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charts/chart1.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6.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erick\Dropbox\1. Estadual\PAM\ORÇAMENTO\"/>
    </mc:Choice>
  </mc:AlternateContent>
  <xr:revisionPtr revIDLastSave="0" documentId="13_ncr:1_{2A1441D6-B557-49A5-A878-BCBC6CC5BB97}" xr6:coauthVersionLast="47" xr6:coauthVersionMax="47" xr10:uidLastSave="{00000000-0000-0000-0000-000000000000}"/>
  <bookViews>
    <workbookView xWindow="-120" yWindow="-120" windowWidth="29040" windowHeight="15720" tabRatio="860" activeTab="9" xr2:uid="{00000000-000D-0000-FFFF-FFFF00000000}"/>
  </bookViews>
  <sheets>
    <sheet name="DADOS" sheetId="1" r:id="rId1"/>
    <sheet name="FOLHA FECHAMENTO" sheetId="2" r:id="rId2"/>
    <sheet name="BDI" sheetId="3" r:id="rId3"/>
    <sheet name="RESUMO" sheetId="4" r:id="rId4"/>
    <sheet name="SERVIÇOS" sheetId="5" state="hidden" r:id="rId5"/>
    <sheet name="INSUMOS" sheetId="6" state="hidden" r:id="rId6"/>
    <sheet name="PLANILHA_SINTÉTICA" sheetId="7" r:id="rId7"/>
    <sheet name="Planilha1" sheetId="8" state="hidden" r:id="rId8"/>
    <sheet name="MEMORIAL DE CÁLCULO" sheetId="20" r:id="rId9"/>
    <sheet name="CURVA ABC" sheetId="9" r:id="rId10"/>
    <sheet name="REVEST_ACM" sheetId="10" state="hidden" r:id="rId11"/>
    <sheet name="CRONOGRAMA" sheetId="11" r:id="rId12"/>
    <sheet name="COMPOSIÇÕES COMPLEMENTARES " sheetId="12" r:id="rId13"/>
    <sheet name="COTAÇÕES" sheetId="13" r:id="rId14"/>
    <sheet name="TABELAS" sheetId="14" state="hidden" r:id="rId15"/>
    <sheet name="INSUMO SINAPI - SP" sheetId="15" state="hidden" r:id="rId16"/>
    <sheet name="DECLARAÇÃO" sheetId="16" r:id="rId17"/>
    <sheet name="PROJETOS RECEBIDOS" sheetId="17" state="hidden" r:id="rId18"/>
    <sheet name="ENCARGOS SOCIAIS" sheetId="18" r:id="rId19"/>
    <sheet name="REVISÃO" sheetId="19" state="hidden" r:id="rId20"/>
  </sheet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#REF!</definedName>
    <definedName name="___xlnm.Print_Area_3">#REF!</definedName>
    <definedName name="___xlnm.Print_Area_3_1">#REF!</definedName>
    <definedName name="___xlnm.Print_Titles_2">#REF!</definedName>
    <definedName name="___xlnm.Print_Titles_3">#REF!</definedName>
    <definedName name="__Anonymous_Sheet_DB__0" localSheetId="9">'CURVA ABC'!$C$9:$O$816</definedName>
    <definedName name="__Anonymous_Sheet_DB__0">PLANILHA_SINTÉTICA!$F$9:$P$1018</definedName>
    <definedName name="__xlnm.Print_Area_1">INSUMOS!$A$1:$D$6</definedName>
    <definedName name="__xlnm.Print_Area_2" localSheetId="2">#REF!</definedName>
    <definedName name="__xlnm.Print_Area_2" localSheetId="13">#REF!</definedName>
    <definedName name="__xlnm.Print_Area_2" localSheetId="17">#REF!</definedName>
    <definedName name="__xlnm.Print_Area_2" localSheetId="19">#REF!</definedName>
    <definedName name="__xlnm.Print_Area_2">#REF!</definedName>
    <definedName name="__xlnm.Print_Area_3" localSheetId="2">#REF!</definedName>
    <definedName name="__xlnm.Print_Area_3" localSheetId="13">#REF!</definedName>
    <definedName name="__xlnm.Print_Area_3" localSheetId="17">#REF!</definedName>
    <definedName name="__xlnm.Print_Area_3" localSheetId="19">#REF!</definedName>
    <definedName name="__xlnm.Print_Area_3">#REF!</definedName>
    <definedName name="__xlnm.Print_Area_3_1" localSheetId="2">#REF!</definedName>
    <definedName name="__xlnm.Print_Area_3_1" localSheetId="17">#REF!</definedName>
    <definedName name="__xlnm.Print_Area_3_1" localSheetId="19">#REF!</definedName>
    <definedName name="__xlnm.Print_Area_3_1">#REF!</definedName>
    <definedName name="__xlnm.Print_Titles_1">INSUMOS!$1:$2</definedName>
    <definedName name="__xlnm.Print_Titles_2" localSheetId="2">#REF!</definedName>
    <definedName name="__xlnm.Print_Titles_2" localSheetId="13">#REF!</definedName>
    <definedName name="__xlnm.Print_Titles_2" localSheetId="17">#REF!</definedName>
    <definedName name="__xlnm.Print_Titles_2" localSheetId="19">#REF!</definedName>
    <definedName name="__xlnm.Print_Titles_2">#REF!</definedName>
    <definedName name="__xlnm.Print_Titles_3" localSheetId="2">#REF!</definedName>
    <definedName name="__xlnm.Print_Titles_3" localSheetId="13">#REF!</definedName>
    <definedName name="__xlnm.Print_Titles_3" localSheetId="17">#REF!</definedName>
    <definedName name="__xlnm.Print_Titles_3" localSheetId="19">#REF!</definedName>
    <definedName name="__xlnm.Print_Titles_3">#REF!</definedName>
    <definedName name="_xlnm._FilterDatabase" localSheetId="12" hidden="1">'COMPOSIÇÕES COMPLEMENTARES '!$A$9:$L$2159</definedName>
    <definedName name="_xlnm._FilterDatabase" localSheetId="13" hidden="1">COTAÇÕES!$A$7:$I$189</definedName>
    <definedName name="_xlnm._FilterDatabase" localSheetId="9" hidden="1">'CURVA ABC'!$C$8:$O$813</definedName>
    <definedName name="_xlnm._FilterDatabase" localSheetId="15" hidden="1">'INSUMO SINAPI - SP'!$B$10:$F$4845</definedName>
    <definedName name="_xlnm._FilterDatabase" localSheetId="5" hidden="1">INSUMOS!$A$2:$D$3382</definedName>
    <definedName name="_xlnm._FilterDatabase" localSheetId="6" hidden="1">PLANILHA_SINTÉTICA!$E$9:$P$1020</definedName>
    <definedName name="_xlnm._FilterDatabase" localSheetId="4" hidden="1">SERVIÇOS!$A$4:$G$7801</definedName>
    <definedName name="_xlnm._FilterDatabase" localSheetId="14" hidden="1">TABELAS!$C$28:$I$197</definedName>
    <definedName name="_R10P" localSheetId="2">#REF!</definedName>
    <definedName name="_R10P" localSheetId="16">#REF!</definedName>
    <definedName name="_R10P" localSheetId="17">#REF!</definedName>
    <definedName name="_R10P" localSheetId="19">#REF!</definedName>
    <definedName name="_R10P">#REF!</definedName>
    <definedName name="_R10R" localSheetId="2">#REF!</definedName>
    <definedName name="_R10R" localSheetId="16">#REF!</definedName>
    <definedName name="_R10R" localSheetId="17">#REF!</definedName>
    <definedName name="_R10R" localSheetId="19">#REF!</definedName>
    <definedName name="_R10R">#REF!</definedName>
    <definedName name="_R11P" localSheetId="2">#REF!</definedName>
    <definedName name="_R11P" localSheetId="16">#REF!</definedName>
    <definedName name="_R11P" localSheetId="17">#REF!</definedName>
    <definedName name="_R11P" localSheetId="19">#REF!</definedName>
    <definedName name="_R11P">#REF!</definedName>
    <definedName name="_R11R" localSheetId="2">#REF!</definedName>
    <definedName name="_R11R" localSheetId="16">#REF!</definedName>
    <definedName name="_R11R" localSheetId="17">#REF!</definedName>
    <definedName name="_R11R" localSheetId="19">#REF!</definedName>
    <definedName name="_R11R">#REF!</definedName>
    <definedName name="_R12P" localSheetId="2">#REF!</definedName>
    <definedName name="_R12P" localSheetId="16">#REF!</definedName>
    <definedName name="_R12P" localSheetId="17">#REF!</definedName>
    <definedName name="_R12P" localSheetId="19">#REF!</definedName>
    <definedName name="_R12P">#REF!</definedName>
    <definedName name="_R12R" localSheetId="2">#REF!</definedName>
    <definedName name="_R12R" localSheetId="16">#REF!</definedName>
    <definedName name="_R12R" localSheetId="17">#REF!</definedName>
    <definedName name="_R12R" localSheetId="19">#REF!</definedName>
    <definedName name="_R12R">#REF!</definedName>
    <definedName name="_R13P" localSheetId="2">#REF!</definedName>
    <definedName name="_R13P" localSheetId="16">#REF!</definedName>
    <definedName name="_R13P" localSheetId="17">#REF!</definedName>
    <definedName name="_R13P" localSheetId="19">#REF!</definedName>
    <definedName name="_R13P">#REF!</definedName>
    <definedName name="_R13R" localSheetId="2">#REF!</definedName>
    <definedName name="_R13R" localSheetId="16">#REF!</definedName>
    <definedName name="_R13R" localSheetId="17">#REF!</definedName>
    <definedName name="_R13R" localSheetId="19">#REF!</definedName>
    <definedName name="_R13R">#REF!</definedName>
    <definedName name="_R14P" localSheetId="2">#REF!</definedName>
    <definedName name="_R14P" localSheetId="16">#REF!</definedName>
    <definedName name="_R14P" localSheetId="17">#REF!</definedName>
    <definedName name="_R14P" localSheetId="19">#REF!</definedName>
    <definedName name="_R14P">#REF!</definedName>
    <definedName name="_R14R" localSheetId="2">#REF!</definedName>
    <definedName name="_R14R" localSheetId="16">#REF!</definedName>
    <definedName name="_R14R" localSheetId="17">#REF!</definedName>
    <definedName name="_R14R" localSheetId="19">#REF!</definedName>
    <definedName name="_R14R">#REF!</definedName>
    <definedName name="_R15P" localSheetId="2">#REF!</definedName>
    <definedName name="_R15P" localSheetId="16">#REF!</definedName>
    <definedName name="_R15P" localSheetId="17">#REF!</definedName>
    <definedName name="_R15P" localSheetId="19">#REF!</definedName>
    <definedName name="_R15P">#REF!</definedName>
    <definedName name="_R15R" localSheetId="2">#REF!</definedName>
    <definedName name="_R15R" localSheetId="16">#REF!</definedName>
    <definedName name="_R15R" localSheetId="17">#REF!</definedName>
    <definedName name="_R15R" localSheetId="19">#REF!</definedName>
    <definedName name="_R15R">#REF!</definedName>
    <definedName name="_R16P" localSheetId="2">#REF!</definedName>
    <definedName name="_R16P" localSheetId="16">#REF!</definedName>
    <definedName name="_R16P" localSheetId="17">#REF!</definedName>
    <definedName name="_R16P" localSheetId="19">#REF!</definedName>
    <definedName name="_R16P">#REF!</definedName>
    <definedName name="_R16R" localSheetId="2">#REF!</definedName>
    <definedName name="_R16R" localSheetId="16">#REF!</definedName>
    <definedName name="_R16R" localSheetId="17">#REF!</definedName>
    <definedName name="_R16R" localSheetId="19">#REF!</definedName>
    <definedName name="_R16R">#REF!</definedName>
    <definedName name="_R17P" localSheetId="2">#REF!</definedName>
    <definedName name="_R17P" localSheetId="16">#REF!</definedName>
    <definedName name="_R17P" localSheetId="17">#REF!</definedName>
    <definedName name="_R17P" localSheetId="19">#REF!</definedName>
    <definedName name="_R17P">#REF!</definedName>
    <definedName name="_R17R" localSheetId="2">#REF!</definedName>
    <definedName name="_R17R" localSheetId="16">#REF!</definedName>
    <definedName name="_R17R" localSheetId="17">#REF!</definedName>
    <definedName name="_R17R" localSheetId="19">#REF!</definedName>
    <definedName name="_R17R">#REF!</definedName>
    <definedName name="_R18P" localSheetId="2">#REF!</definedName>
    <definedName name="_R18P" localSheetId="16">#REF!</definedName>
    <definedName name="_R18P" localSheetId="17">#REF!</definedName>
    <definedName name="_R18P" localSheetId="19">#REF!</definedName>
    <definedName name="_R18P">#REF!</definedName>
    <definedName name="_R18R" localSheetId="2">#REF!</definedName>
    <definedName name="_R18R" localSheetId="16">#REF!</definedName>
    <definedName name="_R18R" localSheetId="17">#REF!</definedName>
    <definedName name="_R18R" localSheetId="19">#REF!</definedName>
    <definedName name="_R18R">#REF!</definedName>
    <definedName name="_R19P" localSheetId="2">#REF!</definedName>
    <definedName name="_R19P" localSheetId="16">#REF!</definedName>
    <definedName name="_R19P" localSheetId="17">#REF!</definedName>
    <definedName name="_R19P" localSheetId="19">#REF!</definedName>
    <definedName name="_R19P">#REF!</definedName>
    <definedName name="_R19R" localSheetId="2">#REF!</definedName>
    <definedName name="_R19R" localSheetId="16">#REF!</definedName>
    <definedName name="_R19R" localSheetId="17">#REF!</definedName>
    <definedName name="_R19R" localSheetId="19">#REF!</definedName>
    <definedName name="_R19R">#REF!</definedName>
    <definedName name="_R1P" localSheetId="2">#REF!</definedName>
    <definedName name="_R1P" localSheetId="16">#REF!</definedName>
    <definedName name="_R1P" localSheetId="17">#REF!</definedName>
    <definedName name="_R1P" localSheetId="19">#REF!</definedName>
    <definedName name="_R1P">#REF!</definedName>
    <definedName name="_R1R" localSheetId="2">#REF!</definedName>
    <definedName name="_R1R" localSheetId="16">#REF!</definedName>
    <definedName name="_R1R" localSheetId="17">#REF!</definedName>
    <definedName name="_R1R" localSheetId="19">#REF!</definedName>
    <definedName name="_R1R">#REF!</definedName>
    <definedName name="_R20P" localSheetId="2">#REF!</definedName>
    <definedName name="_R20P" localSheetId="16">#REF!</definedName>
    <definedName name="_R20P" localSheetId="17">#REF!</definedName>
    <definedName name="_R20P" localSheetId="19">#REF!</definedName>
    <definedName name="_R20P">#REF!</definedName>
    <definedName name="_R20R" localSheetId="2">#REF!</definedName>
    <definedName name="_R20R" localSheetId="16">#REF!</definedName>
    <definedName name="_R20R" localSheetId="17">#REF!</definedName>
    <definedName name="_R20R" localSheetId="19">#REF!</definedName>
    <definedName name="_R20R">#REF!</definedName>
    <definedName name="_R21P" localSheetId="2">#REF!</definedName>
    <definedName name="_R21P" localSheetId="16">#REF!</definedName>
    <definedName name="_R21P" localSheetId="17">#REF!</definedName>
    <definedName name="_R21P" localSheetId="19">#REF!</definedName>
    <definedName name="_R21P">#REF!</definedName>
    <definedName name="_R21R" localSheetId="2">#REF!</definedName>
    <definedName name="_R21R" localSheetId="16">#REF!</definedName>
    <definedName name="_R21R" localSheetId="17">#REF!</definedName>
    <definedName name="_R21R" localSheetId="19">#REF!</definedName>
    <definedName name="_R21R">#REF!</definedName>
    <definedName name="_R22P" localSheetId="2">#REF!</definedName>
    <definedName name="_R22P" localSheetId="16">#REF!</definedName>
    <definedName name="_R22P" localSheetId="17">#REF!</definedName>
    <definedName name="_R22P" localSheetId="19">#REF!</definedName>
    <definedName name="_R22P">#REF!</definedName>
    <definedName name="_R22R" localSheetId="2">#REF!</definedName>
    <definedName name="_R22R" localSheetId="16">#REF!</definedName>
    <definedName name="_R22R" localSheetId="17">#REF!</definedName>
    <definedName name="_R22R" localSheetId="19">#REF!</definedName>
    <definedName name="_R22R">#REF!</definedName>
    <definedName name="_R23P" localSheetId="2">#REF!</definedName>
    <definedName name="_R23P" localSheetId="16">#REF!</definedName>
    <definedName name="_R23P" localSheetId="17">#REF!</definedName>
    <definedName name="_R23P" localSheetId="19">#REF!</definedName>
    <definedName name="_R23P">#REF!</definedName>
    <definedName name="_R23R" localSheetId="2">#REF!</definedName>
    <definedName name="_R23R" localSheetId="16">#REF!</definedName>
    <definedName name="_R23R" localSheetId="17">#REF!</definedName>
    <definedName name="_R23R" localSheetId="19">#REF!</definedName>
    <definedName name="_R23R">#REF!</definedName>
    <definedName name="_R24P" localSheetId="2">#REF!</definedName>
    <definedName name="_R24P" localSheetId="16">#REF!</definedName>
    <definedName name="_R24P" localSheetId="17">#REF!</definedName>
    <definedName name="_R24P" localSheetId="19">#REF!</definedName>
    <definedName name="_R24P">#REF!</definedName>
    <definedName name="_R24R" localSheetId="2">#REF!</definedName>
    <definedName name="_R24R" localSheetId="16">#REF!</definedName>
    <definedName name="_R24R" localSheetId="17">#REF!</definedName>
    <definedName name="_R24R" localSheetId="19">#REF!</definedName>
    <definedName name="_R24R">#REF!</definedName>
    <definedName name="_R2P" localSheetId="2">#REF!</definedName>
    <definedName name="_R2P" localSheetId="16">#REF!</definedName>
    <definedName name="_R2P" localSheetId="17">#REF!</definedName>
    <definedName name="_R2P" localSheetId="19">#REF!</definedName>
    <definedName name="_R2P">#REF!</definedName>
    <definedName name="_R2R" localSheetId="2">#REF!</definedName>
    <definedName name="_R2R" localSheetId="16">#REF!</definedName>
    <definedName name="_R2R" localSheetId="17">#REF!</definedName>
    <definedName name="_R2R" localSheetId="19">#REF!</definedName>
    <definedName name="_R2R">#REF!</definedName>
    <definedName name="_R3P" localSheetId="2">#REF!</definedName>
    <definedName name="_R3P" localSheetId="16">#REF!</definedName>
    <definedName name="_R3P" localSheetId="17">#REF!</definedName>
    <definedName name="_R3P" localSheetId="19">#REF!</definedName>
    <definedName name="_R3P">#REF!</definedName>
    <definedName name="_R3R" localSheetId="2">#REF!</definedName>
    <definedName name="_R3R" localSheetId="16">#REF!</definedName>
    <definedName name="_R3R" localSheetId="17">#REF!</definedName>
    <definedName name="_R3R" localSheetId="19">#REF!</definedName>
    <definedName name="_R3R">#REF!</definedName>
    <definedName name="_R4P" localSheetId="2">#REF!</definedName>
    <definedName name="_R4P" localSheetId="16">#REF!</definedName>
    <definedName name="_R4P" localSheetId="17">#REF!</definedName>
    <definedName name="_R4P" localSheetId="19">#REF!</definedName>
    <definedName name="_R4P">#REF!</definedName>
    <definedName name="_R4R" localSheetId="2">#REF!</definedName>
    <definedName name="_R4R" localSheetId="16">#REF!</definedName>
    <definedName name="_R4R" localSheetId="17">#REF!</definedName>
    <definedName name="_R4R" localSheetId="19">#REF!</definedName>
    <definedName name="_R4R">#REF!</definedName>
    <definedName name="_R5P" localSheetId="2">#REF!</definedName>
    <definedName name="_R5P" localSheetId="16">#REF!</definedName>
    <definedName name="_R5P" localSheetId="17">#REF!</definedName>
    <definedName name="_R5P" localSheetId="19">#REF!</definedName>
    <definedName name="_R5P">#REF!</definedName>
    <definedName name="_R5R" localSheetId="2">#REF!</definedName>
    <definedName name="_R5R" localSheetId="16">#REF!</definedName>
    <definedName name="_R5R" localSheetId="17">#REF!</definedName>
    <definedName name="_R5R" localSheetId="19">#REF!</definedName>
    <definedName name="_R5R">#REF!</definedName>
    <definedName name="_R6P" localSheetId="2">#REF!</definedName>
    <definedName name="_R6P" localSheetId="16">#REF!</definedName>
    <definedName name="_R6P" localSheetId="17">#REF!</definedName>
    <definedName name="_R6P" localSheetId="19">#REF!</definedName>
    <definedName name="_R6P">#REF!</definedName>
    <definedName name="_R6R" localSheetId="2">#REF!</definedName>
    <definedName name="_R6R" localSheetId="16">#REF!</definedName>
    <definedName name="_R6R" localSheetId="17">#REF!</definedName>
    <definedName name="_R6R" localSheetId="19">#REF!</definedName>
    <definedName name="_R6R">#REF!</definedName>
    <definedName name="_R7P" localSheetId="2">#REF!</definedName>
    <definedName name="_R7P" localSheetId="16">#REF!</definedName>
    <definedName name="_R7P" localSheetId="17">#REF!</definedName>
    <definedName name="_R7P" localSheetId="19">#REF!</definedName>
    <definedName name="_R7P">#REF!</definedName>
    <definedName name="_R7R" localSheetId="2">#REF!</definedName>
    <definedName name="_R7R" localSheetId="16">#REF!</definedName>
    <definedName name="_R7R" localSheetId="17">#REF!</definedName>
    <definedName name="_R7R" localSheetId="19">#REF!</definedName>
    <definedName name="_R7R">#REF!</definedName>
    <definedName name="_R8P" localSheetId="2">#REF!</definedName>
    <definedName name="_R8P" localSheetId="16">#REF!</definedName>
    <definedName name="_R8P" localSheetId="17">#REF!</definedName>
    <definedName name="_R8P" localSheetId="19">#REF!</definedName>
    <definedName name="_R8P">#REF!</definedName>
    <definedName name="_R8R" localSheetId="2">#REF!</definedName>
    <definedName name="_R8R" localSheetId="16">#REF!</definedName>
    <definedName name="_R8R" localSheetId="17">#REF!</definedName>
    <definedName name="_R8R" localSheetId="19">#REF!</definedName>
    <definedName name="_R8R">#REF!</definedName>
    <definedName name="_R9P" localSheetId="2">#REF!</definedName>
    <definedName name="_R9P" localSheetId="16">#REF!</definedName>
    <definedName name="_R9P" localSheetId="17">#REF!</definedName>
    <definedName name="_R9P" localSheetId="19">#REF!</definedName>
    <definedName name="_R9P">#REF!</definedName>
    <definedName name="_R9R" localSheetId="2">#REF!</definedName>
    <definedName name="_R9R" localSheetId="16">#REF!</definedName>
    <definedName name="_R9R" localSheetId="17">#REF!</definedName>
    <definedName name="_R9R" localSheetId="19">#REF!</definedName>
    <definedName name="_R9R">#REF!</definedName>
    <definedName name="_RP1" localSheetId="2">#REF!</definedName>
    <definedName name="_RP1" localSheetId="16">#REF!</definedName>
    <definedName name="_RP1" localSheetId="17">#REF!</definedName>
    <definedName name="_RP1" localSheetId="19">#REF!</definedName>
    <definedName name="_RP1">#REF!</definedName>
    <definedName name="_RP10" localSheetId="2">#REF!</definedName>
    <definedName name="_RP10" localSheetId="16">#REF!</definedName>
    <definedName name="_RP10" localSheetId="17">#REF!</definedName>
    <definedName name="_RP10" localSheetId="19">#REF!</definedName>
    <definedName name="_RP10">#REF!</definedName>
    <definedName name="_RP11" localSheetId="2">#REF!</definedName>
    <definedName name="_RP11" localSheetId="16">#REF!</definedName>
    <definedName name="_RP11" localSheetId="17">#REF!</definedName>
    <definedName name="_RP11" localSheetId="19">#REF!</definedName>
    <definedName name="_RP11">#REF!</definedName>
    <definedName name="_RP12" localSheetId="2">#REF!</definedName>
    <definedName name="_RP12" localSheetId="16">#REF!</definedName>
    <definedName name="_RP12" localSheetId="17">#REF!</definedName>
    <definedName name="_RP12" localSheetId="19">#REF!</definedName>
    <definedName name="_RP12">#REF!</definedName>
    <definedName name="_RP13" localSheetId="2">#REF!</definedName>
    <definedName name="_RP13" localSheetId="16">#REF!</definedName>
    <definedName name="_RP13" localSheetId="17">#REF!</definedName>
    <definedName name="_RP13" localSheetId="19">#REF!</definedName>
    <definedName name="_RP13">#REF!</definedName>
    <definedName name="_RP14" localSheetId="2">#REF!</definedName>
    <definedName name="_RP14" localSheetId="16">#REF!</definedName>
    <definedName name="_RP14" localSheetId="17">#REF!</definedName>
    <definedName name="_RP14" localSheetId="19">#REF!</definedName>
    <definedName name="_RP14">#REF!</definedName>
    <definedName name="_RP15" localSheetId="2">#REF!</definedName>
    <definedName name="_RP15" localSheetId="16">#REF!</definedName>
    <definedName name="_RP15" localSheetId="17">#REF!</definedName>
    <definedName name="_RP15" localSheetId="19">#REF!</definedName>
    <definedName name="_RP15">#REF!</definedName>
    <definedName name="_RP16" localSheetId="2">#REF!</definedName>
    <definedName name="_RP16" localSheetId="16">#REF!</definedName>
    <definedName name="_RP16" localSheetId="17">#REF!</definedName>
    <definedName name="_RP16" localSheetId="19">#REF!</definedName>
    <definedName name="_RP16">#REF!</definedName>
    <definedName name="_RP17" localSheetId="2">#REF!</definedName>
    <definedName name="_RP17" localSheetId="16">#REF!</definedName>
    <definedName name="_RP17" localSheetId="17">#REF!</definedName>
    <definedName name="_RP17" localSheetId="19">#REF!</definedName>
    <definedName name="_RP17">#REF!</definedName>
    <definedName name="_RP18" localSheetId="2">#REF!</definedName>
    <definedName name="_RP18" localSheetId="16">#REF!</definedName>
    <definedName name="_RP18" localSheetId="17">#REF!</definedName>
    <definedName name="_RP18" localSheetId="19">#REF!</definedName>
    <definedName name="_RP18">#REF!</definedName>
    <definedName name="_RP19" localSheetId="2">#REF!</definedName>
    <definedName name="_RP19" localSheetId="16">#REF!</definedName>
    <definedName name="_RP19" localSheetId="17">#REF!</definedName>
    <definedName name="_RP19" localSheetId="19">#REF!</definedName>
    <definedName name="_RP19">#REF!</definedName>
    <definedName name="_RP2" localSheetId="2">#REF!</definedName>
    <definedName name="_RP2" localSheetId="16">#REF!</definedName>
    <definedName name="_RP2" localSheetId="17">#REF!</definedName>
    <definedName name="_RP2" localSheetId="19">#REF!</definedName>
    <definedName name="_RP2">#REF!</definedName>
    <definedName name="_RP20" localSheetId="2">#REF!</definedName>
    <definedName name="_RP20" localSheetId="16">#REF!</definedName>
    <definedName name="_RP20" localSheetId="17">#REF!</definedName>
    <definedName name="_RP20" localSheetId="19">#REF!</definedName>
    <definedName name="_RP20">#REF!</definedName>
    <definedName name="_RP21" localSheetId="2">#REF!</definedName>
    <definedName name="_RP21" localSheetId="16">#REF!</definedName>
    <definedName name="_RP21" localSheetId="17">#REF!</definedName>
    <definedName name="_RP21" localSheetId="19">#REF!</definedName>
    <definedName name="_RP21">#REF!</definedName>
    <definedName name="_RP22" localSheetId="2">#REF!</definedName>
    <definedName name="_RP22" localSheetId="16">#REF!</definedName>
    <definedName name="_RP22" localSheetId="17">#REF!</definedName>
    <definedName name="_RP22" localSheetId="19">#REF!</definedName>
    <definedName name="_RP22">#REF!</definedName>
    <definedName name="_RP23" localSheetId="2">#REF!</definedName>
    <definedName name="_RP23" localSheetId="16">#REF!</definedName>
    <definedName name="_RP23" localSheetId="17">#REF!</definedName>
    <definedName name="_RP23" localSheetId="19">#REF!</definedName>
    <definedName name="_RP23">#REF!</definedName>
    <definedName name="_RP24" localSheetId="2">#REF!</definedName>
    <definedName name="_RP24" localSheetId="16">#REF!</definedName>
    <definedName name="_RP24" localSheetId="17">#REF!</definedName>
    <definedName name="_RP24" localSheetId="19">#REF!</definedName>
    <definedName name="_RP24">#REF!</definedName>
    <definedName name="_RP3" localSheetId="2">#REF!</definedName>
    <definedName name="_RP3" localSheetId="16">#REF!</definedName>
    <definedName name="_RP3" localSheetId="17">#REF!</definedName>
    <definedName name="_RP3" localSheetId="19">#REF!</definedName>
    <definedName name="_RP3">#REF!</definedName>
    <definedName name="_RP4" localSheetId="2">#REF!</definedName>
    <definedName name="_RP4" localSheetId="16">#REF!</definedName>
    <definedName name="_RP4" localSheetId="17">#REF!</definedName>
    <definedName name="_RP4" localSheetId="19">#REF!</definedName>
    <definedName name="_RP4">#REF!</definedName>
    <definedName name="_RP5" localSheetId="2">#REF!</definedName>
    <definedName name="_RP5" localSheetId="16">#REF!</definedName>
    <definedName name="_RP5" localSheetId="17">#REF!</definedName>
    <definedName name="_RP5" localSheetId="19">#REF!</definedName>
    <definedName name="_RP5">#REF!</definedName>
    <definedName name="_RP6" localSheetId="2">#REF!</definedName>
    <definedName name="_RP6" localSheetId="16">#REF!</definedName>
    <definedName name="_RP6" localSheetId="17">#REF!</definedName>
    <definedName name="_RP6" localSheetId="19">#REF!</definedName>
    <definedName name="_RP6">#REF!</definedName>
    <definedName name="_RP7" localSheetId="2">#REF!</definedName>
    <definedName name="_RP7" localSheetId="16">#REF!</definedName>
    <definedName name="_RP7" localSheetId="17">#REF!</definedName>
    <definedName name="_RP7" localSheetId="19">#REF!</definedName>
    <definedName name="_RP7">#REF!</definedName>
    <definedName name="_RP8" localSheetId="2">#REF!</definedName>
    <definedName name="_RP8" localSheetId="16">#REF!</definedName>
    <definedName name="_RP8" localSheetId="17">#REF!</definedName>
    <definedName name="_RP8" localSheetId="19">#REF!</definedName>
    <definedName name="_RP8">#REF!</definedName>
    <definedName name="_RP9" localSheetId="2">#REF!</definedName>
    <definedName name="_RP9" localSheetId="16">#REF!</definedName>
    <definedName name="_RP9" localSheetId="17">#REF!</definedName>
    <definedName name="_RP9" localSheetId="19">#REF!</definedName>
    <definedName name="_RP9">#REF!</definedName>
    <definedName name="_RR1" localSheetId="2">#REF!</definedName>
    <definedName name="_RR1" localSheetId="16">#REF!</definedName>
    <definedName name="_RR1" localSheetId="17">#REF!</definedName>
    <definedName name="_RR1" localSheetId="19">#REF!</definedName>
    <definedName name="_RR1">#REF!</definedName>
    <definedName name="_RR10" localSheetId="2">#REF!</definedName>
    <definedName name="_RR10" localSheetId="16">#REF!</definedName>
    <definedName name="_RR10" localSheetId="17">#REF!</definedName>
    <definedName name="_RR10" localSheetId="19">#REF!</definedName>
    <definedName name="_RR10">#REF!</definedName>
    <definedName name="_RR12" localSheetId="2">#REF!</definedName>
    <definedName name="_RR12" localSheetId="16">#REF!</definedName>
    <definedName name="_RR12" localSheetId="17">#REF!</definedName>
    <definedName name="_RR12" localSheetId="19">#REF!</definedName>
    <definedName name="_RR12">#REF!</definedName>
    <definedName name="_RR13" localSheetId="2">#REF!</definedName>
    <definedName name="_RR13" localSheetId="16">#REF!</definedName>
    <definedName name="_RR13" localSheetId="17">#REF!</definedName>
    <definedName name="_RR13" localSheetId="19">#REF!</definedName>
    <definedName name="_RR13">#REF!</definedName>
    <definedName name="_RR14" localSheetId="2">#REF!</definedName>
    <definedName name="_RR14" localSheetId="16">#REF!</definedName>
    <definedName name="_RR14" localSheetId="17">#REF!</definedName>
    <definedName name="_RR14" localSheetId="19">#REF!</definedName>
    <definedName name="_RR14">#REF!</definedName>
    <definedName name="_RR15" localSheetId="2">#REF!</definedName>
    <definedName name="_RR15" localSheetId="16">#REF!</definedName>
    <definedName name="_RR15" localSheetId="17">#REF!</definedName>
    <definedName name="_RR15" localSheetId="19">#REF!</definedName>
    <definedName name="_RR15">#REF!</definedName>
    <definedName name="_RR16" localSheetId="2">#REF!</definedName>
    <definedName name="_RR16" localSheetId="16">#REF!</definedName>
    <definedName name="_RR16" localSheetId="17">#REF!</definedName>
    <definedName name="_RR16" localSheetId="19">#REF!</definedName>
    <definedName name="_RR16">#REF!</definedName>
    <definedName name="_RR17" localSheetId="2">#REF!</definedName>
    <definedName name="_RR17" localSheetId="16">#REF!</definedName>
    <definedName name="_RR17" localSheetId="17">#REF!</definedName>
    <definedName name="_RR17" localSheetId="19">#REF!</definedName>
    <definedName name="_RR17">#REF!</definedName>
    <definedName name="_RR18" localSheetId="2">#REF!</definedName>
    <definedName name="_RR18" localSheetId="16">#REF!</definedName>
    <definedName name="_RR18" localSheetId="17">#REF!</definedName>
    <definedName name="_RR18" localSheetId="19">#REF!</definedName>
    <definedName name="_RR18">#REF!</definedName>
    <definedName name="_RR19" localSheetId="2">#REF!</definedName>
    <definedName name="_RR19" localSheetId="16">#REF!</definedName>
    <definedName name="_RR19" localSheetId="17">#REF!</definedName>
    <definedName name="_RR19" localSheetId="19">#REF!</definedName>
    <definedName name="_RR19">#REF!</definedName>
    <definedName name="_RR2" localSheetId="2">#REF!</definedName>
    <definedName name="_RR2" localSheetId="16">#REF!</definedName>
    <definedName name="_RR2" localSheetId="17">#REF!</definedName>
    <definedName name="_RR2" localSheetId="19">#REF!</definedName>
    <definedName name="_RR2">#REF!</definedName>
    <definedName name="_RR20" localSheetId="2">#REF!</definedName>
    <definedName name="_RR20" localSheetId="16">#REF!</definedName>
    <definedName name="_RR20" localSheetId="17">#REF!</definedName>
    <definedName name="_RR20" localSheetId="19">#REF!</definedName>
    <definedName name="_RR20">#REF!</definedName>
    <definedName name="_RR21" localSheetId="2">#REF!</definedName>
    <definedName name="_RR21" localSheetId="16">#REF!</definedName>
    <definedName name="_RR21" localSheetId="17">#REF!</definedName>
    <definedName name="_RR21" localSheetId="19">#REF!</definedName>
    <definedName name="_RR21">#REF!</definedName>
    <definedName name="_RR22" localSheetId="2">#REF!</definedName>
    <definedName name="_RR22" localSheetId="16">#REF!</definedName>
    <definedName name="_RR22" localSheetId="17">#REF!</definedName>
    <definedName name="_RR22" localSheetId="19">#REF!</definedName>
    <definedName name="_RR22">#REF!</definedName>
    <definedName name="_RR23" localSheetId="2">#REF!</definedName>
    <definedName name="_RR23" localSheetId="16">#REF!</definedName>
    <definedName name="_RR23" localSheetId="17">#REF!</definedName>
    <definedName name="_RR23" localSheetId="19">#REF!</definedName>
    <definedName name="_RR23">#REF!</definedName>
    <definedName name="_RR24" localSheetId="2">#REF!</definedName>
    <definedName name="_RR24" localSheetId="16">#REF!</definedName>
    <definedName name="_RR24" localSheetId="17">#REF!</definedName>
    <definedName name="_RR24" localSheetId="19">#REF!</definedName>
    <definedName name="_RR24">#REF!</definedName>
    <definedName name="_RR3" localSheetId="2">#REF!</definedName>
    <definedName name="_RR3" localSheetId="16">#REF!</definedName>
    <definedName name="_RR3" localSheetId="17">#REF!</definedName>
    <definedName name="_RR3" localSheetId="19">#REF!</definedName>
    <definedName name="_RR3">#REF!</definedName>
    <definedName name="_RR4" localSheetId="2">#REF!</definedName>
    <definedName name="_RR4" localSheetId="16">#REF!</definedName>
    <definedName name="_RR4" localSheetId="17">#REF!</definedName>
    <definedName name="_RR4" localSheetId="19">#REF!</definedName>
    <definedName name="_RR4">#REF!</definedName>
    <definedName name="_RR5" localSheetId="2">#REF!</definedName>
    <definedName name="_RR5" localSheetId="16">#REF!</definedName>
    <definedName name="_RR5" localSheetId="17">#REF!</definedName>
    <definedName name="_RR5" localSheetId="19">#REF!</definedName>
    <definedName name="_RR5">#REF!</definedName>
    <definedName name="_RR6" localSheetId="2">#REF!</definedName>
    <definedName name="_RR6" localSheetId="16">#REF!</definedName>
    <definedName name="_RR6" localSheetId="17">#REF!</definedName>
    <definedName name="_RR6" localSheetId="19">#REF!</definedName>
    <definedName name="_RR6">#REF!</definedName>
    <definedName name="_RR7" localSheetId="2">#REF!</definedName>
    <definedName name="_RR7" localSheetId="16">#REF!</definedName>
    <definedName name="_RR7" localSheetId="17">#REF!</definedName>
    <definedName name="_RR7" localSheetId="19">#REF!</definedName>
    <definedName name="_RR7">#REF!</definedName>
    <definedName name="_RR8" localSheetId="2">#REF!</definedName>
    <definedName name="_RR8" localSheetId="16">#REF!</definedName>
    <definedName name="_RR8" localSheetId="17">#REF!</definedName>
    <definedName name="_RR8" localSheetId="19">#REF!</definedName>
    <definedName name="_RR8">#REF!</definedName>
    <definedName name="_RR9" localSheetId="2">#REF!</definedName>
    <definedName name="_RR9" localSheetId="16">#REF!</definedName>
    <definedName name="_RR9" localSheetId="17">#REF!</definedName>
    <definedName name="_RR9" localSheetId="19">#REF!</definedName>
    <definedName name="_RR9">#REF!</definedName>
    <definedName name="_tt1">"$#REF!.$A$1:$B$3278"</definedName>
    <definedName name="A1P1" localSheetId="2">#REF!</definedName>
    <definedName name="A1P1" localSheetId="16">#REF!</definedName>
    <definedName name="A1P1" localSheetId="17">#REF!</definedName>
    <definedName name="A1P1" localSheetId="19">#REF!</definedName>
    <definedName name="A1P1">#REF!</definedName>
    <definedName name="A1P10" localSheetId="2">#REF!</definedName>
    <definedName name="A1P10" localSheetId="16">#REF!</definedName>
    <definedName name="A1P10" localSheetId="17">#REF!</definedName>
    <definedName name="A1P10" localSheetId="19">#REF!</definedName>
    <definedName name="A1P10">#REF!</definedName>
    <definedName name="A1P11" localSheetId="2">#REF!</definedName>
    <definedName name="A1P11" localSheetId="16">#REF!</definedName>
    <definedName name="A1P11" localSheetId="17">#REF!</definedName>
    <definedName name="A1P11" localSheetId="19">#REF!</definedName>
    <definedName name="A1P11">#REF!</definedName>
    <definedName name="A1P12" localSheetId="2">#REF!</definedName>
    <definedName name="A1P12" localSheetId="16">#REF!</definedName>
    <definedName name="A1P12" localSheetId="17">#REF!</definedName>
    <definedName name="A1P12" localSheetId="19">#REF!</definedName>
    <definedName name="A1P12">#REF!</definedName>
    <definedName name="A1P13" localSheetId="2">#REF!</definedName>
    <definedName name="A1P13" localSheetId="16">#REF!</definedName>
    <definedName name="A1P13" localSheetId="17">#REF!</definedName>
    <definedName name="A1P13" localSheetId="19">#REF!</definedName>
    <definedName name="A1P13">#REF!</definedName>
    <definedName name="A1P14" localSheetId="2">#REF!</definedName>
    <definedName name="A1P14" localSheetId="16">#REF!</definedName>
    <definedName name="A1P14" localSheetId="17">#REF!</definedName>
    <definedName name="A1P14" localSheetId="19">#REF!</definedName>
    <definedName name="A1P14">#REF!</definedName>
    <definedName name="A1P15" localSheetId="2">#REF!</definedName>
    <definedName name="A1P15" localSheetId="16">#REF!</definedName>
    <definedName name="A1P15" localSheetId="17">#REF!</definedName>
    <definedName name="A1P15" localSheetId="19">#REF!</definedName>
    <definedName name="A1P15">#REF!</definedName>
    <definedName name="A1P16" localSheetId="2">#REF!</definedName>
    <definedName name="A1P16" localSheetId="16">#REF!</definedName>
    <definedName name="A1P16" localSheetId="17">#REF!</definedName>
    <definedName name="A1P16" localSheetId="19">#REF!</definedName>
    <definedName name="A1P16">#REF!</definedName>
    <definedName name="A1P17" localSheetId="2">#REF!</definedName>
    <definedName name="A1P17" localSheetId="16">#REF!</definedName>
    <definedName name="A1P17" localSheetId="17">#REF!</definedName>
    <definedName name="A1P17" localSheetId="19">#REF!</definedName>
    <definedName name="A1P17">#REF!</definedName>
    <definedName name="A1P18" localSheetId="2">#REF!</definedName>
    <definedName name="A1P18" localSheetId="16">#REF!</definedName>
    <definedName name="A1P18" localSheetId="17">#REF!</definedName>
    <definedName name="A1P18" localSheetId="19">#REF!</definedName>
    <definedName name="A1P18">#REF!</definedName>
    <definedName name="A1P19" localSheetId="2">#REF!</definedName>
    <definedName name="A1P19" localSheetId="16">#REF!</definedName>
    <definedName name="A1P19" localSheetId="17">#REF!</definedName>
    <definedName name="A1P19" localSheetId="19">#REF!</definedName>
    <definedName name="A1P19">#REF!</definedName>
    <definedName name="A1P2" localSheetId="2">#REF!</definedName>
    <definedName name="A1P2" localSheetId="16">#REF!</definedName>
    <definedName name="A1P2" localSheetId="17">#REF!</definedName>
    <definedName name="A1P2" localSheetId="19">#REF!</definedName>
    <definedName name="A1P2">#REF!</definedName>
    <definedName name="A1P20" localSheetId="2">#REF!</definedName>
    <definedName name="A1P20" localSheetId="16">#REF!</definedName>
    <definedName name="A1P20" localSheetId="17">#REF!</definedName>
    <definedName name="A1P20" localSheetId="19">#REF!</definedName>
    <definedName name="A1P20">#REF!</definedName>
    <definedName name="A1P21" localSheetId="2">#REF!</definedName>
    <definedName name="A1P21" localSheetId="16">#REF!</definedName>
    <definedName name="A1P21" localSheetId="17">#REF!</definedName>
    <definedName name="A1P21" localSheetId="19">#REF!</definedName>
    <definedName name="A1P21">#REF!</definedName>
    <definedName name="A1P22" localSheetId="2">#REF!</definedName>
    <definedName name="A1P22" localSheetId="16">#REF!</definedName>
    <definedName name="A1P22" localSheetId="17">#REF!</definedName>
    <definedName name="A1P22" localSheetId="19">#REF!</definedName>
    <definedName name="A1P22">#REF!</definedName>
    <definedName name="A1P23" localSheetId="2">#REF!</definedName>
    <definedName name="A1P23" localSheetId="16">#REF!</definedName>
    <definedName name="A1P23" localSheetId="17">#REF!</definedName>
    <definedName name="A1P23" localSheetId="19">#REF!</definedName>
    <definedName name="A1P23">#REF!</definedName>
    <definedName name="A1P24" localSheetId="2">#REF!</definedName>
    <definedName name="A1P24" localSheetId="16">#REF!</definedName>
    <definedName name="A1P24" localSheetId="17">#REF!</definedName>
    <definedName name="A1P24" localSheetId="19">#REF!</definedName>
    <definedName name="A1P24">#REF!</definedName>
    <definedName name="A1P3" localSheetId="2">#REF!</definedName>
    <definedName name="A1P3" localSheetId="16">#REF!</definedName>
    <definedName name="A1P3" localSheetId="17">#REF!</definedName>
    <definedName name="A1P3" localSheetId="19">#REF!</definedName>
    <definedName name="A1P3">#REF!</definedName>
    <definedName name="A1P4" localSheetId="2">#REF!</definedName>
    <definedName name="A1P4" localSheetId="16">#REF!</definedName>
    <definedName name="A1P4" localSheetId="17">#REF!</definedName>
    <definedName name="A1P4" localSheetId="19">#REF!</definedName>
    <definedName name="A1P4">#REF!</definedName>
    <definedName name="A1P5" localSheetId="2">#REF!</definedName>
    <definedName name="A1P5" localSheetId="16">#REF!</definedName>
    <definedName name="A1P5" localSheetId="17">#REF!</definedName>
    <definedName name="A1P5" localSheetId="19">#REF!</definedName>
    <definedName name="A1P5">#REF!</definedName>
    <definedName name="A1P6" localSheetId="2">#REF!</definedName>
    <definedName name="A1P6" localSheetId="16">#REF!</definedName>
    <definedName name="A1P6" localSheetId="17">#REF!</definedName>
    <definedName name="A1P6" localSheetId="19">#REF!</definedName>
    <definedName name="A1P6">#REF!</definedName>
    <definedName name="A1P7" localSheetId="2">#REF!</definedName>
    <definedName name="A1P7" localSheetId="16">#REF!</definedName>
    <definedName name="A1P7" localSheetId="17">#REF!</definedName>
    <definedName name="A1P7" localSheetId="19">#REF!</definedName>
    <definedName name="A1P7">#REF!</definedName>
    <definedName name="A1P8" localSheetId="2">#REF!</definedName>
    <definedName name="A1P8" localSheetId="16">#REF!</definedName>
    <definedName name="A1P8" localSheetId="17">#REF!</definedName>
    <definedName name="A1P8" localSheetId="19">#REF!</definedName>
    <definedName name="A1P8">#REF!</definedName>
    <definedName name="A1P9" localSheetId="2">#REF!</definedName>
    <definedName name="A1P9" localSheetId="16">#REF!</definedName>
    <definedName name="A1P9" localSheetId="17">#REF!</definedName>
    <definedName name="A1P9" localSheetId="19">#REF!</definedName>
    <definedName name="A1P9">#REF!</definedName>
    <definedName name="A1R1" localSheetId="2">#REF!</definedName>
    <definedName name="A1R1" localSheetId="16">#REF!</definedName>
    <definedName name="A1R1" localSheetId="17">#REF!</definedName>
    <definedName name="A1R1" localSheetId="19">#REF!</definedName>
    <definedName name="A1R1">#REF!</definedName>
    <definedName name="A1R10" localSheetId="2">#REF!</definedName>
    <definedName name="A1R10" localSheetId="16">#REF!</definedName>
    <definedName name="A1R10" localSheetId="17">#REF!</definedName>
    <definedName name="A1R10" localSheetId="19">#REF!</definedName>
    <definedName name="A1R10">#REF!</definedName>
    <definedName name="A1R11" localSheetId="2">#REF!</definedName>
    <definedName name="A1R11" localSheetId="16">#REF!</definedName>
    <definedName name="A1R11" localSheetId="17">#REF!</definedName>
    <definedName name="A1R11" localSheetId="19">#REF!</definedName>
    <definedName name="A1R11">#REF!</definedName>
    <definedName name="A1R12" localSheetId="2">#REF!</definedName>
    <definedName name="A1R12" localSheetId="16">#REF!</definedName>
    <definedName name="A1R12" localSheetId="17">#REF!</definedName>
    <definedName name="A1R12" localSheetId="19">#REF!</definedName>
    <definedName name="A1R12">#REF!</definedName>
    <definedName name="A1R13" localSheetId="2">#REF!</definedName>
    <definedName name="A1R13" localSheetId="16">#REF!</definedName>
    <definedName name="A1R13" localSheetId="17">#REF!</definedName>
    <definedName name="A1R13" localSheetId="19">#REF!</definedName>
    <definedName name="A1R13">#REF!</definedName>
    <definedName name="A1R14" localSheetId="2">#REF!</definedName>
    <definedName name="A1R14" localSheetId="16">#REF!</definedName>
    <definedName name="A1R14" localSheetId="17">#REF!</definedName>
    <definedName name="A1R14" localSheetId="19">#REF!</definedName>
    <definedName name="A1R14">#REF!</definedName>
    <definedName name="A1R15" localSheetId="2">#REF!</definedName>
    <definedName name="A1R15" localSheetId="16">#REF!</definedName>
    <definedName name="A1R15" localSheetId="17">#REF!</definedName>
    <definedName name="A1R15" localSheetId="19">#REF!</definedName>
    <definedName name="A1R15">#REF!</definedName>
    <definedName name="A1R16" localSheetId="2">#REF!</definedName>
    <definedName name="A1R16" localSheetId="16">#REF!</definedName>
    <definedName name="A1R16" localSheetId="17">#REF!</definedName>
    <definedName name="A1R16" localSheetId="19">#REF!</definedName>
    <definedName name="A1R16">#REF!</definedName>
    <definedName name="A1R17" localSheetId="2">#REF!</definedName>
    <definedName name="A1R17" localSheetId="16">#REF!</definedName>
    <definedName name="A1R17" localSheetId="17">#REF!</definedName>
    <definedName name="A1R17" localSheetId="19">#REF!</definedName>
    <definedName name="A1R17">#REF!</definedName>
    <definedName name="A1R18" localSheetId="2">#REF!</definedName>
    <definedName name="A1R18" localSheetId="16">#REF!</definedName>
    <definedName name="A1R18" localSheetId="17">#REF!</definedName>
    <definedName name="A1R18" localSheetId="19">#REF!</definedName>
    <definedName name="A1R18">#REF!</definedName>
    <definedName name="A1R19" localSheetId="2">#REF!</definedName>
    <definedName name="A1R19" localSheetId="16">#REF!</definedName>
    <definedName name="A1R19" localSheetId="17">#REF!</definedName>
    <definedName name="A1R19" localSheetId="19">#REF!</definedName>
    <definedName name="A1R19">#REF!</definedName>
    <definedName name="A1R2" localSheetId="2">#REF!</definedName>
    <definedName name="A1R2" localSheetId="16">#REF!</definedName>
    <definedName name="A1R2" localSheetId="17">#REF!</definedName>
    <definedName name="A1R2" localSheetId="19">#REF!</definedName>
    <definedName name="A1R2">#REF!</definedName>
    <definedName name="A1R20" localSheetId="2">#REF!</definedName>
    <definedName name="A1R20" localSheetId="16">#REF!</definedName>
    <definedName name="A1R20" localSheetId="17">#REF!</definedName>
    <definedName name="A1R20" localSheetId="19">#REF!</definedName>
    <definedName name="A1R20">#REF!</definedName>
    <definedName name="A1R21" localSheetId="2">#REF!</definedName>
    <definedName name="A1R21" localSheetId="16">#REF!</definedName>
    <definedName name="A1R21" localSheetId="17">#REF!</definedName>
    <definedName name="A1R21" localSheetId="19">#REF!</definedName>
    <definedName name="A1R21">#REF!</definedName>
    <definedName name="A1R22" localSheetId="2">#REF!</definedName>
    <definedName name="A1R22" localSheetId="16">#REF!</definedName>
    <definedName name="A1R22" localSheetId="17">#REF!</definedName>
    <definedName name="A1R22" localSheetId="19">#REF!</definedName>
    <definedName name="A1R22">#REF!</definedName>
    <definedName name="A1R23" localSheetId="2">#REF!</definedName>
    <definedName name="A1R23" localSheetId="16">#REF!</definedName>
    <definedName name="A1R23" localSheetId="17">#REF!</definedName>
    <definedName name="A1R23" localSheetId="19">#REF!</definedName>
    <definedName name="A1R23">#REF!</definedName>
    <definedName name="A1R24" localSheetId="2">#REF!</definedName>
    <definedName name="A1R24" localSheetId="16">#REF!</definedName>
    <definedName name="A1R24" localSheetId="17">#REF!</definedName>
    <definedName name="A1R24" localSheetId="19">#REF!</definedName>
    <definedName name="A1R24">#REF!</definedName>
    <definedName name="A1R3" localSheetId="2">#REF!</definedName>
    <definedName name="A1R3" localSheetId="16">#REF!</definedName>
    <definedName name="A1R3" localSheetId="17">#REF!</definedName>
    <definedName name="A1R3" localSheetId="19">#REF!</definedName>
    <definedName name="A1R3">#REF!</definedName>
    <definedName name="A1R4" localSheetId="2">#REF!</definedName>
    <definedName name="A1R4" localSheetId="16">#REF!</definedName>
    <definedName name="A1R4" localSheetId="17">#REF!</definedName>
    <definedName name="A1R4" localSheetId="19">#REF!</definedName>
    <definedName name="A1R4">#REF!</definedName>
    <definedName name="A1R5" localSheetId="2">#REF!</definedName>
    <definedName name="A1R5" localSheetId="16">#REF!</definedName>
    <definedName name="A1R5" localSheetId="17">#REF!</definedName>
    <definedName name="A1R5" localSheetId="19">#REF!</definedName>
    <definedName name="A1R5">#REF!</definedName>
    <definedName name="A1R6" localSheetId="2">#REF!</definedName>
    <definedName name="A1R6" localSheetId="16">#REF!</definedName>
    <definedName name="A1R6" localSheetId="17">#REF!</definedName>
    <definedName name="A1R6" localSheetId="19">#REF!</definedName>
    <definedName name="A1R6">#REF!</definedName>
    <definedName name="A1R7" localSheetId="2">#REF!</definedName>
    <definedName name="A1R7" localSheetId="16">#REF!</definedName>
    <definedName name="A1R7" localSheetId="17">#REF!</definedName>
    <definedName name="A1R7" localSheetId="19">#REF!</definedName>
    <definedName name="A1R7">#REF!</definedName>
    <definedName name="A1R8" localSheetId="2">#REF!</definedName>
    <definedName name="A1R8" localSheetId="16">#REF!</definedName>
    <definedName name="A1R8" localSheetId="17">#REF!</definedName>
    <definedName name="A1R8" localSheetId="19">#REF!</definedName>
    <definedName name="A1R8">#REF!</definedName>
    <definedName name="A1R9" localSheetId="2">#REF!</definedName>
    <definedName name="A1R9" localSheetId="16">#REF!</definedName>
    <definedName name="A1R9" localSheetId="17">#REF!</definedName>
    <definedName name="A1R9" localSheetId="19">#REF!</definedName>
    <definedName name="A1R9">#REF!</definedName>
    <definedName name="A2P1" localSheetId="2">#REF!</definedName>
    <definedName name="A2P1" localSheetId="16">#REF!</definedName>
    <definedName name="A2P1" localSheetId="17">#REF!</definedName>
    <definedName name="A2P1" localSheetId="19">#REF!</definedName>
    <definedName name="A2P1">#REF!</definedName>
    <definedName name="A2P10" localSheetId="2">#REF!</definedName>
    <definedName name="A2P10" localSheetId="16">#REF!</definedName>
    <definedName name="A2P10" localSheetId="17">#REF!</definedName>
    <definedName name="A2P10" localSheetId="19">#REF!</definedName>
    <definedName name="A2P10">#REF!</definedName>
    <definedName name="A2P11" localSheetId="2">#REF!</definedName>
    <definedName name="A2P11" localSheetId="16">#REF!</definedName>
    <definedName name="A2P11" localSheetId="17">#REF!</definedName>
    <definedName name="A2P11" localSheetId="19">#REF!</definedName>
    <definedName name="A2P11">#REF!</definedName>
    <definedName name="A2P12" localSheetId="2">#REF!</definedName>
    <definedName name="A2P12" localSheetId="16">#REF!</definedName>
    <definedName name="A2P12" localSheetId="17">#REF!</definedName>
    <definedName name="A2P12" localSheetId="19">#REF!</definedName>
    <definedName name="A2P12">#REF!</definedName>
    <definedName name="A2P13" localSheetId="2">#REF!</definedName>
    <definedName name="A2P13" localSheetId="16">#REF!</definedName>
    <definedName name="A2P13" localSheetId="17">#REF!</definedName>
    <definedName name="A2P13" localSheetId="19">#REF!</definedName>
    <definedName name="A2P13">#REF!</definedName>
    <definedName name="A2P14" localSheetId="2">#REF!</definedName>
    <definedName name="A2P14" localSheetId="16">#REF!</definedName>
    <definedName name="A2P14" localSheetId="17">#REF!</definedName>
    <definedName name="A2P14" localSheetId="19">#REF!</definedName>
    <definedName name="A2P14">#REF!</definedName>
    <definedName name="A2P15" localSheetId="2">#REF!</definedName>
    <definedName name="A2P15" localSheetId="16">#REF!</definedName>
    <definedName name="A2P15" localSheetId="17">#REF!</definedName>
    <definedName name="A2P15" localSheetId="19">#REF!</definedName>
    <definedName name="A2P15">#REF!</definedName>
    <definedName name="A2P16" localSheetId="2">#REF!</definedName>
    <definedName name="A2P16" localSheetId="16">#REF!</definedName>
    <definedName name="A2P16" localSheetId="17">#REF!</definedName>
    <definedName name="A2P16" localSheetId="19">#REF!</definedName>
    <definedName name="A2P16">#REF!</definedName>
    <definedName name="A2P17" localSheetId="2">#REF!</definedName>
    <definedName name="A2P17" localSheetId="16">#REF!</definedName>
    <definedName name="A2P17" localSheetId="17">#REF!</definedName>
    <definedName name="A2P17" localSheetId="19">#REF!</definedName>
    <definedName name="A2P17">#REF!</definedName>
    <definedName name="A2P18" localSheetId="2">#REF!</definedName>
    <definedName name="A2P18" localSheetId="16">#REF!</definedName>
    <definedName name="A2P18" localSheetId="17">#REF!</definedName>
    <definedName name="A2P18" localSheetId="19">#REF!</definedName>
    <definedName name="A2P18">#REF!</definedName>
    <definedName name="A2P19" localSheetId="2">#REF!</definedName>
    <definedName name="A2P19" localSheetId="16">#REF!</definedName>
    <definedName name="A2P19" localSheetId="17">#REF!</definedName>
    <definedName name="A2P19" localSheetId="19">#REF!</definedName>
    <definedName name="A2P19">#REF!</definedName>
    <definedName name="A2P2" localSheetId="2">#REF!</definedName>
    <definedName name="A2P2" localSheetId="16">#REF!</definedName>
    <definedName name="A2P2" localSheetId="17">#REF!</definedName>
    <definedName name="A2P2" localSheetId="19">#REF!</definedName>
    <definedName name="A2P2">#REF!</definedName>
    <definedName name="A2P20" localSheetId="2">#REF!</definedName>
    <definedName name="A2P20" localSheetId="16">#REF!</definedName>
    <definedName name="A2P20" localSheetId="17">#REF!</definedName>
    <definedName name="A2P20" localSheetId="19">#REF!</definedName>
    <definedName name="A2P20">#REF!</definedName>
    <definedName name="A2P21" localSheetId="2">#REF!</definedName>
    <definedName name="A2P21" localSheetId="16">#REF!</definedName>
    <definedName name="A2P21" localSheetId="17">#REF!</definedName>
    <definedName name="A2P21" localSheetId="19">#REF!</definedName>
    <definedName name="A2P21">#REF!</definedName>
    <definedName name="A2P22" localSheetId="2">#REF!</definedName>
    <definedName name="A2P22" localSheetId="16">#REF!</definedName>
    <definedName name="A2P22" localSheetId="17">#REF!</definedName>
    <definedName name="A2P22" localSheetId="19">#REF!</definedName>
    <definedName name="A2P22">#REF!</definedName>
    <definedName name="A2P23" localSheetId="2">#REF!</definedName>
    <definedName name="A2P23" localSheetId="16">#REF!</definedName>
    <definedName name="A2P23" localSheetId="17">#REF!</definedName>
    <definedName name="A2P23" localSheetId="19">#REF!</definedName>
    <definedName name="A2P23">#REF!</definedName>
    <definedName name="A2P24" localSheetId="2">#REF!</definedName>
    <definedName name="A2P24" localSheetId="16">#REF!</definedName>
    <definedName name="A2P24" localSheetId="17">#REF!</definedName>
    <definedName name="A2P24" localSheetId="19">#REF!</definedName>
    <definedName name="A2P24">#REF!</definedName>
    <definedName name="A2P3" localSheetId="2">#REF!</definedName>
    <definedName name="A2P3" localSheetId="16">#REF!</definedName>
    <definedName name="A2P3" localSheetId="17">#REF!</definedName>
    <definedName name="A2P3" localSheetId="19">#REF!</definedName>
    <definedName name="A2P3">#REF!</definedName>
    <definedName name="A2P4" localSheetId="2">#REF!</definedName>
    <definedName name="A2P4" localSheetId="16">#REF!</definedName>
    <definedName name="A2P4" localSheetId="17">#REF!</definedName>
    <definedName name="A2P4" localSheetId="19">#REF!</definedName>
    <definedName name="A2P4">#REF!</definedName>
    <definedName name="A2P5" localSheetId="2">#REF!</definedName>
    <definedName name="A2P5" localSheetId="16">#REF!</definedName>
    <definedName name="A2P5" localSheetId="17">#REF!</definedName>
    <definedName name="A2P5" localSheetId="19">#REF!</definedName>
    <definedName name="A2P5">#REF!</definedName>
    <definedName name="A2P6" localSheetId="2">#REF!</definedName>
    <definedName name="A2P6" localSheetId="16">#REF!</definedName>
    <definedName name="A2P6" localSheetId="17">#REF!</definedName>
    <definedName name="A2P6" localSheetId="19">#REF!</definedName>
    <definedName name="A2P6">#REF!</definedName>
    <definedName name="A2P7" localSheetId="2">#REF!</definedName>
    <definedName name="A2P7" localSheetId="16">#REF!</definedName>
    <definedName name="A2P7" localSheetId="17">#REF!</definedName>
    <definedName name="A2P7" localSheetId="19">#REF!</definedName>
    <definedName name="A2P7">#REF!</definedName>
    <definedName name="A2P8" localSheetId="2">#REF!</definedName>
    <definedName name="A2P8" localSheetId="16">#REF!</definedName>
    <definedName name="A2P8" localSheetId="17">#REF!</definedName>
    <definedName name="A2P8" localSheetId="19">#REF!</definedName>
    <definedName name="A2P8">#REF!</definedName>
    <definedName name="A2P9" localSheetId="2">#REF!</definedName>
    <definedName name="A2P9" localSheetId="16">#REF!</definedName>
    <definedName name="A2P9" localSheetId="17">#REF!</definedName>
    <definedName name="A2P9" localSheetId="19">#REF!</definedName>
    <definedName name="A2P9">#REF!</definedName>
    <definedName name="A2R1" localSheetId="2">#REF!</definedName>
    <definedName name="A2R1" localSheetId="16">#REF!</definedName>
    <definedName name="A2R1" localSheetId="17">#REF!</definedName>
    <definedName name="A2R1" localSheetId="19">#REF!</definedName>
    <definedName name="A2R1">#REF!</definedName>
    <definedName name="A2R10" localSheetId="2">#REF!</definedName>
    <definedName name="A2R10" localSheetId="16">#REF!</definedName>
    <definedName name="A2R10" localSheetId="17">#REF!</definedName>
    <definedName name="A2R10" localSheetId="19">#REF!</definedName>
    <definedName name="A2R10">#REF!</definedName>
    <definedName name="A2R11" localSheetId="2">#REF!</definedName>
    <definedName name="A2R11" localSheetId="16">#REF!</definedName>
    <definedName name="A2R11" localSheetId="17">#REF!</definedName>
    <definedName name="A2R11" localSheetId="19">#REF!</definedName>
    <definedName name="A2R11">#REF!</definedName>
    <definedName name="A2R12" localSheetId="2">#REF!</definedName>
    <definedName name="A2R12" localSheetId="16">#REF!</definedName>
    <definedName name="A2R12" localSheetId="17">#REF!</definedName>
    <definedName name="A2R12" localSheetId="19">#REF!</definedName>
    <definedName name="A2R12">#REF!</definedName>
    <definedName name="A2R13" localSheetId="2">#REF!</definedName>
    <definedName name="A2R13" localSheetId="16">#REF!</definedName>
    <definedName name="A2R13" localSheetId="17">#REF!</definedName>
    <definedName name="A2R13" localSheetId="19">#REF!</definedName>
    <definedName name="A2R13">#REF!</definedName>
    <definedName name="A2R14" localSheetId="2">#REF!</definedName>
    <definedName name="A2R14" localSheetId="16">#REF!</definedName>
    <definedName name="A2R14" localSheetId="17">#REF!</definedName>
    <definedName name="A2R14" localSheetId="19">#REF!</definedName>
    <definedName name="A2R14">#REF!</definedName>
    <definedName name="A2R15" localSheetId="2">#REF!</definedName>
    <definedName name="A2R15" localSheetId="16">#REF!</definedName>
    <definedName name="A2R15" localSheetId="17">#REF!</definedName>
    <definedName name="A2R15" localSheetId="19">#REF!</definedName>
    <definedName name="A2R15">#REF!</definedName>
    <definedName name="A2R16" localSheetId="2">#REF!</definedName>
    <definedName name="A2R16" localSheetId="16">#REF!</definedName>
    <definedName name="A2R16" localSheetId="17">#REF!</definedName>
    <definedName name="A2R16" localSheetId="19">#REF!</definedName>
    <definedName name="A2R16">#REF!</definedName>
    <definedName name="A2R17" localSheetId="2">#REF!</definedName>
    <definedName name="A2R17" localSheetId="16">#REF!</definedName>
    <definedName name="A2R17" localSheetId="17">#REF!</definedName>
    <definedName name="A2R17" localSheetId="19">#REF!</definedName>
    <definedName name="A2R17">#REF!</definedName>
    <definedName name="A2R18" localSheetId="2">#REF!</definedName>
    <definedName name="A2R18" localSheetId="16">#REF!</definedName>
    <definedName name="A2R18" localSheetId="17">#REF!</definedName>
    <definedName name="A2R18" localSheetId="19">#REF!</definedName>
    <definedName name="A2R18">#REF!</definedName>
    <definedName name="A2R19" localSheetId="2">#REF!</definedName>
    <definedName name="A2R19" localSheetId="16">#REF!</definedName>
    <definedName name="A2R19" localSheetId="17">#REF!</definedName>
    <definedName name="A2R19" localSheetId="19">#REF!</definedName>
    <definedName name="A2R19">#REF!</definedName>
    <definedName name="A2R2" localSheetId="2">#REF!</definedName>
    <definedName name="A2R2" localSheetId="16">#REF!</definedName>
    <definedName name="A2R2" localSheetId="17">#REF!</definedName>
    <definedName name="A2R2" localSheetId="19">#REF!</definedName>
    <definedName name="A2R2">#REF!</definedName>
    <definedName name="A2R20" localSheetId="2">#REF!</definedName>
    <definedName name="A2R20" localSheetId="16">#REF!</definedName>
    <definedName name="A2R20" localSheetId="17">#REF!</definedName>
    <definedName name="A2R20" localSheetId="19">#REF!</definedName>
    <definedName name="A2R20">#REF!</definedName>
    <definedName name="A2R21" localSheetId="2">#REF!</definedName>
    <definedName name="A2R21" localSheetId="16">#REF!</definedName>
    <definedName name="A2R21" localSheetId="17">#REF!</definedName>
    <definedName name="A2R21" localSheetId="19">#REF!</definedName>
    <definedName name="A2R21">#REF!</definedName>
    <definedName name="A2R22" localSheetId="2">#REF!</definedName>
    <definedName name="A2R22" localSheetId="16">#REF!</definedName>
    <definedName name="A2R22" localSheetId="17">#REF!</definedName>
    <definedName name="A2R22" localSheetId="19">#REF!</definedName>
    <definedName name="A2R22">#REF!</definedName>
    <definedName name="A2R23" localSheetId="2">#REF!</definedName>
    <definedName name="A2R23" localSheetId="16">#REF!</definedName>
    <definedName name="A2R23" localSheetId="17">#REF!</definedName>
    <definedName name="A2R23" localSheetId="19">#REF!</definedName>
    <definedName name="A2R23">#REF!</definedName>
    <definedName name="A2R24" localSheetId="2">#REF!</definedName>
    <definedName name="A2R24" localSheetId="16">#REF!</definedName>
    <definedName name="A2R24" localSheetId="17">#REF!</definedName>
    <definedName name="A2R24" localSheetId="19">#REF!</definedName>
    <definedName name="A2R24">#REF!</definedName>
    <definedName name="A2R3" localSheetId="2">#REF!</definedName>
    <definedName name="A2R3" localSheetId="16">#REF!</definedName>
    <definedName name="A2R3" localSheetId="17">#REF!</definedName>
    <definedName name="A2R3" localSheetId="19">#REF!</definedName>
    <definedName name="A2R3">#REF!</definedName>
    <definedName name="A2R4" localSheetId="2">#REF!</definedName>
    <definedName name="A2R4" localSheetId="16">#REF!</definedName>
    <definedName name="A2R4" localSheetId="17">#REF!</definedName>
    <definedName name="A2R4" localSheetId="19">#REF!</definedName>
    <definedName name="A2R4">#REF!</definedName>
    <definedName name="A2R5" localSheetId="2">#REF!</definedName>
    <definedName name="A2R5" localSheetId="16">#REF!</definedName>
    <definedName name="A2R5" localSheetId="17">#REF!</definedName>
    <definedName name="A2R5" localSheetId="19">#REF!</definedName>
    <definedName name="A2R5">#REF!</definedName>
    <definedName name="A2R6" localSheetId="2">#REF!</definedName>
    <definedName name="A2R6" localSheetId="16">#REF!</definedName>
    <definedName name="A2R6" localSheetId="17">#REF!</definedName>
    <definedName name="A2R6" localSheetId="19">#REF!</definedName>
    <definedName name="A2R6">#REF!</definedName>
    <definedName name="A2R7" localSheetId="2">#REF!</definedName>
    <definedName name="A2R7" localSheetId="16">#REF!</definedName>
    <definedName name="A2R7" localSheetId="17">#REF!</definedName>
    <definedName name="A2R7" localSheetId="19">#REF!</definedName>
    <definedName name="A2R7">#REF!</definedName>
    <definedName name="A2R8" localSheetId="2">#REF!</definedName>
    <definedName name="A2R8" localSheetId="16">#REF!</definedName>
    <definedName name="A2R8" localSheetId="17">#REF!</definedName>
    <definedName name="A2R8" localSheetId="19">#REF!</definedName>
    <definedName name="A2R8">#REF!</definedName>
    <definedName name="A2R9" localSheetId="2">#REF!</definedName>
    <definedName name="A2R9" localSheetId="16">#REF!</definedName>
    <definedName name="A2R9" localSheetId="17">#REF!</definedName>
    <definedName name="A2R9" localSheetId="19">#REF!</definedName>
    <definedName name="A2R9">#REF!</definedName>
    <definedName name="A3P1" localSheetId="2">#REF!</definedName>
    <definedName name="A3P1" localSheetId="16">#REF!</definedName>
    <definedName name="A3P1" localSheetId="17">#REF!</definedName>
    <definedName name="A3P1" localSheetId="19">#REF!</definedName>
    <definedName name="A3P1">#REF!</definedName>
    <definedName name="A3P10" localSheetId="2">#REF!</definedName>
    <definedName name="A3P10" localSheetId="16">#REF!</definedName>
    <definedName name="A3P10" localSheetId="17">#REF!</definedName>
    <definedName name="A3P10" localSheetId="19">#REF!</definedName>
    <definedName name="A3P10">#REF!</definedName>
    <definedName name="A3P11" localSheetId="2">#REF!</definedName>
    <definedName name="A3P11" localSheetId="16">#REF!</definedName>
    <definedName name="A3P11" localSheetId="17">#REF!</definedName>
    <definedName name="A3P11" localSheetId="19">#REF!</definedName>
    <definedName name="A3P11">#REF!</definedName>
    <definedName name="A3P12" localSheetId="2">#REF!</definedName>
    <definedName name="A3P12" localSheetId="16">#REF!</definedName>
    <definedName name="A3P12" localSheetId="17">#REF!</definedName>
    <definedName name="A3P12" localSheetId="19">#REF!</definedName>
    <definedName name="A3P12">#REF!</definedName>
    <definedName name="A3P13" localSheetId="2">#REF!</definedName>
    <definedName name="A3P13" localSheetId="16">#REF!</definedName>
    <definedName name="A3P13" localSheetId="17">#REF!</definedName>
    <definedName name="A3P13" localSheetId="19">#REF!</definedName>
    <definedName name="A3P13">#REF!</definedName>
    <definedName name="A3P14" localSheetId="2">#REF!</definedName>
    <definedName name="A3P14" localSheetId="16">#REF!</definedName>
    <definedName name="A3P14" localSheetId="17">#REF!</definedName>
    <definedName name="A3P14" localSheetId="19">#REF!</definedName>
    <definedName name="A3P14">#REF!</definedName>
    <definedName name="A3P15" localSheetId="2">#REF!</definedName>
    <definedName name="A3P15" localSheetId="16">#REF!</definedName>
    <definedName name="A3P15" localSheetId="17">#REF!</definedName>
    <definedName name="A3P15" localSheetId="19">#REF!</definedName>
    <definedName name="A3P15">#REF!</definedName>
    <definedName name="A3P16" localSheetId="2">#REF!</definedName>
    <definedName name="A3P16" localSheetId="16">#REF!</definedName>
    <definedName name="A3P16" localSheetId="17">#REF!</definedName>
    <definedName name="A3P16" localSheetId="19">#REF!</definedName>
    <definedName name="A3P16">#REF!</definedName>
    <definedName name="A3P17" localSheetId="2">#REF!</definedName>
    <definedName name="A3P17" localSheetId="16">#REF!</definedName>
    <definedName name="A3P17" localSheetId="17">#REF!</definedName>
    <definedName name="A3P17" localSheetId="19">#REF!</definedName>
    <definedName name="A3P17">#REF!</definedName>
    <definedName name="A3P18" localSheetId="2">#REF!</definedName>
    <definedName name="A3P18" localSheetId="16">#REF!</definedName>
    <definedName name="A3P18" localSheetId="17">#REF!</definedName>
    <definedName name="A3P18" localSheetId="19">#REF!</definedName>
    <definedName name="A3P18">#REF!</definedName>
    <definedName name="A3P19" localSheetId="2">#REF!</definedName>
    <definedName name="A3P19" localSheetId="16">#REF!</definedName>
    <definedName name="A3P19" localSheetId="17">#REF!</definedName>
    <definedName name="A3P19" localSheetId="19">#REF!</definedName>
    <definedName name="A3P19">#REF!</definedName>
    <definedName name="A3P2" localSheetId="2">#REF!</definedName>
    <definedName name="A3P2" localSheetId="16">#REF!</definedName>
    <definedName name="A3P2" localSheetId="17">#REF!</definedName>
    <definedName name="A3P2" localSheetId="19">#REF!</definedName>
    <definedName name="A3P2">#REF!</definedName>
    <definedName name="A3P20" localSheetId="2">#REF!</definedName>
    <definedName name="A3P20" localSheetId="16">#REF!</definedName>
    <definedName name="A3P20" localSheetId="17">#REF!</definedName>
    <definedName name="A3P20" localSheetId="19">#REF!</definedName>
    <definedName name="A3P20">#REF!</definedName>
    <definedName name="A3P21" localSheetId="2">#REF!</definedName>
    <definedName name="A3P21" localSheetId="16">#REF!</definedName>
    <definedName name="A3P21" localSheetId="17">#REF!</definedName>
    <definedName name="A3P21" localSheetId="19">#REF!</definedName>
    <definedName name="A3P21">#REF!</definedName>
    <definedName name="A3P22" localSheetId="2">#REF!</definedName>
    <definedName name="A3P22" localSheetId="16">#REF!</definedName>
    <definedName name="A3P22" localSheetId="17">#REF!</definedName>
    <definedName name="A3P22" localSheetId="19">#REF!</definedName>
    <definedName name="A3P22">#REF!</definedName>
    <definedName name="A3P23" localSheetId="2">#REF!</definedName>
    <definedName name="A3P23" localSheetId="16">#REF!</definedName>
    <definedName name="A3P23" localSheetId="17">#REF!</definedName>
    <definedName name="A3P23" localSheetId="19">#REF!</definedName>
    <definedName name="A3P23">#REF!</definedName>
    <definedName name="A3P24" localSheetId="2">#REF!</definedName>
    <definedName name="A3P24" localSheetId="16">#REF!</definedName>
    <definedName name="A3P24" localSheetId="17">#REF!</definedName>
    <definedName name="A3P24" localSheetId="19">#REF!</definedName>
    <definedName name="A3P24">#REF!</definedName>
    <definedName name="A3P3" localSheetId="2">#REF!</definedName>
    <definedName name="A3P3" localSheetId="16">#REF!</definedName>
    <definedName name="A3P3" localSheetId="17">#REF!</definedName>
    <definedName name="A3P3" localSheetId="19">#REF!</definedName>
    <definedName name="A3P3">#REF!</definedName>
    <definedName name="A3P4" localSheetId="2">#REF!</definedName>
    <definedName name="A3P4" localSheetId="16">#REF!</definedName>
    <definedName name="A3P4" localSheetId="17">#REF!</definedName>
    <definedName name="A3P4" localSheetId="19">#REF!</definedName>
    <definedName name="A3P4">#REF!</definedName>
    <definedName name="A3P5" localSheetId="2">#REF!</definedName>
    <definedName name="A3P5" localSheetId="16">#REF!</definedName>
    <definedName name="A3P5" localSheetId="17">#REF!</definedName>
    <definedName name="A3P5" localSheetId="19">#REF!</definedName>
    <definedName name="A3P5">#REF!</definedName>
    <definedName name="A3P6" localSheetId="2">#REF!</definedName>
    <definedName name="A3P6" localSheetId="16">#REF!</definedName>
    <definedName name="A3P6" localSheetId="17">#REF!</definedName>
    <definedName name="A3P6" localSheetId="19">#REF!</definedName>
    <definedName name="A3P6">#REF!</definedName>
    <definedName name="A3P7" localSheetId="2">#REF!</definedName>
    <definedName name="A3P7" localSheetId="16">#REF!</definedName>
    <definedName name="A3P7" localSheetId="17">#REF!</definedName>
    <definedName name="A3P7" localSheetId="19">#REF!</definedName>
    <definedName name="A3P7">#REF!</definedName>
    <definedName name="A3P8" localSheetId="2">#REF!</definedName>
    <definedName name="A3P8" localSheetId="16">#REF!</definedName>
    <definedName name="A3P8" localSheetId="17">#REF!</definedName>
    <definedName name="A3P8" localSheetId="19">#REF!</definedName>
    <definedName name="A3P8">#REF!</definedName>
    <definedName name="A3P9" localSheetId="2">#REF!</definedName>
    <definedName name="A3P9" localSheetId="16">#REF!</definedName>
    <definedName name="A3P9" localSheetId="17">#REF!</definedName>
    <definedName name="A3P9" localSheetId="19">#REF!</definedName>
    <definedName name="A3P9">#REF!</definedName>
    <definedName name="A3R1" localSheetId="2">#REF!</definedName>
    <definedName name="A3R1" localSheetId="16">#REF!</definedName>
    <definedName name="A3R1" localSheetId="17">#REF!</definedName>
    <definedName name="A3R1" localSheetId="19">#REF!</definedName>
    <definedName name="A3R1">#REF!</definedName>
    <definedName name="A3R10" localSheetId="2">#REF!</definedName>
    <definedName name="A3R10" localSheetId="16">#REF!</definedName>
    <definedName name="A3R10" localSheetId="17">#REF!</definedName>
    <definedName name="A3R10" localSheetId="19">#REF!</definedName>
    <definedName name="A3R10">#REF!</definedName>
    <definedName name="A3R11" localSheetId="2">#REF!</definedName>
    <definedName name="A3R11" localSheetId="16">#REF!</definedName>
    <definedName name="A3R11" localSheetId="17">#REF!</definedName>
    <definedName name="A3R11" localSheetId="19">#REF!</definedName>
    <definedName name="A3R11">#REF!</definedName>
    <definedName name="A3R12" localSheetId="2">#REF!</definedName>
    <definedName name="A3R12" localSheetId="16">#REF!</definedName>
    <definedName name="A3R12" localSheetId="17">#REF!</definedName>
    <definedName name="A3R12" localSheetId="19">#REF!</definedName>
    <definedName name="A3R12">#REF!</definedName>
    <definedName name="A3R13" localSheetId="2">#REF!</definedName>
    <definedName name="A3R13" localSheetId="16">#REF!</definedName>
    <definedName name="A3R13" localSheetId="17">#REF!</definedName>
    <definedName name="A3R13" localSheetId="19">#REF!</definedName>
    <definedName name="A3R13">#REF!</definedName>
    <definedName name="A3R14" localSheetId="2">#REF!</definedName>
    <definedName name="A3R14" localSheetId="16">#REF!</definedName>
    <definedName name="A3R14" localSheetId="17">#REF!</definedName>
    <definedName name="A3R14" localSheetId="19">#REF!</definedName>
    <definedName name="A3R14">#REF!</definedName>
    <definedName name="A3R15" localSheetId="2">#REF!</definedName>
    <definedName name="A3R15" localSheetId="16">#REF!</definedName>
    <definedName name="A3R15" localSheetId="17">#REF!</definedName>
    <definedName name="A3R15" localSheetId="19">#REF!</definedName>
    <definedName name="A3R15">#REF!</definedName>
    <definedName name="A3R16" localSheetId="2">#REF!</definedName>
    <definedName name="A3R16" localSheetId="16">#REF!</definedName>
    <definedName name="A3R16" localSheetId="17">#REF!</definedName>
    <definedName name="A3R16" localSheetId="19">#REF!</definedName>
    <definedName name="A3R16">#REF!</definedName>
    <definedName name="A3R17" localSheetId="2">#REF!</definedName>
    <definedName name="A3R17" localSheetId="16">#REF!</definedName>
    <definedName name="A3R17" localSheetId="17">#REF!</definedName>
    <definedName name="A3R17" localSheetId="19">#REF!</definedName>
    <definedName name="A3R17">#REF!</definedName>
    <definedName name="A3R18" localSheetId="2">#REF!</definedName>
    <definedName name="A3R18" localSheetId="16">#REF!</definedName>
    <definedName name="A3R18" localSheetId="17">#REF!</definedName>
    <definedName name="A3R18" localSheetId="19">#REF!</definedName>
    <definedName name="A3R18">#REF!</definedName>
    <definedName name="A3R19" localSheetId="2">#REF!</definedName>
    <definedName name="A3R19" localSheetId="16">#REF!</definedName>
    <definedName name="A3R19" localSheetId="17">#REF!</definedName>
    <definedName name="A3R19" localSheetId="19">#REF!</definedName>
    <definedName name="A3R19">#REF!</definedName>
    <definedName name="A3R2" localSheetId="2">#REF!</definedName>
    <definedName name="A3R2" localSheetId="16">#REF!</definedName>
    <definedName name="A3R2" localSheetId="17">#REF!</definedName>
    <definedName name="A3R2" localSheetId="19">#REF!</definedName>
    <definedName name="A3R2">#REF!</definedName>
    <definedName name="A3R20" localSheetId="2">#REF!</definedName>
    <definedName name="A3R20" localSheetId="16">#REF!</definedName>
    <definedName name="A3R20" localSheetId="17">#REF!</definedName>
    <definedName name="A3R20" localSheetId="19">#REF!</definedName>
    <definedName name="A3R20">#REF!</definedName>
    <definedName name="A3R21" localSheetId="2">#REF!</definedName>
    <definedName name="A3R21" localSheetId="16">#REF!</definedName>
    <definedName name="A3R21" localSheetId="17">#REF!</definedName>
    <definedName name="A3R21" localSheetId="19">#REF!</definedName>
    <definedName name="A3R21">#REF!</definedName>
    <definedName name="A3R22" localSheetId="2">#REF!</definedName>
    <definedName name="A3R22" localSheetId="16">#REF!</definedName>
    <definedName name="A3R22" localSheetId="17">#REF!</definedName>
    <definedName name="A3R22" localSheetId="19">#REF!</definedName>
    <definedName name="A3R22">#REF!</definedName>
    <definedName name="A3R23" localSheetId="2">#REF!</definedName>
    <definedName name="A3R23" localSheetId="16">#REF!</definedName>
    <definedName name="A3R23" localSheetId="17">#REF!</definedName>
    <definedName name="A3R23" localSheetId="19">#REF!</definedName>
    <definedName name="A3R23">#REF!</definedName>
    <definedName name="A3R24" localSheetId="2">#REF!</definedName>
    <definedName name="A3R24" localSheetId="16">#REF!</definedName>
    <definedName name="A3R24" localSheetId="17">#REF!</definedName>
    <definedName name="A3R24" localSheetId="19">#REF!</definedName>
    <definedName name="A3R24">#REF!</definedName>
    <definedName name="A3R3" localSheetId="2">#REF!</definedName>
    <definedName name="A3R3" localSheetId="16">#REF!</definedName>
    <definedName name="A3R3" localSheetId="17">#REF!</definedName>
    <definedName name="A3R3" localSheetId="19">#REF!</definedName>
    <definedName name="A3R3">#REF!</definedName>
    <definedName name="A3R4" localSheetId="2">#REF!</definedName>
    <definedName name="A3R4" localSheetId="16">#REF!</definedName>
    <definedName name="A3R4" localSheetId="17">#REF!</definedName>
    <definedName name="A3R4" localSheetId="19">#REF!</definedName>
    <definedName name="A3R4">#REF!</definedName>
    <definedName name="A3R5" localSheetId="2">#REF!</definedName>
    <definedName name="A3R5" localSheetId="16">#REF!</definedName>
    <definedName name="A3R5" localSheetId="17">#REF!</definedName>
    <definedName name="A3R5" localSheetId="19">#REF!</definedName>
    <definedName name="A3R5">#REF!</definedName>
    <definedName name="A3R6" localSheetId="2">#REF!</definedName>
    <definedName name="A3R6" localSheetId="16">#REF!</definedName>
    <definedName name="A3R6" localSheetId="17">#REF!</definedName>
    <definedName name="A3R6" localSheetId="19">#REF!</definedName>
    <definedName name="A3R6">#REF!</definedName>
    <definedName name="A3R7" localSheetId="2">#REF!</definedName>
    <definedName name="A3R7" localSheetId="16">#REF!</definedName>
    <definedName name="A3R7" localSheetId="17">#REF!</definedName>
    <definedName name="A3R7" localSheetId="19">#REF!</definedName>
    <definedName name="A3R7">#REF!</definedName>
    <definedName name="A3R8" localSheetId="2">#REF!</definedName>
    <definedName name="A3R8" localSheetId="16">#REF!</definedName>
    <definedName name="A3R8" localSheetId="17">#REF!</definedName>
    <definedName name="A3R8" localSheetId="19">#REF!</definedName>
    <definedName name="A3R8">#REF!</definedName>
    <definedName name="A3R9" localSheetId="2">#REF!</definedName>
    <definedName name="A3R9" localSheetId="16">#REF!</definedName>
    <definedName name="A3R9" localSheetId="17">#REF!</definedName>
    <definedName name="A3R9" localSheetId="19">#REF!</definedName>
    <definedName name="A3R9">#REF!</definedName>
    <definedName name="A4P1" localSheetId="2">#REF!</definedName>
    <definedName name="A4P1" localSheetId="16">#REF!</definedName>
    <definedName name="A4P1" localSheetId="17">#REF!</definedName>
    <definedName name="A4P1" localSheetId="19">#REF!</definedName>
    <definedName name="A4P1">#REF!</definedName>
    <definedName name="A4P10" localSheetId="2">#REF!</definedName>
    <definedName name="A4P10" localSheetId="16">#REF!</definedName>
    <definedName name="A4P10" localSheetId="17">#REF!</definedName>
    <definedName name="A4P10" localSheetId="19">#REF!</definedName>
    <definedName name="A4P10">#REF!</definedName>
    <definedName name="A4P11" localSheetId="2">#REF!</definedName>
    <definedName name="A4P11" localSheetId="16">#REF!</definedName>
    <definedName name="A4P11" localSheetId="17">#REF!</definedName>
    <definedName name="A4P11" localSheetId="19">#REF!</definedName>
    <definedName name="A4P11">#REF!</definedName>
    <definedName name="A4P12" localSheetId="2">#REF!</definedName>
    <definedName name="A4P12" localSheetId="16">#REF!</definedName>
    <definedName name="A4P12" localSheetId="17">#REF!</definedName>
    <definedName name="A4P12" localSheetId="19">#REF!</definedName>
    <definedName name="A4P12">#REF!</definedName>
    <definedName name="A4P13" localSheetId="2">#REF!</definedName>
    <definedName name="A4P13" localSheetId="16">#REF!</definedName>
    <definedName name="A4P13" localSheetId="17">#REF!</definedName>
    <definedName name="A4P13" localSheetId="19">#REF!</definedName>
    <definedName name="A4P13">#REF!</definedName>
    <definedName name="A4P14" localSheetId="2">#REF!</definedName>
    <definedName name="A4P14" localSheetId="16">#REF!</definedName>
    <definedName name="A4P14" localSheetId="17">#REF!</definedName>
    <definedName name="A4P14" localSheetId="19">#REF!</definedName>
    <definedName name="A4P14">#REF!</definedName>
    <definedName name="A4P15" localSheetId="2">#REF!</definedName>
    <definedName name="A4P15" localSheetId="16">#REF!</definedName>
    <definedName name="A4P15" localSheetId="17">#REF!</definedName>
    <definedName name="A4P15" localSheetId="19">#REF!</definedName>
    <definedName name="A4P15">#REF!</definedName>
    <definedName name="A4P16" localSheetId="2">#REF!</definedName>
    <definedName name="A4P16" localSheetId="16">#REF!</definedName>
    <definedName name="A4P16" localSheetId="17">#REF!</definedName>
    <definedName name="A4P16" localSheetId="19">#REF!</definedName>
    <definedName name="A4P16">#REF!</definedName>
    <definedName name="A4P17" localSheetId="2">#REF!</definedName>
    <definedName name="A4P17" localSheetId="16">#REF!</definedName>
    <definedName name="A4P17" localSheetId="17">#REF!</definedName>
    <definedName name="A4P17" localSheetId="19">#REF!</definedName>
    <definedName name="A4P17">#REF!</definedName>
    <definedName name="A4P18" localSheetId="2">#REF!</definedName>
    <definedName name="A4P18" localSheetId="16">#REF!</definedName>
    <definedName name="A4P18" localSheetId="17">#REF!</definedName>
    <definedName name="A4P18" localSheetId="19">#REF!</definedName>
    <definedName name="A4P18">#REF!</definedName>
    <definedName name="A4P19" localSheetId="2">#REF!</definedName>
    <definedName name="A4P19" localSheetId="16">#REF!</definedName>
    <definedName name="A4P19" localSheetId="17">#REF!</definedName>
    <definedName name="A4P19" localSheetId="19">#REF!</definedName>
    <definedName name="A4P19">#REF!</definedName>
    <definedName name="A4P2" localSheetId="2">#REF!</definedName>
    <definedName name="A4P2" localSheetId="16">#REF!</definedName>
    <definedName name="A4P2" localSheetId="17">#REF!</definedName>
    <definedName name="A4P2" localSheetId="19">#REF!</definedName>
    <definedName name="A4P2">#REF!</definedName>
    <definedName name="A4P20" localSheetId="2">#REF!</definedName>
    <definedName name="A4P20" localSheetId="16">#REF!</definedName>
    <definedName name="A4P20" localSheetId="17">#REF!</definedName>
    <definedName name="A4P20" localSheetId="19">#REF!</definedName>
    <definedName name="A4P20">#REF!</definedName>
    <definedName name="A4P21" localSheetId="2">#REF!</definedName>
    <definedName name="A4P21" localSheetId="16">#REF!</definedName>
    <definedName name="A4P21" localSheetId="17">#REF!</definedName>
    <definedName name="A4P21" localSheetId="19">#REF!</definedName>
    <definedName name="A4P21">#REF!</definedName>
    <definedName name="A4P22" localSheetId="2">#REF!</definedName>
    <definedName name="A4P22" localSheetId="16">#REF!</definedName>
    <definedName name="A4P22" localSheetId="17">#REF!</definedName>
    <definedName name="A4P22" localSheetId="19">#REF!</definedName>
    <definedName name="A4P22">#REF!</definedName>
    <definedName name="A4P23" localSheetId="2">#REF!</definedName>
    <definedName name="A4P23" localSheetId="16">#REF!</definedName>
    <definedName name="A4P23" localSheetId="17">#REF!</definedName>
    <definedName name="A4P23" localSheetId="19">#REF!</definedName>
    <definedName name="A4P23">#REF!</definedName>
    <definedName name="A4P24" localSheetId="2">#REF!</definedName>
    <definedName name="A4P24" localSheetId="16">#REF!</definedName>
    <definedName name="A4P24" localSheetId="17">#REF!</definedName>
    <definedName name="A4P24" localSheetId="19">#REF!</definedName>
    <definedName name="A4P24">#REF!</definedName>
    <definedName name="A4P3" localSheetId="2">#REF!</definedName>
    <definedName name="A4P3" localSheetId="16">#REF!</definedName>
    <definedName name="A4P3" localSheetId="17">#REF!</definedName>
    <definedName name="A4P3" localSheetId="19">#REF!</definedName>
    <definedName name="A4P3">#REF!</definedName>
    <definedName name="A4P4" localSheetId="2">#REF!</definedName>
    <definedName name="A4P4" localSheetId="16">#REF!</definedName>
    <definedName name="A4P4" localSheetId="17">#REF!</definedName>
    <definedName name="A4P4" localSheetId="19">#REF!</definedName>
    <definedName name="A4P4">#REF!</definedName>
    <definedName name="A4P5" localSheetId="2">#REF!</definedName>
    <definedName name="A4P5" localSheetId="16">#REF!</definedName>
    <definedName name="A4P5" localSheetId="17">#REF!</definedName>
    <definedName name="A4P5" localSheetId="19">#REF!</definedName>
    <definedName name="A4P5">#REF!</definedName>
    <definedName name="A4P6" localSheetId="2">#REF!</definedName>
    <definedName name="A4P6" localSheetId="16">#REF!</definedName>
    <definedName name="A4P6" localSheetId="17">#REF!</definedName>
    <definedName name="A4P6" localSheetId="19">#REF!</definedName>
    <definedName name="A4P6">#REF!</definedName>
    <definedName name="A4P7" localSheetId="2">#REF!</definedName>
    <definedName name="A4P7" localSheetId="16">#REF!</definedName>
    <definedName name="A4P7" localSheetId="17">#REF!</definedName>
    <definedName name="A4P7" localSheetId="19">#REF!</definedName>
    <definedName name="A4P7">#REF!</definedName>
    <definedName name="A4P8" localSheetId="2">#REF!</definedName>
    <definedName name="A4P8" localSheetId="16">#REF!</definedName>
    <definedName name="A4P8" localSheetId="17">#REF!</definedName>
    <definedName name="A4P8" localSheetId="19">#REF!</definedName>
    <definedName name="A4P8">#REF!</definedName>
    <definedName name="A4P9" localSheetId="2">#REF!</definedName>
    <definedName name="A4P9" localSheetId="16">#REF!</definedName>
    <definedName name="A4P9" localSheetId="17">#REF!</definedName>
    <definedName name="A4P9" localSheetId="19">#REF!</definedName>
    <definedName name="A4P9">#REF!</definedName>
    <definedName name="A4R1" localSheetId="2">#REF!</definedName>
    <definedName name="A4R1" localSheetId="16">#REF!</definedName>
    <definedName name="A4R1" localSheetId="17">#REF!</definedName>
    <definedName name="A4R1" localSheetId="19">#REF!</definedName>
    <definedName name="A4R1">#REF!</definedName>
    <definedName name="A4R10" localSheetId="2">#REF!</definedName>
    <definedName name="A4R10" localSheetId="16">#REF!</definedName>
    <definedName name="A4R10" localSheetId="17">#REF!</definedName>
    <definedName name="A4R10" localSheetId="19">#REF!</definedName>
    <definedName name="A4R10">#REF!</definedName>
    <definedName name="A4R11" localSheetId="2">#REF!</definedName>
    <definedName name="A4R11" localSheetId="16">#REF!</definedName>
    <definedName name="A4R11" localSheetId="17">#REF!</definedName>
    <definedName name="A4R11" localSheetId="19">#REF!</definedName>
    <definedName name="A4R11">#REF!</definedName>
    <definedName name="A4R12" localSheetId="2">#REF!</definedName>
    <definedName name="A4R12" localSheetId="16">#REF!</definedName>
    <definedName name="A4R12" localSheetId="17">#REF!</definedName>
    <definedName name="A4R12" localSheetId="19">#REF!</definedName>
    <definedName name="A4R12">#REF!</definedName>
    <definedName name="A4R13" localSheetId="2">#REF!</definedName>
    <definedName name="A4R13" localSheetId="16">#REF!</definedName>
    <definedName name="A4R13" localSheetId="17">#REF!</definedName>
    <definedName name="A4R13" localSheetId="19">#REF!</definedName>
    <definedName name="A4R13">#REF!</definedName>
    <definedName name="A4R14" localSheetId="2">#REF!</definedName>
    <definedName name="A4R14" localSheetId="16">#REF!</definedName>
    <definedName name="A4R14" localSheetId="17">#REF!</definedName>
    <definedName name="A4R14" localSheetId="19">#REF!</definedName>
    <definedName name="A4R14">#REF!</definedName>
    <definedName name="A4R15" localSheetId="2">#REF!</definedName>
    <definedName name="A4R15" localSheetId="16">#REF!</definedName>
    <definedName name="A4R15" localSheetId="17">#REF!</definedName>
    <definedName name="A4R15" localSheetId="19">#REF!</definedName>
    <definedName name="A4R15">#REF!</definedName>
    <definedName name="A4R16" localSheetId="2">#REF!</definedName>
    <definedName name="A4R16" localSheetId="16">#REF!</definedName>
    <definedName name="A4R16" localSheetId="17">#REF!</definedName>
    <definedName name="A4R16" localSheetId="19">#REF!</definedName>
    <definedName name="A4R16">#REF!</definedName>
    <definedName name="A4R17" localSheetId="2">#REF!</definedName>
    <definedName name="A4R17" localSheetId="16">#REF!</definedName>
    <definedName name="A4R17" localSheetId="17">#REF!</definedName>
    <definedName name="A4R17" localSheetId="19">#REF!</definedName>
    <definedName name="A4R17">#REF!</definedName>
    <definedName name="A4R18" localSheetId="2">#REF!</definedName>
    <definedName name="A4R18" localSheetId="16">#REF!</definedName>
    <definedName name="A4R18" localSheetId="17">#REF!</definedName>
    <definedName name="A4R18" localSheetId="19">#REF!</definedName>
    <definedName name="A4R18">#REF!</definedName>
    <definedName name="A4R19" localSheetId="2">#REF!</definedName>
    <definedName name="A4R19" localSheetId="16">#REF!</definedName>
    <definedName name="A4R19" localSheetId="17">#REF!</definedName>
    <definedName name="A4R19" localSheetId="19">#REF!</definedName>
    <definedName name="A4R19">#REF!</definedName>
    <definedName name="A4R2" localSheetId="2">#REF!</definedName>
    <definedName name="A4R2" localSheetId="16">#REF!</definedName>
    <definedName name="A4R2" localSheetId="17">#REF!</definedName>
    <definedName name="A4R2" localSheetId="19">#REF!</definedName>
    <definedName name="A4R2">#REF!</definedName>
    <definedName name="A4R20" localSheetId="2">#REF!</definedName>
    <definedName name="A4R20" localSheetId="16">#REF!</definedName>
    <definedName name="A4R20" localSheetId="17">#REF!</definedName>
    <definedName name="A4R20" localSheetId="19">#REF!</definedName>
    <definedName name="A4R20">#REF!</definedName>
    <definedName name="A4R21" localSheetId="2">#REF!</definedName>
    <definedName name="A4R21" localSheetId="16">#REF!</definedName>
    <definedName name="A4R21" localSheetId="17">#REF!</definedName>
    <definedName name="A4R21" localSheetId="19">#REF!</definedName>
    <definedName name="A4R21">#REF!</definedName>
    <definedName name="A4R22" localSheetId="2">#REF!</definedName>
    <definedName name="A4R22" localSheetId="16">#REF!</definedName>
    <definedName name="A4R22" localSheetId="17">#REF!</definedName>
    <definedName name="A4R22" localSheetId="19">#REF!</definedName>
    <definedName name="A4R22">#REF!</definedName>
    <definedName name="A4R23" localSheetId="2">#REF!</definedName>
    <definedName name="A4R23" localSheetId="16">#REF!</definedName>
    <definedName name="A4R23" localSheetId="17">#REF!</definedName>
    <definedName name="A4R23" localSheetId="19">#REF!</definedName>
    <definedName name="A4R23">#REF!</definedName>
    <definedName name="A4R24" localSheetId="2">#REF!</definedName>
    <definedName name="A4R24" localSheetId="16">#REF!</definedName>
    <definedName name="A4R24" localSheetId="17">#REF!</definedName>
    <definedName name="A4R24" localSheetId="19">#REF!</definedName>
    <definedName name="A4R24">#REF!</definedName>
    <definedName name="A4R3" localSheetId="2">#REF!</definedName>
    <definedName name="A4R3" localSheetId="16">#REF!</definedName>
    <definedName name="A4R3" localSheetId="17">#REF!</definedName>
    <definedName name="A4R3" localSheetId="19">#REF!</definedName>
    <definedName name="A4R3">#REF!</definedName>
    <definedName name="A4R4" localSheetId="2">#REF!</definedName>
    <definedName name="A4R4" localSheetId="16">#REF!</definedName>
    <definedName name="A4R4" localSheetId="17">#REF!</definedName>
    <definedName name="A4R4" localSheetId="19">#REF!</definedName>
    <definedName name="A4R4">#REF!</definedName>
    <definedName name="A4R5" localSheetId="2">#REF!</definedName>
    <definedName name="A4R5" localSheetId="16">#REF!</definedName>
    <definedName name="A4R5" localSheetId="17">#REF!</definedName>
    <definedName name="A4R5" localSheetId="19">#REF!</definedName>
    <definedName name="A4R5">#REF!</definedName>
    <definedName name="A4R6" localSheetId="2">#REF!</definedName>
    <definedName name="A4R6" localSheetId="16">#REF!</definedName>
    <definedName name="A4R6" localSheetId="17">#REF!</definedName>
    <definedName name="A4R6" localSheetId="19">#REF!</definedName>
    <definedName name="A4R6">#REF!</definedName>
    <definedName name="A4R7" localSheetId="2">#REF!</definedName>
    <definedName name="A4R7" localSheetId="16">#REF!</definedName>
    <definedName name="A4R7" localSheetId="17">#REF!</definedName>
    <definedName name="A4R7" localSheetId="19">#REF!</definedName>
    <definedName name="A4R7">#REF!</definedName>
    <definedName name="A4R8" localSheetId="2">#REF!</definedName>
    <definedName name="A4R8" localSheetId="16">#REF!</definedName>
    <definedName name="A4R8" localSheetId="17">#REF!</definedName>
    <definedName name="A4R8" localSheetId="19">#REF!</definedName>
    <definedName name="A4R8">#REF!</definedName>
    <definedName name="A4R9" localSheetId="2">#REF!</definedName>
    <definedName name="A4R9" localSheetId="16">#REF!</definedName>
    <definedName name="A4R9" localSheetId="17">#REF!</definedName>
    <definedName name="A4R9" localSheetId="19">#REF!</definedName>
    <definedName name="A4R9">#REF!</definedName>
    <definedName name="A5P1" localSheetId="2">#REF!</definedName>
    <definedName name="A5P1" localSheetId="16">#REF!</definedName>
    <definedName name="A5P1" localSheetId="17">#REF!</definedName>
    <definedName name="A5P1" localSheetId="19">#REF!</definedName>
    <definedName name="A5P1">#REF!</definedName>
    <definedName name="A5P10" localSheetId="2">#REF!</definedName>
    <definedName name="A5P10" localSheetId="16">#REF!</definedName>
    <definedName name="A5P10" localSheetId="17">#REF!</definedName>
    <definedName name="A5P10" localSheetId="19">#REF!</definedName>
    <definedName name="A5P10">#REF!</definedName>
    <definedName name="A5P11" localSheetId="2">#REF!</definedName>
    <definedName name="A5P11" localSheetId="16">#REF!</definedName>
    <definedName name="A5P11" localSheetId="17">#REF!</definedName>
    <definedName name="A5P11" localSheetId="19">#REF!</definedName>
    <definedName name="A5P11">#REF!</definedName>
    <definedName name="A5P12" localSheetId="2">#REF!</definedName>
    <definedName name="A5P12" localSheetId="16">#REF!</definedName>
    <definedName name="A5P12" localSheetId="17">#REF!</definedName>
    <definedName name="A5P12" localSheetId="19">#REF!</definedName>
    <definedName name="A5P12">#REF!</definedName>
    <definedName name="A5P13" localSheetId="2">#REF!</definedName>
    <definedName name="A5P13" localSheetId="16">#REF!</definedName>
    <definedName name="A5P13" localSheetId="17">#REF!</definedName>
    <definedName name="A5P13" localSheetId="19">#REF!</definedName>
    <definedName name="A5P13">#REF!</definedName>
    <definedName name="A5P14" localSheetId="2">#REF!</definedName>
    <definedName name="A5P14" localSheetId="16">#REF!</definedName>
    <definedName name="A5P14" localSheetId="17">#REF!</definedName>
    <definedName name="A5P14" localSheetId="19">#REF!</definedName>
    <definedName name="A5P14">#REF!</definedName>
    <definedName name="A5P15" localSheetId="2">#REF!</definedName>
    <definedName name="A5P15" localSheetId="16">#REF!</definedName>
    <definedName name="A5P15" localSheetId="17">#REF!</definedName>
    <definedName name="A5P15" localSheetId="19">#REF!</definedName>
    <definedName name="A5P15">#REF!</definedName>
    <definedName name="A5P16" localSheetId="2">#REF!</definedName>
    <definedName name="A5P16" localSheetId="16">#REF!</definedName>
    <definedName name="A5P16" localSheetId="17">#REF!</definedName>
    <definedName name="A5P16" localSheetId="19">#REF!</definedName>
    <definedName name="A5P16">#REF!</definedName>
    <definedName name="A5P17" localSheetId="2">#REF!</definedName>
    <definedName name="A5P17" localSheetId="16">#REF!</definedName>
    <definedName name="A5P17" localSheetId="17">#REF!</definedName>
    <definedName name="A5P17" localSheetId="19">#REF!</definedName>
    <definedName name="A5P17">#REF!</definedName>
    <definedName name="A5P18" localSheetId="2">#REF!</definedName>
    <definedName name="A5P18" localSheetId="16">#REF!</definedName>
    <definedName name="A5P18" localSheetId="17">#REF!</definedName>
    <definedName name="A5P18" localSheetId="19">#REF!</definedName>
    <definedName name="A5P18">#REF!</definedName>
    <definedName name="A5P19" localSheetId="2">#REF!</definedName>
    <definedName name="A5P19" localSheetId="16">#REF!</definedName>
    <definedName name="A5P19" localSheetId="17">#REF!</definedName>
    <definedName name="A5P19" localSheetId="19">#REF!</definedName>
    <definedName name="A5P19">#REF!</definedName>
    <definedName name="A5P2" localSheetId="2">#REF!</definedName>
    <definedName name="A5P2" localSheetId="16">#REF!</definedName>
    <definedName name="A5P2" localSheetId="17">#REF!</definedName>
    <definedName name="A5P2" localSheetId="19">#REF!</definedName>
    <definedName name="A5P2">#REF!</definedName>
    <definedName name="A5P20" localSheetId="2">#REF!</definedName>
    <definedName name="A5P20" localSheetId="16">#REF!</definedName>
    <definedName name="A5P20" localSheetId="17">#REF!</definedName>
    <definedName name="A5P20" localSheetId="19">#REF!</definedName>
    <definedName name="A5P20">#REF!</definedName>
    <definedName name="A5P21" localSheetId="2">#REF!</definedName>
    <definedName name="A5P21" localSheetId="16">#REF!</definedName>
    <definedName name="A5P21" localSheetId="17">#REF!</definedName>
    <definedName name="A5P21" localSheetId="19">#REF!</definedName>
    <definedName name="A5P21">#REF!</definedName>
    <definedName name="A5P22" localSheetId="2">#REF!</definedName>
    <definedName name="A5P22" localSheetId="16">#REF!</definedName>
    <definedName name="A5P22" localSheetId="17">#REF!</definedName>
    <definedName name="A5P22" localSheetId="19">#REF!</definedName>
    <definedName name="A5P22">#REF!</definedName>
    <definedName name="A5P23" localSheetId="2">#REF!</definedName>
    <definedName name="A5P23" localSheetId="16">#REF!</definedName>
    <definedName name="A5P23" localSheetId="17">#REF!</definedName>
    <definedName name="A5P23" localSheetId="19">#REF!</definedName>
    <definedName name="A5P23">#REF!</definedName>
    <definedName name="A5P24" localSheetId="2">#REF!</definedName>
    <definedName name="A5P24" localSheetId="16">#REF!</definedName>
    <definedName name="A5P24" localSheetId="17">#REF!</definedName>
    <definedName name="A5P24" localSheetId="19">#REF!</definedName>
    <definedName name="A5P24">#REF!</definedName>
    <definedName name="A5P3" localSheetId="2">#REF!</definedName>
    <definedName name="A5P3" localSheetId="16">#REF!</definedName>
    <definedName name="A5P3" localSheetId="17">#REF!</definedName>
    <definedName name="A5P3" localSheetId="19">#REF!</definedName>
    <definedName name="A5P3">#REF!</definedName>
    <definedName name="A5P4" localSheetId="2">#REF!</definedName>
    <definedName name="A5P4" localSheetId="16">#REF!</definedName>
    <definedName name="A5P4" localSheetId="17">#REF!</definedName>
    <definedName name="A5P4" localSheetId="19">#REF!</definedName>
    <definedName name="A5P4">#REF!</definedName>
    <definedName name="A5P5" localSheetId="2">#REF!</definedName>
    <definedName name="A5P5" localSheetId="16">#REF!</definedName>
    <definedName name="A5P5" localSheetId="17">#REF!</definedName>
    <definedName name="A5P5" localSheetId="19">#REF!</definedName>
    <definedName name="A5P5">#REF!</definedName>
    <definedName name="A5P6" localSheetId="2">#REF!</definedName>
    <definedName name="A5P6" localSheetId="16">#REF!</definedName>
    <definedName name="A5P6" localSheetId="17">#REF!</definedName>
    <definedName name="A5P6" localSheetId="19">#REF!</definedName>
    <definedName name="A5P6">#REF!</definedName>
    <definedName name="A5P7" localSheetId="2">#REF!</definedName>
    <definedName name="A5P7" localSheetId="16">#REF!</definedName>
    <definedName name="A5P7" localSheetId="17">#REF!</definedName>
    <definedName name="A5P7" localSheetId="19">#REF!</definedName>
    <definedName name="A5P7">#REF!</definedName>
    <definedName name="A5P8" localSheetId="2">#REF!</definedName>
    <definedName name="A5P8" localSheetId="16">#REF!</definedName>
    <definedName name="A5P8" localSheetId="17">#REF!</definedName>
    <definedName name="A5P8" localSheetId="19">#REF!</definedName>
    <definedName name="A5P8">#REF!</definedName>
    <definedName name="A5P9" localSheetId="2">#REF!</definedName>
    <definedName name="A5P9" localSheetId="16">#REF!</definedName>
    <definedName name="A5P9" localSheetId="17">#REF!</definedName>
    <definedName name="A5P9" localSheetId="19">#REF!</definedName>
    <definedName name="A5P9">#REF!</definedName>
    <definedName name="A5R1" localSheetId="2">#REF!</definedName>
    <definedName name="A5R1" localSheetId="16">#REF!</definedName>
    <definedName name="A5R1" localSheetId="17">#REF!</definedName>
    <definedName name="A5R1" localSheetId="19">#REF!</definedName>
    <definedName name="A5R1">#REF!</definedName>
    <definedName name="A5R10" localSheetId="2">#REF!</definedName>
    <definedName name="A5R10" localSheetId="16">#REF!</definedName>
    <definedName name="A5R10" localSheetId="17">#REF!</definedName>
    <definedName name="A5R10" localSheetId="19">#REF!</definedName>
    <definedName name="A5R10">#REF!</definedName>
    <definedName name="A5R11" localSheetId="2">#REF!</definedName>
    <definedName name="A5R11" localSheetId="16">#REF!</definedName>
    <definedName name="A5R11" localSheetId="17">#REF!</definedName>
    <definedName name="A5R11" localSheetId="19">#REF!</definedName>
    <definedName name="A5R11">#REF!</definedName>
    <definedName name="A5R12" localSheetId="2">#REF!</definedName>
    <definedName name="A5R12" localSheetId="16">#REF!</definedName>
    <definedName name="A5R12" localSheetId="17">#REF!</definedName>
    <definedName name="A5R12" localSheetId="19">#REF!</definedName>
    <definedName name="A5R12">#REF!</definedName>
    <definedName name="A5R13" localSheetId="2">#REF!</definedName>
    <definedName name="A5R13" localSheetId="16">#REF!</definedName>
    <definedName name="A5R13" localSheetId="17">#REF!</definedName>
    <definedName name="A5R13" localSheetId="19">#REF!</definedName>
    <definedName name="A5R13">#REF!</definedName>
    <definedName name="A5R14" localSheetId="2">#REF!</definedName>
    <definedName name="A5R14" localSheetId="16">#REF!</definedName>
    <definedName name="A5R14" localSheetId="17">#REF!</definedName>
    <definedName name="A5R14" localSheetId="19">#REF!</definedName>
    <definedName name="A5R14">#REF!</definedName>
    <definedName name="A5R15" localSheetId="2">#REF!</definedName>
    <definedName name="A5R15" localSheetId="16">#REF!</definedName>
    <definedName name="A5R15" localSheetId="17">#REF!</definedName>
    <definedName name="A5R15" localSheetId="19">#REF!</definedName>
    <definedName name="A5R15">#REF!</definedName>
    <definedName name="A5R16" localSheetId="2">#REF!</definedName>
    <definedName name="A5R16" localSheetId="16">#REF!</definedName>
    <definedName name="A5R16" localSheetId="17">#REF!</definedName>
    <definedName name="A5R16" localSheetId="19">#REF!</definedName>
    <definedName name="A5R16">#REF!</definedName>
    <definedName name="A5R17" localSheetId="2">#REF!</definedName>
    <definedName name="A5R17" localSheetId="16">#REF!</definedName>
    <definedName name="A5R17" localSheetId="17">#REF!</definedName>
    <definedName name="A5R17" localSheetId="19">#REF!</definedName>
    <definedName name="A5R17">#REF!</definedName>
    <definedName name="A5R18" localSheetId="2">#REF!</definedName>
    <definedName name="A5R18" localSheetId="16">#REF!</definedName>
    <definedName name="A5R18" localSheetId="17">#REF!</definedName>
    <definedName name="A5R18" localSheetId="19">#REF!</definedName>
    <definedName name="A5R18">#REF!</definedName>
    <definedName name="A5R19" localSheetId="2">#REF!</definedName>
    <definedName name="A5R19" localSheetId="16">#REF!</definedName>
    <definedName name="A5R19" localSheetId="17">#REF!</definedName>
    <definedName name="A5R19" localSheetId="19">#REF!</definedName>
    <definedName name="A5R19">#REF!</definedName>
    <definedName name="A5R2" localSheetId="2">#REF!</definedName>
    <definedName name="A5R2" localSheetId="16">#REF!</definedName>
    <definedName name="A5R2" localSheetId="17">#REF!</definedName>
    <definedName name="A5R2" localSheetId="19">#REF!</definedName>
    <definedName name="A5R2">#REF!</definedName>
    <definedName name="A5R20" localSheetId="2">#REF!</definedName>
    <definedName name="A5R20" localSheetId="16">#REF!</definedName>
    <definedName name="A5R20" localSheetId="17">#REF!</definedName>
    <definedName name="A5R20" localSheetId="19">#REF!</definedName>
    <definedName name="A5R20">#REF!</definedName>
    <definedName name="A5R21" localSheetId="2">#REF!</definedName>
    <definedName name="A5R21" localSheetId="16">#REF!</definedName>
    <definedName name="A5R21" localSheetId="17">#REF!</definedName>
    <definedName name="A5R21" localSheetId="19">#REF!</definedName>
    <definedName name="A5R21">#REF!</definedName>
    <definedName name="A5R22" localSheetId="2">#REF!</definedName>
    <definedName name="A5R22" localSheetId="16">#REF!</definedName>
    <definedName name="A5R22" localSheetId="17">#REF!</definedName>
    <definedName name="A5R22" localSheetId="19">#REF!</definedName>
    <definedName name="A5R22">#REF!</definedName>
    <definedName name="A5R23" localSheetId="2">#REF!</definedName>
    <definedName name="A5R23" localSheetId="16">#REF!</definedName>
    <definedName name="A5R23" localSheetId="17">#REF!</definedName>
    <definedName name="A5R23" localSheetId="19">#REF!</definedName>
    <definedName name="A5R23">#REF!</definedName>
    <definedName name="A5R24" localSheetId="2">#REF!</definedName>
    <definedName name="A5R24" localSheetId="16">#REF!</definedName>
    <definedName name="A5R24" localSheetId="17">#REF!</definedName>
    <definedName name="A5R24" localSheetId="19">#REF!</definedName>
    <definedName name="A5R24">#REF!</definedName>
    <definedName name="A5R3" localSheetId="2">#REF!</definedName>
    <definedName name="A5R3" localSheetId="16">#REF!</definedName>
    <definedName name="A5R3" localSheetId="17">#REF!</definedName>
    <definedName name="A5R3" localSheetId="19">#REF!</definedName>
    <definedName name="A5R3">#REF!</definedName>
    <definedName name="A5R4" localSheetId="2">#REF!</definedName>
    <definedName name="A5R4" localSheetId="16">#REF!</definedName>
    <definedName name="A5R4" localSheetId="17">#REF!</definedName>
    <definedName name="A5R4" localSheetId="19">#REF!</definedName>
    <definedName name="A5R4">#REF!</definedName>
    <definedName name="A5R5" localSheetId="2">#REF!</definedName>
    <definedName name="A5R5" localSheetId="16">#REF!</definedName>
    <definedName name="A5R5" localSheetId="17">#REF!</definedName>
    <definedName name="A5R5" localSheetId="19">#REF!</definedName>
    <definedName name="A5R5">#REF!</definedName>
    <definedName name="A5R6" localSheetId="2">#REF!</definedName>
    <definedName name="A5R6" localSheetId="16">#REF!</definedName>
    <definedName name="A5R6" localSheetId="17">#REF!</definedName>
    <definedName name="A5R6" localSheetId="19">#REF!</definedName>
    <definedName name="A5R6">#REF!</definedName>
    <definedName name="A5R7" localSheetId="2">#REF!</definedName>
    <definedName name="A5R7" localSheetId="16">#REF!</definedName>
    <definedName name="A5R7" localSheetId="17">#REF!</definedName>
    <definedName name="A5R7" localSheetId="19">#REF!</definedName>
    <definedName name="A5R7">#REF!</definedName>
    <definedName name="A5R8" localSheetId="2">#REF!</definedName>
    <definedName name="A5R8" localSheetId="16">#REF!</definedName>
    <definedName name="A5R8" localSheetId="17">#REF!</definedName>
    <definedName name="A5R8" localSheetId="19">#REF!</definedName>
    <definedName name="A5R8">#REF!</definedName>
    <definedName name="A5R9" localSheetId="2">#REF!</definedName>
    <definedName name="A5R9" localSheetId="16">#REF!</definedName>
    <definedName name="A5R9" localSheetId="17">#REF!</definedName>
    <definedName name="A5R9" localSheetId="19">#REF!</definedName>
    <definedName name="A5R9">#REF!</definedName>
    <definedName name="add_1" localSheetId="2">#REF!</definedName>
    <definedName name="add_1" localSheetId="16">#REF!</definedName>
    <definedName name="add_1" localSheetId="17">#REF!</definedName>
    <definedName name="add_1" localSheetId="19">#REF!</definedName>
    <definedName name="add_1">#REF!</definedName>
    <definedName name="add_2" localSheetId="2">#REF!</definedName>
    <definedName name="add_2" localSheetId="16">#REF!</definedName>
    <definedName name="add_2" localSheetId="17">#REF!</definedName>
    <definedName name="add_2" localSheetId="19">#REF!</definedName>
    <definedName name="add_2">#REF!</definedName>
    <definedName name="add_3" localSheetId="2">#REF!</definedName>
    <definedName name="add_3" localSheetId="16">#REF!</definedName>
    <definedName name="add_3" localSheetId="17">#REF!</definedName>
    <definedName name="add_3" localSheetId="19">#REF!</definedName>
    <definedName name="add_3">#REF!</definedName>
    <definedName name="add_4" localSheetId="2">#REF!</definedName>
    <definedName name="add_4" localSheetId="16">#REF!</definedName>
    <definedName name="add_4" localSheetId="17">#REF!</definedName>
    <definedName name="add_4" localSheetId="19">#REF!</definedName>
    <definedName name="add_4">#REF!</definedName>
    <definedName name="add_5" localSheetId="2">#REF!</definedName>
    <definedName name="add_5" localSheetId="16">#REF!</definedName>
    <definedName name="add_5" localSheetId="17">#REF!</definedName>
    <definedName name="add_5" localSheetId="19">#REF!</definedName>
    <definedName name="add_5">#REF!</definedName>
    <definedName name="add_total" localSheetId="2">#REF!</definedName>
    <definedName name="add_total" localSheetId="16">#REF!</definedName>
    <definedName name="add_total" localSheetId="17">#REF!</definedName>
    <definedName name="add_total" localSheetId="19">#REF!</definedName>
    <definedName name="add_total">#REF!</definedName>
    <definedName name="_xlnm.Print_Area" localSheetId="2">BDI!$A$1:$I$67</definedName>
    <definedName name="_xlnm.Print_Area" localSheetId="12">'COMPOSIÇÕES COMPLEMENTARES '!$B$1:$L$2240</definedName>
    <definedName name="_xlnm.Print_Area" localSheetId="13">COTAÇÕES!$B$1:$I$187</definedName>
    <definedName name="_xlnm.Print_Area" localSheetId="11">CRONOGRAMA!$A$2:$AC$54</definedName>
    <definedName name="_xlnm.Print_Area" localSheetId="9">'CURVA ABC'!$C$1:$O$816</definedName>
    <definedName name="_xlnm.Print_Area" localSheetId="16">DECLARAÇÃO!$A$1:$H$43</definedName>
    <definedName name="_xlnm.Print_Area" localSheetId="18">'ENCARGOS SOCIAIS'!$A$1:$H$50</definedName>
    <definedName name="_xlnm.Print_Area" localSheetId="1">'FOLHA FECHAMENTO'!$A$1:$M$60</definedName>
    <definedName name="_xlnm.Print_Area" localSheetId="6">PLANILHA_SINTÉTICA!$E$1:$P$1020</definedName>
    <definedName name="_xlnm.Print_Area" localSheetId="3">RESUMO!$B$1:$J$60</definedName>
    <definedName name="AUDITORIO" localSheetId="2">#REF!</definedName>
    <definedName name="AUDITORIO" localSheetId="13">#REF!</definedName>
    <definedName name="AUDITORIO" localSheetId="16">#REF!</definedName>
    <definedName name="AUDITORIO" localSheetId="17">#REF!</definedName>
    <definedName name="AUDITORIO" localSheetId="19">#REF!</definedName>
    <definedName name="AUDITORIO">#REF!</definedName>
    <definedName name="BBB">#REF!</definedName>
    <definedName name="BD" localSheetId="2">#REF!</definedName>
    <definedName name="BD" localSheetId="16">#REF!</definedName>
    <definedName name="BD" localSheetId="17">#REF!</definedName>
    <definedName name="BD" localSheetId="19">#REF!</definedName>
    <definedName name="BD">#REF!</definedName>
    <definedName name="BDI" localSheetId="2">#REF!</definedName>
    <definedName name="BDI" localSheetId="16">#REF!</definedName>
    <definedName name="BDI" localSheetId="17">#REF!</definedName>
    <definedName name="BDI" localSheetId="19">#REF!</definedName>
    <definedName name="BDI">#REF!</definedName>
    <definedName name="BDI_LIC" localSheetId="2">#REF!</definedName>
    <definedName name="BDI_LIC" localSheetId="16">#REF!</definedName>
    <definedName name="BDI_LIC" localSheetId="17">#REF!</definedName>
    <definedName name="BDI_LIC" localSheetId="19">#REF!</definedName>
    <definedName name="BDI_LIC">#REF!</definedName>
    <definedName name="cfs" localSheetId="2">#REF!</definedName>
    <definedName name="cfs" localSheetId="13">#REF!</definedName>
    <definedName name="cfs" localSheetId="16">#REF!</definedName>
    <definedName name="cfs" localSheetId="17">#REF!</definedName>
    <definedName name="cfs" localSheetId="19">#REF!</definedName>
    <definedName name="cfs">#REF!</definedName>
    <definedName name="crono" localSheetId="2">#REF!</definedName>
    <definedName name="crono" localSheetId="13">#REF!</definedName>
    <definedName name="crono" localSheetId="16">#REF!</definedName>
    <definedName name="crono" localSheetId="17">#REF!</definedName>
    <definedName name="crono" localSheetId="19">#REF!</definedName>
    <definedName name="crono">#REF!</definedName>
    <definedName name="CRONO_ADD" localSheetId="2">#REF!</definedName>
    <definedName name="CRONO_ADD" localSheetId="16">#REF!</definedName>
    <definedName name="CRONO_ADD" localSheetId="17">#REF!</definedName>
    <definedName name="CRONO_ADD" localSheetId="19">#REF!</definedName>
    <definedName name="CRONO_ADD">#REF!</definedName>
    <definedName name="CRONO_RES" localSheetId="2">#REF!</definedName>
    <definedName name="CRONO_RES" localSheetId="16">#REF!</definedName>
    <definedName name="CRONO_RES" localSheetId="17">#REF!</definedName>
    <definedName name="CRONO_RES" localSheetId="19">#REF!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12">#REF!</definedName>
    <definedName name="Excel_BuiltIn__FilterDatabase_6" localSheetId="9">'CURVA ABC'!$C$1:$C$816</definedName>
    <definedName name="Excel_BuiltIn__FilterDatabase_6" localSheetId="5">"#REF!"</definedName>
    <definedName name="Excel_BuiltIn__FilterDatabase_6">PLANILHA_SINTÉTICA!$E$1:$F$1018</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12">#REF!</definedName>
    <definedName name="Excel_BuiltIn_Print_Area_7">"#REF!"</definedName>
    <definedName name="Excel_BuiltIn_Print_Area_7_1" localSheetId="12">#REF!</definedName>
    <definedName name="Excel_BuiltIn_Print_Area_7_1">"#REF!"</definedName>
    <definedName name="Excel_BuiltIn_Print_Area_7_1_1" localSheetId="12">#REF!</definedName>
    <definedName name="Excel_BuiltIn_Print_Area_7_1_1">"#REF!"</definedName>
    <definedName name="Excel_BuiltIn_Print_Area_7_1_1_1" localSheetId="12">#REF!</definedName>
    <definedName name="Excel_BuiltIn_Print_Area_7_1_1_1">"#REF!"</definedName>
    <definedName name="Excel_BuiltIn_Print_Area_7_1_1_1_1" localSheetId="12">#REF!</definedName>
    <definedName name="Excel_BuiltIn_Print_Area_7_1_1_1_1">"#REF!"</definedName>
    <definedName name="Excel_BuiltIn_Print_Area_7_1_1_1_1_1" localSheetId="12">#REF!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k">"$#REF!.$A$1:$B$2408"</definedName>
    <definedName name="MINUS" localSheetId="2">#REF!</definedName>
    <definedName name="MINUS" localSheetId="16">#REF!</definedName>
    <definedName name="MINUS" localSheetId="17">#REF!</definedName>
    <definedName name="MINUS" localSheetId="19">#REF!</definedName>
    <definedName name="MINUS">#REF!</definedName>
    <definedName name="OBRA">'FOLHA FECHAMENTO'!$O$9:$O$13</definedName>
    <definedName name="Plan1">"$#REF!.$A$1:$B$2408"</definedName>
    <definedName name="PLUS" localSheetId="2">#REF!</definedName>
    <definedName name="PLUS" localSheetId="16">#REF!</definedName>
    <definedName name="PLUS" localSheetId="17">#REF!</definedName>
    <definedName name="PLUS" localSheetId="19">#REF!</definedName>
    <definedName name="PLUS">#REF!</definedName>
    <definedName name="po" localSheetId="2">#REF!</definedName>
    <definedName name="po" localSheetId="16">#REF!</definedName>
    <definedName name="po" localSheetId="17">#REF!</definedName>
    <definedName name="po" localSheetId="19">#REF!</definedName>
    <definedName name="po">#REF!</definedName>
    <definedName name="rere" localSheetId="2">#REF!</definedName>
    <definedName name="rere" localSheetId="13">#REF!</definedName>
    <definedName name="rere" localSheetId="16">#REF!</definedName>
    <definedName name="rere" localSheetId="17">#REF!</definedName>
    <definedName name="rere" localSheetId="19">#REF!</definedName>
    <definedName name="rere">#REF!</definedName>
    <definedName name="rt" localSheetId="2">#REF!</definedName>
    <definedName name="rt" localSheetId="13">#REF!</definedName>
    <definedName name="rt" localSheetId="16">#REF!</definedName>
    <definedName name="rt" localSheetId="17">#REF!</definedName>
    <definedName name="rt" localSheetId="19">#REF!</definedName>
    <definedName name="rt">#REF!</definedName>
    <definedName name="S10P1" localSheetId="2">#REF!</definedName>
    <definedName name="S10P1" localSheetId="16">#REF!</definedName>
    <definedName name="S10P1" localSheetId="17">#REF!</definedName>
    <definedName name="S10P1" localSheetId="19">#REF!</definedName>
    <definedName name="S10P1">#REF!</definedName>
    <definedName name="S10P10" localSheetId="2">#REF!</definedName>
    <definedName name="S10P10" localSheetId="16">#REF!</definedName>
    <definedName name="S10P10" localSheetId="17">#REF!</definedName>
    <definedName name="S10P10" localSheetId="19">#REF!</definedName>
    <definedName name="S10P10">#REF!</definedName>
    <definedName name="S10P11" localSheetId="2">#REF!</definedName>
    <definedName name="S10P11" localSheetId="16">#REF!</definedName>
    <definedName name="S10P11" localSheetId="17">#REF!</definedName>
    <definedName name="S10P11" localSheetId="19">#REF!</definedName>
    <definedName name="S10P11">#REF!</definedName>
    <definedName name="S10P12" localSheetId="2">#REF!</definedName>
    <definedName name="S10P12" localSheetId="16">#REF!</definedName>
    <definedName name="S10P12" localSheetId="17">#REF!</definedName>
    <definedName name="S10P12" localSheetId="19">#REF!</definedName>
    <definedName name="S10P12">#REF!</definedName>
    <definedName name="S10P13" localSheetId="2">#REF!</definedName>
    <definedName name="S10P13" localSheetId="16">#REF!</definedName>
    <definedName name="S10P13" localSheetId="17">#REF!</definedName>
    <definedName name="S10P13" localSheetId="19">#REF!</definedName>
    <definedName name="S10P13">#REF!</definedName>
    <definedName name="S10P14" localSheetId="2">#REF!</definedName>
    <definedName name="S10P14" localSheetId="16">#REF!</definedName>
    <definedName name="S10P14" localSheetId="17">#REF!</definedName>
    <definedName name="S10P14" localSheetId="19">#REF!</definedName>
    <definedName name="S10P14">#REF!</definedName>
    <definedName name="S10P15" localSheetId="2">#REF!</definedName>
    <definedName name="S10P15" localSheetId="16">#REF!</definedName>
    <definedName name="S10P15" localSheetId="17">#REF!</definedName>
    <definedName name="S10P15" localSheetId="19">#REF!</definedName>
    <definedName name="S10P15">#REF!</definedName>
    <definedName name="S10P16" localSheetId="2">#REF!</definedName>
    <definedName name="S10P16" localSheetId="16">#REF!</definedName>
    <definedName name="S10P16" localSheetId="17">#REF!</definedName>
    <definedName name="S10P16" localSheetId="19">#REF!</definedName>
    <definedName name="S10P16">#REF!</definedName>
    <definedName name="S10P17" localSheetId="2">#REF!</definedName>
    <definedName name="S10P17" localSheetId="16">#REF!</definedName>
    <definedName name="S10P17" localSheetId="17">#REF!</definedName>
    <definedName name="S10P17" localSheetId="19">#REF!</definedName>
    <definedName name="S10P17">#REF!</definedName>
    <definedName name="S10P18" localSheetId="2">#REF!</definedName>
    <definedName name="S10P18" localSheetId="16">#REF!</definedName>
    <definedName name="S10P18" localSheetId="17">#REF!</definedName>
    <definedName name="S10P18" localSheetId="19">#REF!</definedName>
    <definedName name="S10P18">#REF!</definedName>
    <definedName name="S10P19" localSheetId="2">#REF!</definedName>
    <definedName name="S10P19" localSheetId="16">#REF!</definedName>
    <definedName name="S10P19" localSheetId="17">#REF!</definedName>
    <definedName name="S10P19" localSheetId="19">#REF!</definedName>
    <definedName name="S10P19">#REF!</definedName>
    <definedName name="S10P2" localSheetId="2">#REF!</definedName>
    <definedName name="S10P2" localSheetId="16">#REF!</definedName>
    <definedName name="S10P2" localSheetId="17">#REF!</definedName>
    <definedName name="S10P2" localSheetId="19">#REF!</definedName>
    <definedName name="S10P2">#REF!</definedName>
    <definedName name="S10P20" localSheetId="2">#REF!</definedName>
    <definedName name="S10P20" localSheetId="16">#REF!</definedName>
    <definedName name="S10P20" localSheetId="17">#REF!</definedName>
    <definedName name="S10P20" localSheetId="19">#REF!</definedName>
    <definedName name="S10P20">#REF!</definedName>
    <definedName name="S10P21" localSheetId="2">#REF!</definedName>
    <definedName name="S10P21" localSheetId="16">#REF!</definedName>
    <definedName name="S10P21" localSheetId="17">#REF!</definedName>
    <definedName name="S10P21" localSheetId="19">#REF!</definedName>
    <definedName name="S10P21">#REF!</definedName>
    <definedName name="S10P22" localSheetId="2">#REF!</definedName>
    <definedName name="S10P22" localSheetId="16">#REF!</definedName>
    <definedName name="S10P22" localSheetId="17">#REF!</definedName>
    <definedName name="S10P22" localSheetId="19">#REF!</definedName>
    <definedName name="S10P22">#REF!</definedName>
    <definedName name="S10P23" localSheetId="2">#REF!</definedName>
    <definedName name="S10P23" localSheetId="16">#REF!</definedName>
    <definedName name="S10P23" localSheetId="17">#REF!</definedName>
    <definedName name="S10P23" localSheetId="19">#REF!</definedName>
    <definedName name="S10P23">#REF!</definedName>
    <definedName name="S10P24" localSheetId="2">#REF!</definedName>
    <definedName name="S10P24" localSheetId="16">#REF!</definedName>
    <definedName name="S10P24" localSheetId="17">#REF!</definedName>
    <definedName name="S10P24" localSheetId="19">#REF!</definedName>
    <definedName name="S10P24">#REF!</definedName>
    <definedName name="S10P3" localSheetId="2">#REF!</definedName>
    <definedName name="S10P3" localSheetId="16">#REF!</definedName>
    <definedName name="S10P3" localSheetId="17">#REF!</definedName>
    <definedName name="S10P3" localSheetId="19">#REF!</definedName>
    <definedName name="S10P3">#REF!</definedName>
    <definedName name="S10P4" localSheetId="2">#REF!</definedName>
    <definedName name="S10P4" localSheetId="16">#REF!</definedName>
    <definedName name="S10P4" localSheetId="17">#REF!</definedName>
    <definedName name="S10P4" localSheetId="19">#REF!</definedName>
    <definedName name="S10P4">#REF!</definedName>
    <definedName name="S10P5" localSheetId="2">#REF!</definedName>
    <definedName name="S10P5" localSheetId="16">#REF!</definedName>
    <definedName name="S10P5" localSheetId="17">#REF!</definedName>
    <definedName name="S10P5" localSheetId="19">#REF!</definedName>
    <definedName name="S10P5">#REF!</definedName>
    <definedName name="S10P6" localSheetId="2">#REF!</definedName>
    <definedName name="S10P6" localSheetId="16">#REF!</definedName>
    <definedName name="S10P6" localSheetId="17">#REF!</definedName>
    <definedName name="S10P6" localSheetId="19">#REF!</definedName>
    <definedName name="S10P6">#REF!</definedName>
    <definedName name="S10P7" localSheetId="2">#REF!</definedName>
    <definedName name="S10P7" localSheetId="16">#REF!</definedName>
    <definedName name="S10P7" localSheetId="17">#REF!</definedName>
    <definedName name="S10P7" localSheetId="19">#REF!</definedName>
    <definedName name="S10P7">#REF!</definedName>
    <definedName name="S10P8" localSheetId="2">#REF!</definedName>
    <definedName name="S10P8" localSheetId="16">#REF!</definedName>
    <definedName name="S10P8" localSheetId="17">#REF!</definedName>
    <definedName name="S10P8" localSheetId="19">#REF!</definedName>
    <definedName name="S10P8">#REF!</definedName>
    <definedName name="S10P9" localSheetId="2">#REF!</definedName>
    <definedName name="S10P9" localSheetId="16">#REF!</definedName>
    <definedName name="S10P9" localSheetId="17">#REF!</definedName>
    <definedName name="S10P9" localSheetId="19">#REF!</definedName>
    <definedName name="S10P9">#REF!</definedName>
    <definedName name="S10R1" localSheetId="2">#REF!</definedName>
    <definedName name="S10R1" localSheetId="16">#REF!</definedName>
    <definedName name="S10R1" localSheetId="17">#REF!</definedName>
    <definedName name="S10R1" localSheetId="19">#REF!</definedName>
    <definedName name="S10R1">#REF!</definedName>
    <definedName name="S10R10" localSheetId="2">#REF!</definedName>
    <definedName name="S10R10" localSheetId="16">#REF!</definedName>
    <definedName name="S10R10" localSheetId="17">#REF!</definedName>
    <definedName name="S10R10" localSheetId="19">#REF!</definedName>
    <definedName name="S10R10">#REF!</definedName>
    <definedName name="S10R11" localSheetId="2">#REF!</definedName>
    <definedName name="S10R11" localSheetId="16">#REF!</definedName>
    <definedName name="S10R11" localSheetId="17">#REF!</definedName>
    <definedName name="S10R11" localSheetId="19">#REF!</definedName>
    <definedName name="S10R11">#REF!</definedName>
    <definedName name="S10R12" localSheetId="2">#REF!</definedName>
    <definedName name="S10R12" localSheetId="16">#REF!</definedName>
    <definedName name="S10R12" localSheetId="17">#REF!</definedName>
    <definedName name="S10R12" localSheetId="19">#REF!</definedName>
    <definedName name="S10R12">#REF!</definedName>
    <definedName name="S10R13" localSheetId="2">#REF!</definedName>
    <definedName name="S10R13" localSheetId="16">#REF!</definedName>
    <definedName name="S10R13" localSheetId="17">#REF!</definedName>
    <definedName name="S10R13" localSheetId="19">#REF!</definedName>
    <definedName name="S10R13">#REF!</definedName>
    <definedName name="S10R14" localSheetId="2">#REF!</definedName>
    <definedName name="S10R14" localSheetId="16">#REF!</definedName>
    <definedName name="S10R14" localSheetId="17">#REF!</definedName>
    <definedName name="S10R14" localSheetId="19">#REF!</definedName>
    <definedName name="S10R14">#REF!</definedName>
    <definedName name="S10R15" localSheetId="2">#REF!</definedName>
    <definedName name="S10R15" localSheetId="16">#REF!</definedName>
    <definedName name="S10R15" localSheetId="17">#REF!</definedName>
    <definedName name="S10R15" localSheetId="19">#REF!</definedName>
    <definedName name="S10R15">#REF!</definedName>
    <definedName name="S10R16" localSheetId="2">#REF!</definedName>
    <definedName name="S10R16" localSheetId="16">#REF!</definedName>
    <definedName name="S10R16" localSheetId="17">#REF!</definedName>
    <definedName name="S10R16" localSheetId="19">#REF!</definedName>
    <definedName name="S10R16">#REF!</definedName>
    <definedName name="S10R17" localSheetId="2">#REF!</definedName>
    <definedName name="S10R17" localSheetId="16">#REF!</definedName>
    <definedName name="S10R17" localSheetId="17">#REF!</definedName>
    <definedName name="S10R17" localSheetId="19">#REF!</definedName>
    <definedName name="S10R17">#REF!</definedName>
    <definedName name="S10R18" localSheetId="2">#REF!</definedName>
    <definedName name="S10R18" localSheetId="16">#REF!</definedName>
    <definedName name="S10R18" localSheetId="17">#REF!</definedName>
    <definedName name="S10R18" localSheetId="19">#REF!</definedName>
    <definedName name="S10R18">#REF!</definedName>
    <definedName name="S10R19" localSheetId="2">#REF!</definedName>
    <definedName name="S10R19" localSheetId="16">#REF!</definedName>
    <definedName name="S10R19" localSheetId="17">#REF!</definedName>
    <definedName name="S10R19" localSheetId="19">#REF!</definedName>
    <definedName name="S10R19">#REF!</definedName>
    <definedName name="S10R2" localSheetId="2">#REF!</definedName>
    <definedName name="S10R2" localSheetId="16">#REF!</definedName>
    <definedName name="S10R2" localSheetId="17">#REF!</definedName>
    <definedName name="S10R2" localSheetId="19">#REF!</definedName>
    <definedName name="S10R2">#REF!</definedName>
    <definedName name="S10R20" localSheetId="2">#REF!</definedName>
    <definedName name="S10R20" localSheetId="16">#REF!</definedName>
    <definedName name="S10R20" localSheetId="17">#REF!</definedName>
    <definedName name="S10R20" localSheetId="19">#REF!</definedName>
    <definedName name="S10R20">#REF!</definedName>
    <definedName name="S10R21" localSheetId="2">#REF!</definedName>
    <definedName name="S10R21" localSheetId="16">#REF!</definedName>
    <definedName name="S10R21" localSheetId="17">#REF!</definedName>
    <definedName name="S10R21" localSheetId="19">#REF!</definedName>
    <definedName name="S10R21">#REF!</definedName>
    <definedName name="S10R22" localSheetId="2">#REF!</definedName>
    <definedName name="S10R22" localSheetId="16">#REF!</definedName>
    <definedName name="S10R22" localSheetId="17">#REF!</definedName>
    <definedName name="S10R22" localSheetId="19">#REF!</definedName>
    <definedName name="S10R22">#REF!</definedName>
    <definedName name="S10R23" localSheetId="2">#REF!</definedName>
    <definedName name="S10R23" localSheetId="16">#REF!</definedName>
    <definedName name="S10R23" localSheetId="17">#REF!</definedName>
    <definedName name="S10R23" localSheetId="19">#REF!</definedName>
    <definedName name="S10R23">#REF!</definedName>
    <definedName name="S10R24" localSheetId="2">#REF!</definedName>
    <definedName name="S10R24" localSheetId="16">#REF!</definedName>
    <definedName name="S10R24" localSheetId="17">#REF!</definedName>
    <definedName name="S10R24" localSheetId="19">#REF!</definedName>
    <definedName name="S10R24">#REF!</definedName>
    <definedName name="S10R3" localSheetId="2">#REF!</definedName>
    <definedName name="S10R3" localSheetId="16">#REF!</definedName>
    <definedName name="S10R3" localSheetId="17">#REF!</definedName>
    <definedName name="S10R3" localSheetId="19">#REF!</definedName>
    <definedName name="S10R3">#REF!</definedName>
    <definedName name="S10R4" localSheetId="2">#REF!</definedName>
    <definedName name="S10R4" localSheetId="16">#REF!</definedName>
    <definedName name="S10R4" localSheetId="17">#REF!</definedName>
    <definedName name="S10R4" localSheetId="19">#REF!</definedName>
    <definedName name="S10R4">#REF!</definedName>
    <definedName name="S10R5" localSheetId="2">#REF!</definedName>
    <definedName name="S10R5" localSheetId="16">#REF!</definedName>
    <definedName name="S10R5" localSheetId="17">#REF!</definedName>
    <definedName name="S10R5" localSheetId="19">#REF!</definedName>
    <definedName name="S10R5">#REF!</definedName>
    <definedName name="S10R6" localSheetId="2">#REF!</definedName>
    <definedName name="S10R6" localSheetId="16">#REF!</definedName>
    <definedName name="S10R6" localSheetId="17">#REF!</definedName>
    <definedName name="S10R6" localSheetId="19">#REF!</definedName>
    <definedName name="S10R6">#REF!</definedName>
    <definedName name="S10R7" localSheetId="2">#REF!</definedName>
    <definedName name="S10R7" localSheetId="16">#REF!</definedName>
    <definedName name="S10R7" localSheetId="17">#REF!</definedName>
    <definedName name="S10R7" localSheetId="19">#REF!</definedName>
    <definedName name="S10R7">#REF!</definedName>
    <definedName name="S10R8" localSheetId="2">#REF!</definedName>
    <definedName name="S10R8" localSheetId="16">#REF!</definedName>
    <definedName name="S10R8" localSheetId="17">#REF!</definedName>
    <definedName name="S10R8" localSheetId="19">#REF!</definedName>
    <definedName name="S10R8">#REF!</definedName>
    <definedName name="S10R9" localSheetId="2">#REF!</definedName>
    <definedName name="S10R9" localSheetId="16">#REF!</definedName>
    <definedName name="S10R9" localSheetId="17">#REF!</definedName>
    <definedName name="S10R9" localSheetId="19">#REF!</definedName>
    <definedName name="S10R9">#REF!</definedName>
    <definedName name="S11P1" localSheetId="2">#REF!</definedName>
    <definedName name="S11P1" localSheetId="16">#REF!</definedName>
    <definedName name="S11P1" localSheetId="17">#REF!</definedName>
    <definedName name="S11P1" localSheetId="19">#REF!</definedName>
    <definedName name="S11P1">#REF!</definedName>
    <definedName name="S11P10" localSheetId="2">#REF!</definedName>
    <definedName name="S11P10" localSheetId="16">#REF!</definedName>
    <definedName name="S11P10" localSheetId="17">#REF!</definedName>
    <definedName name="S11P10" localSheetId="19">#REF!</definedName>
    <definedName name="S11P10">#REF!</definedName>
    <definedName name="S11P11" localSheetId="2">#REF!</definedName>
    <definedName name="S11P11" localSheetId="16">#REF!</definedName>
    <definedName name="S11P11" localSheetId="17">#REF!</definedName>
    <definedName name="S11P11" localSheetId="19">#REF!</definedName>
    <definedName name="S11P11">#REF!</definedName>
    <definedName name="S11P12" localSheetId="2">#REF!</definedName>
    <definedName name="S11P12" localSheetId="16">#REF!</definedName>
    <definedName name="S11P12" localSheetId="17">#REF!</definedName>
    <definedName name="S11P12" localSheetId="19">#REF!</definedName>
    <definedName name="S11P12">#REF!</definedName>
    <definedName name="S11P13" localSheetId="2">#REF!</definedName>
    <definedName name="S11P13" localSheetId="16">#REF!</definedName>
    <definedName name="S11P13" localSheetId="17">#REF!</definedName>
    <definedName name="S11P13" localSheetId="19">#REF!</definedName>
    <definedName name="S11P13">#REF!</definedName>
    <definedName name="S11P14" localSheetId="2">#REF!</definedName>
    <definedName name="S11P14" localSheetId="16">#REF!</definedName>
    <definedName name="S11P14" localSheetId="17">#REF!</definedName>
    <definedName name="S11P14" localSheetId="19">#REF!</definedName>
    <definedName name="S11P14">#REF!</definedName>
    <definedName name="S11P15" localSheetId="2">#REF!</definedName>
    <definedName name="S11P15" localSheetId="16">#REF!</definedName>
    <definedName name="S11P15" localSheetId="17">#REF!</definedName>
    <definedName name="S11P15" localSheetId="19">#REF!</definedName>
    <definedName name="S11P15">#REF!</definedName>
    <definedName name="S11P16" localSheetId="2">#REF!</definedName>
    <definedName name="S11P16" localSheetId="16">#REF!</definedName>
    <definedName name="S11P16" localSheetId="17">#REF!</definedName>
    <definedName name="S11P16" localSheetId="19">#REF!</definedName>
    <definedName name="S11P16">#REF!</definedName>
    <definedName name="S11P17" localSheetId="2">#REF!</definedName>
    <definedName name="S11P17" localSheetId="16">#REF!</definedName>
    <definedName name="S11P17" localSheetId="17">#REF!</definedName>
    <definedName name="S11P17" localSheetId="19">#REF!</definedName>
    <definedName name="S11P17">#REF!</definedName>
    <definedName name="S11P18" localSheetId="2">#REF!</definedName>
    <definedName name="S11P18" localSheetId="16">#REF!</definedName>
    <definedName name="S11P18" localSheetId="17">#REF!</definedName>
    <definedName name="S11P18" localSheetId="19">#REF!</definedName>
    <definedName name="S11P18">#REF!</definedName>
    <definedName name="S11P19" localSheetId="2">#REF!</definedName>
    <definedName name="S11P19" localSheetId="16">#REF!</definedName>
    <definedName name="S11P19" localSheetId="17">#REF!</definedName>
    <definedName name="S11P19" localSheetId="19">#REF!</definedName>
    <definedName name="S11P19">#REF!</definedName>
    <definedName name="S11P2" localSheetId="2">#REF!</definedName>
    <definedName name="S11P2" localSheetId="16">#REF!</definedName>
    <definedName name="S11P2" localSheetId="17">#REF!</definedName>
    <definedName name="S11P2" localSheetId="19">#REF!</definedName>
    <definedName name="S11P2">#REF!</definedName>
    <definedName name="S11P20" localSheetId="2">#REF!</definedName>
    <definedName name="S11P20" localSheetId="16">#REF!</definedName>
    <definedName name="S11P20" localSheetId="17">#REF!</definedName>
    <definedName name="S11P20" localSheetId="19">#REF!</definedName>
    <definedName name="S11P20">#REF!</definedName>
    <definedName name="S11P21" localSheetId="2">#REF!</definedName>
    <definedName name="S11P21" localSheetId="16">#REF!</definedName>
    <definedName name="S11P21" localSheetId="17">#REF!</definedName>
    <definedName name="S11P21" localSheetId="19">#REF!</definedName>
    <definedName name="S11P21">#REF!</definedName>
    <definedName name="S11P22" localSheetId="2">#REF!</definedName>
    <definedName name="S11P22" localSheetId="16">#REF!</definedName>
    <definedName name="S11P22" localSheetId="17">#REF!</definedName>
    <definedName name="S11P22" localSheetId="19">#REF!</definedName>
    <definedName name="S11P22">#REF!</definedName>
    <definedName name="S11P23" localSheetId="2">#REF!</definedName>
    <definedName name="S11P23" localSheetId="16">#REF!</definedName>
    <definedName name="S11P23" localSheetId="17">#REF!</definedName>
    <definedName name="S11P23" localSheetId="19">#REF!</definedName>
    <definedName name="S11P23">#REF!</definedName>
    <definedName name="S11P24" localSheetId="2">#REF!</definedName>
    <definedName name="S11P24" localSheetId="16">#REF!</definedName>
    <definedName name="S11P24" localSheetId="17">#REF!</definedName>
    <definedName name="S11P24" localSheetId="19">#REF!</definedName>
    <definedName name="S11P24">#REF!</definedName>
    <definedName name="S11P3" localSheetId="2">#REF!</definedName>
    <definedName name="S11P3" localSheetId="16">#REF!</definedName>
    <definedName name="S11P3" localSheetId="17">#REF!</definedName>
    <definedName name="S11P3" localSheetId="19">#REF!</definedName>
    <definedName name="S11P3">#REF!</definedName>
    <definedName name="S11P4" localSheetId="2">#REF!</definedName>
    <definedName name="S11P4" localSheetId="16">#REF!</definedName>
    <definedName name="S11P4" localSheetId="17">#REF!</definedName>
    <definedName name="S11P4" localSheetId="19">#REF!</definedName>
    <definedName name="S11P4">#REF!</definedName>
    <definedName name="S11P5" localSheetId="2">#REF!</definedName>
    <definedName name="S11P5" localSheetId="16">#REF!</definedName>
    <definedName name="S11P5" localSheetId="17">#REF!</definedName>
    <definedName name="S11P5" localSheetId="19">#REF!</definedName>
    <definedName name="S11P5">#REF!</definedName>
    <definedName name="S11P6" localSheetId="2">#REF!</definedName>
    <definedName name="S11P6" localSheetId="16">#REF!</definedName>
    <definedName name="S11P6" localSheetId="17">#REF!</definedName>
    <definedName name="S11P6" localSheetId="19">#REF!</definedName>
    <definedName name="S11P6">#REF!</definedName>
    <definedName name="S11P7" localSheetId="2">#REF!</definedName>
    <definedName name="S11P7" localSheetId="16">#REF!</definedName>
    <definedName name="S11P7" localSheetId="17">#REF!</definedName>
    <definedName name="S11P7" localSheetId="19">#REF!</definedName>
    <definedName name="S11P7">#REF!</definedName>
    <definedName name="S11P8" localSheetId="2">#REF!</definedName>
    <definedName name="S11P8" localSheetId="16">#REF!</definedName>
    <definedName name="S11P8" localSheetId="17">#REF!</definedName>
    <definedName name="S11P8" localSheetId="19">#REF!</definedName>
    <definedName name="S11P8">#REF!</definedName>
    <definedName name="S11P9" localSheetId="2">#REF!</definedName>
    <definedName name="S11P9" localSheetId="16">#REF!</definedName>
    <definedName name="S11P9" localSheetId="17">#REF!</definedName>
    <definedName name="S11P9" localSheetId="19">#REF!</definedName>
    <definedName name="S11P9">#REF!</definedName>
    <definedName name="S11R1" localSheetId="2">#REF!</definedName>
    <definedName name="S11R1" localSheetId="16">#REF!</definedName>
    <definedName name="S11R1" localSheetId="17">#REF!</definedName>
    <definedName name="S11R1" localSheetId="19">#REF!</definedName>
    <definedName name="S11R1">#REF!</definedName>
    <definedName name="S11R10" localSheetId="2">#REF!</definedName>
    <definedName name="S11R10" localSheetId="16">#REF!</definedName>
    <definedName name="S11R10" localSheetId="17">#REF!</definedName>
    <definedName name="S11R10" localSheetId="19">#REF!</definedName>
    <definedName name="S11R10">#REF!</definedName>
    <definedName name="S11R11" localSheetId="2">#REF!</definedName>
    <definedName name="S11R11" localSheetId="16">#REF!</definedName>
    <definedName name="S11R11" localSheetId="17">#REF!</definedName>
    <definedName name="S11R11" localSheetId="19">#REF!</definedName>
    <definedName name="S11R11">#REF!</definedName>
    <definedName name="S11R12" localSheetId="2">#REF!</definedName>
    <definedName name="S11R12" localSheetId="16">#REF!</definedName>
    <definedName name="S11R12" localSheetId="17">#REF!</definedName>
    <definedName name="S11R12" localSheetId="19">#REF!</definedName>
    <definedName name="S11R12">#REF!</definedName>
    <definedName name="S11R13" localSheetId="2">#REF!</definedName>
    <definedName name="S11R13" localSheetId="16">#REF!</definedName>
    <definedName name="S11R13" localSheetId="17">#REF!</definedName>
    <definedName name="S11R13" localSheetId="19">#REF!</definedName>
    <definedName name="S11R13">#REF!</definedName>
    <definedName name="S11R14" localSheetId="2">#REF!</definedName>
    <definedName name="S11R14" localSheetId="16">#REF!</definedName>
    <definedName name="S11R14" localSheetId="17">#REF!</definedName>
    <definedName name="S11R14" localSheetId="19">#REF!</definedName>
    <definedName name="S11R14">#REF!</definedName>
    <definedName name="S11R15" localSheetId="2">#REF!</definedName>
    <definedName name="S11R15" localSheetId="16">#REF!</definedName>
    <definedName name="S11R15" localSheetId="17">#REF!</definedName>
    <definedName name="S11R15" localSheetId="19">#REF!</definedName>
    <definedName name="S11R15">#REF!</definedName>
    <definedName name="S11R16" localSheetId="2">#REF!</definedName>
    <definedName name="S11R16" localSheetId="16">#REF!</definedName>
    <definedName name="S11R16" localSheetId="17">#REF!</definedName>
    <definedName name="S11R16" localSheetId="19">#REF!</definedName>
    <definedName name="S11R16">#REF!</definedName>
    <definedName name="S11R17" localSheetId="2">#REF!</definedName>
    <definedName name="S11R17" localSheetId="16">#REF!</definedName>
    <definedName name="S11R17" localSheetId="17">#REF!</definedName>
    <definedName name="S11R17" localSheetId="19">#REF!</definedName>
    <definedName name="S11R17">#REF!</definedName>
    <definedName name="S11R18" localSheetId="2">#REF!</definedName>
    <definedName name="S11R18" localSheetId="16">#REF!</definedName>
    <definedName name="S11R18" localSheetId="17">#REF!</definedName>
    <definedName name="S11R18" localSheetId="19">#REF!</definedName>
    <definedName name="S11R18">#REF!</definedName>
    <definedName name="S11R19" localSheetId="2">#REF!</definedName>
    <definedName name="S11R19" localSheetId="16">#REF!</definedName>
    <definedName name="S11R19" localSheetId="17">#REF!</definedName>
    <definedName name="S11R19" localSheetId="19">#REF!</definedName>
    <definedName name="S11R19">#REF!</definedName>
    <definedName name="S11R2" localSheetId="2">#REF!</definedName>
    <definedName name="S11R2" localSheetId="16">#REF!</definedName>
    <definedName name="S11R2" localSheetId="17">#REF!</definedName>
    <definedName name="S11R2" localSheetId="19">#REF!</definedName>
    <definedName name="S11R2">#REF!</definedName>
    <definedName name="S11R20" localSheetId="2">#REF!</definedName>
    <definedName name="S11R20" localSheetId="16">#REF!</definedName>
    <definedName name="S11R20" localSheetId="17">#REF!</definedName>
    <definedName name="S11R20" localSheetId="19">#REF!</definedName>
    <definedName name="S11R20">#REF!</definedName>
    <definedName name="S11R21" localSheetId="2">#REF!</definedName>
    <definedName name="S11R21" localSheetId="16">#REF!</definedName>
    <definedName name="S11R21" localSheetId="17">#REF!</definedName>
    <definedName name="S11R21" localSheetId="19">#REF!</definedName>
    <definedName name="S11R21">#REF!</definedName>
    <definedName name="S11R22" localSheetId="2">#REF!</definedName>
    <definedName name="S11R22" localSheetId="16">#REF!</definedName>
    <definedName name="S11R22" localSheetId="17">#REF!</definedName>
    <definedName name="S11R22" localSheetId="19">#REF!</definedName>
    <definedName name="S11R22">#REF!</definedName>
    <definedName name="S11R23" localSheetId="2">#REF!</definedName>
    <definedName name="S11R23" localSheetId="16">#REF!</definedName>
    <definedName name="S11R23" localSheetId="17">#REF!</definedName>
    <definedName name="S11R23" localSheetId="19">#REF!</definedName>
    <definedName name="S11R23">#REF!</definedName>
    <definedName name="S11R24" localSheetId="2">#REF!</definedName>
    <definedName name="S11R24" localSheetId="16">#REF!</definedName>
    <definedName name="S11R24" localSheetId="17">#REF!</definedName>
    <definedName name="S11R24" localSheetId="19">#REF!</definedName>
    <definedName name="S11R24">#REF!</definedName>
    <definedName name="S11R3" localSheetId="2">#REF!</definedName>
    <definedName name="S11R3" localSheetId="16">#REF!</definedName>
    <definedName name="S11R3" localSheetId="17">#REF!</definedName>
    <definedName name="S11R3" localSheetId="19">#REF!</definedName>
    <definedName name="S11R3">#REF!</definedName>
    <definedName name="S11R4" localSheetId="2">#REF!</definedName>
    <definedName name="S11R4" localSheetId="16">#REF!</definedName>
    <definedName name="S11R4" localSheetId="17">#REF!</definedName>
    <definedName name="S11R4" localSheetId="19">#REF!</definedName>
    <definedName name="S11R4">#REF!</definedName>
    <definedName name="S11R5" localSheetId="2">#REF!</definedName>
    <definedName name="S11R5" localSheetId="16">#REF!</definedName>
    <definedName name="S11R5" localSheetId="17">#REF!</definedName>
    <definedName name="S11R5" localSheetId="19">#REF!</definedName>
    <definedName name="S11R5">#REF!</definedName>
    <definedName name="S11R6" localSheetId="2">#REF!</definedName>
    <definedName name="S11R6" localSheetId="16">#REF!</definedName>
    <definedName name="S11R6" localSheetId="17">#REF!</definedName>
    <definedName name="S11R6" localSheetId="19">#REF!</definedName>
    <definedName name="S11R6">#REF!</definedName>
    <definedName name="S11R7" localSheetId="2">#REF!</definedName>
    <definedName name="S11R7" localSheetId="16">#REF!</definedName>
    <definedName name="S11R7" localSheetId="17">#REF!</definedName>
    <definedName name="S11R7" localSheetId="19">#REF!</definedName>
    <definedName name="S11R7">#REF!</definedName>
    <definedName name="S11R8" localSheetId="2">#REF!</definedName>
    <definedName name="S11R8" localSheetId="16">#REF!</definedName>
    <definedName name="S11R8" localSheetId="17">#REF!</definedName>
    <definedName name="S11R8" localSheetId="19">#REF!</definedName>
    <definedName name="S11R8">#REF!</definedName>
    <definedName name="S11R9" localSheetId="2">#REF!</definedName>
    <definedName name="S11R9" localSheetId="16">#REF!</definedName>
    <definedName name="S11R9" localSheetId="17">#REF!</definedName>
    <definedName name="S11R9" localSheetId="19">#REF!</definedName>
    <definedName name="S11R9">#REF!</definedName>
    <definedName name="S12P1" localSheetId="2">#REF!</definedName>
    <definedName name="S12P1" localSheetId="16">#REF!</definedName>
    <definedName name="S12P1" localSheetId="17">#REF!</definedName>
    <definedName name="S12P1" localSheetId="19">#REF!</definedName>
    <definedName name="S12P1">#REF!</definedName>
    <definedName name="S12P10" localSheetId="2">#REF!</definedName>
    <definedName name="S12P10" localSheetId="16">#REF!</definedName>
    <definedName name="S12P10" localSheetId="17">#REF!</definedName>
    <definedName name="S12P10" localSheetId="19">#REF!</definedName>
    <definedName name="S12P10">#REF!</definedName>
    <definedName name="S12P11" localSheetId="2">#REF!</definedName>
    <definedName name="S12P11" localSheetId="16">#REF!</definedName>
    <definedName name="S12P11" localSheetId="17">#REF!</definedName>
    <definedName name="S12P11" localSheetId="19">#REF!</definedName>
    <definedName name="S12P11">#REF!</definedName>
    <definedName name="S12P12" localSheetId="2">#REF!</definedName>
    <definedName name="S12P12" localSheetId="16">#REF!</definedName>
    <definedName name="S12P12" localSheetId="17">#REF!</definedName>
    <definedName name="S12P12" localSheetId="19">#REF!</definedName>
    <definedName name="S12P12">#REF!</definedName>
    <definedName name="S12P13" localSheetId="2">#REF!</definedName>
    <definedName name="S12P13" localSheetId="16">#REF!</definedName>
    <definedName name="S12P13" localSheetId="17">#REF!</definedName>
    <definedName name="S12P13" localSheetId="19">#REF!</definedName>
    <definedName name="S12P13">#REF!</definedName>
    <definedName name="S12P14" localSheetId="2">#REF!</definedName>
    <definedName name="S12P14" localSheetId="16">#REF!</definedName>
    <definedName name="S12P14" localSheetId="17">#REF!</definedName>
    <definedName name="S12P14" localSheetId="19">#REF!</definedName>
    <definedName name="S12P14">#REF!</definedName>
    <definedName name="S12P15" localSheetId="2">#REF!</definedName>
    <definedName name="S12P15" localSheetId="16">#REF!</definedName>
    <definedName name="S12P15" localSheetId="17">#REF!</definedName>
    <definedName name="S12P15" localSheetId="19">#REF!</definedName>
    <definedName name="S12P15">#REF!</definedName>
    <definedName name="S12P16" localSheetId="2">#REF!</definedName>
    <definedName name="S12P16" localSheetId="16">#REF!</definedName>
    <definedName name="S12P16" localSheetId="17">#REF!</definedName>
    <definedName name="S12P16" localSheetId="19">#REF!</definedName>
    <definedName name="S12P16">#REF!</definedName>
    <definedName name="S12P17" localSheetId="2">#REF!</definedName>
    <definedName name="S12P17" localSheetId="16">#REF!</definedName>
    <definedName name="S12P17" localSheetId="17">#REF!</definedName>
    <definedName name="S12P17" localSheetId="19">#REF!</definedName>
    <definedName name="S12P17">#REF!</definedName>
    <definedName name="S12P18" localSheetId="2">#REF!</definedName>
    <definedName name="S12P18" localSheetId="16">#REF!</definedName>
    <definedName name="S12P18" localSheetId="17">#REF!</definedName>
    <definedName name="S12P18" localSheetId="19">#REF!</definedName>
    <definedName name="S12P18">#REF!</definedName>
    <definedName name="S12P19" localSheetId="2">#REF!</definedName>
    <definedName name="S12P19" localSheetId="16">#REF!</definedName>
    <definedName name="S12P19" localSheetId="17">#REF!</definedName>
    <definedName name="S12P19" localSheetId="19">#REF!</definedName>
    <definedName name="S12P19">#REF!</definedName>
    <definedName name="S12P2" localSheetId="2">#REF!</definedName>
    <definedName name="S12P2" localSheetId="16">#REF!</definedName>
    <definedName name="S12P2" localSheetId="17">#REF!</definedName>
    <definedName name="S12P2" localSheetId="19">#REF!</definedName>
    <definedName name="S12P2">#REF!</definedName>
    <definedName name="S12P20" localSheetId="2">#REF!</definedName>
    <definedName name="S12P20" localSheetId="16">#REF!</definedName>
    <definedName name="S12P20" localSheetId="17">#REF!</definedName>
    <definedName name="S12P20" localSheetId="19">#REF!</definedName>
    <definedName name="S12P20">#REF!</definedName>
    <definedName name="S12P21" localSheetId="2">#REF!</definedName>
    <definedName name="S12P21" localSheetId="16">#REF!</definedName>
    <definedName name="S12P21" localSheetId="17">#REF!</definedName>
    <definedName name="S12P21" localSheetId="19">#REF!</definedName>
    <definedName name="S12P21">#REF!</definedName>
    <definedName name="S12P22" localSheetId="2">#REF!</definedName>
    <definedName name="S12P22" localSheetId="16">#REF!</definedName>
    <definedName name="S12P22" localSheetId="17">#REF!</definedName>
    <definedName name="S12P22" localSheetId="19">#REF!</definedName>
    <definedName name="S12P22">#REF!</definedName>
    <definedName name="S12P23" localSheetId="2">#REF!</definedName>
    <definedName name="S12P23" localSheetId="16">#REF!</definedName>
    <definedName name="S12P23" localSheetId="17">#REF!</definedName>
    <definedName name="S12P23" localSheetId="19">#REF!</definedName>
    <definedName name="S12P23">#REF!</definedName>
    <definedName name="S12P24" localSheetId="2">#REF!</definedName>
    <definedName name="S12P24" localSheetId="16">#REF!</definedName>
    <definedName name="S12P24" localSheetId="17">#REF!</definedName>
    <definedName name="S12P24" localSheetId="19">#REF!</definedName>
    <definedName name="S12P24">#REF!</definedName>
    <definedName name="S12P3" localSheetId="2">#REF!</definedName>
    <definedName name="S12P3" localSheetId="16">#REF!</definedName>
    <definedName name="S12P3" localSheetId="17">#REF!</definedName>
    <definedName name="S12P3" localSheetId="19">#REF!</definedName>
    <definedName name="S12P3">#REF!</definedName>
    <definedName name="S12P4" localSheetId="2">#REF!</definedName>
    <definedName name="S12P4" localSheetId="16">#REF!</definedName>
    <definedName name="S12P4" localSheetId="17">#REF!</definedName>
    <definedName name="S12P4" localSheetId="19">#REF!</definedName>
    <definedName name="S12P4">#REF!</definedName>
    <definedName name="S12P5" localSheetId="2">#REF!</definedName>
    <definedName name="S12P5" localSheetId="16">#REF!</definedName>
    <definedName name="S12P5" localSheetId="17">#REF!</definedName>
    <definedName name="S12P5" localSheetId="19">#REF!</definedName>
    <definedName name="S12P5">#REF!</definedName>
    <definedName name="S12P6" localSheetId="2">#REF!</definedName>
    <definedName name="S12P6" localSheetId="16">#REF!</definedName>
    <definedName name="S12P6" localSheetId="17">#REF!</definedName>
    <definedName name="S12P6" localSheetId="19">#REF!</definedName>
    <definedName name="S12P6">#REF!</definedName>
    <definedName name="S12P7" localSheetId="2">#REF!</definedName>
    <definedName name="S12P7" localSheetId="16">#REF!</definedName>
    <definedName name="S12P7" localSheetId="17">#REF!</definedName>
    <definedName name="S12P7" localSheetId="19">#REF!</definedName>
    <definedName name="S12P7">#REF!</definedName>
    <definedName name="S12P8" localSheetId="2">#REF!</definedName>
    <definedName name="S12P8" localSheetId="16">#REF!</definedName>
    <definedName name="S12P8" localSheetId="17">#REF!</definedName>
    <definedName name="S12P8" localSheetId="19">#REF!</definedName>
    <definedName name="S12P8">#REF!</definedName>
    <definedName name="S12P9" localSheetId="2">#REF!</definedName>
    <definedName name="S12P9" localSheetId="16">#REF!</definedName>
    <definedName name="S12P9" localSheetId="17">#REF!</definedName>
    <definedName name="S12P9" localSheetId="19">#REF!</definedName>
    <definedName name="S12P9">#REF!</definedName>
    <definedName name="S12R1" localSheetId="2">#REF!</definedName>
    <definedName name="S12R1" localSheetId="16">#REF!</definedName>
    <definedName name="S12R1" localSheetId="17">#REF!</definedName>
    <definedName name="S12R1" localSheetId="19">#REF!</definedName>
    <definedName name="S12R1">#REF!</definedName>
    <definedName name="S12R10" localSheetId="2">#REF!</definedName>
    <definedName name="S12R10" localSheetId="16">#REF!</definedName>
    <definedName name="S12R10" localSheetId="17">#REF!</definedName>
    <definedName name="S12R10" localSheetId="19">#REF!</definedName>
    <definedName name="S12R10">#REF!</definedName>
    <definedName name="S12R11" localSheetId="2">#REF!</definedName>
    <definedName name="S12R11" localSheetId="16">#REF!</definedName>
    <definedName name="S12R11" localSheetId="17">#REF!</definedName>
    <definedName name="S12R11" localSheetId="19">#REF!</definedName>
    <definedName name="S12R11">#REF!</definedName>
    <definedName name="S12R12" localSheetId="2">#REF!</definedName>
    <definedName name="S12R12" localSheetId="16">#REF!</definedName>
    <definedName name="S12R12" localSheetId="17">#REF!</definedName>
    <definedName name="S12R12" localSheetId="19">#REF!</definedName>
    <definedName name="S12R12">#REF!</definedName>
    <definedName name="S12R13" localSheetId="2">#REF!</definedName>
    <definedName name="S12R13" localSheetId="16">#REF!</definedName>
    <definedName name="S12R13" localSheetId="17">#REF!</definedName>
    <definedName name="S12R13" localSheetId="19">#REF!</definedName>
    <definedName name="S12R13">#REF!</definedName>
    <definedName name="S12R14" localSheetId="2">#REF!</definedName>
    <definedName name="S12R14" localSheetId="16">#REF!</definedName>
    <definedName name="S12R14" localSheetId="17">#REF!</definedName>
    <definedName name="S12R14" localSheetId="19">#REF!</definedName>
    <definedName name="S12R14">#REF!</definedName>
    <definedName name="S12R15" localSheetId="2">#REF!</definedName>
    <definedName name="S12R15" localSheetId="16">#REF!</definedName>
    <definedName name="S12R15" localSheetId="17">#REF!</definedName>
    <definedName name="S12R15" localSheetId="19">#REF!</definedName>
    <definedName name="S12R15">#REF!</definedName>
    <definedName name="S12R16" localSheetId="2">#REF!</definedName>
    <definedName name="S12R16" localSheetId="16">#REF!</definedName>
    <definedName name="S12R16" localSheetId="17">#REF!</definedName>
    <definedName name="S12R16" localSheetId="19">#REF!</definedName>
    <definedName name="S12R16">#REF!</definedName>
    <definedName name="S12R17" localSheetId="2">#REF!</definedName>
    <definedName name="S12R17" localSheetId="16">#REF!</definedName>
    <definedName name="S12R17" localSheetId="17">#REF!</definedName>
    <definedName name="S12R17" localSheetId="19">#REF!</definedName>
    <definedName name="S12R17">#REF!</definedName>
    <definedName name="S12R18" localSheetId="2">#REF!</definedName>
    <definedName name="S12R18" localSheetId="16">#REF!</definedName>
    <definedName name="S12R18" localSheetId="17">#REF!</definedName>
    <definedName name="S12R18" localSheetId="19">#REF!</definedName>
    <definedName name="S12R18">#REF!</definedName>
    <definedName name="S12R19" localSheetId="2">#REF!</definedName>
    <definedName name="S12R19" localSheetId="16">#REF!</definedName>
    <definedName name="S12R19" localSheetId="17">#REF!</definedName>
    <definedName name="S12R19" localSheetId="19">#REF!</definedName>
    <definedName name="S12R19">#REF!</definedName>
    <definedName name="S12R2" localSheetId="2">#REF!</definedName>
    <definedName name="S12R2" localSheetId="16">#REF!</definedName>
    <definedName name="S12R2" localSheetId="17">#REF!</definedName>
    <definedName name="S12R2" localSheetId="19">#REF!</definedName>
    <definedName name="S12R2">#REF!</definedName>
    <definedName name="S12R20" localSheetId="2">#REF!</definedName>
    <definedName name="S12R20" localSheetId="16">#REF!</definedName>
    <definedName name="S12R20" localSheetId="17">#REF!</definedName>
    <definedName name="S12R20" localSheetId="19">#REF!</definedName>
    <definedName name="S12R20">#REF!</definedName>
    <definedName name="S12R21" localSheetId="2">#REF!</definedName>
    <definedName name="S12R21" localSheetId="16">#REF!</definedName>
    <definedName name="S12R21" localSheetId="17">#REF!</definedName>
    <definedName name="S12R21" localSheetId="19">#REF!</definedName>
    <definedName name="S12R21">#REF!</definedName>
    <definedName name="S12R22" localSheetId="2">#REF!</definedName>
    <definedName name="S12R22" localSheetId="16">#REF!</definedName>
    <definedName name="S12R22" localSheetId="17">#REF!</definedName>
    <definedName name="S12R22" localSheetId="19">#REF!</definedName>
    <definedName name="S12R22">#REF!</definedName>
    <definedName name="S12R23" localSheetId="2">#REF!</definedName>
    <definedName name="S12R23" localSheetId="16">#REF!</definedName>
    <definedName name="S12R23" localSheetId="17">#REF!</definedName>
    <definedName name="S12R23" localSheetId="19">#REF!</definedName>
    <definedName name="S12R23">#REF!</definedName>
    <definedName name="S12R24" localSheetId="2">#REF!</definedName>
    <definedName name="S12R24" localSheetId="16">#REF!</definedName>
    <definedName name="S12R24" localSheetId="17">#REF!</definedName>
    <definedName name="S12R24" localSheetId="19">#REF!</definedName>
    <definedName name="S12R24">#REF!</definedName>
    <definedName name="S12R3" localSheetId="2">#REF!</definedName>
    <definedName name="S12R3" localSheetId="16">#REF!</definedName>
    <definedName name="S12R3" localSheetId="17">#REF!</definedName>
    <definedName name="S12R3" localSheetId="19">#REF!</definedName>
    <definedName name="S12R3">#REF!</definedName>
    <definedName name="S12R4" localSheetId="2">#REF!</definedName>
    <definedName name="S12R4" localSheetId="16">#REF!</definedName>
    <definedName name="S12R4" localSheetId="17">#REF!</definedName>
    <definedName name="S12R4" localSheetId="19">#REF!</definedName>
    <definedName name="S12R4">#REF!</definedName>
    <definedName name="S12R5" localSheetId="2">#REF!</definedName>
    <definedName name="S12R5" localSheetId="16">#REF!</definedName>
    <definedName name="S12R5" localSheetId="17">#REF!</definedName>
    <definedName name="S12R5" localSheetId="19">#REF!</definedName>
    <definedName name="S12R5">#REF!</definedName>
    <definedName name="S12R6" localSheetId="2">#REF!</definedName>
    <definedName name="S12R6" localSheetId="16">#REF!</definedName>
    <definedName name="S12R6" localSheetId="17">#REF!</definedName>
    <definedName name="S12R6" localSheetId="19">#REF!</definedName>
    <definedName name="S12R6">#REF!</definedName>
    <definedName name="S12R7" localSheetId="2">#REF!</definedName>
    <definedName name="S12R7" localSheetId="16">#REF!</definedName>
    <definedName name="S12R7" localSheetId="17">#REF!</definedName>
    <definedName name="S12R7" localSheetId="19">#REF!</definedName>
    <definedName name="S12R7">#REF!</definedName>
    <definedName name="S12R8" localSheetId="2">#REF!</definedName>
    <definedName name="S12R8" localSheetId="16">#REF!</definedName>
    <definedName name="S12R8" localSheetId="17">#REF!</definedName>
    <definedName name="S12R8" localSheetId="19">#REF!</definedName>
    <definedName name="S12R8">#REF!</definedName>
    <definedName name="S12R9" localSheetId="2">#REF!</definedName>
    <definedName name="S12R9" localSheetId="16">#REF!</definedName>
    <definedName name="S12R9" localSheetId="17">#REF!</definedName>
    <definedName name="S12R9" localSheetId="19">#REF!</definedName>
    <definedName name="S12R9">#REF!</definedName>
    <definedName name="S13P1" localSheetId="2">#REF!</definedName>
    <definedName name="S13P1" localSheetId="16">#REF!</definedName>
    <definedName name="S13P1" localSheetId="17">#REF!</definedName>
    <definedName name="S13P1" localSheetId="19">#REF!</definedName>
    <definedName name="S13P1">#REF!</definedName>
    <definedName name="S13P10" localSheetId="2">#REF!</definedName>
    <definedName name="S13P10" localSheetId="16">#REF!</definedName>
    <definedName name="S13P10" localSheetId="17">#REF!</definedName>
    <definedName name="S13P10" localSheetId="19">#REF!</definedName>
    <definedName name="S13P10">#REF!</definedName>
    <definedName name="S13P11" localSheetId="2">#REF!</definedName>
    <definedName name="S13P11" localSheetId="16">#REF!</definedName>
    <definedName name="S13P11" localSheetId="17">#REF!</definedName>
    <definedName name="S13P11" localSheetId="19">#REF!</definedName>
    <definedName name="S13P11">#REF!</definedName>
    <definedName name="S13P12" localSheetId="2">#REF!</definedName>
    <definedName name="S13P12" localSheetId="16">#REF!</definedName>
    <definedName name="S13P12" localSheetId="17">#REF!</definedName>
    <definedName name="S13P12" localSheetId="19">#REF!</definedName>
    <definedName name="S13P12">#REF!</definedName>
    <definedName name="S13P13" localSheetId="2">#REF!</definedName>
    <definedName name="S13P13" localSheetId="16">#REF!</definedName>
    <definedName name="S13P13" localSheetId="17">#REF!</definedName>
    <definedName name="S13P13" localSheetId="19">#REF!</definedName>
    <definedName name="S13P13">#REF!</definedName>
    <definedName name="S13P14" localSheetId="2">#REF!</definedName>
    <definedName name="S13P14" localSheetId="16">#REF!</definedName>
    <definedName name="S13P14" localSheetId="17">#REF!</definedName>
    <definedName name="S13P14" localSheetId="19">#REF!</definedName>
    <definedName name="S13P14">#REF!</definedName>
    <definedName name="S13P15" localSheetId="2">#REF!</definedName>
    <definedName name="S13P15" localSheetId="16">#REF!</definedName>
    <definedName name="S13P15" localSheetId="17">#REF!</definedName>
    <definedName name="S13P15" localSheetId="19">#REF!</definedName>
    <definedName name="S13P15">#REF!</definedName>
    <definedName name="S13P16" localSheetId="2">#REF!</definedName>
    <definedName name="S13P16" localSheetId="16">#REF!</definedName>
    <definedName name="S13P16" localSheetId="17">#REF!</definedName>
    <definedName name="S13P16" localSheetId="19">#REF!</definedName>
    <definedName name="S13P16">#REF!</definedName>
    <definedName name="S13P17" localSheetId="2">#REF!</definedName>
    <definedName name="S13P17" localSheetId="16">#REF!</definedName>
    <definedName name="S13P17" localSheetId="17">#REF!</definedName>
    <definedName name="S13P17" localSheetId="19">#REF!</definedName>
    <definedName name="S13P17">#REF!</definedName>
    <definedName name="S13P18" localSheetId="2">#REF!</definedName>
    <definedName name="S13P18" localSheetId="16">#REF!</definedName>
    <definedName name="S13P18" localSheetId="17">#REF!</definedName>
    <definedName name="S13P18" localSheetId="19">#REF!</definedName>
    <definedName name="S13P18">#REF!</definedName>
    <definedName name="S13P19" localSheetId="2">#REF!</definedName>
    <definedName name="S13P19" localSheetId="16">#REF!</definedName>
    <definedName name="S13P19" localSheetId="17">#REF!</definedName>
    <definedName name="S13P19" localSheetId="19">#REF!</definedName>
    <definedName name="S13P19">#REF!</definedName>
    <definedName name="S13P2" localSheetId="2">#REF!</definedName>
    <definedName name="S13P2" localSheetId="16">#REF!</definedName>
    <definedName name="S13P2" localSheetId="17">#REF!</definedName>
    <definedName name="S13P2" localSheetId="19">#REF!</definedName>
    <definedName name="S13P2">#REF!</definedName>
    <definedName name="S13P20" localSheetId="2">#REF!</definedName>
    <definedName name="S13P20" localSheetId="16">#REF!</definedName>
    <definedName name="S13P20" localSheetId="17">#REF!</definedName>
    <definedName name="S13P20" localSheetId="19">#REF!</definedName>
    <definedName name="S13P20">#REF!</definedName>
    <definedName name="S13P21" localSheetId="2">#REF!</definedName>
    <definedName name="S13P21" localSheetId="16">#REF!</definedName>
    <definedName name="S13P21" localSheetId="17">#REF!</definedName>
    <definedName name="S13P21" localSheetId="19">#REF!</definedName>
    <definedName name="S13P21">#REF!</definedName>
    <definedName name="S13P22" localSheetId="2">#REF!</definedName>
    <definedName name="S13P22" localSheetId="16">#REF!</definedName>
    <definedName name="S13P22" localSheetId="17">#REF!</definedName>
    <definedName name="S13P22" localSheetId="19">#REF!</definedName>
    <definedName name="S13P22">#REF!</definedName>
    <definedName name="S13P23" localSheetId="2">#REF!</definedName>
    <definedName name="S13P23" localSheetId="16">#REF!</definedName>
    <definedName name="S13P23" localSheetId="17">#REF!</definedName>
    <definedName name="S13P23" localSheetId="19">#REF!</definedName>
    <definedName name="S13P23">#REF!</definedName>
    <definedName name="S13P24" localSheetId="2">#REF!</definedName>
    <definedName name="S13P24" localSheetId="16">#REF!</definedName>
    <definedName name="S13P24" localSheetId="17">#REF!</definedName>
    <definedName name="S13P24" localSheetId="19">#REF!</definedName>
    <definedName name="S13P24">#REF!</definedName>
    <definedName name="S13P3" localSheetId="2">#REF!</definedName>
    <definedName name="S13P3" localSheetId="16">#REF!</definedName>
    <definedName name="S13P3" localSheetId="17">#REF!</definedName>
    <definedName name="S13P3" localSheetId="19">#REF!</definedName>
    <definedName name="S13P3">#REF!</definedName>
    <definedName name="S13P4" localSheetId="2">#REF!</definedName>
    <definedName name="S13P4" localSheetId="16">#REF!</definedName>
    <definedName name="S13P4" localSheetId="17">#REF!</definedName>
    <definedName name="S13P4" localSheetId="19">#REF!</definedName>
    <definedName name="S13P4">#REF!</definedName>
    <definedName name="S13P5" localSheetId="2">#REF!</definedName>
    <definedName name="S13P5" localSheetId="16">#REF!</definedName>
    <definedName name="S13P5" localSheetId="17">#REF!</definedName>
    <definedName name="S13P5" localSheetId="19">#REF!</definedName>
    <definedName name="S13P5">#REF!</definedName>
    <definedName name="S13P6" localSheetId="2">#REF!</definedName>
    <definedName name="S13P6" localSheetId="16">#REF!</definedName>
    <definedName name="S13P6" localSheetId="17">#REF!</definedName>
    <definedName name="S13P6" localSheetId="19">#REF!</definedName>
    <definedName name="S13P6">#REF!</definedName>
    <definedName name="S13P7" localSheetId="2">#REF!</definedName>
    <definedName name="S13P7" localSheetId="16">#REF!</definedName>
    <definedName name="S13P7" localSheetId="17">#REF!</definedName>
    <definedName name="S13P7" localSheetId="19">#REF!</definedName>
    <definedName name="S13P7">#REF!</definedName>
    <definedName name="S13P8" localSheetId="2">#REF!</definedName>
    <definedName name="S13P8" localSheetId="16">#REF!</definedName>
    <definedName name="S13P8" localSheetId="17">#REF!</definedName>
    <definedName name="S13P8" localSheetId="19">#REF!</definedName>
    <definedName name="S13P8">#REF!</definedName>
    <definedName name="S13P9" localSheetId="2">#REF!</definedName>
    <definedName name="S13P9" localSheetId="16">#REF!</definedName>
    <definedName name="S13P9" localSheetId="17">#REF!</definedName>
    <definedName name="S13P9" localSheetId="19">#REF!</definedName>
    <definedName name="S13P9">#REF!</definedName>
    <definedName name="S13R1" localSheetId="2">#REF!</definedName>
    <definedName name="S13R1" localSheetId="16">#REF!</definedName>
    <definedName name="S13R1" localSheetId="17">#REF!</definedName>
    <definedName name="S13R1" localSheetId="19">#REF!</definedName>
    <definedName name="S13R1">#REF!</definedName>
    <definedName name="S13R10" localSheetId="2">#REF!</definedName>
    <definedName name="S13R10" localSheetId="16">#REF!</definedName>
    <definedName name="S13R10" localSheetId="17">#REF!</definedName>
    <definedName name="S13R10" localSheetId="19">#REF!</definedName>
    <definedName name="S13R10">#REF!</definedName>
    <definedName name="S13R11" localSheetId="2">#REF!</definedName>
    <definedName name="S13R11" localSheetId="16">#REF!</definedName>
    <definedName name="S13R11" localSheetId="17">#REF!</definedName>
    <definedName name="S13R11" localSheetId="19">#REF!</definedName>
    <definedName name="S13R11">#REF!</definedName>
    <definedName name="S13R12" localSheetId="2">#REF!</definedName>
    <definedName name="S13R12" localSheetId="16">#REF!</definedName>
    <definedName name="S13R12" localSheetId="17">#REF!</definedName>
    <definedName name="S13R12" localSheetId="19">#REF!</definedName>
    <definedName name="S13R12">#REF!</definedName>
    <definedName name="S13R13" localSheetId="2">#REF!</definedName>
    <definedName name="S13R13" localSheetId="16">#REF!</definedName>
    <definedName name="S13R13" localSheetId="17">#REF!</definedName>
    <definedName name="S13R13" localSheetId="19">#REF!</definedName>
    <definedName name="S13R13">#REF!</definedName>
    <definedName name="S13R14" localSheetId="2">#REF!</definedName>
    <definedName name="S13R14" localSheetId="16">#REF!</definedName>
    <definedName name="S13R14" localSheetId="17">#REF!</definedName>
    <definedName name="S13R14" localSheetId="19">#REF!</definedName>
    <definedName name="S13R14">#REF!</definedName>
    <definedName name="S13R15" localSheetId="2">#REF!</definedName>
    <definedName name="S13R15" localSheetId="16">#REF!</definedName>
    <definedName name="S13R15" localSheetId="17">#REF!</definedName>
    <definedName name="S13R15" localSheetId="19">#REF!</definedName>
    <definedName name="S13R15">#REF!</definedName>
    <definedName name="S13R16" localSheetId="2">#REF!</definedName>
    <definedName name="S13R16" localSheetId="16">#REF!</definedName>
    <definedName name="S13R16" localSheetId="17">#REF!</definedName>
    <definedName name="S13R16" localSheetId="19">#REF!</definedName>
    <definedName name="S13R16">#REF!</definedName>
    <definedName name="S13R17" localSheetId="2">#REF!</definedName>
    <definedName name="S13R17" localSheetId="16">#REF!</definedName>
    <definedName name="S13R17" localSheetId="17">#REF!</definedName>
    <definedName name="S13R17" localSheetId="19">#REF!</definedName>
    <definedName name="S13R17">#REF!</definedName>
    <definedName name="S13R18" localSheetId="2">#REF!</definedName>
    <definedName name="S13R18" localSheetId="16">#REF!</definedName>
    <definedName name="S13R18" localSheetId="17">#REF!</definedName>
    <definedName name="S13R18" localSheetId="19">#REF!</definedName>
    <definedName name="S13R18">#REF!</definedName>
    <definedName name="S13R19" localSheetId="2">#REF!</definedName>
    <definedName name="S13R19" localSheetId="16">#REF!</definedName>
    <definedName name="S13R19" localSheetId="17">#REF!</definedName>
    <definedName name="S13R19" localSheetId="19">#REF!</definedName>
    <definedName name="S13R19">#REF!</definedName>
    <definedName name="S13R2" localSheetId="2">#REF!</definedName>
    <definedName name="S13R2" localSheetId="16">#REF!</definedName>
    <definedName name="S13R2" localSheetId="17">#REF!</definedName>
    <definedName name="S13R2" localSheetId="19">#REF!</definedName>
    <definedName name="S13R2">#REF!</definedName>
    <definedName name="S13R20" localSheetId="2">#REF!</definedName>
    <definedName name="S13R20" localSheetId="16">#REF!</definedName>
    <definedName name="S13R20" localSheetId="17">#REF!</definedName>
    <definedName name="S13R20" localSheetId="19">#REF!</definedName>
    <definedName name="S13R20">#REF!</definedName>
    <definedName name="S13R21" localSheetId="2">#REF!</definedName>
    <definedName name="S13R21" localSheetId="16">#REF!</definedName>
    <definedName name="S13R21" localSheetId="17">#REF!</definedName>
    <definedName name="S13R21" localSheetId="19">#REF!</definedName>
    <definedName name="S13R21">#REF!</definedName>
    <definedName name="S13R22" localSheetId="2">#REF!</definedName>
    <definedName name="S13R22" localSheetId="16">#REF!</definedName>
    <definedName name="S13R22" localSheetId="17">#REF!</definedName>
    <definedName name="S13R22" localSheetId="19">#REF!</definedName>
    <definedName name="S13R22">#REF!</definedName>
    <definedName name="S13R23" localSheetId="2">#REF!</definedName>
    <definedName name="S13R23" localSheetId="16">#REF!</definedName>
    <definedName name="S13R23" localSheetId="17">#REF!</definedName>
    <definedName name="S13R23" localSheetId="19">#REF!</definedName>
    <definedName name="S13R23">#REF!</definedName>
    <definedName name="S13R24" localSheetId="2">#REF!</definedName>
    <definedName name="S13R24" localSheetId="16">#REF!</definedName>
    <definedName name="S13R24" localSheetId="17">#REF!</definedName>
    <definedName name="S13R24" localSheetId="19">#REF!</definedName>
    <definedName name="S13R24">#REF!</definedName>
    <definedName name="S13R3" localSheetId="2">#REF!</definedName>
    <definedName name="S13R3" localSheetId="16">#REF!</definedName>
    <definedName name="S13R3" localSheetId="17">#REF!</definedName>
    <definedName name="S13R3" localSheetId="19">#REF!</definedName>
    <definedName name="S13R3">#REF!</definedName>
    <definedName name="S13R4" localSheetId="2">#REF!</definedName>
    <definedName name="S13R4" localSheetId="16">#REF!</definedName>
    <definedName name="S13R4" localSheetId="17">#REF!</definedName>
    <definedName name="S13R4" localSheetId="19">#REF!</definedName>
    <definedName name="S13R4">#REF!</definedName>
    <definedName name="S13R5" localSheetId="2">#REF!</definedName>
    <definedName name="S13R5" localSheetId="16">#REF!</definedName>
    <definedName name="S13R5" localSheetId="17">#REF!</definedName>
    <definedName name="S13R5" localSheetId="19">#REF!</definedName>
    <definedName name="S13R5">#REF!</definedName>
    <definedName name="S13R6" localSheetId="2">#REF!</definedName>
    <definedName name="S13R6" localSheetId="16">#REF!</definedName>
    <definedName name="S13R6" localSheetId="17">#REF!</definedName>
    <definedName name="S13R6" localSheetId="19">#REF!</definedName>
    <definedName name="S13R6">#REF!</definedName>
    <definedName name="S13R7" localSheetId="2">#REF!</definedName>
    <definedName name="S13R7" localSheetId="16">#REF!</definedName>
    <definedName name="S13R7" localSheetId="17">#REF!</definedName>
    <definedName name="S13R7" localSheetId="19">#REF!</definedName>
    <definedName name="S13R7">#REF!</definedName>
    <definedName name="S13R8" localSheetId="2">#REF!</definedName>
    <definedName name="S13R8" localSheetId="16">#REF!</definedName>
    <definedName name="S13R8" localSheetId="17">#REF!</definedName>
    <definedName name="S13R8" localSheetId="19">#REF!</definedName>
    <definedName name="S13R8">#REF!</definedName>
    <definedName name="S13R9" localSheetId="2">#REF!</definedName>
    <definedName name="S13R9" localSheetId="16">#REF!</definedName>
    <definedName name="S13R9" localSheetId="17">#REF!</definedName>
    <definedName name="S13R9" localSheetId="19">#REF!</definedName>
    <definedName name="S13R9">#REF!</definedName>
    <definedName name="S14P1" localSheetId="2">#REF!</definedName>
    <definedName name="S14P1" localSheetId="16">#REF!</definedName>
    <definedName name="S14P1" localSheetId="17">#REF!</definedName>
    <definedName name="S14P1" localSheetId="19">#REF!</definedName>
    <definedName name="S14P1">#REF!</definedName>
    <definedName name="S14P10" localSheetId="2">#REF!</definedName>
    <definedName name="S14P10" localSheetId="16">#REF!</definedName>
    <definedName name="S14P10" localSheetId="17">#REF!</definedName>
    <definedName name="S14P10" localSheetId="19">#REF!</definedName>
    <definedName name="S14P10">#REF!</definedName>
    <definedName name="S14P11" localSheetId="2">#REF!</definedName>
    <definedName name="S14P11" localSheetId="16">#REF!</definedName>
    <definedName name="S14P11" localSheetId="17">#REF!</definedName>
    <definedName name="S14P11" localSheetId="19">#REF!</definedName>
    <definedName name="S14P11">#REF!</definedName>
    <definedName name="S14P12" localSheetId="2">#REF!</definedName>
    <definedName name="S14P12" localSheetId="16">#REF!</definedName>
    <definedName name="S14P12" localSheetId="17">#REF!</definedName>
    <definedName name="S14P12" localSheetId="19">#REF!</definedName>
    <definedName name="S14P12">#REF!</definedName>
    <definedName name="S14P13" localSheetId="2">#REF!</definedName>
    <definedName name="S14P13" localSheetId="16">#REF!</definedName>
    <definedName name="S14P13" localSheetId="17">#REF!</definedName>
    <definedName name="S14P13" localSheetId="19">#REF!</definedName>
    <definedName name="S14P13">#REF!</definedName>
    <definedName name="S14P14" localSheetId="2">#REF!</definedName>
    <definedName name="S14P14" localSheetId="16">#REF!</definedName>
    <definedName name="S14P14" localSheetId="17">#REF!</definedName>
    <definedName name="S14P14" localSheetId="19">#REF!</definedName>
    <definedName name="S14P14">#REF!</definedName>
    <definedName name="S14P15" localSheetId="2">#REF!</definedName>
    <definedName name="S14P15" localSheetId="16">#REF!</definedName>
    <definedName name="S14P15" localSheetId="17">#REF!</definedName>
    <definedName name="S14P15" localSheetId="19">#REF!</definedName>
    <definedName name="S14P15">#REF!</definedName>
    <definedName name="S14P16" localSheetId="2">#REF!</definedName>
    <definedName name="S14P16" localSheetId="16">#REF!</definedName>
    <definedName name="S14P16" localSheetId="17">#REF!</definedName>
    <definedName name="S14P16" localSheetId="19">#REF!</definedName>
    <definedName name="S14P16">#REF!</definedName>
    <definedName name="S14P17" localSheetId="2">#REF!</definedName>
    <definedName name="S14P17" localSheetId="16">#REF!</definedName>
    <definedName name="S14P17" localSheetId="17">#REF!</definedName>
    <definedName name="S14P17" localSheetId="19">#REF!</definedName>
    <definedName name="S14P17">#REF!</definedName>
    <definedName name="S14P18" localSheetId="2">#REF!</definedName>
    <definedName name="S14P18" localSheetId="16">#REF!</definedName>
    <definedName name="S14P18" localSheetId="17">#REF!</definedName>
    <definedName name="S14P18" localSheetId="19">#REF!</definedName>
    <definedName name="S14P18">#REF!</definedName>
    <definedName name="S14P19" localSheetId="2">#REF!</definedName>
    <definedName name="S14P19" localSheetId="16">#REF!</definedName>
    <definedName name="S14P19" localSheetId="17">#REF!</definedName>
    <definedName name="S14P19" localSheetId="19">#REF!</definedName>
    <definedName name="S14P19">#REF!</definedName>
    <definedName name="S14P2" localSheetId="2">#REF!</definedName>
    <definedName name="S14P2" localSheetId="16">#REF!</definedName>
    <definedName name="S14P2" localSheetId="17">#REF!</definedName>
    <definedName name="S14P2" localSheetId="19">#REF!</definedName>
    <definedName name="S14P2">#REF!</definedName>
    <definedName name="S14P20" localSheetId="2">#REF!</definedName>
    <definedName name="S14P20" localSheetId="16">#REF!</definedName>
    <definedName name="S14P20" localSheetId="17">#REF!</definedName>
    <definedName name="S14P20" localSheetId="19">#REF!</definedName>
    <definedName name="S14P20">#REF!</definedName>
    <definedName name="S14P21" localSheetId="2">#REF!</definedName>
    <definedName name="S14P21" localSheetId="16">#REF!</definedName>
    <definedName name="S14P21" localSheetId="17">#REF!</definedName>
    <definedName name="S14P21" localSheetId="19">#REF!</definedName>
    <definedName name="S14P21">#REF!</definedName>
    <definedName name="S14P22" localSheetId="2">#REF!</definedName>
    <definedName name="S14P22" localSheetId="16">#REF!</definedName>
    <definedName name="S14P22" localSheetId="17">#REF!</definedName>
    <definedName name="S14P22" localSheetId="19">#REF!</definedName>
    <definedName name="S14P22">#REF!</definedName>
    <definedName name="S14P23" localSheetId="2">#REF!</definedName>
    <definedName name="S14P23" localSheetId="16">#REF!</definedName>
    <definedName name="S14P23" localSheetId="17">#REF!</definedName>
    <definedName name="S14P23" localSheetId="19">#REF!</definedName>
    <definedName name="S14P23">#REF!</definedName>
    <definedName name="S14P24" localSheetId="2">#REF!</definedName>
    <definedName name="S14P24" localSheetId="16">#REF!</definedName>
    <definedName name="S14P24" localSheetId="17">#REF!</definedName>
    <definedName name="S14P24" localSheetId="19">#REF!</definedName>
    <definedName name="S14P24">#REF!</definedName>
    <definedName name="S14P3" localSheetId="2">#REF!</definedName>
    <definedName name="S14P3" localSheetId="16">#REF!</definedName>
    <definedName name="S14P3" localSheetId="17">#REF!</definedName>
    <definedName name="S14P3" localSheetId="19">#REF!</definedName>
    <definedName name="S14P3">#REF!</definedName>
    <definedName name="S14P4" localSheetId="2">#REF!</definedName>
    <definedName name="S14P4" localSheetId="16">#REF!</definedName>
    <definedName name="S14P4" localSheetId="17">#REF!</definedName>
    <definedName name="S14P4" localSheetId="19">#REF!</definedName>
    <definedName name="S14P4">#REF!</definedName>
    <definedName name="S14P5" localSheetId="2">#REF!</definedName>
    <definedName name="S14P5" localSheetId="16">#REF!</definedName>
    <definedName name="S14P5" localSheetId="17">#REF!</definedName>
    <definedName name="S14P5" localSheetId="19">#REF!</definedName>
    <definedName name="S14P5">#REF!</definedName>
    <definedName name="S14P6" localSheetId="2">#REF!</definedName>
    <definedName name="S14P6" localSheetId="16">#REF!</definedName>
    <definedName name="S14P6" localSheetId="17">#REF!</definedName>
    <definedName name="S14P6" localSheetId="19">#REF!</definedName>
    <definedName name="S14P6">#REF!</definedName>
    <definedName name="S14P7" localSheetId="2">#REF!</definedName>
    <definedName name="S14P7" localSheetId="16">#REF!</definedName>
    <definedName name="S14P7" localSheetId="17">#REF!</definedName>
    <definedName name="S14P7" localSheetId="19">#REF!</definedName>
    <definedName name="S14P7">#REF!</definedName>
    <definedName name="S14P8" localSheetId="2">#REF!</definedName>
    <definedName name="S14P8" localSheetId="16">#REF!</definedName>
    <definedName name="S14P8" localSheetId="17">#REF!</definedName>
    <definedName name="S14P8" localSheetId="19">#REF!</definedName>
    <definedName name="S14P8">#REF!</definedName>
    <definedName name="S14P9" localSheetId="2">#REF!</definedName>
    <definedName name="S14P9" localSheetId="16">#REF!</definedName>
    <definedName name="S14P9" localSheetId="17">#REF!</definedName>
    <definedName name="S14P9" localSheetId="19">#REF!</definedName>
    <definedName name="S14P9">#REF!</definedName>
    <definedName name="S14R1" localSheetId="2">#REF!</definedName>
    <definedName name="S14R1" localSheetId="16">#REF!</definedName>
    <definedName name="S14R1" localSheetId="17">#REF!</definedName>
    <definedName name="S14R1" localSheetId="19">#REF!</definedName>
    <definedName name="S14R1">#REF!</definedName>
    <definedName name="S14R10" localSheetId="2">#REF!</definedName>
    <definedName name="S14R10" localSheetId="16">#REF!</definedName>
    <definedName name="S14R10" localSheetId="17">#REF!</definedName>
    <definedName name="S14R10" localSheetId="19">#REF!</definedName>
    <definedName name="S14R10">#REF!</definedName>
    <definedName name="S14R11" localSheetId="2">#REF!</definedName>
    <definedName name="S14R11" localSheetId="16">#REF!</definedName>
    <definedName name="S14R11" localSheetId="17">#REF!</definedName>
    <definedName name="S14R11" localSheetId="19">#REF!</definedName>
    <definedName name="S14R11">#REF!</definedName>
    <definedName name="S14R12" localSheetId="2">#REF!</definedName>
    <definedName name="S14R12" localSheetId="16">#REF!</definedName>
    <definedName name="S14R12" localSheetId="17">#REF!</definedName>
    <definedName name="S14R12" localSheetId="19">#REF!</definedName>
    <definedName name="S14R12">#REF!</definedName>
    <definedName name="S14R13" localSheetId="2">#REF!</definedName>
    <definedName name="S14R13" localSheetId="16">#REF!</definedName>
    <definedName name="S14R13" localSheetId="17">#REF!</definedName>
    <definedName name="S14R13" localSheetId="19">#REF!</definedName>
    <definedName name="S14R13">#REF!</definedName>
    <definedName name="S14R14" localSheetId="2">#REF!</definedName>
    <definedName name="S14R14" localSheetId="16">#REF!</definedName>
    <definedName name="S14R14" localSheetId="17">#REF!</definedName>
    <definedName name="S14R14" localSheetId="19">#REF!</definedName>
    <definedName name="S14R14">#REF!</definedName>
    <definedName name="S14R15" localSheetId="2">#REF!</definedName>
    <definedName name="S14R15" localSheetId="16">#REF!</definedName>
    <definedName name="S14R15" localSheetId="17">#REF!</definedName>
    <definedName name="S14R15" localSheetId="19">#REF!</definedName>
    <definedName name="S14R15">#REF!</definedName>
    <definedName name="S14R16" localSheetId="2">#REF!</definedName>
    <definedName name="S14R16" localSheetId="16">#REF!</definedName>
    <definedName name="S14R16" localSheetId="17">#REF!</definedName>
    <definedName name="S14R16" localSheetId="19">#REF!</definedName>
    <definedName name="S14R16">#REF!</definedName>
    <definedName name="S14R17" localSheetId="2">#REF!</definedName>
    <definedName name="S14R17" localSheetId="16">#REF!</definedName>
    <definedName name="S14R17" localSheetId="17">#REF!</definedName>
    <definedName name="S14R17" localSheetId="19">#REF!</definedName>
    <definedName name="S14R17">#REF!</definedName>
    <definedName name="S14R18" localSheetId="2">#REF!</definedName>
    <definedName name="S14R18" localSheetId="16">#REF!</definedName>
    <definedName name="S14R18" localSheetId="17">#REF!</definedName>
    <definedName name="S14R18" localSheetId="19">#REF!</definedName>
    <definedName name="S14R18">#REF!</definedName>
    <definedName name="S14R19" localSheetId="2">#REF!</definedName>
    <definedName name="S14R19" localSheetId="16">#REF!</definedName>
    <definedName name="S14R19" localSheetId="17">#REF!</definedName>
    <definedName name="S14R19" localSheetId="19">#REF!</definedName>
    <definedName name="S14R19">#REF!</definedName>
    <definedName name="S14R2" localSheetId="2">#REF!</definedName>
    <definedName name="S14R2" localSheetId="16">#REF!</definedName>
    <definedName name="S14R2" localSheetId="17">#REF!</definedName>
    <definedName name="S14R2" localSheetId="19">#REF!</definedName>
    <definedName name="S14R2">#REF!</definedName>
    <definedName name="S14R20" localSheetId="2">#REF!</definedName>
    <definedName name="S14R20" localSheetId="16">#REF!</definedName>
    <definedName name="S14R20" localSheetId="17">#REF!</definedName>
    <definedName name="S14R20" localSheetId="19">#REF!</definedName>
    <definedName name="S14R20">#REF!</definedName>
    <definedName name="S14R21" localSheetId="2">#REF!</definedName>
    <definedName name="S14R21" localSheetId="16">#REF!</definedName>
    <definedName name="S14R21" localSheetId="17">#REF!</definedName>
    <definedName name="S14R21" localSheetId="19">#REF!</definedName>
    <definedName name="S14R21">#REF!</definedName>
    <definedName name="S14R22" localSheetId="2">#REF!</definedName>
    <definedName name="S14R22" localSheetId="16">#REF!</definedName>
    <definedName name="S14R22" localSheetId="17">#REF!</definedName>
    <definedName name="S14R22" localSheetId="19">#REF!</definedName>
    <definedName name="S14R22">#REF!</definedName>
    <definedName name="S14R23" localSheetId="2">#REF!</definedName>
    <definedName name="S14R23" localSheetId="16">#REF!</definedName>
    <definedName name="S14R23" localSheetId="17">#REF!</definedName>
    <definedName name="S14R23" localSheetId="19">#REF!</definedName>
    <definedName name="S14R23">#REF!</definedName>
    <definedName name="S14R24" localSheetId="2">#REF!</definedName>
    <definedName name="S14R24" localSheetId="16">#REF!</definedName>
    <definedName name="S14R24" localSheetId="17">#REF!</definedName>
    <definedName name="S14R24" localSheetId="19">#REF!</definedName>
    <definedName name="S14R24">#REF!</definedName>
    <definedName name="S14R3" localSheetId="2">#REF!</definedName>
    <definedName name="S14R3" localSheetId="16">#REF!</definedName>
    <definedName name="S14R3" localSheetId="17">#REF!</definedName>
    <definedName name="S14R3" localSheetId="19">#REF!</definedName>
    <definedName name="S14R3">#REF!</definedName>
    <definedName name="S14R4" localSheetId="2">#REF!</definedName>
    <definedName name="S14R4" localSheetId="16">#REF!</definedName>
    <definedName name="S14R4" localSheetId="17">#REF!</definedName>
    <definedName name="S14R4" localSheetId="19">#REF!</definedName>
    <definedName name="S14R4">#REF!</definedName>
    <definedName name="S14R5" localSheetId="2">#REF!</definedName>
    <definedName name="S14R5" localSheetId="16">#REF!</definedName>
    <definedName name="S14R5" localSheetId="17">#REF!</definedName>
    <definedName name="S14R5" localSheetId="19">#REF!</definedName>
    <definedName name="S14R5">#REF!</definedName>
    <definedName name="S14R6" localSheetId="2">#REF!</definedName>
    <definedName name="S14R6" localSheetId="16">#REF!</definedName>
    <definedName name="S14R6" localSheetId="17">#REF!</definedName>
    <definedName name="S14R6" localSheetId="19">#REF!</definedName>
    <definedName name="S14R6">#REF!</definedName>
    <definedName name="S14R7" localSheetId="2">#REF!</definedName>
    <definedName name="S14R7" localSheetId="16">#REF!</definedName>
    <definedName name="S14R7" localSheetId="17">#REF!</definedName>
    <definedName name="S14R7" localSheetId="19">#REF!</definedName>
    <definedName name="S14R7">#REF!</definedName>
    <definedName name="S14R8" localSheetId="2">#REF!</definedName>
    <definedName name="S14R8" localSheetId="16">#REF!</definedName>
    <definedName name="S14R8" localSheetId="17">#REF!</definedName>
    <definedName name="S14R8" localSheetId="19">#REF!</definedName>
    <definedName name="S14R8">#REF!</definedName>
    <definedName name="S14R9" localSheetId="2">#REF!</definedName>
    <definedName name="S14R9" localSheetId="16">#REF!</definedName>
    <definedName name="S14R9" localSheetId="17">#REF!</definedName>
    <definedName name="S14R9" localSheetId="19">#REF!</definedName>
    <definedName name="S14R9">#REF!</definedName>
    <definedName name="S15P1" localSheetId="2">#REF!</definedName>
    <definedName name="S15P1" localSheetId="16">#REF!</definedName>
    <definedName name="S15P1" localSheetId="17">#REF!</definedName>
    <definedName name="S15P1" localSheetId="19">#REF!</definedName>
    <definedName name="S15P1">#REF!</definedName>
    <definedName name="S15P10" localSheetId="2">#REF!</definedName>
    <definedName name="S15P10" localSheetId="16">#REF!</definedName>
    <definedName name="S15P10" localSheetId="17">#REF!</definedName>
    <definedName name="S15P10" localSheetId="19">#REF!</definedName>
    <definedName name="S15P10">#REF!</definedName>
    <definedName name="S15P11" localSheetId="2">#REF!</definedName>
    <definedName name="S15P11" localSheetId="16">#REF!</definedName>
    <definedName name="S15P11" localSheetId="17">#REF!</definedName>
    <definedName name="S15P11" localSheetId="19">#REF!</definedName>
    <definedName name="S15P11">#REF!</definedName>
    <definedName name="S15P12" localSheetId="2">#REF!</definedName>
    <definedName name="S15P12" localSheetId="16">#REF!</definedName>
    <definedName name="S15P12" localSheetId="17">#REF!</definedName>
    <definedName name="S15P12" localSheetId="19">#REF!</definedName>
    <definedName name="S15P12">#REF!</definedName>
    <definedName name="S15P13" localSheetId="2">#REF!</definedName>
    <definedName name="S15P13" localSheetId="16">#REF!</definedName>
    <definedName name="S15P13" localSheetId="17">#REF!</definedName>
    <definedName name="S15P13" localSheetId="19">#REF!</definedName>
    <definedName name="S15P13">#REF!</definedName>
    <definedName name="S15P14" localSheetId="2">#REF!</definedName>
    <definedName name="S15P14" localSheetId="16">#REF!</definedName>
    <definedName name="S15P14" localSheetId="17">#REF!</definedName>
    <definedName name="S15P14" localSheetId="19">#REF!</definedName>
    <definedName name="S15P14">#REF!</definedName>
    <definedName name="S15P15" localSheetId="2">#REF!</definedName>
    <definedName name="S15P15" localSheetId="16">#REF!</definedName>
    <definedName name="S15P15" localSheetId="17">#REF!</definedName>
    <definedName name="S15P15" localSheetId="19">#REF!</definedName>
    <definedName name="S15P15">#REF!</definedName>
    <definedName name="S15P16" localSheetId="2">#REF!</definedName>
    <definedName name="S15P16" localSheetId="16">#REF!</definedName>
    <definedName name="S15P16" localSheetId="17">#REF!</definedName>
    <definedName name="S15P16" localSheetId="19">#REF!</definedName>
    <definedName name="S15P16">#REF!</definedName>
    <definedName name="S15P17" localSheetId="2">#REF!</definedName>
    <definedName name="S15P17" localSheetId="16">#REF!</definedName>
    <definedName name="S15P17" localSheetId="17">#REF!</definedName>
    <definedName name="S15P17" localSheetId="19">#REF!</definedName>
    <definedName name="S15P17">#REF!</definedName>
    <definedName name="S15P18" localSheetId="2">#REF!</definedName>
    <definedName name="S15P18" localSheetId="16">#REF!</definedName>
    <definedName name="S15P18" localSheetId="17">#REF!</definedName>
    <definedName name="S15P18" localSheetId="19">#REF!</definedName>
    <definedName name="S15P18">#REF!</definedName>
    <definedName name="S15P19" localSheetId="2">#REF!</definedName>
    <definedName name="S15P19" localSheetId="16">#REF!</definedName>
    <definedName name="S15P19" localSheetId="17">#REF!</definedName>
    <definedName name="S15P19" localSheetId="19">#REF!</definedName>
    <definedName name="S15P19">#REF!</definedName>
    <definedName name="S15P2" localSheetId="2">#REF!</definedName>
    <definedName name="S15P2" localSheetId="16">#REF!</definedName>
    <definedName name="S15P2" localSheetId="17">#REF!</definedName>
    <definedName name="S15P2" localSheetId="19">#REF!</definedName>
    <definedName name="S15P2">#REF!</definedName>
    <definedName name="S15P20" localSheetId="2">#REF!</definedName>
    <definedName name="S15P20" localSheetId="16">#REF!</definedName>
    <definedName name="S15P20" localSheetId="17">#REF!</definedName>
    <definedName name="S15P20" localSheetId="19">#REF!</definedName>
    <definedName name="S15P20">#REF!</definedName>
    <definedName name="S15P21" localSheetId="2">#REF!</definedName>
    <definedName name="S15P21" localSheetId="16">#REF!</definedName>
    <definedName name="S15P21" localSheetId="17">#REF!</definedName>
    <definedName name="S15P21" localSheetId="19">#REF!</definedName>
    <definedName name="S15P21">#REF!</definedName>
    <definedName name="S15P22" localSheetId="2">#REF!</definedName>
    <definedName name="S15P22" localSheetId="16">#REF!</definedName>
    <definedName name="S15P22" localSheetId="17">#REF!</definedName>
    <definedName name="S15P22" localSheetId="19">#REF!</definedName>
    <definedName name="S15P22">#REF!</definedName>
    <definedName name="S15P23" localSheetId="2">#REF!</definedName>
    <definedName name="S15P23" localSheetId="16">#REF!</definedName>
    <definedName name="S15P23" localSheetId="17">#REF!</definedName>
    <definedName name="S15P23" localSheetId="19">#REF!</definedName>
    <definedName name="S15P23">#REF!</definedName>
    <definedName name="S15P24" localSheetId="2">#REF!</definedName>
    <definedName name="S15P24" localSheetId="16">#REF!</definedName>
    <definedName name="S15P24" localSheetId="17">#REF!</definedName>
    <definedName name="S15P24" localSheetId="19">#REF!</definedName>
    <definedName name="S15P24">#REF!</definedName>
    <definedName name="S15P3" localSheetId="2">#REF!</definedName>
    <definedName name="S15P3" localSheetId="16">#REF!</definedName>
    <definedName name="S15P3" localSheetId="17">#REF!</definedName>
    <definedName name="S15P3" localSheetId="19">#REF!</definedName>
    <definedName name="S15P3">#REF!</definedName>
    <definedName name="S15P4" localSheetId="2">#REF!</definedName>
    <definedName name="S15P4" localSheetId="16">#REF!</definedName>
    <definedName name="S15P4" localSheetId="17">#REF!</definedName>
    <definedName name="S15P4" localSheetId="19">#REF!</definedName>
    <definedName name="S15P4">#REF!</definedName>
    <definedName name="S15P5" localSheetId="2">#REF!</definedName>
    <definedName name="S15P5" localSheetId="16">#REF!</definedName>
    <definedName name="S15P5" localSheetId="17">#REF!</definedName>
    <definedName name="S15P5" localSheetId="19">#REF!</definedName>
    <definedName name="S15P5">#REF!</definedName>
    <definedName name="S15P6" localSheetId="2">#REF!</definedName>
    <definedName name="S15P6" localSheetId="16">#REF!</definedName>
    <definedName name="S15P6" localSheetId="17">#REF!</definedName>
    <definedName name="S15P6" localSheetId="19">#REF!</definedName>
    <definedName name="S15P6">#REF!</definedName>
    <definedName name="S15P7" localSheetId="2">#REF!</definedName>
    <definedName name="S15P7" localSheetId="16">#REF!</definedName>
    <definedName name="S15P7" localSheetId="17">#REF!</definedName>
    <definedName name="S15P7" localSheetId="19">#REF!</definedName>
    <definedName name="S15P7">#REF!</definedName>
    <definedName name="S15P8" localSheetId="2">#REF!</definedName>
    <definedName name="S15P8" localSheetId="16">#REF!</definedName>
    <definedName name="S15P8" localSheetId="17">#REF!</definedName>
    <definedName name="S15P8" localSheetId="19">#REF!</definedName>
    <definedName name="S15P8">#REF!</definedName>
    <definedName name="S15P9" localSheetId="2">#REF!</definedName>
    <definedName name="S15P9" localSheetId="16">#REF!</definedName>
    <definedName name="S15P9" localSheetId="17">#REF!</definedName>
    <definedName name="S15P9" localSheetId="19">#REF!</definedName>
    <definedName name="S15P9">#REF!</definedName>
    <definedName name="S15R1" localSheetId="2">#REF!</definedName>
    <definedName name="S15R1" localSheetId="16">#REF!</definedName>
    <definedName name="S15R1" localSheetId="17">#REF!</definedName>
    <definedName name="S15R1" localSheetId="19">#REF!</definedName>
    <definedName name="S15R1">#REF!</definedName>
    <definedName name="S15R10" localSheetId="2">#REF!</definedName>
    <definedName name="S15R10" localSheetId="16">#REF!</definedName>
    <definedName name="S15R10" localSheetId="17">#REF!</definedName>
    <definedName name="S15R10" localSheetId="19">#REF!</definedName>
    <definedName name="S15R10">#REF!</definedName>
    <definedName name="S15R11" localSheetId="2">#REF!</definedName>
    <definedName name="S15R11" localSheetId="16">#REF!</definedName>
    <definedName name="S15R11" localSheetId="17">#REF!</definedName>
    <definedName name="S15R11" localSheetId="19">#REF!</definedName>
    <definedName name="S15R11">#REF!</definedName>
    <definedName name="S15R12" localSheetId="2">#REF!</definedName>
    <definedName name="S15R12" localSheetId="16">#REF!</definedName>
    <definedName name="S15R12" localSheetId="17">#REF!</definedName>
    <definedName name="S15R12" localSheetId="19">#REF!</definedName>
    <definedName name="S15R12">#REF!</definedName>
    <definedName name="S15R13" localSheetId="2">#REF!</definedName>
    <definedName name="S15R13" localSheetId="16">#REF!</definedName>
    <definedName name="S15R13" localSheetId="17">#REF!</definedName>
    <definedName name="S15R13" localSheetId="19">#REF!</definedName>
    <definedName name="S15R13">#REF!</definedName>
    <definedName name="S15R14" localSheetId="2">#REF!</definedName>
    <definedName name="S15R14" localSheetId="16">#REF!</definedName>
    <definedName name="S15R14" localSheetId="17">#REF!</definedName>
    <definedName name="S15R14" localSheetId="19">#REF!</definedName>
    <definedName name="S15R14">#REF!</definedName>
    <definedName name="S15R15" localSheetId="2">#REF!</definedName>
    <definedName name="S15R15" localSheetId="16">#REF!</definedName>
    <definedName name="S15R15" localSheetId="17">#REF!</definedName>
    <definedName name="S15R15" localSheetId="19">#REF!</definedName>
    <definedName name="S15R15">#REF!</definedName>
    <definedName name="S15R16" localSheetId="2">#REF!</definedName>
    <definedName name="S15R16" localSheetId="16">#REF!</definedName>
    <definedName name="S15R16" localSheetId="17">#REF!</definedName>
    <definedName name="S15R16" localSheetId="19">#REF!</definedName>
    <definedName name="S15R16">#REF!</definedName>
    <definedName name="S15R17" localSheetId="2">#REF!</definedName>
    <definedName name="S15R17" localSheetId="16">#REF!</definedName>
    <definedName name="S15R17" localSheetId="17">#REF!</definedName>
    <definedName name="S15R17" localSheetId="19">#REF!</definedName>
    <definedName name="S15R17">#REF!</definedName>
    <definedName name="S15R18" localSheetId="2">#REF!</definedName>
    <definedName name="S15R18" localSheetId="16">#REF!</definedName>
    <definedName name="S15R18" localSheetId="17">#REF!</definedName>
    <definedName name="S15R18" localSheetId="19">#REF!</definedName>
    <definedName name="S15R18">#REF!</definedName>
    <definedName name="S15R19" localSheetId="2">#REF!</definedName>
    <definedName name="S15R19" localSheetId="16">#REF!</definedName>
    <definedName name="S15R19" localSheetId="17">#REF!</definedName>
    <definedName name="S15R19" localSheetId="19">#REF!</definedName>
    <definedName name="S15R19">#REF!</definedName>
    <definedName name="S15R2" localSheetId="2">#REF!</definedName>
    <definedName name="S15R2" localSheetId="16">#REF!</definedName>
    <definedName name="S15R2" localSheetId="17">#REF!</definedName>
    <definedName name="S15R2" localSheetId="19">#REF!</definedName>
    <definedName name="S15R2">#REF!</definedName>
    <definedName name="S15R20" localSheetId="2">#REF!</definedName>
    <definedName name="S15R20" localSheetId="16">#REF!</definedName>
    <definedName name="S15R20" localSheetId="17">#REF!</definedName>
    <definedName name="S15R20" localSheetId="19">#REF!</definedName>
    <definedName name="S15R20">#REF!</definedName>
    <definedName name="S15R21" localSheetId="2">#REF!</definedName>
    <definedName name="S15R21" localSheetId="16">#REF!</definedName>
    <definedName name="S15R21" localSheetId="17">#REF!</definedName>
    <definedName name="S15R21" localSheetId="19">#REF!</definedName>
    <definedName name="S15R21">#REF!</definedName>
    <definedName name="S15R22" localSheetId="2">#REF!</definedName>
    <definedName name="S15R22" localSheetId="16">#REF!</definedName>
    <definedName name="S15R22" localSheetId="17">#REF!</definedName>
    <definedName name="S15R22" localSheetId="19">#REF!</definedName>
    <definedName name="S15R22">#REF!</definedName>
    <definedName name="S15R23" localSheetId="2">#REF!</definedName>
    <definedName name="S15R23" localSheetId="16">#REF!</definedName>
    <definedName name="S15R23" localSheetId="17">#REF!</definedName>
    <definedName name="S15R23" localSheetId="19">#REF!</definedName>
    <definedName name="S15R23">#REF!</definedName>
    <definedName name="S15R24" localSheetId="2">#REF!</definedName>
    <definedName name="S15R24" localSheetId="16">#REF!</definedName>
    <definedName name="S15R24" localSheetId="17">#REF!</definedName>
    <definedName name="S15R24" localSheetId="19">#REF!</definedName>
    <definedName name="S15R24">#REF!</definedName>
    <definedName name="S15R3" localSheetId="2">#REF!</definedName>
    <definedName name="S15R3" localSheetId="16">#REF!</definedName>
    <definedName name="S15R3" localSheetId="17">#REF!</definedName>
    <definedName name="S15R3" localSheetId="19">#REF!</definedName>
    <definedName name="S15R3">#REF!</definedName>
    <definedName name="S15R4" localSheetId="2">#REF!</definedName>
    <definedName name="S15R4" localSheetId="16">#REF!</definedName>
    <definedName name="S15R4" localSheetId="17">#REF!</definedName>
    <definedName name="S15R4" localSheetId="19">#REF!</definedName>
    <definedName name="S15R4">#REF!</definedName>
    <definedName name="S15R5" localSheetId="2">#REF!</definedName>
    <definedName name="S15R5" localSheetId="16">#REF!</definedName>
    <definedName name="S15R5" localSheetId="17">#REF!</definedName>
    <definedName name="S15R5" localSheetId="19">#REF!</definedName>
    <definedName name="S15R5">#REF!</definedName>
    <definedName name="S15R6" localSheetId="2">#REF!</definedName>
    <definedName name="S15R6" localSheetId="16">#REF!</definedName>
    <definedName name="S15R6" localSheetId="17">#REF!</definedName>
    <definedName name="S15R6" localSheetId="19">#REF!</definedName>
    <definedName name="S15R6">#REF!</definedName>
    <definedName name="S15R7" localSheetId="2">#REF!</definedName>
    <definedName name="S15R7" localSheetId="16">#REF!</definedName>
    <definedName name="S15R7" localSheetId="17">#REF!</definedName>
    <definedName name="S15R7" localSheetId="19">#REF!</definedName>
    <definedName name="S15R7">#REF!</definedName>
    <definedName name="S15R8" localSheetId="2">#REF!</definedName>
    <definedName name="S15R8" localSheetId="16">#REF!</definedName>
    <definedName name="S15R8" localSheetId="17">#REF!</definedName>
    <definedName name="S15R8" localSheetId="19">#REF!</definedName>
    <definedName name="S15R8">#REF!</definedName>
    <definedName name="S15R9" localSheetId="2">#REF!</definedName>
    <definedName name="S15R9" localSheetId="16">#REF!</definedName>
    <definedName name="S15R9" localSheetId="17">#REF!</definedName>
    <definedName name="S15R9" localSheetId="19">#REF!</definedName>
    <definedName name="S15R9">#REF!</definedName>
    <definedName name="S16P1" localSheetId="2">#REF!</definedName>
    <definedName name="S16P1" localSheetId="16">#REF!</definedName>
    <definedName name="S16P1" localSheetId="17">#REF!</definedName>
    <definedName name="S16P1" localSheetId="19">#REF!</definedName>
    <definedName name="S16P1">#REF!</definedName>
    <definedName name="S16P10" localSheetId="2">#REF!</definedName>
    <definedName name="S16P10" localSheetId="16">#REF!</definedName>
    <definedName name="S16P10" localSheetId="17">#REF!</definedName>
    <definedName name="S16P10" localSheetId="19">#REF!</definedName>
    <definedName name="S16P10">#REF!</definedName>
    <definedName name="S16P11" localSheetId="2">#REF!</definedName>
    <definedName name="S16P11" localSheetId="16">#REF!</definedName>
    <definedName name="S16P11" localSheetId="17">#REF!</definedName>
    <definedName name="S16P11" localSheetId="19">#REF!</definedName>
    <definedName name="S16P11">#REF!</definedName>
    <definedName name="S16P12" localSheetId="2">#REF!</definedName>
    <definedName name="S16P12" localSheetId="16">#REF!</definedName>
    <definedName name="S16P12" localSheetId="17">#REF!</definedName>
    <definedName name="S16P12" localSheetId="19">#REF!</definedName>
    <definedName name="S16P12">#REF!</definedName>
    <definedName name="S16P13" localSheetId="2">#REF!</definedName>
    <definedName name="S16P13" localSheetId="16">#REF!</definedName>
    <definedName name="S16P13" localSheetId="17">#REF!</definedName>
    <definedName name="S16P13" localSheetId="19">#REF!</definedName>
    <definedName name="S16P13">#REF!</definedName>
    <definedName name="S16P14" localSheetId="2">#REF!</definedName>
    <definedName name="S16P14" localSheetId="16">#REF!</definedName>
    <definedName name="S16P14" localSheetId="17">#REF!</definedName>
    <definedName name="S16P14" localSheetId="19">#REF!</definedName>
    <definedName name="S16P14">#REF!</definedName>
    <definedName name="S16P15" localSheetId="2">#REF!</definedName>
    <definedName name="S16P15" localSheetId="16">#REF!</definedName>
    <definedName name="S16P15" localSheetId="17">#REF!</definedName>
    <definedName name="S16P15" localSheetId="19">#REF!</definedName>
    <definedName name="S16P15">#REF!</definedName>
    <definedName name="S16P16" localSheetId="2">#REF!</definedName>
    <definedName name="S16P16" localSheetId="16">#REF!</definedName>
    <definedName name="S16P16" localSheetId="17">#REF!</definedName>
    <definedName name="S16P16" localSheetId="19">#REF!</definedName>
    <definedName name="S16P16">#REF!</definedName>
    <definedName name="S16P17" localSheetId="2">#REF!</definedName>
    <definedName name="S16P17" localSheetId="16">#REF!</definedName>
    <definedName name="S16P17" localSheetId="17">#REF!</definedName>
    <definedName name="S16P17" localSheetId="19">#REF!</definedName>
    <definedName name="S16P17">#REF!</definedName>
    <definedName name="S16P18" localSheetId="2">#REF!</definedName>
    <definedName name="S16P18" localSheetId="16">#REF!</definedName>
    <definedName name="S16P18" localSheetId="17">#REF!</definedName>
    <definedName name="S16P18" localSheetId="19">#REF!</definedName>
    <definedName name="S16P18">#REF!</definedName>
    <definedName name="S16P19" localSheetId="2">#REF!</definedName>
    <definedName name="S16P19" localSheetId="16">#REF!</definedName>
    <definedName name="S16P19" localSheetId="17">#REF!</definedName>
    <definedName name="S16P19" localSheetId="19">#REF!</definedName>
    <definedName name="S16P19">#REF!</definedName>
    <definedName name="S16P2" localSheetId="2">#REF!</definedName>
    <definedName name="S16P2" localSheetId="16">#REF!</definedName>
    <definedName name="S16P2" localSheetId="17">#REF!</definedName>
    <definedName name="S16P2" localSheetId="19">#REF!</definedName>
    <definedName name="S16P2">#REF!</definedName>
    <definedName name="S16P20" localSheetId="2">#REF!</definedName>
    <definedName name="S16P20" localSheetId="16">#REF!</definedName>
    <definedName name="S16P20" localSheetId="17">#REF!</definedName>
    <definedName name="S16P20" localSheetId="19">#REF!</definedName>
    <definedName name="S16P20">#REF!</definedName>
    <definedName name="S16P21" localSheetId="2">#REF!</definedName>
    <definedName name="S16P21" localSheetId="16">#REF!</definedName>
    <definedName name="S16P21" localSheetId="17">#REF!</definedName>
    <definedName name="S16P21" localSheetId="19">#REF!</definedName>
    <definedName name="S16P21">#REF!</definedName>
    <definedName name="S16P22" localSheetId="2">#REF!</definedName>
    <definedName name="S16P22" localSheetId="16">#REF!</definedName>
    <definedName name="S16P22" localSheetId="17">#REF!</definedName>
    <definedName name="S16P22" localSheetId="19">#REF!</definedName>
    <definedName name="S16P22">#REF!</definedName>
    <definedName name="S16P23" localSheetId="2">#REF!</definedName>
    <definedName name="S16P23" localSheetId="16">#REF!</definedName>
    <definedName name="S16P23" localSheetId="17">#REF!</definedName>
    <definedName name="S16P23" localSheetId="19">#REF!</definedName>
    <definedName name="S16P23">#REF!</definedName>
    <definedName name="S16P24" localSheetId="2">#REF!</definedName>
    <definedName name="S16P24" localSheetId="16">#REF!</definedName>
    <definedName name="S16P24" localSheetId="17">#REF!</definedName>
    <definedName name="S16P24" localSheetId="19">#REF!</definedName>
    <definedName name="S16P24">#REF!</definedName>
    <definedName name="S16P3" localSheetId="2">#REF!</definedName>
    <definedName name="S16P3" localSheetId="16">#REF!</definedName>
    <definedName name="S16P3" localSheetId="17">#REF!</definedName>
    <definedName name="S16P3" localSheetId="19">#REF!</definedName>
    <definedName name="S16P3">#REF!</definedName>
    <definedName name="S16P4" localSheetId="2">#REF!</definedName>
    <definedName name="S16P4" localSheetId="16">#REF!</definedName>
    <definedName name="S16P4" localSheetId="17">#REF!</definedName>
    <definedName name="S16P4" localSheetId="19">#REF!</definedName>
    <definedName name="S16P4">#REF!</definedName>
    <definedName name="S16P5" localSheetId="2">#REF!</definedName>
    <definedName name="S16P5" localSheetId="16">#REF!</definedName>
    <definedName name="S16P5" localSheetId="17">#REF!</definedName>
    <definedName name="S16P5" localSheetId="19">#REF!</definedName>
    <definedName name="S16P5">#REF!</definedName>
    <definedName name="S16P6" localSheetId="2">#REF!</definedName>
    <definedName name="S16P6" localSheetId="16">#REF!</definedName>
    <definedName name="S16P6" localSheetId="17">#REF!</definedName>
    <definedName name="S16P6" localSheetId="19">#REF!</definedName>
    <definedName name="S16P6">#REF!</definedName>
    <definedName name="S16P7" localSheetId="2">#REF!</definedName>
    <definedName name="S16P7" localSheetId="16">#REF!</definedName>
    <definedName name="S16P7" localSheetId="17">#REF!</definedName>
    <definedName name="S16P7" localSheetId="19">#REF!</definedName>
    <definedName name="S16P7">#REF!</definedName>
    <definedName name="S16P8" localSheetId="2">#REF!</definedName>
    <definedName name="S16P8" localSheetId="16">#REF!</definedName>
    <definedName name="S16P8" localSheetId="17">#REF!</definedName>
    <definedName name="S16P8" localSheetId="19">#REF!</definedName>
    <definedName name="S16P8">#REF!</definedName>
    <definedName name="S16P9" localSheetId="2">#REF!</definedName>
    <definedName name="S16P9" localSheetId="16">#REF!</definedName>
    <definedName name="S16P9" localSheetId="17">#REF!</definedName>
    <definedName name="S16P9" localSheetId="19">#REF!</definedName>
    <definedName name="S16P9">#REF!</definedName>
    <definedName name="S16R1" localSheetId="2">#REF!</definedName>
    <definedName name="S16R1" localSheetId="16">#REF!</definedName>
    <definedName name="S16R1" localSheetId="17">#REF!</definedName>
    <definedName name="S16R1" localSheetId="19">#REF!</definedName>
    <definedName name="S16R1">#REF!</definedName>
    <definedName name="S16R10" localSheetId="2">#REF!</definedName>
    <definedName name="S16R10" localSheetId="16">#REF!</definedName>
    <definedName name="S16R10" localSheetId="17">#REF!</definedName>
    <definedName name="S16R10" localSheetId="19">#REF!</definedName>
    <definedName name="S16R10">#REF!</definedName>
    <definedName name="S16R11" localSheetId="2">#REF!</definedName>
    <definedName name="S16R11" localSheetId="16">#REF!</definedName>
    <definedName name="S16R11" localSheetId="17">#REF!</definedName>
    <definedName name="S16R11" localSheetId="19">#REF!</definedName>
    <definedName name="S16R11">#REF!</definedName>
    <definedName name="S16R12" localSheetId="2">#REF!</definedName>
    <definedName name="S16R12" localSheetId="16">#REF!</definedName>
    <definedName name="S16R12" localSheetId="17">#REF!</definedName>
    <definedName name="S16R12" localSheetId="19">#REF!</definedName>
    <definedName name="S16R12">#REF!</definedName>
    <definedName name="S16R13" localSheetId="2">#REF!</definedName>
    <definedName name="S16R13" localSheetId="16">#REF!</definedName>
    <definedName name="S16R13" localSheetId="17">#REF!</definedName>
    <definedName name="S16R13" localSheetId="19">#REF!</definedName>
    <definedName name="S16R13">#REF!</definedName>
    <definedName name="S16R14" localSheetId="2">#REF!</definedName>
    <definedName name="S16R14" localSheetId="16">#REF!</definedName>
    <definedName name="S16R14" localSheetId="17">#REF!</definedName>
    <definedName name="S16R14" localSheetId="19">#REF!</definedName>
    <definedName name="S16R14">#REF!</definedName>
    <definedName name="S16R15" localSheetId="2">#REF!</definedName>
    <definedName name="S16R15" localSheetId="16">#REF!</definedName>
    <definedName name="S16R15" localSheetId="17">#REF!</definedName>
    <definedName name="S16R15" localSheetId="19">#REF!</definedName>
    <definedName name="S16R15">#REF!</definedName>
    <definedName name="S16R16" localSheetId="2">#REF!</definedName>
    <definedName name="S16R16" localSheetId="16">#REF!</definedName>
    <definedName name="S16R16" localSheetId="17">#REF!</definedName>
    <definedName name="S16R16" localSheetId="19">#REF!</definedName>
    <definedName name="S16R16">#REF!</definedName>
    <definedName name="S16R17" localSheetId="2">#REF!</definedName>
    <definedName name="S16R17" localSheetId="16">#REF!</definedName>
    <definedName name="S16R17" localSheetId="17">#REF!</definedName>
    <definedName name="S16R17" localSheetId="19">#REF!</definedName>
    <definedName name="S16R17">#REF!</definedName>
    <definedName name="S16R18" localSheetId="2">#REF!</definedName>
    <definedName name="S16R18" localSheetId="16">#REF!</definedName>
    <definedName name="S16R18" localSheetId="17">#REF!</definedName>
    <definedName name="S16R18" localSheetId="19">#REF!</definedName>
    <definedName name="S16R18">#REF!</definedName>
    <definedName name="S16R19" localSheetId="2">#REF!</definedName>
    <definedName name="S16R19" localSheetId="16">#REF!</definedName>
    <definedName name="S16R19" localSheetId="17">#REF!</definedName>
    <definedName name="S16R19" localSheetId="19">#REF!</definedName>
    <definedName name="S16R19">#REF!</definedName>
    <definedName name="S16R2" localSheetId="2">#REF!</definedName>
    <definedName name="S16R2" localSheetId="16">#REF!</definedName>
    <definedName name="S16R2" localSheetId="17">#REF!</definedName>
    <definedName name="S16R2" localSheetId="19">#REF!</definedName>
    <definedName name="S16R2">#REF!</definedName>
    <definedName name="S16R20" localSheetId="2">#REF!</definedName>
    <definedName name="S16R20" localSheetId="16">#REF!</definedName>
    <definedName name="S16R20" localSheetId="17">#REF!</definedName>
    <definedName name="S16R20" localSheetId="19">#REF!</definedName>
    <definedName name="S16R20">#REF!</definedName>
    <definedName name="S16R21" localSheetId="2">#REF!</definedName>
    <definedName name="S16R21" localSheetId="16">#REF!</definedName>
    <definedName name="S16R21" localSheetId="17">#REF!</definedName>
    <definedName name="S16R21" localSheetId="19">#REF!</definedName>
    <definedName name="S16R21">#REF!</definedName>
    <definedName name="S16R22" localSheetId="2">#REF!</definedName>
    <definedName name="S16R22" localSheetId="16">#REF!</definedName>
    <definedName name="S16R22" localSheetId="17">#REF!</definedName>
    <definedName name="S16R22" localSheetId="19">#REF!</definedName>
    <definedName name="S16R22">#REF!</definedName>
    <definedName name="S16R23" localSheetId="2">#REF!</definedName>
    <definedName name="S16R23" localSheetId="16">#REF!</definedName>
    <definedName name="S16R23" localSheetId="17">#REF!</definedName>
    <definedName name="S16R23" localSheetId="19">#REF!</definedName>
    <definedName name="S16R23">#REF!</definedName>
    <definedName name="S16R24" localSheetId="2">#REF!</definedName>
    <definedName name="S16R24" localSheetId="16">#REF!</definedName>
    <definedName name="S16R24" localSheetId="17">#REF!</definedName>
    <definedName name="S16R24" localSheetId="19">#REF!</definedName>
    <definedName name="S16R24">#REF!</definedName>
    <definedName name="S16R3" localSheetId="2">#REF!</definedName>
    <definedName name="S16R3" localSheetId="16">#REF!</definedName>
    <definedName name="S16R3" localSheetId="17">#REF!</definedName>
    <definedName name="S16R3" localSheetId="19">#REF!</definedName>
    <definedName name="S16R3">#REF!</definedName>
    <definedName name="S16R4" localSheetId="2">#REF!</definedName>
    <definedName name="S16R4" localSheetId="16">#REF!</definedName>
    <definedName name="S16R4" localSheetId="17">#REF!</definedName>
    <definedName name="S16R4" localSheetId="19">#REF!</definedName>
    <definedName name="S16R4">#REF!</definedName>
    <definedName name="S16R5" localSheetId="2">#REF!</definedName>
    <definedName name="S16R5" localSheetId="16">#REF!</definedName>
    <definedName name="S16R5" localSheetId="17">#REF!</definedName>
    <definedName name="S16R5" localSheetId="19">#REF!</definedName>
    <definedName name="S16R5">#REF!</definedName>
    <definedName name="S16R6" localSheetId="2">#REF!</definedName>
    <definedName name="S16R6" localSheetId="16">#REF!</definedName>
    <definedName name="S16R6" localSheetId="17">#REF!</definedName>
    <definedName name="S16R6" localSheetId="19">#REF!</definedName>
    <definedName name="S16R6">#REF!</definedName>
    <definedName name="S16R7" localSheetId="2">#REF!</definedName>
    <definedName name="S16R7" localSheetId="16">#REF!</definedName>
    <definedName name="S16R7" localSheetId="17">#REF!</definedName>
    <definedName name="S16R7" localSheetId="19">#REF!</definedName>
    <definedName name="S16R7">#REF!</definedName>
    <definedName name="S16R8" localSheetId="2">#REF!</definedName>
    <definedName name="S16R8" localSheetId="16">#REF!</definedName>
    <definedName name="S16R8" localSheetId="17">#REF!</definedName>
    <definedName name="S16R8" localSheetId="19">#REF!</definedName>
    <definedName name="S16R8">#REF!</definedName>
    <definedName name="S16R9" localSheetId="2">#REF!</definedName>
    <definedName name="S16R9" localSheetId="16">#REF!</definedName>
    <definedName name="S16R9" localSheetId="17">#REF!</definedName>
    <definedName name="S16R9" localSheetId="19">#REF!</definedName>
    <definedName name="S16R9">#REF!</definedName>
    <definedName name="S17P1" localSheetId="2">#REF!</definedName>
    <definedName name="S17P1" localSheetId="16">#REF!</definedName>
    <definedName name="S17P1" localSheetId="17">#REF!</definedName>
    <definedName name="S17P1" localSheetId="19">#REF!</definedName>
    <definedName name="S17P1">#REF!</definedName>
    <definedName name="S17P10" localSheetId="2">#REF!</definedName>
    <definedName name="S17P10" localSheetId="16">#REF!</definedName>
    <definedName name="S17P10" localSheetId="17">#REF!</definedName>
    <definedName name="S17P10" localSheetId="19">#REF!</definedName>
    <definedName name="S17P10">#REF!</definedName>
    <definedName name="S17P11" localSheetId="2">#REF!</definedName>
    <definedName name="S17P11" localSheetId="16">#REF!</definedName>
    <definedName name="S17P11" localSheetId="17">#REF!</definedName>
    <definedName name="S17P11" localSheetId="19">#REF!</definedName>
    <definedName name="S17P11">#REF!</definedName>
    <definedName name="S17P12" localSheetId="2">#REF!</definedName>
    <definedName name="S17P12" localSheetId="16">#REF!</definedName>
    <definedName name="S17P12" localSheetId="17">#REF!</definedName>
    <definedName name="S17P12" localSheetId="19">#REF!</definedName>
    <definedName name="S17P12">#REF!</definedName>
    <definedName name="S17P13" localSheetId="2">#REF!</definedName>
    <definedName name="S17P13" localSheetId="16">#REF!</definedName>
    <definedName name="S17P13" localSheetId="17">#REF!</definedName>
    <definedName name="S17P13" localSheetId="19">#REF!</definedName>
    <definedName name="S17P13">#REF!</definedName>
    <definedName name="S17P14" localSheetId="2">#REF!</definedName>
    <definedName name="S17P14" localSheetId="16">#REF!</definedName>
    <definedName name="S17P14" localSheetId="17">#REF!</definedName>
    <definedName name="S17P14" localSheetId="19">#REF!</definedName>
    <definedName name="S17P14">#REF!</definedName>
    <definedName name="S17P15" localSheetId="2">#REF!</definedName>
    <definedName name="S17P15" localSheetId="16">#REF!</definedName>
    <definedName name="S17P15" localSheetId="17">#REF!</definedName>
    <definedName name="S17P15" localSheetId="19">#REF!</definedName>
    <definedName name="S17P15">#REF!</definedName>
    <definedName name="S17P16" localSheetId="2">#REF!</definedName>
    <definedName name="S17P16" localSheetId="16">#REF!</definedName>
    <definedName name="S17P16" localSheetId="17">#REF!</definedName>
    <definedName name="S17P16" localSheetId="19">#REF!</definedName>
    <definedName name="S17P16">#REF!</definedName>
    <definedName name="S17P17" localSheetId="2">#REF!</definedName>
    <definedName name="S17P17" localSheetId="16">#REF!</definedName>
    <definedName name="S17P17" localSheetId="17">#REF!</definedName>
    <definedName name="S17P17" localSheetId="19">#REF!</definedName>
    <definedName name="S17P17">#REF!</definedName>
    <definedName name="S17P18" localSheetId="2">#REF!</definedName>
    <definedName name="S17P18" localSheetId="16">#REF!</definedName>
    <definedName name="S17P18" localSheetId="17">#REF!</definedName>
    <definedName name="S17P18" localSheetId="19">#REF!</definedName>
    <definedName name="S17P18">#REF!</definedName>
    <definedName name="S17P19" localSheetId="2">#REF!</definedName>
    <definedName name="S17P19" localSheetId="16">#REF!</definedName>
    <definedName name="S17P19" localSheetId="17">#REF!</definedName>
    <definedName name="S17P19" localSheetId="19">#REF!</definedName>
    <definedName name="S17P19">#REF!</definedName>
    <definedName name="S17P2" localSheetId="2">#REF!</definedName>
    <definedName name="S17P2" localSheetId="16">#REF!</definedName>
    <definedName name="S17P2" localSheetId="17">#REF!</definedName>
    <definedName name="S17P2" localSheetId="19">#REF!</definedName>
    <definedName name="S17P2">#REF!</definedName>
    <definedName name="S17P20" localSheetId="2">#REF!</definedName>
    <definedName name="S17P20" localSheetId="16">#REF!</definedName>
    <definedName name="S17P20" localSheetId="17">#REF!</definedName>
    <definedName name="S17P20" localSheetId="19">#REF!</definedName>
    <definedName name="S17P20">#REF!</definedName>
    <definedName name="S17P21" localSheetId="2">#REF!</definedName>
    <definedName name="S17P21" localSheetId="16">#REF!</definedName>
    <definedName name="S17P21" localSheetId="17">#REF!</definedName>
    <definedName name="S17P21" localSheetId="19">#REF!</definedName>
    <definedName name="S17P21">#REF!</definedName>
    <definedName name="S17P22" localSheetId="2">#REF!</definedName>
    <definedName name="S17P22" localSheetId="16">#REF!</definedName>
    <definedName name="S17P22" localSheetId="17">#REF!</definedName>
    <definedName name="S17P22" localSheetId="19">#REF!</definedName>
    <definedName name="S17P22">#REF!</definedName>
    <definedName name="S17P23" localSheetId="2">#REF!</definedName>
    <definedName name="S17P23" localSheetId="16">#REF!</definedName>
    <definedName name="S17P23" localSheetId="17">#REF!</definedName>
    <definedName name="S17P23" localSheetId="19">#REF!</definedName>
    <definedName name="S17P23">#REF!</definedName>
    <definedName name="S17P24" localSheetId="2">#REF!</definedName>
    <definedName name="S17P24" localSheetId="16">#REF!</definedName>
    <definedName name="S17P24" localSheetId="17">#REF!</definedName>
    <definedName name="S17P24" localSheetId="19">#REF!</definedName>
    <definedName name="S17P24">#REF!</definedName>
    <definedName name="S17P3" localSheetId="2">#REF!</definedName>
    <definedName name="S17P3" localSheetId="16">#REF!</definedName>
    <definedName name="S17P3" localSheetId="17">#REF!</definedName>
    <definedName name="S17P3" localSheetId="19">#REF!</definedName>
    <definedName name="S17P3">#REF!</definedName>
    <definedName name="S17P4" localSheetId="2">#REF!</definedName>
    <definedName name="S17P4" localSheetId="16">#REF!</definedName>
    <definedName name="S17P4" localSheetId="17">#REF!</definedName>
    <definedName name="S17P4" localSheetId="19">#REF!</definedName>
    <definedName name="S17P4">#REF!</definedName>
    <definedName name="S17P5" localSheetId="2">#REF!</definedName>
    <definedName name="S17P5" localSheetId="16">#REF!</definedName>
    <definedName name="S17P5" localSheetId="17">#REF!</definedName>
    <definedName name="S17P5" localSheetId="19">#REF!</definedName>
    <definedName name="S17P5">#REF!</definedName>
    <definedName name="S17P6" localSheetId="2">#REF!</definedName>
    <definedName name="S17P6" localSheetId="16">#REF!</definedName>
    <definedName name="S17P6" localSheetId="17">#REF!</definedName>
    <definedName name="S17P6" localSheetId="19">#REF!</definedName>
    <definedName name="S17P6">#REF!</definedName>
    <definedName name="S17P7" localSheetId="2">#REF!</definedName>
    <definedName name="S17P7" localSheetId="16">#REF!</definedName>
    <definedName name="S17P7" localSheetId="17">#REF!</definedName>
    <definedName name="S17P7" localSheetId="19">#REF!</definedName>
    <definedName name="S17P7">#REF!</definedName>
    <definedName name="S17P8" localSheetId="2">#REF!</definedName>
    <definedName name="S17P8" localSheetId="16">#REF!</definedName>
    <definedName name="S17P8" localSheetId="17">#REF!</definedName>
    <definedName name="S17P8" localSheetId="19">#REF!</definedName>
    <definedName name="S17P8">#REF!</definedName>
    <definedName name="S17P9" localSheetId="2">#REF!</definedName>
    <definedName name="S17P9" localSheetId="16">#REF!</definedName>
    <definedName name="S17P9" localSheetId="17">#REF!</definedName>
    <definedName name="S17P9" localSheetId="19">#REF!</definedName>
    <definedName name="S17P9">#REF!</definedName>
    <definedName name="S17R1" localSheetId="2">#REF!</definedName>
    <definedName name="S17R1" localSheetId="16">#REF!</definedName>
    <definedName name="S17R1" localSheetId="17">#REF!</definedName>
    <definedName name="S17R1" localSheetId="19">#REF!</definedName>
    <definedName name="S17R1">#REF!</definedName>
    <definedName name="S17R10" localSheetId="2">#REF!</definedName>
    <definedName name="S17R10" localSheetId="16">#REF!</definedName>
    <definedName name="S17R10" localSheetId="17">#REF!</definedName>
    <definedName name="S17R10" localSheetId="19">#REF!</definedName>
    <definedName name="S17R10">#REF!</definedName>
    <definedName name="S17R11" localSheetId="2">#REF!</definedName>
    <definedName name="S17R11" localSheetId="16">#REF!</definedName>
    <definedName name="S17R11" localSheetId="17">#REF!</definedName>
    <definedName name="S17R11" localSheetId="19">#REF!</definedName>
    <definedName name="S17R11">#REF!</definedName>
    <definedName name="S17R12" localSheetId="2">#REF!</definedName>
    <definedName name="S17R12" localSheetId="16">#REF!</definedName>
    <definedName name="S17R12" localSheetId="17">#REF!</definedName>
    <definedName name="S17R12" localSheetId="19">#REF!</definedName>
    <definedName name="S17R12">#REF!</definedName>
    <definedName name="S17R13" localSheetId="2">#REF!</definedName>
    <definedName name="S17R13" localSheetId="16">#REF!</definedName>
    <definedName name="S17R13" localSheetId="17">#REF!</definedName>
    <definedName name="S17R13" localSheetId="19">#REF!</definedName>
    <definedName name="S17R13">#REF!</definedName>
    <definedName name="S17R14" localSheetId="2">#REF!</definedName>
    <definedName name="S17R14" localSheetId="16">#REF!</definedName>
    <definedName name="S17R14" localSheetId="17">#REF!</definedName>
    <definedName name="S17R14" localSheetId="19">#REF!</definedName>
    <definedName name="S17R14">#REF!</definedName>
    <definedName name="S17R15" localSheetId="2">#REF!</definedName>
    <definedName name="S17R15" localSheetId="16">#REF!</definedName>
    <definedName name="S17R15" localSheetId="17">#REF!</definedName>
    <definedName name="S17R15" localSheetId="19">#REF!</definedName>
    <definedName name="S17R15">#REF!</definedName>
    <definedName name="S17R16" localSheetId="2">#REF!</definedName>
    <definedName name="S17R16" localSheetId="16">#REF!</definedName>
    <definedName name="S17R16" localSheetId="17">#REF!</definedName>
    <definedName name="S17R16" localSheetId="19">#REF!</definedName>
    <definedName name="S17R16">#REF!</definedName>
    <definedName name="S17R17" localSheetId="2">#REF!</definedName>
    <definedName name="S17R17" localSheetId="16">#REF!</definedName>
    <definedName name="S17R17" localSheetId="17">#REF!</definedName>
    <definedName name="S17R17" localSheetId="19">#REF!</definedName>
    <definedName name="S17R17">#REF!</definedName>
    <definedName name="S17R18" localSheetId="2">#REF!</definedName>
    <definedName name="S17R18" localSheetId="16">#REF!</definedName>
    <definedName name="S17R18" localSheetId="17">#REF!</definedName>
    <definedName name="S17R18" localSheetId="19">#REF!</definedName>
    <definedName name="S17R18">#REF!</definedName>
    <definedName name="S17R19" localSheetId="2">#REF!</definedName>
    <definedName name="S17R19" localSheetId="16">#REF!</definedName>
    <definedName name="S17R19" localSheetId="17">#REF!</definedName>
    <definedName name="S17R19" localSheetId="19">#REF!</definedName>
    <definedName name="S17R19">#REF!</definedName>
    <definedName name="S17R2" localSheetId="2">#REF!</definedName>
    <definedName name="S17R2" localSheetId="16">#REF!</definedName>
    <definedName name="S17R2" localSheetId="17">#REF!</definedName>
    <definedName name="S17R2" localSheetId="19">#REF!</definedName>
    <definedName name="S17R2">#REF!</definedName>
    <definedName name="S17R20" localSheetId="2">#REF!</definedName>
    <definedName name="S17R20" localSheetId="16">#REF!</definedName>
    <definedName name="S17R20" localSheetId="17">#REF!</definedName>
    <definedName name="S17R20" localSheetId="19">#REF!</definedName>
    <definedName name="S17R20">#REF!</definedName>
    <definedName name="S17R21" localSheetId="2">#REF!</definedName>
    <definedName name="S17R21" localSheetId="16">#REF!</definedName>
    <definedName name="S17R21" localSheetId="17">#REF!</definedName>
    <definedName name="S17R21" localSheetId="19">#REF!</definedName>
    <definedName name="S17R21">#REF!</definedName>
    <definedName name="S17R22" localSheetId="2">#REF!</definedName>
    <definedName name="S17R22" localSheetId="16">#REF!</definedName>
    <definedName name="S17R22" localSheetId="17">#REF!</definedName>
    <definedName name="S17R22" localSheetId="19">#REF!</definedName>
    <definedName name="S17R22">#REF!</definedName>
    <definedName name="S17R23" localSheetId="2">#REF!</definedName>
    <definedName name="S17R23" localSheetId="16">#REF!</definedName>
    <definedName name="S17R23" localSheetId="17">#REF!</definedName>
    <definedName name="S17R23" localSheetId="19">#REF!</definedName>
    <definedName name="S17R23">#REF!</definedName>
    <definedName name="S17R24" localSheetId="2">#REF!</definedName>
    <definedName name="S17R24" localSheetId="16">#REF!</definedName>
    <definedName name="S17R24" localSheetId="17">#REF!</definedName>
    <definedName name="S17R24" localSheetId="19">#REF!</definedName>
    <definedName name="S17R24">#REF!</definedName>
    <definedName name="S17R3" localSheetId="2">#REF!</definedName>
    <definedName name="S17R3" localSheetId="16">#REF!</definedName>
    <definedName name="S17R3" localSheetId="17">#REF!</definedName>
    <definedName name="S17R3" localSheetId="19">#REF!</definedName>
    <definedName name="S17R3">#REF!</definedName>
    <definedName name="S17R4" localSheetId="2">#REF!</definedName>
    <definedName name="S17R4" localSheetId="16">#REF!</definedName>
    <definedName name="S17R4" localSheetId="17">#REF!</definedName>
    <definedName name="S17R4" localSheetId="19">#REF!</definedName>
    <definedName name="S17R4">#REF!</definedName>
    <definedName name="S17R5" localSheetId="2">#REF!</definedName>
    <definedName name="S17R5" localSheetId="16">#REF!</definedName>
    <definedName name="S17R5" localSheetId="17">#REF!</definedName>
    <definedName name="S17R5" localSheetId="19">#REF!</definedName>
    <definedName name="S17R5">#REF!</definedName>
    <definedName name="S17R6" localSheetId="2">#REF!</definedName>
    <definedName name="S17R6" localSheetId="16">#REF!</definedName>
    <definedName name="S17R6" localSheetId="17">#REF!</definedName>
    <definedName name="S17R6" localSheetId="19">#REF!</definedName>
    <definedName name="S17R6">#REF!</definedName>
    <definedName name="S17R7" localSheetId="2">#REF!</definedName>
    <definedName name="S17R7" localSheetId="16">#REF!</definedName>
    <definedName name="S17R7" localSheetId="17">#REF!</definedName>
    <definedName name="S17R7" localSheetId="19">#REF!</definedName>
    <definedName name="S17R7">#REF!</definedName>
    <definedName name="S17R8" localSheetId="2">#REF!</definedName>
    <definedName name="S17R8" localSheetId="16">#REF!</definedName>
    <definedName name="S17R8" localSheetId="17">#REF!</definedName>
    <definedName name="S17R8" localSheetId="19">#REF!</definedName>
    <definedName name="S17R8">#REF!</definedName>
    <definedName name="S17R9" localSheetId="2">#REF!</definedName>
    <definedName name="S17R9" localSheetId="16">#REF!</definedName>
    <definedName name="S17R9" localSheetId="17">#REF!</definedName>
    <definedName name="S17R9" localSheetId="19">#REF!</definedName>
    <definedName name="S17R9">#REF!</definedName>
    <definedName name="S18P1" localSheetId="2">#REF!</definedName>
    <definedName name="S18P1" localSheetId="16">#REF!</definedName>
    <definedName name="S18P1" localSheetId="17">#REF!</definedName>
    <definedName name="S18P1" localSheetId="19">#REF!</definedName>
    <definedName name="S18P1">#REF!</definedName>
    <definedName name="S18P10" localSheetId="2">#REF!</definedName>
    <definedName name="S18P10" localSheetId="16">#REF!</definedName>
    <definedName name="S18P10" localSheetId="17">#REF!</definedName>
    <definedName name="S18P10" localSheetId="19">#REF!</definedName>
    <definedName name="S18P10">#REF!</definedName>
    <definedName name="S18P11" localSheetId="2">#REF!</definedName>
    <definedName name="S18P11" localSheetId="16">#REF!</definedName>
    <definedName name="S18P11" localSheetId="17">#REF!</definedName>
    <definedName name="S18P11" localSheetId="19">#REF!</definedName>
    <definedName name="S18P11">#REF!</definedName>
    <definedName name="S18P12" localSheetId="2">#REF!</definedName>
    <definedName name="S18P12" localSheetId="16">#REF!</definedName>
    <definedName name="S18P12" localSheetId="17">#REF!</definedName>
    <definedName name="S18P12" localSheetId="19">#REF!</definedName>
    <definedName name="S18P12">#REF!</definedName>
    <definedName name="S18P13" localSheetId="2">#REF!</definedName>
    <definedName name="S18P13" localSheetId="16">#REF!</definedName>
    <definedName name="S18P13" localSheetId="17">#REF!</definedName>
    <definedName name="S18P13" localSheetId="19">#REF!</definedName>
    <definedName name="S18P13">#REF!</definedName>
    <definedName name="S18P14" localSheetId="2">#REF!</definedName>
    <definedName name="S18P14" localSheetId="16">#REF!</definedName>
    <definedName name="S18P14" localSheetId="17">#REF!</definedName>
    <definedName name="S18P14" localSheetId="19">#REF!</definedName>
    <definedName name="S18P14">#REF!</definedName>
    <definedName name="S18P15" localSheetId="2">#REF!</definedName>
    <definedName name="S18P15" localSheetId="16">#REF!</definedName>
    <definedName name="S18P15" localSheetId="17">#REF!</definedName>
    <definedName name="S18P15" localSheetId="19">#REF!</definedName>
    <definedName name="S18P15">#REF!</definedName>
    <definedName name="S18P16" localSheetId="2">#REF!</definedName>
    <definedName name="S18P16" localSheetId="16">#REF!</definedName>
    <definedName name="S18P16" localSheetId="17">#REF!</definedName>
    <definedName name="S18P16" localSheetId="19">#REF!</definedName>
    <definedName name="S18P16">#REF!</definedName>
    <definedName name="S18P17" localSheetId="2">#REF!</definedName>
    <definedName name="S18P17" localSheetId="16">#REF!</definedName>
    <definedName name="S18P17" localSheetId="17">#REF!</definedName>
    <definedName name="S18P17" localSheetId="19">#REF!</definedName>
    <definedName name="S18P17">#REF!</definedName>
    <definedName name="S18P18" localSheetId="2">#REF!</definedName>
    <definedName name="S18P18" localSheetId="16">#REF!</definedName>
    <definedName name="S18P18" localSheetId="17">#REF!</definedName>
    <definedName name="S18P18" localSheetId="19">#REF!</definedName>
    <definedName name="S18P18">#REF!</definedName>
    <definedName name="S18P19" localSheetId="2">#REF!</definedName>
    <definedName name="S18P19" localSheetId="16">#REF!</definedName>
    <definedName name="S18P19" localSheetId="17">#REF!</definedName>
    <definedName name="S18P19" localSheetId="19">#REF!</definedName>
    <definedName name="S18P19">#REF!</definedName>
    <definedName name="S18P2" localSheetId="2">#REF!</definedName>
    <definedName name="S18P2" localSheetId="16">#REF!</definedName>
    <definedName name="S18P2" localSheetId="17">#REF!</definedName>
    <definedName name="S18P2" localSheetId="19">#REF!</definedName>
    <definedName name="S18P2">#REF!</definedName>
    <definedName name="S18P20" localSheetId="2">#REF!</definedName>
    <definedName name="S18P20" localSheetId="16">#REF!</definedName>
    <definedName name="S18P20" localSheetId="17">#REF!</definedName>
    <definedName name="S18P20" localSheetId="19">#REF!</definedName>
    <definedName name="S18P20">#REF!</definedName>
    <definedName name="S18P21" localSheetId="2">#REF!</definedName>
    <definedName name="S18P21" localSheetId="16">#REF!</definedName>
    <definedName name="S18P21" localSheetId="17">#REF!</definedName>
    <definedName name="S18P21" localSheetId="19">#REF!</definedName>
    <definedName name="S18P21">#REF!</definedName>
    <definedName name="S18P22" localSheetId="2">#REF!</definedName>
    <definedName name="S18P22" localSheetId="16">#REF!</definedName>
    <definedName name="S18P22" localSheetId="17">#REF!</definedName>
    <definedName name="S18P22" localSheetId="19">#REF!</definedName>
    <definedName name="S18P22">#REF!</definedName>
    <definedName name="S18P23" localSheetId="2">#REF!</definedName>
    <definedName name="S18P23" localSheetId="16">#REF!</definedName>
    <definedName name="S18P23" localSheetId="17">#REF!</definedName>
    <definedName name="S18P23" localSheetId="19">#REF!</definedName>
    <definedName name="S18P23">#REF!</definedName>
    <definedName name="S18P24" localSheetId="2">#REF!</definedName>
    <definedName name="S18P24" localSheetId="16">#REF!</definedName>
    <definedName name="S18P24" localSheetId="17">#REF!</definedName>
    <definedName name="S18P24" localSheetId="19">#REF!</definedName>
    <definedName name="S18P24">#REF!</definedName>
    <definedName name="S18P3" localSheetId="2">#REF!</definedName>
    <definedName name="S18P3" localSheetId="16">#REF!</definedName>
    <definedName name="S18P3" localSheetId="17">#REF!</definedName>
    <definedName name="S18P3" localSheetId="19">#REF!</definedName>
    <definedName name="S18P3">#REF!</definedName>
    <definedName name="S18P4" localSheetId="2">#REF!</definedName>
    <definedName name="S18P4" localSheetId="16">#REF!</definedName>
    <definedName name="S18P4" localSheetId="17">#REF!</definedName>
    <definedName name="S18P4" localSheetId="19">#REF!</definedName>
    <definedName name="S18P4">#REF!</definedName>
    <definedName name="S18P5" localSheetId="2">#REF!</definedName>
    <definedName name="S18P5" localSheetId="16">#REF!</definedName>
    <definedName name="S18P5" localSheetId="17">#REF!</definedName>
    <definedName name="S18P5" localSheetId="19">#REF!</definedName>
    <definedName name="S18P5">#REF!</definedName>
    <definedName name="S18P6" localSheetId="2">#REF!</definedName>
    <definedName name="S18P6" localSheetId="16">#REF!</definedName>
    <definedName name="S18P6" localSheetId="17">#REF!</definedName>
    <definedName name="S18P6" localSheetId="19">#REF!</definedName>
    <definedName name="S18P6">#REF!</definedName>
    <definedName name="S18P7" localSheetId="2">#REF!</definedName>
    <definedName name="S18P7" localSheetId="16">#REF!</definedName>
    <definedName name="S18P7" localSheetId="17">#REF!</definedName>
    <definedName name="S18P7" localSheetId="19">#REF!</definedName>
    <definedName name="S18P7">#REF!</definedName>
    <definedName name="S18P8" localSheetId="2">#REF!</definedName>
    <definedName name="S18P8" localSheetId="16">#REF!</definedName>
    <definedName name="S18P8" localSheetId="17">#REF!</definedName>
    <definedName name="S18P8" localSheetId="19">#REF!</definedName>
    <definedName name="S18P8">#REF!</definedName>
    <definedName name="S18P9" localSheetId="2">#REF!</definedName>
    <definedName name="S18P9" localSheetId="16">#REF!</definedName>
    <definedName name="S18P9" localSheetId="17">#REF!</definedName>
    <definedName name="S18P9" localSheetId="19">#REF!</definedName>
    <definedName name="S18P9">#REF!</definedName>
    <definedName name="S18R1" localSheetId="2">#REF!</definedName>
    <definedName name="S18R1" localSheetId="16">#REF!</definedName>
    <definedName name="S18R1" localSheetId="17">#REF!</definedName>
    <definedName name="S18R1" localSheetId="19">#REF!</definedName>
    <definedName name="S18R1">#REF!</definedName>
    <definedName name="S18R10" localSheetId="2">#REF!</definedName>
    <definedName name="S18R10" localSheetId="16">#REF!</definedName>
    <definedName name="S18R10" localSheetId="17">#REF!</definedName>
    <definedName name="S18R10" localSheetId="19">#REF!</definedName>
    <definedName name="S18R10">#REF!</definedName>
    <definedName name="S18R11" localSheetId="2">#REF!</definedName>
    <definedName name="S18R11" localSheetId="16">#REF!</definedName>
    <definedName name="S18R11" localSheetId="17">#REF!</definedName>
    <definedName name="S18R11" localSheetId="19">#REF!</definedName>
    <definedName name="S18R11">#REF!</definedName>
    <definedName name="S18R12" localSheetId="2">#REF!</definedName>
    <definedName name="S18R12" localSheetId="16">#REF!</definedName>
    <definedName name="S18R12" localSheetId="17">#REF!</definedName>
    <definedName name="S18R12" localSheetId="19">#REF!</definedName>
    <definedName name="S18R12">#REF!</definedName>
    <definedName name="S18R13" localSheetId="2">#REF!</definedName>
    <definedName name="S18R13" localSheetId="16">#REF!</definedName>
    <definedName name="S18R13" localSheetId="17">#REF!</definedName>
    <definedName name="S18R13" localSheetId="19">#REF!</definedName>
    <definedName name="S18R13">#REF!</definedName>
    <definedName name="S18R14" localSheetId="2">#REF!</definedName>
    <definedName name="S18R14" localSheetId="16">#REF!</definedName>
    <definedName name="S18R14" localSheetId="17">#REF!</definedName>
    <definedName name="S18R14" localSheetId="19">#REF!</definedName>
    <definedName name="S18R14">#REF!</definedName>
    <definedName name="S18R15" localSheetId="2">#REF!</definedName>
    <definedName name="S18R15" localSheetId="16">#REF!</definedName>
    <definedName name="S18R15" localSheetId="17">#REF!</definedName>
    <definedName name="S18R15" localSheetId="19">#REF!</definedName>
    <definedName name="S18R15">#REF!</definedName>
    <definedName name="S18R16" localSheetId="2">#REF!</definedName>
    <definedName name="S18R16" localSheetId="16">#REF!</definedName>
    <definedName name="S18R16" localSheetId="17">#REF!</definedName>
    <definedName name="S18R16" localSheetId="19">#REF!</definedName>
    <definedName name="S18R16">#REF!</definedName>
    <definedName name="S18R17" localSheetId="2">#REF!</definedName>
    <definedName name="S18R17" localSheetId="16">#REF!</definedName>
    <definedName name="S18R17" localSheetId="17">#REF!</definedName>
    <definedName name="S18R17" localSheetId="19">#REF!</definedName>
    <definedName name="S18R17">#REF!</definedName>
    <definedName name="S18R18" localSheetId="2">#REF!</definedName>
    <definedName name="S18R18" localSheetId="16">#REF!</definedName>
    <definedName name="S18R18" localSheetId="17">#REF!</definedName>
    <definedName name="S18R18" localSheetId="19">#REF!</definedName>
    <definedName name="S18R18">#REF!</definedName>
    <definedName name="S18R19" localSheetId="2">#REF!</definedName>
    <definedName name="S18R19" localSheetId="16">#REF!</definedName>
    <definedName name="S18R19" localSheetId="17">#REF!</definedName>
    <definedName name="S18R19" localSheetId="19">#REF!</definedName>
    <definedName name="S18R19">#REF!</definedName>
    <definedName name="S18R2" localSheetId="2">#REF!</definedName>
    <definedName name="S18R2" localSheetId="16">#REF!</definedName>
    <definedName name="S18R2" localSheetId="17">#REF!</definedName>
    <definedName name="S18R2" localSheetId="19">#REF!</definedName>
    <definedName name="S18R2">#REF!</definedName>
    <definedName name="S18R20" localSheetId="2">#REF!</definedName>
    <definedName name="S18R20" localSheetId="16">#REF!</definedName>
    <definedName name="S18R20" localSheetId="17">#REF!</definedName>
    <definedName name="S18R20" localSheetId="19">#REF!</definedName>
    <definedName name="S18R20">#REF!</definedName>
    <definedName name="S18R21" localSheetId="2">#REF!</definedName>
    <definedName name="S18R21" localSheetId="16">#REF!</definedName>
    <definedName name="S18R21" localSheetId="17">#REF!</definedName>
    <definedName name="S18R21" localSheetId="19">#REF!</definedName>
    <definedName name="S18R21">#REF!</definedName>
    <definedName name="S18R22" localSheetId="2">#REF!</definedName>
    <definedName name="S18R22" localSheetId="16">#REF!</definedName>
    <definedName name="S18R22" localSheetId="17">#REF!</definedName>
    <definedName name="S18R22" localSheetId="19">#REF!</definedName>
    <definedName name="S18R22">#REF!</definedName>
    <definedName name="S18R23" localSheetId="2">#REF!</definedName>
    <definedName name="S18R23" localSheetId="16">#REF!</definedName>
    <definedName name="S18R23" localSheetId="17">#REF!</definedName>
    <definedName name="S18R23" localSheetId="19">#REF!</definedName>
    <definedName name="S18R23">#REF!</definedName>
    <definedName name="S18R24" localSheetId="2">#REF!</definedName>
    <definedName name="S18R24" localSheetId="16">#REF!</definedName>
    <definedName name="S18R24" localSheetId="17">#REF!</definedName>
    <definedName name="S18R24" localSheetId="19">#REF!</definedName>
    <definedName name="S18R24">#REF!</definedName>
    <definedName name="S18R3" localSheetId="2">#REF!</definedName>
    <definedName name="S18R3" localSheetId="16">#REF!</definedName>
    <definedName name="S18R3" localSheetId="17">#REF!</definedName>
    <definedName name="S18R3" localSheetId="19">#REF!</definedName>
    <definedName name="S18R3">#REF!</definedName>
    <definedName name="S18R4" localSheetId="2">#REF!</definedName>
    <definedName name="S18R4" localSheetId="16">#REF!</definedName>
    <definedName name="S18R4" localSheetId="17">#REF!</definedName>
    <definedName name="S18R4" localSheetId="19">#REF!</definedName>
    <definedName name="S18R4">#REF!</definedName>
    <definedName name="S18R5" localSheetId="2">#REF!</definedName>
    <definedName name="S18R5" localSheetId="16">#REF!</definedName>
    <definedName name="S18R5" localSheetId="17">#REF!</definedName>
    <definedName name="S18R5" localSheetId="19">#REF!</definedName>
    <definedName name="S18R5">#REF!</definedName>
    <definedName name="S18R6" localSheetId="2">#REF!</definedName>
    <definedName name="S18R6" localSheetId="16">#REF!</definedName>
    <definedName name="S18R6" localSheetId="17">#REF!</definedName>
    <definedName name="S18R6" localSheetId="19">#REF!</definedName>
    <definedName name="S18R6">#REF!</definedName>
    <definedName name="S18R7" localSheetId="2">#REF!</definedName>
    <definedName name="S18R7" localSheetId="16">#REF!</definedName>
    <definedName name="S18R7" localSheetId="17">#REF!</definedName>
    <definedName name="S18R7" localSheetId="19">#REF!</definedName>
    <definedName name="S18R7">#REF!</definedName>
    <definedName name="S18R8" localSheetId="2">#REF!</definedName>
    <definedName name="S18R8" localSheetId="16">#REF!</definedName>
    <definedName name="S18R8" localSheetId="17">#REF!</definedName>
    <definedName name="S18R8" localSheetId="19">#REF!</definedName>
    <definedName name="S18R8">#REF!</definedName>
    <definedName name="S18R9" localSheetId="2">#REF!</definedName>
    <definedName name="S18R9" localSheetId="16">#REF!</definedName>
    <definedName name="S18R9" localSheetId="17">#REF!</definedName>
    <definedName name="S18R9" localSheetId="19">#REF!</definedName>
    <definedName name="S18R9">#REF!</definedName>
    <definedName name="S19P1" localSheetId="2">#REF!</definedName>
    <definedName name="S19P1" localSheetId="16">#REF!</definedName>
    <definedName name="S19P1" localSheetId="17">#REF!</definedName>
    <definedName name="S19P1" localSheetId="19">#REF!</definedName>
    <definedName name="S19P1">#REF!</definedName>
    <definedName name="S19P10" localSheetId="2">#REF!</definedName>
    <definedName name="S19P10" localSheetId="16">#REF!</definedName>
    <definedName name="S19P10" localSheetId="17">#REF!</definedName>
    <definedName name="S19P10" localSheetId="19">#REF!</definedName>
    <definedName name="S19P10">#REF!</definedName>
    <definedName name="S19P11" localSheetId="2">#REF!</definedName>
    <definedName name="S19P11" localSheetId="16">#REF!</definedName>
    <definedName name="S19P11" localSheetId="17">#REF!</definedName>
    <definedName name="S19P11" localSheetId="19">#REF!</definedName>
    <definedName name="S19P11">#REF!</definedName>
    <definedName name="S19P12" localSheetId="2">#REF!</definedName>
    <definedName name="S19P12" localSheetId="16">#REF!</definedName>
    <definedName name="S19P12" localSheetId="17">#REF!</definedName>
    <definedName name="S19P12" localSheetId="19">#REF!</definedName>
    <definedName name="S19P12">#REF!</definedName>
    <definedName name="S19P13" localSheetId="2">#REF!</definedName>
    <definedName name="S19P13" localSheetId="16">#REF!</definedName>
    <definedName name="S19P13" localSheetId="17">#REF!</definedName>
    <definedName name="S19P13" localSheetId="19">#REF!</definedName>
    <definedName name="S19P13">#REF!</definedName>
    <definedName name="S19P14" localSheetId="2">#REF!</definedName>
    <definedName name="S19P14" localSheetId="16">#REF!</definedName>
    <definedName name="S19P14" localSheetId="17">#REF!</definedName>
    <definedName name="S19P14" localSheetId="19">#REF!</definedName>
    <definedName name="S19P14">#REF!</definedName>
    <definedName name="S19P15" localSheetId="2">#REF!</definedName>
    <definedName name="S19P15" localSheetId="16">#REF!</definedName>
    <definedName name="S19P15" localSheetId="17">#REF!</definedName>
    <definedName name="S19P15" localSheetId="19">#REF!</definedName>
    <definedName name="S19P15">#REF!</definedName>
    <definedName name="S19P16" localSheetId="2">#REF!</definedName>
    <definedName name="S19P16" localSheetId="16">#REF!</definedName>
    <definedName name="S19P16" localSheetId="17">#REF!</definedName>
    <definedName name="S19P16" localSheetId="19">#REF!</definedName>
    <definedName name="S19P16">#REF!</definedName>
    <definedName name="S19P17" localSheetId="2">#REF!</definedName>
    <definedName name="S19P17" localSheetId="16">#REF!</definedName>
    <definedName name="S19P17" localSheetId="17">#REF!</definedName>
    <definedName name="S19P17" localSheetId="19">#REF!</definedName>
    <definedName name="S19P17">#REF!</definedName>
    <definedName name="S19P18" localSheetId="2">#REF!</definedName>
    <definedName name="S19P18" localSheetId="16">#REF!</definedName>
    <definedName name="S19P18" localSheetId="17">#REF!</definedName>
    <definedName name="S19P18" localSheetId="19">#REF!</definedName>
    <definedName name="S19P18">#REF!</definedName>
    <definedName name="S19P19" localSheetId="2">#REF!</definedName>
    <definedName name="S19P19" localSheetId="16">#REF!</definedName>
    <definedName name="S19P19" localSheetId="17">#REF!</definedName>
    <definedName name="S19P19" localSheetId="19">#REF!</definedName>
    <definedName name="S19P19">#REF!</definedName>
    <definedName name="S19P2" localSheetId="2">#REF!</definedName>
    <definedName name="S19P2" localSheetId="16">#REF!</definedName>
    <definedName name="S19P2" localSheetId="17">#REF!</definedName>
    <definedName name="S19P2" localSheetId="19">#REF!</definedName>
    <definedName name="S19P2">#REF!</definedName>
    <definedName name="S19P20" localSheetId="2">#REF!</definedName>
    <definedName name="S19P20" localSheetId="16">#REF!</definedName>
    <definedName name="S19P20" localSheetId="17">#REF!</definedName>
    <definedName name="S19P20" localSheetId="19">#REF!</definedName>
    <definedName name="S19P20">#REF!</definedName>
    <definedName name="S19P21" localSheetId="2">#REF!</definedName>
    <definedName name="S19P21" localSheetId="16">#REF!</definedName>
    <definedName name="S19P21" localSheetId="17">#REF!</definedName>
    <definedName name="S19P21" localSheetId="19">#REF!</definedName>
    <definedName name="S19P21">#REF!</definedName>
    <definedName name="S19P22" localSheetId="2">#REF!</definedName>
    <definedName name="S19P22" localSheetId="16">#REF!</definedName>
    <definedName name="S19P22" localSheetId="17">#REF!</definedName>
    <definedName name="S19P22" localSheetId="19">#REF!</definedName>
    <definedName name="S19P22">#REF!</definedName>
    <definedName name="S19P23" localSheetId="2">#REF!</definedName>
    <definedName name="S19P23" localSheetId="16">#REF!</definedName>
    <definedName name="S19P23" localSheetId="17">#REF!</definedName>
    <definedName name="S19P23" localSheetId="19">#REF!</definedName>
    <definedName name="S19P23">#REF!</definedName>
    <definedName name="S19P24" localSheetId="2">#REF!</definedName>
    <definedName name="S19P24" localSheetId="16">#REF!</definedName>
    <definedName name="S19P24" localSheetId="17">#REF!</definedName>
    <definedName name="S19P24" localSheetId="19">#REF!</definedName>
    <definedName name="S19P24">#REF!</definedName>
    <definedName name="S19P3" localSheetId="2">#REF!</definedName>
    <definedName name="S19P3" localSheetId="16">#REF!</definedName>
    <definedName name="S19P3" localSheetId="17">#REF!</definedName>
    <definedName name="S19P3" localSheetId="19">#REF!</definedName>
    <definedName name="S19P3">#REF!</definedName>
    <definedName name="S19P4" localSheetId="2">#REF!</definedName>
    <definedName name="S19P4" localSheetId="16">#REF!</definedName>
    <definedName name="S19P4" localSheetId="17">#REF!</definedName>
    <definedName name="S19P4" localSheetId="19">#REF!</definedName>
    <definedName name="S19P4">#REF!</definedName>
    <definedName name="S19P5" localSheetId="2">#REF!</definedName>
    <definedName name="S19P5" localSheetId="16">#REF!</definedName>
    <definedName name="S19P5" localSheetId="17">#REF!</definedName>
    <definedName name="S19P5" localSheetId="19">#REF!</definedName>
    <definedName name="S19P5">#REF!</definedName>
    <definedName name="S19P6" localSheetId="2">#REF!</definedName>
    <definedName name="S19P6" localSheetId="16">#REF!</definedName>
    <definedName name="S19P6" localSheetId="17">#REF!</definedName>
    <definedName name="S19P6" localSheetId="19">#REF!</definedName>
    <definedName name="S19P6">#REF!</definedName>
    <definedName name="S19P7" localSheetId="2">#REF!</definedName>
    <definedName name="S19P7" localSheetId="16">#REF!</definedName>
    <definedName name="S19P7" localSheetId="17">#REF!</definedName>
    <definedName name="S19P7" localSheetId="19">#REF!</definedName>
    <definedName name="S19P7">#REF!</definedName>
    <definedName name="S19P8" localSheetId="2">#REF!</definedName>
    <definedName name="S19P8" localSheetId="16">#REF!</definedName>
    <definedName name="S19P8" localSheetId="17">#REF!</definedName>
    <definedName name="S19P8" localSheetId="19">#REF!</definedName>
    <definedName name="S19P8">#REF!</definedName>
    <definedName name="S19P9" localSheetId="2">#REF!</definedName>
    <definedName name="S19P9" localSheetId="16">#REF!</definedName>
    <definedName name="S19P9" localSheetId="17">#REF!</definedName>
    <definedName name="S19P9" localSheetId="19">#REF!</definedName>
    <definedName name="S19P9">#REF!</definedName>
    <definedName name="S19R1" localSheetId="2">#REF!</definedName>
    <definedName name="S19R1" localSheetId="16">#REF!</definedName>
    <definedName name="S19R1" localSheetId="17">#REF!</definedName>
    <definedName name="S19R1" localSheetId="19">#REF!</definedName>
    <definedName name="S19R1">#REF!</definedName>
    <definedName name="S19R10" localSheetId="2">#REF!</definedName>
    <definedName name="S19R10" localSheetId="16">#REF!</definedName>
    <definedName name="S19R10" localSheetId="17">#REF!</definedName>
    <definedName name="S19R10" localSheetId="19">#REF!</definedName>
    <definedName name="S19R10">#REF!</definedName>
    <definedName name="S19R11" localSheetId="2">#REF!</definedName>
    <definedName name="S19R11" localSheetId="16">#REF!</definedName>
    <definedName name="S19R11" localSheetId="17">#REF!</definedName>
    <definedName name="S19R11" localSheetId="19">#REF!</definedName>
    <definedName name="S19R11">#REF!</definedName>
    <definedName name="S19R12" localSheetId="2">#REF!</definedName>
    <definedName name="S19R12" localSheetId="16">#REF!</definedName>
    <definedName name="S19R12" localSheetId="17">#REF!</definedName>
    <definedName name="S19R12" localSheetId="19">#REF!</definedName>
    <definedName name="S19R12">#REF!</definedName>
    <definedName name="S19R13" localSheetId="2">#REF!</definedName>
    <definedName name="S19R13" localSheetId="16">#REF!</definedName>
    <definedName name="S19R13" localSheetId="17">#REF!</definedName>
    <definedName name="S19R13" localSheetId="19">#REF!</definedName>
    <definedName name="S19R13">#REF!</definedName>
    <definedName name="S19R14" localSheetId="2">#REF!</definedName>
    <definedName name="S19R14" localSheetId="16">#REF!</definedName>
    <definedName name="S19R14" localSheetId="17">#REF!</definedName>
    <definedName name="S19R14" localSheetId="19">#REF!</definedName>
    <definedName name="S19R14">#REF!</definedName>
    <definedName name="S19R15" localSheetId="2">#REF!</definedName>
    <definedName name="S19R15" localSheetId="16">#REF!</definedName>
    <definedName name="S19R15" localSheetId="17">#REF!</definedName>
    <definedName name="S19R15" localSheetId="19">#REF!</definedName>
    <definedName name="S19R15">#REF!</definedName>
    <definedName name="S19R16" localSheetId="2">#REF!</definedName>
    <definedName name="S19R16" localSheetId="16">#REF!</definedName>
    <definedName name="S19R16" localSheetId="17">#REF!</definedName>
    <definedName name="S19R16" localSheetId="19">#REF!</definedName>
    <definedName name="S19R16">#REF!</definedName>
    <definedName name="S19R17" localSheetId="2">#REF!</definedName>
    <definedName name="S19R17" localSheetId="16">#REF!</definedName>
    <definedName name="S19R17" localSheetId="17">#REF!</definedName>
    <definedName name="S19R17" localSheetId="19">#REF!</definedName>
    <definedName name="S19R17">#REF!</definedName>
    <definedName name="S19R18" localSheetId="2">#REF!</definedName>
    <definedName name="S19R18" localSheetId="16">#REF!</definedName>
    <definedName name="S19R18" localSheetId="17">#REF!</definedName>
    <definedName name="S19R18" localSheetId="19">#REF!</definedName>
    <definedName name="S19R18">#REF!</definedName>
    <definedName name="S19R19" localSheetId="2">#REF!</definedName>
    <definedName name="S19R19" localSheetId="16">#REF!</definedName>
    <definedName name="S19R19" localSheetId="17">#REF!</definedName>
    <definedName name="S19R19" localSheetId="19">#REF!</definedName>
    <definedName name="S19R19">#REF!</definedName>
    <definedName name="S19R2" localSheetId="2">#REF!</definedName>
    <definedName name="S19R2" localSheetId="16">#REF!</definedName>
    <definedName name="S19R2" localSheetId="17">#REF!</definedName>
    <definedName name="S19R2" localSheetId="19">#REF!</definedName>
    <definedName name="S19R2">#REF!</definedName>
    <definedName name="S19R20" localSheetId="2">#REF!</definedName>
    <definedName name="S19R20" localSheetId="16">#REF!</definedName>
    <definedName name="S19R20" localSheetId="17">#REF!</definedName>
    <definedName name="S19R20" localSheetId="19">#REF!</definedName>
    <definedName name="S19R20">#REF!</definedName>
    <definedName name="S19R21" localSheetId="2">#REF!</definedName>
    <definedName name="S19R21" localSheetId="16">#REF!</definedName>
    <definedName name="S19R21" localSheetId="17">#REF!</definedName>
    <definedName name="S19R21" localSheetId="19">#REF!</definedName>
    <definedName name="S19R21">#REF!</definedName>
    <definedName name="S19R22" localSheetId="2">#REF!</definedName>
    <definedName name="S19R22" localSheetId="16">#REF!</definedName>
    <definedName name="S19R22" localSheetId="17">#REF!</definedName>
    <definedName name="S19R22" localSheetId="19">#REF!</definedName>
    <definedName name="S19R22">#REF!</definedName>
    <definedName name="S19R23" localSheetId="2">#REF!</definedName>
    <definedName name="S19R23" localSheetId="16">#REF!</definedName>
    <definedName name="S19R23" localSheetId="17">#REF!</definedName>
    <definedName name="S19R23" localSheetId="19">#REF!</definedName>
    <definedName name="S19R23">#REF!</definedName>
    <definedName name="S19R24" localSheetId="2">#REF!</definedName>
    <definedName name="S19R24" localSheetId="16">#REF!</definedName>
    <definedName name="S19R24" localSheetId="17">#REF!</definedName>
    <definedName name="S19R24" localSheetId="19">#REF!</definedName>
    <definedName name="S19R24">#REF!</definedName>
    <definedName name="S19R3" localSheetId="2">#REF!</definedName>
    <definedName name="S19R3" localSheetId="16">#REF!</definedName>
    <definedName name="S19R3" localSheetId="17">#REF!</definedName>
    <definedName name="S19R3" localSheetId="19">#REF!</definedName>
    <definedName name="S19R3">#REF!</definedName>
    <definedName name="S19R4" localSheetId="2">#REF!</definedName>
    <definedName name="S19R4" localSheetId="16">#REF!</definedName>
    <definedName name="S19R4" localSheetId="17">#REF!</definedName>
    <definedName name="S19R4" localSheetId="19">#REF!</definedName>
    <definedName name="S19R4">#REF!</definedName>
    <definedName name="S19R5" localSheetId="2">#REF!</definedName>
    <definedName name="S19R5" localSheetId="16">#REF!</definedName>
    <definedName name="S19R5" localSheetId="17">#REF!</definedName>
    <definedName name="S19R5" localSheetId="19">#REF!</definedName>
    <definedName name="S19R5">#REF!</definedName>
    <definedName name="S19R6" localSheetId="2">#REF!</definedName>
    <definedName name="S19R6" localSheetId="16">#REF!</definedName>
    <definedName name="S19R6" localSheetId="17">#REF!</definedName>
    <definedName name="S19R6" localSheetId="19">#REF!</definedName>
    <definedName name="S19R6">#REF!</definedName>
    <definedName name="S19R7" localSheetId="2">#REF!</definedName>
    <definedName name="S19R7" localSheetId="16">#REF!</definedName>
    <definedName name="S19R7" localSheetId="17">#REF!</definedName>
    <definedName name="S19R7" localSheetId="19">#REF!</definedName>
    <definedName name="S19R7">#REF!</definedName>
    <definedName name="S19R8" localSheetId="2">#REF!</definedName>
    <definedName name="S19R8" localSheetId="16">#REF!</definedName>
    <definedName name="S19R8" localSheetId="17">#REF!</definedName>
    <definedName name="S19R8" localSheetId="19">#REF!</definedName>
    <definedName name="S19R8">#REF!</definedName>
    <definedName name="S19R9" localSheetId="2">#REF!</definedName>
    <definedName name="S19R9" localSheetId="16">#REF!</definedName>
    <definedName name="S19R9" localSheetId="17">#REF!</definedName>
    <definedName name="S19R9" localSheetId="19">#REF!</definedName>
    <definedName name="S19R9">#REF!</definedName>
    <definedName name="S1P1" localSheetId="2">#REF!</definedName>
    <definedName name="S1P1" localSheetId="16">#REF!</definedName>
    <definedName name="S1P1" localSheetId="17">#REF!</definedName>
    <definedName name="S1P1" localSheetId="19">#REF!</definedName>
    <definedName name="S1P1">#REF!</definedName>
    <definedName name="S1P10" localSheetId="2">#REF!</definedName>
    <definedName name="S1P10" localSheetId="16">#REF!</definedName>
    <definedName name="S1P10" localSheetId="17">#REF!</definedName>
    <definedName name="S1P10" localSheetId="19">#REF!</definedName>
    <definedName name="S1P10">#REF!</definedName>
    <definedName name="S1P11" localSheetId="2">#REF!</definedName>
    <definedName name="S1P11" localSheetId="16">#REF!</definedName>
    <definedName name="S1P11" localSheetId="17">#REF!</definedName>
    <definedName name="S1P11" localSheetId="19">#REF!</definedName>
    <definedName name="S1P11">#REF!</definedName>
    <definedName name="S1P12" localSheetId="2">#REF!</definedName>
    <definedName name="S1P12" localSheetId="16">#REF!</definedName>
    <definedName name="S1P12" localSheetId="17">#REF!</definedName>
    <definedName name="S1P12" localSheetId="19">#REF!</definedName>
    <definedName name="S1P12">#REF!</definedName>
    <definedName name="S1P13" localSheetId="2">#REF!</definedName>
    <definedName name="S1P13" localSheetId="16">#REF!</definedName>
    <definedName name="S1P13" localSheetId="17">#REF!</definedName>
    <definedName name="S1P13" localSheetId="19">#REF!</definedName>
    <definedName name="S1P13">#REF!</definedName>
    <definedName name="S1P14" localSheetId="2">#REF!</definedName>
    <definedName name="S1P14" localSheetId="16">#REF!</definedName>
    <definedName name="S1P14" localSheetId="17">#REF!</definedName>
    <definedName name="S1P14" localSheetId="19">#REF!</definedName>
    <definedName name="S1P14">#REF!</definedName>
    <definedName name="S1P15" localSheetId="2">#REF!</definedName>
    <definedName name="S1P15" localSheetId="16">#REF!</definedName>
    <definedName name="S1P15" localSheetId="17">#REF!</definedName>
    <definedName name="S1P15" localSheetId="19">#REF!</definedName>
    <definedName name="S1P15">#REF!</definedName>
    <definedName name="S1P16" localSheetId="2">#REF!</definedName>
    <definedName name="S1P16" localSheetId="16">#REF!</definedName>
    <definedName name="S1P16" localSheetId="17">#REF!</definedName>
    <definedName name="S1P16" localSheetId="19">#REF!</definedName>
    <definedName name="S1P16">#REF!</definedName>
    <definedName name="S1P17" localSheetId="2">#REF!</definedName>
    <definedName name="S1P17" localSheetId="16">#REF!</definedName>
    <definedName name="S1P17" localSheetId="17">#REF!</definedName>
    <definedName name="S1P17" localSheetId="19">#REF!</definedName>
    <definedName name="S1P17">#REF!</definedName>
    <definedName name="S1P18" localSheetId="2">#REF!</definedName>
    <definedName name="S1P18" localSheetId="16">#REF!</definedName>
    <definedName name="S1P18" localSheetId="17">#REF!</definedName>
    <definedName name="S1P18" localSheetId="19">#REF!</definedName>
    <definedName name="S1P18">#REF!</definedName>
    <definedName name="S1P19" localSheetId="2">#REF!</definedName>
    <definedName name="S1P19" localSheetId="16">#REF!</definedName>
    <definedName name="S1P19" localSheetId="17">#REF!</definedName>
    <definedName name="S1P19" localSheetId="19">#REF!</definedName>
    <definedName name="S1P19">#REF!</definedName>
    <definedName name="S1P2" localSheetId="2">#REF!</definedName>
    <definedName name="S1P2" localSheetId="16">#REF!</definedName>
    <definedName name="S1P2" localSheetId="17">#REF!</definedName>
    <definedName name="S1P2" localSheetId="19">#REF!</definedName>
    <definedName name="S1P2">#REF!</definedName>
    <definedName name="S1P20" localSheetId="2">#REF!</definedName>
    <definedName name="S1P20" localSheetId="16">#REF!</definedName>
    <definedName name="S1P20" localSheetId="17">#REF!</definedName>
    <definedName name="S1P20" localSheetId="19">#REF!</definedName>
    <definedName name="S1P20">#REF!</definedName>
    <definedName name="S1P21" localSheetId="2">#REF!</definedName>
    <definedName name="S1P21" localSheetId="16">#REF!</definedName>
    <definedName name="S1P21" localSheetId="17">#REF!</definedName>
    <definedName name="S1P21" localSheetId="19">#REF!</definedName>
    <definedName name="S1P21">#REF!</definedName>
    <definedName name="S1P22" localSheetId="2">#REF!</definedName>
    <definedName name="S1P22" localSheetId="16">#REF!</definedName>
    <definedName name="S1P22" localSheetId="17">#REF!</definedName>
    <definedName name="S1P22" localSheetId="19">#REF!</definedName>
    <definedName name="S1P22">#REF!</definedName>
    <definedName name="S1P23" localSheetId="2">#REF!</definedName>
    <definedName name="S1P23" localSheetId="16">#REF!</definedName>
    <definedName name="S1P23" localSheetId="17">#REF!</definedName>
    <definedName name="S1P23" localSheetId="19">#REF!</definedName>
    <definedName name="S1P23">#REF!</definedName>
    <definedName name="S1P24" localSheetId="2">#REF!</definedName>
    <definedName name="S1P24" localSheetId="16">#REF!</definedName>
    <definedName name="S1P24" localSheetId="17">#REF!</definedName>
    <definedName name="S1P24" localSheetId="19">#REF!</definedName>
    <definedName name="S1P24">#REF!</definedName>
    <definedName name="S1P3" localSheetId="2">#REF!</definedName>
    <definedName name="S1P3" localSheetId="16">#REF!</definedName>
    <definedName name="S1P3" localSheetId="17">#REF!</definedName>
    <definedName name="S1P3" localSheetId="19">#REF!</definedName>
    <definedName name="S1P3">#REF!</definedName>
    <definedName name="S1P4" localSheetId="2">#REF!</definedName>
    <definedName name="S1P4" localSheetId="16">#REF!</definedName>
    <definedName name="S1P4" localSheetId="17">#REF!</definedName>
    <definedName name="S1P4" localSheetId="19">#REF!</definedName>
    <definedName name="S1P4">#REF!</definedName>
    <definedName name="S1P5" localSheetId="2">#REF!</definedName>
    <definedName name="S1P5" localSheetId="16">#REF!</definedName>
    <definedName name="S1P5" localSheetId="17">#REF!</definedName>
    <definedName name="S1P5" localSheetId="19">#REF!</definedName>
    <definedName name="S1P5">#REF!</definedName>
    <definedName name="S1P6" localSheetId="2">#REF!</definedName>
    <definedName name="S1P6" localSheetId="16">#REF!</definedName>
    <definedName name="S1P6" localSheetId="17">#REF!</definedName>
    <definedName name="S1P6" localSheetId="19">#REF!</definedName>
    <definedName name="S1P6">#REF!</definedName>
    <definedName name="S1P7" localSheetId="2">#REF!</definedName>
    <definedName name="S1P7" localSheetId="16">#REF!</definedName>
    <definedName name="S1P7" localSheetId="17">#REF!</definedName>
    <definedName name="S1P7" localSheetId="19">#REF!</definedName>
    <definedName name="S1P7">#REF!</definedName>
    <definedName name="S1P8" localSheetId="2">#REF!</definedName>
    <definedName name="S1P8" localSheetId="16">#REF!</definedName>
    <definedName name="S1P8" localSheetId="17">#REF!</definedName>
    <definedName name="S1P8" localSheetId="19">#REF!</definedName>
    <definedName name="S1P8">#REF!</definedName>
    <definedName name="S1P9" localSheetId="2">#REF!</definedName>
    <definedName name="S1P9" localSheetId="16">#REF!</definedName>
    <definedName name="S1P9" localSheetId="17">#REF!</definedName>
    <definedName name="S1P9" localSheetId="19">#REF!</definedName>
    <definedName name="S1P9">#REF!</definedName>
    <definedName name="S1R1" localSheetId="2">#REF!</definedName>
    <definedName name="S1R1" localSheetId="16">#REF!</definedName>
    <definedName name="S1R1" localSheetId="17">#REF!</definedName>
    <definedName name="S1R1" localSheetId="19">#REF!</definedName>
    <definedName name="S1R1">#REF!</definedName>
    <definedName name="S1R10" localSheetId="2">#REF!</definedName>
    <definedName name="S1R10" localSheetId="16">#REF!</definedName>
    <definedName name="S1R10" localSheetId="17">#REF!</definedName>
    <definedName name="S1R10" localSheetId="19">#REF!</definedName>
    <definedName name="S1R10">#REF!</definedName>
    <definedName name="S1R11" localSheetId="2">#REF!</definedName>
    <definedName name="S1R11" localSheetId="16">#REF!</definedName>
    <definedName name="S1R11" localSheetId="17">#REF!</definedName>
    <definedName name="S1R11" localSheetId="19">#REF!</definedName>
    <definedName name="S1R11">#REF!</definedName>
    <definedName name="S1R12" localSheetId="2">#REF!</definedName>
    <definedName name="S1R12" localSheetId="16">#REF!</definedName>
    <definedName name="S1R12" localSheetId="17">#REF!</definedName>
    <definedName name="S1R12" localSheetId="19">#REF!</definedName>
    <definedName name="S1R12">#REF!</definedName>
    <definedName name="S1R13" localSheetId="2">#REF!</definedName>
    <definedName name="S1R13" localSheetId="16">#REF!</definedName>
    <definedName name="S1R13" localSheetId="17">#REF!</definedName>
    <definedName name="S1R13" localSheetId="19">#REF!</definedName>
    <definedName name="S1R13">#REF!</definedName>
    <definedName name="S1R14" localSheetId="2">#REF!</definedName>
    <definedName name="S1R14" localSheetId="16">#REF!</definedName>
    <definedName name="S1R14" localSheetId="17">#REF!</definedName>
    <definedName name="S1R14" localSheetId="19">#REF!</definedName>
    <definedName name="S1R14">#REF!</definedName>
    <definedName name="S1R15" localSheetId="2">#REF!</definedName>
    <definedName name="S1R15" localSheetId="16">#REF!</definedName>
    <definedName name="S1R15" localSheetId="17">#REF!</definedName>
    <definedName name="S1R15" localSheetId="19">#REF!</definedName>
    <definedName name="S1R15">#REF!</definedName>
    <definedName name="S1R16" localSheetId="2">#REF!</definedName>
    <definedName name="S1R16" localSheetId="16">#REF!</definedName>
    <definedName name="S1R16" localSheetId="17">#REF!</definedName>
    <definedName name="S1R16" localSheetId="19">#REF!</definedName>
    <definedName name="S1R16">#REF!</definedName>
    <definedName name="S1R17" localSheetId="2">#REF!</definedName>
    <definedName name="S1R17" localSheetId="16">#REF!</definedName>
    <definedName name="S1R17" localSheetId="17">#REF!</definedName>
    <definedName name="S1R17" localSheetId="19">#REF!</definedName>
    <definedName name="S1R17">#REF!</definedName>
    <definedName name="S1R18" localSheetId="2">#REF!</definedName>
    <definedName name="S1R18" localSheetId="16">#REF!</definedName>
    <definedName name="S1R18" localSheetId="17">#REF!</definedName>
    <definedName name="S1R18" localSheetId="19">#REF!</definedName>
    <definedName name="S1R18">#REF!</definedName>
    <definedName name="S1R19" localSheetId="2">#REF!</definedName>
    <definedName name="S1R19" localSheetId="16">#REF!</definedName>
    <definedName name="S1R19" localSheetId="17">#REF!</definedName>
    <definedName name="S1R19" localSheetId="19">#REF!</definedName>
    <definedName name="S1R19">#REF!</definedName>
    <definedName name="S1R2" localSheetId="2">#REF!</definedName>
    <definedName name="S1R2" localSheetId="16">#REF!</definedName>
    <definedName name="S1R2" localSheetId="17">#REF!</definedName>
    <definedName name="S1R2" localSheetId="19">#REF!</definedName>
    <definedName name="S1R2">#REF!</definedName>
    <definedName name="S1R20" localSheetId="2">#REF!</definedName>
    <definedName name="S1R20" localSheetId="16">#REF!</definedName>
    <definedName name="S1R20" localSheetId="17">#REF!</definedName>
    <definedName name="S1R20" localSheetId="19">#REF!</definedName>
    <definedName name="S1R20">#REF!</definedName>
    <definedName name="S1R21" localSheetId="2">#REF!</definedName>
    <definedName name="S1R21" localSheetId="16">#REF!</definedName>
    <definedName name="S1R21" localSheetId="17">#REF!</definedName>
    <definedName name="S1R21" localSheetId="19">#REF!</definedName>
    <definedName name="S1R21">#REF!</definedName>
    <definedName name="S1R22" localSheetId="2">#REF!</definedName>
    <definedName name="S1R22" localSheetId="16">#REF!</definedName>
    <definedName name="S1R22" localSheetId="17">#REF!</definedName>
    <definedName name="S1R22" localSheetId="19">#REF!</definedName>
    <definedName name="S1R22">#REF!</definedName>
    <definedName name="S1R23" localSheetId="2">#REF!</definedName>
    <definedName name="S1R23" localSheetId="16">#REF!</definedName>
    <definedName name="S1R23" localSheetId="17">#REF!</definedName>
    <definedName name="S1R23" localSheetId="19">#REF!</definedName>
    <definedName name="S1R23">#REF!</definedName>
    <definedName name="S1R24" localSheetId="2">#REF!</definedName>
    <definedName name="S1R24" localSheetId="16">#REF!</definedName>
    <definedName name="S1R24" localSheetId="17">#REF!</definedName>
    <definedName name="S1R24" localSheetId="19">#REF!</definedName>
    <definedName name="S1R24">#REF!</definedName>
    <definedName name="S1R3" localSheetId="2">#REF!</definedName>
    <definedName name="S1R3" localSheetId="16">#REF!</definedName>
    <definedName name="S1R3" localSheetId="17">#REF!</definedName>
    <definedName name="S1R3" localSheetId="19">#REF!</definedName>
    <definedName name="S1R3">#REF!</definedName>
    <definedName name="S1R4" localSheetId="2">#REF!</definedName>
    <definedName name="S1R4" localSheetId="16">#REF!</definedName>
    <definedName name="S1R4" localSheetId="17">#REF!</definedName>
    <definedName name="S1R4" localSheetId="19">#REF!</definedName>
    <definedName name="S1R4">#REF!</definedName>
    <definedName name="S1R5" localSheetId="2">#REF!</definedName>
    <definedName name="S1R5" localSheetId="16">#REF!</definedName>
    <definedName name="S1R5" localSheetId="17">#REF!</definedName>
    <definedName name="S1R5" localSheetId="19">#REF!</definedName>
    <definedName name="S1R5">#REF!</definedName>
    <definedName name="S1R6" localSheetId="2">#REF!</definedName>
    <definedName name="S1R6" localSheetId="16">#REF!</definedName>
    <definedName name="S1R6" localSheetId="17">#REF!</definedName>
    <definedName name="S1R6" localSheetId="19">#REF!</definedName>
    <definedName name="S1R6">#REF!</definedName>
    <definedName name="S1R7" localSheetId="2">#REF!</definedName>
    <definedName name="S1R7" localSheetId="16">#REF!</definedName>
    <definedName name="S1R7" localSheetId="17">#REF!</definedName>
    <definedName name="S1R7" localSheetId="19">#REF!</definedName>
    <definedName name="S1R7">#REF!</definedName>
    <definedName name="S1R8" localSheetId="2">#REF!</definedName>
    <definedName name="S1R8" localSheetId="16">#REF!</definedName>
    <definedName name="S1R8" localSheetId="17">#REF!</definedName>
    <definedName name="S1R8" localSheetId="19">#REF!</definedName>
    <definedName name="S1R8">#REF!</definedName>
    <definedName name="S1R9" localSheetId="2">#REF!</definedName>
    <definedName name="S1R9" localSheetId="16">#REF!</definedName>
    <definedName name="S1R9" localSheetId="17">#REF!</definedName>
    <definedName name="S1R9" localSheetId="19">#REF!</definedName>
    <definedName name="S1R9">#REF!</definedName>
    <definedName name="S20P1" localSheetId="2">#REF!</definedName>
    <definedName name="S20P1" localSheetId="16">#REF!</definedName>
    <definedName name="S20P1" localSheetId="17">#REF!</definedName>
    <definedName name="S20P1" localSheetId="19">#REF!</definedName>
    <definedName name="S20P1">#REF!</definedName>
    <definedName name="S20P10" localSheetId="2">#REF!</definedName>
    <definedName name="S20P10" localSheetId="16">#REF!</definedName>
    <definedName name="S20P10" localSheetId="17">#REF!</definedName>
    <definedName name="S20P10" localSheetId="19">#REF!</definedName>
    <definedName name="S20P10">#REF!</definedName>
    <definedName name="S20P11" localSheetId="2">#REF!</definedName>
    <definedName name="S20P11" localSheetId="16">#REF!</definedName>
    <definedName name="S20P11" localSheetId="17">#REF!</definedName>
    <definedName name="S20P11" localSheetId="19">#REF!</definedName>
    <definedName name="S20P11">#REF!</definedName>
    <definedName name="S20P12" localSheetId="2">#REF!</definedName>
    <definedName name="S20P12" localSheetId="16">#REF!</definedName>
    <definedName name="S20P12" localSheetId="17">#REF!</definedName>
    <definedName name="S20P12" localSheetId="19">#REF!</definedName>
    <definedName name="S20P12">#REF!</definedName>
    <definedName name="S20P13" localSheetId="2">#REF!</definedName>
    <definedName name="S20P13" localSheetId="16">#REF!</definedName>
    <definedName name="S20P13" localSheetId="17">#REF!</definedName>
    <definedName name="S20P13" localSheetId="19">#REF!</definedName>
    <definedName name="S20P13">#REF!</definedName>
    <definedName name="S20P14" localSheetId="2">#REF!</definedName>
    <definedName name="S20P14" localSheetId="16">#REF!</definedName>
    <definedName name="S20P14" localSheetId="17">#REF!</definedName>
    <definedName name="S20P14" localSheetId="19">#REF!</definedName>
    <definedName name="S20P14">#REF!</definedName>
    <definedName name="S20P15" localSheetId="2">#REF!</definedName>
    <definedName name="S20P15" localSheetId="16">#REF!</definedName>
    <definedName name="S20P15" localSheetId="17">#REF!</definedName>
    <definedName name="S20P15" localSheetId="19">#REF!</definedName>
    <definedName name="S20P15">#REF!</definedName>
    <definedName name="S20P16" localSheetId="2">#REF!</definedName>
    <definedName name="S20P16" localSheetId="16">#REF!</definedName>
    <definedName name="S20P16" localSheetId="17">#REF!</definedName>
    <definedName name="S20P16" localSheetId="19">#REF!</definedName>
    <definedName name="S20P16">#REF!</definedName>
    <definedName name="S20P17" localSheetId="2">#REF!</definedName>
    <definedName name="S20P17" localSheetId="16">#REF!</definedName>
    <definedName name="S20P17" localSheetId="17">#REF!</definedName>
    <definedName name="S20P17" localSheetId="19">#REF!</definedName>
    <definedName name="S20P17">#REF!</definedName>
    <definedName name="S20P18" localSheetId="2">#REF!</definedName>
    <definedName name="S20P18" localSheetId="16">#REF!</definedName>
    <definedName name="S20P18" localSheetId="17">#REF!</definedName>
    <definedName name="S20P18" localSheetId="19">#REF!</definedName>
    <definedName name="S20P18">#REF!</definedName>
    <definedName name="S20P19" localSheetId="2">#REF!</definedName>
    <definedName name="S20P19" localSheetId="16">#REF!</definedName>
    <definedName name="S20P19" localSheetId="17">#REF!</definedName>
    <definedName name="S20P19" localSheetId="19">#REF!</definedName>
    <definedName name="S20P19">#REF!</definedName>
    <definedName name="S20P2" localSheetId="2">#REF!</definedName>
    <definedName name="S20P2" localSheetId="16">#REF!</definedName>
    <definedName name="S20P2" localSheetId="17">#REF!</definedName>
    <definedName name="S20P2" localSheetId="19">#REF!</definedName>
    <definedName name="S20P2">#REF!</definedName>
    <definedName name="S20P20" localSheetId="2">#REF!</definedName>
    <definedName name="S20P20" localSheetId="16">#REF!</definedName>
    <definedName name="S20P20" localSheetId="17">#REF!</definedName>
    <definedName name="S20P20" localSheetId="19">#REF!</definedName>
    <definedName name="S20P20">#REF!</definedName>
    <definedName name="S20P21" localSheetId="2">#REF!</definedName>
    <definedName name="S20P21" localSheetId="16">#REF!</definedName>
    <definedName name="S20P21" localSheetId="17">#REF!</definedName>
    <definedName name="S20P21" localSheetId="19">#REF!</definedName>
    <definedName name="S20P21">#REF!</definedName>
    <definedName name="S20P22" localSheetId="2">#REF!</definedName>
    <definedName name="S20P22" localSheetId="16">#REF!</definedName>
    <definedName name="S20P22" localSheetId="17">#REF!</definedName>
    <definedName name="S20P22" localSheetId="19">#REF!</definedName>
    <definedName name="S20P22">#REF!</definedName>
    <definedName name="S20P23" localSheetId="2">#REF!</definedName>
    <definedName name="S20P23" localSheetId="16">#REF!</definedName>
    <definedName name="S20P23" localSheetId="17">#REF!</definedName>
    <definedName name="S20P23" localSheetId="19">#REF!</definedName>
    <definedName name="S20P23">#REF!</definedName>
    <definedName name="S20P24" localSheetId="2">#REF!</definedName>
    <definedName name="S20P24" localSheetId="16">#REF!</definedName>
    <definedName name="S20P24" localSheetId="17">#REF!</definedName>
    <definedName name="S20P24" localSheetId="19">#REF!</definedName>
    <definedName name="S20P24">#REF!</definedName>
    <definedName name="S20P3" localSheetId="2">#REF!</definedName>
    <definedName name="S20P3" localSheetId="16">#REF!</definedName>
    <definedName name="S20P3" localSheetId="17">#REF!</definedName>
    <definedName name="S20P3" localSheetId="19">#REF!</definedName>
    <definedName name="S20P3">#REF!</definedName>
    <definedName name="S20P4" localSheetId="2">#REF!</definedName>
    <definedName name="S20P4" localSheetId="16">#REF!</definedName>
    <definedName name="S20P4" localSheetId="17">#REF!</definedName>
    <definedName name="S20P4" localSheetId="19">#REF!</definedName>
    <definedName name="S20P4">#REF!</definedName>
    <definedName name="S20P5" localSheetId="2">#REF!</definedName>
    <definedName name="S20P5" localSheetId="16">#REF!</definedName>
    <definedName name="S20P5" localSheetId="17">#REF!</definedName>
    <definedName name="S20P5" localSheetId="19">#REF!</definedName>
    <definedName name="S20P5">#REF!</definedName>
    <definedName name="S20P6" localSheetId="2">#REF!</definedName>
    <definedName name="S20P6" localSheetId="16">#REF!</definedName>
    <definedName name="S20P6" localSheetId="17">#REF!</definedName>
    <definedName name="S20P6" localSheetId="19">#REF!</definedName>
    <definedName name="S20P6">#REF!</definedName>
    <definedName name="S20P7" localSheetId="2">#REF!</definedName>
    <definedName name="S20P7" localSheetId="16">#REF!</definedName>
    <definedName name="S20P7" localSheetId="17">#REF!</definedName>
    <definedName name="S20P7" localSheetId="19">#REF!</definedName>
    <definedName name="S20P7">#REF!</definedName>
    <definedName name="S20P8" localSheetId="2">#REF!</definedName>
    <definedName name="S20P8" localSheetId="16">#REF!</definedName>
    <definedName name="S20P8" localSheetId="17">#REF!</definedName>
    <definedName name="S20P8" localSheetId="19">#REF!</definedName>
    <definedName name="S20P8">#REF!</definedName>
    <definedName name="S20P9" localSheetId="2">#REF!</definedName>
    <definedName name="S20P9" localSheetId="16">#REF!</definedName>
    <definedName name="S20P9" localSheetId="17">#REF!</definedName>
    <definedName name="S20P9" localSheetId="19">#REF!</definedName>
    <definedName name="S20P9">#REF!</definedName>
    <definedName name="S20R1" localSheetId="2">#REF!</definedName>
    <definedName name="S20R1" localSheetId="16">#REF!</definedName>
    <definedName name="S20R1" localSheetId="17">#REF!</definedName>
    <definedName name="S20R1" localSheetId="19">#REF!</definedName>
    <definedName name="S20R1">#REF!</definedName>
    <definedName name="S20R10" localSheetId="2">#REF!</definedName>
    <definedName name="S20R10" localSheetId="16">#REF!</definedName>
    <definedName name="S20R10" localSheetId="17">#REF!</definedName>
    <definedName name="S20R10" localSheetId="19">#REF!</definedName>
    <definedName name="S20R10">#REF!</definedName>
    <definedName name="S20R11" localSheetId="2">#REF!</definedName>
    <definedName name="S20R11" localSheetId="16">#REF!</definedName>
    <definedName name="S20R11" localSheetId="17">#REF!</definedName>
    <definedName name="S20R11" localSheetId="19">#REF!</definedName>
    <definedName name="S20R11">#REF!</definedName>
    <definedName name="S20R12" localSheetId="2">#REF!</definedName>
    <definedName name="S20R12" localSheetId="16">#REF!</definedName>
    <definedName name="S20R12" localSheetId="17">#REF!</definedName>
    <definedName name="S20R12" localSheetId="19">#REF!</definedName>
    <definedName name="S20R12">#REF!</definedName>
    <definedName name="S20R13" localSheetId="2">#REF!</definedName>
    <definedName name="S20R13" localSheetId="16">#REF!</definedName>
    <definedName name="S20R13" localSheetId="17">#REF!</definedName>
    <definedName name="S20R13" localSheetId="19">#REF!</definedName>
    <definedName name="S20R13">#REF!</definedName>
    <definedName name="S20R14" localSheetId="2">#REF!</definedName>
    <definedName name="S20R14" localSheetId="16">#REF!</definedName>
    <definedName name="S20R14" localSheetId="17">#REF!</definedName>
    <definedName name="S20R14" localSheetId="19">#REF!</definedName>
    <definedName name="S20R14">#REF!</definedName>
    <definedName name="S20R15" localSheetId="2">#REF!</definedName>
    <definedName name="S20R15" localSheetId="16">#REF!</definedName>
    <definedName name="S20R15" localSheetId="17">#REF!</definedName>
    <definedName name="S20R15" localSheetId="19">#REF!</definedName>
    <definedName name="S20R15">#REF!</definedName>
    <definedName name="S20R16" localSheetId="2">#REF!</definedName>
    <definedName name="S20R16" localSheetId="16">#REF!</definedName>
    <definedName name="S20R16" localSheetId="17">#REF!</definedName>
    <definedName name="S20R16" localSheetId="19">#REF!</definedName>
    <definedName name="S20R16">#REF!</definedName>
    <definedName name="S20R17" localSheetId="2">#REF!</definedName>
    <definedName name="S20R17" localSheetId="16">#REF!</definedName>
    <definedName name="S20R17" localSheetId="17">#REF!</definedName>
    <definedName name="S20R17" localSheetId="19">#REF!</definedName>
    <definedName name="S20R17">#REF!</definedName>
    <definedName name="S20R18" localSheetId="2">#REF!</definedName>
    <definedName name="S20R18" localSheetId="16">#REF!</definedName>
    <definedName name="S20R18" localSheetId="17">#REF!</definedName>
    <definedName name="S20R18" localSheetId="19">#REF!</definedName>
    <definedName name="S20R18">#REF!</definedName>
    <definedName name="S20R19" localSheetId="2">#REF!</definedName>
    <definedName name="S20R19" localSheetId="16">#REF!</definedName>
    <definedName name="S20R19" localSheetId="17">#REF!</definedName>
    <definedName name="S20R19" localSheetId="19">#REF!</definedName>
    <definedName name="S20R19">#REF!</definedName>
    <definedName name="S20R2" localSheetId="2">#REF!</definedName>
    <definedName name="S20R2" localSheetId="16">#REF!</definedName>
    <definedName name="S20R2" localSheetId="17">#REF!</definedName>
    <definedName name="S20R2" localSheetId="19">#REF!</definedName>
    <definedName name="S20R2">#REF!</definedName>
    <definedName name="S20R20" localSheetId="2">#REF!</definedName>
    <definedName name="S20R20" localSheetId="16">#REF!</definedName>
    <definedName name="S20R20" localSheetId="17">#REF!</definedName>
    <definedName name="S20R20" localSheetId="19">#REF!</definedName>
    <definedName name="S20R20">#REF!</definedName>
    <definedName name="S20R21" localSheetId="2">#REF!</definedName>
    <definedName name="S20R21" localSheetId="16">#REF!</definedName>
    <definedName name="S20R21" localSheetId="17">#REF!</definedName>
    <definedName name="S20R21" localSheetId="19">#REF!</definedName>
    <definedName name="S20R21">#REF!</definedName>
    <definedName name="S20R22" localSheetId="2">#REF!</definedName>
    <definedName name="S20R22" localSheetId="16">#REF!</definedName>
    <definedName name="S20R22" localSheetId="17">#REF!</definedName>
    <definedName name="S20R22" localSheetId="19">#REF!</definedName>
    <definedName name="S20R22">#REF!</definedName>
    <definedName name="S20R23" localSheetId="2">#REF!</definedName>
    <definedName name="S20R23" localSheetId="16">#REF!</definedName>
    <definedName name="S20R23" localSheetId="17">#REF!</definedName>
    <definedName name="S20R23" localSheetId="19">#REF!</definedName>
    <definedName name="S20R23">#REF!</definedName>
    <definedName name="S20R24" localSheetId="2">#REF!</definedName>
    <definedName name="S20R24" localSheetId="16">#REF!</definedName>
    <definedName name="S20R24" localSheetId="17">#REF!</definedName>
    <definedName name="S20R24" localSheetId="19">#REF!</definedName>
    <definedName name="S20R24">#REF!</definedName>
    <definedName name="S20R3" localSheetId="2">#REF!</definedName>
    <definedName name="S20R3" localSheetId="16">#REF!</definedName>
    <definedName name="S20R3" localSheetId="17">#REF!</definedName>
    <definedName name="S20R3" localSheetId="19">#REF!</definedName>
    <definedName name="S20R3">#REF!</definedName>
    <definedName name="S20R4" localSheetId="2">#REF!</definedName>
    <definedName name="S20R4" localSheetId="16">#REF!</definedName>
    <definedName name="S20R4" localSheetId="17">#REF!</definedName>
    <definedName name="S20R4" localSheetId="19">#REF!</definedName>
    <definedName name="S20R4">#REF!</definedName>
    <definedName name="S20R5" localSheetId="2">#REF!</definedName>
    <definedName name="S20R5" localSheetId="16">#REF!</definedName>
    <definedName name="S20R5" localSheetId="17">#REF!</definedName>
    <definedName name="S20R5" localSheetId="19">#REF!</definedName>
    <definedName name="S20R5">#REF!</definedName>
    <definedName name="S20R6" localSheetId="2">#REF!</definedName>
    <definedName name="S20R6" localSheetId="16">#REF!</definedName>
    <definedName name="S20R6" localSheetId="17">#REF!</definedName>
    <definedName name="S20R6" localSheetId="19">#REF!</definedName>
    <definedName name="S20R6">#REF!</definedName>
    <definedName name="S20R7" localSheetId="2">#REF!</definedName>
    <definedName name="S20R7" localSheetId="16">#REF!</definedName>
    <definedName name="S20R7" localSheetId="17">#REF!</definedName>
    <definedName name="S20R7" localSheetId="19">#REF!</definedName>
    <definedName name="S20R7">#REF!</definedName>
    <definedName name="S20R8" localSheetId="2">#REF!</definedName>
    <definedName name="S20R8" localSheetId="16">#REF!</definedName>
    <definedName name="S20R8" localSheetId="17">#REF!</definedName>
    <definedName name="S20R8" localSheetId="19">#REF!</definedName>
    <definedName name="S20R8">#REF!</definedName>
    <definedName name="S20R9" localSheetId="2">#REF!</definedName>
    <definedName name="S20R9" localSheetId="16">#REF!</definedName>
    <definedName name="S20R9" localSheetId="17">#REF!</definedName>
    <definedName name="S20R9" localSheetId="19">#REF!</definedName>
    <definedName name="S20R9">#REF!</definedName>
    <definedName name="S21P1" localSheetId="2">#REF!</definedName>
    <definedName name="S21P1" localSheetId="16">#REF!</definedName>
    <definedName name="S21P1" localSheetId="17">#REF!</definedName>
    <definedName name="S21P1" localSheetId="19">#REF!</definedName>
    <definedName name="S21P1">#REF!</definedName>
    <definedName name="S21P10" localSheetId="2">#REF!</definedName>
    <definedName name="S21P10" localSheetId="16">#REF!</definedName>
    <definedName name="S21P10" localSheetId="17">#REF!</definedName>
    <definedName name="S21P10" localSheetId="19">#REF!</definedName>
    <definedName name="S21P10">#REF!</definedName>
    <definedName name="S21P11" localSheetId="2">#REF!</definedName>
    <definedName name="S21P11" localSheetId="16">#REF!</definedName>
    <definedName name="S21P11" localSheetId="17">#REF!</definedName>
    <definedName name="S21P11" localSheetId="19">#REF!</definedName>
    <definedName name="S21P11">#REF!</definedName>
    <definedName name="S21P12" localSheetId="2">#REF!</definedName>
    <definedName name="S21P12" localSheetId="16">#REF!</definedName>
    <definedName name="S21P12" localSheetId="17">#REF!</definedName>
    <definedName name="S21P12" localSheetId="19">#REF!</definedName>
    <definedName name="S21P12">#REF!</definedName>
    <definedName name="S21P13" localSheetId="2">#REF!</definedName>
    <definedName name="S21P13" localSheetId="16">#REF!</definedName>
    <definedName name="S21P13" localSheetId="17">#REF!</definedName>
    <definedName name="S21P13" localSheetId="19">#REF!</definedName>
    <definedName name="S21P13">#REF!</definedName>
    <definedName name="S21P14" localSheetId="2">#REF!</definedName>
    <definedName name="S21P14" localSheetId="16">#REF!</definedName>
    <definedName name="S21P14" localSheetId="17">#REF!</definedName>
    <definedName name="S21P14" localSheetId="19">#REF!</definedName>
    <definedName name="S21P14">#REF!</definedName>
    <definedName name="S21P15" localSheetId="2">#REF!</definedName>
    <definedName name="S21P15" localSheetId="16">#REF!</definedName>
    <definedName name="S21P15" localSheetId="17">#REF!</definedName>
    <definedName name="S21P15" localSheetId="19">#REF!</definedName>
    <definedName name="S21P15">#REF!</definedName>
    <definedName name="S21P16" localSheetId="2">#REF!</definedName>
    <definedName name="S21P16" localSheetId="16">#REF!</definedName>
    <definedName name="S21P16" localSheetId="17">#REF!</definedName>
    <definedName name="S21P16" localSheetId="19">#REF!</definedName>
    <definedName name="S21P16">#REF!</definedName>
    <definedName name="S21P17" localSheetId="2">#REF!</definedName>
    <definedName name="S21P17" localSheetId="16">#REF!</definedName>
    <definedName name="S21P17" localSheetId="17">#REF!</definedName>
    <definedName name="S21P17" localSheetId="19">#REF!</definedName>
    <definedName name="S21P17">#REF!</definedName>
    <definedName name="S21P18" localSheetId="2">#REF!</definedName>
    <definedName name="S21P18" localSheetId="16">#REF!</definedName>
    <definedName name="S21P18" localSheetId="17">#REF!</definedName>
    <definedName name="S21P18" localSheetId="19">#REF!</definedName>
    <definedName name="S21P18">#REF!</definedName>
    <definedName name="S21P19" localSheetId="2">#REF!</definedName>
    <definedName name="S21P19" localSheetId="16">#REF!</definedName>
    <definedName name="S21P19" localSheetId="17">#REF!</definedName>
    <definedName name="S21P19" localSheetId="19">#REF!</definedName>
    <definedName name="S21P19">#REF!</definedName>
    <definedName name="S21P2" localSheetId="2">#REF!</definedName>
    <definedName name="S21P2" localSheetId="16">#REF!</definedName>
    <definedName name="S21P2" localSheetId="17">#REF!</definedName>
    <definedName name="S21P2" localSheetId="19">#REF!</definedName>
    <definedName name="S21P2">#REF!</definedName>
    <definedName name="S21P20" localSheetId="2">#REF!</definedName>
    <definedName name="S21P20" localSheetId="16">#REF!</definedName>
    <definedName name="S21P20" localSheetId="17">#REF!</definedName>
    <definedName name="S21P20" localSheetId="19">#REF!</definedName>
    <definedName name="S21P20">#REF!</definedName>
    <definedName name="S21P21" localSheetId="2">#REF!</definedName>
    <definedName name="S21P21" localSheetId="16">#REF!</definedName>
    <definedName name="S21P21" localSheetId="17">#REF!</definedName>
    <definedName name="S21P21" localSheetId="19">#REF!</definedName>
    <definedName name="S21P21">#REF!</definedName>
    <definedName name="S21P22" localSheetId="2">#REF!</definedName>
    <definedName name="S21P22" localSheetId="16">#REF!</definedName>
    <definedName name="S21P22" localSheetId="17">#REF!</definedName>
    <definedName name="S21P22" localSheetId="19">#REF!</definedName>
    <definedName name="S21P22">#REF!</definedName>
    <definedName name="S21P23" localSheetId="2">#REF!</definedName>
    <definedName name="S21P23" localSheetId="16">#REF!</definedName>
    <definedName name="S21P23" localSheetId="17">#REF!</definedName>
    <definedName name="S21P23" localSheetId="19">#REF!</definedName>
    <definedName name="S21P23">#REF!</definedName>
    <definedName name="S21P24" localSheetId="2">#REF!</definedName>
    <definedName name="S21P24" localSheetId="16">#REF!</definedName>
    <definedName name="S21P24" localSheetId="17">#REF!</definedName>
    <definedName name="S21P24" localSheetId="19">#REF!</definedName>
    <definedName name="S21P24">#REF!</definedName>
    <definedName name="S21P3" localSheetId="2">#REF!</definedName>
    <definedName name="S21P3" localSheetId="16">#REF!</definedName>
    <definedName name="S21P3" localSheetId="17">#REF!</definedName>
    <definedName name="S21P3" localSheetId="19">#REF!</definedName>
    <definedName name="S21P3">#REF!</definedName>
    <definedName name="S21P4" localSheetId="2">#REF!</definedName>
    <definedName name="S21P4" localSheetId="16">#REF!</definedName>
    <definedName name="S21P4" localSheetId="17">#REF!</definedName>
    <definedName name="S21P4" localSheetId="19">#REF!</definedName>
    <definedName name="S21P4">#REF!</definedName>
    <definedName name="S21P5" localSheetId="2">#REF!</definedName>
    <definedName name="S21P5" localSheetId="16">#REF!</definedName>
    <definedName name="S21P5" localSheetId="17">#REF!</definedName>
    <definedName name="S21P5" localSheetId="19">#REF!</definedName>
    <definedName name="S21P5">#REF!</definedName>
    <definedName name="S21P6" localSheetId="2">#REF!</definedName>
    <definedName name="S21P6" localSheetId="16">#REF!</definedName>
    <definedName name="S21P6" localSheetId="17">#REF!</definedName>
    <definedName name="S21P6" localSheetId="19">#REF!</definedName>
    <definedName name="S21P6">#REF!</definedName>
    <definedName name="S21P7" localSheetId="2">#REF!</definedName>
    <definedName name="S21P7" localSheetId="16">#REF!</definedName>
    <definedName name="S21P7" localSheetId="17">#REF!</definedName>
    <definedName name="S21P7" localSheetId="19">#REF!</definedName>
    <definedName name="S21P7">#REF!</definedName>
    <definedName name="S21P8" localSheetId="2">#REF!</definedName>
    <definedName name="S21P8" localSheetId="16">#REF!</definedName>
    <definedName name="S21P8" localSheetId="17">#REF!</definedName>
    <definedName name="S21P8" localSheetId="19">#REF!</definedName>
    <definedName name="S21P8">#REF!</definedName>
    <definedName name="S21P9" localSheetId="2">#REF!</definedName>
    <definedName name="S21P9" localSheetId="16">#REF!</definedName>
    <definedName name="S21P9" localSheetId="17">#REF!</definedName>
    <definedName name="S21P9" localSheetId="19">#REF!</definedName>
    <definedName name="S21P9">#REF!</definedName>
    <definedName name="S21R1" localSheetId="2">#REF!</definedName>
    <definedName name="S21R1" localSheetId="16">#REF!</definedName>
    <definedName name="S21R1" localSheetId="17">#REF!</definedName>
    <definedName name="S21R1" localSheetId="19">#REF!</definedName>
    <definedName name="S21R1">#REF!</definedName>
    <definedName name="S21R10" localSheetId="2">#REF!</definedName>
    <definedName name="S21R10" localSheetId="16">#REF!</definedName>
    <definedName name="S21R10" localSheetId="17">#REF!</definedName>
    <definedName name="S21R10" localSheetId="19">#REF!</definedName>
    <definedName name="S21R10">#REF!</definedName>
    <definedName name="S21R11" localSheetId="2">#REF!</definedName>
    <definedName name="S21R11" localSheetId="16">#REF!</definedName>
    <definedName name="S21R11" localSheetId="17">#REF!</definedName>
    <definedName name="S21R11" localSheetId="19">#REF!</definedName>
    <definedName name="S21R11">#REF!</definedName>
    <definedName name="S21R12" localSheetId="2">#REF!</definedName>
    <definedName name="S21R12" localSheetId="16">#REF!</definedName>
    <definedName name="S21R12" localSheetId="17">#REF!</definedName>
    <definedName name="S21R12" localSheetId="19">#REF!</definedName>
    <definedName name="S21R12">#REF!</definedName>
    <definedName name="S21R13" localSheetId="2">#REF!</definedName>
    <definedName name="S21R13" localSheetId="16">#REF!</definedName>
    <definedName name="S21R13" localSheetId="17">#REF!</definedName>
    <definedName name="S21R13" localSheetId="19">#REF!</definedName>
    <definedName name="S21R13">#REF!</definedName>
    <definedName name="S21R14" localSheetId="2">#REF!</definedName>
    <definedName name="S21R14" localSheetId="16">#REF!</definedName>
    <definedName name="S21R14" localSheetId="17">#REF!</definedName>
    <definedName name="S21R14" localSheetId="19">#REF!</definedName>
    <definedName name="S21R14">#REF!</definedName>
    <definedName name="S21R15" localSheetId="2">#REF!</definedName>
    <definedName name="S21R15" localSheetId="16">#REF!</definedName>
    <definedName name="S21R15" localSheetId="17">#REF!</definedName>
    <definedName name="S21R15" localSheetId="19">#REF!</definedName>
    <definedName name="S21R15">#REF!</definedName>
    <definedName name="S21R16" localSheetId="2">#REF!</definedName>
    <definedName name="S21R16" localSheetId="16">#REF!</definedName>
    <definedName name="S21R16" localSheetId="17">#REF!</definedName>
    <definedName name="S21R16" localSheetId="19">#REF!</definedName>
    <definedName name="S21R16">#REF!</definedName>
    <definedName name="S21R17" localSheetId="2">#REF!</definedName>
    <definedName name="S21R17" localSheetId="16">#REF!</definedName>
    <definedName name="S21R17" localSheetId="17">#REF!</definedName>
    <definedName name="S21R17" localSheetId="19">#REF!</definedName>
    <definedName name="S21R17">#REF!</definedName>
    <definedName name="S21R18" localSheetId="2">#REF!</definedName>
    <definedName name="S21R18" localSheetId="16">#REF!</definedName>
    <definedName name="S21R18" localSheetId="17">#REF!</definedName>
    <definedName name="S21R18" localSheetId="19">#REF!</definedName>
    <definedName name="S21R18">#REF!</definedName>
    <definedName name="S21R19" localSheetId="2">#REF!</definedName>
    <definedName name="S21R19" localSheetId="16">#REF!</definedName>
    <definedName name="S21R19" localSheetId="17">#REF!</definedName>
    <definedName name="S21R19" localSheetId="19">#REF!</definedName>
    <definedName name="S21R19">#REF!</definedName>
    <definedName name="S21R2" localSheetId="2">#REF!</definedName>
    <definedName name="S21R2" localSheetId="16">#REF!</definedName>
    <definedName name="S21R2" localSheetId="17">#REF!</definedName>
    <definedName name="S21R2" localSheetId="19">#REF!</definedName>
    <definedName name="S21R2">#REF!</definedName>
    <definedName name="S21R20" localSheetId="2">#REF!</definedName>
    <definedName name="S21R20" localSheetId="16">#REF!</definedName>
    <definedName name="S21R20" localSheetId="17">#REF!</definedName>
    <definedName name="S21R20" localSheetId="19">#REF!</definedName>
    <definedName name="S21R20">#REF!</definedName>
    <definedName name="S21R21" localSheetId="2">#REF!</definedName>
    <definedName name="S21R21" localSheetId="16">#REF!</definedName>
    <definedName name="S21R21" localSheetId="17">#REF!</definedName>
    <definedName name="S21R21" localSheetId="19">#REF!</definedName>
    <definedName name="S21R21">#REF!</definedName>
    <definedName name="S21R22" localSheetId="2">#REF!</definedName>
    <definedName name="S21R22" localSheetId="16">#REF!</definedName>
    <definedName name="S21R22" localSheetId="17">#REF!</definedName>
    <definedName name="S21R22" localSheetId="19">#REF!</definedName>
    <definedName name="S21R22">#REF!</definedName>
    <definedName name="S21R23" localSheetId="2">#REF!</definedName>
    <definedName name="S21R23" localSheetId="16">#REF!</definedName>
    <definedName name="S21R23" localSheetId="17">#REF!</definedName>
    <definedName name="S21R23" localSheetId="19">#REF!</definedName>
    <definedName name="S21R23">#REF!</definedName>
    <definedName name="S21R24" localSheetId="2">#REF!</definedName>
    <definedName name="S21R24" localSheetId="16">#REF!</definedName>
    <definedName name="S21R24" localSheetId="17">#REF!</definedName>
    <definedName name="S21R24" localSheetId="19">#REF!</definedName>
    <definedName name="S21R24">#REF!</definedName>
    <definedName name="S21R3" localSheetId="2">#REF!</definedName>
    <definedName name="S21R3" localSheetId="16">#REF!</definedName>
    <definedName name="S21R3" localSheetId="17">#REF!</definedName>
    <definedName name="S21R3" localSheetId="19">#REF!</definedName>
    <definedName name="S21R3">#REF!</definedName>
    <definedName name="S21R4" localSheetId="2">#REF!</definedName>
    <definedName name="S21R4" localSheetId="16">#REF!</definedName>
    <definedName name="S21R4" localSheetId="17">#REF!</definedName>
    <definedName name="S21R4" localSheetId="19">#REF!</definedName>
    <definedName name="S21R4">#REF!</definedName>
    <definedName name="S21R5" localSheetId="2">#REF!</definedName>
    <definedName name="S21R5" localSheetId="16">#REF!</definedName>
    <definedName name="S21R5" localSheetId="17">#REF!</definedName>
    <definedName name="S21R5" localSheetId="19">#REF!</definedName>
    <definedName name="S21R5">#REF!</definedName>
    <definedName name="S21R6" localSheetId="2">#REF!</definedName>
    <definedName name="S21R6" localSheetId="16">#REF!</definedName>
    <definedName name="S21R6" localSheetId="17">#REF!</definedName>
    <definedName name="S21R6" localSheetId="19">#REF!</definedName>
    <definedName name="S21R6">#REF!</definedName>
    <definedName name="S21R7" localSheetId="2">#REF!</definedName>
    <definedName name="S21R7" localSheetId="16">#REF!</definedName>
    <definedName name="S21R7" localSheetId="17">#REF!</definedName>
    <definedName name="S21R7" localSheetId="19">#REF!</definedName>
    <definedName name="S21R7">#REF!</definedName>
    <definedName name="S21R8" localSheetId="2">#REF!</definedName>
    <definedName name="S21R8" localSheetId="16">#REF!</definedName>
    <definedName name="S21R8" localSheetId="17">#REF!</definedName>
    <definedName name="S21R8" localSheetId="19">#REF!</definedName>
    <definedName name="S21R8">#REF!</definedName>
    <definedName name="S21R9" localSheetId="2">#REF!</definedName>
    <definedName name="S21R9" localSheetId="16">#REF!</definedName>
    <definedName name="S21R9" localSheetId="17">#REF!</definedName>
    <definedName name="S21R9" localSheetId="19">#REF!</definedName>
    <definedName name="S21R9">#REF!</definedName>
    <definedName name="S22P1" localSheetId="2">#REF!</definedName>
    <definedName name="S22P1" localSheetId="16">#REF!</definedName>
    <definedName name="S22P1" localSheetId="17">#REF!</definedName>
    <definedName name="S22P1" localSheetId="19">#REF!</definedName>
    <definedName name="S22P1">#REF!</definedName>
    <definedName name="S22P10" localSheetId="2">#REF!</definedName>
    <definedName name="S22P10" localSheetId="16">#REF!</definedName>
    <definedName name="S22P10" localSheetId="17">#REF!</definedName>
    <definedName name="S22P10" localSheetId="19">#REF!</definedName>
    <definedName name="S22P10">#REF!</definedName>
    <definedName name="S22P11" localSheetId="2">#REF!</definedName>
    <definedName name="S22P11" localSheetId="16">#REF!</definedName>
    <definedName name="S22P11" localSheetId="17">#REF!</definedName>
    <definedName name="S22P11" localSheetId="19">#REF!</definedName>
    <definedName name="S22P11">#REF!</definedName>
    <definedName name="S22P12" localSheetId="2">#REF!</definedName>
    <definedName name="S22P12" localSheetId="16">#REF!</definedName>
    <definedName name="S22P12" localSheetId="17">#REF!</definedName>
    <definedName name="S22P12" localSheetId="19">#REF!</definedName>
    <definedName name="S22P12">#REF!</definedName>
    <definedName name="S22P13" localSheetId="2">#REF!</definedName>
    <definedName name="S22P13" localSheetId="16">#REF!</definedName>
    <definedName name="S22P13" localSheetId="17">#REF!</definedName>
    <definedName name="S22P13" localSheetId="19">#REF!</definedName>
    <definedName name="S22P13">#REF!</definedName>
    <definedName name="S22P14" localSheetId="2">#REF!</definedName>
    <definedName name="S22P14" localSheetId="16">#REF!</definedName>
    <definedName name="S22P14" localSheetId="17">#REF!</definedName>
    <definedName name="S22P14" localSheetId="19">#REF!</definedName>
    <definedName name="S22P14">#REF!</definedName>
    <definedName name="S22P15" localSheetId="2">#REF!</definedName>
    <definedName name="S22P15" localSheetId="16">#REF!</definedName>
    <definedName name="S22P15" localSheetId="17">#REF!</definedName>
    <definedName name="S22P15" localSheetId="19">#REF!</definedName>
    <definedName name="S22P15">#REF!</definedName>
    <definedName name="S22P16" localSheetId="2">#REF!</definedName>
    <definedName name="S22P16" localSheetId="16">#REF!</definedName>
    <definedName name="S22P16" localSheetId="17">#REF!</definedName>
    <definedName name="S22P16" localSheetId="19">#REF!</definedName>
    <definedName name="S22P16">#REF!</definedName>
    <definedName name="S22P17" localSheetId="2">#REF!</definedName>
    <definedName name="S22P17" localSheetId="16">#REF!</definedName>
    <definedName name="S22P17" localSheetId="17">#REF!</definedName>
    <definedName name="S22P17" localSheetId="19">#REF!</definedName>
    <definedName name="S22P17">#REF!</definedName>
    <definedName name="S22P18" localSheetId="2">#REF!</definedName>
    <definedName name="S22P18" localSheetId="16">#REF!</definedName>
    <definedName name="S22P18" localSheetId="17">#REF!</definedName>
    <definedName name="S22P18" localSheetId="19">#REF!</definedName>
    <definedName name="S22P18">#REF!</definedName>
    <definedName name="S22P19" localSheetId="2">#REF!</definedName>
    <definedName name="S22P19" localSheetId="16">#REF!</definedName>
    <definedName name="S22P19" localSheetId="17">#REF!</definedName>
    <definedName name="S22P19" localSheetId="19">#REF!</definedName>
    <definedName name="S22P19">#REF!</definedName>
    <definedName name="S22P2" localSheetId="2">#REF!</definedName>
    <definedName name="S22P2" localSheetId="16">#REF!</definedName>
    <definedName name="S22P2" localSheetId="17">#REF!</definedName>
    <definedName name="S22P2" localSheetId="19">#REF!</definedName>
    <definedName name="S22P2">#REF!</definedName>
    <definedName name="S22P20" localSheetId="2">#REF!</definedName>
    <definedName name="S22P20" localSheetId="16">#REF!</definedName>
    <definedName name="S22P20" localSheetId="17">#REF!</definedName>
    <definedName name="S22P20" localSheetId="19">#REF!</definedName>
    <definedName name="S22P20">#REF!</definedName>
    <definedName name="S22P21" localSheetId="2">#REF!</definedName>
    <definedName name="S22P21" localSheetId="16">#REF!</definedName>
    <definedName name="S22P21" localSheetId="17">#REF!</definedName>
    <definedName name="S22P21" localSheetId="19">#REF!</definedName>
    <definedName name="S22P21">#REF!</definedName>
    <definedName name="S22P22" localSheetId="2">#REF!</definedName>
    <definedName name="S22P22" localSheetId="16">#REF!</definedName>
    <definedName name="S22P22" localSheetId="17">#REF!</definedName>
    <definedName name="S22P22" localSheetId="19">#REF!</definedName>
    <definedName name="S22P22">#REF!</definedName>
    <definedName name="S22P23" localSheetId="2">#REF!</definedName>
    <definedName name="S22P23" localSheetId="16">#REF!</definedName>
    <definedName name="S22P23" localSheetId="17">#REF!</definedName>
    <definedName name="S22P23" localSheetId="19">#REF!</definedName>
    <definedName name="S22P23">#REF!</definedName>
    <definedName name="S22P24" localSheetId="2">#REF!</definedName>
    <definedName name="S22P24" localSheetId="16">#REF!</definedName>
    <definedName name="S22P24" localSheetId="17">#REF!</definedName>
    <definedName name="S22P24" localSheetId="19">#REF!</definedName>
    <definedName name="S22P24">#REF!</definedName>
    <definedName name="S22P3" localSheetId="2">#REF!</definedName>
    <definedName name="S22P3" localSheetId="16">#REF!</definedName>
    <definedName name="S22P3" localSheetId="17">#REF!</definedName>
    <definedName name="S22P3" localSheetId="19">#REF!</definedName>
    <definedName name="S22P3">#REF!</definedName>
    <definedName name="S22P4" localSheetId="2">#REF!</definedName>
    <definedName name="S22P4" localSheetId="16">#REF!</definedName>
    <definedName name="S22P4" localSheetId="17">#REF!</definedName>
    <definedName name="S22P4" localSheetId="19">#REF!</definedName>
    <definedName name="S22P4">#REF!</definedName>
    <definedName name="S22P5" localSheetId="2">#REF!</definedName>
    <definedName name="S22P5" localSheetId="16">#REF!</definedName>
    <definedName name="S22P5" localSheetId="17">#REF!</definedName>
    <definedName name="S22P5" localSheetId="19">#REF!</definedName>
    <definedName name="S22P5">#REF!</definedName>
    <definedName name="S22P6" localSheetId="2">#REF!</definedName>
    <definedName name="S22P6" localSheetId="16">#REF!</definedName>
    <definedName name="S22P6" localSheetId="17">#REF!</definedName>
    <definedName name="S22P6" localSheetId="19">#REF!</definedName>
    <definedName name="S22P6">#REF!</definedName>
    <definedName name="S22P7" localSheetId="2">#REF!</definedName>
    <definedName name="S22P7" localSheetId="16">#REF!</definedName>
    <definedName name="S22P7" localSheetId="17">#REF!</definedName>
    <definedName name="S22P7" localSheetId="19">#REF!</definedName>
    <definedName name="S22P7">#REF!</definedName>
    <definedName name="S22P8" localSheetId="2">#REF!</definedName>
    <definedName name="S22P8" localSheetId="16">#REF!</definedName>
    <definedName name="S22P8" localSheetId="17">#REF!</definedName>
    <definedName name="S22P8" localSheetId="19">#REF!</definedName>
    <definedName name="S22P8">#REF!</definedName>
    <definedName name="S22P9" localSheetId="2">#REF!</definedName>
    <definedName name="S22P9" localSheetId="16">#REF!</definedName>
    <definedName name="S22P9" localSheetId="17">#REF!</definedName>
    <definedName name="S22P9" localSheetId="19">#REF!</definedName>
    <definedName name="S22P9">#REF!</definedName>
    <definedName name="S22R1" localSheetId="2">#REF!</definedName>
    <definedName name="S22R1" localSheetId="16">#REF!</definedName>
    <definedName name="S22R1" localSheetId="17">#REF!</definedName>
    <definedName name="S22R1" localSheetId="19">#REF!</definedName>
    <definedName name="S22R1">#REF!</definedName>
    <definedName name="S22R10" localSheetId="2">#REF!</definedName>
    <definedName name="S22R10" localSheetId="16">#REF!</definedName>
    <definedName name="S22R10" localSheetId="17">#REF!</definedName>
    <definedName name="S22R10" localSheetId="19">#REF!</definedName>
    <definedName name="S22R10">#REF!</definedName>
    <definedName name="S22R11" localSheetId="2">#REF!</definedName>
    <definedName name="S22R11" localSheetId="16">#REF!</definedName>
    <definedName name="S22R11" localSheetId="17">#REF!</definedName>
    <definedName name="S22R11" localSheetId="19">#REF!</definedName>
    <definedName name="S22R11">#REF!</definedName>
    <definedName name="S22R12" localSheetId="2">#REF!</definedName>
    <definedName name="S22R12" localSheetId="16">#REF!</definedName>
    <definedName name="S22R12" localSheetId="17">#REF!</definedName>
    <definedName name="S22R12" localSheetId="19">#REF!</definedName>
    <definedName name="S22R12">#REF!</definedName>
    <definedName name="S22R13" localSheetId="2">#REF!</definedName>
    <definedName name="S22R13" localSheetId="16">#REF!</definedName>
    <definedName name="S22R13" localSheetId="17">#REF!</definedName>
    <definedName name="S22R13" localSheetId="19">#REF!</definedName>
    <definedName name="S22R13">#REF!</definedName>
    <definedName name="S22R14" localSheetId="2">#REF!</definedName>
    <definedName name="S22R14" localSheetId="16">#REF!</definedName>
    <definedName name="S22R14" localSheetId="17">#REF!</definedName>
    <definedName name="S22R14" localSheetId="19">#REF!</definedName>
    <definedName name="S22R14">#REF!</definedName>
    <definedName name="S22R15" localSheetId="2">#REF!</definedName>
    <definedName name="S22R15" localSheetId="16">#REF!</definedName>
    <definedName name="S22R15" localSheetId="17">#REF!</definedName>
    <definedName name="S22R15" localSheetId="19">#REF!</definedName>
    <definedName name="S22R15">#REF!</definedName>
    <definedName name="S22R16" localSheetId="2">#REF!</definedName>
    <definedName name="S22R16" localSheetId="16">#REF!</definedName>
    <definedName name="S22R16" localSheetId="17">#REF!</definedName>
    <definedName name="S22R16" localSheetId="19">#REF!</definedName>
    <definedName name="S22R16">#REF!</definedName>
    <definedName name="S22R17" localSheetId="2">#REF!</definedName>
    <definedName name="S22R17" localSheetId="16">#REF!</definedName>
    <definedName name="S22R17" localSheetId="17">#REF!</definedName>
    <definedName name="S22R17" localSheetId="19">#REF!</definedName>
    <definedName name="S22R17">#REF!</definedName>
    <definedName name="S22R18" localSheetId="2">#REF!</definedName>
    <definedName name="S22R18" localSheetId="16">#REF!</definedName>
    <definedName name="S22R18" localSheetId="17">#REF!</definedName>
    <definedName name="S22R18" localSheetId="19">#REF!</definedName>
    <definedName name="S22R18">#REF!</definedName>
    <definedName name="S22R19" localSheetId="2">#REF!</definedName>
    <definedName name="S22R19" localSheetId="16">#REF!</definedName>
    <definedName name="S22R19" localSheetId="17">#REF!</definedName>
    <definedName name="S22R19" localSheetId="19">#REF!</definedName>
    <definedName name="S22R19">#REF!</definedName>
    <definedName name="S22R2" localSheetId="2">#REF!</definedName>
    <definedName name="S22R2" localSheetId="16">#REF!</definedName>
    <definedName name="S22R2" localSheetId="17">#REF!</definedName>
    <definedName name="S22R2" localSheetId="19">#REF!</definedName>
    <definedName name="S22R2">#REF!</definedName>
    <definedName name="S22R20" localSheetId="2">#REF!</definedName>
    <definedName name="S22R20" localSheetId="16">#REF!</definedName>
    <definedName name="S22R20" localSheetId="17">#REF!</definedName>
    <definedName name="S22R20" localSheetId="19">#REF!</definedName>
    <definedName name="S22R20">#REF!</definedName>
    <definedName name="S22R21" localSheetId="2">#REF!</definedName>
    <definedName name="S22R21" localSheetId="16">#REF!</definedName>
    <definedName name="S22R21" localSheetId="17">#REF!</definedName>
    <definedName name="S22R21" localSheetId="19">#REF!</definedName>
    <definedName name="S22R21">#REF!</definedName>
    <definedName name="S22R22" localSheetId="2">#REF!</definedName>
    <definedName name="S22R22" localSheetId="16">#REF!</definedName>
    <definedName name="S22R22" localSheetId="17">#REF!</definedName>
    <definedName name="S22R22" localSheetId="19">#REF!</definedName>
    <definedName name="S22R22">#REF!</definedName>
    <definedName name="S22R23" localSheetId="2">#REF!</definedName>
    <definedName name="S22R23" localSheetId="16">#REF!</definedName>
    <definedName name="S22R23" localSheetId="17">#REF!</definedName>
    <definedName name="S22R23" localSheetId="19">#REF!</definedName>
    <definedName name="S22R23">#REF!</definedName>
    <definedName name="S22R24" localSheetId="2">#REF!</definedName>
    <definedName name="S22R24" localSheetId="16">#REF!</definedName>
    <definedName name="S22R24" localSheetId="17">#REF!</definedName>
    <definedName name="S22R24" localSheetId="19">#REF!</definedName>
    <definedName name="S22R24">#REF!</definedName>
    <definedName name="S22R3" localSheetId="2">#REF!</definedName>
    <definedName name="S22R3" localSheetId="16">#REF!</definedName>
    <definedName name="S22R3" localSheetId="17">#REF!</definedName>
    <definedName name="S22R3" localSheetId="19">#REF!</definedName>
    <definedName name="S22R3">#REF!</definedName>
    <definedName name="S22R4" localSheetId="2">#REF!</definedName>
    <definedName name="S22R4" localSheetId="16">#REF!</definedName>
    <definedName name="S22R4" localSheetId="17">#REF!</definedName>
    <definedName name="S22R4" localSheetId="19">#REF!</definedName>
    <definedName name="S22R4">#REF!</definedName>
    <definedName name="S22R5" localSheetId="2">#REF!</definedName>
    <definedName name="S22R5" localSheetId="16">#REF!</definedName>
    <definedName name="S22R5" localSheetId="17">#REF!</definedName>
    <definedName name="S22R5" localSheetId="19">#REF!</definedName>
    <definedName name="S22R5">#REF!</definedName>
    <definedName name="S22R6" localSheetId="2">#REF!</definedName>
    <definedName name="S22R6" localSheetId="16">#REF!</definedName>
    <definedName name="S22R6" localSheetId="17">#REF!</definedName>
    <definedName name="S22R6" localSheetId="19">#REF!</definedName>
    <definedName name="S22R6">#REF!</definedName>
    <definedName name="S22R7" localSheetId="2">#REF!</definedName>
    <definedName name="S22R7" localSheetId="16">#REF!</definedName>
    <definedName name="S22R7" localSheetId="17">#REF!</definedName>
    <definedName name="S22R7" localSheetId="19">#REF!</definedName>
    <definedName name="S22R7">#REF!</definedName>
    <definedName name="S22R8" localSheetId="2">#REF!</definedName>
    <definedName name="S22R8" localSheetId="16">#REF!</definedName>
    <definedName name="S22R8" localSheetId="17">#REF!</definedName>
    <definedName name="S22R8" localSheetId="19">#REF!</definedName>
    <definedName name="S22R8">#REF!</definedName>
    <definedName name="S22R9" localSheetId="2">#REF!</definedName>
    <definedName name="S22R9" localSheetId="16">#REF!</definedName>
    <definedName name="S22R9" localSheetId="17">#REF!</definedName>
    <definedName name="S22R9" localSheetId="19">#REF!</definedName>
    <definedName name="S22R9">#REF!</definedName>
    <definedName name="S23P1" localSheetId="2">#REF!</definedName>
    <definedName name="S23P1" localSheetId="16">#REF!</definedName>
    <definedName name="S23P1" localSheetId="17">#REF!</definedName>
    <definedName name="S23P1" localSheetId="19">#REF!</definedName>
    <definedName name="S23P1">#REF!</definedName>
    <definedName name="S23P10" localSheetId="2">#REF!</definedName>
    <definedName name="S23P10" localSheetId="16">#REF!</definedName>
    <definedName name="S23P10" localSheetId="17">#REF!</definedName>
    <definedName name="S23P10" localSheetId="19">#REF!</definedName>
    <definedName name="S23P10">#REF!</definedName>
    <definedName name="S23P11" localSheetId="2">#REF!</definedName>
    <definedName name="S23P11" localSheetId="16">#REF!</definedName>
    <definedName name="S23P11" localSheetId="17">#REF!</definedName>
    <definedName name="S23P11" localSheetId="19">#REF!</definedName>
    <definedName name="S23P11">#REF!</definedName>
    <definedName name="S23P12" localSheetId="2">#REF!</definedName>
    <definedName name="S23P12" localSheetId="16">#REF!</definedName>
    <definedName name="S23P12" localSheetId="17">#REF!</definedName>
    <definedName name="S23P12" localSheetId="19">#REF!</definedName>
    <definedName name="S23P12">#REF!</definedName>
    <definedName name="S23P13" localSheetId="2">#REF!</definedName>
    <definedName name="S23P13" localSheetId="16">#REF!</definedName>
    <definedName name="S23P13" localSheetId="17">#REF!</definedName>
    <definedName name="S23P13" localSheetId="19">#REF!</definedName>
    <definedName name="S23P13">#REF!</definedName>
    <definedName name="S23P14" localSheetId="2">#REF!</definedName>
    <definedName name="S23P14" localSheetId="16">#REF!</definedName>
    <definedName name="S23P14" localSheetId="17">#REF!</definedName>
    <definedName name="S23P14" localSheetId="19">#REF!</definedName>
    <definedName name="S23P14">#REF!</definedName>
    <definedName name="S23P15" localSheetId="2">#REF!</definedName>
    <definedName name="S23P15" localSheetId="16">#REF!</definedName>
    <definedName name="S23P15" localSheetId="17">#REF!</definedName>
    <definedName name="S23P15" localSheetId="19">#REF!</definedName>
    <definedName name="S23P15">#REF!</definedName>
    <definedName name="S23P16" localSheetId="2">#REF!</definedName>
    <definedName name="S23P16" localSheetId="16">#REF!</definedName>
    <definedName name="S23P16" localSheetId="17">#REF!</definedName>
    <definedName name="S23P16" localSheetId="19">#REF!</definedName>
    <definedName name="S23P16">#REF!</definedName>
    <definedName name="S23P17" localSheetId="2">#REF!</definedName>
    <definedName name="S23P17" localSheetId="16">#REF!</definedName>
    <definedName name="S23P17" localSheetId="17">#REF!</definedName>
    <definedName name="S23P17" localSheetId="19">#REF!</definedName>
    <definedName name="S23P17">#REF!</definedName>
    <definedName name="S23P18" localSheetId="2">#REF!</definedName>
    <definedName name="S23P18" localSheetId="16">#REF!</definedName>
    <definedName name="S23P18" localSheetId="17">#REF!</definedName>
    <definedName name="S23P18" localSheetId="19">#REF!</definedName>
    <definedName name="S23P18">#REF!</definedName>
    <definedName name="S23P19" localSheetId="2">#REF!</definedName>
    <definedName name="S23P19" localSheetId="16">#REF!</definedName>
    <definedName name="S23P19" localSheetId="17">#REF!</definedName>
    <definedName name="S23P19" localSheetId="19">#REF!</definedName>
    <definedName name="S23P19">#REF!</definedName>
    <definedName name="S23P2" localSheetId="2">#REF!</definedName>
    <definedName name="S23P2" localSheetId="16">#REF!</definedName>
    <definedName name="S23P2" localSheetId="17">#REF!</definedName>
    <definedName name="S23P2" localSheetId="19">#REF!</definedName>
    <definedName name="S23P2">#REF!</definedName>
    <definedName name="S23P20" localSheetId="2">#REF!</definedName>
    <definedName name="S23P20" localSheetId="16">#REF!</definedName>
    <definedName name="S23P20" localSheetId="17">#REF!</definedName>
    <definedName name="S23P20" localSheetId="19">#REF!</definedName>
    <definedName name="S23P20">#REF!</definedName>
    <definedName name="S23P21" localSheetId="2">#REF!</definedName>
    <definedName name="S23P21" localSheetId="16">#REF!</definedName>
    <definedName name="S23P21" localSheetId="17">#REF!</definedName>
    <definedName name="S23P21" localSheetId="19">#REF!</definedName>
    <definedName name="S23P21">#REF!</definedName>
    <definedName name="S23P22" localSheetId="2">#REF!</definedName>
    <definedName name="S23P22" localSheetId="16">#REF!</definedName>
    <definedName name="S23P22" localSheetId="17">#REF!</definedName>
    <definedName name="S23P22" localSheetId="19">#REF!</definedName>
    <definedName name="S23P22">#REF!</definedName>
    <definedName name="S23P23" localSheetId="2">#REF!</definedName>
    <definedName name="S23P23" localSheetId="16">#REF!</definedName>
    <definedName name="S23P23" localSheetId="17">#REF!</definedName>
    <definedName name="S23P23" localSheetId="19">#REF!</definedName>
    <definedName name="S23P23">#REF!</definedName>
    <definedName name="S23P24" localSheetId="2">#REF!</definedName>
    <definedName name="S23P24" localSheetId="16">#REF!</definedName>
    <definedName name="S23P24" localSheetId="17">#REF!</definedName>
    <definedName name="S23P24" localSheetId="19">#REF!</definedName>
    <definedName name="S23P24">#REF!</definedName>
    <definedName name="S23P3" localSheetId="2">#REF!</definedName>
    <definedName name="S23P3" localSheetId="16">#REF!</definedName>
    <definedName name="S23P3" localSheetId="17">#REF!</definedName>
    <definedName name="S23P3" localSheetId="19">#REF!</definedName>
    <definedName name="S23P3">#REF!</definedName>
    <definedName name="S23P4" localSheetId="2">#REF!</definedName>
    <definedName name="S23P4" localSheetId="16">#REF!</definedName>
    <definedName name="S23P4" localSheetId="17">#REF!</definedName>
    <definedName name="S23P4" localSheetId="19">#REF!</definedName>
    <definedName name="S23P4">#REF!</definedName>
    <definedName name="S23P5" localSheetId="2">#REF!</definedName>
    <definedName name="S23P5" localSheetId="16">#REF!</definedName>
    <definedName name="S23P5" localSheetId="17">#REF!</definedName>
    <definedName name="S23P5" localSheetId="19">#REF!</definedName>
    <definedName name="S23P5">#REF!</definedName>
    <definedName name="S23P6" localSheetId="2">#REF!</definedName>
    <definedName name="S23P6" localSheetId="16">#REF!</definedName>
    <definedName name="S23P6" localSheetId="17">#REF!</definedName>
    <definedName name="S23P6" localSheetId="19">#REF!</definedName>
    <definedName name="S23P6">#REF!</definedName>
    <definedName name="S23P7" localSheetId="2">#REF!</definedName>
    <definedName name="S23P7" localSheetId="16">#REF!</definedName>
    <definedName name="S23P7" localSheetId="17">#REF!</definedName>
    <definedName name="S23P7" localSheetId="19">#REF!</definedName>
    <definedName name="S23P7">#REF!</definedName>
    <definedName name="S23P8" localSheetId="2">#REF!</definedName>
    <definedName name="S23P8" localSheetId="16">#REF!</definedName>
    <definedName name="S23P8" localSheetId="17">#REF!</definedName>
    <definedName name="S23P8" localSheetId="19">#REF!</definedName>
    <definedName name="S23P8">#REF!</definedName>
    <definedName name="S23P9" localSheetId="2">#REF!</definedName>
    <definedName name="S23P9" localSheetId="16">#REF!</definedName>
    <definedName name="S23P9" localSheetId="17">#REF!</definedName>
    <definedName name="S23P9" localSheetId="19">#REF!</definedName>
    <definedName name="S23P9">#REF!</definedName>
    <definedName name="S23R1" localSheetId="2">#REF!</definedName>
    <definedName name="S23R1" localSheetId="16">#REF!</definedName>
    <definedName name="S23R1" localSheetId="17">#REF!</definedName>
    <definedName name="S23R1" localSheetId="19">#REF!</definedName>
    <definedName name="S23R1">#REF!</definedName>
    <definedName name="S23R10" localSheetId="2">#REF!</definedName>
    <definedName name="S23R10" localSheetId="16">#REF!</definedName>
    <definedName name="S23R10" localSheetId="17">#REF!</definedName>
    <definedName name="S23R10" localSheetId="19">#REF!</definedName>
    <definedName name="S23R10">#REF!</definedName>
    <definedName name="S23R11" localSheetId="2">#REF!</definedName>
    <definedName name="S23R11" localSheetId="16">#REF!</definedName>
    <definedName name="S23R11" localSheetId="17">#REF!</definedName>
    <definedName name="S23R11" localSheetId="19">#REF!</definedName>
    <definedName name="S23R11">#REF!</definedName>
    <definedName name="S23R12" localSheetId="2">#REF!</definedName>
    <definedName name="S23R12" localSheetId="16">#REF!</definedName>
    <definedName name="S23R12" localSheetId="17">#REF!</definedName>
    <definedName name="S23R12" localSheetId="19">#REF!</definedName>
    <definedName name="S23R12">#REF!</definedName>
    <definedName name="S23R13" localSheetId="2">#REF!</definedName>
    <definedName name="S23R13" localSheetId="16">#REF!</definedName>
    <definedName name="S23R13" localSheetId="17">#REF!</definedName>
    <definedName name="S23R13" localSheetId="19">#REF!</definedName>
    <definedName name="S23R13">#REF!</definedName>
    <definedName name="S23R14" localSheetId="2">#REF!</definedName>
    <definedName name="S23R14" localSheetId="16">#REF!</definedName>
    <definedName name="S23R14" localSheetId="17">#REF!</definedName>
    <definedName name="S23R14" localSheetId="19">#REF!</definedName>
    <definedName name="S23R14">#REF!</definedName>
    <definedName name="S23R15" localSheetId="2">#REF!</definedName>
    <definedName name="S23R15" localSheetId="16">#REF!</definedName>
    <definedName name="S23R15" localSheetId="17">#REF!</definedName>
    <definedName name="S23R15" localSheetId="19">#REF!</definedName>
    <definedName name="S23R15">#REF!</definedName>
    <definedName name="S23R16" localSheetId="2">#REF!</definedName>
    <definedName name="S23R16" localSheetId="16">#REF!</definedName>
    <definedName name="S23R16" localSheetId="17">#REF!</definedName>
    <definedName name="S23R16" localSheetId="19">#REF!</definedName>
    <definedName name="S23R16">#REF!</definedName>
    <definedName name="S23R17" localSheetId="2">#REF!</definedName>
    <definedName name="S23R17" localSheetId="16">#REF!</definedName>
    <definedName name="S23R17" localSheetId="17">#REF!</definedName>
    <definedName name="S23R17" localSheetId="19">#REF!</definedName>
    <definedName name="S23R17">#REF!</definedName>
    <definedName name="S23R18" localSheetId="2">#REF!</definedName>
    <definedName name="S23R18" localSheetId="16">#REF!</definedName>
    <definedName name="S23R18" localSheetId="17">#REF!</definedName>
    <definedName name="S23R18" localSheetId="19">#REF!</definedName>
    <definedName name="S23R18">#REF!</definedName>
    <definedName name="S23R19" localSheetId="2">#REF!</definedName>
    <definedName name="S23R19" localSheetId="16">#REF!</definedName>
    <definedName name="S23R19" localSheetId="17">#REF!</definedName>
    <definedName name="S23R19" localSheetId="19">#REF!</definedName>
    <definedName name="S23R19">#REF!</definedName>
    <definedName name="S23R2" localSheetId="2">#REF!</definedName>
    <definedName name="S23R2" localSheetId="16">#REF!</definedName>
    <definedName name="S23R2" localSheetId="17">#REF!</definedName>
    <definedName name="S23R2" localSheetId="19">#REF!</definedName>
    <definedName name="S23R2">#REF!</definedName>
    <definedName name="S23R20" localSheetId="2">#REF!</definedName>
    <definedName name="S23R20" localSheetId="16">#REF!</definedName>
    <definedName name="S23R20" localSheetId="17">#REF!</definedName>
    <definedName name="S23R20" localSheetId="19">#REF!</definedName>
    <definedName name="S23R20">#REF!</definedName>
    <definedName name="S23R21" localSheetId="2">#REF!</definedName>
    <definedName name="S23R21" localSheetId="16">#REF!</definedName>
    <definedName name="S23R21" localSheetId="17">#REF!</definedName>
    <definedName name="S23R21" localSheetId="19">#REF!</definedName>
    <definedName name="S23R21">#REF!</definedName>
    <definedName name="S23R22" localSheetId="2">#REF!</definedName>
    <definedName name="S23R22" localSheetId="16">#REF!</definedName>
    <definedName name="S23R22" localSheetId="17">#REF!</definedName>
    <definedName name="S23R22" localSheetId="19">#REF!</definedName>
    <definedName name="S23R22">#REF!</definedName>
    <definedName name="S23R23" localSheetId="2">#REF!</definedName>
    <definedName name="S23R23" localSheetId="16">#REF!</definedName>
    <definedName name="S23R23" localSheetId="17">#REF!</definedName>
    <definedName name="S23R23" localSheetId="19">#REF!</definedName>
    <definedName name="S23R23">#REF!</definedName>
    <definedName name="S23R24" localSheetId="2">#REF!</definedName>
    <definedName name="S23R24" localSheetId="16">#REF!</definedName>
    <definedName name="S23R24" localSheetId="17">#REF!</definedName>
    <definedName name="S23R24" localSheetId="19">#REF!</definedName>
    <definedName name="S23R24">#REF!</definedName>
    <definedName name="S23R3" localSheetId="2">#REF!</definedName>
    <definedName name="S23R3" localSheetId="16">#REF!</definedName>
    <definedName name="S23R3" localSheetId="17">#REF!</definedName>
    <definedName name="S23R3" localSheetId="19">#REF!</definedName>
    <definedName name="S23R3">#REF!</definedName>
    <definedName name="S23R4" localSheetId="2">#REF!</definedName>
    <definedName name="S23R4" localSheetId="16">#REF!</definedName>
    <definedName name="S23R4" localSheetId="17">#REF!</definedName>
    <definedName name="S23R4" localSheetId="19">#REF!</definedName>
    <definedName name="S23R4">#REF!</definedName>
    <definedName name="S23R5" localSheetId="2">#REF!</definedName>
    <definedName name="S23R5" localSheetId="16">#REF!</definedName>
    <definedName name="S23R5" localSheetId="17">#REF!</definedName>
    <definedName name="S23R5" localSheetId="19">#REF!</definedName>
    <definedName name="S23R5">#REF!</definedName>
    <definedName name="S23R6" localSheetId="2">#REF!</definedName>
    <definedName name="S23R6" localSheetId="16">#REF!</definedName>
    <definedName name="S23R6" localSheetId="17">#REF!</definedName>
    <definedName name="S23R6" localSheetId="19">#REF!</definedName>
    <definedName name="S23R6">#REF!</definedName>
    <definedName name="S23R7" localSheetId="2">#REF!</definedName>
    <definedName name="S23R7" localSheetId="16">#REF!</definedName>
    <definedName name="S23R7" localSheetId="17">#REF!</definedName>
    <definedName name="S23R7" localSheetId="19">#REF!</definedName>
    <definedName name="S23R7">#REF!</definedName>
    <definedName name="S23R8" localSheetId="2">#REF!</definedName>
    <definedName name="S23R8" localSheetId="16">#REF!</definedName>
    <definedName name="S23R8" localSheetId="17">#REF!</definedName>
    <definedName name="S23R8" localSheetId="19">#REF!</definedName>
    <definedName name="S23R8">#REF!</definedName>
    <definedName name="S23R9" localSheetId="2">#REF!</definedName>
    <definedName name="S23R9" localSheetId="16">#REF!</definedName>
    <definedName name="S23R9" localSheetId="17">#REF!</definedName>
    <definedName name="S23R9" localSheetId="19">#REF!</definedName>
    <definedName name="S23R9">#REF!</definedName>
    <definedName name="S24P1" localSheetId="2">#REF!</definedName>
    <definedName name="S24P1" localSheetId="16">#REF!</definedName>
    <definedName name="S24P1" localSheetId="17">#REF!</definedName>
    <definedName name="S24P1" localSheetId="19">#REF!</definedName>
    <definedName name="S24P1">#REF!</definedName>
    <definedName name="S24P10" localSheetId="2">#REF!</definedName>
    <definedName name="S24P10" localSheetId="16">#REF!</definedName>
    <definedName name="S24P10" localSheetId="17">#REF!</definedName>
    <definedName name="S24P10" localSheetId="19">#REF!</definedName>
    <definedName name="S24P10">#REF!</definedName>
    <definedName name="S24P11" localSheetId="2">#REF!</definedName>
    <definedName name="S24P11" localSheetId="16">#REF!</definedName>
    <definedName name="S24P11" localSheetId="17">#REF!</definedName>
    <definedName name="S24P11" localSheetId="19">#REF!</definedName>
    <definedName name="S24P11">#REF!</definedName>
    <definedName name="S24P12" localSheetId="2">#REF!</definedName>
    <definedName name="S24P12" localSheetId="16">#REF!</definedName>
    <definedName name="S24P12" localSheetId="17">#REF!</definedName>
    <definedName name="S24P12" localSheetId="19">#REF!</definedName>
    <definedName name="S24P12">#REF!</definedName>
    <definedName name="S24P13" localSheetId="2">#REF!</definedName>
    <definedName name="S24P13" localSheetId="16">#REF!</definedName>
    <definedName name="S24P13" localSheetId="17">#REF!</definedName>
    <definedName name="S24P13" localSheetId="19">#REF!</definedName>
    <definedName name="S24P13">#REF!</definedName>
    <definedName name="S24P14" localSheetId="2">#REF!</definedName>
    <definedName name="S24P14" localSheetId="16">#REF!</definedName>
    <definedName name="S24P14" localSheetId="17">#REF!</definedName>
    <definedName name="S24P14" localSheetId="19">#REF!</definedName>
    <definedName name="S24P14">#REF!</definedName>
    <definedName name="S24P15" localSheetId="2">#REF!</definedName>
    <definedName name="S24P15" localSheetId="16">#REF!</definedName>
    <definedName name="S24P15" localSheetId="17">#REF!</definedName>
    <definedName name="S24P15" localSheetId="19">#REF!</definedName>
    <definedName name="S24P15">#REF!</definedName>
    <definedName name="S24P16" localSheetId="2">#REF!</definedName>
    <definedName name="S24P16" localSheetId="16">#REF!</definedName>
    <definedName name="S24P16" localSheetId="17">#REF!</definedName>
    <definedName name="S24P16" localSheetId="19">#REF!</definedName>
    <definedName name="S24P16">#REF!</definedName>
    <definedName name="S24P17" localSheetId="2">#REF!</definedName>
    <definedName name="S24P17" localSheetId="16">#REF!</definedName>
    <definedName name="S24P17" localSheetId="17">#REF!</definedName>
    <definedName name="S24P17" localSheetId="19">#REF!</definedName>
    <definedName name="S24P17">#REF!</definedName>
    <definedName name="S24P18" localSheetId="2">#REF!</definedName>
    <definedName name="S24P18" localSheetId="16">#REF!</definedName>
    <definedName name="S24P18" localSheetId="17">#REF!</definedName>
    <definedName name="S24P18" localSheetId="19">#REF!</definedName>
    <definedName name="S24P18">#REF!</definedName>
    <definedName name="S24P19" localSheetId="2">#REF!</definedName>
    <definedName name="S24P19" localSheetId="16">#REF!</definedName>
    <definedName name="S24P19" localSheetId="17">#REF!</definedName>
    <definedName name="S24P19" localSheetId="19">#REF!</definedName>
    <definedName name="S24P19">#REF!</definedName>
    <definedName name="S24P2" localSheetId="2">#REF!</definedName>
    <definedName name="S24P2" localSheetId="16">#REF!</definedName>
    <definedName name="S24P2" localSheetId="17">#REF!</definedName>
    <definedName name="S24P2" localSheetId="19">#REF!</definedName>
    <definedName name="S24P2">#REF!</definedName>
    <definedName name="S24P20" localSheetId="2">#REF!</definedName>
    <definedName name="S24P20" localSheetId="16">#REF!</definedName>
    <definedName name="S24P20" localSheetId="17">#REF!</definedName>
    <definedName name="S24P20" localSheetId="19">#REF!</definedName>
    <definedName name="S24P20">#REF!</definedName>
    <definedName name="S24P21" localSheetId="2">#REF!</definedName>
    <definedName name="S24P21" localSheetId="16">#REF!</definedName>
    <definedName name="S24P21" localSheetId="17">#REF!</definedName>
    <definedName name="S24P21" localSheetId="19">#REF!</definedName>
    <definedName name="S24P21">#REF!</definedName>
    <definedName name="S24P22" localSheetId="2">#REF!</definedName>
    <definedName name="S24P22" localSheetId="16">#REF!</definedName>
    <definedName name="S24P22" localSheetId="17">#REF!</definedName>
    <definedName name="S24P22" localSheetId="19">#REF!</definedName>
    <definedName name="S24P22">#REF!</definedName>
    <definedName name="S24P23" localSheetId="2">#REF!</definedName>
    <definedName name="S24P23" localSheetId="16">#REF!</definedName>
    <definedName name="S24P23" localSheetId="17">#REF!</definedName>
    <definedName name="S24P23" localSheetId="19">#REF!</definedName>
    <definedName name="S24P23">#REF!</definedName>
    <definedName name="S24P24" localSheetId="2">#REF!</definedName>
    <definedName name="S24P24" localSheetId="16">#REF!</definedName>
    <definedName name="S24P24" localSheetId="17">#REF!</definedName>
    <definedName name="S24P24" localSheetId="19">#REF!</definedName>
    <definedName name="S24P24">#REF!</definedName>
    <definedName name="S24P3" localSheetId="2">#REF!</definedName>
    <definedName name="S24P3" localSheetId="16">#REF!</definedName>
    <definedName name="S24P3" localSheetId="17">#REF!</definedName>
    <definedName name="S24P3" localSheetId="19">#REF!</definedName>
    <definedName name="S24P3">#REF!</definedName>
    <definedName name="S24P4" localSheetId="2">#REF!</definedName>
    <definedName name="S24P4" localSheetId="16">#REF!</definedName>
    <definedName name="S24P4" localSheetId="17">#REF!</definedName>
    <definedName name="S24P4" localSheetId="19">#REF!</definedName>
    <definedName name="S24P4">#REF!</definedName>
    <definedName name="S24P5" localSheetId="2">#REF!</definedName>
    <definedName name="S24P5" localSheetId="16">#REF!</definedName>
    <definedName name="S24P5" localSheetId="17">#REF!</definedName>
    <definedName name="S24P5" localSheetId="19">#REF!</definedName>
    <definedName name="S24P5">#REF!</definedName>
    <definedName name="S24P6" localSheetId="2">#REF!</definedName>
    <definedName name="S24P6" localSheetId="16">#REF!</definedName>
    <definedName name="S24P6" localSheetId="17">#REF!</definedName>
    <definedName name="S24P6" localSheetId="19">#REF!</definedName>
    <definedName name="S24P6">#REF!</definedName>
    <definedName name="S24P7" localSheetId="2">#REF!</definedName>
    <definedName name="S24P7" localSheetId="16">#REF!</definedName>
    <definedName name="S24P7" localSheetId="17">#REF!</definedName>
    <definedName name="S24P7" localSheetId="19">#REF!</definedName>
    <definedName name="S24P7">#REF!</definedName>
    <definedName name="S24P8" localSheetId="2">#REF!</definedName>
    <definedName name="S24P8" localSheetId="16">#REF!</definedName>
    <definedName name="S24P8" localSheetId="17">#REF!</definedName>
    <definedName name="S24P8" localSheetId="19">#REF!</definedName>
    <definedName name="S24P8">#REF!</definedName>
    <definedName name="S24P9" localSheetId="2">#REF!</definedName>
    <definedName name="S24P9" localSheetId="16">#REF!</definedName>
    <definedName name="S24P9" localSheetId="17">#REF!</definedName>
    <definedName name="S24P9" localSheetId="19">#REF!</definedName>
    <definedName name="S24P9">#REF!</definedName>
    <definedName name="S24R1" localSheetId="2">#REF!</definedName>
    <definedName name="S24R1" localSheetId="16">#REF!</definedName>
    <definedName name="S24R1" localSheetId="17">#REF!</definedName>
    <definedName name="S24R1" localSheetId="19">#REF!</definedName>
    <definedName name="S24R1">#REF!</definedName>
    <definedName name="S24R10" localSheetId="2">#REF!</definedName>
    <definedName name="S24R10" localSheetId="16">#REF!</definedName>
    <definedName name="S24R10" localSheetId="17">#REF!</definedName>
    <definedName name="S24R10" localSheetId="19">#REF!</definedName>
    <definedName name="S24R10">#REF!</definedName>
    <definedName name="S24R11" localSheetId="2">#REF!</definedName>
    <definedName name="S24R11" localSheetId="16">#REF!</definedName>
    <definedName name="S24R11" localSheetId="17">#REF!</definedName>
    <definedName name="S24R11" localSheetId="19">#REF!</definedName>
    <definedName name="S24R11">#REF!</definedName>
    <definedName name="S24R12" localSheetId="2">#REF!</definedName>
    <definedName name="S24R12" localSheetId="16">#REF!</definedName>
    <definedName name="S24R12" localSheetId="17">#REF!</definedName>
    <definedName name="S24R12" localSheetId="19">#REF!</definedName>
    <definedName name="S24R12">#REF!</definedName>
    <definedName name="S24R13" localSheetId="2">#REF!</definedName>
    <definedName name="S24R13" localSheetId="16">#REF!</definedName>
    <definedName name="S24R13" localSheetId="17">#REF!</definedName>
    <definedName name="S24R13" localSheetId="19">#REF!</definedName>
    <definedName name="S24R13">#REF!</definedName>
    <definedName name="S24R14" localSheetId="2">#REF!</definedName>
    <definedName name="S24R14" localSheetId="16">#REF!</definedName>
    <definedName name="S24R14" localSheetId="17">#REF!</definedName>
    <definedName name="S24R14" localSheetId="19">#REF!</definedName>
    <definedName name="S24R14">#REF!</definedName>
    <definedName name="S24R15" localSheetId="2">#REF!</definedName>
    <definedName name="S24R15" localSheetId="16">#REF!</definedName>
    <definedName name="S24R15" localSheetId="17">#REF!</definedName>
    <definedName name="S24R15" localSheetId="19">#REF!</definedName>
    <definedName name="S24R15">#REF!</definedName>
    <definedName name="S24R16" localSheetId="2">#REF!</definedName>
    <definedName name="S24R16" localSheetId="16">#REF!</definedName>
    <definedName name="S24R16" localSheetId="17">#REF!</definedName>
    <definedName name="S24R16" localSheetId="19">#REF!</definedName>
    <definedName name="S24R16">#REF!</definedName>
    <definedName name="S24R17" localSheetId="2">#REF!</definedName>
    <definedName name="S24R17" localSheetId="16">#REF!</definedName>
    <definedName name="S24R17" localSheetId="17">#REF!</definedName>
    <definedName name="S24R17" localSheetId="19">#REF!</definedName>
    <definedName name="S24R17">#REF!</definedName>
    <definedName name="S24R18" localSheetId="2">#REF!</definedName>
    <definedName name="S24R18" localSheetId="16">#REF!</definedName>
    <definedName name="S24R18" localSheetId="17">#REF!</definedName>
    <definedName name="S24R18" localSheetId="19">#REF!</definedName>
    <definedName name="S24R18">#REF!</definedName>
    <definedName name="S24R19" localSheetId="2">#REF!</definedName>
    <definedName name="S24R19" localSheetId="16">#REF!</definedName>
    <definedName name="S24R19" localSheetId="17">#REF!</definedName>
    <definedName name="S24R19" localSheetId="19">#REF!</definedName>
    <definedName name="S24R19">#REF!</definedName>
    <definedName name="S24R2" localSheetId="2">#REF!</definedName>
    <definedName name="S24R2" localSheetId="16">#REF!</definedName>
    <definedName name="S24R2" localSheetId="17">#REF!</definedName>
    <definedName name="S24R2" localSheetId="19">#REF!</definedName>
    <definedName name="S24R2">#REF!</definedName>
    <definedName name="S24R20" localSheetId="2">#REF!</definedName>
    <definedName name="S24R20" localSheetId="16">#REF!</definedName>
    <definedName name="S24R20" localSheetId="17">#REF!</definedName>
    <definedName name="S24R20" localSheetId="19">#REF!</definedName>
    <definedName name="S24R20">#REF!</definedName>
    <definedName name="S24R21" localSheetId="2">#REF!</definedName>
    <definedName name="S24R21" localSheetId="16">#REF!</definedName>
    <definedName name="S24R21" localSheetId="17">#REF!</definedName>
    <definedName name="S24R21" localSheetId="19">#REF!</definedName>
    <definedName name="S24R21">#REF!</definedName>
    <definedName name="S24R22" localSheetId="2">#REF!</definedName>
    <definedName name="S24R22" localSheetId="16">#REF!</definedName>
    <definedName name="S24R22" localSheetId="17">#REF!</definedName>
    <definedName name="S24R22" localSheetId="19">#REF!</definedName>
    <definedName name="S24R22">#REF!</definedName>
    <definedName name="S24R23" localSheetId="2">#REF!</definedName>
    <definedName name="S24R23" localSheetId="16">#REF!</definedName>
    <definedName name="S24R23" localSheetId="17">#REF!</definedName>
    <definedName name="S24R23" localSheetId="19">#REF!</definedName>
    <definedName name="S24R23">#REF!</definedName>
    <definedName name="S24R24" localSheetId="2">#REF!</definedName>
    <definedName name="S24R24" localSheetId="16">#REF!</definedName>
    <definedName name="S24R24" localSheetId="17">#REF!</definedName>
    <definedName name="S24R24" localSheetId="19">#REF!</definedName>
    <definedName name="S24R24">#REF!</definedName>
    <definedName name="S24R3" localSheetId="2">#REF!</definedName>
    <definedName name="S24R3" localSheetId="16">#REF!</definedName>
    <definedName name="S24R3" localSheetId="17">#REF!</definedName>
    <definedName name="S24R3" localSheetId="19">#REF!</definedName>
    <definedName name="S24R3">#REF!</definedName>
    <definedName name="S24R4" localSheetId="2">#REF!</definedName>
    <definedName name="S24R4" localSheetId="16">#REF!</definedName>
    <definedName name="S24R4" localSheetId="17">#REF!</definedName>
    <definedName name="S24R4" localSheetId="19">#REF!</definedName>
    <definedName name="S24R4">#REF!</definedName>
    <definedName name="S24R5" localSheetId="2">#REF!</definedName>
    <definedName name="S24R5" localSheetId="16">#REF!</definedName>
    <definedName name="S24R5" localSheetId="17">#REF!</definedName>
    <definedName name="S24R5" localSheetId="19">#REF!</definedName>
    <definedName name="S24R5">#REF!</definedName>
    <definedName name="S24R6" localSheetId="2">#REF!</definedName>
    <definedName name="S24R6" localSheetId="16">#REF!</definedName>
    <definedName name="S24R6" localSheetId="17">#REF!</definedName>
    <definedName name="S24R6" localSheetId="19">#REF!</definedName>
    <definedName name="S24R6">#REF!</definedName>
    <definedName name="S24R7" localSheetId="2">#REF!</definedName>
    <definedName name="S24R7" localSheetId="16">#REF!</definedName>
    <definedName name="S24R7" localSheetId="17">#REF!</definedName>
    <definedName name="S24R7" localSheetId="19">#REF!</definedName>
    <definedName name="S24R7">#REF!</definedName>
    <definedName name="S24R8" localSheetId="2">#REF!</definedName>
    <definedName name="S24R8" localSheetId="16">#REF!</definedName>
    <definedName name="S24R8" localSheetId="17">#REF!</definedName>
    <definedName name="S24R8" localSheetId="19">#REF!</definedName>
    <definedName name="S24R8">#REF!</definedName>
    <definedName name="S24R9" localSheetId="2">#REF!</definedName>
    <definedName name="S24R9" localSheetId="16">#REF!</definedName>
    <definedName name="S24R9" localSheetId="17">#REF!</definedName>
    <definedName name="S24R9" localSheetId="19">#REF!</definedName>
    <definedName name="S24R9">#REF!</definedName>
    <definedName name="S25P1" localSheetId="2">#REF!</definedName>
    <definedName name="S25P1" localSheetId="16">#REF!</definedName>
    <definedName name="S25P1" localSheetId="17">#REF!</definedName>
    <definedName name="S25P1" localSheetId="19">#REF!</definedName>
    <definedName name="S25P1">#REF!</definedName>
    <definedName name="S25P10" localSheetId="2">#REF!</definedName>
    <definedName name="S25P10" localSheetId="16">#REF!</definedName>
    <definedName name="S25P10" localSheetId="17">#REF!</definedName>
    <definedName name="S25P10" localSheetId="19">#REF!</definedName>
    <definedName name="S25P10">#REF!</definedName>
    <definedName name="S25P11" localSheetId="2">#REF!</definedName>
    <definedName name="S25P11" localSheetId="16">#REF!</definedName>
    <definedName name="S25P11" localSheetId="17">#REF!</definedName>
    <definedName name="S25P11" localSheetId="19">#REF!</definedName>
    <definedName name="S25P11">#REF!</definedName>
    <definedName name="S25P12" localSheetId="2">#REF!</definedName>
    <definedName name="S25P12" localSheetId="16">#REF!</definedName>
    <definedName name="S25P12" localSheetId="17">#REF!</definedName>
    <definedName name="S25P12" localSheetId="19">#REF!</definedName>
    <definedName name="S25P12">#REF!</definedName>
    <definedName name="S25P13" localSheetId="2">#REF!</definedName>
    <definedName name="S25P13" localSheetId="16">#REF!</definedName>
    <definedName name="S25P13" localSheetId="17">#REF!</definedName>
    <definedName name="S25P13" localSheetId="19">#REF!</definedName>
    <definedName name="S25P13">#REF!</definedName>
    <definedName name="S25P14" localSheetId="2">#REF!</definedName>
    <definedName name="S25P14" localSheetId="16">#REF!</definedName>
    <definedName name="S25P14" localSheetId="17">#REF!</definedName>
    <definedName name="S25P14" localSheetId="19">#REF!</definedName>
    <definedName name="S25P14">#REF!</definedName>
    <definedName name="S25P15" localSheetId="2">#REF!</definedName>
    <definedName name="S25P15" localSheetId="16">#REF!</definedName>
    <definedName name="S25P15" localSheetId="17">#REF!</definedName>
    <definedName name="S25P15" localSheetId="19">#REF!</definedName>
    <definedName name="S25P15">#REF!</definedName>
    <definedName name="S25P16" localSheetId="2">#REF!</definedName>
    <definedName name="S25P16" localSheetId="16">#REF!</definedName>
    <definedName name="S25P16" localSheetId="17">#REF!</definedName>
    <definedName name="S25P16" localSheetId="19">#REF!</definedName>
    <definedName name="S25P16">#REF!</definedName>
    <definedName name="S25P17" localSheetId="2">#REF!</definedName>
    <definedName name="S25P17" localSheetId="16">#REF!</definedName>
    <definedName name="S25P17" localSheetId="17">#REF!</definedName>
    <definedName name="S25P17" localSheetId="19">#REF!</definedName>
    <definedName name="S25P17">#REF!</definedName>
    <definedName name="S25P18" localSheetId="2">#REF!</definedName>
    <definedName name="S25P18" localSheetId="16">#REF!</definedName>
    <definedName name="S25P18" localSheetId="17">#REF!</definedName>
    <definedName name="S25P18" localSheetId="19">#REF!</definedName>
    <definedName name="S25P18">#REF!</definedName>
    <definedName name="S25P19" localSheetId="2">#REF!</definedName>
    <definedName name="S25P19" localSheetId="16">#REF!</definedName>
    <definedName name="S25P19" localSheetId="17">#REF!</definedName>
    <definedName name="S25P19" localSheetId="19">#REF!</definedName>
    <definedName name="S25P19">#REF!</definedName>
    <definedName name="S25P2" localSheetId="2">#REF!</definedName>
    <definedName name="S25P2" localSheetId="16">#REF!</definedName>
    <definedName name="S25P2" localSheetId="17">#REF!</definedName>
    <definedName name="S25P2" localSheetId="19">#REF!</definedName>
    <definedName name="S25P2">#REF!</definedName>
    <definedName name="S25P20" localSheetId="2">#REF!</definedName>
    <definedName name="S25P20" localSheetId="16">#REF!</definedName>
    <definedName name="S25P20" localSheetId="17">#REF!</definedName>
    <definedName name="S25P20" localSheetId="19">#REF!</definedName>
    <definedName name="S25P20">#REF!</definedName>
    <definedName name="S25P21" localSheetId="2">#REF!</definedName>
    <definedName name="S25P21" localSheetId="16">#REF!</definedName>
    <definedName name="S25P21" localSheetId="17">#REF!</definedName>
    <definedName name="S25P21" localSheetId="19">#REF!</definedName>
    <definedName name="S25P21">#REF!</definedName>
    <definedName name="S25P22" localSheetId="2">#REF!</definedName>
    <definedName name="S25P22" localSheetId="16">#REF!</definedName>
    <definedName name="S25P22" localSheetId="17">#REF!</definedName>
    <definedName name="S25P22" localSheetId="19">#REF!</definedName>
    <definedName name="S25P22">#REF!</definedName>
    <definedName name="S25P23" localSheetId="2">#REF!</definedName>
    <definedName name="S25P23" localSheetId="16">#REF!</definedName>
    <definedName name="S25P23" localSheetId="17">#REF!</definedName>
    <definedName name="S25P23" localSheetId="19">#REF!</definedName>
    <definedName name="S25P23">#REF!</definedName>
    <definedName name="S25P24" localSheetId="2">#REF!</definedName>
    <definedName name="S25P24" localSheetId="16">#REF!</definedName>
    <definedName name="S25P24" localSheetId="17">#REF!</definedName>
    <definedName name="S25P24" localSheetId="19">#REF!</definedName>
    <definedName name="S25P24">#REF!</definedName>
    <definedName name="S25P3" localSheetId="2">#REF!</definedName>
    <definedName name="S25P3" localSheetId="16">#REF!</definedName>
    <definedName name="S25P3" localSheetId="17">#REF!</definedName>
    <definedName name="S25P3" localSheetId="19">#REF!</definedName>
    <definedName name="S25P3">#REF!</definedName>
    <definedName name="S25P4" localSheetId="2">#REF!</definedName>
    <definedName name="S25P4" localSheetId="16">#REF!</definedName>
    <definedName name="S25P4" localSheetId="17">#REF!</definedName>
    <definedName name="S25P4" localSheetId="19">#REF!</definedName>
    <definedName name="S25P4">#REF!</definedName>
    <definedName name="S25P5" localSheetId="2">#REF!</definedName>
    <definedName name="S25P5" localSheetId="16">#REF!</definedName>
    <definedName name="S25P5" localSheetId="17">#REF!</definedName>
    <definedName name="S25P5" localSheetId="19">#REF!</definedName>
    <definedName name="S25P5">#REF!</definedName>
    <definedName name="S25P6" localSheetId="2">#REF!</definedName>
    <definedName name="S25P6" localSheetId="16">#REF!</definedName>
    <definedName name="S25P6" localSheetId="17">#REF!</definedName>
    <definedName name="S25P6" localSheetId="19">#REF!</definedName>
    <definedName name="S25P6">#REF!</definedName>
    <definedName name="S25P7" localSheetId="2">#REF!</definedName>
    <definedName name="S25P7" localSheetId="16">#REF!</definedName>
    <definedName name="S25P7" localSheetId="17">#REF!</definedName>
    <definedName name="S25P7" localSheetId="19">#REF!</definedName>
    <definedName name="S25P7">#REF!</definedName>
    <definedName name="S25P8" localSheetId="2">#REF!</definedName>
    <definedName name="S25P8" localSheetId="16">#REF!</definedName>
    <definedName name="S25P8" localSheetId="17">#REF!</definedName>
    <definedName name="S25P8" localSheetId="19">#REF!</definedName>
    <definedName name="S25P8">#REF!</definedName>
    <definedName name="S25P9" localSheetId="2">#REF!</definedName>
    <definedName name="S25P9" localSheetId="16">#REF!</definedName>
    <definedName name="S25P9" localSheetId="17">#REF!</definedName>
    <definedName name="S25P9" localSheetId="19">#REF!</definedName>
    <definedName name="S25P9">#REF!</definedName>
    <definedName name="S25R1" localSheetId="2">#REF!</definedName>
    <definedName name="S25R1" localSheetId="16">#REF!</definedName>
    <definedName name="S25R1" localSheetId="17">#REF!</definedName>
    <definedName name="S25R1" localSheetId="19">#REF!</definedName>
    <definedName name="S25R1">#REF!</definedName>
    <definedName name="S25R10" localSheetId="2">#REF!</definedName>
    <definedName name="S25R10" localSheetId="16">#REF!</definedName>
    <definedName name="S25R10" localSheetId="17">#REF!</definedName>
    <definedName name="S25R10" localSheetId="19">#REF!</definedName>
    <definedName name="S25R10">#REF!</definedName>
    <definedName name="S25R11" localSheetId="2">#REF!</definedName>
    <definedName name="S25R11" localSheetId="16">#REF!</definedName>
    <definedName name="S25R11" localSheetId="17">#REF!</definedName>
    <definedName name="S25R11" localSheetId="19">#REF!</definedName>
    <definedName name="S25R11">#REF!</definedName>
    <definedName name="S25R12" localSheetId="2">#REF!</definedName>
    <definedName name="S25R12" localSheetId="16">#REF!</definedName>
    <definedName name="S25R12" localSheetId="17">#REF!</definedName>
    <definedName name="S25R12" localSheetId="19">#REF!</definedName>
    <definedName name="S25R12">#REF!</definedName>
    <definedName name="S25R13" localSheetId="2">#REF!</definedName>
    <definedName name="S25R13" localSheetId="16">#REF!</definedName>
    <definedName name="S25R13" localSheetId="17">#REF!</definedName>
    <definedName name="S25R13" localSheetId="19">#REF!</definedName>
    <definedName name="S25R13">#REF!</definedName>
    <definedName name="S25R14" localSheetId="2">#REF!</definedName>
    <definedName name="S25R14" localSheetId="16">#REF!</definedName>
    <definedName name="S25R14" localSheetId="17">#REF!</definedName>
    <definedName name="S25R14" localSheetId="19">#REF!</definedName>
    <definedName name="S25R14">#REF!</definedName>
    <definedName name="S25R15" localSheetId="2">#REF!</definedName>
    <definedName name="S25R15" localSheetId="16">#REF!</definedName>
    <definedName name="S25R15" localSheetId="17">#REF!</definedName>
    <definedName name="S25R15" localSheetId="19">#REF!</definedName>
    <definedName name="S25R15">#REF!</definedName>
    <definedName name="S25R16" localSheetId="2">#REF!</definedName>
    <definedName name="S25R16" localSheetId="16">#REF!</definedName>
    <definedName name="S25R16" localSheetId="17">#REF!</definedName>
    <definedName name="S25R16" localSheetId="19">#REF!</definedName>
    <definedName name="S25R16">#REF!</definedName>
    <definedName name="S25R17" localSheetId="2">#REF!</definedName>
    <definedName name="S25R17" localSheetId="16">#REF!</definedName>
    <definedName name="S25R17" localSheetId="17">#REF!</definedName>
    <definedName name="S25R17" localSheetId="19">#REF!</definedName>
    <definedName name="S25R17">#REF!</definedName>
    <definedName name="S25R18" localSheetId="2">#REF!</definedName>
    <definedName name="S25R18" localSheetId="16">#REF!</definedName>
    <definedName name="S25R18" localSheetId="17">#REF!</definedName>
    <definedName name="S25R18" localSheetId="19">#REF!</definedName>
    <definedName name="S25R18">#REF!</definedName>
    <definedName name="S25R19" localSheetId="2">#REF!</definedName>
    <definedName name="S25R19" localSheetId="16">#REF!</definedName>
    <definedName name="S25R19" localSheetId="17">#REF!</definedName>
    <definedName name="S25R19" localSheetId="19">#REF!</definedName>
    <definedName name="S25R19">#REF!</definedName>
    <definedName name="S25R2" localSheetId="2">#REF!</definedName>
    <definedName name="S25R2" localSheetId="16">#REF!</definedName>
    <definedName name="S25R2" localSheetId="17">#REF!</definedName>
    <definedName name="S25R2" localSheetId="19">#REF!</definedName>
    <definedName name="S25R2">#REF!</definedName>
    <definedName name="S25R20" localSheetId="2">#REF!</definedName>
    <definedName name="S25R20" localSheetId="16">#REF!</definedName>
    <definedName name="S25R20" localSheetId="17">#REF!</definedName>
    <definedName name="S25R20" localSheetId="19">#REF!</definedName>
    <definedName name="S25R20">#REF!</definedName>
    <definedName name="S25R21" localSheetId="2">#REF!</definedName>
    <definedName name="S25R21" localSheetId="16">#REF!</definedName>
    <definedName name="S25R21" localSheetId="17">#REF!</definedName>
    <definedName name="S25R21" localSheetId="19">#REF!</definedName>
    <definedName name="S25R21">#REF!</definedName>
    <definedName name="S25R22" localSheetId="2">#REF!</definedName>
    <definedName name="S25R22" localSheetId="16">#REF!</definedName>
    <definedName name="S25R22" localSheetId="17">#REF!</definedName>
    <definedName name="S25R22" localSheetId="19">#REF!</definedName>
    <definedName name="S25R22">#REF!</definedName>
    <definedName name="S25R23" localSheetId="2">#REF!</definedName>
    <definedName name="S25R23" localSheetId="16">#REF!</definedName>
    <definedName name="S25R23" localSheetId="17">#REF!</definedName>
    <definedName name="S25R23" localSheetId="19">#REF!</definedName>
    <definedName name="S25R23">#REF!</definedName>
    <definedName name="S25R24" localSheetId="2">#REF!</definedName>
    <definedName name="S25R24" localSheetId="16">#REF!</definedName>
    <definedName name="S25R24" localSheetId="17">#REF!</definedName>
    <definedName name="S25R24" localSheetId="19">#REF!</definedName>
    <definedName name="S25R24">#REF!</definedName>
    <definedName name="S25R3" localSheetId="2">#REF!</definedName>
    <definedName name="S25R3" localSheetId="16">#REF!</definedName>
    <definedName name="S25R3" localSheetId="17">#REF!</definedName>
    <definedName name="S25R3" localSheetId="19">#REF!</definedName>
    <definedName name="S25R3">#REF!</definedName>
    <definedName name="S25R4" localSheetId="2">#REF!</definedName>
    <definedName name="S25R4" localSheetId="16">#REF!</definedName>
    <definedName name="S25R4" localSheetId="17">#REF!</definedName>
    <definedName name="S25R4" localSheetId="19">#REF!</definedName>
    <definedName name="S25R4">#REF!</definedName>
    <definedName name="S25R5" localSheetId="2">#REF!</definedName>
    <definedName name="S25R5" localSheetId="16">#REF!</definedName>
    <definedName name="S25R5" localSheetId="17">#REF!</definedName>
    <definedName name="S25R5" localSheetId="19">#REF!</definedName>
    <definedName name="S25R5">#REF!</definedName>
    <definedName name="S25R6" localSheetId="2">#REF!</definedName>
    <definedName name="S25R6" localSheetId="16">#REF!</definedName>
    <definedName name="S25R6" localSheetId="17">#REF!</definedName>
    <definedName name="S25R6" localSheetId="19">#REF!</definedName>
    <definedName name="S25R6">#REF!</definedName>
    <definedName name="S25R7" localSheetId="2">#REF!</definedName>
    <definedName name="S25R7" localSheetId="16">#REF!</definedName>
    <definedName name="S25R7" localSheetId="17">#REF!</definedName>
    <definedName name="S25R7" localSheetId="19">#REF!</definedName>
    <definedName name="S25R7">#REF!</definedName>
    <definedName name="S25R8" localSheetId="2">#REF!</definedName>
    <definedName name="S25R8" localSheetId="16">#REF!</definedName>
    <definedName name="S25R8" localSheetId="17">#REF!</definedName>
    <definedName name="S25R8" localSheetId="19">#REF!</definedName>
    <definedName name="S25R8">#REF!</definedName>
    <definedName name="S25R9" localSheetId="2">#REF!</definedName>
    <definedName name="S25R9" localSheetId="16">#REF!</definedName>
    <definedName name="S25R9" localSheetId="17">#REF!</definedName>
    <definedName name="S25R9" localSheetId="19">#REF!</definedName>
    <definedName name="S25R9">#REF!</definedName>
    <definedName name="S26P1" localSheetId="2">#REF!</definedName>
    <definedName name="S26P1" localSheetId="16">#REF!</definedName>
    <definedName name="S26P1" localSheetId="17">#REF!</definedName>
    <definedName name="S26P1" localSheetId="19">#REF!</definedName>
    <definedName name="S26P1">#REF!</definedName>
    <definedName name="S26P10" localSheetId="2">#REF!</definedName>
    <definedName name="S26P10" localSheetId="16">#REF!</definedName>
    <definedName name="S26P10" localSheetId="17">#REF!</definedName>
    <definedName name="S26P10" localSheetId="19">#REF!</definedName>
    <definedName name="S26P10">#REF!</definedName>
    <definedName name="S26P11" localSheetId="2">#REF!</definedName>
    <definedName name="S26P11" localSheetId="16">#REF!</definedName>
    <definedName name="S26P11" localSheetId="17">#REF!</definedName>
    <definedName name="S26P11" localSheetId="19">#REF!</definedName>
    <definedName name="S26P11">#REF!</definedName>
    <definedName name="S26P12" localSheetId="2">#REF!</definedName>
    <definedName name="S26P12" localSheetId="16">#REF!</definedName>
    <definedName name="S26P12" localSheetId="17">#REF!</definedName>
    <definedName name="S26P12" localSheetId="19">#REF!</definedName>
    <definedName name="S26P12">#REF!</definedName>
    <definedName name="S26P13" localSheetId="2">#REF!</definedName>
    <definedName name="S26P13" localSheetId="16">#REF!</definedName>
    <definedName name="S26P13" localSheetId="17">#REF!</definedName>
    <definedName name="S26P13" localSheetId="19">#REF!</definedName>
    <definedName name="S26P13">#REF!</definedName>
    <definedName name="S26P14" localSheetId="2">#REF!</definedName>
    <definedName name="S26P14" localSheetId="16">#REF!</definedName>
    <definedName name="S26P14" localSheetId="17">#REF!</definedName>
    <definedName name="S26P14" localSheetId="19">#REF!</definedName>
    <definedName name="S26P14">#REF!</definedName>
    <definedName name="S26P15" localSheetId="2">#REF!</definedName>
    <definedName name="S26P15" localSheetId="16">#REF!</definedName>
    <definedName name="S26P15" localSheetId="17">#REF!</definedName>
    <definedName name="S26P15" localSheetId="19">#REF!</definedName>
    <definedName name="S26P15">#REF!</definedName>
    <definedName name="S26P16" localSheetId="2">#REF!</definedName>
    <definedName name="S26P16" localSheetId="16">#REF!</definedName>
    <definedName name="S26P16" localSheetId="17">#REF!</definedName>
    <definedName name="S26P16" localSheetId="19">#REF!</definedName>
    <definedName name="S26P16">#REF!</definedName>
    <definedName name="S26P17" localSheetId="2">#REF!</definedName>
    <definedName name="S26P17" localSheetId="16">#REF!</definedName>
    <definedName name="S26P17" localSheetId="17">#REF!</definedName>
    <definedName name="S26P17" localSheetId="19">#REF!</definedName>
    <definedName name="S26P17">#REF!</definedName>
    <definedName name="S26P18" localSheetId="2">#REF!</definedName>
    <definedName name="S26P18" localSheetId="16">#REF!</definedName>
    <definedName name="S26P18" localSheetId="17">#REF!</definedName>
    <definedName name="S26P18" localSheetId="19">#REF!</definedName>
    <definedName name="S26P18">#REF!</definedName>
    <definedName name="S26P19" localSheetId="2">#REF!</definedName>
    <definedName name="S26P19" localSheetId="16">#REF!</definedName>
    <definedName name="S26P19" localSheetId="17">#REF!</definedName>
    <definedName name="S26P19" localSheetId="19">#REF!</definedName>
    <definedName name="S26P19">#REF!</definedName>
    <definedName name="S26P2" localSheetId="2">#REF!</definedName>
    <definedName name="S26P2" localSheetId="16">#REF!</definedName>
    <definedName name="S26P2" localSheetId="17">#REF!</definedName>
    <definedName name="S26P2" localSheetId="19">#REF!</definedName>
    <definedName name="S26P2">#REF!</definedName>
    <definedName name="S26P20" localSheetId="2">#REF!</definedName>
    <definedName name="S26P20" localSheetId="16">#REF!</definedName>
    <definedName name="S26P20" localSheetId="17">#REF!</definedName>
    <definedName name="S26P20" localSheetId="19">#REF!</definedName>
    <definedName name="S26P20">#REF!</definedName>
    <definedName name="S26P21" localSheetId="2">#REF!</definedName>
    <definedName name="S26P21" localSheetId="16">#REF!</definedName>
    <definedName name="S26P21" localSheetId="17">#REF!</definedName>
    <definedName name="S26P21" localSheetId="19">#REF!</definedName>
    <definedName name="S26P21">#REF!</definedName>
    <definedName name="S26P22" localSheetId="2">#REF!</definedName>
    <definedName name="S26P22" localSheetId="16">#REF!</definedName>
    <definedName name="S26P22" localSheetId="17">#REF!</definedName>
    <definedName name="S26P22" localSheetId="19">#REF!</definedName>
    <definedName name="S26P22">#REF!</definedName>
    <definedName name="S26P23" localSheetId="2">#REF!</definedName>
    <definedName name="S26P23" localSheetId="16">#REF!</definedName>
    <definedName name="S26P23" localSheetId="17">#REF!</definedName>
    <definedName name="S26P23" localSheetId="19">#REF!</definedName>
    <definedName name="S26P23">#REF!</definedName>
    <definedName name="S26P24" localSheetId="2">#REF!</definedName>
    <definedName name="S26P24" localSheetId="16">#REF!</definedName>
    <definedName name="S26P24" localSheetId="17">#REF!</definedName>
    <definedName name="S26P24" localSheetId="19">#REF!</definedName>
    <definedName name="S26P24">#REF!</definedName>
    <definedName name="S26P3" localSheetId="2">#REF!</definedName>
    <definedName name="S26P3" localSheetId="16">#REF!</definedName>
    <definedName name="S26P3" localSheetId="17">#REF!</definedName>
    <definedName name="S26P3" localSheetId="19">#REF!</definedName>
    <definedName name="S26P3">#REF!</definedName>
    <definedName name="S26P4" localSheetId="2">#REF!</definedName>
    <definedName name="S26P4" localSheetId="16">#REF!</definedName>
    <definedName name="S26P4" localSheetId="17">#REF!</definedName>
    <definedName name="S26P4" localSheetId="19">#REF!</definedName>
    <definedName name="S26P4">#REF!</definedName>
    <definedName name="S26P5" localSheetId="2">#REF!</definedName>
    <definedName name="S26P5" localSheetId="16">#REF!</definedName>
    <definedName name="S26P5" localSheetId="17">#REF!</definedName>
    <definedName name="S26P5" localSheetId="19">#REF!</definedName>
    <definedName name="S26P5">#REF!</definedName>
    <definedName name="S26P6" localSheetId="2">#REF!</definedName>
    <definedName name="S26P6" localSheetId="16">#REF!</definedName>
    <definedName name="S26P6" localSheetId="17">#REF!</definedName>
    <definedName name="S26P6" localSheetId="19">#REF!</definedName>
    <definedName name="S26P6">#REF!</definedName>
    <definedName name="S26P7" localSheetId="2">#REF!</definedName>
    <definedName name="S26P7" localSheetId="16">#REF!</definedName>
    <definedName name="S26P7" localSheetId="17">#REF!</definedName>
    <definedName name="S26P7" localSheetId="19">#REF!</definedName>
    <definedName name="S26P7">#REF!</definedName>
    <definedName name="S26P8" localSheetId="2">#REF!</definedName>
    <definedName name="S26P8" localSheetId="16">#REF!</definedName>
    <definedName name="S26P8" localSheetId="17">#REF!</definedName>
    <definedName name="S26P8" localSheetId="19">#REF!</definedName>
    <definedName name="S26P8">#REF!</definedName>
    <definedName name="S26P9" localSheetId="2">#REF!</definedName>
    <definedName name="S26P9" localSheetId="16">#REF!</definedName>
    <definedName name="S26P9" localSheetId="17">#REF!</definedName>
    <definedName name="S26P9" localSheetId="19">#REF!</definedName>
    <definedName name="S26P9">#REF!</definedName>
    <definedName name="S26R1" localSheetId="2">#REF!</definedName>
    <definedName name="S26R1" localSheetId="16">#REF!</definedName>
    <definedName name="S26R1" localSheetId="17">#REF!</definedName>
    <definedName name="S26R1" localSheetId="19">#REF!</definedName>
    <definedName name="S26R1">#REF!</definedName>
    <definedName name="S26R10" localSheetId="2">#REF!</definedName>
    <definedName name="S26R10" localSheetId="16">#REF!</definedName>
    <definedName name="S26R10" localSheetId="17">#REF!</definedName>
    <definedName name="S26R10" localSheetId="19">#REF!</definedName>
    <definedName name="S26R10">#REF!</definedName>
    <definedName name="S26R11" localSheetId="2">#REF!</definedName>
    <definedName name="S26R11" localSheetId="16">#REF!</definedName>
    <definedName name="S26R11" localSheetId="17">#REF!</definedName>
    <definedName name="S26R11" localSheetId="19">#REF!</definedName>
    <definedName name="S26R11">#REF!</definedName>
    <definedName name="S26R12" localSheetId="2">#REF!</definedName>
    <definedName name="S26R12" localSheetId="16">#REF!</definedName>
    <definedName name="S26R12" localSheetId="17">#REF!</definedName>
    <definedName name="S26R12" localSheetId="19">#REF!</definedName>
    <definedName name="S26R12">#REF!</definedName>
    <definedName name="S26R13" localSheetId="2">#REF!</definedName>
    <definedName name="S26R13" localSheetId="16">#REF!</definedName>
    <definedName name="S26R13" localSheetId="17">#REF!</definedName>
    <definedName name="S26R13" localSheetId="19">#REF!</definedName>
    <definedName name="S26R13">#REF!</definedName>
    <definedName name="S26R14" localSheetId="2">#REF!</definedName>
    <definedName name="S26R14" localSheetId="16">#REF!</definedName>
    <definedName name="S26R14" localSheetId="17">#REF!</definedName>
    <definedName name="S26R14" localSheetId="19">#REF!</definedName>
    <definedName name="S26R14">#REF!</definedName>
    <definedName name="S26R15" localSheetId="2">#REF!</definedName>
    <definedName name="S26R15" localSheetId="16">#REF!</definedName>
    <definedName name="S26R15" localSheetId="17">#REF!</definedName>
    <definedName name="S26R15" localSheetId="19">#REF!</definedName>
    <definedName name="S26R15">#REF!</definedName>
    <definedName name="S26R16" localSheetId="2">#REF!</definedName>
    <definedName name="S26R16" localSheetId="16">#REF!</definedName>
    <definedName name="S26R16" localSheetId="17">#REF!</definedName>
    <definedName name="S26R16" localSheetId="19">#REF!</definedName>
    <definedName name="S26R16">#REF!</definedName>
    <definedName name="S26R17" localSheetId="2">#REF!</definedName>
    <definedName name="S26R17" localSheetId="16">#REF!</definedName>
    <definedName name="S26R17" localSheetId="17">#REF!</definedName>
    <definedName name="S26R17" localSheetId="19">#REF!</definedName>
    <definedName name="S26R17">#REF!</definedName>
    <definedName name="S26R18" localSheetId="2">#REF!</definedName>
    <definedName name="S26R18" localSheetId="16">#REF!</definedName>
    <definedName name="S26R18" localSheetId="17">#REF!</definedName>
    <definedName name="S26R18" localSheetId="19">#REF!</definedName>
    <definedName name="S26R18">#REF!</definedName>
    <definedName name="S26R19" localSheetId="2">#REF!</definedName>
    <definedName name="S26R19" localSheetId="16">#REF!</definedName>
    <definedName name="S26R19" localSheetId="17">#REF!</definedName>
    <definedName name="S26R19" localSheetId="19">#REF!</definedName>
    <definedName name="S26R19">#REF!</definedName>
    <definedName name="S26R2" localSheetId="2">#REF!</definedName>
    <definedName name="S26R2" localSheetId="16">#REF!</definedName>
    <definedName name="S26R2" localSheetId="17">#REF!</definedName>
    <definedName name="S26R2" localSheetId="19">#REF!</definedName>
    <definedName name="S26R2">#REF!</definedName>
    <definedName name="S26R20" localSheetId="2">#REF!</definedName>
    <definedName name="S26R20" localSheetId="16">#REF!</definedName>
    <definedName name="S26R20" localSheetId="17">#REF!</definedName>
    <definedName name="S26R20" localSheetId="19">#REF!</definedName>
    <definedName name="S26R20">#REF!</definedName>
    <definedName name="S26R21" localSheetId="2">#REF!</definedName>
    <definedName name="S26R21" localSheetId="16">#REF!</definedName>
    <definedName name="S26R21" localSheetId="17">#REF!</definedName>
    <definedName name="S26R21" localSheetId="19">#REF!</definedName>
    <definedName name="S26R21">#REF!</definedName>
    <definedName name="S26R22" localSheetId="2">#REF!</definedName>
    <definedName name="S26R22" localSheetId="16">#REF!</definedName>
    <definedName name="S26R22" localSheetId="17">#REF!</definedName>
    <definedName name="S26R22" localSheetId="19">#REF!</definedName>
    <definedName name="S26R22">#REF!</definedName>
    <definedName name="S26R23" localSheetId="2">#REF!</definedName>
    <definedName name="S26R23" localSheetId="16">#REF!</definedName>
    <definedName name="S26R23" localSheetId="17">#REF!</definedName>
    <definedName name="S26R23" localSheetId="19">#REF!</definedName>
    <definedName name="S26R23">#REF!</definedName>
    <definedName name="S26R24" localSheetId="2">#REF!</definedName>
    <definedName name="S26R24" localSheetId="16">#REF!</definedName>
    <definedName name="S26R24" localSheetId="17">#REF!</definedName>
    <definedName name="S26R24" localSheetId="19">#REF!</definedName>
    <definedName name="S26R24">#REF!</definedName>
    <definedName name="S26R3" localSheetId="2">#REF!</definedName>
    <definedName name="S26R3" localSheetId="16">#REF!</definedName>
    <definedName name="S26R3" localSheetId="17">#REF!</definedName>
    <definedName name="S26R3" localSheetId="19">#REF!</definedName>
    <definedName name="S26R3">#REF!</definedName>
    <definedName name="S26R4" localSheetId="2">#REF!</definedName>
    <definedName name="S26R4" localSheetId="16">#REF!</definedName>
    <definedName name="S26R4" localSheetId="17">#REF!</definedName>
    <definedName name="S26R4" localSheetId="19">#REF!</definedName>
    <definedName name="S26R4">#REF!</definedName>
    <definedName name="S26R5" localSheetId="2">#REF!</definedName>
    <definedName name="S26R5" localSheetId="16">#REF!</definedName>
    <definedName name="S26R5" localSheetId="17">#REF!</definedName>
    <definedName name="S26R5" localSheetId="19">#REF!</definedName>
    <definedName name="S26R5">#REF!</definedName>
    <definedName name="S26R6" localSheetId="2">#REF!</definedName>
    <definedName name="S26R6" localSheetId="16">#REF!</definedName>
    <definedName name="S26R6" localSheetId="17">#REF!</definedName>
    <definedName name="S26R6" localSheetId="19">#REF!</definedName>
    <definedName name="S26R6">#REF!</definedName>
    <definedName name="S26R7" localSheetId="2">#REF!</definedName>
    <definedName name="S26R7" localSheetId="16">#REF!</definedName>
    <definedName name="S26R7" localSheetId="17">#REF!</definedName>
    <definedName name="S26R7" localSheetId="19">#REF!</definedName>
    <definedName name="S26R7">#REF!</definedName>
    <definedName name="S26R8" localSheetId="2">#REF!</definedName>
    <definedName name="S26R8" localSheetId="16">#REF!</definedName>
    <definedName name="S26R8" localSheetId="17">#REF!</definedName>
    <definedName name="S26R8" localSheetId="19">#REF!</definedName>
    <definedName name="S26R8">#REF!</definedName>
    <definedName name="S26R9" localSheetId="2">#REF!</definedName>
    <definedName name="S26R9" localSheetId="16">#REF!</definedName>
    <definedName name="S26R9" localSheetId="17">#REF!</definedName>
    <definedName name="S26R9" localSheetId="19">#REF!</definedName>
    <definedName name="S26R9">#REF!</definedName>
    <definedName name="S27P1" localSheetId="2">#REF!</definedName>
    <definedName name="S27P1" localSheetId="16">#REF!</definedName>
    <definedName name="S27P1" localSheetId="17">#REF!</definedName>
    <definedName name="S27P1" localSheetId="19">#REF!</definedName>
    <definedName name="S27P1">#REF!</definedName>
    <definedName name="S27P10" localSheetId="2">#REF!</definedName>
    <definedName name="S27P10" localSheetId="16">#REF!</definedName>
    <definedName name="S27P10" localSheetId="17">#REF!</definedName>
    <definedName name="S27P10" localSheetId="19">#REF!</definedName>
    <definedName name="S27P10">#REF!</definedName>
    <definedName name="S27P11" localSheetId="2">#REF!</definedName>
    <definedName name="S27P11" localSheetId="16">#REF!</definedName>
    <definedName name="S27P11" localSheetId="17">#REF!</definedName>
    <definedName name="S27P11" localSheetId="19">#REF!</definedName>
    <definedName name="S27P11">#REF!</definedName>
    <definedName name="S27P12" localSheetId="2">#REF!</definedName>
    <definedName name="S27P12" localSheetId="16">#REF!</definedName>
    <definedName name="S27P12" localSheetId="17">#REF!</definedName>
    <definedName name="S27P12" localSheetId="19">#REF!</definedName>
    <definedName name="S27P12">#REF!</definedName>
    <definedName name="S27P13" localSheetId="2">#REF!</definedName>
    <definedName name="S27P13" localSheetId="16">#REF!</definedName>
    <definedName name="S27P13" localSheetId="17">#REF!</definedName>
    <definedName name="S27P13" localSheetId="19">#REF!</definedName>
    <definedName name="S27P13">#REF!</definedName>
    <definedName name="S27P14" localSheetId="2">#REF!</definedName>
    <definedName name="S27P14" localSheetId="16">#REF!</definedName>
    <definedName name="S27P14" localSheetId="17">#REF!</definedName>
    <definedName name="S27P14" localSheetId="19">#REF!</definedName>
    <definedName name="S27P14">#REF!</definedName>
    <definedName name="S27P15" localSheetId="2">#REF!</definedName>
    <definedName name="S27P15" localSheetId="16">#REF!</definedName>
    <definedName name="S27P15" localSheetId="17">#REF!</definedName>
    <definedName name="S27P15" localSheetId="19">#REF!</definedName>
    <definedName name="S27P15">#REF!</definedName>
    <definedName name="S27P16" localSheetId="2">#REF!</definedName>
    <definedName name="S27P16" localSheetId="16">#REF!</definedName>
    <definedName name="S27P16" localSheetId="17">#REF!</definedName>
    <definedName name="S27P16" localSheetId="19">#REF!</definedName>
    <definedName name="S27P16">#REF!</definedName>
    <definedName name="S27P17" localSheetId="2">#REF!</definedName>
    <definedName name="S27P17" localSheetId="16">#REF!</definedName>
    <definedName name="S27P17" localSheetId="17">#REF!</definedName>
    <definedName name="S27P17" localSheetId="19">#REF!</definedName>
    <definedName name="S27P17">#REF!</definedName>
    <definedName name="S27P18" localSheetId="2">#REF!</definedName>
    <definedName name="S27P18" localSheetId="16">#REF!</definedName>
    <definedName name="S27P18" localSheetId="17">#REF!</definedName>
    <definedName name="S27P18" localSheetId="19">#REF!</definedName>
    <definedName name="S27P18">#REF!</definedName>
    <definedName name="S27P19" localSheetId="2">#REF!</definedName>
    <definedName name="S27P19" localSheetId="16">#REF!</definedName>
    <definedName name="S27P19" localSheetId="17">#REF!</definedName>
    <definedName name="S27P19" localSheetId="19">#REF!</definedName>
    <definedName name="S27P19">#REF!</definedName>
    <definedName name="S27P2" localSheetId="2">#REF!</definedName>
    <definedName name="S27P2" localSheetId="16">#REF!</definedName>
    <definedName name="S27P2" localSheetId="17">#REF!</definedName>
    <definedName name="S27P2" localSheetId="19">#REF!</definedName>
    <definedName name="S27P2">#REF!</definedName>
    <definedName name="S27P20" localSheetId="2">#REF!</definedName>
    <definedName name="S27P20" localSheetId="16">#REF!</definedName>
    <definedName name="S27P20" localSheetId="17">#REF!</definedName>
    <definedName name="S27P20" localSheetId="19">#REF!</definedName>
    <definedName name="S27P20">#REF!</definedName>
    <definedName name="S27P21" localSheetId="2">#REF!</definedName>
    <definedName name="S27P21" localSheetId="16">#REF!</definedName>
    <definedName name="S27P21" localSheetId="17">#REF!</definedName>
    <definedName name="S27P21" localSheetId="19">#REF!</definedName>
    <definedName name="S27P21">#REF!</definedName>
    <definedName name="S27P22" localSheetId="2">#REF!</definedName>
    <definedName name="S27P22" localSheetId="16">#REF!</definedName>
    <definedName name="S27P22" localSheetId="17">#REF!</definedName>
    <definedName name="S27P22" localSheetId="19">#REF!</definedName>
    <definedName name="S27P22">#REF!</definedName>
    <definedName name="S27P23" localSheetId="2">#REF!</definedName>
    <definedName name="S27P23" localSheetId="16">#REF!</definedName>
    <definedName name="S27P23" localSheetId="17">#REF!</definedName>
    <definedName name="S27P23" localSheetId="19">#REF!</definedName>
    <definedName name="S27P23">#REF!</definedName>
    <definedName name="S27P24" localSheetId="2">#REF!</definedName>
    <definedName name="S27P24" localSheetId="16">#REF!</definedName>
    <definedName name="S27P24" localSheetId="17">#REF!</definedName>
    <definedName name="S27P24" localSheetId="19">#REF!</definedName>
    <definedName name="S27P24">#REF!</definedName>
    <definedName name="S27P3" localSheetId="2">#REF!</definedName>
    <definedName name="S27P3" localSheetId="16">#REF!</definedName>
    <definedName name="S27P3" localSheetId="17">#REF!</definedName>
    <definedName name="S27P3" localSheetId="19">#REF!</definedName>
    <definedName name="S27P3">#REF!</definedName>
    <definedName name="S27P4" localSheetId="2">#REF!</definedName>
    <definedName name="S27P4" localSheetId="16">#REF!</definedName>
    <definedName name="S27P4" localSheetId="17">#REF!</definedName>
    <definedName name="S27P4" localSheetId="19">#REF!</definedName>
    <definedName name="S27P4">#REF!</definedName>
    <definedName name="S27P5" localSheetId="2">#REF!</definedName>
    <definedName name="S27P5" localSheetId="16">#REF!</definedName>
    <definedName name="S27P5" localSheetId="17">#REF!</definedName>
    <definedName name="S27P5" localSheetId="19">#REF!</definedName>
    <definedName name="S27P5">#REF!</definedName>
    <definedName name="S27P6" localSheetId="2">#REF!</definedName>
    <definedName name="S27P6" localSheetId="16">#REF!</definedName>
    <definedName name="S27P6" localSheetId="17">#REF!</definedName>
    <definedName name="S27P6" localSheetId="19">#REF!</definedName>
    <definedName name="S27P6">#REF!</definedName>
    <definedName name="S27P7" localSheetId="2">#REF!</definedName>
    <definedName name="S27P7" localSheetId="16">#REF!</definedName>
    <definedName name="S27P7" localSheetId="17">#REF!</definedName>
    <definedName name="S27P7" localSheetId="19">#REF!</definedName>
    <definedName name="S27P7">#REF!</definedName>
    <definedName name="S27P8" localSheetId="2">#REF!</definedName>
    <definedName name="S27P8" localSheetId="16">#REF!</definedName>
    <definedName name="S27P8" localSheetId="17">#REF!</definedName>
    <definedName name="S27P8" localSheetId="19">#REF!</definedName>
    <definedName name="S27P8">#REF!</definedName>
    <definedName name="S27P9" localSheetId="2">#REF!</definedName>
    <definedName name="S27P9" localSheetId="16">#REF!</definedName>
    <definedName name="S27P9" localSheetId="17">#REF!</definedName>
    <definedName name="S27P9" localSheetId="19">#REF!</definedName>
    <definedName name="S27P9">#REF!</definedName>
    <definedName name="S27R1" localSheetId="2">#REF!</definedName>
    <definedName name="S27R1" localSheetId="16">#REF!</definedName>
    <definedName name="S27R1" localSheetId="17">#REF!</definedName>
    <definedName name="S27R1" localSheetId="19">#REF!</definedName>
    <definedName name="S27R1">#REF!</definedName>
    <definedName name="S27R10" localSheetId="2">#REF!</definedName>
    <definedName name="S27R10" localSheetId="16">#REF!</definedName>
    <definedName name="S27R10" localSheetId="17">#REF!</definedName>
    <definedName name="S27R10" localSheetId="19">#REF!</definedName>
    <definedName name="S27R10">#REF!</definedName>
    <definedName name="S27R11" localSheetId="2">#REF!</definedName>
    <definedName name="S27R11" localSheetId="16">#REF!</definedName>
    <definedName name="S27R11" localSheetId="17">#REF!</definedName>
    <definedName name="S27R11" localSheetId="19">#REF!</definedName>
    <definedName name="S27R11">#REF!</definedName>
    <definedName name="S27R12" localSheetId="2">#REF!</definedName>
    <definedName name="S27R12" localSheetId="16">#REF!</definedName>
    <definedName name="S27R12" localSheetId="17">#REF!</definedName>
    <definedName name="S27R12" localSheetId="19">#REF!</definedName>
    <definedName name="S27R12">#REF!</definedName>
    <definedName name="S27R13" localSheetId="2">#REF!</definedName>
    <definedName name="S27R13" localSheetId="16">#REF!</definedName>
    <definedName name="S27R13" localSheetId="17">#REF!</definedName>
    <definedName name="S27R13" localSheetId="19">#REF!</definedName>
    <definedName name="S27R13">#REF!</definedName>
    <definedName name="S27R14" localSheetId="2">#REF!</definedName>
    <definedName name="S27R14" localSheetId="16">#REF!</definedName>
    <definedName name="S27R14" localSheetId="17">#REF!</definedName>
    <definedName name="S27R14" localSheetId="19">#REF!</definedName>
    <definedName name="S27R14">#REF!</definedName>
    <definedName name="S27R15" localSheetId="2">#REF!</definedName>
    <definedName name="S27R15" localSheetId="16">#REF!</definedName>
    <definedName name="S27R15" localSheetId="17">#REF!</definedName>
    <definedName name="S27R15" localSheetId="19">#REF!</definedName>
    <definedName name="S27R15">#REF!</definedName>
    <definedName name="S27R16" localSheetId="2">#REF!</definedName>
    <definedName name="S27R16" localSheetId="16">#REF!</definedName>
    <definedName name="S27R16" localSheetId="17">#REF!</definedName>
    <definedName name="S27R16" localSheetId="19">#REF!</definedName>
    <definedName name="S27R16">#REF!</definedName>
    <definedName name="S27R17" localSheetId="2">#REF!</definedName>
    <definedName name="S27R17" localSheetId="16">#REF!</definedName>
    <definedName name="S27R17" localSheetId="17">#REF!</definedName>
    <definedName name="S27R17" localSheetId="19">#REF!</definedName>
    <definedName name="S27R17">#REF!</definedName>
    <definedName name="S27R18" localSheetId="2">#REF!</definedName>
    <definedName name="S27R18" localSheetId="16">#REF!</definedName>
    <definedName name="S27R18" localSheetId="17">#REF!</definedName>
    <definedName name="S27R18" localSheetId="19">#REF!</definedName>
    <definedName name="S27R18">#REF!</definedName>
    <definedName name="S27R19" localSheetId="2">#REF!</definedName>
    <definedName name="S27R19" localSheetId="16">#REF!</definedName>
    <definedName name="S27R19" localSheetId="17">#REF!</definedName>
    <definedName name="S27R19" localSheetId="19">#REF!</definedName>
    <definedName name="S27R19">#REF!</definedName>
    <definedName name="S27R2" localSheetId="2">#REF!</definedName>
    <definedName name="S27R2" localSheetId="16">#REF!</definedName>
    <definedName name="S27R2" localSheetId="17">#REF!</definedName>
    <definedName name="S27R2" localSheetId="19">#REF!</definedName>
    <definedName name="S27R2">#REF!</definedName>
    <definedName name="S27R20" localSheetId="2">#REF!</definedName>
    <definedName name="S27R20" localSheetId="16">#REF!</definedName>
    <definedName name="S27R20" localSheetId="17">#REF!</definedName>
    <definedName name="S27R20" localSheetId="19">#REF!</definedName>
    <definedName name="S27R20">#REF!</definedName>
    <definedName name="S27R21" localSheetId="2">#REF!</definedName>
    <definedName name="S27R21" localSheetId="16">#REF!</definedName>
    <definedName name="S27R21" localSheetId="17">#REF!</definedName>
    <definedName name="S27R21" localSheetId="19">#REF!</definedName>
    <definedName name="S27R21">#REF!</definedName>
    <definedName name="S27R22" localSheetId="2">#REF!</definedName>
    <definedName name="S27R22" localSheetId="16">#REF!</definedName>
    <definedName name="S27R22" localSheetId="17">#REF!</definedName>
    <definedName name="S27R22" localSheetId="19">#REF!</definedName>
    <definedName name="S27R22">#REF!</definedName>
    <definedName name="S27R23" localSheetId="2">#REF!</definedName>
    <definedName name="S27R23" localSheetId="16">#REF!</definedName>
    <definedName name="S27R23" localSheetId="17">#REF!</definedName>
    <definedName name="S27R23" localSheetId="19">#REF!</definedName>
    <definedName name="S27R23">#REF!</definedName>
    <definedName name="S27R24" localSheetId="2">#REF!</definedName>
    <definedName name="S27R24" localSheetId="16">#REF!</definedName>
    <definedName name="S27R24" localSheetId="17">#REF!</definedName>
    <definedName name="S27R24" localSheetId="19">#REF!</definedName>
    <definedName name="S27R24">#REF!</definedName>
    <definedName name="S27R3" localSheetId="2">#REF!</definedName>
    <definedName name="S27R3" localSheetId="16">#REF!</definedName>
    <definedName name="S27R3" localSheetId="17">#REF!</definedName>
    <definedName name="S27R3" localSheetId="19">#REF!</definedName>
    <definedName name="S27R3">#REF!</definedName>
    <definedName name="S27R4" localSheetId="2">#REF!</definedName>
    <definedName name="S27R4" localSheetId="16">#REF!</definedName>
    <definedName name="S27R4" localSheetId="17">#REF!</definedName>
    <definedName name="S27R4" localSheetId="19">#REF!</definedName>
    <definedName name="S27R4">#REF!</definedName>
    <definedName name="S27R5" localSheetId="2">#REF!</definedName>
    <definedName name="S27R5" localSheetId="16">#REF!</definedName>
    <definedName name="S27R5" localSheetId="17">#REF!</definedName>
    <definedName name="S27R5" localSheetId="19">#REF!</definedName>
    <definedName name="S27R5">#REF!</definedName>
    <definedName name="S27R6" localSheetId="2">#REF!</definedName>
    <definedName name="S27R6" localSheetId="16">#REF!</definedName>
    <definedName name="S27R6" localSheetId="17">#REF!</definedName>
    <definedName name="S27R6" localSheetId="19">#REF!</definedName>
    <definedName name="S27R6">#REF!</definedName>
    <definedName name="S27R7" localSheetId="2">#REF!</definedName>
    <definedName name="S27R7" localSheetId="16">#REF!</definedName>
    <definedName name="S27R7" localSheetId="17">#REF!</definedName>
    <definedName name="S27R7" localSheetId="19">#REF!</definedName>
    <definedName name="S27R7">#REF!</definedName>
    <definedName name="S27R8" localSheetId="2">#REF!</definedName>
    <definedName name="S27R8" localSheetId="16">#REF!</definedName>
    <definedName name="S27R8" localSheetId="17">#REF!</definedName>
    <definedName name="S27R8" localSheetId="19">#REF!</definedName>
    <definedName name="S27R8">#REF!</definedName>
    <definedName name="S27R9" localSheetId="2">#REF!</definedName>
    <definedName name="S27R9" localSheetId="16">#REF!</definedName>
    <definedName name="S27R9" localSheetId="17">#REF!</definedName>
    <definedName name="S27R9" localSheetId="19">#REF!</definedName>
    <definedName name="S27R9">#REF!</definedName>
    <definedName name="S28P1" localSheetId="2">#REF!</definedName>
    <definedName name="S28P1" localSheetId="16">#REF!</definedName>
    <definedName name="S28P1" localSheetId="17">#REF!</definedName>
    <definedName name="S28P1" localSheetId="19">#REF!</definedName>
    <definedName name="S28P1">#REF!</definedName>
    <definedName name="S28P10" localSheetId="2">#REF!</definedName>
    <definedName name="S28P10" localSheetId="16">#REF!</definedName>
    <definedName name="S28P10" localSheetId="17">#REF!</definedName>
    <definedName name="S28P10" localSheetId="19">#REF!</definedName>
    <definedName name="S28P10">#REF!</definedName>
    <definedName name="S28P11" localSheetId="2">#REF!</definedName>
    <definedName name="S28P11" localSheetId="16">#REF!</definedName>
    <definedName name="S28P11" localSheetId="17">#REF!</definedName>
    <definedName name="S28P11" localSheetId="19">#REF!</definedName>
    <definedName name="S28P11">#REF!</definedName>
    <definedName name="S28P12" localSheetId="2">#REF!</definedName>
    <definedName name="S28P12" localSheetId="16">#REF!</definedName>
    <definedName name="S28P12" localSheetId="17">#REF!</definedName>
    <definedName name="S28P12" localSheetId="19">#REF!</definedName>
    <definedName name="S28P12">#REF!</definedName>
    <definedName name="S28P13" localSheetId="2">#REF!</definedName>
    <definedName name="S28P13" localSheetId="16">#REF!</definedName>
    <definedName name="S28P13" localSheetId="17">#REF!</definedName>
    <definedName name="S28P13" localSheetId="19">#REF!</definedName>
    <definedName name="S28P13">#REF!</definedName>
    <definedName name="S28P14" localSheetId="2">#REF!</definedName>
    <definedName name="S28P14" localSheetId="16">#REF!</definedName>
    <definedName name="S28P14" localSheetId="17">#REF!</definedName>
    <definedName name="S28P14" localSheetId="19">#REF!</definedName>
    <definedName name="S28P14">#REF!</definedName>
    <definedName name="S28P15" localSheetId="2">#REF!</definedName>
    <definedName name="S28P15" localSheetId="16">#REF!</definedName>
    <definedName name="S28P15" localSheetId="17">#REF!</definedName>
    <definedName name="S28P15" localSheetId="19">#REF!</definedName>
    <definedName name="S28P15">#REF!</definedName>
    <definedName name="S28P16" localSheetId="2">#REF!</definedName>
    <definedName name="S28P16" localSheetId="16">#REF!</definedName>
    <definedName name="S28P16" localSheetId="17">#REF!</definedName>
    <definedName name="S28P16" localSheetId="19">#REF!</definedName>
    <definedName name="S28P16">#REF!</definedName>
    <definedName name="S28P17" localSheetId="2">#REF!</definedName>
    <definedName name="S28P17" localSheetId="16">#REF!</definedName>
    <definedName name="S28P17" localSheetId="17">#REF!</definedName>
    <definedName name="S28P17" localSheetId="19">#REF!</definedName>
    <definedName name="S28P17">#REF!</definedName>
    <definedName name="S28P18" localSheetId="2">#REF!</definedName>
    <definedName name="S28P18" localSheetId="16">#REF!</definedName>
    <definedName name="S28P18" localSheetId="17">#REF!</definedName>
    <definedName name="S28P18" localSheetId="19">#REF!</definedName>
    <definedName name="S28P18">#REF!</definedName>
    <definedName name="S28P19" localSheetId="2">#REF!</definedName>
    <definedName name="S28P19" localSheetId="16">#REF!</definedName>
    <definedName name="S28P19" localSheetId="17">#REF!</definedName>
    <definedName name="S28P19" localSheetId="19">#REF!</definedName>
    <definedName name="S28P19">#REF!</definedName>
    <definedName name="S28P2" localSheetId="2">#REF!</definedName>
    <definedName name="S28P2" localSheetId="16">#REF!</definedName>
    <definedName name="S28P2" localSheetId="17">#REF!</definedName>
    <definedName name="S28P2" localSheetId="19">#REF!</definedName>
    <definedName name="S28P2">#REF!</definedName>
    <definedName name="S28P20" localSheetId="2">#REF!</definedName>
    <definedName name="S28P20" localSheetId="16">#REF!</definedName>
    <definedName name="S28P20" localSheetId="17">#REF!</definedName>
    <definedName name="S28P20" localSheetId="19">#REF!</definedName>
    <definedName name="S28P20">#REF!</definedName>
    <definedName name="S28P21" localSheetId="2">#REF!</definedName>
    <definedName name="S28P21" localSheetId="16">#REF!</definedName>
    <definedName name="S28P21" localSheetId="17">#REF!</definedName>
    <definedName name="S28P21" localSheetId="19">#REF!</definedName>
    <definedName name="S28P21">#REF!</definedName>
    <definedName name="S28P22" localSheetId="2">#REF!</definedName>
    <definedName name="S28P22" localSheetId="16">#REF!</definedName>
    <definedName name="S28P22" localSheetId="17">#REF!</definedName>
    <definedName name="S28P22" localSheetId="19">#REF!</definedName>
    <definedName name="S28P22">#REF!</definedName>
    <definedName name="S28P23" localSheetId="2">#REF!</definedName>
    <definedName name="S28P23" localSheetId="16">#REF!</definedName>
    <definedName name="S28P23" localSheetId="17">#REF!</definedName>
    <definedName name="S28P23" localSheetId="19">#REF!</definedName>
    <definedName name="S28P23">#REF!</definedName>
    <definedName name="S28P24" localSheetId="2">#REF!</definedName>
    <definedName name="S28P24" localSheetId="16">#REF!</definedName>
    <definedName name="S28P24" localSheetId="17">#REF!</definedName>
    <definedName name="S28P24" localSheetId="19">#REF!</definedName>
    <definedName name="S28P24">#REF!</definedName>
    <definedName name="S28P3" localSheetId="2">#REF!</definedName>
    <definedName name="S28P3" localSheetId="16">#REF!</definedName>
    <definedName name="S28P3" localSheetId="17">#REF!</definedName>
    <definedName name="S28P3" localSheetId="19">#REF!</definedName>
    <definedName name="S28P3">#REF!</definedName>
    <definedName name="S28P4" localSheetId="2">#REF!</definedName>
    <definedName name="S28P4" localSheetId="16">#REF!</definedName>
    <definedName name="S28P4" localSheetId="17">#REF!</definedName>
    <definedName name="S28P4" localSheetId="19">#REF!</definedName>
    <definedName name="S28P4">#REF!</definedName>
    <definedName name="S28P5" localSheetId="2">#REF!</definedName>
    <definedName name="S28P5" localSheetId="16">#REF!</definedName>
    <definedName name="S28P5" localSheetId="17">#REF!</definedName>
    <definedName name="S28P5" localSheetId="19">#REF!</definedName>
    <definedName name="S28P5">#REF!</definedName>
    <definedName name="S28P6" localSheetId="2">#REF!</definedName>
    <definedName name="S28P6" localSheetId="16">#REF!</definedName>
    <definedName name="S28P6" localSheetId="17">#REF!</definedName>
    <definedName name="S28P6" localSheetId="19">#REF!</definedName>
    <definedName name="S28P6">#REF!</definedName>
    <definedName name="S28P7" localSheetId="2">#REF!</definedName>
    <definedName name="S28P7" localSheetId="16">#REF!</definedName>
    <definedName name="S28P7" localSheetId="17">#REF!</definedName>
    <definedName name="S28P7" localSheetId="19">#REF!</definedName>
    <definedName name="S28P7">#REF!</definedName>
    <definedName name="S28P8" localSheetId="2">#REF!</definedName>
    <definedName name="S28P8" localSheetId="16">#REF!</definedName>
    <definedName name="S28P8" localSheetId="17">#REF!</definedName>
    <definedName name="S28P8" localSheetId="19">#REF!</definedName>
    <definedName name="S28P8">#REF!</definedName>
    <definedName name="S28P9" localSheetId="2">#REF!</definedName>
    <definedName name="S28P9" localSheetId="16">#REF!</definedName>
    <definedName name="S28P9" localSheetId="17">#REF!</definedName>
    <definedName name="S28P9" localSheetId="19">#REF!</definedName>
    <definedName name="S28P9">#REF!</definedName>
    <definedName name="S28R1" localSheetId="2">#REF!</definedName>
    <definedName name="S28R1" localSheetId="16">#REF!</definedName>
    <definedName name="S28R1" localSheetId="17">#REF!</definedName>
    <definedName name="S28R1" localSheetId="19">#REF!</definedName>
    <definedName name="S28R1">#REF!</definedName>
    <definedName name="S28R10" localSheetId="2">#REF!</definedName>
    <definedName name="S28R10" localSheetId="16">#REF!</definedName>
    <definedName name="S28R10" localSheetId="17">#REF!</definedName>
    <definedName name="S28R10" localSheetId="19">#REF!</definedName>
    <definedName name="S28R10">#REF!</definedName>
    <definedName name="S28R11" localSheetId="2">#REF!</definedName>
    <definedName name="S28R11" localSheetId="16">#REF!</definedName>
    <definedName name="S28R11" localSheetId="17">#REF!</definedName>
    <definedName name="S28R11" localSheetId="19">#REF!</definedName>
    <definedName name="S28R11">#REF!</definedName>
    <definedName name="S28R12" localSheetId="2">#REF!</definedName>
    <definedName name="S28R12" localSheetId="16">#REF!</definedName>
    <definedName name="S28R12" localSheetId="17">#REF!</definedName>
    <definedName name="S28R12" localSheetId="19">#REF!</definedName>
    <definedName name="S28R12">#REF!</definedName>
    <definedName name="S28R13" localSheetId="2">#REF!</definedName>
    <definedName name="S28R13" localSheetId="16">#REF!</definedName>
    <definedName name="S28R13" localSheetId="17">#REF!</definedName>
    <definedName name="S28R13" localSheetId="19">#REF!</definedName>
    <definedName name="S28R13">#REF!</definedName>
    <definedName name="S28R14" localSheetId="2">#REF!</definedName>
    <definedName name="S28R14" localSheetId="16">#REF!</definedName>
    <definedName name="S28R14" localSheetId="17">#REF!</definedName>
    <definedName name="S28R14" localSheetId="19">#REF!</definedName>
    <definedName name="S28R14">#REF!</definedName>
    <definedName name="S28R15" localSheetId="2">#REF!</definedName>
    <definedName name="S28R15" localSheetId="16">#REF!</definedName>
    <definedName name="S28R15" localSheetId="17">#REF!</definedName>
    <definedName name="S28R15" localSheetId="19">#REF!</definedName>
    <definedName name="S28R15">#REF!</definedName>
    <definedName name="S28R16" localSheetId="2">#REF!</definedName>
    <definedName name="S28R16" localSheetId="16">#REF!</definedName>
    <definedName name="S28R16" localSheetId="17">#REF!</definedName>
    <definedName name="S28R16" localSheetId="19">#REF!</definedName>
    <definedName name="S28R16">#REF!</definedName>
    <definedName name="S28R17" localSheetId="2">#REF!</definedName>
    <definedName name="S28R17" localSheetId="16">#REF!</definedName>
    <definedName name="S28R17" localSheetId="17">#REF!</definedName>
    <definedName name="S28R17" localSheetId="19">#REF!</definedName>
    <definedName name="S28R17">#REF!</definedName>
    <definedName name="S28R18" localSheetId="2">#REF!</definedName>
    <definedName name="S28R18" localSheetId="16">#REF!</definedName>
    <definedName name="S28R18" localSheetId="17">#REF!</definedName>
    <definedName name="S28R18" localSheetId="19">#REF!</definedName>
    <definedName name="S28R18">#REF!</definedName>
    <definedName name="S28R19" localSheetId="2">#REF!</definedName>
    <definedName name="S28R19" localSheetId="16">#REF!</definedName>
    <definedName name="S28R19" localSheetId="17">#REF!</definedName>
    <definedName name="S28R19" localSheetId="19">#REF!</definedName>
    <definedName name="S28R19">#REF!</definedName>
    <definedName name="S28R2" localSheetId="2">#REF!</definedName>
    <definedName name="S28R2" localSheetId="16">#REF!</definedName>
    <definedName name="S28R2" localSheetId="17">#REF!</definedName>
    <definedName name="S28R2" localSheetId="19">#REF!</definedName>
    <definedName name="S28R2">#REF!</definedName>
    <definedName name="S28R20" localSheetId="2">#REF!</definedName>
    <definedName name="S28R20" localSheetId="16">#REF!</definedName>
    <definedName name="S28R20" localSheetId="17">#REF!</definedName>
    <definedName name="S28R20" localSheetId="19">#REF!</definedName>
    <definedName name="S28R20">#REF!</definedName>
    <definedName name="S28R21" localSheetId="2">#REF!</definedName>
    <definedName name="S28R21" localSheetId="16">#REF!</definedName>
    <definedName name="S28R21" localSheetId="17">#REF!</definedName>
    <definedName name="S28R21" localSheetId="19">#REF!</definedName>
    <definedName name="S28R21">#REF!</definedName>
    <definedName name="S28R22" localSheetId="2">#REF!</definedName>
    <definedName name="S28R22" localSheetId="16">#REF!</definedName>
    <definedName name="S28R22" localSheetId="17">#REF!</definedName>
    <definedName name="S28R22" localSheetId="19">#REF!</definedName>
    <definedName name="S28R22">#REF!</definedName>
    <definedName name="S28R23" localSheetId="2">#REF!</definedName>
    <definedName name="S28R23" localSheetId="16">#REF!</definedName>
    <definedName name="S28R23" localSheetId="17">#REF!</definedName>
    <definedName name="S28R23" localSheetId="19">#REF!</definedName>
    <definedName name="S28R23">#REF!</definedName>
    <definedName name="S28R24" localSheetId="2">#REF!</definedName>
    <definedName name="S28R24" localSheetId="16">#REF!</definedName>
    <definedName name="S28R24" localSheetId="17">#REF!</definedName>
    <definedName name="S28R24" localSheetId="19">#REF!</definedName>
    <definedName name="S28R24">#REF!</definedName>
    <definedName name="S28R3" localSheetId="2">#REF!</definedName>
    <definedName name="S28R3" localSheetId="16">#REF!</definedName>
    <definedName name="S28R3" localSheetId="17">#REF!</definedName>
    <definedName name="S28R3" localSheetId="19">#REF!</definedName>
    <definedName name="S28R3">#REF!</definedName>
    <definedName name="S28R4" localSheetId="2">#REF!</definedName>
    <definedName name="S28R4" localSheetId="16">#REF!</definedName>
    <definedName name="S28R4" localSheetId="17">#REF!</definedName>
    <definedName name="S28R4" localSheetId="19">#REF!</definedName>
    <definedName name="S28R4">#REF!</definedName>
    <definedName name="S28R5" localSheetId="2">#REF!</definedName>
    <definedName name="S28R5" localSheetId="16">#REF!</definedName>
    <definedName name="S28R5" localSheetId="17">#REF!</definedName>
    <definedName name="S28R5" localSheetId="19">#REF!</definedName>
    <definedName name="S28R5">#REF!</definedName>
    <definedName name="S28R6" localSheetId="2">#REF!</definedName>
    <definedName name="S28R6" localSheetId="16">#REF!</definedName>
    <definedName name="S28R6" localSheetId="17">#REF!</definedName>
    <definedName name="S28R6" localSheetId="19">#REF!</definedName>
    <definedName name="S28R6">#REF!</definedName>
    <definedName name="S28R7" localSheetId="2">#REF!</definedName>
    <definedName name="S28R7" localSheetId="16">#REF!</definedName>
    <definedName name="S28R7" localSheetId="17">#REF!</definedName>
    <definedName name="S28R7" localSheetId="19">#REF!</definedName>
    <definedName name="S28R7">#REF!</definedName>
    <definedName name="S28R8" localSheetId="2">#REF!</definedName>
    <definedName name="S28R8" localSheetId="16">#REF!</definedName>
    <definedName name="S28R8" localSheetId="17">#REF!</definedName>
    <definedName name="S28R8" localSheetId="19">#REF!</definedName>
    <definedName name="S28R8">#REF!</definedName>
    <definedName name="S28R9" localSheetId="2">#REF!</definedName>
    <definedName name="S28R9" localSheetId="16">#REF!</definedName>
    <definedName name="S28R9" localSheetId="17">#REF!</definedName>
    <definedName name="S28R9" localSheetId="19">#REF!</definedName>
    <definedName name="S28R9">#REF!</definedName>
    <definedName name="S29P1" localSheetId="2">#REF!</definedName>
    <definedName name="S29P1" localSheetId="16">#REF!</definedName>
    <definedName name="S29P1" localSheetId="17">#REF!</definedName>
    <definedName name="S29P1" localSheetId="19">#REF!</definedName>
    <definedName name="S29P1">#REF!</definedName>
    <definedName name="S29P10" localSheetId="2">#REF!</definedName>
    <definedName name="S29P10" localSheetId="16">#REF!</definedName>
    <definedName name="S29P10" localSheetId="17">#REF!</definedName>
    <definedName name="S29P10" localSheetId="19">#REF!</definedName>
    <definedName name="S29P10">#REF!</definedName>
    <definedName name="S29P11" localSheetId="2">#REF!</definedName>
    <definedName name="S29P11" localSheetId="16">#REF!</definedName>
    <definedName name="S29P11" localSheetId="17">#REF!</definedName>
    <definedName name="S29P11" localSheetId="19">#REF!</definedName>
    <definedName name="S29P11">#REF!</definedName>
    <definedName name="S29P12" localSheetId="2">#REF!</definedName>
    <definedName name="S29P12" localSheetId="16">#REF!</definedName>
    <definedName name="S29P12" localSheetId="17">#REF!</definedName>
    <definedName name="S29P12" localSheetId="19">#REF!</definedName>
    <definedName name="S29P12">#REF!</definedName>
    <definedName name="S29P13" localSheetId="2">#REF!</definedName>
    <definedName name="S29P13" localSheetId="16">#REF!</definedName>
    <definedName name="S29P13" localSheetId="17">#REF!</definedName>
    <definedName name="S29P13" localSheetId="19">#REF!</definedName>
    <definedName name="S29P13">#REF!</definedName>
    <definedName name="S29P14" localSheetId="2">#REF!</definedName>
    <definedName name="S29P14" localSheetId="16">#REF!</definedName>
    <definedName name="S29P14" localSheetId="17">#REF!</definedName>
    <definedName name="S29P14" localSheetId="19">#REF!</definedName>
    <definedName name="S29P14">#REF!</definedName>
    <definedName name="S29P15" localSheetId="2">#REF!</definedName>
    <definedName name="S29P15" localSheetId="16">#REF!</definedName>
    <definedName name="S29P15" localSheetId="17">#REF!</definedName>
    <definedName name="S29P15" localSheetId="19">#REF!</definedName>
    <definedName name="S29P15">#REF!</definedName>
    <definedName name="S29P16" localSheetId="2">#REF!</definedName>
    <definedName name="S29P16" localSheetId="16">#REF!</definedName>
    <definedName name="S29P16" localSheetId="17">#REF!</definedName>
    <definedName name="S29P16" localSheetId="19">#REF!</definedName>
    <definedName name="S29P16">#REF!</definedName>
    <definedName name="S29P17" localSheetId="2">#REF!</definedName>
    <definedName name="S29P17" localSheetId="16">#REF!</definedName>
    <definedName name="S29P17" localSheetId="17">#REF!</definedName>
    <definedName name="S29P17" localSheetId="19">#REF!</definedName>
    <definedName name="S29P17">#REF!</definedName>
    <definedName name="S29P18" localSheetId="2">#REF!</definedName>
    <definedName name="S29P18" localSheetId="16">#REF!</definedName>
    <definedName name="S29P18" localSheetId="17">#REF!</definedName>
    <definedName name="S29P18" localSheetId="19">#REF!</definedName>
    <definedName name="S29P18">#REF!</definedName>
    <definedName name="S29P19" localSheetId="2">#REF!</definedName>
    <definedName name="S29P19" localSheetId="16">#REF!</definedName>
    <definedName name="S29P19" localSheetId="17">#REF!</definedName>
    <definedName name="S29P19" localSheetId="19">#REF!</definedName>
    <definedName name="S29P19">#REF!</definedName>
    <definedName name="S29P2" localSheetId="2">#REF!</definedName>
    <definedName name="S29P2" localSheetId="16">#REF!</definedName>
    <definedName name="S29P2" localSheetId="17">#REF!</definedName>
    <definedName name="S29P2" localSheetId="19">#REF!</definedName>
    <definedName name="S29P2">#REF!</definedName>
    <definedName name="S29P20" localSheetId="2">#REF!</definedName>
    <definedName name="S29P20" localSheetId="16">#REF!</definedName>
    <definedName name="S29P20" localSheetId="17">#REF!</definedName>
    <definedName name="S29P20" localSheetId="19">#REF!</definedName>
    <definedName name="S29P20">#REF!</definedName>
    <definedName name="S29P21" localSheetId="2">#REF!</definedName>
    <definedName name="S29P21" localSheetId="16">#REF!</definedName>
    <definedName name="S29P21" localSheetId="17">#REF!</definedName>
    <definedName name="S29P21" localSheetId="19">#REF!</definedName>
    <definedName name="S29P21">#REF!</definedName>
    <definedName name="S29P22" localSheetId="2">#REF!</definedName>
    <definedName name="S29P22" localSheetId="16">#REF!</definedName>
    <definedName name="S29P22" localSheetId="17">#REF!</definedName>
    <definedName name="S29P22" localSheetId="19">#REF!</definedName>
    <definedName name="S29P22">#REF!</definedName>
    <definedName name="S29P23" localSheetId="2">#REF!</definedName>
    <definedName name="S29P23" localSheetId="16">#REF!</definedName>
    <definedName name="S29P23" localSheetId="17">#REF!</definedName>
    <definedName name="S29P23" localSheetId="19">#REF!</definedName>
    <definedName name="S29P23">#REF!</definedName>
    <definedName name="S29P24" localSheetId="2">#REF!</definedName>
    <definedName name="S29P24" localSheetId="16">#REF!</definedName>
    <definedName name="S29P24" localSheetId="17">#REF!</definedName>
    <definedName name="S29P24" localSheetId="19">#REF!</definedName>
    <definedName name="S29P24">#REF!</definedName>
    <definedName name="S29P3" localSheetId="2">#REF!</definedName>
    <definedName name="S29P3" localSheetId="16">#REF!</definedName>
    <definedName name="S29P3" localSheetId="17">#REF!</definedName>
    <definedName name="S29P3" localSheetId="19">#REF!</definedName>
    <definedName name="S29P3">#REF!</definedName>
    <definedName name="S29P4" localSheetId="2">#REF!</definedName>
    <definedName name="S29P4" localSheetId="16">#REF!</definedName>
    <definedName name="S29P4" localSheetId="17">#REF!</definedName>
    <definedName name="S29P4" localSheetId="19">#REF!</definedName>
    <definedName name="S29P4">#REF!</definedName>
    <definedName name="S29P5" localSheetId="2">#REF!</definedName>
    <definedName name="S29P5" localSheetId="16">#REF!</definedName>
    <definedName name="S29P5" localSheetId="17">#REF!</definedName>
    <definedName name="S29P5" localSheetId="19">#REF!</definedName>
    <definedName name="S29P5">#REF!</definedName>
    <definedName name="S29P6" localSheetId="2">#REF!</definedName>
    <definedName name="S29P6" localSheetId="16">#REF!</definedName>
    <definedName name="S29P6" localSheetId="17">#REF!</definedName>
    <definedName name="S29P6" localSheetId="19">#REF!</definedName>
    <definedName name="S29P6">#REF!</definedName>
    <definedName name="S29P7" localSheetId="2">#REF!</definedName>
    <definedName name="S29P7" localSheetId="16">#REF!</definedName>
    <definedName name="S29P7" localSheetId="17">#REF!</definedName>
    <definedName name="S29P7" localSheetId="19">#REF!</definedName>
    <definedName name="S29P7">#REF!</definedName>
    <definedName name="S29P8" localSheetId="2">#REF!</definedName>
    <definedName name="S29P8" localSheetId="16">#REF!</definedName>
    <definedName name="S29P8" localSheetId="17">#REF!</definedName>
    <definedName name="S29P8" localSheetId="19">#REF!</definedName>
    <definedName name="S29P8">#REF!</definedName>
    <definedName name="S29P9" localSheetId="2">#REF!</definedName>
    <definedName name="S29P9" localSheetId="16">#REF!</definedName>
    <definedName name="S29P9" localSheetId="17">#REF!</definedName>
    <definedName name="S29P9" localSheetId="19">#REF!</definedName>
    <definedName name="S29P9">#REF!</definedName>
    <definedName name="S29R1" localSheetId="2">#REF!</definedName>
    <definedName name="S29R1" localSheetId="16">#REF!</definedName>
    <definedName name="S29R1" localSheetId="17">#REF!</definedName>
    <definedName name="S29R1" localSheetId="19">#REF!</definedName>
    <definedName name="S29R1">#REF!</definedName>
    <definedName name="S29R10" localSheetId="2">#REF!</definedName>
    <definedName name="S29R10" localSheetId="16">#REF!</definedName>
    <definedName name="S29R10" localSheetId="17">#REF!</definedName>
    <definedName name="S29R10" localSheetId="19">#REF!</definedName>
    <definedName name="S29R10">#REF!</definedName>
    <definedName name="S29R11" localSheetId="2">#REF!</definedName>
    <definedName name="S29R11" localSheetId="16">#REF!</definedName>
    <definedName name="S29R11" localSheetId="17">#REF!</definedName>
    <definedName name="S29R11" localSheetId="19">#REF!</definedName>
    <definedName name="S29R11">#REF!</definedName>
    <definedName name="S29R12" localSheetId="2">#REF!</definedName>
    <definedName name="S29R12" localSheetId="16">#REF!</definedName>
    <definedName name="S29R12" localSheetId="17">#REF!</definedName>
    <definedName name="S29R12" localSheetId="19">#REF!</definedName>
    <definedName name="S29R12">#REF!</definedName>
    <definedName name="S29R13" localSheetId="2">#REF!</definedName>
    <definedName name="S29R13" localSheetId="16">#REF!</definedName>
    <definedName name="S29R13" localSheetId="17">#REF!</definedName>
    <definedName name="S29R13" localSheetId="19">#REF!</definedName>
    <definedName name="S29R13">#REF!</definedName>
    <definedName name="S29R14" localSheetId="2">#REF!</definedName>
    <definedName name="S29R14" localSheetId="16">#REF!</definedName>
    <definedName name="S29R14" localSheetId="17">#REF!</definedName>
    <definedName name="S29R14" localSheetId="19">#REF!</definedName>
    <definedName name="S29R14">#REF!</definedName>
    <definedName name="S29R15" localSheetId="2">#REF!</definedName>
    <definedName name="S29R15" localSheetId="16">#REF!</definedName>
    <definedName name="S29R15" localSheetId="17">#REF!</definedName>
    <definedName name="S29R15" localSheetId="19">#REF!</definedName>
    <definedName name="S29R15">#REF!</definedName>
    <definedName name="S29R16" localSheetId="2">#REF!</definedName>
    <definedName name="S29R16" localSheetId="16">#REF!</definedName>
    <definedName name="S29R16" localSheetId="17">#REF!</definedName>
    <definedName name="S29R16" localSheetId="19">#REF!</definedName>
    <definedName name="S29R16">#REF!</definedName>
    <definedName name="S29R17" localSheetId="2">#REF!</definedName>
    <definedName name="S29R17" localSheetId="16">#REF!</definedName>
    <definedName name="S29R17" localSheetId="17">#REF!</definedName>
    <definedName name="S29R17" localSheetId="19">#REF!</definedName>
    <definedName name="S29R17">#REF!</definedName>
    <definedName name="S29R18" localSheetId="2">#REF!</definedName>
    <definedName name="S29R18" localSheetId="16">#REF!</definedName>
    <definedName name="S29R18" localSheetId="17">#REF!</definedName>
    <definedName name="S29R18" localSheetId="19">#REF!</definedName>
    <definedName name="S29R18">#REF!</definedName>
    <definedName name="S29R19" localSheetId="2">#REF!</definedName>
    <definedName name="S29R19" localSheetId="16">#REF!</definedName>
    <definedName name="S29R19" localSheetId="17">#REF!</definedName>
    <definedName name="S29R19" localSheetId="19">#REF!</definedName>
    <definedName name="S29R19">#REF!</definedName>
    <definedName name="S29R2" localSheetId="2">#REF!</definedName>
    <definedName name="S29R2" localSheetId="16">#REF!</definedName>
    <definedName name="S29R2" localSheetId="17">#REF!</definedName>
    <definedName name="S29R2" localSheetId="19">#REF!</definedName>
    <definedName name="S29R2">#REF!</definedName>
    <definedName name="S29R20" localSheetId="2">#REF!</definedName>
    <definedName name="S29R20" localSheetId="16">#REF!</definedName>
    <definedName name="S29R20" localSheetId="17">#REF!</definedName>
    <definedName name="S29R20" localSheetId="19">#REF!</definedName>
    <definedName name="S29R20">#REF!</definedName>
    <definedName name="S29R21" localSheetId="2">#REF!</definedName>
    <definedName name="S29R21" localSheetId="16">#REF!</definedName>
    <definedName name="S29R21" localSheetId="17">#REF!</definedName>
    <definedName name="S29R21" localSheetId="19">#REF!</definedName>
    <definedName name="S29R21">#REF!</definedName>
    <definedName name="S29R22" localSheetId="2">#REF!</definedName>
    <definedName name="S29R22" localSheetId="16">#REF!</definedName>
    <definedName name="S29R22" localSheetId="17">#REF!</definedName>
    <definedName name="S29R22" localSheetId="19">#REF!</definedName>
    <definedName name="S29R22">#REF!</definedName>
    <definedName name="S29R23" localSheetId="2">#REF!</definedName>
    <definedName name="S29R23" localSheetId="16">#REF!</definedName>
    <definedName name="S29R23" localSheetId="17">#REF!</definedName>
    <definedName name="S29R23" localSheetId="19">#REF!</definedName>
    <definedName name="S29R23">#REF!</definedName>
    <definedName name="S29R24" localSheetId="2">#REF!</definedName>
    <definedName name="S29R24" localSheetId="16">#REF!</definedName>
    <definedName name="S29R24" localSheetId="17">#REF!</definedName>
    <definedName name="S29R24" localSheetId="19">#REF!</definedName>
    <definedName name="S29R24">#REF!</definedName>
    <definedName name="S29R3" localSheetId="2">#REF!</definedName>
    <definedName name="S29R3" localSheetId="16">#REF!</definedName>
    <definedName name="S29R3" localSheetId="17">#REF!</definedName>
    <definedName name="S29R3" localSheetId="19">#REF!</definedName>
    <definedName name="S29R3">#REF!</definedName>
    <definedName name="S29R4" localSheetId="2">#REF!</definedName>
    <definedName name="S29R4" localSheetId="16">#REF!</definedName>
    <definedName name="S29R4" localSheetId="17">#REF!</definedName>
    <definedName name="S29R4" localSheetId="19">#REF!</definedName>
    <definedName name="S29R4">#REF!</definedName>
    <definedName name="S29R5" localSheetId="2">#REF!</definedName>
    <definedName name="S29R5" localSheetId="16">#REF!</definedName>
    <definedName name="S29R5" localSheetId="17">#REF!</definedName>
    <definedName name="S29R5" localSheetId="19">#REF!</definedName>
    <definedName name="S29R5">#REF!</definedName>
    <definedName name="S29R6" localSheetId="2">#REF!</definedName>
    <definedName name="S29R6" localSheetId="16">#REF!</definedName>
    <definedName name="S29R6" localSheetId="17">#REF!</definedName>
    <definedName name="S29R6" localSheetId="19">#REF!</definedName>
    <definedName name="S29R6">#REF!</definedName>
    <definedName name="S29R7" localSheetId="2">#REF!</definedName>
    <definedName name="S29R7" localSheetId="16">#REF!</definedName>
    <definedName name="S29R7" localSheetId="17">#REF!</definedName>
    <definedName name="S29R7" localSheetId="19">#REF!</definedName>
    <definedName name="S29R7">#REF!</definedName>
    <definedName name="S29R8" localSheetId="2">#REF!</definedName>
    <definedName name="S29R8" localSheetId="16">#REF!</definedName>
    <definedName name="S29R8" localSheetId="17">#REF!</definedName>
    <definedName name="S29R8" localSheetId="19">#REF!</definedName>
    <definedName name="S29R8">#REF!</definedName>
    <definedName name="S29R9" localSheetId="2">#REF!</definedName>
    <definedName name="S29R9" localSheetId="16">#REF!</definedName>
    <definedName name="S29R9" localSheetId="17">#REF!</definedName>
    <definedName name="S29R9" localSheetId="19">#REF!</definedName>
    <definedName name="S29R9">#REF!</definedName>
    <definedName name="S2P1" localSheetId="2">#REF!</definedName>
    <definedName name="S2P1" localSheetId="16">#REF!</definedName>
    <definedName name="S2P1" localSheetId="17">#REF!</definedName>
    <definedName name="S2P1" localSheetId="19">#REF!</definedName>
    <definedName name="S2P1">#REF!</definedName>
    <definedName name="S2P10" localSheetId="2">#REF!</definedName>
    <definedName name="S2P10" localSheetId="16">#REF!</definedName>
    <definedName name="S2P10" localSheetId="17">#REF!</definedName>
    <definedName name="S2P10" localSheetId="19">#REF!</definedName>
    <definedName name="S2P10">#REF!</definedName>
    <definedName name="S2P11" localSheetId="2">#REF!</definedName>
    <definedName name="S2P11" localSheetId="16">#REF!</definedName>
    <definedName name="S2P11" localSheetId="17">#REF!</definedName>
    <definedName name="S2P11" localSheetId="19">#REF!</definedName>
    <definedName name="S2P11">#REF!</definedName>
    <definedName name="S2P12" localSheetId="2">#REF!</definedName>
    <definedName name="S2P12" localSheetId="16">#REF!</definedName>
    <definedName name="S2P12" localSheetId="17">#REF!</definedName>
    <definedName name="S2P12" localSheetId="19">#REF!</definedName>
    <definedName name="S2P12">#REF!</definedName>
    <definedName name="S2P13" localSheetId="2">#REF!</definedName>
    <definedName name="S2P13" localSheetId="16">#REF!</definedName>
    <definedName name="S2P13" localSheetId="17">#REF!</definedName>
    <definedName name="S2P13" localSheetId="19">#REF!</definedName>
    <definedName name="S2P13">#REF!</definedName>
    <definedName name="S2P14" localSheetId="2">#REF!</definedName>
    <definedName name="S2P14" localSheetId="16">#REF!</definedName>
    <definedName name="S2P14" localSheetId="17">#REF!</definedName>
    <definedName name="S2P14" localSheetId="19">#REF!</definedName>
    <definedName name="S2P14">#REF!</definedName>
    <definedName name="S2P15" localSheetId="2">#REF!</definedName>
    <definedName name="S2P15" localSheetId="16">#REF!</definedName>
    <definedName name="S2P15" localSheetId="17">#REF!</definedName>
    <definedName name="S2P15" localSheetId="19">#REF!</definedName>
    <definedName name="S2P15">#REF!</definedName>
    <definedName name="S2P16" localSheetId="2">#REF!</definedName>
    <definedName name="S2P16" localSheetId="16">#REF!</definedName>
    <definedName name="S2P16" localSheetId="17">#REF!</definedName>
    <definedName name="S2P16" localSheetId="19">#REF!</definedName>
    <definedName name="S2P16">#REF!</definedName>
    <definedName name="S2P17" localSheetId="2">#REF!</definedName>
    <definedName name="S2P17" localSheetId="16">#REF!</definedName>
    <definedName name="S2P17" localSheetId="17">#REF!</definedName>
    <definedName name="S2P17" localSheetId="19">#REF!</definedName>
    <definedName name="S2P17">#REF!</definedName>
    <definedName name="S2P18" localSheetId="2">#REF!</definedName>
    <definedName name="S2P18" localSheetId="16">#REF!</definedName>
    <definedName name="S2P18" localSheetId="17">#REF!</definedName>
    <definedName name="S2P18" localSheetId="19">#REF!</definedName>
    <definedName name="S2P18">#REF!</definedName>
    <definedName name="S2P19" localSheetId="2">#REF!</definedName>
    <definedName name="S2P19" localSheetId="16">#REF!</definedName>
    <definedName name="S2P19" localSheetId="17">#REF!</definedName>
    <definedName name="S2P19" localSheetId="19">#REF!</definedName>
    <definedName name="S2P19">#REF!</definedName>
    <definedName name="S2P2" localSheetId="2">#REF!</definedName>
    <definedName name="S2P2" localSheetId="16">#REF!</definedName>
    <definedName name="S2P2" localSheetId="17">#REF!</definedName>
    <definedName name="S2P2" localSheetId="19">#REF!</definedName>
    <definedName name="S2P2">#REF!</definedName>
    <definedName name="S2P20" localSheetId="2">#REF!</definedName>
    <definedName name="S2P20" localSheetId="16">#REF!</definedName>
    <definedName name="S2P20" localSheetId="17">#REF!</definedName>
    <definedName name="S2P20" localSheetId="19">#REF!</definedName>
    <definedName name="S2P20">#REF!</definedName>
    <definedName name="S2P21" localSheetId="2">#REF!</definedName>
    <definedName name="S2P21" localSheetId="16">#REF!</definedName>
    <definedName name="S2P21" localSheetId="17">#REF!</definedName>
    <definedName name="S2P21" localSheetId="19">#REF!</definedName>
    <definedName name="S2P21">#REF!</definedName>
    <definedName name="S2P22" localSheetId="2">#REF!</definedName>
    <definedName name="S2P22" localSheetId="16">#REF!</definedName>
    <definedName name="S2P22" localSheetId="17">#REF!</definedName>
    <definedName name="S2P22" localSheetId="19">#REF!</definedName>
    <definedName name="S2P22">#REF!</definedName>
    <definedName name="S2P23" localSheetId="2">#REF!</definedName>
    <definedName name="S2P23" localSheetId="16">#REF!</definedName>
    <definedName name="S2P23" localSheetId="17">#REF!</definedName>
    <definedName name="S2P23" localSheetId="19">#REF!</definedName>
    <definedName name="S2P23">#REF!</definedName>
    <definedName name="S2P24" localSheetId="2">#REF!</definedName>
    <definedName name="S2P24" localSheetId="16">#REF!</definedName>
    <definedName name="S2P24" localSheetId="17">#REF!</definedName>
    <definedName name="S2P24" localSheetId="19">#REF!</definedName>
    <definedName name="S2P24">#REF!</definedName>
    <definedName name="S2P3" localSheetId="2">#REF!</definedName>
    <definedName name="S2P3" localSheetId="16">#REF!</definedName>
    <definedName name="S2P3" localSheetId="17">#REF!</definedName>
    <definedName name="S2P3" localSheetId="19">#REF!</definedName>
    <definedName name="S2P3">#REF!</definedName>
    <definedName name="S2P4" localSheetId="2">#REF!</definedName>
    <definedName name="S2P4" localSheetId="16">#REF!</definedName>
    <definedName name="S2P4" localSheetId="17">#REF!</definedName>
    <definedName name="S2P4" localSheetId="19">#REF!</definedName>
    <definedName name="S2P4">#REF!</definedName>
    <definedName name="S2P5" localSheetId="2">#REF!</definedName>
    <definedName name="S2P5" localSheetId="16">#REF!</definedName>
    <definedName name="S2P5" localSheetId="17">#REF!</definedName>
    <definedName name="S2P5" localSheetId="19">#REF!</definedName>
    <definedName name="S2P5">#REF!</definedName>
    <definedName name="S2P6" localSheetId="2">#REF!</definedName>
    <definedName name="S2P6" localSheetId="16">#REF!</definedName>
    <definedName name="S2P6" localSheetId="17">#REF!</definedName>
    <definedName name="S2P6" localSheetId="19">#REF!</definedName>
    <definedName name="S2P6">#REF!</definedName>
    <definedName name="S2P7" localSheetId="2">#REF!</definedName>
    <definedName name="S2P7" localSheetId="16">#REF!</definedName>
    <definedName name="S2P7" localSheetId="17">#REF!</definedName>
    <definedName name="S2P7" localSheetId="19">#REF!</definedName>
    <definedName name="S2P7">#REF!</definedName>
    <definedName name="S2P8" localSheetId="2">#REF!</definedName>
    <definedName name="S2P8" localSheetId="16">#REF!</definedName>
    <definedName name="S2P8" localSheetId="17">#REF!</definedName>
    <definedName name="S2P8" localSheetId="19">#REF!</definedName>
    <definedName name="S2P8">#REF!</definedName>
    <definedName name="S2P9" localSheetId="2">#REF!</definedName>
    <definedName name="S2P9" localSheetId="16">#REF!</definedName>
    <definedName name="S2P9" localSheetId="17">#REF!</definedName>
    <definedName name="S2P9" localSheetId="19">#REF!</definedName>
    <definedName name="S2P9">#REF!</definedName>
    <definedName name="S2PP4" localSheetId="2">#REF!</definedName>
    <definedName name="S2PP4" localSheetId="16">#REF!</definedName>
    <definedName name="S2PP4" localSheetId="17">#REF!</definedName>
    <definedName name="S2PP4" localSheetId="19">#REF!</definedName>
    <definedName name="S2PP4">#REF!</definedName>
    <definedName name="S2R1" localSheetId="2">#REF!</definedName>
    <definedName name="S2R1" localSheetId="16">#REF!</definedName>
    <definedName name="S2R1" localSheetId="17">#REF!</definedName>
    <definedName name="S2R1" localSheetId="19">#REF!</definedName>
    <definedName name="S2R1">#REF!</definedName>
    <definedName name="S2R10" localSheetId="2">#REF!</definedName>
    <definedName name="S2R10" localSheetId="16">#REF!</definedName>
    <definedName name="S2R10" localSheetId="17">#REF!</definedName>
    <definedName name="S2R10" localSheetId="19">#REF!</definedName>
    <definedName name="S2R10">#REF!</definedName>
    <definedName name="S2R11" localSheetId="2">#REF!</definedName>
    <definedName name="S2R11" localSheetId="16">#REF!</definedName>
    <definedName name="S2R11" localSheetId="17">#REF!</definedName>
    <definedName name="S2R11" localSheetId="19">#REF!</definedName>
    <definedName name="S2R11">#REF!</definedName>
    <definedName name="S2R12" localSheetId="2">#REF!</definedName>
    <definedName name="S2R12" localSheetId="16">#REF!</definedName>
    <definedName name="S2R12" localSheetId="17">#REF!</definedName>
    <definedName name="S2R12" localSheetId="19">#REF!</definedName>
    <definedName name="S2R12">#REF!</definedName>
    <definedName name="S2R13" localSheetId="2">#REF!</definedName>
    <definedName name="S2R13" localSheetId="16">#REF!</definedName>
    <definedName name="S2R13" localSheetId="17">#REF!</definedName>
    <definedName name="S2R13" localSheetId="19">#REF!</definedName>
    <definedName name="S2R13">#REF!</definedName>
    <definedName name="S2R14" localSheetId="2">#REF!</definedName>
    <definedName name="S2R14" localSheetId="16">#REF!</definedName>
    <definedName name="S2R14" localSheetId="17">#REF!</definedName>
    <definedName name="S2R14" localSheetId="19">#REF!</definedName>
    <definedName name="S2R14">#REF!</definedName>
    <definedName name="S2R15" localSheetId="2">#REF!</definedName>
    <definedName name="S2R15" localSheetId="16">#REF!</definedName>
    <definedName name="S2R15" localSheetId="17">#REF!</definedName>
    <definedName name="S2R15" localSheetId="19">#REF!</definedName>
    <definedName name="S2R15">#REF!</definedName>
    <definedName name="S2R16" localSheetId="2">#REF!</definedName>
    <definedName name="S2R16" localSheetId="16">#REF!</definedName>
    <definedName name="S2R16" localSheetId="17">#REF!</definedName>
    <definedName name="S2R16" localSheetId="19">#REF!</definedName>
    <definedName name="S2R16">#REF!</definedName>
    <definedName name="S2R17" localSheetId="2">#REF!</definedName>
    <definedName name="S2R17" localSheetId="16">#REF!</definedName>
    <definedName name="S2R17" localSheetId="17">#REF!</definedName>
    <definedName name="S2R17" localSheetId="19">#REF!</definedName>
    <definedName name="S2R17">#REF!</definedName>
    <definedName name="S2R18" localSheetId="2">#REF!</definedName>
    <definedName name="S2R18" localSheetId="16">#REF!</definedName>
    <definedName name="S2R18" localSheetId="17">#REF!</definedName>
    <definedName name="S2R18" localSheetId="19">#REF!</definedName>
    <definedName name="S2R18">#REF!</definedName>
    <definedName name="S2R19" localSheetId="2">#REF!</definedName>
    <definedName name="S2R19" localSheetId="16">#REF!</definedName>
    <definedName name="S2R19" localSheetId="17">#REF!</definedName>
    <definedName name="S2R19" localSheetId="19">#REF!</definedName>
    <definedName name="S2R19">#REF!</definedName>
    <definedName name="S2R2" localSheetId="2">#REF!</definedName>
    <definedName name="S2R2" localSheetId="16">#REF!</definedName>
    <definedName name="S2R2" localSheetId="17">#REF!</definedName>
    <definedName name="S2R2" localSheetId="19">#REF!</definedName>
    <definedName name="S2R2">#REF!</definedName>
    <definedName name="S2R20" localSheetId="2">#REF!</definedName>
    <definedName name="S2R20" localSheetId="16">#REF!</definedName>
    <definedName name="S2R20" localSheetId="17">#REF!</definedName>
    <definedName name="S2R20" localSheetId="19">#REF!</definedName>
    <definedName name="S2R20">#REF!</definedName>
    <definedName name="S2R21" localSheetId="2">#REF!</definedName>
    <definedName name="S2R21" localSheetId="16">#REF!</definedName>
    <definedName name="S2R21" localSheetId="17">#REF!</definedName>
    <definedName name="S2R21" localSheetId="19">#REF!</definedName>
    <definedName name="S2R21">#REF!</definedName>
    <definedName name="S2R22" localSheetId="2">#REF!</definedName>
    <definedName name="S2R22" localSheetId="16">#REF!</definedName>
    <definedName name="S2R22" localSheetId="17">#REF!</definedName>
    <definedName name="S2R22" localSheetId="19">#REF!</definedName>
    <definedName name="S2R22">#REF!</definedName>
    <definedName name="S2R23" localSheetId="2">#REF!</definedName>
    <definedName name="S2R23" localSheetId="16">#REF!</definedName>
    <definedName name="S2R23" localSheetId="17">#REF!</definedName>
    <definedName name="S2R23" localSheetId="19">#REF!</definedName>
    <definedName name="S2R23">#REF!</definedName>
    <definedName name="S2R24" localSheetId="2">#REF!</definedName>
    <definedName name="S2R24" localSheetId="16">#REF!</definedName>
    <definedName name="S2R24" localSheetId="17">#REF!</definedName>
    <definedName name="S2R24" localSheetId="19">#REF!</definedName>
    <definedName name="S2R24">#REF!</definedName>
    <definedName name="S2R3" localSheetId="2">#REF!</definedName>
    <definedName name="S2R3" localSheetId="16">#REF!</definedName>
    <definedName name="S2R3" localSheetId="17">#REF!</definedName>
    <definedName name="S2R3" localSheetId="19">#REF!</definedName>
    <definedName name="S2R3">#REF!</definedName>
    <definedName name="S2R4" localSheetId="2">#REF!</definedName>
    <definedName name="S2R4" localSheetId="16">#REF!</definedName>
    <definedName name="S2R4" localSheetId="17">#REF!</definedName>
    <definedName name="S2R4" localSheetId="19">#REF!</definedName>
    <definedName name="S2R4">#REF!</definedName>
    <definedName name="S2R5" localSheetId="2">#REF!</definedName>
    <definedName name="S2R5" localSheetId="16">#REF!</definedName>
    <definedName name="S2R5" localSheetId="17">#REF!</definedName>
    <definedName name="S2R5" localSheetId="19">#REF!</definedName>
    <definedName name="S2R5">#REF!</definedName>
    <definedName name="S2R6" localSheetId="2">#REF!</definedName>
    <definedName name="S2R6" localSheetId="16">#REF!</definedName>
    <definedName name="S2R6" localSheetId="17">#REF!</definedName>
    <definedName name="S2R6" localSheetId="19">#REF!</definedName>
    <definedName name="S2R6">#REF!</definedName>
    <definedName name="S2R7" localSheetId="2">#REF!</definedName>
    <definedName name="S2R7" localSheetId="16">#REF!</definedName>
    <definedName name="S2R7" localSheetId="17">#REF!</definedName>
    <definedName name="S2R7" localSheetId="19">#REF!</definedName>
    <definedName name="S2R7">#REF!</definedName>
    <definedName name="S2R8" localSheetId="2">#REF!</definedName>
    <definedName name="S2R8" localSheetId="16">#REF!</definedName>
    <definedName name="S2R8" localSheetId="17">#REF!</definedName>
    <definedName name="S2R8" localSheetId="19">#REF!</definedName>
    <definedName name="S2R8">#REF!</definedName>
    <definedName name="S2R9" localSheetId="2">#REF!</definedName>
    <definedName name="S2R9" localSheetId="16">#REF!</definedName>
    <definedName name="S2R9" localSheetId="17">#REF!</definedName>
    <definedName name="S2R9" localSheetId="19">#REF!</definedName>
    <definedName name="S2R9">#REF!</definedName>
    <definedName name="S30P1" localSheetId="2">#REF!</definedName>
    <definedName name="S30P1" localSheetId="16">#REF!</definedName>
    <definedName name="S30P1" localSheetId="17">#REF!</definedName>
    <definedName name="S30P1" localSheetId="19">#REF!</definedName>
    <definedName name="S30P1">#REF!</definedName>
    <definedName name="S30P10" localSheetId="2">#REF!</definedName>
    <definedName name="S30P10" localSheetId="16">#REF!</definedName>
    <definedName name="S30P10" localSheetId="17">#REF!</definedName>
    <definedName name="S30P10" localSheetId="19">#REF!</definedName>
    <definedName name="S30P10">#REF!</definedName>
    <definedName name="S30P11" localSheetId="2">#REF!</definedName>
    <definedName name="S30P11" localSheetId="16">#REF!</definedName>
    <definedName name="S30P11" localSheetId="17">#REF!</definedName>
    <definedName name="S30P11" localSheetId="19">#REF!</definedName>
    <definedName name="S30P11">#REF!</definedName>
    <definedName name="S30P12" localSheetId="2">#REF!</definedName>
    <definedName name="S30P12" localSheetId="16">#REF!</definedName>
    <definedName name="S30P12" localSheetId="17">#REF!</definedName>
    <definedName name="S30P12" localSheetId="19">#REF!</definedName>
    <definedName name="S30P12">#REF!</definedName>
    <definedName name="S30P13" localSheetId="2">#REF!</definedName>
    <definedName name="S30P13" localSheetId="16">#REF!</definedName>
    <definedName name="S30P13" localSheetId="17">#REF!</definedName>
    <definedName name="S30P13" localSheetId="19">#REF!</definedName>
    <definedName name="S30P13">#REF!</definedName>
    <definedName name="S30P14" localSheetId="2">#REF!</definedName>
    <definedName name="S30P14" localSheetId="16">#REF!</definedName>
    <definedName name="S30P14" localSheetId="17">#REF!</definedName>
    <definedName name="S30P14" localSheetId="19">#REF!</definedName>
    <definedName name="S30P14">#REF!</definedName>
    <definedName name="S30P15" localSheetId="2">#REF!</definedName>
    <definedName name="S30P15" localSheetId="16">#REF!</definedName>
    <definedName name="S30P15" localSheetId="17">#REF!</definedName>
    <definedName name="S30P15" localSheetId="19">#REF!</definedName>
    <definedName name="S30P15">#REF!</definedName>
    <definedName name="S30P16" localSheetId="2">#REF!</definedName>
    <definedName name="S30P16" localSheetId="16">#REF!</definedName>
    <definedName name="S30P16" localSheetId="17">#REF!</definedName>
    <definedName name="S30P16" localSheetId="19">#REF!</definedName>
    <definedName name="S30P16">#REF!</definedName>
    <definedName name="S30P17" localSheetId="2">#REF!</definedName>
    <definedName name="S30P17" localSheetId="16">#REF!</definedName>
    <definedName name="S30P17" localSheetId="17">#REF!</definedName>
    <definedName name="S30P17" localSheetId="19">#REF!</definedName>
    <definedName name="S30P17">#REF!</definedName>
    <definedName name="S30P18" localSheetId="2">#REF!</definedName>
    <definedName name="S30P18" localSheetId="16">#REF!</definedName>
    <definedName name="S30P18" localSheetId="17">#REF!</definedName>
    <definedName name="S30P18" localSheetId="19">#REF!</definedName>
    <definedName name="S30P18">#REF!</definedName>
    <definedName name="S30P19" localSheetId="2">#REF!</definedName>
    <definedName name="S30P19" localSheetId="16">#REF!</definedName>
    <definedName name="S30P19" localSheetId="17">#REF!</definedName>
    <definedName name="S30P19" localSheetId="19">#REF!</definedName>
    <definedName name="S30P19">#REF!</definedName>
    <definedName name="S30P2" localSheetId="2">#REF!</definedName>
    <definedName name="S30P2" localSheetId="16">#REF!</definedName>
    <definedName name="S30P2" localSheetId="17">#REF!</definedName>
    <definedName name="S30P2" localSheetId="19">#REF!</definedName>
    <definedName name="S30P2">#REF!</definedName>
    <definedName name="S30P20" localSheetId="2">#REF!</definedName>
    <definedName name="S30P20" localSheetId="16">#REF!</definedName>
    <definedName name="S30P20" localSheetId="17">#REF!</definedName>
    <definedName name="S30P20" localSheetId="19">#REF!</definedName>
    <definedName name="S30P20">#REF!</definedName>
    <definedName name="S30P21" localSheetId="2">#REF!</definedName>
    <definedName name="S30P21" localSheetId="16">#REF!</definedName>
    <definedName name="S30P21" localSheetId="17">#REF!</definedName>
    <definedName name="S30P21" localSheetId="19">#REF!</definedName>
    <definedName name="S30P21">#REF!</definedName>
    <definedName name="S30P22" localSheetId="2">#REF!</definedName>
    <definedName name="S30P22" localSheetId="16">#REF!</definedName>
    <definedName name="S30P22" localSheetId="17">#REF!</definedName>
    <definedName name="S30P22" localSheetId="19">#REF!</definedName>
    <definedName name="S30P22">#REF!</definedName>
    <definedName name="S30P23" localSheetId="2">#REF!</definedName>
    <definedName name="S30P23" localSheetId="16">#REF!</definedName>
    <definedName name="S30P23" localSheetId="17">#REF!</definedName>
    <definedName name="S30P23" localSheetId="19">#REF!</definedName>
    <definedName name="S30P23">#REF!</definedName>
    <definedName name="S30P24" localSheetId="2">#REF!</definedName>
    <definedName name="S30P24" localSheetId="16">#REF!</definedName>
    <definedName name="S30P24" localSheetId="17">#REF!</definedName>
    <definedName name="S30P24" localSheetId="19">#REF!</definedName>
    <definedName name="S30P24">#REF!</definedName>
    <definedName name="S30P3" localSheetId="2">#REF!</definedName>
    <definedName name="S30P3" localSheetId="16">#REF!</definedName>
    <definedName name="S30P3" localSheetId="17">#REF!</definedName>
    <definedName name="S30P3" localSheetId="19">#REF!</definedName>
    <definedName name="S30P3">#REF!</definedName>
    <definedName name="S30P4" localSheetId="2">#REF!</definedName>
    <definedName name="S30P4" localSheetId="16">#REF!</definedName>
    <definedName name="S30P4" localSheetId="17">#REF!</definedName>
    <definedName name="S30P4" localSheetId="19">#REF!</definedName>
    <definedName name="S30P4">#REF!</definedName>
    <definedName name="S30P5" localSheetId="2">#REF!</definedName>
    <definedName name="S30P5" localSheetId="16">#REF!</definedName>
    <definedName name="S30P5" localSheetId="17">#REF!</definedName>
    <definedName name="S30P5" localSheetId="19">#REF!</definedName>
    <definedName name="S30P5">#REF!</definedName>
    <definedName name="S30P6" localSheetId="2">#REF!</definedName>
    <definedName name="S30P6" localSheetId="16">#REF!</definedName>
    <definedName name="S30P6" localSheetId="17">#REF!</definedName>
    <definedName name="S30P6" localSheetId="19">#REF!</definedName>
    <definedName name="S30P6">#REF!</definedName>
    <definedName name="S30P7" localSheetId="2">#REF!</definedName>
    <definedName name="S30P7" localSheetId="16">#REF!</definedName>
    <definedName name="S30P7" localSheetId="17">#REF!</definedName>
    <definedName name="S30P7" localSheetId="19">#REF!</definedName>
    <definedName name="S30P7">#REF!</definedName>
    <definedName name="S30P8" localSheetId="2">#REF!</definedName>
    <definedName name="S30P8" localSheetId="16">#REF!</definedName>
    <definedName name="S30P8" localSheetId="17">#REF!</definedName>
    <definedName name="S30P8" localSheetId="19">#REF!</definedName>
    <definedName name="S30P8">#REF!</definedName>
    <definedName name="S30P9" localSheetId="2">#REF!</definedName>
    <definedName name="S30P9" localSheetId="16">#REF!</definedName>
    <definedName name="S30P9" localSheetId="17">#REF!</definedName>
    <definedName name="S30P9" localSheetId="19">#REF!</definedName>
    <definedName name="S30P9">#REF!</definedName>
    <definedName name="S30R1" localSheetId="2">#REF!</definedName>
    <definedName name="S30R1" localSheetId="16">#REF!</definedName>
    <definedName name="S30R1" localSheetId="17">#REF!</definedName>
    <definedName name="S30R1" localSheetId="19">#REF!</definedName>
    <definedName name="S30R1">#REF!</definedName>
    <definedName name="S30R10" localSheetId="2">#REF!</definedName>
    <definedName name="S30R10" localSheetId="16">#REF!</definedName>
    <definedName name="S30R10" localSheetId="17">#REF!</definedName>
    <definedName name="S30R10" localSheetId="19">#REF!</definedName>
    <definedName name="S30R10">#REF!</definedName>
    <definedName name="S30R11" localSheetId="2">#REF!</definedName>
    <definedName name="S30R11" localSheetId="16">#REF!</definedName>
    <definedName name="S30R11" localSheetId="17">#REF!</definedName>
    <definedName name="S30R11" localSheetId="19">#REF!</definedName>
    <definedName name="S30R11">#REF!</definedName>
    <definedName name="S30R12" localSheetId="2">#REF!</definedName>
    <definedName name="S30R12" localSheetId="16">#REF!</definedName>
    <definedName name="S30R12" localSheetId="17">#REF!</definedName>
    <definedName name="S30R12" localSheetId="19">#REF!</definedName>
    <definedName name="S30R12">#REF!</definedName>
    <definedName name="S30R13" localSheetId="2">#REF!</definedName>
    <definedName name="S30R13" localSheetId="16">#REF!</definedName>
    <definedName name="S30R13" localSheetId="17">#REF!</definedName>
    <definedName name="S30R13" localSheetId="19">#REF!</definedName>
    <definedName name="S30R13">#REF!</definedName>
    <definedName name="S30R14" localSheetId="2">#REF!</definedName>
    <definedName name="S30R14" localSheetId="16">#REF!</definedName>
    <definedName name="S30R14" localSheetId="17">#REF!</definedName>
    <definedName name="S30R14" localSheetId="19">#REF!</definedName>
    <definedName name="S30R14">#REF!</definedName>
    <definedName name="S30R15" localSheetId="2">#REF!</definedName>
    <definedName name="S30R15" localSheetId="16">#REF!</definedName>
    <definedName name="S30R15" localSheetId="17">#REF!</definedName>
    <definedName name="S30R15" localSheetId="19">#REF!</definedName>
    <definedName name="S30R15">#REF!</definedName>
    <definedName name="S30R16" localSheetId="2">#REF!</definedName>
    <definedName name="S30R16" localSheetId="16">#REF!</definedName>
    <definedName name="S30R16" localSheetId="17">#REF!</definedName>
    <definedName name="S30R16" localSheetId="19">#REF!</definedName>
    <definedName name="S30R16">#REF!</definedName>
    <definedName name="S30R17" localSheetId="2">#REF!</definedName>
    <definedName name="S30R17" localSheetId="16">#REF!</definedName>
    <definedName name="S30R17" localSheetId="17">#REF!</definedName>
    <definedName name="S30R17" localSheetId="19">#REF!</definedName>
    <definedName name="S30R17">#REF!</definedName>
    <definedName name="S30R18" localSheetId="2">#REF!</definedName>
    <definedName name="S30R18" localSheetId="16">#REF!</definedName>
    <definedName name="S30R18" localSheetId="17">#REF!</definedName>
    <definedName name="S30R18" localSheetId="19">#REF!</definedName>
    <definedName name="S30R18">#REF!</definedName>
    <definedName name="S30R19" localSheetId="2">#REF!</definedName>
    <definedName name="S30R19" localSheetId="16">#REF!</definedName>
    <definedName name="S30R19" localSheetId="17">#REF!</definedName>
    <definedName name="S30R19" localSheetId="19">#REF!</definedName>
    <definedName name="S30R19">#REF!</definedName>
    <definedName name="S30R2" localSheetId="2">#REF!</definedName>
    <definedName name="S30R2" localSheetId="16">#REF!</definedName>
    <definedName name="S30R2" localSheetId="17">#REF!</definedName>
    <definedName name="S30R2" localSheetId="19">#REF!</definedName>
    <definedName name="S30R2">#REF!</definedName>
    <definedName name="S30R20" localSheetId="2">#REF!</definedName>
    <definedName name="S30R20" localSheetId="16">#REF!</definedName>
    <definedName name="S30R20" localSheetId="17">#REF!</definedName>
    <definedName name="S30R20" localSheetId="19">#REF!</definedName>
    <definedName name="S30R20">#REF!</definedName>
    <definedName name="S30R21" localSheetId="2">#REF!</definedName>
    <definedName name="S30R21" localSheetId="16">#REF!</definedName>
    <definedName name="S30R21" localSheetId="17">#REF!</definedName>
    <definedName name="S30R21" localSheetId="19">#REF!</definedName>
    <definedName name="S30R21">#REF!</definedName>
    <definedName name="S30R22" localSheetId="2">#REF!</definedName>
    <definedName name="S30R22" localSheetId="16">#REF!</definedName>
    <definedName name="S30R22" localSheetId="17">#REF!</definedName>
    <definedName name="S30R22" localSheetId="19">#REF!</definedName>
    <definedName name="S30R22">#REF!</definedName>
    <definedName name="S30R23" localSheetId="2">#REF!</definedName>
    <definedName name="S30R23" localSheetId="16">#REF!</definedName>
    <definedName name="S30R23" localSheetId="17">#REF!</definedName>
    <definedName name="S30R23" localSheetId="19">#REF!</definedName>
    <definedName name="S30R23">#REF!</definedName>
    <definedName name="S30R24" localSheetId="2">#REF!</definedName>
    <definedName name="S30R24" localSheetId="16">#REF!</definedName>
    <definedName name="S30R24" localSheetId="17">#REF!</definedName>
    <definedName name="S30R24" localSheetId="19">#REF!</definedName>
    <definedName name="S30R24">#REF!</definedName>
    <definedName name="S30R3" localSheetId="2">#REF!</definedName>
    <definedName name="S30R3" localSheetId="16">#REF!</definedName>
    <definedName name="S30R3" localSheetId="17">#REF!</definedName>
    <definedName name="S30R3" localSheetId="19">#REF!</definedName>
    <definedName name="S30R3">#REF!</definedName>
    <definedName name="S30R4" localSheetId="2">#REF!</definedName>
    <definedName name="S30R4" localSheetId="16">#REF!</definedName>
    <definedName name="S30R4" localSheetId="17">#REF!</definedName>
    <definedName name="S30R4" localSheetId="19">#REF!</definedName>
    <definedName name="S30R4">#REF!</definedName>
    <definedName name="S30R5" localSheetId="2">#REF!</definedName>
    <definedName name="S30R5" localSheetId="16">#REF!</definedName>
    <definedName name="S30R5" localSheetId="17">#REF!</definedName>
    <definedName name="S30R5" localSheetId="19">#REF!</definedName>
    <definedName name="S30R5">#REF!</definedName>
    <definedName name="S30R6" localSheetId="2">#REF!</definedName>
    <definedName name="S30R6" localSheetId="16">#REF!</definedName>
    <definedName name="S30R6" localSheetId="17">#REF!</definedName>
    <definedName name="S30R6" localSheetId="19">#REF!</definedName>
    <definedName name="S30R6">#REF!</definedName>
    <definedName name="S30R7" localSheetId="2">#REF!</definedName>
    <definedName name="S30R7" localSheetId="16">#REF!</definedName>
    <definedName name="S30R7" localSheetId="17">#REF!</definedName>
    <definedName name="S30R7" localSheetId="19">#REF!</definedName>
    <definedName name="S30R7">#REF!</definedName>
    <definedName name="S30R8" localSheetId="2">#REF!</definedName>
    <definedName name="S30R8" localSheetId="16">#REF!</definedName>
    <definedName name="S30R8" localSheetId="17">#REF!</definedName>
    <definedName name="S30R8" localSheetId="19">#REF!</definedName>
    <definedName name="S30R8">#REF!</definedName>
    <definedName name="S30R9" localSheetId="2">#REF!</definedName>
    <definedName name="S30R9" localSheetId="16">#REF!</definedName>
    <definedName name="S30R9" localSheetId="17">#REF!</definedName>
    <definedName name="S30R9" localSheetId="19">#REF!</definedName>
    <definedName name="S30R9">#REF!</definedName>
    <definedName name="S31P1" localSheetId="2">#REF!</definedName>
    <definedName name="S31P1" localSheetId="16">#REF!</definedName>
    <definedName name="S31P1" localSheetId="17">#REF!</definedName>
    <definedName name="S31P1" localSheetId="19">#REF!</definedName>
    <definedName name="S31P1">#REF!</definedName>
    <definedName name="S31P10" localSheetId="2">#REF!</definedName>
    <definedName name="S31P10" localSheetId="16">#REF!</definedName>
    <definedName name="S31P10" localSheetId="17">#REF!</definedName>
    <definedName name="S31P10" localSheetId="19">#REF!</definedName>
    <definedName name="S31P10">#REF!</definedName>
    <definedName name="S31P11" localSheetId="2">#REF!</definedName>
    <definedName name="S31P11" localSheetId="16">#REF!</definedName>
    <definedName name="S31P11" localSheetId="17">#REF!</definedName>
    <definedName name="S31P11" localSheetId="19">#REF!</definedName>
    <definedName name="S31P11">#REF!</definedName>
    <definedName name="S31P12" localSheetId="2">#REF!</definedName>
    <definedName name="S31P12" localSheetId="16">#REF!</definedName>
    <definedName name="S31P12" localSheetId="17">#REF!</definedName>
    <definedName name="S31P12" localSheetId="19">#REF!</definedName>
    <definedName name="S31P12">#REF!</definedName>
    <definedName name="S31P13" localSheetId="2">#REF!</definedName>
    <definedName name="S31P13" localSheetId="16">#REF!</definedName>
    <definedName name="S31P13" localSheetId="17">#REF!</definedName>
    <definedName name="S31P13" localSheetId="19">#REF!</definedName>
    <definedName name="S31P13">#REF!</definedName>
    <definedName name="S31P14" localSheetId="2">#REF!</definedName>
    <definedName name="S31P14" localSheetId="16">#REF!</definedName>
    <definedName name="S31P14" localSheetId="17">#REF!</definedName>
    <definedName name="S31P14" localSheetId="19">#REF!</definedName>
    <definedName name="S31P14">#REF!</definedName>
    <definedName name="S31P15" localSheetId="2">#REF!</definedName>
    <definedName name="S31P15" localSheetId="16">#REF!</definedName>
    <definedName name="S31P15" localSheetId="17">#REF!</definedName>
    <definedName name="S31P15" localSheetId="19">#REF!</definedName>
    <definedName name="S31P15">#REF!</definedName>
    <definedName name="S31P16" localSheetId="2">#REF!</definedName>
    <definedName name="S31P16" localSheetId="16">#REF!</definedName>
    <definedName name="S31P16" localSheetId="17">#REF!</definedName>
    <definedName name="S31P16" localSheetId="19">#REF!</definedName>
    <definedName name="S31P16">#REF!</definedName>
    <definedName name="S31P17" localSheetId="2">#REF!</definedName>
    <definedName name="S31P17" localSheetId="16">#REF!</definedName>
    <definedName name="S31P17" localSheetId="17">#REF!</definedName>
    <definedName name="S31P17" localSheetId="19">#REF!</definedName>
    <definedName name="S31P17">#REF!</definedName>
    <definedName name="S31P18" localSheetId="2">#REF!</definedName>
    <definedName name="S31P18" localSheetId="16">#REF!</definedName>
    <definedName name="S31P18" localSheetId="17">#REF!</definedName>
    <definedName name="S31P18" localSheetId="19">#REF!</definedName>
    <definedName name="S31P18">#REF!</definedName>
    <definedName name="S31P19" localSheetId="2">#REF!</definedName>
    <definedName name="S31P19" localSheetId="16">#REF!</definedName>
    <definedName name="S31P19" localSheetId="17">#REF!</definedName>
    <definedName name="S31P19" localSheetId="19">#REF!</definedName>
    <definedName name="S31P19">#REF!</definedName>
    <definedName name="S31P2" localSheetId="2">#REF!</definedName>
    <definedName name="S31P2" localSheetId="16">#REF!</definedName>
    <definedName name="S31P2" localSheetId="17">#REF!</definedName>
    <definedName name="S31P2" localSheetId="19">#REF!</definedName>
    <definedName name="S31P2">#REF!</definedName>
    <definedName name="S31P20" localSheetId="2">#REF!</definedName>
    <definedName name="S31P20" localSheetId="16">#REF!</definedName>
    <definedName name="S31P20" localSheetId="17">#REF!</definedName>
    <definedName name="S31P20" localSheetId="19">#REF!</definedName>
    <definedName name="S31P20">#REF!</definedName>
    <definedName name="S31P21" localSheetId="2">#REF!</definedName>
    <definedName name="S31P21" localSheetId="16">#REF!</definedName>
    <definedName name="S31P21" localSheetId="17">#REF!</definedName>
    <definedName name="S31P21" localSheetId="19">#REF!</definedName>
    <definedName name="S31P21">#REF!</definedName>
    <definedName name="S31P22" localSheetId="2">#REF!</definedName>
    <definedName name="S31P22" localSheetId="16">#REF!</definedName>
    <definedName name="S31P22" localSheetId="17">#REF!</definedName>
    <definedName name="S31P22" localSheetId="19">#REF!</definedName>
    <definedName name="S31P22">#REF!</definedName>
    <definedName name="S31P23" localSheetId="2">#REF!</definedName>
    <definedName name="S31P23" localSheetId="16">#REF!</definedName>
    <definedName name="S31P23" localSheetId="17">#REF!</definedName>
    <definedName name="S31P23" localSheetId="19">#REF!</definedName>
    <definedName name="S31P23">#REF!</definedName>
    <definedName name="S31P24" localSheetId="2">#REF!</definedName>
    <definedName name="S31P24" localSheetId="16">#REF!</definedName>
    <definedName name="S31P24" localSheetId="17">#REF!</definedName>
    <definedName name="S31P24" localSheetId="19">#REF!</definedName>
    <definedName name="S31P24">#REF!</definedName>
    <definedName name="S31P3" localSheetId="2">#REF!</definedName>
    <definedName name="S31P3" localSheetId="16">#REF!</definedName>
    <definedName name="S31P3" localSheetId="17">#REF!</definedName>
    <definedName name="S31P3" localSheetId="19">#REF!</definedName>
    <definedName name="S31P3">#REF!</definedName>
    <definedName name="S31P4" localSheetId="2">#REF!</definedName>
    <definedName name="S31P4" localSheetId="16">#REF!</definedName>
    <definedName name="S31P4" localSheetId="17">#REF!</definedName>
    <definedName name="S31P4" localSheetId="19">#REF!</definedName>
    <definedName name="S31P4">#REF!</definedName>
    <definedName name="S31P5" localSheetId="2">#REF!</definedName>
    <definedName name="S31P5" localSheetId="16">#REF!</definedName>
    <definedName name="S31P5" localSheetId="17">#REF!</definedName>
    <definedName name="S31P5" localSheetId="19">#REF!</definedName>
    <definedName name="S31P5">#REF!</definedName>
    <definedName name="S31P6" localSheetId="2">#REF!</definedName>
    <definedName name="S31P6" localSheetId="16">#REF!</definedName>
    <definedName name="S31P6" localSheetId="17">#REF!</definedName>
    <definedName name="S31P6" localSheetId="19">#REF!</definedName>
    <definedName name="S31P6">#REF!</definedName>
    <definedName name="S31P7" localSheetId="2">#REF!</definedName>
    <definedName name="S31P7" localSheetId="16">#REF!</definedName>
    <definedName name="S31P7" localSheetId="17">#REF!</definedName>
    <definedName name="S31P7" localSheetId="19">#REF!</definedName>
    <definedName name="S31P7">#REF!</definedName>
    <definedName name="S31P8" localSheetId="2">#REF!</definedName>
    <definedName name="S31P8" localSheetId="16">#REF!</definedName>
    <definedName name="S31P8" localSheetId="17">#REF!</definedName>
    <definedName name="S31P8" localSheetId="19">#REF!</definedName>
    <definedName name="S31P8">#REF!</definedName>
    <definedName name="S31P9" localSheetId="2">#REF!</definedName>
    <definedName name="S31P9" localSheetId="16">#REF!</definedName>
    <definedName name="S31P9" localSheetId="17">#REF!</definedName>
    <definedName name="S31P9" localSheetId="19">#REF!</definedName>
    <definedName name="S31P9">#REF!</definedName>
    <definedName name="S31R1" localSheetId="2">#REF!</definedName>
    <definedName name="S31R1" localSheetId="16">#REF!</definedName>
    <definedName name="S31R1" localSheetId="17">#REF!</definedName>
    <definedName name="S31R1" localSheetId="19">#REF!</definedName>
    <definedName name="S31R1">#REF!</definedName>
    <definedName name="S31R10" localSheetId="2">#REF!</definedName>
    <definedName name="S31R10" localSheetId="16">#REF!</definedName>
    <definedName name="S31R10" localSheetId="17">#REF!</definedName>
    <definedName name="S31R10" localSheetId="19">#REF!</definedName>
    <definedName name="S31R10">#REF!</definedName>
    <definedName name="S31R11" localSheetId="2">#REF!</definedName>
    <definedName name="S31R11" localSheetId="16">#REF!</definedName>
    <definedName name="S31R11" localSheetId="17">#REF!</definedName>
    <definedName name="S31R11" localSheetId="19">#REF!</definedName>
    <definedName name="S31R11">#REF!</definedName>
    <definedName name="S31R12" localSheetId="2">#REF!</definedName>
    <definedName name="S31R12" localSheetId="16">#REF!</definedName>
    <definedName name="S31R12" localSheetId="17">#REF!</definedName>
    <definedName name="S31R12" localSheetId="19">#REF!</definedName>
    <definedName name="S31R12">#REF!</definedName>
    <definedName name="S31R13" localSheetId="2">#REF!</definedName>
    <definedName name="S31R13" localSheetId="16">#REF!</definedName>
    <definedName name="S31R13" localSheetId="17">#REF!</definedName>
    <definedName name="S31R13" localSheetId="19">#REF!</definedName>
    <definedName name="S31R13">#REF!</definedName>
    <definedName name="S31R14" localSheetId="2">#REF!</definedName>
    <definedName name="S31R14" localSheetId="16">#REF!</definedName>
    <definedName name="S31R14" localSheetId="17">#REF!</definedName>
    <definedName name="S31R14" localSheetId="19">#REF!</definedName>
    <definedName name="S31R14">#REF!</definedName>
    <definedName name="S31R15" localSheetId="2">#REF!</definedName>
    <definedName name="S31R15" localSheetId="16">#REF!</definedName>
    <definedName name="S31R15" localSheetId="17">#REF!</definedName>
    <definedName name="S31R15" localSheetId="19">#REF!</definedName>
    <definedName name="S31R15">#REF!</definedName>
    <definedName name="S31R16" localSheetId="2">#REF!</definedName>
    <definedName name="S31R16" localSheetId="16">#REF!</definedName>
    <definedName name="S31R16" localSheetId="17">#REF!</definedName>
    <definedName name="S31R16" localSheetId="19">#REF!</definedName>
    <definedName name="S31R16">#REF!</definedName>
    <definedName name="S31R17" localSheetId="2">#REF!</definedName>
    <definedName name="S31R17" localSheetId="16">#REF!</definedName>
    <definedName name="S31R17" localSheetId="17">#REF!</definedName>
    <definedName name="S31R17" localSheetId="19">#REF!</definedName>
    <definedName name="S31R17">#REF!</definedName>
    <definedName name="S31R18" localSheetId="2">#REF!</definedName>
    <definedName name="S31R18" localSheetId="16">#REF!</definedName>
    <definedName name="S31R18" localSheetId="17">#REF!</definedName>
    <definedName name="S31R18" localSheetId="19">#REF!</definedName>
    <definedName name="S31R18">#REF!</definedName>
    <definedName name="S31R19" localSheetId="2">#REF!</definedName>
    <definedName name="S31R19" localSheetId="16">#REF!</definedName>
    <definedName name="S31R19" localSheetId="17">#REF!</definedName>
    <definedName name="S31R19" localSheetId="19">#REF!</definedName>
    <definedName name="S31R19">#REF!</definedName>
    <definedName name="S31R2" localSheetId="2">#REF!</definedName>
    <definedName name="S31R2" localSheetId="16">#REF!</definedName>
    <definedName name="S31R2" localSheetId="17">#REF!</definedName>
    <definedName name="S31R2" localSheetId="19">#REF!</definedName>
    <definedName name="S31R2">#REF!</definedName>
    <definedName name="S31R20" localSheetId="2">#REF!</definedName>
    <definedName name="S31R20" localSheetId="16">#REF!</definedName>
    <definedName name="S31R20" localSheetId="17">#REF!</definedName>
    <definedName name="S31R20" localSheetId="19">#REF!</definedName>
    <definedName name="S31R20">#REF!</definedName>
    <definedName name="S31R21" localSheetId="2">#REF!</definedName>
    <definedName name="S31R21" localSheetId="16">#REF!</definedName>
    <definedName name="S31R21" localSheetId="17">#REF!</definedName>
    <definedName name="S31R21" localSheetId="19">#REF!</definedName>
    <definedName name="S31R21">#REF!</definedName>
    <definedName name="S31R22" localSheetId="2">#REF!</definedName>
    <definedName name="S31R22" localSheetId="16">#REF!</definedName>
    <definedName name="S31R22" localSheetId="17">#REF!</definedName>
    <definedName name="S31R22" localSheetId="19">#REF!</definedName>
    <definedName name="S31R22">#REF!</definedName>
    <definedName name="S31R23" localSheetId="2">#REF!</definedName>
    <definedName name="S31R23" localSheetId="16">#REF!</definedName>
    <definedName name="S31R23" localSheetId="17">#REF!</definedName>
    <definedName name="S31R23" localSheetId="19">#REF!</definedName>
    <definedName name="S31R23">#REF!</definedName>
    <definedName name="S31R24" localSheetId="2">#REF!</definedName>
    <definedName name="S31R24" localSheetId="16">#REF!</definedName>
    <definedName name="S31R24" localSheetId="17">#REF!</definedName>
    <definedName name="S31R24" localSheetId="19">#REF!</definedName>
    <definedName name="S31R24">#REF!</definedName>
    <definedName name="S31R3" localSheetId="2">#REF!</definedName>
    <definedName name="S31R3" localSheetId="16">#REF!</definedName>
    <definedName name="S31R3" localSheetId="17">#REF!</definedName>
    <definedName name="S31R3" localSheetId="19">#REF!</definedName>
    <definedName name="S31R3">#REF!</definedName>
    <definedName name="S31R4" localSheetId="2">#REF!</definedName>
    <definedName name="S31R4" localSheetId="16">#REF!</definedName>
    <definedName name="S31R4" localSheetId="17">#REF!</definedName>
    <definedName name="S31R4" localSheetId="19">#REF!</definedName>
    <definedName name="S31R4">#REF!</definedName>
    <definedName name="S31R5" localSheetId="2">#REF!</definedName>
    <definedName name="S31R5" localSheetId="16">#REF!</definedName>
    <definedName name="S31R5" localSheetId="17">#REF!</definedName>
    <definedName name="S31R5" localSheetId="19">#REF!</definedName>
    <definedName name="S31R5">#REF!</definedName>
    <definedName name="S31R6" localSheetId="2">#REF!</definedName>
    <definedName name="S31R6" localSheetId="16">#REF!</definedName>
    <definedName name="S31R6" localSheetId="17">#REF!</definedName>
    <definedName name="S31R6" localSheetId="19">#REF!</definedName>
    <definedName name="S31R6">#REF!</definedName>
    <definedName name="S31R7" localSheetId="2">#REF!</definedName>
    <definedName name="S31R7" localSheetId="16">#REF!</definedName>
    <definedName name="S31R7" localSheetId="17">#REF!</definedName>
    <definedName name="S31R7" localSheetId="19">#REF!</definedName>
    <definedName name="S31R7">#REF!</definedName>
    <definedName name="S31R8" localSheetId="2">#REF!</definedName>
    <definedName name="S31R8" localSheetId="16">#REF!</definedName>
    <definedName name="S31R8" localSheetId="17">#REF!</definedName>
    <definedName name="S31R8" localSheetId="19">#REF!</definedName>
    <definedName name="S31R8">#REF!</definedName>
    <definedName name="S31R9" localSheetId="2">#REF!</definedName>
    <definedName name="S31R9" localSheetId="16">#REF!</definedName>
    <definedName name="S31R9" localSheetId="17">#REF!</definedName>
    <definedName name="S31R9" localSheetId="19">#REF!</definedName>
    <definedName name="S31R9">#REF!</definedName>
    <definedName name="S32P1" localSheetId="2">#REF!</definedName>
    <definedName name="S32P1" localSheetId="16">#REF!</definedName>
    <definedName name="S32P1" localSheetId="17">#REF!</definedName>
    <definedName name="S32P1" localSheetId="19">#REF!</definedName>
    <definedName name="S32P1">#REF!</definedName>
    <definedName name="S32P10" localSheetId="2">#REF!</definedName>
    <definedName name="S32P10" localSheetId="16">#REF!</definedName>
    <definedName name="S32P10" localSheetId="17">#REF!</definedName>
    <definedName name="S32P10" localSheetId="19">#REF!</definedName>
    <definedName name="S32P10">#REF!</definedName>
    <definedName name="S32P11" localSheetId="2">#REF!</definedName>
    <definedName name="S32P11" localSheetId="16">#REF!</definedName>
    <definedName name="S32P11" localSheetId="17">#REF!</definedName>
    <definedName name="S32P11" localSheetId="19">#REF!</definedName>
    <definedName name="S32P11">#REF!</definedName>
    <definedName name="S32P12" localSheetId="2">#REF!</definedName>
    <definedName name="S32P12" localSheetId="16">#REF!</definedName>
    <definedName name="S32P12" localSheetId="17">#REF!</definedName>
    <definedName name="S32P12" localSheetId="19">#REF!</definedName>
    <definedName name="S32P12">#REF!</definedName>
    <definedName name="S32P13" localSheetId="2">#REF!</definedName>
    <definedName name="S32P13" localSheetId="16">#REF!</definedName>
    <definedName name="S32P13" localSheetId="17">#REF!</definedName>
    <definedName name="S32P13" localSheetId="19">#REF!</definedName>
    <definedName name="S32P13">#REF!</definedName>
    <definedName name="S32P14" localSheetId="2">#REF!</definedName>
    <definedName name="S32P14" localSheetId="16">#REF!</definedName>
    <definedName name="S32P14" localSheetId="17">#REF!</definedName>
    <definedName name="S32P14" localSheetId="19">#REF!</definedName>
    <definedName name="S32P14">#REF!</definedName>
    <definedName name="S32P15" localSheetId="2">#REF!</definedName>
    <definedName name="S32P15" localSheetId="16">#REF!</definedName>
    <definedName name="S32P15" localSheetId="17">#REF!</definedName>
    <definedName name="S32P15" localSheetId="19">#REF!</definedName>
    <definedName name="S32P15">#REF!</definedName>
    <definedName name="S32P16" localSheetId="2">#REF!</definedName>
    <definedName name="S32P16" localSheetId="16">#REF!</definedName>
    <definedName name="S32P16" localSheetId="17">#REF!</definedName>
    <definedName name="S32P16" localSheetId="19">#REF!</definedName>
    <definedName name="S32P16">#REF!</definedName>
    <definedName name="S32P17" localSheetId="2">#REF!</definedName>
    <definedName name="S32P17" localSheetId="16">#REF!</definedName>
    <definedName name="S32P17" localSheetId="17">#REF!</definedName>
    <definedName name="S32P17" localSheetId="19">#REF!</definedName>
    <definedName name="S32P17">#REF!</definedName>
    <definedName name="S32P18" localSheetId="2">#REF!</definedName>
    <definedName name="S32P18" localSheetId="16">#REF!</definedName>
    <definedName name="S32P18" localSheetId="17">#REF!</definedName>
    <definedName name="S32P18" localSheetId="19">#REF!</definedName>
    <definedName name="S32P18">#REF!</definedName>
    <definedName name="S32P19" localSheetId="2">#REF!</definedName>
    <definedName name="S32P19" localSheetId="16">#REF!</definedName>
    <definedName name="S32P19" localSheetId="17">#REF!</definedName>
    <definedName name="S32P19" localSheetId="19">#REF!</definedName>
    <definedName name="S32P19">#REF!</definedName>
    <definedName name="S32P2" localSheetId="2">#REF!</definedName>
    <definedName name="S32P2" localSheetId="16">#REF!</definedName>
    <definedName name="S32P2" localSheetId="17">#REF!</definedName>
    <definedName name="S32P2" localSheetId="19">#REF!</definedName>
    <definedName name="S32P2">#REF!</definedName>
    <definedName name="S32P20" localSheetId="2">#REF!</definedName>
    <definedName name="S32P20" localSheetId="16">#REF!</definedName>
    <definedName name="S32P20" localSheetId="17">#REF!</definedName>
    <definedName name="S32P20" localSheetId="19">#REF!</definedName>
    <definedName name="S32P20">#REF!</definedName>
    <definedName name="S32P21" localSheetId="2">#REF!</definedName>
    <definedName name="S32P21" localSheetId="16">#REF!</definedName>
    <definedName name="S32P21" localSheetId="17">#REF!</definedName>
    <definedName name="S32P21" localSheetId="19">#REF!</definedName>
    <definedName name="S32P21">#REF!</definedName>
    <definedName name="S32P22" localSheetId="2">#REF!</definedName>
    <definedName name="S32P22" localSheetId="16">#REF!</definedName>
    <definedName name="S32P22" localSheetId="17">#REF!</definedName>
    <definedName name="S32P22" localSheetId="19">#REF!</definedName>
    <definedName name="S32P22">#REF!</definedName>
    <definedName name="S32P23" localSheetId="2">#REF!</definedName>
    <definedName name="S32P23" localSheetId="16">#REF!</definedName>
    <definedName name="S32P23" localSheetId="17">#REF!</definedName>
    <definedName name="S32P23" localSheetId="19">#REF!</definedName>
    <definedName name="S32P23">#REF!</definedName>
    <definedName name="S32P24" localSheetId="2">#REF!</definedName>
    <definedName name="S32P24" localSheetId="16">#REF!</definedName>
    <definedName name="S32P24" localSheetId="17">#REF!</definedName>
    <definedName name="S32P24" localSheetId="19">#REF!</definedName>
    <definedName name="S32P24">#REF!</definedName>
    <definedName name="S32P3" localSheetId="2">#REF!</definedName>
    <definedName name="S32P3" localSheetId="16">#REF!</definedName>
    <definedName name="S32P3" localSheetId="17">#REF!</definedName>
    <definedName name="S32P3" localSheetId="19">#REF!</definedName>
    <definedName name="S32P3">#REF!</definedName>
    <definedName name="S32P4" localSheetId="2">#REF!</definedName>
    <definedName name="S32P4" localSheetId="16">#REF!</definedName>
    <definedName name="S32P4" localSheetId="17">#REF!</definedName>
    <definedName name="S32P4" localSheetId="19">#REF!</definedName>
    <definedName name="S32P4">#REF!</definedName>
    <definedName name="S32P5" localSheetId="2">#REF!</definedName>
    <definedName name="S32P5" localSheetId="16">#REF!</definedName>
    <definedName name="S32P5" localSheetId="17">#REF!</definedName>
    <definedName name="S32P5" localSheetId="19">#REF!</definedName>
    <definedName name="S32P5">#REF!</definedName>
    <definedName name="S32P6" localSheetId="2">#REF!</definedName>
    <definedName name="S32P6" localSheetId="16">#REF!</definedName>
    <definedName name="S32P6" localSheetId="17">#REF!</definedName>
    <definedName name="S32P6" localSheetId="19">#REF!</definedName>
    <definedName name="S32P6">#REF!</definedName>
    <definedName name="S32P7" localSheetId="2">#REF!</definedName>
    <definedName name="S32P7" localSheetId="16">#REF!</definedName>
    <definedName name="S32P7" localSheetId="17">#REF!</definedName>
    <definedName name="S32P7" localSheetId="19">#REF!</definedName>
    <definedName name="S32P7">#REF!</definedName>
    <definedName name="S32P8" localSheetId="2">#REF!</definedName>
    <definedName name="S32P8" localSheetId="16">#REF!</definedName>
    <definedName name="S32P8" localSheetId="17">#REF!</definedName>
    <definedName name="S32P8" localSheetId="19">#REF!</definedName>
    <definedName name="S32P8">#REF!</definedName>
    <definedName name="S32P9" localSheetId="2">#REF!</definedName>
    <definedName name="S32P9" localSheetId="16">#REF!</definedName>
    <definedName name="S32P9" localSheetId="17">#REF!</definedName>
    <definedName name="S32P9" localSheetId="19">#REF!</definedName>
    <definedName name="S32P9">#REF!</definedName>
    <definedName name="S32R1" localSheetId="2">#REF!</definedName>
    <definedName name="S32R1" localSheetId="16">#REF!</definedName>
    <definedName name="S32R1" localSheetId="17">#REF!</definedName>
    <definedName name="S32R1" localSheetId="19">#REF!</definedName>
    <definedName name="S32R1">#REF!</definedName>
    <definedName name="S32R10" localSheetId="2">#REF!</definedName>
    <definedName name="S32R10" localSheetId="16">#REF!</definedName>
    <definedName name="S32R10" localSheetId="17">#REF!</definedName>
    <definedName name="S32R10" localSheetId="19">#REF!</definedName>
    <definedName name="S32R10">#REF!</definedName>
    <definedName name="S32R11" localSheetId="2">#REF!</definedName>
    <definedName name="S32R11" localSheetId="16">#REF!</definedName>
    <definedName name="S32R11" localSheetId="17">#REF!</definedName>
    <definedName name="S32R11" localSheetId="19">#REF!</definedName>
    <definedName name="S32R11">#REF!</definedName>
    <definedName name="S32R12" localSheetId="2">#REF!</definedName>
    <definedName name="S32R12" localSheetId="16">#REF!</definedName>
    <definedName name="S32R12" localSheetId="17">#REF!</definedName>
    <definedName name="S32R12" localSheetId="19">#REF!</definedName>
    <definedName name="S32R12">#REF!</definedName>
    <definedName name="S32R13" localSheetId="2">#REF!</definedName>
    <definedName name="S32R13" localSheetId="16">#REF!</definedName>
    <definedName name="S32R13" localSheetId="17">#REF!</definedName>
    <definedName name="S32R13" localSheetId="19">#REF!</definedName>
    <definedName name="S32R13">#REF!</definedName>
    <definedName name="S32R14" localSheetId="2">#REF!</definedName>
    <definedName name="S32R14" localSheetId="16">#REF!</definedName>
    <definedName name="S32R14" localSheetId="17">#REF!</definedName>
    <definedName name="S32R14" localSheetId="19">#REF!</definedName>
    <definedName name="S32R14">#REF!</definedName>
    <definedName name="S32R15" localSheetId="2">#REF!</definedName>
    <definedName name="S32R15" localSheetId="16">#REF!</definedName>
    <definedName name="S32R15" localSheetId="17">#REF!</definedName>
    <definedName name="S32R15" localSheetId="19">#REF!</definedName>
    <definedName name="S32R15">#REF!</definedName>
    <definedName name="S32R16" localSheetId="2">#REF!</definedName>
    <definedName name="S32R16" localSheetId="16">#REF!</definedName>
    <definedName name="S32R16" localSheetId="17">#REF!</definedName>
    <definedName name="S32R16" localSheetId="19">#REF!</definedName>
    <definedName name="S32R16">#REF!</definedName>
    <definedName name="S32R17" localSheetId="2">#REF!</definedName>
    <definedName name="S32R17" localSheetId="16">#REF!</definedName>
    <definedName name="S32R17" localSheetId="17">#REF!</definedName>
    <definedName name="S32R17" localSheetId="19">#REF!</definedName>
    <definedName name="S32R17">#REF!</definedName>
    <definedName name="S32R18" localSheetId="2">#REF!</definedName>
    <definedName name="S32R18" localSheetId="16">#REF!</definedName>
    <definedName name="S32R18" localSheetId="17">#REF!</definedName>
    <definedName name="S32R18" localSheetId="19">#REF!</definedName>
    <definedName name="S32R18">#REF!</definedName>
    <definedName name="S32R19" localSheetId="2">#REF!</definedName>
    <definedName name="S32R19" localSheetId="16">#REF!</definedName>
    <definedName name="S32R19" localSheetId="17">#REF!</definedName>
    <definedName name="S32R19" localSheetId="19">#REF!</definedName>
    <definedName name="S32R19">#REF!</definedName>
    <definedName name="S32R2" localSheetId="2">#REF!</definedName>
    <definedName name="S32R2" localSheetId="16">#REF!</definedName>
    <definedName name="S32R2" localSheetId="17">#REF!</definedName>
    <definedName name="S32R2" localSheetId="19">#REF!</definedName>
    <definedName name="S32R2">#REF!</definedName>
    <definedName name="S32R20" localSheetId="2">#REF!</definedName>
    <definedName name="S32R20" localSheetId="16">#REF!</definedName>
    <definedName name="S32R20" localSheetId="17">#REF!</definedName>
    <definedName name="S32R20" localSheetId="19">#REF!</definedName>
    <definedName name="S32R20">#REF!</definedName>
    <definedName name="S32R21" localSheetId="2">#REF!</definedName>
    <definedName name="S32R21" localSheetId="16">#REF!</definedName>
    <definedName name="S32R21" localSheetId="17">#REF!</definedName>
    <definedName name="S32R21" localSheetId="19">#REF!</definedName>
    <definedName name="S32R21">#REF!</definedName>
    <definedName name="S32R22" localSheetId="2">#REF!</definedName>
    <definedName name="S32R22" localSheetId="16">#REF!</definedName>
    <definedName name="S32R22" localSheetId="17">#REF!</definedName>
    <definedName name="S32R22" localSheetId="19">#REF!</definedName>
    <definedName name="S32R22">#REF!</definedName>
    <definedName name="S32R23" localSheetId="2">#REF!</definedName>
    <definedName name="S32R23" localSheetId="16">#REF!</definedName>
    <definedName name="S32R23" localSheetId="17">#REF!</definedName>
    <definedName name="S32R23" localSheetId="19">#REF!</definedName>
    <definedName name="S32R23">#REF!</definedName>
    <definedName name="S32R24" localSheetId="2">#REF!</definedName>
    <definedName name="S32R24" localSheetId="16">#REF!</definedName>
    <definedName name="S32R24" localSheetId="17">#REF!</definedName>
    <definedName name="S32R24" localSheetId="19">#REF!</definedName>
    <definedName name="S32R24">#REF!</definedName>
    <definedName name="S32R3" localSheetId="2">#REF!</definedName>
    <definedName name="S32R3" localSheetId="16">#REF!</definedName>
    <definedName name="S32R3" localSheetId="17">#REF!</definedName>
    <definedName name="S32R3" localSheetId="19">#REF!</definedName>
    <definedName name="S32R3">#REF!</definedName>
    <definedName name="S32R4" localSheetId="2">#REF!</definedName>
    <definedName name="S32R4" localSheetId="16">#REF!</definedName>
    <definedName name="S32R4" localSheetId="17">#REF!</definedName>
    <definedName name="S32R4" localSheetId="19">#REF!</definedName>
    <definedName name="S32R4">#REF!</definedName>
    <definedName name="S32R5" localSheetId="2">#REF!</definedName>
    <definedName name="S32R5" localSheetId="16">#REF!</definedName>
    <definedName name="S32R5" localSheetId="17">#REF!</definedName>
    <definedName name="S32R5" localSheetId="19">#REF!</definedName>
    <definedName name="S32R5">#REF!</definedName>
    <definedName name="S32R6" localSheetId="2">#REF!</definedName>
    <definedName name="S32R6" localSheetId="16">#REF!</definedName>
    <definedName name="S32R6" localSheetId="17">#REF!</definedName>
    <definedName name="S32R6" localSheetId="19">#REF!</definedName>
    <definedName name="S32R6">#REF!</definedName>
    <definedName name="S32R7" localSheetId="2">#REF!</definedName>
    <definedName name="S32R7" localSheetId="16">#REF!</definedName>
    <definedName name="S32R7" localSheetId="17">#REF!</definedName>
    <definedName name="S32R7" localSheetId="19">#REF!</definedName>
    <definedName name="S32R7">#REF!</definedName>
    <definedName name="S32R8" localSheetId="2">#REF!</definedName>
    <definedName name="S32R8" localSheetId="16">#REF!</definedName>
    <definedName name="S32R8" localSheetId="17">#REF!</definedName>
    <definedName name="S32R8" localSheetId="19">#REF!</definedName>
    <definedName name="S32R8">#REF!</definedName>
    <definedName name="S32R9" localSheetId="2">#REF!</definedName>
    <definedName name="S32R9" localSheetId="16">#REF!</definedName>
    <definedName name="S32R9" localSheetId="17">#REF!</definedName>
    <definedName name="S32R9" localSheetId="19">#REF!</definedName>
    <definedName name="S32R9">#REF!</definedName>
    <definedName name="S33P1" localSheetId="2">#REF!</definedName>
    <definedName name="S33P1" localSheetId="16">#REF!</definedName>
    <definedName name="S33P1" localSheetId="17">#REF!</definedName>
    <definedName name="S33P1" localSheetId="19">#REF!</definedName>
    <definedName name="S33P1">#REF!</definedName>
    <definedName name="S33P10" localSheetId="2">#REF!</definedName>
    <definedName name="S33P10" localSheetId="16">#REF!</definedName>
    <definedName name="S33P10" localSheetId="17">#REF!</definedName>
    <definedName name="S33P10" localSheetId="19">#REF!</definedName>
    <definedName name="S33P10">#REF!</definedName>
    <definedName name="S33P11" localSheetId="2">#REF!</definedName>
    <definedName name="S33P11" localSheetId="16">#REF!</definedName>
    <definedName name="S33P11" localSheetId="17">#REF!</definedName>
    <definedName name="S33P11" localSheetId="19">#REF!</definedName>
    <definedName name="S33P11">#REF!</definedName>
    <definedName name="S33P12" localSheetId="2">#REF!</definedName>
    <definedName name="S33P12" localSheetId="16">#REF!</definedName>
    <definedName name="S33P12" localSheetId="17">#REF!</definedName>
    <definedName name="S33P12" localSheetId="19">#REF!</definedName>
    <definedName name="S33P12">#REF!</definedName>
    <definedName name="S33P13" localSheetId="2">#REF!</definedName>
    <definedName name="S33P13" localSheetId="16">#REF!</definedName>
    <definedName name="S33P13" localSheetId="17">#REF!</definedName>
    <definedName name="S33P13" localSheetId="19">#REF!</definedName>
    <definedName name="S33P13">#REF!</definedName>
    <definedName name="S33P14" localSheetId="2">#REF!</definedName>
    <definedName name="S33P14" localSheetId="16">#REF!</definedName>
    <definedName name="S33P14" localSheetId="17">#REF!</definedName>
    <definedName name="S33P14" localSheetId="19">#REF!</definedName>
    <definedName name="S33P14">#REF!</definedName>
    <definedName name="S33P15" localSheetId="2">#REF!</definedName>
    <definedName name="S33P15" localSheetId="16">#REF!</definedName>
    <definedName name="S33P15" localSheetId="17">#REF!</definedName>
    <definedName name="S33P15" localSheetId="19">#REF!</definedName>
    <definedName name="S33P15">#REF!</definedName>
    <definedName name="S33P16" localSheetId="2">#REF!</definedName>
    <definedName name="S33P16" localSheetId="16">#REF!</definedName>
    <definedName name="S33P16" localSheetId="17">#REF!</definedName>
    <definedName name="S33P16" localSheetId="19">#REF!</definedName>
    <definedName name="S33P16">#REF!</definedName>
    <definedName name="S33P17" localSheetId="2">#REF!</definedName>
    <definedName name="S33P17" localSheetId="16">#REF!</definedName>
    <definedName name="S33P17" localSheetId="17">#REF!</definedName>
    <definedName name="S33P17" localSheetId="19">#REF!</definedName>
    <definedName name="S33P17">#REF!</definedName>
    <definedName name="S33P18" localSheetId="2">#REF!</definedName>
    <definedName name="S33P18" localSheetId="16">#REF!</definedName>
    <definedName name="S33P18" localSheetId="17">#REF!</definedName>
    <definedName name="S33P18" localSheetId="19">#REF!</definedName>
    <definedName name="S33P18">#REF!</definedName>
    <definedName name="S33P19" localSheetId="2">#REF!</definedName>
    <definedName name="S33P19" localSheetId="16">#REF!</definedName>
    <definedName name="S33P19" localSheetId="17">#REF!</definedName>
    <definedName name="S33P19" localSheetId="19">#REF!</definedName>
    <definedName name="S33P19">#REF!</definedName>
    <definedName name="S33P2" localSheetId="2">#REF!</definedName>
    <definedName name="S33P2" localSheetId="16">#REF!</definedName>
    <definedName name="S33P2" localSheetId="17">#REF!</definedName>
    <definedName name="S33P2" localSheetId="19">#REF!</definedName>
    <definedName name="S33P2">#REF!</definedName>
    <definedName name="S33P20" localSheetId="2">#REF!</definedName>
    <definedName name="S33P20" localSheetId="16">#REF!</definedName>
    <definedName name="S33P20" localSheetId="17">#REF!</definedName>
    <definedName name="S33P20" localSheetId="19">#REF!</definedName>
    <definedName name="S33P20">#REF!</definedName>
    <definedName name="S33P21" localSheetId="2">#REF!</definedName>
    <definedName name="S33P21" localSheetId="16">#REF!</definedName>
    <definedName name="S33P21" localSheetId="17">#REF!</definedName>
    <definedName name="S33P21" localSheetId="19">#REF!</definedName>
    <definedName name="S33P21">#REF!</definedName>
    <definedName name="S33P22" localSheetId="2">#REF!</definedName>
    <definedName name="S33P22" localSheetId="16">#REF!</definedName>
    <definedName name="S33P22" localSheetId="17">#REF!</definedName>
    <definedName name="S33P22" localSheetId="19">#REF!</definedName>
    <definedName name="S33P22">#REF!</definedName>
    <definedName name="S33P23" localSheetId="2">#REF!</definedName>
    <definedName name="S33P23" localSheetId="16">#REF!</definedName>
    <definedName name="S33P23" localSheetId="17">#REF!</definedName>
    <definedName name="S33P23" localSheetId="19">#REF!</definedName>
    <definedName name="S33P23">#REF!</definedName>
    <definedName name="S33P24" localSheetId="2">#REF!</definedName>
    <definedName name="S33P24" localSheetId="16">#REF!</definedName>
    <definedName name="S33P24" localSheetId="17">#REF!</definedName>
    <definedName name="S33P24" localSheetId="19">#REF!</definedName>
    <definedName name="S33P24">#REF!</definedName>
    <definedName name="S33P3" localSheetId="2">#REF!</definedName>
    <definedName name="S33P3" localSheetId="16">#REF!</definedName>
    <definedName name="S33P3" localSheetId="17">#REF!</definedName>
    <definedName name="S33P3" localSheetId="19">#REF!</definedName>
    <definedName name="S33P3">#REF!</definedName>
    <definedName name="S33P4" localSheetId="2">#REF!</definedName>
    <definedName name="S33P4" localSheetId="16">#REF!</definedName>
    <definedName name="S33P4" localSheetId="17">#REF!</definedName>
    <definedName name="S33P4" localSheetId="19">#REF!</definedName>
    <definedName name="S33P4">#REF!</definedName>
    <definedName name="S33P5" localSheetId="2">#REF!</definedName>
    <definedName name="S33P5" localSheetId="16">#REF!</definedName>
    <definedName name="S33P5" localSheetId="17">#REF!</definedName>
    <definedName name="S33P5" localSheetId="19">#REF!</definedName>
    <definedName name="S33P5">#REF!</definedName>
    <definedName name="S33P6" localSheetId="2">#REF!</definedName>
    <definedName name="S33P6" localSheetId="16">#REF!</definedName>
    <definedName name="S33P6" localSheetId="17">#REF!</definedName>
    <definedName name="S33P6" localSheetId="19">#REF!</definedName>
    <definedName name="S33P6">#REF!</definedName>
    <definedName name="S33P7" localSheetId="2">#REF!</definedName>
    <definedName name="S33P7" localSheetId="16">#REF!</definedName>
    <definedName name="S33P7" localSheetId="17">#REF!</definedName>
    <definedName name="S33P7" localSheetId="19">#REF!</definedName>
    <definedName name="S33P7">#REF!</definedName>
    <definedName name="S33P8" localSheetId="2">#REF!</definedName>
    <definedName name="S33P8" localSheetId="16">#REF!</definedName>
    <definedName name="S33P8" localSheetId="17">#REF!</definedName>
    <definedName name="S33P8" localSheetId="19">#REF!</definedName>
    <definedName name="S33P8">#REF!</definedName>
    <definedName name="S33P9" localSheetId="2">#REF!</definedName>
    <definedName name="S33P9" localSheetId="16">#REF!</definedName>
    <definedName name="S33P9" localSheetId="17">#REF!</definedName>
    <definedName name="S33P9" localSheetId="19">#REF!</definedName>
    <definedName name="S33P9">#REF!</definedName>
    <definedName name="S33R1" localSheetId="2">#REF!</definedName>
    <definedName name="S33R1" localSheetId="16">#REF!</definedName>
    <definedName name="S33R1" localSheetId="17">#REF!</definedName>
    <definedName name="S33R1" localSheetId="19">#REF!</definedName>
    <definedName name="S33R1">#REF!</definedName>
    <definedName name="S33R10" localSheetId="2">#REF!</definedName>
    <definedName name="S33R10" localSheetId="16">#REF!</definedName>
    <definedName name="S33R10" localSheetId="17">#REF!</definedName>
    <definedName name="S33R10" localSheetId="19">#REF!</definedName>
    <definedName name="S33R10">#REF!</definedName>
    <definedName name="S33R11" localSheetId="2">#REF!</definedName>
    <definedName name="S33R11" localSheetId="16">#REF!</definedName>
    <definedName name="S33R11" localSheetId="17">#REF!</definedName>
    <definedName name="S33R11" localSheetId="19">#REF!</definedName>
    <definedName name="S33R11">#REF!</definedName>
    <definedName name="S33R12" localSheetId="2">#REF!</definedName>
    <definedName name="S33R12" localSheetId="16">#REF!</definedName>
    <definedName name="S33R12" localSheetId="17">#REF!</definedName>
    <definedName name="S33R12" localSheetId="19">#REF!</definedName>
    <definedName name="S33R12">#REF!</definedName>
    <definedName name="S33R13" localSheetId="2">#REF!</definedName>
    <definedName name="S33R13" localSheetId="16">#REF!</definedName>
    <definedName name="S33R13" localSheetId="17">#REF!</definedName>
    <definedName name="S33R13" localSheetId="19">#REF!</definedName>
    <definedName name="S33R13">#REF!</definedName>
    <definedName name="S33R14" localSheetId="2">#REF!</definedName>
    <definedName name="S33R14" localSheetId="16">#REF!</definedName>
    <definedName name="S33R14" localSheetId="17">#REF!</definedName>
    <definedName name="S33R14" localSheetId="19">#REF!</definedName>
    <definedName name="S33R14">#REF!</definedName>
    <definedName name="S33R15" localSheetId="2">#REF!</definedName>
    <definedName name="S33R15" localSheetId="16">#REF!</definedName>
    <definedName name="S33R15" localSheetId="17">#REF!</definedName>
    <definedName name="S33R15" localSheetId="19">#REF!</definedName>
    <definedName name="S33R15">#REF!</definedName>
    <definedName name="S33R16" localSheetId="2">#REF!</definedName>
    <definedName name="S33R16" localSheetId="16">#REF!</definedName>
    <definedName name="S33R16" localSheetId="17">#REF!</definedName>
    <definedName name="S33R16" localSheetId="19">#REF!</definedName>
    <definedName name="S33R16">#REF!</definedName>
    <definedName name="S33R17" localSheetId="2">#REF!</definedName>
    <definedName name="S33R17" localSheetId="16">#REF!</definedName>
    <definedName name="S33R17" localSheetId="17">#REF!</definedName>
    <definedName name="S33R17" localSheetId="19">#REF!</definedName>
    <definedName name="S33R17">#REF!</definedName>
    <definedName name="S33R18" localSheetId="2">#REF!</definedName>
    <definedName name="S33R18" localSheetId="16">#REF!</definedName>
    <definedName name="S33R18" localSheetId="17">#REF!</definedName>
    <definedName name="S33R18" localSheetId="19">#REF!</definedName>
    <definedName name="S33R18">#REF!</definedName>
    <definedName name="S33R19" localSheetId="2">#REF!</definedName>
    <definedName name="S33R19" localSheetId="16">#REF!</definedName>
    <definedName name="S33R19" localSheetId="17">#REF!</definedName>
    <definedName name="S33R19" localSheetId="19">#REF!</definedName>
    <definedName name="S33R19">#REF!</definedName>
    <definedName name="S33R2" localSheetId="2">#REF!</definedName>
    <definedName name="S33R2" localSheetId="16">#REF!</definedName>
    <definedName name="S33R2" localSheetId="17">#REF!</definedName>
    <definedName name="S33R2" localSheetId="19">#REF!</definedName>
    <definedName name="S33R2">#REF!</definedName>
    <definedName name="S33R20" localSheetId="2">#REF!</definedName>
    <definedName name="S33R20" localSheetId="16">#REF!</definedName>
    <definedName name="S33R20" localSheetId="17">#REF!</definedName>
    <definedName name="S33R20" localSheetId="19">#REF!</definedName>
    <definedName name="S33R20">#REF!</definedName>
    <definedName name="S33R21" localSheetId="2">#REF!</definedName>
    <definedName name="S33R21" localSheetId="16">#REF!</definedName>
    <definedName name="S33R21" localSheetId="17">#REF!</definedName>
    <definedName name="S33R21" localSheetId="19">#REF!</definedName>
    <definedName name="S33R21">#REF!</definedName>
    <definedName name="S33R22" localSheetId="2">#REF!</definedName>
    <definedName name="S33R22" localSheetId="16">#REF!</definedName>
    <definedName name="S33R22" localSheetId="17">#REF!</definedName>
    <definedName name="S33R22" localSheetId="19">#REF!</definedName>
    <definedName name="S33R22">#REF!</definedName>
    <definedName name="S33R23" localSheetId="2">#REF!</definedName>
    <definedName name="S33R23" localSheetId="16">#REF!</definedName>
    <definedName name="S33R23" localSheetId="17">#REF!</definedName>
    <definedName name="S33R23" localSheetId="19">#REF!</definedName>
    <definedName name="S33R23">#REF!</definedName>
    <definedName name="S33R24" localSheetId="2">#REF!</definedName>
    <definedName name="S33R24" localSheetId="16">#REF!</definedName>
    <definedName name="S33R24" localSheetId="17">#REF!</definedName>
    <definedName name="S33R24" localSheetId="19">#REF!</definedName>
    <definedName name="S33R24">#REF!</definedName>
    <definedName name="S33R3" localSheetId="2">#REF!</definedName>
    <definedName name="S33R3" localSheetId="16">#REF!</definedName>
    <definedName name="S33R3" localSheetId="17">#REF!</definedName>
    <definedName name="S33R3" localSheetId="19">#REF!</definedName>
    <definedName name="S33R3">#REF!</definedName>
    <definedName name="S33R4" localSheetId="2">#REF!</definedName>
    <definedName name="S33R4" localSheetId="16">#REF!</definedName>
    <definedName name="S33R4" localSheetId="17">#REF!</definedName>
    <definedName name="S33R4" localSheetId="19">#REF!</definedName>
    <definedName name="S33R4">#REF!</definedName>
    <definedName name="S33R5" localSheetId="2">#REF!</definedName>
    <definedName name="S33R5" localSheetId="16">#REF!</definedName>
    <definedName name="S33R5" localSheetId="17">#REF!</definedName>
    <definedName name="S33R5" localSheetId="19">#REF!</definedName>
    <definedName name="S33R5">#REF!</definedName>
    <definedName name="S33R6" localSheetId="2">#REF!</definedName>
    <definedName name="S33R6" localSheetId="16">#REF!</definedName>
    <definedName name="S33R6" localSheetId="17">#REF!</definedName>
    <definedName name="S33R6" localSheetId="19">#REF!</definedName>
    <definedName name="S33R6">#REF!</definedName>
    <definedName name="S33R7" localSheetId="2">#REF!</definedName>
    <definedName name="S33R7" localSheetId="16">#REF!</definedName>
    <definedName name="S33R7" localSheetId="17">#REF!</definedName>
    <definedName name="S33R7" localSheetId="19">#REF!</definedName>
    <definedName name="S33R7">#REF!</definedName>
    <definedName name="S33R8" localSheetId="2">#REF!</definedName>
    <definedName name="S33R8" localSheetId="16">#REF!</definedName>
    <definedName name="S33R8" localSheetId="17">#REF!</definedName>
    <definedName name="S33R8" localSheetId="19">#REF!</definedName>
    <definedName name="S33R8">#REF!</definedName>
    <definedName name="S33R9" localSheetId="2">#REF!</definedName>
    <definedName name="S33R9" localSheetId="16">#REF!</definedName>
    <definedName name="S33R9" localSheetId="17">#REF!</definedName>
    <definedName name="S33R9" localSheetId="19">#REF!</definedName>
    <definedName name="S33R9">#REF!</definedName>
    <definedName name="S34P1" localSheetId="2">#REF!</definedName>
    <definedName name="S34P1" localSheetId="16">#REF!</definedName>
    <definedName name="S34P1" localSheetId="17">#REF!</definedName>
    <definedName name="S34P1" localSheetId="19">#REF!</definedName>
    <definedName name="S34P1">#REF!</definedName>
    <definedName name="S34P10" localSheetId="2">#REF!</definedName>
    <definedName name="S34P10" localSheetId="16">#REF!</definedName>
    <definedName name="S34P10" localSheetId="17">#REF!</definedName>
    <definedName name="S34P10" localSheetId="19">#REF!</definedName>
    <definedName name="S34P10">#REF!</definedName>
    <definedName name="S34P11" localSheetId="2">#REF!</definedName>
    <definedName name="S34P11" localSheetId="16">#REF!</definedName>
    <definedName name="S34P11" localSheetId="17">#REF!</definedName>
    <definedName name="S34P11" localSheetId="19">#REF!</definedName>
    <definedName name="S34P11">#REF!</definedName>
    <definedName name="S34P12" localSheetId="2">#REF!</definedName>
    <definedName name="S34P12" localSheetId="16">#REF!</definedName>
    <definedName name="S34P12" localSheetId="17">#REF!</definedName>
    <definedName name="S34P12" localSheetId="19">#REF!</definedName>
    <definedName name="S34P12">#REF!</definedName>
    <definedName name="S34P13" localSheetId="2">#REF!</definedName>
    <definedName name="S34P13" localSheetId="16">#REF!</definedName>
    <definedName name="S34P13" localSheetId="17">#REF!</definedName>
    <definedName name="S34P13" localSheetId="19">#REF!</definedName>
    <definedName name="S34P13">#REF!</definedName>
    <definedName name="S34P14" localSheetId="2">#REF!</definedName>
    <definedName name="S34P14" localSheetId="16">#REF!</definedName>
    <definedName name="S34P14" localSheetId="17">#REF!</definedName>
    <definedName name="S34P14" localSheetId="19">#REF!</definedName>
    <definedName name="S34P14">#REF!</definedName>
    <definedName name="S34P15" localSheetId="2">#REF!</definedName>
    <definedName name="S34P15" localSheetId="16">#REF!</definedName>
    <definedName name="S34P15" localSheetId="17">#REF!</definedName>
    <definedName name="S34P15" localSheetId="19">#REF!</definedName>
    <definedName name="S34P15">#REF!</definedName>
    <definedName name="S34P16" localSheetId="2">#REF!</definedName>
    <definedName name="S34P16" localSheetId="16">#REF!</definedName>
    <definedName name="S34P16" localSheetId="17">#REF!</definedName>
    <definedName name="S34P16" localSheetId="19">#REF!</definedName>
    <definedName name="S34P16">#REF!</definedName>
    <definedName name="S34P17" localSheetId="2">#REF!</definedName>
    <definedName name="S34P17" localSheetId="16">#REF!</definedName>
    <definedName name="S34P17" localSheetId="17">#REF!</definedName>
    <definedName name="S34P17" localSheetId="19">#REF!</definedName>
    <definedName name="S34P17">#REF!</definedName>
    <definedName name="S34P18" localSheetId="2">#REF!</definedName>
    <definedName name="S34P18" localSheetId="16">#REF!</definedName>
    <definedName name="S34P18" localSheetId="17">#REF!</definedName>
    <definedName name="S34P18" localSheetId="19">#REF!</definedName>
    <definedName name="S34P18">#REF!</definedName>
    <definedName name="S34P19" localSheetId="2">#REF!</definedName>
    <definedName name="S34P19" localSheetId="16">#REF!</definedName>
    <definedName name="S34P19" localSheetId="17">#REF!</definedName>
    <definedName name="S34P19" localSheetId="19">#REF!</definedName>
    <definedName name="S34P19">#REF!</definedName>
    <definedName name="S34P2" localSheetId="2">#REF!</definedName>
    <definedName name="S34P2" localSheetId="16">#REF!</definedName>
    <definedName name="S34P2" localSheetId="17">#REF!</definedName>
    <definedName name="S34P2" localSheetId="19">#REF!</definedName>
    <definedName name="S34P2">#REF!</definedName>
    <definedName name="S34P20" localSheetId="2">#REF!</definedName>
    <definedName name="S34P20" localSheetId="16">#REF!</definedName>
    <definedName name="S34P20" localSheetId="17">#REF!</definedName>
    <definedName name="S34P20" localSheetId="19">#REF!</definedName>
    <definedName name="S34P20">#REF!</definedName>
    <definedName name="S34P21" localSheetId="2">#REF!</definedName>
    <definedName name="S34P21" localSheetId="16">#REF!</definedName>
    <definedName name="S34P21" localSheetId="17">#REF!</definedName>
    <definedName name="S34P21" localSheetId="19">#REF!</definedName>
    <definedName name="S34P21">#REF!</definedName>
    <definedName name="S34P22" localSheetId="2">#REF!</definedName>
    <definedName name="S34P22" localSheetId="16">#REF!</definedName>
    <definedName name="S34P22" localSheetId="17">#REF!</definedName>
    <definedName name="S34P22" localSheetId="19">#REF!</definedName>
    <definedName name="S34P22">#REF!</definedName>
    <definedName name="S34P23" localSheetId="2">#REF!</definedName>
    <definedName name="S34P23" localSheetId="16">#REF!</definedName>
    <definedName name="S34P23" localSheetId="17">#REF!</definedName>
    <definedName name="S34P23" localSheetId="19">#REF!</definedName>
    <definedName name="S34P23">#REF!</definedName>
    <definedName name="S34P24" localSheetId="2">#REF!</definedName>
    <definedName name="S34P24" localSheetId="16">#REF!</definedName>
    <definedName name="S34P24" localSheetId="17">#REF!</definedName>
    <definedName name="S34P24" localSheetId="19">#REF!</definedName>
    <definedName name="S34P24">#REF!</definedName>
    <definedName name="S34P3" localSheetId="2">#REF!</definedName>
    <definedName name="S34P3" localSheetId="16">#REF!</definedName>
    <definedName name="S34P3" localSheetId="17">#REF!</definedName>
    <definedName name="S34P3" localSheetId="19">#REF!</definedName>
    <definedName name="S34P3">#REF!</definedName>
    <definedName name="S34P4" localSheetId="2">#REF!</definedName>
    <definedName name="S34P4" localSheetId="16">#REF!</definedName>
    <definedName name="S34P4" localSheetId="17">#REF!</definedName>
    <definedName name="S34P4" localSheetId="19">#REF!</definedName>
    <definedName name="S34P4">#REF!</definedName>
    <definedName name="S34P5" localSheetId="2">#REF!</definedName>
    <definedName name="S34P5" localSheetId="16">#REF!</definedName>
    <definedName name="S34P5" localSheetId="17">#REF!</definedName>
    <definedName name="S34P5" localSheetId="19">#REF!</definedName>
    <definedName name="S34P5">#REF!</definedName>
    <definedName name="S34P6" localSheetId="2">#REF!</definedName>
    <definedName name="S34P6" localSheetId="16">#REF!</definedName>
    <definedName name="S34P6" localSheetId="17">#REF!</definedName>
    <definedName name="S34P6" localSheetId="19">#REF!</definedName>
    <definedName name="S34P6">#REF!</definedName>
    <definedName name="S34P7" localSheetId="2">#REF!</definedName>
    <definedName name="S34P7" localSheetId="16">#REF!</definedName>
    <definedName name="S34P7" localSheetId="17">#REF!</definedName>
    <definedName name="S34P7" localSheetId="19">#REF!</definedName>
    <definedName name="S34P7">#REF!</definedName>
    <definedName name="S34P8" localSheetId="2">#REF!</definedName>
    <definedName name="S34P8" localSheetId="16">#REF!</definedName>
    <definedName name="S34P8" localSheetId="17">#REF!</definedName>
    <definedName name="S34P8" localSheetId="19">#REF!</definedName>
    <definedName name="S34P8">#REF!</definedName>
    <definedName name="S34P9" localSheetId="2">#REF!</definedName>
    <definedName name="S34P9" localSheetId="16">#REF!</definedName>
    <definedName name="S34P9" localSheetId="17">#REF!</definedName>
    <definedName name="S34P9" localSheetId="19">#REF!</definedName>
    <definedName name="S34P9">#REF!</definedName>
    <definedName name="S34R1" localSheetId="2">#REF!</definedName>
    <definedName name="S34R1" localSheetId="16">#REF!</definedName>
    <definedName name="S34R1" localSheetId="17">#REF!</definedName>
    <definedName name="S34R1" localSheetId="19">#REF!</definedName>
    <definedName name="S34R1">#REF!</definedName>
    <definedName name="S34R10" localSheetId="2">#REF!</definedName>
    <definedName name="S34R10" localSheetId="16">#REF!</definedName>
    <definedName name="S34R10" localSheetId="17">#REF!</definedName>
    <definedName name="S34R10" localSheetId="19">#REF!</definedName>
    <definedName name="S34R10">#REF!</definedName>
    <definedName name="S34R11" localSheetId="2">#REF!</definedName>
    <definedName name="S34R11" localSheetId="16">#REF!</definedName>
    <definedName name="S34R11" localSheetId="17">#REF!</definedName>
    <definedName name="S34R11" localSheetId="19">#REF!</definedName>
    <definedName name="S34R11">#REF!</definedName>
    <definedName name="S34R12" localSheetId="2">#REF!</definedName>
    <definedName name="S34R12" localSheetId="16">#REF!</definedName>
    <definedName name="S34R12" localSheetId="17">#REF!</definedName>
    <definedName name="S34R12" localSheetId="19">#REF!</definedName>
    <definedName name="S34R12">#REF!</definedName>
    <definedName name="S34R13" localSheetId="2">#REF!</definedName>
    <definedName name="S34R13" localSheetId="16">#REF!</definedName>
    <definedName name="S34R13" localSheetId="17">#REF!</definedName>
    <definedName name="S34R13" localSheetId="19">#REF!</definedName>
    <definedName name="S34R13">#REF!</definedName>
    <definedName name="S34R14" localSheetId="2">#REF!</definedName>
    <definedName name="S34R14" localSheetId="16">#REF!</definedName>
    <definedName name="S34R14" localSheetId="17">#REF!</definedName>
    <definedName name="S34R14" localSheetId="19">#REF!</definedName>
    <definedName name="S34R14">#REF!</definedName>
    <definedName name="S34R15" localSheetId="2">#REF!</definedName>
    <definedName name="S34R15" localSheetId="16">#REF!</definedName>
    <definedName name="S34R15" localSheetId="17">#REF!</definedName>
    <definedName name="S34R15" localSheetId="19">#REF!</definedName>
    <definedName name="S34R15">#REF!</definedName>
    <definedName name="S34R16" localSheetId="2">#REF!</definedName>
    <definedName name="S34R16" localSheetId="16">#REF!</definedName>
    <definedName name="S34R16" localSheetId="17">#REF!</definedName>
    <definedName name="S34R16" localSheetId="19">#REF!</definedName>
    <definedName name="S34R16">#REF!</definedName>
    <definedName name="S34R17" localSheetId="2">#REF!</definedName>
    <definedName name="S34R17" localSheetId="16">#REF!</definedName>
    <definedName name="S34R17" localSheetId="17">#REF!</definedName>
    <definedName name="S34R17" localSheetId="19">#REF!</definedName>
    <definedName name="S34R17">#REF!</definedName>
    <definedName name="S34R18" localSheetId="2">#REF!</definedName>
    <definedName name="S34R18" localSheetId="16">#REF!</definedName>
    <definedName name="S34R18" localSheetId="17">#REF!</definedName>
    <definedName name="S34R18" localSheetId="19">#REF!</definedName>
    <definedName name="S34R18">#REF!</definedName>
    <definedName name="S34R19" localSheetId="2">#REF!</definedName>
    <definedName name="S34R19" localSheetId="16">#REF!</definedName>
    <definedName name="S34R19" localSheetId="17">#REF!</definedName>
    <definedName name="S34R19" localSheetId="19">#REF!</definedName>
    <definedName name="S34R19">#REF!</definedName>
    <definedName name="S34R2" localSheetId="2">#REF!</definedName>
    <definedName name="S34R2" localSheetId="16">#REF!</definedName>
    <definedName name="S34R2" localSheetId="17">#REF!</definedName>
    <definedName name="S34R2" localSheetId="19">#REF!</definedName>
    <definedName name="S34R2">#REF!</definedName>
    <definedName name="S34R20" localSheetId="2">#REF!</definedName>
    <definedName name="S34R20" localSheetId="16">#REF!</definedName>
    <definedName name="S34R20" localSheetId="17">#REF!</definedName>
    <definedName name="S34R20" localSheetId="19">#REF!</definedName>
    <definedName name="S34R20">#REF!</definedName>
    <definedName name="S34R21" localSheetId="2">#REF!</definedName>
    <definedName name="S34R21" localSheetId="16">#REF!</definedName>
    <definedName name="S34R21" localSheetId="17">#REF!</definedName>
    <definedName name="S34R21" localSheetId="19">#REF!</definedName>
    <definedName name="S34R21">#REF!</definedName>
    <definedName name="S34R22" localSheetId="2">#REF!</definedName>
    <definedName name="S34R22" localSheetId="16">#REF!</definedName>
    <definedName name="S34R22" localSheetId="17">#REF!</definedName>
    <definedName name="S34R22" localSheetId="19">#REF!</definedName>
    <definedName name="S34R22">#REF!</definedName>
    <definedName name="S34R23" localSheetId="2">#REF!</definedName>
    <definedName name="S34R23" localSheetId="16">#REF!</definedName>
    <definedName name="S34R23" localSheetId="17">#REF!</definedName>
    <definedName name="S34R23" localSheetId="19">#REF!</definedName>
    <definedName name="S34R23">#REF!</definedName>
    <definedName name="S34R24" localSheetId="2">#REF!</definedName>
    <definedName name="S34R24" localSheetId="16">#REF!</definedName>
    <definedName name="S34R24" localSheetId="17">#REF!</definedName>
    <definedName name="S34R24" localSheetId="19">#REF!</definedName>
    <definedName name="S34R24">#REF!</definedName>
    <definedName name="S34R3" localSheetId="2">#REF!</definedName>
    <definedName name="S34R3" localSheetId="16">#REF!</definedName>
    <definedName name="S34R3" localSheetId="17">#REF!</definedName>
    <definedName name="S34R3" localSheetId="19">#REF!</definedName>
    <definedName name="S34R3">#REF!</definedName>
    <definedName name="S34R4" localSheetId="2">#REF!</definedName>
    <definedName name="S34R4" localSheetId="16">#REF!</definedName>
    <definedName name="S34R4" localSheetId="17">#REF!</definedName>
    <definedName name="S34R4" localSheetId="19">#REF!</definedName>
    <definedName name="S34R4">#REF!</definedName>
    <definedName name="S34R5" localSheetId="2">#REF!</definedName>
    <definedName name="S34R5" localSheetId="16">#REF!</definedName>
    <definedName name="S34R5" localSheetId="17">#REF!</definedName>
    <definedName name="S34R5" localSheetId="19">#REF!</definedName>
    <definedName name="S34R5">#REF!</definedName>
    <definedName name="S34R6" localSheetId="2">#REF!</definedName>
    <definedName name="S34R6" localSheetId="16">#REF!</definedName>
    <definedName name="S34R6" localSheetId="17">#REF!</definedName>
    <definedName name="S34R6" localSheetId="19">#REF!</definedName>
    <definedName name="S34R6">#REF!</definedName>
    <definedName name="S34R7" localSheetId="2">#REF!</definedName>
    <definedName name="S34R7" localSheetId="16">#REF!</definedName>
    <definedName name="S34R7" localSheetId="17">#REF!</definedName>
    <definedName name="S34R7" localSheetId="19">#REF!</definedName>
    <definedName name="S34R7">#REF!</definedName>
    <definedName name="S34R8" localSheetId="2">#REF!</definedName>
    <definedName name="S34R8" localSheetId="16">#REF!</definedName>
    <definedName name="S34R8" localSheetId="17">#REF!</definedName>
    <definedName name="S34R8" localSheetId="19">#REF!</definedName>
    <definedName name="S34R8">#REF!</definedName>
    <definedName name="S34R9" localSheetId="2">#REF!</definedName>
    <definedName name="S34R9" localSheetId="16">#REF!</definedName>
    <definedName name="S34R9" localSheetId="17">#REF!</definedName>
    <definedName name="S34R9" localSheetId="19">#REF!</definedName>
    <definedName name="S34R9">#REF!</definedName>
    <definedName name="S35P1" localSheetId="2">#REF!</definedName>
    <definedName name="S35P1" localSheetId="16">#REF!</definedName>
    <definedName name="S35P1" localSheetId="17">#REF!</definedName>
    <definedName name="S35P1" localSheetId="19">#REF!</definedName>
    <definedName name="S35P1">#REF!</definedName>
    <definedName name="S35P10" localSheetId="2">#REF!</definedName>
    <definedName name="S35P10" localSheetId="16">#REF!</definedName>
    <definedName name="S35P10" localSheetId="17">#REF!</definedName>
    <definedName name="S35P10" localSheetId="19">#REF!</definedName>
    <definedName name="S35P10">#REF!</definedName>
    <definedName name="S35P11" localSheetId="2">#REF!</definedName>
    <definedName name="S35P11" localSheetId="16">#REF!</definedName>
    <definedName name="S35P11" localSheetId="17">#REF!</definedName>
    <definedName name="S35P11" localSheetId="19">#REF!</definedName>
    <definedName name="S35P11">#REF!</definedName>
    <definedName name="S35P12" localSheetId="2">#REF!</definedName>
    <definedName name="S35P12" localSheetId="16">#REF!</definedName>
    <definedName name="S35P12" localSheetId="17">#REF!</definedName>
    <definedName name="S35P12" localSheetId="19">#REF!</definedName>
    <definedName name="S35P12">#REF!</definedName>
    <definedName name="S35P13" localSheetId="2">#REF!</definedName>
    <definedName name="S35P13" localSheetId="16">#REF!</definedName>
    <definedName name="S35P13" localSheetId="17">#REF!</definedName>
    <definedName name="S35P13" localSheetId="19">#REF!</definedName>
    <definedName name="S35P13">#REF!</definedName>
    <definedName name="S35P14" localSheetId="2">#REF!</definedName>
    <definedName name="S35P14" localSheetId="16">#REF!</definedName>
    <definedName name="S35P14" localSheetId="17">#REF!</definedName>
    <definedName name="S35P14" localSheetId="19">#REF!</definedName>
    <definedName name="S35P14">#REF!</definedName>
    <definedName name="S35P15" localSheetId="2">#REF!</definedName>
    <definedName name="S35P15" localSheetId="16">#REF!</definedName>
    <definedName name="S35P15" localSheetId="17">#REF!</definedName>
    <definedName name="S35P15" localSheetId="19">#REF!</definedName>
    <definedName name="S35P15">#REF!</definedName>
    <definedName name="S35P16" localSheetId="2">#REF!</definedName>
    <definedName name="S35P16" localSheetId="16">#REF!</definedName>
    <definedName name="S35P16" localSheetId="17">#REF!</definedName>
    <definedName name="S35P16" localSheetId="19">#REF!</definedName>
    <definedName name="S35P16">#REF!</definedName>
    <definedName name="S35P17" localSheetId="2">#REF!</definedName>
    <definedName name="S35P17" localSheetId="16">#REF!</definedName>
    <definedName name="S35P17" localSheetId="17">#REF!</definedName>
    <definedName name="S35P17" localSheetId="19">#REF!</definedName>
    <definedName name="S35P17">#REF!</definedName>
    <definedName name="S35P18" localSheetId="2">#REF!</definedName>
    <definedName name="S35P18" localSheetId="16">#REF!</definedName>
    <definedName name="S35P18" localSheetId="17">#REF!</definedName>
    <definedName name="S35P18" localSheetId="19">#REF!</definedName>
    <definedName name="S35P18">#REF!</definedName>
    <definedName name="S35P19" localSheetId="2">#REF!</definedName>
    <definedName name="S35P19" localSheetId="16">#REF!</definedName>
    <definedName name="S35P19" localSheetId="17">#REF!</definedName>
    <definedName name="S35P19" localSheetId="19">#REF!</definedName>
    <definedName name="S35P19">#REF!</definedName>
    <definedName name="S35P2" localSheetId="2">#REF!</definedName>
    <definedName name="S35P2" localSheetId="16">#REF!</definedName>
    <definedName name="S35P2" localSheetId="17">#REF!</definedName>
    <definedName name="S35P2" localSheetId="19">#REF!</definedName>
    <definedName name="S35P2">#REF!</definedName>
    <definedName name="S35P20" localSheetId="2">#REF!</definedName>
    <definedName name="S35P20" localSheetId="16">#REF!</definedName>
    <definedName name="S35P20" localSheetId="17">#REF!</definedName>
    <definedName name="S35P20" localSheetId="19">#REF!</definedName>
    <definedName name="S35P20">#REF!</definedName>
    <definedName name="S35P21" localSheetId="2">#REF!</definedName>
    <definedName name="S35P21" localSheetId="16">#REF!</definedName>
    <definedName name="S35P21" localSheetId="17">#REF!</definedName>
    <definedName name="S35P21" localSheetId="19">#REF!</definedName>
    <definedName name="S35P21">#REF!</definedName>
    <definedName name="S35P22" localSheetId="2">#REF!</definedName>
    <definedName name="S35P22" localSheetId="16">#REF!</definedName>
    <definedName name="S35P22" localSheetId="17">#REF!</definedName>
    <definedName name="S35P22" localSheetId="19">#REF!</definedName>
    <definedName name="S35P22">#REF!</definedName>
    <definedName name="S35P23" localSheetId="2">#REF!</definedName>
    <definedName name="S35P23" localSheetId="16">#REF!</definedName>
    <definedName name="S35P23" localSheetId="17">#REF!</definedName>
    <definedName name="S35P23" localSheetId="19">#REF!</definedName>
    <definedName name="S35P23">#REF!</definedName>
    <definedName name="S35P24" localSheetId="2">#REF!</definedName>
    <definedName name="S35P24" localSheetId="16">#REF!</definedName>
    <definedName name="S35P24" localSheetId="17">#REF!</definedName>
    <definedName name="S35P24" localSheetId="19">#REF!</definedName>
    <definedName name="S35P24">#REF!</definedName>
    <definedName name="S35P3" localSheetId="2">#REF!</definedName>
    <definedName name="S35P3" localSheetId="16">#REF!</definedName>
    <definedName name="S35P3" localSheetId="17">#REF!</definedName>
    <definedName name="S35P3" localSheetId="19">#REF!</definedName>
    <definedName name="S35P3">#REF!</definedName>
    <definedName name="S35P4" localSheetId="2">#REF!</definedName>
    <definedName name="S35P4" localSheetId="16">#REF!</definedName>
    <definedName name="S35P4" localSheetId="17">#REF!</definedName>
    <definedName name="S35P4" localSheetId="19">#REF!</definedName>
    <definedName name="S35P4">#REF!</definedName>
    <definedName name="S35P5" localSheetId="2">#REF!</definedName>
    <definedName name="S35P5" localSheetId="16">#REF!</definedName>
    <definedName name="S35P5" localSheetId="17">#REF!</definedName>
    <definedName name="S35P5" localSheetId="19">#REF!</definedName>
    <definedName name="S35P5">#REF!</definedName>
    <definedName name="S35P6" localSheetId="2">#REF!</definedName>
    <definedName name="S35P6" localSheetId="16">#REF!</definedName>
    <definedName name="S35P6" localSheetId="17">#REF!</definedName>
    <definedName name="S35P6" localSheetId="19">#REF!</definedName>
    <definedName name="S35P6">#REF!</definedName>
    <definedName name="S35P7" localSheetId="2">#REF!</definedName>
    <definedName name="S35P7" localSheetId="16">#REF!</definedName>
    <definedName name="S35P7" localSheetId="17">#REF!</definedName>
    <definedName name="S35P7" localSheetId="19">#REF!</definedName>
    <definedName name="S35P7">#REF!</definedName>
    <definedName name="S35P8" localSheetId="2">#REF!</definedName>
    <definedName name="S35P8" localSheetId="16">#REF!</definedName>
    <definedName name="S35P8" localSheetId="17">#REF!</definedName>
    <definedName name="S35P8" localSheetId="19">#REF!</definedName>
    <definedName name="S35P8">#REF!</definedName>
    <definedName name="S35P9" localSheetId="2">#REF!</definedName>
    <definedName name="S35P9" localSheetId="16">#REF!</definedName>
    <definedName name="S35P9" localSheetId="17">#REF!</definedName>
    <definedName name="S35P9" localSheetId="19">#REF!</definedName>
    <definedName name="S35P9">#REF!</definedName>
    <definedName name="S35R1" localSheetId="2">#REF!</definedName>
    <definedName name="S35R1" localSheetId="16">#REF!</definedName>
    <definedName name="S35R1" localSheetId="17">#REF!</definedName>
    <definedName name="S35R1" localSheetId="19">#REF!</definedName>
    <definedName name="S35R1">#REF!</definedName>
    <definedName name="S35R10" localSheetId="2">#REF!</definedName>
    <definedName name="S35R10" localSheetId="16">#REF!</definedName>
    <definedName name="S35R10" localSheetId="17">#REF!</definedName>
    <definedName name="S35R10" localSheetId="19">#REF!</definedName>
    <definedName name="S35R10">#REF!</definedName>
    <definedName name="S35R11" localSheetId="2">#REF!</definedName>
    <definedName name="S35R11" localSheetId="16">#REF!</definedName>
    <definedName name="S35R11" localSheetId="17">#REF!</definedName>
    <definedName name="S35R11" localSheetId="19">#REF!</definedName>
    <definedName name="S35R11">#REF!</definedName>
    <definedName name="S35R12" localSheetId="2">#REF!</definedName>
    <definedName name="S35R12" localSheetId="16">#REF!</definedName>
    <definedName name="S35R12" localSheetId="17">#REF!</definedName>
    <definedName name="S35R12" localSheetId="19">#REF!</definedName>
    <definedName name="S35R12">#REF!</definedName>
    <definedName name="S35R13" localSheetId="2">#REF!</definedName>
    <definedName name="S35R13" localSheetId="16">#REF!</definedName>
    <definedName name="S35R13" localSheetId="17">#REF!</definedName>
    <definedName name="S35R13" localSheetId="19">#REF!</definedName>
    <definedName name="S35R13">#REF!</definedName>
    <definedName name="S35R14" localSheetId="2">#REF!</definedName>
    <definedName name="S35R14" localSheetId="16">#REF!</definedName>
    <definedName name="S35R14" localSheetId="17">#REF!</definedName>
    <definedName name="S35R14" localSheetId="19">#REF!</definedName>
    <definedName name="S35R14">#REF!</definedName>
    <definedName name="S35R15" localSheetId="2">#REF!</definedName>
    <definedName name="S35R15" localSheetId="16">#REF!</definedName>
    <definedName name="S35R15" localSheetId="17">#REF!</definedName>
    <definedName name="S35R15" localSheetId="19">#REF!</definedName>
    <definedName name="S35R15">#REF!</definedName>
    <definedName name="S35R16" localSheetId="2">#REF!</definedName>
    <definedName name="S35R16" localSheetId="16">#REF!</definedName>
    <definedName name="S35R16" localSheetId="17">#REF!</definedName>
    <definedName name="S35R16" localSheetId="19">#REF!</definedName>
    <definedName name="S35R16">#REF!</definedName>
    <definedName name="S35R17" localSheetId="2">#REF!</definedName>
    <definedName name="S35R17" localSheetId="16">#REF!</definedName>
    <definedName name="S35R17" localSheetId="17">#REF!</definedName>
    <definedName name="S35R17" localSheetId="19">#REF!</definedName>
    <definedName name="S35R17">#REF!</definedName>
    <definedName name="S35R18" localSheetId="2">#REF!</definedName>
    <definedName name="S35R18" localSheetId="16">#REF!</definedName>
    <definedName name="S35R18" localSheetId="17">#REF!</definedName>
    <definedName name="S35R18" localSheetId="19">#REF!</definedName>
    <definedName name="S35R18">#REF!</definedName>
    <definedName name="S35R19" localSheetId="2">#REF!</definedName>
    <definedName name="S35R19" localSheetId="16">#REF!</definedName>
    <definedName name="S35R19" localSheetId="17">#REF!</definedName>
    <definedName name="S35R19" localSheetId="19">#REF!</definedName>
    <definedName name="S35R19">#REF!</definedName>
    <definedName name="S35R2" localSheetId="2">#REF!</definedName>
    <definedName name="S35R2" localSheetId="16">#REF!</definedName>
    <definedName name="S35R2" localSheetId="17">#REF!</definedName>
    <definedName name="S35R2" localSheetId="19">#REF!</definedName>
    <definedName name="S35R2">#REF!</definedName>
    <definedName name="S35R20" localSheetId="2">#REF!</definedName>
    <definedName name="S35R20" localSheetId="16">#REF!</definedName>
    <definedName name="S35R20" localSheetId="17">#REF!</definedName>
    <definedName name="S35R20" localSheetId="19">#REF!</definedName>
    <definedName name="S35R20">#REF!</definedName>
    <definedName name="S35R21" localSheetId="2">#REF!</definedName>
    <definedName name="S35R21" localSheetId="16">#REF!</definedName>
    <definedName name="S35R21" localSheetId="17">#REF!</definedName>
    <definedName name="S35R21" localSheetId="19">#REF!</definedName>
    <definedName name="S35R21">#REF!</definedName>
    <definedName name="S35R22" localSheetId="2">#REF!</definedName>
    <definedName name="S35R22" localSheetId="16">#REF!</definedName>
    <definedName name="S35R22" localSheetId="17">#REF!</definedName>
    <definedName name="S35R22" localSheetId="19">#REF!</definedName>
    <definedName name="S35R22">#REF!</definedName>
    <definedName name="S35R23" localSheetId="2">#REF!</definedName>
    <definedName name="S35R23" localSheetId="16">#REF!</definedName>
    <definedName name="S35R23" localSheetId="17">#REF!</definedName>
    <definedName name="S35R23" localSheetId="19">#REF!</definedName>
    <definedName name="S35R23">#REF!</definedName>
    <definedName name="S35R24" localSheetId="2">#REF!</definedName>
    <definedName name="S35R24" localSheetId="16">#REF!</definedName>
    <definedName name="S35R24" localSheetId="17">#REF!</definedName>
    <definedName name="S35R24" localSheetId="19">#REF!</definedName>
    <definedName name="S35R24">#REF!</definedName>
    <definedName name="S35R3" localSheetId="2">#REF!</definedName>
    <definedName name="S35R3" localSheetId="16">#REF!</definedName>
    <definedName name="S35R3" localSheetId="17">#REF!</definedName>
    <definedName name="S35R3" localSheetId="19">#REF!</definedName>
    <definedName name="S35R3">#REF!</definedName>
    <definedName name="S35R4" localSheetId="2">#REF!</definedName>
    <definedName name="S35R4" localSheetId="16">#REF!</definedName>
    <definedName name="S35R4" localSheetId="17">#REF!</definedName>
    <definedName name="S35R4" localSheetId="19">#REF!</definedName>
    <definedName name="S35R4">#REF!</definedName>
    <definedName name="S35R5" localSheetId="2">#REF!</definedName>
    <definedName name="S35R5" localSheetId="16">#REF!</definedName>
    <definedName name="S35R5" localSheetId="17">#REF!</definedName>
    <definedName name="S35R5" localSheetId="19">#REF!</definedName>
    <definedName name="S35R5">#REF!</definedName>
    <definedName name="S35R6" localSheetId="2">#REF!</definedName>
    <definedName name="S35R6" localSheetId="16">#REF!</definedName>
    <definedName name="S35R6" localSheetId="17">#REF!</definedName>
    <definedName name="S35R6" localSheetId="19">#REF!</definedName>
    <definedName name="S35R6">#REF!</definedName>
    <definedName name="S35R7" localSheetId="2">#REF!</definedName>
    <definedName name="S35R7" localSheetId="16">#REF!</definedName>
    <definedName name="S35R7" localSheetId="17">#REF!</definedName>
    <definedName name="S35R7" localSheetId="19">#REF!</definedName>
    <definedName name="S35R7">#REF!</definedName>
    <definedName name="S35R8" localSheetId="2">#REF!</definedName>
    <definedName name="S35R8" localSheetId="16">#REF!</definedName>
    <definedName name="S35R8" localSheetId="17">#REF!</definedName>
    <definedName name="S35R8" localSheetId="19">#REF!</definedName>
    <definedName name="S35R8">#REF!</definedName>
    <definedName name="S35R9" localSheetId="2">#REF!</definedName>
    <definedName name="S35R9" localSheetId="16">#REF!</definedName>
    <definedName name="S35R9" localSheetId="17">#REF!</definedName>
    <definedName name="S35R9" localSheetId="19">#REF!</definedName>
    <definedName name="S35R9">#REF!</definedName>
    <definedName name="S36P1" localSheetId="2">#REF!</definedName>
    <definedName name="S36P1" localSheetId="16">#REF!</definedName>
    <definedName name="S36P1" localSheetId="17">#REF!</definedName>
    <definedName name="S36P1" localSheetId="19">#REF!</definedName>
    <definedName name="S36P1">#REF!</definedName>
    <definedName name="S36P10" localSheetId="2">#REF!</definedName>
    <definedName name="S36P10" localSheetId="16">#REF!</definedName>
    <definedName name="S36P10" localSheetId="17">#REF!</definedName>
    <definedName name="S36P10" localSheetId="19">#REF!</definedName>
    <definedName name="S36P10">#REF!</definedName>
    <definedName name="S36P11" localSheetId="2">#REF!</definedName>
    <definedName name="S36P11" localSheetId="16">#REF!</definedName>
    <definedName name="S36P11" localSheetId="17">#REF!</definedName>
    <definedName name="S36P11" localSheetId="19">#REF!</definedName>
    <definedName name="S36P11">#REF!</definedName>
    <definedName name="S36P12" localSheetId="2">#REF!</definedName>
    <definedName name="S36P12" localSheetId="16">#REF!</definedName>
    <definedName name="S36P12" localSheetId="17">#REF!</definedName>
    <definedName name="S36P12" localSheetId="19">#REF!</definedName>
    <definedName name="S36P12">#REF!</definedName>
    <definedName name="S36P13" localSheetId="2">#REF!</definedName>
    <definedName name="S36P13" localSheetId="16">#REF!</definedName>
    <definedName name="S36P13" localSheetId="17">#REF!</definedName>
    <definedName name="S36P13" localSheetId="19">#REF!</definedName>
    <definedName name="S36P13">#REF!</definedName>
    <definedName name="S36P14" localSheetId="2">#REF!</definedName>
    <definedName name="S36P14" localSheetId="16">#REF!</definedName>
    <definedName name="S36P14" localSheetId="17">#REF!</definedName>
    <definedName name="S36P14" localSheetId="19">#REF!</definedName>
    <definedName name="S36P14">#REF!</definedName>
    <definedName name="S36P15" localSheetId="2">#REF!</definedName>
    <definedName name="S36P15" localSheetId="16">#REF!</definedName>
    <definedName name="S36P15" localSheetId="17">#REF!</definedName>
    <definedName name="S36P15" localSheetId="19">#REF!</definedName>
    <definedName name="S36P15">#REF!</definedName>
    <definedName name="S36P16" localSheetId="2">#REF!</definedName>
    <definedName name="S36P16" localSheetId="16">#REF!</definedName>
    <definedName name="S36P16" localSheetId="17">#REF!</definedName>
    <definedName name="S36P16" localSheetId="19">#REF!</definedName>
    <definedName name="S36P16">#REF!</definedName>
    <definedName name="S36P17" localSheetId="2">#REF!</definedName>
    <definedName name="S36P17" localSheetId="16">#REF!</definedName>
    <definedName name="S36P17" localSheetId="17">#REF!</definedName>
    <definedName name="S36P17" localSheetId="19">#REF!</definedName>
    <definedName name="S36P17">#REF!</definedName>
    <definedName name="S36P18" localSheetId="2">#REF!</definedName>
    <definedName name="S36P18" localSheetId="16">#REF!</definedName>
    <definedName name="S36P18" localSheetId="17">#REF!</definedName>
    <definedName name="S36P18" localSheetId="19">#REF!</definedName>
    <definedName name="S36P18">#REF!</definedName>
    <definedName name="S36P19" localSheetId="2">#REF!</definedName>
    <definedName name="S36P19" localSheetId="16">#REF!</definedName>
    <definedName name="S36P19" localSheetId="17">#REF!</definedName>
    <definedName name="S36P19" localSheetId="19">#REF!</definedName>
    <definedName name="S36P19">#REF!</definedName>
    <definedName name="S36P2" localSheetId="2">#REF!</definedName>
    <definedName name="S36P2" localSheetId="16">#REF!</definedName>
    <definedName name="S36P2" localSheetId="17">#REF!</definedName>
    <definedName name="S36P2" localSheetId="19">#REF!</definedName>
    <definedName name="S36P2">#REF!</definedName>
    <definedName name="S36P20" localSheetId="2">#REF!</definedName>
    <definedName name="S36P20" localSheetId="16">#REF!</definedName>
    <definedName name="S36P20" localSheetId="17">#REF!</definedName>
    <definedName name="S36P20" localSheetId="19">#REF!</definedName>
    <definedName name="S36P20">#REF!</definedName>
    <definedName name="S36P21" localSheetId="2">#REF!</definedName>
    <definedName name="S36P21" localSheetId="16">#REF!</definedName>
    <definedName name="S36P21" localSheetId="17">#REF!</definedName>
    <definedName name="S36P21" localSheetId="19">#REF!</definedName>
    <definedName name="S36P21">#REF!</definedName>
    <definedName name="S36P22" localSheetId="2">#REF!</definedName>
    <definedName name="S36P22" localSheetId="16">#REF!</definedName>
    <definedName name="S36P22" localSheetId="17">#REF!</definedName>
    <definedName name="S36P22" localSheetId="19">#REF!</definedName>
    <definedName name="S36P22">#REF!</definedName>
    <definedName name="S36P23" localSheetId="2">#REF!</definedName>
    <definedName name="S36P23" localSheetId="16">#REF!</definedName>
    <definedName name="S36P23" localSheetId="17">#REF!</definedName>
    <definedName name="S36P23" localSheetId="19">#REF!</definedName>
    <definedName name="S36P23">#REF!</definedName>
    <definedName name="S36P24" localSheetId="2">#REF!</definedName>
    <definedName name="S36P24" localSheetId="16">#REF!</definedName>
    <definedName name="S36P24" localSheetId="17">#REF!</definedName>
    <definedName name="S36P24" localSheetId="19">#REF!</definedName>
    <definedName name="S36P24">#REF!</definedName>
    <definedName name="S36P3" localSheetId="2">#REF!</definedName>
    <definedName name="S36P3" localSheetId="16">#REF!</definedName>
    <definedName name="S36P3" localSheetId="17">#REF!</definedName>
    <definedName name="S36P3" localSheetId="19">#REF!</definedName>
    <definedName name="S36P3">#REF!</definedName>
    <definedName name="S36P4" localSheetId="2">#REF!</definedName>
    <definedName name="S36P4" localSheetId="16">#REF!</definedName>
    <definedName name="S36P4" localSheetId="17">#REF!</definedName>
    <definedName name="S36P4" localSheetId="19">#REF!</definedName>
    <definedName name="S36P4">#REF!</definedName>
    <definedName name="S36P5" localSheetId="2">#REF!</definedName>
    <definedName name="S36P5" localSheetId="16">#REF!</definedName>
    <definedName name="S36P5" localSheetId="17">#REF!</definedName>
    <definedName name="S36P5" localSheetId="19">#REF!</definedName>
    <definedName name="S36P5">#REF!</definedName>
    <definedName name="S36P6" localSheetId="2">#REF!</definedName>
    <definedName name="S36P6" localSheetId="16">#REF!</definedName>
    <definedName name="S36P6" localSheetId="17">#REF!</definedName>
    <definedName name="S36P6" localSheetId="19">#REF!</definedName>
    <definedName name="S36P6">#REF!</definedName>
    <definedName name="S36P7" localSheetId="2">#REF!</definedName>
    <definedName name="S36P7" localSheetId="16">#REF!</definedName>
    <definedName name="S36P7" localSheetId="17">#REF!</definedName>
    <definedName name="S36P7" localSheetId="19">#REF!</definedName>
    <definedName name="S36P7">#REF!</definedName>
    <definedName name="S36P8" localSheetId="2">#REF!</definedName>
    <definedName name="S36P8" localSheetId="16">#REF!</definedName>
    <definedName name="S36P8" localSheetId="17">#REF!</definedName>
    <definedName name="S36P8" localSheetId="19">#REF!</definedName>
    <definedName name="S36P8">#REF!</definedName>
    <definedName name="S36P9" localSheetId="2">#REF!</definedName>
    <definedName name="S36P9" localSheetId="16">#REF!</definedName>
    <definedName name="S36P9" localSheetId="17">#REF!</definedName>
    <definedName name="S36P9" localSheetId="19">#REF!</definedName>
    <definedName name="S36P9">#REF!</definedName>
    <definedName name="S36R1" localSheetId="2">#REF!</definedName>
    <definedName name="S36R1" localSheetId="16">#REF!</definedName>
    <definedName name="S36R1" localSheetId="17">#REF!</definedName>
    <definedName name="S36R1" localSheetId="19">#REF!</definedName>
    <definedName name="S36R1">#REF!</definedName>
    <definedName name="S36R10" localSheetId="2">#REF!</definedName>
    <definedName name="S36R10" localSheetId="16">#REF!</definedName>
    <definedName name="S36R10" localSheetId="17">#REF!</definedName>
    <definedName name="S36R10" localSheetId="19">#REF!</definedName>
    <definedName name="S36R10">#REF!</definedName>
    <definedName name="S36R11" localSheetId="2">#REF!</definedName>
    <definedName name="S36R11" localSheetId="16">#REF!</definedName>
    <definedName name="S36R11" localSheetId="17">#REF!</definedName>
    <definedName name="S36R11" localSheetId="19">#REF!</definedName>
    <definedName name="S36R11">#REF!</definedName>
    <definedName name="S36R12" localSheetId="2">#REF!</definedName>
    <definedName name="S36R12" localSheetId="16">#REF!</definedName>
    <definedName name="S36R12" localSheetId="17">#REF!</definedName>
    <definedName name="S36R12" localSheetId="19">#REF!</definedName>
    <definedName name="S36R12">#REF!</definedName>
    <definedName name="S36R13" localSheetId="2">#REF!</definedName>
    <definedName name="S36R13" localSheetId="16">#REF!</definedName>
    <definedName name="S36R13" localSheetId="17">#REF!</definedName>
    <definedName name="S36R13" localSheetId="19">#REF!</definedName>
    <definedName name="S36R13">#REF!</definedName>
    <definedName name="S36R14" localSheetId="2">#REF!</definedName>
    <definedName name="S36R14" localSheetId="16">#REF!</definedName>
    <definedName name="S36R14" localSheetId="17">#REF!</definedName>
    <definedName name="S36R14" localSheetId="19">#REF!</definedName>
    <definedName name="S36R14">#REF!</definedName>
    <definedName name="S36R15" localSheetId="2">#REF!</definedName>
    <definedName name="S36R15" localSheetId="16">#REF!</definedName>
    <definedName name="S36R15" localSheetId="17">#REF!</definedName>
    <definedName name="S36R15" localSheetId="19">#REF!</definedName>
    <definedName name="S36R15">#REF!</definedName>
    <definedName name="S36R16" localSheetId="2">#REF!</definedName>
    <definedName name="S36R16" localSheetId="16">#REF!</definedName>
    <definedName name="S36R16" localSheetId="17">#REF!</definedName>
    <definedName name="S36R16" localSheetId="19">#REF!</definedName>
    <definedName name="S36R16">#REF!</definedName>
    <definedName name="S36R17" localSheetId="2">#REF!</definedName>
    <definedName name="S36R17" localSheetId="16">#REF!</definedName>
    <definedName name="S36R17" localSheetId="17">#REF!</definedName>
    <definedName name="S36R17" localSheetId="19">#REF!</definedName>
    <definedName name="S36R17">#REF!</definedName>
    <definedName name="S36R18" localSheetId="2">#REF!</definedName>
    <definedName name="S36R18" localSheetId="16">#REF!</definedName>
    <definedName name="S36R18" localSheetId="17">#REF!</definedName>
    <definedName name="S36R18" localSheetId="19">#REF!</definedName>
    <definedName name="S36R18">#REF!</definedName>
    <definedName name="S36R19" localSheetId="2">#REF!</definedName>
    <definedName name="S36R19" localSheetId="16">#REF!</definedName>
    <definedName name="S36R19" localSheetId="17">#REF!</definedName>
    <definedName name="S36R19" localSheetId="19">#REF!</definedName>
    <definedName name="S36R19">#REF!</definedName>
    <definedName name="S36R2" localSheetId="2">#REF!</definedName>
    <definedName name="S36R2" localSheetId="16">#REF!</definedName>
    <definedName name="S36R2" localSheetId="17">#REF!</definedName>
    <definedName name="S36R2" localSheetId="19">#REF!</definedName>
    <definedName name="S36R2">#REF!</definedName>
    <definedName name="S36R20" localSheetId="2">#REF!</definedName>
    <definedName name="S36R20" localSheetId="16">#REF!</definedName>
    <definedName name="S36R20" localSheetId="17">#REF!</definedName>
    <definedName name="S36R20" localSheetId="19">#REF!</definedName>
    <definedName name="S36R20">#REF!</definedName>
    <definedName name="S36R21" localSheetId="2">#REF!</definedName>
    <definedName name="S36R21" localSheetId="16">#REF!</definedName>
    <definedName name="S36R21" localSheetId="17">#REF!</definedName>
    <definedName name="S36R21" localSheetId="19">#REF!</definedName>
    <definedName name="S36R21">#REF!</definedName>
    <definedName name="S36R22" localSheetId="2">#REF!</definedName>
    <definedName name="S36R22" localSheetId="16">#REF!</definedName>
    <definedName name="S36R22" localSheetId="17">#REF!</definedName>
    <definedName name="S36R22" localSheetId="19">#REF!</definedName>
    <definedName name="S36R22">#REF!</definedName>
    <definedName name="S36R23" localSheetId="2">#REF!</definedName>
    <definedName name="S36R23" localSheetId="16">#REF!</definedName>
    <definedName name="S36R23" localSheetId="17">#REF!</definedName>
    <definedName name="S36R23" localSheetId="19">#REF!</definedName>
    <definedName name="S36R23">#REF!</definedName>
    <definedName name="S36R24" localSheetId="2">#REF!</definedName>
    <definedName name="S36R24" localSheetId="16">#REF!</definedName>
    <definedName name="S36R24" localSheetId="17">#REF!</definedName>
    <definedName name="S36R24" localSheetId="19">#REF!</definedName>
    <definedName name="S36R24">#REF!</definedName>
    <definedName name="S36R3" localSheetId="2">#REF!</definedName>
    <definedName name="S36R3" localSheetId="16">#REF!</definedName>
    <definedName name="S36R3" localSheetId="17">#REF!</definedName>
    <definedName name="S36R3" localSheetId="19">#REF!</definedName>
    <definedName name="S36R3">#REF!</definedName>
    <definedName name="S36R4" localSheetId="2">#REF!</definedName>
    <definedName name="S36R4" localSheetId="16">#REF!</definedName>
    <definedName name="S36R4" localSheetId="17">#REF!</definedName>
    <definedName name="S36R4" localSheetId="19">#REF!</definedName>
    <definedName name="S36R4">#REF!</definedName>
    <definedName name="S36R5" localSheetId="2">#REF!</definedName>
    <definedName name="S36R5" localSheetId="16">#REF!</definedName>
    <definedName name="S36R5" localSheetId="17">#REF!</definedName>
    <definedName name="S36R5" localSheetId="19">#REF!</definedName>
    <definedName name="S36R5">#REF!</definedName>
    <definedName name="S36R6" localSheetId="2">#REF!</definedName>
    <definedName name="S36R6" localSheetId="16">#REF!</definedName>
    <definedName name="S36R6" localSheetId="17">#REF!</definedName>
    <definedName name="S36R6" localSheetId="19">#REF!</definedName>
    <definedName name="S36R6">#REF!</definedName>
    <definedName name="S36R7" localSheetId="2">#REF!</definedName>
    <definedName name="S36R7" localSheetId="16">#REF!</definedName>
    <definedName name="S36R7" localSheetId="17">#REF!</definedName>
    <definedName name="S36R7" localSheetId="19">#REF!</definedName>
    <definedName name="S36R7">#REF!</definedName>
    <definedName name="S36R8" localSheetId="2">#REF!</definedName>
    <definedName name="S36R8" localSheetId="16">#REF!</definedName>
    <definedName name="S36R8" localSheetId="17">#REF!</definedName>
    <definedName name="S36R8" localSheetId="19">#REF!</definedName>
    <definedName name="S36R8">#REF!</definedName>
    <definedName name="S36R9" localSheetId="2">#REF!</definedName>
    <definedName name="S36R9" localSheetId="16">#REF!</definedName>
    <definedName name="S36R9" localSheetId="17">#REF!</definedName>
    <definedName name="S36R9" localSheetId="19">#REF!</definedName>
    <definedName name="S36R9">#REF!</definedName>
    <definedName name="S37P1" localSheetId="2">#REF!</definedName>
    <definedName name="S37P1" localSheetId="16">#REF!</definedName>
    <definedName name="S37P1" localSheetId="17">#REF!</definedName>
    <definedName name="S37P1" localSheetId="19">#REF!</definedName>
    <definedName name="S37P1">#REF!</definedName>
    <definedName name="S37P10" localSheetId="2">#REF!</definedName>
    <definedName name="S37P10" localSheetId="16">#REF!</definedName>
    <definedName name="S37P10" localSheetId="17">#REF!</definedName>
    <definedName name="S37P10" localSheetId="19">#REF!</definedName>
    <definedName name="S37P10">#REF!</definedName>
    <definedName name="S37P11" localSheetId="2">#REF!</definedName>
    <definedName name="S37P11" localSheetId="16">#REF!</definedName>
    <definedName name="S37P11" localSheetId="17">#REF!</definedName>
    <definedName name="S37P11" localSheetId="19">#REF!</definedName>
    <definedName name="S37P11">#REF!</definedName>
    <definedName name="S37P12" localSheetId="2">#REF!</definedName>
    <definedName name="S37P12" localSheetId="16">#REF!</definedName>
    <definedName name="S37P12" localSheetId="17">#REF!</definedName>
    <definedName name="S37P12" localSheetId="19">#REF!</definedName>
    <definedName name="S37P12">#REF!</definedName>
    <definedName name="S37P13" localSheetId="2">#REF!</definedName>
    <definedName name="S37P13" localSheetId="16">#REF!</definedName>
    <definedName name="S37P13" localSheetId="17">#REF!</definedName>
    <definedName name="S37P13" localSheetId="19">#REF!</definedName>
    <definedName name="S37P13">#REF!</definedName>
    <definedName name="S37P14" localSheetId="2">#REF!</definedName>
    <definedName name="S37P14" localSheetId="16">#REF!</definedName>
    <definedName name="S37P14" localSheetId="17">#REF!</definedName>
    <definedName name="S37P14" localSheetId="19">#REF!</definedName>
    <definedName name="S37P14">#REF!</definedName>
    <definedName name="S37P15" localSheetId="2">#REF!</definedName>
    <definedName name="S37P15" localSheetId="16">#REF!</definedName>
    <definedName name="S37P15" localSheetId="17">#REF!</definedName>
    <definedName name="S37P15" localSheetId="19">#REF!</definedName>
    <definedName name="S37P15">#REF!</definedName>
    <definedName name="S37P16" localSheetId="2">#REF!</definedName>
    <definedName name="S37P16" localSheetId="16">#REF!</definedName>
    <definedName name="S37P16" localSheetId="17">#REF!</definedName>
    <definedName name="S37P16" localSheetId="19">#REF!</definedName>
    <definedName name="S37P16">#REF!</definedName>
    <definedName name="S37P17" localSheetId="2">#REF!</definedName>
    <definedName name="S37P17" localSheetId="16">#REF!</definedName>
    <definedName name="S37P17" localSheetId="17">#REF!</definedName>
    <definedName name="S37P17" localSheetId="19">#REF!</definedName>
    <definedName name="S37P17">#REF!</definedName>
    <definedName name="S37P18" localSheetId="2">#REF!</definedName>
    <definedName name="S37P18" localSheetId="16">#REF!</definedName>
    <definedName name="S37P18" localSheetId="17">#REF!</definedName>
    <definedName name="S37P18" localSheetId="19">#REF!</definedName>
    <definedName name="S37P18">#REF!</definedName>
    <definedName name="S37P19" localSheetId="2">#REF!</definedName>
    <definedName name="S37P19" localSheetId="16">#REF!</definedName>
    <definedName name="S37P19" localSheetId="17">#REF!</definedName>
    <definedName name="S37P19" localSheetId="19">#REF!</definedName>
    <definedName name="S37P19">#REF!</definedName>
    <definedName name="S37P2" localSheetId="2">#REF!</definedName>
    <definedName name="S37P2" localSheetId="16">#REF!</definedName>
    <definedName name="S37P2" localSheetId="17">#REF!</definedName>
    <definedName name="S37P2" localSheetId="19">#REF!</definedName>
    <definedName name="S37P2">#REF!</definedName>
    <definedName name="S37P20" localSheetId="2">#REF!</definedName>
    <definedName name="S37P20" localSheetId="16">#REF!</definedName>
    <definedName name="S37P20" localSheetId="17">#REF!</definedName>
    <definedName name="S37P20" localSheetId="19">#REF!</definedName>
    <definedName name="S37P20">#REF!</definedName>
    <definedName name="S37P21" localSheetId="2">#REF!</definedName>
    <definedName name="S37P21" localSheetId="16">#REF!</definedName>
    <definedName name="S37P21" localSheetId="17">#REF!</definedName>
    <definedName name="S37P21" localSheetId="19">#REF!</definedName>
    <definedName name="S37P21">#REF!</definedName>
    <definedName name="S37P22" localSheetId="2">#REF!</definedName>
    <definedName name="S37P22" localSheetId="16">#REF!</definedName>
    <definedName name="S37P22" localSheetId="17">#REF!</definedName>
    <definedName name="S37P22" localSheetId="19">#REF!</definedName>
    <definedName name="S37P22">#REF!</definedName>
    <definedName name="S37P23" localSheetId="2">#REF!</definedName>
    <definedName name="S37P23" localSheetId="16">#REF!</definedName>
    <definedName name="S37P23" localSheetId="17">#REF!</definedName>
    <definedName name="S37P23" localSheetId="19">#REF!</definedName>
    <definedName name="S37P23">#REF!</definedName>
    <definedName name="S37P24" localSheetId="2">#REF!</definedName>
    <definedName name="S37P24" localSheetId="16">#REF!</definedName>
    <definedName name="S37P24" localSheetId="17">#REF!</definedName>
    <definedName name="S37P24" localSheetId="19">#REF!</definedName>
    <definedName name="S37P24">#REF!</definedName>
    <definedName name="S37P3" localSheetId="2">#REF!</definedName>
    <definedName name="S37P3" localSheetId="16">#REF!</definedName>
    <definedName name="S37P3" localSheetId="17">#REF!</definedName>
    <definedName name="S37P3" localSheetId="19">#REF!</definedName>
    <definedName name="S37P3">#REF!</definedName>
    <definedName name="S37P4" localSheetId="2">#REF!</definedName>
    <definedName name="S37P4" localSheetId="16">#REF!</definedName>
    <definedName name="S37P4" localSheetId="17">#REF!</definedName>
    <definedName name="S37P4" localSheetId="19">#REF!</definedName>
    <definedName name="S37P4">#REF!</definedName>
    <definedName name="S37P5" localSheetId="2">#REF!</definedName>
    <definedName name="S37P5" localSheetId="16">#REF!</definedName>
    <definedName name="S37P5" localSheetId="17">#REF!</definedName>
    <definedName name="S37P5" localSheetId="19">#REF!</definedName>
    <definedName name="S37P5">#REF!</definedName>
    <definedName name="S37P6" localSheetId="2">#REF!</definedName>
    <definedName name="S37P6" localSheetId="16">#REF!</definedName>
    <definedName name="S37P6" localSheetId="17">#REF!</definedName>
    <definedName name="S37P6" localSheetId="19">#REF!</definedName>
    <definedName name="S37P6">#REF!</definedName>
    <definedName name="S37P7" localSheetId="2">#REF!</definedName>
    <definedName name="S37P7" localSheetId="16">#REF!</definedName>
    <definedName name="S37P7" localSheetId="17">#REF!</definedName>
    <definedName name="S37P7" localSheetId="19">#REF!</definedName>
    <definedName name="S37P7">#REF!</definedName>
    <definedName name="S37P8" localSheetId="2">#REF!</definedName>
    <definedName name="S37P8" localSheetId="16">#REF!</definedName>
    <definedName name="S37P8" localSheetId="17">#REF!</definedName>
    <definedName name="S37P8" localSheetId="19">#REF!</definedName>
    <definedName name="S37P8">#REF!</definedName>
    <definedName name="S37P9" localSheetId="2">#REF!</definedName>
    <definedName name="S37P9" localSheetId="16">#REF!</definedName>
    <definedName name="S37P9" localSheetId="17">#REF!</definedName>
    <definedName name="S37P9" localSheetId="19">#REF!</definedName>
    <definedName name="S37P9">#REF!</definedName>
    <definedName name="S37R1" localSheetId="2">#REF!</definedName>
    <definedName name="S37R1" localSheetId="16">#REF!</definedName>
    <definedName name="S37R1" localSheetId="17">#REF!</definedName>
    <definedName name="S37R1" localSheetId="19">#REF!</definedName>
    <definedName name="S37R1">#REF!</definedName>
    <definedName name="S37R10" localSheetId="2">#REF!</definedName>
    <definedName name="S37R10" localSheetId="16">#REF!</definedName>
    <definedName name="S37R10" localSheetId="17">#REF!</definedName>
    <definedName name="S37R10" localSheetId="19">#REF!</definedName>
    <definedName name="S37R10">#REF!</definedName>
    <definedName name="S37R11" localSheetId="2">#REF!</definedName>
    <definedName name="S37R11" localSheetId="16">#REF!</definedName>
    <definedName name="S37R11" localSheetId="17">#REF!</definedName>
    <definedName name="S37R11" localSheetId="19">#REF!</definedName>
    <definedName name="S37R11">#REF!</definedName>
    <definedName name="S37R12" localSheetId="2">#REF!</definedName>
    <definedName name="S37R12" localSheetId="16">#REF!</definedName>
    <definedName name="S37R12" localSheetId="17">#REF!</definedName>
    <definedName name="S37R12" localSheetId="19">#REF!</definedName>
    <definedName name="S37R12">#REF!</definedName>
    <definedName name="S37R13" localSheetId="2">#REF!</definedName>
    <definedName name="S37R13" localSheetId="16">#REF!</definedName>
    <definedName name="S37R13" localSheetId="17">#REF!</definedName>
    <definedName name="S37R13" localSheetId="19">#REF!</definedName>
    <definedName name="S37R13">#REF!</definedName>
    <definedName name="S37R14" localSheetId="2">#REF!</definedName>
    <definedName name="S37R14" localSheetId="16">#REF!</definedName>
    <definedName name="S37R14" localSheetId="17">#REF!</definedName>
    <definedName name="S37R14" localSheetId="19">#REF!</definedName>
    <definedName name="S37R14">#REF!</definedName>
    <definedName name="S37R15" localSheetId="2">#REF!</definedName>
    <definedName name="S37R15" localSheetId="16">#REF!</definedName>
    <definedName name="S37R15" localSheetId="17">#REF!</definedName>
    <definedName name="S37R15" localSheetId="19">#REF!</definedName>
    <definedName name="S37R15">#REF!</definedName>
    <definedName name="S37R16" localSheetId="2">#REF!</definedName>
    <definedName name="S37R16" localSheetId="16">#REF!</definedName>
    <definedName name="S37R16" localSheetId="17">#REF!</definedName>
    <definedName name="S37R16" localSheetId="19">#REF!</definedName>
    <definedName name="S37R16">#REF!</definedName>
    <definedName name="S37R17" localSheetId="2">#REF!</definedName>
    <definedName name="S37R17" localSheetId="16">#REF!</definedName>
    <definedName name="S37R17" localSheetId="17">#REF!</definedName>
    <definedName name="S37R17" localSheetId="19">#REF!</definedName>
    <definedName name="S37R17">#REF!</definedName>
    <definedName name="S37R18" localSheetId="2">#REF!</definedName>
    <definedName name="S37R18" localSheetId="16">#REF!</definedName>
    <definedName name="S37R18" localSheetId="17">#REF!</definedName>
    <definedName name="S37R18" localSheetId="19">#REF!</definedName>
    <definedName name="S37R18">#REF!</definedName>
    <definedName name="S37R19" localSheetId="2">#REF!</definedName>
    <definedName name="S37R19" localSheetId="16">#REF!</definedName>
    <definedName name="S37R19" localSheetId="17">#REF!</definedName>
    <definedName name="S37R19" localSheetId="19">#REF!</definedName>
    <definedName name="S37R19">#REF!</definedName>
    <definedName name="S37R2" localSheetId="2">#REF!</definedName>
    <definedName name="S37R2" localSheetId="16">#REF!</definedName>
    <definedName name="S37R2" localSheetId="17">#REF!</definedName>
    <definedName name="S37R2" localSheetId="19">#REF!</definedName>
    <definedName name="S37R2">#REF!</definedName>
    <definedName name="S37R20" localSheetId="2">#REF!</definedName>
    <definedName name="S37R20" localSheetId="16">#REF!</definedName>
    <definedName name="S37R20" localSheetId="17">#REF!</definedName>
    <definedName name="S37R20" localSheetId="19">#REF!</definedName>
    <definedName name="S37R20">#REF!</definedName>
    <definedName name="S37R21" localSheetId="2">#REF!</definedName>
    <definedName name="S37R21" localSheetId="16">#REF!</definedName>
    <definedName name="S37R21" localSheetId="17">#REF!</definedName>
    <definedName name="S37R21" localSheetId="19">#REF!</definedName>
    <definedName name="S37R21">#REF!</definedName>
    <definedName name="S37R22" localSheetId="2">#REF!</definedName>
    <definedName name="S37R22" localSheetId="16">#REF!</definedName>
    <definedName name="S37R22" localSheetId="17">#REF!</definedName>
    <definedName name="S37R22" localSheetId="19">#REF!</definedName>
    <definedName name="S37R22">#REF!</definedName>
    <definedName name="S37R23" localSheetId="2">#REF!</definedName>
    <definedName name="S37R23" localSheetId="16">#REF!</definedName>
    <definedName name="S37R23" localSheetId="17">#REF!</definedName>
    <definedName name="S37R23" localSheetId="19">#REF!</definedName>
    <definedName name="S37R23">#REF!</definedName>
    <definedName name="S37R24" localSheetId="2">#REF!</definedName>
    <definedName name="S37R24" localSheetId="16">#REF!</definedName>
    <definedName name="S37R24" localSheetId="17">#REF!</definedName>
    <definedName name="S37R24" localSheetId="19">#REF!</definedName>
    <definedName name="S37R24">#REF!</definedName>
    <definedName name="S37R3" localSheetId="2">#REF!</definedName>
    <definedName name="S37R3" localSheetId="16">#REF!</definedName>
    <definedName name="S37R3" localSheetId="17">#REF!</definedName>
    <definedName name="S37R3" localSheetId="19">#REF!</definedName>
    <definedName name="S37R3">#REF!</definedName>
    <definedName name="S37R4" localSheetId="2">#REF!</definedName>
    <definedName name="S37R4" localSheetId="16">#REF!</definedName>
    <definedName name="S37R4" localSheetId="17">#REF!</definedName>
    <definedName name="S37R4" localSheetId="19">#REF!</definedName>
    <definedName name="S37R4">#REF!</definedName>
    <definedName name="S37R5" localSheetId="2">#REF!</definedName>
    <definedName name="S37R5" localSheetId="16">#REF!</definedName>
    <definedName name="S37R5" localSheetId="17">#REF!</definedName>
    <definedName name="S37R5" localSheetId="19">#REF!</definedName>
    <definedName name="S37R5">#REF!</definedName>
    <definedName name="S37R6" localSheetId="2">#REF!</definedName>
    <definedName name="S37R6" localSheetId="16">#REF!</definedName>
    <definedName name="S37R6" localSheetId="17">#REF!</definedName>
    <definedName name="S37R6" localSheetId="19">#REF!</definedName>
    <definedName name="S37R6">#REF!</definedName>
    <definedName name="S37R7" localSheetId="2">#REF!</definedName>
    <definedName name="S37R7" localSheetId="16">#REF!</definedName>
    <definedName name="S37R7" localSheetId="17">#REF!</definedName>
    <definedName name="S37R7" localSheetId="19">#REF!</definedName>
    <definedName name="S37R7">#REF!</definedName>
    <definedName name="S37R8" localSheetId="2">#REF!</definedName>
    <definedName name="S37R8" localSheetId="16">#REF!</definedName>
    <definedName name="S37R8" localSheetId="17">#REF!</definedName>
    <definedName name="S37R8" localSheetId="19">#REF!</definedName>
    <definedName name="S37R8">#REF!</definedName>
    <definedName name="S37R9" localSheetId="2">#REF!</definedName>
    <definedName name="S37R9" localSheetId="16">#REF!</definedName>
    <definedName name="S37R9" localSheetId="17">#REF!</definedName>
    <definedName name="S37R9" localSheetId="19">#REF!</definedName>
    <definedName name="S37R9">#REF!</definedName>
    <definedName name="S38P1" localSheetId="2">#REF!</definedName>
    <definedName name="S38P1" localSheetId="16">#REF!</definedName>
    <definedName name="S38P1" localSheetId="17">#REF!</definedName>
    <definedName name="S38P1" localSheetId="19">#REF!</definedName>
    <definedName name="S38P1">#REF!</definedName>
    <definedName name="S38P10" localSheetId="2">#REF!</definedName>
    <definedName name="S38P10" localSheetId="16">#REF!</definedName>
    <definedName name="S38P10" localSheetId="17">#REF!</definedName>
    <definedName name="S38P10" localSheetId="19">#REF!</definedName>
    <definedName name="S38P10">#REF!</definedName>
    <definedName name="S38P11" localSheetId="2">#REF!</definedName>
    <definedName name="S38P11" localSheetId="16">#REF!</definedName>
    <definedName name="S38P11" localSheetId="17">#REF!</definedName>
    <definedName name="S38P11" localSheetId="19">#REF!</definedName>
    <definedName name="S38P11">#REF!</definedName>
    <definedName name="S38P12" localSheetId="2">#REF!</definedName>
    <definedName name="S38P12" localSheetId="16">#REF!</definedName>
    <definedName name="S38P12" localSheetId="17">#REF!</definedName>
    <definedName name="S38P12" localSheetId="19">#REF!</definedName>
    <definedName name="S38P12">#REF!</definedName>
    <definedName name="S38P13" localSheetId="2">#REF!</definedName>
    <definedName name="S38P13" localSheetId="16">#REF!</definedName>
    <definedName name="S38P13" localSheetId="17">#REF!</definedName>
    <definedName name="S38P13" localSheetId="19">#REF!</definedName>
    <definedName name="S38P13">#REF!</definedName>
    <definedName name="S38P14" localSheetId="2">#REF!</definedName>
    <definedName name="S38P14" localSheetId="16">#REF!</definedName>
    <definedName name="S38P14" localSheetId="17">#REF!</definedName>
    <definedName name="S38P14" localSheetId="19">#REF!</definedName>
    <definedName name="S38P14">#REF!</definedName>
    <definedName name="S38P15" localSheetId="2">#REF!</definedName>
    <definedName name="S38P15" localSheetId="16">#REF!</definedName>
    <definedName name="S38P15" localSheetId="17">#REF!</definedName>
    <definedName name="S38P15" localSheetId="19">#REF!</definedName>
    <definedName name="S38P15">#REF!</definedName>
    <definedName name="S38P16" localSheetId="2">#REF!</definedName>
    <definedName name="S38P16" localSheetId="16">#REF!</definedName>
    <definedName name="S38P16" localSheetId="17">#REF!</definedName>
    <definedName name="S38P16" localSheetId="19">#REF!</definedName>
    <definedName name="S38P16">#REF!</definedName>
    <definedName name="S38P17" localSheetId="2">#REF!</definedName>
    <definedName name="S38P17" localSheetId="16">#REF!</definedName>
    <definedName name="S38P17" localSheetId="17">#REF!</definedName>
    <definedName name="S38P17" localSheetId="19">#REF!</definedName>
    <definedName name="S38P17">#REF!</definedName>
    <definedName name="S38P18" localSheetId="2">#REF!</definedName>
    <definedName name="S38P18" localSheetId="16">#REF!</definedName>
    <definedName name="S38P18" localSheetId="17">#REF!</definedName>
    <definedName name="S38P18" localSheetId="19">#REF!</definedName>
    <definedName name="S38P18">#REF!</definedName>
    <definedName name="S38P19" localSheetId="2">#REF!</definedName>
    <definedName name="S38P19" localSheetId="16">#REF!</definedName>
    <definedName name="S38P19" localSheetId="17">#REF!</definedName>
    <definedName name="S38P19" localSheetId="19">#REF!</definedName>
    <definedName name="S38P19">#REF!</definedName>
    <definedName name="S38P2" localSheetId="2">#REF!</definedName>
    <definedName name="S38P2" localSheetId="16">#REF!</definedName>
    <definedName name="S38P2" localSheetId="17">#REF!</definedName>
    <definedName name="S38P2" localSheetId="19">#REF!</definedName>
    <definedName name="S38P2">#REF!</definedName>
    <definedName name="S38P20" localSheetId="2">#REF!</definedName>
    <definedName name="S38P20" localSheetId="16">#REF!</definedName>
    <definedName name="S38P20" localSheetId="17">#REF!</definedName>
    <definedName name="S38P20" localSheetId="19">#REF!</definedName>
    <definedName name="S38P20">#REF!</definedName>
    <definedName name="S38P21" localSheetId="2">#REF!</definedName>
    <definedName name="S38P21" localSheetId="16">#REF!</definedName>
    <definedName name="S38P21" localSheetId="17">#REF!</definedName>
    <definedName name="S38P21" localSheetId="19">#REF!</definedName>
    <definedName name="S38P21">#REF!</definedName>
    <definedName name="S38P22" localSheetId="2">#REF!</definedName>
    <definedName name="S38P22" localSheetId="16">#REF!</definedName>
    <definedName name="S38P22" localSheetId="17">#REF!</definedName>
    <definedName name="S38P22" localSheetId="19">#REF!</definedName>
    <definedName name="S38P22">#REF!</definedName>
    <definedName name="S38P23" localSheetId="2">#REF!</definedName>
    <definedName name="S38P23" localSheetId="16">#REF!</definedName>
    <definedName name="S38P23" localSheetId="17">#REF!</definedName>
    <definedName name="S38P23" localSheetId="19">#REF!</definedName>
    <definedName name="S38P23">#REF!</definedName>
    <definedName name="S38P24" localSheetId="2">#REF!</definedName>
    <definedName name="S38P24" localSheetId="16">#REF!</definedName>
    <definedName name="S38P24" localSheetId="17">#REF!</definedName>
    <definedName name="S38P24" localSheetId="19">#REF!</definedName>
    <definedName name="S38P24">#REF!</definedName>
    <definedName name="S38P3" localSheetId="2">#REF!</definedName>
    <definedName name="S38P3" localSheetId="16">#REF!</definedName>
    <definedName name="S38P3" localSheetId="17">#REF!</definedName>
    <definedName name="S38P3" localSheetId="19">#REF!</definedName>
    <definedName name="S38P3">#REF!</definedName>
    <definedName name="S38P4" localSheetId="2">#REF!</definedName>
    <definedName name="S38P4" localSheetId="16">#REF!</definedName>
    <definedName name="S38P4" localSheetId="17">#REF!</definedName>
    <definedName name="S38P4" localSheetId="19">#REF!</definedName>
    <definedName name="S38P4">#REF!</definedName>
    <definedName name="S38P5" localSheetId="2">#REF!</definedName>
    <definedName name="S38P5" localSheetId="16">#REF!</definedName>
    <definedName name="S38P5" localSheetId="17">#REF!</definedName>
    <definedName name="S38P5" localSheetId="19">#REF!</definedName>
    <definedName name="S38P5">#REF!</definedName>
    <definedName name="S38P6" localSheetId="2">#REF!</definedName>
    <definedName name="S38P6" localSheetId="16">#REF!</definedName>
    <definedName name="S38P6" localSheetId="17">#REF!</definedName>
    <definedName name="S38P6" localSheetId="19">#REF!</definedName>
    <definedName name="S38P6">#REF!</definedName>
    <definedName name="S38P7" localSheetId="2">#REF!</definedName>
    <definedName name="S38P7" localSheetId="16">#REF!</definedName>
    <definedName name="S38P7" localSheetId="17">#REF!</definedName>
    <definedName name="S38P7" localSheetId="19">#REF!</definedName>
    <definedName name="S38P7">#REF!</definedName>
    <definedName name="S38P8" localSheetId="2">#REF!</definedName>
    <definedName name="S38P8" localSheetId="16">#REF!</definedName>
    <definedName name="S38P8" localSheetId="17">#REF!</definedName>
    <definedName name="S38P8" localSheetId="19">#REF!</definedName>
    <definedName name="S38P8">#REF!</definedName>
    <definedName name="S38P9" localSheetId="2">#REF!</definedName>
    <definedName name="S38P9" localSheetId="16">#REF!</definedName>
    <definedName name="S38P9" localSheetId="17">#REF!</definedName>
    <definedName name="S38P9" localSheetId="19">#REF!</definedName>
    <definedName name="S38P9">#REF!</definedName>
    <definedName name="S38R1" localSheetId="2">#REF!</definedName>
    <definedName name="S38R1" localSheetId="16">#REF!</definedName>
    <definedName name="S38R1" localSheetId="17">#REF!</definedName>
    <definedName name="S38R1" localSheetId="19">#REF!</definedName>
    <definedName name="S38R1">#REF!</definedName>
    <definedName name="S38R10" localSheetId="2">#REF!</definedName>
    <definedName name="S38R10" localSheetId="16">#REF!</definedName>
    <definedName name="S38R10" localSheetId="17">#REF!</definedName>
    <definedName name="S38R10" localSheetId="19">#REF!</definedName>
    <definedName name="S38R10">#REF!</definedName>
    <definedName name="S38R11" localSheetId="2">#REF!</definedName>
    <definedName name="S38R11" localSheetId="16">#REF!</definedName>
    <definedName name="S38R11" localSheetId="17">#REF!</definedName>
    <definedName name="S38R11" localSheetId="19">#REF!</definedName>
    <definedName name="S38R11">#REF!</definedName>
    <definedName name="S38R12" localSheetId="2">#REF!</definedName>
    <definedName name="S38R12" localSheetId="16">#REF!</definedName>
    <definedName name="S38R12" localSheetId="17">#REF!</definedName>
    <definedName name="S38R12" localSheetId="19">#REF!</definedName>
    <definedName name="S38R12">#REF!</definedName>
    <definedName name="S38R13" localSheetId="2">#REF!</definedName>
    <definedName name="S38R13" localSheetId="16">#REF!</definedName>
    <definedName name="S38R13" localSheetId="17">#REF!</definedName>
    <definedName name="S38R13" localSheetId="19">#REF!</definedName>
    <definedName name="S38R13">#REF!</definedName>
    <definedName name="S38R14" localSheetId="2">#REF!</definedName>
    <definedName name="S38R14" localSheetId="16">#REF!</definedName>
    <definedName name="S38R14" localSheetId="17">#REF!</definedName>
    <definedName name="S38R14" localSheetId="19">#REF!</definedName>
    <definedName name="S38R14">#REF!</definedName>
    <definedName name="S38R15" localSheetId="2">#REF!</definedName>
    <definedName name="S38R15" localSheetId="16">#REF!</definedName>
    <definedName name="S38R15" localSheetId="17">#REF!</definedName>
    <definedName name="S38R15" localSheetId="19">#REF!</definedName>
    <definedName name="S38R15">#REF!</definedName>
    <definedName name="S38R16" localSheetId="2">#REF!</definedName>
    <definedName name="S38R16" localSheetId="16">#REF!</definedName>
    <definedName name="S38R16" localSheetId="17">#REF!</definedName>
    <definedName name="S38R16" localSheetId="19">#REF!</definedName>
    <definedName name="S38R16">#REF!</definedName>
    <definedName name="S38R17" localSheetId="2">#REF!</definedName>
    <definedName name="S38R17" localSheetId="16">#REF!</definedName>
    <definedName name="S38R17" localSheetId="17">#REF!</definedName>
    <definedName name="S38R17" localSheetId="19">#REF!</definedName>
    <definedName name="S38R17">#REF!</definedName>
    <definedName name="S38R18" localSheetId="2">#REF!</definedName>
    <definedName name="S38R18" localSheetId="16">#REF!</definedName>
    <definedName name="S38R18" localSheetId="17">#REF!</definedName>
    <definedName name="S38R18" localSheetId="19">#REF!</definedName>
    <definedName name="S38R18">#REF!</definedName>
    <definedName name="S38R19" localSheetId="2">#REF!</definedName>
    <definedName name="S38R19" localSheetId="16">#REF!</definedName>
    <definedName name="S38R19" localSheetId="17">#REF!</definedName>
    <definedName name="S38R19" localSheetId="19">#REF!</definedName>
    <definedName name="S38R19">#REF!</definedName>
    <definedName name="S38R2" localSheetId="2">#REF!</definedName>
    <definedName name="S38R2" localSheetId="16">#REF!</definedName>
    <definedName name="S38R2" localSheetId="17">#REF!</definedName>
    <definedName name="S38R2" localSheetId="19">#REF!</definedName>
    <definedName name="S38R2">#REF!</definedName>
    <definedName name="S38R20" localSheetId="2">#REF!</definedName>
    <definedName name="S38R20" localSheetId="16">#REF!</definedName>
    <definedName name="S38R20" localSheetId="17">#REF!</definedName>
    <definedName name="S38R20" localSheetId="19">#REF!</definedName>
    <definedName name="S38R20">#REF!</definedName>
    <definedName name="S38R21" localSheetId="2">#REF!</definedName>
    <definedName name="S38R21" localSheetId="16">#REF!</definedName>
    <definedName name="S38R21" localSheetId="17">#REF!</definedName>
    <definedName name="S38R21" localSheetId="19">#REF!</definedName>
    <definedName name="S38R21">#REF!</definedName>
    <definedName name="S38R22" localSheetId="2">#REF!</definedName>
    <definedName name="S38R22" localSheetId="16">#REF!</definedName>
    <definedName name="S38R22" localSheetId="17">#REF!</definedName>
    <definedName name="S38R22" localSheetId="19">#REF!</definedName>
    <definedName name="S38R22">#REF!</definedName>
    <definedName name="S38R23" localSheetId="2">#REF!</definedName>
    <definedName name="S38R23" localSheetId="16">#REF!</definedName>
    <definedName name="S38R23" localSheetId="17">#REF!</definedName>
    <definedName name="S38R23" localSheetId="19">#REF!</definedName>
    <definedName name="S38R23">#REF!</definedName>
    <definedName name="S38R24" localSheetId="2">#REF!</definedName>
    <definedName name="S38R24" localSheetId="16">#REF!</definedName>
    <definedName name="S38R24" localSheetId="17">#REF!</definedName>
    <definedName name="S38R24" localSheetId="19">#REF!</definedName>
    <definedName name="S38R24">#REF!</definedName>
    <definedName name="S38R3" localSheetId="2">#REF!</definedName>
    <definedName name="S38R3" localSheetId="16">#REF!</definedName>
    <definedName name="S38R3" localSheetId="17">#REF!</definedName>
    <definedName name="S38R3" localSheetId="19">#REF!</definedName>
    <definedName name="S38R3">#REF!</definedName>
    <definedName name="S38R4" localSheetId="2">#REF!</definedName>
    <definedName name="S38R4" localSheetId="16">#REF!</definedName>
    <definedName name="S38R4" localSheetId="17">#REF!</definedName>
    <definedName name="S38R4" localSheetId="19">#REF!</definedName>
    <definedName name="S38R4">#REF!</definedName>
    <definedName name="S38R5" localSheetId="2">#REF!</definedName>
    <definedName name="S38R5" localSheetId="16">#REF!</definedName>
    <definedName name="S38R5" localSheetId="17">#REF!</definedName>
    <definedName name="S38R5" localSheetId="19">#REF!</definedName>
    <definedName name="S38R5">#REF!</definedName>
    <definedName name="S38R6" localSheetId="2">#REF!</definedName>
    <definedName name="S38R6" localSheetId="16">#REF!</definedName>
    <definedName name="S38R6" localSheetId="17">#REF!</definedName>
    <definedName name="S38R6" localSheetId="19">#REF!</definedName>
    <definedName name="S38R6">#REF!</definedName>
    <definedName name="S38R7" localSheetId="2">#REF!</definedName>
    <definedName name="S38R7" localSheetId="16">#REF!</definedName>
    <definedName name="S38R7" localSheetId="17">#REF!</definedName>
    <definedName name="S38R7" localSheetId="19">#REF!</definedName>
    <definedName name="S38R7">#REF!</definedName>
    <definedName name="S38R8" localSheetId="2">#REF!</definedName>
    <definedName name="S38R8" localSheetId="16">#REF!</definedName>
    <definedName name="S38R8" localSheetId="17">#REF!</definedName>
    <definedName name="S38R8" localSheetId="19">#REF!</definedName>
    <definedName name="S38R8">#REF!</definedName>
    <definedName name="S38R9" localSheetId="2">#REF!</definedName>
    <definedName name="S38R9" localSheetId="16">#REF!</definedName>
    <definedName name="S38R9" localSheetId="17">#REF!</definedName>
    <definedName name="S38R9" localSheetId="19">#REF!</definedName>
    <definedName name="S38R9">#REF!</definedName>
    <definedName name="S39P1" localSheetId="2">#REF!</definedName>
    <definedName name="S39P1" localSheetId="16">#REF!</definedName>
    <definedName name="S39P1" localSheetId="17">#REF!</definedName>
    <definedName name="S39P1" localSheetId="19">#REF!</definedName>
    <definedName name="S39P1">#REF!</definedName>
    <definedName name="S39P10" localSheetId="2">#REF!</definedName>
    <definedName name="S39P10" localSheetId="16">#REF!</definedName>
    <definedName name="S39P10" localSheetId="17">#REF!</definedName>
    <definedName name="S39P10" localSheetId="19">#REF!</definedName>
    <definedName name="S39P10">#REF!</definedName>
    <definedName name="S39P11" localSheetId="2">#REF!</definedName>
    <definedName name="S39P11" localSheetId="16">#REF!</definedName>
    <definedName name="S39P11" localSheetId="17">#REF!</definedName>
    <definedName name="S39P11" localSheetId="19">#REF!</definedName>
    <definedName name="S39P11">#REF!</definedName>
    <definedName name="S39P12" localSheetId="2">#REF!</definedName>
    <definedName name="S39P12" localSheetId="16">#REF!</definedName>
    <definedName name="S39P12" localSheetId="17">#REF!</definedName>
    <definedName name="S39P12" localSheetId="19">#REF!</definedName>
    <definedName name="S39P12">#REF!</definedName>
    <definedName name="S39P13" localSheetId="2">#REF!</definedName>
    <definedName name="S39P13" localSheetId="16">#REF!</definedName>
    <definedName name="S39P13" localSheetId="17">#REF!</definedName>
    <definedName name="S39P13" localSheetId="19">#REF!</definedName>
    <definedName name="S39P13">#REF!</definedName>
    <definedName name="S39P14" localSheetId="2">#REF!</definedName>
    <definedName name="S39P14" localSheetId="16">#REF!</definedName>
    <definedName name="S39P14" localSheetId="17">#REF!</definedName>
    <definedName name="S39P14" localSheetId="19">#REF!</definedName>
    <definedName name="S39P14">#REF!</definedName>
    <definedName name="S39P15" localSheetId="2">#REF!</definedName>
    <definedName name="S39P15" localSheetId="16">#REF!</definedName>
    <definedName name="S39P15" localSheetId="17">#REF!</definedName>
    <definedName name="S39P15" localSheetId="19">#REF!</definedName>
    <definedName name="S39P15">#REF!</definedName>
    <definedName name="S39P16" localSheetId="2">#REF!</definedName>
    <definedName name="S39P16" localSheetId="16">#REF!</definedName>
    <definedName name="S39P16" localSheetId="17">#REF!</definedName>
    <definedName name="S39P16" localSheetId="19">#REF!</definedName>
    <definedName name="S39P16">#REF!</definedName>
    <definedName name="S39P17" localSheetId="2">#REF!</definedName>
    <definedName name="S39P17" localSheetId="16">#REF!</definedName>
    <definedName name="S39P17" localSheetId="17">#REF!</definedName>
    <definedName name="S39P17" localSheetId="19">#REF!</definedName>
    <definedName name="S39P17">#REF!</definedName>
    <definedName name="S39P18" localSheetId="2">#REF!</definedName>
    <definedName name="S39P18" localSheetId="16">#REF!</definedName>
    <definedName name="S39P18" localSheetId="17">#REF!</definedName>
    <definedName name="S39P18" localSheetId="19">#REF!</definedName>
    <definedName name="S39P18">#REF!</definedName>
    <definedName name="S39P19" localSheetId="2">#REF!</definedName>
    <definedName name="S39P19" localSheetId="16">#REF!</definedName>
    <definedName name="S39P19" localSheetId="17">#REF!</definedName>
    <definedName name="S39P19" localSheetId="19">#REF!</definedName>
    <definedName name="S39P19">#REF!</definedName>
    <definedName name="S39P2" localSheetId="2">#REF!</definedName>
    <definedName name="S39P2" localSheetId="16">#REF!</definedName>
    <definedName name="S39P2" localSheetId="17">#REF!</definedName>
    <definedName name="S39P2" localSheetId="19">#REF!</definedName>
    <definedName name="S39P2">#REF!</definedName>
    <definedName name="S39P20" localSheetId="2">#REF!</definedName>
    <definedName name="S39P20" localSheetId="16">#REF!</definedName>
    <definedName name="S39P20" localSheetId="17">#REF!</definedName>
    <definedName name="S39P20" localSheetId="19">#REF!</definedName>
    <definedName name="S39P20">#REF!</definedName>
    <definedName name="S39P21" localSheetId="2">#REF!</definedName>
    <definedName name="S39P21" localSheetId="16">#REF!</definedName>
    <definedName name="S39P21" localSheetId="17">#REF!</definedName>
    <definedName name="S39P21" localSheetId="19">#REF!</definedName>
    <definedName name="S39P21">#REF!</definedName>
    <definedName name="S39P22" localSheetId="2">#REF!</definedName>
    <definedName name="S39P22" localSheetId="16">#REF!</definedName>
    <definedName name="S39P22" localSheetId="17">#REF!</definedName>
    <definedName name="S39P22" localSheetId="19">#REF!</definedName>
    <definedName name="S39P22">#REF!</definedName>
    <definedName name="S39P23" localSheetId="2">#REF!</definedName>
    <definedName name="S39P23" localSheetId="16">#REF!</definedName>
    <definedName name="S39P23" localSheetId="17">#REF!</definedName>
    <definedName name="S39P23" localSheetId="19">#REF!</definedName>
    <definedName name="S39P23">#REF!</definedName>
    <definedName name="S39P24" localSheetId="2">#REF!</definedName>
    <definedName name="S39P24" localSheetId="16">#REF!</definedName>
    <definedName name="S39P24" localSheetId="17">#REF!</definedName>
    <definedName name="S39P24" localSheetId="19">#REF!</definedName>
    <definedName name="S39P24">#REF!</definedName>
    <definedName name="S39P3" localSheetId="2">#REF!</definedName>
    <definedName name="S39P3" localSheetId="16">#REF!</definedName>
    <definedName name="S39P3" localSheetId="17">#REF!</definedName>
    <definedName name="S39P3" localSheetId="19">#REF!</definedName>
    <definedName name="S39P3">#REF!</definedName>
    <definedName name="S39P4" localSheetId="2">#REF!</definedName>
    <definedName name="S39P4" localSheetId="16">#REF!</definedName>
    <definedName name="S39P4" localSheetId="17">#REF!</definedName>
    <definedName name="S39P4" localSheetId="19">#REF!</definedName>
    <definedName name="S39P4">#REF!</definedName>
    <definedName name="S39P5" localSheetId="2">#REF!</definedName>
    <definedName name="S39P5" localSheetId="16">#REF!</definedName>
    <definedName name="S39P5" localSheetId="17">#REF!</definedName>
    <definedName name="S39P5" localSheetId="19">#REF!</definedName>
    <definedName name="S39P5">#REF!</definedName>
    <definedName name="S39P6" localSheetId="2">#REF!</definedName>
    <definedName name="S39P6" localSheetId="16">#REF!</definedName>
    <definedName name="S39P6" localSheetId="17">#REF!</definedName>
    <definedName name="S39P6" localSheetId="19">#REF!</definedName>
    <definedName name="S39P6">#REF!</definedName>
    <definedName name="S39P7" localSheetId="2">#REF!</definedName>
    <definedName name="S39P7" localSheetId="16">#REF!</definedName>
    <definedName name="S39P7" localSheetId="17">#REF!</definedName>
    <definedName name="S39P7" localSheetId="19">#REF!</definedName>
    <definedName name="S39P7">#REF!</definedName>
    <definedName name="S39P8" localSheetId="2">#REF!</definedName>
    <definedName name="S39P8" localSheetId="16">#REF!</definedName>
    <definedName name="S39P8" localSheetId="17">#REF!</definedName>
    <definedName name="S39P8" localSheetId="19">#REF!</definedName>
    <definedName name="S39P8">#REF!</definedName>
    <definedName name="S39P9" localSheetId="2">#REF!</definedName>
    <definedName name="S39P9" localSheetId="16">#REF!</definedName>
    <definedName name="S39P9" localSheetId="17">#REF!</definedName>
    <definedName name="S39P9" localSheetId="19">#REF!</definedName>
    <definedName name="S39P9">#REF!</definedName>
    <definedName name="S39R1" localSheetId="2">#REF!</definedName>
    <definedName name="S39R1" localSheetId="16">#REF!</definedName>
    <definedName name="S39R1" localSheetId="17">#REF!</definedName>
    <definedName name="S39R1" localSheetId="19">#REF!</definedName>
    <definedName name="S39R1">#REF!</definedName>
    <definedName name="S39R10" localSheetId="2">#REF!</definedName>
    <definedName name="S39R10" localSheetId="16">#REF!</definedName>
    <definedName name="S39R10" localSheetId="17">#REF!</definedName>
    <definedName name="S39R10" localSheetId="19">#REF!</definedName>
    <definedName name="S39R10">#REF!</definedName>
    <definedName name="S39R11" localSheetId="2">#REF!</definedName>
    <definedName name="S39R11" localSheetId="16">#REF!</definedName>
    <definedName name="S39R11" localSheetId="17">#REF!</definedName>
    <definedName name="S39R11" localSheetId="19">#REF!</definedName>
    <definedName name="S39R11">#REF!</definedName>
    <definedName name="S39R12" localSheetId="2">#REF!</definedName>
    <definedName name="S39R12" localSheetId="16">#REF!</definedName>
    <definedName name="S39R12" localSheetId="17">#REF!</definedName>
    <definedName name="S39R12" localSheetId="19">#REF!</definedName>
    <definedName name="S39R12">#REF!</definedName>
    <definedName name="S39R13" localSheetId="2">#REF!</definedName>
    <definedName name="S39R13" localSheetId="16">#REF!</definedName>
    <definedName name="S39R13" localSheetId="17">#REF!</definedName>
    <definedName name="S39R13" localSheetId="19">#REF!</definedName>
    <definedName name="S39R13">#REF!</definedName>
    <definedName name="S39R14" localSheetId="2">#REF!</definedName>
    <definedName name="S39R14" localSheetId="16">#REF!</definedName>
    <definedName name="S39R14" localSheetId="17">#REF!</definedName>
    <definedName name="S39R14" localSheetId="19">#REF!</definedName>
    <definedName name="S39R14">#REF!</definedName>
    <definedName name="S39R15" localSheetId="2">#REF!</definedName>
    <definedName name="S39R15" localSheetId="16">#REF!</definedName>
    <definedName name="S39R15" localSheetId="17">#REF!</definedName>
    <definedName name="S39R15" localSheetId="19">#REF!</definedName>
    <definedName name="S39R15">#REF!</definedName>
    <definedName name="S39R16" localSheetId="2">#REF!</definedName>
    <definedName name="S39R16" localSheetId="16">#REF!</definedName>
    <definedName name="S39R16" localSheetId="17">#REF!</definedName>
    <definedName name="S39R16" localSheetId="19">#REF!</definedName>
    <definedName name="S39R16">#REF!</definedName>
    <definedName name="S39R17" localSheetId="2">#REF!</definedName>
    <definedName name="S39R17" localSheetId="16">#REF!</definedName>
    <definedName name="S39R17" localSheetId="17">#REF!</definedName>
    <definedName name="S39R17" localSheetId="19">#REF!</definedName>
    <definedName name="S39R17">#REF!</definedName>
    <definedName name="S39R18" localSheetId="2">#REF!</definedName>
    <definedName name="S39R18" localSheetId="16">#REF!</definedName>
    <definedName name="S39R18" localSheetId="17">#REF!</definedName>
    <definedName name="S39R18" localSheetId="19">#REF!</definedName>
    <definedName name="S39R18">#REF!</definedName>
    <definedName name="S39R19" localSheetId="2">#REF!</definedName>
    <definedName name="S39R19" localSheetId="16">#REF!</definedName>
    <definedName name="S39R19" localSheetId="17">#REF!</definedName>
    <definedName name="S39R19" localSheetId="19">#REF!</definedName>
    <definedName name="S39R19">#REF!</definedName>
    <definedName name="S39R2" localSheetId="2">#REF!</definedName>
    <definedName name="S39R2" localSheetId="16">#REF!</definedName>
    <definedName name="S39R2" localSheetId="17">#REF!</definedName>
    <definedName name="S39R2" localSheetId="19">#REF!</definedName>
    <definedName name="S39R2">#REF!</definedName>
    <definedName name="S39R20" localSheetId="2">#REF!</definedName>
    <definedName name="S39R20" localSheetId="16">#REF!</definedName>
    <definedName name="S39R20" localSheetId="17">#REF!</definedName>
    <definedName name="S39R20" localSheetId="19">#REF!</definedName>
    <definedName name="S39R20">#REF!</definedName>
    <definedName name="S39R21" localSheetId="2">#REF!</definedName>
    <definedName name="S39R21" localSheetId="16">#REF!</definedName>
    <definedName name="S39R21" localSheetId="17">#REF!</definedName>
    <definedName name="S39R21" localSheetId="19">#REF!</definedName>
    <definedName name="S39R21">#REF!</definedName>
    <definedName name="S39R22" localSheetId="2">#REF!</definedName>
    <definedName name="S39R22" localSheetId="16">#REF!</definedName>
    <definedName name="S39R22" localSheetId="17">#REF!</definedName>
    <definedName name="S39R22" localSheetId="19">#REF!</definedName>
    <definedName name="S39R22">#REF!</definedName>
    <definedName name="S39R23" localSheetId="2">#REF!</definedName>
    <definedName name="S39R23" localSheetId="16">#REF!</definedName>
    <definedName name="S39R23" localSheetId="17">#REF!</definedName>
    <definedName name="S39R23" localSheetId="19">#REF!</definedName>
    <definedName name="S39R23">#REF!</definedName>
    <definedName name="S39R24" localSheetId="2">#REF!</definedName>
    <definedName name="S39R24" localSheetId="16">#REF!</definedName>
    <definedName name="S39R24" localSheetId="17">#REF!</definedName>
    <definedName name="S39R24" localSheetId="19">#REF!</definedName>
    <definedName name="S39R24">#REF!</definedName>
    <definedName name="S39R3" localSheetId="2">#REF!</definedName>
    <definedName name="S39R3" localSheetId="16">#REF!</definedName>
    <definedName name="S39R3" localSheetId="17">#REF!</definedName>
    <definedName name="S39R3" localSheetId="19">#REF!</definedName>
    <definedName name="S39R3">#REF!</definedName>
    <definedName name="S39R4" localSheetId="2">#REF!</definedName>
    <definedName name="S39R4" localSheetId="16">#REF!</definedName>
    <definedName name="S39R4" localSheetId="17">#REF!</definedName>
    <definedName name="S39R4" localSheetId="19">#REF!</definedName>
    <definedName name="S39R4">#REF!</definedName>
    <definedName name="S39R5" localSheetId="2">#REF!</definedName>
    <definedName name="S39R5" localSheetId="16">#REF!</definedName>
    <definedName name="S39R5" localSheetId="17">#REF!</definedName>
    <definedName name="S39R5" localSheetId="19">#REF!</definedName>
    <definedName name="S39R5">#REF!</definedName>
    <definedName name="S39R6" localSheetId="2">#REF!</definedName>
    <definedName name="S39R6" localSheetId="16">#REF!</definedName>
    <definedName name="S39R6" localSheetId="17">#REF!</definedName>
    <definedName name="S39R6" localSheetId="19">#REF!</definedName>
    <definedName name="S39R6">#REF!</definedName>
    <definedName name="S39R7" localSheetId="2">#REF!</definedName>
    <definedName name="S39R7" localSheetId="16">#REF!</definedName>
    <definedName name="S39R7" localSheetId="17">#REF!</definedName>
    <definedName name="S39R7" localSheetId="19">#REF!</definedName>
    <definedName name="S39R7">#REF!</definedName>
    <definedName name="S39R8" localSheetId="2">#REF!</definedName>
    <definedName name="S39R8" localSheetId="16">#REF!</definedName>
    <definedName name="S39R8" localSheetId="17">#REF!</definedName>
    <definedName name="S39R8" localSheetId="19">#REF!</definedName>
    <definedName name="S39R8">#REF!</definedName>
    <definedName name="S39R9" localSheetId="2">#REF!</definedName>
    <definedName name="S39R9" localSheetId="16">#REF!</definedName>
    <definedName name="S39R9" localSheetId="17">#REF!</definedName>
    <definedName name="S39R9" localSheetId="19">#REF!</definedName>
    <definedName name="S39R9">#REF!</definedName>
    <definedName name="S3P1" localSheetId="2">#REF!</definedName>
    <definedName name="S3P1" localSheetId="16">#REF!</definedName>
    <definedName name="S3P1" localSheetId="17">#REF!</definedName>
    <definedName name="S3P1" localSheetId="19">#REF!</definedName>
    <definedName name="S3P1">#REF!</definedName>
    <definedName name="S3P10" localSheetId="2">#REF!</definedName>
    <definedName name="S3P10" localSheetId="16">#REF!</definedName>
    <definedName name="S3P10" localSheetId="17">#REF!</definedName>
    <definedName name="S3P10" localSheetId="19">#REF!</definedName>
    <definedName name="S3P10">#REF!</definedName>
    <definedName name="S3P11" localSheetId="2">#REF!</definedName>
    <definedName name="S3P11" localSheetId="16">#REF!</definedName>
    <definedName name="S3P11" localSheetId="17">#REF!</definedName>
    <definedName name="S3P11" localSheetId="19">#REF!</definedName>
    <definedName name="S3P11">#REF!</definedName>
    <definedName name="S3P12" localSheetId="2">#REF!</definedName>
    <definedName name="S3P12" localSheetId="16">#REF!</definedName>
    <definedName name="S3P12" localSheetId="17">#REF!</definedName>
    <definedName name="S3P12" localSheetId="19">#REF!</definedName>
    <definedName name="S3P12">#REF!</definedName>
    <definedName name="S3P13" localSheetId="2">#REF!</definedName>
    <definedName name="S3P13" localSheetId="16">#REF!</definedName>
    <definedName name="S3P13" localSheetId="17">#REF!</definedName>
    <definedName name="S3P13" localSheetId="19">#REF!</definedName>
    <definedName name="S3P13">#REF!</definedName>
    <definedName name="S3P14" localSheetId="2">#REF!</definedName>
    <definedName name="S3P14" localSheetId="16">#REF!</definedName>
    <definedName name="S3P14" localSheetId="17">#REF!</definedName>
    <definedName name="S3P14" localSheetId="19">#REF!</definedName>
    <definedName name="S3P14">#REF!</definedName>
    <definedName name="S3P15" localSheetId="2">#REF!</definedName>
    <definedName name="S3P15" localSheetId="16">#REF!</definedName>
    <definedName name="S3P15" localSheetId="17">#REF!</definedName>
    <definedName name="S3P15" localSheetId="19">#REF!</definedName>
    <definedName name="S3P15">#REF!</definedName>
    <definedName name="S3P16" localSheetId="2">#REF!</definedName>
    <definedName name="S3P16" localSheetId="16">#REF!</definedName>
    <definedName name="S3P16" localSheetId="17">#REF!</definedName>
    <definedName name="S3P16" localSheetId="19">#REF!</definedName>
    <definedName name="S3P16">#REF!</definedName>
    <definedName name="S3P17" localSheetId="2">#REF!</definedName>
    <definedName name="S3P17" localSheetId="16">#REF!</definedName>
    <definedName name="S3P17" localSheetId="17">#REF!</definedName>
    <definedName name="S3P17" localSheetId="19">#REF!</definedName>
    <definedName name="S3P17">#REF!</definedName>
    <definedName name="S3P18" localSheetId="2">#REF!</definedName>
    <definedName name="S3P18" localSheetId="16">#REF!</definedName>
    <definedName name="S3P18" localSheetId="17">#REF!</definedName>
    <definedName name="S3P18" localSheetId="19">#REF!</definedName>
    <definedName name="S3P18">#REF!</definedName>
    <definedName name="S3P19" localSheetId="2">#REF!</definedName>
    <definedName name="S3P19" localSheetId="16">#REF!</definedName>
    <definedName name="S3P19" localSheetId="17">#REF!</definedName>
    <definedName name="S3P19" localSheetId="19">#REF!</definedName>
    <definedName name="S3P19">#REF!</definedName>
    <definedName name="S3P2" localSheetId="2">#REF!</definedName>
    <definedName name="S3P2" localSheetId="16">#REF!</definedName>
    <definedName name="S3P2" localSheetId="17">#REF!</definedName>
    <definedName name="S3P2" localSheetId="19">#REF!</definedName>
    <definedName name="S3P2">#REF!</definedName>
    <definedName name="S3P20" localSheetId="2">#REF!</definedName>
    <definedName name="S3P20" localSheetId="16">#REF!</definedName>
    <definedName name="S3P20" localSheetId="17">#REF!</definedName>
    <definedName name="S3P20" localSheetId="19">#REF!</definedName>
    <definedName name="S3P20">#REF!</definedName>
    <definedName name="S3P21" localSheetId="2">#REF!</definedName>
    <definedName name="S3P21" localSheetId="16">#REF!</definedName>
    <definedName name="S3P21" localSheetId="17">#REF!</definedName>
    <definedName name="S3P21" localSheetId="19">#REF!</definedName>
    <definedName name="S3P21">#REF!</definedName>
    <definedName name="S3P22" localSheetId="2">#REF!</definedName>
    <definedName name="S3P22" localSheetId="16">#REF!</definedName>
    <definedName name="S3P22" localSheetId="17">#REF!</definedName>
    <definedName name="S3P22" localSheetId="19">#REF!</definedName>
    <definedName name="S3P22">#REF!</definedName>
    <definedName name="S3P23" localSheetId="2">#REF!</definedName>
    <definedName name="S3P23" localSheetId="16">#REF!</definedName>
    <definedName name="S3P23" localSheetId="17">#REF!</definedName>
    <definedName name="S3P23" localSheetId="19">#REF!</definedName>
    <definedName name="S3P23">#REF!</definedName>
    <definedName name="S3P24" localSheetId="2">#REF!</definedName>
    <definedName name="S3P24" localSheetId="16">#REF!</definedName>
    <definedName name="S3P24" localSheetId="17">#REF!</definedName>
    <definedName name="S3P24" localSheetId="19">#REF!</definedName>
    <definedName name="S3P24">#REF!</definedName>
    <definedName name="S3P3" localSheetId="2">#REF!</definedName>
    <definedName name="S3P3" localSheetId="16">#REF!</definedName>
    <definedName name="S3P3" localSheetId="17">#REF!</definedName>
    <definedName name="S3P3" localSheetId="19">#REF!</definedName>
    <definedName name="S3P3">#REF!</definedName>
    <definedName name="S3P4" localSheetId="2">#REF!</definedName>
    <definedName name="S3P4" localSheetId="16">#REF!</definedName>
    <definedName name="S3P4" localSheetId="17">#REF!</definedName>
    <definedName name="S3P4" localSheetId="19">#REF!</definedName>
    <definedName name="S3P4">#REF!</definedName>
    <definedName name="S3P5" localSheetId="2">#REF!</definedName>
    <definedName name="S3P5" localSheetId="16">#REF!</definedName>
    <definedName name="S3P5" localSheetId="17">#REF!</definedName>
    <definedName name="S3P5" localSheetId="19">#REF!</definedName>
    <definedName name="S3P5">#REF!</definedName>
    <definedName name="S3P6" localSheetId="2">#REF!</definedName>
    <definedName name="S3P6" localSheetId="16">#REF!</definedName>
    <definedName name="S3P6" localSheetId="17">#REF!</definedName>
    <definedName name="S3P6" localSheetId="19">#REF!</definedName>
    <definedName name="S3P6">#REF!</definedName>
    <definedName name="S3P7" localSheetId="2">#REF!</definedName>
    <definedName name="S3P7" localSheetId="16">#REF!</definedName>
    <definedName name="S3P7" localSheetId="17">#REF!</definedName>
    <definedName name="S3P7" localSheetId="19">#REF!</definedName>
    <definedName name="S3P7">#REF!</definedName>
    <definedName name="S3P8" localSheetId="2">#REF!</definedName>
    <definedName name="S3P8" localSheetId="16">#REF!</definedName>
    <definedName name="S3P8" localSheetId="17">#REF!</definedName>
    <definedName name="S3P8" localSheetId="19">#REF!</definedName>
    <definedName name="S3P8">#REF!</definedName>
    <definedName name="S3P9" localSheetId="2">#REF!</definedName>
    <definedName name="S3P9" localSheetId="16">#REF!</definedName>
    <definedName name="S3P9" localSheetId="17">#REF!</definedName>
    <definedName name="S3P9" localSheetId="19">#REF!</definedName>
    <definedName name="S3P9">#REF!</definedName>
    <definedName name="S3R1" localSheetId="2">#REF!</definedName>
    <definedName name="S3R1" localSheetId="16">#REF!</definedName>
    <definedName name="S3R1" localSheetId="17">#REF!</definedName>
    <definedName name="S3R1" localSheetId="19">#REF!</definedName>
    <definedName name="S3R1">#REF!</definedName>
    <definedName name="S3R10" localSheetId="2">#REF!</definedName>
    <definedName name="S3R10" localSheetId="16">#REF!</definedName>
    <definedName name="S3R10" localSheetId="17">#REF!</definedName>
    <definedName name="S3R10" localSheetId="19">#REF!</definedName>
    <definedName name="S3R10">#REF!</definedName>
    <definedName name="S3R11" localSheetId="2">#REF!</definedName>
    <definedName name="S3R11" localSheetId="16">#REF!</definedName>
    <definedName name="S3R11" localSheetId="17">#REF!</definedName>
    <definedName name="S3R11" localSheetId="19">#REF!</definedName>
    <definedName name="S3R11">#REF!</definedName>
    <definedName name="S3R12" localSheetId="2">#REF!</definedName>
    <definedName name="S3R12" localSheetId="16">#REF!</definedName>
    <definedName name="S3R12" localSheetId="17">#REF!</definedName>
    <definedName name="S3R12" localSheetId="19">#REF!</definedName>
    <definedName name="S3R12">#REF!</definedName>
    <definedName name="S3R13" localSheetId="2">#REF!</definedName>
    <definedName name="S3R13" localSheetId="16">#REF!</definedName>
    <definedName name="S3R13" localSheetId="17">#REF!</definedName>
    <definedName name="S3R13" localSheetId="19">#REF!</definedName>
    <definedName name="S3R13">#REF!</definedName>
    <definedName name="S3R14" localSheetId="2">#REF!</definedName>
    <definedName name="S3R14" localSheetId="16">#REF!</definedName>
    <definedName name="S3R14" localSheetId="17">#REF!</definedName>
    <definedName name="S3R14" localSheetId="19">#REF!</definedName>
    <definedName name="S3R14">#REF!</definedName>
    <definedName name="S3R15" localSheetId="2">#REF!</definedName>
    <definedName name="S3R15" localSheetId="16">#REF!</definedName>
    <definedName name="S3R15" localSheetId="17">#REF!</definedName>
    <definedName name="S3R15" localSheetId="19">#REF!</definedName>
    <definedName name="S3R15">#REF!</definedName>
    <definedName name="S3R16" localSheetId="2">#REF!</definedName>
    <definedName name="S3R16" localSheetId="16">#REF!</definedName>
    <definedName name="S3R16" localSheetId="17">#REF!</definedName>
    <definedName name="S3R16" localSheetId="19">#REF!</definedName>
    <definedName name="S3R16">#REF!</definedName>
    <definedName name="S3R17" localSheetId="2">#REF!</definedName>
    <definedName name="S3R17" localSheetId="16">#REF!</definedName>
    <definedName name="S3R17" localSheetId="17">#REF!</definedName>
    <definedName name="S3R17" localSheetId="19">#REF!</definedName>
    <definedName name="S3R17">#REF!</definedName>
    <definedName name="S3R18" localSheetId="2">#REF!</definedName>
    <definedName name="S3R18" localSheetId="16">#REF!</definedName>
    <definedName name="S3R18" localSheetId="17">#REF!</definedName>
    <definedName name="S3R18" localSheetId="19">#REF!</definedName>
    <definedName name="S3R18">#REF!</definedName>
    <definedName name="S3R19" localSheetId="2">#REF!</definedName>
    <definedName name="S3R19" localSheetId="16">#REF!</definedName>
    <definedName name="S3R19" localSheetId="17">#REF!</definedName>
    <definedName name="S3R19" localSheetId="19">#REF!</definedName>
    <definedName name="S3R19">#REF!</definedName>
    <definedName name="S3R2" localSheetId="2">#REF!</definedName>
    <definedName name="S3R2" localSheetId="16">#REF!</definedName>
    <definedName name="S3R2" localSheetId="17">#REF!</definedName>
    <definedName name="S3R2" localSheetId="19">#REF!</definedName>
    <definedName name="S3R2">#REF!</definedName>
    <definedName name="S3R20" localSheetId="2">#REF!</definedName>
    <definedName name="S3R20" localSheetId="16">#REF!</definedName>
    <definedName name="S3R20" localSheetId="17">#REF!</definedName>
    <definedName name="S3R20" localSheetId="19">#REF!</definedName>
    <definedName name="S3R20">#REF!</definedName>
    <definedName name="S3R21" localSheetId="2">#REF!</definedName>
    <definedName name="S3R21" localSheetId="16">#REF!</definedName>
    <definedName name="S3R21" localSheetId="17">#REF!</definedName>
    <definedName name="S3R21" localSheetId="19">#REF!</definedName>
    <definedName name="S3R21">#REF!</definedName>
    <definedName name="S3R22" localSheetId="2">#REF!</definedName>
    <definedName name="S3R22" localSheetId="16">#REF!</definedName>
    <definedName name="S3R22" localSheetId="17">#REF!</definedName>
    <definedName name="S3R22" localSheetId="19">#REF!</definedName>
    <definedName name="S3R22">#REF!</definedName>
    <definedName name="S3R23" localSheetId="2">#REF!</definedName>
    <definedName name="S3R23" localSheetId="16">#REF!</definedName>
    <definedName name="S3R23" localSheetId="17">#REF!</definedName>
    <definedName name="S3R23" localSheetId="19">#REF!</definedName>
    <definedName name="S3R23">#REF!</definedName>
    <definedName name="S3R24" localSheetId="2">#REF!</definedName>
    <definedName name="S3R24" localSheetId="16">#REF!</definedName>
    <definedName name="S3R24" localSheetId="17">#REF!</definedName>
    <definedName name="S3R24" localSheetId="19">#REF!</definedName>
    <definedName name="S3R24">#REF!</definedName>
    <definedName name="S3R3" localSheetId="2">#REF!</definedName>
    <definedName name="S3R3" localSheetId="16">#REF!</definedName>
    <definedName name="S3R3" localSheetId="17">#REF!</definedName>
    <definedName name="S3R3" localSheetId="19">#REF!</definedName>
    <definedName name="S3R3">#REF!</definedName>
    <definedName name="S3R4" localSheetId="2">#REF!</definedName>
    <definedName name="S3R4" localSheetId="16">#REF!</definedName>
    <definedName name="S3R4" localSheetId="17">#REF!</definedName>
    <definedName name="S3R4" localSheetId="19">#REF!</definedName>
    <definedName name="S3R4">#REF!</definedName>
    <definedName name="S3R5" localSheetId="2">#REF!</definedName>
    <definedName name="S3R5" localSheetId="16">#REF!</definedName>
    <definedName name="S3R5" localSheetId="17">#REF!</definedName>
    <definedName name="S3R5" localSheetId="19">#REF!</definedName>
    <definedName name="S3R5">#REF!</definedName>
    <definedName name="S3R6" localSheetId="2">#REF!</definedName>
    <definedName name="S3R6" localSheetId="16">#REF!</definedName>
    <definedName name="S3R6" localSheetId="17">#REF!</definedName>
    <definedName name="S3R6" localSheetId="19">#REF!</definedName>
    <definedName name="S3R6">#REF!</definedName>
    <definedName name="S3R7" localSheetId="2">#REF!</definedName>
    <definedName name="S3R7" localSheetId="16">#REF!</definedName>
    <definedName name="S3R7" localSheetId="17">#REF!</definedName>
    <definedName name="S3R7" localSheetId="19">#REF!</definedName>
    <definedName name="S3R7">#REF!</definedName>
    <definedName name="S3R8" localSheetId="2">#REF!</definedName>
    <definedName name="S3R8" localSheetId="16">#REF!</definedName>
    <definedName name="S3R8" localSheetId="17">#REF!</definedName>
    <definedName name="S3R8" localSheetId="19">#REF!</definedName>
    <definedName name="S3R8">#REF!</definedName>
    <definedName name="S3R9" localSheetId="2">#REF!</definedName>
    <definedName name="S3R9" localSheetId="16">#REF!</definedName>
    <definedName name="S3R9" localSheetId="17">#REF!</definedName>
    <definedName name="S3R9" localSheetId="19">#REF!</definedName>
    <definedName name="S3R9">#REF!</definedName>
    <definedName name="S40P1" localSheetId="2">#REF!</definedName>
    <definedName name="S40P1" localSheetId="16">#REF!</definedName>
    <definedName name="S40P1" localSheetId="17">#REF!</definedName>
    <definedName name="S40P1" localSheetId="19">#REF!</definedName>
    <definedName name="S40P1">#REF!</definedName>
    <definedName name="S40P10" localSheetId="2">#REF!</definedName>
    <definedName name="S40P10" localSheetId="16">#REF!</definedName>
    <definedName name="S40P10" localSheetId="17">#REF!</definedName>
    <definedName name="S40P10" localSheetId="19">#REF!</definedName>
    <definedName name="S40P10">#REF!</definedName>
    <definedName name="S40P11" localSheetId="2">#REF!</definedName>
    <definedName name="S40P11" localSheetId="16">#REF!</definedName>
    <definedName name="S40P11" localSheetId="17">#REF!</definedName>
    <definedName name="S40P11" localSheetId="19">#REF!</definedName>
    <definedName name="S40P11">#REF!</definedName>
    <definedName name="S40P12" localSheetId="2">#REF!</definedName>
    <definedName name="S40P12" localSheetId="16">#REF!</definedName>
    <definedName name="S40P12" localSheetId="17">#REF!</definedName>
    <definedName name="S40P12" localSheetId="19">#REF!</definedName>
    <definedName name="S40P12">#REF!</definedName>
    <definedName name="S40P13" localSheetId="2">#REF!</definedName>
    <definedName name="S40P13" localSheetId="16">#REF!</definedName>
    <definedName name="S40P13" localSheetId="17">#REF!</definedName>
    <definedName name="S40P13" localSheetId="19">#REF!</definedName>
    <definedName name="S40P13">#REF!</definedName>
    <definedName name="S40P14" localSheetId="2">#REF!</definedName>
    <definedName name="S40P14" localSheetId="16">#REF!</definedName>
    <definedName name="S40P14" localSheetId="17">#REF!</definedName>
    <definedName name="S40P14" localSheetId="19">#REF!</definedName>
    <definedName name="S40P14">#REF!</definedName>
    <definedName name="S40P15" localSheetId="2">#REF!</definedName>
    <definedName name="S40P15" localSheetId="16">#REF!</definedName>
    <definedName name="S40P15" localSheetId="17">#REF!</definedName>
    <definedName name="S40P15" localSheetId="19">#REF!</definedName>
    <definedName name="S40P15">#REF!</definedName>
    <definedName name="S40P16" localSheetId="2">#REF!</definedName>
    <definedName name="S40P16" localSheetId="16">#REF!</definedName>
    <definedName name="S40P16" localSheetId="17">#REF!</definedName>
    <definedName name="S40P16" localSheetId="19">#REF!</definedName>
    <definedName name="S40P16">#REF!</definedName>
    <definedName name="S40P17" localSheetId="2">#REF!</definedName>
    <definedName name="S40P17" localSheetId="16">#REF!</definedName>
    <definedName name="S40P17" localSheetId="17">#REF!</definedName>
    <definedName name="S40P17" localSheetId="19">#REF!</definedName>
    <definedName name="S40P17">#REF!</definedName>
    <definedName name="S40P18" localSheetId="2">#REF!</definedName>
    <definedName name="S40P18" localSheetId="16">#REF!</definedName>
    <definedName name="S40P18" localSheetId="17">#REF!</definedName>
    <definedName name="S40P18" localSheetId="19">#REF!</definedName>
    <definedName name="S40P18">#REF!</definedName>
    <definedName name="S40P19" localSheetId="2">#REF!</definedName>
    <definedName name="S40P19" localSheetId="16">#REF!</definedName>
    <definedName name="S40P19" localSheetId="17">#REF!</definedName>
    <definedName name="S40P19" localSheetId="19">#REF!</definedName>
    <definedName name="S40P19">#REF!</definedName>
    <definedName name="S40P2" localSheetId="2">#REF!</definedName>
    <definedName name="S40P2" localSheetId="16">#REF!</definedName>
    <definedName name="S40P2" localSheetId="17">#REF!</definedName>
    <definedName name="S40P2" localSheetId="19">#REF!</definedName>
    <definedName name="S40P2">#REF!</definedName>
    <definedName name="S40P20" localSheetId="2">#REF!</definedName>
    <definedName name="S40P20" localSheetId="16">#REF!</definedName>
    <definedName name="S40P20" localSheetId="17">#REF!</definedName>
    <definedName name="S40P20" localSheetId="19">#REF!</definedName>
    <definedName name="S40P20">#REF!</definedName>
    <definedName name="S40P21" localSheetId="2">#REF!</definedName>
    <definedName name="S40P21" localSheetId="16">#REF!</definedName>
    <definedName name="S40P21" localSheetId="17">#REF!</definedName>
    <definedName name="S40P21" localSheetId="19">#REF!</definedName>
    <definedName name="S40P21">#REF!</definedName>
    <definedName name="S40P22" localSheetId="2">#REF!</definedName>
    <definedName name="S40P22" localSheetId="16">#REF!</definedName>
    <definedName name="S40P22" localSheetId="17">#REF!</definedName>
    <definedName name="S40P22" localSheetId="19">#REF!</definedName>
    <definedName name="S40P22">#REF!</definedName>
    <definedName name="S40P23" localSheetId="2">#REF!</definedName>
    <definedName name="S40P23" localSheetId="16">#REF!</definedName>
    <definedName name="S40P23" localSheetId="17">#REF!</definedName>
    <definedName name="S40P23" localSheetId="19">#REF!</definedName>
    <definedName name="S40P23">#REF!</definedName>
    <definedName name="S40P24" localSheetId="2">#REF!</definedName>
    <definedName name="S40P24" localSheetId="16">#REF!</definedName>
    <definedName name="S40P24" localSheetId="17">#REF!</definedName>
    <definedName name="S40P24" localSheetId="19">#REF!</definedName>
    <definedName name="S40P24">#REF!</definedName>
    <definedName name="S40P3" localSheetId="2">#REF!</definedName>
    <definedName name="S40P3" localSheetId="16">#REF!</definedName>
    <definedName name="S40P3" localSheetId="17">#REF!</definedName>
    <definedName name="S40P3" localSheetId="19">#REF!</definedName>
    <definedName name="S40P3">#REF!</definedName>
    <definedName name="S40P4" localSheetId="2">#REF!</definedName>
    <definedName name="S40P4" localSheetId="16">#REF!</definedName>
    <definedName name="S40P4" localSheetId="17">#REF!</definedName>
    <definedName name="S40P4" localSheetId="19">#REF!</definedName>
    <definedName name="S40P4">#REF!</definedName>
    <definedName name="S40P5" localSheetId="2">#REF!</definedName>
    <definedName name="S40P5" localSheetId="16">#REF!</definedName>
    <definedName name="S40P5" localSheetId="17">#REF!</definedName>
    <definedName name="S40P5" localSheetId="19">#REF!</definedName>
    <definedName name="S40P5">#REF!</definedName>
    <definedName name="S40P6" localSheetId="2">#REF!</definedName>
    <definedName name="S40P6" localSheetId="16">#REF!</definedName>
    <definedName name="S40P6" localSheetId="17">#REF!</definedName>
    <definedName name="S40P6" localSheetId="19">#REF!</definedName>
    <definedName name="S40P6">#REF!</definedName>
    <definedName name="S40P7" localSheetId="2">#REF!</definedName>
    <definedName name="S40P7" localSheetId="16">#REF!</definedName>
    <definedName name="S40P7" localSheetId="17">#REF!</definedName>
    <definedName name="S40P7" localSheetId="19">#REF!</definedName>
    <definedName name="S40P7">#REF!</definedName>
    <definedName name="S40P8" localSheetId="2">#REF!</definedName>
    <definedName name="S40P8" localSheetId="16">#REF!</definedName>
    <definedName name="S40P8" localSheetId="17">#REF!</definedName>
    <definedName name="S40P8" localSheetId="19">#REF!</definedName>
    <definedName name="S40P8">#REF!</definedName>
    <definedName name="S40P9" localSheetId="2">#REF!</definedName>
    <definedName name="S40P9" localSheetId="16">#REF!</definedName>
    <definedName name="S40P9" localSheetId="17">#REF!</definedName>
    <definedName name="S40P9" localSheetId="19">#REF!</definedName>
    <definedName name="S40P9">#REF!</definedName>
    <definedName name="S40R1" localSheetId="2">#REF!</definedName>
    <definedName name="S40R1" localSheetId="16">#REF!</definedName>
    <definedName name="S40R1" localSheetId="17">#REF!</definedName>
    <definedName name="S40R1" localSheetId="19">#REF!</definedName>
    <definedName name="S40R1">#REF!</definedName>
    <definedName name="S40R10" localSheetId="2">#REF!</definedName>
    <definedName name="S40R10" localSheetId="16">#REF!</definedName>
    <definedName name="S40R10" localSheetId="17">#REF!</definedName>
    <definedName name="S40R10" localSheetId="19">#REF!</definedName>
    <definedName name="S40R10">#REF!</definedName>
    <definedName name="S40R11" localSheetId="2">#REF!</definedName>
    <definedName name="S40R11" localSheetId="16">#REF!</definedName>
    <definedName name="S40R11" localSheetId="17">#REF!</definedName>
    <definedName name="S40R11" localSheetId="19">#REF!</definedName>
    <definedName name="S40R11">#REF!</definedName>
    <definedName name="S40R12" localSheetId="2">#REF!</definedName>
    <definedName name="S40R12" localSheetId="16">#REF!</definedName>
    <definedName name="S40R12" localSheetId="17">#REF!</definedName>
    <definedName name="S40R12" localSheetId="19">#REF!</definedName>
    <definedName name="S40R12">#REF!</definedName>
    <definedName name="S40R13" localSheetId="2">#REF!</definedName>
    <definedName name="S40R13" localSheetId="16">#REF!</definedName>
    <definedName name="S40R13" localSheetId="17">#REF!</definedName>
    <definedName name="S40R13" localSheetId="19">#REF!</definedName>
    <definedName name="S40R13">#REF!</definedName>
    <definedName name="S40R14" localSheetId="2">#REF!</definedName>
    <definedName name="S40R14" localSheetId="16">#REF!</definedName>
    <definedName name="S40R14" localSheetId="17">#REF!</definedName>
    <definedName name="S40R14" localSheetId="19">#REF!</definedName>
    <definedName name="S40R14">#REF!</definedName>
    <definedName name="S40R15" localSheetId="2">#REF!</definedName>
    <definedName name="S40R15" localSheetId="16">#REF!</definedName>
    <definedName name="S40R15" localSheetId="17">#REF!</definedName>
    <definedName name="S40R15" localSheetId="19">#REF!</definedName>
    <definedName name="S40R15">#REF!</definedName>
    <definedName name="S40R16" localSheetId="2">#REF!</definedName>
    <definedName name="S40R16" localSheetId="16">#REF!</definedName>
    <definedName name="S40R16" localSheetId="17">#REF!</definedName>
    <definedName name="S40R16" localSheetId="19">#REF!</definedName>
    <definedName name="S40R16">#REF!</definedName>
    <definedName name="S40R17" localSheetId="2">#REF!</definedName>
    <definedName name="S40R17" localSheetId="16">#REF!</definedName>
    <definedName name="S40R17" localSheetId="17">#REF!</definedName>
    <definedName name="S40R17" localSheetId="19">#REF!</definedName>
    <definedName name="S40R17">#REF!</definedName>
    <definedName name="S40R18" localSheetId="2">#REF!</definedName>
    <definedName name="S40R18" localSheetId="16">#REF!</definedName>
    <definedName name="S40R18" localSheetId="17">#REF!</definedName>
    <definedName name="S40R18" localSheetId="19">#REF!</definedName>
    <definedName name="S40R18">#REF!</definedName>
    <definedName name="S40R19" localSheetId="2">#REF!</definedName>
    <definedName name="S40R19" localSheetId="16">#REF!</definedName>
    <definedName name="S40R19" localSheetId="17">#REF!</definedName>
    <definedName name="S40R19" localSheetId="19">#REF!</definedName>
    <definedName name="S40R19">#REF!</definedName>
    <definedName name="S40R2" localSheetId="2">#REF!</definedName>
    <definedName name="S40R2" localSheetId="16">#REF!</definedName>
    <definedName name="S40R2" localSheetId="17">#REF!</definedName>
    <definedName name="S40R2" localSheetId="19">#REF!</definedName>
    <definedName name="S40R2">#REF!</definedName>
    <definedName name="S40R20" localSheetId="2">#REF!</definedName>
    <definedName name="S40R20" localSheetId="16">#REF!</definedName>
    <definedName name="S40R20" localSheetId="17">#REF!</definedName>
    <definedName name="S40R20" localSheetId="19">#REF!</definedName>
    <definedName name="S40R20">#REF!</definedName>
    <definedName name="S40R21" localSheetId="2">#REF!</definedName>
    <definedName name="S40R21" localSheetId="16">#REF!</definedName>
    <definedName name="S40R21" localSheetId="17">#REF!</definedName>
    <definedName name="S40R21" localSheetId="19">#REF!</definedName>
    <definedName name="S40R21">#REF!</definedName>
    <definedName name="S40R22" localSheetId="2">#REF!</definedName>
    <definedName name="S40R22" localSheetId="16">#REF!</definedName>
    <definedName name="S40R22" localSheetId="17">#REF!</definedName>
    <definedName name="S40R22" localSheetId="19">#REF!</definedName>
    <definedName name="S40R22">#REF!</definedName>
    <definedName name="S40R23" localSheetId="2">#REF!</definedName>
    <definedName name="S40R23" localSheetId="16">#REF!</definedName>
    <definedName name="S40R23" localSheetId="17">#REF!</definedName>
    <definedName name="S40R23" localSheetId="19">#REF!</definedName>
    <definedName name="S40R23">#REF!</definedName>
    <definedName name="S40R24" localSheetId="2">#REF!</definedName>
    <definedName name="S40R24" localSheetId="16">#REF!</definedName>
    <definedName name="S40R24" localSheetId="17">#REF!</definedName>
    <definedName name="S40R24" localSheetId="19">#REF!</definedName>
    <definedName name="S40R24">#REF!</definedName>
    <definedName name="S40R3" localSheetId="2">#REF!</definedName>
    <definedName name="S40R3" localSheetId="16">#REF!</definedName>
    <definedName name="S40R3" localSheetId="17">#REF!</definedName>
    <definedName name="S40R3" localSheetId="19">#REF!</definedName>
    <definedName name="S40R3">#REF!</definedName>
    <definedName name="S40R4" localSheetId="2">#REF!</definedName>
    <definedName name="S40R4" localSheetId="16">#REF!</definedName>
    <definedName name="S40R4" localSheetId="17">#REF!</definedName>
    <definedName name="S40R4" localSheetId="19">#REF!</definedName>
    <definedName name="S40R4">#REF!</definedName>
    <definedName name="S40R5" localSheetId="2">#REF!</definedName>
    <definedName name="S40R5" localSheetId="16">#REF!</definedName>
    <definedName name="S40R5" localSheetId="17">#REF!</definedName>
    <definedName name="S40R5" localSheetId="19">#REF!</definedName>
    <definedName name="S40R5">#REF!</definedName>
    <definedName name="S40R6" localSheetId="2">#REF!</definedName>
    <definedName name="S40R6" localSheetId="16">#REF!</definedName>
    <definedName name="S40R6" localSheetId="17">#REF!</definedName>
    <definedName name="S40R6" localSheetId="19">#REF!</definedName>
    <definedName name="S40R6">#REF!</definedName>
    <definedName name="S40R7" localSheetId="2">#REF!</definedName>
    <definedName name="S40R7" localSheetId="16">#REF!</definedName>
    <definedName name="S40R7" localSheetId="17">#REF!</definedName>
    <definedName name="S40R7" localSheetId="19">#REF!</definedName>
    <definedName name="S40R7">#REF!</definedName>
    <definedName name="S40R8" localSheetId="2">#REF!</definedName>
    <definedName name="S40R8" localSheetId="16">#REF!</definedName>
    <definedName name="S40R8" localSheetId="17">#REF!</definedName>
    <definedName name="S40R8" localSheetId="19">#REF!</definedName>
    <definedName name="S40R8">#REF!</definedName>
    <definedName name="S40R9" localSheetId="2">#REF!</definedName>
    <definedName name="S40R9" localSheetId="16">#REF!</definedName>
    <definedName name="S40R9" localSheetId="17">#REF!</definedName>
    <definedName name="S40R9" localSheetId="19">#REF!</definedName>
    <definedName name="S40R9">#REF!</definedName>
    <definedName name="S41P1" localSheetId="2">#REF!</definedName>
    <definedName name="S41P1" localSheetId="16">#REF!</definedName>
    <definedName name="S41P1" localSheetId="17">#REF!</definedName>
    <definedName name="S41P1" localSheetId="19">#REF!</definedName>
    <definedName name="S41P1">#REF!</definedName>
    <definedName name="S41P10" localSheetId="2">#REF!</definedName>
    <definedName name="S41P10" localSheetId="16">#REF!</definedName>
    <definedName name="S41P10" localSheetId="17">#REF!</definedName>
    <definedName name="S41P10" localSheetId="19">#REF!</definedName>
    <definedName name="S41P10">#REF!</definedName>
    <definedName name="S41P11" localSheetId="2">#REF!</definedName>
    <definedName name="S41P11" localSheetId="16">#REF!</definedName>
    <definedName name="S41P11" localSheetId="17">#REF!</definedName>
    <definedName name="S41P11" localSheetId="19">#REF!</definedName>
    <definedName name="S41P11">#REF!</definedName>
    <definedName name="S41P12" localSheetId="2">#REF!</definedName>
    <definedName name="S41P12" localSheetId="16">#REF!</definedName>
    <definedName name="S41P12" localSheetId="17">#REF!</definedName>
    <definedName name="S41P12" localSheetId="19">#REF!</definedName>
    <definedName name="S41P12">#REF!</definedName>
    <definedName name="S41P13" localSheetId="2">#REF!</definedName>
    <definedName name="S41P13" localSheetId="16">#REF!</definedName>
    <definedName name="S41P13" localSheetId="17">#REF!</definedName>
    <definedName name="S41P13" localSheetId="19">#REF!</definedName>
    <definedName name="S41P13">#REF!</definedName>
    <definedName name="S41P14" localSheetId="2">#REF!</definedName>
    <definedName name="S41P14" localSheetId="16">#REF!</definedName>
    <definedName name="S41P14" localSheetId="17">#REF!</definedName>
    <definedName name="S41P14" localSheetId="19">#REF!</definedName>
    <definedName name="S41P14">#REF!</definedName>
    <definedName name="S41P15" localSheetId="2">#REF!</definedName>
    <definedName name="S41P15" localSheetId="16">#REF!</definedName>
    <definedName name="S41P15" localSheetId="17">#REF!</definedName>
    <definedName name="S41P15" localSheetId="19">#REF!</definedName>
    <definedName name="S41P15">#REF!</definedName>
    <definedName name="S41P16" localSheetId="2">#REF!</definedName>
    <definedName name="S41P16" localSheetId="16">#REF!</definedName>
    <definedName name="S41P16" localSheetId="17">#REF!</definedName>
    <definedName name="S41P16" localSheetId="19">#REF!</definedName>
    <definedName name="S41P16">#REF!</definedName>
    <definedName name="S41P17" localSheetId="2">#REF!</definedName>
    <definedName name="S41P17" localSheetId="16">#REF!</definedName>
    <definedName name="S41P17" localSheetId="17">#REF!</definedName>
    <definedName name="S41P17" localSheetId="19">#REF!</definedName>
    <definedName name="S41P17">#REF!</definedName>
    <definedName name="S41P18" localSheetId="2">#REF!</definedName>
    <definedName name="S41P18" localSheetId="16">#REF!</definedName>
    <definedName name="S41P18" localSheetId="17">#REF!</definedName>
    <definedName name="S41P18" localSheetId="19">#REF!</definedName>
    <definedName name="S41P18">#REF!</definedName>
    <definedName name="S41P19" localSheetId="2">#REF!</definedName>
    <definedName name="S41P19" localSheetId="16">#REF!</definedName>
    <definedName name="S41P19" localSheetId="17">#REF!</definedName>
    <definedName name="S41P19" localSheetId="19">#REF!</definedName>
    <definedName name="S41P19">#REF!</definedName>
    <definedName name="S41P2" localSheetId="2">#REF!</definedName>
    <definedName name="S41P2" localSheetId="16">#REF!</definedName>
    <definedName name="S41P2" localSheetId="17">#REF!</definedName>
    <definedName name="S41P2" localSheetId="19">#REF!</definedName>
    <definedName name="S41P2">#REF!</definedName>
    <definedName name="S41P20" localSheetId="2">#REF!</definedName>
    <definedName name="S41P20" localSheetId="16">#REF!</definedName>
    <definedName name="S41P20" localSheetId="17">#REF!</definedName>
    <definedName name="S41P20" localSheetId="19">#REF!</definedName>
    <definedName name="S41P20">#REF!</definedName>
    <definedName name="S41P21" localSheetId="2">#REF!</definedName>
    <definedName name="S41P21" localSheetId="16">#REF!</definedName>
    <definedName name="S41P21" localSheetId="17">#REF!</definedName>
    <definedName name="S41P21" localSheetId="19">#REF!</definedName>
    <definedName name="S41P21">#REF!</definedName>
    <definedName name="S41P22" localSheetId="2">#REF!</definedName>
    <definedName name="S41P22" localSheetId="16">#REF!</definedName>
    <definedName name="S41P22" localSheetId="17">#REF!</definedName>
    <definedName name="S41P22" localSheetId="19">#REF!</definedName>
    <definedName name="S41P22">#REF!</definedName>
    <definedName name="S41P23" localSheetId="2">#REF!</definedName>
    <definedName name="S41P23" localSheetId="16">#REF!</definedName>
    <definedName name="S41P23" localSheetId="17">#REF!</definedName>
    <definedName name="S41P23" localSheetId="19">#REF!</definedName>
    <definedName name="S41P23">#REF!</definedName>
    <definedName name="S41P24" localSheetId="2">#REF!</definedName>
    <definedName name="S41P24" localSheetId="16">#REF!</definedName>
    <definedName name="S41P24" localSheetId="17">#REF!</definedName>
    <definedName name="S41P24" localSheetId="19">#REF!</definedName>
    <definedName name="S41P24">#REF!</definedName>
    <definedName name="S41P3" localSheetId="2">#REF!</definedName>
    <definedName name="S41P3" localSheetId="16">#REF!</definedName>
    <definedName name="S41P3" localSheetId="17">#REF!</definedName>
    <definedName name="S41P3" localSheetId="19">#REF!</definedName>
    <definedName name="S41P3">#REF!</definedName>
    <definedName name="S41P4" localSheetId="2">#REF!</definedName>
    <definedName name="S41P4" localSheetId="16">#REF!</definedName>
    <definedName name="S41P4" localSheetId="17">#REF!</definedName>
    <definedName name="S41P4" localSheetId="19">#REF!</definedName>
    <definedName name="S41P4">#REF!</definedName>
    <definedName name="S41P5" localSheetId="2">#REF!</definedName>
    <definedName name="S41P5" localSheetId="16">#REF!</definedName>
    <definedName name="S41P5" localSheetId="17">#REF!</definedName>
    <definedName name="S41P5" localSheetId="19">#REF!</definedName>
    <definedName name="S41P5">#REF!</definedName>
    <definedName name="S41P6" localSheetId="2">#REF!</definedName>
    <definedName name="S41P6" localSheetId="16">#REF!</definedName>
    <definedName name="S41P6" localSheetId="17">#REF!</definedName>
    <definedName name="S41P6" localSheetId="19">#REF!</definedName>
    <definedName name="S41P6">#REF!</definedName>
    <definedName name="S41P7" localSheetId="2">#REF!</definedName>
    <definedName name="S41P7" localSheetId="16">#REF!</definedName>
    <definedName name="S41P7" localSheetId="17">#REF!</definedName>
    <definedName name="S41P7" localSheetId="19">#REF!</definedName>
    <definedName name="S41P7">#REF!</definedName>
    <definedName name="S41P8" localSheetId="2">#REF!</definedName>
    <definedName name="S41P8" localSheetId="16">#REF!</definedName>
    <definedName name="S41P8" localSheetId="17">#REF!</definedName>
    <definedName name="S41P8" localSheetId="19">#REF!</definedName>
    <definedName name="S41P8">#REF!</definedName>
    <definedName name="S41P9" localSheetId="2">#REF!</definedName>
    <definedName name="S41P9" localSheetId="16">#REF!</definedName>
    <definedName name="S41P9" localSheetId="17">#REF!</definedName>
    <definedName name="S41P9" localSheetId="19">#REF!</definedName>
    <definedName name="S41P9">#REF!</definedName>
    <definedName name="S41R1" localSheetId="2">#REF!</definedName>
    <definedName name="S41R1" localSheetId="16">#REF!</definedName>
    <definedName name="S41R1" localSheetId="17">#REF!</definedName>
    <definedName name="S41R1" localSheetId="19">#REF!</definedName>
    <definedName name="S41R1">#REF!</definedName>
    <definedName name="S41R10" localSheetId="2">#REF!</definedName>
    <definedName name="S41R10" localSheetId="16">#REF!</definedName>
    <definedName name="S41R10" localSheetId="17">#REF!</definedName>
    <definedName name="S41R10" localSheetId="19">#REF!</definedName>
    <definedName name="S41R10">#REF!</definedName>
    <definedName name="S41R11" localSheetId="2">#REF!</definedName>
    <definedName name="S41R11" localSheetId="16">#REF!</definedName>
    <definedName name="S41R11" localSheetId="17">#REF!</definedName>
    <definedName name="S41R11" localSheetId="19">#REF!</definedName>
    <definedName name="S41R11">#REF!</definedName>
    <definedName name="S41R12" localSheetId="2">#REF!</definedName>
    <definedName name="S41R12" localSheetId="16">#REF!</definedName>
    <definedName name="S41R12" localSheetId="17">#REF!</definedName>
    <definedName name="S41R12" localSheetId="19">#REF!</definedName>
    <definedName name="S41R12">#REF!</definedName>
    <definedName name="S41R13" localSheetId="2">#REF!</definedName>
    <definedName name="S41R13" localSheetId="16">#REF!</definedName>
    <definedName name="S41R13" localSheetId="17">#REF!</definedName>
    <definedName name="S41R13" localSheetId="19">#REF!</definedName>
    <definedName name="S41R13">#REF!</definedName>
    <definedName name="S41R14" localSheetId="2">#REF!</definedName>
    <definedName name="S41R14" localSheetId="16">#REF!</definedName>
    <definedName name="S41R14" localSheetId="17">#REF!</definedName>
    <definedName name="S41R14" localSheetId="19">#REF!</definedName>
    <definedName name="S41R14">#REF!</definedName>
    <definedName name="S41R15" localSheetId="2">#REF!</definedName>
    <definedName name="S41R15" localSheetId="16">#REF!</definedName>
    <definedName name="S41R15" localSheetId="17">#REF!</definedName>
    <definedName name="S41R15" localSheetId="19">#REF!</definedName>
    <definedName name="S41R15">#REF!</definedName>
    <definedName name="S41R16" localSheetId="2">#REF!</definedName>
    <definedName name="S41R16" localSheetId="16">#REF!</definedName>
    <definedName name="S41R16" localSheetId="17">#REF!</definedName>
    <definedName name="S41R16" localSheetId="19">#REF!</definedName>
    <definedName name="S41R16">#REF!</definedName>
    <definedName name="S41R17" localSheetId="2">#REF!</definedName>
    <definedName name="S41R17" localSheetId="16">#REF!</definedName>
    <definedName name="S41R17" localSheetId="17">#REF!</definedName>
    <definedName name="S41R17" localSheetId="19">#REF!</definedName>
    <definedName name="S41R17">#REF!</definedName>
    <definedName name="S41R18" localSheetId="2">#REF!</definedName>
    <definedName name="S41R18" localSheetId="16">#REF!</definedName>
    <definedName name="S41R18" localSheetId="17">#REF!</definedName>
    <definedName name="S41R18" localSheetId="19">#REF!</definedName>
    <definedName name="S41R18">#REF!</definedName>
    <definedName name="S41R19" localSheetId="2">#REF!</definedName>
    <definedName name="S41R19" localSheetId="16">#REF!</definedName>
    <definedName name="S41R19" localSheetId="17">#REF!</definedName>
    <definedName name="S41R19" localSheetId="19">#REF!</definedName>
    <definedName name="S41R19">#REF!</definedName>
    <definedName name="S41R2" localSheetId="2">#REF!</definedName>
    <definedName name="S41R2" localSheetId="16">#REF!</definedName>
    <definedName name="S41R2" localSheetId="17">#REF!</definedName>
    <definedName name="S41R2" localSheetId="19">#REF!</definedName>
    <definedName name="S41R2">#REF!</definedName>
    <definedName name="S41R20" localSheetId="2">#REF!</definedName>
    <definedName name="S41R20" localSheetId="16">#REF!</definedName>
    <definedName name="S41R20" localSheetId="17">#REF!</definedName>
    <definedName name="S41R20" localSheetId="19">#REF!</definedName>
    <definedName name="S41R20">#REF!</definedName>
    <definedName name="S41R21" localSheetId="2">#REF!</definedName>
    <definedName name="S41R21" localSheetId="16">#REF!</definedName>
    <definedName name="S41R21" localSheetId="17">#REF!</definedName>
    <definedName name="S41R21" localSheetId="19">#REF!</definedName>
    <definedName name="S41R21">#REF!</definedName>
    <definedName name="S41R22" localSheetId="2">#REF!</definedName>
    <definedName name="S41R22" localSheetId="16">#REF!</definedName>
    <definedName name="S41R22" localSheetId="17">#REF!</definedName>
    <definedName name="S41R22" localSheetId="19">#REF!</definedName>
    <definedName name="S41R22">#REF!</definedName>
    <definedName name="S41R23" localSheetId="2">#REF!</definedName>
    <definedName name="S41R23" localSheetId="16">#REF!</definedName>
    <definedName name="S41R23" localSheetId="17">#REF!</definedName>
    <definedName name="S41R23" localSheetId="19">#REF!</definedName>
    <definedName name="S41R23">#REF!</definedName>
    <definedName name="S41R24" localSheetId="2">#REF!</definedName>
    <definedName name="S41R24" localSheetId="16">#REF!</definedName>
    <definedName name="S41R24" localSheetId="17">#REF!</definedName>
    <definedName name="S41R24" localSheetId="19">#REF!</definedName>
    <definedName name="S41R24">#REF!</definedName>
    <definedName name="S41R3" localSheetId="2">#REF!</definedName>
    <definedName name="S41R3" localSheetId="16">#REF!</definedName>
    <definedName name="S41R3" localSheetId="17">#REF!</definedName>
    <definedName name="S41R3" localSheetId="19">#REF!</definedName>
    <definedName name="S41R3">#REF!</definedName>
    <definedName name="S41R4" localSheetId="2">#REF!</definedName>
    <definedName name="S41R4" localSheetId="16">#REF!</definedName>
    <definedName name="S41R4" localSheetId="17">#REF!</definedName>
    <definedName name="S41R4" localSheetId="19">#REF!</definedName>
    <definedName name="S41R4">#REF!</definedName>
    <definedName name="S41R5" localSheetId="2">#REF!</definedName>
    <definedName name="S41R5" localSheetId="16">#REF!</definedName>
    <definedName name="S41R5" localSheetId="17">#REF!</definedName>
    <definedName name="S41R5" localSheetId="19">#REF!</definedName>
    <definedName name="S41R5">#REF!</definedName>
    <definedName name="S41R6" localSheetId="2">#REF!</definedName>
    <definedName name="S41R6" localSheetId="16">#REF!</definedName>
    <definedName name="S41R6" localSheetId="17">#REF!</definedName>
    <definedName name="S41R6" localSheetId="19">#REF!</definedName>
    <definedName name="S41R6">#REF!</definedName>
    <definedName name="S41R7" localSheetId="2">#REF!</definedName>
    <definedName name="S41R7" localSheetId="16">#REF!</definedName>
    <definedName name="S41R7" localSheetId="17">#REF!</definedName>
    <definedName name="S41R7" localSheetId="19">#REF!</definedName>
    <definedName name="S41R7">#REF!</definedName>
    <definedName name="S41R8" localSheetId="2">#REF!</definedName>
    <definedName name="S41R8" localSheetId="16">#REF!</definedName>
    <definedName name="S41R8" localSheetId="17">#REF!</definedName>
    <definedName name="S41R8" localSheetId="19">#REF!</definedName>
    <definedName name="S41R8">#REF!</definedName>
    <definedName name="S41R9" localSheetId="2">#REF!</definedName>
    <definedName name="S41R9" localSheetId="16">#REF!</definedName>
    <definedName name="S41R9" localSheetId="17">#REF!</definedName>
    <definedName name="S41R9" localSheetId="19">#REF!</definedName>
    <definedName name="S41R9">#REF!</definedName>
    <definedName name="S42P1" localSheetId="2">#REF!</definedName>
    <definedName name="S42P1" localSheetId="16">#REF!</definedName>
    <definedName name="S42P1" localSheetId="17">#REF!</definedName>
    <definedName name="S42P1" localSheetId="19">#REF!</definedName>
    <definedName name="S42P1">#REF!</definedName>
    <definedName name="S42P10" localSheetId="2">#REF!</definedName>
    <definedName name="S42P10" localSheetId="16">#REF!</definedName>
    <definedName name="S42P10" localSheetId="17">#REF!</definedName>
    <definedName name="S42P10" localSheetId="19">#REF!</definedName>
    <definedName name="S42P10">#REF!</definedName>
    <definedName name="S42P11" localSheetId="2">#REF!</definedName>
    <definedName name="S42P11" localSheetId="16">#REF!</definedName>
    <definedName name="S42P11" localSheetId="17">#REF!</definedName>
    <definedName name="S42P11" localSheetId="19">#REF!</definedName>
    <definedName name="S42P11">#REF!</definedName>
    <definedName name="S42P12" localSheetId="2">#REF!</definedName>
    <definedName name="S42P12" localSheetId="16">#REF!</definedName>
    <definedName name="S42P12" localSheetId="17">#REF!</definedName>
    <definedName name="S42P12" localSheetId="19">#REF!</definedName>
    <definedName name="S42P12">#REF!</definedName>
    <definedName name="S42P13" localSheetId="2">#REF!</definedName>
    <definedName name="S42P13" localSheetId="16">#REF!</definedName>
    <definedName name="S42P13" localSheetId="17">#REF!</definedName>
    <definedName name="S42P13" localSheetId="19">#REF!</definedName>
    <definedName name="S42P13">#REF!</definedName>
    <definedName name="S42P14" localSheetId="2">#REF!</definedName>
    <definedName name="S42P14" localSheetId="16">#REF!</definedName>
    <definedName name="S42P14" localSheetId="17">#REF!</definedName>
    <definedName name="S42P14" localSheetId="19">#REF!</definedName>
    <definedName name="S42P14">#REF!</definedName>
    <definedName name="S42P15" localSheetId="2">#REF!</definedName>
    <definedName name="S42P15" localSheetId="16">#REF!</definedName>
    <definedName name="S42P15" localSheetId="17">#REF!</definedName>
    <definedName name="S42P15" localSheetId="19">#REF!</definedName>
    <definedName name="S42P15">#REF!</definedName>
    <definedName name="S42P16" localSheetId="2">#REF!</definedName>
    <definedName name="S42P16" localSheetId="16">#REF!</definedName>
    <definedName name="S42P16" localSheetId="17">#REF!</definedName>
    <definedName name="S42P16" localSheetId="19">#REF!</definedName>
    <definedName name="S42P16">#REF!</definedName>
    <definedName name="S42P17" localSheetId="2">#REF!</definedName>
    <definedName name="S42P17" localSheetId="16">#REF!</definedName>
    <definedName name="S42P17" localSheetId="17">#REF!</definedName>
    <definedName name="S42P17" localSheetId="19">#REF!</definedName>
    <definedName name="S42P17">#REF!</definedName>
    <definedName name="S42P18" localSheetId="2">#REF!</definedName>
    <definedName name="S42P18" localSheetId="16">#REF!</definedName>
    <definedName name="S42P18" localSheetId="17">#REF!</definedName>
    <definedName name="S42P18" localSheetId="19">#REF!</definedName>
    <definedName name="S42P18">#REF!</definedName>
    <definedName name="S42P19" localSheetId="2">#REF!</definedName>
    <definedName name="S42P19" localSheetId="16">#REF!</definedName>
    <definedName name="S42P19" localSheetId="17">#REF!</definedName>
    <definedName name="S42P19" localSheetId="19">#REF!</definedName>
    <definedName name="S42P19">#REF!</definedName>
    <definedName name="S42P2" localSheetId="2">#REF!</definedName>
    <definedName name="S42P2" localSheetId="16">#REF!</definedName>
    <definedName name="S42P2" localSheetId="17">#REF!</definedName>
    <definedName name="S42P2" localSheetId="19">#REF!</definedName>
    <definedName name="S42P2">#REF!</definedName>
    <definedName name="S42P20" localSheetId="2">#REF!</definedName>
    <definedName name="S42P20" localSheetId="16">#REF!</definedName>
    <definedName name="S42P20" localSheetId="17">#REF!</definedName>
    <definedName name="S42P20" localSheetId="19">#REF!</definedName>
    <definedName name="S42P20">#REF!</definedName>
    <definedName name="S42P21" localSheetId="2">#REF!</definedName>
    <definedName name="S42P21" localSheetId="16">#REF!</definedName>
    <definedName name="S42P21" localSheetId="17">#REF!</definedName>
    <definedName name="S42P21" localSheetId="19">#REF!</definedName>
    <definedName name="S42P21">#REF!</definedName>
    <definedName name="S42P22" localSheetId="2">#REF!</definedName>
    <definedName name="S42P22" localSheetId="16">#REF!</definedName>
    <definedName name="S42P22" localSheetId="17">#REF!</definedName>
    <definedName name="S42P22" localSheetId="19">#REF!</definedName>
    <definedName name="S42P22">#REF!</definedName>
    <definedName name="S42P23" localSheetId="2">#REF!</definedName>
    <definedName name="S42P23" localSheetId="16">#REF!</definedName>
    <definedName name="S42P23" localSheetId="17">#REF!</definedName>
    <definedName name="S42P23" localSheetId="19">#REF!</definedName>
    <definedName name="S42P23">#REF!</definedName>
    <definedName name="S42P24" localSheetId="2">#REF!</definedName>
    <definedName name="S42P24" localSheetId="16">#REF!</definedName>
    <definedName name="S42P24" localSheetId="17">#REF!</definedName>
    <definedName name="S42P24" localSheetId="19">#REF!</definedName>
    <definedName name="S42P24">#REF!</definedName>
    <definedName name="S42P3" localSheetId="2">#REF!</definedName>
    <definedName name="S42P3" localSheetId="16">#REF!</definedName>
    <definedName name="S42P3" localSheetId="17">#REF!</definedName>
    <definedName name="S42P3" localSheetId="19">#REF!</definedName>
    <definedName name="S42P3">#REF!</definedName>
    <definedName name="S42P4" localSheetId="2">#REF!</definedName>
    <definedName name="S42P4" localSheetId="16">#REF!</definedName>
    <definedName name="S42P4" localSheetId="17">#REF!</definedName>
    <definedName name="S42P4" localSheetId="19">#REF!</definedName>
    <definedName name="S42P4">#REF!</definedName>
    <definedName name="S42P5" localSheetId="2">#REF!</definedName>
    <definedName name="S42P5" localSheetId="16">#REF!</definedName>
    <definedName name="S42P5" localSheetId="17">#REF!</definedName>
    <definedName name="S42P5" localSheetId="19">#REF!</definedName>
    <definedName name="S42P5">#REF!</definedName>
    <definedName name="S42P6" localSheetId="2">#REF!</definedName>
    <definedName name="S42P6" localSheetId="16">#REF!</definedName>
    <definedName name="S42P6" localSheetId="17">#REF!</definedName>
    <definedName name="S42P6" localSheetId="19">#REF!</definedName>
    <definedName name="S42P6">#REF!</definedName>
    <definedName name="S42P7" localSheetId="2">#REF!</definedName>
    <definedName name="S42P7" localSheetId="16">#REF!</definedName>
    <definedName name="S42P7" localSheetId="17">#REF!</definedName>
    <definedName name="S42P7" localSheetId="19">#REF!</definedName>
    <definedName name="S42P7">#REF!</definedName>
    <definedName name="S42P8" localSheetId="2">#REF!</definedName>
    <definedName name="S42P8" localSheetId="16">#REF!</definedName>
    <definedName name="S42P8" localSheetId="17">#REF!</definedName>
    <definedName name="S42P8" localSheetId="19">#REF!</definedName>
    <definedName name="S42P8">#REF!</definedName>
    <definedName name="S42P9" localSheetId="2">#REF!</definedName>
    <definedName name="S42P9" localSheetId="16">#REF!</definedName>
    <definedName name="S42P9" localSheetId="17">#REF!</definedName>
    <definedName name="S42P9" localSheetId="19">#REF!</definedName>
    <definedName name="S42P9">#REF!</definedName>
    <definedName name="S42R1" localSheetId="2">#REF!</definedName>
    <definedName name="S42R1" localSheetId="16">#REF!</definedName>
    <definedName name="S42R1" localSheetId="17">#REF!</definedName>
    <definedName name="S42R1" localSheetId="19">#REF!</definedName>
    <definedName name="S42R1">#REF!</definedName>
    <definedName name="S42R10" localSheetId="2">#REF!</definedName>
    <definedName name="S42R10" localSheetId="16">#REF!</definedName>
    <definedName name="S42R10" localSheetId="17">#REF!</definedName>
    <definedName name="S42R10" localSheetId="19">#REF!</definedName>
    <definedName name="S42R10">#REF!</definedName>
    <definedName name="S42R11" localSheetId="2">#REF!</definedName>
    <definedName name="S42R11" localSheetId="16">#REF!</definedName>
    <definedName name="S42R11" localSheetId="17">#REF!</definedName>
    <definedName name="S42R11" localSheetId="19">#REF!</definedName>
    <definedName name="S42R11">#REF!</definedName>
    <definedName name="S42R12" localSheetId="2">#REF!</definedName>
    <definedName name="S42R12" localSheetId="16">#REF!</definedName>
    <definedName name="S42R12" localSheetId="17">#REF!</definedName>
    <definedName name="S42R12" localSheetId="19">#REF!</definedName>
    <definedName name="S42R12">#REF!</definedName>
    <definedName name="S42R13" localSheetId="2">#REF!</definedName>
    <definedName name="S42R13" localSheetId="16">#REF!</definedName>
    <definedName name="S42R13" localSheetId="17">#REF!</definedName>
    <definedName name="S42R13" localSheetId="19">#REF!</definedName>
    <definedName name="S42R13">#REF!</definedName>
    <definedName name="S42R14" localSheetId="2">#REF!</definedName>
    <definedName name="S42R14" localSheetId="16">#REF!</definedName>
    <definedName name="S42R14" localSheetId="17">#REF!</definedName>
    <definedName name="S42R14" localSheetId="19">#REF!</definedName>
    <definedName name="S42R14">#REF!</definedName>
    <definedName name="S42R15" localSheetId="2">#REF!</definedName>
    <definedName name="S42R15" localSheetId="16">#REF!</definedName>
    <definedName name="S42R15" localSheetId="17">#REF!</definedName>
    <definedName name="S42R15" localSheetId="19">#REF!</definedName>
    <definedName name="S42R15">#REF!</definedName>
    <definedName name="S42R16" localSheetId="2">#REF!</definedName>
    <definedName name="S42R16" localSheetId="16">#REF!</definedName>
    <definedName name="S42R16" localSheetId="17">#REF!</definedName>
    <definedName name="S42R16" localSheetId="19">#REF!</definedName>
    <definedName name="S42R16">#REF!</definedName>
    <definedName name="S42R17" localSheetId="2">#REF!</definedName>
    <definedName name="S42R17" localSheetId="16">#REF!</definedName>
    <definedName name="S42R17" localSheetId="17">#REF!</definedName>
    <definedName name="S42R17" localSheetId="19">#REF!</definedName>
    <definedName name="S42R17">#REF!</definedName>
    <definedName name="S42R18" localSheetId="2">#REF!</definedName>
    <definedName name="S42R18" localSheetId="16">#REF!</definedName>
    <definedName name="S42R18" localSheetId="17">#REF!</definedName>
    <definedName name="S42R18" localSheetId="19">#REF!</definedName>
    <definedName name="S42R18">#REF!</definedName>
    <definedName name="S42R19" localSheetId="2">#REF!</definedName>
    <definedName name="S42R19" localSheetId="16">#REF!</definedName>
    <definedName name="S42R19" localSheetId="17">#REF!</definedName>
    <definedName name="S42R19" localSheetId="19">#REF!</definedName>
    <definedName name="S42R19">#REF!</definedName>
    <definedName name="S42R2" localSheetId="2">#REF!</definedName>
    <definedName name="S42R2" localSheetId="16">#REF!</definedName>
    <definedName name="S42R2" localSheetId="17">#REF!</definedName>
    <definedName name="S42R2" localSheetId="19">#REF!</definedName>
    <definedName name="S42R2">#REF!</definedName>
    <definedName name="S42R20" localSheetId="2">#REF!</definedName>
    <definedName name="S42R20" localSheetId="16">#REF!</definedName>
    <definedName name="S42R20" localSheetId="17">#REF!</definedName>
    <definedName name="S42R20" localSheetId="19">#REF!</definedName>
    <definedName name="S42R20">#REF!</definedName>
    <definedName name="S42R21" localSheetId="2">#REF!</definedName>
    <definedName name="S42R21" localSheetId="16">#REF!</definedName>
    <definedName name="S42R21" localSheetId="17">#REF!</definedName>
    <definedName name="S42R21" localSheetId="19">#REF!</definedName>
    <definedName name="S42R21">#REF!</definedName>
    <definedName name="S42R22" localSheetId="2">#REF!</definedName>
    <definedName name="S42R22" localSheetId="16">#REF!</definedName>
    <definedName name="S42R22" localSheetId="17">#REF!</definedName>
    <definedName name="S42R22" localSheetId="19">#REF!</definedName>
    <definedName name="S42R22">#REF!</definedName>
    <definedName name="S42R23" localSheetId="2">#REF!</definedName>
    <definedName name="S42R23" localSheetId="16">#REF!</definedName>
    <definedName name="S42R23" localSheetId="17">#REF!</definedName>
    <definedName name="S42R23" localSheetId="19">#REF!</definedName>
    <definedName name="S42R23">#REF!</definedName>
    <definedName name="S42R24" localSheetId="2">#REF!</definedName>
    <definedName name="S42R24" localSheetId="16">#REF!</definedName>
    <definedName name="S42R24" localSheetId="17">#REF!</definedName>
    <definedName name="S42R24" localSheetId="19">#REF!</definedName>
    <definedName name="S42R24">#REF!</definedName>
    <definedName name="S42R3" localSheetId="2">#REF!</definedName>
    <definedName name="S42R3" localSheetId="16">#REF!</definedName>
    <definedName name="S42R3" localSheetId="17">#REF!</definedName>
    <definedName name="S42R3" localSheetId="19">#REF!</definedName>
    <definedName name="S42R3">#REF!</definedName>
    <definedName name="S42R4" localSheetId="2">#REF!</definedName>
    <definedName name="S42R4" localSheetId="16">#REF!</definedName>
    <definedName name="S42R4" localSheetId="17">#REF!</definedName>
    <definedName name="S42R4" localSheetId="19">#REF!</definedName>
    <definedName name="S42R4">#REF!</definedName>
    <definedName name="S42R5" localSheetId="2">#REF!</definedName>
    <definedName name="S42R5" localSheetId="16">#REF!</definedName>
    <definedName name="S42R5" localSheetId="17">#REF!</definedName>
    <definedName name="S42R5" localSheetId="19">#REF!</definedName>
    <definedName name="S42R5">#REF!</definedName>
    <definedName name="S42R6" localSheetId="2">#REF!</definedName>
    <definedName name="S42R6" localSheetId="16">#REF!</definedName>
    <definedName name="S42R6" localSheetId="17">#REF!</definedName>
    <definedName name="S42R6" localSheetId="19">#REF!</definedName>
    <definedName name="S42R6">#REF!</definedName>
    <definedName name="S42R7" localSheetId="2">#REF!</definedName>
    <definedName name="S42R7" localSheetId="16">#REF!</definedName>
    <definedName name="S42R7" localSheetId="17">#REF!</definedName>
    <definedName name="S42R7" localSheetId="19">#REF!</definedName>
    <definedName name="S42R7">#REF!</definedName>
    <definedName name="S42R8" localSheetId="2">#REF!</definedName>
    <definedName name="S42R8" localSheetId="16">#REF!</definedName>
    <definedName name="S42R8" localSheetId="17">#REF!</definedName>
    <definedName name="S42R8" localSheetId="19">#REF!</definedName>
    <definedName name="S42R8">#REF!</definedName>
    <definedName name="S42R9" localSheetId="2">#REF!</definedName>
    <definedName name="S42R9" localSheetId="16">#REF!</definedName>
    <definedName name="S42R9" localSheetId="17">#REF!</definedName>
    <definedName name="S42R9" localSheetId="19">#REF!</definedName>
    <definedName name="S42R9">#REF!</definedName>
    <definedName name="S43P1" localSheetId="2">#REF!</definedName>
    <definedName name="S43P1" localSheetId="16">#REF!</definedName>
    <definedName name="S43P1" localSheetId="17">#REF!</definedName>
    <definedName name="S43P1" localSheetId="19">#REF!</definedName>
    <definedName name="S43P1">#REF!</definedName>
    <definedName name="S43P10" localSheetId="2">#REF!</definedName>
    <definedName name="S43P10" localSheetId="16">#REF!</definedName>
    <definedName name="S43P10" localSheetId="17">#REF!</definedName>
    <definedName name="S43P10" localSheetId="19">#REF!</definedName>
    <definedName name="S43P10">#REF!</definedName>
    <definedName name="S43P11" localSheetId="2">#REF!</definedName>
    <definedName name="S43P11" localSheetId="16">#REF!</definedName>
    <definedName name="S43P11" localSheetId="17">#REF!</definedName>
    <definedName name="S43P11" localSheetId="19">#REF!</definedName>
    <definedName name="S43P11">#REF!</definedName>
    <definedName name="S43P12" localSheetId="2">#REF!</definedName>
    <definedName name="S43P12" localSheetId="16">#REF!</definedName>
    <definedName name="S43P12" localSheetId="17">#REF!</definedName>
    <definedName name="S43P12" localSheetId="19">#REF!</definedName>
    <definedName name="S43P12">#REF!</definedName>
    <definedName name="S43P13" localSheetId="2">#REF!</definedName>
    <definedName name="S43P13" localSheetId="16">#REF!</definedName>
    <definedName name="S43P13" localSheetId="17">#REF!</definedName>
    <definedName name="S43P13" localSheetId="19">#REF!</definedName>
    <definedName name="S43P13">#REF!</definedName>
    <definedName name="S43P14" localSheetId="2">#REF!</definedName>
    <definedName name="S43P14" localSheetId="16">#REF!</definedName>
    <definedName name="S43P14" localSheetId="17">#REF!</definedName>
    <definedName name="S43P14" localSheetId="19">#REF!</definedName>
    <definedName name="S43P14">#REF!</definedName>
    <definedName name="S43P15" localSheetId="2">#REF!</definedName>
    <definedName name="S43P15" localSheetId="16">#REF!</definedName>
    <definedName name="S43P15" localSheetId="17">#REF!</definedName>
    <definedName name="S43P15" localSheetId="19">#REF!</definedName>
    <definedName name="S43P15">#REF!</definedName>
    <definedName name="S43P16" localSheetId="2">#REF!</definedName>
    <definedName name="S43P16" localSheetId="16">#REF!</definedName>
    <definedName name="S43P16" localSheetId="17">#REF!</definedName>
    <definedName name="S43P16" localSheetId="19">#REF!</definedName>
    <definedName name="S43P16">#REF!</definedName>
    <definedName name="S43P17" localSheetId="2">#REF!</definedName>
    <definedName name="S43P17" localSheetId="16">#REF!</definedName>
    <definedName name="S43P17" localSheetId="17">#REF!</definedName>
    <definedName name="S43P17" localSheetId="19">#REF!</definedName>
    <definedName name="S43P17">#REF!</definedName>
    <definedName name="S43P18" localSheetId="2">#REF!</definedName>
    <definedName name="S43P18" localSheetId="16">#REF!</definedName>
    <definedName name="S43P18" localSheetId="17">#REF!</definedName>
    <definedName name="S43P18" localSheetId="19">#REF!</definedName>
    <definedName name="S43P18">#REF!</definedName>
    <definedName name="S43P19" localSheetId="2">#REF!</definedName>
    <definedName name="S43P19" localSheetId="16">#REF!</definedName>
    <definedName name="S43P19" localSheetId="17">#REF!</definedName>
    <definedName name="S43P19" localSheetId="19">#REF!</definedName>
    <definedName name="S43P19">#REF!</definedName>
    <definedName name="S43P2" localSheetId="2">#REF!</definedName>
    <definedName name="S43P2" localSheetId="16">#REF!</definedName>
    <definedName name="S43P2" localSheetId="17">#REF!</definedName>
    <definedName name="S43P2" localSheetId="19">#REF!</definedName>
    <definedName name="S43P2">#REF!</definedName>
    <definedName name="S43P20" localSheetId="2">#REF!</definedName>
    <definedName name="S43P20" localSheetId="16">#REF!</definedName>
    <definedName name="S43P20" localSheetId="17">#REF!</definedName>
    <definedName name="S43P20" localSheetId="19">#REF!</definedName>
    <definedName name="S43P20">#REF!</definedName>
    <definedName name="S43P21" localSheetId="2">#REF!</definedName>
    <definedName name="S43P21" localSheetId="16">#REF!</definedName>
    <definedName name="S43P21" localSheetId="17">#REF!</definedName>
    <definedName name="S43P21" localSheetId="19">#REF!</definedName>
    <definedName name="S43P21">#REF!</definedName>
    <definedName name="S43P22" localSheetId="2">#REF!</definedName>
    <definedName name="S43P22" localSheetId="16">#REF!</definedName>
    <definedName name="S43P22" localSheetId="17">#REF!</definedName>
    <definedName name="S43P22" localSheetId="19">#REF!</definedName>
    <definedName name="S43P22">#REF!</definedName>
    <definedName name="S43P23" localSheetId="2">#REF!</definedName>
    <definedName name="S43P23" localSheetId="16">#REF!</definedName>
    <definedName name="S43P23" localSheetId="17">#REF!</definedName>
    <definedName name="S43P23" localSheetId="19">#REF!</definedName>
    <definedName name="S43P23">#REF!</definedName>
    <definedName name="S43P24" localSheetId="2">#REF!</definedName>
    <definedName name="S43P24" localSheetId="16">#REF!</definedName>
    <definedName name="S43P24" localSheetId="17">#REF!</definedName>
    <definedName name="S43P24" localSheetId="19">#REF!</definedName>
    <definedName name="S43P24">#REF!</definedName>
    <definedName name="S43P3" localSheetId="2">#REF!</definedName>
    <definedName name="S43P3" localSheetId="16">#REF!</definedName>
    <definedName name="S43P3" localSheetId="17">#REF!</definedName>
    <definedName name="S43P3" localSheetId="19">#REF!</definedName>
    <definedName name="S43P3">#REF!</definedName>
    <definedName name="S43P4" localSheetId="2">#REF!</definedName>
    <definedName name="S43P4" localSheetId="16">#REF!</definedName>
    <definedName name="S43P4" localSheetId="17">#REF!</definedName>
    <definedName name="S43P4" localSheetId="19">#REF!</definedName>
    <definedName name="S43P4">#REF!</definedName>
    <definedName name="S43P5" localSheetId="2">#REF!</definedName>
    <definedName name="S43P5" localSheetId="16">#REF!</definedName>
    <definedName name="S43P5" localSheetId="17">#REF!</definedName>
    <definedName name="S43P5" localSheetId="19">#REF!</definedName>
    <definedName name="S43P5">#REF!</definedName>
    <definedName name="S43P6" localSheetId="2">#REF!</definedName>
    <definedName name="S43P6" localSheetId="16">#REF!</definedName>
    <definedName name="S43P6" localSheetId="17">#REF!</definedName>
    <definedName name="S43P6" localSheetId="19">#REF!</definedName>
    <definedName name="S43P6">#REF!</definedName>
    <definedName name="S43P7" localSheetId="2">#REF!</definedName>
    <definedName name="S43P7" localSheetId="16">#REF!</definedName>
    <definedName name="S43P7" localSheetId="17">#REF!</definedName>
    <definedName name="S43P7" localSheetId="19">#REF!</definedName>
    <definedName name="S43P7">#REF!</definedName>
    <definedName name="S43P8" localSheetId="2">#REF!</definedName>
    <definedName name="S43P8" localSheetId="16">#REF!</definedName>
    <definedName name="S43P8" localSheetId="17">#REF!</definedName>
    <definedName name="S43P8" localSheetId="19">#REF!</definedName>
    <definedName name="S43P8">#REF!</definedName>
    <definedName name="S43P9" localSheetId="2">#REF!</definedName>
    <definedName name="S43P9" localSheetId="16">#REF!</definedName>
    <definedName name="S43P9" localSheetId="17">#REF!</definedName>
    <definedName name="S43P9" localSheetId="19">#REF!</definedName>
    <definedName name="S43P9">#REF!</definedName>
    <definedName name="S43R1" localSheetId="2">#REF!</definedName>
    <definedName name="S43R1" localSheetId="16">#REF!</definedName>
    <definedName name="S43R1" localSheetId="17">#REF!</definedName>
    <definedName name="S43R1" localSheetId="19">#REF!</definedName>
    <definedName name="S43R1">#REF!</definedName>
    <definedName name="S43R10" localSheetId="2">#REF!</definedName>
    <definedName name="S43R10" localSheetId="16">#REF!</definedName>
    <definedName name="S43R10" localSheetId="17">#REF!</definedName>
    <definedName name="S43R10" localSheetId="19">#REF!</definedName>
    <definedName name="S43R10">#REF!</definedName>
    <definedName name="S43R11" localSheetId="2">#REF!</definedName>
    <definedName name="S43R11" localSheetId="16">#REF!</definedName>
    <definedName name="S43R11" localSheetId="17">#REF!</definedName>
    <definedName name="S43R11" localSheetId="19">#REF!</definedName>
    <definedName name="S43R11">#REF!</definedName>
    <definedName name="S43R12" localSheetId="2">#REF!</definedName>
    <definedName name="S43R12" localSheetId="16">#REF!</definedName>
    <definedName name="S43R12" localSheetId="17">#REF!</definedName>
    <definedName name="S43R12" localSheetId="19">#REF!</definedName>
    <definedName name="S43R12">#REF!</definedName>
    <definedName name="S43R13" localSheetId="2">#REF!</definedName>
    <definedName name="S43R13" localSheetId="16">#REF!</definedName>
    <definedName name="S43R13" localSheetId="17">#REF!</definedName>
    <definedName name="S43R13" localSheetId="19">#REF!</definedName>
    <definedName name="S43R13">#REF!</definedName>
    <definedName name="S43R14" localSheetId="2">#REF!</definedName>
    <definedName name="S43R14" localSheetId="16">#REF!</definedName>
    <definedName name="S43R14" localSheetId="17">#REF!</definedName>
    <definedName name="S43R14" localSheetId="19">#REF!</definedName>
    <definedName name="S43R14">#REF!</definedName>
    <definedName name="S43R15" localSheetId="2">#REF!</definedName>
    <definedName name="S43R15" localSheetId="16">#REF!</definedName>
    <definedName name="S43R15" localSheetId="17">#REF!</definedName>
    <definedName name="S43R15" localSheetId="19">#REF!</definedName>
    <definedName name="S43R15">#REF!</definedName>
    <definedName name="S43R16" localSheetId="2">#REF!</definedName>
    <definedName name="S43R16" localSheetId="16">#REF!</definedName>
    <definedName name="S43R16" localSheetId="17">#REF!</definedName>
    <definedName name="S43R16" localSheetId="19">#REF!</definedName>
    <definedName name="S43R16">#REF!</definedName>
    <definedName name="S43R17" localSheetId="2">#REF!</definedName>
    <definedName name="S43R17" localSheetId="16">#REF!</definedName>
    <definedName name="S43R17" localSheetId="17">#REF!</definedName>
    <definedName name="S43R17" localSheetId="19">#REF!</definedName>
    <definedName name="S43R17">#REF!</definedName>
    <definedName name="S43R18" localSheetId="2">#REF!</definedName>
    <definedName name="S43R18" localSheetId="16">#REF!</definedName>
    <definedName name="S43R18" localSheetId="17">#REF!</definedName>
    <definedName name="S43R18" localSheetId="19">#REF!</definedName>
    <definedName name="S43R18">#REF!</definedName>
    <definedName name="S43R19" localSheetId="2">#REF!</definedName>
    <definedName name="S43R19" localSheetId="16">#REF!</definedName>
    <definedName name="S43R19" localSheetId="17">#REF!</definedName>
    <definedName name="S43R19" localSheetId="19">#REF!</definedName>
    <definedName name="S43R19">#REF!</definedName>
    <definedName name="S43R2" localSheetId="2">#REF!</definedName>
    <definedName name="S43R2" localSheetId="16">#REF!</definedName>
    <definedName name="S43R2" localSheetId="17">#REF!</definedName>
    <definedName name="S43R2" localSheetId="19">#REF!</definedName>
    <definedName name="S43R2">#REF!</definedName>
    <definedName name="S43R20" localSheetId="2">#REF!</definedName>
    <definedName name="S43R20" localSheetId="16">#REF!</definedName>
    <definedName name="S43R20" localSheetId="17">#REF!</definedName>
    <definedName name="S43R20" localSheetId="19">#REF!</definedName>
    <definedName name="S43R20">#REF!</definedName>
    <definedName name="S43R21" localSheetId="2">#REF!</definedName>
    <definedName name="S43R21" localSheetId="16">#REF!</definedName>
    <definedName name="S43R21" localSheetId="17">#REF!</definedName>
    <definedName name="S43R21" localSheetId="19">#REF!</definedName>
    <definedName name="S43R21">#REF!</definedName>
    <definedName name="S43R22" localSheetId="2">#REF!</definedName>
    <definedName name="S43R22" localSheetId="16">#REF!</definedName>
    <definedName name="S43R22" localSheetId="17">#REF!</definedName>
    <definedName name="S43R22" localSheetId="19">#REF!</definedName>
    <definedName name="S43R22">#REF!</definedName>
    <definedName name="S43R23" localSheetId="2">#REF!</definedName>
    <definedName name="S43R23" localSheetId="16">#REF!</definedName>
    <definedName name="S43R23" localSheetId="17">#REF!</definedName>
    <definedName name="S43R23" localSheetId="19">#REF!</definedName>
    <definedName name="S43R23">#REF!</definedName>
    <definedName name="S43R24" localSheetId="2">#REF!</definedName>
    <definedName name="S43R24" localSheetId="16">#REF!</definedName>
    <definedName name="S43R24" localSheetId="17">#REF!</definedName>
    <definedName name="S43R24" localSheetId="19">#REF!</definedName>
    <definedName name="S43R24">#REF!</definedName>
    <definedName name="S43R3" localSheetId="2">#REF!</definedName>
    <definedName name="S43R3" localSheetId="16">#REF!</definedName>
    <definedName name="S43R3" localSheetId="17">#REF!</definedName>
    <definedName name="S43R3" localSheetId="19">#REF!</definedName>
    <definedName name="S43R3">#REF!</definedName>
    <definedName name="S43R4" localSheetId="2">#REF!</definedName>
    <definedName name="S43R4" localSheetId="16">#REF!</definedName>
    <definedName name="S43R4" localSheetId="17">#REF!</definedName>
    <definedName name="S43R4" localSheetId="19">#REF!</definedName>
    <definedName name="S43R4">#REF!</definedName>
    <definedName name="S43R5" localSheetId="2">#REF!</definedName>
    <definedName name="S43R5" localSheetId="16">#REF!</definedName>
    <definedName name="S43R5" localSheetId="17">#REF!</definedName>
    <definedName name="S43R5" localSheetId="19">#REF!</definedName>
    <definedName name="S43R5">#REF!</definedName>
    <definedName name="S43R6" localSheetId="2">#REF!</definedName>
    <definedName name="S43R6" localSheetId="16">#REF!</definedName>
    <definedName name="S43R6" localSheetId="17">#REF!</definedName>
    <definedName name="S43R6" localSheetId="19">#REF!</definedName>
    <definedName name="S43R6">#REF!</definedName>
    <definedName name="S43R7" localSheetId="2">#REF!</definedName>
    <definedName name="S43R7" localSheetId="16">#REF!</definedName>
    <definedName name="S43R7" localSheetId="17">#REF!</definedName>
    <definedName name="S43R7" localSheetId="19">#REF!</definedName>
    <definedName name="S43R7">#REF!</definedName>
    <definedName name="S43R8" localSheetId="2">#REF!</definedName>
    <definedName name="S43R8" localSheetId="16">#REF!</definedName>
    <definedName name="S43R8" localSheetId="17">#REF!</definedName>
    <definedName name="S43R8" localSheetId="19">#REF!</definedName>
    <definedName name="S43R8">#REF!</definedName>
    <definedName name="S43R9" localSheetId="2">#REF!</definedName>
    <definedName name="S43R9" localSheetId="16">#REF!</definedName>
    <definedName name="S43R9" localSheetId="17">#REF!</definedName>
    <definedName name="S43R9" localSheetId="19">#REF!</definedName>
    <definedName name="S43R9">#REF!</definedName>
    <definedName name="S44P1" localSheetId="2">#REF!</definedName>
    <definedName name="S44P1" localSheetId="16">#REF!</definedName>
    <definedName name="S44P1" localSheetId="17">#REF!</definedName>
    <definedName name="S44P1" localSheetId="19">#REF!</definedName>
    <definedName name="S44P1">#REF!</definedName>
    <definedName name="S44P10" localSheetId="2">#REF!</definedName>
    <definedName name="S44P10" localSheetId="16">#REF!</definedName>
    <definedName name="S44P10" localSheetId="17">#REF!</definedName>
    <definedName name="S44P10" localSheetId="19">#REF!</definedName>
    <definedName name="S44P10">#REF!</definedName>
    <definedName name="S44P11" localSheetId="2">#REF!</definedName>
    <definedName name="S44P11" localSheetId="16">#REF!</definedName>
    <definedName name="S44P11" localSheetId="17">#REF!</definedName>
    <definedName name="S44P11" localSheetId="19">#REF!</definedName>
    <definedName name="S44P11">#REF!</definedName>
    <definedName name="S44P12" localSheetId="2">#REF!</definedName>
    <definedName name="S44P12" localSheetId="16">#REF!</definedName>
    <definedName name="S44P12" localSheetId="17">#REF!</definedName>
    <definedName name="S44P12" localSheetId="19">#REF!</definedName>
    <definedName name="S44P12">#REF!</definedName>
    <definedName name="S44P13" localSheetId="2">#REF!</definedName>
    <definedName name="S44P13" localSheetId="16">#REF!</definedName>
    <definedName name="S44P13" localSheetId="17">#REF!</definedName>
    <definedName name="S44P13" localSheetId="19">#REF!</definedName>
    <definedName name="S44P13">#REF!</definedName>
    <definedName name="S44P14" localSheetId="2">#REF!</definedName>
    <definedName name="S44P14" localSheetId="16">#REF!</definedName>
    <definedName name="S44P14" localSheetId="17">#REF!</definedName>
    <definedName name="S44P14" localSheetId="19">#REF!</definedName>
    <definedName name="S44P14">#REF!</definedName>
    <definedName name="S44P15" localSheetId="2">#REF!</definedName>
    <definedName name="S44P15" localSheetId="16">#REF!</definedName>
    <definedName name="S44P15" localSheetId="17">#REF!</definedName>
    <definedName name="S44P15" localSheetId="19">#REF!</definedName>
    <definedName name="S44P15">#REF!</definedName>
    <definedName name="S44P16" localSheetId="2">#REF!</definedName>
    <definedName name="S44P16" localSheetId="16">#REF!</definedName>
    <definedName name="S44P16" localSheetId="17">#REF!</definedName>
    <definedName name="S44P16" localSheetId="19">#REF!</definedName>
    <definedName name="S44P16">#REF!</definedName>
    <definedName name="S44P17" localSheetId="2">#REF!</definedName>
    <definedName name="S44P17" localSheetId="16">#REF!</definedName>
    <definedName name="S44P17" localSheetId="17">#REF!</definedName>
    <definedName name="S44P17" localSheetId="19">#REF!</definedName>
    <definedName name="S44P17">#REF!</definedName>
    <definedName name="S44P18" localSheetId="2">#REF!</definedName>
    <definedName name="S44P18" localSheetId="16">#REF!</definedName>
    <definedName name="S44P18" localSheetId="17">#REF!</definedName>
    <definedName name="S44P18" localSheetId="19">#REF!</definedName>
    <definedName name="S44P18">#REF!</definedName>
    <definedName name="S44P19" localSheetId="2">#REF!</definedName>
    <definedName name="S44P19" localSheetId="16">#REF!</definedName>
    <definedName name="S44P19" localSheetId="17">#REF!</definedName>
    <definedName name="S44P19" localSheetId="19">#REF!</definedName>
    <definedName name="S44P19">#REF!</definedName>
    <definedName name="S44P2" localSheetId="2">#REF!</definedName>
    <definedName name="S44P2" localSheetId="16">#REF!</definedName>
    <definedName name="S44P2" localSheetId="17">#REF!</definedName>
    <definedName name="S44P2" localSheetId="19">#REF!</definedName>
    <definedName name="S44P2">#REF!</definedName>
    <definedName name="S44P20" localSheetId="2">#REF!</definedName>
    <definedName name="S44P20" localSheetId="16">#REF!</definedName>
    <definedName name="S44P20" localSheetId="17">#REF!</definedName>
    <definedName name="S44P20" localSheetId="19">#REF!</definedName>
    <definedName name="S44P20">#REF!</definedName>
    <definedName name="S44P21" localSheetId="2">#REF!</definedName>
    <definedName name="S44P21" localSheetId="16">#REF!</definedName>
    <definedName name="S44P21" localSheetId="17">#REF!</definedName>
    <definedName name="S44P21" localSheetId="19">#REF!</definedName>
    <definedName name="S44P21">#REF!</definedName>
    <definedName name="S44P22" localSheetId="2">#REF!</definedName>
    <definedName name="S44P22" localSheetId="16">#REF!</definedName>
    <definedName name="S44P22" localSheetId="17">#REF!</definedName>
    <definedName name="S44P22" localSheetId="19">#REF!</definedName>
    <definedName name="S44P22">#REF!</definedName>
    <definedName name="S44P23" localSheetId="2">#REF!</definedName>
    <definedName name="S44P23" localSheetId="16">#REF!</definedName>
    <definedName name="S44P23" localSheetId="17">#REF!</definedName>
    <definedName name="S44P23" localSheetId="19">#REF!</definedName>
    <definedName name="S44P23">#REF!</definedName>
    <definedName name="S44P24" localSheetId="2">#REF!</definedName>
    <definedName name="S44P24" localSheetId="16">#REF!</definedName>
    <definedName name="S44P24" localSheetId="17">#REF!</definedName>
    <definedName name="S44P24" localSheetId="19">#REF!</definedName>
    <definedName name="S44P24">#REF!</definedName>
    <definedName name="S44P3" localSheetId="2">#REF!</definedName>
    <definedName name="S44P3" localSheetId="16">#REF!</definedName>
    <definedName name="S44P3" localSheetId="17">#REF!</definedName>
    <definedName name="S44P3" localSheetId="19">#REF!</definedName>
    <definedName name="S44P3">#REF!</definedName>
    <definedName name="S44P4" localSheetId="2">#REF!</definedName>
    <definedName name="S44P4" localSheetId="16">#REF!</definedName>
    <definedName name="S44P4" localSheetId="17">#REF!</definedName>
    <definedName name="S44P4" localSheetId="19">#REF!</definedName>
    <definedName name="S44P4">#REF!</definedName>
    <definedName name="S44P5" localSheetId="2">#REF!</definedName>
    <definedName name="S44P5" localSheetId="16">#REF!</definedName>
    <definedName name="S44P5" localSheetId="17">#REF!</definedName>
    <definedName name="S44P5" localSheetId="19">#REF!</definedName>
    <definedName name="S44P5">#REF!</definedName>
    <definedName name="S44P6" localSheetId="2">#REF!</definedName>
    <definedName name="S44P6" localSheetId="16">#REF!</definedName>
    <definedName name="S44P6" localSheetId="17">#REF!</definedName>
    <definedName name="S44P6" localSheetId="19">#REF!</definedName>
    <definedName name="S44P6">#REF!</definedName>
    <definedName name="S44P7" localSheetId="2">#REF!</definedName>
    <definedName name="S44P7" localSheetId="16">#REF!</definedName>
    <definedName name="S44P7" localSheetId="17">#REF!</definedName>
    <definedName name="S44P7" localSheetId="19">#REF!</definedName>
    <definedName name="S44P7">#REF!</definedName>
    <definedName name="S44P8" localSheetId="2">#REF!</definedName>
    <definedName name="S44P8" localSheetId="16">#REF!</definedName>
    <definedName name="S44P8" localSheetId="17">#REF!</definedName>
    <definedName name="S44P8" localSheetId="19">#REF!</definedName>
    <definedName name="S44P8">#REF!</definedName>
    <definedName name="S44P9" localSheetId="2">#REF!</definedName>
    <definedName name="S44P9" localSheetId="16">#REF!</definedName>
    <definedName name="S44P9" localSheetId="17">#REF!</definedName>
    <definedName name="S44P9" localSheetId="19">#REF!</definedName>
    <definedName name="S44P9">#REF!</definedName>
    <definedName name="S44R1" localSheetId="2">#REF!</definedName>
    <definedName name="S44R1" localSheetId="16">#REF!</definedName>
    <definedName name="S44R1" localSheetId="17">#REF!</definedName>
    <definedName name="S44R1" localSheetId="19">#REF!</definedName>
    <definedName name="S44R1">#REF!</definedName>
    <definedName name="S44R10" localSheetId="2">#REF!</definedName>
    <definedName name="S44R10" localSheetId="16">#REF!</definedName>
    <definedName name="S44R10" localSheetId="17">#REF!</definedName>
    <definedName name="S44R10" localSheetId="19">#REF!</definedName>
    <definedName name="S44R10">#REF!</definedName>
    <definedName name="S44R11" localSheetId="2">#REF!</definedName>
    <definedName name="S44R11" localSheetId="16">#REF!</definedName>
    <definedName name="S44R11" localSheetId="17">#REF!</definedName>
    <definedName name="S44R11" localSheetId="19">#REF!</definedName>
    <definedName name="S44R11">#REF!</definedName>
    <definedName name="S44R12" localSheetId="2">#REF!</definedName>
    <definedName name="S44R12" localSheetId="16">#REF!</definedName>
    <definedName name="S44R12" localSheetId="17">#REF!</definedName>
    <definedName name="S44R12" localSheetId="19">#REF!</definedName>
    <definedName name="S44R12">#REF!</definedName>
    <definedName name="S44R13" localSheetId="2">#REF!</definedName>
    <definedName name="S44R13" localSheetId="16">#REF!</definedName>
    <definedName name="S44R13" localSheetId="17">#REF!</definedName>
    <definedName name="S44R13" localSheetId="19">#REF!</definedName>
    <definedName name="S44R13">#REF!</definedName>
    <definedName name="S44R14" localSheetId="2">#REF!</definedName>
    <definedName name="S44R14" localSheetId="16">#REF!</definedName>
    <definedName name="S44R14" localSheetId="17">#REF!</definedName>
    <definedName name="S44R14" localSheetId="19">#REF!</definedName>
    <definedName name="S44R14">#REF!</definedName>
    <definedName name="S44R15" localSheetId="2">#REF!</definedName>
    <definedName name="S44R15" localSheetId="16">#REF!</definedName>
    <definedName name="S44R15" localSheetId="17">#REF!</definedName>
    <definedName name="S44R15" localSheetId="19">#REF!</definedName>
    <definedName name="S44R15">#REF!</definedName>
    <definedName name="S44R16" localSheetId="2">#REF!</definedName>
    <definedName name="S44R16" localSheetId="16">#REF!</definedName>
    <definedName name="S44R16" localSheetId="17">#REF!</definedName>
    <definedName name="S44R16" localSheetId="19">#REF!</definedName>
    <definedName name="S44R16">#REF!</definedName>
    <definedName name="S44R17" localSheetId="2">#REF!</definedName>
    <definedName name="S44R17" localSheetId="16">#REF!</definedName>
    <definedName name="S44R17" localSheetId="17">#REF!</definedName>
    <definedName name="S44R17" localSheetId="19">#REF!</definedName>
    <definedName name="S44R17">#REF!</definedName>
    <definedName name="S44R18" localSheetId="2">#REF!</definedName>
    <definedName name="S44R18" localSheetId="16">#REF!</definedName>
    <definedName name="S44R18" localSheetId="17">#REF!</definedName>
    <definedName name="S44R18" localSheetId="19">#REF!</definedName>
    <definedName name="S44R18">#REF!</definedName>
    <definedName name="S44R19" localSheetId="2">#REF!</definedName>
    <definedName name="S44R19" localSheetId="16">#REF!</definedName>
    <definedName name="S44R19" localSheetId="17">#REF!</definedName>
    <definedName name="S44R19" localSheetId="19">#REF!</definedName>
    <definedName name="S44R19">#REF!</definedName>
    <definedName name="S44R2" localSheetId="2">#REF!</definedName>
    <definedName name="S44R2" localSheetId="16">#REF!</definedName>
    <definedName name="S44R2" localSheetId="17">#REF!</definedName>
    <definedName name="S44R2" localSheetId="19">#REF!</definedName>
    <definedName name="S44R2">#REF!</definedName>
    <definedName name="S44R20" localSheetId="2">#REF!</definedName>
    <definedName name="S44R20" localSheetId="16">#REF!</definedName>
    <definedName name="S44R20" localSheetId="17">#REF!</definedName>
    <definedName name="S44R20" localSheetId="19">#REF!</definedName>
    <definedName name="S44R20">#REF!</definedName>
    <definedName name="S44R21" localSheetId="2">#REF!</definedName>
    <definedName name="S44R21" localSheetId="16">#REF!</definedName>
    <definedName name="S44R21" localSheetId="17">#REF!</definedName>
    <definedName name="S44R21" localSheetId="19">#REF!</definedName>
    <definedName name="S44R21">#REF!</definedName>
    <definedName name="S44R22" localSheetId="2">#REF!</definedName>
    <definedName name="S44R22" localSheetId="16">#REF!</definedName>
    <definedName name="S44R22" localSheetId="17">#REF!</definedName>
    <definedName name="S44R22" localSheetId="19">#REF!</definedName>
    <definedName name="S44R22">#REF!</definedName>
    <definedName name="S44R23" localSheetId="2">#REF!</definedName>
    <definedName name="S44R23" localSheetId="16">#REF!</definedName>
    <definedName name="S44R23" localSheetId="17">#REF!</definedName>
    <definedName name="S44R23" localSheetId="19">#REF!</definedName>
    <definedName name="S44R23">#REF!</definedName>
    <definedName name="S44R24" localSheetId="2">#REF!</definedName>
    <definedName name="S44R24" localSheetId="16">#REF!</definedName>
    <definedName name="S44R24" localSheetId="17">#REF!</definedName>
    <definedName name="S44R24" localSheetId="19">#REF!</definedName>
    <definedName name="S44R24">#REF!</definedName>
    <definedName name="S44R3" localSheetId="2">#REF!</definedName>
    <definedName name="S44R3" localSheetId="16">#REF!</definedName>
    <definedName name="S44R3" localSheetId="17">#REF!</definedName>
    <definedName name="S44R3" localSheetId="19">#REF!</definedName>
    <definedName name="S44R3">#REF!</definedName>
    <definedName name="S44R4" localSheetId="2">#REF!</definedName>
    <definedName name="S44R4" localSheetId="16">#REF!</definedName>
    <definedName name="S44R4" localSheetId="17">#REF!</definedName>
    <definedName name="S44R4" localSheetId="19">#REF!</definedName>
    <definedName name="S44R4">#REF!</definedName>
    <definedName name="S44R5" localSheetId="2">#REF!</definedName>
    <definedName name="S44R5" localSheetId="16">#REF!</definedName>
    <definedName name="S44R5" localSheetId="17">#REF!</definedName>
    <definedName name="S44R5" localSheetId="19">#REF!</definedName>
    <definedName name="S44R5">#REF!</definedName>
    <definedName name="S44R6" localSheetId="2">#REF!</definedName>
    <definedName name="S44R6" localSheetId="16">#REF!</definedName>
    <definedName name="S44R6" localSheetId="17">#REF!</definedName>
    <definedName name="S44R6" localSheetId="19">#REF!</definedName>
    <definedName name="S44R6">#REF!</definedName>
    <definedName name="S44R7" localSheetId="2">#REF!</definedName>
    <definedName name="S44R7" localSheetId="16">#REF!</definedName>
    <definedName name="S44R7" localSheetId="17">#REF!</definedName>
    <definedName name="S44R7" localSheetId="19">#REF!</definedName>
    <definedName name="S44R7">#REF!</definedName>
    <definedName name="S44R8" localSheetId="2">#REF!</definedName>
    <definedName name="S44R8" localSheetId="16">#REF!</definedName>
    <definedName name="S44R8" localSheetId="17">#REF!</definedName>
    <definedName name="S44R8" localSheetId="19">#REF!</definedName>
    <definedName name="S44R8">#REF!</definedName>
    <definedName name="S44R9" localSheetId="2">#REF!</definedName>
    <definedName name="S44R9" localSheetId="16">#REF!</definedName>
    <definedName name="S44R9" localSheetId="17">#REF!</definedName>
    <definedName name="S44R9" localSheetId="19">#REF!</definedName>
    <definedName name="S44R9">#REF!</definedName>
    <definedName name="S45P1" localSheetId="2">#REF!</definedName>
    <definedName name="S45P1" localSheetId="16">#REF!</definedName>
    <definedName name="S45P1" localSheetId="17">#REF!</definedName>
    <definedName name="S45P1" localSheetId="19">#REF!</definedName>
    <definedName name="S45P1">#REF!</definedName>
    <definedName name="S45P10" localSheetId="2">#REF!</definedName>
    <definedName name="S45P10" localSheetId="16">#REF!</definedName>
    <definedName name="S45P10" localSheetId="17">#REF!</definedName>
    <definedName name="S45P10" localSheetId="19">#REF!</definedName>
    <definedName name="S45P10">#REF!</definedName>
    <definedName name="S45P11" localSheetId="2">#REF!</definedName>
    <definedName name="S45P11" localSheetId="16">#REF!</definedName>
    <definedName name="S45P11" localSheetId="17">#REF!</definedName>
    <definedName name="S45P11" localSheetId="19">#REF!</definedName>
    <definedName name="S45P11">#REF!</definedName>
    <definedName name="S45P12" localSheetId="2">#REF!</definedName>
    <definedName name="S45P12" localSheetId="16">#REF!</definedName>
    <definedName name="S45P12" localSheetId="17">#REF!</definedName>
    <definedName name="S45P12" localSheetId="19">#REF!</definedName>
    <definedName name="S45P12">#REF!</definedName>
    <definedName name="S45P13" localSheetId="2">#REF!</definedName>
    <definedName name="S45P13" localSheetId="16">#REF!</definedName>
    <definedName name="S45P13" localSheetId="17">#REF!</definedName>
    <definedName name="S45P13" localSheetId="19">#REF!</definedName>
    <definedName name="S45P13">#REF!</definedName>
    <definedName name="S45P14" localSheetId="2">#REF!</definedName>
    <definedName name="S45P14" localSheetId="16">#REF!</definedName>
    <definedName name="S45P14" localSheetId="17">#REF!</definedName>
    <definedName name="S45P14" localSheetId="19">#REF!</definedName>
    <definedName name="S45P14">#REF!</definedName>
    <definedName name="S45P15" localSheetId="2">#REF!</definedName>
    <definedName name="S45P15" localSheetId="16">#REF!</definedName>
    <definedName name="S45P15" localSheetId="17">#REF!</definedName>
    <definedName name="S45P15" localSheetId="19">#REF!</definedName>
    <definedName name="S45P15">#REF!</definedName>
    <definedName name="S45P16" localSheetId="2">#REF!</definedName>
    <definedName name="S45P16" localSheetId="16">#REF!</definedName>
    <definedName name="S45P16" localSheetId="17">#REF!</definedName>
    <definedName name="S45P16" localSheetId="19">#REF!</definedName>
    <definedName name="S45P16">#REF!</definedName>
    <definedName name="S45P17" localSheetId="2">#REF!</definedName>
    <definedName name="S45P17" localSheetId="16">#REF!</definedName>
    <definedName name="S45P17" localSheetId="17">#REF!</definedName>
    <definedName name="S45P17" localSheetId="19">#REF!</definedName>
    <definedName name="S45P17">#REF!</definedName>
    <definedName name="S45P18" localSheetId="2">#REF!</definedName>
    <definedName name="S45P18" localSheetId="16">#REF!</definedName>
    <definedName name="S45P18" localSheetId="17">#REF!</definedName>
    <definedName name="S45P18" localSheetId="19">#REF!</definedName>
    <definedName name="S45P18">#REF!</definedName>
    <definedName name="S45P19" localSheetId="2">#REF!</definedName>
    <definedName name="S45P19" localSheetId="16">#REF!</definedName>
    <definedName name="S45P19" localSheetId="17">#REF!</definedName>
    <definedName name="S45P19" localSheetId="19">#REF!</definedName>
    <definedName name="S45P19">#REF!</definedName>
    <definedName name="S45P2" localSheetId="2">#REF!</definedName>
    <definedName name="S45P2" localSheetId="16">#REF!</definedName>
    <definedName name="S45P2" localSheetId="17">#REF!</definedName>
    <definedName name="S45P2" localSheetId="19">#REF!</definedName>
    <definedName name="S45P2">#REF!</definedName>
    <definedName name="S45P20" localSheetId="2">#REF!</definedName>
    <definedName name="S45P20" localSheetId="16">#REF!</definedName>
    <definedName name="S45P20" localSheetId="17">#REF!</definedName>
    <definedName name="S45P20" localSheetId="19">#REF!</definedName>
    <definedName name="S45P20">#REF!</definedName>
    <definedName name="S45P21" localSheetId="2">#REF!</definedName>
    <definedName name="S45P21" localSheetId="16">#REF!</definedName>
    <definedName name="S45P21" localSheetId="17">#REF!</definedName>
    <definedName name="S45P21" localSheetId="19">#REF!</definedName>
    <definedName name="S45P21">#REF!</definedName>
    <definedName name="S45P22" localSheetId="2">#REF!</definedName>
    <definedName name="S45P22" localSheetId="16">#REF!</definedName>
    <definedName name="S45P22" localSheetId="17">#REF!</definedName>
    <definedName name="S45P22" localSheetId="19">#REF!</definedName>
    <definedName name="S45P22">#REF!</definedName>
    <definedName name="S45P23" localSheetId="2">#REF!</definedName>
    <definedName name="S45P23" localSheetId="16">#REF!</definedName>
    <definedName name="S45P23" localSheetId="17">#REF!</definedName>
    <definedName name="S45P23" localSheetId="19">#REF!</definedName>
    <definedName name="S45P23">#REF!</definedName>
    <definedName name="S45P24" localSheetId="2">#REF!</definedName>
    <definedName name="S45P24" localSheetId="16">#REF!</definedName>
    <definedName name="S45P24" localSheetId="17">#REF!</definedName>
    <definedName name="S45P24" localSheetId="19">#REF!</definedName>
    <definedName name="S45P24">#REF!</definedName>
    <definedName name="S45P3" localSheetId="2">#REF!</definedName>
    <definedName name="S45P3" localSheetId="16">#REF!</definedName>
    <definedName name="S45P3" localSheetId="17">#REF!</definedName>
    <definedName name="S45P3" localSheetId="19">#REF!</definedName>
    <definedName name="S45P3">#REF!</definedName>
    <definedName name="S45P4" localSheetId="2">#REF!</definedName>
    <definedName name="S45P4" localSheetId="16">#REF!</definedName>
    <definedName name="S45P4" localSheetId="17">#REF!</definedName>
    <definedName name="S45P4" localSheetId="19">#REF!</definedName>
    <definedName name="S45P4">#REF!</definedName>
    <definedName name="S45P5" localSheetId="2">#REF!</definedName>
    <definedName name="S45P5" localSheetId="16">#REF!</definedName>
    <definedName name="S45P5" localSheetId="17">#REF!</definedName>
    <definedName name="S45P5" localSheetId="19">#REF!</definedName>
    <definedName name="S45P5">#REF!</definedName>
    <definedName name="S45P6" localSheetId="2">#REF!</definedName>
    <definedName name="S45P6" localSheetId="16">#REF!</definedName>
    <definedName name="S45P6" localSheetId="17">#REF!</definedName>
    <definedName name="S45P6" localSheetId="19">#REF!</definedName>
    <definedName name="S45P6">#REF!</definedName>
    <definedName name="S45P7" localSheetId="2">#REF!</definedName>
    <definedName name="S45P7" localSheetId="16">#REF!</definedName>
    <definedName name="S45P7" localSheetId="17">#REF!</definedName>
    <definedName name="S45P7" localSheetId="19">#REF!</definedName>
    <definedName name="S45P7">#REF!</definedName>
    <definedName name="S45P8" localSheetId="2">#REF!</definedName>
    <definedName name="S45P8" localSheetId="16">#REF!</definedName>
    <definedName name="S45P8" localSheetId="17">#REF!</definedName>
    <definedName name="S45P8" localSheetId="19">#REF!</definedName>
    <definedName name="S45P8">#REF!</definedName>
    <definedName name="S45P9" localSheetId="2">#REF!</definedName>
    <definedName name="S45P9" localSheetId="16">#REF!</definedName>
    <definedName name="S45P9" localSheetId="17">#REF!</definedName>
    <definedName name="S45P9" localSheetId="19">#REF!</definedName>
    <definedName name="S45P9">#REF!</definedName>
    <definedName name="S45R1" localSheetId="2">#REF!</definedName>
    <definedName name="S45R1" localSheetId="16">#REF!</definedName>
    <definedName name="S45R1" localSheetId="17">#REF!</definedName>
    <definedName name="S45R1" localSheetId="19">#REF!</definedName>
    <definedName name="S45R1">#REF!</definedName>
    <definedName name="S45R10" localSheetId="2">#REF!</definedName>
    <definedName name="S45R10" localSheetId="16">#REF!</definedName>
    <definedName name="S45R10" localSheetId="17">#REF!</definedName>
    <definedName name="S45R10" localSheetId="19">#REF!</definedName>
    <definedName name="S45R10">#REF!</definedName>
    <definedName name="S45R11" localSheetId="2">#REF!</definedName>
    <definedName name="S45R11" localSheetId="16">#REF!</definedName>
    <definedName name="S45R11" localSheetId="17">#REF!</definedName>
    <definedName name="S45R11" localSheetId="19">#REF!</definedName>
    <definedName name="S45R11">#REF!</definedName>
    <definedName name="S45R12" localSheetId="2">#REF!</definedName>
    <definedName name="S45R12" localSheetId="16">#REF!</definedName>
    <definedName name="S45R12" localSheetId="17">#REF!</definedName>
    <definedName name="S45R12" localSheetId="19">#REF!</definedName>
    <definedName name="S45R12">#REF!</definedName>
    <definedName name="S45R13" localSheetId="2">#REF!</definedName>
    <definedName name="S45R13" localSheetId="16">#REF!</definedName>
    <definedName name="S45R13" localSheetId="17">#REF!</definedName>
    <definedName name="S45R13" localSheetId="19">#REF!</definedName>
    <definedName name="S45R13">#REF!</definedName>
    <definedName name="S45R14" localSheetId="2">#REF!</definedName>
    <definedName name="S45R14" localSheetId="16">#REF!</definedName>
    <definedName name="S45R14" localSheetId="17">#REF!</definedName>
    <definedName name="S45R14" localSheetId="19">#REF!</definedName>
    <definedName name="S45R14">#REF!</definedName>
    <definedName name="S45R15" localSheetId="2">#REF!</definedName>
    <definedName name="S45R15" localSheetId="16">#REF!</definedName>
    <definedName name="S45R15" localSheetId="17">#REF!</definedName>
    <definedName name="S45R15" localSheetId="19">#REF!</definedName>
    <definedName name="S45R15">#REF!</definedName>
    <definedName name="S45R16" localSheetId="2">#REF!</definedName>
    <definedName name="S45R16" localSheetId="16">#REF!</definedName>
    <definedName name="S45R16" localSheetId="17">#REF!</definedName>
    <definedName name="S45R16" localSheetId="19">#REF!</definedName>
    <definedName name="S45R16">#REF!</definedName>
    <definedName name="S45R17" localSheetId="2">#REF!</definedName>
    <definedName name="S45R17" localSheetId="16">#REF!</definedName>
    <definedName name="S45R17" localSheetId="17">#REF!</definedName>
    <definedName name="S45R17" localSheetId="19">#REF!</definedName>
    <definedName name="S45R17">#REF!</definedName>
    <definedName name="S45R18" localSheetId="2">#REF!</definedName>
    <definedName name="S45R18" localSheetId="16">#REF!</definedName>
    <definedName name="S45R18" localSheetId="17">#REF!</definedName>
    <definedName name="S45R18" localSheetId="19">#REF!</definedName>
    <definedName name="S45R18">#REF!</definedName>
    <definedName name="S45R19" localSheetId="2">#REF!</definedName>
    <definedName name="S45R19" localSheetId="16">#REF!</definedName>
    <definedName name="S45R19" localSheetId="17">#REF!</definedName>
    <definedName name="S45R19" localSheetId="19">#REF!</definedName>
    <definedName name="S45R19">#REF!</definedName>
    <definedName name="S45R2" localSheetId="2">#REF!</definedName>
    <definedName name="S45R2" localSheetId="16">#REF!</definedName>
    <definedName name="S45R2" localSheetId="17">#REF!</definedName>
    <definedName name="S45R2" localSheetId="19">#REF!</definedName>
    <definedName name="S45R2">#REF!</definedName>
    <definedName name="S45R20" localSheetId="2">#REF!</definedName>
    <definedName name="S45R20" localSheetId="16">#REF!</definedName>
    <definedName name="S45R20" localSheetId="17">#REF!</definedName>
    <definedName name="S45R20" localSheetId="19">#REF!</definedName>
    <definedName name="S45R20">#REF!</definedName>
    <definedName name="S45R21" localSheetId="2">#REF!</definedName>
    <definedName name="S45R21" localSheetId="16">#REF!</definedName>
    <definedName name="S45R21" localSheetId="17">#REF!</definedName>
    <definedName name="S45R21" localSheetId="19">#REF!</definedName>
    <definedName name="S45R21">#REF!</definedName>
    <definedName name="S45R22" localSheetId="2">#REF!</definedName>
    <definedName name="S45R22" localSheetId="16">#REF!</definedName>
    <definedName name="S45R22" localSheetId="17">#REF!</definedName>
    <definedName name="S45R22" localSheetId="19">#REF!</definedName>
    <definedName name="S45R22">#REF!</definedName>
    <definedName name="S45R23" localSheetId="2">#REF!</definedName>
    <definedName name="S45R23" localSheetId="16">#REF!</definedName>
    <definedName name="S45R23" localSheetId="17">#REF!</definedName>
    <definedName name="S45R23" localSheetId="19">#REF!</definedName>
    <definedName name="S45R23">#REF!</definedName>
    <definedName name="S45R24" localSheetId="2">#REF!</definedName>
    <definedName name="S45R24" localSheetId="16">#REF!</definedName>
    <definedName name="S45R24" localSheetId="17">#REF!</definedName>
    <definedName name="S45R24" localSheetId="19">#REF!</definedName>
    <definedName name="S45R24">#REF!</definedName>
    <definedName name="S45R3" localSheetId="2">#REF!</definedName>
    <definedName name="S45R3" localSheetId="16">#REF!</definedName>
    <definedName name="S45R3" localSheetId="17">#REF!</definedName>
    <definedName name="S45R3" localSheetId="19">#REF!</definedName>
    <definedName name="S45R3">#REF!</definedName>
    <definedName name="S45R4" localSheetId="2">#REF!</definedName>
    <definedName name="S45R4" localSheetId="16">#REF!</definedName>
    <definedName name="S45R4" localSheetId="17">#REF!</definedName>
    <definedName name="S45R4" localSheetId="19">#REF!</definedName>
    <definedName name="S45R4">#REF!</definedName>
    <definedName name="S45R5" localSheetId="2">#REF!</definedName>
    <definedName name="S45R5" localSheetId="16">#REF!</definedName>
    <definedName name="S45R5" localSheetId="17">#REF!</definedName>
    <definedName name="S45R5" localSheetId="19">#REF!</definedName>
    <definedName name="S45R5">#REF!</definedName>
    <definedName name="S45R6" localSheetId="2">#REF!</definedName>
    <definedName name="S45R6" localSheetId="16">#REF!</definedName>
    <definedName name="S45R6" localSheetId="17">#REF!</definedName>
    <definedName name="S45R6" localSheetId="19">#REF!</definedName>
    <definedName name="S45R6">#REF!</definedName>
    <definedName name="S45R7" localSheetId="2">#REF!</definedName>
    <definedName name="S45R7" localSheetId="16">#REF!</definedName>
    <definedName name="S45R7" localSheetId="17">#REF!</definedName>
    <definedName name="S45R7" localSheetId="19">#REF!</definedName>
    <definedName name="S45R7">#REF!</definedName>
    <definedName name="S45R8" localSheetId="2">#REF!</definedName>
    <definedName name="S45R8" localSheetId="16">#REF!</definedName>
    <definedName name="S45R8" localSheetId="17">#REF!</definedName>
    <definedName name="S45R8" localSheetId="19">#REF!</definedName>
    <definedName name="S45R8">#REF!</definedName>
    <definedName name="S45R9" localSheetId="2">#REF!</definedName>
    <definedName name="S45R9" localSheetId="16">#REF!</definedName>
    <definedName name="S45R9" localSheetId="17">#REF!</definedName>
    <definedName name="S45R9" localSheetId="19">#REF!</definedName>
    <definedName name="S45R9">#REF!</definedName>
    <definedName name="S4P1" localSheetId="2">#REF!</definedName>
    <definedName name="S4P1" localSheetId="16">#REF!</definedName>
    <definedName name="S4P1" localSheetId="17">#REF!</definedName>
    <definedName name="S4P1" localSheetId="19">#REF!</definedName>
    <definedName name="S4P1">#REF!</definedName>
    <definedName name="S4P10" localSheetId="2">#REF!</definedName>
    <definedName name="S4P10" localSheetId="16">#REF!</definedName>
    <definedName name="S4P10" localSheetId="17">#REF!</definedName>
    <definedName name="S4P10" localSheetId="19">#REF!</definedName>
    <definedName name="S4P10">#REF!</definedName>
    <definedName name="S4P11" localSheetId="2">#REF!</definedName>
    <definedName name="S4P11" localSheetId="16">#REF!</definedName>
    <definedName name="S4P11" localSheetId="17">#REF!</definedName>
    <definedName name="S4P11" localSheetId="19">#REF!</definedName>
    <definedName name="S4P11">#REF!</definedName>
    <definedName name="S4P12" localSheetId="2">#REF!</definedName>
    <definedName name="S4P12" localSheetId="16">#REF!</definedName>
    <definedName name="S4P12" localSheetId="17">#REF!</definedName>
    <definedName name="S4P12" localSheetId="19">#REF!</definedName>
    <definedName name="S4P12">#REF!</definedName>
    <definedName name="S4P13" localSheetId="2">#REF!</definedName>
    <definedName name="S4P13" localSheetId="16">#REF!</definedName>
    <definedName name="S4P13" localSheetId="17">#REF!</definedName>
    <definedName name="S4P13" localSheetId="19">#REF!</definedName>
    <definedName name="S4P13">#REF!</definedName>
    <definedName name="S4P14" localSheetId="2">#REF!</definedName>
    <definedName name="S4P14" localSheetId="16">#REF!</definedName>
    <definedName name="S4P14" localSheetId="17">#REF!</definedName>
    <definedName name="S4P14" localSheetId="19">#REF!</definedName>
    <definedName name="S4P14">#REF!</definedName>
    <definedName name="S4P15" localSheetId="2">#REF!</definedName>
    <definedName name="S4P15" localSheetId="16">#REF!</definedName>
    <definedName name="S4P15" localSheetId="17">#REF!</definedName>
    <definedName name="S4P15" localSheetId="19">#REF!</definedName>
    <definedName name="S4P15">#REF!</definedName>
    <definedName name="S4P16" localSheetId="2">#REF!</definedName>
    <definedName name="S4P16" localSheetId="16">#REF!</definedName>
    <definedName name="S4P16" localSheetId="17">#REF!</definedName>
    <definedName name="S4P16" localSheetId="19">#REF!</definedName>
    <definedName name="S4P16">#REF!</definedName>
    <definedName name="S4P17" localSheetId="2">#REF!</definedName>
    <definedName name="S4P17" localSheetId="16">#REF!</definedName>
    <definedName name="S4P17" localSheetId="17">#REF!</definedName>
    <definedName name="S4P17" localSheetId="19">#REF!</definedName>
    <definedName name="S4P17">#REF!</definedName>
    <definedName name="S4P18" localSheetId="2">#REF!</definedName>
    <definedName name="S4P18" localSheetId="16">#REF!</definedName>
    <definedName name="S4P18" localSheetId="17">#REF!</definedName>
    <definedName name="S4P18" localSheetId="19">#REF!</definedName>
    <definedName name="S4P18">#REF!</definedName>
    <definedName name="S4P19" localSheetId="2">#REF!</definedName>
    <definedName name="S4P19" localSheetId="16">#REF!</definedName>
    <definedName name="S4P19" localSheetId="17">#REF!</definedName>
    <definedName name="S4P19" localSheetId="19">#REF!</definedName>
    <definedName name="S4P19">#REF!</definedName>
    <definedName name="S4P2" localSheetId="2">#REF!</definedName>
    <definedName name="S4P2" localSheetId="16">#REF!</definedName>
    <definedName name="S4P2" localSheetId="17">#REF!</definedName>
    <definedName name="S4P2" localSheetId="19">#REF!</definedName>
    <definedName name="S4P2">#REF!</definedName>
    <definedName name="S4P20" localSheetId="2">#REF!</definedName>
    <definedName name="S4P20" localSheetId="16">#REF!</definedName>
    <definedName name="S4P20" localSheetId="17">#REF!</definedName>
    <definedName name="S4P20" localSheetId="19">#REF!</definedName>
    <definedName name="S4P20">#REF!</definedName>
    <definedName name="S4P21" localSheetId="2">#REF!</definedName>
    <definedName name="S4P21" localSheetId="16">#REF!</definedName>
    <definedName name="S4P21" localSheetId="17">#REF!</definedName>
    <definedName name="S4P21" localSheetId="19">#REF!</definedName>
    <definedName name="S4P21">#REF!</definedName>
    <definedName name="S4P22" localSheetId="2">#REF!</definedName>
    <definedName name="S4P22" localSheetId="16">#REF!</definedName>
    <definedName name="S4P22" localSheetId="17">#REF!</definedName>
    <definedName name="S4P22" localSheetId="19">#REF!</definedName>
    <definedName name="S4P22">#REF!</definedName>
    <definedName name="S4P23" localSheetId="2">#REF!</definedName>
    <definedName name="S4P23" localSheetId="16">#REF!</definedName>
    <definedName name="S4P23" localSheetId="17">#REF!</definedName>
    <definedName name="S4P23" localSheetId="19">#REF!</definedName>
    <definedName name="S4P23">#REF!</definedName>
    <definedName name="S4P24" localSheetId="2">#REF!</definedName>
    <definedName name="S4P24" localSheetId="16">#REF!</definedName>
    <definedName name="S4P24" localSheetId="17">#REF!</definedName>
    <definedName name="S4P24" localSheetId="19">#REF!</definedName>
    <definedName name="S4P24">#REF!</definedName>
    <definedName name="S4P3" localSheetId="2">#REF!</definedName>
    <definedName name="S4P3" localSheetId="16">#REF!</definedName>
    <definedName name="S4P3" localSheetId="17">#REF!</definedName>
    <definedName name="S4P3" localSheetId="19">#REF!</definedName>
    <definedName name="S4P3">#REF!</definedName>
    <definedName name="S4P4" localSheetId="2">#REF!</definedName>
    <definedName name="S4P4" localSheetId="16">#REF!</definedName>
    <definedName name="S4P4" localSheetId="17">#REF!</definedName>
    <definedName name="S4P4" localSheetId="19">#REF!</definedName>
    <definedName name="S4P4">#REF!</definedName>
    <definedName name="S4P5" localSheetId="2">#REF!</definedName>
    <definedName name="S4P5" localSheetId="16">#REF!</definedName>
    <definedName name="S4P5" localSheetId="17">#REF!</definedName>
    <definedName name="S4P5" localSheetId="19">#REF!</definedName>
    <definedName name="S4P5">#REF!</definedName>
    <definedName name="S4P6" localSheetId="2">#REF!</definedName>
    <definedName name="S4P6" localSheetId="16">#REF!</definedName>
    <definedName name="S4P6" localSheetId="17">#REF!</definedName>
    <definedName name="S4P6" localSheetId="19">#REF!</definedName>
    <definedName name="S4P6">#REF!</definedName>
    <definedName name="S4P7" localSheetId="2">#REF!</definedName>
    <definedName name="S4P7" localSheetId="16">#REF!</definedName>
    <definedName name="S4P7" localSheetId="17">#REF!</definedName>
    <definedName name="S4P7" localSheetId="19">#REF!</definedName>
    <definedName name="S4P7">#REF!</definedName>
    <definedName name="S4P8" localSheetId="2">#REF!</definedName>
    <definedName name="S4P8" localSheetId="16">#REF!</definedName>
    <definedName name="S4P8" localSheetId="17">#REF!</definedName>
    <definedName name="S4P8" localSheetId="19">#REF!</definedName>
    <definedName name="S4P8">#REF!</definedName>
    <definedName name="S4P9" localSheetId="2">#REF!</definedName>
    <definedName name="S4P9" localSheetId="16">#REF!</definedName>
    <definedName name="S4P9" localSheetId="17">#REF!</definedName>
    <definedName name="S4P9" localSheetId="19">#REF!</definedName>
    <definedName name="S4P9">#REF!</definedName>
    <definedName name="S4R1" localSheetId="2">#REF!</definedName>
    <definedName name="S4R1" localSheetId="16">#REF!</definedName>
    <definedName name="S4R1" localSheetId="17">#REF!</definedName>
    <definedName name="S4R1" localSheetId="19">#REF!</definedName>
    <definedName name="S4R1">#REF!</definedName>
    <definedName name="S4R10" localSheetId="2">#REF!</definedName>
    <definedName name="S4R10" localSheetId="16">#REF!</definedName>
    <definedName name="S4R10" localSheetId="17">#REF!</definedName>
    <definedName name="S4R10" localSheetId="19">#REF!</definedName>
    <definedName name="S4R10">#REF!</definedName>
    <definedName name="S4R11" localSheetId="2">#REF!</definedName>
    <definedName name="S4R11" localSheetId="16">#REF!</definedName>
    <definedName name="S4R11" localSheetId="17">#REF!</definedName>
    <definedName name="S4R11" localSheetId="19">#REF!</definedName>
    <definedName name="S4R11">#REF!</definedName>
    <definedName name="S4R12" localSheetId="2">#REF!</definedName>
    <definedName name="S4R12" localSheetId="16">#REF!</definedName>
    <definedName name="S4R12" localSheetId="17">#REF!</definedName>
    <definedName name="S4R12" localSheetId="19">#REF!</definedName>
    <definedName name="S4R12">#REF!</definedName>
    <definedName name="S4R13" localSheetId="2">#REF!</definedName>
    <definedName name="S4R13" localSheetId="16">#REF!</definedName>
    <definedName name="S4R13" localSheetId="17">#REF!</definedName>
    <definedName name="S4R13" localSheetId="19">#REF!</definedName>
    <definedName name="S4R13">#REF!</definedName>
    <definedName name="S4R14" localSheetId="2">#REF!</definedName>
    <definedName name="S4R14" localSheetId="16">#REF!</definedName>
    <definedName name="S4R14" localSheetId="17">#REF!</definedName>
    <definedName name="S4R14" localSheetId="19">#REF!</definedName>
    <definedName name="S4R14">#REF!</definedName>
    <definedName name="S4R15" localSheetId="2">#REF!</definedName>
    <definedName name="S4R15" localSheetId="16">#REF!</definedName>
    <definedName name="S4R15" localSheetId="17">#REF!</definedName>
    <definedName name="S4R15" localSheetId="19">#REF!</definedName>
    <definedName name="S4R15">#REF!</definedName>
    <definedName name="S4R16" localSheetId="2">#REF!</definedName>
    <definedName name="S4R16" localSheetId="16">#REF!</definedName>
    <definedName name="S4R16" localSheetId="17">#REF!</definedName>
    <definedName name="S4R16" localSheetId="19">#REF!</definedName>
    <definedName name="S4R16">#REF!</definedName>
    <definedName name="S4R17" localSheetId="2">#REF!</definedName>
    <definedName name="S4R17" localSheetId="16">#REF!</definedName>
    <definedName name="S4R17" localSheetId="17">#REF!</definedName>
    <definedName name="S4R17" localSheetId="19">#REF!</definedName>
    <definedName name="S4R17">#REF!</definedName>
    <definedName name="S4R18" localSheetId="2">#REF!</definedName>
    <definedName name="S4R18" localSheetId="16">#REF!</definedName>
    <definedName name="S4R18" localSheetId="17">#REF!</definedName>
    <definedName name="S4R18" localSheetId="19">#REF!</definedName>
    <definedName name="S4R18">#REF!</definedName>
    <definedName name="S4R19" localSheetId="2">#REF!</definedName>
    <definedName name="S4R19" localSheetId="16">#REF!</definedName>
    <definedName name="S4R19" localSheetId="17">#REF!</definedName>
    <definedName name="S4R19" localSheetId="19">#REF!</definedName>
    <definedName name="S4R19">#REF!</definedName>
    <definedName name="S4R2" localSheetId="2">#REF!</definedName>
    <definedName name="S4R2" localSheetId="16">#REF!</definedName>
    <definedName name="S4R2" localSheetId="17">#REF!</definedName>
    <definedName name="S4R2" localSheetId="19">#REF!</definedName>
    <definedName name="S4R2">#REF!</definedName>
    <definedName name="S4R20" localSheetId="2">#REF!</definedName>
    <definedName name="S4R20" localSheetId="16">#REF!</definedName>
    <definedName name="S4R20" localSheetId="17">#REF!</definedName>
    <definedName name="S4R20" localSheetId="19">#REF!</definedName>
    <definedName name="S4R20">#REF!</definedName>
    <definedName name="S4R21" localSheetId="2">#REF!</definedName>
    <definedName name="S4R21" localSheetId="16">#REF!</definedName>
    <definedName name="S4R21" localSheetId="17">#REF!</definedName>
    <definedName name="S4R21" localSheetId="19">#REF!</definedName>
    <definedName name="S4R21">#REF!</definedName>
    <definedName name="S4R22" localSheetId="2">#REF!</definedName>
    <definedName name="S4R22" localSheetId="16">#REF!</definedName>
    <definedName name="S4R22" localSheetId="17">#REF!</definedName>
    <definedName name="S4R22" localSheetId="19">#REF!</definedName>
    <definedName name="S4R22">#REF!</definedName>
    <definedName name="S4R23" localSheetId="2">#REF!</definedName>
    <definedName name="S4R23" localSheetId="16">#REF!</definedName>
    <definedName name="S4R23" localSheetId="17">#REF!</definedName>
    <definedName name="S4R23" localSheetId="19">#REF!</definedName>
    <definedName name="S4R23">#REF!</definedName>
    <definedName name="S4R24" localSheetId="2">#REF!</definedName>
    <definedName name="S4R24" localSheetId="16">#REF!</definedName>
    <definedName name="S4R24" localSheetId="17">#REF!</definedName>
    <definedName name="S4R24" localSheetId="19">#REF!</definedName>
    <definedName name="S4R24">#REF!</definedName>
    <definedName name="S4R3" localSheetId="2">#REF!</definedName>
    <definedName name="S4R3" localSheetId="16">#REF!</definedName>
    <definedName name="S4R3" localSheetId="17">#REF!</definedName>
    <definedName name="S4R3" localSheetId="19">#REF!</definedName>
    <definedName name="S4R3">#REF!</definedName>
    <definedName name="S4R4" localSheetId="2">#REF!</definedName>
    <definedName name="S4R4" localSheetId="16">#REF!</definedName>
    <definedName name="S4R4" localSheetId="17">#REF!</definedName>
    <definedName name="S4R4" localSheetId="19">#REF!</definedName>
    <definedName name="S4R4">#REF!</definedName>
    <definedName name="S4R5" localSheetId="2">#REF!</definedName>
    <definedName name="S4R5" localSheetId="16">#REF!</definedName>
    <definedName name="S4R5" localSheetId="17">#REF!</definedName>
    <definedName name="S4R5" localSheetId="19">#REF!</definedName>
    <definedName name="S4R5">#REF!</definedName>
    <definedName name="S4R6" localSheetId="2">#REF!</definedName>
    <definedName name="S4R6" localSheetId="16">#REF!</definedName>
    <definedName name="S4R6" localSheetId="17">#REF!</definedName>
    <definedName name="S4R6" localSheetId="19">#REF!</definedName>
    <definedName name="S4R6">#REF!</definedName>
    <definedName name="S4R7" localSheetId="2">#REF!</definedName>
    <definedName name="S4R7" localSheetId="16">#REF!</definedName>
    <definedName name="S4R7" localSheetId="17">#REF!</definedName>
    <definedName name="S4R7" localSheetId="19">#REF!</definedName>
    <definedName name="S4R7">#REF!</definedName>
    <definedName name="S4R8" localSheetId="2">#REF!</definedName>
    <definedName name="S4R8" localSheetId="16">#REF!</definedName>
    <definedName name="S4R8" localSheetId="17">#REF!</definedName>
    <definedName name="S4R8" localSheetId="19">#REF!</definedName>
    <definedName name="S4R8">#REF!</definedName>
    <definedName name="S4R9" localSheetId="2">#REF!</definedName>
    <definedName name="S4R9" localSheetId="16">#REF!</definedName>
    <definedName name="S4R9" localSheetId="17">#REF!</definedName>
    <definedName name="S4R9" localSheetId="19">#REF!</definedName>
    <definedName name="S4R9">#REF!</definedName>
    <definedName name="S5P1" localSheetId="2">#REF!</definedName>
    <definedName name="S5P1" localSheetId="16">#REF!</definedName>
    <definedName name="S5P1" localSheetId="17">#REF!</definedName>
    <definedName name="S5P1" localSheetId="19">#REF!</definedName>
    <definedName name="S5P1">#REF!</definedName>
    <definedName name="S5P10" localSheetId="2">#REF!</definedName>
    <definedName name="S5P10" localSheetId="16">#REF!</definedName>
    <definedName name="S5P10" localSheetId="17">#REF!</definedName>
    <definedName name="S5P10" localSheetId="19">#REF!</definedName>
    <definedName name="S5P10">#REF!</definedName>
    <definedName name="S5P11" localSheetId="2">#REF!</definedName>
    <definedName name="S5P11" localSheetId="16">#REF!</definedName>
    <definedName name="S5P11" localSheetId="17">#REF!</definedName>
    <definedName name="S5P11" localSheetId="19">#REF!</definedName>
    <definedName name="S5P11">#REF!</definedName>
    <definedName name="S5P12" localSheetId="2">#REF!</definedName>
    <definedName name="S5P12" localSheetId="16">#REF!</definedName>
    <definedName name="S5P12" localSheetId="17">#REF!</definedName>
    <definedName name="S5P12" localSheetId="19">#REF!</definedName>
    <definedName name="S5P12">#REF!</definedName>
    <definedName name="S5P13" localSheetId="2">#REF!</definedName>
    <definedName name="S5P13" localSheetId="16">#REF!</definedName>
    <definedName name="S5P13" localSheetId="17">#REF!</definedName>
    <definedName name="S5P13" localSheetId="19">#REF!</definedName>
    <definedName name="S5P13">#REF!</definedName>
    <definedName name="S5P14" localSheetId="2">#REF!</definedName>
    <definedName name="S5P14" localSheetId="16">#REF!</definedName>
    <definedName name="S5P14" localSheetId="17">#REF!</definedName>
    <definedName name="S5P14" localSheetId="19">#REF!</definedName>
    <definedName name="S5P14">#REF!</definedName>
    <definedName name="S5P15" localSheetId="2">#REF!</definedName>
    <definedName name="S5P15" localSheetId="16">#REF!</definedName>
    <definedName name="S5P15" localSheetId="17">#REF!</definedName>
    <definedName name="S5P15" localSheetId="19">#REF!</definedName>
    <definedName name="S5P15">#REF!</definedName>
    <definedName name="S5P16" localSheetId="2">#REF!</definedName>
    <definedName name="S5P16" localSheetId="16">#REF!</definedName>
    <definedName name="S5P16" localSheetId="17">#REF!</definedName>
    <definedName name="S5P16" localSheetId="19">#REF!</definedName>
    <definedName name="S5P16">#REF!</definedName>
    <definedName name="S5P17" localSheetId="2">#REF!</definedName>
    <definedName name="S5P17" localSheetId="16">#REF!</definedName>
    <definedName name="S5P17" localSheetId="17">#REF!</definedName>
    <definedName name="S5P17" localSheetId="19">#REF!</definedName>
    <definedName name="S5P17">#REF!</definedName>
    <definedName name="S5P18" localSheetId="2">#REF!</definedName>
    <definedName name="S5P18" localSheetId="16">#REF!</definedName>
    <definedName name="S5P18" localSheetId="17">#REF!</definedName>
    <definedName name="S5P18" localSheetId="19">#REF!</definedName>
    <definedName name="S5P18">#REF!</definedName>
    <definedName name="S5P19" localSheetId="2">#REF!</definedName>
    <definedName name="S5P19" localSheetId="16">#REF!</definedName>
    <definedName name="S5P19" localSheetId="17">#REF!</definedName>
    <definedName name="S5P19" localSheetId="19">#REF!</definedName>
    <definedName name="S5P19">#REF!</definedName>
    <definedName name="S5P2" localSheetId="2">#REF!</definedName>
    <definedName name="S5P2" localSheetId="16">#REF!</definedName>
    <definedName name="S5P2" localSheetId="17">#REF!</definedName>
    <definedName name="S5P2" localSheetId="19">#REF!</definedName>
    <definedName name="S5P2">#REF!</definedName>
    <definedName name="S5P20" localSheetId="2">#REF!</definedName>
    <definedName name="S5P20" localSheetId="16">#REF!</definedName>
    <definedName name="S5P20" localSheetId="17">#REF!</definedName>
    <definedName name="S5P20" localSheetId="19">#REF!</definedName>
    <definedName name="S5P20">#REF!</definedName>
    <definedName name="S5P21" localSheetId="2">#REF!</definedName>
    <definedName name="S5P21" localSheetId="16">#REF!</definedName>
    <definedName name="S5P21" localSheetId="17">#REF!</definedName>
    <definedName name="S5P21" localSheetId="19">#REF!</definedName>
    <definedName name="S5P21">#REF!</definedName>
    <definedName name="S5P22" localSheetId="2">#REF!</definedName>
    <definedName name="S5P22" localSheetId="16">#REF!</definedName>
    <definedName name="S5P22" localSheetId="17">#REF!</definedName>
    <definedName name="S5P22" localSheetId="19">#REF!</definedName>
    <definedName name="S5P22">#REF!</definedName>
    <definedName name="S5P23" localSheetId="2">#REF!</definedName>
    <definedName name="S5P23" localSheetId="16">#REF!</definedName>
    <definedName name="S5P23" localSheetId="17">#REF!</definedName>
    <definedName name="S5P23" localSheetId="19">#REF!</definedName>
    <definedName name="S5P23">#REF!</definedName>
    <definedName name="S5P24" localSheetId="2">#REF!</definedName>
    <definedName name="S5P24" localSheetId="16">#REF!</definedName>
    <definedName name="S5P24" localSheetId="17">#REF!</definedName>
    <definedName name="S5P24" localSheetId="19">#REF!</definedName>
    <definedName name="S5P24">#REF!</definedName>
    <definedName name="S5P3" localSheetId="2">#REF!</definedName>
    <definedName name="S5P3" localSheetId="16">#REF!</definedName>
    <definedName name="S5P3" localSheetId="17">#REF!</definedName>
    <definedName name="S5P3" localSheetId="19">#REF!</definedName>
    <definedName name="S5P3">#REF!</definedName>
    <definedName name="S5P4" localSheetId="2">#REF!</definedName>
    <definedName name="S5P4" localSheetId="16">#REF!</definedName>
    <definedName name="S5P4" localSheetId="17">#REF!</definedName>
    <definedName name="S5P4" localSheetId="19">#REF!</definedName>
    <definedName name="S5P4">#REF!</definedName>
    <definedName name="S5P5" localSheetId="2">#REF!</definedName>
    <definedName name="S5P5" localSheetId="16">#REF!</definedName>
    <definedName name="S5P5" localSheetId="17">#REF!</definedName>
    <definedName name="S5P5" localSheetId="19">#REF!</definedName>
    <definedName name="S5P5">#REF!</definedName>
    <definedName name="S5P6" localSheetId="2">#REF!</definedName>
    <definedName name="S5P6" localSheetId="16">#REF!</definedName>
    <definedName name="S5P6" localSheetId="17">#REF!</definedName>
    <definedName name="S5P6" localSheetId="19">#REF!</definedName>
    <definedName name="S5P6">#REF!</definedName>
    <definedName name="S5P7" localSheetId="2">#REF!</definedName>
    <definedName name="S5P7" localSheetId="16">#REF!</definedName>
    <definedName name="S5P7" localSheetId="17">#REF!</definedName>
    <definedName name="S5P7" localSheetId="19">#REF!</definedName>
    <definedName name="S5P7">#REF!</definedName>
    <definedName name="S5P8" localSheetId="2">#REF!</definedName>
    <definedName name="S5P8" localSheetId="16">#REF!</definedName>
    <definedName name="S5P8" localSheetId="17">#REF!</definedName>
    <definedName name="S5P8" localSheetId="19">#REF!</definedName>
    <definedName name="S5P8">#REF!</definedName>
    <definedName name="S5P9" localSheetId="2">#REF!</definedName>
    <definedName name="S5P9" localSheetId="16">#REF!</definedName>
    <definedName name="S5P9" localSheetId="17">#REF!</definedName>
    <definedName name="S5P9" localSheetId="19">#REF!</definedName>
    <definedName name="S5P9">#REF!</definedName>
    <definedName name="S5R1" localSheetId="2">#REF!</definedName>
    <definedName name="S5R1" localSheetId="16">#REF!</definedName>
    <definedName name="S5R1" localSheetId="17">#REF!</definedName>
    <definedName name="S5R1" localSheetId="19">#REF!</definedName>
    <definedName name="S5R1">#REF!</definedName>
    <definedName name="S5R10" localSheetId="2">#REF!</definedName>
    <definedName name="S5R10" localSheetId="16">#REF!</definedName>
    <definedName name="S5R10" localSheetId="17">#REF!</definedName>
    <definedName name="S5R10" localSheetId="19">#REF!</definedName>
    <definedName name="S5R10">#REF!</definedName>
    <definedName name="S5R11" localSheetId="2">#REF!</definedName>
    <definedName name="S5R11" localSheetId="16">#REF!</definedName>
    <definedName name="S5R11" localSheetId="17">#REF!</definedName>
    <definedName name="S5R11" localSheetId="19">#REF!</definedName>
    <definedName name="S5R11">#REF!</definedName>
    <definedName name="S5R12" localSheetId="2">#REF!</definedName>
    <definedName name="S5R12" localSheetId="16">#REF!</definedName>
    <definedName name="S5R12" localSheetId="17">#REF!</definedName>
    <definedName name="S5R12" localSheetId="19">#REF!</definedName>
    <definedName name="S5R12">#REF!</definedName>
    <definedName name="S5R13" localSheetId="2">#REF!</definedName>
    <definedName name="S5R13" localSheetId="16">#REF!</definedName>
    <definedName name="S5R13" localSheetId="17">#REF!</definedName>
    <definedName name="S5R13" localSheetId="19">#REF!</definedName>
    <definedName name="S5R13">#REF!</definedName>
    <definedName name="S5R14" localSheetId="2">#REF!</definedName>
    <definedName name="S5R14" localSheetId="16">#REF!</definedName>
    <definedName name="S5R14" localSheetId="17">#REF!</definedName>
    <definedName name="S5R14" localSheetId="19">#REF!</definedName>
    <definedName name="S5R14">#REF!</definedName>
    <definedName name="S5R15" localSheetId="2">#REF!</definedName>
    <definedName name="S5R15" localSheetId="16">#REF!</definedName>
    <definedName name="S5R15" localSheetId="17">#REF!</definedName>
    <definedName name="S5R15" localSheetId="19">#REF!</definedName>
    <definedName name="S5R15">#REF!</definedName>
    <definedName name="S5R16" localSheetId="2">#REF!</definedName>
    <definedName name="S5R16" localSheetId="16">#REF!</definedName>
    <definedName name="S5R16" localSheetId="17">#REF!</definedName>
    <definedName name="S5R16" localSheetId="19">#REF!</definedName>
    <definedName name="S5R16">#REF!</definedName>
    <definedName name="S5R17" localSheetId="2">#REF!</definedName>
    <definedName name="S5R17" localSheetId="16">#REF!</definedName>
    <definedName name="S5R17" localSheetId="17">#REF!</definedName>
    <definedName name="S5R17" localSheetId="19">#REF!</definedName>
    <definedName name="S5R17">#REF!</definedName>
    <definedName name="S5R18" localSheetId="2">#REF!</definedName>
    <definedName name="S5R18" localSheetId="16">#REF!</definedName>
    <definedName name="S5R18" localSheetId="17">#REF!</definedName>
    <definedName name="S5R18" localSheetId="19">#REF!</definedName>
    <definedName name="S5R18">#REF!</definedName>
    <definedName name="S5R19" localSheetId="2">#REF!</definedName>
    <definedName name="S5R19" localSheetId="16">#REF!</definedName>
    <definedName name="S5R19" localSheetId="17">#REF!</definedName>
    <definedName name="S5R19" localSheetId="19">#REF!</definedName>
    <definedName name="S5R19">#REF!</definedName>
    <definedName name="S5R2" localSheetId="2">#REF!</definedName>
    <definedName name="S5R2" localSheetId="16">#REF!</definedName>
    <definedName name="S5R2" localSheetId="17">#REF!</definedName>
    <definedName name="S5R2" localSheetId="19">#REF!</definedName>
    <definedName name="S5R2">#REF!</definedName>
    <definedName name="S5R20" localSheetId="2">#REF!</definedName>
    <definedName name="S5R20" localSheetId="16">#REF!</definedName>
    <definedName name="S5R20" localSheetId="17">#REF!</definedName>
    <definedName name="S5R20" localSheetId="19">#REF!</definedName>
    <definedName name="S5R20">#REF!</definedName>
    <definedName name="S5R21" localSheetId="2">#REF!</definedName>
    <definedName name="S5R21" localSheetId="16">#REF!</definedName>
    <definedName name="S5R21" localSheetId="17">#REF!</definedName>
    <definedName name="S5R21" localSheetId="19">#REF!</definedName>
    <definedName name="S5R21">#REF!</definedName>
    <definedName name="S5R22" localSheetId="2">#REF!</definedName>
    <definedName name="S5R22" localSheetId="16">#REF!</definedName>
    <definedName name="S5R22" localSheetId="17">#REF!</definedName>
    <definedName name="S5R22" localSheetId="19">#REF!</definedName>
    <definedName name="S5R22">#REF!</definedName>
    <definedName name="S5R23" localSheetId="2">#REF!</definedName>
    <definedName name="S5R23" localSheetId="16">#REF!</definedName>
    <definedName name="S5R23" localSheetId="17">#REF!</definedName>
    <definedName name="S5R23" localSheetId="19">#REF!</definedName>
    <definedName name="S5R23">#REF!</definedName>
    <definedName name="S5R24" localSheetId="2">#REF!</definedName>
    <definedName name="S5R24" localSheetId="16">#REF!</definedName>
    <definedName name="S5R24" localSheetId="17">#REF!</definedName>
    <definedName name="S5R24" localSheetId="19">#REF!</definedName>
    <definedName name="S5R24">#REF!</definedName>
    <definedName name="S5R3" localSheetId="2">#REF!</definedName>
    <definedName name="S5R3" localSheetId="16">#REF!</definedName>
    <definedName name="S5R3" localSheetId="17">#REF!</definedName>
    <definedName name="S5R3" localSheetId="19">#REF!</definedName>
    <definedName name="S5R3">#REF!</definedName>
    <definedName name="S5R4" localSheetId="2">#REF!</definedName>
    <definedName name="S5R4" localSheetId="16">#REF!</definedName>
    <definedName name="S5R4" localSheetId="17">#REF!</definedName>
    <definedName name="S5R4" localSheetId="19">#REF!</definedName>
    <definedName name="S5R4">#REF!</definedName>
    <definedName name="S5R5" localSheetId="2">#REF!</definedName>
    <definedName name="S5R5" localSheetId="16">#REF!</definedName>
    <definedName name="S5R5" localSheetId="17">#REF!</definedName>
    <definedName name="S5R5" localSheetId="19">#REF!</definedName>
    <definedName name="S5R5">#REF!</definedName>
    <definedName name="S5R6" localSheetId="2">#REF!</definedName>
    <definedName name="S5R6" localSheetId="16">#REF!</definedName>
    <definedName name="S5R6" localSheetId="17">#REF!</definedName>
    <definedName name="S5R6" localSheetId="19">#REF!</definedName>
    <definedName name="S5R6">#REF!</definedName>
    <definedName name="S5R7" localSheetId="2">#REF!</definedName>
    <definedName name="S5R7" localSheetId="16">#REF!</definedName>
    <definedName name="S5R7" localSheetId="17">#REF!</definedName>
    <definedName name="S5R7" localSheetId="19">#REF!</definedName>
    <definedName name="S5R7">#REF!</definedName>
    <definedName name="S5R8" localSheetId="2">#REF!</definedName>
    <definedName name="S5R8" localSheetId="16">#REF!</definedName>
    <definedName name="S5R8" localSheetId="17">#REF!</definedName>
    <definedName name="S5R8" localSheetId="19">#REF!</definedName>
    <definedName name="S5R8">#REF!</definedName>
    <definedName name="S5R9" localSheetId="2">#REF!</definedName>
    <definedName name="S5R9" localSheetId="16">#REF!</definedName>
    <definedName name="S5R9" localSheetId="17">#REF!</definedName>
    <definedName name="S5R9" localSheetId="19">#REF!</definedName>
    <definedName name="S5R9">#REF!</definedName>
    <definedName name="S6P1" localSheetId="2">#REF!</definedName>
    <definedName name="S6P1" localSheetId="16">#REF!</definedName>
    <definedName name="S6P1" localSheetId="17">#REF!</definedName>
    <definedName name="S6P1" localSheetId="19">#REF!</definedName>
    <definedName name="S6P1">#REF!</definedName>
    <definedName name="S6P10" localSheetId="2">#REF!</definedName>
    <definedName name="S6P10" localSheetId="16">#REF!</definedName>
    <definedName name="S6P10" localSheetId="17">#REF!</definedName>
    <definedName name="S6P10" localSheetId="19">#REF!</definedName>
    <definedName name="S6P10">#REF!</definedName>
    <definedName name="S6P11" localSheetId="2">#REF!</definedName>
    <definedName name="S6P11" localSheetId="16">#REF!</definedName>
    <definedName name="S6P11" localSheetId="17">#REF!</definedName>
    <definedName name="S6P11" localSheetId="19">#REF!</definedName>
    <definedName name="S6P11">#REF!</definedName>
    <definedName name="S6P12" localSheetId="2">#REF!</definedName>
    <definedName name="S6P12" localSheetId="16">#REF!</definedName>
    <definedName name="S6P12" localSheetId="17">#REF!</definedName>
    <definedName name="S6P12" localSheetId="19">#REF!</definedName>
    <definedName name="S6P12">#REF!</definedName>
    <definedName name="S6P13" localSheetId="2">#REF!</definedName>
    <definedName name="S6P13" localSheetId="16">#REF!</definedName>
    <definedName name="S6P13" localSheetId="17">#REF!</definedName>
    <definedName name="S6P13" localSheetId="19">#REF!</definedName>
    <definedName name="S6P13">#REF!</definedName>
    <definedName name="S6P14" localSheetId="2">#REF!</definedName>
    <definedName name="S6P14" localSheetId="16">#REF!</definedName>
    <definedName name="S6P14" localSheetId="17">#REF!</definedName>
    <definedName name="S6P14" localSheetId="19">#REF!</definedName>
    <definedName name="S6P14">#REF!</definedName>
    <definedName name="S6P15" localSheetId="2">#REF!</definedName>
    <definedName name="S6P15" localSheetId="16">#REF!</definedName>
    <definedName name="S6P15" localSheetId="17">#REF!</definedName>
    <definedName name="S6P15" localSheetId="19">#REF!</definedName>
    <definedName name="S6P15">#REF!</definedName>
    <definedName name="S6P16" localSheetId="2">#REF!</definedName>
    <definedName name="S6P16" localSheetId="16">#REF!</definedName>
    <definedName name="S6P16" localSheetId="17">#REF!</definedName>
    <definedName name="S6P16" localSheetId="19">#REF!</definedName>
    <definedName name="S6P16">#REF!</definedName>
    <definedName name="S6P17" localSheetId="2">#REF!</definedName>
    <definedName name="S6P17" localSheetId="16">#REF!</definedName>
    <definedName name="S6P17" localSheetId="17">#REF!</definedName>
    <definedName name="S6P17" localSheetId="19">#REF!</definedName>
    <definedName name="S6P17">#REF!</definedName>
    <definedName name="S6P18" localSheetId="2">#REF!</definedName>
    <definedName name="S6P18" localSheetId="16">#REF!</definedName>
    <definedName name="S6P18" localSheetId="17">#REF!</definedName>
    <definedName name="S6P18" localSheetId="19">#REF!</definedName>
    <definedName name="S6P18">#REF!</definedName>
    <definedName name="S6P19" localSheetId="2">#REF!</definedName>
    <definedName name="S6P19" localSheetId="16">#REF!</definedName>
    <definedName name="S6P19" localSheetId="17">#REF!</definedName>
    <definedName name="S6P19" localSheetId="19">#REF!</definedName>
    <definedName name="S6P19">#REF!</definedName>
    <definedName name="S6P2" localSheetId="2">#REF!</definedName>
    <definedName name="S6P2" localSheetId="16">#REF!</definedName>
    <definedName name="S6P2" localSheetId="17">#REF!</definedName>
    <definedName name="S6P2" localSheetId="19">#REF!</definedName>
    <definedName name="S6P2">#REF!</definedName>
    <definedName name="S6P20" localSheetId="2">#REF!</definedName>
    <definedName name="S6P20" localSheetId="16">#REF!</definedName>
    <definedName name="S6P20" localSheetId="17">#REF!</definedName>
    <definedName name="S6P20" localSheetId="19">#REF!</definedName>
    <definedName name="S6P20">#REF!</definedName>
    <definedName name="S6P21" localSheetId="2">#REF!</definedName>
    <definedName name="S6P21" localSheetId="16">#REF!</definedName>
    <definedName name="S6P21" localSheetId="17">#REF!</definedName>
    <definedName name="S6P21" localSheetId="19">#REF!</definedName>
    <definedName name="S6P21">#REF!</definedName>
    <definedName name="S6P22" localSheetId="2">#REF!</definedName>
    <definedName name="S6P22" localSheetId="16">#REF!</definedName>
    <definedName name="S6P22" localSheetId="17">#REF!</definedName>
    <definedName name="S6P22" localSheetId="19">#REF!</definedName>
    <definedName name="S6P22">#REF!</definedName>
    <definedName name="S6P23" localSheetId="2">#REF!</definedName>
    <definedName name="S6P23" localSheetId="16">#REF!</definedName>
    <definedName name="S6P23" localSheetId="17">#REF!</definedName>
    <definedName name="S6P23" localSheetId="19">#REF!</definedName>
    <definedName name="S6P23">#REF!</definedName>
    <definedName name="S6P24" localSheetId="2">#REF!</definedName>
    <definedName name="S6P24" localSheetId="16">#REF!</definedName>
    <definedName name="S6P24" localSheetId="17">#REF!</definedName>
    <definedName name="S6P24" localSheetId="19">#REF!</definedName>
    <definedName name="S6P24">#REF!</definedName>
    <definedName name="S6P3" localSheetId="2">#REF!</definedName>
    <definedName name="S6P3" localSheetId="16">#REF!</definedName>
    <definedName name="S6P3" localSheetId="17">#REF!</definedName>
    <definedName name="S6P3" localSheetId="19">#REF!</definedName>
    <definedName name="S6P3">#REF!</definedName>
    <definedName name="S6P4" localSheetId="2">#REF!</definedName>
    <definedName name="S6P4" localSheetId="16">#REF!</definedName>
    <definedName name="S6P4" localSheetId="17">#REF!</definedName>
    <definedName name="S6P4" localSheetId="19">#REF!</definedName>
    <definedName name="S6P4">#REF!</definedName>
    <definedName name="S6P5" localSheetId="2">#REF!</definedName>
    <definedName name="S6P5" localSheetId="16">#REF!</definedName>
    <definedName name="S6P5" localSheetId="17">#REF!</definedName>
    <definedName name="S6P5" localSheetId="19">#REF!</definedName>
    <definedName name="S6P5">#REF!</definedName>
    <definedName name="S6P6" localSheetId="2">#REF!</definedName>
    <definedName name="S6P6" localSheetId="16">#REF!</definedName>
    <definedName name="S6P6" localSheetId="17">#REF!</definedName>
    <definedName name="S6P6" localSheetId="19">#REF!</definedName>
    <definedName name="S6P6">#REF!</definedName>
    <definedName name="S6P7" localSheetId="2">#REF!</definedName>
    <definedName name="S6P7" localSheetId="16">#REF!</definedName>
    <definedName name="S6P7" localSheetId="17">#REF!</definedName>
    <definedName name="S6P7" localSheetId="19">#REF!</definedName>
    <definedName name="S6P7">#REF!</definedName>
    <definedName name="S6P8" localSheetId="2">#REF!</definedName>
    <definedName name="S6P8" localSheetId="16">#REF!</definedName>
    <definedName name="S6P8" localSheetId="17">#REF!</definedName>
    <definedName name="S6P8" localSheetId="19">#REF!</definedName>
    <definedName name="S6P8">#REF!</definedName>
    <definedName name="S6P9" localSheetId="2">#REF!</definedName>
    <definedName name="S6P9" localSheetId="16">#REF!</definedName>
    <definedName name="S6P9" localSheetId="17">#REF!</definedName>
    <definedName name="S6P9" localSheetId="19">#REF!</definedName>
    <definedName name="S6P9">#REF!</definedName>
    <definedName name="S6R1" localSheetId="2">#REF!</definedName>
    <definedName name="S6R1" localSheetId="16">#REF!</definedName>
    <definedName name="S6R1" localSheetId="17">#REF!</definedName>
    <definedName name="S6R1" localSheetId="19">#REF!</definedName>
    <definedName name="S6R1">#REF!</definedName>
    <definedName name="S6R10" localSheetId="2">#REF!</definedName>
    <definedName name="S6R10" localSheetId="16">#REF!</definedName>
    <definedName name="S6R10" localSheetId="17">#REF!</definedName>
    <definedName name="S6R10" localSheetId="19">#REF!</definedName>
    <definedName name="S6R10">#REF!</definedName>
    <definedName name="S6R11" localSheetId="2">#REF!</definedName>
    <definedName name="S6R11" localSheetId="16">#REF!</definedName>
    <definedName name="S6R11" localSheetId="17">#REF!</definedName>
    <definedName name="S6R11" localSheetId="19">#REF!</definedName>
    <definedName name="S6R11">#REF!</definedName>
    <definedName name="S6R12" localSheetId="2">#REF!</definedName>
    <definedName name="S6R12" localSheetId="16">#REF!</definedName>
    <definedName name="S6R12" localSheetId="17">#REF!</definedName>
    <definedName name="S6R12" localSheetId="19">#REF!</definedName>
    <definedName name="S6R12">#REF!</definedName>
    <definedName name="S6R13" localSheetId="2">#REF!</definedName>
    <definedName name="S6R13" localSheetId="16">#REF!</definedName>
    <definedName name="S6R13" localSheetId="17">#REF!</definedName>
    <definedName name="S6R13" localSheetId="19">#REF!</definedName>
    <definedName name="S6R13">#REF!</definedName>
    <definedName name="S6R14" localSheetId="2">#REF!</definedName>
    <definedName name="S6R14" localSheetId="16">#REF!</definedName>
    <definedName name="S6R14" localSheetId="17">#REF!</definedName>
    <definedName name="S6R14" localSheetId="19">#REF!</definedName>
    <definedName name="S6R14">#REF!</definedName>
    <definedName name="S6R15" localSheetId="2">#REF!</definedName>
    <definedName name="S6R15" localSheetId="16">#REF!</definedName>
    <definedName name="S6R15" localSheetId="17">#REF!</definedName>
    <definedName name="S6R15" localSheetId="19">#REF!</definedName>
    <definedName name="S6R15">#REF!</definedName>
    <definedName name="S6R16" localSheetId="2">#REF!</definedName>
    <definedName name="S6R16" localSheetId="16">#REF!</definedName>
    <definedName name="S6R16" localSheetId="17">#REF!</definedName>
    <definedName name="S6R16" localSheetId="19">#REF!</definedName>
    <definedName name="S6R16">#REF!</definedName>
    <definedName name="S6R17" localSheetId="2">#REF!</definedName>
    <definedName name="S6R17" localSheetId="16">#REF!</definedName>
    <definedName name="S6R17" localSheetId="17">#REF!</definedName>
    <definedName name="S6R17" localSheetId="19">#REF!</definedName>
    <definedName name="S6R17">#REF!</definedName>
    <definedName name="S6R18" localSheetId="2">#REF!</definedName>
    <definedName name="S6R18" localSheetId="16">#REF!</definedName>
    <definedName name="S6R18" localSheetId="17">#REF!</definedName>
    <definedName name="S6R18" localSheetId="19">#REF!</definedName>
    <definedName name="S6R18">#REF!</definedName>
    <definedName name="S6R19" localSheetId="2">#REF!</definedName>
    <definedName name="S6R19" localSheetId="16">#REF!</definedName>
    <definedName name="S6R19" localSheetId="17">#REF!</definedName>
    <definedName name="S6R19" localSheetId="19">#REF!</definedName>
    <definedName name="S6R19">#REF!</definedName>
    <definedName name="S6R2" localSheetId="2">#REF!</definedName>
    <definedName name="S6R2" localSheetId="16">#REF!</definedName>
    <definedName name="S6R2" localSheetId="17">#REF!</definedName>
    <definedName name="S6R2" localSheetId="19">#REF!</definedName>
    <definedName name="S6R2">#REF!</definedName>
    <definedName name="S6R20" localSheetId="2">#REF!</definedName>
    <definedName name="S6R20" localSheetId="16">#REF!</definedName>
    <definedName name="S6R20" localSheetId="17">#REF!</definedName>
    <definedName name="S6R20" localSheetId="19">#REF!</definedName>
    <definedName name="S6R20">#REF!</definedName>
    <definedName name="S6R21" localSheetId="2">#REF!</definedName>
    <definedName name="S6R21" localSheetId="16">#REF!</definedName>
    <definedName name="S6R21" localSheetId="17">#REF!</definedName>
    <definedName name="S6R21" localSheetId="19">#REF!</definedName>
    <definedName name="S6R21">#REF!</definedName>
    <definedName name="S6R22" localSheetId="2">#REF!</definedName>
    <definedName name="S6R22" localSheetId="16">#REF!</definedName>
    <definedName name="S6R22" localSheetId="17">#REF!</definedName>
    <definedName name="S6R22" localSheetId="19">#REF!</definedName>
    <definedName name="S6R22">#REF!</definedName>
    <definedName name="S6R23" localSheetId="2">#REF!</definedName>
    <definedName name="S6R23" localSheetId="16">#REF!</definedName>
    <definedName name="S6R23" localSheetId="17">#REF!</definedName>
    <definedName name="S6R23" localSheetId="19">#REF!</definedName>
    <definedName name="S6R23">#REF!</definedName>
    <definedName name="S6R24" localSheetId="2">#REF!</definedName>
    <definedName name="S6R24" localSheetId="16">#REF!</definedName>
    <definedName name="S6R24" localSheetId="17">#REF!</definedName>
    <definedName name="S6R24" localSheetId="19">#REF!</definedName>
    <definedName name="S6R24">#REF!</definedName>
    <definedName name="S6R3" localSheetId="2">#REF!</definedName>
    <definedName name="S6R3" localSheetId="16">#REF!</definedName>
    <definedName name="S6R3" localSheetId="17">#REF!</definedName>
    <definedName name="S6R3" localSheetId="19">#REF!</definedName>
    <definedName name="S6R3">#REF!</definedName>
    <definedName name="S6R4" localSheetId="2">#REF!</definedName>
    <definedName name="S6R4" localSheetId="16">#REF!</definedName>
    <definedName name="S6R4" localSheetId="17">#REF!</definedName>
    <definedName name="S6R4" localSheetId="19">#REF!</definedName>
    <definedName name="S6R4">#REF!</definedName>
    <definedName name="S6R5" localSheetId="2">#REF!</definedName>
    <definedName name="S6R5" localSheetId="16">#REF!</definedName>
    <definedName name="S6R5" localSheetId="17">#REF!</definedName>
    <definedName name="S6R5" localSheetId="19">#REF!</definedName>
    <definedName name="S6R5">#REF!</definedName>
    <definedName name="S6R6" localSheetId="2">#REF!</definedName>
    <definedName name="S6R6" localSheetId="16">#REF!</definedName>
    <definedName name="S6R6" localSheetId="17">#REF!</definedName>
    <definedName name="S6R6" localSheetId="19">#REF!</definedName>
    <definedName name="S6R6">#REF!</definedName>
    <definedName name="S6R7" localSheetId="2">#REF!</definedName>
    <definedName name="S6R7" localSheetId="16">#REF!</definedName>
    <definedName name="S6R7" localSheetId="17">#REF!</definedName>
    <definedName name="S6R7" localSheetId="19">#REF!</definedName>
    <definedName name="S6R7">#REF!</definedName>
    <definedName name="S6R8" localSheetId="2">#REF!</definedName>
    <definedName name="S6R8" localSheetId="16">#REF!</definedName>
    <definedName name="S6R8" localSheetId="17">#REF!</definedName>
    <definedName name="S6R8" localSheetId="19">#REF!</definedName>
    <definedName name="S6R8">#REF!</definedName>
    <definedName name="S6R9" localSheetId="2">#REF!</definedName>
    <definedName name="S6R9" localSheetId="16">#REF!</definedName>
    <definedName name="S6R9" localSheetId="17">#REF!</definedName>
    <definedName name="S6R9" localSheetId="19">#REF!</definedName>
    <definedName name="S6R9">#REF!</definedName>
    <definedName name="S7P1" localSheetId="2">#REF!</definedName>
    <definedName name="S7P1" localSheetId="16">#REF!</definedName>
    <definedName name="S7P1" localSheetId="17">#REF!</definedName>
    <definedName name="S7P1" localSheetId="19">#REF!</definedName>
    <definedName name="S7P1">#REF!</definedName>
    <definedName name="S7P10" localSheetId="2">#REF!</definedName>
    <definedName name="S7P10" localSheetId="16">#REF!</definedName>
    <definedName name="S7P10" localSheetId="17">#REF!</definedName>
    <definedName name="S7P10" localSheetId="19">#REF!</definedName>
    <definedName name="S7P10">#REF!</definedName>
    <definedName name="S7P11" localSheetId="2">#REF!</definedName>
    <definedName name="S7P11" localSheetId="16">#REF!</definedName>
    <definedName name="S7P11" localSheetId="17">#REF!</definedName>
    <definedName name="S7P11" localSheetId="19">#REF!</definedName>
    <definedName name="S7P11">#REF!</definedName>
    <definedName name="S7P12" localSheetId="2">#REF!</definedName>
    <definedName name="S7P12" localSheetId="16">#REF!</definedName>
    <definedName name="S7P12" localSheetId="17">#REF!</definedName>
    <definedName name="S7P12" localSheetId="19">#REF!</definedName>
    <definedName name="S7P12">#REF!</definedName>
    <definedName name="S7P13" localSheetId="2">#REF!</definedName>
    <definedName name="S7P13" localSheetId="16">#REF!</definedName>
    <definedName name="S7P13" localSheetId="17">#REF!</definedName>
    <definedName name="S7P13" localSheetId="19">#REF!</definedName>
    <definedName name="S7P13">#REF!</definedName>
    <definedName name="S7P14" localSheetId="2">#REF!</definedName>
    <definedName name="S7P14" localSheetId="16">#REF!</definedName>
    <definedName name="S7P14" localSheetId="17">#REF!</definedName>
    <definedName name="S7P14" localSheetId="19">#REF!</definedName>
    <definedName name="S7P14">#REF!</definedName>
    <definedName name="S7P15" localSheetId="2">#REF!</definedName>
    <definedName name="S7P15" localSheetId="16">#REF!</definedName>
    <definedName name="S7P15" localSheetId="17">#REF!</definedName>
    <definedName name="S7P15" localSheetId="19">#REF!</definedName>
    <definedName name="S7P15">#REF!</definedName>
    <definedName name="S7P16" localSheetId="2">#REF!</definedName>
    <definedName name="S7P16" localSheetId="16">#REF!</definedName>
    <definedName name="S7P16" localSheetId="17">#REF!</definedName>
    <definedName name="S7P16" localSheetId="19">#REF!</definedName>
    <definedName name="S7P16">#REF!</definedName>
    <definedName name="S7P17" localSheetId="2">#REF!</definedName>
    <definedName name="S7P17" localSheetId="16">#REF!</definedName>
    <definedName name="S7P17" localSheetId="17">#REF!</definedName>
    <definedName name="S7P17" localSheetId="19">#REF!</definedName>
    <definedName name="S7P17">#REF!</definedName>
    <definedName name="S7P18" localSheetId="2">#REF!</definedName>
    <definedName name="S7P18" localSheetId="16">#REF!</definedName>
    <definedName name="S7P18" localSheetId="17">#REF!</definedName>
    <definedName name="S7P18" localSheetId="19">#REF!</definedName>
    <definedName name="S7P18">#REF!</definedName>
    <definedName name="S7P19" localSheetId="2">#REF!</definedName>
    <definedName name="S7P19" localSheetId="16">#REF!</definedName>
    <definedName name="S7P19" localSheetId="17">#REF!</definedName>
    <definedName name="S7P19" localSheetId="19">#REF!</definedName>
    <definedName name="S7P19">#REF!</definedName>
    <definedName name="S7P2" localSheetId="2">#REF!</definedName>
    <definedName name="S7P2" localSheetId="16">#REF!</definedName>
    <definedName name="S7P2" localSheetId="17">#REF!</definedName>
    <definedName name="S7P2" localSheetId="19">#REF!</definedName>
    <definedName name="S7P2">#REF!</definedName>
    <definedName name="S7P20" localSheetId="2">#REF!</definedName>
    <definedName name="S7P20" localSheetId="16">#REF!</definedName>
    <definedName name="S7P20" localSheetId="17">#REF!</definedName>
    <definedName name="S7P20" localSheetId="19">#REF!</definedName>
    <definedName name="S7P20">#REF!</definedName>
    <definedName name="S7P21" localSheetId="2">#REF!</definedName>
    <definedName name="S7P21" localSheetId="16">#REF!</definedName>
    <definedName name="S7P21" localSheetId="17">#REF!</definedName>
    <definedName name="S7P21" localSheetId="19">#REF!</definedName>
    <definedName name="S7P21">#REF!</definedName>
    <definedName name="S7P22" localSheetId="2">#REF!</definedName>
    <definedName name="S7P22" localSheetId="16">#REF!</definedName>
    <definedName name="S7P22" localSheetId="17">#REF!</definedName>
    <definedName name="S7P22" localSheetId="19">#REF!</definedName>
    <definedName name="S7P22">#REF!</definedName>
    <definedName name="S7P23" localSheetId="2">#REF!</definedName>
    <definedName name="S7P23" localSheetId="16">#REF!</definedName>
    <definedName name="S7P23" localSheetId="17">#REF!</definedName>
    <definedName name="S7P23" localSheetId="19">#REF!</definedName>
    <definedName name="S7P23">#REF!</definedName>
    <definedName name="S7P24" localSheetId="2">#REF!</definedName>
    <definedName name="S7P24" localSheetId="16">#REF!</definedName>
    <definedName name="S7P24" localSheetId="17">#REF!</definedName>
    <definedName name="S7P24" localSheetId="19">#REF!</definedName>
    <definedName name="S7P24">#REF!</definedName>
    <definedName name="S7P3" localSheetId="2">#REF!</definedName>
    <definedName name="S7P3" localSheetId="16">#REF!</definedName>
    <definedName name="S7P3" localSheetId="17">#REF!</definedName>
    <definedName name="S7P3" localSheetId="19">#REF!</definedName>
    <definedName name="S7P3">#REF!</definedName>
    <definedName name="S7P4" localSheetId="2">#REF!</definedName>
    <definedName name="S7P4" localSheetId="16">#REF!</definedName>
    <definedName name="S7P4" localSheetId="17">#REF!</definedName>
    <definedName name="S7P4" localSheetId="19">#REF!</definedName>
    <definedName name="S7P4">#REF!</definedName>
    <definedName name="S7P5" localSheetId="2">#REF!</definedName>
    <definedName name="S7P5" localSheetId="16">#REF!</definedName>
    <definedName name="S7P5" localSheetId="17">#REF!</definedName>
    <definedName name="S7P5" localSheetId="19">#REF!</definedName>
    <definedName name="S7P5">#REF!</definedName>
    <definedName name="S7P6" localSheetId="2">#REF!</definedName>
    <definedName name="S7P6" localSheetId="16">#REF!</definedName>
    <definedName name="S7P6" localSheetId="17">#REF!</definedName>
    <definedName name="S7P6" localSheetId="19">#REF!</definedName>
    <definedName name="S7P6">#REF!</definedName>
    <definedName name="S7P7" localSheetId="2">#REF!</definedName>
    <definedName name="S7P7" localSheetId="16">#REF!</definedName>
    <definedName name="S7P7" localSheetId="17">#REF!</definedName>
    <definedName name="S7P7" localSheetId="19">#REF!</definedName>
    <definedName name="S7P7">#REF!</definedName>
    <definedName name="S7P8" localSheetId="2">#REF!</definedName>
    <definedName name="S7P8" localSheetId="16">#REF!</definedName>
    <definedName name="S7P8" localSheetId="17">#REF!</definedName>
    <definedName name="S7P8" localSheetId="19">#REF!</definedName>
    <definedName name="S7P8">#REF!</definedName>
    <definedName name="S7P9" localSheetId="2">#REF!</definedName>
    <definedName name="S7P9" localSheetId="16">#REF!</definedName>
    <definedName name="S7P9" localSheetId="17">#REF!</definedName>
    <definedName name="S7P9" localSheetId="19">#REF!</definedName>
    <definedName name="S7P9">#REF!</definedName>
    <definedName name="S7R1" localSheetId="2">#REF!</definedName>
    <definedName name="S7R1" localSheetId="16">#REF!</definedName>
    <definedName name="S7R1" localSheetId="17">#REF!</definedName>
    <definedName name="S7R1" localSheetId="19">#REF!</definedName>
    <definedName name="S7R1">#REF!</definedName>
    <definedName name="S7R10" localSheetId="2">#REF!</definedName>
    <definedName name="S7R10" localSheetId="16">#REF!</definedName>
    <definedName name="S7R10" localSheetId="17">#REF!</definedName>
    <definedName name="S7R10" localSheetId="19">#REF!</definedName>
    <definedName name="S7R10">#REF!</definedName>
    <definedName name="S7R11" localSheetId="2">#REF!</definedName>
    <definedName name="S7R11" localSheetId="16">#REF!</definedName>
    <definedName name="S7R11" localSheetId="17">#REF!</definedName>
    <definedName name="S7R11" localSheetId="19">#REF!</definedName>
    <definedName name="S7R11">#REF!</definedName>
    <definedName name="S7R12" localSheetId="2">#REF!</definedName>
    <definedName name="S7R12" localSheetId="16">#REF!</definedName>
    <definedName name="S7R12" localSheetId="17">#REF!</definedName>
    <definedName name="S7R12" localSheetId="19">#REF!</definedName>
    <definedName name="S7R12">#REF!</definedName>
    <definedName name="S7R13" localSheetId="2">#REF!</definedName>
    <definedName name="S7R13" localSheetId="16">#REF!</definedName>
    <definedName name="S7R13" localSheetId="17">#REF!</definedName>
    <definedName name="S7R13" localSheetId="19">#REF!</definedName>
    <definedName name="S7R13">#REF!</definedName>
    <definedName name="S7R14" localSheetId="2">#REF!</definedName>
    <definedName name="S7R14" localSheetId="16">#REF!</definedName>
    <definedName name="S7R14" localSheetId="17">#REF!</definedName>
    <definedName name="S7R14" localSheetId="19">#REF!</definedName>
    <definedName name="S7R14">#REF!</definedName>
    <definedName name="S7R15" localSheetId="2">#REF!</definedName>
    <definedName name="S7R15" localSheetId="16">#REF!</definedName>
    <definedName name="S7R15" localSheetId="17">#REF!</definedName>
    <definedName name="S7R15" localSheetId="19">#REF!</definedName>
    <definedName name="S7R15">#REF!</definedName>
    <definedName name="S7R16" localSheetId="2">#REF!</definedName>
    <definedName name="S7R16" localSheetId="16">#REF!</definedName>
    <definedName name="S7R16" localSheetId="17">#REF!</definedName>
    <definedName name="S7R16" localSheetId="19">#REF!</definedName>
    <definedName name="S7R16">#REF!</definedName>
    <definedName name="S7R17" localSheetId="2">#REF!</definedName>
    <definedName name="S7R17" localSheetId="16">#REF!</definedName>
    <definedName name="S7R17" localSheetId="17">#REF!</definedName>
    <definedName name="S7R17" localSheetId="19">#REF!</definedName>
    <definedName name="S7R17">#REF!</definedName>
    <definedName name="S7R18" localSheetId="2">#REF!</definedName>
    <definedName name="S7R18" localSheetId="16">#REF!</definedName>
    <definedName name="S7R18" localSheetId="17">#REF!</definedName>
    <definedName name="S7R18" localSheetId="19">#REF!</definedName>
    <definedName name="S7R18">#REF!</definedName>
    <definedName name="S7R19" localSheetId="2">#REF!</definedName>
    <definedName name="S7R19" localSheetId="16">#REF!</definedName>
    <definedName name="S7R19" localSheetId="17">#REF!</definedName>
    <definedName name="S7R19" localSheetId="19">#REF!</definedName>
    <definedName name="S7R19">#REF!</definedName>
    <definedName name="S7R2" localSheetId="2">#REF!</definedName>
    <definedName name="S7R2" localSheetId="16">#REF!</definedName>
    <definedName name="S7R2" localSheetId="17">#REF!</definedName>
    <definedName name="S7R2" localSheetId="19">#REF!</definedName>
    <definedName name="S7R2">#REF!</definedName>
    <definedName name="S7R20" localSheetId="2">#REF!</definedName>
    <definedName name="S7R20" localSheetId="16">#REF!</definedName>
    <definedName name="S7R20" localSheetId="17">#REF!</definedName>
    <definedName name="S7R20" localSheetId="19">#REF!</definedName>
    <definedName name="S7R20">#REF!</definedName>
    <definedName name="S7R21" localSheetId="2">#REF!</definedName>
    <definedName name="S7R21" localSheetId="16">#REF!</definedName>
    <definedName name="S7R21" localSheetId="17">#REF!</definedName>
    <definedName name="S7R21" localSheetId="19">#REF!</definedName>
    <definedName name="S7R21">#REF!</definedName>
    <definedName name="S7R22" localSheetId="2">#REF!</definedName>
    <definedName name="S7R22" localSheetId="16">#REF!</definedName>
    <definedName name="S7R22" localSheetId="17">#REF!</definedName>
    <definedName name="S7R22" localSheetId="19">#REF!</definedName>
    <definedName name="S7R22">#REF!</definedName>
    <definedName name="S7R23" localSheetId="2">#REF!</definedName>
    <definedName name="S7R23" localSheetId="16">#REF!</definedName>
    <definedName name="S7R23" localSheetId="17">#REF!</definedName>
    <definedName name="S7R23" localSheetId="19">#REF!</definedName>
    <definedName name="S7R23">#REF!</definedName>
    <definedName name="S7R24" localSheetId="2">#REF!</definedName>
    <definedName name="S7R24" localSheetId="16">#REF!</definedName>
    <definedName name="S7R24" localSheetId="17">#REF!</definedName>
    <definedName name="S7R24" localSheetId="19">#REF!</definedName>
    <definedName name="S7R24">#REF!</definedName>
    <definedName name="S7R3" localSheetId="2">#REF!</definedName>
    <definedName name="S7R3" localSheetId="16">#REF!</definedName>
    <definedName name="S7R3" localSheetId="17">#REF!</definedName>
    <definedName name="S7R3" localSheetId="19">#REF!</definedName>
    <definedName name="S7R3">#REF!</definedName>
    <definedName name="S7R4" localSheetId="2">#REF!</definedName>
    <definedName name="S7R4" localSheetId="16">#REF!</definedName>
    <definedName name="S7R4" localSheetId="17">#REF!</definedName>
    <definedName name="S7R4" localSheetId="19">#REF!</definedName>
    <definedName name="S7R4">#REF!</definedName>
    <definedName name="S7R5" localSheetId="2">#REF!</definedName>
    <definedName name="S7R5" localSheetId="16">#REF!</definedName>
    <definedName name="S7R5" localSheetId="17">#REF!</definedName>
    <definedName name="S7R5" localSheetId="19">#REF!</definedName>
    <definedName name="S7R5">#REF!</definedName>
    <definedName name="S7R6" localSheetId="2">#REF!</definedName>
    <definedName name="S7R6" localSheetId="16">#REF!</definedName>
    <definedName name="S7R6" localSheetId="17">#REF!</definedName>
    <definedName name="S7R6" localSheetId="19">#REF!</definedName>
    <definedName name="S7R6">#REF!</definedName>
    <definedName name="S7R7" localSheetId="2">#REF!</definedName>
    <definedName name="S7R7" localSheetId="16">#REF!</definedName>
    <definedName name="S7R7" localSheetId="17">#REF!</definedName>
    <definedName name="S7R7" localSheetId="19">#REF!</definedName>
    <definedName name="S7R7">#REF!</definedName>
    <definedName name="S7R8" localSheetId="2">#REF!</definedName>
    <definedName name="S7R8" localSheetId="16">#REF!</definedName>
    <definedName name="S7R8" localSheetId="17">#REF!</definedName>
    <definedName name="S7R8" localSheetId="19">#REF!</definedName>
    <definedName name="S7R8">#REF!</definedName>
    <definedName name="S7R9" localSheetId="2">#REF!</definedName>
    <definedName name="S7R9" localSheetId="16">#REF!</definedName>
    <definedName name="S7R9" localSheetId="17">#REF!</definedName>
    <definedName name="S7R9" localSheetId="19">#REF!</definedName>
    <definedName name="S7R9">#REF!</definedName>
    <definedName name="S8P1" localSheetId="2">#REF!</definedName>
    <definedName name="S8P1" localSheetId="16">#REF!</definedName>
    <definedName name="S8P1" localSheetId="17">#REF!</definedName>
    <definedName name="S8P1" localSheetId="19">#REF!</definedName>
    <definedName name="S8P1">#REF!</definedName>
    <definedName name="S8P10" localSheetId="2">#REF!</definedName>
    <definedName name="S8P10" localSheetId="16">#REF!</definedName>
    <definedName name="S8P10" localSheetId="17">#REF!</definedName>
    <definedName name="S8P10" localSheetId="19">#REF!</definedName>
    <definedName name="S8P10">#REF!</definedName>
    <definedName name="S8P11" localSheetId="2">#REF!</definedName>
    <definedName name="S8P11" localSheetId="16">#REF!</definedName>
    <definedName name="S8P11" localSheetId="17">#REF!</definedName>
    <definedName name="S8P11" localSheetId="19">#REF!</definedName>
    <definedName name="S8P11">#REF!</definedName>
    <definedName name="S8P12" localSheetId="2">#REF!</definedName>
    <definedName name="S8P12" localSheetId="16">#REF!</definedName>
    <definedName name="S8P12" localSheetId="17">#REF!</definedName>
    <definedName name="S8P12" localSheetId="19">#REF!</definedName>
    <definedName name="S8P12">#REF!</definedName>
    <definedName name="S8P13" localSheetId="2">#REF!</definedName>
    <definedName name="S8P13" localSheetId="16">#REF!</definedName>
    <definedName name="S8P13" localSheetId="17">#REF!</definedName>
    <definedName name="S8P13" localSheetId="19">#REF!</definedName>
    <definedName name="S8P13">#REF!</definedName>
    <definedName name="S8P14" localSheetId="2">#REF!</definedName>
    <definedName name="S8P14" localSheetId="16">#REF!</definedName>
    <definedName name="S8P14" localSheetId="17">#REF!</definedName>
    <definedName name="S8P14" localSheetId="19">#REF!</definedName>
    <definedName name="S8P14">#REF!</definedName>
    <definedName name="S8P15" localSheetId="2">#REF!</definedName>
    <definedName name="S8P15" localSheetId="16">#REF!</definedName>
    <definedName name="S8P15" localSheetId="17">#REF!</definedName>
    <definedName name="S8P15" localSheetId="19">#REF!</definedName>
    <definedName name="S8P15">#REF!</definedName>
    <definedName name="S8P16" localSheetId="2">#REF!</definedName>
    <definedName name="S8P16" localSheetId="16">#REF!</definedName>
    <definedName name="S8P16" localSheetId="17">#REF!</definedName>
    <definedName name="S8P16" localSheetId="19">#REF!</definedName>
    <definedName name="S8P16">#REF!</definedName>
    <definedName name="S8P17" localSheetId="2">#REF!</definedName>
    <definedName name="S8P17" localSheetId="16">#REF!</definedName>
    <definedName name="S8P17" localSheetId="17">#REF!</definedName>
    <definedName name="S8P17" localSheetId="19">#REF!</definedName>
    <definedName name="S8P17">#REF!</definedName>
    <definedName name="S8P18" localSheetId="2">#REF!</definedName>
    <definedName name="S8P18" localSheetId="16">#REF!</definedName>
    <definedName name="S8P18" localSheetId="17">#REF!</definedName>
    <definedName name="S8P18" localSheetId="19">#REF!</definedName>
    <definedName name="S8P18">#REF!</definedName>
    <definedName name="S8P19" localSheetId="2">#REF!</definedName>
    <definedName name="S8P19" localSheetId="16">#REF!</definedName>
    <definedName name="S8P19" localSheetId="17">#REF!</definedName>
    <definedName name="S8P19" localSheetId="19">#REF!</definedName>
    <definedName name="S8P19">#REF!</definedName>
    <definedName name="S8P2" localSheetId="2">#REF!</definedName>
    <definedName name="S8P2" localSheetId="16">#REF!</definedName>
    <definedName name="S8P2" localSheetId="17">#REF!</definedName>
    <definedName name="S8P2" localSheetId="19">#REF!</definedName>
    <definedName name="S8P2">#REF!</definedName>
    <definedName name="S8P20" localSheetId="2">#REF!</definedName>
    <definedName name="S8P20" localSheetId="16">#REF!</definedName>
    <definedName name="S8P20" localSheetId="17">#REF!</definedName>
    <definedName name="S8P20" localSheetId="19">#REF!</definedName>
    <definedName name="S8P20">#REF!</definedName>
    <definedName name="S8P21" localSheetId="2">#REF!</definedName>
    <definedName name="S8P21" localSheetId="16">#REF!</definedName>
    <definedName name="S8P21" localSheetId="17">#REF!</definedName>
    <definedName name="S8P21" localSheetId="19">#REF!</definedName>
    <definedName name="S8P21">#REF!</definedName>
    <definedName name="S8P22" localSheetId="2">#REF!</definedName>
    <definedName name="S8P22" localSheetId="16">#REF!</definedName>
    <definedName name="S8P22" localSheetId="17">#REF!</definedName>
    <definedName name="S8P22" localSheetId="19">#REF!</definedName>
    <definedName name="S8P22">#REF!</definedName>
    <definedName name="S8P23" localSheetId="2">#REF!</definedName>
    <definedName name="S8P23" localSheetId="16">#REF!</definedName>
    <definedName name="S8P23" localSheetId="17">#REF!</definedName>
    <definedName name="S8P23" localSheetId="19">#REF!</definedName>
    <definedName name="S8P23">#REF!</definedName>
    <definedName name="S8P24" localSheetId="2">#REF!</definedName>
    <definedName name="S8P24" localSheetId="16">#REF!</definedName>
    <definedName name="S8P24" localSheetId="17">#REF!</definedName>
    <definedName name="S8P24" localSheetId="19">#REF!</definedName>
    <definedName name="S8P24">#REF!</definedName>
    <definedName name="S8P3" localSheetId="2">#REF!</definedName>
    <definedName name="S8P3" localSheetId="16">#REF!</definedName>
    <definedName name="S8P3" localSheetId="17">#REF!</definedName>
    <definedName name="S8P3" localSheetId="19">#REF!</definedName>
    <definedName name="S8P3">#REF!</definedName>
    <definedName name="S8P4" localSheetId="2">#REF!</definedName>
    <definedName name="S8P4" localSheetId="16">#REF!</definedName>
    <definedName name="S8P4" localSheetId="17">#REF!</definedName>
    <definedName name="S8P4" localSheetId="19">#REF!</definedName>
    <definedName name="S8P4">#REF!</definedName>
    <definedName name="S8P5" localSheetId="2">#REF!</definedName>
    <definedName name="S8P5" localSheetId="16">#REF!</definedName>
    <definedName name="S8P5" localSheetId="17">#REF!</definedName>
    <definedName name="S8P5" localSheetId="19">#REF!</definedName>
    <definedName name="S8P5">#REF!</definedName>
    <definedName name="S8P6" localSheetId="2">#REF!</definedName>
    <definedName name="S8P6" localSheetId="16">#REF!</definedName>
    <definedName name="S8P6" localSheetId="17">#REF!</definedName>
    <definedName name="S8P6" localSheetId="19">#REF!</definedName>
    <definedName name="S8P6">#REF!</definedName>
    <definedName name="S8P7" localSheetId="2">#REF!</definedName>
    <definedName name="S8P7" localSheetId="16">#REF!</definedName>
    <definedName name="S8P7" localSheetId="17">#REF!</definedName>
    <definedName name="S8P7" localSheetId="19">#REF!</definedName>
    <definedName name="S8P7">#REF!</definedName>
    <definedName name="S8P8" localSheetId="2">#REF!</definedName>
    <definedName name="S8P8" localSheetId="16">#REF!</definedName>
    <definedName name="S8P8" localSheetId="17">#REF!</definedName>
    <definedName name="S8P8" localSheetId="19">#REF!</definedName>
    <definedName name="S8P8">#REF!</definedName>
    <definedName name="S8P9" localSheetId="2">#REF!</definedName>
    <definedName name="S8P9" localSheetId="16">#REF!</definedName>
    <definedName name="S8P9" localSheetId="17">#REF!</definedName>
    <definedName name="S8P9" localSheetId="19">#REF!</definedName>
    <definedName name="S8P9">#REF!</definedName>
    <definedName name="S8R1" localSheetId="2">#REF!</definedName>
    <definedName name="S8R1" localSheetId="16">#REF!</definedName>
    <definedName name="S8R1" localSheetId="17">#REF!</definedName>
    <definedName name="S8R1" localSheetId="19">#REF!</definedName>
    <definedName name="S8R1">#REF!</definedName>
    <definedName name="S8R10" localSheetId="2">#REF!</definedName>
    <definedName name="S8R10" localSheetId="16">#REF!</definedName>
    <definedName name="S8R10" localSheetId="17">#REF!</definedName>
    <definedName name="S8R10" localSheetId="19">#REF!</definedName>
    <definedName name="S8R10">#REF!</definedName>
    <definedName name="S8R11" localSheetId="2">#REF!</definedName>
    <definedName name="S8R11" localSheetId="16">#REF!</definedName>
    <definedName name="S8R11" localSheetId="17">#REF!</definedName>
    <definedName name="S8R11" localSheetId="19">#REF!</definedName>
    <definedName name="S8R11">#REF!</definedName>
    <definedName name="S8R12" localSheetId="2">#REF!</definedName>
    <definedName name="S8R12" localSheetId="16">#REF!</definedName>
    <definedName name="S8R12" localSheetId="17">#REF!</definedName>
    <definedName name="S8R12" localSheetId="19">#REF!</definedName>
    <definedName name="S8R12">#REF!</definedName>
    <definedName name="S8R13" localSheetId="2">#REF!</definedName>
    <definedName name="S8R13" localSheetId="16">#REF!</definedName>
    <definedName name="S8R13" localSheetId="17">#REF!</definedName>
    <definedName name="S8R13" localSheetId="19">#REF!</definedName>
    <definedName name="S8R13">#REF!</definedName>
    <definedName name="S8R14" localSheetId="2">#REF!</definedName>
    <definedName name="S8R14" localSheetId="16">#REF!</definedName>
    <definedName name="S8R14" localSheetId="17">#REF!</definedName>
    <definedName name="S8R14" localSheetId="19">#REF!</definedName>
    <definedName name="S8R14">#REF!</definedName>
    <definedName name="S8R15" localSheetId="2">#REF!</definedName>
    <definedName name="S8R15" localSheetId="16">#REF!</definedName>
    <definedName name="S8R15" localSheetId="17">#REF!</definedName>
    <definedName name="S8R15" localSheetId="19">#REF!</definedName>
    <definedName name="S8R15">#REF!</definedName>
    <definedName name="S8R16" localSheetId="2">#REF!</definedName>
    <definedName name="S8R16" localSheetId="16">#REF!</definedName>
    <definedName name="S8R16" localSheetId="17">#REF!</definedName>
    <definedName name="S8R16" localSheetId="19">#REF!</definedName>
    <definedName name="S8R16">#REF!</definedName>
    <definedName name="S8R17" localSheetId="2">#REF!</definedName>
    <definedName name="S8R17" localSheetId="16">#REF!</definedName>
    <definedName name="S8R17" localSheetId="17">#REF!</definedName>
    <definedName name="S8R17" localSheetId="19">#REF!</definedName>
    <definedName name="S8R17">#REF!</definedName>
    <definedName name="S8R18" localSheetId="2">#REF!</definedName>
    <definedName name="S8R18" localSheetId="16">#REF!</definedName>
    <definedName name="S8R18" localSheetId="17">#REF!</definedName>
    <definedName name="S8R18" localSheetId="19">#REF!</definedName>
    <definedName name="S8R18">#REF!</definedName>
    <definedName name="S8R19" localSheetId="2">#REF!</definedName>
    <definedName name="S8R19" localSheetId="16">#REF!</definedName>
    <definedName name="S8R19" localSheetId="17">#REF!</definedName>
    <definedName name="S8R19" localSheetId="19">#REF!</definedName>
    <definedName name="S8R19">#REF!</definedName>
    <definedName name="S8R2" localSheetId="2">#REF!</definedName>
    <definedName name="S8R2" localSheetId="16">#REF!</definedName>
    <definedName name="S8R2" localSheetId="17">#REF!</definedName>
    <definedName name="S8R2" localSheetId="19">#REF!</definedName>
    <definedName name="S8R2">#REF!</definedName>
    <definedName name="S8R20" localSheetId="2">#REF!</definedName>
    <definedName name="S8R20" localSheetId="16">#REF!</definedName>
    <definedName name="S8R20" localSheetId="17">#REF!</definedName>
    <definedName name="S8R20" localSheetId="19">#REF!</definedName>
    <definedName name="S8R20">#REF!</definedName>
    <definedName name="S8R21" localSheetId="2">#REF!</definedName>
    <definedName name="S8R21" localSheetId="16">#REF!</definedName>
    <definedName name="S8R21" localSheetId="17">#REF!</definedName>
    <definedName name="S8R21" localSheetId="19">#REF!</definedName>
    <definedName name="S8R21">#REF!</definedName>
    <definedName name="S8R22" localSheetId="2">#REF!</definedName>
    <definedName name="S8R22" localSheetId="16">#REF!</definedName>
    <definedName name="S8R22" localSheetId="17">#REF!</definedName>
    <definedName name="S8R22" localSheetId="19">#REF!</definedName>
    <definedName name="S8R22">#REF!</definedName>
    <definedName name="S8R23" localSheetId="2">#REF!</definedName>
    <definedName name="S8R23" localSheetId="16">#REF!</definedName>
    <definedName name="S8R23" localSheetId="17">#REF!</definedName>
    <definedName name="S8R23" localSheetId="19">#REF!</definedName>
    <definedName name="S8R23">#REF!</definedName>
    <definedName name="S8R24" localSheetId="2">#REF!</definedName>
    <definedName name="S8R24" localSheetId="16">#REF!</definedName>
    <definedName name="S8R24" localSheetId="17">#REF!</definedName>
    <definedName name="S8R24" localSheetId="19">#REF!</definedName>
    <definedName name="S8R24">#REF!</definedName>
    <definedName name="S8R3" localSheetId="2">#REF!</definedName>
    <definedName name="S8R3" localSheetId="16">#REF!</definedName>
    <definedName name="S8R3" localSheetId="17">#REF!</definedName>
    <definedName name="S8R3" localSheetId="19">#REF!</definedName>
    <definedName name="S8R3">#REF!</definedName>
    <definedName name="S8R4" localSheetId="2">#REF!</definedName>
    <definedName name="S8R4" localSheetId="16">#REF!</definedName>
    <definedName name="S8R4" localSheetId="17">#REF!</definedName>
    <definedName name="S8R4" localSheetId="19">#REF!</definedName>
    <definedName name="S8R4">#REF!</definedName>
    <definedName name="S8R5" localSheetId="2">#REF!</definedName>
    <definedName name="S8R5" localSheetId="16">#REF!</definedName>
    <definedName name="S8R5" localSheetId="17">#REF!</definedName>
    <definedName name="S8R5" localSheetId="19">#REF!</definedName>
    <definedName name="S8R5">#REF!</definedName>
    <definedName name="S8R6" localSheetId="2">#REF!</definedName>
    <definedName name="S8R6" localSheetId="16">#REF!</definedName>
    <definedName name="S8R6" localSheetId="17">#REF!</definedName>
    <definedName name="S8R6" localSheetId="19">#REF!</definedName>
    <definedName name="S8R6">#REF!</definedName>
    <definedName name="S8R7" localSheetId="2">#REF!</definedName>
    <definedName name="S8R7" localSheetId="16">#REF!</definedName>
    <definedName name="S8R7" localSheetId="17">#REF!</definedName>
    <definedName name="S8R7" localSheetId="19">#REF!</definedName>
    <definedName name="S8R7">#REF!</definedName>
    <definedName name="S8R8" localSheetId="2">#REF!</definedName>
    <definedName name="S8R8" localSheetId="16">#REF!</definedName>
    <definedName name="S8R8" localSheetId="17">#REF!</definedName>
    <definedName name="S8R8" localSheetId="19">#REF!</definedName>
    <definedName name="S8R8">#REF!</definedName>
    <definedName name="S8R9" localSheetId="2">#REF!</definedName>
    <definedName name="S8R9" localSheetId="16">#REF!</definedName>
    <definedName name="S8R9" localSheetId="17">#REF!</definedName>
    <definedName name="S8R9" localSheetId="19">#REF!</definedName>
    <definedName name="S8R9">#REF!</definedName>
    <definedName name="S9P1" localSheetId="2">#REF!</definedName>
    <definedName name="S9P1" localSheetId="16">#REF!</definedName>
    <definedName name="S9P1" localSheetId="17">#REF!</definedName>
    <definedName name="S9P1" localSheetId="19">#REF!</definedName>
    <definedName name="S9P1">#REF!</definedName>
    <definedName name="S9P10" localSheetId="2">#REF!</definedName>
    <definedName name="S9P10" localSheetId="16">#REF!</definedName>
    <definedName name="S9P10" localSheetId="17">#REF!</definedName>
    <definedName name="S9P10" localSheetId="19">#REF!</definedName>
    <definedName name="S9P10">#REF!</definedName>
    <definedName name="S9P11" localSheetId="2">#REF!</definedName>
    <definedName name="S9P11" localSheetId="16">#REF!</definedName>
    <definedName name="S9P11" localSheetId="17">#REF!</definedName>
    <definedName name="S9P11" localSheetId="19">#REF!</definedName>
    <definedName name="S9P11">#REF!</definedName>
    <definedName name="S9P12" localSheetId="2">#REF!</definedName>
    <definedName name="S9P12" localSheetId="16">#REF!</definedName>
    <definedName name="S9P12" localSheetId="17">#REF!</definedName>
    <definedName name="S9P12" localSheetId="19">#REF!</definedName>
    <definedName name="S9P12">#REF!</definedName>
    <definedName name="S9P13" localSheetId="2">#REF!</definedName>
    <definedName name="S9P13" localSheetId="16">#REF!</definedName>
    <definedName name="S9P13" localSheetId="17">#REF!</definedName>
    <definedName name="S9P13" localSheetId="19">#REF!</definedName>
    <definedName name="S9P13">#REF!</definedName>
    <definedName name="S9P14" localSheetId="2">#REF!</definedName>
    <definedName name="S9P14" localSheetId="16">#REF!</definedName>
    <definedName name="S9P14" localSheetId="17">#REF!</definedName>
    <definedName name="S9P14" localSheetId="19">#REF!</definedName>
    <definedName name="S9P14">#REF!</definedName>
    <definedName name="S9P15" localSheetId="2">#REF!</definedName>
    <definedName name="S9P15" localSheetId="16">#REF!</definedName>
    <definedName name="S9P15" localSheetId="17">#REF!</definedName>
    <definedName name="S9P15" localSheetId="19">#REF!</definedName>
    <definedName name="S9P15">#REF!</definedName>
    <definedName name="S9P16" localSheetId="2">#REF!</definedName>
    <definedName name="S9P16" localSheetId="16">#REF!</definedName>
    <definedName name="S9P16" localSheetId="17">#REF!</definedName>
    <definedName name="S9P16" localSheetId="19">#REF!</definedName>
    <definedName name="S9P16">#REF!</definedName>
    <definedName name="S9P17" localSheetId="2">#REF!</definedName>
    <definedName name="S9P17" localSheetId="16">#REF!</definedName>
    <definedName name="S9P17" localSheetId="17">#REF!</definedName>
    <definedName name="S9P17" localSheetId="19">#REF!</definedName>
    <definedName name="S9P17">#REF!</definedName>
    <definedName name="S9P18" localSheetId="2">#REF!</definedName>
    <definedName name="S9P18" localSheetId="16">#REF!</definedName>
    <definedName name="S9P18" localSheetId="17">#REF!</definedName>
    <definedName name="S9P18" localSheetId="19">#REF!</definedName>
    <definedName name="S9P18">#REF!</definedName>
    <definedName name="S9P19" localSheetId="2">#REF!</definedName>
    <definedName name="S9P19" localSheetId="16">#REF!</definedName>
    <definedName name="S9P19" localSheetId="17">#REF!</definedName>
    <definedName name="S9P19" localSheetId="19">#REF!</definedName>
    <definedName name="S9P19">#REF!</definedName>
    <definedName name="S9P2" localSheetId="2">#REF!</definedName>
    <definedName name="S9P2" localSheetId="16">#REF!</definedName>
    <definedName name="S9P2" localSheetId="17">#REF!</definedName>
    <definedName name="S9P2" localSheetId="19">#REF!</definedName>
    <definedName name="S9P2">#REF!</definedName>
    <definedName name="S9P20" localSheetId="2">#REF!</definedName>
    <definedName name="S9P20" localSheetId="16">#REF!</definedName>
    <definedName name="S9P20" localSheetId="17">#REF!</definedName>
    <definedName name="S9P20" localSheetId="19">#REF!</definedName>
    <definedName name="S9P20">#REF!</definedName>
    <definedName name="S9P21" localSheetId="2">#REF!</definedName>
    <definedName name="S9P21" localSheetId="16">#REF!</definedName>
    <definedName name="S9P21" localSheetId="17">#REF!</definedName>
    <definedName name="S9P21" localSheetId="19">#REF!</definedName>
    <definedName name="S9P21">#REF!</definedName>
    <definedName name="S9P22" localSheetId="2">#REF!</definedName>
    <definedName name="S9P22" localSheetId="16">#REF!</definedName>
    <definedName name="S9P22" localSheetId="17">#REF!</definedName>
    <definedName name="S9P22" localSheetId="19">#REF!</definedName>
    <definedName name="S9P22">#REF!</definedName>
    <definedName name="S9P23" localSheetId="2">#REF!</definedName>
    <definedName name="S9P23" localSheetId="16">#REF!</definedName>
    <definedName name="S9P23" localSheetId="17">#REF!</definedName>
    <definedName name="S9P23" localSheetId="19">#REF!</definedName>
    <definedName name="S9P23">#REF!</definedName>
    <definedName name="S9P24" localSheetId="2">#REF!</definedName>
    <definedName name="S9P24" localSheetId="16">#REF!</definedName>
    <definedName name="S9P24" localSheetId="17">#REF!</definedName>
    <definedName name="S9P24" localSheetId="19">#REF!</definedName>
    <definedName name="S9P24">#REF!</definedName>
    <definedName name="S9P3" localSheetId="2">#REF!</definedName>
    <definedName name="S9P3" localSheetId="16">#REF!</definedName>
    <definedName name="S9P3" localSheetId="17">#REF!</definedName>
    <definedName name="S9P3" localSheetId="19">#REF!</definedName>
    <definedName name="S9P3">#REF!</definedName>
    <definedName name="S9P4" localSheetId="2">#REF!</definedName>
    <definedName name="S9P4" localSheetId="16">#REF!</definedName>
    <definedName name="S9P4" localSheetId="17">#REF!</definedName>
    <definedName name="S9P4" localSheetId="19">#REF!</definedName>
    <definedName name="S9P4">#REF!</definedName>
    <definedName name="S9P5" localSheetId="2">#REF!</definedName>
    <definedName name="S9P5" localSheetId="16">#REF!</definedName>
    <definedName name="S9P5" localSheetId="17">#REF!</definedName>
    <definedName name="S9P5" localSheetId="19">#REF!</definedName>
    <definedName name="S9P5">#REF!</definedName>
    <definedName name="S9P6" localSheetId="2">#REF!</definedName>
    <definedName name="S9P6" localSheetId="16">#REF!</definedName>
    <definedName name="S9P6" localSheetId="17">#REF!</definedName>
    <definedName name="S9P6" localSheetId="19">#REF!</definedName>
    <definedName name="S9P6">#REF!</definedName>
    <definedName name="S9P7" localSheetId="2">#REF!</definedName>
    <definedName name="S9P7" localSheetId="16">#REF!</definedName>
    <definedName name="S9P7" localSheetId="17">#REF!</definedName>
    <definedName name="S9P7" localSheetId="19">#REF!</definedName>
    <definedName name="S9P7">#REF!</definedName>
    <definedName name="S9P8" localSheetId="2">#REF!</definedName>
    <definedName name="S9P8" localSheetId="16">#REF!</definedName>
    <definedName name="S9P8" localSheetId="17">#REF!</definedName>
    <definedName name="S9P8" localSheetId="19">#REF!</definedName>
    <definedName name="S9P8">#REF!</definedName>
    <definedName name="S9P9" localSheetId="2">#REF!</definedName>
    <definedName name="S9P9" localSheetId="16">#REF!</definedName>
    <definedName name="S9P9" localSheetId="17">#REF!</definedName>
    <definedName name="S9P9" localSheetId="19">#REF!</definedName>
    <definedName name="S9P9">#REF!</definedName>
    <definedName name="S9R1" localSheetId="2">#REF!</definedName>
    <definedName name="S9R1" localSheetId="16">#REF!</definedName>
    <definedName name="S9R1" localSheetId="17">#REF!</definedName>
    <definedName name="S9R1" localSheetId="19">#REF!</definedName>
    <definedName name="S9R1">#REF!</definedName>
    <definedName name="S9R10" localSheetId="2">#REF!</definedName>
    <definedName name="S9R10" localSheetId="16">#REF!</definedName>
    <definedName name="S9R10" localSheetId="17">#REF!</definedName>
    <definedName name="S9R10" localSheetId="19">#REF!</definedName>
    <definedName name="S9R10">#REF!</definedName>
    <definedName name="S9R11" localSheetId="2">#REF!</definedName>
    <definedName name="S9R11" localSheetId="16">#REF!</definedName>
    <definedName name="S9R11" localSheetId="17">#REF!</definedName>
    <definedName name="S9R11" localSheetId="19">#REF!</definedName>
    <definedName name="S9R11">#REF!</definedName>
    <definedName name="S9R12" localSheetId="2">#REF!</definedName>
    <definedName name="S9R12" localSheetId="16">#REF!</definedName>
    <definedName name="S9R12" localSheetId="17">#REF!</definedName>
    <definedName name="S9R12" localSheetId="19">#REF!</definedName>
    <definedName name="S9R12">#REF!</definedName>
    <definedName name="S9R13" localSheetId="2">#REF!</definedName>
    <definedName name="S9R13" localSheetId="16">#REF!</definedName>
    <definedName name="S9R13" localSheetId="17">#REF!</definedName>
    <definedName name="S9R13" localSheetId="19">#REF!</definedName>
    <definedName name="S9R13">#REF!</definedName>
    <definedName name="S9R14" localSheetId="2">#REF!</definedName>
    <definedName name="S9R14" localSheetId="16">#REF!</definedName>
    <definedName name="S9R14" localSheetId="17">#REF!</definedName>
    <definedName name="S9R14" localSheetId="19">#REF!</definedName>
    <definedName name="S9R14">#REF!</definedName>
    <definedName name="S9R15" localSheetId="2">#REF!</definedName>
    <definedName name="S9R15" localSheetId="16">#REF!</definedName>
    <definedName name="S9R15" localSheetId="17">#REF!</definedName>
    <definedName name="S9R15" localSheetId="19">#REF!</definedName>
    <definedName name="S9R15">#REF!</definedName>
    <definedName name="S9R16" localSheetId="2">#REF!</definedName>
    <definedName name="S9R16" localSheetId="16">#REF!</definedName>
    <definedName name="S9R16" localSheetId="17">#REF!</definedName>
    <definedName name="S9R16" localSheetId="19">#REF!</definedName>
    <definedName name="S9R16">#REF!</definedName>
    <definedName name="S9R17" localSheetId="2">#REF!</definedName>
    <definedName name="S9R17" localSheetId="16">#REF!</definedName>
    <definedName name="S9R17" localSheetId="17">#REF!</definedName>
    <definedName name="S9R17" localSheetId="19">#REF!</definedName>
    <definedName name="S9R17">#REF!</definedName>
    <definedName name="S9R18" localSheetId="2">#REF!</definedName>
    <definedName name="S9R18" localSheetId="16">#REF!</definedName>
    <definedName name="S9R18" localSheetId="17">#REF!</definedName>
    <definedName name="S9R18" localSheetId="19">#REF!</definedName>
    <definedName name="S9R18">#REF!</definedName>
    <definedName name="S9R19" localSheetId="2">#REF!</definedName>
    <definedName name="S9R19" localSheetId="16">#REF!</definedName>
    <definedName name="S9R19" localSheetId="17">#REF!</definedName>
    <definedName name="S9R19" localSheetId="19">#REF!</definedName>
    <definedName name="S9R19">#REF!</definedName>
    <definedName name="S9R2" localSheetId="2">#REF!</definedName>
    <definedName name="S9R2" localSheetId="16">#REF!</definedName>
    <definedName name="S9R2" localSheetId="17">#REF!</definedName>
    <definedName name="S9R2" localSheetId="19">#REF!</definedName>
    <definedName name="S9R2">#REF!</definedName>
    <definedName name="S9R20" localSheetId="2">#REF!</definedName>
    <definedName name="S9R20" localSheetId="16">#REF!</definedName>
    <definedName name="S9R20" localSheetId="17">#REF!</definedName>
    <definedName name="S9R20" localSheetId="19">#REF!</definedName>
    <definedName name="S9R20">#REF!</definedName>
    <definedName name="S9R21" localSheetId="2">#REF!</definedName>
    <definedName name="S9R21" localSheetId="16">#REF!</definedName>
    <definedName name="S9R21" localSheetId="17">#REF!</definedName>
    <definedName name="S9R21" localSheetId="19">#REF!</definedName>
    <definedName name="S9R21">#REF!</definedName>
    <definedName name="S9R22" localSheetId="2">#REF!</definedName>
    <definedName name="S9R22" localSheetId="16">#REF!</definedName>
    <definedName name="S9R22" localSheetId="17">#REF!</definedName>
    <definedName name="S9R22" localSheetId="19">#REF!</definedName>
    <definedName name="S9R22">#REF!</definedName>
    <definedName name="S9R23" localSheetId="2">#REF!</definedName>
    <definedName name="S9R23" localSheetId="16">#REF!</definedName>
    <definedName name="S9R23" localSheetId="17">#REF!</definedName>
    <definedName name="S9R23" localSheetId="19">#REF!</definedName>
    <definedName name="S9R23">#REF!</definedName>
    <definedName name="S9R24" localSheetId="2">#REF!</definedName>
    <definedName name="S9R24" localSheetId="16">#REF!</definedName>
    <definedName name="S9R24" localSheetId="17">#REF!</definedName>
    <definedName name="S9R24" localSheetId="19">#REF!</definedName>
    <definedName name="S9R24">#REF!</definedName>
    <definedName name="S9R3" localSheetId="2">#REF!</definedName>
    <definedName name="S9R3" localSheetId="16">#REF!</definedName>
    <definedName name="S9R3" localSheetId="17">#REF!</definedName>
    <definedName name="S9R3" localSheetId="19">#REF!</definedName>
    <definedName name="S9R3">#REF!</definedName>
    <definedName name="S9R4" localSheetId="2">#REF!</definedName>
    <definedName name="S9R4" localSheetId="16">#REF!</definedName>
    <definedName name="S9R4" localSheetId="17">#REF!</definedName>
    <definedName name="S9R4" localSheetId="19">#REF!</definedName>
    <definedName name="S9R4">#REF!</definedName>
    <definedName name="S9R5" localSheetId="2">#REF!</definedName>
    <definedName name="S9R5" localSheetId="16">#REF!</definedName>
    <definedName name="S9R5" localSheetId="17">#REF!</definedName>
    <definedName name="S9R5" localSheetId="19">#REF!</definedName>
    <definedName name="S9R5">#REF!</definedName>
    <definedName name="S9R6" localSheetId="2">#REF!</definedName>
    <definedName name="S9R6" localSheetId="16">#REF!</definedName>
    <definedName name="S9R6" localSheetId="17">#REF!</definedName>
    <definedName name="S9R6" localSheetId="19">#REF!</definedName>
    <definedName name="S9R6">#REF!</definedName>
    <definedName name="S9R7" localSheetId="2">#REF!</definedName>
    <definedName name="S9R7" localSheetId="16">#REF!</definedName>
    <definedName name="S9R7" localSheetId="17">#REF!</definedName>
    <definedName name="S9R7" localSheetId="19">#REF!</definedName>
    <definedName name="S9R7">#REF!</definedName>
    <definedName name="S9R8" localSheetId="2">#REF!</definedName>
    <definedName name="S9R8" localSheetId="16">#REF!</definedName>
    <definedName name="S9R8" localSheetId="17">#REF!</definedName>
    <definedName name="S9R8" localSheetId="19">#REF!</definedName>
    <definedName name="S9R8">#REF!</definedName>
    <definedName name="S9R9" localSheetId="2">#REF!</definedName>
    <definedName name="S9R9" localSheetId="16">#REF!</definedName>
    <definedName name="S9R9" localSheetId="17">#REF!</definedName>
    <definedName name="S9R9" localSheetId="19">#REF!</definedName>
    <definedName name="S9R9">#REF!</definedName>
    <definedName name="soma_total" localSheetId="2">#REF!</definedName>
    <definedName name="soma_total" localSheetId="16">#REF!</definedName>
    <definedName name="soma_total" localSheetId="17">#REF!</definedName>
    <definedName name="soma_total" localSheetId="19">#REF!</definedName>
    <definedName name="soma_total">#REF!</definedName>
    <definedName name="sub_item_1" localSheetId="2">#REF!</definedName>
    <definedName name="sub_item_1" localSheetId="16">#REF!</definedName>
    <definedName name="sub_item_1" localSheetId="17">#REF!</definedName>
    <definedName name="sub_item_1" localSheetId="19">#REF!</definedName>
    <definedName name="sub_item_1">#REF!</definedName>
    <definedName name="sub_item_10" localSheetId="2">#REF!</definedName>
    <definedName name="sub_item_10" localSheetId="16">#REF!</definedName>
    <definedName name="sub_item_10" localSheetId="17">#REF!</definedName>
    <definedName name="sub_item_10" localSheetId="19">#REF!</definedName>
    <definedName name="sub_item_10">#REF!</definedName>
    <definedName name="sub_item_11" localSheetId="2">#REF!</definedName>
    <definedName name="sub_item_11" localSheetId="16">#REF!</definedName>
    <definedName name="sub_item_11" localSheetId="17">#REF!</definedName>
    <definedName name="sub_item_11" localSheetId="19">#REF!</definedName>
    <definedName name="sub_item_11">#REF!</definedName>
    <definedName name="sub_item_12" localSheetId="2">#REF!</definedName>
    <definedName name="sub_item_12" localSheetId="16">#REF!</definedName>
    <definedName name="sub_item_12" localSheetId="17">#REF!</definedName>
    <definedName name="sub_item_12" localSheetId="19">#REF!</definedName>
    <definedName name="sub_item_12">#REF!</definedName>
    <definedName name="sub_item_13" localSheetId="2">#REF!</definedName>
    <definedName name="sub_item_13" localSheetId="16">#REF!</definedName>
    <definedName name="sub_item_13" localSheetId="17">#REF!</definedName>
    <definedName name="sub_item_13" localSheetId="19">#REF!</definedName>
    <definedName name="sub_item_13">#REF!</definedName>
    <definedName name="sub_item_14" localSheetId="2">#REF!</definedName>
    <definedName name="sub_item_14" localSheetId="16">#REF!</definedName>
    <definedName name="sub_item_14" localSheetId="17">#REF!</definedName>
    <definedName name="sub_item_14" localSheetId="19">#REF!</definedName>
    <definedName name="sub_item_14">#REF!</definedName>
    <definedName name="sub_item_15" localSheetId="2">#REF!</definedName>
    <definedName name="sub_item_15" localSheetId="16">#REF!</definedName>
    <definedName name="sub_item_15" localSheetId="17">#REF!</definedName>
    <definedName name="sub_item_15" localSheetId="19">#REF!</definedName>
    <definedName name="sub_item_15">#REF!</definedName>
    <definedName name="sub_item_16" localSheetId="2">#REF!</definedName>
    <definedName name="sub_item_16" localSheetId="16">#REF!</definedName>
    <definedName name="sub_item_16" localSheetId="17">#REF!</definedName>
    <definedName name="sub_item_16" localSheetId="19">#REF!</definedName>
    <definedName name="sub_item_16">#REF!</definedName>
    <definedName name="sub_item_17" localSheetId="2">#REF!</definedName>
    <definedName name="sub_item_17" localSheetId="16">#REF!</definedName>
    <definedName name="sub_item_17" localSheetId="17">#REF!</definedName>
    <definedName name="sub_item_17" localSheetId="19">#REF!</definedName>
    <definedName name="sub_item_17">#REF!</definedName>
    <definedName name="sub_item_18" localSheetId="2">#REF!</definedName>
    <definedName name="sub_item_18" localSheetId="16">#REF!</definedName>
    <definedName name="sub_item_18" localSheetId="17">#REF!</definedName>
    <definedName name="sub_item_18" localSheetId="19">#REF!</definedName>
    <definedName name="sub_item_18">#REF!</definedName>
    <definedName name="sub_item_19" localSheetId="2">#REF!</definedName>
    <definedName name="sub_item_19" localSheetId="16">#REF!</definedName>
    <definedName name="sub_item_19" localSheetId="17">#REF!</definedName>
    <definedName name="sub_item_19" localSheetId="19">#REF!</definedName>
    <definedName name="sub_item_19">#REF!</definedName>
    <definedName name="sub_item_2" localSheetId="2">#REF!</definedName>
    <definedName name="sub_item_2" localSheetId="16">#REF!</definedName>
    <definedName name="sub_item_2" localSheetId="17">#REF!</definedName>
    <definedName name="sub_item_2" localSheetId="19">#REF!</definedName>
    <definedName name="sub_item_2">#REF!</definedName>
    <definedName name="sub_item_20" localSheetId="2">#REF!</definedName>
    <definedName name="sub_item_20" localSheetId="16">#REF!</definedName>
    <definedName name="sub_item_20" localSheetId="17">#REF!</definedName>
    <definedName name="sub_item_20" localSheetId="19">#REF!</definedName>
    <definedName name="sub_item_20">#REF!</definedName>
    <definedName name="sub_item_21" localSheetId="2">#REF!</definedName>
    <definedName name="sub_item_21" localSheetId="16">#REF!</definedName>
    <definedName name="sub_item_21" localSheetId="17">#REF!</definedName>
    <definedName name="sub_item_21" localSheetId="19">#REF!</definedName>
    <definedName name="sub_item_21">#REF!</definedName>
    <definedName name="sub_item_22" localSheetId="2">#REF!</definedName>
    <definedName name="sub_item_22" localSheetId="16">#REF!</definedName>
    <definedName name="sub_item_22" localSheetId="17">#REF!</definedName>
    <definedName name="sub_item_22" localSheetId="19">#REF!</definedName>
    <definedName name="sub_item_22">#REF!</definedName>
    <definedName name="sub_item_23" localSheetId="2">#REF!</definedName>
    <definedName name="sub_item_23" localSheetId="16">#REF!</definedName>
    <definedName name="sub_item_23" localSheetId="17">#REF!</definedName>
    <definedName name="sub_item_23" localSheetId="19">#REF!</definedName>
    <definedName name="sub_item_23">#REF!</definedName>
    <definedName name="sub_item_24" localSheetId="2">#REF!</definedName>
    <definedName name="sub_item_24" localSheetId="16">#REF!</definedName>
    <definedName name="sub_item_24" localSheetId="17">#REF!</definedName>
    <definedName name="sub_item_24" localSheetId="19">#REF!</definedName>
    <definedName name="sub_item_24">#REF!</definedName>
    <definedName name="sub_item_25" localSheetId="2">#REF!</definedName>
    <definedName name="sub_item_25" localSheetId="16">#REF!</definedName>
    <definedName name="sub_item_25" localSheetId="17">#REF!</definedName>
    <definedName name="sub_item_25" localSheetId="19">#REF!</definedName>
    <definedName name="sub_item_25">#REF!</definedName>
    <definedName name="sub_item_26" localSheetId="2">#REF!</definedName>
    <definedName name="sub_item_26" localSheetId="16">#REF!</definedName>
    <definedName name="sub_item_26" localSheetId="17">#REF!</definedName>
    <definedName name="sub_item_26" localSheetId="19">#REF!</definedName>
    <definedName name="sub_item_26">#REF!</definedName>
    <definedName name="sub_item_27" localSheetId="2">#REF!</definedName>
    <definedName name="sub_item_27" localSheetId="16">#REF!</definedName>
    <definedName name="sub_item_27" localSheetId="17">#REF!</definedName>
    <definedName name="sub_item_27" localSheetId="19">#REF!</definedName>
    <definedName name="sub_item_27">#REF!</definedName>
    <definedName name="sub_item_28" localSheetId="2">#REF!</definedName>
    <definedName name="sub_item_28" localSheetId="16">#REF!</definedName>
    <definedName name="sub_item_28" localSheetId="17">#REF!</definedName>
    <definedName name="sub_item_28" localSheetId="19">#REF!</definedName>
    <definedName name="sub_item_28">#REF!</definedName>
    <definedName name="sub_item_29" localSheetId="2">#REF!</definedName>
    <definedName name="sub_item_29" localSheetId="16">#REF!</definedName>
    <definedName name="sub_item_29" localSheetId="17">#REF!</definedName>
    <definedName name="sub_item_29" localSheetId="19">#REF!</definedName>
    <definedName name="sub_item_29">#REF!</definedName>
    <definedName name="sub_item_3" localSheetId="2">#REF!</definedName>
    <definedName name="sub_item_3" localSheetId="16">#REF!</definedName>
    <definedName name="sub_item_3" localSheetId="17">#REF!</definedName>
    <definedName name="sub_item_3" localSheetId="19">#REF!</definedName>
    <definedName name="sub_item_3">#REF!</definedName>
    <definedName name="sub_item_30" localSheetId="2">#REF!</definedName>
    <definedName name="sub_item_30" localSheetId="16">#REF!</definedName>
    <definedName name="sub_item_30" localSheetId="17">#REF!</definedName>
    <definedName name="sub_item_30" localSheetId="19">#REF!</definedName>
    <definedName name="sub_item_30">#REF!</definedName>
    <definedName name="sub_item_31" localSheetId="2">#REF!</definedName>
    <definedName name="sub_item_31" localSheetId="16">#REF!</definedName>
    <definedName name="sub_item_31" localSheetId="17">#REF!</definedName>
    <definedName name="sub_item_31" localSheetId="19">#REF!</definedName>
    <definedName name="sub_item_31">#REF!</definedName>
    <definedName name="sub_item_32" localSheetId="2">#REF!</definedName>
    <definedName name="sub_item_32" localSheetId="16">#REF!</definedName>
    <definedName name="sub_item_32" localSheetId="17">#REF!</definedName>
    <definedName name="sub_item_32" localSheetId="19">#REF!</definedName>
    <definedName name="sub_item_32">#REF!</definedName>
    <definedName name="sub_item_33" localSheetId="2">#REF!</definedName>
    <definedName name="sub_item_33" localSheetId="16">#REF!</definedName>
    <definedName name="sub_item_33" localSheetId="17">#REF!</definedName>
    <definedName name="sub_item_33" localSheetId="19">#REF!</definedName>
    <definedName name="sub_item_33">#REF!</definedName>
    <definedName name="sub_item_34" localSheetId="2">#REF!</definedName>
    <definedName name="sub_item_34" localSheetId="16">#REF!</definedName>
    <definedName name="sub_item_34" localSheetId="17">#REF!</definedName>
    <definedName name="sub_item_34" localSheetId="19">#REF!</definedName>
    <definedName name="sub_item_34">#REF!</definedName>
    <definedName name="sub_item_35" localSheetId="2">#REF!</definedName>
    <definedName name="sub_item_35" localSheetId="16">#REF!</definedName>
    <definedName name="sub_item_35" localSheetId="17">#REF!</definedName>
    <definedName name="sub_item_35" localSheetId="19">#REF!</definedName>
    <definedName name="sub_item_35">#REF!</definedName>
    <definedName name="sub_item_36" localSheetId="2">#REF!</definedName>
    <definedName name="sub_item_36" localSheetId="16">#REF!</definedName>
    <definedName name="sub_item_36" localSheetId="17">#REF!</definedName>
    <definedName name="sub_item_36" localSheetId="19">#REF!</definedName>
    <definedName name="sub_item_36">#REF!</definedName>
    <definedName name="sub_item_37" localSheetId="2">#REF!</definedName>
    <definedName name="sub_item_37" localSheetId="16">#REF!</definedName>
    <definedName name="sub_item_37" localSheetId="17">#REF!</definedName>
    <definedName name="sub_item_37" localSheetId="19">#REF!</definedName>
    <definedName name="sub_item_37">#REF!</definedName>
    <definedName name="sub_item_38" localSheetId="2">#REF!</definedName>
    <definedName name="sub_item_38" localSheetId="16">#REF!</definedName>
    <definedName name="sub_item_38" localSheetId="17">#REF!</definedName>
    <definedName name="sub_item_38" localSheetId="19">#REF!</definedName>
    <definedName name="sub_item_38">#REF!</definedName>
    <definedName name="sub_item_39" localSheetId="2">#REF!</definedName>
    <definedName name="sub_item_39" localSheetId="16">#REF!</definedName>
    <definedName name="sub_item_39" localSheetId="17">#REF!</definedName>
    <definedName name="sub_item_39" localSheetId="19">#REF!</definedName>
    <definedName name="sub_item_39">#REF!</definedName>
    <definedName name="sub_item_4" localSheetId="2">#REF!</definedName>
    <definedName name="sub_item_4" localSheetId="16">#REF!</definedName>
    <definedName name="sub_item_4" localSheetId="17">#REF!</definedName>
    <definedName name="sub_item_4" localSheetId="19">#REF!</definedName>
    <definedName name="sub_item_4">#REF!</definedName>
    <definedName name="sub_item_40" localSheetId="2">#REF!</definedName>
    <definedName name="sub_item_40" localSheetId="16">#REF!</definedName>
    <definedName name="sub_item_40" localSheetId="17">#REF!</definedName>
    <definedName name="sub_item_40" localSheetId="19">#REF!</definedName>
    <definedName name="sub_item_40">#REF!</definedName>
    <definedName name="sub_item_41" localSheetId="2">#REF!</definedName>
    <definedName name="sub_item_41" localSheetId="16">#REF!</definedName>
    <definedName name="sub_item_41" localSheetId="17">#REF!</definedName>
    <definedName name="sub_item_41" localSheetId="19">#REF!</definedName>
    <definedName name="sub_item_41">#REF!</definedName>
    <definedName name="sub_item_42" localSheetId="2">#REF!</definedName>
    <definedName name="sub_item_42" localSheetId="16">#REF!</definedName>
    <definedName name="sub_item_42" localSheetId="17">#REF!</definedName>
    <definedName name="sub_item_42" localSheetId="19">#REF!</definedName>
    <definedName name="sub_item_42">#REF!</definedName>
    <definedName name="sub_item_43" localSheetId="2">#REF!</definedName>
    <definedName name="sub_item_43" localSheetId="16">#REF!</definedName>
    <definedName name="sub_item_43" localSheetId="17">#REF!</definedName>
    <definedName name="sub_item_43" localSheetId="19">#REF!</definedName>
    <definedName name="sub_item_43">#REF!</definedName>
    <definedName name="sub_item_44" localSheetId="2">#REF!</definedName>
    <definedName name="sub_item_44" localSheetId="16">#REF!</definedName>
    <definedName name="sub_item_44" localSheetId="17">#REF!</definedName>
    <definedName name="sub_item_44" localSheetId="19">#REF!</definedName>
    <definedName name="sub_item_44">#REF!</definedName>
    <definedName name="sub_item_45" localSheetId="2">#REF!</definedName>
    <definedName name="sub_item_45" localSheetId="16">#REF!</definedName>
    <definedName name="sub_item_45" localSheetId="17">#REF!</definedName>
    <definedName name="sub_item_45" localSheetId="19">#REF!</definedName>
    <definedName name="sub_item_45">#REF!</definedName>
    <definedName name="sub_item_5" localSheetId="2">#REF!</definedName>
    <definedName name="sub_item_5" localSheetId="16">#REF!</definedName>
    <definedName name="sub_item_5" localSheetId="17">#REF!</definedName>
    <definedName name="sub_item_5" localSheetId="19">#REF!</definedName>
    <definedName name="sub_item_5">#REF!</definedName>
    <definedName name="sub_item_6" localSheetId="2">#REF!</definedName>
    <definedName name="sub_item_6" localSheetId="16">#REF!</definedName>
    <definedName name="sub_item_6" localSheetId="17">#REF!</definedName>
    <definedName name="sub_item_6" localSheetId="19">#REF!</definedName>
    <definedName name="sub_item_6">#REF!</definedName>
    <definedName name="sub_item_7" localSheetId="2">#REF!</definedName>
    <definedName name="sub_item_7" localSheetId="16">#REF!</definedName>
    <definedName name="sub_item_7" localSheetId="17">#REF!</definedName>
    <definedName name="sub_item_7" localSheetId="19">#REF!</definedName>
    <definedName name="sub_item_7">#REF!</definedName>
    <definedName name="sub_item_8" localSheetId="2">#REF!</definedName>
    <definedName name="sub_item_8" localSheetId="16">#REF!</definedName>
    <definedName name="sub_item_8" localSheetId="17">#REF!</definedName>
    <definedName name="sub_item_8" localSheetId="19">#REF!</definedName>
    <definedName name="sub_item_8">#REF!</definedName>
    <definedName name="sub_item_9" localSheetId="2">#REF!</definedName>
    <definedName name="sub_item_9" localSheetId="16">#REF!</definedName>
    <definedName name="sub_item_9" localSheetId="17">#REF!</definedName>
    <definedName name="sub_item_9" localSheetId="19">#REF!</definedName>
    <definedName name="sub_item_9">#REF!</definedName>
    <definedName name="switch" localSheetId="2">#REF!</definedName>
    <definedName name="switch" localSheetId="17">#REF!</definedName>
    <definedName name="switch" localSheetId="19">#REF!</definedName>
    <definedName name="switch">#REF!</definedName>
    <definedName name="T">#REF!</definedName>
    <definedName name="teste">"$#REF!.$A$1:$B$3278"</definedName>
    <definedName name="_xlnm.Print_Titles" localSheetId="9">'CURVA ABC'!$1:$8</definedName>
    <definedName name="_xlnm.Print_Titles" localSheetId="6">PLANILHA_SINTÉTICA!$1:$8</definedName>
    <definedName name="TOTAL_ACU_REF" localSheetId="2">#REF!</definedName>
    <definedName name="TOTAL_ACU_REF" localSheetId="16">#REF!</definedName>
    <definedName name="TOTAL_ACU_REF" localSheetId="17">#REF!</definedName>
    <definedName name="TOTAL_ACU_REF" localSheetId="19">#REF!</definedName>
    <definedName name="TOTAL_ACU_REF">#REF!</definedName>
    <definedName name="TOTAL_ADD" localSheetId="2">#REF!</definedName>
    <definedName name="TOTAL_ADD" localSheetId="16">#REF!</definedName>
    <definedName name="TOTAL_ADD" localSheetId="17">#REF!</definedName>
    <definedName name="TOTAL_ADD" localSheetId="19">#REF!</definedName>
    <definedName name="TOTAL_ADD">#REF!</definedName>
    <definedName name="TOTAL_ADD_ACU" localSheetId="2">#REF!</definedName>
    <definedName name="TOTAL_ADD_ACU" localSheetId="16">#REF!</definedName>
    <definedName name="TOTAL_ADD_ACU" localSheetId="17">#REF!</definedName>
    <definedName name="TOTAL_ADD_ACU" localSheetId="19">#REF!</definedName>
    <definedName name="TOTAL_ADD_ACU">#REF!</definedName>
    <definedName name="TOTAL_REF" localSheetId="2">#REF!</definedName>
    <definedName name="TOTAL_REF" localSheetId="16">#REF!</definedName>
    <definedName name="TOTAL_REF" localSheetId="17">#REF!</definedName>
    <definedName name="TOTAL_REF" localSheetId="19">#REF!</definedName>
    <definedName name="TOTAL_REF">#REF!</definedName>
    <definedName name="TOTAL_RES" localSheetId="2">#REF!</definedName>
    <definedName name="TOTAL_RES" localSheetId="16">#REF!</definedName>
    <definedName name="TOTAL_RES" localSheetId="17">#REF!</definedName>
    <definedName name="TOTAL_RES" localSheetId="19">#REF!</definedName>
    <definedName name="TOTAL_RES">#REF!</definedName>
    <definedName name="TOTAL_RES_ACU" localSheetId="2">#REF!</definedName>
    <definedName name="TOTAL_RES_ACU" localSheetId="16">#REF!</definedName>
    <definedName name="TOTAL_RES_ACU" localSheetId="17">#REF!</definedName>
    <definedName name="TOTAL_RES_ACU" localSheetId="19">#REF!</definedName>
    <definedName name="TOTAL_RES_ACU">#REF!</definedName>
    <definedName name="Z_39FA8DCB_7FE1_4377_9C2C_3A6C28B9DCE8_.wvu.PrintArea" localSheetId="12">'COMPOSIÇÕES COMPLEMENTARES '!$B$1:$L$9</definedName>
    <definedName name="Z_60131786_0F54_49F5_B695_1A5DD0544ED6_.wvu.PrintArea" localSheetId="12">'COMPOSIÇÕES COMPLEMENTARES '!$B$1:$E$9</definedName>
    <definedName name="Z_E9EF4FFF_2A51_4B23_8A33_7F2B85269ACF_.wvu.PrintArea_7" localSheetId="12">#REF!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12">(#REF!,#REF!,#REF!,#REF!,#REF!,#REF!,#REF!,#REF!,#REF!,#REF!,#REF!,#REF!,#REF!)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12">'COMPOSIÇÕES COMPLEMENTARES '!$B$1:$E$9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10" i="9" l="1"/>
  <c r="L11" i="9"/>
  <c r="L12" i="9"/>
  <c r="L13" i="9"/>
  <c r="L14" i="9"/>
  <c r="L15" i="9"/>
  <c r="L16" i="9"/>
  <c r="L17" i="9"/>
  <c r="L18" i="9"/>
  <c r="L19" i="9"/>
  <c r="L20" i="9"/>
  <c r="L21" i="9"/>
  <c r="L22" i="9"/>
  <c r="L23" i="9"/>
  <c r="L24" i="9"/>
  <c r="L25" i="9"/>
  <c r="L26" i="9"/>
  <c r="L27" i="9"/>
  <c r="L28" i="9"/>
  <c r="L29" i="9"/>
  <c r="L30" i="9"/>
  <c r="L31" i="9"/>
  <c r="L32" i="9"/>
  <c r="L33" i="9"/>
  <c r="L34" i="9"/>
  <c r="L35" i="9"/>
  <c r="L36" i="9"/>
  <c r="L37" i="9"/>
  <c r="L38" i="9"/>
  <c r="L39" i="9"/>
  <c r="L40" i="9"/>
  <c r="L41" i="9"/>
  <c r="L42" i="9"/>
  <c r="L43" i="9"/>
  <c r="L44" i="9"/>
  <c r="L45" i="9"/>
  <c r="L46" i="9"/>
  <c r="L47" i="9"/>
  <c r="L48" i="9"/>
  <c r="L49" i="9"/>
  <c r="L50" i="9"/>
  <c r="L51" i="9"/>
  <c r="L52" i="9"/>
  <c r="L53" i="9"/>
  <c r="L54" i="9"/>
  <c r="L55" i="9"/>
  <c r="L56" i="9"/>
  <c r="L57" i="9"/>
  <c r="L58" i="9"/>
  <c r="L59" i="9"/>
  <c r="L60" i="9"/>
  <c r="L61" i="9"/>
  <c r="L62" i="9"/>
  <c r="L63" i="9"/>
  <c r="L64" i="9"/>
  <c r="L65" i="9"/>
  <c r="L66" i="9"/>
  <c r="L67" i="9"/>
  <c r="L68" i="9"/>
  <c r="L69" i="9"/>
  <c r="L70" i="9"/>
  <c r="L71" i="9"/>
  <c r="L72" i="9"/>
  <c r="L73" i="9"/>
  <c r="L74" i="9"/>
  <c r="L75" i="9"/>
  <c r="L76" i="9"/>
  <c r="L77" i="9"/>
  <c r="L78" i="9"/>
  <c r="L79" i="9"/>
  <c r="L80" i="9"/>
  <c r="L81" i="9"/>
  <c r="L82" i="9"/>
  <c r="L83" i="9"/>
  <c r="L84" i="9"/>
  <c r="L85" i="9"/>
  <c r="L86" i="9"/>
  <c r="L87" i="9"/>
  <c r="L88" i="9"/>
  <c r="L89" i="9"/>
  <c r="L90" i="9"/>
  <c r="L91" i="9"/>
  <c r="L92" i="9"/>
  <c r="L93" i="9"/>
  <c r="L94" i="9"/>
  <c r="L95" i="9"/>
  <c r="L96" i="9"/>
  <c r="L97" i="9"/>
  <c r="L98" i="9"/>
  <c r="L99" i="9"/>
  <c r="L100" i="9"/>
  <c r="L101" i="9"/>
  <c r="L102" i="9"/>
  <c r="L103" i="9"/>
  <c r="L104" i="9"/>
  <c r="L105" i="9"/>
  <c r="L106" i="9"/>
  <c r="L107" i="9"/>
  <c r="L108" i="9"/>
  <c r="L109" i="9"/>
  <c r="L110" i="9"/>
  <c r="L111" i="9"/>
  <c r="L112" i="9"/>
  <c r="L113" i="9"/>
  <c r="L114" i="9"/>
  <c r="L115" i="9"/>
  <c r="L116" i="9"/>
  <c r="L117" i="9"/>
  <c r="L118" i="9"/>
  <c r="L119" i="9"/>
  <c r="L120" i="9"/>
  <c r="L121" i="9"/>
  <c r="L122" i="9"/>
  <c r="L123" i="9"/>
  <c r="L124" i="9"/>
  <c r="L125" i="9"/>
  <c r="L126" i="9"/>
  <c r="L127" i="9"/>
  <c r="L128" i="9"/>
  <c r="L129" i="9"/>
  <c r="L130" i="9"/>
  <c r="L131" i="9"/>
  <c r="L132" i="9"/>
  <c r="L133" i="9"/>
  <c r="L134" i="9"/>
  <c r="L135" i="9"/>
  <c r="L136" i="9"/>
  <c r="L137" i="9"/>
  <c r="L138" i="9"/>
  <c r="L139" i="9"/>
  <c r="L140" i="9"/>
  <c r="L141" i="9"/>
  <c r="L142" i="9"/>
  <c r="L143" i="9"/>
  <c r="L144" i="9"/>
  <c r="L145" i="9"/>
  <c r="L146" i="9"/>
  <c r="L147" i="9"/>
  <c r="L148" i="9"/>
  <c r="L149" i="9"/>
  <c r="L150" i="9"/>
  <c r="L151" i="9"/>
  <c r="L152" i="9"/>
  <c r="L153" i="9"/>
  <c r="L154" i="9"/>
  <c r="L155" i="9"/>
  <c r="L156" i="9"/>
  <c r="L157" i="9"/>
  <c r="L158" i="9"/>
  <c r="L159" i="9"/>
  <c r="L160" i="9"/>
  <c r="L161" i="9"/>
  <c r="L162" i="9"/>
  <c r="L163" i="9"/>
  <c r="L164" i="9"/>
  <c r="L165" i="9"/>
  <c r="L166" i="9"/>
  <c r="L167" i="9"/>
  <c r="L168" i="9"/>
  <c r="L169" i="9"/>
  <c r="L170" i="9"/>
  <c r="L171" i="9"/>
  <c r="L172" i="9"/>
  <c r="L173" i="9"/>
  <c r="L174" i="9"/>
  <c r="L175" i="9"/>
  <c r="L176" i="9"/>
  <c r="L177" i="9"/>
  <c r="L178" i="9"/>
  <c r="L179" i="9"/>
  <c r="L180" i="9"/>
  <c r="L181" i="9"/>
  <c r="L182" i="9"/>
  <c r="L183" i="9"/>
  <c r="L184" i="9"/>
  <c r="L185" i="9"/>
  <c r="L186" i="9"/>
  <c r="L187" i="9"/>
  <c r="L188" i="9"/>
  <c r="L189" i="9"/>
  <c r="L190" i="9"/>
  <c r="L191" i="9"/>
  <c r="L192" i="9"/>
  <c r="L193" i="9"/>
  <c r="L194" i="9"/>
  <c r="L195" i="9"/>
  <c r="L196" i="9"/>
  <c r="L197" i="9"/>
  <c r="L198" i="9"/>
  <c r="L199" i="9"/>
  <c r="L200" i="9"/>
  <c r="L201" i="9"/>
  <c r="L202" i="9"/>
  <c r="L203" i="9"/>
  <c r="L204" i="9"/>
  <c r="L205" i="9"/>
  <c r="L206" i="9"/>
  <c r="L207" i="9"/>
  <c r="L208" i="9"/>
  <c r="L209" i="9"/>
  <c r="L210" i="9"/>
  <c r="L211" i="9"/>
  <c r="L212" i="9"/>
  <c r="L213" i="9"/>
  <c r="L214" i="9"/>
  <c r="L215" i="9"/>
  <c r="L216" i="9"/>
  <c r="L217" i="9"/>
  <c r="L218" i="9"/>
  <c r="L219" i="9"/>
  <c r="L220" i="9"/>
  <c r="L221" i="9"/>
  <c r="L222" i="9"/>
  <c r="L223" i="9"/>
  <c r="L224" i="9"/>
  <c r="L225" i="9"/>
  <c r="L226" i="9"/>
  <c r="L227" i="9"/>
  <c r="L228" i="9"/>
  <c r="L229" i="9"/>
  <c r="L230" i="9"/>
  <c r="L231" i="9"/>
  <c r="L232" i="9"/>
  <c r="L233" i="9"/>
  <c r="L234" i="9"/>
  <c r="L235" i="9"/>
  <c r="L236" i="9"/>
  <c r="L237" i="9"/>
  <c r="L238" i="9"/>
  <c r="L239" i="9"/>
  <c r="L240" i="9"/>
  <c r="L241" i="9"/>
  <c r="L242" i="9"/>
  <c r="L243" i="9"/>
  <c r="L244" i="9"/>
  <c r="L245" i="9"/>
  <c r="L246" i="9"/>
  <c r="L247" i="9"/>
  <c r="L248" i="9"/>
  <c r="L249" i="9"/>
  <c r="L250" i="9"/>
  <c r="L251" i="9"/>
  <c r="L252" i="9"/>
  <c r="L253" i="9"/>
  <c r="L254" i="9"/>
  <c r="L255" i="9"/>
  <c r="L256" i="9"/>
  <c r="L257" i="9"/>
  <c r="L258" i="9"/>
  <c r="L259" i="9"/>
  <c r="L260" i="9"/>
  <c r="L261" i="9"/>
  <c r="L262" i="9"/>
  <c r="L263" i="9"/>
  <c r="L264" i="9"/>
  <c r="L265" i="9"/>
  <c r="L266" i="9"/>
  <c r="L267" i="9"/>
  <c r="L268" i="9"/>
  <c r="L269" i="9"/>
  <c r="L270" i="9"/>
  <c r="L271" i="9"/>
  <c r="L272" i="9"/>
  <c r="L273" i="9"/>
  <c r="L274" i="9"/>
  <c r="L275" i="9"/>
  <c r="L276" i="9"/>
  <c r="L277" i="9"/>
  <c r="L278" i="9"/>
  <c r="L279" i="9"/>
  <c r="L280" i="9"/>
  <c r="L281" i="9"/>
  <c r="L282" i="9"/>
  <c r="L283" i="9"/>
  <c r="L284" i="9"/>
  <c r="L285" i="9"/>
  <c r="L286" i="9"/>
  <c r="L287" i="9"/>
  <c r="L288" i="9"/>
  <c r="L289" i="9"/>
  <c r="L290" i="9"/>
  <c r="L291" i="9"/>
  <c r="L292" i="9"/>
  <c r="L293" i="9"/>
  <c r="L294" i="9"/>
  <c r="L295" i="9"/>
  <c r="L296" i="9"/>
  <c r="L297" i="9"/>
  <c r="L298" i="9"/>
  <c r="L299" i="9"/>
  <c r="L300" i="9"/>
  <c r="L301" i="9"/>
  <c r="L302" i="9"/>
  <c r="L303" i="9"/>
  <c r="L304" i="9"/>
  <c r="L305" i="9"/>
  <c r="L306" i="9"/>
  <c r="L307" i="9"/>
  <c r="L308" i="9"/>
  <c r="L309" i="9"/>
  <c r="L310" i="9"/>
  <c r="L311" i="9"/>
  <c r="L312" i="9"/>
  <c r="L313" i="9"/>
  <c r="L314" i="9"/>
  <c r="L315" i="9"/>
  <c r="L316" i="9"/>
  <c r="L317" i="9"/>
  <c r="L318" i="9"/>
  <c r="L319" i="9"/>
  <c r="L320" i="9"/>
  <c r="L321" i="9"/>
  <c r="L322" i="9"/>
  <c r="L323" i="9"/>
  <c r="L324" i="9"/>
  <c r="L325" i="9"/>
  <c r="L326" i="9"/>
  <c r="L327" i="9"/>
  <c r="L328" i="9"/>
  <c r="L329" i="9"/>
  <c r="L330" i="9"/>
  <c r="L331" i="9"/>
  <c r="L332" i="9"/>
  <c r="L333" i="9"/>
  <c r="L334" i="9"/>
  <c r="L335" i="9"/>
  <c r="L336" i="9"/>
  <c r="L337" i="9"/>
  <c r="L338" i="9"/>
  <c r="L339" i="9"/>
  <c r="L340" i="9"/>
  <c r="L341" i="9"/>
  <c r="L342" i="9"/>
  <c r="L343" i="9"/>
  <c r="L344" i="9"/>
  <c r="L345" i="9"/>
  <c r="L346" i="9"/>
  <c r="L347" i="9"/>
  <c r="L348" i="9"/>
  <c r="L349" i="9"/>
  <c r="L350" i="9"/>
  <c r="L351" i="9"/>
  <c r="L352" i="9"/>
  <c r="L353" i="9"/>
  <c r="L354" i="9"/>
  <c r="L355" i="9"/>
  <c r="L356" i="9"/>
  <c r="L357" i="9"/>
  <c r="L358" i="9"/>
  <c r="L359" i="9"/>
  <c r="L360" i="9"/>
  <c r="L361" i="9"/>
  <c r="L362" i="9"/>
  <c r="L363" i="9"/>
  <c r="L364" i="9"/>
  <c r="L365" i="9"/>
  <c r="L366" i="9"/>
  <c r="L367" i="9"/>
  <c r="L368" i="9"/>
  <c r="L369" i="9"/>
  <c r="L370" i="9"/>
  <c r="L371" i="9"/>
  <c r="L372" i="9"/>
  <c r="L373" i="9"/>
  <c r="L374" i="9"/>
  <c r="L375" i="9"/>
  <c r="L376" i="9"/>
  <c r="L377" i="9"/>
  <c r="L378" i="9"/>
  <c r="L379" i="9"/>
  <c r="L380" i="9"/>
  <c r="L381" i="9"/>
  <c r="L382" i="9"/>
  <c r="L383" i="9"/>
  <c r="L384" i="9"/>
  <c r="L385" i="9"/>
  <c r="L386" i="9"/>
  <c r="L387" i="9"/>
  <c r="L388" i="9"/>
  <c r="L389" i="9"/>
  <c r="L390" i="9"/>
  <c r="L391" i="9"/>
  <c r="L392" i="9"/>
  <c r="L393" i="9"/>
  <c r="L394" i="9"/>
  <c r="L395" i="9"/>
  <c r="L396" i="9"/>
  <c r="L397" i="9"/>
  <c r="L398" i="9"/>
  <c r="L399" i="9"/>
  <c r="L400" i="9"/>
  <c r="L401" i="9"/>
  <c r="L402" i="9"/>
  <c r="L403" i="9"/>
  <c r="L404" i="9"/>
  <c r="L405" i="9"/>
  <c r="L406" i="9"/>
  <c r="L407" i="9"/>
  <c r="L408" i="9"/>
  <c r="L409" i="9"/>
  <c r="L410" i="9"/>
  <c r="L411" i="9"/>
  <c r="L412" i="9"/>
  <c r="L413" i="9"/>
  <c r="L414" i="9"/>
  <c r="L415" i="9"/>
  <c r="L416" i="9"/>
  <c r="L417" i="9"/>
  <c r="L418" i="9"/>
  <c r="L419" i="9"/>
  <c r="L420" i="9"/>
  <c r="L421" i="9"/>
  <c r="L422" i="9"/>
  <c r="L423" i="9"/>
  <c r="L424" i="9"/>
  <c r="L425" i="9"/>
  <c r="L426" i="9"/>
  <c r="L427" i="9"/>
  <c r="L428" i="9"/>
  <c r="L429" i="9"/>
  <c r="L430" i="9"/>
  <c r="L431" i="9"/>
  <c r="L432" i="9"/>
  <c r="L433" i="9"/>
  <c r="L434" i="9"/>
  <c r="L435" i="9"/>
  <c r="L436" i="9"/>
  <c r="L437" i="9"/>
  <c r="L438" i="9"/>
  <c r="L439" i="9"/>
  <c r="L440" i="9"/>
  <c r="L441" i="9"/>
  <c r="L442" i="9"/>
  <c r="L443" i="9"/>
  <c r="L444" i="9"/>
  <c r="L445" i="9"/>
  <c r="L446" i="9"/>
  <c r="L447" i="9"/>
  <c r="L448" i="9"/>
  <c r="L449" i="9"/>
  <c r="L450" i="9"/>
  <c r="L451" i="9"/>
  <c r="L452" i="9"/>
  <c r="L453" i="9"/>
  <c r="L454" i="9"/>
  <c r="L455" i="9"/>
  <c r="L456" i="9"/>
  <c r="L457" i="9"/>
  <c r="L458" i="9"/>
  <c r="L459" i="9"/>
  <c r="L460" i="9"/>
  <c r="L461" i="9"/>
  <c r="L462" i="9"/>
  <c r="L463" i="9"/>
  <c r="L464" i="9"/>
  <c r="L465" i="9"/>
  <c r="L466" i="9"/>
  <c r="L467" i="9"/>
  <c r="L468" i="9"/>
  <c r="L469" i="9"/>
  <c r="L470" i="9"/>
  <c r="L471" i="9"/>
  <c r="L472" i="9"/>
  <c r="L473" i="9"/>
  <c r="L474" i="9"/>
  <c r="L475" i="9"/>
  <c r="L476" i="9"/>
  <c r="L477" i="9"/>
  <c r="L478" i="9"/>
  <c r="L479" i="9"/>
  <c r="L480" i="9"/>
  <c r="L481" i="9"/>
  <c r="L482" i="9"/>
  <c r="L483" i="9"/>
  <c r="L484" i="9"/>
  <c r="L485" i="9"/>
  <c r="L486" i="9"/>
  <c r="L487" i="9"/>
  <c r="L488" i="9"/>
  <c r="L489" i="9"/>
  <c r="L490" i="9"/>
  <c r="L491" i="9"/>
  <c r="L492" i="9"/>
  <c r="L493" i="9"/>
  <c r="L494" i="9"/>
  <c r="L495" i="9"/>
  <c r="L496" i="9"/>
  <c r="L497" i="9"/>
  <c r="L498" i="9"/>
  <c r="L499" i="9"/>
  <c r="L500" i="9"/>
  <c r="L501" i="9"/>
  <c r="L502" i="9"/>
  <c r="L503" i="9"/>
  <c r="L504" i="9"/>
  <c r="L505" i="9"/>
  <c r="L506" i="9"/>
  <c r="L507" i="9"/>
  <c r="L508" i="9"/>
  <c r="L509" i="9"/>
  <c r="L510" i="9"/>
  <c r="L511" i="9"/>
  <c r="L512" i="9"/>
  <c r="L513" i="9"/>
  <c r="L514" i="9"/>
  <c r="L515" i="9"/>
  <c r="L516" i="9"/>
  <c r="L517" i="9"/>
  <c r="L518" i="9"/>
  <c r="L519" i="9"/>
  <c r="L520" i="9"/>
  <c r="L521" i="9"/>
  <c r="L522" i="9"/>
  <c r="L523" i="9"/>
  <c r="L524" i="9"/>
  <c r="L525" i="9"/>
  <c r="L526" i="9"/>
  <c r="L527" i="9"/>
  <c r="L528" i="9"/>
  <c r="L529" i="9"/>
  <c r="L530" i="9"/>
  <c r="L531" i="9"/>
  <c r="L532" i="9"/>
  <c r="L533" i="9"/>
  <c r="L534" i="9"/>
  <c r="L535" i="9"/>
  <c r="L536" i="9"/>
  <c r="L537" i="9"/>
  <c r="L538" i="9"/>
  <c r="L539" i="9"/>
  <c r="L540" i="9"/>
  <c r="L541" i="9"/>
  <c r="L542" i="9"/>
  <c r="L543" i="9"/>
  <c r="L544" i="9"/>
  <c r="L545" i="9"/>
  <c r="L546" i="9"/>
  <c r="L547" i="9"/>
  <c r="L548" i="9"/>
  <c r="L549" i="9"/>
  <c r="L550" i="9"/>
  <c r="L551" i="9"/>
  <c r="L552" i="9"/>
  <c r="L553" i="9"/>
  <c r="L554" i="9"/>
  <c r="L555" i="9"/>
  <c r="L556" i="9"/>
  <c r="L557" i="9"/>
  <c r="L558" i="9"/>
  <c r="L559" i="9"/>
  <c r="L560" i="9"/>
  <c r="L561" i="9"/>
  <c r="L562" i="9"/>
  <c r="L563" i="9"/>
  <c r="L564" i="9"/>
  <c r="L565" i="9"/>
  <c r="L566" i="9"/>
  <c r="L567" i="9"/>
  <c r="L568" i="9"/>
  <c r="L569" i="9"/>
  <c r="L570" i="9"/>
  <c r="L571" i="9"/>
  <c r="L572" i="9"/>
  <c r="L573" i="9"/>
  <c r="L574" i="9"/>
  <c r="L575" i="9"/>
  <c r="L576" i="9"/>
  <c r="L577" i="9"/>
  <c r="L578" i="9"/>
  <c r="L579" i="9"/>
  <c r="L580" i="9"/>
  <c r="L581" i="9"/>
  <c r="L582" i="9"/>
  <c r="L583" i="9"/>
  <c r="L584" i="9"/>
  <c r="L585" i="9"/>
  <c r="L586" i="9"/>
  <c r="L587" i="9"/>
  <c r="L588" i="9"/>
  <c r="L589" i="9"/>
  <c r="L590" i="9"/>
  <c r="L591" i="9"/>
  <c r="L592" i="9"/>
  <c r="L593" i="9"/>
  <c r="L594" i="9"/>
  <c r="L595" i="9"/>
  <c r="L596" i="9"/>
  <c r="L597" i="9"/>
  <c r="L598" i="9"/>
  <c r="L599" i="9"/>
  <c r="L600" i="9"/>
  <c r="L601" i="9"/>
  <c r="L602" i="9"/>
  <c r="L603" i="9"/>
  <c r="L604" i="9"/>
  <c r="L605" i="9"/>
  <c r="L606" i="9"/>
  <c r="L607" i="9"/>
  <c r="L608" i="9"/>
  <c r="L609" i="9"/>
  <c r="L610" i="9"/>
  <c r="L611" i="9"/>
  <c r="L612" i="9"/>
  <c r="L613" i="9"/>
  <c r="L614" i="9"/>
  <c r="L615" i="9"/>
  <c r="L616" i="9"/>
  <c r="L617" i="9"/>
  <c r="L618" i="9"/>
  <c r="L619" i="9"/>
  <c r="L620" i="9"/>
  <c r="L621" i="9"/>
  <c r="L622" i="9"/>
  <c r="L623" i="9"/>
  <c r="L624" i="9"/>
  <c r="L625" i="9"/>
  <c r="L626" i="9"/>
  <c r="L627" i="9"/>
  <c r="L628" i="9"/>
  <c r="L629" i="9"/>
  <c r="L630" i="9"/>
  <c r="L631" i="9"/>
  <c r="L632" i="9"/>
  <c r="L633" i="9"/>
  <c r="L634" i="9"/>
  <c r="L635" i="9"/>
  <c r="L636" i="9"/>
  <c r="L637" i="9"/>
  <c r="L638" i="9"/>
  <c r="L639" i="9"/>
  <c r="L640" i="9"/>
  <c r="L641" i="9"/>
  <c r="L642" i="9"/>
  <c r="L643" i="9"/>
  <c r="L644" i="9"/>
  <c r="L645" i="9"/>
  <c r="L646" i="9"/>
  <c r="L647" i="9"/>
  <c r="L648" i="9"/>
  <c r="L649" i="9"/>
  <c r="L650" i="9"/>
  <c r="L651" i="9"/>
  <c r="L652" i="9"/>
  <c r="L653" i="9"/>
  <c r="L654" i="9"/>
  <c r="L655" i="9"/>
  <c r="L656" i="9"/>
  <c r="L657" i="9"/>
  <c r="L658" i="9"/>
  <c r="L659" i="9"/>
  <c r="L660" i="9"/>
  <c r="L661" i="9"/>
  <c r="L662" i="9"/>
  <c r="L663" i="9"/>
  <c r="L664" i="9"/>
  <c r="L665" i="9"/>
  <c r="L666" i="9"/>
  <c r="L667" i="9"/>
  <c r="L668" i="9"/>
  <c r="L669" i="9"/>
  <c r="L670" i="9"/>
  <c r="L671" i="9"/>
  <c r="L672" i="9"/>
  <c r="L673" i="9"/>
  <c r="L674" i="9"/>
  <c r="L675" i="9"/>
  <c r="L676" i="9"/>
  <c r="L677" i="9"/>
  <c r="L678" i="9"/>
  <c r="L679" i="9"/>
  <c r="L680" i="9"/>
  <c r="L681" i="9"/>
  <c r="L682" i="9"/>
  <c r="L683" i="9"/>
  <c r="L684" i="9"/>
  <c r="L685" i="9"/>
  <c r="L686" i="9"/>
  <c r="L687" i="9"/>
  <c r="L688" i="9"/>
  <c r="L689" i="9"/>
  <c r="L690" i="9"/>
  <c r="L691" i="9"/>
  <c r="L692" i="9"/>
  <c r="L693" i="9"/>
  <c r="L694" i="9"/>
  <c r="L695" i="9"/>
  <c r="L696" i="9"/>
  <c r="L697" i="9"/>
  <c r="L698" i="9"/>
  <c r="L699" i="9"/>
  <c r="L700" i="9"/>
  <c r="L701" i="9"/>
  <c r="L702" i="9"/>
  <c r="L703" i="9"/>
  <c r="L704" i="9"/>
  <c r="L705" i="9"/>
  <c r="L706" i="9"/>
  <c r="L707" i="9"/>
  <c r="L708" i="9"/>
  <c r="L709" i="9"/>
  <c r="L710" i="9"/>
  <c r="L711" i="9"/>
  <c r="L712" i="9"/>
  <c r="L713" i="9"/>
  <c r="L714" i="9"/>
  <c r="L715" i="9"/>
  <c r="L716" i="9"/>
  <c r="L717" i="9"/>
  <c r="L718" i="9"/>
  <c r="L719" i="9"/>
  <c r="L720" i="9"/>
  <c r="L721" i="9"/>
  <c r="L722" i="9"/>
  <c r="L723" i="9"/>
  <c r="L724" i="9"/>
  <c r="L725" i="9"/>
  <c r="L726" i="9"/>
  <c r="L727" i="9"/>
  <c r="L728" i="9"/>
  <c r="L729" i="9"/>
  <c r="L730" i="9"/>
  <c r="L731" i="9"/>
  <c r="L732" i="9"/>
  <c r="L733" i="9"/>
  <c r="L734" i="9"/>
  <c r="L735" i="9"/>
  <c r="L736" i="9"/>
  <c r="L737" i="9"/>
  <c r="L738" i="9"/>
  <c r="L739" i="9"/>
  <c r="L740" i="9"/>
  <c r="L741" i="9"/>
  <c r="L742" i="9"/>
  <c r="L743" i="9"/>
  <c r="L744" i="9"/>
  <c r="L745" i="9"/>
  <c r="L746" i="9"/>
  <c r="L747" i="9"/>
  <c r="L748" i="9"/>
  <c r="L749" i="9"/>
  <c r="L750" i="9"/>
  <c r="L751" i="9"/>
  <c r="L752" i="9"/>
  <c r="L753" i="9"/>
  <c r="L754" i="9"/>
  <c r="L755" i="9"/>
  <c r="L756" i="9"/>
  <c r="L757" i="9"/>
  <c r="L758" i="9"/>
  <c r="L759" i="9"/>
  <c r="L760" i="9"/>
  <c r="L761" i="9"/>
  <c r="L762" i="9"/>
  <c r="L763" i="9"/>
  <c r="L764" i="9"/>
  <c r="L765" i="9"/>
  <c r="L766" i="9"/>
  <c r="L767" i="9"/>
  <c r="L768" i="9"/>
  <c r="L769" i="9"/>
  <c r="L770" i="9"/>
  <c r="L771" i="9"/>
  <c r="L772" i="9"/>
  <c r="L773" i="9"/>
  <c r="L774" i="9"/>
  <c r="L775" i="9"/>
  <c r="L776" i="9"/>
  <c r="L777" i="9"/>
  <c r="L778" i="9"/>
  <c r="L779" i="9"/>
  <c r="L780" i="9"/>
  <c r="L781" i="9"/>
  <c r="L782" i="9"/>
  <c r="L783" i="9"/>
  <c r="L784" i="9"/>
  <c r="L785" i="9"/>
  <c r="L786" i="9"/>
  <c r="L787" i="9"/>
  <c r="L788" i="9"/>
  <c r="L789" i="9"/>
  <c r="L790" i="9"/>
  <c r="L791" i="9"/>
  <c r="L792" i="9"/>
  <c r="L793" i="9"/>
  <c r="L794" i="9"/>
  <c r="L795" i="9"/>
  <c r="L796" i="9"/>
  <c r="L797" i="9"/>
  <c r="L798" i="9"/>
  <c r="L799" i="9"/>
  <c r="L800" i="9"/>
  <c r="L801" i="9"/>
  <c r="L802" i="9"/>
  <c r="L803" i="9"/>
  <c r="L804" i="9"/>
  <c r="L805" i="9"/>
  <c r="L806" i="9"/>
  <c r="L807" i="9"/>
  <c r="L808" i="9"/>
  <c r="L809" i="9"/>
  <c r="L810" i="9"/>
  <c r="L811" i="9"/>
  <c r="L812" i="9"/>
  <c r="L813" i="9"/>
  <c r="L9" i="9"/>
  <c r="N11" i="7"/>
  <c r="J816" i="9"/>
  <c r="J815" i="9"/>
  <c r="K815"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6" i="9"/>
  <c r="J47" i="9"/>
  <c r="J48" i="9"/>
  <c r="J49" i="9"/>
  <c r="J50" i="9"/>
  <c r="J51" i="9"/>
  <c r="J52" i="9"/>
  <c r="J53" i="9"/>
  <c r="J54" i="9"/>
  <c r="J55" i="9"/>
  <c r="J56" i="9"/>
  <c r="J57" i="9"/>
  <c r="J58" i="9"/>
  <c r="J59" i="9"/>
  <c r="J60" i="9"/>
  <c r="J61" i="9"/>
  <c r="J62" i="9"/>
  <c r="J63" i="9"/>
  <c r="J64" i="9"/>
  <c r="J65" i="9"/>
  <c r="J66" i="9"/>
  <c r="J67" i="9"/>
  <c r="J68" i="9"/>
  <c r="J69" i="9"/>
  <c r="J70" i="9"/>
  <c r="J71" i="9"/>
  <c r="J72" i="9"/>
  <c r="J73" i="9"/>
  <c r="J74" i="9"/>
  <c r="J75" i="9"/>
  <c r="J76" i="9"/>
  <c r="J77" i="9"/>
  <c r="J78" i="9"/>
  <c r="J79" i="9"/>
  <c r="J80" i="9"/>
  <c r="J81" i="9"/>
  <c r="J82" i="9"/>
  <c r="J83" i="9"/>
  <c r="J84" i="9"/>
  <c r="J85" i="9"/>
  <c r="J86" i="9"/>
  <c r="J87" i="9"/>
  <c r="J88" i="9"/>
  <c r="J89" i="9"/>
  <c r="J90" i="9"/>
  <c r="J91" i="9"/>
  <c r="J92" i="9"/>
  <c r="J93" i="9"/>
  <c r="J94" i="9"/>
  <c r="J95" i="9"/>
  <c r="J96" i="9"/>
  <c r="J97" i="9"/>
  <c r="J98" i="9"/>
  <c r="J99" i="9"/>
  <c r="J100" i="9"/>
  <c r="J101" i="9"/>
  <c r="J102" i="9"/>
  <c r="J103" i="9"/>
  <c r="J104" i="9"/>
  <c r="J105" i="9"/>
  <c r="J106" i="9"/>
  <c r="J107" i="9"/>
  <c r="J108" i="9"/>
  <c r="J109" i="9"/>
  <c r="J110" i="9"/>
  <c r="J111" i="9"/>
  <c r="J112" i="9"/>
  <c r="J113" i="9"/>
  <c r="J114" i="9"/>
  <c r="J115" i="9"/>
  <c r="J116" i="9"/>
  <c r="J117" i="9"/>
  <c r="J118" i="9"/>
  <c r="J119" i="9"/>
  <c r="J120" i="9"/>
  <c r="J121" i="9"/>
  <c r="J122" i="9"/>
  <c r="J123" i="9"/>
  <c r="J124" i="9"/>
  <c r="J125" i="9"/>
  <c r="J126" i="9"/>
  <c r="J127" i="9"/>
  <c r="J128" i="9"/>
  <c r="J129" i="9"/>
  <c r="J130" i="9"/>
  <c r="J131" i="9"/>
  <c r="J132" i="9"/>
  <c r="J133" i="9"/>
  <c r="J134" i="9"/>
  <c r="J135" i="9"/>
  <c r="J136" i="9"/>
  <c r="J137" i="9"/>
  <c r="J138" i="9"/>
  <c r="J139" i="9"/>
  <c r="J140" i="9"/>
  <c r="J141" i="9"/>
  <c r="J142" i="9"/>
  <c r="J143" i="9"/>
  <c r="J144" i="9"/>
  <c r="J145" i="9"/>
  <c r="J146" i="9"/>
  <c r="J147" i="9"/>
  <c r="J148" i="9"/>
  <c r="J149" i="9"/>
  <c r="J150" i="9"/>
  <c r="J151" i="9"/>
  <c r="J152" i="9"/>
  <c r="J153" i="9"/>
  <c r="J154" i="9"/>
  <c r="J155" i="9"/>
  <c r="J156" i="9"/>
  <c r="J157" i="9"/>
  <c r="J158" i="9"/>
  <c r="J159" i="9"/>
  <c r="J160" i="9"/>
  <c r="J161" i="9"/>
  <c r="J162" i="9"/>
  <c r="J163" i="9"/>
  <c r="J164" i="9"/>
  <c r="J165" i="9"/>
  <c r="J166" i="9"/>
  <c r="J167" i="9"/>
  <c r="J168" i="9"/>
  <c r="J169" i="9"/>
  <c r="J170" i="9"/>
  <c r="J171" i="9"/>
  <c r="J172" i="9"/>
  <c r="J173" i="9"/>
  <c r="J174" i="9"/>
  <c r="J175" i="9"/>
  <c r="J176" i="9"/>
  <c r="J177" i="9"/>
  <c r="J178" i="9"/>
  <c r="J179" i="9"/>
  <c r="J180" i="9"/>
  <c r="J181" i="9"/>
  <c r="J182" i="9"/>
  <c r="J183" i="9"/>
  <c r="J184" i="9"/>
  <c r="J185" i="9"/>
  <c r="J186" i="9"/>
  <c r="J187" i="9"/>
  <c r="J188" i="9"/>
  <c r="J189" i="9"/>
  <c r="J190" i="9"/>
  <c r="J191" i="9"/>
  <c r="J192" i="9"/>
  <c r="J193" i="9"/>
  <c r="J194" i="9"/>
  <c r="J195" i="9"/>
  <c r="J196" i="9"/>
  <c r="J197" i="9"/>
  <c r="J198" i="9"/>
  <c r="J199" i="9"/>
  <c r="J200" i="9"/>
  <c r="J201" i="9"/>
  <c r="J202" i="9"/>
  <c r="J203" i="9"/>
  <c r="J204" i="9"/>
  <c r="J205" i="9"/>
  <c r="J206" i="9"/>
  <c r="J207" i="9"/>
  <c r="J208" i="9"/>
  <c r="J209" i="9"/>
  <c r="J210" i="9"/>
  <c r="J211" i="9"/>
  <c r="J212" i="9"/>
  <c r="J213" i="9"/>
  <c r="J214" i="9"/>
  <c r="J215" i="9"/>
  <c r="J216" i="9"/>
  <c r="J217" i="9"/>
  <c r="J218" i="9"/>
  <c r="J219" i="9"/>
  <c r="J220" i="9"/>
  <c r="J221" i="9"/>
  <c r="J222" i="9"/>
  <c r="J223" i="9"/>
  <c r="J224" i="9"/>
  <c r="J225" i="9"/>
  <c r="J226" i="9"/>
  <c r="J227" i="9"/>
  <c r="J228" i="9"/>
  <c r="J229" i="9"/>
  <c r="J230" i="9"/>
  <c r="J231" i="9"/>
  <c r="J232" i="9"/>
  <c r="J233" i="9"/>
  <c r="J234" i="9"/>
  <c r="J235" i="9"/>
  <c r="J236" i="9"/>
  <c r="J237" i="9"/>
  <c r="J238" i="9"/>
  <c r="J239" i="9"/>
  <c r="J240" i="9"/>
  <c r="J241" i="9"/>
  <c r="J242" i="9"/>
  <c r="J243" i="9"/>
  <c r="J244" i="9"/>
  <c r="J245" i="9"/>
  <c r="J246" i="9"/>
  <c r="J247" i="9"/>
  <c r="J248" i="9"/>
  <c r="J249" i="9"/>
  <c r="J250" i="9"/>
  <c r="J251" i="9"/>
  <c r="J252" i="9"/>
  <c r="J253" i="9"/>
  <c r="J254" i="9"/>
  <c r="J255" i="9"/>
  <c r="J256" i="9"/>
  <c r="J257" i="9"/>
  <c r="J258" i="9"/>
  <c r="J259" i="9"/>
  <c r="J260" i="9"/>
  <c r="J261" i="9"/>
  <c r="J262" i="9"/>
  <c r="J263" i="9"/>
  <c r="J264" i="9"/>
  <c r="J265" i="9"/>
  <c r="J266" i="9"/>
  <c r="J267" i="9"/>
  <c r="J268" i="9"/>
  <c r="J269" i="9"/>
  <c r="J270" i="9"/>
  <c r="J271" i="9"/>
  <c r="J272" i="9"/>
  <c r="J273" i="9"/>
  <c r="J274" i="9"/>
  <c r="J275" i="9"/>
  <c r="J276" i="9"/>
  <c r="J277" i="9"/>
  <c r="J278" i="9"/>
  <c r="J279" i="9"/>
  <c r="J280" i="9"/>
  <c r="J281" i="9"/>
  <c r="J282" i="9"/>
  <c r="J283" i="9"/>
  <c r="J284" i="9"/>
  <c r="J285" i="9"/>
  <c r="J286" i="9"/>
  <c r="J287" i="9"/>
  <c r="J288" i="9"/>
  <c r="J289" i="9"/>
  <c r="J290" i="9"/>
  <c r="J291" i="9"/>
  <c r="J292" i="9"/>
  <c r="J293" i="9"/>
  <c r="J294" i="9"/>
  <c r="J295" i="9"/>
  <c r="J296" i="9"/>
  <c r="J297" i="9"/>
  <c r="J298" i="9"/>
  <c r="J299" i="9"/>
  <c r="J300" i="9"/>
  <c r="J301" i="9"/>
  <c r="J302" i="9"/>
  <c r="J303" i="9"/>
  <c r="J304" i="9"/>
  <c r="J305" i="9"/>
  <c r="J306" i="9"/>
  <c r="J307" i="9"/>
  <c r="J308" i="9"/>
  <c r="J309" i="9"/>
  <c r="J310" i="9"/>
  <c r="J311" i="9"/>
  <c r="J312" i="9"/>
  <c r="J313" i="9"/>
  <c r="J314" i="9"/>
  <c r="J315" i="9"/>
  <c r="J316" i="9"/>
  <c r="J317" i="9"/>
  <c r="J318" i="9"/>
  <c r="J319" i="9"/>
  <c r="J320" i="9"/>
  <c r="J321" i="9"/>
  <c r="J322" i="9"/>
  <c r="J323" i="9"/>
  <c r="J324" i="9"/>
  <c r="J325" i="9"/>
  <c r="J326" i="9"/>
  <c r="J327" i="9"/>
  <c r="J328" i="9"/>
  <c r="J329" i="9"/>
  <c r="J330" i="9"/>
  <c r="J331" i="9"/>
  <c r="J332" i="9"/>
  <c r="J333" i="9"/>
  <c r="J334" i="9"/>
  <c r="J335" i="9"/>
  <c r="J336" i="9"/>
  <c r="J337" i="9"/>
  <c r="J338" i="9"/>
  <c r="J339" i="9"/>
  <c r="J340" i="9"/>
  <c r="J341" i="9"/>
  <c r="J342" i="9"/>
  <c r="J343" i="9"/>
  <c r="J344" i="9"/>
  <c r="J345" i="9"/>
  <c r="J346" i="9"/>
  <c r="J347" i="9"/>
  <c r="J348" i="9"/>
  <c r="J349" i="9"/>
  <c r="J350" i="9"/>
  <c r="J351" i="9"/>
  <c r="J352" i="9"/>
  <c r="J353" i="9"/>
  <c r="J354" i="9"/>
  <c r="J355" i="9"/>
  <c r="J356" i="9"/>
  <c r="J357" i="9"/>
  <c r="J358" i="9"/>
  <c r="J359" i="9"/>
  <c r="J360" i="9"/>
  <c r="J361" i="9"/>
  <c r="J362" i="9"/>
  <c r="J363" i="9"/>
  <c r="J364" i="9"/>
  <c r="J365" i="9"/>
  <c r="J366" i="9"/>
  <c r="J367" i="9"/>
  <c r="J368" i="9"/>
  <c r="J369" i="9"/>
  <c r="J370" i="9"/>
  <c r="J371" i="9"/>
  <c r="J372" i="9"/>
  <c r="J373" i="9"/>
  <c r="J374" i="9"/>
  <c r="J375" i="9"/>
  <c r="J376" i="9"/>
  <c r="J377" i="9"/>
  <c r="J378" i="9"/>
  <c r="J379" i="9"/>
  <c r="J380" i="9"/>
  <c r="J381" i="9"/>
  <c r="J382" i="9"/>
  <c r="J383" i="9"/>
  <c r="J384" i="9"/>
  <c r="J385" i="9"/>
  <c r="J386" i="9"/>
  <c r="J387" i="9"/>
  <c r="J388" i="9"/>
  <c r="J389" i="9"/>
  <c r="J390" i="9"/>
  <c r="J391" i="9"/>
  <c r="J392" i="9"/>
  <c r="J393" i="9"/>
  <c r="J394" i="9"/>
  <c r="J395" i="9"/>
  <c r="J396" i="9"/>
  <c r="J397" i="9"/>
  <c r="J398" i="9"/>
  <c r="J399" i="9"/>
  <c r="J400" i="9"/>
  <c r="J401" i="9"/>
  <c r="J402" i="9"/>
  <c r="J403" i="9"/>
  <c r="J404" i="9"/>
  <c r="J405" i="9"/>
  <c r="J406" i="9"/>
  <c r="J407" i="9"/>
  <c r="J408" i="9"/>
  <c r="J409" i="9"/>
  <c r="J410" i="9"/>
  <c r="J411" i="9"/>
  <c r="J412" i="9"/>
  <c r="J413" i="9"/>
  <c r="J414" i="9"/>
  <c r="J415" i="9"/>
  <c r="J416" i="9"/>
  <c r="J417" i="9"/>
  <c r="J418" i="9"/>
  <c r="J419" i="9"/>
  <c r="J420" i="9"/>
  <c r="J421" i="9"/>
  <c r="J422" i="9"/>
  <c r="J423" i="9"/>
  <c r="J424" i="9"/>
  <c r="J425" i="9"/>
  <c r="J426" i="9"/>
  <c r="J427" i="9"/>
  <c r="J428" i="9"/>
  <c r="J429" i="9"/>
  <c r="J430" i="9"/>
  <c r="J431" i="9"/>
  <c r="J432" i="9"/>
  <c r="J433" i="9"/>
  <c r="J434" i="9"/>
  <c r="J435" i="9"/>
  <c r="J436" i="9"/>
  <c r="J437" i="9"/>
  <c r="J438" i="9"/>
  <c r="J439" i="9"/>
  <c r="J440" i="9"/>
  <c r="J441" i="9"/>
  <c r="J442" i="9"/>
  <c r="J443" i="9"/>
  <c r="J444" i="9"/>
  <c r="J445" i="9"/>
  <c r="J446" i="9"/>
  <c r="J447" i="9"/>
  <c r="J448" i="9"/>
  <c r="J449" i="9"/>
  <c r="J450" i="9"/>
  <c r="J451" i="9"/>
  <c r="J452" i="9"/>
  <c r="J453" i="9"/>
  <c r="J454" i="9"/>
  <c r="J455" i="9"/>
  <c r="J456" i="9"/>
  <c r="J457" i="9"/>
  <c r="J458" i="9"/>
  <c r="J459" i="9"/>
  <c r="J460" i="9"/>
  <c r="J461" i="9"/>
  <c r="J462" i="9"/>
  <c r="J463" i="9"/>
  <c r="J464" i="9"/>
  <c r="J465" i="9"/>
  <c r="J466" i="9"/>
  <c r="J467" i="9"/>
  <c r="J468" i="9"/>
  <c r="J469" i="9"/>
  <c r="J470" i="9"/>
  <c r="J471" i="9"/>
  <c r="J472" i="9"/>
  <c r="J473" i="9"/>
  <c r="J474" i="9"/>
  <c r="J475" i="9"/>
  <c r="J476" i="9"/>
  <c r="J477" i="9"/>
  <c r="J478" i="9"/>
  <c r="J479" i="9"/>
  <c r="J480" i="9"/>
  <c r="J481" i="9"/>
  <c r="J482" i="9"/>
  <c r="J483" i="9"/>
  <c r="J484" i="9"/>
  <c r="J485" i="9"/>
  <c r="J486" i="9"/>
  <c r="J487" i="9"/>
  <c r="J488" i="9"/>
  <c r="J489" i="9"/>
  <c r="J490" i="9"/>
  <c r="J491" i="9"/>
  <c r="J492" i="9"/>
  <c r="J493" i="9"/>
  <c r="J494" i="9"/>
  <c r="J495" i="9"/>
  <c r="J496" i="9"/>
  <c r="J497" i="9"/>
  <c r="J498" i="9"/>
  <c r="J499" i="9"/>
  <c r="J500" i="9"/>
  <c r="J501" i="9"/>
  <c r="J502" i="9"/>
  <c r="J503" i="9"/>
  <c r="J504" i="9"/>
  <c r="J505" i="9"/>
  <c r="J506" i="9"/>
  <c r="J507" i="9"/>
  <c r="J508" i="9"/>
  <c r="J509" i="9"/>
  <c r="J510" i="9"/>
  <c r="J511" i="9"/>
  <c r="J512" i="9"/>
  <c r="J513" i="9"/>
  <c r="J514" i="9"/>
  <c r="J515" i="9"/>
  <c r="J516" i="9"/>
  <c r="J517" i="9"/>
  <c r="J518" i="9"/>
  <c r="J519" i="9"/>
  <c r="J520" i="9"/>
  <c r="J521" i="9"/>
  <c r="J522" i="9"/>
  <c r="J523" i="9"/>
  <c r="J524" i="9"/>
  <c r="J525" i="9"/>
  <c r="J526" i="9"/>
  <c r="J527" i="9"/>
  <c r="J528" i="9"/>
  <c r="J529" i="9"/>
  <c r="J530" i="9"/>
  <c r="J531" i="9"/>
  <c r="J532" i="9"/>
  <c r="J533" i="9"/>
  <c r="J534" i="9"/>
  <c r="J535" i="9"/>
  <c r="J536" i="9"/>
  <c r="J537" i="9"/>
  <c r="J538" i="9"/>
  <c r="J539" i="9"/>
  <c r="J540" i="9"/>
  <c r="J541" i="9"/>
  <c r="J542" i="9"/>
  <c r="J543" i="9"/>
  <c r="J544" i="9"/>
  <c r="J545" i="9"/>
  <c r="J546" i="9"/>
  <c r="J547" i="9"/>
  <c r="J548" i="9"/>
  <c r="J549" i="9"/>
  <c r="J550" i="9"/>
  <c r="J551" i="9"/>
  <c r="J552" i="9"/>
  <c r="J553" i="9"/>
  <c r="J554" i="9"/>
  <c r="J555" i="9"/>
  <c r="J556" i="9"/>
  <c r="J557" i="9"/>
  <c r="J558" i="9"/>
  <c r="J559" i="9"/>
  <c r="J560" i="9"/>
  <c r="J561" i="9"/>
  <c r="J562" i="9"/>
  <c r="J563" i="9"/>
  <c r="J564" i="9"/>
  <c r="J565" i="9"/>
  <c r="J566" i="9"/>
  <c r="J567" i="9"/>
  <c r="J568" i="9"/>
  <c r="J569" i="9"/>
  <c r="J570" i="9"/>
  <c r="J571" i="9"/>
  <c r="J572" i="9"/>
  <c r="J573" i="9"/>
  <c r="J574" i="9"/>
  <c r="J575" i="9"/>
  <c r="J576" i="9"/>
  <c r="J577" i="9"/>
  <c r="J578" i="9"/>
  <c r="J579" i="9"/>
  <c r="J580" i="9"/>
  <c r="J581" i="9"/>
  <c r="J582" i="9"/>
  <c r="J583" i="9"/>
  <c r="J584" i="9"/>
  <c r="J585" i="9"/>
  <c r="J586" i="9"/>
  <c r="J587" i="9"/>
  <c r="J588" i="9"/>
  <c r="J589" i="9"/>
  <c r="J590" i="9"/>
  <c r="J591" i="9"/>
  <c r="J592" i="9"/>
  <c r="J593" i="9"/>
  <c r="J594" i="9"/>
  <c r="J595" i="9"/>
  <c r="J596" i="9"/>
  <c r="J597" i="9"/>
  <c r="J598" i="9"/>
  <c r="J599" i="9"/>
  <c r="J600" i="9"/>
  <c r="J601" i="9"/>
  <c r="J602" i="9"/>
  <c r="J603" i="9"/>
  <c r="J604" i="9"/>
  <c r="J605" i="9"/>
  <c r="J606" i="9"/>
  <c r="J607" i="9"/>
  <c r="J608" i="9"/>
  <c r="J609" i="9"/>
  <c r="J610" i="9"/>
  <c r="J611" i="9"/>
  <c r="J612" i="9"/>
  <c r="J613" i="9"/>
  <c r="J614" i="9"/>
  <c r="J615" i="9"/>
  <c r="J616" i="9"/>
  <c r="J617" i="9"/>
  <c r="J618" i="9"/>
  <c r="J619" i="9"/>
  <c r="J620" i="9"/>
  <c r="J621" i="9"/>
  <c r="J622" i="9"/>
  <c r="J623" i="9"/>
  <c r="J624" i="9"/>
  <c r="J625" i="9"/>
  <c r="J626" i="9"/>
  <c r="J627" i="9"/>
  <c r="J628" i="9"/>
  <c r="J629" i="9"/>
  <c r="J630" i="9"/>
  <c r="J631" i="9"/>
  <c r="J632" i="9"/>
  <c r="J633" i="9"/>
  <c r="J634" i="9"/>
  <c r="J635" i="9"/>
  <c r="J636" i="9"/>
  <c r="J637" i="9"/>
  <c r="J638" i="9"/>
  <c r="J639" i="9"/>
  <c r="J640" i="9"/>
  <c r="J641" i="9"/>
  <c r="J642" i="9"/>
  <c r="J643" i="9"/>
  <c r="J644" i="9"/>
  <c r="J645" i="9"/>
  <c r="J646" i="9"/>
  <c r="J647" i="9"/>
  <c r="J648" i="9"/>
  <c r="J649" i="9"/>
  <c r="J650" i="9"/>
  <c r="J651" i="9"/>
  <c r="J652" i="9"/>
  <c r="J653" i="9"/>
  <c r="J654" i="9"/>
  <c r="J655" i="9"/>
  <c r="J656" i="9"/>
  <c r="J657" i="9"/>
  <c r="J658" i="9"/>
  <c r="J659" i="9"/>
  <c r="J660" i="9"/>
  <c r="J661" i="9"/>
  <c r="J662" i="9"/>
  <c r="J663" i="9"/>
  <c r="J664" i="9"/>
  <c r="J665" i="9"/>
  <c r="J666" i="9"/>
  <c r="J667" i="9"/>
  <c r="J668" i="9"/>
  <c r="J669" i="9"/>
  <c r="J670" i="9"/>
  <c r="J671" i="9"/>
  <c r="J672" i="9"/>
  <c r="J673" i="9"/>
  <c r="J674" i="9"/>
  <c r="J675" i="9"/>
  <c r="J676" i="9"/>
  <c r="J677" i="9"/>
  <c r="J678" i="9"/>
  <c r="J679" i="9"/>
  <c r="J680" i="9"/>
  <c r="J681" i="9"/>
  <c r="J682" i="9"/>
  <c r="J683" i="9"/>
  <c r="J684" i="9"/>
  <c r="J685" i="9"/>
  <c r="J686" i="9"/>
  <c r="J687" i="9"/>
  <c r="J688" i="9"/>
  <c r="J689" i="9"/>
  <c r="J690" i="9"/>
  <c r="J691" i="9"/>
  <c r="J692" i="9"/>
  <c r="J693" i="9"/>
  <c r="J694" i="9"/>
  <c r="J695" i="9"/>
  <c r="J696" i="9"/>
  <c r="J697" i="9"/>
  <c r="J698" i="9"/>
  <c r="J699" i="9"/>
  <c r="J700" i="9"/>
  <c r="J701" i="9"/>
  <c r="J702" i="9"/>
  <c r="J703" i="9"/>
  <c r="J704" i="9"/>
  <c r="J705" i="9"/>
  <c r="J706" i="9"/>
  <c r="J707" i="9"/>
  <c r="J708" i="9"/>
  <c r="J709" i="9"/>
  <c r="J710" i="9"/>
  <c r="J711" i="9"/>
  <c r="J712" i="9"/>
  <c r="J713" i="9"/>
  <c r="J714" i="9"/>
  <c r="J715" i="9"/>
  <c r="J716" i="9"/>
  <c r="J717" i="9"/>
  <c r="J718" i="9"/>
  <c r="J719" i="9"/>
  <c r="J720" i="9"/>
  <c r="J721" i="9"/>
  <c r="J722" i="9"/>
  <c r="J723" i="9"/>
  <c r="J724" i="9"/>
  <c r="J725" i="9"/>
  <c r="J726" i="9"/>
  <c r="J727" i="9"/>
  <c r="J728" i="9"/>
  <c r="J729" i="9"/>
  <c r="J730" i="9"/>
  <c r="J731" i="9"/>
  <c r="J732" i="9"/>
  <c r="J733" i="9"/>
  <c r="J734" i="9"/>
  <c r="J735" i="9"/>
  <c r="J736" i="9"/>
  <c r="J737" i="9"/>
  <c r="J738" i="9"/>
  <c r="J739" i="9"/>
  <c r="J740" i="9"/>
  <c r="J741" i="9"/>
  <c r="J742" i="9"/>
  <c r="J743" i="9"/>
  <c r="J744" i="9"/>
  <c r="J745" i="9"/>
  <c r="J746" i="9"/>
  <c r="J747" i="9"/>
  <c r="J748" i="9"/>
  <c r="J749" i="9"/>
  <c r="J750" i="9"/>
  <c r="J751" i="9"/>
  <c r="J752" i="9"/>
  <c r="J753" i="9"/>
  <c r="J754" i="9"/>
  <c r="J755" i="9"/>
  <c r="J756" i="9"/>
  <c r="J757" i="9"/>
  <c r="J758" i="9"/>
  <c r="J759" i="9"/>
  <c r="J760" i="9"/>
  <c r="J761" i="9"/>
  <c r="J762" i="9"/>
  <c r="J763" i="9"/>
  <c r="J764" i="9"/>
  <c r="J765" i="9"/>
  <c r="J766" i="9"/>
  <c r="J767" i="9"/>
  <c r="J768" i="9"/>
  <c r="J769" i="9"/>
  <c r="J770" i="9"/>
  <c r="J771" i="9"/>
  <c r="J772" i="9"/>
  <c r="J773" i="9"/>
  <c r="J774" i="9"/>
  <c r="J775" i="9"/>
  <c r="J776" i="9"/>
  <c r="J777" i="9"/>
  <c r="J778" i="9"/>
  <c r="J779" i="9"/>
  <c r="J780" i="9"/>
  <c r="J781" i="9"/>
  <c r="J782" i="9"/>
  <c r="J783" i="9"/>
  <c r="J784" i="9"/>
  <c r="J785" i="9"/>
  <c r="J786" i="9"/>
  <c r="J787" i="9"/>
  <c r="J788" i="9"/>
  <c r="J789" i="9"/>
  <c r="J790" i="9"/>
  <c r="J791" i="9"/>
  <c r="J792" i="9"/>
  <c r="J793" i="9"/>
  <c r="J794" i="9"/>
  <c r="J795" i="9"/>
  <c r="J796" i="9"/>
  <c r="J797" i="9"/>
  <c r="J798" i="9"/>
  <c r="J799" i="9"/>
  <c r="J800" i="9"/>
  <c r="J801" i="9"/>
  <c r="J802" i="9"/>
  <c r="J803" i="9"/>
  <c r="J804" i="9"/>
  <c r="J805" i="9"/>
  <c r="J806" i="9"/>
  <c r="J807" i="9"/>
  <c r="J808" i="9"/>
  <c r="J809" i="9"/>
  <c r="J810" i="9"/>
  <c r="J811" i="9"/>
  <c r="J812" i="9"/>
  <c r="J813" i="9"/>
  <c r="J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K73" i="9"/>
  <c r="K74" i="9"/>
  <c r="K75" i="9"/>
  <c r="K76" i="9"/>
  <c r="K77" i="9"/>
  <c r="K78" i="9"/>
  <c r="K79" i="9"/>
  <c r="K80" i="9"/>
  <c r="K81" i="9"/>
  <c r="K82" i="9"/>
  <c r="K83" i="9"/>
  <c r="K84" i="9"/>
  <c r="K85" i="9"/>
  <c r="K86" i="9"/>
  <c r="K87" i="9"/>
  <c r="K88" i="9"/>
  <c r="K89" i="9"/>
  <c r="K90" i="9"/>
  <c r="K91" i="9"/>
  <c r="K92" i="9"/>
  <c r="K93" i="9"/>
  <c r="K94" i="9"/>
  <c r="K95" i="9"/>
  <c r="K96" i="9"/>
  <c r="K97" i="9"/>
  <c r="K98" i="9"/>
  <c r="K99" i="9"/>
  <c r="K100" i="9"/>
  <c r="K101" i="9"/>
  <c r="K102" i="9"/>
  <c r="K103" i="9"/>
  <c r="K104" i="9"/>
  <c r="K105" i="9"/>
  <c r="K106" i="9"/>
  <c r="K107" i="9"/>
  <c r="K108" i="9"/>
  <c r="K109" i="9"/>
  <c r="K110" i="9"/>
  <c r="K111" i="9"/>
  <c r="K112" i="9"/>
  <c r="K113" i="9"/>
  <c r="K114" i="9"/>
  <c r="K115" i="9"/>
  <c r="K116" i="9"/>
  <c r="K117" i="9"/>
  <c r="K118" i="9"/>
  <c r="K119" i="9"/>
  <c r="K120" i="9"/>
  <c r="K121" i="9"/>
  <c r="K122" i="9"/>
  <c r="K123" i="9"/>
  <c r="K124" i="9"/>
  <c r="K125" i="9"/>
  <c r="K126" i="9"/>
  <c r="K127" i="9"/>
  <c r="K128" i="9"/>
  <c r="K129" i="9"/>
  <c r="K130" i="9"/>
  <c r="K131" i="9"/>
  <c r="K132" i="9"/>
  <c r="K133" i="9"/>
  <c r="K134" i="9"/>
  <c r="K135" i="9"/>
  <c r="K136" i="9"/>
  <c r="K137" i="9"/>
  <c r="K138" i="9"/>
  <c r="K139" i="9"/>
  <c r="K140" i="9"/>
  <c r="K141" i="9"/>
  <c r="K142" i="9"/>
  <c r="K143" i="9"/>
  <c r="K144" i="9"/>
  <c r="K145" i="9"/>
  <c r="K146" i="9"/>
  <c r="K147" i="9"/>
  <c r="K148" i="9"/>
  <c r="K149" i="9"/>
  <c r="K150" i="9"/>
  <c r="K151" i="9"/>
  <c r="K152" i="9"/>
  <c r="K153" i="9"/>
  <c r="K154" i="9"/>
  <c r="K155" i="9"/>
  <c r="K156" i="9"/>
  <c r="K157" i="9"/>
  <c r="K158" i="9"/>
  <c r="K159" i="9"/>
  <c r="K160" i="9"/>
  <c r="K161" i="9"/>
  <c r="K162" i="9"/>
  <c r="K163" i="9"/>
  <c r="K164" i="9"/>
  <c r="K165" i="9"/>
  <c r="K166" i="9"/>
  <c r="K167" i="9"/>
  <c r="K168" i="9"/>
  <c r="K169" i="9"/>
  <c r="K170" i="9"/>
  <c r="K171" i="9"/>
  <c r="K172" i="9"/>
  <c r="K173" i="9"/>
  <c r="K174" i="9"/>
  <c r="K175" i="9"/>
  <c r="K176" i="9"/>
  <c r="K177" i="9"/>
  <c r="K178" i="9"/>
  <c r="K179" i="9"/>
  <c r="K180" i="9"/>
  <c r="K181" i="9"/>
  <c r="K182" i="9"/>
  <c r="K183" i="9"/>
  <c r="K184" i="9"/>
  <c r="K185" i="9"/>
  <c r="K186" i="9"/>
  <c r="K187" i="9"/>
  <c r="K188" i="9"/>
  <c r="K189" i="9"/>
  <c r="K190" i="9"/>
  <c r="K191" i="9"/>
  <c r="K192" i="9"/>
  <c r="K193" i="9"/>
  <c r="K194" i="9"/>
  <c r="K195" i="9"/>
  <c r="K196" i="9"/>
  <c r="K197" i="9"/>
  <c r="K198" i="9"/>
  <c r="K199" i="9"/>
  <c r="K200" i="9"/>
  <c r="K201" i="9"/>
  <c r="K202" i="9"/>
  <c r="K203" i="9"/>
  <c r="K204" i="9"/>
  <c r="K205" i="9"/>
  <c r="K206" i="9"/>
  <c r="K207" i="9"/>
  <c r="K208" i="9"/>
  <c r="K209" i="9"/>
  <c r="K210" i="9"/>
  <c r="K211" i="9"/>
  <c r="K212" i="9"/>
  <c r="K213" i="9"/>
  <c r="K214" i="9"/>
  <c r="K215" i="9"/>
  <c r="K216" i="9"/>
  <c r="K217" i="9"/>
  <c r="K218" i="9"/>
  <c r="K219" i="9"/>
  <c r="K220" i="9"/>
  <c r="K221" i="9"/>
  <c r="K222" i="9"/>
  <c r="K223" i="9"/>
  <c r="K224" i="9"/>
  <c r="K225" i="9"/>
  <c r="K226" i="9"/>
  <c r="K227" i="9"/>
  <c r="K228" i="9"/>
  <c r="K229" i="9"/>
  <c r="K230" i="9"/>
  <c r="K231" i="9"/>
  <c r="K232" i="9"/>
  <c r="K233" i="9"/>
  <c r="K234" i="9"/>
  <c r="K235" i="9"/>
  <c r="K236" i="9"/>
  <c r="K237" i="9"/>
  <c r="K238" i="9"/>
  <c r="K239" i="9"/>
  <c r="K240" i="9"/>
  <c r="K241" i="9"/>
  <c r="K242" i="9"/>
  <c r="K243" i="9"/>
  <c r="K244" i="9"/>
  <c r="K245" i="9"/>
  <c r="K246" i="9"/>
  <c r="K247" i="9"/>
  <c r="K248" i="9"/>
  <c r="K249" i="9"/>
  <c r="K250" i="9"/>
  <c r="K251" i="9"/>
  <c r="K252" i="9"/>
  <c r="K253" i="9"/>
  <c r="K254" i="9"/>
  <c r="K255" i="9"/>
  <c r="K256" i="9"/>
  <c r="K257" i="9"/>
  <c r="K258" i="9"/>
  <c r="K259" i="9"/>
  <c r="K260" i="9"/>
  <c r="K261" i="9"/>
  <c r="K262" i="9"/>
  <c r="K263" i="9"/>
  <c r="K264" i="9"/>
  <c r="K265" i="9"/>
  <c r="K266" i="9"/>
  <c r="K267" i="9"/>
  <c r="K268" i="9"/>
  <c r="K269" i="9"/>
  <c r="K270" i="9"/>
  <c r="K271" i="9"/>
  <c r="K272" i="9"/>
  <c r="K273" i="9"/>
  <c r="K274" i="9"/>
  <c r="K275" i="9"/>
  <c r="K276" i="9"/>
  <c r="K277" i="9"/>
  <c r="K278" i="9"/>
  <c r="K279" i="9"/>
  <c r="K280" i="9"/>
  <c r="K281" i="9"/>
  <c r="K282" i="9"/>
  <c r="K283" i="9"/>
  <c r="K284" i="9"/>
  <c r="K285" i="9"/>
  <c r="K286" i="9"/>
  <c r="K287" i="9"/>
  <c r="K288" i="9"/>
  <c r="K289" i="9"/>
  <c r="K290" i="9"/>
  <c r="K291" i="9"/>
  <c r="K292" i="9"/>
  <c r="K293" i="9"/>
  <c r="K294" i="9"/>
  <c r="K295" i="9"/>
  <c r="K296" i="9"/>
  <c r="K297" i="9"/>
  <c r="K298" i="9"/>
  <c r="K299" i="9"/>
  <c r="K300" i="9"/>
  <c r="K301" i="9"/>
  <c r="K302" i="9"/>
  <c r="K303" i="9"/>
  <c r="K304" i="9"/>
  <c r="K305" i="9"/>
  <c r="K306" i="9"/>
  <c r="K307" i="9"/>
  <c r="K308" i="9"/>
  <c r="K309" i="9"/>
  <c r="K310" i="9"/>
  <c r="K311" i="9"/>
  <c r="K312" i="9"/>
  <c r="K313" i="9"/>
  <c r="K314" i="9"/>
  <c r="K315" i="9"/>
  <c r="K316" i="9"/>
  <c r="K317" i="9"/>
  <c r="K318" i="9"/>
  <c r="K319" i="9"/>
  <c r="K320" i="9"/>
  <c r="K321" i="9"/>
  <c r="K322" i="9"/>
  <c r="K323" i="9"/>
  <c r="K324" i="9"/>
  <c r="K325" i="9"/>
  <c r="K326" i="9"/>
  <c r="K327" i="9"/>
  <c r="K328" i="9"/>
  <c r="K329" i="9"/>
  <c r="K330" i="9"/>
  <c r="K331" i="9"/>
  <c r="K332" i="9"/>
  <c r="K333" i="9"/>
  <c r="K334" i="9"/>
  <c r="K335" i="9"/>
  <c r="K336" i="9"/>
  <c r="K337" i="9"/>
  <c r="K338" i="9"/>
  <c r="K339" i="9"/>
  <c r="K340" i="9"/>
  <c r="K341" i="9"/>
  <c r="K342" i="9"/>
  <c r="K343" i="9"/>
  <c r="K344" i="9"/>
  <c r="K345" i="9"/>
  <c r="K346" i="9"/>
  <c r="K347" i="9"/>
  <c r="K348" i="9"/>
  <c r="K349" i="9"/>
  <c r="K350" i="9"/>
  <c r="K351" i="9"/>
  <c r="K352" i="9"/>
  <c r="K353" i="9"/>
  <c r="K354" i="9"/>
  <c r="K355" i="9"/>
  <c r="K356" i="9"/>
  <c r="K357" i="9"/>
  <c r="K358" i="9"/>
  <c r="K359" i="9"/>
  <c r="K360" i="9"/>
  <c r="K361" i="9"/>
  <c r="K362" i="9"/>
  <c r="K363" i="9"/>
  <c r="K364" i="9"/>
  <c r="K365" i="9"/>
  <c r="K366" i="9"/>
  <c r="K367" i="9"/>
  <c r="K368" i="9"/>
  <c r="K369" i="9"/>
  <c r="K370" i="9"/>
  <c r="K371" i="9"/>
  <c r="K372" i="9"/>
  <c r="K373" i="9"/>
  <c r="K374" i="9"/>
  <c r="K375" i="9"/>
  <c r="K376" i="9"/>
  <c r="K377" i="9"/>
  <c r="K378" i="9"/>
  <c r="K379" i="9"/>
  <c r="K380" i="9"/>
  <c r="K381" i="9"/>
  <c r="K382" i="9"/>
  <c r="K383" i="9"/>
  <c r="K384" i="9"/>
  <c r="K385" i="9"/>
  <c r="K386" i="9"/>
  <c r="K387" i="9"/>
  <c r="K388" i="9"/>
  <c r="K389" i="9"/>
  <c r="K390" i="9"/>
  <c r="K391" i="9"/>
  <c r="K392" i="9"/>
  <c r="K393" i="9"/>
  <c r="K394" i="9"/>
  <c r="K395" i="9"/>
  <c r="K396" i="9"/>
  <c r="K397" i="9"/>
  <c r="K398" i="9"/>
  <c r="K399" i="9"/>
  <c r="K400" i="9"/>
  <c r="K401" i="9"/>
  <c r="K402" i="9"/>
  <c r="K403" i="9"/>
  <c r="K404" i="9"/>
  <c r="K405" i="9"/>
  <c r="K406" i="9"/>
  <c r="K407" i="9"/>
  <c r="K408" i="9"/>
  <c r="K409" i="9"/>
  <c r="K410" i="9"/>
  <c r="K411" i="9"/>
  <c r="K412" i="9"/>
  <c r="K413" i="9"/>
  <c r="K414" i="9"/>
  <c r="K415" i="9"/>
  <c r="K416" i="9"/>
  <c r="K417" i="9"/>
  <c r="K418" i="9"/>
  <c r="K419" i="9"/>
  <c r="K420" i="9"/>
  <c r="K421" i="9"/>
  <c r="K422" i="9"/>
  <c r="K423" i="9"/>
  <c r="K424" i="9"/>
  <c r="K425" i="9"/>
  <c r="K426" i="9"/>
  <c r="K427" i="9"/>
  <c r="K428" i="9"/>
  <c r="K429" i="9"/>
  <c r="K430" i="9"/>
  <c r="K431" i="9"/>
  <c r="K432" i="9"/>
  <c r="K433" i="9"/>
  <c r="K434" i="9"/>
  <c r="K435" i="9"/>
  <c r="K436" i="9"/>
  <c r="K437" i="9"/>
  <c r="K438" i="9"/>
  <c r="K439" i="9"/>
  <c r="K440" i="9"/>
  <c r="K441" i="9"/>
  <c r="K442" i="9"/>
  <c r="K443" i="9"/>
  <c r="K444" i="9"/>
  <c r="K445" i="9"/>
  <c r="K446" i="9"/>
  <c r="K447" i="9"/>
  <c r="K448" i="9"/>
  <c r="K449" i="9"/>
  <c r="K450" i="9"/>
  <c r="K451" i="9"/>
  <c r="K452" i="9"/>
  <c r="K453" i="9"/>
  <c r="K454" i="9"/>
  <c r="K455" i="9"/>
  <c r="K456" i="9"/>
  <c r="K457" i="9"/>
  <c r="K458" i="9"/>
  <c r="K459" i="9"/>
  <c r="K460" i="9"/>
  <c r="K461" i="9"/>
  <c r="K462" i="9"/>
  <c r="K463" i="9"/>
  <c r="K464" i="9"/>
  <c r="K465" i="9"/>
  <c r="K466" i="9"/>
  <c r="K467" i="9"/>
  <c r="K468" i="9"/>
  <c r="K469" i="9"/>
  <c r="K470" i="9"/>
  <c r="K471" i="9"/>
  <c r="K472" i="9"/>
  <c r="K473" i="9"/>
  <c r="K474" i="9"/>
  <c r="K475" i="9"/>
  <c r="K476" i="9"/>
  <c r="K477" i="9"/>
  <c r="K478" i="9"/>
  <c r="K479" i="9"/>
  <c r="K480" i="9"/>
  <c r="K481" i="9"/>
  <c r="K482" i="9"/>
  <c r="K483" i="9"/>
  <c r="K484" i="9"/>
  <c r="K485" i="9"/>
  <c r="K486" i="9"/>
  <c r="K487" i="9"/>
  <c r="K488" i="9"/>
  <c r="K489" i="9"/>
  <c r="K490" i="9"/>
  <c r="K491" i="9"/>
  <c r="K492" i="9"/>
  <c r="K493" i="9"/>
  <c r="K494" i="9"/>
  <c r="K495" i="9"/>
  <c r="K496" i="9"/>
  <c r="K497" i="9"/>
  <c r="K498" i="9"/>
  <c r="K499" i="9"/>
  <c r="K500" i="9"/>
  <c r="K501" i="9"/>
  <c r="K502" i="9"/>
  <c r="K503" i="9"/>
  <c r="K504" i="9"/>
  <c r="K505" i="9"/>
  <c r="K506" i="9"/>
  <c r="K507" i="9"/>
  <c r="K508" i="9"/>
  <c r="K509" i="9"/>
  <c r="K510" i="9"/>
  <c r="K511" i="9"/>
  <c r="K512" i="9"/>
  <c r="K513" i="9"/>
  <c r="K514" i="9"/>
  <c r="K515" i="9"/>
  <c r="K516" i="9"/>
  <c r="K517" i="9"/>
  <c r="K518" i="9"/>
  <c r="K519" i="9"/>
  <c r="K520" i="9"/>
  <c r="K521" i="9"/>
  <c r="K522" i="9"/>
  <c r="K523" i="9"/>
  <c r="K524" i="9"/>
  <c r="K525" i="9"/>
  <c r="K526" i="9"/>
  <c r="K527" i="9"/>
  <c r="K528" i="9"/>
  <c r="K529" i="9"/>
  <c r="K530" i="9"/>
  <c r="K531" i="9"/>
  <c r="K532" i="9"/>
  <c r="K533" i="9"/>
  <c r="K534" i="9"/>
  <c r="K535" i="9"/>
  <c r="K536" i="9"/>
  <c r="K537" i="9"/>
  <c r="K538" i="9"/>
  <c r="K539" i="9"/>
  <c r="K540" i="9"/>
  <c r="K541" i="9"/>
  <c r="K542" i="9"/>
  <c r="K543" i="9"/>
  <c r="K544" i="9"/>
  <c r="K545" i="9"/>
  <c r="K546" i="9"/>
  <c r="K547" i="9"/>
  <c r="K548" i="9"/>
  <c r="K549" i="9"/>
  <c r="K550" i="9"/>
  <c r="K551" i="9"/>
  <c r="K552" i="9"/>
  <c r="K553" i="9"/>
  <c r="K554" i="9"/>
  <c r="K555" i="9"/>
  <c r="K556" i="9"/>
  <c r="K557" i="9"/>
  <c r="K558" i="9"/>
  <c r="K559" i="9"/>
  <c r="K560" i="9"/>
  <c r="K561" i="9"/>
  <c r="K562" i="9"/>
  <c r="K563" i="9"/>
  <c r="K564" i="9"/>
  <c r="K565" i="9"/>
  <c r="K566" i="9"/>
  <c r="K567" i="9"/>
  <c r="K568" i="9"/>
  <c r="K569" i="9"/>
  <c r="K570" i="9"/>
  <c r="K571" i="9"/>
  <c r="K572" i="9"/>
  <c r="K573" i="9"/>
  <c r="K574" i="9"/>
  <c r="K575" i="9"/>
  <c r="K576" i="9"/>
  <c r="K577" i="9"/>
  <c r="K578" i="9"/>
  <c r="K579" i="9"/>
  <c r="K580" i="9"/>
  <c r="K581" i="9"/>
  <c r="K582" i="9"/>
  <c r="K583" i="9"/>
  <c r="K584" i="9"/>
  <c r="K585" i="9"/>
  <c r="K586" i="9"/>
  <c r="K587" i="9"/>
  <c r="K588" i="9"/>
  <c r="K589" i="9"/>
  <c r="K590" i="9"/>
  <c r="K591" i="9"/>
  <c r="K592" i="9"/>
  <c r="K593" i="9"/>
  <c r="K594" i="9"/>
  <c r="K595" i="9"/>
  <c r="K596" i="9"/>
  <c r="K597" i="9"/>
  <c r="K598" i="9"/>
  <c r="K599" i="9"/>
  <c r="K600" i="9"/>
  <c r="K601" i="9"/>
  <c r="K602" i="9"/>
  <c r="K603" i="9"/>
  <c r="K604" i="9"/>
  <c r="K605" i="9"/>
  <c r="K606" i="9"/>
  <c r="K607" i="9"/>
  <c r="K608" i="9"/>
  <c r="K609" i="9"/>
  <c r="K610" i="9"/>
  <c r="K611" i="9"/>
  <c r="K612" i="9"/>
  <c r="K613" i="9"/>
  <c r="K614" i="9"/>
  <c r="K615" i="9"/>
  <c r="K616" i="9"/>
  <c r="K617" i="9"/>
  <c r="K618" i="9"/>
  <c r="K619" i="9"/>
  <c r="K620" i="9"/>
  <c r="K621" i="9"/>
  <c r="K622" i="9"/>
  <c r="K623" i="9"/>
  <c r="K624" i="9"/>
  <c r="K625" i="9"/>
  <c r="K626" i="9"/>
  <c r="K627" i="9"/>
  <c r="K628" i="9"/>
  <c r="K629" i="9"/>
  <c r="K630" i="9"/>
  <c r="K631" i="9"/>
  <c r="K632" i="9"/>
  <c r="K633" i="9"/>
  <c r="K634" i="9"/>
  <c r="K635" i="9"/>
  <c r="K636" i="9"/>
  <c r="K637" i="9"/>
  <c r="K638" i="9"/>
  <c r="K639" i="9"/>
  <c r="K640" i="9"/>
  <c r="K641" i="9"/>
  <c r="K642" i="9"/>
  <c r="K643" i="9"/>
  <c r="K644" i="9"/>
  <c r="K645" i="9"/>
  <c r="K646" i="9"/>
  <c r="K647" i="9"/>
  <c r="K648" i="9"/>
  <c r="K649" i="9"/>
  <c r="K650" i="9"/>
  <c r="K651" i="9"/>
  <c r="K652" i="9"/>
  <c r="K653" i="9"/>
  <c r="K654" i="9"/>
  <c r="K655" i="9"/>
  <c r="K656" i="9"/>
  <c r="K657" i="9"/>
  <c r="K658" i="9"/>
  <c r="K659" i="9"/>
  <c r="K660" i="9"/>
  <c r="K661" i="9"/>
  <c r="K662" i="9"/>
  <c r="K663" i="9"/>
  <c r="K664" i="9"/>
  <c r="K665" i="9"/>
  <c r="K666" i="9"/>
  <c r="K667" i="9"/>
  <c r="K668" i="9"/>
  <c r="K669" i="9"/>
  <c r="K670" i="9"/>
  <c r="K671" i="9"/>
  <c r="K672" i="9"/>
  <c r="K673" i="9"/>
  <c r="K674" i="9"/>
  <c r="K675" i="9"/>
  <c r="K676" i="9"/>
  <c r="K677" i="9"/>
  <c r="K678" i="9"/>
  <c r="K679" i="9"/>
  <c r="K680" i="9"/>
  <c r="K681" i="9"/>
  <c r="K682" i="9"/>
  <c r="K683" i="9"/>
  <c r="K684" i="9"/>
  <c r="K685" i="9"/>
  <c r="K686" i="9"/>
  <c r="K687" i="9"/>
  <c r="K688" i="9"/>
  <c r="K689" i="9"/>
  <c r="K690" i="9"/>
  <c r="K691" i="9"/>
  <c r="K692" i="9"/>
  <c r="K693" i="9"/>
  <c r="K694" i="9"/>
  <c r="K695" i="9"/>
  <c r="K696" i="9"/>
  <c r="K697" i="9"/>
  <c r="K698" i="9"/>
  <c r="K699" i="9"/>
  <c r="K700" i="9"/>
  <c r="K701" i="9"/>
  <c r="K702" i="9"/>
  <c r="K703" i="9"/>
  <c r="K704" i="9"/>
  <c r="K705" i="9"/>
  <c r="K706" i="9"/>
  <c r="K707" i="9"/>
  <c r="K708" i="9"/>
  <c r="K709" i="9"/>
  <c r="K710" i="9"/>
  <c r="K711" i="9"/>
  <c r="K712" i="9"/>
  <c r="K713" i="9"/>
  <c r="K714" i="9"/>
  <c r="K715" i="9"/>
  <c r="K716" i="9"/>
  <c r="K717" i="9"/>
  <c r="K718" i="9"/>
  <c r="K719" i="9"/>
  <c r="K720" i="9"/>
  <c r="K721" i="9"/>
  <c r="K722" i="9"/>
  <c r="K723" i="9"/>
  <c r="K724" i="9"/>
  <c r="K725" i="9"/>
  <c r="K726" i="9"/>
  <c r="K727" i="9"/>
  <c r="K728" i="9"/>
  <c r="K729" i="9"/>
  <c r="K730" i="9"/>
  <c r="K731" i="9"/>
  <c r="K732" i="9"/>
  <c r="K733" i="9"/>
  <c r="K734" i="9"/>
  <c r="K735" i="9"/>
  <c r="K736" i="9"/>
  <c r="K737" i="9"/>
  <c r="K738" i="9"/>
  <c r="K739" i="9"/>
  <c r="K740" i="9"/>
  <c r="K741" i="9"/>
  <c r="K742" i="9"/>
  <c r="K743" i="9"/>
  <c r="K744" i="9"/>
  <c r="K745" i="9"/>
  <c r="K746" i="9"/>
  <c r="K747" i="9"/>
  <c r="K748" i="9"/>
  <c r="K749" i="9"/>
  <c r="K750" i="9"/>
  <c r="K751" i="9"/>
  <c r="K752" i="9"/>
  <c r="K753" i="9"/>
  <c r="K754" i="9"/>
  <c r="K755" i="9"/>
  <c r="K756" i="9"/>
  <c r="K757" i="9"/>
  <c r="K758" i="9"/>
  <c r="K759" i="9"/>
  <c r="K760" i="9"/>
  <c r="K761" i="9"/>
  <c r="K762" i="9"/>
  <c r="K763" i="9"/>
  <c r="K764" i="9"/>
  <c r="K765" i="9"/>
  <c r="K766" i="9"/>
  <c r="K767" i="9"/>
  <c r="K768" i="9"/>
  <c r="K769" i="9"/>
  <c r="K770" i="9"/>
  <c r="K771" i="9"/>
  <c r="K772" i="9"/>
  <c r="K773" i="9"/>
  <c r="K774" i="9"/>
  <c r="K775" i="9"/>
  <c r="K776" i="9"/>
  <c r="K777" i="9"/>
  <c r="K778" i="9"/>
  <c r="K779" i="9"/>
  <c r="K780" i="9"/>
  <c r="K781" i="9"/>
  <c r="K782" i="9"/>
  <c r="K783" i="9"/>
  <c r="K784" i="9"/>
  <c r="K785" i="9"/>
  <c r="K786" i="9"/>
  <c r="K787" i="9"/>
  <c r="K788" i="9"/>
  <c r="K789" i="9"/>
  <c r="K790" i="9"/>
  <c r="K791" i="9"/>
  <c r="K792" i="9"/>
  <c r="K793" i="9"/>
  <c r="K794" i="9"/>
  <c r="K795" i="9"/>
  <c r="K796" i="9"/>
  <c r="K797" i="9"/>
  <c r="K798" i="9"/>
  <c r="K799" i="9"/>
  <c r="K800" i="9"/>
  <c r="K801" i="9"/>
  <c r="K802" i="9"/>
  <c r="K803" i="9"/>
  <c r="K804" i="9"/>
  <c r="K805" i="9"/>
  <c r="K806" i="9"/>
  <c r="K807" i="9"/>
  <c r="K808" i="9"/>
  <c r="K809" i="9"/>
  <c r="K810" i="9"/>
  <c r="K811" i="9"/>
  <c r="K812" i="9"/>
  <c r="K813" i="9"/>
  <c r="K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I206" i="9"/>
  <c r="I207" i="9"/>
  <c r="I208" i="9"/>
  <c r="I209" i="9"/>
  <c r="I210" i="9"/>
  <c r="I211" i="9"/>
  <c r="I212" i="9"/>
  <c r="I213" i="9"/>
  <c r="I214" i="9"/>
  <c r="I215" i="9"/>
  <c r="I216" i="9"/>
  <c r="I217" i="9"/>
  <c r="I218" i="9"/>
  <c r="I219" i="9"/>
  <c r="I220" i="9"/>
  <c r="I221" i="9"/>
  <c r="I222" i="9"/>
  <c r="I223" i="9"/>
  <c r="I224" i="9"/>
  <c r="I225" i="9"/>
  <c r="I226" i="9"/>
  <c r="I227" i="9"/>
  <c r="I228" i="9"/>
  <c r="I229" i="9"/>
  <c r="I230" i="9"/>
  <c r="I231" i="9"/>
  <c r="I232" i="9"/>
  <c r="I233" i="9"/>
  <c r="I234" i="9"/>
  <c r="I235" i="9"/>
  <c r="I236" i="9"/>
  <c r="I237" i="9"/>
  <c r="I238" i="9"/>
  <c r="I239" i="9"/>
  <c r="I240" i="9"/>
  <c r="I241" i="9"/>
  <c r="I242" i="9"/>
  <c r="I243" i="9"/>
  <c r="I244" i="9"/>
  <c r="I245" i="9"/>
  <c r="I246" i="9"/>
  <c r="I247" i="9"/>
  <c r="I248" i="9"/>
  <c r="I249" i="9"/>
  <c r="I250" i="9"/>
  <c r="I251" i="9"/>
  <c r="I252" i="9"/>
  <c r="I253" i="9"/>
  <c r="I254" i="9"/>
  <c r="I255" i="9"/>
  <c r="I256" i="9"/>
  <c r="I257" i="9"/>
  <c r="I258" i="9"/>
  <c r="I259" i="9"/>
  <c r="I260" i="9"/>
  <c r="I261" i="9"/>
  <c r="I262" i="9"/>
  <c r="I263" i="9"/>
  <c r="I264" i="9"/>
  <c r="I265" i="9"/>
  <c r="I266" i="9"/>
  <c r="I267" i="9"/>
  <c r="I268" i="9"/>
  <c r="I269" i="9"/>
  <c r="I270" i="9"/>
  <c r="I271" i="9"/>
  <c r="I272" i="9"/>
  <c r="I273" i="9"/>
  <c r="I274" i="9"/>
  <c r="I275" i="9"/>
  <c r="I276" i="9"/>
  <c r="I277" i="9"/>
  <c r="I278" i="9"/>
  <c r="I279" i="9"/>
  <c r="I280" i="9"/>
  <c r="I281" i="9"/>
  <c r="I282" i="9"/>
  <c r="I283" i="9"/>
  <c r="I284" i="9"/>
  <c r="I285" i="9"/>
  <c r="I286" i="9"/>
  <c r="I287" i="9"/>
  <c r="I288" i="9"/>
  <c r="I289" i="9"/>
  <c r="I290" i="9"/>
  <c r="I291" i="9"/>
  <c r="I292" i="9"/>
  <c r="I293" i="9"/>
  <c r="I294" i="9"/>
  <c r="I295" i="9"/>
  <c r="I296" i="9"/>
  <c r="I297" i="9"/>
  <c r="I298" i="9"/>
  <c r="I299" i="9"/>
  <c r="I300" i="9"/>
  <c r="I301" i="9"/>
  <c r="I302" i="9"/>
  <c r="I303" i="9"/>
  <c r="I304" i="9"/>
  <c r="I305" i="9"/>
  <c r="I306" i="9"/>
  <c r="I307" i="9"/>
  <c r="I308" i="9"/>
  <c r="I309" i="9"/>
  <c r="I310" i="9"/>
  <c r="I311" i="9"/>
  <c r="I312" i="9"/>
  <c r="I313" i="9"/>
  <c r="I314" i="9"/>
  <c r="I315" i="9"/>
  <c r="I316" i="9"/>
  <c r="I317" i="9"/>
  <c r="I318" i="9"/>
  <c r="I319" i="9"/>
  <c r="I320" i="9"/>
  <c r="I321" i="9"/>
  <c r="I322" i="9"/>
  <c r="I323" i="9"/>
  <c r="I324" i="9"/>
  <c r="I325" i="9"/>
  <c r="I326" i="9"/>
  <c r="I327" i="9"/>
  <c r="I328" i="9"/>
  <c r="I329" i="9"/>
  <c r="I330" i="9"/>
  <c r="I331" i="9"/>
  <c r="I332" i="9"/>
  <c r="I333" i="9"/>
  <c r="I334" i="9"/>
  <c r="I335" i="9"/>
  <c r="I336" i="9"/>
  <c r="I337" i="9"/>
  <c r="I338" i="9"/>
  <c r="I339" i="9"/>
  <c r="I340" i="9"/>
  <c r="I341" i="9"/>
  <c r="I342" i="9"/>
  <c r="I343" i="9"/>
  <c r="I344" i="9"/>
  <c r="I345" i="9"/>
  <c r="I346" i="9"/>
  <c r="I347" i="9"/>
  <c r="I348" i="9"/>
  <c r="I349" i="9"/>
  <c r="I350" i="9"/>
  <c r="I351" i="9"/>
  <c r="I352" i="9"/>
  <c r="I353" i="9"/>
  <c r="I354" i="9"/>
  <c r="I355" i="9"/>
  <c r="I356" i="9"/>
  <c r="I357" i="9"/>
  <c r="I358" i="9"/>
  <c r="I359" i="9"/>
  <c r="I360" i="9"/>
  <c r="I361" i="9"/>
  <c r="I362" i="9"/>
  <c r="I363" i="9"/>
  <c r="I364" i="9"/>
  <c r="I365" i="9"/>
  <c r="I366" i="9"/>
  <c r="I367" i="9"/>
  <c r="I368" i="9"/>
  <c r="I369" i="9"/>
  <c r="I370" i="9"/>
  <c r="I371" i="9"/>
  <c r="I372" i="9"/>
  <c r="I373" i="9"/>
  <c r="I374" i="9"/>
  <c r="I375" i="9"/>
  <c r="I376" i="9"/>
  <c r="I377" i="9"/>
  <c r="I378" i="9"/>
  <c r="I379" i="9"/>
  <c r="I380" i="9"/>
  <c r="I381" i="9"/>
  <c r="I382" i="9"/>
  <c r="I383" i="9"/>
  <c r="I384" i="9"/>
  <c r="I385" i="9"/>
  <c r="I386" i="9"/>
  <c r="I387" i="9"/>
  <c r="I388" i="9"/>
  <c r="I389" i="9"/>
  <c r="I390" i="9"/>
  <c r="I391" i="9"/>
  <c r="I392" i="9"/>
  <c r="I393" i="9"/>
  <c r="I394" i="9"/>
  <c r="I395" i="9"/>
  <c r="I396" i="9"/>
  <c r="I397" i="9"/>
  <c r="I398" i="9"/>
  <c r="I399" i="9"/>
  <c r="I400" i="9"/>
  <c r="I401" i="9"/>
  <c r="I402" i="9"/>
  <c r="I403" i="9"/>
  <c r="I404" i="9"/>
  <c r="I405" i="9"/>
  <c r="I406" i="9"/>
  <c r="I407" i="9"/>
  <c r="I408" i="9"/>
  <c r="I409" i="9"/>
  <c r="I410" i="9"/>
  <c r="I411" i="9"/>
  <c r="I412" i="9"/>
  <c r="I413" i="9"/>
  <c r="I414" i="9"/>
  <c r="I415" i="9"/>
  <c r="I416" i="9"/>
  <c r="I417" i="9"/>
  <c r="I418" i="9"/>
  <c r="I419" i="9"/>
  <c r="I420" i="9"/>
  <c r="I421" i="9"/>
  <c r="I422" i="9"/>
  <c r="I423" i="9"/>
  <c r="I424" i="9"/>
  <c r="I425" i="9"/>
  <c r="I426" i="9"/>
  <c r="I427" i="9"/>
  <c r="I428" i="9"/>
  <c r="I429" i="9"/>
  <c r="I430" i="9"/>
  <c r="I431" i="9"/>
  <c r="I432" i="9"/>
  <c r="I433" i="9"/>
  <c r="I434" i="9"/>
  <c r="I435" i="9"/>
  <c r="I436" i="9"/>
  <c r="I437" i="9"/>
  <c r="I438" i="9"/>
  <c r="I439" i="9"/>
  <c r="I440" i="9"/>
  <c r="I441" i="9"/>
  <c r="I442" i="9"/>
  <c r="I443" i="9"/>
  <c r="I444" i="9"/>
  <c r="I445" i="9"/>
  <c r="I446" i="9"/>
  <c r="I447" i="9"/>
  <c r="I448" i="9"/>
  <c r="I449" i="9"/>
  <c r="I450" i="9"/>
  <c r="I451" i="9"/>
  <c r="I452" i="9"/>
  <c r="I453" i="9"/>
  <c r="I454" i="9"/>
  <c r="I455" i="9"/>
  <c r="I456" i="9"/>
  <c r="I457" i="9"/>
  <c r="I458" i="9"/>
  <c r="I459" i="9"/>
  <c r="I460" i="9"/>
  <c r="I461" i="9"/>
  <c r="I462" i="9"/>
  <c r="I463" i="9"/>
  <c r="I464" i="9"/>
  <c r="I465" i="9"/>
  <c r="I466" i="9"/>
  <c r="I467" i="9"/>
  <c r="I468" i="9"/>
  <c r="I469" i="9"/>
  <c r="I470" i="9"/>
  <c r="I471" i="9"/>
  <c r="I472" i="9"/>
  <c r="I473" i="9"/>
  <c r="I474" i="9"/>
  <c r="I475" i="9"/>
  <c r="I476" i="9"/>
  <c r="I477" i="9"/>
  <c r="I478" i="9"/>
  <c r="I479" i="9"/>
  <c r="I480" i="9"/>
  <c r="I481" i="9"/>
  <c r="I482" i="9"/>
  <c r="I483" i="9"/>
  <c r="I484" i="9"/>
  <c r="I485" i="9"/>
  <c r="I486" i="9"/>
  <c r="I487" i="9"/>
  <c r="I488" i="9"/>
  <c r="I489" i="9"/>
  <c r="I490" i="9"/>
  <c r="I491" i="9"/>
  <c r="I492" i="9"/>
  <c r="I493" i="9"/>
  <c r="I494" i="9"/>
  <c r="I495" i="9"/>
  <c r="I496" i="9"/>
  <c r="I497" i="9"/>
  <c r="I498" i="9"/>
  <c r="I499" i="9"/>
  <c r="I500" i="9"/>
  <c r="I501" i="9"/>
  <c r="I502" i="9"/>
  <c r="I503" i="9"/>
  <c r="I504" i="9"/>
  <c r="I505" i="9"/>
  <c r="I506" i="9"/>
  <c r="I507" i="9"/>
  <c r="I508" i="9"/>
  <c r="I509" i="9"/>
  <c r="I510" i="9"/>
  <c r="I511" i="9"/>
  <c r="I512" i="9"/>
  <c r="I513" i="9"/>
  <c r="I514" i="9"/>
  <c r="I515" i="9"/>
  <c r="I516" i="9"/>
  <c r="I517" i="9"/>
  <c r="I518" i="9"/>
  <c r="I519" i="9"/>
  <c r="I520" i="9"/>
  <c r="I521" i="9"/>
  <c r="I522" i="9"/>
  <c r="I523" i="9"/>
  <c r="I524" i="9"/>
  <c r="I525" i="9"/>
  <c r="I526" i="9"/>
  <c r="I527" i="9"/>
  <c r="I528" i="9"/>
  <c r="I529" i="9"/>
  <c r="I530" i="9"/>
  <c r="I531" i="9"/>
  <c r="I532" i="9"/>
  <c r="I533" i="9"/>
  <c r="I534" i="9"/>
  <c r="I535" i="9"/>
  <c r="I536" i="9"/>
  <c r="I537" i="9"/>
  <c r="I538" i="9"/>
  <c r="I539" i="9"/>
  <c r="I540" i="9"/>
  <c r="I541" i="9"/>
  <c r="I542" i="9"/>
  <c r="I543" i="9"/>
  <c r="I544" i="9"/>
  <c r="I545" i="9"/>
  <c r="I546" i="9"/>
  <c r="I547" i="9"/>
  <c r="I548" i="9"/>
  <c r="I549" i="9"/>
  <c r="I550" i="9"/>
  <c r="I551" i="9"/>
  <c r="I552" i="9"/>
  <c r="I553" i="9"/>
  <c r="I554" i="9"/>
  <c r="I555" i="9"/>
  <c r="I556" i="9"/>
  <c r="I557" i="9"/>
  <c r="I558" i="9"/>
  <c r="I559" i="9"/>
  <c r="I560" i="9"/>
  <c r="I561" i="9"/>
  <c r="I562" i="9"/>
  <c r="I563" i="9"/>
  <c r="I564" i="9"/>
  <c r="I565" i="9"/>
  <c r="I566" i="9"/>
  <c r="I567" i="9"/>
  <c r="I568" i="9"/>
  <c r="I569" i="9"/>
  <c r="I570" i="9"/>
  <c r="I571" i="9"/>
  <c r="I572" i="9"/>
  <c r="I573" i="9"/>
  <c r="I574" i="9"/>
  <c r="I575" i="9"/>
  <c r="I576" i="9"/>
  <c r="I577" i="9"/>
  <c r="I578" i="9"/>
  <c r="I579" i="9"/>
  <c r="I580" i="9"/>
  <c r="I581" i="9"/>
  <c r="I582" i="9"/>
  <c r="I583" i="9"/>
  <c r="I584" i="9"/>
  <c r="I585" i="9"/>
  <c r="I586" i="9"/>
  <c r="I587" i="9"/>
  <c r="I588" i="9"/>
  <c r="I589" i="9"/>
  <c r="I590" i="9"/>
  <c r="I591" i="9"/>
  <c r="I592" i="9"/>
  <c r="I593" i="9"/>
  <c r="I594" i="9"/>
  <c r="I595" i="9"/>
  <c r="I596" i="9"/>
  <c r="I597" i="9"/>
  <c r="I598" i="9"/>
  <c r="I599" i="9"/>
  <c r="I600" i="9"/>
  <c r="I601" i="9"/>
  <c r="I602" i="9"/>
  <c r="I603" i="9"/>
  <c r="I604" i="9"/>
  <c r="I605" i="9"/>
  <c r="I606" i="9"/>
  <c r="I607" i="9"/>
  <c r="I608" i="9"/>
  <c r="I609" i="9"/>
  <c r="I610" i="9"/>
  <c r="I611" i="9"/>
  <c r="I612" i="9"/>
  <c r="I613" i="9"/>
  <c r="I614" i="9"/>
  <c r="I615" i="9"/>
  <c r="I616" i="9"/>
  <c r="I617" i="9"/>
  <c r="I618" i="9"/>
  <c r="I619" i="9"/>
  <c r="I620" i="9"/>
  <c r="I621" i="9"/>
  <c r="I622" i="9"/>
  <c r="I623" i="9"/>
  <c r="I624" i="9"/>
  <c r="I625" i="9"/>
  <c r="I626" i="9"/>
  <c r="I627" i="9"/>
  <c r="I628" i="9"/>
  <c r="I629" i="9"/>
  <c r="I630" i="9"/>
  <c r="I631" i="9"/>
  <c r="I632" i="9"/>
  <c r="I633" i="9"/>
  <c r="I634" i="9"/>
  <c r="I635" i="9"/>
  <c r="I636" i="9"/>
  <c r="I637" i="9"/>
  <c r="I638" i="9"/>
  <c r="I639" i="9"/>
  <c r="I640" i="9"/>
  <c r="I641" i="9"/>
  <c r="I642" i="9"/>
  <c r="I643" i="9"/>
  <c r="I644" i="9"/>
  <c r="I645" i="9"/>
  <c r="I646" i="9"/>
  <c r="I647" i="9"/>
  <c r="I648" i="9"/>
  <c r="I649" i="9"/>
  <c r="I650" i="9"/>
  <c r="I651" i="9"/>
  <c r="I652" i="9"/>
  <c r="I653" i="9"/>
  <c r="I654" i="9"/>
  <c r="I655" i="9"/>
  <c r="I656" i="9"/>
  <c r="I657" i="9"/>
  <c r="I658" i="9"/>
  <c r="I659" i="9"/>
  <c r="I660" i="9"/>
  <c r="I661" i="9"/>
  <c r="I662" i="9"/>
  <c r="I663" i="9"/>
  <c r="I664" i="9"/>
  <c r="I665" i="9"/>
  <c r="I666" i="9"/>
  <c r="I667" i="9"/>
  <c r="I668" i="9"/>
  <c r="I669" i="9"/>
  <c r="I670" i="9"/>
  <c r="I671" i="9"/>
  <c r="I672" i="9"/>
  <c r="I673" i="9"/>
  <c r="I674" i="9"/>
  <c r="I675" i="9"/>
  <c r="I676" i="9"/>
  <c r="I677" i="9"/>
  <c r="I678" i="9"/>
  <c r="I679" i="9"/>
  <c r="I680" i="9"/>
  <c r="I681" i="9"/>
  <c r="I682" i="9"/>
  <c r="I683" i="9"/>
  <c r="I684" i="9"/>
  <c r="I685" i="9"/>
  <c r="I686" i="9"/>
  <c r="I687" i="9"/>
  <c r="I688" i="9"/>
  <c r="I689" i="9"/>
  <c r="I690" i="9"/>
  <c r="I691" i="9"/>
  <c r="I692" i="9"/>
  <c r="I693" i="9"/>
  <c r="I694" i="9"/>
  <c r="I695" i="9"/>
  <c r="I696" i="9"/>
  <c r="I697" i="9"/>
  <c r="I698" i="9"/>
  <c r="I699" i="9"/>
  <c r="I700" i="9"/>
  <c r="I701" i="9"/>
  <c r="I702" i="9"/>
  <c r="I703" i="9"/>
  <c r="I704" i="9"/>
  <c r="I705" i="9"/>
  <c r="I706" i="9"/>
  <c r="I707" i="9"/>
  <c r="I708" i="9"/>
  <c r="I709" i="9"/>
  <c r="I710" i="9"/>
  <c r="I711" i="9"/>
  <c r="I712" i="9"/>
  <c r="I713" i="9"/>
  <c r="I714" i="9"/>
  <c r="I715" i="9"/>
  <c r="I716" i="9"/>
  <c r="I717" i="9"/>
  <c r="I718" i="9"/>
  <c r="I719" i="9"/>
  <c r="I720" i="9"/>
  <c r="I721" i="9"/>
  <c r="I722" i="9"/>
  <c r="I723" i="9"/>
  <c r="I724" i="9"/>
  <c r="I725" i="9"/>
  <c r="I726" i="9"/>
  <c r="I727" i="9"/>
  <c r="I728" i="9"/>
  <c r="I729" i="9"/>
  <c r="I730" i="9"/>
  <c r="I731" i="9"/>
  <c r="I732" i="9"/>
  <c r="I733" i="9"/>
  <c r="I734" i="9"/>
  <c r="I735" i="9"/>
  <c r="I736" i="9"/>
  <c r="I737" i="9"/>
  <c r="I738" i="9"/>
  <c r="I739" i="9"/>
  <c r="I740" i="9"/>
  <c r="I741" i="9"/>
  <c r="I742" i="9"/>
  <c r="I743" i="9"/>
  <c r="I744" i="9"/>
  <c r="I745" i="9"/>
  <c r="I746" i="9"/>
  <c r="I747" i="9"/>
  <c r="I748" i="9"/>
  <c r="I749" i="9"/>
  <c r="I750" i="9"/>
  <c r="I751" i="9"/>
  <c r="I752" i="9"/>
  <c r="I753" i="9"/>
  <c r="I754" i="9"/>
  <c r="I755" i="9"/>
  <c r="I756" i="9"/>
  <c r="I757" i="9"/>
  <c r="I758" i="9"/>
  <c r="I759" i="9"/>
  <c r="I760" i="9"/>
  <c r="I761" i="9"/>
  <c r="I762" i="9"/>
  <c r="I763" i="9"/>
  <c r="I764" i="9"/>
  <c r="I765" i="9"/>
  <c r="I766" i="9"/>
  <c r="I767" i="9"/>
  <c r="I768" i="9"/>
  <c r="I769" i="9"/>
  <c r="I770" i="9"/>
  <c r="I771" i="9"/>
  <c r="I772" i="9"/>
  <c r="I773" i="9"/>
  <c r="I774" i="9"/>
  <c r="I775" i="9"/>
  <c r="I776" i="9"/>
  <c r="I777" i="9"/>
  <c r="I778" i="9"/>
  <c r="I779" i="9"/>
  <c r="I780" i="9"/>
  <c r="I781" i="9"/>
  <c r="I782" i="9"/>
  <c r="I783" i="9"/>
  <c r="I784" i="9"/>
  <c r="I785" i="9"/>
  <c r="I786" i="9"/>
  <c r="I787" i="9"/>
  <c r="I788" i="9"/>
  <c r="I789" i="9"/>
  <c r="I790" i="9"/>
  <c r="I791" i="9"/>
  <c r="I792" i="9"/>
  <c r="I793" i="9"/>
  <c r="I794" i="9"/>
  <c r="I795" i="9"/>
  <c r="I796" i="9"/>
  <c r="I797" i="9"/>
  <c r="I798" i="9"/>
  <c r="I799" i="9"/>
  <c r="I800" i="9"/>
  <c r="I801" i="9"/>
  <c r="I802" i="9"/>
  <c r="I803" i="9"/>
  <c r="I804" i="9"/>
  <c r="I805" i="9"/>
  <c r="I806" i="9"/>
  <c r="I807" i="9"/>
  <c r="I808" i="9"/>
  <c r="I809" i="9"/>
  <c r="I810" i="9"/>
  <c r="I811" i="9"/>
  <c r="I812" i="9"/>
  <c r="I813" i="9"/>
  <c r="I9" i="9"/>
  <c r="L12" i="7"/>
  <c r="L13" i="7"/>
  <c r="L14" i="7"/>
  <c r="L15" i="7"/>
  <c r="L16" i="7"/>
  <c r="L17" i="7"/>
  <c r="J145" i="12"/>
  <c r="H123" i="9"/>
  <c r="G123" i="9"/>
  <c r="E123" i="9"/>
  <c r="D123" i="9"/>
  <c r="E767" i="9"/>
  <c r="D767" i="9"/>
  <c r="E226" i="9"/>
  <c r="D226" i="9"/>
  <c r="H66" i="9"/>
  <c r="G66" i="9"/>
  <c r="E66" i="9"/>
  <c r="D66" i="9"/>
  <c r="H414" i="9"/>
  <c r="G414" i="9"/>
  <c r="E414" i="9"/>
  <c r="D414" i="9"/>
  <c r="H623" i="9"/>
  <c r="G623" i="9"/>
  <c r="E623" i="9"/>
  <c r="D623" i="9"/>
  <c r="E468" i="9"/>
  <c r="D468" i="9"/>
  <c r="H512" i="9"/>
  <c r="G512" i="9"/>
  <c r="E512" i="9"/>
  <c r="D512" i="9"/>
  <c r="H142" i="9"/>
  <c r="G142" i="9"/>
  <c r="E142" i="9"/>
  <c r="D142" i="9"/>
  <c r="E594" i="9"/>
  <c r="D594" i="9"/>
  <c r="E783" i="9"/>
  <c r="D783" i="9"/>
  <c r="H254" i="9"/>
  <c r="G254" i="9"/>
  <c r="E254" i="9"/>
  <c r="D254" i="9"/>
  <c r="H373" i="9"/>
  <c r="G373" i="9"/>
  <c r="E373" i="9"/>
  <c r="D373" i="9"/>
  <c r="H347" i="9"/>
  <c r="G347" i="9"/>
  <c r="E347" i="9"/>
  <c r="D347" i="9"/>
  <c r="H636" i="9"/>
  <c r="G636" i="9"/>
  <c r="E636" i="9"/>
  <c r="D636" i="9"/>
  <c r="H290" i="9"/>
  <c r="G290" i="9"/>
  <c r="E290" i="9"/>
  <c r="D290" i="9"/>
  <c r="H310" i="9"/>
  <c r="G310" i="9"/>
  <c r="E310" i="9"/>
  <c r="D310" i="9"/>
  <c r="H721" i="9"/>
  <c r="G721" i="9"/>
  <c r="E721" i="9"/>
  <c r="D721" i="9"/>
  <c r="H153" i="9"/>
  <c r="G153" i="9"/>
  <c r="E153" i="9"/>
  <c r="D153" i="9"/>
  <c r="H17" i="9"/>
  <c r="G17" i="9"/>
  <c r="E17" i="9"/>
  <c r="D17" i="9"/>
  <c r="E266" i="9"/>
  <c r="D266" i="9"/>
  <c r="E130" i="9"/>
  <c r="D130" i="9"/>
  <c r="E370" i="9"/>
  <c r="D370" i="9"/>
  <c r="H477" i="9"/>
  <c r="G477" i="9"/>
  <c r="E477" i="9"/>
  <c r="D477" i="9"/>
  <c r="H221" i="9"/>
  <c r="G221" i="9"/>
  <c r="E221" i="9"/>
  <c r="D221" i="9"/>
  <c r="H429" i="9"/>
  <c r="G429" i="9"/>
  <c r="E429" i="9"/>
  <c r="D429" i="9"/>
  <c r="H709" i="9"/>
  <c r="G709" i="9"/>
  <c r="E709" i="9"/>
  <c r="D709" i="9"/>
  <c r="E306" i="9"/>
  <c r="D306" i="9"/>
  <c r="E690" i="9"/>
  <c r="D690" i="9"/>
  <c r="E777" i="9"/>
  <c r="D777" i="9"/>
  <c r="H340" i="9"/>
  <c r="G340" i="9"/>
  <c r="E340" i="9"/>
  <c r="D340" i="9"/>
  <c r="E418" i="9"/>
  <c r="D418" i="9"/>
  <c r="E621" i="9"/>
  <c r="D621" i="9"/>
  <c r="H673" i="9"/>
  <c r="G673" i="9"/>
  <c r="E673" i="9"/>
  <c r="D673" i="9"/>
  <c r="E234" i="9"/>
  <c r="D234" i="9"/>
  <c r="H284" i="9"/>
  <c r="G284" i="9"/>
  <c r="E284" i="9"/>
  <c r="D284" i="9"/>
  <c r="E97" i="9"/>
  <c r="D97" i="9"/>
  <c r="H471" i="9"/>
  <c r="G471" i="9"/>
  <c r="E471" i="9"/>
  <c r="D471" i="9"/>
  <c r="E298" i="9"/>
  <c r="D298" i="9"/>
  <c r="H433" i="9"/>
  <c r="G433" i="9"/>
  <c r="E433" i="9"/>
  <c r="D433" i="9"/>
  <c r="H158" i="9"/>
  <c r="G158" i="9"/>
  <c r="E158" i="9"/>
  <c r="D158" i="9"/>
  <c r="E754" i="9"/>
  <c r="D754" i="9"/>
  <c r="E255" i="9"/>
  <c r="D255" i="9"/>
  <c r="H547" i="9"/>
  <c r="G547" i="9"/>
  <c r="E547" i="9"/>
  <c r="D547" i="9"/>
  <c r="E403" i="9"/>
  <c r="D403" i="9"/>
  <c r="H167" i="9"/>
  <c r="G167" i="9"/>
  <c r="E167" i="9"/>
  <c r="D167" i="9"/>
  <c r="E257" i="9"/>
  <c r="D257" i="9"/>
  <c r="H393" i="9"/>
  <c r="G393" i="9"/>
  <c r="E393" i="9"/>
  <c r="D393" i="9"/>
  <c r="E459" i="9"/>
  <c r="D459" i="9"/>
  <c r="E170" i="9"/>
  <c r="D170" i="9"/>
  <c r="E72" i="9"/>
  <c r="D72" i="9"/>
  <c r="E488" i="9"/>
  <c r="D488" i="9"/>
  <c r="H798" i="9"/>
  <c r="G798" i="9"/>
  <c r="E798" i="9"/>
  <c r="D798" i="9"/>
  <c r="E346" i="9"/>
  <c r="D346" i="9"/>
  <c r="H529" i="9"/>
  <c r="G529" i="9"/>
  <c r="E529" i="9"/>
  <c r="D529" i="9"/>
  <c r="H614" i="9"/>
  <c r="G614" i="9"/>
  <c r="E614" i="9"/>
  <c r="D614" i="9"/>
  <c r="H325" i="9"/>
  <c r="G325" i="9"/>
  <c r="E325" i="9"/>
  <c r="D325" i="9"/>
  <c r="H745" i="9"/>
  <c r="G745" i="9"/>
  <c r="E745" i="9"/>
  <c r="D745" i="9"/>
  <c r="E224" i="9"/>
  <c r="D224" i="9"/>
  <c r="E681" i="9"/>
  <c r="D681" i="9"/>
  <c r="E52" i="9"/>
  <c r="D52" i="9"/>
  <c r="E572" i="9"/>
  <c r="D572" i="9"/>
  <c r="H563" i="9"/>
  <c r="G563" i="9"/>
  <c r="E563" i="9"/>
  <c r="D563" i="9"/>
  <c r="H701" i="9"/>
  <c r="G701" i="9"/>
  <c r="E701" i="9"/>
  <c r="D701" i="9"/>
  <c r="H805" i="9"/>
  <c r="G805" i="9"/>
  <c r="E805" i="9"/>
  <c r="D805" i="9"/>
  <c r="E281" i="9"/>
  <c r="D281" i="9"/>
  <c r="E184" i="9"/>
  <c r="D184" i="9"/>
  <c r="E344" i="9"/>
  <c r="D344" i="9"/>
  <c r="E731" i="9"/>
  <c r="D731" i="9"/>
  <c r="E632" i="9"/>
  <c r="D632" i="9"/>
  <c r="E382" i="9"/>
  <c r="D382" i="9"/>
  <c r="H53" i="9"/>
  <c r="G53" i="9"/>
  <c r="E53" i="9"/>
  <c r="D53" i="9"/>
  <c r="E761" i="9"/>
  <c r="D761" i="9"/>
  <c r="E71" i="9"/>
  <c r="D71" i="9"/>
  <c r="E129" i="9"/>
  <c r="D129" i="9"/>
  <c r="H192" i="9"/>
  <c r="G192" i="9"/>
  <c r="E192" i="9"/>
  <c r="D192" i="9"/>
  <c r="H155" i="9"/>
  <c r="G155" i="9"/>
  <c r="E155" i="9"/>
  <c r="D155" i="9"/>
  <c r="H124" i="9"/>
  <c r="G124" i="9"/>
  <c r="E124" i="9"/>
  <c r="D124" i="9"/>
  <c r="E559" i="9"/>
  <c r="D559" i="9"/>
  <c r="H102" i="9"/>
  <c r="G102" i="9"/>
  <c r="E102" i="9"/>
  <c r="D102" i="9"/>
  <c r="H91" i="9"/>
  <c r="G91" i="9"/>
  <c r="E91" i="9"/>
  <c r="D91" i="9"/>
  <c r="H530" i="9"/>
  <c r="G530" i="9"/>
  <c r="E530" i="9"/>
  <c r="D530" i="9"/>
  <c r="H739" i="9"/>
  <c r="G739" i="9"/>
  <c r="E739" i="9"/>
  <c r="D739" i="9"/>
  <c r="E283" i="9"/>
  <c r="D283" i="9"/>
  <c r="H425" i="9"/>
  <c r="G425" i="9"/>
  <c r="E425" i="9"/>
  <c r="D425" i="9"/>
  <c r="E718" i="9"/>
  <c r="D718" i="9"/>
  <c r="E133" i="9"/>
  <c r="D133" i="9"/>
  <c r="E787" i="9"/>
  <c r="D787" i="9"/>
  <c r="E406" i="9"/>
  <c r="D406" i="9"/>
  <c r="H580" i="9"/>
  <c r="G580" i="9"/>
  <c r="E580" i="9"/>
  <c r="D580" i="9"/>
  <c r="H303" i="9"/>
  <c r="G303" i="9"/>
  <c r="E303" i="9"/>
  <c r="D303" i="9"/>
  <c r="E743" i="9"/>
  <c r="D743" i="9"/>
  <c r="E235" i="9"/>
  <c r="D235" i="9"/>
  <c r="H617" i="9"/>
  <c r="G617" i="9"/>
  <c r="E617" i="9"/>
  <c r="D617" i="9"/>
  <c r="H309" i="9"/>
  <c r="G309" i="9"/>
  <c r="E309" i="9"/>
  <c r="D309" i="9"/>
  <c r="E528" i="9"/>
  <c r="D528" i="9"/>
  <c r="H301" i="9"/>
  <c r="G301" i="9"/>
  <c r="E301" i="9"/>
  <c r="D301" i="9"/>
  <c r="E613" i="9"/>
  <c r="D613" i="9"/>
  <c r="E294" i="9"/>
  <c r="D294" i="9"/>
  <c r="H799" i="9"/>
  <c r="G799" i="9"/>
  <c r="E799" i="9"/>
  <c r="D799" i="9"/>
  <c r="E452" i="9"/>
  <c r="D452" i="9"/>
  <c r="E307" i="9"/>
  <c r="D307" i="9"/>
  <c r="E449" i="9"/>
  <c r="D449" i="9"/>
  <c r="E812" i="9"/>
  <c r="D812" i="9"/>
  <c r="E455" i="9"/>
  <c r="D455" i="9"/>
  <c r="H810" i="9"/>
  <c r="G810" i="9"/>
  <c r="E810" i="9"/>
  <c r="D810" i="9"/>
  <c r="E45" i="9"/>
  <c r="D45" i="9"/>
  <c r="H378" i="9"/>
  <c r="G378" i="9"/>
  <c r="E378" i="9"/>
  <c r="D378" i="9"/>
  <c r="E287" i="9"/>
  <c r="D287" i="9"/>
  <c r="H371" i="9"/>
  <c r="G371" i="9"/>
  <c r="E371" i="9"/>
  <c r="D371" i="9"/>
  <c r="H637" i="9"/>
  <c r="G637" i="9"/>
  <c r="E637" i="9"/>
  <c r="D637" i="9"/>
  <c r="H104" i="9"/>
  <c r="G104" i="9"/>
  <c r="E104" i="9"/>
  <c r="D104" i="9"/>
  <c r="E267" i="9"/>
  <c r="D267" i="9"/>
  <c r="E531" i="9"/>
  <c r="D531" i="9"/>
  <c r="E175" i="9"/>
  <c r="D175" i="9"/>
  <c r="E212" i="9"/>
  <c r="D212" i="9"/>
  <c r="E32" i="9"/>
  <c r="D32" i="9"/>
  <c r="H755" i="9"/>
  <c r="G755" i="9"/>
  <c r="E755" i="9"/>
  <c r="D755" i="9"/>
  <c r="H764" i="9"/>
  <c r="G764" i="9"/>
  <c r="E764" i="9"/>
  <c r="D764" i="9"/>
  <c r="E117" i="9"/>
  <c r="D117" i="9"/>
  <c r="H469" i="9"/>
  <c r="G469" i="9"/>
  <c r="E469" i="9"/>
  <c r="D469" i="9"/>
  <c r="E127" i="9"/>
  <c r="D127" i="9"/>
  <c r="E790" i="9"/>
  <c r="D790" i="9"/>
  <c r="E573" i="9"/>
  <c r="D573" i="9"/>
  <c r="H654" i="9"/>
  <c r="G654" i="9"/>
  <c r="E654" i="9"/>
  <c r="D654" i="9"/>
  <c r="E121" i="9"/>
  <c r="D121" i="9"/>
  <c r="H626" i="9"/>
  <c r="G626" i="9"/>
  <c r="E626" i="9"/>
  <c r="D626" i="9"/>
  <c r="E137" i="9"/>
  <c r="D137" i="9"/>
  <c r="E250" i="9"/>
  <c r="D250" i="9"/>
  <c r="H524" i="9"/>
  <c r="G524" i="9"/>
  <c r="E524" i="9"/>
  <c r="D524" i="9"/>
  <c r="E227" i="9"/>
  <c r="D227" i="9"/>
  <c r="E119" i="9"/>
  <c r="D119" i="9"/>
  <c r="H48" i="9"/>
  <c r="G48" i="9"/>
  <c r="E48" i="9"/>
  <c r="D48" i="9"/>
  <c r="H58" i="9"/>
  <c r="G58" i="9"/>
  <c r="E58" i="9"/>
  <c r="D58" i="9"/>
  <c r="H732" i="9"/>
  <c r="G732" i="9"/>
  <c r="E732" i="9"/>
  <c r="D732" i="9"/>
  <c r="E475" i="9"/>
  <c r="D475" i="9"/>
  <c r="E735" i="9"/>
  <c r="D735" i="9"/>
  <c r="E30" i="9"/>
  <c r="D30" i="9"/>
  <c r="H350" i="9"/>
  <c r="G350" i="9"/>
  <c r="E350" i="9"/>
  <c r="D350" i="9"/>
  <c r="H131" i="9"/>
  <c r="G131" i="9"/>
  <c r="E131" i="9"/>
  <c r="D131" i="9"/>
  <c r="E33" i="9"/>
  <c r="D33" i="9"/>
  <c r="E187" i="9"/>
  <c r="D187" i="9"/>
  <c r="E36" i="9"/>
  <c r="D36" i="9"/>
  <c r="E464" i="9"/>
  <c r="D464" i="9"/>
  <c r="E223" i="9"/>
  <c r="D223" i="9"/>
  <c r="E779" i="9"/>
  <c r="D779" i="9"/>
  <c r="E647" i="9"/>
  <c r="D647" i="9"/>
  <c r="E396" i="9"/>
  <c r="D396" i="9"/>
  <c r="H206" i="9"/>
  <c r="G206" i="9"/>
  <c r="E206" i="9"/>
  <c r="D206" i="9"/>
  <c r="H738" i="9"/>
  <c r="G738" i="9"/>
  <c r="E738" i="9"/>
  <c r="D738" i="9"/>
  <c r="E70" i="9"/>
  <c r="D70" i="9"/>
  <c r="E435" i="9"/>
  <c r="D435" i="9"/>
  <c r="E272" i="9"/>
  <c r="D272" i="9"/>
  <c r="E217" i="9"/>
  <c r="D217" i="9"/>
  <c r="H765" i="9"/>
  <c r="G765" i="9"/>
  <c r="E765" i="9"/>
  <c r="D765" i="9"/>
  <c r="E689" i="9"/>
  <c r="D689" i="9"/>
  <c r="H300" i="9"/>
  <c r="G300" i="9"/>
  <c r="E300" i="9"/>
  <c r="D300" i="9"/>
  <c r="E225" i="9"/>
  <c r="D225" i="9"/>
  <c r="E584" i="9"/>
  <c r="D584" i="9"/>
  <c r="E324" i="9"/>
  <c r="D324" i="9"/>
  <c r="E428" i="9"/>
  <c r="D428" i="9"/>
  <c r="H786" i="9"/>
  <c r="G786" i="9"/>
  <c r="E786" i="9"/>
  <c r="D786" i="9"/>
  <c r="E26" i="9"/>
  <c r="D26" i="9"/>
  <c r="H380" i="9"/>
  <c r="G380" i="9"/>
  <c r="E380" i="9"/>
  <c r="D380" i="9"/>
  <c r="E51" i="9"/>
  <c r="D51" i="9"/>
  <c r="E256" i="9"/>
  <c r="D256" i="9"/>
  <c r="E753" i="9"/>
  <c r="D753" i="9"/>
  <c r="H494" i="9"/>
  <c r="G494" i="9"/>
  <c r="E494" i="9"/>
  <c r="D494" i="9"/>
  <c r="E38" i="9"/>
  <c r="D38" i="9"/>
  <c r="E24" i="9"/>
  <c r="D24" i="9"/>
  <c r="E625" i="9"/>
  <c r="D625" i="9"/>
  <c r="H723" i="9"/>
  <c r="G723" i="9"/>
  <c r="E723" i="9"/>
  <c r="D723" i="9"/>
  <c r="E671" i="9"/>
  <c r="D671" i="9"/>
  <c r="E311" i="9"/>
  <c r="D311" i="9"/>
  <c r="H126" i="9"/>
  <c r="G126" i="9"/>
  <c r="E126" i="9"/>
  <c r="D126" i="9"/>
  <c r="H462" i="9"/>
  <c r="G462" i="9"/>
  <c r="E462" i="9"/>
  <c r="D462" i="9"/>
  <c r="E539" i="9"/>
  <c r="D539" i="9"/>
  <c r="E99" i="9"/>
  <c r="D99" i="9"/>
  <c r="H329" i="9"/>
  <c r="G329" i="9"/>
  <c r="E329" i="9"/>
  <c r="D329" i="9"/>
  <c r="E788" i="9"/>
  <c r="D788" i="9"/>
  <c r="E456" i="9"/>
  <c r="D456" i="9"/>
  <c r="E804" i="9"/>
  <c r="D804" i="9"/>
  <c r="E795" i="9"/>
  <c r="D795" i="9"/>
  <c r="E421" i="9"/>
  <c r="D421" i="9"/>
  <c r="E692" i="9"/>
  <c r="D692" i="9"/>
  <c r="H412" i="9"/>
  <c r="G412" i="9"/>
  <c r="E412" i="9"/>
  <c r="D412" i="9"/>
  <c r="E302" i="9"/>
  <c r="D302" i="9"/>
  <c r="E669" i="9"/>
  <c r="D669" i="9"/>
  <c r="H186" i="9"/>
  <c r="G186" i="9"/>
  <c r="E186" i="9"/>
  <c r="D186" i="9"/>
  <c r="E730" i="9"/>
  <c r="D730" i="9"/>
  <c r="E508" i="9"/>
  <c r="D508" i="9"/>
  <c r="E92" i="9"/>
  <c r="D92" i="9"/>
  <c r="E740" i="9"/>
  <c r="D740" i="9"/>
  <c r="E317" i="9"/>
  <c r="D317" i="9"/>
  <c r="H372" i="9"/>
  <c r="G372" i="9"/>
  <c r="E372" i="9"/>
  <c r="D372" i="9"/>
  <c r="E64" i="9"/>
  <c r="D64" i="9"/>
  <c r="E233" i="9"/>
  <c r="D233" i="9"/>
  <c r="H395" i="9"/>
  <c r="G395" i="9"/>
  <c r="E395" i="9"/>
  <c r="D395" i="9"/>
  <c r="E514" i="9"/>
  <c r="D514" i="9"/>
  <c r="E728" i="9"/>
  <c r="D728" i="9"/>
  <c r="E781" i="9"/>
  <c r="D781" i="9"/>
  <c r="E446" i="9"/>
  <c r="D446" i="9"/>
  <c r="E37" i="9"/>
  <c r="D37" i="9"/>
  <c r="E555" i="9"/>
  <c r="D555" i="9"/>
  <c r="E353" i="9"/>
  <c r="D353" i="9"/>
  <c r="E453" i="9"/>
  <c r="D453" i="9"/>
  <c r="H164" i="9"/>
  <c r="G164" i="9"/>
  <c r="E164" i="9"/>
  <c r="D164" i="9"/>
  <c r="E194" i="9"/>
  <c r="D194" i="9"/>
  <c r="E386" i="9"/>
  <c r="D386" i="9"/>
  <c r="E612" i="9"/>
  <c r="D612" i="9"/>
  <c r="E551" i="9"/>
  <c r="D551" i="9"/>
  <c r="E582" i="9"/>
  <c r="D582" i="9"/>
  <c r="E387" i="9"/>
  <c r="D387" i="9"/>
  <c r="E487" i="9"/>
  <c r="D487" i="9"/>
  <c r="E813" i="9"/>
  <c r="D813" i="9"/>
  <c r="E610" i="9"/>
  <c r="D610" i="9"/>
  <c r="E399" i="9"/>
  <c r="D399" i="9"/>
  <c r="E576" i="9"/>
  <c r="D576" i="9"/>
  <c r="E260" i="9"/>
  <c r="D260" i="9"/>
  <c r="E148" i="9"/>
  <c r="D148" i="9"/>
  <c r="E680" i="9"/>
  <c r="D680" i="9"/>
  <c r="E466" i="9"/>
  <c r="D466" i="9"/>
  <c r="H793" i="9"/>
  <c r="G793" i="9"/>
  <c r="E793" i="9"/>
  <c r="D793" i="9"/>
  <c r="H236" i="9"/>
  <c r="G236" i="9"/>
  <c r="E236" i="9"/>
  <c r="D236" i="9"/>
  <c r="E536" i="9"/>
  <c r="D536" i="9"/>
  <c r="E211" i="9"/>
  <c r="D211" i="9"/>
  <c r="E151" i="9"/>
  <c r="D151" i="9"/>
  <c r="E778" i="9"/>
  <c r="D778" i="9"/>
  <c r="H47" i="9"/>
  <c r="G47" i="9"/>
  <c r="E47" i="9"/>
  <c r="D47" i="9"/>
  <c r="H308" i="9"/>
  <c r="G308" i="9"/>
  <c r="E308" i="9"/>
  <c r="D308" i="9"/>
  <c r="H620" i="9"/>
  <c r="G620" i="9"/>
  <c r="E620" i="9"/>
  <c r="D620" i="9"/>
  <c r="H336" i="9"/>
  <c r="G336" i="9"/>
  <c r="E336" i="9"/>
  <c r="D336" i="9"/>
  <c r="H139" i="9"/>
  <c r="G139" i="9"/>
  <c r="E139" i="9"/>
  <c r="D139" i="9"/>
  <c r="H57" i="9"/>
  <c r="G57" i="9"/>
  <c r="E57" i="9"/>
  <c r="D57" i="9"/>
  <c r="H54" i="9"/>
  <c r="G54" i="9"/>
  <c r="E54" i="9"/>
  <c r="D54" i="9"/>
  <c r="H554" i="9"/>
  <c r="G554" i="9"/>
  <c r="E554" i="9"/>
  <c r="D554" i="9"/>
  <c r="E205" i="9"/>
  <c r="D205" i="9"/>
  <c r="E662" i="9"/>
  <c r="D662" i="9"/>
  <c r="E510" i="9"/>
  <c r="D510" i="9"/>
  <c r="H503" i="9"/>
  <c r="G503" i="9"/>
  <c r="E503" i="9"/>
  <c r="D503" i="9"/>
  <c r="H252" i="9"/>
  <c r="G252" i="9"/>
  <c r="E252" i="9"/>
  <c r="D252" i="9"/>
  <c r="H42" i="9"/>
  <c r="G42" i="9"/>
  <c r="E42" i="9"/>
  <c r="D42" i="9"/>
  <c r="H321" i="9"/>
  <c r="G321" i="9"/>
  <c r="E321" i="9"/>
  <c r="D321" i="9"/>
  <c r="E558" i="9"/>
  <c r="D558" i="9"/>
  <c r="E213" i="9"/>
  <c r="D213" i="9"/>
  <c r="H546" i="9"/>
  <c r="G546" i="9"/>
  <c r="E546" i="9"/>
  <c r="D546" i="9"/>
  <c r="E784" i="9"/>
  <c r="D784" i="9"/>
  <c r="H275" i="9"/>
  <c r="G275" i="9"/>
  <c r="E275" i="9"/>
  <c r="D275" i="9"/>
  <c r="E564" i="9"/>
  <c r="D564" i="9"/>
  <c r="H590" i="9"/>
  <c r="G590" i="9"/>
  <c r="E590" i="9"/>
  <c r="D590" i="9"/>
  <c r="H410" i="9"/>
  <c r="G410" i="9"/>
  <c r="E410" i="9"/>
  <c r="D410" i="9"/>
  <c r="E128" i="9"/>
  <c r="D128" i="9"/>
  <c r="E202" i="9"/>
  <c r="D202" i="9"/>
  <c r="E513" i="9"/>
  <c r="D513" i="9"/>
  <c r="E758" i="9"/>
  <c r="D758" i="9"/>
  <c r="E149" i="9"/>
  <c r="D149" i="9"/>
  <c r="E705" i="9"/>
  <c r="D705" i="9"/>
  <c r="E162" i="9"/>
  <c r="D162" i="9"/>
  <c r="H369" i="9"/>
  <c r="G369" i="9"/>
  <c r="E369" i="9"/>
  <c r="D369" i="9"/>
  <c r="E318" i="9"/>
  <c r="D318" i="9"/>
  <c r="E62" i="9"/>
  <c r="D62" i="9"/>
  <c r="E94" i="9"/>
  <c r="D94" i="9"/>
  <c r="E147" i="9"/>
  <c r="D147" i="9"/>
  <c r="E807" i="9"/>
  <c r="D807" i="9"/>
  <c r="E230" i="9"/>
  <c r="D230" i="9"/>
  <c r="E29" i="9"/>
  <c r="D29" i="9"/>
  <c r="H95" i="9"/>
  <c r="E95" i="9"/>
  <c r="D95" i="9"/>
  <c r="H800" i="9"/>
  <c r="G800" i="9"/>
  <c r="E800" i="9"/>
  <c r="D800" i="9"/>
  <c r="H801" i="9"/>
  <c r="G801" i="9"/>
  <c r="E801" i="9"/>
  <c r="D801" i="9"/>
  <c r="E245" i="9"/>
  <c r="D245" i="9"/>
  <c r="E437" i="9"/>
  <c r="D437" i="9"/>
  <c r="H330" i="9"/>
  <c r="G330" i="9"/>
  <c r="E330" i="9"/>
  <c r="D330" i="9"/>
  <c r="E606" i="9"/>
  <c r="D606" i="9"/>
  <c r="E700" i="9"/>
  <c r="D700" i="9"/>
  <c r="H619" i="9"/>
  <c r="G619" i="9"/>
  <c r="E619" i="9"/>
  <c r="D619" i="9"/>
  <c r="H552" i="9"/>
  <c r="G552" i="9"/>
  <c r="E552" i="9"/>
  <c r="D552" i="9"/>
  <c r="E581" i="9"/>
  <c r="D581" i="9"/>
  <c r="H527" i="9"/>
  <c r="G527" i="9"/>
  <c r="E527" i="9"/>
  <c r="D527" i="9"/>
  <c r="H772" i="9"/>
  <c r="G772" i="9"/>
  <c r="E772" i="9"/>
  <c r="D772" i="9"/>
  <c r="H670" i="9"/>
  <c r="G670" i="9"/>
  <c r="E670" i="9"/>
  <c r="D670" i="9"/>
  <c r="H504" i="9"/>
  <c r="G504" i="9"/>
  <c r="E504" i="9"/>
  <c r="D504" i="9"/>
  <c r="H678" i="9"/>
  <c r="G678" i="9"/>
  <c r="E678" i="9"/>
  <c r="D678" i="9"/>
  <c r="E239" i="9"/>
  <c r="D239" i="9"/>
  <c r="E400" i="9"/>
  <c r="D400" i="9"/>
  <c r="E388" i="9"/>
  <c r="D388" i="9"/>
  <c r="E75" i="9"/>
  <c r="D75" i="9"/>
  <c r="E345" i="9"/>
  <c r="D345" i="9"/>
  <c r="H585" i="9"/>
  <c r="G585" i="9"/>
  <c r="E585" i="9"/>
  <c r="D585" i="9"/>
  <c r="H442" i="9"/>
  <c r="G442" i="9"/>
  <c r="E442" i="9"/>
  <c r="D442" i="9"/>
  <c r="E752" i="9"/>
  <c r="D752" i="9"/>
  <c r="H556" i="9"/>
  <c r="G556" i="9"/>
  <c r="E556" i="9"/>
  <c r="D556" i="9"/>
  <c r="E125" i="9"/>
  <c r="D125" i="9"/>
  <c r="H806" i="9"/>
  <c r="G806" i="9"/>
  <c r="E806" i="9"/>
  <c r="D806" i="9"/>
  <c r="H222" i="9"/>
  <c r="G222" i="9"/>
  <c r="E222" i="9"/>
  <c r="D222" i="9"/>
  <c r="H363" i="9"/>
  <c r="G363" i="9"/>
  <c r="E363" i="9"/>
  <c r="D363" i="9"/>
  <c r="E118" i="9"/>
  <c r="D118" i="9"/>
  <c r="E103" i="9"/>
  <c r="D103" i="9"/>
  <c r="H89" i="9"/>
  <c r="G89" i="9"/>
  <c r="E89" i="9"/>
  <c r="D89" i="9"/>
  <c r="H337" i="9"/>
  <c r="G337" i="9"/>
  <c r="E337" i="9"/>
  <c r="D337" i="9"/>
  <c r="H331" i="9"/>
  <c r="G331" i="9"/>
  <c r="E331" i="9"/>
  <c r="D331" i="9"/>
  <c r="H143" i="9"/>
  <c r="G143" i="9"/>
  <c r="E143" i="9"/>
  <c r="D143" i="9"/>
  <c r="E729" i="9"/>
  <c r="D729" i="9"/>
  <c r="E417" i="9"/>
  <c r="D417" i="9"/>
  <c r="H566" i="9"/>
  <c r="G566" i="9"/>
  <c r="E566" i="9"/>
  <c r="D566" i="9"/>
  <c r="E443" i="9"/>
  <c r="D443" i="9"/>
  <c r="E597" i="9"/>
  <c r="D597" i="9"/>
  <c r="E13" i="9"/>
  <c r="D13" i="9"/>
  <c r="E168" i="9"/>
  <c r="D168" i="9"/>
  <c r="E749" i="9"/>
  <c r="D749" i="9"/>
  <c r="E138" i="9"/>
  <c r="D138" i="9"/>
  <c r="E208" i="9"/>
  <c r="D208" i="9"/>
  <c r="H312" i="9"/>
  <c r="G312" i="9"/>
  <c r="E312" i="9"/>
  <c r="D312" i="9"/>
  <c r="E706" i="9"/>
  <c r="D706" i="9"/>
  <c r="E34" i="9"/>
  <c r="D34" i="9"/>
  <c r="E361" i="9"/>
  <c r="D361" i="9"/>
  <c r="E444" i="9"/>
  <c r="D444" i="9"/>
  <c r="H639" i="9"/>
  <c r="G639" i="9"/>
  <c r="E639" i="9"/>
  <c r="D639" i="9"/>
  <c r="H210" i="9"/>
  <c r="G210" i="9"/>
  <c r="E210" i="9"/>
  <c r="D210" i="9"/>
  <c r="E460" i="9"/>
  <c r="D460" i="9"/>
  <c r="E751" i="9"/>
  <c r="D751" i="9"/>
  <c r="H631" i="9"/>
  <c r="G631" i="9"/>
  <c r="E631" i="9"/>
  <c r="D631" i="9"/>
  <c r="E715" i="9"/>
  <c r="D715" i="9"/>
  <c r="H634" i="9"/>
  <c r="G634" i="9"/>
  <c r="E634" i="9"/>
  <c r="D634" i="9"/>
  <c r="E724" i="9"/>
  <c r="D724" i="9"/>
  <c r="H296" i="9"/>
  <c r="G296" i="9"/>
  <c r="E296" i="9"/>
  <c r="D296" i="9"/>
  <c r="H432" i="9"/>
  <c r="G432" i="9"/>
  <c r="E432" i="9"/>
  <c r="D432" i="9"/>
  <c r="E702" i="9"/>
  <c r="D702" i="9"/>
  <c r="E717" i="9"/>
  <c r="D717" i="9"/>
  <c r="H518" i="9"/>
  <c r="G518" i="9"/>
  <c r="E518" i="9"/>
  <c r="D518" i="9"/>
  <c r="H741" i="9"/>
  <c r="G741" i="9"/>
  <c r="E741" i="9"/>
  <c r="D741" i="9"/>
  <c r="H661" i="9"/>
  <c r="G661" i="9"/>
  <c r="E661" i="9"/>
  <c r="D661" i="9"/>
  <c r="H545" i="9"/>
  <c r="G545" i="9"/>
  <c r="E545" i="9"/>
  <c r="D545" i="9"/>
  <c r="E360" i="9"/>
  <c r="D360" i="9"/>
  <c r="E734" i="9"/>
  <c r="D734" i="9"/>
  <c r="H188" i="9"/>
  <c r="G188" i="9"/>
  <c r="E188" i="9"/>
  <c r="D188" i="9"/>
  <c r="E40" i="9"/>
  <c r="D40" i="9"/>
  <c r="H479" i="9"/>
  <c r="G479" i="9"/>
  <c r="E479" i="9"/>
  <c r="D479" i="9"/>
  <c r="H656" i="9"/>
  <c r="G656" i="9"/>
  <c r="E656" i="9"/>
  <c r="D656" i="9"/>
  <c r="E506" i="9"/>
  <c r="D506" i="9"/>
  <c r="H332" i="9"/>
  <c r="G332" i="9"/>
  <c r="E332" i="9"/>
  <c r="D332" i="9"/>
  <c r="E98" i="9"/>
  <c r="D98" i="9"/>
  <c r="H633" i="9"/>
  <c r="G633" i="9"/>
  <c r="E633" i="9"/>
  <c r="D633" i="9"/>
  <c r="E189" i="9"/>
  <c r="D189" i="9"/>
  <c r="E733" i="9"/>
  <c r="D733" i="9"/>
  <c r="E120" i="9"/>
  <c r="D120" i="9"/>
  <c r="E809" i="9"/>
  <c r="D809" i="9"/>
  <c r="H550" i="9"/>
  <c r="G550" i="9"/>
  <c r="E550" i="9"/>
  <c r="D550" i="9"/>
  <c r="H286" i="9"/>
  <c r="G286" i="9"/>
  <c r="E286" i="9"/>
  <c r="D286" i="9"/>
  <c r="E79" i="9"/>
  <c r="D79" i="9"/>
  <c r="H204" i="9"/>
  <c r="G204" i="9"/>
  <c r="E204" i="9"/>
  <c r="D204" i="9"/>
  <c r="E190" i="9"/>
  <c r="D190" i="9"/>
  <c r="E305" i="9"/>
  <c r="D305" i="9"/>
  <c r="E544" i="9"/>
  <c r="D544" i="9"/>
  <c r="E68" i="9"/>
  <c r="D68" i="9"/>
  <c r="E100" i="9"/>
  <c r="D100" i="9"/>
  <c r="E200" i="9"/>
  <c r="D200" i="9"/>
  <c r="E607" i="9"/>
  <c r="D607" i="9"/>
  <c r="E67" i="9"/>
  <c r="D67" i="9"/>
  <c r="E55" i="9"/>
  <c r="D55" i="9"/>
  <c r="H688" i="9"/>
  <c r="G688" i="9"/>
  <c r="E688" i="9"/>
  <c r="D688" i="9"/>
  <c r="H342" i="9"/>
  <c r="G342" i="9"/>
  <c r="E342" i="9"/>
  <c r="D342" i="9"/>
  <c r="E538" i="9"/>
  <c r="D538" i="9"/>
  <c r="H511" i="9"/>
  <c r="G511" i="9"/>
  <c r="E511" i="9"/>
  <c r="D511" i="9"/>
  <c r="H648" i="9"/>
  <c r="G648" i="9"/>
  <c r="E648" i="9"/>
  <c r="D648" i="9"/>
  <c r="E402" i="9"/>
  <c r="D402" i="9"/>
  <c r="E411" i="9"/>
  <c r="D411" i="9"/>
  <c r="E44" i="9"/>
  <c r="D44" i="9"/>
  <c r="E364" i="9"/>
  <c r="D364" i="9"/>
  <c r="E69" i="9"/>
  <c r="D69" i="9"/>
  <c r="E541" i="9"/>
  <c r="D541" i="9"/>
  <c r="E391" i="9"/>
  <c r="D391" i="9"/>
  <c r="E439" i="9"/>
  <c r="D439" i="9"/>
  <c r="H719" i="9"/>
  <c r="G719" i="9"/>
  <c r="E719" i="9"/>
  <c r="D719" i="9"/>
  <c r="E526" i="9"/>
  <c r="D526" i="9"/>
  <c r="H668" i="9"/>
  <c r="G668" i="9"/>
  <c r="E668" i="9"/>
  <c r="D668" i="9"/>
  <c r="H679" i="9"/>
  <c r="G679" i="9"/>
  <c r="E679" i="9"/>
  <c r="D679" i="9"/>
  <c r="E522" i="9"/>
  <c r="D522" i="9"/>
  <c r="E792" i="9"/>
  <c r="D792" i="9"/>
  <c r="E502" i="9"/>
  <c r="D502" i="9"/>
  <c r="H358" i="9"/>
  <c r="G358" i="9"/>
  <c r="E358" i="9"/>
  <c r="D358" i="9"/>
  <c r="E791" i="9"/>
  <c r="D791" i="9"/>
  <c r="E698" i="9"/>
  <c r="D698" i="9"/>
  <c r="H116" i="9"/>
  <c r="G116" i="9"/>
  <c r="E116" i="9"/>
  <c r="D116" i="9"/>
  <c r="H198" i="9"/>
  <c r="G198" i="9"/>
  <c r="E198" i="9"/>
  <c r="D198" i="9"/>
  <c r="E374" i="9"/>
  <c r="D374" i="9"/>
  <c r="E811" i="9"/>
  <c r="D811" i="9"/>
  <c r="E447" i="9"/>
  <c r="D447" i="9"/>
  <c r="E315" i="9"/>
  <c r="D315" i="9"/>
  <c r="E589" i="9"/>
  <c r="D589" i="9"/>
  <c r="E413" i="9"/>
  <c r="D413" i="9"/>
  <c r="E450" i="9"/>
  <c r="D450" i="9"/>
  <c r="E457" i="9"/>
  <c r="D457" i="9"/>
  <c r="E339" i="9"/>
  <c r="D339" i="9"/>
  <c r="E535" i="9"/>
  <c r="D535" i="9"/>
  <c r="H562" i="9"/>
  <c r="G562" i="9"/>
  <c r="E562" i="9"/>
  <c r="D562" i="9"/>
  <c r="E338" i="9"/>
  <c r="D338" i="9"/>
  <c r="E803" i="9"/>
  <c r="D803" i="9"/>
  <c r="E56" i="9"/>
  <c r="D56" i="9"/>
  <c r="E520" i="9"/>
  <c r="D520" i="9"/>
  <c r="E660" i="9"/>
  <c r="D660" i="9"/>
  <c r="E574" i="9"/>
  <c r="D574" i="9"/>
  <c r="E178" i="9"/>
  <c r="D178" i="9"/>
  <c r="E60" i="9"/>
  <c r="D60" i="9"/>
  <c r="H472" i="9"/>
  <c r="G472" i="9"/>
  <c r="E472" i="9"/>
  <c r="D472" i="9"/>
  <c r="E465" i="9"/>
  <c r="D465" i="9"/>
  <c r="E203" i="9"/>
  <c r="D203" i="9"/>
  <c r="E525" i="9"/>
  <c r="D525" i="9"/>
  <c r="H174" i="9"/>
  <c r="G174" i="9"/>
  <c r="E174" i="9"/>
  <c r="D174" i="9"/>
  <c r="E31" i="9"/>
  <c r="D31" i="9"/>
  <c r="E711" i="9"/>
  <c r="D711" i="9"/>
  <c r="E323" i="9"/>
  <c r="D323" i="9"/>
  <c r="H289" i="9"/>
  <c r="G289" i="9"/>
  <c r="E289" i="9"/>
  <c r="D289" i="9"/>
  <c r="H259" i="9"/>
  <c r="G259" i="9"/>
  <c r="E259" i="9"/>
  <c r="D259" i="9"/>
  <c r="E643" i="9"/>
  <c r="D643" i="9"/>
  <c r="E516" i="9"/>
  <c r="D516" i="9"/>
  <c r="E398" i="9"/>
  <c r="D398" i="9"/>
  <c r="H152" i="9"/>
  <c r="G152" i="9"/>
  <c r="E152" i="9"/>
  <c r="D152" i="9"/>
  <c r="H794" i="9"/>
  <c r="G794" i="9"/>
  <c r="E794" i="9"/>
  <c r="D794" i="9"/>
  <c r="A11" i="7"/>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380" i="7" s="1"/>
  <c r="A381" i="7" s="1"/>
  <c r="A382" i="7" s="1"/>
  <c r="A383" i="7" s="1"/>
  <c r="A384" i="7" s="1"/>
  <c r="A385" i="7" s="1"/>
  <c r="A386" i="7" s="1"/>
  <c r="A387" i="7" s="1"/>
  <c r="A388" i="7" s="1"/>
  <c r="A389" i="7" s="1"/>
  <c r="A390" i="7" s="1"/>
  <c r="A391" i="7" s="1"/>
  <c r="A392" i="7" s="1"/>
  <c r="A393" i="7" s="1"/>
  <c r="A394" i="7" s="1"/>
  <c r="A395" i="7" s="1"/>
  <c r="A396" i="7" s="1"/>
  <c r="A397" i="7" s="1"/>
  <c r="A398" i="7" s="1"/>
  <c r="A399" i="7" s="1"/>
  <c r="A400" i="7" s="1"/>
  <c r="A401" i="7" s="1"/>
  <c r="A402" i="7" s="1"/>
  <c r="A403" i="7" s="1"/>
  <c r="A404" i="7" s="1"/>
  <c r="A405" i="7" s="1"/>
  <c r="A406" i="7" s="1"/>
  <c r="A407" i="7" s="1"/>
  <c r="A408" i="7" s="1"/>
  <c r="A409" i="7" s="1"/>
  <c r="A410" i="7" s="1"/>
  <c r="A411" i="7" s="1"/>
  <c r="A412" i="7" s="1"/>
  <c r="A413" i="7" s="1"/>
  <c r="A414" i="7" s="1"/>
  <c r="A415" i="7" s="1"/>
  <c r="A416" i="7" s="1"/>
  <c r="A417" i="7" s="1"/>
  <c r="A418" i="7" s="1"/>
  <c r="A419" i="7" s="1"/>
  <c r="A420" i="7" s="1"/>
  <c r="A421" i="7" s="1"/>
  <c r="A422" i="7" s="1"/>
  <c r="A423" i="7" s="1"/>
  <c r="A424" i="7" s="1"/>
  <c r="A425" i="7" s="1"/>
  <c r="A426" i="7" s="1"/>
  <c r="A427" i="7" s="1"/>
  <c r="A428" i="7" s="1"/>
  <c r="A429" i="7" s="1"/>
  <c r="A430" i="7" s="1"/>
  <c r="A431" i="7" s="1"/>
  <c r="A432" i="7" s="1"/>
  <c r="A433" i="7" s="1"/>
  <c r="A434" i="7" s="1"/>
  <c r="A435" i="7" s="1"/>
  <c r="A436" i="7" s="1"/>
  <c r="A437" i="7" s="1"/>
  <c r="A438" i="7" s="1"/>
  <c r="A439" i="7" s="1"/>
  <c r="A440" i="7" s="1"/>
  <c r="A441" i="7" s="1"/>
  <c r="A442" i="7" s="1"/>
  <c r="A443" i="7" s="1"/>
  <c r="A444" i="7" s="1"/>
  <c r="A445" i="7" s="1"/>
  <c r="A446" i="7" s="1"/>
  <c r="A447" i="7" s="1"/>
  <c r="A448" i="7" s="1"/>
  <c r="A449" i="7" s="1"/>
  <c r="A450" i="7" s="1"/>
  <c r="A451" i="7" s="1"/>
  <c r="A452" i="7" s="1"/>
  <c r="A453" i="7" s="1"/>
  <c r="A454" i="7" s="1"/>
  <c r="A455" i="7" s="1"/>
  <c r="A456" i="7" s="1"/>
  <c r="A457" i="7" s="1"/>
  <c r="A458" i="7" s="1"/>
  <c r="A459" i="7" s="1"/>
  <c r="A460" i="7" s="1"/>
  <c r="A461" i="7" s="1"/>
  <c r="A462" i="7" s="1"/>
  <c r="A463" i="7" s="1"/>
  <c r="A464" i="7" s="1"/>
  <c r="A465" i="7" s="1"/>
  <c r="A466" i="7" s="1"/>
  <c r="A467" i="7" s="1"/>
  <c r="A468" i="7" s="1"/>
  <c r="A469" i="7" s="1"/>
  <c r="A470" i="7" s="1"/>
  <c r="A471" i="7" s="1"/>
  <c r="A472" i="7" s="1"/>
  <c r="A473" i="7" s="1"/>
  <c r="A474" i="7" s="1"/>
  <c r="A475" i="7" s="1"/>
  <c r="A476" i="7" s="1"/>
  <c r="A477" i="7" s="1"/>
  <c r="A478" i="7" s="1"/>
  <c r="A479" i="7" s="1"/>
  <c r="A480" i="7" s="1"/>
  <c r="A481" i="7" s="1"/>
  <c r="A482" i="7" s="1"/>
  <c r="A483" i="7" s="1"/>
  <c r="A484" i="7" s="1"/>
  <c r="A485" i="7" s="1"/>
  <c r="A486" i="7" s="1"/>
  <c r="A487" i="7" s="1"/>
  <c r="A488" i="7" s="1"/>
  <c r="A489" i="7" s="1"/>
  <c r="A490" i="7" s="1"/>
  <c r="A491" i="7" s="1"/>
  <c r="A492" i="7" s="1"/>
  <c r="A493" i="7" s="1"/>
  <c r="A494" i="7" s="1"/>
  <c r="A495" i="7" s="1"/>
  <c r="A496" i="7" s="1"/>
  <c r="A497" i="7" s="1"/>
  <c r="A498" i="7" s="1"/>
  <c r="A499" i="7" s="1"/>
  <c r="A500" i="7" s="1"/>
  <c r="A501" i="7" s="1"/>
  <c r="A502" i="7" s="1"/>
  <c r="A503" i="7" s="1"/>
  <c r="A504" i="7" s="1"/>
  <c r="A505" i="7" s="1"/>
  <c r="A506" i="7" s="1"/>
  <c r="A507" i="7" s="1"/>
  <c r="A508" i="7" s="1"/>
  <c r="A509" i="7" s="1"/>
  <c r="A510" i="7" s="1"/>
  <c r="A511" i="7" s="1"/>
  <c r="A512" i="7" s="1"/>
  <c r="A513" i="7" s="1"/>
  <c r="A514" i="7" s="1"/>
  <c r="A515" i="7" s="1"/>
  <c r="A516" i="7" s="1"/>
  <c r="A517" i="7" s="1"/>
  <c r="A518" i="7" s="1"/>
  <c r="A519" i="7" s="1"/>
  <c r="A520" i="7" s="1"/>
  <c r="A521" i="7" s="1"/>
  <c r="A522" i="7" s="1"/>
  <c r="A523" i="7" s="1"/>
  <c r="A524" i="7" s="1"/>
  <c r="A525" i="7" s="1"/>
  <c r="A526" i="7" s="1"/>
  <c r="A527" i="7" s="1"/>
  <c r="A528" i="7" s="1"/>
  <c r="A529" i="7" s="1"/>
  <c r="A530" i="7" s="1"/>
  <c r="A531" i="7" s="1"/>
  <c r="A532" i="7" s="1"/>
  <c r="A533" i="7" s="1"/>
  <c r="A534" i="7" s="1"/>
  <c r="A535" i="7" s="1"/>
  <c r="A536" i="7" s="1"/>
  <c r="A537" i="7" s="1"/>
  <c r="A538" i="7" s="1"/>
  <c r="A539" i="7" s="1"/>
  <c r="A540" i="7" s="1"/>
  <c r="A541" i="7" s="1"/>
  <c r="A542" i="7" s="1"/>
  <c r="A543" i="7" s="1"/>
  <c r="A544" i="7" s="1"/>
  <c r="A545" i="7" s="1"/>
  <c r="A546" i="7" s="1"/>
  <c r="A547" i="7" s="1"/>
  <c r="A548" i="7" s="1"/>
  <c r="A549" i="7" s="1"/>
  <c r="A550" i="7" s="1"/>
  <c r="A551" i="7" s="1"/>
  <c r="A552" i="7" s="1"/>
  <c r="A553" i="7" s="1"/>
  <c r="A554" i="7" s="1"/>
  <c r="A555" i="7" s="1"/>
  <c r="A556" i="7" s="1"/>
  <c r="A557" i="7" s="1"/>
  <c r="A558" i="7" s="1"/>
  <c r="A559" i="7" s="1"/>
  <c r="A560" i="7" s="1"/>
  <c r="A561" i="7" s="1"/>
  <c r="A562" i="7" s="1"/>
  <c r="A563" i="7" s="1"/>
  <c r="A564" i="7" s="1"/>
  <c r="A565" i="7" s="1"/>
  <c r="A566" i="7" s="1"/>
  <c r="A567" i="7" s="1"/>
  <c r="A568" i="7" s="1"/>
  <c r="A569" i="7" s="1"/>
  <c r="A570" i="7" s="1"/>
  <c r="A571" i="7" s="1"/>
  <c r="A572" i="7" s="1"/>
  <c r="A573" i="7" s="1"/>
  <c r="A574" i="7" s="1"/>
  <c r="A575" i="7" s="1"/>
  <c r="A576" i="7" s="1"/>
  <c r="A577" i="7" s="1"/>
  <c r="A578" i="7" s="1"/>
  <c r="A579" i="7" s="1"/>
  <c r="A580" i="7" s="1"/>
  <c r="A581" i="7" s="1"/>
  <c r="A582" i="7" s="1"/>
  <c r="A583" i="7" s="1"/>
  <c r="A584" i="7" s="1"/>
  <c r="A585" i="7" s="1"/>
  <c r="A586" i="7" s="1"/>
  <c r="A587" i="7" s="1"/>
  <c r="A588" i="7" s="1"/>
  <c r="A589" i="7" s="1"/>
  <c r="A590" i="7" s="1"/>
  <c r="A591" i="7" s="1"/>
  <c r="A592" i="7" s="1"/>
  <c r="A593" i="7" s="1"/>
  <c r="A594" i="7" s="1"/>
  <c r="A595" i="7" s="1"/>
  <c r="A596" i="7" s="1"/>
  <c r="A597" i="7" s="1"/>
  <c r="A598" i="7" s="1"/>
  <c r="A599" i="7" s="1"/>
  <c r="A600" i="7" s="1"/>
  <c r="A601" i="7" s="1"/>
  <c r="A602" i="7" s="1"/>
  <c r="A603" i="7" s="1"/>
  <c r="A604" i="7" s="1"/>
  <c r="A605" i="7" s="1"/>
  <c r="A606" i="7" s="1"/>
  <c r="A607" i="7" s="1"/>
  <c r="A608" i="7" s="1"/>
  <c r="A609" i="7" s="1"/>
  <c r="A610" i="7" s="1"/>
  <c r="A611" i="7" s="1"/>
  <c r="A612" i="7" s="1"/>
  <c r="A613" i="7" s="1"/>
  <c r="A614" i="7" s="1"/>
  <c r="A615" i="7" s="1"/>
  <c r="A616" i="7" s="1"/>
  <c r="A617" i="7" s="1"/>
  <c r="A618" i="7" s="1"/>
  <c r="A619" i="7" s="1"/>
  <c r="A620" i="7" s="1"/>
  <c r="A621" i="7" s="1"/>
  <c r="A622" i="7" s="1"/>
  <c r="A623" i="7" s="1"/>
  <c r="A624" i="7" s="1"/>
  <c r="A625" i="7" s="1"/>
  <c r="A626" i="7" s="1"/>
  <c r="A627" i="7" s="1"/>
  <c r="A628" i="7" s="1"/>
  <c r="A629" i="7" s="1"/>
  <c r="A630" i="7" s="1"/>
  <c r="A631" i="7" s="1"/>
  <c r="A632" i="7" s="1"/>
  <c r="A633" i="7" s="1"/>
  <c r="A634" i="7" s="1"/>
  <c r="A635" i="7" s="1"/>
  <c r="A636" i="7" s="1"/>
  <c r="A637" i="7" s="1"/>
  <c r="A638" i="7" s="1"/>
  <c r="A639" i="7" s="1"/>
  <c r="A640" i="7" s="1"/>
  <c r="A641" i="7" s="1"/>
  <c r="A642" i="7" s="1"/>
  <c r="A643" i="7" s="1"/>
  <c r="A644" i="7" s="1"/>
  <c r="A645" i="7" s="1"/>
  <c r="A646" i="7" s="1"/>
  <c r="A647" i="7" s="1"/>
  <c r="A648" i="7" s="1"/>
  <c r="A649" i="7" s="1"/>
  <c r="A650" i="7" s="1"/>
  <c r="A651" i="7" s="1"/>
  <c r="A652" i="7" s="1"/>
  <c r="A653" i="7" s="1"/>
  <c r="A654" i="7" s="1"/>
  <c r="A655" i="7" s="1"/>
  <c r="A656" i="7" s="1"/>
  <c r="A657" i="7" s="1"/>
  <c r="A658" i="7" s="1"/>
  <c r="A659" i="7" s="1"/>
  <c r="A660" i="7" s="1"/>
  <c r="A661" i="7" s="1"/>
  <c r="A662" i="7" s="1"/>
  <c r="A663" i="7" s="1"/>
  <c r="A664" i="7" s="1"/>
  <c r="A665" i="7" s="1"/>
  <c r="A666" i="7" s="1"/>
  <c r="A667" i="7" s="1"/>
  <c r="A668" i="7" s="1"/>
  <c r="A669" i="7" s="1"/>
  <c r="A670" i="7" s="1"/>
  <c r="A671" i="7" s="1"/>
  <c r="A672" i="7" s="1"/>
  <c r="A673" i="7" s="1"/>
  <c r="A674" i="7" s="1"/>
  <c r="A675" i="7" s="1"/>
  <c r="A676" i="7" s="1"/>
  <c r="A677" i="7" s="1"/>
  <c r="A678" i="7" s="1"/>
  <c r="A679" i="7" s="1"/>
  <c r="A680" i="7" s="1"/>
  <c r="A681" i="7" s="1"/>
  <c r="A682" i="7" s="1"/>
  <c r="A683" i="7" s="1"/>
  <c r="A684" i="7" s="1"/>
  <c r="A685" i="7" s="1"/>
  <c r="A686" i="7" s="1"/>
  <c r="A687" i="7" s="1"/>
  <c r="A688" i="7" s="1"/>
  <c r="A689" i="7" s="1"/>
  <c r="A690" i="7" s="1"/>
  <c r="A691" i="7" s="1"/>
  <c r="A692" i="7" s="1"/>
  <c r="A693" i="7" s="1"/>
  <c r="A694" i="7" s="1"/>
  <c r="A695" i="7" s="1"/>
  <c r="A696" i="7" s="1"/>
  <c r="A697" i="7" s="1"/>
  <c r="A698" i="7" s="1"/>
  <c r="A699" i="7" s="1"/>
  <c r="A700" i="7" s="1"/>
  <c r="A701" i="7" s="1"/>
  <c r="A702" i="7" s="1"/>
  <c r="A703" i="7" s="1"/>
  <c r="A704" i="7" s="1"/>
  <c r="A705" i="7" s="1"/>
  <c r="A706" i="7" s="1"/>
  <c r="A707" i="7" s="1"/>
  <c r="A708" i="7" s="1"/>
  <c r="A709" i="7" s="1"/>
  <c r="A710" i="7" s="1"/>
  <c r="A711" i="7" s="1"/>
  <c r="A712" i="7" s="1"/>
  <c r="A713" i="7" s="1"/>
  <c r="A714" i="7" s="1"/>
  <c r="A715" i="7" s="1"/>
  <c r="A716" i="7" s="1"/>
  <c r="A717" i="7" s="1"/>
  <c r="A718" i="7" s="1"/>
  <c r="A719" i="7" s="1"/>
  <c r="A720" i="7" s="1"/>
  <c r="A721" i="7" s="1"/>
  <c r="A722" i="7" s="1"/>
  <c r="A723" i="7" s="1"/>
  <c r="A724" i="7" s="1"/>
  <c r="A725" i="7" s="1"/>
  <c r="A726" i="7" s="1"/>
  <c r="A727" i="7" s="1"/>
  <c r="A728" i="7" s="1"/>
  <c r="A729" i="7" s="1"/>
  <c r="A730" i="7" s="1"/>
  <c r="A731" i="7" s="1"/>
  <c r="A732" i="7" s="1"/>
  <c r="A733" i="7" s="1"/>
  <c r="A734" i="7" s="1"/>
  <c r="A735" i="7" s="1"/>
  <c r="A736" i="7" s="1"/>
  <c r="A737" i="7" s="1"/>
  <c r="A738" i="7" s="1"/>
  <c r="A739" i="7" s="1"/>
  <c r="A740" i="7" s="1"/>
  <c r="A741" i="7" s="1"/>
  <c r="A742" i="7" s="1"/>
  <c r="A743" i="7" s="1"/>
  <c r="A744" i="7" s="1"/>
  <c r="A745" i="7" s="1"/>
  <c r="A746" i="7" s="1"/>
  <c r="A747" i="7" s="1"/>
  <c r="A748" i="7" s="1"/>
  <c r="A749" i="7" s="1"/>
  <c r="A750" i="7" s="1"/>
  <c r="A751" i="7" s="1"/>
  <c r="A752" i="7" s="1"/>
  <c r="A753" i="7" s="1"/>
  <c r="A754" i="7" s="1"/>
  <c r="A755" i="7" s="1"/>
  <c r="A756" i="7" s="1"/>
  <c r="A757" i="7" s="1"/>
  <c r="A758" i="7" s="1"/>
  <c r="A759" i="7" s="1"/>
  <c r="A760" i="7" s="1"/>
  <c r="A761" i="7" s="1"/>
  <c r="A762" i="7" s="1"/>
  <c r="A763" i="7" s="1"/>
  <c r="A764" i="7" s="1"/>
  <c r="A765" i="7" s="1"/>
  <c r="A766" i="7" s="1"/>
  <c r="A767" i="7" s="1"/>
  <c r="A768" i="7" s="1"/>
  <c r="A769" i="7" s="1"/>
  <c r="A770" i="7" s="1"/>
  <c r="A771" i="7" s="1"/>
  <c r="A772" i="7" s="1"/>
  <c r="A773" i="7" s="1"/>
  <c r="A774" i="7" s="1"/>
  <c r="A775" i="7" s="1"/>
  <c r="A776" i="7" s="1"/>
  <c r="A777" i="7" s="1"/>
  <c r="A778" i="7" s="1"/>
  <c r="A779" i="7" s="1"/>
  <c r="A780" i="7" s="1"/>
  <c r="A781" i="7" s="1"/>
  <c r="A782" i="7" s="1"/>
  <c r="A783" i="7" s="1"/>
  <c r="A784" i="7" s="1"/>
  <c r="A785" i="7" s="1"/>
  <c r="A786" i="7" s="1"/>
  <c r="A787" i="7" s="1"/>
  <c r="A788" i="7" s="1"/>
  <c r="A789" i="7" s="1"/>
  <c r="A790" i="7" s="1"/>
  <c r="A791" i="7" s="1"/>
  <c r="A792" i="7" s="1"/>
  <c r="A793" i="7" s="1"/>
  <c r="A794" i="7" s="1"/>
  <c r="A795" i="7" s="1"/>
  <c r="A796" i="7" s="1"/>
  <c r="A797" i="7" s="1"/>
  <c r="A798" i="7" s="1"/>
  <c r="A799" i="7" s="1"/>
  <c r="A800" i="7" s="1"/>
  <c r="A801" i="7" s="1"/>
  <c r="A802" i="7" s="1"/>
  <c r="A803" i="7" s="1"/>
  <c r="A804" i="7" s="1"/>
  <c r="A805" i="7" s="1"/>
  <c r="A806" i="7" s="1"/>
  <c r="A807" i="7" s="1"/>
  <c r="A808" i="7" s="1"/>
  <c r="A809" i="7" s="1"/>
  <c r="A810" i="7" s="1"/>
  <c r="A811" i="7" s="1"/>
  <c r="A812" i="7" s="1"/>
  <c r="A813" i="7" s="1"/>
  <c r="A814" i="7" s="1"/>
  <c r="A815" i="7" s="1"/>
  <c r="A816" i="7" s="1"/>
  <c r="A817" i="7" s="1"/>
  <c r="A818" i="7" s="1"/>
  <c r="A819" i="7" s="1"/>
  <c r="A820" i="7" s="1"/>
  <c r="A821" i="7" s="1"/>
  <c r="A822" i="7" s="1"/>
  <c r="A823" i="7" s="1"/>
  <c r="A824" i="7" s="1"/>
  <c r="A825" i="7" s="1"/>
  <c r="A826" i="7" s="1"/>
  <c r="A827" i="7" s="1"/>
  <c r="A828" i="7" s="1"/>
  <c r="A829" i="7" s="1"/>
  <c r="A830" i="7" s="1"/>
  <c r="A831" i="7" s="1"/>
  <c r="A832" i="7" s="1"/>
  <c r="A833" i="7" s="1"/>
  <c r="A834" i="7" s="1"/>
  <c r="A835" i="7" s="1"/>
  <c r="A836" i="7" s="1"/>
  <c r="A837" i="7" s="1"/>
  <c r="A838" i="7" s="1"/>
  <c r="A839" i="7" s="1"/>
  <c r="A840" i="7" s="1"/>
  <c r="A841" i="7" s="1"/>
  <c r="A842" i="7" s="1"/>
  <c r="A843" i="7" s="1"/>
  <c r="A844" i="7" s="1"/>
  <c r="A845" i="7" s="1"/>
  <c r="A846" i="7" s="1"/>
  <c r="A847" i="7" s="1"/>
  <c r="A848" i="7" s="1"/>
  <c r="A849" i="7" s="1"/>
  <c r="A850" i="7" s="1"/>
  <c r="A851" i="7" s="1"/>
  <c r="A852" i="7" s="1"/>
  <c r="A853" i="7" s="1"/>
  <c r="A854" i="7" s="1"/>
  <c r="A855" i="7" s="1"/>
  <c r="A856" i="7" s="1"/>
  <c r="A857" i="7" s="1"/>
  <c r="A858" i="7" s="1"/>
  <c r="A859" i="7" s="1"/>
  <c r="A860" i="7" s="1"/>
  <c r="A861" i="7" s="1"/>
  <c r="A862" i="7" s="1"/>
  <c r="A863" i="7" s="1"/>
  <c r="A864" i="7" s="1"/>
  <c r="A865" i="7" s="1"/>
  <c r="A866" i="7" s="1"/>
  <c r="A867" i="7" s="1"/>
  <c r="A868" i="7" s="1"/>
  <c r="A869" i="7" s="1"/>
  <c r="A870" i="7" s="1"/>
  <c r="A871" i="7" s="1"/>
  <c r="A872" i="7" s="1"/>
  <c r="A873" i="7" s="1"/>
  <c r="A874" i="7" s="1"/>
  <c r="A875" i="7" s="1"/>
  <c r="A876" i="7" s="1"/>
  <c r="A877" i="7" s="1"/>
  <c r="A878" i="7" s="1"/>
  <c r="A879" i="7" s="1"/>
  <c r="A880" i="7" s="1"/>
  <c r="A881" i="7" s="1"/>
  <c r="A882" i="7" s="1"/>
  <c r="A883" i="7" s="1"/>
  <c r="A884" i="7" s="1"/>
  <c r="A885" i="7" s="1"/>
  <c r="A886" i="7" s="1"/>
  <c r="A887" i="7" s="1"/>
  <c r="A888" i="7" s="1"/>
  <c r="A889" i="7" s="1"/>
  <c r="A890" i="7" s="1"/>
  <c r="A891" i="7" s="1"/>
  <c r="A892" i="7" s="1"/>
  <c r="A893" i="7" s="1"/>
  <c r="A894" i="7" s="1"/>
  <c r="A895" i="7" s="1"/>
  <c r="A896" i="7" s="1"/>
  <c r="A897" i="7" s="1"/>
  <c r="A898" i="7" s="1"/>
  <c r="A899" i="7" s="1"/>
  <c r="A900" i="7" s="1"/>
  <c r="A901" i="7" s="1"/>
  <c r="A902" i="7" s="1"/>
  <c r="A903" i="7" s="1"/>
  <c r="A904" i="7" s="1"/>
  <c r="A905" i="7" s="1"/>
  <c r="A906" i="7" s="1"/>
  <c r="A907" i="7" s="1"/>
  <c r="A908" i="7" s="1"/>
  <c r="A909" i="7" s="1"/>
  <c r="A910" i="7" s="1"/>
  <c r="A911" i="7" s="1"/>
  <c r="A912" i="7" s="1"/>
  <c r="A913" i="7" s="1"/>
  <c r="A914" i="7" s="1"/>
  <c r="A915" i="7" s="1"/>
  <c r="A916" i="7" s="1"/>
  <c r="A917" i="7" s="1"/>
  <c r="A918" i="7" s="1"/>
  <c r="A919" i="7" s="1"/>
  <c r="A920" i="7" s="1"/>
  <c r="A921" i="7" s="1"/>
  <c r="A922" i="7" s="1"/>
  <c r="A923" i="7" s="1"/>
  <c r="A924" i="7" s="1"/>
  <c r="A925" i="7" s="1"/>
  <c r="A926" i="7" s="1"/>
  <c r="A927" i="7" s="1"/>
  <c r="A928" i="7" s="1"/>
  <c r="A929" i="7" s="1"/>
  <c r="A930" i="7" s="1"/>
  <c r="A931" i="7" s="1"/>
  <c r="A932" i="7" s="1"/>
  <c r="A933" i="7" s="1"/>
  <c r="A934" i="7" s="1"/>
  <c r="A935" i="7" s="1"/>
  <c r="A936" i="7" s="1"/>
  <c r="A937" i="7" s="1"/>
  <c r="A938" i="7" s="1"/>
  <c r="A939" i="7" s="1"/>
  <c r="A940" i="7" s="1"/>
  <c r="A941" i="7" s="1"/>
  <c r="A942" i="7" s="1"/>
  <c r="A943" i="7" s="1"/>
  <c r="A944" i="7" s="1"/>
  <c r="A945" i="7" s="1"/>
  <c r="A946" i="7" s="1"/>
  <c r="A947" i="7" s="1"/>
  <c r="A948" i="7" s="1"/>
  <c r="A949" i="7" s="1"/>
  <c r="A950" i="7" s="1"/>
  <c r="A951" i="7" s="1"/>
  <c r="A952" i="7" s="1"/>
  <c r="A953" i="7" s="1"/>
  <c r="A954" i="7" s="1"/>
  <c r="A955" i="7" s="1"/>
  <c r="A956" i="7" s="1"/>
  <c r="A957" i="7" s="1"/>
  <c r="A958" i="7" s="1"/>
  <c r="A959" i="7" s="1"/>
  <c r="A960" i="7" s="1"/>
  <c r="A961" i="7" s="1"/>
  <c r="A962" i="7" s="1"/>
  <c r="A963" i="7" s="1"/>
  <c r="A964" i="7" s="1"/>
  <c r="A965" i="7" s="1"/>
  <c r="A966" i="7" s="1"/>
  <c r="A967" i="7" s="1"/>
  <c r="A968" i="7" s="1"/>
  <c r="A969" i="7" s="1"/>
  <c r="A970" i="7" s="1"/>
  <c r="A971" i="7" s="1"/>
  <c r="A972" i="7" s="1"/>
  <c r="A973" i="7" s="1"/>
  <c r="A974" i="7" s="1"/>
  <c r="A975" i="7" s="1"/>
  <c r="A976" i="7" s="1"/>
  <c r="A977" i="7" s="1"/>
  <c r="A978" i="7" s="1"/>
  <c r="A979" i="7" s="1"/>
  <c r="A980" i="7" s="1"/>
  <c r="A981" i="7" s="1"/>
  <c r="A982" i="7" s="1"/>
  <c r="A983" i="7" s="1"/>
  <c r="A984" i="7" s="1"/>
  <c r="A985" i="7" s="1"/>
  <c r="A986" i="7" s="1"/>
  <c r="A987" i="7" s="1"/>
  <c r="A988" i="7" s="1"/>
  <c r="A989" i="7" s="1"/>
  <c r="A990" i="7" s="1"/>
  <c r="A991" i="7" s="1"/>
  <c r="A992" i="7" s="1"/>
  <c r="A993" i="7" s="1"/>
  <c r="A994" i="7" s="1"/>
  <c r="A995" i="7" s="1"/>
  <c r="A996" i="7" s="1"/>
  <c r="A997" i="7" s="1"/>
  <c r="A998" i="7" s="1"/>
  <c r="A999" i="7" s="1"/>
  <c r="A1000" i="7" s="1"/>
  <c r="A1001" i="7" s="1"/>
  <c r="A1002" i="7" s="1"/>
  <c r="A1003" i="7" s="1"/>
  <c r="A1004" i="7" s="1"/>
  <c r="A1005" i="7" s="1"/>
  <c r="A1006" i="7" s="1"/>
  <c r="A1007" i="7" s="1"/>
  <c r="A1008" i="7" s="1"/>
  <c r="A1009" i="7" s="1"/>
  <c r="A1010" i="7" s="1"/>
  <c r="A1011" i="7" s="1"/>
  <c r="A1012" i="7" s="1"/>
  <c r="A1013" i="7" s="1"/>
  <c r="A1014" i="7" s="1"/>
  <c r="A1015" i="7" s="1"/>
  <c r="A1016" i="7" s="1"/>
  <c r="A1017" i="7" s="1"/>
  <c r="A1018" i="7" s="1"/>
  <c r="A1019" i="7" s="1"/>
  <c r="E55" i="20"/>
  <c r="B56" i="20" s="1"/>
  <c r="E56" i="20" s="1"/>
  <c r="B57" i="20"/>
  <c r="E57" i="20" s="1"/>
  <c r="B58" i="20"/>
  <c r="E58" i="20"/>
  <c r="B59" i="20"/>
  <c r="E59" i="20" s="1"/>
  <c r="B63" i="20"/>
  <c r="B65" i="20" s="1"/>
  <c r="B64" i="20"/>
  <c r="B66" i="20"/>
  <c r="B67" i="20"/>
  <c r="B68" i="20" s="1"/>
  <c r="E68" i="20" s="1"/>
  <c r="B71" i="20"/>
  <c r="D71" i="20"/>
  <c r="B72" i="20"/>
  <c r="B73" i="20"/>
  <c r="E76" i="20"/>
  <c r="B79" i="20"/>
  <c r="B80" i="20"/>
  <c r="E82" i="20"/>
  <c r="E84" i="20"/>
  <c r="E85" i="20"/>
  <c r="E86" i="20"/>
  <c r="B81" i="20" l="1"/>
  <c r="E87" i="20"/>
  <c r="K868" i="7" l="1"/>
  <c r="N868" i="7" s="1"/>
  <c r="J868" i="7"/>
  <c r="M868" i="7" s="1"/>
  <c r="H868" i="7"/>
  <c r="G868" i="7"/>
  <c r="K867" i="7"/>
  <c r="N867" i="7" s="1"/>
  <c r="J867" i="7"/>
  <c r="M867" i="7" s="1"/>
  <c r="H867" i="7"/>
  <c r="G867" i="7"/>
  <c r="D867" i="7"/>
  <c r="D868" i="7" s="1"/>
  <c r="AB866" i="7"/>
  <c r="Y866" i="7"/>
  <c r="W866" i="7"/>
  <c r="U866" i="7"/>
  <c r="C866" i="7"/>
  <c r="C867" i="7" s="1"/>
  <c r="K1013" i="7"/>
  <c r="N1013" i="7" s="1"/>
  <c r="J1013" i="7"/>
  <c r="M1013" i="7" s="1"/>
  <c r="H1013" i="7"/>
  <c r="G1013" i="7"/>
  <c r="K1017" i="7"/>
  <c r="N1017" i="7" s="1"/>
  <c r="J1017" i="7"/>
  <c r="M1017" i="7" s="1"/>
  <c r="H1017" i="7"/>
  <c r="G1017" i="7"/>
  <c r="K1016" i="7"/>
  <c r="N1016" i="7" s="1"/>
  <c r="J1016" i="7"/>
  <c r="H1016" i="7"/>
  <c r="G1016" i="7"/>
  <c r="O867" i="7" l="1"/>
  <c r="O868" i="7"/>
  <c r="E867" i="7"/>
  <c r="Y867" i="7"/>
  <c r="W867" i="7"/>
  <c r="U867" i="7"/>
  <c r="Y868" i="7"/>
  <c r="W868" i="7"/>
  <c r="U868" i="7"/>
  <c r="C868" i="7"/>
  <c r="L867" i="7"/>
  <c r="L868" i="7"/>
  <c r="O1013" i="7"/>
  <c r="L1013" i="7"/>
  <c r="O1017" i="7"/>
  <c r="Y1017" i="7" s="1"/>
  <c r="L1017" i="7"/>
  <c r="L1016" i="7"/>
  <c r="M1016" i="7"/>
  <c r="E868" i="7" l="1"/>
  <c r="W1017" i="7"/>
  <c r="U1017" i="7"/>
  <c r="Y1013" i="7"/>
  <c r="W1013" i="7"/>
  <c r="U1013" i="7"/>
  <c r="O1016" i="7"/>
  <c r="W1016" i="7" s="1"/>
  <c r="U1016" i="7" l="1"/>
  <c r="Y1016" i="7"/>
  <c r="K1015" i="7"/>
  <c r="N1015" i="7" s="1"/>
  <c r="J1015" i="7"/>
  <c r="M1015" i="7" s="1"/>
  <c r="H1015" i="7"/>
  <c r="G1015" i="7"/>
  <c r="D1015" i="7"/>
  <c r="D1016" i="7" s="1"/>
  <c r="AB1014" i="7"/>
  <c r="Y1014" i="7"/>
  <c r="W1014" i="7"/>
  <c r="U1014" i="7"/>
  <c r="C1014" i="7"/>
  <c r="C1015" i="7" s="1"/>
  <c r="AB1010" i="7"/>
  <c r="Y1010" i="7"/>
  <c r="W1010" i="7"/>
  <c r="U1010" i="7"/>
  <c r="C1010" i="7"/>
  <c r="AB1006" i="7"/>
  <c r="Y1006" i="7"/>
  <c r="W1006" i="7"/>
  <c r="U1006" i="7"/>
  <c r="C1006" i="7"/>
  <c r="AE40" i="11"/>
  <c r="Q3" i="11"/>
  <c r="Q4" i="11"/>
  <c r="AB854" i="7"/>
  <c r="Y854" i="7"/>
  <c r="W854" i="7"/>
  <c r="U854" i="7"/>
  <c r="C854" i="7"/>
  <c r="D1017" i="7" l="1"/>
  <c r="E1015" i="7"/>
  <c r="C1016" i="7"/>
  <c r="O1015" i="7"/>
  <c r="W1015" i="7" s="1"/>
  <c r="L1015" i="7"/>
  <c r="D870" i="7"/>
  <c r="D1011" i="7"/>
  <c r="C1011" i="7"/>
  <c r="C1013" i="7" s="1"/>
  <c r="K1011" i="7"/>
  <c r="N1011" i="7" s="1"/>
  <c r="J1011" i="7"/>
  <c r="H1011" i="7"/>
  <c r="G1011" i="7"/>
  <c r="K1012" i="7"/>
  <c r="N1012" i="7" s="1"/>
  <c r="J1012" i="7"/>
  <c r="M1012" i="7" s="1"/>
  <c r="H1012" i="7"/>
  <c r="G1012" i="7"/>
  <c r="K1009" i="7"/>
  <c r="N1009" i="7" s="1"/>
  <c r="J1009" i="7"/>
  <c r="M1009" i="7" s="1"/>
  <c r="H1009" i="7"/>
  <c r="G1009" i="7"/>
  <c r="K1008" i="7"/>
  <c r="N1008" i="7" s="1"/>
  <c r="J1008" i="7"/>
  <c r="M1008" i="7" s="1"/>
  <c r="H1008" i="7"/>
  <c r="G1008" i="7"/>
  <c r="K1007" i="7"/>
  <c r="N1007" i="7" s="1"/>
  <c r="J1007" i="7"/>
  <c r="M1007" i="7" s="1"/>
  <c r="H1007" i="7"/>
  <c r="G1007" i="7"/>
  <c r="D1007" i="7"/>
  <c r="D1008" i="7" s="1"/>
  <c r="AB1005" i="7"/>
  <c r="Y1005" i="7"/>
  <c r="W1005" i="7"/>
  <c r="U1005" i="7"/>
  <c r="C1005" i="7"/>
  <c r="C1007" i="7" s="1"/>
  <c r="C1008" i="7" s="1"/>
  <c r="C1009" i="7" s="1"/>
  <c r="D956" i="7"/>
  <c r="D953" i="7"/>
  <c r="G954" i="7"/>
  <c r="H954" i="7"/>
  <c r="J954" i="7"/>
  <c r="M954" i="7" s="1"/>
  <c r="K954" i="7"/>
  <c r="N954" i="7" s="1"/>
  <c r="J2240" i="12"/>
  <c r="J2238" i="12"/>
  <c r="J2237" i="12"/>
  <c r="J2236" i="12"/>
  <c r="J2234" i="12"/>
  <c r="J2232" i="12"/>
  <c r="J2231" i="12"/>
  <c r="J2230" i="12"/>
  <c r="J2228" i="12"/>
  <c r="J2226" i="12"/>
  <c r="J2225" i="12"/>
  <c r="J2224" i="12"/>
  <c r="I2240" i="12"/>
  <c r="I2238" i="12"/>
  <c r="I2237" i="12"/>
  <c r="I2236" i="12"/>
  <c r="K2236" i="12" s="1"/>
  <c r="I2234" i="12"/>
  <c r="I2232" i="12"/>
  <c r="I2231" i="12"/>
  <c r="I2230" i="12"/>
  <c r="I2228" i="12"/>
  <c r="I2226" i="12"/>
  <c r="I2225" i="12"/>
  <c r="I2224" i="12"/>
  <c r="H2240" i="12"/>
  <c r="H2238" i="12"/>
  <c r="H2237" i="12"/>
  <c r="H2236" i="12"/>
  <c r="H2234" i="12"/>
  <c r="H2232" i="12"/>
  <c r="H2231" i="12"/>
  <c r="H2230" i="12"/>
  <c r="H2228" i="12"/>
  <c r="H2226" i="12"/>
  <c r="H2225" i="12"/>
  <c r="H2224" i="12"/>
  <c r="F2240" i="12"/>
  <c r="F2238" i="12"/>
  <c r="F2237" i="12"/>
  <c r="F2236" i="12"/>
  <c r="F2234" i="12"/>
  <c r="F2232" i="12"/>
  <c r="F2231" i="12"/>
  <c r="F2230" i="12"/>
  <c r="F2228" i="12"/>
  <c r="F2226" i="12"/>
  <c r="F2225" i="12"/>
  <c r="F2224" i="12"/>
  <c r="E2240" i="12"/>
  <c r="E2238" i="12"/>
  <c r="E2237" i="12"/>
  <c r="E2236" i="12"/>
  <c r="E2234" i="12"/>
  <c r="E2232" i="12"/>
  <c r="E2231" i="12"/>
  <c r="E2230" i="12"/>
  <c r="E2228" i="12"/>
  <c r="E2226" i="12"/>
  <c r="E2225" i="12"/>
  <c r="E2224" i="12"/>
  <c r="AB869" i="7"/>
  <c r="Y869" i="7"/>
  <c r="W869" i="7"/>
  <c r="U869" i="7"/>
  <c r="C869" i="7"/>
  <c r="C870" i="7" s="1"/>
  <c r="K870" i="7"/>
  <c r="J870" i="7"/>
  <c r="I870" i="7"/>
  <c r="H870" i="7"/>
  <c r="G870" i="7"/>
  <c r="C871" i="7"/>
  <c r="N1005" i="7" l="1"/>
  <c r="D1012" i="7"/>
  <c r="D1013" i="7"/>
  <c r="E1013" i="7" s="1"/>
  <c r="E1016" i="7"/>
  <c r="C1017" i="7"/>
  <c r="E1017" i="7" s="1"/>
  <c r="U1015" i="7"/>
  <c r="M870" i="7"/>
  <c r="Y1015" i="7"/>
  <c r="K2238" i="12"/>
  <c r="N870" i="7"/>
  <c r="D1009" i="7"/>
  <c r="E1008" i="7"/>
  <c r="C1012" i="7"/>
  <c r="E1011" i="7"/>
  <c r="O1009" i="7"/>
  <c r="U1009" i="7" s="1"/>
  <c r="O1012" i="7"/>
  <c r="Y1012" i="7" s="1"/>
  <c r="L1011" i="7"/>
  <c r="O1008" i="7"/>
  <c r="Y1008" i="7" s="1"/>
  <c r="M1011" i="7"/>
  <c r="M1005" i="7" s="1"/>
  <c r="L1012" i="7"/>
  <c r="L1008" i="7"/>
  <c r="L1009" i="7"/>
  <c r="E1007" i="7"/>
  <c r="O1007" i="7"/>
  <c r="L1007" i="7"/>
  <c r="O954" i="7"/>
  <c r="U954" i="7" s="1"/>
  <c r="L954" i="7"/>
  <c r="K2237" i="12"/>
  <c r="K2240" i="12"/>
  <c r="K2234" i="12"/>
  <c r="K2230" i="12"/>
  <c r="K2232" i="12"/>
  <c r="K2231" i="12"/>
  <c r="K2228" i="12"/>
  <c r="K2224" i="12"/>
  <c r="K2225" i="12"/>
  <c r="K2226" i="12"/>
  <c r="L870" i="7"/>
  <c r="E1009" i="7" l="1"/>
  <c r="P1005" i="7"/>
  <c r="E1012" i="7"/>
  <c r="O1011" i="7"/>
  <c r="Y1011" i="7" s="1"/>
  <c r="U1012" i="7"/>
  <c r="W1012" i="7"/>
  <c r="Y1009" i="7"/>
  <c r="W1009" i="7"/>
  <c r="U1008" i="7"/>
  <c r="W1008" i="7"/>
  <c r="Y1007" i="7"/>
  <c r="W1007" i="7"/>
  <c r="U1007" i="7"/>
  <c r="W954" i="7"/>
  <c r="Y954" i="7"/>
  <c r="O870" i="7"/>
  <c r="W870" i="7" s="1"/>
  <c r="U1011" i="7" l="1"/>
  <c r="W1011" i="7"/>
  <c r="U870" i="7"/>
  <c r="Y870" i="7"/>
  <c r="K883" i="7" l="1"/>
  <c r="N883" i="7" s="1"/>
  <c r="J883" i="7"/>
  <c r="M883" i="7" s="1"/>
  <c r="H883" i="7"/>
  <c r="G883" i="7"/>
  <c r="AB883" i="7"/>
  <c r="H881" i="7"/>
  <c r="G881" i="7"/>
  <c r="E2219" i="12"/>
  <c r="J2222" i="12"/>
  <c r="H879" i="7"/>
  <c r="G879" i="7"/>
  <c r="D879" i="7"/>
  <c r="D880" i="7" s="1"/>
  <c r="D881" i="7" s="1"/>
  <c r="AB878" i="7"/>
  <c r="Y878" i="7"/>
  <c r="W878" i="7"/>
  <c r="U878" i="7"/>
  <c r="C878" i="7"/>
  <c r="C879" i="7" s="1"/>
  <c r="C880" i="7" s="1"/>
  <c r="C881" i="7" s="1"/>
  <c r="C882" i="7" s="1"/>
  <c r="C883" i="7" s="1"/>
  <c r="AB876" i="7"/>
  <c r="Y876" i="7"/>
  <c r="W876" i="7"/>
  <c r="U876" i="7"/>
  <c r="C876" i="7"/>
  <c r="H882" i="7"/>
  <c r="G882" i="7"/>
  <c r="H880" i="7"/>
  <c r="G880" i="7"/>
  <c r="K877" i="7"/>
  <c r="N877" i="7" s="1"/>
  <c r="J877" i="7"/>
  <c r="M877" i="7" s="1"/>
  <c r="H877" i="7"/>
  <c r="G877" i="7"/>
  <c r="K875" i="7"/>
  <c r="N875" i="7" s="1"/>
  <c r="J875" i="7"/>
  <c r="M875" i="7" s="1"/>
  <c r="H875" i="7"/>
  <c r="G875" i="7"/>
  <c r="D875" i="7"/>
  <c r="D877" i="7" s="1"/>
  <c r="AB874" i="7"/>
  <c r="Y874" i="7"/>
  <c r="W874" i="7"/>
  <c r="U874" i="7"/>
  <c r="C874" i="7"/>
  <c r="C875" i="7" s="1"/>
  <c r="K873" i="7"/>
  <c r="N873" i="7" s="1"/>
  <c r="J873" i="7"/>
  <c r="M873" i="7" s="1"/>
  <c r="H873" i="7"/>
  <c r="G873" i="7"/>
  <c r="D873" i="7"/>
  <c r="AB872" i="7"/>
  <c r="Y872" i="7"/>
  <c r="W872" i="7"/>
  <c r="U872" i="7"/>
  <c r="C872" i="7"/>
  <c r="C873" i="7" s="1"/>
  <c r="E2213" i="12"/>
  <c r="F2213" i="12"/>
  <c r="H2213" i="12"/>
  <c r="I2213" i="12"/>
  <c r="J2213" i="12"/>
  <c r="E2214" i="12"/>
  <c r="F2214" i="12"/>
  <c r="H2214" i="12"/>
  <c r="I2214" i="12"/>
  <c r="J2214" i="12"/>
  <c r="E2215" i="12"/>
  <c r="F2215" i="12"/>
  <c r="H2215" i="12"/>
  <c r="I2215" i="12"/>
  <c r="J2215" i="12"/>
  <c r="E2216" i="12"/>
  <c r="F2216" i="12"/>
  <c r="H2216" i="12"/>
  <c r="I2216" i="12"/>
  <c r="J2216" i="12"/>
  <c r="E2217" i="12"/>
  <c r="F2217" i="12"/>
  <c r="H2217" i="12"/>
  <c r="I2217" i="12"/>
  <c r="J2217" i="12"/>
  <c r="J2220" i="12"/>
  <c r="I2220" i="12"/>
  <c r="H2220" i="12"/>
  <c r="F2220" i="12"/>
  <c r="E2220" i="12"/>
  <c r="J2219" i="12"/>
  <c r="I2219" i="12"/>
  <c r="H2219" i="12"/>
  <c r="F2219" i="12"/>
  <c r="J2212" i="12"/>
  <c r="I2212" i="12"/>
  <c r="H2212" i="12"/>
  <c r="F2212" i="12"/>
  <c r="E2212" i="12"/>
  <c r="J2207" i="12"/>
  <c r="J2208" i="12"/>
  <c r="J2209" i="12"/>
  <c r="J2210" i="12"/>
  <c r="I2207" i="12"/>
  <c r="I2208" i="12"/>
  <c r="I2209" i="12"/>
  <c r="I2210" i="12"/>
  <c r="H2207" i="12"/>
  <c r="H2208" i="12"/>
  <c r="H2209" i="12"/>
  <c r="H2210" i="12"/>
  <c r="F2207" i="12"/>
  <c r="F2208" i="12"/>
  <c r="F2209" i="12"/>
  <c r="F2210" i="12"/>
  <c r="E2207" i="12"/>
  <c r="E2208" i="12"/>
  <c r="E2209" i="12"/>
  <c r="E2210" i="12"/>
  <c r="D856" i="7"/>
  <c r="K856" i="7"/>
  <c r="N856" i="7" s="1"/>
  <c r="J856" i="7"/>
  <c r="M856" i="7" s="1"/>
  <c r="H856" i="7"/>
  <c r="G856" i="7"/>
  <c r="B75" i="1"/>
  <c r="D20" i="1"/>
  <c r="K2" i="12" s="1"/>
  <c r="D7" i="19"/>
  <c r="F6" i="19"/>
  <c r="D6" i="19"/>
  <c r="F5" i="19"/>
  <c r="D5" i="19"/>
  <c r="F4" i="19"/>
  <c r="D4" i="19"/>
  <c r="D7" i="17"/>
  <c r="F6" i="17"/>
  <c r="D6" i="17"/>
  <c r="F5" i="17"/>
  <c r="D5" i="17"/>
  <c r="F4" i="17"/>
  <c r="D4" i="17"/>
  <c r="E37" i="16"/>
  <c r="E31" i="16"/>
  <c r="E30" i="16"/>
  <c r="E21" i="16"/>
  <c r="E15" i="16"/>
  <c r="E14" i="16"/>
  <c r="C5" i="16"/>
  <c r="C4" i="16"/>
  <c r="C3" i="16"/>
  <c r="K2205" i="12"/>
  <c r="J2204" i="12"/>
  <c r="I2204" i="12"/>
  <c r="H2204" i="12"/>
  <c r="F2204" i="12"/>
  <c r="E2204" i="12"/>
  <c r="J2203" i="12"/>
  <c r="I2203" i="12"/>
  <c r="H2203" i="12"/>
  <c r="F2203" i="12"/>
  <c r="E2203" i="12"/>
  <c r="K2201" i="12"/>
  <c r="J2200" i="12"/>
  <c r="I2200" i="12"/>
  <c r="H2200" i="12"/>
  <c r="F2200" i="12"/>
  <c r="E2200" i="12"/>
  <c r="J2199" i="12"/>
  <c r="I2199" i="12"/>
  <c r="H2199" i="12"/>
  <c r="F2199" i="12"/>
  <c r="E2199" i="12"/>
  <c r="J2197" i="12"/>
  <c r="I2197" i="12"/>
  <c r="H2197" i="12"/>
  <c r="F2197" i="12"/>
  <c r="E2197" i="12"/>
  <c r="J2196" i="12"/>
  <c r="I2196" i="12"/>
  <c r="H2196" i="12"/>
  <c r="F2196" i="12"/>
  <c r="E2196" i="12"/>
  <c r="K2195" i="12"/>
  <c r="K2193" i="12"/>
  <c r="J2192" i="12"/>
  <c r="J2191" i="12" s="1"/>
  <c r="I2192" i="12"/>
  <c r="I2191" i="12" s="1"/>
  <c r="G513" i="9" s="1"/>
  <c r="H2192" i="12"/>
  <c r="F2192" i="12"/>
  <c r="E2192" i="12"/>
  <c r="K2190" i="12"/>
  <c r="J2189" i="12"/>
  <c r="I2189" i="12"/>
  <c r="H2189" i="12"/>
  <c r="F2189" i="12"/>
  <c r="E2189" i="12"/>
  <c r="J2188" i="12"/>
  <c r="I2188" i="12"/>
  <c r="H2188" i="12"/>
  <c r="F2188" i="12"/>
  <c r="E2188" i="12"/>
  <c r="J2187" i="12"/>
  <c r="I2187" i="12"/>
  <c r="H2187" i="12"/>
  <c r="F2187" i="12"/>
  <c r="E2187" i="12"/>
  <c r="J2185" i="12"/>
  <c r="I2185" i="12"/>
  <c r="H2185" i="12"/>
  <c r="F2185" i="12"/>
  <c r="E2185" i="12"/>
  <c r="J2184" i="12"/>
  <c r="I2184" i="12"/>
  <c r="H2184" i="12"/>
  <c r="F2184" i="12"/>
  <c r="E2184" i="12"/>
  <c r="K2183" i="12"/>
  <c r="K2181" i="12"/>
  <c r="J2180" i="12"/>
  <c r="J2179" i="12" s="1"/>
  <c r="I2180" i="12"/>
  <c r="H2180" i="12"/>
  <c r="F2180" i="12"/>
  <c r="E2180" i="12"/>
  <c r="K2178" i="12"/>
  <c r="J2177" i="12"/>
  <c r="J2176" i="12" s="1"/>
  <c r="I2177" i="12"/>
  <c r="H2177" i="12"/>
  <c r="F2177" i="12"/>
  <c r="E2177" i="12"/>
  <c r="K2175" i="12"/>
  <c r="J2174" i="12"/>
  <c r="I2174" i="12"/>
  <c r="H2174" i="12"/>
  <c r="F2174" i="12"/>
  <c r="E2174" i="12"/>
  <c r="J2173" i="12"/>
  <c r="I2173" i="12"/>
  <c r="H2173" i="12"/>
  <c r="F2173" i="12"/>
  <c r="E2173" i="12"/>
  <c r="J2171" i="12"/>
  <c r="J2169" i="12" s="1"/>
  <c r="I2171" i="12"/>
  <c r="I2169" i="12" s="1"/>
  <c r="H2171" i="12"/>
  <c r="F2171" i="12"/>
  <c r="E2171" i="12"/>
  <c r="K2170" i="12"/>
  <c r="J2168" i="12"/>
  <c r="J2167" i="12" s="1"/>
  <c r="K677" i="7" s="1"/>
  <c r="N677" i="7" s="1"/>
  <c r="I2168" i="12"/>
  <c r="H2168" i="12"/>
  <c r="F2168" i="12"/>
  <c r="E2168" i="12"/>
  <c r="J2166" i="12"/>
  <c r="J2164" i="12" s="1"/>
  <c r="I2166" i="12"/>
  <c r="H2166" i="12"/>
  <c r="F2166" i="12"/>
  <c r="E2166" i="12"/>
  <c r="K2165" i="12"/>
  <c r="K2163" i="12"/>
  <c r="J2162" i="12"/>
  <c r="I2162" i="12"/>
  <c r="H2162" i="12"/>
  <c r="F2162" i="12"/>
  <c r="E2162" i="12"/>
  <c r="J2161" i="12"/>
  <c r="I2161" i="12"/>
  <c r="H2161" i="12"/>
  <c r="F2161" i="12"/>
  <c r="E2161" i="12"/>
  <c r="J2159" i="12"/>
  <c r="I2159" i="12"/>
  <c r="H2159" i="12"/>
  <c r="F2159" i="12"/>
  <c r="E2159" i="12"/>
  <c r="J2158" i="12"/>
  <c r="I2158" i="12"/>
  <c r="H2158" i="12"/>
  <c r="F2158" i="12"/>
  <c r="E2158" i="12"/>
  <c r="J2157" i="12"/>
  <c r="I2157" i="12"/>
  <c r="H2157" i="12"/>
  <c r="F2157" i="12"/>
  <c r="E2157" i="12"/>
  <c r="J2156" i="12"/>
  <c r="I2156" i="12"/>
  <c r="H2156" i="12"/>
  <c r="F2156" i="12"/>
  <c r="E2156" i="12"/>
  <c r="J2155" i="12"/>
  <c r="I2155" i="12"/>
  <c r="H2155" i="12"/>
  <c r="F2155" i="12"/>
  <c r="E2155" i="12"/>
  <c r="J2154" i="12"/>
  <c r="I2154" i="12"/>
  <c r="H2154" i="12"/>
  <c r="F2154" i="12"/>
  <c r="E2154" i="12"/>
  <c r="I2153" i="12"/>
  <c r="K2153" i="12" s="1"/>
  <c r="H2153" i="12"/>
  <c r="F2153" i="12"/>
  <c r="E2153" i="12"/>
  <c r="J2152" i="12"/>
  <c r="I2152" i="12"/>
  <c r="H2152" i="12"/>
  <c r="F2152" i="12"/>
  <c r="E2152" i="12"/>
  <c r="J2150" i="12"/>
  <c r="I2150" i="12"/>
  <c r="H2150" i="12"/>
  <c r="F2150" i="12"/>
  <c r="E2150" i="12"/>
  <c r="J2149" i="12"/>
  <c r="I2149" i="12"/>
  <c r="H2149" i="12"/>
  <c r="F2149" i="12"/>
  <c r="E2149" i="12"/>
  <c r="H2148" i="12"/>
  <c r="G2148" i="12"/>
  <c r="I2148" i="12" s="1"/>
  <c r="F2148" i="12"/>
  <c r="E2148" i="12"/>
  <c r="J2147" i="12"/>
  <c r="I2147" i="12"/>
  <c r="H2147" i="12"/>
  <c r="F2147" i="12"/>
  <c r="E2147" i="12"/>
  <c r="H2145" i="12"/>
  <c r="G2145" i="12"/>
  <c r="I2145" i="12" s="1"/>
  <c r="F2145" i="12"/>
  <c r="E2145" i="12"/>
  <c r="H2144" i="12"/>
  <c r="G2144" i="12"/>
  <c r="J2144" i="12" s="1"/>
  <c r="F2144" i="12"/>
  <c r="E2144" i="12"/>
  <c r="I2143" i="12"/>
  <c r="K2143" i="12" s="1"/>
  <c r="J2142" i="12"/>
  <c r="I2142" i="12"/>
  <c r="H2142" i="12"/>
  <c r="F2142" i="12"/>
  <c r="E2142" i="12"/>
  <c r="J2141" i="12"/>
  <c r="I2141" i="12"/>
  <c r="H2141" i="12"/>
  <c r="F2141" i="12"/>
  <c r="E2141" i="12"/>
  <c r="I2139" i="12"/>
  <c r="K2139" i="12" s="1"/>
  <c r="J2138" i="12"/>
  <c r="I2138" i="12"/>
  <c r="H2138" i="12"/>
  <c r="F2138" i="12"/>
  <c r="E2138" i="12"/>
  <c r="J2137" i="12"/>
  <c r="I2137" i="12"/>
  <c r="H2137" i="12"/>
  <c r="F2137" i="12"/>
  <c r="E2137" i="12"/>
  <c r="J2136" i="12"/>
  <c r="I2136" i="12"/>
  <c r="H2136" i="12"/>
  <c r="F2136" i="12"/>
  <c r="E2136" i="12"/>
  <c r="J2135" i="12"/>
  <c r="I2135" i="12"/>
  <c r="H2135" i="12"/>
  <c r="F2135" i="12"/>
  <c r="E2135" i="12"/>
  <c r="I2133" i="12"/>
  <c r="K2133" i="12" s="1"/>
  <c r="J2132" i="12"/>
  <c r="I2132" i="12"/>
  <c r="H2132" i="12"/>
  <c r="F2132" i="12"/>
  <c r="E2132" i="12"/>
  <c r="J2131" i="12"/>
  <c r="I2131" i="12"/>
  <c r="H2131" i="12"/>
  <c r="F2131" i="12"/>
  <c r="E2131" i="12"/>
  <c r="J2130" i="12"/>
  <c r="I2130" i="12"/>
  <c r="H2130" i="12"/>
  <c r="F2130" i="12"/>
  <c r="E2130" i="12"/>
  <c r="J2129" i="12"/>
  <c r="I2129" i="12"/>
  <c r="H2129" i="12"/>
  <c r="F2129" i="12"/>
  <c r="E2129" i="12"/>
  <c r="J2127" i="12"/>
  <c r="I2127" i="12"/>
  <c r="H2127" i="12"/>
  <c r="F2127" i="12"/>
  <c r="E2127" i="12"/>
  <c r="J2126" i="12"/>
  <c r="I2126" i="12"/>
  <c r="H2126" i="12"/>
  <c r="F2126" i="12"/>
  <c r="E2126" i="12"/>
  <c r="J2125" i="12"/>
  <c r="I2125" i="12"/>
  <c r="H2125" i="12"/>
  <c r="F2125" i="12"/>
  <c r="E2125" i="12"/>
  <c r="J2124" i="12"/>
  <c r="I2124" i="12"/>
  <c r="H2124" i="12"/>
  <c r="F2124" i="12"/>
  <c r="E2124" i="12"/>
  <c r="J2123" i="12"/>
  <c r="I2123" i="12"/>
  <c r="H2123" i="12"/>
  <c r="F2123" i="12"/>
  <c r="E2123" i="12"/>
  <c r="J2121" i="12"/>
  <c r="J2119" i="12" s="1"/>
  <c r="K233" i="7" s="1"/>
  <c r="N233" i="7" s="1"/>
  <c r="I2121" i="12"/>
  <c r="H2121" i="12"/>
  <c r="F2121" i="12"/>
  <c r="E2121" i="12"/>
  <c r="I2120" i="12"/>
  <c r="K2120" i="12" s="1"/>
  <c r="I2118" i="12"/>
  <c r="K2118" i="12" s="1"/>
  <c r="J2117" i="12"/>
  <c r="I2117" i="12"/>
  <c r="H2117" i="12"/>
  <c r="F2117" i="12"/>
  <c r="E2117" i="12"/>
  <c r="J2116" i="12"/>
  <c r="I2116" i="12"/>
  <c r="H2116" i="12"/>
  <c r="F2116" i="12"/>
  <c r="E2116" i="12"/>
  <c r="J2115" i="12"/>
  <c r="I2115" i="12"/>
  <c r="H2115" i="12"/>
  <c r="F2115" i="12"/>
  <c r="E2115" i="12"/>
  <c r="J2113" i="12"/>
  <c r="I2113" i="12"/>
  <c r="H2113" i="12"/>
  <c r="F2113" i="12"/>
  <c r="E2113" i="12"/>
  <c r="I2112" i="12"/>
  <c r="K2112" i="12" s="1"/>
  <c r="J2111" i="12"/>
  <c r="I2111" i="12"/>
  <c r="H2111" i="12"/>
  <c r="F2111" i="12"/>
  <c r="E2111" i="12"/>
  <c r="J2110" i="12"/>
  <c r="I2110" i="12"/>
  <c r="H2110" i="12"/>
  <c r="F2110" i="12"/>
  <c r="E2110" i="12"/>
  <c r="J2108" i="12"/>
  <c r="I2108" i="12"/>
  <c r="H2108" i="12"/>
  <c r="F2108" i="12"/>
  <c r="E2108" i="12"/>
  <c r="J2107" i="12"/>
  <c r="I2107" i="12"/>
  <c r="H2107" i="12"/>
  <c r="F2107" i="12"/>
  <c r="E2107" i="12"/>
  <c r="I2105" i="12"/>
  <c r="K2105" i="12" s="1"/>
  <c r="J2104" i="12"/>
  <c r="I2104" i="12"/>
  <c r="H2104" i="12"/>
  <c r="F2104" i="12"/>
  <c r="E2104" i="12"/>
  <c r="J2103" i="12"/>
  <c r="I2103" i="12"/>
  <c r="H2103" i="12"/>
  <c r="F2103" i="12"/>
  <c r="E2103" i="12"/>
  <c r="J2102" i="12"/>
  <c r="I2102" i="12"/>
  <c r="H2102" i="12"/>
  <c r="F2102" i="12"/>
  <c r="E2102" i="12"/>
  <c r="J2101" i="12"/>
  <c r="I2101" i="12"/>
  <c r="H2101" i="12"/>
  <c r="F2101" i="12"/>
  <c r="E2101" i="12"/>
  <c r="I2099" i="12"/>
  <c r="K2099" i="12" s="1"/>
  <c r="J2098" i="12"/>
  <c r="I2098" i="12"/>
  <c r="H2098" i="12"/>
  <c r="F2098" i="12"/>
  <c r="E2098" i="12"/>
  <c r="J2097" i="12"/>
  <c r="I2097" i="12"/>
  <c r="H2097" i="12"/>
  <c r="F2097" i="12"/>
  <c r="E2097" i="12"/>
  <c r="J2096" i="12"/>
  <c r="I2096" i="12"/>
  <c r="H2096" i="12"/>
  <c r="F2096" i="12"/>
  <c r="E2096" i="12"/>
  <c r="G2094" i="12"/>
  <c r="I2094" i="12" s="1"/>
  <c r="K2094" i="12" s="1"/>
  <c r="J2093" i="12"/>
  <c r="I2093" i="12"/>
  <c r="H2093" i="12"/>
  <c r="F2093" i="12"/>
  <c r="E2093" i="12"/>
  <c r="J2092" i="12"/>
  <c r="I2092" i="12"/>
  <c r="H2092" i="12"/>
  <c r="F2092" i="12"/>
  <c r="E2092" i="12"/>
  <c r="J2091" i="12"/>
  <c r="I2091" i="12"/>
  <c r="H2091" i="12"/>
  <c r="F2091" i="12"/>
  <c r="E2091" i="12"/>
  <c r="H2089" i="12"/>
  <c r="F2089" i="12"/>
  <c r="E2089" i="12"/>
  <c r="H2088" i="12"/>
  <c r="F2088" i="12"/>
  <c r="E2088" i="12"/>
  <c r="H2087" i="12"/>
  <c r="F2087" i="12"/>
  <c r="E2087" i="12"/>
  <c r="G2086" i="12"/>
  <c r="G2087" i="12" s="1"/>
  <c r="I2087" i="12" s="1"/>
  <c r="G2085" i="12"/>
  <c r="G2089" i="12" s="1"/>
  <c r="F2085" i="12"/>
  <c r="E2085" i="12"/>
  <c r="H2083" i="12"/>
  <c r="F2083" i="12"/>
  <c r="E2083" i="12"/>
  <c r="J2082" i="12"/>
  <c r="I2082" i="12"/>
  <c r="H2082" i="12"/>
  <c r="F2082" i="12"/>
  <c r="E2082" i="12"/>
  <c r="G2081" i="12"/>
  <c r="G2083" i="12" s="1"/>
  <c r="I2083" i="12" s="1"/>
  <c r="F2081" i="12"/>
  <c r="E2081" i="12"/>
  <c r="H2079" i="12"/>
  <c r="F2079" i="12"/>
  <c r="E2079" i="12"/>
  <c r="J2078" i="12"/>
  <c r="I2078" i="12"/>
  <c r="H2078" i="12"/>
  <c r="F2078" i="12"/>
  <c r="E2078" i="12"/>
  <c r="G2077" i="12"/>
  <c r="F2077" i="12"/>
  <c r="E2077" i="12"/>
  <c r="F2076" i="12"/>
  <c r="E2076" i="12"/>
  <c r="H2074" i="12"/>
  <c r="F2074" i="12"/>
  <c r="E2074" i="12"/>
  <c r="J2073" i="12"/>
  <c r="I2073" i="12"/>
  <c r="H2073" i="12"/>
  <c r="F2073" i="12"/>
  <c r="E2073" i="12"/>
  <c r="G2072" i="12"/>
  <c r="F2072" i="12"/>
  <c r="E2072" i="12"/>
  <c r="G2071" i="12"/>
  <c r="F2071" i="12"/>
  <c r="E2071" i="12"/>
  <c r="I2069" i="12"/>
  <c r="K2069" i="12" s="1"/>
  <c r="J2068" i="12"/>
  <c r="I2068" i="12"/>
  <c r="H2068" i="12"/>
  <c r="F2068" i="12"/>
  <c r="E2068" i="12"/>
  <c r="J2067" i="12"/>
  <c r="I2067" i="12"/>
  <c r="H2067" i="12"/>
  <c r="F2067" i="12"/>
  <c r="E2067" i="12"/>
  <c r="I2065" i="12"/>
  <c r="K2065" i="12" s="1"/>
  <c r="J2064" i="12"/>
  <c r="I2064" i="12"/>
  <c r="H2064" i="12"/>
  <c r="F2064" i="12"/>
  <c r="E2064" i="12"/>
  <c r="J2063" i="12"/>
  <c r="I2063" i="12"/>
  <c r="H2063" i="12"/>
  <c r="F2063" i="12"/>
  <c r="E2063" i="12"/>
  <c r="I2061" i="12"/>
  <c r="K2061" i="12" s="1"/>
  <c r="J2060" i="12"/>
  <c r="I2060" i="12"/>
  <c r="H2060" i="12"/>
  <c r="F2060" i="12"/>
  <c r="E2060" i="12"/>
  <c r="J2059" i="12"/>
  <c r="I2059" i="12"/>
  <c r="H2059" i="12"/>
  <c r="F2059" i="12"/>
  <c r="E2059" i="12"/>
  <c r="J2057" i="12"/>
  <c r="I2057" i="12"/>
  <c r="H2057" i="12"/>
  <c r="F2057" i="12"/>
  <c r="E2057" i="12"/>
  <c r="J2056" i="12"/>
  <c r="I2056" i="12"/>
  <c r="H2056" i="12"/>
  <c r="F2056" i="12"/>
  <c r="E2056" i="12"/>
  <c r="J2055" i="12"/>
  <c r="I2055" i="12"/>
  <c r="H2055" i="12"/>
  <c r="F2055" i="12"/>
  <c r="E2055" i="12"/>
  <c r="I2054" i="12"/>
  <c r="K2054" i="12" s="1"/>
  <c r="G2052" i="12"/>
  <c r="I2052" i="12" s="1"/>
  <c r="K2052" i="12" s="1"/>
  <c r="J2051" i="12"/>
  <c r="I2051" i="12"/>
  <c r="H2051" i="12"/>
  <c r="F2051" i="12"/>
  <c r="E2051" i="12"/>
  <c r="J2050" i="12"/>
  <c r="I2050" i="12"/>
  <c r="H2050" i="12"/>
  <c r="F2050" i="12"/>
  <c r="E2050" i="12"/>
  <c r="G2048" i="12"/>
  <c r="I2048" i="12" s="1"/>
  <c r="J2047" i="12"/>
  <c r="I2047" i="12"/>
  <c r="H2047" i="12"/>
  <c r="F2047" i="12"/>
  <c r="E2047" i="12"/>
  <c r="J2046" i="12"/>
  <c r="I2046" i="12"/>
  <c r="H2046" i="12"/>
  <c r="F2046" i="12"/>
  <c r="E2046" i="12"/>
  <c r="J2044" i="12"/>
  <c r="I2044" i="12"/>
  <c r="H2044" i="12"/>
  <c r="F2044" i="12"/>
  <c r="E2044" i="12"/>
  <c r="J2043" i="12"/>
  <c r="I2043" i="12"/>
  <c r="H2043" i="12"/>
  <c r="F2043" i="12"/>
  <c r="E2043" i="12"/>
  <c r="J2042" i="12"/>
  <c r="I2042" i="12"/>
  <c r="H2042" i="12"/>
  <c r="F2042" i="12"/>
  <c r="E2042" i="12"/>
  <c r="J2041" i="12"/>
  <c r="I2041" i="12"/>
  <c r="H2041" i="12"/>
  <c r="F2041" i="12"/>
  <c r="E2041" i="12"/>
  <c r="J2040" i="12"/>
  <c r="I2040" i="12"/>
  <c r="H2040" i="12"/>
  <c r="F2040" i="12"/>
  <c r="E2040" i="12"/>
  <c r="J2039" i="12"/>
  <c r="I2039" i="12"/>
  <c r="H2039" i="12"/>
  <c r="F2039" i="12"/>
  <c r="E2039" i="12"/>
  <c r="J2038" i="12"/>
  <c r="I2038" i="12"/>
  <c r="H2038" i="12"/>
  <c r="F2038" i="12"/>
  <c r="E2038" i="12"/>
  <c r="J2037" i="12"/>
  <c r="I2037" i="12"/>
  <c r="H2037" i="12"/>
  <c r="F2037" i="12"/>
  <c r="E2037" i="12"/>
  <c r="J2036" i="12"/>
  <c r="I2036" i="12"/>
  <c r="H2036" i="12"/>
  <c r="F2036" i="12"/>
  <c r="E2036" i="12"/>
  <c r="J2035" i="12"/>
  <c r="I2035" i="12"/>
  <c r="H2035" i="12"/>
  <c r="F2035" i="12"/>
  <c r="E2035" i="12"/>
  <c r="J2034" i="12"/>
  <c r="I2034" i="12"/>
  <c r="H2034" i="12"/>
  <c r="F2034" i="12"/>
  <c r="E2034" i="12"/>
  <c r="J2033" i="12"/>
  <c r="I2033" i="12"/>
  <c r="H2033" i="12"/>
  <c r="F2033" i="12"/>
  <c r="E2033" i="12"/>
  <c r="J2032" i="12"/>
  <c r="I2032" i="12"/>
  <c r="H2032" i="12"/>
  <c r="F2032" i="12"/>
  <c r="E2032" i="12"/>
  <c r="J2031" i="12"/>
  <c r="I2031" i="12"/>
  <c r="H2031" i="12"/>
  <c r="F2031" i="12"/>
  <c r="E2031" i="12"/>
  <c r="J2029" i="12"/>
  <c r="I2029" i="12"/>
  <c r="H2029" i="12"/>
  <c r="F2029" i="12"/>
  <c r="E2029" i="12"/>
  <c r="J2028" i="12"/>
  <c r="I2028" i="12"/>
  <c r="H2028" i="12"/>
  <c r="F2028" i="12"/>
  <c r="E2028" i="12"/>
  <c r="J2027" i="12"/>
  <c r="I2027" i="12"/>
  <c r="H2027" i="12"/>
  <c r="F2027" i="12"/>
  <c r="E2027" i="12"/>
  <c r="J2026" i="12"/>
  <c r="I2026" i="12"/>
  <c r="H2026" i="12"/>
  <c r="F2026" i="12"/>
  <c r="E2026" i="12"/>
  <c r="J2025" i="12"/>
  <c r="I2025" i="12"/>
  <c r="H2025" i="12"/>
  <c r="F2025" i="12"/>
  <c r="E2025" i="12"/>
  <c r="J2024" i="12"/>
  <c r="I2024" i="12"/>
  <c r="H2024" i="12"/>
  <c r="F2024" i="12"/>
  <c r="E2024" i="12"/>
  <c r="J2023" i="12"/>
  <c r="I2023" i="12"/>
  <c r="H2023" i="12"/>
  <c r="F2023" i="12"/>
  <c r="E2023" i="12"/>
  <c r="J2022" i="12"/>
  <c r="I2022" i="12"/>
  <c r="H2022" i="12"/>
  <c r="F2022" i="12"/>
  <c r="E2022" i="12"/>
  <c r="J2021" i="12"/>
  <c r="I2021" i="12"/>
  <c r="H2021" i="12"/>
  <c r="F2021" i="12"/>
  <c r="E2021" i="12"/>
  <c r="J2020" i="12"/>
  <c r="I2020" i="12"/>
  <c r="H2020" i="12"/>
  <c r="F2020" i="12"/>
  <c r="E2020" i="12"/>
  <c r="J2019" i="12"/>
  <c r="I2019" i="12"/>
  <c r="H2019" i="12"/>
  <c r="F2019" i="12"/>
  <c r="E2019" i="12"/>
  <c r="J2018" i="12"/>
  <c r="I2018" i="12"/>
  <c r="H2018" i="12"/>
  <c r="F2018" i="12"/>
  <c r="E2018" i="12"/>
  <c r="J2017" i="12"/>
  <c r="I2017" i="12"/>
  <c r="H2017" i="12"/>
  <c r="F2017" i="12"/>
  <c r="E2017" i="12"/>
  <c r="J2016" i="12"/>
  <c r="I2016" i="12"/>
  <c r="H2016" i="12"/>
  <c r="F2016" i="12"/>
  <c r="E2016" i="12"/>
  <c r="J2014" i="12"/>
  <c r="I2014" i="12"/>
  <c r="H2014" i="12"/>
  <c r="F2014" i="12"/>
  <c r="E2014" i="12"/>
  <c r="J2013" i="12"/>
  <c r="I2013" i="12"/>
  <c r="H2013" i="12"/>
  <c r="F2013" i="12"/>
  <c r="E2013" i="12"/>
  <c r="J2012" i="12"/>
  <c r="I2012" i="12"/>
  <c r="H2012" i="12"/>
  <c r="F2012" i="12"/>
  <c r="E2012" i="12"/>
  <c r="J2011" i="12"/>
  <c r="I2011" i="12"/>
  <c r="H2011" i="12"/>
  <c r="F2011" i="12"/>
  <c r="E2011" i="12"/>
  <c r="J2010" i="12"/>
  <c r="I2010" i="12"/>
  <c r="H2010" i="12"/>
  <c r="F2010" i="12"/>
  <c r="E2010" i="12"/>
  <c r="J2009" i="12"/>
  <c r="I2009" i="12"/>
  <c r="H2009" i="12"/>
  <c r="F2009" i="12"/>
  <c r="E2009" i="12"/>
  <c r="J2008" i="12"/>
  <c r="I2008" i="12"/>
  <c r="H2008" i="12"/>
  <c r="F2008" i="12"/>
  <c r="E2008" i="12"/>
  <c r="J2007" i="12"/>
  <c r="I2007" i="12"/>
  <c r="H2007" i="12"/>
  <c r="F2007" i="12"/>
  <c r="E2007" i="12"/>
  <c r="J2006" i="12"/>
  <c r="I2006" i="12"/>
  <c r="H2006" i="12"/>
  <c r="F2006" i="12"/>
  <c r="E2006" i="12"/>
  <c r="J2005" i="12"/>
  <c r="I2005" i="12"/>
  <c r="H2005" i="12"/>
  <c r="F2005" i="12"/>
  <c r="E2005" i="12"/>
  <c r="J2004" i="12"/>
  <c r="I2004" i="12"/>
  <c r="H2004" i="12"/>
  <c r="F2004" i="12"/>
  <c r="E2004" i="12"/>
  <c r="J2003" i="12"/>
  <c r="I2003" i="12"/>
  <c r="H2003" i="12"/>
  <c r="F2003" i="12"/>
  <c r="E2003" i="12"/>
  <c r="J2002" i="12"/>
  <c r="I2002" i="12"/>
  <c r="H2002" i="12"/>
  <c r="F2002" i="12"/>
  <c r="E2002" i="12"/>
  <c r="J2001" i="12"/>
  <c r="I2001" i="12"/>
  <c r="H2001" i="12"/>
  <c r="F2001" i="12"/>
  <c r="E2001" i="12"/>
  <c r="J1999" i="12"/>
  <c r="I1999" i="12"/>
  <c r="H1999" i="12"/>
  <c r="F1999" i="12"/>
  <c r="E1999" i="12"/>
  <c r="J1998" i="12"/>
  <c r="I1998" i="12"/>
  <c r="H1998" i="12"/>
  <c r="F1998" i="12"/>
  <c r="E1998" i="12"/>
  <c r="J1997" i="12"/>
  <c r="I1997" i="12"/>
  <c r="H1997" i="12"/>
  <c r="F1997" i="12"/>
  <c r="E1997" i="12"/>
  <c r="I1995" i="12"/>
  <c r="K1995" i="12" s="1"/>
  <c r="H1995" i="12"/>
  <c r="F1995" i="12"/>
  <c r="E1995" i="12"/>
  <c r="J1994" i="12"/>
  <c r="I1994" i="12"/>
  <c r="H1994" i="12"/>
  <c r="F1994" i="12"/>
  <c r="E1994" i="12"/>
  <c r="J1993" i="12"/>
  <c r="I1993" i="12"/>
  <c r="H1993" i="12"/>
  <c r="F1993" i="12"/>
  <c r="E1993" i="12"/>
  <c r="J1991" i="12"/>
  <c r="I1991" i="12"/>
  <c r="H1991" i="12"/>
  <c r="F1991" i="12"/>
  <c r="E1991" i="12"/>
  <c r="J1990" i="12"/>
  <c r="I1990" i="12"/>
  <c r="H1990" i="12"/>
  <c r="F1990" i="12"/>
  <c r="E1990" i="12"/>
  <c r="J1988" i="12"/>
  <c r="I1988" i="12"/>
  <c r="H1988" i="12"/>
  <c r="F1988" i="12"/>
  <c r="E1988" i="12"/>
  <c r="J1987" i="12"/>
  <c r="I1987" i="12"/>
  <c r="H1987" i="12"/>
  <c r="F1987" i="12"/>
  <c r="E1987" i="12"/>
  <c r="G1986" i="12"/>
  <c r="I1986" i="12" s="1"/>
  <c r="J1984" i="12"/>
  <c r="I1984" i="12"/>
  <c r="H1984" i="12"/>
  <c r="F1984" i="12"/>
  <c r="E1984" i="12"/>
  <c r="J1983" i="12"/>
  <c r="I1983" i="12"/>
  <c r="H1983" i="12"/>
  <c r="F1983" i="12"/>
  <c r="E1983" i="12"/>
  <c r="G1982" i="12"/>
  <c r="I1982" i="12" s="1"/>
  <c r="K1982" i="12" s="1"/>
  <c r="J1980" i="12"/>
  <c r="I1980" i="12"/>
  <c r="H1980" i="12"/>
  <c r="F1980" i="12"/>
  <c r="E1980" i="12"/>
  <c r="J1979" i="12"/>
  <c r="I1979" i="12"/>
  <c r="H1979" i="12"/>
  <c r="F1979" i="12"/>
  <c r="E1979" i="12"/>
  <c r="J1978" i="12"/>
  <c r="I1978" i="12"/>
  <c r="H1978" i="12"/>
  <c r="F1978" i="12"/>
  <c r="E1978" i="12"/>
  <c r="J1977" i="12"/>
  <c r="I1977" i="12"/>
  <c r="H1977" i="12"/>
  <c r="F1977" i="12"/>
  <c r="E1977" i="12"/>
  <c r="J1976" i="12"/>
  <c r="I1976" i="12"/>
  <c r="H1976" i="12"/>
  <c r="F1976" i="12"/>
  <c r="E1976" i="12"/>
  <c r="J1975" i="12"/>
  <c r="I1975" i="12"/>
  <c r="H1975" i="12"/>
  <c r="F1975" i="12"/>
  <c r="E1975" i="12"/>
  <c r="J1974" i="12"/>
  <c r="I1974" i="12"/>
  <c r="H1974" i="12"/>
  <c r="F1974" i="12"/>
  <c r="E1974" i="12"/>
  <c r="J1973" i="12"/>
  <c r="I1973" i="12"/>
  <c r="H1973" i="12"/>
  <c r="F1973" i="12"/>
  <c r="E1973" i="12"/>
  <c r="J1972" i="12"/>
  <c r="I1972" i="12"/>
  <c r="H1972" i="12"/>
  <c r="F1972" i="12"/>
  <c r="E1972" i="12"/>
  <c r="J1971" i="12"/>
  <c r="I1971" i="12"/>
  <c r="H1971" i="12"/>
  <c r="F1971" i="12"/>
  <c r="E1971" i="12"/>
  <c r="J1970" i="12"/>
  <c r="I1970" i="12"/>
  <c r="H1970" i="12"/>
  <c r="F1970" i="12"/>
  <c r="E1970" i="12"/>
  <c r="J1969" i="12"/>
  <c r="I1969" i="12"/>
  <c r="H1969" i="12"/>
  <c r="F1969" i="12"/>
  <c r="E1969" i="12"/>
  <c r="J1968" i="12"/>
  <c r="I1968" i="12"/>
  <c r="H1968" i="12"/>
  <c r="F1968" i="12"/>
  <c r="E1968" i="12"/>
  <c r="J1967" i="12"/>
  <c r="I1967" i="12"/>
  <c r="H1967" i="12"/>
  <c r="F1967" i="12"/>
  <c r="E1967" i="12"/>
  <c r="J1966" i="12"/>
  <c r="I1966" i="12"/>
  <c r="H1966" i="12"/>
  <c r="F1966" i="12"/>
  <c r="E1966" i="12"/>
  <c r="J1965" i="12"/>
  <c r="I1965" i="12"/>
  <c r="H1965" i="12"/>
  <c r="F1965" i="12"/>
  <c r="E1965" i="12"/>
  <c r="J1964" i="12"/>
  <c r="I1964" i="12"/>
  <c r="H1964" i="12"/>
  <c r="F1964" i="12"/>
  <c r="E1964" i="12"/>
  <c r="J1963" i="12"/>
  <c r="I1963" i="12"/>
  <c r="H1963" i="12"/>
  <c r="F1963" i="12"/>
  <c r="E1963" i="12"/>
  <c r="J1962" i="12"/>
  <c r="I1962" i="12"/>
  <c r="H1962" i="12"/>
  <c r="F1962" i="12"/>
  <c r="E1962" i="12"/>
  <c r="J1961" i="12"/>
  <c r="I1961" i="12"/>
  <c r="H1961" i="12"/>
  <c r="F1961" i="12"/>
  <c r="E1961" i="12"/>
  <c r="J1960" i="12"/>
  <c r="I1960" i="12"/>
  <c r="H1960" i="12"/>
  <c r="F1960" i="12"/>
  <c r="E1960" i="12"/>
  <c r="J1959" i="12"/>
  <c r="I1959" i="12"/>
  <c r="H1959" i="12"/>
  <c r="F1959" i="12"/>
  <c r="E1959" i="12"/>
  <c r="I1957" i="12"/>
  <c r="K1957" i="12" s="1"/>
  <c r="H1957" i="12"/>
  <c r="F1957" i="12"/>
  <c r="E1957" i="12"/>
  <c r="I1956" i="12"/>
  <c r="K1956" i="12" s="1"/>
  <c r="H1956" i="12"/>
  <c r="F1956" i="12"/>
  <c r="E1956" i="12"/>
  <c r="I1955" i="12"/>
  <c r="K1955" i="12" s="1"/>
  <c r="H1955" i="12"/>
  <c r="F1955" i="12"/>
  <c r="E1955" i="12"/>
  <c r="I1954" i="12"/>
  <c r="K1954" i="12" s="1"/>
  <c r="H1954" i="12"/>
  <c r="F1954" i="12"/>
  <c r="E1954" i="12"/>
  <c r="J1953" i="12"/>
  <c r="I1953" i="12"/>
  <c r="H1953" i="12"/>
  <c r="F1953" i="12"/>
  <c r="E1953" i="12"/>
  <c r="J1952" i="12"/>
  <c r="I1952" i="12"/>
  <c r="H1952" i="12"/>
  <c r="F1952" i="12"/>
  <c r="E1952" i="12"/>
  <c r="J1951" i="12"/>
  <c r="I1951" i="12"/>
  <c r="H1951" i="12"/>
  <c r="F1951" i="12"/>
  <c r="E1951" i="12"/>
  <c r="J1950" i="12"/>
  <c r="I1950" i="12"/>
  <c r="H1950" i="12"/>
  <c r="F1950" i="12"/>
  <c r="E1950" i="12"/>
  <c r="J1949" i="12"/>
  <c r="I1949" i="12"/>
  <c r="H1949" i="12"/>
  <c r="F1949" i="12"/>
  <c r="E1949" i="12"/>
  <c r="J1948" i="12"/>
  <c r="I1948" i="12"/>
  <c r="H1948" i="12"/>
  <c r="F1948" i="12"/>
  <c r="E1948" i="12"/>
  <c r="J1947" i="12"/>
  <c r="I1947" i="12"/>
  <c r="H1947" i="12"/>
  <c r="F1947" i="12"/>
  <c r="E1947" i="12"/>
  <c r="J1945" i="12"/>
  <c r="I1945" i="12"/>
  <c r="H1945" i="12"/>
  <c r="F1945" i="12"/>
  <c r="E1945" i="12"/>
  <c r="J1944" i="12"/>
  <c r="I1944" i="12"/>
  <c r="H1944" i="12"/>
  <c r="F1944" i="12"/>
  <c r="E1944" i="12"/>
  <c r="J1943" i="12"/>
  <c r="I1943" i="12"/>
  <c r="H1943" i="12"/>
  <c r="F1943" i="12"/>
  <c r="E1943" i="12"/>
  <c r="J1942" i="12"/>
  <c r="I1942" i="12"/>
  <c r="H1942" i="12"/>
  <c r="F1942" i="12"/>
  <c r="E1942" i="12"/>
  <c r="J1941" i="12"/>
  <c r="I1941" i="12"/>
  <c r="H1941" i="12"/>
  <c r="F1941" i="12"/>
  <c r="E1941" i="12"/>
  <c r="J1940" i="12"/>
  <c r="I1940" i="12"/>
  <c r="H1940" i="12"/>
  <c r="F1940" i="12"/>
  <c r="E1940" i="12"/>
  <c r="J1939" i="12"/>
  <c r="I1939" i="12"/>
  <c r="H1939" i="12"/>
  <c r="F1939" i="12"/>
  <c r="E1939" i="12"/>
  <c r="J1938" i="12"/>
  <c r="I1938" i="12"/>
  <c r="H1938" i="12"/>
  <c r="F1938" i="12"/>
  <c r="E1938" i="12"/>
  <c r="J1937" i="12"/>
  <c r="I1937" i="12"/>
  <c r="H1937" i="12"/>
  <c r="F1937" i="12"/>
  <c r="E1937" i="12"/>
  <c r="J1936" i="12"/>
  <c r="I1936" i="12"/>
  <c r="H1936" i="12"/>
  <c r="F1936" i="12"/>
  <c r="E1936" i="12"/>
  <c r="F1935" i="12"/>
  <c r="E1935" i="12"/>
  <c r="J1933" i="12"/>
  <c r="I1933" i="12"/>
  <c r="H1933" i="12"/>
  <c r="F1933" i="12"/>
  <c r="E1933" i="12"/>
  <c r="J1932" i="12"/>
  <c r="I1932" i="12"/>
  <c r="H1932" i="12"/>
  <c r="F1932" i="12"/>
  <c r="E1932" i="12"/>
  <c r="J1931" i="12"/>
  <c r="I1931" i="12"/>
  <c r="H1931" i="12"/>
  <c r="F1931" i="12"/>
  <c r="E1931" i="12"/>
  <c r="J1930" i="12"/>
  <c r="I1930" i="12"/>
  <c r="H1930" i="12"/>
  <c r="F1930" i="12"/>
  <c r="E1930" i="12"/>
  <c r="J1929" i="12"/>
  <c r="I1929" i="12"/>
  <c r="H1929" i="12"/>
  <c r="F1929" i="12"/>
  <c r="E1929" i="12"/>
  <c r="J1928" i="12"/>
  <c r="I1928" i="12"/>
  <c r="H1928" i="12"/>
  <c r="F1928" i="12"/>
  <c r="E1928" i="12"/>
  <c r="J1927" i="12"/>
  <c r="I1927" i="12"/>
  <c r="H1927" i="12"/>
  <c r="F1927" i="12"/>
  <c r="E1927" i="12"/>
  <c r="J1926" i="12"/>
  <c r="I1926" i="12"/>
  <c r="H1926" i="12"/>
  <c r="F1926" i="12"/>
  <c r="E1926" i="12"/>
  <c r="J1925" i="12"/>
  <c r="I1925" i="12"/>
  <c r="H1925" i="12"/>
  <c r="F1925" i="12"/>
  <c r="E1925" i="12"/>
  <c r="J1924" i="12"/>
  <c r="I1924" i="12"/>
  <c r="H1924" i="12"/>
  <c r="F1924" i="12"/>
  <c r="E1924" i="12"/>
  <c r="J1923" i="12"/>
  <c r="I1923" i="12"/>
  <c r="H1923" i="12"/>
  <c r="F1923" i="12"/>
  <c r="E1923" i="12"/>
  <c r="J1922" i="12"/>
  <c r="I1922" i="12"/>
  <c r="H1922" i="12"/>
  <c r="F1922" i="12"/>
  <c r="E1922" i="12"/>
  <c r="J1921" i="12"/>
  <c r="I1921" i="12"/>
  <c r="H1921" i="12"/>
  <c r="F1921" i="12"/>
  <c r="E1921" i="12"/>
  <c r="F1920" i="12"/>
  <c r="E1920" i="12"/>
  <c r="J1918" i="12"/>
  <c r="I1918" i="12"/>
  <c r="H1918" i="12"/>
  <c r="F1918" i="12"/>
  <c r="E1918" i="12"/>
  <c r="J1917" i="12"/>
  <c r="I1917" i="12"/>
  <c r="H1917" i="12"/>
  <c r="F1917" i="12"/>
  <c r="E1917" i="12"/>
  <c r="J1916" i="12"/>
  <c r="I1916" i="12"/>
  <c r="H1916" i="12"/>
  <c r="F1916" i="12"/>
  <c r="E1916" i="12"/>
  <c r="J1915" i="12"/>
  <c r="I1915" i="12"/>
  <c r="H1915" i="12"/>
  <c r="F1915" i="12"/>
  <c r="E1915" i="12"/>
  <c r="J1914" i="12"/>
  <c r="I1914" i="12"/>
  <c r="H1914" i="12"/>
  <c r="F1914" i="12"/>
  <c r="E1914" i="12"/>
  <c r="J1913" i="12"/>
  <c r="I1913" i="12"/>
  <c r="H1913" i="12"/>
  <c r="F1913" i="12"/>
  <c r="E1913" i="12"/>
  <c r="J1912" i="12"/>
  <c r="I1912" i="12"/>
  <c r="H1912" i="12"/>
  <c r="F1912" i="12"/>
  <c r="E1912" i="12"/>
  <c r="J1911" i="12"/>
  <c r="I1911" i="12"/>
  <c r="H1911" i="12"/>
  <c r="F1911" i="12"/>
  <c r="E1911" i="12"/>
  <c r="J1910" i="12"/>
  <c r="I1910" i="12"/>
  <c r="H1910" i="12"/>
  <c r="F1910" i="12"/>
  <c r="E1910" i="12"/>
  <c r="J1909" i="12"/>
  <c r="I1909" i="12"/>
  <c r="H1909" i="12"/>
  <c r="F1909" i="12"/>
  <c r="E1909" i="12"/>
  <c r="J1908" i="12"/>
  <c r="I1908" i="12"/>
  <c r="H1908" i="12"/>
  <c r="F1908" i="12"/>
  <c r="E1908" i="12"/>
  <c r="J1907" i="12"/>
  <c r="I1907" i="12"/>
  <c r="H1907" i="12"/>
  <c r="F1907" i="12"/>
  <c r="E1907" i="12"/>
  <c r="J1906" i="12"/>
  <c r="I1906" i="12"/>
  <c r="H1906" i="12"/>
  <c r="F1906" i="12"/>
  <c r="E1906" i="12"/>
  <c r="J1905" i="12"/>
  <c r="I1905" i="12"/>
  <c r="H1905" i="12"/>
  <c r="F1905" i="12"/>
  <c r="E1905" i="12"/>
  <c r="F1904" i="12"/>
  <c r="E1904" i="12"/>
  <c r="J1902" i="12"/>
  <c r="I1902" i="12"/>
  <c r="H1902" i="12"/>
  <c r="F1902" i="12"/>
  <c r="E1902" i="12"/>
  <c r="J1901" i="12"/>
  <c r="I1901" i="12"/>
  <c r="H1901" i="12"/>
  <c r="F1901" i="12"/>
  <c r="E1901" i="12"/>
  <c r="J1900" i="12"/>
  <c r="I1900" i="12"/>
  <c r="H1900" i="12"/>
  <c r="F1900" i="12"/>
  <c r="E1900" i="12"/>
  <c r="J1899" i="12"/>
  <c r="I1899" i="12"/>
  <c r="H1899" i="12"/>
  <c r="F1899" i="12"/>
  <c r="E1899" i="12"/>
  <c r="J1898" i="12"/>
  <c r="I1898" i="12"/>
  <c r="H1898" i="12"/>
  <c r="F1898" i="12"/>
  <c r="E1898" i="12"/>
  <c r="J1897" i="12"/>
  <c r="I1897" i="12"/>
  <c r="H1897" i="12"/>
  <c r="F1897" i="12"/>
  <c r="E1897" i="12"/>
  <c r="J1896" i="12"/>
  <c r="I1896" i="12"/>
  <c r="H1896" i="12"/>
  <c r="F1896" i="12"/>
  <c r="E1896" i="12"/>
  <c r="J1895" i="12"/>
  <c r="I1895" i="12"/>
  <c r="H1895" i="12"/>
  <c r="F1895" i="12"/>
  <c r="E1895" i="12"/>
  <c r="J1894" i="12"/>
  <c r="I1894" i="12"/>
  <c r="H1894" i="12"/>
  <c r="F1894" i="12"/>
  <c r="E1894" i="12"/>
  <c r="J1893" i="12"/>
  <c r="I1893" i="12"/>
  <c r="H1893" i="12"/>
  <c r="F1893" i="12"/>
  <c r="E1893" i="12"/>
  <c r="J1892" i="12"/>
  <c r="I1892" i="12"/>
  <c r="H1892" i="12"/>
  <c r="F1892" i="12"/>
  <c r="E1892" i="12"/>
  <c r="J1891" i="12"/>
  <c r="I1891" i="12"/>
  <c r="H1891" i="12"/>
  <c r="F1891" i="12"/>
  <c r="E1891" i="12"/>
  <c r="J1890" i="12"/>
  <c r="I1890" i="12"/>
  <c r="H1890" i="12"/>
  <c r="F1890" i="12"/>
  <c r="E1890" i="12"/>
  <c r="J1889" i="12"/>
  <c r="I1889" i="12"/>
  <c r="H1889" i="12"/>
  <c r="F1889" i="12"/>
  <c r="E1889" i="12"/>
  <c r="J1888" i="12"/>
  <c r="I1888" i="12"/>
  <c r="H1888" i="12"/>
  <c r="F1888" i="12"/>
  <c r="E1888" i="12"/>
  <c r="J1887" i="12"/>
  <c r="I1887" i="12"/>
  <c r="H1887" i="12"/>
  <c r="F1887" i="12"/>
  <c r="E1887" i="12"/>
  <c r="J1886" i="12"/>
  <c r="I1886" i="12"/>
  <c r="H1886" i="12"/>
  <c r="F1886" i="12"/>
  <c r="E1886" i="12"/>
  <c r="J1885" i="12"/>
  <c r="I1885" i="12"/>
  <c r="H1885" i="12"/>
  <c r="F1885" i="12"/>
  <c r="E1885" i="12"/>
  <c r="J1884" i="12"/>
  <c r="I1884" i="12"/>
  <c r="H1884" i="12"/>
  <c r="F1884" i="12"/>
  <c r="E1884" i="12"/>
  <c r="J1883" i="12"/>
  <c r="I1883" i="12"/>
  <c r="H1883" i="12"/>
  <c r="F1883" i="12"/>
  <c r="E1883" i="12"/>
  <c r="F1882" i="12"/>
  <c r="E1882" i="12"/>
  <c r="J1880" i="12"/>
  <c r="I1880" i="12"/>
  <c r="H1880" i="12"/>
  <c r="F1880" i="12"/>
  <c r="E1880" i="12"/>
  <c r="J1879" i="12"/>
  <c r="I1879" i="12"/>
  <c r="H1879" i="12"/>
  <c r="F1879" i="12"/>
  <c r="E1879" i="12"/>
  <c r="J1878" i="12"/>
  <c r="I1878" i="12"/>
  <c r="H1878" i="12"/>
  <c r="F1878" i="12"/>
  <c r="E1878" i="12"/>
  <c r="J1877" i="12"/>
  <c r="I1877" i="12"/>
  <c r="H1877" i="12"/>
  <c r="F1877" i="12"/>
  <c r="E1877" i="12"/>
  <c r="J1876" i="12"/>
  <c r="I1876" i="12"/>
  <c r="H1876" i="12"/>
  <c r="F1876" i="12"/>
  <c r="E1876" i="12"/>
  <c r="J1875" i="12"/>
  <c r="I1875" i="12"/>
  <c r="H1875" i="12"/>
  <c r="F1875" i="12"/>
  <c r="E1875" i="12"/>
  <c r="J1874" i="12"/>
  <c r="I1874" i="12"/>
  <c r="H1874" i="12"/>
  <c r="F1874" i="12"/>
  <c r="E1874" i="12"/>
  <c r="J1873" i="12"/>
  <c r="I1873" i="12"/>
  <c r="H1873" i="12"/>
  <c r="F1873" i="12"/>
  <c r="E1873" i="12"/>
  <c r="J1872" i="12"/>
  <c r="I1872" i="12"/>
  <c r="H1872" i="12"/>
  <c r="F1872" i="12"/>
  <c r="E1872" i="12"/>
  <c r="J1871" i="12"/>
  <c r="I1871" i="12"/>
  <c r="H1871" i="12"/>
  <c r="F1871" i="12"/>
  <c r="E1871" i="12"/>
  <c r="J1870" i="12"/>
  <c r="I1870" i="12"/>
  <c r="H1870" i="12"/>
  <c r="F1870" i="12"/>
  <c r="E1870" i="12"/>
  <c r="J1869" i="12"/>
  <c r="I1869" i="12"/>
  <c r="H1869" i="12"/>
  <c r="F1869" i="12"/>
  <c r="E1869" i="12"/>
  <c r="J1868" i="12"/>
  <c r="I1868" i="12"/>
  <c r="H1868" i="12"/>
  <c r="F1868" i="12"/>
  <c r="E1868" i="12"/>
  <c r="J1867" i="12"/>
  <c r="I1867" i="12"/>
  <c r="H1867" i="12"/>
  <c r="F1867" i="12"/>
  <c r="E1867" i="12"/>
  <c r="J1866" i="12"/>
  <c r="I1866" i="12"/>
  <c r="H1866" i="12"/>
  <c r="F1866" i="12"/>
  <c r="E1866" i="12"/>
  <c r="J1865" i="12"/>
  <c r="I1865" i="12"/>
  <c r="H1865" i="12"/>
  <c r="F1865" i="12"/>
  <c r="E1865" i="12"/>
  <c r="J1864" i="12"/>
  <c r="I1864" i="12"/>
  <c r="H1864" i="12"/>
  <c r="F1864" i="12"/>
  <c r="E1864" i="12"/>
  <c r="J1863" i="12"/>
  <c r="I1863" i="12"/>
  <c r="H1863" i="12"/>
  <c r="F1863" i="12"/>
  <c r="E1863" i="12"/>
  <c r="J1862" i="12"/>
  <c r="I1862" i="12"/>
  <c r="H1862" i="12"/>
  <c r="F1862" i="12"/>
  <c r="E1862" i="12"/>
  <c r="J1861" i="12"/>
  <c r="I1861" i="12"/>
  <c r="H1861" i="12"/>
  <c r="F1861" i="12"/>
  <c r="E1861" i="12"/>
  <c r="J1860" i="12"/>
  <c r="I1860" i="12"/>
  <c r="H1860" i="12"/>
  <c r="F1860" i="12"/>
  <c r="E1860" i="12"/>
  <c r="J1859" i="12"/>
  <c r="I1859" i="12"/>
  <c r="H1859" i="12"/>
  <c r="F1859" i="12"/>
  <c r="E1859" i="12"/>
  <c r="J1858" i="12"/>
  <c r="I1858" i="12"/>
  <c r="H1858" i="12"/>
  <c r="F1858" i="12"/>
  <c r="E1858" i="12"/>
  <c r="J1857" i="12"/>
  <c r="I1857" i="12"/>
  <c r="H1857" i="12"/>
  <c r="F1857" i="12"/>
  <c r="E1857" i="12"/>
  <c r="J1856" i="12"/>
  <c r="I1856" i="12"/>
  <c r="H1856" i="12"/>
  <c r="F1856" i="12"/>
  <c r="E1856" i="12"/>
  <c r="F1855" i="12"/>
  <c r="E1855" i="12"/>
  <c r="J1854" i="12"/>
  <c r="I1854" i="12"/>
  <c r="H1854" i="12"/>
  <c r="F1854" i="12"/>
  <c r="E1854" i="12"/>
  <c r="J1852" i="12"/>
  <c r="I1852" i="12"/>
  <c r="H1852" i="12"/>
  <c r="F1852" i="12"/>
  <c r="E1852" i="12"/>
  <c r="J1851" i="12"/>
  <c r="I1851" i="12"/>
  <c r="H1851" i="12"/>
  <c r="F1851" i="12"/>
  <c r="E1851" i="12"/>
  <c r="J1850" i="12"/>
  <c r="I1850" i="12"/>
  <c r="H1850" i="12"/>
  <c r="F1850" i="12"/>
  <c r="E1850" i="12"/>
  <c r="J1849" i="12"/>
  <c r="I1849" i="12"/>
  <c r="H1849" i="12"/>
  <c r="F1849" i="12"/>
  <c r="E1849" i="12"/>
  <c r="J1848" i="12"/>
  <c r="I1848" i="12"/>
  <c r="H1848" i="12"/>
  <c r="F1848" i="12"/>
  <c r="E1848" i="12"/>
  <c r="J1847" i="12"/>
  <c r="I1847" i="12"/>
  <c r="H1847" i="12"/>
  <c r="F1847" i="12"/>
  <c r="E1847" i="12"/>
  <c r="J1846" i="12"/>
  <c r="I1846" i="12"/>
  <c r="H1846" i="12"/>
  <c r="F1846" i="12"/>
  <c r="E1846" i="12"/>
  <c r="J1845" i="12"/>
  <c r="I1845" i="12"/>
  <c r="H1845" i="12"/>
  <c r="F1845" i="12"/>
  <c r="E1845" i="12"/>
  <c r="J1844" i="12"/>
  <c r="I1844" i="12"/>
  <c r="H1844" i="12"/>
  <c r="F1844" i="12"/>
  <c r="E1844" i="12"/>
  <c r="J1842" i="12"/>
  <c r="I1842" i="12"/>
  <c r="H1842" i="12"/>
  <c r="F1842" i="12"/>
  <c r="E1842" i="12"/>
  <c r="J1841" i="12"/>
  <c r="I1841" i="12"/>
  <c r="H1841" i="12"/>
  <c r="F1841" i="12"/>
  <c r="E1841" i="12"/>
  <c r="J1840" i="12"/>
  <c r="I1840" i="12"/>
  <c r="H1840" i="12"/>
  <c r="F1840" i="12"/>
  <c r="E1840" i="12"/>
  <c r="H1839" i="12"/>
  <c r="G1839" i="12"/>
  <c r="I1839" i="12" s="1"/>
  <c r="K1839" i="12" s="1"/>
  <c r="F1839" i="12"/>
  <c r="E1839" i="12"/>
  <c r="H1838" i="12"/>
  <c r="G1838" i="12"/>
  <c r="J1838" i="12" s="1"/>
  <c r="F1838" i="12"/>
  <c r="E1838" i="12"/>
  <c r="J1837" i="12"/>
  <c r="I1837" i="12"/>
  <c r="H1837" i="12"/>
  <c r="F1837" i="12"/>
  <c r="E1837" i="12"/>
  <c r="J1836" i="12"/>
  <c r="I1836" i="12"/>
  <c r="H1836" i="12"/>
  <c r="F1836" i="12"/>
  <c r="E1836" i="12"/>
  <c r="J1835" i="12"/>
  <c r="I1835" i="12"/>
  <c r="H1835" i="12"/>
  <c r="F1835" i="12"/>
  <c r="E1835" i="12"/>
  <c r="J1834" i="12"/>
  <c r="I1834" i="12"/>
  <c r="H1834" i="12"/>
  <c r="F1834" i="12"/>
  <c r="E1834" i="12"/>
  <c r="J1833" i="12"/>
  <c r="I1833" i="12"/>
  <c r="H1833" i="12"/>
  <c r="F1833" i="12"/>
  <c r="E1833" i="12"/>
  <c r="J1831" i="12"/>
  <c r="I1831" i="12"/>
  <c r="H1831" i="12"/>
  <c r="F1831" i="12"/>
  <c r="E1831" i="12"/>
  <c r="J1830" i="12"/>
  <c r="I1830" i="12"/>
  <c r="H1830" i="12"/>
  <c r="F1830" i="12"/>
  <c r="E1830" i="12"/>
  <c r="J1829" i="12"/>
  <c r="I1829" i="12"/>
  <c r="H1829" i="12"/>
  <c r="F1829" i="12"/>
  <c r="E1829" i="12"/>
  <c r="I1828" i="12"/>
  <c r="K1828" i="12" s="1"/>
  <c r="H1828" i="12"/>
  <c r="F1828" i="12"/>
  <c r="E1828" i="12"/>
  <c r="J1827" i="12"/>
  <c r="I1827" i="12"/>
  <c r="H1827" i="12"/>
  <c r="F1827" i="12"/>
  <c r="E1827" i="12"/>
  <c r="J1826" i="12"/>
  <c r="I1826" i="12"/>
  <c r="H1826" i="12"/>
  <c r="F1826" i="12"/>
  <c r="E1826" i="12"/>
  <c r="J1825" i="12"/>
  <c r="I1825" i="12"/>
  <c r="H1825" i="12"/>
  <c r="F1825" i="12"/>
  <c r="E1825" i="12"/>
  <c r="J1824" i="12"/>
  <c r="I1824" i="12"/>
  <c r="H1824" i="12"/>
  <c r="F1824" i="12"/>
  <c r="E1824" i="12"/>
  <c r="J1823" i="12"/>
  <c r="I1823" i="12"/>
  <c r="H1823" i="12"/>
  <c r="F1823" i="12"/>
  <c r="E1823" i="12"/>
  <c r="J1822" i="12"/>
  <c r="I1822" i="12"/>
  <c r="H1822" i="12"/>
  <c r="F1822" i="12"/>
  <c r="E1822" i="12"/>
  <c r="J1821" i="12"/>
  <c r="I1821" i="12"/>
  <c r="H1821" i="12"/>
  <c r="F1821" i="12"/>
  <c r="E1821" i="12"/>
  <c r="J1820" i="12"/>
  <c r="I1820" i="12"/>
  <c r="H1820" i="12"/>
  <c r="F1820" i="12"/>
  <c r="E1820" i="12"/>
  <c r="I1819" i="12"/>
  <c r="K1819" i="12" s="1"/>
  <c r="H1819" i="12"/>
  <c r="F1819" i="12"/>
  <c r="E1819" i="12"/>
  <c r="J1818" i="12"/>
  <c r="I1818" i="12"/>
  <c r="H1818" i="12"/>
  <c r="F1818" i="12"/>
  <c r="E1818" i="12"/>
  <c r="J1817" i="12"/>
  <c r="I1817" i="12"/>
  <c r="H1817" i="12"/>
  <c r="F1817" i="12"/>
  <c r="E1817" i="12"/>
  <c r="J1816" i="12"/>
  <c r="I1816" i="12"/>
  <c r="H1816" i="12"/>
  <c r="F1816" i="12"/>
  <c r="E1816" i="12"/>
  <c r="J1815" i="12"/>
  <c r="I1815" i="12"/>
  <c r="H1815" i="12"/>
  <c r="F1815" i="12"/>
  <c r="E1815" i="12"/>
  <c r="J1814" i="12"/>
  <c r="I1814" i="12"/>
  <c r="H1814" i="12"/>
  <c r="F1814" i="12"/>
  <c r="E1814" i="12"/>
  <c r="J1813" i="12"/>
  <c r="I1813" i="12"/>
  <c r="H1813" i="12"/>
  <c r="F1813" i="12"/>
  <c r="E1813" i="12"/>
  <c r="J1811" i="12"/>
  <c r="I1811" i="12"/>
  <c r="H1811" i="12"/>
  <c r="F1811" i="12"/>
  <c r="E1811" i="12"/>
  <c r="J1810" i="12"/>
  <c r="I1810" i="12"/>
  <c r="H1810" i="12"/>
  <c r="F1810" i="12"/>
  <c r="E1810" i="12"/>
  <c r="J1809" i="12"/>
  <c r="I1809" i="12"/>
  <c r="H1809" i="12"/>
  <c r="F1809" i="12"/>
  <c r="E1809" i="12"/>
  <c r="J1808" i="12"/>
  <c r="I1808" i="12"/>
  <c r="H1808" i="12"/>
  <c r="F1808" i="12"/>
  <c r="E1808" i="12"/>
  <c r="J1807" i="12"/>
  <c r="I1807" i="12"/>
  <c r="H1807" i="12"/>
  <c r="F1807" i="12"/>
  <c r="E1807" i="12"/>
  <c r="J1806" i="12"/>
  <c r="I1806" i="12"/>
  <c r="H1806" i="12"/>
  <c r="F1806" i="12"/>
  <c r="E1806" i="12"/>
  <c r="J1804" i="12"/>
  <c r="I1804" i="12"/>
  <c r="H1804" i="12"/>
  <c r="F1804" i="12"/>
  <c r="E1804" i="12"/>
  <c r="J1803" i="12"/>
  <c r="I1803" i="12"/>
  <c r="H1803" i="12"/>
  <c r="F1803" i="12"/>
  <c r="E1803" i="12"/>
  <c r="J1801" i="12"/>
  <c r="I1801" i="12"/>
  <c r="H1801" i="12"/>
  <c r="F1801" i="12"/>
  <c r="E1801" i="12"/>
  <c r="J1800" i="12"/>
  <c r="I1800" i="12"/>
  <c r="H1800" i="12"/>
  <c r="F1800" i="12"/>
  <c r="E1800" i="12"/>
  <c r="J1799" i="12"/>
  <c r="I1799" i="12"/>
  <c r="H1799" i="12"/>
  <c r="F1799" i="12"/>
  <c r="E1799" i="12"/>
  <c r="J1798" i="12"/>
  <c r="I1798" i="12"/>
  <c r="H1798" i="12"/>
  <c r="F1798" i="12"/>
  <c r="E1798" i="12"/>
  <c r="I1797" i="12"/>
  <c r="K1797" i="12" s="1"/>
  <c r="H1797" i="12"/>
  <c r="F1797" i="12"/>
  <c r="E1797" i="12"/>
  <c r="J1796" i="12"/>
  <c r="I1796" i="12"/>
  <c r="H1796" i="12"/>
  <c r="F1796" i="12"/>
  <c r="E1796" i="12"/>
  <c r="J1795" i="12"/>
  <c r="I1795" i="12"/>
  <c r="H1795" i="12"/>
  <c r="F1795" i="12"/>
  <c r="E1795" i="12"/>
  <c r="J1793" i="12"/>
  <c r="I1793" i="12"/>
  <c r="H1793" i="12"/>
  <c r="F1793" i="12"/>
  <c r="E1793" i="12"/>
  <c r="J1792" i="12"/>
  <c r="I1792" i="12"/>
  <c r="H1792" i="12"/>
  <c r="F1792" i="12"/>
  <c r="E1792" i="12"/>
  <c r="I1791" i="12"/>
  <c r="J1789" i="12"/>
  <c r="I1789" i="12"/>
  <c r="H1789" i="12"/>
  <c r="F1789" i="12"/>
  <c r="E1789" i="12"/>
  <c r="J1788" i="12"/>
  <c r="I1788" i="12"/>
  <c r="H1788" i="12"/>
  <c r="F1788" i="12"/>
  <c r="E1788" i="12"/>
  <c r="J1787" i="12"/>
  <c r="I1787" i="12"/>
  <c r="H1787" i="12"/>
  <c r="F1787" i="12"/>
  <c r="E1787" i="12"/>
  <c r="J1786" i="12"/>
  <c r="I1786" i="12"/>
  <c r="H1786" i="12"/>
  <c r="F1786" i="12"/>
  <c r="E1786" i="12"/>
  <c r="J1785" i="12"/>
  <c r="I1785" i="12"/>
  <c r="H1785" i="12"/>
  <c r="F1785" i="12"/>
  <c r="E1785" i="12"/>
  <c r="J1784" i="12"/>
  <c r="I1784" i="12"/>
  <c r="H1784" i="12"/>
  <c r="F1784" i="12"/>
  <c r="E1784" i="12"/>
  <c r="J1783" i="12"/>
  <c r="I1783" i="12"/>
  <c r="H1783" i="12"/>
  <c r="F1783" i="12"/>
  <c r="E1783" i="12"/>
  <c r="J1782" i="12"/>
  <c r="I1782" i="12"/>
  <c r="H1782" i="12"/>
  <c r="F1782" i="12"/>
  <c r="E1782" i="12"/>
  <c r="I1780" i="12"/>
  <c r="K1780" i="12" s="1"/>
  <c r="J1779" i="12"/>
  <c r="I1779" i="12"/>
  <c r="H1779" i="12"/>
  <c r="F1779" i="12"/>
  <c r="E1779" i="12"/>
  <c r="J1778" i="12"/>
  <c r="I1778" i="12"/>
  <c r="H1778" i="12"/>
  <c r="F1778" i="12"/>
  <c r="E1778" i="12"/>
  <c r="I1776" i="12"/>
  <c r="K1776" i="12" s="1"/>
  <c r="J1775" i="12"/>
  <c r="I1775" i="12"/>
  <c r="H1775" i="12"/>
  <c r="F1775" i="12"/>
  <c r="E1775" i="12"/>
  <c r="J1774" i="12"/>
  <c r="I1774" i="12"/>
  <c r="H1774" i="12"/>
  <c r="F1774" i="12"/>
  <c r="E1774" i="12"/>
  <c r="G1772" i="12"/>
  <c r="I1772" i="12" s="1"/>
  <c r="K1772" i="12" s="1"/>
  <c r="H1771" i="12"/>
  <c r="G1771" i="12"/>
  <c r="I1771" i="12" s="1"/>
  <c r="F1771" i="12"/>
  <c r="E1771" i="12"/>
  <c r="H1770" i="12"/>
  <c r="G1770" i="12"/>
  <c r="J1770" i="12" s="1"/>
  <c r="F1770" i="12"/>
  <c r="E1770" i="12"/>
  <c r="G1768" i="12"/>
  <c r="I1768" i="12" s="1"/>
  <c r="K1768" i="12" s="1"/>
  <c r="J1767" i="12"/>
  <c r="I1767" i="12"/>
  <c r="H1767" i="12"/>
  <c r="F1767" i="12"/>
  <c r="E1767" i="12"/>
  <c r="J1766" i="12"/>
  <c r="I1766" i="12"/>
  <c r="H1766" i="12"/>
  <c r="F1766" i="12"/>
  <c r="E1766" i="12"/>
  <c r="I1764" i="12"/>
  <c r="K1764" i="12" s="1"/>
  <c r="J1763" i="12"/>
  <c r="I1763" i="12"/>
  <c r="H1763" i="12"/>
  <c r="F1763" i="12"/>
  <c r="E1763" i="12"/>
  <c r="J1762" i="12"/>
  <c r="I1762" i="12"/>
  <c r="H1762" i="12"/>
  <c r="F1762" i="12"/>
  <c r="E1762" i="12"/>
  <c r="I1761" i="12"/>
  <c r="K1761" i="12" s="1"/>
  <c r="J1759" i="12"/>
  <c r="I1759" i="12"/>
  <c r="H1759" i="12"/>
  <c r="F1759" i="12"/>
  <c r="E1759" i="12"/>
  <c r="J1758" i="12"/>
  <c r="I1758" i="12"/>
  <c r="H1758" i="12"/>
  <c r="F1758" i="12"/>
  <c r="E1758" i="12"/>
  <c r="I1757" i="12"/>
  <c r="K1757" i="12" s="1"/>
  <c r="I1755" i="12"/>
  <c r="K1755" i="12" s="1"/>
  <c r="J1754" i="12"/>
  <c r="I1754" i="12"/>
  <c r="H1754" i="12"/>
  <c r="F1754" i="12"/>
  <c r="E1754" i="12"/>
  <c r="J1753" i="12"/>
  <c r="I1753" i="12"/>
  <c r="H1753" i="12"/>
  <c r="F1753" i="12"/>
  <c r="E1753" i="12"/>
  <c r="I1751" i="12"/>
  <c r="K1751" i="12" s="1"/>
  <c r="J1750" i="12"/>
  <c r="I1750" i="12"/>
  <c r="H1750" i="12"/>
  <c r="F1750" i="12"/>
  <c r="E1750" i="12"/>
  <c r="J1749" i="12"/>
  <c r="I1749" i="12"/>
  <c r="H1749" i="12"/>
  <c r="F1749" i="12"/>
  <c r="E1749" i="12"/>
  <c r="J1748" i="12"/>
  <c r="I1748" i="12"/>
  <c r="H1748" i="12"/>
  <c r="F1748" i="12"/>
  <c r="E1748" i="12"/>
  <c r="J1746" i="12"/>
  <c r="I1746" i="12"/>
  <c r="H1746" i="12"/>
  <c r="F1746" i="12"/>
  <c r="E1746" i="12"/>
  <c r="J1745" i="12"/>
  <c r="I1745" i="12"/>
  <c r="H1745" i="12"/>
  <c r="F1745" i="12"/>
  <c r="E1745" i="12"/>
  <c r="J1743" i="12"/>
  <c r="I1743" i="12"/>
  <c r="H1743" i="12"/>
  <c r="F1743" i="12"/>
  <c r="E1743" i="12"/>
  <c r="J1742" i="12"/>
  <c r="I1742" i="12"/>
  <c r="H1742" i="12"/>
  <c r="F1742" i="12"/>
  <c r="E1742" i="12"/>
  <c r="I1740" i="12"/>
  <c r="K1740" i="12" s="1"/>
  <c r="J1739" i="12"/>
  <c r="I1739" i="12"/>
  <c r="H1739" i="12"/>
  <c r="F1739" i="12"/>
  <c r="E1739" i="12"/>
  <c r="J1738" i="12"/>
  <c r="I1738" i="12"/>
  <c r="H1738" i="12"/>
  <c r="F1738" i="12"/>
  <c r="E1738" i="12"/>
  <c r="J1737" i="12"/>
  <c r="I1737" i="12"/>
  <c r="H1737" i="12"/>
  <c r="F1737" i="12"/>
  <c r="E1737" i="12"/>
  <c r="I1735" i="12"/>
  <c r="K1735" i="12" s="1"/>
  <c r="J1734" i="12"/>
  <c r="I1734" i="12"/>
  <c r="H1734" i="12"/>
  <c r="F1734" i="12"/>
  <c r="E1734" i="12"/>
  <c r="J1733" i="12"/>
  <c r="I1733" i="12"/>
  <c r="H1733" i="12"/>
  <c r="F1733" i="12"/>
  <c r="E1733" i="12"/>
  <c r="J1732" i="12"/>
  <c r="I1732" i="12"/>
  <c r="H1732" i="12"/>
  <c r="F1732" i="12"/>
  <c r="E1732" i="12"/>
  <c r="J1730" i="12"/>
  <c r="I1730" i="12"/>
  <c r="H1730" i="12"/>
  <c r="F1730" i="12"/>
  <c r="E1730" i="12"/>
  <c r="J1729" i="12"/>
  <c r="I1729" i="12"/>
  <c r="H1729" i="12"/>
  <c r="F1729" i="12"/>
  <c r="E1729" i="12"/>
  <c r="J1728" i="12"/>
  <c r="I1728" i="12"/>
  <c r="H1728" i="12"/>
  <c r="F1728" i="12"/>
  <c r="E1728" i="12"/>
  <c r="J1727" i="12"/>
  <c r="I1727" i="12"/>
  <c r="H1727" i="12"/>
  <c r="F1727" i="12"/>
  <c r="E1727" i="12"/>
  <c r="J1726" i="12"/>
  <c r="I1726" i="12"/>
  <c r="H1726" i="12"/>
  <c r="F1726" i="12"/>
  <c r="E1726" i="12"/>
  <c r="J1724" i="12"/>
  <c r="I1724" i="12"/>
  <c r="H1724" i="12"/>
  <c r="F1724" i="12"/>
  <c r="E1724" i="12"/>
  <c r="J1723" i="12"/>
  <c r="I1723" i="12"/>
  <c r="H1723" i="12"/>
  <c r="F1723" i="12"/>
  <c r="E1723" i="12"/>
  <c r="J1722" i="12"/>
  <c r="I1722" i="12"/>
  <c r="H1722" i="12"/>
  <c r="F1722" i="12"/>
  <c r="E1722" i="12"/>
  <c r="J1720" i="12"/>
  <c r="I1720" i="12"/>
  <c r="H1720" i="12"/>
  <c r="F1720" i="12"/>
  <c r="E1720" i="12"/>
  <c r="J1719" i="12"/>
  <c r="I1719" i="12"/>
  <c r="H1719" i="12"/>
  <c r="F1719" i="12"/>
  <c r="E1719" i="12"/>
  <c r="J1718" i="12"/>
  <c r="I1718" i="12"/>
  <c r="H1718" i="12"/>
  <c r="F1718" i="12"/>
  <c r="E1718" i="12"/>
  <c r="J1716" i="12"/>
  <c r="I1716" i="12"/>
  <c r="H1716" i="12"/>
  <c r="F1716" i="12"/>
  <c r="E1716" i="12"/>
  <c r="J1715" i="12"/>
  <c r="I1715" i="12"/>
  <c r="H1715" i="12"/>
  <c r="F1715" i="12"/>
  <c r="E1715" i="12"/>
  <c r="J1714" i="12"/>
  <c r="I1714" i="12"/>
  <c r="H1714" i="12"/>
  <c r="F1714" i="12"/>
  <c r="E1714" i="12"/>
  <c r="J1712" i="12"/>
  <c r="I1712" i="12"/>
  <c r="H1712" i="12"/>
  <c r="F1712" i="12"/>
  <c r="E1712" i="12"/>
  <c r="I1711" i="12"/>
  <c r="J1710" i="12"/>
  <c r="I1710" i="12"/>
  <c r="H1710" i="12"/>
  <c r="F1710" i="12"/>
  <c r="E1710" i="12"/>
  <c r="J1709" i="12"/>
  <c r="I1709" i="12"/>
  <c r="H1709" i="12"/>
  <c r="F1709" i="12"/>
  <c r="E1709" i="12"/>
  <c r="I1707" i="12"/>
  <c r="K1707" i="12" s="1"/>
  <c r="J1706" i="12"/>
  <c r="I1706" i="12"/>
  <c r="H1706" i="12"/>
  <c r="F1706" i="12"/>
  <c r="E1706" i="12"/>
  <c r="J1705" i="12"/>
  <c r="I1705" i="12"/>
  <c r="H1705" i="12"/>
  <c r="F1705" i="12"/>
  <c r="E1705" i="12"/>
  <c r="J1703" i="12"/>
  <c r="I1703" i="12"/>
  <c r="H1703" i="12"/>
  <c r="F1703" i="12"/>
  <c r="E1703" i="12"/>
  <c r="J1702" i="12"/>
  <c r="I1702" i="12"/>
  <c r="H1702" i="12"/>
  <c r="F1702" i="12"/>
  <c r="E1702" i="12"/>
  <c r="I1701" i="12"/>
  <c r="J1699" i="12"/>
  <c r="I1699" i="12"/>
  <c r="H1699" i="12"/>
  <c r="F1699" i="12"/>
  <c r="E1699" i="12"/>
  <c r="J1698" i="12"/>
  <c r="I1698" i="12"/>
  <c r="H1698" i="12"/>
  <c r="F1698" i="12"/>
  <c r="E1698" i="12"/>
  <c r="I1697" i="12"/>
  <c r="K1697" i="12" s="1"/>
  <c r="J1695" i="12"/>
  <c r="I1695" i="12"/>
  <c r="H1695" i="12"/>
  <c r="F1695" i="12"/>
  <c r="E1695" i="12"/>
  <c r="J1694" i="12"/>
  <c r="I1694" i="12"/>
  <c r="H1694" i="12"/>
  <c r="F1694" i="12"/>
  <c r="E1694" i="12"/>
  <c r="F1693" i="12"/>
  <c r="E1693" i="12"/>
  <c r="F1691" i="12"/>
  <c r="E1691" i="12"/>
  <c r="J1690" i="12"/>
  <c r="I1690" i="12"/>
  <c r="H1690" i="12"/>
  <c r="F1690" i="12"/>
  <c r="E1690" i="12"/>
  <c r="J1689" i="12"/>
  <c r="I1689" i="12"/>
  <c r="H1689" i="12"/>
  <c r="F1689" i="12"/>
  <c r="E1689" i="12"/>
  <c r="F1687" i="12"/>
  <c r="E1687" i="12"/>
  <c r="J1686" i="12"/>
  <c r="I1686" i="12"/>
  <c r="H1686" i="12"/>
  <c r="F1686" i="12"/>
  <c r="E1686" i="12"/>
  <c r="J1685" i="12"/>
  <c r="I1685" i="12"/>
  <c r="H1685" i="12"/>
  <c r="F1685" i="12"/>
  <c r="E1685" i="12"/>
  <c r="F1683" i="12"/>
  <c r="E1683" i="12"/>
  <c r="J1682" i="12"/>
  <c r="I1682" i="12"/>
  <c r="H1682" i="12"/>
  <c r="F1682" i="12"/>
  <c r="E1682" i="12"/>
  <c r="J1681" i="12"/>
  <c r="I1681" i="12"/>
  <c r="H1681" i="12"/>
  <c r="F1681" i="12"/>
  <c r="E1681" i="12"/>
  <c r="J1679" i="12"/>
  <c r="I1679" i="12"/>
  <c r="H1679" i="12"/>
  <c r="F1679" i="12"/>
  <c r="E1679" i="12"/>
  <c r="J1678" i="12"/>
  <c r="I1678" i="12"/>
  <c r="H1678" i="12"/>
  <c r="F1678" i="12"/>
  <c r="E1678" i="12"/>
  <c r="I1677" i="12"/>
  <c r="K1677" i="12" s="1"/>
  <c r="J1676" i="12"/>
  <c r="I1676" i="12"/>
  <c r="H1676" i="12"/>
  <c r="F1676" i="12"/>
  <c r="E1676" i="12"/>
  <c r="J1675" i="12"/>
  <c r="I1675" i="12"/>
  <c r="H1675" i="12"/>
  <c r="F1675" i="12"/>
  <c r="E1675" i="12"/>
  <c r="J1673" i="12"/>
  <c r="I1673" i="12"/>
  <c r="H1673" i="12"/>
  <c r="F1673" i="12"/>
  <c r="E1673" i="12"/>
  <c r="J1672" i="12"/>
  <c r="I1672" i="12"/>
  <c r="H1672" i="12"/>
  <c r="F1672" i="12"/>
  <c r="E1672" i="12"/>
  <c r="I1671" i="12"/>
  <c r="K1671" i="12" s="1"/>
  <c r="J1670" i="12"/>
  <c r="I1670" i="12"/>
  <c r="H1670" i="12"/>
  <c r="F1670" i="12"/>
  <c r="E1670" i="12"/>
  <c r="J1669" i="12"/>
  <c r="I1669" i="12"/>
  <c r="H1669" i="12"/>
  <c r="F1669" i="12"/>
  <c r="E1669" i="12"/>
  <c r="J1667" i="12"/>
  <c r="I1667" i="12"/>
  <c r="H1667" i="12"/>
  <c r="F1667" i="12"/>
  <c r="E1667" i="12"/>
  <c r="J1666" i="12"/>
  <c r="I1666" i="12"/>
  <c r="H1666" i="12"/>
  <c r="F1666" i="12"/>
  <c r="E1666" i="12"/>
  <c r="I1665" i="12"/>
  <c r="K1665" i="12" s="1"/>
  <c r="J1664" i="12"/>
  <c r="I1664" i="12"/>
  <c r="H1664" i="12"/>
  <c r="F1664" i="12"/>
  <c r="E1664" i="12"/>
  <c r="J1663" i="12"/>
  <c r="I1663" i="12"/>
  <c r="H1663" i="12"/>
  <c r="F1663" i="12"/>
  <c r="E1663" i="12"/>
  <c r="I1662" i="12"/>
  <c r="K1662" i="12" s="1"/>
  <c r="J1660" i="12"/>
  <c r="I1660" i="12"/>
  <c r="H1660" i="12"/>
  <c r="F1660" i="12"/>
  <c r="E1660" i="12"/>
  <c r="J1659" i="12"/>
  <c r="I1659" i="12"/>
  <c r="H1659" i="12"/>
  <c r="F1659" i="12"/>
  <c r="E1659" i="12"/>
  <c r="I1658" i="12"/>
  <c r="K1658" i="12" s="1"/>
  <c r="J1657" i="12"/>
  <c r="I1657" i="12"/>
  <c r="H1657" i="12"/>
  <c r="F1657" i="12"/>
  <c r="E1657" i="12"/>
  <c r="J1656" i="12"/>
  <c r="I1656" i="12"/>
  <c r="H1656" i="12"/>
  <c r="F1656" i="12"/>
  <c r="E1656" i="12"/>
  <c r="I1655" i="12"/>
  <c r="K1655" i="12" s="1"/>
  <c r="J1653" i="12"/>
  <c r="I1653" i="12"/>
  <c r="H1653" i="12"/>
  <c r="F1653" i="12"/>
  <c r="E1653" i="12"/>
  <c r="J1652" i="12"/>
  <c r="I1652" i="12"/>
  <c r="H1652" i="12"/>
  <c r="F1652" i="12"/>
  <c r="E1652" i="12"/>
  <c r="I1651" i="12"/>
  <c r="K1651" i="12" s="1"/>
  <c r="J1650" i="12"/>
  <c r="I1650" i="12"/>
  <c r="H1650" i="12"/>
  <c r="F1650" i="12"/>
  <c r="E1650" i="12"/>
  <c r="J1649" i="12"/>
  <c r="I1649" i="12"/>
  <c r="H1649" i="12"/>
  <c r="F1649" i="12"/>
  <c r="E1649" i="12"/>
  <c r="I1648" i="12"/>
  <c r="K1648" i="12" s="1"/>
  <c r="I1646" i="12"/>
  <c r="K1646" i="12" s="1"/>
  <c r="J1645" i="12"/>
  <c r="I1645" i="12"/>
  <c r="H1645" i="12"/>
  <c r="F1645" i="12"/>
  <c r="E1645" i="12"/>
  <c r="J1644" i="12"/>
  <c r="I1644" i="12"/>
  <c r="H1644" i="12"/>
  <c r="F1644" i="12"/>
  <c r="E1644" i="12"/>
  <c r="I1642" i="12"/>
  <c r="K1642" i="12" s="1"/>
  <c r="J1641" i="12"/>
  <c r="I1641" i="12"/>
  <c r="H1641" i="12"/>
  <c r="F1641" i="12"/>
  <c r="E1641" i="12"/>
  <c r="J1640" i="12"/>
  <c r="I1640" i="12"/>
  <c r="H1640" i="12"/>
  <c r="F1640" i="12"/>
  <c r="E1640" i="12"/>
  <c r="I1638" i="12"/>
  <c r="K1638" i="12" s="1"/>
  <c r="J1637" i="12"/>
  <c r="I1637" i="12"/>
  <c r="H1637" i="12"/>
  <c r="F1637" i="12"/>
  <c r="E1637" i="12"/>
  <c r="J1636" i="12"/>
  <c r="I1636" i="12"/>
  <c r="H1636" i="12"/>
  <c r="F1636" i="12"/>
  <c r="E1636" i="12"/>
  <c r="I1634" i="12"/>
  <c r="K1634" i="12" s="1"/>
  <c r="J1633" i="12"/>
  <c r="I1633" i="12"/>
  <c r="H1633" i="12"/>
  <c r="F1633" i="12"/>
  <c r="E1633" i="12"/>
  <c r="J1632" i="12"/>
  <c r="I1632" i="12"/>
  <c r="H1632" i="12"/>
  <c r="F1632" i="12"/>
  <c r="E1632" i="12"/>
  <c r="I1630" i="12"/>
  <c r="K1630" i="12" s="1"/>
  <c r="J1629" i="12"/>
  <c r="I1629" i="12"/>
  <c r="H1629" i="12"/>
  <c r="F1629" i="12"/>
  <c r="E1629" i="12"/>
  <c r="J1628" i="12"/>
  <c r="I1628" i="12"/>
  <c r="H1628" i="12"/>
  <c r="F1628" i="12"/>
  <c r="E1628" i="12"/>
  <c r="I1626" i="12"/>
  <c r="K1626" i="12" s="1"/>
  <c r="J1625" i="12"/>
  <c r="I1625" i="12"/>
  <c r="H1625" i="12"/>
  <c r="F1625" i="12"/>
  <c r="E1625" i="12"/>
  <c r="J1624" i="12"/>
  <c r="I1624" i="12"/>
  <c r="H1624" i="12"/>
  <c r="F1624" i="12"/>
  <c r="E1624" i="12"/>
  <c r="I1622" i="12"/>
  <c r="K1622" i="12" s="1"/>
  <c r="J1621" i="12"/>
  <c r="I1621" i="12"/>
  <c r="H1621" i="12"/>
  <c r="F1621" i="12"/>
  <c r="E1621" i="12"/>
  <c r="J1620" i="12"/>
  <c r="I1620" i="12"/>
  <c r="H1620" i="12"/>
  <c r="F1620" i="12"/>
  <c r="E1620" i="12"/>
  <c r="I1618" i="12"/>
  <c r="K1618" i="12" s="1"/>
  <c r="J1617" i="12"/>
  <c r="I1617" i="12"/>
  <c r="H1617" i="12"/>
  <c r="F1617" i="12"/>
  <c r="E1617" i="12"/>
  <c r="J1616" i="12"/>
  <c r="I1616" i="12"/>
  <c r="H1616" i="12"/>
  <c r="F1616" i="12"/>
  <c r="E1616" i="12"/>
  <c r="I1614" i="12"/>
  <c r="K1614" i="12" s="1"/>
  <c r="J1613" i="12"/>
  <c r="I1613" i="12"/>
  <c r="H1613" i="12"/>
  <c r="F1613" i="12"/>
  <c r="E1613" i="12"/>
  <c r="J1612" i="12"/>
  <c r="I1612" i="12"/>
  <c r="H1612" i="12"/>
  <c r="F1612" i="12"/>
  <c r="E1612" i="12"/>
  <c r="I1610" i="12"/>
  <c r="K1610" i="12" s="1"/>
  <c r="J1609" i="12"/>
  <c r="I1609" i="12"/>
  <c r="H1609" i="12"/>
  <c r="F1609" i="12"/>
  <c r="E1609" i="12"/>
  <c r="J1608" i="12"/>
  <c r="I1608" i="12"/>
  <c r="H1608" i="12"/>
  <c r="F1608" i="12"/>
  <c r="E1608" i="12"/>
  <c r="I1606" i="12"/>
  <c r="K1606" i="12" s="1"/>
  <c r="J1605" i="12"/>
  <c r="I1605" i="12"/>
  <c r="H1605" i="12"/>
  <c r="F1605" i="12"/>
  <c r="E1605" i="12"/>
  <c r="J1604" i="12"/>
  <c r="I1604" i="12"/>
  <c r="H1604" i="12"/>
  <c r="F1604" i="12"/>
  <c r="E1604" i="12"/>
  <c r="I1602" i="12"/>
  <c r="K1602" i="12" s="1"/>
  <c r="J1601" i="12"/>
  <c r="I1601" i="12"/>
  <c r="H1601" i="12"/>
  <c r="F1601" i="12"/>
  <c r="E1601" i="12"/>
  <c r="J1600" i="12"/>
  <c r="I1600" i="12"/>
  <c r="H1600" i="12"/>
  <c r="F1600" i="12"/>
  <c r="E1600" i="12"/>
  <c r="I1598" i="12"/>
  <c r="K1598" i="12" s="1"/>
  <c r="J1597" i="12"/>
  <c r="I1597" i="12"/>
  <c r="H1597" i="12"/>
  <c r="F1597" i="12"/>
  <c r="E1597" i="12"/>
  <c r="J1596" i="12"/>
  <c r="I1596" i="12"/>
  <c r="H1596" i="12"/>
  <c r="F1596" i="12"/>
  <c r="E1596" i="12"/>
  <c r="I1594" i="12"/>
  <c r="K1594" i="12" s="1"/>
  <c r="J1593" i="12"/>
  <c r="I1593" i="12"/>
  <c r="H1593" i="12"/>
  <c r="F1593" i="12"/>
  <c r="E1593" i="12"/>
  <c r="J1592" i="12"/>
  <c r="I1592" i="12"/>
  <c r="H1592" i="12"/>
  <c r="F1592" i="12"/>
  <c r="E1592" i="12"/>
  <c r="I1590" i="12"/>
  <c r="K1590" i="12" s="1"/>
  <c r="J1589" i="12"/>
  <c r="I1589" i="12"/>
  <c r="H1589" i="12"/>
  <c r="F1589" i="12"/>
  <c r="E1589" i="12"/>
  <c r="J1588" i="12"/>
  <c r="I1588" i="12"/>
  <c r="H1588" i="12"/>
  <c r="F1588" i="12"/>
  <c r="E1588" i="12"/>
  <c r="I1586" i="12"/>
  <c r="K1586" i="12" s="1"/>
  <c r="J1585" i="12"/>
  <c r="I1585" i="12"/>
  <c r="H1585" i="12"/>
  <c r="F1585" i="12"/>
  <c r="E1585" i="12"/>
  <c r="J1584" i="12"/>
  <c r="I1584" i="12"/>
  <c r="H1584" i="12"/>
  <c r="F1584" i="12"/>
  <c r="E1584" i="12"/>
  <c r="G1582" i="12"/>
  <c r="I1582" i="12" s="1"/>
  <c r="K1582" i="12" s="1"/>
  <c r="H1581" i="12"/>
  <c r="F1581" i="12"/>
  <c r="E1581" i="12"/>
  <c r="H1580" i="12"/>
  <c r="G1580" i="12"/>
  <c r="J1580" i="12" s="1"/>
  <c r="F1580" i="12"/>
  <c r="E1580" i="12"/>
  <c r="I1578" i="12"/>
  <c r="K1578" i="12" s="1"/>
  <c r="J1577" i="12"/>
  <c r="I1577" i="12"/>
  <c r="H1577" i="12"/>
  <c r="F1577" i="12"/>
  <c r="E1577" i="12"/>
  <c r="J1576" i="12"/>
  <c r="I1576" i="12"/>
  <c r="H1576" i="12"/>
  <c r="F1576" i="12"/>
  <c r="E1576" i="12"/>
  <c r="G1574" i="12"/>
  <c r="I1574" i="12" s="1"/>
  <c r="K1574" i="12" s="1"/>
  <c r="J1573" i="12"/>
  <c r="I1573" i="12"/>
  <c r="H1573" i="12"/>
  <c r="F1573" i="12"/>
  <c r="E1573" i="12"/>
  <c r="J1572" i="12"/>
  <c r="I1572" i="12"/>
  <c r="H1572" i="12"/>
  <c r="F1572" i="12"/>
  <c r="E1572" i="12"/>
  <c r="G1570" i="12"/>
  <c r="I1570" i="12" s="1"/>
  <c r="K1570" i="12" s="1"/>
  <c r="J1569" i="12"/>
  <c r="I1569" i="12"/>
  <c r="H1569" i="12"/>
  <c r="F1569" i="12"/>
  <c r="E1569" i="12"/>
  <c r="J1568" i="12"/>
  <c r="I1568" i="12"/>
  <c r="H1568" i="12"/>
  <c r="F1568" i="12"/>
  <c r="E1568" i="12"/>
  <c r="G1566" i="12"/>
  <c r="I1566" i="12" s="1"/>
  <c r="K1566" i="12" s="1"/>
  <c r="J1565" i="12"/>
  <c r="I1565" i="12"/>
  <c r="H1565" i="12"/>
  <c r="F1565" i="12"/>
  <c r="E1565" i="12"/>
  <c r="J1564" i="12"/>
  <c r="I1564" i="12"/>
  <c r="H1564" i="12"/>
  <c r="F1564" i="12"/>
  <c r="E1564" i="12"/>
  <c r="G1562" i="12"/>
  <c r="I1562" i="12" s="1"/>
  <c r="K1562" i="12" s="1"/>
  <c r="J1561" i="12"/>
  <c r="I1561" i="12"/>
  <c r="H1561" i="12"/>
  <c r="F1561" i="12"/>
  <c r="E1561" i="12"/>
  <c r="J1560" i="12"/>
  <c r="I1560" i="12"/>
  <c r="H1560" i="12"/>
  <c r="F1560" i="12"/>
  <c r="E1560" i="12"/>
  <c r="G1558" i="12"/>
  <c r="I1558" i="12" s="1"/>
  <c r="K1558" i="12" s="1"/>
  <c r="J1557" i="12"/>
  <c r="I1557" i="12"/>
  <c r="H1557" i="12"/>
  <c r="F1557" i="12"/>
  <c r="E1557" i="12"/>
  <c r="J1556" i="12"/>
  <c r="I1556" i="12"/>
  <c r="H1556" i="12"/>
  <c r="F1556" i="12"/>
  <c r="E1556" i="12"/>
  <c r="G1554" i="12"/>
  <c r="I1554" i="12" s="1"/>
  <c r="K1554" i="12" s="1"/>
  <c r="J1553" i="12"/>
  <c r="I1553" i="12"/>
  <c r="H1553" i="12"/>
  <c r="F1553" i="12"/>
  <c r="E1553" i="12"/>
  <c r="J1552" i="12"/>
  <c r="I1552" i="12"/>
  <c r="H1552" i="12"/>
  <c r="F1552" i="12"/>
  <c r="E1552" i="12"/>
  <c r="I1550" i="12"/>
  <c r="K1550" i="12" s="1"/>
  <c r="J1549" i="12"/>
  <c r="I1549" i="12"/>
  <c r="H1549" i="12"/>
  <c r="F1549" i="12"/>
  <c r="E1549" i="12"/>
  <c r="J1548" i="12"/>
  <c r="I1548" i="12"/>
  <c r="H1548" i="12"/>
  <c r="F1548" i="12"/>
  <c r="E1548" i="12"/>
  <c r="I1546" i="12"/>
  <c r="K1546" i="12" s="1"/>
  <c r="J1545" i="12"/>
  <c r="I1545" i="12"/>
  <c r="H1545" i="12"/>
  <c r="F1545" i="12"/>
  <c r="E1545" i="12"/>
  <c r="J1544" i="12"/>
  <c r="I1544" i="12"/>
  <c r="H1544" i="12"/>
  <c r="F1544" i="12"/>
  <c r="E1544" i="12"/>
  <c r="G1542" i="12"/>
  <c r="I1542" i="12" s="1"/>
  <c r="K1542" i="12" s="1"/>
  <c r="J1541" i="12"/>
  <c r="I1541" i="12"/>
  <c r="H1541" i="12"/>
  <c r="F1541" i="12"/>
  <c r="E1541" i="12"/>
  <c r="J1540" i="12"/>
  <c r="I1540" i="12"/>
  <c r="H1540" i="12"/>
  <c r="F1540" i="12"/>
  <c r="E1540" i="12"/>
  <c r="G1538" i="12"/>
  <c r="I1538" i="12" s="1"/>
  <c r="J1537" i="12"/>
  <c r="I1537" i="12"/>
  <c r="H1537" i="12"/>
  <c r="F1537" i="12"/>
  <c r="E1537" i="12"/>
  <c r="J1536" i="12"/>
  <c r="I1536" i="12"/>
  <c r="H1536" i="12"/>
  <c r="F1536" i="12"/>
  <c r="E1536" i="12"/>
  <c r="I1534" i="12"/>
  <c r="K1534" i="12" s="1"/>
  <c r="J1533" i="12"/>
  <c r="I1533" i="12"/>
  <c r="H1533" i="12"/>
  <c r="F1533" i="12"/>
  <c r="E1533" i="12"/>
  <c r="J1532" i="12"/>
  <c r="I1532" i="12"/>
  <c r="H1532" i="12"/>
  <c r="F1532" i="12"/>
  <c r="E1532" i="12"/>
  <c r="I1530" i="12"/>
  <c r="K1530" i="12" s="1"/>
  <c r="J1529" i="12"/>
  <c r="I1529" i="12"/>
  <c r="H1529" i="12"/>
  <c r="F1529" i="12"/>
  <c r="E1529" i="12"/>
  <c r="J1528" i="12"/>
  <c r="I1528" i="12"/>
  <c r="H1528" i="12"/>
  <c r="F1528" i="12"/>
  <c r="E1528" i="12"/>
  <c r="G1526" i="12"/>
  <c r="I1526" i="12" s="1"/>
  <c r="K1526" i="12" s="1"/>
  <c r="J1525" i="12"/>
  <c r="I1525" i="12"/>
  <c r="H1525" i="12"/>
  <c r="F1525" i="12"/>
  <c r="E1525" i="12"/>
  <c r="J1524" i="12"/>
  <c r="I1524" i="12"/>
  <c r="H1524" i="12"/>
  <c r="F1524" i="12"/>
  <c r="E1524" i="12"/>
  <c r="I1522" i="12"/>
  <c r="K1522" i="12" s="1"/>
  <c r="J1521" i="12"/>
  <c r="I1521" i="12"/>
  <c r="H1521" i="12"/>
  <c r="F1521" i="12"/>
  <c r="E1521" i="12"/>
  <c r="J1520" i="12"/>
  <c r="I1520" i="12"/>
  <c r="H1520" i="12"/>
  <c r="F1520" i="12"/>
  <c r="E1520" i="12"/>
  <c r="G1518" i="12"/>
  <c r="I1518" i="12" s="1"/>
  <c r="K1518" i="12" s="1"/>
  <c r="J1517" i="12"/>
  <c r="I1517" i="12"/>
  <c r="H1517" i="12"/>
  <c r="F1517" i="12"/>
  <c r="E1517" i="12"/>
  <c r="J1516" i="12"/>
  <c r="I1516" i="12"/>
  <c r="H1516" i="12"/>
  <c r="F1516" i="12"/>
  <c r="E1516" i="12"/>
  <c r="I1514" i="12"/>
  <c r="J1513" i="12"/>
  <c r="I1513" i="12"/>
  <c r="H1513" i="12"/>
  <c r="F1513" i="12"/>
  <c r="E1513" i="12"/>
  <c r="J1512" i="12"/>
  <c r="I1512" i="12"/>
  <c r="H1512" i="12"/>
  <c r="F1512" i="12"/>
  <c r="E1512" i="12"/>
  <c r="I1510" i="12"/>
  <c r="K1510" i="12" s="1"/>
  <c r="J1509" i="12"/>
  <c r="I1509" i="12"/>
  <c r="H1509" i="12"/>
  <c r="F1509" i="12"/>
  <c r="E1509" i="12"/>
  <c r="J1508" i="12"/>
  <c r="I1508" i="12"/>
  <c r="H1508" i="12"/>
  <c r="F1508" i="12"/>
  <c r="E1508" i="12"/>
  <c r="I1506" i="12"/>
  <c r="K1506" i="12" s="1"/>
  <c r="J1505" i="12"/>
  <c r="I1505" i="12"/>
  <c r="H1505" i="12"/>
  <c r="F1505" i="12"/>
  <c r="E1505" i="12"/>
  <c r="J1504" i="12"/>
  <c r="I1504" i="12"/>
  <c r="H1504" i="12"/>
  <c r="F1504" i="12"/>
  <c r="E1504" i="12"/>
  <c r="I1502" i="12"/>
  <c r="K1502" i="12" s="1"/>
  <c r="J1501" i="12"/>
  <c r="I1501" i="12"/>
  <c r="H1501" i="12"/>
  <c r="F1501" i="12"/>
  <c r="E1501" i="12"/>
  <c r="J1500" i="12"/>
  <c r="I1500" i="12"/>
  <c r="H1500" i="12"/>
  <c r="F1500" i="12"/>
  <c r="E1500" i="12"/>
  <c r="F1498" i="12"/>
  <c r="E1498" i="12"/>
  <c r="J1497" i="12"/>
  <c r="I1497" i="12"/>
  <c r="H1497" i="12"/>
  <c r="F1497" i="12"/>
  <c r="E1497" i="12"/>
  <c r="J1496" i="12"/>
  <c r="I1496" i="12"/>
  <c r="H1496" i="12"/>
  <c r="F1496" i="12"/>
  <c r="E1496" i="12"/>
  <c r="J1494" i="12"/>
  <c r="I1494" i="12"/>
  <c r="H1494" i="12"/>
  <c r="F1494" i="12"/>
  <c r="E1494" i="12"/>
  <c r="I1493" i="12"/>
  <c r="K1493" i="12" s="1"/>
  <c r="H1493" i="12"/>
  <c r="F1493" i="12"/>
  <c r="E1493" i="12"/>
  <c r="J1492" i="12"/>
  <c r="I1492" i="12"/>
  <c r="H1492" i="12"/>
  <c r="F1492" i="12"/>
  <c r="E1492" i="12"/>
  <c r="I1491" i="12"/>
  <c r="K1491" i="12" s="1"/>
  <c r="J1490" i="12"/>
  <c r="I1490" i="12"/>
  <c r="H1490" i="12"/>
  <c r="F1490" i="12"/>
  <c r="E1490" i="12"/>
  <c r="J1489" i="12"/>
  <c r="I1489" i="12"/>
  <c r="H1489" i="12"/>
  <c r="F1489" i="12"/>
  <c r="E1489" i="12"/>
  <c r="J1487" i="12"/>
  <c r="I1487" i="12"/>
  <c r="H1487" i="12"/>
  <c r="F1487" i="12"/>
  <c r="E1487" i="12"/>
  <c r="I1486" i="12"/>
  <c r="K1486" i="12" s="1"/>
  <c r="H1486" i="12"/>
  <c r="F1486" i="12"/>
  <c r="E1486" i="12"/>
  <c r="J1485" i="12"/>
  <c r="I1485" i="12"/>
  <c r="H1485" i="12"/>
  <c r="F1485" i="12"/>
  <c r="E1485" i="12"/>
  <c r="I1484" i="12"/>
  <c r="K1484" i="12" s="1"/>
  <c r="J1483" i="12"/>
  <c r="I1483" i="12"/>
  <c r="H1483" i="12"/>
  <c r="F1483" i="12"/>
  <c r="E1483" i="12"/>
  <c r="J1482" i="12"/>
  <c r="I1482" i="12"/>
  <c r="H1482" i="12"/>
  <c r="F1482" i="12"/>
  <c r="E1482" i="12"/>
  <c r="I1480" i="12"/>
  <c r="K1480" i="12" s="1"/>
  <c r="J1479" i="12"/>
  <c r="I1479" i="12"/>
  <c r="H1479" i="12"/>
  <c r="F1479" i="12"/>
  <c r="E1479" i="12"/>
  <c r="J1478" i="12"/>
  <c r="I1478" i="12"/>
  <c r="H1478" i="12"/>
  <c r="F1478" i="12"/>
  <c r="E1478" i="12"/>
  <c r="I1476" i="12"/>
  <c r="K1476" i="12" s="1"/>
  <c r="J1475" i="12"/>
  <c r="I1475" i="12"/>
  <c r="H1475" i="12"/>
  <c r="F1475" i="12"/>
  <c r="E1475" i="12"/>
  <c r="J1474" i="12"/>
  <c r="I1474" i="12"/>
  <c r="H1474" i="12"/>
  <c r="F1474" i="12"/>
  <c r="E1474" i="12"/>
  <c r="F1472" i="12"/>
  <c r="E1472" i="12"/>
  <c r="J1471" i="12"/>
  <c r="I1471" i="12"/>
  <c r="H1471" i="12"/>
  <c r="F1471" i="12"/>
  <c r="E1471" i="12"/>
  <c r="J1470" i="12"/>
  <c r="I1470" i="12"/>
  <c r="H1470" i="12"/>
  <c r="F1470" i="12"/>
  <c r="E1470" i="12"/>
  <c r="I1468" i="12"/>
  <c r="K1468" i="12" s="1"/>
  <c r="I1467" i="12"/>
  <c r="K1467" i="12" s="1"/>
  <c r="I1466" i="12"/>
  <c r="K1466" i="12" s="1"/>
  <c r="I1465" i="12"/>
  <c r="K1465" i="12" s="1"/>
  <c r="H1464" i="12"/>
  <c r="G1464" i="12"/>
  <c r="F1464" i="12"/>
  <c r="E1464" i="12"/>
  <c r="H1463" i="12"/>
  <c r="G1463" i="12"/>
  <c r="J1463" i="12" s="1"/>
  <c r="F1463" i="12"/>
  <c r="E1463" i="12"/>
  <c r="F1461" i="12"/>
  <c r="E1461" i="12"/>
  <c r="J1460" i="12"/>
  <c r="I1460" i="12"/>
  <c r="H1460" i="12"/>
  <c r="F1460" i="12"/>
  <c r="E1460" i="12"/>
  <c r="J1459" i="12"/>
  <c r="I1459" i="12"/>
  <c r="H1459" i="12"/>
  <c r="F1459" i="12"/>
  <c r="E1459" i="12"/>
  <c r="J1458" i="12"/>
  <c r="I1458" i="12"/>
  <c r="H1458" i="12"/>
  <c r="F1458" i="12"/>
  <c r="E1458" i="12"/>
  <c r="J1457" i="12"/>
  <c r="I1457" i="12"/>
  <c r="H1457" i="12"/>
  <c r="F1457" i="12"/>
  <c r="E1457" i="12"/>
  <c r="J1456" i="12"/>
  <c r="I1456" i="12"/>
  <c r="H1456" i="12"/>
  <c r="F1456" i="12"/>
  <c r="E1456" i="12"/>
  <c r="J1455" i="12"/>
  <c r="I1455" i="12"/>
  <c r="H1455" i="12"/>
  <c r="F1455" i="12"/>
  <c r="E1455" i="12"/>
  <c r="F1453" i="12"/>
  <c r="E1453" i="12"/>
  <c r="J1452" i="12"/>
  <c r="I1452" i="12"/>
  <c r="H1452" i="12"/>
  <c r="F1452" i="12"/>
  <c r="E1452" i="12"/>
  <c r="J1451" i="12"/>
  <c r="I1451" i="12"/>
  <c r="H1451" i="12"/>
  <c r="F1451" i="12"/>
  <c r="E1451" i="12"/>
  <c r="J1450" i="12"/>
  <c r="I1450" i="12"/>
  <c r="H1450" i="12"/>
  <c r="F1450" i="12"/>
  <c r="E1450" i="12"/>
  <c r="J1449" i="12"/>
  <c r="I1449" i="12"/>
  <c r="H1449" i="12"/>
  <c r="F1449" i="12"/>
  <c r="E1449" i="12"/>
  <c r="J1448" i="12"/>
  <c r="I1448" i="12"/>
  <c r="H1448" i="12"/>
  <c r="F1448" i="12"/>
  <c r="E1448" i="12"/>
  <c r="J1447" i="12"/>
  <c r="I1447" i="12"/>
  <c r="H1447" i="12"/>
  <c r="F1447" i="12"/>
  <c r="E1447" i="12"/>
  <c r="F1445" i="12"/>
  <c r="E1445" i="12"/>
  <c r="J1444" i="12"/>
  <c r="I1444" i="12"/>
  <c r="H1444" i="12"/>
  <c r="F1444" i="12"/>
  <c r="E1444" i="12"/>
  <c r="J1443" i="12"/>
  <c r="I1443" i="12"/>
  <c r="H1443" i="12"/>
  <c r="F1443" i="12"/>
  <c r="E1443" i="12"/>
  <c r="J1442" i="12"/>
  <c r="I1442" i="12"/>
  <c r="H1442" i="12"/>
  <c r="F1442" i="12"/>
  <c r="E1442" i="12"/>
  <c r="J1441" i="12"/>
  <c r="I1441" i="12"/>
  <c r="H1441" i="12"/>
  <c r="F1441" i="12"/>
  <c r="E1441" i="12"/>
  <c r="J1440" i="12"/>
  <c r="I1440" i="12"/>
  <c r="H1440" i="12"/>
  <c r="F1440" i="12"/>
  <c r="E1440" i="12"/>
  <c r="J1439" i="12"/>
  <c r="I1439" i="12"/>
  <c r="H1439" i="12"/>
  <c r="F1439" i="12"/>
  <c r="E1439" i="12"/>
  <c r="F1437" i="12"/>
  <c r="E1437" i="12"/>
  <c r="J1436" i="12"/>
  <c r="I1436" i="12"/>
  <c r="H1436" i="12"/>
  <c r="F1436" i="12"/>
  <c r="E1436" i="12"/>
  <c r="J1435" i="12"/>
  <c r="I1435" i="12"/>
  <c r="H1435" i="12"/>
  <c r="F1435" i="12"/>
  <c r="E1435" i="12"/>
  <c r="J1434" i="12"/>
  <c r="I1434" i="12"/>
  <c r="H1434" i="12"/>
  <c r="F1434" i="12"/>
  <c r="E1434" i="12"/>
  <c r="J1433" i="12"/>
  <c r="I1433" i="12"/>
  <c r="H1433" i="12"/>
  <c r="F1433" i="12"/>
  <c r="E1433" i="12"/>
  <c r="J1432" i="12"/>
  <c r="I1432" i="12"/>
  <c r="H1432" i="12"/>
  <c r="F1432" i="12"/>
  <c r="E1432" i="12"/>
  <c r="J1431" i="12"/>
  <c r="I1431" i="12"/>
  <c r="H1431" i="12"/>
  <c r="F1431" i="12"/>
  <c r="E1431" i="12"/>
  <c r="F1429" i="12"/>
  <c r="E1429" i="12"/>
  <c r="J1428" i="12"/>
  <c r="I1428" i="12"/>
  <c r="H1428" i="12"/>
  <c r="F1428" i="12"/>
  <c r="E1428" i="12"/>
  <c r="J1427" i="12"/>
  <c r="I1427" i="12"/>
  <c r="H1427" i="12"/>
  <c r="F1427" i="12"/>
  <c r="E1427" i="12"/>
  <c r="J1426" i="12"/>
  <c r="I1426" i="12"/>
  <c r="H1426" i="12"/>
  <c r="F1426" i="12"/>
  <c r="E1426" i="12"/>
  <c r="J1425" i="12"/>
  <c r="I1425" i="12"/>
  <c r="H1425" i="12"/>
  <c r="F1425" i="12"/>
  <c r="E1425" i="12"/>
  <c r="J1424" i="12"/>
  <c r="I1424" i="12"/>
  <c r="H1424" i="12"/>
  <c r="F1424" i="12"/>
  <c r="E1424" i="12"/>
  <c r="J1423" i="12"/>
  <c r="I1423" i="12"/>
  <c r="H1423" i="12"/>
  <c r="F1423" i="12"/>
  <c r="E1423" i="12"/>
  <c r="F1421" i="12"/>
  <c r="E1421" i="12"/>
  <c r="J1420" i="12"/>
  <c r="I1420" i="12"/>
  <c r="H1420" i="12"/>
  <c r="F1420" i="12"/>
  <c r="E1420" i="12"/>
  <c r="J1419" i="12"/>
  <c r="I1419" i="12"/>
  <c r="H1419" i="12"/>
  <c r="F1419" i="12"/>
  <c r="E1419" i="12"/>
  <c r="F1417" i="12"/>
  <c r="E1417" i="12"/>
  <c r="J1416" i="12"/>
  <c r="I1416" i="12"/>
  <c r="H1416" i="12"/>
  <c r="F1416" i="12"/>
  <c r="E1416" i="12"/>
  <c r="J1415" i="12"/>
  <c r="I1415" i="12"/>
  <c r="H1415" i="12"/>
  <c r="F1415" i="12"/>
  <c r="E1415" i="12"/>
  <c r="F1413" i="12"/>
  <c r="E1413" i="12"/>
  <c r="J1412" i="12"/>
  <c r="I1412" i="12"/>
  <c r="H1412" i="12"/>
  <c r="F1412" i="12"/>
  <c r="E1412" i="12"/>
  <c r="J1411" i="12"/>
  <c r="I1411" i="12"/>
  <c r="H1411" i="12"/>
  <c r="F1411" i="12"/>
  <c r="E1411" i="12"/>
  <c r="I1409" i="12"/>
  <c r="K1409" i="12" s="1"/>
  <c r="J1408" i="12"/>
  <c r="I1408" i="12"/>
  <c r="H1408" i="12"/>
  <c r="F1408" i="12"/>
  <c r="E1408" i="12"/>
  <c r="J1407" i="12"/>
  <c r="I1407" i="12"/>
  <c r="H1407" i="12"/>
  <c r="F1407" i="12"/>
  <c r="E1407" i="12"/>
  <c r="F1405" i="12"/>
  <c r="E1405" i="12"/>
  <c r="I1404" i="12"/>
  <c r="K1404" i="12" s="1"/>
  <c r="H1404" i="12"/>
  <c r="F1404" i="12"/>
  <c r="E1404" i="12"/>
  <c r="J1403" i="12"/>
  <c r="I1403" i="12"/>
  <c r="H1403" i="12"/>
  <c r="F1403" i="12"/>
  <c r="E1403" i="12"/>
  <c r="J1402" i="12"/>
  <c r="I1402" i="12"/>
  <c r="H1402" i="12"/>
  <c r="F1402" i="12"/>
  <c r="E1402" i="12"/>
  <c r="J1401" i="12"/>
  <c r="I1401" i="12"/>
  <c r="H1401" i="12"/>
  <c r="F1401" i="12"/>
  <c r="E1401" i="12"/>
  <c r="F1399" i="12"/>
  <c r="E1399" i="12"/>
  <c r="I1398" i="12"/>
  <c r="K1398" i="12" s="1"/>
  <c r="H1398" i="12"/>
  <c r="F1398" i="12"/>
  <c r="E1398" i="12"/>
  <c r="J1397" i="12"/>
  <c r="I1397" i="12"/>
  <c r="H1397" i="12"/>
  <c r="F1397" i="12"/>
  <c r="E1397" i="12"/>
  <c r="J1396" i="12"/>
  <c r="I1396" i="12"/>
  <c r="H1396" i="12"/>
  <c r="F1396" i="12"/>
  <c r="E1396" i="12"/>
  <c r="J1395" i="12"/>
  <c r="I1395" i="12"/>
  <c r="H1395" i="12"/>
  <c r="F1395" i="12"/>
  <c r="E1395" i="12"/>
  <c r="F1393" i="12"/>
  <c r="E1393" i="12"/>
  <c r="I1392" i="12"/>
  <c r="K1392" i="12" s="1"/>
  <c r="H1392" i="12"/>
  <c r="F1392" i="12"/>
  <c r="E1392" i="12"/>
  <c r="J1391" i="12"/>
  <c r="I1391" i="12"/>
  <c r="H1391" i="12"/>
  <c r="F1391" i="12"/>
  <c r="E1391" i="12"/>
  <c r="J1390" i="12"/>
  <c r="I1390" i="12"/>
  <c r="H1390" i="12"/>
  <c r="F1390" i="12"/>
  <c r="E1390" i="12"/>
  <c r="J1389" i="12"/>
  <c r="I1389" i="12"/>
  <c r="H1389" i="12"/>
  <c r="F1389" i="12"/>
  <c r="E1389" i="12"/>
  <c r="F1387" i="12"/>
  <c r="E1387" i="12"/>
  <c r="I1386" i="12"/>
  <c r="K1386" i="12" s="1"/>
  <c r="H1386" i="12"/>
  <c r="F1386" i="12"/>
  <c r="E1386" i="12"/>
  <c r="J1385" i="12"/>
  <c r="I1385" i="12"/>
  <c r="H1385" i="12"/>
  <c r="F1385" i="12"/>
  <c r="E1385" i="12"/>
  <c r="J1384" i="12"/>
  <c r="I1384" i="12"/>
  <c r="H1384" i="12"/>
  <c r="F1384" i="12"/>
  <c r="E1384" i="12"/>
  <c r="J1383" i="12"/>
  <c r="I1383" i="12"/>
  <c r="H1383" i="12"/>
  <c r="F1383" i="12"/>
  <c r="E1383" i="12"/>
  <c r="J1381" i="12"/>
  <c r="I1381" i="12"/>
  <c r="H1381" i="12"/>
  <c r="F1381" i="12"/>
  <c r="E1381" i="12"/>
  <c r="J1380" i="12"/>
  <c r="I1380" i="12"/>
  <c r="H1380" i="12"/>
  <c r="F1380" i="12"/>
  <c r="E1380" i="12"/>
  <c r="F1379" i="12"/>
  <c r="E1379" i="12"/>
  <c r="J1377" i="12"/>
  <c r="I1377" i="12"/>
  <c r="H1377" i="12"/>
  <c r="F1377" i="12"/>
  <c r="E1377" i="12"/>
  <c r="J1376" i="12"/>
  <c r="I1376" i="12"/>
  <c r="H1376" i="12"/>
  <c r="F1376" i="12"/>
  <c r="E1376" i="12"/>
  <c r="H1375" i="12"/>
  <c r="G1375" i="12"/>
  <c r="I1375" i="12" s="1"/>
  <c r="K1375" i="12" s="1"/>
  <c r="F1375" i="12"/>
  <c r="E1375" i="12"/>
  <c r="J1374" i="12"/>
  <c r="I1374" i="12"/>
  <c r="H1374" i="12"/>
  <c r="F1374" i="12"/>
  <c r="E1374" i="12"/>
  <c r="I1373" i="12"/>
  <c r="K1373" i="12" s="1"/>
  <c r="H1373" i="12"/>
  <c r="F1373" i="12"/>
  <c r="E1373" i="12"/>
  <c r="I1372" i="12"/>
  <c r="K1372" i="12" s="1"/>
  <c r="H1372" i="12"/>
  <c r="F1372" i="12"/>
  <c r="E1372" i="12"/>
  <c r="I1371" i="12"/>
  <c r="K1371" i="12" s="1"/>
  <c r="H1371" i="12"/>
  <c r="F1371" i="12"/>
  <c r="E1371" i="12"/>
  <c r="I1370" i="12"/>
  <c r="K1370" i="12" s="1"/>
  <c r="H1370" i="12"/>
  <c r="F1370" i="12"/>
  <c r="E1370" i="12"/>
  <c r="I1369" i="12"/>
  <c r="K1369" i="12" s="1"/>
  <c r="H1369" i="12"/>
  <c r="F1369" i="12"/>
  <c r="E1369" i="12"/>
  <c r="H1368" i="12"/>
  <c r="G1368" i="12"/>
  <c r="I1368" i="12" s="1"/>
  <c r="K1368" i="12" s="1"/>
  <c r="F1368" i="12"/>
  <c r="E1368" i="12"/>
  <c r="J1366" i="12"/>
  <c r="I1366" i="12"/>
  <c r="H1366" i="12"/>
  <c r="F1366" i="12"/>
  <c r="E1366" i="12"/>
  <c r="J1365" i="12"/>
  <c r="I1365" i="12"/>
  <c r="H1365" i="12"/>
  <c r="F1365" i="12"/>
  <c r="E1365" i="12"/>
  <c r="I1364" i="12"/>
  <c r="K1364" i="12" s="1"/>
  <c r="H1364" i="12"/>
  <c r="F1364" i="12"/>
  <c r="E1364" i="12"/>
  <c r="J1363" i="12"/>
  <c r="I1363" i="12"/>
  <c r="H1363" i="12"/>
  <c r="F1363" i="12"/>
  <c r="E1363" i="12"/>
  <c r="F1362" i="12"/>
  <c r="E1362" i="12"/>
  <c r="I1361" i="12"/>
  <c r="K1361" i="12" s="1"/>
  <c r="H1361" i="12"/>
  <c r="F1361" i="12"/>
  <c r="E1361" i="12"/>
  <c r="J1359" i="12"/>
  <c r="I1359" i="12"/>
  <c r="H1359" i="12"/>
  <c r="F1359" i="12"/>
  <c r="E1359" i="12"/>
  <c r="J1358" i="12"/>
  <c r="I1358" i="12"/>
  <c r="H1358" i="12"/>
  <c r="F1358" i="12"/>
  <c r="E1358" i="12"/>
  <c r="I1357" i="12"/>
  <c r="K1357" i="12" s="1"/>
  <c r="H1357" i="12"/>
  <c r="F1357" i="12"/>
  <c r="E1357" i="12"/>
  <c r="J1356" i="12"/>
  <c r="I1356" i="12"/>
  <c r="H1356" i="12"/>
  <c r="F1356" i="12"/>
  <c r="E1356" i="12"/>
  <c r="F1355" i="12"/>
  <c r="E1355" i="12"/>
  <c r="I1354" i="12"/>
  <c r="K1354" i="12" s="1"/>
  <c r="H1354" i="12"/>
  <c r="F1354" i="12"/>
  <c r="E1354" i="12"/>
  <c r="J1352" i="12"/>
  <c r="I1352" i="12"/>
  <c r="H1352" i="12"/>
  <c r="F1352" i="12"/>
  <c r="E1352" i="12"/>
  <c r="J1351" i="12"/>
  <c r="I1351" i="12"/>
  <c r="H1351" i="12"/>
  <c r="F1351" i="12"/>
  <c r="E1351" i="12"/>
  <c r="I1350" i="12"/>
  <c r="K1350" i="12" s="1"/>
  <c r="H1350" i="12"/>
  <c r="F1350" i="12"/>
  <c r="E1350" i="12"/>
  <c r="J1349" i="12"/>
  <c r="I1349" i="12"/>
  <c r="H1349" i="12"/>
  <c r="F1349" i="12"/>
  <c r="E1349" i="12"/>
  <c r="F1348" i="12"/>
  <c r="E1348" i="12"/>
  <c r="I1347" i="12"/>
  <c r="K1347" i="12" s="1"/>
  <c r="H1347" i="12"/>
  <c r="F1347" i="12"/>
  <c r="E1347" i="12"/>
  <c r="I1345" i="12"/>
  <c r="K1345" i="12" s="1"/>
  <c r="I1344" i="12"/>
  <c r="K1344" i="12" s="1"/>
  <c r="I1343" i="12"/>
  <c r="K1343" i="12" s="1"/>
  <c r="H1343" i="12"/>
  <c r="F1343" i="12"/>
  <c r="E1343" i="12"/>
  <c r="J1342" i="12"/>
  <c r="I1342" i="12"/>
  <c r="H1342" i="12"/>
  <c r="F1342" i="12"/>
  <c r="E1342" i="12"/>
  <c r="I1341" i="12"/>
  <c r="K1341" i="12" s="1"/>
  <c r="H1341" i="12"/>
  <c r="F1341" i="12"/>
  <c r="E1341" i="12"/>
  <c r="J1340" i="12"/>
  <c r="I1340" i="12"/>
  <c r="H1340" i="12"/>
  <c r="F1340" i="12"/>
  <c r="E1340" i="12"/>
  <c r="J1339" i="12"/>
  <c r="I1339" i="12"/>
  <c r="H1339" i="12"/>
  <c r="F1339" i="12"/>
  <c r="E1339" i="12"/>
  <c r="I1337" i="12"/>
  <c r="K1337" i="12" s="1"/>
  <c r="I1336" i="12"/>
  <c r="K1336" i="12" s="1"/>
  <c r="I1335" i="12"/>
  <c r="K1335" i="12" s="1"/>
  <c r="H1335" i="12"/>
  <c r="F1335" i="12"/>
  <c r="E1335" i="12"/>
  <c r="J1334" i="12"/>
  <c r="I1334" i="12"/>
  <c r="H1334" i="12"/>
  <c r="F1334" i="12"/>
  <c r="E1334" i="12"/>
  <c r="I1333" i="12"/>
  <c r="K1333" i="12" s="1"/>
  <c r="H1333" i="12"/>
  <c r="F1333" i="12"/>
  <c r="E1333" i="12"/>
  <c r="J1332" i="12"/>
  <c r="I1332" i="12"/>
  <c r="H1332" i="12"/>
  <c r="F1332" i="12"/>
  <c r="E1332" i="12"/>
  <c r="J1331" i="12"/>
  <c r="I1331" i="12"/>
  <c r="H1331" i="12"/>
  <c r="F1331" i="12"/>
  <c r="E1331" i="12"/>
  <c r="I1329" i="12"/>
  <c r="K1329" i="12" s="1"/>
  <c r="I1328" i="12"/>
  <c r="K1328" i="12" s="1"/>
  <c r="I1327" i="12"/>
  <c r="K1327" i="12" s="1"/>
  <c r="H1327" i="12"/>
  <c r="F1327" i="12"/>
  <c r="E1327" i="12"/>
  <c r="J1326" i="12"/>
  <c r="I1326" i="12"/>
  <c r="H1326" i="12"/>
  <c r="F1326" i="12"/>
  <c r="E1326" i="12"/>
  <c r="I1325" i="12"/>
  <c r="K1325" i="12" s="1"/>
  <c r="H1325" i="12"/>
  <c r="F1325" i="12"/>
  <c r="E1325" i="12"/>
  <c r="J1324" i="12"/>
  <c r="I1324" i="12"/>
  <c r="H1324" i="12"/>
  <c r="F1324" i="12"/>
  <c r="E1324" i="12"/>
  <c r="J1323" i="12"/>
  <c r="I1323" i="12"/>
  <c r="H1323" i="12"/>
  <c r="F1323" i="12"/>
  <c r="E1323" i="12"/>
  <c r="I1321" i="12"/>
  <c r="K1321" i="12" s="1"/>
  <c r="I1320" i="12"/>
  <c r="K1320" i="12" s="1"/>
  <c r="I1319" i="12"/>
  <c r="K1319" i="12" s="1"/>
  <c r="H1319" i="12"/>
  <c r="F1319" i="12"/>
  <c r="E1319" i="12"/>
  <c r="J1318" i="12"/>
  <c r="I1318" i="12"/>
  <c r="H1318" i="12"/>
  <c r="F1318" i="12"/>
  <c r="E1318" i="12"/>
  <c r="I1317" i="12"/>
  <c r="K1317" i="12" s="1"/>
  <c r="H1317" i="12"/>
  <c r="F1317" i="12"/>
  <c r="E1317" i="12"/>
  <c r="J1316" i="12"/>
  <c r="I1316" i="12"/>
  <c r="H1316" i="12"/>
  <c r="F1316" i="12"/>
  <c r="E1316" i="12"/>
  <c r="J1315" i="12"/>
  <c r="I1315" i="12"/>
  <c r="H1315" i="12"/>
  <c r="F1315" i="12"/>
  <c r="E1315" i="12"/>
  <c r="I1313" i="12"/>
  <c r="K1313" i="12" s="1"/>
  <c r="I1312" i="12"/>
  <c r="K1312" i="12" s="1"/>
  <c r="I1311" i="12"/>
  <c r="K1311" i="12" s="1"/>
  <c r="H1311" i="12"/>
  <c r="F1311" i="12"/>
  <c r="E1311" i="12"/>
  <c r="J1310" i="12"/>
  <c r="I1310" i="12"/>
  <c r="H1310" i="12"/>
  <c r="F1310" i="12"/>
  <c r="E1310" i="12"/>
  <c r="I1309" i="12"/>
  <c r="K1309" i="12" s="1"/>
  <c r="H1309" i="12"/>
  <c r="F1309" i="12"/>
  <c r="E1309" i="12"/>
  <c r="J1308" i="12"/>
  <c r="I1308" i="12"/>
  <c r="H1308" i="12"/>
  <c r="F1308" i="12"/>
  <c r="E1308" i="12"/>
  <c r="J1307" i="12"/>
  <c r="I1307" i="12"/>
  <c r="H1307" i="12"/>
  <c r="F1307" i="12"/>
  <c r="E1307" i="12"/>
  <c r="J1305" i="12"/>
  <c r="I1305" i="12"/>
  <c r="H1305" i="12"/>
  <c r="F1305" i="12"/>
  <c r="E1305" i="12"/>
  <c r="J1304" i="12"/>
  <c r="I1304" i="12"/>
  <c r="H1304" i="12"/>
  <c r="F1304" i="12"/>
  <c r="E1304" i="12"/>
  <c r="J1303" i="12"/>
  <c r="I1303" i="12"/>
  <c r="H1303" i="12"/>
  <c r="F1303" i="12"/>
  <c r="E1303" i="12"/>
  <c r="I1302" i="12"/>
  <c r="K1302" i="12" s="1"/>
  <c r="J1300" i="12"/>
  <c r="I1300" i="12"/>
  <c r="H1300" i="12"/>
  <c r="F1300" i="12"/>
  <c r="E1300" i="12"/>
  <c r="J1299" i="12"/>
  <c r="I1299" i="12"/>
  <c r="H1299" i="12"/>
  <c r="F1299" i="12"/>
  <c r="E1299" i="12"/>
  <c r="J1298" i="12"/>
  <c r="I1298" i="12"/>
  <c r="H1298" i="12"/>
  <c r="F1298" i="12"/>
  <c r="E1298" i="12"/>
  <c r="I1297" i="12"/>
  <c r="J1295" i="12"/>
  <c r="J1294" i="12" s="1"/>
  <c r="I1295" i="12"/>
  <c r="I1294" i="12" s="1"/>
  <c r="H1295" i="12"/>
  <c r="F1295" i="12"/>
  <c r="E1295" i="12"/>
  <c r="I1293" i="12"/>
  <c r="K1293" i="12" s="1"/>
  <c r="J1292" i="12"/>
  <c r="I1292" i="12"/>
  <c r="H1292" i="12"/>
  <c r="F1292" i="12"/>
  <c r="E1292" i="12"/>
  <c r="J1291" i="12"/>
  <c r="I1291" i="12"/>
  <c r="H1291" i="12"/>
  <c r="F1291" i="12"/>
  <c r="E1291" i="12"/>
  <c r="I1289" i="12"/>
  <c r="K1289" i="12" s="1"/>
  <c r="J1288" i="12"/>
  <c r="I1288" i="12"/>
  <c r="H1288" i="12"/>
  <c r="F1288" i="12"/>
  <c r="E1288" i="12"/>
  <c r="J1287" i="12"/>
  <c r="I1287" i="12"/>
  <c r="H1287" i="12"/>
  <c r="F1287" i="12"/>
  <c r="E1287" i="12"/>
  <c r="J1286" i="12"/>
  <c r="I1286" i="12"/>
  <c r="H1286" i="12"/>
  <c r="F1286" i="12"/>
  <c r="E1286" i="12"/>
  <c r="J1285" i="12"/>
  <c r="I1285" i="12"/>
  <c r="H1285" i="12"/>
  <c r="F1285" i="12"/>
  <c r="E1285" i="12"/>
  <c r="I1283" i="12"/>
  <c r="J1282" i="12"/>
  <c r="I1282" i="12"/>
  <c r="H1282" i="12"/>
  <c r="F1282" i="12"/>
  <c r="E1282" i="12"/>
  <c r="J1281" i="12"/>
  <c r="I1281" i="12"/>
  <c r="H1281" i="12"/>
  <c r="F1281" i="12"/>
  <c r="E1281" i="12"/>
  <c r="J1279" i="12"/>
  <c r="J1278" i="12" s="1"/>
  <c r="H532" i="9" s="1"/>
  <c r="I1279" i="12"/>
  <c r="H1279" i="12"/>
  <c r="F1279" i="12"/>
  <c r="E1279" i="12"/>
  <c r="J1277" i="12"/>
  <c r="J1276" i="12" s="1"/>
  <c r="H402" i="9" s="1"/>
  <c r="I1277" i="12"/>
  <c r="I1276" i="12" s="1"/>
  <c r="G402" i="9" s="1"/>
  <c r="H1277" i="12"/>
  <c r="F1277" i="12"/>
  <c r="E1277" i="12"/>
  <c r="I1275" i="12"/>
  <c r="K1275" i="12" s="1"/>
  <c r="J1274" i="12"/>
  <c r="I1274" i="12"/>
  <c r="H1274" i="12"/>
  <c r="F1274" i="12"/>
  <c r="E1274" i="12"/>
  <c r="J1273" i="12"/>
  <c r="I1273" i="12"/>
  <c r="H1273" i="12"/>
  <c r="F1273" i="12"/>
  <c r="E1273" i="12"/>
  <c r="J1272" i="12"/>
  <c r="I1272" i="12"/>
  <c r="H1272" i="12"/>
  <c r="F1272" i="12"/>
  <c r="E1272" i="12"/>
  <c r="J1271" i="12"/>
  <c r="I1271" i="12"/>
  <c r="H1271" i="12"/>
  <c r="F1271" i="12"/>
  <c r="E1271" i="12"/>
  <c r="I1269" i="12"/>
  <c r="K1269" i="12" s="1"/>
  <c r="J1268" i="12"/>
  <c r="I1268" i="12"/>
  <c r="H1268" i="12"/>
  <c r="F1268" i="12"/>
  <c r="E1268" i="12"/>
  <c r="J1267" i="12"/>
  <c r="I1267" i="12"/>
  <c r="H1267" i="12"/>
  <c r="F1267" i="12"/>
  <c r="E1267" i="12"/>
  <c r="J1266" i="12"/>
  <c r="I1266" i="12"/>
  <c r="H1266" i="12"/>
  <c r="F1266" i="12"/>
  <c r="E1266" i="12"/>
  <c r="J1265" i="12"/>
  <c r="I1265" i="12"/>
  <c r="H1265" i="12"/>
  <c r="F1265" i="12"/>
  <c r="E1265" i="12"/>
  <c r="I1263" i="12"/>
  <c r="K1263" i="12" s="1"/>
  <c r="J1262" i="12"/>
  <c r="I1262" i="12"/>
  <c r="H1262" i="12"/>
  <c r="F1262" i="12"/>
  <c r="E1262" i="12"/>
  <c r="J1261" i="12"/>
  <c r="I1261" i="12"/>
  <c r="H1261" i="12"/>
  <c r="F1261" i="12"/>
  <c r="E1261" i="12"/>
  <c r="J1260" i="12"/>
  <c r="I1260" i="12"/>
  <c r="H1260" i="12"/>
  <c r="F1260" i="12"/>
  <c r="E1260" i="12"/>
  <c r="J1259" i="12"/>
  <c r="I1259" i="12"/>
  <c r="H1259" i="12"/>
  <c r="F1259" i="12"/>
  <c r="E1259" i="12"/>
  <c r="I1257" i="12"/>
  <c r="K1257" i="12" s="1"/>
  <c r="J1256" i="12"/>
  <c r="I1256" i="12"/>
  <c r="H1256" i="12"/>
  <c r="F1256" i="12"/>
  <c r="E1256" i="12"/>
  <c r="J1255" i="12"/>
  <c r="I1255" i="12"/>
  <c r="H1255" i="12"/>
  <c r="F1255" i="12"/>
  <c r="E1255" i="12"/>
  <c r="J1254" i="12"/>
  <c r="I1254" i="12"/>
  <c r="H1254" i="12"/>
  <c r="F1254" i="12"/>
  <c r="E1254" i="12"/>
  <c r="J1253" i="12"/>
  <c r="I1253" i="12"/>
  <c r="H1253" i="12"/>
  <c r="F1253" i="12"/>
  <c r="E1253" i="12"/>
  <c r="J1251" i="12"/>
  <c r="I1251" i="12"/>
  <c r="H1251" i="12"/>
  <c r="F1251" i="12"/>
  <c r="E1251" i="12"/>
  <c r="J1250" i="12"/>
  <c r="I1250" i="12"/>
  <c r="H1250" i="12"/>
  <c r="F1250" i="12"/>
  <c r="E1250" i="12"/>
  <c r="I1248" i="12"/>
  <c r="K1248" i="12" s="1"/>
  <c r="I1247" i="12"/>
  <c r="K1247" i="12" s="1"/>
  <c r="J1246" i="12"/>
  <c r="I1246" i="12"/>
  <c r="H1246" i="12"/>
  <c r="F1246" i="12"/>
  <c r="E1246" i="12"/>
  <c r="J1245" i="12"/>
  <c r="I1245" i="12"/>
  <c r="H1245" i="12"/>
  <c r="F1245" i="12"/>
  <c r="E1245" i="12"/>
  <c r="I1243" i="12"/>
  <c r="K1243" i="12" s="1"/>
  <c r="I1242" i="12"/>
  <c r="K1242" i="12" s="1"/>
  <c r="J1241" i="12"/>
  <c r="I1241" i="12"/>
  <c r="H1241" i="12"/>
  <c r="F1241" i="12"/>
  <c r="E1241" i="12"/>
  <c r="J1240" i="12"/>
  <c r="I1240" i="12"/>
  <c r="H1240" i="12"/>
  <c r="F1240" i="12"/>
  <c r="E1240" i="12"/>
  <c r="I1238" i="12"/>
  <c r="K1238" i="12" s="1"/>
  <c r="J1237" i="12"/>
  <c r="I1237" i="12"/>
  <c r="H1237" i="12"/>
  <c r="F1237" i="12"/>
  <c r="E1237" i="12"/>
  <c r="J1236" i="12"/>
  <c r="I1236" i="12"/>
  <c r="H1236" i="12"/>
  <c r="F1236" i="12"/>
  <c r="E1236" i="12"/>
  <c r="I1234" i="12"/>
  <c r="K1234" i="12" s="1"/>
  <c r="J1233" i="12"/>
  <c r="I1233" i="12"/>
  <c r="H1233" i="12"/>
  <c r="F1233" i="12"/>
  <c r="E1233" i="12"/>
  <c r="J1232" i="12"/>
  <c r="I1232" i="12"/>
  <c r="H1232" i="12"/>
  <c r="F1232" i="12"/>
  <c r="E1232" i="12"/>
  <c r="F1230" i="12"/>
  <c r="E1230" i="12"/>
  <c r="J1228" i="12"/>
  <c r="I1228" i="12"/>
  <c r="H1228" i="12"/>
  <c r="F1228" i="12"/>
  <c r="E1228" i="12"/>
  <c r="J1227" i="12"/>
  <c r="I1227" i="12"/>
  <c r="H1227" i="12"/>
  <c r="F1227" i="12"/>
  <c r="E1227" i="12"/>
  <c r="J1225" i="12"/>
  <c r="I1225" i="12"/>
  <c r="H1225" i="12"/>
  <c r="F1225" i="12"/>
  <c r="E1225" i="12"/>
  <c r="J1224" i="12"/>
  <c r="I1224" i="12"/>
  <c r="H1224" i="12"/>
  <c r="F1224" i="12"/>
  <c r="E1224" i="12"/>
  <c r="J1223" i="12"/>
  <c r="I1223" i="12"/>
  <c r="H1223" i="12"/>
  <c r="F1223" i="12"/>
  <c r="E1223" i="12"/>
  <c r="J1221" i="12"/>
  <c r="I1221" i="12"/>
  <c r="H1221" i="12"/>
  <c r="F1221" i="12"/>
  <c r="E1221" i="12"/>
  <c r="J1220" i="12"/>
  <c r="I1220" i="12"/>
  <c r="H1220" i="12"/>
  <c r="F1220" i="12"/>
  <c r="E1220" i="12"/>
  <c r="I1219" i="12"/>
  <c r="K1219" i="12" s="1"/>
  <c r="H1219" i="12"/>
  <c r="F1219" i="12"/>
  <c r="E1219" i="12"/>
  <c r="J1218" i="12"/>
  <c r="I1218" i="12"/>
  <c r="H1218" i="12"/>
  <c r="F1218" i="12"/>
  <c r="E1218" i="12"/>
  <c r="J1217" i="12"/>
  <c r="I1217" i="12"/>
  <c r="H1217" i="12"/>
  <c r="F1217" i="12"/>
  <c r="E1217" i="12"/>
  <c r="J1216" i="12"/>
  <c r="I1216" i="12"/>
  <c r="H1216" i="12"/>
  <c r="F1216" i="12"/>
  <c r="E1216" i="12"/>
  <c r="J1215" i="12"/>
  <c r="I1215" i="12"/>
  <c r="H1215" i="12"/>
  <c r="F1215" i="12"/>
  <c r="E1215" i="12"/>
  <c r="J1214" i="12"/>
  <c r="I1214" i="12"/>
  <c r="H1214" i="12"/>
  <c r="F1214" i="12"/>
  <c r="E1214" i="12"/>
  <c r="J1213" i="12"/>
  <c r="I1213" i="12"/>
  <c r="H1213" i="12"/>
  <c r="F1213" i="12"/>
  <c r="E1213" i="12"/>
  <c r="J1212" i="12"/>
  <c r="I1212" i="12"/>
  <c r="H1212" i="12"/>
  <c r="F1212" i="12"/>
  <c r="E1212" i="12"/>
  <c r="J1211" i="12"/>
  <c r="I1211" i="12"/>
  <c r="H1211" i="12"/>
  <c r="F1211" i="12"/>
  <c r="E1211" i="12"/>
  <c r="J1209" i="12"/>
  <c r="I1209" i="12"/>
  <c r="H1209" i="12"/>
  <c r="F1209" i="12"/>
  <c r="E1209" i="12"/>
  <c r="J1208" i="12"/>
  <c r="I1208" i="12"/>
  <c r="H1208" i="12"/>
  <c r="F1208" i="12"/>
  <c r="E1208" i="12"/>
  <c r="J1207" i="12"/>
  <c r="I1207" i="12"/>
  <c r="H1207" i="12"/>
  <c r="F1207" i="12"/>
  <c r="E1207" i="12"/>
  <c r="I1206" i="12"/>
  <c r="K1206" i="12" s="1"/>
  <c r="H1206" i="12"/>
  <c r="F1206" i="12"/>
  <c r="E1206" i="12"/>
  <c r="J1205" i="12"/>
  <c r="I1205" i="12"/>
  <c r="H1205" i="12"/>
  <c r="F1205" i="12"/>
  <c r="E1205" i="12"/>
  <c r="J1204" i="12"/>
  <c r="I1204" i="12"/>
  <c r="H1204" i="12"/>
  <c r="F1204" i="12"/>
  <c r="E1204" i="12"/>
  <c r="J1203" i="12"/>
  <c r="I1203" i="12"/>
  <c r="H1203" i="12"/>
  <c r="F1203" i="12"/>
  <c r="E1203" i="12"/>
  <c r="J1202" i="12"/>
  <c r="I1202" i="12"/>
  <c r="H1202" i="12"/>
  <c r="F1202" i="12"/>
  <c r="E1202" i="12"/>
  <c r="J1201" i="12"/>
  <c r="I1201" i="12"/>
  <c r="H1201" i="12"/>
  <c r="F1201" i="12"/>
  <c r="E1201" i="12"/>
  <c r="J1200" i="12"/>
  <c r="I1200" i="12"/>
  <c r="H1200" i="12"/>
  <c r="F1200" i="12"/>
  <c r="E1200" i="12"/>
  <c r="J1199" i="12"/>
  <c r="I1199" i="12"/>
  <c r="H1199" i="12"/>
  <c r="F1199" i="12"/>
  <c r="E1199" i="12"/>
  <c r="J1197" i="12"/>
  <c r="I1197" i="12"/>
  <c r="H1197" i="12"/>
  <c r="F1197" i="12"/>
  <c r="E1197" i="12"/>
  <c r="J1196" i="12"/>
  <c r="I1196" i="12"/>
  <c r="H1196" i="12"/>
  <c r="F1196" i="12"/>
  <c r="E1196" i="12"/>
  <c r="J1195" i="12"/>
  <c r="I1195" i="12"/>
  <c r="H1195" i="12"/>
  <c r="F1195" i="12"/>
  <c r="E1195" i="12"/>
  <c r="J1194" i="12"/>
  <c r="I1194" i="12"/>
  <c r="H1194" i="12"/>
  <c r="F1194" i="12"/>
  <c r="E1194" i="12"/>
  <c r="I1193" i="12"/>
  <c r="K1193" i="12" s="1"/>
  <c r="H1193" i="12"/>
  <c r="F1193" i="12"/>
  <c r="E1193" i="12"/>
  <c r="J1192" i="12"/>
  <c r="I1192" i="12"/>
  <c r="H1192" i="12"/>
  <c r="F1192" i="12"/>
  <c r="E1192" i="12"/>
  <c r="J1191" i="12"/>
  <c r="I1191" i="12"/>
  <c r="H1191" i="12"/>
  <c r="F1191" i="12"/>
  <c r="E1191" i="12"/>
  <c r="J1190" i="12"/>
  <c r="I1190" i="12"/>
  <c r="H1190" i="12"/>
  <c r="F1190" i="12"/>
  <c r="E1190" i="12"/>
  <c r="J1189" i="12"/>
  <c r="I1189" i="12"/>
  <c r="H1189" i="12"/>
  <c r="F1189" i="12"/>
  <c r="E1189" i="12"/>
  <c r="J1188" i="12"/>
  <c r="I1188" i="12"/>
  <c r="H1188" i="12"/>
  <c r="F1188" i="12"/>
  <c r="E1188" i="12"/>
  <c r="J1187" i="12"/>
  <c r="I1187" i="12"/>
  <c r="H1187" i="12"/>
  <c r="F1187" i="12"/>
  <c r="E1187" i="12"/>
  <c r="J1186" i="12"/>
  <c r="I1186" i="12"/>
  <c r="H1186" i="12"/>
  <c r="F1186" i="12"/>
  <c r="E1186" i="12"/>
  <c r="J1184" i="12"/>
  <c r="I1184" i="12"/>
  <c r="H1184" i="12"/>
  <c r="F1184" i="12"/>
  <c r="E1184" i="12"/>
  <c r="J1183" i="12"/>
  <c r="I1183" i="12"/>
  <c r="H1183" i="12"/>
  <c r="F1183" i="12"/>
  <c r="E1183" i="12"/>
  <c r="J1182" i="12"/>
  <c r="I1182" i="12"/>
  <c r="H1182" i="12"/>
  <c r="F1182" i="12"/>
  <c r="E1182" i="12"/>
  <c r="I1181" i="12"/>
  <c r="K1181" i="12" s="1"/>
  <c r="H1181" i="12"/>
  <c r="F1181" i="12"/>
  <c r="E1181" i="12"/>
  <c r="J1180" i="12"/>
  <c r="I1180" i="12"/>
  <c r="H1180" i="12"/>
  <c r="F1180" i="12"/>
  <c r="E1180" i="12"/>
  <c r="J1179" i="12"/>
  <c r="I1179" i="12"/>
  <c r="H1179" i="12"/>
  <c r="F1179" i="12"/>
  <c r="E1179" i="12"/>
  <c r="J1178" i="12"/>
  <c r="I1178" i="12"/>
  <c r="H1178" i="12"/>
  <c r="F1178" i="12"/>
  <c r="E1178" i="12"/>
  <c r="J1177" i="12"/>
  <c r="I1177" i="12"/>
  <c r="H1177" i="12"/>
  <c r="F1177" i="12"/>
  <c r="E1177" i="12"/>
  <c r="J1176" i="12"/>
  <c r="I1176" i="12"/>
  <c r="H1176" i="12"/>
  <c r="F1176" i="12"/>
  <c r="E1176" i="12"/>
  <c r="J1175" i="12"/>
  <c r="I1175" i="12"/>
  <c r="H1175" i="12"/>
  <c r="F1175" i="12"/>
  <c r="E1175" i="12"/>
  <c r="J1174" i="12"/>
  <c r="I1174" i="12"/>
  <c r="H1174" i="12"/>
  <c r="F1174" i="12"/>
  <c r="E1174" i="12"/>
  <c r="J1172" i="12"/>
  <c r="I1172" i="12"/>
  <c r="H1172" i="12"/>
  <c r="F1172" i="12"/>
  <c r="E1172" i="12"/>
  <c r="J1171" i="12"/>
  <c r="I1171" i="12"/>
  <c r="H1171" i="12"/>
  <c r="F1171" i="12"/>
  <c r="E1171" i="12"/>
  <c r="J1170" i="12"/>
  <c r="I1170" i="12"/>
  <c r="H1170" i="12"/>
  <c r="F1170" i="12"/>
  <c r="E1170" i="12"/>
  <c r="J1169" i="12"/>
  <c r="I1169" i="12"/>
  <c r="H1169" i="12"/>
  <c r="F1169" i="12"/>
  <c r="E1169" i="12"/>
  <c r="I1167" i="12"/>
  <c r="K1167" i="12" s="1"/>
  <c r="J1166" i="12"/>
  <c r="I1166" i="12"/>
  <c r="H1166" i="12"/>
  <c r="F1166" i="12"/>
  <c r="E1166" i="12"/>
  <c r="J1165" i="12"/>
  <c r="I1165" i="12"/>
  <c r="H1165" i="12"/>
  <c r="F1165" i="12"/>
  <c r="E1165" i="12"/>
  <c r="J1163" i="12"/>
  <c r="I1163" i="12"/>
  <c r="H1163" i="12"/>
  <c r="F1163" i="12"/>
  <c r="E1163" i="12"/>
  <c r="J1162" i="12"/>
  <c r="I1162" i="12"/>
  <c r="H1162" i="12"/>
  <c r="F1162" i="12"/>
  <c r="E1162" i="12"/>
  <c r="J1161" i="12"/>
  <c r="I1161" i="12"/>
  <c r="H1161" i="12"/>
  <c r="F1161" i="12"/>
  <c r="E1161" i="12"/>
  <c r="I1160" i="12"/>
  <c r="K1160" i="12" s="1"/>
  <c r="J1159" i="12"/>
  <c r="I1159" i="12"/>
  <c r="H1159" i="12"/>
  <c r="F1159" i="12"/>
  <c r="E1159" i="12"/>
  <c r="J1158" i="12"/>
  <c r="I1158" i="12"/>
  <c r="H1158" i="12"/>
  <c r="F1158" i="12"/>
  <c r="E1158" i="12"/>
  <c r="J1157" i="12"/>
  <c r="I1157" i="12"/>
  <c r="H1157" i="12"/>
  <c r="F1157" i="12"/>
  <c r="E1157" i="12"/>
  <c r="J1156" i="12"/>
  <c r="I1156" i="12"/>
  <c r="H1156" i="12"/>
  <c r="F1156" i="12"/>
  <c r="E1156" i="12"/>
  <c r="I1154" i="12"/>
  <c r="K1154" i="12" s="1"/>
  <c r="J1153" i="12"/>
  <c r="I1153" i="12"/>
  <c r="H1153" i="12"/>
  <c r="F1153" i="12"/>
  <c r="E1153" i="12"/>
  <c r="J1152" i="12"/>
  <c r="I1152" i="12"/>
  <c r="H1152" i="12"/>
  <c r="F1152" i="12"/>
  <c r="E1152" i="12"/>
  <c r="J1150" i="12"/>
  <c r="I1150" i="12"/>
  <c r="H1150" i="12"/>
  <c r="F1150" i="12"/>
  <c r="E1150" i="12"/>
  <c r="J1149" i="12"/>
  <c r="I1149" i="12"/>
  <c r="H1149" i="12"/>
  <c r="F1149" i="12"/>
  <c r="E1149" i="12"/>
  <c r="J1148" i="12"/>
  <c r="I1148" i="12"/>
  <c r="H1148" i="12"/>
  <c r="F1148" i="12"/>
  <c r="E1148" i="12"/>
  <c r="I1147" i="12"/>
  <c r="K1147" i="12" s="1"/>
  <c r="I1146" i="12"/>
  <c r="K1146" i="12" s="1"/>
  <c r="I1144" i="12"/>
  <c r="K1144" i="12" s="1"/>
  <c r="H1144" i="12"/>
  <c r="F1144" i="12"/>
  <c r="E1144" i="12"/>
  <c r="J1143" i="12"/>
  <c r="I1143" i="12"/>
  <c r="H1143" i="12"/>
  <c r="F1143" i="12"/>
  <c r="E1143" i="12"/>
  <c r="J1142" i="12"/>
  <c r="I1142" i="12"/>
  <c r="H1142" i="12"/>
  <c r="F1142" i="12"/>
  <c r="E1142" i="12"/>
  <c r="J1141" i="12"/>
  <c r="I1141" i="12"/>
  <c r="H1141" i="12"/>
  <c r="F1141" i="12"/>
  <c r="E1141" i="12"/>
  <c r="I1140" i="12"/>
  <c r="K1140" i="12" s="1"/>
  <c r="H1140" i="12"/>
  <c r="F1140" i="12"/>
  <c r="E1140" i="12"/>
  <c r="J1139" i="12"/>
  <c r="I1139" i="12"/>
  <c r="H1139" i="12"/>
  <c r="F1139" i="12"/>
  <c r="E1139" i="12"/>
  <c r="J1138" i="12"/>
  <c r="I1138" i="12"/>
  <c r="H1138" i="12"/>
  <c r="F1138" i="12"/>
  <c r="E1138" i="12"/>
  <c r="J1137" i="12"/>
  <c r="I1137" i="12"/>
  <c r="H1137" i="12"/>
  <c r="F1137" i="12"/>
  <c r="E1137" i="12"/>
  <c r="J1136" i="12"/>
  <c r="I1136" i="12"/>
  <c r="H1136" i="12"/>
  <c r="F1136" i="12"/>
  <c r="E1136" i="12"/>
  <c r="J1135" i="12"/>
  <c r="I1135" i="12"/>
  <c r="H1135" i="12"/>
  <c r="F1135" i="12"/>
  <c r="E1135" i="12"/>
  <c r="J1134" i="12"/>
  <c r="I1134" i="12"/>
  <c r="H1134" i="12"/>
  <c r="F1134" i="12"/>
  <c r="E1134" i="12"/>
  <c r="J1133" i="12"/>
  <c r="I1133" i="12"/>
  <c r="H1133" i="12"/>
  <c r="F1133" i="12"/>
  <c r="E1133" i="12"/>
  <c r="J1132" i="12"/>
  <c r="I1132" i="12"/>
  <c r="H1132" i="12"/>
  <c r="F1132" i="12"/>
  <c r="E1132" i="12"/>
  <c r="J1130" i="12"/>
  <c r="J1129" i="12" s="1"/>
  <c r="K904" i="7" s="1"/>
  <c r="N904" i="7" s="1"/>
  <c r="I1130" i="12"/>
  <c r="I1129" i="12" s="1"/>
  <c r="H1130" i="12"/>
  <c r="F1130" i="12"/>
  <c r="E1130" i="12"/>
  <c r="J1128" i="12"/>
  <c r="I1128" i="12"/>
  <c r="H1128" i="12"/>
  <c r="F1128" i="12"/>
  <c r="E1128" i="12"/>
  <c r="J1127" i="12"/>
  <c r="I1127" i="12"/>
  <c r="H1127" i="12"/>
  <c r="F1127" i="12"/>
  <c r="E1127" i="12"/>
  <c r="J1126" i="12"/>
  <c r="I1126" i="12"/>
  <c r="H1126" i="12"/>
  <c r="F1126" i="12"/>
  <c r="E1126" i="12"/>
  <c r="J1124" i="12"/>
  <c r="I1124" i="12"/>
  <c r="H1124" i="12"/>
  <c r="F1124" i="12"/>
  <c r="E1124" i="12"/>
  <c r="J1123" i="12"/>
  <c r="I1123" i="12"/>
  <c r="H1123" i="12"/>
  <c r="F1123" i="12"/>
  <c r="E1123" i="12"/>
  <c r="J1122" i="12"/>
  <c r="I1122" i="12"/>
  <c r="H1122" i="12"/>
  <c r="F1122" i="12"/>
  <c r="E1122" i="12"/>
  <c r="J1120" i="12"/>
  <c r="I1120" i="12"/>
  <c r="H1120" i="12"/>
  <c r="F1120" i="12"/>
  <c r="E1120" i="12"/>
  <c r="J1119" i="12"/>
  <c r="I1119" i="12"/>
  <c r="H1119" i="12"/>
  <c r="F1119" i="12"/>
  <c r="E1119" i="12"/>
  <c r="J1118" i="12"/>
  <c r="I1118" i="12"/>
  <c r="H1118" i="12"/>
  <c r="F1118" i="12"/>
  <c r="E1118" i="12"/>
  <c r="I1116" i="12"/>
  <c r="K1116" i="12" s="1"/>
  <c r="J1115" i="12"/>
  <c r="I1115" i="12"/>
  <c r="H1115" i="12"/>
  <c r="F1115" i="12"/>
  <c r="E1115" i="12"/>
  <c r="J1114" i="12"/>
  <c r="I1114" i="12"/>
  <c r="H1114" i="12"/>
  <c r="F1114" i="12"/>
  <c r="E1114" i="12"/>
  <c r="J1113" i="12"/>
  <c r="I1113" i="12"/>
  <c r="H1113" i="12"/>
  <c r="F1113" i="12"/>
  <c r="E1113" i="12"/>
  <c r="J1112" i="12"/>
  <c r="I1112" i="12"/>
  <c r="H1112" i="12"/>
  <c r="F1112" i="12"/>
  <c r="E1112" i="12"/>
  <c r="I1110" i="12"/>
  <c r="K1110" i="12" s="1"/>
  <c r="I1109" i="12"/>
  <c r="K1109" i="12" s="1"/>
  <c r="J1108" i="12"/>
  <c r="I1108" i="12"/>
  <c r="H1108" i="12"/>
  <c r="F1108" i="12"/>
  <c r="E1108" i="12"/>
  <c r="J1107" i="12"/>
  <c r="I1107" i="12"/>
  <c r="H1107" i="12"/>
  <c r="F1107" i="12"/>
  <c r="E1107" i="12"/>
  <c r="H1106" i="12"/>
  <c r="G1106" i="12"/>
  <c r="I1106" i="12" s="1"/>
  <c r="F1106" i="12"/>
  <c r="E1106" i="12"/>
  <c r="H1105" i="12"/>
  <c r="G1105" i="12"/>
  <c r="J1105" i="12" s="1"/>
  <c r="F1105" i="12"/>
  <c r="E1105" i="12"/>
  <c r="I1103" i="12"/>
  <c r="K1103" i="12" s="1"/>
  <c r="J1102" i="12"/>
  <c r="I1102" i="12"/>
  <c r="H1102" i="12"/>
  <c r="F1102" i="12"/>
  <c r="E1102" i="12"/>
  <c r="J1101" i="12"/>
  <c r="I1101" i="12"/>
  <c r="H1101" i="12"/>
  <c r="F1101" i="12"/>
  <c r="E1101" i="12"/>
  <c r="J1100" i="12"/>
  <c r="I1100" i="12"/>
  <c r="H1100" i="12"/>
  <c r="F1100" i="12"/>
  <c r="E1100" i="12"/>
  <c r="J1099" i="12"/>
  <c r="I1099" i="12"/>
  <c r="H1099" i="12"/>
  <c r="F1099" i="12"/>
  <c r="E1099" i="12"/>
  <c r="J1097" i="12"/>
  <c r="I1097" i="12"/>
  <c r="H1097" i="12"/>
  <c r="F1097" i="12"/>
  <c r="E1097" i="12"/>
  <c r="J1096" i="12"/>
  <c r="I1096" i="12"/>
  <c r="H1096" i="12"/>
  <c r="F1096" i="12"/>
  <c r="E1096" i="12"/>
  <c r="J1095" i="12"/>
  <c r="I1095" i="12"/>
  <c r="H1095" i="12"/>
  <c r="F1095" i="12"/>
  <c r="E1095" i="12"/>
  <c r="J1094" i="12"/>
  <c r="I1094" i="12"/>
  <c r="H1094" i="12"/>
  <c r="F1094" i="12"/>
  <c r="E1094" i="12"/>
  <c r="I1093" i="12"/>
  <c r="K1093" i="12" s="1"/>
  <c r="F1092" i="12"/>
  <c r="E1092" i="12"/>
  <c r="J1091" i="12"/>
  <c r="I1091" i="12"/>
  <c r="H1091" i="12"/>
  <c r="F1091" i="12"/>
  <c r="E1091" i="12"/>
  <c r="J1090" i="12"/>
  <c r="I1090" i="12"/>
  <c r="H1090" i="12"/>
  <c r="F1090" i="12"/>
  <c r="E1090" i="12"/>
  <c r="J1089" i="12"/>
  <c r="I1089" i="12"/>
  <c r="H1089" i="12"/>
  <c r="F1089" i="12"/>
  <c r="E1089" i="12"/>
  <c r="J1088" i="12"/>
  <c r="I1088" i="12"/>
  <c r="H1088" i="12"/>
  <c r="F1088" i="12"/>
  <c r="E1088" i="12"/>
  <c r="J1086" i="12"/>
  <c r="I1086" i="12"/>
  <c r="H1086" i="12"/>
  <c r="F1086" i="12"/>
  <c r="E1086" i="12"/>
  <c r="J1085" i="12"/>
  <c r="I1085" i="12"/>
  <c r="H1085" i="12"/>
  <c r="F1085" i="12"/>
  <c r="E1085" i="12"/>
  <c r="J1084" i="12"/>
  <c r="I1084" i="12"/>
  <c r="H1084" i="12"/>
  <c r="F1084" i="12"/>
  <c r="E1084" i="12"/>
  <c r="J1083" i="12"/>
  <c r="I1083" i="12"/>
  <c r="H1083" i="12"/>
  <c r="F1083" i="12"/>
  <c r="E1083" i="12"/>
  <c r="I1082" i="12"/>
  <c r="K1082" i="12" s="1"/>
  <c r="F1081" i="12"/>
  <c r="E1081" i="12"/>
  <c r="J1080" i="12"/>
  <c r="I1080" i="12"/>
  <c r="H1080" i="12"/>
  <c r="F1080" i="12"/>
  <c r="E1080" i="12"/>
  <c r="J1079" i="12"/>
  <c r="I1079" i="12"/>
  <c r="H1079" i="12"/>
  <c r="F1079" i="12"/>
  <c r="E1079" i="12"/>
  <c r="J1078" i="12"/>
  <c r="I1078" i="12"/>
  <c r="H1078" i="12"/>
  <c r="F1078" i="12"/>
  <c r="E1078" i="12"/>
  <c r="J1077" i="12"/>
  <c r="I1077" i="12"/>
  <c r="H1077" i="12"/>
  <c r="F1077" i="12"/>
  <c r="E1077" i="12"/>
  <c r="J1075" i="12"/>
  <c r="I1075" i="12"/>
  <c r="H1075" i="12"/>
  <c r="F1075" i="12"/>
  <c r="E1075" i="12"/>
  <c r="J1074" i="12"/>
  <c r="I1074" i="12"/>
  <c r="H1074" i="12"/>
  <c r="F1074" i="12"/>
  <c r="E1074" i="12"/>
  <c r="J1073" i="12"/>
  <c r="I1073" i="12"/>
  <c r="H1073" i="12"/>
  <c r="F1073" i="12"/>
  <c r="E1073" i="12"/>
  <c r="J1072" i="12"/>
  <c r="I1072" i="12"/>
  <c r="H1072" i="12"/>
  <c r="F1072" i="12"/>
  <c r="E1072" i="12"/>
  <c r="J1070" i="12"/>
  <c r="I1070" i="12"/>
  <c r="H1070" i="12"/>
  <c r="F1070" i="12"/>
  <c r="E1070" i="12"/>
  <c r="I1069" i="12"/>
  <c r="K1069" i="12" s="1"/>
  <c r="H1069" i="12"/>
  <c r="F1069" i="12"/>
  <c r="E1069" i="12"/>
  <c r="J1068" i="12"/>
  <c r="I1068" i="12"/>
  <c r="H1068" i="12"/>
  <c r="F1068" i="12"/>
  <c r="E1068" i="12"/>
  <c r="H1067" i="12"/>
  <c r="G1067" i="12"/>
  <c r="I1067" i="12" s="1"/>
  <c r="F1067" i="12"/>
  <c r="E1067" i="12"/>
  <c r="J1066" i="12"/>
  <c r="I1066" i="12"/>
  <c r="H1066" i="12"/>
  <c r="F1066" i="12"/>
  <c r="E1066" i="12"/>
  <c r="J1065" i="12"/>
  <c r="I1065" i="12"/>
  <c r="H1065" i="12"/>
  <c r="F1065" i="12"/>
  <c r="E1065" i="12"/>
  <c r="J1064" i="12"/>
  <c r="I1064" i="12"/>
  <c r="H1064" i="12"/>
  <c r="F1064" i="12"/>
  <c r="E1064" i="12"/>
  <c r="J1063" i="12"/>
  <c r="I1063" i="12"/>
  <c r="H1063" i="12"/>
  <c r="F1063" i="12"/>
  <c r="E1063" i="12"/>
  <c r="G1061" i="12"/>
  <c r="I1061" i="12" s="1"/>
  <c r="K1061" i="12" s="1"/>
  <c r="J1060" i="12"/>
  <c r="I1060" i="12"/>
  <c r="H1060" i="12"/>
  <c r="F1060" i="12"/>
  <c r="E1060" i="12"/>
  <c r="J1059" i="12"/>
  <c r="I1059" i="12"/>
  <c r="H1059" i="12"/>
  <c r="F1059" i="12"/>
  <c r="E1059" i="12"/>
  <c r="J1058" i="12"/>
  <c r="I1058" i="12"/>
  <c r="H1058" i="12"/>
  <c r="F1058" i="12"/>
  <c r="E1058" i="12"/>
  <c r="J1057" i="12"/>
  <c r="I1057" i="12"/>
  <c r="H1057" i="12"/>
  <c r="F1057" i="12"/>
  <c r="E1057" i="12"/>
  <c r="J1056" i="12"/>
  <c r="I1056" i="12"/>
  <c r="H1056" i="12"/>
  <c r="F1056" i="12"/>
  <c r="E1056" i="12"/>
  <c r="J1055" i="12"/>
  <c r="I1055" i="12"/>
  <c r="H1055" i="12"/>
  <c r="F1055" i="12"/>
  <c r="E1055" i="12"/>
  <c r="J1054" i="12"/>
  <c r="I1054" i="12"/>
  <c r="H1054" i="12"/>
  <c r="F1054" i="12"/>
  <c r="E1054" i="12"/>
  <c r="J1052" i="12"/>
  <c r="I1052" i="12"/>
  <c r="H1052" i="12"/>
  <c r="F1052" i="12"/>
  <c r="E1052" i="12"/>
  <c r="J1051" i="12"/>
  <c r="I1051" i="12"/>
  <c r="H1051" i="12"/>
  <c r="F1051" i="12"/>
  <c r="E1051" i="12"/>
  <c r="I1050" i="12"/>
  <c r="K1050" i="12" s="1"/>
  <c r="H1050" i="12"/>
  <c r="F1050" i="12"/>
  <c r="E1050" i="12"/>
  <c r="J1049" i="12"/>
  <c r="I1049" i="12"/>
  <c r="H1049" i="12"/>
  <c r="F1049" i="12"/>
  <c r="E1049" i="12"/>
  <c r="J1048" i="12"/>
  <c r="I1048" i="12"/>
  <c r="H1048" i="12"/>
  <c r="F1048" i="12"/>
  <c r="E1048" i="12"/>
  <c r="I1046" i="12"/>
  <c r="J1045" i="12"/>
  <c r="K47" i="7" s="1"/>
  <c r="J1044" i="12"/>
  <c r="I1044" i="12"/>
  <c r="H1044" i="12"/>
  <c r="F1044" i="12"/>
  <c r="E1044" i="12"/>
  <c r="J1043" i="12"/>
  <c r="I1043" i="12"/>
  <c r="H1043" i="12"/>
  <c r="F1043" i="12"/>
  <c r="E1043" i="12"/>
  <c r="J1041" i="12"/>
  <c r="I1041" i="12"/>
  <c r="H1041" i="12"/>
  <c r="F1041" i="12"/>
  <c r="E1041" i="12"/>
  <c r="J1040" i="12"/>
  <c r="I1040" i="12"/>
  <c r="H1040" i="12"/>
  <c r="F1040" i="12"/>
  <c r="E1040" i="12"/>
  <c r="J1038" i="12"/>
  <c r="J1037" i="12" s="1"/>
  <c r="I1038" i="12"/>
  <c r="I1037" i="12" s="1"/>
  <c r="H1038" i="12"/>
  <c r="F1038" i="12"/>
  <c r="E1038" i="12"/>
  <c r="J1036" i="12"/>
  <c r="I1036" i="12"/>
  <c r="H1036" i="12"/>
  <c r="F1036" i="12"/>
  <c r="E1036" i="12"/>
  <c r="J1035" i="12"/>
  <c r="I1035" i="12"/>
  <c r="H1035" i="12"/>
  <c r="F1035" i="12"/>
  <c r="E1035" i="12"/>
  <c r="J1033" i="12"/>
  <c r="I1033" i="12"/>
  <c r="H1033" i="12"/>
  <c r="F1033" i="12"/>
  <c r="E1033" i="12"/>
  <c r="J1032" i="12"/>
  <c r="I1032" i="12"/>
  <c r="H1032" i="12"/>
  <c r="F1032" i="12"/>
  <c r="E1032" i="12"/>
  <c r="J1031" i="12"/>
  <c r="I1031" i="12"/>
  <c r="H1031" i="12"/>
  <c r="F1031" i="12"/>
  <c r="E1031" i="12"/>
  <c r="J1030" i="12"/>
  <c r="I1030" i="12"/>
  <c r="H1030" i="12"/>
  <c r="F1030" i="12"/>
  <c r="E1030" i="12"/>
  <c r="J1029" i="12"/>
  <c r="I1029" i="12"/>
  <c r="H1029" i="12"/>
  <c r="F1029" i="12"/>
  <c r="E1029" i="12"/>
  <c r="J1028" i="12"/>
  <c r="I1028" i="12"/>
  <c r="H1028" i="12"/>
  <c r="F1028" i="12"/>
  <c r="E1028" i="12"/>
  <c r="J1027" i="12"/>
  <c r="I1027" i="12"/>
  <c r="H1027" i="12"/>
  <c r="F1027" i="12"/>
  <c r="E1027" i="12"/>
  <c r="J1025" i="12"/>
  <c r="I1025" i="12"/>
  <c r="H1025" i="12"/>
  <c r="F1025" i="12"/>
  <c r="E1025" i="12"/>
  <c r="J1024" i="12"/>
  <c r="I1024" i="12"/>
  <c r="H1024" i="12"/>
  <c r="F1024" i="12"/>
  <c r="E1024" i="12"/>
  <c r="I1023" i="12"/>
  <c r="K1023" i="12" s="1"/>
  <c r="H1023" i="12"/>
  <c r="F1023" i="12"/>
  <c r="E1023" i="12"/>
  <c r="J1022" i="12"/>
  <c r="I1022" i="12"/>
  <c r="H1022" i="12"/>
  <c r="F1022" i="12"/>
  <c r="E1022" i="12"/>
  <c r="J1021" i="12"/>
  <c r="I1021" i="12"/>
  <c r="H1021" i="12"/>
  <c r="F1021" i="12"/>
  <c r="E1021" i="12"/>
  <c r="J1019" i="12"/>
  <c r="I1019" i="12"/>
  <c r="H1019" i="12"/>
  <c r="F1019" i="12"/>
  <c r="E1019" i="12"/>
  <c r="J1018" i="12"/>
  <c r="I1018" i="12"/>
  <c r="H1018" i="12"/>
  <c r="F1018" i="12"/>
  <c r="E1018" i="12"/>
  <c r="J1017" i="12"/>
  <c r="I1017" i="12"/>
  <c r="H1017" i="12"/>
  <c r="F1017" i="12"/>
  <c r="E1017" i="12"/>
  <c r="J1016" i="12"/>
  <c r="I1016" i="12"/>
  <c r="H1016" i="12"/>
  <c r="F1016" i="12"/>
  <c r="E1016" i="12"/>
  <c r="J1015" i="12"/>
  <c r="I1015" i="12"/>
  <c r="H1015" i="12"/>
  <c r="F1015" i="12"/>
  <c r="E1015" i="12"/>
  <c r="I1014" i="12"/>
  <c r="K1014" i="12" s="1"/>
  <c r="F1012" i="12"/>
  <c r="E1012" i="12"/>
  <c r="J1011" i="12"/>
  <c r="J1010" i="12"/>
  <c r="I1010" i="12"/>
  <c r="H1010" i="12"/>
  <c r="F1010" i="12"/>
  <c r="E1010" i="12"/>
  <c r="J1009" i="12"/>
  <c r="I1009" i="12"/>
  <c r="H1009" i="12"/>
  <c r="F1009" i="12"/>
  <c r="E1009" i="12"/>
  <c r="I1008" i="12"/>
  <c r="K1008" i="12" s="1"/>
  <c r="J1006" i="12"/>
  <c r="I1006" i="12"/>
  <c r="H1006" i="12"/>
  <c r="F1006" i="12"/>
  <c r="E1006" i="12"/>
  <c r="J1005" i="12"/>
  <c r="I1005" i="12"/>
  <c r="H1005" i="12"/>
  <c r="F1005" i="12"/>
  <c r="E1005" i="12"/>
  <c r="I1004" i="12"/>
  <c r="K1004" i="12" s="1"/>
  <c r="J1002" i="12"/>
  <c r="I1002" i="12"/>
  <c r="H1002" i="12"/>
  <c r="F1002" i="12"/>
  <c r="E1002" i="12"/>
  <c r="J1001" i="12"/>
  <c r="I1001" i="12"/>
  <c r="H1001" i="12"/>
  <c r="F1001" i="12"/>
  <c r="E1001" i="12"/>
  <c r="I1000" i="12"/>
  <c r="J998" i="12"/>
  <c r="I998" i="12"/>
  <c r="H998" i="12"/>
  <c r="F998" i="12"/>
  <c r="E998" i="12"/>
  <c r="J997" i="12"/>
  <c r="I997" i="12"/>
  <c r="H997" i="12"/>
  <c r="F997" i="12"/>
  <c r="E997" i="12"/>
  <c r="G996" i="12"/>
  <c r="I996" i="12" s="1"/>
  <c r="K996" i="12" s="1"/>
  <c r="J994" i="12"/>
  <c r="I994" i="12"/>
  <c r="H994" i="12"/>
  <c r="F994" i="12"/>
  <c r="E994" i="12"/>
  <c r="J993" i="12"/>
  <c r="I993" i="12"/>
  <c r="H993" i="12"/>
  <c r="F993" i="12"/>
  <c r="E993" i="12"/>
  <c r="G992" i="12"/>
  <c r="I992" i="12" s="1"/>
  <c r="K992" i="12" s="1"/>
  <c r="J990" i="12"/>
  <c r="I990" i="12"/>
  <c r="H990" i="12"/>
  <c r="F990" i="12"/>
  <c r="E990" i="12"/>
  <c r="J989" i="12"/>
  <c r="I989" i="12"/>
  <c r="H989" i="12"/>
  <c r="F989" i="12"/>
  <c r="E989" i="12"/>
  <c r="G988" i="12"/>
  <c r="I988" i="12" s="1"/>
  <c r="K988" i="12" s="1"/>
  <c r="H986" i="12"/>
  <c r="G986" i="12"/>
  <c r="J986" i="12" s="1"/>
  <c r="F986" i="12"/>
  <c r="E986" i="12"/>
  <c r="H985" i="12"/>
  <c r="G985" i="12"/>
  <c r="J985" i="12" s="1"/>
  <c r="F985" i="12"/>
  <c r="E985" i="12"/>
  <c r="I984" i="12"/>
  <c r="K984" i="12" s="1"/>
  <c r="J982" i="12"/>
  <c r="I982" i="12"/>
  <c r="H982" i="12"/>
  <c r="F982" i="12"/>
  <c r="E982" i="12"/>
  <c r="J981" i="12"/>
  <c r="I981" i="12"/>
  <c r="H981" i="12"/>
  <c r="F981" i="12"/>
  <c r="E981" i="12"/>
  <c r="F980" i="12"/>
  <c r="E980" i="12"/>
  <c r="I978" i="12"/>
  <c r="K978" i="12" s="1"/>
  <c r="J977" i="12"/>
  <c r="I977" i="12"/>
  <c r="H977" i="12"/>
  <c r="F977" i="12"/>
  <c r="E977" i="12"/>
  <c r="J976" i="12"/>
  <c r="I976" i="12"/>
  <c r="H976" i="12"/>
  <c r="F976" i="12"/>
  <c r="E976" i="12"/>
  <c r="I974" i="12"/>
  <c r="K974" i="12" s="1"/>
  <c r="J973" i="12"/>
  <c r="I973" i="12"/>
  <c r="H973" i="12"/>
  <c r="F973" i="12"/>
  <c r="E973" i="12"/>
  <c r="J972" i="12"/>
  <c r="I972" i="12"/>
  <c r="H972" i="12"/>
  <c r="F972" i="12"/>
  <c r="E972" i="12"/>
  <c r="I970" i="12"/>
  <c r="K970" i="12" s="1"/>
  <c r="J969" i="12"/>
  <c r="I969" i="12"/>
  <c r="H969" i="12"/>
  <c r="F969" i="12"/>
  <c r="E969" i="12"/>
  <c r="J968" i="12"/>
  <c r="I968" i="12"/>
  <c r="H968" i="12"/>
  <c r="F968" i="12"/>
  <c r="E968" i="12"/>
  <c r="J966" i="12"/>
  <c r="I966" i="12"/>
  <c r="H966" i="12"/>
  <c r="F966" i="12"/>
  <c r="E966" i="12"/>
  <c r="J965" i="12"/>
  <c r="I965" i="12"/>
  <c r="H965" i="12"/>
  <c r="F965" i="12"/>
  <c r="E965" i="12"/>
  <c r="J964" i="12"/>
  <c r="I964" i="12"/>
  <c r="H964" i="12"/>
  <c r="F964" i="12"/>
  <c r="E964" i="12"/>
  <c r="J963" i="12"/>
  <c r="I963" i="12"/>
  <c r="H963" i="12"/>
  <c r="F963" i="12"/>
  <c r="E963" i="12"/>
  <c r="J962" i="12"/>
  <c r="I962" i="12"/>
  <c r="H962" i="12"/>
  <c r="F962" i="12"/>
  <c r="E962" i="12"/>
  <c r="H960" i="12"/>
  <c r="G960" i="12"/>
  <c r="J960" i="12" s="1"/>
  <c r="F960" i="12"/>
  <c r="E960" i="12"/>
  <c r="H959" i="12"/>
  <c r="G959" i="12"/>
  <c r="J959" i="12" s="1"/>
  <c r="F959" i="12"/>
  <c r="E959" i="12"/>
  <c r="H958" i="12"/>
  <c r="G958" i="12"/>
  <c r="J958" i="12" s="1"/>
  <c r="F958" i="12"/>
  <c r="E958" i="12"/>
  <c r="H956" i="12"/>
  <c r="G956" i="12"/>
  <c r="J956" i="12" s="1"/>
  <c r="F956" i="12"/>
  <c r="E956" i="12"/>
  <c r="H955" i="12"/>
  <c r="G955" i="12"/>
  <c r="J955" i="12" s="1"/>
  <c r="F955" i="12"/>
  <c r="E955" i="12"/>
  <c r="H954" i="12"/>
  <c r="G954" i="12"/>
  <c r="J954" i="12" s="1"/>
  <c r="F954" i="12"/>
  <c r="E954" i="12"/>
  <c r="H952" i="12"/>
  <c r="G952" i="12"/>
  <c r="I952" i="12" s="1"/>
  <c r="F952" i="12"/>
  <c r="E952" i="12"/>
  <c r="H951" i="12"/>
  <c r="G951" i="12"/>
  <c r="F951" i="12"/>
  <c r="E951" i="12"/>
  <c r="H950" i="12"/>
  <c r="G950" i="12"/>
  <c r="J950" i="12" s="1"/>
  <c r="F950" i="12"/>
  <c r="E950" i="12"/>
  <c r="H948" i="12"/>
  <c r="G948" i="12"/>
  <c r="J948" i="12" s="1"/>
  <c r="F948" i="12"/>
  <c r="E948" i="12"/>
  <c r="H947" i="12"/>
  <c r="G947" i="12"/>
  <c r="F947" i="12"/>
  <c r="E947" i="12"/>
  <c r="H946" i="12"/>
  <c r="G946" i="12"/>
  <c r="I946" i="12" s="1"/>
  <c r="F946" i="12"/>
  <c r="E946" i="12"/>
  <c r="I944" i="12"/>
  <c r="K944" i="12" s="1"/>
  <c r="H944" i="12"/>
  <c r="F944" i="12"/>
  <c r="E944" i="12"/>
  <c r="J943" i="12"/>
  <c r="I943" i="12"/>
  <c r="H943" i="12"/>
  <c r="F943" i="12"/>
  <c r="E943" i="12"/>
  <c r="I942" i="12"/>
  <c r="K942" i="12" s="1"/>
  <c r="H942" i="12"/>
  <c r="F942" i="12"/>
  <c r="E942" i="12"/>
  <c r="J941" i="12"/>
  <c r="I941" i="12"/>
  <c r="H941" i="12"/>
  <c r="F941" i="12"/>
  <c r="E941" i="12"/>
  <c r="J940" i="12"/>
  <c r="I940" i="12"/>
  <c r="H940" i="12"/>
  <c r="F940" i="12"/>
  <c r="E940" i="12"/>
  <c r="I938" i="12"/>
  <c r="K938" i="12" s="1"/>
  <c r="H938" i="12"/>
  <c r="F938" i="12"/>
  <c r="E938" i="12"/>
  <c r="J937" i="12"/>
  <c r="I937" i="12"/>
  <c r="H937" i="12"/>
  <c r="F937" i="12"/>
  <c r="E937" i="12"/>
  <c r="I936" i="12"/>
  <c r="K936" i="12" s="1"/>
  <c r="H936" i="12"/>
  <c r="F936" i="12"/>
  <c r="E936" i="12"/>
  <c r="J935" i="12"/>
  <c r="I935" i="12"/>
  <c r="H935" i="12"/>
  <c r="F935" i="12"/>
  <c r="E935" i="12"/>
  <c r="J934" i="12"/>
  <c r="I934" i="12"/>
  <c r="H934" i="12"/>
  <c r="F934" i="12"/>
  <c r="E934" i="12"/>
  <c r="I932" i="12"/>
  <c r="K932" i="12" s="1"/>
  <c r="H932" i="12"/>
  <c r="F932" i="12"/>
  <c r="E932" i="12"/>
  <c r="J931" i="12"/>
  <c r="I931" i="12"/>
  <c r="H931" i="12"/>
  <c r="F931" i="12"/>
  <c r="E931" i="12"/>
  <c r="I930" i="12"/>
  <c r="K930" i="12" s="1"/>
  <c r="H930" i="12"/>
  <c r="F930" i="12"/>
  <c r="E930" i="12"/>
  <c r="J929" i="12"/>
  <c r="I929" i="12"/>
  <c r="H929" i="12"/>
  <c r="F929" i="12"/>
  <c r="E929" i="12"/>
  <c r="J928" i="12"/>
  <c r="I928" i="12"/>
  <c r="H928" i="12"/>
  <c r="F928" i="12"/>
  <c r="E928" i="12"/>
  <c r="J926" i="12"/>
  <c r="I926" i="12"/>
  <c r="H926" i="12"/>
  <c r="F926" i="12"/>
  <c r="E926" i="12"/>
  <c r="J925" i="12"/>
  <c r="I925" i="12"/>
  <c r="H925" i="12"/>
  <c r="F925" i="12"/>
  <c r="E925" i="12"/>
  <c r="I924" i="12"/>
  <c r="K924" i="12" s="1"/>
  <c r="J922" i="12"/>
  <c r="I922" i="12"/>
  <c r="H922" i="12"/>
  <c r="F922" i="12"/>
  <c r="E922" i="12"/>
  <c r="J921" i="12"/>
  <c r="I921" i="12"/>
  <c r="H921" i="12"/>
  <c r="F921" i="12"/>
  <c r="E921" i="12"/>
  <c r="I920" i="12"/>
  <c r="K920" i="12" s="1"/>
  <c r="J918" i="12"/>
  <c r="I918" i="12"/>
  <c r="H918" i="12"/>
  <c r="F918" i="12"/>
  <c r="E918" i="12"/>
  <c r="J917" i="12"/>
  <c r="I917" i="12"/>
  <c r="H917" i="12"/>
  <c r="F917" i="12"/>
  <c r="E917" i="12"/>
  <c r="I916" i="12"/>
  <c r="K916" i="12" s="1"/>
  <c r="J914" i="12"/>
  <c r="I914" i="12"/>
  <c r="I913" i="12" s="1"/>
  <c r="H914" i="12"/>
  <c r="F914" i="12"/>
  <c r="E914" i="12"/>
  <c r="I912" i="12"/>
  <c r="K912" i="12" s="1"/>
  <c r="J911" i="12"/>
  <c r="I911" i="12"/>
  <c r="H911" i="12"/>
  <c r="F911" i="12"/>
  <c r="E911" i="12"/>
  <c r="J910" i="12"/>
  <c r="I910" i="12"/>
  <c r="H910" i="12"/>
  <c r="F910" i="12"/>
  <c r="E910" i="12"/>
  <c r="J908" i="12"/>
  <c r="I908" i="12"/>
  <c r="H908" i="12"/>
  <c r="F908" i="12"/>
  <c r="E908" i="12"/>
  <c r="J907" i="12"/>
  <c r="I907" i="12"/>
  <c r="H907" i="12"/>
  <c r="F907" i="12"/>
  <c r="E907" i="12"/>
  <c r="I906" i="12"/>
  <c r="K906" i="12" s="1"/>
  <c r="J904" i="12"/>
  <c r="I904" i="12"/>
  <c r="H904" i="12"/>
  <c r="F904" i="12"/>
  <c r="E904" i="12"/>
  <c r="J903" i="12"/>
  <c r="I903" i="12"/>
  <c r="H903" i="12"/>
  <c r="F903" i="12"/>
  <c r="E903" i="12"/>
  <c r="J902" i="12"/>
  <c r="I902" i="12"/>
  <c r="H902" i="12"/>
  <c r="F902" i="12"/>
  <c r="E902" i="12"/>
  <c r="J901" i="12"/>
  <c r="I901" i="12"/>
  <c r="H901" i="12"/>
  <c r="F901" i="12"/>
  <c r="E901" i="12"/>
  <c r="J899" i="12"/>
  <c r="I899" i="12"/>
  <c r="H899" i="12"/>
  <c r="F899" i="12"/>
  <c r="E899" i="12"/>
  <c r="I898" i="12"/>
  <c r="K898" i="12" s="1"/>
  <c r="J897" i="12"/>
  <c r="I897" i="12"/>
  <c r="H897" i="12"/>
  <c r="F897" i="12"/>
  <c r="E897" i="12"/>
  <c r="J896" i="12"/>
  <c r="I896" i="12"/>
  <c r="H896" i="12"/>
  <c r="F896" i="12"/>
  <c r="E896" i="12"/>
  <c r="J894" i="12"/>
  <c r="I894" i="12"/>
  <c r="H894" i="12"/>
  <c r="F894" i="12"/>
  <c r="E894" i="12"/>
  <c r="J893" i="12"/>
  <c r="I893" i="12"/>
  <c r="H893" i="12"/>
  <c r="F893" i="12"/>
  <c r="E893" i="12"/>
  <c r="J892" i="12"/>
  <c r="I892" i="12"/>
  <c r="H892" i="12"/>
  <c r="F892" i="12"/>
  <c r="E892" i="12"/>
  <c r="J891" i="12"/>
  <c r="I891" i="12"/>
  <c r="H891" i="12"/>
  <c r="F891" i="12"/>
  <c r="E891" i="12"/>
  <c r="J889" i="12"/>
  <c r="I889" i="12"/>
  <c r="H889" i="12"/>
  <c r="F889" i="12"/>
  <c r="E889" i="12"/>
  <c r="J888" i="12"/>
  <c r="I888" i="12"/>
  <c r="H888" i="12"/>
  <c r="F888" i="12"/>
  <c r="E888" i="12"/>
  <c r="J887" i="12"/>
  <c r="I887" i="12"/>
  <c r="H887" i="12"/>
  <c r="F887" i="12"/>
  <c r="E887" i="12"/>
  <c r="J886" i="12"/>
  <c r="I886" i="12"/>
  <c r="H886" i="12"/>
  <c r="F886" i="12"/>
  <c r="E886" i="12"/>
  <c r="J884" i="12"/>
  <c r="I884" i="12"/>
  <c r="H884" i="12"/>
  <c r="F884" i="12"/>
  <c r="E884" i="12"/>
  <c r="J883" i="12"/>
  <c r="I883" i="12"/>
  <c r="H883" i="12"/>
  <c r="F883" i="12"/>
  <c r="E883" i="12"/>
  <c r="J882" i="12"/>
  <c r="I882" i="12"/>
  <c r="H882" i="12"/>
  <c r="F882" i="12"/>
  <c r="E882" i="12"/>
  <c r="I880" i="12"/>
  <c r="K880" i="12" s="1"/>
  <c r="I879" i="12"/>
  <c r="K879" i="12" s="1"/>
  <c r="I878" i="12"/>
  <c r="K878" i="12" s="1"/>
  <c r="J877" i="12"/>
  <c r="I877" i="12"/>
  <c r="H877" i="12"/>
  <c r="F877" i="12"/>
  <c r="E877" i="12"/>
  <c r="J876" i="12"/>
  <c r="I876" i="12"/>
  <c r="H876" i="12"/>
  <c r="F876" i="12"/>
  <c r="E876" i="12"/>
  <c r="I874" i="12"/>
  <c r="K874" i="12" s="1"/>
  <c r="I873" i="12"/>
  <c r="K873" i="12" s="1"/>
  <c r="I872" i="12"/>
  <c r="K872" i="12" s="1"/>
  <c r="J871" i="12"/>
  <c r="I871" i="12"/>
  <c r="H871" i="12"/>
  <c r="F871" i="12"/>
  <c r="E871" i="12"/>
  <c r="J870" i="12"/>
  <c r="I870" i="12"/>
  <c r="H870" i="12"/>
  <c r="F870" i="12"/>
  <c r="E870" i="12"/>
  <c r="J868" i="12"/>
  <c r="I868" i="12"/>
  <c r="H868" i="12"/>
  <c r="F868" i="12"/>
  <c r="E868" i="12"/>
  <c r="J867" i="12"/>
  <c r="I867" i="12"/>
  <c r="H867" i="12"/>
  <c r="F867" i="12"/>
  <c r="E867" i="12"/>
  <c r="I866" i="12"/>
  <c r="K866" i="12" s="1"/>
  <c r="J864" i="12"/>
  <c r="I864" i="12"/>
  <c r="H864" i="12"/>
  <c r="F864" i="12"/>
  <c r="E864" i="12"/>
  <c r="J863" i="12"/>
  <c r="I863" i="12"/>
  <c r="H863" i="12"/>
  <c r="F863" i="12"/>
  <c r="E863" i="12"/>
  <c r="J862" i="12"/>
  <c r="I862" i="12"/>
  <c r="H862" i="12"/>
  <c r="F862" i="12"/>
  <c r="E862" i="12"/>
  <c r="J861" i="12"/>
  <c r="I861" i="12"/>
  <c r="H861" i="12"/>
  <c r="F861" i="12"/>
  <c r="E861" i="12"/>
  <c r="J859" i="12"/>
  <c r="I859" i="12"/>
  <c r="H859" i="12"/>
  <c r="F859" i="12"/>
  <c r="E859" i="12"/>
  <c r="J858" i="12"/>
  <c r="I858" i="12"/>
  <c r="H858" i="12"/>
  <c r="F858" i="12"/>
  <c r="E858" i="12"/>
  <c r="J857" i="12"/>
  <c r="I857" i="12"/>
  <c r="H857" i="12"/>
  <c r="F857" i="12"/>
  <c r="E857" i="12"/>
  <c r="J856" i="12"/>
  <c r="I856" i="12"/>
  <c r="H856" i="12"/>
  <c r="F856" i="12"/>
  <c r="E856" i="12"/>
  <c r="J855" i="12"/>
  <c r="I855" i="12"/>
  <c r="H855" i="12"/>
  <c r="F855" i="12"/>
  <c r="E855" i="12"/>
  <c r="I853" i="12"/>
  <c r="K853" i="12" s="1"/>
  <c r="I852" i="12"/>
  <c r="K852" i="12" s="1"/>
  <c r="J851" i="12"/>
  <c r="I851" i="12"/>
  <c r="H851" i="12"/>
  <c r="F851" i="12"/>
  <c r="E851" i="12"/>
  <c r="J850" i="12"/>
  <c r="I850" i="12"/>
  <c r="H850" i="12"/>
  <c r="F850" i="12"/>
  <c r="E850" i="12"/>
  <c r="J848" i="12"/>
  <c r="I848" i="12"/>
  <c r="H848" i="12"/>
  <c r="F848" i="12"/>
  <c r="E848" i="12"/>
  <c r="J847" i="12"/>
  <c r="I847" i="12"/>
  <c r="H847" i="12"/>
  <c r="F847" i="12"/>
  <c r="E847" i="12"/>
  <c r="J846" i="12"/>
  <c r="I846" i="12"/>
  <c r="H846" i="12"/>
  <c r="F846" i="12"/>
  <c r="E846" i="12"/>
  <c r="J844" i="12"/>
  <c r="I844" i="12"/>
  <c r="H844" i="12"/>
  <c r="F844" i="12"/>
  <c r="E844" i="12"/>
  <c r="I843" i="12"/>
  <c r="K843" i="12" s="1"/>
  <c r="J842" i="12"/>
  <c r="I842" i="12"/>
  <c r="H842" i="12"/>
  <c r="F842" i="12"/>
  <c r="E842" i="12"/>
  <c r="J841" i="12"/>
  <c r="I841" i="12"/>
  <c r="H841" i="12"/>
  <c r="F841" i="12"/>
  <c r="E841" i="12"/>
  <c r="J839" i="12"/>
  <c r="I839" i="12"/>
  <c r="H839" i="12"/>
  <c r="F839" i="12"/>
  <c r="E839" i="12"/>
  <c r="I838" i="12"/>
  <c r="K838" i="12" s="1"/>
  <c r="J837" i="12"/>
  <c r="I837" i="12"/>
  <c r="H837" i="12"/>
  <c r="F837" i="12"/>
  <c r="E837" i="12"/>
  <c r="J836" i="12"/>
  <c r="I836" i="12"/>
  <c r="H836" i="12"/>
  <c r="F836" i="12"/>
  <c r="E836" i="12"/>
  <c r="J834" i="12"/>
  <c r="I834" i="12"/>
  <c r="H834" i="12"/>
  <c r="F834" i="12"/>
  <c r="E834" i="12"/>
  <c r="I833" i="12"/>
  <c r="K833" i="12" s="1"/>
  <c r="J832" i="12"/>
  <c r="I832" i="12"/>
  <c r="H832" i="12"/>
  <c r="F832" i="12"/>
  <c r="E832" i="12"/>
  <c r="J831" i="12"/>
  <c r="I831" i="12"/>
  <c r="H831" i="12"/>
  <c r="F831" i="12"/>
  <c r="E831" i="12"/>
  <c r="J829" i="12"/>
  <c r="I829" i="12"/>
  <c r="H829" i="12"/>
  <c r="F829" i="12"/>
  <c r="E829" i="12"/>
  <c r="I828" i="12"/>
  <c r="K828" i="12" s="1"/>
  <c r="J827" i="12"/>
  <c r="I827" i="12"/>
  <c r="H827" i="12"/>
  <c r="F827" i="12"/>
  <c r="E827" i="12"/>
  <c r="J826" i="12"/>
  <c r="I826" i="12"/>
  <c r="H826" i="12"/>
  <c r="F826" i="12"/>
  <c r="E826" i="12"/>
  <c r="J824" i="12"/>
  <c r="I824" i="12"/>
  <c r="H824" i="12"/>
  <c r="F824" i="12"/>
  <c r="E824" i="12"/>
  <c r="I823" i="12"/>
  <c r="K823" i="12" s="1"/>
  <c r="J822" i="12"/>
  <c r="I822" i="12"/>
  <c r="H822" i="12"/>
  <c r="F822" i="12"/>
  <c r="E822" i="12"/>
  <c r="J821" i="12"/>
  <c r="I821" i="12"/>
  <c r="H821" i="12"/>
  <c r="F821" i="12"/>
  <c r="E821" i="12"/>
  <c r="J819" i="12"/>
  <c r="I819" i="12"/>
  <c r="H819" i="12"/>
  <c r="F819" i="12"/>
  <c r="E819" i="12"/>
  <c r="I818" i="12"/>
  <c r="K818" i="12" s="1"/>
  <c r="J817" i="12"/>
  <c r="I817" i="12"/>
  <c r="H817" i="12"/>
  <c r="F817" i="12"/>
  <c r="E817" i="12"/>
  <c r="J816" i="12"/>
  <c r="I816" i="12"/>
  <c r="H816" i="12"/>
  <c r="F816" i="12"/>
  <c r="E816" i="12"/>
  <c r="J814" i="12"/>
  <c r="I814" i="12"/>
  <c r="H814" i="12"/>
  <c r="F814" i="12"/>
  <c r="E814" i="12"/>
  <c r="I813" i="12"/>
  <c r="K813" i="12" s="1"/>
  <c r="J812" i="12"/>
  <c r="I812" i="12"/>
  <c r="H812" i="12"/>
  <c r="F812" i="12"/>
  <c r="E812" i="12"/>
  <c r="J811" i="12"/>
  <c r="I811" i="12"/>
  <c r="H811" i="12"/>
  <c r="F811" i="12"/>
  <c r="E811" i="12"/>
  <c r="J809" i="12"/>
  <c r="I809" i="12"/>
  <c r="H809" i="12"/>
  <c r="F809" i="12"/>
  <c r="E809" i="12"/>
  <c r="I808" i="12"/>
  <c r="K808" i="12" s="1"/>
  <c r="J807" i="12"/>
  <c r="I807" i="12"/>
  <c r="H807" i="12"/>
  <c r="F807" i="12"/>
  <c r="E807" i="12"/>
  <c r="J806" i="12"/>
  <c r="I806" i="12"/>
  <c r="H806" i="12"/>
  <c r="F806" i="12"/>
  <c r="E806" i="12"/>
  <c r="J804" i="12"/>
  <c r="I804" i="12"/>
  <c r="H804" i="12"/>
  <c r="F804" i="12"/>
  <c r="E804" i="12"/>
  <c r="I803" i="12"/>
  <c r="K803" i="12" s="1"/>
  <c r="J802" i="12"/>
  <c r="I802" i="12"/>
  <c r="H802" i="12"/>
  <c r="F802" i="12"/>
  <c r="E802" i="12"/>
  <c r="J801" i="12"/>
  <c r="I801" i="12"/>
  <c r="H801" i="12"/>
  <c r="F801" i="12"/>
  <c r="E801" i="12"/>
  <c r="J799" i="12"/>
  <c r="I799" i="12"/>
  <c r="H799" i="12"/>
  <c r="F799" i="12"/>
  <c r="E799" i="12"/>
  <c r="I798" i="12"/>
  <c r="K798" i="12" s="1"/>
  <c r="J797" i="12"/>
  <c r="I797" i="12"/>
  <c r="H797" i="12"/>
  <c r="F797" i="12"/>
  <c r="E797" i="12"/>
  <c r="J796" i="12"/>
  <c r="I796" i="12"/>
  <c r="H796" i="12"/>
  <c r="F796" i="12"/>
  <c r="E796" i="12"/>
  <c r="J794" i="12"/>
  <c r="I794" i="12"/>
  <c r="H794" i="12"/>
  <c r="F794" i="12"/>
  <c r="E794" i="12"/>
  <c r="J793" i="12"/>
  <c r="I793" i="12"/>
  <c r="H793" i="12"/>
  <c r="F793" i="12"/>
  <c r="E793" i="12"/>
  <c r="I792" i="12"/>
  <c r="J790" i="12"/>
  <c r="I790" i="12"/>
  <c r="H790" i="12"/>
  <c r="F790" i="12"/>
  <c r="E790" i="12"/>
  <c r="J789" i="12"/>
  <c r="I789" i="12"/>
  <c r="H789" i="12"/>
  <c r="F789" i="12"/>
  <c r="E789" i="12"/>
  <c r="J788" i="12"/>
  <c r="I788" i="12"/>
  <c r="H788" i="12"/>
  <c r="F788" i="12"/>
  <c r="E788" i="12"/>
  <c r="J787" i="12"/>
  <c r="I787" i="12"/>
  <c r="H787" i="12"/>
  <c r="F787" i="12"/>
  <c r="E787" i="12"/>
  <c r="J786" i="12"/>
  <c r="I786" i="12"/>
  <c r="H786" i="12"/>
  <c r="F786" i="12"/>
  <c r="E786" i="12"/>
  <c r="J785" i="12"/>
  <c r="I785" i="12"/>
  <c r="H785" i="12"/>
  <c r="F785" i="12"/>
  <c r="E785" i="12"/>
  <c r="I783" i="12"/>
  <c r="K783" i="12" s="1"/>
  <c r="J782" i="12"/>
  <c r="I782" i="12"/>
  <c r="H782" i="12"/>
  <c r="F782" i="12"/>
  <c r="E782" i="12"/>
  <c r="J781" i="12"/>
  <c r="I781" i="12"/>
  <c r="H781" i="12"/>
  <c r="F781" i="12"/>
  <c r="E781" i="12"/>
  <c r="J779" i="12"/>
  <c r="I779" i="12"/>
  <c r="H779" i="12"/>
  <c r="F779" i="12"/>
  <c r="E779" i="12"/>
  <c r="J778" i="12"/>
  <c r="I778" i="12"/>
  <c r="H778" i="12"/>
  <c r="F778" i="12"/>
  <c r="E778" i="12"/>
  <c r="J777" i="12"/>
  <c r="I777" i="12"/>
  <c r="H777" i="12"/>
  <c r="F777" i="12"/>
  <c r="E777" i="12"/>
  <c r="J775" i="12"/>
  <c r="J774" i="12" s="1"/>
  <c r="K522" i="7" s="1"/>
  <c r="N522" i="7" s="1"/>
  <c r="I775" i="12"/>
  <c r="H775" i="12"/>
  <c r="F775" i="12"/>
  <c r="E775" i="12"/>
  <c r="J773" i="12"/>
  <c r="I773" i="12"/>
  <c r="H773" i="12"/>
  <c r="F773" i="12"/>
  <c r="E773" i="12"/>
  <c r="J772" i="12"/>
  <c r="I772" i="12"/>
  <c r="H772" i="12"/>
  <c r="F772" i="12"/>
  <c r="E772" i="12"/>
  <c r="J771" i="12"/>
  <c r="I771" i="12"/>
  <c r="H771" i="12"/>
  <c r="F771" i="12"/>
  <c r="E771" i="12"/>
  <c r="I770" i="12"/>
  <c r="K770" i="12" s="1"/>
  <c r="J768" i="12"/>
  <c r="I768" i="12"/>
  <c r="H768" i="12"/>
  <c r="F768" i="12"/>
  <c r="E768" i="12"/>
  <c r="J767" i="12"/>
  <c r="I767" i="12"/>
  <c r="H767" i="12"/>
  <c r="F767" i="12"/>
  <c r="E767" i="12"/>
  <c r="J766" i="12"/>
  <c r="I766" i="12"/>
  <c r="H766" i="12"/>
  <c r="F766" i="12"/>
  <c r="E766" i="12"/>
  <c r="J765" i="12"/>
  <c r="I765" i="12"/>
  <c r="H765" i="12"/>
  <c r="F765" i="12"/>
  <c r="E765" i="12"/>
  <c r="J763" i="12"/>
  <c r="I763" i="12"/>
  <c r="H763" i="12"/>
  <c r="F763" i="12"/>
  <c r="E763" i="12"/>
  <c r="J762" i="12"/>
  <c r="I762" i="12"/>
  <c r="H762" i="12"/>
  <c r="F762" i="12"/>
  <c r="E762" i="12"/>
  <c r="J761" i="12"/>
  <c r="I761" i="12"/>
  <c r="H761" i="12"/>
  <c r="F761" i="12"/>
  <c r="E761" i="12"/>
  <c r="I759" i="12"/>
  <c r="K759" i="12" s="1"/>
  <c r="I758" i="12"/>
  <c r="K758" i="12" s="1"/>
  <c r="I757" i="12"/>
  <c r="K757" i="12" s="1"/>
  <c r="J756" i="12"/>
  <c r="I756" i="12"/>
  <c r="H756" i="12"/>
  <c r="F756" i="12"/>
  <c r="E756" i="12"/>
  <c r="J755" i="12"/>
  <c r="I755" i="12"/>
  <c r="H755" i="12"/>
  <c r="F755" i="12"/>
  <c r="E755" i="12"/>
  <c r="J753" i="12"/>
  <c r="I753" i="12"/>
  <c r="H753" i="12"/>
  <c r="F753" i="12"/>
  <c r="E753" i="12"/>
  <c r="J752" i="12"/>
  <c r="I752" i="12"/>
  <c r="H752" i="12"/>
  <c r="F752" i="12"/>
  <c r="E752" i="12"/>
  <c r="I751" i="12"/>
  <c r="K751" i="12" s="1"/>
  <c r="J749" i="12"/>
  <c r="I749" i="12"/>
  <c r="H749" i="12"/>
  <c r="F749" i="12"/>
  <c r="E749" i="12"/>
  <c r="I748" i="12"/>
  <c r="K748" i="12" s="1"/>
  <c r="J747" i="12"/>
  <c r="I747" i="12"/>
  <c r="H747" i="12"/>
  <c r="F747" i="12"/>
  <c r="E747" i="12"/>
  <c r="J746" i="12"/>
  <c r="I746" i="12"/>
  <c r="H746" i="12"/>
  <c r="F746" i="12"/>
  <c r="E746" i="12"/>
  <c r="I744" i="12"/>
  <c r="H744" i="12"/>
  <c r="F744" i="12"/>
  <c r="E744" i="12"/>
  <c r="J743" i="12"/>
  <c r="I743" i="12"/>
  <c r="H743" i="12"/>
  <c r="F743" i="12"/>
  <c r="E743" i="12"/>
  <c r="J742" i="12"/>
  <c r="I742" i="12"/>
  <c r="H742" i="12"/>
  <c r="F742" i="12"/>
  <c r="E742" i="12"/>
  <c r="I740" i="12"/>
  <c r="K740" i="12" s="1"/>
  <c r="J739" i="12"/>
  <c r="J738" i="12" s="1"/>
  <c r="I739" i="12"/>
  <c r="H739" i="12"/>
  <c r="F739" i="12"/>
  <c r="E739" i="12"/>
  <c r="I737" i="12"/>
  <c r="K737" i="12" s="1"/>
  <c r="J736" i="12"/>
  <c r="I736" i="12"/>
  <c r="H736" i="12"/>
  <c r="F736" i="12"/>
  <c r="E736" i="12"/>
  <c r="J735" i="12"/>
  <c r="I735" i="12"/>
  <c r="H735" i="12"/>
  <c r="F735" i="12"/>
  <c r="E735" i="12"/>
  <c r="I733" i="12"/>
  <c r="K733" i="12" s="1"/>
  <c r="J732" i="12"/>
  <c r="I732" i="12"/>
  <c r="H732" i="12"/>
  <c r="F732" i="12"/>
  <c r="E732" i="12"/>
  <c r="J731" i="12"/>
  <c r="I731" i="12"/>
  <c r="H731" i="12"/>
  <c r="F731" i="12"/>
  <c r="E731" i="12"/>
  <c r="I729" i="12"/>
  <c r="K729" i="12" s="1"/>
  <c r="J728" i="12"/>
  <c r="I728" i="12"/>
  <c r="H728" i="12"/>
  <c r="F728" i="12"/>
  <c r="E728" i="12"/>
  <c r="J727" i="12"/>
  <c r="I727" i="12"/>
  <c r="H727" i="12"/>
  <c r="F727" i="12"/>
  <c r="E727" i="12"/>
  <c r="I725" i="12"/>
  <c r="K725" i="12" s="1"/>
  <c r="J724" i="12"/>
  <c r="I724" i="12"/>
  <c r="H724" i="12"/>
  <c r="F724" i="12"/>
  <c r="E724" i="12"/>
  <c r="J723" i="12"/>
  <c r="I723" i="12"/>
  <c r="H723" i="12"/>
  <c r="F723" i="12"/>
  <c r="E723" i="12"/>
  <c r="I721" i="12"/>
  <c r="K721" i="12" s="1"/>
  <c r="J720" i="12"/>
  <c r="I720" i="12"/>
  <c r="H720" i="12"/>
  <c r="F720" i="12"/>
  <c r="E720" i="12"/>
  <c r="J719" i="12"/>
  <c r="I719" i="12"/>
  <c r="H719" i="12"/>
  <c r="F719" i="12"/>
  <c r="E719" i="12"/>
  <c r="J717" i="12"/>
  <c r="I717" i="12"/>
  <c r="H717" i="12"/>
  <c r="F717" i="12"/>
  <c r="E717" i="12"/>
  <c r="J716" i="12"/>
  <c r="I716" i="12"/>
  <c r="H716" i="12"/>
  <c r="F716" i="12"/>
  <c r="E716" i="12"/>
  <c r="J715" i="12"/>
  <c r="I715" i="12"/>
  <c r="H715" i="12"/>
  <c r="F715" i="12"/>
  <c r="E715" i="12"/>
  <c r="I714" i="12"/>
  <c r="K714" i="12" s="1"/>
  <c r="J712" i="12"/>
  <c r="I712" i="12"/>
  <c r="H712" i="12"/>
  <c r="F712" i="12"/>
  <c r="E712" i="12"/>
  <c r="J711" i="12"/>
  <c r="I711" i="12"/>
  <c r="H711" i="12"/>
  <c r="F711" i="12"/>
  <c r="E711" i="12"/>
  <c r="J710" i="12"/>
  <c r="I710" i="12"/>
  <c r="H710" i="12"/>
  <c r="F710" i="12"/>
  <c r="E710" i="12"/>
  <c r="I709" i="12"/>
  <c r="K709" i="12" s="1"/>
  <c r="J707" i="12"/>
  <c r="I707" i="12"/>
  <c r="H707" i="12"/>
  <c r="F707" i="12"/>
  <c r="E707" i="12"/>
  <c r="J706" i="12"/>
  <c r="I706" i="12"/>
  <c r="H706" i="12"/>
  <c r="F706" i="12"/>
  <c r="E706" i="12"/>
  <c r="J705" i="12"/>
  <c r="I705" i="12"/>
  <c r="H705" i="12"/>
  <c r="F705" i="12"/>
  <c r="E705" i="12"/>
  <c r="J703" i="12"/>
  <c r="I703" i="12"/>
  <c r="H703" i="12"/>
  <c r="F703" i="12"/>
  <c r="E703" i="12"/>
  <c r="J702" i="12"/>
  <c r="I702" i="12"/>
  <c r="H702" i="12"/>
  <c r="F702" i="12"/>
  <c r="E702" i="12"/>
  <c r="J701" i="12"/>
  <c r="I701" i="12"/>
  <c r="H701" i="12"/>
  <c r="F701" i="12"/>
  <c r="E701" i="12"/>
  <c r="J700" i="12"/>
  <c r="I700" i="12"/>
  <c r="H700" i="12"/>
  <c r="F700" i="12"/>
  <c r="E700" i="12"/>
  <c r="J698" i="12"/>
  <c r="I698" i="12"/>
  <c r="H698" i="12"/>
  <c r="F698" i="12"/>
  <c r="E698" i="12"/>
  <c r="J697" i="12"/>
  <c r="I697" i="12"/>
  <c r="H697" i="12"/>
  <c r="F697" i="12"/>
  <c r="E697" i="12"/>
  <c r="I696" i="12"/>
  <c r="K696" i="12" s="1"/>
  <c r="J694" i="12"/>
  <c r="I694" i="12"/>
  <c r="H694" i="12"/>
  <c r="F694" i="12"/>
  <c r="E694" i="12"/>
  <c r="J693" i="12"/>
  <c r="I693" i="12"/>
  <c r="H693" i="12"/>
  <c r="F693" i="12"/>
  <c r="E693" i="12"/>
  <c r="I692" i="12"/>
  <c r="J690" i="12"/>
  <c r="I690" i="12"/>
  <c r="H690" i="12"/>
  <c r="F690" i="12"/>
  <c r="E690" i="12"/>
  <c r="J689" i="12"/>
  <c r="I689" i="12"/>
  <c r="H689" i="12"/>
  <c r="F689" i="12"/>
  <c r="E689" i="12"/>
  <c r="I688" i="12"/>
  <c r="K688" i="12" s="1"/>
  <c r="J686" i="12"/>
  <c r="I686" i="12"/>
  <c r="H686" i="12"/>
  <c r="F686" i="12"/>
  <c r="E686" i="12"/>
  <c r="J685" i="12"/>
  <c r="I685" i="12"/>
  <c r="H685" i="12"/>
  <c r="F685" i="12"/>
  <c r="E685" i="12"/>
  <c r="I684" i="12"/>
  <c r="K684" i="12" s="1"/>
  <c r="J682" i="12"/>
  <c r="I682" i="12"/>
  <c r="H682" i="12"/>
  <c r="F682" i="12"/>
  <c r="E682" i="12"/>
  <c r="J681" i="12"/>
  <c r="I681" i="12"/>
  <c r="H681" i="12"/>
  <c r="F681" i="12"/>
  <c r="E681" i="12"/>
  <c r="I680" i="12"/>
  <c r="K680" i="12" s="1"/>
  <c r="I678" i="12"/>
  <c r="K678" i="12" s="1"/>
  <c r="J677" i="12"/>
  <c r="I677" i="12"/>
  <c r="H677" i="12"/>
  <c r="F677" i="12"/>
  <c r="E677" i="12"/>
  <c r="J676" i="12"/>
  <c r="I676" i="12"/>
  <c r="H676" i="12"/>
  <c r="F676" i="12"/>
  <c r="E676" i="12"/>
  <c r="J675" i="12"/>
  <c r="I675" i="12"/>
  <c r="H675" i="12"/>
  <c r="F675" i="12"/>
  <c r="E675" i="12"/>
  <c r="J673" i="12"/>
  <c r="I673" i="12"/>
  <c r="H673" i="12"/>
  <c r="F673" i="12"/>
  <c r="E673" i="12"/>
  <c r="J672" i="12"/>
  <c r="I672" i="12"/>
  <c r="H672" i="12"/>
  <c r="F672" i="12"/>
  <c r="E672" i="12"/>
  <c r="J671" i="12"/>
  <c r="I671" i="12"/>
  <c r="H671" i="12"/>
  <c r="F671" i="12"/>
  <c r="E671" i="12"/>
  <c r="I670" i="12"/>
  <c r="J668" i="12"/>
  <c r="I668" i="12"/>
  <c r="H668" i="12"/>
  <c r="F668" i="12"/>
  <c r="E668" i="12"/>
  <c r="J667" i="12"/>
  <c r="I667" i="12"/>
  <c r="H667" i="12"/>
  <c r="F667" i="12"/>
  <c r="E667" i="12"/>
  <c r="I666" i="12"/>
  <c r="J664" i="12"/>
  <c r="I664" i="12"/>
  <c r="H664" i="12"/>
  <c r="F664" i="12"/>
  <c r="E664" i="12"/>
  <c r="J663" i="12"/>
  <c r="I663" i="12"/>
  <c r="H663" i="12"/>
  <c r="F663" i="12"/>
  <c r="E663" i="12"/>
  <c r="J662" i="12"/>
  <c r="I662" i="12"/>
  <c r="H662" i="12"/>
  <c r="F662" i="12"/>
  <c r="E662" i="12"/>
  <c r="I661" i="12"/>
  <c r="K661" i="12" s="1"/>
  <c r="I660" i="12"/>
  <c r="K660" i="12" s="1"/>
  <c r="J658" i="12"/>
  <c r="I658" i="12"/>
  <c r="H658" i="12"/>
  <c r="F658" i="12"/>
  <c r="E658" i="12"/>
  <c r="I657" i="12"/>
  <c r="K657" i="12" s="1"/>
  <c r="J656" i="12"/>
  <c r="I656" i="12"/>
  <c r="H656" i="12"/>
  <c r="F656" i="12"/>
  <c r="E656" i="12"/>
  <c r="J654" i="12"/>
  <c r="I654" i="12"/>
  <c r="H654" i="12"/>
  <c r="F654" i="12"/>
  <c r="E654" i="12"/>
  <c r="I653" i="12"/>
  <c r="K653" i="12" s="1"/>
  <c r="J652" i="12"/>
  <c r="I652" i="12"/>
  <c r="H652" i="12"/>
  <c r="F652" i="12"/>
  <c r="E652" i="12"/>
  <c r="J650" i="12"/>
  <c r="I650" i="12"/>
  <c r="H650" i="12"/>
  <c r="F650" i="12"/>
  <c r="E650" i="12"/>
  <c r="I649" i="12"/>
  <c r="K649" i="12" s="1"/>
  <c r="J648" i="12"/>
  <c r="I648" i="12"/>
  <c r="H648" i="12"/>
  <c r="F648" i="12"/>
  <c r="E648" i="12"/>
  <c r="J646" i="12"/>
  <c r="I646" i="12"/>
  <c r="H646" i="12"/>
  <c r="F646" i="12"/>
  <c r="E646" i="12"/>
  <c r="I645" i="12"/>
  <c r="K645" i="12" s="1"/>
  <c r="J644" i="12"/>
  <c r="I644" i="12"/>
  <c r="H644" i="12"/>
  <c r="F644" i="12"/>
  <c r="E644" i="12"/>
  <c r="J642" i="12"/>
  <c r="I642" i="12"/>
  <c r="H642" i="12"/>
  <c r="F642" i="12"/>
  <c r="E642" i="12"/>
  <c r="I641" i="12"/>
  <c r="K641" i="12" s="1"/>
  <c r="J640" i="12"/>
  <c r="I640" i="12"/>
  <c r="H640" i="12"/>
  <c r="F640" i="12"/>
  <c r="E640" i="12"/>
  <c r="J638" i="12"/>
  <c r="I638" i="12"/>
  <c r="H638" i="12"/>
  <c r="F638" i="12"/>
  <c r="E638" i="12"/>
  <c r="I637" i="12"/>
  <c r="K637" i="12" s="1"/>
  <c r="J636" i="12"/>
  <c r="I636" i="12"/>
  <c r="H636" i="12"/>
  <c r="F636" i="12"/>
  <c r="E636" i="12"/>
  <c r="J634" i="12"/>
  <c r="I634" i="12"/>
  <c r="H634" i="12"/>
  <c r="F634" i="12"/>
  <c r="E634" i="12"/>
  <c r="I633" i="12"/>
  <c r="K633" i="12" s="1"/>
  <c r="J632" i="12"/>
  <c r="I632" i="12"/>
  <c r="H632" i="12"/>
  <c r="F632" i="12"/>
  <c r="E632" i="12"/>
  <c r="J630" i="12"/>
  <c r="I630" i="12"/>
  <c r="H630" i="12"/>
  <c r="F630" i="12"/>
  <c r="E630" i="12"/>
  <c r="J629" i="12"/>
  <c r="I629" i="12"/>
  <c r="H629" i="12"/>
  <c r="F629" i="12"/>
  <c r="E629" i="12"/>
  <c r="J628" i="12"/>
  <c r="I628" i="12"/>
  <c r="H628" i="12"/>
  <c r="F628" i="12"/>
  <c r="E628" i="12"/>
  <c r="J626" i="12"/>
  <c r="I626" i="12"/>
  <c r="H626" i="12"/>
  <c r="F626" i="12"/>
  <c r="E626" i="12"/>
  <c r="J625" i="12"/>
  <c r="I625" i="12"/>
  <c r="H625" i="12"/>
  <c r="F625" i="12"/>
  <c r="E625" i="12"/>
  <c r="J624" i="12"/>
  <c r="I624" i="12"/>
  <c r="H624" i="12"/>
  <c r="F624" i="12"/>
  <c r="E624" i="12"/>
  <c r="J623" i="12"/>
  <c r="I623" i="12"/>
  <c r="H623" i="12"/>
  <c r="F623" i="12"/>
  <c r="E623" i="12"/>
  <c r="J621" i="12"/>
  <c r="I621" i="12"/>
  <c r="H621" i="12"/>
  <c r="F621" i="12"/>
  <c r="E621" i="12"/>
  <c r="J620" i="12"/>
  <c r="I620" i="12"/>
  <c r="H620" i="12"/>
  <c r="F620" i="12"/>
  <c r="E620" i="12"/>
  <c r="J619" i="12"/>
  <c r="I619" i="12"/>
  <c r="H619" i="12"/>
  <c r="F619" i="12"/>
  <c r="E619" i="12"/>
  <c r="J618" i="12"/>
  <c r="I618" i="12"/>
  <c r="H618" i="12"/>
  <c r="F618" i="12"/>
  <c r="E618" i="12"/>
  <c r="J616" i="12"/>
  <c r="I616" i="12"/>
  <c r="H616" i="12"/>
  <c r="F616" i="12"/>
  <c r="E616" i="12"/>
  <c r="J615" i="12"/>
  <c r="I615" i="12"/>
  <c r="H615" i="12"/>
  <c r="F615" i="12"/>
  <c r="E615" i="12"/>
  <c r="J614" i="12"/>
  <c r="I614" i="12"/>
  <c r="H614" i="12"/>
  <c r="F614" i="12"/>
  <c r="E614" i="12"/>
  <c r="J613" i="12"/>
  <c r="I613" i="12"/>
  <c r="H613" i="12"/>
  <c r="F613" i="12"/>
  <c r="E613" i="12"/>
  <c r="J611" i="12"/>
  <c r="I611" i="12"/>
  <c r="H611" i="12"/>
  <c r="F611" i="12"/>
  <c r="E611" i="12"/>
  <c r="J610" i="12"/>
  <c r="I610" i="12"/>
  <c r="H610" i="12"/>
  <c r="F610" i="12"/>
  <c r="E610" i="12"/>
  <c r="J609" i="12"/>
  <c r="I609" i="12"/>
  <c r="H609" i="12"/>
  <c r="F609" i="12"/>
  <c r="E609" i="12"/>
  <c r="J608" i="12"/>
  <c r="I608" i="12"/>
  <c r="H608" i="12"/>
  <c r="F608" i="12"/>
  <c r="E608" i="12"/>
  <c r="J606" i="12"/>
  <c r="I606" i="12"/>
  <c r="H606" i="12"/>
  <c r="F606" i="12"/>
  <c r="E606" i="12"/>
  <c r="J605" i="12"/>
  <c r="I605" i="12"/>
  <c r="H605" i="12"/>
  <c r="F605" i="12"/>
  <c r="E605" i="12"/>
  <c r="J604" i="12"/>
  <c r="I604" i="12"/>
  <c r="H604" i="12"/>
  <c r="F604" i="12"/>
  <c r="E604" i="12"/>
  <c r="J603" i="12"/>
  <c r="I603" i="12"/>
  <c r="H603" i="12"/>
  <c r="F603" i="12"/>
  <c r="E603" i="12"/>
  <c r="I601" i="12"/>
  <c r="K601" i="12" s="1"/>
  <c r="H601" i="12"/>
  <c r="F601" i="12"/>
  <c r="E601" i="12"/>
  <c r="J600" i="12"/>
  <c r="I600" i="12"/>
  <c r="H600" i="12"/>
  <c r="F600" i="12"/>
  <c r="E600" i="12"/>
  <c r="J599" i="12"/>
  <c r="I599" i="12"/>
  <c r="H599" i="12"/>
  <c r="F599" i="12"/>
  <c r="E599" i="12"/>
  <c r="J598" i="12"/>
  <c r="I598" i="12"/>
  <c r="H598" i="12"/>
  <c r="F598" i="12"/>
  <c r="E598" i="12"/>
  <c r="I596" i="12"/>
  <c r="K596" i="12" s="1"/>
  <c r="J595" i="12"/>
  <c r="I595" i="12"/>
  <c r="H595" i="12"/>
  <c r="F595" i="12"/>
  <c r="E595" i="12"/>
  <c r="J594" i="12"/>
  <c r="I594" i="12"/>
  <c r="H594" i="12"/>
  <c r="F594" i="12"/>
  <c r="E594" i="12"/>
  <c r="I592" i="12"/>
  <c r="K592" i="12" s="1"/>
  <c r="J591" i="12"/>
  <c r="I591" i="12"/>
  <c r="H591" i="12"/>
  <c r="F591" i="12"/>
  <c r="E591" i="12"/>
  <c r="J590" i="12"/>
  <c r="I590" i="12"/>
  <c r="H590" i="12"/>
  <c r="F590" i="12"/>
  <c r="E590" i="12"/>
  <c r="I588" i="12"/>
  <c r="K588" i="12" s="1"/>
  <c r="J587" i="12"/>
  <c r="I587" i="12"/>
  <c r="H587" i="12"/>
  <c r="F587" i="12"/>
  <c r="E587" i="12"/>
  <c r="J586" i="12"/>
  <c r="I586" i="12"/>
  <c r="H586" i="12"/>
  <c r="F586" i="12"/>
  <c r="E586" i="12"/>
  <c r="J584" i="12"/>
  <c r="I584" i="12"/>
  <c r="H584" i="12"/>
  <c r="F584" i="12"/>
  <c r="E584" i="12"/>
  <c r="J583" i="12"/>
  <c r="I583" i="12"/>
  <c r="H583" i="12"/>
  <c r="F583" i="12"/>
  <c r="E583" i="12"/>
  <c r="I582" i="12"/>
  <c r="J580" i="12"/>
  <c r="I580" i="12"/>
  <c r="H580" i="12"/>
  <c r="F580" i="12"/>
  <c r="E580" i="12"/>
  <c r="J579" i="12"/>
  <c r="I579" i="12"/>
  <c r="H579" i="12"/>
  <c r="F579" i="12"/>
  <c r="E579" i="12"/>
  <c r="I578" i="12"/>
  <c r="K578" i="12" s="1"/>
  <c r="J576" i="12"/>
  <c r="I576" i="12"/>
  <c r="H576" i="12"/>
  <c r="F576" i="12"/>
  <c r="E576" i="12"/>
  <c r="J575" i="12"/>
  <c r="I575" i="12"/>
  <c r="H575" i="12"/>
  <c r="F575" i="12"/>
  <c r="E575" i="12"/>
  <c r="I574" i="12"/>
  <c r="K574" i="12" s="1"/>
  <c r="J572" i="12"/>
  <c r="I572" i="12"/>
  <c r="H572" i="12"/>
  <c r="F572" i="12"/>
  <c r="E572" i="12"/>
  <c r="J571" i="12"/>
  <c r="I571" i="12"/>
  <c r="H571" i="12"/>
  <c r="F571" i="12"/>
  <c r="E571" i="12"/>
  <c r="I570" i="12"/>
  <c r="J568" i="12"/>
  <c r="I568" i="12"/>
  <c r="H568" i="12"/>
  <c r="F568" i="12"/>
  <c r="E568" i="12"/>
  <c r="J567" i="12"/>
  <c r="I567" i="12"/>
  <c r="H567" i="12"/>
  <c r="F567" i="12"/>
  <c r="E567" i="12"/>
  <c r="J566" i="12"/>
  <c r="I566" i="12"/>
  <c r="H566" i="12"/>
  <c r="F566" i="12"/>
  <c r="E566" i="12"/>
  <c r="J565" i="12"/>
  <c r="I565" i="12"/>
  <c r="H565" i="12"/>
  <c r="F565" i="12"/>
  <c r="E565" i="12"/>
  <c r="J564" i="12"/>
  <c r="I564" i="12"/>
  <c r="H564" i="12"/>
  <c r="F564" i="12"/>
  <c r="E564" i="12"/>
  <c r="F563" i="12"/>
  <c r="E563" i="12"/>
  <c r="J561" i="12"/>
  <c r="I561" i="12"/>
  <c r="H561" i="12"/>
  <c r="F561" i="12"/>
  <c r="E561" i="12"/>
  <c r="J560" i="12"/>
  <c r="I560" i="12"/>
  <c r="H560" i="12"/>
  <c r="F560" i="12"/>
  <c r="E560" i="12"/>
  <c r="J559" i="12"/>
  <c r="I559" i="12"/>
  <c r="H559" i="12"/>
  <c r="F559" i="12"/>
  <c r="E559" i="12"/>
  <c r="J558" i="12"/>
  <c r="I558" i="12"/>
  <c r="H558" i="12"/>
  <c r="F558" i="12"/>
  <c r="E558" i="12"/>
  <c r="J557" i="12"/>
  <c r="I557" i="12"/>
  <c r="H557" i="12"/>
  <c r="F557" i="12"/>
  <c r="E557" i="12"/>
  <c r="F556" i="12"/>
  <c r="E556" i="12"/>
  <c r="J554" i="12"/>
  <c r="I554" i="12"/>
  <c r="H554" i="12"/>
  <c r="F554" i="12"/>
  <c r="E554" i="12"/>
  <c r="J553" i="12"/>
  <c r="I553" i="12"/>
  <c r="H553" i="12"/>
  <c r="F553" i="12"/>
  <c r="E553" i="12"/>
  <c r="J552" i="12"/>
  <c r="I552" i="12"/>
  <c r="H552" i="12"/>
  <c r="F552" i="12"/>
  <c r="E552" i="12"/>
  <c r="J551" i="12"/>
  <c r="I551" i="12"/>
  <c r="H551" i="12"/>
  <c r="F551" i="12"/>
  <c r="E551" i="12"/>
  <c r="J550" i="12"/>
  <c r="I550" i="12"/>
  <c r="H550" i="12"/>
  <c r="F550" i="12"/>
  <c r="E550" i="12"/>
  <c r="F549" i="12"/>
  <c r="E549" i="12"/>
  <c r="J547" i="12"/>
  <c r="I547" i="12"/>
  <c r="H547" i="12"/>
  <c r="F547" i="12"/>
  <c r="E547" i="12"/>
  <c r="J546" i="12"/>
  <c r="I546" i="12"/>
  <c r="H546" i="12"/>
  <c r="F546" i="12"/>
  <c r="E546" i="12"/>
  <c r="J545" i="12"/>
  <c r="I545" i="12"/>
  <c r="H545" i="12"/>
  <c r="F545" i="12"/>
  <c r="E545" i="12"/>
  <c r="J544" i="12"/>
  <c r="I544" i="12"/>
  <c r="H544" i="12"/>
  <c r="F544" i="12"/>
  <c r="E544" i="12"/>
  <c r="J543" i="12"/>
  <c r="I543" i="12"/>
  <c r="H543" i="12"/>
  <c r="F543" i="12"/>
  <c r="E543" i="12"/>
  <c r="F542" i="12"/>
  <c r="E542" i="12"/>
  <c r="J540" i="12"/>
  <c r="I540" i="12"/>
  <c r="H540" i="12"/>
  <c r="F540" i="12"/>
  <c r="E540" i="12"/>
  <c r="J539" i="12"/>
  <c r="I539" i="12"/>
  <c r="H539" i="12"/>
  <c r="F539" i="12"/>
  <c r="E539" i="12"/>
  <c r="J538" i="12"/>
  <c r="I538" i="12"/>
  <c r="H538" i="12"/>
  <c r="F538" i="12"/>
  <c r="E538" i="12"/>
  <c r="J537" i="12"/>
  <c r="I537" i="12"/>
  <c r="H537" i="12"/>
  <c r="F537" i="12"/>
  <c r="E537" i="12"/>
  <c r="J536" i="12"/>
  <c r="I536" i="12"/>
  <c r="H536" i="12"/>
  <c r="F536" i="12"/>
  <c r="E536" i="12"/>
  <c r="F535" i="12"/>
  <c r="E535" i="12"/>
  <c r="J533" i="12"/>
  <c r="I533" i="12"/>
  <c r="H533" i="12"/>
  <c r="F533" i="12"/>
  <c r="E533" i="12"/>
  <c r="J532" i="12"/>
  <c r="I532" i="12"/>
  <c r="H532" i="12"/>
  <c r="F532" i="12"/>
  <c r="E532" i="12"/>
  <c r="J531" i="12"/>
  <c r="I531" i="12"/>
  <c r="H531" i="12"/>
  <c r="F531" i="12"/>
  <c r="E531" i="12"/>
  <c r="J530" i="12"/>
  <c r="I530" i="12"/>
  <c r="H530" i="12"/>
  <c r="F530" i="12"/>
  <c r="E530" i="12"/>
  <c r="J529" i="12"/>
  <c r="I529" i="12"/>
  <c r="H529" i="12"/>
  <c r="F529" i="12"/>
  <c r="E529" i="12"/>
  <c r="F528" i="12"/>
  <c r="E528" i="12"/>
  <c r="J526" i="12"/>
  <c r="I526" i="12"/>
  <c r="H526" i="12"/>
  <c r="F526" i="12"/>
  <c r="E526" i="12"/>
  <c r="J525" i="12"/>
  <c r="I525" i="12"/>
  <c r="H525" i="12"/>
  <c r="F525" i="12"/>
  <c r="E525" i="12"/>
  <c r="J524" i="12"/>
  <c r="I524" i="12"/>
  <c r="H524" i="12"/>
  <c r="F524" i="12"/>
  <c r="E524" i="12"/>
  <c r="J522" i="12"/>
  <c r="I522" i="12"/>
  <c r="I521" i="12" s="1"/>
  <c r="H522" i="12"/>
  <c r="F522" i="12"/>
  <c r="E522" i="12"/>
  <c r="J520" i="12"/>
  <c r="J519" i="12" s="1"/>
  <c r="K326" i="7" s="1"/>
  <c r="N326" i="7" s="1"/>
  <c r="I520" i="12"/>
  <c r="I519" i="12" s="1"/>
  <c r="G776" i="9" s="1"/>
  <c r="H520" i="12"/>
  <c r="F520" i="12"/>
  <c r="E520" i="12"/>
  <c r="J518" i="12"/>
  <c r="I518" i="12"/>
  <c r="H518" i="12"/>
  <c r="F518" i="12"/>
  <c r="E518" i="12"/>
  <c r="J517" i="12"/>
  <c r="I517" i="12"/>
  <c r="H517" i="12"/>
  <c r="F517" i="12"/>
  <c r="E517" i="12"/>
  <c r="J516" i="12"/>
  <c r="I516" i="12"/>
  <c r="H516" i="12"/>
  <c r="F516" i="12"/>
  <c r="E516" i="12"/>
  <c r="J515" i="12"/>
  <c r="I515" i="12"/>
  <c r="H515" i="12"/>
  <c r="F515" i="12"/>
  <c r="E515" i="12"/>
  <c r="J514" i="12"/>
  <c r="I514" i="12"/>
  <c r="H514" i="12"/>
  <c r="F514" i="12"/>
  <c r="E514" i="12"/>
  <c r="J512" i="12"/>
  <c r="I512" i="12"/>
  <c r="H512" i="12"/>
  <c r="F512" i="12"/>
  <c r="E512" i="12"/>
  <c r="J511" i="12"/>
  <c r="I511" i="12"/>
  <c r="H511" i="12"/>
  <c r="F511" i="12"/>
  <c r="E511" i="12"/>
  <c r="J510" i="12"/>
  <c r="I510" i="12"/>
  <c r="H510" i="12"/>
  <c r="F510" i="12"/>
  <c r="E510" i="12"/>
  <c r="J509" i="12"/>
  <c r="I509" i="12"/>
  <c r="H509" i="12"/>
  <c r="F509" i="12"/>
  <c r="E509" i="12"/>
  <c r="J508" i="12"/>
  <c r="I508" i="12"/>
  <c r="H508" i="12"/>
  <c r="F508" i="12"/>
  <c r="E508" i="12"/>
  <c r="J507" i="12"/>
  <c r="I507" i="12"/>
  <c r="H507" i="12"/>
  <c r="F507" i="12"/>
  <c r="E507" i="12"/>
  <c r="J506" i="12"/>
  <c r="I506" i="12"/>
  <c r="H506" i="12"/>
  <c r="F506" i="12"/>
  <c r="E506" i="12"/>
  <c r="J505" i="12"/>
  <c r="I505" i="12"/>
  <c r="H505" i="12"/>
  <c r="F505" i="12"/>
  <c r="E505" i="12"/>
  <c r="J504" i="12"/>
  <c r="I504" i="12"/>
  <c r="H504" i="12"/>
  <c r="F504" i="12"/>
  <c r="E504" i="12"/>
  <c r="J503" i="12"/>
  <c r="I503" i="12"/>
  <c r="H503" i="12"/>
  <c r="F503" i="12"/>
  <c r="E503" i="12"/>
  <c r="J501" i="12"/>
  <c r="I501" i="12"/>
  <c r="H501" i="12"/>
  <c r="F501" i="12"/>
  <c r="E501" i="12"/>
  <c r="J500" i="12"/>
  <c r="I500" i="12"/>
  <c r="H500" i="12"/>
  <c r="F500" i="12"/>
  <c r="E500" i="12"/>
  <c r="J499" i="12"/>
  <c r="I499" i="12"/>
  <c r="H499" i="12"/>
  <c r="F499" i="12"/>
  <c r="E499" i="12"/>
  <c r="J498" i="12"/>
  <c r="I498" i="12"/>
  <c r="H498" i="12"/>
  <c r="F498" i="12"/>
  <c r="E498" i="12"/>
  <c r="J497" i="12"/>
  <c r="I497" i="12"/>
  <c r="H497" i="12"/>
  <c r="F497" i="12"/>
  <c r="E497" i="12"/>
  <c r="J496" i="12"/>
  <c r="I496" i="12"/>
  <c r="H496" i="12"/>
  <c r="F496" i="12"/>
  <c r="E496" i="12"/>
  <c r="J495" i="12"/>
  <c r="I495" i="12"/>
  <c r="H495" i="12"/>
  <c r="F495" i="12"/>
  <c r="E495" i="12"/>
  <c r="J494" i="12"/>
  <c r="I494" i="12"/>
  <c r="H494" i="12"/>
  <c r="F494" i="12"/>
  <c r="E494" i="12"/>
  <c r="J493" i="12"/>
  <c r="I493" i="12"/>
  <c r="H493" i="12"/>
  <c r="F493" i="12"/>
  <c r="E493" i="12"/>
  <c r="J492" i="12"/>
  <c r="I492" i="12"/>
  <c r="H492" i="12"/>
  <c r="F492" i="12"/>
  <c r="E492" i="12"/>
  <c r="J491" i="12"/>
  <c r="I491" i="12"/>
  <c r="H491" i="12"/>
  <c r="F491" i="12"/>
  <c r="E491" i="12"/>
  <c r="J490" i="12"/>
  <c r="I490" i="12"/>
  <c r="H490" i="12"/>
  <c r="F490" i="12"/>
  <c r="E490" i="12"/>
  <c r="J489" i="12"/>
  <c r="I489" i="12"/>
  <c r="H489" i="12"/>
  <c r="F489" i="12"/>
  <c r="E489" i="12"/>
  <c r="J488" i="12"/>
  <c r="I488" i="12"/>
  <c r="H488" i="12"/>
  <c r="F488" i="12"/>
  <c r="E488" i="12"/>
  <c r="J487" i="12"/>
  <c r="I487" i="12"/>
  <c r="H487" i="12"/>
  <c r="F487" i="12"/>
  <c r="E487" i="12"/>
  <c r="J486" i="12"/>
  <c r="I486" i="12"/>
  <c r="H486" i="12"/>
  <c r="F486" i="12"/>
  <c r="E486" i="12"/>
  <c r="J485" i="12"/>
  <c r="I485" i="12"/>
  <c r="H485" i="12"/>
  <c r="F485" i="12"/>
  <c r="E485" i="12"/>
  <c r="J484" i="12"/>
  <c r="I484" i="12"/>
  <c r="H484" i="12"/>
  <c r="F484" i="12"/>
  <c r="E484" i="12"/>
  <c r="J483" i="12"/>
  <c r="I483" i="12"/>
  <c r="H483" i="12"/>
  <c r="F483" i="12"/>
  <c r="E483" i="12"/>
  <c r="J482" i="12"/>
  <c r="I482" i="12"/>
  <c r="H482" i="12"/>
  <c r="F482" i="12"/>
  <c r="E482" i="12"/>
  <c r="J480" i="12"/>
  <c r="I480" i="12"/>
  <c r="H480" i="12"/>
  <c r="F480" i="12"/>
  <c r="E480" i="12"/>
  <c r="J479" i="12"/>
  <c r="I479" i="12"/>
  <c r="H479" i="12"/>
  <c r="F479" i="12"/>
  <c r="E479" i="12"/>
  <c r="J478" i="12"/>
  <c r="I478" i="12"/>
  <c r="H478" i="12"/>
  <c r="F478" i="12"/>
  <c r="E478" i="12"/>
  <c r="J477" i="12"/>
  <c r="I477" i="12"/>
  <c r="H477" i="12"/>
  <c r="F477" i="12"/>
  <c r="E477" i="12"/>
  <c r="J476" i="12"/>
  <c r="I476" i="12"/>
  <c r="H476" i="12"/>
  <c r="F476" i="12"/>
  <c r="E476" i="12"/>
  <c r="J475" i="12"/>
  <c r="I475" i="12"/>
  <c r="H475" i="12"/>
  <c r="F475" i="12"/>
  <c r="E475" i="12"/>
  <c r="J474" i="12"/>
  <c r="I474" i="12"/>
  <c r="H474" i="12"/>
  <c r="F474" i="12"/>
  <c r="E474" i="12"/>
  <c r="J473" i="12"/>
  <c r="I473" i="12"/>
  <c r="H473" i="12"/>
  <c r="F473" i="12"/>
  <c r="E473" i="12"/>
  <c r="J472" i="12"/>
  <c r="I472" i="12"/>
  <c r="H472" i="12"/>
  <c r="F472" i="12"/>
  <c r="E472" i="12"/>
  <c r="J471" i="12"/>
  <c r="I471" i="12"/>
  <c r="H471" i="12"/>
  <c r="F471" i="12"/>
  <c r="E471" i="12"/>
  <c r="J470" i="12"/>
  <c r="I470" i="12"/>
  <c r="H470" i="12"/>
  <c r="F470" i="12"/>
  <c r="E470" i="12"/>
  <c r="J469" i="12"/>
  <c r="I469" i="12"/>
  <c r="H469" i="12"/>
  <c r="F469" i="12"/>
  <c r="E469" i="12"/>
  <c r="J468" i="12"/>
  <c r="I468" i="12"/>
  <c r="H468" i="12"/>
  <c r="F468" i="12"/>
  <c r="E468" i="12"/>
  <c r="J467" i="12"/>
  <c r="I467" i="12"/>
  <c r="H467" i="12"/>
  <c r="F467" i="12"/>
  <c r="E467" i="12"/>
  <c r="J466" i="12"/>
  <c r="I466" i="12"/>
  <c r="H466" i="12"/>
  <c r="F466" i="12"/>
  <c r="E466" i="12"/>
  <c r="J465" i="12"/>
  <c r="I465" i="12"/>
  <c r="H465" i="12"/>
  <c r="F465" i="12"/>
  <c r="E465" i="12"/>
  <c r="J464" i="12"/>
  <c r="I464" i="12"/>
  <c r="H464" i="12"/>
  <c r="F464" i="12"/>
  <c r="E464" i="12"/>
  <c r="J463" i="12"/>
  <c r="I463" i="12"/>
  <c r="H463" i="12"/>
  <c r="F463" i="12"/>
  <c r="E463" i="12"/>
  <c r="J462" i="12"/>
  <c r="I462" i="12"/>
  <c r="H462" i="12"/>
  <c r="F462" i="12"/>
  <c r="E462" i="12"/>
  <c r="J461" i="12"/>
  <c r="I461" i="12"/>
  <c r="H461" i="12"/>
  <c r="F461" i="12"/>
  <c r="E461" i="12"/>
  <c r="F459" i="12"/>
  <c r="E459" i="12"/>
  <c r="J458" i="12"/>
  <c r="I458" i="12"/>
  <c r="H458" i="12"/>
  <c r="F458" i="12"/>
  <c r="E458" i="12"/>
  <c r="J457" i="12"/>
  <c r="I457" i="12"/>
  <c r="H457" i="12"/>
  <c r="F457" i="12"/>
  <c r="E457" i="12"/>
  <c r="J456" i="12"/>
  <c r="I456" i="12"/>
  <c r="H456" i="12"/>
  <c r="F456" i="12"/>
  <c r="E456" i="12"/>
  <c r="J455" i="12"/>
  <c r="I455" i="12"/>
  <c r="H455" i="12"/>
  <c r="F455" i="12"/>
  <c r="E455" i="12"/>
  <c r="J453" i="12"/>
  <c r="I453" i="12"/>
  <c r="H453" i="12"/>
  <c r="F453" i="12"/>
  <c r="E453" i="12"/>
  <c r="J452" i="12"/>
  <c r="I452" i="12"/>
  <c r="H452" i="12"/>
  <c r="F452" i="12"/>
  <c r="E452" i="12"/>
  <c r="J451" i="12"/>
  <c r="I451" i="12"/>
  <c r="H451" i="12"/>
  <c r="F451" i="12"/>
  <c r="E451" i="12"/>
  <c r="J450" i="12"/>
  <c r="I450" i="12"/>
  <c r="H450" i="12"/>
  <c r="F450" i="12"/>
  <c r="E450" i="12"/>
  <c r="J449" i="12"/>
  <c r="I449" i="12"/>
  <c r="H449" i="12"/>
  <c r="F449" i="12"/>
  <c r="E449" i="12"/>
  <c r="J448" i="12"/>
  <c r="I448" i="12"/>
  <c r="H448" i="12"/>
  <c r="F448" i="12"/>
  <c r="E448" i="12"/>
  <c r="J447" i="12"/>
  <c r="I447" i="12"/>
  <c r="H447" i="12"/>
  <c r="F447" i="12"/>
  <c r="E447" i="12"/>
  <c r="J446" i="12"/>
  <c r="I446" i="12"/>
  <c r="H446" i="12"/>
  <c r="F446" i="12"/>
  <c r="E446" i="12"/>
  <c r="J445" i="12"/>
  <c r="I445" i="12"/>
  <c r="H445" i="12"/>
  <c r="F445" i="12"/>
  <c r="E445" i="12"/>
  <c r="J444" i="12"/>
  <c r="I444" i="12"/>
  <c r="H444" i="12"/>
  <c r="F444" i="12"/>
  <c r="E444" i="12"/>
  <c r="J442" i="12"/>
  <c r="I442" i="12"/>
  <c r="H442" i="12"/>
  <c r="F442" i="12"/>
  <c r="E442" i="12"/>
  <c r="J441" i="12"/>
  <c r="I441" i="12"/>
  <c r="H441" i="12"/>
  <c r="F441" i="12"/>
  <c r="E441" i="12"/>
  <c r="J440" i="12"/>
  <c r="I440" i="12"/>
  <c r="H440" i="12"/>
  <c r="F440" i="12"/>
  <c r="E440" i="12"/>
  <c r="J439" i="12"/>
  <c r="I439" i="12"/>
  <c r="H439" i="12"/>
  <c r="F439" i="12"/>
  <c r="E439" i="12"/>
  <c r="J438" i="12"/>
  <c r="I438" i="12"/>
  <c r="H438" i="12"/>
  <c r="F438" i="12"/>
  <c r="E438" i="12"/>
  <c r="J437" i="12"/>
  <c r="I437" i="12"/>
  <c r="H437" i="12"/>
  <c r="F437" i="12"/>
  <c r="E437" i="12"/>
  <c r="J436" i="12"/>
  <c r="I436" i="12"/>
  <c r="H436" i="12"/>
  <c r="F436" i="12"/>
  <c r="E436" i="12"/>
  <c r="J435" i="12"/>
  <c r="I435" i="12"/>
  <c r="H435" i="12"/>
  <c r="F435" i="12"/>
  <c r="E435" i="12"/>
  <c r="J434" i="12"/>
  <c r="I434" i="12"/>
  <c r="H434" i="12"/>
  <c r="F434" i="12"/>
  <c r="E434" i="12"/>
  <c r="J433" i="12"/>
  <c r="I433" i="12"/>
  <c r="H433" i="12"/>
  <c r="F433" i="12"/>
  <c r="E433" i="12"/>
  <c r="I431" i="12"/>
  <c r="K431" i="12" s="1"/>
  <c r="J430" i="12"/>
  <c r="I430" i="12"/>
  <c r="H430" i="12"/>
  <c r="F430" i="12"/>
  <c r="E430" i="12"/>
  <c r="J429" i="12"/>
  <c r="I429" i="12"/>
  <c r="H429" i="12"/>
  <c r="F429" i="12"/>
  <c r="E429" i="12"/>
  <c r="I427" i="12"/>
  <c r="K427" i="12" s="1"/>
  <c r="J426" i="12"/>
  <c r="I426" i="12"/>
  <c r="H426" i="12"/>
  <c r="F426" i="12"/>
  <c r="E426" i="12"/>
  <c r="J425" i="12"/>
  <c r="I425" i="12"/>
  <c r="H425" i="12"/>
  <c r="F425" i="12"/>
  <c r="E425" i="12"/>
  <c r="I423" i="12"/>
  <c r="K423" i="12" s="1"/>
  <c r="J422" i="12"/>
  <c r="I422" i="12"/>
  <c r="H422" i="12"/>
  <c r="F422" i="12"/>
  <c r="E422" i="12"/>
  <c r="J421" i="12"/>
  <c r="I421" i="12"/>
  <c r="H421" i="12"/>
  <c r="F421" i="12"/>
  <c r="E421" i="12"/>
  <c r="J419" i="12"/>
  <c r="I419" i="12"/>
  <c r="H419" i="12"/>
  <c r="F419" i="12"/>
  <c r="E419" i="12"/>
  <c r="J418" i="12"/>
  <c r="I418" i="12"/>
  <c r="H418" i="12"/>
  <c r="F418" i="12"/>
  <c r="E418" i="12"/>
  <c r="J417" i="12"/>
  <c r="I417" i="12"/>
  <c r="H417" i="12"/>
  <c r="F417" i="12"/>
  <c r="E417" i="12"/>
  <c r="J416" i="12"/>
  <c r="I416" i="12"/>
  <c r="H416" i="12"/>
  <c r="F416" i="12"/>
  <c r="E416" i="12"/>
  <c r="J414" i="12"/>
  <c r="I414" i="12"/>
  <c r="H414" i="12"/>
  <c r="F414" i="12"/>
  <c r="E414" i="12"/>
  <c r="J413" i="12"/>
  <c r="I413" i="12"/>
  <c r="H413" i="12"/>
  <c r="F413" i="12"/>
  <c r="E413" i="12"/>
  <c r="J412" i="12"/>
  <c r="I412" i="12"/>
  <c r="H412" i="12"/>
  <c r="F412" i="12"/>
  <c r="E412" i="12"/>
  <c r="J411" i="12"/>
  <c r="I411" i="12"/>
  <c r="H411" i="12"/>
  <c r="F411" i="12"/>
  <c r="E411" i="12"/>
  <c r="J410" i="12"/>
  <c r="I410" i="12"/>
  <c r="H410" i="12"/>
  <c r="F410" i="12"/>
  <c r="E410" i="12"/>
  <c r="I408" i="12"/>
  <c r="K408" i="12" s="1"/>
  <c r="J407" i="12"/>
  <c r="I407" i="12"/>
  <c r="H407" i="12"/>
  <c r="F407" i="12"/>
  <c r="E407" i="12"/>
  <c r="J406" i="12"/>
  <c r="I406" i="12"/>
  <c r="H406" i="12"/>
  <c r="F406" i="12"/>
  <c r="E406" i="12"/>
  <c r="J404" i="12"/>
  <c r="I404" i="12"/>
  <c r="H404" i="12"/>
  <c r="F404" i="12"/>
  <c r="E404" i="12"/>
  <c r="J403" i="12"/>
  <c r="I403" i="12"/>
  <c r="H403" i="12"/>
  <c r="F403" i="12"/>
  <c r="E403" i="12"/>
  <c r="J402" i="12"/>
  <c r="I402" i="12"/>
  <c r="H402" i="12"/>
  <c r="F402" i="12"/>
  <c r="E402" i="12"/>
  <c r="J401" i="12"/>
  <c r="I401" i="12"/>
  <c r="H401" i="12"/>
  <c r="F401" i="12"/>
  <c r="E401" i="12"/>
  <c r="J400" i="12"/>
  <c r="I400" i="12"/>
  <c r="H400" i="12"/>
  <c r="F400" i="12"/>
  <c r="E400" i="12"/>
  <c r="J398" i="12"/>
  <c r="I398" i="12"/>
  <c r="H398" i="12"/>
  <c r="F398" i="12"/>
  <c r="E398" i="12"/>
  <c r="J397" i="12"/>
  <c r="I397" i="12"/>
  <c r="H397" i="12"/>
  <c r="F397" i="12"/>
  <c r="E397" i="12"/>
  <c r="I396" i="12"/>
  <c r="K396" i="12" s="1"/>
  <c r="H396" i="12"/>
  <c r="F396" i="12"/>
  <c r="E396" i="12"/>
  <c r="J394" i="12"/>
  <c r="I394" i="12"/>
  <c r="H394" i="12"/>
  <c r="F394" i="12"/>
  <c r="E394" i="12"/>
  <c r="J393" i="12"/>
  <c r="I393" i="12"/>
  <c r="H393" i="12"/>
  <c r="F393" i="12"/>
  <c r="E393" i="12"/>
  <c r="J392" i="12"/>
  <c r="I392" i="12"/>
  <c r="H392" i="12"/>
  <c r="F392" i="12"/>
  <c r="E392" i="12"/>
  <c r="J391" i="12"/>
  <c r="I391" i="12"/>
  <c r="H391" i="12"/>
  <c r="F391" i="12"/>
  <c r="E391" i="12"/>
  <c r="J390" i="12"/>
  <c r="I390" i="12"/>
  <c r="H390" i="12"/>
  <c r="F390" i="12"/>
  <c r="E390" i="12"/>
  <c r="J389" i="12"/>
  <c r="I389" i="12"/>
  <c r="H389" i="12"/>
  <c r="F389" i="12"/>
  <c r="E389" i="12"/>
  <c r="J388" i="12"/>
  <c r="I388" i="12"/>
  <c r="H388" i="12"/>
  <c r="F388" i="12"/>
  <c r="E388" i="12"/>
  <c r="J387" i="12"/>
  <c r="I387" i="12"/>
  <c r="H387" i="12"/>
  <c r="F387" i="12"/>
  <c r="E387" i="12"/>
  <c r="J386" i="12"/>
  <c r="I386" i="12"/>
  <c r="H386" i="12"/>
  <c r="F386" i="12"/>
  <c r="E386" i="12"/>
  <c r="J385" i="12"/>
  <c r="I385" i="12"/>
  <c r="H385" i="12"/>
  <c r="F385" i="12"/>
  <c r="E385" i="12"/>
  <c r="J384" i="12"/>
  <c r="I384" i="12"/>
  <c r="H384" i="12"/>
  <c r="F384" i="12"/>
  <c r="E384" i="12"/>
  <c r="J383" i="12"/>
  <c r="I383" i="12"/>
  <c r="H383" i="12"/>
  <c r="F383" i="12"/>
  <c r="E383" i="12"/>
  <c r="J382" i="12"/>
  <c r="I382" i="12"/>
  <c r="H382" i="12"/>
  <c r="F382" i="12"/>
  <c r="E382" i="12"/>
  <c r="I380" i="12"/>
  <c r="K380" i="12" s="1"/>
  <c r="J379" i="12"/>
  <c r="I379" i="12"/>
  <c r="H379" i="12"/>
  <c r="F379" i="12"/>
  <c r="E379" i="12"/>
  <c r="J378" i="12"/>
  <c r="I378" i="12"/>
  <c r="H378" i="12"/>
  <c r="F378" i="12"/>
  <c r="E378" i="12"/>
  <c r="I376" i="12"/>
  <c r="K376" i="12" s="1"/>
  <c r="J375" i="12"/>
  <c r="I375" i="12"/>
  <c r="H375" i="12"/>
  <c r="F375" i="12"/>
  <c r="E375" i="12"/>
  <c r="J374" i="12"/>
  <c r="I374" i="12"/>
  <c r="H374" i="12"/>
  <c r="F374" i="12"/>
  <c r="E374" i="12"/>
  <c r="I372" i="12"/>
  <c r="K372" i="12" s="1"/>
  <c r="J371" i="12"/>
  <c r="I371" i="12"/>
  <c r="H371" i="12"/>
  <c r="F371" i="12"/>
  <c r="E371" i="12"/>
  <c r="J370" i="12"/>
  <c r="I370" i="12"/>
  <c r="H370" i="12"/>
  <c r="F370" i="12"/>
  <c r="E370" i="12"/>
  <c r="J368" i="12"/>
  <c r="I368" i="12"/>
  <c r="H368" i="12"/>
  <c r="F368" i="12"/>
  <c r="E368" i="12"/>
  <c r="J367" i="12"/>
  <c r="I367" i="12"/>
  <c r="H367" i="12"/>
  <c r="F367" i="12"/>
  <c r="E367" i="12"/>
  <c r="J366" i="12"/>
  <c r="I366" i="12"/>
  <c r="H366" i="12"/>
  <c r="F366" i="12"/>
  <c r="E366" i="12"/>
  <c r="J365" i="12"/>
  <c r="I365" i="12"/>
  <c r="H365" i="12"/>
  <c r="F365" i="12"/>
  <c r="E365" i="12"/>
  <c r="J364" i="12"/>
  <c r="J363" i="12" s="1"/>
  <c r="I364" i="12"/>
  <c r="H364" i="12"/>
  <c r="F364" i="12"/>
  <c r="E364" i="12"/>
  <c r="I362" i="12"/>
  <c r="K362" i="12" s="1"/>
  <c r="H362" i="12"/>
  <c r="F362" i="12"/>
  <c r="E362" i="12"/>
  <c r="I361" i="12"/>
  <c r="K361" i="12" s="1"/>
  <c r="H361" i="12"/>
  <c r="F361" i="12"/>
  <c r="E361" i="12"/>
  <c r="I360" i="12"/>
  <c r="K360" i="12" s="1"/>
  <c r="H360" i="12"/>
  <c r="F360" i="12"/>
  <c r="E360" i="12"/>
  <c r="I359" i="12"/>
  <c r="K359" i="12" s="1"/>
  <c r="H359" i="12"/>
  <c r="F359" i="12"/>
  <c r="E359" i="12"/>
  <c r="I358" i="12"/>
  <c r="K358" i="12" s="1"/>
  <c r="H358" i="12"/>
  <c r="F358" i="12"/>
  <c r="E358" i="12"/>
  <c r="I357" i="12"/>
  <c r="K357" i="12" s="1"/>
  <c r="H357" i="12"/>
  <c r="F357" i="12"/>
  <c r="E357" i="12"/>
  <c r="I356" i="12"/>
  <c r="K356" i="12" s="1"/>
  <c r="H356" i="12"/>
  <c r="F356" i="12"/>
  <c r="E356" i="12"/>
  <c r="J355" i="12"/>
  <c r="I355" i="12"/>
  <c r="H355" i="12"/>
  <c r="F355" i="12"/>
  <c r="E355" i="12"/>
  <c r="J354" i="12"/>
  <c r="I354" i="12"/>
  <c r="H354" i="12"/>
  <c r="F354" i="12"/>
  <c r="E354" i="12"/>
  <c r="I353" i="12"/>
  <c r="K353" i="12" s="1"/>
  <c r="H353" i="12"/>
  <c r="F353" i="12"/>
  <c r="E353" i="12"/>
  <c r="J352" i="12"/>
  <c r="I352" i="12"/>
  <c r="H352" i="12"/>
  <c r="F352" i="12"/>
  <c r="E352" i="12"/>
  <c r="I351" i="12"/>
  <c r="K351" i="12" s="1"/>
  <c r="H351" i="12"/>
  <c r="F351" i="12"/>
  <c r="E351" i="12"/>
  <c r="J350" i="12"/>
  <c r="I350" i="12"/>
  <c r="H350" i="12"/>
  <c r="F350" i="12"/>
  <c r="E350" i="12"/>
  <c r="J349" i="12"/>
  <c r="I349" i="12"/>
  <c r="H349" i="12"/>
  <c r="F349" i="12"/>
  <c r="E349" i="12"/>
  <c r="J348" i="12"/>
  <c r="I348" i="12"/>
  <c r="H348" i="12"/>
  <c r="F348" i="12"/>
  <c r="E348" i="12"/>
  <c r="I347" i="12"/>
  <c r="K347" i="12" s="1"/>
  <c r="H347" i="12"/>
  <c r="F347" i="12"/>
  <c r="E347" i="12"/>
  <c r="J346" i="12"/>
  <c r="I346" i="12"/>
  <c r="H346" i="12"/>
  <c r="F346" i="12"/>
  <c r="E346" i="12"/>
  <c r="I345" i="12"/>
  <c r="K345" i="12" s="1"/>
  <c r="J344" i="12"/>
  <c r="I344" i="12"/>
  <c r="H344" i="12"/>
  <c r="F344" i="12"/>
  <c r="E344" i="12"/>
  <c r="J343" i="12"/>
  <c r="I343" i="12"/>
  <c r="H343" i="12"/>
  <c r="F343" i="12"/>
  <c r="E343" i="12"/>
  <c r="J342" i="12"/>
  <c r="I342" i="12"/>
  <c r="H342" i="12"/>
  <c r="F342" i="12"/>
  <c r="E342" i="12"/>
  <c r="J341" i="12"/>
  <c r="I341" i="12"/>
  <c r="H341" i="12"/>
  <c r="F341" i="12"/>
  <c r="E341" i="12"/>
  <c r="J340" i="12"/>
  <c r="I340" i="12"/>
  <c r="H340" i="12"/>
  <c r="F340" i="12"/>
  <c r="E340" i="12"/>
  <c r="I339" i="12"/>
  <c r="K339" i="12" s="1"/>
  <c r="I338" i="12"/>
  <c r="K338" i="12" s="1"/>
  <c r="J337" i="12"/>
  <c r="I337" i="12"/>
  <c r="H337" i="12"/>
  <c r="F337" i="12"/>
  <c r="E337" i="12"/>
  <c r="F336" i="12"/>
  <c r="E336" i="12"/>
  <c r="F335" i="12"/>
  <c r="E335" i="12"/>
  <c r="I334" i="12"/>
  <c r="K334" i="12" s="1"/>
  <c r="H334" i="12"/>
  <c r="F334" i="12"/>
  <c r="E334" i="12"/>
  <c r="I333" i="12"/>
  <c r="K333" i="12" s="1"/>
  <c r="J332" i="12"/>
  <c r="I332" i="12"/>
  <c r="H332" i="12"/>
  <c r="F332" i="12"/>
  <c r="E332" i="12"/>
  <c r="J331" i="12"/>
  <c r="I331" i="12"/>
  <c r="H331" i="12"/>
  <c r="F331" i="12"/>
  <c r="E331" i="12"/>
  <c r="J330" i="12"/>
  <c r="I330" i="12"/>
  <c r="H330" i="12"/>
  <c r="F330" i="12"/>
  <c r="E330" i="12"/>
  <c r="J329" i="12"/>
  <c r="I329" i="12"/>
  <c r="H329" i="12"/>
  <c r="F329" i="12"/>
  <c r="E329" i="12"/>
  <c r="J327" i="12"/>
  <c r="I327" i="12"/>
  <c r="H327" i="12"/>
  <c r="F327" i="12"/>
  <c r="E327" i="12"/>
  <c r="J326" i="12"/>
  <c r="I326" i="12"/>
  <c r="H326" i="12"/>
  <c r="F326" i="12"/>
  <c r="E326" i="12"/>
  <c r="J324" i="12"/>
  <c r="I324" i="12"/>
  <c r="H324" i="12"/>
  <c r="F324" i="12"/>
  <c r="E324" i="12"/>
  <c r="I323" i="12"/>
  <c r="K323" i="12" s="1"/>
  <c r="J322" i="12"/>
  <c r="I322" i="12"/>
  <c r="H322" i="12"/>
  <c r="F322" i="12"/>
  <c r="E322" i="12"/>
  <c r="J321" i="12"/>
  <c r="I321" i="12"/>
  <c r="H321" i="12"/>
  <c r="F321" i="12"/>
  <c r="E321" i="12"/>
  <c r="J319" i="12"/>
  <c r="I319" i="12"/>
  <c r="H319" i="12"/>
  <c r="F319" i="12"/>
  <c r="E319" i="12"/>
  <c r="J318" i="12"/>
  <c r="I318" i="12"/>
  <c r="H318" i="12"/>
  <c r="F318" i="12"/>
  <c r="E318" i="12"/>
  <c r="J317" i="12"/>
  <c r="I317" i="12"/>
  <c r="H317" i="12"/>
  <c r="F317" i="12"/>
  <c r="E317" i="12"/>
  <c r="J316" i="12"/>
  <c r="I316" i="12"/>
  <c r="H316" i="12"/>
  <c r="F316" i="12"/>
  <c r="E316" i="12"/>
  <c r="J314" i="12"/>
  <c r="I314" i="12"/>
  <c r="H314" i="12"/>
  <c r="F314" i="12"/>
  <c r="E314" i="12"/>
  <c r="I313" i="12"/>
  <c r="K313" i="12" s="1"/>
  <c r="J312" i="12"/>
  <c r="I312" i="12"/>
  <c r="H312" i="12"/>
  <c r="F312" i="12"/>
  <c r="E312" i="12"/>
  <c r="J311" i="12"/>
  <c r="I311" i="12"/>
  <c r="H311" i="12"/>
  <c r="F311" i="12"/>
  <c r="E311" i="12"/>
  <c r="J309" i="12"/>
  <c r="I309" i="12"/>
  <c r="H309" i="12"/>
  <c r="F309" i="12"/>
  <c r="E309" i="12"/>
  <c r="J308" i="12"/>
  <c r="I308" i="12"/>
  <c r="H308" i="12"/>
  <c r="F308" i="12"/>
  <c r="E308" i="12"/>
  <c r="J307" i="12"/>
  <c r="I307" i="12"/>
  <c r="H307" i="12"/>
  <c r="F307" i="12"/>
  <c r="E307" i="12"/>
  <c r="J305" i="12"/>
  <c r="I305" i="12"/>
  <c r="H305" i="12"/>
  <c r="F305" i="12"/>
  <c r="E305" i="12"/>
  <c r="J304" i="12"/>
  <c r="I304" i="12"/>
  <c r="H304" i="12"/>
  <c r="F304" i="12"/>
  <c r="E304" i="12"/>
  <c r="J303" i="12"/>
  <c r="I303" i="12"/>
  <c r="H303" i="12"/>
  <c r="F303" i="12"/>
  <c r="E303" i="12"/>
  <c r="J301" i="12"/>
  <c r="I301" i="12"/>
  <c r="H301" i="12"/>
  <c r="F301" i="12"/>
  <c r="E301" i="12"/>
  <c r="J300" i="12"/>
  <c r="I300" i="12"/>
  <c r="H300" i="12"/>
  <c r="F300" i="12"/>
  <c r="E300" i="12"/>
  <c r="J298" i="12"/>
  <c r="I298" i="12"/>
  <c r="H298" i="12"/>
  <c r="F298" i="12"/>
  <c r="E298" i="12"/>
  <c r="J297" i="12"/>
  <c r="I297" i="12"/>
  <c r="H297" i="12"/>
  <c r="F297" i="12"/>
  <c r="E297" i="12"/>
  <c r="I295" i="12"/>
  <c r="K295" i="12" s="1"/>
  <c r="J294" i="12"/>
  <c r="I294" i="12"/>
  <c r="H294" i="12"/>
  <c r="F294" i="12"/>
  <c r="E294" i="12"/>
  <c r="J293" i="12"/>
  <c r="I293" i="12"/>
  <c r="H293" i="12"/>
  <c r="F293" i="12"/>
  <c r="E293" i="12"/>
  <c r="J292" i="12"/>
  <c r="I292" i="12"/>
  <c r="H292" i="12"/>
  <c r="F292" i="12"/>
  <c r="E292" i="12"/>
  <c r="J291" i="12"/>
  <c r="I291" i="12"/>
  <c r="H291" i="12"/>
  <c r="F291" i="12"/>
  <c r="E291" i="12"/>
  <c r="J289" i="12"/>
  <c r="I289" i="12"/>
  <c r="J288" i="12"/>
  <c r="I288" i="12"/>
  <c r="H288" i="12"/>
  <c r="F288" i="12"/>
  <c r="E288" i="12"/>
  <c r="J287" i="12"/>
  <c r="I287" i="12"/>
  <c r="H287" i="12"/>
  <c r="F287" i="12"/>
  <c r="E287" i="12"/>
  <c r="J286" i="12"/>
  <c r="I286" i="12"/>
  <c r="H286" i="12"/>
  <c r="F286" i="12"/>
  <c r="E286" i="12"/>
  <c r="J285" i="12"/>
  <c r="I285" i="12"/>
  <c r="H285" i="12"/>
  <c r="F285" i="12"/>
  <c r="E285" i="12"/>
  <c r="J283" i="12"/>
  <c r="I283" i="12"/>
  <c r="H283" i="12"/>
  <c r="F283" i="12"/>
  <c r="E283" i="12"/>
  <c r="J282" i="12"/>
  <c r="I282" i="12"/>
  <c r="H282" i="12"/>
  <c r="F282" i="12"/>
  <c r="E282" i="12"/>
  <c r="J281" i="12"/>
  <c r="I281" i="12"/>
  <c r="H281" i="12"/>
  <c r="F281" i="12"/>
  <c r="E281" i="12"/>
  <c r="J280" i="12"/>
  <c r="I280" i="12"/>
  <c r="H280" i="12"/>
  <c r="F280" i="12"/>
  <c r="E280" i="12"/>
  <c r="J279" i="12"/>
  <c r="I279" i="12"/>
  <c r="H279" i="12"/>
  <c r="F279" i="12"/>
  <c r="E279" i="12"/>
  <c r="J277" i="12"/>
  <c r="I277" i="12"/>
  <c r="H277" i="12"/>
  <c r="F277" i="12"/>
  <c r="E277" i="12"/>
  <c r="J276" i="12"/>
  <c r="I276" i="12"/>
  <c r="H276" i="12"/>
  <c r="F276" i="12"/>
  <c r="E276" i="12"/>
  <c r="J275" i="12"/>
  <c r="I275" i="12"/>
  <c r="H275" i="12"/>
  <c r="F275" i="12"/>
  <c r="E275" i="12"/>
  <c r="J274" i="12"/>
  <c r="I274" i="12"/>
  <c r="H274" i="12"/>
  <c r="F274" i="12"/>
  <c r="E274" i="12"/>
  <c r="J273" i="12"/>
  <c r="I273" i="12"/>
  <c r="H273" i="12"/>
  <c r="F273" i="12"/>
  <c r="E273" i="12"/>
  <c r="J271" i="12"/>
  <c r="I271" i="12"/>
  <c r="H271" i="12"/>
  <c r="F271" i="12"/>
  <c r="E271" i="12"/>
  <c r="J270" i="12"/>
  <c r="I270" i="12"/>
  <c r="H270" i="12"/>
  <c r="F270" i="12"/>
  <c r="E270" i="12"/>
  <c r="J269" i="12"/>
  <c r="I269" i="12"/>
  <c r="H269" i="12"/>
  <c r="F269" i="12"/>
  <c r="E269" i="12"/>
  <c r="J268" i="12"/>
  <c r="I268" i="12"/>
  <c r="H268" i="12"/>
  <c r="F268" i="12"/>
  <c r="E268" i="12"/>
  <c r="J267" i="12"/>
  <c r="I267" i="12"/>
  <c r="H267" i="12"/>
  <c r="F267" i="12"/>
  <c r="E267" i="12"/>
  <c r="J266" i="12"/>
  <c r="I266" i="12"/>
  <c r="H266" i="12"/>
  <c r="F266" i="12"/>
  <c r="E266" i="12"/>
  <c r="J264" i="12"/>
  <c r="I264" i="12"/>
  <c r="H264" i="12"/>
  <c r="F264" i="12"/>
  <c r="E264" i="12"/>
  <c r="J263" i="12"/>
  <c r="I263" i="12"/>
  <c r="H263" i="12"/>
  <c r="F263" i="12"/>
  <c r="E263" i="12"/>
  <c r="J262" i="12"/>
  <c r="I262" i="12"/>
  <c r="H262" i="12"/>
  <c r="F262" i="12"/>
  <c r="E262" i="12"/>
  <c r="J261" i="12"/>
  <c r="I261" i="12"/>
  <c r="H261" i="12"/>
  <c r="F261" i="12"/>
  <c r="E261" i="12"/>
  <c r="J260" i="12"/>
  <c r="I260" i="12"/>
  <c r="H260" i="12"/>
  <c r="F260" i="12"/>
  <c r="E260" i="12"/>
  <c r="J258" i="12"/>
  <c r="I258" i="12"/>
  <c r="H258" i="12"/>
  <c r="F258" i="12"/>
  <c r="E258" i="12"/>
  <c r="J257" i="12"/>
  <c r="I257" i="12"/>
  <c r="H257" i="12"/>
  <c r="F257" i="12"/>
  <c r="E257" i="12"/>
  <c r="J256" i="12"/>
  <c r="I256" i="12"/>
  <c r="H256" i="12"/>
  <c r="F256" i="12"/>
  <c r="E256" i="12"/>
  <c r="J255" i="12"/>
  <c r="I255" i="12"/>
  <c r="H255" i="12"/>
  <c r="F255" i="12"/>
  <c r="E255" i="12"/>
  <c r="J254" i="12"/>
  <c r="I254" i="12"/>
  <c r="H254" i="12"/>
  <c r="F254" i="12"/>
  <c r="E254" i="12"/>
  <c r="J253" i="12"/>
  <c r="I253" i="12"/>
  <c r="H253" i="12"/>
  <c r="F253" i="12"/>
  <c r="E253" i="12"/>
  <c r="J251" i="12"/>
  <c r="I251" i="12"/>
  <c r="H251" i="12"/>
  <c r="F251" i="12"/>
  <c r="E251" i="12"/>
  <c r="J250" i="12"/>
  <c r="I250" i="12"/>
  <c r="H250" i="12"/>
  <c r="F250" i="12"/>
  <c r="E250" i="12"/>
  <c r="J249" i="12"/>
  <c r="I249" i="12"/>
  <c r="H249" i="12"/>
  <c r="F249" i="12"/>
  <c r="E249" i="12"/>
  <c r="J248" i="12"/>
  <c r="I248" i="12"/>
  <c r="H248" i="12"/>
  <c r="F248" i="12"/>
  <c r="E248" i="12"/>
  <c r="J247" i="12"/>
  <c r="I247" i="12"/>
  <c r="H247" i="12"/>
  <c r="F247" i="12"/>
  <c r="E247" i="12"/>
  <c r="J246" i="12"/>
  <c r="I246" i="12"/>
  <c r="H246" i="12"/>
  <c r="F246" i="12"/>
  <c r="E246" i="12"/>
  <c r="J244" i="12"/>
  <c r="I244" i="12"/>
  <c r="H244" i="12"/>
  <c r="F244" i="12"/>
  <c r="E244" i="12"/>
  <c r="J243" i="12"/>
  <c r="I243" i="12"/>
  <c r="H243" i="12"/>
  <c r="F243" i="12"/>
  <c r="E243" i="12"/>
  <c r="J242" i="12"/>
  <c r="I242" i="12"/>
  <c r="H242" i="12"/>
  <c r="F242" i="12"/>
  <c r="E242" i="12"/>
  <c r="J241" i="12"/>
  <c r="I241" i="12"/>
  <c r="H241" i="12"/>
  <c r="F241" i="12"/>
  <c r="E241" i="12"/>
  <c r="J240" i="12"/>
  <c r="I240" i="12"/>
  <c r="H240" i="12"/>
  <c r="F240" i="12"/>
  <c r="E240" i="12"/>
  <c r="J239" i="12"/>
  <c r="I239" i="12"/>
  <c r="H239" i="12"/>
  <c r="F239" i="12"/>
  <c r="E239" i="12"/>
  <c r="J237" i="12"/>
  <c r="I237" i="12"/>
  <c r="H237" i="12"/>
  <c r="F237" i="12"/>
  <c r="E237" i="12"/>
  <c r="J236" i="12"/>
  <c r="I236" i="12"/>
  <c r="H236" i="12"/>
  <c r="F236" i="12"/>
  <c r="E236" i="12"/>
  <c r="J235" i="12"/>
  <c r="I235" i="12"/>
  <c r="H235" i="12"/>
  <c r="F235" i="12"/>
  <c r="E235" i="12"/>
  <c r="J234" i="12"/>
  <c r="I234" i="12"/>
  <c r="H234" i="12"/>
  <c r="F234" i="12"/>
  <c r="E234" i="12"/>
  <c r="J233" i="12"/>
  <c r="I233" i="12"/>
  <c r="H233" i="12"/>
  <c r="F233" i="12"/>
  <c r="E233" i="12"/>
  <c r="J232" i="12"/>
  <c r="I232" i="12"/>
  <c r="H232" i="12"/>
  <c r="F232" i="12"/>
  <c r="E232" i="12"/>
  <c r="J230" i="12"/>
  <c r="I230" i="12"/>
  <c r="H230" i="12"/>
  <c r="F230" i="12"/>
  <c r="E230" i="12"/>
  <c r="J229" i="12"/>
  <c r="I229" i="12"/>
  <c r="H229" i="12"/>
  <c r="F229" i="12"/>
  <c r="E229" i="12"/>
  <c r="J228" i="12"/>
  <c r="I228" i="12"/>
  <c r="H228" i="12"/>
  <c r="F228" i="12"/>
  <c r="E228" i="12"/>
  <c r="J227" i="12"/>
  <c r="I227" i="12"/>
  <c r="H227" i="12"/>
  <c r="F227" i="12"/>
  <c r="E227" i="12"/>
  <c r="J226" i="12"/>
  <c r="I226" i="12"/>
  <c r="H226" i="12"/>
  <c r="F226" i="12"/>
  <c r="E226" i="12"/>
  <c r="J225" i="12"/>
  <c r="I225" i="12"/>
  <c r="H225" i="12"/>
  <c r="F225" i="12"/>
  <c r="E225" i="12"/>
  <c r="J224" i="12"/>
  <c r="I224" i="12"/>
  <c r="H224" i="12"/>
  <c r="F224" i="12"/>
  <c r="E224" i="12"/>
  <c r="J222" i="12"/>
  <c r="I222" i="12"/>
  <c r="H222" i="12"/>
  <c r="F222" i="12"/>
  <c r="E222" i="12"/>
  <c r="J221" i="12"/>
  <c r="I221" i="12"/>
  <c r="H221" i="12"/>
  <c r="F221" i="12"/>
  <c r="E221" i="12"/>
  <c r="J220" i="12"/>
  <c r="I220" i="12"/>
  <c r="H220" i="12"/>
  <c r="F220" i="12"/>
  <c r="E220" i="12"/>
  <c r="J218" i="12"/>
  <c r="I218" i="12"/>
  <c r="H218" i="12"/>
  <c r="F218" i="12"/>
  <c r="E218" i="12"/>
  <c r="J217" i="12"/>
  <c r="I217" i="12"/>
  <c r="H217" i="12"/>
  <c r="F217" i="12"/>
  <c r="E217" i="12"/>
  <c r="J216" i="12"/>
  <c r="I216" i="12"/>
  <c r="H216" i="12"/>
  <c r="F216" i="12"/>
  <c r="E216" i="12"/>
  <c r="J214" i="12"/>
  <c r="I214" i="12"/>
  <c r="H214" i="12"/>
  <c r="F214" i="12"/>
  <c r="E214" i="12"/>
  <c r="J213" i="12"/>
  <c r="I213" i="12"/>
  <c r="H213" i="12"/>
  <c r="F213" i="12"/>
  <c r="E213" i="12"/>
  <c r="J212" i="12"/>
  <c r="I212" i="12"/>
  <c r="H212" i="12"/>
  <c r="F212" i="12"/>
  <c r="E212" i="12"/>
  <c r="J211" i="12"/>
  <c r="I211" i="12"/>
  <c r="H211" i="12"/>
  <c r="F211" i="12"/>
  <c r="E211" i="12"/>
  <c r="J210" i="12"/>
  <c r="I210" i="12"/>
  <c r="H210" i="12"/>
  <c r="F210" i="12"/>
  <c r="E210" i="12"/>
  <c r="J208" i="12"/>
  <c r="I208" i="12"/>
  <c r="H208" i="12"/>
  <c r="F208" i="12"/>
  <c r="E208" i="12"/>
  <c r="J207" i="12"/>
  <c r="I207" i="12"/>
  <c r="H207" i="12"/>
  <c r="F207" i="12"/>
  <c r="E207" i="12"/>
  <c r="J206" i="12"/>
  <c r="I206" i="12"/>
  <c r="H206" i="12"/>
  <c r="F206" i="12"/>
  <c r="E206" i="12"/>
  <c r="J205" i="12"/>
  <c r="I205" i="12"/>
  <c r="H205" i="12"/>
  <c r="F205" i="12"/>
  <c r="E205" i="12"/>
  <c r="J204" i="12"/>
  <c r="I204" i="12"/>
  <c r="H204" i="12"/>
  <c r="F204" i="12"/>
  <c r="E204" i="12"/>
  <c r="J202" i="12"/>
  <c r="I202" i="12"/>
  <c r="H202" i="12"/>
  <c r="F202" i="12"/>
  <c r="E202" i="12"/>
  <c r="J201" i="12"/>
  <c r="I201" i="12"/>
  <c r="H201" i="12"/>
  <c r="F201" i="12"/>
  <c r="E201" i="12"/>
  <c r="J200" i="12"/>
  <c r="I200" i="12"/>
  <c r="H200" i="12"/>
  <c r="F200" i="12"/>
  <c r="E200" i="12"/>
  <c r="J199" i="12"/>
  <c r="I199" i="12"/>
  <c r="H199" i="12"/>
  <c r="F199" i="12"/>
  <c r="E199" i="12"/>
  <c r="J198" i="12"/>
  <c r="I198" i="12"/>
  <c r="H198" i="12"/>
  <c r="F198" i="12"/>
  <c r="E198" i="12"/>
  <c r="J196" i="12"/>
  <c r="I196" i="12"/>
  <c r="H196" i="12"/>
  <c r="F196" i="12"/>
  <c r="E196" i="12"/>
  <c r="J195" i="12"/>
  <c r="I195" i="12"/>
  <c r="H195" i="12"/>
  <c r="F195" i="12"/>
  <c r="E195" i="12"/>
  <c r="J194" i="12"/>
  <c r="I194" i="12"/>
  <c r="H194" i="12"/>
  <c r="F194" i="12"/>
  <c r="E194" i="12"/>
  <c r="J193" i="12"/>
  <c r="I193" i="12"/>
  <c r="H193" i="12"/>
  <c r="F193" i="12"/>
  <c r="E193" i="12"/>
  <c r="J192" i="12"/>
  <c r="I192" i="12"/>
  <c r="H192" i="12"/>
  <c r="F192" i="12"/>
  <c r="E192" i="12"/>
  <c r="J190" i="12"/>
  <c r="I190" i="12"/>
  <c r="H190" i="12"/>
  <c r="F190" i="12"/>
  <c r="E190" i="12"/>
  <c r="J189" i="12"/>
  <c r="I189" i="12"/>
  <c r="H189" i="12"/>
  <c r="F189" i="12"/>
  <c r="E189" i="12"/>
  <c r="J188" i="12"/>
  <c r="I188" i="12"/>
  <c r="H188" i="12"/>
  <c r="F188" i="12"/>
  <c r="E188" i="12"/>
  <c r="J187" i="12"/>
  <c r="I187" i="12"/>
  <c r="H187" i="12"/>
  <c r="F187" i="12"/>
  <c r="E187" i="12"/>
  <c r="J186" i="12"/>
  <c r="I186" i="12"/>
  <c r="H186" i="12"/>
  <c r="F186" i="12"/>
  <c r="E186" i="12"/>
  <c r="J184" i="12"/>
  <c r="I184" i="12"/>
  <c r="H184" i="12"/>
  <c r="F184" i="12"/>
  <c r="E184" i="12"/>
  <c r="J183" i="12"/>
  <c r="I183" i="12"/>
  <c r="H183" i="12"/>
  <c r="F183" i="12"/>
  <c r="E183" i="12"/>
  <c r="J182" i="12"/>
  <c r="I182" i="12"/>
  <c r="H182" i="12"/>
  <c r="F182" i="12"/>
  <c r="E182" i="12"/>
  <c r="J181" i="12"/>
  <c r="I181" i="12"/>
  <c r="H181" i="12"/>
  <c r="F181" i="12"/>
  <c r="E181" i="12"/>
  <c r="J180" i="12"/>
  <c r="I180" i="12"/>
  <c r="H180" i="12"/>
  <c r="F180" i="12"/>
  <c r="E180" i="12"/>
  <c r="I178" i="12"/>
  <c r="K178" i="12" s="1"/>
  <c r="J177" i="12"/>
  <c r="I177" i="12"/>
  <c r="H177" i="12"/>
  <c r="F177" i="12"/>
  <c r="E177" i="12"/>
  <c r="J176" i="12"/>
  <c r="I176" i="12"/>
  <c r="H176" i="12"/>
  <c r="F176" i="12"/>
  <c r="E176" i="12"/>
  <c r="J174" i="12"/>
  <c r="I174" i="12"/>
  <c r="H174" i="12"/>
  <c r="F174" i="12"/>
  <c r="E174" i="12"/>
  <c r="J173" i="12"/>
  <c r="I173" i="12"/>
  <c r="H173" i="12"/>
  <c r="F173" i="12"/>
  <c r="E173" i="12"/>
  <c r="J172" i="12"/>
  <c r="I172" i="12"/>
  <c r="H172" i="12"/>
  <c r="F172" i="12"/>
  <c r="E172" i="12"/>
  <c r="J171" i="12"/>
  <c r="I171" i="12"/>
  <c r="H171" i="12"/>
  <c r="F171" i="12"/>
  <c r="E171" i="12"/>
  <c r="I169" i="12"/>
  <c r="K169" i="12" s="1"/>
  <c r="J168" i="12"/>
  <c r="I168" i="12"/>
  <c r="H168" i="12"/>
  <c r="F168" i="12"/>
  <c r="E168" i="12"/>
  <c r="J167" i="12"/>
  <c r="I167" i="12"/>
  <c r="H167" i="12"/>
  <c r="F167" i="12"/>
  <c r="E167" i="12"/>
  <c r="I165" i="12"/>
  <c r="K165" i="12" s="1"/>
  <c r="J164" i="12"/>
  <c r="I164" i="12"/>
  <c r="H164" i="12"/>
  <c r="F164" i="12"/>
  <c r="E164" i="12"/>
  <c r="J163" i="12"/>
  <c r="I163" i="12"/>
  <c r="H163" i="12"/>
  <c r="F163" i="12"/>
  <c r="E163" i="12"/>
  <c r="I161" i="12"/>
  <c r="K161" i="12" s="1"/>
  <c r="J160" i="12"/>
  <c r="I160" i="12"/>
  <c r="H160" i="12"/>
  <c r="F160" i="12"/>
  <c r="E160" i="12"/>
  <c r="J159" i="12"/>
  <c r="I159" i="12"/>
  <c r="H159" i="12"/>
  <c r="F159" i="12"/>
  <c r="E159" i="12"/>
  <c r="J157" i="12"/>
  <c r="I157" i="12"/>
  <c r="H157" i="12"/>
  <c r="F157" i="12"/>
  <c r="E157" i="12"/>
  <c r="J156" i="12"/>
  <c r="I156" i="12"/>
  <c r="H156" i="12"/>
  <c r="F156" i="12"/>
  <c r="E156" i="12"/>
  <c r="J155" i="12"/>
  <c r="I155" i="12"/>
  <c r="H155" i="12"/>
  <c r="F155" i="12"/>
  <c r="E155" i="12"/>
  <c r="J154" i="12"/>
  <c r="I154" i="12"/>
  <c r="H154" i="12"/>
  <c r="F154" i="12"/>
  <c r="E154" i="12"/>
  <c r="J153" i="12"/>
  <c r="I153" i="12"/>
  <c r="H153" i="12"/>
  <c r="F153" i="12"/>
  <c r="E153" i="12"/>
  <c r="J152" i="12"/>
  <c r="I152" i="12"/>
  <c r="H152" i="12"/>
  <c r="F152" i="12"/>
  <c r="E152" i="12"/>
  <c r="J151" i="12"/>
  <c r="I151" i="12"/>
  <c r="H151" i="12"/>
  <c r="F151" i="12"/>
  <c r="E151" i="12"/>
  <c r="J150" i="12"/>
  <c r="I150" i="12"/>
  <c r="H150" i="12"/>
  <c r="F150" i="12"/>
  <c r="E150" i="12"/>
  <c r="J149" i="12"/>
  <c r="I149" i="12"/>
  <c r="H149" i="12"/>
  <c r="F149" i="12"/>
  <c r="E149" i="12"/>
  <c r="J148" i="12"/>
  <c r="I148" i="12"/>
  <c r="H148" i="12"/>
  <c r="F148" i="12"/>
  <c r="E148" i="12"/>
  <c r="J147" i="12"/>
  <c r="I147" i="12"/>
  <c r="H147" i="12"/>
  <c r="F147" i="12"/>
  <c r="E147" i="12"/>
  <c r="I145" i="12"/>
  <c r="K145" i="12" s="1"/>
  <c r="J144" i="12"/>
  <c r="H85" i="9" s="1"/>
  <c r="J143" i="12"/>
  <c r="I143" i="12"/>
  <c r="H143" i="12"/>
  <c r="F143" i="12"/>
  <c r="E143" i="12"/>
  <c r="J142" i="12"/>
  <c r="I142" i="12"/>
  <c r="H142" i="12"/>
  <c r="F142" i="12"/>
  <c r="E142" i="12"/>
  <c r="J141" i="12"/>
  <c r="I141" i="12"/>
  <c r="H141" i="12"/>
  <c r="F141" i="12"/>
  <c r="E141" i="12"/>
  <c r="J139" i="12"/>
  <c r="I139" i="12"/>
  <c r="H139" i="12"/>
  <c r="F139" i="12"/>
  <c r="E139" i="12"/>
  <c r="J138" i="12"/>
  <c r="I138" i="12"/>
  <c r="H138" i="12"/>
  <c r="F138" i="12"/>
  <c r="E138" i="12"/>
  <c r="J137" i="12"/>
  <c r="I137" i="12"/>
  <c r="H137" i="12"/>
  <c r="F137" i="12"/>
  <c r="E137" i="12"/>
  <c r="J136" i="12"/>
  <c r="I136" i="12"/>
  <c r="H136" i="12"/>
  <c r="F136" i="12"/>
  <c r="E136" i="12"/>
  <c r="J135" i="12"/>
  <c r="I135" i="12"/>
  <c r="H135" i="12"/>
  <c r="F135" i="12"/>
  <c r="E135" i="12"/>
  <c r="J133" i="12"/>
  <c r="I133" i="12"/>
  <c r="H133" i="12"/>
  <c r="F133" i="12"/>
  <c r="E133" i="12"/>
  <c r="J132" i="12"/>
  <c r="I132" i="12"/>
  <c r="H132" i="12"/>
  <c r="F132" i="12"/>
  <c r="E132" i="12"/>
  <c r="J131" i="12"/>
  <c r="I131" i="12"/>
  <c r="H131" i="12"/>
  <c r="F131" i="12"/>
  <c r="E131" i="12"/>
  <c r="J130" i="12"/>
  <c r="I130" i="12"/>
  <c r="H130" i="12"/>
  <c r="F130" i="12"/>
  <c r="E130" i="12"/>
  <c r="J129" i="12"/>
  <c r="I129" i="12"/>
  <c r="H129" i="12"/>
  <c r="F129" i="12"/>
  <c r="E129" i="12"/>
  <c r="J128" i="12"/>
  <c r="I128" i="12"/>
  <c r="H128" i="12"/>
  <c r="F128" i="12"/>
  <c r="E128" i="12"/>
  <c r="J127" i="12"/>
  <c r="I127" i="12"/>
  <c r="H127" i="12"/>
  <c r="F127" i="12"/>
  <c r="E127" i="12"/>
  <c r="J125" i="12"/>
  <c r="I125" i="12"/>
  <c r="H125" i="12"/>
  <c r="F125" i="12"/>
  <c r="E125" i="12"/>
  <c r="J124" i="12"/>
  <c r="I124" i="12"/>
  <c r="H124" i="12"/>
  <c r="F124" i="12"/>
  <c r="E124" i="12"/>
  <c r="I122" i="12"/>
  <c r="K122" i="12" s="1"/>
  <c r="J121" i="12"/>
  <c r="I121" i="12"/>
  <c r="H121" i="12"/>
  <c r="F121" i="12"/>
  <c r="E121" i="12"/>
  <c r="J120" i="12"/>
  <c r="I120" i="12"/>
  <c r="H120" i="12"/>
  <c r="F120" i="12"/>
  <c r="E120" i="12"/>
  <c r="J118" i="12"/>
  <c r="I118" i="12"/>
  <c r="H118" i="12"/>
  <c r="F118" i="12"/>
  <c r="E118" i="12"/>
  <c r="J117" i="12"/>
  <c r="I117" i="12"/>
  <c r="H117" i="12"/>
  <c r="F117" i="12"/>
  <c r="E117" i="12"/>
  <c r="J116" i="12"/>
  <c r="I116" i="12"/>
  <c r="H116" i="12"/>
  <c r="F116" i="12"/>
  <c r="E116" i="12"/>
  <c r="I115" i="12"/>
  <c r="K115" i="12" s="1"/>
  <c r="J114" i="12"/>
  <c r="I114" i="12"/>
  <c r="H114" i="12"/>
  <c r="F114" i="12"/>
  <c r="E114" i="12"/>
  <c r="J113" i="12"/>
  <c r="I113" i="12"/>
  <c r="H113" i="12"/>
  <c r="F113" i="12"/>
  <c r="E113" i="12"/>
  <c r="J112" i="12"/>
  <c r="I112" i="12"/>
  <c r="H112" i="12"/>
  <c r="F112" i="12"/>
  <c r="E112" i="12"/>
  <c r="J111" i="12"/>
  <c r="I111" i="12"/>
  <c r="H111" i="12"/>
  <c r="F111" i="12"/>
  <c r="E111" i="12"/>
  <c r="J109" i="12"/>
  <c r="I109" i="12"/>
  <c r="H109" i="12"/>
  <c r="F109" i="12"/>
  <c r="E109" i="12"/>
  <c r="J108" i="12"/>
  <c r="I108" i="12"/>
  <c r="H108" i="12"/>
  <c r="F108" i="12"/>
  <c r="E108" i="12"/>
  <c r="J107" i="12"/>
  <c r="I107" i="12"/>
  <c r="H107" i="12"/>
  <c r="F107" i="12"/>
  <c r="E107" i="12"/>
  <c r="I106" i="12"/>
  <c r="K106" i="12" s="1"/>
  <c r="J105" i="12"/>
  <c r="I105" i="12"/>
  <c r="H105" i="12"/>
  <c r="F105" i="12"/>
  <c r="E105" i="12"/>
  <c r="J104" i="12"/>
  <c r="I104" i="12"/>
  <c r="H104" i="12"/>
  <c r="F104" i="12"/>
  <c r="E104" i="12"/>
  <c r="J103" i="12"/>
  <c r="I103" i="12"/>
  <c r="H103" i="12"/>
  <c r="F103" i="12"/>
  <c r="E103" i="12"/>
  <c r="J102" i="12"/>
  <c r="I102" i="12"/>
  <c r="H102" i="12"/>
  <c r="F102" i="12"/>
  <c r="E102" i="12"/>
  <c r="J100" i="12"/>
  <c r="I100" i="12"/>
  <c r="H100" i="12"/>
  <c r="F100" i="12"/>
  <c r="E100" i="12"/>
  <c r="J99" i="12"/>
  <c r="I99" i="12"/>
  <c r="H99" i="12"/>
  <c r="F99" i="12"/>
  <c r="E99" i="12"/>
  <c r="J98" i="12"/>
  <c r="I98" i="12"/>
  <c r="H98" i="12"/>
  <c r="F98" i="12"/>
  <c r="E98" i="12"/>
  <c r="J97" i="12"/>
  <c r="I97" i="12"/>
  <c r="H97" i="12"/>
  <c r="F97" i="12"/>
  <c r="E97" i="12"/>
  <c r="J96" i="12"/>
  <c r="I96" i="12"/>
  <c r="H96" i="12"/>
  <c r="F96" i="12"/>
  <c r="E96" i="12"/>
  <c r="J95" i="12"/>
  <c r="I95" i="12"/>
  <c r="H95" i="12"/>
  <c r="F95" i="12"/>
  <c r="E95" i="12"/>
  <c r="J94" i="12"/>
  <c r="I94" i="12"/>
  <c r="H94" i="12"/>
  <c r="F94" i="12"/>
  <c r="E94" i="12"/>
  <c r="I92" i="12"/>
  <c r="J91" i="12"/>
  <c r="J90" i="12" s="1"/>
  <c r="I91" i="12"/>
  <c r="H91" i="12"/>
  <c r="F91" i="12"/>
  <c r="E91" i="12"/>
  <c r="J89" i="12"/>
  <c r="I89" i="12"/>
  <c r="H89" i="12"/>
  <c r="F89" i="12"/>
  <c r="E89" i="12"/>
  <c r="J88" i="12"/>
  <c r="I88" i="12"/>
  <c r="H88" i="12"/>
  <c r="F88" i="12"/>
  <c r="E88" i="12"/>
  <c r="J86" i="12"/>
  <c r="I86" i="12"/>
  <c r="H86" i="12"/>
  <c r="F86" i="12"/>
  <c r="E86" i="12"/>
  <c r="J85" i="12"/>
  <c r="I85" i="12"/>
  <c r="H85" i="12"/>
  <c r="F85" i="12"/>
  <c r="E85" i="12"/>
  <c r="I84" i="12"/>
  <c r="K84" i="12" s="1"/>
  <c r="H84" i="12"/>
  <c r="F84" i="12"/>
  <c r="E84" i="12"/>
  <c r="J83" i="12"/>
  <c r="I83" i="12"/>
  <c r="H83" i="12"/>
  <c r="F83" i="12"/>
  <c r="E83" i="12"/>
  <c r="J82" i="12"/>
  <c r="I82" i="12"/>
  <c r="H82" i="12"/>
  <c r="F82" i="12"/>
  <c r="E82" i="12"/>
  <c r="J81" i="12"/>
  <c r="I81" i="12"/>
  <c r="H81" i="12"/>
  <c r="F81" i="12"/>
  <c r="E81" i="12"/>
  <c r="J80" i="12"/>
  <c r="I80" i="12"/>
  <c r="H80" i="12"/>
  <c r="F80" i="12"/>
  <c r="E80" i="12"/>
  <c r="J79" i="12"/>
  <c r="I79" i="12"/>
  <c r="H79" i="12"/>
  <c r="F79" i="12"/>
  <c r="E79" i="12"/>
  <c r="J77" i="12"/>
  <c r="I77" i="12"/>
  <c r="H77" i="12"/>
  <c r="F77" i="12"/>
  <c r="E77" i="12"/>
  <c r="J76" i="12"/>
  <c r="I76" i="12"/>
  <c r="H76" i="12"/>
  <c r="F76" i="12"/>
  <c r="E76" i="12"/>
  <c r="J75" i="12"/>
  <c r="I75" i="12"/>
  <c r="H75" i="12"/>
  <c r="F75" i="12"/>
  <c r="E75" i="12"/>
  <c r="J74" i="12"/>
  <c r="I74" i="12"/>
  <c r="H74" i="12"/>
  <c r="F74" i="12"/>
  <c r="E74" i="12"/>
  <c r="I73" i="12"/>
  <c r="K73" i="12" s="1"/>
  <c r="J71" i="12"/>
  <c r="I71" i="12"/>
  <c r="H71" i="12"/>
  <c r="F71" i="12"/>
  <c r="E71" i="12"/>
  <c r="J70" i="12"/>
  <c r="I70" i="12"/>
  <c r="H70" i="12"/>
  <c r="F70" i="12"/>
  <c r="E70" i="12"/>
  <c r="J69" i="12"/>
  <c r="I69" i="12"/>
  <c r="H69" i="12"/>
  <c r="F69" i="12"/>
  <c r="E69" i="12"/>
  <c r="I68" i="12"/>
  <c r="H68" i="12"/>
  <c r="F68" i="12"/>
  <c r="E68" i="12"/>
  <c r="J66" i="12"/>
  <c r="I66" i="12"/>
  <c r="H66" i="12"/>
  <c r="F66" i="12"/>
  <c r="E66" i="12"/>
  <c r="J65" i="12"/>
  <c r="I65" i="12"/>
  <c r="H65" i="12"/>
  <c r="F65" i="12"/>
  <c r="E65" i="12"/>
  <c r="J64" i="12"/>
  <c r="I64" i="12"/>
  <c r="H64" i="12"/>
  <c r="F64" i="12"/>
  <c r="E64" i="12"/>
  <c r="J62" i="12"/>
  <c r="I62" i="12"/>
  <c r="H62" i="12"/>
  <c r="F62" i="12"/>
  <c r="E62" i="12"/>
  <c r="J61" i="12"/>
  <c r="I61" i="12"/>
  <c r="H61" i="12"/>
  <c r="F61" i="12"/>
  <c r="E61" i="12"/>
  <c r="J60" i="12"/>
  <c r="I60" i="12"/>
  <c r="H60" i="12"/>
  <c r="F60" i="12"/>
  <c r="E60" i="12"/>
  <c r="J59" i="12"/>
  <c r="I59" i="12"/>
  <c r="H59" i="12"/>
  <c r="F59" i="12"/>
  <c r="E59" i="12"/>
  <c r="J58" i="12"/>
  <c r="I58" i="12"/>
  <c r="H58" i="12"/>
  <c r="F58" i="12"/>
  <c r="E58" i="12"/>
  <c r="J56" i="12"/>
  <c r="I56" i="12"/>
  <c r="H56" i="12"/>
  <c r="F56" i="12"/>
  <c r="E56" i="12"/>
  <c r="J55" i="12"/>
  <c r="I55" i="12"/>
  <c r="H55" i="12"/>
  <c r="F55" i="12"/>
  <c r="E55" i="12"/>
  <c r="J54" i="12"/>
  <c r="I54" i="12"/>
  <c r="H54" i="12"/>
  <c r="F54" i="12"/>
  <c r="E54" i="12"/>
  <c r="J53" i="12"/>
  <c r="I53" i="12"/>
  <c r="H53" i="12"/>
  <c r="F53" i="12"/>
  <c r="E53" i="12"/>
  <c r="I51" i="12"/>
  <c r="K51" i="12" s="1"/>
  <c r="J50" i="12"/>
  <c r="J49" i="12"/>
  <c r="I49" i="12"/>
  <c r="H49" i="12"/>
  <c r="F49" i="12"/>
  <c r="E49" i="12"/>
  <c r="I48" i="12"/>
  <c r="K48" i="12" s="1"/>
  <c r="H48" i="12"/>
  <c r="F48" i="12"/>
  <c r="E48" i="12"/>
  <c r="J47" i="12"/>
  <c r="I47" i="12"/>
  <c r="H47" i="12"/>
  <c r="F47" i="12"/>
  <c r="E47" i="12"/>
  <c r="J46" i="12"/>
  <c r="I46" i="12"/>
  <c r="H46" i="12"/>
  <c r="F46" i="12"/>
  <c r="E46" i="12"/>
  <c r="J45" i="12"/>
  <c r="I45" i="12"/>
  <c r="H45" i="12"/>
  <c r="F45" i="12"/>
  <c r="E45" i="12"/>
  <c r="J44" i="12"/>
  <c r="I44" i="12"/>
  <c r="H44" i="12"/>
  <c r="F44" i="12"/>
  <c r="E44" i="12"/>
  <c r="J43" i="12"/>
  <c r="I43" i="12"/>
  <c r="H43" i="12"/>
  <c r="F43" i="12"/>
  <c r="E43" i="12"/>
  <c r="J41" i="12"/>
  <c r="I41" i="12"/>
  <c r="H41" i="12"/>
  <c r="F41" i="12"/>
  <c r="E41" i="12"/>
  <c r="J40" i="12"/>
  <c r="I40" i="12"/>
  <c r="H40" i="12"/>
  <c r="F40" i="12"/>
  <c r="E40" i="12"/>
  <c r="J39" i="12"/>
  <c r="I39" i="12"/>
  <c r="H39" i="12"/>
  <c r="F39" i="12"/>
  <c r="E39" i="12"/>
  <c r="J38" i="12"/>
  <c r="I38" i="12"/>
  <c r="H38" i="12"/>
  <c r="F38" i="12"/>
  <c r="E38" i="12"/>
  <c r="J37" i="12"/>
  <c r="I37" i="12"/>
  <c r="H37" i="12"/>
  <c r="F37" i="12"/>
  <c r="E37" i="12"/>
  <c r="J36" i="12"/>
  <c r="I36" i="12"/>
  <c r="H36" i="12"/>
  <c r="F36" i="12"/>
  <c r="E36" i="12"/>
  <c r="J35" i="12"/>
  <c r="I35" i="12"/>
  <c r="H35" i="12"/>
  <c r="F35" i="12"/>
  <c r="E35" i="12"/>
  <c r="J33" i="12"/>
  <c r="I33" i="12"/>
  <c r="H33" i="12"/>
  <c r="F33" i="12"/>
  <c r="E33" i="12"/>
  <c r="J32" i="12"/>
  <c r="I32" i="12"/>
  <c r="H32" i="12"/>
  <c r="F32" i="12"/>
  <c r="E32" i="12"/>
  <c r="J31" i="12"/>
  <c r="I31" i="12"/>
  <c r="H31" i="12"/>
  <c r="F31" i="12"/>
  <c r="E31" i="12"/>
  <c r="J30" i="12"/>
  <c r="I30" i="12"/>
  <c r="H30" i="12"/>
  <c r="F30" i="12"/>
  <c r="E30" i="12"/>
  <c r="J29" i="12"/>
  <c r="I29" i="12"/>
  <c r="H29" i="12"/>
  <c r="F29" i="12"/>
  <c r="E29" i="12"/>
  <c r="I27" i="12"/>
  <c r="K27" i="12" s="1"/>
  <c r="J26" i="12"/>
  <c r="K182" i="7" s="1"/>
  <c r="N182" i="7" s="1"/>
  <c r="J25" i="12"/>
  <c r="I25" i="12"/>
  <c r="H25" i="12"/>
  <c r="F25" i="12"/>
  <c r="E25" i="12"/>
  <c r="J24" i="12"/>
  <c r="I24" i="12"/>
  <c r="H24" i="12"/>
  <c r="F24" i="12"/>
  <c r="E24" i="12"/>
  <c r="J23" i="12"/>
  <c r="I23" i="12"/>
  <c r="H23" i="12"/>
  <c r="F23" i="12"/>
  <c r="E23" i="12"/>
  <c r="J21" i="12"/>
  <c r="I21" i="12"/>
  <c r="H21" i="12"/>
  <c r="F21" i="12"/>
  <c r="E21" i="12"/>
  <c r="J20" i="12"/>
  <c r="I20" i="12"/>
  <c r="H20" i="12"/>
  <c r="F20" i="12"/>
  <c r="E20" i="12"/>
  <c r="J19" i="12"/>
  <c r="I19" i="12"/>
  <c r="H19" i="12"/>
  <c r="F19" i="12"/>
  <c r="E19" i="12"/>
  <c r="I18" i="12"/>
  <c r="K18" i="12" s="1"/>
  <c r="I17" i="12"/>
  <c r="K17" i="12" s="1"/>
  <c r="J16" i="12"/>
  <c r="I16" i="12"/>
  <c r="H16" i="12"/>
  <c r="F16" i="12"/>
  <c r="E16" i="12"/>
  <c r="J14" i="12"/>
  <c r="I14" i="12"/>
  <c r="H14" i="12"/>
  <c r="F14" i="12"/>
  <c r="E14" i="12"/>
  <c r="J13" i="12"/>
  <c r="I13" i="12"/>
  <c r="H13" i="12"/>
  <c r="F13" i="12"/>
  <c r="E13" i="12"/>
  <c r="J12" i="12"/>
  <c r="I12" i="12"/>
  <c r="H12" i="12"/>
  <c r="F12" i="12"/>
  <c r="E12" i="12"/>
  <c r="J11" i="12"/>
  <c r="I11" i="12"/>
  <c r="H11" i="12"/>
  <c r="F11" i="12"/>
  <c r="E11" i="12"/>
  <c r="K4" i="12"/>
  <c r="G4" i="12"/>
  <c r="K3" i="12"/>
  <c r="G3" i="12"/>
  <c r="G2" i="12"/>
  <c r="AA57" i="11"/>
  <c r="Y57" i="11"/>
  <c r="AE50" i="11"/>
  <c r="AE47" i="11"/>
  <c r="AE46" i="11"/>
  <c r="AE45" i="11"/>
  <c r="AE44" i="11"/>
  <c r="AE43" i="11"/>
  <c r="AE42" i="11"/>
  <c r="AE41" i="11"/>
  <c r="AE39" i="11"/>
  <c r="AE38" i="11"/>
  <c r="AE37" i="11"/>
  <c r="AE36" i="11"/>
  <c r="AE35" i="11"/>
  <c r="AE34" i="11"/>
  <c r="AE33" i="11"/>
  <c r="AE31" i="11"/>
  <c r="B31" i="11"/>
  <c r="V31" i="11" s="1"/>
  <c r="AE28" i="11"/>
  <c r="AE27" i="11"/>
  <c r="AE26" i="11"/>
  <c r="AE25" i="11"/>
  <c r="AE24" i="11"/>
  <c r="AE23" i="11"/>
  <c r="AE22" i="11"/>
  <c r="AE21" i="11"/>
  <c r="AE20" i="11"/>
  <c r="AE19" i="11"/>
  <c r="AE18" i="11"/>
  <c r="AE17" i="11"/>
  <c r="AE16" i="11"/>
  <c r="AE15" i="11"/>
  <c r="AE14" i="11"/>
  <c r="AC6" i="11"/>
  <c r="AC5" i="11"/>
  <c r="Q5" i="11"/>
  <c r="AC4" i="11"/>
  <c r="U18" i="10"/>
  <c r="S17" i="10"/>
  <c r="U17" i="10" s="1"/>
  <c r="U16" i="10"/>
  <c r="U19" i="10" s="1"/>
  <c r="S16" i="10"/>
  <c r="U15" i="10"/>
  <c r="U14" i="10"/>
  <c r="U9" i="10"/>
  <c r="S9" i="10"/>
  <c r="U8" i="10"/>
  <c r="S8" i="10"/>
  <c r="U7" i="10"/>
  <c r="U6" i="10"/>
  <c r="U5" i="10"/>
  <c r="S4" i="10"/>
  <c r="U4" i="10" s="1"/>
  <c r="U3" i="10"/>
  <c r="E474" i="9"/>
  <c r="D474" i="9"/>
  <c r="E598" i="9"/>
  <c r="D598" i="9"/>
  <c r="E762" i="9"/>
  <c r="D762" i="9"/>
  <c r="H707" i="9"/>
  <c r="G707" i="9"/>
  <c r="E707" i="9"/>
  <c r="D707" i="9"/>
  <c r="E704" i="9"/>
  <c r="D704" i="9"/>
  <c r="E381" i="9"/>
  <c r="D381" i="9"/>
  <c r="E409" i="9"/>
  <c r="D409" i="9"/>
  <c r="E505" i="9"/>
  <c r="D505" i="9"/>
  <c r="E663" i="9"/>
  <c r="D663" i="9"/>
  <c r="E434" i="9"/>
  <c r="D434" i="9"/>
  <c r="E615" i="9"/>
  <c r="D615" i="9"/>
  <c r="E587" i="9"/>
  <c r="D587" i="9"/>
  <c r="E78" i="9"/>
  <c r="D78" i="9"/>
  <c r="E624" i="9"/>
  <c r="D624" i="9"/>
  <c r="E264" i="9"/>
  <c r="D264" i="9"/>
  <c r="E744" i="9"/>
  <c r="D744" i="9"/>
  <c r="E101" i="9"/>
  <c r="D101" i="9"/>
  <c r="H23" i="9"/>
  <c r="G23" i="9"/>
  <c r="E23" i="9"/>
  <c r="D23" i="9"/>
  <c r="E253" i="9"/>
  <c r="D253" i="9"/>
  <c r="E652" i="9"/>
  <c r="D652" i="9"/>
  <c r="E481" i="9"/>
  <c r="D481" i="9"/>
  <c r="H376" i="9"/>
  <c r="G376" i="9"/>
  <c r="E376" i="9"/>
  <c r="D376" i="9"/>
  <c r="E231" i="9"/>
  <c r="D231" i="9"/>
  <c r="E780" i="9"/>
  <c r="D780" i="9"/>
  <c r="E423" i="9"/>
  <c r="D423" i="9"/>
  <c r="E697" i="9"/>
  <c r="D697" i="9"/>
  <c r="E595" i="9"/>
  <c r="D595" i="9"/>
  <c r="H274" i="9"/>
  <c r="G274" i="9"/>
  <c r="E274" i="9"/>
  <c r="D274" i="9"/>
  <c r="E683" i="9"/>
  <c r="D683" i="9"/>
  <c r="E384" i="9"/>
  <c r="D384" i="9"/>
  <c r="E39" i="9"/>
  <c r="D39" i="9"/>
  <c r="H491" i="9"/>
  <c r="G491" i="9"/>
  <c r="E491" i="9"/>
  <c r="D491" i="9"/>
  <c r="E473" i="9"/>
  <c r="D473" i="9"/>
  <c r="E359" i="9"/>
  <c r="D359" i="9"/>
  <c r="E596" i="9"/>
  <c r="D596" i="9"/>
  <c r="E197" i="9"/>
  <c r="D197" i="9"/>
  <c r="E686" i="9"/>
  <c r="D686" i="9"/>
  <c r="E489" i="9"/>
  <c r="D489" i="9"/>
  <c r="E769" i="9"/>
  <c r="D769" i="9"/>
  <c r="E183" i="9"/>
  <c r="D183" i="9"/>
  <c r="E601" i="9"/>
  <c r="D601" i="9"/>
  <c r="E240" i="9"/>
  <c r="D240" i="9"/>
  <c r="H366" i="9"/>
  <c r="G366" i="9"/>
  <c r="E366" i="9"/>
  <c r="D366" i="9"/>
  <c r="E664" i="9"/>
  <c r="D664" i="9"/>
  <c r="E156" i="9"/>
  <c r="D156" i="9"/>
  <c r="E797" i="9"/>
  <c r="D797" i="9"/>
  <c r="E141" i="9"/>
  <c r="D141" i="9"/>
  <c r="E693" i="9"/>
  <c r="D693" i="9"/>
  <c r="E87" i="9"/>
  <c r="D87" i="9"/>
  <c r="E725" i="9"/>
  <c r="D725" i="9"/>
  <c r="E114" i="9"/>
  <c r="D114" i="9"/>
  <c r="E440" i="9"/>
  <c r="D440" i="9"/>
  <c r="E655" i="9"/>
  <c r="D655" i="9"/>
  <c r="E495" i="9"/>
  <c r="D495" i="9"/>
  <c r="E356" i="9"/>
  <c r="D356" i="9"/>
  <c r="E96" i="9"/>
  <c r="D96" i="9"/>
  <c r="E146" i="9"/>
  <c r="D146" i="9"/>
  <c r="E796" i="9"/>
  <c r="D796" i="9"/>
  <c r="E577" i="9"/>
  <c r="D577" i="9"/>
  <c r="E685" i="9"/>
  <c r="D685" i="9"/>
  <c r="E644" i="9"/>
  <c r="D644" i="9"/>
  <c r="E326" i="9"/>
  <c r="D326" i="9"/>
  <c r="E628" i="9"/>
  <c r="D628" i="9"/>
  <c r="H478" i="9"/>
  <c r="G478" i="9"/>
  <c r="E478" i="9"/>
  <c r="D478" i="9"/>
  <c r="E169" i="9"/>
  <c r="D169" i="9"/>
  <c r="E319" i="9"/>
  <c r="D319" i="9"/>
  <c r="E759" i="9"/>
  <c r="D759" i="9"/>
  <c r="E295" i="9"/>
  <c r="D295" i="9"/>
  <c r="E136" i="9"/>
  <c r="D136" i="9"/>
  <c r="E691" i="9"/>
  <c r="D691" i="9"/>
  <c r="E593" i="9"/>
  <c r="D593" i="9"/>
  <c r="E172" i="9"/>
  <c r="D172" i="9"/>
  <c r="E802" i="9"/>
  <c r="D802" i="9"/>
  <c r="E480" i="9"/>
  <c r="D480" i="9"/>
  <c r="E609" i="9"/>
  <c r="D609" i="9"/>
  <c r="E249" i="9"/>
  <c r="D249" i="9"/>
  <c r="E76" i="9"/>
  <c r="D76" i="9"/>
  <c r="E113" i="9"/>
  <c r="D113" i="9"/>
  <c r="E314" i="9"/>
  <c r="D314" i="9"/>
  <c r="E165" i="9"/>
  <c r="D165" i="9"/>
  <c r="H107" i="9"/>
  <c r="G107" i="9"/>
  <c r="E107" i="9"/>
  <c r="D107" i="9"/>
  <c r="E292" i="9"/>
  <c r="D292" i="9"/>
  <c r="E509" i="9"/>
  <c r="D509" i="9"/>
  <c r="E25" i="9"/>
  <c r="D25" i="9"/>
  <c r="E591" i="9"/>
  <c r="D591" i="9"/>
  <c r="E248" i="9"/>
  <c r="D248" i="9"/>
  <c r="E746" i="9"/>
  <c r="D746" i="9"/>
  <c r="E696" i="9"/>
  <c r="D696" i="9"/>
  <c r="E782" i="9"/>
  <c r="D782" i="9"/>
  <c r="E426" i="9"/>
  <c r="D426" i="9"/>
  <c r="E209" i="9"/>
  <c r="D209" i="9"/>
  <c r="E476" i="9"/>
  <c r="D476" i="9"/>
  <c r="H653" i="9"/>
  <c r="G653" i="9"/>
  <c r="E653" i="9"/>
  <c r="D653" i="9"/>
  <c r="E571" i="9"/>
  <c r="D571" i="9"/>
  <c r="H61" i="9"/>
  <c r="G61" i="9"/>
  <c r="E61" i="9"/>
  <c r="D61" i="9"/>
  <c r="E603" i="9"/>
  <c r="D603" i="9"/>
  <c r="E419" i="9"/>
  <c r="D419" i="9"/>
  <c r="E789" i="9"/>
  <c r="D789" i="9"/>
  <c r="E16" i="9"/>
  <c r="D16" i="9"/>
  <c r="E748" i="9"/>
  <c r="D748" i="9"/>
  <c r="E445" i="9"/>
  <c r="D445" i="9"/>
  <c r="E385" i="9"/>
  <c r="D385" i="9"/>
  <c r="E140" i="9"/>
  <c r="D140" i="9"/>
  <c r="E171" i="9"/>
  <c r="D171" i="9"/>
  <c r="E191" i="9"/>
  <c r="D191" i="9"/>
  <c r="E109" i="9"/>
  <c r="D109" i="9"/>
  <c r="E106" i="9"/>
  <c r="D106" i="9"/>
  <c r="E74" i="9"/>
  <c r="D74" i="9"/>
  <c r="E279" i="9"/>
  <c r="D279" i="9"/>
  <c r="E163" i="9"/>
  <c r="D163" i="9"/>
  <c r="E507" i="9"/>
  <c r="D507" i="9"/>
  <c r="E50" i="9"/>
  <c r="D50" i="9"/>
  <c r="E627" i="9"/>
  <c r="D627" i="9"/>
  <c r="E454" i="9"/>
  <c r="D454" i="9"/>
  <c r="E228" i="9"/>
  <c r="D228" i="9"/>
  <c r="H785" i="9"/>
  <c r="G785" i="9"/>
  <c r="E785" i="9"/>
  <c r="D785" i="9"/>
  <c r="E22" i="9"/>
  <c r="D22" i="9"/>
  <c r="E770" i="9"/>
  <c r="D770" i="9"/>
  <c r="E675" i="9"/>
  <c r="D675" i="9"/>
  <c r="E354" i="9"/>
  <c r="D354" i="9"/>
  <c r="E672" i="9"/>
  <c r="D672" i="9"/>
  <c r="E65" i="9"/>
  <c r="D65" i="9"/>
  <c r="E86" i="9"/>
  <c r="D86" i="9"/>
  <c r="E415" i="9"/>
  <c r="D415" i="9"/>
  <c r="E135" i="9"/>
  <c r="D135" i="9"/>
  <c r="E19" i="9"/>
  <c r="D19" i="9"/>
  <c r="H756" i="9"/>
  <c r="G756" i="9"/>
  <c r="E756" i="9"/>
  <c r="D756" i="9"/>
  <c r="E401" i="9"/>
  <c r="D401" i="9"/>
  <c r="H285" i="9"/>
  <c r="G285" i="9"/>
  <c r="E285" i="9"/>
  <c r="D285" i="9"/>
  <c r="E110" i="9"/>
  <c r="D110" i="9"/>
  <c r="E622" i="9"/>
  <c r="D622" i="9"/>
  <c r="E682" i="9"/>
  <c r="D682" i="9"/>
  <c r="E515" i="9"/>
  <c r="D515" i="9"/>
  <c r="E650" i="9"/>
  <c r="D650" i="9"/>
  <c r="E714" i="9"/>
  <c r="D714" i="9"/>
  <c r="E486" i="9"/>
  <c r="D486" i="9"/>
  <c r="E263" i="9"/>
  <c r="D263" i="9"/>
  <c r="H73" i="9"/>
  <c r="G73" i="9"/>
  <c r="E73" i="9"/>
  <c r="D73" i="9"/>
  <c r="E405" i="9"/>
  <c r="D405" i="9"/>
  <c r="E666" i="9"/>
  <c r="D666" i="9"/>
  <c r="E265" i="9"/>
  <c r="D265" i="9"/>
  <c r="E11" i="9"/>
  <c r="D11" i="9"/>
  <c r="E537" i="9"/>
  <c r="D537" i="9"/>
  <c r="E157" i="9"/>
  <c r="D157" i="9"/>
  <c r="E722" i="9"/>
  <c r="D722" i="9"/>
  <c r="E246" i="9"/>
  <c r="D246" i="9"/>
  <c r="E293" i="9"/>
  <c r="D293" i="9"/>
  <c r="E81" i="9"/>
  <c r="D81" i="9"/>
  <c r="E241" i="9"/>
  <c r="D241" i="9"/>
  <c r="E201" i="9"/>
  <c r="D201" i="9"/>
  <c r="E557" i="9"/>
  <c r="D557" i="9"/>
  <c r="E304" i="9"/>
  <c r="D304" i="9"/>
  <c r="E251" i="9"/>
  <c r="D251" i="9"/>
  <c r="E333" i="9"/>
  <c r="D333" i="9"/>
  <c r="H713" i="9"/>
  <c r="G713" i="9"/>
  <c r="E713" i="9"/>
  <c r="D713" i="9"/>
  <c r="E297" i="9"/>
  <c r="D297" i="9"/>
  <c r="E560" i="9"/>
  <c r="D560" i="9"/>
  <c r="E416" i="9"/>
  <c r="D416" i="9"/>
  <c r="E618" i="9"/>
  <c r="D618" i="9"/>
  <c r="E611" i="9"/>
  <c r="D611" i="9"/>
  <c r="E351" i="9"/>
  <c r="D351" i="9"/>
  <c r="E542" i="9"/>
  <c r="D542" i="9"/>
  <c r="E408" i="9"/>
  <c r="D408" i="9"/>
  <c r="E519" i="9"/>
  <c r="D519" i="9"/>
  <c r="E422" i="9"/>
  <c r="D422" i="9"/>
  <c r="E83" i="9"/>
  <c r="D83" i="9"/>
  <c r="H430" i="9"/>
  <c r="G430" i="9"/>
  <c r="E430" i="9"/>
  <c r="D430" i="9"/>
  <c r="E742" i="9"/>
  <c r="D742" i="9"/>
  <c r="E710" i="9"/>
  <c r="D710" i="9"/>
  <c r="E214" i="9"/>
  <c r="D214" i="9"/>
  <c r="E166" i="9"/>
  <c r="D166" i="9"/>
  <c r="H517" i="9"/>
  <c r="G517" i="9"/>
  <c r="E517" i="9"/>
  <c r="D517" i="9"/>
  <c r="E684" i="9"/>
  <c r="D684" i="9"/>
  <c r="E160" i="9"/>
  <c r="D160" i="9"/>
  <c r="E181" i="9"/>
  <c r="D181" i="9"/>
  <c r="E112" i="9"/>
  <c r="D112" i="9"/>
  <c r="E229" i="9"/>
  <c r="D229" i="9"/>
  <c r="H553" i="9"/>
  <c r="G553" i="9"/>
  <c r="E553" i="9"/>
  <c r="D553" i="9"/>
  <c r="E635" i="9"/>
  <c r="D635" i="9"/>
  <c r="H80" i="9"/>
  <c r="G80" i="9"/>
  <c r="E80" i="9"/>
  <c r="D80" i="9"/>
  <c r="E105" i="9"/>
  <c r="D105" i="9"/>
  <c r="E548" i="9"/>
  <c r="D548" i="9"/>
  <c r="E12" i="9"/>
  <c r="D12" i="9"/>
  <c r="E258" i="9"/>
  <c r="D258" i="9"/>
  <c r="E49" i="9"/>
  <c r="D49" i="9"/>
  <c r="E499" i="9"/>
  <c r="D499" i="9"/>
  <c r="E649" i="9"/>
  <c r="D649" i="9"/>
  <c r="H534" i="9"/>
  <c r="G534" i="9"/>
  <c r="E534" i="9"/>
  <c r="D534" i="9"/>
  <c r="E586" i="9"/>
  <c r="D586" i="9"/>
  <c r="E651" i="9"/>
  <c r="D651" i="9"/>
  <c r="E483" i="9"/>
  <c r="D483" i="9"/>
  <c r="E448" i="9"/>
  <c r="D448" i="9"/>
  <c r="E640" i="9"/>
  <c r="D640" i="9"/>
  <c r="H150" i="9"/>
  <c r="G150" i="9"/>
  <c r="E150" i="9"/>
  <c r="D150" i="9"/>
  <c r="E161" i="9"/>
  <c r="D161" i="9"/>
  <c r="E343" i="9"/>
  <c r="D343" i="9"/>
  <c r="E424" i="9"/>
  <c r="D424" i="9"/>
  <c r="E605" i="9"/>
  <c r="D605" i="9"/>
  <c r="H658" i="9"/>
  <c r="G658" i="9"/>
  <c r="E658" i="9"/>
  <c r="D658" i="9"/>
  <c r="E646" i="9"/>
  <c r="D646" i="9"/>
  <c r="E463" i="9"/>
  <c r="D463" i="9"/>
  <c r="E134" i="9"/>
  <c r="D134" i="9"/>
  <c r="E726" i="9"/>
  <c r="D726" i="9"/>
  <c r="H578" i="9"/>
  <c r="G578" i="9"/>
  <c r="E578" i="9"/>
  <c r="D578" i="9"/>
  <c r="E9" i="9"/>
  <c r="D9" i="9"/>
  <c r="E567" i="9"/>
  <c r="D567" i="9"/>
  <c r="E659" i="9"/>
  <c r="D659" i="9"/>
  <c r="E592" i="9"/>
  <c r="D592" i="9"/>
  <c r="E760" i="9"/>
  <c r="D760" i="9"/>
  <c r="E43" i="9"/>
  <c r="D43" i="9"/>
  <c r="E394" i="9"/>
  <c r="D394" i="9"/>
  <c r="H484" i="9"/>
  <c r="G484" i="9"/>
  <c r="E484" i="9"/>
  <c r="D484" i="9"/>
  <c r="E154" i="9"/>
  <c r="D154" i="9"/>
  <c r="E641" i="9"/>
  <c r="D641" i="9"/>
  <c r="E196" i="9"/>
  <c r="D196" i="9"/>
  <c r="E271" i="9"/>
  <c r="D271" i="9"/>
  <c r="E28" i="9"/>
  <c r="D28" i="9"/>
  <c r="E291" i="9"/>
  <c r="D291" i="9"/>
  <c r="E144" i="9"/>
  <c r="D144" i="9"/>
  <c r="H736" i="9"/>
  <c r="G736" i="9"/>
  <c r="E736" i="9"/>
  <c r="D736" i="9"/>
  <c r="E88" i="9"/>
  <c r="D88" i="9"/>
  <c r="E523" i="9"/>
  <c r="D523" i="9"/>
  <c r="E699" i="9"/>
  <c r="D699" i="9"/>
  <c r="E420" i="9"/>
  <c r="D420" i="9"/>
  <c r="E712" i="9"/>
  <c r="D712" i="9"/>
  <c r="E244" i="9"/>
  <c r="D244" i="9"/>
  <c r="E215" i="9"/>
  <c r="D215" i="9"/>
  <c r="E46" i="9"/>
  <c r="D46" i="9"/>
  <c r="H18" i="9"/>
  <c r="G18" i="9"/>
  <c r="E18" i="9"/>
  <c r="D18" i="9"/>
  <c r="E521" i="9"/>
  <c r="D521" i="9"/>
  <c r="E63" i="9"/>
  <c r="D63" i="9"/>
  <c r="E238" i="9"/>
  <c r="D238" i="9"/>
  <c r="E288" i="9"/>
  <c r="D288" i="9"/>
  <c r="E492" i="9"/>
  <c r="D492" i="9"/>
  <c r="E21" i="9"/>
  <c r="D21" i="9"/>
  <c r="E579" i="9"/>
  <c r="D579" i="9"/>
  <c r="H316" i="9"/>
  <c r="G316" i="9"/>
  <c r="E316" i="9"/>
  <c r="D316" i="9"/>
  <c r="E379" i="9"/>
  <c r="D379" i="9"/>
  <c r="E282" i="9"/>
  <c r="D282" i="9"/>
  <c r="E737" i="9"/>
  <c r="D737" i="9"/>
  <c r="E362" i="9"/>
  <c r="D362" i="9"/>
  <c r="E207" i="9"/>
  <c r="D207" i="9"/>
  <c r="E676" i="9"/>
  <c r="D676" i="9"/>
  <c r="H220" i="9"/>
  <c r="G220" i="9"/>
  <c r="E220" i="9"/>
  <c r="D220" i="9"/>
  <c r="H84" i="9"/>
  <c r="G84" i="9"/>
  <c r="E84" i="9"/>
  <c r="D84" i="9"/>
  <c r="E630" i="9"/>
  <c r="D630" i="9"/>
  <c r="E41" i="9"/>
  <c r="D41" i="9"/>
  <c r="E570" i="9"/>
  <c r="D570" i="9"/>
  <c r="E349" i="9"/>
  <c r="D349" i="9"/>
  <c r="E334" i="9"/>
  <c r="D334" i="9"/>
  <c r="E269" i="9"/>
  <c r="D269" i="9"/>
  <c r="E352" i="9"/>
  <c r="D352" i="9"/>
  <c r="E493" i="9"/>
  <c r="D493" i="9"/>
  <c r="E766" i="9"/>
  <c r="D766" i="9"/>
  <c r="E716" i="9"/>
  <c r="D716" i="9"/>
  <c r="E687" i="9"/>
  <c r="D687" i="9"/>
  <c r="G85" i="9"/>
  <c r="E85" i="9"/>
  <c r="D85" i="9"/>
  <c r="E485" i="9"/>
  <c r="D485" i="9"/>
  <c r="E763" i="9"/>
  <c r="D763" i="9"/>
  <c r="H173" i="9"/>
  <c r="G173" i="9"/>
  <c r="E173" i="9"/>
  <c r="D173" i="9"/>
  <c r="H277" i="9"/>
  <c r="G277" i="9"/>
  <c r="E277" i="9"/>
  <c r="D277" i="9"/>
  <c r="E313" i="9"/>
  <c r="D313" i="9"/>
  <c r="E262" i="9"/>
  <c r="D262" i="9"/>
  <c r="E10" i="9"/>
  <c r="D10" i="9"/>
  <c r="E195" i="9"/>
  <c r="D195" i="9"/>
  <c r="E176" i="9"/>
  <c r="D176" i="9"/>
  <c r="E132" i="9"/>
  <c r="D132" i="9"/>
  <c r="E708" i="9"/>
  <c r="D708" i="9"/>
  <c r="E320" i="9"/>
  <c r="D320" i="9"/>
  <c r="E111" i="9"/>
  <c r="D111" i="9"/>
  <c r="E392" i="9"/>
  <c r="D392" i="9"/>
  <c r="E159" i="9"/>
  <c r="D159" i="9"/>
  <c r="E20" i="9"/>
  <c r="D20" i="9"/>
  <c r="E122" i="9"/>
  <c r="D122" i="9"/>
  <c r="E441" i="9"/>
  <c r="D441" i="9"/>
  <c r="H27" i="9"/>
  <c r="G27" i="9"/>
  <c r="E27" i="9"/>
  <c r="D27" i="9"/>
  <c r="E665" i="9"/>
  <c r="D665" i="9"/>
  <c r="E638" i="9"/>
  <c r="D638" i="9"/>
  <c r="E583" i="9"/>
  <c r="D583" i="9"/>
  <c r="E261" i="9"/>
  <c r="D261" i="9"/>
  <c r="E629" i="9"/>
  <c r="D629" i="9"/>
  <c r="E14" i="9"/>
  <c r="D14" i="9"/>
  <c r="H431" i="9"/>
  <c r="G431" i="9"/>
  <c r="E431" i="9"/>
  <c r="D431" i="9"/>
  <c r="E280" i="9"/>
  <c r="D280" i="9"/>
  <c r="E219" i="9"/>
  <c r="D219" i="9"/>
  <c r="E482" i="9"/>
  <c r="D482" i="9"/>
  <c r="H90" i="9"/>
  <c r="G90" i="9"/>
  <c r="E90" i="9"/>
  <c r="D90" i="9"/>
  <c r="E568" i="9"/>
  <c r="D568" i="9"/>
  <c r="E177" i="9"/>
  <c r="D177" i="9"/>
  <c r="E436" i="9"/>
  <c r="D436" i="9"/>
  <c r="E720" i="9"/>
  <c r="D720" i="9"/>
  <c r="E115" i="9"/>
  <c r="D115" i="9"/>
  <c r="E599" i="9"/>
  <c r="D599" i="9"/>
  <c r="H397" i="9"/>
  <c r="G397" i="9"/>
  <c r="E397" i="9"/>
  <c r="D397" i="9"/>
  <c r="H328" i="9"/>
  <c r="G328" i="9"/>
  <c r="E328" i="9"/>
  <c r="D328" i="9"/>
  <c r="E776" i="9"/>
  <c r="D776" i="9"/>
  <c r="E575" i="9"/>
  <c r="D575" i="9"/>
  <c r="E808" i="9"/>
  <c r="D808" i="9"/>
  <c r="E185" i="9"/>
  <c r="D185" i="9"/>
  <c r="H703" i="9"/>
  <c r="G703" i="9"/>
  <c r="E703" i="9"/>
  <c r="D703" i="9"/>
  <c r="E247" i="9"/>
  <c r="D247" i="9"/>
  <c r="E543" i="9"/>
  <c r="D543" i="9"/>
  <c r="E561" i="9"/>
  <c r="D561" i="9"/>
  <c r="E367" i="9"/>
  <c r="D367" i="9"/>
  <c r="E501" i="9"/>
  <c r="D501" i="9"/>
  <c r="E365" i="9"/>
  <c r="D365" i="9"/>
  <c r="E496" i="9"/>
  <c r="D496" i="9"/>
  <c r="E180" i="9"/>
  <c r="D180" i="9"/>
  <c r="E768" i="9"/>
  <c r="D768" i="9"/>
  <c r="H273" i="9"/>
  <c r="G273" i="9"/>
  <c r="E273" i="9"/>
  <c r="D273" i="9"/>
  <c r="E108" i="9"/>
  <c r="D108" i="9"/>
  <c r="H276" i="9"/>
  <c r="G276" i="9"/>
  <c r="E276" i="9"/>
  <c r="D276" i="9"/>
  <c r="E490" i="9"/>
  <c r="D490" i="9"/>
  <c r="E237" i="9"/>
  <c r="D237" i="9"/>
  <c r="E667" i="9"/>
  <c r="D667" i="9"/>
  <c r="E389" i="9"/>
  <c r="D389" i="9"/>
  <c r="E747" i="9"/>
  <c r="D747" i="9"/>
  <c r="E500" i="9"/>
  <c r="D500" i="9"/>
  <c r="E645" i="9"/>
  <c r="D645" i="9"/>
  <c r="E677" i="9"/>
  <c r="D677" i="9"/>
  <c r="E470" i="9"/>
  <c r="D470" i="9"/>
  <c r="E193" i="9"/>
  <c r="D193" i="9"/>
  <c r="E588" i="9"/>
  <c r="D588" i="9"/>
  <c r="E242" i="9"/>
  <c r="D242" i="9"/>
  <c r="E218" i="9"/>
  <c r="D218" i="9"/>
  <c r="H694" i="9"/>
  <c r="E694" i="9"/>
  <c r="D694" i="9"/>
  <c r="E357" i="9"/>
  <c r="D357" i="9"/>
  <c r="E532" i="9"/>
  <c r="D532" i="9"/>
  <c r="E600" i="9"/>
  <c r="D600" i="9"/>
  <c r="E270" i="9"/>
  <c r="D270" i="9"/>
  <c r="E199" i="9"/>
  <c r="D199" i="9"/>
  <c r="E348" i="9"/>
  <c r="D348" i="9"/>
  <c r="E232" i="9"/>
  <c r="D232" i="9"/>
  <c r="E368" i="9"/>
  <c r="D368" i="9"/>
  <c r="E497" i="9"/>
  <c r="D497" i="9"/>
  <c r="E404" i="9"/>
  <c r="D404" i="9"/>
  <c r="E182" i="9"/>
  <c r="D182" i="9"/>
  <c r="H773" i="9"/>
  <c r="G773" i="9"/>
  <c r="E773" i="9"/>
  <c r="D773" i="9"/>
  <c r="E383" i="9"/>
  <c r="D383" i="9"/>
  <c r="H458" i="9"/>
  <c r="G458" i="9"/>
  <c r="E458" i="9"/>
  <c r="D458" i="9"/>
  <c r="E327" i="9"/>
  <c r="D327" i="9"/>
  <c r="E341" i="9"/>
  <c r="D341" i="9"/>
  <c r="E569" i="9"/>
  <c r="D569" i="9"/>
  <c r="H604" i="9"/>
  <c r="G604" i="9"/>
  <c r="E604" i="9"/>
  <c r="D604" i="9"/>
  <c r="E216" i="9"/>
  <c r="D216" i="9"/>
  <c r="E268" i="9"/>
  <c r="D268" i="9"/>
  <c r="E407" i="9"/>
  <c r="D407" i="9"/>
  <c r="E243" i="9"/>
  <c r="D243" i="9"/>
  <c r="E145" i="9"/>
  <c r="D145" i="9"/>
  <c r="E533" i="9"/>
  <c r="D533" i="9"/>
  <c r="E299" i="9"/>
  <c r="D299" i="9"/>
  <c r="H757" i="9"/>
  <c r="G757" i="9"/>
  <c r="E757" i="9"/>
  <c r="D757" i="9"/>
  <c r="E35" i="9"/>
  <c r="D35" i="9"/>
  <c r="E82" i="9"/>
  <c r="D82" i="9"/>
  <c r="E657" i="9"/>
  <c r="D657" i="9"/>
  <c r="E427" i="9"/>
  <c r="D427" i="9"/>
  <c r="E695" i="9"/>
  <c r="D695" i="9"/>
  <c r="E93" i="9"/>
  <c r="D93" i="9"/>
  <c r="E642" i="9"/>
  <c r="D642" i="9"/>
  <c r="E565" i="9"/>
  <c r="D565" i="9"/>
  <c r="E377" i="9"/>
  <c r="D377" i="9"/>
  <c r="H390" i="9"/>
  <c r="G390" i="9"/>
  <c r="E390" i="9"/>
  <c r="D390" i="9"/>
  <c r="E771" i="9"/>
  <c r="D771" i="9"/>
  <c r="H461" i="9"/>
  <c r="G461" i="9"/>
  <c r="E461" i="9"/>
  <c r="D461" i="9"/>
  <c r="E549" i="9"/>
  <c r="D549" i="9"/>
  <c r="E335" i="9"/>
  <c r="D335" i="9"/>
  <c r="E498" i="9"/>
  <c r="D498" i="9"/>
  <c r="E59" i="9"/>
  <c r="D59" i="9"/>
  <c r="E179" i="9"/>
  <c r="D179" i="9"/>
  <c r="H15" i="9"/>
  <c r="G15" i="9"/>
  <c r="E15" i="9"/>
  <c r="D15" i="9"/>
  <c r="H77" i="9"/>
  <c r="E77" i="9"/>
  <c r="D77" i="9"/>
  <c r="E608" i="9"/>
  <c r="D608" i="9"/>
  <c r="E727" i="9"/>
  <c r="D727" i="9"/>
  <c r="E278" i="9"/>
  <c r="D278" i="9"/>
  <c r="E774" i="9"/>
  <c r="D774" i="9"/>
  <c r="E467" i="9"/>
  <c r="D467" i="9"/>
  <c r="E674" i="9"/>
  <c r="D674" i="9"/>
  <c r="E775" i="9"/>
  <c r="D775" i="9"/>
  <c r="E355" i="9"/>
  <c r="D355" i="9"/>
  <c r="E375" i="9"/>
  <c r="D375" i="9"/>
  <c r="E438" i="9"/>
  <c r="D438" i="9"/>
  <c r="E451" i="9"/>
  <c r="D451" i="9"/>
  <c r="E616" i="9"/>
  <c r="D616" i="9"/>
  <c r="E322" i="9"/>
  <c r="D322" i="9"/>
  <c r="E750" i="9"/>
  <c r="D750" i="9"/>
  <c r="E540" i="9"/>
  <c r="D540" i="9"/>
  <c r="E602" i="9"/>
  <c r="D602" i="9"/>
  <c r="N6" i="9"/>
  <c r="I6" i="9"/>
  <c r="D6" i="9"/>
  <c r="N5" i="9"/>
  <c r="I5" i="9"/>
  <c r="N4" i="9"/>
  <c r="N3" i="9"/>
  <c r="N2" i="9"/>
  <c r="A2" i="9"/>
  <c r="A3" i="9" s="1"/>
  <c r="A4" i="9" s="1"/>
  <c r="A5" i="9" s="1"/>
  <c r="A6" i="9" s="1"/>
  <c r="A7" i="9" s="1"/>
  <c r="A8" i="9" s="1"/>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805" i="9" s="1"/>
  <c r="A806" i="9" s="1"/>
  <c r="A807" i="9" s="1"/>
  <c r="A808" i="9" s="1"/>
  <c r="A809" i="9" s="1"/>
  <c r="A810" i="9" s="1"/>
  <c r="A811" i="9" s="1"/>
  <c r="A812" i="9" s="1"/>
  <c r="A813" i="9" s="1"/>
  <c r="I20" i="8"/>
  <c r="H20" i="8"/>
  <c r="I19" i="8"/>
  <c r="H19" i="8"/>
  <c r="I18" i="8"/>
  <c r="H18" i="8"/>
  <c r="H17" i="8"/>
  <c r="I17" i="8" s="1"/>
  <c r="I16" i="8"/>
  <c r="H16" i="8"/>
  <c r="I15" i="8"/>
  <c r="H15" i="8"/>
  <c r="I14" i="8"/>
  <c r="H14" i="8"/>
  <c r="H13" i="8"/>
  <c r="I13" i="8" s="1"/>
  <c r="I12" i="8"/>
  <c r="H12" i="8"/>
  <c r="H11" i="8"/>
  <c r="I11" i="8" s="1"/>
  <c r="H10" i="8"/>
  <c r="I10" i="8" s="1"/>
  <c r="AB1018" i="7"/>
  <c r="H1004" i="7"/>
  <c r="G1004" i="7"/>
  <c r="H1003" i="7"/>
  <c r="G1003" i="7"/>
  <c r="D1003" i="7"/>
  <c r="AB1002" i="7"/>
  <c r="Y1002" i="7"/>
  <c r="W1002" i="7"/>
  <c r="U1002" i="7"/>
  <c r="C1002" i="7"/>
  <c r="C1003" i="7" s="1"/>
  <c r="C1004" i="7" s="1"/>
  <c r="H1001" i="7"/>
  <c r="G1001" i="7"/>
  <c r="H1000" i="7"/>
  <c r="G1000" i="7"/>
  <c r="H999" i="7"/>
  <c r="G999" i="7"/>
  <c r="D999" i="7"/>
  <c r="D1000" i="7" s="1"/>
  <c r="D1001" i="7" s="1"/>
  <c r="AB998" i="7"/>
  <c r="Y998" i="7"/>
  <c r="W998" i="7"/>
  <c r="U998" i="7"/>
  <c r="C998" i="7"/>
  <c r="C999" i="7" s="1"/>
  <c r="H997" i="7"/>
  <c r="G997" i="7"/>
  <c r="D997" i="7"/>
  <c r="AB996" i="7"/>
  <c r="Y996" i="7"/>
  <c r="W996" i="7"/>
  <c r="U996" i="7"/>
  <c r="C996" i="7"/>
  <c r="C997" i="7" s="1"/>
  <c r="H995" i="7"/>
  <c r="G995" i="7"/>
  <c r="D995" i="7"/>
  <c r="AB994" i="7"/>
  <c r="Y994" i="7"/>
  <c r="W994" i="7"/>
  <c r="U994" i="7"/>
  <c r="C994" i="7"/>
  <c r="C995" i="7" s="1"/>
  <c r="H993" i="7"/>
  <c r="G993" i="7"/>
  <c r="D993" i="7"/>
  <c r="AB992" i="7"/>
  <c r="Y992" i="7"/>
  <c r="W992" i="7"/>
  <c r="U992" i="7"/>
  <c r="C992" i="7"/>
  <c r="C993" i="7" s="1"/>
  <c r="H991" i="7"/>
  <c r="G991" i="7"/>
  <c r="D991" i="7"/>
  <c r="AB990" i="7"/>
  <c r="Y990" i="7"/>
  <c r="W990" i="7"/>
  <c r="U990" i="7"/>
  <c r="C990" i="7"/>
  <c r="C991" i="7" s="1"/>
  <c r="H989" i="7"/>
  <c r="G989" i="7"/>
  <c r="H988" i="7"/>
  <c r="G988" i="7"/>
  <c r="H987" i="7"/>
  <c r="G987" i="7"/>
  <c r="H986" i="7"/>
  <c r="G986" i="7"/>
  <c r="H985" i="7"/>
  <c r="G985" i="7"/>
  <c r="H984" i="7"/>
  <c r="G984" i="7"/>
  <c r="D984" i="7"/>
  <c r="D985" i="7" s="1"/>
  <c r="D986" i="7" s="1"/>
  <c r="D987" i="7" s="1"/>
  <c r="D988" i="7" s="1"/>
  <c r="D989" i="7" s="1"/>
  <c r="AB983" i="7"/>
  <c r="Y983" i="7"/>
  <c r="W983" i="7"/>
  <c r="U983" i="7"/>
  <c r="C983" i="7"/>
  <c r="C984" i="7" s="1"/>
  <c r="H982" i="7"/>
  <c r="G982" i="7"/>
  <c r="H981" i="7"/>
  <c r="G981" i="7"/>
  <c r="H980" i="7"/>
  <c r="G980" i="7"/>
  <c r="H979" i="7"/>
  <c r="G979" i="7"/>
  <c r="H978" i="7"/>
  <c r="G978" i="7"/>
  <c r="D978" i="7"/>
  <c r="D979" i="7" s="1"/>
  <c r="D980" i="7" s="1"/>
  <c r="D981" i="7" s="1"/>
  <c r="D982" i="7" s="1"/>
  <c r="AB977" i="7"/>
  <c r="Y977" i="7"/>
  <c r="W977" i="7"/>
  <c r="U977" i="7"/>
  <c r="C977" i="7"/>
  <c r="C978" i="7" s="1"/>
  <c r="C979" i="7" s="1"/>
  <c r="H976" i="7"/>
  <c r="G976" i="7"/>
  <c r="H975" i="7"/>
  <c r="G975" i="7"/>
  <c r="D975" i="7"/>
  <c r="D976" i="7" s="1"/>
  <c r="AB974" i="7"/>
  <c r="Y974" i="7"/>
  <c r="W974" i="7"/>
  <c r="U974" i="7"/>
  <c r="C974" i="7"/>
  <c r="C975" i="7" s="1"/>
  <c r="AB973" i="7"/>
  <c r="Y973" i="7"/>
  <c r="W973" i="7"/>
  <c r="U973" i="7"/>
  <c r="C973" i="7"/>
  <c r="K972" i="7"/>
  <c r="N972" i="7" s="1"/>
  <c r="J972" i="7"/>
  <c r="H972" i="7"/>
  <c r="G972" i="7"/>
  <c r="D972" i="7"/>
  <c r="AB971" i="7"/>
  <c r="Y971" i="7"/>
  <c r="W971" i="7"/>
  <c r="U971" i="7"/>
  <c r="C971" i="7"/>
  <c r="C972" i="7" s="1"/>
  <c r="H970" i="7"/>
  <c r="G970" i="7"/>
  <c r="D970" i="7"/>
  <c r="AB969" i="7"/>
  <c r="Y969" i="7"/>
  <c r="W969" i="7"/>
  <c r="U969" i="7"/>
  <c r="C969" i="7"/>
  <c r="C970" i="7" s="1"/>
  <c r="H968" i="7"/>
  <c r="G968" i="7"/>
  <c r="D968" i="7"/>
  <c r="AB967" i="7"/>
  <c r="Y967" i="7"/>
  <c r="W967" i="7"/>
  <c r="U967" i="7"/>
  <c r="C967" i="7"/>
  <c r="C968" i="7" s="1"/>
  <c r="H966" i="7"/>
  <c r="G966" i="7"/>
  <c r="D966" i="7"/>
  <c r="AB965" i="7"/>
  <c r="Y965" i="7"/>
  <c r="W965" i="7"/>
  <c r="U965" i="7"/>
  <c r="C965" i="7"/>
  <c r="C966" i="7" s="1"/>
  <c r="H964" i="7"/>
  <c r="G964" i="7"/>
  <c r="D964" i="7"/>
  <c r="AB963" i="7"/>
  <c r="Y963" i="7"/>
  <c r="W963" i="7"/>
  <c r="U963" i="7"/>
  <c r="C963" i="7"/>
  <c r="C964" i="7" s="1"/>
  <c r="H962" i="7"/>
  <c r="G962" i="7"/>
  <c r="D962" i="7"/>
  <c r="AB961" i="7"/>
  <c r="Y961" i="7"/>
  <c r="W961" i="7"/>
  <c r="U961" i="7"/>
  <c r="C961" i="7"/>
  <c r="C962" i="7" s="1"/>
  <c r="AB960" i="7"/>
  <c r="Y960" i="7"/>
  <c r="W960" i="7"/>
  <c r="U960" i="7"/>
  <c r="C960" i="7"/>
  <c r="H959" i="7"/>
  <c r="G959" i="7"/>
  <c r="D959" i="7"/>
  <c r="AB958" i="7"/>
  <c r="Y958" i="7"/>
  <c r="W958" i="7"/>
  <c r="U958" i="7"/>
  <c r="C958" i="7"/>
  <c r="C959" i="7" s="1"/>
  <c r="K957" i="7"/>
  <c r="N957" i="7" s="1"/>
  <c r="J957" i="7"/>
  <c r="H957" i="7"/>
  <c r="G957" i="7"/>
  <c r="H956" i="7"/>
  <c r="G956" i="7"/>
  <c r="D957" i="7"/>
  <c r="AB955" i="7"/>
  <c r="Y955" i="7"/>
  <c r="W955" i="7"/>
  <c r="U955" i="7"/>
  <c r="C955" i="7"/>
  <c r="C956" i="7" s="1"/>
  <c r="H953" i="7"/>
  <c r="G953" i="7"/>
  <c r="D954" i="7"/>
  <c r="AB952" i="7"/>
  <c r="Y952" i="7"/>
  <c r="W952" i="7"/>
  <c r="U952" i="7"/>
  <c r="C952" i="7"/>
  <c r="C953" i="7" s="1"/>
  <c r="AB951" i="7"/>
  <c r="Y951" i="7"/>
  <c r="W951" i="7"/>
  <c r="U951" i="7"/>
  <c r="C951" i="7"/>
  <c r="H950" i="7"/>
  <c r="G950" i="7"/>
  <c r="H949" i="7"/>
  <c r="G949" i="7"/>
  <c r="H948" i="7"/>
  <c r="G948" i="7"/>
  <c r="H947" i="7"/>
  <c r="G947" i="7"/>
  <c r="H946" i="7"/>
  <c r="G946" i="7"/>
  <c r="D946" i="7"/>
  <c r="D947" i="7" s="1"/>
  <c r="D948" i="7" s="1"/>
  <c r="D949" i="7" s="1"/>
  <c r="D950" i="7" s="1"/>
  <c r="AB945" i="7"/>
  <c r="Y945" i="7"/>
  <c r="W945" i="7"/>
  <c r="U945" i="7"/>
  <c r="C945" i="7"/>
  <c r="C946" i="7" s="1"/>
  <c r="H944" i="7"/>
  <c r="G944" i="7"/>
  <c r="H943" i="7"/>
  <c r="G943" i="7"/>
  <c r="H942" i="7"/>
  <c r="G942" i="7"/>
  <c r="H941" i="7"/>
  <c r="G941" i="7"/>
  <c r="H940" i="7"/>
  <c r="G940" i="7"/>
  <c r="D940" i="7"/>
  <c r="D941" i="7" s="1"/>
  <c r="D942" i="7" s="1"/>
  <c r="D943" i="7" s="1"/>
  <c r="D944" i="7" s="1"/>
  <c r="AB939" i="7"/>
  <c r="Y939" i="7"/>
  <c r="W939" i="7"/>
  <c r="U939" i="7"/>
  <c r="C939" i="7"/>
  <c r="C940" i="7" s="1"/>
  <c r="H938" i="7"/>
  <c r="G938" i="7"/>
  <c r="D938" i="7"/>
  <c r="AB937" i="7"/>
  <c r="Y937" i="7"/>
  <c r="W937" i="7"/>
  <c r="U937" i="7"/>
  <c r="C937" i="7"/>
  <c r="C938" i="7" s="1"/>
  <c r="H929" i="7"/>
  <c r="G929" i="7"/>
  <c r="K928" i="7"/>
  <c r="N928" i="7" s="1"/>
  <c r="J928" i="7"/>
  <c r="M928" i="7" s="1"/>
  <c r="H928" i="7"/>
  <c r="G928" i="7"/>
  <c r="K927" i="7"/>
  <c r="N927" i="7" s="1"/>
  <c r="J927" i="7"/>
  <c r="H927" i="7"/>
  <c r="G927" i="7"/>
  <c r="H926" i="7"/>
  <c r="G926" i="7"/>
  <c r="D926" i="7"/>
  <c r="D927" i="7" s="1"/>
  <c r="D928" i="7" s="1"/>
  <c r="D929" i="7" s="1"/>
  <c r="AB925" i="7"/>
  <c r="Y925" i="7"/>
  <c r="W925" i="7"/>
  <c r="U925" i="7"/>
  <c r="C925" i="7"/>
  <c r="C926" i="7" s="1"/>
  <c r="AB924" i="7"/>
  <c r="Y924" i="7"/>
  <c r="W924" i="7"/>
  <c r="U924" i="7"/>
  <c r="C924" i="7"/>
  <c r="H923" i="7"/>
  <c r="G923" i="7"/>
  <c r="H922" i="7"/>
  <c r="G922" i="7"/>
  <c r="K921" i="7"/>
  <c r="N921" i="7" s="1"/>
  <c r="J921" i="7"/>
  <c r="H921" i="7"/>
  <c r="G921" i="7"/>
  <c r="H920" i="7"/>
  <c r="G920" i="7"/>
  <c r="D920" i="7"/>
  <c r="D921" i="7" s="1"/>
  <c r="D922" i="7" s="1"/>
  <c r="D923" i="7" s="1"/>
  <c r="AB919" i="7"/>
  <c r="Y919" i="7"/>
  <c r="W919" i="7"/>
  <c r="U919" i="7"/>
  <c r="C919" i="7"/>
  <c r="C920" i="7" s="1"/>
  <c r="H918" i="7"/>
  <c r="G918" i="7"/>
  <c r="K917" i="7"/>
  <c r="N917" i="7" s="1"/>
  <c r="J917" i="7"/>
  <c r="H917" i="7"/>
  <c r="G917" i="7"/>
  <c r="K916" i="7"/>
  <c r="N916" i="7" s="1"/>
  <c r="J916" i="7"/>
  <c r="H916" i="7"/>
  <c r="G916" i="7"/>
  <c r="H915" i="7"/>
  <c r="G915" i="7"/>
  <c r="H914" i="7"/>
  <c r="G914" i="7"/>
  <c r="H913" i="7"/>
  <c r="G913" i="7"/>
  <c r="H912" i="7"/>
  <c r="G912" i="7"/>
  <c r="H911" i="7"/>
  <c r="G911" i="7"/>
  <c r="K910" i="7"/>
  <c r="N910" i="7" s="1"/>
  <c r="J910" i="7"/>
  <c r="M910" i="7" s="1"/>
  <c r="H910" i="7"/>
  <c r="G910" i="7"/>
  <c r="D910" i="7"/>
  <c r="D911" i="7" s="1"/>
  <c r="D912" i="7" s="1"/>
  <c r="D913" i="7" s="1"/>
  <c r="D914" i="7" s="1"/>
  <c r="D915" i="7" s="1"/>
  <c r="D916" i="7" s="1"/>
  <c r="D917" i="7" s="1"/>
  <c r="D918" i="7" s="1"/>
  <c r="AB909" i="7"/>
  <c r="Y909" i="7"/>
  <c r="W909" i="7"/>
  <c r="U909" i="7"/>
  <c r="C909" i="7"/>
  <c r="C910" i="7" s="1"/>
  <c r="C911" i="7" s="1"/>
  <c r="H908" i="7"/>
  <c r="G908" i="7"/>
  <c r="D908" i="7"/>
  <c r="AB907" i="7"/>
  <c r="Y907" i="7"/>
  <c r="W907" i="7"/>
  <c r="U907" i="7"/>
  <c r="C907" i="7"/>
  <c r="C908" i="7" s="1"/>
  <c r="AB906" i="7"/>
  <c r="Y906" i="7"/>
  <c r="W906" i="7"/>
  <c r="U906" i="7"/>
  <c r="C906" i="7"/>
  <c r="AB905" i="7"/>
  <c r="Y905" i="7"/>
  <c r="W905" i="7"/>
  <c r="U905" i="7"/>
  <c r="C905" i="7"/>
  <c r="K936" i="7"/>
  <c r="N936" i="7" s="1"/>
  <c r="J936" i="7"/>
  <c r="H936" i="7"/>
  <c r="G936" i="7"/>
  <c r="K935" i="7"/>
  <c r="N935" i="7" s="1"/>
  <c r="J935" i="7"/>
  <c r="M935" i="7" s="1"/>
  <c r="H935" i="7"/>
  <c r="G935" i="7"/>
  <c r="D935" i="7"/>
  <c r="AB934" i="7"/>
  <c r="Y934" i="7"/>
  <c r="W934" i="7"/>
  <c r="U934" i="7"/>
  <c r="C934" i="7"/>
  <c r="C935" i="7" s="1"/>
  <c r="C936" i="7" s="1"/>
  <c r="H933" i="7"/>
  <c r="G933" i="7"/>
  <c r="H932" i="7"/>
  <c r="G932" i="7"/>
  <c r="D932" i="7"/>
  <c r="D933" i="7" s="1"/>
  <c r="AB931" i="7"/>
  <c r="Y931" i="7"/>
  <c r="W931" i="7"/>
  <c r="U931" i="7"/>
  <c r="C931" i="7"/>
  <c r="C932" i="7" s="1"/>
  <c r="AB930" i="7"/>
  <c r="Y930" i="7"/>
  <c r="W930" i="7"/>
  <c r="U930" i="7"/>
  <c r="C930" i="7"/>
  <c r="H904" i="7"/>
  <c r="G904" i="7"/>
  <c r="H903" i="7"/>
  <c r="G903" i="7"/>
  <c r="K902" i="7"/>
  <c r="N902" i="7" s="1"/>
  <c r="J902" i="7"/>
  <c r="H902" i="7"/>
  <c r="G902" i="7"/>
  <c r="K901" i="7"/>
  <c r="N901" i="7" s="1"/>
  <c r="J901" i="7"/>
  <c r="M901" i="7" s="1"/>
  <c r="H901" i="7"/>
  <c r="G901" i="7"/>
  <c r="K900" i="7"/>
  <c r="N900" i="7" s="1"/>
  <c r="J900" i="7"/>
  <c r="M900" i="7" s="1"/>
  <c r="H900" i="7"/>
  <c r="G900" i="7"/>
  <c r="D900" i="7"/>
  <c r="D901" i="7" s="1"/>
  <c r="D902" i="7" s="1"/>
  <c r="AB899" i="7"/>
  <c r="C899" i="7"/>
  <c r="C900" i="7" s="1"/>
  <c r="K898" i="7"/>
  <c r="J898" i="7"/>
  <c r="M898" i="7" s="1"/>
  <c r="H898" i="7"/>
  <c r="G898" i="7"/>
  <c r="K897" i="7"/>
  <c r="J897" i="7"/>
  <c r="M897" i="7" s="1"/>
  <c r="H897" i="7"/>
  <c r="G897" i="7"/>
  <c r="H896" i="7"/>
  <c r="G896" i="7"/>
  <c r="H895" i="7"/>
  <c r="G895" i="7"/>
  <c r="K894" i="7"/>
  <c r="J894" i="7"/>
  <c r="M894" i="7" s="1"/>
  <c r="H894" i="7"/>
  <c r="G894" i="7"/>
  <c r="H893" i="7"/>
  <c r="G893" i="7"/>
  <c r="D893" i="7"/>
  <c r="D894" i="7" s="1"/>
  <c r="D895" i="7" s="1"/>
  <c r="D896" i="7" s="1"/>
  <c r="D897" i="7" s="1"/>
  <c r="D898" i="7" s="1"/>
  <c r="AB892" i="7"/>
  <c r="Y892" i="7"/>
  <c r="W892" i="7"/>
  <c r="U892" i="7"/>
  <c r="C892" i="7"/>
  <c r="C893" i="7" s="1"/>
  <c r="K891" i="7"/>
  <c r="J891" i="7"/>
  <c r="M891" i="7" s="1"/>
  <c r="H891" i="7"/>
  <c r="G891" i="7"/>
  <c r="K890" i="7"/>
  <c r="N890" i="7" s="1"/>
  <c r="J890" i="7"/>
  <c r="M890" i="7" s="1"/>
  <c r="H890" i="7"/>
  <c r="G890" i="7"/>
  <c r="K889" i="7"/>
  <c r="J889" i="7"/>
  <c r="M889" i="7" s="1"/>
  <c r="H889" i="7"/>
  <c r="G889" i="7"/>
  <c r="K888" i="7"/>
  <c r="N888" i="7" s="1"/>
  <c r="J888" i="7"/>
  <c r="M888" i="7" s="1"/>
  <c r="H888" i="7"/>
  <c r="G888" i="7"/>
  <c r="K887" i="7"/>
  <c r="N887" i="7" s="1"/>
  <c r="J887" i="7"/>
  <c r="M887" i="7" s="1"/>
  <c r="H887" i="7"/>
  <c r="G887" i="7"/>
  <c r="K886" i="7"/>
  <c r="N886" i="7" s="1"/>
  <c r="J886" i="7"/>
  <c r="H886" i="7"/>
  <c r="G886" i="7"/>
  <c r="D886" i="7"/>
  <c r="D887" i="7" s="1"/>
  <c r="D888" i="7" s="1"/>
  <c r="D889" i="7" s="1"/>
  <c r="D890" i="7" s="1"/>
  <c r="D891" i="7" s="1"/>
  <c r="AB885" i="7"/>
  <c r="Y885" i="7"/>
  <c r="W885" i="7"/>
  <c r="U885" i="7"/>
  <c r="C885" i="7"/>
  <c r="C886" i="7" s="1"/>
  <c r="AB884" i="7"/>
  <c r="Y884" i="7"/>
  <c r="W884" i="7"/>
  <c r="U884" i="7"/>
  <c r="C884" i="7"/>
  <c r="AB871" i="7"/>
  <c r="Y871" i="7"/>
  <c r="W871" i="7"/>
  <c r="U871" i="7"/>
  <c r="H865" i="7"/>
  <c r="G865" i="7"/>
  <c r="D865" i="7"/>
  <c r="AB864" i="7"/>
  <c r="Y864" i="7"/>
  <c r="W864" i="7"/>
  <c r="U864" i="7"/>
  <c r="C864" i="7"/>
  <c r="H863" i="7"/>
  <c r="G863" i="7"/>
  <c r="D863" i="7"/>
  <c r="AB862" i="7"/>
  <c r="Y862" i="7"/>
  <c r="W862" i="7"/>
  <c r="U862" i="7"/>
  <c r="C862" i="7"/>
  <c r="C863" i="7" s="1"/>
  <c r="H861" i="7"/>
  <c r="G861" i="7"/>
  <c r="H860" i="7"/>
  <c r="G860" i="7"/>
  <c r="K859" i="7"/>
  <c r="J859" i="7"/>
  <c r="H859" i="7"/>
  <c r="G859" i="7"/>
  <c r="K858" i="7"/>
  <c r="J858" i="7"/>
  <c r="H858" i="7"/>
  <c r="G858" i="7"/>
  <c r="D858" i="7"/>
  <c r="D859" i="7" s="1"/>
  <c r="D860" i="7" s="1"/>
  <c r="D861" i="7" s="1"/>
  <c r="AB857" i="7"/>
  <c r="Y857" i="7"/>
  <c r="W857" i="7"/>
  <c r="U857" i="7"/>
  <c r="C857" i="7"/>
  <c r="C858" i="7" s="1"/>
  <c r="AB855" i="7"/>
  <c r="Y855" i="7"/>
  <c r="W855" i="7"/>
  <c r="U855" i="7"/>
  <c r="C855" i="7"/>
  <c r="AB853" i="7"/>
  <c r="Y853" i="7"/>
  <c r="W853" i="7"/>
  <c r="U853" i="7"/>
  <c r="C853" i="7"/>
  <c r="K852" i="7"/>
  <c r="J852" i="7"/>
  <c r="M852" i="7" s="1"/>
  <c r="H852" i="7"/>
  <c r="G852" i="7"/>
  <c r="K851" i="7"/>
  <c r="J851" i="7"/>
  <c r="M851" i="7" s="1"/>
  <c r="H851" i="7"/>
  <c r="G851" i="7"/>
  <c r="K850" i="7"/>
  <c r="N850" i="7" s="1"/>
  <c r="J850" i="7"/>
  <c r="H850" i="7"/>
  <c r="G850" i="7"/>
  <c r="D850" i="7"/>
  <c r="D851" i="7" s="1"/>
  <c r="D852" i="7" s="1"/>
  <c r="AB849" i="7"/>
  <c r="Y849" i="7"/>
  <c r="W849" i="7"/>
  <c r="U849" i="7"/>
  <c r="C849" i="7"/>
  <c r="C850" i="7" s="1"/>
  <c r="K848" i="7"/>
  <c r="N848" i="7" s="1"/>
  <c r="J848" i="7"/>
  <c r="M848" i="7" s="1"/>
  <c r="H848" i="7"/>
  <c r="G848" i="7"/>
  <c r="K847" i="7"/>
  <c r="N847" i="7" s="1"/>
  <c r="J847" i="7"/>
  <c r="H847" i="7"/>
  <c r="G847" i="7"/>
  <c r="K846" i="7"/>
  <c r="N846" i="7" s="1"/>
  <c r="J846" i="7"/>
  <c r="H846" i="7"/>
  <c r="G846" i="7"/>
  <c r="D846" i="7"/>
  <c r="D847" i="7" s="1"/>
  <c r="D848" i="7" s="1"/>
  <c r="AB845" i="7"/>
  <c r="Y845" i="7"/>
  <c r="W845" i="7"/>
  <c r="U845" i="7"/>
  <c r="C845" i="7"/>
  <c r="C846" i="7" s="1"/>
  <c r="AB844" i="7"/>
  <c r="Y844" i="7"/>
  <c r="W844" i="7"/>
  <c r="U844" i="7"/>
  <c r="C844" i="7"/>
  <c r="AB843" i="7"/>
  <c r="Y843" i="7"/>
  <c r="W843" i="7"/>
  <c r="U843" i="7"/>
  <c r="C843" i="7"/>
  <c r="K842" i="7"/>
  <c r="N842" i="7" s="1"/>
  <c r="J842" i="7"/>
  <c r="M842" i="7" s="1"/>
  <c r="H842" i="7"/>
  <c r="G842" i="7"/>
  <c r="H841" i="7"/>
  <c r="G841" i="7"/>
  <c r="H840" i="7"/>
  <c r="G840" i="7"/>
  <c r="D840" i="7"/>
  <c r="D841" i="7" s="1"/>
  <c r="D842" i="7" s="1"/>
  <c r="AB839" i="7"/>
  <c r="Y839" i="7"/>
  <c r="W839" i="7"/>
  <c r="U839" i="7"/>
  <c r="C839" i="7"/>
  <c r="C840" i="7" s="1"/>
  <c r="H838" i="7"/>
  <c r="G838" i="7"/>
  <c r="D838" i="7"/>
  <c r="AB837" i="7"/>
  <c r="Y837" i="7"/>
  <c r="W837" i="7"/>
  <c r="U837" i="7"/>
  <c r="C837" i="7"/>
  <c r="C838" i="7" s="1"/>
  <c r="H836" i="7"/>
  <c r="G836" i="7"/>
  <c r="H835" i="7"/>
  <c r="G835" i="7"/>
  <c r="D835" i="7"/>
  <c r="D836" i="7" s="1"/>
  <c r="AB834" i="7"/>
  <c r="Y834" i="7"/>
  <c r="W834" i="7"/>
  <c r="U834" i="7"/>
  <c r="C834" i="7"/>
  <c r="C835" i="7" s="1"/>
  <c r="H833" i="7"/>
  <c r="G833" i="7"/>
  <c r="H832" i="7"/>
  <c r="G832" i="7"/>
  <c r="H831" i="7"/>
  <c r="G831" i="7"/>
  <c r="D831" i="7"/>
  <c r="D832" i="7" s="1"/>
  <c r="D833" i="7" s="1"/>
  <c r="AB830" i="7"/>
  <c r="Y830" i="7"/>
  <c r="W830" i="7"/>
  <c r="U830" i="7"/>
  <c r="C830" i="7"/>
  <c r="C831" i="7" s="1"/>
  <c r="H829" i="7"/>
  <c r="G829" i="7"/>
  <c r="H828" i="7"/>
  <c r="G828" i="7"/>
  <c r="D828" i="7"/>
  <c r="D829" i="7" s="1"/>
  <c r="AB827" i="7"/>
  <c r="Y827" i="7"/>
  <c r="W827" i="7"/>
  <c r="U827" i="7"/>
  <c r="C827" i="7"/>
  <c r="C828" i="7" s="1"/>
  <c r="H826" i="7"/>
  <c r="G826" i="7"/>
  <c r="H825" i="7"/>
  <c r="G825" i="7"/>
  <c r="H824" i="7"/>
  <c r="G824" i="7"/>
  <c r="D824" i="7"/>
  <c r="D825" i="7" s="1"/>
  <c r="D826" i="7" s="1"/>
  <c r="AB823" i="7"/>
  <c r="Y823" i="7"/>
  <c r="W823" i="7"/>
  <c r="U823" i="7"/>
  <c r="C823" i="7"/>
  <c r="C824" i="7" s="1"/>
  <c r="H822" i="7"/>
  <c r="G822" i="7"/>
  <c r="H821" i="7"/>
  <c r="G821" i="7"/>
  <c r="H820" i="7"/>
  <c r="G820" i="7"/>
  <c r="H819" i="7"/>
  <c r="G819" i="7"/>
  <c r="D819" i="7"/>
  <c r="D820" i="7" s="1"/>
  <c r="D821" i="7" s="1"/>
  <c r="D822" i="7" s="1"/>
  <c r="AB818" i="7"/>
  <c r="Y818" i="7"/>
  <c r="W818" i="7"/>
  <c r="U818" i="7"/>
  <c r="C818" i="7"/>
  <c r="C819" i="7" s="1"/>
  <c r="H817" i="7"/>
  <c r="G817" i="7"/>
  <c r="H816" i="7"/>
  <c r="G816" i="7"/>
  <c r="H815" i="7"/>
  <c r="G815" i="7"/>
  <c r="H814" i="7"/>
  <c r="G814" i="7"/>
  <c r="H813" i="7"/>
  <c r="G813" i="7"/>
  <c r="H812" i="7"/>
  <c r="G812" i="7"/>
  <c r="H811" i="7"/>
  <c r="G811" i="7"/>
  <c r="H810" i="7"/>
  <c r="G810" i="7"/>
  <c r="H809" i="7"/>
  <c r="G809" i="7"/>
  <c r="H808" i="7"/>
  <c r="G808" i="7"/>
  <c r="H807" i="7"/>
  <c r="G807" i="7"/>
  <c r="H806" i="7"/>
  <c r="G806" i="7"/>
  <c r="H805" i="7"/>
  <c r="G805" i="7"/>
  <c r="H804" i="7"/>
  <c r="G804" i="7"/>
  <c r="H803" i="7"/>
  <c r="G803" i="7"/>
  <c r="H802" i="7"/>
  <c r="G802" i="7"/>
  <c r="H801" i="7"/>
  <c r="G801" i="7"/>
  <c r="H800" i="7"/>
  <c r="G800" i="7"/>
  <c r="H799" i="7"/>
  <c r="G799" i="7"/>
  <c r="D799" i="7"/>
  <c r="D800" i="7" s="1"/>
  <c r="D801" i="7" s="1"/>
  <c r="D802" i="7" s="1"/>
  <c r="D803" i="7" s="1"/>
  <c r="D804" i="7" s="1"/>
  <c r="D805" i="7" s="1"/>
  <c r="D806" i="7" s="1"/>
  <c r="D807" i="7" s="1"/>
  <c r="D808" i="7" s="1"/>
  <c r="D809" i="7" s="1"/>
  <c r="D810" i="7" s="1"/>
  <c r="D811" i="7" s="1"/>
  <c r="D812" i="7" s="1"/>
  <c r="D813" i="7" s="1"/>
  <c r="D814" i="7" s="1"/>
  <c r="D815" i="7" s="1"/>
  <c r="D816" i="7" s="1"/>
  <c r="D817" i="7" s="1"/>
  <c r="AB798" i="7"/>
  <c r="Y798" i="7"/>
  <c r="W798" i="7"/>
  <c r="U798" i="7"/>
  <c r="C798" i="7"/>
  <c r="C799" i="7" s="1"/>
  <c r="H797" i="7"/>
  <c r="G797" i="7"/>
  <c r="D797" i="7"/>
  <c r="AB796" i="7"/>
  <c r="Y796" i="7"/>
  <c r="W796" i="7"/>
  <c r="U796" i="7"/>
  <c r="C796" i="7"/>
  <c r="C797" i="7" s="1"/>
  <c r="H795" i="7"/>
  <c r="G795" i="7"/>
  <c r="H794" i="7"/>
  <c r="G794" i="7"/>
  <c r="H793" i="7"/>
  <c r="G793" i="7"/>
  <c r="D793" i="7"/>
  <c r="D794" i="7" s="1"/>
  <c r="D795" i="7" s="1"/>
  <c r="AB792" i="7"/>
  <c r="Y792" i="7"/>
  <c r="W792" i="7"/>
  <c r="U792" i="7"/>
  <c r="C792" i="7"/>
  <c r="C793" i="7" s="1"/>
  <c r="H791" i="7"/>
  <c r="G791" i="7"/>
  <c r="D791" i="7"/>
  <c r="AB790" i="7"/>
  <c r="Y790" i="7"/>
  <c r="W790" i="7"/>
  <c r="U790" i="7"/>
  <c r="C790" i="7"/>
  <c r="C791" i="7" s="1"/>
  <c r="H789" i="7"/>
  <c r="G789" i="7"/>
  <c r="H788" i="7"/>
  <c r="G788" i="7"/>
  <c r="H787" i="7"/>
  <c r="G787" i="7"/>
  <c r="H786" i="7"/>
  <c r="G786" i="7"/>
  <c r="H785" i="7"/>
  <c r="G785" i="7"/>
  <c r="H784" i="7"/>
  <c r="G784" i="7"/>
  <c r="H783" i="7"/>
  <c r="G783" i="7"/>
  <c r="D783" i="7"/>
  <c r="D784" i="7" s="1"/>
  <c r="D785" i="7" s="1"/>
  <c r="D786" i="7" s="1"/>
  <c r="D787" i="7" s="1"/>
  <c r="D788" i="7" s="1"/>
  <c r="D789" i="7" s="1"/>
  <c r="AB782" i="7"/>
  <c r="Y782" i="7"/>
  <c r="W782" i="7"/>
  <c r="U782" i="7"/>
  <c r="C782" i="7"/>
  <c r="C783" i="7" s="1"/>
  <c r="H781" i="7"/>
  <c r="G781" i="7"/>
  <c r="D781" i="7"/>
  <c r="AB780" i="7"/>
  <c r="Y780" i="7"/>
  <c r="W780" i="7"/>
  <c r="U780" i="7"/>
  <c r="C780" i="7"/>
  <c r="C781" i="7" s="1"/>
  <c r="H779" i="7"/>
  <c r="G779" i="7"/>
  <c r="H778" i="7"/>
  <c r="G778" i="7"/>
  <c r="H777" i="7"/>
  <c r="G777" i="7"/>
  <c r="H776" i="7"/>
  <c r="G776" i="7"/>
  <c r="H775" i="7"/>
  <c r="G775" i="7"/>
  <c r="H774" i="7"/>
  <c r="G774" i="7"/>
  <c r="D774" i="7"/>
  <c r="D775" i="7" s="1"/>
  <c r="D776" i="7" s="1"/>
  <c r="D777" i="7" s="1"/>
  <c r="D778" i="7" s="1"/>
  <c r="D779" i="7" s="1"/>
  <c r="AB773" i="7"/>
  <c r="Y773" i="7"/>
  <c r="W773" i="7"/>
  <c r="U773" i="7"/>
  <c r="C773" i="7"/>
  <c r="C774" i="7" s="1"/>
  <c r="AB772" i="7"/>
  <c r="Y772" i="7"/>
  <c r="W772" i="7"/>
  <c r="U772" i="7"/>
  <c r="C772" i="7"/>
  <c r="H771" i="7"/>
  <c r="G771" i="7"/>
  <c r="H770" i="7"/>
  <c r="G770" i="7"/>
  <c r="D770" i="7"/>
  <c r="D771" i="7" s="1"/>
  <c r="AB769" i="7"/>
  <c r="Y769" i="7"/>
  <c r="W769" i="7"/>
  <c r="U769" i="7"/>
  <c r="C769" i="7"/>
  <c r="C770" i="7" s="1"/>
  <c r="C771" i="7" s="1"/>
  <c r="H768" i="7"/>
  <c r="G768" i="7"/>
  <c r="H767" i="7"/>
  <c r="G767" i="7"/>
  <c r="H766" i="7"/>
  <c r="G766" i="7"/>
  <c r="D766" i="7"/>
  <c r="D767" i="7" s="1"/>
  <c r="D768" i="7" s="1"/>
  <c r="AB765" i="7"/>
  <c r="Y765" i="7"/>
  <c r="W765" i="7"/>
  <c r="U765" i="7"/>
  <c r="C765" i="7"/>
  <c r="C766" i="7" s="1"/>
  <c r="H764" i="7"/>
  <c r="G764" i="7"/>
  <c r="D764" i="7"/>
  <c r="AB763" i="7"/>
  <c r="Y763" i="7"/>
  <c r="W763" i="7"/>
  <c r="U763" i="7"/>
  <c r="C763" i="7"/>
  <c r="C764" i="7" s="1"/>
  <c r="H762" i="7"/>
  <c r="G762" i="7"/>
  <c r="H761" i="7"/>
  <c r="G761" i="7"/>
  <c r="H760" i="7"/>
  <c r="G760" i="7"/>
  <c r="H759" i="7"/>
  <c r="G759" i="7"/>
  <c r="D759" i="7"/>
  <c r="D760" i="7" s="1"/>
  <c r="D761" i="7" s="1"/>
  <c r="D762" i="7" s="1"/>
  <c r="AB758" i="7"/>
  <c r="Y758" i="7"/>
  <c r="W758" i="7"/>
  <c r="U758" i="7"/>
  <c r="C758" i="7"/>
  <c r="C759" i="7" s="1"/>
  <c r="H757" i="7"/>
  <c r="G757" i="7"/>
  <c r="H756" i="7"/>
  <c r="G756" i="7"/>
  <c r="H755" i="7"/>
  <c r="G755" i="7"/>
  <c r="H754" i="7"/>
  <c r="G754" i="7"/>
  <c r="D754" i="7"/>
  <c r="D755" i="7" s="1"/>
  <c r="D756" i="7" s="1"/>
  <c r="D757" i="7" s="1"/>
  <c r="AB753" i="7"/>
  <c r="Y753" i="7"/>
  <c r="W753" i="7"/>
  <c r="U753" i="7"/>
  <c r="C753" i="7"/>
  <c r="C754" i="7" s="1"/>
  <c r="H752" i="7"/>
  <c r="G752" i="7"/>
  <c r="H751" i="7"/>
  <c r="G751" i="7"/>
  <c r="D751" i="7"/>
  <c r="D752" i="7" s="1"/>
  <c r="AB750" i="7"/>
  <c r="Y750" i="7"/>
  <c r="W750" i="7"/>
  <c r="U750" i="7"/>
  <c r="C750" i="7"/>
  <c r="C751" i="7" s="1"/>
  <c r="H749" i="7"/>
  <c r="G749" i="7"/>
  <c r="H748" i="7"/>
  <c r="G748" i="7"/>
  <c r="H747" i="7"/>
  <c r="G747" i="7"/>
  <c r="H746" i="7"/>
  <c r="G746" i="7"/>
  <c r="H745" i="7"/>
  <c r="G745" i="7"/>
  <c r="D745" i="7"/>
  <c r="D746" i="7" s="1"/>
  <c r="D747" i="7" s="1"/>
  <c r="D748" i="7" s="1"/>
  <c r="D749" i="7" s="1"/>
  <c r="AB744" i="7"/>
  <c r="Y744" i="7"/>
  <c r="W744" i="7"/>
  <c r="U744" i="7"/>
  <c r="C744" i="7"/>
  <c r="C745" i="7" s="1"/>
  <c r="AB743" i="7"/>
  <c r="Y743" i="7"/>
  <c r="W743" i="7"/>
  <c r="U743" i="7"/>
  <c r="C743" i="7"/>
  <c r="H742" i="7"/>
  <c r="G742" i="7"/>
  <c r="D742" i="7"/>
  <c r="AB741" i="7"/>
  <c r="Y741" i="7"/>
  <c r="W741" i="7"/>
  <c r="U741" i="7"/>
  <c r="C741" i="7"/>
  <c r="C742" i="7" s="1"/>
  <c r="H740" i="7"/>
  <c r="G740" i="7"/>
  <c r="D740" i="7"/>
  <c r="AB739" i="7"/>
  <c r="Y739" i="7"/>
  <c r="W739" i="7"/>
  <c r="U739" i="7"/>
  <c r="C739" i="7"/>
  <c r="C740" i="7" s="1"/>
  <c r="H738" i="7"/>
  <c r="G738" i="7"/>
  <c r="H737" i="7"/>
  <c r="G737" i="7"/>
  <c r="H736" i="7"/>
  <c r="G736" i="7"/>
  <c r="D736" i="7"/>
  <c r="D737" i="7" s="1"/>
  <c r="D738" i="7" s="1"/>
  <c r="AB735" i="7"/>
  <c r="Y735" i="7"/>
  <c r="W735" i="7"/>
  <c r="U735" i="7"/>
  <c r="C735" i="7"/>
  <c r="C736" i="7" s="1"/>
  <c r="C737" i="7" s="1"/>
  <c r="C738" i="7" s="1"/>
  <c r="H734" i="7"/>
  <c r="G734" i="7"/>
  <c r="H733" i="7"/>
  <c r="G733" i="7"/>
  <c r="H732" i="7"/>
  <c r="G732" i="7"/>
  <c r="D732" i="7"/>
  <c r="D733" i="7" s="1"/>
  <c r="D734" i="7" s="1"/>
  <c r="AB731" i="7"/>
  <c r="Y731" i="7"/>
  <c r="W731" i="7"/>
  <c r="U731" i="7"/>
  <c r="C731" i="7"/>
  <c r="C732" i="7" s="1"/>
  <c r="H730" i="7"/>
  <c r="G730" i="7"/>
  <c r="H729" i="7"/>
  <c r="G729" i="7"/>
  <c r="H728" i="7"/>
  <c r="G728" i="7"/>
  <c r="D728" i="7"/>
  <c r="D729" i="7" s="1"/>
  <c r="D730" i="7" s="1"/>
  <c r="AB727" i="7"/>
  <c r="Y727" i="7"/>
  <c r="W727" i="7"/>
  <c r="U727" i="7"/>
  <c r="C727" i="7"/>
  <c r="C728" i="7" s="1"/>
  <c r="C729" i="7" s="1"/>
  <c r="C730" i="7" s="1"/>
  <c r="H726" i="7"/>
  <c r="G726" i="7"/>
  <c r="H725" i="7"/>
  <c r="G725" i="7"/>
  <c r="H724" i="7"/>
  <c r="G724" i="7"/>
  <c r="D724" i="7"/>
  <c r="D725" i="7" s="1"/>
  <c r="D726" i="7" s="1"/>
  <c r="AB723" i="7"/>
  <c r="Y723" i="7"/>
  <c r="W723" i="7"/>
  <c r="U723" i="7"/>
  <c r="C723" i="7"/>
  <c r="C724" i="7" s="1"/>
  <c r="H722" i="7"/>
  <c r="G722" i="7"/>
  <c r="D722" i="7"/>
  <c r="AB721" i="7"/>
  <c r="Y721" i="7"/>
  <c r="W721" i="7"/>
  <c r="U721" i="7"/>
  <c r="C721" i="7"/>
  <c r="C722" i="7" s="1"/>
  <c r="H720" i="7"/>
  <c r="G720" i="7"/>
  <c r="H719" i="7"/>
  <c r="G719" i="7"/>
  <c r="H718" i="7"/>
  <c r="G718" i="7"/>
  <c r="H717" i="7"/>
  <c r="G717" i="7"/>
  <c r="D717" i="7"/>
  <c r="D718" i="7" s="1"/>
  <c r="D719" i="7" s="1"/>
  <c r="D720" i="7" s="1"/>
  <c r="AB716" i="7"/>
  <c r="Y716" i="7"/>
  <c r="W716" i="7"/>
  <c r="U716" i="7"/>
  <c r="C716" i="7"/>
  <c r="C717" i="7" s="1"/>
  <c r="H715" i="7"/>
  <c r="G715" i="7"/>
  <c r="D715" i="7"/>
  <c r="AB714" i="7"/>
  <c r="Y714" i="7"/>
  <c r="W714" i="7"/>
  <c r="U714" i="7"/>
  <c r="C714" i="7"/>
  <c r="C715" i="7" s="1"/>
  <c r="H713" i="7"/>
  <c r="G713" i="7"/>
  <c r="H712" i="7"/>
  <c r="G712" i="7"/>
  <c r="D712" i="7"/>
  <c r="D713" i="7" s="1"/>
  <c r="AB711" i="7"/>
  <c r="Y711" i="7"/>
  <c r="W711" i="7"/>
  <c r="U711" i="7"/>
  <c r="C711" i="7"/>
  <c r="C712" i="7" s="1"/>
  <c r="AB710" i="7"/>
  <c r="Y710" i="7"/>
  <c r="W710" i="7"/>
  <c r="U710" i="7"/>
  <c r="C710" i="7"/>
  <c r="H709" i="7"/>
  <c r="G709" i="7"/>
  <c r="K708" i="7"/>
  <c r="J708" i="7"/>
  <c r="M708" i="7" s="1"/>
  <c r="H708" i="7"/>
  <c r="G708" i="7"/>
  <c r="K707" i="7"/>
  <c r="J707" i="7"/>
  <c r="M707" i="7" s="1"/>
  <c r="H707" i="7"/>
  <c r="G707" i="7"/>
  <c r="H706" i="7"/>
  <c r="G706" i="7"/>
  <c r="K705" i="7"/>
  <c r="J705" i="7"/>
  <c r="M705" i="7" s="1"/>
  <c r="H705" i="7"/>
  <c r="G705" i="7"/>
  <c r="K704" i="7"/>
  <c r="J704" i="7"/>
  <c r="M704" i="7" s="1"/>
  <c r="H704" i="7"/>
  <c r="G704" i="7"/>
  <c r="D704" i="7"/>
  <c r="D705" i="7" s="1"/>
  <c r="D706" i="7" s="1"/>
  <c r="D707" i="7" s="1"/>
  <c r="D708" i="7" s="1"/>
  <c r="D709" i="7" s="1"/>
  <c r="AB703" i="7"/>
  <c r="Y703" i="7"/>
  <c r="W703" i="7"/>
  <c r="U703" i="7"/>
  <c r="C703" i="7"/>
  <c r="C704" i="7" s="1"/>
  <c r="H702" i="7"/>
  <c r="G702" i="7"/>
  <c r="H701" i="7"/>
  <c r="G701" i="7"/>
  <c r="H700" i="7"/>
  <c r="G700" i="7"/>
  <c r="H699" i="7"/>
  <c r="G699" i="7"/>
  <c r="H698" i="7"/>
  <c r="G698" i="7"/>
  <c r="H697" i="7"/>
  <c r="G697" i="7"/>
  <c r="H696" i="7"/>
  <c r="G696" i="7"/>
  <c r="H695" i="7"/>
  <c r="G695" i="7"/>
  <c r="K694" i="7"/>
  <c r="N694" i="7" s="1"/>
  <c r="J694" i="7"/>
  <c r="H694" i="7"/>
  <c r="G694" i="7"/>
  <c r="K693" i="7"/>
  <c r="N693" i="7" s="1"/>
  <c r="J693" i="7"/>
  <c r="M693" i="7" s="1"/>
  <c r="H693" i="7"/>
  <c r="G693" i="7"/>
  <c r="K692" i="7"/>
  <c r="N692" i="7" s="1"/>
  <c r="J692" i="7"/>
  <c r="M692" i="7" s="1"/>
  <c r="H692" i="7"/>
  <c r="G692" i="7"/>
  <c r="D692" i="7"/>
  <c r="D693" i="7" s="1"/>
  <c r="D694" i="7" s="1"/>
  <c r="D695" i="7" s="1"/>
  <c r="D696" i="7" s="1"/>
  <c r="D697" i="7" s="1"/>
  <c r="D698" i="7" s="1"/>
  <c r="D699" i="7" s="1"/>
  <c r="D700" i="7" s="1"/>
  <c r="D701" i="7" s="1"/>
  <c r="D702" i="7" s="1"/>
  <c r="AB691" i="7"/>
  <c r="Y691" i="7"/>
  <c r="W691" i="7"/>
  <c r="U691" i="7"/>
  <c r="C691" i="7"/>
  <c r="C692" i="7" s="1"/>
  <c r="H690" i="7"/>
  <c r="G690" i="7"/>
  <c r="H689" i="7"/>
  <c r="G689" i="7"/>
  <c r="H688" i="7"/>
  <c r="G688" i="7"/>
  <c r="H687" i="7"/>
  <c r="G687" i="7"/>
  <c r="K686" i="7"/>
  <c r="N686" i="7" s="1"/>
  <c r="J686" i="7"/>
  <c r="H686" i="7"/>
  <c r="G686" i="7"/>
  <c r="H685" i="7"/>
  <c r="G685" i="7"/>
  <c r="D685" i="7"/>
  <c r="D686" i="7" s="1"/>
  <c r="D687" i="7" s="1"/>
  <c r="D688" i="7" s="1"/>
  <c r="D689" i="7" s="1"/>
  <c r="D690" i="7" s="1"/>
  <c r="AB684" i="7"/>
  <c r="Y684" i="7"/>
  <c r="W684" i="7"/>
  <c r="U684" i="7"/>
  <c r="C684" i="7"/>
  <c r="C685" i="7" s="1"/>
  <c r="AB683" i="7"/>
  <c r="Y683" i="7"/>
  <c r="W683" i="7"/>
  <c r="U683" i="7"/>
  <c r="C683" i="7"/>
  <c r="H682" i="7"/>
  <c r="G682" i="7"/>
  <c r="H681" i="7"/>
  <c r="G681" i="7"/>
  <c r="H680" i="7"/>
  <c r="G680" i="7"/>
  <c r="H679" i="7"/>
  <c r="G679" i="7"/>
  <c r="D679" i="7"/>
  <c r="D680" i="7" s="1"/>
  <c r="D681" i="7" s="1"/>
  <c r="D682" i="7" s="1"/>
  <c r="AB678" i="7"/>
  <c r="Y678" i="7"/>
  <c r="W678" i="7"/>
  <c r="U678" i="7"/>
  <c r="C678" i="7"/>
  <c r="C679" i="7" s="1"/>
  <c r="H677" i="7"/>
  <c r="G677" i="7"/>
  <c r="K676" i="7"/>
  <c r="N676" i="7" s="1"/>
  <c r="J676" i="7"/>
  <c r="H676" i="7"/>
  <c r="G676" i="7"/>
  <c r="K675" i="7"/>
  <c r="N675" i="7" s="1"/>
  <c r="J675" i="7"/>
  <c r="M675" i="7" s="1"/>
  <c r="H675" i="7"/>
  <c r="G675" i="7"/>
  <c r="K674" i="7"/>
  <c r="N674" i="7" s="1"/>
  <c r="J674" i="7"/>
  <c r="M674" i="7" s="1"/>
  <c r="H674" i="7"/>
  <c r="G674" i="7"/>
  <c r="H673" i="7"/>
  <c r="G673" i="7"/>
  <c r="H672" i="7"/>
  <c r="G672" i="7"/>
  <c r="H671" i="7"/>
  <c r="G671" i="7"/>
  <c r="H670" i="7"/>
  <c r="G670" i="7"/>
  <c r="H669" i="7"/>
  <c r="G669" i="7"/>
  <c r="H668" i="7"/>
  <c r="G668" i="7"/>
  <c r="H667" i="7"/>
  <c r="G667" i="7"/>
  <c r="H666" i="7"/>
  <c r="G666" i="7"/>
  <c r="H665" i="7"/>
  <c r="G665" i="7"/>
  <c r="H664" i="7"/>
  <c r="G664" i="7"/>
  <c r="K663" i="7"/>
  <c r="N663" i="7" s="1"/>
  <c r="J663" i="7"/>
  <c r="M663" i="7" s="1"/>
  <c r="H663" i="7"/>
  <c r="G663" i="7"/>
  <c r="H662" i="7"/>
  <c r="G662" i="7"/>
  <c r="H661" i="7"/>
  <c r="G661" i="7"/>
  <c r="H660" i="7"/>
  <c r="G660" i="7"/>
  <c r="H659" i="7"/>
  <c r="G659" i="7"/>
  <c r="D659" i="7"/>
  <c r="D660" i="7" s="1"/>
  <c r="D661" i="7" s="1"/>
  <c r="D662" i="7" s="1"/>
  <c r="D663" i="7" s="1"/>
  <c r="D664" i="7" s="1"/>
  <c r="D665" i="7" s="1"/>
  <c r="D666" i="7" s="1"/>
  <c r="D667" i="7" s="1"/>
  <c r="D668" i="7" s="1"/>
  <c r="D669" i="7" s="1"/>
  <c r="D670" i="7" s="1"/>
  <c r="D671" i="7" s="1"/>
  <c r="D672" i="7" s="1"/>
  <c r="D673" i="7" s="1"/>
  <c r="D674" i="7" s="1"/>
  <c r="D675" i="7" s="1"/>
  <c r="D676" i="7" s="1"/>
  <c r="D677" i="7" s="1"/>
  <c r="AB658" i="7"/>
  <c r="Y658" i="7"/>
  <c r="W658" i="7"/>
  <c r="U658" i="7"/>
  <c r="C658" i="7"/>
  <c r="C659" i="7" s="1"/>
  <c r="H657" i="7"/>
  <c r="G657" i="7"/>
  <c r="K656" i="7"/>
  <c r="N656" i="7" s="1"/>
  <c r="J656" i="7"/>
  <c r="H656" i="7"/>
  <c r="G656" i="7"/>
  <c r="K655" i="7"/>
  <c r="J655" i="7"/>
  <c r="M655" i="7" s="1"/>
  <c r="H655" i="7"/>
  <c r="G655" i="7"/>
  <c r="H654" i="7"/>
  <c r="G654" i="7"/>
  <c r="AB653" i="7"/>
  <c r="Y653" i="7"/>
  <c r="W653" i="7"/>
  <c r="U653" i="7"/>
  <c r="D653" i="7"/>
  <c r="D654" i="7" s="1"/>
  <c r="D655" i="7" s="1"/>
  <c r="D656" i="7" s="1"/>
  <c r="D657" i="7" s="1"/>
  <c r="AB652" i="7"/>
  <c r="Y652" i="7"/>
  <c r="W652" i="7"/>
  <c r="U652" i="7"/>
  <c r="C652" i="7"/>
  <c r="C653" i="7" s="1"/>
  <c r="H651" i="7"/>
  <c r="G651" i="7"/>
  <c r="K650" i="7"/>
  <c r="N650" i="7" s="1"/>
  <c r="J650" i="7"/>
  <c r="M650" i="7" s="1"/>
  <c r="H650" i="7"/>
  <c r="G650" i="7"/>
  <c r="H649" i="7"/>
  <c r="G649" i="7"/>
  <c r="H648" i="7"/>
  <c r="G648" i="7"/>
  <c r="H647" i="7"/>
  <c r="G647" i="7"/>
  <c r="H646" i="7"/>
  <c r="G646" i="7"/>
  <c r="H645" i="7"/>
  <c r="G645" i="7"/>
  <c r="H644" i="7"/>
  <c r="G644" i="7"/>
  <c r="D644" i="7"/>
  <c r="D645" i="7" s="1"/>
  <c r="D646" i="7" s="1"/>
  <c r="D647" i="7" s="1"/>
  <c r="D648" i="7" s="1"/>
  <c r="D649" i="7" s="1"/>
  <c r="D650" i="7" s="1"/>
  <c r="D651" i="7" s="1"/>
  <c r="AB643" i="7"/>
  <c r="Y643" i="7"/>
  <c r="W643" i="7"/>
  <c r="U643" i="7"/>
  <c r="C643" i="7"/>
  <c r="C644" i="7" s="1"/>
  <c r="C645" i="7" s="1"/>
  <c r="H642" i="7"/>
  <c r="G642" i="7"/>
  <c r="H641" i="7"/>
  <c r="G641" i="7"/>
  <c r="H640" i="7"/>
  <c r="G640" i="7"/>
  <c r="H639" i="7"/>
  <c r="G639" i="7"/>
  <c r="H638" i="7"/>
  <c r="G638" i="7"/>
  <c r="H637" i="7"/>
  <c r="G637" i="7"/>
  <c r="H636" i="7"/>
  <c r="G636" i="7"/>
  <c r="H635" i="7"/>
  <c r="G635" i="7"/>
  <c r="H634" i="7"/>
  <c r="G634" i="7"/>
  <c r="H633" i="7"/>
  <c r="G633" i="7"/>
  <c r="K632" i="7"/>
  <c r="N632" i="7" s="1"/>
  <c r="J632" i="7"/>
  <c r="M632" i="7" s="1"/>
  <c r="H632" i="7"/>
  <c r="G632" i="7"/>
  <c r="K631" i="7"/>
  <c r="N631" i="7" s="1"/>
  <c r="J631" i="7"/>
  <c r="M631" i="7" s="1"/>
  <c r="H631" i="7"/>
  <c r="G631" i="7"/>
  <c r="D631" i="7"/>
  <c r="D632" i="7" s="1"/>
  <c r="D633" i="7" s="1"/>
  <c r="D634" i="7" s="1"/>
  <c r="D635" i="7" s="1"/>
  <c r="D636" i="7" s="1"/>
  <c r="D637" i="7" s="1"/>
  <c r="D638" i="7" s="1"/>
  <c r="D639" i="7" s="1"/>
  <c r="D640" i="7" s="1"/>
  <c r="D641" i="7" s="1"/>
  <c r="D642" i="7" s="1"/>
  <c r="AB630" i="7"/>
  <c r="Y630" i="7"/>
  <c r="W630" i="7"/>
  <c r="U630" i="7"/>
  <c r="C630" i="7"/>
  <c r="C631" i="7" s="1"/>
  <c r="C632" i="7" s="1"/>
  <c r="C633" i="7" s="1"/>
  <c r="H629" i="7"/>
  <c r="G629" i="7"/>
  <c r="K628" i="7"/>
  <c r="N628" i="7" s="1"/>
  <c r="J628" i="7"/>
  <c r="M628" i="7" s="1"/>
  <c r="H628" i="7"/>
  <c r="G628" i="7"/>
  <c r="H627" i="7"/>
  <c r="G627" i="7"/>
  <c r="H626" i="7"/>
  <c r="G626" i="7"/>
  <c r="H625" i="7"/>
  <c r="G625" i="7"/>
  <c r="H624" i="7"/>
  <c r="G624" i="7"/>
  <c r="H623" i="7"/>
  <c r="G623" i="7"/>
  <c r="K622" i="7"/>
  <c r="N622" i="7" s="1"/>
  <c r="J622" i="7"/>
  <c r="H622" i="7"/>
  <c r="G622" i="7"/>
  <c r="K621" i="7"/>
  <c r="N621" i="7" s="1"/>
  <c r="J621" i="7"/>
  <c r="H621" i="7"/>
  <c r="G621" i="7"/>
  <c r="K620" i="7"/>
  <c r="N620" i="7" s="1"/>
  <c r="J620" i="7"/>
  <c r="H620" i="7"/>
  <c r="G620" i="7"/>
  <c r="H619" i="7"/>
  <c r="G619" i="7"/>
  <c r="D619" i="7"/>
  <c r="D620" i="7" s="1"/>
  <c r="D621" i="7" s="1"/>
  <c r="D622" i="7" s="1"/>
  <c r="D623" i="7" s="1"/>
  <c r="D624" i="7" s="1"/>
  <c r="D625" i="7" s="1"/>
  <c r="D626" i="7" s="1"/>
  <c r="D627" i="7" s="1"/>
  <c r="D628" i="7" s="1"/>
  <c r="D629" i="7" s="1"/>
  <c r="AB618" i="7"/>
  <c r="Y618" i="7"/>
  <c r="W618" i="7"/>
  <c r="U618" i="7"/>
  <c r="C618" i="7"/>
  <c r="C619" i="7" s="1"/>
  <c r="H617" i="7"/>
  <c r="G617" i="7"/>
  <c r="H616" i="7"/>
  <c r="G616" i="7"/>
  <c r="H615" i="7"/>
  <c r="G615" i="7"/>
  <c r="H614" i="7"/>
  <c r="G614" i="7"/>
  <c r="H613" i="7"/>
  <c r="G613" i="7"/>
  <c r="H612" i="7"/>
  <c r="G612" i="7"/>
  <c r="H611" i="7"/>
  <c r="G611" i="7"/>
  <c r="H610" i="7"/>
  <c r="G610" i="7"/>
  <c r="H609" i="7"/>
  <c r="G609" i="7"/>
  <c r="H608" i="7"/>
  <c r="G608" i="7"/>
  <c r="H607" i="7"/>
  <c r="G607" i="7"/>
  <c r="H606" i="7"/>
  <c r="G606" i="7"/>
  <c r="H605" i="7"/>
  <c r="G605" i="7"/>
  <c r="K604" i="7"/>
  <c r="N604" i="7" s="1"/>
  <c r="J604" i="7"/>
  <c r="M604" i="7" s="1"/>
  <c r="H604" i="7"/>
  <c r="G604" i="7"/>
  <c r="K603" i="7"/>
  <c r="J603" i="7"/>
  <c r="M603" i="7" s="1"/>
  <c r="H603" i="7"/>
  <c r="G603" i="7"/>
  <c r="D603" i="7"/>
  <c r="D604" i="7" s="1"/>
  <c r="D605" i="7" s="1"/>
  <c r="D606" i="7" s="1"/>
  <c r="D607" i="7" s="1"/>
  <c r="D608" i="7" s="1"/>
  <c r="D609" i="7" s="1"/>
  <c r="D610" i="7" s="1"/>
  <c r="D611" i="7" s="1"/>
  <c r="D612" i="7" s="1"/>
  <c r="D613" i="7" s="1"/>
  <c r="D614" i="7" s="1"/>
  <c r="D615" i="7" s="1"/>
  <c r="D616" i="7" s="1"/>
  <c r="D617" i="7" s="1"/>
  <c r="AB602" i="7"/>
  <c r="Y602" i="7"/>
  <c r="W602" i="7"/>
  <c r="U602" i="7"/>
  <c r="C602" i="7"/>
  <c r="C603" i="7" s="1"/>
  <c r="H601" i="7"/>
  <c r="G601" i="7"/>
  <c r="K600" i="7"/>
  <c r="N600" i="7" s="1"/>
  <c r="J600" i="7"/>
  <c r="H600" i="7"/>
  <c r="G600" i="7"/>
  <c r="H599" i="7"/>
  <c r="G599" i="7"/>
  <c r="H598" i="7"/>
  <c r="G598" i="7"/>
  <c r="H597" i="7"/>
  <c r="G597" i="7"/>
  <c r="H596" i="7"/>
  <c r="G596" i="7"/>
  <c r="H595" i="7"/>
  <c r="G595" i="7"/>
  <c r="K594" i="7"/>
  <c r="N594" i="7" s="1"/>
  <c r="J594" i="7"/>
  <c r="H594" i="7"/>
  <c r="G594" i="7"/>
  <c r="K593" i="7"/>
  <c r="N593" i="7" s="1"/>
  <c r="J593" i="7"/>
  <c r="M593" i="7" s="1"/>
  <c r="H593" i="7"/>
  <c r="G593" i="7"/>
  <c r="K592" i="7"/>
  <c r="N592" i="7" s="1"/>
  <c r="J592" i="7"/>
  <c r="M592" i="7" s="1"/>
  <c r="H592" i="7"/>
  <c r="G592" i="7"/>
  <c r="H591" i="7"/>
  <c r="G591" i="7"/>
  <c r="H590" i="7"/>
  <c r="G590" i="7"/>
  <c r="D590" i="7"/>
  <c r="D591" i="7" s="1"/>
  <c r="D592" i="7" s="1"/>
  <c r="D593" i="7" s="1"/>
  <c r="D594" i="7" s="1"/>
  <c r="D595" i="7" s="1"/>
  <c r="D596" i="7" s="1"/>
  <c r="D597" i="7" s="1"/>
  <c r="D598" i="7" s="1"/>
  <c r="D599" i="7" s="1"/>
  <c r="D600" i="7" s="1"/>
  <c r="D601" i="7" s="1"/>
  <c r="AB589" i="7"/>
  <c r="Y589" i="7"/>
  <c r="W589" i="7"/>
  <c r="U589" i="7"/>
  <c r="C589" i="7"/>
  <c r="C590" i="7" s="1"/>
  <c r="C591" i="7" s="1"/>
  <c r="H588" i="7"/>
  <c r="G588" i="7"/>
  <c r="H587" i="7"/>
  <c r="G587" i="7"/>
  <c r="H586" i="7"/>
  <c r="G586" i="7"/>
  <c r="H585" i="7"/>
  <c r="G585" i="7"/>
  <c r="H584" i="7"/>
  <c r="G584" i="7"/>
  <c r="H583" i="7"/>
  <c r="G583" i="7"/>
  <c r="H582" i="7"/>
  <c r="G582" i="7"/>
  <c r="H581" i="7"/>
  <c r="G581" i="7"/>
  <c r="D581" i="7"/>
  <c r="D582" i="7" s="1"/>
  <c r="D583" i="7" s="1"/>
  <c r="D584" i="7" s="1"/>
  <c r="D585" i="7" s="1"/>
  <c r="D586" i="7" s="1"/>
  <c r="D587" i="7" s="1"/>
  <c r="D588" i="7" s="1"/>
  <c r="AB580" i="7"/>
  <c r="Y580" i="7"/>
  <c r="W580" i="7"/>
  <c r="U580" i="7"/>
  <c r="C580" i="7"/>
  <c r="C581" i="7" s="1"/>
  <c r="K579" i="7"/>
  <c r="N579" i="7" s="1"/>
  <c r="J579" i="7"/>
  <c r="M579" i="7" s="1"/>
  <c r="H579" i="7"/>
  <c r="G579" i="7"/>
  <c r="H578" i="7"/>
  <c r="G578" i="7"/>
  <c r="K577" i="7"/>
  <c r="N577" i="7" s="1"/>
  <c r="J577" i="7"/>
  <c r="H577" i="7"/>
  <c r="G577" i="7"/>
  <c r="K576" i="7"/>
  <c r="N576" i="7" s="1"/>
  <c r="J576" i="7"/>
  <c r="H576" i="7"/>
  <c r="G576" i="7"/>
  <c r="K575" i="7"/>
  <c r="N575" i="7" s="1"/>
  <c r="J575" i="7"/>
  <c r="H575" i="7"/>
  <c r="G575" i="7"/>
  <c r="K574" i="7"/>
  <c r="N574" i="7" s="1"/>
  <c r="J574" i="7"/>
  <c r="H574" i="7"/>
  <c r="G574" i="7"/>
  <c r="K573" i="7"/>
  <c r="N573" i="7" s="1"/>
  <c r="J573" i="7"/>
  <c r="M573" i="7" s="1"/>
  <c r="H573" i="7"/>
  <c r="G573" i="7"/>
  <c r="K572" i="7"/>
  <c r="N572" i="7" s="1"/>
  <c r="J572" i="7"/>
  <c r="M572" i="7" s="1"/>
  <c r="H572" i="7"/>
  <c r="G572" i="7"/>
  <c r="K571" i="7"/>
  <c r="N571" i="7" s="1"/>
  <c r="J571" i="7"/>
  <c r="H571" i="7"/>
  <c r="G571" i="7"/>
  <c r="H570" i="7"/>
  <c r="G570" i="7"/>
  <c r="D570" i="7"/>
  <c r="D571" i="7" s="1"/>
  <c r="D572" i="7" s="1"/>
  <c r="D573" i="7" s="1"/>
  <c r="D574" i="7" s="1"/>
  <c r="D575" i="7" s="1"/>
  <c r="D576" i="7" s="1"/>
  <c r="D577" i="7" s="1"/>
  <c r="D578" i="7" s="1"/>
  <c r="D579" i="7" s="1"/>
  <c r="AB569" i="7"/>
  <c r="Y569" i="7"/>
  <c r="W569" i="7"/>
  <c r="U569" i="7"/>
  <c r="C569" i="7"/>
  <c r="C570" i="7" s="1"/>
  <c r="H568" i="7"/>
  <c r="G568" i="7"/>
  <c r="K567" i="7"/>
  <c r="N567" i="7" s="1"/>
  <c r="J567" i="7"/>
  <c r="M567" i="7" s="1"/>
  <c r="H567" i="7"/>
  <c r="G567" i="7"/>
  <c r="H566" i="7"/>
  <c r="G566" i="7"/>
  <c r="H565" i="7"/>
  <c r="G565" i="7"/>
  <c r="H564" i="7"/>
  <c r="G564" i="7"/>
  <c r="H563" i="7"/>
  <c r="G563" i="7"/>
  <c r="K562" i="7"/>
  <c r="N562" i="7" s="1"/>
  <c r="J562" i="7"/>
  <c r="M562" i="7" s="1"/>
  <c r="H562" i="7"/>
  <c r="G562" i="7"/>
  <c r="K561" i="7"/>
  <c r="N561" i="7" s="1"/>
  <c r="J561" i="7"/>
  <c r="H561" i="7"/>
  <c r="G561" i="7"/>
  <c r="K560" i="7"/>
  <c r="N560" i="7" s="1"/>
  <c r="J560" i="7"/>
  <c r="M560" i="7" s="1"/>
  <c r="H560" i="7"/>
  <c r="G560" i="7"/>
  <c r="K559" i="7"/>
  <c r="N559" i="7" s="1"/>
  <c r="J559" i="7"/>
  <c r="M559" i="7" s="1"/>
  <c r="H559" i="7"/>
  <c r="G559" i="7"/>
  <c r="K558" i="7"/>
  <c r="N558" i="7" s="1"/>
  <c r="J558" i="7"/>
  <c r="M558" i="7" s="1"/>
  <c r="H558" i="7"/>
  <c r="G558" i="7"/>
  <c r="H557" i="7"/>
  <c r="G557" i="7"/>
  <c r="D557" i="7"/>
  <c r="D558" i="7" s="1"/>
  <c r="D559" i="7" s="1"/>
  <c r="D560" i="7" s="1"/>
  <c r="D561" i="7" s="1"/>
  <c r="D562" i="7" s="1"/>
  <c r="D563" i="7" s="1"/>
  <c r="D564" i="7" s="1"/>
  <c r="D565" i="7" s="1"/>
  <c r="D566" i="7" s="1"/>
  <c r="D567" i="7" s="1"/>
  <c r="D568" i="7" s="1"/>
  <c r="AB556" i="7"/>
  <c r="Y556" i="7"/>
  <c r="W556" i="7"/>
  <c r="U556" i="7"/>
  <c r="C556" i="7"/>
  <c r="C557" i="7" s="1"/>
  <c r="H555" i="7"/>
  <c r="G555" i="7"/>
  <c r="H554" i="7"/>
  <c r="G554" i="7"/>
  <c r="H553" i="7"/>
  <c r="G553" i="7"/>
  <c r="H552" i="7"/>
  <c r="G552" i="7"/>
  <c r="K551" i="7"/>
  <c r="N551" i="7" s="1"/>
  <c r="J551" i="7"/>
  <c r="H551" i="7"/>
  <c r="G551" i="7"/>
  <c r="H550" i="7"/>
  <c r="G550" i="7"/>
  <c r="D550" i="7"/>
  <c r="D551" i="7" s="1"/>
  <c r="D552" i="7" s="1"/>
  <c r="D553" i="7" s="1"/>
  <c r="D554" i="7" s="1"/>
  <c r="D555" i="7" s="1"/>
  <c r="AB549" i="7"/>
  <c r="Y549" i="7"/>
  <c r="W549" i="7"/>
  <c r="U549" i="7"/>
  <c r="C549" i="7"/>
  <c r="C550" i="7" s="1"/>
  <c r="H548" i="7"/>
  <c r="G548" i="7"/>
  <c r="H547" i="7"/>
  <c r="G547" i="7"/>
  <c r="H546" i="7"/>
  <c r="G546" i="7"/>
  <c r="H545" i="7"/>
  <c r="G545" i="7"/>
  <c r="K544" i="7"/>
  <c r="N544" i="7" s="1"/>
  <c r="J544" i="7"/>
  <c r="H544" i="7"/>
  <c r="G544" i="7"/>
  <c r="H543" i="7"/>
  <c r="G543" i="7"/>
  <c r="D543" i="7"/>
  <c r="D544" i="7" s="1"/>
  <c r="D545" i="7" s="1"/>
  <c r="D546" i="7" s="1"/>
  <c r="D547" i="7" s="1"/>
  <c r="D548" i="7" s="1"/>
  <c r="AB542" i="7"/>
  <c r="Y542" i="7"/>
  <c r="W542" i="7"/>
  <c r="U542" i="7"/>
  <c r="C542" i="7"/>
  <c r="C543" i="7" s="1"/>
  <c r="H541" i="7"/>
  <c r="G541" i="7"/>
  <c r="H540" i="7"/>
  <c r="G540" i="7"/>
  <c r="H539" i="7"/>
  <c r="G539" i="7"/>
  <c r="H538" i="7"/>
  <c r="G538" i="7"/>
  <c r="K537" i="7"/>
  <c r="N537" i="7" s="1"/>
  <c r="J537" i="7"/>
  <c r="H537" i="7"/>
  <c r="G537" i="7"/>
  <c r="K536" i="7"/>
  <c r="N536" i="7" s="1"/>
  <c r="J536" i="7"/>
  <c r="H536" i="7"/>
  <c r="G536" i="7"/>
  <c r="K535" i="7"/>
  <c r="N535" i="7" s="1"/>
  <c r="J535" i="7"/>
  <c r="M535" i="7" s="1"/>
  <c r="H535" i="7"/>
  <c r="G535" i="7"/>
  <c r="H534" i="7"/>
  <c r="G534" i="7"/>
  <c r="H533" i="7"/>
  <c r="G533" i="7"/>
  <c r="H532" i="7"/>
  <c r="G532" i="7"/>
  <c r="H531" i="7"/>
  <c r="G531" i="7"/>
  <c r="H530" i="7"/>
  <c r="G530" i="7"/>
  <c r="H529" i="7"/>
  <c r="G529" i="7"/>
  <c r="D529" i="7"/>
  <c r="D530" i="7" s="1"/>
  <c r="D531" i="7" s="1"/>
  <c r="D532" i="7" s="1"/>
  <c r="D533" i="7" s="1"/>
  <c r="D534" i="7" s="1"/>
  <c r="D535" i="7" s="1"/>
  <c r="D536" i="7" s="1"/>
  <c r="D537" i="7" s="1"/>
  <c r="D538" i="7" s="1"/>
  <c r="D539" i="7" s="1"/>
  <c r="D540" i="7" s="1"/>
  <c r="D541" i="7" s="1"/>
  <c r="AB528" i="7"/>
  <c r="Y528" i="7"/>
  <c r="W528" i="7"/>
  <c r="U528" i="7"/>
  <c r="C528" i="7"/>
  <c r="C529" i="7" s="1"/>
  <c r="H527" i="7"/>
  <c r="G527" i="7"/>
  <c r="K526" i="7"/>
  <c r="J526" i="7"/>
  <c r="M526" i="7" s="1"/>
  <c r="H526" i="7"/>
  <c r="G526" i="7"/>
  <c r="K525" i="7"/>
  <c r="N525" i="7" s="1"/>
  <c r="J525" i="7"/>
  <c r="M525" i="7" s="1"/>
  <c r="H525" i="7"/>
  <c r="G525" i="7"/>
  <c r="K524" i="7"/>
  <c r="N524" i="7" s="1"/>
  <c r="J524" i="7"/>
  <c r="M524" i="7" s="1"/>
  <c r="H524" i="7"/>
  <c r="G524" i="7"/>
  <c r="K523" i="7"/>
  <c r="N523" i="7" s="1"/>
  <c r="J523" i="7"/>
  <c r="M523" i="7" s="1"/>
  <c r="H523" i="7"/>
  <c r="G523" i="7"/>
  <c r="H522" i="7"/>
  <c r="G522" i="7"/>
  <c r="H521" i="7"/>
  <c r="G521" i="7"/>
  <c r="H520" i="7"/>
  <c r="G520" i="7"/>
  <c r="H519" i="7"/>
  <c r="G519" i="7"/>
  <c r="H518" i="7"/>
  <c r="G518" i="7"/>
  <c r="H517" i="7"/>
  <c r="G517" i="7"/>
  <c r="K516" i="7"/>
  <c r="N516" i="7" s="1"/>
  <c r="J516" i="7"/>
  <c r="M516" i="7" s="1"/>
  <c r="H516" i="7"/>
  <c r="G516" i="7"/>
  <c r="H515" i="7"/>
  <c r="G515" i="7"/>
  <c r="K514" i="7"/>
  <c r="N514" i="7" s="1"/>
  <c r="J514" i="7"/>
  <c r="H514" i="7"/>
  <c r="G514" i="7"/>
  <c r="K513" i="7"/>
  <c r="N513" i="7" s="1"/>
  <c r="J513" i="7"/>
  <c r="H513" i="7"/>
  <c r="G513" i="7"/>
  <c r="K512" i="7"/>
  <c r="N512" i="7" s="1"/>
  <c r="J512" i="7"/>
  <c r="H512" i="7"/>
  <c r="G512" i="7"/>
  <c r="H511" i="7"/>
  <c r="G511" i="7"/>
  <c r="H510" i="7"/>
  <c r="G510" i="7"/>
  <c r="K509" i="7"/>
  <c r="N509" i="7" s="1"/>
  <c r="J509" i="7"/>
  <c r="H509" i="7"/>
  <c r="G509" i="7"/>
  <c r="K508" i="7"/>
  <c r="N508" i="7" s="1"/>
  <c r="J508" i="7"/>
  <c r="M508" i="7" s="1"/>
  <c r="H508" i="7"/>
  <c r="G508" i="7"/>
  <c r="K507" i="7"/>
  <c r="N507" i="7" s="1"/>
  <c r="J507" i="7"/>
  <c r="M507" i="7" s="1"/>
  <c r="H507" i="7"/>
  <c r="G507" i="7"/>
  <c r="K506" i="7"/>
  <c r="N506" i="7" s="1"/>
  <c r="J506" i="7"/>
  <c r="H506" i="7"/>
  <c r="G506" i="7"/>
  <c r="K505" i="7"/>
  <c r="N505" i="7" s="1"/>
  <c r="J505" i="7"/>
  <c r="M505" i="7" s="1"/>
  <c r="H505" i="7"/>
  <c r="G505" i="7"/>
  <c r="K504" i="7"/>
  <c r="N504" i="7" s="1"/>
  <c r="J504" i="7"/>
  <c r="H504" i="7"/>
  <c r="G504" i="7"/>
  <c r="H503" i="7"/>
  <c r="G503" i="7"/>
  <c r="H502" i="7"/>
  <c r="G502" i="7"/>
  <c r="K501" i="7"/>
  <c r="N501" i="7" s="1"/>
  <c r="J501" i="7"/>
  <c r="M501" i="7" s="1"/>
  <c r="H501" i="7"/>
  <c r="G501" i="7"/>
  <c r="H500" i="7"/>
  <c r="G500" i="7"/>
  <c r="H499" i="7"/>
  <c r="G499" i="7"/>
  <c r="H498" i="7"/>
  <c r="G498" i="7"/>
  <c r="D498" i="7"/>
  <c r="D499" i="7" s="1"/>
  <c r="D500" i="7" s="1"/>
  <c r="D501" i="7" s="1"/>
  <c r="D502" i="7" s="1"/>
  <c r="D503" i="7" s="1"/>
  <c r="D504" i="7" s="1"/>
  <c r="D505" i="7" s="1"/>
  <c r="D506" i="7" s="1"/>
  <c r="D507" i="7" s="1"/>
  <c r="D508" i="7" s="1"/>
  <c r="D509" i="7" s="1"/>
  <c r="D510" i="7" s="1"/>
  <c r="D511" i="7" s="1"/>
  <c r="D512" i="7" s="1"/>
  <c r="D513" i="7" s="1"/>
  <c r="D514" i="7" s="1"/>
  <c r="D515" i="7" s="1"/>
  <c r="D516" i="7" s="1"/>
  <c r="D517" i="7" s="1"/>
  <c r="D518" i="7" s="1"/>
  <c r="D519" i="7" s="1"/>
  <c r="D520" i="7" s="1"/>
  <c r="D521" i="7" s="1"/>
  <c r="D522" i="7" s="1"/>
  <c r="D523" i="7" s="1"/>
  <c r="D524" i="7" s="1"/>
  <c r="D525" i="7" s="1"/>
  <c r="D526" i="7" s="1"/>
  <c r="D527" i="7" s="1"/>
  <c r="AB497" i="7"/>
  <c r="Y497" i="7"/>
  <c r="W497" i="7"/>
  <c r="U497" i="7"/>
  <c r="C497" i="7"/>
  <c r="C498" i="7" s="1"/>
  <c r="C499" i="7" s="1"/>
  <c r="C500" i="7" s="1"/>
  <c r="C501" i="7" s="1"/>
  <c r="C502" i="7" s="1"/>
  <c r="C503" i="7" s="1"/>
  <c r="C504" i="7" s="1"/>
  <c r="C505" i="7" s="1"/>
  <c r="C506" i="7" s="1"/>
  <c r="C507" i="7" s="1"/>
  <c r="C508" i="7" s="1"/>
  <c r="C509" i="7" s="1"/>
  <c r="H496" i="7"/>
  <c r="G496" i="7"/>
  <c r="K495" i="7"/>
  <c r="N495" i="7" s="1"/>
  <c r="J495" i="7"/>
  <c r="M495" i="7" s="1"/>
  <c r="H495" i="7"/>
  <c r="G495" i="7"/>
  <c r="H494" i="7"/>
  <c r="G494" i="7"/>
  <c r="H493" i="7"/>
  <c r="G493" i="7"/>
  <c r="H492" i="7"/>
  <c r="G492" i="7"/>
  <c r="H491" i="7"/>
  <c r="G491" i="7"/>
  <c r="H490" i="7"/>
  <c r="G490" i="7"/>
  <c r="H489" i="7"/>
  <c r="G489" i="7"/>
  <c r="H488" i="7"/>
  <c r="G488" i="7"/>
  <c r="K487" i="7"/>
  <c r="N487" i="7" s="1"/>
  <c r="J487" i="7"/>
  <c r="M487" i="7" s="1"/>
  <c r="H487" i="7"/>
  <c r="G487" i="7"/>
  <c r="K486" i="7"/>
  <c r="N486" i="7" s="1"/>
  <c r="J486" i="7"/>
  <c r="M486" i="7" s="1"/>
  <c r="H486" i="7"/>
  <c r="G486" i="7"/>
  <c r="K485" i="7"/>
  <c r="N485" i="7" s="1"/>
  <c r="J485" i="7"/>
  <c r="M485" i="7" s="1"/>
  <c r="H485" i="7"/>
  <c r="G485" i="7"/>
  <c r="K484" i="7"/>
  <c r="N484" i="7" s="1"/>
  <c r="J484" i="7"/>
  <c r="H484" i="7"/>
  <c r="G484" i="7"/>
  <c r="K483" i="7"/>
  <c r="N483" i="7" s="1"/>
  <c r="J483" i="7"/>
  <c r="M483" i="7" s="1"/>
  <c r="H483" i="7"/>
  <c r="G483" i="7"/>
  <c r="K482" i="7"/>
  <c r="N482" i="7" s="1"/>
  <c r="J482" i="7"/>
  <c r="M482" i="7" s="1"/>
  <c r="H482" i="7"/>
  <c r="G482" i="7"/>
  <c r="K481" i="7"/>
  <c r="N481" i="7" s="1"/>
  <c r="J481" i="7"/>
  <c r="M481" i="7" s="1"/>
  <c r="H481" i="7"/>
  <c r="G481" i="7"/>
  <c r="H480" i="7"/>
  <c r="G480" i="7"/>
  <c r="H479" i="7"/>
  <c r="G479" i="7"/>
  <c r="D479" i="7"/>
  <c r="D480" i="7" s="1"/>
  <c r="D481" i="7" s="1"/>
  <c r="D482" i="7" s="1"/>
  <c r="D483" i="7" s="1"/>
  <c r="D484" i="7" s="1"/>
  <c r="D485" i="7" s="1"/>
  <c r="D486" i="7" s="1"/>
  <c r="D487" i="7" s="1"/>
  <c r="D488" i="7" s="1"/>
  <c r="D489" i="7" s="1"/>
  <c r="D490" i="7" s="1"/>
  <c r="D491" i="7" s="1"/>
  <c r="D492" i="7" s="1"/>
  <c r="D493" i="7" s="1"/>
  <c r="D494" i="7" s="1"/>
  <c r="D495" i="7" s="1"/>
  <c r="D496" i="7" s="1"/>
  <c r="AB478" i="7"/>
  <c r="Y478" i="7"/>
  <c r="W478" i="7"/>
  <c r="U478" i="7"/>
  <c r="C478" i="7"/>
  <c r="C479" i="7" s="1"/>
  <c r="C480" i="7" s="1"/>
  <c r="H477" i="7"/>
  <c r="G477" i="7"/>
  <c r="H476" i="7"/>
  <c r="G476" i="7"/>
  <c r="H475" i="7"/>
  <c r="G475" i="7"/>
  <c r="H474" i="7"/>
  <c r="G474" i="7"/>
  <c r="H473" i="7"/>
  <c r="G473" i="7"/>
  <c r="H472" i="7"/>
  <c r="G472" i="7"/>
  <c r="H471" i="7"/>
  <c r="G471" i="7"/>
  <c r="H470" i="7"/>
  <c r="G470" i="7"/>
  <c r="D470" i="7"/>
  <c r="D471" i="7" s="1"/>
  <c r="D472" i="7" s="1"/>
  <c r="D473" i="7" s="1"/>
  <c r="D474" i="7" s="1"/>
  <c r="D475" i="7" s="1"/>
  <c r="D476" i="7" s="1"/>
  <c r="D477" i="7" s="1"/>
  <c r="AB469" i="7"/>
  <c r="Y469" i="7"/>
  <c r="W469" i="7"/>
  <c r="U469" i="7"/>
  <c r="C469" i="7"/>
  <c r="C470" i="7" s="1"/>
  <c r="C471" i="7" s="1"/>
  <c r="C472" i="7" s="1"/>
  <c r="C473" i="7" s="1"/>
  <c r="C474" i="7" s="1"/>
  <c r="C475" i="7" s="1"/>
  <c r="C476" i="7" s="1"/>
  <c r="C477" i="7" s="1"/>
  <c r="K468" i="7"/>
  <c r="N468" i="7" s="1"/>
  <c r="J468" i="7"/>
  <c r="H468" i="7"/>
  <c r="G468" i="7"/>
  <c r="K467" i="7"/>
  <c r="N467" i="7" s="1"/>
  <c r="J467" i="7"/>
  <c r="M467" i="7" s="1"/>
  <c r="H467" i="7"/>
  <c r="G467" i="7"/>
  <c r="H466" i="7"/>
  <c r="G466" i="7"/>
  <c r="H465" i="7"/>
  <c r="G465" i="7"/>
  <c r="K464" i="7"/>
  <c r="N464" i="7" s="1"/>
  <c r="J464" i="7"/>
  <c r="M464" i="7" s="1"/>
  <c r="H464" i="7"/>
  <c r="G464" i="7"/>
  <c r="H463" i="7"/>
  <c r="G463" i="7"/>
  <c r="K462" i="7"/>
  <c r="N462" i="7" s="1"/>
  <c r="J462" i="7"/>
  <c r="M462" i="7" s="1"/>
  <c r="H462" i="7"/>
  <c r="G462" i="7"/>
  <c r="K461" i="7"/>
  <c r="N461" i="7" s="1"/>
  <c r="J461" i="7"/>
  <c r="H461" i="7"/>
  <c r="G461" i="7"/>
  <c r="K460" i="7"/>
  <c r="N460" i="7" s="1"/>
  <c r="J460" i="7"/>
  <c r="H460" i="7"/>
  <c r="G460" i="7"/>
  <c r="H459" i="7"/>
  <c r="G459" i="7"/>
  <c r="K458" i="7"/>
  <c r="N458" i="7" s="1"/>
  <c r="J458" i="7"/>
  <c r="M458" i="7" s="1"/>
  <c r="H458" i="7"/>
  <c r="G458" i="7"/>
  <c r="H457" i="7"/>
  <c r="G457" i="7"/>
  <c r="D457" i="7"/>
  <c r="AB456" i="7"/>
  <c r="Y456" i="7"/>
  <c r="W456" i="7"/>
  <c r="U456" i="7"/>
  <c r="C456" i="7"/>
  <c r="C457" i="7" s="1"/>
  <c r="C458" i="7" s="1"/>
  <c r="C459" i="7" s="1"/>
  <c r="C460" i="7" s="1"/>
  <c r="C461" i="7" s="1"/>
  <c r="H455" i="7"/>
  <c r="G455" i="7"/>
  <c r="K454" i="7"/>
  <c r="J454" i="7"/>
  <c r="M454" i="7" s="1"/>
  <c r="H454" i="7"/>
  <c r="G454" i="7"/>
  <c r="H453" i="7"/>
  <c r="G453" i="7"/>
  <c r="H452" i="7"/>
  <c r="G452" i="7"/>
  <c r="H451" i="7"/>
  <c r="G451" i="7"/>
  <c r="H450" i="7"/>
  <c r="G450" i="7"/>
  <c r="H449" i="7"/>
  <c r="G449" i="7"/>
  <c r="K448" i="7"/>
  <c r="N448" i="7" s="1"/>
  <c r="J448" i="7"/>
  <c r="M448" i="7" s="1"/>
  <c r="H448" i="7"/>
  <c r="G448" i="7"/>
  <c r="K447" i="7"/>
  <c r="N447" i="7" s="1"/>
  <c r="J447" i="7"/>
  <c r="H447" i="7"/>
  <c r="G447" i="7"/>
  <c r="K446" i="7"/>
  <c r="N446" i="7" s="1"/>
  <c r="J446" i="7"/>
  <c r="M446" i="7" s="1"/>
  <c r="H446" i="7"/>
  <c r="G446" i="7"/>
  <c r="K445" i="7"/>
  <c r="N445" i="7" s="1"/>
  <c r="J445" i="7"/>
  <c r="M445" i="7" s="1"/>
  <c r="H445" i="7"/>
  <c r="G445" i="7"/>
  <c r="K444" i="7"/>
  <c r="N444" i="7" s="1"/>
  <c r="J444" i="7"/>
  <c r="M444" i="7" s="1"/>
  <c r="H444" i="7"/>
  <c r="G444" i="7"/>
  <c r="H443" i="7"/>
  <c r="G443" i="7"/>
  <c r="H442" i="7"/>
  <c r="G442" i="7"/>
  <c r="D442" i="7"/>
  <c r="D443" i="7" s="1"/>
  <c r="D444" i="7" s="1"/>
  <c r="D445" i="7" s="1"/>
  <c r="D446" i="7" s="1"/>
  <c r="D447" i="7" s="1"/>
  <c r="D448" i="7" s="1"/>
  <c r="D449" i="7" s="1"/>
  <c r="D450" i="7" s="1"/>
  <c r="D451" i="7" s="1"/>
  <c r="D452" i="7" s="1"/>
  <c r="D453" i="7" s="1"/>
  <c r="D454" i="7" s="1"/>
  <c r="D455" i="7" s="1"/>
  <c r="AB441" i="7"/>
  <c r="Y441" i="7"/>
  <c r="W441" i="7"/>
  <c r="U441" i="7"/>
  <c r="C441" i="7"/>
  <c r="C442" i="7" s="1"/>
  <c r="H440" i="7"/>
  <c r="G440" i="7"/>
  <c r="H439" i="7"/>
  <c r="G439" i="7"/>
  <c r="H438" i="7"/>
  <c r="G438" i="7"/>
  <c r="H437" i="7"/>
  <c r="G437" i="7"/>
  <c r="H436" i="7"/>
  <c r="G436" i="7"/>
  <c r="H435" i="7"/>
  <c r="G435" i="7"/>
  <c r="H434" i="7"/>
  <c r="G434" i="7"/>
  <c r="H433" i="7"/>
  <c r="G433" i="7"/>
  <c r="H432" i="7"/>
  <c r="G432" i="7"/>
  <c r="D432" i="7"/>
  <c r="D433" i="7" s="1"/>
  <c r="D434" i="7" s="1"/>
  <c r="D435" i="7" s="1"/>
  <c r="D436" i="7" s="1"/>
  <c r="D437" i="7" s="1"/>
  <c r="D438" i="7" s="1"/>
  <c r="D439" i="7" s="1"/>
  <c r="D440" i="7" s="1"/>
  <c r="AB431" i="7"/>
  <c r="Y431" i="7"/>
  <c r="W431" i="7"/>
  <c r="U431" i="7"/>
  <c r="C431" i="7"/>
  <c r="C432" i="7" s="1"/>
  <c r="C433" i="7" s="1"/>
  <c r="K430" i="7"/>
  <c r="N430" i="7" s="1"/>
  <c r="J430" i="7"/>
  <c r="M430" i="7" s="1"/>
  <c r="H430" i="7"/>
  <c r="G430" i="7"/>
  <c r="K429" i="7"/>
  <c r="N429" i="7" s="1"/>
  <c r="J429" i="7"/>
  <c r="M429" i="7" s="1"/>
  <c r="H429" i="7"/>
  <c r="G429" i="7"/>
  <c r="K428" i="7"/>
  <c r="N428" i="7" s="1"/>
  <c r="J428" i="7"/>
  <c r="M428" i="7" s="1"/>
  <c r="H428" i="7"/>
  <c r="G428" i="7"/>
  <c r="H427" i="7"/>
  <c r="G427" i="7"/>
  <c r="K426" i="7"/>
  <c r="N426" i="7" s="1"/>
  <c r="J426" i="7"/>
  <c r="M426" i="7" s="1"/>
  <c r="H426" i="7"/>
  <c r="G426" i="7"/>
  <c r="K425" i="7"/>
  <c r="N425" i="7" s="1"/>
  <c r="J425" i="7"/>
  <c r="H425" i="7"/>
  <c r="G425" i="7"/>
  <c r="K424" i="7"/>
  <c r="N424" i="7" s="1"/>
  <c r="J424" i="7"/>
  <c r="M424" i="7" s="1"/>
  <c r="H424" i="7"/>
  <c r="G424" i="7"/>
  <c r="H423" i="7"/>
  <c r="G423" i="7"/>
  <c r="K422" i="7"/>
  <c r="J422" i="7"/>
  <c r="M422" i="7" s="1"/>
  <c r="H422" i="7"/>
  <c r="G422" i="7"/>
  <c r="K421" i="7"/>
  <c r="N421" i="7" s="1"/>
  <c r="J421" i="7"/>
  <c r="M421" i="7" s="1"/>
  <c r="H421" i="7"/>
  <c r="G421" i="7"/>
  <c r="K420" i="7"/>
  <c r="N420" i="7" s="1"/>
  <c r="J420" i="7"/>
  <c r="M420" i="7" s="1"/>
  <c r="H420" i="7"/>
  <c r="G420" i="7"/>
  <c r="K419" i="7"/>
  <c r="N419" i="7" s="1"/>
  <c r="J419" i="7"/>
  <c r="M419" i="7" s="1"/>
  <c r="H419" i="7"/>
  <c r="G419" i="7"/>
  <c r="K418" i="7"/>
  <c r="N418" i="7" s="1"/>
  <c r="J418" i="7"/>
  <c r="M418" i="7" s="1"/>
  <c r="H418" i="7"/>
  <c r="G418" i="7"/>
  <c r="H417" i="7"/>
  <c r="G417" i="7"/>
  <c r="H416" i="7"/>
  <c r="G416" i="7"/>
  <c r="H415" i="7"/>
  <c r="G415" i="7"/>
  <c r="D415" i="7"/>
  <c r="AB414" i="7"/>
  <c r="Y414" i="7"/>
  <c r="W414" i="7"/>
  <c r="U414" i="7"/>
  <c r="C414" i="7"/>
  <c r="C415" i="7" s="1"/>
  <c r="C416" i="7" s="1"/>
  <c r="C417" i="7" s="1"/>
  <c r="C418" i="7" s="1"/>
  <c r="C419" i="7" s="1"/>
  <c r="C420" i="7" s="1"/>
  <c r="C421" i="7" s="1"/>
  <c r="C422" i="7" s="1"/>
  <c r="C423" i="7" s="1"/>
  <c r="C424" i="7" s="1"/>
  <c r="C425" i="7" s="1"/>
  <c r="C426" i="7" s="1"/>
  <c r="C427" i="7" s="1"/>
  <c r="C428" i="7" s="1"/>
  <c r="C429" i="7" s="1"/>
  <c r="C430" i="7" s="1"/>
  <c r="H413" i="7"/>
  <c r="G413" i="7"/>
  <c r="K412" i="7"/>
  <c r="N412" i="7" s="1"/>
  <c r="J412" i="7"/>
  <c r="H412" i="7"/>
  <c r="G412" i="7"/>
  <c r="H411" i="7"/>
  <c r="G411" i="7"/>
  <c r="H410" i="7"/>
  <c r="G410" i="7"/>
  <c r="H409" i="7"/>
  <c r="G409" i="7"/>
  <c r="H408" i="7"/>
  <c r="G408" i="7"/>
  <c r="H407" i="7"/>
  <c r="G407" i="7"/>
  <c r="H406" i="7"/>
  <c r="G406" i="7"/>
  <c r="H405" i="7"/>
  <c r="G405" i="7"/>
  <c r="K404" i="7"/>
  <c r="N404" i="7" s="1"/>
  <c r="J404" i="7"/>
  <c r="M404" i="7" s="1"/>
  <c r="H404" i="7"/>
  <c r="G404" i="7"/>
  <c r="K403" i="7"/>
  <c r="N403" i="7" s="1"/>
  <c r="J403" i="7"/>
  <c r="M403" i="7" s="1"/>
  <c r="H403" i="7"/>
  <c r="G403" i="7"/>
  <c r="K402" i="7"/>
  <c r="N402" i="7" s="1"/>
  <c r="J402" i="7"/>
  <c r="H402" i="7"/>
  <c r="G402" i="7"/>
  <c r="K401" i="7"/>
  <c r="N401" i="7" s="1"/>
  <c r="J401" i="7"/>
  <c r="M401" i="7" s="1"/>
  <c r="H401" i="7"/>
  <c r="G401" i="7"/>
  <c r="K400" i="7"/>
  <c r="N400" i="7" s="1"/>
  <c r="J400" i="7"/>
  <c r="M400" i="7" s="1"/>
  <c r="H400" i="7"/>
  <c r="G400" i="7"/>
  <c r="K399" i="7"/>
  <c r="N399" i="7" s="1"/>
  <c r="J399" i="7"/>
  <c r="M399" i="7" s="1"/>
  <c r="H399" i="7"/>
  <c r="G399" i="7"/>
  <c r="H398" i="7"/>
  <c r="G398" i="7"/>
  <c r="H397" i="7"/>
  <c r="G397" i="7"/>
  <c r="D397" i="7"/>
  <c r="D398" i="7" s="1"/>
  <c r="D399" i="7" s="1"/>
  <c r="D400" i="7" s="1"/>
  <c r="D401" i="7" s="1"/>
  <c r="D402" i="7" s="1"/>
  <c r="D403" i="7" s="1"/>
  <c r="D404" i="7" s="1"/>
  <c r="D405" i="7" s="1"/>
  <c r="D406" i="7" s="1"/>
  <c r="D407" i="7" s="1"/>
  <c r="D408" i="7" s="1"/>
  <c r="D409" i="7" s="1"/>
  <c r="D410" i="7" s="1"/>
  <c r="D411" i="7" s="1"/>
  <c r="D412" i="7" s="1"/>
  <c r="D413" i="7" s="1"/>
  <c r="AB396" i="7"/>
  <c r="Y396" i="7"/>
  <c r="W396" i="7"/>
  <c r="U396" i="7"/>
  <c r="C396" i="7"/>
  <c r="C397" i="7" s="1"/>
  <c r="H395" i="7"/>
  <c r="G395" i="7"/>
  <c r="K394" i="7"/>
  <c r="N394" i="7" s="1"/>
  <c r="J394" i="7"/>
  <c r="M394" i="7" s="1"/>
  <c r="H394" i="7"/>
  <c r="G394" i="7"/>
  <c r="K393" i="7"/>
  <c r="N393" i="7" s="1"/>
  <c r="J393" i="7"/>
  <c r="M393" i="7" s="1"/>
  <c r="H393" i="7"/>
  <c r="G393" i="7"/>
  <c r="H392" i="7"/>
  <c r="G392" i="7"/>
  <c r="K391" i="7"/>
  <c r="N391" i="7" s="1"/>
  <c r="J391" i="7"/>
  <c r="H391" i="7"/>
  <c r="G391" i="7"/>
  <c r="H390" i="7"/>
  <c r="G390" i="7"/>
  <c r="K389" i="7"/>
  <c r="N389" i="7" s="1"/>
  <c r="J389" i="7"/>
  <c r="H389" i="7"/>
  <c r="G389" i="7"/>
  <c r="D389" i="7"/>
  <c r="D390" i="7" s="1"/>
  <c r="D391" i="7" s="1"/>
  <c r="D392" i="7" s="1"/>
  <c r="D393" i="7" s="1"/>
  <c r="D394" i="7" s="1"/>
  <c r="D395" i="7" s="1"/>
  <c r="AB388" i="7"/>
  <c r="Y388" i="7"/>
  <c r="W388" i="7"/>
  <c r="U388" i="7"/>
  <c r="C388" i="7"/>
  <c r="C389" i="7" s="1"/>
  <c r="H387" i="7"/>
  <c r="G387" i="7"/>
  <c r="K386" i="7"/>
  <c r="N386" i="7" s="1"/>
  <c r="J386" i="7"/>
  <c r="M386" i="7" s="1"/>
  <c r="H386" i="7"/>
  <c r="G386" i="7"/>
  <c r="K385" i="7"/>
  <c r="N385" i="7" s="1"/>
  <c r="J385" i="7"/>
  <c r="H385" i="7"/>
  <c r="G385" i="7"/>
  <c r="H384" i="7"/>
  <c r="G384" i="7"/>
  <c r="K383" i="7"/>
  <c r="N383" i="7" s="1"/>
  <c r="J383" i="7"/>
  <c r="H383" i="7"/>
  <c r="G383" i="7"/>
  <c r="H382" i="7"/>
  <c r="G382" i="7"/>
  <c r="H381" i="7"/>
  <c r="G381" i="7"/>
  <c r="H380" i="7"/>
  <c r="G380" i="7"/>
  <c r="H379" i="7"/>
  <c r="G379" i="7"/>
  <c r="H378" i="7"/>
  <c r="G378" i="7"/>
  <c r="K377" i="7"/>
  <c r="N377" i="7" s="1"/>
  <c r="J377" i="7"/>
  <c r="M377" i="7" s="1"/>
  <c r="H377" i="7"/>
  <c r="G377" i="7"/>
  <c r="H376" i="7"/>
  <c r="G376" i="7"/>
  <c r="H375" i="7"/>
  <c r="G375" i="7"/>
  <c r="H374" i="7"/>
  <c r="G374" i="7"/>
  <c r="H373" i="7"/>
  <c r="G373" i="7"/>
  <c r="H372" i="7"/>
  <c r="G372" i="7"/>
  <c r="K371" i="7"/>
  <c r="N371" i="7" s="1"/>
  <c r="J371" i="7"/>
  <c r="H371" i="7"/>
  <c r="G371" i="7"/>
  <c r="H370" i="7"/>
  <c r="G370" i="7"/>
  <c r="D370" i="7"/>
  <c r="D371" i="7" s="1"/>
  <c r="D372" i="7" s="1"/>
  <c r="D373" i="7" s="1"/>
  <c r="D374" i="7" s="1"/>
  <c r="D375" i="7" s="1"/>
  <c r="D376" i="7" s="1"/>
  <c r="D377" i="7" s="1"/>
  <c r="D378" i="7" s="1"/>
  <c r="D379" i="7" s="1"/>
  <c r="D380" i="7" s="1"/>
  <c r="D381" i="7" s="1"/>
  <c r="D382" i="7" s="1"/>
  <c r="D383" i="7" s="1"/>
  <c r="D384" i="7" s="1"/>
  <c r="D385" i="7" s="1"/>
  <c r="D386" i="7" s="1"/>
  <c r="D387" i="7" s="1"/>
  <c r="AB369" i="7"/>
  <c r="Y369" i="7"/>
  <c r="W369" i="7"/>
  <c r="U369" i="7"/>
  <c r="C369" i="7"/>
  <c r="C370" i="7" s="1"/>
  <c r="AB368" i="7"/>
  <c r="Y368" i="7"/>
  <c r="W368" i="7"/>
  <c r="U368" i="7"/>
  <c r="C368" i="7"/>
  <c r="H367" i="7"/>
  <c r="G367" i="7"/>
  <c r="H366" i="7"/>
  <c r="G366" i="7"/>
  <c r="H365" i="7"/>
  <c r="G365" i="7"/>
  <c r="D365" i="7"/>
  <c r="D366" i="7" s="1"/>
  <c r="D367" i="7" s="1"/>
  <c r="AB364" i="7"/>
  <c r="Y364" i="7"/>
  <c r="W364" i="7"/>
  <c r="U364" i="7"/>
  <c r="C364" i="7"/>
  <c r="C365" i="7" s="1"/>
  <c r="H363" i="7"/>
  <c r="G363" i="7"/>
  <c r="H362" i="7"/>
  <c r="G362" i="7"/>
  <c r="D362" i="7"/>
  <c r="D363" i="7" s="1"/>
  <c r="AB361" i="7"/>
  <c r="Y361" i="7"/>
  <c r="W361" i="7"/>
  <c r="U361" i="7"/>
  <c r="C361" i="7"/>
  <c r="C362" i="7" s="1"/>
  <c r="C363" i="7" s="1"/>
  <c r="AB360" i="7"/>
  <c r="Y360" i="7"/>
  <c r="W360" i="7"/>
  <c r="U360" i="7"/>
  <c r="C360" i="7"/>
  <c r="K359" i="7"/>
  <c r="N359" i="7" s="1"/>
  <c r="J359" i="7"/>
  <c r="H359" i="7"/>
  <c r="G359" i="7"/>
  <c r="K358" i="7"/>
  <c r="N358" i="7" s="1"/>
  <c r="J358" i="7"/>
  <c r="H358" i="7"/>
  <c r="G358" i="7"/>
  <c r="K357" i="7"/>
  <c r="N357" i="7" s="1"/>
  <c r="J357" i="7"/>
  <c r="H357" i="7"/>
  <c r="G357" i="7"/>
  <c r="K356" i="7"/>
  <c r="N356" i="7" s="1"/>
  <c r="J356" i="7"/>
  <c r="H356" i="7"/>
  <c r="G356" i="7"/>
  <c r="K355" i="7"/>
  <c r="N355" i="7" s="1"/>
  <c r="J355" i="7"/>
  <c r="H355" i="7"/>
  <c r="G355" i="7"/>
  <c r="D355" i="7"/>
  <c r="D356" i="7" s="1"/>
  <c r="D357" i="7" s="1"/>
  <c r="D358" i="7" s="1"/>
  <c r="D359" i="7" s="1"/>
  <c r="AB354" i="7"/>
  <c r="Y354" i="7"/>
  <c r="W354" i="7"/>
  <c r="U354" i="7"/>
  <c r="C354" i="7"/>
  <c r="C355" i="7" s="1"/>
  <c r="C356" i="7" s="1"/>
  <c r="C357" i="7" s="1"/>
  <c r="H353" i="7"/>
  <c r="G353" i="7"/>
  <c r="D353" i="7"/>
  <c r="AB352" i="7"/>
  <c r="Y352" i="7"/>
  <c r="W352" i="7"/>
  <c r="U352" i="7"/>
  <c r="C352" i="7"/>
  <c r="C353" i="7" s="1"/>
  <c r="AB351" i="7"/>
  <c r="Y351" i="7"/>
  <c r="W351" i="7"/>
  <c r="U351" i="7"/>
  <c r="C351" i="7"/>
  <c r="K350" i="7"/>
  <c r="N350" i="7" s="1"/>
  <c r="J350" i="7"/>
  <c r="H350" i="7"/>
  <c r="G350" i="7"/>
  <c r="K349" i="7"/>
  <c r="J349" i="7"/>
  <c r="I349" i="7"/>
  <c r="H349" i="7"/>
  <c r="G349" i="7"/>
  <c r="K348" i="7"/>
  <c r="J348" i="7"/>
  <c r="I348" i="7"/>
  <c r="H348" i="7"/>
  <c r="G348" i="7"/>
  <c r="D348" i="7"/>
  <c r="AB347" i="7"/>
  <c r="Y347" i="7"/>
  <c r="W347" i="7"/>
  <c r="U347" i="7"/>
  <c r="C347" i="7"/>
  <c r="C348" i="7" s="1"/>
  <c r="C349" i="7" s="1"/>
  <c r="K346" i="7"/>
  <c r="N346" i="7" s="1"/>
  <c r="J346" i="7"/>
  <c r="H346" i="7"/>
  <c r="G346" i="7"/>
  <c r="D346" i="7"/>
  <c r="AB345" i="7"/>
  <c r="Y345" i="7"/>
  <c r="W345" i="7"/>
  <c r="U345" i="7"/>
  <c r="C345" i="7"/>
  <c r="C346" i="7" s="1"/>
  <c r="K344" i="7"/>
  <c r="N344" i="7" s="1"/>
  <c r="J344" i="7"/>
  <c r="H344" i="7"/>
  <c r="G344" i="7"/>
  <c r="K343" i="7"/>
  <c r="N343" i="7" s="1"/>
  <c r="J343" i="7"/>
  <c r="H343" i="7"/>
  <c r="G343" i="7"/>
  <c r="K342" i="7"/>
  <c r="N342" i="7" s="1"/>
  <c r="J342" i="7"/>
  <c r="H342" i="7"/>
  <c r="G342" i="7"/>
  <c r="H341" i="7"/>
  <c r="G341" i="7"/>
  <c r="H340" i="7"/>
  <c r="G340" i="7"/>
  <c r="D340" i="7"/>
  <c r="D341" i="7" s="1"/>
  <c r="AB339" i="7"/>
  <c r="Y339" i="7"/>
  <c r="W339" i="7"/>
  <c r="U339" i="7"/>
  <c r="C339" i="7"/>
  <c r="C340" i="7" s="1"/>
  <c r="C341" i="7" s="1"/>
  <c r="C342" i="7" s="1"/>
  <c r="C343" i="7" s="1"/>
  <c r="C344" i="7" s="1"/>
  <c r="H338" i="7"/>
  <c r="G338" i="7"/>
  <c r="H337" i="7"/>
  <c r="G337" i="7"/>
  <c r="H336" i="7"/>
  <c r="G336" i="7"/>
  <c r="H335" i="7"/>
  <c r="G335" i="7"/>
  <c r="H334" i="7"/>
  <c r="G334" i="7"/>
  <c r="D334" i="7"/>
  <c r="D335" i="7" s="1"/>
  <c r="D336" i="7" s="1"/>
  <c r="D337" i="7" s="1"/>
  <c r="D338" i="7" s="1"/>
  <c r="AB333" i="7"/>
  <c r="Y333" i="7"/>
  <c r="W333" i="7"/>
  <c r="U333" i="7"/>
  <c r="C333" i="7"/>
  <c r="C334" i="7" s="1"/>
  <c r="C335" i="7" s="1"/>
  <c r="AB332" i="7"/>
  <c r="Y332" i="7"/>
  <c r="W332" i="7"/>
  <c r="U332" i="7"/>
  <c r="C332" i="7"/>
  <c r="H331" i="7"/>
  <c r="G331" i="7"/>
  <c r="H330" i="7"/>
  <c r="G330" i="7"/>
  <c r="H329" i="7"/>
  <c r="G329" i="7"/>
  <c r="H328" i="7"/>
  <c r="G328" i="7"/>
  <c r="D328" i="7"/>
  <c r="D329" i="7" s="1"/>
  <c r="D330" i="7" s="1"/>
  <c r="D331" i="7" s="1"/>
  <c r="AB327" i="7"/>
  <c r="Y327" i="7"/>
  <c r="W327" i="7"/>
  <c r="U327" i="7"/>
  <c r="C327" i="7"/>
  <c r="C328" i="7" s="1"/>
  <c r="H326" i="7"/>
  <c r="G326" i="7"/>
  <c r="D326" i="7"/>
  <c r="AB325" i="7"/>
  <c r="Y325" i="7"/>
  <c r="W325" i="7"/>
  <c r="U325" i="7"/>
  <c r="C325" i="7"/>
  <c r="C326" i="7" s="1"/>
  <c r="H324" i="7"/>
  <c r="G324" i="7"/>
  <c r="H323" i="7"/>
  <c r="G323" i="7"/>
  <c r="K322" i="7"/>
  <c r="J322" i="7"/>
  <c r="M322" i="7" s="1"/>
  <c r="H322" i="7"/>
  <c r="G322" i="7"/>
  <c r="H321" i="7"/>
  <c r="G321" i="7"/>
  <c r="H320" i="7"/>
  <c r="G320" i="7"/>
  <c r="H319" i="7"/>
  <c r="G319" i="7"/>
  <c r="H318" i="7"/>
  <c r="G318" i="7"/>
  <c r="H317" i="7"/>
  <c r="G317" i="7"/>
  <c r="D317" i="7"/>
  <c r="D318" i="7" s="1"/>
  <c r="D319" i="7" s="1"/>
  <c r="D320" i="7" s="1"/>
  <c r="D321" i="7" s="1"/>
  <c r="D322" i="7" s="1"/>
  <c r="D323" i="7" s="1"/>
  <c r="D324" i="7" s="1"/>
  <c r="AB316" i="7"/>
  <c r="Y316" i="7"/>
  <c r="W316" i="7"/>
  <c r="U316" i="7"/>
  <c r="C316" i="7"/>
  <c r="C317" i="7" s="1"/>
  <c r="AB315" i="7"/>
  <c r="Y315" i="7"/>
  <c r="W315" i="7"/>
  <c r="U315" i="7"/>
  <c r="C315" i="7"/>
  <c r="K314" i="7"/>
  <c r="N314" i="7" s="1"/>
  <c r="J314" i="7"/>
  <c r="M314" i="7" s="1"/>
  <c r="H314" i="7"/>
  <c r="G314" i="7"/>
  <c r="K313" i="7"/>
  <c r="N313" i="7" s="1"/>
  <c r="J313" i="7"/>
  <c r="H313" i="7"/>
  <c r="G313" i="7"/>
  <c r="K312" i="7"/>
  <c r="N312" i="7" s="1"/>
  <c r="J312" i="7"/>
  <c r="M312" i="7" s="1"/>
  <c r="H312" i="7"/>
  <c r="G312" i="7"/>
  <c r="K311" i="7"/>
  <c r="N311" i="7" s="1"/>
  <c r="J311" i="7"/>
  <c r="H311" i="7"/>
  <c r="G311" i="7"/>
  <c r="K310" i="7"/>
  <c r="N310" i="7" s="1"/>
  <c r="J310" i="7"/>
  <c r="M310" i="7" s="1"/>
  <c r="H310" i="7"/>
  <c r="G310" i="7"/>
  <c r="K309" i="7"/>
  <c r="N309" i="7" s="1"/>
  <c r="J309" i="7"/>
  <c r="M309" i="7" s="1"/>
  <c r="H309" i="7"/>
  <c r="G309" i="7"/>
  <c r="K308" i="7"/>
  <c r="N308" i="7" s="1"/>
  <c r="J308" i="7"/>
  <c r="H308" i="7"/>
  <c r="G308" i="7"/>
  <c r="D308" i="7"/>
  <c r="D309" i="7" s="1"/>
  <c r="D310" i="7" s="1"/>
  <c r="D311" i="7" s="1"/>
  <c r="D312" i="7" s="1"/>
  <c r="D313" i="7" s="1"/>
  <c r="D314" i="7" s="1"/>
  <c r="AB307" i="7"/>
  <c r="Y307" i="7"/>
  <c r="W307" i="7"/>
  <c r="U307" i="7"/>
  <c r="C307" i="7"/>
  <c r="C308" i="7" s="1"/>
  <c r="H306" i="7"/>
  <c r="G306" i="7"/>
  <c r="D306" i="7"/>
  <c r="AB305" i="7"/>
  <c r="Y305" i="7"/>
  <c r="W305" i="7"/>
  <c r="U305" i="7"/>
  <c r="C305" i="7"/>
  <c r="C306" i="7" s="1"/>
  <c r="H304" i="7"/>
  <c r="G304" i="7"/>
  <c r="H303" i="7"/>
  <c r="G303" i="7"/>
  <c r="H302" i="7"/>
  <c r="G302" i="7"/>
  <c r="H301" i="7"/>
  <c r="G301" i="7"/>
  <c r="D301" i="7"/>
  <c r="D302" i="7" s="1"/>
  <c r="D303" i="7" s="1"/>
  <c r="D304" i="7" s="1"/>
  <c r="AB300" i="7"/>
  <c r="Y300" i="7"/>
  <c r="W300" i="7"/>
  <c r="U300" i="7"/>
  <c r="C300" i="7"/>
  <c r="C301" i="7" s="1"/>
  <c r="AB299" i="7"/>
  <c r="Y299" i="7"/>
  <c r="W299" i="7"/>
  <c r="U299" i="7"/>
  <c r="C299" i="7"/>
  <c r="K298" i="7"/>
  <c r="N298" i="7" s="1"/>
  <c r="J298" i="7"/>
  <c r="M298" i="7" s="1"/>
  <c r="H298" i="7"/>
  <c r="G298" i="7"/>
  <c r="K297" i="7"/>
  <c r="N297" i="7" s="1"/>
  <c r="J297" i="7"/>
  <c r="M297" i="7" s="1"/>
  <c r="H297" i="7"/>
  <c r="G297" i="7"/>
  <c r="K296" i="7"/>
  <c r="N296" i="7" s="1"/>
  <c r="J296" i="7"/>
  <c r="H296" i="7"/>
  <c r="G296" i="7"/>
  <c r="K295" i="7"/>
  <c r="N295" i="7" s="1"/>
  <c r="J295" i="7"/>
  <c r="H295" i="7"/>
  <c r="G295" i="7"/>
  <c r="K294" i="7"/>
  <c r="N294" i="7" s="1"/>
  <c r="J294" i="7"/>
  <c r="H294" i="7"/>
  <c r="G294" i="7"/>
  <c r="K293" i="7"/>
  <c r="J293" i="7"/>
  <c r="M293" i="7" s="1"/>
  <c r="H293" i="7"/>
  <c r="G293" i="7"/>
  <c r="K292" i="7"/>
  <c r="N292" i="7" s="1"/>
  <c r="J292" i="7"/>
  <c r="H292" i="7"/>
  <c r="G292" i="7"/>
  <c r="D292" i="7"/>
  <c r="D293" i="7" s="1"/>
  <c r="D294" i="7" s="1"/>
  <c r="D295" i="7" s="1"/>
  <c r="D296" i="7" s="1"/>
  <c r="D297" i="7" s="1"/>
  <c r="D298" i="7" s="1"/>
  <c r="AB291" i="7"/>
  <c r="Y291" i="7"/>
  <c r="W291" i="7"/>
  <c r="U291" i="7"/>
  <c r="C291" i="7"/>
  <c r="C292" i="7" s="1"/>
  <c r="H290" i="7"/>
  <c r="G290" i="7"/>
  <c r="D290" i="7"/>
  <c r="AB289" i="7"/>
  <c r="Y289" i="7"/>
  <c r="W289" i="7"/>
  <c r="U289" i="7"/>
  <c r="C289" i="7"/>
  <c r="C290" i="7" s="1"/>
  <c r="H288" i="7"/>
  <c r="G288" i="7"/>
  <c r="H287" i="7"/>
  <c r="G287" i="7"/>
  <c r="H286" i="7"/>
  <c r="G286" i="7"/>
  <c r="H285" i="7"/>
  <c r="G285" i="7"/>
  <c r="H284" i="7"/>
  <c r="G284" i="7"/>
  <c r="H283" i="7"/>
  <c r="G283" i="7"/>
  <c r="D283" i="7"/>
  <c r="D284" i="7" s="1"/>
  <c r="D285" i="7" s="1"/>
  <c r="D286" i="7" s="1"/>
  <c r="D287" i="7" s="1"/>
  <c r="D288" i="7" s="1"/>
  <c r="AB282" i="7"/>
  <c r="Y282" i="7"/>
  <c r="W282" i="7"/>
  <c r="U282" i="7"/>
  <c r="C282" i="7"/>
  <c r="C283" i="7" s="1"/>
  <c r="AB281" i="7"/>
  <c r="Y281" i="7"/>
  <c r="W281" i="7"/>
  <c r="U281" i="7"/>
  <c r="C281" i="7"/>
  <c r="H280" i="7"/>
  <c r="G280" i="7"/>
  <c r="H279" i="7"/>
  <c r="G279" i="7"/>
  <c r="K278" i="7"/>
  <c r="N278" i="7" s="1"/>
  <c r="J278" i="7"/>
  <c r="M278" i="7" s="1"/>
  <c r="H278" i="7"/>
  <c r="G278" i="7"/>
  <c r="K277" i="7"/>
  <c r="N277" i="7" s="1"/>
  <c r="J277" i="7"/>
  <c r="H277" i="7"/>
  <c r="G277" i="7"/>
  <c r="D277" i="7"/>
  <c r="D278" i="7" s="1"/>
  <c r="D279" i="7" s="1"/>
  <c r="D280" i="7" s="1"/>
  <c r="AB276" i="7"/>
  <c r="Y276" i="7"/>
  <c r="W276" i="7"/>
  <c r="U276" i="7"/>
  <c r="C276" i="7"/>
  <c r="C277" i="7" s="1"/>
  <c r="K275" i="7"/>
  <c r="N275" i="7" s="1"/>
  <c r="J275" i="7"/>
  <c r="M275" i="7" s="1"/>
  <c r="H275" i="7"/>
  <c r="G275" i="7"/>
  <c r="H274" i="7"/>
  <c r="G274" i="7"/>
  <c r="H273" i="7"/>
  <c r="G273" i="7"/>
  <c r="H272" i="7"/>
  <c r="G272" i="7"/>
  <c r="H271" i="7"/>
  <c r="G271" i="7"/>
  <c r="H270" i="7"/>
  <c r="G270" i="7"/>
  <c r="D270" i="7"/>
  <c r="D271" i="7" s="1"/>
  <c r="D272" i="7" s="1"/>
  <c r="D273" i="7" s="1"/>
  <c r="D274" i="7" s="1"/>
  <c r="D275" i="7" s="1"/>
  <c r="AB269" i="7"/>
  <c r="Y269" i="7"/>
  <c r="W269" i="7"/>
  <c r="U269" i="7"/>
  <c r="C269" i="7"/>
  <c r="C270" i="7" s="1"/>
  <c r="H268" i="7"/>
  <c r="G268" i="7"/>
  <c r="H267" i="7"/>
  <c r="G267" i="7"/>
  <c r="H266" i="7"/>
  <c r="G266" i="7"/>
  <c r="D266" i="7"/>
  <c r="D267" i="7" s="1"/>
  <c r="D268" i="7" s="1"/>
  <c r="AB265" i="7"/>
  <c r="Y265" i="7"/>
  <c r="W265" i="7"/>
  <c r="U265" i="7"/>
  <c r="C265" i="7"/>
  <c r="C266" i="7" s="1"/>
  <c r="K264" i="7"/>
  <c r="N264" i="7" s="1"/>
  <c r="J264" i="7"/>
  <c r="M264" i="7" s="1"/>
  <c r="H264" i="7"/>
  <c r="G264" i="7"/>
  <c r="K263" i="7"/>
  <c r="N263" i="7" s="1"/>
  <c r="J263" i="7"/>
  <c r="M263" i="7" s="1"/>
  <c r="H263" i="7"/>
  <c r="G263" i="7"/>
  <c r="H262" i="7"/>
  <c r="G262" i="7"/>
  <c r="K261" i="7"/>
  <c r="N261" i="7" s="1"/>
  <c r="J261" i="7"/>
  <c r="H261" i="7"/>
  <c r="G261" i="7"/>
  <c r="K260" i="7"/>
  <c r="N260" i="7" s="1"/>
  <c r="J260" i="7"/>
  <c r="H260" i="7"/>
  <c r="G260" i="7"/>
  <c r="K259" i="7"/>
  <c r="N259" i="7" s="1"/>
  <c r="J259" i="7"/>
  <c r="M259" i="7" s="1"/>
  <c r="H259" i="7"/>
  <c r="G259" i="7"/>
  <c r="K258" i="7"/>
  <c r="N258" i="7" s="1"/>
  <c r="J258" i="7"/>
  <c r="H258" i="7"/>
  <c r="G258" i="7"/>
  <c r="K257" i="7"/>
  <c r="N257" i="7" s="1"/>
  <c r="J257" i="7"/>
  <c r="M257" i="7" s="1"/>
  <c r="H257" i="7"/>
  <c r="G257" i="7"/>
  <c r="K256" i="7"/>
  <c r="N256" i="7" s="1"/>
  <c r="J256" i="7"/>
  <c r="H256" i="7"/>
  <c r="G256" i="7"/>
  <c r="K255" i="7"/>
  <c r="N255" i="7" s="1"/>
  <c r="J255" i="7"/>
  <c r="M255" i="7" s="1"/>
  <c r="H255" i="7"/>
  <c r="G255" i="7"/>
  <c r="K254" i="7"/>
  <c r="N254" i="7" s="1"/>
  <c r="J254" i="7"/>
  <c r="M254" i="7" s="1"/>
  <c r="H254" i="7"/>
  <c r="G254" i="7"/>
  <c r="D254" i="7"/>
  <c r="D255" i="7" s="1"/>
  <c r="D256" i="7" s="1"/>
  <c r="D257" i="7" s="1"/>
  <c r="D258" i="7" s="1"/>
  <c r="D259" i="7" s="1"/>
  <c r="D260" i="7" s="1"/>
  <c r="D261" i="7" s="1"/>
  <c r="D262" i="7" s="1"/>
  <c r="D263" i="7" s="1"/>
  <c r="D264" i="7" s="1"/>
  <c r="AB253" i="7"/>
  <c r="Y253" i="7"/>
  <c r="W253" i="7"/>
  <c r="U253" i="7"/>
  <c r="C253" i="7"/>
  <c r="C254" i="7" s="1"/>
  <c r="AB252" i="7"/>
  <c r="Y252" i="7"/>
  <c r="W252" i="7"/>
  <c r="U252" i="7"/>
  <c r="C252" i="7"/>
  <c r="H251" i="7"/>
  <c r="G251" i="7"/>
  <c r="H250" i="7"/>
  <c r="G250" i="7"/>
  <c r="K249" i="7"/>
  <c r="N249" i="7" s="1"/>
  <c r="H249" i="7"/>
  <c r="G249" i="7"/>
  <c r="H248" i="7"/>
  <c r="G248" i="7"/>
  <c r="D248" i="7"/>
  <c r="D249" i="7" s="1"/>
  <c r="D250" i="7" s="1"/>
  <c r="D251" i="7" s="1"/>
  <c r="AB247" i="7"/>
  <c r="Y247" i="7"/>
  <c r="W247" i="7"/>
  <c r="U247" i="7"/>
  <c r="C247" i="7"/>
  <c r="C248" i="7" s="1"/>
  <c r="H246" i="7"/>
  <c r="G246" i="7"/>
  <c r="H245" i="7"/>
  <c r="G245" i="7"/>
  <c r="H244" i="7"/>
  <c r="G244" i="7"/>
  <c r="H243" i="7"/>
  <c r="G243" i="7"/>
  <c r="H242" i="7"/>
  <c r="G242" i="7"/>
  <c r="H241" i="7"/>
  <c r="G241" i="7"/>
  <c r="D241" i="7"/>
  <c r="D242" i="7" s="1"/>
  <c r="D243" i="7" s="1"/>
  <c r="D244" i="7" s="1"/>
  <c r="D245" i="7" s="1"/>
  <c r="D246" i="7" s="1"/>
  <c r="AB240" i="7"/>
  <c r="Y240" i="7"/>
  <c r="W240" i="7"/>
  <c r="U240" i="7"/>
  <c r="C240" i="7"/>
  <c r="C241" i="7" s="1"/>
  <c r="C242" i="7" s="1"/>
  <c r="C243" i="7" s="1"/>
  <c r="H239" i="7"/>
  <c r="G239" i="7"/>
  <c r="K238" i="7"/>
  <c r="N238" i="7" s="1"/>
  <c r="J238" i="7"/>
  <c r="M238" i="7" s="1"/>
  <c r="H238" i="7"/>
  <c r="G238" i="7"/>
  <c r="K237" i="7"/>
  <c r="J237" i="7"/>
  <c r="M237" i="7" s="1"/>
  <c r="H237" i="7"/>
  <c r="G237" i="7"/>
  <c r="K236" i="7"/>
  <c r="N236" i="7" s="1"/>
  <c r="J236" i="7"/>
  <c r="M236" i="7" s="1"/>
  <c r="H236" i="7"/>
  <c r="G236" i="7"/>
  <c r="K235" i="7"/>
  <c r="N235" i="7" s="1"/>
  <c r="J235" i="7"/>
  <c r="H235" i="7"/>
  <c r="G235" i="7"/>
  <c r="H234" i="7"/>
  <c r="G234" i="7"/>
  <c r="H233" i="7"/>
  <c r="G233" i="7"/>
  <c r="K232" i="7"/>
  <c r="N232" i="7" s="1"/>
  <c r="J232" i="7"/>
  <c r="H232" i="7"/>
  <c r="G232" i="7"/>
  <c r="K231" i="7"/>
  <c r="N231" i="7" s="1"/>
  <c r="J231" i="7"/>
  <c r="M231" i="7" s="1"/>
  <c r="H231" i="7"/>
  <c r="G231" i="7"/>
  <c r="K230" i="7"/>
  <c r="N230" i="7" s="1"/>
  <c r="J230" i="7"/>
  <c r="M230" i="7" s="1"/>
  <c r="H230" i="7"/>
  <c r="G230" i="7"/>
  <c r="K229" i="7"/>
  <c r="N229" i="7" s="1"/>
  <c r="J229" i="7"/>
  <c r="H229" i="7"/>
  <c r="G229" i="7"/>
  <c r="H228" i="7"/>
  <c r="G228" i="7"/>
  <c r="H227" i="7"/>
  <c r="G227" i="7"/>
  <c r="H226" i="7"/>
  <c r="G226" i="7"/>
  <c r="H225" i="7"/>
  <c r="G225" i="7"/>
  <c r="K224" i="7"/>
  <c r="N224" i="7" s="1"/>
  <c r="J224" i="7"/>
  <c r="M224" i="7" s="1"/>
  <c r="H224" i="7"/>
  <c r="G224" i="7"/>
  <c r="K223" i="7"/>
  <c r="N223" i="7" s="1"/>
  <c r="J223" i="7"/>
  <c r="M223" i="7" s="1"/>
  <c r="H223" i="7"/>
  <c r="G223" i="7"/>
  <c r="K222" i="7"/>
  <c r="N222" i="7" s="1"/>
  <c r="J222" i="7"/>
  <c r="M222" i="7" s="1"/>
  <c r="H222" i="7"/>
  <c r="G222" i="7"/>
  <c r="K221" i="7"/>
  <c r="N221" i="7" s="1"/>
  <c r="J221" i="7"/>
  <c r="H221" i="7"/>
  <c r="G221" i="7"/>
  <c r="K220" i="7"/>
  <c r="N220" i="7" s="1"/>
  <c r="J220" i="7"/>
  <c r="M220" i="7" s="1"/>
  <c r="H220" i="7"/>
  <c r="G220" i="7"/>
  <c r="H219" i="7"/>
  <c r="G219" i="7"/>
  <c r="K218" i="7"/>
  <c r="N218" i="7" s="1"/>
  <c r="J218" i="7"/>
  <c r="H218" i="7"/>
  <c r="G218" i="7"/>
  <c r="K217" i="7"/>
  <c r="N217" i="7" s="1"/>
  <c r="J217" i="7"/>
  <c r="M217" i="7" s="1"/>
  <c r="H217" i="7"/>
  <c r="G217" i="7"/>
  <c r="K216" i="7"/>
  <c r="N216" i="7" s="1"/>
  <c r="J216" i="7"/>
  <c r="M216" i="7" s="1"/>
  <c r="H216" i="7"/>
  <c r="G216" i="7"/>
  <c r="H215" i="7"/>
  <c r="G215" i="7"/>
  <c r="D215" i="7"/>
  <c r="D216" i="7" s="1"/>
  <c r="D217" i="7" s="1"/>
  <c r="D218" i="7" s="1"/>
  <c r="D219" i="7" s="1"/>
  <c r="D220" i="7" s="1"/>
  <c r="D221" i="7" s="1"/>
  <c r="D222" i="7" s="1"/>
  <c r="D223" i="7" s="1"/>
  <c r="D224" i="7" s="1"/>
  <c r="D225" i="7" s="1"/>
  <c r="D226" i="7" s="1"/>
  <c r="D227" i="7" s="1"/>
  <c r="D228" i="7" s="1"/>
  <c r="D229" i="7" s="1"/>
  <c r="D230" i="7" s="1"/>
  <c r="D231" i="7" s="1"/>
  <c r="D232" i="7" s="1"/>
  <c r="D233" i="7" s="1"/>
  <c r="D234" i="7" s="1"/>
  <c r="D235" i="7" s="1"/>
  <c r="D236" i="7" s="1"/>
  <c r="D237" i="7" s="1"/>
  <c r="D238" i="7" s="1"/>
  <c r="D239" i="7" s="1"/>
  <c r="AB214" i="7"/>
  <c r="Y214" i="7"/>
  <c r="W214" i="7"/>
  <c r="U214" i="7"/>
  <c r="C214" i="7"/>
  <c r="C215" i="7" s="1"/>
  <c r="AB213" i="7"/>
  <c r="Y213" i="7"/>
  <c r="W213" i="7"/>
  <c r="U213" i="7"/>
  <c r="C213" i="7"/>
  <c r="K212" i="7"/>
  <c r="N212" i="7" s="1"/>
  <c r="J212" i="7"/>
  <c r="M212" i="7" s="1"/>
  <c r="H212" i="7"/>
  <c r="G212" i="7"/>
  <c r="K211" i="7"/>
  <c r="N211" i="7" s="1"/>
  <c r="J211" i="7"/>
  <c r="H211" i="7"/>
  <c r="G211" i="7"/>
  <c r="K210" i="7"/>
  <c r="N210" i="7" s="1"/>
  <c r="J210" i="7"/>
  <c r="H210" i="7"/>
  <c r="G210" i="7"/>
  <c r="D210" i="7"/>
  <c r="D211" i="7" s="1"/>
  <c r="D212" i="7" s="1"/>
  <c r="AB209" i="7"/>
  <c r="Y209" i="7"/>
  <c r="W209" i="7"/>
  <c r="U209" i="7"/>
  <c r="C209" i="7"/>
  <c r="C210" i="7" s="1"/>
  <c r="K208" i="7"/>
  <c r="N208" i="7" s="1"/>
  <c r="J208" i="7"/>
  <c r="M208" i="7" s="1"/>
  <c r="H208" i="7"/>
  <c r="G208" i="7"/>
  <c r="K207" i="7"/>
  <c r="N207" i="7" s="1"/>
  <c r="J207" i="7"/>
  <c r="H207" i="7"/>
  <c r="G207" i="7"/>
  <c r="K206" i="7"/>
  <c r="N206" i="7" s="1"/>
  <c r="J206" i="7"/>
  <c r="H206" i="7"/>
  <c r="G206" i="7"/>
  <c r="K205" i="7"/>
  <c r="N205" i="7" s="1"/>
  <c r="J205" i="7"/>
  <c r="H205" i="7"/>
  <c r="G205" i="7"/>
  <c r="D205" i="7"/>
  <c r="D206" i="7" s="1"/>
  <c r="D207" i="7" s="1"/>
  <c r="D208" i="7" s="1"/>
  <c r="AB204" i="7"/>
  <c r="Y204" i="7"/>
  <c r="W204" i="7"/>
  <c r="U204" i="7"/>
  <c r="C204" i="7"/>
  <c r="C205" i="7" s="1"/>
  <c r="K203" i="7"/>
  <c r="N203" i="7" s="1"/>
  <c r="J203" i="7"/>
  <c r="M203" i="7" s="1"/>
  <c r="H203" i="7"/>
  <c r="G203" i="7"/>
  <c r="K202" i="7"/>
  <c r="N202" i="7" s="1"/>
  <c r="J202" i="7"/>
  <c r="M202" i="7" s="1"/>
  <c r="H202" i="7"/>
  <c r="G202" i="7"/>
  <c r="K201" i="7"/>
  <c r="N201" i="7" s="1"/>
  <c r="J201" i="7"/>
  <c r="H201" i="7"/>
  <c r="G201" i="7"/>
  <c r="D201" i="7"/>
  <c r="D202" i="7" s="1"/>
  <c r="D203" i="7" s="1"/>
  <c r="AB200" i="7"/>
  <c r="Y200" i="7"/>
  <c r="W200" i="7"/>
  <c r="U200" i="7"/>
  <c r="C200" i="7"/>
  <c r="C201" i="7" s="1"/>
  <c r="AB199" i="7"/>
  <c r="Y199" i="7"/>
  <c r="W199" i="7"/>
  <c r="U199" i="7"/>
  <c r="C199" i="7"/>
  <c r="K198" i="7"/>
  <c r="N198" i="7" s="1"/>
  <c r="J198" i="7"/>
  <c r="M198" i="7" s="1"/>
  <c r="H198" i="7"/>
  <c r="G198" i="7"/>
  <c r="K197" i="7"/>
  <c r="N197" i="7" s="1"/>
  <c r="J197" i="7"/>
  <c r="H197" i="7"/>
  <c r="G197" i="7"/>
  <c r="K196" i="7"/>
  <c r="N196" i="7" s="1"/>
  <c r="J196" i="7"/>
  <c r="M196" i="7" s="1"/>
  <c r="H196" i="7"/>
  <c r="G196" i="7"/>
  <c r="D196" i="7"/>
  <c r="D197" i="7" s="1"/>
  <c r="D198" i="7" s="1"/>
  <c r="AB195" i="7"/>
  <c r="Y195" i="7"/>
  <c r="W195" i="7"/>
  <c r="U195" i="7"/>
  <c r="C195" i="7"/>
  <c r="C196" i="7" s="1"/>
  <c r="H194" i="7"/>
  <c r="G194" i="7"/>
  <c r="H193" i="7"/>
  <c r="G193" i="7"/>
  <c r="H192" i="7"/>
  <c r="G192" i="7"/>
  <c r="D192" i="7"/>
  <c r="D193" i="7" s="1"/>
  <c r="D194" i="7" s="1"/>
  <c r="AB191" i="7"/>
  <c r="Y191" i="7"/>
  <c r="W191" i="7"/>
  <c r="U191" i="7"/>
  <c r="C191" i="7"/>
  <c r="C192" i="7" s="1"/>
  <c r="C193" i="7" s="1"/>
  <c r="H190" i="7"/>
  <c r="G190" i="7"/>
  <c r="H189" i="7"/>
  <c r="G189" i="7"/>
  <c r="H188" i="7"/>
  <c r="G188" i="7"/>
  <c r="H187" i="7"/>
  <c r="G187" i="7"/>
  <c r="D187" i="7"/>
  <c r="D188" i="7" s="1"/>
  <c r="D189" i="7" s="1"/>
  <c r="D190" i="7" s="1"/>
  <c r="AB186" i="7"/>
  <c r="Y186" i="7"/>
  <c r="W186" i="7"/>
  <c r="U186" i="7"/>
  <c r="C186" i="7"/>
  <c r="C187" i="7" s="1"/>
  <c r="K185" i="7"/>
  <c r="N185" i="7" s="1"/>
  <c r="J185" i="7"/>
  <c r="M185" i="7" s="1"/>
  <c r="H185" i="7"/>
  <c r="G185" i="7"/>
  <c r="H184" i="7"/>
  <c r="G184" i="7"/>
  <c r="D184" i="7"/>
  <c r="D185" i="7" s="1"/>
  <c r="AB183" i="7"/>
  <c r="Y183" i="7"/>
  <c r="W183" i="7"/>
  <c r="U183" i="7"/>
  <c r="C183" i="7"/>
  <c r="C184" i="7" s="1"/>
  <c r="H182" i="7"/>
  <c r="G182" i="7"/>
  <c r="H181" i="7"/>
  <c r="G181" i="7"/>
  <c r="K180" i="7"/>
  <c r="N180" i="7" s="1"/>
  <c r="J180" i="7"/>
  <c r="H180" i="7"/>
  <c r="G180" i="7"/>
  <c r="K179" i="7"/>
  <c r="N179" i="7" s="1"/>
  <c r="J179" i="7"/>
  <c r="M179" i="7" s="1"/>
  <c r="H179" i="7"/>
  <c r="G179" i="7"/>
  <c r="D179" i="7"/>
  <c r="D180" i="7" s="1"/>
  <c r="D181" i="7" s="1"/>
  <c r="D182" i="7" s="1"/>
  <c r="AB178" i="7"/>
  <c r="Y178" i="7"/>
  <c r="W178" i="7"/>
  <c r="U178" i="7"/>
  <c r="C178" i="7"/>
  <c r="C179" i="7" s="1"/>
  <c r="H177" i="7"/>
  <c r="G177" i="7"/>
  <c r="H176" i="7"/>
  <c r="G176" i="7"/>
  <c r="H175" i="7"/>
  <c r="G175" i="7"/>
  <c r="H174" i="7"/>
  <c r="G174" i="7"/>
  <c r="H173" i="7"/>
  <c r="G173" i="7"/>
  <c r="K172" i="7"/>
  <c r="N172" i="7" s="1"/>
  <c r="J172" i="7"/>
  <c r="M172" i="7" s="1"/>
  <c r="H172" i="7"/>
  <c r="G172" i="7"/>
  <c r="K171" i="7"/>
  <c r="N171" i="7" s="1"/>
  <c r="J171" i="7"/>
  <c r="H171" i="7"/>
  <c r="G171" i="7"/>
  <c r="H170" i="7"/>
  <c r="G170" i="7"/>
  <c r="K169" i="7"/>
  <c r="N169" i="7" s="1"/>
  <c r="J169" i="7"/>
  <c r="M169" i="7" s="1"/>
  <c r="H169" i="7"/>
  <c r="G169" i="7"/>
  <c r="D169" i="7"/>
  <c r="AB168" i="7"/>
  <c r="Y168" i="7"/>
  <c r="W168" i="7"/>
  <c r="U168" i="7"/>
  <c r="C168" i="7"/>
  <c r="C169" i="7" s="1"/>
  <c r="C170" i="7" s="1"/>
  <c r="H167" i="7"/>
  <c r="G167" i="7"/>
  <c r="D167" i="7"/>
  <c r="AB166" i="7"/>
  <c r="Y166" i="7"/>
  <c r="W166" i="7"/>
  <c r="U166" i="7"/>
  <c r="C166" i="7"/>
  <c r="C167" i="7" s="1"/>
  <c r="H165" i="7"/>
  <c r="G165" i="7"/>
  <c r="D165" i="7"/>
  <c r="AB164" i="7"/>
  <c r="Y164" i="7"/>
  <c r="W164" i="7"/>
  <c r="U164" i="7"/>
  <c r="C164" i="7"/>
  <c r="C165" i="7" s="1"/>
  <c r="H163" i="7"/>
  <c r="G163" i="7"/>
  <c r="K162" i="7"/>
  <c r="N162" i="7" s="1"/>
  <c r="J162" i="7"/>
  <c r="M162" i="7" s="1"/>
  <c r="H162" i="7"/>
  <c r="G162" i="7"/>
  <c r="K161" i="7"/>
  <c r="N161" i="7" s="1"/>
  <c r="J161" i="7"/>
  <c r="M161" i="7" s="1"/>
  <c r="H161" i="7"/>
  <c r="G161" i="7"/>
  <c r="H160" i="7"/>
  <c r="G160" i="7"/>
  <c r="D160" i="7"/>
  <c r="D161" i="7" s="1"/>
  <c r="D162" i="7" s="1"/>
  <c r="D163" i="7" s="1"/>
  <c r="AB159" i="7"/>
  <c r="Y159" i="7"/>
  <c r="W159" i="7"/>
  <c r="U159" i="7"/>
  <c r="C159" i="7"/>
  <c r="C160" i="7" s="1"/>
  <c r="AB158" i="7"/>
  <c r="Y158" i="7"/>
  <c r="W158" i="7"/>
  <c r="U158" i="7"/>
  <c r="C158" i="7"/>
  <c r="K157" i="7"/>
  <c r="N157" i="7" s="1"/>
  <c r="J157" i="7"/>
  <c r="M157" i="7" s="1"/>
  <c r="H157" i="7"/>
  <c r="G157" i="7"/>
  <c r="H156" i="7"/>
  <c r="G156" i="7"/>
  <c r="H155" i="7"/>
  <c r="G155" i="7"/>
  <c r="K154" i="7"/>
  <c r="N154" i="7" s="1"/>
  <c r="J154" i="7"/>
  <c r="M154" i="7" s="1"/>
  <c r="H154" i="7"/>
  <c r="G154" i="7"/>
  <c r="H153" i="7"/>
  <c r="G153" i="7"/>
  <c r="K152" i="7"/>
  <c r="N152" i="7" s="1"/>
  <c r="J152" i="7"/>
  <c r="H152" i="7"/>
  <c r="G152" i="7"/>
  <c r="K151" i="7"/>
  <c r="N151" i="7" s="1"/>
  <c r="J151" i="7"/>
  <c r="M151" i="7" s="1"/>
  <c r="H151" i="7"/>
  <c r="G151" i="7"/>
  <c r="K150" i="7"/>
  <c r="N150" i="7" s="1"/>
  <c r="J150" i="7"/>
  <c r="M150" i="7" s="1"/>
  <c r="H150" i="7"/>
  <c r="G150" i="7"/>
  <c r="H149" i="7"/>
  <c r="G149" i="7"/>
  <c r="D149" i="7"/>
  <c r="D150" i="7" s="1"/>
  <c r="D151" i="7" s="1"/>
  <c r="D152" i="7" s="1"/>
  <c r="D153" i="7" s="1"/>
  <c r="D154" i="7" s="1"/>
  <c r="D155" i="7" s="1"/>
  <c r="D156" i="7" s="1"/>
  <c r="D157" i="7" s="1"/>
  <c r="AB148" i="7"/>
  <c r="Y148" i="7"/>
  <c r="W148" i="7"/>
  <c r="U148" i="7"/>
  <c r="C148" i="7"/>
  <c r="C149" i="7" s="1"/>
  <c r="C150" i="7" s="1"/>
  <c r="C151" i="7" s="1"/>
  <c r="H147" i="7"/>
  <c r="G147" i="7"/>
  <c r="H146" i="7"/>
  <c r="G146" i="7"/>
  <c r="K145" i="7"/>
  <c r="N145" i="7" s="1"/>
  <c r="J145" i="7"/>
  <c r="H145" i="7"/>
  <c r="G145" i="7"/>
  <c r="D145" i="7"/>
  <c r="D146" i="7" s="1"/>
  <c r="D147" i="7" s="1"/>
  <c r="AB144" i="7"/>
  <c r="Y144" i="7"/>
  <c r="W144" i="7"/>
  <c r="U144" i="7"/>
  <c r="C144" i="7"/>
  <c r="C145" i="7" s="1"/>
  <c r="H143" i="7"/>
  <c r="G143" i="7"/>
  <c r="H142" i="7"/>
  <c r="G142" i="7"/>
  <c r="H141" i="7"/>
  <c r="G141" i="7"/>
  <c r="H140" i="7"/>
  <c r="G140" i="7"/>
  <c r="K139" i="7"/>
  <c r="N139" i="7" s="1"/>
  <c r="J139" i="7"/>
  <c r="M139" i="7" s="1"/>
  <c r="H139" i="7"/>
  <c r="G139" i="7"/>
  <c r="K138" i="7"/>
  <c r="J138" i="7"/>
  <c r="M138" i="7" s="1"/>
  <c r="H138" i="7"/>
  <c r="G138" i="7"/>
  <c r="K137" i="7"/>
  <c r="N137" i="7" s="1"/>
  <c r="J137" i="7"/>
  <c r="M137" i="7" s="1"/>
  <c r="H137" i="7"/>
  <c r="G137" i="7"/>
  <c r="K136" i="7"/>
  <c r="N136" i="7" s="1"/>
  <c r="J136" i="7"/>
  <c r="H136" i="7"/>
  <c r="G136" i="7"/>
  <c r="K135" i="7"/>
  <c r="N135" i="7" s="1"/>
  <c r="J135" i="7"/>
  <c r="M135" i="7" s="1"/>
  <c r="H135" i="7"/>
  <c r="G135" i="7"/>
  <c r="K134" i="7"/>
  <c r="J134" i="7"/>
  <c r="M134" i="7" s="1"/>
  <c r="H134" i="7"/>
  <c r="G134" i="7"/>
  <c r="D134" i="7"/>
  <c r="D135" i="7" s="1"/>
  <c r="D136" i="7" s="1"/>
  <c r="D137" i="7" s="1"/>
  <c r="D138" i="7" s="1"/>
  <c r="D139" i="7" s="1"/>
  <c r="D140" i="7" s="1"/>
  <c r="D141" i="7" s="1"/>
  <c r="D142" i="7" s="1"/>
  <c r="D143" i="7" s="1"/>
  <c r="AB133" i="7"/>
  <c r="Y133" i="7"/>
  <c r="W133" i="7"/>
  <c r="U133" i="7"/>
  <c r="C133" i="7"/>
  <c r="C134" i="7" s="1"/>
  <c r="H132" i="7"/>
  <c r="G132" i="7"/>
  <c r="H131" i="7"/>
  <c r="G131" i="7"/>
  <c r="H130" i="7"/>
  <c r="G130" i="7"/>
  <c r="H129" i="7"/>
  <c r="G129" i="7"/>
  <c r="H128" i="7"/>
  <c r="G128" i="7"/>
  <c r="K127" i="7"/>
  <c r="N127" i="7" s="1"/>
  <c r="J127" i="7"/>
  <c r="M127" i="7" s="1"/>
  <c r="H127" i="7"/>
  <c r="G127" i="7"/>
  <c r="D127" i="7"/>
  <c r="D128" i="7" s="1"/>
  <c r="D129" i="7" s="1"/>
  <c r="D130" i="7" s="1"/>
  <c r="D131" i="7" s="1"/>
  <c r="D132" i="7" s="1"/>
  <c r="AB126" i="7"/>
  <c r="Y126" i="7"/>
  <c r="W126" i="7"/>
  <c r="U126" i="7"/>
  <c r="C126" i="7"/>
  <c r="C127" i="7" s="1"/>
  <c r="AB125" i="7"/>
  <c r="Y125" i="7"/>
  <c r="W125" i="7"/>
  <c r="U125" i="7"/>
  <c r="C125" i="7"/>
  <c r="K124" i="7"/>
  <c r="N124" i="7" s="1"/>
  <c r="J124" i="7"/>
  <c r="H124" i="7"/>
  <c r="G124" i="7"/>
  <c r="K123" i="7"/>
  <c r="N123" i="7" s="1"/>
  <c r="J123" i="7"/>
  <c r="H123" i="7"/>
  <c r="G123" i="7"/>
  <c r="D123" i="7"/>
  <c r="D124" i="7" s="1"/>
  <c r="AB122" i="7"/>
  <c r="Y122" i="7"/>
  <c r="W122" i="7"/>
  <c r="U122" i="7"/>
  <c r="C122" i="7"/>
  <c r="C123" i="7" s="1"/>
  <c r="K121" i="7"/>
  <c r="N121" i="7" s="1"/>
  <c r="J121" i="7"/>
  <c r="H121" i="7"/>
  <c r="G121" i="7"/>
  <c r="D121" i="7"/>
  <c r="AB120" i="7"/>
  <c r="Y120" i="7"/>
  <c r="W120" i="7"/>
  <c r="U120" i="7"/>
  <c r="C120" i="7"/>
  <c r="C121" i="7" s="1"/>
  <c r="AB119" i="7"/>
  <c r="Y119" i="7"/>
  <c r="W119" i="7"/>
  <c r="U119" i="7"/>
  <c r="C119" i="7"/>
  <c r="H118" i="7"/>
  <c r="G118" i="7"/>
  <c r="D118" i="7"/>
  <c r="AB117" i="7"/>
  <c r="Y117" i="7"/>
  <c r="W117" i="7"/>
  <c r="U117" i="7"/>
  <c r="C117" i="7"/>
  <c r="C118" i="7" s="1"/>
  <c r="H116" i="7"/>
  <c r="G116" i="7"/>
  <c r="K115" i="7"/>
  <c r="N115" i="7" s="1"/>
  <c r="J115" i="7"/>
  <c r="H115" i="7"/>
  <c r="G115" i="7"/>
  <c r="K114" i="7"/>
  <c r="N114" i="7" s="1"/>
  <c r="J114" i="7"/>
  <c r="H114" i="7"/>
  <c r="G114" i="7"/>
  <c r="K113" i="7"/>
  <c r="N113" i="7" s="1"/>
  <c r="J113" i="7"/>
  <c r="H113" i="7"/>
  <c r="G113" i="7"/>
  <c r="K112" i="7"/>
  <c r="N112" i="7" s="1"/>
  <c r="J112" i="7"/>
  <c r="H112" i="7"/>
  <c r="G112" i="7"/>
  <c r="D112" i="7"/>
  <c r="D113" i="7" s="1"/>
  <c r="D114" i="7" s="1"/>
  <c r="D115" i="7" s="1"/>
  <c r="D116" i="7" s="1"/>
  <c r="AB111" i="7"/>
  <c r="Y111" i="7"/>
  <c r="W111" i="7"/>
  <c r="U111" i="7"/>
  <c r="C111" i="7"/>
  <c r="C112" i="7" s="1"/>
  <c r="K110" i="7"/>
  <c r="N110" i="7" s="1"/>
  <c r="J110" i="7"/>
  <c r="M110" i="7" s="1"/>
  <c r="H110" i="7"/>
  <c r="G110" i="7"/>
  <c r="K109" i="7"/>
  <c r="N109" i="7" s="1"/>
  <c r="J109" i="7"/>
  <c r="M109" i="7" s="1"/>
  <c r="H109" i="7"/>
  <c r="G109" i="7"/>
  <c r="D109" i="7"/>
  <c r="D110" i="7" s="1"/>
  <c r="AB108" i="7"/>
  <c r="Y108" i="7"/>
  <c r="W108" i="7"/>
  <c r="U108" i="7"/>
  <c r="C108" i="7"/>
  <c r="C109" i="7" s="1"/>
  <c r="C110" i="7" s="1"/>
  <c r="K107" i="7"/>
  <c r="N107" i="7" s="1"/>
  <c r="J107" i="7"/>
  <c r="M107" i="7" s="1"/>
  <c r="H107" i="7"/>
  <c r="G107" i="7"/>
  <c r="K106" i="7"/>
  <c r="N106" i="7" s="1"/>
  <c r="J106" i="7"/>
  <c r="M106" i="7" s="1"/>
  <c r="H106" i="7"/>
  <c r="G106" i="7"/>
  <c r="H105" i="7"/>
  <c r="G105" i="7"/>
  <c r="K104" i="7"/>
  <c r="N104" i="7" s="1"/>
  <c r="J104" i="7"/>
  <c r="M104" i="7" s="1"/>
  <c r="H104" i="7"/>
  <c r="G104" i="7"/>
  <c r="H103" i="7"/>
  <c r="G103" i="7"/>
  <c r="D103" i="7"/>
  <c r="D104" i="7" s="1"/>
  <c r="D105" i="7" s="1"/>
  <c r="D106" i="7" s="1"/>
  <c r="D107" i="7" s="1"/>
  <c r="AB102" i="7"/>
  <c r="Y102" i="7"/>
  <c r="W102" i="7"/>
  <c r="U102" i="7"/>
  <c r="C102" i="7"/>
  <c r="C103" i="7" s="1"/>
  <c r="AB101" i="7"/>
  <c r="Y101" i="7"/>
  <c r="W101" i="7"/>
  <c r="U101" i="7"/>
  <c r="C101" i="7"/>
  <c r="H100" i="7"/>
  <c r="G100" i="7"/>
  <c r="K99" i="7"/>
  <c r="N99" i="7" s="1"/>
  <c r="J99" i="7"/>
  <c r="M99" i="7" s="1"/>
  <c r="H99" i="7"/>
  <c r="G99" i="7"/>
  <c r="H98" i="7"/>
  <c r="G98" i="7"/>
  <c r="H97" i="7"/>
  <c r="G97" i="7"/>
  <c r="H96" i="7"/>
  <c r="G96" i="7"/>
  <c r="H95" i="7"/>
  <c r="G95" i="7"/>
  <c r="H94" i="7"/>
  <c r="G94" i="7"/>
  <c r="H93" i="7"/>
  <c r="G93" i="7"/>
  <c r="D93" i="7"/>
  <c r="D94" i="7" s="1"/>
  <c r="D95" i="7" s="1"/>
  <c r="D96" i="7" s="1"/>
  <c r="D97" i="7" s="1"/>
  <c r="D98" i="7" s="1"/>
  <c r="D99" i="7" s="1"/>
  <c r="D100" i="7" s="1"/>
  <c r="AB92" i="7"/>
  <c r="Y92" i="7"/>
  <c r="W92" i="7"/>
  <c r="U92" i="7"/>
  <c r="C92" i="7"/>
  <c r="C93" i="7" s="1"/>
  <c r="K91" i="7"/>
  <c r="N91" i="7" s="1"/>
  <c r="J91" i="7"/>
  <c r="M91" i="7" s="1"/>
  <c r="H91" i="7"/>
  <c r="G91" i="7"/>
  <c r="K90" i="7"/>
  <c r="N90" i="7" s="1"/>
  <c r="J90" i="7"/>
  <c r="M90" i="7" s="1"/>
  <c r="H90" i="7"/>
  <c r="G90" i="7"/>
  <c r="K89" i="7"/>
  <c r="N89" i="7" s="1"/>
  <c r="J89" i="7"/>
  <c r="M89" i="7" s="1"/>
  <c r="H89" i="7"/>
  <c r="G89" i="7"/>
  <c r="K88" i="7"/>
  <c r="N88" i="7" s="1"/>
  <c r="J88" i="7"/>
  <c r="H88" i="7"/>
  <c r="G88" i="7"/>
  <c r="K87" i="7"/>
  <c r="N87" i="7" s="1"/>
  <c r="J87" i="7"/>
  <c r="M87" i="7" s="1"/>
  <c r="H87" i="7"/>
  <c r="G87" i="7"/>
  <c r="K86" i="7"/>
  <c r="N86" i="7" s="1"/>
  <c r="J86" i="7"/>
  <c r="H86" i="7"/>
  <c r="G86" i="7"/>
  <c r="D86" i="7"/>
  <c r="D87" i="7" s="1"/>
  <c r="D88" i="7" s="1"/>
  <c r="D89" i="7" s="1"/>
  <c r="D90" i="7" s="1"/>
  <c r="D91" i="7" s="1"/>
  <c r="AB85" i="7"/>
  <c r="Y85" i="7"/>
  <c r="W85" i="7"/>
  <c r="U85" i="7"/>
  <c r="C85" i="7"/>
  <c r="C86" i="7" s="1"/>
  <c r="AB84" i="7"/>
  <c r="Y84" i="7"/>
  <c r="W84" i="7"/>
  <c r="U84" i="7"/>
  <c r="C84" i="7"/>
  <c r="I83" i="7"/>
  <c r="H83" i="7"/>
  <c r="G83" i="7"/>
  <c r="D83" i="7"/>
  <c r="AB82" i="7"/>
  <c r="Y82" i="7"/>
  <c r="W82" i="7"/>
  <c r="U82" i="7"/>
  <c r="C82" i="7"/>
  <c r="C83" i="7" s="1"/>
  <c r="K81" i="7"/>
  <c r="N81" i="7" s="1"/>
  <c r="J81" i="7"/>
  <c r="H81" i="7"/>
  <c r="G81" i="7"/>
  <c r="D81" i="7"/>
  <c r="AB80" i="7"/>
  <c r="Y80" i="7"/>
  <c r="W80" i="7"/>
  <c r="U80" i="7"/>
  <c r="C80" i="7"/>
  <c r="C81" i="7" s="1"/>
  <c r="H79" i="7"/>
  <c r="G79" i="7"/>
  <c r="D79" i="7"/>
  <c r="AB78" i="7"/>
  <c r="Y78" i="7"/>
  <c r="W78" i="7"/>
  <c r="U78" i="7"/>
  <c r="C78" i="7"/>
  <c r="C79" i="7" s="1"/>
  <c r="H77" i="7"/>
  <c r="G77" i="7"/>
  <c r="H76" i="7"/>
  <c r="G76" i="7"/>
  <c r="H75" i="7"/>
  <c r="G75" i="7"/>
  <c r="D75" i="7"/>
  <c r="D76" i="7" s="1"/>
  <c r="D77" i="7" s="1"/>
  <c r="AB74" i="7"/>
  <c r="Y74" i="7"/>
  <c r="W74" i="7"/>
  <c r="U74" i="7"/>
  <c r="C74" i="7"/>
  <c r="C75" i="7" s="1"/>
  <c r="I73" i="7"/>
  <c r="H73" i="7"/>
  <c r="G73" i="7"/>
  <c r="H72" i="7"/>
  <c r="G72" i="7"/>
  <c r="K71" i="7"/>
  <c r="N71" i="7" s="1"/>
  <c r="J71" i="7"/>
  <c r="H71" i="7"/>
  <c r="G71" i="7"/>
  <c r="K70" i="7"/>
  <c r="N70" i="7" s="1"/>
  <c r="J70" i="7"/>
  <c r="M70" i="7" s="1"/>
  <c r="H70" i="7"/>
  <c r="G70" i="7"/>
  <c r="K69" i="7"/>
  <c r="N69" i="7" s="1"/>
  <c r="J69" i="7"/>
  <c r="M69" i="7" s="1"/>
  <c r="H69" i="7"/>
  <c r="G69" i="7"/>
  <c r="K68" i="7"/>
  <c r="N68" i="7" s="1"/>
  <c r="J68" i="7"/>
  <c r="M68" i="7" s="1"/>
  <c r="H68" i="7"/>
  <c r="G68" i="7"/>
  <c r="K67" i="7"/>
  <c r="N67" i="7" s="1"/>
  <c r="J67" i="7"/>
  <c r="H67" i="7"/>
  <c r="G67" i="7"/>
  <c r="D67" i="7"/>
  <c r="D68" i="7" s="1"/>
  <c r="D69" i="7" s="1"/>
  <c r="D70" i="7" s="1"/>
  <c r="D71" i="7" s="1"/>
  <c r="D72" i="7" s="1"/>
  <c r="D73" i="7" s="1"/>
  <c r="AB66" i="7"/>
  <c r="Y66" i="7"/>
  <c r="W66" i="7"/>
  <c r="U66" i="7"/>
  <c r="C66" i="7"/>
  <c r="C67" i="7" s="1"/>
  <c r="C68" i="7" s="1"/>
  <c r="C69" i="7" s="1"/>
  <c r="C70" i="7" s="1"/>
  <c r="C71" i="7" s="1"/>
  <c r="C72" i="7" s="1"/>
  <c r="C73" i="7" s="1"/>
  <c r="I65" i="7"/>
  <c r="H65" i="7"/>
  <c r="G65" i="7"/>
  <c r="H64" i="7"/>
  <c r="G64" i="7"/>
  <c r="K63" i="7"/>
  <c r="N63" i="7" s="1"/>
  <c r="J63" i="7"/>
  <c r="M63" i="7" s="1"/>
  <c r="H63" i="7"/>
  <c r="G63" i="7"/>
  <c r="K62" i="7"/>
  <c r="N62" i="7" s="1"/>
  <c r="J62" i="7"/>
  <c r="M62" i="7" s="1"/>
  <c r="H62" i="7"/>
  <c r="G62" i="7"/>
  <c r="K61" i="7"/>
  <c r="N61" i="7" s="1"/>
  <c r="J61" i="7"/>
  <c r="M61" i="7" s="1"/>
  <c r="H61" i="7"/>
  <c r="G61" i="7"/>
  <c r="K60" i="7"/>
  <c r="N60" i="7" s="1"/>
  <c r="J60" i="7"/>
  <c r="M60" i="7" s="1"/>
  <c r="H60" i="7"/>
  <c r="G60" i="7"/>
  <c r="K59" i="7"/>
  <c r="N59" i="7" s="1"/>
  <c r="J59" i="7"/>
  <c r="H59" i="7"/>
  <c r="G59" i="7"/>
  <c r="K58" i="7"/>
  <c r="N58" i="7" s="1"/>
  <c r="J58" i="7"/>
  <c r="M58" i="7" s="1"/>
  <c r="H58" i="7"/>
  <c r="G58" i="7"/>
  <c r="K57" i="7"/>
  <c r="N57" i="7" s="1"/>
  <c r="J57" i="7"/>
  <c r="M57" i="7" s="1"/>
  <c r="H57" i="7"/>
  <c r="G57" i="7"/>
  <c r="K56" i="7"/>
  <c r="N56" i="7" s="1"/>
  <c r="J56" i="7"/>
  <c r="M56" i="7" s="1"/>
  <c r="H56" i="7"/>
  <c r="G56" i="7"/>
  <c r="K55" i="7"/>
  <c r="N55" i="7" s="1"/>
  <c r="J55" i="7"/>
  <c r="M55" i="7" s="1"/>
  <c r="H55" i="7"/>
  <c r="G55" i="7"/>
  <c r="D55" i="7"/>
  <c r="D56" i="7" s="1"/>
  <c r="D57" i="7" s="1"/>
  <c r="D58" i="7" s="1"/>
  <c r="D59" i="7" s="1"/>
  <c r="D60" i="7" s="1"/>
  <c r="D61" i="7" s="1"/>
  <c r="D62" i="7" s="1"/>
  <c r="D63" i="7" s="1"/>
  <c r="D64" i="7" s="1"/>
  <c r="D65" i="7" s="1"/>
  <c r="AB54" i="7"/>
  <c r="Y54" i="7"/>
  <c r="W54" i="7"/>
  <c r="U54" i="7"/>
  <c r="C54" i="7"/>
  <c r="C55" i="7" s="1"/>
  <c r="I53" i="7"/>
  <c r="H53" i="7"/>
  <c r="G53" i="7"/>
  <c r="H52" i="7"/>
  <c r="G52" i="7"/>
  <c r="K51" i="7"/>
  <c r="N51" i="7" s="1"/>
  <c r="J51" i="7"/>
  <c r="M51" i="7" s="1"/>
  <c r="H51" i="7"/>
  <c r="G51" i="7"/>
  <c r="H50" i="7"/>
  <c r="G50" i="7"/>
  <c r="D50" i="7"/>
  <c r="D51" i="7" s="1"/>
  <c r="D52" i="7" s="1"/>
  <c r="D53" i="7" s="1"/>
  <c r="AB49" i="7"/>
  <c r="Y49" i="7"/>
  <c r="W49" i="7"/>
  <c r="U49" i="7"/>
  <c r="C49" i="7"/>
  <c r="C50" i="7" s="1"/>
  <c r="AB48" i="7"/>
  <c r="Y48" i="7"/>
  <c r="W48" i="7"/>
  <c r="U48" i="7"/>
  <c r="C48" i="7"/>
  <c r="I47" i="7"/>
  <c r="H47" i="7"/>
  <c r="G47" i="7"/>
  <c r="H46" i="7"/>
  <c r="G46" i="7"/>
  <c r="K45" i="7"/>
  <c r="N45" i="7" s="1"/>
  <c r="J45" i="7"/>
  <c r="M45" i="7" s="1"/>
  <c r="H45" i="7"/>
  <c r="G45" i="7"/>
  <c r="H44" i="7"/>
  <c r="G44" i="7"/>
  <c r="K43" i="7"/>
  <c r="N43" i="7" s="1"/>
  <c r="J43" i="7"/>
  <c r="M43" i="7" s="1"/>
  <c r="H43" i="7"/>
  <c r="G43" i="7"/>
  <c r="K42" i="7"/>
  <c r="N42" i="7" s="1"/>
  <c r="J42" i="7"/>
  <c r="M42" i="7" s="1"/>
  <c r="H42" i="7"/>
  <c r="G42" i="7"/>
  <c r="K41" i="7"/>
  <c r="N41" i="7" s="1"/>
  <c r="J41" i="7"/>
  <c r="M41" i="7" s="1"/>
  <c r="H41" i="7"/>
  <c r="G41" i="7"/>
  <c r="K40" i="7"/>
  <c r="N40" i="7" s="1"/>
  <c r="J40" i="7"/>
  <c r="M40" i="7" s="1"/>
  <c r="H40" i="7"/>
  <c r="G40" i="7"/>
  <c r="K39" i="7"/>
  <c r="N39" i="7" s="1"/>
  <c r="J39" i="7"/>
  <c r="M39" i="7" s="1"/>
  <c r="H39" i="7"/>
  <c r="G39" i="7"/>
  <c r="K38" i="7"/>
  <c r="N38" i="7" s="1"/>
  <c r="J38" i="7"/>
  <c r="M38" i="7" s="1"/>
  <c r="H38" i="7"/>
  <c r="G38" i="7"/>
  <c r="K37" i="7"/>
  <c r="N37" i="7" s="1"/>
  <c r="J37" i="7"/>
  <c r="M37" i="7" s="1"/>
  <c r="H37" i="7"/>
  <c r="G37" i="7"/>
  <c r="D37" i="7"/>
  <c r="D38" i="7" s="1"/>
  <c r="D39" i="7" s="1"/>
  <c r="D40" i="7" s="1"/>
  <c r="D41" i="7" s="1"/>
  <c r="D42" i="7" s="1"/>
  <c r="D43" i="7" s="1"/>
  <c r="D44" i="7" s="1"/>
  <c r="D45" i="7" s="1"/>
  <c r="D46" i="7" s="1"/>
  <c r="D47" i="7" s="1"/>
  <c r="AB36" i="7"/>
  <c r="Y36" i="7"/>
  <c r="W36" i="7"/>
  <c r="U36" i="7"/>
  <c r="C36" i="7"/>
  <c r="C37" i="7" s="1"/>
  <c r="C38" i="7" s="1"/>
  <c r="K35" i="7"/>
  <c r="J35" i="7"/>
  <c r="H35" i="7"/>
  <c r="G35" i="7"/>
  <c r="K34" i="7"/>
  <c r="J34" i="7"/>
  <c r="H34" i="7"/>
  <c r="G34" i="7"/>
  <c r="H33" i="7"/>
  <c r="G33" i="7"/>
  <c r="K32" i="7"/>
  <c r="N32" i="7" s="1"/>
  <c r="J32" i="7"/>
  <c r="M32" i="7" s="1"/>
  <c r="H32" i="7"/>
  <c r="G32" i="7"/>
  <c r="H31" i="7"/>
  <c r="G31" i="7"/>
  <c r="H30" i="7"/>
  <c r="G30" i="7"/>
  <c r="D30" i="7"/>
  <c r="D31" i="7" s="1"/>
  <c r="D32" i="7" s="1"/>
  <c r="D33" i="7" s="1"/>
  <c r="D34" i="7" s="1"/>
  <c r="D35" i="7" s="1"/>
  <c r="AB29" i="7"/>
  <c r="Y29" i="7"/>
  <c r="W29" i="7"/>
  <c r="U29" i="7"/>
  <c r="C29" i="7"/>
  <c r="C30" i="7" s="1"/>
  <c r="AB28" i="7"/>
  <c r="Y28" i="7"/>
  <c r="W28" i="7"/>
  <c r="U28" i="7"/>
  <c r="C28" i="7"/>
  <c r="K27" i="7"/>
  <c r="N27" i="7" s="1"/>
  <c r="J27" i="7"/>
  <c r="H27" i="7"/>
  <c r="G27" i="7"/>
  <c r="K26" i="7"/>
  <c r="N26" i="7" s="1"/>
  <c r="J26" i="7"/>
  <c r="M26" i="7" s="1"/>
  <c r="H26" i="7"/>
  <c r="G26" i="7"/>
  <c r="K25" i="7"/>
  <c r="N25" i="7" s="1"/>
  <c r="J25" i="7"/>
  <c r="M25" i="7" s="1"/>
  <c r="H25" i="7"/>
  <c r="G25" i="7"/>
  <c r="K24" i="7"/>
  <c r="N24" i="7" s="1"/>
  <c r="J24" i="7"/>
  <c r="M24" i="7" s="1"/>
  <c r="H24" i="7"/>
  <c r="G24" i="7"/>
  <c r="K23" i="7"/>
  <c r="N23" i="7" s="1"/>
  <c r="J23" i="7"/>
  <c r="H23" i="7"/>
  <c r="G23" i="7"/>
  <c r="D23" i="7"/>
  <c r="D24" i="7" s="1"/>
  <c r="D25" i="7" s="1"/>
  <c r="D26" i="7" s="1"/>
  <c r="D27" i="7" s="1"/>
  <c r="AB22" i="7"/>
  <c r="Y22" i="7"/>
  <c r="W22" i="7"/>
  <c r="U22" i="7"/>
  <c r="C22" i="7"/>
  <c r="C23" i="7" s="1"/>
  <c r="C24" i="7" s="1"/>
  <c r="AB21" i="7"/>
  <c r="Y21" i="7"/>
  <c r="W21" i="7"/>
  <c r="U21" i="7"/>
  <c r="C21" i="7"/>
  <c r="H20" i="7"/>
  <c r="G20" i="7"/>
  <c r="D20" i="7"/>
  <c r="AB19" i="7"/>
  <c r="Y19" i="7"/>
  <c r="W19" i="7"/>
  <c r="U19" i="7"/>
  <c r="C19" i="7"/>
  <c r="C20" i="7" s="1"/>
  <c r="K18" i="7"/>
  <c r="N18" i="7" s="1"/>
  <c r="J18" i="7"/>
  <c r="M18" i="7" s="1"/>
  <c r="H18" i="7"/>
  <c r="G18" i="7"/>
  <c r="D18" i="7"/>
  <c r="AB17" i="7"/>
  <c r="Y17" i="7"/>
  <c r="W17" i="7"/>
  <c r="U17" i="7"/>
  <c r="C17" i="7"/>
  <c r="C18" i="7" s="1"/>
  <c r="K16" i="7"/>
  <c r="N16" i="7" s="1"/>
  <c r="J16" i="7"/>
  <c r="H16" i="7"/>
  <c r="G16" i="7"/>
  <c r="H15" i="7"/>
  <c r="G15" i="7"/>
  <c r="H14" i="7"/>
  <c r="G14" i="7"/>
  <c r="D14" i="7"/>
  <c r="D15" i="7" s="1"/>
  <c r="D16" i="7" s="1"/>
  <c r="AB13" i="7"/>
  <c r="Y13" i="7"/>
  <c r="W13" i="7"/>
  <c r="U13" i="7"/>
  <c r="C13" i="7"/>
  <c r="C14" i="7" s="1"/>
  <c r="C15" i="7" s="1"/>
  <c r="AB12" i="7"/>
  <c r="Y12" i="7"/>
  <c r="W12" i="7"/>
  <c r="U12" i="7"/>
  <c r="C12" i="7"/>
  <c r="H11" i="7"/>
  <c r="G11" i="7"/>
  <c r="D11" i="7"/>
  <c r="AB10" i="7"/>
  <c r="Y10" i="7"/>
  <c r="W10" i="7"/>
  <c r="U10" i="7"/>
  <c r="C10" i="7"/>
  <c r="C11" i="7" s="1"/>
  <c r="AB9" i="7"/>
  <c r="Y9" i="7"/>
  <c r="W9" i="7"/>
  <c r="U9" i="7"/>
  <c r="N6" i="7"/>
  <c r="J6" i="7"/>
  <c r="G6" i="7"/>
  <c r="AC5" i="7"/>
  <c r="Y5" i="7" s="1"/>
  <c r="N5" i="7"/>
  <c r="J5" i="7"/>
  <c r="N4" i="7"/>
  <c r="I4" i="7"/>
  <c r="N3" i="7"/>
  <c r="I3" i="7"/>
  <c r="N2" i="7"/>
  <c r="A2" i="7"/>
  <c r="A3" i="7" s="1"/>
  <c r="A4" i="7" s="1"/>
  <c r="A5" i="7" s="1"/>
  <c r="A6" i="7" s="1"/>
  <c r="A7" i="7" s="1"/>
  <c r="A8" i="7" s="1"/>
  <c r="A9" i="7" s="1"/>
  <c r="A10" i="7" s="1"/>
  <c r="C58" i="4"/>
  <c r="E53" i="4"/>
  <c r="J44" i="4"/>
  <c r="I44" i="4"/>
  <c r="H44" i="4"/>
  <c r="G44" i="4"/>
  <c r="F44" i="4"/>
  <c r="C15" i="4"/>
  <c r="B13" i="11" s="1"/>
  <c r="D10" i="4"/>
  <c r="H9" i="4"/>
  <c r="D9" i="4"/>
  <c r="H8" i="4"/>
  <c r="D8" i="4"/>
  <c r="D7" i="4"/>
  <c r="F64" i="3"/>
  <c r="I47" i="3"/>
  <c r="H47" i="3"/>
  <c r="G47" i="3"/>
  <c r="D40" i="3"/>
  <c r="D47" i="3" s="1"/>
  <c r="F39" i="3"/>
  <c r="F38" i="3"/>
  <c r="F37" i="3"/>
  <c r="F36" i="3"/>
  <c r="F35" i="3"/>
  <c r="I27" i="3"/>
  <c r="H27" i="3"/>
  <c r="G27" i="3"/>
  <c r="D20" i="3"/>
  <c r="D27" i="3" s="1"/>
  <c r="F19" i="3"/>
  <c r="F18" i="3"/>
  <c r="F17" i="3"/>
  <c r="F16" i="3"/>
  <c r="F15" i="3"/>
  <c r="D8" i="3"/>
  <c r="D7" i="3"/>
  <c r="A56" i="2"/>
  <c r="G24" i="2"/>
  <c r="J10" i="4" s="1"/>
  <c r="L17" i="2"/>
  <c r="L16" i="2"/>
  <c r="G16" i="2"/>
  <c r="C12" i="2"/>
  <c r="K11" i="2"/>
  <c r="C11" i="2"/>
  <c r="C10" i="2"/>
  <c r="M186" i="13"/>
  <c r="L186" i="13"/>
  <c r="K186" i="13"/>
  <c r="I186" i="13"/>
  <c r="F185" i="13"/>
  <c r="E185" i="13"/>
  <c r="M184" i="13"/>
  <c r="E184" i="13"/>
  <c r="L184" i="13" s="1"/>
  <c r="K184" i="13" s="1"/>
  <c r="E176" i="13"/>
  <c r="M176" i="13" s="1"/>
  <c r="M168" i="13"/>
  <c r="L168" i="13"/>
  <c r="K168" i="13" s="1"/>
  <c r="I168" i="13"/>
  <c r="M159" i="13"/>
  <c r="L159" i="13"/>
  <c r="K159" i="13"/>
  <c r="I159" i="13"/>
  <c r="M150" i="13"/>
  <c r="L150" i="13"/>
  <c r="K150" i="13" s="1"/>
  <c r="I150" i="13"/>
  <c r="M141" i="13"/>
  <c r="L141" i="13"/>
  <c r="K141" i="13"/>
  <c r="I141" i="13"/>
  <c r="M133" i="13"/>
  <c r="L133" i="13"/>
  <c r="K133" i="13"/>
  <c r="I133" i="13"/>
  <c r="I125" i="13"/>
  <c r="F124" i="13"/>
  <c r="M124" i="13" s="1"/>
  <c r="M116" i="13"/>
  <c r="L116" i="13"/>
  <c r="K116" i="13"/>
  <c r="I116" i="13"/>
  <c r="M115" i="13"/>
  <c r="L115" i="13"/>
  <c r="K115" i="13" s="1"/>
  <c r="I115" i="13"/>
  <c r="H107" i="13"/>
  <c r="H106" i="13"/>
  <c r="I106" i="13" s="1"/>
  <c r="H105" i="13"/>
  <c r="H104" i="13"/>
  <c r="M104" i="13" s="1"/>
  <c r="H103" i="13"/>
  <c r="M102" i="13"/>
  <c r="L102" i="13"/>
  <c r="K102" i="13"/>
  <c r="I102" i="13"/>
  <c r="H102" i="13"/>
  <c r="H101" i="13"/>
  <c r="H100" i="13"/>
  <c r="M100" i="13" s="1"/>
  <c r="H99" i="13"/>
  <c r="M98" i="13"/>
  <c r="H98" i="13"/>
  <c r="L98" i="13" s="1"/>
  <c r="K98" i="13" s="1"/>
  <c r="M89" i="13"/>
  <c r="L89" i="13"/>
  <c r="K89" i="13"/>
  <c r="I89" i="13"/>
  <c r="M80" i="13"/>
  <c r="L80" i="13"/>
  <c r="K80" i="13" s="1"/>
  <c r="I80" i="13"/>
  <c r="M78" i="13"/>
  <c r="L78" i="13"/>
  <c r="K78" i="13"/>
  <c r="I78" i="13"/>
  <c r="M76" i="13"/>
  <c r="L76" i="13"/>
  <c r="K76" i="13"/>
  <c r="I76" i="13"/>
  <c r="M74" i="13"/>
  <c r="L74" i="13"/>
  <c r="K74" i="13"/>
  <c r="I74" i="13"/>
  <c r="M72" i="13"/>
  <c r="L72" i="13"/>
  <c r="K72" i="13"/>
  <c r="I72" i="13"/>
  <c r="M64" i="13"/>
  <c r="L64" i="13"/>
  <c r="K64" i="13" s="1"/>
  <c r="I64" i="13"/>
  <c r="M56" i="13"/>
  <c r="L56" i="13"/>
  <c r="K56" i="13"/>
  <c r="I56" i="13"/>
  <c r="M48" i="13"/>
  <c r="L48" i="13"/>
  <c r="K48" i="13"/>
  <c r="I48" i="13"/>
  <c r="M40" i="13"/>
  <c r="L40" i="13"/>
  <c r="K40" i="13"/>
  <c r="I40" i="13"/>
  <c r="M32" i="13"/>
  <c r="L32" i="13"/>
  <c r="K32" i="13"/>
  <c r="I32" i="13"/>
  <c r="M23" i="13"/>
  <c r="L23" i="13"/>
  <c r="K23" i="13" s="1"/>
  <c r="I23" i="13"/>
  <c r="M14" i="13"/>
  <c r="L14" i="13"/>
  <c r="K14" i="13"/>
  <c r="I14" i="13"/>
  <c r="K665" i="7" l="1"/>
  <c r="N665" i="7" s="1"/>
  <c r="H26" i="9"/>
  <c r="H253" i="9"/>
  <c r="H513" i="9"/>
  <c r="K942" i="7"/>
  <c r="N942" i="7" s="1"/>
  <c r="H128" i="9"/>
  <c r="G180" i="9"/>
  <c r="G510" i="9"/>
  <c r="H389" i="9"/>
  <c r="H180" i="9"/>
  <c r="H510" i="9"/>
  <c r="H400" i="9"/>
  <c r="H776" i="9"/>
  <c r="J329" i="7"/>
  <c r="M329" i="7" s="1"/>
  <c r="G506" i="9"/>
  <c r="G32" i="9"/>
  <c r="H354" i="9"/>
  <c r="C933" i="7"/>
  <c r="E933" i="7" s="1"/>
  <c r="E932" i="7"/>
  <c r="D903" i="7"/>
  <c r="D904" i="7" s="1"/>
  <c r="C865" i="7"/>
  <c r="E870" i="7" s="1"/>
  <c r="O883" i="7"/>
  <c r="Y883" i="7" s="1"/>
  <c r="L883" i="7"/>
  <c r="E881" i="7"/>
  <c r="D882" i="7"/>
  <c r="D883" i="7" s="1"/>
  <c r="E883" i="7" s="1"/>
  <c r="K73" i="7"/>
  <c r="N73" i="7" s="1"/>
  <c r="K53" i="7"/>
  <c r="N53" i="7" s="1"/>
  <c r="J952" i="12"/>
  <c r="J2221" i="12"/>
  <c r="K879" i="7" s="1"/>
  <c r="N879" i="7" s="1"/>
  <c r="I2221" i="12"/>
  <c r="J879" i="7" s="1"/>
  <c r="M879" i="7" s="1"/>
  <c r="K2222" i="12"/>
  <c r="E879" i="7"/>
  <c r="O875" i="7"/>
  <c r="U875" i="7" s="1"/>
  <c r="E880" i="7"/>
  <c r="E873" i="7"/>
  <c r="O877" i="7"/>
  <c r="W877" i="7" s="1"/>
  <c r="E875" i="7"/>
  <c r="O873" i="7"/>
  <c r="L873" i="7"/>
  <c r="L875" i="7"/>
  <c r="L877" i="7"/>
  <c r="E972" i="7"/>
  <c r="E363" i="7"/>
  <c r="E722" i="7"/>
  <c r="E353" i="7"/>
  <c r="E127" i="7"/>
  <c r="E123" i="7"/>
  <c r="E397" i="7"/>
  <c r="E277" i="7"/>
  <c r="E134" i="7"/>
  <c r="J1771" i="12"/>
  <c r="K1771" i="12" s="1"/>
  <c r="I2119" i="12"/>
  <c r="J233" i="7" s="1"/>
  <c r="L233" i="7" s="1"/>
  <c r="K2217" i="12"/>
  <c r="K2213" i="12"/>
  <c r="K2216" i="12"/>
  <c r="K2215" i="12"/>
  <c r="K2214" i="12"/>
  <c r="I50" i="12"/>
  <c r="I958" i="12"/>
  <c r="I26" i="12"/>
  <c r="J182" i="7" s="1"/>
  <c r="M182" i="7" s="1"/>
  <c r="O182" i="7" s="1"/>
  <c r="W182" i="7" s="1"/>
  <c r="J2148" i="12"/>
  <c r="K2148" i="12" s="1"/>
  <c r="I948" i="12"/>
  <c r="K948" i="12" s="1"/>
  <c r="K2219" i="12"/>
  <c r="I2218" i="12"/>
  <c r="G151" i="9" s="1"/>
  <c r="J2218" i="12"/>
  <c r="H151" i="9" s="1"/>
  <c r="K2220" i="12"/>
  <c r="I2211" i="12"/>
  <c r="G645" i="9" s="1"/>
  <c r="J2211" i="12"/>
  <c r="H645" i="9" s="1"/>
  <c r="K2212" i="12"/>
  <c r="K33" i="7"/>
  <c r="N33" i="7" s="1"/>
  <c r="K1003" i="7"/>
  <c r="N1003" i="7" s="1"/>
  <c r="K65" i="7"/>
  <c r="N65" i="7" s="1"/>
  <c r="I1463" i="12"/>
  <c r="K1463" i="12" s="1"/>
  <c r="H592" i="9"/>
  <c r="I144" i="12"/>
  <c r="J118" i="7" s="1"/>
  <c r="M118" i="7" s="1"/>
  <c r="I956" i="12"/>
  <c r="K956" i="12" s="1"/>
  <c r="J946" i="12"/>
  <c r="K946" i="12" s="1"/>
  <c r="I954" i="12"/>
  <c r="I985" i="12"/>
  <c r="K985" i="12" s="1"/>
  <c r="K118" i="7"/>
  <c r="N118" i="7" s="1"/>
  <c r="K289" i="12"/>
  <c r="I955" i="12"/>
  <c r="K955" i="12" s="1"/>
  <c r="I1770" i="12"/>
  <c r="K1770" i="12" s="1"/>
  <c r="I2144" i="12"/>
  <c r="K2144" i="12" s="1"/>
  <c r="I986" i="12"/>
  <c r="I959" i="12"/>
  <c r="K959" i="12" s="1"/>
  <c r="I950" i="12"/>
  <c r="K950" i="12" s="1"/>
  <c r="J2145" i="12"/>
  <c r="K2145" i="12" s="1"/>
  <c r="K2207" i="12"/>
  <c r="K2208" i="12"/>
  <c r="J2206" i="12"/>
  <c r="I2206" i="12"/>
  <c r="K943" i="7"/>
  <c r="N943" i="7" s="1"/>
  <c r="K947" i="7"/>
  <c r="N947" i="7" s="1"/>
  <c r="K2210" i="12"/>
  <c r="K2209" i="12"/>
  <c r="J940" i="7"/>
  <c r="M940" i="7" s="1"/>
  <c r="K340" i="12"/>
  <c r="O202" i="7"/>
  <c r="U202" i="7" s="1"/>
  <c r="O314" i="7"/>
  <c r="Y314" i="7" s="1"/>
  <c r="K11" i="12"/>
  <c r="K53" i="12"/>
  <c r="K83" i="12"/>
  <c r="K188" i="12"/>
  <c r="K222" i="12"/>
  <c r="K1816" i="12"/>
  <c r="K21" i="12"/>
  <c r="K512" i="12"/>
  <c r="K1380" i="12"/>
  <c r="K20" i="12"/>
  <c r="K25" i="12"/>
  <c r="K71" i="12"/>
  <c r="K316" i="12"/>
  <c r="K1512" i="12"/>
  <c r="K1609" i="12"/>
  <c r="O87" i="7"/>
  <c r="U87" i="7" s="1"/>
  <c r="K533" i="12"/>
  <c r="K1633" i="12"/>
  <c r="K1834" i="12"/>
  <c r="K1865" i="12"/>
  <c r="K1869" i="12"/>
  <c r="K1873" i="12"/>
  <c r="K189" i="12"/>
  <c r="K208" i="12"/>
  <c r="K213" i="12"/>
  <c r="K224" i="12"/>
  <c r="K546" i="12"/>
  <c r="K625" i="12"/>
  <c r="K554" i="12"/>
  <c r="J695" i="12"/>
  <c r="J1790" i="12"/>
  <c r="H118" i="9" s="1"/>
  <c r="K1722" i="12"/>
  <c r="K2007" i="12"/>
  <c r="K2016" i="12"/>
  <c r="K2028" i="12"/>
  <c r="K2046" i="12"/>
  <c r="K2185" i="12"/>
  <c r="K303" i="12"/>
  <c r="O445" i="7"/>
  <c r="U445" i="7" s="1"/>
  <c r="O55" i="7"/>
  <c r="U55" i="7" s="1"/>
  <c r="O70" i="7"/>
  <c r="W70" i="7" s="1"/>
  <c r="K1196" i="12"/>
  <c r="K469" i="12"/>
  <c r="K498" i="12"/>
  <c r="K516" i="12"/>
  <c r="K681" i="12"/>
  <c r="K1215" i="12"/>
  <c r="K294" i="12"/>
  <c r="K551" i="12"/>
  <c r="K819" i="12"/>
  <c r="K837" i="12"/>
  <c r="K897" i="12"/>
  <c r="K935" i="12"/>
  <c r="K39" i="12"/>
  <c r="K44" i="12"/>
  <c r="K388" i="12"/>
  <c r="K413" i="12"/>
  <c r="K1057" i="12"/>
  <c r="K1077" i="12"/>
  <c r="K1191" i="12"/>
  <c r="K1656" i="12"/>
  <c r="K1739" i="12"/>
  <c r="K1950" i="12"/>
  <c r="K811" i="12"/>
  <c r="K968" i="12"/>
  <c r="K1078" i="12"/>
  <c r="K1141" i="12"/>
  <c r="K1183" i="12"/>
  <c r="K1487" i="12"/>
  <c r="K1505" i="12"/>
  <c r="O579" i="7"/>
  <c r="Y579" i="7" s="1"/>
  <c r="K753" i="12"/>
  <c r="K151" i="12"/>
  <c r="K365" i="12"/>
  <c r="J2049" i="12"/>
  <c r="K1172" i="12"/>
  <c r="K1177" i="12"/>
  <c r="J1623" i="12"/>
  <c r="H144" i="9" s="1"/>
  <c r="K31" i="7"/>
  <c r="N31" i="7" s="1"/>
  <c r="J975" i="12"/>
  <c r="K738" i="7" s="1"/>
  <c r="N738" i="7" s="1"/>
  <c r="J1473" i="12"/>
  <c r="J669" i="12"/>
  <c r="K977" i="12"/>
  <c r="I1760" i="12"/>
  <c r="J2202" i="12"/>
  <c r="H474" i="9" s="1"/>
  <c r="K1221" i="12"/>
  <c r="K1620" i="12"/>
  <c r="K2127" i="12"/>
  <c r="K2204" i="12"/>
  <c r="K352" i="12"/>
  <c r="J1495" i="12"/>
  <c r="K2093" i="12"/>
  <c r="I573" i="12"/>
  <c r="K644" i="7"/>
  <c r="N644" i="7" s="1"/>
  <c r="K206" i="12"/>
  <c r="K921" i="12"/>
  <c r="K1629" i="12"/>
  <c r="K1914" i="12"/>
  <c r="K1980" i="12"/>
  <c r="K2125" i="12"/>
  <c r="K150" i="12"/>
  <c r="I687" i="12"/>
  <c r="J2198" i="12"/>
  <c r="K761" i="12"/>
  <c r="K1085" i="12"/>
  <c r="K1207" i="12"/>
  <c r="K1212" i="12"/>
  <c r="K1216" i="12"/>
  <c r="J1406" i="12"/>
  <c r="K1948" i="12"/>
  <c r="I2172" i="12"/>
  <c r="J941" i="7" s="1"/>
  <c r="M941" i="7" s="1"/>
  <c r="K168" i="12"/>
  <c r="K1217" i="12"/>
  <c r="K1374" i="12"/>
  <c r="K1922" i="12"/>
  <c r="K1926" i="12"/>
  <c r="K1930" i="12"/>
  <c r="K2149" i="12"/>
  <c r="I2066" i="12"/>
  <c r="I2077" i="12" s="1"/>
  <c r="K2082" i="12"/>
  <c r="K1035" i="12"/>
  <c r="K694" i="12"/>
  <c r="K711" i="12"/>
  <c r="K520" i="7"/>
  <c r="N520" i="7" s="1"/>
  <c r="K1149" i="12"/>
  <c r="K1171" i="12"/>
  <c r="K1176" i="12"/>
  <c r="K1282" i="12"/>
  <c r="K1734" i="12"/>
  <c r="K1938" i="12"/>
  <c r="K466" i="7"/>
  <c r="N466" i="7" s="1"/>
  <c r="K1983" i="12"/>
  <c r="K2005" i="12"/>
  <c r="K2009" i="12"/>
  <c r="K2013" i="12"/>
  <c r="K2026" i="12"/>
  <c r="K2031" i="12"/>
  <c r="J2090" i="12"/>
  <c r="K165" i="7" s="1"/>
  <c r="N165" i="7" s="1"/>
  <c r="J687" i="12"/>
  <c r="H760" i="9" s="1"/>
  <c r="K1304" i="12"/>
  <c r="K214" i="12"/>
  <c r="J424" i="12"/>
  <c r="H693" i="9" s="1"/>
  <c r="K611" i="12"/>
  <c r="K1204" i="12"/>
  <c r="J1527" i="12"/>
  <c r="K1585" i="12"/>
  <c r="K699" i="7"/>
  <c r="N699" i="7" s="1"/>
  <c r="J22" i="12"/>
  <c r="K130" i="7" s="1"/>
  <c r="N130" i="7" s="1"/>
  <c r="K45" i="12"/>
  <c r="K117" i="12"/>
  <c r="K292" i="12"/>
  <c r="J875" i="12"/>
  <c r="K1678" i="12"/>
  <c r="K1698" i="12"/>
  <c r="K1750" i="12"/>
  <c r="J67" i="12"/>
  <c r="J31" i="7"/>
  <c r="M31" i="7" s="1"/>
  <c r="K149" i="12"/>
  <c r="K304" i="12"/>
  <c r="K385" i="12"/>
  <c r="K414" i="12"/>
  <c r="K419" i="12"/>
  <c r="K640" i="12"/>
  <c r="K736" i="12"/>
  <c r="I1226" i="12"/>
  <c r="J896" i="7" s="1"/>
  <c r="M896" i="7" s="1"/>
  <c r="I1290" i="12"/>
  <c r="K1305" i="12"/>
  <c r="K1496" i="12"/>
  <c r="K1905" i="12"/>
  <c r="E306" i="7"/>
  <c r="O567" i="7"/>
  <c r="Y567" i="7" s="1"/>
  <c r="O222" i="7"/>
  <c r="W222" i="7" s="1"/>
  <c r="L575" i="7"/>
  <c r="E740" i="7"/>
  <c r="E346" i="7"/>
  <c r="E715" i="7"/>
  <c r="E365" i="7"/>
  <c r="E121" i="7"/>
  <c r="E55" i="7"/>
  <c r="L115" i="7"/>
  <c r="O310" i="7"/>
  <c r="W310" i="7" s="1"/>
  <c r="C856" i="7"/>
  <c r="E828" i="7"/>
  <c r="L121" i="7"/>
  <c r="E850" i="7"/>
  <c r="E348" i="7"/>
  <c r="O856" i="7"/>
  <c r="L856" i="7"/>
  <c r="E966" i="7"/>
  <c r="E968" i="7"/>
  <c r="N859" i="7"/>
  <c r="E151" i="7"/>
  <c r="E685" i="7"/>
  <c r="E692" i="7"/>
  <c r="E819" i="7"/>
  <c r="O154" i="7"/>
  <c r="W154" i="7" s="1"/>
  <c r="E938" i="7"/>
  <c r="E908" i="7"/>
  <c r="E959" i="7"/>
  <c r="E997" i="7"/>
  <c r="U5" i="7"/>
  <c r="E86" i="7"/>
  <c r="E167" i="7"/>
  <c r="W5" i="7"/>
  <c r="E838" i="7"/>
  <c r="E846" i="7"/>
  <c r="C847" i="7"/>
  <c r="C848" i="7" s="1"/>
  <c r="E848" i="7" s="1"/>
  <c r="E283" i="7"/>
  <c r="C284" i="7"/>
  <c r="C285" i="7" s="1"/>
  <c r="C851" i="7"/>
  <c r="E851" i="7" s="1"/>
  <c r="E970" i="7"/>
  <c r="C56" i="7"/>
  <c r="C57" i="7" s="1"/>
  <c r="C58" i="7" s="1"/>
  <c r="E935" i="7"/>
  <c r="L342" i="7"/>
  <c r="O428" i="7"/>
  <c r="U428" i="7" s="1"/>
  <c r="E500" i="7"/>
  <c r="E18" i="7"/>
  <c r="O58" i="7"/>
  <c r="W58" i="7" s="1"/>
  <c r="E475" i="7"/>
  <c r="E1003" i="7"/>
  <c r="E504" i="7"/>
  <c r="M349" i="7"/>
  <c r="E415" i="7"/>
  <c r="N349" i="7"/>
  <c r="H7" i="4"/>
  <c r="L9" i="2"/>
  <c r="AC3" i="11" s="1"/>
  <c r="C104" i="7"/>
  <c r="E103" i="7"/>
  <c r="D342" i="7"/>
  <c r="E341" i="7"/>
  <c r="C185" i="7"/>
  <c r="E185" i="7" s="1"/>
  <c r="E184" i="7"/>
  <c r="E603" i="7"/>
  <c r="C604" i="7"/>
  <c r="E266" i="7"/>
  <c r="C267" i="7"/>
  <c r="E267" i="7" s="1"/>
  <c r="C146" i="7"/>
  <c r="E146" i="7" s="1"/>
  <c r="E145" i="7"/>
  <c r="C31" i="7"/>
  <c r="E31" i="7" s="1"/>
  <c r="E30" i="7"/>
  <c r="C302" i="7"/>
  <c r="E301" i="7"/>
  <c r="C293" i="7"/>
  <c r="E292" i="7"/>
  <c r="E962" i="7"/>
  <c r="C829" i="7"/>
  <c r="E829" i="7" s="1"/>
  <c r="E940" i="7"/>
  <c r="E169" i="7"/>
  <c r="D170" i="7"/>
  <c r="D171" i="7" s="1"/>
  <c r="D172" i="7" s="1"/>
  <c r="D173" i="7" s="1"/>
  <c r="D174" i="7" s="1"/>
  <c r="D175" i="7" s="1"/>
  <c r="D176" i="7" s="1"/>
  <c r="D177" i="7" s="1"/>
  <c r="D416" i="7"/>
  <c r="D417" i="7" s="1"/>
  <c r="D418" i="7" s="1"/>
  <c r="D419" i="7" s="1"/>
  <c r="E419" i="7" s="1"/>
  <c r="O212" i="7"/>
  <c r="U212" i="7" s="1"/>
  <c r="D349" i="7"/>
  <c r="D350" i="7" s="1"/>
  <c r="E508" i="7"/>
  <c r="E910" i="7"/>
  <c r="E999" i="7"/>
  <c r="E476" i="7"/>
  <c r="N47" i="7"/>
  <c r="E507" i="7"/>
  <c r="E503" i="7"/>
  <c r="E764" i="7"/>
  <c r="E79" i="7"/>
  <c r="E771" i="7"/>
  <c r="M348" i="7"/>
  <c r="E742" i="7"/>
  <c r="C124" i="7"/>
  <c r="E124" i="7" s="1"/>
  <c r="E83" i="7"/>
  <c r="E477" i="7"/>
  <c r="E118" i="7"/>
  <c r="E290" i="7"/>
  <c r="L571" i="7"/>
  <c r="O910" i="7"/>
  <c r="Y910" i="7" s="1"/>
  <c r="E995" i="7"/>
  <c r="E498" i="7"/>
  <c r="E509" i="7"/>
  <c r="E791" i="7"/>
  <c r="E14" i="7"/>
  <c r="E23" i="7"/>
  <c r="O99" i="7"/>
  <c r="Y99" i="7" s="1"/>
  <c r="O298" i="7"/>
  <c r="U298" i="7" s="1"/>
  <c r="E529" i="7"/>
  <c r="O572" i="7"/>
  <c r="Y572" i="7" s="1"/>
  <c r="E984" i="7"/>
  <c r="E991" i="7"/>
  <c r="E550" i="7"/>
  <c r="C686" i="7"/>
  <c r="C687" i="7" s="1"/>
  <c r="C1000" i="7"/>
  <c r="C1001" i="7" s="1"/>
  <c r="E1001" i="7" s="1"/>
  <c r="E11" i="7"/>
  <c r="E165" i="7"/>
  <c r="E499" i="7"/>
  <c r="O45" i="7"/>
  <c r="Y45" i="7" s="1"/>
  <c r="E326" i="7"/>
  <c r="L343" i="7"/>
  <c r="E474" i="7"/>
  <c r="E964" i="7"/>
  <c r="D936" i="7"/>
  <c r="E936" i="7" s="1"/>
  <c r="E192" i="7"/>
  <c r="E20" i="7"/>
  <c r="E75" i="7"/>
  <c r="O169" i="7"/>
  <c r="W169" i="7" s="1"/>
  <c r="O486" i="7"/>
  <c r="U486" i="7" s="1"/>
  <c r="K1420" i="12"/>
  <c r="K1396" i="12"/>
  <c r="K1659" i="12"/>
  <c r="K1676" i="12"/>
  <c r="K1754" i="12"/>
  <c r="K1911" i="12"/>
  <c r="I2053" i="12"/>
  <c r="J2106" i="12"/>
  <c r="K94" i="12"/>
  <c r="K113" i="12"/>
  <c r="K192" i="12"/>
  <c r="K201" i="12"/>
  <c r="K258" i="12"/>
  <c r="K263" i="12"/>
  <c r="K268" i="12"/>
  <c r="K277" i="12"/>
  <c r="K1048" i="12"/>
  <c r="K1097" i="12"/>
  <c r="K1120" i="12"/>
  <c r="K1136" i="12"/>
  <c r="K1556" i="12"/>
  <c r="K1820" i="12"/>
  <c r="K1860" i="12"/>
  <c r="K1872" i="12"/>
  <c r="K1876" i="12"/>
  <c r="K1880" i="12"/>
  <c r="O62" i="7"/>
  <c r="U62" i="7" s="1"/>
  <c r="L67" i="7"/>
  <c r="K2136" i="12"/>
  <c r="K311" i="12"/>
  <c r="I420" i="12"/>
  <c r="K438" i="12"/>
  <c r="K752" i="12"/>
  <c r="K799" i="12"/>
  <c r="K870" i="12"/>
  <c r="K1310" i="12"/>
  <c r="K1432" i="12"/>
  <c r="K1577" i="12"/>
  <c r="K1710" i="12"/>
  <c r="K1842" i="12"/>
  <c r="K1847" i="12"/>
  <c r="K1851" i="12"/>
  <c r="O559" i="7"/>
  <c r="Y559" i="7" s="1"/>
  <c r="K1974" i="12"/>
  <c r="K1978" i="12"/>
  <c r="O312" i="7"/>
  <c r="U312" i="7" s="1"/>
  <c r="O404" i="7"/>
  <c r="Y404" i="7" s="1"/>
  <c r="K114" i="12"/>
  <c r="K202" i="12"/>
  <c r="K236" i="12"/>
  <c r="K241" i="12"/>
  <c r="K269" i="12"/>
  <c r="K288" i="12"/>
  <c r="K354" i="12"/>
  <c r="K671" i="12"/>
  <c r="K891" i="12"/>
  <c r="K1049" i="12"/>
  <c r="K1137" i="12"/>
  <c r="K1423" i="12"/>
  <c r="K1537" i="12"/>
  <c r="J1563" i="12"/>
  <c r="K814" i="7" s="1"/>
  <c r="N814" i="7" s="1"/>
  <c r="K1738" i="12"/>
  <c r="K599" i="12"/>
  <c r="K732" i="12"/>
  <c r="K788" i="12"/>
  <c r="K812" i="12"/>
  <c r="K969" i="12"/>
  <c r="K1817" i="12"/>
  <c r="K1899" i="12"/>
  <c r="L23" i="7"/>
  <c r="L277" i="7"/>
  <c r="K136" i="12"/>
  <c r="K475" i="12"/>
  <c r="K488" i="12"/>
  <c r="K492" i="12"/>
  <c r="K500" i="12"/>
  <c r="K525" i="12"/>
  <c r="J750" i="12"/>
  <c r="K807" i="12"/>
  <c r="K1189" i="12"/>
  <c r="K1202" i="12"/>
  <c r="K1439" i="12"/>
  <c r="K1673" i="12"/>
  <c r="K1940" i="12"/>
  <c r="K1953" i="12"/>
  <c r="K1979" i="12"/>
  <c r="K742" i="12"/>
  <c r="K826" i="12"/>
  <c r="K940" i="12"/>
  <c r="K965" i="12"/>
  <c r="K1065" i="12"/>
  <c r="J1627" i="12"/>
  <c r="I1744" i="12"/>
  <c r="G212" i="9" s="1"/>
  <c r="K1923" i="12"/>
  <c r="K1927" i="12"/>
  <c r="J428" i="12"/>
  <c r="K280" i="7" s="1"/>
  <c r="N280" i="7" s="1"/>
  <c r="K440" i="12"/>
  <c r="K445" i="12"/>
  <c r="J597" i="12"/>
  <c r="H671" i="9" s="1"/>
  <c r="J651" i="12"/>
  <c r="K762" i="12"/>
  <c r="K796" i="12"/>
  <c r="K228" i="12"/>
  <c r="K1759" i="12"/>
  <c r="K195" i="12"/>
  <c r="K319" i="12"/>
  <c r="K464" i="12"/>
  <c r="K468" i="12"/>
  <c r="K472" i="12"/>
  <c r="K501" i="12"/>
  <c r="K506" i="12"/>
  <c r="K510" i="12"/>
  <c r="J849" i="12"/>
  <c r="K1166" i="12"/>
  <c r="K1308" i="12"/>
  <c r="K1412" i="12"/>
  <c r="K1440" i="12"/>
  <c r="K1444" i="12"/>
  <c r="K2129" i="12"/>
  <c r="J1559" i="12"/>
  <c r="H612" i="9" s="1"/>
  <c r="J1607" i="12"/>
  <c r="H781" i="9" s="1"/>
  <c r="O426" i="7"/>
  <c r="Y426" i="7" s="1"/>
  <c r="K49" i="12"/>
  <c r="K234" i="12"/>
  <c r="K253" i="12"/>
  <c r="K257" i="12"/>
  <c r="K262" i="12"/>
  <c r="K271" i="12"/>
  <c r="K547" i="12"/>
  <c r="K673" i="12"/>
  <c r="K893" i="12"/>
  <c r="K1124" i="12"/>
  <c r="K1135" i="12"/>
  <c r="I1519" i="12"/>
  <c r="J804" i="7" s="1"/>
  <c r="K1871" i="12"/>
  <c r="K1879" i="12"/>
  <c r="K1968" i="12"/>
  <c r="K827" i="12"/>
  <c r="K899" i="12"/>
  <c r="K904" i="12"/>
  <c r="K1425" i="12"/>
  <c r="J1519" i="12"/>
  <c r="J1603" i="12"/>
  <c r="K1645" i="12"/>
  <c r="K1742" i="12"/>
  <c r="K1800" i="12"/>
  <c r="K1815" i="12"/>
  <c r="K2168" i="12"/>
  <c r="I722" i="12"/>
  <c r="K768" i="12"/>
  <c r="K1091" i="12"/>
  <c r="K1541" i="12"/>
  <c r="J1631" i="12"/>
  <c r="K1796" i="12"/>
  <c r="K2034" i="12"/>
  <c r="L235" i="7"/>
  <c r="O888" i="7"/>
  <c r="U888" i="7" s="1"/>
  <c r="K29" i="12"/>
  <c r="I909" i="12"/>
  <c r="K1090" i="12"/>
  <c r="I1543" i="12"/>
  <c r="K1552" i="12"/>
  <c r="K1758" i="12"/>
  <c r="K2171" i="12"/>
  <c r="K925" i="12"/>
  <c r="I923" i="12"/>
  <c r="K1288" i="12"/>
  <c r="K1356" i="12"/>
  <c r="K1474" i="12"/>
  <c r="J326" i="7"/>
  <c r="M326" i="7" s="1"/>
  <c r="O326" i="7" s="1"/>
  <c r="G609" i="9"/>
  <c r="I643" i="12"/>
  <c r="K644" i="12"/>
  <c r="K537" i="12"/>
  <c r="K580" i="12"/>
  <c r="K908" i="12"/>
  <c r="K1529" i="12"/>
  <c r="M460" i="7"/>
  <c r="O460" i="7" s="1"/>
  <c r="U460" i="7" s="1"/>
  <c r="L460" i="7"/>
  <c r="K526" i="12"/>
  <c r="K1138" i="12"/>
  <c r="K839" i="12"/>
  <c r="I299" i="12"/>
  <c r="J704" i="12"/>
  <c r="O32" i="7"/>
  <c r="Y32" i="7" s="1"/>
  <c r="K132" i="12"/>
  <c r="K137" i="12"/>
  <c r="K237" i="12"/>
  <c r="K242" i="12"/>
  <c r="K247" i="12"/>
  <c r="I306" i="12"/>
  <c r="K634" i="12"/>
  <c r="K1407" i="12"/>
  <c r="K1779" i="12"/>
  <c r="K1900" i="12"/>
  <c r="K2138" i="12"/>
  <c r="I2164" i="12"/>
  <c r="G26" i="9" s="1"/>
  <c r="K2166" i="12"/>
  <c r="J2045" i="12"/>
  <c r="H226" i="9" s="1"/>
  <c r="K1932" i="12"/>
  <c r="K1557" i="12"/>
  <c r="M575" i="7"/>
  <c r="O575" i="7" s="1"/>
  <c r="I170" i="12"/>
  <c r="L230" i="7"/>
  <c r="I1222" i="12"/>
  <c r="K790" i="12"/>
  <c r="J1741" i="12"/>
  <c r="H33" i="9" s="1"/>
  <c r="L458" i="7"/>
  <c r="J290" i="12"/>
  <c r="H130" i="9" s="1"/>
  <c r="I1583" i="12"/>
  <c r="K1597" i="12"/>
  <c r="O394" i="7"/>
  <c r="U394" i="7" s="1"/>
  <c r="J123" i="12"/>
  <c r="K229" i="12"/>
  <c r="J1535" i="12"/>
  <c r="K1695" i="12"/>
  <c r="L551" i="7"/>
  <c r="M551" i="7"/>
  <c r="O551" i="7" s="1"/>
  <c r="W551" i="7" s="1"/>
  <c r="K848" i="12"/>
  <c r="K172" i="12"/>
  <c r="K211" i="12"/>
  <c r="K520" i="12"/>
  <c r="K605" i="12"/>
  <c r="K620" i="12"/>
  <c r="K1165" i="12"/>
  <c r="K1433" i="12"/>
  <c r="K446" i="12"/>
  <c r="K1005" i="12"/>
  <c r="I158" i="12"/>
  <c r="J602" i="12"/>
  <c r="K966" i="12"/>
  <c r="K717" i="12"/>
  <c r="K1255" i="12"/>
  <c r="M277" i="7"/>
  <c r="O277" i="7" s="1"/>
  <c r="Y277" i="7" s="1"/>
  <c r="K586" i="12"/>
  <c r="J927" i="12"/>
  <c r="H602" i="9" s="1"/>
  <c r="J999" i="12"/>
  <c r="J1639" i="12"/>
  <c r="O110" i="7"/>
  <c r="W110" i="7" s="1"/>
  <c r="O429" i="7"/>
  <c r="W429" i="7" s="1"/>
  <c r="K41" i="12"/>
  <c r="K187" i="12"/>
  <c r="K196" i="12"/>
  <c r="K276" i="12"/>
  <c r="K384" i="12"/>
  <c r="K842" i="12"/>
  <c r="K859" i="12"/>
  <c r="K864" i="12"/>
  <c r="K1743" i="12"/>
  <c r="K1782" i="12"/>
  <c r="K1807" i="12"/>
  <c r="K1811" i="12"/>
  <c r="K1833" i="12"/>
  <c r="K2067" i="12"/>
  <c r="K2023" i="12"/>
  <c r="J2062" i="12"/>
  <c r="J2081" i="12" s="1"/>
  <c r="K2078" i="12"/>
  <c r="K1841" i="12"/>
  <c r="K1846" i="12"/>
  <c r="K1850" i="12"/>
  <c r="K2037" i="12"/>
  <c r="K2041" i="12"/>
  <c r="K2064" i="12"/>
  <c r="K2098" i="12"/>
  <c r="K2154" i="12"/>
  <c r="K2180" i="12"/>
  <c r="K1915" i="12"/>
  <c r="K2029" i="12"/>
  <c r="I2167" i="12"/>
  <c r="K2167" i="12" s="1"/>
  <c r="I302" i="12"/>
  <c r="K465" i="12"/>
  <c r="K806" i="12"/>
  <c r="J1231" i="12"/>
  <c r="K1377" i="12"/>
  <c r="K1864" i="12"/>
  <c r="K2059" i="12"/>
  <c r="L322" i="7"/>
  <c r="J302" i="12"/>
  <c r="K490" i="12"/>
  <c r="K1363" i="12"/>
  <c r="O231" i="7"/>
  <c r="U231" i="7" s="1"/>
  <c r="L258" i="7"/>
  <c r="K19" i="12"/>
  <c r="K24" i="12"/>
  <c r="J119" i="12"/>
  <c r="K156" i="12"/>
  <c r="J310" i="12"/>
  <c r="H548" i="9" s="1"/>
  <c r="I320" i="12"/>
  <c r="K794" i="12"/>
  <c r="I1034" i="12"/>
  <c r="K1126" i="12"/>
  <c r="K1178" i="12"/>
  <c r="K1266" i="12"/>
  <c r="K1316" i="12"/>
  <c r="I1338" i="12"/>
  <c r="I1481" i="12"/>
  <c r="I1539" i="12"/>
  <c r="G715" i="9" s="1"/>
  <c r="K1890" i="12"/>
  <c r="K1898" i="12"/>
  <c r="K1921" i="12"/>
  <c r="K1925" i="12"/>
  <c r="K1933" i="12"/>
  <c r="K1961" i="12"/>
  <c r="K1973" i="12"/>
  <c r="K1977" i="12"/>
  <c r="K2042" i="12"/>
  <c r="K2047" i="12"/>
  <c r="J1587" i="12"/>
  <c r="I1643" i="12"/>
  <c r="L237" i="7"/>
  <c r="K350" i="12"/>
  <c r="K1402" i="12"/>
  <c r="J1643" i="12"/>
  <c r="H655" i="9" s="1"/>
  <c r="K280" i="12"/>
  <c r="K1127" i="12"/>
  <c r="J1499" i="12"/>
  <c r="H725" i="9" s="1"/>
  <c r="L514" i="7"/>
  <c r="L704" i="7"/>
  <c r="I123" i="12"/>
  <c r="K129" i="12"/>
  <c r="I203" i="12"/>
  <c r="K210" i="12"/>
  <c r="K318" i="12"/>
  <c r="K324" i="12"/>
  <c r="J369" i="12"/>
  <c r="H490" i="9" s="1"/>
  <c r="K448" i="12"/>
  <c r="K584" i="12"/>
  <c r="J639" i="12"/>
  <c r="I734" i="12"/>
  <c r="J698" i="7" s="1"/>
  <c r="K929" i="12"/>
  <c r="K1112" i="12"/>
  <c r="J1222" i="12"/>
  <c r="K1228" i="12"/>
  <c r="K1267" i="12"/>
  <c r="K1426" i="12"/>
  <c r="K1447" i="12"/>
  <c r="I1488" i="12"/>
  <c r="K1521" i="12"/>
  <c r="K1686" i="12"/>
  <c r="K1818" i="12"/>
  <c r="K1826" i="12"/>
  <c r="K1858" i="12"/>
  <c r="K2102" i="12"/>
  <c r="K2152" i="12"/>
  <c r="K530" i="12"/>
  <c r="K545" i="12"/>
  <c r="J691" i="12"/>
  <c r="I726" i="12"/>
  <c r="J754" i="12"/>
  <c r="K779" i="12"/>
  <c r="J810" i="12"/>
  <c r="K832" i="12"/>
  <c r="J1249" i="12"/>
  <c r="K1281" i="12"/>
  <c r="K1359" i="12"/>
  <c r="K1508" i="12"/>
  <c r="J1567" i="12"/>
  <c r="H67" i="9" s="1"/>
  <c r="K1604" i="12"/>
  <c r="K1652" i="12"/>
  <c r="K1862" i="12"/>
  <c r="K1874" i="12"/>
  <c r="K239" i="7"/>
  <c r="N239" i="7" s="1"/>
  <c r="K664" i="12"/>
  <c r="K712" i="12"/>
  <c r="K1419" i="12"/>
  <c r="K1959" i="12"/>
  <c r="K1967" i="12"/>
  <c r="O63" i="7"/>
  <c r="Y63" i="7" s="1"/>
  <c r="K207" i="12"/>
  <c r="K244" i="12"/>
  <c r="K314" i="12"/>
  <c r="K606" i="12"/>
  <c r="K638" i="12"/>
  <c r="K1223" i="12"/>
  <c r="J1725" i="12"/>
  <c r="K1730" i="12"/>
  <c r="K1892" i="12"/>
  <c r="K1896" i="12"/>
  <c r="K1971" i="12"/>
  <c r="K153" i="12"/>
  <c r="J284" i="12"/>
  <c r="H262" i="9" s="1"/>
  <c r="O127" i="7"/>
  <c r="W127" i="7" s="1"/>
  <c r="L429" i="7"/>
  <c r="M676" i="7"/>
  <c r="O676" i="7" s="1"/>
  <c r="Y676" i="7" s="1"/>
  <c r="L676" i="7"/>
  <c r="M886" i="7"/>
  <c r="L886" i="7"/>
  <c r="K91" i="12"/>
  <c r="K180" i="12"/>
  <c r="K217" i="12"/>
  <c r="K407" i="12"/>
  <c r="K430" i="12"/>
  <c r="K539" i="12"/>
  <c r="K576" i="12"/>
  <c r="K1044" i="12"/>
  <c r="K1118" i="12"/>
  <c r="K1334" i="12"/>
  <c r="K1340" i="12"/>
  <c r="K1863" i="12"/>
  <c r="K1867" i="12"/>
  <c r="K2169" i="12"/>
  <c r="K940" i="7"/>
  <c r="N940" i="7" s="1"/>
  <c r="K735" i="12"/>
  <c r="O257" i="7"/>
  <c r="Y257" i="7" s="1"/>
  <c r="M294" i="7"/>
  <c r="O294" i="7" s="1"/>
  <c r="U294" i="7" s="1"/>
  <c r="L294" i="7"/>
  <c r="M201" i="7"/>
  <c r="O201" i="7" s="1"/>
  <c r="L201" i="7"/>
  <c r="O104" i="7"/>
  <c r="U104" i="7" s="1"/>
  <c r="L454" i="7"/>
  <c r="J179" i="12"/>
  <c r="J589" i="12"/>
  <c r="I683" i="12"/>
  <c r="K863" i="12"/>
  <c r="I967" i="12"/>
  <c r="I10" i="12"/>
  <c r="G522" i="9" s="1"/>
  <c r="K509" i="12"/>
  <c r="I602" i="12"/>
  <c r="K603" i="12"/>
  <c r="J643" i="12"/>
  <c r="J713" i="12"/>
  <c r="J769" i="12"/>
  <c r="K778" i="12"/>
  <c r="J835" i="12"/>
  <c r="J933" i="12"/>
  <c r="L135" i="7"/>
  <c r="J904" i="7"/>
  <c r="M904" i="7" s="1"/>
  <c r="O904" i="7" s="1"/>
  <c r="K308" i="12"/>
  <c r="J708" i="12"/>
  <c r="O593" i="7"/>
  <c r="Y593" i="7" s="1"/>
  <c r="L628" i="7"/>
  <c r="O419" i="7"/>
  <c r="Y419" i="7" s="1"/>
  <c r="F31" i="11"/>
  <c r="R31" i="11"/>
  <c r="J734" i="12"/>
  <c r="K698" i="7" s="1"/>
  <c r="N698" i="7" s="1"/>
  <c r="L88" i="7"/>
  <c r="L171" i="7"/>
  <c r="L211" i="7"/>
  <c r="L254" i="7"/>
  <c r="O524" i="7"/>
  <c r="W524" i="7" s="1"/>
  <c r="L576" i="7"/>
  <c r="X31" i="11"/>
  <c r="K56" i="12"/>
  <c r="K77" i="12"/>
  <c r="K82" i="12"/>
  <c r="K86" i="12"/>
  <c r="J162" i="12"/>
  <c r="J245" i="12"/>
  <c r="K304" i="7" s="1"/>
  <c r="N304" i="7" s="1"/>
  <c r="K836" i="12"/>
  <c r="K928" i="12"/>
  <c r="K981" i="12"/>
  <c r="J979" i="12"/>
  <c r="K1119" i="12"/>
  <c r="K1705" i="12"/>
  <c r="K1712" i="12"/>
  <c r="K1718" i="12"/>
  <c r="K2155" i="12"/>
  <c r="K1457" i="12"/>
  <c r="K1478" i="12"/>
  <c r="O106" i="7"/>
  <c r="Y106" i="7" s="1"/>
  <c r="O179" i="7"/>
  <c r="W179" i="7" s="1"/>
  <c r="L694" i="7"/>
  <c r="L846" i="7"/>
  <c r="K182" i="12"/>
  <c r="K220" i="12"/>
  <c r="K261" i="12"/>
  <c r="I674" i="12"/>
  <c r="G435" i="9" s="1"/>
  <c r="K903" i="12"/>
  <c r="K1016" i="12"/>
  <c r="K1041" i="12"/>
  <c r="K1162" i="12"/>
  <c r="K1225" i="12"/>
  <c r="K1295" i="12"/>
  <c r="K1536" i="12"/>
  <c r="K2107" i="12"/>
  <c r="I2106" i="12"/>
  <c r="J841" i="7" s="1"/>
  <c r="M841" i="7" s="1"/>
  <c r="K349" i="12"/>
  <c r="K1063" i="12"/>
  <c r="K427" i="7"/>
  <c r="N427" i="7" s="1"/>
  <c r="L461" i="7"/>
  <c r="J299" i="12"/>
  <c r="K364" i="12"/>
  <c r="K368" i="12"/>
  <c r="K411" i="12"/>
  <c r="K477" i="12"/>
  <c r="K482" i="12"/>
  <c r="I593" i="12"/>
  <c r="K642" i="12"/>
  <c r="I639" i="12"/>
  <c r="J1020" i="12"/>
  <c r="H146" i="9" s="1"/>
  <c r="J1704" i="12"/>
  <c r="K1912" i="12"/>
  <c r="K1916" i="12"/>
  <c r="K844" i="12"/>
  <c r="I849" i="12"/>
  <c r="J860" i="12"/>
  <c r="J1003" i="12"/>
  <c r="J1151" i="12"/>
  <c r="H16" i="9" s="1"/>
  <c r="K1568" i="12"/>
  <c r="K32" i="12"/>
  <c r="L972" i="7"/>
  <c r="M972" i="7"/>
  <c r="O972" i="7" s="1"/>
  <c r="L513" i="7"/>
  <c r="M513" i="7"/>
  <c r="O513" i="7" s="1"/>
  <c r="J593" i="12"/>
  <c r="H260" i="9" s="1"/>
  <c r="L152" i="7"/>
  <c r="L394" i="7"/>
  <c r="K938" i="7"/>
  <c r="N938" i="7" s="1"/>
  <c r="N937" i="7" s="1"/>
  <c r="H319" i="9"/>
  <c r="K130" i="12"/>
  <c r="K375" i="12"/>
  <c r="K594" i="12"/>
  <c r="K797" i="12"/>
  <c r="K809" i="12"/>
  <c r="K1260" i="12"/>
  <c r="J1555" i="12"/>
  <c r="H386" i="9" s="1"/>
  <c r="K1804" i="12"/>
  <c r="I1794" i="12"/>
  <c r="L113" i="7"/>
  <c r="M113" i="7"/>
  <c r="O113" i="7" s="1"/>
  <c r="K23" i="12"/>
  <c r="K54" i="12"/>
  <c r="K75" i="12"/>
  <c r="K80" i="12"/>
  <c r="K346" i="12"/>
  <c r="I399" i="12"/>
  <c r="J331" i="7" s="1"/>
  <c r="M331" i="7" s="1"/>
  <c r="K462" i="12"/>
  <c r="K689" i="12"/>
  <c r="K706" i="12"/>
  <c r="K724" i="12"/>
  <c r="K787" i="12"/>
  <c r="J825" i="12"/>
  <c r="K1163" i="12"/>
  <c r="K1351" i="12"/>
  <c r="K1383" i="12"/>
  <c r="L403" i="7"/>
  <c r="L63" i="7"/>
  <c r="M115" i="7"/>
  <c r="O115" i="7" s="1"/>
  <c r="Y115" i="7" s="1"/>
  <c r="L127" i="7"/>
  <c r="O185" i="7"/>
  <c r="W185" i="7" s="1"/>
  <c r="L308" i="7"/>
  <c r="O675" i="7"/>
  <c r="Y675" i="7" s="1"/>
  <c r="J63" i="12"/>
  <c r="K105" i="12"/>
  <c r="K193" i="12"/>
  <c r="K435" i="12"/>
  <c r="I764" i="12"/>
  <c r="J784" i="12"/>
  <c r="K1074" i="12"/>
  <c r="K1079" i="12"/>
  <c r="K1153" i="12"/>
  <c r="K1984" i="12"/>
  <c r="K1857" i="12"/>
  <c r="K2092" i="12"/>
  <c r="K1999" i="12"/>
  <c r="K2017" i="12"/>
  <c r="K2025" i="12"/>
  <c r="K2110" i="12"/>
  <c r="K2137" i="12"/>
  <c r="K2200" i="12"/>
  <c r="K227" i="12"/>
  <c r="K249" i="12"/>
  <c r="K326" i="12"/>
  <c r="K331" i="12"/>
  <c r="K447" i="12"/>
  <c r="K456" i="12"/>
  <c r="K507" i="12"/>
  <c r="K511" i="12"/>
  <c r="K609" i="12"/>
  <c r="K654" i="12"/>
  <c r="K662" i="12"/>
  <c r="I708" i="12"/>
  <c r="K789" i="12"/>
  <c r="K907" i="12"/>
  <c r="K1436" i="12"/>
  <c r="K1500" i="12"/>
  <c r="K1600" i="12"/>
  <c r="K1653" i="12"/>
  <c r="J1708" i="12"/>
  <c r="H561" i="9" s="1"/>
  <c r="J1794" i="12"/>
  <c r="H684" i="9" s="1"/>
  <c r="K1809" i="12"/>
  <c r="K1814" i="12"/>
  <c r="K1830" i="12"/>
  <c r="K1848" i="12"/>
  <c r="K1908" i="12"/>
  <c r="K1939" i="12"/>
  <c r="K1943" i="12"/>
  <c r="K1988" i="12"/>
  <c r="K2038" i="12"/>
  <c r="K2116" i="12"/>
  <c r="K1471" i="12"/>
  <c r="K1565" i="12"/>
  <c r="K1593" i="12"/>
  <c r="I1647" i="12"/>
  <c r="G535" i="9" s="1"/>
  <c r="J1773" i="12"/>
  <c r="H437" i="9" s="1"/>
  <c r="K1966" i="12"/>
  <c r="K2158" i="12"/>
  <c r="O57" i="7"/>
  <c r="U57" i="7" s="1"/>
  <c r="L210" i="7"/>
  <c r="O692" i="7"/>
  <c r="U692" i="7" s="1"/>
  <c r="K62" i="12"/>
  <c r="J72" i="12"/>
  <c r="K118" i="12"/>
  <c r="K171" i="12"/>
  <c r="K176" i="12"/>
  <c r="K218" i="12"/>
  <c r="K250" i="12"/>
  <c r="K260" i="12"/>
  <c r="K293" i="12"/>
  <c r="K366" i="12"/>
  <c r="J377" i="12"/>
  <c r="K422" i="12"/>
  <c r="K457" i="12"/>
  <c r="K491" i="12"/>
  <c r="K495" i="12"/>
  <c r="K504" i="12"/>
  <c r="K564" i="12"/>
  <c r="K568" i="12"/>
  <c r="J573" i="12"/>
  <c r="H398" i="9" s="1"/>
  <c r="K743" i="12"/>
  <c r="K749" i="12"/>
  <c r="I905" i="12"/>
  <c r="G520" i="9" s="1"/>
  <c r="K922" i="12"/>
  <c r="K958" i="12"/>
  <c r="J967" i="12"/>
  <c r="J1013" i="12"/>
  <c r="K1024" i="12"/>
  <c r="J1039" i="12"/>
  <c r="K1066" i="12"/>
  <c r="K1142" i="12"/>
  <c r="K1209" i="12"/>
  <c r="K1214" i="12"/>
  <c r="J1378" i="12"/>
  <c r="H69" i="9" s="1"/>
  <c r="K1528" i="12"/>
  <c r="K1548" i="12"/>
  <c r="K1621" i="12"/>
  <c r="I1654" i="12"/>
  <c r="K1891" i="12"/>
  <c r="J1981" i="12"/>
  <c r="I2194" i="12"/>
  <c r="O139" i="7"/>
  <c r="Y139" i="7" s="1"/>
  <c r="O418" i="7"/>
  <c r="Y418" i="7" s="1"/>
  <c r="O446" i="7"/>
  <c r="W446" i="7" s="1"/>
  <c r="L485" i="7"/>
  <c r="L622" i="7"/>
  <c r="K38" i="12"/>
  <c r="K47" i="12"/>
  <c r="K99" i="12"/>
  <c r="K164" i="12"/>
  <c r="K200" i="12"/>
  <c r="K300" i="12"/>
  <c r="K327" i="12"/>
  <c r="K371" i="12"/>
  <c r="K553" i="12"/>
  <c r="J869" i="12"/>
  <c r="K701" i="7" s="1"/>
  <c r="N701" i="7" s="1"/>
  <c r="J919" i="12"/>
  <c r="K1113" i="12"/>
  <c r="K1205" i="12"/>
  <c r="K1218" i="12"/>
  <c r="K1272" i="12"/>
  <c r="K1339" i="12"/>
  <c r="J1547" i="12"/>
  <c r="H551" i="9" s="1"/>
  <c r="K1560" i="12"/>
  <c r="K1649" i="12"/>
  <c r="K1716" i="12"/>
  <c r="K1762" i="12"/>
  <c r="K1831" i="12"/>
  <c r="K1840" i="12"/>
  <c r="K1854" i="12"/>
  <c r="K1870" i="12"/>
  <c r="K1909" i="12"/>
  <c r="K1936" i="12"/>
  <c r="K1944" i="12"/>
  <c r="K1990" i="12"/>
  <c r="K2035" i="12"/>
  <c r="K2043" i="12"/>
  <c r="K2124" i="12"/>
  <c r="K2203" i="12"/>
  <c r="I1515" i="12"/>
  <c r="G453" i="9" s="1"/>
  <c r="K1690" i="12"/>
  <c r="K1827" i="12"/>
  <c r="K2055" i="12"/>
  <c r="J2066" i="12"/>
  <c r="J2072" i="12" s="1"/>
  <c r="K2173" i="12"/>
  <c r="K2027" i="12"/>
  <c r="K2032" i="12"/>
  <c r="J2134" i="12"/>
  <c r="K1910" i="12"/>
  <c r="K2036" i="12"/>
  <c r="J631" i="12"/>
  <c r="J718" i="12"/>
  <c r="K888" i="12"/>
  <c r="J957" i="12"/>
  <c r="H353" i="9" s="1"/>
  <c r="I995" i="12"/>
  <c r="K1102" i="12"/>
  <c r="J1145" i="12"/>
  <c r="K192" i="7" s="1"/>
  <c r="N192" i="7" s="1"/>
  <c r="K1352" i="12"/>
  <c r="K1459" i="12"/>
  <c r="K1837" i="12"/>
  <c r="K1964" i="12"/>
  <c r="J2053" i="12"/>
  <c r="H486" i="9" s="1"/>
  <c r="I2160" i="12"/>
  <c r="G516" i="9" s="1"/>
  <c r="K389" i="12"/>
  <c r="K403" i="12"/>
  <c r="O255" i="7"/>
  <c r="W255" i="7" s="1"/>
  <c r="L292" i="7"/>
  <c r="O592" i="7"/>
  <c r="W592" i="7" s="1"/>
  <c r="K60" i="12"/>
  <c r="K76" i="12"/>
  <c r="K81" i="12"/>
  <c r="K85" i="12"/>
  <c r="K307" i="12"/>
  <c r="J409" i="12"/>
  <c r="H459" i="9" s="1"/>
  <c r="K493" i="12"/>
  <c r="K497" i="12"/>
  <c r="K540" i="12"/>
  <c r="K677" i="12"/>
  <c r="K771" i="12"/>
  <c r="K782" i="12"/>
  <c r="K793" i="12"/>
  <c r="K918" i="12"/>
  <c r="K990" i="12"/>
  <c r="K1031" i="12"/>
  <c r="K1064" i="12"/>
  <c r="K1068" i="12"/>
  <c r="K1224" i="12"/>
  <c r="K1384" i="12"/>
  <c r="J1503" i="12"/>
  <c r="K1657" i="12"/>
  <c r="K1783" i="12"/>
  <c r="K1803" i="12"/>
  <c r="K1868" i="12"/>
  <c r="K1889" i="12"/>
  <c r="K1897" i="12"/>
  <c r="K1976" i="12"/>
  <c r="K2063" i="12"/>
  <c r="K2156" i="12"/>
  <c r="K566" i="12"/>
  <c r="K1190" i="12"/>
  <c r="K1300" i="12"/>
  <c r="K1324" i="12"/>
  <c r="K1450" i="12"/>
  <c r="K1482" i="12"/>
  <c r="J1583" i="12"/>
  <c r="K2033" i="12"/>
  <c r="K2103" i="12"/>
  <c r="K2115" i="12"/>
  <c r="K2126" i="12"/>
  <c r="K2142" i="12"/>
  <c r="O444" i="7"/>
  <c r="W444" i="7" s="1"/>
  <c r="O516" i="7"/>
  <c r="Y516" i="7" s="1"/>
  <c r="O535" i="7"/>
  <c r="W535" i="7" s="1"/>
  <c r="L600" i="7"/>
  <c r="O604" i="7"/>
  <c r="Y604" i="7" s="1"/>
  <c r="K107" i="12"/>
  <c r="K112" i="12"/>
  <c r="K198" i="12"/>
  <c r="K230" i="12"/>
  <c r="K394" i="12"/>
  <c r="K400" i="12"/>
  <c r="K426" i="12"/>
  <c r="J577" i="12"/>
  <c r="K715" i="12"/>
  <c r="K720" i="12"/>
  <c r="K727" i="12"/>
  <c r="K889" i="12"/>
  <c r="K894" i="12"/>
  <c r="J939" i="12"/>
  <c r="H82" i="9" s="1"/>
  <c r="J983" i="12"/>
  <c r="K1059" i="12"/>
  <c r="K1089" i="12"/>
  <c r="I1098" i="12"/>
  <c r="K1199" i="12"/>
  <c r="K1274" i="12"/>
  <c r="J1531" i="12"/>
  <c r="K1625" i="12"/>
  <c r="J1713" i="12"/>
  <c r="K1724" i="12"/>
  <c r="K1808" i="12"/>
  <c r="K1951" i="12"/>
  <c r="J1985" i="12"/>
  <c r="H159" i="9" s="1"/>
  <c r="K2057" i="12"/>
  <c r="O887" i="7"/>
  <c r="Y887" i="7" s="1"/>
  <c r="K1108" i="12"/>
  <c r="J1042" i="12"/>
  <c r="K1043" i="12"/>
  <c r="M371" i="7"/>
  <c r="O371" i="7" s="1"/>
  <c r="Y371" i="7" s="1"/>
  <c r="L371" i="7"/>
  <c r="K301" i="12"/>
  <c r="K467" i="12"/>
  <c r="K1246" i="12"/>
  <c r="I1244" i="12"/>
  <c r="K1576" i="12"/>
  <c r="I1575" i="12"/>
  <c r="G487" i="9" s="1"/>
  <c r="O61" i="7"/>
  <c r="U61" i="7" s="1"/>
  <c r="M537" i="7"/>
  <c r="O537" i="7" s="1"/>
  <c r="L537" i="7"/>
  <c r="N454" i="7"/>
  <c r="O454" i="7" s="1"/>
  <c r="Y454" i="7" s="1"/>
  <c r="K561" i="12"/>
  <c r="L444" i="7"/>
  <c r="M902" i="7"/>
  <c r="O902" i="7" s="1"/>
  <c r="L902" i="7"/>
  <c r="M121" i="7"/>
  <c r="O121" i="7" s="1"/>
  <c r="M152" i="7"/>
  <c r="O152" i="7" s="1"/>
  <c r="M313" i="7"/>
  <c r="O313" i="7" s="1"/>
  <c r="L313" i="7"/>
  <c r="I179" i="12"/>
  <c r="G184" i="9" s="1"/>
  <c r="K291" i="12"/>
  <c r="K675" i="12"/>
  <c r="K1456" i="12"/>
  <c r="K1663" i="12"/>
  <c r="M468" i="7"/>
  <c r="O468" i="7" s="1"/>
  <c r="L468" i="7"/>
  <c r="L887" i="7"/>
  <c r="M112" i="7"/>
  <c r="O112" i="7" s="1"/>
  <c r="L112" i="7"/>
  <c r="K739" i="12"/>
  <c r="I738" i="12"/>
  <c r="K738" i="12" s="1"/>
  <c r="K861" i="12"/>
  <c r="M506" i="7"/>
  <c r="O506" i="7" s="1"/>
  <c r="W506" i="7" s="1"/>
  <c r="L506" i="7"/>
  <c r="K2187" i="12"/>
  <c r="K332" i="12"/>
  <c r="K397" i="12"/>
  <c r="J395" i="12"/>
  <c r="H443" i="9" s="1"/>
  <c r="L208" i="7"/>
  <c r="L212" i="7"/>
  <c r="L216" i="7"/>
  <c r="K305" i="12"/>
  <c r="K452" i="12"/>
  <c r="K2001" i="12"/>
  <c r="L572" i="7"/>
  <c r="M576" i="7"/>
  <c r="O576" i="7" s="1"/>
  <c r="K710" i="12"/>
  <c r="I745" i="12"/>
  <c r="K747" i="12"/>
  <c r="L161" i="7"/>
  <c r="L349" i="7"/>
  <c r="L238" i="7"/>
  <c r="L393" i="7"/>
  <c r="L482" i="7"/>
  <c r="O507" i="7"/>
  <c r="O842" i="7"/>
  <c r="Y842" i="7" s="1"/>
  <c r="J238" i="12"/>
  <c r="K281" i="12"/>
  <c r="I424" i="12"/>
  <c r="G693" i="9" s="1"/>
  <c r="K425" i="12"/>
  <c r="K1200" i="12"/>
  <c r="K1208" i="12"/>
  <c r="K1213" i="12"/>
  <c r="J1454" i="12"/>
  <c r="H94" i="9" s="1"/>
  <c r="L891" i="7"/>
  <c r="L921" i="7"/>
  <c r="M921" i="7"/>
  <c r="O921" i="7" s="1"/>
  <c r="I741" i="12"/>
  <c r="K744" i="12"/>
  <c r="N21" i="7"/>
  <c r="K66" i="12"/>
  <c r="I63" i="12"/>
  <c r="L577" i="7"/>
  <c r="M577" i="7"/>
  <c r="O577" i="7" s="1"/>
  <c r="Y577" i="7" s="1"/>
  <c r="O38" i="7"/>
  <c r="U38" i="7" s="1"/>
  <c r="O60" i="7"/>
  <c r="U60" i="7" s="1"/>
  <c r="O68" i="7"/>
  <c r="U68" i="7" s="1"/>
  <c r="O91" i="7"/>
  <c r="U91" i="7" s="1"/>
  <c r="O107" i="7"/>
  <c r="Y107" i="7" s="1"/>
  <c r="L218" i="7"/>
  <c r="M218" i="7"/>
  <c r="O218" i="7" s="1"/>
  <c r="W218" i="7" s="1"/>
  <c r="L467" i="7"/>
  <c r="O487" i="7"/>
  <c r="O558" i="7"/>
  <c r="L650" i="7"/>
  <c r="K64" i="12"/>
  <c r="K69" i="12"/>
  <c r="K989" i="12"/>
  <c r="K1002" i="12"/>
  <c r="K1159" i="12"/>
  <c r="K1179" i="12"/>
  <c r="K1520" i="12"/>
  <c r="L311" i="7"/>
  <c r="M311" i="7"/>
  <c r="O311" i="7" s="1"/>
  <c r="K121" i="12"/>
  <c r="I885" i="12"/>
  <c r="G317" i="9" s="1"/>
  <c r="K887" i="12"/>
  <c r="L426" i="7"/>
  <c r="N891" i="7"/>
  <c r="O891" i="7" s="1"/>
  <c r="Y891" i="7" s="1"/>
  <c r="K557" i="12"/>
  <c r="L293" i="7"/>
  <c r="N293" i="7"/>
  <c r="O293" i="7" s="1"/>
  <c r="M124" i="7"/>
  <c r="O124" i="7" s="1"/>
  <c r="L124" i="7"/>
  <c r="O216" i="7"/>
  <c r="Y216" i="7" s="1"/>
  <c r="L68" i="7"/>
  <c r="L114" i="7"/>
  <c r="M114" i="7"/>
  <c r="O114" i="7" s="1"/>
  <c r="U114" i="7" s="1"/>
  <c r="O238" i="7"/>
  <c r="U238" i="7" s="1"/>
  <c r="M389" i="7"/>
  <c r="O389" i="7" s="1"/>
  <c r="Y389" i="7" s="1"/>
  <c r="L389" i="7"/>
  <c r="M957" i="7"/>
  <c r="O957" i="7" s="1"/>
  <c r="U957" i="7" s="1"/>
  <c r="L957" i="7"/>
  <c r="J987" i="12"/>
  <c r="H456" i="9" s="1"/>
  <c r="J543" i="7"/>
  <c r="M543" i="7" s="1"/>
  <c r="K532" i="12"/>
  <c r="J521" i="7"/>
  <c r="M521" i="7" s="1"/>
  <c r="K470" i="12"/>
  <c r="M512" i="7"/>
  <c r="O512" i="7" s="1"/>
  <c r="L512" i="7"/>
  <c r="K232" i="12"/>
  <c r="I231" i="12"/>
  <c r="G97" i="9" s="1"/>
  <c r="K1129" i="12"/>
  <c r="L139" i="7"/>
  <c r="M621" i="7"/>
  <c r="O621" i="7" s="1"/>
  <c r="U621" i="7" s="1"/>
  <c r="L621" i="7"/>
  <c r="L526" i="7"/>
  <c r="N526" i="7"/>
  <c r="O526" i="7" s="1"/>
  <c r="W526" i="7" s="1"/>
  <c r="M258" i="7"/>
  <c r="O258" i="7" s="1"/>
  <c r="W258" i="7" s="1"/>
  <c r="O43" i="7"/>
  <c r="Y43" i="7" s="1"/>
  <c r="O56" i="7"/>
  <c r="U56" i="7" s="1"/>
  <c r="O224" i="7"/>
  <c r="U224" i="7" s="1"/>
  <c r="M235" i="7"/>
  <c r="O235" i="7" s="1"/>
  <c r="M847" i="7"/>
  <c r="O847" i="7" s="1"/>
  <c r="L847" i="7"/>
  <c r="J272" i="12"/>
  <c r="H170" i="9" s="1"/>
  <c r="K886" i="12"/>
  <c r="J885" i="12"/>
  <c r="H317" i="9" s="1"/>
  <c r="J895" i="12"/>
  <c r="K962" i="12"/>
  <c r="L45" i="7"/>
  <c r="K286" i="12"/>
  <c r="O18" i="7"/>
  <c r="M350" i="7"/>
  <c r="O350" i="7" s="1"/>
  <c r="L350" i="7"/>
  <c r="O467" i="7"/>
  <c r="Y467" i="7" s="1"/>
  <c r="H31" i="11"/>
  <c r="D31" i="11"/>
  <c r="Z31" i="11"/>
  <c r="P31" i="11"/>
  <c r="N31" i="11"/>
  <c r="L31" i="11"/>
  <c r="AC31" i="11"/>
  <c r="AB31" i="11"/>
  <c r="T31" i="11"/>
  <c r="K1276" i="12"/>
  <c r="K543" i="7"/>
  <c r="N543" i="7" s="1"/>
  <c r="L35" i="7"/>
  <c r="L61" i="7"/>
  <c r="L179" i="7"/>
  <c r="M210" i="7"/>
  <c r="O210" i="7" s="1"/>
  <c r="L344" i="7"/>
  <c r="M344" i="7"/>
  <c r="O344" i="7" s="1"/>
  <c r="Y344" i="7" s="1"/>
  <c r="O628" i="7"/>
  <c r="U628" i="7" s="1"/>
  <c r="M916" i="7"/>
  <c r="O916" i="7" s="1"/>
  <c r="L916" i="7"/>
  <c r="J31" i="11"/>
  <c r="K147" i="12"/>
  <c r="K233" i="12"/>
  <c r="K931" i="12"/>
  <c r="K1114" i="12"/>
  <c r="I1111" i="12"/>
  <c r="K1130" i="12"/>
  <c r="G253" i="9"/>
  <c r="J947" i="7"/>
  <c r="K1785" i="12"/>
  <c r="K1789" i="12"/>
  <c r="I2100" i="12"/>
  <c r="K2111" i="12"/>
  <c r="O41" i="7"/>
  <c r="Y41" i="7" s="1"/>
  <c r="O135" i="7"/>
  <c r="W135" i="7" s="1"/>
  <c r="O196" i="7"/>
  <c r="W196" i="7" s="1"/>
  <c r="O236" i="7"/>
  <c r="U236" i="7" s="1"/>
  <c r="O928" i="7"/>
  <c r="W928" i="7" s="1"/>
  <c r="H609" i="9"/>
  <c r="K37" i="12"/>
  <c r="K128" i="12"/>
  <c r="K148" i="12"/>
  <c r="I589" i="12"/>
  <c r="G791" i="9" s="1"/>
  <c r="K630" i="12"/>
  <c r="K663" i="12"/>
  <c r="I713" i="12"/>
  <c r="G731" i="9" s="1"/>
  <c r="K716" i="12"/>
  <c r="K876" i="12"/>
  <c r="K993" i="12"/>
  <c r="K1448" i="12"/>
  <c r="K519" i="12"/>
  <c r="K650" i="12"/>
  <c r="J953" i="12"/>
  <c r="H664" i="9" s="1"/>
  <c r="K1286" i="12"/>
  <c r="K550" i="7"/>
  <c r="N550" i="7" s="1"/>
  <c r="H106" i="9"/>
  <c r="L81" i="7"/>
  <c r="L255" i="7"/>
  <c r="O259" i="7"/>
  <c r="O674" i="7"/>
  <c r="M846" i="7"/>
  <c r="O846" i="7" s="1"/>
  <c r="W846" i="7" s="1"/>
  <c r="M936" i="7"/>
  <c r="O936" i="7" s="1"/>
  <c r="Y936" i="7" s="1"/>
  <c r="L936" i="7"/>
  <c r="K98" i="12"/>
  <c r="J166" i="12"/>
  <c r="H305" i="9" s="1"/>
  <c r="K184" i="12"/>
  <c r="K216" i="12"/>
  <c r="K676" i="12"/>
  <c r="K682" i="12"/>
  <c r="I784" i="12"/>
  <c r="K1299" i="12"/>
  <c r="K1821" i="12"/>
  <c r="K1825" i="12"/>
  <c r="L89" i="7"/>
  <c r="L708" i="7"/>
  <c r="N708" i="7"/>
  <c r="O708" i="7" s="1"/>
  <c r="Y708" i="7" s="1"/>
  <c r="K1245" i="12"/>
  <c r="J1244" i="12"/>
  <c r="K1273" i="12"/>
  <c r="I1270" i="12"/>
  <c r="G455" i="9" s="1"/>
  <c r="J1296" i="12"/>
  <c r="H318" i="9" s="1"/>
  <c r="M232" i="7"/>
  <c r="O232" i="7" s="1"/>
  <c r="L232" i="7"/>
  <c r="O217" i="7"/>
  <c r="U217" i="7" s="1"/>
  <c r="L222" i="7"/>
  <c r="L59" i="7"/>
  <c r="M81" i="7"/>
  <c r="O81" i="7" s="1"/>
  <c r="Y81" i="7" s="1"/>
  <c r="L109" i="7"/>
  <c r="M136" i="7"/>
  <c r="O136" i="7" s="1"/>
  <c r="L136" i="7"/>
  <c r="L509" i="7"/>
  <c r="L620" i="7"/>
  <c r="M620" i="7"/>
  <c r="O620" i="7" s="1"/>
  <c r="Y620" i="7" s="1"/>
  <c r="L674" i="7"/>
  <c r="I22" i="12"/>
  <c r="I162" i="12"/>
  <c r="G770" i="9" s="1"/>
  <c r="K163" i="12"/>
  <c r="K473" i="12"/>
  <c r="K658" i="12"/>
  <c r="K1194" i="12"/>
  <c r="K1203" i="12"/>
  <c r="K1573" i="12"/>
  <c r="K1666" i="12"/>
  <c r="I1741" i="12"/>
  <c r="G33" i="9" s="1"/>
  <c r="K1788" i="12"/>
  <c r="K1799" i="12"/>
  <c r="L385" i="7"/>
  <c r="M385" i="7"/>
  <c r="O385" i="7" s="1"/>
  <c r="O421" i="7"/>
  <c r="O501" i="7"/>
  <c r="I87" i="12"/>
  <c r="K88" i="12"/>
  <c r="K343" i="12"/>
  <c r="K451" i="12"/>
  <c r="K572" i="12"/>
  <c r="K579" i="12"/>
  <c r="K1051" i="12"/>
  <c r="K1588" i="12"/>
  <c r="J1647" i="12"/>
  <c r="H535" i="9" s="1"/>
  <c r="K1682" i="12"/>
  <c r="I1747" i="12"/>
  <c r="G129" i="9" s="1"/>
  <c r="K59" i="12"/>
  <c r="I57" i="12"/>
  <c r="G287" i="9" s="1"/>
  <c r="K378" i="12"/>
  <c r="I428" i="12"/>
  <c r="K1040" i="12"/>
  <c r="I1039" i="12"/>
  <c r="K1070" i="12"/>
  <c r="K1075" i="12"/>
  <c r="K1080" i="12"/>
  <c r="J1098" i="12"/>
  <c r="J644" i="7"/>
  <c r="K1294" i="12"/>
  <c r="K1660" i="12"/>
  <c r="K1672" i="12"/>
  <c r="I1696" i="12"/>
  <c r="I2114" i="12"/>
  <c r="G643" i="9" s="1"/>
  <c r="K2117" i="12"/>
  <c r="K1945" i="12"/>
  <c r="K1975" i="12"/>
  <c r="M180" i="7"/>
  <c r="O180" i="7" s="1"/>
  <c r="U180" i="7" s="1"/>
  <c r="L180" i="7"/>
  <c r="L260" i="7"/>
  <c r="M260" i="7"/>
  <c r="O260" i="7" s="1"/>
  <c r="Y260" i="7" s="1"/>
  <c r="O297" i="7"/>
  <c r="U297" i="7" s="1"/>
  <c r="O430" i="7"/>
  <c r="U430" i="7" s="1"/>
  <c r="O464" i="7"/>
  <c r="Y464" i="7" s="1"/>
  <c r="L573" i="7"/>
  <c r="L889" i="7"/>
  <c r="N889" i="7"/>
  <c r="O889" i="7" s="1"/>
  <c r="J185" i="12"/>
  <c r="K398" i="12"/>
  <c r="K436" i="12"/>
  <c r="K463" i="12"/>
  <c r="K499" i="12"/>
  <c r="J791" i="12"/>
  <c r="H396" i="9" s="1"/>
  <c r="K829" i="12"/>
  <c r="K1083" i="12"/>
  <c r="K1088" i="12"/>
  <c r="I1231" i="12"/>
  <c r="K1240" i="12"/>
  <c r="K1287" i="12"/>
  <c r="K1494" i="12"/>
  <c r="K1960" i="12"/>
  <c r="K1233" i="12"/>
  <c r="J1438" i="12"/>
  <c r="K1458" i="12"/>
  <c r="K1763" i="12"/>
  <c r="K1883" i="12"/>
  <c r="K1887" i="12"/>
  <c r="K1942" i="12"/>
  <c r="O377" i="7"/>
  <c r="Y377" i="7" s="1"/>
  <c r="I34" i="12"/>
  <c r="G205" i="9" s="1"/>
  <c r="K125" i="12"/>
  <c r="K275" i="12"/>
  <c r="K342" i="12"/>
  <c r="K382" i="12"/>
  <c r="I381" i="12"/>
  <c r="I459" i="12" s="1"/>
  <c r="K453" i="12"/>
  <c r="K458" i="12"/>
  <c r="K1143" i="12"/>
  <c r="J1946" i="12"/>
  <c r="O223" i="7"/>
  <c r="W223" i="7" s="1"/>
  <c r="O278" i="7"/>
  <c r="U278" i="7" s="1"/>
  <c r="J381" i="12"/>
  <c r="J459" i="12" s="1"/>
  <c r="J454" i="12" s="1"/>
  <c r="H79" i="9" s="1"/>
  <c r="K386" i="12"/>
  <c r="K390" i="12"/>
  <c r="J527" i="12"/>
  <c r="H230" i="9" s="1"/>
  <c r="K544" i="12"/>
  <c r="J585" i="12"/>
  <c r="H576" i="9" s="1"/>
  <c r="K702" i="12"/>
  <c r="K707" i="12"/>
  <c r="I900" i="12"/>
  <c r="G571" i="9" s="1"/>
  <c r="K911" i="12"/>
  <c r="K1006" i="12"/>
  <c r="K1038" i="12"/>
  <c r="K1156" i="12"/>
  <c r="K1184" i="12"/>
  <c r="K1254" i="12"/>
  <c r="J1394" i="12"/>
  <c r="H508" i="9" s="1"/>
  <c r="J1571" i="12"/>
  <c r="H582" i="9" s="1"/>
  <c r="J1756" i="12"/>
  <c r="H445" i="9" s="1"/>
  <c r="K1878" i="12"/>
  <c r="K1929" i="12"/>
  <c r="K1395" i="12"/>
  <c r="J1418" i="12"/>
  <c r="H103" i="9" s="1"/>
  <c r="O403" i="7"/>
  <c r="Y403" i="7" s="1"/>
  <c r="O51" i="7"/>
  <c r="Y51" i="7" s="1"/>
  <c r="L310" i="7"/>
  <c r="L559" i="7"/>
  <c r="L692" i="7"/>
  <c r="J34" i="12"/>
  <c r="H205" i="9" s="1"/>
  <c r="J87" i="12"/>
  <c r="K235" i="12"/>
  <c r="L535" i="7"/>
  <c r="L890" i="7"/>
  <c r="J203" i="12"/>
  <c r="H777" i="9" s="1"/>
  <c r="K267" i="12"/>
  <c r="J265" i="12"/>
  <c r="H56" i="9" s="1"/>
  <c r="K309" i="12"/>
  <c r="I750" i="12"/>
  <c r="G267" i="9" s="1"/>
  <c r="K855" i="12"/>
  <c r="I854" i="12"/>
  <c r="K1516" i="12"/>
  <c r="O203" i="7"/>
  <c r="Y203" i="7" s="1"/>
  <c r="M88" i="7"/>
  <c r="O88" i="7" s="1"/>
  <c r="U88" i="7" s="1"/>
  <c r="L419" i="7"/>
  <c r="L851" i="7"/>
  <c r="N851" i="7"/>
  <c r="O851" i="7" s="1"/>
  <c r="K36" i="12"/>
  <c r="J219" i="12"/>
  <c r="H281" i="9" s="1"/>
  <c r="J325" i="12"/>
  <c r="H676" i="9" s="1"/>
  <c r="L104" i="7"/>
  <c r="L154" i="7"/>
  <c r="M211" i="7"/>
  <c r="O211" i="7" s="1"/>
  <c r="L236" i="7"/>
  <c r="L298" i="7"/>
  <c r="M67" i="7"/>
  <c r="O67" i="7" s="1"/>
  <c r="W67" i="7" s="1"/>
  <c r="L71" i="7"/>
  <c r="O400" i="7"/>
  <c r="Y400" i="7" s="1"/>
  <c r="L404" i="7"/>
  <c r="O485" i="7"/>
  <c r="Y485" i="7" s="1"/>
  <c r="L525" i="7"/>
  <c r="L707" i="7"/>
  <c r="K240" i="12"/>
  <c r="K337" i="12"/>
  <c r="K370" i="12"/>
  <c r="K485" i="12"/>
  <c r="K489" i="12"/>
  <c r="K802" i="12"/>
  <c r="K1019" i="12"/>
  <c r="K1033" i="12"/>
  <c r="K1115" i="12"/>
  <c r="J1164" i="12"/>
  <c r="H98" i="9" s="1"/>
  <c r="K1318" i="12"/>
  <c r="J1330" i="12"/>
  <c r="H702" i="9" s="1"/>
  <c r="K1390" i="12"/>
  <c r="K1613" i="12"/>
  <c r="K1702" i="12"/>
  <c r="K1729" i="12"/>
  <c r="K1746" i="12"/>
  <c r="K1829" i="12"/>
  <c r="K1875" i="12"/>
  <c r="K1884" i="12"/>
  <c r="J2100" i="12"/>
  <c r="J2194" i="12"/>
  <c r="K2096" i="12"/>
  <c r="O900" i="7"/>
  <c r="K95" i="12"/>
  <c r="K133" i="12"/>
  <c r="K138" i="12"/>
  <c r="K157" i="12"/>
  <c r="K174" i="12"/>
  <c r="I197" i="12"/>
  <c r="G338" i="9" s="1"/>
  <c r="K264" i="12"/>
  <c r="K558" i="12"/>
  <c r="K587" i="12"/>
  <c r="K604" i="12"/>
  <c r="K690" i="12"/>
  <c r="K772" i="12"/>
  <c r="K857" i="12"/>
  <c r="K1030" i="12"/>
  <c r="K1358" i="12"/>
  <c r="K1424" i="12"/>
  <c r="K1525" i="12"/>
  <c r="I1535" i="12"/>
  <c r="K1952" i="12"/>
  <c r="K2044" i="12"/>
  <c r="I2062" i="12"/>
  <c r="I2081" i="12" s="1"/>
  <c r="I2080" i="12" s="1"/>
  <c r="K1732" i="12"/>
  <c r="J1747" i="12"/>
  <c r="H129" i="9" s="1"/>
  <c r="K1901" i="12"/>
  <c r="O162" i="7"/>
  <c r="W162" i="7" s="1"/>
  <c r="K96" i="12"/>
  <c r="K100" i="12"/>
  <c r="I119" i="12"/>
  <c r="G234" i="9" s="1"/>
  <c r="J278" i="12"/>
  <c r="K429" i="12"/>
  <c r="J647" i="12"/>
  <c r="H45" i="9" s="1"/>
  <c r="J659" i="12"/>
  <c r="J915" i="12"/>
  <c r="H421" i="9" s="1"/>
  <c r="K1169" i="12"/>
  <c r="K1182" i="12"/>
  <c r="J1301" i="12"/>
  <c r="K1449" i="12"/>
  <c r="J2095" i="12"/>
  <c r="H356" i="9" s="1"/>
  <c r="O264" i="7"/>
  <c r="U264" i="7" s="1"/>
  <c r="O848" i="7"/>
  <c r="Y848" i="7" s="1"/>
  <c r="L257" i="7"/>
  <c r="K120" i="12"/>
  <c r="J373" i="12"/>
  <c r="K402" i="12"/>
  <c r="K559" i="12"/>
  <c r="K636" i="12"/>
  <c r="I635" i="12"/>
  <c r="G71" i="9" s="1"/>
  <c r="K668" i="12"/>
  <c r="I881" i="12"/>
  <c r="G272" i="9" s="1"/>
  <c r="K1303" i="12"/>
  <c r="I1306" i="12"/>
  <c r="G706" i="9" s="1"/>
  <c r="I1591" i="12"/>
  <c r="G446" i="9" s="1"/>
  <c r="K1592" i="12"/>
  <c r="K1823" i="12"/>
  <c r="L134" i="7"/>
  <c r="O198" i="7"/>
  <c r="U198" i="7" s="1"/>
  <c r="O42" i="7"/>
  <c r="W42" i="7" s="1"/>
  <c r="L70" i="7"/>
  <c r="M171" i="7"/>
  <c r="O171" i="7" s="1"/>
  <c r="M308" i="7"/>
  <c r="O308" i="7" s="1"/>
  <c r="O420" i="7"/>
  <c r="L593" i="7"/>
  <c r="L842" i="7"/>
  <c r="L848" i="7"/>
  <c r="K33" i="12"/>
  <c r="K248" i="12"/>
  <c r="K393" i="12"/>
  <c r="K439" i="12"/>
  <c r="K466" i="12"/>
  <c r="K494" i="12"/>
  <c r="J548" i="12"/>
  <c r="K565" i="12"/>
  <c r="K610" i="12"/>
  <c r="J745" i="12"/>
  <c r="I860" i="12"/>
  <c r="G235" i="9" s="1"/>
  <c r="K1107" i="12"/>
  <c r="K1134" i="12"/>
  <c r="K1298" i="12"/>
  <c r="K1332" i="12"/>
  <c r="K1342" i="12"/>
  <c r="K1365" i="12"/>
  <c r="K1553" i="12"/>
  <c r="K1605" i="12"/>
  <c r="K1792" i="12"/>
  <c r="K1845" i="12"/>
  <c r="K1941" i="12"/>
  <c r="K1970" i="12"/>
  <c r="K2021" i="12"/>
  <c r="K2113" i="12"/>
  <c r="I2186" i="12"/>
  <c r="K2097" i="12"/>
  <c r="I2128" i="12"/>
  <c r="G154" i="9" s="1"/>
  <c r="J2114" i="12"/>
  <c r="H643" i="9" s="1"/>
  <c r="K43" i="12"/>
  <c r="J42" i="12"/>
  <c r="H346" i="9" s="1"/>
  <c r="J110" i="12"/>
  <c r="H728" i="9" s="1"/>
  <c r="J134" i="12"/>
  <c r="K139" i="12"/>
  <c r="K406" i="12"/>
  <c r="I405" i="12"/>
  <c r="K652" i="12"/>
  <c r="K1197" i="12"/>
  <c r="I1547" i="12"/>
  <c r="G551" i="9" s="1"/>
  <c r="J1736" i="12"/>
  <c r="J1760" i="12"/>
  <c r="H705" i="9" s="1"/>
  <c r="O69" i="7"/>
  <c r="Y69" i="7" s="1"/>
  <c r="L377" i="7"/>
  <c r="O505" i="7"/>
  <c r="Y505" i="7" s="1"/>
  <c r="L858" i="7"/>
  <c r="K13" i="12"/>
  <c r="K116" i="12"/>
  <c r="J158" i="12"/>
  <c r="H418" i="9" s="1"/>
  <c r="K199" i="12"/>
  <c r="K251" i="12"/>
  <c r="J405" i="12"/>
  <c r="K508" i="12"/>
  <c r="I760" i="12"/>
  <c r="G101" i="9" s="1"/>
  <c r="J776" i="12"/>
  <c r="H382" i="9" s="1"/>
  <c r="K1022" i="12"/>
  <c r="K1052" i="12"/>
  <c r="K1133" i="12"/>
  <c r="J1239" i="12"/>
  <c r="H70" i="9" s="1"/>
  <c r="J1523" i="12"/>
  <c r="H194" i="9" s="1"/>
  <c r="I1661" i="12"/>
  <c r="G792" i="9" s="1"/>
  <c r="J1989" i="12"/>
  <c r="H630" i="9" s="1"/>
  <c r="K58" i="12"/>
  <c r="K97" i="12"/>
  <c r="I126" i="12"/>
  <c r="K190" i="12"/>
  <c r="J197" i="12"/>
  <c r="H338" i="9" s="1"/>
  <c r="J223" i="12"/>
  <c r="H803" i="9" s="1"/>
  <c r="K274" i="12"/>
  <c r="I377" i="12"/>
  <c r="G423" i="9" s="1"/>
  <c r="K379" i="12"/>
  <c r="K480" i="12"/>
  <c r="K538" i="12"/>
  <c r="J612" i="12"/>
  <c r="J622" i="12"/>
  <c r="K646" i="12"/>
  <c r="J726" i="12"/>
  <c r="K804" i="12"/>
  <c r="J961" i="12"/>
  <c r="H270" i="9" s="1"/>
  <c r="J1034" i="12"/>
  <c r="K1101" i="12"/>
  <c r="J1388" i="12"/>
  <c r="H730" i="9" s="1"/>
  <c r="K1470" i="12"/>
  <c r="K1524" i="12"/>
  <c r="K1670" i="12"/>
  <c r="I1790" i="12"/>
  <c r="G118" i="9" s="1"/>
  <c r="J1805" i="12"/>
  <c r="H265" i="9" s="1"/>
  <c r="K1991" i="12"/>
  <c r="K131" i="12"/>
  <c r="K141" i="12"/>
  <c r="K155" i="12"/>
  <c r="K204" i="12"/>
  <c r="J215" i="12"/>
  <c r="H621" i="9" s="1"/>
  <c r="K239" i="12"/>
  <c r="K256" i="12"/>
  <c r="K282" i="12"/>
  <c r="K383" i="12"/>
  <c r="K391" i="12"/>
  <c r="K615" i="12"/>
  <c r="K686" i="12"/>
  <c r="K698" i="12"/>
  <c r="K703" i="12"/>
  <c r="J730" i="12"/>
  <c r="H182" i="9" s="1"/>
  <c r="J741" i="12"/>
  <c r="K767" i="12"/>
  <c r="K882" i="12"/>
  <c r="I1042" i="12"/>
  <c r="K1128" i="12"/>
  <c r="I1145" i="12"/>
  <c r="J1360" i="12"/>
  <c r="H280" i="9" s="1"/>
  <c r="K1381" i="12"/>
  <c r="K1415" i="12"/>
  <c r="K1435" i="12"/>
  <c r="K1584" i="12"/>
  <c r="K1641" i="12"/>
  <c r="J1731" i="12"/>
  <c r="K1786" i="12"/>
  <c r="K1810" i="12"/>
  <c r="K1885" i="12"/>
  <c r="K1893" i="12"/>
  <c r="K1906" i="12"/>
  <c r="K1917" i="12"/>
  <c r="I1989" i="12"/>
  <c r="G630" i="9" s="1"/>
  <c r="K2002" i="12"/>
  <c r="K2006" i="12"/>
  <c r="K2010" i="12"/>
  <c r="K2014" i="12"/>
  <c r="J2058" i="12"/>
  <c r="J2071" i="12" s="1"/>
  <c r="K2108" i="12"/>
  <c r="K2197" i="12"/>
  <c r="K2019" i="12"/>
  <c r="K2131" i="12"/>
  <c r="K55" i="12"/>
  <c r="K124" i="12"/>
  <c r="K152" i="12"/>
  <c r="J170" i="12"/>
  <c r="H294" i="9" s="1"/>
  <c r="K374" i="12"/>
  <c r="I395" i="12"/>
  <c r="G443" i="9" s="1"/>
  <c r="K412" i="12"/>
  <c r="K417" i="12"/>
  <c r="K442" i="12"/>
  <c r="K476" i="12"/>
  <c r="K496" i="12"/>
  <c r="J541" i="12"/>
  <c r="K552" i="12"/>
  <c r="K567" i="12"/>
  <c r="K616" i="12"/>
  <c r="K621" i="12"/>
  <c r="K626" i="12"/>
  <c r="K632" i="12"/>
  <c r="J699" i="12"/>
  <c r="H751" i="9" s="1"/>
  <c r="K705" i="12"/>
  <c r="K786" i="12"/>
  <c r="J840" i="12"/>
  <c r="H647" i="9" s="1"/>
  <c r="K847" i="12"/>
  <c r="K862" i="12"/>
  <c r="K883" i="12"/>
  <c r="K1055" i="12"/>
  <c r="K1084" i="12"/>
  <c r="K1094" i="12"/>
  <c r="K1195" i="12"/>
  <c r="K1220" i="12"/>
  <c r="K1251" i="12"/>
  <c r="K1416" i="12"/>
  <c r="J1591" i="12"/>
  <c r="H446" i="9" s="1"/>
  <c r="K1949" i="12"/>
  <c r="K1969" i="12"/>
  <c r="K1998" i="12"/>
  <c r="K2011" i="12"/>
  <c r="K2199" i="12"/>
  <c r="I2198" i="12"/>
  <c r="G758" i="9" s="1"/>
  <c r="K1427" i="12"/>
  <c r="I1473" i="12"/>
  <c r="G601" i="9" s="1"/>
  <c r="K1497" i="12"/>
  <c r="K1517" i="12"/>
  <c r="I1523" i="12"/>
  <c r="G194" i="9" s="1"/>
  <c r="K1617" i="12"/>
  <c r="K1624" i="12"/>
  <c r="K1650" i="12"/>
  <c r="J1777" i="12"/>
  <c r="K1859" i="12"/>
  <c r="K1924" i="12"/>
  <c r="K1928" i="12"/>
  <c r="K2024" i="12"/>
  <c r="I2045" i="12"/>
  <c r="G226" i="9" s="1"/>
  <c r="J2122" i="12"/>
  <c r="H160" i="9" s="1"/>
  <c r="K2157" i="12"/>
  <c r="J2182" i="12"/>
  <c r="H202" i="9" s="1"/>
  <c r="J805" i="12"/>
  <c r="H64" i="9" s="1"/>
  <c r="J854" i="12"/>
  <c r="K1017" i="12"/>
  <c r="J1053" i="12"/>
  <c r="K1175" i="12"/>
  <c r="K1187" i="12"/>
  <c r="K1391" i="12"/>
  <c r="K1434" i="12"/>
  <c r="K1544" i="12"/>
  <c r="K1561" i="12"/>
  <c r="I1631" i="12"/>
  <c r="K1703" i="12"/>
  <c r="K1715" i="12"/>
  <c r="K1801" i="12"/>
  <c r="J1843" i="12"/>
  <c r="J1855" i="12" s="1"/>
  <c r="J1853" i="12" s="1"/>
  <c r="K1852" i="12"/>
  <c r="K1963" i="12"/>
  <c r="J2000" i="12"/>
  <c r="K2012" i="12"/>
  <c r="K2104" i="12"/>
  <c r="J2172" i="12"/>
  <c r="K2189" i="12"/>
  <c r="K367" i="12"/>
  <c r="K437" i="12"/>
  <c r="K478" i="12"/>
  <c r="K483" i="12"/>
  <c r="K487" i="12"/>
  <c r="K515" i="12"/>
  <c r="K614" i="12"/>
  <c r="K619" i="12"/>
  <c r="K624" i="12"/>
  <c r="K667" i="12"/>
  <c r="K746" i="12"/>
  <c r="K824" i="12"/>
  <c r="I987" i="12"/>
  <c r="G456" i="9" s="1"/>
  <c r="K1032" i="12"/>
  <c r="K1232" i="12"/>
  <c r="K1256" i="12"/>
  <c r="J1270" i="12"/>
  <c r="H455" i="9" s="1"/>
  <c r="K1455" i="12"/>
  <c r="K1479" i="12"/>
  <c r="K1490" i="12"/>
  <c r="K1545" i="12"/>
  <c r="I1551" i="12"/>
  <c r="G19" i="9" s="1"/>
  <c r="K1608" i="12"/>
  <c r="K1640" i="12"/>
  <c r="J1668" i="12"/>
  <c r="H399" i="9" s="1"/>
  <c r="J1802" i="12"/>
  <c r="K1824" i="12"/>
  <c r="K1866" i="12"/>
  <c r="K2191" i="12"/>
  <c r="K12" i="12"/>
  <c r="K65" i="12"/>
  <c r="K70" i="12"/>
  <c r="K109" i="12"/>
  <c r="J252" i="12"/>
  <c r="K283" i="12"/>
  <c r="K341" i="12"/>
  <c r="K441" i="12"/>
  <c r="K471" i="12"/>
  <c r="J569" i="12"/>
  <c r="K595" i="12"/>
  <c r="J665" i="12"/>
  <c r="H783" i="9" s="1"/>
  <c r="J780" i="12"/>
  <c r="H640" i="9" s="1"/>
  <c r="K982" i="12"/>
  <c r="K1096" i="12"/>
  <c r="I1164" i="12"/>
  <c r="G98" i="9" s="1"/>
  <c r="K1192" i="12"/>
  <c r="J1477" i="12"/>
  <c r="H482" i="9" s="1"/>
  <c r="K1501" i="12"/>
  <c r="K1533" i="12"/>
  <c r="J1551" i="12"/>
  <c r="H19" i="9" s="1"/>
  <c r="K1727" i="12"/>
  <c r="K1877" i="12"/>
  <c r="K1918" i="12"/>
  <c r="K2018" i="12"/>
  <c r="K2022" i="12"/>
  <c r="K2068" i="12"/>
  <c r="O25" i="7"/>
  <c r="O37" i="7"/>
  <c r="O90" i="7"/>
  <c r="E15" i="7"/>
  <c r="E73" i="7"/>
  <c r="C16" i="7"/>
  <c r="E16" i="7" s="1"/>
  <c r="O26" i="7"/>
  <c r="I1413" i="12"/>
  <c r="K1413" i="12" s="1"/>
  <c r="H1413" i="12"/>
  <c r="AC8" i="11"/>
  <c r="E47" i="3"/>
  <c r="C94" i="7"/>
  <c r="E93" i="7"/>
  <c r="O39" i="7"/>
  <c r="E24" i="7"/>
  <c r="C25" i="7"/>
  <c r="E112" i="7"/>
  <c r="C113" i="7"/>
  <c r="O24" i="7"/>
  <c r="O40" i="7"/>
  <c r="H1429" i="12"/>
  <c r="I1429" i="12"/>
  <c r="K1429" i="12" s="1"/>
  <c r="C39" i="7"/>
  <c r="E38" i="7"/>
  <c r="L27" i="7"/>
  <c r="M27" i="7"/>
  <c r="O27" i="7" s="1"/>
  <c r="AC7" i="11"/>
  <c r="E27" i="3"/>
  <c r="G23" i="2"/>
  <c r="H10" i="4" s="1"/>
  <c r="I1461" i="12"/>
  <c r="H1461" i="12"/>
  <c r="E110" i="7"/>
  <c r="H1691" i="12"/>
  <c r="I1691" i="12"/>
  <c r="L55" i="7"/>
  <c r="C135" i="7"/>
  <c r="O254" i="7"/>
  <c r="L26" i="7"/>
  <c r="M34" i="7"/>
  <c r="I104" i="13"/>
  <c r="L37" i="7"/>
  <c r="L38" i="7"/>
  <c r="L39" i="7"/>
  <c r="L40" i="7"/>
  <c r="L41" i="7"/>
  <c r="L42" i="7"/>
  <c r="L43" i="7"/>
  <c r="L69" i="7"/>
  <c r="O89" i="7"/>
  <c r="L123" i="7"/>
  <c r="I124" i="13"/>
  <c r="I100" i="13"/>
  <c r="L106" i="13"/>
  <c r="L176" i="13"/>
  <c r="K176" i="13" s="1"/>
  <c r="E67" i="7"/>
  <c r="L106" i="7"/>
  <c r="L25" i="7"/>
  <c r="M35" i="7"/>
  <c r="M59" i="7"/>
  <c r="O59" i="7" s="1"/>
  <c r="H1387" i="12"/>
  <c r="I1387" i="12"/>
  <c r="K1387" i="12" s="1"/>
  <c r="I176" i="13"/>
  <c r="H1348" i="12"/>
  <c r="I1348" i="12"/>
  <c r="I1405" i="12"/>
  <c r="K1405" i="12" s="1"/>
  <c r="H1399" i="12"/>
  <c r="H1405" i="12"/>
  <c r="I1399" i="12"/>
  <c r="I549" i="12"/>
  <c r="H549" i="12"/>
  <c r="M106" i="13"/>
  <c r="H1355" i="12"/>
  <c r="I1355" i="12"/>
  <c r="C202" i="7"/>
  <c r="E201" i="7"/>
  <c r="L32" i="7"/>
  <c r="L100" i="13"/>
  <c r="K100" i="13" s="1"/>
  <c r="M145" i="7"/>
  <c r="O145" i="7" s="1"/>
  <c r="L145" i="7"/>
  <c r="E68" i="7"/>
  <c r="I184" i="13"/>
  <c r="L18" i="7"/>
  <c r="E50" i="7"/>
  <c r="C51" i="7"/>
  <c r="C76" i="7"/>
  <c r="O137" i="7"/>
  <c r="L151" i="7"/>
  <c r="I542" i="12"/>
  <c r="H542" i="12"/>
  <c r="I1417" i="12"/>
  <c r="H1417" i="12"/>
  <c r="L62" i="7"/>
  <c r="L91" i="7"/>
  <c r="O151" i="7"/>
  <c r="E193" i="7"/>
  <c r="C194" i="7"/>
  <c r="E194" i="7" s="1"/>
  <c r="I1472" i="12"/>
  <c r="H1472" i="12"/>
  <c r="I1379" i="12"/>
  <c r="H1379" i="12"/>
  <c r="I980" i="12"/>
  <c r="H980" i="12"/>
  <c r="I556" i="12"/>
  <c r="H556" i="12"/>
  <c r="I1362" i="12"/>
  <c r="H1362" i="12"/>
  <c r="E72" i="7"/>
  <c r="C87" i="7"/>
  <c r="N119" i="7"/>
  <c r="C128" i="7"/>
  <c r="C152" i="7"/>
  <c r="C171" i="7"/>
  <c r="E160" i="7"/>
  <c r="C161" i="7"/>
  <c r="M221" i="7"/>
  <c r="O221" i="7" s="1"/>
  <c r="L221" i="7"/>
  <c r="M197" i="7"/>
  <c r="O197" i="7" s="1"/>
  <c r="L197" i="7"/>
  <c r="E205" i="7"/>
  <c r="C206" i="7"/>
  <c r="L60" i="7"/>
  <c r="E71" i="7"/>
  <c r="O161" i="7"/>
  <c r="E215" i="7"/>
  <c r="C216" i="7"/>
  <c r="N138" i="7"/>
  <c r="O138" i="7" s="1"/>
  <c r="L138" i="7"/>
  <c r="I563" i="12"/>
  <c r="H563" i="12"/>
  <c r="L34" i="7"/>
  <c r="E70" i="7"/>
  <c r="E81" i="7"/>
  <c r="L90" i="7"/>
  <c r="E109" i="7"/>
  <c r="L58" i="7"/>
  <c r="E187" i="7"/>
  <c r="C188" i="7"/>
  <c r="H1393" i="12"/>
  <c r="I1393" i="12"/>
  <c r="I98" i="13"/>
  <c r="L104" i="13"/>
  <c r="K104" i="13" s="1"/>
  <c r="L124" i="13"/>
  <c r="K124" i="13" s="1"/>
  <c r="M16" i="7"/>
  <c r="O16" i="7" s="1"/>
  <c r="M23" i="7"/>
  <c r="E37" i="7"/>
  <c r="L57" i="7"/>
  <c r="E69" i="7"/>
  <c r="M71" i="7"/>
  <c r="O71" i="7" s="1"/>
  <c r="L99" i="7"/>
  <c r="O109" i="7"/>
  <c r="O157" i="7"/>
  <c r="I528" i="12"/>
  <c r="H528" i="12"/>
  <c r="H1012" i="12"/>
  <c r="I1012" i="12"/>
  <c r="H535" i="12"/>
  <c r="I535" i="12"/>
  <c r="L107" i="7"/>
  <c r="L51" i="7"/>
  <c r="H1693" i="12"/>
  <c r="I1693" i="12"/>
  <c r="L24" i="7"/>
  <c r="N34" i="7"/>
  <c r="N35" i="7"/>
  <c r="L87" i="7"/>
  <c r="I1498" i="12"/>
  <c r="H1498" i="12"/>
  <c r="L56" i="7"/>
  <c r="M86" i="7"/>
  <c r="L86" i="7"/>
  <c r="L150" i="7"/>
  <c r="O150" i="7"/>
  <c r="E243" i="7"/>
  <c r="C244" i="7"/>
  <c r="M123" i="7"/>
  <c r="O123" i="7" s="1"/>
  <c r="N134" i="7"/>
  <c r="O134" i="7" s="1"/>
  <c r="O230" i="7"/>
  <c r="L220" i="7"/>
  <c r="L185" i="7"/>
  <c r="L202" i="7"/>
  <c r="M205" i="7"/>
  <c r="O205" i="7" s="1"/>
  <c r="L205" i="7"/>
  <c r="L223" i="7"/>
  <c r="M296" i="7"/>
  <c r="O296" i="7" s="1"/>
  <c r="L296" i="7"/>
  <c r="E196" i="7"/>
  <c r="C197" i="7"/>
  <c r="L157" i="7"/>
  <c r="O263" i="7"/>
  <c r="L172" i="7"/>
  <c r="E242" i="7"/>
  <c r="E150" i="7"/>
  <c r="O172" i="7"/>
  <c r="M229" i="7"/>
  <c r="O229" i="7" s="1"/>
  <c r="L229" i="7"/>
  <c r="E270" i="7"/>
  <c r="C271" i="7"/>
  <c r="N199" i="7"/>
  <c r="E248" i="7"/>
  <c r="C249" i="7"/>
  <c r="O309" i="7"/>
  <c r="E149" i="7"/>
  <c r="L198" i="7"/>
  <c r="M256" i="7"/>
  <c r="O256" i="7" s="1"/>
  <c r="L256" i="7"/>
  <c r="O275" i="7"/>
  <c r="C336" i="7"/>
  <c r="E335" i="7"/>
  <c r="O208" i="7"/>
  <c r="N237" i="7"/>
  <c r="O237" i="7" s="1"/>
  <c r="M261" i="7"/>
  <c r="O261" i="7" s="1"/>
  <c r="L261" i="7"/>
  <c r="L137" i="7"/>
  <c r="E179" i="7"/>
  <c r="C180" i="7"/>
  <c r="M207" i="7"/>
  <c r="O207" i="7" s="1"/>
  <c r="L207" i="7"/>
  <c r="L217" i="7"/>
  <c r="L231" i="7"/>
  <c r="L110" i="7"/>
  <c r="L224" i="7"/>
  <c r="E241" i="7"/>
  <c r="L259" i="7"/>
  <c r="L196" i="7"/>
  <c r="L162" i="7"/>
  <c r="L169" i="7"/>
  <c r="L203" i="7"/>
  <c r="M206" i="7"/>
  <c r="O206" i="7" s="1"/>
  <c r="L206" i="7"/>
  <c r="E210" i="7"/>
  <c r="C211" i="7"/>
  <c r="O220" i="7"/>
  <c r="M412" i="7"/>
  <c r="O412" i="7" s="1"/>
  <c r="L412" i="7"/>
  <c r="O401" i="7"/>
  <c r="C371" i="7"/>
  <c r="E370" i="7"/>
  <c r="L278" i="7"/>
  <c r="M343" i="7"/>
  <c r="O343" i="7" s="1"/>
  <c r="C358" i="7"/>
  <c r="E357" i="7"/>
  <c r="M402" i="7"/>
  <c r="O402" i="7" s="1"/>
  <c r="L402" i="7"/>
  <c r="L263" i="7"/>
  <c r="L275" i="7"/>
  <c r="C350" i="7"/>
  <c r="E355" i="7"/>
  <c r="C329" i="7"/>
  <c r="E328" i="7"/>
  <c r="O495" i="7"/>
  <c r="E317" i="7"/>
  <c r="C318" i="7"/>
  <c r="E362" i="7"/>
  <c r="L399" i="7"/>
  <c r="O481" i="7"/>
  <c r="M346" i="7"/>
  <c r="O346" i="7" s="1"/>
  <c r="L346" i="7"/>
  <c r="L355" i="7"/>
  <c r="M355" i="7"/>
  <c r="O355" i="7" s="1"/>
  <c r="O399" i="7"/>
  <c r="E334" i="7"/>
  <c r="E356" i="7"/>
  <c r="C390" i="7"/>
  <c r="E389" i="7"/>
  <c r="L356" i="7"/>
  <c r="M356" i="7"/>
  <c r="O356" i="7" s="1"/>
  <c r="E308" i="7"/>
  <c r="C309" i="7"/>
  <c r="L309" i="7"/>
  <c r="M383" i="7"/>
  <c r="O383" i="7" s="1"/>
  <c r="L383" i="7"/>
  <c r="E254" i="7"/>
  <c r="C255" i="7"/>
  <c r="L264" i="7"/>
  <c r="L297" i="7"/>
  <c r="M342" i="7"/>
  <c r="O342" i="7" s="1"/>
  <c r="C481" i="7"/>
  <c r="E480" i="7"/>
  <c r="C278" i="7"/>
  <c r="M295" i="7"/>
  <c r="O295" i="7" s="1"/>
  <c r="L295" i="7"/>
  <c r="C366" i="7"/>
  <c r="O386" i="7"/>
  <c r="C398" i="7"/>
  <c r="M292" i="7"/>
  <c r="O292" i="7" s="1"/>
  <c r="N322" i="7"/>
  <c r="O322" i="7" s="1"/>
  <c r="L348" i="7"/>
  <c r="O424" i="7"/>
  <c r="E433" i="7"/>
  <c r="C434" i="7"/>
  <c r="O482" i="7"/>
  <c r="N348" i="7"/>
  <c r="L358" i="7"/>
  <c r="M358" i="7"/>
  <c r="O358" i="7" s="1"/>
  <c r="L505" i="7"/>
  <c r="C510" i="7"/>
  <c r="L314" i="7"/>
  <c r="L386" i="7"/>
  <c r="L400" i="7"/>
  <c r="C462" i="7"/>
  <c r="L524" i="7"/>
  <c r="O562" i="7"/>
  <c r="O448" i="7"/>
  <c r="L464" i="7"/>
  <c r="L312" i="7"/>
  <c r="O393" i="7"/>
  <c r="D458" i="7"/>
  <c r="E457" i="7"/>
  <c r="L357" i="7"/>
  <c r="M357" i="7"/>
  <c r="O357" i="7" s="1"/>
  <c r="L448" i="7"/>
  <c r="O525" i="7"/>
  <c r="O462" i="7"/>
  <c r="O483" i="7"/>
  <c r="O508" i="7"/>
  <c r="M536" i="7"/>
  <c r="O536" i="7" s="1"/>
  <c r="L536" i="7"/>
  <c r="M425" i="7"/>
  <c r="O425" i="7" s="1"/>
  <c r="L425" i="7"/>
  <c r="L481" i="7"/>
  <c r="L487" i="7"/>
  <c r="L516" i="7"/>
  <c r="E543" i="7"/>
  <c r="C544" i="7"/>
  <c r="L418" i="7"/>
  <c r="E432" i="7"/>
  <c r="E479" i="7"/>
  <c r="L391" i="7"/>
  <c r="M391" i="7"/>
  <c r="O391" i="7" s="1"/>
  <c r="C443" i="7"/>
  <c r="E442" i="7"/>
  <c r="L495" i="7"/>
  <c r="E340" i="7"/>
  <c r="L428" i="7"/>
  <c r="M504" i="7"/>
  <c r="O504" i="7" s="1"/>
  <c r="L504" i="7"/>
  <c r="L401" i="7"/>
  <c r="N422" i="7"/>
  <c r="O422" i="7" s="1"/>
  <c r="L422" i="7"/>
  <c r="L359" i="7"/>
  <c r="M359" i="7"/>
  <c r="O359" i="7" s="1"/>
  <c r="M447" i="7"/>
  <c r="O447" i="7" s="1"/>
  <c r="L447" i="7"/>
  <c r="O458" i="7"/>
  <c r="M484" i="7"/>
  <c r="O484" i="7" s="1"/>
  <c r="L484" i="7"/>
  <c r="M461" i="7"/>
  <c r="O461" i="7" s="1"/>
  <c r="E472" i="7"/>
  <c r="M509" i="7"/>
  <c r="O509" i="7" s="1"/>
  <c r="M514" i="7"/>
  <c r="O514" i="7" s="1"/>
  <c r="E471" i="7"/>
  <c r="L508" i="7"/>
  <c r="L561" i="7"/>
  <c r="M561" i="7"/>
  <c r="O561" i="7" s="1"/>
  <c r="L421" i="7"/>
  <c r="L501" i="7"/>
  <c r="E506" i="7"/>
  <c r="O573" i="7"/>
  <c r="L420" i="7"/>
  <c r="L430" i="7"/>
  <c r="E470" i="7"/>
  <c r="L483" i="7"/>
  <c r="L507" i="7"/>
  <c r="C530" i="7"/>
  <c r="L558" i="7"/>
  <c r="C571" i="7"/>
  <c r="E570" i="7"/>
  <c r="L632" i="7"/>
  <c r="E505" i="7"/>
  <c r="M594" i="7"/>
  <c r="O594" i="7" s="1"/>
  <c r="L594" i="7"/>
  <c r="E581" i="7"/>
  <c r="C582" i="7"/>
  <c r="E557" i="7"/>
  <c r="C558" i="7"/>
  <c r="O560" i="7"/>
  <c r="L560" i="7"/>
  <c r="M574" i="7"/>
  <c r="O574" i="7" s="1"/>
  <c r="L574" i="7"/>
  <c r="L592" i="7"/>
  <c r="N655" i="7"/>
  <c r="O655" i="7" s="1"/>
  <c r="L655" i="7"/>
  <c r="M544" i="7"/>
  <c r="O544" i="7" s="1"/>
  <c r="L544" i="7"/>
  <c r="E679" i="7"/>
  <c r="C680" i="7"/>
  <c r="E502" i="7"/>
  <c r="C551" i="7"/>
  <c r="L562" i="7"/>
  <c r="E653" i="7"/>
  <c r="C654" i="7"/>
  <c r="L446" i="7"/>
  <c r="L462" i="7"/>
  <c r="E473" i="7"/>
  <c r="L486" i="7"/>
  <c r="O523" i="7"/>
  <c r="C592" i="7"/>
  <c r="E591" i="7"/>
  <c r="L424" i="7"/>
  <c r="L445" i="7"/>
  <c r="E501" i="7"/>
  <c r="L523" i="7"/>
  <c r="E590" i="7"/>
  <c r="M571" i="7"/>
  <c r="O571" i="7" s="1"/>
  <c r="C620" i="7"/>
  <c r="E619" i="7"/>
  <c r="O631" i="7"/>
  <c r="N603" i="7"/>
  <c r="O603" i="7" s="1"/>
  <c r="L603" i="7"/>
  <c r="E632" i="7"/>
  <c r="L567" i="7"/>
  <c r="C634" i="7"/>
  <c r="E633" i="7"/>
  <c r="L656" i="7"/>
  <c r="C660" i="7"/>
  <c r="E659" i="7"/>
  <c r="C646" i="7"/>
  <c r="E645" i="7"/>
  <c r="L686" i="7"/>
  <c r="M686" i="7"/>
  <c r="O686" i="7" s="1"/>
  <c r="E631" i="7"/>
  <c r="M656" i="7"/>
  <c r="O656" i="7" s="1"/>
  <c r="M600" i="7"/>
  <c r="O600" i="7" s="1"/>
  <c r="M694" i="7"/>
  <c r="O694" i="7" s="1"/>
  <c r="E759" i="7"/>
  <c r="C760" i="7"/>
  <c r="C705" i="7"/>
  <c r="E704" i="7"/>
  <c r="E738" i="7"/>
  <c r="C755" i="7"/>
  <c r="E754" i="7"/>
  <c r="E717" i="7"/>
  <c r="C718" i="7"/>
  <c r="E736" i="7"/>
  <c r="C693" i="7"/>
  <c r="L705" i="7"/>
  <c r="N705" i="7"/>
  <c r="O705" i="7" s="1"/>
  <c r="L579" i="7"/>
  <c r="L675" i="7"/>
  <c r="E644" i="7"/>
  <c r="N707" i="7"/>
  <c r="O707" i="7" s="1"/>
  <c r="O693" i="7"/>
  <c r="E730" i="7"/>
  <c r="E732" i="7"/>
  <c r="C733" i="7"/>
  <c r="L693" i="7"/>
  <c r="E728" i="7"/>
  <c r="E737" i="7"/>
  <c r="O632" i="7"/>
  <c r="O663" i="7"/>
  <c r="N704" i="7"/>
  <c r="O704" i="7" s="1"/>
  <c r="L604" i="7"/>
  <c r="L631" i="7"/>
  <c r="L663" i="7"/>
  <c r="E729" i="7"/>
  <c r="M622" i="7"/>
  <c r="O622" i="7" s="1"/>
  <c r="O650" i="7"/>
  <c r="E745" i="7"/>
  <c r="C746" i="7"/>
  <c r="E712" i="7"/>
  <c r="C713" i="7"/>
  <c r="E713" i="7" s="1"/>
  <c r="E751" i="7"/>
  <c r="C752" i="7"/>
  <c r="E752" i="7" s="1"/>
  <c r="E770" i="7"/>
  <c r="C794" i="7"/>
  <c r="E793" i="7"/>
  <c r="E724" i="7"/>
  <c r="C725" i="7"/>
  <c r="E783" i="7"/>
  <c r="C784" i="7"/>
  <c r="C841" i="7"/>
  <c r="E840" i="7"/>
  <c r="E766" i="7"/>
  <c r="C767" i="7"/>
  <c r="C800" i="7"/>
  <c r="E799" i="7"/>
  <c r="N894" i="7"/>
  <c r="L894" i="7"/>
  <c r="C775" i="7"/>
  <c r="E774" i="7"/>
  <c r="C825" i="7"/>
  <c r="E824" i="7"/>
  <c r="M858" i="7"/>
  <c r="O935" i="7"/>
  <c r="N858" i="7"/>
  <c r="O890" i="7"/>
  <c r="L935" i="7"/>
  <c r="C980" i="7"/>
  <c r="E979" i="7"/>
  <c r="E781" i="7"/>
  <c r="N897" i="7"/>
  <c r="O897" i="7" s="1"/>
  <c r="L897" i="7"/>
  <c r="E920" i="7"/>
  <c r="C921" i="7"/>
  <c r="E831" i="7"/>
  <c r="C832" i="7"/>
  <c r="E863" i="7"/>
  <c r="E926" i="7"/>
  <c r="C927" i="7"/>
  <c r="N852" i="7"/>
  <c r="O852" i="7" s="1"/>
  <c r="L852" i="7"/>
  <c r="E835" i="7"/>
  <c r="C836" i="7"/>
  <c r="E836" i="7" s="1"/>
  <c r="E893" i="7"/>
  <c r="C894" i="7"/>
  <c r="C820" i="7"/>
  <c r="M917" i="7"/>
  <c r="O917" i="7" s="1"/>
  <c r="L917" i="7"/>
  <c r="M859" i="7"/>
  <c r="L859" i="7"/>
  <c r="O901" i="7"/>
  <c r="E911" i="7"/>
  <c r="C912" i="7"/>
  <c r="L901" i="7"/>
  <c r="M850" i="7"/>
  <c r="L850" i="7"/>
  <c r="M927" i="7"/>
  <c r="O927" i="7" s="1"/>
  <c r="L927" i="7"/>
  <c r="E797" i="7"/>
  <c r="C947" i="7"/>
  <c r="E946" i="7"/>
  <c r="E858" i="7"/>
  <c r="C859" i="7"/>
  <c r="L888" i="7"/>
  <c r="E886" i="7"/>
  <c r="C887" i="7"/>
  <c r="L928" i="7"/>
  <c r="L900" i="7"/>
  <c r="C941" i="7"/>
  <c r="I21" i="8"/>
  <c r="N898" i="7"/>
  <c r="O898" i="7" s="1"/>
  <c r="L898" i="7"/>
  <c r="E900" i="7"/>
  <c r="C901" i="7"/>
  <c r="E956" i="7"/>
  <c r="C957" i="7"/>
  <c r="E957" i="7" s="1"/>
  <c r="C985" i="7"/>
  <c r="E975" i="7"/>
  <c r="C976" i="7"/>
  <c r="E976" i="7" s="1"/>
  <c r="D1004" i="7"/>
  <c r="E1004" i="7" s="1"/>
  <c r="E978" i="7"/>
  <c r="L910" i="7"/>
  <c r="E993" i="7"/>
  <c r="K111" i="12"/>
  <c r="I110" i="12"/>
  <c r="G728" i="9" s="1"/>
  <c r="J28" i="12"/>
  <c r="H662" i="9" s="1"/>
  <c r="I42" i="12"/>
  <c r="G346" i="9" s="1"/>
  <c r="J101" i="12"/>
  <c r="K103" i="12"/>
  <c r="K159" i="12"/>
  <c r="K186" i="12"/>
  <c r="I185" i="12"/>
  <c r="I290" i="12"/>
  <c r="G130" i="9" s="1"/>
  <c r="J10" i="12"/>
  <c r="H522" i="9" s="1"/>
  <c r="J175" i="12"/>
  <c r="K246" i="12"/>
  <c r="I245" i="12"/>
  <c r="I52" i="12"/>
  <c r="I238" i="12"/>
  <c r="U10" i="10"/>
  <c r="U22" i="10" s="1"/>
  <c r="K14" i="12"/>
  <c r="K30" i="12"/>
  <c r="I28" i="12"/>
  <c r="G662" i="9" s="1"/>
  <c r="I140" i="12"/>
  <c r="G496" i="9" s="1"/>
  <c r="K142" i="12"/>
  <c r="K177" i="12"/>
  <c r="J320" i="12"/>
  <c r="H190" i="9" s="1"/>
  <c r="K321" i="12"/>
  <c r="J140" i="12"/>
  <c r="H496" i="9" s="1"/>
  <c r="K89" i="12"/>
  <c r="I272" i="12"/>
  <c r="G170" i="9" s="1"/>
  <c r="K273" i="12"/>
  <c r="K317" i="12"/>
  <c r="I315" i="12"/>
  <c r="G266" i="9" s="1"/>
  <c r="K16" i="12"/>
  <c r="I15" i="12"/>
  <c r="G298" i="9" s="1"/>
  <c r="K31" i="12"/>
  <c r="I134" i="12"/>
  <c r="I265" i="12"/>
  <c r="G56" i="9" s="1"/>
  <c r="K266" i="12"/>
  <c r="I90" i="12"/>
  <c r="K90" i="12" s="1"/>
  <c r="K92" i="12"/>
  <c r="I78" i="12"/>
  <c r="K79" i="12"/>
  <c r="K135" i="12"/>
  <c r="J146" i="12"/>
  <c r="H543" i="9" s="1"/>
  <c r="I175" i="12"/>
  <c r="K127" i="12"/>
  <c r="J126" i="12"/>
  <c r="I443" i="12"/>
  <c r="G754" i="9" s="1"/>
  <c r="K444" i="12"/>
  <c r="K160" i="12"/>
  <c r="K792" i="12"/>
  <c r="I791" i="12"/>
  <c r="G396" i="9" s="1"/>
  <c r="K322" i="12"/>
  <c r="I691" i="12"/>
  <c r="G428" i="9" s="1"/>
  <c r="K692" i="12"/>
  <c r="J57" i="12"/>
  <c r="H287" i="9" s="1"/>
  <c r="K108" i="12"/>
  <c r="I191" i="12"/>
  <c r="G690" i="9" s="1"/>
  <c r="I259" i="12"/>
  <c r="J191" i="12"/>
  <c r="H690" i="9" s="1"/>
  <c r="K255" i="12"/>
  <c r="K270" i="12"/>
  <c r="J315" i="12"/>
  <c r="H266" i="9" s="1"/>
  <c r="K404" i="12"/>
  <c r="K167" i="12"/>
  <c r="I166" i="12"/>
  <c r="G305" i="9" s="1"/>
  <c r="I278" i="12"/>
  <c r="K279" i="12"/>
  <c r="K297" i="12"/>
  <c r="I296" i="12"/>
  <c r="G607" i="9" s="1"/>
  <c r="K212" i="12"/>
  <c r="I209" i="12"/>
  <c r="G189" i="9" s="1"/>
  <c r="J296" i="12"/>
  <c r="H607" i="9" s="1"/>
  <c r="K329" i="12"/>
  <c r="K524" i="12"/>
  <c r="I523" i="12"/>
  <c r="G224" i="9" s="1"/>
  <c r="I93" i="12"/>
  <c r="I252" i="12"/>
  <c r="J306" i="12"/>
  <c r="H488" i="9" s="1"/>
  <c r="I310" i="12"/>
  <c r="I513" i="12"/>
  <c r="G403" i="9" s="1"/>
  <c r="K514" i="12"/>
  <c r="J523" i="12"/>
  <c r="H224" i="9" s="1"/>
  <c r="I67" i="12"/>
  <c r="G594" i="9" s="1"/>
  <c r="I72" i="12"/>
  <c r="J93" i="12"/>
  <c r="J259" i="12"/>
  <c r="J432" i="12"/>
  <c r="K433" i="12"/>
  <c r="J513" i="12"/>
  <c r="H403" i="9" s="1"/>
  <c r="K518" i="12"/>
  <c r="I607" i="12"/>
  <c r="K608" i="12"/>
  <c r="K917" i="12"/>
  <c r="I915" i="12"/>
  <c r="G421" i="9" s="1"/>
  <c r="K35" i="12"/>
  <c r="K68" i="12"/>
  <c r="K181" i="12"/>
  <c r="K225" i="12"/>
  <c r="I223" i="12"/>
  <c r="G803" i="9" s="1"/>
  <c r="K392" i="12"/>
  <c r="K401" i="12"/>
  <c r="J399" i="12"/>
  <c r="H43" i="9" s="1"/>
  <c r="J420" i="12"/>
  <c r="H370" i="9" s="1"/>
  <c r="K421" i="12"/>
  <c r="I146" i="12"/>
  <c r="K154" i="12"/>
  <c r="I215" i="12"/>
  <c r="G621" i="9" s="1"/>
  <c r="K221" i="12"/>
  <c r="I219" i="12"/>
  <c r="G281" i="9" s="1"/>
  <c r="K298" i="12"/>
  <c r="I369" i="12"/>
  <c r="G490" i="9" s="1"/>
  <c r="K330" i="12"/>
  <c r="K348" i="12"/>
  <c r="I101" i="12"/>
  <c r="K102" i="12"/>
  <c r="K173" i="12"/>
  <c r="I325" i="12"/>
  <c r="G676" i="9" s="1"/>
  <c r="K194" i="12"/>
  <c r="K226" i="12"/>
  <c r="I284" i="12"/>
  <c r="G262" i="9" s="1"/>
  <c r="K285" i="12"/>
  <c r="K455" i="12"/>
  <c r="K479" i="12"/>
  <c r="J581" i="12"/>
  <c r="K583" i="12"/>
  <c r="J52" i="12"/>
  <c r="K40" i="12"/>
  <c r="K61" i="12"/>
  <c r="K143" i="12"/>
  <c r="K254" i="12"/>
  <c r="K312" i="12"/>
  <c r="J1306" i="12"/>
  <c r="H706" i="9" s="1"/>
  <c r="K1307" i="12"/>
  <c r="J534" i="12"/>
  <c r="H807" i="9" s="1"/>
  <c r="K536" i="12"/>
  <c r="K877" i="12"/>
  <c r="I875" i="12"/>
  <c r="J1173" i="12"/>
  <c r="H165" i="9" s="1"/>
  <c r="K449" i="12"/>
  <c r="I597" i="12"/>
  <c r="G671" i="9" s="1"/>
  <c r="K598" i="12"/>
  <c r="I704" i="12"/>
  <c r="G499" i="9" s="1"/>
  <c r="J764" i="12"/>
  <c r="K817" i="12"/>
  <c r="K914" i="12"/>
  <c r="J913" i="12"/>
  <c r="H32" i="9" s="1"/>
  <c r="I975" i="12"/>
  <c r="J1047" i="12"/>
  <c r="K1158" i="12"/>
  <c r="J1155" i="12"/>
  <c r="K1279" i="12"/>
  <c r="I1278" i="12"/>
  <c r="K1291" i="12"/>
  <c r="J1290" i="12"/>
  <c r="H178" i="9" s="1"/>
  <c r="K582" i="12"/>
  <c r="I581" i="12"/>
  <c r="K629" i="12"/>
  <c r="K781" i="12"/>
  <c r="J800" i="12"/>
  <c r="H223" i="9" s="1"/>
  <c r="K850" i="12"/>
  <c r="K856" i="12"/>
  <c r="K884" i="12"/>
  <c r="J521" i="12"/>
  <c r="H506" i="9" s="1"/>
  <c r="K522" i="12"/>
  <c r="J555" i="12"/>
  <c r="K570" i="12"/>
  <c r="I569" i="12"/>
  <c r="I665" i="12"/>
  <c r="G783" i="9" s="1"/>
  <c r="K666" i="12"/>
  <c r="I730" i="12"/>
  <c r="G182" i="9" s="1"/>
  <c r="I769" i="12"/>
  <c r="G175" i="9" s="1"/>
  <c r="K1000" i="12"/>
  <c r="I999" i="12"/>
  <c r="G797" i="9" s="1"/>
  <c r="I1013" i="12"/>
  <c r="K46" i="12"/>
  <c r="K50" i="12"/>
  <c r="K355" i="12"/>
  <c r="K387" i="12"/>
  <c r="K486" i="12"/>
  <c r="K517" i="12"/>
  <c r="K672" i="12"/>
  <c r="J760" i="12"/>
  <c r="H101" i="9" s="1"/>
  <c r="K834" i="12"/>
  <c r="J830" i="12"/>
  <c r="J1125" i="12"/>
  <c r="H51" i="9" s="1"/>
  <c r="J1210" i="12"/>
  <c r="K1211" i="12"/>
  <c r="K474" i="12"/>
  <c r="K731" i="12"/>
  <c r="K1028" i="12"/>
  <c r="J1026" i="12"/>
  <c r="K881" i="7" s="1"/>
  <c r="N881" i="7" s="1"/>
  <c r="K1349" i="12"/>
  <c r="J1346" i="12"/>
  <c r="H544" i="9" s="1"/>
  <c r="K648" i="12"/>
  <c r="I647" i="12"/>
  <c r="G45" i="9" s="1"/>
  <c r="K777" i="12"/>
  <c r="J845" i="12"/>
  <c r="H44" i="9" s="1"/>
  <c r="K846" i="12"/>
  <c r="J881" i="12"/>
  <c r="H272" i="9" s="1"/>
  <c r="J991" i="12"/>
  <c r="H413" i="9" s="1"/>
  <c r="K994" i="12"/>
  <c r="K1265" i="12"/>
  <c r="I1264" i="12"/>
  <c r="G406" i="9" s="1"/>
  <c r="K755" i="12"/>
  <c r="K1170" i="12"/>
  <c r="J1168" i="12"/>
  <c r="H468" i="9" s="1"/>
  <c r="K701" i="12"/>
  <c r="I699" i="12"/>
  <c r="G751" i="9" s="1"/>
  <c r="K841" i="12"/>
  <c r="I840" i="12"/>
  <c r="G647" i="9" s="1"/>
  <c r="J909" i="12"/>
  <c r="K910" i="12"/>
  <c r="K1029" i="12"/>
  <c r="I1026" i="12"/>
  <c r="J881" i="7" s="1"/>
  <c r="M881" i="7" s="1"/>
  <c r="J1071" i="12"/>
  <c r="H711" i="9" s="1"/>
  <c r="K1072" i="12"/>
  <c r="I825" i="12"/>
  <c r="J865" i="12"/>
  <c r="K867" i="12"/>
  <c r="I933" i="12"/>
  <c r="G99" i="9" s="1"/>
  <c r="K934" i="12"/>
  <c r="J1067" i="12"/>
  <c r="I622" i="12"/>
  <c r="I830" i="12"/>
  <c r="K831" i="12"/>
  <c r="K943" i="12"/>
  <c r="I939" i="12"/>
  <c r="G82" i="9" s="1"/>
  <c r="J683" i="12"/>
  <c r="K685" i="12"/>
  <c r="J900" i="12"/>
  <c r="H571" i="9" s="1"/>
  <c r="K901" i="12"/>
  <c r="I1062" i="12"/>
  <c r="G326" i="9" s="1"/>
  <c r="J1131" i="12"/>
  <c r="I373" i="12"/>
  <c r="J443" i="12"/>
  <c r="H754" i="9" s="1"/>
  <c r="J460" i="12"/>
  <c r="H255" i="9" s="1"/>
  <c r="J502" i="12"/>
  <c r="H733" i="9" s="1"/>
  <c r="K503" i="12"/>
  <c r="K618" i="12"/>
  <c r="I617" i="12"/>
  <c r="K1283" i="12"/>
  <c r="I1280" i="12"/>
  <c r="J15" i="12"/>
  <c r="H298" i="9" s="1"/>
  <c r="K104" i="12"/>
  <c r="K205" i="12"/>
  <c r="J231" i="12"/>
  <c r="H97" i="9" s="1"/>
  <c r="K243" i="12"/>
  <c r="I409" i="12"/>
  <c r="G459" i="9" s="1"/>
  <c r="K590" i="12"/>
  <c r="J617" i="12"/>
  <c r="K656" i="12"/>
  <c r="I655" i="12"/>
  <c r="G227" i="9" s="1"/>
  <c r="K697" i="12"/>
  <c r="I695" i="12"/>
  <c r="G239" i="9" s="1"/>
  <c r="K763" i="12"/>
  <c r="J923" i="12"/>
  <c r="H692" i="9" s="1"/>
  <c r="K973" i="12"/>
  <c r="K997" i="12"/>
  <c r="I1117" i="12"/>
  <c r="G149" i="9" s="1"/>
  <c r="J995" i="12"/>
  <c r="H804" i="9" s="1"/>
  <c r="K723" i="12"/>
  <c r="J722" i="12"/>
  <c r="I815" i="12"/>
  <c r="K816" i="12"/>
  <c r="J890" i="12"/>
  <c r="K892" i="12"/>
  <c r="K1046" i="12"/>
  <c r="I1045" i="12"/>
  <c r="K1201" i="12"/>
  <c r="I1198" i="12"/>
  <c r="K728" i="12"/>
  <c r="K785" i="12"/>
  <c r="I800" i="12"/>
  <c r="G223" i="9" s="1"/>
  <c r="I810" i="12"/>
  <c r="J815" i="12"/>
  <c r="K74" i="12"/>
  <c r="K183" i="12"/>
  <c r="I363" i="12"/>
  <c r="G400" i="9" s="1"/>
  <c r="K531" i="12"/>
  <c r="J627" i="12"/>
  <c r="K822" i="12"/>
  <c r="I820" i="12"/>
  <c r="G761" i="9" s="1"/>
  <c r="K926" i="12"/>
  <c r="I961" i="12"/>
  <c r="G270" i="9" s="1"/>
  <c r="K964" i="12"/>
  <c r="K1010" i="12"/>
  <c r="K1056" i="12"/>
  <c r="J1121" i="12"/>
  <c r="H183" i="9" s="1"/>
  <c r="K1123" i="12"/>
  <c r="K1285" i="12"/>
  <c r="J1284" i="12"/>
  <c r="K461" i="12"/>
  <c r="J481" i="12"/>
  <c r="K550" i="12"/>
  <c r="K600" i="12"/>
  <c r="I659" i="12"/>
  <c r="K766" i="12"/>
  <c r="K775" i="12"/>
  <c r="K858" i="12"/>
  <c r="K1015" i="12"/>
  <c r="K1036" i="12"/>
  <c r="I1151" i="12"/>
  <c r="G16" i="9" s="1"/>
  <c r="K1152" i="12"/>
  <c r="K1157" i="12"/>
  <c r="I1155" i="12"/>
  <c r="I585" i="12"/>
  <c r="G576" i="9" s="1"/>
  <c r="J820" i="12"/>
  <c r="H761" i="9" s="1"/>
  <c r="K821" i="12"/>
  <c r="J947" i="12"/>
  <c r="I947" i="12"/>
  <c r="J1007" i="12"/>
  <c r="I1168" i="12"/>
  <c r="G468" i="9" s="1"/>
  <c r="J1338" i="12"/>
  <c r="H302" i="9" s="1"/>
  <c r="K410" i="12"/>
  <c r="K450" i="12"/>
  <c r="K571" i="12"/>
  <c r="I612" i="12"/>
  <c r="J674" i="12"/>
  <c r="H435" i="9" s="1"/>
  <c r="K700" i="12"/>
  <c r="K756" i="12"/>
  <c r="I776" i="12"/>
  <c r="G382" i="9" s="1"/>
  <c r="I780" i="12"/>
  <c r="G640" i="9" s="1"/>
  <c r="I845" i="12"/>
  <c r="G44" i="9" s="1"/>
  <c r="K896" i="12"/>
  <c r="I895" i="12"/>
  <c r="J905" i="12"/>
  <c r="H520" i="9" s="1"/>
  <c r="J971" i="12"/>
  <c r="K972" i="12"/>
  <c r="K998" i="12"/>
  <c r="K1009" i="12"/>
  <c r="J1252" i="12"/>
  <c r="H52" i="9" s="1"/>
  <c r="K1253" i="12"/>
  <c r="K1262" i="12"/>
  <c r="K1326" i="12"/>
  <c r="J1322" i="12"/>
  <c r="H137" i="9" s="1"/>
  <c r="J1410" i="12"/>
  <c r="H440" i="9" s="1"/>
  <c r="K1411" i="12"/>
  <c r="K1122" i="12"/>
  <c r="I1121" i="12"/>
  <c r="G183" i="9" s="1"/>
  <c r="K418" i="12"/>
  <c r="K543" i="12"/>
  <c r="I577" i="12"/>
  <c r="J607" i="12"/>
  <c r="K613" i="12"/>
  <c r="J679" i="12"/>
  <c r="H722" i="9" s="1"/>
  <c r="I1047" i="12"/>
  <c r="K1073" i="12"/>
  <c r="K1095" i="12"/>
  <c r="K1099" i="12"/>
  <c r="K1148" i="12"/>
  <c r="K1188" i="12"/>
  <c r="K1241" i="12"/>
  <c r="I1239" i="12"/>
  <c r="G70" i="9" s="1"/>
  <c r="J1258" i="12"/>
  <c r="H450" i="9" s="1"/>
  <c r="K1259" i="12"/>
  <c r="K1297" i="12"/>
  <c r="I1296" i="12"/>
  <c r="G318" i="9" s="1"/>
  <c r="K1268" i="12"/>
  <c r="J1264" i="12"/>
  <c r="H406" i="9" s="1"/>
  <c r="J1382" i="12"/>
  <c r="H737" i="9" s="1"/>
  <c r="K1385" i="12"/>
  <c r="I718" i="12"/>
  <c r="K868" i="12"/>
  <c r="K902" i="12"/>
  <c r="K952" i="12"/>
  <c r="K1132" i="12"/>
  <c r="I1131" i="12"/>
  <c r="K1180" i="12"/>
  <c r="J1235" i="12"/>
  <c r="K1236" i="12"/>
  <c r="K344" i="12"/>
  <c r="K505" i="12"/>
  <c r="J562" i="12"/>
  <c r="H147" i="9" s="1"/>
  <c r="I631" i="12"/>
  <c r="J655" i="12"/>
  <c r="H227" i="9" s="1"/>
  <c r="K693" i="12"/>
  <c r="K719" i="12"/>
  <c r="I754" i="12"/>
  <c r="G311" i="9" s="1"/>
  <c r="I869" i="12"/>
  <c r="I960" i="12"/>
  <c r="J1111" i="12"/>
  <c r="I1249" i="12"/>
  <c r="K1250" i="12"/>
  <c r="J1611" i="12"/>
  <c r="H752" i="9" s="1"/>
  <c r="K1612" i="12"/>
  <c r="I432" i="12"/>
  <c r="K484" i="12"/>
  <c r="K529" i="12"/>
  <c r="K814" i="12"/>
  <c r="K851" i="12"/>
  <c r="I890" i="12"/>
  <c r="I415" i="12"/>
  <c r="G257" i="9" s="1"/>
  <c r="K1237" i="12"/>
  <c r="I1235" i="12"/>
  <c r="J415" i="12"/>
  <c r="H257" i="9" s="1"/>
  <c r="K434" i="12"/>
  <c r="K560" i="12"/>
  <c r="K623" i="12"/>
  <c r="I651" i="12"/>
  <c r="G536" i="9" s="1"/>
  <c r="K773" i="12"/>
  <c r="K941" i="12"/>
  <c r="K1150" i="12"/>
  <c r="J1511" i="12"/>
  <c r="K1513" i="12"/>
  <c r="K416" i="12"/>
  <c r="I460" i="12"/>
  <c r="G255" i="9" s="1"/>
  <c r="I795" i="12"/>
  <c r="I919" i="12"/>
  <c r="G717" i="9" s="1"/>
  <c r="I1053" i="12"/>
  <c r="J1106" i="12"/>
  <c r="I1210" i="12"/>
  <c r="J78" i="12"/>
  <c r="K287" i="12"/>
  <c r="K765" i="12"/>
  <c r="I774" i="12"/>
  <c r="J795" i="12"/>
  <c r="K801" i="12"/>
  <c r="I805" i="12"/>
  <c r="G64" i="9" s="1"/>
  <c r="I865" i="12"/>
  <c r="K937" i="12"/>
  <c r="K976" i="12"/>
  <c r="I1007" i="12"/>
  <c r="K1018" i="12"/>
  <c r="J1185" i="12"/>
  <c r="J1198" i="12"/>
  <c r="K1292" i="12"/>
  <c r="K575" i="12"/>
  <c r="I627" i="12"/>
  <c r="I991" i="12"/>
  <c r="G413" i="9" s="1"/>
  <c r="K1054" i="12"/>
  <c r="I1258" i="12"/>
  <c r="G450" i="9" s="1"/>
  <c r="I502" i="12"/>
  <c r="G733" i="9" s="1"/>
  <c r="K628" i="12"/>
  <c r="K670" i="12"/>
  <c r="I669" i="12"/>
  <c r="I679" i="12"/>
  <c r="G722" i="9" s="1"/>
  <c r="K1261" i="12"/>
  <c r="K1277" i="12"/>
  <c r="K1315" i="12"/>
  <c r="I1314" i="12"/>
  <c r="G138" i="9" s="1"/>
  <c r="I1003" i="12"/>
  <c r="G795" i="9" s="1"/>
  <c r="K1060" i="12"/>
  <c r="J1367" i="12"/>
  <c r="K1986" i="12"/>
  <c r="I1985" i="12"/>
  <c r="G159" i="9" s="1"/>
  <c r="I1511" i="12"/>
  <c r="K1514" i="12"/>
  <c r="K1323" i="12"/>
  <c r="I1322" i="12"/>
  <c r="G137" i="9" s="1"/>
  <c r="K1366" i="12"/>
  <c r="J1226" i="12"/>
  <c r="K1227" i="12"/>
  <c r="K1569" i="12"/>
  <c r="I1567" i="12"/>
  <c r="G67" i="9" s="1"/>
  <c r="J1446" i="12"/>
  <c r="I1563" i="12"/>
  <c r="K1564" i="12"/>
  <c r="J1599" i="12"/>
  <c r="H514" i="9" s="1"/>
  <c r="K1601" i="12"/>
  <c r="I835" i="12"/>
  <c r="J951" i="12"/>
  <c r="J949" i="12" s="1"/>
  <c r="I951" i="12"/>
  <c r="K1509" i="12"/>
  <c r="K1001" i="12"/>
  <c r="K1037" i="12"/>
  <c r="K1058" i="12"/>
  <c r="K1174" i="12"/>
  <c r="I1173" i="12"/>
  <c r="G165" i="9" s="1"/>
  <c r="I1284" i="12"/>
  <c r="K1589" i="12"/>
  <c r="I1587" i="12"/>
  <c r="G813" i="9" s="1"/>
  <c r="J1595" i="12"/>
  <c r="K1596" i="12"/>
  <c r="I1802" i="12"/>
  <c r="I1020" i="12"/>
  <c r="G146" i="9" s="1"/>
  <c r="K1021" i="12"/>
  <c r="K1100" i="12"/>
  <c r="I1185" i="12"/>
  <c r="G686" i="9" s="1"/>
  <c r="J1430" i="12"/>
  <c r="H581" i="9" s="1"/>
  <c r="I1708" i="12"/>
  <c r="G561" i="9" s="1"/>
  <c r="K1711" i="12"/>
  <c r="J209" i="12"/>
  <c r="H189" i="9" s="1"/>
  <c r="I481" i="12"/>
  <c r="K871" i="12"/>
  <c r="K963" i="12"/>
  <c r="K1025" i="12"/>
  <c r="I1105" i="12"/>
  <c r="K1186" i="12"/>
  <c r="J1661" i="12"/>
  <c r="H792" i="9" s="1"/>
  <c r="I1071" i="12"/>
  <c r="G711" i="9" s="1"/>
  <c r="I1330" i="12"/>
  <c r="G702" i="9" s="1"/>
  <c r="K1331" i="12"/>
  <c r="I1252" i="12"/>
  <c r="G52" i="9" s="1"/>
  <c r="J1280" i="12"/>
  <c r="I1301" i="12"/>
  <c r="J1353" i="12"/>
  <c r="H92" i="9" s="1"/>
  <c r="J1469" i="12"/>
  <c r="K1483" i="12"/>
  <c r="I1580" i="12"/>
  <c r="G1581" i="12"/>
  <c r="I1607" i="12"/>
  <c r="G781" i="9" s="1"/>
  <c r="I1611" i="12"/>
  <c r="G752" i="9" s="1"/>
  <c r="K1720" i="12"/>
  <c r="K1745" i="12"/>
  <c r="J1744" i="12"/>
  <c r="H212" i="9" s="1"/>
  <c r="J1958" i="12"/>
  <c r="K1965" i="12"/>
  <c r="I1367" i="12"/>
  <c r="K1376" i="12"/>
  <c r="K1442" i="12"/>
  <c r="K1699" i="12"/>
  <c r="I1756" i="12"/>
  <c r="G445" i="9" s="1"/>
  <c r="K1767" i="12"/>
  <c r="K1403" i="12"/>
  <c r="J1488" i="12"/>
  <c r="H669" i="9" s="1"/>
  <c r="I1503" i="12"/>
  <c r="J1515" i="12"/>
  <c r="H453" i="9" s="1"/>
  <c r="I1559" i="12"/>
  <c r="G612" i="9" s="1"/>
  <c r="I1603" i="12"/>
  <c r="G237" i="9" s="1"/>
  <c r="J1692" i="12"/>
  <c r="H203" i="9" s="1"/>
  <c r="K1694" i="12"/>
  <c r="I1736" i="12"/>
  <c r="K1636" i="12"/>
  <c r="I1635" i="12"/>
  <c r="G351" i="9" s="1"/>
  <c r="K1689" i="12"/>
  <c r="K1701" i="12"/>
  <c r="I1700" i="12"/>
  <c r="G740" i="9" s="1"/>
  <c r="K1962" i="12"/>
  <c r="I1958" i="12"/>
  <c r="I1230" i="12" s="1"/>
  <c r="K1408" i="12"/>
  <c r="J1422" i="12"/>
  <c r="H62" i="9" s="1"/>
  <c r="K1431" i="12"/>
  <c r="I1499" i="12"/>
  <c r="K1504" i="12"/>
  <c r="J1543" i="12"/>
  <c r="H34" i="9" s="1"/>
  <c r="J1635" i="12"/>
  <c r="H351" i="9" s="1"/>
  <c r="J1688" i="12"/>
  <c r="H177" i="9" s="1"/>
  <c r="I1731" i="12"/>
  <c r="K1774" i="12"/>
  <c r="K1443" i="12"/>
  <c r="K1532" i="12"/>
  <c r="I1531" i="12"/>
  <c r="G245" i="9" s="1"/>
  <c r="K1669" i="12"/>
  <c r="I1668" i="12"/>
  <c r="G399" i="9" s="1"/>
  <c r="K1706" i="12"/>
  <c r="K1451" i="12"/>
  <c r="K1795" i="12"/>
  <c r="K1913" i="12"/>
  <c r="J1464" i="12"/>
  <c r="J1462" i="12" s="1"/>
  <c r="I1464" i="12"/>
  <c r="K591" i="12"/>
  <c r="J635" i="12"/>
  <c r="H71" i="9" s="1"/>
  <c r="I927" i="12"/>
  <c r="J1117" i="12"/>
  <c r="H149" i="9" s="1"/>
  <c r="J1481" i="12"/>
  <c r="H525" i="9" s="1"/>
  <c r="K1538" i="12"/>
  <c r="K1637" i="12"/>
  <c r="K1664" i="12"/>
  <c r="J1700" i="12"/>
  <c r="H740" i="9" s="1"/>
  <c r="J1717" i="12"/>
  <c r="K1775" i="12"/>
  <c r="I1773" i="12"/>
  <c r="G437" i="9" s="1"/>
  <c r="K2060" i="12"/>
  <c r="I2058" i="12"/>
  <c r="K1475" i="12"/>
  <c r="K1549" i="12"/>
  <c r="I1571" i="12"/>
  <c r="G582" i="9" s="1"/>
  <c r="K1679" i="12"/>
  <c r="K1685" i="12"/>
  <c r="K1675" i="12"/>
  <c r="I1674" i="12"/>
  <c r="J1684" i="12"/>
  <c r="H148" i="9" s="1"/>
  <c r="J1314" i="12"/>
  <c r="H138" i="9" s="1"/>
  <c r="J1400" i="12"/>
  <c r="J1414" i="12"/>
  <c r="K1452" i="12"/>
  <c r="I1477" i="12"/>
  <c r="G482" i="9" s="1"/>
  <c r="I1527" i="12"/>
  <c r="G345" i="9" s="1"/>
  <c r="I1555" i="12"/>
  <c r="G386" i="9" s="1"/>
  <c r="K1572" i="12"/>
  <c r="K1632" i="12"/>
  <c r="J1674" i="12"/>
  <c r="K1401" i="12"/>
  <c r="I1406" i="12"/>
  <c r="G233" i="9" s="1"/>
  <c r="K1428" i="12"/>
  <c r="I1599" i="12"/>
  <c r="G514" i="9" s="1"/>
  <c r="J1615" i="12"/>
  <c r="H388" i="9" s="1"/>
  <c r="I1639" i="12"/>
  <c r="K1644" i="12"/>
  <c r="I1713" i="12"/>
  <c r="K1714" i="12"/>
  <c r="I1838" i="12"/>
  <c r="K1838" i="12" s="1"/>
  <c r="K1719" i="12"/>
  <c r="I1717" i="12"/>
  <c r="K1492" i="12"/>
  <c r="K1709" i="12"/>
  <c r="K1733" i="12"/>
  <c r="K1441" i="12"/>
  <c r="J1539" i="12"/>
  <c r="H715" i="9" s="1"/>
  <c r="K1540" i="12"/>
  <c r="K1628" i="12"/>
  <c r="I1627" i="12"/>
  <c r="G611" i="9" s="1"/>
  <c r="I971" i="12"/>
  <c r="K1086" i="12"/>
  <c r="K1139" i="12"/>
  <c r="K1161" i="12"/>
  <c r="K1389" i="12"/>
  <c r="I1623" i="12"/>
  <c r="K1681" i="12"/>
  <c r="K1749" i="12"/>
  <c r="J1765" i="12"/>
  <c r="H217" i="9" s="1"/>
  <c r="K1787" i="12"/>
  <c r="K1397" i="12"/>
  <c r="K1460" i="12"/>
  <c r="K1485" i="12"/>
  <c r="I1595" i="12"/>
  <c r="K1616" i="12"/>
  <c r="I1704" i="12"/>
  <c r="K1723" i="12"/>
  <c r="I1765" i="12"/>
  <c r="G217" i="9" s="1"/>
  <c r="K1895" i="12"/>
  <c r="K1766" i="12"/>
  <c r="K1798" i="12"/>
  <c r="K1822" i="12"/>
  <c r="K1888" i="12"/>
  <c r="K1907" i="12"/>
  <c r="K1728" i="12"/>
  <c r="K1737" i="12"/>
  <c r="I1781" i="12"/>
  <c r="G700" i="9" s="1"/>
  <c r="K1997" i="12"/>
  <c r="I1996" i="12"/>
  <c r="G55" i="9" s="1"/>
  <c r="K2050" i="12"/>
  <c r="I2049" i="12"/>
  <c r="G646" i="9" s="1"/>
  <c r="I1946" i="12"/>
  <c r="K1947" i="12"/>
  <c r="K1987" i="12"/>
  <c r="I2030" i="12"/>
  <c r="G767" i="9" s="1"/>
  <c r="I1721" i="12"/>
  <c r="G108" i="9" s="1"/>
  <c r="I1777" i="12"/>
  <c r="K1778" i="12"/>
  <c r="J1832" i="12"/>
  <c r="K1931" i="12"/>
  <c r="I2000" i="12"/>
  <c r="J2030" i="12"/>
  <c r="H767" i="9" s="1"/>
  <c r="J1781" i="12"/>
  <c r="H700" i="9" s="1"/>
  <c r="K1791" i="12"/>
  <c r="K1835" i="12"/>
  <c r="K1753" i="12"/>
  <c r="I1752" i="12"/>
  <c r="G100" i="9" s="1"/>
  <c r="K2003" i="12"/>
  <c r="J1696" i="12"/>
  <c r="I1725" i="12"/>
  <c r="G564" i="9" s="1"/>
  <c r="K1748" i="12"/>
  <c r="J1752" i="12"/>
  <c r="H100" i="9" s="1"/>
  <c r="I1812" i="12"/>
  <c r="I1843" i="12"/>
  <c r="I1855" i="12" s="1"/>
  <c r="K1856" i="12"/>
  <c r="K1886" i="12"/>
  <c r="I1619" i="12"/>
  <c r="G37" i="9" s="1"/>
  <c r="K1726" i="12"/>
  <c r="K1813" i="12"/>
  <c r="K1844" i="12"/>
  <c r="K1994" i="12"/>
  <c r="J1992" i="12"/>
  <c r="K1027" i="12"/>
  <c r="I1125" i="12"/>
  <c r="G51" i="9" s="1"/>
  <c r="I1615" i="12"/>
  <c r="G388" i="9" s="1"/>
  <c r="J1619" i="12"/>
  <c r="H37" i="9" s="1"/>
  <c r="J1654" i="12"/>
  <c r="H610" i="9" s="1"/>
  <c r="J1721" i="12"/>
  <c r="H108" i="9" s="1"/>
  <c r="K1784" i="12"/>
  <c r="K1894" i="12"/>
  <c r="K1937" i="12"/>
  <c r="K2004" i="12"/>
  <c r="K2101" i="12"/>
  <c r="K2020" i="12"/>
  <c r="J1507" i="12"/>
  <c r="H549" i="9" s="1"/>
  <c r="I1805" i="12"/>
  <c r="G265" i="9" s="1"/>
  <c r="K1806" i="12"/>
  <c r="K1849" i="12"/>
  <c r="K1861" i="12"/>
  <c r="K1902" i="12"/>
  <c r="K1972" i="12"/>
  <c r="J1996" i="12"/>
  <c r="H55" i="9" s="1"/>
  <c r="K2040" i="12"/>
  <c r="K2048" i="12"/>
  <c r="K1993" i="12"/>
  <c r="I1992" i="12"/>
  <c r="J2083" i="12"/>
  <c r="K2083" i="12" s="1"/>
  <c r="J2160" i="12"/>
  <c r="H516" i="9" s="1"/>
  <c r="J1680" i="12"/>
  <c r="K2039" i="12"/>
  <c r="J2089" i="12"/>
  <c r="I2089" i="12"/>
  <c r="J2109" i="12"/>
  <c r="H360" i="9" s="1"/>
  <c r="K2161" i="12"/>
  <c r="K1836" i="12"/>
  <c r="I2095" i="12"/>
  <c r="G356" i="9" s="1"/>
  <c r="J2128" i="12"/>
  <c r="H154" i="9" s="1"/>
  <c r="K2196" i="12"/>
  <c r="K2162" i="12"/>
  <c r="K2174" i="12"/>
  <c r="K2184" i="12"/>
  <c r="I2182" i="12"/>
  <c r="G202" i="9" s="1"/>
  <c r="I2090" i="12"/>
  <c r="G354" i="9" s="1"/>
  <c r="K2091" i="12"/>
  <c r="K2121" i="12"/>
  <c r="K2135" i="12"/>
  <c r="I2134" i="12"/>
  <c r="I2086" i="12"/>
  <c r="K2086" i="12" s="1"/>
  <c r="G2088" i="12"/>
  <c r="K2130" i="12"/>
  <c r="J1575" i="12"/>
  <c r="H487" i="9" s="1"/>
  <c r="K1271" i="12"/>
  <c r="K1489" i="12"/>
  <c r="K2141" i="12"/>
  <c r="K2150" i="12"/>
  <c r="K2177" i="12"/>
  <c r="I2176" i="12"/>
  <c r="I2122" i="12"/>
  <c r="G160" i="9" s="1"/>
  <c r="J2186" i="12"/>
  <c r="J2087" i="12"/>
  <c r="K2087" i="12" s="1"/>
  <c r="K2123" i="12"/>
  <c r="K2159" i="12"/>
  <c r="I1507" i="12"/>
  <c r="G549" i="9" s="1"/>
  <c r="K1667" i="12"/>
  <c r="K1793" i="12"/>
  <c r="J1812" i="12"/>
  <c r="I1981" i="12"/>
  <c r="G629" i="9" s="1"/>
  <c r="K2008" i="12"/>
  <c r="I2015" i="12"/>
  <c r="K2056" i="12"/>
  <c r="J2015" i="12"/>
  <c r="K2147" i="12"/>
  <c r="I2146" i="12"/>
  <c r="I2151" i="12"/>
  <c r="K2192" i="12"/>
  <c r="J2151" i="12"/>
  <c r="K2051" i="12"/>
  <c r="K2073" i="12"/>
  <c r="K2132" i="12"/>
  <c r="G2074" i="12"/>
  <c r="I2202" i="12"/>
  <c r="G474" i="9" s="1"/>
  <c r="I2109" i="12"/>
  <c r="G360" i="9" s="1"/>
  <c r="G2076" i="12"/>
  <c r="I2179" i="12"/>
  <c r="G694" i="9" s="1"/>
  <c r="K2188" i="12"/>
  <c r="H625" i="9" l="1"/>
  <c r="H743" i="9"/>
  <c r="H652" i="9"/>
  <c r="H235" i="9"/>
  <c r="K390" i="7"/>
  <c r="N390" i="7" s="1"/>
  <c r="H731" i="9"/>
  <c r="H81" i="9"/>
  <c r="H428" i="9"/>
  <c r="H813" i="9"/>
  <c r="J267" i="7"/>
  <c r="M267" i="7" s="1"/>
  <c r="G190" i="9"/>
  <c r="G492" i="9"/>
  <c r="G370" i="9"/>
  <c r="H374" i="9"/>
  <c r="H778" i="9"/>
  <c r="J503" i="7"/>
  <c r="G466" i="9"/>
  <c r="G809" i="9"/>
  <c r="H698" i="9"/>
  <c r="H753" i="9"/>
  <c r="J413" i="7"/>
  <c r="M413" i="7" s="1"/>
  <c r="G31" i="9"/>
  <c r="G29" i="9"/>
  <c r="G36" i="9"/>
  <c r="G30" i="9"/>
  <c r="K2176" i="12"/>
  <c r="G128" i="9"/>
  <c r="G391" i="9"/>
  <c r="G225" i="9"/>
  <c r="G256" i="9"/>
  <c r="G127" i="9"/>
  <c r="G625" i="9"/>
  <c r="G743" i="9"/>
  <c r="H447" i="9"/>
  <c r="H464" i="9"/>
  <c r="H307" i="9"/>
  <c r="H589" i="9"/>
  <c r="H574" i="9"/>
  <c r="H597" i="9"/>
  <c r="H419" i="9"/>
  <c r="H526" i="9"/>
  <c r="K929" i="7"/>
  <c r="N929" i="7" s="1"/>
  <c r="H344" i="9"/>
  <c r="H784" i="9"/>
  <c r="H632" i="9"/>
  <c r="H606" i="9"/>
  <c r="H214" i="9"/>
  <c r="K177" i="7"/>
  <c r="N177" i="7" s="1"/>
  <c r="H646" i="9"/>
  <c r="G734" i="9"/>
  <c r="G364" i="9"/>
  <c r="H109" i="9"/>
  <c r="H49" i="9"/>
  <c r="G76" i="9"/>
  <c r="G660" i="9"/>
  <c r="G613" i="9"/>
  <c r="J679" i="7"/>
  <c r="M679" i="7" s="1"/>
  <c r="G417" i="9"/>
  <c r="G38" i="9"/>
  <c r="K251" i="7"/>
  <c r="N251" i="7" s="1"/>
  <c r="H234" i="9"/>
  <c r="H434" i="9"/>
  <c r="J129" i="7"/>
  <c r="G635" i="9"/>
  <c r="G746" i="9"/>
  <c r="G692" i="9"/>
  <c r="G297" i="9"/>
  <c r="G398" i="9"/>
  <c r="G125" i="9"/>
  <c r="G616" i="9"/>
  <c r="H391" i="9"/>
  <c r="H256" i="9"/>
  <c r="H225" i="9"/>
  <c r="H127" i="9"/>
  <c r="H269" i="9"/>
  <c r="G283" i="9"/>
  <c r="G75" i="9"/>
  <c r="G145" i="9"/>
  <c r="G77" i="9"/>
  <c r="G389" i="9"/>
  <c r="H444" i="9"/>
  <c r="H387" i="9"/>
  <c r="G40" i="9"/>
  <c r="G208" i="9"/>
  <c r="G13" i="9"/>
  <c r="G110" i="9"/>
  <c r="G777" i="9"/>
  <c r="G201" i="9"/>
  <c r="G294" i="9"/>
  <c r="H349" i="9"/>
  <c r="H499" i="9"/>
  <c r="G242" i="9"/>
  <c r="G486" i="9"/>
  <c r="H249" i="9"/>
  <c r="H555" i="9"/>
  <c r="J861" i="7"/>
  <c r="G559" i="9"/>
  <c r="G464" i="9"/>
  <c r="G307" i="9"/>
  <c r="G447" i="9"/>
  <c r="G589" i="9"/>
  <c r="H449" i="9"/>
  <c r="H133" i="9"/>
  <c r="H68" i="9"/>
  <c r="G452" i="9"/>
  <c r="G200" i="9"/>
  <c r="G24" i="9"/>
  <c r="G213" i="9"/>
  <c r="G187" i="9"/>
  <c r="G600" i="9"/>
  <c r="G411" i="9"/>
  <c r="G460" i="9"/>
  <c r="G502" i="9"/>
  <c r="G465" i="9"/>
  <c r="G735" i="9"/>
  <c r="G729" i="9"/>
  <c r="G644" i="9"/>
  <c r="H734" i="9"/>
  <c r="H364" i="9"/>
  <c r="J382" i="7"/>
  <c r="G538" i="9"/>
  <c r="G558" i="9"/>
  <c r="G109" i="9"/>
  <c r="G49" i="9"/>
  <c r="G295" i="9"/>
  <c r="G681" i="9"/>
  <c r="H521" i="9"/>
  <c r="H237" i="9"/>
  <c r="G261" i="9"/>
  <c r="G178" i="9"/>
  <c r="H241" i="9"/>
  <c r="H239" i="9"/>
  <c r="K861" i="7"/>
  <c r="N861" i="7" s="1"/>
  <c r="H559" i="9"/>
  <c r="G787" i="9"/>
  <c r="G812" i="9"/>
  <c r="G749" i="9"/>
  <c r="G573" i="9"/>
  <c r="G500" i="9"/>
  <c r="K1278" i="12"/>
  <c r="G532" i="9"/>
  <c r="G572" i="9"/>
  <c r="G779" i="9"/>
  <c r="J840" i="7"/>
  <c r="M840" i="7" s="1"/>
  <c r="G680" i="9"/>
  <c r="H542" i="9"/>
  <c r="H233" i="9"/>
  <c r="G475" i="9"/>
  <c r="G293" i="9"/>
  <c r="H457" i="9"/>
  <c r="H689" i="9"/>
  <c r="G790" i="9"/>
  <c r="G584" i="9"/>
  <c r="G811" i="9"/>
  <c r="G211" i="9"/>
  <c r="G344" i="9"/>
  <c r="G784" i="9"/>
  <c r="G606" i="9"/>
  <c r="G632" i="9"/>
  <c r="H121" i="9"/>
  <c r="H168" i="9"/>
  <c r="H718" i="9"/>
  <c r="G117" i="9"/>
  <c r="G724" i="9"/>
  <c r="K616" i="7"/>
  <c r="N616" i="7" s="1"/>
  <c r="H629" i="9"/>
  <c r="J833" i="7"/>
  <c r="G260" i="9"/>
  <c r="H426" i="9"/>
  <c r="H770" i="9"/>
  <c r="G231" i="9"/>
  <c r="G34" i="9"/>
  <c r="K915" i="7"/>
  <c r="H323" i="9"/>
  <c r="H315" i="9"/>
  <c r="H28" i="9"/>
  <c r="H791" i="9"/>
  <c r="K923" i="7"/>
  <c r="N923" i="7" s="1"/>
  <c r="H564" i="9"/>
  <c r="J752" i="7"/>
  <c r="M752" i="7" s="1"/>
  <c r="G669" i="9"/>
  <c r="K709" i="7"/>
  <c r="H361" i="9"/>
  <c r="H539" i="9"/>
  <c r="H324" i="9"/>
  <c r="H339" i="9"/>
  <c r="K808" i="7"/>
  <c r="N808" i="7" s="1"/>
  <c r="H245" i="9"/>
  <c r="J825" i="7"/>
  <c r="M825" i="7" s="1"/>
  <c r="G610" i="9"/>
  <c r="K283" i="7"/>
  <c r="N283" i="7" s="1"/>
  <c r="H184" i="9"/>
  <c r="K728" i="7"/>
  <c r="N728" i="7" s="1"/>
  <c r="H797" i="9"/>
  <c r="J633" i="7"/>
  <c r="M633" i="7" s="1"/>
  <c r="G457" i="9"/>
  <c r="G689" i="9"/>
  <c r="H598" i="9"/>
  <c r="H536" i="9"/>
  <c r="K807" i="7"/>
  <c r="N807" i="7" s="1"/>
  <c r="H345" i="9"/>
  <c r="G324" i="9"/>
  <c r="G339" i="9"/>
  <c r="H724" i="9"/>
  <c r="H117" i="9"/>
  <c r="K733" i="7"/>
  <c r="N733" i="7" s="1"/>
  <c r="H717" i="9"/>
  <c r="J751" i="7"/>
  <c r="M751" i="7" s="1"/>
  <c r="G525" i="9"/>
  <c r="G368" i="9"/>
  <c r="G39" i="9"/>
  <c r="J749" i="7"/>
  <c r="M749" i="7" s="1"/>
  <c r="G302" i="9"/>
  <c r="K948" i="7"/>
  <c r="N948" i="7" s="1"/>
  <c r="H267" i="9"/>
  <c r="J670" i="7"/>
  <c r="M670" i="7" s="1"/>
  <c r="G705" i="9"/>
  <c r="H787" i="9"/>
  <c r="H812" i="9"/>
  <c r="H749" i="9"/>
  <c r="H573" i="9"/>
  <c r="H500" i="9"/>
  <c r="G68" i="9"/>
  <c r="G133" i="9"/>
  <c r="G449" i="9"/>
  <c r="G574" i="9"/>
  <c r="G597" i="9"/>
  <c r="G699" i="9"/>
  <c r="G804" i="9"/>
  <c r="K463" i="7"/>
  <c r="N463" i="7" s="1"/>
  <c r="H528" i="9"/>
  <c r="H531" i="9"/>
  <c r="K949" i="7"/>
  <c r="N949" i="7" s="1"/>
  <c r="H758" i="9"/>
  <c r="G381" i="9"/>
  <c r="G718" i="9"/>
  <c r="G168" i="9"/>
  <c r="G121" i="9"/>
  <c r="H475" i="9"/>
  <c r="H293" i="9"/>
  <c r="G439" i="9"/>
  <c r="G264" i="9"/>
  <c r="H295" i="9"/>
  <c r="H681" i="9"/>
  <c r="K129" i="7"/>
  <c r="N129" i="7" s="1"/>
  <c r="H635" i="9"/>
  <c r="K591" i="7"/>
  <c r="N591" i="7" s="1"/>
  <c r="H779" i="9"/>
  <c r="H572" i="9"/>
  <c r="J666" i="7"/>
  <c r="M666" i="7" s="1"/>
  <c r="G760" i="9"/>
  <c r="H565" i="9"/>
  <c r="H283" i="9"/>
  <c r="H75" i="9"/>
  <c r="H145" i="9"/>
  <c r="H465" i="9"/>
  <c r="H411" i="9"/>
  <c r="H502" i="9"/>
  <c r="H460" i="9"/>
  <c r="H120" i="9"/>
  <c r="H161" i="9"/>
  <c r="H24" i="9"/>
  <c r="H213" i="9"/>
  <c r="H452" i="9"/>
  <c r="H200" i="9"/>
  <c r="H187" i="9"/>
  <c r="H600" i="9"/>
  <c r="H377" i="9"/>
  <c r="H99" i="9"/>
  <c r="K625" i="7"/>
  <c r="N625" i="7" s="1"/>
  <c r="H40" i="9"/>
  <c r="H208" i="9"/>
  <c r="H13" i="9"/>
  <c r="H20" i="9"/>
  <c r="H680" i="9"/>
  <c r="K1000" i="7"/>
  <c r="N1000" i="7" s="1"/>
  <c r="H601" i="9"/>
  <c r="G387" i="9"/>
  <c r="G444" i="9"/>
  <c r="H119" i="9"/>
  <c r="H250" i="9"/>
  <c r="H789" i="9"/>
  <c r="H423" i="9"/>
  <c r="H368" i="9"/>
  <c r="H39" i="9"/>
  <c r="H790" i="9"/>
  <c r="H584" i="9"/>
  <c r="H811" i="9"/>
  <c r="H211" i="9"/>
  <c r="G778" i="9"/>
  <c r="G374" i="9"/>
  <c r="H613" i="9"/>
  <c r="H660" i="9"/>
  <c r="H29" i="9"/>
  <c r="H30" i="9"/>
  <c r="H36" i="9"/>
  <c r="H31" i="9"/>
  <c r="K411" i="7"/>
  <c r="N411" i="7" s="1"/>
  <c r="H735" i="9"/>
  <c r="H729" i="9"/>
  <c r="H644" i="9"/>
  <c r="G323" i="9"/>
  <c r="G315" i="9"/>
  <c r="H424" i="9"/>
  <c r="H311" i="9"/>
  <c r="I1081" i="12"/>
  <c r="I1076" i="12" s="1"/>
  <c r="G72" i="9" s="1"/>
  <c r="G120" i="9"/>
  <c r="G161" i="9"/>
  <c r="J341" i="7"/>
  <c r="M341" i="7" s="1"/>
  <c r="G361" i="9"/>
  <c r="G539" i="9"/>
  <c r="H417" i="9"/>
  <c r="H38" i="9"/>
  <c r="J706" i="7"/>
  <c r="M706" i="7" s="1"/>
  <c r="G488" i="9"/>
  <c r="J648" i="7"/>
  <c r="M648" i="7" s="1"/>
  <c r="G698" i="9"/>
  <c r="G753" i="9"/>
  <c r="K417" i="7"/>
  <c r="N417" i="7" s="1"/>
  <c r="H466" i="9"/>
  <c r="H809" i="9"/>
  <c r="H379" i="9"/>
  <c r="H594" i="9"/>
  <c r="H439" i="9"/>
  <c r="H264" i="9"/>
  <c r="G531" i="9"/>
  <c r="G528" i="9"/>
  <c r="G250" i="9"/>
  <c r="G119" i="9"/>
  <c r="K380" i="7"/>
  <c r="N380" i="7" s="1"/>
  <c r="H125" i="9"/>
  <c r="H616" i="9"/>
  <c r="H422" i="9"/>
  <c r="H795" i="9"/>
  <c r="H473" i="9"/>
  <c r="H175" i="9"/>
  <c r="H538" i="9"/>
  <c r="H558" i="9"/>
  <c r="J789" i="7"/>
  <c r="M789" i="7" s="1"/>
  <c r="G655" i="9"/>
  <c r="J140" i="7"/>
  <c r="M140" i="7" s="1"/>
  <c r="G418" i="9"/>
  <c r="J821" i="7"/>
  <c r="G526" i="9"/>
  <c r="K786" i="7"/>
  <c r="N786" i="7" s="1"/>
  <c r="H611" i="9"/>
  <c r="C16" i="4"/>
  <c r="B14" i="11" s="1"/>
  <c r="M839" i="7"/>
  <c r="O886" i="7"/>
  <c r="W886" i="7" s="1"/>
  <c r="E865" i="7"/>
  <c r="J945" i="12"/>
  <c r="H788" i="9" s="1"/>
  <c r="O881" i="7"/>
  <c r="Y881" i="7" s="1"/>
  <c r="O879" i="7"/>
  <c r="Y879" i="7" s="1"/>
  <c r="L879" i="7"/>
  <c r="L881" i="7"/>
  <c r="U900" i="7"/>
  <c r="U883" i="7"/>
  <c r="W883" i="7"/>
  <c r="E882" i="7"/>
  <c r="K2221" i="12"/>
  <c r="K2119" i="12"/>
  <c r="J1769" i="12"/>
  <c r="K642" i="7" s="1"/>
  <c r="N642" i="7" s="1"/>
  <c r="W875" i="7"/>
  <c r="K863" i="7"/>
  <c r="N863" i="7" s="1"/>
  <c r="K880" i="7"/>
  <c r="N880" i="7" s="1"/>
  <c r="Y875" i="7"/>
  <c r="J863" i="7"/>
  <c r="M863" i="7" s="1"/>
  <c r="J880" i="7"/>
  <c r="K865" i="7"/>
  <c r="K882" i="7"/>
  <c r="N882" i="7" s="1"/>
  <c r="J865" i="7"/>
  <c r="M865" i="7" s="1"/>
  <c r="J882" i="7"/>
  <c r="G684" i="9"/>
  <c r="U877" i="7"/>
  <c r="Y877" i="7"/>
  <c r="U873" i="7"/>
  <c r="W873" i="7"/>
  <c r="Y873" i="7"/>
  <c r="C877" i="7"/>
  <c r="E350" i="7"/>
  <c r="L861" i="7"/>
  <c r="M861" i="7"/>
  <c r="O861" i="7" s="1"/>
  <c r="J2146" i="12"/>
  <c r="K2146" i="12" s="1"/>
  <c r="D420" i="7"/>
  <c r="D421" i="7" s="1"/>
  <c r="C32" i="7"/>
  <c r="C33" i="7" s="1"/>
  <c r="E847" i="7"/>
  <c r="L182" i="7"/>
  <c r="AA7" i="7"/>
  <c r="I1769" i="12"/>
  <c r="G282" i="9" s="1"/>
  <c r="K26" i="12"/>
  <c r="L118" i="7"/>
  <c r="O118" i="7"/>
  <c r="Y118" i="7" s="1"/>
  <c r="K1790" i="12"/>
  <c r="I2140" i="12"/>
  <c r="J147" i="7" s="1"/>
  <c r="W87" i="7"/>
  <c r="Y87" i="7"/>
  <c r="I983" i="12"/>
  <c r="K983" i="12" s="1"/>
  <c r="K986" i="12"/>
  <c r="Y202" i="7"/>
  <c r="J249" i="7"/>
  <c r="J2140" i="12"/>
  <c r="K147" i="7" s="1"/>
  <c r="N147" i="7" s="1"/>
  <c r="I1462" i="12"/>
  <c r="G627" i="9" s="1"/>
  <c r="K2218" i="12"/>
  <c r="I953" i="12"/>
  <c r="K954" i="12"/>
  <c r="K2211" i="12"/>
  <c r="K144" i="12"/>
  <c r="I949" i="12"/>
  <c r="G86" i="9" s="1"/>
  <c r="W202" i="7"/>
  <c r="K98" i="7"/>
  <c r="N98" i="7" s="1"/>
  <c r="H166" i="9"/>
  <c r="K1603" i="12"/>
  <c r="K2045" i="12"/>
  <c r="K2198" i="12"/>
  <c r="K776" i="7"/>
  <c r="N776" i="7" s="1"/>
  <c r="U567" i="7"/>
  <c r="W567" i="7"/>
  <c r="K279" i="7"/>
  <c r="N279" i="7" s="1"/>
  <c r="K1559" i="12"/>
  <c r="U579" i="7"/>
  <c r="K424" i="12"/>
  <c r="W579" i="7"/>
  <c r="W314" i="7"/>
  <c r="U314" i="7"/>
  <c r="K927" i="12"/>
  <c r="H441" i="9"/>
  <c r="K597" i="12"/>
  <c r="K310" i="12"/>
  <c r="U63" i="7"/>
  <c r="K797" i="7"/>
  <c r="N797" i="7" s="1"/>
  <c r="K1627" i="12"/>
  <c r="W445" i="7"/>
  <c r="Y445" i="7"/>
  <c r="K1607" i="12"/>
  <c r="K546" i="7"/>
  <c r="N546" i="7" s="1"/>
  <c r="K679" i="7"/>
  <c r="N679" i="7" s="1"/>
  <c r="O679" i="7" s="1"/>
  <c r="Y679" i="7" s="1"/>
  <c r="K754" i="12"/>
  <c r="K840" i="7"/>
  <c r="N840" i="7" s="1"/>
  <c r="O840" i="7" s="1"/>
  <c r="Y840" i="7" s="1"/>
  <c r="H570" i="9"/>
  <c r="K688" i="7"/>
  <c r="N688" i="7" s="1"/>
  <c r="K290" i="12"/>
  <c r="K712" i="7"/>
  <c r="N712" i="7" s="1"/>
  <c r="K771" i="7"/>
  <c r="N771" i="7" s="1"/>
  <c r="O349" i="7"/>
  <c r="U349" i="7" s="1"/>
  <c r="L31" i="7"/>
  <c r="U310" i="7"/>
  <c r="U70" i="7"/>
  <c r="Y70" i="7"/>
  <c r="W55" i="7"/>
  <c r="Y55" i="7"/>
  <c r="K2206" i="12"/>
  <c r="Y551" i="7"/>
  <c r="K245" i="12"/>
  <c r="U551" i="7"/>
  <c r="K2053" i="12"/>
  <c r="K573" i="12"/>
  <c r="J606" i="7"/>
  <c r="M606" i="7" s="1"/>
  <c r="K687" i="12"/>
  <c r="J813" i="7"/>
  <c r="M813" i="7" s="1"/>
  <c r="K666" i="7"/>
  <c r="N666" i="7" s="1"/>
  <c r="O666" i="7" s="1"/>
  <c r="U666" i="7" s="1"/>
  <c r="W404" i="7"/>
  <c r="K2090" i="12"/>
  <c r="K1587" i="12"/>
  <c r="K225" i="7"/>
  <c r="N225" i="7" s="1"/>
  <c r="U404" i="7"/>
  <c r="G258" i="9"/>
  <c r="K841" i="7"/>
  <c r="N841" i="7" s="1"/>
  <c r="O841" i="7" s="1"/>
  <c r="W841" i="7" s="1"/>
  <c r="G485" i="9"/>
  <c r="H83" i="9"/>
  <c r="G20" i="9"/>
  <c r="K975" i="12"/>
  <c r="H171" i="9"/>
  <c r="U45" i="7"/>
  <c r="K788" i="7"/>
  <c r="N788" i="7" s="1"/>
  <c r="H405" i="9"/>
  <c r="G588" i="9"/>
  <c r="J649" i="7"/>
  <c r="M649" i="7" s="1"/>
  <c r="K662" i="7"/>
  <c r="N662" i="7" s="1"/>
  <c r="K695" i="12"/>
  <c r="K885" i="12"/>
  <c r="J287" i="7"/>
  <c r="M287" i="7" s="1"/>
  <c r="K1503" i="12"/>
  <c r="J2077" i="12"/>
  <c r="K2077" i="12" s="1"/>
  <c r="K453" i="7"/>
  <c r="N453" i="7" s="1"/>
  <c r="J794" i="7"/>
  <c r="M794" i="7" s="1"/>
  <c r="K713" i="7"/>
  <c r="N713" i="7" s="1"/>
  <c r="K639" i="12"/>
  <c r="W430" i="7"/>
  <c r="K1623" i="12"/>
  <c r="K784" i="7"/>
  <c r="N784" i="7" s="1"/>
  <c r="K912" i="7"/>
  <c r="N912" i="7" s="1"/>
  <c r="J922" i="7"/>
  <c r="M922" i="7" s="1"/>
  <c r="H726" i="9"/>
  <c r="K1555" i="12"/>
  <c r="K72" i="12"/>
  <c r="K1547" i="12"/>
  <c r="J568" i="7"/>
  <c r="M568" i="7" s="1"/>
  <c r="J132" i="7"/>
  <c r="M132" i="7" s="1"/>
  <c r="K939" i="12"/>
  <c r="K325" i="12"/>
  <c r="K647" i="7"/>
  <c r="N647" i="7" s="1"/>
  <c r="K503" i="7"/>
  <c r="N503" i="7" s="1"/>
  <c r="H416" i="9"/>
  <c r="J184" i="7"/>
  <c r="M184" i="7" s="1"/>
  <c r="K366" i="7"/>
  <c r="N366" i="7" s="1"/>
  <c r="H243" i="9"/>
  <c r="K1473" i="12"/>
  <c r="I2072" i="12"/>
  <c r="K2072" i="12" s="1"/>
  <c r="K363" i="12"/>
  <c r="G304" i="9"/>
  <c r="Y222" i="7"/>
  <c r="J465" i="7"/>
  <c r="M465" i="7" s="1"/>
  <c r="K729" i="7"/>
  <c r="N729" i="7" s="1"/>
  <c r="K669" i="12"/>
  <c r="U516" i="7"/>
  <c r="K2066" i="12"/>
  <c r="H2077" i="12" s="1"/>
  <c r="K875" i="12"/>
  <c r="U910" i="7"/>
  <c r="W559" i="7"/>
  <c r="U222" i="7"/>
  <c r="W910" i="7"/>
  <c r="H708" i="9"/>
  <c r="U446" i="7"/>
  <c r="G587" i="9"/>
  <c r="H392" i="9"/>
  <c r="K713" i="12"/>
  <c r="W604" i="7"/>
  <c r="U559" i="7"/>
  <c r="K265" i="12"/>
  <c r="K428" i="12"/>
  <c r="J340" i="7"/>
  <c r="M340" i="7" s="1"/>
  <c r="K634" i="7"/>
  <c r="N634" i="7" s="1"/>
  <c r="J619" i="7"/>
  <c r="M619" i="7" s="1"/>
  <c r="K1003" i="12"/>
  <c r="K299" i="12"/>
  <c r="K284" i="12"/>
  <c r="K593" i="12"/>
  <c r="K338" i="7"/>
  <c r="N338" i="7" s="1"/>
  <c r="K565" i="7"/>
  <c r="N565" i="7" s="1"/>
  <c r="K740" i="7"/>
  <c r="N740" i="7" s="1"/>
  <c r="K1535" i="12"/>
  <c r="K700" i="7"/>
  <c r="N700" i="7" s="1"/>
  <c r="H394" i="9"/>
  <c r="K950" i="7"/>
  <c r="N950" i="7" s="1"/>
  <c r="J366" i="7"/>
  <c r="M366" i="7" s="1"/>
  <c r="J381" i="7"/>
  <c r="M381" i="7" s="1"/>
  <c r="K387" i="7"/>
  <c r="N387" i="7" s="1"/>
  <c r="K769" i="12"/>
  <c r="J2085" i="12"/>
  <c r="H333" i="9"/>
  <c r="K517" i="7"/>
  <c r="N517" i="7" s="1"/>
  <c r="J913" i="7"/>
  <c r="M913" i="7" s="1"/>
  <c r="K657" i="7"/>
  <c r="N657" i="7" s="1"/>
  <c r="K643" i="12"/>
  <c r="K681" i="7"/>
  <c r="N681" i="7" s="1"/>
  <c r="K433" i="7"/>
  <c r="N433" i="7" s="1"/>
  <c r="K1222" i="12"/>
  <c r="K918" i="7"/>
  <c r="N918" i="7" s="1"/>
  <c r="K895" i="12"/>
  <c r="K734" i="12"/>
  <c r="K341" i="7"/>
  <c r="N341" i="7" s="1"/>
  <c r="O341" i="7" s="1"/>
  <c r="Y341" i="7" s="1"/>
  <c r="U127" i="7"/>
  <c r="H495" i="9"/>
  <c r="J688" i="7"/>
  <c r="M688" i="7" s="1"/>
  <c r="K372" i="7"/>
  <c r="N372" i="7" s="1"/>
  <c r="K695" i="7"/>
  <c r="N695" i="7" s="1"/>
  <c r="Y127" i="7"/>
  <c r="K141" i="7"/>
  <c r="N141" i="7" s="1"/>
  <c r="G115" i="9"/>
  <c r="K627" i="7"/>
  <c r="N627" i="7" s="1"/>
  <c r="K511" i="7"/>
  <c r="N511" i="7" s="1"/>
  <c r="J736" i="7"/>
  <c r="M736" i="7" s="1"/>
  <c r="H176" i="9"/>
  <c r="K1794" i="12"/>
  <c r="K1985" i="12"/>
  <c r="K1704" i="12"/>
  <c r="I1410" i="12"/>
  <c r="J2080" i="12"/>
  <c r="K189" i="7" s="1"/>
  <c r="N189" i="7" s="1"/>
  <c r="H579" i="9"/>
  <c r="K123" i="12"/>
  <c r="K2134" i="12"/>
  <c r="K967" i="12"/>
  <c r="K791" i="12"/>
  <c r="W63" i="7"/>
  <c r="W45" i="7"/>
  <c r="U32" i="7"/>
  <c r="K691" i="12"/>
  <c r="U524" i="7"/>
  <c r="W32" i="7"/>
  <c r="K832" i="7"/>
  <c r="N832" i="7" s="1"/>
  <c r="H299" i="9"/>
  <c r="K302" i="12"/>
  <c r="K822" i="7"/>
  <c r="N822" i="7" s="1"/>
  <c r="G41" i="9"/>
  <c r="J629" i="7"/>
  <c r="M629" i="7" s="1"/>
  <c r="H519" i="9"/>
  <c r="K1231" i="12"/>
  <c r="Y524" i="7"/>
  <c r="K2194" i="12"/>
  <c r="K1741" i="12"/>
  <c r="G333" i="9"/>
  <c r="K833" i="7"/>
  <c r="N833" i="7" s="1"/>
  <c r="W312" i="7"/>
  <c r="H50" i="9"/>
  <c r="J734" i="7"/>
  <c r="M734" i="7" s="1"/>
  <c r="J809" i="7"/>
  <c r="M809" i="7" s="1"/>
  <c r="H651" i="9"/>
  <c r="K577" i="12"/>
  <c r="U139" i="7"/>
  <c r="K197" i="12"/>
  <c r="K1583" i="12"/>
  <c r="K661" i="7"/>
  <c r="N661" i="7" s="1"/>
  <c r="H327" i="9"/>
  <c r="K799" i="7"/>
  <c r="N799" i="7" s="1"/>
  <c r="H696" i="9"/>
  <c r="K1519" i="12"/>
  <c r="W139" i="7"/>
  <c r="I1092" i="12"/>
  <c r="I1087" i="12" s="1"/>
  <c r="K849" i="12"/>
  <c r="W38" i="7"/>
  <c r="G591" i="9"/>
  <c r="K821" i="7"/>
  <c r="N821" i="7" s="1"/>
  <c r="U429" i="7"/>
  <c r="J519" i="7"/>
  <c r="M519" i="7" s="1"/>
  <c r="K262" i="7"/>
  <c r="N262" i="7" s="1"/>
  <c r="K1571" i="12"/>
  <c r="G463" i="9"/>
  <c r="W516" i="7"/>
  <c r="Y429" i="7"/>
  <c r="G269" i="9"/>
  <c r="J455" i="7"/>
  <c r="M455" i="7" s="1"/>
  <c r="K1034" i="12"/>
  <c r="H1092" i="12" s="1"/>
  <c r="K179" i="12"/>
  <c r="K1981" i="12"/>
  <c r="K2106" i="12"/>
  <c r="U604" i="7"/>
  <c r="J496" i="7"/>
  <c r="M496" i="7" s="1"/>
  <c r="K395" i="7"/>
  <c r="N395" i="7" s="1"/>
  <c r="K1643" i="12"/>
  <c r="K708" i="12"/>
  <c r="G593" i="9"/>
  <c r="Y154" i="7"/>
  <c r="Y298" i="7"/>
  <c r="W231" i="7"/>
  <c r="W99" i="7"/>
  <c r="W371" i="7"/>
  <c r="U371" i="7"/>
  <c r="E57" i="7"/>
  <c r="E284" i="7"/>
  <c r="Y169" i="7"/>
  <c r="U99" i="7"/>
  <c r="U169" i="7"/>
  <c r="O859" i="7"/>
  <c r="U859" i="7" s="1"/>
  <c r="W572" i="7"/>
  <c r="Y310" i="7"/>
  <c r="U842" i="7"/>
  <c r="Y294" i="7"/>
  <c r="E349" i="7"/>
  <c r="W298" i="7"/>
  <c r="Y231" i="7"/>
  <c r="U572" i="7"/>
  <c r="W842" i="7"/>
  <c r="U426" i="7"/>
  <c r="W426" i="7"/>
  <c r="Y62" i="7"/>
  <c r="Y486" i="7"/>
  <c r="W62" i="7"/>
  <c r="Y312" i="7"/>
  <c r="E56" i="7"/>
  <c r="U676" i="7"/>
  <c r="Y110" i="7"/>
  <c r="M233" i="7"/>
  <c r="O233" i="7" s="1"/>
  <c r="W233" i="7" s="1"/>
  <c r="U110" i="7"/>
  <c r="Y135" i="7"/>
  <c r="W676" i="7"/>
  <c r="W692" i="7"/>
  <c r="L326" i="7"/>
  <c r="Y692" i="7"/>
  <c r="U444" i="7"/>
  <c r="Y444" i="7"/>
  <c r="W428" i="7"/>
  <c r="Y428" i="7"/>
  <c r="U154" i="7"/>
  <c r="U51" i="7"/>
  <c r="W464" i="7"/>
  <c r="U389" i="7"/>
  <c r="L904" i="7"/>
  <c r="Y162" i="7"/>
  <c r="E856" i="7"/>
  <c r="U41" i="7"/>
  <c r="W41" i="7"/>
  <c r="Y846" i="7"/>
  <c r="Y218" i="7"/>
  <c r="Y42" i="7"/>
  <c r="Y856" i="7"/>
  <c r="W856" i="7"/>
  <c r="U856" i="7"/>
  <c r="O348" i="7"/>
  <c r="Y348" i="7" s="1"/>
  <c r="W212" i="7"/>
  <c r="E1000" i="7"/>
  <c r="Y212" i="7"/>
  <c r="W294" i="7"/>
  <c r="W888" i="7"/>
  <c r="U185" i="7"/>
  <c r="Y38" i="7"/>
  <c r="U115" i="7"/>
  <c r="E416" i="7"/>
  <c r="E418" i="7"/>
  <c r="C852" i="7"/>
  <c r="E852" i="7" s="1"/>
  <c r="E686" i="7"/>
  <c r="C17" i="4"/>
  <c r="B15" i="11" s="1"/>
  <c r="C268" i="7"/>
  <c r="E268" i="7" s="1"/>
  <c r="Y185" i="7"/>
  <c r="Y91" i="7"/>
  <c r="W467" i="7"/>
  <c r="W486" i="7"/>
  <c r="U419" i="7"/>
  <c r="Y394" i="7"/>
  <c r="U255" i="7"/>
  <c r="Y224" i="7"/>
  <c r="Y58" i="7"/>
  <c r="U400" i="7"/>
  <c r="W43" i="7"/>
  <c r="Y888" i="7"/>
  <c r="Y430" i="7"/>
  <c r="U936" i="7"/>
  <c r="Y255" i="7"/>
  <c r="U577" i="7"/>
  <c r="W419" i="7"/>
  <c r="W394" i="7"/>
  <c r="W104" i="7"/>
  <c r="U58" i="7"/>
  <c r="W91" i="7"/>
  <c r="Y506" i="7"/>
  <c r="Y60" i="7"/>
  <c r="U506" i="7"/>
  <c r="W620" i="7"/>
  <c r="O31" i="7"/>
  <c r="U31" i="7" s="1"/>
  <c r="W60" i="7"/>
  <c r="W224" i="7"/>
  <c r="W936" i="7"/>
  <c r="W577" i="7"/>
  <c r="E170" i="7"/>
  <c r="C147" i="7"/>
  <c r="E147" i="7" s="1"/>
  <c r="Y900" i="7"/>
  <c r="W675" i="7"/>
  <c r="E417" i="7"/>
  <c r="U592" i="7"/>
  <c r="U218" i="7"/>
  <c r="Y68" i="7"/>
  <c r="C605" i="7"/>
  <c r="E604" i="7"/>
  <c r="W708" i="7"/>
  <c r="Y179" i="7"/>
  <c r="Y217" i="7"/>
  <c r="Y57" i="7"/>
  <c r="D343" i="7"/>
  <c r="E342" i="7"/>
  <c r="U846" i="7"/>
  <c r="U377" i="7"/>
  <c r="Y628" i="7"/>
  <c r="C294" i="7"/>
  <c r="E293" i="7"/>
  <c r="C303" i="7"/>
  <c r="E302" i="7"/>
  <c r="E104" i="7"/>
  <c r="C105" i="7"/>
  <c r="W68" i="7"/>
  <c r="W389" i="7"/>
  <c r="W106" i="7"/>
  <c r="U418" i="7"/>
  <c r="Y196" i="7"/>
  <c r="U42" i="7"/>
  <c r="U593" i="7"/>
  <c r="W418" i="7"/>
  <c r="G17" i="4"/>
  <c r="U848" i="7"/>
  <c r="U467" i="7"/>
  <c r="U464" i="7"/>
  <c r="M129" i="7"/>
  <c r="O129" i="7" s="1"/>
  <c r="L129" i="7"/>
  <c r="H207" i="9"/>
  <c r="K777" i="7"/>
  <c r="N777" i="7" s="1"/>
  <c r="Y446" i="7"/>
  <c r="U454" i="7"/>
  <c r="Y297" i="7"/>
  <c r="J518" i="7"/>
  <c r="M518" i="7" s="1"/>
  <c r="K812" i="7"/>
  <c r="N812" i="7" s="1"/>
  <c r="H748" i="9"/>
  <c r="W297" i="7"/>
  <c r="W377" i="7"/>
  <c r="W260" i="7"/>
  <c r="W57" i="7"/>
  <c r="K1145" i="12"/>
  <c r="W454" i="7"/>
  <c r="W56" i="7"/>
  <c r="W115" i="7"/>
  <c r="K787" i="7"/>
  <c r="N787" i="7" s="1"/>
  <c r="H537" i="9"/>
  <c r="K278" i="12"/>
  <c r="K602" i="12"/>
  <c r="J726" i="7"/>
  <c r="M726" i="7" s="1"/>
  <c r="U135" i="7"/>
  <c r="U106" i="7"/>
  <c r="U257" i="7"/>
  <c r="O35" i="7"/>
  <c r="W35" i="7" s="1"/>
  <c r="U107" i="7"/>
  <c r="G505" i="9"/>
  <c r="K718" i="12"/>
  <c r="H335" i="12" s="1"/>
  <c r="Y592" i="7"/>
  <c r="U887" i="7"/>
  <c r="W900" i="7"/>
  <c r="W257" i="7"/>
  <c r="U216" i="7"/>
  <c r="K702" i="7"/>
  <c r="N702" i="7" s="1"/>
  <c r="W887" i="7"/>
  <c r="W216" i="7"/>
  <c r="K219" i="12"/>
  <c r="Y928" i="7"/>
  <c r="U620" i="7"/>
  <c r="G419" i="9"/>
  <c r="K515" i="7"/>
  <c r="N515" i="7" s="1"/>
  <c r="H25" i="9"/>
  <c r="K273" i="7"/>
  <c r="N273" i="7" s="1"/>
  <c r="G495" i="9"/>
  <c r="K696" i="7"/>
  <c r="N696" i="7" s="1"/>
  <c r="J709" i="7"/>
  <c r="M709" i="7" s="1"/>
  <c r="I1382" i="12"/>
  <c r="K215" i="12"/>
  <c r="K1773" i="12"/>
  <c r="J271" i="7"/>
  <c r="M271" i="7" s="1"/>
  <c r="U162" i="7"/>
  <c r="Y104" i="7"/>
  <c r="K622" i="12"/>
  <c r="K804" i="7"/>
  <c r="N804" i="7" s="1"/>
  <c r="H587" i="9"/>
  <c r="K947" i="12"/>
  <c r="U485" i="7"/>
  <c r="W264" i="7"/>
  <c r="U179" i="7"/>
  <c r="G251" i="9"/>
  <c r="I336" i="12"/>
  <c r="G759" i="9"/>
  <c r="J651" i="7"/>
  <c r="M651" i="7" s="1"/>
  <c r="K914" i="7"/>
  <c r="N914" i="7" s="1"/>
  <c r="H744" i="9"/>
  <c r="K649" i="7"/>
  <c r="N649" i="7" s="1"/>
  <c r="K382" i="7"/>
  <c r="N382" i="7" s="1"/>
  <c r="K922" i="7"/>
  <c r="N922" i="7" s="1"/>
  <c r="G278" i="9"/>
  <c r="J64" i="7"/>
  <c r="M64" i="7" s="1"/>
  <c r="J72" i="7"/>
  <c r="M72" i="7" s="1"/>
  <c r="Y88" i="7"/>
  <c r="U67" i="7"/>
  <c r="G50" i="9"/>
  <c r="K270" i="7"/>
  <c r="N270" i="7" s="1"/>
  <c r="H87" i="9"/>
  <c r="W203" i="7"/>
  <c r="G451" i="9"/>
  <c r="U535" i="7"/>
  <c r="Y67" i="7"/>
  <c r="K272" i="12"/>
  <c r="W400" i="7"/>
  <c r="U505" i="7"/>
  <c r="J677" i="7"/>
  <c r="K811" i="7"/>
  <c r="N811" i="7" s="1"/>
  <c r="K1301" i="12"/>
  <c r="W505" i="7"/>
  <c r="U196" i="7"/>
  <c r="N844" i="7"/>
  <c r="K742" i="7"/>
  <c r="N742" i="7" s="1"/>
  <c r="K459" i="7"/>
  <c r="N459" i="7" s="1"/>
  <c r="H768" i="9"/>
  <c r="K176" i="7"/>
  <c r="N176" i="7" s="1"/>
  <c r="K776" i="12"/>
  <c r="U675" i="7"/>
  <c r="Y535" i="7"/>
  <c r="K2164" i="12"/>
  <c r="J665" i="7"/>
  <c r="K612" i="12"/>
  <c r="K816" i="7"/>
  <c r="N816" i="7" s="1"/>
  <c r="H628" i="9"/>
  <c r="Y114" i="7"/>
  <c r="U203" i="7"/>
  <c r="K699" i="12"/>
  <c r="K1053" i="12"/>
  <c r="Y957" i="7"/>
  <c r="W848" i="7"/>
  <c r="W593" i="7"/>
  <c r="W114" i="7"/>
  <c r="K268" i="7"/>
  <c r="N268" i="7" s="1"/>
  <c r="W278" i="7"/>
  <c r="K459" i="12"/>
  <c r="K1946" i="12"/>
  <c r="W957" i="7"/>
  <c r="U182" i="7"/>
  <c r="H677" i="9"/>
  <c r="K409" i="7"/>
  <c r="N409" i="7" s="1"/>
  <c r="K452" i="7"/>
  <c r="N452" i="7" s="1"/>
  <c r="K492" i="7"/>
  <c r="N492" i="7" s="1"/>
  <c r="H704" i="9"/>
  <c r="K578" i="7"/>
  <c r="N578" i="7" s="1"/>
  <c r="Y236" i="7"/>
  <c r="K1708" i="12"/>
  <c r="L940" i="7"/>
  <c r="W485" i="7"/>
  <c r="Y278" i="7"/>
  <c r="Y264" i="7"/>
  <c r="Y258" i="7"/>
  <c r="H463" i="9"/>
  <c r="K789" i="7"/>
  <c r="W236" i="7"/>
  <c r="W628" i="7"/>
  <c r="U258" i="7"/>
  <c r="K46" i="7"/>
  <c r="N46" i="7" s="1"/>
  <c r="H141" i="9"/>
  <c r="K330" i="7"/>
  <c r="N330" i="7" s="1"/>
  <c r="G362" i="9"/>
  <c r="J226" i="7"/>
  <c r="M226" i="7" s="1"/>
  <c r="K14" i="7"/>
  <c r="N14" i="7" s="1"/>
  <c r="Y182" i="7"/>
  <c r="K1039" i="12"/>
  <c r="H112" i="9"/>
  <c r="K687" i="7"/>
  <c r="N687" i="7" s="1"/>
  <c r="G744" i="9"/>
  <c r="J914" i="7"/>
  <c r="K715" i="7"/>
  <c r="N715" i="7" s="1"/>
  <c r="K2081" i="12"/>
  <c r="K223" i="12"/>
  <c r="K736" i="7"/>
  <c r="N736" i="7" s="1"/>
  <c r="H603" i="9"/>
  <c r="K800" i="7"/>
  <c r="N800" i="7" s="1"/>
  <c r="K720" i="7"/>
  <c r="N720" i="7" s="1"/>
  <c r="H169" i="9"/>
  <c r="K767" i="7"/>
  <c r="N767" i="7" s="1"/>
  <c r="K384" i="7"/>
  <c r="N384" i="7" s="1"/>
  <c r="K392" i="7"/>
  <c r="N392" i="7" s="1"/>
  <c r="K381" i="12"/>
  <c r="H459" i="12" s="1"/>
  <c r="U223" i="7"/>
  <c r="H595" i="9"/>
  <c r="J335" i="12"/>
  <c r="K555" i="7"/>
  <c r="N555" i="7" s="1"/>
  <c r="K548" i="7"/>
  <c r="N548" i="7" s="1"/>
  <c r="K659" i="7"/>
  <c r="N659" i="7" s="1"/>
  <c r="K569" i="12"/>
  <c r="I454" i="12"/>
  <c r="G79" i="9" s="1"/>
  <c r="K1239" i="12"/>
  <c r="Y223" i="7"/>
  <c r="K795" i="7"/>
  <c r="N795" i="7" s="1"/>
  <c r="K566" i="7"/>
  <c r="N566" i="7" s="1"/>
  <c r="K494" i="7"/>
  <c r="N494" i="7" s="1"/>
  <c r="H481" i="9"/>
  <c r="J824" i="7"/>
  <c r="M824" i="7" s="1"/>
  <c r="K617" i="7"/>
  <c r="N617" i="7" s="1"/>
  <c r="H771" i="9"/>
  <c r="K250" i="7"/>
  <c r="N250" i="7" s="1"/>
  <c r="J384" i="7"/>
  <c r="J392" i="7"/>
  <c r="J607" i="7"/>
  <c r="M607" i="7" s="1"/>
  <c r="G483" i="9"/>
  <c r="J667" i="7"/>
  <c r="M667" i="7" s="1"/>
  <c r="J915" i="7"/>
  <c r="M915" i="7" s="1"/>
  <c r="K131" i="7"/>
  <c r="N131" i="7" s="1"/>
  <c r="K1004" i="7"/>
  <c r="N1004" i="7" s="1"/>
  <c r="N1002" i="7" s="1"/>
  <c r="H438" i="9"/>
  <c r="H279" i="9"/>
  <c r="K378" i="7"/>
  <c r="N378" i="7" s="1"/>
  <c r="G726" i="9"/>
  <c r="J417" i="7"/>
  <c r="K911" i="7"/>
  <c r="N911" i="7" s="1"/>
  <c r="K379" i="7"/>
  <c r="N379" i="7" s="1"/>
  <c r="K646" i="7"/>
  <c r="N646" i="7" s="1"/>
  <c r="U260" i="7"/>
  <c r="U69" i="7"/>
  <c r="J14" i="7"/>
  <c r="W69" i="7"/>
  <c r="G493" i="9"/>
  <c r="J664" i="7"/>
  <c r="M664" i="7" s="1"/>
  <c r="H156" i="9"/>
  <c r="K815" i="7"/>
  <c r="N815" i="7" s="1"/>
  <c r="G605" i="9"/>
  <c r="J480" i="7"/>
  <c r="M480" i="7" s="1"/>
  <c r="J375" i="7"/>
  <c r="M375" i="7" s="1"/>
  <c r="K246" i="7"/>
  <c r="N246" i="7" s="1"/>
  <c r="H246" i="9"/>
  <c r="K2058" i="12"/>
  <c r="H2085" i="12" s="1"/>
  <c r="W217" i="7"/>
  <c r="H12" i="9"/>
  <c r="H242" i="9"/>
  <c r="K184" i="7"/>
  <c r="K582" i="7"/>
  <c r="N582" i="7" s="1"/>
  <c r="H335" i="9"/>
  <c r="K530" i="7"/>
  <c r="N530" i="7" s="1"/>
  <c r="K635" i="7"/>
  <c r="N635" i="7" s="1"/>
  <c r="K682" i="7"/>
  <c r="N682" i="7" s="1"/>
  <c r="K471" i="7"/>
  <c r="N471" i="7" s="1"/>
  <c r="K913" i="7"/>
  <c r="H591" i="9"/>
  <c r="K648" i="7"/>
  <c r="N648" i="7" s="1"/>
  <c r="K381" i="7"/>
  <c r="N381" i="7" s="1"/>
  <c r="O543" i="7"/>
  <c r="Y543" i="7" s="1"/>
  <c r="J193" i="7"/>
  <c r="M193" i="7" s="1"/>
  <c r="J933" i="7"/>
  <c r="M933" i="7" s="1"/>
  <c r="K50" i="7"/>
  <c r="N50" i="7" s="1"/>
  <c r="U81" i="7"/>
  <c r="W51" i="7"/>
  <c r="H599" i="9"/>
  <c r="J803" i="7"/>
  <c r="M803" i="7" s="1"/>
  <c r="G577" i="9"/>
  <c r="K794" i="7"/>
  <c r="H297" i="9"/>
  <c r="K903" i="7"/>
  <c r="N903" i="7" s="1"/>
  <c r="H238" i="9"/>
  <c r="H135" i="9"/>
  <c r="K810" i="7"/>
  <c r="N810" i="7" s="1"/>
  <c r="W81" i="7"/>
  <c r="W210" i="7"/>
  <c r="U210" i="7"/>
  <c r="Y210" i="7"/>
  <c r="G243" i="9"/>
  <c r="J918" i="7"/>
  <c r="J657" i="7"/>
  <c r="J395" i="7"/>
  <c r="J387" i="7"/>
  <c r="M387" i="7" s="1"/>
  <c r="J929" i="7"/>
  <c r="K784" i="12"/>
  <c r="U674" i="7"/>
  <c r="W674" i="7"/>
  <c r="U232" i="7"/>
  <c r="Y232" i="7"/>
  <c r="W232" i="7"/>
  <c r="K1270" i="12"/>
  <c r="K981" i="7"/>
  <c r="N981" i="7" s="1"/>
  <c r="H608" i="9"/>
  <c r="K1647" i="12"/>
  <c r="K824" i="7"/>
  <c r="J141" i="7"/>
  <c r="G426" i="9"/>
  <c r="K162" i="12"/>
  <c r="K976" i="7"/>
  <c r="N976" i="7" s="1"/>
  <c r="H375" i="9"/>
  <c r="K1296" i="12"/>
  <c r="Y259" i="7"/>
  <c r="W259" i="7"/>
  <c r="U259" i="7"/>
  <c r="K52" i="7"/>
  <c r="N52" i="7" s="1"/>
  <c r="K1042" i="12"/>
  <c r="K932" i="7"/>
  <c r="N932" i="7" s="1"/>
  <c r="K2100" i="12"/>
  <c r="J423" i="7"/>
  <c r="G480" i="9"/>
  <c r="J510" i="7"/>
  <c r="K854" i="12"/>
  <c r="Y889" i="7"/>
  <c r="W889" i="7"/>
  <c r="U889" i="7"/>
  <c r="W313" i="7"/>
  <c r="Y313" i="7"/>
  <c r="U313" i="7"/>
  <c r="W61" i="7"/>
  <c r="Y61" i="7"/>
  <c r="K87" i="12"/>
  <c r="K227" i="7"/>
  <c r="H666" i="9"/>
  <c r="H796" i="9"/>
  <c r="K527" i="7"/>
  <c r="N527" i="7" s="1"/>
  <c r="K685" i="7"/>
  <c r="N685" i="7" s="1"/>
  <c r="K741" i="12"/>
  <c r="K244" i="7"/>
  <c r="N244" i="7" s="1"/>
  <c r="H14" i="9"/>
  <c r="Y420" i="7"/>
  <c r="W420" i="7"/>
  <c r="U420" i="7"/>
  <c r="J251" i="7"/>
  <c r="K119" i="12"/>
  <c r="W112" i="7"/>
  <c r="Y112" i="7"/>
  <c r="U112" i="7"/>
  <c r="Y121" i="7"/>
  <c r="W121" i="7"/>
  <c r="U121" i="7"/>
  <c r="P119" i="7"/>
  <c r="J245" i="7"/>
  <c r="M245" i="7" s="1"/>
  <c r="H714" i="9"/>
  <c r="K669" i="7"/>
  <c r="N669" i="7" s="1"/>
  <c r="G747" i="9"/>
  <c r="J926" i="7"/>
  <c r="J654" i="7"/>
  <c r="K601" i="7"/>
  <c r="N601" i="7" s="1"/>
  <c r="H359" i="9"/>
  <c r="K248" i="7"/>
  <c r="N248" i="7" s="1"/>
  <c r="Y308" i="7"/>
  <c r="W308" i="7"/>
  <c r="H780" i="9"/>
  <c r="K274" i="7"/>
  <c r="N274" i="7" s="1"/>
  <c r="Y311" i="7"/>
  <c r="W311" i="7"/>
  <c r="U311" i="7"/>
  <c r="K893" i="7"/>
  <c r="N893" i="7" s="1"/>
  <c r="K34" i="12"/>
  <c r="K1001" i="7"/>
  <c r="N1001" i="7" s="1"/>
  <c r="H228" i="9"/>
  <c r="G537" i="9"/>
  <c r="J787" i="7"/>
  <c r="K1631" i="12"/>
  <c r="K755" i="7"/>
  <c r="N755" i="7" s="1"/>
  <c r="J459" i="7"/>
  <c r="G652" i="9"/>
  <c r="K860" i="12"/>
  <c r="Y171" i="7"/>
  <c r="W171" i="7"/>
  <c r="U171" i="7"/>
  <c r="W558" i="7"/>
  <c r="Y558" i="7"/>
  <c r="U558" i="7"/>
  <c r="G665" i="9"/>
  <c r="J479" i="7"/>
  <c r="U211" i="7"/>
  <c r="Y211" i="7"/>
  <c r="W211" i="7"/>
  <c r="N915" i="7"/>
  <c r="K1098" i="12"/>
  <c r="K193" i="7"/>
  <c r="K933" i="7"/>
  <c r="K745" i="12"/>
  <c r="H624" i="9"/>
  <c r="K673" i="7"/>
  <c r="N673" i="7" s="1"/>
  <c r="K1399" i="12"/>
  <c r="I1394" i="12"/>
  <c r="Y674" i="7"/>
  <c r="U526" i="7"/>
  <c r="Y526" i="7"/>
  <c r="W487" i="7"/>
  <c r="Y487" i="7"/>
  <c r="U487" i="7"/>
  <c r="W891" i="7"/>
  <c r="U891" i="7"/>
  <c r="J130" i="7"/>
  <c r="K22" i="12"/>
  <c r="J440" i="7"/>
  <c r="M440" i="7" s="1"/>
  <c r="J552" i="7"/>
  <c r="M552" i="7" s="1"/>
  <c r="J477" i="7"/>
  <c r="M477" i="7" s="1"/>
  <c r="H769" i="9"/>
  <c r="K806" i="7"/>
  <c r="N806" i="7" s="1"/>
  <c r="K1802" i="12"/>
  <c r="W575" i="7"/>
  <c r="Y575" i="7"/>
  <c r="U575" i="7"/>
  <c r="K1417" i="12"/>
  <c r="I1414" i="12"/>
  <c r="K1414" i="12" s="1"/>
  <c r="K1691" i="12"/>
  <c r="I1688" i="12"/>
  <c r="K780" i="12"/>
  <c r="Y621" i="7"/>
  <c r="W621" i="7"/>
  <c r="Y293" i="7"/>
  <c r="W293" i="7"/>
  <c r="U293" i="7"/>
  <c r="M644" i="7"/>
  <c r="O644" i="7" s="1"/>
  <c r="L644" i="7"/>
  <c r="K353" i="7"/>
  <c r="N353" i="7" s="1"/>
  <c r="H21" i="9"/>
  <c r="H132" i="9"/>
  <c r="K143" i="7"/>
  <c r="N143" i="7" s="1"/>
  <c r="K134" i="12"/>
  <c r="U308" i="7"/>
  <c r="J832" i="7"/>
  <c r="M832" i="7" s="1"/>
  <c r="G28" i="9"/>
  <c r="K589" i="12"/>
  <c r="G216" i="9"/>
  <c r="Y350" i="7"/>
  <c r="U350" i="7"/>
  <c r="W350" i="7"/>
  <c r="W18" i="7"/>
  <c r="Y18" i="7"/>
  <c r="U18" i="7"/>
  <c r="K626" i="7"/>
  <c r="N626" i="7" s="1"/>
  <c r="K493" i="7"/>
  <c r="N493" i="7" s="1"/>
  <c r="K1461" i="12"/>
  <c r="I1454" i="12"/>
  <c r="J302" i="7"/>
  <c r="M302" i="7" s="1"/>
  <c r="G383" i="9"/>
  <c r="K63" i="12"/>
  <c r="G238" i="9"/>
  <c r="J903" i="7"/>
  <c r="J820" i="7"/>
  <c r="M820" i="7" s="1"/>
  <c r="G343" i="9"/>
  <c r="U501" i="7"/>
  <c r="Y501" i="7"/>
  <c r="W501" i="7"/>
  <c r="K1244" i="12"/>
  <c r="K498" i="7"/>
  <c r="N498" i="7" s="1"/>
  <c r="M503" i="7"/>
  <c r="K722" i="7"/>
  <c r="N722" i="7" s="1"/>
  <c r="H341" i="9"/>
  <c r="M382" i="7"/>
  <c r="U421" i="7"/>
  <c r="W421" i="7"/>
  <c r="Y421" i="7"/>
  <c r="J279" i="7"/>
  <c r="J498" i="7"/>
  <c r="H384" i="9"/>
  <c r="K805" i="7"/>
  <c r="N805" i="7" s="1"/>
  <c r="H674" i="9"/>
  <c r="K984" i="7"/>
  <c r="N984" i="7" s="1"/>
  <c r="K336" i="7"/>
  <c r="N336" i="7" s="1"/>
  <c r="J372" i="7"/>
  <c r="J591" i="7"/>
  <c r="H427" i="9"/>
  <c r="K828" i="7"/>
  <c r="N828" i="7" s="1"/>
  <c r="K605" i="7"/>
  <c r="N605" i="7" s="1"/>
  <c r="H763" i="9"/>
  <c r="K142" i="7"/>
  <c r="N142" i="7" s="1"/>
  <c r="W238" i="7"/>
  <c r="Y238" i="7"/>
  <c r="K303" i="7"/>
  <c r="N303" i="7" s="1"/>
  <c r="H334" i="9"/>
  <c r="Y198" i="7"/>
  <c r="H568" i="9"/>
  <c r="K228" i="7"/>
  <c r="N228" i="7" s="1"/>
  <c r="H215" i="9"/>
  <c r="K596" i="7"/>
  <c r="N596" i="7" s="1"/>
  <c r="K457" i="7"/>
  <c r="N457" i="7" s="1"/>
  <c r="K570" i="7"/>
  <c r="N570" i="7" s="1"/>
  <c r="K415" i="7"/>
  <c r="N415" i="7" s="1"/>
  <c r="K500" i="7"/>
  <c r="N500" i="7" s="1"/>
  <c r="H557" i="9"/>
  <c r="K306" i="7"/>
  <c r="N306" i="7" s="1"/>
  <c r="K203" i="12"/>
  <c r="H110" i="9"/>
  <c r="K287" i="7"/>
  <c r="N287" i="7" s="1"/>
  <c r="H533" i="9"/>
  <c r="K997" i="7"/>
  <c r="N997" i="7" s="1"/>
  <c r="K541" i="7"/>
  <c r="N541" i="7" s="1"/>
  <c r="K545" i="7"/>
  <c r="N545" i="7" s="1"/>
  <c r="K439" i="7"/>
  <c r="N439" i="7" s="1"/>
  <c r="G796" i="9"/>
  <c r="J527" i="7"/>
  <c r="J685" i="7"/>
  <c r="K238" i="12"/>
  <c r="U344" i="7"/>
  <c r="H322" i="9"/>
  <c r="K30" i="7"/>
  <c r="N30" i="7" s="1"/>
  <c r="J779" i="7"/>
  <c r="G78" i="9"/>
  <c r="H244" i="9"/>
  <c r="K748" i="7"/>
  <c r="N748" i="7" s="1"/>
  <c r="J280" i="7"/>
  <c r="H367" i="9"/>
  <c r="K489" i="7"/>
  <c r="N489" i="7" s="1"/>
  <c r="K450" i="7"/>
  <c r="N450" i="7" s="1"/>
  <c r="K406" i="7"/>
  <c r="N406" i="7" s="1"/>
  <c r="K1551" i="12"/>
  <c r="J806" i="7"/>
  <c r="G769" i="9"/>
  <c r="G392" i="9"/>
  <c r="J1000" i="7"/>
  <c r="K586" i="7"/>
  <c r="N586" i="7" s="1"/>
  <c r="K474" i="7"/>
  <c r="N474" i="7" s="1"/>
  <c r="K533" i="7"/>
  <c r="N533" i="7" s="1"/>
  <c r="K436" i="7"/>
  <c r="N436" i="7" s="1"/>
  <c r="K585" i="7"/>
  <c r="N585" i="7" s="1"/>
  <c r="H682" i="9"/>
  <c r="K831" i="7"/>
  <c r="N831" i="7" s="1"/>
  <c r="J893" i="7"/>
  <c r="J1081" i="12"/>
  <c r="J1076" i="12" s="1"/>
  <c r="U403" i="7"/>
  <c r="W344" i="7"/>
  <c r="K793" i="7"/>
  <c r="N793" i="7" s="1"/>
  <c r="K531" i="7"/>
  <c r="N531" i="7" s="1"/>
  <c r="K609" i="7"/>
  <c r="N609" i="7" s="1"/>
  <c r="K636" i="7"/>
  <c r="N636" i="7" s="1"/>
  <c r="K434" i="7"/>
  <c r="N434" i="7" s="1"/>
  <c r="K584" i="7"/>
  <c r="N584" i="7" s="1"/>
  <c r="K583" i="7"/>
  <c r="N583" i="7" s="1"/>
  <c r="K472" i="7"/>
  <c r="N472" i="7" s="1"/>
  <c r="K689" i="7"/>
  <c r="N689" i="7" s="1"/>
  <c r="J745" i="7"/>
  <c r="M745" i="7" s="1"/>
  <c r="K167" i="7"/>
  <c r="N167" i="7" s="1"/>
  <c r="H642" i="9"/>
  <c r="K1747" i="12"/>
  <c r="K416" i="7"/>
  <c r="N416" i="7" s="1"/>
  <c r="H567" i="9"/>
  <c r="K502" i="7"/>
  <c r="N502" i="7" s="1"/>
  <c r="K598" i="7"/>
  <c r="N598" i="7" s="1"/>
  <c r="N709" i="7"/>
  <c r="J128" i="7"/>
  <c r="M128" i="7" s="1"/>
  <c r="K1523" i="12"/>
  <c r="J805" i="7"/>
  <c r="J286" i="7"/>
  <c r="G320" i="9"/>
  <c r="K367" i="7"/>
  <c r="N367" i="7" s="1"/>
  <c r="H240" i="9"/>
  <c r="J46" i="7"/>
  <c r="K2089" i="12"/>
  <c r="J1092" i="12"/>
  <c r="J1087" i="12" s="1"/>
  <c r="W403" i="7"/>
  <c r="K423" i="7"/>
  <c r="N423" i="7" s="1"/>
  <c r="K510" i="7"/>
  <c r="N510" i="7" s="1"/>
  <c r="H480" i="9"/>
  <c r="J949" i="7"/>
  <c r="G166" i="9"/>
  <c r="H163" i="9"/>
  <c r="K920" i="7"/>
  <c r="N920" i="7" s="1"/>
  <c r="K290" i="7"/>
  <c r="N290" i="7" s="1"/>
  <c r="H742" i="9"/>
  <c r="K1760" i="12"/>
  <c r="H258" i="9"/>
  <c r="K670" i="7"/>
  <c r="K2062" i="12"/>
  <c r="H2081" i="12" s="1"/>
  <c r="K155" i="7"/>
  <c r="N155" i="7" s="1"/>
  <c r="K989" i="7"/>
  <c r="N989" i="7" s="1"/>
  <c r="Y460" i="7"/>
  <c r="W460" i="7"/>
  <c r="G181" i="9"/>
  <c r="J956" i="7"/>
  <c r="M956" i="7" s="1"/>
  <c r="K337" i="7"/>
  <c r="N337" i="7" s="1"/>
  <c r="H268" i="9"/>
  <c r="W507" i="7"/>
  <c r="Y507" i="7"/>
  <c r="U507" i="7"/>
  <c r="W198" i="7"/>
  <c r="I1400" i="12"/>
  <c r="K1400" i="12" s="1"/>
  <c r="K671" i="7"/>
  <c r="N671" i="7" s="1"/>
  <c r="K672" i="7"/>
  <c r="N672" i="7" s="1"/>
  <c r="H288" i="9"/>
  <c r="M698" i="7"/>
  <c r="O698" i="7" s="1"/>
  <c r="L698" i="7"/>
  <c r="K1164" i="12"/>
  <c r="J155" i="7"/>
  <c r="K395" i="12"/>
  <c r="G780" i="9"/>
  <c r="J274" i="7"/>
  <c r="K1989" i="12"/>
  <c r="H747" i="9"/>
  <c r="K926" i="7"/>
  <c r="N926" i="7" s="1"/>
  <c r="K654" i="7"/>
  <c r="N654" i="7" s="1"/>
  <c r="K2114" i="12"/>
  <c r="H291" i="9"/>
  <c r="K234" i="7"/>
  <c r="N234" i="7" s="1"/>
  <c r="G708" i="9"/>
  <c r="J511" i="7"/>
  <c r="J948" i="7"/>
  <c r="K110" i="12"/>
  <c r="K170" i="12"/>
  <c r="H201" i="9"/>
  <c r="K132" i="7"/>
  <c r="H454" i="9"/>
  <c r="K645" i="7"/>
  <c r="N645" i="7" s="1"/>
  <c r="K373" i="7"/>
  <c r="N373" i="7" s="1"/>
  <c r="K726" i="12"/>
  <c r="H336" i="12" s="1"/>
  <c r="K651" i="7"/>
  <c r="H759" i="9"/>
  <c r="J336" i="12"/>
  <c r="J946" i="7"/>
  <c r="M946" i="7" s="1"/>
  <c r="G710" i="9"/>
  <c r="I1422" i="12"/>
  <c r="K42" i="12"/>
  <c r="K2172" i="12"/>
  <c r="K941" i="7"/>
  <c r="H588" i="9"/>
  <c r="K539" i="7"/>
  <c r="N539" i="7" s="1"/>
  <c r="H313" i="9"/>
  <c r="K374" i="7"/>
  <c r="N374" i="7" s="1"/>
  <c r="K398" i="7"/>
  <c r="N398" i="7" s="1"/>
  <c r="H140" i="9"/>
  <c r="K499" i="7"/>
  <c r="N499" i="7" s="1"/>
  <c r="G401" i="9"/>
  <c r="J613" i="7"/>
  <c r="M613" i="7" s="1"/>
  <c r="J578" i="7"/>
  <c r="G704" i="9"/>
  <c r="O858" i="7"/>
  <c r="Y858" i="7" s="1"/>
  <c r="U708" i="7"/>
  <c r="U43" i="7"/>
  <c r="W107" i="7"/>
  <c r="K944" i="7"/>
  <c r="N944" i="7" s="1"/>
  <c r="H218" i="9"/>
  <c r="J443" i="7"/>
  <c r="M443" i="7" s="1"/>
  <c r="J376" i="7"/>
  <c r="M376" i="7" s="1"/>
  <c r="G156" i="9"/>
  <c r="J815" i="7"/>
  <c r="H314" i="9"/>
  <c r="K817" i="7"/>
  <c r="N817" i="7" s="1"/>
  <c r="W180" i="7"/>
  <c r="Y180" i="7"/>
  <c r="J932" i="7"/>
  <c r="H278" i="9"/>
  <c r="K64" i="7"/>
  <c r="K72" i="7"/>
  <c r="K11" i="7"/>
  <c r="N10" i="7" s="1"/>
  <c r="H665" i="9"/>
  <c r="K479" i="7"/>
  <c r="N479" i="7" s="1"/>
  <c r="H65" i="9"/>
  <c r="K761" i="7"/>
  <c r="N761" i="7" s="1"/>
  <c r="K377" i="12"/>
  <c r="G789" i="9"/>
  <c r="J273" i="7"/>
  <c r="G663" i="9"/>
  <c r="J410" i="7"/>
  <c r="M410" i="7" s="1"/>
  <c r="K975" i="7"/>
  <c r="N975" i="7" s="1"/>
  <c r="H540" i="9"/>
  <c r="H685" i="9"/>
  <c r="K757" i="7"/>
  <c r="N757" i="7" s="1"/>
  <c r="U512" i="7"/>
  <c r="Y512" i="7"/>
  <c r="W512" i="7"/>
  <c r="K750" i="12"/>
  <c r="U928" i="7"/>
  <c r="Y56" i="7"/>
  <c r="H618" i="9"/>
  <c r="K334" i="7"/>
  <c r="N334" i="7" s="1"/>
  <c r="K170" i="7"/>
  <c r="N170" i="7" s="1"/>
  <c r="H59" i="9"/>
  <c r="K160" i="7"/>
  <c r="N160" i="7" s="1"/>
  <c r="G579" i="9"/>
  <c r="J192" i="7"/>
  <c r="H63" i="9"/>
  <c r="K362" i="7"/>
  <c r="N362" i="7" s="1"/>
  <c r="J811" i="7"/>
  <c r="G327" i="9"/>
  <c r="J283" i="7"/>
  <c r="K1668" i="12"/>
  <c r="I945" i="12"/>
  <c r="K405" i="12"/>
  <c r="K961" i="12"/>
  <c r="U277" i="7"/>
  <c r="G768" i="9"/>
  <c r="J176" i="7"/>
  <c r="K301" i="7"/>
  <c r="N301" i="7" s="1"/>
  <c r="G63" i="9"/>
  <c r="J362" i="7"/>
  <c r="H247" i="9"/>
  <c r="K284" i="7"/>
  <c r="N284" i="7" s="1"/>
  <c r="G416" i="9"/>
  <c r="J390" i="7"/>
  <c r="M947" i="7"/>
  <c r="O947" i="7" s="1"/>
  <c r="L947" i="7"/>
  <c r="K987" i="12"/>
  <c r="H96" i="9"/>
  <c r="K724" i="7"/>
  <c r="N724" i="7" s="1"/>
  <c r="G367" i="9"/>
  <c r="J489" i="7"/>
  <c r="J450" i="7"/>
  <c r="J406" i="7"/>
  <c r="K982" i="7"/>
  <c r="N982" i="7" s="1"/>
  <c r="H467" i="9"/>
  <c r="G543" i="9"/>
  <c r="J699" i="7"/>
  <c r="W277" i="7"/>
  <c r="W88" i="7"/>
  <c r="K1591" i="12"/>
  <c r="K779" i="7"/>
  <c r="N779" i="7" s="1"/>
  <c r="H78" i="9"/>
  <c r="J52" i="7"/>
  <c r="K15" i="7"/>
  <c r="N15" i="7" s="1"/>
  <c r="H497" i="9"/>
  <c r="K286" i="7"/>
  <c r="N286" i="7" s="1"/>
  <c r="H320" i="9"/>
  <c r="H586" i="9"/>
  <c r="K732" i="7"/>
  <c r="N732" i="7" s="1"/>
  <c r="G291" i="9"/>
  <c r="J234" i="7"/>
  <c r="M833" i="7"/>
  <c r="M804" i="7"/>
  <c r="G105" i="9"/>
  <c r="J826" i="7"/>
  <c r="M826" i="7" s="1"/>
  <c r="L543" i="7"/>
  <c r="H802" i="9"/>
  <c r="K719" i="7"/>
  <c r="N719" i="7" s="1"/>
  <c r="G96" i="9"/>
  <c r="J724" i="7"/>
  <c r="K986" i="7"/>
  <c r="N986" i="7" s="1"/>
  <c r="J98" i="7"/>
  <c r="K158" i="12"/>
  <c r="H485" i="9"/>
  <c r="K140" i="7"/>
  <c r="N140" i="7" s="1"/>
  <c r="H691" i="9"/>
  <c r="K272" i="7"/>
  <c r="N272" i="7" s="1"/>
  <c r="K690" i="7"/>
  <c r="N690" i="7" s="1"/>
  <c r="K432" i="7"/>
  <c r="N432" i="7" s="1"/>
  <c r="K470" i="7"/>
  <c r="N470" i="7" s="1"/>
  <c r="K680" i="7"/>
  <c r="N680" i="7" s="1"/>
  <c r="K581" i="7"/>
  <c r="N581" i="7" s="1"/>
  <c r="K529" i="7"/>
  <c r="N529" i="7" s="1"/>
  <c r="K103" i="7"/>
  <c r="N103" i="7" s="1"/>
  <c r="G88" i="9"/>
  <c r="J764" i="7"/>
  <c r="M764" i="7" s="1"/>
  <c r="G567" i="9"/>
  <c r="J416" i="7"/>
  <c r="J502" i="7"/>
  <c r="J227" i="7"/>
  <c r="M227" i="7" s="1"/>
  <c r="G666" i="9"/>
  <c r="G624" i="9"/>
  <c r="J673" i="7"/>
  <c r="M821" i="7"/>
  <c r="J75" i="7"/>
  <c r="G313" i="9"/>
  <c r="J539" i="7"/>
  <c r="K805" i="12"/>
  <c r="O850" i="7"/>
  <c r="M844" i="7"/>
  <c r="K674" i="12"/>
  <c r="K607" i="7"/>
  <c r="K2015" i="12"/>
  <c r="K173" i="7"/>
  <c r="N173" i="7" s="1"/>
  <c r="G774" i="9"/>
  <c r="J146" i="7"/>
  <c r="G441" i="9"/>
  <c r="J177" i="7"/>
  <c r="K2049" i="12"/>
  <c r="G271" i="9"/>
  <c r="J323" i="7"/>
  <c r="J77" i="7"/>
  <c r="K1007" i="12"/>
  <c r="H476" i="9"/>
  <c r="K730" i="7"/>
  <c r="N730" i="7" s="1"/>
  <c r="K1284" i="12"/>
  <c r="K590" i="7"/>
  <c r="N590" i="7" s="1"/>
  <c r="G215" i="9"/>
  <c r="J596" i="7"/>
  <c r="J324" i="7"/>
  <c r="K320" i="12"/>
  <c r="H304" i="9"/>
  <c r="K267" i="7"/>
  <c r="E947" i="7"/>
  <c r="C948" i="7"/>
  <c r="W917" i="7"/>
  <c r="Y917" i="7"/>
  <c r="U917" i="7"/>
  <c r="O894" i="7"/>
  <c r="K1595" i="12"/>
  <c r="K774" i="7"/>
  <c r="N774" i="7" s="1"/>
  <c r="G209" i="9"/>
  <c r="J781" i="7"/>
  <c r="K15" i="12"/>
  <c r="H695" i="9"/>
  <c r="K215" i="7"/>
  <c r="N215" i="7" s="1"/>
  <c r="J239" i="7"/>
  <c r="C655" i="7"/>
  <c r="E654" i="7"/>
  <c r="K1488" i="12"/>
  <c r="H251" i="9"/>
  <c r="K752" i="7"/>
  <c r="K1111" i="12"/>
  <c r="H216" i="9"/>
  <c r="K764" i="12"/>
  <c r="H76" i="9"/>
  <c r="K518" i="7"/>
  <c r="K465" i="7"/>
  <c r="D459" i="7"/>
  <c r="E458" i="7"/>
  <c r="E216" i="7"/>
  <c r="C217" i="7"/>
  <c r="G714" i="9"/>
  <c r="J669" i="7"/>
  <c r="K1777" i="12"/>
  <c r="J570" i="7"/>
  <c r="J500" i="7"/>
  <c r="J457" i="7"/>
  <c r="J415" i="7"/>
  <c r="K1731" i="12"/>
  <c r="K315" i="12"/>
  <c r="H683" i="9"/>
  <c r="K266" i="7"/>
  <c r="N266" i="7" s="1"/>
  <c r="G136" i="9"/>
  <c r="J802" i="7"/>
  <c r="I335" i="12"/>
  <c r="G595" i="9"/>
  <c r="J548" i="7"/>
  <c r="J555" i="7"/>
  <c r="G583" i="9"/>
  <c r="J638" i="7"/>
  <c r="J611" i="7"/>
  <c r="J534" i="7"/>
  <c r="J437" i="7"/>
  <c r="J475" i="7"/>
  <c r="G438" i="9"/>
  <c r="J1004" i="7"/>
  <c r="K1013" i="12"/>
  <c r="K704" i="12"/>
  <c r="G349" i="9"/>
  <c r="J696" i="7"/>
  <c r="K319" i="7"/>
  <c r="N319" i="7" s="1"/>
  <c r="K306" i="12"/>
  <c r="K706" i="7"/>
  <c r="K340" i="7"/>
  <c r="K191" i="12"/>
  <c r="H46" i="9"/>
  <c r="K285" i="7"/>
  <c r="N285" i="7" s="1"/>
  <c r="E800" i="7"/>
  <c r="C801" i="7"/>
  <c r="E551" i="7"/>
  <c r="C552" i="7"/>
  <c r="W574" i="7"/>
  <c r="Y574" i="7"/>
  <c r="U574" i="7"/>
  <c r="E336" i="7"/>
  <c r="C337" i="7"/>
  <c r="U137" i="7"/>
  <c r="Y137" i="7"/>
  <c r="W137" i="7"/>
  <c r="G219" i="9"/>
  <c r="J747" i="7"/>
  <c r="G357" i="9"/>
  <c r="J175" i="7"/>
  <c r="K978" i="7"/>
  <c r="N978" i="7" s="1"/>
  <c r="G319" i="9"/>
  <c r="J520" i="7"/>
  <c r="J522" i="7"/>
  <c r="J466" i="7"/>
  <c r="J427" i="7"/>
  <c r="K774" i="12"/>
  <c r="G228" i="9"/>
  <c r="J1001" i="7"/>
  <c r="K1477" i="12"/>
  <c r="K999" i="12"/>
  <c r="G83" i="9"/>
  <c r="J728" i="7"/>
  <c r="G618" i="9"/>
  <c r="J334" i="7"/>
  <c r="K252" i="12"/>
  <c r="U686" i="7"/>
  <c r="W686" i="7"/>
  <c r="Y686" i="7"/>
  <c r="W704" i="7"/>
  <c r="Y704" i="7"/>
  <c r="U704" i="7"/>
  <c r="K960" i="12"/>
  <c r="I957" i="12"/>
  <c r="G353" i="9" s="1"/>
  <c r="K2179" i="12"/>
  <c r="J943" i="7"/>
  <c r="K1575" i="12"/>
  <c r="H343" i="9"/>
  <c r="K820" i="7"/>
  <c r="K2128" i="12"/>
  <c r="K128" i="7"/>
  <c r="K1765" i="12"/>
  <c r="H569" i="9"/>
  <c r="K615" i="7"/>
  <c r="N615" i="7" s="1"/>
  <c r="K641" i="7"/>
  <c r="N641" i="7" s="1"/>
  <c r="G193" i="9"/>
  <c r="J370" i="7"/>
  <c r="J96" i="7"/>
  <c r="H86" i="9"/>
  <c r="K718" i="7"/>
  <c r="N718" i="7" s="1"/>
  <c r="G638" i="9"/>
  <c r="J397" i="7"/>
  <c r="G651" i="9"/>
  <c r="J616" i="7"/>
  <c r="K2095" i="12"/>
  <c r="G642" i="9"/>
  <c r="J167" i="7"/>
  <c r="H407" i="9"/>
  <c r="K962" i="7"/>
  <c r="N962" i="7" s="1"/>
  <c r="K1756" i="12"/>
  <c r="G288" i="9"/>
  <c r="J672" i="7"/>
  <c r="J671" i="7"/>
  <c r="J911" i="7"/>
  <c r="J646" i="7"/>
  <c r="J379" i="7"/>
  <c r="K415" i="12"/>
  <c r="H659" i="9"/>
  <c r="K328" i="7"/>
  <c r="N328" i="7" s="1"/>
  <c r="K820" i="12"/>
  <c r="H263" i="9"/>
  <c r="K408" i="7"/>
  <c r="N408" i="7" s="1"/>
  <c r="K835" i="12"/>
  <c r="J695" i="7"/>
  <c r="K915" i="12"/>
  <c r="G586" i="9"/>
  <c r="J732" i="7"/>
  <c r="J241" i="7"/>
  <c r="J335" i="7"/>
  <c r="U847" i="7"/>
  <c r="Y847" i="7"/>
  <c r="W847" i="7"/>
  <c r="K1992" i="12"/>
  <c r="H596" i="9"/>
  <c r="K660" i="7"/>
  <c r="N660" i="7" s="1"/>
  <c r="G497" i="9"/>
  <c r="J15" i="7"/>
  <c r="K1805" i="12"/>
  <c r="K2030" i="12"/>
  <c r="H712" i="9"/>
  <c r="K174" i="7"/>
  <c r="N174" i="7" s="1"/>
  <c r="G22" i="9"/>
  <c r="J105" i="7"/>
  <c r="J617" i="7"/>
  <c r="J795" i="7"/>
  <c r="K1168" i="12"/>
  <c r="K219" i="7"/>
  <c r="N219" i="7" s="1"/>
  <c r="K52" i="12"/>
  <c r="H507" i="9"/>
  <c r="G46" i="9"/>
  <c r="J285" i="7"/>
  <c r="E859" i="7"/>
  <c r="C860" i="7"/>
  <c r="Y663" i="7"/>
  <c r="W663" i="7"/>
  <c r="U663" i="7"/>
  <c r="E760" i="7"/>
  <c r="C761" i="7"/>
  <c r="E558" i="7"/>
  <c r="C559" i="7"/>
  <c r="U383" i="7"/>
  <c r="W383" i="7"/>
  <c r="Y383" i="7"/>
  <c r="K1131" i="12"/>
  <c r="H404" i="9"/>
  <c r="K94" i="7"/>
  <c r="N94" i="7" s="1"/>
  <c r="J301" i="7"/>
  <c r="J116" i="7"/>
  <c r="J50" i="7"/>
  <c r="J1062" i="12"/>
  <c r="H326" i="9" s="1"/>
  <c r="K1067" i="12"/>
  <c r="Y705" i="7"/>
  <c r="W705" i="7"/>
  <c r="U705" i="7"/>
  <c r="E481" i="7"/>
  <c r="C482" i="7"/>
  <c r="G615" i="9"/>
  <c r="J801" i="7"/>
  <c r="I2071" i="12"/>
  <c r="I2085" i="12"/>
  <c r="G677" i="9"/>
  <c r="J625" i="7"/>
  <c r="J492" i="7"/>
  <c r="J565" i="7"/>
  <c r="J452" i="7"/>
  <c r="J409" i="7"/>
  <c r="J170" i="7"/>
  <c r="K2000" i="12"/>
  <c r="K1599" i="12"/>
  <c r="H157" i="9"/>
  <c r="K775" i="7"/>
  <c r="N775" i="7" s="1"/>
  <c r="G229" i="9"/>
  <c r="J97" i="7"/>
  <c r="H420" i="9"/>
  <c r="K754" i="7"/>
  <c r="N754" i="7" s="1"/>
  <c r="G394" i="9"/>
  <c r="J950" i="7"/>
  <c r="K2202" i="12"/>
  <c r="J2088" i="12"/>
  <c r="I2088" i="12"/>
  <c r="K2109" i="12"/>
  <c r="K116" i="7"/>
  <c r="N116" i="7" s="1"/>
  <c r="G197" i="9"/>
  <c r="J783" i="7"/>
  <c r="K1367" i="12"/>
  <c r="H675" i="9"/>
  <c r="K762" i="7"/>
  <c r="N762" i="7" s="1"/>
  <c r="J1104" i="12"/>
  <c r="H306" i="9" s="1"/>
  <c r="K1106" i="12"/>
  <c r="K443" i="12"/>
  <c r="H641" i="9"/>
  <c r="K318" i="7"/>
  <c r="N318" i="7" s="1"/>
  <c r="K1020" i="12"/>
  <c r="K369" i="12"/>
  <c r="J270" i="7"/>
  <c r="E680" i="7"/>
  <c r="C681" i="7"/>
  <c r="U358" i="7"/>
  <c r="Y358" i="7"/>
  <c r="W358" i="7"/>
  <c r="Y342" i="7"/>
  <c r="W342" i="7"/>
  <c r="U342" i="7"/>
  <c r="W263" i="7"/>
  <c r="U263" i="7"/>
  <c r="Y263" i="7"/>
  <c r="G244" i="9"/>
  <c r="J748" i="7"/>
  <c r="K1330" i="12"/>
  <c r="K581" i="12"/>
  <c r="H697" i="9"/>
  <c r="K791" i="7"/>
  <c r="N791" i="7" s="1"/>
  <c r="G247" i="9"/>
  <c r="J284" i="7"/>
  <c r="W897" i="7"/>
  <c r="U897" i="7"/>
  <c r="Y897" i="7"/>
  <c r="E825" i="7"/>
  <c r="C826" i="7"/>
  <c r="E826" i="7" s="1"/>
  <c r="E794" i="7"/>
  <c r="C795" i="7"/>
  <c r="E795" i="7" s="1"/>
  <c r="C694" i="7"/>
  <c r="E693" i="7"/>
  <c r="U603" i="7"/>
  <c r="W603" i="7"/>
  <c r="Y603" i="7"/>
  <c r="Y424" i="7"/>
  <c r="W424" i="7"/>
  <c r="U424" i="7"/>
  <c r="K1362" i="12"/>
  <c r="I1360" i="12"/>
  <c r="G280" i="9" s="1"/>
  <c r="H657" i="9"/>
  <c r="K836" i="7"/>
  <c r="N836" i="7" s="1"/>
  <c r="G279" i="9"/>
  <c r="J378" i="7"/>
  <c r="K1713" i="12"/>
  <c r="G501" i="9"/>
  <c r="J829" i="7"/>
  <c r="G622" i="9"/>
  <c r="J770" i="7"/>
  <c r="G422" i="9"/>
  <c r="J729" i="7"/>
  <c r="K1151" i="12"/>
  <c r="G771" i="9"/>
  <c r="J250" i="7"/>
  <c r="G263" i="9"/>
  <c r="J408" i="7"/>
  <c r="G377" i="9"/>
  <c r="J713" i="7"/>
  <c r="K933" i="12"/>
  <c r="K1210" i="12"/>
  <c r="H229" i="9"/>
  <c r="K97" i="7"/>
  <c r="N97" i="7" s="1"/>
  <c r="G359" i="9"/>
  <c r="J601" i="7"/>
  <c r="K730" i="12"/>
  <c r="K1290" i="12"/>
  <c r="H261" i="9"/>
  <c r="K619" i="7"/>
  <c r="G214" i="9"/>
  <c r="J700" i="7"/>
  <c r="Y890" i="7"/>
  <c r="W890" i="7"/>
  <c r="U890" i="7"/>
  <c r="C531" i="7"/>
  <c r="E530" i="7"/>
  <c r="W536" i="7"/>
  <c r="Y536" i="7"/>
  <c r="U536" i="7"/>
  <c r="Y401" i="7"/>
  <c r="W401" i="7"/>
  <c r="U401" i="7"/>
  <c r="C245" i="7"/>
  <c r="E244" i="7"/>
  <c r="H1437" i="12"/>
  <c r="I1437" i="12"/>
  <c r="E206" i="7"/>
  <c r="C207" i="7"/>
  <c r="K1393" i="12"/>
  <c r="I1388" i="12"/>
  <c r="G730" i="9" s="1"/>
  <c r="K1125" i="12"/>
  <c r="H774" i="9"/>
  <c r="K146" i="7"/>
  <c r="N146" i="7" s="1"/>
  <c r="J788" i="7"/>
  <c r="K1639" i="12"/>
  <c r="K1117" i="12"/>
  <c r="H716" i="9"/>
  <c r="K953" i="7"/>
  <c r="N953" i="7" s="1"/>
  <c r="K838" i="7"/>
  <c r="N838" i="7" s="1"/>
  <c r="K1744" i="12"/>
  <c r="K519" i="7"/>
  <c r="G766" i="9"/>
  <c r="J320" i="7"/>
  <c r="J564" i="7"/>
  <c r="J407" i="7"/>
  <c r="J451" i="7"/>
  <c r="J490" i="7"/>
  <c r="K890" i="12"/>
  <c r="K564" i="7"/>
  <c r="N564" i="7" s="1"/>
  <c r="K451" i="7"/>
  <c r="N451" i="7" s="1"/>
  <c r="K490" i="7"/>
  <c r="N490" i="7" s="1"/>
  <c r="K407" i="7"/>
  <c r="N407" i="7" s="1"/>
  <c r="J83" i="7"/>
  <c r="E985" i="7"/>
  <c r="C986" i="7"/>
  <c r="E887" i="7"/>
  <c r="C888" i="7"/>
  <c r="W537" i="7"/>
  <c r="U537" i="7"/>
  <c r="Y537" i="7"/>
  <c r="O34" i="7"/>
  <c r="G568" i="9"/>
  <c r="J228" i="7"/>
  <c r="K665" i="12"/>
  <c r="E733" i="7"/>
  <c r="C734" i="7"/>
  <c r="E734" i="7" s="1"/>
  <c r="K2160" i="12"/>
  <c r="H493" i="9"/>
  <c r="K664" i="7"/>
  <c r="J793" i="7"/>
  <c r="E592" i="7"/>
  <c r="C593" i="7"/>
  <c r="H365" i="9"/>
  <c r="K991" i="7"/>
  <c r="N991" i="7" s="1"/>
  <c r="K617" i="12"/>
  <c r="H583" i="9"/>
  <c r="K611" i="7"/>
  <c r="N611" i="7" s="1"/>
  <c r="K638" i="7"/>
  <c r="N638" i="7" s="1"/>
  <c r="K475" i="7"/>
  <c r="N475" i="7" s="1"/>
  <c r="K534" i="7"/>
  <c r="N534" i="7" s="1"/>
  <c r="K437" i="7"/>
  <c r="N437" i="7" s="1"/>
  <c r="J598" i="7"/>
  <c r="K1543" i="12"/>
  <c r="H231" i="9"/>
  <c r="K813" i="7"/>
  <c r="J590" i="7"/>
  <c r="J605" i="7"/>
  <c r="G569" i="9"/>
  <c r="J641" i="7"/>
  <c r="J615" i="7"/>
  <c r="J499" i="7"/>
  <c r="K1736" i="12"/>
  <c r="G248" i="9"/>
  <c r="J778" i="7"/>
  <c r="K1235" i="12"/>
  <c r="H720" i="9"/>
  <c r="K608" i="7"/>
  <c r="N608" i="7" s="1"/>
  <c r="G602" i="9"/>
  <c r="J938" i="7"/>
  <c r="K722" i="12"/>
  <c r="H593" i="9"/>
  <c r="K629" i="7"/>
  <c r="K568" i="7"/>
  <c r="K455" i="7"/>
  <c r="K496" i="7"/>
  <c r="K413" i="7"/>
  <c r="G141" i="9"/>
  <c r="J330" i="7"/>
  <c r="K409" i="12"/>
  <c r="K900" i="12"/>
  <c r="K440" i="7"/>
  <c r="K552" i="7"/>
  <c r="K477" i="7"/>
  <c r="K760" i="12"/>
  <c r="K443" i="7"/>
  <c r="K376" i="7"/>
  <c r="Y904" i="7"/>
  <c r="W904" i="7"/>
  <c r="U904" i="7"/>
  <c r="Y544" i="7"/>
  <c r="W544" i="7"/>
  <c r="U544" i="7"/>
  <c r="Y237" i="7"/>
  <c r="W237" i="7"/>
  <c r="U237" i="7"/>
  <c r="G191" i="9"/>
  <c r="J737" i="7"/>
  <c r="K1258" i="12"/>
  <c r="H638" i="9"/>
  <c r="K397" i="7"/>
  <c r="N397" i="7" s="1"/>
  <c r="K627" i="12"/>
  <c r="H782" i="9"/>
  <c r="K612" i="7"/>
  <c r="N612" i="7" s="1"/>
  <c r="K639" i="7"/>
  <c r="N639" i="7" s="1"/>
  <c r="K825" i="12"/>
  <c r="J912" i="7"/>
  <c r="J647" i="7"/>
  <c r="J380" i="7"/>
  <c r="K101" i="12"/>
  <c r="K242" i="7"/>
  <c r="N242" i="7" s="1"/>
  <c r="K635" i="12"/>
  <c r="H663" i="9"/>
  <c r="K410" i="7"/>
  <c r="K1155" i="12"/>
  <c r="K243" i="7"/>
  <c r="N243" i="7" s="1"/>
  <c r="K1752" i="12"/>
  <c r="K540" i="7"/>
  <c r="N540" i="7" s="1"/>
  <c r="K1499" i="12"/>
  <c r="G725" i="9"/>
  <c r="J799" i="7"/>
  <c r="K1338" i="12"/>
  <c r="H115" i="9"/>
  <c r="K749" i="7"/>
  <c r="K659" i="12"/>
  <c r="J690" i="7"/>
  <c r="J680" i="7"/>
  <c r="J581" i="7"/>
  <c r="J529" i="7"/>
  <c r="J470" i="7"/>
  <c r="J432" i="7"/>
  <c r="K810" i="12"/>
  <c r="G21" i="9"/>
  <c r="J353" i="7"/>
  <c r="K840" i="12"/>
  <c r="G268" i="9"/>
  <c r="J337" i="7"/>
  <c r="E832" i="7"/>
  <c r="C833" i="7"/>
  <c r="E833" i="7" s="1"/>
  <c r="Y622" i="7"/>
  <c r="W622" i="7"/>
  <c r="U622" i="7"/>
  <c r="C463" i="7"/>
  <c r="U495" i="7"/>
  <c r="Y495" i="7"/>
  <c r="W495" i="7"/>
  <c r="E188" i="7"/>
  <c r="C189" i="7"/>
  <c r="J2074" i="12"/>
  <c r="J2070" i="12" s="1"/>
  <c r="H672" i="9" s="1"/>
  <c r="I2074" i="12"/>
  <c r="K1563" i="12"/>
  <c r="G25" i="9"/>
  <c r="J814" i="7"/>
  <c r="K1958" i="12"/>
  <c r="H1230" i="12" s="1"/>
  <c r="J1230" i="12"/>
  <c r="J1229" i="12" s="1"/>
  <c r="H122" i="9" s="1"/>
  <c r="K1615" i="12"/>
  <c r="H209" i="9"/>
  <c r="K781" i="7"/>
  <c r="N781" i="7" s="1"/>
  <c r="K991" i="12"/>
  <c r="K725" i="7"/>
  <c r="N725" i="7" s="1"/>
  <c r="H775" i="9"/>
  <c r="K987" i="7"/>
  <c r="N987" i="7" s="1"/>
  <c r="K1322" i="12"/>
  <c r="H219" i="9"/>
  <c r="K747" i="7"/>
  <c r="N747" i="7" s="1"/>
  <c r="K881" i="12"/>
  <c r="H401" i="9"/>
  <c r="K613" i="7"/>
  <c r="K1721" i="12"/>
  <c r="H560" i="9"/>
  <c r="K554" i="7"/>
  <c r="N554" i="7" s="1"/>
  <c r="K547" i="7"/>
  <c r="N547" i="7" s="1"/>
  <c r="G335" i="9"/>
  <c r="J530" i="7"/>
  <c r="J682" i="7"/>
  <c r="J471" i="7"/>
  <c r="J635" i="7"/>
  <c r="J582" i="7"/>
  <c r="K1406" i="12"/>
  <c r="G542" i="9"/>
  <c r="J771" i="7"/>
  <c r="G314" i="9"/>
  <c r="J817" i="7"/>
  <c r="H498" i="9"/>
  <c r="K766" i="7"/>
  <c r="N766" i="7" s="1"/>
  <c r="J219" i="7"/>
  <c r="K231" i="12"/>
  <c r="H383" i="9"/>
  <c r="K302" i="7"/>
  <c r="G179" i="9"/>
  <c r="J860" i="7"/>
  <c r="J44" i="7"/>
  <c r="G379" i="9"/>
  <c r="J225" i="7"/>
  <c r="G763" i="9"/>
  <c r="J142" i="7"/>
  <c r="K166" i="12"/>
  <c r="G507" i="9"/>
  <c r="K67" i="12"/>
  <c r="Y886" i="7"/>
  <c r="U886" i="7"/>
  <c r="Y631" i="7"/>
  <c r="U631" i="7"/>
  <c r="W631" i="7"/>
  <c r="W514" i="7"/>
  <c r="Y514" i="7"/>
  <c r="U514" i="7"/>
  <c r="C399" i="7"/>
  <c r="E398" i="7"/>
  <c r="W157" i="7"/>
  <c r="Y157" i="7"/>
  <c r="U157" i="7"/>
  <c r="K1654" i="12"/>
  <c r="H451" i="9"/>
  <c r="K825" i="7"/>
  <c r="J103" i="7"/>
  <c r="G565" i="9"/>
  <c r="J681" i="7"/>
  <c r="J634" i="7"/>
  <c r="J433" i="7"/>
  <c r="K1252" i="12"/>
  <c r="H193" i="9"/>
  <c r="K370" i="7"/>
  <c r="N370" i="7" s="1"/>
  <c r="K683" i="12"/>
  <c r="H483" i="9"/>
  <c r="K667" i="7"/>
  <c r="K521" i="12"/>
  <c r="H686" i="9"/>
  <c r="K329" i="7"/>
  <c r="K185" i="12"/>
  <c r="Y707" i="7"/>
  <c r="W707" i="7"/>
  <c r="U707" i="7"/>
  <c r="Y357" i="7"/>
  <c r="W357" i="7"/>
  <c r="U357" i="7"/>
  <c r="U412" i="7"/>
  <c r="Y412" i="7"/>
  <c r="W412" i="7"/>
  <c r="K1481" i="12"/>
  <c r="H41" i="9"/>
  <c r="K751" i="7"/>
  <c r="H627" i="9"/>
  <c r="K995" i="7"/>
  <c r="N995" i="7" s="1"/>
  <c r="G521" i="9"/>
  <c r="J776" i="7"/>
  <c r="K913" i="12"/>
  <c r="H381" i="9"/>
  <c r="K521" i="7"/>
  <c r="K1696" i="12"/>
  <c r="H88" i="9"/>
  <c r="K764" i="7"/>
  <c r="K1674" i="12"/>
  <c r="H501" i="9"/>
  <c r="K829" i="7"/>
  <c r="N829" i="7" s="1"/>
  <c r="K980" i="7"/>
  <c r="N980" i="7" s="1"/>
  <c r="H727" i="9"/>
  <c r="K1611" i="12"/>
  <c r="H248" i="9"/>
  <c r="K778" i="7"/>
  <c r="N778" i="7" s="1"/>
  <c r="K815" i="12"/>
  <c r="H667" i="9"/>
  <c r="K624" i="7"/>
  <c r="N624" i="7" s="1"/>
  <c r="K491" i="7"/>
  <c r="N491" i="7" s="1"/>
  <c r="J626" i="7"/>
  <c r="J493" i="7"/>
  <c r="K647" i="12"/>
  <c r="Y594" i="7"/>
  <c r="U594" i="7"/>
  <c r="W594" i="7"/>
  <c r="E152" i="7"/>
  <c r="C153" i="7"/>
  <c r="H385" i="9"/>
  <c r="K999" i="7"/>
  <c r="N999" i="7" s="1"/>
  <c r="G659" i="9"/>
  <c r="J328" i="7"/>
  <c r="K585" i="12"/>
  <c r="G682" i="9"/>
  <c r="J831" i="7"/>
  <c r="G352" i="9"/>
  <c r="J153" i="7"/>
  <c r="G81" i="9"/>
  <c r="J661" i="7"/>
  <c r="K175" i="12"/>
  <c r="H408" i="9"/>
  <c r="K181" i="7"/>
  <c r="N181" i="7" s="1"/>
  <c r="C661" i="7"/>
  <c r="E660" i="7"/>
  <c r="Y346" i="7"/>
  <c r="W346" i="7"/>
  <c r="U346" i="7"/>
  <c r="Y206" i="7"/>
  <c r="W206" i="7"/>
  <c r="U206" i="7"/>
  <c r="W229" i="7"/>
  <c r="U229" i="7"/>
  <c r="Y229" i="7"/>
  <c r="J79" i="7"/>
  <c r="G59" i="9"/>
  <c r="J160" i="7"/>
  <c r="H185" i="9"/>
  <c r="K993" i="7"/>
  <c r="N993" i="7" s="1"/>
  <c r="K209" i="12"/>
  <c r="H195" i="9"/>
  <c r="K288" i="7"/>
  <c r="N288" i="7" s="1"/>
  <c r="K1185" i="12"/>
  <c r="K96" i="7"/>
  <c r="N96" i="7" s="1"/>
  <c r="K655" i="12"/>
  <c r="H762" i="9"/>
  <c r="K553" i="7"/>
  <c r="N553" i="7" s="1"/>
  <c r="G454" i="9"/>
  <c r="J645" i="7"/>
  <c r="J373" i="7"/>
  <c r="K923" i="12"/>
  <c r="H746" i="9"/>
  <c r="K734" i="7"/>
  <c r="H523" i="9"/>
  <c r="K759" i="7"/>
  <c r="N759" i="7" s="1"/>
  <c r="K1855" i="12"/>
  <c r="I1853" i="12"/>
  <c r="K1853" i="12" s="1"/>
  <c r="I1832" i="12"/>
  <c r="K1832" i="12" s="1"/>
  <c r="H650" i="9"/>
  <c r="K717" i="7"/>
  <c r="N717" i="7" s="1"/>
  <c r="K93" i="12"/>
  <c r="K241" i="7"/>
  <c r="N241" i="7" s="1"/>
  <c r="E820" i="7"/>
  <c r="C821" i="7"/>
  <c r="E687" i="7"/>
  <c r="C688" i="7"/>
  <c r="W573" i="7"/>
  <c r="Y573" i="7"/>
  <c r="U573" i="7"/>
  <c r="Y461" i="7"/>
  <c r="W461" i="7"/>
  <c r="U461" i="7"/>
  <c r="Y359" i="7"/>
  <c r="W359" i="7"/>
  <c r="U359" i="7"/>
  <c r="U483" i="7"/>
  <c r="Y483" i="7"/>
  <c r="W483" i="7"/>
  <c r="E366" i="7"/>
  <c r="C367" i="7"/>
  <c r="E367" i="7" s="1"/>
  <c r="C391" i="7"/>
  <c r="E390" i="7"/>
  <c r="U481" i="7"/>
  <c r="Y481" i="7"/>
  <c r="W481" i="7"/>
  <c r="Y207" i="7"/>
  <c r="W207" i="7"/>
  <c r="U207" i="7"/>
  <c r="Y197" i="7"/>
  <c r="W197" i="7"/>
  <c r="U197" i="7"/>
  <c r="C59" i="7"/>
  <c r="E58" i="7"/>
  <c r="G560" i="9"/>
  <c r="J554" i="7"/>
  <c r="J547" i="7"/>
  <c r="K1198" i="12"/>
  <c r="K93" i="7"/>
  <c r="N93" i="7" s="1"/>
  <c r="K1264" i="12"/>
  <c r="K442" i="7"/>
  <c r="N442" i="7" s="1"/>
  <c r="G509" i="9"/>
  <c r="J365" i="7"/>
  <c r="G199" i="9"/>
  <c r="J156" i="7"/>
  <c r="U851" i="7"/>
  <c r="W851" i="7"/>
  <c r="Y851" i="7"/>
  <c r="Y902" i="7"/>
  <c r="W902" i="7"/>
  <c r="U902" i="7"/>
  <c r="C842" i="7"/>
  <c r="E842" i="7" s="1"/>
  <c r="E841" i="7"/>
  <c r="E746" i="7"/>
  <c r="C747" i="7"/>
  <c r="U513" i="7"/>
  <c r="Y513" i="7"/>
  <c r="W513" i="7"/>
  <c r="J243" i="7"/>
  <c r="J597" i="7"/>
  <c r="K259" i="12"/>
  <c r="K335" i="7"/>
  <c r="N335" i="7" s="1"/>
  <c r="U927" i="7"/>
  <c r="Y927" i="7"/>
  <c r="W927" i="7"/>
  <c r="C756" i="7"/>
  <c r="E755" i="7"/>
  <c r="Y386" i="7"/>
  <c r="U386" i="7"/>
  <c r="W386" i="7"/>
  <c r="M199" i="7"/>
  <c r="K535" i="12"/>
  <c r="I534" i="12"/>
  <c r="W138" i="7"/>
  <c r="U138" i="7"/>
  <c r="Y138" i="7"/>
  <c r="G436" i="9"/>
  <c r="J100" i="7"/>
  <c r="G519" i="9"/>
  <c r="J165" i="7"/>
  <c r="G596" i="9"/>
  <c r="J660" i="7"/>
  <c r="H111" i="9"/>
  <c r="K756" i="7"/>
  <c r="N756" i="7" s="1"/>
  <c r="K1531" i="12"/>
  <c r="J808" i="7"/>
  <c r="G134" i="9"/>
  <c r="J768" i="7"/>
  <c r="G540" i="9"/>
  <c r="J975" i="7"/>
  <c r="K1843" i="12"/>
  <c r="H1855" i="12" s="1"/>
  <c r="G481" i="9"/>
  <c r="J627" i="7"/>
  <c r="J566" i="7"/>
  <c r="J453" i="7"/>
  <c r="J494" i="7"/>
  <c r="J411" i="7"/>
  <c r="J976" i="7"/>
  <c r="G375" i="9"/>
  <c r="G140" i="9"/>
  <c r="J398" i="7"/>
  <c r="J374" i="7"/>
  <c r="G341" i="9"/>
  <c r="J722" i="7"/>
  <c r="K502" i="12"/>
  <c r="H271" i="9"/>
  <c r="K323" i="7"/>
  <c r="N323" i="7" s="1"/>
  <c r="G163" i="9"/>
  <c r="J920" i="7"/>
  <c r="K420" i="12"/>
  <c r="H492" i="9"/>
  <c r="K271" i="7"/>
  <c r="G695" i="9"/>
  <c r="J215" i="7"/>
  <c r="K10" i="12"/>
  <c r="H362" i="9"/>
  <c r="K226" i="7"/>
  <c r="U852" i="7"/>
  <c r="Y852" i="7"/>
  <c r="W852" i="7"/>
  <c r="G43" i="9"/>
  <c r="J942" i="7"/>
  <c r="K2182" i="12"/>
  <c r="J944" i="7"/>
  <c r="G687" i="9"/>
  <c r="J20" i="7"/>
  <c r="K1314" i="12"/>
  <c r="H575" i="9"/>
  <c r="K746" i="7"/>
  <c r="N746" i="7" s="1"/>
  <c r="K1700" i="12"/>
  <c r="H134" i="9"/>
  <c r="K768" i="7"/>
  <c r="N768" i="7" s="1"/>
  <c r="K1280" i="12"/>
  <c r="K557" i="7"/>
  <c r="N557" i="7" s="1"/>
  <c r="G112" i="9"/>
  <c r="J687" i="7"/>
  <c r="G649" i="9"/>
  <c r="J668" i="7"/>
  <c r="G476" i="9"/>
  <c r="J730" i="7"/>
  <c r="K1511" i="12"/>
  <c r="H136" i="9"/>
  <c r="K802" i="7"/>
  <c r="N802" i="7" s="1"/>
  <c r="K985" i="7"/>
  <c r="N985" i="7" s="1"/>
  <c r="J163" i="7"/>
  <c r="K1045" i="12"/>
  <c r="G592" i="9"/>
  <c r="J47" i="7"/>
  <c r="J53" i="7"/>
  <c r="J33" i="7"/>
  <c r="J73" i="7"/>
  <c r="J65" i="7"/>
  <c r="G241" i="9"/>
  <c r="J662" i="7"/>
  <c r="K460" i="12"/>
  <c r="H766" i="9"/>
  <c r="K320" i="7"/>
  <c r="N320" i="7" s="1"/>
  <c r="J585" i="7"/>
  <c r="J586" i="7"/>
  <c r="J474" i="7"/>
  <c r="J436" i="7"/>
  <c r="J533" i="7"/>
  <c r="K1026" i="12"/>
  <c r="H179" i="9"/>
  <c r="K860" i="7"/>
  <c r="N860" i="7" s="1"/>
  <c r="K44" i="7"/>
  <c r="N44" i="7" s="1"/>
  <c r="G240" i="9"/>
  <c r="J367" i="7"/>
  <c r="K399" i="12"/>
  <c r="H505" i="9"/>
  <c r="K331" i="7"/>
  <c r="G246" i="9"/>
  <c r="J246" i="7"/>
  <c r="J268" i="7"/>
  <c r="Y650" i="7"/>
  <c r="W650" i="7"/>
  <c r="U650" i="7"/>
  <c r="C635" i="7"/>
  <c r="E634" i="7"/>
  <c r="U560" i="7"/>
  <c r="Y560" i="7"/>
  <c r="W560" i="7"/>
  <c r="U425" i="7"/>
  <c r="W425" i="7"/>
  <c r="Y425" i="7"/>
  <c r="Y462" i="7"/>
  <c r="U462" i="7"/>
  <c r="W462" i="7"/>
  <c r="E180" i="7"/>
  <c r="C181" i="7"/>
  <c r="Y309" i="7"/>
  <c r="W309" i="7"/>
  <c r="U309" i="7"/>
  <c r="Y124" i="7"/>
  <c r="W124" i="7"/>
  <c r="U124" i="7"/>
  <c r="I1687" i="12"/>
  <c r="H1687" i="12"/>
  <c r="E135" i="7"/>
  <c r="C136" i="7"/>
  <c r="W172" i="7"/>
  <c r="U172" i="7"/>
  <c r="Y172" i="7"/>
  <c r="I1011" i="12"/>
  <c r="G95" i="9" s="1"/>
  <c r="K1012" i="12"/>
  <c r="O23" i="7"/>
  <c r="M21" i="7"/>
  <c r="F17" i="4" s="1"/>
  <c r="I541" i="12"/>
  <c r="K542" i="12"/>
  <c r="K106" i="13"/>
  <c r="Y37" i="7"/>
  <c r="W37" i="7"/>
  <c r="U37" i="7"/>
  <c r="Y422" i="7"/>
  <c r="W422" i="7"/>
  <c r="U422" i="7"/>
  <c r="Y295" i="7"/>
  <c r="U295" i="7"/>
  <c r="W295" i="7"/>
  <c r="Y343" i="7"/>
  <c r="W343" i="7"/>
  <c r="U343" i="7"/>
  <c r="J173" i="7"/>
  <c r="K1996" i="12"/>
  <c r="H357" i="9"/>
  <c r="K175" i="7"/>
  <c r="N175" i="7" s="1"/>
  <c r="K1619" i="12"/>
  <c r="H197" i="9"/>
  <c r="K783" i="7"/>
  <c r="N783" i="7" s="1"/>
  <c r="G599" i="9"/>
  <c r="J923" i="7"/>
  <c r="G405" i="9"/>
  <c r="J786" i="7"/>
  <c r="G292" i="9"/>
  <c r="J785" i="7"/>
  <c r="K951" i="12"/>
  <c r="G9" i="9"/>
  <c r="J697" i="7"/>
  <c r="J689" i="7"/>
  <c r="J636" i="7"/>
  <c r="J531" i="7"/>
  <c r="J584" i="7"/>
  <c r="J583" i="7"/>
  <c r="J609" i="7"/>
  <c r="J472" i="7"/>
  <c r="J434" i="7"/>
  <c r="G762" i="9"/>
  <c r="J553" i="7"/>
  <c r="G691" i="9"/>
  <c r="J272" i="7"/>
  <c r="K800" i="12"/>
  <c r="H489" i="9"/>
  <c r="K588" i="7"/>
  <c r="N588" i="7" s="1"/>
  <c r="J242" i="7"/>
  <c r="K373" i="12"/>
  <c r="K523" i="12"/>
  <c r="K363" i="7"/>
  <c r="N363" i="7" s="1"/>
  <c r="G683" i="9"/>
  <c r="J266" i="7"/>
  <c r="E901" i="7"/>
  <c r="C902" i="7"/>
  <c r="C903" i="7" s="1"/>
  <c r="C942" i="7"/>
  <c r="E941" i="7"/>
  <c r="Y901" i="7"/>
  <c r="W901" i="7"/>
  <c r="U901" i="7"/>
  <c r="E894" i="7"/>
  <c r="C895" i="7"/>
  <c r="C776" i="7"/>
  <c r="E775" i="7"/>
  <c r="C706" i="7"/>
  <c r="E705" i="7"/>
  <c r="U525" i="7"/>
  <c r="Y525" i="7"/>
  <c r="W525" i="7"/>
  <c r="Y448" i="7"/>
  <c r="W448" i="7"/>
  <c r="U448" i="7"/>
  <c r="U482" i="7"/>
  <c r="Y482" i="7"/>
  <c r="W482" i="7"/>
  <c r="Y356" i="7"/>
  <c r="W356" i="7"/>
  <c r="U356" i="7"/>
  <c r="E318" i="7"/>
  <c r="C319" i="7"/>
  <c r="U230" i="7"/>
  <c r="Y230" i="7"/>
  <c r="W230" i="7"/>
  <c r="Y16" i="7"/>
  <c r="W16" i="7"/>
  <c r="U16" i="7"/>
  <c r="I1453" i="12"/>
  <c r="H1453" i="12"/>
  <c r="Y39" i="7"/>
  <c r="W39" i="7"/>
  <c r="U39" i="7"/>
  <c r="W935" i="7"/>
  <c r="U935" i="7"/>
  <c r="Y935" i="7"/>
  <c r="C785" i="7"/>
  <c r="E784" i="7"/>
  <c r="U484" i="7"/>
  <c r="Y484" i="7"/>
  <c r="W484" i="7"/>
  <c r="C444" i="7"/>
  <c r="E443" i="7"/>
  <c r="Y326" i="7"/>
  <c r="W326" i="7"/>
  <c r="U326" i="7"/>
  <c r="Y134" i="7"/>
  <c r="W134" i="7"/>
  <c r="U134" i="7"/>
  <c r="I527" i="12"/>
  <c r="G230" i="9" s="1"/>
  <c r="K528" i="12"/>
  <c r="Y221" i="7"/>
  <c r="W221" i="7"/>
  <c r="U221" i="7"/>
  <c r="E202" i="7"/>
  <c r="C203" i="7"/>
  <c r="E203" i="7" s="1"/>
  <c r="K1355" i="12"/>
  <c r="I1353" i="12"/>
  <c r="H1421" i="12"/>
  <c r="I1421" i="12"/>
  <c r="C572" i="7"/>
  <c r="E571" i="7"/>
  <c r="U468" i="7"/>
  <c r="Y468" i="7"/>
  <c r="W468" i="7"/>
  <c r="U208" i="7"/>
  <c r="Y208" i="7"/>
  <c r="W208" i="7"/>
  <c r="E249" i="7"/>
  <c r="C250" i="7"/>
  <c r="Y205" i="7"/>
  <c r="W205" i="7"/>
  <c r="U205" i="7"/>
  <c r="O86" i="7"/>
  <c r="C172" i="7"/>
  <c r="E171" i="7"/>
  <c r="Y151" i="7"/>
  <c r="W151" i="7"/>
  <c r="U151" i="7"/>
  <c r="W25" i="7"/>
  <c r="U25" i="7"/>
  <c r="Y25" i="7"/>
  <c r="U562" i="7"/>
  <c r="W562" i="7"/>
  <c r="Y562" i="7"/>
  <c r="E278" i="7"/>
  <c r="C279" i="7"/>
  <c r="E255" i="7"/>
  <c r="C256" i="7"/>
  <c r="W385" i="7"/>
  <c r="Y385" i="7"/>
  <c r="U385" i="7"/>
  <c r="I2076" i="12"/>
  <c r="G2079" i="12"/>
  <c r="J2076" i="12"/>
  <c r="K1812" i="12"/>
  <c r="H687" i="9"/>
  <c r="K20" i="7"/>
  <c r="N20" i="7" s="1"/>
  <c r="J540" i="7"/>
  <c r="G93" i="9"/>
  <c r="J189" i="7"/>
  <c r="J774" i="7"/>
  <c r="K1539" i="12"/>
  <c r="K809" i="7"/>
  <c r="G157" i="9"/>
  <c r="J775" i="7"/>
  <c r="H282" i="9"/>
  <c r="J712" i="7"/>
  <c r="K1635" i="12"/>
  <c r="H292" i="9"/>
  <c r="K785" i="7"/>
  <c r="N785" i="7" s="1"/>
  <c r="G675" i="9"/>
  <c r="J762" i="7"/>
  <c r="J11" i="7"/>
  <c r="K795" i="12"/>
  <c r="K587" i="7"/>
  <c r="N587" i="7" s="1"/>
  <c r="K614" i="7"/>
  <c r="N614" i="7" s="1"/>
  <c r="K640" i="7"/>
  <c r="N640" i="7" s="1"/>
  <c r="K538" i="7"/>
  <c r="N538" i="7" s="1"/>
  <c r="K438" i="7"/>
  <c r="N438" i="7" s="1"/>
  <c r="K476" i="7"/>
  <c r="N476" i="7" s="1"/>
  <c r="K651" i="12"/>
  <c r="G598" i="9"/>
  <c r="J546" i="7"/>
  <c r="G348" i="9"/>
  <c r="J317" i="7"/>
  <c r="G404" i="9"/>
  <c r="J94" i="7"/>
  <c r="G667" i="9"/>
  <c r="J624" i="7"/>
  <c r="J491" i="7"/>
  <c r="K865" i="12"/>
  <c r="H9" i="9"/>
  <c r="K697" i="7"/>
  <c r="N697" i="7" s="1"/>
  <c r="J442" i="7"/>
  <c r="G473" i="9"/>
  <c r="J517" i="7"/>
  <c r="G697" i="9"/>
  <c r="J791" i="7"/>
  <c r="K1173" i="12"/>
  <c r="H750" i="9"/>
  <c r="K95" i="7"/>
  <c r="N95" i="7" s="1"/>
  <c r="G548" i="9"/>
  <c r="J262" i="7"/>
  <c r="G641" i="9"/>
  <c r="J318" i="7"/>
  <c r="G334" i="9"/>
  <c r="J303" i="7"/>
  <c r="J248" i="7"/>
  <c r="W972" i="7"/>
  <c r="Y972" i="7"/>
  <c r="U972" i="7"/>
  <c r="C981" i="7"/>
  <c r="E980" i="7"/>
  <c r="E725" i="7"/>
  <c r="C726" i="7"/>
  <c r="E726" i="7" s="1"/>
  <c r="U523" i="7"/>
  <c r="Y523" i="7"/>
  <c r="W523" i="7"/>
  <c r="Y458" i="7"/>
  <c r="W458" i="7"/>
  <c r="U458" i="7"/>
  <c r="E544" i="7"/>
  <c r="C545" i="7"/>
  <c r="C435" i="7"/>
  <c r="E434" i="7"/>
  <c r="W123" i="7"/>
  <c r="U123" i="7"/>
  <c r="Y123" i="7"/>
  <c r="Y136" i="7"/>
  <c r="W136" i="7"/>
  <c r="U136" i="7"/>
  <c r="E161" i="7"/>
  <c r="C162" i="7"/>
  <c r="I548" i="12"/>
  <c r="K549" i="12"/>
  <c r="H1445" i="12"/>
  <c r="I1445" i="12"/>
  <c r="Y27" i="7"/>
  <c r="U27" i="7"/>
  <c r="W27" i="7"/>
  <c r="Y40" i="7"/>
  <c r="W40" i="7"/>
  <c r="U40" i="7"/>
  <c r="C621" i="7"/>
  <c r="E620" i="7"/>
  <c r="W561" i="7"/>
  <c r="Y561" i="7"/>
  <c r="U561" i="7"/>
  <c r="Y109" i="7"/>
  <c r="W109" i="7"/>
  <c r="U109" i="7"/>
  <c r="E128" i="7"/>
  <c r="C129" i="7"/>
  <c r="U24" i="7"/>
  <c r="W24" i="7"/>
  <c r="Y24" i="7"/>
  <c r="U391" i="7"/>
  <c r="Y391" i="7"/>
  <c r="W391" i="7"/>
  <c r="K1507" i="12"/>
  <c r="H615" i="9"/>
  <c r="K801" i="7"/>
  <c r="N801" i="7" s="1"/>
  <c r="K1781" i="12"/>
  <c r="H22" i="9"/>
  <c r="K105" i="7"/>
  <c r="N105" i="7" s="1"/>
  <c r="K1464" i="12"/>
  <c r="K1661" i="12"/>
  <c r="H105" i="9"/>
  <c r="K826" i="7"/>
  <c r="G515" i="9"/>
  <c r="J822" i="7"/>
  <c r="K979" i="7"/>
  <c r="N979" i="7" s="1"/>
  <c r="J725" i="7"/>
  <c r="K78" i="12"/>
  <c r="K149" i="7"/>
  <c r="N149" i="7" s="1"/>
  <c r="K1249" i="12"/>
  <c r="G696" i="9"/>
  <c r="J463" i="7"/>
  <c r="J515" i="7"/>
  <c r="K481" i="12"/>
  <c r="K321" i="7"/>
  <c r="N321" i="7" s="1"/>
  <c r="K1071" i="12"/>
  <c r="H622" i="9"/>
  <c r="K770" i="7"/>
  <c r="N770" i="7" s="1"/>
  <c r="K830" i="12"/>
  <c r="K597" i="7"/>
  <c r="N597" i="7" s="1"/>
  <c r="G106" i="9"/>
  <c r="J550" i="7"/>
  <c r="J363" i="7"/>
  <c r="K126" i="12"/>
  <c r="K245" i="7"/>
  <c r="K140" i="12"/>
  <c r="H199" i="9"/>
  <c r="K156" i="7"/>
  <c r="N156" i="7" s="1"/>
  <c r="K28" i="12"/>
  <c r="H415" i="9"/>
  <c r="K895" i="7"/>
  <c r="N895" i="7" s="1"/>
  <c r="Y921" i="7"/>
  <c r="W921" i="7"/>
  <c r="U921" i="7"/>
  <c r="Y693" i="7"/>
  <c r="W693" i="7"/>
  <c r="U693" i="7"/>
  <c r="Y694" i="7"/>
  <c r="W694" i="7"/>
  <c r="U694" i="7"/>
  <c r="W571" i="7"/>
  <c r="Y571" i="7"/>
  <c r="U571" i="7"/>
  <c r="W275" i="7"/>
  <c r="U275" i="7"/>
  <c r="Y275" i="7"/>
  <c r="E285" i="7"/>
  <c r="C286" i="7"/>
  <c r="K556" i="12"/>
  <c r="I555" i="12"/>
  <c r="G176" i="9" s="1"/>
  <c r="M119" i="7"/>
  <c r="Y113" i="7"/>
  <c r="W113" i="7"/>
  <c r="U113" i="7"/>
  <c r="W254" i="7"/>
  <c r="U254" i="7"/>
  <c r="Y254" i="7"/>
  <c r="C114" i="7"/>
  <c r="E113" i="7"/>
  <c r="E767" i="7"/>
  <c r="C768" i="7"/>
  <c r="E768" i="7" s="1"/>
  <c r="E718" i="7"/>
  <c r="C719" i="7"/>
  <c r="E646" i="7"/>
  <c r="C647" i="7"/>
  <c r="E582" i="7"/>
  <c r="C583" i="7"/>
  <c r="U393" i="7"/>
  <c r="Y393" i="7"/>
  <c r="W393" i="7"/>
  <c r="Y292" i="7"/>
  <c r="W292" i="7"/>
  <c r="U292" i="7"/>
  <c r="U399" i="7"/>
  <c r="Y399" i="7"/>
  <c r="W399" i="7"/>
  <c r="C330" i="7"/>
  <c r="E329" i="7"/>
  <c r="Y402" i="7"/>
  <c r="W402" i="7"/>
  <c r="U402" i="7"/>
  <c r="W256" i="7"/>
  <c r="U256" i="7"/>
  <c r="Y256" i="7"/>
  <c r="E271" i="7"/>
  <c r="C272" i="7"/>
  <c r="U235" i="7"/>
  <c r="Y235" i="7"/>
  <c r="W235" i="7"/>
  <c r="Y152" i="7"/>
  <c r="W152" i="7"/>
  <c r="U152" i="7"/>
  <c r="Y161" i="7"/>
  <c r="W161" i="7"/>
  <c r="U161" i="7"/>
  <c r="K980" i="12"/>
  <c r="I979" i="12"/>
  <c r="G87" i="9" s="1"/>
  <c r="E94" i="7"/>
  <c r="C95" i="7"/>
  <c r="Y26" i="7"/>
  <c r="W26" i="7"/>
  <c r="U26" i="7"/>
  <c r="I1104" i="12"/>
  <c r="G306" i="9" s="1"/>
  <c r="K1105" i="12"/>
  <c r="G322" i="9"/>
  <c r="J30" i="7"/>
  <c r="K971" i="12"/>
  <c r="H191" i="9"/>
  <c r="K737" i="7"/>
  <c r="N737" i="7" s="1"/>
  <c r="K1348" i="12"/>
  <c r="I1346" i="12"/>
  <c r="E25" i="7"/>
  <c r="C26" i="7"/>
  <c r="K2151" i="12"/>
  <c r="K79" i="7"/>
  <c r="N79" i="7" s="1"/>
  <c r="G748" i="9"/>
  <c r="J812" i="7"/>
  <c r="G207" i="9"/>
  <c r="J777" i="7"/>
  <c r="G750" i="9"/>
  <c r="J95" i="7"/>
  <c r="G575" i="9"/>
  <c r="J746" i="7"/>
  <c r="G782" i="9"/>
  <c r="J639" i="7"/>
  <c r="J612" i="7"/>
  <c r="G720" i="9"/>
  <c r="J608" i="7"/>
  <c r="K679" i="12"/>
  <c r="H649" i="9"/>
  <c r="K668" i="7"/>
  <c r="N668" i="7" s="1"/>
  <c r="G489" i="9"/>
  <c r="J588" i="7"/>
  <c r="K995" i="12"/>
  <c r="H699" i="9"/>
  <c r="K726" i="7"/>
  <c r="J557" i="7"/>
  <c r="K845" i="12"/>
  <c r="H409" i="9"/>
  <c r="K599" i="7"/>
  <c r="N599" i="7" s="1"/>
  <c r="G557" i="9"/>
  <c r="J306" i="7"/>
  <c r="J610" i="7"/>
  <c r="J532" i="7"/>
  <c r="J637" i="7"/>
  <c r="J435" i="7"/>
  <c r="J473" i="7"/>
  <c r="G408" i="9"/>
  <c r="J181" i="7"/>
  <c r="J336" i="7"/>
  <c r="W898" i="7"/>
  <c r="U898" i="7"/>
  <c r="Y898" i="7"/>
  <c r="Y600" i="7"/>
  <c r="W600" i="7"/>
  <c r="U600" i="7"/>
  <c r="E309" i="7"/>
  <c r="C310" i="7"/>
  <c r="E371" i="7"/>
  <c r="C372" i="7"/>
  <c r="U220" i="7"/>
  <c r="Y220" i="7"/>
  <c r="W220" i="7"/>
  <c r="E87" i="7"/>
  <c r="C88" i="7"/>
  <c r="W145" i="7"/>
  <c r="U145" i="7"/>
  <c r="Y145" i="7"/>
  <c r="K2186" i="12"/>
  <c r="H710" i="9"/>
  <c r="K946" i="7"/>
  <c r="J131" i="7"/>
  <c r="J1935" i="12"/>
  <c r="J1934" i="12" s="1"/>
  <c r="H162" i="9" s="1"/>
  <c r="J1904" i="12"/>
  <c r="J1903" i="12" s="1"/>
  <c r="H60" i="9" s="1"/>
  <c r="J1920" i="12"/>
  <c r="J1919" i="12" s="1"/>
  <c r="H114" i="9" s="1"/>
  <c r="J1882" i="12"/>
  <c r="J1881" i="12" s="1"/>
  <c r="H35" i="9" s="1"/>
  <c r="G144" i="9"/>
  <c r="J784" i="7"/>
  <c r="G135" i="9"/>
  <c r="J810" i="7"/>
  <c r="J659" i="7"/>
  <c r="K1515" i="12"/>
  <c r="H577" i="9"/>
  <c r="K803" i="7"/>
  <c r="J1581" i="12"/>
  <c r="J1579" i="12" s="1"/>
  <c r="H541" i="9" s="1"/>
  <c r="I1581" i="12"/>
  <c r="G628" i="9"/>
  <c r="J816" i="7"/>
  <c r="K919" i="12"/>
  <c r="G12" i="9"/>
  <c r="J733" i="7"/>
  <c r="K869" i="12"/>
  <c r="J701" i="7"/>
  <c r="K905" i="12"/>
  <c r="H605" i="9"/>
  <c r="K480" i="7"/>
  <c r="K375" i="7"/>
  <c r="G716" i="9"/>
  <c r="J953" i="7"/>
  <c r="J715" i="7"/>
  <c r="K988" i="7"/>
  <c r="N988" i="7" s="1"/>
  <c r="K1047" i="12"/>
  <c r="K77" i="7"/>
  <c r="N77" i="7" s="1"/>
  <c r="K1306" i="12"/>
  <c r="K745" i="7"/>
  <c r="K296" i="12"/>
  <c r="H509" i="9"/>
  <c r="K365" i="7"/>
  <c r="N365" i="7" s="1"/>
  <c r="K57" i="12"/>
  <c r="H181" i="9"/>
  <c r="K956" i="7"/>
  <c r="K146" i="12"/>
  <c r="H352" i="9"/>
  <c r="K153" i="7"/>
  <c r="N153" i="7" s="1"/>
  <c r="G132" i="9"/>
  <c r="J143" i="7"/>
  <c r="W576" i="7"/>
  <c r="U576" i="7"/>
  <c r="Y576" i="7"/>
  <c r="W355" i="7"/>
  <c r="U355" i="7"/>
  <c r="Y355" i="7"/>
  <c r="E358" i="7"/>
  <c r="C359" i="7"/>
  <c r="E359" i="7" s="1"/>
  <c r="E211" i="7"/>
  <c r="C212" i="7"/>
  <c r="E212" i="7" s="1"/>
  <c r="U201" i="7"/>
  <c r="P199" i="7"/>
  <c r="Y201" i="7"/>
  <c r="W201" i="7"/>
  <c r="E197" i="7"/>
  <c r="C198" i="7"/>
  <c r="E198" i="7" s="1"/>
  <c r="I562" i="12"/>
  <c r="G147" i="9" s="1"/>
  <c r="K563" i="12"/>
  <c r="K1379" i="12"/>
  <c r="I1378" i="12"/>
  <c r="G69" i="9" s="1"/>
  <c r="U89" i="7"/>
  <c r="Y89" i="7"/>
  <c r="W89" i="7"/>
  <c r="U90" i="7"/>
  <c r="Y90" i="7"/>
  <c r="W90" i="7"/>
  <c r="I1495" i="12"/>
  <c r="G555" i="9" s="1"/>
  <c r="K1498" i="12"/>
  <c r="E912" i="7"/>
  <c r="C913" i="7"/>
  <c r="K2122" i="12"/>
  <c r="H470" i="9"/>
  <c r="K835" i="7"/>
  <c r="N835" i="7" s="1"/>
  <c r="K1567" i="12"/>
  <c r="G10" i="9"/>
  <c r="J595" i="7"/>
  <c r="J563" i="7"/>
  <c r="J623" i="7"/>
  <c r="J405" i="7"/>
  <c r="J488" i="7"/>
  <c r="J449" i="7"/>
  <c r="K1527" i="12"/>
  <c r="J807" i="7"/>
  <c r="I1229" i="12"/>
  <c r="G122" i="9" s="1"/>
  <c r="G603" i="9"/>
  <c r="J800" i="7"/>
  <c r="K1580" i="12"/>
  <c r="J587" i="7"/>
  <c r="J538" i="7"/>
  <c r="J640" i="7"/>
  <c r="J614" i="7"/>
  <c r="J438" i="7"/>
  <c r="J476" i="7"/>
  <c r="G424" i="9"/>
  <c r="J702" i="7"/>
  <c r="K607" i="12"/>
  <c r="K532" i="7"/>
  <c r="N532" i="7" s="1"/>
  <c r="K610" i="7"/>
  <c r="N610" i="7" s="1"/>
  <c r="K637" i="7"/>
  <c r="N637" i="7" s="1"/>
  <c r="K435" i="7"/>
  <c r="N435" i="7" s="1"/>
  <c r="K473" i="7"/>
  <c r="N473" i="7" s="1"/>
  <c r="J439" i="7"/>
  <c r="J545" i="7"/>
  <c r="J541" i="7"/>
  <c r="K1121" i="12"/>
  <c r="K163" i="7"/>
  <c r="N163" i="7" s="1"/>
  <c r="K631" i="12"/>
  <c r="K909" i="12"/>
  <c r="K633" i="7"/>
  <c r="K606" i="7"/>
  <c r="J738" i="7"/>
  <c r="J338" i="7"/>
  <c r="G742" i="9"/>
  <c r="J290" i="7"/>
  <c r="K513" i="12"/>
  <c r="K324" i="7"/>
  <c r="N324" i="7" s="1"/>
  <c r="G195" i="9"/>
  <c r="J288" i="7"/>
  <c r="G299" i="9"/>
  <c r="J304" i="7"/>
  <c r="E927" i="7"/>
  <c r="C928" i="7"/>
  <c r="W447" i="7"/>
  <c r="U447" i="7"/>
  <c r="Y447" i="7"/>
  <c r="W504" i="7"/>
  <c r="U504" i="7"/>
  <c r="Y504" i="7"/>
  <c r="E510" i="7"/>
  <c r="C511" i="7"/>
  <c r="W261" i="7"/>
  <c r="U261" i="7"/>
  <c r="Y261" i="7"/>
  <c r="Y150" i="7"/>
  <c r="W150" i="7"/>
  <c r="U150" i="7"/>
  <c r="Y71" i="7"/>
  <c r="W71" i="7"/>
  <c r="U71" i="7"/>
  <c r="E76" i="7"/>
  <c r="C77" i="7"/>
  <c r="E77" i="7" s="1"/>
  <c r="H1683" i="12"/>
  <c r="I1683" i="12"/>
  <c r="K1472" i="12"/>
  <c r="I1469" i="12"/>
  <c r="K1469" i="12" s="1"/>
  <c r="W916" i="7"/>
  <c r="Y916" i="7"/>
  <c r="U916" i="7"/>
  <c r="G427" i="9"/>
  <c r="J828" i="7"/>
  <c r="J321" i="7"/>
  <c r="G409" i="9"/>
  <c r="J599" i="7"/>
  <c r="K432" i="12"/>
  <c r="H348" i="9"/>
  <c r="K317" i="7"/>
  <c r="N317" i="7" s="1"/>
  <c r="J149" i="7"/>
  <c r="E921" i="7"/>
  <c r="C922" i="7"/>
  <c r="Y632" i="7"/>
  <c r="W632" i="7"/>
  <c r="U632" i="7"/>
  <c r="Y509" i="7"/>
  <c r="W509" i="7"/>
  <c r="U509" i="7"/>
  <c r="E51" i="7"/>
  <c r="C52" i="7"/>
  <c r="G712" i="9"/>
  <c r="J174" i="7"/>
  <c r="K1717" i="12"/>
  <c r="H10" i="9"/>
  <c r="K595" i="7"/>
  <c r="N595" i="7" s="1"/>
  <c r="K623" i="7"/>
  <c r="N623" i="7" s="1"/>
  <c r="K563" i="7"/>
  <c r="N563" i="7" s="1"/>
  <c r="K405" i="7"/>
  <c r="N405" i="7" s="1"/>
  <c r="K488" i="7"/>
  <c r="N488" i="7" s="1"/>
  <c r="K449" i="7"/>
  <c r="N449" i="7" s="1"/>
  <c r="H11" i="9"/>
  <c r="K760" i="7"/>
  <c r="N760" i="7" s="1"/>
  <c r="K1226" i="12"/>
  <c r="K896" i="7"/>
  <c r="K1725" i="12"/>
  <c r="J93" i="7"/>
  <c r="G415" i="9"/>
  <c r="J895" i="7"/>
  <c r="G14" i="9"/>
  <c r="J244" i="7"/>
  <c r="O940" i="7"/>
  <c r="Y508" i="7"/>
  <c r="W508" i="7"/>
  <c r="U508" i="7"/>
  <c r="U296" i="7"/>
  <c r="W296" i="7"/>
  <c r="Y296" i="7"/>
  <c r="I1692" i="12"/>
  <c r="K1693" i="12"/>
  <c r="U59" i="7"/>
  <c r="W59" i="7"/>
  <c r="Y59" i="7"/>
  <c r="C40" i="7"/>
  <c r="E39" i="7"/>
  <c r="G650" i="9" l="1"/>
  <c r="G788" i="9"/>
  <c r="J991" i="7"/>
  <c r="G440" i="9"/>
  <c r="K1688" i="12"/>
  <c r="G177" i="9"/>
  <c r="K1346" i="12"/>
  <c r="G544" i="9"/>
  <c r="K534" i="12"/>
  <c r="G807" i="9"/>
  <c r="K1076" i="12"/>
  <c r="H72" i="9"/>
  <c r="K1353" i="12"/>
  <c r="G92" i="9"/>
  <c r="G508" i="9"/>
  <c r="O140" i="7"/>
  <c r="Y140" i="7" s="1"/>
  <c r="K1692" i="12"/>
  <c r="G203" i="9"/>
  <c r="J980" i="7"/>
  <c r="G62" i="9"/>
  <c r="K1382" i="12"/>
  <c r="G737" i="9"/>
  <c r="K76" i="7"/>
  <c r="N76" i="7" s="1"/>
  <c r="H196" i="9"/>
  <c r="G467" i="9"/>
  <c r="G94" i="9"/>
  <c r="G570" i="9"/>
  <c r="K953" i="12"/>
  <c r="G664" i="9"/>
  <c r="H515" i="9"/>
  <c r="G384" i="9"/>
  <c r="G232" i="9"/>
  <c r="G196" i="9"/>
  <c r="G15" i="4"/>
  <c r="E32" i="7"/>
  <c r="K949" i="12"/>
  <c r="U881" i="7"/>
  <c r="W881" i="7"/>
  <c r="W879" i="7"/>
  <c r="U879" i="7"/>
  <c r="M880" i="7"/>
  <c r="L880" i="7"/>
  <c r="M882" i="7"/>
  <c r="O882" i="7" s="1"/>
  <c r="W882" i="7" s="1"/>
  <c r="L882" i="7"/>
  <c r="K1769" i="12"/>
  <c r="J642" i="7"/>
  <c r="M642" i="7" s="1"/>
  <c r="O642" i="7" s="1"/>
  <c r="O863" i="7"/>
  <c r="Y863" i="7" s="1"/>
  <c r="K100" i="7"/>
  <c r="N100" i="7" s="1"/>
  <c r="N84" i="7" s="1"/>
  <c r="H436" i="9"/>
  <c r="K2140" i="12"/>
  <c r="L865" i="7"/>
  <c r="N865" i="7"/>
  <c r="O865" i="7" s="1"/>
  <c r="Y865" i="7" s="1"/>
  <c r="L863" i="7"/>
  <c r="E877" i="7"/>
  <c r="E420" i="7"/>
  <c r="W118" i="7"/>
  <c r="U118" i="7"/>
  <c r="Y861" i="7"/>
  <c r="W861" i="7"/>
  <c r="U861" i="7"/>
  <c r="J742" i="7"/>
  <c r="M742" i="7" s="1"/>
  <c r="O742" i="7" s="1"/>
  <c r="K1462" i="12"/>
  <c r="J995" i="7"/>
  <c r="M995" i="7" s="1"/>
  <c r="O995" i="7" s="1"/>
  <c r="J719" i="7"/>
  <c r="L719" i="7" s="1"/>
  <c r="G802" i="9"/>
  <c r="J718" i="7"/>
  <c r="M718" i="7" s="1"/>
  <c r="O718" i="7" s="1"/>
  <c r="M249" i="7"/>
  <c r="O249" i="7" s="1"/>
  <c r="L249" i="7"/>
  <c r="H2072" i="12"/>
  <c r="Y349" i="7"/>
  <c r="L840" i="7"/>
  <c r="L679" i="7"/>
  <c r="W349" i="7"/>
  <c r="O688" i="7"/>
  <c r="U688" i="7" s="1"/>
  <c r="J2084" i="12"/>
  <c r="H172" i="9" s="1"/>
  <c r="L666" i="7"/>
  <c r="H232" i="9"/>
  <c r="O387" i="7"/>
  <c r="Y387" i="7" s="1"/>
  <c r="K1410" i="12"/>
  <c r="U348" i="7"/>
  <c r="J993" i="7"/>
  <c r="M993" i="7" s="1"/>
  <c r="O993" i="7" s="1"/>
  <c r="W348" i="7"/>
  <c r="G365" i="9"/>
  <c r="H93" i="9"/>
  <c r="K2080" i="12"/>
  <c r="W31" i="7"/>
  <c r="L366" i="7"/>
  <c r="J754" i="7"/>
  <c r="M754" i="7" s="1"/>
  <c r="O754" i="7" s="1"/>
  <c r="N839" i="7"/>
  <c r="G420" i="9"/>
  <c r="Y31" i="7"/>
  <c r="W666" i="7"/>
  <c r="L841" i="7"/>
  <c r="K1087" i="12"/>
  <c r="O366" i="7"/>
  <c r="W366" i="7" s="1"/>
  <c r="Y666" i="7"/>
  <c r="O503" i="7"/>
  <c r="Y503" i="7" s="1"/>
  <c r="L833" i="7"/>
  <c r="O922" i="7"/>
  <c r="Y922" i="7" s="1"/>
  <c r="J756" i="7"/>
  <c r="M756" i="7" s="1"/>
  <c r="O756" i="7" s="1"/>
  <c r="L709" i="7"/>
  <c r="J319" i="7"/>
  <c r="M319" i="7" s="1"/>
  <c r="O319" i="7" s="1"/>
  <c r="O821" i="7"/>
  <c r="W821" i="7" s="1"/>
  <c r="L503" i="7"/>
  <c r="L341" i="7"/>
  <c r="K945" i="12"/>
  <c r="H1081" i="12"/>
  <c r="W859" i="7"/>
  <c r="L688" i="7"/>
  <c r="K2088" i="12"/>
  <c r="L821" i="7"/>
  <c r="H2071" i="12"/>
  <c r="O736" i="7"/>
  <c r="W736" i="7" s="1"/>
  <c r="H2076" i="12"/>
  <c r="O649" i="7"/>
  <c r="W649" i="7" s="1"/>
  <c r="O709" i="7"/>
  <c r="Y709" i="7" s="1"/>
  <c r="Y233" i="7"/>
  <c r="K1581" i="12"/>
  <c r="G111" i="9"/>
  <c r="O833" i="7"/>
  <c r="Y833" i="7" s="1"/>
  <c r="U233" i="7"/>
  <c r="Y859" i="7"/>
  <c r="K454" i="12"/>
  <c r="J717" i="7"/>
  <c r="M717" i="7" s="1"/>
  <c r="O717" i="7" s="1"/>
  <c r="K1422" i="12"/>
  <c r="G185" i="9"/>
  <c r="L804" i="7"/>
  <c r="J76" i="7"/>
  <c r="L76" i="7" s="1"/>
  <c r="Y35" i="7"/>
  <c r="U841" i="7"/>
  <c r="U35" i="7"/>
  <c r="Y841" i="7"/>
  <c r="U341" i="7"/>
  <c r="W341" i="7"/>
  <c r="L736" i="7"/>
  <c r="O382" i="7"/>
  <c r="Y382" i="7" s="1"/>
  <c r="W679" i="7"/>
  <c r="U679" i="7"/>
  <c r="L922" i="7"/>
  <c r="U543" i="7"/>
  <c r="W543" i="7"/>
  <c r="O804" i="7"/>
  <c r="W804" i="7" s="1"/>
  <c r="C295" i="7"/>
  <c r="E294" i="7"/>
  <c r="O648" i="7"/>
  <c r="W648" i="7" s="1"/>
  <c r="D344" i="7"/>
  <c r="E344" i="7" s="1"/>
  <c r="E343" i="7"/>
  <c r="L382" i="7"/>
  <c r="C106" i="7"/>
  <c r="E105" i="7"/>
  <c r="C304" i="7"/>
  <c r="E304" i="7" s="1"/>
  <c r="E303" i="7"/>
  <c r="E605" i="7"/>
  <c r="C606" i="7"/>
  <c r="L648" i="7"/>
  <c r="U840" i="7"/>
  <c r="W840" i="7"/>
  <c r="P839" i="7"/>
  <c r="K1092" i="12"/>
  <c r="O832" i="7"/>
  <c r="L381" i="7"/>
  <c r="L649" i="7"/>
  <c r="O381" i="7"/>
  <c r="U381" i="7" s="1"/>
  <c r="L287" i="7"/>
  <c r="K2074" i="12"/>
  <c r="M677" i="7"/>
  <c r="O677" i="7" s="1"/>
  <c r="L677" i="7"/>
  <c r="L665" i="7"/>
  <c r="M665" i="7"/>
  <c r="O665" i="7" s="1"/>
  <c r="N789" i="7"/>
  <c r="O789" i="7" s="1"/>
  <c r="L789" i="7"/>
  <c r="G727" i="9"/>
  <c r="U129" i="7"/>
  <c r="W129" i="7"/>
  <c r="Y129" i="7"/>
  <c r="W644" i="7"/>
  <c r="U644" i="7"/>
  <c r="Y644" i="7"/>
  <c r="N794" i="7"/>
  <c r="O794" i="7" s="1"/>
  <c r="L794" i="7"/>
  <c r="M392" i="7"/>
  <c r="O392" i="7" s="1"/>
  <c r="L392" i="7"/>
  <c r="L384" i="7"/>
  <c r="M384" i="7"/>
  <c r="O384" i="7" s="1"/>
  <c r="M914" i="7"/>
  <c r="O914" i="7" s="1"/>
  <c r="L914" i="7"/>
  <c r="I1579" i="12"/>
  <c r="L387" i="7"/>
  <c r="N184" i="7"/>
  <c r="O184" i="7" s="1"/>
  <c r="L184" i="7"/>
  <c r="M417" i="7"/>
  <c r="O417" i="7" s="1"/>
  <c r="L417" i="7"/>
  <c r="J757" i="7"/>
  <c r="M757" i="7" s="1"/>
  <c r="O757" i="7" s="1"/>
  <c r="K1394" i="12"/>
  <c r="L915" i="7"/>
  <c r="O915" i="7"/>
  <c r="U915" i="7" s="1"/>
  <c r="N913" i="7"/>
  <c r="O913" i="7" s="1"/>
  <c r="L913" i="7"/>
  <c r="N28" i="7"/>
  <c r="N101" i="7"/>
  <c r="M14" i="7"/>
  <c r="O14" i="7" s="1"/>
  <c r="Y14" i="7" s="1"/>
  <c r="W140" i="7"/>
  <c r="U140" i="7"/>
  <c r="L948" i="7"/>
  <c r="M948" i="7"/>
  <c r="O948" i="7" s="1"/>
  <c r="M903" i="7"/>
  <c r="O903" i="7" s="1"/>
  <c r="Y899" i="7" s="1"/>
  <c r="L903" i="7"/>
  <c r="M130" i="7"/>
  <c r="O130" i="7" s="1"/>
  <c r="L130" i="7"/>
  <c r="M926" i="7"/>
  <c r="O926" i="7" s="1"/>
  <c r="L926" i="7"/>
  <c r="M806" i="7"/>
  <c r="O806" i="7" s="1"/>
  <c r="L806" i="7"/>
  <c r="M52" i="7"/>
  <c r="O52" i="7" s="1"/>
  <c r="L52" i="7"/>
  <c r="M46" i="7"/>
  <c r="O46" i="7" s="1"/>
  <c r="L46" i="7"/>
  <c r="L227" i="7"/>
  <c r="N227" i="7"/>
  <c r="O227" i="7" s="1"/>
  <c r="L286" i="7"/>
  <c r="M286" i="7"/>
  <c r="O286" i="7" s="1"/>
  <c r="N670" i="7"/>
  <c r="O670" i="7" s="1"/>
  <c r="L670" i="7"/>
  <c r="M283" i="7"/>
  <c r="O283" i="7" s="1"/>
  <c r="L283" i="7"/>
  <c r="K336" i="12"/>
  <c r="J328" i="12"/>
  <c r="H74" i="9" s="1"/>
  <c r="M893" i="7"/>
  <c r="L893" i="7"/>
  <c r="M673" i="7"/>
  <c r="O673" i="7" s="1"/>
  <c r="L673" i="7"/>
  <c r="M811" i="7"/>
  <c r="O811" i="7" s="1"/>
  <c r="L811" i="7"/>
  <c r="M805" i="7"/>
  <c r="O805" i="7" s="1"/>
  <c r="L805" i="7"/>
  <c r="N941" i="7"/>
  <c r="L941" i="7"/>
  <c r="J982" i="7"/>
  <c r="M982" i="7" s="1"/>
  <c r="O982" i="7" s="1"/>
  <c r="M362" i="7"/>
  <c r="O362" i="7" s="1"/>
  <c r="L362" i="7"/>
  <c r="L932" i="7"/>
  <c r="M932" i="7"/>
  <c r="M930" i="7" s="1"/>
  <c r="M578" i="7"/>
  <c r="O578" i="7" s="1"/>
  <c r="L578" i="7"/>
  <c r="N651" i="7"/>
  <c r="O651" i="7" s="1"/>
  <c r="L651" i="7"/>
  <c r="M274" i="7"/>
  <c r="O274" i="7" s="1"/>
  <c r="L274" i="7"/>
  <c r="M280" i="7"/>
  <c r="O280" i="7" s="1"/>
  <c r="L280" i="7"/>
  <c r="L929" i="7"/>
  <c r="M929" i="7"/>
  <c r="O929" i="7" s="1"/>
  <c r="L511" i="7"/>
  <c r="M511" i="7"/>
  <c r="O511" i="7" s="1"/>
  <c r="K1454" i="12"/>
  <c r="J838" i="7"/>
  <c r="M838" i="7" s="1"/>
  <c r="O838" i="7" s="1"/>
  <c r="L832" i="7"/>
  <c r="N64" i="7"/>
  <c r="O64" i="7" s="1"/>
  <c r="L64" i="7"/>
  <c r="M192" i="7"/>
  <c r="O192" i="7" s="1"/>
  <c r="L192" i="7"/>
  <c r="O287" i="7"/>
  <c r="M395" i="7"/>
  <c r="O395" i="7" s="1"/>
  <c r="L395" i="7"/>
  <c r="M479" i="7"/>
  <c r="O479" i="7" s="1"/>
  <c r="L479" i="7"/>
  <c r="L527" i="7"/>
  <c r="M527" i="7"/>
  <c r="O527" i="7" s="1"/>
  <c r="M949" i="7"/>
  <c r="O949" i="7" s="1"/>
  <c r="L949" i="7"/>
  <c r="M498" i="7"/>
  <c r="O498" i="7" s="1"/>
  <c r="L498" i="7"/>
  <c r="L657" i="7"/>
  <c r="M657" i="7"/>
  <c r="O657" i="7" s="1"/>
  <c r="L699" i="7"/>
  <c r="M699" i="7"/>
  <c r="O699" i="7" s="1"/>
  <c r="M155" i="7"/>
  <c r="O155" i="7" s="1"/>
  <c r="L155" i="7"/>
  <c r="K1081" i="12"/>
  <c r="K75" i="7"/>
  <c r="N75" i="7" s="1"/>
  <c r="U858" i="7"/>
  <c r="M502" i="7"/>
  <c r="O502" i="7" s="1"/>
  <c r="L502" i="7"/>
  <c r="M98" i="7"/>
  <c r="O98" i="7" s="1"/>
  <c r="L98" i="7"/>
  <c r="M234" i="7"/>
  <c r="O234" i="7" s="1"/>
  <c r="L234" i="7"/>
  <c r="L176" i="7"/>
  <c r="M176" i="7"/>
  <c r="O176" i="7" s="1"/>
  <c r="N933" i="7"/>
  <c r="O933" i="7" s="1"/>
  <c r="L933" i="7"/>
  <c r="M141" i="7"/>
  <c r="O141" i="7" s="1"/>
  <c r="L141" i="7"/>
  <c r="M918" i="7"/>
  <c r="O918" i="7" s="1"/>
  <c r="L918" i="7"/>
  <c r="L685" i="7"/>
  <c r="M685" i="7"/>
  <c r="O685" i="7" s="1"/>
  <c r="L591" i="7"/>
  <c r="M591" i="7"/>
  <c r="O591" i="7" s="1"/>
  <c r="N12" i="7"/>
  <c r="G16" i="4" s="1"/>
  <c r="W858" i="7"/>
  <c r="M416" i="7"/>
  <c r="O416" i="7" s="1"/>
  <c r="L416" i="7"/>
  <c r="N132" i="7"/>
  <c r="O132" i="7" s="1"/>
  <c r="L132" i="7"/>
  <c r="M779" i="7"/>
  <c r="O779" i="7" s="1"/>
  <c r="L779" i="7"/>
  <c r="N193" i="7"/>
  <c r="O193" i="7" s="1"/>
  <c r="L193" i="7"/>
  <c r="M459" i="7"/>
  <c r="O459" i="7" s="1"/>
  <c r="L459" i="7"/>
  <c r="M251" i="7"/>
  <c r="O251" i="7" s="1"/>
  <c r="L251" i="7"/>
  <c r="N824" i="7"/>
  <c r="O824" i="7" s="1"/>
  <c r="L824" i="7"/>
  <c r="N72" i="7"/>
  <c r="O72" i="7" s="1"/>
  <c r="L72" i="7"/>
  <c r="L372" i="7"/>
  <c r="M372" i="7"/>
  <c r="O372" i="7" s="1"/>
  <c r="L140" i="7"/>
  <c r="L273" i="7"/>
  <c r="M273" i="7"/>
  <c r="O273" i="7" s="1"/>
  <c r="L815" i="7"/>
  <c r="M815" i="7"/>
  <c r="O815" i="7" s="1"/>
  <c r="K1230" i="12"/>
  <c r="M724" i="7"/>
  <c r="O724" i="7" s="1"/>
  <c r="L724" i="7"/>
  <c r="M406" i="7"/>
  <c r="O406" i="7" s="1"/>
  <c r="L406" i="7"/>
  <c r="U698" i="7"/>
  <c r="W698" i="7"/>
  <c r="Y698" i="7"/>
  <c r="M279" i="7"/>
  <c r="O279" i="7" s="1"/>
  <c r="L279" i="7"/>
  <c r="M510" i="7"/>
  <c r="O510" i="7" s="1"/>
  <c r="L510" i="7"/>
  <c r="L390" i="7"/>
  <c r="M390" i="7"/>
  <c r="O390" i="7" s="1"/>
  <c r="M450" i="7"/>
  <c r="O450" i="7" s="1"/>
  <c r="L450" i="7"/>
  <c r="L1000" i="7"/>
  <c r="M1000" i="7"/>
  <c r="O1000" i="7" s="1"/>
  <c r="M489" i="7"/>
  <c r="O489" i="7" s="1"/>
  <c r="L489" i="7"/>
  <c r="M787" i="7"/>
  <c r="O787" i="7" s="1"/>
  <c r="L787" i="7"/>
  <c r="L654" i="7"/>
  <c r="M654" i="7"/>
  <c r="O654" i="7" s="1"/>
  <c r="M423" i="7"/>
  <c r="O423" i="7" s="1"/>
  <c r="L423" i="7"/>
  <c r="L541" i="7"/>
  <c r="M541" i="7"/>
  <c r="O541" i="7" s="1"/>
  <c r="M953" i="7"/>
  <c r="L953" i="7"/>
  <c r="E719" i="7"/>
  <c r="C720" i="7"/>
  <c r="E720" i="7" s="1"/>
  <c r="J988" i="7"/>
  <c r="E545" i="7"/>
  <c r="C546" i="7"/>
  <c r="L774" i="7"/>
  <c r="M774" i="7"/>
  <c r="O774" i="7" s="1"/>
  <c r="L786" i="7"/>
  <c r="M786" i="7"/>
  <c r="O786" i="7" s="1"/>
  <c r="L246" i="7"/>
  <c r="M246" i="7"/>
  <c r="O246" i="7" s="1"/>
  <c r="M662" i="7"/>
  <c r="O662" i="7" s="1"/>
  <c r="L662" i="7"/>
  <c r="L668" i="7"/>
  <c r="M668" i="7"/>
  <c r="O668" i="7" s="1"/>
  <c r="M920" i="7"/>
  <c r="O920" i="7" s="1"/>
  <c r="L920" i="7"/>
  <c r="L160" i="7"/>
  <c r="M160" i="7"/>
  <c r="M661" i="7"/>
  <c r="O661" i="7" s="1"/>
  <c r="L661" i="7"/>
  <c r="M103" i="7"/>
  <c r="L103" i="7"/>
  <c r="N455" i="7"/>
  <c r="O455" i="7" s="1"/>
  <c r="L455" i="7"/>
  <c r="L605" i="7"/>
  <c r="M605" i="7"/>
  <c r="O605" i="7" s="1"/>
  <c r="L492" i="7"/>
  <c r="M492" i="7"/>
  <c r="O492" i="7" s="1"/>
  <c r="M335" i="7"/>
  <c r="O335" i="7" s="1"/>
  <c r="L335" i="7"/>
  <c r="M671" i="7"/>
  <c r="O671" i="7" s="1"/>
  <c r="L671" i="7"/>
  <c r="M334" i="7"/>
  <c r="O334" i="7" s="1"/>
  <c r="L334" i="7"/>
  <c r="M534" i="7"/>
  <c r="O534" i="7" s="1"/>
  <c r="L534" i="7"/>
  <c r="W894" i="7"/>
  <c r="U894" i="7"/>
  <c r="Y894" i="7"/>
  <c r="G674" i="9"/>
  <c r="J984" i="7"/>
  <c r="K548" i="12"/>
  <c r="M991" i="7"/>
  <c r="O991" i="7" s="1"/>
  <c r="L991" i="7"/>
  <c r="E942" i="7"/>
  <c r="C943" i="7"/>
  <c r="E136" i="7"/>
  <c r="C137" i="7"/>
  <c r="E181" i="7"/>
  <c r="C182" i="7"/>
  <c r="E182" i="7" s="1"/>
  <c r="E635" i="7"/>
  <c r="C636" i="7"/>
  <c r="L768" i="7"/>
  <c r="M768" i="7"/>
  <c r="O768" i="7" s="1"/>
  <c r="C392" i="7"/>
  <c r="E391" i="7"/>
  <c r="E821" i="7"/>
  <c r="C822" i="7"/>
  <c r="E822" i="7" s="1"/>
  <c r="M337" i="7"/>
  <c r="O337" i="7" s="1"/>
  <c r="L337" i="7"/>
  <c r="N568" i="7"/>
  <c r="O568" i="7" s="1"/>
  <c r="L568" i="7"/>
  <c r="L228" i="7"/>
  <c r="M228" i="7"/>
  <c r="O228" i="7" s="1"/>
  <c r="C208" i="7"/>
  <c r="E208" i="7" s="1"/>
  <c r="E207" i="7"/>
  <c r="C532" i="7"/>
  <c r="E531" i="7"/>
  <c r="G65" i="9"/>
  <c r="J761" i="7"/>
  <c r="K1360" i="12"/>
  <c r="L950" i="7"/>
  <c r="M950" i="7"/>
  <c r="M625" i="7"/>
  <c r="O625" i="7" s="1"/>
  <c r="L625" i="7"/>
  <c r="M672" i="7"/>
  <c r="O672" i="7" s="1"/>
  <c r="L672" i="7"/>
  <c r="G169" i="9"/>
  <c r="J720" i="7"/>
  <c r="K957" i="12"/>
  <c r="M611" i="7"/>
  <c r="O611" i="7" s="1"/>
  <c r="L611" i="7"/>
  <c r="M669" i="7"/>
  <c r="O669" i="7" s="1"/>
  <c r="L669" i="7"/>
  <c r="L375" i="7"/>
  <c r="N375" i="7"/>
  <c r="O375" i="7" s="1"/>
  <c r="M189" i="7"/>
  <c r="O189" i="7" s="1"/>
  <c r="L189" i="7"/>
  <c r="E902" i="7"/>
  <c r="M272" i="7"/>
  <c r="O272" i="7" s="1"/>
  <c r="L272" i="7"/>
  <c r="M923" i="7"/>
  <c r="O923" i="7" s="1"/>
  <c r="L923" i="7"/>
  <c r="N331" i="7"/>
  <c r="O331" i="7" s="1"/>
  <c r="L331" i="7"/>
  <c r="L65" i="7"/>
  <c r="M65" i="7"/>
  <c r="O65" i="7" s="1"/>
  <c r="L687" i="7"/>
  <c r="M687" i="7"/>
  <c r="O687" i="7" s="1"/>
  <c r="N734" i="7"/>
  <c r="O734" i="7" s="1"/>
  <c r="L734" i="7"/>
  <c r="M79" i="7"/>
  <c r="O79" i="7" s="1"/>
  <c r="L79" i="7"/>
  <c r="L153" i="7"/>
  <c r="M153" i="7"/>
  <c r="O153" i="7" s="1"/>
  <c r="N751" i="7"/>
  <c r="O751" i="7" s="1"/>
  <c r="L751" i="7"/>
  <c r="N825" i="7"/>
  <c r="O825" i="7" s="1"/>
  <c r="L825" i="7"/>
  <c r="N629" i="7"/>
  <c r="O629" i="7" s="1"/>
  <c r="L629" i="7"/>
  <c r="M590" i="7"/>
  <c r="O590" i="7" s="1"/>
  <c r="L590" i="7"/>
  <c r="C594" i="7"/>
  <c r="E593" i="7"/>
  <c r="M713" i="7"/>
  <c r="O713" i="7" s="1"/>
  <c r="L713" i="7"/>
  <c r="C861" i="7"/>
  <c r="E860" i="7"/>
  <c r="M241" i="7"/>
  <c r="O241" i="7" s="1"/>
  <c r="L241" i="7"/>
  <c r="M96" i="7"/>
  <c r="O96" i="7" s="1"/>
  <c r="L96" i="7"/>
  <c r="L728" i="7"/>
  <c r="M728" i="7"/>
  <c r="O728" i="7" s="1"/>
  <c r="M747" i="7"/>
  <c r="O747" i="7" s="1"/>
  <c r="L747" i="7"/>
  <c r="M638" i="7"/>
  <c r="O638" i="7" s="1"/>
  <c r="L638" i="7"/>
  <c r="M800" i="7"/>
  <c r="O800" i="7" s="1"/>
  <c r="L800" i="7"/>
  <c r="E511" i="7"/>
  <c r="C512" i="7"/>
  <c r="N480" i="7"/>
  <c r="O480" i="7" s="1"/>
  <c r="L480" i="7"/>
  <c r="C89" i="7"/>
  <c r="E88" i="7"/>
  <c r="M11" i="7"/>
  <c r="L11" i="7"/>
  <c r="E33" i="7"/>
  <c r="C34" i="7"/>
  <c r="J1003" i="7"/>
  <c r="K1011" i="12"/>
  <c r="M808" i="7"/>
  <c r="O808" i="7" s="1"/>
  <c r="L808" i="7"/>
  <c r="E189" i="7"/>
  <c r="C190" i="7"/>
  <c r="E190" i="7" s="1"/>
  <c r="Y34" i="7"/>
  <c r="W34" i="7"/>
  <c r="U34" i="7"/>
  <c r="K1104" i="12"/>
  <c r="H808" i="9"/>
  <c r="K194" i="7"/>
  <c r="N194" i="7" s="1"/>
  <c r="I2084" i="12"/>
  <c r="G172" i="9" s="1"/>
  <c r="K2085" i="12"/>
  <c r="E217" i="7"/>
  <c r="C218" i="7"/>
  <c r="E655" i="7"/>
  <c r="C656" i="7"/>
  <c r="L77" i="7"/>
  <c r="M77" i="7"/>
  <c r="O77" i="7" s="1"/>
  <c r="L810" i="7"/>
  <c r="M810" i="7"/>
  <c r="O810" i="7" s="1"/>
  <c r="M248" i="7"/>
  <c r="O248" i="7" s="1"/>
  <c r="L248" i="7"/>
  <c r="M73" i="7"/>
  <c r="O73" i="7" s="1"/>
  <c r="L73" i="7"/>
  <c r="M597" i="7"/>
  <c r="O597" i="7" s="1"/>
  <c r="L597" i="7"/>
  <c r="K1437" i="12"/>
  <c r="I1430" i="12"/>
  <c r="G581" i="9" s="1"/>
  <c r="J959" i="7"/>
  <c r="J767" i="7"/>
  <c r="K1378" i="12"/>
  <c r="E286" i="7"/>
  <c r="C287" i="7"/>
  <c r="M822" i="7"/>
  <c r="O822" i="7" s="1"/>
  <c r="L822" i="7"/>
  <c r="C622" i="7"/>
  <c r="E621" i="7"/>
  <c r="M624" i="7"/>
  <c r="O624" i="7" s="1"/>
  <c r="L624" i="7"/>
  <c r="L540" i="7"/>
  <c r="M540" i="7"/>
  <c r="O540" i="7" s="1"/>
  <c r="E319" i="7"/>
  <c r="C320" i="7"/>
  <c r="M553" i="7"/>
  <c r="O553" i="7" s="1"/>
  <c r="L553" i="7"/>
  <c r="K1687" i="12"/>
  <c r="I1684" i="12"/>
  <c r="G148" i="9" s="1"/>
  <c r="M33" i="7"/>
  <c r="O33" i="7" s="1"/>
  <c r="L33" i="7"/>
  <c r="M831" i="7"/>
  <c r="O831" i="7" s="1"/>
  <c r="L831" i="7"/>
  <c r="M817" i="7"/>
  <c r="O817" i="7" s="1"/>
  <c r="L817" i="7"/>
  <c r="N813" i="7"/>
  <c r="O813" i="7" s="1"/>
  <c r="L813" i="7"/>
  <c r="L408" i="7"/>
  <c r="M408" i="7"/>
  <c r="O408" i="7" s="1"/>
  <c r="I2070" i="12"/>
  <c r="K2071" i="12"/>
  <c r="L732" i="7"/>
  <c r="M732" i="7"/>
  <c r="O732" i="7" s="1"/>
  <c r="M370" i="7"/>
  <c r="L370" i="7"/>
  <c r="L555" i="7"/>
  <c r="M555" i="7"/>
  <c r="O555" i="7" s="1"/>
  <c r="E948" i="7"/>
  <c r="C949" i="7"/>
  <c r="M303" i="7"/>
  <c r="O303" i="7" s="1"/>
  <c r="L303" i="7"/>
  <c r="M762" i="7"/>
  <c r="O762" i="7" s="1"/>
  <c r="L762" i="7"/>
  <c r="K1421" i="12"/>
  <c r="I1418" i="12"/>
  <c r="G103" i="9" s="1"/>
  <c r="M367" i="7"/>
  <c r="O367" i="7" s="1"/>
  <c r="L367" i="7"/>
  <c r="L53" i="7"/>
  <c r="M53" i="7"/>
  <c r="O53" i="7" s="1"/>
  <c r="L722" i="7"/>
  <c r="M722" i="7"/>
  <c r="O722" i="7" s="1"/>
  <c r="M243" i="7"/>
  <c r="O243" i="7" s="1"/>
  <c r="L243" i="7"/>
  <c r="M373" i="7"/>
  <c r="O373" i="7" s="1"/>
  <c r="L373" i="7"/>
  <c r="M353" i="7"/>
  <c r="O353" i="7" s="1"/>
  <c r="L353" i="7"/>
  <c r="M938" i="7"/>
  <c r="L938" i="7"/>
  <c r="L788" i="7"/>
  <c r="M788" i="7"/>
  <c r="O788" i="7" s="1"/>
  <c r="M801" i="7"/>
  <c r="O801" i="7" s="1"/>
  <c r="L801" i="7"/>
  <c r="M15" i="7"/>
  <c r="N340" i="7"/>
  <c r="O340" i="7" s="1"/>
  <c r="L340" i="7"/>
  <c r="L548" i="7"/>
  <c r="M548" i="7"/>
  <c r="O548" i="7" s="1"/>
  <c r="M239" i="7"/>
  <c r="O239" i="7" s="1"/>
  <c r="L239" i="7"/>
  <c r="M323" i="7"/>
  <c r="O323" i="7" s="1"/>
  <c r="L323" i="7"/>
  <c r="E421" i="7"/>
  <c r="D422" i="7"/>
  <c r="E928" i="7"/>
  <c r="C929" i="7"/>
  <c r="E929" i="7" s="1"/>
  <c r="M290" i="7"/>
  <c r="O290" i="7" s="1"/>
  <c r="L290" i="7"/>
  <c r="M807" i="7"/>
  <c r="O807" i="7" s="1"/>
  <c r="L807" i="7"/>
  <c r="M435" i="7"/>
  <c r="O435" i="7" s="1"/>
  <c r="L435" i="7"/>
  <c r="M30" i="7"/>
  <c r="L30" i="7"/>
  <c r="C115" i="7"/>
  <c r="E114" i="7"/>
  <c r="N826" i="7"/>
  <c r="O826" i="7" s="1"/>
  <c r="L826" i="7"/>
  <c r="E162" i="7"/>
  <c r="C163" i="7"/>
  <c r="E163" i="7" s="1"/>
  <c r="M94" i="7"/>
  <c r="O94" i="7" s="1"/>
  <c r="L94" i="7"/>
  <c r="E250" i="7"/>
  <c r="C251" i="7"/>
  <c r="E251" i="7" s="1"/>
  <c r="M434" i="7"/>
  <c r="O434" i="7" s="1"/>
  <c r="L434" i="7"/>
  <c r="L47" i="7"/>
  <c r="M47" i="7"/>
  <c r="O47" i="7" s="1"/>
  <c r="M645" i="7"/>
  <c r="O645" i="7" s="1"/>
  <c r="L645" i="7"/>
  <c r="M771" i="7"/>
  <c r="O771" i="7" s="1"/>
  <c r="L771" i="7"/>
  <c r="N376" i="7"/>
  <c r="O376" i="7" s="1"/>
  <c r="L376" i="7"/>
  <c r="M490" i="7"/>
  <c r="O490" i="7" s="1"/>
  <c r="L490" i="7"/>
  <c r="C246" i="7"/>
  <c r="E246" i="7" s="1"/>
  <c r="E245" i="7"/>
  <c r="M250" i="7"/>
  <c r="O250" i="7" s="1"/>
  <c r="L250" i="7"/>
  <c r="M97" i="7"/>
  <c r="O97" i="7" s="1"/>
  <c r="L97" i="7"/>
  <c r="K1062" i="12"/>
  <c r="K83" i="7"/>
  <c r="N83" i="7" s="1"/>
  <c r="M1001" i="7"/>
  <c r="O1001" i="7" s="1"/>
  <c r="L1001" i="7"/>
  <c r="L706" i="7"/>
  <c r="N706" i="7"/>
  <c r="O706" i="7" s="1"/>
  <c r="J985" i="7"/>
  <c r="K970" i="7"/>
  <c r="N970" i="7" s="1"/>
  <c r="M637" i="7"/>
  <c r="O637" i="7" s="1"/>
  <c r="L637" i="7"/>
  <c r="M318" i="7"/>
  <c r="O318" i="7" s="1"/>
  <c r="L318" i="7"/>
  <c r="G11" i="9"/>
  <c r="J760" i="7"/>
  <c r="M472" i="7"/>
  <c r="O472" i="7" s="1"/>
  <c r="L472" i="7"/>
  <c r="M374" i="7"/>
  <c r="O374" i="7" s="1"/>
  <c r="L374" i="7"/>
  <c r="M156" i="7"/>
  <c r="O156" i="7" s="1"/>
  <c r="L156" i="7"/>
  <c r="E59" i="7"/>
  <c r="C60" i="7"/>
  <c r="L328" i="7"/>
  <c r="M328" i="7"/>
  <c r="O328" i="7" s="1"/>
  <c r="N764" i="7"/>
  <c r="O764" i="7" s="1"/>
  <c r="L764" i="7"/>
  <c r="N329" i="7"/>
  <c r="O329" i="7" s="1"/>
  <c r="L329" i="7"/>
  <c r="L142" i="7"/>
  <c r="M142" i="7"/>
  <c r="O142" i="7" s="1"/>
  <c r="L737" i="7"/>
  <c r="M737" i="7"/>
  <c r="O737" i="7" s="1"/>
  <c r="N443" i="7"/>
  <c r="O443" i="7" s="1"/>
  <c r="L443" i="7"/>
  <c r="M793" i="7"/>
  <c r="O793" i="7" s="1"/>
  <c r="L793" i="7"/>
  <c r="M451" i="7"/>
  <c r="O451" i="7" s="1"/>
  <c r="L451" i="7"/>
  <c r="M50" i="7"/>
  <c r="L50" i="7"/>
  <c r="M285" i="7"/>
  <c r="O285" i="7" s="1"/>
  <c r="L285" i="7"/>
  <c r="L695" i="7"/>
  <c r="M695" i="7"/>
  <c r="O695" i="7" s="1"/>
  <c r="L167" i="7"/>
  <c r="M167" i="7"/>
  <c r="O167" i="7" s="1"/>
  <c r="K335" i="12"/>
  <c r="I328" i="12"/>
  <c r="G74" i="9" s="1"/>
  <c r="U850" i="7"/>
  <c r="Y850" i="7"/>
  <c r="W850" i="7"/>
  <c r="P844" i="7"/>
  <c r="M338" i="7"/>
  <c r="O338" i="7" s="1"/>
  <c r="L338" i="7"/>
  <c r="K966" i="7"/>
  <c r="N966" i="7" s="1"/>
  <c r="E372" i="7"/>
  <c r="C373" i="7"/>
  <c r="L532" i="7"/>
  <c r="M532" i="7"/>
  <c r="O532" i="7" s="1"/>
  <c r="M608" i="7"/>
  <c r="O608" i="7" s="1"/>
  <c r="L608" i="7"/>
  <c r="M317" i="7"/>
  <c r="O317" i="7" s="1"/>
  <c r="L317" i="7"/>
  <c r="C445" i="7"/>
  <c r="E444" i="7"/>
  <c r="M609" i="7"/>
  <c r="O609" i="7" s="1"/>
  <c r="L609" i="7"/>
  <c r="L398" i="7"/>
  <c r="M398" i="7"/>
  <c r="O398" i="7" s="1"/>
  <c r="M493" i="7"/>
  <c r="O493" i="7" s="1"/>
  <c r="L493" i="7"/>
  <c r="M432" i="7"/>
  <c r="O432" i="7" s="1"/>
  <c r="L432" i="7"/>
  <c r="M407" i="7"/>
  <c r="O407" i="7" s="1"/>
  <c r="L407" i="7"/>
  <c r="M284" i="7"/>
  <c r="O284" i="7" s="1"/>
  <c r="L284" i="7"/>
  <c r="E559" i="7"/>
  <c r="C560" i="7"/>
  <c r="E337" i="7"/>
  <c r="C338" i="7"/>
  <c r="E338" i="7" s="1"/>
  <c r="M802" i="7"/>
  <c r="O802" i="7" s="1"/>
  <c r="L802" i="7"/>
  <c r="D460" i="7"/>
  <c r="E459" i="7"/>
  <c r="N267" i="7"/>
  <c r="O267" i="7" s="1"/>
  <c r="L267" i="7"/>
  <c r="M177" i="7"/>
  <c r="O177" i="7" s="1"/>
  <c r="L177" i="7"/>
  <c r="M659" i="7"/>
  <c r="O659" i="7" s="1"/>
  <c r="L659" i="7"/>
  <c r="M784" i="7"/>
  <c r="O784" i="7" s="1"/>
  <c r="L784" i="7"/>
  <c r="M473" i="7"/>
  <c r="O473" i="7" s="1"/>
  <c r="L473" i="7"/>
  <c r="L701" i="7"/>
  <c r="M701" i="7"/>
  <c r="O701" i="7" s="1"/>
  <c r="E913" i="7"/>
  <c r="C914" i="7"/>
  <c r="E40" i="7"/>
  <c r="C41" i="7"/>
  <c r="L244" i="7"/>
  <c r="M244" i="7"/>
  <c r="O244" i="7" s="1"/>
  <c r="M449" i="7"/>
  <c r="O449" i="7" s="1"/>
  <c r="L449" i="7"/>
  <c r="N745" i="7"/>
  <c r="L745" i="7"/>
  <c r="M733" i="7"/>
  <c r="O733" i="7" s="1"/>
  <c r="L733" i="7"/>
  <c r="H1882" i="12"/>
  <c r="H1920" i="12"/>
  <c r="H1935" i="12"/>
  <c r="H1904" i="12"/>
  <c r="M610" i="7"/>
  <c r="O610" i="7" s="1"/>
  <c r="L610" i="7"/>
  <c r="E272" i="7"/>
  <c r="C273" i="7"/>
  <c r="C130" i="7"/>
  <c r="E129" i="7"/>
  <c r="M262" i="7"/>
  <c r="L262" i="7"/>
  <c r="C707" i="7"/>
  <c r="E706" i="7"/>
  <c r="M583" i="7"/>
  <c r="O583" i="7" s="1"/>
  <c r="L583" i="7"/>
  <c r="M660" i="7"/>
  <c r="O660" i="7" s="1"/>
  <c r="L660" i="7"/>
  <c r="L365" i="7"/>
  <c r="M365" i="7"/>
  <c r="O365" i="7" s="1"/>
  <c r="M626" i="7"/>
  <c r="O626" i="7" s="1"/>
  <c r="L626" i="7"/>
  <c r="M225" i="7"/>
  <c r="O225" i="7" s="1"/>
  <c r="L225" i="7"/>
  <c r="M582" i="7"/>
  <c r="O582" i="7" s="1"/>
  <c r="L582" i="7"/>
  <c r="C464" i="7"/>
  <c r="M470" i="7"/>
  <c r="O470" i="7" s="1"/>
  <c r="L470" i="7"/>
  <c r="N410" i="7"/>
  <c r="O410" i="7" s="1"/>
  <c r="L410" i="7"/>
  <c r="L598" i="7"/>
  <c r="M598" i="7"/>
  <c r="O598" i="7" s="1"/>
  <c r="N664" i="7"/>
  <c r="O664" i="7" s="1"/>
  <c r="L664" i="7"/>
  <c r="L564" i="7"/>
  <c r="M564" i="7"/>
  <c r="O564" i="7" s="1"/>
  <c r="L729" i="7"/>
  <c r="M729" i="7"/>
  <c r="O729" i="7" s="1"/>
  <c r="E681" i="7"/>
  <c r="C682" i="7"/>
  <c r="E682" i="7" s="1"/>
  <c r="C483" i="7"/>
  <c r="E482" i="7"/>
  <c r="M116" i="7"/>
  <c r="O116" i="7" s="1"/>
  <c r="L116" i="7"/>
  <c r="M427" i="7"/>
  <c r="O427" i="7" s="1"/>
  <c r="L427" i="7"/>
  <c r="M539" i="7"/>
  <c r="O539" i="7" s="1"/>
  <c r="L539" i="7"/>
  <c r="L738" i="7"/>
  <c r="M738" i="7"/>
  <c r="O738" i="7" s="1"/>
  <c r="K1453" i="12"/>
  <c r="I1446" i="12"/>
  <c r="G171" i="9" s="1"/>
  <c r="M529" i="7"/>
  <c r="O529" i="7" s="1"/>
  <c r="L529" i="7"/>
  <c r="N477" i="7"/>
  <c r="O477" i="7" s="1"/>
  <c r="L477" i="7"/>
  <c r="M778" i="7"/>
  <c r="O778" i="7" s="1"/>
  <c r="L778" i="7"/>
  <c r="J755" i="7"/>
  <c r="K1388" i="12"/>
  <c r="L700" i="7"/>
  <c r="M700" i="7"/>
  <c r="O700" i="7" s="1"/>
  <c r="E761" i="7"/>
  <c r="C762" i="7"/>
  <c r="E762" i="7" s="1"/>
  <c r="L466" i="7"/>
  <c r="M466" i="7"/>
  <c r="O466" i="7" s="1"/>
  <c r="M781" i="7"/>
  <c r="O781" i="7" s="1"/>
  <c r="L781" i="7"/>
  <c r="M146" i="7"/>
  <c r="O146" i="7" s="1"/>
  <c r="L146" i="7"/>
  <c r="M545" i="7"/>
  <c r="O545" i="7" s="1"/>
  <c r="L545" i="7"/>
  <c r="K964" i="7"/>
  <c r="N964" i="7" s="1"/>
  <c r="I2079" i="12"/>
  <c r="I2075" i="12" s="1"/>
  <c r="G113" i="9" s="1"/>
  <c r="J2079" i="12"/>
  <c r="J2075" i="12" s="1"/>
  <c r="H113" i="9" s="1"/>
  <c r="M584" i="7"/>
  <c r="O584" i="7" s="1"/>
  <c r="L584" i="7"/>
  <c r="N667" i="7"/>
  <c r="O667" i="7" s="1"/>
  <c r="L667" i="7"/>
  <c r="M405" i="7"/>
  <c r="O405" i="7" s="1"/>
  <c r="L405" i="7"/>
  <c r="C982" i="7"/>
  <c r="E982" i="7" s="1"/>
  <c r="E981" i="7"/>
  <c r="K2076" i="12"/>
  <c r="C777" i="7"/>
  <c r="E776" i="7"/>
  <c r="M266" i="7"/>
  <c r="O266" i="7" s="1"/>
  <c r="L266" i="7"/>
  <c r="M531" i="7"/>
  <c r="O531" i="7" s="1"/>
  <c r="L531" i="7"/>
  <c r="L533" i="7"/>
  <c r="M533" i="7"/>
  <c r="O533" i="7" s="1"/>
  <c r="M976" i="7"/>
  <c r="O976" i="7" s="1"/>
  <c r="L976" i="7"/>
  <c r="L165" i="7"/>
  <c r="M165" i="7"/>
  <c r="O165" i="7" s="1"/>
  <c r="I1882" i="12"/>
  <c r="I1920" i="12"/>
  <c r="I1904" i="12"/>
  <c r="I1935" i="12"/>
  <c r="N521" i="7"/>
  <c r="O521" i="7" s="1"/>
  <c r="L521" i="7"/>
  <c r="C400" i="7"/>
  <c r="E399" i="7"/>
  <c r="M44" i="7"/>
  <c r="O44" i="7" s="1"/>
  <c r="L44" i="7"/>
  <c r="M471" i="7"/>
  <c r="O471" i="7" s="1"/>
  <c r="L471" i="7"/>
  <c r="M980" i="7"/>
  <c r="O980" i="7" s="1"/>
  <c r="L980" i="7"/>
  <c r="L581" i="7"/>
  <c r="M581" i="7"/>
  <c r="O581" i="7" s="1"/>
  <c r="N552" i="7"/>
  <c r="O552" i="7" s="1"/>
  <c r="L552" i="7"/>
  <c r="M320" i="7"/>
  <c r="O320" i="7" s="1"/>
  <c r="L320" i="7"/>
  <c r="L770" i="7"/>
  <c r="M770" i="7"/>
  <c r="O770" i="7" s="1"/>
  <c r="M522" i="7"/>
  <c r="O522" i="7" s="1"/>
  <c r="L522" i="7"/>
  <c r="M324" i="7"/>
  <c r="O324" i="7" s="1"/>
  <c r="L324" i="7"/>
  <c r="L288" i="7"/>
  <c r="M288" i="7"/>
  <c r="O288" i="7" s="1"/>
  <c r="M588" i="7"/>
  <c r="O588" i="7" s="1"/>
  <c r="L588" i="7"/>
  <c r="M546" i="7"/>
  <c r="O546" i="7" s="1"/>
  <c r="L546" i="7"/>
  <c r="M173" i="7"/>
  <c r="O173" i="7" s="1"/>
  <c r="L173" i="7"/>
  <c r="K968" i="7"/>
  <c r="N968" i="7" s="1"/>
  <c r="M306" i="7"/>
  <c r="O306" i="7" s="1"/>
  <c r="L306" i="7"/>
  <c r="E26" i="7"/>
  <c r="C27" i="7"/>
  <c r="E27" i="7" s="1"/>
  <c r="E52" i="7"/>
  <c r="C53" i="7"/>
  <c r="E53" i="7" s="1"/>
  <c r="L321" i="7"/>
  <c r="M321" i="7"/>
  <c r="O321" i="7" s="1"/>
  <c r="N606" i="7"/>
  <c r="O606" i="7" s="1"/>
  <c r="L606" i="7"/>
  <c r="M623" i="7"/>
  <c r="O623" i="7" s="1"/>
  <c r="L623" i="7"/>
  <c r="L816" i="7"/>
  <c r="M816" i="7"/>
  <c r="O816" i="7" s="1"/>
  <c r="M131" i="7"/>
  <c r="L131" i="7"/>
  <c r="E310" i="7"/>
  <c r="C311" i="7"/>
  <c r="N245" i="7"/>
  <c r="O245" i="7" s="1"/>
  <c r="L245" i="7"/>
  <c r="M515" i="7"/>
  <c r="O515" i="7" s="1"/>
  <c r="L515" i="7"/>
  <c r="M636" i="7"/>
  <c r="O636" i="7" s="1"/>
  <c r="L636" i="7"/>
  <c r="M436" i="7"/>
  <c r="O436" i="7" s="1"/>
  <c r="L436" i="7"/>
  <c r="N226" i="7"/>
  <c r="O226" i="7" s="1"/>
  <c r="L226" i="7"/>
  <c r="M411" i="7"/>
  <c r="O411" i="7" s="1"/>
  <c r="L411" i="7"/>
  <c r="E756" i="7"/>
  <c r="C757" i="7"/>
  <c r="E757" i="7" s="1"/>
  <c r="G407" i="9"/>
  <c r="J962" i="7"/>
  <c r="M860" i="7"/>
  <c r="L860" i="7"/>
  <c r="L682" i="7"/>
  <c r="M682" i="7"/>
  <c r="O682" i="7" s="1"/>
  <c r="L680" i="7"/>
  <c r="M680" i="7"/>
  <c r="O680" i="7" s="1"/>
  <c r="L440" i="7"/>
  <c r="N440" i="7"/>
  <c r="O440" i="7" s="1"/>
  <c r="E888" i="7"/>
  <c r="C889" i="7"/>
  <c r="N619" i="7"/>
  <c r="O619" i="7" s="1"/>
  <c r="L619" i="7"/>
  <c r="M783" i="7"/>
  <c r="O783" i="7" s="1"/>
  <c r="L783" i="7"/>
  <c r="M301" i="7"/>
  <c r="O301" i="7" s="1"/>
  <c r="L301" i="7"/>
  <c r="N128" i="7"/>
  <c r="L128" i="7"/>
  <c r="M520" i="7"/>
  <c r="O520" i="7" s="1"/>
  <c r="L520" i="7"/>
  <c r="L696" i="7"/>
  <c r="M696" i="7"/>
  <c r="O696" i="7" s="1"/>
  <c r="N465" i="7"/>
  <c r="O465" i="7" s="1"/>
  <c r="L465" i="7"/>
  <c r="M181" i="7"/>
  <c r="O181" i="7" s="1"/>
  <c r="L181" i="7"/>
  <c r="M163" i="7"/>
  <c r="O163" i="7" s="1"/>
  <c r="L163" i="7"/>
  <c r="M635" i="7"/>
  <c r="O635" i="7" s="1"/>
  <c r="L635" i="7"/>
  <c r="M895" i="7"/>
  <c r="L895" i="7"/>
  <c r="M702" i="7"/>
  <c r="O702" i="7" s="1"/>
  <c r="L702" i="7"/>
  <c r="L639" i="7"/>
  <c r="M639" i="7"/>
  <c r="O639" i="7" s="1"/>
  <c r="M93" i="7"/>
  <c r="L93" i="7"/>
  <c r="N633" i="7"/>
  <c r="O633" i="7" s="1"/>
  <c r="L633" i="7"/>
  <c r="M476" i="7"/>
  <c r="O476" i="7" s="1"/>
  <c r="L476" i="7"/>
  <c r="M563" i="7"/>
  <c r="O563" i="7" s="1"/>
  <c r="L563" i="7"/>
  <c r="M746" i="7"/>
  <c r="L746" i="7"/>
  <c r="E583" i="7"/>
  <c r="C584" i="7"/>
  <c r="M463" i="7"/>
  <c r="O463" i="7" s="1"/>
  <c r="L463" i="7"/>
  <c r="N360" i="7"/>
  <c r="L689" i="7"/>
  <c r="M689" i="7"/>
  <c r="O689" i="7" s="1"/>
  <c r="M474" i="7"/>
  <c r="O474" i="7" s="1"/>
  <c r="L474" i="7"/>
  <c r="M20" i="7"/>
  <c r="O20" i="7" s="1"/>
  <c r="L20" i="7"/>
  <c r="M494" i="7"/>
  <c r="O494" i="7" s="1"/>
  <c r="L494" i="7"/>
  <c r="M100" i="7"/>
  <c r="E153" i="7"/>
  <c r="C154" i="7"/>
  <c r="M530" i="7"/>
  <c r="O530" i="7" s="1"/>
  <c r="L530" i="7"/>
  <c r="L690" i="7"/>
  <c r="M690" i="7"/>
  <c r="O690" i="7" s="1"/>
  <c r="M499" i="7"/>
  <c r="O499" i="7" s="1"/>
  <c r="L499" i="7"/>
  <c r="L519" i="7"/>
  <c r="N519" i="7"/>
  <c r="O519" i="7" s="1"/>
  <c r="M829" i="7"/>
  <c r="O829" i="7" s="1"/>
  <c r="L829" i="7"/>
  <c r="M616" i="7"/>
  <c r="O616" i="7" s="1"/>
  <c r="L616" i="7"/>
  <c r="N518" i="7"/>
  <c r="O518" i="7" s="1"/>
  <c r="L518" i="7"/>
  <c r="G498" i="9"/>
  <c r="J766" i="7"/>
  <c r="M828" i="7"/>
  <c r="O828" i="7" s="1"/>
  <c r="L828" i="7"/>
  <c r="M586" i="7"/>
  <c r="O586" i="7" s="1"/>
  <c r="L586" i="7"/>
  <c r="M453" i="7"/>
  <c r="O453" i="7" s="1"/>
  <c r="L453" i="7"/>
  <c r="E661" i="7"/>
  <c r="C662" i="7"/>
  <c r="E986" i="7"/>
  <c r="C987" i="7"/>
  <c r="M170" i="7"/>
  <c r="O170" i="7" s="1"/>
  <c r="L170" i="7"/>
  <c r="E552" i="7"/>
  <c r="C553" i="7"/>
  <c r="M75" i="7"/>
  <c r="K1683" i="12"/>
  <c r="I1680" i="12"/>
  <c r="G685" i="9" s="1"/>
  <c r="M174" i="7"/>
  <c r="O174" i="7" s="1"/>
  <c r="L174" i="7"/>
  <c r="M712" i="7"/>
  <c r="L712" i="7"/>
  <c r="M775" i="7"/>
  <c r="O775" i="7" s="1"/>
  <c r="L775" i="7"/>
  <c r="E895" i="7"/>
  <c r="C896" i="7"/>
  <c r="M697" i="7"/>
  <c r="O697" i="7" s="1"/>
  <c r="L697" i="7"/>
  <c r="M585" i="7"/>
  <c r="O585" i="7" s="1"/>
  <c r="L585" i="7"/>
  <c r="L944" i="7"/>
  <c r="M944" i="7"/>
  <c r="O944" i="7" s="1"/>
  <c r="M215" i="7"/>
  <c r="L215" i="7"/>
  <c r="M566" i="7"/>
  <c r="O566" i="7" s="1"/>
  <c r="L566" i="7"/>
  <c r="E747" i="7"/>
  <c r="C748" i="7"/>
  <c r="M380" i="7"/>
  <c r="O380" i="7" s="1"/>
  <c r="L380" i="7"/>
  <c r="M615" i="7"/>
  <c r="O615" i="7" s="1"/>
  <c r="L615" i="7"/>
  <c r="E694" i="7"/>
  <c r="C695" i="7"/>
  <c r="M270" i="7"/>
  <c r="O270" i="7" s="1"/>
  <c r="L270" i="7"/>
  <c r="L795" i="7"/>
  <c r="M795" i="7"/>
  <c r="O795" i="7" s="1"/>
  <c r="L147" i="7"/>
  <c r="M147" i="7"/>
  <c r="O147" i="7" s="1"/>
  <c r="N820" i="7"/>
  <c r="O820" i="7" s="1"/>
  <c r="L820" i="7"/>
  <c r="N973" i="7"/>
  <c r="M415" i="7"/>
  <c r="O415" i="7" s="1"/>
  <c r="L415" i="7"/>
  <c r="M596" i="7"/>
  <c r="O596" i="7" s="1"/>
  <c r="L596" i="7"/>
  <c r="M336" i="7"/>
  <c r="O336" i="7" s="1"/>
  <c r="L336" i="7"/>
  <c r="M488" i="7"/>
  <c r="O488" i="7" s="1"/>
  <c r="L488" i="7"/>
  <c r="G808" i="9"/>
  <c r="J194" i="7"/>
  <c r="K562" i="12"/>
  <c r="M614" i="7"/>
  <c r="O614" i="7" s="1"/>
  <c r="L614" i="7"/>
  <c r="H448" i="9"/>
  <c r="K819" i="7"/>
  <c r="N819" i="7" s="1"/>
  <c r="L95" i="7"/>
  <c r="M95" i="7"/>
  <c r="O95" i="7" s="1"/>
  <c r="M363" i="7"/>
  <c r="L363" i="7"/>
  <c r="N896" i="7"/>
  <c r="O896" i="7" s="1"/>
  <c r="L896" i="7"/>
  <c r="M640" i="7"/>
  <c r="O640" i="7" s="1"/>
  <c r="L640" i="7"/>
  <c r="N803" i="7"/>
  <c r="O803" i="7" s="1"/>
  <c r="L803" i="7"/>
  <c r="M557" i="7"/>
  <c r="O557" i="7" s="1"/>
  <c r="L557" i="7"/>
  <c r="G523" i="9"/>
  <c r="J759" i="7"/>
  <c r="G434" i="9"/>
  <c r="J740" i="7"/>
  <c r="K979" i="12"/>
  <c r="M517" i="7"/>
  <c r="O517" i="7" s="1"/>
  <c r="L517" i="7"/>
  <c r="E256" i="7"/>
  <c r="C257" i="7"/>
  <c r="C173" i="7"/>
  <c r="E172" i="7"/>
  <c r="M9" i="9"/>
  <c r="M627" i="7"/>
  <c r="O627" i="7" s="1"/>
  <c r="L627" i="7"/>
  <c r="M433" i="7"/>
  <c r="O433" i="7" s="1"/>
  <c r="L433" i="7"/>
  <c r="K1229" i="12"/>
  <c r="K959" i="7"/>
  <c r="N959" i="7" s="1"/>
  <c r="N749" i="7"/>
  <c r="O749" i="7" s="1"/>
  <c r="L749" i="7"/>
  <c r="M647" i="7"/>
  <c r="O647" i="7" s="1"/>
  <c r="L647" i="7"/>
  <c r="M330" i="7"/>
  <c r="O330" i="7" s="1"/>
  <c r="L330" i="7"/>
  <c r="M641" i="7"/>
  <c r="O641" i="7" s="1"/>
  <c r="L641" i="7"/>
  <c r="M601" i="7"/>
  <c r="O601" i="7" s="1"/>
  <c r="L601" i="7"/>
  <c r="M378" i="7"/>
  <c r="O378" i="7" s="1"/>
  <c r="L378" i="7"/>
  <c r="M748" i="7"/>
  <c r="O748" i="7" s="1"/>
  <c r="L748" i="7"/>
  <c r="M379" i="7"/>
  <c r="O379" i="7" s="1"/>
  <c r="L379" i="7"/>
  <c r="M1004" i="7"/>
  <c r="O1004" i="7" s="1"/>
  <c r="L1004" i="7"/>
  <c r="L457" i="7"/>
  <c r="M457" i="7"/>
  <c r="O457" i="7" s="1"/>
  <c r="E922" i="7"/>
  <c r="C923" i="7"/>
  <c r="E923" i="7" s="1"/>
  <c r="L439" i="7"/>
  <c r="M439" i="7"/>
  <c r="O439" i="7" s="1"/>
  <c r="L956" i="7"/>
  <c r="N956" i="7"/>
  <c r="O956" i="7" s="1"/>
  <c r="J986" i="7"/>
  <c r="K541" i="12"/>
  <c r="N302" i="7"/>
  <c r="O302" i="7" s="1"/>
  <c r="L302" i="7"/>
  <c r="M538" i="7"/>
  <c r="O538" i="7" s="1"/>
  <c r="L538" i="7"/>
  <c r="H355" i="9"/>
  <c r="K187" i="7"/>
  <c r="N187" i="7" s="1"/>
  <c r="K555" i="12"/>
  <c r="L777" i="7"/>
  <c r="M777" i="7"/>
  <c r="O777" i="7" s="1"/>
  <c r="M550" i="7"/>
  <c r="O550" i="7" s="1"/>
  <c r="L550" i="7"/>
  <c r="N809" i="7"/>
  <c r="O809" i="7" s="1"/>
  <c r="L809" i="7"/>
  <c r="J989" i="7"/>
  <c r="K527" i="12"/>
  <c r="M242" i="7"/>
  <c r="O242" i="7" s="1"/>
  <c r="L242" i="7"/>
  <c r="Y23" i="7"/>
  <c r="W23" i="7"/>
  <c r="U23" i="7"/>
  <c r="P21" i="7"/>
  <c r="H17" i="4" s="1"/>
  <c r="M268" i="7"/>
  <c r="O268" i="7" s="1"/>
  <c r="L268" i="7"/>
  <c r="N271" i="7"/>
  <c r="O271" i="7" s="1"/>
  <c r="L271" i="7"/>
  <c r="M547" i="7"/>
  <c r="O547" i="7" s="1"/>
  <c r="L547" i="7"/>
  <c r="M776" i="7"/>
  <c r="O776" i="7" s="1"/>
  <c r="L776" i="7"/>
  <c r="L634" i="7"/>
  <c r="M634" i="7"/>
  <c r="O634" i="7" s="1"/>
  <c r="M219" i="7"/>
  <c r="O219" i="7" s="1"/>
  <c r="L219" i="7"/>
  <c r="M912" i="7"/>
  <c r="O912" i="7" s="1"/>
  <c r="L912" i="7"/>
  <c r="L409" i="7"/>
  <c r="M409" i="7"/>
  <c r="O409" i="7" s="1"/>
  <c r="M617" i="7"/>
  <c r="O617" i="7" s="1"/>
  <c r="L617" i="7"/>
  <c r="M646" i="7"/>
  <c r="O646" i="7" s="1"/>
  <c r="L646" i="7"/>
  <c r="L397" i="7"/>
  <c r="M397" i="7"/>
  <c r="O397" i="7" s="1"/>
  <c r="M175" i="7"/>
  <c r="O175" i="7" s="1"/>
  <c r="L175" i="7"/>
  <c r="C802" i="7"/>
  <c r="E801" i="7"/>
  <c r="M500" i="7"/>
  <c r="O500" i="7" s="1"/>
  <c r="L500" i="7"/>
  <c r="M599" i="7"/>
  <c r="O599" i="7" s="1"/>
  <c r="L599" i="7"/>
  <c r="G249" i="9"/>
  <c r="J797" i="7"/>
  <c r="K1495" i="12"/>
  <c r="L595" i="7"/>
  <c r="M595" i="7"/>
  <c r="O595" i="7" s="1"/>
  <c r="L791" i="7"/>
  <c r="M791" i="7"/>
  <c r="O791" i="7" s="1"/>
  <c r="G385" i="9"/>
  <c r="J999" i="7"/>
  <c r="L587" i="7"/>
  <c r="M587" i="7"/>
  <c r="O587" i="7" s="1"/>
  <c r="L143" i="7"/>
  <c r="M143" i="7"/>
  <c r="O143" i="7" s="1"/>
  <c r="L715" i="7"/>
  <c r="M715" i="7"/>
  <c r="O715" i="7" s="1"/>
  <c r="N726" i="7"/>
  <c r="O726" i="7" s="1"/>
  <c r="L726" i="7"/>
  <c r="C96" i="7"/>
  <c r="E95" i="7"/>
  <c r="E330" i="7"/>
  <c r="C331" i="7"/>
  <c r="E331" i="7" s="1"/>
  <c r="E647" i="7"/>
  <c r="C648" i="7"/>
  <c r="K1445" i="12"/>
  <c r="I1438" i="12"/>
  <c r="G218" i="9" s="1"/>
  <c r="C436" i="7"/>
  <c r="E435" i="7"/>
  <c r="M442" i="7"/>
  <c r="O442" i="7" s="1"/>
  <c r="L442" i="7"/>
  <c r="E279" i="7"/>
  <c r="C280" i="7"/>
  <c r="E280" i="7" s="1"/>
  <c r="L785" i="7"/>
  <c r="M785" i="7"/>
  <c r="O785" i="7" s="1"/>
  <c r="L730" i="7"/>
  <c r="M730" i="7"/>
  <c r="O730" i="7" s="1"/>
  <c r="M942" i="7"/>
  <c r="L942" i="7"/>
  <c r="M554" i="7"/>
  <c r="O554" i="7" s="1"/>
  <c r="L554" i="7"/>
  <c r="E688" i="7"/>
  <c r="C689" i="7"/>
  <c r="L681" i="7"/>
  <c r="M681" i="7"/>
  <c r="O681" i="7" s="1"/>
  <c r="M814" i="7"/>
  <c r="O814" i="7" s="1"/>
  <c r="L814" i="7"/>
  <c r="L413" i="7"/>
  <c r="N413" i="7"/>
  <c r="O413" i="7" s="1"/>
  <c r="M83" i="7"/>
  <c r="M452" i="7"/>
  <c r="O452" i="7" s="1"/>
  <c r="L452" i="7"/>
  <c r="M911" i="7"/>
  <c r="O911" i="7" s="1"/>
  <c r="L911" i="7"/>
  <c r="M943" i="7"/>
  <c r="O943" i="7" s="1"/>
  <c r="L943" i="7"/>
  <c r="M475" i="7"/>
  <c r="O475" i="7" s="1"/>
  <c r="L475" i="7"/>
  <c r="L570" i="7"/>
  <c r="M570" i="7"/>
  <c r="O570" i="7" s="1"/>
  <c r="M491" i="7"/>
  <c r="O491" i="7" s="1"/>
  <c r="L491" i="7"/>
  <c r="M149" i="7"/>
  <c r="O149" i="7" s="1"/>
  <c r="L149" i="7"/>
  <c r="L612" i="7"/>
  <c r="M612" i="7"/>
  <c r="O612" i="7" s="1"/>
  <c r="M438" i="7"/>
  <c r="O438" i="7" s="1"/>
  <c r="L438" i="7"/>
  <c r="L946" i="7"/>
  <c r="N946" i="7"/>
  <c r="M304" i="7"/>
  <c r="O304" i="7" s="1"/>
  <c r="L304" i="7"/>
  <c r="L812" i="7"/>
  <c r="M812" i="7"/>
  <c r="O812" i="7" s="1"/>
  <c r="M725" i="7"/>
  <c r="O725" i="7" s="1"/>
  <c r="L725" i="7"/>
  <c r="U86" i="7"/>
  <c r="Y86" i="7"/>
  <c r="W86" i="7"/>
  <c r="E572" i="7"/>
  <c r="C573" i="7"/>
  <c r="C786" i="7"/>
  <c r="E785" i="7"/>
  <c r="L975" i="7"/>
  <c r="M975" i="7"/>
  <c r="G775" i="9"/>
  <c r="J987" i="7"/>
  <c r="N613" i="7"/>
  <c r="O613" i="7" s="1"/>
  <c r="L613" i="7"/>
  <c r="M799" i="7"/>
  <c r="O799" i="7" s="1"/>
  <c r="L799" i="7"/>
  <c r="N496" i="7"/>
  <c r="O496" i="7" s="1"/>
  <c r="L496" i="7"/>
  <c r="L565" i="7"/>
  <c r="M565" i="7"/>
  <c r="O565" i="7" s="1"/>
  <c r="M105" i="7"/>
  <c r="O105" i="7" s="1"/>
  <c r="L105" i="7"/>
  <c r="M437" i="7"/>
  <c r="O437" i="7" s="1"/>
  <c r="L437" i="7"/>
  <c r="N752" i="7"/>
  <c r="O752" i="7" s="1"/>
  <c r="L752" i="7"/>
  <c r="N607" i="7"/>
  <c r="O607" i="7" s="1"/>
  <c r="L607" i="7"/>
  <c r="G448" i="9" l="1"/>
  <c r="G541" i="9"/>
  <c r="K2070" i="12"/>
  <c r="G672" i="9"/>
  <c r="M853" i="7"/>
  <c r="N853" i="7"/>
  <c r="O860" i="7"/>
  <c r="W860" i="7" s="1"/>
  <c r="O880" i="7"/>
  <c r="U880" i="7" s="1"/>
  <c r="O893" i="7"/>
  <c r="Y893" i="7" s="1"/>
  <c r="U899" i="7"/>
  <c r="W899" i="7"/>
  <c r="L642" i="7"/>
  <c r="Y882" i="7"/>
  <c r="U882" i="7"/>
  <c r="O100" i="7"/>
  <c r="Y100" i="7" s="1"/>
  <c r="U863" i="7"/>
  <c r="L100" i="7"/>
  <c r="W863" i="7"/>
  <c r="U865" i="7"/>
  <c r="W865" i="7"/>
  <c r="L742" i="7"/>
  <c r="L995" i="7"/>
  <c r="L718" i="7"/>
  <c r="M719" i="7"/>
  <c r="O719" i="7" s="1"/>
  <c r="U719" i="7" s="1"/>
  <c r="W249" i="7"/>
  <c r="U249" i="7"/>
  <c r="Y249" i="7"/>
  <c r="K190" i="7"/>
  <c r="N190" i="7" s="1"/>
  <c r="Y688" i="7"/>
  <c r="W688" i="7"/>
  <c r="L993" i="7"/>
  <c r="K1579" i="12"/>
  <c r="K2084" i="12"/>
  <c r="L754" i="7"/>
  <c r="L756" i="7"/>
  <c r="L319" i="7"/>
  <c r="U387" i="7"/>
  <c r="L717" i="7"/>
  <c r="W387" i="7"/>
  <c r="U503" i="7"/>
  <c r="Y366" i="7"/>
  <c r="W503" i="7"/>
  <c r="U366" i="7"/>
  <c r="W922" i="7"/>
  <c r="U821" i="7"/>
  <c r="Y821" i="7"/>
  <c r="U922" i="7"/>
  <c r="M76" i="7"/>
  <c r="O76" i="7" s="1"/>
  <c r="U76" i="7" s="1"/>
  <c r="W709" i="7"/>
  <c r="U736" i="7"/>
  <c r="Y649" i="7"/>
  <c r="U709" i="7"/>
  <c r="Y736" i="7"/>
  <c r="U649" i="7"/>
  <c r="U833" i="7"/>
  <c r="L757" i="7"/>
  <c r="W833" i="7"/>
  <c r="J819" i="7"/>
  <c r="M819" i="7" s="1"/>
  <c r="O819" i="7" s="1"/>
  <c r="L982" i="7"/>
  <c r="U382" i="7"/>
  <c r="W382" i="7"/>
  <c r="W14" i="7"/>
  <c r="U14" i="7"/>
  <c r="Y381" i="7"/>
  <c r="U804" i="7"/>
  <c r="Y804" i="7"/>
  <c r="L838" i="7"/>
  <c r="E606" i="7"/>
  <c r="C607" i="7"/>
  <c r="Y648" i="7"/>
  <c r="U648" i="7"/>
  <c r="E106" i="7"/>
  <c r="C107" i="7"/>
  <c r="E107" i="7" s="1"/>
  <c r="E295" i="7"/>
  <c r="C296" i="7"/>
  <c r="C18" i="4"/>
  <c r="B16" i="11" s="1"/>
  <c r="W381" i="7"/>
  <c r="W915" i="7"/>
  <c r="Y832" i="7"/>
  <c r="W832" i="7"/>
  <c r="U832" i="7"/>
  <c r="O75" i="7"/>
  <c r="Y75" i="7" s="1"/>
  <c r="L75" i="7"/>
  <c r="Y789" i="7"/>
  <c r="U789" i="7"/>
  <c r="W789" i="7"/>
  <c r="Y915" i="7"/>
  <c r="U417" i="7"/>
  <c r="Y417" i="7"/>
  <c r="W417" i="7"/>
  <c r="Y184" i="7"/>
  <c r="W184" i="7"/>
  <c r="U184" i="7"/>
  <c r="U913" i="7"/>
  <c r="W913" i="7"/>
  <c r="Y913" i="7"/>
  <c r="N48" i="7"/>
  <c r="W914" i="7"/>
  <c r="Y914" i="7"/>
  <c r="U914" i="7"/>
  <c r="U384" i="7"/>
  <c r="W384" i="7"/>
  <c r="Y384" i="7"/>
  <c r="U392" i="7"/>
  <c r="Y392" i="7"/>
  <c r="W392" i="7"/>
  <c r="Y794" i="7"/>
  <c r="U794" i="7"/>
  <c r="W794" i="7"/>
  <c r="Y450" i="7"/>
  <c r="W450" i="7"/>
  <c r="U450" i="7"/>
  <c r="Y390" i="7"/>
  <c r="W390" i="7"/>
  <c r="U390" i="7"/>
  <c r="W193" i="7"/>
  <c r="U193" i="7"/>
  <c r="Y193" i="7"/>
  <c r="Y155" i="7"/>
  <c r="W155" i="7"/>
  <c r="U155" i="7"/>
  <c r="W287" i="7"/>
  <c r="U287" i="7"/>
  <c r="Y287" i="7"/>
  <c r="U46" i="7"/>
  <c r="Y46" i="7"/>
  <c r="W46" i="7"/>
  <c r="U903" i="7"/>
  <c r="W903" i="7"/>
  <c r="Y903" i="7"/>
  <c r="Y699" i="7"/>
  <c r="W699" i="7"/>
  <c r="U699" i="7"/>
  <c r="U651" i="7"/>
  <c r="Y651" i="7"/>
  <c r="W651" i="7"/>
  <c r="W805" i="7"/>
  <c r="Y805" i="7"/>
  <c r="U805" i="7"/>
  <c r="U779" i="7"/>
  <c r="W779" i="7"/>
  <c r="Y779" i="7"/>
  <c r="Y510" i="7"/>
  <c r="W510" i="7"/>
  <c r="U510" i="7"/>
  <c r="U372" i="7"/>
  <c r="W372" i="7"/>
  <c r="Y372" i="7"/>
  <c r="Y227" i="7"/>
  <c r="U227" i="7"/>
  <c r="W227" i="7"/>
  <c r="W578" i="7"/>
  <c r="Y578" i="7"/>
  <c r="U578" i="7"/>
  <c r="U489" i="7"/>
  <c r="W489" i="7"/>
  <c r="Y489" i="7"/>
  <c r="W132" i="7"/>
  <c r="Y132" i="7"/>
  <c r="U132" i="7"/>
  <c r="U591" i="7"/>
  <c r="Y591" i="7"/>
  <c r="W591" i="7"/>
  <c r="W192" i="7"/>
  <c r="U192" i="7"/>
  <c r="Y192" i="7"/>
  <c r="O932" i="7"/>
  <c r="W52" i="7"/>
  <c r="Y52" i="7"/>
  <c r="U52" i="7"/>
  <c r="Y72" i="7"/>
  <c r="W72" i="7"/>
  <c r="U72" i="7"/>
  <c r="U685" i="7"/>
  <c r="W685" i="7"/>
  <c r="Y685" i="7"/>
  <c r="Y176" i="7"/>
  <c r="W176" i="7"/>
  <c r="U176" i="7"/>
  <c r="Y279" i="7"/>
  <c r="U279" i="7"/>
  <c r="W279" i="7"/>
  <c r="N960" i="7"/>
  <c r="U362" i="7"/>
  <c r="Y362" i="7"/>
  <c r="W362" i="7"/>
  <c r="Y283" i="7"/>
  <c r="W283" i="7"/>
  <c r="U283" i="7"/>
  <c r="W811" i="7"/>
  <c r="Y811" i="7"/>
  <c r="U811" i="7"/>
  <c r="Y286" i="7"/>
  <c r="U286" i="7"/>
  <c r="W286" i="7"/>
  <c r="N951" i="7"/>
  <c r="W498" i="7"/>
  <c r="Y498" i="7"/>
  <c r="U498" i="7"/>
  <c r="U64" i="7"/>
  <c r="Y64" i="7"/>
  <c r="W64" i="7"/>
  <c r="U670" i="7"/>
  <c r="W670" i="7"/>
  <c r="Y670" i="7"/>
  <c r="Y1000" i="7"/>
  <c r="W1000" i="7"/>
  <c r="U1000" i="7"/>
  <c r="Y416" i="7"/>
  <c r="W416" i="7"/>
  <c r="U416" i="7"/>
  <c r="W806" i="7"/>
  <c r="U806" i="7"/>
  <c r="Y806" i="7"/>
  <c r="O83" i="7"/>
  <c r="W83" i="7" s="1"/>
  <c r="L83" i="7"/>
  <c r="Y918" i="7"/>
  <c r="U918" i="7"/>
  <c r="W918" i="7"/>
  <c r="Y234" i="7"/>
  <c r="U234" i="7"/>
  <c r="W234" i="7"/>
  <c r="W511" i="7"/>
  <c r="Y511" i="7"/>
  <c r="U511" i="7"/>
  <c r="Y742" i="7"/>
  <c r="U742" i="7"/>
  <c r="W742" i="7"/>
  <c r="Y423" i="7"/>
  <c r="W423" i="7"/>
  <c r="U423" i="7"/>
  <c r="W815" i="7"/>
  <c r="Y815" i="7"/>
  <c r="U815" i="7"/>
  <c r="Y141" i="7"/>
  <c r="W141" i="7"/>
  <c r="U141" i="7"/>
  <c r="Y98" i="7"/>
  <c r="W98" i="7"/>
  <c r="U98" i="7"/>
  <c r="U673" i="7"/>
  <c r="Y673" i="7"/>
  <c r="W673" i="7"/>
  <c r="U929" i="7"/>
  <c r="Y929" i="7"/>
  <c r="W929" i="7"/>
  <c r="U824" i="7"/>
  <c r="W824" i="7"/>
  <c r="Y824" i="7"/>
  <c r="U527" i="7"/>
  <c r="W527" i="7"/>
  <c r="Y527" i="7"/>
  <c r="O941" i="7"/>
  <c r="N939" i="7"/>
  <c r="Y926" i="7"/>
  <c r="W926" i="7"/>
  <c r="U926" i="7"/>
  <c r="Y273" i="7"/>
  <c r="U273" i="7"/>
  <c r="W273" i="7"/>
  <c r="Y406" i="7"/>
  <c r="W406" i="7"/>
  <c r="U406" i="7"/>
  <c r="Y251" i="7"/>
  <c r="U251" i="7"/>
  <c r="W251" i="7"/>
  <c r="W479" i="7"/>
  <c r="U479" i="7"/>
  <c r="Y479" i="7"/>
  <c r="W280" i="7"/>
  <c r="U280" i="7"/>
  <c r="Y280" i="7"/>
  <c r="U787" i="7"/>
  <c r="Y787" i="7"/>
  <c r="W787" i="7"/>
  <c r="U724" i="7"/>
  <c r="Y724" i="7"/>
  <c r="W724" i="7"/>
  <c r="Y459" i="7"/>
  <c r="W459" i="7"/>
  <c r="U459" i="7"/>
  <c r="K908" i="7"/>
  <c r="N908" i="7" s="1"/>
  <c r="N905" i="7" s="1"/>
  <c r="Y502" i="7"/>
  <c r="W502" i="7"/>
  <c r="U502" i="7"/>
  <c r="W130" i="7"/>
  <c r="Y130" i="7"/>
  <c r="U130" i="7"/>
  <c r="U933" i="7"/>
  <c r="Y933" i="7"/>
  <c r="W933" i="7"/>
  <c r="U395" i="7"/>
  <c r="W395" i="7"/>
  <c r="Y395" i="7"/>
  <c r="W274" i="7"/>
  <c r="U274" i="7"/>
  <c r="Y274" i="7"/>
  <c r="J188" i="7"/>
  <c r="W820" i="7"/>
  <c r="Y820" i="7"/>
  <c r="U820" i="7"/>
  <c r="M797" i="7"/>
  <c r="O797" i="7" s="1"/>
  <c r="L797" i="7"/>
  <c r="E748" i="7"/>
  <c r="C749" i="7"/>
  <c r="E749" i="7" s="1"/>
  <c r="N368" i="7"/>
  <c r="W570" i="7"/>
  <c r="Y570" i="7"/>
  <c r="U570" i="7"/>
  <c r="W242" i="7"/>
  <c r="U242" i="7"/>
  <c r="Y242" i="7"/>
  <c r="W795" i="7"/>
  <c r="U795" i="7"/>
  <c r="Y795" i="7"/>
  <c r="W775" i="7"/>
  <c r="Y775" i="7"/>
  <c r="U775" i="7"/>
  <c r="Y718" i="7"/>
  <c r="U718" i="7"/>
  <c r="W718" i="7"/>
  <c r="E154" i="7"/>
  <c r="C155" i="7"/>
  <c r="Y696" i="7"/>
  <c r="W696" i="7"/>
  <c r="U696" i="7"/>
  <c r="G608" i="9"/>
  <c r="J981" i="7"/>
  <c r="K1438" i="12"/>
  <c r="Y633" i="7"/>
  <c r="W633" i="7"/>
  <c r="U633" i="7"/>
  <c r="Y725" i="7"/>
  <c r="W725" i="7"/>
  <c r="U725" i="7"/>
  <c r="N945" i="7"/>
  <c r="O946" i="7"/>
  <c r="M999" i="7"/>
  <c r="O999" i="7" s="1"/>
  <c r="L999" i="7"/>
  <c r="U956" i="7"/>
  <c r="Y956" i="7"/>
  <c r="W956" i="7"/>
  <c r="U379" i="7"/>
  <c r="W379" i="7"/>
  <c r="Y379" i="7"/>
  <c r="E257" i="7"/>
  <c r="C258" i="7"/>
  <c r="Y518" i="7"/>
  <c r="W518" i="7"/>
  <c r="U518" i="7"/>
  <c r="U494" i="7"/>
  <c r="Y494" i="7"/>
  <c r="W494" i="7"/>
  <c r="U306" i="7"/>
  <c r="Y306" i="7"/>
  <c r="W306" i="7"/>
  <c r="W552" i="7"/>
  <c r="Y552" i="7"/>
  <c r="U552" i="7"/>
  <c r="I1881" i="12"/>
  <c r="G35" i="9" s="1"/>
  <c r="K1882" i="12"/>
  <c r="Y982" i="7"/>
  <c r="W982" i="7"/>
  <c r="U982" i="7"/>
  <c r="U626" i="7"/>
  <c r="Y626" i="7"/>
  <c r="W626" i="7"/>
  <c r="Y167" i="7"/>
  <c r="W167" i="7"/>
  <c r="U167" i="7"/>
  <c r="U374" i="7"/>
  <c r="W374" i="7"/>
  <c r="Y374" i="7"/>
  <c r="Y47" i="7"/>
  <c r="W47" i="7"/>
  <c r="U47" i="7"/>
  <c r="M368" i="7"/>
  <c r="O370" i="7"/>
  <c r="M767" i="7"/>
  <c r="O767" i="7" s="1"/>
  <c r="L767" i="7"/>
  <c r="W590" i="7"/>
  <c r="Y590" i="7"/>
  <c r="U590" i="7"/>
  <c r="Y672" i="7"/>
  <c r="W672" i="7"/>
  <c r="U672" i="7"/>
  <c r="Y991" i="7"/>
  <c r="W991" i="7"/>
  <c r="U991" i="7"/>
  <c r="W147" i="7"/>
  <c r="Y147" i="7"/>
  <c r="U147" i="7"/>
  <c r="W814" i="7"/>
  <c r="U814" i="7"/>
  <c r="Y814" i="7"/>
  <c r="C649" i="7"/>
  <c r="E648" i="7"/>
  <c r="U547" i="7"/>
  <c r="Y547" i="7"/>
  <c r="W547" i="7"/>
  <c r="W809" i="7"/>
  <c r="U809" i="7"/>
  <c r="Y809" i="7"/>
  <c r="Y336" i="7"/>
  <c r="W336" i="7"/>
  <c r="U336" i="7"/>
  <c r="W270" i="7"/>
  <c r="U270" i="7"/>
  <c r="Y270" i="7"/>
  <c r="Y585" i="7"/>
  <c r="W585" i="7"/>
  <c r="U585" i="7"/>
  <c r="E584" i="7"/>
  <c r="C585" i="7"/>
  <c r="O93" i="7"/>
  <c r="M84" i="7"/>
  <c r="U163" i="7"/>
  <c r="Y163" i="7"/>
  <c r="W163" i="7"/>
  <c r="Y411" i="7"/>
  <c r="W411" i="7"/>
  <c r="U411" i="7"/>
  <c r="Y606" i="7"/>
  <c r="W606" i="7"/>
  <c r="U606" i="7"/>
  <c r="Y581" i="7"/>
  <c r="W581" i="7"/>
  <c r="U581" i="7"/>
  <c r="W165" i="7"/>
  <c r="U165" i="7"/>
  <c r="Y165" i="7"/>
  <c r="W564" i="7"/>
  <c r="U564" i="7"/>
  <c r="Y564" i="7"/>
  <c r="C131" i="7"/>
  <c r="E130" i="7"/>
  <c r="Y659" i="7"/>
  <c r="U659" i="7"/>
  <c r="W659" i="7"/>
  <c r="W637" i="7"/>
  <c r="U637" i="7"/>
  <c r="Y637" i="7"/>
  <c r="U480" i="7"/>
  <c r="Y480" i="7"/>
  <c r="W480" i="7"/>
  <c r="Y65" i="7"/>
  <c r="W65" i="7"/>
  <c r="U65" i="7"/>
  <c r="W568" i="7"/>
  <c r="U568" i="7"/>
  <c r="Y568" i="7"/>
  <c r="Y335" i="7"/>
  <c r="W335" i="7"/>
  <c r="U335" i="7"/>
  <c r="E987" i="7"/>
  <c r="C988" i="7"/>
  <c r="W565" i="7"/>
  <c r="Y565" i="7"/>
  <c r="U565" i="7"/>
  <c r="Y607" i="7"/>
  <c r="W607" i="7"/>
  <c r="U607" i="7"/>
  <c r="U496" i="7"/>
  <c r="Y496" i="7"/>
  <c r="W496" i="7"/>
  <c r="W812" i="7"/>
  <c r="Y812" i="7"/>
  <c r="U812" i="7"/>
  <c r="Y791" i="7"/>
  <c r="W791" i="7"/>
  <c r="U791" i="7"/>
  <c r="Y439" i="7"/>
  <c r="W439" i="7"/>
  <c r="U439" i="7"/>
  <c r="E695" i="7"/>
  <c r="C696" i="7"/>
  <c r="Y499" i="7"/>
  <c r="W499" i="7"/>
  <c r="U499" i="7"/>
  <c r="Y301" i="7"/>
  <c r="W301" i="7"/>
  <c r="U301" i="7"/>
  <c r="Y522" i="7"/>
  <c r="W522" i="7"/>
  <c r="U522" i="7"/>
  <c r="W539" i="7"/>
  <c r="Y539" i="7"/>
  <c r="U539" i="7"/>
  <c r="Y365" i="7"/>
  <c r="W365" i="7"/>
  <c r="U365" i="7"/>
  <c r="Y317" i="7"/>
  <c r="W317" i="7"/>
  <c r="U317" i="7"/>
  <c r="Y695" i="7"/>
  <c r="W695" i="7"/>
  <c r="U695" i="7"/>
  <c r="Y1001" i="7"/>
  <c r="W1001" i="7"/>
  <c r="U1001" i="7"/>
  <c r="Y732" i="7"/>
  <c r="W732" i="7"/>
  <c r="U732" i="7"/>
  <c r="Y624" i="7"/>
  <c r="W624" i="7"/>
  <c r="U624" i="7"/>
  <c r="M959" i="7"/>
  <c r="O959" i="7" s="1"/>
  <c r="L959" i="7"/>
  <c r="Y248" i="7"/>
  <c r="W248" i="7"/>
  <c r="U248" i="7"/>
  <c r="J190" i="7"/>
  <c r="E512" i="7"/>
  <c r="C513" i="7"/>
  <c r="W241" i="7"/>
  <c r="U241" i="7"/>
  <c r="Y241" i="7"/>
  <c r="Y629" i="7"/>
  <c r="W629" i="7"/>
  <c r="U629" i="7"/>
  <c r="M984" i="7"/>
  <c r="O984" i="7" s="1"/>
  <c r="L984" i="7"/>
  <c r="M988" i="7"/>
  <c r="O988" i="7" s="1"/>
  <c r="L988" i="7"/>
  <c r="Y105" i="7"/>
  <c r="W105" i="7"/>
  <c r="U105" i="7"/>
  <c r="W785" i="7"/>
  <c r="U785" i="7"/>
  <c r="Y785" i="7"/>
  <c r="U500" i="7"/>
  <c r="Y500" i="7"/>
  <c r="W500" i="7"/>
  <c r="Y682" i="7"/>
  <c r="W682" i="7"/>
  <c r="U682" i="7"/>
  <c r="U545" i="7"/>
  <c r="Y545" i="7"/>
  <c r="W545" i="7"/>
  <c r="W529" i="7"/>
  <c r="Y529" i="7"/>
  <c r="U529" i="7"/>
  <c r="E273" i="7"/>
  <c r="C274" i="7"/>
  <c r="W244" i="7"/>
  <c r="U244" i="7"/>
  <c r="Y244" i="7"/>
  <c r="W177" i="7"/>
  <c r="U177" i="7"/>
  <c r="Y177" i="7"/>
  <c r="U493" i="7"/>
  <c r="W493" i="7"/>
  <c r="Y493" i="7"/>
  <c r="U490" i="7"/>
  <c r="Y490" i="7"/>
  <c r="W490" i="7"/>
  <c r="W810" i="7"/>
  <c r="Y810" i="7"/>
  <c r="U810" i="7"/>
  <c r="Y337" i="7"/>
  <c r="W337" i="7"/>
  <c r="U337" i="7"/>
  <c r="Y920" i="7"/>
  <c r="W920" i="7"/>
  <c r="U920" i="7"/>
  <c r="N930" i="7"/>
  <c r="W530" i="7"/>
  <c r="Y530" i="7"/>
  <c r="U530" i="7"/>
  <c r="W532" i="7"/>
  <c r="Y532" i="7"/>
  <c r="U532" i="7"/>
  <c r="M766" i="7"/>
  <c r="O766" i="7" s="1"/>
  <c r="L766" i="7"/>
  <c r="Y752" i="7"/>
  <c r="W752" i="7"/>
  <c r="U752" i="7"/>
  <c r="Y697" i="7"/>
  <c r="W697" i="7"/>
  <c r="U697" i="7"/>
  <c r="W170" i="7"/>
  <c r="U170" i="7"/>
  <c r="Y170" i="7"/>
  <c r="W20" i="7"/>
  <c r="U20" i="7"/>
  <c r="Y20" i="7"/>
  <c r="Y321" i="7"/>
  <c r="W321" i="7"/>
  <c r="U321" i="7"/>
  <c r="Y980" i="7"/>
  <c r="W980" i="7"/>
  <c r="U980" i="7"/>
  <c r="Y976" i="7"/>
  <c r="U976" i="7"/>
  <c r="W976" i="7"/>
  <c r="Y700" i="7"/>
  <c r="W700" i="7"/>
  <c r="U700" i="7"/>
  <c r="W284" i="7"/>
  <c r="U284" i="7"/>
  <c r="Y284" i="7"/>
  <c r="Y142" i="7"/>
  <c r="W142" i="7"/>
  <c r="U142" i="7"/>
  <c r="Y642" i="7"/>
  <c r="U642" i="7"/>
  <c r="W642" i="7"/>
  <c r="W826" i="7"/>
  <c r="Y826" i="7"/>
  <c r="U826" i="7"/>
  <c r="U373" i="7"/>
  <c r="W373" i="7"/>
  <c r="Y373" i="7"/>
  <c r="U762" i="7"/>
  <c r="Y762" i="7"/>
  <c r="W762" i="7"/>
  <c r="E861" i="7"/>
  <c r="Y331" i="7"/>
  <c r="W331" i="7"/>
  <c r="U331" i="7"/>
  <c r="U625" i="7"/>
  <c r="Y625" i="7"/>
  <c r="W625" i="7"/>
  <c r="U492" i="7"/>
  <c r="Y492" i="7"/>
  <c r="W492" i="7"/>
  <c r="Y912" i="7"/>
  <c r="W912" i="7"/>
  <c r="U912" i="7"/>
  <c r="W715" i="7"/>
  <c r="U715" i="7"/>
  <c r="Y715" i="7"/>
  <c r="Y116" i="7"/>
  <c r="U116" i="7"/>
  <c r="W116" i="7"/>
  <c r="W896" i="7"/>
  <c r="U896" i="7"/>
  <c r="Y896" i="7"/>
  <c r="W799" i="7"/>
  <c r="Y799" i="7"/>
  <c r="U799" i="7"/>
  <c r="Y438" i="7"/>
  <c r="W438" i="7"/>
  <c r="U438" i="7"/>
  <c r="U557" i="7"/>
  <c r="W557" i="7"/>
  <c r="Y557" i="7"/>
  <c r="W453" i="7"/>
  <c r="U453" i="7"/>
  <c r="Y453" i="7"/>
  <c r="W226" i="7"/>
  <c r="Y226" i="7"/>
  <c r="U226" i="7"/>
  <c r="Y681" i="7"/>
  <c r="W681" i="7"/>
  <c r="U681" i="7"/>
  <c r="Y911" i="7"/>
  <c r="W911" i="7"/>
  <c r="U911" i="7"/>
  <c r="Y595" i="7"/>
  <c r="W595" i="7"/>
  <c r="U595" i="7"/>
  <c r="W271" i="7"/>
  <c r="U271" i="7"/>
  <c r="Y271" i="7"/>
  <c r="W550" i="7"/>
  <c r="Y550" i="7"/>
  <c r="U550" i="7"/>
  <c r="Y302" i="7"/>
  <c r="W302" i="7"/>
  <c r="U302" i="7"/>
  <c r="Y433" i="7"/>
  <c r="W433" i="7"/>
  <c r="U433" i="7"/>
  <c r="Y517" i="7"/>
  <c r="W517" i="7"/>
  <c r="U517" i="7"/>
  <c r="U596" i="7"/>
  <c r="W596" i="7"/>
  <c r="Y596" i="7"/>
  <c r="U615" i="7"/>
  <c r="Y615" i="7"/>
  <c r="W615" i="7"/>
  <c r="E896" i="7"/>
  <c r="C897" i="7"/>
  <c r="U690" i="7"/>
  <c r="Y690" i="7"/>
  <c r="W690" i="7"/>
  <c r="O746" i="7"/>
  <c r="Y702" i="7"/>
  <c r="W702" i="7"/>
  <c r="U702" i="7"/>
  <c r="Y436" i="7"/>
  <c r="W436" i="7"/>
  <c r="U436" i="7"/>
  <c r="W173" i="7"/>
  <c r="U173" i="7"/>
  <c r="Y173" i="7"/>
  <c r="Y598" i="7"/>
  <c r="U598" i="7"/>
  <c r="W598" i="7"/>
  <c r="C42" i="7"/>
  <c r="E41" i="7"/>
  <c r="W267" i="7"/>
  <c r="U267" i="7"/>
  <c r="Y267" i="7"/>
  <c r="W285" i="7"/>
  <c r="U285" i="7"/>
  <c r="Y285" i="7"/>
  <c r="Y472" i="7"/>
  <c r="W472" i="7"/>
  <c r="U472" i="7"/>
  <c r="Y323" i="7"/>
  <c r="W323" i="7"/>
  <c r="U323" i="7"/>
  <c r="W788" i="7"/>
  <c r="Y788" i="7"/>
  <c r="U788" i="7"/>
  <c r="G355" i="9"/>
  <c r="J187" i="7"/>
  <c r="J978" i="7"/>
  <c r="K1430" i="12"/>
  <c r="W77" i="7"/>
  <c r="U77" i="7"/>
  <c r="Y77" i="7"/>
  <c r="W800" i="7"/>
  <c r="Y800" i="7"/>
  <c r="U800" i="7"/>
  <c r="U375" i="7"/>
  <c r="W375" i="7"/>
  <c r="Y375" i="7"/>
  <c r="O950" i="7"/>
  <c r="M945" i="7"/>
  <c r="E636" i="7"/>
  <c r="C637" i="7"/>
  <c r="Y668" i="7"/>
  <c r="W668" i="7"/>
  <c r="U668" i="7"/>
  <c r="O712" i="7"/>
  <c r="Y474" i="7"/>
  <c r="W474" i="7"/>
  <c r="U474" i="7"/>
  <c r="Y181" i="7"/>
  <c r="W181" i="7"/>
  <c r="U181" i="7"/>
  <c r="W838" i="7"/>
  <c r="Y838" i="7"/>
  <c r="U838" i="7"/>
  <c r="Y471" i="7"/>
  <c r="W471" i="7"/>
  <c r="U471" i="7"/>
  <c r="N710" i="7"/>
  <c r="M760" i="7"/>
  <c r="O760" i="7" s="1"/>
  <c r="L760" i="7"/>
  <c r="M985" i="7"/>
  <c r="O985" i="7" s="1"/>
  <c r="L985" i="7"/>
  <c r="E115" i="7"/>
  <c r="C116" i="7"/>
  <c r="E116" i="7" s="1"/>
  <c r="W243" i="7"/>
  <c r="U243" i="7"/>
  <c r="Y243" i="7"/>
  <c r="Y33" i="7"/>
  <c r="W33" i="7"/>
  <c r="U33" i="7"/>
  <c r="C623" i="7"/>
  <c r="E622" i="7"/>
  <c r="W808" i="7"/>
  <c r="Y808" i="7"/>
  <c r="U808" i="7"/>
  <c r="Y995" i="7"/>
  <c r="W995" i="7"/>
  <c r="U995" i="7"/>
  <c r="Y923" i="7"/>
  <c r="W923" i="7"/>
  <c r="U923" i="7"/>
  <c r="Y605" i="7"/>
  <c r="W605" i="7"/>
  <c r="U605" i="7"/>
  <c r="U748" i="7"/>
  <c r="Y748" i="7"/>
  <c r="W748" i="7"/>
  <c r="U415" i="7"/>
  <c r="W415" i="7"/>
  <c r="Y415" i="7"/>
  <c r="Y586" i="7"/>
  <c r="W586" i="7"/>
  <c r="U586" i="7"/>
  <c r="W783" i="7"/>
  <c r="U783" i="7"/>
  <c r="Y783" i="7"/>
  <c r="W533" i="7"/>
  <c r="U533" i="7"/>
  <c r="Y533" i="7"/>
  <c r="W146" i="7"/>
  <c r="Y146" i="7"/>
  <c r="U146" i="7"/>
  <c r="L755" i="7"/>
  <c r="M755" i="7"/>
  <c r="O755" i="7" s="1"/>
  <c r="Y660" i="7"/>
  <c r="W660" i="7"/>
  <c r="U660" i="7"/>
  <c r="D461" i="7"/>
  <c r="E460" i="7"/>
  <c r="Y407" i="7"/>
  <c r="W407" i="7"/>
  <c r="U407" i="7"/>
  <c r="O50" i="7"/>
  <c r="W329" i="7"/>
  <c r="Y329" i="7"/>
  <c r="U329" i="7"/>
  <c r="U376" i="7"/>
  <c r="W376" i="7"/>
  <c r="Y376" i="7"/>
  <c r="Y434" i="7"/>
  <c r="W434" i="7"/>
  <c r="U434" i="7"/>
  <c r="U239" i="7"/>
  <c r="Y239" i="7"/>
  <c r="W239" i="7"/>
  <c r="W722" i="7"/>
  <c r="U722" i="7"/>
  <c r="Y722" i="7"/>
  <c r="E656" i="7"/>
  <c r="C657" i="7"/>
  <c r="E657" i="7" s="1"/>
  <c r="U437" i="7"/>
  <c r="Y437" i="7"/>
  <c r="W437" i="7"/>
  <c r="W754" i="7"/>
  <c r="U754" i="7"/>
  <c r="Y754" i="7"/>
  <c r="M28" i="7"/>
  <c r="F18" i="4" s="1"/>
  <c r="O30" i="7"/>
  <c r="W548" i="7"/>
  <c r="U548" i="7"/>
  <c r="Y548" i="7"/>
  <c r="Y303" i="7"/>
  <c r="W303" i="7"/>
  <c r="U303" i="7"/>
  <c r="G657" i="9"/>
  <c r="J836" i="7"/>
  <c r="K1684" i="12"/>
  <c r="Y822" i="7"/>
  <c r="W822" i="7"/>
  <c r="U822" i="7"/>
  <c r="W825" i="7"/>
  <c r="Y825" i="7"/>
  <c r="U825" i="7"/>
  <c r="W272" i="7"/>
  <c r="U272" i="7"/>
  <c r="Y272" i="7"/>
  <c r="Y662" i="7"/>
  <c r="W662" i="7"/>
  <c r="U662" i="7"/>
  <c r="U491" i="7"/>
  <c r="Y491" i="7"/>
  <c r="W491" i="7"/>
  <c r="Y612" i="7"/>
  <c r="W612" i="7"/>
  <c r="U612" i="7"/>
  <c r="C97" i="7"/>
  <c r="E96" i="7"/>
  <c r="W803" i="7"/>
  <c r="Y803" i="7"/>
  <c r="U803" i="7"/>
  <c r="U613" i="7"/>
  <c r="W613" i="7"/>
  <c r="Y613" i="7"/>
  <c r="C803" i="7"/>
  <c r="E802" i="7"/>
  <c r="W268" i="7"/>
  <c r="U268" i="7"/>
  <c r="Y268" i="7"/>
  <c r="W777" i="7"/>
  <c r="Y777" i="7"/>
  <c r="U777" i="7"/>
  <c r="E786" i="7"/>
  <c r="C787" i="7"/>
  <c r="Y614" i="7"/>
  <c r="W614" i="7"/>
  <c r="U614" i="7"/>
  <c r="U380" i="7"/>
  <c r="W380" i="7"/>
  <c r="Y380" i="7"/>
  <c r="W616" i="7"/>
  <c r="U616" i="7"/>
  <c r="Y616" i="7"/>
  <c r="U689" i="7"/>
  <c r="Y689" i="7"/>
  <c r="W689" i="7"/>
  <c r="U636" i="7"/>
  <c r="W636" i="7"/>
  <c r="Y636" i="7"/>
  <c r="Y546" i="7"/>
  <c r="W546" i="7"/>
  <c r="U546" i="7"/>
  <c r="Y44" i="7"/>
  <c r="W44" i="7"/>
  <c r="U44" i="7"/>
  <c r="Y405" i="7"/>
  <c r="W405" i="7"/>
  <c r="U405" i="7"/>
  <c r="Y610" i="7"/>
  <c r="W610" i="7"/>
  <c r="U610" i="7"/>
  <c r="E573" i="7"/>
  <c r="C574" i="7"/>
  <c r="W149" i="7"/>
  <c r="U149" i="7"/>
  <c r="Y149" i="7"/>
  <c r="E689" i="7"/>
  <c r="C690" i="7"/>
  <c r="E690" i="7" s="1"/>
  <c r="W175" i="7"/>
  <c r="U175" i="7"/>
  <c r="Y175" i="7"/>
  <c r="I17" i="4"/>
  <c r="AC15" i="11"/>
  <c r="AB15" i="11" s="1"/>
  <c r="U378" i="7"/>
  <c r="W378" i="7"/>
  <c r="Y378" i="7"/>
  <c r="W627" i="7"/>
  <c r="U627" i="7"/>
  <c r="Y627" i="7"/>
  <c r="Y640" i="7"/>
  <c r="W640" i="7"/>
  <c r="U640" i="7"/>
  <c r="W174" i="7"/>
  <c r="U174" i="7"/>
  <c r="Y174" i="7"/>
  <c r="Y781" i="7"/>
  <c r="W781" i="7"/>
  <c r="U781" i="7"/>
  <c r="W410" i="7"/>
  <c r="Y410" i="7"/>
  <c r="U410" i="7"/>
  <c r="E914" i="7"/>
  <c r="C915" i="7"/>
  <c r="W802" i="7"/>
  <c r="Y802" i="7"/>
  <c r="U802" i="7"/>
  <c r="W764" i="7"/>
  <c r="Y764" i="7"/>
  <c r="U764" i="7"/>
  <c r="Y717" i="7"/>
  <c r="W717" i="7"/>
  <c r="U717" i="7"/>
  <c r="Y53" i="7"/>
  <c r="W53" i="7"/>
  <c r="U53" i="7"/>
  <c r="Y408" i="7"/>
  <c r="W408" i="7"/>
  <c r="U408" i="7"/>
  <c r="E287" i="7"/>
  <c r="C288" i="7"/>
  <c r="E288" i="7" s="1"/>
  <c r="E218" i="7"/>
  <c r="C219" i="7"/>
  <c r="E137" i="7"/>
  <c r="C138" i="7"/>
  <c r="Y455" i="7"/>
  <c r="W455" i="7"/>
  <c r="U455" i="7"/>
  <c r="W246" i="7"/>
  <c r="U246" i="7"/>
  <c r="Y246" i="7"/>
  <c r="C312" i="7"/>
  <c r="E311" i="7"/>
  <c r="Y588" i="7"/>
  <c r="U588" i="7"/>
  <c r="W588" i="7"/>
  <c r="W770" i="7"/>
  <c r="Y770" i="7"/>
  <c r="U770" i="7"/>
  <c r="C401" i="7"/>
  <c r="E400" i="7"/>
  <c r="Y466" i="7"/>
  <c r="W466" i="7"/>
  <c r="U466" i="7"/>
  <c r="Y427" i="7"/>
  <c r="W427" i="7"/>
  <c r="U427" i="7"/>
  <c r="Y328" i="7"/>
  <c r="W328" i="7"/>
  <c r="U328" i="7"/>
  <c r="Y435" i="7"/>
  <c r="W435" i="7"/>
  <c r="U435" i="7"/>
  <c r="O938" i="7"/>
  <c r="P937" i="7" s="1"/>
  <c r="M937" i="7"/>
  <c r="M1003" i="7"/>
  <c r="M1002" i="7" s="1"/>
  <c r="P1002" i="7" s="1"/>
  <c r="L1003" i="7"/>
  <c r="Y751" i="7"/>
  <c r="W751" i="7"/>
  <c r="U751" i="7"/>
  <c r="M761" i="7"/>
  <c r="O761" i="7" s="1"/>
  <c r="L761" i="7"/>
  <c r="Y397" i="7"/>
  <c r="W397" i="7"/>
  <c r="U397" i="7"/>
  <c r="O895" i="7"/>
  <c r="Y619" i="7"/>
  <c r="W619" i="7"/>
  <c r="U619" i="7"/>
  <c r="Y288" i="7"/>
  <c r="W288" i="7"/>
  <c r="U288" i="7"/>
  <c r="J979" i="7"/>
  <c r="K1446" i="12"/>
  <c r="Y470" i="7"/>
  <c r="W470" i="7"/>
  <c r="U470" i="7"/>
  <c r="Y583" i="7"/>
  <c r="U583" i="7"/>
  <c r="W583" i="7"/>
  <c r="Y398" i="7"/>
  <c r="W398" i="7"/>
  <c r="U398" i="7"/>
  <c r="Y608" i="7"/>
  <c r="W608" i="7"/>
  <c r="U608" i="7"/>
  <c r="N213" i="7"/>
  <c r="U318" i="7"/>
  <c r="Y318" i="7"/>
  <c r="W318" i="7"/>
  <c r="W771" i="7"/>
  <c r="Y771" i="7"/>
  <c r="U771" i="7"/>
  <c r="Y340" i="7"/>
  <c r="W340" i="7"/>
  <c r="U340" i="7"/>
  <c r="Y713" i="7"/>
  <c r="W713" i="7"/>
  <c r="U713" i="7"/>
  <c r="Y153" i="7"/>
  <c r="W153" i="7"/>
  <c r="U153" i="7"/>
  <c r="U669" i="7"/>
  <c r="W669" i="7"/>
  <c r="Y669" i="7"/>
  <c r="W786" i="7"/>
  <c r="Y786" i="7"/>
  <c r="U786" i="7"/>
  <c r="M986" i="7"/>
  <c r="O986" i="7" s="1"/>
  <c r="L986" i="7"/>
  <c r="Y828" i="7"/>
  <c r="W828" i="7"/>
  <c r="U828" i="7"/>
  <c r="W807" i="7"/>
  <c r="Y807" i="7"/>
  <c r="U807" i="7"/>
  <c r="Y353" i="7"/>
  <c r="W353" i="7"/>
  <c r="U353" i="7"/>
  <c r="Y367" i="7"/>
  <c r="W367" i="7"/>
  <c r="U367" i="7"/>
  <c r="W813" i="7"/>
  <c r="Y813" i="7"/>
  <c r="U813" i="7"/>
  <c r="W553" i="7"/>
  <c r="Y553" i="7"/>
  <c r="U553" i="7"/>
  <c r="Y638" i="7"/>
  <c r="W638" i="7"/>
  <c r="U638" i="7"/>
  <c r="O953" i="7"/>
  <c r="Y442" i="7"/>
  <c r="W442" i="7"/>
  <c r="U442" i="7"/>
  <c r="Y563" i="7"/>
  <c r="W563" i="7"/>
  <c r="U563" i="7"/>
  <c r="Y635" i="7"/>
  <c r="W635" i="7"/>
  <c r="U635" i="7"/>
  <c r="Y465" i="7"/>
  <c r="W465" i="7"/>
  <c r="U465" i="7"/>
  <c r="M962" i="7"/>
  <c r="L962" i="7"/>
  <c r="O131" i="7"/>
  <c r="M125" i="7"/>
  <c r="Y667" i="7"/>
  <c r="W667" i="7"/>
  <c r="U667" i="7"/>
  <c r="C465" i="7"/>
  <c r="C708" i="7"/>
  <c r="E707" i="7"/>
  <c r="Y701" i="7"/>
  <c r="W701" i="7"/>
  <c r="U701" i="7"/>
  <c r="Y451" i="7"/>
  <c r="W451" i="7"/>
  <c r="U451" i="7"/>
  <c r="Y756" i="7"/>
  <c r="W756" i="7"/>
  <c r="U756" i="7"/>
  <c r="Y189" i="7"/>
  <c r="W189" i="7"/>
  <c r="U189" i="7"/>
  <c r="W611" i="7"/>
  <c r="U611" i="7"/>
  <c r="Y611" i="7"/>
  <c r="C533" i="7"/>
  <c r="E532" i="7"/>
  <c r="W541" i="7"/>
  <c r="U541" i="7"/>
  <c r="Y541" i="7"/>
  <c r="W816" i="7"/>
  <c r="Y816" i="7"/>
  <c r="U816" i="7"/>
  <c r="W521" i="7"/>
  <c r="U521" i="7"/>
  <c r="Y521" i="7"/>
  <c r="W531" i="7"/>
  <c r="Y531" i="7"/>
  <c r="U531" i="7"/>
  <c r="W757" i="7"/>
  <c r="Y757" i="7"/>
  <c r="U757" i="7"/>
  <c r="W738" i="7"/>
  <c r="U738" i="7"/>
  <c r="Y738" i="7"/>
  <c r="C484" i="7"/>
  <c r="E483" i="7"/>
  <c r="K2075" i="12"/>
  <c r="K188" i="7"/>
  <c r="N188" i="7" s="1"/>
  <c r="Y733" i="7"/>
  <c r="W733" i="7"/>
  <c r="U733" i="7"/>
  <c r="C374" i="7"/>
  <c r="E373" i="7"/>
  <c r="W97" i="7"/>
  <c r="Y97" i="7"/>
  <c r="U97" i="7"/>
  <c r="U290" i="7"/>
  <c r="Y290" i="7"/>
  <c r="W290" i="7"/>
  <c r="W817" i="7"/>
  <c r="U817" i="7"/>
  <c r="Y817" i="7"/>
  <c r="E320" i="7"/>
  <c r="C321" i="7"/>
  <c r="Y597" i="7"/>
  <c r="W597" i="7"/>
  <c r="U597" i="7"/>
  <c r="E34" i="7"/>
  <c r="C35" i="7"/>
  <c r="E35" i="7" s="1"/>
  <c r="U747" i="7"/>
  <c r="Y747" i="7"/>
  <c r="W747" i="7"/>
  <c r="Y79" i="7"/>
  <c r="W79" i="7"/>
  <c r="U79" i="7"/>
  <c r="C393" i="7"/>
  <c r="E392" i="7"/>
  <c r="E943" i="7"/>
  <c r="C944" i="7"/>
  <c r="E944" i="7" s="1"/>
  <c r="W774" i="7"/>
  <c r="Y774" i="7"/>
  <c r="U774" i="7"/>
  <c r="Y726" i="7"/>
  <c r="W726" i="7"/>
  <c r="U726" i="7"/>
  <c r="Y452" i="7"/>
  <c r="W452" i="7"/>
  <c r="U452" i="7"/>
  <c r="Y457" i="7"/>
  <c r="W457" i="7"/>
  <c r="U457" i="7"/>
  <c r="W554" i="7"/>
  <c r="U554" i="7"/>
  <c r="Y554" i="7"/>
  <c r="Y219" i="7"/>
  <c r="W219" i="7"/>
  <c r="U219" i="7"/>
  <c r="M987" i="7"/>
  <c r="O987" i="7" s="1"/>
  <c r="L987" i="7"/>
  <c r="Y413" i="7"/>
  <c r="W413" i="7"/>
  <c r="U413" i="7"/>
  <c r="C437" i="7"/>
  <c r="E436" i="7"/>
  <c r="U599" i="7"/>
  <c r="Y599" i="7"/>
  <c r="W599" i="7"/>
  <c r="Y617" i="7"/>
  <c r="W617" i="7"/>
  <c r="U617" i="7"/>
  <c r="Y634" i="7"/>
  <c r="W634" i="7"/>
  <c r="U634" i="7"/>
  <c r="U330" i="7"/>
  <c r="Y330" i="7"/>
  <c r="W330" i="7"/>
  <c r="O363" i="7"/>
  <c r="M360" i="7"/>
  <c r="U566" i="7"/>
  <c r="Y566" i="7"/>
  <c r="W566" i="7"/>
  <c r="Y476" i="7"/>
  <c r="W476" i="7"/>
  <c r="U476" i="7"/>
  <c r="W584" i="7"/>
  <c r="U584" i="7"/>
  <c r="Y584" i="7"/>
  <c r="Y582" i="7"/>
  <c r="W582" i="7"/>
  <c r="U582" i="7"/>
  <c r="Y432" i="7"/>
  <c r="W432" i="7"/>
  <c r="U432" i="7"/>
  <c r="E60" i="7"/>
  <c r="C61" i="7"/>
  <c r="Y645" i="7"/>
  <c r="W645" i="7"/>
  <c r="U645" i="7"/>
  <c r="E949" i="7"/>
  <c r="C950" i="7"/>
  <c r="E950" i="7" s="1"/>
  <c r="W728" i="7"/>
  <c r="U728" i="7"/>
  <c r="Y728" i="7"/>
  <c r="Y768" i="7"/>
  <c r="U768" i="7"/>
  <c r="W768" i="7"/>
  <c r="W534" i="7"/>
  <c r="Y534" i="7"/>
  <c r="U534" i="7"/>
  <c r="M101" i="7"/>
  <c r="O103" i="7"/>
  <c r="G470" i="9"/>
  <c r="J835" i="7"/>
  <c r="K1680" i="12"/>
  <c r="Y1004" i="7"/>
  <c r="U1004" i="7"/>
  <c r="W1004" i="7"/>
  <c r="L740" i="7"/>
  <c r="M740" i="7"/>
  <c r="O740" i="7" s="1"/>
  <c r="M194" i="7"/>
  <c r="O194" i="7" s="1"/>
  <c r="L194" i="7"/>
  <c r="U829" i="7"/>
  <c r="Y829" i="7"/>
  <c r="W829" i="7"/>
  <c r="W463" i="7"/>
  <c r="U463" i="7"/>
  <c r="Y463" i="7"/>
  <c r="W515" i="7"/>
  <c r="U515" i="7"/>
  <c r="Y515" i="7"/>
  <c r="Y324" i="7"/>
  <c r="U324" i="7"/>
  <c r="W324" i="7"/>
  <c r="Y320" i="7"/>
  <c r="W320" i="7"/>
  <c r="U320" i="7"/>
  <c r="W266" i="7"/>
  <c r="U266" i="7"/>
  <c r="Y266" i="7"/>
  <c r="N743" i="7"/>
  <c r="O745" i="7"/>
  <c r="W793" i="7"/>
  <c r="Y793" i="7"/>
  <c r="U793" i="7"/>
  <c r="Y734" i="7"/>
  <c r="W734" i="7"/>
  <c r="U734" i="7"/>
  <c r="Y228" i="7"/>
  <c r="W228" i="7"/>
  <c r="U228" i="7"/>
  <c r="E546" i="7"/>
  <c r="C547" i="7"/>
  <c r="O975" i="7"/>
  <c r="Y304" i="7"/>
  <c r="W304" i="7"/>
  <c r="U304" i="7"/>
  <c r="W730" i="7"/>
  <c r="U730" i="7"/>
  <c r="Y730" i="7"/>
  <c r="M213" i="7"/>
  <c r="O215" i="7"/>
  <c r="Y440" i="7"/>
  <c r="W440" i="7"/>
  <c r="U440" i="7"/>
  <c r="Y623" i="7"/>
  <c r="W623" i="7"/>
  <c r="U623" i="7"/>
  <c r="K1935" i="12"/>
  <c r="I1934" i="12"/>
  <c r="G162" i="9" s="1"/>
  <c r="K2079" i="12"/>
  <c r="W778" i="7"/>
  <c r="U778" i="7"/>
  <c r="Y778" i="7"/>
  <c r="Y225" i="7"/>
  <c r="W225" i="7"/>
  <c r="U225" i="7"/>
  <c r="Y473" i="7"/>
  <c r="W473" i="7"/>
  <c r="U473" i="7"/>
  <c r="W609" i="7"/>
  <c r="U609" i="7"/>
  <c r="Y609" i="7"/>
  <c r="Y250" i="7"/>
  <c r="W250" i="7"/>
  <c r="U250" i="7"/>
  <c r="W94" i="7"/>
  <c r="Y94" i="7"/>
  <c r="U94" i="7"/>
  <c r="E422" i="7"/>
  <c r="D423" i="7"/>
  <c r="O15" i="7"/>
  <c r="M12" i="7"/>
  <c r="F16" i="4" s="1"/>
  <c r="W555" i="7"/>
  <c r="Y555" i="7"/>
  <c r="U555" i="7"/>
  <c r="W540" i="7"/>
  <c r="Y540" i="7"/>
  <c r="U540" i="7"/>
  <c r="O11" i="7"/>
  <c r="M10" i="7"/>
  <c r="M720" i="7"/>
  <c r="O720" i="7" s="1"/>
  <c r="L720" i="7"/>
  <c r="Y334" i="7"/>
  <c r="W334" i="7"/>
  <c r="U334" i="7"/>
  <c r="Y661" i="7"/>
  <c r="W661" i="7"/>
  <c r="U661" i="7"/>
  <c r="W601" i="7"/>
  <c r="U601" i="7"/>
  <c r="Y601" i="7"/>
  <c r="J908" i="7"/>
  <c r="K328" i="12"/>
  <c r="Y143" i="7"/>
  <c r="W143" i="7"/>
  <c r="U143" i="7"/>
  <c r="Y646" i="7"/>
  <c r="W646" i="7"/>
  <c r="U646" i="7"/>
  <c r="Y641" i="7"/>
  <c r="U641" i="7"/>
  <c r="W641" i="7"/>
  <c r="U475" i="7"/>
  <c r="W475" i="7"/>
  <c r="Y475" i="7"/>
  <c r="W776" i="7"/>
  <c r="Y776" i="7"/>
  <c r="U776" i="7"/>
  <c r="M989" i="7"/>
  <c r="O989" i="7" s="1"/>
  <c r="L989" i="7"/>
  <c r="W538" i="7"/>
  <c r="Y538" i="7"/>
  <c r="U538" i="7"/>
  <c r="M759" i="7"/>
  <c r="O759" i="7" s="1"/>
  <c r="L759" i="7"/>
  <c r="Y95" i="7"/>
  <c r="U95" i="7"/>
  <c r="W95" i="7"/>
  <c r="C554" i="7"/>
  <c r="E553" i="7"/>
  <c r="W319" i="7"/>
  <c r="U319" i="7"/>
  <c r="Y319" i="7"/>
  <c r="W245" i="7"/>
  <c r="U245" i="7"/>
  <c r="Y245" i="7"/>
  <c r="G18" i="4"/>
  <c r="K1904" i="12"/>
  <c r="I1903" i="12"/>
  <c r="G60" i="9" s="1"/>
  <c r="E777" i="7"/>
  <c r="C778" i="7"/>
  <c r="O262" i="7"/>
  <c r="M252" i="7"/>
  <c r="Y449" i="7"/>
  <c r="W449" i="7"/>
  <c r="U449" i="7"/>
  <c r="W443" i="7"/>
  <c r="U443" i="7"/>
  <c r="Y443" i="7"/>
  <c r="U156" i="7"/>
  <c r="Y156" i="7"/>
  <c r="W156" i="7"/>
  <c r="W706" i="7"/>
  <c r="U706" i="7"/>
  <c r="Y706" i="7"/>
  <c r="K1418" i="12"/>
  <c r="G533" i="9"/>
  <c r="J997" i="7"/>
  <c r="W831" i="7"/>
  <c r="Y831" i="7"/>
  <c r="U831" i="7"/>
  <c r="Y73" i="7"/>
  <c r="W73" i="7"/>
  <c r="U73" i="7"/>
  <c r="U96" i="7"/>
  <c r="W96" i="7"/>
  <c r="Y96" i="7"/>
  <c r="C595" i="7"/>
  <c r="E594" i="7"/>
  <c r="O160" i="7"/>
  <c r="N884" i="7"/>
  <c r="E889" i="7"/>
  <c r="C890" i="7"/>
  <c r="O942" i="7"/>
  <c r="M939" i="7"/>
  <c r="Y587" i="7"/>
  <c r="W587" i="7"/>
  <c r="U587" i="7"/>
  <c r="U409" i="7"/>
  <c r="Y409" i="7"/>
  <c r="W409" i="7"/>
  <c r="Y647" i="7"/>
  <c r="W647" i="7"/>
  <c r="U647" i="7"/>
  <c r="Y520" i="7"/>
  <c r="W520" i="7"/>
  <c r="U520" i="7"/>
  <c r="W749" i="7"/>
  <c r="Y749" i="7"/>
  <c r="U749" i="7"/>
  <c r="E173" i="7"/>
  <c r="C174" i="7"/>
  <c r="U488" i="7"/>
  <c r="Y488" i="7"/>
  <c r="W488" i="7"/>
  <c r="E662" i="7"/>
  <c r="C663" i="7"/>
  <c r="Y519" i="7"/>
  <c r="W519" i="7"/>
  <c r="U519" i="7"/>
  <c r="N125" i="7"/>
  <c r="O128" i="7"/>
  <c r="U680" i="7"/>
  <c r="Y680" i="7"/>
  <c r="W680" i="7"/>
  <c r="N252" i="7"/>
  <c r="I1919" i="12"/>
  <c r="G114" i="9" s="1"/>
  <c r="K1920" i="12"/>
  <c r="Y477" i="7"/>
  <c r="W477" i="7"/>
  <c r="U477" i="7"/>
  <c r="W729" i="7"/>
  <c r="U729" i="7"/>
  <c r="Y729" i="7"/>
  <c r="W784" i="7"/>
  <c r="Y784" i="7"/>
  <c r="U784" i="7"/>
  <c r="E560" i="7"/>
  <c r="C561" i="7"/>
  <c r="C446" i="7"/>
  <c r="E445" i="7"/>
  <c r="W737" i="7"/>
  <c r="U737" i="7"/>
  <c r="Y737" i="7"/>
  <c r="W801" i="7"/>
  <c r="U801" i="7"/>
  <c r="Y801" i="7"/>
  <c r="U993" i="7"/>
  <c r="W993" i="7"/>
  <c r="Y993" i="7"/>
  <c r="E89" i="7"/>
  <c r="C90" i="7"/>
  <c r="U687" i="7"/>
  <c r="Y687" i="7"/>
  <c r="W687" i="7"/>
  <c r="Y671" i="7"/>
  <c r="W671" i="7"/>
  <c r="U671" i="7"/>
  <c r="P853" i="7" l="1"/>
  <c r="U860" i="7"/>
  <c r="Y860" i="7"/>
  <c r="W893" i="7"/>
  <c r="W880" i="7"/>
  <c r="U893" i="7"/>
  <c r="Y880" i="7"/>
  <c r="Y719" i="7"/>
  <c r="U100" i="7"/>
  <c r="W100" i="7"/>
  <c r="W719" i="7"/>
  <c r="Y76" i="7"/>
  <c r="N158" i="7"/>
  <c r="N1018" i="7" s="1"/>
  <c r="K816" i="9" s="1"/>
  <c r="W76" i="7"/>
  <c r="L819" i="7"/>
  <c r="M48" i="7"/>
  <c r="Y83" i="7"/>
  <c r="U83" i="7"/>
  <c r="P939" i="7"/>
  <c r="C297" i="7"/>
  <c r="E296" i="7"/>
  <c r="E607" i="7"/>
  <c r="C608" i="7"/>
  <c r="U75" i="7"/>
  <c r="W75" i="7"/>
  <c r="M951" i="7"/>
  <c r="W932" i="7"/>
  <c r="U932" i="7"/>
  <c r="Y932" i="7"/>
  <c r="O962" i="7"/>
  <c r="P48" i="7"/>
  <c r="Y50" i="7"/>
  <c r="W50" i="7"/>
  <c r="U50" i="7"/>
  <c r="L978" i="7"/>
  <c r="M978" i="7"/>
  <c r="W262" i="7"/>
  <c r="U262" i="7"/>
  <c r="Y262" i="7"/>
  <c r="P252" i="7"/>
  <c r="C62" i="7"/>
  <c r="E61" i="7"/>
  <c r="M836" i="7"/>
  <c r="O836" i="7" s="1"/>
  <c r="L836" i="7"/>
  <c r="E258" i="7"/>
  <c r="C259" i="7"/>
  <c r="W160" i="7"/>
  <c r="Y160" i="7"/>
  <c r="U160" i="7"/>
  <c r="C596" i="7"/>
  <c r="E595" i="7"/>
  <c r="Y759" i="7"/>
  <c r="W759" i="7"/>
  <c r="U759" i="7"/>
  <c r="E547" i="7"/>
  <c r="C548" i="7"/>
  <c r="E548" i="7" s="1"/>
  <c r="M187" i="7"/>
  <c r="L187" i="7"/>
  <c r="P930" i="7"/>
  <c r="J970" i="7"/>
  <c r="K1881" i="12"/>
  <c r="U15" i="7"/>
  <c r="Y15" i="7"/>
  <c r="W15" i="7"/>
  <c r="P12" i="7"/>
  <c r="H16" i="4" s="1"/>
  <c r="E219" i="7"/>
  <c r="C220" i="7"/>
  <c r="J966" i="7"/>
  <c r="K1919" i="12"/>
  <c r="U745" i="7"/>
  <c r="Y745" i="7"/>
  <c r="W745" i="7"/>
  <c r="J968" i="7"/>
  <c r="K1934" i="12"/>
  <c r="E437" i="7"/>
  <c r="C438" i="7"/>
  <c r="E915" i="7"/>
  <c r="C916" i="7"/>
  <c r="E803" i="7"/>
  <c r="C804" i="7"/>
  <c r="C43" i="7"/>
  <c r="E42" i="7"/>
  <c r="W959" i="7"/>
  <c r="Y959" i="7"/>
  <c r="U959" i="7"/>
  <c r="E131" i="7"/>
  <c r="C132" i="7"/>
  <c r="E132" i="7" s="1"/>
  <c r="U370" i="7"/>
  <c r="W370" i="7"/>
  <c r="P368" i="7"/>
  <c r="Y370" i="7"/>
  <c r="C447" i="7"/>
  <c r="E446" i="7"/>
  <c r="E778" i="7"/>
  <c r="C779" i="7"/>
  <c r="E779" i="7" s="1"/>
  <c r="C534" i="7"/>
  <c r="E533" i="7"/>
  <c r="W895" i="7"/>
  <c r="U895" i="7"/>
  <c r="Y895" i="7"/>
  <c r="U819" i="7"/>
  <c r="Y819" i="7"/>
  <c r="W819" i="7"/>
  <c r="U746" i="7"/>
  <c r="Y746" i="7"/>
  <c r="W746" i="7"/>
  <c r="W988" i="7"/>
  <c r="U988" i="7"/>
  <c r="Y988" i="7"/>
  <c r="M188" i="7"/>
  <c r="O188" i="7" s="1"/>
  <c r="L188" i="7"/>
  <c r="U975" i="7"/>
  <c r="Y975" i="7"/>
  <c r="W975" i="7"/>
  <c r="C175" i="7"/>
  <c r="E174" i="7"/>
  <c r="W986" i="7"/>
  <c r="Y986" i="7"/>
  <c r="U986" i="7"/>
  <c r="C313" i="7"/>
  <c r="E312" i="7"/>
  <c r="C638" i="7"/>
  <c r="E637" i="7"/>
  <c r="C697" i="7"/>
  <c r="E696" i="7"/>
  <c r="C709" i="7"/>
  <c r="E709" i="7" s="1"/>
  <c r="E708" i="7"/>
  <c r="D462" i="7"/>
  <c r="E461" i="7"/>
  <c r="Y984" i="7"/>
  <c r="W984" i="7"/>
  <c r="U984" i="7"/>
  <c r="M981" i="7"/>
  <c r="O981" i="7" s="1"/>
  <c r="L981" i="7"/>
  <c r="F15" i="4"/>
  <c r="C375" i="7"/>
  <c r="E374" i="7"/>
  <c r="C466" i="7"/>
  <c r="Y720" i="7"/>
  <c r="W720" i="7"/>
  <c r="U720" i="7"/>
  <c r="E561" i="7"/>
  <c r="C562" i="7"/>
  <c r="U989" i="7"/>
  <c r="Y989" i="7"/>
  <c r="W989" i="7"/>
  <c r="Y11" i="7"/>
  <c r="W11" i="7"/>
  <c r="P10" i="7"/>
  <c r="U11" i="7"/>
  <c r="W363" i="7"/>
  <c r="U363" i="7"/>
  <c r="Y363" i="7"/>
  <c r="P360" i="7"/>
  <c r="L835" i="7"/>
  <c r="M835" i="7"/>
  <c r="O835" i="7" s="1"/>
  <c r="C575" i="7"/>
  <c r="E574" i="7"/>
  <c r="E897" i="7"/>
  <c r="C898" i="7"/>
  <c r="E898" i="7" s="1"/>
  <c r="U93" i="7"/>
  <c r="Y93" i="7"/>
  <c r="W93" i="7"/>
  <c r="P84" i="7"/>
  <c r="W987" i="7"/>
  <c r="Y987" i="7"/>
  <c r="U987" i="7"/>
  <c r="W30" i="7"/>
  <c r="U30" i="7"/>
  <c r="P28" i="7"/>
  <c r="H18" i="4" s="1"/>
  <c r="Y30" i="7"/>
  <c r="Y755" i="7"/>
  <c r="W755" i="7"/>
  <c r="U755" i="7"/>
  <c r="E585" i="7"/>
  <c r="C586" i="7"/>
  <c r="W194" i="7"/>
  <c r="U194" i="7"/>
  <c r="Y194" i="7"/>
  <c r="C91" i="7"/>
  <c r="E91" i="7" s="1"/>
  <c r="E90" i="7"/>
  <c r="W128" i="7"/>
  <c r="Y128" i="7"/>
  <c r="U128" i="7"/>
  <c r="P125" i="7"/>
  <c r="P213" i="7"/>
  <c r="Y215" i="7"/>
  <c r="W215" i="7"/>
  <c r="U215" i="7"/>
  <c r="Y740" i="7"/>
  <c r="U740" i="7"/>
  <c r="W740" i="7"/>
  <c r="Y761" i="7"/>
  <c r="W761" i="7"/>
  <c r="U761" i="7"/>
  <c r="E988" i="7"/>
  <c r="C989" i="7"/>
  <c r="E989" i="7" s="1"/>
  <c r="Y999" i="7"/>
  <c r="W999" i="7"/>
  <c r="U999" i="7"/>
  <c r="E155" i="7"/>
  <c r="C156" i="7"/>
  <c r="L908" i="7"/>
  <c r="M908" i="7"/>
  <c r="E321" i="7"/>
  <c r="C322" i="7"/>
  <c r="E890" i="7"/>
  <c r="C891" i="7"/>
  <c r="E891" i="7" s="1"/>
  <c r="U103" i="7"/>
  <c r="P101" i="7"/>
  <c r="W103" i="7"/>
  <c r="Y103" i="7"/>
  <c r="C788" i="7"/>
  <c r="E787" i="7"/>
  <c r="E97" i="7"/>
  <c r="C98" i="7"/>
  <c r="Y766" i="7"/>
  <c r="W766" i="7"/>
  <c r="U766" i="7"/>
  <c r="P945" i="7"/>
  <c r="W131" i="7"/>
  <c r="Y131" i="7"/>
  <c r="U131" i="7"/>
  <c r="M979" i="7"/>
  <c r="O979" i="7" s="1"/>
  <c r="L979" i="7"/>
  <c r="W985" i="7"/>
  <c r="Y985" i="7"/>
  <c r="U985" i="7"/>
  <c r="E513" i="7"/>
  <c r="C514" i="7"/>
  <c r="C650" i="7"/>
  <c r="E649" i="7"/>
  <c r="E138" i="7"/>
  <c r="C139" i="7"/>
  <c r="M997" i="7"/>
  <c r="O997" i="7" s="1"/>
  <c r="L997" i="7"/>
  <c r="E484" i="7"/>
  <c r="C485" i="7"/>
  <c r="W953" i="7"/>
  <c r="U953" i="7"/>
  <c r="Y953" i="7"/>
  <c r="P951" i="7"/>
  <c r="E401" i="7"/>
  <c r="C402" i="7"/>
  <c r="Y760" i="7"/>
  <c r="U760" i="7"/>
  <c r="W760" i="7"/>
  <c r="E423" i="7"/>
  <c r="D424" i="7"/>
  <c r="O1003" i="7"/>
  <c r="E903" i="7"/>
  <c r="C904" i="7"/>
  <c r="E904" i="7" s="1"/>
  <c r="R15" i="11"/>
  <c r="F15" i="11"/>
  <c r="X15" i="11"/>
  <c r="L15" i="11"/>
  <c r="J15" i="11"/>
  <c r="P15" i="11"/>
  <c r="D15" i="11"/>
  <c r="Z15" i="11"/>
  <c r="V15" i="11"/>
  <c r="T15" i="11"/>
  <c r="N15" i="11"/>
  <c r="H15" i="11"/>
  <c r="M190" i="7"/>
  <c r="O190" i="7" s="1"/>
  <c r="L190" i="7"/>
  <c r="U797" i="7"/>
  <c r="Y797" i="7"/>
  <c r="W797" i="7"/>
  <c r="E663" i="7"/>
  <c r="C664" i="7"/>
  <c r="C555" i="7"/>
  <c r="E555" i="7" s="1"/>
  <c r="E554" i="7"/>
  <c r="J964" i="7"/>
  <c r="K1903" i="12"/>
  <c r="C394" i="7"/>
  <c r="E393" i="7"/>
  <c r="Y712" i="7"/>
  <c r="P710" i="7"/>
  <c r="W712" i="7"/>
  <c r="U712" i="7"/>
  <c r="E274" i="7"/>
  <c r="C275" i="7"/>
  <c r="E275" i="7" s="1"/>
  <c r="C624" i="7"/>
  <c r="E623" i="7"/>
  <c r="M710" i="7"/>
  <c r="Y767" i="7"/>
  <c r="W767" i="7"/>
  <c r="U767" i="7"/>
  <c r="L815" i="9" l="1"/>
  <c r="Z868" i="7"/>
  <c r="AC868" i="7" s="1"/>
  <c r="Z866" i="7"/>
  <c r="AC866" i="7" s="1"/>
  <c r="AA867" i="7"/>
  <c r="Z867" i="7"/>
  <c r="AC867" i="7" s="1"/>
  <c r="AA866" i="7"/>
  <c r="AD866" i="7" s="1"/>
  <c r="AA868" i="7"/>
  <c r="Z1017" i="7"/>
  <c r="AC1017" i="7" s="1"/>
  <c r="Z1013" i="7"/>
  <c r="AC1013" i="7" s="1"/>
  <c r="AA1017" i="7"/>
  <c r="AA1013" i="7"/>
  <c r="Z1016" i="7"/>
  <c r="AC1016" i="7" s="1"/>
  <c r="AA1016" i="7"/>
  <c r="Z1015" i="7"/>
  <c r="AC1015" i="7" s="1"/>
  <c r="AA1015" i="7"/>
  <c r="Z1014" i="7"/>
  <c r="AC1014" i="7" s="1"/>
  <c r="Z1010" i="7"/>
  <c r="AC1010" i="7" s="1"/>
  <c r="AA1014" i="7"/>
  <c r="AD1014" i="7" s="1"/>
  <c r="AA1010" i="7"/>
  <c r="AD1010" i="7" s="1"/>
  <c r="AA1006" i="7"/>
  <c r="AD1006" i="7" s="1"/>
  <c r="Z1006" i="7"/>
  <c r="AC1006" i="7" s="1"/>
  <c r="Z1009" i="7"/>
  <c r="AC1009" i="7" s="1"/>
  <c r="Z1011" i="7"/>
  <c r="AC1011" i="7" s="1"/>
  <c r="Z1008" i="7"/>
  <c r="AC1008" i="7" s="1"/>
  <c r="Z1012" i="7"/>
  <c r="AC1012" i="7" s="1"/>
  <c r="AA1012" i="7"/>
  <c r="AA1009" i="7"/>
  <c r="AA1008" i="7"/>
  <c r="AA1011" i="7"/>
  <c r="Z1007" i="7"/>
  <c r="AC1007" i="7" s="1"/>
  <c r="Z1005" i="7"/>
  <c r="AC1005" i="7" s="1"/>
  <c r="AA1005" i="7"/>
  <c r="AD1005" i="7" s="1"/>
  <c r="AA1007" i="7"/>
  <c r="Z954" i="7"/>
  <c r="AC954" i="7" s="1"/>
  <c r="AA954" i="7"/>
  <c r="Z883" i="7"/>
  <c r="AC883" i="7" s="1"/>
  <c r="AA883" i="7"/>
  <c r="AD883" i="7" s="1"/>
  <c r="Z881" i="7"/>
  <c r="AC881" i="7" s="1"/>
  <c r="AA881" i="7"/>
  <c r="Z878" i="7"/>
  <c r="AC878" i="7" s="1"/>
  <c r="Z879" i="7"/>
  <c r="AC879" i="7" s="1"/>
  <c r="Z876" i="7"/>
  <c r="AC876" i="7" s="1"/>
  <c r="AA876" i="7"/>
  <c r="AD876" i="7" s="1"/>
  <c r="AA878" i="7"/>
  <c r="AD878" i="7" s="1"/>
  <c r="AA879" i="7"/>
  <c r="Z882" i="7"/>
  <c r="AC882" i="7" s="1"/>
  <c r="Z880" i="7"/>
  <c r="AC880" i="7" s="1"/>
  <c r="Z877" i="7"/>
  <c r="AC877" i="7" s="1"/>
  <c r="AA877" i="7"/>
  <c r="AA882" i="7"/>
  <c r="AA880" i="7"/>
  <c r="E608" i="7"/>
  <c r="C609" i="7"/>
  <c r="C298" i="7"/>
  <c r="E298" i="7" s="1"/>
  <c r="E297" i="7"/>
  <c r="P743" i="7"/>
  <c r="M743" i="7"/>
  <c r="Y190" i="7"/>
  <c r="W190" i="7"/>
  <c r="U190" i="7"/>
  <c r="AA982" i="7"/>
  <c r="E562" i="7"/>
  <c r="C563" i="7"/>
  <c r="M966" i="7"/>
  <c r="O966" i="7" s="1"/>
  <c r="L966" i="7"/>
  <c r="E259" i="7"/>
  <c r="C260" i="7"/>
  <c r="C63" i="7"/>
  <c r="E62" i="7"/>
  <c r="C376" i="7"/>
  <c r="E375" i="7"/>
  <c r="C625" i="7"/>
  <c r="E624" i="7"/>
  <c r="C395" i="7"/>
  <c r="E395" i="7" s="1"/>
  <c r="E394" i="7"/>
  <c r="E424" i="7"/>
  <c r="D425" i="7"/>
  <c r="C789" i="7"/>
  <c r="E789" i="7" s="1"/>
  <c r="E788" i="7"/>
  <c r="E156" i="7"/>
  <c r="C157" i="7"/>
  <c r="E157" i="7" s="1"/>
  <c r="C467" i="7"/>
  <c r="AA895" i="7"/>
  <c r="AA976" i="7"/>
  <c r="C576" i="7"/>
  <c r="E575" i="7"/>
  <c r="E402" i="7"/>
  <c r="C403" i="7"/>
  <c r="AA953" i="7"/>
  <c r="E514" i="7"/>
  <c r="C515" i="7"/>
  <c r="AA999" i="7"/>
  <c r="AA959" i="7"/>
  <c r="C597" i="7"/>
  <c r="E596" i="7"/>
  <c r="Y997" i="7"/>
  <c r="W997" i="7"/>
  <c r="U997" i="7"/>
  <c r="H15" i="4"/>
  <c r="AD15" i="11"/>
  <c r="E485" i="7"/>
  <c r="C486" i="7"/>
  <c r="E438" i="7"/>
  <c r="C439" i="7"/>
  <c r="E220" i="7"/>
  <c r="C221" i="7"/>
  <c r="L964" i="7"/>
  <c r="M964" i="7"/>
  <c r="AA993" i="7"/>
  <c r="AA923" i="7"/>
  <c r="C698" i="7"/>
  <c r="E697" i="7"/>
  <c r="AA988" i="7"/>
  <c r="O187" i="7"/>
  <c r="M158" i="7"/>
  <c r="AA985" i="7"/>
  <c r="AA995" i="7"/>
  <c r="AA956" i="7"/>
  <c r="AA920" i="7"/>
  <c r="C535" i="7"/>
  <c r="E534" i="7"/>
  <c r="D463" i="7"/>
  <c r="E462" i="7"/>
  <c r="AC14" i="11"/>
  <c r="AB14" i="11" s="1"/>
  <c r="I16" i="4"/>
  <c r="AA987" i="7"/>
  <c r="M968" i="7"/>
  <c r="O968" i="7" s="1"/>
  <c r="L968" i="7"/>
  <c r="AA1004" i="7"/>
  <c r="Z962" i="7"/>
  <c r="AC962" i="7" s="1"/>
  <c r="Z917" i="7"/>
  <c r="AC917" i="7" s="1"/>
  <c r="Z913" i="7"/>
  <c r="AC913" i="7" s="1"/>
  <c r="AA994" i="7"/>
  <c r="AD994" i="7" s="1"/>
  <c r="Z977" i="7"/>
  <c r="AC977" i="7" s="1"/>
  <c r="Z955" i="7"/>
  <c r="AC955" i="7" s="1"/>
  <c r="AA899" i="7"/>
  <c r="AD899" i="7" s="1"/>
  <c r="Z988" i="7"/>
  <c r="AC988" i="7" s="1"/>
  <c r="Z993" i="7"/>
  <c r="AC993" i="7" s="1"/>
  <c r="Z970" i="7"/>
  <c r="AC970" i="7" s="1"/>
  <c r="Z960" i="7"/>
  <c r="AC960" i="7" s="1"/>
  <c r="Z896" i="7"/>
  <c r="AC896" i="7" s="1"/>
  <c r="Z886" i="7"/>
  <c r="AC886" i="7" s="1"/>
  <c r="Z965" i="7"/>
  <c r="AC965" i="7" s="1"/>
  <c r="Z958" i="7"/>
  <c r="AC958" i="7" s="1"/>
  <c r="Z999" i="7"/>
  <c r="AC999" i="7" s="1"/>
  <c r="Z961" i="7"/>
  <c r="AC961" i="7" s="1"/>
  <c r="Z924" i="7"/>
  <c r="AC924" i="7" s="1"/>
  <c r="Z971" i="7"/>
  <c r="AC971" i="7" s="1"/>
  <c r="Z1003" i="7"/>
  <c r="AC1003" i="7" s="1"/>
  <c r="Z992" i="7"/>
  <c r="AC992" i="7" s="1"/>
  <c r="Z921" i="7"/>
  <c r="AC921" i="7" s="1"/>
  <c r="Z959" i="7"/>
  <c r="AC959" i="7" s="1"/>
  <c r="Z956" i="7"/>
  <c r="AC956" i="7" s="1"/>
  <c r="Z905" i="7"/>
  <c r="AC905" i="7" s="1"/>
  <c r="AA974" i="7"/>
  <c r="AD974" i="7" s="1"/>
  <c r="Z996" i="7"/>
  <c r="AC996" i="7" s="1"/>
  <c r="Z968" i="7"/>
  <c r="AC968" i="7" s="1"/>
  <c r="Z980" i="7"/>
  <c r="AC980" i="7" s="1"/>
  <c r="Z927" i="7"/>
  <c r="AC927" i="7" s="1"/>
  <c r="Z929" i="7"/>
  <c r="AC929" i="7" s="1"/>
  <c r="Z893" i="7"/>
  <c r="AC893" i="7" s="1"/>
  <c r="Z919" i="7"/>
  <c r="AC919" i="7" s="1"/>
  <c r="AA939" i="7"/>
  <c r="AD939" i="7" s="1"/>
  <c r="AA996" i="7"/>
  <c r="AD996" i="7" s="1"/>
  <c r="AA969" i="7"/>
  <c r="AD969" i="7" s="1"/>
  <c r="AA967" i="7"/>
  <c r="AD967" i="7" s="1"/>
  <c r="Z983" i="7"/>
  <c r="AC983" i="7" s="1"/>
  <c r="Z952" i="7"/>
  <c r="AC952" i="7" s="1"/>
  <c r="Z969" i="7"/>
  <c r="AC969" i="7" s="1"/>
  <c r="Z914" i="7"/>
  <c r="AC914" i="7" s="1"/>
  <c r="Z973" i="7"/>
  <c r="AC973" i="7" s="1"/>
  <c r="Z891" i="7"/>
  <c r="AC891" i="7" s="1"/>
  <c r="Z978" i="7"/>
  <c r="AC978" i="7" s="1"/>
  <c r="Z918" i="7"/>
  <c r="AC918" i="7" s="1"/>
  <c r="Z945" i="7"/>
  <c r="AC945" i="7" s="1"/>
  <c r="Z889" i="7"/>
  <c r="AC889" i="7" s="1"/>
  <c r="Z982" i="7"/>
  <c r="AC982" i="7" s="1"/>
  <c r="AA930" i="7"/>
  <c r="AD930" i="7" s="1"/>
  <c r="Z967" i="7"/>
  <c r="AC967" i="7" s="1"/>
  <c r="Z904" i="7"/>
  <c r="AC904" i="7" s="1"/>
  <c r="Z922" i="7"/>
  <c r="AC922" i="7" s="1"/>
  <c r="Z963" i="7"/>
  <c r="AC963" i="7" s="1"/>
  <c r="Z887" i="7"/>
  <c r="AC887" i="7" s="1"/>
  <c r="Z907" i="7"/>
  <c r="AC907" i="7" s="1"/>
  <c r="AA990" i="7"/>
  <c r="AD990" i="7" s="1"/>
  <c r="Z903" i="7"/>
  <c r="AC903" i="7" s="1"/>
  <c r="Z928" i="7"/>
  <c r="AC928" i="7" s="1"/>
  <c r="AA907" i="7"/>
  <c r="AD907" i="7" s="1"/>
  <c r="AA925" i="7"/>
  <c r="AD925" i="7" s="1"/>
  <c r="Z1000" i="7"/>
  <c r="AC1000" i="7" s="1"/>
  <c r="Z925" i="7"/>
  <c r="AC925" i="7" s="1"/>
  <c r="Z915" i="7"/>
  <c r="AC915" i="7" s="1"/>
  <c r="Z920" i="7"/>
  <c r="AC920" i="7" s="1"/>
  <c r="Z951" i="7"/>
  <c r="AC951" i="7" s="1"/>
  <c r="Z916" i="7"/>
  <c r="AC916" i="7" s="1"/>
  <c r="Z985" i="7"/>
  <c r="AC985" i="7" s="1"/>
  <c r="Z900" i="7"/>
  <c r="AC900" i="7" s="1"/>
  <c r="Z911" i="7"/>
  <c r="AC911" i="7" s="1"/>
  <c r="Z934" i="7"/>
  <c r="AC934" i="7" s="1"/>
  <c r="Z897" i="7"/>
  <c r="AC897" i="7" s="1"/>
  <c r="AA934" i="7"/>
  <c r="AD934" i="7" s="1"/>
  <c r="AA983" i="7"/>
  <c r="AD983" i="7" s="1"/>
  <c r="Z979" i="7"/>
  <c r="AC979" i="7" s="1"/>
  <c r="Z899" i="7"/>
  <c r="AC899" i="7" s="1"/>
  <c r="Z910" i="7"/>
  <c r="AC910" i="7" s="1"/>
  <c r="Z933" i="7"/>
  <c r="AC933" i="7" s="1"/>
  <c r="Z984" i="7"/>
  <c r="AC984" i="7" s="1"/>
  <c r="Z974" i="7"/>
  <c r="AC974" i="7" s="1"/>
  <c r="Z981" i="7"/>
  <c r="AC981" i="7" s="1"/>
  <c r="Z909" i="7"/>
  <c r="AC909" i="7" s="1"/>
  <c r="Z884" i="7"/>
  <c r="AC884" i="7" s="1"/>
  <c r="Z898" i="7"/>
  <c r="AC898" i="7" s="1"/>
  <c r="Z997" i="7"/>
  <c r="AC997" i="7" s="1"/>
  <c r="Z953" i="7"/>
  <c r="AC953" i="7" s="1"/>
  <c r="Z906" i="7"/>
  <c r="AC906" i="7" s="1"/>
  <c r="Z932" i="7"/>
  <c r="AC932" i="7" s="1"/>
  <c r="AA958" i="7"/>
  <c r="AD958" i="7" s="1"/>
  <c r="Z888" i="7"/>
  <c r="AC888" i="7" s="1"/>
  <c r="AA919" i="7"/>
  <c r="AD919" i="7" s="1"/>
  <c r="AA906" i="7"/>
  <c r="AD906" i="7" s="1"/>
  <c r="AA963" i="7"/>
  <c r="AD963" i="7" s="1"/>
  <c r="Z1018" i="7"/>
  <c r="AC1018" i="7" s="1"/>
  <c r="Z991" i="7"/>
  <c r="AC991" i="7" s="1"/>
  <c r="Z957" i="7"/>
  <c r="AC957" i="7" s="1"/>
  <c r="Z931" i="7"/>
  <c r="AC931" i="7" s="1"/>
  <c r="Z995" i="7"/>
  <c r="AC995" i="7" s="1"/>
  <c r="Z964" i="7"/>
  <c r="AC964" i="7" s="1"/>
  <c r="Z908" i="7"/>
  <c r="AC908" i="7" s="1"/>
  <c r="AA892" i="7"/>
  <c r="AD892" i="7" s="1"/>
  <c r="AA884" i="7"/>
  <c r="AD884" i="7" s="1"/>
  <c r="Z1004" i="7"/>
  <c r="AC1004" i="7" s="1"/>
  <c r="Z986" i="7"/>
  <c r="AC986" i="7" s="1"/>
  <c r="Z939" i="7"/>
  <c r="AC939" i="7" s="1"/>
  <c r="Z976" i="7"/>
  <c r="AC976" i="7" s="1"/>
  <c r="Z989" i="7"/>
  <c r="AC989" i="7" s="1"/>
  <c r="Z894" i="7"/>
  <c r="AC894" i="7" s="1"/>
  <c r="Z994" i="7"/>
  <c r="AC994" i="7" s="1"/>
  <c r="Z972" i="7"/>
  <c r="AC972" i="7" s="1"/>
  <c r="Z1002" i="7"/>
  <c r="AC1002" i="7" s="1"/>
  <c r="AA977" i="7"/>
  <c r="AD977" i="7" s="1"/>
  <c r="Z1001" i="7"/>
  <c r="AC1001" i="7" s="1"/>
  <c r="Z892" i="7"/>
  <c r="AC892" i="7" s="1"/>
  <c r="AA937" i="7"/>
  <c r="AD937" i="7" s="1"/>
  <c r="AA965" i="7"/>
  <c r="AD965" i="7" s="1"/>
  <c r="AA885" i="7"/>
  <c r="AD885" i="7" s="1"/>
  <c r="Z987" i="7"/>
  <c r="AC987" i="7" s="1"/>
  <c r="Z966" i="7"/>
  <c r="AC966" i="7" s="1"/>
  <c r="Z998" i="7"/>
  <c r="AC998" i="7" s="1"/>
  <c r="Z926" i="7"/>
  <c r="AC926" i="7" s="1"/>
  <c r="AA960" i="7"/>
  <c r="AD960" i="7" s="1"/>
  <c r="AA955" i="7"/>
  <c r="AD955" i="7" s="1"/>
  <c r="Z901" i="7"/>
  <c r="AC901" i="7" s="1"/>
  <c r="Z923" i="7"/>
  <c r="AC923" i="7" s="1"/>
  <c r="Z912" i="7"/>
  <c r="AC912" i="7" s="1"/>
  <c r="Z936" i="7"/>
  <c r="AC936" i="7" s="1"/>
  <c r="Z935" i="7"/>
  <c r="AC935" i="7" s="1"/>
  <c r="Z975" i="7"/>
  <c r="AC975" i="7" s="1"/>
  <c r="AA909" i="7"/>
  <c r="AD909" i="7" s="1"/>
  <c r="Z937" i="7"/>
  <c r="AC937" i="7" s="1"/>
  <c r="Z885" i="7"/>
  <c r="AC885" i="7" s="1"/>
  <c r="AA961" i="7"/>
  <c r="AD961" i="7" s="1"/>
  <c r="AA931" i="7"/>
  <c r="AD931" i="7" s="1"/>
  <c r="Z930" i="7"/>
  <c r="AC930" i="7" s="1"/>
  <c r="AA971" i="7"/>
  <c r="AD971" i="7" s="1"/>
  <c r="Z895" i="7"/>
  <c r="AC895" i="7" s="1"/>
  <c r="AA951" i="7"/>
  <c r="AD951" i="7" s="1"/>
  <c r="AA992" i="7"/>
  <c r="AD992" i="7" s="1"/>
  <c r="AA1002" i="7"/>
  <c r="AD1002" i="7" s="1"/>
  <c r="Z890" i="7"/>
  <c r="AC890" i="7" s="1"/>
  <c r="AA998" i="7"/>
  <c r="AD998" i="7" s="1"/>
  <c r="AA973" i="7"/>
  <c r="AD973" i="7" s="1"/>
  <c r="AA952" i="7"/>
  <c r="AD952" i="7" s="1"/>
  <c r="AA905" i="7"/>
  <c r="AD905" i="7" s="1"/>
  <c r="AA924" i="7"/>
  <c r="AD924" i="7" s="1"/>
  <c r="Z990" i="7"/>
  <c r="AC990" i="7" s="1"/>
  <c r="AA945" i="7"/>
  <c r="AD945" i="7" s="1"/>
  <c r="Z902" i="7"/>
  <c r="AC902" i="7" s="1"/>
  <c r="AA913" i="7"/>
  <c r="AA957" i="7"/>
  <c r="AA910" i="7"/>
  <c r="AA900" i="7"/>
  <c r="AA887" i="7"/>
  <c r="AA903" i="7"/>
  <c r="AA891" i="7"/>
  <c r="AA889" i="7"/>
  <c r="AA1000" i="7"/>
  <c r="AA888" i="7"/>
  <c r="AA929" i="7"/>
  <c r="AA936" i="7"/>
  <c r="AA918" i="7"/>
  <c r="AA928" i="7"/>
  <c r="AA933" i="7"/>
  <c r="AA904" i="7"/>
  <c r="AA893" i="7"/>
  <c r="AA935" i="7"/>
  <c r="AA902" i="7"/>
  <c r="AA916" i="7"/>
  <c r="AA901" i="7"/>
  <c r="AA898" i="7"/>
  <c r="AA890" i="7"/>
  <c r="AA915" i="7"/>
  <c r="AA917" i="7"/>
  <c r="AA886" i="7"/>
  <c r="AA972" i="7"/>
  <c r="AA927" i="7"/>
  <c r="AA897" i="7"/>
  <c r="AA914" i="7"/>
  <c r="AA926" i="7"/>
  <c r="AA922" i="7"/>
  <c r="AA921" i="7"/>
  <c r="AA932" i="7"/>
  <c r="AA894" i="7"/>
  <c r="AA980" i="7"/>
  <c r="C44" i="7"/>
  <c r="E43" i="7"/>
  <c r="C323" i="7"/>
  <c r="E322" i="7"/>
  <c r="C448" i="7"/>
  <c r="E447" i="7"/>
  <c r="Y836" i="7"/>
  <c r="W836" i="7"/>
  <c r="U836" i="7"/>
  <c r="AA896" i="7"/>
  <c r="C639" i="7"/>
  <c r="E638" i="7"/>
  <c r="E175" i="7"/>
  <c r="C176" i="7"/>
  <c r="Y962" i="7"/>
  <c r="W962" i="7"/>
  <c r="U962" i="7"/>
  <c r="C665" i="7"/>
  <c r="E664" i="7"/>
  <c r="L970" i="7"/>
  <c r="M970" i="7"/>
  <c r="O970" i="7" s="1"/>
  <c r="E139" i="7"/>
  <c r="C140" i="7"/>
  <c r="E586" i="7"/>
  <c r="C587" i="7"/>
  <c r="Y979" i="7"/>
  <c r="W979" i="7"/>
  <c r="U979" i="7"/>
  <c r="Y981" i="7"/>
  <c r="W981" i="7"/>
  <c r="U981" i="7"/>
  <c r="E313" i="7"/>
  <c r="C314" i="7"/>
  <c r="E314" i="7" s="1"/>
  <c r="AA975" i="7"/>
  <c r="E804" i="7"/>
  <c r="C805" i="7"/>
  <c r="M905" i="7"/>
  <c r="M884" i="7" s="1"/>
  <c r="O908" i="7"/>
  <c r="P884" i="7" s="1"/>
  <c r="Y835" i="7"/>
  <c r="W835" i="7"/>
  <c r="U835" i="7"/>
  <c r="AA989" i="7"/>
  <c r="AA991" i="7"/>
  <c r="AA986" i="7"/>
  <c r="Y1003" i="7"/>
  <c r="U1003" i="7"/>
  <c r="W1003" i="7"/>
  <c r="C99" i="7"/>
  <c r="E98" i="7"/>
  <c r="I18" i="4"/>
  <c r="AC16" i="11"/>
  <c r="AB16" i="11" s="1"/>
  <c r="O978" i="7"/>
  <c r="M973" i="7"/>
  <c r="AA912" i="7"/>
  <c r="AA911" i="7"/>
  <c r="E650" i="7"/>
  <c r="C651" i="7"/>
  <c r="E651" i="7" s="1"/>
  <c r="AA1001" i="7"/>
  <c r="AA984" i="7"/>
  <c r="Y188" i="7"/>
  <c r="W188" i="7"/>
  <c r="U188" i="7"/>
  <c r="C917" i="7"/>
  <c r="E916" i="7"/>
  <c r="AD868" i="7" l="1"/>
  <c r="AB868" i="7"/>
  <c r="AD867" i="7"/>
  <c r="AB867" i="7"/>
  <c r="AD1013" i="7"/>
  <c r="AB1013" i="7"/>
  <c r="AD1017" i="7"/>
  <c r="AB1017" i="7"/>
  <c r="AD1016" i="7"/>
  <c r="AB1016" i="7"/>
  <c r="AD1015" i="7"/>
  <c r="AB1015" i="7"/>
  <c r="AD1011" i="7"/>
  <c r="AB1011" i="7"/>
  <c r="AB1008" i="7"/>
  <c r="AD1008" i="7"/>
  <c r="AB1009" i="7"/>
  <c r="AD1009" i="7"/>
  <c r="AD1012" i="7"/>
  <c r="AB1012" i="7"/>
  <c r="AD1007" i="7"/>
  <c r="AB1007" i="7"/>
  <c r="AB954" i="7"/>
  <c r="AD954" i="7"/>
  <c r="AD881" i="7"/>
  <c r="AB881" i="7"/>
  <c r="AD879" i="7"/>
  <c r="AB879" i="7"/>
  <c r="AD880" i="7"/>
  <c r="AB880" i="7"/>
  <c r="AD877" i="7"/>
  <c r="AB877" i="7"/>
  <c r="AB882" i="7"/>
  <c r="AD882" i="7"/>
  <c r="C610" i="7"/>
  <c r="E609" i="7"/>
  <c r="AA981" i="7"/>
  <c r="AD981" i="7" s="1"/>
  <c r="AD890" i="7"/>
  <c r="AB890" i="7"/>
  <c r="Y970" i="7"/>
  <c r="W970" i="7"/>
  <c r="U970" i="7"/>
  <c r="AB972" i="7"/>
  <c r="AD972" i="7"/>
  <c r="AB1000" i="7"/>
  <c r="AD1000" i="7"/>
  <c r="AB987" i="7"/>
  <c r="AD987" i="7"/>
  <c r="AD898" i="7"/>
  <c r="AB898" i="7"/>
  <c r="E515" i="7"/>
  <c r="C516" i="7"/>
  <c r="AB896" i="7"/>
  <c r="AD896" i="7"/>
  <c r="AB913" i="7"/>
  <c r="AD913" i="7"/>
  <c r="E535" i="7"/>
  <c r="C536" i="7"/>
  <c r="AB993" i="7"/>
  <c r="AD993" i="7"/>
  <c r="AD999" i="7"/>
  <c r="AB999" i="7"/>
  <c r="C468" i="7"/>
  <c r="E563" i="7"/>
  <c r="C564" i="7"/>
  <c r="P905" i="7"/>
  <c r="Y908" i="7"/>
  <c r="W908" i="7"/>
  <c r="U908" i="7"/>
  <c r="AB926" i="7"/>
  <c r="AD926" i="7"/>
  <c r="AD886" i="7"/>
  <c r="AB886" i="7"/>
  <c r="AB920" i="7"/>
  <c r="AD920" i="7"/>
  <c r="AD953" i="7"/>
  <c r="AB953" i="7"/>
  <c r="AD901" i="7"/>
  <c r="AB901" i="7"/>
  <c r="AB911" i="7"/>
  <c r="AD911" i="7"/>
  <c r="AB912" i="7"/>
  <c r="AD912" i="7"/>
  <c r="AB986" i="7"/>
  <c r="AD986" i="7"/>
  <c r="AD935" i="7"/>
  <c r="AB935" i="7"/>
  <c r="AD933" i="7"/>
  <c r="AB933" i="7"/>
  <c r="O964" i="7"/>
  <c r="O1018" i="7" s="1"/>
  <c r="M960" i="7"/>
  <c r="M1018" i="7" s="1"/>
  <c r="C404" i="7"/>
  <c r="E403" i="7"/>
  <c r="C626" i="7"/>
  <c r="E625" i="7"/>
  <c r="AD991" i="7"/>
  <c r="AB991" i="7"/>
  <c r="E140" i="7"/>
  <c r="C141" i="7"/>
  <c r="AD921" i="7"/>
  <c r="AB921" i="7"/>
  <c r="AD914" i="7"/>
  <c r="AB914" i="7"/>
  <c r="AD928" i="7"/>
  <c r="AB928" i="7"/>
  <c r="AD900" i="7"/>
  <c r="AB900" i="7"/>
  <c r="C598" i="7"/>
  <c r="E597" i="7"/>
  <c r="AB989" i="7"/>
  <c r="AD989" i="7"/>
  <c r="AD918" i="7"/>
  <c r="AB918" i="7"/>
  <c r="E99" i="7"/>
  <c r="C100" i="7"/>
  <c r="E100" i="7" s="1"/>
  <c r="E665" i="7"/>
  <c r="C666" i="7"/>
  <c r="Y978" i="7"/>
  <c r="W978" i="7"/>
  <c r="U978" i="7"/>
  <c r="P973" i="7"/>
  <c r="AA1003" i="7"/>
  <c r="AA962" i="7"/>
  <c r="E323" i="7"/>
  <c r="C324" i="7"/>
  <c r="E324" i="7" s="1"/>
  <c r="E44" i="7"/>
  <c r="C45" i="7"/>
  <c r="AD915" i="7"/>
  <c r="AB915" i="7"/>
  <c r="AD929" i="7"/>
  <c r="AB929" i="7"/>
  <c r="AD889" i="7"/>
  <c r="AB889" i="7"/>
  <c r="D14" i="11"/>
  <c r="N14" i="11"/>
  <c r="R14" i="11"/>
  <c r="Z14" i="11"/>
  <c r="J14" i="11"/>
  <c r="P14" i="11"/>
  <c r="F14" i="11"/>
  <c r="X14" i="11"/>
  <c r="V14" i="11"/>
  <c r="L14" i="11"/>
  <c r="H14" i="11"/>
  <c r="T14" i="11"/>
  <c r="AD956" i="7"/>
  <c r="AB956" i="7"/>
  <c r="W187" i="7"/>
  <c r="U187" i="7"/>
  <c r="Y187" i="7"/>
  <c r="P158" i="7"/>
  <c r="E376" i="7"/>
  <c r="C377" i="7"/>
  <c r="AD980" i="7"/>
  <c r="AB980" i="7"/>
  <c r="AD903" i="7"/>
  <c r="AB903" i="7"/>
  <c r="AD887" i="7"/>
  <c r="AB887" i="7"/>
  <c r="AB988" i="7"/>
  <c r="AD988" i="7"/>
  <c r="AB995" i="7"/>
  <c r="AD995" i="7"/>
  <c r="C487" i="7"/>
  <c r="E486" i="7"/>
  <c r="AD1001" i="7"/>
  <c r="AB1001" i="7"/>
  <c r="AD959" i="7"/>
  <c r="AB959" i="7"/>
  <c r="C64" i="7"/>
  <c r="E63" i="7"/>
  <c r="AD893" i="7"/>
  <c r="AB893" i="7"/>
  <c r="AD1004" i="7"/>
  <c r="AB1004" i="7"/>
  <c r="E698" i="7"/>
  <c r="C699" i="7"/>
  <c r="E576" i="7"/>
  <c r="C577" i="7"/>
  <c r="E260" i="7"/>
  <c r="C261" i="7"/>
  <c r="AD916" i="7"/>
  <c r="AB916" i="7"/>
  <c r="AB910" i="7"/>
  <c r="AD910" i="7"/>
  <c r="E221" i="7"/>
  <c r="C222" i="7"/>
  <c r="Y968" i="7"/>
  <c r="W968" i="7"/>
  <c r="U968" i="7"/>
  <c r="AB976" i="7"/>
  <c r="AD976" i="7"/>
  <c r="D464" i="7"/>
  <c r="E463" i="7"/>
  <c r="AB923" i="7"/>
  <c r="AD923" i="7"/>
  <c r="E439" i="7"/>
  <c r="C440" i="7"/>
  <c r="E440" i="7" s="1"/>
  <c r="AB982" i="7"/>
  <c r="AD982" i="7"/>
  <c r="C918" i="7"/>
  <c r="E918" i="7" s="1"/>
  <c r="E917" i="7"/>
  <c r="AB985" i="7"/>
  <c r="AD985" i="7"/>
  <c r="Y966" i="7"/>
  <c r="W966" i="7"/>
  <c r="U966" i="7"/>
  <c r="AB894" i="7"/>
  <c r="AD894" i="7"/>
  <c r="AD897" i="7"/>
  <c r="AB897" i="7"/>
  <c r="AD936" i="7"/>
  <c r="AB936" i="7"/>
  <c r="D426" i="7"/>
  <c r="E425" i="7"/>
  <c r="AD922" i="7"/>
  <c r="AB922" i="7"/>
  <c r="C806" i="7"/>
  <c r="E805" i="7"/>
  <c r="C177" i="7"/>
  <c r="E177" i="7" s="1"/>
  <c r="E176" i="7"/>
  <c r="C449" i="7"/>
  <c r="E448" i="7"/>
  <c r="AD902" i="7"/>
  <c r="AB902" i="7"/>
  <c r="AD891" i="7"/>
  <c r="AB891" i="7"/>
  <c r="E587" i="7"/>
  <c r="C588" i="7"/>
  <c r="E588" i="7" s="1"/>
  <c r="AD917" i="7"/>
  <c r="AB917" i="7"/>
  <c r="AD888" i="7"/>
  <c r="AB888" i="7"/>
  <c r="AC13" i="11"/>
  <c r="I15" i="4"/>
  <c r="AB895" i="7"/>
  <c r="AD895" i="7"/>
  <c r="AB975" i="7"/>
  <c r="AD975" i="7"/>
  <c r="AA979" i="7"/>
  <c r="AB984" i="7"/>
  <c r="AD984" i="7"/>
  <c r="V16" i="11"/>
  <c r="T16" i="11"/>
  <c r="R16" i="11"/>
  <c r="J16" i="11"/>
  <c r="H16" i="11"/>
  <c r="F16" i="11"/>
  <c r="D16" i="11"/>
  <c r="Z16" i="11"/>
  <c r="X16" i="11"/>
  <c r="N16" i="11"/>
  <c r="L16" i="11"/>
  <c r="P16" i="11"/>
  <c r="E639" i="7"/>
  <c r="C640" i="7"/>
  <c r="AD932" i="7"/>
  <c r="AB932" i="7"/>
  <c r="AD927" i="7"/>
  <c r="AB927" i="7"/>
  <c r="AD904" i="7"/>
  <c r="AB904" i="7"/>
  <c r="AB957" i="7"/>
  <c r="AD957" i="7"/>
  <c r="AA997" i="7"/>
  <c r="Z854" i="7" l="1"/>
  <c r="AC854" i="7" s="1"/>
  <c r="AA854" i="7"/>
  <c r="AD854" i="7" s="1"/>
  <c r="Z869" i="7"/>
  <c r="AC869" i="7" s="1"/>
  <c r="Z872" i="7"/>
  <c r="AC872" i="7" s="1"/>
  <c r="AA860" i="7"/>
  <c r="AA856" i="7"/>
  <c r="Z857" i="7"/>
  <c r="AC857" i="7" s="1"/>
  <c r="Z855" i="7"/>
  <c r="AC855" i="7" s="1"/>
  <c r="Z859" i="7"/>
  <c r="AC859" i="7" s="1"/>
  <c r="AA872" i="7"/>
  <c r="AD872" i="7" s="1"/>
  <c r="AA869" i="7"/>
  <c r="AD869" i="7" s="1"/>
  <c r="Z873" i="7"/>
  <c r="AC873" i="7" s="1"/>
  <c r="Z865" i="7"/>
  <c r="AC865" i="7" s="1"/>
  <c r="AA852" i="7"/>
  <c r="AA862" i="7"/>
  <c r="AD862" i="7" s="1"/>
  <c r="Z862" i="7"/>
  <c r="AC862" i="7" s="1"/>
  <c r="Z870" i="7"/>
  <c r="AC870" i="7" s="1"/>
  <c r="Z864" i="7"/>
  <c r="AC864" i="7" s="1"/>
  <c r="Z849" i="7"/>
  <c r="AC849" i="7" s="1"/>
  <c r="AA865" i="7"/>
  <c r="AA870" i="7"/>
  <c r="Z852" i="7"/>
  <c r="AC852" i="7" s="1"/>
  <c r="Z874" i="7"/>
  <c r="AC874" i="7" s="1"/>
  <c r="AA857" i="7"/>
  <c r="AD857" i="7" s="1"/>
  <c r="AA864" i="7"/>
  <c r="AD864" i="7" s="1"/>
  <c r="AA874" i="7"/>
  <c r="AD874" i="7" s="1"/>
  <c r="AA875" i="7"/>
  <c r="AA861" i="7"/>
  <c r="Z851" i="7"/>
  <c r="AC851" i="7" s="1"/>
  <c r="AA850" i="7"/>
  <c r="Z863" i="7"/>
  <c r="AC863" i="7" s="1"/>
  <c r="Z875" i="7"/>
  <c r="AC875" i="7" s="1"/>
  <c r="Z853" i="7"/>
  <c r="AC853" i="7" s="1"/>
  <c r="Z858" i="7"/>
  <c r="AC858" i="7" s="1"/>
  <c r="AA873" i="7"/>
  <c r="Z850" i="7"/>
  <c r="AC850" i="7" s="1"/>
  <c r="AA853" i="7"/>
  <c r="AD853" i="7" s="1"/>
  <c r="Z856" i="7"/>
  <c r="AC856" i="7" s="1"/>
  <c r="AA859" i="7"/>
  <c r="Z860" i="7"/>
  <c r="AC860" i="7" s="1"/>
  <c r="Z861" i="7"/>
  <c r="AC861" i="7" s="1"/>
  <c r="AA858" i="7"/>
  <c r="Z871" i="7"/>
  <c r="AC871" i="7" s="1"/>
  <c r="AA849" i="7"/>
  <c r="AD849" i="7" s="1"/>
  <c r="AA871" i="7"/>
  <c r="AD871" i="7" s="1"/>
  <c r="AA851" i="7"/>
  <c r="AA863" i="7"/>
  <c r="AA855" i="7"/>
  <c r="AD855" i="7" s="1"/>
  <c r="O1019" i="7"/>
  <c r="L816" i="9" s="1"/>
  <c r="AA848" i="7"/>
  <c r="Z848" i="7"/>
  <c r="AC848" i="7" s="1"/>
  <c r="AA970" i="7"/>
  <c r="AD970" i="7" s="1"/>
  <c r="AA190" i="7"/>
  <c r="AD190" i="7" s="1"/>
  <c r="Z846" i="7"/>
  <c r="AC846" i="7" s="1"/>
  <c r="Z847" i="7"/>
  <c r="AC847" i="7" s="1"/>
  <c r="AA843" i="7"/>
  <c r="AD843" i="7" s="1"/>
  <c r="AA847" i="7"/>
  <c r="Z843" i="7"/>
  <c r="AC843" i="7" s="1"/>
  <c r="Z844" i="7"/>
  <c r="AC844" i="7" s="1"/>
  <c r="AA845" i="7"/>
  <c r="AD845" i="7" s="1"/>
  <c r="AA846" i="7"/>
  <c r="Z845" i="7"/>
  <c r="AC845" i="7" s="1"/>
  <c r="AA844" i="7"/>
  <c r="AD844" i="7" s="1"/>
  <c r="E610" i="7"/>
  <c r="C611" i="7"/>
  <c r="AA908" i="7"/>
  <c r="AB908" i="7" s="1"/>
  <c r="AB981" i="7"/>
  <c r="AD1003" i="7"/>
  <c r="AB1003" i="7"/>
  <c r="AB13" i="11"/>
  <c r="D427" i="7"/>
  <c r="E426" i="7"/>
  <c r="C488" i="7"/>
  <c r="E487" i="7"/>
  <c r="AA187" i="7"/>
  <c r="AA808" i="7"/>
  <c r="AA376" i="7"/>
  <c r="AA301" i="7"/>
  <c r="AA785" i="7"/>
  <c r="AA816" i="7"/>
  <c r="AA637" i="7"/>
  <c r="AA586" i="7"/>
  <c r="AA762" i="7"/>
  <c r="AA534" i="7"/>
  <c r="AA645" i="7"/>
  <c r="AA473" i="7"/>
  <c r="AA466" i="7"/>
  <c r="AA415" i="7"/>
  <c r="AA530" i="7"/>
  <c r="AA581" i="7"/>
  <c r="AA306" i="7"/>
  <c r="AA270" i="7"/>
  <c r="AA518" i="7"/>
  <c r="AA661" i="7"/>
  <c r="AA500" i="7"/>
  <c r="AA715" i="7"/>
  <c r="AA167" i="7"/>
  <c r="AA810" i="7"/>
  <c r="AA105" i="7"/>
  <c r="AA319" i="7"/>
  <c r="AA146" i="7"/>
  <c r="AA814" i="7"/>
  <c r="AA801" i="7"/>
  <c r="AA268" i="7"/>
  <c r="AA336" i="7"/>
  <c r="AA266" i="7"/>
  <c r="AA627" i="7"/>
  <c r="AA717" i="7"/>
  <c r="AA642" i="7"/>
  <c r="AA324" i="7"/>
  <c r="AA432" i="7"/>
  <c r="AA546" i="7"/>
  <c r="Z767" i="7"/>
  <c r="AC767" i="7" s="1"/>
  <c r="Z492" i="7"/>
  <c r="AC492" i="7" s="1"/>
  <c r="Z776" i="7"/>
  <c r="AC776" i="7" s="1"/>
  <c r="Z335" i="7"/>
  <c r="AC335" i="7" s="1"/>
  <c r="Z826" i="7"/>
  <c r="AC826" i="7" s="1"/>
  <c r="Z424" i="7"/>
  <c r="AC424" i="7" s="1"/>
  <c r="Z747" i="7"/>
  <c r="AC747" i="7" s="1"/>
  <c r="Z301" i="7"/>
  <c r="AC301" i="7" s="1"/>
  <c r="AA711" i="7"/>
  <c r="AD711" i="7" s="1"/>
  <c r="Z713" i="7"/>
  <c r="AC713" i="7" s="1"/>
  <c r="Z103" i="7"/>
  <c r="AC103" i="7" s="1"/>
  <c r="Z384" i="7"/>
  <c r="AC384" i="7" s="1"/>
  <c r="Z653" i="7"/>
  <c r="AC653" i="7" s="1"/>
  <c r="Z446" i="7"/>
  <c r="AC446" i="7" s="1"/>
  <c r="Z779" i="7"/>
  <c r="AC779" i="7" s="1"/>
  <c r="Z386" i="7"/>
  <c r="AC386" i="7" s="1"/>
  <c r="Z820" i="7"/>
  <c r="AC820" i="7" s="1"/>
  <c r="Z274" i="7"/>
  <c r="AC274" i="7" s="1"/>
  <c r="AA332" i="7"/>
  <c r="AD332" i="7" s="1"/>
  <c r="Z594" i="7"/>
  <c r="AC594" i="7" s="1"/>
  <c r="Z280" i="7"/>
  <c r="AC280" i="7" s="1"/>
  <c r="Z641" i="7"/>
  <c r="AC641" i="7" s="1"/>
  <c r="Z222" i="7"/>
  <c r="AC222" i="7" s="1"/>
  <c r="Z532" i="7"/>
  <c r="AC532" i="7" s="1"/>
  <c r="Z183" i="7"/>
  <c r="AC183" i="7" s="1"/>
  <c r="Z770" i="7"/>
  <c r="AC770" i="7" s="1"/>
  <c r="Z302" i="7"/>
  <c r="AC302" i="7" s="1"/>
  <c r="AA731" i="7"/>
  <c r="AD731" i="7" s="1"/>
  <c r="Z668" i="7"/>
  <c r="AC668" i="7" s="1"/>
  <c r="Z253" i="7"/>
  <c r="AC253" i="7" s="1"/>
  <c r="AA281" i="7"/>
  <c r="AD281" i="7" s="1"/>
  <c r="Z678" i="7"/>
  <c r="AC678" i="7" s="1"/>
  <c r="Z388" i="7"/>
  <c r="AC388" i="7" s="1"/>
  <c r="Z519" i="7"/>
  <c r="AC519" i="7" s="1"/>
  <c r="AA269" i="7"/>
  <c r="AD269" i="7" s="1"/>
  <c r="Z571" i="7"/>
  <c r="AC571" i="7" s="1"/>
  <c r="Z376" i="7"/>
  <c r="AC376" i="7" s="1"/>
  <c r="AA716" i="7"/>
  <c r="AD716" i="7" s="1"/>
  <c r="Z791" i="7"/>
  <c r="AC791" i="7" s="1"/>
  <c r="Z246" i="7"/>
  <c r="AC246" i="7" s="1"/>
  <c r="Z399" i="7"/>
  <c r="AC399" i="7" s="1"/>
  <c r="AA501" i="7"/>
  <c r="Z252" i="7"/>
  <c r="AC252" i="7" s="1"/>
  <c r="Z373" i="7"/>
  <c r="AC373" i="7" s="1"/>
  <c r="AA339" i="7"/>
  <c r="AD339" i="7" s="1"/>
  <c r="AA572" i="7"/>
  <c r="AA400" i="7"/>
  <c r="AA842" i="7"/>
  <c r="AA279" i="7"/>
  <c r="AA620" i="7"/>
  <c r="AA622" i="7"/>
  <c r="AA341" i="7"/>
  <c r="AA384" i="7"/>
  <c r="AA511" i="7"/>
  <c r="AA631" i="7"/>
  <c r="AA220" i="7"/>
  <c r="AA296" i="7"/>
  <c r="AA331" i="7"/>
  <c r="AA550" i="7"/>
  <c r="AA764" i="7"/>
  <c r="AA610" i="7"/>
  <c r="AA819" i="7"/>
  <c r="AA131" i="7"/>
  <c r="AA264" i="7"/>
  <c r="AA293" i="7"/>
  <c r="AA285" i="7"/>
  <c r="AA685" i="7"/>
  <c r="AA615" i="7"/>
  <c r="AA295" i="7"/>
  <c r="AA107" i="7"/>
  <c r="AA109" i="7"/>
  <c r="AA669" i="7"/>
  <c r="AA571" i="7"/>
  <c r="AA562" i="7"/>
  <c r="AA522" i="7"/>
  <c r="AA752" i="7"/>
  <c r="AA374" i="7"/>
  <c r="AA407" i="7"/>
  <c r="AA440" i="7"/>
  <c r="Z785" i="7"/>
  <c r="AC785" i="7" s="1"/>
  <c r="Z493" i="7"/>
  <c r="AC493" i="7" s="1"/>
  <c r="Z777" i="7"/>
  <c r="AC777" i="7" s="1"/>
  <c r="Z368" i="7"/>
  <c r="AC368" i="7" s="1"/>
  <c r="Z766" i="7"/>
  <c r="AC766" i="7" s="1"/>
  <c r="Z552" i="7"/>
  <c r="AC552" i="7" s="1"/>
  <c r="Z686" i="7"/>
  <c r="AC686" i="7" s="1"/>
  <c r="Z312" i="7"/>
  <c r="AC312" i="7" s="1"/>
  <c r="Z663" i="7"/>
  <c r="AC663" i="7" s="1"/>
  <c r="Z121" i="7"/>
  <c r="AC121" i="7" s="1"/>
  <c r="Z349" i="7"/>
  <c r="AC349" i="7" s="1"/>
  <c r="Z661" i="7"/>
  <c r="AC661" i="7" s="1"/>
  <c r="Z813" i="7"/>
  <c r="AC813" i="7" s="1"/>
  <c r="Z416" i="7"/>
  <c r="AC416" i="7" s="1"/>
  <c r="Z726" i="7"/>
  <c r="AC726" i="7" s="1"/>
  <c r="Z605" i="7"/>
  <c r="AC605" i="7" s="1"/>
  <c r="Z403" i="7"/>
  <c r="AC403" i="7" s="1"/>
  <c r="Z610" i="7"/>
  <c r="AC610" i="7" s="1"/>
  <c r="Z261" i="7"/>
  <c r="AC261" i="7" s="1"/>
  <c r="Z612" i="7"/>
  <c r="AC612" i="7" s="1"/>
  <c r="Z319" i="7"/>
  <c r="AC319" i="7" s="1"/>
  <c r="Z487" i="7"/>
  <c r="AC487" i="7" s="1"/>
  <c r="Z188" i="7"/>
  <c r="AC188" i="7" s="1"/>
  <c r="Z717" i="7"/>
  <c r="AC717" i="7" s="1"/>
  <c r="Z451" i="7"/>
  <c r="AC451" i="7" s="1"/>
  <c r="Z631" i="7"/>
  <c r="AC631" i="7" s="1"/>
  <c r="Z141" i="7"/>
  <c r="AC141" i="7" s="1"/>
  <c r="AA360" i="7"/>
  <c r="AD360" i="7" s="1"/>
  <c r="Z597" i="7"/>
  <c r="AC597" i="7" s="1"/>
  <c r="Z396" i="7"/>
  <c r="AC396" i="7" s="1"/>
  <c r="Z801" i="7"/>
  <c r="AC801" i="7" s="1"/>
  <c r="Z415" i="7"/>
  <c r="AC415" i="7" s="1"/>
  <c r="AA351" i="7"/>
  <c r="AD351" i="7" s="1"/>
  <c r="Z648" i="7"/>
  <c r="AC648" i="7" s="1"/>
  <c r="Z371" i="7"/>
  <c r="AC371" i="7" s="1"/>
  <c r="Z691" i="7"/>
  <c r="AC691" i="7" s="1"/>
  <c r="Z295" i="7"/>
  <c r="AC295" i="7" s="1"/>
  <c r="AA739" i="7"/>
  <c r="AD739" i="7" s="1"/>
  <c r="Z408" i="7"/>
  <c r="AC408" i="7" s="1"/>
  <c r="AA431" i="7"/>
  <c r="AD431" i="7" s="1"/>
  <c r="Z155" i="7"/>
  <c r="AC155" i="7" s="1"/>
  <c r="Z241" i="7"/>
  <c r="AC241" i="7" s="1"/>
  <c r="Z332" i="7"/>
  <c r="AC332" i="7" s="1"/>
  <c r="AA446" i="7"/>
  <c r="AA176" i="7"/>
  <c r="AA314" i="7"/>
  <c r="AA676" i="7"/>
  <c r="AA104" i="7"/>
  <c r="AA259" i="7"/>
  <c r="AA575" i="7"/>
  <c r="AA171" i="7"/>
  <c r="AA169" i="7"/>
  <c r="AA206" i="7"/>
  <c r="AA663" i="7"/>
  <c r="AA385" i="7"/>
  <c r="AA201" i="7"/>
  <c r="AA145" i="7"/>
  <c r="AA573" i="7"/>
  <c r="AA150" i="7"/>
  <c r="AA362" i="7"/>
  <c r="AA320" i="7"/>
  <c r="AA470" i="7"/>
  <c r="AA718" i="7"/>
  <c r="AA646" i="7"/>
  <c r="AA730" i="7"/>
  <c r="AA570" i="7"/>
  <c r="AA100" i="7"/>
  <c r="AA687" i="7"/>
  <c r="AA353" i="7"/>
  <c r="AA775" i="7"/>
  <c r="AA547" i="7"/>
  <c r="AA796" i="7"/>
  <c r="AD796" i="7" s="1"/>
  <c r="Z281" i="7"/>
  <c r="AC281" i="7" s="1"/>
  <c r="Z186" i="7"/>
  <c r="AC186" i="7" s="1"/>
  <c r="Z673" i="7"/>
  <c r="AC673" i="7" s="1"/>
  <c r="Z285" i="7"/>
  <c r="AC285" i="7" s="1"/>
  <c r="Z739" i="7"/>
  <c r="AC739" i="7" s="1"/>
  <c r="Z443" i="7"/>
  <c r="AC443" i="7" s="1"/>
  <c r="Z637" i="7"/>
  <c r="AC637" i="7" s="1"/>
  <c r="Z380" i="7"/>
  <c r="AC380" i="7" s="1"/>
  <c r="AA569" i="7"/>
  <c r="AD569" i="7" s="1"/>
  <c r="Z107" i="7"/>
  <c r="AC107" i="7" s="1"/>
  <c r="Z512" i="7"/>
  <c r="AC512" i="7" s="1"/>
  <c r="Z524" i="7"/>
  <c r="AC524" i="7" s="1"/>
  <c r="Z731" i="7"/>
  <c r="AC731" i="7" s="1"/>
  <c r="Z379" i="7"/>
  <c r="AC379" i="7" s="1"/>
  <c r="AA312" i="7"/>
  <c r="Z818" i="7"/>
  <c r="AC818" i="7" s="1"/>
  <c r="Z614" i="7"/>
  <c r="AC614" i="7" s="1"/>
  <c r="Z283" i="7"/>
  <c r="AC283" i="7" s="1"/>
  <c r="Z671" i="7"/>
  <c r="AC671" i="7" s="1"/>
  <c r="Z264" i="7"/>
  <c r="AC264" i="7" s="1"/>
  <c r="AA111" i="7"/>
  <c r="AD111" i="7" s="1"/>
  <c r="AA683" i="7"/>
  <c r="AD683" i="7" s="1"/>
  <c r="Z211" i="7"/>
  <c r="AC211" i="7" s="1"/>
  <c r="Z494" i="7"/>
  <c r="AC494" i="7" s="1"/>
  <c r="Z192" i="7"/>
  <c r="AC192" i="7" s="1"/>
  <c r="Z827" i="7"/>
  <c r="AC827" i="7" s="1"/>
  <c r="Z501" i="7"/>
  <c r="AC501" i="7" s="1"/>
  <c r="AA653" i="7"/>
  <c r="AD653" i="7" s="1"/>
  <c r="Z106" i="7"/>
  <c r="AC106" i="7" s="1"/>
  <c r="AA307" i="7"/>
  <c r="AD307" i="7" s="1"/>
  <c r="Z682" i="7"/>
  <c r="AC682" i="7" s="1"/>
  <c r="Z144" i="7"/>
  <c r="AC144" i="7" s="1"/>
  <c r="Z750" i="7"/>
  <c r="AC750" i="7" s="1"/>
  <c r="Z402" i="7"/>
  <c r="AC402" i="7" s="1"/>
  <c r="Z603" i="7"/>
  <c r="AC603" i="7" s="1"/>
  <c r="AA305" i="7"/>
  <c r="AD305" i="7" s="1"/>
  <c r="Z226" i="7"/>
  <c r="AC226" i="7" s="1"/>
  <c r="Z749" i="7"/>
  <c r="AC749" i="7" s="1"/>
  <c r="Z346" i="7"/>
  <c r="AC346" i="7" s="1"/>
  <c r="Z193" i="7"/>
  <c r="AC193" i="7" s="1"/>
  <c r="AA758" i="7"/>
  <c r="AD758" i="7" s="1"/>
  <c r="AA542" i="7"/>
  <c r="AD542" i="7" s="1"/>
  <c r="Z635" i="7"/>
  <c r="AC635" i="7" s="1"/>
  <c r="Z806" i="7"/>
  <c r="AC806" i="7" s="1"/>
  <c r="AA121" i="7"/>
  <c r="AA390" i="7"/>
  <c r="AA278" i="7"/>
  <c r="AA428" i="7"/>
  <c r="AA450" i="7"/>
  <c r="AA112" i="7"/>
  <c r="AA551" i="7"/>
  <c r="AA561" i="7"/>
  <c r="AA205" i="7"/>
  <c r="AA230" i="7"/>
  <c r="AA525" i="7"/>
  <c r="AA787" i="7"/>
  <c r="AA393" i="7"/>
  <c r="AA689" i="7"/>
  <c r="AA410" i="7"/>
  <c r="AA397" i="7"/>
  <c r="AA701" i="7"/>
  <c r="AA800" i="7"/>
  <c r="AA272" i="7"/>
  <c r="AA156" i="7"/>
  <c r="AA99" i="7"/>
  <c r="AA221" i="7"/>
  <c r="AA574" i="7"/>
  <c r="AA520" i="7"/>
  <c r="AA391" i="7"/>
  <c r="AA557" i="7"/>
  <c r="AA523" i="7"/>
  <c r="AA197" i="7"/>
  <c r="AA250" i="7"/>
  <c r="AA784" i="7"/>
  <c r="AA728" i="7"/>
  <c r="AA496" i="7"/>
  <c r="AA720" i="7"/>
  <c r="AA189" i="7"/>
  <c r="AA812" i="7"/>
  <c r="AA452" i="7"/>
  <c r="AA696" i="7"/>
  <c r="AA494" i="7"/>
  <c r="AA163" i="7"/>
  <c r="Z159" i="7"/>
  <c r="AC159" i="7" s="1"/>
  <c r="Z467" i="7"/>
  <c r="AC467" i="7" s="1"/>
  <c r="Z745" i="7"/>
  <c r="AC745" i="7" s="1"/>
  <c r="Z317" i="7"/>
  <c r="AC317" i="7" s="1"/>
  <c r="Z792" i="7"/>
  <c r="AC792" i="7" s="1"/>
  <c r="Z410" i="7"/>
  <c r="AC410" i="7" s="1"/>
  <c r="Z760" i="7"/>
  <c r="AC760" i="7" s="1"/>
  <c r="Z223" i="7"/>
  <c r="AC223" i="7" s="1"/>
  <c r="Z615" i="7"/>
  <c r="AC615" i="7" s="1"/>
  <c r="Z184" i="7"/>
  <c r="AC184" i="7" s="1"/>
  <c r="Z298" i="7"/>
  <c r="AC298" i="7" s="1"/>
  <c r="Z364" i="7"/>
  <c r="AC364" i="7" s="1"/>
  <c r="Z457" i="7"/>
  <c r="AC457" i="7" s="1"/>
  <c r="AA276" i="7"/>
  <c r="AD276" i="7" s="1"/>
  <c r="Z721" i="7"/>
  <c r="AC721" i="7" s="1"/>
  <c r="Z687" i="7"/>
  <c r="AC687" i="7" s="1"/>
  <c r="Z266" i="7"/>
  <c r="AC266" i="7" s="1"/>
  <c r="Z165" i="7"/>
  <c r="AC165" i="7" s="1"/>
  <c r="Z608" i="7"/>
  <c r="AC608" i="7" s="1"/>
  <c r="Z234" i="7"/>
  <c r="AC234" i="7" s="1"/>
  <c r="Z559" i="7"/>
  <c r="AC559" i="7" s="1"/>
  <c r="Z153" i="7"/>
  <c r="AC153" i="7" s="1"/>
  <c r="Z578" i="7"/>
  <c r="AC578" i="7" s="1"/>
  <c r="Z327" i="7"/>
  <c r="AC327" i="7" s="1"/>
  <c r="Z786" i="7"/>
  <c r="AC786" i="7" s="1"/>
  <c r="Z377" i="7"/>
  <c r="AC377" i="7" s="1"/>
  <c r="AA684" i="7"/>
  <c r="AD684" i="7" s="1"/>
  <c r="Z238" i="7"/>
  <c r="AC238" i="7" s="1"/>
  <c r="AA602" i="7"/>
  <c r="AD602" i="7" s="1"/>
  <c r="Z662" i="7"/>
  <c r="AC662" i="7" s="1"/>
  <c r="Z419" i="7"/>
  <c r="AC419" i="7" s="1"/>
  <c r="Z751" i="7"/>
  <c r="AC751" i="7" s="1"/>
  <c r="Z308" i="7"/>
  <c r="AC308" i="7" s="1"/>
  <c r="Z636" i="7"/>
  <c r="AC636" i="7" s="1"/>
  <c r="Z248" i="7"/>
  <c r="AC248" i="7" s="1"/>
  <c r="Z746" i="7"/>
  <c r="AC746" i="7" s="1"/>
  <c r="Z381" i="7"/>
  <c r="AC381" i="7" s="1"/>
  <c r="AA827" i="7"/>
  <c r="AD827" i="7" s="1"/>
  <c r="AA414" i="7"/>
  <c r="AD414" i="7" s="1"/>
  <c r="Z709" i="7"/>
  <c r="AC709" i="7" s="1"/>
  <c r="Z523" i="7"/>
  <c r="AC523" i="7" s="1"/>
  <c r="AA744" i="7"/>
  <c r="AD744" i="7" s="1"/>
  <c r="Z720" i="7"/>
  <c r="AC720" i="7" s="1"/>
  <c r="AA558" i="7"/>
  <c r="AA506" i="7"/>
  <c r="AA628" i="7"/>
  <c r="AA648" i="7"/>
  <c r="AA344" i="7"/>
  <c r="AA154" i="7"/>
  <c r="AA464" i="7"/>
  <c r="AA292" i="7"/>
  <c r="AA666" i="7"/>
  <c r="AA779" i="7"/>
  <c r="AA261" i="7"/>
  <c r="AA138" i="7"/>
  <c r="AA399" i="7"/>
  <c r="AA447" i="7"/>
  <c r="AA137" i="7"/>
  <c r="AA640" i="7"/>
  <c r="AA746" i="7"/>
  <c r="AA153" i="7"/>
  <c r="AA477" i="7"/>
  <c r="AA754" i="7"/>
  <c r="AA267" i="7"/>
  <c r="AA660" i="7"/>
  <c r="AA667" i="7"/>
  <c r="AA539" i="7"/>
  <c r="AA426" i="7"/>
  <c r="AA349" i="7"/>
  <c r="AA140" i="7"/>
  <c r="AA726" i="7"/>
  <c r="AA503" i="7"/>
  <c r="AA409" i="7"/>
  <c r="AA380" i="7"/>
  <c r="AA759" i="7"/>
  <c r="AA729" i="7"/>
  <c r="AA342" i="7"/>
  <c r="AA244" i="7"/>
  <c r="AA745" i="7"/>
  <c r="AA809" i="7"/>
  <c r="AA408" i="7"/>
  <c r="AA149" i="7"/>
  <c r="AA583" i="7"/>
  <c r="AA635" i="7"/>
  <c r="AA597" i="7"/>
  <c r="AA817" i="7"/>
  <c r="AA521" i="7"/>
  <c r="Z128" i="7"/>
  <c r="AC128" i="7" s="1"/>
  <c r="Z736" i="7"/>
  <c r="AC736" i="7" s="1"/>
  <c r="Z442" i="7"/>
  <c r="AC442" i="7" s="1"/>
  <c r="Z703" i="7"/>
  <c r="AC703" i="7" s="1"/>
  <c r="Z178" i="7"/>
  <c r="AC178" i="7" s="1"/>
  <c r="Z730" i="7"/>
  <c r="AC730" i="7" s="1"/>
  <c r="Z496" i="7"/>
  <c r="AC496" i="7" s="1"/>
  <c r="AA727" i="7"/>
  <c r="AD727" i="7" s="1"/>
  <c r="Z140" i="7"/>
  <c r="AC140" i="7" s="1"/>
  <c r="Z365" i="7"/>
  <c r="AC365" i="7" s="1"/>
  <c r="Z133" i="7"/>
  <c r="AC133" i="7" s="1"/>
  <c r="Z237" i="7"/>
  <c r="AC237" i="7" s="1"/>
  <c r="Z652" i="7"/>
  <c r="AC652" i="7" s="1"/>
  <c r="Z722" i="7"/>
  <c r="AC722" i="7" s="1"/>
  <c r="Z340" i="7"/>
  <c r="AC340" i="7" s="1"/>
  <c r="AA345" i="7"/>
  <c r="AD345" i="7" s="1"/>
  <c r="Z765" i="7"/>
  <c r="AC765" i="7" s="1"/>
  <c r="AA108" i="7"/>
  <c r="AD108" i="7" s="1"/>
  <c r="Z622" i="7"/>
  <c r="AC622" i="7" s="1"/>
  <c r="Z270" i="7"/>
  <c r="AC270" i="7" s="1"/>
  <c r="Z628" i="7"/>
  <c r="AC628" i="7" s="1"/>
  <c r="Z198" i="7"/>
  <c r="AC198" i="7" s="1"/>
  <c r="Z561" i="7"/>
  <c r="AC561" i="7" s="1"/>
  <c r="Z201" i="7"/>
  <c r="AC201" i="7" s="1"/>
  <c r="Z548" i="7"/>
  <c r="AC548" i="7" s="1"/>
  <c r="Z228" i="7"/>
  <c r="AC228" i="7" s="1"/>
  <c r="Z696" i="7"/>
  <c r="AC696" i="7" s="1"/>
  <c r="Z507" i="7"/>
  <c r="AC507" i="7" s="1"/>
  <c r="Z469" i="7"/>
  <c r="AC469" i="7" s="1"/>
  <c r="AA291" i="7"/>
  <c r="AD291" i="7" s="1"/>
  <c r="Z627" i="7"/>
  <c r="AC627" i="7" s="1"/>
  <c r="AA125" i="7"/>
  <c r="AD125" i="7" s="1"/>
  <c r="Z741" i="7"/>
  <c r="AC741" i="7" s="1"/>
  <c r="Z513" i="7"/>
  <c r="AC513" i="7" s="1"/>
  <c r="Z558" i="7"/>
  <c r="AC558" i="7" s="1"/>
  <c r="Z225" i="7"/>
  <c r="AC225" i="7" s="1"/>
  <c r="Z560" i="7"/>
  <c r="AC560" i="7" s="1"/>
  <c r="Z339" i="7"/>
  <c r="AC339" i="7" s="1"/>
  <c r="Z568" i="7"/>
  <c r="AC568" i="7" s="1"/>
  <c r="Z815" i="7"/>
  <c r="AC815" i="7" s="1"/>
  <c r="Z585" i="7"/>
  <c r="AC585" i="7" s="1"/>
  <c r="AA388" i="7"/>
  <c r="AD388" i="7" s="1"/>
  <c r="Z406" i="7"/>
  <c r="AC406" i="7" s="1"/>
  <c r="Z570" i="7"/>
  <c r="AC570" i="7" s="1"/>
  <c r="AA202" i="7"/>
  <c r="AA260" i="7"/>
  <c r="AA824" i="7"/>
  <c r="AA578" i="7"/>
  <c r="AA699" i="7"/>
  <c r="AA674" i="7"/>
  <c r="AA280" i="7"/>
  <c r="AA412" i="7"/>
  <c r="AA509" i="7"/>
  <c r="AA650" i="7"/>
  <c r="AA161" i="7"/>
  <c r="AA736" i="7"/>
  <c r="AA234" i="7"/>
  <c r="AA598" i="7"/>
  <c r="AA242" i="7"/>
  <c r="AA719" i="7"/>
  <c r="AA588" i="7"/>
  <c r="AA455" i="7"/>
  <c r="AA770" i="7"/>
  <c r="AA160" i="7"/>
  <c r="AA585" i="7"/>
  <c r="AA617" i="7"/>
  <c r="AA372" i="7"/>
  <c r="AA742" i="7"/>
  <c r="AA210" i="7"/>
  <c r="AA124" i="7"/>
  <c r="AA541" i="7"/>
  <c r="AA510" i="7"/>
  <c r="AA641" i="7"/>
  <c r="AA356" i="7"/>
  <c r="AA526" i="7"/>
  <c r="AA536" i="7"/>
  <c r="AA472" i="7"/>
  <c r="AA694" i="7"/>
  <c r="AA693" i="7"/>
  <c r="AA457" i="7"/>
  <c r="AA700" i="7"/>
  <c r="AA777" i="7"/>
  <c r="AA545" i="7"/>
  <c r="AA786" i="7"/>
  <c r="AA563" i="7"/>
  <c r="AA239" i="7"/>
  <c r="Z112" i="7"/>
  <c r="AC112" i="7" s="1"/>
  <c r="Z781" i="7"/>
  <c r="AC781" i="7" s="1"/>
  <c r="Z245" i="7"/>
  <c r="AC245" i="7" s="1"/>
  <c r="AA580" i="7"/>
  <c r="AD580" i="7" s="1"/>
  <c r="AA213" i="7"/>
  <c r="AD213" i="7" s="1"/>
  <c r="AA765" i="7"/>
  <c r="AD765" i="7" s="1"/>
  <c r="Z243" i="7"/>
  <c r="AC243" i="7" s="1"/>
  <c r="Z708" i="7"/>
  <c r="AC708" i="7" s="1"/>
  <c r="Z125" i="7"/>
  <c r="AC125" i="7" s="1"/>
  <c r="Z649" i="7"/>
  <c r="AC649" i="7" s="1"/>
  <c r="Z129" i="7"/>
  <c r="AC129" i="7" s="1"/>
  <c r="Z328" i="7"/>
  <c r="AC328" i="7" s="1"/>
  <c r="Z462" i="7"/>
  <c r="AC462" i="7" s="1"/>
  <c r="Z789" i="7"/>
  <c r="AC789" i="7" s="1"/>
  <c r="Z482" i="7"/>
  <c r="AC482" i="7" s="1"/>
  <c r="AA652" i="7"/>
  <c r="AD652" i="7" s="1"/>
  <c r="Z805" i="7"/>
  <c r="AC805" i="7" s="1"/>
  <c r="Z632" i="7"/>
  <c r="AC632" i="7" s="1"/>
  <c r="Z200" i="7"/>
  <c r="AC200" i="7" s="1"/>
  <c r="Z553" i="7"/>
  <c r="AC553" i="7" s="1"/>
  <c r="Z275" i="7"/>
  <c r="AC275" i="7" s="1"/>
  <c r="Z498" i="7"/>
  <c r="AC498" i="7" s="1"/>
  <c r="AA195" i="7"/>
  <c r="AD195" i="7" s="1"/>
  <c r="Z829" i="7"/>
  <c r="AC829" i="7" s="1"/>
  <c r="Z543" i="7"/>
  <c r="AC543" i="7" s="1"/>
  <c r="Z187" i="7"/>
  <c r="AC187" i="7" s="1"/>
  <c r="Z707" i="7"/>
  <c r="AC707" i="7" s="1"/>
  <c r="Z297" i="7"/>
  <c r="AC297" i="7" s="1"/>
  <c r="Z427" i="7"/>
  <c r="AC427" i="7" s="1"/>
  <c r="Z173" i="7"/>
  <c r="AC173" i="7" s="1"/>
  <c r="Z607" i="7"/>
  <c r="AC607" i="7" s="1"/>
  <c r="Z325" i="7"/>
  <c r="AC325" i="7" s="1"/>
  <c r="Z586" i="7"/>
  <c r="AC586" i="7" s="1"/>
  <c r="Z235" i="7"/>
  <c r="AC235" i="7" s="1"/>
  <c r="Z598" i="7"/>
  <c r="AC598" i="7" s="1"/>
  <c r="Z311" i="7"/>
  <c r="AC311" i="7" s="1"/>
  <c r="Z413" i="7"/>
  <c r="AC413" i="7" s="1"/>
  <c r="Z700" i="7"/>
  <c r="AC700" i="7" s="1"/>
  <c r="Z434" i="7"/>
  <c r="AC434" i="7" s="1"/>
  <c r="Z350" i="7"/>
  <c r="AC350" i="7" s="1"/>
  <c r="Z584" i="7"/>
  <c r="AC584" i="7" s="1"/>
  <c r="Z114" i="7"/>
  <c r="AC114" i="7" s="1"/>
  <c r="Z385" i="7"/>
  <c r="AC385" i="7" s="1"/>
  <c r="Z343" i="7"/>
  <c r="AC343" i="7" s="1"/>
  <c r="AA445" i="7"/>
  <c r="AA636" i="7"/>
  <c r="AA233" i="7"/>
  <c r="AA608" i="7"/>
  <c r="AA600" i="7"/>
  <c r="AA422" i="7"/>
  <c r="AA527" i="7"/>
  <c r="AA225" i="7"/>
  <c r="AA564" i="7"/>
  <c r="AA725" i="7"/>
  <c r="AA177" i="7"/>
  <c r="AA625" i="7"/>
  <c r="Z500" i="7"/>
  <c r="AC500" i="7" s="1"/>
  <c r="Z621" i="7"/>
  <c r="AC621" i="7" s="1"/>
  <c r="AA158" i="7"/>
  <c r="AD158" i="7" s="1"/>
  <c r="Z778" i="7"/>
  <c r="AC778" i="7" s="1"/>
  <c r="Z430" i="7"/>
  <c r="AC430" i="7" s="1"/>
  <c r="Z580" i="7"/>
  <c r="AC580" i="7" s="1"/>
  <c r="Z118" i="7"/>
  <c r="AC118" i="7" s="1"/>
  <c r="Z517" i="7"/>
  <c r="AC517" i="7" s="1"/>
  <c r="Z299" i="7"/>
  <c r="AC299" i="7" s="1"/>
  <c r="Z99" i="7"/>
  <c r="AC99" i="7" s="1"/>
  <c r="Z251" i="7"/>
  <c r="AC251" i="7" s="1"/>
  <c r="Z810" i="7"/>
  <c r="AC810" i="7" s="1"/>
  <c r="Z207" i="7"/>
  <c r="AC207" i="7" s="1"/>
  <c r="AA782" i="7"/>
  <c r="AD782" i="7" s="1"/>
  <c r="Z579" i="7"/>
  <c r="AC579" i="7" s="1"/>
  <c r="Z143" i="7"/>
  <c r="AC143" i="7" s="1"/>
  <c r="Z564" i="7"/>
  <c r="AC564" i="7" s="1"/>
  <c r="Z260" i="7"/>
  <c r="AC260" i="7" s="1"/>
  <c r="Z505" i="7"/>
  <c r="AC505" i="7" s="1"/>
  <c r="Z203" i="7"/>
  <c r="AC203" i="7" s="1"/>
  <c r="Z445" i="7"/>
  <c r="AC445" i="7" s="1"/>
  <c r="Z690" i="7"/>
  <c r="AC690" i="7" s="1"/>
  <c r="Z269" i="7"/>
  <c r="AC269" i="7" s="1"/>
  <c r="Z536" i="7"/>
  <c r="AC536" i="7" s="1"/>
  <c r="Z268" i="7"/>
  <c r="AC268" i="7" s="1"/>
  <c r="Z674" i="7"/>
  <c r="AC674" i="7" s="1"/>
  <c r="Z240" i="7"/>
  <c r="AC240" i="7" s="1"/>
  <c r="Z693" i="7"/>
  <c r="AC693" i="7" s="1"/>
  <c r="Z341" i="7"/>
  <c r="AC341" i="7" s="1"/>
  <c r="Z411" i="7"/>
  <c r="AC411" i="7" s="1"/>
  <c r="Z126" i="7"/>
  <c r="AC126" i="7" s="1"/>
  <c r="Z600" i="7"/>
  <c r="AC600" i="7" s="1"/>
  <c r="Z259" i="7"/>
  <c r="AC259" i="7" s="1"/>
  <c r="Z232" i="7"/>
  <c r="AC232" i="7" s="1"/>
  <c r="Z530" i="7"/>
  <c r="AC530" i="7" s="1"/>
  <c r="Z458" i="7"/>
  <c r="AC458" i="7" s="1"/>
  <c r="Z179" i="7"/>
  <c r="AC179" i="7" s="1"/>
  <c r="Z474" i="7"/>
  <c r="AC474" i="7" s="1"/>
  <c r="Z282" i="7"/>
  <c r="AC282" i="7" s="1"/>
  <c r="Z258" i="7"/>
  <c r="AC258" i="7" s="1"/>
  <c r="AA698" i="7"/>
  <c r="AA366" i="7"/>
  <c r="AA192" i="7"/>
  <c r="AA732" i="7"/>
  <c r="AA461" i="7"/>
  <c r="AA223" i="7"/>
  <c r="AA448" i="7"/>
  <c r="AA443" i="7"/>
  <c r="AA170" i="7"/>
  <c r="AA623" i="7"/>
  <c r="AA375" i="7"/>
  <c r="AA143" i="7"/>
  <c r="Z712" i="7"/>
  <c r="AC712" i="7" s="1"/>
  <c r="Z342" i="7"/>
  <c r="AC342" i="7" s="1"/>
  <c r="Z574" i="7"/>
  <c r="AC574" i="7" s="1"/>
  <c r="Z130" i="7"/>
  <c r="AC130" i="7" s="1"/>
  <c r="Z825" i="7"/>
  <c r="AC825" i="7" s="1"/>
  <c r="Z315" i="7"/>
  <c r="AC315" i="7" s="1"/>
  <c r="Z562" i="7"/>
  <c r="AC562" i="7" s="1"/>
  <c r="Z191" i="7"/>
  <c r="AC191" i="7" s="1"/>
  <c r="Z460" i="7"/>
  <c r="AC460" i="7" s="1"/>
  <c r="Z120" i="7"/>
  <c r="AC120" i="7" s="1"/>
  <c r="Z208" i="7"/>
  <c r="AC208" i="7" s="1"/>
  <c r="Z773" i="7"/>
  <c r="AC773" i="7" s="1"/>
  <c r="Z314" i="7"/>
  <c r="AC314" i="7" s="1"/>
  <c r="Z645" i="7"/>
  <c r="AC645" i="7" s="1"/>
  <c r="Z602" i="7"/>
  <c r="AC602" i="7" s="1"/>
  <c r="Z318" i="7"/>
  <c r="AC318" i="7" s="1"/>
  <c r="Z547" i="7"/>
  <c r="AC547" i="7" s="1"/>
  <c r="Z230" i="7"/>
  <c r="AC230" i="7" s="1"/>
  <c r="Z418" i="7"/>
  <c r="AC418" i="7" s="1"/>
  <c r="Z136" i="7"/>
  <c r="AC136" i="7" s="1"/>
  <c r="Z807" i="7"/>
  <c r="AC807" i="7" s="1"/>
  <c r="Z486" i="7"/>
  <c r="AC486" i="7" s="1"/>
  <c r="AA166" i="7"/>
  <c r="AD166" i="7" s="1"/>
  <c r="Z643" i="7"/>
  <c r="AC643" i="7" s="1"/>
  <c r="Z331" i="7"/>
  <c r="AC331" i="7" s="1"/>
  <c r="Z822" i="7"/>
  <c r="AC822" i="7" s="1"/>
  <c r="Z620" i="7"/>
  <c r="AC620" i="7" s="1"/>
  <c r="Z190" i="7"/>
  <c r="AC190" i="7" s="1"/>
  <c r="Z464" i="7"/>
  <c r="AC464" i="7" s="1"/>
  <c r="AA199" i="7"/>
  <c r="AD199" i="7" s="1"/>
  <c r="Z595" i="7"/>
  <c r="AC595" i="7" s="1"/>
  <c r="AA441" i="7"/>
  <c r="AD441" i="7" s="1"/>
  <c r="Z842" i="7"/>
  <c r="AC842" i="7" s="1"/>
  <c r="Z516" i="7"/>
  <c r="AC516" i="7" s="1"/>
  <c r="Z196" i="7"/>
  <c r="AC196" i="7" s="1"/>
  <c r="Z613" i="7"/>
  <c r="AC613" i="7" s="1"/>
  <c r="Z221" i="7"/>
  <c r="AC221" i="7" s="1"/>
  <c r="Z158" i="7"/>
  <c r="AC158" i="7" s="1"/>
  <c r="Z321" i="7"/>
  <c r="AC321" i="7" s="1"/>
  <c r="Z231" i="7"/>
  <c r="AC231" i="7" s="1"/>
  <c r="AA618" i="7"/>
  <c r="AD618" i="7" s="1"/>
  <c r="AA352" i="7"/>
  <c r="AD352" i="7" s="1"/>
  <c r="Z180" i="7"/>
  <c r="AC180" i="7" s="1"/>
  <c r="Z104" i="7"/>
  <c r="AC104" i="7" s="1"/>
  <c r="Z213" i="7"/>
  <c r="AC213" i="7" s="1"/>
  <c r="AA249" i="7"/>
  <c r="AA604" i="7"/>
  <c r="AA424" i="7"/>
  <c r="AA688" i="7"/>
  <c r="AA430" i="7"/>
  <c r="AA555" i="7"/>
  <c r="AA378" i="7"/>
  <c r="AA517" i="7"/>
  <c r="AA738" i="7"/>
  <c r="AA471" i="7"/>
  <c r="AA607" i="7"/>
  <c r="AA624" i="7"/>
  <c r="AA318" i="7"/>
  <c r="AA215" i="7"/>
  <c r="AA697" i="7"/>
  <c r="AA830" i="7"/>
  <c r="AD830" i="7" s="1"/>
  <c r="Z370" i="7"/>
  <c r="AC370" i="7" s="1"/>
  <c r="Z387" i="7"/>
  <c r="AC387" i="7" s="1"/>
  <c r="Z771" i="7"/>
  <c r="AC771" i="7" s="1"/>
  <c r="Z347" i="7"/>
  <c r="AC347" i="7" s="1"/>
  <c r="Z366" i="7"/>
  <c r="AC366" i="7" s="1"/>
  <c r="AA168" i="7"/>
  <c r="AD168" i="7" s="1"/>
  <c r="Z764" i="7"/>
  <c r="AC764" i="7" s="1"/>
  <c r="Z351" i="7"/>
  <c r="AC351" i="7" s="1"/>
  <c r="Z177" i="7"/>
  <c r="AC177" i="7" s="1"/>
  <c r="Z840" i="7"/>
  <c r="AC840" i="7" s="1"/>
  <c r="Z278" i="7"/>
  <c r="AC278" i="7" s="1"/>
  <c r="Z670" i="7"/>
  <c r="AC670" i="7" s="1"/>
  <c r="Z227" i="7"/>
  <c r="AC227" i="7" s="1"/>
  <c r="Z679" i="7"/>
  <c r="AC679" i="7" s="1"/>
  <c r="Z557" i="7"/>
  <c r="AC557" i="7" s="1"/>
  <c r="Z247" i="7"/>
  <c r="AC247" i="7" s="1"/>
  <c r="Z799" i="7"/>
  <c r="AC799" i="7" s="1"/>
  <c r="Z477" i="7"/>
  <c r="AC477" i="7" s="1"/>
  <c r="Z209" i="7"/>
  <c r="AC209" i="7" s="1"/>
  <c r="Z569" i="7"/>
  <c r="AC569" i="7" s="1"/>
  <c r="Z310" i="7"/>
  <c r="AC310" i="7" s="1"/>
  <c r="AA798" i="7"/>
  <c r="AD798" i="7" s="1"/>
  <c r="Z363" i="7"/>
  <c r="AC363" i="7" s="1"/>
  <c r="AA183" i="7"/>
  <c r="AD183" i="7" s="1"/>
  <c r="Z618" i="7"/>
  <c r="AC618" i="7" s="1"/>
  <c r="Z146" i="7"/>
  <c r="AC146" i="7" s="1"/>
  <c r="Z794" i="7"/>
  <c r="AC794" i="7" s="1"/>
  <c r="Z439" i="7"/>
  <c r="AC439" i="7" s="1"/>
  <c r="Z417" i="7"/>
  <c r="AC417" i="7" s="1"/>
  <c r="Z255" i="7"/>
  <c r="AC255" i="7" s="1"/>
  <c r="Z676" i="7"/>
  <c r="AC676" i="7" s="1"/>
  <c r="AA368" i="7"/>
  <c r="AD368" i="7" s="1"/>
  <c r="Z466" i="7"/>
  <c r="AC466" i="7" s="1"/>
  <c r="Z224" i="7"/>
  <c r="AC224" i="7" s="1"/>
  <c r="Z555" i="7"/>
  <c r="AC555" i="7" s="1"/>
  <c r="Z214" i="7"/>
  <c r="AC214" i="7" s="1"/>
  <c r="Z330" i="7"/>
  <c r="AC330" i="7" s="1"/>
  <c r="AA750" i="7"/>
  <c r="AD750" i="7" s="1"/>
  <c r="Z272" i="7"/>
  <c r="AC272" i="7" s="1"/>
  <c r="Z134" i="7"/>
  <c r="AC134" i="7" s="1"/>
  <c r="AA692" i="7"/>
  <c r="AA416" i="7"/>
  <c r="AA227" i="7"/>
  <c r="AA616" i="7"/>
  <c r="AA707" i="7"/>
  <c r="AA193" i="7"/>
  <c r="AA576" i="7"/>
  <c r="AA606" i="7"/>
  <c r="AA337" i="7"/>
  <c r="AA365" i="7"/>
  <c r="AA813" i="7"/>
  <c r="AA638" i="7"/>
  <c r="AA671" i="7"/>
  <c r="AA672" i="7"/>
  <c r="AA228" i="7"/>
  <c r="Z549" i="7"/>
  <c r="AC549" i="7" s="1"/>
  <c r="Z348" i="7"/>
  <c r="AC348" i="7" s="1"/>
  <c r="Z465" i="7"/>
  <c r="AC465" i="7" s="1"/>
  <c r="Z176" i="7"/>
  <c r="AC176" i="7" s="1"/>
  <c r="Z660" i="7"/>
  <c r="AC660" i="7" s="1"/>
  <c r="Z313" i="7"/>
  <c r="AC313" i="7" s="1"/>
  <c r="Z412" i="7"/>
  <c r="AC412" i="7" s="1"/>
  <c r="Z135" i="7"/>
  <c r="AC135" i="7" s="1"/>
  <c r="Z768" i="7"/>
  <c r="AC768" i="7" s="1"/>
  <c r="Z479" i="7"/>
  <c r="AC479" i="7" s="1"/>
  <c r="Z127" i="7"/>
  <c r="AC127" i="7" s="1"/>
  <c r="Z832" i="7"/>
  <c r="AC832" i="7" s="1"/>
  <c r="Z572" i="7"/>
  <c r="AC572" i="7" s="1"/>
  <c r="Z273" i="7"/>
  <c r="AC273" i="7" s="1"/>
  <c r="AA117" i="7"/>
  <c r="AD117" i="7" s="1"/>
  <c r="Z705" i="7"/>
  <c r="AC705" i="7" s="1"/>
  <c r="Z834" i="7"/>
  <c r="AC834" i="7" s="1"/>
  <c r="Z488" i="7"/>
  <c r="AC488" i="7" s="1"/>
  <c r="Z239" i="7"/>
  <c r="AC239" i="7" s="1"/>
  <c r="Z545" i="7"/>
  <c r="AC545" i="7" s="1"/>
  <c r="Z169" i="7"/>
  <c r="AC169" i="7" s="1"/>
  <c r="Z556" i="7"/>
  <c r="AC556" i="7" s="1"/>
  <c r="Z171" i="7"/>
  <c r="AC171" i="7" s="1"/>
  <c r="Z718" i="7"/>
  <c r="AC718" i="7" s="1"/>
  <c r="Z289" i="7"/>
  <c r="AC289" i="7" s="1"/>
  <c r="AA253" i="7"/>
  <c r="AD253" i="7" s="1"/>
  <c r="Z508" i="7"/>
  <c r="AC508" i="7" s="1"/>
  <c r="Z256" i="7"/>
  <c r="AC256" i="7" s="1"/>
  <c r="Z835" i="7"/>
  <c r="AC835" i="7" s="1"/>
  <c r="Z538" i="7"/>
  <c r="AC538" i="7" s="1"/>
  <c r="Z111" i="7"/>
  <c r="AC111" i="7" s="1"/>
  <c r="Z506" i="7"/>
  <c r="AC506" i="7" s="1"/>
  <c r="AA265" i="7"/>
  <c r="AD265" i="7" s="1"/>
  <c r="Z582" i="7"/>
  <c r="AC582" i="7" s="1"/>
  <c r="Z389" i="7"/>
  <c r="AC389" i="7" s="1"/>
  <c r="Z551" i="7"/>
  <c r="AC551" i="7" s="1"/>
  <c r="Z139" i="7"/>
  <c r="AC139" i="7" s="1"/>
  <c r="Z565" i="7"/>
  <c r="AC565" i="7" s="1"/>
  <c r="Z215" i="7"/>
  <c r="AC215" i="7" s="1"/>
  <c r="Z149" i="7"/>
  <c r="AC149" i="7" s="1"/>
  <c r="AA115" i="7"/>
  <c r="Z626" i="7"/>
  <c r="AC626" i="7" s="1"/>
  <c r="AA823" i="7"/>
  <c r="AD823" i="7" s="1"/>
  <c r="AA735" i="7"/>
  <c r="AD735" i="7" s="1"/>
  <c r="AA179" i="7"/>
  <c r="AA118" i="7"/>
  <c r="AA208" i="7"/>
  <c r="AA479" i="7"/>
  <c r="AA548" i="7"/>
  <c r="AA241" i="7"/>
  <c r="AA476" i="7"/>
  <c r="AA373" i="7"/>
  <c r="AA442" i="7"/>
  <c r="AA490" i="7"/>
  <c r="AA605" i="7"/>
  <c r="Z100" i="7"/>
  <c r="AC100" i="7" s="1"/>
  <c r="Z592" i="7"/>
  <c r="AC592" i="7" s="1"/>
  <c r="Z404" i="7"/>
  <c r="AC404" i="7" s="1"/>
  <c r="Z601" i="7"/>
  <c r="AC601" i="7" s="1"/>
  <c r="Z689" i="7"/>
  <c r="AC689" i="7" s="1"/>
  <c r="Z233" i="7"/>
  <c r="AC233" i="7" s="1"/>
  <c r="Z521" i="7"/>
  <c r="AC521" i="7" s="1"/>
  <c r="Z743" i="7"/>
  <c r="AC743" i="7" s="1"/>
  <c r="Z432" i="7"/>
  <c r="AC432" i="7" s="1"/>
  <c r="Z265" i="7"/>
  <c r="AC265" i="7" s="1"/>
  <c r="Z732" i="7"/>
  <c r="AC732" i="7" s="1"/>
  <c r="Z108" i="7"/>
  <c r="AC108" i="7" s="1"/>
  <c r="AA714" i="7"/>
  <c r="AD714" i="7" s="1"/>
  <c r="Z286" i="7"/>
  <c r="AC286" i="7" s="1"/>
  <c r="Z646" i="7"/>
  <c r="AC646" i="7" s="1"/>
  <c r="Z567" i="7"/>
  <c r="AC567" i="7" s="1"/>
  <c r="Z174" i="7"/>
  <c r="AC174" i="7" s="1"/>
  <c r="Z390" i="7"/>
  <c r="AC390" i="7" s="1"/>
  <c r="Z116" i="7"/>
  <c r="AC116" i="7" s="1"/>
  <c r="Z455" i="7"/>
  <c r="AC455" i="7" s="1"/>
  <c r="Z429" i="7"/>
  <c r="AC429" i="7" s="1"/>
  <c r="Z109" i="7"/>
  <c r="AC109" i="7" s="1"/>
  <c r="Z659" i="7"/>
  <c r="AC659" i="7" s="1"/>
  <c r="Z152" i="7"/>
  <c r="AC152" i="7" s="1"/>
  <c r="Z431" i="7"/>
  <c r="AC431" i="7" s="1"/>
  <c r="AA347" i="7"/>
  <c r="AD347" i="7" s="1"/>
  <c r="Z811" i="7"/>
  <c r="AC811" i="7" s="1"/>
  <c r="Z534" i="7"/>
  <c r="AC534" i="7" s="1"/>
  <c r="AA178" i="7"/>
  <c r="AD178" i="7" s="1"/>
  <c r="Z666" i="7"/>
  <c r="AC666" i="7" s="1"/>
  <c r="Z132" i="7"/>
  <c r="AC132" i="7" s="1"/>
  <c r="Z359" i="7"/>
  <c r="AC359" i="7" s="1"/>
  <c r="Z401" i="7"/>
  <c r="AC401" i="7" s="1"/>
  <c r="Z122" i="7"/>
  <c r="AC122" i="7" s="1"/>
  <c r="Z710" i="7"/>
  <c r="AC710" i="7" s="1"/>
  <c r="AA200" i="7"/>
  <c r="AD200" i="7" s="1"/>
  <c r="AA753" i="7"/>
  <c r="AD753" i="7" s="1"/>
  <c r="Z510" i="7"/>
  <c r="AC510" i="7" s="1"/>
  <c r="AA818" i="7"/>
  <c r="AD818" i="7" s="1"/>
  <c r="AA198" i="7"/>
  <c r="AA675" i="7"/>
  <c r="AA162" i="7"/>
  <c r="AA392" i="7"/>
  <c r="AA231" i="7"/>
  <c r="AA568" i="7"/>
  <c r="AA774" i="7"/>
  <c r="AA453" i="7"/>
  <c r="AA826" i="7"/>
  <c r="AA531" i="7"/>
  <c r="AA439" i="7"/>
  <c r="AA413" i="7"/>
  <c r="AA747" i="7"/>
  <c r="AA633" i="7"/>
  <c r="Z540" i="7"/>
  <c r="AC540" i="7" s="1"/>
  <c r="AA316" i="7"/>
  <c r="AD316" i="7" s="1"/>
  <c r="AA556" i="7"/>
  <c r="AD556" i="7" s="1"/>
  <c r="Z630" i="7"/>
  <c r="AC630" i="7" s="1"/>
  <c r="Z151" i="7"/>
  <c r="AC151" i="7" s="1"/>
  <c r="Z491" i="7"/>
  <c r="AC491" i="7" s="1"/>
  <c r="Z733" i="7"/>
  <c r="AC733" i="7" s="1"/>
  <c r="Z392" i="7"/>
  <c r="AC392" i="7" s="1"/>
  <c r="Z157" i="7"/>
  <c r="AC157" i="7" s="1"/>
  <c r="Z650" i="7"/>
  <c r="AC650" i="7" s="1"/>
  <c r="Z640" i="7"/>
  <c r="AC640" i="7" s="1"/>
  <c r="Z397" i="7"/>
  <c r="AC397" i="7" s="1"/>
  <c r="Z485" i="7"/>
  <c r="AC485" i="7" s="1"/>
  <c r="AA133" i="7"/>
  <c r="AD133" i="7" s="1"/>
  <c r="AA497" i="7"/>
  <c r="AD497" i="7" s="1"/>
  <c r="AA364" i="7"/>
  <c r="AD364" i="7" s="1"/>
  <c r="Z831" i="7"/>
  <c r="AC831" i="7" s="1"/>
  <c r="Z382" i="7"/>
  <c r="AC382" i="7" s="1"/>
  <c r="Z515" i="7"/>
  <c r="AC515" i="7" s="1"/>
  <c r="Z117" i="7"/>
  <c r="AC117" i="7" s="1"/>
  <c r="Z763" i="7"/>
  <c r="AC763" i="7" s="1"/>
  <c r="Z537" i="7"/>
  <c r="AC537" i="7" s="1"/>
  <c r="AA333" i="7"/>
  <c r="AD333" i="7" s="1"/>
  <c r="Z423" i="7"/>
  <c r="AC423" i="7" s="1"/>
  <c r="Z617" i="7"/>
  <c r="AC617" i="7" s="1"/>
  <c r="Z337" i="7"/>
  <c r="AC337" i="7" s="1"/>
  <c r="Z812" i="7"/>
  <c r="AC812" i="7" s="1"/>
  <c r="Z514" i="7"/>
  <c r="AC514" i="7" s="1"/>
  <c r="AA159" i="7"/>
  <c r="AD159" i="7" s="1"/>
  <c r="Z841" i="7"/>
  <c r="AC841" i="7" s="1"/>
  <c r="Z481" i="7"/>
  <c r="AC481" i="7" s="1"/>
  <c r="Z189" i="7"/>
  <c r="AC189" i="7" s="1"/>
  <c r="Z544" i="7"/>
  <c r="AC544" i="7" s="1"/>
  <c r="AA721" i="7"/>
  <c r="AD721" i="7" s="1"/>
  <c r="Z784" i="7"/>
  <c r="AC784" i="7" s="1"/>
  <c r="Z706" i="7"/>
  <c r="AC706" i="7" s="1"/>
  <c r="Z344" i="7"/>
  <c r="AC344" i="7" s="1"/>
  <c r="Z511" i="7"/>
  <c r="AC511" i="7" s="1"/>
  <c r="AA310" i="7"/>
  <c r="AA217" i="7"/>
  <c r="AA756" i="7"/>
  <c r="AA668" i="7"/>
  <c r="AA219" i="7"/>
  <c r="AA768" i="7"/>
  <c r="AA411" i="7"/>
  <c r="AA706" i="7"/>
  <c r="AA532" i="7"/>
  <c r="AA797" i="7"/>
  <c r="AA363" i="7"/>
  <c r="AA126" i="7"/>
  <c r="AD126" i="7" s="1"/>
  <c r="Z596" i="7"/>
  <c r="AC596" i="7" s="1"/>
  <c r="Z194" i="7"/>
  <c r="AC194" i="7" s="1"/>
  <c r="Z814" i="7"/>
  <c r="AC814" i="7" s="1"/>
  <c r="Z356" i="7"/>
  <c r="AC356" i="7" s="1"/>
  <c r="Z688" i="7"/>
  <c r="AC688" i="7" s="1"/>
  <c r="Z170" i="7"/>
  <c r="AC170" i="7" s="1"/>
  <c r="Z793" i="7"/>
  <c r="AC793" i="7" s="1"/>
  <c r="Z354" i="7"/>
  <c r="AC354" i="7" s="1"/>
  <c r="Z788" i="7"/>
  <c r="AC788" i="7" s="1"/>
  <c r="Z309" i="7"/>
  <c r="AC309" i="7" s="1"/>
  <c r="AA507" i="7"/>
  <c r="Z156" i="7"/>
  <c r="AC156" i="7" s="1"/>
  <c r="Z727" i="7"/>
  <c r="AC727" i="7" s="1"/>
  <c r="Z651" i="7"/>
  <c r="AC651" i="7" s="1"/>
  <c r="Z254" i="7"/>
  <c r="AC254" i="7" s="1"/>
  <c r="Z642" i="7"/>
  <c r="AC642" i="7" s="1"/>
  <c r="Z780" i="7"/>
  <c r="AC780" i="7" s="1"/>
  <c r="Z509" i="7"/>
  <c r="AC509" i="7" s="1"/>
  <c r="Z161" i="7"/>
  <c r="AC161" i="7" s="1"/>
  <c r="Z535" i="7"/>
  <c r="AC535" i="7" s="1"/>
  <c r="Z105" i="7"/>
  <c r="AC105" i="7" s="1"/>
  <c r="Z803" i="7"/>
  <c r="AC803" i="7" s="1"/>
  <c r="Z398" i="7"/>
  <c r="AC398" i="7" s="1"/>
  <c r="AA780" i="7"/>
  <c r="AD780" i="7" s="1"/>
  <c r="Z697" i="7"/>
  <c r="AC697" i="7" s="1"/>
  <c r="Z294" i="7"/>
  <c r="AC294" i="7" s="1"/>
  <c r="Z522" i="7"/>
  <c r="AC522" i="7" s="1"/>
  <c r="AA240" i="7"/>
  <c r="AD240" i="7" s="1"/>
  <c r="Z716" i="7"/>
  <c r="AC716" i="7" s="1"/>
  <c r="Z336" i="7"/>
  <c r="AC336" i="7" s="1"/>
  <c r="AA354" i="7"/>
  <c r="AD354" i="7" s="1"/>
  <c r="Z529" i="7"/>
  <c r="AC529" i="7" s="1"/>
  <c r="Z589" i="7"/>
  <c r="AC589" i="7" s="1"/>
  <c r="AA252" i="7"/>
  <c r="AD252" i="7" s="1"/>
  <c r="Z796" i="7"/>
  <c r="AC796" i="7" s="1"/>
  <c r="Z504" i="7"/>
  <c r="AC504" i="7" s="1"/>
  <c r="AA772" i="7"/>
  <c r="AD772" i="7" s="1"/>
  <c r="Z456" i="7"/>
  <c r="AC456" i="7" s="1"/>
  <c r="Z163" i="7"/>
  <c r="AC163" i="7" s="1"/>
  <c r="Z453" i="7"/>
  <c r="AC453" i="7" s="1"/>
  <c r="Z428" i="7"/>
  <c r="AC428" i="7" s="1"/>
  <c r="Z587" i="7"/>
  <c r="AC587" i="7" s="1"/>
  <c r="Z249" i="7"/>
  <c r="AC249" i="7" s="1"/>
  <c r="AA313" i="7"/>
  <c r="AA350" i="7"/>
  <c r="AA505" i="7"/>
  <c r="AA406" i="7"/>
  <c r="AA135" i="7"/>
  <c r="AA821" i="7"/>
  <c r="AA139" i="7"/>
  <c r="AA136" i="7"/>
  <c r="AA194" i="7"/>
  <c r="AA825" i="7"/>
  <c r="AA554" i="7"/>
  <c r="AA793" i="7"/>
  <c r="AA492" i="7"/>
  <c r="AA791" i="7"/>
  <c r="AA317" i="7"/>
  <c r="Z119" i="7"/>
  <c r="AC119" i="7" s="1"/>
  <c r="Z550" i="7"/>
  <c r="AC550" i="7" s="1"/>
  <c r="Z212" i="7"/>
  <c r="AC212" i="7" s="1"/>
  <c r="Z440" i="7"/>
  <c r="AC440" i="7" s="1"/>
  <c r="Z590" i="7"/>
  <c r="AC590" i="7" s="1"/>
  <c r="Z154" i="7"/>
  <c r="AC154" i="7" s="1"/>
  <c r="Z783" i="7"/>
  <c r="AC783" i="7" s="1"/>
  <c r="Z414" i="7"/>
  <c r="AC414" i="7" s="1"/>
  <c r="AA214" i="7"/>
  <c r="AD214" i="7" s="1"/>
  <c r="Z728" i="7"/>
  <c r="AC728" i="7" s="1"/>
  <c r="Z400" i="7"/>
  <c r="AC400" i="7" s="1"/>
  <c r="AA429" i="7"/>
  <c r="AA186" i="7"/>
  <c r="AD186" i="7" s="1"/>
  <c r="Z836" i="7"/>
  <c r="AC836" i="7" s="1"/>
  <c r="Z619" i="7"/>
  <c r="AC619" i="7" s="1"/>
  <c r="Z616" i="7"/>
  <c r="AC616" i="7" s="1"/>
  <c r="Z772" i="7"/>
  <c r="AC772" i="7" s="1"/>
  <c r="Z625" i="7"/>
  <c r="AC625" i="7" s="1"/>
  <c r="Z101" i="7"/>
  <c r="AC101" i="7" s="1"/>
  <c r="Z759" i="7"/>
  <c r="AC759" i="7" s="1"/>
  <c r="Z422" i="7"/>
  <c r="AC422" i="7" s="1"/>
  <c r="AA209" i="7"/>
  <c r="AD209" i="7" s="1"/>
  <c r="Z719" i="7"/>
  <c r="AC719" i="7" s="1"/>
  <c r="Z304" i="7"/>
  <c r="AC304" i="7" s="1"/>
  <c r="AA743" i="7"/>
  <c r="AD743" i="7" s="1"/>
  <c r="AA300" i="7"/>
  <c r="AD300" i="7" s="1"/>
  <c r="Z476" i="7"/>
  <c r="AC476" i="7" s="1"/>
  <c r="Z181" i="7"/>
  <c r="AC181" i="7" s="1"/>
  <c r="Z821" i="7"/>
  <c r="AC821" i="7" s="1"/>
  <c r="Z489" i="7"/>
  <c r="AC489" i="7" s="1"/>
  <c r="AA723" i="7"/>
  <c r="AD723" i="7" s="1"/>
  <c r="AA837" i="7"/>
  <c r="AD837" i="7" s="1"/>
  <c r="Z425" i="7"/>
  <c r="AC425" i="7" s="1"/>
  <c r="Z566" i="7"/>
  <c r="AC566" i="7" s="1"/>
  <c r="Z828" i="7"/>
  <c r="AC828" i="7" s="1"/>
  <c r="AA369" i="7"/>
  <c r="AD369" i="7" s="1"/>
  <c r="AA769" i="7"/>
  <c r="AD769" i="7" s="1"/>
  <c r="Z528" i="7"/>
  <c r="AC528" i="7" s="1"/>
  <c r="Z131" i="7"/>
  <c r="AC131" i="7" s="1"/>
  <c r="Z271" i="7"/>
  <c r="AC271" i="7" s="1"/>
  <c r="AA834" i="7"/>
  <c r="AD834" i="7" s="1"/>
  <c r="Z468" i="7"/>
  <c r="AC468" i="7" s="1"/>
  <c r="Z206" i="7"/>
  <c r="AC206" i="7" s="1"/>
  <c r="AA678" i="7"/>
  <c r="AD678" i="7" s="1"/>
  <c r="AA621" i="7"/>
  <c r="AA389" i="7"/>
  <c r="AA114" i="7"/>
  <c r="AA216" i="7"/>
  <c r="AA130" i="7"/>
  <c r="AA420" i="7"/>
  <c r="AA484" i="7"/>
  <c r="AA651" i="7"/>
  <c r="AA815" i="7"/>
  <c r="AA679" i="7"/>
  <c r="AA172" i="7"/>
  <c r="AA330" i="7"/>
  <c r="AA147" i="7"/>
  <c r="AA690" i="7"/>
  <c r="AA829" i="7"/>
  <c r="AA596" i="7"/>
  <c r="AA766" i="7"/>
  <c r="AA601" i="7"/>
  <c r="AA783" i="7"/>
  <c r="AA465" i="7"/>
  <c r="AA311" i="7"/>
  <c r="AA460" i="7"/>
  <c r="AA737" i="7"/>
  <c r="AA245" i="7"/>
  <c r="AA591" i="7"/>
  <c r="AA323" i="7"/>
  <c r="AA662" i="7"/>
  <c r="AA394" i="7"/>
  <c r="AA649" i="7"/>
  <c r="AA495" i="7"/>
  <c r="AA165" i="7"/>
  <c r="AA480" i="7"/>
  <c r="AA634" i="7"/>
  <c r="AA367" i="7"/>
  <c r="Z115" i="7"/>
  <c r="AC115" i="7" s="1"/>
  <c r="Z588" i="7"/>
  <c r="AC588" i="7" s="1"/>
  <c r="Z263" i="7"/>
  <c r="AC263" i="7" s="1"/>
  <c r="Z599" i="7"/>
  <c r="AC599" i="7" s="1"/>
  <c r="Z577" i="7"/>
  <c r="AC577" i="7" s="1"/>
  <c r="Z202" i="7"/>
  <c r="AC202" i="7" s="1"/>
  <c r="Z755" i="7"/>
  <c r="AC755" i="7" s="1"/>
  <c r="Z480" i="7"/>
  <c r="AC480" i="7" s="1"/>
  <c r="AA204" i="7"/>
  <c r="AD204" i="7" s="1"/>
  <c r="Z531" i="7"/>
  <c r="AC531" i="7" s="1"/>
  <c r="Z817" i="7"/>
  <c r="AC817" i="7" s="1"/>
  <c r="Z675" i="7"/>
  <c r="AC675" i="7" s="1"/>
  <c r="Z172" i="7"/>
  <c r="AC172" i="7" s="1"/>
  <c r="Z634" i="7"/>
  <c r="AC634" i="7" s="1"/>
  <c r="Z775" i="7"/>
  <c r="AC775" i="7" s="1"/>
  <c r="Z441" i="7"/>
  <c r="AC441" i="7" s="1"/>
  <c r="Z724" i="7"/>
  <c r="AC724" i="7" s="1"/>
  <c r="Z353" i="7"/>
  <c r="AC353" i="7" s="1"/>
  <c r="AA404" i="7"/>
  <c r="Z795" i="7"/>
  <c r="AC795" i="7" s="1"/>
  <c r="Z438" i="7"/>
  <c r="AC438" i="7" s="1"/>
  <c r="Z629" i="7"/>
  <c r="AC629" i="7" s="1"/>
  <c r="Z276" i="7"/>
  <c r="AC276" i="7" s="1"/>
  <c r="Z433" i="7"/>
  <c r="AC433" i="7" s="1"/>
  <c r="Z185" i="7"/>
  <c r="AC185" i="7" s="1"/>
  <c r="Z372" i="7"/>
  <c r="AC372" i="7" s="1"/>
  <c r="AA643" i="7"/>
  <c r="AD643" i="7" s="1"/>
  <c r="Z756" i="7"/>
  <c r="AC756" i="7" s="1"/>
  <c r="Z463" i="7"/>
  <c r="AC463" i="7" s="1"/>
  <c r="Z593" i="7"/>
  <c r="AC593" i="7" s="1"/>
  <c r="Z277" i="7"/>
  <c r="AC277" i="7" s="1"/>
  <c r="Z307" i="7"/>
  <c r="AC307" i="7" s="1"/>
  <c r="AA703" i="7"/>
  <c r="AD703" i="7" s="1"/>
  <c r="Z358" i="7"/>
  <c r="AC358" i="7" s="1"/>
  <c r="AA164" i="7"/>
  <c r="AD164" i="7" s="1"/>
  <c r="Z148" i="7"/>
  <c r="AC148" i="7" s="1"/>
  <c r="Z218" i="7"/>
  <c r="AC218" i="7" s="1"/>
  <c r="Z167" i="7"/>
  <c r="AC167" i="7" s="1"/>
  <c r="Z723" i="7"/>
  <c r="AC723" i="7" s="1"/>
  <c r="Z250" i="7"/>
  <c r="AC250" i="7" s="1"/>
  <c r="AA238" i="7"/>
  <c r="AA182" i="7"/>
  <c r="AA196" i="7"/>
  <c r="AA502" i="7"/>
  <c r="AA805" i="7"/>
  <c r="AA180" i="7"/>
  <c r="AA371" i="7"/>
  <c r="AA113" i="7"/>
  <c r="AA157" i="7"/>
  <c r="AA644" i="7"/>
  <c r="AA309" i="7"/>
  <c r="AA383" i="7"/>
  <c r="AA560" i="7"/>
  <c r="AA504" i="7"/>
  <c r="AA173" i="7"/>
  <c r="AA103" i="7"/>
  <c r="AA226" i="7"/>
  <c r="AA463" i="7"/>
  <c r="AA519" i="7"/>
  <c r="AA831" i="7"/>
  <c r="AA438" i="7"/>
  <c r="AA781" i="7"/>
  <c r="AA566" i="7"/>
  <c r="AA712" i="7"/>
  <c r="AA755" i="7"/>
  <c r="AA254" i="7"/>
  <c r="AA529" i="7"/>
  <c r="AA129" i="7"/>
  <c r="AA749" i="7"/>
  <c r="AA832" i="7"/>
  <c r="AA370" i="7"/>
  <c r="AA459" i="7"/>
  <c r="AA174" i="7"/>
  <c r="AA695" i="7"/>
  <c r="AA802" i="7"/>
  <c r="AA540" i="7"/>
  <c r="AA776" i="7"/>
  <c r="AA515" i="7"/>
  <c r="AA553" i="7"/>
  <c r="AA722" i="7"/>
  <c r="Z395" i="7"/>
  <c r="AC395" i="7" s="1"/>
  <c r="AA282" i="7"/>
  <c r="AD282" i="7" s="1"/>
  <c r="Z740" i="7"/>
  <c r="AC740" i="7" s="1"/>
  <c r="Z490" i="7"/>
  <c r="AC490" i="7" s="1"/>
  <c r="Z367" i="7"/>
  <c r="AC367" i="7" s="1"/>
  <c r="Z199" i="7"/>
  <c r="AC199" i="7" s="1"/>
  <c r="Z734" i="7"/>
  <c r="AC734" i="7" s="1"/>
  <c r="Z436" i="7"/>
  <c r="AC436" i="7" s="1"/>
  <c r="AA144" i="7"/>
  <c r="AD144" i="7" s="1"/>
  <c r="Z753" i="7"/>
  <c r="AC753" i="7" s="1"/>
  <c r="Z296" i="7"/>
  <c r="AC296" i="7" s="1"/>
  <c r="AA773" i="7"/>
  <c r="AD773" i="7" s="1"/>
  <c r="Z360" i="7"/>
  <c r="AC360" i="7" s="1"/>
  <c r="Z123" i="7"/>
  <c r="AC123" i="7" s="1"/>
  <c r="Z839" i="7"/>
  <c r="AC839" i="7" s="1"/>
  <c r="Z499" i="7"/>
  <c r="AC499" i="7" s="1"/>
  <c r="Z725" i="7"/>
  <c r="AC725" i="7" s="1"/>
  <c r="Z369" i="7"/>
  <c r="AC369" i="7" s="1"/>
  <c r="AA122" i="7"/>
  <c r="AD122" i="7" s="1"/>
  <c r="Z804" i="7"/>
  <c r="AC804" i="7" s="1"/>
  <c r="Z471" i="7"/>
  <c r="AC471" i="7" s="1"/>
  <c r="AA792" i="7"/>
  <c r="AD792" i="7" s="1"/>
  <c r="AA839" i="7"/>
  <c r="AD839" i="7" s="1"/>
  <c r="Z394" i="7"/>
  <c r="AC394" i="7" s="1"/>
  <c r="AA289" i="7"/>
  <c r="AD289" i="7" s="1"/>
  <c r="Z647" i="7"/>
  <c r="AC647" i="7" s="1"/>
  <c r="AA396" i="7"/>
  <c r="AD396" i="7" s="1"/>
  <c r="Z576" i="7"/>
  <c r="AC576" i="7" s="1"/>
  <c r="AA299" i="7"/>
  <c r="AD299" i="7" s="1"/>
  <c r="Z695" i="7"/>
  <c r="AC695" i="7" s="1"/>
  <c r="Z405" i="7"/>
  <c r="AC405" i="7" s="1"/>
  <c r="AA811" i="7"/>
  <c r="Z323" i="7"/>
  <c r="AC323" i="7" s="1"/>
  <c r="Z448" i="7"/>
  <c r="AC448" i="7" s="1"/>
  <c r="Z195" i="7"/>
  <c r="AC195" i="7" s="1"/>
  <c r="Z738" i="7"/>
  <c r="AC738" i="7" s="1"/>
  <c r="AA421" i="7"/>
  <c r="AA741" i="7"/>
  <c r="AD741" i="7" s="1"/>
  <c r="Z782" i="7"/>
  <c r="AC782" i="7" s="1"/>
  <c r="Z503" i="7"/>
  <c r="AC503" i="7" s="1"/>
  <c r="AA325" i="7"/>
  <c r="AD325" i="7" s="1"/>
  <c r="AA528" i="7"/>
  <c r="AD528" i="7" s="1"/>
  <c r="Z699" i="7"/>
  <c r="AC699" i="7" s="1"/>
  <c r="Z168" i="7"/>
  <c r="AC168" i="7" s="1"/>
  <c r="Z113" i="7"/>
  <c r="AC113" i="7" s="1"/>
  <c r="Z573" i="7"/>
  <c r="AC573" i="7" s="1"/>
  <c r="Z824" i="7"/>
  <c r="AC824" i="7" s="1"/>
  <c r="Z581" i="7"/>
  <c r="AC581" i="7" s="1"/>
  <c r="AA361" i="7"/>
  <c r="AD361" i="7" s="1"/>
  <c r="AA382" i="7"/>
  <c r="AA567" i="7"/>
  <c r="AA535" i="7"/>
  <c r="AA593" i="7"/>
  <c r="AA487" i="7"/>
  <c r="AA524" i="7"/>
  <c r="AA833" i="7"/>
  <c r="AA106" i="7"/>
  <c r="AA395" i="7"/>
  <c r="AA235" i="7"/>
  <c r="AA401" i="7"/>
  <c r="AA348" i="7"/>
  <c r="AA359" i="7"/>
  <c r="AA543" i="7"/>
  <c r="AA493" i="7"/>
  <c r="AA246" i="7"/>
  <c r="AA713" i="7"/>
  <c r="AA435" i="7"/>
  <c r="AA288" i="7"/>
  <c r="AA609" i="7"/>
  <c r="AA155" i="7"/>
  <c r="AA789" i="7"/>
  <c r="AA577" i="7"/>
  <c r="AA402" i="7"/>
  <c r="AA425" i="7"/>
  <c r="AA822" i="7"/>
  <c r="AA840" i="7"/>
  <c r="AA277" i="7"/>
  <c r="AA724" i="7"/>
  <c r="AA377" i="7"/>
  <c r="AA757" i="7"/>
  <c r="AA290" i="7"/>
  <c r="AA284" i="7"/>
  <c r="AA590" i="7"/>
  <c r="AA499" i="7"/>
  <c r="AA626" i="7"/>
  <c r="AA433" i="7"/>
  <c r="AA599" i="7"/>
  <c r="Z470" i="7"/>
  <c r="AC470" i="7" s="1"/>
  <c r="Z182" i="7"/>
  <c r="AC182" i="7" s="1"/>
  <c r="Z833" i="7"/>
  <c r="AC833" i="7" s="1"/>
  <c r="Z459" i="7"/>
  <c r="AC459" i="7" s="1"/>
  <c r="Z449" i="7"/>
  <c r="AC449" i="7" s="1"/>
  <c r="AA148" i="7"/>
  <c r="AD148" i="7" s="1"/>
  <c r="Z790" i="7"/>
  <c r="AC790" i="7" s="1"/>
  <c r="Z324" i="7"/>
  <c r="AC324" i="7" s="1"/>
  <c r="AA512" i="7"/>
  <c r="Z681" i="7"/>
  <c r="AC681" i="7" s="1"/>
  <c r="Z300" i="7"/>
  <c r="AC300" i="7" s="1"/>
  <c r="Z624" i="7"/>
  <c r="AC624" i="7" s="1"/>
  <c r="Z683" i="7"/>
  <c r="AC683" i="7" s="1"/>
  <c r="Z533" i="7"/>
  <c r="AC533" i="7" s="1"/>
  <c r="AA327" i="7"/>
  <c r="AD327" i="7" s="1"/>
  <c r="Z542" i="7"/>
  <c r="AC542" i="7" s="1"/>
  <c r="Z809" i="7"/>
  <c r="AC809" i="7" s="1"/>
  <c r="Z483" i="7"/>
  <c r="AC483" i="7" s="1"/>
  <c r="AA790" i="7"/>
  <c r="AD790" i="7" s="1"/>
  <c r="Z714" i="7"/>
  <c r="AC714" i="7" s="1"/>
  <c r="Z292" i="7"/>
  <c r="AC292" i="7" s="1"/>
  <c r="Z698" i="7"/>
  <c r="AC698" i="7" s="1"/>
  <c r="Z326" i="7"/>
  <c r="AC326" i="7" s="1"/>
  <c r="AA456" i="7"/>
  <c r="AD456" i="7" s="1"/>
  <c r="Z633" i="7"/>
  <c r="AC633" i="7" s="1"/>
  <c r="Z147" i="7"/>
  <c r="AC147" i="7" s="1"/>
  <c r="Z837" i="7"/>
  <c r="AC837" i="7" s="1"/>
  <c r="Z658" i="7"/>
  <c r="AC658" i="7" s="1"/>
  <c r="Z197" i="7"/>
  <c r="AC197" i="7" s="1"/>
  <c r="Z680" i="7"/>
  <c r="AC680" i="7" s="1"/>
  <c r="Z472" i="7"/>
  <c r="AC472" i="7" s="1"/>
  <c r="Z742" i="7"/>
  <c r="AC742" i="7" s="1"/>
  <c r="Z393" i="7"/>
  <c r="AC393" i="7" s="1"/>
  <c r="Z604" i="7"/>
  <c r="AC604" i="7" s="1"/>
  <c r="Z220" i="7"/>
  <c r="AC220" i="7" s="1"/>
  <c r="Z823" i="7"/>
  <c r="AC823" i="7" s="1"/>
  <c r="Z293" i="7"/>
  <c r="AC293" i="7" s="1"/>
  <c r="Z497" i="7"/>
  <c r="AC497" i="7" s="1"/>
  <c r="AA630" i="7"/>
  <c r="AD630" i="7" s="1"/>
  <c r="AA710" i="7"/>
  <c r="AD710" i="7" s="1"/>
  <c r="Z527" i="7"/>
  <c r="AC527" i="7" s="1"/>
  <c r="Z164" i="7"/>
  <c r="AC164" i="7" s="1"/>
  <c r="Z461" i="7"/>
  <c r="AC461" i="7" s="1"/>
  <c r="AA589" i="7"/>
  <c r="AD589" i="7" s="1"/>
  <c r="Z374" i="7"/>
  <c r="AC374" i="7" s="1"/>
  <c r="AA274" i="7"/>
  <c r="AA516" i="7"/>
  <c r="AA273" i="7"/>
  <c r="AA297" i="7"/>
  <c r="AA218" i="7"/>
  <c r="AA423" i="7"/>
  <c r="AA559" i="7"/>
  <c r="AA486" i="7"/>
  <c r="AA283" i="7"/>
  <c r="AA224" i="7"/>
  <c r="AA468" i="7"/>
  <c r="AA458" i="7"/>
  <c r="AA537" i="7"/>
  <c r="AA483" i="7"/>
  <c r="AA670" i="7"/>
  <c r="AA603" i="7"/>
  <c r="AA263" i="7"/>
  <c r="AA116" i="7"/>
  <c r="AA321" i="7"/>
  <c r="AA611" i="7"/>
  <c r="AA552" i="7"/>
  <c r="AA760" i="7"/>
  <c r="AA358" i="7"/>
  <c r="AA820" i="7"/>
  <c r="AA462" i="7"/>
  <c r="AA328" i="7"/>
  <c r="AA841" i="7"/>
  <c r="AA807" i="7"/>
  <c r="AA357" i="7"/>
  <c r="AA451" i="7"/>
  <c r="AA686" i="7"/>
  <c r="AA647" i="7"/>
  <c r="AA681" i="7"/>
  <c r="AA303" i="7"/>
  <c r="AA436" i="7"/>
  <c r="AA771" i="7"/>
  <c r="AA262" i="7"/>
  <c r="AA795" i="7"/>
  <c r="Z450" i="7"/>
  <c r="AC450" i="7" s="1"/>
  <c r="Z137" i="7"/>
  <c r="AC137" i="7" s="1"/>
  <c r="Z735" i="7"/>
  <c r="AC735" i="7" s="1"/>
  <c r="Z435" i="7"/>
  <c r="AC435" i="7" s="1"/>
  <c r="Z611" i="7"/>
  <c r="AC611" i="7" s="1"/>
  <c r="Z110" i="7"/>
  <c r="AC110" i="7" s="1"/>
  <c r="Z729" i="7"/>
  <c r="AC729" i="7" s="1"/>
  <c r="Z473" i="7"/>
  <c r="AC473" i="7" s="1"/>
  <c r="AA763" i="7"/>
  <c r="AD763" i="7" s="1"/>
  <c r="Z744" i="7"/>
  <c r="AC744" i="7" s="1"/>
  <c r="Z267" i="7"/>
  <c r="AC267" i="7" s="1"/>
  <c r="Z454" i="7"/>
  <c r="AC454" i="7" s="1"/>
  <c r="Z219" i="7"/>
  <c r="AC219" i="7" s="1"/>
  <c r="Z583" i="7"/>
  <c r="AC583" i="7" s="1"/>
  <c r="Z563" i="7"/>
  <c r="AC563" i="7" s="1"/>
  <c r="Z210" i="7"/>
  <c r="AC210" i="7" s="1"/>
  <c r="Z407" i="7"/>
  <c r="AC407" i="7" s="1"/>
  <c r="Z715" i="7"/>
  <c r="AC715" i="7" s="1"/>
  <c r="Z306" i="7"/>
  <c r="AC306" i="7" s="1"/>
  <c r="Z701" i="7"/>
  <c r="AC701" i="7" s="1"/>
  <c r="Z437" i="7"/>
  <c r="AC437" i="7" s="1"/>
  <c r="Z769" i="7"/>
  <c r="AC769" i="7" s="1"/>
  <c r="AA315" i="7"/>
  <c r="AD315" i="7" s="1"/>
  <c r="Z539" i="7"/>
  <c r="AC539" i="7" s="1"/>
  <c r="Z279" i="7"/>
  <c r="AC279" i="7" s="1"/>
  <c r="Z816" i="7"/>
  <c r="AC816" i="7" s="1"/>
  <c r="Z478" i="7"/>
  <c r="AC478" i="7" s="1"/>
  <c r="Z685" i="7"/>
  <c r="AC685" i="7" s="1"/>
  <c r="Z236" i="7"/>
  <c r="AC236" i="7" s="1"/>
  <c r="Z333" i="7"/>
  <c r="AC333" i="7" s="1"/>
  <c r="Z495" i="7"/>
  <c r="AC495" i="7" s="1"/>
  <c r="Z257" i="7"/>
  <c r="AC257" i="7" s="1"/>
  <c r="Z692" i="7"/>
  <c r="AC692" i="7" s="1"/>
  <c r="Z334" i="7"/>
  <c r="AC334" i="7" s="1"/>
  <c r="Z798" i="7"/>
  <c r="AC798" i="7" s="1"/>
  <c r="Z303" i="7"/>
  <c r="AC303" i="7" s="1"/>
  <c r="AA549" i="7"/>
  <c r="AD549" i="7" s="1"/>
  <c r="Z291" i="7"/>
  <c r="AC291" i="7" s="1"/>
  <c r="Z748" i="7"/>
  <c r="AC748" i="7" s="1"/>
  <c r="Z305" i="7"/>
  <c r="AC305" i="7" s="1"/>
  <c r="Z420" i="7"/>
  <c r="AC420" i="7" s="1"/>
  <c r="Z421" i="7"/>
  <c r="AC421" i="7" s="1"/>
  <c r="AA467" i="7"/>
  <c r="AA110" i="7"/>
  <c r="AA403" i="7"/>
  <c r="AA258" i="7"/>
  <c r="AA592" i="7"/>
  <c r="AA508" i="7"/>
  <c r="AA326" i="7"/>
  <c r="AA387" i="7"/>
  <c r="AA482" i="7"/>
  <c r="AA134" i="7"/>
  <c r="AA237" i="7"/>
  <c r="AA386" i="7"/>
  <c r="AA256" i="7"/>
  <c r="AA132" i="7"/>
  <c r="AA584" i="7"/>
  <c r="AA788" i="7"/>
  <c r="AA612" i="7"/>
  <c r="AA619" i="7"/>
  <c r="AA748" i="7"/>
  <c r="AA582" i="7"/>
  <c r="AA751" i="7"/>
  <c r="AA587" i="7"/>
  <c r="AA181" i="7"/>
  <c r="AA335" i="7"/>
  <c r="AA803" i="7"/>
  <c r="AA128" i="7"/>
  <c r="AA222" i="7"/>
  <c r="AA682" i="7"/>
  <c r="AA151" i="7"/>
  <c r="AA334" i="7"/>
  <c r="AA398" i="7"/>
  <c r="AA474" i="7"/>
  <c r="AA794" i="7"/>
  <c r="AA417" i="7"/>
  <c r="AA184" i="7"/>
  <c r="AA538" i="7"/>
  <c r="AA594" i="7"/>
  <c r="AA427" i="7"/>
  <c r="AA533" i="7"/>
  <c r="AA614" i="7"/>
  <c r="AA740" i="7"/>
  <c r="AA733" i="7"/>
  <c r="AA304" i="7"/>
  <c r="AA475" i="7"/>
  <c r="AA491" i="7"/>
  <c r="Z124" i="7"/>
  <c r="AC124" i="7" s="1"/>
  <c r="Z644" i="7"/>
  <c r="AC644" i="7" s="1"/>
  <c r="Z102" i="7"/>
  <c r="AC102" i="7" s="1"/>
  <c r="Z774" i="7"/>
  <c r="AC774" i="7" s="1"/>
  <c r="Z244" i="7"/>
  <c r="AC244" i="7" s="1"/>
  <c r="Z502" i="7"/>
  <c r="AC502" i="7" s="1"/>
  <c r="AA691" i="7"/>
  <c r="AD691" i="7" s="1"/>
  <c r="Z242" i="7"/>
  <c r="AC242" i="7" s="1"/>
  <c r="Z591" i="7"/>
  <c r="AC591" i="7" s="1"/>
  <c r="Z288" i="7"/>
  <c r="AC288" i="7" s="1"/>
  <c r="Z609" i="7"/>
  <c r="AC609" i="7" s="1"/>
  <c r="AA102" i="7"/>
  <c r="AD102" i="7" s="1"/>
  <c r="Z667" i="7"/>
  <c r="AC667" i="7" s="1"/>
  <c r="Z444" i="7"/>
  <c r="AC444" i="7" s="1"/>
  <c r="Z802" i="7"/>
  <c r="AC802" i="7" s="1"/>
  <c r="Z526" i="7"/>
  <c r="AC526" i="7" s="1"/>
  <c r="Z702" i="7"/>
  <c r="AC702" i="7" s="1"/>
  <c r="Z452" i="7"/>
  <c r="AC452" i="7" s="1"/>
  <c r="Z378" i="7"/>
  <c r="AC378" i="7" s="1"/>
  <c r="Z160" i="7"/>
  <c r="AC160" i="7" s="1"/>
  <c r="Z638" i="7"/>
  <c r="AC638" i="7" s="1"/>
  <c r="Z284" i="7"/>
  <c r="AC284" i="7" s="1"/>
  <c r="Z162" i="7"/>
  <c r="AC162" i="7" s="1"/>
  <c r="Z672" i="7"/>
  <c r="AC672" i="7" s="1"/>
  <c r="Z166" i="7"/>
  <c r="AC166" i="7" s="1"/>
  <c r="Z838" i="7"/>
  <c r="AC838" i="7" s="1"/>
  <c r="Z541" i="7"/>
  <c r="AC541" i="7" s="1"/>
  <c r="AA191" i="7"/>
  <c r="AD191" i="7" s="1"/>
  <c r="Z623" i="7"/>
  <c r="AC623" i="7" s="1"/>
  <c r="Z320" i="7"/>
  <c r="AC320" i="7" s="1"/>
  <c r="Z694" i="7"/>
  <c r="AC694" i="7" s="1"/>
  <c r="Z345" i="7"/>
  <c r="AC345" i="7" s="1"/>
  <c r="Z787" i="7"/>
  <c r="AC787" i="7" s="1"/>
  <c r="Z518" i="7"/>
  <c r="AC518" i="7" s="1"/>
  <c r="Z150" i="7"/>
  <c r="AC150" i="7" s="1"/>
  <c r="Z761" i="7"/>
  <c r="AC761" i="7" s="1"/>
  <c r="Z352" i="7"/>
  <c r="AC352" i="7" s="1"/>
  <c r="AA469" i="7"/>
  <c r="AD469" i="7" s="1"/>
  <c r="Z830" i="7"/>
  <c r="AC830" i="7" s="1"/>
  <c r="Z290" i="7"/>
  <c r="AC290" i="7" s="1"/>
  <c r="Z316" i="7"/>
  <c r="AC316" i="7" s="1"/>
  <c r="AA658" i="7"/>
  <c r="AD658" i="7" s="1"/>
  <c r="Z704" i="7"/>
  <c r="AC704" i="7" s="1"/>
  <c r="Z229" i="7"/>
  <c r="AC229" i="7" s="1"/>
  <c r="Z217" i="7"/>
  <c r="AC217" i="7" s="1"/>
  <c r="Z216" i="7"/>
  <c r="AC216" i="7" s="1"/>
  <c r="AA708" i="7"/>
  <c r="AA255" i="7"/>
  <c r="AA127" i="7"/>
  <c r="AA454" i="7"/>
  <c r="AA308" i="7"/>
  <c r="AA203" i="7"/>
  <c r="AA211" i="7"/>
  <c r="AA287" i="7"/>
  <c r="AA632" i="7"/>
  <c r="AA498" i="7"/>
  <c r="AA544" i="7"/>
  <c r="AA514" i="7"/>
  <c r="AA251" i="7"/>
  <c r="AA229" i="7"/>
  <c r="AA513" i="7"/>
  <c r="AA488" i="7"/>
  <c r="AA734" i="7"/>
  <c r="AA329" i="7"/>
  <c r="AA838" i="7"/>
  <c r="AA381" i="7"/>
  <c r="AA302" i="7"/>
  <c r="AA565" i="7"/>
  <c r="AA257" i="7"/>
  <c r="AA175" i="7"/>
  <c r="AA761" i="7"/>
  <c r="AA437" i="7"/>
  <c r="AA243" i="7"/>
  <c r="AA613" i="7"/>
  <c r="AA767" i="7"/>
  <c r="AA379" i="7"/>
  <c r="AA449" i="7"/>
  <c r="AA680" i="7"/>
  <c r="AA340" i="7"/>
  <c r="AA595" i="7"/>
  <c r="AA248" i="7"/>
  <c r="AA799" i="7"/>
  <c r="Z357" i="7"/>
  <c r="AC357" i="7" s="1"/>
  <c r="Z819" i="7"/>
  <c r="AC819" i="7" s="1"/>
  <c r="Z484" i="7"/>
  <c r="AC484" i="7" s="1"/>
  <c r="Z797" i="7"/>
  <c r="AC797" i="7" s="1"/>
  <c r="Z355" i="7"/>
  <c r="AC355" i="7" s="1"/>
  <c r="Z758" i="7"/>
  <c r="AC758" i="7" s="1"/>
  <c r="Z362" i="7"/>
  <c r="AC362" i="7" s="1"/>
  <c r="Z684" i="7"/>
  <c r="AC684" i="7" s="1"/>
  <c r="Z375" i="7"/>
  <c r="AC375" i="7" s="1"/>
  <c r="Z426" i="7"/>
  <c r="AC426" i="7" s="1"/>
  <c r="Z711" i="7"/>
  <c r="AC711" i="7" s="1"/>
  <c r="Z808" i="7"/>
  <c r="AC808" i="7" s="1"/>
  <c r="Z554" i="7"/>
  <c r="AC554" i="7" s="1"/>
  <c r="AA119" i="7"/>
  <c r="AD119" i="7" s="1"/>
  <c r="Z800" i="7"/>
  <c r="AC800" i="7" s="1"/>
  <c r="Z409" i="7"/>
  <c r="AC409" i="7" s="1"/>
  <c r="Z754" i="7"/>
  <c r="AC754" i="7" s="1"/>
  <c r="Z383" i="7"/>
  <c r="AC383" i="7" s="1"/>
  <c r="AA489" i="7"/>
  <c r="Z757" i="7"/>
  <c r="AC757" i="7" s="1"/>
  <c r="Z262" i="7"/>
  <c r="AC262" i="7" s="1"/>
  <c r="AA101" i="7"/>
  <c r="AD101" i="7" s="1"/>
  <c r="Z669" i="7"/>
  <c r="AC669" i="7" s="1"/>
  <c r="Z329" i="7"/>
  <c r="AC329" i="7" s="1"/>
  <c r="Z546" i="7"/>
  <c r="AC546" i="7" s="1"/>
  <c r="Z142" i="7"/>
  <c r="AC142" i="7" s="1"/>
  <c r="Z475" i="7"/>
  <c r="AC475" i="7" s="1"/>
  <c r="AA478" i="7"/>
  <c r="AD478" i="7" s="1"/>
  <c r="Z752" i="7"/>
  <c r="AC752" i="7" s="1"/>
  <c r="Z145" i="7"/>
  <c r="AC145" i="7" s="1"/>
  <c r="AA247" i="7"/>
  <c r="AD247" i="7" s="1"/>
  <c r="Z606" i="7"/>
  <c r="AC606" i="7" s="1"/>
  <c r="Z447" i="7"/>
  <c r="AC447" i="7" s="1"/>
  <c r="Z391" i="7"/>
  <c r="AC391" i="7" s="1"/>
  <c r="Z762" i="7"/>
  <c r="AC762" i="7" s="1"/>
  <c r="Z287" i="7"/>
  <c r="AC287" i="7" s="1"/>
  <c r="AA709" i="7"/>
  <c r="Z737" i="7"/>
  <c r="AC737" i="7" s="1"/>
  <c r="Z525" i="7"/>
  <c r="AC525" i="7" s="1"/>
  <c r="Z175" i="7"/>
  <c r="AC175" i="7" s="1"/>
  <c r="Z520" i="7"/>
  <c r="AC520" i="7" s="1"/>
  <c r="Z138" i="7"/>
  <c r="AC138" i="7" s="1"/>
  <c r="Z361" i="7"/>
  <c r="AC361" i="7" s="1"/>
  <c r="Z575" i="7"/>
  <c r="AC575" i="7" s="1"/>
  <c r="Z204" i="7"/>
  <c r="AC204" i="7" s="1"/>
  <c r="Z205" i="7"/>
  <c r="AC205" i="7" s="1"/>
  <c r="AA120" i="7"/>
  <c r="AD120" i="7" s="1"/>
  <c r="AA418" i="7"/>
  <c r="AA419" i="7"/>
  <c r="AA286" i="7"/>
  <c r="AA185" i="7"/>
  <c r="AA444" i="7"/>
  <c r="AA298" i="7"/>
  <c r="AA152" i="7"/>
  <c r="AA207" i="7"/>
  <c r="AA704" i="7"/>
  <c r="AA141" i="7"/>
  <c r="AA343" i="7"/>
  <c r="AA705" i="7"/>
  <c r="AA629" i="7"/>
  <c r="AA142" i="7"/>
  <c r="AA434" i="7"/>
  <c r="AA804" i="7"/>
  <c r="AA346" i="7"/>
  <c r="AA828" i="7"/>
  <c r="AA275" i="7"/>
  <c r="AA702" i="7"/>
  <c r="AA673" i="7"/>
  <c r="AA405" i="7"/>
  <c r="AA778" i="7"/>
  <c r="AA485" i="7"/>
  <c r="AA659" i="7"/>
  <c r="AA355" i="7"/>
  <c r="AA271" i="7"/>
  <c r="AA481" i="7"/>
  <c r="AA123" i="7"/>
  <c r="AA978" i="7"/>
  <c r="C578" i="7"/>
  <c r="E577" i="7"/>
  <c r="E261" i="7"/>
  <c r="C262" i="7"/>
  <c r="AA836" i="7"/>
  <c r="Y1018" i="7"/>
  <c r="W1018" i="7"/>
  <c r="U1018" i="7"/>
  <c r="C641" i="7"/>
  <c r="E640" i="7"/>
  <c r="AA968" i="7"/>
  <c r="C700" i="7"/>
  <c r="E699" i="7"/>
  <c r="E666" i="7"/>
  <c r="C667" i="7"/>
  <c r="C627" i="7"/>
  <c r="E626" i="7"/>
  <c r="E404" i="7"/>
  <c r="C405" i="7"/>
  <c r="E564" i="7"/>
  <c r="C565" i="7"/>
  <c r="AA835" i="7"/>
  <c r="AA188" i="7"/>
  <c r="E516" i="7"/>
  <c r="C517" i="7"/>
  <c r="C450" i="7"/>
  <c r="E449" i="7"/>
  <c r="E222" i="7"/>
  <c r="C223" i="7"/>
  <c r="E141" i="7"/>
  <c r="C142" i="7"/>
  <c r="Y964" i="7"/>
  <c r="W964" i="7"/>
  <c r="U964" i="7"/>
  <c r="Z94" i="7" s="1"/>
  <c r="AC94" i="7" s="1"/>
  <c r="P960" i="7"/>
  <c r="P1018" i="7" s="1"/>
  <c r="AD16" i="11"/>
  <c r="E45" i="7"/>
  <c r="C46" i="7"/>
  <c r="E64" i="7"/>
  <c r="C65" i="7"/>
  <c r="E65" i="7" s="1"/>
  <c r="AD14" i="11"/>
  <c r="C807" i="7"/>
  <c r="E806" i="7"/>
  <c r="AB997" i="7"/>
  <c r="AD997" i="7"/>
  <c r="AA966" i="7"/>
  <c r="AD979" i="7"/>
  <c r="AB979" i="7"/>
  <c r="D465" i="7"/>
  <c r="E464" i="7"/>
  <c r="E377" i="7"/>
  <c r="C378" i="7"/>
  <c r="AD962" i="7"/>
  <c r="AB962" i="7"/>
  <c r="E536" i="7"/>
  <c r="C537" i="7"/>
  <c r="C599" i="7"/>
  <c r="E598" i="7"/>
  <c r="Z90" i="7" l="1"/>
  <c r="AC90" i="7" s="1"/>
  <c r="AA81" i="7"/>
  <c r="AD81" i="7" s="1"/>
  <c r="Z91" i="7"/>
  <c r="AC91" i="7" s="1"/>
  <c r="AA96" i="7"/>
  <c r="AB96" i="7" s="1"/>
  <c r="AA94" i="7"/>
  <c r="AD94" i="7" s="1"/>
  <c r="AA89" i="7"/>
  <c r="AB89" i="7" s="1"/>
  <c r="AA78" i="7"/>
  <c r="AD78" i="7" s="1"/>
  <c r="Z80" i="7"/>
  <c r="AC80" i="7" s="1"/>
  <c r="Z86" i="7"/>
  <c r="AC86" i="7" s="1"/>
  <c r="AA77" i="7"/>
  <c r="AD77" i="7" s="1"/>
  <c r="Z88" i="7"/>
  <c r="AC88" i="7" s="1"/>
  <c r="AA90" i="7"/>
  <c r="AD90" i="7" s="1"/>
  <c r="AA86" i="7"/>
  <c r="AB86" i="7" s="1"/>
  <c r="AA91" i="7"/>
  <c r="AB91" i="7" s="1"/>
  <c r="AD858" i="7"/>
  <c r="AB858" i="7"/>
  <c r="AA83" i="7"/>
  <c r="AB83" i="7" s="1"/>
  <c r="Z83" i="7"/>
  <c r="AC83" i="7" s="1"/>
  <c r="AD870" i="7"/>
  <c r="AB870" i="7"/>
  <c r="AB865" i="7"/>
  <c r="AD865" i="7"/>
  <c r="AA76" i="7"/>
  <c r="AD76" i="7" s="1"/>
  <c r="AB852" i="7"/>
  <c r="AD852" i="7"/>
  <c r="AD850" i="7"/>
  <c r="AB850" i="7"/>
  <c r="AA80" i="7"/>
  <c r="AD80" i="7" s="1"/>
  <c r="Z78" i="7"/>
  <c r="AC78" i="7" s="1"/>
  <c r="AA93" i="7"/>
  <c r="AD93" i="7" s="1"/>
  <c r="AA84" i="7"/>
  <c r="AD84" i="7" s="1"/>
  <c r="Z82" i="7"/>
  <c r="AC82" i="7" s="1"/>
  <c r="Z84" i="7"/>
  <c r="AC84" i="7" s="1"/>
  <c r="Z95" i="7"/>
  <c r="AC95" i="7" s="1"/>
  <c r="AB861" i="7"/>
  <c r="AD861" i="7"/>
  <c r="Z77" i="7"/>
  <c r="AC77" i="7" s="1"/>
  <c r="AA98" i="7"/>
  <c r="AD98" i="7" s="1"/>
  <c r="AA85" i="7"/>
  <c r="AD85" i="7" s="1"/>
  <c r="Z85" i="7"/>
  <c r="AC85" i="7" s="1"/>
  <c r="AA79" i="7"/>
  <c r="AB79" i="7" s="1"/>
  <c r="AA82" i="7"/>
  <c r="AD82" i="7" s="1"/>
  <c r="Z93" i="7"/>
  <c r="AC93" i="7" s="1"/>
  <c r="AD863" i="7"/>
  <c r="AB863" i="7"/>
  <c r="AD875" i="7"/>
  <c r="AB875" i="7"/>
  <c r="AB859" i="7"/>
  <c r="AD859" i="7"/>
  <c r="AD873" i="7"/>
  <c r="AB873" i="7"/>
  <c r="AA95" i="7"/>
  <c r="AB95" i="7" s="1"/>
  <c r="Z89" i="7"/>
  <c r="AC89" i="7" s="1"/>
  <c r="Z81" i="7"/>
  <c r="AC81" i="7" s="1"/>
  <c r="Z79" i="7"/>
  <c r="AC79" i="7" s="1"/>
  <c r="AD851" i="7"/>
  <c r="AB851" i="7"/>
  <c r="AD856" i="7"/>
  <c r="AB856" i="7"/>
  <c r="AA92" i="7"/>
  <c r="AD92" i="7" s="1"/>
  <c r="Z87" i="7"/>
  <c r="AC87" i="7" s="1"/>
  <c r="Z96" i="7"/>
  <c r="AC96" i="7" s="1"/>
  <c r="Z98" i="7"/>
  <c r="AC98" i="7" s="1"/>
  <c r="AA97" i="7"/>
  <c r="AD97" i="7" s="1"/>
  <c r="AD860" i="7"/>
  <c r="AB860" i="7"/>
  <c r="Z76" i="7"/>
  <c r="AC76" i="7" s="1"/>
  <c r="AA88" i="7"/>
  <c r="AD88" i="7" s="1"/>
  <c r="Z97" i="7"/>
  <c r="AC97" i="7" s="1"/>
  <c r="Z92" i="7"/>
  <c r="AC92" i="7" s="1"/>
  <c r="P1020" i="7"/>
  <c r="AA71" i="7"/>
  <c r="AD71" i="7" s="1"/>
  <c r="Z73" i="7"/>
  <c r="AC73" i="7" s="1"/>
  <c r="Z72" i="7"/>
  <c r="AC72" i="7" s="1"/>
  <c r="Z71" i="7"/>
  <c r="AC71" i="7" s="1"/>
  <c r="Z74" i="7"/>
  <c r="AC74" i="7" s="1"/>
  <c r="Z75" i="7"/>
  <c r="AC75" i="7" s="1"/>
  <c r="AA73" i="7"/>
  <c r="AD73" i="7" s="1"/>
  <c r="AA75" i="7"/>
  <c r="AB75" i="7" s="1"/>
  <c r="AA72" i="7"/>
  <c r="AB72" i="7" s="1"/>
  <c r="AA74" i="7"/>
  <c r="AD74" i="7" s="1"/>
  <c r="AB848" i="7"/>
  <c r="AD848" i="7"/>
  <c r="AB970" i="7"/>
  <c r="AA67" i="7"/>
  <c r="AB67" i="7" s="1"/>
  <c r="AA66" i="7"/>
  <c r="AD66" i="7" s="1"/>
  <c r="Z68" i="7"/>
  <c r="AC68" i="7" s="1"/>
  <c r="AA70" i="7"/>
  <c r="AB70" i="7" s="1"/>
  <c r="AA69" i="7"/>
  <c r="AD69" i="7" s="1"/>
  <c r="Z69" i="7"/>
  <c r="AC69" i="7" s="1"/>
  <c r="AA68" i="7"/>
  <c r="AD68" i="7" s="1"/>
  <c r="Z70" i="7"/>
  <c r="AC70" i="7" s="1"/>
  <c r="Z67" i="7"/>
  <c r="AC67" i="7" s="1"/>
  <c r="AA65" i="7"/>
  <c r="AB65" i="7" s="1"/>
  <c r="Z65" i="7"/>
  <c r="AC65" i="7" s="1"/>
  <c r="Z32" i="7"/>
  <c r="AC32" i="7" s="1"/>
  <c r="Z66" i="7"/>
  <c r="AC66" i="7" s="1"/>
  <c r="AB190" i="7"/>
  <c r="AA40" i="7"/>
  <c r="AB40" i="7" s="1"/>
  <c r="AA35" i="7"/>
  <c r="AB35" i="7" s="1"/>
  <c r="AA11" i="7"/>
  <c r="AD11" i="7" s="1"/>
  <c r="AD908" i="7"/>
  <c r="C612" i="7"/>
  <c r="E611" i="7"/>
  <c r="AD846" i="7"/>
  <c r="AB846" i="7"/>
  <c r="AB847" i="7"/>
  <c r="AD847" i="7"/>
  <c r="Z27" i="7"/>
  <c r="AC27" i="7" s="1"/>
  <c r="AA964" i="7"/>
  <c r="AB964" i="7" s="1"/>
  <c r="AA53" i="7"/>
  <c r="AB53" i="7" s="1"/>
  <c r="AA49" i="7"/>
  <c r="AD49" i="7" s="1"/>
  <c r="Z43" i="7"/>
  <c r="AC43" i="7" s="1"/>
  <c r="AA63" i="7"/>
  <c r="AD63" i="7" s="1"/>
  <c r="Z9" i="7"/>
  <c r="AC9" i="7" s="1"/>
  <c r="AA37" i="7"/>
  <c r="AB37" i="7" s="1"/>
  <c r="AA26" i="7"/>
  <c r="AD26" i="7" s="1"/>
  <c r="AA34" i="7"/>
  <c r="AD34" i="7" s="1"/>
  <c r="AA24" i="7"/>
  <c r="AD24" i="7" s="1"/>
  <c r="AA19" i="7"/>
  <c r="AD19" i="7" s="1"/>
  <c r="AA38" i="7"/>
  <c r="AB38" i="7" s="1"/>
  <c r="AB474" i="7"/>
  <c r="AD474" i="7"/>
  <c r="AB218" i="7"/>
  <c r="AD218" i="7"/>
  <c r="AD761" i="7"/>
  <c r="AB761" i="7"/>
  <c r="Z50" i="7"/>
  <c r="AC50" i="7" s="1"/>
  <c r="AD838" i="7"/>
  <c r="AB838" i="7"/>
  <c r="AB740" i="7"/>
  <c r="AD740" i="7"/>
  <c r="AB181" i="7"/>
  <c r="AD181" i="7"/>
  <c r="AD258" i="7"/>
  <c r="AB258" i="7"/>
  <c r="AD303" i="7"/>
  <c r="AB303" i="7"/>
  <c r="AD670" i="7"/>
  <c r="AB670" i="7"/>
  <c r="AD577" i="7"/>
  <c r="AB577" i="7"/>
  <c r="AD524" i="7"/>
  <c r="AB524" i="7"/>
  <c r="AD515" i="7"/>
  <c r="AB515" i="7"/>
  <c r="AD519" i="7"/>
  <c r="AB519" i="7"/>
  <c r="AD182" i="7"/>
  <c r="AB182" i="7"/>
  <c r="AD311" i="7"/>
  <c r="AB311" i="7"/>
  <c r="AD389" i="7"/>
  <c r="AB389" i="7"/>
  <c r="AD821" i="7"/>
  <c r="AB821" i="7"/>
  <c r="AB668" i="7"/>
  <c r="AD668" i="7"/>
  <c r="AD241" i="7"/>
  <c r="AB241" i="7"/>
  <c r="AB813" i="7"/>
  <c r="AD813" i="7"/>
  <c r="Z34" i="7"/>
  <c r="AC34" i="7" s="1"/>
  <c r="AD698" i="7"/>
  <c r="AB698" i="7"/>
  <c r="AD636" i="7"/>
  <c r="AB636" i="7"/>
  <c r="AD472" i="7"/>
  <c r="AB472" i="7"/>
  <c r="AD234" i="7"/>
  <c r="AB234" i="7"/>
  <c r="AA45" i="7"/>
  <c r="AD399" i="7"/>
  <c r="AB399" i="7"/>
  <c r="Z40" i="7"/>
  <c r="AC40" i="7" s="1"/>
  <c r="AB574" i="7"/>
  <c r="AD574" i="7"/>
  <c r="AB551" i="7"/>
  <c r="AD551" i="7"/>
  <c r="AD775" i="7"/>
  <c r="AB775" i="7"/>
  <c r="AD206" i="7"/>
  <c r="AB206" i="7"/>
  <c r="AD440" i="7"/>
  <c r="AB440" i="7"/>
  <c r="AD610" i="7"/>
  <c r="AB610" i="7"/>
  <c r="Z55" i="7"/>
  <c r="AC55" i="7" s="1"/>
  <c r="AB801" i="7"/>
  <c r="AD801" i="7"/>
  <c r="AB534" i="7"/>
  <c r="AD534" i="7"/>
  <c r="E142" i="7"/>
  <c r="C143" i="7"/>
  <c r="E143" i="7" s="1"/>
  <c r="C579" i="7"/>
  <c r="E579" i="7" s="1"/>
  <c r="E578" i="7"/>
  <c r="E223" i="7"/>
  <c r="C224" i="7"/>
  <c r="AD405" i="7"/>
  <c r="AB405" i="7"/>
  <c r="E565" i="7"/>
  <c r="C566" i="7"/>
  <c r="AB789" i="7"/>
  <c r="AD789" i="7"/>
  <c r="AD776" i="7"/>
  <c r="AB776" i="7"/>
  <c r="AA30" i="7"/>
  <c r="AD238" i="7"/>
  <c r="AB238" i="7"/>
  <c r="AD465" i="7"/>
  <c r="AB465" i="7"/>
  <c r="AD621" i="7"/>
  <c r="AB621" i="7"/>
  <c r="AB135" i="7"/>
  <c r="AD135" i="7"/>
  <c r="AB756" i="7"/>
  <c r="AD756" i="7"/>
  <c r="AB774" i="7"/>
  <c r="AD774" i="7"/>
  <c r="AD548" i="7"/>
  <c r="AB548" i="7"/>
  <c r="AB365" i="7"/>
  <c r="AD365" i="7"/>
  <c r="AA52" i="7"/>
  <c r="AB445" i="7"/>
  <c r="AD445" i="7"/>
  <c r="AD536" i="7"/>
  <c r="AB536" i="7"/>
  <c r="AB736" i="7"/>
  <c r="AD736" i="7"/>
  <c r="AD409" i="7"/>
  <c r="AB409" i="7"/>
  <c r="AB138" i="7"/>
  <c r="AD138" i="7"/>
  <c r="Z31" i="7"/>
  <c r="AC31" i="7" s="1"/>
  <c r="AA32" i="7"/>
  <c r="AD112" i="7"/>
  <c r="AB112" i="7"/>
  <c r="AD353" i="7"/>
  <c r="AB353" i="7"/>
  <c r="AD169" i="7"/>
  <c r="AB169" i="7"/>
  <c r="Z59" i="7"/>
  <c r="AC59" i="7" s="1"/>
  <c r="AD407" i="7"/>
  <c r="AB407" i="7"/>
  <c r="AD764" i="7"/>
  <c r="AB764" i="7"/>
  <c r="AD501" i="7"/>
  <c r="AB501" i="7"/>
  <c r="AD814" i="7"/>
  <c r="AB814" i="7"/>
  <c r="AB762" i="7"/>
  <c r="AD762" i="7"/>
  <c r="AD673" i="7"/>
  <c r="AB673" i="7"/>
  <c r="AB614" i="7"/>
  <c r="AD614" i="7"/>
  <c r="AD483" i="7"/>
  <c r="AB483" i="7"/>
  <c r="AD248" i="7"/>
  <c r="AB248" i="7"/>
  <c r="AD329" i="7"/>
  <c r="AB329" i="7"/>
  <c r="AD255" i="7"/>
  <c r="AB255" i="7"/>
  <c r="AD533" i="7"/>
  <c r="AB533" i="7"/>
  <c r="AD751" i="7"/>
  <c r="AB751" i="7"/>
  <c r="AA58" i="7"/>
  <c r="Z45" i="7"/>
  <c r="AC45" i="7" s="1"/>
  <c r="AD647" i="7"/>
  <c r="AB647" i="7"/>
  <c r="Z30" i="7"/>
  <c r="AC30" i="7" s="1"/>
  <c r="AD155" i="7"/>
  <c r="AB155" i="7"/>
  <c r="AD593" i="7"/>
  <c r="AB593" i="7"/>
  <c r="AD540" i="7"/>
  <c r="AB540" i="7"/>
  <c r="AA44" i="7"/>
  <c r="Z29" i="7"/>
  <c r="AC29" i="7" s="1"/>
  <c r="AD783" i="7"/>
  <c r="AB783" i="7"/>
  <c r="AD406" i="7"/>
  <c r="AB406" i="7"/>
  <c r="AA31" i="7"/>
  <c r="Z35" i="7"/>
  <c r="AC35" i="7" s="1"/>
  <c r="AD568" i="7"/>
  <c r="AB568" i="7"/>
  <c r="AD479" i="7"/>
  <c r="AB479" i="7"/>
  <c r="AD337" i="7"/>
  <c r="AB337" i="7"/>
  <c r="AD697" i="7"/>
  <c r="AB697" i="7"/>
  <c r="Z44" i="7"/>
  <c r="AC44" i="7" s="1"/>
  <c r="AD526" i="7"/>
  <c r="AB526" i="7"/>
  <c r="AD161" i="7"/>
  <c r="AB161" i="7"/>
  <c r="Z36" i="7"/>
  <c r="AC36" i="7" s="1"/>
  <c r="AD503" i="7"/>
  <c r="AB503" i="7"/>
  <c r="AD261" i="7"/>
  <c r="AB261" i="7"/>
  <c r="AB221" i="7"/>
  <c r="AD221" i="7"/>
  <c r="AD450" i="7"/>
  <c r="AB450" i="7"/>
  <c r="AD687" i="7"/>
  <c r="AB687" i="7"/>
  <c r="AD171" i="7"/>
  <c r="AB171" i="7"/>
  <c r="AD374" i="7"/>
  <c r="AB374" i="7"/>
  <c r="AB550" i="7"/>
  <c r="AD550" i="7"/>
  <c r="AB146" i="7"/>
  <c r="AD146" i="7"/>
  <c r="AD586" i="7"/>
  <c r="AB586" i="7"/>
  <c r="AB132" i="7"/>
  <c r="AD132" i="7"/>
  <c r="AD284" i="7"/>
  <c r="AB284" i="7"/>
  <c r="AB968" i="7"/>
  <c r="AD968" i="7"/>
  <c r="AD799" i="7"/>
  <c r="AB799" i="7"/>
  <c r="AA60" i="7"/>
  <c r="AD487" i="7"/>
  <c r="AB487" i="7"/>
  <c r="AB836" i="7"/>
  <c r="AD836" i="7"/>
  <c r="AD702" i="7"/>
  <c r="AB702" i="7"/>
  <c r="E405" i="7"/>
  <c r="C406" i="7"/>
  <c r="AD275" i="7"/>
  <c r="AB275" i="7"/>
  <c r="AD286" i="7"/>
  <c r="AB286" i="7"/>
  <c r="AB595" i="7"/>
  <c r="AD595" i="7"/>
  <c r="AB734" i="7"/>
  <c r="AD734" i="7"/>
  <c r="AB708" i="7"/>
  <c r="AD708" i="7"/>
  <c r="AD427" i="7"/>
  <c r="AB427" i="7"/>
  <c r="AD582" i="7"/>
  <c r="AB582" i="7"/>
  <c r="AD403" i="7"/>
  <c r="AB403" i="7"/>
  <c r="AD686" i="7"/>
  <c r="AB686" i="7"/>
  <c r="AB537" i="7"/>
  <c r="AD537" i="7"/>
  <c r="AA54" i="7"/>
  <c r="AD54" i="7" s="1"/>
  <c r="AD609" i="7"/>
  <c r="AB609" i="7"/>
  <c r="AD535" i="7"/>
  <c r="AB535" i="7"/>
  <c r="AD811" i="7"/>
  <c r="AB811" i="7"/>
  <c r="AD802" i="7"/>
  <c r="AB802" i="7"/>
  <c r="AD463" i="7"/>
  <c r="AB463" i="7"/>
  <c r="AD404" i="7"/>
  <c r="AB404" i="7"/>
  <c r="AD601" i="7"/>
  <c r="AB601" i="7"/>
  <c r="AD505" i="7"/>
  <c r="AB505" i="7"/>
  <c r="AD217" i="7"/>
  <c r="AB217" i="7"/>
  <c r="AB231" i="7"/>
  <c r="AD231" i="7"/>
  <c r="AD208" i="7"/>
  <c r="AB208" i="7"/>
  <c r="AD606" i="7"/>
  <c r="AB606" i="7"/>
  <c r="AD215" i="7"/>
  <c r="AB215" i="7"/>
  <c r="AD356" i="7"/>
  <c r="AB356" i="7"/>
  <c r="AA39" i="7"/>
  <c r="Z11" i="7"/>
  <c r="AC11" i="7" s="1"/>
  <c r="AB726" i="7"/>
  <c r="AD726" i="7"/>
  <c r="AD779" i="7"/>
  <c r="AB779" i="7"/>
  <c r="AA21" i="7"/>
  <c r="AD21" i="7" s="1"/>
  <c r="AD163" i="7"/>
  <c r="AB163" i="7"/>
  <c r="AB99" i="7"/>
  <c r="AD99" i="7"/>
  <c r="AB428" i="7"/>
  <c r="AD428" i="7"/>
  <c r="AD100" i="7"/>
  <c r="AB100" i="7"/>
  <c r="AD575" i="7"/>
  <c r="AB575" i="7"/>
  <c r="AD752" i="7"/>
  <c r="AB752" i="7"/>
  <c r="AD331" i="7"/>
  <c r="AB331" i="7"/>
  <c r="AA28" i="7"/>
  <c r="AD28" i="7" s="1"/>
  <c r="AD319" i="7"/>
  <c r="AB319" i="7"/>
  <c r="AB637" i="7"/>
  <c r="AD637" i="7"/>
  <c r="AB705" i="7"/>
  <c r="AD705" i="7"/>
  <c r="AD444" i="7"/>
  <c r="AB444" i="7"/>
  <c r="AD127" i="7"/>
  <c r="AB127" i="7"/>
  <c r="AD185" i="7"/>
  <c r="AB185" i="7"/>
  <c r="C808" i="7"/>
  <c r="E807" i="7"/>
  <c r="E262" i="7"/>
  <c r="C263" i="7"/>
  <c r="AD828" i="7"/>
  <c r="AB828" i="7"/>
  <c r="AD419" i="7"/>
  <c r="AB419" i="7"/>
  <c r="AD340" i="7"/>
  <c r="AB340" i="7"/>
  <c r="AD488" i="7"/>
  <c r="AB488" i="7"/>
  <c r="AD594" i="7"/>
  <c r="AB594" i="7"/>
  <c r="AD748" i="7"/>
  <c r="AB748" i="7"/>
  <c r="AD110" i="7"/>
  <c r="AB110" i="7"/>
  <c r="AD451" i="7"/>
  <c r="AB451" i="7"/>
  <c r="AD458" i="7"/>
  <c r="AB458" i="7"/>
  <c r="Z60" i="7"/>
  <c r="AC60" i="7" s="1"/>
  <c r="AD567" i="7"/>
  <c r="AB567" i="7"/>
  <c r="AB695" i="7"/>
  <c r="AD695" i="7"/>
  <c r="AD226" i="7"/>
  <c r="AB226" i="7"/>
  <c r="AD766" i="7"/>
  <c r="AB766" i="7"/>
  <c r="AD350" i="7"/>
  <c r="AB350" i="7"/>
  <c r="AD310" i="7"/>
  <c r="AB310" i="7"/>
  <c r="AB392" i="7"/>
  <c r="AD392" i="7"/>
  <c r="AD118" i="7"/>
  <c r="AB118" i="7"/>
  <c r="AD576" i="7"/>
  <c r="AB576" i="7"/>
  <c r="AD318" i="7"/>
  <c r="AB318" i="7"/>
  <c r="Z38" i="7"/>
  <c r="AC38" i="7" s="1"/>
  <c r="Z42" i="7"/>
  <c r="AC42" i="7" s="1"/>
  <c r="AD641" i="7"/>
  <c r="AB641" i="7"/>
  <c r="AB650" i="7"/>
  <c r="AD650" i="7"/>
  <c r="AA29" i="7"/>
  <c r="AD29" i="7" s="1"/>
  <c r="AD140" i="7"/>
  <c r="AB140" i="7"/>
  <c r="AD666" i="7"/>
  <c r="AB666" i="7"/>
  <c r="AD494" i="7"/>
  <c r="AB494" i="7"/>
  <c r="AD156" i="7"/>
  <c r="AB156" i="7"/>
  <c r="AB278" i="7"/>
  <c r="AD278" i="7"/>
  <c r="AD570" i="7"/>
  <c r="AB570" i="7"/>
  <c r="AD259" i="7"/>
  <c r="AB259" i="7"/>
  <c r="AB522" i="7"/>
  <c r="AD522" i="7"/>
  <c r="AD296" i="7"/>
  <c r="AB296" i="7"/>
  <c r="AD105" i="7"/>
  <c r="AB105" i="7"/>
  <c r="AB816" i="7"/>
  <c r="AD816" i="7"/>
  <c r="AD613" i="7"/>
  <c r="AB613" i="7"/>
  <c r="AD398" i="7"/>
  <c r="AB398" i="7"/>
  <c r="AD587" i="7"/>
  <c r="AB587" i="7"/>
  <c r="AD681" i="7"/>
  <c r="AB681" i="7"/>
  <c r="C600" i="7"/>
  <c r="E599" i="7"/>
  <c r="AB346" i="7"/>
  <c r="AD346" i="7"/>
  <c r="AB418" i="7"/>
  <c r="AD418" i="7"/>
  <c r="AB680" i="7"/>
  <c r="AD680" i="7"/>
  <c r="AD538" i="7"/>
  <c r="AB538" i="7"/>
  <c r="AB619" i="7"/>
  <c r="AD619" i="7"/>
  <c r="AD467" i="7"/>
  <c r="AB467" i="7"/>
  <c r="AD357" i="7"/>
  <c r="AB357" i="7"/>
  <c r="AD468" i="7"/>
  <c r="AB468" i="7"/>
  <c r="AD599" i="7"/>
  <c r="AB599" i="7"/>
  <c r="AB288" i="7"/>
  <c r="AD288" i="7"/>
  <c r="AD382" i="7"/>
  <c r="AB382" i="7"/>
  <c r="AD174" i="7"/>
  <c r="AB174" i="7"/>
  <c r="AD103" i="7"/>
  <c r="AB103" i="7"/>
  <c r="AB367" i="7"/>
  <c r="AD367" i="7"/>
  <c r="AB596" i="7"/>
  <c r="AD596" i="7"/>
  <c r="AD313" i="7"/>
  <c r="AB313" i="7"/>
  <c r="AD162" i="7"/>
  <c r="AB162" i="7"/>
  <c r="AB179" i="7"/>
  <c r="AD179" i="7"/>
  <c r="AD624" i="7"/>
  <c r="AB624" i="7"/>
  <c r="Z48" i="7"/>
  <c r="AC48" i="7" s="1"/>
  <c r="Z18" i="7"/>
  <c r="AC18" i="7" s="1"/>
  <c r="AB510" i="7"/>
  <c r="AD510" i="7"/>
  <c r="AD509" i="7"/>
  <c r="AB509" i="7"/>
  <c r="AD521" i="7"/>
  <c r="AB521" i="7"/>
  <c r="AD349" i="7"/>
  <c r="AB349" i="7"/>
  <c r="AD292" i="7"/>
  <c r="AB292" i="7"/>
  <c r="AB696" i="7"/>
  <c r="AD696" i="7"/>
  <c r="AA51" i="7"/>
  <c r="AD390" i="7"/>
  <c r="AB390" i="7"/>
  <c r="AD730" i="7"/>
  <c r="AB730" i="7"/>
  <c r="AD104" i="7"/>
  <c r="AB104" i="7"/>
  <c r="AD220" i="7"/>
  <c r="AB220" i="7"/>
  <c r="Z64" i="7"/>
  <c r="AC64" i="7" s="1"/>
  <c r="AD810" i="7"/>
  <c r="AB810" i="7"/>
  <c r="AD785" i="7"/>
  <c r="AB785" i="7"/>
  <c r="AD256" i="7"/>
  <c r="AB256" i="7"/>
  <c r="AD498" i="7"/>
  <c r="AB498" i="7"/>
  <c r="AD978" i="7"/>
  <c r="AB978" i="7"/>
  <c r="AA62" i="7"/>
  <c r="AD224" i="7"/>
  <c r="AB224" i="7"/>
  <c r="AD435" i="7"/>
  <c r="AB435" i="7"/>
  <c r="AD459" i="7"/>
  <c r="AB459" i="7"/>
  <c r="AB829" i="7"/>
  <c r="AD829" i="7"/>
  <c r="Z23" i="7"/>
  <c r="AC23" i="7" s="1"/>
  <c r="AB675" i="7"/>
  <c r="AD675" i="7"/>
  <c r="AD193" i="7"/>
  <c r="AB193" i="7"/>
  <c r="Z46" i="7"/>
  <c r="AC46" i="7" s="1"/>
  <c r="AB607" i="7"/>
  <c r="AD607" i="7"/>
  <c r="Z62" i="7"/>
  <c r="AC62" i="7" s="1"/>
  <c r="AB541" i="7"/>
  <c r="AD541" i="7"/>
  <c r="AD412" i="7"/>
  <c r="AB412" i="7"/>
  <c r="AD817" i="7"/>
  <c r="AB817" i="7"/>
  <c r="AD426" i="7"/>
  <c r="AB426" i="7"/>
  <c r="AA41" i="7"/>
  <c r="AD452" i="7"/>
  <c r="AB452" i="7"/>
  <c r="AD272" i="7"/>
  <c r="AB272" i="7"/>
  <c r="AB121" i="7"/>
  <c r="AD121" i="7"/>
  <c r="AB676" i="7"/>
  <c r="AD676" i="7"/>
  <c r="AB562" i="7"/>
  <c r="AD562" i="7"/>
  <c r="AD631" i="7"/>
  <c r="AB631" i="7"/>
  <c r="AB167" i="7"/>
  <c r="AD167" i="7"/>
  <c r="AD301" i="7"/>
  <c r="AB301" i="7"/>
  <c r="AD493" i="7"/>
  <c r="AB493" i="7"/>
  <c r="AD123" i="7"/>
  <c r="AB123" i="7"/>
  <c r="AD835" i="7"/>
  <c r="AB835" i="7"/>
  <c r="C538" i="7"/>
  <c r="E537" i="7"/>
  <c r="AD804" i="7"/>
  <c r="AB804" i="7"/>
  <c r="AD513" i="7"/>
  <c r="AB513" i="7"/>
  <c r="AD184" i="7"/>
  <c r="AB184" i="7"/>
  <c r="AD433" i="7"/>
  <c r="AB433" i="7"/>
  <c r="AD634" i="7"/>
  <c r="AB634" i="7"/>
  <c r="AD434" i="7"/>
  <c r="AB434" i="7"/>
  <c r="AD379" i="7"/>
  <c r="AB379" i="7"/>
  <c r="AD229" i="7"/>
  <c r="AB229" i="7"/>
  <c r="AD417" i="7"/>
  <c r="AB417" i="7"/>
  <c r="AD788" i="7"/>
  <c r="AB788" i="7"/>
  <c r="AD841" i="7"/>
  <c r="AB841" i="7"/>
  <c r="AD283" i="7"/>
  <c r="AB283" i="7"/>
  <c r="AD626" i="7"/>
  <c r="AB626" i="7"/>
  <c r="AD370" i="7"/>
  <c r="AB370" i="7"/>
  <c r="AD504" i="7"/>
  <c r="AB504" i="7"/>
  <c r="AA33" i="7"/>
  <c r="AD690" i="7"/>
  <c r="AB690" i="7"/>
  <c r="AB198" i="7"/>
  <c r="AD198" i="7"/>
  <c r="AB707" i="7"/>
  <c r="AD707" i="7"/>
  <c r="AD471" i="7"/>
  <c r="AB471" i="7"/>
  <c r="AD143" i="7"/>
  <c r="AB143" i="7"/>
  <c r="AD625" i="7"/>
  <c r="AB625" i="7"/>
  <c r="Z39" i="7"/>
  <c r="AC39" i="7" s="1"/>
  <c r="AB124" i="7"/>
  <c r="AD124" i="7"/>
  <c r="AD280" i="7"/>
  <c r="AB280" i="7"/>
  <c r="AB597" i="7"/>
  <c r="AD597" i="7"/>
  <c r="AB539" i="7"/>
  <c r="AD539" i="7"/>
  <c r="AD464" i="7"/>
  <c r="AB464" i="7"/>
  <c r="AD812" i="7"/>
  <c r="AB812" i="7"/>
  <c r="AD800" i="7"/>
  <c r="AB800" i="7"/>
  <c r="AA12" i="7"/>
  <c r="AD12" i="7" s="1"/>
  <c r="AB646" i="7"/>
  <c r="AD646" i="7"/>
  <c r="AD314" i="7"/>
  <c r="AB314" i="7"/>
  <c r="AA18" i="7"/>
  <c r="AD511" i="7"/>
  <c r="AB511" i="7"/>
  <c r="AB715" i="7"/>
  <c r="AD715" i="7"/>
  <c r="AD376" i="7"/>
  <c r="AB376" i="7"/>
  <c r="AD423" i="7"/>
  <c r="AB423" i="7"/>
  <c r="AB175" i="7"/>
  <c r="AD175" i="7"/>
  <c r="AA212" i="7"/>
  <c r="AA87" i="7"/>
  <c r="AA806" i="7"/>
  <c r="AA232" i="7"/>
  <c r="AA294" i="7"/>
  <c r="AA579" i="7"/>
  <c r="AA236" i="7"/>
  <c r="C628" i="7"/>
  <c r="E627" i="7"/>
  <c r="AB449" i="7"/>
  <c r="AD449" i="7"/>
  <c r="AD612" i="7"/>
  <c r="AB612" i="7"/>
  <c r="AD807" i="7"/>
  <c r="AB807" i="7"/>
  <c r="AD173" i="7"/>
  <c r="AB173" i="7"/>
  <c r="AB142" i="7"/>
  <c r="AD142" i="7"/>
  <c r="AD767" i="7"/>
  <c r="AB767" i="7"/>
  <c r="AD251" i="7"/>
  <c r="AB251" i="7"/>
  <c r="AD794" i="7"/>
  <c r="AB794" i="7"/>
  <c r="AB584" i="7"/>
  <c r="AD584" i="7"/>
  <c r="AD328" i="7"/>
  <c r="AB328" i="7"/>
  <c r="AD486" i="7"/>
  <c r="AB486" i="7"/>
  <c r="AB499" i="7"/>
  <c r="AD499" i="7"/>
  <c r="AB713" i="7"/>
  <c r="AD713" i="7"/>
  <c r="AD832" i="7"/>
  <c r="AB832" i="7"/>
  <c r="AD560" i="7"/>
  <c r="AB560" i="7"/>
  <c r="AD480" i="7"/>
  <c r="AB480" i="7"/>
  <c r="AD147" i="7"/>
  <c r="AB147" i="7"/>
  <c r="Z12" i="7"/>
  <c r="AC12" i="7" s="1"/>
  <c r="AA9" i="7"/>
  <c r="AD9" i="7" s="1"/>
  <c r="AD616" i="7"/>
  <c r="AB616" i="7"/>
  <c r="AB738" i="7"/>
  <c r="AD738" i="7"/>
  <c r="AD375" i="7"/>
  <c r="AB375" i="7"/>
  <c r="AB177" i="7"/>
  <c r="AD177" i="7"/>
  <c r="Z61" i="7"/>
  <c r="AC61" i="7" s="1"/>
  <c r="AD210" i="7"/>
  <c r="AB210" i="7"/>
  <c r="AD674" i="7"/>
  <c r="AB674" i="7"/>
  <c r="AD635" i="7"/>
  <c r="AB635" i="7"/>
  <c r="AD667" i="7"/>
  <c r="AB667" i="7"/>
  <c r="AD154" i="7"/>
  <c r="AB154" i="7"/>
  <c r="AD189" i="7"/>
  <c r="AB189" i="7"/>
  <c r="AD701" i="7"/>
  <c r="AB701" i="7"/>
  <c r="AB718" i="7"/>
  <c r="AD718" i="7"/>
  <c r="AD176" i="7"/>
  <c r="AB176" i="7"/>
  <c r="AD571" i="7"/>
  <c r="AB571" i="7"/>
  <c r="AD384" i="7"/>
  <c r="AB384" i="7"/>
  <c r="AA10" i="7"/>
  <c r="AD10" i="7" s="1"/>
  <c r="AD500" i="7"/>
  <c r="AB500" i="7"/>
  <c r="AD808" i="7"/>
  <c r="AB808" i="7"/>
  <c r="AD462" i="7"/>
  <c r="AB462" i="7"/>
  <c r="AD559" i="7"/>
  <c r="AB559" i="7"/>
  <c r="AD590" i="7"/>
  <c r="AB590" i="7"/>
  <c r="AD246" i="7"/>
  <c r="AB246" i="7"/>
  <c r="AB749" i="7"/>
  <c r="AD749" i="7"/>
  <c r="AD383" i="7"/>
  <c r="AB383" i="7"/>
  <c r="AD165" i="7"/>
  <c r="AB165" i="7"/>
  <c r="AD330" i="7"/>
  <c r="AB330" i="7"/>
  <c r="AD115" i="7"/>
  <c r="AB115" i="7"/>
  <c r="AD227" i="7"/>
  <c r="AB227" i="7"/>
  <c r="AD517" i="7"/>
  <c r="AB517" i="7"/>
  <c r="AB725" i="7"/>
  <c r="AD725" i="7"/>
  <c r="AD742" i="7"/>
  <c r="AB742" i="7"/>
  <c r="AD699" i="7"/>
  <c r="AB699" i="7"/>
  <c r="AD583" i="7"/>
  <c r="AB583" i="7"/>
  <c r="AB660" i="7"/>
  <c r="AD660" i="7"/>
  <c r="AD344" i="7"/>
  <c r="AB344" i="7"/>
  <c r="AB720" i="7"/>
  <c r="AD720" i="7"/>
  <c r="AD397" i="7"/>
  <c r="AB397" i="7"/>
  <c r="AB470" i="7"/>
  <c r="AD470" i="7"/>
  <c r="AD446" i="7"/>
  <c r="AB446" i="7"/>
  <c r="AD669" i="7"/>
  <c r="AB669" i="7"/>
  <c r="AB341" i="7"/>
  <c r="AD341" i="7"/>
  <c r="AA48" i="7"/>
  <c r="AD48" i="7" s="1"/>
  <c r="AD661" i="7"/>
  <c r="AB661" i="7"/>
  <c r="AD187" i="7"/>
  <c r="AB187" i="7"/>
  <c r="AD129" i="7"/>
  <c r="AB129" i="7"/>
  <c r="AD309" i="7"/>
  <c r="AB309" i="7"/>
  <c r="AD495" i="7"/>
  <c r="AB495" i="7"/>
  <c r="Z21" i="7"/>
  <c r="AC21" i="7" s="1"/>
  <c r="Z15" i="7"/>
  <c r="AC15" i="7" s="1"/>
  <c r="Z24" i="7"/>
  <c r="AC24" i="7" s="1"/>
  <c r="AA64" i="7"/>
  <c r="AD378" i="7"/>
  <c r="AB378" i="7"/>
  <c r="AD623" i="7"/>
  <c r="AB623" i="7"/>
  <c r="AD564" i="7"/>
  <c r="AB564" i="7"/>
  <c r="AD239" i="7"/>
  <c r="AB239" i="7"/>
  <c r="AD372" i="7"/>
  <c r="AB372" i="7"/>
  <c r="AA43" i="7"/>
  <c r="AB149" i="7"/>
  <c r="AD149" i="7"/>
  <c r="AB267" i="7"/>
  <c r="AD267" i="7"/>
  <c r="AD648" i="7"/>
  <c r="AB648" i="7"/>
  <c r="AD496" i="7"/>
  <c r="AB496" i="7"/>
  <c r="AD410" i="7"/>
  <c r="AB410" i="7"/>
  <c r="AD320" i="7"/>
  <c r="AB320" i="7"/>
  <c r="AD109" i="7"/>
  <c r="AB109" i="7"/>
  <c r="AB622" i="7"/>
  <c r="AD622" i="7"/>
  <c r="AD518" i="7"/>
  <c r="AB518" i="7"/>
  <c r="AD243" i="7"/>
  <c r="AB243" i="7"/>
  <c r="AD543" i="7"/>
  <c r="AB543" i="7"/>
  <c r="AB529" i="7"/>
  <c r="AD529" i="7"/>
  <c r="AA59" i="7"/>
  <c r="AB649" i="7"/>
  <c r="AD649" i="7"/>
  <c r="AD172" i="7"/>
  <c r="AB172" i="7"/>
  <c r="AD317" i="7"/>
  <c r="AB317" i="7"/>
  <c r="Z26" i="7"/>
  <c r="AC26" i="7" s="1"/>
  <c r="AD416" i="7"/>
  <c r="AB416" i="7"/>
  <c r="AB555" i="7"/>
  <c r="AD555" i="7"/>
  <c r="AB170" i="7"/>
  <c r="AD170" i="7"/>
  <c r="Z14" i="7"/>
  <c r="AC14" i="7" s="1"/>
  <c r="AA47" i="7"/>
  <c r="AB563" i="7"/>
  <c r="AD563" i="7"/>
  <c r="AD617" i="7"/>
  <c r="AB617" i="7"/>
  <c r="AD578" i="7"/>
  <c r="AB578" i="7"/>
  <c r="AD408" i="7"/>
  <c r="AB408" i="7"/>
  <c r="AB754" i="7"/>
  <c r="AD754" i="7"/>
  <c r="AD628" i="7"/>
  <c r="AB628" i="7"/>
  <c r="AD728" i="7"/>
  <c r="AB728" i="7"/>
  <c r="AD689" i="7"/>
  <c r="AB689" i="7"/>
  <c r="AA14" i="7"/>
  <c r="AD107" i="7"/>
  <c r="AB107" i="7"/>
  <c r="AD620" i="7"/>
  <c r="AB620" i="7"/>
  <c r="AD546" i="7"/>
  <c r="AB546" i="7"/>
  <c r="AD270" i="7"/>
  <c r="AB270" i="7"/>
  <c r="E488" i="7"/>
  <c r="C489" i="7"/>
  <c r="AD760" i="7"/>
  <c r="AB760" i="7"/>
  <c r="AD297" i="7"/>
  <c r="AB297" i="7"/>
  <c r="AD757" i="7"/>
  <c r="AB757" i="7"/>
  <c r="AB359" i="7"/>
  <c r="AD359" i="7"/>
  <c r="AD254" i="7"/>
  <c r="AB254" i="7"/>
  <c r="AD644" i="7"/>
  <c r="AB644" i="7"/>
  <c r="AA56" i="7"/>
  <c r="AD679" i="7"/>
  <c r="AB679" i="7"/>
  <c r="AD791" i="7"/>
  <c r="AB791" i="7"/>
  <c r="Z63" i="7"/>
  <c r="AC63" i="7" s="1"/>
  <c r="Z57" i="7"/>
  <c r="AC57" i="7" s="1"/>
  <c r="AD692" i="7"/>
  <c r="AB692" i="7"/>
  <c r="AD430" i="7"/>
  <c r="AB430" i="7"/>
  <c r="AB443" i="7"/>
  <c r="AD443" i="7"/>
  <c r="AD225" i="7"/>
  <c r="AB225" i="7"/>
  <c r="Z52" i="7"/>
  <c r="AC52" i="7" s="1"/>
  <c r="AB786" i="7"/>
  <c r="AD786" i="7"/>
  <c r="AB585" i="7"/>
  <c r="AD585" i="7"/>
  <c r="AB824" i="7"/>
  <c r="AD824" i="7"/>
  <c r="AD809" i="7"/>
  <c r="AB809" i="7"/>
  <c r="AB477" i="7"/>
  <c r="AD477" i="7"/>
  <c r="AD506" i="7"/>
  <c r="AB506" i="7"/>
  <c r="AD784" i="7"/>
  <c r="AB784" i="7"/>
  <c r="AA25" i="7"/>
  <c r="AD362" i="7"/>
  <c r="AB362" i="7"/>
  <c r="AB295" i="7"/>
  <c r="AD295" i="7"/>
  <c r="AA42" i="7"/>
  <c r="AD432" i="7"/>
  <c r="AB432" i="7"/>
  <c r="AA20" i="7"/>
  <c r="C668" i="7"/>
  <c r="E667" i="7"/>
  <c r="AD629" i="7"/>
  <c r="AB629" i="7"/>
  <c r="AD273" i="7"/>
  <c r="AB273" i="7"/>
  <c r="AB755" i="7"/>
  <c r="AD755" i="7"/>
  <c r="AD157" i="7"/>
  <c r="AB157" i="7"/>
  <c r="AB394" i="7"/>
  <c r="AD394" i="7"/>
  <c r="AD815" i="7"/>
  <c r="AB815" i="7"/>
  <c r="Z53" i="7"/>
  <c r="AC53" i="7" s="1"/>
  <c r="AD492" i="7"/>
  <c r="AB492" i="7"/>
  <c r="AD363" i="7"/>
  <c r="AB363" i="7"/>
  <c r="AB633" i="7"/>
  <c r="AD633" i="7"/>
  <c r="Z49" i="7"/>
  <c r="AC49" i="7" s="1"/>
  <c r="Z37" i="7"/>
  <c r="AC37" i="7" s="1"/>
  <c r="AD688" i="7"/>
  <c r="AB688" i="7"/>
  <c r="AD448" i="7"/>
  <c r="AB448" i="7"/>
  <c r="AD527" i="7"/>
  <c r="AB527" i="7"/>
  <c r="AD545" i="7"/>
  <c r="AB545" i="7"/>
  <c r="AD160" i="7"/>
  <c r="AB160" i="7"/>
  <c r="AD260" i="7"/>
  <c r="AB260" i="7"/>
  <c r="AD745" i="7"/>
  <c r="AB745" i="7"/>
  <c r="AB558" i="7"/>
  <c r="AD558" i="7"/>
  <c r="AA13" i="7"/>
  <c r="AD13" i="7" s="1"/>
  <c r="AD250" i="7"/>
  <c r="AB250" i="7"/>
  <c r="AD393" i="7"/>
  <c r="AB393" i="7"/>
  <c r="AD150" i="7"/>
  <c r="AB150" i="7"/>
  <c r="AD615" i="7"/>
  <c r="AB615" i="7"/>
  <c r="AD279" i="7"/>
  <c r="AB279" i="7"/>
  <c r="AD324" i="7"/>
  <c r="AB324" i="7"/>
  <c r="AD306" i="7"/>
  <c r="AB306" i="7"/>
  <c r="D428" i="7"/>
  <c r="E427" i="7"/>
  <c r="AB334" i="7"/>
  <c r="AD334" i="7"/>
  <c r="AD134" i="7"/>
  <c r="AB134" i="7"/>
  <c r="AD552" i="7"/>
  <c r="AB552" i="7"/>
  <c r="AB724" i="7"/>
  <c r="AD724" i="7"/>
  <c r="AB712" i="7"/>
  <c r="AD712" i="7"/>
  <c r="AD113" i="7"/>
  <c r="AB113" i="7"/>
  <c r="AD662" i="7"/>
  <c r="AB662" i="7"/>
  <c r="AD651" i="7"/>
  <c r="AB651" i="7"/>
  <c r="AD793" i="7"/>
  <c r="AB793" i="7"/>
  <c r="AB797" i="7"/>
  <c r="AD797" i="7"/>
  <c r="AD747" i="7"/>
  <c r="AB747" i="7"/>
  <c r="Z10" i="7"/>
  <c r="AC10" i="7" s="1"/>
  <c r="AB424" i="7"/>
  <c r="AD424" i="7"/>
  <c r="Z22" i="7"/>
  <c r="AC22" i="7" s="1"/>
  <c r="AA57" i="7"/>
  <c r="AD422" i="7"/>
  <c r="AB422" i="7"/>
  <c r="AD777" i="7"/>
  <c r="AB777" i="7"/>
  <c r="AD770" i="7"/>
  <c r="AB770" i="7"/>
  <c r="AA46" i="7"/>
  <c r="AB244" i="7"/>
  <c r="AD244" i="7"/>
  <c r="AB153" i="7"/>
  <c r="AD153" i="7"/>
  <c r="AD197" i="7"/>
  <c r="AB197" i="7"/>
  <c r="AD787" i="7"/>
  <c r="AB787" i="7"/>
  <c r="AB573" i="7"/>
  <c r="AD573" i="7"/>
  <c r="AA22" i="7"/>
  <c r="AD22" i="7" s="1"/>
  <c r="AD685" i="7"/>
  <c r="AB685" i="7"/>
  <c r="AD642" i="7"/>
  <c r="AB642" i="7"/>
  <c r="AD581" i="7"/>
  <c r="AB581" i="7"/>
  <c r="Z13" i="11"/>
  <c r="X13" i="11"/>
  <c r="AD514" i="7"/>
  <c r="AB514" i="7"/>
  <c r="AD437" i="7"/>
  <c r="AB437" i="7"/>
  <c r="AB343" i="7"/>
  <c r="AD343" i="7"/>
  <c r="Z25" i="7"/>
  <c r="AC25" i="7" s="1"/>
  <c r="Z28" i="7"/>
  <c r="AC28" i="7" s="1"/>
  <c r="AB516" i="7"/>
  <c r="AD516" i="7"/>
  <c r="AD401" i="7"/>
  <c r="AB401" i="7"/>
  <c r="E517" i="7"/>
  <c r="C518" i="7"/>
  <c r="C642" i="7"/>
  <c r="E642" i="7" s="1"/>
  <c r="E641" i="7"/>
  <c r="AD271" i="7"/>
  <c r="AB271" i="7"/>
  <c r="AD141" i="7"/>
  <c r="AB141" i="7"/>
  <c r="AB287" i="7"/>
  <c r="AD287" i="7"/>
  <c r="AD482" i="7"/>
  <c r="AB482" i="7"/>
  <c r="AD795" i="7"/>
  <c r="AB795" i="7"/>
  <c r="AD611" i="7"/>
  <c r="AB611" i="7"/>
  <c r="AD274" i="7"/>
  <c r="AB274" i="7"/>
  <c r="AD277" i="7"/>
  <c r="AB277" i="7"/>
  <c r="AD235" i="7"/>
  <c r="AB235" i="7"/>
  <c r="Z19" i="7"/>
  <c r="AC19" i="7" s="1"/>
  <c r="AD566" i="7"/>
  <c r="AB566" i="7"/>
  <c r="AD371" i="7"/>
  <c r="AB371" i="7"/>
  <c r="AB323" i="7"/>
  <c r="AD323" i="7"/>
  <c r="AD484" i="7"/>
  <c r="AB484" i="7"/>
  <c r="AD554" i="7"/>
  <c r="AB554" i="7"/>
  <c r="AD532" i="7"/>
  <c r="AB532" i="7"/>
  <c r="AD413" i="7"/>
  <c r="AB413" i="7"/>
  <c r="Z54" i="7"/>
  <c r="AC54" i="7" s="1"/>
  <c r="AB605" i="7"/>
  <c r="AD605" i="7"/>
  <c r="AD604" i="7"/>
  <c r="AB604" i="7"/>
  <c r="AB223" i="7"/>
  <c r="AD223" i="7"/>
  <c r="AD600" i="7"/>
  <c r="AB600" i="7"/>
  <c r="AB700" i="7"/>
  <c r="AD700" i="7"/>
  <c r="AB455" i="7"/>
  <c r="AD455" i="7"/>
  <c r="AD202" i="7"/>
  <c r="AB202" i="7"/>
  <c r="AD342" i="7"/>
  <c r="AB342" i="7"/>
  <c r="AB746" i="7"/>
  <c r="AD746" i="7"/>
  <c r="AD523" i="7"/>
  <c r="AB523" i="7"/>
  <c r="AA27" i="7"/>
  <c r="AA16" i="7"/>
  <c r="AD285" i="7"/>
  <c r="AB285" i="7"/>
  <c r="AD842" i="7"/>
  <c r="AB842" i="7"/>
  <c r="AB717" i="7"/>
  <c r="AD717" i="7"/>
  <c r="AD530" i="7"/>
  <c r="AB530" i="7"/>
  <c r="AD820" i="7"/>
  <c r="AB820" i="7"/>
  <c r="AD386" i="7"/>
  <c r="AB386" i="7"/>
  <c r="AB237" i="7"/>
  <c r="AD237" i="7"/>
  <c r="AD512" i="7"/>
  <c r="AB512" i="7"/>
  <c r="AD682" i="7"/>
  <c r="AB682" i="7"/>
  <c r="D466" i="7"/>
  <c r="E465" i="7"/>
  <c r="AD355" i="7"/>
  <c r="AB355" i="7"/>
  <c r="AB704" i="7"/>
  <c r="AD704" i="7"/>
  <c r="AD489" i="7"/>
  <c r="AB489" i="7"/>
  <c r="Z51" i="7"/>
  <c r="AC51" i="7" s="1"/>
  <c r="AD257" i="7"/>
  <c r="AB257" i="7"/>
  <c r="AD211" i="7"/>
  <c r="AB211" i="7"/>
  <c r="AD491" i="7"/>
  <c r="AB491" i="7"/>
  <c r="AD222" i="7"/>
  <c r="AB222" i="7"/>
  <c r="AD387" i="7"/>
  <c r="AB387" i="7"/>
  <c r="AD262" i="7"/>
  <c r="AB262" i="7"/>
  <c r="AD321" i="7"/>
  <c r="AB321" i="7"/>
  <c r="AD840" i="7"/>
  <c r="AB840" i="7"/>
  <c r="AD395" i="7"/>
  <c r="AB395" i="7"/>
  <c r="AB781" i="7"/>
  <c r="AD781" i="7"/>
  <c r="AD180" i="7"/>
  <c r="AB180" i="7"/>
  <c r="AD591" i="7"/>
  <c r="AB591" i="7"/>
  <c r="AD420" i="7"/>
  <c r="AB420" i="7"/>
  <c r="AD825" i="7"/>
  <c r="AB825" i="7"/>
  <c r="AB706" i="7"/>
  <c r="AD706" i="7"/>
  <c r="AD439" i="7"/>
  <c r="AB439" i="7"/>
  <c r="AD490" i="7"/>
  <c r="AB490" i="7"/>
  <c r="AB228" i="7"/>
  <c r="AD228" i="7"/>
  <c r="AA55" i="7"/>
  <c r="AD461" i="7"/>
  <c r="AB461" i="7"/>
  <c r="AB608" i="7"/>
  <c r="AD608" i="7"/>
  <c r="AD457" i="7"/>
  <c r="AB457" i="7"/>
  <c r="AD588" i="7"/>
  <c r="AB588" i="7"/>
  <c r="AD729" i="7"/>
  <c r="AB729" i="7"/>
  <c r="AD640" i="7"/>
  <c r="AB640" i="7"/>
  <c r="AD557" i="7"/>
  <c r="AB557" i="7"/>
  <c r="AB525" i="7"/>
  <c r="AD525" i="7"/>
  <c r="AA17" i="7"/>
  <c r="AD17" i="7" s="1"/>
  <c r="Z33" i="7"/>
  <c r="AC33" i="7" s="1"/>
  <c r="AD145" i="7"/>
  <c r="AB145" i="7"/>
  <c r="AD293" i="7"/>
  <c r="AB293" i="7"/>
  <c r="AD400" i="7"/>
  <c r="AB400" i="7"/>
  <c r="AD627" i="7"/>
  <c r="AB627" i="7"/>
  <c r="AD415" i="7"/>
  <c r="AB415" i="7"/>
  <c r="AB358" i="7"/>
  <c r="AD358" i="7"/>
  <c r="AD348" i="7"/>
  <c r="AB348" i="7"/>
  <c r="C451" i="7"/>
  <c r="E450" i="7"/>
  <c r="AB188" i="7"/>
  <c r="AD188" i="7"/>
  <c r="AD659" i="7"/>
  <c r="AB659" i="7"/>
  <c r="AD207" i="7"/>
  <c r="AB207" i="7"/>
  <c r="AB709" i="7"/>
  <c r="AD709" i="7"/>
  <c r="AD565" i="7"/>
  <c r="AB565" i="7"/>
  <c r="AD203" i="7"/>
  <c r="AB203" i="7"/>
  <c r="AD475" i="7"/>
  <c r="AB475" i="7"/>
  <c r="AD128" i="7"/>
  <c r="AB128" i="7"/>
  <c r="AB326" i="7"/>
  <c r="AD326" i="7"/>
  <c r="AD771" i="7"/>
  <c r="AB771" i="7"/>
  <c r="AD116" i="7"/>
  <c r="AB116" i="7"/>
  <c r="AB822" i="7"/>
  <c r="AD822" i="7"/>
  <c r="AD438" i="7"/>
  <c r="AB438" i="7"/>
  <c r="AD805" i="7"/>
  <c r="AB805" i="7"/>
  <c r="AD245" i="7"/>
  <c r="AB245" i="7"/>
  <c r="AB130" i="7"/>
  <c r="AD130" i="7"/>
  <c r="AD429" i="7"/>
  <c r="AB429" i="7"/>
  <c r="AB194" i="7"/>
  <c r="AD194" i="7"/>
  <c r="AD411" i="7"/>
  <c r="AB411" i="7"/>
  <c r="AD531" i="7"/>
  <c r="AB531" i="7"/>
  <c r="AD442" i="7"/>
  <c r="AB442" i="7"/>
  <c r="AD672" i="7"/>
  <c r="AB672" i="7"/>
  <c r="AD249" i="7"/>
  <c r="AB249" i="7"/>
  <c r="AB732" i="7"/>
  <c r="AD732" i="7"/>
  <c r="AD693" i="7"/>
  <c r="AB693" i="7"/>
  <c r="AB719" i="7"/>
  <c r="AD719" i="7"/>
  <c r="AD759" i="7"/>
  <c r="AB759" i="7"/>
  <c r="AA23" i="7"/>
  <c r="AD391" i="7"/>
  <c r="AB391" i="7"/>
  <c r="AD230" i="7"/>
  <c r="AB230" i="7"/>
  <c r="Z13" i="7"/>
  <c r="AC13" i="7" s="1"/>
  <c r="AA36" i="7"/>
  <c r="AD36" i="7" s="1"/>
  <c r="AD201" i="7"/>
  <c r="AB201" i="7"/>
  <c r="AD264" i="7"/>
  <c r="AB264" i="7"/>
  <c r="AB572" i="7"/>
  <c r="AD572" i="7"/>
  <c r="AD266" i="7"/>
  <c r="AB266" i="7"/>
  <c r="AD466" i="7"/>
  <c r="AB466" i="7"/>
  <c r="AD544" i="7"/>
  <c r="AB544" i="7"/>
  <c r="AD151" i="7"/>
  <c r="AB151" i="7"/>
  <c r="AD377" i="7"/>
  <c r="AB377" i="7"/>
  <c r="AD481" i="7"/>
  <c r="AB481" i="7"/>
  <c r="AA1018" i="7"/>
  <c r="AD1018" i="7" s="1"/>
  <c r="AD485" i="7"/>
  <c r="AB485" i="7"/>
  <c r="AD302" i="7"/>
  <c r="AB302" i="7"/>
  <c r="AB308" i="7"/>
  <c r="AD308" i="7"/>
  <c r="AB304" i="7"/>
  <c r="AD304" i="7"/>
  <c r="AD803" i="7"/>
  <c r="AB803" i="7"/>
  <c r="AD508" i="7"/>
  <c r="AB508" i="7"/>
  <c r="AA50" i="7"/>
  <c r="AD263" i="7"/>
  <c r="AB263" i="7"/>
  <c r="AD425" i="7"/>
  <c r="AB425" i="7"/>
  <c r="AD106" i="7"/>
  <c r="AB106" i="7"/>
  <c r="AD421" i="7"/>
  <c r="AB421" i="7"/>
  <c r="AB722" i="7"/>
  <c r="AD722" i="7"/>
  <c r="AD502" i="7"/>
  <c r="AB502" i="7"/>
  <c r="AD737" i="7"/>
  <c r="AB737" i="7"/>
  <c r="AD216" i="7"/>
  <c r="AB216" i="7"/>
  <c r="AD136" i="7"/>
  <c r="AB136" i="7"/>
  <c r="AD507" i="7"/>
  <c r="AB507" i="7"/>
  <c r="AD768" i="7"/>
  <c r="AB768" i="7"/>
  <c r="Z56" i="7"/>
  <c r="AC56" i="7" s="1"/>
  <c r="AB826" i="7"/>
  <c r="AD826" i="7"/>
  <c r="AD373" i="7"/>
  <c r="AB373" i="7"/>
  <c r="AB671" i="7"/>
  <c r="AD671" i="7"/>
  <c r="AD192" i="7"/>
  <c r="AB192" i="7"/>
  <c r="AB233" i="7"/>
  <c r="AD233" i="7"/>
  <c r="AA61" i="7"/>
  <c r="AD242" i="7"/>
  <c r="AB242" i="7"/>
  <c r="AD380" i="7"/>
  <c r="AB380" i="7"/>
  <c r="AD137" i="7"/>
  <c r="AB137" i="7"/>
  <c r="AD520" i="7"/>
  <c r="AB520" i="7"/>
  <c r="AB205" i="7"/>
  <c r="AD205" i="7"/>
  <c r="AD312" i="7"/>
  <c r="AB312" i="7"/>
  <c r="AB547" i="7"/>
  <c r="AD547" i="7"/>
  <c r="AD385" i="7"/>
  <c r="AB385" i="7"/>
  <c r="Z20" i="7"/>
  <c r="AC20" i="7" s="1"/>
  <c r="AD131" i="7"/>
  <c r="AB131" i="7"/>
  <c r="AB336" i="7"/>
  <c r="AD336" i="7"/>
  <c r="AD473" i="7"/>
  <c r="AB473" i="7"/>
  <c r="AB290" i="7"/>
  <c r="AD290" i="7"/>
  <c r="C379" i="7"/>
  <c r="E378" i="7"/>
  <c r="E700" i="7"/>
  <c r="C701" i="7"/>
  <c r="AD632" i="7"/>
  <c r="AB632" i="7"/>
  <c r="AD152" i="7"/>
  <c r="AB152" i="7"/>
  <c r="Z17" i="7"/>
  <c r="AC17" i="7" s="1"/>
  <c r="AD966" i="7"/>
  <c r="AB966" i="7"/>
  <c r="E46" i="7"/>
  <c r="C47" i="7"/>
  <c r="E47" i="7" s="1"/>
  <c r="AD778" i="7"/>
  <c r="AB778" i="7"/>
  <c r="AD298" i="7"/>
  <c r="AB298" i="7"/>
  <c r="Z58" i="7"/>
  <c r="AC58" i="7" s="1"/>
  <c r="AD381" i="7"/>
  <c r="AB381" i="7"/>
  <c r="AD454" i="7"/>
  <c r="AB454" i="7"/>
  <c r="AB733" i="7"/>
  <c r="AD733" i="7"/>
  <c r="AD335" i="7"/>
  <c r="AB335" i="7"/>
  <c r="AD592" i="7"/>
  <c r="AB592" i="7"/>
  <c r="AD436" i="7"/>
  <c r="AB436" i="7"/>
  <c r="AD603" i="7"/>
  <c r="AB603" i="7"/>
  <c r="AD402" i="7"/>
  <c r="AB402" i="7"/>
  <c r="AD833" i="7"/>
  <c r="AB833" i="7"/>
  <c r="AD553" i="7"/>
  <c r="AB553" i="7"/>
  <c r="AD831" i="7"/>
  <c r="AB831" i="7"/>
  <c r="AD196" i="7"/>
  <c r="AB196" i="7"/>
  <c r="AD460" i="7"/>
  <c r="AB460" i="7"/>
  <c r="AD114" i="7"/>
  <c r="AB114" i="7"/>
  <c r="AD139" i="7"/>
  <c r="AB139" i="7"/>
  <c r="AD219" i="7"/>
  <c r="AB219" i="7"/>
  <c r="Z47" i="7"/>
  <c r="AC47" i="7" s="1"/>
  <c r="AD453" i="7"/>
  <c r="AB453" i="7"/>
  <c r="AD476" i="7"/>
  <c r="AB476" i="7"/>
  <c r="AD638" i="7"/>
  <c r="AB638" i="7"/>
  <c r="Z41" i="7"/>
  <c r="AC41" i="7" s="1"/>
  <c r="AD366" i="7"/>
  <c r="AB366" i="7"/>
  <c r="AD694" i="7"/>
  <c r="AB694" i="7"/>
  <c r="AD598" i="7"/>
  <c r="AB598" i="7"/>
  <c r="Z16" i="7"/>
  <c r="AC16" i="7" s="1"/>
  <c r="AA15" i="7"/>
  <c r="AD447" i="7"/>
  <c r="AB447" i="7"/>
  <c r="AB561" i="7"/>
  <c r="AD561" i="7"/>
  <c r="AD663" i="7"/>
  <c r="AB663" i="7"/>
  <c r="AD819" i="7"/>
  <c r="AB819" i="7"/>
  <c r="AD268" i="7"/>
  <c r="AB268" i="7"/>
  <c r="AD645" i="7"/>
  <c r="AB645" i="7"/>
  <c r="AB81" i="7" l="1"/>
  <c r="AB76" i="7"/>
  <c r="AD89" i="7"/>
  <c r="AD96" i="7"/>
  <c r="AB94" i="7"/>
  <c r="AD79" i="7"/>
  <c r="AB90" i="7"/>
  <c r="AB88" i="7"/>
  <c r="AD86" i="7"/>
  <c r="AD83" i="7"/>
  <c r="AD91" i="7"/>
  <c r="AB98" i="7"/>
  <c r="AB77" i="7"/>
  <c r="AD95" i="7"/>
  <c r="AB97" i="7"/>
  <c r="AB71" i="7"/>
  <c r="AB93" i="7"/>
  <c r="AD72" i="7"/>
  <c r="AD75" i="7"/>
  <c r="AB73" i="7"/>
  <c r="AD67" i="7"/>
  <c r="AB69" i="7"/>
  <c r="AD70" i="7"/>
  <c r="AD65" i="7"/>
  <c r="AB68" i="7"/>
  <c r="AD40" i="7"/>
  <c r="AD35" i="7"/>
  <c r="AD964" i="7"/>
  <c r="AB11" i="7"/>
  <c r="AD53" i="7"/>
  <c r="G24" i="4"/>
  <c r="F22" i="4"/>
  <c r="C613" i="7"/>
  <c r="E612" i="7"/>
  <c r="AB63" i="7"/>
  <c r="AB24" i="7"/>
  <c r="AD37" i="7"/>
  <c r="AB26" i="7"/>
  <c r="AB34" i="7"/>
  <c r="AD38" i="7"/>
  <c r="AD87" i="7"/>
  <c r="AB87" i="7"/>
  <c r="AD41" i="7"/>
  <c r="AB41" i="7"/>
  <c r="AD212" i="7"/>
  <c r="AB212" i="7"/>
  <c r="AB33" i="7"/>
  <c r="AD33" i="7"/>
  <c r="E566" i="7"/>
  <c r="C567" i="7"/>
  <c r="E701" i="7"/>
  <c r="C702" i="7"/>
  <c r="E702" i="7" s="1"/>
  <c r="E668" i="7"/>
  <c r="C669" i="7"/>
  <c r="H22" i="4"/>
  <c r="C25" i="4"/>
  <c r="B23" i="11" s="1"/>
  <c r="G25" i="4"/>
  <c r="AD47" i="7"/>
  <c r="AB47" i="7"/>
  <c r="AB43" i="7"/>
  <c r="AD43" i="7"/>
  <c r="G23" i="4"/>
  <c r="G21" i="4"/>
  <c r="C26" i="4"/>
  <c r="B24" i="11" s="1"/>
  <c r="AD20" i="7"/>
  <c r="AB20" i="7"/>
  <c r="AD55" i="7"/>
  <c r="AB55" i="7"/>
  <c r="D429" i="7"/>
  <c r="E428" i="7"/>
  <c r="AB60" i="7"/>
  <c r="AD60" i="7"/>
  <c r="H25" i="4"/>
  <c r="AD56" i="7"/>
  <c r="AB56" i="7"/>
  <c r="C380" i="7"/>
  <c r="E379" i="7"/>
  <c r="AD50" i="7"/>
  <c r="AB50" i="7"/>
  <c r="C23" i="4"/>
  <c r="B21" i="11" s="1"/>
  <c r="E224" i="7"/>
  <c r="C225" i="7"/>
  <c r="F26" i="4"/>
  <c r="C20" i="4"/>
  <c r="B18" i="11" s="1"/>
  <c r="AD14" i="7"/>
  <c r="AB14" i="7"/>
  <c r="AD62" i="7"/>
  <c r="AB62" i="7"/>
  <c r="AB39" i="7"/>
  <c r="AD39" i="7"/>
  <c r="G20" i="4"/>
  <c r="G22" i="4"/>
  <c r="AD23" i="7"/>
  <c r="AB23" i="7"/>
  <c r="AD32" i="7"/>
  <c r="AB32" i="7"/>
  <c r="G26" i="4"/>
  <c r="C19" i="4"/>
  <c r="B17" i="11" s="1"/>
  <c r="F23" i="4"/>
  <c r="C601" i="7"/>
  <c r="E601" i="7" s="1"/>
  <c r="E600" i="7"/>
  <c r="AD31" i="7"/>
  <c r="AB31" i="7"/>
  <c r="C24" i="4"/>
  <c r="B22" i="11" s="1"/>
  <c r="AD42" i="7"/>
  <c r="AB42" i="7"/>
  <c r="AD61" i="7"/>
  <c r="AB61" i="7"/>
  <c r="C452" i="7"/>
  <c r="E451" i="7"/>
  <c r="D467" i="7"/>
  <c r="E466" i="7"/>
  <c r="AB46" i="7"/>
  <c r="AD46" i="7"/>
  <c r="E263" i="7"/>
  <c r="C264" i="7"/>
  <c r="E264" i="7" s="1"/>
  <c r="AD58" i="7"/>
  <c r="AB58" i="7"/>
  <c r="H24" i="4"/>
  <c r="C22" i="4"/>
  <c r="B20" i="11" s="1"/>
  <c r="AD51" i="7"/>
  <c r="AB51" i="7"/>
  <c r="H20" i="4"/>
  <c r="AD16" i="7"/>
  <c r="AB16" i="7"/>
  <c r="AB45" i="7"/>
  <c r="AD45" i="7"/>
  <c r="E518" i="7"/>
  <c r="C519" i="7"/>
  <c r="C629" i="7"/>
  <c r="E629" i="7" s="1"/>
  <c r="E628" i="7"/>
  <c r="E808" i="7"/>
  <c r="C809" i="7"/>
  <c r="H19" i="4"/>
  <c r="F21" i="4"/>
  <c r="H26" i="4"/>
  <c r="AD25" i="7"/>
  <c r="AB25" i="7"/>
  <c r="AB27" i="7"/>
  <c r="AD27" i="7"/>
  <c r="AD15" i="7"/>
  <c r="AB15" i="7"/>
  <c r="AD64" i="7"/>
  <c r="AB64" i="7"/>
  <c r="H21" i="4"/>
  <c r="C21" i="4"/>
  <c r="B19" i="11" s="1"/>
  <c r="AD18" i="7"/>
  <c r="AB18" i="7"/>
  <c r="AD236" i="7"/>
  <c r="AB236" i="7"/>
  <c r="C539" i="7"/>
  <c r="E538" i="7"/>
  <c r="G19" i="4"/>
  <c r="F25" i="4"/>
  <c r="AD57" i="7"/>
  <c r="AB57" i="7"/>
  <c r="AB44" i="7"/>
  <c r="AD44" i="7"/>
  <c r="AD30" i="7"/>
  <c r="AB30" i="7"/>
  <c r="C490" i="7"/>
  <c r="E489" i="7"/>
  <c r="AD579" i="7"/>
  <c r="AB579" i="7"/>
  <c r="C407" i="7"/>
  <c r="E406" i="7"/>
  <c r="AB294" i="7"/>
  <c r="AD294" i="7"/>
  <c r="F19" i="4"/>
  <c r="F20" i="4"/>
  <c r="AB59" i="7"/>
  <c r="AD59" i="7"/>
  <c r="AD232" i="7"/>
  <c r="AB232" i="7"/>
  <c r="AB806" i="7"/>
  <c r="AD806" i="7"/>
  <c r="AD52" i="7"/>
  <c r="AB52" i="7"/>
  <c r="H23" i="4"/>
  <c r="F24" i="4"/>
  <c r="C614" i="7" l="1"/>
  <c r="E613" i="7"/>
  <c r="AC19" i="11"/>
  <c r="AB19" i="11" s="1"/>
  <c r="I24" i="4"/>
  <c r="AC24" i="11"/>
  <c r="AB24" i="11" s="1"/>
  <c r="Z24" i="11" s="1"/>
  <c r="AC22" i="11"/>
  <c r="AB22" i="11" s="1"/>
  <c r="Z22" i="11" s="1"/>
  <c r="C381" i="7"/>
  <c r="E380" i="7"/>
  <c r="E567" i="7"/>
  <c r="C568" i="7"/>
  <c r="E568" i="7" s="1"/>
  <c r="C408" i="7"/>
  <c r="E407" i="7"/>
  <c r="E539" i="7"/>
  <c r="C540" i="7"/>
  <c r="AC21" i="11"/>
  <c r="AB21" i="11" s="1"/>
  <c r="C491" i="7"/>
  <c r="E490" i="7"/>
  <c r="I25" i="4"/>
  <c r="AC20" i="11"/>
  <c r="AB20" i="11" s="1"/>
  <c r="I26" i="4"/>
  <c r="AC23" i="11"/>
  <c r="AB23" i="11" s="1"/>
  <c r="E519" i="7"/>
  <c r="C520" i="7"/>
  <c r="AC17" i="11"/>
  <c r="AB17" i="11" s="1"/>
  <c r="D468" i="7"/>
  <c r="E468" i="7" s="1"/>
  <c r="E467" i="7"/>
  <c r="AC18" i="11"/>
  <c r="AB18" i="11" s="1"/>
  <c r="I23" i="4"/>
  <c r="I20" i="4"/>
  <c r="I19" i="4"/>
  <c r="E429" i="7"/>
  <c r="D430" i="7"/>
  <c r="E430" i="7" s="1"/>
  <c r="I22" i="4"/>
  <c r="E809" i="7"/>
  <c r="C810" i="7"/>
  <c r="C453" i="7"/>
  <c r="E452" i="7"/>
  <c r="E669" i="7"/>
  <c r="C670" i="7"/>
  <c r="I21" i="4"/>
  <c r="E225" i="7"/>
  <c r="C226" i="7"/>
  <c r="E614" i="7" l="1"/>
  <c r="C615" i="7"/>
  <c r="P21" i="11"/>
  <c r="X21" i="11"/>
  <c r="V21" i="11"/>
  <c r="T21" i="11"/>
  <c r="L21" i="11"/>
  <c r="J21" i="11"/>
  <c r="H21" i="11"/>
  <c r="Z21" i="11"/>
  <c r="P22" i="11"/>
  <c r="R22" i="11"/>
  <c r="T22" i="11"/>
  <c r="N19" i="11"/>
  <c r="L19" i="11"/>
  <c r="X19" i="11"/>
  <c r="J19" i="11"/>
  <c r="R19" i="11"/>
  <c r="Z19" i="11"/>
  <c r="H19" i="11"/>
  <c r="D19" i="11"/>
  <c r="T19" i="11"/>
  <c r="P19" i="11"/>
  <c r="D18" i="11"/>
  <c r="R18" i="11"/>
  <c r="P18" i="11"/>
  <c r="H18" i="11"/>
  <c r="F18" i="11"/>
  <c r="Z18" i="11"/>
  <c r="J18" i="11"/>
  <c r="T18" i="11"/>
  <c r="V18" i="11"/>
  <c r="J23" i="11"/>
  <c r="H23" i="11"/>
  <c r="V23" i="11"/>
  <c r="T23" i="11"/>
  <c r="H20" i="11"/>
  <c r="J20" i="11"/>
  <c r="N21" i="11"/>
  <c r="L22" i="11"/>
  <c r="V22" i="11"/>
  <c r="F22" i="11"/>
  <c r="X22" i="11"/>
  <c r="R21" i="11"/>
  <c r="H22" i="11"/>
  <c r="J22" i="11"/>
  <c r="N22" i="11"/>
  <c r="V17" i="11"/>
  <c r="T17" i="11"/>
  <c r="R17" i="11"/>
  <c r="H17" i="11"/>
  <c r="Z17" i="11"/>
  <c r="D17" i="11"/>
  <c r="N17" i="11"/>
  <c r="F17" i="11"/>
  <c r="P17" i="11"/>
  <c r="L17" i="11"/>
  <c r="J17" i="11"/>
  <c r="X17" i="11"/>
  <c r="L18" i="11"/>
  <c r="P23" i="11"/>
  <c r="F20" i="11"/>
  <c r="C454" i="7"/>
  <c r="E453" i="7"/>
  <c r="R23" i="11"/>
  <c r="R24" i="11"/>
  <c r="N24" i="11"/>
  <c r="C541" i="7"/>
  <c r="E541" i="7" s="1"/>
  <c r="E540" i="7"/>
  <c r="E491" i="7"/>
  <c r="C492" i="7"/>
  <c r="C409" i="7"/>
  <c r="E408" i="7"/>
  <c r="H24" i="11"/>
  <c r="F24" i="11"/>
  <c r="E381" i="7"/>
  <c r="C382" i="7"/>
  <c r="J24" i="11"/>
  <c r="N18" i="11"/>
  <c r="N20" i="11"/>
  <c r="D20" i="11"/>
  <c r="R20" i="11"/>
  <c r="L23" i="11"/>
  <c r="T20" i="11"/>
  <c r="T24" i="11"/>
  <c r="D23" i="11"/>
  <c r="L24" i="11"/>
  <c r="P24" i="11"/>
  <c r="X23" i="11"/>
  <c r="V20" i="11"/>
  <c r="V24" i="11"/>
  <c r="E520" i="7"/>
  <c r="C521" i="7"/>
  <c r="D24" i="11"/>
  <c r="L20" i="11"/>
  <c r="C671" i="7"/>
  <c r="E670" i="7"/>
  <c r="Z23" i="11"/>
  <c r="X20" i="11"/>
  <c r="D21" i="11"/>
  <c r="X24" i="11"/>
  <c r="V19" i="11"/>
  <c r="X18" i="11"/>
  <c r="P20" i="11"/>
  <c r="F23" i="11"/>
  <c r="Z20" i="11"/>
  <c r="F21" i="11"/>
  <c r="D22" i="11"/>
  <c r="F19" i="11"/>
  <c r="C811" i="7"/>
  <c r="E810" i="7"/>
  <c r="E226" i="7"/>
  <c r="C227" i="7"/>
  <c r="N23" i="11"/>
  <c r="C616" i="7" l="1"/>
  <c r="E615" i="7"/>
  <c r="AD21" i="11"/>
  <c r="AD22" i="11"/>
  <c r="AD18" i="11"/>
  <c r="AD24" i="11"/>
  <c r="AD19" i="11"/>
  <c r="C410" i="7"/>
  <c r="E409" i="7"/>
  <c r="C493" i="7"/>
  <c r="E492" i="7"/>
  <c r="E227" i="7"/>
  <c r="C228" i="7"/>
  <c r="AD17" i="11"/>
  <c r="E671" i="7"/>
  <c r="C672" i="7"/>
  <c r="E382" i="7"/>
  <c r="C383" i="7"/>
  <c r="E811" i="7"/>
  <c r="C812" i="7"/>
  <c r="AD20" i="11"/>
  <c r="AD23" i="11"/>
  <c r="E521" i="7"/>
  <c r="C522" i="7"/>
  <c r="C455" i="7"/>
  <c r="E455" i="7" s="1"/>
  <c r="E454" i="7"/>
  <c r="C617" i="7" l="1"/>
  <c r="E617" i="7" s="1"/>
  <c r="E616" i="7"/>
  <c r="C384" i="7"/>
  <c r="E383" i="7"/>
  <c r="E228" i="7"/>
  <c r="C229" i="7"/>
  <c r="C673" i="7"/>
  <c r="E672" i="7"/>
  <c r="C494" i="7"/>
  <c r="E493" i="7"/>
  <c r="C813" i="7"/>
  <c r="E812" i="7"/>
  <c r="E522" i="7"/>
  <c r="C523" i="7"/>
  <c r="C411" i="7"/>
  <c r="E410" i="7"/>
  <c r="C412" i="7" l="1"/>
  <c r="E411" i="7"/>
  <c r="E523" i="7"/>
  <c r="C524" i="7"/>
  <c r="C814" i="7"/>
  <c r="E813" i="7"/>
  <c r="C495" i="7"/>
  <c r="E494" i="7"/>
  <c r="E673" i="7"/>
  <c r="C674" i="7"/>
  <c r="E229" i="7"/>
  <c r="C230" i="7"/>
  <c r="C385" i="7"/>
  <c r="E384" i="7"/>
  <c r="E230" i="7" l="1"/>
  <c r="C231" i="7"/>
  <c r="C386" i="7"/>
  <c r="E385" i="7"/>
  <c r="E674" i="7"/>
  <c r="C675" i="7"/>
  <c r="E495" i="7"/>
  <c r="C496" i="7"/>
  <c r="E496" i="7" s="1"/>
  <c r="C815" i="7"/>
  <c r="E814" i="7"/>
  <c r="E524" i="7"/>
  <c r="C525" i="7"/>
  <c r="E412" i="7"/>
  <c r="C413" i="7"/>
  <c r="E413" i="7" s="1"/>
  <c r="E525" i="7" l="1"/>
  <c r="C526" i="7"/>
  <c r="C387" i="7"/>
  <c r="E387" i="7" s="1"/>
  <c r="E386" i="7"/>
  <c r="E815" i="7"/>
  <c r="C816" i="7"/>
  <c r="C676" i="7"/>
  <c r="E675" i="7"/>
  <c r="E231" i="7"/>
  <c r="C232" i="7"/>
  <c r="E676" i="7" l="1"/>
  <c r="C677" i="7"/>
  <c r="E677" i="7" s="1"/>
  <c r="E526" i="7"/>
  <c r="C527" i="7"/>
  <c r="E527" i="7" s="1"/>
  <c r="E232" i="7"/>
  <c r="C233" i="7"/>
  <c r="E816" i="7"/>
  <c r="C817" i="7"/>
  <c r="E817" i="7" s="1"/>
  <c r="E233" i="7" l="1"/>
  <c r="C234" i="7"/>
  <c r="E234" i="7" l="1"/>
  <c r="C235" i="7"/>
  <c r="E235" i="7" l="1"/>
  <c r="C236" i="7"/>
  <c r="E236" i="7" l="1"/>
  <c r="C237" i="7"/>
  <c r="E237" i="7" l="1"/>
  <c r="C238" i="7"/>
  <c r="E238" i="7" l="1"/>
  <c r="C239" i="7"/>
  <c r="E239" i="7" s="1"/>
  <c r="H45" i="4" s="1"/>
  <c r="H39" i="4"/>
  <c r="G46" i="4"/>
  <c r="F32" i="4"/>
  <c r="C35" i="4"/>
  <c r="B34" i="11" s="1"/>
  <c r="F30" i="4"/>
  <c r="F38" i="4"/>
  <c r="F46" i="4"/>
  <c r="C47" i="4"/>
  <c r="B45" i="11" s="1"/>
  <c r="F47" i="4"/>
  <c r="C27" i="4"/>
  <c r="B25" i="11" s="1"/>
  <c r="H37" i="4"/>
  <c r="F27" i="4"/>
  <c r="C32" i="4"/>
  <c r="B30" i="11" s="1"/>
  <c r="G47" i="4" l="1"/>
  <c r="C37" i="4"/>
  <c r="B36" i="11" s="1"/>
  <c r="AC36" i="11" s="1"/>
  <c r="AB36" i="11" s="1"/>
  <c r="H27" i="4"/>
  <c r="H28" i="4"/>
  <c r="I28" i="4" s="1"/>
  <c r="G34" i="4"/>
  <c r="C30" i="4"/>
  <c r="B28" i="11" s="1"/>
  <c r="C46" i="4"/>
  <c r="B44" i="11" s="1"/>
  <c r="H29" i="4"/>
  <c r="I29" i="4" s="1"/>
  <c r="C38" i="4"/>
  <c r="B37" i="11" s="1"/>
  <c r="C34" i="4"/>
  <c r="B33" i="11" s="1"/>
  <c r="I39" i="4"/>
  <c r="I45" i="4"/>
  <c r="H46" i="4"/>
  <c r="G28" i="4"/>
  <c r="H34" i="4"/>
  <c r="H47" i="4"/>
  <c r="F39" i="4"/>
  <c r="F45" i="4"/>
  <c r="G45" i="4"/>
  <c r="G32" i="4"/>
  <c r="G39" i="4"/>
  <c r="C45" i="4"/>
  <c r="B43" i="11" s="1"/>
  <c r="C39" i="4"/>
  <c r="B38" i="11" s="1"/>
  <c r="G38" i="4"/>
  <c r="F28" i="4"/>
  <c r="I37" i="4"/>
  <c r="C36" i="4"/>
  <c r="B35" i="11" s="1"/>
  <c r="C31" i="4"/>
  <c r="B29" i="11" s="1"/>
  <c r="G31" i="4"/>
  <c r="F35" i="4"/>
  <c r="F29" i="4"/>
  <c r="F36" i="4"/>
  <c r="G35" i="4"/>
  <c r="F34" i="4"/>
  <c r="H32" i="4"/>
  <c r="AC30" i="11" s="1"/>
  <c r="AB30" i="11" s="1"/>
  <c r="H35" i="4"/>
  <c r="AC34" i="11" s="1"/>
  <c r="AB34" i="11" s="1"/>
  <c r="G30" i="4"/>
  <c r="C28" i="4"/>
  <c r="B26" i="11" s="1"/>
  <c r="G37" i="4"/>
  <c r="F37" i="4"/>
  <c r="G29" i="4"/>
  <c r="C29" i="4"/>
  <c r="B27" i="11" s="1"/>
  <c r="G27" i="4"/>
  <c r="G36" i="4"/>
  <c r="F31" i="4"/>
  <c r="H36" i="4"/>
  <c r="H38" i="4"/>
  <c r="H31" i="4"/>
  <c r="H30" i="4"/>
  <c r="I27" i="4" l="1"/>
  <c r="AC25" i="11"/>
  <c r="AB25" i="11" s="1"/>
  <c r="J25" i="11" s="1"/>
  <c r="AC28" i="11"/>
  <c r="AB28" i="11" s="1"/>
  <c r="F28" i="11" s="1"/>
  <c r="AC44" i="11"/>
  <c r="AB44" i="11" s="1"/>
  <c r="P44" i="11" s="1"/>
  <c r="P36" i="11"/>
  <c r="F36" i="11"/>
  <c r="D36" i="11"/>
  <c r="N30" i="11"/>
  <c r="J30" i="11"/>
  <c r="H30" i="11"/>
  <c r="F30" i="11"/>
  <c r="L30" i="11"/>
  <c r="V30" i="11"/>
  <c r="T30" i="11"/>
  <c r="D30" i="11"/>
  <c r="Z30" i="11"/>
  <c r="P30" i="11"/>
  <c r="X30" i="11"/>
  <c r="R30" i="11"/>
  <c r="R34" i="11"/>
  <c r="L34" i="11"/>
  <c r="H34" i="11"/>
  <c r="X34" i="11"/>
  <c r="V34" i="11"/>
  <c r="T34" i="11"/>
  <c r="P34" i="11"/>
  <c r="N34" i="11"/>
  <c r="Z34" i="11"/>
  <c r="J34" i="11"/>
  <c r="F34" i="11"/>
  <c r="D34" i="11"/>
  <c r="I34" i="4"/>
  <c r="I46" i="4"/>
  <c r="X36" i="11"/>
  <c r="Z36" i="11"/>
  <c r="I47" i="4"/>
  <c r="AC27" i="11"/>
  <c r="AB27" i="11" s="1"/>
  <c r="AC45" i="11"/>
  <c r="AB45" i="11" s="1"/>
  <c r="AC38" i="11"/>
  <c r="AB38" i="11" s="1"/>
  <c r="AC26" i="11"/>
  <c r="AB26" i="11" s="1"/>
  <c r="AC43" i="11"/>
  <c r="AB43" i="11" s="1"/>
  <c r="AC33" i="11"/>
  <c r="AB33" i="11" s="1"/>
  <c r="H36" i="11"/>
  <c r="AC35" i="11"/>
  <c r="AB35" i="11" s="1"/>
  <c r="J36" i="11"/>
  <c r="L36" i="11"/>
  <c r="I35" i="4"/>
  <c r="N36" i="11"/>
  <c r="R36" i="11"/>
  <c r="I32" i="4"/>
  <c r="I30" i="4"/>
  <c r="I31" i="4"/>
  <c r="T36" i="11"/>
  <c r="I38" i="4"/>
  <c r="AC37" i="11"/>
  <c r="AB37" i="11" s="1"/>
  <c r="V36" i="11"/>
  <c r="I36" i="4"/>
  <c r="AC29" i="11"/>
  <c r="AB29" i="11" s="1"/>
  <c r="X25" i="11" l="1"/>
  <c r="F25" i="11"/>
  <c r="T25" i="11"/>
  <c r="D25" i="11"/>
  <c r="H25" i="11"/>
  <c r="P25" i="11"/>
  <c r="N25" i="11"/>
  <c r="L25" i="11"/>
  <c r="R25" i="11"/>
  <c r="V25" i="11"/>
  <c r="Z25" i="11"/>
  <c r="V28" i="11"/>
  <c r="X28" i="11"/>
  <c r="H28" i="11"/>
  <c r="L28" i="11"/>
  <c r="R28" i="11"/>
  <c r="T28" i="11"/>
  <c r="J28" i="11"/>
  <c r="N28" i="11"/>
  <c r="Z28" i="11"/>
  <c r="P28" i="11"/>
  <c r="D28" i="11"/>
  <c r="L44" i="11"/>
  <c r="T44" i="11"/>
  <c r="X44" i="11"/>
  <c r="H44" i="11"/>
  <c r="F44" i="11"/>
  <c r="J44" i="11"/>
  <c r="V44" i="11"/>
  <c r="Z44" i="11"/>
  <c r="R44" i="11"/>
  <c r="N44" i="11"/>
  <c r="D44" i="11"/>
  <c r="D26" i="11"/>
  <c r="H26" i="11"/>
  <c r="J26" i="11"/>
  <c r="Z26" i="11"/>
  <c r="T35" i="11"/>
  <c r="Z35" i="11"/>
  <c r="J35" i="11"/>
  <c r="V35" i="11"/>
  <c r="P35" i="11"/>
  <c r="R35" i="11"/>
  <c r="H35" i="11"/>
  <c r="N35" i="11"/>
  <c r="X35" i="11"/>
  <c r="L35" i="11"/>
  <c r="AD36" i="11"/>
  <c r="N29" i="11"/>
  <c r="H29" i="11"/>
  <c r="F29" i="11"/>
  <c r="D29" i="11"/>
  <c r="J29" i="11"/>
  <c r="R29" i="11"/>
  <c r="V29" i="11"/>
  <c r="L29" i="11"/>
  <c r="Z29" i="11"/>
  <c r="X29" i="11"/>
  <c r="T29" i="11"/>
  <c r="P29" i="11"/>
  <c r="X38" i="11"/>
  <c r="R38" i="11"/>
  <c r="P38" i="11"/>
  <c r="N38" i="11"/>
  <c r="V38" i="11"/>
  <c r="T38" i="11"/>
  <c r="L38" i="11"/>
  <c r="J38" i="11"/>
  <c r="H38" i="11"/>
  <c r="F38" i="11"/>
  <c r="D38" i="11"/>
  <c r="Z38" i="11"/>
  <c r="V27" i="11"/>
  <c r="P27" i="11"/>
  <c r="N27" i="11"/>
  <c r="L27" i="11"/>
  <c r="X27" i="11"/>
  <c r="Z27" i="11"/>
  <c r="J27" i="11"/>
  <c r="T27" i="11"/>
  <c r="H27" i="11"/>
  <c r="F27" i="11"/>
  <c r="R27" i="11"/>
  <c r="D27" i="11"/>
  <c r="N43" i="11"/>
  <c r="T43" i="11"/>
  <c r="R43" i="11"/>
  <c r="P43" i="11"/>
  <c r="L43" i="11"/>
  <c r="Z43" i="11"/>
  <c r="V43" i="11"/>
  <c r="X43" i="11"/>
  <c r="J43" i="11"/>
  <c r="F43" i="11"/>
  <c r="D43" i="11"/>
  <c r="H43" i="11"/>
  <c r="N26" i="11"/>
  <c r="F26" i="11"/>
  <c r="P26" i="11"/>
  <c r="R26" i="11"/>
  <c r="T26" i="11"/>
  <c r="AD30" i="11"/>
  <c r="X37" i="11"/>
  <c r="D37" i="11"/>
  <c r="V37" i="11"/>
  <c r="T37" i="11"/>
  <c r="N37" i="11"/>
  <c r="L37" i="11"/>
  <c r="Z37" i="11"/>
  <c r="R37" i="11"/>
  <c r="H37" i="11"/>
  <c r="F37" i="11"/>
  <c r="P37" i="11"/>
  <c r="J37" i="11"/>
  <c r="Z33" i="11"/>
  <c r="X33" i="11"/>
  <c r="P33" i="11"/>
  <c r="R33" i="11"/>
  <c r="L33" i="11"/>
  <c r="J33" i="11"/>
  <c r="H33" i="11"/>
  <c r="D33" i="11"/>
  <c r="V33" i="11"/>
  <c r="T33" i="11"/>
  <c r="F33" i="11"/>
  <c r="N33" i="11"/>
  <c r="F45" i="11"/>
  <c r="P45" i="11"/>
  <c r="X45" i="11"/>
  <c r="L45" i="11"/>
  <c r="H45" i="11"/>
  <c r="R45" i="11"/>
  <c r="D45" i="11"/>
  <c r="Z45" i="11"/>
  <c r="V45" i="11"/>
  <c r="J45" i="11"/>
  <c r="T45" i="11"/>
  <c r="N45" i="11"/>
  <c r="L26" i="11"/>
  <c r="X26" i="11"/>
  <c r="F35" i="11"/>
  <c r="V26" i="11"/>
  <c r="D35" i="11"/>
  <c r="AD34" i="11"/>
  <c r="AD25" i="11" l="1"/>
  <c r="AD28" i="11"/>
  <c r="AD44" i="11"/>
  <c r="AD26" i="11"/>
  <c r="AD35" i="11"/>
  <c r="AD38" i="11"/>
  <c r="AD29" i="11"/>
  <c r="AD43" i="11"/>
  <c r="AD45" i="11"/>
  <c r="AD33" i="11"/>
  <c r="AD37" i="11"/>
  <c r="AD27" i="11"/>
  <c r="C954" i="7" l="1"/>
  <c r="E954" i="7" s="1"/>
  <c r="E953" i="7"/>
  <c r="F41" i="4" l="1"/>
  <c r="C41" i="4"/>
  <c r="B40" i="11" s="1"/>
  <c r="H41" i="4"/>
  <c r="I41" i="4" s="1"/>
  <c r="G41" i="4"/>
  <c r="C40" i="4"/>
  <c r="B39" i="11" s="1"/>
  <c r="F40" i="4"/>
  <c r="H40" i="4"/>
  <c r="G40" i="4"/>
  <c r="G48" i="4"/>
  <c r="G49" i="4"/>
  <c r="H49" i="4"/>
  <c r="C49" i="4"/>
  <c r="B47" i="11" s="1"/>
  <c r="H48" i="4"/>
  <c r="F49" i="4"/>
  <c r="C48" i="4"/>
  <c r="B46" i="11" s="1"/>
  <c r="F48" i="4"/>
  <c r="G42" i="4" l="1"/>
  <c r="AC40" i="11"/>
  <c r="AB40" i="11" s="1"/>
  <c r="Z40" i="11" s="1"/>
  <c r="H42" i="4"/>
  <c r="E23" i="2" s="1"/>
  <c r="F42" i="4"/>
  <c r="I40" i="4"/>
  <c r="I42" i="4" s="1"/>
  <c r="AC39" i="11"/>
  <c r="AB39" i="11" s="1"/>
  <c r="J39" i="11" s="1"/>
  <c r="G50" i="4"/>
  <c r="AC46" i="11"/>
  <c r="I48" i="4"/>
  <c r="H50" i="4"/>
  <c r="AC47" i="11"/>
  <c r="AB47" i="11" s="1"/>
  <c r="I49" i="4"/>
  <c r="F50" i="4"/>
  <c r="G51" i="4" l="1"/>
  <c r="X40" i="11"/>
  <c r="N40" i="11"/>
  <c r="T40" i="11"/>
  <c r="V40" i="11"/>
  <c r="L40" i="11"/>
  <c r="F51" i="4"/>
  <c r="F40" i="11"/>
  <c r="J40" i="11"/>
  <c r="R40" i="11"/>
  <c r="P40" i="11"/>
  <c r="H40" i="11"/>
  <c r="D40" i="11"/>
  <c r="L39" i="11"/>
  <c r="D39" i="11"/>
  <c r="P39" i="11"/>
  <c r="Z39" i="11"/>
  <c r="N39" i="11"/>
  <c r="V39" i="11"/>
  <c r="X39" i="11"/>
  <c r="R39" i="11"/>
  <c r="T39" i="11"/>
  <c r="H39" i="11"/>
  <c r="F39" i="11"/>
  <c r="H23" i="2"/>
  <c r="I11" i="3"/>
  <c r="I50" i="4"/>
  <c r="I51" i="4" s="1"/>
  <c r="AC51" i="11"/>
  <c r="Z47" i="11"/>
  <c r="L47" i="11"/>
  <c r="D47" i="11"/>
  <c r="R47" i="11"/>
  <c r="P47" i="11"/>
  <c r="J47" i="11"/>
  <c r="V47" i="11"/>
  <c r="X47" i="11"/>
  <c r="T47" i="11"/>
  <c r="N47" i="11"/>
  <c r="F47" i="11"/>
  <c r="H47" i="11"/>
  <c r="AB46" i="11"/>
  <c r="H51" i="4"/>
  <c r="E24" i="2"/>
  <c r="AD40" i="11" l="1"/>
  <c r="AD39" i="11"/>
  <c r="J17" i="4"/>
  <c r="J41" i="4"/>
  <c r="C17" i="3"/>
  <c r="C15" i="3"/>
  <c r="C16" i="3"/>
  <c r="C20" i="3"/>
  <c r="J49" i="4"/>
  <c r="J36" i="4"/>
  <c r="J24" i="4"/>
  <c r="J25" i="4"/>
  <c r="J37" i="4"/>
  <c r="J48" i="4"/>
  <c r="J27" i="4"/>
  <c r="J34" i="4"/>
  <c r="J19" i="4"/>
  <c r="J29" i="4"/>
  <c r="J39" i="4"/>
  <c r="J15" i="4"/>
  <c r="J35" i="4"/>
  <c r="J38" i="4"/>
  <c r="J18" i="4"/>
  <c r="J26" i="4"/>
  <c r="AD51" i="11"/>
  <c r="J32" i="4"/>
  <c r="J21" i="4"/>
  <c r="J16" i="4"/>
  <c r="J30" i="4"/>
  <c r="J45" i="4"/>
  <c r="J40" i="4"/>
  <c r="J23" i="4"/>
  <c r="J47" i="4"/>
  <c r="J28" i="4"/>
  <c r="J22" i="4"/>
  <c r="J20" i="4"/>
  <c r="J46" i="4"/>
  <c r="J31" i="4"/>
  <c r="C52" i="11"/>
  <c r="G52" i="4"/>
  <c r="F52" i="4"/>
  <c r="H24" i="2"/>
  <c r="H28" i="2" s="1"/>
  <c r="M16" i="1" s="1"/>
  <c r="M18" i="1" s="1"/>
  <c r="H26" i="2"/>
  <c r="I32" i="3"/>
  <c r="AB51" i="11"/>
  <c r="AB57" i="11"/>
  <c r="X46" i="11"/>
  <c r="R46" i="11"/>
  <c r="R57" i="11" s="1"/>
  <c r="F46" i="11"/>
  <c r="F57" i="11" s="1"/>
  <c r="T46" i="11"/>
  <c r="T57" i="11" s="1"/>
  <c r="V46" i="11"/>
  <c r="V57" i="11" s="1"/>
  <c r="P46" i="11"/>
  <c r="P57" i="11" s="1"/>
  <c r="H46" i="11"/>
  <c r="H57" i="11" s="1"/>
  <c r="N46" i="11"/>
  <c r="N57" i="11" s="1"/>
  <c r="Z46" i="11"/>
  <c r="L46" i="11"/>
  <c r="L57" i="11" s="1"/>
  <c r="J46" i="11"/>
  <c r="J57" i="11" s="1"/>
  <c r="D46" i="11"/>
  <c r="D57" i="11" s="1"/>
  <c r="AD47" i="11"/>
  <c r="C18" i="3" l="1"/>
  <c r="C19" i="3" s="1"/>
  <c r="C40" i="11"/>
  <c r="J42" i="4"/>
  <c r="C53" i="11"/>
  <c r="J50" i="4"/>
  <c r="I57" i="11"/>
  <c r="I13" i="11" s="1"/>
  <c r="H13" i="11" s="1"/>
  <c r="H51" i="11" s="1"/>
  <c r="Q57" i="11"/>
  <c r="Q13" i="11" s="1"/>
  <c r="P13" i="11" s="1"/>
  <c r="P51" i="11" s="1"/>
  <c r="Q51" i="11" s="1"/>
  <c r="Q52" i="11" s="1"/>
  <c r="W57" i="11"/>
  <c r="W13" i="11" s="1"/>
  <c r="V13" i="11" s="1"/>
  <c r="O57" i="11"/>
  <c r="O13" i="11" s="1"/>
  <c r="N13" i="11" s="1"/>
  <c r="N51" i="11" s="1"/>
  <c r="O51" i="11" s="1"/>
  <c r="O52" i="11" s="1"/>
  <c r="M57" i="11"/>
  <c r="M13" i="11" s="1"/>
  <c r="L13" i="11" s="1"/>
  <c r="L51" i="11" s="1"/>
  <c r="L52" i="11" s="1"/>
  <c r="K57" i="11"/>
  <c r="K13" i="11" s="1"/>
  <c r="J13" i="11" s="1"/>
  <c r="J51" i="11" s="1"/>
  <c r="K51" i="11" s="1"/>
  <c r="K52" i="11" s="1"/>
  <c r="U57" i="11"/>
  <c r="U13" i="11" s="1"/>
  <c r="T13" i="11" s="1"/>
  <c r="T51" i="11" s="1"/>
  <c r="T52" i="11" s="1"/>
  <c r="S57" i="11"/>
  <c r="S13" i="11" s="1"/>
  <c r="R13" i="11" s="1"/>
  <c r="R51" i="11" s="1"/>
  <c r="G57" i="11"/>
  <c r="G13" i="11" s="1"/>
  <c r="F13" i="11" s="1"/>
  <c r="F51" i="11" s="1"/>
  <c r="C21" i="11"/>
  <c r="C39" i="11"/>
  <c r="C19" i="11"/>
  <c r="C38" i="11"/>
  <c r="C27" i="11"/>
  <c r="C15" i="11"/>
  <c r="C36" i="11"/>
  <c r="C29" i="11"/>
  <c r="C17" i="11"/>
  <c r="C24" i="11"/>
  <c r="C37" i="11"/>
  <c r="C45" i="11"/>
  <c r="C28" i="11"/>
  <c r="C18" i="11"/>
  <c r="C20" i="11"/>
  <c r="C25" i="11"/>
  <c r="C30" i="11"/>
  <c r="C34" i="11"/>
  <c r="P28" i="2"/>
  <c r="C33" i="11"/>
  <c r="C43" i="11"/>
  <c r="C13" i="11"/>
  <c r="C14" i="11"/>
  <c r="C26" i="11"/>
  <c r="C16" i="11"/>
  <c r="C23" i="11"/>
  <c r="C22" i="11"/>
  <c r="C35" i="11"/>
  <c r="C44" i="11"/>
  <c r="C47" i="11"/>
  <c r="X51" i="11"/>
  <c r="X52" i="11" s="1"/>
  <c r="X57" i="11"/>
  <c r="C46" i="11"/>
  <c r="Z57" i="11"/>
  <c r="Z51" i="11"/>
  <c r="AA51" i="11" s="1"/>
  <c r="AD46" i="11"/>
  <c r="C35" i="3"/>
  <c r="C37" i="3"/>
  <c r="C40" i="3"/>
  <c r="C36" i="3"/>
  <c r="H35" i="2"/>
  <c r="H37" i="2" s="1"/>
  <c r="H52" i="4"/>
  <c r="E57" i="11"/>
  <c r="E13" i="11" s="1"/>
  <c r="D13" i="11" s="1"/>
  <c r="D51" i="11" s="1"/>
  <c r="D52" i="11" s="1"/>
  <c r="J51" i="4" l="1"/>
  <c r="C25" i="3"/>
  <c r="C26" i="3" s="1"/>
  <c r="F52" i="11"/>
  <c r="R52" i="11"/>
  <c r="H52" i="11"/>
  <c r="I51" i="11"/>
  <c r="I52" i="11" s="1"/>
  <c r="P52" i="11"/>
  <c r="N52" i="11"/>
  <c r="U51" i="11"/>
  <c r="U52" i="11" s="1"/>
  <c r="M51" i="11"/>
  <c r="M52" i="11" s="1"/>
  <c r="S51" i="11"/>
  <c r="S52" i="11" s="1"/>
  <c r="J52" i="11"/>
  <c r="G51" i="11"/>
  <c r="G52" i="11" s="1"/>
  <c r="C38" i="3"/>
  <c r="C39" i="3" s="1"/>
  <c r="C45" i="3" s="1"/>
  <c r="C46" i="3" s="1"/>
  <c r="E51" i="11"/>
  <c r="E52" i="11" s="1"/>
  <c r="E54" i="11" s="1"/>
  <c r="E60" i="11" s="1"/>
  <c r="Y51" i="11"/>
  <c r="Y52" i="11" s="1"/>
  <c r="AA52" i="11"/>
  <c r="D54" i="11"/>
  <c r="C51" i="11"/>
  <c r="Z52" i="11"/>
  <c r="AE13" i="11"/>
  <c r="V51" i="11"/>
  <c r="AD13" i="11"/>
  <c r="F54" i="11" l="1"/>
  <c r="H54" i="11" s="1"/>
  <c r="J54" i="11" s="1"/>
  <c r="L54" i="11" s="1"/>
  <c r="N54" i="11" s="1"/>
  <c r="P54" i="11" s="1"/>
  <c r="R54" i="11" s="1"/>
  <c r="T54" i="11" s="1"/>
  <c r="Z54" i="11" s="1"/>
  <c r="G54" i="11"/>
  <c r="W51" i="11"/>
  <c r="V52" i="11"/>
  <c r="V54" i="11" l="1"/>
  <c r="X54" i="11" s="1"/>
  <c r="AB52" i="11"/>
  <c r="F60" i="11"/>
  <c r="I54" i="11"/>
  <c r="W52" i="11"/>
  <c r="AE51" i="11"/>
  <c r="G60" i="11" l="1"/>
  <c r="K54" i="11"/>
  <c r="H60" i="11" l="1"/>
  <c r="M54" i="11"/>
  <c r="I60" i="11" l="1"/>
  <c r="O54" i="11"/>
  <c r="Q54" i="11" l="1"/>
  <c r="J60" i="11"/>
  <c r="K60" i="11" l="1"/>
  <c r="S54" i="11"/>
  <c r="L60" i="11" l="1"/>
  <c r="U54" i="11"/>
  <c r="M60" i="11" l="1"/>
  <c r="AA54" i="11"/>
  <c r="W54" i="11"/>
  <c r="N60" i="11" l="1"/>
  <c r="Y54" i="11"/>
  <c r="N9" i="9" l="1"/>
  <c r="O9" i="9" s="1"/>
  <c r="M10" i="9"/>
  <c r="N10" i="9" s="1"/>
  <c r="O10" i="9" s="1"/>
  <c r="M11" i="9" l="1"/>
  <c r="M12" i="9" l="1"/>
  <c r="N11" i="9"/>
  <c r="O11" i="9" s="1"/>
  <c r="M13" i="9" l="1"/>
  <c r="N12" i="9"/>
  <c r="O12" i="9" s="1"/>
  <c r="M14" i="9" l="1"/>
  <c r="N13" i="9"/>
  <c r="O13" i="9" s="1"/>
  <c r="M15" i="9" l="1"/>
  <c r="N14" i="9"/>
  <c r="O14" i="9" s="1"/>
  <c r="M16" i="9" l="1"/>
  <c r="N15" i="9"/>
  <c r="O15" i="9" s="1"/>
  <c r="M17" i="9" l="1"/>
  <c r="N16" i="9"/>
  <c r="O16" i="9" s="1"/>
  <c r="M18" i="9" l="1"/>
  <c r="N17" i="9"/>
  <c r="O17" i="9" s="1"/>
  <c r="M19" i="9" l="1"/>
  <c r="N18" i="9"/>
  <c r="O18" i="9" s="1"/>
  <c r="M20" i="9" l="1"/>
  <c r="N19" i="9"/>
  <c r="O19" i="9" s="1"/>
  <c r="M21" i="9" l="1"/>
  <c r="N20" i="9"/>
  <c r="O20" i="9" s="1"/>
  <c r="M22" i="9" l="1"/>
  <c r="N21" i="9"/>
  <c r="O21" i="9" s="1"/>
  <c r="M23" i="9" l="1"/>
  <c r="N22" i="9"/>
  <c r="O22" i="9" s="1"/>
  <c r="M24" i="9" l="1"/>
  <c r="N23" i="9"/>
  <c r="O23" i="9" s="1"/>
  <c r="M25" i="9" l="1"/>
  <c r="N24" i="9"/>
  <c r="O24" i="9" s="1"/>
  <c r="M26" i="9" l="1"/>
  <c r="N25" i="9"/>
  <c r="O25" i="9" s="1"/>
  <c r="M27" i="9" l="1"/>
  <c r="N26" i="9"/>
  <c r="O26" i="9" s="1"/>
  <c r="M28" i="9" l="1"/>
  <c r="N27" i="9"/>
  <c r="O27" i="9" s="1"/>
  <c r="M29" i="9" l="1"/>
  <c r="N28" i="9"/>
  <c r="O28" i="9" s="1"/>
  <c r="M30" i="9" l="1"/>
  <c r="N29" i="9"/>
  <c r="O29" i="9" s="1"/>
  <c r="M31" i="9" l="1"/>
  <c r="N30" i="9"/>
  <c r="O30" i="9" s="1"/>
  <c r="M32" i="9" l="1"/>
  <c r="N31" i="9"/>
  <c r="O31" i="9" s="1"/>
  <c r="M33" i="9" l="1"/>
  <c r="N32" i="9"/>
  <c r="O32" i="9" s="1"/>
  <c r="M34" i="9" l="1"/>
  <c r="N33" i="9"/>
  <c r="O33" i="9" s="1"/>
  <c r="M35" i="9" l="1"/>
  <c r="N34" i="9"/>
  <c r="O34" i="9" s="1"/>
  <c r="M36" i="9" l="1"/>
  <c r="N35" i="9"/>
  <c r="O35" i="9" s="1"/>
  <c r="M37" i="9" l="1"/>
  <c r="N36" i="9"/>
  <c r="O36" i="9" s="1"/>
  <c r="M38" i="9" l="1"/>
  <c r="N37" i="9"/>
  <c r="O37" i="9" s="1"/>
  <c r="M39" i="9" l="1"/>
  <c r="N38" i="9"/>
  <c r="O38" i="9" s="1"/>
  <c r="M40" i="9" l="1"/>
  <c r="N39" i="9"/>
  <c r="O39" i="9" s="1"/>
  <c r="M41" i="9" l="1"/>
  <c r="N40" i="9"/>
  <c r="O40" i="9" s="1"/>
  <c r="M42" i="9" l="1"/>
  <c r="N41" i="9"/>
  <c r="O41" i="9" s="1"/>
  <c r="M43" i="9" l="1"/>
  <c r="N42" i="9"/>
  <c r="O42" i="9" s="1"/>
  <c r="M44" i="9" l="1"/>
  <c r="N43" i="9"/>
  <c r="O43" i="9" s="1"/>
  <c r="M45" i="9" l="1"/>
  <c r="N44" i="9"/>
  <c r="O44" i="9" s="1"/>
  <c r="M46" i="9" l="1"/>
  <c r="N45" i="9"/>
  <c r="O45" i="9" s="1"/>
  <c r="M47" i="9" l="1"/>
  <c r="N46" i="9"/>
  <c r="O46" i="9" s="1"/>
  <c r="M48" i="9" l="1"/>
  <c r="N47" i="9"/>
  <c r="O47" i="9" s="1"/>
  <c r="M49" i="9" l="1"/>
  <c r="N48" i="9"/>
  <c r="O48" i="9" s="1"/>
  <c r="M50" i="9" l="1"/>
  <c r="N49" i="9"/>
  <c r="O49" i="9" s="1"/>
  <c r="M51" i="9" l="1"/>
  <c r="N50" i="9"/>
  <c r="O50" i="9" s="1"/>
  <c r="M52" i="9" l="1"/>
  <c r="N51" i="9"/>
  <c r="O51" i="9" s="1"/>
  <c r="M53" i="9" l="1"/>
  <c r="N52" i="9"/>
  <c r="O52" i="9" s="1"/>
  <c r="M54" i="9" l="1"/>
  <c r="N53" i="9"/>
  <c r="O53" i="9" s="1"/>
  <c r="M55" i="9" l="1"/>
  <c r="N54" i="9"/>
  <c r="O54" i="9" s="1"/>
  <c r="M56" i="9" l="1"/>
  <c r="N55" i="9"/>
  <c r="O55" i="9" s="1"/>
  <c r="M57" i="9" l="1"/>
  <c r="N56" i="9"/>
  <c r="O56" i="9" s="1"/>
  <c r="M58" i="9" l="1"/>
  <c r="N57" i="9"/>
  <c r="O57" i="9" s="1"/>
  <c r="M59" i="9" l="1"/>
  <c r="N58" i="9"/>
  <c r="O58" i="9" s="1"/>
  <c r="M60" i="9" l="1"/>
  <c r="N59" i="9"/>
  <c r="O59" i="9" s="1"/>
  <c r="M61" i="9" l="1"/>
  <c r="N60" i="9"/>
  <c r="O60" i="9" s="1"/>
  <c r="M62" i="9" l="1"/>
  <c r="N61" i="9"/>
  <c r="O61" i="9" s="1"/>
  <c r="M63" i="9" l="1"/>
  <c r="N62" i="9"/>
  <c r="O62" i="9" s="1"/>
  <c r="M64" i="9" l="1"/>
  <c r="N63" i="9"/>
  <c r="O63" i="9" s="1"/>
  <c r="M65" i="9" l="1"/>
  <c r="N64" i="9"/>
  <c r="O64" i="9" s="1"/>
  <c r="M66" i="9" l="1"/>
  <c r="N65" i="9"/>
  <c r="O65" i="9" s="1"/>
  <c r="M67" i="9" l="1"/>
  <c r="N66" i="9"/>
  <c r="O66" i="9" s="1"/>
  <c r="M68" i="9" l="1"/>
  <c r="N67" i="9"/>
  <c r="O67" i="9" s="1"/>
  <c r="M69" i="9" l="1"/>
  <c r="N68" i="9"/>
  <c r="O68" i="9" s="1"/>
  <c r="M70" i="9" l="1"/>
  <c r="N69" i="9"/>
  <c r="O69" i="9" s="1"/>
  <c r="M71" i="9" l="1"/>
  <c r="N70" i="9"/>
  <c r="O70" i="9" s="1"/>
  <c r="M72" i="9" l="1"/>
  <c r="N71" i="9"/>
  <c r="O71" i="9" s="1"/>
  <c r="M73" i="9" l="1"/>
  <c r="N72" i="9"/>
  <c r="O72" i="9" s="1"/>
  <c r="M74" i="9" l="1"/>
  <c r="N73" i="9"/>
  <c r="O73" i="9" s="1"/>
  <c r="M75" i="9" l="1"/>
  <c r="N74" i="9"/>
  <c r="O74" i="9" s="1"/>
  <c r="M76" i="9" l="1"/>
  <c r="N75" i="9"/>
  <c r="O75" i="9" s="1"/>
  <c r="M77" i="9" l="1"/>
  <c r="N76" i="9"/>
  <c r="O76" i="9" s="1"/>
  <c r="M78" i="9" l="1"/>
  <c r="N77" i="9"/>
  <c r="O77" i="9" s="1"/>
  <c r="M79" i="9" l="1"/>
  <c r="N78" i="9"/>
  <c r="O78" i="9" s="1"/>
  <c r="M80" i="9" l="1"/>
  <c r="N79" i="9"/>
  <c r="O79" i="9" s="1"/>
  <c r="M81" i="9" l="1"/>
  <c r="N80" i="9"/>
  <c r="O80" i="9" s="1"/>
  <c r="M82" i="9" l="1"/>
  <c r="N81" i="9"/>
  <c r="O81" i="9" s="1"/>
  <c r="M83" i="9" l="1"/>
  <c r="N82" i="9"/>
  <c r="O82" i="9" s="1"/>
  <c r="M84" i="9" l="1"/>
  <c r="N83" i="9"/>
  <c r="O83" i="9" s="1"/>
  <c r="M85" i="9" l="1"/>
  <c r="N84" i="9"/>
  <c r="O84" i="9" s="1"/>
  <c r="M86" i="9" l="1"/>
  <c r="N85" i="9"/>
  <c r="O85" i="9" s="1"/>
  <c r="M87" i="9" l="1"/>
  <c r="N86" i="9"/>
  <c r="O86" i="9" s="1"/>
  <c r="M88" i="9" l="1"/>
  <c r="N87" i="9"/>
  <c r="O87" i="9" s="1"/>
  <c r="M89" i="9" l="1"/>
  <c r="N88" i="9"/>
  <c r="O88" i="9" s="1"/>
  <c r="M90" i="9" l="1"/>
  <c r="N89" i="9"/>
  <c r="O89" i="9" s="1"/>
  <c r="M91" i="9" l="1"/>
  <c r="N90" i="9"/>
  <c r="O90" i="9" s="1"/>
  <c r="M92" i="9" l="1"/>
  <c r="N91" i="9"/>
  <c r="O91" i="9" s="1"/>
  <c r="M93" i="9" l="1"/>
  <c r="N92" i="9"/>
  <c r="O92" i="9" s="1"/>
  <c r="M94" i="9" l="1"/>
  <c r="N93" i="9"/>
  <c r="O93" i="9" s="1"/>
  <c r="M95" i="9" l="1"/>
  <c r="N94" i="9"/>
  <c r="O94" i="9" s="1"/>
  <c r="M96" i="9" l="1"/>
  <c r="N95" i="9"/>
  <c r="O95" i="9" s="1"/>
  <c r="M97" i="9" l="1"/>
  <c r="N96" i="9"/>
  <c r="O96" i="9" s="1"/>
  <c r="M98" i="9" l="1"/>
  <c r="N97" i="9"/>
  <c r="O97" i="9" s="1"/>
  <c r="M99" i="9" l="1"/>
  <c r="N98" i="9"/>
  <c r="O98" i="9" s="1"/>
  <c r="M100" i="9" l="1"/>
  <c r="N99" i="9"/>
  <c r="O99" i="9" s="1"/>
  <c r="M101" i="9" l="1"/>
  <c r="N100" i="9"/>
  <c r="O100" i="9" s="1"/>
  <c r="M102" i="9" l="1"/>
  <c r="N101" i="9"/>
  <c r="O101" i="9" s="1"/>
  <c r="M103" i="9" l="1"/>
  <c r="N102" i="9"/>
  <c r="O102" i="9" s="1"/>
  <c r="M104" i="9" l="1"/>
  <c r="N103" i="9"/>
  <c r="O103" i="9" s="1"/>
  <c r="M105" i="9" l="1"/>
  <c r="N104" i="9"/>
  <c r="O104" i="9" s="1"/>
  <c r="M106" i="9" l="1"/>
  <c r="N105" i="9"/>
  <c r="O105" i="9" s="1"/>
  <c r="M107" i="9" l="1"/>
  <c r="N106" i="9"/>
  <c r="O106" i="9" s="1"/>
  <c r="M108" i="9" l="1"/>
  <c r="N107" i="9"/>
  <c r="O107" i="9" s="1"/>
  <c r="M109" i="9" l="1"/>
  <c r="N108" i="9"/>
  <c r="O108" i="9" s="1"/>
  <c r="M110" i="9" l="1"/>
  <c r="N109" i="9"/>
  <c r="O109" i="9" s="1"/>
  <c r="M111" i="9" l="1"/>
  <c r="N110" i="9"/>
  <c r="O110" i="9" s="1"/>
  <c r="M112" i="9" l="1"/>
  <c r="N111" i="9"/>
  <c r="O111" i="9" s="1"/>
  <c r="M113" i="9" l="1"/>
  <c r="N112" i="9"/>
  <c r="O112" i="9" s="1"/>
  <c r="M114" i="9" l="1"/>
  <c r="N113" i="9"/>
  <c r="O113" i="9" s="1"/>
  <c r="M115" i="9" l="1"/>
  <c r="N114" i="9"/>
  <c r="O114" i="9" s="1"/>
  <c r="M116" i="9" l="1"/>
  <c r="N115" i="9"/>
  <c r="O115" i="9" s="1"/>
  <c r="M117" i="9" l="1"/>
  <c r="N116" i="9"/>
  <c r="O116" i="9" s="1"/>
  <c r="M118" i="9" l="1"/>
  <c r="N117" i="9"/>
  <c r="O117" i="9" s="1"/>
  <c r="M119" i="9" l="1"/>
  <c r="N118" i="9"/>
  <c r="O118" i="9" s="1"/>
  <c r="M120" i="9" l="1"/>
  <c r="N119" i="9"/>
  <c r="O119" i="9" s="1"/>
  <c r="M121" i="9" l="1"/>
  <c r="N120" i="9"/>
  <c r="O120" i="9" s="1"/>
  <c r="M122" i="9" l="1"/>
  <c r="N121" i="9"/>
  <c r="O121" i="9" s="1"/>
  <c r="M123" i="9" l="1"/>
  <c r="N122" i="9"/>
  <c r="O122" i="9" s="1"/>
  <c r="M124" i="9" l="1"/>
  <c r="N123" i="9"/>
  <c r="O123" i="9" s="1"/>
  <c r="M125" i="9" l="1"/>
  <c r="N124" i="9"/>
  <c r="O124" i="9" s="1"/>
  <c r="M126" i="9" l="1"/>
  <c r="N125" i="9"/>
  <c r="O125" i="9" s="1"/>
  <c r="M127" i="9" l="1"/>
  <c r="N126" i="9"/>
  <c r="O126" i="9" s="1"/>
  <c r="M128" i="9" l="1"/>
  <c r="N127" i="9"/>
  <c r="O127" i="9" s="1"/>
  <c r="M129" i="9" l="1"/>
  <c r="N128" i="9"/>
  <c r="O128" i="9" s="1"/>
  <c r="M130" i="9" l="1"/>
  <c r="N129" i="9"/>
  <c r="O129" i="9" s="1"/>
  <c r="M131" i="9" l="1"/>
  <c r="N130" i="9"/>
  <c r="O130" i="9" s="1"/>
  <c r="M132" i="9" l="1"/>
  <c r="N131" i="9"/>
  <c r="O131" i="9" s="1"/>
  <c r="M133" i="9" l="1"/>
  <c r="N132" i="9"/>
  <c r="O132" i="9" s="1"/>
  <c r="M134" i="9" l="1"/>
  <c r="N133" i="9"/>
  <c r="O133" i="9" s="1"/>
  <c r="M135" i="9" l="1"/>
  <c r="N134" i="9"/>
  <c r="O134" i="9" s="1"/>
  <c r="M136" i="9" l="1"/>
  <c r="N135" i="9"/>
  <c r="O135" i="9" s="1"/>
  <c r="M137" i="9" l="1"/>
  <c r="N136" i="9"/>
  <c r="O136" i="9" s="1"/>
  <c r="M138" i="9" l="1"/>
  <c r="N137" i="9"/>
  <c r="O137" i="9" s="1"/>
  <c r="M139" i="9" l="1"/>
  <c r="N138" i="9"/>
  <c r="O138" i="9" s="1"/>
  <c r="M140" i="9" l="1"/>
  <c r="N139" i="9"/>
  <c r="O139" i="9" s="1"/>
  <c r="M141" i="9" l="1"/>
  <c r="N140" i="9"/>
  <c r="O140" i="9" s="1"/>
  <c r="M142" i="9" l="1"/>
  <c r="N141" i="9"/>
  <c r="O141" i="9" s="1"/>
  <c r="M143" i="9" l="1"/>
  <c r="N142" i="9"/>
  <c r="O142" i="9" s="1"/>
  <c r="M144" i="9" l="1"/>
  <c r="N143" i="9"/>
  <c r="O143" i="9" s="1"/>
  <c r="M145" i="9" l="1"/>
  <c r="N144" i="9"/>
  <c r="O144" i="9" s="1"/>
  <c r="M146" i="9" l="1"/>
  <c r="N145" i="9"/>
  <c r="O145" i="9" s="1"/>
  <c r="M147" i="9" l="1"/>
  <c r="N146" i="9"/>
  <c r="O146" i="9" s="1"/>
  <c r="M148" i="9" l="1"/>
  <c r="N147" i="9"/>
  <c r="O147" i="9" s="1"/>
  <c r="M149" i="9" l="1"/>
  <c r="N148" i="9"/>
  <c r="O148" i="9" s="1"/>
  <c r="M150" i="9" l="1"/>
  <c r="N149" i="9"/>
  <c r="O149" i="9" s="1"/>
  <c r="M151" i="9" l="1"/>
  <c r="N150" i="9"/>
  <c r="O150" i="9" s="1"/>
  <c r="M152" i="9" l="1"/>
  <c r="N151" i="9"/>
  <c r="O151" i="9" s="1"/>
  <c r="M153" i="9" l="1"/>
  <c r="N152" i="9"/>
  <c r="O152" i="9" s="1"/>
  <c r="M154" i="9" l="1"/>
  <c r="N153" i="9"/>
  <c r="O153" i="9" s="1"/>
  <c r="M155" i="9" l="1"/>
  <c r="N154" i="9"/>
  <c r="O154" i="9" s="1"/>
  <c r="M156" i="9" l="1"/>
  <c r="N155" i="9"/>
  <c r="O155" i="9" s="1"/>
  <c r="M157" i="9" l="1"/>
  <c r="N156" i="9"/>
  <c r="O156" i="9" s="1"/>
  <c r="M158" i="9" l="1"/>
  <c r="N157" i="9"/>
  <c r="O157" i="9" s="1"/>
  <c r="M159" i="9" l="1"/>
  <c r="N158" i="9"/>
  <c r="O158" i="9" s="1"/>
  <c r="M160" i="9" l="1"/>
  <c r="N159" i="9"/>
  <c r="O159" i="9" s="1"/>
  <c r="M161" i="9" l="1"/>
  <c r="N160" i="9"/>
  <c r="O160" i="9" s="1"/>
  <c r="M162" i="9" l="1"/>
  <c r="N161" i="9"/>
  <c r="O161" i="9" s="1"/>
  <c r="M163" i="9" l="1"/>
  <c r="N162" i="9"/>
  <c r="O162" i="9" s="1"/>
  <c r="M164" i="9" l="1"/>
  <c r="N163" i="9"/>
  <c r="O163" i="9" s="1"/>
  <c r="M165" i="9" l="1"/>
  <c r="N164" i="9"/>
  <c r="O164" i="9" s="1"/>
  <c r="M166" i="9" l="1"/>
  <c r="N165" i="9"/>
  <c r="O165" i="9" s="1"/>
  <c r="M167" i="9" l="1"/>
  <c r="N166" i="9"/>
  <c r="O166" i="9" s="1"/>
  <c r="M168" i="9" l="1"/>
  <c r="N167" i="9"/>
  <c r="O167" i="9" s="1"/>
  <c r="M169" i="9" l="1"/>
  <c r="N168" i="9"/>
  <c r="O168" i="9" s="1"/>
  <c r="M170" i="9" l="1"/>
  <c r="N169" i="9"/>
  <c r="O169" i="9" s="1"/>
  <c r="M171" i="9" l="1"/>
  <c r="N170" i="9"/>
  <c r="O170" i="9" s="1"/>
  <c r="M172" i="9" l="1"/>
  <c r="N171" i="9"/>
  <c r="O171" i="9" s="1"/>
  <c r="M173" i="9" l="1"/>
  <c r="N172" i="9"/>
  <c r="O172" i="9" s="1"/>
  <c r="M174" i="9" l="1"/>
  <c r="N173" i="9"/>
  <c r="O173" i="9" s="1"/>
  <c r="M175" i="9" l="1"/>
  <c r="N174" i="9"/>
  <c r="O174" i="9" s="1"/>
  <c r="M176" i="9" l="1"/>
  <c r="N175" i="9"/>
  <c r="O175" i="9" s="1"/>
  <c r="M177" i="9" l="1"/>
  <c r="N176" i="9"/>
  <c r="O176" i="9" s="1"/>
  <c r="M178" i="9" l="1"/>
  <c r="N177" i="9"/>
  <c r="O177" i="9" s="1"/>
  <c r="M179" i="9" l="1"/>
  <c r="N178" i="9"/>
  <c r="O178" i="9" s="1"/>
  <c r="M180" i="9" l="1"/>
  <c r="N179" i="9"/>
  <c r="O179" i="9" s="1"/>
  <c r="M181" i="9" l="1"/>
  <c r="N180" i="9"/>
  <c r="O180" i="9" s="1"/>
  <c r="M182" i="9" l="1"/>
  <c r="N181" i="9"/>
  <c r="O181" i="9" s="1"/>
  <c r="M183" i="9" l="1"/>
  <c r="N182" i="9"/>
  <c r="O182" i="9" s="1"/>
  <c r="M184" i="9" l="1"/>
  <c r="N183" i="9"/>
  <c r="O183" i="9" s="1"/>
  <c r="M185" i="9" l="1"/>
  <c r="N184" i="9"/>
  <c r="O184" i="9" s="1"/>
  <c r="M186" i="9" l="1"/>
  <c r="N185" i="9"/>
  <c r="O185" i="9" s="1"/>
  <c r="M187" i="9" l="1"/>
  <c r="N186" i="9"/>
  <c r="O186" i="9" s="1"/>
  <c r="M188" i="9" l="1"/>
  <c r="N187" i="9"/>
  <c r="O187" i="9" s="1"/>
  <c r="M189" i="9" l="1"/>
  <c r="N188" i="9"/>
  <c r="O188" i="9" s="1"/>
  <c r="M190" i="9" l="1"/>
  <c r="N189" i="9"/>
  <c r="O189" i="9" s="1"/>
  <c r="M191" i="9" l="1"/>
  <c r="N190" i="9"/>
  <c r="O190" i="9" s="1"/>
  <c r="M192" i="9" l="1"/>
  <c r="N191" i="9"/>
  <c r="O191" i="9" s="1"/>
  <c r="M193" i="9" l="1"/>
  <c r="N192" i="9"/>
  <c r="O192" i="9" s="1"/>
  <c r="M194" i="9" l="1"/>
  <c r="N193" i="9"/>
  <c r="O193" i="9" s="1"/>
  <c r="M195" i="9" l="1"/>
  <c r="N194" i="9"/>
  <c r="O194" i="9" s="1"/>
  <c r="M196" i="9" l="1"/>
  <c r="N195" i="9"/>
  <c r="O195" i="9" s="1"/>
  <c r="M197" i="9" l="1"/>
  <c r="N196" i="9"/>
  <c r="O196" i="9" s="1"/>
  <c r="M198" i="9" l="1"/>
  <c r="N197" i="9"/>
  <c r="O197" i="9" s="1"/>
  <c r="M199" i="9" l="1"/>
  <c r="N198" i="9"/>
  <c r="O198" i="9" s="1"/>
  <c r="M200" i="9" l="1"/>
  <c r="N199" i="9"/>
  <c r="O199" i="9" s="1"/>
  <c r="M201" i="9" l="1"/>
  <c r="N200" i="9"/>
  <c r="O200" i="9" s="1"/>
  <c r="M202" i="9" l="1"/>
  <c r="N201" i="9"/>
  <c r="O201" i="9" s="1"/>
  <c r="M203" i="9" l="1"/>
  <c r="N202" i="9"/>
  <c r="O202" i="9" s="1"/>
  <c r="M204" i="9" l="1"/>
  <c r="N203" i="9"/>
  <c r="O203" i="9" s="1"/>
  <c r="M205" i="9" l="1"/>
  <c r="N204" i="9"/>
  <c r="O204" i="9" s="1"/>
  <c r="M206" i="9" l="1"/>
  <c r="N205" i="9"/>
  <c r="O205" i="9" s="1"/>
  <c r="M207" i="9" l="1"/>
  <c r="N206" i="9"/>
  <c r="O206" i="9" s="1"/>
  <c r="M208" i="9" l="1"/>
  <c r="N207" i="9"/>
  <c r="O207" i="9" s="1"/>
  <c r="M209" i="9" l="1"/>
  <c r="N208" i="9"/>
  <c r="O208" i="9" s="1"/>
  <c r="M210" i="9" l="1"/>
  <c r="N209" i="9"/>
  <c r="O209" i="9" s="1"/>
  <c r="M211" i="9" l="1"/>
  <c r="N210" i="9"/>
  <c r="O210" i="9" s="1"/>
  <c r="M212" i="9" l="1"/>
  <c r="N211" i="9"/>
  <c r="O211" i="9" s="1"/>
  <c r="M213" i="9" l="1"/>
  <c r="N212" i="9"/>
  <c r="O212" i="9" s="1"/>
  <c r="M214" i="9" l="1"/>
  <c r="N213" i="9"/>
  <c r="O213" i="9" s="1"/>
  <c r="M215" i="9" l="1"/>
  <c r="N214" i="9"/>
  <c r="O214" i="9" s="1"/>
  <c r="M216" i="9" l="1"/>
  <c r="N215" i="9"/>
  <c r="O215" i="9" s="1"/>
  <c r="M217" i="9" l="1"/>
  <c r="N216" i="9"/>
  <c r="O216" i="9" s="1"/>
  <c r="M218" i="9" l="1"/>
  <c r="N217" i="9"/>
  <c r="O217" i="9" s="1"/>
  <c r="M219" i="9" l="1"/>
  <c r="N218" i="9"/>
  <c r="O218" i="9" s="1"/>
  <c r="M220" i="9" l="1"/>
  <c r="N219" i="9"/>
  <c r="O219" i="9" s="1"/>
  <c r="M221" i="9" l="1"/>
  <c r="N220" i="9"/>
  <c r="O220" i="9" s="1"/>
  <c r="M222" i="9" l="1"/>
  <c r="N221" i="9"/>
  <c r="O221" i="9" s="1"/>
  <c r="M223" i="9" l="1"/>
  <c r="N222" i="9"/>
  <c r="O222" i="9" s="1"/>
  <c r="M224" i="9" l="1"/>
  <c r="N223" i="9"/>
  <c r="O223" i="9" s="1"/>
  <c r="M225" i="9" l="1"/>
  <c r="N224" i="9"/>
  <c r="O224" i="9" s="1"/>
  <c r="M226" i="9" l="1"/>
  <c r="N225" i="9"/>
  <c r="O225" i="9" s="1"/>
  <c r="M227" i="9" l="1"/>
  <c r="N226" i="9"/>
  <c r="O226" i="9" s="1"/>
  <c r="M228" i="9" l="1"/>
  <c r="N227" i="9"/>
  <c r="O227" i="9" s="1"/>
  <c r="M229" i="9" l="1"/>
  <c r="N228" i="9"/>
  <c r="O228" i="9" s="1"/>
  <c r="M230" i="9" l="1"/>
  <c r="N229" i="9"/>
  <c r="O229" i="9" s="1"/>
  <c r="M231" i="9" l="1"/>
  <c r="N230" i="9"/>
  <c r="O230" i="9" s="1"/>
  <c r="M232" i="9" l="1"/>
  <c r="N231" i="9"/>
  <c r="O231" i="9" s="1"/>
  <c r="M233" i="9" l="1"/>
  <c r="N232" i="9"/>
  <c r="O232" i="9" s="1"/>
  <c r="M234" i="9" l="1"/>
  <c r="N233" i="9"/>
  <c r="O233" i="9" s="1"/>
  <c r="M235" i="9" l="1"/>
  <c r="N234" i="9"/>
  <c r="O234" i="9" s="1"/>
  <c r="M236" i="9" l="1"/>
  <c r="N235" i="9"/>
  <c r="O235" i="9" s="1"/>
  <c r="M237" i="9" l="1"/>
  <c r="N236" i="9"/>
  <c r="O236" i="9" s="1"/>
  <c r="M238" i="9" l="1"/>
  <c r="N237" i="9"/>
  <c r="O237" i="9" s="1"/>
  <c r="M239" i="9" l="1"/>
  <c r="N238" i="9"/>
  <c r="O238" i="9" s="1"/>
  <c r="M240" i="9" l="1"/>
  <c r="N239" i="9"/>
  <c r="O239" i="9" s="1"/>
  <c r="M241" i="9" l="1"/>
  <c r="N240" i="9"/>
  <c r="O240" i="9" s="1"/>
  <c r="M242" i="9" l="1"/>
  <c r="N241" i="9"/>
  <c r="O241" i="9" s="1"/>
  <c r="M243" i="9" l="1"/>
  <c r="N242" i="9"/>
  <c r="O242" i="9" s="1"/>
  <c r="M244" i="9" l="1"/>
  <c r="N243" i="9"/>
  <c r="O243" i="9" s="1"/>
  <c r="M245" i="9" l="1"/>
  <c r="N244" i="9"/>
  <c r="O244" i="9" s="1"/>
  <c r="M246" i="9" l="1"/>
  <c r="N245" i="9"/>
  <c r="O245" i="9" s="1"/>
  <c r="M247" i="9" l="1"/>
  <c r="N246" i="9"/>
  <c r="O246" i="9" s="1"/>
  <c r="M248" i="9" l="1"/>
  <c r="N247" i="9"/>
  <c r="O247" i="9" s="1"/>
  <c r="M249" i="9" l="1"/>
  <c r="N248" i="9"/>
  <c r="O248" i="9" s="1"/>
  <c r="M250" i="9" l="1"/>
  <c r="N249" i="9"/>
  <c r="O249" i="9" s="1"/>
  <c r="M251" i="9" l="1"/>
  <c r="N250" i="9"/>
  <c r="O250" i="9" s="1"/>
  <c r="M252" i="9" l="1"/>
  <c r="N251" i="9"/>
  <c r="O251" i="9" s="1"/>
  <c r="M253" i="9" l="1"/>
  <c r="N252" i="9"/>
  <c r="O252" i="9" s="1"/>
  <c r="M254" i="9" l="1"/>
  <c r="N253" i="9"/>
  <c r="O253" i="9" s="1"/>
  <c r="M255" i="9" l="1"/>
  <c r="N254" i="9"/>
  <c r="O254" i="9" s="1"/>
  <c r="M256" i="9" l="1"/>
  <c r="N255" i="9"/>
  <c r="O255" i="9" s="1"/>
  <c r="M257" i="9" l="1"/>
  <c r="N256" i="9"/>
  <c r="O256" i="9" s="1"/>
  <c r="M258" i="9" l="1"/>
  <c r="N257" i="9"/>
  <c r="O257" i="9" s="1"/>
  <c r="M259" i="9" l="1"/>
  <c r="N258" i="9"/>
  <c r="O258" i="9" s="1"/>
  <c r="M260" i="9" l="1"/>
  <c r="N259" i="9"/>
  <c r="O259" i="9" s="1"/>
  <c r="M261" i="9" l="1"/>
  <c r="N260" i="9"/>
  <c r="O260" i="9" s="1"/>
  <c r="M262" i="9" l="1"/>
  <c r="N261" i="9"/>
  <c r="O261" i="9" s="1"/>
  <c r="M263" i="9" l="1"/>
  <c r="N262" i="9"/>
  <c r="O262" i="9" s="1"/>
  <c r="M264" i="9" l="1"/>
  <c r="N263" i="9"/>
  <c r="O263" i="9" s="1"/>
  <c r="M265" i="9" l="1"/>
  <c r="N264" i="9"/>
  <c r="O264" i="9" s="1"/>
  <c r="M266" i="9" l="1"/>
  <c r="N265" i="9"/>
  <c r="O265" i="9" s="1"/>
  <c r="M267" i="9" l="1"/>
  <c r="N266" i="9"/>
  <c r="O266" i="9" s="1"/>
  <c r="M268" i="9" l="1"/>
  <c r="N267" i="9"/>
  <c r="O267" i="9" s="1"/>
  <c r="M269" i="9" l="1"/>
  <c r="N268" i="9"/>
  <c r="O268" i="9" s="1"/>
  <c r="M270" i="9" l="1"/>
  <c r="N269" i="9"/>
  <c r="O269" i="9" s="1"/>
  <c r="M271" i="9" l="1"/>
  <c r="N270" i="9"/>
  <c r="O270" i="9" s="1"/>
  <c r="M272" i="9" l="1"/>
  <c r="N271" i="9"/>
  <c r="O271" i="9" s="1"/>
  <c r="M273" i="9" l="1"/>
  <c r="N272" i="9"/>
  <c r="O272" i="9" s="1"/>
  <c r="M274" i="9" l="1"/>
  <c r="N273" i="9"/>
  <c r="O273" i="9" s="1"/>
  <c r="M275" i="9" l="1"/>
  <c r="N274" i="9"/>
  <c r="O274" i="9" s="1"/>
  <c r="M276" i="9" l="1"/>
  <c r="N275" i="9"/>
  <c r="O275" i="9" s="1"/>
  <c r="M277" i="9" l="1"/>
  <c r="N276" i="9"/>
  <c r="O276" i="9" s="1"/>
  <c r="M278" i="9" l="1"/>
  <c r="N277" i="9"/>
  <c r="O277" i="9" s="1"/>
  <c r="M279" i="9" l="1"/>
  <c r="N278" i="9"/>
  <c r="O278" i="9" s="1"/>
  <c r="M280" i="9" l="1"/>
  <c r="N279" i="9"/>
  <c r="O279" i="9" s="1"/>
  <c r="M281" i="9" l="1"/>
  <c r="N280" i="9"/>
  <c r="O280" i="9" s="1"/>
  <c r="M282" i="9" l="1"/>
  <c r="N281" i="9"/>
  <c r="O281" i="9" s="1"/>
  <c r="M283" i="9" l="1"/>
  <c r="N282" i="9"/>
  <c r="O282" i="9" s="1"/>
  <c r="M284" i="9" l="1"/>
  <c r="N283" i="9"/>
  <c r="O283" i="9" s="1"/>
  <c r="M285" i="9" l="1"/>
  <c r="N284" i="9"/>
  <c r="O284" i="9" s="1"/>
  <c r="M286" i="9" l="1"/>
  <c r="N285" i="9"/>
  <c r="O285" i="9" s="1"/>
  <c r="M287" i="9" l="1"/>
  <c r="N286" i="9"/>
  <c r="O286" i="9" s="1"/>
  <c r="M288" i="9" l="1"/>
  <c r="N287" i="9"/>
  <c r="O287" i="9" s="1"/>
  <c r="M289" i="9" l="1"/>
  <c r="N288" i="9"/>
  <c r="O288" i="9" s="1"/>
  <c r="M290" i="9" l="1"/>
  <c r="N289" i="9"/>
  <c r="O289" i="9" s="1"/>
  <c r="M291" i="9" l="1"/>
  <c r="N290" i="9"/>
  <c r="O290" i="9" s="1"/>
  <c r="M292" i="9" l="1"/>
  <c r="N291" i="9"/>
  <c r="O291" i="9" s="1"/>
  <c r="M293" i="9" l="1"/>
  <c r="N292" i="9"/>
  <c r="O292" i="9" s="1"/>
  <c r="M294" i="9" l="1"/>
  <c r="N293" i="9"/>
  <c r="O293" i="9" s="1"/>
  <c r="M295" i="9" l="1"/>
  <c r="N294" i="9"/>
  <c r="O294" i="9" s="1"/>
  <c r="M296" i="9" l="1"/>
  <c r="N295" i="9"/>
  <c r="O295" i="9" s="1"/>
  <c r="M297" i="9" l="1"/>
  <c r="N296" i="9"/>
  <c r="O296" i="9" s="1"/>
  <c r="M298" i="9" l="1"/>
  <c r="N297" i="9"/>
  <c r="O297" i="9" s="1"/>
  <c r="M299" i="9" l="1"/>
  <c r="N298" i="9"/>
  <c r="O298" i="9" s="1"/>
  <c r="M300" i="9" l="1"/>
  <c r="N299" i="9"/>
  <c r="O299" i="9" s="1"/>
  <c r="M301" i="9" l="1"/>
  <c r="N300" i="9"/>
  <c r="O300" i="9" s="1"/>
  <c r="M302" i="9" l="1"/>
  <c r="N301" i="9"/>
  <c r="O301" i="9" s="1"/>
  <c r="M303" i="9" l="1"/>
  <c r="N302" i="9"/>
  <c r="O302" i="9" s="1"/>
  <c r="M304" i="9" l="1"/>
  <c r="N303" i="9"/>
  <c r="O303" i="9" s="1"/>
  <c r="M305" i="9" l="1"/>
  <c r="N304" i="9"/>
  <c r="O304" i="9" s="1"/>
  <c r="M306" i="9" l="1"/>
  <c r="N305" i="9"/>
  <c r="O305" i="9" s="1"/>
  <c r="M307" i="9" l="1"/>
  <c r="N306" i="9"/>
  <c r="O306" i="9" s="1"/>
  <c r="M308" i="9" l="1"/>
  <c r="N307" i="9"/>
  <c r="O307" i="9" s="1"/>
  <c r="M309" i="9" l="1"/>
  <c r="N308" i="9"/>
  <c r="O308" i="9" s="1"/>
  <c r="M310" i="9" l="1"/>
  <c r="N309" i="9"/>
  <c r="O309" i="9" s="1"/>
  <c r="M311" i="9" l="1"/>
  <c r="N310" i="9"/>
  <c r="O310" i="9" s="1"/>
  <c r="M312" i="9" l="1"/>
  <c r="N311" i="9"/>
  <c r="O311" i="9" s="1"/>
  <c r="M313" i="9" l="1"/>
  <c r="N312" i="9"/>
  <c r="O312" i="9" s="1"/>
  <c r="M314" i="9" l="1"/>
  <c r="N313" i="9"/>
  <c r="O313" i="9" s="1"/>
  <c r="M315" i="9" l="1"/>
  <c r="N314" i="9"/>
  <c r="O314" i="9" s="1"/>
  <c r="M316" i="9" l="1"/>
  <c r="N315" i="9"/>
  <c r="O315" i="9" s="1"/>
  <c r="M317" i="9" l="1"/>
  <c r="N316" i="9"/>
  <c r="O316" i="9" s="1"/>
  <c r="M318" i="9" l="1"/>
  <c r="N317" i="9"/>
  <c r="O317" i="9" s="1"/>
  <c r="M319" i="9" l="1"/>
  <c r="N318" i="9"/>
  <c r="O318" i="9" s="1"/>
  <c r="M320" i="9" l="1"/>
  <c r="N319" i="9"/>
  <c r="O319" i="9" s="1"/>
  <c r="M321" i="9" l="1"/>
  <c r="N320" i="9"/>
  <c r="O320" i="9" s="1"/>
  <c r="M322" i="9" l="1"/>
  <c r="N321" i="9"/>
  <c r="O321" i="9" s="1"/>
  <c r="M323" i="9" l="1"/>
  <c r="N322" i="9"/>
  <c r="O322" i="9" s="1"/>
  <c r="M324" i="9" l="1"/>
  <c r="N323" i="9"/>
  <c r="O323" i="9" s="1"/>
  <c r="M325" i="9" l="1"/>
  <c r="N324" i="9"/>
  <c r="O324" i="9" s="1"/>
  <c r="M326" i="9" l="1"/>
  <c r="N325" i="9"/>
  <c r="O325" i="9" s="1"/>
  <c r="M327" i="9" l="1"/>
  <c r="N326" i="9"/>
  <c r="O326" i="9" s="1"/>
  <c r="M328" i="9" l="1"/>
  <c r="N327" i="9"/>
  <c r="O327" i="9" s="1"/>
  <c r="M329" i="9" l="1"/>
  <c r="N328" i="9"/>
  <c r="O328" i="9" s="1"/>
  <c r="M330" i="9" l="1"/>
  <c r="N329" i="9"/>
  <c r="O329" i="9" s="1"/>
  <c r="M331" i="9" l="1"/>
  <c r="N330" i="9"/>
  <c r="O330" i="9" s="1"/>
  <c r="M332" i="9" l="1"/>
  <c r="N331" i="9"/>
  <c r="O331" i="9" s="1"/>
  <c r="M333" i="9" l="1"/>
  <c r="N332" i="9"/>
  <c r="O332" i="9" s="1"/>
  <c r="M334" i="9" l="1"/>
  <c r="N333" i="9"/>
  <c r="O333" i="9" s="1"/>
  <c r="M335" i="9" l="1"/>
  <c r="N334" i="9"/>
  <c r="O334" i="9" s="1"/>
  <c r="M336" i="9" l="1"/>
  <c r="N335" i="9"/>
  <c r="O335" i="9" s="1"/>
  <c r="M337" i="9" l="1"/>
  <c r="N336" i="9"/>
  <c r="O336" i="9" s="1"/>
  <c r="M338" i="9" l="1"/>
  <c r="N337" i="9"/>
  <c r="O337" i="9" s="1"/>
  <c r="M339" i="9" l="1"/>
  <c r="N338" i="9"/>
  <c r="O338" i="9" s="1"/>
  <c r="M340" i="9" l="1"/>
  <c r="N339" i="9"/>
  <c r="O339" i="9" s="1"/>
  <c r="M341" i="9" l="1"/>
  <c r="N340" i="9"/>
  <c r="O340" i="9" s="1"/>
  <c r="M342" i="9" l="1"/>
  <c r="N341" i="9"/>
  <c r="O341" i="9" s="1"/>
  <c r="M343" i="9" l="1"/>
  <c r="N342" i="9"/>
  <c r="O342" i="9" s="1"/>
  <c r="M344" i="9" l="1"/>
  <c r="N343" i="9"/>
  <c r="O343" i="9" s="1"/>
  <c r="M345" i="9" l="1"/>
  <c r="N344" i="9"/>
  <c r="O344" i="9" s="1"/>
  <c r="M346" i="9" l="1"/>
  <c r="N345" i="9"/>
  <c r="O345" i="9" s="1"/>
  <c r="M347" i="9" l="1"/>
  <c r="N346" i="9"/>
  <c r="O346" i="9" s="1"/>
  <c r="M348" i="9" l="1"/>
  <c r="N347" i="9"/>
  <c r="O347" i="9" s="1"/>
  <c r="M349" i="9" l="1"/>
  <c r="N348" i="9"/>
  <c r="O348" i="9" s="1"/>
  <c r="M350" i="9" l="1"/>
  <c r="N349" i="9"/>
  <c r="O349" i="9" s="1"/>
  <c r="M351" i="9" l="1"/>
  <c r="N350" i="9"/>
  <c r="O350" i="9" s="1"/>
  <c r="M352" i="9" l="1"/>
  <c r="N351" i="9"/>
  <c r="O351" i="9" s="1"/>
  <c r="M353" i="9" l="1"/>
  <c r="N352" i="9"/>
  <c r="O352" i="9" s="1"/>
  <c r="M354" i="9" l="1"/>
  <c r="N353" i="9"/>
  <c r="O353" i="9" s="1"/>
  <c r="M355" i="9" l="1"/>
  <c r="N354" i="9"/>
  <c r="O354" i="9" s="1"/>
  <c r="M356" i="9" l="1"/>
  <c r="N355" i="9"/>
  <c r="O355" i="9" s="1"/>
  <c r="M357" i="9" l="1"/>
  <c r="N356" i="9"/>
  <c r="O356" i="9" s="1"/>
  <c r="M358" i="9" l="1"/>
  <c r="N357" i="9"/>
  <c r="O357" i="9" s="1"/>
  <c r="M359" i="9" l="1"/>
  <c r="N358" i="9"/>
  <c r="O358" i="9" s="1"/>
  <c r="M360" i="9" l="1"/>
  <c r="N359" i="9"/>
  <c r="O359" i="9" s="1"/>
  <c r="M361" i="9" l="1"/>
  <c r="N360" i="9"/>
  <c r="O360" i="9" s="1"/>
  <c r="M362" i="9" l="1"/>
  <c r="N361" i="9"/>
  <c r="O361" i="9" s="1"/>
  <c r="M363" i="9" l="1"/>
  <c r="N362" i="9"/>
  <c r="O362" i="9" s="1"/>
  <c r="M364" i="9" l="1"/>
  <c r="N363" i="9"/>
  <c r="O363" i="9" s="1"/>
  <c r="M365" i="9" l="1"/>
  <c r="N364" i="9"/>
  <c r="O364" i="9" s="1"/>
  <c r="M366" i="9" l="1"/>
  <c r="N365" i="9"/>
  <c r="O365" i="9" s="1"/>
  <c r="M367" i="9" l="1"/>
  <c r="N366" i="9"/>
  <c r="O366" i="9" s="1"/>
  <c r="M368" i="9" l="1"/>
  <c r="N367" i="9"/>
  <c r="O367" i="9" s="1"/>
  <c r="M369" i="9" l="1"/>
  <c r="N368" i="9"/>
  <c r="O368" i="9" s="1"/>
  <c r="M370" i="9" l="1"/>
  <c r="N369" i="9"/>
  <c r="O369" i="9" s="1"/>
  <c r="M371" i="9" l="1"/>
  <c r="N370" i="9"/>
  <c r="O370" i="9" s="1"/>
  <c r="M372" i="9" l="1"/>
  <c r="N371" i="9"/>
  <c r="O371" i="9" s="1"/>
  <c r="M373" i="9" l="1"/>
  <c r="N372" i="9"/>
  <c r="O372" i="9" s="1"/>
  <c r="M374" i="9" l="1"/>
  <c r="N373" i="9"/>
  <c r="O373" i="9" s="1"/>
  <c r="M375" i="9" l="1"/>
  <c r="N374" i="9"/>
  <c r="O374" i="9" s="1"/>
  <c r="M376" i="9" l="1"/>
  <c r="N375" i="9"/>
  <c r="O375" i="9" s="1"/>
  <c r="M377" i="9" l="1"/>
  <c r="N376" i="9"/>
  <c r="O376" i="9" s="1"/>
  <c r="M378" i="9" l="1"/>
  <c r="N377" i="9"/>
  <c r="O377" i="9" s="1"/>
  <c r="M379" i="9" l="1"/>
  <c r="N378" i="9"/>
  <c r="O378" i="9" s="1"/>
  <c r="M380" i="9" l="1"/>
  <c r="N379" i="9"/>
  <c r="O379" i="9" s="1"/>
  <c r="M381" i="9" l="1"/>
  <c r="N380" i="9"/>
  <c r="O380" i="9" s="1"/>
  <c r="M382" i="9" l="1"/>
  <c r="N381" i="9"/>
  <c r="O381" i="9" s="1"/>
  <c r="M383" i="9" l="1"/>
  <c r="N382" i="9"/>
  <c r="O382" i="9" s="1"/>
  <c r="M384" i="9" l="1"/>
  <c r="N383" i="9"/>
  <c r="O383" i="9" s="1"/>
  <c r="M385" i="9" l="1"/>
  <c r="N384" i="9"/>
  <c r="O384" i="9" s="1"/>
  <c r="M386" i="9" l="1"/>
  <c r="N385" i="9"/>
  <c r="O385" i="9" s="1"/>
  <c r="M387" i="9" l="1"/>
  <c r="N386" i="9"/>
  <c r="O386" i="9" s="1"/>
  <c r="M388" i="9" l="1"/>
  <c r="N387" i="9"/>
  <c r="O387" i="9" s="1"/>
  <c r="M389" i="9" l="1"/>
  <c r="N388" i="9"/>
  <c r="O388" i="9" s="1"/>
  <c r="M390" i="9" l="1"/>
  <c r="N389" i="9"/>
  <c r="O389" i="9" s="1"/>
  <c r="M391" i="9" l="1"/>
  <c r="N390" i="9"/>
  <c r="O390" i="9" s="1"/>
  <c r="M392" i="9" l="1"/>
  <c r="N391" i="9"/>
  <c r="O391" i="9" s="1"/>
  <c r="M393" i="9" l="1"/>
  <c r="N392" i="9"/>
  <c r="O392" i="9" s="1"/>
  <c r="M394" i="9" l="1"/>
  <c r="N393" i="9"/>
  <c r="O393" i="9" s="1"/>
  <c r="M395" i="9" l="1"/>
  <c r="N394" i="9"/>
  <c r="O394" i="9" s="1"/>
  <c r="M396" i="9" l="1"/>
  <c r="N395" i="9"/>
  <c r="O395" i="9" s="1"/>
  <c r="M397" i="9" l="1"/>
  <c r="N396" i="9"/>
  <c r="O396" i="9" s="1"/>
  <c r="M398" i="9" l="1"/>
  <c r="N397" i="9"/>
  <c r="O397" i="9" s="1"/>
  <c r="M399" i="9" l="1"/>
  <c r="N398" i="9"/>
  <c r="O398" i="9" s="1"/>
  <c r="M400" i="9" l="1"/>
  <c r="N399" i="9"/>
  <c r="O399" i="9" s="1"/>
  <c r="M401" i="9" l="1"/>
  <c r="N400" i="9"/>
  <c r="O400" i="9" s="1"/>
  <c r="M402" i="9" l="1"/>
  <c r="N401" i="9"/>
  <c r="O401" i="9" s="1"/>
  <c r="M403" i="9" l="1"/>
  <c r="N402" i="9"/>
  <c r="O402" i="9" s="1"/>
  <c r="M404" i="9" l="1"/>
  <c r="N403" i="9"/>
  <c r="O403" i="9" s="1"/>
  <c r="M405" i="9" l="1"/>
  <c r="N404" i="9"/>
  <c r="O404" i="9" s="1"/>
  <c r="M406" i="9" l="1"/>
  <c r="N405" i="9"/>
  <c r="O405" i="9" s="1"/>
  <c r="M407" i="9" l="1"/>
  <c r="N406" i="9"/>
  <c r="O406" i="9" s="1"/>
  <c r="M408" i="9" l="1"/>
  <c r="N407" i="9"/>
  <c r="O407" i="9" s="1"/>
  <c r="M409" i="9" l="1"/>
  <c r="N408" i="9"/>
  <c r="O408" i="9" s="1"/>
  <c r="M410" i="9" l="1"/>
  <c r="N409" i="9"/>
  <c r="O409" i="9" s="1"/>
  <c r="M411" i="9" l="1"/>
  <c r="N410" i="9"/>
  <c r="O410" i="9" s="1"/>
  <c r="M412" i="9" l="1"/>
  <c r="N411" i="9"/>
  <c r="O411" i="9" s="1"/>
  <c r="M413" i="9" l="1"/>
  <c r="N412" i="9"/>
  <c r="O412" i="9" s="1"/>
  <c r="M414" i="9" l="1"/>
  <c r="N413" i="9"/>
  <c r="O413" i="9" s="1"/>
  <c r="M415" i="9" l="1"/>
  <c r="N414" i="9"/>
  <c r="O414" i="9" s="1"/>
  <c r="M416" i="9" l="1"/>
  <c r="N415" i="9"/>
  <c r="O415" i="9" s="1"/>
  <c r="M417" i="9" l="1"/>
  <c r="N416" i="9"/>
  <c r="O416" i="9" s="1"/>
  <c r="M418" i="9" l="1"/>
  <c r="N417" i="9"/>
  <c r="O417" i="9" s="1"/>
  <c r="M419" i="9" l="1"/>
  <c r="N418" i="9"/>
  <c r="O418" i="9" s="1"/>
  <c r="M420" i="9" l="1"/>
  <c r="N419" i="9"/>
  <c r="O419" i="9" s="1"/>
  <c r="M421" i="9" l="1"/>
  <c r="N420" i="9"/>
  <c r="O420" i="9" s="1"/>
  <c r="M422" i="9" l="1"/>
  <c r="N421" i="9"/>
  <c r="O421" i="9" s="1"/>
  <c r="M423" i="9" l="1"/>
  <c r="N422" i="9"/>
  <c r="O422" i="9" s="1"/>
  <c r="M424" i="9" l="1"/>
  <c r="N423" i="9"/>
  <c r="O423" i="9" s="1"/>
  <c r="M425" i="9" l="1"/>
  <c r="N424" i="9"/>
  <c r="O424" i="9" s="1"/>
  <c r="M426" i="9" l="1"/>
  <c r="N425" i="9"/>
  <c r="O425" i="9" s="1"/>
  <c r="M427" i="9" l="1"/>
  <c r="N426" i="9"/>
  <c r="O426" i="9" s="1"/>
  <c r="M428" i="9" l="1"/>
  <c r="N427" i="9"/>
  <c r="O427" i="9" s="1"/>
  <c r="M429" i="9" l="1"/>
  <c r="N428" i="9"/>
  <c r="O428" i="9" s="1"/>
  <c r="M430" i="9" l="1"/>
  <c r="N429" i="9"/>
  <c r="O429" i="9" s="1"/>
  <c r="M431" i="9" l="1"/>
  <c r="N430" i="9"/>
  <c r="O430" i="9" s="1"/>
  <c r="M432" i="9" l="1"/>
  <c r="N431" i="9"/>
  <c r="O431" i="9" s="1"/>
  <c r="M433" i="9" l="1"/>
  <c r="N432" i="9"/>
  <c r="O432" i="9" s="1"/>
  <c r="M434" i="9" l="1"/>
  <c r="N433" i="9"/>
  <c r="O433" i="9" s="1"/>
  <c r="M435" i="9" l="1"/>
  <c r="N434" i="9"/>
  <c r="O434" i="9" s="1"/>
  <c r="M436" i="9" l="1"/>
  <c r="N435" i="9"/>
  <c r="O435" i="9" s="1"/>
  <c r="M437" i="9" l="1"/>
  <c r="N436" i="9"/>
  <c r="O436" i="9" s="1"/>
  <c r="M438" i="9" l="1"/>
  <c r="N437" i="9"/>
  <c r="O437" i="9" s="1"/>
  <c r="M439" i="9" l="1"/>
  <c r="N438" i="9"/>
  <c r="O438" i="9" s="1"/>
  <c r="M440" i="9" l="1"/>
  <c r="N439" i="9"/>
  <c r="O439" i="9" s="1"/>
  <c r="M441" i="9" l="1"/>
  <c r="N440" i="9"/>
  <c r="O440" i="9" s="1"/>
  <c r="M442" i="9" l="1"/>
  <c r="N441" i="9"/>
  <c r="O441" i="9" s="1"/>
  <c r="M443" i="9" l="1"/>
  <c r="N442" i="9"/>
  <c r="O442" i="9" s="1"/>
  <c r="M444" i="9" l="1"/>
  <c r="N443" i="9"/>
  <c r="O443" i="9" s="1"/>
  <c r="M445" i="9" l="1"/>
  <c r="N444" i="9"/>
  <c r="O444" i="9" s="1"/>
  <c r="M446" i="9" l="1"/>
  <c r="N445" i="9"/>
  <c r="O445" i="9" s="1"/>
  <c r="M447" i="9" l="1"/>
  <c r="N446" i="9"/>
  <c r="O446" i="9" s="1"/>
  <c r="M448" i="9" l="1"/>
  <c r="N447" i="9"/>
  <c r="O447" i="9" s="1"/>
  <c r="M449" i="9" l="1"/>
  <c r="N448" i="9"/>
  <c r="O448" i="9" s="1"/>
  <c r="M450" i="9" l="1"/>
  <c r="N449" i="9"/>
  <c r="O449" i="9" s="1"/>
  <c r="M451" i="9" l="1"/>
  <c r="N450" i="9"/>
  <c r="O450" i="9" s="1"/>
  <c r="M452" i="9" l="1"/>
  <c r="N451" i="9"/>
  <c r="O451" i="9" s="1"/>
  <c r="M453" i="9" l="1"/>
  <c r="N452" i="9"/>
  <c r="O452" i="9" s="1"/>
  <c r="M454" i="9" l="1"/>
  <c r="N453" i="9"/>
  <c r="O453" i="9" s="1"/>
  <c r="M455" i="9" l="1"/>
  <c r="N454" i="9"/>
  <c r="O454" i="9" s="1"/>
  <c r="M456" i="9" l="1"/>
  <c r="N455" i="9"/>
  <c r="O455" i="9" s="1"/>
  <c r="M457" i="9" l="1"/>
  <c r="N456" i="9"/>
  <c r="O456" i="9" s="1"/>
  <c r="M458" i="9" l="1"/>
  <c r="N457" i="9"/>
  <c r="O457" i="9" s="1"/>
  <c r="M459" i="9" l="1"/>
  <c r="N458" i="9"/>
  <c r="O458" i="9" s="1"/>
  <c r="M460" i="9" l="1"/>
  <c r="N459" i="9"/>
  <c r="O459" i="9" s="1"/>
  <c r="M461" i="9" l="1"/>
  <c r="N460" i="9"/>
  <c r="O460" i="9" s="1"/>
  <c r="M462" i="9" l="1"/>
  <c r="N461" i="9"/>
  <c r="O461" i="9" s="1"/>
  <c r="M463" i="9" l="1"/>
  <c r="N462" i="9"/>
  <c r="O462" i="9" s="1"/>
  <c r="M464" i="9" l="1"/>
  <c r="N463" i="9"/>
  <c r="O463" i="9" s="1"/>
  <c r="M465" i="9" l="1"/>
  <c r="N464" i="9"/>
  <c r="O464" i="9" s="1"/>
  <c r="M466" i="9" l="1"/>
  <c r="N465" i="9"/>
  <c r="O465" i="9" s="1"/>
  <c r="M467" i="9" l="1"/>
  <c r="N466" i="9"/>
  <c r="O466" i="9" s="1"/>
  <c r="M468" i="9" l="1"/>
  <c r="N467" i="9"/>
  <c r="O467" i="9" s="1"/>
  <c r="M469" i="9" l="1"/>
  <c r="N468" i="9"/>
  <c r="O468" i="9" s="1"/>
  <c r="M470" i="9" l="1"/>
  <c r="N469" i="9"/>
  <c r="O469" i="9" s="1"/>
  <c r="M471" i="9" l="1"/>
  <c r="N470" i="9"/>
  <c r="O470" i="9" s="1"/>
  <c r="M472" i="9" l="1"/>
  <c r="N471" i="9"/>
  <c r="O471" i="9" s="1"/>
  <c r="M473" i="9" l="1"/>
  <c r="N472" i="9"/>
  <c r="O472" i="9" s="1"/>
  <c r="M474" i="9" l="1"/>
  <c r="N473" i="9"/>
  <c r="O473" i="9" s="1"/>
  <c r="M475" i="9" l="1"/>
  <c r="N474" i="9"/>
  <c r="O474" i="9" s="1"/>
  <c r="M476" i="9" l="1"/>
  <c r="N475" i="9"/>
  <c r="O475" i="9" s="1"/>
  <c r="M477" i="9" l="1"/>
  <c r="N476" i="9"/>
  <c r="O476" i="9" s="1"/>
  <c r="M478" i="9" l="1"/>
  <c r="N477" i="9"/>
  <c r="O477" i="9" s="1"/>
  <c r="M479" i="9" l="1"/>
  <c r="N478" i="9"/>
  <c r="O478" i="9" s="1"/>
  <c r="M480" i="9" l="1"/>
  <c r="N479" i="9"/>
  <c r="O479" i="9" s="1"/>
  <c r="M481" i="9" l="1"/>
  <c r="N480" i="9"/>
  <c r="O480" i="9" s="1"/>
  <c r="M482" i="9" l="1"/>
  <c r="N481" i="9"/>
  <c r="O481" i="9" s="1"/>
  <c r="M483" i="9" l="1"/>
  <c r="N482" i="9"/>
  <c r="O482" i="9" s="1"/>
  <c r="M484" i="9" l="1"/>
  <c r="N483" i="9"/>
  <c r="O483" i="9" s="1"/>
  <c r="M485" i="9" l="1"/>
  <c r="N484" i="9"/>
  <c r="O484" i="9" s="1"/>
  <c r="M486" i="9" l="1"/>
  <c r="N485" i="9"/>
  <c r="O485" i="9" s="1"/>
  <c r="M487" i="9" l="1"/>
  <c r="N486" i="9"/>
  <c r="O486" i="9" s="1"/>
  <c r="M488" i="9" l="1"/>
  <c r="N487" i="9"/>
  <c r="O487" i="9" s="1"/>
  <c r="M489" i="9" l="1"/>
  <c r="N488" i="9"/>
  <c r="O488" i="9" s="1"/>
  <c r="M490" i="9" l="1"/>
  <c r="N489" i="9"/>
  <c r="O489" i="9" s="1"/>
  <c r="M491" i="9" l="1"/>
  <c r="N490" i="9"/>
  <c r="O490" i="9" s="1"/>
  <c r="M492" i="9" l="1"/>
  <c r="N491" i="9"/>
  <c r="O491" i="9" s="1"/>
  <c r="M493" i="9" l="1"/>
  <c r="N492" i="9"/>
  <c r="O492" i="9" s="1"/>
  <c r="M494" i="9" l="1"/>
  <c r="N493" i="9"/>
  <c r="O493" i="9" s="1"/>
  <c r="M495" i="9" l="1"/>
  <c r="N494" i="9"/>
  <c r="O494" i="9" s="1"/>
  <c r="M496" i="9" l="1"/>
  <c r="N495" i="9"/>
  <c r="O495" i="9" s="1"/>
  <c r="M497" i="9" l="1"/>
  <c r="N496" i="9"/>
  <c r="O496" i="9" s="1"/>
  <c r="M498" i="9" l="1"/>
  <c r="N497" i="9"/>
  <c r="O497" i="9" s="1"/>
  <c r="M499" i="9" l="1"/>
  <c r="N498" i="9"/>
  <c r="O498" i="9" s="1"/>
  <c r="M500" i="9" l="1"/>
  <c r="N499" i="9"/>
  <c r="O499" i="9" s="1"/>
  <c r="M501" i="9" l="1"/>
  <c r="N500" i="9"/>
  <c r="O500" i="9" s="1"/>
  <c r="M502" i="9" l="1"/>
  <c r="N501" i="9"/>
  <c r="O501" i="9" s="1"/>
  <c r="M503" i="9" l="1"/>
  <c r="N502" i="9"/>
  <c r="O502" i="9" s="1"/>
  <c r="M504" i="9" l="1"/>
  <c r="N503" i="9"/>
  <c r="O503" i="9" s="1"/>
  <c r="M505" i="9" l="1"/>
  <c r="N504" i="9"/>
  <c r="O504" i="9" s="1"/>
  <c r="M506" i="9" l="1"/>
  <c r="N505" i="9"/>
  <c r="O505" i="9" s="1"/>
  <c r="M507" i="9" l="1"/>
  <c r="N506" i="9"/>
  <c r="O506" i="9" s="1"/>
  <c r="M508" i="9" l="1"/>
  <c r="N507" i="9"/>
  <c r="O507" i="9" s="1"/>
  <c r="M509" i="9" l="1"/>
  <c r="N508" i="9"/>
  <c r="O508" i="9" s="1"/>
  <c r="M510" i="9" l="1"/>
  <c r="N509" i="9"/>
  <c r="O509" i="9" s="1"/>
  <c r="M511" i="9" l="1"/>
  <c r="N510" i="9"/>
  <c r="O510" i="9" s="1"/>
  <c r="M512" i="9" l="1"/>
  <c r="N511" i="9"/>
  <c r="O511" i="9" s="1"/>
  <c r="M513" i="9" l="1"/>
  <c r="N512" i="9"/>
  <c r="O512" i="9" s="1"/>
  <c r="M514" i="9" l="1"/>
  <c r="N513" i="9"/>
  <c r="O513" i="9" s="1"/>
  <c r="M515" i="9" l="1"/>
  <c r="N514" i="9"/>
  <c r="O514" i="9" s="1"/>
  <c r="M516" i="9" l="1"/>
  <c r="N515" i="9"/>
  <c r="O515" i="9" s="1"/>
  <c r="M517" i="9" l="1"/>
  <c r="N516" i="9"/>
  <c r="O516" i="9" s="1"/>
  <c r="M518" i="9" l="1"/>
  <c r="N517" i="9"/>
  <c r="O517" i="9" s="1"/>
  <c r="M519" i="9" l="1"/>
  <c r="N518" i="9"/>
  <c r="O518" i="9" s="1"/>
  <c r="M520" i="9" l="1"/>
  <c r="N519" i="9"/>
  <c r="O519" i="9" s="1"/>
  <c r="M521" i="9" l="1"/>
  <c r="N520" i="9"/>
  <c r="O520" i="9" s="1"/>
  <c r="M522" i="9" l="1"/>
  <c r="N521" i="9"/>
  <c r="O521" i="9" s="1"/>
  <c r="M523" i="9" l="1"/>
  <c r="N522" i="9"/>
  <c r="O522" i="9" s="1"/>
  <c r="M524" i="9" l="1"/>
  <c r="N523" i="9"/>
  <c r="O523" i="9" s="1"/>
  <c r="M525" i="9" l="1"/>
  <c r="N524" i="9"/>
  <c r="O524" i="9" s="1"/>
  <c r="M526" i="9" l="1"/>
  <c r="N525" i="9"/>
  <c r="O525" i="9" s="1"/>
  <c r="M527" i="9" l="1"/>
  <c r="N526" i="9"/>
  <c r="O526" i="9" s="1"/>
  <c r="M528" i="9" l="1"/>
  <c r="N527" i="9"/>
  <c r="O527" i="9" s="1"/>
  <c r="M529" i="9" l="1"/>
  <c r="N528" i="9"/>
  <c r="O528" i="9" s="1"/>
  <c r="M530" i="9" l="1"/>
  <c r="N529" i="9"/>
  <c r="O529" i="9" s="1"/>
  <c r="M531" i="9" l="1"/>
  <c r="N530" i="9"/>
  <c r="O530" i="9" s="1"/>
  <c r="M532" i="9" l="1"/>
  <c r="N531" i="9"/>
  <c r="O531" i="9" s="1"/>
  <c r="M533" i="9" l="1"/>
  <c r="N532" i="9"/>
  <c r="O532" i="9" s="1"/>
  <c r="M534" i="9" l="1"/>
  <c r="N533" i="9"/>
  <c r="O533" i="9" s="1"/>
  <c r="M535" i="9" l="1"/>
  <c r="N534" i="9"/>
  <c r="O534" i="9" s="1"/>
  <c r="M536" i="9" l="1"/>
  <c r="N535" i="9"/>
  <c r="O535" i="9" s="1"/>
  <c r="M537" i="9" l="1"/>
  <c r="N536" i="9"/>
  <c r="O536" i="9" s="1"/>
  <c r="M538" i="9" l="1"/>
  <c r="N537" i="9"/>
  <c r="O537" i="9" s="1"/>
  <c r="M539" i="9" l="1"/>
  <c r="N538" i="9"/>
  <c r="O538" i="9" s="1"/>
  <c r="M540" i="9" l="1"/>
  <c r="N539" i="9"/>
  <c r="O539" i="9" s="1"/>
  <c r="M541" i="9" l="1"/>
  <c r="N540" i="9"/>
  <c r="O540" i="9" s="1"/>
  <c r="M542" i="9" l="1"/>
  <c r="N541" i="9"/>
  <c r="O541" i="9" s="1"/>
  <c r="M543" i="9" l="1"/>
  <c r="N542" i="9"/>
  <c r="O542" i="9" s="1"/>
  <c r="M544" i="9" l="1"/>
  <c r="N543" i="9"/>
  <c r="O543" i="9" s="1"/>
  <c r="M545" i="9" l="1"/>
  <c r="N544" i="9"/>
  <c r="O544" i="9" s="1"/>
  <c r="M546" i="9" l="1"/>
  <c r="N545" i="9"/>
  <c r="O545" i="9" s="1"/>
  <c r="M547" i="9" l="1"/>
  <c r="N546" i="9"/>
  <c r="O546" i="9" s="1"/>
  <c r="M548" i="9" l="1"/>
  <c r="N547" i="9"/>
  <c r="O547" i="9" s="1"/>
  <c r="M549" i="9" l="1"/>
  <c r="N548" i="9"/>
  <c r="O548" i="9" s="1"/>
  <c r="M550" i="9" l="1"/>
  <c r="N549" i="9"/>
  <c r="O549" i="9" s="1"/>
  <c r="M551" i="9" l="1"/>
  <c r="N550" i="9"/>
  <c r="O550" i="9" s="1"/>
  <c r="M552" i="9" l="1"/>
  <c r="N551" i="9"/>
  <c r="O551" i="9" s="1"/>
  <c r="M553" i="9" l="1"/>
  <c r="N552" i="9"/>
  <c r="O552" i="9" s="1"/>
  <c r="M554" i="9" l="1"/>
  <c r="N553" i="9"/>
  <c r="O553" i="9" s="1"/>
  <c r="M555" i="9" l="1"/>
  <c r="N554" i="9"/>
  <c r="O554" i="9" s="1"/>
  <c r="M556" i="9" l="1"/>
  <c r="N555" i="9"/>
  <c r="O555" i="9" s="1"/>
  <c r="M557" i="9" l="1"/>
  <c r="N556" i="9"/>
  <c r="O556" i="9" s="1"/>
  <c r="M558" i="9" l="1"/>
  <c r="N557" i="9"/>
  <c r="O557" i="9" s="1"/>
  <c r="M559" i="9" l="1"/>
  <c r="N558" i="9"/>
  <c r="O558" i="9" s="1"/>
  <c r="M560" i="9" l="1"/>
  <c r="N559" i="9"/>
  <c r="O559" i="9" s="1"/>
  <c r="M561" i="9" l="1"/>
  <c r="N560" i="9"/>
  <c r="O560" i="9" s="1"/>
  <c r="M562" i="9" l="1"/>
  <c r="N561" i="9"/>
  <c r="O561" i="9" s="1"/>
  <c r="M563" i="9" l="1"/>
  <c r="N562" i="9"/>
  <c r="O562" i="9" s="1"/>
  <c r="M564" i="9" l="1"/>
  <c r="N563" i="9"/>
  <c r="O563" i="9" s="1"/>
  <c r="M565" i="9" l="1"/>
  <c r="N564" i="9"/>
  <c r="O564" i="9" s="1"/>
  <c r="M566" i="9" l="1"/>
  <c r="N565" i="9"/>
  <c r="O565" i="9" s="1"/>
  <c r="M567" i="9" l="1"/>
  <c r="N566" i="9"/>
  <c r="O566" i="9" s="1"/>
  <c r="M568" i="9" l="1"/>
  <c r="N567" i="9"/>
  <c r="O567" i="9" s="1"/>
  <c r="M569" i="9" l="1"/>
  <c r="N568" i="9"/>
  <c r="O568" i="9" s="1"/>
  <c r="M570" i="9" l="1"/>
  <c r="N569" i="9"/>
  <c r="O569" i="9" s="1"/>
  <c r="M571" i="9" l="1"/>
  <c r="N570" i="9"/>
  <c r="O570" i="9" s="1"/>
  <c r="M572" i="9" l="1"/>
  <c r="N571" i="9"/>
  <c r="O571" i="9" s="1"/>
  <c r="M573" i="9" l="1"/>
  <c r="N572" i="9"/>
  <c r="O572" i="9" s="1"/>
  <c r="M574" i="9" l="1"/>
  <c r="N573" i="9"/>
  <c r="O573" i="9" s="1"/>
  <c r="M575" i="9" l="1"/>
  <c r="N574" i="9"/>
  <c r="O574" i="9" s="1"/>
  <c r="M576" i="9" l="1"/>
  <c r="N575" i="9"/>
  <c r="O575" i="9" s="1"/>
  <c r="M577" i="9" l="1"/>
  <c r="N576" i="9"/>
  <c r="O576" i="9" s="1"/>
  <c r="M578" i="9" l="1"/>
  <c r="N577" i="9"/>
  <c r="O577" i="9" s="1"/>
  <c r="M579" i="9" l="1"/>
  <c r="N578" i="9"/>
  <c r="O578" i="9" s="1"/>
  <c r="M580" i="9" l="1"/>
  <c r="N579" i="9"/>
  <c r="O579" i="9" s="1"/>
  <c r="M581" i="9" l="1"/>
  <c r="N580" i="9"/>
  <c r="O580" i="9" s="1"/>
  <c r="M582" i="9" l="1"/>
  <c r="N581" i="9"/>
  <c r="O581" i="9" s="1"/>
  <c r="M583" i="9" l="1"/>
  <c r="N582" i="9"/>
  <c r="O582" i="9" s="1"/>
  <c r="M584" i="9" l="1"/>
  <c r="N583" i="9"/>
  <c r="O583" i="9" s="1"/>
  <c r="M585" i="9" l="1"/>
  <c r="N584" i="9"/>
  <c r="O584" i="9" s="1"/>
  <c r="M586" i="9" l="1"/>
  <c r="N585" i="9"/>
  <c r="O585" i="9" s="1"/>
  <c r="M587" i="9" l="1"/>
  <c r="N586" i="9"/>
  <c r="O586" i="9" s="1"/>
  <c r="M588" i="9" l="1"/>
  <c r="N587" i="9"/>
  <c r="O587" i="9" s="1"/>
  <c r="M589" i="9" l="1"/>
  <c r="N588" i="9"/>
  <c r="O588" i="9" s="1"/>
  <c r="M590" i="9" l="1"/>
  <c r="N589" i="9"/>
  <c r="O589" i="9" s="1"/>
  <c r="M591" i="9" l="1"/>
  <c r="N590" i="9"/>
  <c r="O590" i="9" s="1"/>
  <c r="M592" i="9" l="1"/>
  <c r="N591" i="9"/>
  <c r="O591" i="9" s="1"/>
  <c r="M593" i="9" l="1"/>
  <c r="N592" i="9"/>
  <c r="O592" i="9" s="1"/>
  <c r="M594" i="9" l="1"/>
  <c r="N593" i="9"/>
  <c r="O593" i="9" s="1"/>
  <c r="M595" i="9" l="1"/>
  <c r="N594" i="9"/>
  <c r="O594" i="9" s="1"/>
  <c r="M596" i="9" l="1"/>
  <c r="N595" i="9"/>
  <c r="O595" i="9" s="1"/>
  <c r="M597" i="9" l="1"/>
  <c r="N596" i="9"/>
  <c r="O596" i="9" s="1"/>
  <c r="M598" i="9" l="1"/>
  <c r="N597" i="9"/>
  <c r="O597" i="9" s="1"/>
  <c r="M599" i="9" l="1"/>
  <c r="N598" i="9"/>
  <c r="O598" i="9" s="1"/>
  <c r="M600" i="9" l="1"/>
  <c r="N599" i="9"/>
  <c r="O599" i="9" s="1"/>
  <c r="M601" i="9" l="1"/>
  <c r="N600" i="9"/>
  <c r="O600" i="9" s="1"/>
  <c r="M602" i="9" l="1"/>
  <c r="N601" i="9"/>
  <c r="O601" i="9" s="1"/>
  <c r="M603" i="9" l="1"/>
  <c r="N602" i="9"/>
  <c r="O602" i="9" s="1"/>
  <c r="M604" i="9" l="1"/>
  <c r="N603" i="9"/>
  <c r="O603" i="9" s="1"/>
  <c r="M605" i="9" l="1"/>
  <c r="N604" i="9"/>
  <c r="O604" i="9" s="1"/>
  <c r="M606" i="9" l="1"/>
  <c r="N605" i="9"/>
  <c r="O605" i="9" s="1"/>
  <c r="M607" i="9" l="1"/>
  <c r="N606" i="9"/>
  <c r="O606" i="9" s="1"/>
  <c r="M608" i="9" l="1"/>
  <c r="N607" i="9"/>
  <c r="O607" i="9" s="1"/>
  <c r="M609" i="9" l="1"/>
  <c r="N608" i="9"/>
  <c r="O608" i="9" s="1"/>
  <c r="M610" i="9" l="1"/>
  <c r="N609" i="9"/>
  <c r="O609" i="9" s="1"/>
  <c r="M611" i="9" l="1"/>
  <c r="N610" i="9"/>
  <c r="O610" i="9" s="1"/>
  <c r="M612" i="9" l="1"/>
  <c r="N611" i="9"/>
  <c r="O611" i="9" s="1"/>
  <c r="M613" i="9" l="1"/>
  <c r="N612" i="9"/>
  <c r="O612" i="9" s="1"/>
  <c r="M614" i="9" l="1"/>
  <c r="N613" i="9"/>
  <c r="O613" i="9" s="1"/>
  <c r="M615" i="9" l="1"/>
  <c r="N614" i="9"/>
  <c r="O614" i="9" s="1"/>
  <c r="M616" i="9" l="1"/>
  <c r="N615" i="9"/>
  <c r="O615" i="9" s="1"/>
  <c r="M617" i="9" l="1"/>
  <c r="N616" i="9"/>
  <c r="O616" i="9" s="1"/>
  <c r="M618" i="9" l="1"/>
  <c r="N617" i="9"/>
  <c r="O617" i="9" s="1"/>
  <c r="M619" i="9" l="1"/>
  <c r="N618" i="9"/>
  <c r="O618" i="9" s="1"/>
  <c r="M620" i="9" l="1"/>
  <c r="N619" i="9"/>
  <c r="O619" i="9" s="1"/>
  <c r="M621" i="9" l="1"/>
  <c r="N620" i="9"/>
  <c r="O620" i="9" s="1"/>
  <c r="M622" i="9" l="1"/>
  <c r="N621" i="9"/>
  <c r="O621" i="9" s="1"/>
  <c r="M623" i="9" l="1"/>
  <c r="N622" i="9"/>
  <c r="O622" i="9" s="1"/>
  <c r="M624" i="9" l="1"/>
  <c r="N623" i="9"/>
  <c r="O623" i="9" s="1"/>
  <c r="M625" i="9" l="1"/>
  <c r="N624" i="9"/>
  <c r="O624" i="9" s="1"/>
  <c r="M626" i="9" l="1"/>
  <c r="N625" i="9"/>
  <c r="O625" i="9" s="1"/>
  <c r="M627" i="9" l="1"/>
  <c r="N626" i="9"/>
  <c r="O626" i="9" s="1"/>
  <c r="M628" i="9" l="1"/>
  <c r="N627" i="9"/>
  <c r="O627" i="9" s="1"/>
  <c r="M629" i="9" l="1"/>
  <c r="N628" i="9"/>
  <c r="O628" i="9" s="1"/>
  <c r="M630" i="9" l="1"/>
  <c r="N629" i="9"/>
  <c r="O629" i="9" s="1"/>
  <c r="M631" i="9" l="1"/>
  <c r="N630" i="9"/>
  <c r="O630" i="9" s="1"/>
  <c r="M632" i="9" l="1"/>
  <c r="N631" i="9"/>
  <c r="O631" i="9" s="1"/>
  <c r="M633" i="9" l="1"/>
  <c r="N632" i="9"/>
  <c r="O632" i="9" s="1"/>
  <c r="M634" i="9" l="1"/>
  <c r="N633" i="9"/>
  <c r="O633" i="9" s="1"/>
  <c r="M635" i="9" l="1"/>
  <c r="N634" i="9"/>
  <c r="O634" i="9" s="1"/>
  <c r="M636" i="9" l="1"/>
  <c r="N635" i="9"/>
  <c r="O635" i="9" s="1"/>
  <c r="M637" i="9" l="1"/>
  <c r="N636" i="9"/>
  <c r="O636" i="9" s="1"/>
  <c r="M638" i="9" l="1"/>
  <c r="N637" i="9"/>
  <c r="O637" i="9" s="1"/>
  <c r="M639" i="9" l="1"/>
  <c r="N638" i="9"/>
  <c r="O638" i="9" s="1"/>
  <c r="M640" i="9" l="1"/>
  <c r="N639" i="9"/>
  <c r="O639" i="9" s="1"/>
  <c r="M641" i="9" l="1"/>
  <c r="N640" i="9"/>
  <c r="O640" i="9" s="1"/>
  <c r="M642" i="9" l="1"/>
  <c r="N641" i="9"/>
  <c r="O641" i="9" s="1"/>
  <c r="M643" i="9" l="1"/>
  <c r="N642" i="9"/>
  <c r="O642" i="9" s="1"/>
  <c r="M644" i="9" l="1"/>
  <c r="N643" i="9"/>
  <c r="O643" i="9" s="1"/>
  <c r="M645" i="9" l="1"/>
  <c r="N644" i="9"/>
  <c r="O644" i="9" s="1"/>
  <c r="M646" i="9" l="1"/>
  <c r="N645" i="9"/>
  <c r="O645" i="9" s="1"/>
  <c r="M647" i="9" l="1"/>
  <c r="N646" i="9"/>
  <c r="O646" i="9" s="1"/>
  <c r="M648" i="9" l="1"/>
  <c r="N647" i="9"/>
  <c r="O647" i="9" s="1"/>
  <c r="M649" i="9" l="1"/>
  <c r="N648" i="9"/>
  <c r="O648" i="9" s="1"/>
  <c r="M650" i="9" l="1"/>
  <c r="N649" i="9"/>
  <c r="O649" i="9" s="1"/>
  <c r="M651" i="9" l="1"/>
  <c r="N650" i="9"/>
  <c r="O650" i="9" s="1"/>
  <c r="M652" i="9" l="1"/>
  <c r="N651" i="9"/>
  <c r="O651" i="9" s="1"/>
  <c r="M653" i="9" l="1"/>
  <c r="N652" i="9"/>
  <c r="O652" i="9" s="1"/>
  <c r="M654" i="9" l="1"/>
  <c r="N653" i="9"/>
  <c r="O653" i="9" s="1"/>
  <c r="M655" i="9" l="1"/>
  <c r="N654" i="9"/>
  <c r="O654" i="9" s="1"/>
  <c r="M656" i="9" l="1"/>
  <c r="N655" i="9"/>
  <c r="O655" i="9" s="1"/>
  <c r="M657" i="9" l="1"/>
  <c r="N656" i="9"/>
  <c r="O656" i="9" s="1"/>
  <c r="M658" i="9" l="1"/>
  <c r="N657" i="9"/>
  <c r="O657" i="9" s="1"/>
  <c r="M659" i="9" l="1"/>
  <c r="N658" i="9"/>
  <c r="O658" i="9" s="1"/>
  <c r="M660" i="9" l="1"/>
  <c r="N659" i="9"/>
  <c r="O659" i="9" s="1"/>
  <c r="M661" i="9" l="1"/>
  <c r="N660" i="9"/>
  <c r="O660" i="9" s="1"/>
  <c r="M662" i="9" l="1"/>
  <c r="N661" i="9"/>
  <c r="O661" i="9" s="1"/>
  <c r="M663" i="9" l="1"/>
  <c r="N662" i="9"/>
  <c r="O662" i="9" s="1"/>
  <c r="M664" i="9" l="1"/>
  <c r="N663" i="9"/>
  <c r="O663" i="9" s="1"/>
  <c r="M665" i="9" l="1"/>
  <c r="N664" i="9"/>
  <c r="O664" i="9" s="1"/>
  <c r="M666" i="9" l="1"/>
  <c r="N665" i="9"/>
  <c r="O665" i="9" s="1"/>
  <c r="M667" i="9" l="1"/>
  <c r="N666" i="9"/>
  <c r="O666" i="9" s="1"/>
  <c r="M668" i="9" l="1"/>
  <c r="N667" i="9"/>
  <c r="O667" i="9" s="1"/>
  <c r="M669" i="9" l="1"/>
  <c r="N668" i="9"/>
  <c r="O668" i="9" s="1"/>
  <c r="M670" i="9" l="1"/>
  <c r="N669" i="9"/>
  <c r="O669" i="9" s="1"/>
  <c r="M671" i="9" l="1"/>
  <c r="N670" i="9"/>
  <c r="O670" i="9" s="1"/>
  <c r="M672" i="9" l="1"/>
  <c r="N671" i="9"/>
  <c r="O671" i="9" s="1"/>
  <c r="M673" i="9" l="1"/>
  <c r="N672" i="9"/>
  <c r="O672" i="9" s="1"/>
  <c r="M674" i="9" l="1"/>
  <c r="N673" i="9"/>
  <c r="O673" i="9" s="1"/>
  <c r="M675" i="9" l="1"/>
  <c r="N674" i="9"/>
  <c r="O674" i="9" s="1"/>
  <c r="M676" i="9" l="1"/>
  <c r="N675" i="9"/>
  <c r="O675" i="9" s="1"/>
  <c r="M677" i="9" l="1"/>
  <c r="N676" i="9"/>
  <c r="O676" i="9" s="1"/>
  <c r="M678" i="9" l="1"/>
  <c r="N677" i="9"/>
  <c r="O677" i="9" s="1"/>
  <c r="M679" i="9" l="1"/>
  <c r="N678" i="9"/>
  <c r="O678" i="9" s="1"/>
  <c r="M680" i="9" l="1"/>
  <c r="N679" i="9"/>
  <c r="O679" i="9" s="1"/>
  <c r="M681" i="9" l="1"/>
  <c r="N680" i="9"/>
  <c r="O680" i="9" s="1"/>
  <c r="M682" i="9" l="1"/>
  <c r="N681" i="9"/>
  <c r="O681" i="9" s="1"/>
  <c r="M683" i="9" l="1"/>
  <c r="N682" i="9"/>
  <c r="O682" i="9" s="1"/>
  <c r="M684" i="9" l="1"/>
  <c r="N683" i="9"/>
  <c r="O683" i="9" s="1"/>
  <c r="M685" i="9" l="1"/>
  <c r="N684" i="9"/>
  <c r="O684" i="9" s="1"/>
  <c r="M686" i="9" l="1"/>
  <c r="N685" i="9"/>
  <c r="O685" i="9" s="1"/>
  <c r="M687" i="9" l="1"/>
  <c r="N686" i="9"/>
  <c r="O686" i="9" s="1"/>
  <c r="M688" i="9" l="1"/>
  <c r="N687" i="9"/>
  <c r="O687" i="9" s="1"/>
  <c r="M689" i="9" l="1"/>
  <c r="N688" i="9"/>
  <c r="O688" i="9" s="1"/>
  <c r="M690" i="9" l="1"/>
  <c r="N689" i="9"/>
  <c r="O689" i="9" s="1"/>
  <c r="M691" i="9" l="1"/>
  <c r="N690" i="9"/>
  <c r="O690" i="9" s="1"/>
  <c r="M692" i="9" l="1"/>
  <c r="N691" i="9"/>
  <c r="O691" i="9" s="1"/>
  <c r="M693" i="9" l="1"/>
  <c r="N692" i="9"/>
  <c r="O692" i="9" s="1"/>
  <c r="M694" i="9" l="1"/>
  <c r="N693" i="9"/>
  <c r="O693" i="9" s="1"/>
  <c r="M695" i="9" l="1"/>
  <c r="N694" i="9"/>
  <c r="O694" i="9" s="1"/>
  <c r="M696" i="9" l="1"/>
  <c r="N695" i="9"/>
  <c r="O695" i="9" s="1"/>
  <c r="M697" i="9" l="1"/>
  <c r="N696" i="9"/>
  <c r="O696" i="9" s="1"/>
  <c r="M698" i="9" l="1"/>
  <c r="N697" i="9"/>
  <c r="O697" i="9" s="1"/>
  <c r="M699" i="9" l="1"/>
  <c r="N698" i="9"/>
  <c r="O698" i="9" s="1"/>
  <c r="M700" i="9" l="1"/>
  <c r="N699" i="9"/>
  <c r="O699" i="9" s="1"/>
  <c r="M701" i="9" l="1"/>
  <c r="N700" i="9"/>
  <c r="O700" i="9" s="1"/>
  <c r="M702" i="9" l="1"/>
  <c r="N701" i="9"/>
  <c r="O701" i="9" s="1"/>
  <c r="M703" i="9" l="1"/>
  <c r="N702" i="9"/>
  <c r="O702" i="9" s="1"/>
  <c r="M704" i="9" l="1"/>
  <c r="N703" i="9"/>
  <c r="O703" i="9" s="1"/>
  <c r="M705" i="9" l="1"/>
  <c r="N704" i="9"/>
  <c r="O704" i="9" s="1"/>
  <c r="M706" i="9" l="1"/>
  <c r="N705" i="9"/>
  <c r="O705" i="9" s="1"/>
  <c r="M707" i="9" l="1"/>
  <c r="N706" i="9"/>
  <c r="O706" i="9" s="1"/>
  <c r="M708" i="9" l="1"/>
  <c r="N707" i="9"/>
  <c r="O707" i="9" s="1"/>
  <c r="M709" i="9" l="1"/>
  <c r="N708" i="9"/>
  <c r="O708" i="9" s="1"/>
  <c r="M710" i="9" l="1"/>
  <c r="N709" i="9"/>
  <c r="O709" i="9" s="1"/>
  <c r="M711" i="9" l="1"/>
  <c r="N710" i="9"/>
  <c r="O710" i="9" s="1"/>
  <c r="M712" i="9" l="1"/>
  <c r="N711" i="9"/>
  <c r="O711" i="9" s="1"/>
  <c r="M713" i="9" l="1"/>
  <c r="N712" i="9"/>
  <c r="O712" i="9" s="1"/>
  <c r="M714" i="9" l="1"/>
  <c r="N713" i="9"/>
  <c r="O713" i="9" s="1"/>
  <c r="M715" i="9" l="1"/>
  <c r="N714" i="9"/>
  <c r="O714" i="9" s="1"/>
  <c r="M716" i="9" l="1"/>
  <c r="N715" i="9"/>
  <c r="O715" i="9" s="1"/>
  <c r="M717" i="9" l="1"/>
  <c r="N716" i="9"/>
  <c r="O716" i="9" s="1"/>
  <c r="M718" i="9" l="1"/>
  <c r="N717" i="9"/>
  <c r="O717" i="9" s="1"/>
  <c r="M719" i="9" l="1"/>
  <c r="N718" i="9"/>
  <c r="O718" i="9" s="1"/>
  <c r="M720" i="9" l="1"/>
  <c r="N719" i="9"/>
  <c r="O719" i="9" s="1"/>
  <c r="M721" i="9" l="1"/>
  <c r="N720" i="9"/>
  <c r="O720" i="9" s="1"/>
  <c r="M722" i="9" l="1"/>
  <c r="N721" i="9"/>
  <c r="O721" i="9" s="1"/>
  <c r="M723" i="9" l="1"/>
  <c r="N722" i="9"/>
  <c r="O722" i="9" s="1"/>
  <c r="M724" i="9" l="1"/>
  <c r="N723" i="9"/>
  <c r="O723" i="9" s="1"/>
  <c r="M725" i="9" l="1"/>
  <c r="N724" i="9"/>
  <c r="O724" i="9" s="1"/>
  <c r="M726" i="9" l="1"/>
  <c r="N725" i="9"/>
  <c r="O725" i="9" s="1"/>
  <c r="M727" i="9" l="1"/>
  <c r="N726" i="9"/>
  <c r="O726" i="9" s="1"/>
  <c r="M728" i="9" l="1"/>
  <c r="N727" i="9"/>
  <c r="O727" i="9" s="1"/>
  <c r="M729" i="9" l="1"/>
  <c r="N728" i="9"/>
  <c r="O728" i="9" s="1"/>
  <c r="M730" i="9" l="1"/>
  <c r="N729" i="9"/>
  <c r="O729" i="9" s="1"/>
  <c r="M731" i="9" l="1"/>
  <c r="N730" i="9"/>
  <c r="O730" i="9" s="1"/>
  <c r="M732" i="9" l="1"/>
  <c r="N731" i="9"/>
  <c r="O731" i="9" s="1"/>
  <c r="M733" i="9" l="1"/>
  <c r="N732" i="9"/>
  <c r="O732" i="9" s="1"/>
  <c r="M734" i="9" l="1"/>
  <c r="N733" i="9"/>
  <c r="O733" i="9" s="1"/>
  <c r="M735" i="9" l="1"/>
  <c r="N734" i="9"/>
  <c r="O734" i="9" s="1"/>
  <c r="M736" i="9" l="1"/>
  <c r="N735" i="9"/>
  <c r="O735" i="9" s="1"/>
  <c r="M737" i="9" l="1"/>
  <c r="N736" i="9"/>
  <c r="O736" i="9" s="1"/>
  <c r="M738" i="9" l="1"/>
  <c r="N737" i="9"/>
  <c r="O737" i="9" s="1"/>
  <c r="M739" i="9" l="1"/>
  <c r="N738" i="9"/>
  <c r="O738" i="9" s="1"/>
  <c r="M740" i="9" l="1"/>
  <c r="N739" i="9"/>
  <c r="O739" i="9" s="1"/>
  <c r="M741" i="9" l="1"/>
  <c r="N740" i="9"/>
  <c r="O740" i="9" s="1"/>
  <c r="M742" i="9" l="1"/>
  <c r="N741" i="9"/>
  <c r="O741" i="9" s="1"/>
  <c r="M743" i="9" l="1"/>
  <c r="N742" i="9"/>
  <c r="O742" i="9" s="1"/>
  <c r="M744" i="9" l="1"/>
  <c r="N743" i="9"/>
  <c r="O743" i="9" s="1"/>
  <c r="M745" i="9" l="1"/>
  <c r="N744" i="9"/>
  <c r="O744" i="9" s="1"/>
  <c r="M746" i="9" l="1"/>
  <c r="N745" i="9"/>
  <c r="O745" i="9" s="1"/>
  <c r="M747" i="9" l="1"/>
  <c r="N746" i="9"/>
  <c r="O746" i="9" s="1"/>
  <c r="M748" i="9" l="1"/>
  <c r="N747" i="9"/>
  <c r="O747" i="9" s="1"/>
  <c r="M749" i="9" l="1"/>
  <c r="N748" i="9"/>
  <c r="O748" i="9" s="1"/>
  <c r="M750" i="9" l="1"/>
  <c r="N749" i="9"/>
  <c r="O749" i="9" s="1"/>
  <c r="M751" i="9" l="1"/>
  <c r="N750" i="9"/>
  <c r="O750" i="9" s="1"/>
  <c r="M752" i="9" l="1"/>
  <c r="N751" i="9"/>
  <c r="O751" i="9" s="1"/>
  <c r="M753" i="9" l="1"/>
  <c r="N752" i="9"/>
  <c r="O752" i="9" s="1"/>
  <c r="M754" i="9" l="1"/>
  <c r="N753" i="9"/>
  <c r="O753" i="9" s="1"/>
  <c r="M755" i="9" l="1"/>
  <c r="N754" i="9"/>
  <c r="O754" i="9" s="1"/>
  <c r="M756" i="9" l="1"/>
  <c r="N755" i="9"/>
  <c r="O755" i="9" s="1"/>
  <c r="M757" i="9" l="1"/>
  <c r="N756" i="9"/>
  <c r="O756" i="9" s="1"/>
  <c r="M758" i="9" l="1"/>
  <c r="N757" i="9"/>
  <c r="O757" i="9" s="1"/>
  <c r="M759" i="9" l="1"/>
  <c r="N758" i="9"/>
  <c r="O758" i="9" s="1"/>
  <c r="M760" i="9" l="1"/>
  <c r="N759" i="9"/>
  <c r="O759" i="9" s="1"/>
  <c r="M761" i="9" l="1"/>
  <c r="N760" i="9"/>
  <c r="O760" i="9" s="1"/>
  <c r="M762" i="9" l="1"/>
  <c r="N761" i="9"/>
  <c r="O761" i="9" s="1"/>
  <c r="M763" i="9" l="1"/>
  <c r="N762" i="9"/>
  <c r="O762" i="9" s="1"/>
  <c r="M764" i="9" l="1"/>
  <c r="N763" i="9"/>
  <c r="O763" i="9" s="1"/>
  <c r="M765" i="9" l="1"/>
  <c r="N764" i="9"/>
  <c r="O764" i="9" s="1"/>
  <c r="M766" i="9" l="1"/>
  <c r="N765" i="9"/>
  <c r="O765" i="9" s="1"/>
  <c r="M767" i="9" l="1"/>
  <c r="N766" i="9"/>
  <c r="O766" i="9" s="1"/>
  <c r="M768" i="9" l="1"/>
  <c r="N767" i="9"/>
  <c r="O767" i="9" s="1"/>
  <c r="M769" i="9" l="1"/>
  <c r="N768" i="9"/>
  <c r="O768" i="9" s="1"/>
  <c r="M770" i="9" l="1"/>
  <c r="N769" i="9"/>
  <c r="O769" i="9" s="1"/>
  <c r="M771" i="9" l="1"/>
  <c r="N770" i="9"/>
  <c r="O770" i="9" s="1"/>
  <c r="M772" i="9" l="1"/>
  <c r="N771" i="9"/>
  <c r="O771" i="9" s="1"/>
  <c r="M773" i="9" l="1"/>
  <c r="N772" i="9"/>
  <c r="O772" i="9" s="1"/>
  <c r="M774" i="9" l="1"/>
  <c r="N773" i="9"/>
  <c r="O773" i="9" s="1"/>
  <c r="M775" i="9" l="1"/>
  <c r="N774" i="9"/>
  <c r="O774" i="9" s="1"/>
  <c r="M776" i="9" l="1"/>
  <c r="N775" i="9"/>
  <c r="O775" i="9" s="1"/>
  <c r="M777" i="9" l="1"/>
  <c r="N776" i="9"/>
  <c r="O776" i="9" s="1"/>
  <c r="M778" i="9" l="1"/>
  <c r="N777" i="9"/>
  <c r="O777" i="9" s="1"/>
  <c r="M779" i="9" l="1"/>
  <c r="N778" i="9"/>
  <c r="O778" i="9" s="1"/>
  <c r="M780" i="9" l="1"/>
  <c r="N779" i="9"/>
  <c r="O779" i="9" s="1"/>
  <c r="M781" i="9" l="1"/>
  <c r="N780" i="9"/>
  <c r="O780" i="9" s="1"/>
  <c r="M782" i="9" l="1"/>
  <c r="N781" i="9"/>
  <c r="O781" i="9" s="1"/>
  <c r="M783" i="9" l="1"/>
  <c r="N782" i="9"/>
  <c r="O782" i="9" s="1"/>
  <c r="M784" i="9" l="1"/>
  <c r="N783" i="9"/>
  <c r="O783" i="9" s="1"/>
  <c r="M785" i="9" l="1"/>
  <c r="N784" i="9"/>
  <c r="O784" i="9" s="1"/>
  <c r="M786" i="9" l="1"/>
  <c r="N785" i="9"/>
  <c r="O785" i="9" s="1"/>
  <c r="M787" i="9" l="1"/>
  <c r="N786" i="9"/>
  <c r="O786" i="9" s="1"/>
  <c r="M788" i="9" l="1"/>
  <c r="N787" i="9"/>
  <c r="O787" i="9" s="1"/>
  <c r="M789" i="9" l="1"/>
  <c r="N788" i="9"/>
  <c r="O788" i="9" s="1"/>
  <c r="M790" i="9" l="1"/>
  <c r="N789" i="9"/>
  <c r="O789" i="9" s="1"/>
  <c r="M791" i="9" l="1"/>
  <c r="N790" i="9"/>
  <c r="O790" i="9" s="1"/>
  <c r="M792" i="9" l="1"/>
  <c r="N791" i="9"/>
  <c r="O791" i="9" s="1"/>
  <c r="M793" i="9" l="1"/>
  <c r="N792" i="9"/>
  <c r="O792" i="9" s="1"/>
  <c r="M794" i="9" l="1"/>
  <c r="N793" i="9"/>
  <c r="O793" i="9" s="1"/>
  <c r="M795" i="9" l="1"/>
  <c r="N794" i="9"/>
  <c r="O794" i="9" s="1"/>
  <c r="M796" i="9" l="1"/>
  <c r="N795" i="9"/>
  <c r="O795" i="9" s="1"/>
  <c r="M797" i="9" l="1"/>
  <c r="N796" i="9"/>
  <c r="O796" i="9" s="1"/>
  <c r="M798" i="9" l="1"/>
  <c r="N797" i="9"/>
  <c r="O797" i="9" s="1"/>
  <c r="M799" i="9" l="1"/>
  <c r="N798" i="9"/>
  <c r="O798" i="9" s="1"/>
  <c r="M800" i="9" l="1"/>
  <c r="N799" i="9"/>
  <c r="O799" i="9" s="1"/>
  <c r="M801" i="9" l="1"/>
  <c r="N800" i="9"/>
  <c r="O800" i="9" s="1"/>
  <c r="M802" i="9" l="1"/>
  <c r="N801" i="9"/>
  <c r="O801" i="9" s="1"/>
  <c r="M803" i="9" l="1"/>
  <c r="N802" i="9"/>
  <c r="O802" i="9" s="1"/>
  <c r="M804" i="9" l="1"/>
  <c r="N803" i="9"/>
  <c r="O803" i="9" s="1"/>
  <c r="M805" i="9" l="1"/>
  <c r="N804" i="9"/>
  <c r="O804" i="9" s="1"/>
  <c r="M806" i="9" l="1"/>
  <c r="N805" i="9"/>
  <c r="O805" i="9" s="1"/>
  <c r="M807" i="9" l="1"/>
  <c r="N806" i="9"/>
  <c r="O806" i="9" s="1"/>
  <c r="M808" i="9" l="1"/>
  <c r="N807" i="9"/>
  <c r="O807" i="9" s="1"/>
  <c r="M809" i="9" l="1"/>
  <c r="N808" i="9"/>
  <c r="O808" i="9" s="1"/>
  <c r="M810" i="9" l="1"/>
  <c r="N809" i="9"/>
  <c r="O809" i="9" s="1"/>
  <c r="M811" i="9" l="1"/>
  <c r="N810" i="9"/>
  <c r="O810" i="9" s="1"/>
  <c r="M812" i="9" l="1"/>
  <c r="N811" i="9"/>
  <c r="O811" i="9" s="1"/>
  <c r="M813" i="9" l="1"/>
  <c r="N813" i="9" s="1"/>
  <c r="O813" i="9" s="1"/>
  <c r="N812" i="9"/>
  <c r="O81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33" authorId="0" shapeId="0" xr:uid="{00000000-0006-0000-0100-000001000000}">
      <text>
        <r>
          <rPr>
            <sz val="11"/>
            <color rgb="FF000000"/>
            <rFont val="Calibri"/>
            <charset val="1"/>
          </rPr>
          <t>======
ID#AAABxnmOUHo
    (2025-12-17 17:32:44)
Inserir o Prazo da Obra em dias corridos</t>
        </r>
      </text>
    </comment>
    <comment ref="H35" authorId="0" shapeId="0" xr:uid="{00000000-0006-0000-0100-000002000000}">
      <text>
        <r>
          <rPr>
            <sz val="11"/>
            <color rgb="FF000000"/>
            <rFont val="Calibri"/>
            <charset val="1"/>
          </rPr>
          <t>======
ID#AAABxnmOUHs
    (2025-12-17 17:32:44)
Preenchido a partir da aba Resumo</t>
        </r>
      </text>
    </comment>
    <comment ref="H37" authorId="0" shapeId="0" xr:uid="{00000000-0006-0000-0100-000003000000}">
      <text>
        <r>
          <rPr>
            <sz val="11"/>
            <color rgb="FF000000"/>
            <rFont val="Calibri"/>
            <charset val="1"/>
          </rPr>
          <t>======
ID#AAABxnmOUH8
    (2025-12-17 17:32:44)
Preenchido a partir da aba Resumo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D24" authorId="0" shapeId="0" xr:uid="{00000000-0006-0000-0200-000001000000}">
      <text>
        <r>
          <rPr>
            <sz val="11"/>
            <color rgb="FF000000"/>
            <rFont val="Calibri"/>
            <charset val="1"/>
          </rPr>
          <t>======
ID#AAABxnmOUIE
    (2025-12-17 17:32:44)
A CPRB DEVE SER RETIRADA DA COMPOSIÇÃO DO BDI QUANDO A MELHOR OPÇÃO FOR A UTILIZAÇÃO DA TABELA DE SERVIÇOS SEM DESONERAÇÃO.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5864" authorId="0" shapeId="0" xr:uid="{00000000-0006-0000-0400-000001000000}">
      <text>
        <r>
          <rPr>
            <sz val="11"/>
            <color rgb="FF000000"/>
            <rFont val="Calibri"/>
            <charset val="1"/>
          </rPr>
          <t>======
ID#AAABxnmOUHw
    (2025-12-17 17:32:44)
CT (01/2019): inclui o serviço de demolição da argamassa colante, todavia os coeficientes desta composição não contemplam a retirada da camada de regularização (reboco/emboço)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AA7" authorId="0" shapeId="0" xr:uid="{00000000-0006-0000-0600-000001000000}">
      <text>
        <r>
          <rPr>
            <sz val="11"/>
            <color rgb="FF000000"/>
            <rFont val="Calibri"/>
            <charset val="1"/>
          </rPr>
          <t>======
ID#AAABxnmOUH4
    (2025-12-17 17:32:44)
IGUAL À DATA DA ÚLTIMA PARCELA MEDIDA.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52" authorId="0" shapeId="0" xr:uid="{00000000-0006-0000-0A00-000001000000}">
      <text>
        <r>
          <rPr>
            <sz val="11"/>
            <color rgb="FF000000"/>
            <rFont val="Calibri"/>
            <charset val="1"/>
          </rPr>
          <t>======
ID#AAABxnmOUH0
    (2025-12-17 17:32:44)
INSERIR O VALOR CONFORME CARTA PROPOSTA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2" authorId="0" shapeId="0" xr:uid="{00000000-0006-0000-1000-000001000000}">
      <text>
        <r>
          <rPr>
            <sz val="11"/>
            <color rgb="FF000000"/>
            <rFont val="Calibri"/>
            <charset val="1"/>
          </rPr>
          <t>======
ID#AAABxnmOUIA
    (2025-12-17 17:32:44)
INSERIR SECRETARIA PROPRIETÁRIA DO PRÓPRIO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C2" authorId="0" shapeId="0" xr:uid="{00000000-0006-0000-1200-000001000000}">
      <text>
        <r>
          <rPr>
            <sz val="11"/>
            <color rgb="FF000000"/>
            <rFont val="Calibri"/>
            <charset val="1"/>
          </rPr>
          <t>======
ID#AAABxnmPJLc
    (2025-12-17 17:32:44)
INSERIR SECRETARIA PROPRIETÁRIA DO PRÓPRIO</t>
        </r>
      </text>
    </comment>
  </commentList>
</comments>
</file>

<file path=xl/sharedStrings.xml><?xml version="1.0" encoding="utf-8"?>
<sst xmlns="http://schemas.openxmlformats.org/spreadsheetml/2006/main" count="56251" uniqueCount="20681">
  <si>
    <t>ABATIÁ</t>
  </si>
  <si>
    <t>ADRIANÓPOLIS</t>
  </si>
  <si>
    <t>AGUDOS DO SUL</t>
  </si>
  <si>
    <t>ALMIRANTE TAMANDARÉ</t>
  </si>
  <si>
    <t>ALTAMIRA DO PARANÁ</t>
  </si>
  <si>
    <t>ALTO PARAÍSO</t>
  </si>
  <si>
    <t>ALTO PARANÁ</t>
  </si>
  <si>
    <t>ALTO PIQUIRI</t>
  </si>
  <si>
    <t>Identificação da Obra:</t>
  </si>
  <si>
    <t>ALTÔNIA</t>
  </si>
  <si>
    <t>ALVORADA DO SUL</t>
  </si>
  <si>
    <t>Objeto</t>
  </si>
  <si>
    <t xml:space="preserve">PRONTO ATENDIMENTO MUNICIPAL </t>
  </si>
  <si>
    <t>Órgão</t>
  </si>
  <si>
    <t>SESA</t>
  </si>
  <si>
    <t>AMAPORÃ</t>
  </si>
  <si>
    <t>Endereço</t>
  </si>
  <si>
    <t>PADRÃO</t>
  </si>
  <si>
    <t>AMPÉRE</t>
  </si>
  <si>
    <t>ANAHY</t>
  </si>
  <si>
    <t>Município</t>
  </si>
  <si>
    <t>Preço Máximo</t>
  </si>
  <si>
    <t>ANDIRÁ</t>
  </si>
  <si>
    <t>ÂNGULO</t>
  </si>
  <si>
    <t>Área Construída</t>
  </si>
  <si>
    <t>R$ / m²</t>
  </si>
  <si>
    <t>ANTONINA</t>
  </si>
  <si>
    <t>ANTÔNIO OLINTO</t>
  </si>
  <si>
    <t xml:space="preserve">Data </t>
  </si>
  <si>
    <t>APUCARANA</t>
  </si>
  <si>
    <t>ARAPONGAS</t>
  </si>
  <si>
    <t>Identificação do Orçamentista:</t>
  </si>
  <si>
    <t>ARAPOTI</t>
  </si>
  <si>
    <t>ARAPUÃ</t>
  </si>
  <si>
    <t>Nome Completo</t>
  </si>
  <si>
    <t>ARARUNA</t>
  </si>
  <si>
    <t>ARAUCÁRIA</t>
  </si>
  <si>
    <t>Profissão</t>
  </si>
  <si>
    <t>ARIRANHA DO IVAÍ</t>
  </si>
  <si>
    <t>ASSAÍ</t>
  </si>
  <si>
    <t>CREA / CAU N°</t>
  </si>
  <si>
    <t>ASSIS CHATEAUBRIAND</t>
  </si>
  <si>
    <t>ASTORGA</t>
  </si>
  <si>
    <t>ART / RRT N°</t>
  </si>
  <si>
    <t>ATALAIA</t>
  </si>
  <si>
    <t>BALSA NOVA</t>
  </si>
  <si>
    <t>Empresa</t>
  </si>
  <si>
    <t>BANDEIRANTES</t>
  </si>
  <si>
    <t>BARBOSA FERRAZ</t>
  </si>
  <si>
    <t>Telefone</t>
  </si>
  <si>
    <t>BARRACÃO</t>
  </si>
  <si>
    <t>BELA VISTA DA CAROBA</t>
  </si>
  <si>
    <t>E-mail</t>
  </si>
  <si>
    <t>BITURUNA</t>
  </si>
  <si>
    <t>BOA ESPERANÇA</t>
  </si>
  <si>
    <t xml:space="preserve">Check-list da Documentação </t>
  </si>
  <si>
    <t>BOA ESPERANÇA DO IGUAÇU</t>
  </si>
  <si>
    <t>BOA VENTURA DE SÃO ROQUE</t>
  </si>
  <si>
    <t>Documento</t>
  </si>
  <si>
    <t>SIM</t>
  </si>
  <si>
    <t>NÃO</t>
  </si>
  <si>
    <t>BOA VISTA DA APARECIDA</t>
  </si>
  <si>
    <t>BOCAIÚVA DO SUL</t>
  </si>
  <si>
    <t>Folha de Fechamento</t>
  </si>
  <si>
    <t>X</t>
  </si>
  <si>
    <t>BOM JESUS DO SUL</t>
  </si>
  <si>
    <t>BOM SUCESSO</t>
  </si>
  <si>
    <t>Folha Resumo</t>
  </si>
  <si>
    <t>Planilha Orçamentária</t>
  </si>
  <si>
    <t>BOM SUCESSO DO SUL</t>
  </si>
  <si>
    <t>BORRAZÓPOLIS</t>
  </si>
  <si>
    <t>Cronograma Físico Financeiro</t>
  </si>
  <si>
    <t>BRAGANEY</t>
  </si>
  <si>
    <t>BRASILÂNDIA DO SUL</t>
  </si>
  <si>
    <t>Composições Complementares (Analítica)</t>
  </si>
  <si>
    <t>CAFEARA</t>
  </si>
  <si>
    <t>CAFELÂNDIA</t>
  </si>
  <si>
    <t xml:space="preserve">Cotações de Insumos / Proposta de Serviços Terceirizados </t>
  </si>
  <si>
    <t>CAFEZAL DO SUL</t>
  </si>
  <si>
    <t>CALIFÓRNIA</t>
  </si>
  <si>
    <t>Curva ABC de Serviços</t>
  </si>
  <si>
    <t>CAMBARÁ</t>
  </si>
  <si>
    <t>CAMBÉ</t>
  </si>
  <si>
    <t>Composição do BDI</t>
  </si>
  <si>
    <t>CAMBIRA</t>
  </si>
  <si>
    <t>CAMPINA DA LAGOA</t>
  </si>
  <si>
    <t>ART ou RRT Quitada</t>
  </si>
  <si>
    <t>CAMPINA DO SIMÃO</t>
  </si>
  <si>
    <t>CAMPINA GRANDE DO SUL</t>
  </si>
  <si>
    <t>Memória de Cálculo do Orçamento</t>
  </si>
  <si>
    <t>CAMPO BONITO</t>
  </si>
  <si>
    <t>CAMPO DO TENENTE</t>
  </si>
  <si>
    <t>Lista de Projetos aprovados utilizados no Orçamento</t>
  </si>
  <si>
    <t>CAMPO LARGO</t>
  </si>
  <si>
    <t>CAMPO MAGRO</t>
  </si>
  <si>
    <t>Termo de Responsabilidade:</t>
  </si>
  <si>
    <t>CAMPO MOURÃO</t>
  </si>
  <si>
    <t>Correto uso dos modelos e da tabela SECID</t>
  </si>
  <si>
    <t>CÂNDIDO DE ABREU</t>
  </si>
  <si>
    <t>CANDÓI</t>
  </si>
  <si>
    <t>Declaração de Liberação do Direito Autoral:</t>
  </si>
  <si>
    <t>CANTAGALO</t>
  </si>
  <si>
    <t>CAPANEMA</t>
  </si>
  <si>
    <t>CARLÓPOLIS</t>
  </si>
  <si>
    <t>CASCAVEL</t>
  </si>
  <si>
    <t>CASTRO</t>
  </si>
  <si>
    <t>Responsável Técnico</t>
  </si>
  <si>
    <t>CATANDUVAS</t>
  </si>
  <si>
    <t>Carimbo e Assinatura</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</si>
  <si>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</si>
  <si>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</si>
  <si>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</si>
  <si>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</si>
  <si>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</si>
  <si>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</si>
  <si>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</si>
  <si>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</si>
  <si>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</si>
  <si>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</si>
  <si>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</si>
  <si>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</si>
  <si>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</si>
  <si>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</si>
  <si>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</si>
  <si>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CORONEL VIVIDA</t>
  </si>
  <si>
    <t>CORUMBATAÍ DO SUL</t>
  </si>
  <si>
    <t>CRUZ MACHADO</t>
  </si>
  <si>
    <t>CRUZEIRO DO IGUAÇU</t>
  </si>
  <si>
    <t>CRUZEIRO DO OESTE</t>
  </si>
  <si>
    <t>CRUZEIRO DO SUL</t>
  </si>
  <si>
    <t>CRUZMALTINA</t>
  </si>
  <si>
    <t>CURITIBA</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</si>
  <si>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</si>
  <si>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</si>
  <si>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</si>
  <si>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</si>
  <si>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</si>
  <si>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</si>
  <si>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</si>
  <si>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</si>
  <si>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</si>
  <si>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</si>
  <si>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</si>
  <si>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</si>
  <si>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ESPIGÃO ALTO DO IGUAÇU</t>
  </si>
  <si>
    <t>FAROL</t>
  </si>
  <si>
    <t>FAXINAL</t>
  </si>
  <si>
    <t>FAZENDA RIO GRANDE</t>
  </si>
  <si>
    <t>FÊNIX</t>
  </si>
  <si>
    <t>FERNANDES PINHEIRO</t>
  </si>
  <si>
    <t>FIGUEIRA</t>
  </si>
  <si>
    <t>FLOR DA SERRA DO SUL</t>
  </si>
  <si>
    <t>FLORAÍ</t>
  </si>
  <si>
    <t>FLORESTA</t>
  </si>
  <si>
    <t>FLORESTÓPOLIS</t>
  </si>
  <si>
    <t>FLÓRIDA</t>
  </si>
  <si>
    <t>FORMOSA DO OESTE</t>
  </si>
  <si>
    <t>FOZ DO IGUAÇU</t>
  </si>
  <si>
    <t>FOZ DO JORDÃO</t>
  </si>
  <si>
    <t>FRANCISCO ALVES</t>
  </si>
  <si>
    <t>FRANCISCO BELTRÃO</t>
  </si>
  <si>
    <t>GENERAL CARNEIRO</t>
  </si>
  <si>
    <t>GODOY MOREIRA</t>
  </si>
  <si>
    <t>GOIOERÊ</t>
  </si>
  <si>
    <t>GOIOXIM</t>
  </si>
  <si>
    <t>GRANDES RIOS</t>
  </si>
  <si>
    <t>GUAÍRA</t>
  </si>
  <si>
    <t>GUAIRAÇÁ</t>
  </si>
  <si>
    <t>GUAMIRANGA</t>
  </si>
  <si>
    <t>GUAPIRAMA</t>
  </si>
  <si>
    <t>GUAPOREMA</t>
  </si>
  <si>
    <t>GUARACI</t>
  </si>
  <si>
    <t>GUARANIAÇU</t>
  </si>
  <si>
    <t>GUARAPUAVA</t>
  </si>
  <si>
    <t>GUARAQUEÇABA</t>
  </si>
  <si>
    <t>GUARATUBA</t>
  </si>
  <si>
    <t>HONÓRIO SERPA</t>
  </si>
  <si>
    <t>IBAITI</t>
  </si>
  <si>
    <t>IBEMA</t>
  </si>
  <si>
    <t>IBIPORÃ</t>
  </si>
  <si>
    <t>ICARAÍMA</t>
  </si>
  <si>
    <t>IGUARAÇU</t>
  </si>
  <si>
    <t>IGUATU</t>
  </si>
  <si>
    <t>IMBAÚ</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</si>
  <si>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</si>
  <si>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</si>
  <si>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</si>
  <si>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</si>
  <si>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</si>
  <si>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</si>
  <si>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</si>
  <si>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</si>
  <si>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</si>
  <si>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</si>
  <si>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</si>
  <si>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</si>
  <si>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</si>
  <si>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</si>
  <si>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</si>
  <si>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</si>
  <si>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</si>
  <si>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</si>
  <si>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</si>
  <si>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</si>
  <si>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</si>
  <si>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</si>
  <si>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</si>
  <si>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</si>
  <si>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</si>
  <si>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</si>
  <si>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</si>
  <si>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</si>
  <si>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</si>
  <si>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</si>
  <si>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</si>
  <si>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</si>
  <si>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</si>
  <si>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</si>
  <si>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</si>
  <si>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</si>
  <si>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</si>
  <si>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</si>
  <si>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</si>
  <si>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</si>
  <si>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</si>
  <si>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</si>
  <si>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</si>
  <si>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</si>
  <si>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</si>
  <si>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LONDRINA</t>
  </si>
  <si>
    <t>LUIZIANA</t>
  </si>
  <si>
    <t>LUNARDELLI</t>
  </si>
  <si>
    <t>LUPIONÓPOLIS</t>
  </si>
  <si>
    <t>MALLET</t>
  </si>
  <si>
    <t>MAMBORÊ</t>
  </si>
  <si>
    <t>MANDAGUAÇU</t>
  </si>
  <si>
    <t>MANDAGUARI</t>
  </si>
  <si>
    <t>MANDIRITUBA</t>
  </si>
  <si>
    <t>MANFRINÓPOLIS</t>
  </si>
  <si>
    <t>MANGUEIRINHA</t>
  </si>
  <si>
    <t>MANOEL RIBAS</t>
  </si>
  <si>
    <t>MARECHAL CÂNDIDO RONDON</t>
  </si>
  <si>
    <t>MARIA HELENA</t>
  </si>
  <si>
    <t>MARIALVA</t>
  </si>
  <si>
    <t>MARILÂNDIA DO SUL</t>
  </si>
  <si>
    <t>MARILENA</t>
  </si>
  <si>
    <t>MARILUZ</t>
  </si>
  <si>
    <t>MARINGÁ</t>
  </si>
  <si>
    <t>MARIÓPOLIS</t>
  </si>
  <si>
    <t>MARIPÁ</t>
  </si>
  <si>
    <t>MARMELEIRO</t>
  </si>
  <si>
    <t>MARQUINHO</t>
  </si>
  <si>
    <t>MARUMBI</t>
  </si>
  <si>
    <t>MATELÂNDIA</t>
  </si>
  <si>
    <t>MATINHOS</t>
  </si>
  <si>
    <t>MATO RICO</t>
  </si>
  <si>
    <t>MAUÁ DA SERRA</t>
  </si>
  <si>
    <t>MEDIANEIRA</t>
  </si>
  <si>
    <t>MERCEDES</t>
  </si>
  <si>
    <t>MIRADOR</t>
  </si>
  <si>
    <t>MIRASELVA</t>
  </si>
  <si>
    <t>MISSAL</t>
  </si>
  <si>
    <t>MOREIRA SALES</t>
  </si>
  <si>
    <t>MORRETES</t>
  </si>
  <si>
    <t>MUNHOZ DE MELO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</si>
  <si>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</si>
  <si>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</si>
  <si>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</si>
  <si>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</si>
  <si>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</si>
  <si>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</si>
  <si>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</si>
  <si>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</si>
  <si>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</si>
  <si>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</si>
  <si>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</si>
  <si>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</si>
  <si>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</si>
  <si>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</si>
  <si>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</si>
  <si>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</si>
  <si>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</si>
  <si>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</si>
  <si>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</si>
  <si>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</si>
  <si>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</si>
  <si>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</si>
  <si>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</si>
  <si>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</si>
  <si>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</si>
  <si>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</si>
  <si>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</si>
  <si>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</si>
  <si>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</si>
  <si>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</si>
  <si>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</si>
  <si>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</si>
  <si>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</si>
  <si>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</si>
  <si>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</si>
  <si>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PÉROLA</t>
  </si>
  <si>
    <t>PÉROLA D'OESTE</t>
  </si>
  <si>
    <t>PIÊN</t>
  </si>
  <si>
    <t>PINHAIS</t>
  </si>
  <si>
    <t>PINHAL DE SÃO BENTO</t>
  </si>
  <si>
    <t>PINHALÃO</t>
  </si>
  <si>
    <t>PINHÃO</t>
  </si>
  <si>
    <t>PIRAÍ DO SUL</t>
  </si>
  <si>
    <t>PIRAQUARA</t>
  </si>
  <si>
    <t>PITANGA</t>
  </si>
  <si>
    <t>PITANGUEIRAS</t>
  </si>
  <si>
    <t>PLANALTINA DO PARANÁ</t>
  </si>
  <si>
    <t>PLANALTO</t>
  </si>
  <si>
    <t>PONTA GROSSA</t>
  </si>
  <si>
    <t>PONTAL DO PARANÁ</t>
  </si>
  <si>
    <t>PORECATU</t>
  </si>
  <si>
    <t>PORTO AMAZONAS</t>
  </si>
  <si>
    <t>PORTO BARREIRO</t>
  </si>
  <si>
    <t>PORTO RICO</t>
  </si>
  <si>
    <t>PORTO VITÓRIA</t>
  </si>
  <si>
    <t>PRADO FERREIRA</t>
  </si>
  <si>
    <t>PRANCHITA</t>
  </si>
  <si>
    <t>PRESIDENTE CASTELO BRANCO</t>
  </si>
  <si>
    <t>PRIMEIRO DE MAIO</t>
  </si>
  <si>
    <t>PRUDENTÓPOLIS</t>
  </si>
  <si>
    <t>QUARTO CENTENÁRIO</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</si>
  <si>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</si>
  <si>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</si>
  <si>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</si>
  <si>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</si>
  <si>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</si>
  <si>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</si>
  <si>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</si>
  <si>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</si>
  <si>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</si>
  <si>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</si>
  <si>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</si>
  <si>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</si>
  <si>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</si>
  <si>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</si>
  <si>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</si>
  <si>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RIBEIRÃO CLARO</t>
  </si>
  <si>
    <t>RIBEIRÃO DO PINHAL</t>
  </si>
  <si>
    <t>RIO AZUL</t>
  </si>
  <si>
    <t>RIO BOM</t>
  </si>
  <si>
    <t>RIO BONITO DO IGUAÇU</t>
  </si>
  <si>
    <t>RIO BRANCO DO IVAÍ</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</si>
  <si>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</si>
  <si>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</si>
  <si>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</si>
  <si>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</si>
  <si>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</si>
  <si>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</si>
  <si>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</si>
  <si>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</si>
  <si>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</si>
  <si>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</si>
  <si>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</si>
  <si>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</si>
  <si>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DE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</si>
  <si>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</si>
  <si>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</si>
  <si>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</si>
  <si>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</si>
  <si>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</si>
  <si>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</si>
  <si>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</si>
  <si>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</si>
  <si>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</si>
  <si>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</si>
  <si>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</si>
  <si>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</si>
  <si>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</si>
  <si>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</si>
  <si>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</si>
  <si>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</si>
  <si>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</si>
  <si>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</si>
  <si>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</si>
  <si>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</si>
  <si>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</si>
  <si>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</si>
  <si>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</si>
  <si>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</si>
  <si>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</si>
  <si>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</si>
  <si>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</si>
  <si>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</si>
  <si>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JOSÉ DOS PINHAIS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</si>
  <si>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</si>
  <si>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</si>
  <si>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</si>
  <si>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</si>
  <si>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</si>
  <si>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</si>
  <si>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</si>
  <si>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</si>
  <si>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</si>
  <si>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</si>
  <si>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</si>
  <si>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</si>
  <si>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</si>
  <si>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SERTANEJA</t>
  </si>
  <si>
    <t>SERTANÓPOLIS</t>
  </si>
  <si>
    <t>SIQUEIRA CAMPOS</t>
  </si>
  <si>
    <t>SULINA</t>
  </si>
  <si>
    <t>TAMARANA</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</si>
  <si>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</si>
  <si>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</si>
  <si>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</si>
  <si>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</si>
  <si>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</si>
  <si>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</si>
  <si>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</si>
  <si>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</si>
  <si>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</si>
  <si>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</si>
  <si>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</si>
  <si>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</si>
  <si>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</si>
  <si>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</si>
  <si>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</si>
  <si>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</si>
  <si>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</si>
  <si>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</si>
  <si>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</si>
  <si>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</si>
  <si>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</si>
  <si>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</si>
  <si>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</si>
  <si>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</si>
  <si>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</si>
  <si>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</si>
  <si>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</si>
  <si>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</si>
  <si>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</si>
  <si>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AMPLIAÇÃO</t>
  </si>
  <si>
    <t>CONSTRUÇÃO</t>
  </si>
  <si>
    <t xml:space="preserve"> </t>
  </si>
  <si>
    <t>FABRICAÇÃO</t>
  </si>
  <si>
    <t>RECUPERAÇÃO</t>
  </si>
  <si>
    <t>REFORMA</t>
  </si>
  <si>
    <t>REPAROS</t>
  </si>
  <si>
    <t>CONSERVAÇÃO</t>
  </si>
  <si>
    <t>FOLHA RESUMO PARA FECHAMENTO DE ORÇAMENTO</t>
  </si>
  <si>
    <t>DATA:</t>
  </si>
  <si>
    <t>DEMOLIÇÃO</t>
  </si>
  <si>
    <t>PRÓPRIO:</t>
  </si>
  <si>
    <t>TIPO DE OBRA/SERVIÇO:</t>
  </si>
  <si>
    <t>INSTALAÇÃO</t>
  </si>
  <si>
    <t>ENDEREÇO:</t>
  </si>
  <si>
    <t>MUNICÍPIO:</t>
  </si>
  <si>
    <t>MANUTENÇÃO</t>
  </si>
  <si>
    <t>ORGÃO:</t>
  </si>
  <si>
    <t>PROTOCOLO:</t>
  </si>
  <si>
    <t>MONTAGEM</t>
  </si>
  <si>
    <t>OPERAÇÃO</t>
  </si>
  <si>
    <t>Nº LEVANTº:</t>
  </si>
  <si>
    <t>REV00</t>
  </si>
  <si>
    <t>ORGANIZADO POR:</t>
  </si>
  <si>
    <t>CONSERTO</t>
  </si>
  <si>
    <t>RESPONSÁVEL TÉCNICO:</t>
  </si>
  <si>
    <t>CREA / CAU:</t>
  </si>
  <si>
    <t>NÚCLEO REGIONAL DAS CIDADES</t>
  </si>
  <si>
    <t>ART / RRT N°:</t>
  </si>
  <si>
    <t>OBSERVAÇÃO:</t>
  </si>
  <si>
    <t>CUSTO (R$)</t>
  </si>
  <si>
    <t>BDI (%)</t>
  </si>
  <si>
    <t>VALOR COM BDI (R$)</t>
  </si>
  <si>
    <t>Custo dos Serviços Convencionais</t>
  </si>
  <si>
    <t>Custos dos Serviços de Natureza Específica</t>
  </si>
  <si>
    <t>Custo Total da Obra</t>
  </si>
  <si>
    <t>Valor Total da Obra com BDI</t>
  </si>
  <si>
    <t xml:space="preserve">Lista de serviços considerados de Natureza Específica: </t>
  </si>
  <si>
    <t>EQUIPAMENTOS DE CLIMATIZAÇÃO, EQUIPAMENTOS DE GASES MEDICINAIS E GRUPO GERADOR</t>
  </si>
  <si>
    <t>Prazo de execução :</t>
  </si>
  <si>
    <t>DIAS CORRIDOS</t>
  </si>
  <si>
    <t>Relatório MAT+MO :</t>
  </si>
  <si>
    <t xml:space="preserve">MATERIAL = </t>
  </si>
  <si>
    <t xml:space="preserve">MÃO-DE-OBRA = </t>
  </si>
  <si>
    <t>Referencial utilizado:</t>
  </si>
  <si>
    <t>SINAPI FEVEREIRO DE 2025 -  NÃO DESONERADA</t>
  </si>
  <si>
    <t>Data-base:</t>
  </si>
  <si>
    <t>Vigência: SECID - MARÇO DE 2025</t>
  </si>
  <si>
    <t>Resolução SECID N°027/2025</t>
  </si>
  <si>
    <t>_________________________</t>
  </si>
  <si>
    <t>_______________________</t>
  </si>
  <si>
    <t>__________________________</t>
  </si>
  <si>
    <t>Resp. Aprovação</t>
  </si>
  <si>
    <t xml:space="preserve">Gerente </t>
  </si>
  <si>
    <t>PRAZO DE OBRA:</t>
  </si>
  <si>
    <t>COMPOSIÇÃO DE BDI PARA EDIFICAÇÕES NÃO DESONERADA</t>
  </si>
  <si>
    <t>Vigência: 01/12/2015</t>
  </si>
  <si>
    <t>CUSTO TOTAL DO SERVIÇO (R$):</t>
  </si>
  <si>
    <t>ITEM</t>
  </si>
  <si>
    <t>DISCRIMINAÇÃO</t>
  </si>
  <si>
    <t>VALOR (R$)</t>
  </si>
  <si>
    <t>TAXA (%)</t>
  </si>
  <si>
    <t>OBSERVAÇÃO</t>
  </si>
  <si>
    <t>SITUAÇÃO DO INTERVALO ADMISSIVEL</t>
  </si>
  <si>
    <t>PARCELAS DO BDI (%)</t>
  </si>
  <si>
    <t>1 Quartil</t>
  </si>
  <si>
    <t xml:space="preserve">Médio </t>
  </si>
  <si>
    <t>3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</si>
  <si>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</si>
  <si>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</si>
  <si>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</si>
  <si>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</si>
  <si>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</si>
  <si>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</si>
  <si>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</si>
  <si>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</si>
  <si>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</si>
  <si>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</si>
  <si>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</si>
  <si>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</si>
  <si>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</si>
  <si>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</si>
  <si>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</si>
  <si>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</si>
  <si>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</si>
  <si>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</si>
  <si>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</si>
  <si>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</si>
  <si>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</si>
  <si>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</si>
  <si>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</si>
  <si>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</si>
  <si>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</si>
  <si>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</si>
  <si>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</si>
  <si>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</si>
  <si>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</si>
  <si>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</si>
  <si>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Com CPRB</t>
  </si>
  <si>
    <t>COMPOSIÇÃO DE BDI PARA EQUIPAMENTOS E SERVIÇOS DE NATUREZA ESPECÍFICA</t>
  </si>
  <si>
    <t>CUSTO TOTAL NATUREZA ESPECÍFICA (R$):</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</si>
  <si>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</si>
  <si>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</si>
  <si>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</si>
  <si>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</si>
  <si>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</si>
  <si>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</si>
  <si>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</si>
  <si>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</si>
  <si>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</si>
  <si>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 xml:space="preserve">
</t>
  </si>
  <si>
    <t>OBRA:</t>
  </si>
  <si>
    <t>RESP. TÉCNICO:</t>
  </si>
  <si>
    <t>ÓRGÃO PROP.:</t>
  </si>
  <si>
    <t>BDI:</t>
  </si>
  <si>
    <t>BDI DIFERENCIADO:</t>
  </si>
  <si>
    <t>DESCRIÇÃO</t>
  </si>
  <si>
    <t>SEM BDI</t>
  </si>
  <si>
    <t>TOTAL COM BDI</t>
  </si>
  <si>
    <t>%</t>
  </si>
  <si>
    <t>MATERIAL</t>
  </si>
  <si>
    <t>MÃO DE OBRA</t>
  </si>
  <si>
    <t>TOTAL</t>
  </si>
  <si>
    <t>CONSTRUÇÃO EDIFICAÇÃO PADRÃO</t>
  </si>
  <si>
    <t>IMPLANTAÇÃO</t>
  </si>
  <si>
    <t>TOTAL (R$) SERVIÇOS</t>
  </si>
  <si>
    <t>RESUMO DOS SERVIÇOS DE NATUREZA ESPECÍFICA</t>
  </si>
  <si>
    <t>TOTAL (R$) NATUREZA ESPECIFICA</t>
  </si>
  <si>
    <t>TOTAL (R$) GERAL DA OBRA</t>
  </si>
  <si>
    <t>PERCENTAGEM (%)</t>
  </si>
  <si>
    <t>-</t>
  </si>
  <si>
    <t>PRAZO DE EXECUÇÃO (DIAS CORRIDOS):</t>
  </si>
  <si>
    <t>Ass. Responsável pelo Orçamento</t>
  </si>
  <si>
    <t>Carimbo</t>
  </si>
  <si>
    <t>SERVIÇOS DE EDIFICAÇÕES - NÃO DESONERADA
RESOLUÇÃO SECID N° 027/2025
Referência SINAPI: FEVEREIRO de 2025  - Vigência: MARÇO de 2025</t>
  </si>
  <si>
    <t>GRUPO</t>
  </si>
  <si>
    <t>CODIGO</t>
  </si>
  <si>
    <t>DESCRIÇÃO DO SERVIÇO</t>
  </si>
  <si>
    <t>UNID. MEDIDA</t>
  </si>
  <si>
    <t>CUSTOS</t>
  </si>
  <si>
    <t>Acessibilidade</t>
  </si>
  <si>
    <t>PISO PODOTÁTIL DE ALERTA OU DIRECIONAL, DE CONCRETO, ASSENTADO SOBRE ARGAMASSA. AF_03/2024</t>
  </si>
  <si>
    <t>M2</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</si>
  <si>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</si>
  <si>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</si>
  <si>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</si>
  <si>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 xml:space="preserve"> 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</si>
  <si>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</si>
  <si>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</si>
  <si>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</si>
  <si>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</si>
  <si>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</si>
  <si>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</si>
  <si>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</si>
  <si>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</si>
  <si>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</si>
  <si>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</si>
  <si>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</si>
  <si>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</si>
  <si>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</si>
  <si>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 Blocos de Concreto</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</si>
  <si>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</si>
  <si>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</si>
  <si>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</si>
  <si>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</si>
  <si>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</si>
  <si>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</si>
  <si>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</si>
  <si>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</si>
  <si>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Vedação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</si>
  <si>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</si>
  <si>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</si>
  <si>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</si>
  <si>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</si>
  <si>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</si>
  <si>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</si>
  <si>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</si>
  <si>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</si>
  <si>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</si>
  <si>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</si>
  <si>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</si>
  <si>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</si>
  <si>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</si>
  <si>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</si>
  <si>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</si>
  <si>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</si>
  <si>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</si>
  <si>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</si>
  <si>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</si>
  <si>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</si>
  <si>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</si>
  <si>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</si>
  <si>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</si>
  <si>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</si>
  <si>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</si>
  <si>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</si>
  <si>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</si>
  <si>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</si>
  <si>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</si>
  <si>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</si>
  <si>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</si>
  <si>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</si>
  <si>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</si>
  <si>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</si>
  <si>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</si>
  <si>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</si>
  <si>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</si>
  <si>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</si>
  <si>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</si>
  <si>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</si>
  <si>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</si>
  <si>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</si>
  <si>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</si>
  <si>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</si>
  <si>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</si>
  <si>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</si>
  <si>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</si>
  <si>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</si>
  <si>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</si>
  <si>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</si>
  <si>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</si>
  <si>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</si>
  <si>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</si>
  <si>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</si>
  <si>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</si>
  <si>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</si>
  <si>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Alvenarias Diversas</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</si>
  <si>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</si>
  <si>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</si>
  <si>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</si>
  <si>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</si>
  <si>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</si>
  <si>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</si>
  <si>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</si>
  <si>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</si>
  <si>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</si>
  <si>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</si>
  <si>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</si>
  <si>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</si>
  <si>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</si>
  <si>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Argamassas</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</si>
  <si>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</si>
  <si>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</si>
  <si>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</si>
  <si>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</si>
  <si>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</si>
  <si>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</si>
  <si>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</si>
  <si>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</si>
  <si>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</si>
  <si>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</si>
  <si>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</si>
  <si>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</si>
  <si>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</si>
  <si>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</si>
  <si>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</si>
  <si>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</si>
  <si>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</si>
  <si>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</si>
  <si>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</si>
  <si>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</si>
  <si>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</si>
  <si>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</si>
  <si>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</si>
  <si>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</si>
  <si>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</si>
  <si>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</si>
  <si>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</si>
  <si>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</si>
  <si>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</si>
  <si>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</si>
  <si>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</si>
  <si>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</si>
  <si>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</si>
  <si>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</si>
  <si>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</si>
  <si>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</si>
  <si>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</si>
  <si>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</si>
  <si>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</si>
  <si>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</si>
  <si>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</si>
  <si>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</si>
  <si>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</si>
  <si>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</si>
  <si>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</si>
  <si>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</si>
  <si>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</si>
  <si>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</si>
  <si>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</si>
  <si>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</si>
  <si>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</si>
  <si>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</si>
  <si>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</si>
  <si>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</si>
  <si>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</si>
  <si>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</si>
  <si>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</si>
  <si>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</si>
  <si>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</si>
  <si>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</si>
  <si>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</si>
  <si>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</si>
  <si>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</si>
  <si>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</si>
  <si>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</si>
  <si>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</si>
  <si>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</si>
  <si>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</si>
  <si>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</si>
  <si>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</si>
  <si>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</si>
  <si>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</si>
  <si>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</si>
  <si>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</si>
  <si>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</si>
  <si>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</si>
  <si>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</si>
  <si>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</si>
  <si>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</si>
  <si>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</si>
  <si>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</si>
  <si>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</si>
  <si>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</si>
  <si>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</si>
  <si>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</si>
  <si>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</si>
  <si>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</si>
  <si>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</si>
  <si>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</si>
  <si>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</si>
  <si>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</si>
  <si>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</si>
  <si>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</si>
  <si>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</si>
  <si>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</si>
  <si>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</si>
  <si>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</si>
  <si>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</si>
  <si>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</si>
  <si>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</si>
  <si>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</si>
  <si>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</si>
  <si>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</si>
  <si>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</si>
  <si>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</si>
  <si>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</si>
  <si>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</si>
  <si>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</si>
  <si>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</si>
  <si>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</si>
  <si>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</si>
  <si>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</si>
  <si>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</si>
  <si>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</si>
  <si>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</si>
  <si>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</si>
  <si>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</si>
  <si>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</si>
  <si>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</si>
  <si>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</si>
  <si>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</si>
  <si>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</si>
  <si>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</si>
  <si>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</si>
  <si>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</si>
  <si>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</si>
  <si>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</si>
  <si>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</si>
  <si>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</si>
  <si>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</si>
  <si>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</si>
  <si>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</si>
  <si>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</si>
  <si>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</si>
  <si>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</si>
  <si>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</si>
  <si>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</si>
  <si>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</si>
  <si>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</si>
  <si>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</si>
  <si>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</si>
  <si>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</si>
  <si>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</si>
  <si>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</si>
  <si>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Armação de Estacas</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</si>
  <si>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</si>
  <si>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</si>
  <si>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</si>
  <si>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</si>
  <si>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</si>
  <si>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</si>
  <si>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</si>
  <si>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</si>
  <si>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</si>
  <si>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</si>
  <si>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</si>
  <si>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</si>
  <si>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para Estruturas de Concreto Armado</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</si>
  <si>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</si>
  <si>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</si>
  <si>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</si>
  <si>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</si>
  <si>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</si>
  <si>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</si>
  <si>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</si>
  <si>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</si>
  <si>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</si>
  <si>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</si>
  <si>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</si>
  <si>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</si>
  <si>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</si>
  <si>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</si>
  <si>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</si>
  <si>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</si>
  <si>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</si>
  <si>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</si>
  <si>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</si>
  <si>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</si>
  <si>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</si>
  <si>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</si>
  <si>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</si>
  <si>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</si>
  <si>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</si>
  <si>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</si>
  <si>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</si>
  <si>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</si>
  <si>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</si>
  <si>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</si>
  <si>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</si>
  <si>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</si>
  <si>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</si>
  <si>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</si>
  <si>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</si>
  <si>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</si>
  <si>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</si>
  <si>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</si>
  <si>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</si>
  <si>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</si>
  <si>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</si>
  <si>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</si>
  <si>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</si>
  <si>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</si>
  <si>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</si>
  <si>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</si>
  <si>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</si>
  <si>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</si>
  <si>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</si>
  <si>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</si>
  <si>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</si>
  <si>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</si>
  <si>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</si>
  <si>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</si>
  <si>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</si>
  <si>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</si>
  <si>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de Estacas</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</si>
  <si>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</si>
  <si>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</si>
  <si>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</si>
  <si>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</si>
  <si>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</si>
  <si>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</si>
  <si>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</si>
  <si>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</si>
  <si>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</si>
  <si>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</si>
  <si>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</si>
  <si>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</si>
  <si>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EXECUÇÃO DE PAVIMENTO COM APLICAÇÃO DE CONCRETO ASFÁLTICO, CAMADA DE BINDER - EXCLUSIVE CARGA E TRANSPORTE. AF_11/2019</t>
  </si>
  <si>
    <t>EXECUÇÃO DE PAVIMENTO COM APLICAÇÃO DE CONCRETO ASFÁLTICO, CAMADA DE ROLAMENTO - EXCLUSIVE CARGA E TRANSPORTE. AF_11/2019</t>
  </si>
  <si>
    <t>FRESAGEM DE PAVIMENTO ASFÁLTICO (PROFUNDIDADE ATÉ 5,0 CM) - EXCLUSIVE TRANSPORTE. AF_11/2019</t>
  </si>
  <si>
    <t>Assentamento de Tubos de Esgoto em PVC e PEAD</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</si>
  <si>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</si>
  <si>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</si>
  <si>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</si>
  <si>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</si>
  <si>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</si>
  <si>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</si>
  <si>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</si>
  <si>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</si>
  <si>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</si>
  <si>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</si>
  <si>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</si>
  <si>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</si>
  <si>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</si>
  <si>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</si>
  <si>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</si>
  <si>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</si>
  <si>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</si>
  <si>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</si>
  <si>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</si>
  <si>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</si>
  <si>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</si>
  <si>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</si>
  <si>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</si>
  <si>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</si>
  <si>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</si>
  <si>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</si>
  <si>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</si>
  <si>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</si>
  <si>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</si>
  <si>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</si>
  <si>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</si>
  <si>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</si>
  <si>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</si>
  <si>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</si>
  <si>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</si>
  <si>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</si>
  <si>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</si>
  <si>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</si>
  <si>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</si>
  <si>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</si>
  <si>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</si>
  <si>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</si>
  <si>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</si>
  <si>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</si>
  <si>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</si>
  <si>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</si>
  <si>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</si>
  <si>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</si>
  <si>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</si>
  <si>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</si>
  <si>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</si>
  <si>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</si>
  <si>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</si>
  <si>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</si>
  <si>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</si>
  <si>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</si>
  <si>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</si>
  <si>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</si>
  <si>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</si>
  <si>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</si>
  <si>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</si>
  <si>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</si>
  <si>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</si>
  <si>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</si>
  <si>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</si>
  <si>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</si>
  <si>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</si>
  <si>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</si>
  <si>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</si>
  <si>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</si>
  <si>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</si>
  <si>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</si>
  <si>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</si>
  <si>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</si>
  <si>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</si>
  <si>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</si>
  <si>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</si>
  <si>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</si>
  <si>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</si>
  <si>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</si>
  <si>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</si>
  <si>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</si>
  <si>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</si>
  <si>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</si>
  <si>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</si>
  <si>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</si>
  <si>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</si>
  <si>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</si>
  <si>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</si>
  <si>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</si>
  <si>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</si>
  <si>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</si>
  <si>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</si>
  <si>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</si>
  <si>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</si>
  <si>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</si>
  <si>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</si>
  <si>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</si>
  <si>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</si>
  <si>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</si>
  <si>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</si>
  <si>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</si>
  <si>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</si>
  <si>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</si>
  <si>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</si>
  <si>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</si>
  <si>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</si>
  <si>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</si>
  <si>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</si>
  <si>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</si>
  <si>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</si>
  <si>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</si>
  <si>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</si>
  <si>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</si>
  <si>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</si>
  <si>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</si>
  <si>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</si>
  <si>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</si>
  <si>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</si>
  <si>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</si>
  <si>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</si>
  <si>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</si>
  <si>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</si>
  <si>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</si>
  <si>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</si>
  <si>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</si>
  <si>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</si>
  <si>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</si>
  <si>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</si>
  <si>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</si>
  <si>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</si>
  <si>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</si>
  <si>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</si>
  <si>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</si>
  <si>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</si>
  <si>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</si>
  <si>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</si>
  <si>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</si>
  <si>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</si>
  <si>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</si>
  <si>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</si>
  <si>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</si>
  <si>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</si>
  <si>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</si>
  <si>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</si>
  <si>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</si>
  <si>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</si>
  <si>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</si>
  <si>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</si>
  <si>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</si>
  <si>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</si>
  <si>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</si>
  <si>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</si>
  <si>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</si>
  <si>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</si>
  <si>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</si>
  <si>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</si>
  <si>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</si>
  <si>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</si>
  <si>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</si>
  <si>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</si>
  <si>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</si>
  <si>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</si>
  <si>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</si>
  <si>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</si>
  <si>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</si>
  <si>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</si>
  <si>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</si>
  <si>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</si>
  <si>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</si>
  <si>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</si>
  <si>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</si>
  <si>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</si>
  <si>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</si>
  <si>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</si>
  <si>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</si>
  <si>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</si>
  <si>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</si>
  <si>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</si>
  <si>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</si>
  <si>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</si>
  <si>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</si>
  <si>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</si>
  <si>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</si>
  <si>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</si>
  <si>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</si>
  <si>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</si>
  <si>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</si>
  <si>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</si>
  <si>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</si>
  <si>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</si>
  <si>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</si>
  <si>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</si>
  <si>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</si>
  <si>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</si>
  <si>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</si>
  <si>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</si>
  <si>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</si>
  <si>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</si>
  <si>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</si>
  <si>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</si>
  <si>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</si>
  <si>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</si>
  <si>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</si>
  <si>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</si>
  <si>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</si>
  <si>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</si>
  <si>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</si>
  <si>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</si>
  <si>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</si>
  <si>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</si>
  <si>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</si>
  <si>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</si>
  <si>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</si>
  <si>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</si>
  <si>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</si>
  <si>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</si>
  <si>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</si>
  <si>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</si>
  <si>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</si>
  <si>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</si>
  <si>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</si>
  <si>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</si>
  <si>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</si>
  <si>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</si>
  <si>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</si>
  <si>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</si>
  <si>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</si>
  <si>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</si>
  <si>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</si>
  <si>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</si>
  <si>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</si>
  <si>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</si>
  <si>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</si>
  <si>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</si>
  <si>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</si>
  <si>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</si>
  <si>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</si>
  <si>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</si>
  <si>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</si>
  <si>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</si>
  <si>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</si>
  <si>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</si>
  <si>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</si>
  <si>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</si>
  <si>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</si>
  <si>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</si>
  <si>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</si>
  <si>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</si>
  <si>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</si>
  <si>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</si>
  <si>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</si>
  <si>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</si>
  <si>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</si>
  <si>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</si>
  <si>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</si>
  <si>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</si>
  <si>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</si>
  <si>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</si>
  <si>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</si>
  <si>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</si>
  <si>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</si>
  <si>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</si>
  <si>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</si>
  <si>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</si>
  <si>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</si>
  <si>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</si>
  <si>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</si>
  <si>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</si>
  <si>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</si>
  <si>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</si>
  <si>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</si>
  <si>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</si>
  <si>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</si>
  <si>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</si>
  <si>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</si>
  <si>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</si>
  <si>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</si>
  <si>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</si>
  <si>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</si>
  <si>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</si>
  <si>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</si>
  <si>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</si>
  <si>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</si>
  <si>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</si>
  <si>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</si>
  <si>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</si>
  <si>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</si>
  <si>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</si>
  <si>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</si>
  <si>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</si>
  <si>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</si>
  <si>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</si>
  <si>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</si>
  <si>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</si>
  <si>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</si>
  <si>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</si>
  <si>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</si>
  <si>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</si>
  <si>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</si>
  <si>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</si>
  <si>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</si>
  <si>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</si>
  <si>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</si>
  <si>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</si>
  <si>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</si>
  <si>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</si>
  <si>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</si>
  <si>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</si>
  <si>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</si>
  <si>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</si>
  <si>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</si>
  <si>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</si>
  <si>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</si>
  <si>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</si>
  <si>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</si>
  <si>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</si>
  <si>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</si>
  <si>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</si>
  <si>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</si>
  <si>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</si>
  <si>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</si>
  <si>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</si>
  <si>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</si>
  <si>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</si>
  <si>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</si>
  <si>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</si>
  <si>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</si>
  <si>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</si>
  <si>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</si>
  <si>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</si>
  <si>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</si>
  <si>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</si>
  <si>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</si>
  <si>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</si>
  <si>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</si>
  <si>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</si>
  <si>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</si>
  <si>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</si>
  <si>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</si>
  <si>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</si>
  <si>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</si>
  <si>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</si>
  <si>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</si>
  <si>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</si>
  <si>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</si>
  <si>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</si>
  <si>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</si>
  <si>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</si>
  <si>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</si>
  <si>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</si>
  <si>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</si>
  <si>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</si>
  <si>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</si>
  <si>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</si>
  <si>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</si>
  <si>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</si>
  <si>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</si>
  <si>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</si>
  <si>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</si>
  <si>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</si>
  <si>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</si>
  <si>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</si>
  <si>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</si>
  <si>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</si>
  <si>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</si>
  <si>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</si>
  <si>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</si>
  <si>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</si>
  <si>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</si>
  <si>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</si>
  <si>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</si>
  <si>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</si>
  <si>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</si>
  <si>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</si>
  <si>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</si>
  <si>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</si>
  <si>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</si>
  <si>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</si>
  <si>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</si>
  <si>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</si>
  <si>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</si>
  <si>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</si>
  <si>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</si>
  <si>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</si>
  <si>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</si>
  <si>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</si>
  <si>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</si>
  <si>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</si>
  <si>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</si>
  <si>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</si>
  <si>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</si>
  <si>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</si>
  <si>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</si>
  <si>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</si>
  <si>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</si>
  <si>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</si>
  <si>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</si>
  <si>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</si>
  <si>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</si>
  <si>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</si>
  <si>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</si>
  <si>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</si>
  <si>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</si>
  <si>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</si>
  <si>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</si>
  <si>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</si>
  <si>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</si>
  <si>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</si>
  <si>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</si>
  <si>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</si>
  <si>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</si>
  <si>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</si>
  <si>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</si>
  <si>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</si>
  <si>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</si>
  <si>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</si>
  <si>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</si>
  <si>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</si>
  <si>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</si>
  <si>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</si>
  <si>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</si>
  <si>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</si>
  <si>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</si>
  <si>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</si>
  <si>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</si>
  <si>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</si>
  <si>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</si>
  <si>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</si>
  <si>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</si>
  <si>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</si>
  <si>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</si>
  <si>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</si>
  <si>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</si>
  <si>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</si>
  <si>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</si>
  <si>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</si>
  <si>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</si>
  <si>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</si>
  <si>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</si>
  <si>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</si>
  <si>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</si>
  <si>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</si>
  <si>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</si>
  <si>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</si>
  <si>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</si>
  <si>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</si>
  <si>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</si>
  <si>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</si>
  <si>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</si>
  <si>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</si>
  <si>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</si>
  <si>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</si>
  <si>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</si>
  <si>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</si>
  <si>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</si>
  <si>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</si>
  <si>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</si>
  <si>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</si>
  <si>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</si>
  <si>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</si>
  <si>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</si>
  <si>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</si>
  <si>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</si>
  <si>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</si>
  <si>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</si>
  <si>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</si>
  <si>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</si>
  <si>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</si>
  <si>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</si>
  <si>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</si>
  <si>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</si>
  <si>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</si>
  <si>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</si>
  <si>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</si>
  <si>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</si>
  <si>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</si>
  <si>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</si>
  <si>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</si>
  <si>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</si>
  <si>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</si>
  <si>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</si>
  <si>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</si>
  <si>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</si>
  <si>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</si>
  <si>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</si>
  <si>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</si>
  <si>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</si>
  <si>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</si>
  <si>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</si>
  <si>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</si>
  <si>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</si>
  <si>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</si>
  <si>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</si>
  <si>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</si>
  <si>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</si>
  <si>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</si>
  <si>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</si>
  <si>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</si>
  <si>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</si>
  <si>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</si>
  <si>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</si>
  <si>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</si>
  <si>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</si>
  <si>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</si>
  <si>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</si>
  <si>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</si>
  <si>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</si>
  <si>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</si>
  <si>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</si>
  <si>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</si>
  <si>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</si>
  <si>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</si>
  <si>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</si>
  <si>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</si>
  <si>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</si>
  <si>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</si>
  <si>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</si>
  <si>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</si>
  <si>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</si>
  <si>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</si>
  <si>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</si>
  <si>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</si>
  <si>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</si>
  <si>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</si>
  <si>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</si>
  <si>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</si>
  <si>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</si>
  <si>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</si>
  <si>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</si>
  <si>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</si>
  <si>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</si>
  <si>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</si>
  <si>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</si>
  <si>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</si>
  <si>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</si>
  <si>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</si>
  <si>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</si>
  <si>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</si>
  <si>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</si>
  <si>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</si>
  <si>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</si>
  <si>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</si>
  <si>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</si>
  <si>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</si>
  <si>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</si>
  <si>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</si>
  <si>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</si>
  <si>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</si>
  <si>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</si>
  <si>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</si>
  <si>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</si>
  <si>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</si>
  <si>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</si>
  <si>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</si>
  <si>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</si>
  <si>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</si>
  <si>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</si>
  <si>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</si>
  <si>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</si>
  <si>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</si>
  <si>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</si>
  <si>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</si>
  <si>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</si>
  <si>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</si>
  <si>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</si>
  <si>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</si>
  <si>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</si>
  <si>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</si>
  <si>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</si>
  <si>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</si>
  <si>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</si>
  <si>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</si>
  <si>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</si>
  <si>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</si>
  <si>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</si>
  <si>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</si>
  <si>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</si>
  <si>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</si>
  <si>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</si>
  <si>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</si>
  <si>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</si>
  <si>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</si>
  <si>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</si>
  <si>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</si>
  <si>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</si>
  <si>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</si>
  <si>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</si>
  <si>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</si>
  <si>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</si>
  <si>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</si>
  <si>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</si>
  <si>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</si>
  <si>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</si>
  <si>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</si>
  <si>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</si>
  <si>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</si>
  <si>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</si>
  <si>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</si>
  <si>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</si>
  <si>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</si>
  <si>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</si>
  <si>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</si>
  <si>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</si>
  <si>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</si>
  <si>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</si>
  <si>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</si>
  <si>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</si>
  <si>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</si>
  <si>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</si>
  <si>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</si>
  <si>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</si>
  <si>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</si>
  <si>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</si>
  <si>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</si>
  <si>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</si>
  <si>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</si>
  <si>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</si>
  <si>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</si>
  <si>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</si>
  <si>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</si>
  <si>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</si>
  <si>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Bombas Hidráulicas - Centrífugas, Horizontais e Submersíveis</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</si>
  <si>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</si>
  <si>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</si>
  <si>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</si>
  <si>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</si>
  <si>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</si>
  <si>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</si>
  <si>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</si>
  <si>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</si>
  <si>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</si>
  <si>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</si>
  <si>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</si>
  <si>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</si>
  <si>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</si>
  <si>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</si>
  <si>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DE 12,5 A 25 CV, HM 140 M (NÃO INCLUI O FORNECIMENTO DA BOMBA). AF_12/2020</t>
  </si>
  <si>
    <t>Caixas Enterradas</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</si>
  <si>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</si>
  <si>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</si>
  <si>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</si>
  <si>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</si>
  <si>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</si>
  <si>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</si>
  <si>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</si>
  <si>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</si>
  <si>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</si>
  <si>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</si>
  <si>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</si>
  <si>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</si>
  <si>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</si>
  <si>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</si>
  <si>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</si>
  <si>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</si>
  <si>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</si>
  <si>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</si>
  <si>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</si>
  <si>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</si>
  <si>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</si>
  <si>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</si>
  <si>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</si>
  <si>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</si>
  <si>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</si>
  <si>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</si>
  <si>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</si>
  <si>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</si>
  <si>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</si>
  <si>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</si>
  <si>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</si>
  <si>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</si>
  <si>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</si>
  <si>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</si>
  <si>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</si>
  <si>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</si>
  <si>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</si>
  <si>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</si>
  <si>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</si>
  <si>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</si>
  <si>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</si>
  <si>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</si>
  <si>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</si>
  <si>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</si>
  <si>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</si>
  <si>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</si>
  <si>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</si>
  <si>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PARA INSTALAÇÕES TELEFÔNICAS TIPO R1, EM ALVENARIA COM BLOCOS DE CONCRETO, DIMENSÕES INTERNAS: 0,35X0,60X0,60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</si>
  <si>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</si>
  <si>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</si>
  <si>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</si>
  <si>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</si>
  <si>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</si>
  <si>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</si>
  <si>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</si>
  <si>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</si>
  <si>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Caixas de Água para Edificações</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</si>
  <si>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</si>
  <si>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</si>
  <si>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</si>
  <si>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</si>
  <si>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</si>
  <si>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</si>
  <si>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</si>
  <si>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</si>
  <si>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</si>
  <si>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</si>
  <si>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</si>
  <si>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</si>
  <si>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</si>
  <si>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</si>
  <si>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</si>
  <si>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</si>
  <si>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</si>
  <si>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</si>
  <si>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</si>
  <si>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</si>
  <si>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</si>
  <si>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</si>
  <si>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</si>
  <si>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</si>
  <si>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</si>
  <si>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</si>
  <si>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</si>
  <si>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</si>
  <si>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</si>
  <si>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</si>
  <si>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</si>
  <si>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</si>
  <si>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</si>
  <si>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</si>
  <si>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</si>
  <si>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</si>
  <si>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</si>
  <si>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Canaletas, Grelhas e Caixas com Grelha para Drenagem</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</si>
  <si>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</si>
  <si>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</si>
  <si>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</si>
  <si>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</si>
  <si>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</si>
  <si>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</si>
  <si>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</si>
  <si>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</si>
  <si>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</si>
  <si>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</si>
  <si>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</si>
  <si>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</si>
  <si>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</si>
  <si>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</si>
  <si>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B=1M; B=0,5 M; H=0,25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</si>
  <si>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</si>
  <si>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</si>
  <si>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</si>
  <si>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Cercas, Protetores e Alambrados</t>
  </si>
  <si>
    <t>ALAMBRADO EM MOURÕES DE CONCRETO, COM TELA DE ARAME GALVANIZADO (INCLUSIVE MURETA EM CONCRETO). 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</si>
  <si>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</si>
  <si>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</si>
  <si>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</si>
  <si>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</si>
  <si>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</si>
  <si>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</si>
  <si>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</si>
  <si>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</si>
  <si>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</si>
  <si>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</si>
  <si>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</si>
  <si>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</si>
  <si>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</si>
  <si>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</si>
  <si>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</si>
  <si>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</si>
  <si>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</si>
  <si>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</si>
  <si>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</si>
  <si>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</si>
  <si>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</si>
  <si>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</si>
  <si>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</si>
  <si>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</si>
  <si>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</si>
  <si>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</si>
  <si>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</si>
  <si>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</si>
  <si>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</si>
  <si>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</si>
  <si>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</si>
  <si>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</si>
  <si>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</si>
  <si>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</si>
  <si>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</si>
  <si>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INDUSTRIALIZADA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</si>
  <si>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</si>
  <si>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</si>
  <si>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</si>
  <si>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</si>
  <si>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</si>
  <si>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</si>
  <si>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</si>
  <si>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</si>
  <si>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</si>
  <si>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</si>
  <si>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</si>
  <si>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</si>
  <si>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para Estruturas de Concreto Armado</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</si>
  <si>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</si>
  <si>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</si>
  <si>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</si>
  <si>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</si>
  <si>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</si>
  <si>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</si>
  <si>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</si>
  <si>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</si>
  <si>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</si>
  <si>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</si>
  <si>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</si>
  <si>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</si>
  <si>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</si>
  <si>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</si>
  <si>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</si>
  <si>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</si>
  <si>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</si>
  <si>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</si>
  <si>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</si>
  <si>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</si>
  <si>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Concreto Projetado</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</si>
  <si>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</si>
  <si>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</si>
  <si>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</si>
  <si>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</si>
  <si>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</si>
  <si>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</si>
  <si>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</si>
  <si>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</si>
  <si>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</si>
  <si>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</si>
  <si>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</si>
  <si>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</si>
  <si>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</si>
  <si>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</si>
  <si>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</si>
  <si>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</si>
  <si>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</si>
  <si>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</si>
  <si>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</si>
  <si>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</si>
  <si>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</si>
  <si>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</si>
  <si>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</si>
  <si>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</si>
  <si>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</si>
  <si>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</si>
  <si>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</si>
  <si>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</si>
  <si>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</si>
  <si>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</si>
  <si>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</si>
  <si>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</si>
  <si>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Contrapiso</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</si>
  <si>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</si>
  <si>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</si>
  <si>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</si>
  <si>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</si>
  <si>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</si>
  <si>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</si>
  <si>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</si>
  <si>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</si>
  <si>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</si>
  <si>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</si>
  <si>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</si>
  <si>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</si>
  <si>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</si>
  <si>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</si>
  <si>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</si>
  <si>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</si>
  <si>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</si>
  <si>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</si>
  <si>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</si>
  <si>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</si>
  <si>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</si>
  <si>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</si>
  <si>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</si>
  <si>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</si>
  <si>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</si>
  <si>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</si>
  <si>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</si>
  <si>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</si>
  <si>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</si>
  <si>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</si>
  <si>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</si>
  <si>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</si>
  <si>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</si>
  <si>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</si>
  <si>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</si>
  <si>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</si>
  <si>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</si>
  <si>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</si>
  <si>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</si>
  <si>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</si>
  <si>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</si>
  <si>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</si>
  <si>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</si>
  <si>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</si>
  <si>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</si>
  <si>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</si>
  <si>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</si>
  <si>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</si>
  <si>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</si>
  <si>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</si>
  <si>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</si>
  <si>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</si>
  <si>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</si>
  <si>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</si>
  <si>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</si>
  <si>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</si>
  <si>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</si>
  <si>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</si>
  <si>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</si>
  <si>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Custos Horários Produtivo e Improdutivo dos Equipamentos</t>
  </si>
  <si>
    <t>APARELHO PARA CORTE E SOLDA OXI-ACETILENO SOBRE RODAS, INCLUSIVE CILINDROS E MAÇARICOS - CHI DIURNO. AF_05/2023</t>
  </si>
  <si>
    <t>CHI</t>
  </si>
  <si>
    <t>APARELHO PARA CORTE E SOLDA OXI-ACETILENO SOBRE RODAS, INCLUSIVE CILINDROS E MAÇARICOS - CHP DIURNO. AF_05/2023</t>
  </si>
  <si>
    <t>CHP</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</si>
  <si>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</si>
  <si>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</si>
  <si>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</si>
  <si>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</si>
  <si>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</si>
  <si>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</si>
  <si>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</si>
  <si>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</si>
  <si>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</si>
  <si>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</si>
  <si>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</si>
  <si>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</si>
  <si>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</si>
  <si>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</si>
  <si>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</si>
  <si>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</si>
  <si>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</si>
  <si>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</si>
  <si>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</si>
  <si>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</si>
  <si>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</si>
  <si>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</si>
  <si>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</si>
  <si>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</si>
  <si>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</si>
  <si>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</si>
  <si>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</si>
  <si>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</si>
  <si>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</si>
  <si>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</si>
  <si>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</si>
  <si>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</si>
  <si>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</si>
  <si>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</si>
  <si>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</si>
  <si>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</si>
  <si>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</si>
  <si>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</si>
  <si>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</si>
  <si>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</si>
  <si>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</si>
  <si>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</si>
  <si>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</si>
  <si>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</si>
  <si>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</si>
  <si>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</si>
  <si>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</si>
  <si>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</si>
  <si>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</si>
  <si>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</si>
  <si>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</si>
  <si>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</si>
  <si>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</si>
  <si>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</si>
  <si>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</si>
  <si>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</si>
  <si>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</si>
  <si>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</si>
  <si>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</si>
  <si>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</si>
  <si>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</si>
  <si>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</si>
  <si>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</si>
  <si>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</si>
  <si>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</si>
  <si>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</si>
  <si>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</si>
  <si>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</si>
  <si>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</si>
  <si>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</si>
  <si>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</si>
  <si>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</si>
  <si>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</si>
  <si>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</si>
  <si>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</si>
  <si>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</si>
  <si>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</si>
  <si>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</si>
  <si>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</si>
  <si>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</si>
  <si>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DOSADOR DE AREIA, CAPACIDADE DE 26 LITROS - CHI DIURNO. AF_05/2023</t>
  </si>
  <si>
    <t>DOSADOR DE AREIA, CAPACIDADE DE 26 LITROS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</si>
  <si>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</si>
  <si>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</si>
  <si>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</si>
  <si>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</si>
  <si>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</si>
  <si>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</si>
  <si>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</si>
  <si>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</si>
  <si>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</si>
  <si>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</si>
  <si>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</si>
  <si>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</si>
  <si>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</si>
  <si>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</si>
  <si>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</si>
  <si>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</si>
  <si>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</si>
  <si>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</si>
  <si>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</si>
  <si>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</si>
  <si>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</si>
  <si>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</si>
  <si>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</si>
  <si>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</si>
  <si>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</si>
  <si>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</si>
  <si>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</si>
  <si>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</si>
  <si>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</si>
  <si>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</si>
  <si>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</si>
  <si>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</si>
  <si>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</si>
  <si>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</si>
  <si>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</si>
  <si>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</si>
  <si>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</si>
  <si>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</si>
  <si>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</si>
  <si>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</si>
  <si>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</si>
  <si>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</si>
  <si>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</si>
  <si>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</si>
  <si>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</si>
  <si>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</si>
  <si>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</si>
  <si>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</si>
  <si>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</si>
  <si>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</si>
  <si>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</si>
  <si>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</si>
  <si>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</si>
  <si>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</si>
  <si>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</si>
  <si>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</si>
  <si>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</si>
  <si>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</si>
  <si>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</si>
  <si>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</si>
  <si>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25 X 75 MM, 21 KG - CHI DIURNO. AF_12/2015</t>
  </si>
  <si>
    <t>MARTELO PERFURADOR PNEUMÁTICO MANUAL, HASTE 25 X 75 MM, 21 KG - CHP DIURNO. AF_12/2015</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</si>
  <si>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</si>
  <si>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</si>
  <si>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</si>
  <si>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</si>
  <si>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</si>
  <si>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</si>
  <si>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</si>
  <si>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</si>
  <si>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</si>
  <si>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</si>
  <si>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</si>
  <si>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</si>
  <si>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</si>
  <si>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</si>
  <si>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</si>
  <si>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</si>
  <si>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</si>
  <si>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</si>
  <si>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</si>
  <si>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</si>
  <si>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</si>
  <si>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</si>
  <si>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EXTRUSORA DE CONCRETO PARA GUIAS E SARJETAS, MOTOR A DIESEL, POTÊNCIA 14 CV - CHI DIURNO. AF_12/2015</t>
  </si>
  <si>
    <t>MÁQUINA EXTRUSORA DE CONCRETO PARA GUIAS E SARJETAS, MOTOR A DIESEL, POTÊNCIA 14 CV - CHP DIURNO. AF_12/2015</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</si>
  <si>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</si>
  <si>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</si>
  <si>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</si>
  <si>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</si>
  <si>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</si>
  <si>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</si>
  <si>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</si>
  <si>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</si>
  <si>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</si>
  <si>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</si>
  <si>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</si>
  <si>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</si>
  <si>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</si>
  <si>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</si>
  <si>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</si>
  <si>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</si>
  <si>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</si>
  <si>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</si>
  <si>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</si>
  <si>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</si>
  <si>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</si>
  <si>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</si>
  <si>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</si>
  <si>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</si>
  <si>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</si>
  <si>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</si>
  <si>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</si>
  <si>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</si>
  <si>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</si>
  <si>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</si>
  <si>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</si>
  <si>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</si>
  <si>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</si>
  <si>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</si>
  <si>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</si>
  <si>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</si>
  <si>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</si>
  <si>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</si>
  <si>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</si>
  <si>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</si>
  <si>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</si>
  <si>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</si>
  <si>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</si>
  <si>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</si>
  <si>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</si>
  <si>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</si>
  <si>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</si>
  <si>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</si>
  <si>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</si>
  <si>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</si>
  <si>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</si>
  <si>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</si>
  <si>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</si>
  <si>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</si>
  <si>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</si>
  <si>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</si>
  <si>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</si>
  <si>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</si>
  <si>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</si>
  <si>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</si>
  <si>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</si>
  <si>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</si>
  <si>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</si>
  <si>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</si>
  <si>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</si>
  <si>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</si>
  <si>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</si>
  <si>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</si>
  <si>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</si>
  <si>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</si>
  <si>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</si>
  <si>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</si>
  <si>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</si>
  <si>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</si>
  <si>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</si>
  <si>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</si>
  <si>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</si>
  <si>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</si>
  <si>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</si>
  <si>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</si>
  <si>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</si>
  <si>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</si>
  <si>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</si>
  <si>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</si>
  <si>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</si>
  <si>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</si>
  <si>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</si>
  <si>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</si>
  <si>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</si>
  <si>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</si>
  <si>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</si>
  <si>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</si>
  <si>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</si>
  <si>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</si>
  <si>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</si>
  <si>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</si>
  <si>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</si>
  <si>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</si>
  <si>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</si>
  <si>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</si>
  <si>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</si>
  <si>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</si>
  <si>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</si>
  <si>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</si>
  <si>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</si>
  <si>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</si>
  <si>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</si>
  <si>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</si>
  <si>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</si>
  <si>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</si>
  <si>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</si>
  <si>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</si>
  <si>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</si>
  <si>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</si>
  <si>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</si>
  <si>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</si>
  <si>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</si>
  <si>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</si>
  <si>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</si>
  <si>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</si>
  <si>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</si>
  <si>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</si>
  <si>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</si>
  <si>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</si>
  <si>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</si>
  <si>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</si>
  <si>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</si>
  <si>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</si>
  <si>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</si>
  <si>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</si>
  <si>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</si>
  <si>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</si>
  <si>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</si>
  <si>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</si>
  <si>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Demolições e Remoções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</si>
  <si>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</si>
  <si>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</si>
  <si>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</si>
  <si>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</si>
  <si>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</si>
  <si>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</si>
  <si>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</si>
  <si>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</si>
  <si>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</si>
  <si>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</si>
  <si>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</si>
  <si>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</si>
  <si>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</si>
  <si>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</si>
  <si>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</si>
  <si>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</si>
  <si>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</si>
  <si>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</si>
  <si>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</si>
  <si>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</si>
  <si>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</si>
  <si>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</si>
  <si>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</si>
  <si>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</si>
  <si>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</si>
  <si>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</si>
  <si>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</si>
  <si>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</si>
  <si>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</si>
  <si>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</si>
  <si>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</si>
  <si>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</si>
  <si>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</si>
  <si>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</si>
  <si>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</si>
  <si>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</si>
  <si>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</si>
  <si>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</si>
  <si>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</si>
  <si>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</si>
  <si>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</si>
  <si>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</si>
  <si>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</si>
  <si>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</si>
  <si>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</si>
  <si>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</si>
  <si>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</si>
  <si>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</si>
  <si>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</si>
  <si>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</si>
  <si>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</si>
  <si>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</si>
  <si>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</si>
  <si>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</si>
  <si>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</si>
  <si>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</si>
  <si>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</si>
  <si>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</si>
  <si>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</si>
  <si>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Depreciação, Juros, Impostos e Seguros, Manutenção e Materiais na Operação dos Equipamentos</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</si>
  <si>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</si>
  <si>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</si>
  <si>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</si>
  <si>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</si>
  <si>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</si>
  <si>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</si>
  <si>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</si>
  <si>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</si>
  <si>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</si>
  <si>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</si>
  <si>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</si>
  <si>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</si>
  <si>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</si>
  <si>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</si>
  <si>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</si>
  <si>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</si>
  <si>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</si>
  <si>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</si>
  <si>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</si>
  <si>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</si>
  <si>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</si>
  <si>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</si>
  <si>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</si>
  <si>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</si>
  <si>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</si>
  <si>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</si>
  <si>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</si>
  <si>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</si>
  <si>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</si>
  <si>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</si>
  <si>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</si>
  <si>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</si>
  <si>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</si>
  <si>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</si>
  <si>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</si>
  <si>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</si>
  <si>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</si>
  <si>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</si>
  <si>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</si>
  <si>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</si>
  <si>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</si>
  <si>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</si>
  <si>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</si>
  <si>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</si>
  <si>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</si>
  <si>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</si>
  <si>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</si>
  <si>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</si>
  <si>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</si>
  <si>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</si>
  <si>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</si>
  <si>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</si>
  <si>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</si>
  <si>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</si>
  <si>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</si>
  <si>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</si>
  <si>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</si>
  <si>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</si>
  <si>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</si>
  <si>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</si>
  <si>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</si>
  <si>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</si>
  <si>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</si>
  <si>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</si>
  <si>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</si>
  <si>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</si>
  <si>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</si>
  <si>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</si>
  <si>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</si>
  <si>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</si>
  <si>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</si>
  <si>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</si>
  <si>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</si>
  <si>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</si>
  <si>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</si>
  <si>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</si>
  <si>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</si>
  <si>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</si>
  <si>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</si>
  <si>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</si>
  <si>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</si>
  <si>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</si>
  <si>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</si>
  <si>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</si>
  <si>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</si>
  <si>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</si>
  <si>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</si>
  <si>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</si>
  <si>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</si>
  <si>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</si>
  <si>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</si>
  <si>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</si>
  <si>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</si>
  <si>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</si>
  <si>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</si>
  <si>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</si>
  <si>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</si>
  <si>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</si>
  <si>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</si>
  <si>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</si>
  <si>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</si>
  <si>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</si>
  <si>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</si>
  <si>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</si>
  <si>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</si>
  <si>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</si>
  <si>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</si>
  <si>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</si>
  <si>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</si>
  <si>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</si>
  <si>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</si>
  <si>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</si>
  <si>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</si>
  <si>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</si>
  <si>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</si>
  <si>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</si>
  <si>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</si>
  <si>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</si>
  <si>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</si>
  <si>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</si>
  <si>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</si>
  <si>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</si>
  <si>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</si>
  <si>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</si>
  <si>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</si>
  <si>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</si>
  <si>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</si>
  <si>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</si>
  <si>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</si>
  <si>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</si>
  <si>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</si>
  <si>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</si>
  <si>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</si>
  <si>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</si>
  <si>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</si>
  <si>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</si>
  <si>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</si>
  <si>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</si>
  <si>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</si>
  <si>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</si>
  <si>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</si>
  <si>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</si>
  <si>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</si>
  <si>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</si>
  <si>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</si>
  <si>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</si>
  <si>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</si>
  <si>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</si>
  <si>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</si>
  <si>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</si>
  <si>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</si>
  <si>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</si>
  <si>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</si>
  <si>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</si>
  <si>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</si>
  <si>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</si>
  <si>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</si>
  <si>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</si>
  <si>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</si>
  <si>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</si>
  <si>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</si>
  <si>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</si>
  <si>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</si>
  <si>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</si>
  <si>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</si>
  <si>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</si>
  <si>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</si>
  <si>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</si>
  <si>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</si>
  <si>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</si>
  <si>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</si>
  <si>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</si>
  <si>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</si>
  <si>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</si>
  <si>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</si>
  <si>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</si>
  <si>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</si>
  <si>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</si>
  <si>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</si>
  <si>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</si>
  <si>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</si>
  <si>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</si>
  <si>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</si>
  <si>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</si>
  <si>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</si>
  <si>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</si>
  <si>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</si>
  <si>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</si>
  <si>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</si>
  <si>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</si>
  <si>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</si>
  <si>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</si>
  <si>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DOSADOR DE AREIA, CAPACIDADE DE 26 LITROS - DEPRECIAÇÃO. AF_05/2023</t>
  </si>
  <si>
    <t>DOSADOR DE AREIA, CAPACIDADE DE 26 LITROS - JUROS. AF_05/2023</t>
  </si>
  <si>
    <t>DOSADOR DE AREIA, CAPACIDADE DE 26 LITROS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</si>
  <si>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</si>
  <si>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</si>
  <si>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</si>
  <si>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</si>
  <si>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</si>
  <si>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</si>
  <si>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</si>
  <si>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</si>
  <si>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</si>
  <si>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</si>
  <si>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</si>
  <si>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</si>
  <si>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</si>
  <si>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</si>
  <si>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</si>
  <si>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</si>
  <si>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</si>
  <si>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</si>
  <si>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</si>
  <si>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</si>
  <si>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</si>
  <si>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</si>
  <si>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</si>
  <si>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</si>
  <si>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</si>
  <si>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</si>
  <si>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</si>
  <si>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</si>
  <si>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</si>
  <si>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</si>
  <si>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</si>
  <si>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</si>
  <si>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</si>
  <si>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</si>
  <si>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</si>
  <si>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</si>
  <si>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</si>
  <si>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</si>
  <si>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</si>
  <si>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</si>
  <si>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</si>
  <si>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</si>
  <si>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</si>
  <si>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</si>
  <si>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</si>
  <si>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</si>
  <si>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</si>
  <si>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</si>
  <si>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</si>
  <si>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</si>
  <si>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</si>
  <si>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</si>
  <si>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</si>
  <si>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</si>
  <si>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</si>
  <si>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</si>
  <si>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</si>
  <si>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</si>
  <si>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</si>
  <si>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</si>
  <si>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</si>
  <si>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</si>
  <si>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</si>
  <si>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</si>
  <si>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</si>
  <si>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</si>
  <si>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</si>
  <si>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</si>
  <si>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</si>
  <si>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</si>
  <si>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</si>
  <si>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</si>
  <si>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</si>
  <si>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</si>
  <si>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</si>
  <si>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</si>
  <si>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</si>
  <si>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</si>
  <si>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</si>
  <si>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MATERIAIS NA OPERAÇÃO. AF_01/2024</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</si>
  <si>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</si>
  <si>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</si>
  <si>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</si>
  <si>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</si>
  <si>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</si>
  <si>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</si>
  <si>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</si>
  <si>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</si>
  <si>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</si>
  <si>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</si>
  <si>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</si>
  <si>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</si>
  <si>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</si>
  <si>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SOBRE ESTEIRAS, COM LANÇA TRELIÇADA 40 M, CAPACIDADE MÁXIMA 75 T - MATERIAIS NA OPERAÇÃO.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</si>
  <si>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</si>
  <si>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</si>
  <si>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</si>
  <si>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</si>
  <si>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</si>
  <si>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</si>
  <si>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</si>
  <si>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</si>
  <si>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</si>
  <si>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</si>
  <si>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</si>
  <si>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</si>
  <si>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</si>
  <si>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</si>
  <si>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</si>
  <si>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</si>
  <si>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</si>
  <si>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</si>
  <si>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</si>
  <si>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</si>
  <si>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</si>
  <si>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</si>
  <si>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</si>
  <si>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</si>
  <si>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</si>
  <si>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</si>
  <si>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</si>
  <si>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</si>
  <si>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</si>
  <si>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</si>
  <si>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</si>
  <si>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</si>
  <si>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</si>
  <si>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</si>
  <si>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</si>
  <si>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</si>
  <si>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</si>
  <si>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</si>
  <si>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</si>
  <si>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</si>
  <si>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</si>
  <si>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</si>
  <si>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</si>
  <si>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</si>
  <si>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</si>
  <si>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</si>
  <si>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</si>
  <si>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</si>
  <si>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</si>
  <si>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</si>
  <si>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</si>
  <si>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</si>
  <si>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</si>
  <si>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</si>
  <si>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</si>
  <si>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</si>
  <si>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</si>
  <si>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</si>
  <si>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</si>
  <si>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</si>
  <si>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</si>
  <si>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</si>
  <si>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</si>
  <si>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</si>
  <si>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</si>
  <si>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</si>
  <si>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</si>
  <si>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</si>
  <si>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</si>
  <si>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</si>
  <si>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</si>
  <si>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</si>
  <si>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</si>
  <si>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</si>
  <si>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</si>
  <si>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</si>
  <si>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</si>
  <si>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</si>
  <si>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</si>
  <si>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</si>
  <si>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</si>
  <si>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</si>
  <si>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</si>
  <si>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</si>
  <si>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</si>
  <si>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</si>
  <si>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</si>
  <si>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</si>
  <si>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</si>
  <si>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</si>
  <si>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</si>
  <si>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</si>
  <si>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</si>
  <si>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</si>
  <si>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</si>
  <si>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</si>
  <si>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</si>
  <si>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</si>
  <si>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</si>
  <si>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</si>
  <si>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MÁQUINA METALEIRA UNIVERSAL MODELO IW 110/180 BTD - MATERIAIS NA OPERAÇÃO.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</si>
  <si>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</si>
  <si>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</si>
  <si>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</si>
  <si>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</si>
  <si>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</si>
  <si>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</si>
  <si>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</si>
  <si>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</si>
  <si>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</si>
  <si>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</si>
  <si>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</si>
  <si>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</si>
  <si>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</si>
  <si>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</si>
  <si>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</si>
  <si>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</si>
  <si>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</si>
  <si>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</si>
  <si>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</si>
  <si>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</si>
  <si>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</si>
  <si>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</si>
  <si>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</si>
  <si>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</si>
  <si>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</si>
  <si>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</si>
  <si>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</si>
  <si>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</si>
  <si>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</si>
  <si>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</si>
  <si>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</si>
  <si>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</si>
  <si>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</si>
  <si>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</si>
  <si>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</si>
  <si>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</si>
  <si>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</si>
  <si>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</si>
  <si>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</si>
  <si>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</si>
  <si>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</si>
  <si>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</si>
  <si>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</si>
  <si>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</si>
  <si>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</si>
  <si>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</si>
  <si>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</si>
  <si>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</si>
  <si>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</si>
  <si>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</si>
  <si>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</si>
  <si>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</si>
  <si>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</si>
  <si>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</si>
  <si>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</si>
  <si>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</si>
  <si>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</si>
  <si>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</si>
  <si>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</si>
  <si>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</si>
  <si>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</si>
  <si>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</si>
  <si>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</si>
  <si>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</si>
  <si>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</si>
  <si>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</si>
  <si>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</si>
  <si>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</si>
  <si>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</si>
  <si>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</si>
  <si>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</si>
  <si>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</si>
  <si>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</si>
  <si>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</si>
  <si>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</si>
  <si>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</si>
  <si>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</si>
  <si>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</si>
  <si>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</si>
  <si>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</si>
  <si>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</si>
  <si>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</si>
  <si>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</si>
  <si>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</si>
  <si>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</si>
  <si>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</si>
  <si>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</si>
  <si>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</si>
  <si>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</si>
  <si>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</si>
  <si>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</si>
  <si>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</si>
  <si>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</si>
  <si>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</si>
  <si>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</si>
  <si>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</si>
  <si>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</si>
  <si>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</si>
  <si>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</si>
  <si>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</si>
  <si>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</si>
  <si>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</si>
  <si>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</si>
  <si>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</si>
  <si>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</si>
  <si>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</si>
  <si>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</si>
  <si>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</si>
  <si>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</si>
  <si>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</si>
  <si>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</si>
  <si>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</si>
  <si>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</si>
  <si>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</si>
  <si>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</si>
  <si>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</si>
  <si>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</si>
  <si>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</si>
  <si>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</si>
  <si>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</si>
  <si>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</si>
  <si>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</si>
  <si>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</si>
  <si>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</si>
  <si>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</si>
  <si>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</si>
  <si>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</si>
  <si>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</si>
  <si>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</si>
  <si>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</si>
  <si>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</si>
  <si>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</si>
  <si>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</si>
  <si>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</si>
  <si>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</si>
  <si>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</si>
  <si>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</si>
  <si>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</si>
  <si>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</si>
  <si>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</si>
  <si>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</si>
  <si>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</si>
  <si>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</si>
  <si>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</si>
  <si>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</si>
  <si>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</si>
  <si>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</si>
  <si>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</si>
  <si>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</si>
  <si>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</si>
  <si>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</si>
  <si>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</si>
  <si>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</si>
  <si>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</si>
  <si>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</si>
  <si>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</si>
  <si>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</si>
  <si>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</si>
  <si>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</si>
  <si>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</si>
  <si>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</si>
  <si>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</si>
  <si>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</si>
  <si>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</si>
  <si>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</si>
  <si>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</si>
  <si>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</si>
  <si>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</si>
  <si>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</si>
  <si>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</si>
  <si>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</si>
  <si>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</si>
  <si>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</si>
  <si>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</si>
  <si>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</si>
  <si>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</si>
  <si>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</si>
  <si>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</si>
  <si>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</si>
  <si>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</si>
  <si>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</si>
  <si>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</si>
  <si>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</si>
  <si>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</si>
  <si>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</si>
  <si>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</si>
  <si>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</si>
  <si>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</si>
  <si>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</si>
  <si>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</si>
  <si>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</si>
  <si>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</si>
  <si>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</si>
  <si>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</si>
  <si>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</si>
  <si>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</si>
  <si>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</si>
  <si>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</si>
  <si>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</si>
  <si>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</si>
  <si>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</si>
  <si>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</si>
  <si>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</si>
  <si>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</si>
  <si>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</si>
  <si>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</si>
  <si>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</si>
  <si>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</si>
  <si>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</si>
  <si>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</si>
  <si>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</si>
  <si>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</si>
  <si>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</si>
  <si>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</si>
  <si>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</si>
  <si>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</si>
  <si>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</si>
  <si>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</si>
  <si>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</si>
  <si>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</si>
  <si>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</si>
  <si>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</si>
  <si>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</si>
  <si>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</si>
  <si>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</si>
  <si>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</si>
  <si>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</si>
  <si>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</si>
  <si>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</si>
  <si>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</si>
  <si>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</si>
  <si>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</si>
  <si>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</si>
  <si>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</si>
  <si>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</si>
  <si>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</si>
  <si>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</si>
  <si>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</si>
  <si>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</si>
  <si>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</si>
  <si>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</si>
  <si>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</si>
  <si>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</si>
  <si>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</si>
  <si>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</si>
  <si>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</si>
  <si>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</si>
  <si>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</si>
  <si>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</si>
  <si>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</si>
  <si>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</si>
  <si>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</si>
  <si>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</si>
  <si>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</si>
  <si>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</si>
  <si>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</si>
  <si>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</si>
  <si>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</si>
  <si>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</si>
  <si>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</si>
  <si>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</si>
  <si>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</si>
  <si>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</si>
  <si>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</si>
  <si>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</si>
  <si>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</si>
  <si>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</si>
  <si>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</si>
  <si>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</si>
  <si>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</si>
  <si>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</si>
  <si>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</si>
  <si>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</si>
  <si>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</si>
  <si>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</si>
  <si>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</si>
  <si>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Dissipadores de Energia</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</si>
  <si>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</si>
  <si>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</si>
  <si>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</si>
  <si>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</si>
  <si>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</si>
  <si>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</si>
  <si>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</si>
  <si>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</si>
  <si>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</si>
  <si>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</si>
  <si>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</si>
  <si>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</si>
  <si>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</si>
  <si>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</si>
  <si>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</si>
  <si>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</si>
  <si>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</si>
  <si>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</si>
  <si>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</si>
  <si>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de ar condicionado</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</si>
  <si>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</si>
  <si>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</si>
  <si>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</si>
  <si>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</si>
  <si>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</si>
  <si>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</si>
  <si>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</si>
  <si>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</si>
  <si>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</si>
  <si>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</si>
  <si>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</si>
  <si>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</si>
  <si>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</si>
  <si>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</si>
  <si>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</si>
  <si>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</si>
  <si>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</si>
  <si>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</si>
  <si>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</si>
  <si>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</si>
  <si>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</si>
  <si>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</si>
  <si>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</si>
  <si>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</si>
  <si>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</si>
  <si>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</si>
  <si>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</si>
  <si>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</si>
  <si>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</si>
  <si>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</si>
  <si>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</si>
  <si>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</si>
  <si>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</si>
  <si>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</si>
  <si>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</si>
  <si>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</si>
  <si>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</si>
  <si>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</si>
  <si>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</si>
  <si>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</si>
  <si>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</si>
  <si>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</si>
  <si>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</si>
  <si>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</si>
  <si>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</si>
  <si>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</si>
  <si>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</si>
  <si>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</si>
  <si>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</si>
  <si>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</si>
  <si>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</si>
  <si>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</si>
  <si>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</si>
  <si>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</si>
  <si>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</si>
  <si>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</si>
  <si>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</si>
  <si>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</si>
  <si>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</si>
  <si>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</si>
  <si>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</si>
  <si>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</si>
  <si>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</si>
  <si>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</si>
  <si>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</si>
  <si>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Dutos para ar condicionado</t>
  </si>
  <si>
    <t>PINTURA ANTICORROSIVA DE DUTO METÁLICO. AF_03/2024</t>
  </si>
  <si>
    <t>Energia Solar para Edificações</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</si>
  <si>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</si>
  <si>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</si>
  <si>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</si>
  <si>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</si>
  <si>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</si>
  <si>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</si>
  <si>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Equipamentos de Proteção Coletiva</t>
  </si>
  <si>
    <t>COLOCAÇÃO DE TELA EM ANDAIME FACHADEIRO.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</si>
  <si>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</si>
  <si>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</si>
  <si>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</si>
  <si>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</si>
  <si>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</si>
  <si>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</si>
  <si>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</si>
  <si>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</si>
  <si>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</si>
  <si>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</si>
  <si>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</si>
  <si>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</si>
  <si>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</si>
  <si>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POÇO DE CREMALHEIRA, COM MONTANTE METÁLICO FIXADO EM LAJE COM CHUMBADOR PARABOLT E FECHAMENTO EM PAINEL DE TELA METÁLICA (EXCLUSO PROTEÇÃO). AF_03/2024</t>
  </si>
  <si>
    <t>INSTALAÇÃO DE SINALIZADOR NOTURNO LED.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</si>
  <si>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</si>
  <si>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</si>
  <si>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</si>
  <si>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PLATAFORMA DE PROTEÇÃO PRINCIPAL PARA ALVENARIA ESTRUTURAL PARA SER APOIADA EM ANDAIME, INCLUSIVE MONTAGEM E DESMONTAGEM.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</si>
  <si>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</si>
  <si>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</si>
  <si>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</si>
  <si>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</si>
  <si>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</si>
  <si>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Escadas</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</si>
  <si>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</si>
  <si>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</si>
  <si>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</si>
  <si>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</si>
  <si>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</si>
  <si>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</si>
  <si>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</si>
  <si>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</si>
  <si>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</si>
  <si>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</si>
  <si>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</si>
  <si>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</si>
  <si>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</si>
  <si>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</si>
  <si>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</si>
  <si>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</si>
  <si>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</si>
  <si>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</si>
  <si>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</si>
  <si>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</si>
  <si>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</si>
  <si>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</si>
  <si>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</si>
  <si>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</si>
  <si>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</si>
  <si>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</si>
  <si>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</si>
  <si>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</si>
  <si>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</si>
  <si>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</si>
  <si>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</si>
  <si>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</si>
  <si>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</si>
  <si>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</si>
  <si>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</si>
  <si>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</si>
  <si>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</si>
  <si>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</si>
  <si>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</si>
  <si>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</si>
  <si>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</si>
  <si>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</si>
  <si>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</si>
  <si>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</si>
  <si>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</si>
  <si>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</si>
  <si>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</si>
  <si>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</si>
  <si>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</si>
  <si>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</si>
  <si>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</si>
  <si>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</si>
  <si>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</si>
  <si>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</si>
  <si>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</si>
  <si>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</si>
  <si>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</si>
  <si>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</si>
  <si>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</si>
  <si>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</si>
  <si>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</si>
  <si>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</si>
  <si>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</si>
  <si>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</si>
  <si>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</si>
  <si>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</si>
  <si>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</si>
  <si>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</si>
  <si>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</si>
  <si>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</si>
  <si>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</si>
  <si>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</si>
  <si>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</si>
  <si>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</si>
  <si>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</si>
  <si>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</si>
  <si>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</si>
  <si>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</si>
  <si>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</si>
  <si>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</si>
  <si>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</si>
  <si>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</si>
  <si>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</si>
  <si>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</si>
  <si>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</si>
  <si>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</si>
  <si>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</si>
  <si>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</si>
  <si>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</si>
  <si>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</si>
  <si>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</si>
  <si>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</si>
  <si>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</si>
  <si>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</si>
  <si>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Escavação Horizontal</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</si>
  <si>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</si>
  <si>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</si>
  <si>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</si>
  <si>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</si>
  <si>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</si>
  <si>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</si>
  <si>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</si>
  <si>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</si>
  <si>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</si>
  <si>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</si>
  <si>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</si>
  <si>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</si>
  <si>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</si>
  <si>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</si>
  <si>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</si>
  <si>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</si>
  <si>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</si>
  <si>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</si>
  <si>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</si>
  <si>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</si>
  <si>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</si>
  <si>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</si>
  <si>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</si>
  <si>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</si>
  <si>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</si>
  <si>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</si>
  <si>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</si>
  <si>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</si>
  <si>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</si>
  <si>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</si>
  <si>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</si>
  <si>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</si>
  <si>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</si>
  <si>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</si>
  <si>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</si>
  <si>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</si>
  <si>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</si>
  <si>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</si>
  <si>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</si>
  <si>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</si>
  <si>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a Céu Aberto</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</si>
  <si>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</si>
  <si>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</si>
  <si>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</si>
  <si>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</si>
  <si>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</si>
  <si>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</si>
  <si>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</si>
  <si>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</si>
  <si>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</si>
  <si>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</si>
  <si>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</si>
  <si>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</si>
  <si>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</si>
  <si>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</si>
  <si>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</si>
  <si>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</si>
  <si>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</si>
  <si>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</si>
  <si>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</si>
  <si>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</si>
  <si>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</si>
  <si>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</si>
  <si>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</si>
  <si>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</si>
  <si>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</si>
  <si>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</si>
  <si>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</si>
  <si>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</si>
  <si>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</si>
  <si>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</si>
  <si>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</si>
  <si>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</si>
  <si>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</si>
  <si>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</si>
  <si>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</si>
  <si>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</si>
  <si>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</si>
  <si>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</si>
  <si>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</si>
  <si>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</si>
  <si>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</si>
  <si>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</si>
  <si>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</si>
  <si>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</si>
  <si>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</si>
  <si>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</si>
  <si>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</si>
  <si>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</si>
  <si>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</si>
  <si>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</si>
  <si>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</si>
  <si>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</si>
  <si>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</si>
  <si>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</si>
  <si>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</si>
  <si>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</si>
  <si>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</si>
  <si>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</si>
  <si>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</si>
  <si>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</si>
  <si>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</si>
  <si>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</si>
  <si>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</si>
  <si>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</si>
  <si>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</si>
  <si>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</si>
  <si>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</si>
  <si>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</si>
  <si>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</si>
  <si>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</si>
  <si>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</si>
  <si>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</si>
  <si>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</si>
  <si>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</si>
  <si>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</si>
  <si>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</si>
  <si>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</si>
  <si>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</si>
  <si>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</si>
  <si>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</si>
  <si>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</si>
  <si>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</si>
  <si>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</si>
  <si>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</si>
  <si>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</si>
  <si>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</si>
  <si>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</si>
  <si>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</si>
  <si>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</si>
  <si>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</si>
  <si>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</si>
  <si>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</si>
  <si>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</si>
  <si>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</si>
  <si>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</si>
  <si>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</si>
  <si>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</si>
  <si>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</si>
  <si>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</si>
  <si>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</si>
  <si>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</si>
  <si>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</si>
  <si>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</si>
  <si>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</si>
  <si>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</si>
  <si>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</si>
  <si>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</si>
  <si>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</si>
  <si>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</si>
  <si>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</si>
  <si>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</si>
  <si>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</si>
  <si>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</si>
  <si>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</si>
  <si>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</si>
  <si>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</si>
  <si>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</si>
  <si>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</si>
  <si>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</si>
  <si>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</si>
  <si>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</si>
  <si>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</si>
  <si>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</si>
  <si>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</si>
  <si>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</si>
  <si>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</si>
  <si>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</si>
  <si>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</si>
  <si>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</si>
  <si>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</si>
  <si>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</si>
  <si>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</si>
  <si>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</si>
  <si>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</si>
  <si>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</si>
  <si>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</si>
  <si>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</si>
  <si>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</si>
  <si>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</si>
  <si>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</si>
  <si>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</si>
  <si>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</si>
  <si>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</si>
  <si>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</si>
  <si>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</si>
  <si>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</si>
  <si>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</si>
  <si>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</si>
  <si>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</si>
  <si>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</si>
  <si>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</si>
  <si>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e Preparo de Fundo de Valas</t>
  </si>
  <si>
    <t>ESCORAMENTO DE VALA, TIPO BLINDAGEM COM PROFUNDIDADE DE 0 A 1,5 M, LARGURA MAIOR OU IGUAL A 1,5 M E MENOR QUE 2,5 M - EXECUÇÃO, NÃO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</si>
  <si>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</si>
  <si>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</si>
  <si>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</si>
  <si>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</si>
  <si>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</si>
  <si>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</si>
  <si>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</si>
  <si>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</si>
  <si>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</si>
  <si>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</si>
  <si>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</si>
  <si>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</si>
  <si>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</si>
  <si>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</si>
  <si>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</si>
  <si>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</si>
  <si>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</si>
  <si>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</si>
  <si>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</si>
  <si>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</si>
  <si>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</si>
  <si>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</si>
  <si>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</si>
  <si>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</si>
  <si>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</si>
  <si>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</si>
  <si>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</si>
  <si>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</si>
  <si>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</si>
  <si>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</si>
  <si>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</si>
  <si>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</si>
  <si>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</si>
  <si>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</si>
  <si>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</si>
  <si>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</si>
  <si>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</si>
  <si>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</si>
  <si>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</si>
  <si>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e Rebaixamento do Lençol Freático</t>
  </si>
  <si>
    <t>ESGOTAMENTO DE VALA COM BOMBA SUBMERSÍVEL. AF_12/2022</t>
  </si>
  <si>
    <t>INSTALAÇÃO DE MATERIAL GRANULAR FILTRANTE PARA SISTEMA DE REBAIXAMENTO DE LENÇOL FREÁTICO POR POÇOS PROFUNDOSA,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</si>
  <si>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</si>
  <si>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</si>
  <si>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</si>
  <si>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</si>
  <si>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</si>
  <si>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Esquadrias - Janelas</t>
  </si>
  <si>
    <t>CAIXILHO FIXO DE ALUMÍNIO PARA VIDRO (VIDRO INCLUSO), BATENTE/ REQUADRO DE 4 A 14 CM, SEM GUARNIÇÃO/ ALIZAR,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</si>
  <si>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</si>
  <si>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</si>
  <si>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</si>
  <si>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</si>
  <si>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</si>
  <si>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</si>
  <si>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</si>
  <si>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</si>
  <si>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</si>
  <si>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</si>
  <si>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</si>
  <si>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</si>
  <si>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</si>
  <si>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</si>
  <si>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</si>
  <si>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</si>
  <si>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</si>
  <si>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</si>
  <si>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</si>
  <si>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</si>
  <si>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Esquadrias - Portas</t>
  </si>
  <si>
    <t>ALIZAR DE 5X1,5CM PARA PORTA FIXADO COM PREGOS, PADRÃO MÉDIO - FORNECIMENTO E INSTALAÇÃO. AF_12/2019</t>
  </si>
  <si>
    <t>ALIZAR DE 5X1,5CM PARA PORTA FIXADO COM PREGOS, PADRÃO POPULAR - FORNECIMENTO E INSTALAÇÃO.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</si>
  <si>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</si>
  <si>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</si>
  <si>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</si>
  <si>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</si>
  <si>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</si>
  <si>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</si>
  <si>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</si>
  <si>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</si>
  <si>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</si>
  <si>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</si>
  <si>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</si>
  <si>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</si>
  <si>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</si>
  <si>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</si>
  <si>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</si>
  <si>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</si>
  <si>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</si>
  <si>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</si>
  <si>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</si>
  <si>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</si>
  <si>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</si>
  <si>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</si>
  <si>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</si>
  <si>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</si>
  <si>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</si>
  <si>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</si>
  <si>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</si>
  <si>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</si>
  <si>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</si>
  <si>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</si>
  <si>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</si>
  <si>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</si>
  <si>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</si>
  <si>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</si>
  <si>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</si>
  <si>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</si>
  <si>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</si>
  <si>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</si>
  <si>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</si>
  <si>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</si>
  <si>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</si>
  <si>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</si>
  <si>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</si>
  <si>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</si>
  <si>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</si>
  <si>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</si>
  <si>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</si>
  <si>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</si>
  <si>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</si>
  <si>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</si>
  <si>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</si>
  <si>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</si>
  <si>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</si>
  <si>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</si>
  <si>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</si>
  <si>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</si>
  <si>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</si>
  <si>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</si>
  <si>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</si>
  <si>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</si>
  <si>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</si>
  <si>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</si>
  <si>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</si>
  <si>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</si>
  <si>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</si>
  <si>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</si>
  <si>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</si>
  <si>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</si>
  <si>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</si>
  <si>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</si>
  <si>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</si>
  <si>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</si>
  <si>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</si>
  <si>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</si>
  <si>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</si>
  <si>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</si>
  <si>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</si>
  <si>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</si>
  <si>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</si>
  <si>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</si>
  <si>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</si>
  <si>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</si>
  <si>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</si>
  <si>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</si>
  <si>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</si>
  <si>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</si>
  <si>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</si>
  <si>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</si>
  <si>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</si>
  <si>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</si>
  <si>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</si>
  <si>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</si>
  <si>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</si>
  <si>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</si>
  <si>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</si>
  <si>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</si>
  <si>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</si>
  <si>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</si>
  <si>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</si>
  <si>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</si>
  <si>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</si>
  <si>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</si>
  <si>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</si>
  <si>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</si>
  <si>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</si>
  <si>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</si>
  <si>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</si>
  <si>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</si>
  <si>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</si>
  <si>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</si>
  <si>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</si>
  <si>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</si>
  <si>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</si>
  <si>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</si>
  <si>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</si>
  <si>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</si>
  <si>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</si>
  <si>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</si>
  <si>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</si>
  <si>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</si>
  <si>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Estacas Broca, Strauss e Escavada com Fluido Estabilizante</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</si>
  <si>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</si>
  <si>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</si>
  <si>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</si>
  <si>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</si>
  <si>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</si>
  <si>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</si>
  <si>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</si>
  <si>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</si>
  <si>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</si>
  <si>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</si>
  <si>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</si>
  <si>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</si>
  <si>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</si>
  <si>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</si>
  <si>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</si>
  <si>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HP310X79 (EXCLUSIVE MOBILIZAÇÃO E DESMOBILIZAÇÃO). AF_01/2020</t>
  </si>
  <si>
    <t>Estacas Pré-Moldadas</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</si>
  <si>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</si>
  <si>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</si>
  <si>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</si>
  <si>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Estacas em Hélice Contínua</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</si>
  <si>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</si>
  <si>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</si>
  <si>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</si>
  <si>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</si>
  <si>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</si>
  <si>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</si>
  <si>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</si>
  <si>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</si>
  <si>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</si>
  <si>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</si>
  <si>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</si>
  <si>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</si>
  <si>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</si>
  <si>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</si>
  <si>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</si>
  <si>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</si>
  <si>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</si>
  <si>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</si>
  <si>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</si>
  <si>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</si>
  <si>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</si>
  <si>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</si>
  <si>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</si>
  <si>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</si>
  <si>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</si>
  <si>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</si>
  <si>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</si>
  <si>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</si>
  <si>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</si>
  <si>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</si>
  <si>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</si>
  <si>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</si>
  <si>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</si>
  <si>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</si>
  <si>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</si>
  <si>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</si>
  <si>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</si>
  <si>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</si>
  <si>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</si>
  <si>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</si>
  <si>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</si>
  <si>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</si>
  <si>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</si>
  <si>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</si>
  <si>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</si>
  <si>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</si>
  <si>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</si>
  <si>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</si>
  <si>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</si>
  <si>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</si>
  <si>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</si>
  <si>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</si>
  <si>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</si>
  <si>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</si>
  <si>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</si>
  <si>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</si>
  <si>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</si>
  <si>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</si>
  <si>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</si>
  <si>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</si>
  <si>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</si>
  <si>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</si>
  <si>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</si>
  <si>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</si>
  <si>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</si>
  <si>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</si>
  <si>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</si>
  <si>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</si>
  <si>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</si>
  <si>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</si>
  <si>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</si>
  <si>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</si>
  <si>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</si>
  <si>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</si>
  <si>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</si>
  <si>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</si>
  <si>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</si>
  <si>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</si>
  <si>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</si>
  <si>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</si>
  <si>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</si>
  <si>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</si>
  <si>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</si>
  <si>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</si>
  <si>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</si>
  <si>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</si>
  <si>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</si>
  <si>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</si>
  <si>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</si>
  <si>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</si>
  <si>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</si>
  <si>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</si>
  <si>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</si>
  <si>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</si>
  <si>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</si>
  <si>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</si>
  <si>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</si>
  <si>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</si>
  <si>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</si>
  <si>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</si>
  <si>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</si>
  <si>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</si>
  <si>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</si>
  <si>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</si>
  <si>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</si>
  <si>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</si>
  <si>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</si>
  <si>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</si>
  <si>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</si>
  <si>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</si>
  <si>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</si>
  <si>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</si>
  <si>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</si>
  <si>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</si>
  <si>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Estruturas Pré-Fabricadas e Pré-Moldadas</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</si>
  <si>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</si>
  <si>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</si>
  <si>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</si>
  <si>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</si>
  <si>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</si>
  <si>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</si>
  <si>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</si>
  <si>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</si>
  <si>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</si>
  <si>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</si>
  <si>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</si>
  <si>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</si>
  <si>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</si>
  <si>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</si>
  <si>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</si>
  <si>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</si>
  <si>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</si>
  <si>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</si>
  <si>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</si>
  <si>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</si>
  <si>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</si>
  <si>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</si>
  <si>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</si>
  <si>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FABRICAÇÃO, MONTAGEM E DESMONTAGEM DE FÔRMA PARA CORTINA DE CONTENÇÃO, EM CHAPA DE MADEIRA COMPENSADA PLASTIFICADA, E = 18 MM, 10 UTILIZAÇÕES. AF_11/2024</t>
  </si>
  <si>
    <t>Estruturas de Madeira</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</si>
  <si>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</si>
  <si>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</si>
  <si>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</si>
  <si>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</si>
  <si>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</si>
  <si>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</si>
  <si>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</si>
  <si>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</si>
  <si>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</si>
  <si>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</si>
  <si>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</si>
  <si>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</si>
  <si>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</si>
  <si>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</si>
  <si>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</si>
  <si>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</si>
  <si>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</si>
  <si>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</si>
  <si>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</si>
  <si>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</si>
  <si>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</si>
  <si>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</si>
  <si>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</si>
  <si>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</si>
  <si>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</si>
  <si>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</si>
  <si>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</si>
  <si>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</si>
  <si>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</si>
  <si>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</si>
  <si>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</si>
  <si>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</si>
  <si>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</si>
  <si>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</si>
  <si>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</si>
  <si>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</si>
  <si>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</si>
  <si>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</si>
  <si>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</si>
  <si>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</si>
  <si>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</si>
  <si>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</si>
  <si>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</si>
  <si>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</si>
  <si>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</si>
  <si>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</si>
  <si>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</si>
  <si>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</si>
  <si>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</si>
  <si>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</si>
  <si>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</si>
  <si>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</si>
  <si>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</si>
  <si>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</si>
  <si>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</si>
  <si>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</si>
  <si>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</si>
  <si>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</si>
  <si>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</si>
  <si>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</si>
  <si>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</si>
  <si>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</si>
  <si>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</si>
  <si>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</si>
  <si>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</si>
  <si>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</si>
  <si>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</si>
  <si>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</si>
  <si>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</si>
  <si>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PERFURAÇÃO DE CORTINA PRÉ-MOLDADA COM MARTELETE ROMPEDOR. AF_11/2023</t>
  </si>
  <si>
    <t>PERFURAÇÃO DE PAREDE DIAFRAGMA COM COROA DIAMANTADA DE DIÂMETRO DE 102 MM. AF_11/2023</t>
  </si>
  <si>
    <t>Forros</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</si>
  <si>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</si>
  <si>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</si>
  <si>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</si>
  <si>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</si>
  <si>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</si>
  <si>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</si>
  <si>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</si>
  <si>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</si>
  <si>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</si>
  <si>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</si>
  <si>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</si>
  <si>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</si>
  <si>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</si>
  <si>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</si>
  <si>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</si>
  <si>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Fossas e Sumidouros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</si>
  <si>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</si>
  <si>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</si>
  <si>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</si>
  <si>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</si>
  <si>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</si>
  <si>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</si>
  <si>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</si>
  <si>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</si>
  <si>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</si>
  <si>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</si>
  <si>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</si>
  <si>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</si>
  <si>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</si>
  <si>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</si>
  <si>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</si>
  <si>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</si>
  <si>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</si>
  <si>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</si>
  <si>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</si>
  <si>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</si>
  <si>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</si>
  <si>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</si>
  <si>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</si>
  <si>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</si>
  <si>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</si>
  <si>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</si>
  <si>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</si>
  <si>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</si>
  <si>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</si>
  <si>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</si>
  <si>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</si>
  <si>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</si>
  <si>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</si>
  <si>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</si>
  <si>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</si>
  <si>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</si>
  <si>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</si>
  <si>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</si>
  <si>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</si>
  <si>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</si>
  <si>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</si>
  <si>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</si>
  <si>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</si>
  <si>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</si>
  <si>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</si>
  <si>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</si>
  <si>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</si>
  <si>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</si>
  <si>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</si>
  <si>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Fundações Rasas (Blocos, Sapatas, Vigas Baldrame)</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</si>
  <si>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</si>
  <si>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</si>
  <si>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</si>
  <si>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</si>
  <si>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</si>
  <si>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</si>
  <si>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</si>
  <si>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</si>
  <si>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</si>
  <si>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</si>
  <si>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</si>
  <si>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</si>
  <si>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</si>
  <si>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</si>
  <si>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</si>
  <si>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</si>
  <si>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</si>
  <si>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</si>
  <si>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</si>
  <si>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</si>
  <si>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</si>
  <si>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</si>
  <si>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</si>
  <si>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</si>
  <si>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</si>
  <si>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</si>
  <si>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</si>
  <si>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</si>
  <si>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</si>
  <si>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</si>
  <si>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</si>
  <si>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</si>
  <si>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</si>
  <si>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</si>
  <si>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</si>
  <si>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</si>
  <si>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</si>
  <si>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</si>
  <si>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</si>
  <si>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</si>
  <si>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</si>
  <si>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</si>
  <si>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</si>
  <si>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</si>
  <si>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</si>
  <si>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</si>
  <si>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Fôrmas para Estruturas de Concreto Armado</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</si>
  <si>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</si>
  <si>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</si>
  <si>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</si>
  <si>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</si>
  <si>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</si>
  <si>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</si>
  <si>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</si>
  <si>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</si>
  <si>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</si>
  <si>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</si>
  <si>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</si>
  <si>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</si>
  <si>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</si>
  <si>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</si>
  <si>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</si>
  <si>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</si>
  <si>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</si>
  <si>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</si>
  <si>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</si>
  <si>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</si>
  <si>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</si>
  <si>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</si>
  <si>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</si>
  <si>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</si>
  <si>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</si>
  <si>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</si>
  <si>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</si>
  <si>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</si>
  <si>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</si>
  <si>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</si>
  <si>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</si>
  <si>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</si>
  <si>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</si>
  <si>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</si>
  <si>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</si>
  <si>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</si>
  <si>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</si>
  <si>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</si>
  <si>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</si>
  <si>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</si>
  <si>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</si>
  <si>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</si>
  <si>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</si>
  <si>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</si>
  <si>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</si>
  <si>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</si>
  <si>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</si>
  <si>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</si>
  <si>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</si>
  <si>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</si>
  <si>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</si>
  <si>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</si>
  <si>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</si>
  <si>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</si>
  <si>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</si>
  <si>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</si>
  <si>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</si>
  <si>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</si>
  <si>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</si>
  <si>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</si>
  <si>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</si>
  <si>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</si>
  <si>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</si>
  <si>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</si>
  <si>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</si>
  <si>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</si>
  <si>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</si>
  <si>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</si>
  <si>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</si>
  <si>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</si>
  <si>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</si>
  <si>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</si>
  <si>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</si>
  <si>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</si>
  <si>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</si>
  <si>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</si>
  <si>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</si>
  <si>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</si>
  <si>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</si>
  <si>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</si>
  <si>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</si>
  <si>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</si>
  <si>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</si>
  <si>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</si>
  <si>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</si>
  <si>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</si>
  <si>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</si>
  <si>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</si>
  <si>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</si>
  <si>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</si>
  <si>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</si>
  <si>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</si>
  <si>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</si>
  <si>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</si>
  <si>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</si>
  <si>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</si>
  <si>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</si>
  <si>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</si>
  <si>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</si>
  <si>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</si>
  <si>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</si>
  <si>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</si>
  <si>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</si>
  <si>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</si>
  <si>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</si>
  <si>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</si>
  <si>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</si>
  <si>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</si>
  <si>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</si>
  <si>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</si>
  <si>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</si>
  <si>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</si>
  <si>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</si>
  <si>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</si>
  <si>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</si>
  <si>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</si>
  <si>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</si>
  <si>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</si>
  <si>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</si>
  <si>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</si>
  <si>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</si>
  <si>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</si>
  <si>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</si>
  <si>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</si>
  <si>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</si>
  <si>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</si>
  <si>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</si>
  <si>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</si>
  <si>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</si>
  <si>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</si>
  <si>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</si>
  <si>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</si>
  <si>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</si>
  <si>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</si>
  <si>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</si>
  <si>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</si>
  <si>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</si>
  <si>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</si>
  <si>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</si>
  <si>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</si>
  <si>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</si>
  <si>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</si>
  <si>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</si>
  <si>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</si>
  <si>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</si>
  <si>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</si>
  <si>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</si>
  <si>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</si>
  <si>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</si>
  <si>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</si>
  <si>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</si>
  <si>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</si>
  <si>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</si>
  <si>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</si>
  <si>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</si>
  <si>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</si>
  <si>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</si>
  <si>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</si>
  <si>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</si>
  <si>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</si>
  <si>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</si>
  <si>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</si>
  <si>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</si>
  <si>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</si>
  <si>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</si>
  <si>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</si>
  <si>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</si>
  <si>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</si>
  <si>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</si>
  <si>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</si>
  <si>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</si>
  <si>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</si>
  <si>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</si>
  <si>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</si>
  <si>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</si>
  <si>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</si>
  <si>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Guarda-Corpo, Corrimão e Grade para Esquadrias</t>
  </si>
  <si>
    <t>CORRIMÃO SIMPLES, DIÂMETRO EXTERNO = 1 1/2", EM ALUMÍNIO. AF_04/2019_PS</t>
  </si>
  <si>
    <t>CORRIMÃO SIMPLES, DIÂMETRO EXTERNO = 1 1/2", EM AÇO GALVANIZADO. AF_04/2019_PS</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</si>
  <si>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</si>
  <si>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</si>
  <si>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 GRADIL FORMADO POR BARRAS CHATAS EM FERRO DE 32X4,8MM, FIXADO COM CHUMBADOR MECÂNICO. AF_04/2019_PS</t>
  </si>
  <si>
    <t>GUARDA-CORPO DE AÇO GALVANIZADO DE 1,10M, MONTANTES TUBULARES DE 1.1/4" ESPAÇADOS DE 1,20M, TRAVESSA SUPERIOR DE 1.1/2", GRADIL FORMADO POR TUBOS HORIZONTAIS DE 1" E VERTICAIS DE 3/4", FIXADO COM CHUMBADOR MECÂNICO. AF_04/2019_PS</t>
  </si>
  <si>
    <t>GUARDA-CORPO PANORÂMICO COM PERFIS DE ALUMÍNIO E VIDRO LAMINADO 8 MM, FIXADO COM CHUMBADOR MECÂNICO. AF_04/2019_PS</t>
  </si>
  <si>
    <t>Guias e sarjetas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</si>
  <si>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</si>
  <si>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</si>
  <si>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</si>
  <si>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</si>
  <si>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</si>
  <si>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</si>
  <si>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</si>
  <si>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</si>
  <si>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</si>
  <si>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</si>
  <si>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</si>
  <si>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</si>
  <si>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</si>
  <si>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</si>
  <si>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</si>
  <si>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</si>
  <si>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</si>
  <si>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</si>
  <si>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</si>
  <si>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</si>
  <si>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</si>
  <si>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</si>
  <si>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</si>
  <si>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</si>
  <si>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</si>
  <si>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</si>
  <si>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</si>
  <si>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</si>
  <si>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</si>
  <si>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</si>
  <si>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</si>
  <si>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60 CM BASE (15 CM BASE DA GUIA + 45 CM BASE DA SARJETA) X 26 CM ALTURA. AF_01/2024</t>
  </si>
  <si>
    <t>Iluminação Predial e Monitoramento</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</si>
  <si>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</si>
  <si>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</si>
  <si>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</si>
  <si>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TIPO PLAFON CIRCULAR, DE SOBREPOR, COM LED DE 12/13 W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</si>
  <si>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</si>
  <si>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</si>
  <si>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</si>
  <si>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</si>
  <si>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</si>
  <si>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</si>
  <si>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</si>
  <si>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</si>
  <si>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</si>
  <si>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</si>
  <si>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</si>
  <si>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</si>
  <si>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</si>
  <si>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</si>
  <si>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</si>
  <si>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</si>
  <si>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</si>
  <si>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</si>
  <si>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</si>
  <si>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</si>
  <si>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</si>
  <si>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</si>
  <si>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</si>
  <si>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</si>
  <si>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</si>
  <si>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</si>
  <si>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</si>
  <si>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</si>
  <si>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</si>
  <si>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</si>
  <si>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</si>
  <si>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</si>
  <si>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</si>
  <si>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RODAPÉ COM TELA DE POLIÉSTER. AF_09/2023</t>
  </si>
  <si>
    <t>Instalações Elétricas - Eletrodutos Embutidos, Cabos, Caixas, Tomadas e Interruptores</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</si>
  <si>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</si>
  <si>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</si>
  <si>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</si>
  <si>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</si>
  <si>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</si>
  <si>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</si>
  <si>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</si>
  <si>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</si>
  <si>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</si>
  <si>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</si>
  <si>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</si>
  <si>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</si>
  <si>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</si>
  <si>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</si>
  <si>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</si>
  <si>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</si>
  <si>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</si>
  <si>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</si>
  <si>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</si>
  <si>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</si>
  <si>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</si>
  <si>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</si>
  <si>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</si>
  <si>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</si>
  <si>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</si>
  <si>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</si>
  <si>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</si>
  <si>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</si>
  <si>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</si>
  <si>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</si>
  <si>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</si>
  <si>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</si>
  <si>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</si>
  <si>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</si>
  <si>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</si>
  <si>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</si>
  <si>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</si>
  <si>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</si>
  <si>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</si>
  <si>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</si>
  <si>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</si>
  <si>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</si>
  <si>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</si>
  <si>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</si>
  <si>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</si>
  <si>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</si>
  <si>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</si>
  <si>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</si>
  <si>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</si>
  <si>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</si>
  <si>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</si>
  <si>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</si>
  <si>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</si>
  <si>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</si>
  <si>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</si>
  <si>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</si>
  <si>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</si>
  <si>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</si>
  <si>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</si>
  <si>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</si>
  <si>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</si>
  <si>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</si>
  <si>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</si>
  <si>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</si>
  <si>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</si>
  <si>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</si>
  <si>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</si>
  <si>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</si>
  <si>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</si>
  <si>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</si>
  <si>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</si>
  <si>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</si>
  <si>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</si>
  <si>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</si>
  <si>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</si>
  <si>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</si>
  <si>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</si>
  <si>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</si>
  <si>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</si>
  <si>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</si>
  <si>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</si>
  <si>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</si>
  <si>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</si>
  <si>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</si>
  <si>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</si>
  <si>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</si>
  <si>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</si>
  <si>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</si>
  <si>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</si>
  <si>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</si>
  <si>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</si>
  <si>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</si>
  <si>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</si>
  <si>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</si>
  <si>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</si>
  <si>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</si>
  <si>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</si>
  <si>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</si>
  <si>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</si>
  <si>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</si>
  <si>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</si>
  <si>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</si>
  <si>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</si>
  <si>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</si>
  <si>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</si>
  <si>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</si>
  <si>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</si>
  <si>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</si>
  <si>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</si>
  <si>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</si>
  <si>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</si>
  <si>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</si>
  <si>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</si>
  <si>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</si>
  <si>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</si>
  <si>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</si>
  <si>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</si>
  <si>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</si>
  <si>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</si>
  <si>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</si>
  <si>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</si>
  <si>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</si>
  <si>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</si>
  <si>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</si>
  <si>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</si>
  <si>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</si>
  <si>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</si>
  <si>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</si>
  <si>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</si>
  <si>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</si>
  <si>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</si>
  <si>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</si>
  <si>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</si>
  <si>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</si>
  <si>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</si>
  <si>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</si>
  <si>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</si>
  <si>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</si>
  <si>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</si>
  <si>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</si>
  <si>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</si>
  <si>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</si>
  <si>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</si>
  <si>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</si>
  <si>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</si>
  <si>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</si>
  <si>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</si>
  <si>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</si>
  <si>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</si>
  <si>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</si>
  <si>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</si>
  <si>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</si>
  <si>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</si>
  <si>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</si>
  <si>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</si>
  <si>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</si>
  <si>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</si>
  <si>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</si>
  <si>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</si>
  <si>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</si>
  <si>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</si>
  <si>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</si>
  <si>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</si>
  <si>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</si>
  <si>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</si>
  <si>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</si>
  <si>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</si>
  <si>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</si>
  <si>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</si>
  <si>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</si>
  <si>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</si>
  <si>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</si>
  <si>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</si>
  <si>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</si>
  <si>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</si>
  <si>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</si>
  <si>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</si>
  <si>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</si>
  <si>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</si>
  <si>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</si>
  <si>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</si>
  <si>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</si>
  <si>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</si>
  <si>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</si>
  <si>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</si>
  <si>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</si>
  <si>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</si>
  <si>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</si>
  <si>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</si>
  <si>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</si>
  <si>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</si>
  <si>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</si>
  <si>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</si>
  <si>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Instalações Elétricas - Eletrodutos, Conexões e Conduletes Aparentes</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</si>
  <si>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</si>
  <si>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</si>
  <si>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</si>
  <si>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</si>
  <si>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</si>
  <si>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</si>
  <si>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</si>
  <si>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</si>
  <si>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</si>
  <si>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</si>
  <si>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</si>
  <si>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</si>
  <si>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</si>
  <si>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</si>
  <si>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</si>
  <si>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</si>
  <si>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</si>
  <si>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</si>
  <si>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</si>
  <si>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</si>
  <si>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</si>
  <si>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</si>
  <si>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</si>
  <si>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</si>
  <si>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</si>
  <si>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</si>
  <si>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</si>
  <si>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</si>
  <si>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</si>
  <si>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</si>
  <si>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</si>
  <si>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</si>
  <si>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</si>
  <si>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</si>
  <si>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</si>
  <si>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</si>
  <si>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</si>
  <si>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</si>
  <si>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</si>
  <si>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</si>
  <si>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</si>
  <si>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</si>
  <si>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</si>
  <si>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</si>
  <si>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</si>
  <si>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Instalações Elétricas - Quadros, Cabos, Disjuntores, Contatores e Barramentos Blindados</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</si>
  <si>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</si>
  <si>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</si>
  <si>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</si>
  <si>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</si>
  <si>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</si>
  <si>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</si>
  <si>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</si>
  <si>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</si>
  <si>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</si>
  <si>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</si>
  <si>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</si>
  <si>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</si>
  <si>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</si>
  <si>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</si>
  <si>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</si>
  <si>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</si>
  <si>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</si>
  <si>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</si>
  <si>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</si>
  <si>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</si>
  <si>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</si>
  <si>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</si>
  <si>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</si>
  <si>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</si>
  <si>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</si>
  <si>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</si>
  <si>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</si>
  <si>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</si>
  <si>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</si>
  <si>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</si>
  <si>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</si>
  <si>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</si>
  <si>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</si>
  <si>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</si>
  <si>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</si>
  <si>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</si>
  <si>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</si>
  <si>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</si>
  <si>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</si>
  <si>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</si>
  <si>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</si>
  <si>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</si>
  <si>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</si>
  <si>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</si>
  <si>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</si>
  <si>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</si>
  <si>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</si>
  <si>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</si>
  <si>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</si>
  <si>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</si>
  <si>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</si>
  <si>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</si>
  <si>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</si>
  <si>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</si>
  <si>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</si>
  <si>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</si>
  <si>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</si>
  <si>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</si>
  <si>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</si>
  <si>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</si>
  <si>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</si>
  <si>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Instalações Elétricas - Rede de Distribuição</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</si>
  <si>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</si>
  <si>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</si>
  <si>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</si>
  <si>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</si>
  <si>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</si>
  <si>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</si>
  <si>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</si>
  <si>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</si>
  <si>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</si>
  <si>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</si>
  <si>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</si>
  <si>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</si>
  <si>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</si>
  <si>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</si>
  <si>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</si>
  <si>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</si>
  <si>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</si>
  <si>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</si>
  <si>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</si>
  <si>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</si>
  <si>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</si>
  <si>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</si>
  <si>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</si>
  <si>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</si>
  <si>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</si>
  <si>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</si>
  <si>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</si>
  <si>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</si>
  <si>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</si>
  <si>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</si>
  <si>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</si>
  <si>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</si>
  <si>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</si>
  <si>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</si>
  <si>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</si>
  <si>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</si>
  <si>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</si>
  <si>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</si>
  <si>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</si>
  <si>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</si>
  <si>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</si>
  <si>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</si>
  <si>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</si>
  <si>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</si>
  <si>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</si>
  <si>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</si>
  <si>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</si>
  <si>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</si>
  <si>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</si>
  <si>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</si>
  <si>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</si>
  <si>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</si>
  <si>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</si>
  <si>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</si>
  <si>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</si>
  <si>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</si>
  <si>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</si>
  <si>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</si>
  <si>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</si>
  <si>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</si>
  <si>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</si>
  <si>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</si>
  <si>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</si>
  <si>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</si>
  <si>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</si>
  <si>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</si>
  <si>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</si>
  <si>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</si>
  <si>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</si>
  <si>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</si>
  <si>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</si>
  <si>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</si>
  <si>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</si>
  <si>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</si>
  <si>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</si>
  <si>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</si>
  <si>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</si>
  <si>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</si>
  <si>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</si>
  <si>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</si>
  <si>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</si>
  <si>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</si>
  <si>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</si>
  <si>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</si>
  <si>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</si>
  <si>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</si>
  <si>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</si>
  <si>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</si>
  <si>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</si>
  <si>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</si>
  <si>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</si>
  <si>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</si>
  <si>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</si>
  <si>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</si>
  <si>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</si>
  <si>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</si>
  <si>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</si>
  <si>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</si>
  <si>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</si>
  <si>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</si>
  <si>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</si>
  <si>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</si>
  <si>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</si>
  <si>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</si>
  <si>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</si>
  <si>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</si>
  <si>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</si>
  <si>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</si>
  <si>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</si>
  <si>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</si>
  <si>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</si>
  <si>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</si>
  <si>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</si>
  <si>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</si>
  <si>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</si>
  <si>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</si>
  <si>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</si>
  <si>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</si>
  <si>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</si>
  <si>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</si>
  <si>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</si>
  <si>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</si>
  <si>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</si>
  <si>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</si>
  <si>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</si>
  <si>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</si>
  <si>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</si>
  <si>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</si>
  <si>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</si>
  <si>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</si>
  <si>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</si>
  <si>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</si>
  <si>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</si>
  <si>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</si>
  <si>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</si>
  <si>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</si>
  <si>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</si>
  <si>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</si>
  <si>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</si>
  <si>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</si>
  <si>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</si>
  <si>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</si>
  <si>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</si>
  <si>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</si>
  <si>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</si>
  <si>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</si>
  <si>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</si>
  <si>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</si>
  <si>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</si>
  <si>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</si>
  <si>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</si>
  <si>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</si>
  <si>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</si>
  <si>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</si>
  <si>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</si>
  <si>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</si>
  <si>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</si>
  <si>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</si>
  <si>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</si>
  <si>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</si>
  <si>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</si>
  <si>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</si>
  <si>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25 MM,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</si>
  <si>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</si>
  <si>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</si>
  <si>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</si>
  <si>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</si>
  <si>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</si>
  <si>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</si>
  <si>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</si>
  <si>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</si>
  <si>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</si>
  <si>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</si>
  <si>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</si>
  <si>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</si>
  <si>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</si>
  <si>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</si>
  <si>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</si>
  <si>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</si>
  <si>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</si>
  <si>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</si>
  <si>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</si>
  <si>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</si>
  <si>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</si>
  <si>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</si>
  <si>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</si>
  <si>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</si>
  <si>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</si>
  <si>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</si>
  <si>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</si>
  <si>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</si>
  <si>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</si>
  <si>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</si>
  <si>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</si>
  <si>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</si>
  <si>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</si>
  <si>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</si>
  <si>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</si>
  <si>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</si>
  <si>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</si>
  <si>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</si>
  <si>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</si>
  <si>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</si>
  <si>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</si>
  <si>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</si>
  <si>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</si>
  <si>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</si>
  <si>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</si>
  <si>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</si>
  <si>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</si>
  <si>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</si>
  <si>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</si>
  <si>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</si>
  <si>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</si>
  <si>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</si>
  <si>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</si>
  <si>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</si>
  <si>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</si>
  <si>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</si>
  <si>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</si>
  <si>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</si>
  <si>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</si>
  <si>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</si>
  <si>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</si>
  <si>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</si>
  <si>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</si>
  <si>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</si>
  <si>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</si>
  <si>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</si>
  <si>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</si>
  <si>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</si>
  <si>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</si>
  <si>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</si>
  <si>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</si>
  <si>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</si>
  <si>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</si>
  <si>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</si>
  <si>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</si>
  <si>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</si>
  <si>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</si>
  <si>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</si>
  <si>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</si>
  <si>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</si>
  <si>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</si>
  <si>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</si>
  <si>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</si>
  <si>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</si>
  <si>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</si>
  <si>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</si>
  <si>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</si>
  <si>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</si>
  <si>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</si>
  <si>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</si>
  <si>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</si>
  <si>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</si>
  <si>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</si>
  <si>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</si>
  <si>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</si>
  <si>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</si>
  <si>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</si>
  <si>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</si>
  <si>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</si>
  <si>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</si>
  <si>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</si>
  <si>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</si>
  <si>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</si>
  <si>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</si>
  <si>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</si>
  <si>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</si>
  <si>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</si>
  <si>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</si>
  <si>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</si>
  <si>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</si>
  <si>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</si>
  <si>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</si>
  <si>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</si>
  <si>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</si>
  <si>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</si>
  <si>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</si>
  <si>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</si>
  <si>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</si>
  <si>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</si>
  <si>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</si>
  <si>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</si>
  <si>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</si>
  <si>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</si>
  <si>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</si>
  <si>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</si>
  <si>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</si>
  <si>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</si>
  <si>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</si>
  <si>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</si>
  <si>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</si>
  <si>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</si>
  <si>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</si>
  <si>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</si>
  <si>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</si>
  <si>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</si>
  <si>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</si>
  <si>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</si>
  <si>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</si>
  <si>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</si>
  <si>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</si>
  <si>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</si>
  <si>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</si>
  <si>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</si>
  <si>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</si>
  <si>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</si>
  <si>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</si>
  <si>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</si>
  <si>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</si>
  <si>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</si>
  <si>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</si>
  <si>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</si>
  <si>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</si>
  <si>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</si>
  <si>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</si>
  <si>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</si>
  <si>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</si>
  <si>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</si>
  <si>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</si>
  <si>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</si>
  <si>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</si>
  <si>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</si>
  <si>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</si>
  <si>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</si>
  <si>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</si>
  <si>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</si>
  <si>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</si>
  <si>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</si>
  <si>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</si>
  <si>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</si>
  <si>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</si>
  <si>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</si>
  <si>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</si>
  <si>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</si>
  <si>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</si>
  <si>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</si>
  <si>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</si>
  <si>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</si>
  <si>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</si>
  <si>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</si>
  <si>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</si>
  <si>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</si>
  <si>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</si>
  <si>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</si>
  <si>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</si>
  <si>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</si>
  <si>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</si>
  <si>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</si>
  <si>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</si>
  <si>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25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</si>
  <si>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</si>
  <si>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</si>
  <si>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</si>
  <si>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</si>
  <si>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</si>
  <si>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</si>
  <si>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</si>
  <si>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</si>
  <si>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Instalações Hidráulicas em PEX</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</si>
  <si>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</si>
  <si>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</si>
  <si>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</si>
  <si>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</si>
  <si>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</si>
  <si>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</si>
  <si>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</si>
  <si>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</si>
  <si>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</si>
  <si>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</si>
  <si>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MÓVEL, ROSCA FÊMEA, METÁLICA, PARA INSTALAÇÕES EM PEX ÁGUA, DN 16 MM X 3/4", COM ANEL DESLIZANTE.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</si>
  <si>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</si>
  <si>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</si>
  <si>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</si>
  <si>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</si>
  <si>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</si>
  <si>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</si>
  <si>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</si>
  <si>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</si>
  <si>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</si>
  <si>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</si>
  <si>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</si>
  <si>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</si>
  <si>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</si>
  <si>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</si>
  <si>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</si>
  <si>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</si>
  <si>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</si>
  <si>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</si>
  <si>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</si>
  <si>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</si>
  <si>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</si>
  <si>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</si>
  <si>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25MM X 1/2", CONEXÃO POR CRIMPAGEM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</si>
  <si>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</si>
  <si>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</si>
  <si>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</si>
  <si>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</si>
  <si>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</si>
  <si>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</si>
  <si>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</si>
  <si>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</si>
  <si>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</si>
  <si>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</si>
  <si>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</si>
  <si>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</si>
  <si>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</si>
  <si>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</si>
  <si>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</si>
  <si>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</si>
  <si>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</si>
  <si>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</si>
  <si>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</si>
  <si>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</si>
  <si>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</si>
  <si>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</si>
  <si>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</si>
  <si>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</si>
  <si>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</si>
  <si>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</si>
  <si>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</si>
  <si>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</si>
  <si>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</si>
  <si>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</si>
  <si>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</si>
  <si>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</si>
  <si>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</si>
  <si>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</si>
  <si>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</si>
  <si>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</si>
  <si>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</si>
  <si>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</si>
  <si>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</si>
  <si>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</si>
  <si>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</si>
  <si>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</si>
  <si>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</si>
  <si>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</si>
  <si>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</si>
  <si>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</si>
  <si>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</si>
  <si>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</si>
  <si>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</si>
  <si>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</si>
  <si>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</si>
  <si>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</si>
  <si>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</si>
  <si>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</si>
  <si>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 CLASSE PN 25, INSTALADO EM RAMAL DE DISTRIBUIÇÃO DE ÁGUA   FORNECIMENTO E INSTALAÇÃO. AF_08/2022</t>
  </si>
  <si>
    <t>CONECTOR FÊMEA, PPR, 25 X 1/2  , CLASSE PN 25, INSTALADO EM RAMAL OU SUB-RAMAL DE ÁGUA   FORNECIMENTO E INSTALAÇÃO. AF_08/2022</t>
  </si>
  <si>
    <t>CONECTOR FÊMEA, PPR, 25 X 1/2", CLASSE PN 25, INSTALADO EM PRUMADA DE ÁGUA   FORNECIMENTO E INSTALAÇÃO . AF_08/2022</t>
  </si>
  <si>
    <t>CONECTOR FÊMEA, PPR, 32 X 3/4", CLASSE PN 25, INSTALADO EM RAMAL DE DISTRIBUIÇÃO DE ÁGUA   FORNECIMENTO E INSTALAÇÃO. AF_08/2022</t>
  </si>
  <si>
    <t>CONECTOR MACHO, PPR, 25 X 1/2  , CLASSE PN 25, INSTALADO EM RAMAL OU SUB-RAMAL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</si>
  <si>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</si>
  <si>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</si>
  <si>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</si>
  <si>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</si>
  <si>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</si>
  <si>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</si>
  <si>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</si>
  <si>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</si>
  <si>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</si>
  <si>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</si>
  <si>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</si>
  <si>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</si>
  <si>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</si>
  <si>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</si>
  <si>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</si>
  <si>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</si>
  <si>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</si>
  <si>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</si>
  <si>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</si>
  <si>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</si>
  <si>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</si>
  <si>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</si>
  <si>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</si>
  <si>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</si>
  <si>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</si>
  <si>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</si>
  <si>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</si>
  <si>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</si>
  <si>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</si>
  <si>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</si>
  <si>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</si>
  <si>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</si>
  <si>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</si>
  <si>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</si>
  <si>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</si>
  <si>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</si>
  <si>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</si>
  <si>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</si>
  <si>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</si>
  <si>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</si>
  <si>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</si>
  <si>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</si>
  <si>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</si>
  <si>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</si>
  <si>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</si>
  <si>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</si>
  <si>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</si>
  <si>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</si>
  <si>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</si>
  <si>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</si>
  <si>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</si>
  <si>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</si>
  <si>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</si>
  <si>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</si>
  <si>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</si>
  <si>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</si>
  <si>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</si>
  <si>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</si>
  <si>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</si>
  <si>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</si>
  <si>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</si>
  <si>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</si>
  <si>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</si>
  <si>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</si>
  <si>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</si>
  <si>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</si>
  <si>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</si>
  <si>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</si>
  <si>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</si>
  <si>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</si>
  <si>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</si>
  <si>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</si>
  <si>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</si>
  <si>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</si>
  <si>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</si>
  <si>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</si>
  <si>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</si>
  <si>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</si>
  <si>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</si>
  <si>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</si>
  <si>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</si>
  <si>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</si>
  <si>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</si>
  <si>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</si>
  <si>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</si>
  <si>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</si>
  <si>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</si>
  <si>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</si>
  <si>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</si>
  <si>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</si>
  <si>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</si>
  <si>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</si>
  <si>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</si>
  <si>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</si>
  <si>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Instalações Prediais de Esgoto - Tubos e Conexões</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</si>
  <si>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</si>
  <si>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</si>
  <si>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</si>
  <si>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</si>
  <si>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</si>
  <si>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</si>
  <si>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</si>
  <si>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</si>
  <si>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</si>
  <si>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</si>
  <si>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</si>
  <si>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</si>
  <si>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</si>
  <si>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</si>
  <si>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</si>
  <si>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</si>
  <si>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</si>
  <si>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</si>
  <si>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</si>
  <si>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</si>
  <si>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</si>
  <si>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</si>
  <si>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</si>
  <si>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</si>
  <si>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</si>
  <si>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</si>
  <si>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</si>
  <si>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</si>
  <si>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</si>
  <si>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</si>
  <si>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</si>
  <si>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</si>
  <si>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</si>
  <si>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</si>
  <si>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</si>
  <si>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</si>
  <si>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</si>
  <si>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</si>
  <si>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</si>
  <si>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</si>
  <si>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</si>
  <si>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</si>
  <si>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</si>
  <si>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</si>
  <si>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</si>
  <si>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</si>
  <si>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</si>
  <si>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</si>
  <si>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</si>
  <si>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</si>
  <si>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</si>
  <si>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</si>
  <si>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</si>
  <si>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</si>
  <si>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</si>
  <si>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</si>
  <si>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</si>
  <si>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</si>
  <si>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</si>
  <si>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</si>
  <si>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</si>
  <si>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</si>
  <si>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</si>
  <si>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</si>
  <si>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</si>
  <si>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</si>
  <si>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</si>
  <si>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</si>
  <si>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</si>
  <si>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</si>
  <si>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</si>
  <si>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</si>
  <si>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</si>
  <si>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</si>
  <si>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</si>
  <si>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</si>
  <si>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</si>
  <si>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</si>
  <si>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</si>
  <si>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</si>
  <si>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</si>
  <si>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</si>
  <si>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</si>
  <si>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</si>
  <si>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</si>
  <si>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</si>
  <si>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</si>
  <si>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</si>
  <si>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</si>
  <si>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</si>
  <si>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Instalações Prediais de Água Fria em PVC</t>
  </si>
  <si>
    <t>ADAPTADOR CURTO COM BOLSA E ROSCA PARA REGISTRO, PVC, SOLDÁVEL, DN 20MM X 1/2 , INSTALADO EM RAMAL OU SUB-RAMAL DE ÁGUA - FORNECIMENTO E INSTALAÇÃO. AF_06/2022</t>
  </si>
  <si>
    <t>ADAPTADOR CURTO COM BOLSA E ROSCA PARA REGISTRO, PVC, SOLDÁVEL, DN 25MM X 3/4 , INSTALADO EM RAMAL DE DISTRIBUIÇÃO DE ÁGUA - FORNECIMENTO E INSTALAÇÃO. AF_06/2022</t>
  </si>
  <si>
    <t>ADAPTADOR CURTO COM BOLSA E ROSCA PARA REGISTRO, PVC, SOLDÁVEL, DN 25MM X 3/4 , INSTALADO EM RAMAL OU SUB-RAMAL DE ÁGUA - FORNECIMENTO E INSTALAÇÃO. AF_06/2022</t>
  </si>
  <si>
    <t>ADAPTADOR CURTO COM BOLSA E ROSCA PARA REGISTRO, PVC, SOLDÁVEL, DN 32MM X 1 , INSTALADO EM PRUMADA DE ÁGUA - FORNECIMENTO E INSTALAÇÃO. AF_06/2022</t>
  </si>
  <si>
    <t>ADAPTADOR CURTO COM BOLSA E ROSCA PARA REGISTRO, PVC, SOLDÁVEL, DN 32MM X 1 , INSTALADO EM RAMAL DE DISTRIBUIÇÃO DE ÁGUA - FORNECIMENTO E INSTALAÇÃO. AF_06/2022</t>
  </si>
  <si>
    <t>ADAPTADOR CURTO COM BOLSA E ROSCA PARA REGISTRO, PVC, SOLDÁVEL, DN 32MM X 1 , INSTALADO EM RAMAL OU SUB-RAMAL DE ÁGUA - FORNECIMENTO E INSTALAÇÃO. AF_06/2022</t>
  </si>
  <si>
    <t>ADAPTADOR CURTO COM BOLSA E ROSCA PARA REGISTRO, PVC, SOLDÁVEL, DN 40MM X 1.1/2 , INSTALADO EM PRUMADA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</si>
  <si>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</si>
  <si>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1.1/4 ,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</si>
  <si>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</si>
  <si>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</si>
  <si>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</si>
  <si>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</si>
  <si>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</si>
  <si>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60MM X 2 ,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</si>
  <si>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</si>
  <si>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 INSTALADO EM PRUMADA DE ÁGUA - FORNECIMENTO E INSTALAÇÃO. AF_06/2022</t>
  </si>
  <si>
    <t>BUCHA DE REDUÇÃO , LONGA, PVC, SOLDÁVEL, DN 50 X 32 MM, INSTALADO EM PRUMADA DE ÁGUA - FORNECIMENTO E INSTALAÇÃO. AF_06/2022</t>
  </si>
  <si>
    <t>BUCHA DE REDUÇÃO , LONGA, PVC, SOLDÁVEL, DN 50 X 32 MM, INSTALADO EM RAMAL DE DISTRIBUIÇÃO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</si>
  <si>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</si>
  <si>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</si>
  <si>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</si>
  <si>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</si>
  <si>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</si>
  <si>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</si>
  <si>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</si>
  <si>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</si>
  <si>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</si>
  <si>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</si>
  <si>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</si>
  <si>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</si>
  <si>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</si>
  <si>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</si>
  <si>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</si>
  <si>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</si>
  <si>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</si>
  <si>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</si>
  <si>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</si>
  <si>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</si>
  <si>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</si>
  <si>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</si>
  <si>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</si>
  <si>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</si>
  <si>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</si>
  <si>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</si>
  <si>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</si>
  <si>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</si>
  <si>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</si>
  <si>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</si>
  <si>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</si>
  <si>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</si>
  <si>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</si>
  <si>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</si>
  <si>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</si>
  <si>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</si>
  <si>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</si>
  <si>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</si>
  <si>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</si>
  <si>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</si>
  <si>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</si>
  <si>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</si>
  <si>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</si>
  <si>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</si>
  <si>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</si>
  <si>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</si>
  <si>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</si>
  <si>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</si>
  <si>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</si>
  <si>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</si>
  <si>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</si>
  <si>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</si>
  <si>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</si>
  <si>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</si>
  <si>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</si>
  <si>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</si>
  <si>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</si>
  <si>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</si>
  <si>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</si>
  <si>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</si>
  <si>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</si>
  <si>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</si>
  <si>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</si>
  <si>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</si>
  <si>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</si>
  <si>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</si>
  <si>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</si>
  <si>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</si>
  <si>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</si>
  <si>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</si>
  <si>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</si>
  <si>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</si>
  <si>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</si>
  <si>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</si>
  <si>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</si>
  <si>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</si>
  <si>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</si>
  <si>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</si>
  <si>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</si>
  <si>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</si>
  <si>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</si>
  <si>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</si>
  <si>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</si>
  <si>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</si>
  <si>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</si>
  <si>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</si>
  <si>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</si>
  <si>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</si>
  <si>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</si>
  <si>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</si>
  <si>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</si>
  <si>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</si>
  <si>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</si>
  <si>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</si>
  <si>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</si>
  <si>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</si>
  <si>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</si>
  <si>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 INSTALADO EM RAMAL DE DISTRIBUIÇÃO DE ÁGUA - FORNECIMENTO E INSTALAÇÃO. AF_06/2022</t>
  </si>
  <si>
    <t>LUVA COM BUCHA DE LATÃO, PVC, SOLDÁVEL, DN 25MM X 3/4 , INSTALADO EM RAMAL OU SUB-RAMAL DE ÁGUA - FORNECIMENTO E INSTALAÇÃO. AF_06/2022</t>
  </si>
  <si>
    <t>LUVA COM BUCHA DE LATÃO, PVC, SOLDÁVEL, DN 32MM X 1 , INSTALADO EM RAMAL DE DISTRIBUIÇÃO DE ÁGUA   FORNECIMENTO E INSTALAÇÃO. AF_06/2022</t>
  </si>
  <si>
    <t>LUVA COM BUCHA DE LATÃO, PVC, SOLDÁVEL, DN 32MM X 1 , INSTALADO EM RAMAL OU SUB-RAMAL DE ÁGUA   FORNECIMENTO E INSTALAÇÃO. AF_06/2022</t>
  </si>
  <si>
    <t>LUVA COM ROSCA, PVC, SOLDÁVEL, DN 40MM X 1.1/4 , INSTALADO EM PRUMADA DE ÁGUA - FORNECIMENTO E INSTALAÇÃO. AF_06/2022</t>
  </si>
  <si>
    <t>LUVA COM ROSCA, PVC, SOLDÁVEL, DN 40MM X 1.1/4", INSTALADO EM RAMAL DE DISTRIBUIÇÃO DE ÁGUA - FORNECIMENTO E INSTALAÇÃO. AF_06/2022</t>
  </si>
  <si>
    <t>LUVA COM ROSCA, PVC, SOLDÁVEL, DN 50MM X 1.1/2 , INSTALADO EM PRUMADA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</si>
  <si>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</si>
  <si>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</si>
  <si>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</si>
  <si>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</si>
  <si>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</si>
  <si>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</si>
  <si>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</si>
  <si>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</si>
  <si>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</si>
  <si>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</si>
  <si>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</si>
  <si>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</si>
  <si>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</si>
  <si>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</si>
  <si>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</si>
  <si>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</si>
  <si>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</si>
  <si>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</si>
  <si>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</si>
  <si>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</si>
  <si>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</si>
  <si>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</si>
  <si>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</si>
  <si>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</si>
  <si>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 INSTALADO EM PRUMADA DE ÁGUA   FORNECIMENTO E INSTALAÇÃO. AF_06/2022</t>
  </si>
  <si>
    <t>LUVA SOLDÁVEL E COM ROSCA, PVC, SOLDÁVEL, DN 25MM X 3/4 , INSTALADO EM RAMAL OU SUB-RAMAL DE ÁGUA - FORNECIMENTO E INSTALAÇÃO. AF_06/2022</t>
  </si>
  <si>
    <t>LUVA SOLDÁVEL E COM ROSCA, PVC, SOLDÁVEL, DN 32MM X 1 , INSTALADO EM PRUMADA DE ÁGUA - FORNECIMENTO E INSTALAÇÃO. AF_06/2022</t>
  </si>
  <si>
    <t>LUVA SOLDÁVEL E COM ROSCA, PVC, SOLDÁVEL, DN 32MM X 1 , INSTALADO EM RAMAL DE DISTRIBUIÇÃO DE ÁGUA - FORNECIMENTO E INSTALAÇÃO. AF_06/2022</t>
  </si>
  <si>
    <t>LUVA SOLDÁVEL E COM ROSCA, PVC, SOLDÁVEL, DN 32MM X 1 ,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</si>
  <si>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</si>
  <si>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</si>
  <si>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</si>
  <si>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</si>
  <si>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</si>
  <si>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</si>
  <si>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</si>
  <si>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</si>
  <si>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</si>
  <si>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</si>
  <si>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</si>
  <si>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</si>
  <si>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</si>
  <si>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</si>
  <si>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</si>
  <si>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</si>
  <si>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</si>
  <si>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</si>
  <si>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</si>
  <si>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</si>
  <si>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</si>
  <si>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</si>
  <si>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</si>
  <si>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</si>
  <si>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</si>
  <si>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</si>
  <si>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</si>
  <si>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</si>
  <si>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</si>
  <si>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</si>
  <si>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</si>
  <si>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</si>
  <si>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</si>
  <si>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</si>
  <si>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</si>
  <si>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</si>
  <si>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</si>
  <si>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</si>
  <si>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</si>
  <si>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</si>
  <si>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</si>
  <si>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</si>
  <si>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</si>
  <si>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</si>
  <si>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</si>
  <si>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</si>
  <si>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</si>
  <si>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</si>
  <si>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</si>
  <si>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</si>
  <si>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</si>
  <si>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 INSTALADO EM RAMAL OU SUB-RAMAL DE ÁGUA - FORNECIMENTO E INSTALAÇÃO. AF_06/2022</t>
  </si>
  <si>
    <t>TÊ COM BUCHA DE LATÃO NA BOLSA CENTRAL, PVC, SOLDÁVEL, DN 25MM X 1/2 , INSTALADO EM RAMAL OU SUB-RAMAL DE ÁGUA - FORNECIMENTO E INSTALAÇÃO. AF_06/2022</t>
  </si>
  <si>
    <t>TÊ COM BUCHA DE LATÃO NA BOLSA CENTRAL, PVC, SOLDÁVEL, DN 25MM X 3/4 , INSTALADO EM RAMAL OU SUB-RAMAL DE ÁGUA - FORNECIMENTO E INSTALAÇÃO. AF_06/2022</t>
  </si>
  <si>
    <t>TÊ COM BUCHA DE LATÃO NA BOLSA CENTRAL, PVC, SOLDÁVEL, DN 32MM X 3/4 , INSTALADO EM RAMAL DE DISTRIBUIÇÃO DE ÁGUA - FORNECIMENTO E INSTALAÇÃO. AF_06/2022</t>
  </si>
  <si>
    <t>TÊ COM BUCHA DE LATÃO NA BOLSA CENTRAL, PVC, SOLDÁVEL, DN 32MM X 3/4 ,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</si>
  <si>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</si>
  <si>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</si>
  <si>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</si>
  <si>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</si>
  <si>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</si>
  <si>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</si>
  <si>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</si>
  <si>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</si>
  <si>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</si>
  <si>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</si>
  <si>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</si>
  <si>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</si>
  <si>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</si>
  <si>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</si>
  <si>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</si>
  <si>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</si>
  <si>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</si>
  <si>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</si>
  <si>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</si>
  <si>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</si>
  <si>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</si>
  <si>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</si>
  <si>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</si>
  <si>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</si>
  <si>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</si>
  <si>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</si>
  <si>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</si>
  <si>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</si>
  <si>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</si>
  <si>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</si>
  <si>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</si>
  <si>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</si>
  <si>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</si>
  <si>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</si>
  <si>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</si>
  <si>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</si>
  <si>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</si>
  <si>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 INSTALADO EM RAMAL OU SUB-RAMAL DE ÁGUA   FORNECIMENTO E INSTALAÇÃO. AF_06/2022</t>
  </si>
  <si>
    <t>CONECTOR, CPVC, SOLDÁVEL, DN 22MM X 1/2 , INSTALADO EM RAMAL OU SUB-RAMAL DE ÁGUA   FORNECIMENTO E INSTALAÇÃO. AF_06/2022</t>
  </si>
  <si>
    <t>CONECTOR, CPVC, SOLDÁVEL, DN 28MM X 1 , INSTALADO EM RAMAL DE DISTRIBUIÇÃO DE ÁGUA   FORNECIMENTO E INSTALAÇÃO. AF_06/2022</t>
  </si>
  <si>
    <t>CONECTOR, CPVC, SOLDÁVEL, DN 28MM X 1 , INSTALADO EM RAMAL OU SUB-RAMAL DE ÁGUA   FORNECIMENTO E INSTALAÇÃO. AF_06/2022</t>
  </si>
  <si>
    <t>CONECTOR, CPVC, SOLDÁVEL, DN 35MM X 1 1/4 , INSTALADO EM PRUMADA DE ÁGUA   FORNECIMENTO E INSTALAÇÃO. AF_06/2022</t>
  </si>
  <si>
    <t>CONECTOR, CPVC, SOLDÁVEL, DN 35MM X 1 1/4 , INSTALADO EM RAMAL DE DISTRIBUIÇÃO DE ÁGUA - FORNECIMENTO E INSTALAÇÃO. AF_06/2022</t>
  </si>
  <si>
    <t>CONECTOR, CPVC, SOLDÁVEL, DN 35MM X 1 1/4 , INSTALADO EM RAMAL OU SUB-RAMAL DE ÁGUA   FORNECIMENTO E INSTALAÇÃO. AF_06/2022</t>
  </si>
  <si>
    <t>CONECTOR, CPVC, SOLDÁVEL, DN 42MM X 1.1/2 , INSTALADO EM PRUMADA DE ÁGUA   FORNECIMENTO E INSTALAÇÃO. AF_06/2022</t>
  </si>
  <si>
    <t>CONECTOR, CPVC, SOLDÁVEL, DN 42MM X 1.1/2", INSTALADO EM RAMAL DE DISTRIBUIÇÃO DE ÁGUA -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</si>
  <si>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</si>
  <si>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</si>
  <si>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</si>
  <si>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</si>
  <si>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</si>
  <si>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</si>
  <si>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</si>
  <si>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</si>
  <si>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</si>
  <si>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</si>
  <si>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</si>
  <si>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</si>
  <si>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</si>
  <si>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</si>
  <si>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</si>
  <si>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</si>
  <si>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</si>
  <si>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</si>
  <si>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</si>
  <si>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</si>
  <si>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</si>
  <si>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</si>
  <si>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</si>
  <si>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</si>
  <si>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</si>
  <si>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</si>
  <si>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</si>
  <si>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</si>
  <si>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</si>
  <si>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</si>
  <si>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</si>
  <si>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</si>
  <si>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</si>
  <si>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</si>
  <si>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</si>
  <si>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</si>
  <si>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</si>
  <si>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</si>
  <si>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</si>
  <si>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</si>
  <si>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</si>
  <si>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</si>
  <si>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</si>
  <si>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</si>
  <si>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</si>
  <si>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</si>
  <si>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</si>
  <si>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</si>
  <si>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</si>
  <si>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</si>
  <si>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</si>
  <si>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</si>
  <si>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 INSTALADO EM PRUMADA DE ÁGUA   FORNECIMENTO E INSTALAÇÃO. AF_06/2022</t>
  </si>
  <si>
    <t>LUVA DE TRANSIÇÃO, CPVC, SOLDÁVEL, DN42MM X 1.1/2", INSTALADO EM RAMAL DE DISTRIBUIÇÃO DE ÁGUA -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</si>
  <si>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</si>
  <si>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</si>
  <si>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</si>
  <si>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</si>
  <si>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</si>
  <si>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</si>
  <si>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</si>
  <si>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</si>
  <si>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</si>
  <si>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</si>
  <si>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</si>
  <si>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</si>
  <si>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</si>
  <si>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</si>
  <si>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</si>
  <si>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</si>
  <si>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</si>
  <si>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</si>
  <si>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</si>
  <si>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</si>
  <si>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 INSTALADO EM RAMAL OU SUB-RAMAL DE ÁGUA   FORNECIMENTO E INSTALAÇÃO. AF_06/2022</t>
  </si>
  <si>
    <t>TE DE TRANSIÇÃO, CPVC, SOLDÁVEL, DN 22MM X 1/2 , INSTALADO EM RAMAL OU SUB-RAMAL DE ÁGUA   FORNECIMENTO E INSTALAÇÃO. AF_06/2022</t>
  </si>
  <si>
    <t>TE MISTURADOR DE TRANSIÇÃO, CPVC, SOLDÁVEL, DN 22MM X 3/4",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</si>
  <si>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</si>
  <si>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</si>
  <si>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</si>
  <si>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</si>
  <si>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</si>
  <si>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</si>
  <si>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</si>
  <si>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</si>
  <si>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</si>
  <si>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</si>
  <si>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</si>
  <si>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</si>
  <si>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</si>
  <si>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</si>
  <si>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</si>
  <si>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</si>
  <si>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</si>
  <si>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</si>
  <si>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</si>
  <si>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</si>
  <si>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</si>
  <si>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</si>
  <si>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</si>
  <si>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</si>
  <si>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</si>
  <si>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</si>
  <si>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</si>
  <si>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</si>
  <si>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</si>
  <si>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</si>
  <si>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</si>
  <si>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</si>
  <si>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</si>
  <si>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</si>
  <si>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</si>
  <si>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</si>
  <si>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</si>
  <si>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</si>
  <si>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</si>
  <si>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</si>
  <si>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</si>
  <si>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</si>
  <si>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</si>
  <si>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</si>
  <si>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</si>
  <si>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</si>
  <si>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</si>
  <si>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</si>
  <si>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</si>
  <si>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</si>
  <si>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</si>
  <si>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</si>
  <si>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</si>
  <si>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</si>
  <si>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</si>
  <si>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</si>
  <si>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</si>
  <si>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</si>
  <si>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</si>
  <si>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</si>
  <si>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</si>
  <si>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</si>
  <si>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</si>
  <si>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</si>
  <si>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</si>
  <si>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</si>
  <si>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</si>
  <si>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</si>
  <si>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</si>
  <si>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</si>
  <si>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</si>
  <si>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</si>
  <si>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</si>
  <si>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</si>
  <si>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</si>
  <si>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</si>
  <si>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</si>
  <si>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</si>
  <si>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</si>
  <si>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</si>
  <si>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</si>
  <si>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</si>
  <si>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</si>
  <si>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</si>
  <si>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</si>
  <si>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</si>
  <si>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</si>
  <si>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</si>
  <si>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</si>
  <si>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</si>
  <si>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</si>
  <si>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</si>
  <si>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</si>
  <si>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</si>
  <si>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</si>
  <si>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</si>
  <si>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</si>
  <si>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</si>
  <si>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</si>
  <si>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</si>
  <si>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</si>
  <si>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</si>
  <si>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</si>
  <si>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</si>
  <si>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</si>
  <si>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</si>
  <si>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</si>
  <si>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</si>
  <si>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</si>
  <si>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</si>
  <si>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</si>
  <si>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</si>
  <si>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</si>
  <si>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</si>
  <si>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</si>
  <si>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</si>
  <si>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</si>
  <si>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</si>
  <si>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</si>
  <si>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</si>
  <si>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</si>
  <si>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</si>
  <si>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</si>
  <si>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</si>
  <si>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</si>
  <si>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</si>
  <si>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</si>
  <si>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</si>
  <si>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</si>
  <si>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Instalações de Divisórias Diversas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</si>
  <si>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</si>
  <si>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</si>
  <si>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</si>
  <si>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FIXA EM VIDRO TEMPERADO 10 MM, SEM ABERTURA. AF_01/2021_PS</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</si>
  <si>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</si>
  <si>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</si>
  <si>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</si>
  <si>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Instalações de Gás e Incêndio em Aço e Ferro Galvanizado</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</si>
  <si>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</si>
  <si>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</si>
  <si>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</si>
  <si>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</si>
  <si>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</si>
  <si>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</si>
  <si>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</si>
  <si>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</si>
  <si>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</si>
  <si>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</si>
  <si>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</si>
  <si>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</si>
  <si>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</si>
  <si>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</si>
  <si>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</si>
  <si>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</si>
  <si>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</si>
  <si>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</si>
  <si>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</si>
  <si>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</si>
  <si>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</si>
  <si>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</si>
  <si>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</si>
  <si>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</si>
  <si>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</si>
  <si>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</si>
  <si>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</si>
  <si>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</si>
  <si>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</si>
  <si>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</si>
  <si>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</si>
  <si>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</si>
  <si>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</si>
  <si>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</si>
  <si>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</si>
  <si>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</si>
  <si>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</si>
  <si>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</si>
  <si>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</si>
  <si>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</si>
  <si>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</si>
  <si>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</si>
  <si>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</si>
  <si>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</si>
  <si>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</si>
  <si>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</si>
  <si>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</si>
  <si>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</si>
  <si>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</si>
  <si>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</si>
  <si>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</si>
  <si>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</si>
  <si>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</si>
  <si>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</si>
  <si>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</si>
  <si>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</si>
  <si>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</si>
  <si>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</si>
  <si>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</si>
  <si>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</si>
  <si>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</si>
  <si>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</si>
  <si>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</si>
  <si>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</si>
  <si>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</si>
  <si>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</si>
  <si>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</si>
  <si>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</si>
  <si>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</si>
  <si>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</si>
  <si>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</si>
  <si>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</si>
  <si>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</si>
  <si>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</si>
  <si>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</si>
  <si>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</si>
  <si>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</si>
  <si>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</si>
  <si>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</si>
  <si>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</si>
  <si>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</si>
  <si>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</si>
  <si>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</si>
  <si>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</si>
  <si>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</si>
  <si>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</si>
  <si>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</si>
  <si>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</si>
  <si>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</si>
  <si>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</si>
  <si>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</si>
  <si>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</si>
  <si>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</si>
  <si>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</si>
  <si>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</si>
  <si>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</si>
  <si>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</si>
  <si>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</si>
  <si>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</si>
  <si>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</si>
  <si>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</si>
  <si>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</si>
  <si>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</si>
  <si>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</si>
  <si>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</si>
  <si>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</si>
  <si>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</si>
  <si>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</si>
  <si>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</si>
  <si>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</si>
  <si>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</si>
  <si>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</si>
  <si>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</si>
  <si>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</si>
  <si>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</si>
  <si>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</si>
  <si>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</si>
  <si>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</si>
  <si>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</si>
  <si>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</si>
  <si>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</si>
  <si>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</si>
  <si>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</si>
  <si>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</si>
  <si>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</si>
  <si>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</si>
  <si>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</si>
  <si>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</si>
  <si>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</si>
  <si>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</si>
  <si>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</si>
  <si>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</si>
  <si>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</si>
  <si>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</si>
  <si>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</si>
  <si>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</si>
  <si>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</si>
  <si>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</si>
  <si>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</si>
  <si>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</si>
  <si>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</si>
  <si>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</si>
  <si>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</si>
  <si>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</si>
  <si>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</si>
  <si>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</si>
  <si>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</si>
  <si>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</si>
  <si>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</si>
  <si>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</si>
  <si>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</si>
  <si>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</si>
  <si>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</si>
  <si>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</si>
  <si>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</si>
  <si>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</si>
  <si>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</si>
  <si>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</si>
  <si>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</si>
  <si>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</si>
  <si>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</si>
  <si>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</si>
  <si>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</si>
  <si>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</si>
  <si>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</si>
  <si>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</si>
  <si>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</si>
  <si>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</si>
  <si>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</si>
  <si>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</si>
  <si>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</si>
  <si>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</si>
  <si>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</si>
  <si>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</si>
  <si>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</si>
  <si>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</si>
  <si>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</si>
  <si>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</si>
  <si>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</si>
  <si>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</si>
  <si>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</si>
  <si>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</si>
  <si>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</si>
  <si>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</si>
  <si>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</si>
  <si>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</si>
  <si>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</si>
  <si>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</si>
  <si>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</si>
  <si>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</si>
  <si>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</si>
  <si>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</si>
  <si>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</si>
  <si>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</si>
  <si>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</si>
  <si>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</si>
  <si>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</si>
  <si>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</si>
  <si>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</si>
  <si>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</si>
  <si>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</si>
  <si>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</si>
  <si>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</si>
  <si>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</si>
  <si>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</si>
  <si>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</si>
  <si>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</si>
  <si>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</si>
  <si>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</si>
  <si>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</si>
  <si>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</si>
  <si>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</si>
  <si>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</si>
  <si>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</si>
  <si>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</si>
  <si>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</si>
  <si>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</si>
  <si>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</si>
  <si>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</si>
  <si>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</si>
  <si>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</si>
  <si>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</si>
  <si>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</si>
  <si>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</si>
  <si>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</si>
  <si>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</si>
  <si>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</si>
  <si>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</si>
  <si>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</si>
  <si>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</si>
  <si>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</si>
  <si>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</si>
  <si>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</si>
  <si>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</si>
  <si>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</si>
  <si>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</si>
  <si>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</si>
  <si>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</si>
  <si>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</si>
  <si>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</si>
  <si>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</si>
  <si>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</si>
  <si>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</si>
  <si>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</si>
  <si>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</si>
  <si>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</si>
  <si>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</si>
  <si>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</si>
  <si>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</si>
  <si>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</si>
  <si>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</si>
  <si>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</si>
  <si>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</si>
  <si>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</si>
  <si>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</si>
  <si>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</si>
  <si>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</si>
  <si>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</si>
  <si>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</si>
  <si>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</si>
  <si>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</si>
  <si>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</si>
  <si>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</si>
  <si>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</si>
  <si>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</si>
  <si>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</si>
  <si>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</si>
  <si>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</si>
  <si>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</si>
  <si>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</si>
  <si>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</si>
  <si>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</si>
  <si>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</si>
  <si>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</si>
  <si>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</si>
  <si>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</si>
  <si>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</si>
  <si>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</si>
  <si>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</si>
  <si>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</si>
  <si>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</si>
  <si>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</si>
  <si>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</si>
  <si>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</si>
  <si>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</si>
  <si>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</si>
  <si>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</si>
  <si>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</si>
  <si>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</si>
  <si>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</si>
  <si>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</si>
  <si>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</si>
  <si>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</si>
  <si>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</si>
  <si>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</si>
  <si>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</si>
  <si>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</si>
  <si>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</si>
  <si>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</si>
  <si>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</si>
  <si>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</si>
  <si>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</si>
  <si>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</si>
  <si>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</si>
  <si>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</si>
  <si>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</si>
  <si>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</si>
  <si>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</si>
  <si>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</si>
  <si>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</si>
  <si>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</si>
  <si>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</si>
  <si>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</si>
  <si>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</si>
  <si>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</si>
  <si>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</si>
  <si>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</si>
  <si>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</si>
  <si>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</si>
  <si>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Instalações de Gás em PEX Multicamadas</t>
  </si>
  <si>
    <t>KIT CAVALETE PARA GÁS - SEM MEDIDOR OU REGULADOR - ENTRADA INDIVIDUAL PRINCIPAL, EM AÇO GALVANIZADO DN 15 E 25 MM (1/2" E 1")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</si>
  <si>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</si>
  <si>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</si>
  <si>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</si>
  <si>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</si>
  <si>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</si>
  <si>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</si>
  <si>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</si>
  <si>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</si>
  <si>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</si>
  <si>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</si>
  <si>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</si>
  <si>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</si>
  <si>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</si>
  <si>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</si>
  <si>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</si>
  <si>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</si>
  <si>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Instalações de ar condicionado</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</si>
  <si>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</si>
  <si>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</si>
  <si>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</si>
  <si>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</si>
  <si>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</si>
  <si>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</si>
  <si>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</si>
  <si>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</si>
  <si>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</si>
  <si>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</si>
  <si>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</si>
  <si>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</si>
  <si>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</si>
  <si>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</si>
  <si>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</si>
  <si>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</si>
  <si>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</si>
  <si>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</si>
  <si>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</si>
  <si>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</si>
  <si>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</si>
  <si>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</si>
  <si>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</si>
  <si>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</si>
  <si>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</si>
  <si>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</si>
  <si>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</si>
  <si>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</si>
  <si>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</si>
  <si>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</si>
  <si>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</si>
  <si>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</si>
  <si>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</si>
  <si>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</si>
  <si>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</si>
  <si>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</si>
  <si>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</si>
  <si>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</si>
  <si>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</si>
  <si>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</si>
  <si>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</si>
  <si>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</si>
  <si>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</si>
  <si>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</si>
  <si>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</si>
  <si>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</si>
  <si>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</si>
  <si>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</si>
  <si>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</si>
  <si>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Instalações em Cobre</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</si>
  <si>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</si>
  <si>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</si>
  <si>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</si>
  <si>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</si>
  <si>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</si>
  <si>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</si>
  <si>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</si>
  <si>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</si>
  <si>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</si>
  <si>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</si>
  <si>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</si>
  <si>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</si>
  <si>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</si>
  <si>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</si>
  <si>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</si>
  <si>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</si>
  <si>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</si>
  <si>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</si>
  <si>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</si>
  <si>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</si>
  <si>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</si>
  <si>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</si>
  <si>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</si>
  <si>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</si>
  <si>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</si>
  <si>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</si>
  <si>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</si>
  <si>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</si>
  <si>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</si>
  <si>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</si>
  <si>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</si>
  <si>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</si>
  <si>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</si>
  <si>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</si>
  <si>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</si>
  <si>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</si>
  <si>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</si>
  <si>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</si>
  <si>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</si>
  <si>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</si>
  <si>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</si>
  <si>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</si>
  <si>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</si>
  <si>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</si>
  <si>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</si>
  <si>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</si>
  <si>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</si>
  <si>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</si>
  <si>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</si>
  <si>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</si>
  <si>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</si>
  <si>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</si>
  <si>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</si>
  <si>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</si>
  <si>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</si>
  <si>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</si>
  <si>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</si>
  <si>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</si>
  <si>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</si>
  <si>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</si>
  <si>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</si>
  <si>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</si>
  <si>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</si>
  <si>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</si>
  <si>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</si>
  <si>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</si>
  <si>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</si>
  <si>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</si>
  <si>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</si>
  <si>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</si>
  <si>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</si>
  <si>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</si>
  <si>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</si>
  <si>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</si>
  <si>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</si>
  <si>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</si>
  <si>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</si>
  <si>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</si>
  <si>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</si>
  <si>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</si>
  <si>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</si>
  <si>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</si>
  <si>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</si>
  <si>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</si>
  <si>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</si>
  <si>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</si>
  <si>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</si>
  <si>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</si>
  <si>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</si>
  <si>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</si>
  <si>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</si>
  <si>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</si>
  <si>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</si>
  <si>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</si>
  <si>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</si>
  <si>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</si>
  <si>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</si>
  <si>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</si>
  <si>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</si>
  <si>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</si>
  <si>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</si>
  <si>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</si>
  <si>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</si>
  <si>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</si>
  <si>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</si>
  <si>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</si>
  <si>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</si>
  <si>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</si>
  <si>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</si>
  <si>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</si>
  <si>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</si>
  <si>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</si>
  <si>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</si>
  <si>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</si>
  <si>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</si>
  <si>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</si>
  <si>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</si>
  <si>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</si>
  <si>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</si>
  <si>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</si>
  <si>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</si>
  <si>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</si>
  <si>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</si>
  <si>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</si>
  <si>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</si>
  <si>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</si>
  <si>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</si>
  <si>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</si>
  <si>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</si>
  <si>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</si>
  <si>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</si>
  <si>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</si>
  <si>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</si>
  <si>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</si>
  <si>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</si>
  <si>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</si>
  <si>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</si>
  <si>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</si>
  <si>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</si>
  <si>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</si>
  <si>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</si>
  <si>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</si>
  <si>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</si>
  <si>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</si>
  <si>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</si>
  <si>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</si>
  <si>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</si>
  <si>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</si>
  <si>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</si>
  <si>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</si>
  <si>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</si>
  <si>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</si>
  <si>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</si>
  <si>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</si>
  <si>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</si>
  <si>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</si>
  <si>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</si>
  <si>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</si>
  <si>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</si>
  <si>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</si>
  <si>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</si>
  <si>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</si>
  <si>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</si>
  <si>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</si>
  <si>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</si>
  <si>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</si>
  <si>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</si>
  <si>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</si>
  <si>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</si>
  <si>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</si>
  <si>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</si>
  <si>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</si>
  <si>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</si>
  <si>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</si>
  <si>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</si>
  <si>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</si>
  <si>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</si>
  <si>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</si>
  <si>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</si>
  <si>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</si>
  <si>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</si>
  <si>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</si>
  <si>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</si>
  <si>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</si>
  <si>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</si>
  <si>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</si>
  <si>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</si>
  <si>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</si>
  <si>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</si>
  <si>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</si>
  <si>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</si>
  <si>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</si>
  <si>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</si>
  <si>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</si>
  <si>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</si>
  <si>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</si>
  <si>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</si>
  <si>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</si>
  <si>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</si>
  <si>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</si>
  <si>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</si>
  <si>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</si>
  <si>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</si>
  <si>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</si>
  <si>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</si>
  <si>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</si>
  <si>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</si>
  <si>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</si>
  <si>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</si>
  <si>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</si>
  <si>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</si>
  <si>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</si>
  <si>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</si>
  <si>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</si>
  <si>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</si>
  <si>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</si>
  <si>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</si>
  <si>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</si>
  <si>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</si>
  <si>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</si>
  <si>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</si>
  <si>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</si>
  <si>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</si>
  <si>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</si>
  <si>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</si>
  <si>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</si>
  <si>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</si>
  <si>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</si>
  <si>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</si>
  <si>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</si>
  <si>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</si>
  <si>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</si>
  <si>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</si>
  <si>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</si>
  <si>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</si>
  <si>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</si>
  <si>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</si>
  <si>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</si>
  <si>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</si>
  <si>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</si>
  <si>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</si>
  <si>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</si>
  <si>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</si>
  <si>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</si>
  <si>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</si>
  <si>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</si>
  <si>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</si>
  <si>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</si>
  <si>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</si>
  <si>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</si>
  <si>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</si>
  <si>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</si>
  <si>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</si>
  <si>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</si>
  <si>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</si>
  <si>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</si>
  <si>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</si>
  <si>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</si>
  <si>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</si>
  <si>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</si>
  <si>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</si>
  <si>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</si>
  <si>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</si>
  <si>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</si>
  <si>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</si>
  <si>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PISO PARA CONSTRUÇÃO TEMPORÁRIA EM MADEIRA, SEM REAPROVEITAMENTO. AF_03/2024</t>
  </si>
  <si>
    <t>TAPUME COM COMPENSADO DE MADEIRA. AF_03/2024</t>
  </si>
  <si>
    <t>TAPUME COM TELHA METÁLICA. AF_03/2024</t>
  </si>
  <si>
    <t>Lajes Pré-Moldadas</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</si>
  <si>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</si>
  <si>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</si>
  <si>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</si>
  <si>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</si>
  <si>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</si>
  <si>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</si>
  <si>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</si>
  <si>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</si>
  <si>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</si>
  <si>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</si>
  <si>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</si>
  <si>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</si>
  <si>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</si>
  <si>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</si>
  <si>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</si>
  <si>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</si>
  <si>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Ligações Prediais de Água e Esgoto</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</si>
  <si>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</si>
  <si>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</si>
  <si>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</si>
  <si>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</si>
  <si>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</si>
  <si>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</si>
  <si>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</si>
  <si>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</si>
  <si>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</si>
  <si>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</si>
  <si>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</si>
  <si>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</si>
  <si>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</si>
  <si>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</si>
  <si>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</si>
  <si>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</si>
  <si>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</si>
  <si>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</si>
  <si>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</si>
  <si>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</si>
  <si>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</si>
  <si>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</si>
  <si>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</si>
  <si>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</si>
  <si>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</si>
  <si>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</si>
  <si>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</si>
  <si>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</si>
  <si>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</si>
  <si>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</si>
  <si>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</si>
  <si>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</si>
  <si>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SERVIÇO INTEGRADO, POLIPROPILENO, PARA TUBOS EM PEAD, 63 MM X 20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</si>
  <si>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</si>
  <si>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</si>
  <si>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</si>
  <si>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Obra</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</si>
  <si>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</si>
  <si>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</si>
  <si>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</si>
  <si>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</si>
  <si>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</si>
  <si>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</si>
  <si>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</si>
  <si>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</si>
  <si>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</si>
  <si>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</si>
  <si>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</si>
  <si>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</si>
  <si>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</si>
  <si>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</si>
  <si>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</si>
  <si>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</si>
  <si>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</si>
  <si>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</si>
  <si>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</si>
  <si>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</si>
  <si>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</si>
  <si>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</si>
  <si>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</si>
  <si>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</si>
  <si>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</si>
  <si>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Livro SINAPI: Cálculos e Parâmetros</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</si>
  <si>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</si>
  <si>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</si>
  <si>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</si>
  <si>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</si>
  <si>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</si>
  <si>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</si>
  <si>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</si>
  <si>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</si>
  <si>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</si>
  <si>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</si>
  <si>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</si>
  <si>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</si>
  <si>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</si>
  <si>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</si>
  <si>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</si>
  <si>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</si>
  <si>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</si>
  <si>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</si>
  <si>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</si>
  <si>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</si>
  <si>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</si>
  <si>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</si>
  <si>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</si>
  <si>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</si>
  <si>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</si>
  <si>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</si>
  <si>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</si>
  <si>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</si>
  <si>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</si>
  <si>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</si>
  <si>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</si>
  <si>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</si>
  <si>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</si>
  <si>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</si>
  <si>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</si>
  <si>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</si>
  <si>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</si>
  <si>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</si>
  <si>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</si>
  <si>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</si>
  <si>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</si>
  <si>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</si>
  <si>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</si>
  <si>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</si>
  <si>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</si>
  <si>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</si>
  <si>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MOTORISTA DE CAMINHÃO (ENCARGOS COMPLEMENTARES) - MENSALISTA</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</si>
  <si>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</si>
  <si>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</si>
  <si>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</si>
  <si>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</si>
  <si>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</si>
  <si>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</si>
  <si>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</si>
  <si>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</si>
  <si>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</si>
  <si>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</si>
  <si>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</si>
  <si>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</si>
  <si>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</si>
  <si>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</si>
  <si>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</si>
  <si>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</si>
  <si>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</si>
  <si>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</si>
  <si>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</si>
  <si>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</si>
  <si>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</si>
  <si>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</si>
  <si>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</si>
  <si>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</si>
  <si>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</si>
  <si>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</si>
  <si>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</si>
  <si>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</si>
  <si>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</si>
  <si>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</si>
  <si>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</si>
  <si>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</si>
  <si>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</si>
  <si>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</si>
  <si>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</si>
  <si>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</si>
  <si>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</si>
  <si>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</si>
  <si>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</si>
  <si>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</si>
  <si>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</si>
  <si>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</si>
  <si>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</si>
  <si>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</si>
  <si>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</si>
  <si>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</si>
  <si>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</si>
  <si>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</si>
  <si>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</si>
  <si>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</si>
  <si>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</si>
  <si>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</si>
  <si>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</si>
  <si>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</si>
  <si>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</si>
  <si>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</si>
  <si>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</si>
  <si>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</si>
  <si>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</si>
  <si>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</si>
  <si>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</si>
  <si>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</si>
  <si>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</si>
  <si>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</si>
  <si>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</si>
  <si>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</si>
  <si>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</si>
  <si>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</si>
  <si>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</si>
  <si>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</si>
  <si>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</si>
  <si>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</si>
  <si>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</si>
  <si>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</si>
  <si>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</si>
  <si>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</si>
  <si>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</si>
  <si>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</si>
  <si>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</si>
  <si>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</si>
  <si>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</si>
  <si>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</si>
  <si>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</si>
  <si>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</si>
  <si>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</si>
  <si>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</si>
  <si>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</si>
  <si>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</si>
  <si>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</si>
  <si>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</si>
  <si>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</si>
  <si>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</si>
  <si>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</si>
  <si>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</si>
  <si>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</si>
  <si>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TUBO AÇO/EQUIPAMENTOS (ENCARGOS COMPLEMENTARES) - HORISTA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</si>
  <si>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</si>
  <si>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</si>
  <si>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</si>
  <si>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</si>
  <si>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MAQUINAS (ENCARGOS COMPLEMENTARES) - MENSALISTA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</si>
  <si>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</si>
  <si>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</si>
  <si>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</si>
  <si>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</si>
  <si>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</si>
  <si>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</si>
  <si>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</si>
  <si>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</si>
  <si>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</si>
  <si>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</si>
  <si>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</si>
  <si>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</si>
  <si>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</si>
  <si>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</si>
  <si>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</si>
  <si>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</si>
  <si>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</si>
  <si>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</si>
  <si>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</si>
  <si>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</si>
  <si>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</si>
  <si>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</si>
  <si>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</si>
  <si>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</si>
  <si>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</si>
  <si>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</si>
  <si>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</si>
  <si>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</si>
  <si>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</si>
  <si>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</si>
  <si>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</si>
  <si>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</si>
  <si>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</si>
  <si>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</si>
  <si>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</si>
  <si>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</si>
  <si>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</si>
  <si>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</si>
  <si>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</si>
  <si>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</si>
  <si>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</si>
  <si>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</si>
  <si>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</si>
  <si>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</si>
  <si>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</si>
  <si>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</si>
  <si>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</si>
  <si>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</si>
  <si>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</si>
  <si>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</si>
  <si>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</si>
  <si>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</si>
  <si>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</si>
  <si>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</si>
  <si>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</si>
  <si>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</si>
  <si>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</si>
  <si>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</si>
  <si>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</si>
  <si>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</si>
  <si>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</si>
  <si>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</si>
  <si>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</si>
  <si>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</si>
  <si>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</si>
  <si>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</si>
  <si>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</si>
  <si>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</si>
  <si>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</si>
  <si>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</si>
  <si>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</si>
  <si>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</si>
  <si>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</si>
  <si>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</si>
  <si>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</si>
  <si>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</si>
  <si>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</si>
  <si>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</si>
  <si>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</si>
  <si>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</si>
  <si>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</si>
  <si>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</si>
  <si>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</si>
  <si>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</si>
  <si>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</si>
  <si>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</si>
  <si>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</si>
  <si>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</si>
  <si>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</si>
  <si>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</si>
  <si>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</si>
  <si>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</si>
  <si>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</si>
  <si>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</si>
  <si>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</si>
  <si>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</si>
  <si>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</si>
  <si>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</si>
  <si>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</si>
  <si>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</si>
  <si>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</si>
  <si>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</si>
  <si>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</si>
  <si>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</si>
  <si>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</si>
  <si>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</si>
  <si>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</si>
  <si>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</si>
  <si>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</si>
  <si>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</si>
  <si>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</si>
  <si>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</si>
  <si>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</si>
  <si>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</si>
  <si>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</si>
  <si>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</si>
  <si>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</si>
  <si>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</si>
  <si>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</si>
  <si>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</si>
  <si>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</si>
  <si>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</si>
  <si>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</si>
  <si>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</si>
  <si>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</si>
  <si>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</si>
  <si>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</si>
  <si>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</si>
  <si>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</si>
  <si>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</si>
  <si>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</si>
  <si>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</si>
  <si>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</si>
  <si>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</si>
  <si>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</si>
  <si>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</si>
  <si>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</si>
  <si>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</si>
  <si>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</si>
  <si>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</si>
  <si>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</si>
  <si>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</si>
  <si>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</si>
  <si>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</si>
  <si>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</si>
  <si>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</si>
  <si>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</si>
  <si>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</si>
  <si>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</si>
  <si>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</si>
  <si>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</si>
  <si>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</si>
  <si>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</si>
  <si>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</si>
  <si>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</si>
  <si>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</si>
  <si>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</si>
  <si>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</si>
  <si>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</si>
  <si>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</si>
  <si>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</si>
  <si>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</si>
  <si>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</si>
  <si>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</si>
  <si>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</si>
  <si>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</si>
  <si>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</si>
  <si>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</si>
  <si>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</si>
  <si>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</si>
  <si>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</si>
  <si>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</si>
  <si>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</si>
  <si>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</si>
  <si>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SEGURANÇA DO TRABALHO COM ENCARGOS COMPLEMENTARES</t>
  </si>
  <si>
    <t>TÉCNICO EM SONDAGEM COM ENCARGOS COMPLEMENTARES</t>
  </si>
  <si>
    <t>VIDRACEIRO COM ENCARGOS COMPLEMENTARES</t>
  </si>
  <si>
    <t>VIGIA DIURNO COM ENCARGOS COMPLEMENTARES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</si>
  <si>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</si>
  <si>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</si>
  <si>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</si>
  <si>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</si>
  <si>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</si>
  <si>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</si>
  <si>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PRAÇAS EM PONTALETEAMENTO. AF_03/2024</t>
  </si>
  <si>
    <t>LOCAÇÃO DE REDE DE ÁGUA OU ESGOTO. AF_03/2024</t>
  </si>
  <si>
    <t>MARCAÇÃO DE PONTOS EM GABARITO OU CAVALETE. AF_03/2024</t>
  </si>
  <si>
    <t>Louças e Metais</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</si>
  <si>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</si>
  <si>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</si>
  <si>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</si>
  <si>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</si>
  <si>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</si>
  <si>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</si>
  <si>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</si>
  <si>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</si>
  <si>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</si>
  <si>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</si>
  <si>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</si>
  <si>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</si>
  <si>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</si>
  <si>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</si>
  <si>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</si>
  <si>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</si>
  <si>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</si>
  <si>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</si>
  <si>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</si>
  <si>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</si>
  <si>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</si>
  <si>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</si>
  <si>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</si>
  <si>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</si>
  <si>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</si>
  <si>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</si>
  <si>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</si>
  <si>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</si>
  <si>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</si>
  <si>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</si>
  <si>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</si>
  <si>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</si>
  <si>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</si>
  <si>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</si>
  <si>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</si>
  <si>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</si>
  <si>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</si>
  <si>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</si>
  <si>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</si>
  <si>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</si>
  <si>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</si>
  <si>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</si>
  <si>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</si>
  <si>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</si>
  <si>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</si>
  <si>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</si>
  <si>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</si>
  <si>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</si>
  <si>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</si>
  <si>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</si>
  <si>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</si>
  <si>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</si>
  <si>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</si>
  <si>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</si>
  <si>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</si>
  <si>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</si>
  <si>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</si>
  <si>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</si>
  <si>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</si>
  <si>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</si>
  <si>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</si>
  <si>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</si>
  <si>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</si>
  <si>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</si>
  <si>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</si>
  <si>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</si>
  <si>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</si>
  <si>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</si>
  <si>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</si>
  <si>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</si>
  <si>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</si>
  <si>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</si>
  <si>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</si>
  <si>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</si>
  <si>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</si>
  <si>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</si>
  <si>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</si>
  <si>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</si>
  <si>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</si>
  <si>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</si>
  <si>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</si>
  <si>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</si>
  <si>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</si>
  <si>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</si>
  <si>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</si>
  <si>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</si>
  <si>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</si>
  <si>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</si>
  <si>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</si>
  <si>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</si>
  <si>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</si>
  <si>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</si>
  <si>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</si>
  <si>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</si>
  <si>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</si>
  <si>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</si>
  <si>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</si>
  <si>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</si>
  <si>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</si>
  <si>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</si>
  <si>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</si>
  <si>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</si>
  <si>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</si>
  <si>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</si>
  <si>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</si>
  <si>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</si>
  <si>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</si>
  <si>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</si>
  <si>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</si>
  <si>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</si>
  <si>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</si>
  <si>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</si>
  <si>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</si>
  <si>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</si>
  <si>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</si>
  <si>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</si>
  <si>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</si>
  <si>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</si>
  <si>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</si>
  <si>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</si>
  <si>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</si>
  <si>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</si>
  <si>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</si>
  <si>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</si>
  <si>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</si>
  <si>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</si>
  <si>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</si>
  <si>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</si>
  <si>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</si>
  <si>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</si>
  <si>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</si>
  <si>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</si>
  <si>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</si>
  <si>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</si>
  <si>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</si>
  <si>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</si>
  <si>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</si>
  <si>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</si>
  <si>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</si>
  <si>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</si>
  <si>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</si>
  <si>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</si>
  <si>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</si>
  <si>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</si>
  <si>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</si>
  <si>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</si>
  <si>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</si>
  <si>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</si>
  <si>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</si>
  <si>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</si>
  <si>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</si>
  <si>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</si>
  <si>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</si>
  <si>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</si>
  <si>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</si>
  <si>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</si>
  <si>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</si>
  <si>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</si>
  <si>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</si>
  <si>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</si>
  <si>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</si>
  <si>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</si>
  <si>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</si>
  <si>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</si>
  <si>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</si>
  <si>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</si>
  <si>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</si>
  <si>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</si>
  <si>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</si>
  <si>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</si>
  <si>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</si>
  <si>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</si>
  <si>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</si>
  <si>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</si>
  <si>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</si>
  <si>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</si>
  <si>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</si>
  <si>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</si>
  <si>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</si>
  <si>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</si>
  <si>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</si>
  <si>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</si>
  <si>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</si>
  <si>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</si>
  <si>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</si>
  <si>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</si>
  <si>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</si>
  <si>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</si>
  <si>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</si>
  <si>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</si>
  <si>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</si>
  <si>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</si>
  <si>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</si>
  <si>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</si>
  <si>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</si>
  <si>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</si>
  <si>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</si>
  <si>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</si>
  <si>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</si>
  <si>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</si>
  <si>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</si>
  <si>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</si>
  <si>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</si>
  <si>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</si>
  <si>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</si>
  <si>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</si>
  <si>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</si>
  <si>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</si>
  <si>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</si>
  <si>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</si>
  <si>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</si>
  <si>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</si>
  <si>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</si>
  <si>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</si>
  <si>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</si>
  <si>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</si>
  <si>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</si>
  <si>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</si>
  <si>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</si>
  <si>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</si>
  <si>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</si>
  <si>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</si>
  <si>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</si>
  <si>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</si>
  <si>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</si>
  <si>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</si>
  <si>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</si>
  <si>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</si>
  <si>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</si>
  <si>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</si>
  <si>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</si>
  <si>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</si>
  <si>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</si>
  <si>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</si>
  <si>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</si>
  <si>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</si>
  <si>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</si>
  <si>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</si>
  <si>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</si>
  <si>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</si>
  <si>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</si>
  <si>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</si>
  <si>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</si>
  <si>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</si>
  <si>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</si>
  <si>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</si>
  <si>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</si>
  <si>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</si>
  <si>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</si>
  <si>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</si>
  <si>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</si>
  <si>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</si>
  <si>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</si>
  <si>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</si>
  <si>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</si>
  <si>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</si>
  <si>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</si>
  <si>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</si>
  <si>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</si>
  <si>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</si>
  <si>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</si>
  <si>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</si>
  <si>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</si>
  <si>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</si>
  <si>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</si>
  <si>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</si>
  <si>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</si>
  <si>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</si>
  <si>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</si>
  <si>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</si>
  <si>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</si>
  <si>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</si>
  <si>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</si>
  <si>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</si>
  <si>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</si>
  <si>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</si>
  <si>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Mobiliário Urbano</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</si>
  <si>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</si>
  <si>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</si>
  <si>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</si>
  <si>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</si>
  <si>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</si>
  <si>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</si>
  <si>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</si>
  <si>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</si>
  <si>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</si>
  <si>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</si>
  <si>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</si>
  <si>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</si>
  <si>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</si>
  <si>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</si>
  <si>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</si>
  <si>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</si>
  <si>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</si>
  <si>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</si>
  <si>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</si>
  <si>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</si>
  <si>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</si>
  <si>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</si>
  <si>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</si>
  <si>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</si>
  <si>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</si>
  <si>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</si>
  <si>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</si>
  <si>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</si>
  <si>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</si>
  <si>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</si>
  <si>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</si>
  <si>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</si>
  <si>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</si>
  <si>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</si>
  <si>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</si>
  <si>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</si>
  <si>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MENOR OU IGUAL A 2,00 M . AF_07/2024</t>
  </si>
  <si>
    <t>PLANTIO DE ÁRVORE ORNAMENTAL COM ALTURA DE MUDA MAIOR QUE 2,00 M E MENOR OU IGUAL A 4,00 M .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</si>
  <si>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</si>
  <si>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</si>
  <si>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</si>
  <si>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</si>
  <si>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</si>
  <si>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</si>
  <si>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</si>
  <si>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</si>
  <si>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</si>
  <si>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</si>
  <si>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</si>
  <si>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</si>
  <si>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</si>
  <si>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</si>
  <si>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</si>
  <si>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</si>
  <si>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</si>
  <si>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</si>
  <si>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</si>
  <si>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</si>
  <si>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</si>
  <si>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</si>
  <si>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</si>
  <si>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</si>
  <si>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</si>
  <si>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</si>
  <si>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</si>
  <si>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</si>
  <si>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</si>
  <si>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</si>
  <si>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</si>
  <si>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</si>
  <si>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</si>
  <si>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</si>
  <si>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</si>
  <si>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</si>
  <si>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</si>
  <si>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</si>
  <si>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</si>
  <si>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</si>
  <si>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</si>
  <si>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</si>
  <si>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</si>
  <si>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</si>
  <si>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</si>
  <si>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</si>
  <si>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</si>
  <si>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</si>
  <si>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</si>
  <si>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</si>
  <si>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</si>
  <si>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</si>
  <si>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</si>
  <si>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</si>
  <si>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</si>
  <si>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</si>
  <si>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</si>
  <si>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</si>
  <si>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</si>
  <si>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</si>
  <si>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</si>
  <si>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</si>
  <si>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</si>
  <si>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</si>
  <si>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em Drywall</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</si>
  <si>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</si>
  <si>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</si>
  <si>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</si>
  <si>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</si>
  <si>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</si>
  <si>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</si>
  <si>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</si>
  <si>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</si>
  <si>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</si>
  <si>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</si>
  <si>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</si>
  <si>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</si>
  <si>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</si>
  <si>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</si>
  <si>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</si>
  <si>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</si>
  <si>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</si>
  <si>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</si>
  <si>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</si>
  <si>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</si>
  <si>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</si>
  <si>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</si>
  <si>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</si>
  <si>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Parquinhos e Equipamentos de Ginástica ao Ar Livre</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</si>
  <si>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</si>
  <si>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</si>
  <si>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</si>
  <si>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</si>
  <si>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</si>
  <si>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</si>
  <si>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</si>
  <si>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</si>
  <si>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</si>
  <si>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</si>
  <si>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</si>
  <si>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</si>
  <si>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</si>
  <si>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</si>
  <si>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</si>
  <si>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</si>
  <si>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</si>
  <si>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Passeios de Concreto</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</si>
  <si>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</si>
  <si>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</si>
  <si>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</si>
  <si>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</si>
  <si>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</si>
  <si>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</si>
  <si>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</si>
  <si>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Pavimentações Diversas - Paralelepípedos e Pedras Poliédricas</t>
  </si>
  <si>
    <t>EXECUÇÃO DE PAVIMENTO EM PARALELEPÍPEDOS, REJUNTAMENTO COM ARGAMASSA TRAÇO 1:3 (CIMENTO E AREIA).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</si>
  <si>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</si>
  <si>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</si>
  <si>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PÓ DE PEDRA. AF_05/2020</t>
  </si>
  <si>
    <t>Pavimento Intertravado</t>
  </si>
  <si>
    <t>EXECUÇÃO DE PASSEIO EM PISO INTERTRAVADO, COM BLOCO 16 FACES DE 22 X 11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</si>
  <si>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</si>
  <si>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</si>
  <si>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</si>
  <si>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</si>
  <si>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</si>
  <si>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</si>
  <si>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</si>
  <si>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</si>
  <si>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</si>
  <si>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</si>
  <si>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</si>
  <si>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</si>
  <si>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</si>
  <si>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</si>
  <si>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</si>
  <si>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</si>
  <si>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</si>
  <si>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Pavimento Rígido de Concreto</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</si>
  <si>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</si>
  <si>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</si>
  <si>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</si>
  <si>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</si>
  <si>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</si>
  <si>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</si>
  <si>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</si>
  <si>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</si>
  <si>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</si>
  <si>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</si>
  <si>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</si>
  <si>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</si>
  <si>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</si>
  <si>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</si>
  <si>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</si>
  <si>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</si>
  <si>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</si>
  <si>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</si>
  <si>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</si>
  <si>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</si>
  <si>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</si>
  <si>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</si>
  <si>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</si>
  <si>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</si>
  <si>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</si>
  <si>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</si>
  <si>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</si>
  <si>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</si>
  <si>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</si>
  <si>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</si>
  <si>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Peitoris e Chapins</t>
  </si>
  <si>
    <t>CHAPIM (RUFO CAPA) EM AÇO GALVANIZADO, CORTE 33. AF_11/2020</t>
  </si>
  <si>
    <t>CHAPIM SOBRE MUROS LINEARES, EM GRANITO OU MÁRMORE, L = 25 CM, ASSENTADO COM ARGAMASSA 1:6 COM ADITIVO. AF_11/2020</t>
  </si>
  <si>
    <t>PEITORIL LINEAR EM GRANITO OU MÁRMORE, L = 15CM, ASSENTADO COM ARGAMASSA 1:6 COM ADITIVO. AF_11/2020</t>
  </si>
  <si>
    <t>Peneiramento e Ensacamento de Areia em Obra</t>
  </si>
  <si>
    <t>ENSACAMENTO DE AREIA. AF_11/2015</t>
  </si>
  <si>
    <t>PENEIRAMENTO DE AREIA COM PENEIRA ELÉTRICA. AF_11/2015</t>
  </si>
  <si>
    <t>PENEIRAMENTO DE AREIA COM PENEIRA MANUAL. AF_11/2015</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</si>
  <si>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</si>
  <si>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</si>
  <si>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</si>
  <si>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</si>
  <si>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</si>
  <si>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</si>
  <si>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</si>
  <si>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</si>
  <si>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</si>
  <si>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</si>
  <si>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</si>
  <si>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</si>
  <si>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</si>
  <si>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</si>
  <si>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</si>
  <si>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</si>
  <si>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</si>
  <si>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</si>
  <si>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</si>
  <si>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</si>
  <si>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</si>
  <si>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</si>
  <si>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</si>
  <si>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</si>
  <si>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</si>
  <si>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</si>
  <si>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</si>
  <si>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</si>
  <si>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</si>
  <si>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</si>
  <si>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</si>
  <si>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</si>
  <si>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</si>
  <si>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EMASSAMENTO COM MASSA LÁTEX, APLICAÇÃO EM PAREDE, DUAS DEMÃOS, LIXAMENTO MANUAL. AF_04/2023</t>
  </si>
  <si>
    <t>EMASSAMENTO COM MASSA LÁTEX, APLICAÇÃO EM PAREDE, UMA DEMÃO, LIXAMENTO MANUAL. AF_04/2023</t>
  </si>
  <si>
    <t>EMASSAMENTO COM MASSA LÁTEX, APLICAÇÃO EM TETO, DUAS DEMÃOS, LIXAMENTO MANUAL. AF_04/2023</t>
  </si>
  <si>
    <t>EMASSAMENTO COM MASSA LÁTEX, APLICAÇÃO EM TETO, UMA DEMÃO, LIXAMENTO MANUAL. AF_04/2023</t>
  </si>
  <si>
    <t>FUNDO SELADOR ACRÍLICO, APLICAÇÃO MANUAL EM PAREDE, UMA DEMÃO. AF_04/2023</t>
  </si>
  <si>
    <t>FUNDO SELADOR ACRÍLICO, APLICAÇÃO MANUAL EM TETO, UMA DEMÃO. AF_04/2023</t>
  </si>
  <si>
    <t>PINTURA LÁTEX ACRÍLICA ECONÔMICA, APLICAÇÃO MANUAL EM PAREDES, DUAS DEMÃOS. AF_04/2023</t>
  </si>
  <si>
    <t>PINTURA LÁTEX ACRÍLICA ECONÔMICA, APLICAÇÃO MANUAL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</si>
  <si>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</si>
  <si>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</si>
  <si>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</si>
  <si>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</si>
  <si>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</si>
  <si>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</si>
  <si>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Pintura em Madeira</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</si>
  <si>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</si>
  <si>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</si>
  <si>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</si>
  <si>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</si>
  <si>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</si>
  <si>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ALQUÍDICO BRANCO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</si>
  <si>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</si>
  <si>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</si>
  <si>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</si>
  <si>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</si>
  <si>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</si>
  <si>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</si>
  <si>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</si>
  <si>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</si>
  <si>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</si>
  <si>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</si>
  <si>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</si>
  <si>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</si>
  <si>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</si>
  <si>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</si>
  <si>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</si>
  <si>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</si>
  <si>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</si>
  <si>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</si>
  <si>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</si>
  <si>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</si>
  <si>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</si>
  <si>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</si>
  <si>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</si>
  <si>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em Superfícies Metálicas</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</si>
  <si>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</si>
  <si>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</si>
  <si>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</si>
  <si>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</si>
  <si>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</si>
  <si>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</si>
  <si>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</si>
  <si>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</si>
  <si>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</si>
  <si>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</si>
  <si>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</si>
  <si>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</si>
  <si>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</si>
  <si>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</si>
  <si>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</si>
  <si>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</si>
  <si>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</si>
  <si>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</si>
  <si>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</si>
  <si>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</si>
  <si>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BRILHANTE) PULVERIZADA SOBRE SUPERFÍCIES METÁLICAS (EXCETO PERFIL) EXECUTADO EM OBRA (02 DEMÃOS).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</si>
  <si>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</si>
  <si>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</si>
  <si>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</si>
  <si>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</si>
  <si>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</si>
  <si>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</si>
  <si>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</si>
  <si>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</si>
  <si>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</si>
  <si>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</si>
  <si>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</si>
  <si>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</si>
  <si>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</si>
  <si>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</si>
  <si>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</si>
  <si>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</si>
  <si>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</si>
  <si>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</si>
  <si>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</si>
  <si>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PULVERIZADA SOBRE PERFIL METÁLICO EXECUTADO EM FÁBRICA (POR DEMÃO). AF_01/2020_PE</t>
  </si>
  <si>
    <t>Pintura para Pisos e para Sinalização Horizontal e Vertical</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</si>
  <si>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</si>
  <si>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</si>
  <si>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</si>
  <si>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</si>
  <si>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</si>
  <si>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EPÓXI, E = 10 CM, APLICAÇÃO MANUAL. AF_05/2021</t>
  </si>
  <si>
    <t>PINTURA DE EIXO VIÁRIO SOBRE ASFALTO COM TINTA RETRORREFLETIVA A BASE DE RESINA ACRÍLICA COM MICROESFERAS DE VIDRO,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</si>
  <si>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</si>
  <si>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</si>
  <si>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</si>
  <si>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</si>
  <si>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</si>
  <si>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</si>
  <si>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</si>
  <si>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</si>
  <si>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</si>
  <si>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</si>
  <si>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</si>
  <si>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</si>
  <si>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</si>
  <si>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Pisos</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</si>
  <si>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</si>
  <si>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</si>
  <si>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</si>
  <si>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</si>
  <si>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</si>
  <si>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</si>
  <si>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</si>
  <si>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</si>
  <si>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</si>
  <si>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</si>
  <si>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</si>
  <si>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</si>
  <si>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</si>
  <si>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</si>
  <si>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</si>
  <si>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</si>
  <si>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</si>
  <si>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</si>
  <si>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</si>
  <si>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</si>
  <si>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</si>
  <si>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</si>
  <si>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ASSENTADO SOBRE ARGAMASSA 1:3 (CIMENTO E AREIA). AF_09/2020</t>
  </si>
  <si>
    <t>PISO EM PEDRA ARDÓSIA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</si>
  <si>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</si>
  <si>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</si>
  <si>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</si>
  <si>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PODOTÁTIL DE ALERTA OU DIRECIONAL, DE BORRACHA, ASSENTADO SOBRE ARGAMASSA. AF_05/2020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</si>
  <si>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</si>
  <si>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</si>
  <si>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</si>
  <si>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</si>
  <si>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</si>
  <si>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</si>
  <si>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</si>
  <si>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</si>
  <si>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</si>
  <si>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</si>
  <si>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</si>
  <si>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SOLEIRA EM GRANITO, LARGURA 15 CM, ESPESSURA 2,0 CM. AF_09/2020</t>
  </si>
  <si>
    <t>SOLEIRA EM MÁRMORE, LARGURA 15 CM, ESPESSURA 2,0 CM. AF_09/2020</t>
  </si>
  <si>
    <t>Postes de Concreto e Metálicos</t>
  </si>
  <si>
    <t>ASSENTAMENTO DE POSTE DE CONCRETO COM COMPRIMENTO NOMINAL DE 10 M, CARGA NOMINAL DE 1000 DAN, ENGASTAMENTO BASE CONCRETADA COM 1 M DE CONCRETO E 0,6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</si>
  <si>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</si>
  <si>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</si>
  <si>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</si>
  <si>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</si>
  <si>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</si>
  <si>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</si>
  <si>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</si>
  <si>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</si>
  <si>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</si>
  <si>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</si>
  <si>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</si>
  <si>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</si>
  <si>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</si>
  <si>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</si>
  <si>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</si>
  <si>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</si>
  <si>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</si>
  <si>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</si>
  <si>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</si>
  <si>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</si>
  <si>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13 M, CARGA NOMINAL DE 1000 DAN, ENGASTAMENTO BASE CONCRETADA COM 1 M DE CONCRETO E 0,9 M DE SOLO - SOMENTE INSTALAÇÃO, SEM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</si>
  <si>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</si>
  <si>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</si>
  <si>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</si>
  <si>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</si>
  <si>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</si>
  <si>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</si>
  <si>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</si>
  <si>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</si>
  <si>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</si>
  <si>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</si>
  <si>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</si>
  <si>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</si>
  <si>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</si>
  <si>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</si>
  <si>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</si>
  <si>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</si>
  <si>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</si>
  <si>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</si>
  <si>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MENOR OU IGUAL A 1000 DAN, ENGASTAMENTO SIMPLES COM 1,5 M DE SOLO (NÃO INCLUI FORNECIMENTO). AF_11/2019</t>
  </si>
  <si>
    <t>POSTE DE AÇO CONICO CONTÍNUO CURVO DUPLO, ENGASTADO, H=9M, INCLUSIVE LUMINÁRIAS, SEM LÂMPADAS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</si>
  <si>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</si>
  <si>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</si>
  <si>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SIMPLES, FLANGEADO, H=9M, INCLUSIVE LUMINÁRIA, SEM LÂMPADA - FORNECIMENTO E INSTALACAO. AF_11/2019</t>
  </si>
  <si>
    <t>POSTE DECORATIVO PARA JARDIM EM AÇO TUBULAR, H = *2,5* M, SEM LUMINÁRIA - FORNECIMENTO E INSTALAÇÃO. AF_11/2019</t>
  </si>
  <si>
    <t>Poços de Visita e Caixas para Bocas de Lobo</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</si>
  <si>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</si>
  <si>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</si>
  <si>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</si>
  <si>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</si>
  <si>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</si>
  <si>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</si>
  <si>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</si>
  <si>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</si>
  <si>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</si>
  <si>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</si>
  <si>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</si>
  <si>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</si>
  <si>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1,2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</si>
  <si>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</si>
  <si>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</si>
  <si>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</si>
  <si>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</si>
  <si>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</si>
  <si>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</si>
  <si>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</si>
  <si>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</si>
  <si>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</si>
  <si>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</si>
  <si>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</si>
  <si>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</si>
  <si>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</si>
  <si>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</si>
  <si>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</si>
  <si>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</si>
  <si>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</si>
  <si>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</si>
  <si>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</si>
  <si>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</si>
  <si>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</si>
  <si>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</si>
  <si>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</si>
  <si>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</si>
  <si>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</si>
  <si>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</si>
  <si>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</si>
  <si>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</si>
  <si>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</si>
  <si>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</si>
  <si>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</si>
  <si>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</si>
  <si>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</si>
  <si>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</si>
  <si>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</si>
  <si>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</si>
  <si>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</si>
  <si>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</si>
  <si>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</si>
  <si>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</si>
  <si>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</si>
  <si>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</si>
  <si>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</si>
  <si>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</si>
  <si>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</si>
  <si>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</si>
  <si>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</si>
  <si>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</si>
  <si>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</si>
  <si>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</si>
  <si>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</si>
  <si>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</si>
  <si>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</si>
  <si>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</si>
  <si>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</si>
  <si>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</si>
  <si>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</si>
  <si>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</si>
  <si>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</si>
  <si>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</si>
  <si>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</si>
  <si>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</si>
  <si>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</si>
  <si>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</si>
  <si>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</si>
  <si>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</si>
  <si>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</si>
  <si>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</si>
  <si>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</si>
  <si>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</si>
  <si>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</si>
  <si>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</si>
  <si>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</si>
  <si>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</si>
  <si>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</si>
  <si>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</si>
  <si>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</si>
  <si>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</si>
  <si>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</si>
  <si>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</si>
  <si>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</si>
  <si>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</si>
  <si>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</si>
  <si>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</si>
  <si>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</si>
  <si>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</si>
  <si>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</si>
  <si>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</si>
  <si>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</si>
  <si>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</si>
  <si>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</si>
  <si>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</si>
  <si>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</si>
  <si>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</si>
  <si>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</si>
  <si>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</si>
  <si>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</si>
  <si>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</si>
  <si>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</si>
  <si>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</si>
  <si>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</si>
  <si>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</si>
  <si>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</si>
  <si>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</si>
  <si>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</si>
  <si>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</si>
  <si>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</si>
  <si>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</si>
  <si>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</si>
  <si>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</si>
  <si>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</si>
  <si>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</si>
  <si>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</si>
  <si>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</si>
  <si>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</si>
  <si>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</si>
  <si>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</si>
  <si>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</si>
  <si>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</si>
  <si>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</si>
  <si>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</si>
  <si>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</si>
  <si>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</si>
  <si>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</si>
  <si>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</si>
  <si>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</si>
  <si>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</si>
  <si>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</si>
  <si>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</si>
  <si>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</si>
  <si>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</si>
  <si>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</si>
  <si>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</si>
  <si>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</si>
  <si>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</si>
  <si>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</si>
  <si>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</si>
  <si>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</si>
  <si>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</si>
  <si>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</si>
  <si>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</si>
  <si>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</si>
  <si>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</si>
  <si>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</si>
  <si>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</si>
  <si>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</si>
  <si>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</si>
  <si>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</si>
  <si>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</si>
  <si>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</si>
  <si>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</si>
  <si>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</si>
  <si>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</si>
  <si>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</si>
  <si>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</si>
  <si>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</si>
  <si>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</si>
  <si>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</si>
  <si>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</si>
  <si>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</si>
  <si>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</si>
  <si>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</si>
  <si>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Produção de Concreto</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</si>
  <si>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</si>
  <si>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</si>
  <si>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</si>
  <si>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</si>
  <si>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</si>
  <si>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</si>
  <si>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</si>
  <si>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</si>
  <si>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</si>
  <si>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</si>
  <si>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</si>
  <si>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</si>
  <si>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</si>
  <si>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</si>
  <si>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</si>
  <si>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</si>
  <si>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</si>
  <si>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</si>
  <si>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</si>
  <si>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</si>
  <si>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</si>
  <si>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</si>
  <si>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</si>
  <si>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</si>
  <si>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</si>
  <si>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</si>
  <si>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</si>
  <si>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</si>
  <si>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</si>
  <si>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Quadras e seus Equipamentos</t>
  </si>
  <si>
    <t>PAR DE TABELAS DE BASQUETE DE COMPENSADO NAVAL, COM AROS E REDES - FORNECIMENTO E INSTALAÇÃO. AF_03/2022</t>
  </si>
  <si>
    <t>Radier, Piso de Concreto e Laje sobre Solo</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</si>
  <si>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</si>
  <si>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</si>
  <si>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</si>
  <si>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</si>
  <si>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</si>
  <si>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</si>
  <si>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</si>
  <si>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</si>
  <si>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</si>
  <si>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</si>
  <si>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</si>
  <si>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</si>
  <si>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</si>
  <si>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</si>
  <si>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</si>
  <si>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</si>
  <si>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</si>
  <si>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EXECUÇÃO DE PISO DE CONCRETO, COM ACABAMENTO SUPERFICIAL, ESPESSURA DE 15 CM, FCK = 30 MPA, COM USO DE FORMAS EM MADEIRA SERRADA. AF_09/2021</t>
  </si>
  <si>
    <t>EXECUÇÃO DE PISO DE CONCRETO, SEM ACABAMENTO SUPERFICIAL, ESPESSURA DE 15 CM, FCK = 30 MPA, COM USO DE FORMAS EM MADEIRA SERRADA.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</si>
  <si>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</si>
  <si>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</si>
  <si>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</si>
  <si>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</si>
  <si>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</si>
  <si>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FABRICAÇÃO, MONTAGEM E DESMONTAGEM DE FORMA PARA RADIER, PISO DE CONCRETO OU LAJE SOBRE SOLO, EM MADEIRA SERRADA, 4 UTILIZAÇÕES. AF_09/2021</t>
  </si>
  <si>
    <t>Rasgos e Fixações</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</si>
  <si>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</si>
  <si>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</si>
  <si>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</si>
  <si>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</si>
  <si>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</si>
  <si>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</si>
  <si>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</si>
  <si>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</si>
  <si>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</si>
  <si>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</si>
  <si>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</si>
  <si>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</si>
  <si>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ELETRODUTOS, DIÂMETROS MENORES OU IGUAIS A 40 MM, COM ABRAÇADEIRA METÁLICA RÍGIDA TIPO D COM PARAFUSO DE FIXAÇÃO 1 1/4",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</si>
  <si>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</si>
  <si>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</si>
  <si>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</si>
  <si>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</si>
  <si>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</si>
  <si>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</si>
  <si>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</si>
  <si>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</si>
  <si>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</si>
  <si>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</si>
  <si>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</si>
  <si>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</si>
  <si>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</si>
  <si>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</si>
  <si>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</si>
  <si>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</si>
  <si>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</si>
  <si>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</si>
  <si>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</si>
  <si>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</si>
  <si>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</si>
  <si>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</si>
  <si>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</si>
  <si>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</si>
  <si>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</si>
  <si>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</si>
  <si>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</si>
  <si>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</si>
  <si>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</si>
  <si>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</si>
  <si>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</si>
  <si>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</si>
  <si>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</si>
  <si>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</si>
  <si>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</si>
  <si>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</si>
  <si>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</si>
  <si>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</si>
  <si>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</si>
  <si>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</si>
  <si>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</si>
  <si>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</si>
  <si>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</si>
  <si>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</si>
  <si>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</si>
  <si>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</si>
  <si>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</si>
  <si>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</si>
  <si>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</si>
  <si>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</si>
  <si>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</si>
  <si>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</si>
  <si>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</si>
  <si>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</si>
  <si>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</si>
  <si>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</si>
  <si>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</si>
  <si>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</si>
  <si>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</si>
  <si>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</si>
  <si>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</si>
  <si>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</si>
  <si>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</si>
  <si>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</si>
  <si>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</si>
  <si>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</si>
  <si>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</si>
  <si>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</si>
  <si>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</si>
  <si>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</si>
  <si>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</si>
  <si>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</si>
  <si>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</si>
  <si>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</si>
  <si>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Recomposição de Pavimentos</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</si>
  <si>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</si>
  <si>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</si>
  <si>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</si>
  <si>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</si>
  <si>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</si>
  <si>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</si>
  <si>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</si>
  <si>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</si>
  <si>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</si>
  <si>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</si>
  <si>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</si>
  <si>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</si>
  <si>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</si>
  <si>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</si>
  <si>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</si>
  <si>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</si>
  <si>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</si>
  <si>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</si>
  <si>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</si>
  <si>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</si>
  <si>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</si>
  <si>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</si>
  <si>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</si>
  <si>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</si>
  <si>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</si>
  <si>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</si>
  <si>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</si>
  <si>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</si>
  <si>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</si>
  <si>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</si>
  <si>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</si>
  <si>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</si>
  <si>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</si>
  <si>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</si>
  <si>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</si>
  <si>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</si>
  <si>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</si>
  <si>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</si>
  <si>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</si>
  <si>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</si>
  <si>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</si>
  <si>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</si>
  <si>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</si>
  <si>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</si>
  <si>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</si>
  <si>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</si>
  <si>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</si>
  <si>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</si>
  <si>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</si>
  <si>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</si>
  <si>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</si>
  <si>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</si>
  <si>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</si>
  <si>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</si>
  <si>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Redes Enterradas de Distribuição Elétrica</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</si>
  <si>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</si>
  <si>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</si>
  <si>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</si>
  <si>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</si>
  <si>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</si>
  <si>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</si>
  <si>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</si>
  <si>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</si>
  <si>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</si>
  <si>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</si>
  <si>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</si>
  <si>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</si>
  <si>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</si>
  <si>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</si>
  <si>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</si>
  <si>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</si>
  <si>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</si>
  <si>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</si>
  <si>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</si>
  <si>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</si>
  <si>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</si>
  <si>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</si>
  <si>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</si>
  <si>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</si>
  <si>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</si>
  <si>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</si>
  <si>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</si>
  <si>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</si>
  <si>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</si>
  <si>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</si>
  <si>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</si>
  <si>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Redes de Lógica, Telefonia e Imagem</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</si>
  <si>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</si>
  <si>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</si>
  <si>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</si>
  <si>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</si>
  <si>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</si>
  <si>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</si>
  <si>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</si>
  <si>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</si>
  <si>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</si>
  <si>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</si>
  <si>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</si>
  <si>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</si>
  <si>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</si>
  <si>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</si>
  <si>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</si>
  <si>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</si>
  <si>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</si>
  <si>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</si>
  <si>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</si>
  <si>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</si>
  <si>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</si>
  <si>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</si>
  <si>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</si>
  <si>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</si>
  <si>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</si>
  <si>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</si>
  <si>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</si>
  <si>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</si>
  <si>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</si>
  <si>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</si>
  <si>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</si>
  <si>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</si>
  <si>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</si>
  <si>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</si>
  <si>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</si>
  <si>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</si>
  <si>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</si>
  <si>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</si>
  <si>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</si>
  <si>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</si>
  <si>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</si>
  <si>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</si>
  <si>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</si>
  <si>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</si>
  <si>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</si>
  <si>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</si>
  <si>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</si>
  <si>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</si>
  <si>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</si>
  <si>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</si>
  <si>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</si>
  <si>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</si>
  <si>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</si>
  <si>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</si>
  <si>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</si>
  <si>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</si>
  <si>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</si>
  <si>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</si>
  <si>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</si>
  <si>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</si>
  <si>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Redes de Água e Esgoto em PEAD Liso (Tubos e Conexões)</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</si>
  <si>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</si>
  <si>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</si>
  <si>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</si>
  <si>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</si>
  <si>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</si>
  <si>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</si>
  <si>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</si>
  <si>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</si>
  <si>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</si>
  <si>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</si>
  <si>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</si>
  <si>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</si>
  <si>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</si>
  <si>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</si>
  <si>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</si>
  <si>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</si>
  <si>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</si>
  <si>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</si>
  <si>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</si>
  <si>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</si>
  <si>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</si>
  <si>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</si>
  <si>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</si>
  <si>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</si>
  <si>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</si>
  <si>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</si>
  <si>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</si>
  <si>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</si>
  <si>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</si>
  <si>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</si>
  <si>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</si>
  <si>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</si>
  <si>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</si>
  <si>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</si>
  <si>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</si>
  <si>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</si>
  <si>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</si>
  <si>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</si>
  <si>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</si>
  <si>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</si>
  <si>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</si>
  <si>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</si>
  <si>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</si>
  <si>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</si>
  <si>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</si>
  <si>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</si>
  <si>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</si>
  <si>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</si>
  <si>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</si>
  <si>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</si>
  <si>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</si>
  <si>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</si>
  <si>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</si>
  <si>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</si>
  <si>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</si>
  <si>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</si>
  <si>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</si>
  <si>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</si>
  <si>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Revestimentos Cerâmicos Externos</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</si>
  <si>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</si>
  <si>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</si>
  <si>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</si>
  <si>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</si>
  <si>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</si>
  <si>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</si>
  <si>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</si>
  <si>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</si>
  <si>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</si>
  <si>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</si>
  <si>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</si>
  <si>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</si>
  <si>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</si>
  <si>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</si>
  <si>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</si>
  <si>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</si>
  <si>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</si>
  <si>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</si>
  <si>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</si>
  <si>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</si>
  <si>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</si>
  <si>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</si>
  <si>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</si>
  <si>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</si>
  <si>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</si>
  <si>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</si>
  <si>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</si>
  <si>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</si>
  <si>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</si>
  <si>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</si>
  <si>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</si>
  <si>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</si>
  <si>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</si>
  <si>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</si>
  <si>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</si>
  <si>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</si>
  <si>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</si>
  <si>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</si>
  <si>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</si>
  <si>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</si>
  <si>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</si>
  <si>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</si>
  <si>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</si>
  <si>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</si>
  <si>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</si>
  <si>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</si>
  <si>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</si>
  <si>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</si>
  <si>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</si>
  <si>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</si>
  <si>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</si>
  <si>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Vertical Viária</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</si>
  <si>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</si>
  <si>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</si>
  <si>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</si>
  <si>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</si>
  <si>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</si>
  <si>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Sistema de Proteção contra Descargas Atmosféricas - SPDA</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</si>
  <si>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</si>
  <si>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</si>
  <si>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</si>
  <si>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</si>
  <si>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</si>
  <si>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</si>
  <si>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</si>
  <si>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</si>
  <si>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</si>
  <si>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CORDOALHA DE COBRE NU 35 MM², NÃO ENTERRADA, COM ISOLADOR - FORNECIMENTO E INSTALAÇÃO. AF_08/2023</t>
  </si>
  <si>
    <t>CORDOALHA DE COBRE NU 50 MM², ENTERRADA - FORNECIMENTO E INSTALAÇÃO. AF_08/2023</t>
  </si>
  <si>
    <t>CORDOALHA DE COBRE NU 50 MM², NÃO ENTERRADA, COM ISOLADOR - FORNECIMENTO E INSTALAÇÃO. AF_08/2023</t>
  </si>
  <si>
    <t>CORDOALHA DE COBRE NU 70 MM², ENTERRADA - FORNECIMENTO E INSTALAÇÃO. AF_08/2023</t>
  </si>
  <si>
    <t>CORDOALHA DE COBRE NU 70 MM², NÃO ENTERRADA, COM ISOLADOR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</si>
  <si>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</si>
  <si>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</si>
  <si>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</si>
  <si>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</si>
  <si>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</si>
  <si>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</si>
  <si>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</si>
  <si>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SUPORTE ISOLADOR PARA FIXAÇÃO DA CORDOALHA DE COBRE EM ALVENARIA OU CONCRETO - FORNECIMENTO E INSTALAÇÃO. AF_08/2023</t>
  </si>
  <si>
    <t>Sistemas de Medição</t>
  </si>
  <si>
    <t>CAIXA EM CONCRETO PRÉ-MOLDADO PARA ABRIGO DE HIDRÔMETRO COM DN 20 MM - FORNECIMENTO E INSTALAÇÃO.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</si>
  <si>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</si>
  <si>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</si>
  <si>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</si>
  <si>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</si>
  <si>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</si>
  <si>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</si>
  <si>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</si>
  <si>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</si>
  <si>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</si>
  <si>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</si>
  <si>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</si>
  <si>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</si>
  <si>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</si>
  <si>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</si>
  <si>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</si>
  <si>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</si>
  <si>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</si>
  <si>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</si>
  <si>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</si>
  <si>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</si>
  <si>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</si>
  <si>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</si>
  <si>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</si>
  <si>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</si>
  <si>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</si>
  <si>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</si>
  <si>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</si>
  <si>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</si>
  <si>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</si>
  <si>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</si>
  <si>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</si>
  <si>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</si>
  <si>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</si>
  <si>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</si>
  <si>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</si>
  <si>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</si>
  <si>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</si>
  <si>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</si>
  <si>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</si>
  <si>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</si>
  <si>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</si>
  <si>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</si>
  <si>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</si>
  <si>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</si>
  <si>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</si>
  <si>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</si>
  <si>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</si>
  <si>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</si>
  <si>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</si>
  <si>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</si>
  <si>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</si>
  <si>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</si>
  <si>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</si>
  <si>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</si>
  <si>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</si>
  <si>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</si>
  <si>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</si>
  <si>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</si>
  <si>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</si>
  <si>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</si>
  <si>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</si>
  <si>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</si>
  <si>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</si>
  <si>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</si>
  <si>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</si>
  <si>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</si>
  <si>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</si>
  <si>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</si>
  <si>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</si>
  <si>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</si>
  <si>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</si>
  <si>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</si>
  <si>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</si>
  <si>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</si>
  <si>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</si>
  <si>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</si>
  <si>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</si>
  <si>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</si>
  <si>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</si>
  <si>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</si>
  <si>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</si>
  <si>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</si>
  <si>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</si>
  <si>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</si>
  <si>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</si>
  <si>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</si>
  <si>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</si>
  <si>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</si>
  <si>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</si>
  <si>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</si>
  <si>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</si>
  <si>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</si>
  <si>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</si>
  <si>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</si>
  <si>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</si>
  <si>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</si>
  <si>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</si>
  <si>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</si>
  <si>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</si>
  <si>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</si>
  <si>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</si>
  <si>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</si>
  <si>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</si>
  <si>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</si>
  <si>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</si>
  <si>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</si>
  <si>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</si>
  <si>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</si>
  <si>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Transformadores</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</si>
  <si>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</si>
  <si>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</si>
  <si>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</si>
  <si>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</si>
  <si>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</si>
  <si>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</si>
  <si>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</si>
  <si>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</si>
  <si>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</si>
  <si>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</si>
  <si>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</si>
  <si>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</si>
  <si>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de Materiais dentro do Canteiro de Obras</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</si>
  <si>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</si>
  <si>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</si>
  <si>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</si>
  <si>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</si>
  <si>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</si>
  <si>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</si>
  <si>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</si>
  <si>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</si>
  <si>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</si>
  <si>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</si>
  <si>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</si>
  <si>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</si>
  <si>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</si>
  <si>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</si>
  <si>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</si>
  <si>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</si>
  <si>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</si>
  <si>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</si>
  <si>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</si>
  <si>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</si>
  <si>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</si>
  <si>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</si>
  <si>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</si>
  <si>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</si>
  <si>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</si>
  <si>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</si>
  <si>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</si>
  <si>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</si>
  <si>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</si>
  <si>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</si>
  <si>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</si>
  <si>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</si>
  <si>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</si>
  <si>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</si>
  <si>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</si>
  <si>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</si>
  <si>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</si>
  <si>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</si>
  <si>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</si>
  <si>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</si>
  <si>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</si>
  <si>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</si>
  <si>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</si>
  <si>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</si>
  <si>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</si>
  <si>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</si>
  <si>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</si>
  <si>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</si>
  <si>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</si>
  <si>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</si>
  <si>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</si>
  <si>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</si>
  <si>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</si>
  <si>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</si>
  <si>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</si>
  <si>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</si>
  <si>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</si>
  <si>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</si>
  <si>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</si>
  <si>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</si>
  <si>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</si>
  <si>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</si>
  <si>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</si>
  <si>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</si>
  <si>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</si>
  <si>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</si>
  <si>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</si>
  <si>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</si>
  <si>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</si>
  <si>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</si>
  <si>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</si>
  <si>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</si>
  <si>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</si>
  <si>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</si>
  <si>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</si>
  <si>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</si>
  <si>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</si>
  <si>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</si>
  <si>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</si>
  <si>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</si>
  <si>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</si>
  <si>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</si>
  <si>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</si>
  <si>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</si>
  <si>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</si>
  <si>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</si>
  <si>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</si>
  <si>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</si>
  <si>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</si>
  <si>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</si>
  <si>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</si>
  <si>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</si>
  <si>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</si>
  <si>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</si>
  <si>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</si>
  <si>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</si>
  <si>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</si>
  <si>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</si>
  <si>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</si>
  <si>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Transporte, Carga e Descarga de Materiais</t>
  </si>
  <si>
    <t>CARGA DE MISTURA ASFÁLTICA EM CAMINHÃO BASCULANTE 10 M³ (UNIDADE: M3). AF_07/2020</t>
  </si>
  <si>
    <t>CARGA DE MISTURA ASFÁLTICA EM CAMINHÃO BASCULANTE 10 M³ (UNIDADE: T). AF_07/2020</t>
  </si>
  <si>
    <t>T</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</si>
  <si>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</si>
  <si>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</si>
  <si>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</si>
  <si>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</si>
  <si>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</si>
  <si>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</si>
  <si>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</si>
  <si>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</si>
  <si>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</si>
  <si>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</si>
  <si>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</si>
  <si>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</si>
  <si>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</si>
  <si>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</si>
  <si>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</si>
  <si>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</si>
  <si>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</si>
  <si>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</si>
  <si>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</si>
  <si>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</si>
  <si>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</si>
  <si>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</si>
  <si>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</si>
  <si>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</si>
  <si>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</si>
  <si>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</si>
  <si>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</si>
  <si>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</si>
  <si>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</si>
  <si>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</si>
  <si>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</si>
  <si>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</si>
  <si>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</si>
  <si>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</si>
  <si>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</si>
  <si>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</si>
  <si>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</si>
  <si>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</si>
  <si>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</si>
  <si>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</si>
  <si>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</si>
  <si>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</si>
  <si>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</si>
  <si>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</si>
  <si>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</si>
  <si>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</si>
  <si>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</si>
  <si>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</si>
  <si>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</si>
  <si>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</si>
  <si>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</si>
  <si>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</si>
  <si>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</si>
  <si>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</si>
  <si>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</si>
  <si>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</si>
  <si>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</si>
  <si>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</si>
  <si>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</si>
  <si>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</si>
  <si>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</si>
  <si>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</si>
  <si>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</si>
  <si>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</si>
  <si>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</si>
  <si>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</si>
  <si>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</si>
  <si>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</si>
  <si>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</si>
  <si>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</si>
  <si>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</si>
  <si>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</si>
  <si>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TXKM</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</si>
  <si>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</si>
  <si>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</si>
  <si>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</si>
  <si>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</si>
  <si>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</si>
  <si>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</si>
  <si>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</si>
  <si>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</si>
  <si>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</si>
  <si>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</si>
  <si>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</si>
  <si>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</si>
  <si>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</si>
  <si>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</si>
  <si>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</si>
  <si>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</si>
  <si>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</si>
  <si>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</si>
  <si>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</si>
  <si>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</si>
  <si>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</si>
  <si>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</si>
  <si>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</si>
  <si>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</si>
  <si>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</si>
  <si>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</si>
  <si>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</si>
  <si>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</si>
  <si>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</si>
  <si>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</si>
  <si>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</si>
  <si>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</si>
  <si>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</si>
  <si>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</si>
  <si>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</si>
  <si>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</si>
  <si>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</si>
  <si>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</si>
  <si>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</si>
  <si>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</si>
  <si>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</si>
  <si>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</si>
  <si>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</si>
  <si>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</si>
  <si>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</si>
  <si>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</si>
  <si>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</si>
  <si>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</si>
  <si>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</si>
  <si>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</si>
  <si>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</si>
  <si>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</si>
  <si>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</si>
  <si>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</si>
  <si>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</si>
  <si>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</si>
  <si>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</si>
  <si>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</si>
  <si>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</si>
  <si>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</si>
  <si>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</si>
  <si>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</si>
  <si>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</si>
  <si>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</si>
  <si>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</si>
  <si>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</si>
  <si>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</si>
  <si>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</si>
  <si>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</si>
  <si>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</si>
  <si>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</si>
  <si>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</si>
  <si>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</si>
  <si>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</si>
  <si>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</si>
  <si>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</si>
  <si>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</si>
  <si>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</si>
  <si>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</si>
  <si>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</si>
  <si>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</si>
  <si>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</si>
  <si>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</si>
  <si>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</si>
  <si>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</si>
  <si>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</si>
  <si>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</si>
  <si>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</si>
  <si>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</si>
  <si>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</si>
  <si>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</si>
  <si>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</si>
  <si>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</si>
  <si>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</si>
  <si>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</si>
  <si>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</si>
  <si>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</si>
  <si>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</si>
  <si>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</si>
  <si>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</si>
  <si>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</si>
  <si>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</si>
  <si>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</si>
  <si>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</si>
  <si>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</si>
  <si>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</si>
  <si>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</si>
  <si>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</si>
  <si>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</si>
  <si>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</si>
  <si>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</si>
  <si>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</si>
  <si>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</si>
  <si>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</si>
  <si>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</si>
  <si>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</si>
  <si>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</si>
  <si>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</si>
  <si>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</si>
  <si>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</si>
  <si>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</si>
  <si>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</si>
  <si>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</si>
  <si>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</si>
  <si>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</si>
  <si>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</si>
  <si>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</si>
  <si>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</si>
  <si>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</si>
  <si>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</si>
  <si>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</si>
  <si>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Tubulões</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</si>
  <si>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</si>
  <si>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</si>
  <si>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</si>
  <si>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</si>
  <si>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</si>
  <si>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</si>
  <si>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</si>
  <si>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</si>
  <si>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</si>
  <si>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</si>
  <si>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</si>
  <si>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</si>
  <si>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</si>
  <si>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</si>
  <si>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</si>
  <si>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</si>
  <si>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</si>
  <si>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</si>
  <si>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</si>
  <si>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USINAGEM DE BRITA GRADUADA SIMPLES. AF_03/2020</t>
  </si>
  <si>
    <t>USINAGEM DE BRITA GRADUADA TRATADA COM CIMENTO. AF_03/2020</t>
  </si>
  <si>
    <t>USINAGEM DE CONCRETO PARA COMPACTAÇÃO COM ROLO. AF_03/2020</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</si>
  <si>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</si>
  <si>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</si>
  <si>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</si>
  <si>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</si>
  <si>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</si>
  <si>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</si>
  <si>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</si>
  <si>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</si>
  <si>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</si>
  <si>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</si>
  <si>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</si>
  <si>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</si>
  <si>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</si>
  <si>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</si>
  <si>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</si>
  <si>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</si>
  <si>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</si>
  <si>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</si>
  <si>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</si>
  <si>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</si>
  <si>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</si>
  <si>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</si>
  <si>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</si>
  <si>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</si>
  <si>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</si>
  <si>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</si>
  <si>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</si>
  <si>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</si>
  <si>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</si>
  <si>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</si>
  <si>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</si>
  <si>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</si>
  <si>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</si>
  <si>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</si>
  <si>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</si>
  <si>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</si>
  <si>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</si>
  <si>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15 MM (5+5+5), ENCAIXADO EM PERFIL U. AF_01/2021_PS</t>
  </si>
  <si>
    <t>INSTALAÇÃO DE VIDRO LAMINADO, E = 8 MM (4+4), ENCAIXADO EM PERFIL U. AF_01/2021_PS</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</si>
  <si>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</si>
  <si>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</si>
  <si>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</si>
  <si>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</si>
  <si>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</si>
  <si>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</si>
  <si>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</si>
  <si>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</si>
  <si>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</si>
  <si>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</si>
  <si>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</si>
  <si>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</si>
  <si>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</si>
  <si>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</si>
  <si>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</si>
  <si>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</si>
  <si>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</si>
  <si>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</si>
  <si>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</si>
  <si>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</si>
  <si>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</si>
  <si>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</si>
  <si>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</si>
  <si>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</si>
  <si>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</si>
  <si>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</si>
  <si>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</si>
  <si>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</si>
  <si>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</si>
  <si>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</si>
  <si>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Válvulas e Registros para Sistemas Prediais</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</si>
  <si>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</si>
  <si>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</si>
  <si>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</si>
  <si>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</si>
  <si>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</si>
  <si>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</si>
  <si>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</si>
  <si>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</si>
  <si>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</si>
  <si>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</si>
  <si>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</si>
  <si>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</si>
  <si>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</si>
  <si>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</si>
  <si>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</si>
  <si>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</si>
  <si>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</si>
  <si>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</si>
  <si>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</si>
  <si>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</si>
  <si>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</si>
  <si>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</si>
  <si>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</si>
  <si>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</si>
  <si>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</si>
  <si>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</si>
  <si>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</si>
  <si>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</si>
  <si>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</si>
  <si>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</si>
  <si>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</si>
  <si>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3/4''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</si>
  <si>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</si>
  <si>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</si>
  <si>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</si>
  <si>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</si>
  <si>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</si>
  <si>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</si>
  <si>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</si>
  <si>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</si>
  <si>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</si>
  <si>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</si>
  <si>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</si>
  <si>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</si>
  <si>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</si>
  <si>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</si>
  <si>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</si>
  <si>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</si>
  <si>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</si>
  <si>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</si>
  <si>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</si>
  <si>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</si>
  <si>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</si>
  <si>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</si>
  <si>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</si>
  <si>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</si>
  <si>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</si>
  <si>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</si>
  <si>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</si>
  <si>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</si>
  <si>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</si>
  <si>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</si>
  <si>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</si>
  <si>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</si>
  <si>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</si>
  <si>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</si>
  <si>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</si>
  <si>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</si>
  <si>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</si>
  <si>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</si>
  <si>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</si>
  <si>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</si>
  <si>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</si>
  <si>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</si>
  <si>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</si>
  <si>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</si>
  <si>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</si>
  <si>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</si>
  <si>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</si>
  <si>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</si>
  <si>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</si>
  <si>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</si>
  <si>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</si>
  <si>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</si>
  <si>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 xml:space="preserve">INSUMOS DE EDIFICAÇÕES - NÃO DESONERADA
RESOLUÇÃO SECID N° 027/2025
Referência SINAPI: FEVEREIRO de 2025  - Vigência: MARÇO de 2025
</t>
  </si>
  <si>
    <t>DESCRICAO DO INSUMO</t>
  </si>
  <si>
    <t>R$/UN</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</si>
  <si>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</si>
  <si>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</si>
  <si>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</si>
  <si>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</si>
  <si>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</si>
  <si>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</si>
  <si>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</si>
  <si>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</si>
  <si>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</si>
  <si>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</si>
  <si>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</si>
  <si>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</si>
  <si>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</si>
  <si>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</si>
  <si>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</si>
  <si>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</si>
  <si>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</si>
  <si>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</si>
  <si>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</si>
  <si>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</si>
  <si>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</si>
  <si>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</si>
  <si>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</si>
  <si>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</si>
  <si>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</si>
  <si>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</si>
  <si>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</si>
  <si>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</si>
  <si>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</si>
  <si>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</si>
  <si>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</si>
  <si>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</si>
  <si>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</si>
  <si>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</si>
  <si>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</si>
  <si>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</si>
  <si>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</si>
  <si>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</si>
  <si>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</si>
  <si>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</si>
  <si>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</si>
  <si>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</si>
  <si>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</si>
  <si>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</si>
  <si>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</si>
  <si>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</si>
  <si>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</si>
  <si>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</si>
  <si>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</si>
  <si>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</si>
  <si>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</si>
  <si>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</si>
  <si>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</si>
  <si>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</si>
  <si>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</si>
  <si>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</si>
  <si>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</si>
  <si>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</si>
  <si>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</si>
  <si>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</si>
  <si>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</si>
  <si>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</si>
  <si>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</si>
  <si>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</si>
  <si>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</si>
  <si>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</si>
  <si>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</si>
  <si>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</si>
  <si>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</si>
  <si>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</si>
  <si>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</si>
  <si>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</si>
  <si>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</si>
  <si>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</si>
  <si>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</si>
  <si>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</si>
  <si>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</si>
  <si>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</si>
  <si>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</si>
  <si>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</si>
  <si>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</si>
  <si>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</si>
  <si>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</si>
  <si>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</si>
  <si>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</si>
  <si>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</si>
  <si>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</si>
  <si>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</si>
  <si>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</si>
  <si>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</si>
  <si>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</si>
  <si>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</si>
  <si>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</si>
  <si>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</si>
  <si>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</si>
  <si>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</si>
  <si>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</si>
  <si>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</si>
  <si>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</si>
  <si>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</si>
  <si>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</si>
  <si>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</si>
  <si>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</si>
  <si>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</si>
  <si>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</si>
  <si>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</si>
  <si>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</si>
  <si>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</si>
  <si>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</si>
  <si>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</si>
  <si>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</si>
  <si>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</si>
  <si>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</si>
  <si>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</si>
  <si>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</si>
  <si>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</si>
  <si>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</si>
  <si>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</si>
  <si>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</si>
  <si>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</si>
  <si>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</si>
  <si>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</si>
  <si>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</si>
  <si>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</si>
  <si>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</si>
  <si>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</si>
  <si>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</si>
  <si>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</si>
  <si>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</si>
  <si>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</si>
  <si>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</si>
  <si>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</si>
  <si>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</si>
  <si>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</si>
  <si>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</si>
  <si>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</si>
  <si>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</si>
  <si>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</si>
  <si>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</si>
  <si>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</si>
  <si>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</si>
  <si>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</si>
  <si>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</si>
  <si>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</si>
  <si>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</si>
  <si>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</si>
  <si>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</si>
  <si>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</si>
  <si>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</si>
  <si>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</si>
  <si>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</si>
  <si>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</si>
  <si>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ALMOXARIFE (HORISTA)</t>
  </si>
  <si>
    <t>ALMOXARIFE (MENSALISTA)</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</si>
  <si>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</si>
  <si>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</si>
  <si>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</si>
  <si>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</si>
  <si>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</si>
  <si>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</si>
  <si>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</si>
  <si>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</si>
  <si>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</si>
  <si>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</si>
  <si>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</si>
  <si>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</si>
  <si>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</si>
  <si>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</si>
  <si>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</si>
  <si>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</si>
  <si>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</si>
  <si>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</si>
  <si>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</si>
  <si>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</si>
  <si>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</si>
  <si>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</si>
  <si>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</si>
  <si>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</si>
  <si>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</si>
  <si>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</si>
  <si>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</si>
  <si>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</si>
  <si>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</si>
  <si>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</si>
  <si>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</si>
  <si>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</si>
  <si>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</si>
  <si>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</si>
  <si>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</si>
  <si>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</si>
  <si>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</si>
  <si>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</si>
  <si>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</si>
  <si>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</si>
  <si>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</si>
  <si>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</si>
  <si>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</si>
  <si>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</si>
  <si>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</si>
  <si>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</si>
  <si>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</si>
  <si>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</si>
  <si>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</si>
  <si>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</si>
  <si>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</si>
  <si>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</si>
  <si>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</si>
  <si>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</si>
  <si>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</si>
  <si>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</si>
  <si>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</si>
  <si>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</si>
  <si>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</si>
  <si>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</si>
  <si>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</si>
  <si>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</si>
  <si>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</si>
  <si>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</si>
  <si>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</si>
  <si>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</si>
  <si>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</si>
  <si>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</si>
  <si>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</si>
  <si>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</si>
  <si>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</si>
  <si>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</si>
  <si>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</si>
  <si>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</si>
  <si>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</si>
  <si>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</si>
  <si>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</si>
  <si>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</si>
  <si>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</si>
  <si>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</si>
  <si>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</si>
  <si>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</si>
  <si>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</si>
  <si>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</si>
  <si>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</si>
  <si>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</si>
  <si>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</si>
  <si>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</si>
  <si>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</si>
  <si>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</si>
  <si>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</si>
  <si>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</si>
  <si>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</si>
  <si>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</si>
  <si>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</si>
  <si>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</si>
  <si>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</si>
  <si>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</si>
  <si>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</si>
  <si>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</si>
  <si>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</si>
  <si>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</si>
  <si>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</si>
  <si>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</si>
  <si>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</si>
  <si>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</si>
  <si>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</si>
  <si>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</si>
  <si>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</si>
  <si>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</si>
  <si>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</si>
  <si>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</si>
  <si>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</si>
  <si>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</si>
  <si>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</si>
  <si>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</si>
  <si>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</si>
  <si>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</si>
  <si>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</si>
  <si>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</si>
  <si>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</si>
  <si>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</si>
  <si>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</si>
  <si>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</si>
  <si>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</si>
  <si>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</si>
  <si>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</si>
  <si>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</si>
  <si>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</si>
  <si>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</si>
  <si>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</si>
  <si>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</si>
  <si>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</si>
  <si>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</si>
  <si>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</si>
  <si>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</si>
  <si>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</si>
  <si>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</si>
  <si>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</si>
  <si>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</si>
  <si>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</si>
  <si>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</si>
  <si>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</si>
  <si>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</si>
  <si>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</si>
  <si>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</si>
  <si>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</si>
  <si>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</si>
  <si>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</si>
  <si>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</si>
  <si>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</si>
  <si>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</si>
  <si>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</si>
  <si>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</si>
  <si>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</si>
  <si>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</si>
  <si>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</si>
  <si>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</si>
  <si>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</si>
  <si>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</si>
  <si>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</si>
  <si>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</si>
  <si>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</si>
  <si>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</si>
  <si>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</si>
  <si>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</si>
  <si>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</si>
  <si>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</si>
  <si>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</si>
  <si>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</si>
  <si>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</si>
  <si>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</si>
  <si>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</si>
  <si>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</si>
  <si>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</si>
  <si>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</si>
  <si>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</si>
  <si>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</si>
  <si>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</si>
  <si>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</si>
  <si>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</si>
  <si>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</si>
  <si>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</si>
  <si>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</si>
  <si>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</si>
  <si>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</si>
  <si>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</si>
  <si>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</si>
  <si>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</si>
  <si>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</si>
  <si>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</si>
  <si>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</si>
  <si>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</si>
  <si>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</si>
  <si>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</si>
  <si>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</si>
  <si>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</si>
  <si>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</si>
  <si>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</si>
  <si>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</si>
  <si>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</si>
  <si>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</si>
  <si>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</si>
  <si>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</si>
  <si>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</si>
  <si>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</si>
  <si>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</si>
  <si>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</si>
  <si>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</si>
  <si>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</si>
  <si>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</si>
  <si>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</si>
  <si>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</si>
  <si>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</si>
  <si>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</si>
  <si>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</si>
  <si>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</si>
  <si>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</si>
  <si>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</si>
  <si>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</si>
  <si>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</si>
  <si>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</si>
  <si>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BASTIDOR PARA BLOCO M10</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</si>
  <si>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</si>
  <si>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</si>
  <si>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</si>
  <si>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</si>
  <si>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</si>
  <si>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</si>
  <si>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</si>
  <si>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</si>
  <si>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</si>
  <si>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</si>
  <si>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</si>
  <si>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</si>
  <si>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</si>
  <si>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</si>
  <si>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</si>
  <si>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</si>
  <si>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</si>
  <si>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</si>
  <si>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</si>
  <si>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</si>
  <si>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</si>
  <si>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</si>
  <si>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</si>
  <si>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</si>
  <si>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</si>
  <si>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</si>
  <si>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</si>
  <si>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</si>
  <si>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</si>
  <si>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</si>
  <si>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</si>
  <si>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</si>
  <si>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</si>
  <si>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</si>
  <si>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</si>
  <si>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</si>
  <si>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</si>
  <si>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</si>
  <si>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</si>
  <si>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</si>
  <si>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</si>
  <si>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</si>
  <si>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</si>
  <si>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</si>
  <si>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</si>
  <si>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</si>
  <si>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</si>
  <si>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</si>
  <si>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</si>
  <si>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</si>
  <si>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</si>
  <si>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</si>
  <si>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</si>
  <si>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</si>
  <si>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</si>
  <si>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</si>
  <si>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</si>
  <si>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</si>
  <si>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</si>
  <si>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</si>
  <si>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</si>
  <si>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</si>
  <si>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</si>
  <si>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</si>
  <si>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</si>
  <si>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</si>
  <si>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</si>
  <si>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</si>
  <si>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</si>
  <si>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</si>
  <si>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</si>
  <si>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</si>
  <si>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</si>
  <si>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</si>
  <si>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</si>
  <si>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</si>
  <si>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</si>
  <si>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</si>
  <si>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</si>
  <si>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</si>
  <si>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</si>
  <si>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</si>
  <si>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</si>
  <si>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</si>
  <si>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</si>
  <si>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</si>
  <si>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</si>
  <si>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</si>
  <si>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</si>
  <si>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</si>
  <si>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</si>
  <si>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</si>
  <si>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</si>
  <si>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</si>
  <si>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</si>
  <si>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</si>
  <si>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</si>
  <si>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</si>
  <si>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</si>
  <si>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</si>
  <si>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</si>
  <si>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</si>
  <si>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</si>
  <si>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</si>
  <si>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</si>
  <si>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</si>
  <si>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</si>
  <si>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</si>
  <si>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</si>
  <si>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</si>
  <si>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</si>
  <si>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</si>
  <si>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</si>
  <si>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</si>
  <si>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</si>
  <si>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</si>
  <si>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</si>
  <si>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</si>
  <si>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</si>
  <si>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</si>
  <si>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</si>
  <si>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</si>
  <si>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</si>
  <si>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</si>
  <si>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</si>
  <si>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</si>
  <si>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</si>
  <si>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</si>
  <si>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</si>
  <si>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</si>
  <si>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</si>
  <si>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</si>
  <si>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</si>
  <si>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</si>
  <si>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</si>
  <si>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</si>
  <si>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</si>
  <si>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</si>
  <si>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</si>
  <si>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</si>
  <si>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</si>
  <si>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</si>
  <si>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</si>
  <si>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</si>
  <si>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</si>
  <si>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</si>
  <si>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</si>
  <si>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</si>
  <si>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</si>
  <si>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</si>
  <si>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</si>
  <si>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</si>
  <si>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</si>
  <si>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</si>
  <si>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</si>
  <si>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</si>
  <si>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</si>
  <si>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</si>
  <si>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</si>
  <si>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</si>
  <si>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</si>
  <si>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</si>
  <si>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</si>
  <si>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</si>
  <si>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</si>
  <si>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</si>
  <si>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</si>
  <si>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</si>
  <si>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</si>
  <si>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</si>
  <si>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</si>
  <si>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</si>
  <si>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</si>
  <si>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</si>
  <si>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</si>
  <si>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</si>
  <si>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</si>
  <si>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</si>
  <si>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</si>
  <si>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</si>
  <si>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</si>
  <si>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</si>
  <si>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</si>
  <si>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</si>
  <si>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</si>
  <si>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</si>
  <si>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</si>
  <si>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</si>
  <si>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</si>
  <si>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</si>
  <si>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</si>
  <si>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</si>
  <si>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</si>
  <si>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</si>
  <si>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</si>
  <si>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</si>
  <si>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</si>
  <si>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</si>
  <si>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</si>
  <si>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</si>
  <si>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</si>
  <si>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</si>
  <si>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</si>
  <si>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</si>
  <si>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</si>
  <si>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</si>
  <si>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</si>
  <si>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</si>
  <si>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</si>
  <si>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</si>
  <si>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</si>
  <si>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</si>
  <si>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</si>
  <si>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</si>
  <si>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</si>
  <si>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</si>
  <si>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</si>
  <si>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</si>
  <si>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</si>
  <si>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</si>
  <si>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</si>
  <si>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</si>
  <si>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</si>
  <si>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</si>
  <si>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</si>
  <si>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</si>
  <si>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</si>
  <si>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</si>
  <si>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</si>
  <si>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</si>
  <si>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</si>
  <si>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</si>
  <si>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</si>
  <si>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</si>
  <si>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</si>
  <si>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</si>
  <si>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</si>
  <si>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</si>
  <si>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</si>
  <si>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</si>
  <si>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</si>
  <si>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</si>
  <si>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</si>
  <si>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</si>
  <si>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</si>
  <si>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</si>
  <si>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</si>
  <si>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</si>
  <si>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</si>
  <si>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</si>
  <si>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</si>
  <si>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</si>
  <si>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</si>
  <si>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</si>
  <si>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</si>
  <si>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</si>
  <si>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</si>
  <si>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</si>
  <si>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</si>
  <si>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</si>
  <si>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</si>
  <si>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</si>
  <si>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</si>
  <si>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</si>
  <si>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</si>
  <si>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</si>
  <si>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</si>
  <si>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</si>
  <si>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</si>
  <si>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</si>
  <si>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</si>
  <si>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</si>
  <si>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</si>
  <si>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</si>
  <si>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</si>
  <si>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</si>
  <si>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</si>
  <si>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</si>
  <si>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</si>
  <si>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</si>
  <si>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</si>
  <si>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</si>
  <si>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</si>
  <si>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</si>
  <si>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</si>
  <si>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</si>
  <si>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</si>
  <si>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</si>
  <si>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</si>
  <si>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</si>
  <si>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</si>
  <si>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</si>
  <si>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</si>
  <si>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</si>
  <si>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</si>
  <si>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</si>
  <si>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</si>
  <si>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</si>
  <si>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</si>
  <si>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</si>
  <si>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</si>
  <si>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</si>
  <si>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</si>
  <si>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</si>
  <si>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</si>
  <si>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</si>
  <si>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</si>
  <si>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</si>
  <si>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</si>
  <si>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</si>
  <si>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</si>
  <si>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</si>
  <si>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</si>
  <si>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</si>
  <si>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</si>
  <si>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</si>
  <si>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</si>
  <si>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</si>
  <si>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</si>
  <si>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</si>
  <si>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</si>
  <si>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</si>
  <si>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</si>
  <si>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</si>
  <si>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</si>
  <si>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</si>
  <si>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</si>
  <si>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</si>
  <si>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</si>
  <si>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</si>
  <si>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</si>
  <si>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</si>
  <si>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</si>
  <si>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</si>
  <si>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</si>
  <si>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</si>
  <si>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</si>
  <si>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</si>
  <si>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</si>
  <si>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</si>
  <si>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</si>
  <si>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</si>
  <si>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</si>
  <si>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</si>
  <si>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</si>
  <si>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</si>
  <si>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</si>
  <si>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</si>
  <si>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</si>
  <si>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</si>
  <si>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</si>
  <si>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</si>
  <si>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</si>
  <si>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</si>
  <si>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</si>
  <si>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</si>
  <si>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</si>
  <si>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</si>
  <si>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</si>
  <si>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</si>
  <si>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</si>
  <si>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</si>
  <si>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</si>
  <si>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</si>
  <si>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</si>
  <si>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</si>
  <si>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</si>
  <si>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</si>
  <si>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</si>
  <si>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</si>
  <si>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</si>
  <si>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</si>
  <si>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</si>
  <si>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</si>
  <si>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</si>
  <si>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</si>
  <si>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</si>
  <si>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</si>
  <si>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</si>
  <si>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</si>
  <si>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</si>
  <si>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</si>
  <si>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</si>
  <si>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</si>
  <si>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</si>
  <si>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</si>
  <si>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</si>
  <si>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</si>
  <si>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</si>
  <si>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EM PVC, DE 4" X 2", PARA ELETRODUTO FLEXIVEL CORRUGADO</t>
  </si>
  <si>
    <t>CAIXA DE PASSAGEM, EM PVC, DE 4" X 4", PARA ELETRODUTO FLEXIVEL CORRUGADO</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</si>
  <si>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</si>
  <si>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</si>
  <si>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</si>
  <si>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MEDIDOR MONOFASICO, EM POLICARBONATO / TERMOPLASTICO, PARA ALOJAR 1 DISJUNTOR (PADRAO DA CONCESSIONARIA LOCAL)</t>
  </si>
  <si>
    <t>CAIXA PARA MEDIDOR POLIFASICO, EM POLICARBONATO / TERMOPLASTICO, PARA ALOJAR 1 DISJUNTOR (PADRAO DA CONCESSIONARIA LOCAL)</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</si>
  <si>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</si>
  <si>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</si>
  <si>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</si>
  <si>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</si>
  <si>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</si>
  <si>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</si>
  <si>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</si>
  <si>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</si>
  <si>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</si>
  <si>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</si>
  <si>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</si>
  <si>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</si>
  <si>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</si>
  <si>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</si>
  <si>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</si>
  <si>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</si>
  <si>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</si>
  <si>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</si>
  <si>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</si>
  <si>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</si>
  <si>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</si>
  <si>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</si>
  <si>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</si>
  <si>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</si>
  <si>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</si>
  <si>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</si>
  <si>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</si>
  <si>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</si>
  <si>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</si>
  <si>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</si>
  <si>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</si>
  <si>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</si>
  <si>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</si>
  <si>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</si>
  <si>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</si>
  <si>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</si>
  <si>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</si>
  <si>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</si>
  <si>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</si>
  <si>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</si>
  <si>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</si>
  <si>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</si>
  <si>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</si>
  <si>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</si>
  <si>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</si>
  <si>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</si>
  <si>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</si>
  <si>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</si>
  <si>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</si>
  <si>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</si>
  <si>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</si>
  <si>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</si>
  <si>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</si>
  <si>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</si>
  <si>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</si>
  <si>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</si>
  <si>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</si>
  <si>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</si>
  <si>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</si>
  <si>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</si>
  <si>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</si>
  <si>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</si>
  <si>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</si>
  <si>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</si>
  <si>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</si>
  <si>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</si>
  <si>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</si>
  <si>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</si>
  <si>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</si>
  <si>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</si>
  <si>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</si>
  <si>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</si>
  <si>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</si>
  <si>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</si>
  <si>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</si>
  <si>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</si>
  <si>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</si>
  <si>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</si>
  <si>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</si>
  <si>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</si>
  <si>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</si>
  <si>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</si>
  <si>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</si>
  <si>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</si>
  <si>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</si>
  <si>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</si>
  <si>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</si>
  <si>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</si>
  <si>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</si>
  <si>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</si>
  <si>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</si>
  <si>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</si>
  <si>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</si>
  <si>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</si>
  <si>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</si>
  <si>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</si>
  <si>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</si>
  <si>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</si>
  <si>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</si>
  <si>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</si>
  <si>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</si>
  <si>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</si>
  <si>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</si>
  <si>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</si>
  <si>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</si>
  <si>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</si>
  <si>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</si>
  <si>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</si>
  <si>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</si>
  <si>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</si>
  <si>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</si>
  <si>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</si>
  <si>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</si>
  <si>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</si>
  <si>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</si>
  <si>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</si>
  <si>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</si>
  <si>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</si>
  <si>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</si>
  <si>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</si>
  <si>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</si>
  <si>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</si>
  <si>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</si>
  <si>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</si>
  <si>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</si>
  <si>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</si>
  <si>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</si>
  <si>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</si>
  <si>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</si>
  <si>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</si>
  <si>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</si>
  <si>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</si>
  <si>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</si>
  <si>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</si>
  <si>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</si>
  <si>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</si>
  <si>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</si>
  <si>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</si>
  <si>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</si>
  <si>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</si>
  <si>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</si>
  <si>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</si>
  <si>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</si>
  <si>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</si>
  <si>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</si>
  <si>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</si>
  <si>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</si>
  <si>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</si>
  <si>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</si>
  <si>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</si>
  <si>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</si>
  <si>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</si>
  <si>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</si>
  <si>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</si>
  <si>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</si>
  <si>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</si>
  <si>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</si>
  <si>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</si>
  <si>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</si>
  <si>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</si>
  <si>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</si>
  <si>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</si>
  <si>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</si>
  <si>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</si>
  <si>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</si>
  <si>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</si>
  <si>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</si>
  <si>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</si>
  <si>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</si>
  <si>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</si>
  <si>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</si>
  <si>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</si>
  <si>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</si>
  <si>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</si>
  <si>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</si>
  <si>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</si>
  <si>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</si>
  <si>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</si>
  <si>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</si>
  <si>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</si>
  <si>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</si>
  <si>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</si>
  <si>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</si>
  <si>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</si>
  <si>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</si>
  <si>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</si>
  <si>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</si>
  <si>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</si>
  <si>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</si>
  <si>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</si>
  <si>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</si>
  <si>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</si>
  <si>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</si>
  <si>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</si>
  <si>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</si>
  <si>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</si>
  <si>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</si>
  <si>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</si>
  <si>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</si>
  <si>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</si>
  <si>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</si>
  <si>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</si>
  <si>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</si>
  <si>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</si>
  <si>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</si>
  <si>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</si>
  <si>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</si>
  <si>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</si>
  <si>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</si>
  <si>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</si>
  <si>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</si>
  <si>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</si>
  <si>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</si>
  <si>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</si>
  <si>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</si>
  <si>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</si>
  <si>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</si>
  <si>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</si>
  <si>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</si>
  <si>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</si>
  <si>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</si>
  <si>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</si>
  <si>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</si>
  <si>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</si>
  <si>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</si>
  <si>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</si>
  <si>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</si>
  <si>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</si>
  <si>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</si>
  <si>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</si>
  <si>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</si>
  <si>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</si>
  <si>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</si>
  <si>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</si>
  <si>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</si>
  <si>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</si>
  <si>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</si>
  <si>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</si>
  <si>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</si>
  <si>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</si>
  <si>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</si>
  <si>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</si>
  <si>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</si>
  <si>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</si>
  <si>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</si>
  <si>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</si>
  <si>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</si>
  <si>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</si>
  <si>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</si>
  <si>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</si>
  <si>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</si>
  <si>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</si>
  <si>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</si>
  <si>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</si>
  <si>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</si>
  <si>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</si>
  <si>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</si>
  <si>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</si>
  <si>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</si>
  <si>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</si>
  <si>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</si>
  <si>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</si>
  <si>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</si>
  <si>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</si>
  <si>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</si>
  <si>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</si>
  <si>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</si>
  <si>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</si>
  <si>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</si>
  <si>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</si>
  <si>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</si>
  <si>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</si>
  <si>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</si>
  <si>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</si>
  <si>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</si>
  <si>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</si>
  <si>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</si>
  <si>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</si>
  <si>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</si>
  <si>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</si>
  <si>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</si>
  <si>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</si>
  <si>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</si>
  <si>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</si>
  <si>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</si>
  <si>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</si>
  <si>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</si>
  <si>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</si>
  <si>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</si>
  <si>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</si>
  <si>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</si>
  <si>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</si>
  <si>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</si>
  <si>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</si>
  <si>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</si>
  <si>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</si>
  <si>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</si>
  <si>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</si>
  <si>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</si>
  <si>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</si>
  <si>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</si>
  <si>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</si>
  <si>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</si>
  <si>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</si>
  <si>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</si>
  <si>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</si>
  <si>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</si>
  <si>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</si>
  <si>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</si>
  <si>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</si>
  <si>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</si>
  <si>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</si>
  <si>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</si>
  <si>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</si>
  <si>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</si>
  <si>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</si>
  <si>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</si>
  <si>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</si>
  <si>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</si>
  <si>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</si>
  <si>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</si>
  <si>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</si>
  <si>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</si>
  <si>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</si>
  <si>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</si>
  <si>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</si>
  <si>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</si>
  <si>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</si>
  <si>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</si>
  <si>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</si>
  <si>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</si>
  <si>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</si>
  <si>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</si>
  <si>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</si>
  <si>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</si>
  <si>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</si>
  <si>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</si>
  <si>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</si>
  <si>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</si>
  <si>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</si>
  <si>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</si>
  <si>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</si>
  <si>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</si>
  <si>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</si>
  <si>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</si>
  <si>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</si>
  <si>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</si>
  <si>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</si>
  <si>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</si>
  <si>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</si>
  <si>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</si>
  <si>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</si>
  <si>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</si>
  <si>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</si>
  <si>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</si>
  <si>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</si>
  <si>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</si>
  <si>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</si>
  <si>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</si>
  <si>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</si>
  <si>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</si>
  <si>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</si>
  <si>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</si>
  <si>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</si>
  <si>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</si>
  <si>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</si>
  <si>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</si>
  <si>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</si>
  <si>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90 GRAUS DE BARRA CHATA EM ALUMINIO 3/4" X 1/4" X 300 MM</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</si>
  <si>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</si>
  <si>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</si>
  <si>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</si>
  <si>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</si>
  <si>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</si>
  <si>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</si>
  <si>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</si>
  <si>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</si>
  <si>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</si>
  <si>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</si>
  <si>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</si>
  <si>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</si>
  <si>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</si>
  <si>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</si>
  <si>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</si>
  <si>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</si>
  <si>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</si>
  <si>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</si>
  <si>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</si>
  <si>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</si>
  <si>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</si>
  <si>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</si>
  <si>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</si>
  <si>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</si>
  <si>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</si>
  <si>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</si>
  <si>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</si>
  <si>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</si>
  <si>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</si>
  <si>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</si>
  <si>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</si>
  <si>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</si>
  <si>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</si>
  <si>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</si>
  <si>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</si>
  <si>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</si>
  <si>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</si>
  <si>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</si>
  <si>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</si>
  <si>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</si>
  <si>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</si>
  <si>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</si>
  <si>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</si>
  <si>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</si>
  <si>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</si>
  <si>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</si>
  <si>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</si>
  <si>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</si>
  <si>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</si>
  <si>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</si>
  <si>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</si>
  <si>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</si>
  <si>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</si>
  <si>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</si>
  <si>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</si>
  <si>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</si>
  <si>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</si>
  <si>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</si>
  <si>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</si>
  <si>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</si>
  <si>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</si>
  <si>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</si>
  <si>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</si>
  <si>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</si>
  <si>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</si>
  <si>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</si>
  <si>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</si>
  <si>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</si>
  <si>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</si>
  <si>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</si>
  <si>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</si>
  <si>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</si>
  <si>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</si>
  <si>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</si>
  <si>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</si>
  <si>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</si>
  <si>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</si>
  <si>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</si>
  <si>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</si>
  <si>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</si>
  <si>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</si>
  <si>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</si>
  <si>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</si>
  <si>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</si>
  <si>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</si>
  <si>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</si>
  <si>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</si>
  <si>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</si>
  <si>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</si>
  <si>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</si>
  <si>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</si>
  <si>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</si>
  <si>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</si>
  <si>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</si>
  <si>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</si>
  <si>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</si>
  <si>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</si>
  <si>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</si>
  <si>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</si>
  <si>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</si>
  <si>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</si>
  <si>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</si>
  <si>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</si>
  <si>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</si>
  <si>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</si>
  <si>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</si>
  <si>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</si>
  <si>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</si>
  <si>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</si>
  <si>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</si>
  <si>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</si>
  <si>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</si>
  <si>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</si>
  <si>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</si>
  <si>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</si>
  <si>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</si>
  <si>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</si>
  <si>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</si>
  <si>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</si>
  <si>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</si>
  <si>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</si>
  <si>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</si>
  <si>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</si>
  <si>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</si>
  <si>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</si>
  <si>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</si>
  <si>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</si>
  <si>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</si>
  <si>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</si>
  <si>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</si>
  <si>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</si>
  <si>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</si>
  <si>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</si>
  <si>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</si>
  <si>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</si>
  <si>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</si>
  <si>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</si>
  <si>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</si>
  <si>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</si>
  <si>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</si>
  <si>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</si>
  <si>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</si>
  <si>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</si>
  <si>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</si>
  <si>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</si>
  <si>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</si>
  <si>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</si>
  <si>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</si>
  <si>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</si>
  <si>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</si>
  <si>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</si>
  <si>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</si>
  <si>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</si>
  <si>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</si>
  <si>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DIVISORIA EM GRANITO, COM DUAS FACES POLIDAS, TIPO ANDORINHA/ QUARTZ/ CASTELO/ CORUMBA OU OUTROS EQUIVALENTES DA REGIAO, E= *3,0* CM</t>
  </si>
  <si>
    <t>DIVISORIA EM MARMORE, COM DUAS FACES POLIDAS, BRANCO COMUM, E= *3,0*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</si>
  <si>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</si>
  <si>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</si>
  <si>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</si>
  <si>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</si>
  <si>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</si>
  <si>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</si>
  <si>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</si>
  <si>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</si>
  <si>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</si>
  <si>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</si>
  <si>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</si>
  <si>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</si>
  <si>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</si>
  <si>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</si>
  <si>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</si>
  <si>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</si>
  <si>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</si>
  <si>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</si>
  <si>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</si>
  <si>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</si>
  <si>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</si>
  <si>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</si>
  <si>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</si>
  <si>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</si>
  <si>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</si>
  <si>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</si>
  <si>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</si>
  <si>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</si>
  <si>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</si>
  <si>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</si>
  <si>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</si>
  <si>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</si>
  <si>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</si>
  <si>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</si>
  <si>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</si>
  <si>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</si>
  <si>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</si>
  <si>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</si>
  <si>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</si>
  <si>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</si>
  <si>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</si>
  <si>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</si>
  <si>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</si>
  <si>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</si>
  <si>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</si>
  <si>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</si>
  <si>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</si>
  <si>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</si>
  <si>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</si>
  <si>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</si>
  <si>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</si>
  <si>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</si>
  <si>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</si>
  <si>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</si>
  <si>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</si>
  <si>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</si>
  <si>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</si>
  <si>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</si>
  <si>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</si>
  <si>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</si>
  <si>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</si>
  <si>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</si>
  <si>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</si>
  <si>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</si>
  <si>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</si>
  <si>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</si>
  <si>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</si>
  <si>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</si>
  <si>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</si>
  <si>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</si>
  <si>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</si>
  <si>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</si>
  <si>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</si>
  <si>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</si>
  <si>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</si>
  <si>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</si>
  <si>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</si>
  <si>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</si>
  <si>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</si>
  <si>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</si>
  <si>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</si>
  <si>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</si>
  <si>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</si>
  <si>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</si>
  <si>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</si>
  <si>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</si>
  <si>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</si>
  <si>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</si>
  <si>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</si>
  <si>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</si>
  <si>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</si>
  <si>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</si>
  <si>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</si>
  <si>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</si>
  <si>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</si>
  <si>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</si>
  <si>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</si>
  <si>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</si>
  <si>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</si>
  <si>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</si>
  <si>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</si>
  <si>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</si>
  <si>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</si>
  <si>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</si>
  <si>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</si>
  <si>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</si>
  <si>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</si>
  <si>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</si>
  <si>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</si>
  <si>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</si>
  <si>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</si>
  <si>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</si>
  <si>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</si>
  <si>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</si>
  <si>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</si>
  <si>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</si>
  <si>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</si>
  <si>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</si>
  <si>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</si>
  <si>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</si>
  <si>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</si>
  <si>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</si>
  <si>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</si>
  <si>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</si>
  <si>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</si>
  <si>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</si>
  <si>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</si>
  <si>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</si>
  <si>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</si>
  <si>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</si>
  <si>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</si>
  <si>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</si>
  <si>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</si>
  <si>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</si>
  <si>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</si>
  <si>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</si>
  <si>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</si>
  <si>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</si>
  <si>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</si>
  <si>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</si>
  <si>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</si>
  <si>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</si>
  <si>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</si>
  <si>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</si>
  <si>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</si>
  <si>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</si>
  <si>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</si>
  <si>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</si>
  <si>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</si>
  <si>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</si>
  <si>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</si>
  <si>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</si>
  <si>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</si>
  <si>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</si>
  <si>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</si>
  <si>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</si>
  <si>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</si>
  <si>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</si>
  <si>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</si>
  <si>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</si>
  <si>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</si>
  <si>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</si>
  <si>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ESPUMA EXPANSIVA DE POLIURETANO, APLICACAO MANUAL - 500 ML</t>
  </si>
  <si>
    <t>ESQUADRO DE ACO 12" (300 MM), CABO DE ALUMINIO</t>
  </si>
  <si>
    <t>ESTILETE DE METAL, LAMINA 18 MM</t>
  </si>
  <si>
    <t>ESTOPA</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</si>
  <si>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</si>
  <si>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</si>
  <si>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</si>
  <si>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</si>
  <si>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</si>
  <si>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</si>
  <si>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</si>
  <si>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</si>
  <si>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</si>
  <si>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</si>
  <si>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</si>
  <si>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</si>
  <si>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</si>
  <si>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</si>
  <si>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</si>
  <si>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</si>
  <si>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</si>
  <si>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</si>
  <si>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</si>
  <si>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</si>
  <si>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</si>
  <si>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</si>
  <si>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</si>
  <si>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</si>
  <si>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</si>
  <si>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</si>
  <si>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</si>
  <si>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</si>
  <si>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</si>
  <si>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</si>
  <si>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</si>
  <si>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</si>
  <si>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</si>
  <si>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</si>
  <si>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</si>
  <si>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</si>
  <si>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</si>
  <si>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</si>
  <si>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</si>
  <si>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</si>
  <si>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</si>
  <si>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</si>
  <si>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</si>
  <si>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</si>
  <si>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</si>
  <si>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</si>
  <si>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</si>
  <si>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</si>
  <si>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</si>
  <si>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</si>
  <si>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</si>
  <si>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</si>
  <si>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</si>
  <si>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</si>
  <si>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</si>
  <si>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</si>
  <si>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</si>
  <si>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</si>
  <si>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</si>
  <si>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</si>
  <si>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</si>
  <si>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</si>
  <si>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</si>
  <si>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</si>
  <si>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</si>
  <si>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</si>
  <si>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</si>
  <si>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</si>
  <si>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</si>
  <si>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</si>
  <si>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</si>
  <si>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</si>
  <si>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</si>
  <si>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</si>
  <si>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</si>
  <si>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</si>
  <si>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</si>
  <si>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</si>
  <si>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</si>
  <si>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</si>
  <si>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</si>
  <si>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</si>
  <si>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</si>
  <si>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</si>
  <si>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</si>
  <si>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</si>
  <si>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</si>
  <si>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</si>
  <si>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</si>
  <si>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</si>
  <si>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</si>
  <si>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</si>
  <si>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</si>
  <si>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</si>
  <si>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</si>
  <si>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</si>
  <si>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</si>
  <si>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</si>
  <si>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</si>
  <si>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</si>
  <si>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</si>
  <si>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</si>
  <si>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</si>
  <si>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</si>
  <si>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</si>
  <si>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</si>
  <si>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</si>
  <si>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</si>
  <si>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FORRO COMPOSTO POR PAINEIS DE LA DE VIDRO, REVESTIDOS EM PVC MICROPERFURADO, DE *1250 X 625* MM, ESPESSURA 15 MM (COM COLOCACAO)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</si>
  <si>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</si>
  <si>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</si>
  <si>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</si>
  <si>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</si>
  <si>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</si>
  <si>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</si>
  <si>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</si>
  <si>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</si>
  <si>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</si>
  <si>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</si>
  <si>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</si>
  <si>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</si>
  <si>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</si>
  <si>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</si>
  <si>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</si>
  <si>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</si>
  <si>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</si>
  <si>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</si>
  <si>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</si>
  <si>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</si>
  <si>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</si>
  <si>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</si>
  <si>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</si>
  <si>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</si>
  <si>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</si>
  <si>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</si>
  <si>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</si>
  <si>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</si>
  <si>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</si>
  <si>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</si>
  <si>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</si>
  <si>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</si>
  <si>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</si>
  <si>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</si>
  <si>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</si>
  <si>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</si>
  <si>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</si>
  <si>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</si>
  <si>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</si>
  <si>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</si>
  <si>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</si>
  <si>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</si>
  <si>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</si>
  <si>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</si>
  <si>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</si>
  <si>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</si>
  <si>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</si>
  <si>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</si>
  <si>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</si>
  <si>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</si>
  <si>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</si>
  <si>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</si>
  <si>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</si>
  <si>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</si>
  <si>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</si>
  <si>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</si>
  <si>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</si>
  <si>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</si>
  <si>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</si>
  <si>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</si>
  <si>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</si>
  <si>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</si>
  <si>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</si>
  <si>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</si>
  <si>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</si>
  <si>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</si>
  <si>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</si>
  <si>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</si>
  <si>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</si>
  <si>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</si>
  <si>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</si>
  <si>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</si>
  <si>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</si>
  <si>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</si>
  <si>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</si>
  <si>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</si>
  <si>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</si>
  <si>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</si>
  <si>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</si>
  <si>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</si>
  <si>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</si>
  <si>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</si>
  <si>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</si>
  <si>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</si>
  <si>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</si>
  <si>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</si>
  <si>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</si>
  <si>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</si>
  <si>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</si>
  <si>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</si>
  <si>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</si>
  <si>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</si>
  <si>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</si>
  <si>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</si>
  <si>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</si>
  <si>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</si>
  <si>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</si>
  <si>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</si>
  <si>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</si>
  <si>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</si>
  <si>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</si>
  <si>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</si>
  <si>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</si>
  <si>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</si>
  <si>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</si>
  <si>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</si>
  <si>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</si>
  <si>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</si>
  <si>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</si>
  <si>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</si>
  <si>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</si>
  <si>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</si>
  <si>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</si>
  <si>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</si>
  <si>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</si>
  <si>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</si>
  <si>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</si>
  <si>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</si>
  <si>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</si>
  <si>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</si>
  <si>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</si>
  <si>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</si>
  <si>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</si>
  <si>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</si>
  <si>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</si>
  <si>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</si>
  <si>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</si>
  <si>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</si>
  <si>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</si>
  <si>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</si>
  <si>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</si>
  <si>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</si>
  <si>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</si>
  <si>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</si>
  <si>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</si>
  <si>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</si>
  <si>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</si>
  <si>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</si>
  <si>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</si>
  <si>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</si>
  <si>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</si>
  <si>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</si>
  <si>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</si>
  <si>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</si>
  <si>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</si>
  <si>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</si>
  <si>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</si>
  <si>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</si>
  <si>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</si>
  <si>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</si>
  <si>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</si>
  <si>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</si>
  <si>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</si>
  <si>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</si>
  <si>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</si>
  <si>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</si>
  <si>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</si>
  <si>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</si>
  <si>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</si>
  <si>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</si>
  <si>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</si>
  <si>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</si>
  <si>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</si>
  <si>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</si>
  <si>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</si>
  <si>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</si>
  <si>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</si>
  <si>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</si>
  <si>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</si>
  <si>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</si>
  <si>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</si>
  <si>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</si>
  <si>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</si>
  <si>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</si>
  <si>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</si>
  <si>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</si>
  <si>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</si>
  <si>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</si>
  <si>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</si>
  <si>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</si>
  <si>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</si>
  <si>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</si>
  <si>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</si>
  <si>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</si>
  <si>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</si>
  <si>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</si>
  <si>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</si>
  <si>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</si>
  <si>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</si>
  <si>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</si>
  <si>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</si>
  <si>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</si>
  <si>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</si>
  <si>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</si>
  <si>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</si>
  <si>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</si>
  <si>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</si>
  <si>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</si>
  <si>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</si>
  <si>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</si>
  <si>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</si>
  <si>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</si>
  <si>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</si>
  <si>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</si>
  <si>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</si>
  <si>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</si>
  <si>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</si>
  <si>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</si>
  <si>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</si>
  <si>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</si>
  <si>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</si>
  <si>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</si>
  <si>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</si>
  <si>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</si>
  <si>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</si>
  <si>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</si>
  <si>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</si>
  <si>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</si>
  <si>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</si>
  <si>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</si>
  <si>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</si>
  <si>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</si>
  <si>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</si>
  <si>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</si>
  <si>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</si>
  <si>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</si>
  <si>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</si>
  <si>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</si>
  <si>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</si>
  <si>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</si>
  <si>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</si>
  <si>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</si>
  <si>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</si>
  <si>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</si>
  <si>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</si>
  <si>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</si>
  <si>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</si>
  <si>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</si>
  <si>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</si>
  <si>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</si>
  <si>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</si>
  <si>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</si>
  <si>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</si>
  <si>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</si>
  <si>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</si>
  <si>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</si>
  <si>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</si>
  <si>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</si>
  <si>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</si>
  <si>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</si>
  <si>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</si>
  <si>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</si>
  <si>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</si>
  <si>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</si>
  <si>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</si>
  <si>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</si>
  <si>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</si>
  <si>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</si>
  <si>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</si>
  <si>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</si>
  <si>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</si>
  <si>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</si>
  <si>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</si>
  <si>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</si>
  <si>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</si>
  <si>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</si>
  <si>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</si>
  <si>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</si>
  <si>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</si>
  <si>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</si>
  <si>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</si>
  <si>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</si>
  <si>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</si>
  <si>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</si>
  <si>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</si>
  <si>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</si>
  <si>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</si>
  <si>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</si>
  <si>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</si>
  <si>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</si>
  <si>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</si>
  <si>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</si>
  <si>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</si>
  <si>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</si>
  <si>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</si>
  <si>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</si>
  <si>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</si>
  <si>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</si>
  <si>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</si>
  <si>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</si>
  <si>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</si>
  <si>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</si>
  <si>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</si>
  <si>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KIT ACESSORIOS PARA COMPRESSOR DE AR, 5 PECAS (PISTOLAS PINTURA, LIMPEZA E PULVERIZACAO, CALIBRADOR E MANGUEIRA)</t>
  </si>
  <si>
    <t>KIT CAVALETE, PVC, COM REGISTRO, PARA HIDROMETRO, BITOLAS 1/2" OU 3/4" -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</si>
  <si>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</si>
  <si>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</si>
  <si>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</si>
  <si>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</si>
  <si>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</si>
  <si>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</si>
  <si>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</si>
  <si>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</si>
  <si>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</si>
  <si>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</si>
  <si>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</si>
  <si>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</si>
  <si>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</si>
  <si>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</si>
  <si>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</si>
  <si>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</si>
  <si>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</si>
  <si>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</si>
  <si>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</si>
  <si>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</si>
  <si>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</si>
  <si>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</si>
  <si>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</si>
  <si>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</si>
  <si>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</si>
  <si>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</si>
  <si>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</si>
  <si>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</si>
  <si>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</si>
  <si>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</si>
  <si>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</si>
  <si>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</si>
  <si>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</si>
  <si>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</si>
  <si>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</si>
  <si>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</si>
  <si>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</si>
  <si>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</si>
  <si>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</si>
  <si>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</si>
  <si>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</si>
  <si>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</si>
  <si>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</si>
  <si>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</si>
  <si>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</si>
  <si>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</si>
  <si>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</si>
  <si>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</si>
  <si>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</si>
  <si>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</si>
  <si>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</si>
  <si>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</si>
  <si>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</si>
  <si>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</si>
  <si>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</si>
  <si>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</si>
  <si>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</si>
  <si>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</si>
  <si>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</si>
  <si>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</si>
  <si>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</si>
  <si>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</si>
  <si>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</si>
  <si>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</si>
  <si>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</si>
  <si>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</si>
  <si>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</si>
  <si>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</si>
  <si>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</si>
  <si>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</si>
  <si>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</si>
  <si>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</si>
  <si>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</si>
  <si>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</si>
  <si>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</si>
  <si>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</si>
  <si>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</si>
  <si>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</si>
  <si>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</si>
  <si>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</si>
  <si>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</si>
  <si>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</si>
  <si>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</si>
  <si>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</si>
  <si>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</si>
  <si>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</si>
  <si>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</si>
  <si>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</si>
  <si>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</si>
  <si>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</si>
  <si>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</si>
  <si>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</si>
  <si>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</si>
  <si>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</si>
  <si>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</si>
  <si>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</si>
  <si>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</si>
  <si>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</si>
  <si>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</si>
  <si>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</si>
  <si>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</si>
  <si>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</si>
  <si>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</si>
  <si>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</si>
  <si>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</si>
  <si>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</si>
  <si>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</si>
  <si>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</si>
  <si>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</si>
  <si>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</si>
  <si>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</si>
  <si>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</si>
  <si>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</si>
  <si>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</si>
  <si>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</si>
  <si>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</si>
  <si>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</si>
  <si>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</si>
  <si>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</si>
  <si>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</si>
  <si>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</si>
  <si>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</si>
  <si>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</si>
  <si>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</si>
  <si>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</si>
  <si>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</si>
  <si>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</si>
  <si>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</si>
  <si>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</si>
  <si>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</si>
  <si>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</si>
  <si>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</si>
  <si>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</si>
  <si>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</si>
  <si>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</si>
  <si>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PRESSAO, EM PVC, DE 20 MM, PARA ELETRODUTO FLEXIVEL</t>
  </si>
  <si>
    <t>LUVA DE PRESSAO, EM PVC, DE 25 MM, PARA ELETRODUTO FLEXIVEL</t>
  </si>
  <si>
    <t>LUVA DE PRESSAO, EM PVC, DE 32 MM, PARA ELETRODUTO FLEXIVEL</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</si>
  <si>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</si>
  <si>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</si>
  <si>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</si>
  <si>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</si>
  <si>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</si>
  <si>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</si>
  <si>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</si>
  <si>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</si>
  <si>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</si>
  <si>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</si>
  <si>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</si>
  <si>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</si>
  <si>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</si>
  <si>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</si>
  <si>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</si>
  <si>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</si>
  <si>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</si>
  <si>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</si>
  <si>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</si>
  <si>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</si>
  <si>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</si>
  <si>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</si>
  <si>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</si>
  <si>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</si>
  <si>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</si>
  <si>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</si>
  <si>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</si>
  <si>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</si>
  <si>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</si>
  <si>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</si>
  <si>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</si>
  <si>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</si>
  <si>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</si>
  <si>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</si>
  <si>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</si>
  <si>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</si>
  <si>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</si>
  <si>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</si>
  <si>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</si>
  <si>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</si>
  <si>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</si>
  <si>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</si>
  <si>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</si>
  <si>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</si>
  <si>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</si>
  <si>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</si>
  <si>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</si>
  <si>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</si>
  <si>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</si>
  <si>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</si>
  <si>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</si>
  <si>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</si>
  <si>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</si>
  <si>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</si>
  <si>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</si>
  <si>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</si>
  <si>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</si>
  <si>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</si>
  <si>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</si>
  <si>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</si>
  <si>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</si>
  <si>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</si>
  <si>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</si>
  <si>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</si>
  <si>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</si>
  <si>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</si>
  <si>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</si>
  <si>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</si>
  <si>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</si>
  <si>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</si>
  <si>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</si>
  <si>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</si>
  <si>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</si>
  <si>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</si>
  <si>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</si>
  <si>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</si>
  <si>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</si>
  <si>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</si>
  <si>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</si>
  <si>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</si>
  <si>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</si>
  <si>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</si>
  <si>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</si>
  <si>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</si>
  <si>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</si>
  <si>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</si>
  <si>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</si>
  <si>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</si>
  <si>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</si>
  <si>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</si>
  <si>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</si>
  <si>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</si>
  <si>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</si>
  <si>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</si>
  <si>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</si>
  <si>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</si>
  <si>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</si>
  <si>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</si>
  <si>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</si>
  <si>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</si>
  <si>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</si>
  <si>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</si>
  <si>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</si>
  <si>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</si>
  <si>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</si>
  <si>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</si>
  <si>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</si>
  <si>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</si>
  <si>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</si>
  <si>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</si>
  <si>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</si>
  <si>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</si>
  <si>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</si>
  <si>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</si>
  <si>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</si>
  <si>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</si>
  <si>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</si>
  <si>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</si>
  <si>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</si>
  <si>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</si>
  <si>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</si>
  <si>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</si>
  <si>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</si>
  <si>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</si>
  <si>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</si>
  <si>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</si>
  <si>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</si>
  <si>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</si>
  <si>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PARA CORTE COM DISCO ABRASIVO DE DIAMETRO DE 18" (450 MM), COM MOTOR ELETRICO TRIFASICO DE 10 CV</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</si>
  <si>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</si>
  <si>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</si>
  <si>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</si>
  <si>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</si>
  <si>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</si>
  <si>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</si>
  <si>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</si>
  <si>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</si>
  <si>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</si>
  <si>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</si>
  <si>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</si>
  <si>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</si>
  <si>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</si>
  <si>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</si>
  <si>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</si>
  <si>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</si>
  <si>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</si>
  <si>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</si>
  <si>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</si>
  <si>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</si>
  <si>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</si>
  <si>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</si>
  <si>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</si>
  <si>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</si>
  <si>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</si>
  <si>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</si>
  <si>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</si>
  <si>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</si>
  <si>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</si>
  <si>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</si>
  <si>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</si>
  <si>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</si>
  <si>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</si>
  <si>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</si>
  <si>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</si>
  <si>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</si>
  <si>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</si>
  <si>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</si>
  <si>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</si>
  <si>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</si>
  <si>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</si>
  <si>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</si>
  <si>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</si>
  <si>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</si>
  <si>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</si>
  <si>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</si>
  <si>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</si>
  <si>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</si>
  <si>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</si>
  <si>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</si>
  <si>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</si>
  <si>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</si>
  <si>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</si>
  <si>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</si>
  <si>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</si>
  <si>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</si>
  <si>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</si>
  <si>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</si>
  <si>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</si>
  <si>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</si>
  <si>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</si>
  <si>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</si>
  <si>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</si>
  <si>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</si>
  <si>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</si>
  <si>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</si>
  <si>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</si>
  <si>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</si>
  <si>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</si>
  <si>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</si>
  <si>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</si>
  <si>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</si>
  <si>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</si>
  <si>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</si>
  <si>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</si>
  <si>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</si>
  <si>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</si>
  <si>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</si>
  <si>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</si>
  <si>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</si>
  <si>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</si>
  <si>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</si>
  <si>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</si>
  <si>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</si>
  <si>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</si>
  <si>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</si>
  <si>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</si>
  <si>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</si>
  <si>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</si>
  <si>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</si>
  <si>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</si>
  <si>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</si>
  <si>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</si>
  <si>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</si>
  <si>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</si>
  <si>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</si>
  <si>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</si>
  <si>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</si>
  <si>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</si>
  <si>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</si>
  <si>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</si>
  <si>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</si>
  <si>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</si>
  <si>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</si>
  <si>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</si>
  <si>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</si>
  <si>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</si>
  <si>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</si>
  <si>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</si>
  <si>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</si>
  <si>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</si>
  <si>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</si>
  <si>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</si>
  <si>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</si>
  <si>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</si>
  <si>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</si>
  <si>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</si>
  <si>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</si>
  <si>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</si>
  <si>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</si>
  <si>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</si>
  <si>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</si>
  <si>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</si>
  <si>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</si>
  <si>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</si>
  <si>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</si>
  <si>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</si>
  <si>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</si>
  <si>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</si>
  <si>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</si>
  <si>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</si>
  <si>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</si>
  <si>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</si>
  <si>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</si>
  <si>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</si>
  <si>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</si>
  <si>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</si>
  <si>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</si>
  <si>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</si>
  <si>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</si>
  <si>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</si>
  <si>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</si>
  <si>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</si>
  <si>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</si>
  <si>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</si>
  <si>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</si>
  <si>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</si>
  <si>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</si>
  <si>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</si>
  <si>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</si>
  <si>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</si>
  <si>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</si>
  <si>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</si>
  <si>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</si>
  <si>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</si>
  <si>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</si>
  <si>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</si>
  <si>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</si>
  <si>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</si>
  <si>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</si>
  <si>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</si>
  <si>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</si>
  <si>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</si>
  <si>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</si>
  <si>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</si>
  <si>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</si>
  <si>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</si>
  <si>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</si>
  <si>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</si>
  <si>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</si>
  <si>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</si>
  <si>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</si>
  <si>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</si>
  <si>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</si>
  <si>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</si>
  <si>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</si>
  <si>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</si>
  <si>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</si>
  <si>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</si>
  <si>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</si>
  <si>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</si>
  <si>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</si>
  <si>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</si>
  <si>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</si>
  <si>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</si>
  <si>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</si>
  <si>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</si>
  <si>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</si>
  <si>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</si>
  <si>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</si>
  <si>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</si>
  <si>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</si>
  <si>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</si>
  <si>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</si>
  <si>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</si>
  <si>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</si>
  <si>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</si>
  <si>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</si>
  <si>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</si>
  <si>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</si>
  <si>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</si>
  <si>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</si>
  <si>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</si>
  <si>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</si>
  <si>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</si>
  <si>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</si>
  <si>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</si>
  <si>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</si>
  <si>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</si>
  <si>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</si>
  <si>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</si>
  <si>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</si>
  <si>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</si>
  <si>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</si>
  <si>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</si>
  <si>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</si>
  <si>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</si>
  <si>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</si>
  <si>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</si>
  <si>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</si>
  <si>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</si>
  <si>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</si>
  <si>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</si>
  <si>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</si>
  <si>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</si>
  <si>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</si>
  <si>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CENTO</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</si>
  <si>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</si>
  <si>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</si>
  <si>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</si>
  <si>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</si>
  <si>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</si>
  <si>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</si>
  <si>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</si>
  <si>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</si>
  <si>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</si>
  <si>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</si>
  <si>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</si>
  <si>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</si>
  <si>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</si>
  <si>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</si>
  <si>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</si>
  <si>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</si>
  <si>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</si>
  <si>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</si>
  <si>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</si>
  <si>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</si>
  <si>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</si>
  <si>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</si>
  <si>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</si>
  <si>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</si>
  <si>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</si>
  <si>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</si>
  <si>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</si>
  <si>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</si>
  <si>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</si>
  <si>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</si>
  <si>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</si>
  <si>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</si>
  <si>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</si>
  <si>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</si>
  <si>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PEDREIRO (HORISTA)</t>
  </si>
  <si>
    <t>PEDREIRO (MENSALISTA)</t>
  </si>
  <si>
    <t>PEITORIL EM MARMORE, POLIDO, BRANCO COMUM, L= *15* CM, E= *2,0* CM, COM PINGADEIRA</t>
  </si>
  <si>
    <t>PEITORIL EM MARMORE, POLIDO, BRANCO COMUM, L= *15* CM, E= *3* CM, CORTE RETO</t>
  </si>
  <si>
    <t>PEITORIL/ SOLEIRA EM MARMORE, POLIDO, BRANCO COMUM, L= *25* CM, E= *3* CM, CORTE RETO</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</si>
  <si>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</si>
  <si>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</si>
  <si>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</si>
  <si>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</si>
  <si>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</si>
  <si>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</si>
  <si>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DE ALUMINIO ANODIZADO</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</si>
  <si>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</si>
  <si>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</si>
  <si>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</si>
  <si>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</si>
  <si>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</si>
  <si>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</si>
  <si>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</si>
  <si>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</si>
  <si>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</si>
  <si>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</si>
  <si>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</si>
  <si>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</si>
  <si>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</si>
  <si>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</si>
  <si>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</si>
  <si>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</si>
  <si>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</si>
  <si>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</si>
  <si>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</si>
  <si>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</si>
  <si>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</si>
  <si>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</si>
  <si>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</si>
  <si>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</si>
  <si>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</si>
  <si>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</si>
  <si>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</si>
  <si>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</si>
  <si>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</si>
  <si>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</si>
  <si>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</si>
  <si>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</si>
  <si>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</si>
  <si>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</si>
  <si>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</si>
  <si>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</si>
  <si>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</si>
  <si>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</si>
  <si>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</si>
  <si>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</si>
  <si>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</si>
  <si>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</si>
  <si>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</si>
  <si>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</si>
  <si>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</si>
  <si>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</si>
  <si>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</si>
  <si>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</si>
  <si>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</si>
  <si>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</si>
  <si>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</si>
  <si>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</si>
  <si>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</si>
  <si>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</si>
  <si>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</si>
  <si>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</si>
  <si>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</si>
  <si>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</si>
  <si>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</si>
  <si>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</si>
  <si>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</si>
  <si>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</si>
  <si>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</si>
  <si>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</si>
  <si>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</si>
  <si>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</si>
  <si>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</si>
  <si>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</si>
  <si>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</si>
  <si>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</si>
  <si>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</si>
  <si>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</si>
  <si>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</si>
  <si>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</si>
  <si>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</si>
  <si>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</si>
  <si>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</si>
  <si>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</si>
  <si>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</si>
  <si>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</si>
  <si>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</si>
  <si>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</si>
  <si>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</si>
  <si>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</si>
  <si>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</si>
  <si>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</si>
  <si>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ACRILICO TRANSPARENTE ADESIVADA PARA SINALIZACAO DE PORTAS, BORDA POLIDA, DE *25 X 8*, E = 6 MM (NAO INCLUI ACESSORIOS PARA FIXACAO)</t>
  </si>
  <si>
    <t>PLACA DE GESSO PARA FORRO, *60 X 60* CM, ESPESSURA DE 12 MM (SEM COLOCACAO)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</si>
  <si>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</si>
  <si>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</si>
  <si>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</si>
  <si>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</si>
  <si>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</si>
  <si>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</si>
  <si>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VENTILACAO PARA TELHA DE FIBROCIMENTO CANALETE 49 KALHETA</t>
  </si>
  <si>
    <t>PLACA DE VENTILACAO PARA TELHA DE FIBROCIMENTO, CANALETE 90 OU KALHETAO</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</si>
  <si>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</si>
  <si>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</si>
  <si>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</si>
  <si>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</si>
  <si>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</si>
  <si>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</si>
  <si>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</si>
  <si>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</si>
  <si>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</si>
  <si>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</si>
  <si>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</si>
  <si>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</si>
  <si>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</si>
  <si>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</si>
  <si>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</si>
  <si>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</si>
  <si>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</si>
  <si>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</si>
  <si>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</si>
  <si>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</si>
  <si>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</si>
  <si>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</si>
  <si>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</si>
  <si>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</si>
  <si>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</si>
  <si>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</si>
  <si>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</si>
  <si>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</si>
  <si>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</si>
  <si>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</si>
  <si>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</si>
  <si>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</si>
  <si>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</si>
  <si>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</si>
  <si>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</si>
  <si>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</si>
  <si>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</si>
  <si>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</si>
  <si>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</si>
  <si>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</si>
  <si>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</si>
  <si>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</si>
  <si>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</si>
  <si>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</si>
  <si>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</si>
  <si>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</si>
  <si>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</si>
  <si>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</si>
  <si>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</si>
  <si>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</si>
  <si>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</si>
  <si>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</si>
  <si>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</si>
  <si>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</si>
  <si>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</si>
  <si>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</si>
  <si>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</si>
  <si>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</si>
  <si>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</si>
  <si>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</si>
  <si>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</si>
  <si>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</si>
  <si>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</si>
  <si>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</si>
  <si>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</si>
  <si>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ROLICO DE MADEIRA TRATADA, D = 20 A 25 CM, H = 12,00 M, EM EUCALIPTO OU EQUIVALENTE DA REGIAO</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</si>
  <si>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</si>
  <si>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</si>
  <si>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</si>
  <si>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</si>
  <si>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</si>
  <si>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</si>
  <si>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</si>
  <si>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</si>
  <si>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</si>
  <si>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</si>
  <si>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</si>
  <si>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</si>
  <si>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</si>
  <si>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</si>
  <si>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</si>
  <si>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</si>
  <si>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</si>
  <si>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</si>
  <si>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</si>
  <si>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</si>
  <si>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</si>
  <si>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</si>
  <si>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</si>
  <si>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</si>
  <si>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</si>
  <si>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</si>
  <si>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</si>
  <si>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</si>
  <si>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</si>
  <si>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</si>
  <si>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</si>
  <si>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</si>
  <si>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</si>
  <si>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</si>
  <si>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</si>
  <si>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</si>
  <si>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</si>
  <si>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</si>
  <si>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</si>
  <si>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</si>
  <si>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</si>
  <si>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</si>
  <si>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</si>
  <si>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</si>
  <si>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</si>
  <si>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</si>
  <si>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</si>
  <si>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</si>
  <si>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</si>
  <si>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</si>
  <si>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</si>
  <si>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</si>
  <si>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</si>
  <si>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</si>
  <si>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</si>
  <si>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</si>
  <si>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</si>
  <si>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</si>
  <si>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</si>
  <si>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</si>
  <si>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</si>
  <si>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</si>
  <si>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</si>
  <si>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</si>
  <si>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</si>
  <si>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</si>
  <si>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</si>
  <si>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</si>
  <si>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</si>
  <si>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</si>
  <si>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</si>
  <si>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</si>
  <si>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</si>
  <si>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</si>
  <si>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</si>
  <si>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</si>
  <si>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</si>
  <si>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</si>
  <si>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</si>
  <si>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</si>
  <si>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</si>
  <si>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</si>
  <si>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</si>
  <si>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</si>
  <si>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</si>
  <si>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</si>
  <si>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</si>
  <si>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</si>
  <si>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</si>
  <si>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</si>
  <si>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</si>
  <si>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</si>
  <si>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</si>
  <si>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</si>
  <si>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</si>
  <si>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</si>
  <si>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</si>
  <si>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</si>
  <si>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</si>
  <si>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</si>
  <si>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</si>
  <si>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</si>
  <si>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</si>
  <si>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</si>
  <si>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</si>
  <si>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</si>
  <si>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</si>
  <si>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</si>
  <si>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</si>
  <si>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</si>
  <si>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</si>
  <si>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</si>
  <si>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</si>
  <si>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</si>
  <si>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</si>
  <si>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</si>
  <si>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</si>
  <si>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</si>
  <si>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</si>
  <si>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</si>
  <si>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</si>
  <si>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</si>
  <si>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</si>
  <si>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</si>
  <si>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</si>
  <si>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</si>
  <si>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</si>
  <si>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</si>
  <si>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</si>
  <si>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</si>
  <si>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</si>
  <si>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</si>
  <si>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</si>
  <si>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</si>
  <si>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</si>
  <si>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</si>
  <si>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</si>
  <si>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</si>
  <si>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</si>
  <si>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</si>
  <si>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</si>
  <si>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</si>
  <si>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</si>
  <si>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</si>
  <si>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</si>
  <si>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</si>
  <si>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</si>
  <si>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</si>
  <si>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</si>
  <si>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</si>
  <si>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</si>
  <si>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</si>
  <si>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</si>
  <si>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</si>
  <si>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</si>
  <si>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</si>
  <si>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</si>
  <si>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</si>
  <si>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</si>
  <si>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</si>
  <si>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</si>
  <si>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</si>
  <si>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</si>
  <si>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</si>
  <si>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</si>
  <si>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</si>
  <si>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</si>
  <si>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</si>
  <si>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</si>
  <si>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</si>
  <si>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</si>
  <si>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</si>
  <si>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</si>
  <si>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</si>
  <si>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</si>
  <si>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</si>
  <si>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</si>
  <si>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</si>
  <si>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</si>
  <si>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</si>
  <si>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</si>
  <si>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</si>
  <si>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</si>
  <si>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</si>
  <si>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</si>
  <si>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</si>
  <si>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</si>
  <si>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</si>
  <si>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</si>
  <si>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</si>
  <si>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</si>
  <si>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</si>
  <si>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</si>
  <si>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</si>
  <si>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</si>
  <si>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</si>
  <si>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</si>
  <si>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</si>
  <si>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</si>
  <si>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</si>
  <si>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</si>
  <si>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</si>
  <si>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</si>
  <si>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</si>
  <si>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</si>
  <si>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</si>
  <si>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</si>
  <si>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</si>
  <si>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</si>
  <si>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</si>
  <si>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</si>
  <si>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</si>
  <si>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</si>
  <si>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</si>
  <si>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</si>
  <si>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</si>
  <si>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</si>
  <si>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SISAL EM FIBRA / ESTOPA SISAL PARA GESSO</t>
  </si>
  <si>
    <t>SOLDA EM BARRA DE ESTANHO-CHUMBO 50/50</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</si>
  <si>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</si>
  <si>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</si>
  <si>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</si>
  <si>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</si>
  <si>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</si>
  <si>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</si>
  <si>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</si>
  <si>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</si>
  <si>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</si>
  <si>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</si>
  <si>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</si>
  <si>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</si>
  <si>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</si>
  <si>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</si>
  <si>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</si>
  <si>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</si>
  <si>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</si>
  <si>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</si>
  <si>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</si>
  <si>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</si>
  <si>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</si>
  <si>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</si>
  <si>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</si>
  <si>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</si>
  <si>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</si>
  <si>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METALICO PARA CALHA PLUVIAL, ZINCADO, DOBRADO, DIAMETRO ENTRE 119 E 170 MM, PARA DRENAGEM PLUVIAL PREDIAL</t>
  </si>
  <si>
    <t>SUPORTE PARA CALHA DE 150 MM EM ACO GALVANIZADO</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</si>
  <si>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</si>
  <si>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</si>
  <si>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</si>
  <si>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</si>
  <si>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</si>
  <si>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</si>
  <si>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</si>
  <si>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</si>
  <si>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</si>
  <si>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</si>
  <si>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</si>
  <si>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</si>
  <si>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</si>
  <si>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</si>
  <si>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TALHADEIRA COM PUNHO DE PROTECAO *20 X 250* MM</t>
  </si>
  <si>
    <t>TAMPA CEGA EM PVC PARA CONDULETE 4 X 2"</t>
  </si>
  <si>
    <t>TAMPA PARA CONDULETE, EM PVC, PARA 1 INTERRUPTOR</t>
  </si>
  <si>
    <t>TAMPA PARA CONDULETE, EM PVC, PARA 1 MODULO RJ</t>
  </si>
  <si>
    <t>TAMPA PARA CONDULETE, EM PVC, PARA 2 MODULOS RJ</t>
  </si>
  <si>
    <t>TAMPA PARA CONDULETE, EM PVC, PARA TOMADA HEXAGONAL</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</si>
  <si>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</si>
  <si>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</si>
  <si>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</si>
  <si>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</si>
  <si>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</si>
  <si>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</si>
  <si>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</si>
  <si>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</si>
  <si>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</si>
  <si>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</si>
  <si>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</si>
  <si>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</si>
  <si>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</si>
  <si>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</si>
  <si>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</si>
  <si>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</si>
  <si>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</si>
  <si>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</si>
  <si>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</si>
  <si>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</si>
  <si>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</si>
  <si>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</si>
  <si>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</si>
  <si>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</si>
  <si>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</si>
  <si>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</si>
  <si>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</si>
  <si>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</si>
  <si>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</si>
  <si>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</si>
  <si>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</si>
  <si>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</si>
  <si>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</si>
  <si>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</si>
  <si>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</si>
  <si>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</si>
  <si>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</si>
  <si>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</si>
  <si>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</si>
  <si>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</si>
  <si>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</si>
  <si>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</si>
  <si>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</si>
  <si>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</si>
  <si>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CPVC, 22 X 15 MM, PARA AGUA QUENTE PREDIAL</t>
  </si>
  <si>
    <t>TE DE REDUCAO, CPVC, 28 X 22 MM, PARA AGUA QUENTE PREDIAL</t>
  </si>
  <si>
    <t>TE DE REDUCAO, CPVC, 35 X 28 MM, PARA AGUA QUENTE PREDIAL</t>
  </si>
  <si>
    <t>TE DE REDUCAO, CPVC, 42 X 35 MM, PARA AGUA QUENTE PREDIAL</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</si>
  <si>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</si>
  <si>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</si>
  <si>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</si>
  <si>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</si>
  <si>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</si>
  <si>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</si>
  <si>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</si>
  <si>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</si>
  <si>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</si>
  <si>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</si>
  <si>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TRANSICAO, CPVC, SOLDAVEL, 15 MM X 1/2", PARA AGUA QUENTE</t>
  </si>
  <si>
    <t>TE DE TRANSICAO, CPVC, SOLDAVEL, 22 MM X 1/2", PARA AGUA QUENTE</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</si>
  <si>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</si>
  <si>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</si>
  <si>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</si>
  <si>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</si>
  <si>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</si>
  <si>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</si>
  <si>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</si>
  <si>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</si>
  <si>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</si>
  <si>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</si>
  <si>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</si>
  <si>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</si>
  <si>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</si>
  <si>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</si>
  <si>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</si>
  <si>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</si>
  <si>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</si>
  <si>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</si>
  <si>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</si>
  <si>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</si>
  <si>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</si>
  <si>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</si>
  <si>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</si>
  <si>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</si>
  <si>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</si>
  <si>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</si>
  <si>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</si>
  <si>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</si>
  <si>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</si>
  <si>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</si>
  <si>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</si>
  <si>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</si>
  <si>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</si>
  <si>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</si>
  <si>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</si>
  <si>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</si>
  <si>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</si>
  <si>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</si>
  <si>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</si>
  <si>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</si>
  <si>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</si>
  <si>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</si>
  <si>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</si>
  <si>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</si>
  <si>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</si>
  <si>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</si>
  <si>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</si>
  <si>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</si>
  <si>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</si>
  <si>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</si>
  <si>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</si>
  <si>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</si>
  <si>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</si>
  <si>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</si>
  <si>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</si>
  <si>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</si>
  <si>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</si>
  <si>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</si>
  <si>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</si>
  <si>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</si>
  <si>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</si>
  <si>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</si>
  <si>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</si>
  <si>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</si>
  <si>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</si>
  <si>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</si>
  <si>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</si>
  <si>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</si>
  <si>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</si>
  <si>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</si>
  <si>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</si>
  <si>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</si>
  <si>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</si>
  <si>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</si>
  <si>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</si>
  <si>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</si>
  <si>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</si>
  <si>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</si>
  <si>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</si>
  <si>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</si>
  <si>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</si>
  <si>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</si>
  <si>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</si>
  <si>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</si>
  <si>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</si>
  <si>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</si>
  <si>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</si>
  <si>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</si>
  <si>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</si>
  <si>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</si>
  <si>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</si>
  <si>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</si>
  <si>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</si>
  <si>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</si>
  <si>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</si>
  <si>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</si>
  <si>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</si>
  <si>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</si>
  <si>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</si>
  <si>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</si>
  <si>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</si>
  <si>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</si>
  <si>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</si>
  <si>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</si>
  <si>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</si>
  <si>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</si>
  <si>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</si>
  <si>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</si>
  <si>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</si>
  <si>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</si>
  <si>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</si>
  <si>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</si>
  <si>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</si>
  <si>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</si>
  <si>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</si>
  <si>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</si>
  <si>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</si>
  <si>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</si>
  <si>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</si>
  <si>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</si>
  <si>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</si>
  <si>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</si>
  <si>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</si>
  <si>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</si>
  <si>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</si>
  <si>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</si>
  <si>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</si>
  <si>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</si>
  <si>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</si>
  <si>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</si>
  <si>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</si>
  <si>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</si>
  <si>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</si>
  <si>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</si>
  <si>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</si>
  <si>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</si>
  <si>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</si>
  <si>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</si>
  <si>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</si>
  <si>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</si>
  <si>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</si>
  <si>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</si>
  <si>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</si>
  <si>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</si>
  <si>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</si>
  <si>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</si>
  <si>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</si>
  <si>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</si>
  <si>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</si>
  <si>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</si>
  <si>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</si>
  <si>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</si>
  <si>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</si>
  <si>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</si>
  <si>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</si>
  <si>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</si>
  <si>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</si>
  <si>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</si>
  <si>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</si>
  <si>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</si>
  <si>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</si>
  <si>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</si>
  <si>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</si>
  <si>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</si>
  <si>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</si>
  <si>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</si>
  <si>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</si>
  <si>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</si>
  <si>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</si>
  <si>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</si>
  <si>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</si>
  <si>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</si>
  <si>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</si>
  <si>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</si>
  <si>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</si>
  <si>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</si>
  <si>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</si>
  <si>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</si>
  <si>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</si>
  <si>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</si>
  <si>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</si>
  <si>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</si>
  <si>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</si>
  <si>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</si>
  <si>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</si>
  <si>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</si>
  <si>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</si>
  <si>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</si>
  <si>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</si>
  <si>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</si>
  <si>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</si>
  <si>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</si>
  <si>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</si>
  <si>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</si>
  <si>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</si>
  <si>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</si>
  <si>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</si>
  <si>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</si>
  <si>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</si>
  <si>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</si>
  <si>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</si>
  <si>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</si>
  <si>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</si>
  <si>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</si>
  <si>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</si>
  <si>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</si>
  <si>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</si>
  <si>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</si>
  <si>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</si>
  <si>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</si>
  <si>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</si>
  <si>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</si>
  <si>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</si>
  <si>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</si>
  <si>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</si>
  <si>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</si>
  <si>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</si>
  <si>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</si>
  <si>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</si>
  <si>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</si>
  <si>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</si>
  <si>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</si>
  <si>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</si>
  <si>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</si>
  <si>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</si>
  <si>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</si>
  <si>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</si>
  <si>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</si>
  <si>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</si>
  <si>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</si>
  <si>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</si>
  <si>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</si>
  <si>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</si>
  <si>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</si>
  <si>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</si>
  <si>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</si>
  <si>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</si>
  <si>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</si>
  <si>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</si>
  <si>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</si>
  <si>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</si>
  <si>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</si>
  <si>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</si>
  <si>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</si>
  <si>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</si>
  <si>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</si>
  <si>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</si>
  <si>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</si>
  <si>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</si>
  <si>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</si>
  <si>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</si>
  <si>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</si>
  <si>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</si>
  <si>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</si>
  <si>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</si>
  <si>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</si>
  <si>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</si>
  <si>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</si>
  <si>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</si>
  <si>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</si>
  <si>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</si>
  <si>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</si>
  <si>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</si>
  <si>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</si>
  <si>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</si>
  <si>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</si>
  <si>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</si>
  <si>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</si>
  <si>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</si>
  <si>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</si>
  <si>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</si>
  <si>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</si>
  <si>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</si>
  <si>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</si>
  <si>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</si>
  <si>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</si>
  <si>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</si>
  <si>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</si>
  <si>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</si>
  <si>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</si>
  <si>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</si>
  <si>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</si>
  <si>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</si>
  <si>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</si>
  <si>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</si>
  <si>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</si>
  <si>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</si>
  <si>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</si>
  <si>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</si>
  <si>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</si>
  <si>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</si>
  <si>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</si>
  <si>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</si>
  <si>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</si>
  <si>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</si>
  <si>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</si>
  <si>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</si>
  <si>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</si>
  <si>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</si>
  <si>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</si>
  <si>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</si>
  <si>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</si>
  <si>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</si>
  <si>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</si>
  <si>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</si>
  <si>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</si>
  <si>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</si>
  <si>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</si>
  <si>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</si>
  <si>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</si>
  <si>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</si>
  <si>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</si>
  <si>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</si>
  <si>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</si>
  <si>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</si>
  <si>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</si>
  <si>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</si>
  <si>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</si>
  <si>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</si>
  <si>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</si>
  <si>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</si>
  <si>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</si>
  <si>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</si>
  <si>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</si>
  <si>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</si>
  <si>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</si>
  <si>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</si>
  <si>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</si>
  <si>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</si>
  <si>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</si>
  <si>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</si>
  <si>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</si>
  <si>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</si>
  <si>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</si>
  <si>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</si>
  <si>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</si>
  <si>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</si>
  <si>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</si>
  <si>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</si>
  <si>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</si>
  <si>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</si>
  <si>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PVC, PBL, TIPO LEVE, DN = 250 MM, PARA VENTILACAO</t>
  </si>
  <si>
    <t>TUBO DE PVC, PBL, TIPO LEVE, DN = 300 MM, PARA VENTILACAO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</si>
  <si>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</si>
  <si>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</si>
  <si>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</si>
  <si>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</si>
  <si>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</si>
  <si>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</si>
  <si>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</si>
  <si>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</si>
  <si>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</si>
  <si>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</si>
  <si>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</si>
  <si>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</si>
  <si>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</si>
  <si>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</si>
  <si>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</si>
  <si>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</si>
  <si>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</si>
  <si>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</si>
  <si>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</si>
  <si>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</si>
  <si>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</si>
  <si>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</si>
  <si>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</si>
  <si>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</si>
  <si>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</si>
  <si>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</si>
  <si>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</si>
  <si>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</si>
  <si>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</si>
  <si>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</si>
  <si>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</si>
  <si>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</si>
  <si>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</si>
  <si>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</si>
  <si>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</si>
  <si>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</si>
  <si>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</si>
  <si>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</si>
  <si>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</si>
  <si>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</si>
  <si>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</si>
  <si>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</si>
  <si>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</si>
  <si>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</si>
  <si>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</si>
  <si>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</si>
  <si>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</si>
  <si>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</si>
  <si>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</si>
  <si>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</si>
  <si>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</si>
  <si>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</si>
  <si>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FLANGE PPR, COM PARAFUSOS, DN 40 MM, PARA AGUA QUENTE PREDIAL</t>
  </si>
  <si>
    <t>UNIAO DUPLA PPR DN 25 MM, PARA AGUA QUENTE PREDIAL</t>
  </si>
  <si>
    <t>UNIAO DUPLA PPR, DN 20 MM, PARA AGUA QUENTE PREDIAL</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</si>
  <si>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</si>
  <si>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</si>
  <si>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</si>
  <si>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</si>
  <si>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</si>
  <si>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</si>
  <si>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</si>
  <si>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</si>
  <si>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</si>
  <si>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</si>
  <si>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</si>
  <si>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</si>
  <si>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</si>
  <si>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</si>
  <si>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</si>
  <si>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</si>
  <si>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</si>
  <si>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</si>
  <si>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</si>
  <si>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</si>
  <si>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</si>
  <si>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</si>
  <si>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</si>
  <si>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</si>
  <si>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</si>
  <si>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</si>
  <si>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</si>
  <si>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</si>
  <si>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</si>
  <si>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</si>
  <si>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</si>
  <si>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</si>
  <si>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</si>
  <si>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</si>
  <si>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</si>
  <si>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</si>
  <si>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</si>
  <si>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</si>
  <si>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</si>
  <si>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</si>
  <si>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</si>
  <si>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</si>
  <si>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</si>
  <si>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</si>
  <si>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</si>
  <si>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</si>
  <si>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</si>
  <si>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</si>
  <si>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</si>
  <si>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</si>
  <si>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</si>
  <si>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</si>
  <si>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</si>
  <si>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</si>
  <si>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</si>
  <si>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</si>
  <si>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</si>
  <si>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</si>
  <si>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</si>
  <si>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</si>
  <si>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</si>
  <si>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</si>
  <si>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</si>
  <si>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</si>
  <si>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</si>
  <si>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</si>
  <si>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</si>
  <si>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</si>
  <si>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</si>
  <si>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</si>
  <si>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</si>
  <si>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</si>
  <si>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</si>
  <si>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</si>
  <si>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</si>
  <si>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</si>
  <si>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</si>
  <si>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</si>
  <si>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</si>
  <si>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</si>
  <si>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</si>
  <si>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</si>
  <si>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</si>
  <si>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</si>
  <si>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</si>
  <si>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</si>
  <si>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</si>
  <si>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</si>
  <si>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</si>
  <si>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</si>
  <si>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</si>
  <si>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</si>
  <si>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</si>
  <si>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</si>
  <si>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</si>
  <si>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</si>
  <si>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</si>
  <si>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PLANILHA DE SERVIÇOS SINTÉTICA NÃO DESONERADA</t>
  </si>
  <si>
    <t>SECRETARIA DE ESTADO DAS CIDADES</t>
  </si>
  <si>
    <t>PROTOCOLO Nº:</t>
  </si>
  <si>
    <t>DIRETORIA DE EDIFICAÇÕES</t>
  </si>
  <si>
    <t>Nº de COLUNAS</t>
  </si>
  <si>
    <t>MUNICIPIO:</t>
  </si>
  <si>
    <t>TOTAL MEDIDO</t>
  </si>
  <si>
    <t>TABELAS DE REFERÊNCIA:  SINAPI/PR (FEVEREIRO/2025) E SECID (MARÇO/2025) NÃO DESONERADA</t>
  </si>
  <si>
    <t>LEVANTAMENTO Nº:</t>
  </si>
  <si>
    <t>ART N°:</t>
  </si>
  <si>
    <t>ACUMULADO</t>
  </si>
  <si>
    <t>REG. CREA:</t>
  </si>
  <si>
    <t>MEDIÇÃO</t>
  </si>
  <si>
    <t>1ª</t>
  </si>
  <si>
    <t xml:space="preserve"> MEDIÇÃO</t>
  </si>
  <si>
    <t>xx/xx/xxxx</t>
  </si>
  <si>
    <t>VALOR R$ A MEDIR /
DIFERENÇA DE TRUNCARONDAMENTO</t>
  </si>
  <si>
    <t>CÓDIGO DO SERVIÇO</t>
  </si>
  <si>
    <t>UNIDADE DE MEDIDA</t>
  </si>
  <si>
    <t>QUANTI DADE</t>
  </si>
  <si>
    <t>CUSTO UNITÁRIO</t>
  </si>
  <si>
    <t xml:space="preserve">CUSTO TOTAL </t>
  </si>
  <si>
    <t>SUBTOTAL</t>
  </si>
  <si>
    <t>QUANT.</t>
  </si>
  <si>
    <t>CUSTO</t>
  </si>
  <si>
    <t>QUANTIDADE A MEDIR</t>
  </si>
  <si>
    <t>ADMINISTRAÇÃO LOCAL</t>
  </si>
  <si>
    <t>C100002</t>
  </si>
  <si>
    <t>SERVIÇOS PRELIMINARES</t>
  </si>
  <si>
    <t>2.1</t>
  </si>
  <si>
    <t>PLACA DE OBRAS - LOCAÇÃO DE OBRA - TAPUME -  ANDAIMES - FACHADEIRO</t>
  </si>
  <si>
    <t>C100001</t>
  </si>
  <si>
    <t>C100020</t>
  </si>
  <si>
    <t>2.2</t>
  </si>
  <si>
    <t>LIGAÇÃO E INSTALAÇÕES PROVISÓRIAS ÁGUA</t>
  </si>
  <si>
    <t>2.3</t>
  </si>
  <si>
    <t>LIGAÇÃO PROVISÓRIA ELÉTRICA</t>
  </si>
  <si>
    <t>C100025</t>
  </si>
  <si>
    <t>MOVIMENTO DE TERRA</t>
  </si>
  <si>
    <t>3.1</t>
  </si>
  <si>
    <t>FUNDAÇÕES</t>
  </si>
  <si>
    <t>FUNDAÇÃO</t>
  </si>
  <si>
    <t>4.1</t>
  </si>
  <si>
    <t>ESTACAS</t>
  </si>
  <si>
    <t>C5089</t>
  </si>
  <si>
    <t>C5014</t>
  </si>
  <si>
    <t>C5078</t>
  </si>
  <si>
    <t>4.2</t>
  </si>
  <si>
    <t>BLOCOS E VIGAS BALDRAMES</t>
  </si>
  <si>
    <t>C5006</t>
  </si>
  <si>
    <t>C5065</t>
  </si>
  <si>
    <t>SUPRAESTRUTURA</t>
  </si>
  <si>
    <t>5.1</t>
  </si>
  <si>
    <t>PISO</t>
  </si>
  <si>
    <t>C5003</t>
  </si>
  <si>
    <t>C5066</t>
  </si>
  <si>
    <t>5.2</t>
  </si>
  <si>
    <t>PILARES E VIGAS</t>
  </si>
  <si>
    <t>C5009</t>
  </si>
  <si>
    <t>5.3</t>
  </si>
  <si>
    <t>LAJES</t>
  </si>
  <si>
    <t>5.4</t>
  </si>
  <si>
    <t>LAJE PRÉ-MOLDADA</t>
  </si>
  <si>
    <t>C5116</t>
  </si>
  <si>
    <t>C5117</t>
  </si>
  <si>
    <t>C5083</t>
  </si>
  <si>
    <t>5.5</t>
  </si>
  <si>
    <t>VERGA</t>
  </si>
  <si>
    <t>C363</t>
  </si>
  <si>
    <t>5.6</t>
  </si>
  <si>
    <t>CINTA DE AMARRAÇÃO</t>
  </si>
  <si>
    <t>5.7</t>
  </si>
  <si>
    <t>TIRANTE PARA VERGAS</t>
  </si>
  <si>
    <t>C5110</t>
  </si>
  <si>
    <t>ALVENARIAS - VEDAÇÃO</t>
  </si>
  <si>
    <t>BLOCOS CERÂMICOS</t>
  </si>
  <si>
    <t>DRYWALL</t>
  </si>
  <si>
    <t>C10552</t>
  </si>
  <si>
    <t>C10240</t>
  </si>
  <si>
    <t>C10550</t>
  </si>
  <si>
    <t>C10551</t>
  </si>
  <si>
    <t>C10556</t>
  </si>
  <si>
    <t>C96372</t>
  </si>
  <si>
    <t>C200023</t>
  </si>
  <si>
    <t>COBERTURA</t>
  </si>
  <si>
    <t>7.1</t>
  </si>
  <si>
    <t>ESTRUTURA METÁLICA E DE MADEIRA</t>
  </si>
  <si>
    <t>C100774</t>
  </si>
  <si>
    <t>C92566</t>
  </si>
  <si>
    <t>7.2</t>
  </si>
  <si>
    <t>TELHAMENTO</t>
  </si>
  <si>
    <t>7.3</t>
  </si>
  <si>
    <t>CALHA / RUFO / CONTRA-RUFO / CUMEEIRA</t>
  </si>
  <si>
    <t>AUX0962</t>
  </si>
  <si>
    <t>7.4</t>
  </si>
  <si>
    <t>REVESTIMENTO ALUMÍNIO COMPOSTO</t>
  </si>
  <si>
    <t>C701</t>
  </si>
  <si>
    <t>IMPERMEABILIZAÇÃO E ISOLAMENTOS</t>
  </si>
  <si>
    <t>8.1</t>
  </si>
  <si>
    <t>IMPERMEABILIZAÇÃO VIGAS BALDRAMES</t>
  </si>
  <si>
    <t>8.2</t>
  </si>
  <si>
    <t>IMPERMEABILIZAÇÃO PISOS E LAJES</t>
  </si>
  <si>
    <t>REVESTIMENTOS</t>
  </si>
  <si>
    <t>9.1</t>
  </si>
  <si>
    <t>PISO INTERNO</t>
  </si>
  <si>
    <t>C10344</t>
  </si>
  <si>
    <t>C10558</t>
  </si>
  <si>
    <t>C196</t>
  </si>
  <si>
    <t>C10383</t>
  </si>
  <si>
    <t>C949</t>
  </si>
  <si>
    <t>9.2</t>
  </si>
  <si>
    <t>REVESTIMENTO DE PAREDES INTERNAS</t>
  </si>
  <si>
    <t>C825</t>
  </si>
  <si>
    <t>C826</t>
  </si>
  <si>
    <t>C827</t>
  </si>
  <si>
    <t>C674</t>
  </si>
  <si>
    <t>9.3</t>
  </si>
  <si>
    <t>REVESTIMENTO DE PAREDES EXTERNAS</t>
  </si>
  <si>
    <t>C10204</t>
  </si>
  <si>
    <t>C246</t>
  </si>
  <si>
    <t>9.4</t>
  </si>
  <si>
    <t>REVESTIMENTO DE TETOS INTERNOS</t>
  </si>
  <si>
    <t>C481</t>
  </si>
  <si>
    <t>C714</t>
  </si>
  <si>
    <t>C10472</t>
  </si>
  <si>
    <t>C675</t>
  </si>
  <si>
    <t>ESQUADRIAS</t>
  </si>
  <si>
    <t>10.1</t>
  </si>
  <si>
    <t>JANELAS DE ALUMÍNIO</t>
  </si>
  <si>
    <t>C200022</t>
  </si>
  <si>
    <t>C10157</t>
  </si>
  <si>
    <t>10.2</t>
  </si>
  <si>
    <t>VISORES</t>
  </si>
  <si>
    <t>C200019</t>
  </si>
  <si>
    <t>10.3</t>
  </si>
  <si>
    <t>GUICHÊS</t>
  </si>
  <si>
    <t>C200020</t>
  </si>
  <si>
    <t>10.4</t>
  </si>
  <si>
    <t>PORTAS DE MADEIRA</t>
  </si>
  <si>
    <t>C200002</t>
  </si>
  <si>
    <t>C200003</t>
  </si>
  <si>
    <t>C200003A</t>
  </si>
  <si>
    <t>C200001</t>
  </si>
  <si>
    <t>C200004</t>
  </si>
  <si>
    <t>C200005</t>
  </si>
  <si>
    <t>10.5</t>
  </si>
  <si>
    <t>FECHADURAS E ACESSÓRIOS</t>
  </si>
  <si>
    <t>C958</t>
  </si>
  <si>
    <t>C221</t>
  </si>
  <si>
    <t>10.6</t>
  </si>
  <si>
    <t>PORTAS DE ALUMÍNIO</t>
  </si>
  <si>
    <t>C200007</t>
  </si>
  <si>
    <t>10.7</t>
  </si>
  <si>
    <t>CONJUNTO DE VIDRO</t>
  </si>
  <si>
    <t>C200015</t>
  </si>
  <si>
    <t>C200016</t>
  </si>
  <si>
    <t>C200017</t>
  </si>
  <si>
    <t>C200018</t>
  </si>
  <si>
    <t>10.8</t>
  </si>
  <si>
    <t>PORTAS DE FERRO</t>
  </si>
  <si>
    <t>C10304</t>
  </si>
  <si>
    <t>C10015</t>
  </si>
  <si>
    <t>C10015a</t>
  </si>
  <si>
    <t>10.9</t>
  </si>
  <si>
    <t>PINTURAS</t>
  </si>
  <si>
    <t>11.1</t>
  </si>
  <si>
    <t xml:space="preserve">PAREDE INTERNA </t>
  </si>
  <si>
    <t>11.2</t>
  </si>
  <si>
    <t>PAREDE EXTERNA</t>
  </si>
  <si>
    <t>11.3</t>
  </si>
  <si>
    <t>DIVERSOS</t>
  </si>
  <si>
    <t>12.1</t>
  </si>
  <si>
    <t>METAIS, LOUÇAS E ACESSÓRIOS</t>
  </si>
  <si>
    <t>C77</t>
  </si>
  <si>
    <t>C10481</t>
  </si>
  <si>
    <t>C438</t>
  </si>
  <si>
    <t>C62</t>
  </si>
  <si>
    <t>C494</t>
  </si>
  <si>
    <t>C3171</t>
  </si>
  <si>
    <t>AUX2666</t>
  </si>
  <si>
    <t>AUX2393</t>
  </si>
  <si>
    <t>C544</t>
  </si>
  <si>
    <t>12.2</t>
  </si>
  <si>
    <t>BANCADAS INOX</t>
  </si>
  <si>
    <t>C551</t>
  </si>
  <si>
    <t>C552</t>
  </si>
  <si>
    <t>C10446</t>
  </si>
  <si>
    <t>C553</t>
  </si>
  <si>
    <t>C625</t>
  </si>
  <si>
    <t>C472</t>
  </si>
  <si>
    <t>12.3</t>
  </si>
  <si>
    <t>ACABAMENTOS DIVERSOS</t>
  </si>
  <si>
    <t>C277</t>
  </si>
  <si>
    <t>C286</t>
  </si>
  <si>
    <t>C10350</t>
  </si>
  <si>
    <t>C561</t>
  </si>
  <si>
    <t>INSTALAÇÃO HIDRÁULICA</t>
  </si>
  <si>
    <t>13.1</t>
  </si>
  <si>
    <t>VÁLVULAS E REGISTROS</t>
  </si>
  <si>
    <t>C1301</t>
  </si>
  <si>
    <t>13.2</t>
  </si>
  <si>
    <t>ACESSÓRIOS</t>
  </si>
  <si>
    <t>C1312</t>
  </si>
  <si>
    <t>C1317</t>
  </si>
  <si>
    <t>C1181</t>
  </si>
  <si>
    <t>13.3</t>
  </si>
  <si>
    <t>EQUIPAMENTOS - REAPROVEITAMENTO DE AGUAS DE CHUVAS</t>
  </si>
  <si>
    <t>C1401</t>
  </si>
  <si>
    <t>C1950</t>
  </si>
  <si>
    <t>C1403</t>
  </si>
  <si>
    <t>C1404</t>
  </si>
  <si>
    <t>C1669</t>
  </si>
  <si>
    <t>13.4</t>
  </si>
  <si>
    <t>RESERVATÓRIOS E COMPLEMENTOS</t>
  </si>
  <si>
    <t>C1952</t>
  </si>
  <si>
    <t>C1953</t>
  </si>
  <si>
    <t>13.5</t>
  </si>
  <si>
    <t>ÁGUA FRIA</t>
  </si>
  <si>
    <t>13.6</t>
  </si>
  <si>
    <t xml:space="preserve">TUBOS E CONEXÕES DE PVC RÍGIDO SOLDÁVEL CLASSE 15 PARA ÁGUA FRIA </t>
  </si>
  <si>
    <t>C1006</t>
  </si>
  <si>
    <t>C1007</t>
  </si>
  <si>
    <t>C1008</t>
  </si>
  <si>
    <t>C1009</t>
  </si>
  <si>
    <t>C1010</t>
  </si>
  <si>
    <t>C1011</t>
  </si>
  <si>
    <t>13.7</t>
  </si>
  <si>
    <t>TUBOS E CONEXÕES DE POLIPROPILENO RANDON (PPR), CLASSE PN 12 - PARA ÁGUA FRIA E ÁGUA QUENTE</t>
  </si>
  <si>
    <t>C1027</t>
  </si>
  <si>
    <t>13.8</t>
  </si>
  <si>
    <t>SERVIÇOS CIVIS</t>
  </si>
  <si>
    <t>13.9</t>
  </si>
  <si>
    <t>ESGOTO</t>
  </si>
  <si>
    <t>13.10</t>
  </si>
  <si>
    <t xml:space="preserve">TUBOS E CONEXÕES DE PVC PARA ESGOTO </t>
  </si>
  <si>
    <t>C1059</t>
  </si>
  <si>
    <t>C1061</t>
  </si>
  <si>
    <t>C1063</t>
  </si>
  <si>
    <t>C1065</t>
  </si>
  <si>
    <t>13.11</t>
  </si>
  <si>
    <t xml:space="preserve">TUBOS E CONEXÕES DE POLIPROPILENO LINHA MARRON PARA ESGOTO </t>
  </si>
  <si>
    <t>C1037</t>
  </si>
  <si>
    <t>13.12</t>
  </si>
  <si>
    <t>13.13</t>
  </si>
  <si>
    <t>CAIXAS E POÇO DE VISITAS</t>
  </si>
  <si>
    <t>13.14</t>
  </si>
  <si>
    <t>INSPEÇÃO</t>
  </si>
  <si>
    <t>C1957</t>
  </si>
  <si>
    <t>C1959</t>
  </si>
  <si>
    <t>C1960</t>
  </si>
  <si>
    <t>C1962</t>
  </si>
  <si>
    <t>C1963</t>
  </si>
  <si>
    <t>C1965</t>
  </si>
  <si>
    <t>C1967</t>
  </si>
  <si>
    <t>13.15</t>
  </si>
  <si>
    <t>GORDURA</t>
  </si>
  <si>
    <t>C1968</t>
  </si>
  <si>
    <t>13.16</t>
  </si>
  <si>
    <t>SERVIÇOS</t>
  </si>
  <si>
    <t>C1894</t>
  </si>
  <si>
    <t>C1969</t>
  </si>
  <si>
    <t>C1694</t>
  </si>
  <si>
    <t>C1690</t>
  </si>
  <si>
    <t>13.17</t>
  </si>
  <si>
    <t>ÁGUAS PLUVIAIS</t>
  </si>
  <si>
    <t>13.18</t>
  </si>
  <si>
    <t>TUBOS E CONEXÕES DE PVC PARA ÁGUAS PLUVIAIS</t>
  </si>
  <si>
    <t>C1090</t>
  </si>
  <si>
    <t>C1091</t>
  </si>
  <si>
    <t>C1092</t>
  </si>
  <si>
    <t>C1093</t>
  </si>
  <si>
    <t>C1095</t>
  </si>
  <si>
    <t>13.19</t>
  </si>
  <si>
    <t>C1298</t>
  </si>
  <si>
    <t>C1248</t>
  </si>
  <si>
    <t>13.20</t>
  </si>
  <si>
    <t>TUBOS E CONEXÕES DE CONCRETO PARA ÁGUAS PLUVIAIS</t>
  </si>
  <si>
    <t>13.21</t>
  </si>
  <si>
    <t>13.22</t>
  </si>
  <si>
    <t>DRENO AR CONDICIONADO</t>
  </si>
  <si>
    <t>13.23</t>
  </si>
  <si>
    <t>TUBOS E CONEXÕES DE PVC, SERIE NORMAL, DE ESGOTO PARA DRENO DE AR CONDICIONADO</t>
  </si>
  <si>
    <t>C1094</t>
  </si>
  <si>
    <t>13.24</t>
  </si>
  <si>
    <t>COMBATE INCÊNDIO</t>
  </si>
  <si>
    <t>14.1</t>
  </si>
  <si>
    <t>EXTINTORES</t>
  </si>
  <si>
    <t>C1692</t>
  </si>
  <si>
    <t>C1970</t>
  </si>
  <si>
    <t>14.2</t>
  </si>
  <si>
    <t>PLACAS DE SINALIZAÇÃO DE EMERGÊNCIA</t>
  </si>
  <si>
    <t>C1199</t>
  </si>
  <si>
    <t>C1200</t>
  </si>
  <si>
    <t>C1363</t>
  </si>
  <si>
    <t>INSTALAÇÃO ELÉTRICA - EXCETO POSTO TRANSFORMAÇÃO, GERADOR, CABEAMENTO CAT, SWITCH, GRAVADORES, CÂMERAS, CERTIFICAÇÃO, CENTRAL DE ENFERMAGEM</t>
  </si>
  <si>
    <t>15.1</t>
  </si>
  <si>
    <t>QDG</t>
  </si>
  <si>
    <t>C11380</t>
  </si>
  <si>
    <t>C11374</t>
  </si>
  <si>
    <t>C3489</t>
  </si>
  <si>
    <t>C3487</t>
  </si>
  <si>
    <t>C3953</t>
  </si>
  <si>
    <t>C3389</t>
  </si>
  <si>
    <t>C13018</t>
  </si>
  <si>
    <t>C3547</t>
  </si>
  <si>
    <t>C3545</t>
  </si>
  <si>
    <t>C3153</t>
  </si>
  <si>
    <t>C3152</t>
  </si>
  <si>
    <t>C3244</t>
  </si>
  <si>
    <t>C3513</t>
  </si>
  <si>
    <t>15.2</t>
  </si>
  <si>
    <t>INFRAESTRUTUTRA QDG</t>
  </si>
  <si>
    <t>C3245</t>
  </si>
  <si>
    <t>15.3</t>
  </si>
  <si>
    <t>QD-1</t>
  </si>
  <si>
    <t>C11381</t>
  </si>
  <si>
    <t>C13019</t>
  </si>
  <si>
    <t>C3878</t>
  </si>
  <si>
    <t>C3879</t>
  </si>
  <si>
    <t>C3544</t>
  </si>
  <si>
    <t>C3542</t>
  </si>
  <si>
    <t>C3151</t>
  </si>
  <si>
    <t>C3150</t>
  </si>
  <si>
    <t>C3256</t>
  </si>
  <si>
    <t>15.4</t>
  </si>
  <si>
    <t>EQUIPAMENTOS QD-1</t>
  </si>
  <si>
    <t>C13037</t>
  </si>
  <si>
    <t>C13251</t>
  </si>
  <si>
    <t>C3584</t>
  </si>
  <si>
    <t>C3594</t>
  </si>
  <si>
    <t>C3480</t>
  </si>
  <si>
    <t>15.5</t>
  </si>
  <si>
    <t>ACESSÓRIOS QD-1</t>
  </si>
  <si>
    <t>C3159</t>
  </si>
  <si>
    <t>C3175</t>
  </si>
  <si>
    <t>C3060</t>
  </si>
  <si>
    <t>C3059</t>
  </si>
  <si>
    <t>C3062</t>
  </si>
  <si>
    <t>C3061</t>
  </si>
  <si>
    <t>C3533</t>
  </si>
  <si>
    <t>C3948</t>
  </si>
  <si>
    <t>C3949</t>
  </si>
  <si>
    <t>15.6</t>
  </si>
  <si>
    <t>QD-2</t>
  </si>
  <si>
    <t>C11382</t>
  </si>
  <si>
    <t>15.7</t>
  </si>
  <si>
    <t>EQUIPAMENTOS QD-2</t>
  </si>
  <si>
    <t>C3598</t>
  </si>
  <si>
    <t>C11379</t>
  </si>
  <si>
    <t>C3408</t>
  </si>
  <si>
    <t>15.8</t>
  </si>
  <si>
    <t>ACESSÓRIOS QD-2</t>
  </si>
  <si>
    <t>C13005</t>
  </si>
  <si>
    <t>15.9</t>
  </si>
  <si>
    <t>QD-3</t>
  </si>
  <si>
    <t>C11383</t>
  </si>
  <si>
    <t>C3543</t>
  </si>
  <si>
    <t>C3155</t>
  </si>
  <si>
    <t>15.10</t>
  </si>
  <si>
    <t>EQUIPAMENTOS QD-3</t>
  </si>
  <si>
    <t>C11378</t>
  </si>
  <si>
    <t>C13038</t>
  </si>
  <si>
    <t>C3363</t>
  </si>
  <si>
    <t>C3409</t>
  </si>
  <si>
    <t>C13178</t>
  </si>
  <si>
    <t>C3974</t>
  </si>
  <si>
    <t>C3293</t>
  </si>
  <si>
    <t>15.11</t>
  </si>
  <si>
    <t>ACESSÓRIOS QD-3</t>
  </si>
  <si>
    <t>C3535</t>
  </si>
  <si>
    <t>C13256</t>
  </si>
  <si>
    <t>15.12</t>
  </si>
  <si>
    <t>QF-VÁCUO</t>
  </si>
  <si>
    <t>C11384</t>
  </si>
  <si>
    <t>C3156</t>
  </si>
  <si>
    <t>C13022</t>
  </si>
  <si>
    <t>C3255</t>
  </si>
  <si>
    <t>15.13</t>
  </si>
  <si>
    <t>QF-AR COMPRIMIDO</t>
  </si>
  <si>
    <t>C11385</t>
  </si>
  <si>
    <t>C3157</t>
  </si>
  <si>
    <t>15.14</t>
  </si>
  <si>
    <t>QD-4</t>
  </si>
  <si>
    <t>C11386</t>
  </si>
  <si>
    <t>15.15</t>
  </si>
  <si>
    <t>EQUIPAMENTOS QD-4</t>
  </si>
  <si>
    <t>C13177</t>
  </si>
  <si>
    <t>15.16</t>
  </si>
  <si>
    <t>ACESSÓRIOS QD-4</t>
  </si>
  <si>
    <t>C3534</t>
  </si>
  <si>
    <t>15.17</t>
  </si>
  <si>
    <t>QD-AC-1</t>
  </si>
  <si>
    <t>C11387</t>
  </si>
  <si>
    <t>C3548</t>
  </si>
  <si>
    <t>C3546</t>
  </si>
  <si>
    <t>C3531</t>
  </si>
  <si>
    <t>C3550</t>
  </si>
  <si>
    <t>C3259</t>
  </si>
  <si>
    <t>15.18</t>
  </si>
  <si>
    <t>EQUIPAMENTOS QD-AC-1</t>
  </si>
  <si>
    <t>C11376</t>
  </si>
  <si>
    <t>C3964</t>
  </si>
  <si>
    <t>C3176</t>
  </si>
  <si>
    <t>C11375</t>
  </si>
  <si>
    <t>C3064</t>
  </si>
  <si>
    <t>C3874</t>
  </si>
  <si>
    <t>C13272</t>
  </si>
  <si>
    <t>C113270</t>
  </si>
  <si>
    <t>C113271</t>
  </si>
  <si>
    <t>15.19</t>
  </si>
  <si>
    <t>QD-AC-2</t>
  </si>
  <si>
    <t>C11388</t>
  </si>
  <si>
    <t>15.20</t>
  </si>
  <si>
    <t>EQUIPAMENTOS QD-AC-2</t>
  </si>
  <si>
    <t>C13277</t>
  </si>
  <si>
    <t>15.21</t>
  </si>
  <si>
    <t>QF-RX</t>
  </si>
  <si>
    <t>C11390</t>
  </si>
  <si>
    <t>C3257</t>
  </si>
  <si>
    <t>15.22</t>
  </si>
  <si>
    <t xml:space="preserve">CABEAMENTO ESTRUTURADO  </t>
  </si>
  <si>
    <t>ENTRADA TELEFONE</t>
  </si>
  <si>
    <t>C113272</t>
  </si>
  <si>
    <t>15.22.2</t>
  </si>
  <si>
    <t xml:space="preserve">RACK "A" </t>
  </si>
  <si>
    <t>C13281</t>
  </si>
  <si>
    <t>C113273</t>
  </si>
  <si>
    <t>C3197</t>
  </si>
  <si>
    <t>C3203</t>
  </si>
  <si>
    <t>C3356</t>
  </si>
  <si>
    <t>C3212</t>
  </si>
  <si>
    <t>C3192</t>
  </si>
  <si>
    <t>C3191</t>
  </si>
  <si>
    <t>C3180</t>
  </si>
  <si>
    <t>C13290</t>
  </si>
  <si>
    <t>C13265</t>
  </si>
  <si>
    <t>C13264</t>
  </si>
  <si>
    <t>C3359</t>
  </si>
  <si>
    <t>C3216</t>
  </si>
  <si>
    <t>15.22.3</t>
  </si>
  <si>
    <t xml:space="preserve">ACESSÓRIOS  RACK "A" </t>
  </si>
  <si>
    <t>C3049</t>
  </si>
  <si>
    <t>CHAMADA DE ENFERMAGEM</t>
  </si>
  <si>
    <t>15.23.1</t>
  </si>
  <si>
    <t xml:space="preserve">CENTRAL 1 </t>
  </si>
  <si>
    <t>C13009</t>
  </si>
  <si>
    <t>15.23</t>
  </si>
  <si>
    <t>PÁRA - RAIOS (SPDA) – EM RE-BAR</t>
  </si>
  <si>
    <t>C3033</t>
  </si>
  <si>
    <t>C3243</t>
  </si>
  <si>
    <t>C3613</t>
  </si>
  <si>
    <t>C3274</t>
  </si>
  <si>
    <t>C3281</t>
  </si>
  <si>
    <t>C3620</t>
  </si>
  <si>
    <t>C3619</t>
  </si>
  <si>
    <t>C3382</t>
  </si>
  <si>
    <t>15.24</t>
  </si>
  <si>
    <t>INSTALAÇÕES DE GÁS MEDICINAL - EXCETO CENTRAIS</t>
  </si>
  <si>
    <t>16.1</t>
  </si>
  <si>
    <t>TUBOS, ACESSÓRIOS E CONEXÕES DE COBRE CONFORME ABNT 13206</t>
  </si>
  <si>
    <t>C4463</t>
  </si>
  <si>
    <t>C4464</t>
  </si>
  <si>
    <t>16.2</t>
  </si>
  <si>
    <t>DIAMETRO 28MM</t>
  </si>
  <si>
    <t>C4465</t>
  </si>
  <si>
    <t>16.3</t>
  </si>
  <si>
    <t>TINTA PARA PINTURA DE TUBULAÇÃO</t>
  </si>
  <si>
    <t>C4471</t>
  </si>
  <si>
    <t>C4472</t>
  </si>
  <si>
    <t>C4473</t>
  </si>
  <si>
    <t>C4474</t>
  </si>
  <si>
    <t>16.4</t>
  </si>
  <si>
    <t>CANALETA DE CONCRETO DIMESÕES 50CM X 80CM (COMPRIMENTO X ALTURA)</t>
  </si>
  <si>
    <t>C4475</t>
  </si>
  <si>
    <t>16.5</t>
  </si>
  <si>
    <t>CAIXA PARA VÁLVULAS DE SEÇÃO</t>
  </si>
  <si>
    <t>C4493</t>
  </si>
  <si>
    <t>C4494</t>
  </si>
  <si>
    <t>C4495</t>
  </si>
  <si>
    <t>16.6</t>
  </si>
  <si>
    <t>VÁLVULAS DE SEÇÃO DE ESFERA TRIPARTIDA DE PASSAGEM PLENA PARA GASES MEDICINAIS CONFORME ABNT NBR 14.788</t>
  </si>
  <si>
    <t>C4497</t>
  </si>
  <si>
    <t>C4498</t>
  </si>
  <si>
    <t>C4499</t>
  </si>
  <si>
    <t>16.7</t>
  </si>
  <si>
    <t>TERMINAIS DE CONSUMO PARA GASES MEDICINAIS</t>
  </si>
  <si>
    <t>C4153</t>
  </si>
  <si>
    <t>C4154</t>
  </si>
  <si>
    <t>C4155</t>
  </si>
  <si>
    <t>16.8</t>
  </si>
  <si>
    <t>PAINEL DE ALARMES</t>
  </si>
  <si>
    <t>C4486</t>
  </si>
  <si>
    <t>C4487</t>
  </si>
  <si>
    <t>C4489</t>
  </si>
  <si>
    <t>16.9</t>
  </si>
  <si>
    <t>PONTOS DE CONSUMO ESPECIAIS</t>
  </si>
  <si>
    <t>C4490</t>
  </si>
  <si>
    <t>16.10</t>
  </si>
  <si>
    <t>ACESSÓRIO PARA PONTOS DE CONSUMOS ESPECIAIS</t>
  </si>
  <si>
    <t>C4492</t>
  </si>
  <si>
    <t>INSTALAÇÕES DE CLIMATIZAÇÃO - EXCETO EQUIPAMENTOS</t>
  </si>
  <si>
    <t>17.1</t>
  </si>
  <si>
    <t>TUBOS PARA REFRIGERAÇÃO EM COBRE FABRICADOS POR EXTRUSÃO, FUNDIÇÃO CONTÍNUA OU POR TREFILAÇÃO - CONFORME NBR 7541</t>
  </si>
  <si>
    <t>C12055</t>
  </si>
  <si>
    <t>C12056</t>
  </si>
  <si>
    <t>C12057</t>
  </si>
  <si>
    <t>C12058</t>
  </si>
  <si>
    <t>C12059</t>
  </si>
  <si>
    <t>17.2</t>
  </si>
  <si>
    <t>TUBOS PARA REFRIGERAÇÃO EM COBRE FABRICADOS EM BARRA SEM COSTURA - CONFORME NBR 7541 E ASTM B75</t>
  </si>
  <si>
    <t>C12191</t>
  </si>
  <si>
    <t>C12192</t>
  </si>
  <si>
    <t>17.3</t>
  </si>
  <si>
    <t>VÁLVULAS DE SEÇÃO DE ESFERA PARA TUBULAÇÕES FRIGORÍGENAS</t>
  </si>
  <si>
    <t>C12079</t>
  </si>
  <si>
    <t>C12080</t>
  </si>
  <si>
    <t>C12083</t>
  </si>
  <si>
    <t>C12082</t>
  </si>
  <si>
    <t>17.4</t>
  </si>
  <si>
    <t>KIT REFNET</t>
  </si>
  <si>
    <t>C12066</t>
  </si>
  <si>
    <t>C12069</t>
  </si>
  <si>
    <t>C12070</t>
  </si>
  <si>
    <t>C12071</t>
  </si>
  <si>
    <t>17.5</t>
  </si>
  <si>
    <t>CARGA EXTRA DE FLUÍDO REFRIGERANTE</t>
  </si>
  <si>
    <t>C12377</t>
  </si>
  <si>
    <t>17.6</t>
  </si>
  <si>
    <t>AUTOMAÇÃO - CONTROLADORES E FIAÇÃO</t>
  </si>
  <si>
    <t>C12376</t>
  </si>
  <si>
    <t>C12077</t>
  </si>
  <si>
    <t>C12413</t>
  </si>
  <si>
    <t>17.7</t>
  </si>
  <si>
    <t>VIGA DE CONCRETO  PARA APOIO DAS UNIDADES CONDENSADORAS</t>
  </si>
  <si>
    <t>C5115</t>
  </si>
  <si>
    <t>C12084</t>
  </si>
  <si>
    <t>17.8</t>
  </si>
  <si>
    <t>ACESSÓRIOS, VÁLVULAS E CONEXÕES PARA REDE DE DUTOS DE AR</t>
  </si>
  <si>
    <t>17.9</t>
  </si>
  <si>
    <t>DIFUSORES PARA INSUFLAMENTO DE AR</t>
  </si>
  <si>
    <t>C12271</t>
  </si>
  <si>
    <t>C12276</t>
  </si>
  <si>
    <t>C12277</t>
  </si>
  <si>
    <t>C12278</t>
  </si>
  <si>
    <t>C12279</t>
  </si>
  <si>
    <t>C12270</t>
  </si>
  <si>
    <t>17.10</t>
  </si>
  <si>
    <t>GRELHAS PARA INSUFLAMENTO DE AR EXTERNO</t>
  </si>
  <si>
    <t>C12302</t>
  </si>
  <si>
    <t>17.11</t>
  </si>
  <si>
    <t>GRELHAS DE RETORNO DE AR</t>
  </si>
  <si>
    <t>C12303</t>
  </si>
  <si>
    <t>C12304</t>
  </si>
  <si>
    <t>C12307</t>
  </si>
  <si>
    <t>C12305</t>
  </si>
  <si>
    <t>C12306</t>
  </si>
  <si>
    <t>C12308</t>
  </si>
  <si>
    <t>C12310</t>
  </si>
  <si>
    <t>17.12</t>
  </si>
  <si>
    <t>VENEZIANAS  DE CAPTAÇÃO DE AR EXTERIOR</t>
  </si>
  <si>
    <t>C2823</t>
  </si>
  <si>
    <t>17.13</t>
  </si>
  <si>
    <t>GRELHA PLÁSTICA DE ENCAIXE</t>
  </si>
  <si>
    <t>C2813</t>
  </si>
  <si>
    <t>C2814</t>
  </si>
  <si>
    <t>C2815</t>
  </si>
  <si>
    <t>17.14</t>
  </si>
  <si>
    <t>REGULADOR DE VAZÃO DE AR</t>
  </si>
  <si>
    <t>C12215</t>
  </si>
  <si>
    <t>17.15</t>
  </si>
  <si>
    <t>DAMPERS DE REGULAGEM DE VAZÃO</t>
  </si>
  <si>
    <t>C12217</t>
  </si>
  <si>
    <t>C12218</t>
  </si>
  <si>
    <t>C12219</t>
  </si>
  <si>
    <t>C12220</t>
  </si>
  <si>
    <t>C12221</t>
  </si>
  <si>
    <t>C12223</t>
  </si>
  <si>
    <t>C12224</t>
  </si>
  <si>
    <t>C12238</t>
  </si>
  <si>
    <t>C12225</t>
  </si>
  <si>
    <t>C12226</t>
  </si>
  <si>
    <t>C12231</t>
  </si>
  <si>
    <t>C12239</t>
  </si>
  <si>
    <t>C12229</t>
  </si>
  <si>
    <t>C12240</t>
  </si>
  <si>
    <t>C12233</t>
  </si>
  <si>
    <t>C12241</t>
  </si>
  <si>
    <t>C12237</t>
  </si>
  <si>
    <t>C12242</t>
  </si>
  <si>
    <t>C12243</t>
  </si>
  <si>
    <t>17.16</t>
  </si>
  <si>
    <t>DAMPER CORTA-FOGO</t>
  </si>
  <si>
    <t>C12258</t>
  </si>
  <si>
    <t>C12257</t>
  </si>
  <si>
    <t>C12259</t>
  </si>
  <si>
    <t>C12262</t>
  </si>
  <si>
    <t>17.17</t>
  </si>
  <si>
    <t>DUTO EM CHAPA DE  AÇO GALVANIZADO - COM ISOLAMENTO DE LÃ DE VIDRO 38mm</t>
  </si>
  <si>
    <t>C12364</t>
  </si>
  <si>
    <t>C12365</t>
  </si>
  <si>
    <t>C12366</t>
  </si>
  <si>
    <t>17.18</t>
  </si>
  <si>
    <t>DUTO EM CHAPA DE  AÇO GALVANIZADO -  SEM ISOLAMENTO</t>
  </si>
  <si>
    <t>C12368</t>
  </si>
  <si>
    <t>C12369</t>
  </si>
  <si>
    <t>17.19</t>
  </si>
  <si>
    <t>DUTO FLEXÍVEL ALUMINIZADO - SEM ISOLAMENTO</t>
  </si>
  <si>
    <t>C2862</t>
  </si>
  <si>
    <t>C2863</t>
  </si>
  <si>
    <t>C2864</t>
  </si>
  <si>
    <t>17.20</t>
  </si>
  <si>
    <t>SENSORES DE TEMPERATURA E UMIDADE</t>
  </si>
  <si>
    <t>C12370</t>
  </si>
  <si>
    <t>C12371</t>
  </si>
  <si>
    <t>17.21</t>
  </si>
  <si>
    <t>SENSORES DE PRESSÃO DIFERENCIAL</t>
  </si>
  <si>
    <t>C12372</t>
  </si>
  <si>
    <t>SERVIÇOS FINAIS</t>
  </si>
  <si>
    <t>C579</t>
  </si>
  <si>
    <t>AUX0645</t>
  </si>
  <si>
    <t xml:space="preserve">IMPLANTAÇÃO DO PROJETO PADRÃO </t>
  </si>
  <si>
    <t>19.1</t>
  </si>
  <si>
    <t>LIMPEZA DO TERRENO</t>
  </si>
  <si>
    <t>19.2</t>
  </si>
  <si>
    <t>20.1</t>
  </si>
  <si>
    <t>20.2</t>
  </si>
  <si>
    <t>EXECUÇÃO DE BASE E SUB-BASE</t>
  </si>
  <si>
    <t>CALÇADAS EXTERNAS</t>
  </si>
  <si>
    <t>C272</t>
  </si>
  <si>
    <t>C236</t>
  </si>
  <si>
    <t>C10585</t>
  </si>
  <si>
    <t>GUIA, MEIO-FIO E SARJETA</t>
  </si>
  <si>
    <t>C425</t>
  </si>
  <si>
    <t>C10210</t>
  </si>
  <si>
    <t>22.1</t>
  </si>
  <si>
    <t>PORTÕES</t>
  </si>
  <si>
    <t>C200021</t>
  </si>
  <si>
    <t>C10016</t>
  </si>
  <si>
    <t>22.2</t>
  </si>
  <si>
    <t>22.3</t>
  </si>
  <si>
    <t>INSTALAÇÃO ELÉTRICA - (POSTO TRANSFORMAÇÃO,  INFRA PARA CABEAMENTO CAT)</t>
  </si>
  <si>
    <t>23.1</t>
  </si>
  <si>
    <t>ENTRADA DE ENERGIA / IMPLANTAÇÃO</t>
  </si>
  <si>
    <t>POSTO DE TRANSFORMAÇÃO - 150KVA - 220/127V</t>
  </si>
  <si>
    <t>C1364</t>
  </si>
  <si>
    <t>RAMAL ALIMENTADOR CAIXA "H" P/ GERADOR</t>
  </si>
  <si>
    <t>ATERRAMENTO ENTRADA DE ENERGIA</t>
  </si>
  <si>
    <t>C3242</t>
  </si>
  <si>
    <t>C13024</t>
  </si>
  <si>
    <t>23.2</t>
  </si>
  <si>
    <t>ENTRADA TELEFÔNICA - VIDE PRANCHA CABE 01-06</t>
  </si>
  <si>
    <t>GRUPO GERADOR</t>
  </si>
  <si>
    <t>C1365</t>
  </si>
  <si>
    <t>EQUIPAMENTOS CABEAMENTO ESTRUTURADO</t>
  </si>
  <si>
    <t>C3190</t>
  </si>
  <si>
    <t>C3975</t>
  </si>
  <si>
    <t>C3181</t>
  </si>
  <si>
    <t>C3178</t>
  </si>
  <si>
    <t>C3177</t>
  </si>
  <si>
    <t>EQUIPAMENTOS CHAMADA DE ENFERMAGEM</t>
  </si>
  <si>
    <t>C3484</t>
  </si>
  <si>
    <t>C3449</t>
  </si>
  <si>
    <t>C3364</t>
  </si>
  <si>
    <t>C3366</t>
  </si>
  <si>
    <t>PAISAGISMO, SINALIZAÇÃO VIÁRIA E MOBILIÁRIO URBANO</t>
  </si>
  <si>
    <t>PAISAGISMO</t>
  </si>
  <si>
    <t>C10024</t>
  </si>
  <si>
    <t>SINALIZAÇÃO VIÁRIA</t>
  </si>
  <si>
    <t>C422</t>
  </si>
  <si>
    <t>C423</t>
  </si>
  <si>
    <t>MOBILIÁRIO URBANO</t>
  </si>
  <si>
    <t>C10600</t>
  </si>
  <si>
    <t>CANTEIRO DE OBRAS - BARRACÕES</t>
  </si>
  <si>
    <t>28.1</t>
  </si>
  <si>
    <t>CANTEIRO DE OBRAS / SANITÁRIOS</t>
  </si>
  <si>
    <t>C100035</t>
  </si>
  <si>
    <t>28.2</t>
  </si>
  <si>
    <t>CANTEIRO DE OBRAS / REFEITÓRIO</t>
  </si>
  <si>
    <t>C100038</t>
  </si>
  <si>
    <t>28.3</t>
  </si>
  <si>
    <t>CANTEIRO DE OBRAS / ALMOXARIFADO</t>
  </si>
  <si>
    <t>C100039</t>
  </si>
  <si>
    <t>CANTEIRO DE OBRAS / CENTRAL DE ARMADURA E FORMAS</t>
  </si>
  <si>
    <t>C100040</t>
  </si>
  <si>
    <t>CANTEIRO DE OBRAS / ESCRITORIO</t>
  </si>
  <si>
    <t>C100037</t>
  </si>
  <si>
    <t>CANTEIRO DE OBRAS / RESERVATORIO DE AGUA</t>
  </si>
  <si>
    <t>INSTALAÇÃO DE CLIMATIZAÇÃO  -  EQUIPAMENTOS (FANCOIL, UTAS, VENTILADORES, EVAPORADORES, CONDENSADORES, COMANDO)</t>
  </si>
  <si>
    <t>29.1</t>
  </si>
  <si>
    <t>CONDENSADORA VRF - SOMENTE FRIO - 220V</t>
  </si>
  <si>
    <t>C12050</t>
  </si>
  <si>
    <t>C12049</t>
  </si>
  <si>
    <t>29.2</t>
  </si>
  <si>
    <t>UNIDADES DE TRATAMENTO DE AR MODULAR DE MONTAGEM HORIZONTAL</t>
  </si>
  <si>
    <t>C12092</t>
  </si>
  <si>
    <t>C12094</t>
  </si>
  <si>
    <t>C12091</t>
  </si>
  <si>
    <t>C12093</t>
  </si>
  <si>
    <t>C12096</t>
  </si>
  <si>
    <t>29.3</t>
  </si>
  <si>
    <t>UNIDADES DE TRATAMENTO DE AR MODULAR DE MONTAGEM HORIZONTAL PARA ENTREFORRO</t>
  </si>
  <si>
    <t>C2719</t>
  </si>
  <si>
    <t>C2721</t>
  </si>
  <si>
    <t>C2715</t>
  </si>
  <si>
    <t>C2712</t>
  </si>
  <si>
    <t>C2720</t>
  </si>
  <si>
    <t>C2711</t>
  </si>
  <si>
    <t>29.4</t>
  </si>
  <si>
    <t>GABINETES DE VENTILAÇÃO DE AR EXTERNO</t>
  </si>
  <si>
    <t>C12087</t>
  </si>
  <si>
    <t>29.5</t>
  </si>
  <si>
    <t>GABINETES DE VENTILAÇÃO DE EXAUSTÃO DE AR</t>
  </si>
  <si>
    <t>C12088</t>
  </si>
  <si>
    <t>29.6</t>
  </si>
  <si>
    <t>SUPORTES PARA GABINETES DE VENTILAÇÃO</t>
  </si>
  <si>
    <t>C12155</t>
  </si>
  <si>
    <t>CAIXA DE FILTRAGEM BAG-IN BAG-OUT (BIBO)</t>
  </si>
  <si>
    <t>C12089</t>
  </si>
  <si>
    <t>VENTILADORES COMPACTOS AXIAIS DE FIXAÇÃO EM FORRO</t>
  </si>
  <si>
    <t>C12160</t>
  </si>
  <si>
    <t>C12162</t>
  </si>
  <si>
    <t>C12163</t>
  </si>
  <si>
    <t>INSTALAÇÃO DE GASES MEDICIAIS - EQUIPAMENTOS</t>
  </si>
  <si>
    <t>C4901</t>
  </si>
  <si>
    <t>C4907</t>
  </si>
  <si>
    <t>TOTAL GERAL</t>
  </si>
  <si>
    <t>pintura estrutura</t>
  </si>
  <si>
    <t>PLANILHA CURVA ABC DE SERVIÇOS NÃO DESONERADA</t>
  </si>
  <si>
    <t xml:space="preserve">CUSTO TOTAL ACUMULADO </t>
  </si>
  <si>
    <t>% ACUMULADO</t>
  </si>
  <si>
    <t>FAIXA</t>
  </si>
  <si>
    <t>LEVANTAMENTO ACM 02</t>
  </si>
  <si>
    <t>(m)</t>
  </si>
  <si>
    <t>ÁREA</t>
  </si>
  <si>
    <t>Frente Horizontal</t>
  </si>
  <si>
    <t>Frente Vertical</t>
  </si>
  <si>
    <t>Superior</t>
  </si>
  <si>
    <t>Lateral Direita</t>
  </si>
  <si>
    <t>Lateral Esquerda 1</t>
  </si>
  <si>
    <t>Lateral Esquerda 2</t>
  </si>
  <si>
    <t>Inferior</t>
  </si>
  <si>
    <t>total</t>
  </si>
  <si>
    <t>LEVANTAMENTO ACM 01</t>
  </si>
  <si>
    <t xml:space="preserve">Lateral Esquerda </t>
  </si>
  <si>
    <t>TOTAL ACM</t>
  </si>
  <si>
    <t>(M2)</t>
  </si>
  <si>
    <t>MODELO DE CRONOGRAMA PARA SER UTILIZADO QUANDO SE TRATAR APENAS DE UM TIPO DE OBRA. QUANDO HOUVER REPAROS E MELHORIAS NA MESMA OBRA, ELABORAR CRONOGRAMAS SEPARADOS</t>
  </si>
  <si>
    <t>TIPO OBRA:</t>
  </si>
  <si>
    <t>EMPRESA:</t>
  </si>
  <si>
    <t>PRAZO EXECUÇÃO</t>
  </si>
  <si>
    <t>BDI</t>
  </si>
  <si>
    <t>BDI DIFERENCIADO</t>
  </si>
  <si>
    <t>% NO PERIODO</t>
  </si>
  <si>
    <t>VALOR</t>
  </si>
  <si>
    <t>ÍNDICE</t>
  </si>
  <si>
    <t>SERVIÇO</t>
  </si>
  <si>
    <t>PLANILHA</t>
  </si>
  <si>
    <t>C/ BDI</t>
  </si>
  <si>
    <t>S/ BDI</t>
  </si>
  <si>
    <t>PROJETO PADRÃO</t>
  </si>
  <si>
    <t>SERVIÇOS DE NATUREZA ESPECÍFICA</t>
  </si>
  <si>
    <t>VALOR DA PARCELA DETERMINADA COM BASE NO PREÇO MÁXIMO</t>
  </si>
  <si>
    <t>VALOR PROPOSTO</t>
  </si>
  <si>
    <t xml:space="preserve"> DESCONTO PROPOSTO  /  VALOR DAS PARCELAS</t>
  </si>
  <si>
    <t>TOTAL ACUMULADO COM O DESCONTO PROPOSTO</t>
  </si>
  <si>
    <t>G O V E R N O    D O    E S T A D O    D O    P A R A N Á</t>
  </si>
  <si>
    <t>TIPO OBRA/SERVIÇO:</t>
  </si>
  <si>
    <t>RESP. TÉCNICO</t>
  </si>
  <si>
    <t>TABELA ANALÍTICA DE COMPOSIÇÃO DE SERVIÇOS COMPLEMENTARES - NÃO DESONERADO</t>
  </si>
  <si>
    <t>CÓDIGOS</t>
  </si>
  <si>
    <t>CÓDIGO
COMPOSIÇÃO</t>
  </si>
  <si>
    <t>UNID.</t>
  </si>
  <si>
    <t>COEF.</t>
  </si>
  <si>
    <t>R$ UNIT.</t>
  </si>
  <si>
    <t>CUSTO TOTAL (R$)</t>
  </si>
  <si>
    <t>Código e Referência da Composição de Custos</t>
  </si>
  <si>
    <t>ABA SERVIÇOS</t>
  </si>
  <si>
    <t>ABA INSUMOS / COTAÇÃO</t>
  </si>
  <si>
    <t>MAT./EQUIP</t>
  </si>
  <si>
    <t>CHUVEIRO ELÉTRICO COMUM EM PLÁSTICO CROMADO, COM CANO, 4 TEMPERATURAS (110/220V), POTÊNCIA 6.800W, COM DESVIADOR  - FORNECIMENTO E INSTALAÇÃO</t>
  </si>
  <si>
    <t>ADAP SINAPI 100860</t>
  </si>
  <si>
    <t>LAVATÓRIO PEQUENO COM COLUNA SUSPENSA, 445X335MM, LINHA VOGUE PLUS COR BRANCO L510 E C510DECA OU EQUIVALENTE TÉCNICO</t>
  </si>
  <si>
    <t>ADAP SINAPI 86902</t>
  </si>
  <si>
    <t>I03590</t>
  </si>
  <si>
    <t>LAVATÓRIO PEQUENO COM COLUNA SUSPENSA, LINHA VOGUE PLUS COR BRANCO L510 E C510DECA</t>
  </si>
  <si>
    <t>un</t>
  </si>
  <si>
    <t>INSUMO ORSE</t>
  </si>
  <si>
    <t>I07388</t>
  </si>
  <si>
    <t>Coluna suspensa de louça para lavatório, linha Vogue Plus Conforto, ref: C-510, DECA ou similar</t>
  </si>
  <si>
    <t>SOLEIRAS E/OU PEITORIL EM GRANITO POLIDO, TIPO ANDORINHA/ QUARTZ/ CASTELO/ CORUMBA OU OUTROS EQUIVALENTES DA REGIAO, ESPESSURA 2CM, ASSENTADA SOBRE ARGAMASSA TRACO 1:4 (CIMENTO E AREIA)</t>
  </si>
  <si>
    <t>ADAP ORSE 11746</t>
  </si>
  <si>
    <t>CHAPA  EM AÇO INOX PARA PROTEÇÃO DE PORTA, ESP 1MM - FORNECIMENTO E INSTALAÇÃO</t>
  </si>
  <si>
    <t>ADAP CPOS 30.04.060</t>
  </si>
  <si>
    <t>E.18.000.036519</t>
  </si>
  <si>
    <t xml:space="preserve">Revestimento em aço inoxidável AISI304, liga18,8 em chapa 20 com espessura de 1mm, acabamento escovado - colocado </t>
  </si>
  <si>
    <t>INSUMO CPOS</t>
  </si>
  <si>
    <t>LADRILHO HIDRAULICO PODOTÁTIL DE 30X30CM, ESPESSURA DE 2CM, COMPOSTO DE CIMENTO, AREIA, PÓ DE PEDRA E PIGMENTOS DO TIPO DIRECIONAL/ALERTA, COR TERRACOTA, INCLUSO BASE DE AREIA E REJUNTAMENTO COM PÓ DE PEDRA (CPU), CONFORME NBR/ABNT 9050 E LEGISLAÇÃO MUNICIPAL</t>
  </si>
  <si>
    <t>ADAP ORSE S12039</t>
  </si>
  <si>
    <t>PASSEIO EM CONCRETO SIMPLES COM CIMENTADO, ACABAMENTO LISO, MOLDADO IN LOCO, ESPESSURA 5CM</t>
  </si>
  <si>
    <t>ADAP SINAPI 94990 + ORSE S04889</t>
  </si>
  <si>
    <t>DIVISÓRIA EM GRANITO, COM DUAS FACES POLIDAS, TIPO ANDORINHA/ QUARTZ/ CASTELO/ CORUMBA OU OUTROS EQUIVALENTES DA REGIÃO,  ESP= 3,0CM</t>
  </si>
  <si>
    <t>ADAP SEINFRA C4096</t>
  </si>
  <si>
    <t>S40598</t>
  </si>
  <si>
    <t>INSUMO SINAPI SP</t>
  </si>
  <si>
    <t>CORTINA DIVISÓRIA DE LEITO EM TECIDO ANTI-CHAMA COM TELA INTEGRADA, INCLUSO TRILHOS E ACESSÓRIOS</t>
  </si>
  <si>
    <t>ORSE S07887</t>
  </si>
  <si>
    <t>I09004</t>
  </si>
  <si>
    <t xml:space="preserve">Fornecimento e montagem de Cortina divisória de leito em teciso ante-chama com tela integrada h=2,70, com trilhos e acessórios Kaylor Kube ou similar </t>
  </si>
  <si>
    <t>PINTURA DE DEMARCAÇÃO DE VAGA COM TINTA ACRÍLICA, E = 10 CM, APLICAÇÃO MANUAL.</t>
  </si>
  <si>
    <t>SINAPI 102500</t>
  </si>
  <si>
    <t>PINTURA DE DEMARCAÇÃO DE VAGA ACESSÍVEL COM TINTA ACRÍLICA</t>
  </si>
  <si>
    <t>CPOS 16.18.080</t>
  </si>
  <si>
    <t>REBAIXAMENTO DE GUIA</t>
  </si>
  <si>
    <t>SIURB 17.02.54 (E)</t>
  </si>
  <si>
    <t>ESPELHO CRISTAL, ESPESSURA 4MM, FIXADO COM BOTÃO CROMADO, SEM MOLDURA, NAS DIMENSÕES 50X70CM</t>
  </si>
  <si>
    <t>ADAP SINAPI 85005</t>
  </si>
  <si>
    <t>S442</t>
  </si>
  <si>
    <t xml:space="preserve">LAVATÓRIO COLETIVO EM AÇO INOX </t>
  </si>
  <si>
    <t>ORSE 3638</t>
  </si>
  <si>
    <t>O.15.000.090259</t>
  </si>
  <si>
    <t>Lavatório/bebedouro coletivo de aço inoxidável AISI 304 chapa 20 (1,0mm) - (200 x 80) cm</t>
  </si>
  <si>
    <t xml:space="preserve">FORRO EM GESSO ACARTONADO REMOVÍVEL,  PLACAS RETANGULARES (625X1250MM), COM ACABAMENTO VINILICO LISO EM UMA DAS FACES, INCLUSIVE ESTRUTURA DE FIXAÇÃO. </t>
  </si>
  <si>
    <t>SINAPI 01.REVE.FORR.022/01</t>
  </si>
  <si>
    <t>S37395</t>
  </si>
  <si>
    <t>CABIDE DE BANHEIRO SIMPLES EM METAL CROMADO</t>
  </si>
  <si>
    <t>ADAP ORSE S02144</t>
  </si>
  <si>
    <t>PORTA OBJETOS/PRATELEIRA EM VIDRO TEMPERADO, DIMENSÕES APROXIMADAS 12X25CM, ESPESSURA 10MM, FIXAÇÃO NA PAREDE COM SUPORTE QUADRADO</t>
  </si>
  <si>
    <t>I09841</t>
  </si>
  <si>
    <t>BANCADA EM INOX 304/20 OU 18, ENCHIMENTO EM CONCRETO ARAMADO LEVE, SEM BRITA, SOLDA DE ARGONIO, TESTEIRA DE 10CM, ACABAMENTO LISO, PROFUNDIDADE 60CM, CHUMBADAS À PAREDE E APOIADAS SOBRE BARRAS METÁLICAS, COMPRIMENTO CONFORME AS DIMENSÕES DO PROJETO.</t>
  </si>
  <si>
    <t>ADAP ORSE S08365</t>
  </si>
  <si>
    <t xml:space="preserve">BANCADA EM INOX 304/20, COM 1 CUBA (50X40X18CM), ENCHIMENTO EM CONCRETO ARAMADO LEVE, SEM BRITA, SOLDA DE ARGONIO, TESTEIRA DE 10CM, ACABAMENTO LISO, PROFUNDIDADE 60CM, CHUMBADAS À PAREDE E APOIADAS SOBRE BARRAS METÁLICAS. COMPRIMENTO DA BANCADA CONFORME AS DIMENSOES DO PROJETO. </t>
  </si>
  <si>
    <t>O.15.000.065603</t>
  </si>
  <si>
    <t xml:space="preserve">Cuba em aço inoxidável simples de 500x400x200mm, AISI 304, liga 18,8 e chapa 22 </t>
  </si>
  <si>
    <t xml:space="preserve">BANCADA EM INOX 304/20 COM 2 CUBAS (50X40X18CM) E UM VASO DE DESPEJO (EXPURGO), ENCHIMENTO EM CONCRETO ARMADO LEVE, SEM BRITA, SOLDA DE ARGONIO, TESTEIRA DE 10CM, ACABAMENTO LISO, PROFUNDIDADE 60CM, CHUMBADAS À PAREDE E APOIADAS SOBRE BARRAS METÁLICAS. COMPRIMENTO DA BANCADA CONFORME AS DIMENSOES DO PROJETO. </t>
  </si>
  <si>
    <t>CORRIMÃO, BATE-MACA OU PROTETOR DE PAREDE EM PVC, COM AMORTECIMENTO À IMPACTO, ALTURA DE 131 MM, TECNOPERFIL OU EQUIVALENTE- FORNECIMENTO E INSTALAÇÃO</t>
  </si>
  <si>
    <t>ADAP CPOS 27.04.070</t>
  </si>
  <si>
    <t>M.04.000.030376</t>
  </si>
  <si>
    <t xml:space="preserve">Corrimão, bate-maca ou protetor de parede em PVC, com altura de 131mm, barras de 4,0m, nas azul ou marfim, ref. TEC 026 da Tecnoperfil ou equivalente </t>
  </si>
  <si>
    <t>LIMPEZA FINAL DA OBRA</t>
  </si>
  <si>
    <t>CCT - AUX 5005</t>
  </si>
  <si>
    <t>BANCADA EM INOX 304/20, ENCHIMENTO EM CONCRETO ARMADO LEVE, SEM BRITA, SOLDA DE ARGONIO, TESTEIRA DE 10CM, ACABAMENTO LISO, PROFUNDIDADE 70CM, CHUMBADAS À PAREDE E APOIADAS SOBRE BARRAS METÁLICAS. COMPRIMENTO CONFORME AS DIMENSÕES DO PROJETO.</t>
  </si>
  <si>
    <t>REVESTIMENTO CERÂMICO PARA PAREDES INTERNAS COM PLACAS TIPO ESMALTADAS EXTRA 20X20CM, COR BRANCO, COM REJUNTE EPÓXI, A MEIA ALTURA DAS PAREDES</t>
  </si>
  <si>
    <t>ADAP SINAPI 87267</t>
  </si>
  <si>
    <t>JUNTA TIPO TABICA PARA FORRO DE GESSO</t>
  </si>
  <si>
    <t>ADAP ORSE S09082</t>
  </si>
  <si>
    <t>REVESTIMENTO EM PLACAS DE ACM (ALUMÍNIO COMPOSTO) RECORTADO, FIXADO EM ESTRUTURA METÁLICA GALVANIZADA, E=0,3MM - FORNECIMENTO E INSTALAÇÃO</t>
  </si>
  <si>
    <t>SERV. ESPEC.</t>
  </si>
  <si>
    <t>I04974</t>
  </si>
  <si>
    <t xml:space="preserve">Revestimento em alumínio tipo Alucobond, e=0,3mm, em estrutura metálica auxiliar de perfil "U" 2", com fornecimento e montagem, inclusive pintura Kaynar 500 com seis camadas </t>
  </si>
  <si>
    <t>FORRO EM DRYWALL COM PLACAS DE GESSO ACARTONADO RESISTENTE A UMIDADE (RU), COR VERDE, E=12,5MM, CHAPA 1200X1800MM, INCLUSIVE ESTRUTURA DE FIXAÇÃO</t>
  </si>
  <si>
    <t>ADAP SINAPI 96114</t>
  </si>
  <si>
    <t>REVESTIMENTO EM ARGAMASSA BARITA, ESPESSURA 1,50 CM</t>
  </si>
  <si>
    <t>ADAP ORSE S10715</t>
  </si>
  <si>
    <t>I00256</t>
  </si>
  <si>
    <t>Argamassa baritada pronta para aplicação</t>
  </si>
  <si>
    <t>REVESTIMENTO EM ARGAMASSA BARITA, ESPESSURA 2,00 CM</t>
  </si>
  <si>
    <t>ADAP ORSE S10716</t>
  </si>
  <si>
    <t>REVESTIMENTO EM ARGAMASSA BARITA, ESPESSURA 2,50 CM</t>
  </si>
  <si>
    <t>ADAP ORSE S09681</t>
  </si>
  <si>
    <t>RODAPÉ CIMENTADO COM BOLEADO</t>
  </si>
  <si>
    <t>ADAP SBC 130323</t>
  </si>
  <si>
    <t>BARRA DE APOIO INSTALADA EM PORTA, EM AÇO INOX, COMPRIMENTO 40CM E D=25MM</t>
  </si>
  <si>
    <t xml:space="preserve">UN    </t>
  </si>
  <si>
    <t>ADAP SINAPI 100874</t>
  </si>
  <si>
    <t>I02062</t>
  </si>
  <si>
    <t xml:space="preserve">Barra de apoio, reta, fixa, em aço inox, l=40cm, d=1 1/4" - Jackwal ou similar </t>
  </si>
  <si>
    <t>TUBO DE PVC RÍGIDO SOLDÁVEL, INCLUSO CONEXÔES - D=25MM (3/4")</t>
  </si>
  <si>
    <t>SEINFRA C2625</t>
  </si>
  <si>
    <t>TUBO DE PVC RÍGIDO SOLDÁVEL, INCLUSO CONEXÔES - D=32MM (1")</t>
  </si>
  <si>
    <t>SEINFRA C2626</t>
  </si>
  <si>
    <t xml:space="preserve">TUBO DE PVC RÍGIDO SOLDÁVEL, INCLUSO CONEXÔES - D=40MM (1 1/4") </t>
  </si>
  <si>
    <t>SEINFRA C2627</t>
  </si>
  <si>
    <t>TUBO DE PVC RÍGIDO SOLDÁVEL, INCLUSO CONEXÔES - D=50MM (1 1/2")</t>
  </si>
  <si>
    <t>SEINFRA C2628</t>
  </si>
  <si>
    <t>TUBO DE PVC RÍGIDO SOLDÁVEL, INCLUSO CONEXÔES - D=60MM (2")</t>
  </si>
  <si>
    <t>SEINFRA C2629</t>
  </si>
  <si>
    <t xml:space="preserve">TUBO DE PVC RÍGIDO SOLDÁVEL, INCLUSO CONEXÔES - D=75MM (2 1/2") </t>
  </si>
  <si>
    <t>SEINFRA C2631</t>
  </si>
  <si>
    <t>TUBO DE POLIPROPILENO RANDOM (PPR), PN 12, INCLUSO CONEXÕES - D=25MM</t>
  </si>
  <si>
    <t>ADAP SETOP ED-50054</t>
  </si>
  <si>
    <t>TUBO DE POLIPROPILENO RANDOM (PPR), PN 25, INCLUSO CONEXÕES - D=50MM</t>
  </si>
  <si>
    <t>ADAP SETOP ED-50057</t>
  </si>
  <si>
    <t>TUBO PVC, SERIE NORMAL, PARA ESGOTO PREDIAL, INCLUSO CONEXÕES, D=40MM</t>
  </si>
  <si>
    <t>CPOS 
46.02.010</t>
  </si>
  <si>
    <t>TUBO PVC, SERIE NORMAL, PARA ESGOTO PREDIAL, INCLUSO CONEXÕES, D= 50MM</t>
  </si>
  <si>
    <t>CPOS 
46.02.050</t>
  </si>
  <si>
    <t>TUBO PVC, SERIE NORMAL, PARA ESGOTO PREDIAL, INCLUSO CONEXÕES, D=75MM</t>
  </si>
  <si>
    <t>CPOS 
46.02.060</t>
  </si>
  <si>
    <t>TUBO PVC, SERIE NORMAL, PARA ESGOTO PREDIAL, INCLUSO CONEXÕES,  D=100MM</t>
  </si>
  <si>
    <t>CPOS 
46.02.070</t>
  </si>
  <si>
    <t>TUBO DE PVC, SÉRIE NORMAL, PARA ÁGUAS PLUVIAIS, INCLUSO CONEXÕES - D= 75MM</t>
  </si>
  <si>
    <t>TUBO DE PVC, SÉRIE NORMAL, PARA ÁGUAS PLUVIAIS, INCLUSO CONEXÕES - D= 100MM</t>
  </si>
  <si>
    <t>CPOS 46.02.070</t>
  </si>
  <si>
    <t>TUBO DE PVC, SÉRIE NORMAL, PARA ÁGUAS PLUVIAIS, INCLUSO CONEXÕES - D= 150MM</t>
  </si>
  <si>
    <t>ADAP CPOS 46.03.060</t>
  </si>
  <si>
    <t xml:space="preserve">TUBO DE PVC, SÉRIE NORMAL, PARA ÁGUAS PLUVIAIS, INCLUSO CONEXÕES - D= 200MM </t>
  </si>
  <si>
    <t>ADAP CPOS 46.05.050</t>
  </si>
  <si>
    <t xml:space="preserve">TUBO DE PVC TIPO ESGOTO P/ AR CONDICIONADO, INCLUSO CONEXÕES - D=40MM </t>
  </si>
  <si>
    <t xml:space="preserve">TUBO DE PVC, SÉRIE NORMAL, PARA ÁGUAS PLUVIAIS, INCLUSO CONEXÕES - D=300MM </t>
  </si>
  <si>
    <t>ADAP SINAPI 90698</t>
  </si>
  <si>
    <t>I2210</t>
  </si>
  <si>
    <t xml:space="preserve">TUBO PVC ESGOTO BRANCO RÍGIDO D=300MM </t>
  </si>
  <si>
    <t>INSUMO SEINFRA</t>
  </si>
  <si>
    <t>AQUECEDOR DE ÁGUA ELÉTRICO CARDAL MODELO 3T OU EQUIVALENTE TÉCNICO</t>
  </si>
  <si>
    <t>ADAP CPOS 43.03.212</t>
  </si>
  <si>
    <t>4.75.01</t>
  </si>
  <si>
    <t>AQUECEDOR DE ÁGUA ELÉTRICO CARDAL MODELO 3T</t>
  </si>
  <si>
    <t>INSUMO EDUSP</t>
  </si>
  <si>
    <t>PLACA DE SINALIZAÇÃO S2D/S2E/S3/S8/S9/S12/S17 - 240X120 MM - (SIMBOLOS, CORES E PICTOGRAMAS CONFORME NBR 13434)</t>
  </si>
  <si>
    <t>ORSE 11853</t>
  </si>
  <si>
    <t>PLACA DE SINALIZAÇÃO E2/E3/E5/E11/A1/A3/A5/P1/P2 - 150 MM - (SIMBOLOS, CORES E PICTOGRAMAS CONFORME NBR 13434)</t>
  </si>
  <si>
    <t>CHUMBAMENTO EM ALVENARIA PARA RAMAIS/ DISTRIBUIÇÃO COM DIÂMETROS MAIORES QUE 75 MM E MENORES OU IGUAIS A 100 MM</t>
  </si>
  <si>
    <t>ORSE S90470S</t>
  </si>
  <si>
    <t>RASGO EM ALVENARIA PARA RAMAIS/ DISTRIBUIÇÃO COM DIÂMETROS MAIORES QUE 75 MM E MENORES OU IGUAIS A 100 MM</t>
  </si>
  <si>
    <t>ORSE - S90469S</t>
  </si>
  <si>
    <t>REGISTRO DE ESFERA, METAL, ROSCÁVEL, 4"</t>
  </si>
  <si>
    <t>ORSE S09033</t>
  </si>
  <si>
    <t>O.07.000.061330</t>
  </si>
  <si>
    <t xml:space="preserve">Válvula de esfera monobloco em latão fundido/forjado, passagem plena, acionamento com alavanca, DN= 4" </t>
  </si>
  <si>
    <t>TORNEIRA DE PRESSÃO PARA REDE DE TORNEIRAS DE ÁGUA POTÁVEL 3/4", COM ENGATE PARA MANGUEIRA.</t>
  </si>
  <si>
    <t>SINAPI 86910</t>
  </si>
  <si>
    <t>TORNEIRA DE PRESSÃO PARA REDE DE TORNEIRAS DE ÁGUA DE REAPROVEITAMENTO (NÃO POTÁVEL) 3/4", COM ENGATE PARA MANGUEIRA</t>
  </si>
  <si>
    <t>O.11.000.066063</t>
  </si>
  <si>
    <t>PLACA DE SINALIZAÇÃO INDICAÇÃO DOS SISTEMAS DE PROTEÇÃO CONTRA INCÊNDIO EXISTENTES NA EDIFICAÇÃO (SIMBOLOS, CORES E PICTOGRAMAS CONFORME NBR 13434), TIPO M1</t>
  </si>
  <si>
    <t>POSTO DE TRANSFORMAÇÃO - 150KVA - 220/127V - CONFORME PROJETO, MEMORIAL E LISTA DE MATERIAIS</t>
  </si>
  <si>
    <t>I02670</t>
  </si>
  <si>
    <t>ALÇA PRÉ-FORMADA CA-16MM2-XLPE</t>
  </si>
  <si>
    <t>PÇ</t>
  </si>
  <si>
    <t>s379</t>
  </si>
  <si>
    <t>I00440</t>
  </si>
  <si>
    <t>Caixa de equipotencialização 40x40x15, com barramento para neutro</t>
  </si>
  <si>
    <t>I04198</t>
  </si>
  <si>
    <t>CAIXA TIPO "H" HOMOLOGADA NA COPEL</t>
  </si>
  <si>
    <t>MAT039500</t>
  </si>
  <si>
    <t xml:space="preserve">Conector para derivacao, Burndy ou similar: CP-25A-1 ou similar </t>
  </si>
  <si>
    <t>INSUM SCO</t>
  </si>
  <si>
    <t>S43434</t>
  </si>
  <si>
    <t>S14157</t>
  </si>
  <si>
    <t>S14153</t>
  </si>
  <si>
    <t>S430</t>
  </si>
  <si>
    <t>S432</t>
  </si>
  <si>
    <t>S439</t>
  </si>
  <si>
    <t>S4276</t>
  </si>
  <si>
    <t>S43692</t>
  </si>
  <si>
    <t>S7614</t>
  </si>
  <si>
    <t>GRUPO MOTOR GERADOR A DIESEL EM CONTAINER SSL COM POTÊNCIA NOMINAL DE: 145KW (181KVA) EM REGIME "STANDY-BY" , FREQUÊNCIA 60HZ (1800RPM), TENSÃO DE TRABALHO DE 220/127 VOLTS. INCLUSO PAINEL DE TRANSFERÊNCIA E CARENAGEM 85DB .(VIDE ESPECIFICAÇÃO NO MEMORIAL DESCRITIVO) - REF: C145 D6 MOTORMAC OU SIMILAR</t>
  </si>
  <si>
    <t>ADAP CPOS</t>
  </si>
  <si>
    <t>ECO FREIO (FREIO D'ÁGUA), DN 100 MM</t>
  </si>
  <si>
    <t>SINAPI 83531</t>
  </si>
  <si>
    <t>MAT062550</t>
  </si>
  <si>
    <t>FREIO D'ÁGUA, DN 100 MM, MARCA WISY</t>
  </si>
  <si>
    <t>SIFÃO EXTRAVASOR, DN 100 MM</t>
  </si>
  <si>
    <t>CPOS 49.16.051</t>
  </si>
  <si>
    <t>A.10.000.012115</t>
  </si>
  <si>
    <t>SISTEMA REALIMENTADOR AUTOMÁTICO, CONTROLADOR DE ÁGUA POTÁVEL, DN 25 MM (Ø1")</t>
  </si>
  <si>
    <t>CPOS 49.16.050</t>
  </si>
  <si>
    <t>A.10.000.012114</t>
  </si>
  <si>
    <t>Realimentador automático de 1', ref. fabricação Acqua Save ou equivalente</t>
  </si>
  <si>
    <t>C1438</t>
  </si>
  <si>
    <t>TAMPA DE CONCRETO ARMADO ESP=5CM PARA CAIXAS</t>
  </si>
  <si>
    <t>APROPRIAÇÃO</t>
  </si>
  <si>
    <t>SUPORTE METÁLICO PARA OS FILTROS DE APROVEITAMENTO DE ÁGUA DE CHUVA</t>
  </si>
  <si>
    <t>S37591</t>
  </si>
  <si>
    <t>TERMINAL DE VENTILACAO, 75 MM</t>
  </si>
  <si>
    <t>ORSE 1666</t>
  </si>
  <si>
    <t>EXTINTOR PORTÁTIL 4 KG COM SUPORTE DE PAREDE E CARGA DE PÓ ABC 2-A; 20-B:C</t>
  </si>
  <si>
    <t>ORSE S09752</t>
  </si>
  <si>
    <t>I00939</t>
  </si>
  <si>
    <t>EXTINTOR PO QUIMICO SECO 4kg ABC NBR 11716</t>
  </si>
  <si>
    <t>TERMINAL DE VENTILAÇÃO DN 50 MM</t>
  </si>
  <si>
    <t>CAIXA SEPARADORA DE ÓLEO E LAMA, PRÉ FABRICADA, COM VOLUME = 500 LITROS, MARCA FIBRATEC OU COM EQUIVALÊNCIA TÉCNICA SIMILAR PARA BACIA DE CONTENÇÃO</t>
  </si>
  <si>
    <t>FILTRO PARA ÁGUAS PLUVIAIS, WFF 100</t>
  </si>
  <si>
    <t>ORSE 4717</t>
  </si>
  <si>
    <t>MAT058050</t>
  </si>
  <si>
    <t>Filtro autolimpante, para AAC (Aproveitamento de Agua de Chuva), para areas ate 200m2, modelo VF1</t>
  </si>
  <si>
    <t>RESERVATÓRIO EM POLIETILENO, VOLUME TOTAL DE 3.000 LITROS. ∅170CM e ALTURA = 160CM</t>
  </si>
  <si>
    <t>CPOS 48.02.205</t>
  </si>
  <si>
    <t>O.18.000.065054</t>
  </si>
  <si>
    <t>RESERVATÓRIO EM POLIETILENO, VOLUME TOTAL DE 5.000 LITROS. ∅TAMPA 170CM e ALTURA =205CM</t>
  </si>
  <si>
    <t>CPOS 48.02.206</t>
  </si>
  <si>
    <t>O.18.000.065055</t>
  </si>
  <si>
    <t>CAIXA DE INSPEÇÃO PARA ESGOTO, EM ALVENARIA, DIMENSÃO INTERNA (50X50)CM</t>
  </si>
  <si>
    <t>CAIXA DE INSPEÇÃO PARA ESGOTO, EM ALVENARIA, DIMENSÃO INTERNA (60X30)CM</t>
  </si>
  <si>
    <t xml:space="preserve">CAIXA SIFONADA, EM ALVENARIA, DIMENSÃO INTERNA (40X40XH.A.=40)CM, </t>
  </si>
  <si>
    <t xml:space="preserve">CAIXA DE CAPTAÇÃO PARA ÁGUAS PLUVIAIS, EM ALVENARIA, DIMENSÃO INTERNA (60X60)CM, COM GRELHA DE FERRO (20x20)cm </t>
  </si>
  <si>
    <t xml:space="preserve">CAIXA DE CAPTAÇÃO PARA ÁGUAS PLUVIAIS, EM ALVENARIA, DIMENSÃO INTERNA (60X30)CM, COM GRELHA DE FERRO (20x20)cm </t>
  </si>
  <si>
    <t>CAIXA DE INSPEÇÃO PARA ÁGUA PLUVIAL, EM ALVENARIA, DIMENSÃO INTERNA (50X50)CM</t>
  </si>
  <si>
    <t>BOCA DE LOBO SIMPLES PARA CAPTAÇÃO DE ÁGUAS PLUVIAIS, DIMENSÃO INTERNA (40X90)CM, COM GRELHA DE FERRO FUNDIDO</t>
  </si>
  <si>
    <t>ADAP SINAPI 97956</t>
  </si>
  <si>
    <t>CAIXA DE GORDURA, EM ALVENARIA, DIMENSÃO INTERNA (40X40XH.A.=40)CM, COM A DESCRIÇÃO "ESGOTO DE GORDURA"</t>
  </si>
  <si>
    <t>CAIXA PARA HIDRÔMETRO, PADRÃO SANEPAR 3/4"</t>
  </si>
  <si>
    <t>SINAPI 95676</t>
  </si>
  <si>
    <t>EXTINTOR PORTÁTIL 4 KG COM SUPORTE DE PAREDE E CARGA DE PÓ QUIMICO SECO 20-B</t>
  </si>
  <si>
    <t>UNIDADES DE TRATAMENTO DE AR MODULAR DE MONTAGEM HORIZONTAL PARA ENTREFORRO
AMBIENTES ATENDIDOS:  CLASSIFICAÇÃO DE RISCO
LOCALIZAÇÃO: ENTREFORRO
TIPO DE SISTEMA DE CLIMATIZAÇÃO: EXPANSÃO DIRETA, FLUIDO R410A (OBS: DEVE ACOMPANHAR VÁLVULA DE EXPANSÃO ELETRÔNICA CONFORME SELEÇÃO DO FABRICANTE)
CARGA TÉRMICA TOTAL DA SERPENTINA: 1,54kW
CARGA TÉRMICA SENSÍVEL DA SERPENTINA: 1,11kW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</si>
  <si>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CPOS 61.10.100</t>
  </si>
  <si>
    <t>COT31</t>
  </si>
  <si>
    <t>COTAÇÃO</t>
  </si>
  <si>
    <t>UNIDADES DE TRATAMENTO DE AR MODULAR DE MONTAGEM HORIZONTAL PARA ENTREFORRO
AMBIENTES ATENDIDOS: FARMÁCIA - FRACIONAMENTO
LOCALIZAÇÃO: ENTREFORRO
TIPO DE SISTEMA DE CLIMATIZAÇÃO: EXPANSÃO DIRETA, FLUIDO R410A (OBS: DEVE ACOMPANHAR VÁLVULA DE EXPANSÃO ELETRÔNICA CONFORME SELEÇÃO DO FABRICANTE)
CARGA TÉRMICA TOTAL DA SERPENTINA: 1,60kW
CARGA TÉRMICA SENSÍVEL DA SERPENTINA: 1,11kW
VAZÃO DE INSUFLAMENTO: 700m³/h
VAZÃO DE AR EXTERNO: 30m³/h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</si>
  <si>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COT32</t>
  </si>
  <si>
    <t>UNIDADES DE TRATAMENTO DE AR MODULAR DE MONTAGEM HORIZONTAL PARA ENTREFORRO 
AMBIENTES ATENDIDOS: FARMÁCIA - DILUIÇÃO
LOCALIZAÇÃO: ENTREFORRO
TIPO DE SISTEMA DE CLIMATIZAÇÃO: EXPANSÃO DIRETA, FLUIDO R410A (OBS: DEVE ACOMPANHAR VÁLVULA DE EXPANSÃO ELETRÔNICA CONFORME SELEÇÃO DO FABRICANTE)
CARGA TÉRMICA TOTAL DA SERPENTINA: 3,55kW
CARGA TÉRMICA SENSÍVEL DA SERPENTINA: 2,51kW
VAZÃO DE INSUFLAMENTO: 700m³/h
VAZÃO DE AR EXTERNO: 100m³/h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</si>
  <si>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COT35</t>
  </si>
  <si>
    <t>UNIDADES DE TRATAMENTO DE AR MODULAR DE MONTAGEM HORIZONTAL PARA ENTREFORRO
AMBIENTES ATENDIDOS: SALA DE EMERGÊNCIA
LOCALIZAÇÃO: ENTREFORRO
TIPO DE SISTEMA DE CLIMATIZAÇÃO: EXPANSÃO DIRETA, FLUIDO R410A (OBS: DEVE ACOMPANHAR VÁLVULA DE EXPANSÃO ELETRÔNICA CONFORME SELEÇÃO DO FABRICANTE)
CARGA TÉRMICA TOTAL DA SERPENTINA: 4,29kW
CARGA TÉRMICA SENSÍVEL DA SERPENTINA: 3,09kW
VAZÃO DE INSUFLAMENTO: 830m³/h
VAZÃO DE AR EXTERNO: 100m³/h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</si>
  <si>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COT39</t>
  </si>
  <si>
    <t>UNIDADES DE TRATAMENTO DE AR MODULAR DE MONTAGEM HORIZONTAL PARA ENTREFORRO
AMBIENTES ATENDIDOS: FARMÁCIA - CAF
LOCALIZAÇÃO: ENTREFORRO
TIPO DE SISTEMA DE CLIMATIZAÇÃO: EXPANSÃO DIRETA, FLUIDO R410A (OBS: DEVE ACOMPANHAR VÁLVULA DE EXPANSÃO ELETRÔNICA CONFORME SELEÇÃO DO FABRICANTE)
CARGA TÉRMICA TOTAL DA SERPENTINA: 4,35kW
CARGA TÉRMICA SENSÍVEL DA SERPENTINA: 3,26kW
VAZÃO DE INSUFLAMENTO: 700m³/h
VAZÃO DE AR EXTERNO: 50m³/h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</si>
  <si>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COT40</t>
  </si>
  <si>
    <t>UNIDADES DE TRATAMENTO DE AR MODULAR DE MONTAGEM HORIZONTAL PARA ENTREFORRO
AMBIENTES ATENDIDOS: SALA DE RAIO-X
LOCALIZAÇÃO: ENTREFORRO
TIPO DE SISTEMA DE CLIMATIZAÇÃO: EXPANSÃO DIRETA, FLUIDO R410A (OBS: DEVE ACOMPANHAR VÁLVULA DE EXPANSÃO ELETRÔNICA CONFORME SELEÇÃO DO FABRICANTE)
CARGA TÉRMICA TOTAL DA SERPENTINA: 5,03kW
CARGA TÉRMICA SENSÍVEL DA SERPENTINA: 3,98kW
VAZÃO DE INSUFLAMENTO: 980m³/h
VAZÃO DE AR EXTERNO: 140m³/h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</si>
  <si>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COT41</t>
  </si>
  <si>
    <t>GRELHA PLÁSTICA FIXA COM COLARINHO, COM TELA ANTI-INSETOS, DIÂMETRO NOMINAL Ø100MM, , EM PLÁSTICO ABS COM PROTEÇÃO ANTI-UV, COM ÁREA EFETIVA LIVRE MÍNIMA DE 49 CM². REFERÊNCIA: SICFLUX S100 OU EQUIVALENTE TÉCNICO (WDB GRADE COM ADAPTADOR, MULTIVAC OU OUTRO). FORNECIMENTO E INSTALAÇÃO</t>
  </si>
  <si>
    <t>GRELHA PLÁSTICA FIXA COM COLARINHO, COM TELA ANTI-INSETOS, DIÂMETRO NOMINAL Ø100MM, , EM PLÁSTICO ABS COM PROTEÇÃO ANTI-UV, COM ÁREA EFETIVA LIVRE MÍNIMA DE 49 CM². REFERÊNCIA: SICFLUX S100 OU EQUIVALENTE TÉCNICO (WDB GRADE COM ADAPTADOR, MULTIVAC OU OUTRO)</t>
  </si>
  <si>
    <t>INSUMO SBC</t>
  </si>
  <si>
    <t>GRELHA PLÁSTICA FIXA COM COLARINHO, COM TELA ANTI-INSETOS, DIÂMETRO NOMINAL Ø125MM, , EM PLÁSTICO ABS COM PROTEÇÃO ANTI-UV, COM ÁREA EFETIVA LIVRE MÍNIMA DE 85 CM². REFERÊNCIA: SICFLUX S125 OU EQUIVALENTE TÉCNICO (WDB GRADE COM ADAPTADOR, MULTIVAC OU OUTRO). FORNECIMENTO E INSTALAÇÃO</t>
  </si>
  <si>
    <t>GRELHA PLÁSTICA FIXA COM COLARINHO, COM TELA ANTI-INSETOS, DIÂMETRO NOMINAL Ø125MM, , EM PLÁSTICO ABS COM PROTEÇÃO ANTI-UV, COM ÁREA EFETIVA LIVRE MÍNIMA DE 85 CM². REFERÊNCIA: SICFLUX S125 OU EQUIVALENTE TÉCNICO (WDB GRADE COM ADAPTADOR, MULTIVAC OU OUTRO)</t>
  </si>
  <si>
    <t>UM</t>
  </si>
  <si>
    <t>GRELHA PLÁSTICA FIXA COM COLARINHO, COM TELA ANTI-INSETOS, DIÂMETRO NOMINAL Ø150MM, , EM PLÁSTICO ABS COM PROTEÇÃO ANTI-UV, COM ÁREA EFETIVA LIVRE MÍNIMA DE 130 CM². REFERÊNCIA: SICFLUX S150 OU EQUIVALENTE TÉCNICO (WDB GRADE COM ADAPTADOR, MULTIVAC OU OUTRO). FORNECIMENTO E INSTALAÇÃO</t>
  </si>
  <si>
    <t>GRELHA PLÁSTICA FIXA COM COLARINHO, COM TELA ANTI-INSETOS, DIÂMETRO NOMINAL Ø150MM, , EM PLÁSTICO ABS COM PROTEÇÃO ANTI-UV, COM ÁREA EFETIVA LIVRE MÍNIMA DE 130 CM². REFERÊNCIA: SICFLUX S150 OU EQUIVALENTE TÉCNICO (WDB GRADE COM ADAPTADOR, MULTIVAC OU OUTRO)</t>
  </si>
  <si>
    <t>VENEZIANA DE TOMADA DE AR EXTERNO EM ALUMÍNIO COM REGISTRO  300x200MM. MARCA TROPICAL MOD. TAE-300x200-RGA (OU SIMILAR - TROX, SEIMMEI, DIFUSAR)</t>
  </si>
  <si>
    <t>ADAP SBC 73035</t>
  </si>
  <si>
    <t>H.05.000.030415</t>
  </si>
  <si>
    <t>VENEZIANA TOMADA DE AR COM REGISTRO EM ALUMINIO E PINTURA ELETROSTATICA BRANCA 600x400mm</t>
  </si>
  <si>
    <t>INSUMO SP OBRAS</t>
  </si>
  <si>
    <t xml:space="preserve">DUTO FLEXÍVEL ALUMINIZADO SEM ISOLAMENTO TÉRMICO Ø100MM </t>
  </si>
  <si>
    <t>SBC 070473</t>
  </si>
  <si>
    <t>I12180</t>
  </si>
  <si>
    <t>Duto flexivel de alumínio Ø 100mm</t>
  </si>
  <si>
    <t xml:space="preserve">DUTO FLEXÍVEL ALUMINIZADO SEM ISOLAMENTO TÉRMICO Ø125MM </t>
  </si>
  <si>
    <t>SBC 070475</t>
  </si>
  <si>
    <t>I012181</t>
  </si>
  <si>
    <t>Duto flexivel de alumínio Ø 150mm</t>
  </si>
  <si>
    <t>DUTO FLEXÍVEL ALUMINIZADO SEM ISOLAMENTO TÉRMICO Ø150MM</t>
  </si>
  <si>
    <t>I12181</t>
  </si>
  <si>
    <t>CAIXA DE CONCRETO 30X30X30CM PARA INSPEÇÃO DE ATERRAMENTO</t>
  </si>
  <si>
    <t>ADAP SINAPI 98111</t>
  </si>
  <si>
    <t>S34641</t>
  </si>
  <si>
    <t>ELETRODUTO DE PVC RÍGIDO 32 MM (1"), INCLUSO CONEXÕES - FORNECIMENTO E INSTALAÇÃO</t>
  </si>
  <si>
    <t>SINAPI 91864</t>
  </si>
  <si>
    <t>ELETRODUTO RÍGIDO ROSCÁVEL, PVC, DN 25 MM (3/4"), INCLUSO CONEXÕES - FORNECIMENTO E INSTALAÇÃO</t>
  </si>
  <si>
    <t>SINAPI 91863</t>
  </si>
  <si>
    <t>ELETRODUTO RÍGIDO ROSCÁVEL, PVC, DN 25 MM (3/4"), INCLUSO CONEXÕES E ACESSÓRIOS, INSTALAÇÃO APARENTE - FORNECIMENTO E INSTALAÇÃO</t>
  </si>
  <si>
    <t>SINAPI 95727</t>
  </si>
  <si>
    <t>ELETRODUTO RÍGIDO ROSCÁVEL, PVC, DN 32 MM (1"), INCLUSO CONEXÕES - FORNECIMENTO E INSTALAÇÃO</t>
  </si>
  <si>
    <t>ELETRODUTO RÍGIDO ROSCÁVEL, PVC, DN 32 MM (1"), INCLUSO CONEXÕES E ACESSÓRIOS, INSTALAÇÃO APARENTE - FORNECIMENTO E INSTALAÇÃO</t>
  </si>
  <si>
    <t>SINAPI 95728</t>
  </si>
  <si>
    <t>ELETRODUTO RÍGIDO ROSCÁVEL, PVC, DN 60 MM (2"), INCLUSO CONEXÕES - FORNECIMENTO E INSTALAÇÃO</t>
  </si>
  <si>
    <t>SINAPI 93009</t>
  </si>
  <si>
    <t>TERMINAL DE COMPRESSÃO #16MM²</t>
  </si>
  <si>
    <t>ADAP ORSE 7927</t>
  </si>
  <si>
    <t>I07880</t>
  </si>
  <si>
    <t>ALICATE DE COMPRESSAO PARA TERMINAIS</t>
  </si>
  <si>
    <t>TERMINAL DE COMPRESSÃO #35MM²</t>
  </si>
  <si>
    <t>ADAP ORSE 7928</t>
  </si>
  <si>
    <t>TERMINAL DE COMPRESSÃO #50MM²</t>
  </si>
  <si>
    <t>ADAP ORSE 7923</t>
  </si>
  <si>
    <t>TERMINAL DE COMPRESSÃO #95MM²</t>
  </si>
  <si>
    <t>ADAP ORSE 7930</t>
  </si>
  <si>
    <t>TERMINAL DE COMPRESSÃO #25MM²</t>
  </si>
  <si>
    <t>ADAP ORSE 7922</t>
  </si>
  <si>
    <t xml:space="preserve">TERMINAL DE COMPRESSÃO #4,0MM² </t>
  </si>
  <si>
    <t xml:space="preserve">TERMINAL DE COMPRESSÃO # 6,0MM² </t>
  </si>
  <si>
    <t>PERFILADO PERFURADO COM TAMPA 38X38X6000MM CHAPA 18, INCLUSO CONEXÕES E FIXAÇÕES</t>
  </si>
  <si>
    <t>CPOS 38.21.920</t>
  </si>
  <si>
    <t>MATED-11880</t>
  </si>
  <si>
    <t>PERFILADO PERFURADO COM TAMPA 38X38X6000MM CHAPA 18</t>
  </si>
  <si>
    <t>INSUMO SETOP</t>
  </si>
  <si>
    <t>I09860</t>
  </si>
  <si>
    <t>TAMPA DE ENCAIXE 38MM PARA PERFILADO</t>
  </si>
  <si>
    <t>ALARME DE EMERGÊNCIA EM PLÁSTICO ABS DE ALTA RESISTÊNCIA, DIMENSÕES 78X82MM, ESTANQUE, ANTICHAMAS, COM ACIONADOR TIPO PRESSÃO, FIXAÇÃO NA PAREDE.</t>
  </si>
  <si>
    <t>ORSE 11961</t>
  </si>
  <si>
    <t>I12838</t>
  </si>
  <si>
    <t>ALARME BANHEIRO PNE CONFORME NBR 9050 COM ACIONADOR</t>
  </si>
  <si>
    <t>ELETROCALHA PERFURADA 200X100X3000MM - CH 18, INCLUSO CONEXÕES E SUPORTES DE FIXAÇÃO</t>
  </si>
  <si>
    <t>ADAP CPOS 38.22.130</t>
  </si>
  <si>
    <t>I00861</t>
  </si>
  <si>
    <t>3635/ORSE	Eletrocalha metálica perfurada 200 x 100 x 3000mm, peso, 2,93Kg/m, (ref.: mopa ou similar)</t>
  </si>
  <si>
    <t>ELETROCALHA PERFURADA 300X100X3000MM - CH 18, INCLUSO CONEXÕES E SUPORTES DE FIXAÇÃO</t>
  </si>
  <si>
    <t>ADAP CPOS 38.22.150</t>
  </si>
  <si>
    <t>I00862</t>
  </si>
  <si>
    <t>Eletrocalha metálica perfurada 300 x 100 x 3000mm, peso, 3,67Kg/m, (ref.: mopa ou similar)</t>
  </si>
  <si>
    <t>PATCH CORD RJ45 - RJ45 CAT.6, NA COR AMARELO, COM UM COMPRIMENTO DE 1 METRO - CFTV</t>
  </si>
  <si>
    <t>SEINFRA C3770</t>
  </si>
  <si>
    <t>P.10.000.050034</t>
  </si>
  <si>
    <t>PATCH CORD RJ45 - RJ45 CAT.6, NA COR AZUL, COM UM COMPRIMENTO DE 1 METRO - REDE</t>
  </si>
  <si>
    <t>PATCH CORD RJ45 - RJ45 CAT.6, NA COR CINZA, COM UM COMPRIMENTO DE 1 METRO - TELEFONIA</t>
  </si>
  <si>
    <t xml:space="preserve">RACK "A" PADRÃO 19 (DEZENOVE) POLEGADAS, ALTURA 16U, PROFUNDIDADE EXTERNA MÍNIMA DE 67MM, COM 2 DUTOS VERTICAIS NAS LATERAIS DO RACK, PORTA FRONTAL REMOVÍVEL COM VISOR DE ACRÍLICO, LATERAIS COM VENTILAÇÃO PERMANENTE E REMOVÍVEIS,  UM TETO COM ABERTURA PARA DOIS VENTILADORES E PASSAGEM DE CABOS. </t>
  </si>
  <si>
    <t>ORSE S08460</t>
  </si>
  <si>
    <t>I08797</t>
  </si>
  <si>
    <t xml:space="preserve">08782/ORSE	Mini Rack de parede 19" x 8u x 450mm	</t>
  </si>
  <si>
    <t>DIO 24 FIBRAS MM/LC - COM CAIXA METÁLICA PARA FIXAÇÃO EM RACK PADRÃO 19’, ALTURA DE 1U, CONFECCIONADO EM AÇO NA COR PRETA, COM CAPACIDADE PARA ACOMODAÇÃO DE NO MÍNIMO 12  FIBRAS. DEVE POSSUIR BANDEJAS DE ACOMODAÇÃO PARA AS FIBRAS ÓPTICAS, DEVE CONSTAR O FORNECIMENTO TODOS OS MÓDULOS INTERNOS PARA ACOMODAÇÃO DAS FIBRAS ÓPTICAS E CONECTORES DO TIPO LC ALÉM DE PIG TAIS CONSTITUÍDOS DE 1 FIBRA TIPO MULTIMODO (50ΜM/125ΜM), CONECTORIZADAS EM UMA DAS EXTREMIDADES COM CONECTOR TIPO LC. DEVERÁ SER FORNECIDO COM TODOS OS ACESSÓRIOS E COM A PREVISÃO DE UTILIZAÇÃO DE SUA CAPACIDADE INTEGRAL (24 FIBRAS).</t>
  </si>
  <si>
    <t>SEINFRA C4565</t>
  </si>
  <si>
    <t>P.17.000.042524</t>
  </si>
  <si>
    <t>DIO 24 FIBRAS MM/LC - COM CAIXA METÁLICA PARA FIXAÇÃO EM RACK PADRÃO 19’, ALTURA DE 1U, CONFECCIONADO EM AÇO NA COR PRETA, COM CAPACIDADE PARA ACOMODAÇÃO DE NO MÍNIMO 12 FIBRAS. DEVE POSSUIR BANDEJAS DE ACOMODAÇÃO PARA AS FIBRAS ÓPTICAS, DEVE CONSTAR O FORNECIMENTO TODOS OS MÓDULOS INTERNOS PARA ACOMODAÇÃO DAS FIBRAS ÓPTICAS E CONECTORES DO TIPO LC ALÉM DE PIG TAIS CONSTITUÍDOS DE 1 FIBRA TIPO MULTIMODO (50ΜM/125ΜM), CONECTORIZADAS EM UMA DAS EXTREMIDADES COM CONECTOR TIPO LC. DEVERÁ SER FORNECIDO COM TODOS OS ACESSÓRIOS E COM A PREVISÃO DE UTILIZAÇÃO DE SUA CAPACIDADE INTEGRAL (24 FIBRAS).</t>
  </si>
  <si>
    <t>HASTE DE COBRE PARA ATERRAMENTO 5/8"X3M C/ CONECTOR GAR ALTA 254 MICRAS.</t>
  </si>
  <si>
    <t>ADAP SINAPI 68069</t>
  </si>
  <si>
    <t>HASTE DE ATERRAMENTO COBREADA 5/8"X2,4M - 254 MICRONS, ALTA CAMADA  CONFORME NBR 13571</t>
  </si>
  <si>
    <t xml:space="preserve">TAMPÃO E ARO DE FERRO FUNDIDO MEDIDO 60X60X60CM </t>
  </si>
  <si>
    <t>O.05.000.090133</t>
  </si>
  <si>
    <t xml:space="preserve">Tampão ferro fundido com tampa articulada, de 400 x 600 mm, classe 15 (ruptura &gt; 1500 kg); ref. TA-40AR da Afer, TF-40 da Fuminas ou equivalente </t>
  </si>
  <si>
    <t xml:space="preserve">TAMPÃO E ARO DE FERRO FUNDIDO MEDIDO 80X80X80CM </t>
  </si>
  <si>
    <t>UNIDUT CÔNICO Ø1" COM BUCHA E ARRUELA DE ALUMÍNIO Ø1"</t>
  </si>
  <si>
    <t xml:space="preserve">ORSE S11970 </t>
  </si>
  <si>
    <t>I03828</t>
  </si>
  <si>
    <t>UNIDUT CÔNICO Ø2" COM BUCHA E ARRUELA DE ALUMÍNIO Ø2"</t>
  </si>
  <si>
    <t>I03831</t>
  </si>
  <si>
    <t>UNIDUT CÔNICO Ø3" COM BUCHA E ARRUELA DE ALUMÍNIO Ø3"</t>
  </si>
  <si>
    <t>I03832</t>
  </si>
  <si>
    <t>UNIDUT CÔNICO Ø4" COM BUCHA E ARRUELA DE ALUMÍNIO Ø4"</t>
  </si>
  <si>
    <t>ORSE S11969</t>
  </si>
  <si>
    <t xml:space="preserve">I09137 </t>
  </si>
  <si>
    <t>BARRA CHATA DE ALUMINIO 7/8"X1/8"X3M-TEL-771</t>
  </si>
  <si>
    <t>SIURB 09.11.95</t>
  </si>
  <si>
    <t>P.19.000.048002</t>
  </si>
  <si>
    <t>TERMINAL AÉREO EM BARRA CHATA DE ALUMÍNIO H=300MM Ø7/8"X1/8" REF. TEL-942</t>
  </si>
  <si>
    <t>SUPORTE DE FIXAÇÃO SGG 02/F (TRANSVERSAL) PARA FIXAÇÃO DA BARRA CHATA DE ALUMÍNIO (A CADA 1M)</t>
  </si>
  <si>
    <t xml:space="preserve">ADAP ORSE S10693 </t>
  </si>
  <si>
    <t>P.19.000.044311</t>
  </si>
  <si>
    <t>CAIXA DE PASSAGEM, METÁLICA. MEDINDO 20X20X10CM</t>
  </si>
  <si>
    <t>SEINFRA C0628</t>
  </si>
  <si>
    <t>S39771</t>
  </si>
  <si>
    <t>TOMADA RGC59 COM PLACA 4X4" PARA ANTENA DE TV</t>
  </si>
  <si>
    <t>ADAP SBC 69.20.290</t>
  </si>
  <si>
    <t>P.13.000.042351</t>
  </si>
  <si>
    <t>MODULO PARA 1 (UM) PONTO DE  TV TIPO RGC59</t>
  </si>
  <si>
    <t>ESTAÇÃO DE CHAMADA DE BANHEIRO SISTEMA ECONÔMICO, EM CX. 4"X2" C/ CORDEL - REFERÊNCIA ESSENCIAL E SUPREMO</t>
  </si>
  <si>
    <t>EMOP 18.050.0115-0</t>
  </si>
  <si>
    <t>SOLDA EXOTÉRMICA  CABO PASSANTE/ HASTE</t>
  </si>
  <si>
    <t>ADAP CPOS 42.20.150</t>
  </si>
  <si>
    <t>I072708</t>
  </si>
  <si>
    <t>PÓ EXOTERMICO N 115</t>
  </si>
  <si>
    <t>I38471S</t>
  </si>
  <si>
    <t>ALICATE P/ MOLDE CLASSE C (GDE)</t>
  </si>
  <si>
    <t>I09691</t>
  </si>
  <si>
    <t>MOLDE HT CB LAT 5/8 50 P115</t>
  </si>
  <si>
    <t>DISJUNTOR TIPO DIN/IEC, TRIPOLAR 63 A</t>
  </si>
  <si>
    <t>ORSE S00452</t>
  </si>
  <si>
    <t>TOMADA 32A/220V 3P+T - TAMPA AZUL (PADRÃO STECK DE SOBREPOR) EM CAIXA 4"X2"</t>
  </si>
  <si>
    <t>ORSE 9422</t>
  </si>
  <si>
    <t>TOMADA 16A/220V 3P+T - TAMPA VERMELHA (PADRÃO STECK DE EMBUTIR), EM CX. 4"X2".</t>
  </si>
  <si>
    <t>I14437</t>
  </si>
  <si>
    <t>TOMADA - ACOPLAMENTO 2P+T 16A 220/240V N3056 STECK</t>
  </si>
  <si>
    <t>PONTO ELÉTRICO COM PLACA DE SAÍDA DE FIO - EM CX. 4"X2"</t>
  </si>
  <si>
    <t>DISJUNTOR TERMOMAGNÉTICO TRIPOLAR 100A</t>
  </si>
  <si>
    <t>ADAP ORSE 8490</t>
  </si>
  <si>
    <t>DISJUNTOR TRIPOLAR TIPO DIN, CORRENTE NOMINAL DE 200A</t>
  </si>
  <si>
    <t>ADAP ORSE S11267</t>
  </si>
  <si>
    <t>I02377S</t>
  </si>
  <si>
    <t>3752/ORSE	Disjuntor tripolar 200 A, padrão DIN ( linha brança ), corrente de interrupção 10KA, ref.: Siemens ou similar</t>
  </si>
  <si>
    <t>ENVELOPAMENTO DE CONCRETO NO BANCO DE DUTOS</t>
  </si>
  <si>
    <t xml:space="preserve">TERMINAL DE COMPRESSÃO #120MM² </t>
  </si>
  <si>
    <t>SEINFRA C2554</t>
  </si>
  <si>
    <t>P.30.000.049541</t>
  </si>
  <si>
    <t>CABO FLEXÍVEL ISOL. 750V  -  #2,5MM² - AFUMEX</t>
  </si>
  <si>
    <t>ADAP SINAPI 91926</t>
  </si>
  <si>
    <t>MATED-11806</t>
  </si>
  <si>
    <t>CABO FLEXÍVEL ISOL. 750V - #2,5MM² - AFUMEX</t>
  </si>
  <si>
    <t>m</t>
  </si>
  <si>
    <t>CABO FLEXÍVEL ISOL. 750V  -  #4,0MM² - AFUMEX</t>
  </si>
  <si>
    <t>ADAP SINAPI 91928</t>
  </si>
  <si>
    <t>MATED-11807</t>
  </si>
  <si>
    <t>CABO FLEXÍVEL ISOL. 750V - #4,0MM² - AFUMEX</t>
  </si>
  <si>
    <t>CABO FLEXÍVEL ISOL. 750V  -  #6,0MM² - AFUMEX</t>
  </si>
  <si>
    <t>ADAP SINAPI 91930</t>
  </si>
  <si>
    <t>MATED-11808</t>
  </si>
  <si>
    <t>CABO FLEXÍVEL ISOL. 750V - #6,0MM² - AFUMEX</t>
  </si>
  <si>
    <t>CONDUTOR DE COBRE FLEX. ISOL. 1KV - 90º - #16MM² - AFUMEX</t>
  </si>
  <si>
    <t>ADAP SINAPI 91935</t>
  </si>
  <si>
    <t>P.08.000.043055</t>
  </si>
  <si>
    <t>CONDUTOR DE COBRE FLEX. ISOL. 1KV - 90º - #25MM² - AFUMEX</t>
  </si>
  <si>
    <t>ADAP SINAPI 92984</t>
  </si>
  <si>
    <t>P.08.000.043056</t>
  </si>
  <si>
    <t>CONDUTOR DE COBRE FLEX. ISOL. 1KV - 90º - #35MM² - AFUMEX</t>
  </si>
  <si>
    <t>ADAP SINAPI 92986</t>
  </si>
  <si>
    <t>P.08.000.043057</t>
  </si>
  <si>
    <t>CONDUTOR DE COBRE FLEX. ISOL. 1KV - 90º - #50MM² - AFUMEX</t>
  </si>
  <si>
    <t>ADAP SINAPI 92988</t>
  </si>
  <si>
    <t>P.08.000.043058</t>
  </si>
  <si>
    <t>CONDUTOR DE COBRE FLEX. ISOL. 1KV - 90º - #70MM² - AFUMEX</t>
  </si>
  <si>
    <t>ADAP SINAPI 92990</t>
  </si>
  <si>
    <t>P.08.000.043059</t>
  </si>
  <si>
    <t>CONDUTOR DE COBRE FLEX. ISOL. 1KV - 90º - #95MM² - AFUMEX</t>
  </si>
  <si>
    <t>ADAP SINAPI 92992</t>
  </si>
  <si>
    <t>P.08.000.043060</t>
  </si>
  <si>
    <t>CONDUTOR DE COBRE FLEX. ISOL. 1KV - 90º - #120MM² - AFUMEX</t>
  </si>
  <si>
    <t>ADAP SIANPI 92994</t>
  </si>
  <si>
    <t>P.08.000.043061</t>
  </si>
  <si>
    <t xml:space="preserve">TERMINAL DE COMPRESSÃO #70MM² </t>
  </si>
  <si>
    <t>SEINFRA C2456</t>
  </si>
  <si>
    <t>PROJETOR PARA LÂMPADA ELETRÔNICA LED 50W/220V, PARA ILUMINAÇÃO EXTERNA COM RELÉ FOTIMER(FOTOELETRICO + TEMPORIZADO).</t>
  </si>
  <si>
    <t>ADAP SINAPI 97606</t>
  </si>
  <si>
    <t xml:space="preserve">I13287 </t>
  </si>
  <si>
    <t>PROJETOR PARA LÂMPADA ELETRÔNICA LED 50W/220V, PARA ILUMINAÇÃO EXTERNA</t>
  </si>
  <si>
    <t>I02510S</t>
  </si>
  <si>
    <t>RELÉ FOTIMER(FOTOELETRICO + TEMPORIZADO).</t>
  </si>
  <si>
    <t>INTERRUPTOR C/ 1 TECLA SIMPLES + TOMADA 20A/220V PADRÃO BRASILEIRO EM CX. 4"X2"</t>
  </si>
  <si>
    <t>ADAP SINAPI 92023</t>
  </si>
  <si>
    <t>INTERRUPTOR C/ 5 TECLAS SIMPLES EM CX. 4"X4"</t>
  </si>
  <si>
    <t>RE-BAR BARRA REDONDA Ø10MM X 3,00M #80MM² DE AÇO GALVANIZADO A FOGO EM BARRA REF. TEL-768</t>
  </si>
  <si>
    <t>ORSE 10908</t>
  </si>
  <si>
    <t>I11846</t>
  </si>
  <si>
    <t xml:space="preserve">RE-BAR BARRA REDONDA Ø10MM X 3,00M #80MM² </t>
  </si>
  <si>
    <t>SOLDA EXOTÉRMICA  CABO/ HASTE</t>
  </si>
  <si>
    <t>I09690</t>
  </si>
  <si>
    <t>Cartucho p/ solda exotermica nr90</t>
  </si>
  <si>
    <t>I10339</t>
  </si>
  <si>
    <t>MOLDE CB T 50.50 P90</t>
  </si>
  <si>
    <t>SOLDA EXOTÉRMICA  RE-BAR/ CABO</t>
  </si>
  <si>
    <t xml:space="preserve">ELETRODUTO DE PVC RÍGIDO Ø4" COM CONEXÕES E ACESSÓRIOS DE FIXAÇÃO </t>
  </si>
  <si>
    <t>INTERRUPTOR DIFERENCIAL BIPOLAR 2X40A SENS. 30MA</t>
  </si>
  <si>
    <t>SIURB 09.04.69</t>
  </si>
  <si>
    <t>INTERRUPTOR DIFERENCIAL TETRAPOLAR 4X63A SENS. 30MA</t>
  </si>
  <si>
    <t>SIURB 09.04.87</t>
  </si>
  <si>
    <t>CONDUTOR DE COBRE FLEX ISOL. 1KV - 90º -  #4,0MM² - AFUMEX</t>
  </si>
  <si>
    <t>ADAP SINAPI 91929</t>
  </si>
  <si>
    <t>P.08.000.043052</t>
  </si>
  <si>
    <t>CABO AFUMEX 1KV 4 CONDUTORES 4mm2</t>
  </si>
  <si>
    <t>CONDUTOR DE COBRE FLEX ISOL. 1KV - 90º -  #6,0MM² - AFUMEX</t>
  </si>
  <si>
    <t>SINAPI</t>
  </si>
  <si>
    <t>DISJUNTOR TERMOMAGNÉTICO TRIPOLAR 80A</t>
  </si>
  <si>
    <t>ADAP CPOS 37.13.660</t>
  </si>
  <si>
    <t>I03703</t>
  </si>
  <si>
    <t>Disjuntor termomagnético tripolar 80 A com caixa moldada 10 kA - 09294/ORSE</t>
  </si>
  <si>
    <t>LEITO PARA CABOS TIPO PESADO GALVANIZADO A FOGO. DIMENSÕES: 200MM (LARGURA) X 100MM (ALTURA) X 3000MM (COMPRIMENTO DA BARRA)</t>
  </si>
  <si>
    <t>CPOS 38.12.086</t>
  </si>
  <si>
    <t>MATED-17917</t>
  </si>
  <si>
    <t>PONTO ELETRICO COM PLACA DE SAÍDA DE FIO - EM CX. 4"X4"</t>
  </si>
  <si>
    <t xml:space="preserve"> SINAPI 91946</t>
  </si>
  <si>
    <t>TOMADA/POSTO DE CONSUMO DE PAREDE PARA AR COMPRIMIDO MEDICINAL COM TARUGO INTERNO EMBUTIDO, VÁLVULA AUTOVEDANTE, PINO DE IMPACTO, CANOPLA EM MATERIAL PLÁSTICO DE ABS E ETIQUETA DE IDENTIFICAÇÃO DO POSTO - FORNECIMENTO E INSTALAÇÃO. REF: PROTEC, WHITE MARTINS, UNITEC HOSPITALAR, AIR LIQUIDE, VALMIG</t>
  </si>
  <si>
    <t>I06500</t>
  </si>
  <si>
    <t>TOMADA/POSTO DE CONSUMO DE PAREDE PARA OXIGÊNIO MEDICINAL COM TARUGO INTERNO EMBUTIDO, VÁLVULA AUTOVEDANTE, PINO DE IMPACTO, CANOPLA EM MATERIAL PLÁSTICO DE ABS E ETIQUETA DE IDENTIFICAÇÃO DO POSTO - FORNECIMENTO E INSTALAÇÃO. REF: PROTEC, WHITE MARTINS, UNITEC HOSPITALAR, AIR LIQUIDE, VALMIG</t>
  </si>
  <si>
    <t>I06499</t>
  </si>
  <si>
    <t>TOMADA/POSTO DE CONSUMO DE PAREDE PARA VÁCUO CLÍNICO COM TARUGO INTERNO EMBUTIDO, VÁLVULA AUTOVEDANTE, PINO DE IMPACTO, CANOPLA EM MATERIAL PLÁSTICO DE ABS E ETIQUETA DE IDENTIFICAÇÃO DO POSTO - FORNECIMENTO E INSTALAÇÃO. REF: PROTEC, WHITE MARTINS, UNITEC HOSPITALAR, AIR LIQUIDE, VALMIG</t>
  </si>
  <si>
    <t>I06501</t>
  </si>
  <si>
    <t>TUBO DE COBRE CLASSE "A", DN = 1/2 " (15 MM), PARA INSTALACOES DE MEDIA PRESSAO PARA GASES COMBUSTIVEIS E MEDICINAIS</t>
  </si>
  <si>
    <t>S39897</t>
  </si>
  <si>
    <t>S39747</t>
  </si>
  <si>
    <t>TUBO DE COBRE CLASSE "A", DN = 3/4 " (22 MM), PARA INSTALACOES DE MEDIA PRESSAO PARA GASES COMBUSTIVEIS E MEDICINAIS</t>
  </si>
  <si>
    <t>S39748</t>
  </si>
  <si>
    <t>TUBO DE COBRE CLASSE "A", DN = 1 " (28 MM), PARA INSTALACOES DE MEDIA PRESSAO PARA GASES COMBUSTIVEIS E MEDICINAIS</t>
  </si>
  <si>
    <t>S39749</t>
  </si>
  <si>
    <t>PINTURA EM ESMALTE SINTÉTICO AMARELO-SEGURANÇA PADRÃO MUNSELL 5 Y 8/12 EM LATA DE 3,6 LITROS</t>
  </si>
  <si>
    <t>PINTURA EM ESMALTE SINTÉTICO VERDE-EMBLEMA PADRÃO MUNSELL 2,5 G 4/8 EM LATA DE 3,6 LITROS</t>
  </si>
  <si>
    <t>PINTURA EM ESMALTE SINTÉTICO CINZA-CLARO PADRÃO MUNSELL N 6,5 EM LATA DE 3,6 LITROS</t>
  </si>
  <si>
    <t>PINTURA EM ESMALTE SINTÉTICO AZUL-MARINHO PADRÃO MUNSELL 55 PB 2/4 EM LATA DE 3,6 LITROS</t>
  </si>
  <si>
    <t>EXECUÇÃO DE CANALETA DE CONCRETO CONFORME DETALHE DE PROJETO</t>
  </si>
  <si>
    <t>PAINEL DE ALARME DE EMERGÊNCIA PARA REDE DE AR COMPRIMIDO MEDICINAL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t>
  </si>
  <si>
    <t>I08502</t>
  </si>
  <si>
    <t>Posto - Painel de alarme com pressostato para ar comprimido, White Martins ou similar</t>
  </si>
  <si>
    <t>PAINEL DE ALARME DE EMERGÊNCIA PARA REDE DE OXIGÊNIO MEDICINAL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t>
  </si>
  <si>
    <t>I08501</t>
  </si>
  <si>
    <t>Posto - Painel de alarme com pressostato para oxigênio, White Martins ou similar</t>
  </si>
  <si>
    <t>PAINEL DE ALARME DE EMERGÊNCIA PARA REDE DE VÁCUO CLÍNICO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t>
  </si>
  <si>
    <t>I08503</t>
  </si>
  <si>
    <t>Posto - Painel de alarme com pressostato para ar vácuo, White Martins ou similar</t>
  </si>
  <si>
    <t>PONTO PARA PISTOLA DE AR COMPRIMIDO PARA LIMPEZA</t>
  </si>
  <si>
    <t>COT256</t>
  </si>
  <si>
    <t>MANGUEIRA DE CONDUÇÃO DE AR COMPRIMIDO ALTA PRESSÃO, COMPRIMENTO DE 3 METRO</t>
  </si>
  <si>
    <t>I01581</t>
  </si>
  <si>
    <t>Mangueira trançada de alta pressão diâmetro = 1"</t>
  </si>
  <si>
    <t>CAIXA PARA VÁLVULAS DE SEÇÃO DE GASES MEDICINAIS, 365 MM X 125 MM X 235 MM (COMPRIMENTO X PROFUNDIDADE X ALTURA), METÁLICA COM TAMPA ACRÍLICA PARA 01 VÁLVULA DE GÁS MEDICINAL.</t>
  </si>
  <si>
    <t>4.51.22</t>
  </si>
  <si>
    <t>Caixa em chapa de aço 16 com porta e fecho</t>
  </si>
  <si>
    <t>CAIXA PARA VÁLVULAS DE SEÇÃO DE GASES MEDICINAIS, 365 MM X 125 MM X 385 MM (COMPRIMENTO X PROFUNDIDADE X ALTURA), METÁLICA COM TAMPA ACRÍLICA PARA 02 VÁLVULAS DE GÁS MEDICINAL.</t>
  </si>
  <si>
    <t>CAIXA PARA VÁLVULAS DE SEÇÃO DE GASES MEDICINAIS, 365 MM X 125 MM X 535 MM (COMPRIMENTO X PROFUNDIDADE X ALTURA), METÁLICA COM TAMPA ACRÍLICA PARA 03 VÁLVULAS DE GÁS MEDICINAL.</t>
  </si>
  <si>
    <t>VÁLVULA DE SEÇÃO (BLOQUEIO) PARA GÁSMEDICINAL  OU VÁCUO CLÍNICO Ø1/2" ROSCA FÊMEA NPT, DO TIPO ESFERA, TRIPARTIDA, DE PASSAGEM PLENA, FECHAMENTO RÁPIDO COM CORPO EM LATÃO FORJADO E ESFERA DE AÇO INOXIDÁVEL. QUIMICAMENTE COMPATÍVEL COM O GÁS CONDUZIDO E CAPAZ DE SUPORTAR PRESSÕES SUPERIORES A 20 KGF/CM² (CLASSE 300 PSI).</t>
  </si>
  <si>
    <t>O.04.000.064080</t>
  </si>
  <si>
    <t>VÁLVULA DE SEÇÃO (BLOQUEIO) PARA GÁSMEDICINAL  OU VÁCUO CLÍNICO Ø3/4" ROSCA FÊMEA NPT, DO TIPO ESFERA, TRIPARTIDA, DE PASSAGEM PLENA, FECHAMENTO RÁPIDO COM CORPO EM LATÃO FORJADO E ESFERA DE AÇO INOXIDÁVEL. QUIMICAMENTE COMPATÍVEL COM O GÁS CONDUZIDO E CAPAZ DE SUPORTAR PRESSÕES SUPERIORES A 20 KGF/CM² (CLASSE 300 PSI).</t>
  </si>
  <si>
    <t>O.04.000.064081</t>
  </si>
  <si>
    <t>VÁLVULA DE SEÇÃO (BLOQUEIO) PARA GÁSMEDICINAL  OU VÁCUO CLÍNICO Ø1" ROSCA FÊMEA NPT, DO TIPO ESFERA, TRIPARTIDA, DE PASSAGEM PLENA, FECHAMENTO RÁPIDO COM CORPO EM LATÃO FORJADO E ESFERA DE AÇO INOXIDÁVEL. QUIMICAMENTE COMPATÍVEL COM O GÁS CONDUZIDO E CAPAZ DE SUPORTAR PRESSÕES SUPERIORES A 20 KGF/CM² (CLASSE 300 PSI).</t>
  </si>
  <si>
    <t>O.04.000.064082</t>
  </si>
  <si>
    <t>SISTEMA CENTRAL DE AR COMPRIMIDO MEDICINAL, DE CAPACIDADE MÍNIMA DE OPERAÇÃO DE 12M³/H, CONTENDO: - FILTRO DE ASPIRAÇÃO; - COMPRESSORES DE AR (OPERAÇÃO E BACKUP) DO TIPO PISTÃO ISENTOS DE ÓLEO COM VAZÃO DE OPERAÇÃO; - CONJUNTO DE FILTRAGEM; - SECADOR POR ADSORÇÃO; - RESERVATÓRIO DE AR COMPRIMIDO; - SISTEMA DE REGULAGEM DE PRESSÃO; - PAINEL DE ALARME OPERACIONAL COM TRANSMISSOR DE PRESSÃO DADOS TÉCNICOS:  1810KG - MONOFÁSICA - 4,6KW  - 220V - 60HZ DIMENSÃO: 2100x2000x2800MM (A x L x P). REF: VALMIG AIRMED-STD-12D OU EQUIVALENTE TÉCNICO</t>
  </si>
  <si>
    <t>COT280</t>
  </si>
  <si>
    <t>SISTEMA CENTRAL DE VÁCUO CLÍNICO, DE CAPACIDADE MÍNIMA DE OPERAÇÃO 20 M³/H E SUPRIMENTO RESERVA DE CAPACIDADE EQUIVALENTE DE 20 M³/H, CONTENDO: - DOIS FILTROS BACTERIOLÓGICOS INSTALADOS EM PARALELO; - RESERVATÓRIO DE VÁCUO; - BOMBAS DE VÁCUO DO TIPO PALHETA LUBRIFICADAS; - PAINEL DE ALARME OPERACIONAL COM TRANSMISSOR DE PRESSÃO; DADOS TÉCNICOS:  20 m³- 200KG - MONOFÁSICA - 1,55KW  - 220V - 60HZ; DIMENSÃO:1800x1150x820MM (A x L x P); REF: VALMIG ASPMIG-LV-20D OU EQUIVALENTE TÉCNICO</t>
  </si>
  <si>
    <t>INSUMO EMOP</t>
  </si>
  <si>
    <t>ARMAÇÃO EM TELA SOLDADA Q196</t>
  </si>
  <si>
    <t>ADAP SINAPI 91594</t>
  </si>
  <si>
    <t>S39017</t>
  </si>
  <si>
    <t>FORMA TABUA PARA CONCRETO EM FUNDACAO C/ REAPROVEITAMENTO 5X</t>
  </si>
  <si>
    <t>SINAPI 5651</t>
  </si>
  <si>
    <t>CONCRETO USINADO BOMBEADO FCK=30MPA, BOMBEADO, LANÇADO E ADENSADO EM SUPERESTRUTURA</t>
  </si>
  <si>
    <t>SINAPI 1525+92874</t>
  </si>
  <si>
    <t xml:space="preserve">CONCRETO USINADO BOMBEÁVEL FCK=30MPA, SLUMP 240, INCLUSIVE LANÇAMENTO EM ESTACAS </t>
  </si>
  <si>
    <t>ADAP SINAPI 25950</t>
  </si>
  <si>
    <t>CONCRETO USINADO BOMBEADO FCK=30MPA, BOMBEADO, LANÇADO E ADENSADO EM INFRAESTRUTURA</t>
  </si>
  <si>
    <t>CONCRETO USINADO BOMBEADO FCK=25MPA, BOMBEADO, LANÇADO E ADENSADO EM INFRAESTRUTURA</t>
  </si>
  <si>
    <t>CONTROLE TECNOLÓGICO DE CONCRETO C/ ROMPIMENTO DE CORPO-DE-PROVA À COMPRESSÃO</t>
  </si>
  <si>
    <t>ORSE 12000</t>
  </si>
  <si>
    <t>I12000</t>
  </si>
  <si>
    <t>TELA SOLDADA DE AÇO TIPO Q-92</t>
  </si>
  <si>
    <t xml:space="preserve">KG    </t>
  </si>
  <si>
    <t xml:space="preserve">ESTACA ESCAVADA MECANICAMENTE, SEM FLUIDO ESTABILIZANTE, COM 30CM DE DIÂMETRO, INCLUSO MOBILIZAÇÃO E DESMOBILIZAÇÃO </t>
  </si>
  <si>
    <t>ADAP SINAPI 100651</t>
  </si>
  <si>
    <t>A.08.000.020109</t>
  </si>
  <si>
    <t>Taxa de mobilização e desmobilização de equipamentos para execução de estaca escavada</t>
  </si>
  <si>
    <t>TIRANTE PARA VERGA PARA VÃOS &gt;2,10M, ESPESSURA DE *15CM*</t>
  </si>
  <si>
    <t>ADAP SINAPI 105023</t>
  </si>
  <si>
    <t>VIGA EM CONCRETO ARMADO PARA APOIO DE EQUIPAMENTOS DE AR CONDICIONADO 15X15CM, CONFORME DETALHE</t>
  </si>
  <si>
    <t>LAJE PRÉ-FABRICADA MISTA VIGOTA TRELIÇADA/LAJOTA CERÂMICA - LT 12 (8+4) E CAPA COM CONCRET</t>
  </si>
  <si>
    <t>CPOS 13.01.130</t>
  </si>
  <si>
    <t>C.06.000.022047</t>
  </si>
  <si>
    <t>LAJE PRÉ-FABRICADA MISTA VIGOTA TRELIÇADA/LAJOTA CERÂMICA - LT 12 (8+4)</t>
  </si>
  <si>
    <t>LAJE PRÉ-FABRICADA MISTA VIGOTA TRELIÇADA/LAJOTA CERÂMICA - LT 16 (12+4) E CAPA COM CONCRET</t>
  </si>
  <si>
    <t>CPOS 13.01.150</t>
  </si>
  <si>
    <t xml:space="preserve">PORTA/PORTÃO EM FERRO GALVANIZADO, 1 OU 2 FOLHAS, EM TUBO DE AÇO GALVANIZADO 2" E TELA ARAME GALVANIZADO </t>
  </si>
  <si>
    <t>ADAP CPOS 24.02.100</t>
  </si>
  <si>
    <t>H.04.000.091169</t>
  </si>
  <si>
    <t xml:space="preserve">Portão 1 ou 2 folhas tubular com tela de arame galvanizado, completo até 2,50m </t>
  </si>
  <si>
    <t>m2</t>
  </si>
  <si>
    <t>PORTA/PORTÃO EM FERRO GALVANIZADO, 1 OU 2 FOLHAS, EM TUBO DE AÇO GALVANIZADO 2" E TELA ARAME GALVANIZADO  E TELA MOSQUITEIRA MALHA 14 FIO 30 EM AÇO</t>
  </si>
  <si>
    <t>ADAP CPOS 24.02.100 + ORSE S09571</t>
  </si>
  <si>
    <t>I12592</t>
  </si>
  <si>
    <t>Tela mosquiteiro galvanizada, malha 14, fio 30</t>
  </si>
  <si>
    <t>PORTÃO DE FERRO DE ABRIR, COM ESTRUTURA LATERAL PARA FIXAÇÃO DO PORTÃO EM TUBO RETANGULAR 8X8CM, COM QUADRO EM TUBO RETANGULAR (80X50MM) E BARRAS HORIZONTAIS EM TUBO RETANGULAR (50X50MM)</t>
  </si>
  <si>
    <t>I09168</t>
  </si>
  <si>
    <t>Portão em barras de ferro vert. quadr. 1/2" c/ 10cm, 6 barras hor. 5/8"x3/16" (2 a 2) e quadro 3/4"x3/16", inclusive dobradiças, ferrolhos e chumbadores</t>
  </si>
  <si>
    <t>PLANTIO DE GRAMA ESMERALDA EM PLACAS</t>
  </si>
  <si>
    <t>SINAPI 98504</t>
  </si>
  <si>
    <t>CONTRAMARCO EM ALUMINIO - FORNECIMENTO E INSTALAÇÃO</t>
  </si>
  <si>
    <t>ADAP SBC 112598</t>
  </si>
  <si>
    <t>EMBOÇO OU MASSA ÚNICA EM ARGAMASSA TRAÇO 1:2:8, PREPARO MECÂNICO COM BETONEIRA 400 L, APLICADA MANUALMENTE EM PANOS DE FACHADA, ESPESSURA DE 15 MM. AF_06/2014</t>
  </si>
  <si>
    <t>ADAP ORSE 502314</t>
  </si>
  <si>
    <t>RAMPA PADRÃO PARA ACESSO DE DEFICIENTES A PASSEIO PÚBLICO, EM CONCRETO SIMPLES FCK=25MPA, DESEMPOLADA, PINTADA EM NOVACOR, 02 DEMÃOS E PISO TÁTIL DE ALERTA/DIRECIONAL.</t>
  </si>
  <si>
    <t>PAREDE COM PLACAS DE GESSO ACARTONADO (DRYWALL) E=25CM, COM DUAS FACES SIMPLES (RU/RU), DUAS CHAPAS DE MDF 22,5MM, E ESTRUTURA METÁLICA COM GUIAS DUPLAS DE 90MM - FORNECIMENTO E INSTALAÇÃO</t>
  </si>
  <si>
    <t>ADAP SINAPI 96368</t>
  </si>
  <si>
    <t>S37586</t>
  </si>
  <si>
    <t>S34675</t>
  </si>
  <si>
    <t>PORTA DE ABRIR EM CHAPA LISA DE FERRO GALVANIZADO COM TELA MOSQUITEIRO</t>
  </si>
  <si>
    <t>ADAP ORSE S11956 + CPOS 25.20.020</t>
  </si>
  <si>
    <t>I01821</t>
  </si>
  <si>
    <t xml:space="preserve">Porta em chapa de aço galvanizado a frio 24 MSG (0,60mm - 4,80kg/m2), raiada larga </t>
  </si>
  <si>
    <t xml:space="preserve">Tela mosquiteiro galvanizada, malha 14, fio 30 </t>
  </si>
  <si>
    <t>BATE-MACA OU PROTETOR DE PAREDE CURVO EM PVC, COM AMORTECIMENTO À IMPACTO, ALTURA DE 200 MM</t>
  </si>
  <si>
    <t>ADAP CPOS 27.04.060</t>
  </si>
  <si>
    <t>M.04.000.030378</t>
  </si>
  <si>
    <t xml:space="preserve">Bate-maca ou protetor curvo de parede em PVC, com altura de 200mm, nas cores branco, bege azul escuro, barra de 4m, ref. TEC 198 da Tecnoperfil ou equivalente </t>
  </si>
  <si>
    <t xml:space="preserve">BANCADA EM INOX 304/20, COM 1 CUBA SIMPLES (60X50X40CM), ENCHIMENTO EM CONCRETO ARAMADO LEVE, SEM BRITA, SOLDA DE ARGONIO, TESTEIRA DE 10CM, ACABAMENTO LISO, PROFUNDIDADE 60CM, CHUMBADAS À PAREDE E APOIADAS SOBRE BARRAS METÁLICAS. COMPRIMENTO DA BANCADA CONFORME AS DIMENSOES DO PROJETO. </t>
  </si>
  <si>
    <t>S.05.000.065621</t>
  </si>
  <si>
    <t xml:space="preserve">Cuba em aço inoxidável simples de 600x500x400mm, AISI 304, liga 18,8 e chapa 22 </t>
  </si>
  <si>
    <t>INSTALAÇÃO DE ISOLAMENTO DE LÃ DE ROCHA EM DRYWALL</t>
  </si>
  <si>
    <t>ADAP SINAPI 96372</t>
  </si>
  <si>
    <t>FELTRO EM LA DE ROCHA 1 FACE REVESTIDA C/ FILME POLIPROPILENO</t>
  </si>
  <si>
    <t>INSUMO SIURB</t>
  </si>
  <si>
    <t>TORNEIRA DE MESA TEMPORIZADA DE PRESSÃO (PRESSMATIC) BICA BAIXA, CROMADA - FORNECIMENTO E INSTALAÇÃO</t>
  </si>
  <si>
    <t>ADAP ORSE S11232</t>
  </si>
  <si>
    <t>PAREDE COM PLACAS DE GESSO ACARTONADO (DRYWALL), E=11,5cm, COM DUAS FACES SIMPLES STANDARD (ST/ST), ESTRUTURA METÁLICA COM GUIAS SIMPLES DE 90MM</t>
  </si>
  <si>
    <t>ADAP SBC 90802</t>
  </si>
  <si>
    <t>PAREDE COM PLACAS DE GESSO ACARTONADO (DRYWALL), E=11,5cm, COM DUAS FACES SIMPLES STANDARD E RESISTENTE A UMIDADE (ST/RU), ESTRUTURA METÁLICA COM GUIAS SIMPLES DE 90MM</t>
  </si>
  <si>
    <t>PAREDE COM PLACAS DE GESSO ACARTONADO (DRYWALL), E=11,5cm, COM DUAS FACES SIMPLES RESISTENTE A UMIDADE (RU/RU), ESTRUTURA METÁLICA COM GUIAS SIMPLES DE 90MM</t>
  </si>
  <si>
    <t>PAREDE PARA ENCHIMENTO COM PLACAS DE GESSO ACARTONADO (DRYWALL), COM UMA FACE SIMPLES (RU), ESTRUTURA METÁLICA COM GUIAS SIMPLES DE 48MM</t>
  </si>
  <si>
    <t>SINAPI 96370</t>
  </si>
  <si>
    <t>PISO CIMENTADO COM ARGAMASSA TRAÇO 1:3 (CIMENTO E AREIA), COM ADITIVO IMPERMEABILIZANTE, ESPESSURA 2,5 CM, ACABAMENTO DESEMPENADO, PREPARO MECÂNICO DA ARGAMASSA.</t>
  </si>
  <si>
    <t>ADAP SETOP ED-50563</t>
  </si>
  <si>
    <t>PAVIMENTAÇÃO COM PEDRISCO COM ESPESSURA DE 5CM - EXCLUSIVE CARGA E TRANSPORTE</t>
  </si>
  <si>
    <t>ACAP CPOS 16.02.022</t>
  </si>
  <si>
    <t>BANCO DE CONCRETO, DIMENSÃO 360 X 50 CM</t>
  </si>
  <si>
    <t>CPOS 35.04.140</t>
  </si>
  <si>
    <t>C104488</t>
  </si>
  <si>
    <t>DISJUNTOR TERMOMAGNÉTICO TRIPOLAR 225A CAPAC. 50KA</t>
  </si>
  <si>
    <t>ADAP SINAPI 74130/7</t>
  </si>
  <si>
    <t>MAT048500</t>
  </si>
  <si>
    <t>INSUMO SCO</t>
  </si>
  <si>
    <t>ELETROCALHA PERFURADA 200X100X3000MM - CH 18 COM TAMPA, INCLUSO CONEXÕES E SUPORTE PARA FIXAÇÃO</t>
  </si>
  <si>
    <t>ADAP SETOP ED-19515</t>
  </si>
  <si>
    <t xml:space="preserve">MATED-17917 </t>
  </si>
  <si>
    <t>ELETROCALHA PERFURADA 200X100X3000MM - CH 18 COM TAMPA.</t>
  </si>
  <si>
    <t>LEITO PARA CABOS TIPO MÉDIO GALVANIZADO A FOGO, COM TAMPA 2 AGUAS. DIMENSÕES: 300MM (LARGURA) X 100MM (ALTURA) X 3000MM (COMPRIMENTO DA BARRA) - INCLUSO SUPORTE DE FIXAÇÃO NO PISO</t>
  </si>
  <si>
    <t>P.04.000.065641</t>
  </si>
  <si>
    <t>LEITO PARA CABOS TIPO MÉDIO GALVANIZADO A FOGO. DIMENSÕES: 300MM (LARGURA) X 100MM (ALTURA) X 3000MM (COMPRIMENTO DA BARRA)</t>
  </si>
  <si>
    <t>I03991</t>
  </si>
  <si>
    <t xml:space="preserve">	Tampa de encaixe 200 mm para eletrocalha metálica (ref.: mopa ou similar)</t>
  </si>
  <si>
    <t xml:space="preserve">LUMINÁRIA HERMÉTICA RETANGULAR DE SOBREPOR, DUA LAMPADAS TUBULED PHILLIPS (OU SIMILAR) 4000K - 2X21W/127V. REFERÊNCIA: CHT02-E 232 AC (LUMICENTER). </t>
  </si>
  <si>
    <t>SBC 060301</t>
  </si>
  <si>
    <t>I039115</t>
  </si>
  <si>
    <t>13515/ORSE	Luminária hermética de sobrepor, para lâmpada tubular T8, 2x18w, IP65, 65cm, ref.: LMIP65 2x18 - T8C, da G-light ou similar</t>
  </si>
  <si>
    <t>P.14.000.046623</t>
  </si>
  <si>
    <t>LAMPADAS TUBULED PHILLIPS (OU SIMILAR) 4000K - 2X21W/127V</t>
  </si>
  <si>
    <t>TOMADA QUADRUPLA 20A/127V 2P+T - MIOLO BRANCO (PADRÃO BRASILEIRO) EM CX. 4"X4"</t>
  </si>
  <si>
    <t>QDG - QUADRO DE DISTRIBUIÇÃO EM CHAPA DE AÇO 16USG, PINTURA EM EPÓXI COR BEGE, COM TRINCO, BARRAMENTOS EM COBRE, ESPELHO INTERNO C/ PLAQUETAS DE IDENTIFICAÇÃO EM ACRÍLICO PARA CADA CIRCUITO E PORTA PROJETO. DEVERÁ ATENDER O SOLICITADO NO DIAGRAMA UNIFILAR EM PROJETO.</t>
  </si>
  <si>
    <t>I09748</t>
  </si>
  <si>
    <t>QD - Quadro / Painel em chapa galvanizada e pintura eletrostática na cor bege,sem disjuntores, com ( barramentos, isolador, pafusos, conector, espelho e montagem) -1400x800x300mm</t>
  </si>
  <si>
    <t>QD-1 - QUADRO DE DISTRIBUIÇÃO EM CHAPA DE AÇO 16USG, PINTURA EM EPÓXI COR BEGE, COM TRINCO, BARRAMENTOS EM COBRE, ESPELHO INTERNO C/ PLAQUETAS DE IDENTIFICAÇÃO EM ACRÍLICO PARA CADA CIRCUITO E PORTA PROJETO. DEVERÁ ATENDER O SOLICITADO NO DIAGRAMA UNIFILAR EM PROJETO.</t>
  </si>
  <si>
    <t xml:space="preserve">UN </t>
  </si>
  <si>
    <t>QD-2 - QUADRO DE DISTRIBUIÇÃO EM CHAPA DE AÇO 16USG, PINTURA EM EPÓXI COR BEGE, COM TRINCO, BARRAMENTOS EM COBRE, ESPELHO INTERNO C/ PLAQUETAS DE IDENTIFICAÇÃO EM ACRÍLICO PARA CADA CIRCUITO E PORTA PROJETO. DEVERÁ ATENDER O SOLICITADO NO DIAGRAMA UNIFILAR EM PROJETO.</t>
  </si>
  <si>
    <t>QD-3 - QUADRO DE DISTRIBUIÇÃO EM CHAPA DE AÇO 16USG, PINTURA EM EPÓXI COR BEGE, COM TRINCO, BARRAMENTOS EM COBRE, ESPELHO INTERNO C/ PLAQUETAS DE IDENTIFICAÇÃO EM ACRÍLICO PARA CADA CIRCUITO E PORTA PROJETO. DEVERÁ ATENDER O SOLICITADO NO DIAGRAMA UNIFILAR EM PROJETO.</t>
  </si>
  <si>
    <t>QF-VÁCUO - QUADRO DE COMANDO 40X40X15CM PARA ESPERA DOS CABOS DA CENTRAL DE VÁCUO</t>
  </si>
  <si>
    <t>QF-AR COMPRIMIDO - QUADRO DE COMANDO 40X40X15CM PARA ESPERA DOS CABOS DA CENTRAL DE AR COMPRIMIDO</t>
  </si>
  <si>
    <t>QD-4 - QUADRO DE DISTRIBUIÇÃO EM CHAPA DE AÇO 16USG, PINTURA EM EPÓXI COR BEGE, COM TRINCO, BARRAMENTOS EM COBRE, ESPELHO INTERNO C/ PLAQUETAS DE IDENTIFICAÇÃO EM ACRÍLICO PARA CADA CIRCUITO E PORTA PROJETO. DEVERÁ ATENDER O SOLICITADO NO DIAGRAMA UNIFILAR EM PROJETO.</t>
  </si>
  <si>
    <t>ORSE S11376</t>
  </si>
  <si>
    <t>I12232</t>
  </si>
  <si>
    <t>QD-AC-1 - QUADRO DE DISTRIBUIÇÃO EM CHAPA DE AÇO 16USG, PINTURA EM EPÓXI COR BEGE, COM TRINCO, BARRAMENTOS EM COBRE, ESPELHO INTERNO C/ PLAQUETAS DE IDENTIFICAÇÃO EM ACRÍLICO PARA CADA CIRCUITO E PORTA PROJETO. DEVERÁ ATENDER O SOLICITADO NO DIAGRAMA UNIFILAR EM PROJETO.</t>
  </si>
  <si>
    <t>QD-AC-2 - QUADRO DE DISTRIBUIÇÃO EM CHAPA DE AÇO 16USG, PINTURA EM EPÓXI COR BEGE, COM TRINCO, BARRAMENTOS EM COBRE, ESPELHO INTERNO C/ PLAQUETAS DE IDENTIFICAÇÃO EM ACRÍLICO PARA CADA CIRCUITO E PORTA PROJETO. DEVERÁ ATENDER O SOLICITADO NO DIAGRAMA UNIFILAR EM PROJETO.</t>
  </si>
  <si>
    <t>QF-RX - QUADRO DE COMANDO 60X50X25CM PARA ESPERA DOS CABOS RX</t>
  </si>
  <si>
    <t>UNIDADE CONDENSADORA - SOMENTE FRIO  - MARCA DAIKIN (OU EQUIVALENTE TÉCNICO) - MOD. RXQ18TATL - CAP. 171.000BTU/H - TRIFÁSICA - 220V - 60Hz - 260kg</t>
  </si>
  <si>
    <t>ADAP CPOS  43.08.002</t>
  </si>
  <si>
    <t>Q.04.000.031004</t>
  </si>
  <si>
    <t>Unidade Condensadora VRF para sistema de ar condicionado, capacidade de 14 TR a 16 TR</t>
  </si>
  <si>
    <t>UNIDADE CONDENSADORA - CICLO FRIO - MARCA DAIKIN (OU EQUIVALENTE TÉCNICO) - MOD. RXQ8TATL - CAP. 76.400BTU/H - TRIFÁSICA - 220V - 60Hz - 185kg - DIMENSÃO 1.657x930x765mm (A x L x P)</t>
  </si>
  <si>
    <t>Q.04.000.031001</t>
  </si>
  <si>
    <t>Unidade Condensadora VRF para sistema de ar condicionado, capacidade até 6 TR</t>
  </si>
  <si>
    <t>TUBULAÇÃO DE INTERLIGAÇÃO FRIGORÍGENA PARA REDES DE AR CONDICIONADO DIÂMETRO NOMINAL Ø6,35MM (Ø1/4") - ESPESSURA MÍNIMA 0,8MM COM ISOLAMENTO TÉRMICO FLEXÍVEL DE ESPUMA ELASTOMÉRICA COM ESPESSURA MÍNIMA DE PAREDE DE 12MM E DIÂMETRO INTERNO MÍNIMO DE 7 A 8,5MM PARA TUBOS DE COBRE Ø1/4". REFERÊNCIA: ARMACELL LINHA ARMAFLEX F</t>
  </si>
  <si>
    <t>CPOS 46.27.060 + CPOS 32.11.310</t>
  </si>
  <si>
    <t>S39662</t>
  </si>
  <si>
    <t>F.03.000.024534</t>
  </si>
  <si>
    <t>Isolamento térmico em espuma elastomérica, espessura de 9 a 12 mm, para tubulação água quente e refrigeração, diâmetro de 1/4´ (cobre)</t>
  </si>
  <si>
    <t>F.12.000.028075</t>
  </si>
  <si>
    <t>Cola de contato para espuma elastomérica, isolamento térmico (uso adesivo industrial), ref. Armaflex 520 ou equivalente</t>
  </si>
  <si>
    <t>TUBULAÇÃO DE INTERLIGAÇÃO FRIGORÍGENA PARA REDES DE AR CONDICIONADO DIÂMETRO NOMINAL Ø9,52MM (Ø3/8") - ESPESSURA MÍNIMA 0,8MM COM ISOLAMENTO TÉRMICO FLEXÍVEL DE ESPUMA ELASTOMÉRICA COM ESPESSURA MÍNIMA DE PAREDE DE 19MM E DIÂMETRO INTERNO MÍNIMO DE 11 A 12,5MM PARA TUBOS DE COBRE Ø3/8". REFERÊNCIA: ARMACELL LINHA ARMAFLEX M</t>
  </si>
  <si>
    <t>CPOS 46.27.080 + CPOS 32.11.430</t>
  </si>
  <si>
    <t>S39664</t>
  </si>
  <si>
    <t>F.03.000.024550</t>
  </si>
  <si>
    <t xml:space="preserve">Isolamento térmico em espuma elastomérica, espessura 15mm, para tubulação água quente e refrigeração, diâmetro de 3/8´ (cobre) </t>
  </si>
  <si>
    <t>TUBULAÇÃO DE INTERLIGAÇÃO FRIGORÍGENA PARA REDES DE AR CONDICIONADO DIÂMETRO NOMINAL Ø12,7MM (Ø1/2") - ESPESSURA MÍNIMA 0,8MM COM ISOLAMENTO TÉRMICO FLEXÍVEL DE ESPUMA ELASTOMÉRICA COM ESPESSURA MÍNIMA DE PAREDE DE 19MM E DIÂMETRO INTERNO MÍNIMO DE 13 A 14,5MM PARA TUBOS DE COBRE Ø1/2". REFERÊNCIA: ARMACELL LINHA ARMAFLEX M</t>
  </si>
  <si>
    <t>CPOS 46.27.090 + CPOS 32.11.430</t>
  </si>
  <si>
    <t>S39660</t>
  </si>
  <si>
    <t>F.07.000.024536</t>
  </si>
  <si>
    <t>Isolamento térmico em espuma elastomérica, espessura de 9 a 12 mm, para tubulação água quente e refrigeração, diâmetro de 1/2´ (cobre)</t>
  </si>
  <si>
    <t>TUBULAÇÃO DE INTERLIGAÇÃO FRIGORÍGENA PARA REDES DE AR CONDICIONADO DIÂMETRO NOMINAL Ø15,87MM (Ø5/8") - ESPESSURA MÍNIMA 0,8MM COM ISOLAMENTO TÉRMICO FLEXÍVEL DE ESPUMA ELASTOMÉRICA COM ESPESSURA MÍNIMA DE PAREDE DE 19MM E DIÂMETRO INTERNO MÍNIMO DE 16 A 17,5MM PARA TUBOS DE COBRE Ø5/8". REFERÊNCIA: ARMACELL LINHA ARMAFLEX M</t>
  </si>
  <si>
    <t>CPOS 46.27.100 + CPOS 32.11.430</t>
  </si>
  <si>
    <t>S39665</t>
  </si>
  <si>
    <t>F.03.000.024535</t>
  </si>
  <si>
    <t xml:space="preserve">Isolamento térmico em espuma elastomérica, espessura 15mm, para tubulação água quente e refrigeração, diâmetro de 5/8´ (cobre) </t>
  </si>
  <si>
    <t>TUBULAÇÃO DE INTERLIGAÇÃO FRIGORÍGENA PARA REDES DE AR CONDICIONADO DIÂMETRO NOMINAL Ø19,05MM (Ø3/4") - ESPESSURA MÍNIMA 0,8MM COM ISOLAMENTO TÉRMICO FLEXÍVEL DE ESPUMA ELASTOMÉRICA COM ESPESSURA MÍNIMA DE PAREDE DE 23MM E DIÂMETRO INTERNO MÍNIMO DE 19 A 20,5MM PARA TUBOS DE COBRE Ø3/4". REFERÊNCIA: ARMACELL LINHA ARMAFLEX M</t>
  </si>
  <si>
    <t>CPOS 46.27.110 + CPOS 32.11.430</t>
  </si>
  <si>
    <t>S39666</t>
  </si>
  <si>
    <t>F.03.000.024551</t>
  </si>
  <si>
    <t xml:space="preserve">Isolamento térmico em espuma elastomérica, espessura 15mm, para tubulação água quente e refrigeração, diâmetro de 3/4´ (cobre) </t>
  </si>
  <si>
    <t>KIT REFINET PARA CONEXÃO DE UNIDADES INTERNAS MARCA DAIKIN  (OU EQUIVALENTE TÉCNICO) MODELO KHRP26A22T</t>
  </si>
  <si>
    <t>ADAP SINAPI 92299</t>
  </si>
  <si>
    <t>S12732</t>
  </si>
  <si>
    <t>COT83</t>
  </si>
  <si>
    <t>KIT REFINET PARA CONEXÃO DE UNIDADES INTERNAS MARCA DAIKIN  (OU EQUIVALENTE TÉCNICO) MODELO KHRP26A33T</t>
  </si>
  <si>
    <t>ADAP SINAPI 92300</t>
  </si>
  <si>
    <t>COT12069</t>
  </si>
  <si>
    <t>KIT REFINET PARA CONEXÃO DE UNIDADES INTERNAS MARCA DAIKIN (OU EQUIVALENTE TÉCNICO) MODELO KHRP26A72T</t>
  </si>
  <si>
    <t>COT12070</t>
  </si>
  <si>
    <t>KIT REFINET PARA CONEXÃO DE UNIDADES EXTERNAS MARCA DAIKIN  (OU EQUIVALENTE TÉCNICO) MODELO BHFP22P151</t>
  </si>
  <si>
    <t>S12724</t>
  </si>
  <si>
    <t>S12725</t>
  </si>
  <si>
    <t>S12735</t>
  </si>
  <si>
    <t>CONTROLE CENTRALIZADO - INTELLIGENT TOUCH MANAGER. REFERÊNCIA: DAIKIN DCM601A51</t>
  </si>
  <si>
    <t>apropriação</t>
  </si>
  <si>
    <t>COT94</t>
  </si>
  <si>
    <t>VÁLVULA DE ESFERA Ø1/4" PARA TUBULAÇÃO DE COBRE EM REDES FRIGORÍGENAS COM CORPO E ACENTO DE ESTRUTURA SOLDADA, TEMPERATURA DE TRABALHO DE -40°C A +120°C, PRESSÃO MÁXIMA 45 BAR. REFERÊNCIA: SANHUA SBV02-019, DANFOSS GBC OU EQUIVALENTE</t>
  </si>
  <si>
    <t>COT99</t>
  </si>
  <si>
    <t>VÁLVULA DE ESFERA Ø3/8" PARA TUBULAÇÃO DE COBRE EM REDES FRIGORÍGENAS COM CORPO E ACENTO DE ESTRUTURA SOLDADA, TEMPERATURA DE TRABALHO DE -40°C A +120°C, PRESSÃO MÁXIMA 45 BAR. REFERÊNCIA: SANHUA SBV03-019, DANFOSS GBC OU EQUIVALENTE</t>
  </si>
  <si>
    <t>COT97</t>
  </si>
  <si>
    <t>VÁLVULA DE ESFERA Ø3/4" PARA TUBULAÇÃO DE COBRE EM REDES FRIGORÍGENAS COM CORPO E ACENTO DE ESTRUTURA SOLDADA, TEMPERATURA DE TRABALHO DE -40°C A +120°C, PRESSÃO MÁXIMA 45 BAR. REFERÊNCIA: SANHUA SBV(M)-A6YHSY-1-S, DANFOSS GBC OU EQUIVALENTE</t>
  </si>
  <si>
    <t>COT100</t>
  </si>
  <si>
    <t>VÁLVULA DE ESFERA Ø1/2" PARA TUBULAÇÃO DE COBRE EM REDES FRIGORÍGENAS COM CORPO E ACENTO DE ESTRUTURA SOLDADA, TEMPERATURA DE TRABALHO DE -40°C A +120°C, PRESSÃO MÁXIMA 45 BAR. REFERÊNCIA: SANHUA SBV04-019, DANFOSS GBC OU EQUIVALENTE</t>
  </si>
  <si>
    <t>CALÇO DE BORRACHA NEOPRENE, ESPESSURA 10MM</t>
  </si>
  <si>
    <t>I07198</t>
  </si>
  <si>
    <t>Calço de neoprene 100x100MM</t>
  </si>
  <si>
    <t>GABINETES DE VENTILAÇÃO DE AR EXTERNO
AMBIENTES ATENDIDOS: DIVERSOS
LOCALIZAÇÃO: ENTREFORRO
GABINETE: SIM
VAZÃO DE AR EXTERNO (m³/h): 480
CAIXA DE FILTRAGEM: SIM
FILTRAGEM DE 1° ESTÁGIO: G4
FILTRAGEM DE 2° ESTÁGIO: F8
PRESSÃO ESTÁTICA DISPONÍVEL PARA DUTOS (mmCA): 20
PRESSÃO ESTÁTICA INTERNA CONSIDERADA (mmCA): 30*
PRESSÃO ESTÁTICA TOTAL CONSIDERADA: 50*
TIPO DE ROTOR: LIMIT LOAD
TIPO DE ACOPLAMENTO DO MOTOR: DIRETO
TENSÃO ELÉTRICA MOTOR: 220/3F
POTÊNCIA DO MOTOR (kW): 0,18
VARIADOR DE FREQUÊNCIA: SIM
COXINS/CALÇOS DE BORRACHA: SIM
JUNTAS FLEXÍVEIS: EM TODAS AS CONEXÕES DE ENTRADA DO EQUIPAMENTO
PORTA DE INSPEÇÃO: SIM
QUADRO COMANDO: INCLUSO PARA ACIONAMENTO, CONTROLE DE DE VELOCIDADE COM SATURAÇÃO DE FILTROS
*DADOS PODEM VARIAR DE ACORDO COM FABRICANTE E FORNECEDORES DE FILTROS E ACESSÓRIOS</t>
  </si>
  <si>
    <t>COT113</t>
  </si>
  <si>
    <t>GABINETES DE VENTILAÇÃO DE EXAUSTÃO DE AR
AMBIENTES ATENDIDOS: DIVERSOS
LOCALIZAÇÃO: SANITÁRIOS E DML
GABINETE: SIM
VAZÃO DE EXAUSTÃO (m³/h): 1.500
CAIXA DE FILTRAGEM: NÃO
FILTRAGEM DE 1° ESTÁGIO: N/A
FILTRAGEM DE 2° ESTÁGIO: N/A
PRESSÃO ESTÁTICA DISPONÍVEL PARA DUTOS (mmCA): 20
PRESSÃO ESTÁTICA INTERNA CONSIDERADA (mmCA): 30* - PARA BIBO INSTALADA
PRESSÃO ESTÁTICA TOTAL CONSIDERADA: 50*
TIPO DE ROTOR: SIROCCO
TIPO DE ACOPLAMENTO DO MOTOR: DIRETO
TENSÃO ELÉTRICA MOTOR: 220/3F
POTÊNCIA DO MOTOR (kW): 2,00
VARIADOR DE FREQUÊNCIA: NÃO
COXINS/CALÇOS DE BORRACHA: SIM
JUNTAS FLEXÍVEIS: EM TODAS AS CONEXÕES DE ENTRADA DO EQUIPAMENTO
PORTA DE INSPEÇÃO: SIM
QUADRO COMANDO: INCLUSO PARA ACIONAMENTO
*DADOS PODEM VARIAR DE ACORDO COM FABRICANTE E FORNECEDORES DE FILTROS E ACESSÓRIOS</t>
  </si>
  <si>
    <t>COT112</t>
  </si>
  <si>
    <t>CAIXA DE FILTRAGEM TIPO BAG-IN BAG-OUT COM TROCA SEGURO, COM MOLDURA EM AÇO GALVANIZADO, FILTRAGEM HEPA H14</t>
  </si>
  <si>
    <t>COT113A</t>
  </si>
  <si>
    <t>UNIDADES DE TRATAMENTO DE AR MODULAR DE MONTAGEM HORIZONTAL
AMBIENTES ATENDIDOS: CME ESTERILIZAÇÃO QUÍMICA
LOCALIZAÇÃO: LAJE EXPOSTA AO TEMPO
TIPO DE SISTEMA DE CLIMATIZAÇÃO: EXPANSÃO DIRETA, FLUIDO R410A (OBS: DEVE ACOMPANHAR VÁLVULA DE EXPANSÃO ELETRÔNICA CONFORME SELEÇÃO DO FABRICANTE)
CARGA TÉRMICA TOTAL DA SERPENTINA: 1,69kW
CARGA TÉRMICA SENSÍVEL DA SERPENTINA: 1,20kW
VAZÃO DE INSUFLAMENTO: 700m³/h
VAZÃO DE AR EXTERNO: 40m³/h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</si>
  <si>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COT115</t>
  </si>
  <si>
    <t>UNIDADES DE TRATAMENTO DE AR MODULAR DE MONTAGEM HORIZONTAL
AMBIENTES ATENDIDOS: CME LAVAGEM
LOCALIZAÇÃO: LAJE EXPOSTA AO TEMPO
TIPO DE SISTEMA DE CLIMATIZAÇÃO: EXPANSÃO DIRETA, FLUIDO R410A (OBS: DEVE ACOMPANHAR VÁLVULA DE EXPANSÃO ELETRÔNICA CONFORME SELEÇÃO DO FABRICANTE)
CARGA TÉRMICA TOTAL DA SERPENTINA: 1,82kW
CARGA TÉRMICA SENSÍVEL DA SERPENTINA: 1,25kW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</si>
  <si>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COT116</t>
  </si>
  <si>
    <t>UNIDADES DE TRATAMENTO DE AR MODULAR DE MONTAGEM HORIZONTAL
AMBIENTES ATENDIDOS: CME GUARDA DE MATERIAIS
LOCALIZAÇÃO: LAJE EXPOSTA AO TEMPO
TIPO DE SISTEMA DE CLIMATIZAÇÃO: EXPANSÃO DIRETA, FLUIDO R410A (OBS: DEVE ACOMPANHAR VÁLVULA DE EXPANSÃO ELETRÔNICA CONFORME SELEÇÃO DO FABRICANTE)
CARGA TÉRMICA TOTAL DA SERPENTINA: 2,44kW
CARGA TÉRMICA SENSÍVEL DA SERPENTINA: 1,76kW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0,75
VARIADOR DE FREQUÊNCIA: SIM
TENSÃO ELÉTRICA RESISTÊNCIA: 220/2F
POTÊNCIA DA RESISTÊNCIA ELÉTRICA - DESUMIDIFICAÇÃO (kW): 0,75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</si>
  <si>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COT117</t>
  </si>
  <si>
    <t>UNIDADES DE TRATAMENTO DE AR MODULAR DE MONTAGEM HORIZONTAL
AMBIENTES ATENDIDOS: CME ESTERILIZAÇÃO FÍSICA
LOCALIZAÇÃO: LAJE EXPOSTA AO TEMPO
TIPO DE SISTEMA DE CLIMATIZAÇÃO: EXPANSÃO DIRETA, FLUIDO R410A (OBS: DEVE ACOMPANHAR VÁLVULA DE EXPANSÃO ELETRÔNICA CONFORME SELEÇÃO DO FABRICANTE)
CARGA TÉRMICA TOTAL DA SERPENTINA: 3,59kW
CARGA TÉRMICA SENSÍVEL DA SERPENTINA: 2,69kW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1,00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</si>
  <si>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COT118</t>
  </si>
  <si>
    <t>UNIDADES DE TRATAMENTO DE AR MODULAR DE MONTAGEM HORIZONTAL
AMBIENTES ATENDIDOS: QUARTO DE ISOLAMENTO
LOCALIZAÇÃO: LAJE EXPOSTA AO TEMPO
TIPO DE SISTEMA DE CLIMATIZAÇÃO: EXPANSÃO DIRETA, FLUIDO R410A (OBS: DEVE ACOMPANHAR VÁLVULA DE EXPANSÃO ELETRÔNICA CONFORME SELEÇÃO DO FABRICANTE)
CARGA TÉRMICA TOTAL DA SERPENTINA: 10,30kW
CARGA TÉRMICA SENSÍVEL DA SERPENTINA: 5,67kW
VAZÃO DE INSUFLAMENTO: 880m³/h
VAZÃO DE AR EXTERNO: 880m³/h (100% AR EXTERNO)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0,75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t>
  </si>
  <si>
    <t>COT120</t>
  </si>
  <si>
    <t>I10267</t>
  </si>
  <si>
    <t>CHUMBADOR (PF CBA) EM AÇO GALVANIZADO DIÂMETRO 5/8" X 2.1/4"</t>
  </si>
  <si>
    <t>70.02.18.12</t>
  </si>
  <si>
    <t>BARRA ROSCADA (VERGALHÃO) EM AÇO GALVANIZADO Ø5/8" X 3000 MM, BARRA DE 3M</t>
  </si>
  <si>
    <t>INSUMO DER-SP</t>
  </si>
  <si>
    <t>I13357</t>
  </si>
  <si>
    <t>ARRUELA LISA EM AÇO GALVANIZADO 5/8"</t>
  </si>
  <si>
    <t>I04340S</t>
  </si>
  <si>
    <t>PORCA SEXTAVADA EM AÇO GALVANIZADO 5/8" X 2"</t>
  </si>
  <si>
    <t>VENTILADOR COMPACTO AXIAL PARA INSTALAÇÃO EM FORRO - VAZÃO 95M3/H - 220V - 18W - 60HZ. REFERÊNCIA: SICFLUX MEGA 10 OU OUTRO EQUIVALENTE (MULTIVAC). FORNECIMENTO E INSTALAÇÃO</t>
  </si>
  <si>
    <t>ADAP CPOS 61.14.080</t>
  </si>
  <si>
    <t>COT103</t>
  </si>
  <si>
    <t>VENTILADOR COMPACTO AXIAL PARA INSTALAÇÃO EM FORRO - VAZÃO 180M3/H - 220V - 32W - 60HZ. REFERÊNCIA: SICFLUX MEGA 18 OU OUTRO EQUIVALENTE (MULTIVAC). FORNECIMENTO E INSTALAÇÃO</t>
  </si>
  <si>
    <t>I12725</t>
  </si>
  <si>
    <t>VENTILADOR COMPACTO AXIAL PARA INSTALAÇÃO EM FORRO - VAZÃO 180M3/H - 220V - 32W - 60HZ. REFERÊNCIA: SICFLUX MEGA 18 OU OUTRO EQUIVALENTE (MULTIVAC)</t>
  </si>
  <si>
    <t>VENTILADOR COMPACTO AXIAL PARA INSTALAÇÃO EM FORRO - VAZÃO 250M3/H - 220V - 31W - 60HZ. REFERÊNCIA: SICFLUX MEGA 25 OU OUTRO EQUIVALENTE (MULTIVAC). FORNECIMENTO E INSTALAÇÃO</t>
  </si>
  <si>
    <t>I12726</t>
  </si>
  <si>
    <t>VENTILADOR COMPACTO AXIAL PARA INSTALAÇÃO EM FORRO - VAZÃO 250M3/H - 220V - 31W - 60HZ. REFERÊNCIA: SICFLUX MEGA 25 OU OUTRO EQUIVALENTE (MULTIVAC)</t>
  </si>
  <si>
    <t>TUBULAÇÃO DE INTERLIGAÇÃO FRIGORÍGENA PARA REDES DE AR CONDICIONADO DIÂMETRO NOMINAL 22,22MM (Ø7/8") - ESPESSURA MÍNIMA 0,8MM COM ISOLAMENTO TÉRMICO FLEXÍVEL DE ESPUMA ELASTOMÉRICA COM ESPESSURA MÍNIMA DE PAREDE DE 23MM E DIÂMETRO INTERNO MÍNIMO DE 23 A 24,5MM PARA TUBOS DE COBRE Ø7/8". REFERÊNCIA: ARMACELL LINHA ARMAFLEX M</t>
  </si>
  <si>
    <t>I07468</t>
  </si>
  <si>
    <t>Tubo de cobre flexível Ø 7/8" - 22,23mm, e= 1mm</t>
  </si>
  <si>
    <t>TUBULAÇÃO DE INTERLIGAÇÃO FRIGORÍGENA PARA REDES DE AR CONDICIONADO DIÂMETRO NOMINAL Ø30MM (Ø1.1/8") - ESPESSURA MÍNIMA 0,8MM COM ISOLAMENTO TÉRMICO FLEXÍVEL DE ESPUMA ELASTOMÉRICA COM ESPESSURA MÍNIMA DE PAREDE DE 23MM E DIÂMETRO INTERNO MÍNIMO DE 29 A 30,5MM PARA TUBOS DE COBRE Ø1.1/8". REFERÊNCIA: ARMACELL LINHA ARMAFLEX M</t>
  </si>
  <si>
    <t>I07470</t>
  </si>
  <si>
    <t>Tubo de cobre flexível Ø 1 1/8" - 28mm, e= 1mm</t>
  </si>
  <si>
    <t>REGULADOR DE VAZÃO DE AR PARA INSTALAÇÃO EM TETO, EM PLÁSTICO ABS, DIÂMETRO NOMINAL Ø100. REFERÊNCIA: SICFLUX RVA100 OU EQUIVALENTE TÉCNICO (MULTIVAC DVK-100, OTAM BOC-100 OU OUTRO). FORNECIMENTO E INSTALAÇÃO</t>
  </si>
  <si>
    <t>COT12215</t>
  </si>
  <si>
    <t>DAMPER DE REGULAGEM DE VAZÃO 100x100MM. MARCA TROPICAL DRV-100x100 (OU EQUIVALENTE (OU SIMILAR - TROX, SEIMMEI, DIFUSAR)</t>
  </si>
  <si>
    <t>ADAP CPOS 61.10.401</t>
  </si>
  <si>
    <t>Q.04.000.031409</t>
  </si>
  <si>
    <t>DAMPER DE REGULAGEM DE VAZÃO 150x100MM. MARCA TROPICAL DRV-150x100 (OU EQUIVALENTE (OU SIMILAR - TROX, SEIMMEI, DIFUSAR)</t>
  </si>
  <si>
    <t>DAMPER DE REGULAGEM DE VAZÃO 150x150MM. MARCA TROPICAL DRV-150x150 (OU EQUIVALENTE (OU SIMILAR - TROX, SEIMMEI, DIFUSAR) -  FORNECIMENTO E INSTALAÇÃO</t>
  </si>
  <si>
    <t>DAMPER DE REGULAGEM DE VAZÃO 200x100MM. MARCA TROPICAL DRV-200x100 (OU EQUIVALENTE (OU SIMILAR - TROX, SEIMMEI, DIFUSAR)</t>
  </si>
  <si>
    <t>DAMPER DE REGULAGEM DE VAZÃO 200x150MM. MARCA TROPICAL DRV-200x150 (OU EQUIVALENTE (OU SIMILAR - TROX, SEIMMEI, DIFUSAR)</t>
  </si>
  <si>
    <t>DAMPER DE REGULAGEM DE VAZÃO 250x100MM. MARCA TROPICAL DRV-250x100 (OU EQUIVALENTE (OU SIMILAR - TROX, SEIMMEI, DIFUSAR)</t>
  </si>
  <si>
    <t>DAMPER DE REGULAGEM DE VAZÃO 250x200MM. MARCA TROPICAL DRV-250x200 (OU EQUIVALENTE (OU SIMILAR - TROX, SEIMMEI, DIFUSAR)</t>
  </si>
  <si>
    <t>DAMPER DE REGULAGEM DE VAZÃO 300x100MM. MARCA TROPICAL DRV-300x100 (OU EQUIVALENTE (OU SIMILAR - TROX, SEIMMEI, DIFUSAR)</t>
  </si>
  <si>
    <t>DAMPER DE REGULAGEM DE VAZÃO 300x150MM. MARCA TROPICAL DRV-300x150 (OU EQUIVALENTE (OU SIMILAR - TROX, SEIMMEI, DIFUSAR)</t>
  </si>
  <si>
    <t>DAMPER DE REGULAGEM DE VAZÃO 350x150MM. MARCA TROPICAL DRV-350x150 (OU EQUIVALENTE (OU SIMILAR - TROX, SEIMMEI, DIFUSAR)</t>
  </si>
  <si>
    <t>DAMPER DE REGULAGEM DE VAZÃO 300x250MM. MARCA TROPICAL DRV-300x250 (OU EQUIVALENTE (OU SIMILAR - TROX, SEIMMEI, DIFUSAR)</t>
  </si>
  <si>
    <t>DAMPER DE REGULAGEM DE VAZÃO 400x150MM. MARCA TROPICAL DRV-400x150 (OU EQUIVALENTE (OU SIMILAR - TROX, SEIMMEI, DIFUSAR)</t>
  </si>
  <si>
    <t>DAMPER DE REGULAGEM DE VAZÃO 450x150MM. MARCA TROPICAL DRV-450x150 (OU EQUIVALENTE (OU SIMILAR - TROX, SEIMMEI, DIFUSAR)</t>
  </si>
  <si>
    <t>DAMPER DE REGULAGEM DE VAZÃO 250x250MM. MARCA TROPICAL DRV-250x250 (OU EQUIVALENTE (OU SIMILAR - TROX, SEIMMEI, DIFUSAR) -  FORNECIMENTO E INSTALAÇÃO</t>
  </si>
  <si>
    <t>DAMPER DE REGULAGEM DE VAZÃO 350x100MM. MARCA TROPICAL DRV-350x100 (OU EQUIVALENTE (OU SIMILAR - TROX, SEIMMEI, DIFUSAR) -  FORNECIMENTO E INSTALAÇÃO</t>
  </si>
  <si>
    <t>DAMPER DE REGULAGEM DE VAZÃO 350x300MM. MARCA TROPICAL DRV-350x300 (OU EQUIVALENTE (OU SIMILAR - TROX, SEIMMEI, DIFUSAR) -  FORNECIMENTO E INSTALAÇÃO</t>
  </si>
  <si>
    <t>DAMPER DE REGULAGEM DE VAZÃO 400x200MM. MARCA TROPICAL DRV-400x200 (OU EQUIVALENTE (OU SIMILAR - TROX, SEIMMEI, DIFUSAR) -  FORNECIMENTO E INSTALAÇÃO</t>
  </si>
  <si>
    <t>DAMPER DE REGULAGEM DE VAZÃO 450x250MM. MARCA TROPICAL DRV-450x250 (OU EQUIVALENTE (OU SIMILAR - TROX, SEIMMEI, DIFUSAR) -  FORNECIMENTO E INSTALAÇÃO</t>
  </si>
  <si>
    <t>DAMPER DE REGULAGEM DE VAZÃO 500x150MM. MARCA TROPICAL DRV-500x150 (OU EQUIVALENTE (OU SIMILAR - TROX, SEIMMEI, DIFUSAR) -  FORNECIMENTO E INSTALAÇÃO</t>
  </si>
  <si>
    <t>DAMPER CORTA FOGO E FUMAÇA, EM CHAPA DE AÇO ZINCADO CONFORME NBR 7008 ZC, REVESTIMENTO B, DE FECHAMENTO AUTOMÁTICO, DE TEMPO DE RESISTÊNCIA AO FOGO DE 90 MINUTOS, DIMENSÕES 300X150MM COM ELEMENTO FUSÍVEL 72°C, CHAVE FIM DE CURSO E SOLENÓIDE DE DISPARO E SOLENÓIDE. REFERÊNCIA: TROX FKA-TI-BR-90 OU EQUIVALENTE TÉCNICO</t>
  </si>
  <si>
    <t>ADAP CPOS 61.10.410</t>
  </si>
  <si>
    <t>Q.04.000.031404</t>
  </si>
  <si>
    <t>DAMPER CORTA FOGO E FUMAÇA, EM CHAPA DE AÇO ZINCADO CONFORME NBR 7008 ZC, REVESTIMENTO B, DE FECHAMENTO AUTOMÁTICO, DE TEMPO DE RESISTÊNCIA AO FOGO DE 90 MINUTOS, DIMENSÕES 750X300MM COM ELEMENTO FUSÍVEL 72°C, CHAVE FIM DE CURSO E SOLENÓIDE DE DISPARO E SOLENÓIDE. REFERÊNCIA: TROX FKA-TI-BR-90 OU EQUIVALENTE TÉCNICO</t>
  </si>
  <si>
    <t>DAMPER CORTA FOGO E FUMAÇA DE TEMPO DE RESISTÊNCIA AO FOGO DE 90 MINUTOS  300x200MM COM ATUADOR DE RETORNO POR MOLA, FUSÍVEL DE DISPARO E SOLENÓIDE. MARCA TROPICAL DCF-90-300x200</t>
  </si>
  <si>
    <t>DAMPER CORTA FOGO E FUMAÇA, EM CHAPA DE AÇO ZINCADO CONFORME NBR 7008 ZC, REVESTIMENTO B, DE FECHAMENTO AUTOMÁTICO, DE TEMPO DE RESISTÊNCIA AO FOGO DE 90 MINUTOS, DIMENSÕES 300X250MM COM ELEMENTO FUSÍVEL 72°C, CHAVE FIM DE CURSO E SOLENÓIDE DE DISPARO E SOLENÓIDE. REFERÊNCIA: TROX FKA-TI-BR-90 OU EQUIVALENTE TÉCNICO</t>
  </si>
  <si>
    <t>DAMPER CORTA FOGO E FUMAÇA, EM CHAPA DE AÇO ZINCADO CONFORME NBR 7008 ZC, REVESTIMENTO B, DE FECHAMENTO AUTOMÁTICO, DE TEMPO DE RESISTÊNCIA AO FOGO DE 90 MINUTOS, DIMENSÕES 450X250MM COM ELEMENTO FUSÍVEL 72°C, CHAVE FIM DE CURSO E SOLENÓIDE DE DISPARO E SOLENÓIDE. REFERÊNCIA: TROX FKA-TI-BR-90 OU EQUIVALENTE TÉCNICO</t>
  </si>
  <si>
    <t>DIFUSOR DE 2 VIAS DO TIPO QUADRADO EUROPEU TAMANHO 1 PARA INSUFLAMENTO DE AR EM ALUMÍNIO COM REGISTRO - MARCA TROPICAL (OU SIMILAR OU SIMILAR - TROX, SEIMMEI, DIFUSAR) - MODELO: DQE-21-T1-RGA - FORNECIMENTO E INSTALAÇÃO</t>
  </si>
  <si>
    <t>ADAP CPOS 61.10.511</t>
  </si>
  <si>
    <t>Q.04.000.031425</t>
  </si>
  <si>
    <t>DIFUSOR DE 3 VIAS DO TIPO QUADRADO EUROPEU TAMANHO 1 PARA INSUFLAMENTO DE AR EM ALUMÍNIO COM REGISTRO - MARCA TROPICAL (OU SIMILAR OU SIMILAR - TROX, SEIMMEI, DIFUSAR) - MODELO: DQE-31-T1-RGA - FORNECIMENTO E INSTALAÇÃO</t>
  </si>
  <si>
    <t>DIFUSOR DE 4 VIAS DO TIPO QUADRADO EUROPEU TAMANHO 1 PARA INSUFLAMENTO DE AR EM ALUMÍNIO COM REGISTRO - MARCA TROPICAL (OU SIMILAR OU SIMILAR - TROX, SEIMMEI, DIFUSAR) - MODELO: DQE-41-T1-RGA</t>
  </si>
  <si>
    <t>DIFUSOR DE 4 VIAS DO TIPO QUADRADO EUROPEU TAMANHO 2 PARA INSUFLAMENTO DE AR EM ALUMÍNIO COM REGISTRO - MARCA TROPICAL (OU SIMILAR OU SIMILAR - TROX, SEIMMEI, DIFUSAR) - MODELO: DQE-41-T2-RGA</t>
  </si>
  <si>
    <t>DIFUSOR DE 4 VIAS DO TIPO QUADRADO EUROPEU TAMANHO 3 PARA INSUFLAMENTO DE AR EM ALUMÍNIO COM REGISTRO - MARCA TROPICAL (OU SIMILAR OU SIMILAR - TROX, SEIMMEI, DIFUSAR) - MODELO: DQE-41-T3-RGA</t>
  </si>
  <si>
    <t>DIFUSOR DE 4 VIAS DO TIPO QUADRADO EUROPEU TAMANHO 4 PARA INSUFLAMENTO DE AR EM ALUMÍNIO COM REGISTRO - MARCA TROPICAL (OU SIMILAR OU SIMILAR - TROX, SEIMMEI, DIFUSAR) - MODELO: DQE-41-T4-RGA</t>
  </si>
  <si>
    <t>GRELHA DE INSUFLAMENTO ALETAS VERTICAIS DE SIMPLES DEFLEXÃO COM REGISTRO EM ALUMÍNIO 0x0MM. MARCA TROPICAL MOD. SV-200x100-RGA (OU SIMILAR - TROX, SEIMMEI, DIFUSAR) -  FORNECIMENTO E INSTALAÇÃO</t>
  </si>
  <si>
    <t>ADAP CPOS 61.10.564</t>
  </si>
  <si>
    <t>Q.04.000.031442</t>
  </si>
  <si>
    <t>Grelha de insuflação ou retorno, dupla deflexão e registro, lâminas convergentes, aletas verticais ajustáveis individualmente, em alumínio anodizado, tamanho: até 0,1 m²; ref. mod. VAT-DG da Trox ou equivalente</t>
  </si>
  <si>
    <t>GRELHA DE RETORNO DE AR ALETAS HORIZONTAIS COM REGISTRO EM ALUMÍNIO 200x100MM. MARCA TROPICAL MOD. RHN-200x100-RGA (OU SIMILAR - TROX, SEIMMEI, DIFUSAR)</t>
  </si>
  <si>
    <t>GRELHA DE RETORNO DE AR ALETAS HORIZONTAIS COM REGISTRO EM ALUMÍNIO 300x200MM. MARCA TROPICAL MOD. RHN-300x200-RGA (OU SIMILAR - TROX, SEIMMEI, DIFUSAR)</t>
  </si>
  <si>
    <t>GRELHA DE RETORNO DE AR ALETAS HORIZONTAIS COM REGISTRO EM ALUMÍNIO 400x200MM. MARCA TROPICAL MOD. RHN-400x200-RGA (OU SIMILAR - TROX, SEIMMEI, DIFUSAR)</t>
  </si>
  <si>
    <t>GRELHA DE RETORNO DE AR ALETAS HORIZONTAIS COM REGISTRO EM ALUMÍNIO 400x300MM. MARCA TROPICAL MOD. RHN-400x300-RGA (OU SIMILAR - TROX, SEIMMEI, DIFUSAR)</t>
  </si>
  <si>
    <t>ADAP CPOS 61.10.565</t>
  </si>
  <si>
    <t>Q.04.000.031441</t>
  </si>
  <si>
    <t>GRELHA DE RETORNO DE AR ALETAS HORIZONTAIS COM REGISTRO EM ALUMÍNIO 300x400MM. MARCA TROPICAL MOD. RHN-300x400-RGA (OU SIMILAR - TROX, SEIMMEI, DIFUSAR)</t>
  </si>
  <si>
    <t>GRELHA DE RETORNO DE AR ALETAS HORIZONTAIS COM REGISTRO EM ALUMÍNIO 500x300MM. MARCA TROPICAL MOD. RHN-500x300-RGA (OU SIMILAR - TROX, SEIMMEI, DIFUSAR)</t>
  </si>
  <si>
    <t>GRELHA DE RETORNO DE AR ALETAS HORIZONTAIS COM REGISTRO EM ALUMÍNIO 600x300MM. MARCA TROPICAL MOD. RHN-600x300-RGA (OU SIMILAR - TROX, SEIMMEI, DIFUSAR)</t>
  </si>
  <si>
    <t>Grelha de insuflação ou retorno, dupla deflexão e registro, lâminas convergentes, aletas verticais ajustáveis individualmente, em alumínio anodizado, tamanho: acima de 0,1 até 0,5 m²; ref. mod. VAT-DG da Trox ou equivalente</t>
  </si>
  <si>
    <t>DUTO EM CHAPA DE AÇO GALVANIZADO Nº26, ESPESSURA 0,50MM COM ISOLAMENTO, PARA AR CONDICIONADO, COM SISTEMA DE VEDAÇÃO ESTANQUE, MONTADO COM SISTEMA FLANGEADO, REFERÊNCIA TDC POWERMATIC</t>
  </si>
  <si>
    <t>S.03.000.026664</t>
  </si>
  <si>
    <t>Chapa de aço galvanizado nas bitolas: nº 22, n° 24 e n° 26</t>
  </si>
  <si>
    <t xml:space="preserve">DUTO EM CHAPA DE AÇO GALVANIZADO Nº24, ESPESSURA 0,64MM COM ISOLAMENTO, PARA AR CONDICIONADO, COM SISTEMA DE VEDAÇÃO ESTANQUE, MONTADO COM SISTEMA FLANGEADO, REFERÊNCIA TDC POWERMATIC </t>
  </si>
  <si>
    <t>DUTO EM CHAPA DE AÇO GALVANIZADO Nº22, ESPESSURA 0,79MM COM ISOLAMENTO, PARA AR CONDICIONADO, COM SISTEMA DE VEDAÇÃO ESTANQUE, MONTADO COM SISTEMA FLANGEADO, REFERÊNCIA TDC POWERMATIC</t>
  </si>
  <si>
    <t>DUTO EM CHAPA DE AÇO GALVANIZADO Nº26, ESPESSURA 0,50MM, SEM ISOLAMENTO, PARA AR CONDICIONADO, COM SISTEMA DE VEDAÇÃO ESTANQUE, MONTADO COM SISTEMA FLANGEADO, REFERÊNCIA POWERMATIC</t>
  </si>
  <si>
    <t>ADAP CPOS 61.20.450</t>
  </si>
  <si>
    <t>DUTO EM CHAPA DE AÇO GALVANIZADO Nº24, ESPESSURA 0,64MM, SEM ISOLAMENTO, PARA AR CONDICIONADO, COM SISTEMA DE VEDAÇÃO ESTANQUE, MONTADO COM SISTEMA FLANGEADO, REFERÊNCIA POWERMATIC</t>
  </si>
  <si>
    <t>TRANSDUTOR DE TEMPERATURA E UMIDADE PARA MONTAGEM EM DUTOS IP65. CERTIFICADO DE CALIBRAÇÃO. O OUTPUT DEVE CONTER NO MÍNIMO O TBS E A UR. A PRECISÃO DEVE SER DE ±2 % NA MEDIÇÃO DE UR E DE ±0.2 °C NA MEDIÇÃO DE TEMPERATURA. SAÍDAS MODBUS E ANALÓGICA 4-20 MA.
REF. VAISALA HMD110 OU EQUIVALENTE TÉCNICO DWYER, IMI, BELIMO, AERIS</t>
  </si>
  <si>
    <t>COT12370</t>
  </si>
  <si>
    <t>TRANSDUTOR DE TEMPERATURA E UMIDADE PARA MONTAGEM NA PAREDE DO AMBIENTE (IP65). CERTIFICADO DE CALIBRAÇÃO. O OUTPUT DEVE CONTER NO MÍNIMO O TBS E A UR. A PRECISÃO DEVE SER DE ±1,7% NA MEDIÇÃO DE UR E DE ±0.2 °C NA MEDIÇÃO DE TEMPERATURA. SAÍDAS MODBUS E ANALÓGICA (4-20 MA).
REF. VAISALA HMW90 UR+T OU EQUIVALENTE TÉCNICO (DWYER, IMI, BELIMO, AERIS...).</t>
  </si>
  <si>
    <t>COT12371</t>
  </si>
  <si>
    <t>MONITOR/TRANSDUTOR PRESSÃO RELATIVA COM DISPLAY DIGITAL PARA MONTAGEM EM PAREDE (IP20). DEVE POSSUIR UMA INTERFACE GRÁFICA AO USUÁRIO QUE PERMITA O ACESSO A CONFIGURAÇÕES DE PRESSÃO, SEGURANÇA, CALIBRAÇÃO E ALARMES. A PRECISÃO DEVE SER DE ±12,5PA NA MEDIÇÃO DE PRESSÃO RELATIVA. DEVE OPERAR EM 24VAC.
REF. DWYER RSM OU EQUIVALENTE TÉCNICO (VAISALA, IMI, BELIMO, AERIS...).</t>
  </si>
  <si>
    <t>COT12372</t>
  </si>
  <si>
    <t>CONTROLE CENTRALIZADO - BACNET INTERFACE-INTEGRATED CONTROL SYSTEM CONENECTING VRV SYSTEM WITH BMS SYSTEM. REFERÊNCIA: DAIKIN DMS502B51</t>
  </si>
  <si>
    <t>COT108</t>
  </si>
  <si>
    <t>CARGA DE GÁS EXTRA DE REFRIGERANTE R410A</t>
  </si>
  <si>
    <t>I08151</t>
  </si>
  <si>
    <t>kg</t>
  </si>
  <si>
    <t>CABO BLINDADO 2VIAS # 0,75mm², PAR TRANÇADO, DUPLA BLINDAGEM E SEM POLARIDADE</t>
  </si>
  <si>
    <t>ADAP CPOS 39.12.510</t>
  </si>
  <si>
    <t>CABO BLINDADO 2VIAS # 0,75mm², PAR TRANÇADO, DUPLA BLINDAGEM E SEM POLARIDADE.</t>
  </si>
  <si>
    <t>INSUMO CPTM</t>
  </si>
  <si>
    <t>ELETROCALHA PERFURADA 100X100X3000MM - CH 18, INCLUSO CONEXÕES E SUPORTE DE FIXAÇÃO</t>
  </si>
  <si>
    <t>CPOS 38.21.310</t>
  </si>
  <si>
    <t>I03633</t>
  </si>
  <si>
    <t>ELETROCALHA PERFURADA 100X100X3000MM - CH 18</t>
  </si>
  <si>
    <t>CABO FLEXÍVEL ISOL. 750V  -  #1,0MM² - AFUMEX GREEN</t>
  </si>
  <si>
    <t>I02992</t>
  </si>
  <si>
    <t>Cabo cobre flexível, isolado, 1,0mm2 - 450/750V / 70º</t>
  </si>
  <si>
    <t>DISPOSITIVO PROTETOR CONTRA SURTOS (DPS) 10/350 45KA - 275V CLASSE I</t>
  </si>
  <si>
    <t>ADAP ORSE 8894</t>
  </si>
  <si>
    <t>DISPOSITIVO PROTETOR CONTRA SURTOS (DPS) 8/20 45KA - 275V CLASSE II</t>
  </si>
  <si>
    <t>ELETRODUTO FLEXÍVEL EM PEAD Ø1"</t>
  </si>
  <si>
    <t>ORSE S91859S</t>
  </si>
  <si>
    <t>PEDRA BRITA Nº2 PARA SUBESTAÇÃO DE ENERGIA, 20CM DE PROFUNDIDADE: 54M² DE COMPRIMENTO X0,2M DE PROFUNDIDADE</t>
  </si>
  <si>
    <t>LUMINÁRIA QUADRADA TIPO PLACA DE LED 30X30 CM DE EMBUTIR, 24W/127V - 1700 LM - 4000K - STH9954Q/40 - BIVOLT - STELLA OU SIMILAR.</t>
  </si>
  <si>
    <t>ADAP SBC 060121</t>
  </si>
  <si>
    <t>I14478</t>
  </si>
  <si>
    <t>LUMINÁRIA QUADRADA TIPO PLACA DE LED 30X30CM DE SOBREPOR, 24W/127V. REFERÊNCIA: STH21964Q/40 (STELLA).</t>
  </si>
  <si>
    <t>PONTO PARA CAMPAINHA EM CX. 4"X2"</t>
  </si>
  <si>
    <t>ADAP ORSE S07255</t>
  </si>
  <si>
    <t>PONTO PARA CAMPAINHA PARA BANHEIRO PNE EM CX. 4"X2"</t>
  </si>
  <si>
    <t>ARANDELA LUMIDEC REF. EX02S EM ALUM. EXTRUDADO, PINTURA MICROTEX. BRANCA, COM LÂMPADA LED DE BULBO 9W SOQUETE E27, INSTALADA A 2,10M DO PISO.</t>
  </si>
  <si>
    <t>ADAP SBC 061186</t>
  </si>
  <si>
    <t>I07291</t>
  </si>
  <si>
    <t>Arandela foco duplo, cor branco, ref: 40/2, Serra, Dimlux ou similar</t>
  </si>
  <si>
    <t>CABO AFUMEX 0,6/1KV 1 CONDUTOR 2,5mm2</t>
  </si>
  <si>
    <t>ADAP SBC 063401</t>
  </si>
  <si>
    <t>P.08.000.043051</t>
  </si>
  <si>
    <t>PLACA 4"X2" COM 1 TOMADA TIPO RJ45 CAT. 6</t>
  </si>
  <si>
    <t>ADAP ORSE 98307</t>
  </si>
  <si>
    <t>I12099</t>
  </si>
  <si>
    <t>TOMADA PARA LÓGICA RJ45 COM PLACA CAT 6</t>
  </si>
  <si>
    <t>PLACA 4"X2" COM 2 TOMADAS TIPO RJ45 CAT. 6</t>
  </si>
  <si>
    <t>ADAP SINAPI 98307</t>
  </si>
  <si>
    <t>I06635</t>
  </si>
  <si>
    <t>Conector rj-45 fêmea cat 6</t>
  </si>
  <si>
    <t>CABO FLEXÍVEL MULTIPOLAR ISOL. 1KV  - 4X#4,0MM² - AFUMEX (PARA ALIMENTAÇÃO MÁQUINAS DE AR)</t>
  </si>
  <si>
    <t>SBC 061004</t>
  </si>
  <si>
    <t>CABO FLEXÍVEL MULTIPOLAR ISOL. 1KV  - 4X#25MM² - AFUMEX (PARA ALIMENTAÇÃO MÁQUINAS DE AR)</t>
  </si>
  <si>
    <t>CAIXA DE PASSAGEM METÁLICA MEDINDO 40X40X12CM</t>
  </si>
  <si>
    <t>ADAP SBC 059044</t>
  </si>
  <si>
    <t>I004969</t>
  </si>
  <si>
    <t>00437/ORSE - Caixa de passagem em alumínio 40 x 40 x 20 cm</t>
  </si>
  <si>
    <t>PLACA 4"X4" COM 4 TOMADAS TIPO RJ45 CAT. 6</t>
  </si>
  <si>
    <t>ADAP ORSE S07792</t>
  </si>
  <si>
    <t>I07485</t>
  </si>
  <si>
    <t>TOMADA DUPLA RJ45 COMPLETA</t>
  </si>
  <si>
    <t>FABRICAÇÃO E INSTALAÇÃO DE ESTRUTURA PONTALETADA DE MADEIRA NÃO APARELHADA PARA TELHADOS COM ATÉ 2 ÁGUAS E PARA TELHA ONDULADA DE FIBROCIMENTO, METÁLICA, PLÁSTICA OU TERMOACÚSTICA, INCLUSO TRANSPORTE VERTICAL. AF_12/2015</t>
  </si>
  <si>
    <t>INSTALAÇÃO DE ISOLAMENTO COM LÃ DE ROCHA EM PAREDES DRYWALL. AF_06/2017</t>
  </si>
  <si>
    <t>SINAPI 96372</t>
  </si>
  <si>
    <t>F.07.000.024075</t>
  </si>
  <si>
    <t>Manta de lã de vidro e/ou lã de rocha de 2´</t>
  </si>
  <si>
    <t>PLACA DE OBRA EM CHAPA DE ACO GALVANIZADO</t>
  </si>
  <si>
    <t>SINAPI 74209/1 MARÇO 2019</t>
  </si>
  <si>
    <t>S4813</t>
  </si>
  <si>
    <t>ADMINISTRAÇÃO DE OBRA - EQUIPE DE APOIO</t>
  </si>
  <si>
    <t>LOCAÇÃO CONVENCIONAL DE OBRA, ATRAVÉS DE GABARITO DE TABUAS CORRIDAS PONTALETADAS, COM REAPROVEITAMENTO DE 3 VEZES</t>
  </si>
  <si>
    <t>ENTRADA PROVISORIA DE ENERGIA ELETRICA AÉREA TRIFASICA 40A EM POSTE DE MADEIRA</t>
  </si>
  <si>
    <t>SINAPI 41598</t>
  </si>
  <si>
    <t>S1062</t>
  </si>
  <si>
    <t>s11267</t>
  </si>
  <si>
    <t>C100032</t>
  </si>
  <si>
    <t>PAREDE DE COM TELHA METALICA TRAPEZOIDAL, ALTURA 40MM ESPESSURA 0,5MM PARA CONSTRUÇÃO TEMPORÁRIA, COM CHAPA DE MADEIRA INTERNA</t>
  </si>
  <si>
    <t>S7243</t>
  </si>
  <si>
    <t>C100033</t>
  </si>
  <si>
    <t>EXECUÇÃO DE SANITÁRIO EM ALVENARIA DE BLOCO DE CONCRETO PARA CANTEIRO DE OBRA, NÃO INCLUSO MOBILIÁRIO, CONFORME DETALHE DE PROJETO</t>
  </si>
  <si>
    <t>EXECUÇÃO DE ESCRITÓRIO EM CANTEIRO DE OBRA, NÃO INCLUSO MOBILIÁRIO, CONFORME DETALHE DE PROJETO</t>
  </si>
  <si>
    <t>EXECUÇÃO DE REFEITÓRIO EM CANTEIRO DE OBRA, NÃO INCLUSO MOBILIÁRIO, CONFORME DETALHE DE PROJETO</t>
  </si>
  <si>
    <t>EXECUÇÃO DE ALMOXARIFADO EM CANTEIRO DE OBRA, NÃO INCLUSO MOBILIÁRIO, CONFORME DETALHE DE PROJETO</t>
  </si>
  <si>
    <t>EXECUÇÃO DE CENTRAL DE ARMADURAS E DE FORMAS EM CANTEIRO DE OBRA, NÃO INCLUSO MOBILIÁRIO, CONFORME DETALHE DE PROJETO</t>
  </si>
  <si>
    <t>ESTRUTURA TRELIÇADA DE COBERTURA, COM LIGAÇÕES SOLDADAS, INCLUSOS PERFIS METÁLICOS, CHAPAS METÁLICAS, MÃO DE OBRA E TRANSPORTE COM GUINDASTE - FORNECIMENTO E INSTALAÇÃO. AF_01/2020_PSA</t>
  </si>
  <si>
    <t>SINAPI 100774</t>
  </si>
  <si>
    <t>S4777</t>
  </si>
  <si>
    <t>S1333</t>
  </si>
  <si>
    <t>S1332</t>
  </si>
  <si>
    <t>S10966</t>
  </si>
  <si>
    <t>COMPOSIÇÃO PARAMÉTRICA PARA EXECUÇÃO DE ESTRUTURAS DE CONCRETO ARMADO, PARA EDIFICAÇÃO INSTITUCIONAL TÉRREA, FCK = 25 MPA. AF_11/2022</t>
  </si>
  <si>
    <t xml:space="preserve">CABO FLEXÍVEL MULTIPOLAR ISOL. 1KV  - 4X#10MM² - AFUMEX (PARA ALIMENTAÇÃO MÁQUINAS DE AR) </t>
  </si>
  <si>
    <t>SBC 63436</t>
  </si>
  <si>
    <t>P.08.000.043054</t>
  </si>
  <si>
    <t>Cabo cobre flexível 10 mm², isolamento 0,6/1 kV - isolação HEPR 90°C, têmpera mole, classe 5, baixa emissão fumaça, ref. Cabos Afumex Prysmian; Atexsil Sil; ToxFree Conduspar ou equivalente</t>
  </si>
  <si>
    <t>CABO FLEXÍVEL MULTIPOLAR ISOL. 1KV  - 4X#120MM² - AFUMEX (PARA ALIMENTAÇÃO MÁQUINAS DE AR)</t>
  </si>
  <si>
    <t>SBC 63433</t>
  </si>
  <si>
    <t>CAIXA ENTERRADA PARA INSTALAÇÕES TELEFÔNICAS TIPO R1 E TAMPA PARA CAIXA TIPO R1, EM FERRO FUNDIDO, DIMENSÕES INTERNAS: 0,40 X 0,60 M - FORNECIMENTO E INSTALAÇÃO</t>
  </si>
  <si>
    <t>CAIXA DE PASSAGEM METÁLICA MEDINDO (30X30X10)CM</t>
  </si>
  <si>
    <t>SBC 61437</t>
  </si>
  <si>
    <t>S39772</t>
  </si>
  <si>
    <t>KIT DE PORTA DE MADEIRA PARA PINTURA, SEMI-OCA (LEVE OU MÉDIA), PADRÃO MÉDIO, 120X210CM, ESPESSURA DE 3,5CM, ITENS INCLUSOS: DOBRADIÇAS, MONTAGEM E INSTALAÇÃO DO BATENTE, SEM FECHADURA - FORNECIMENTO E INSTALAÇÃO</t>
  </si>
  <si>
    <t>ADAP SINAPI 91016</t>
  </si>
  <si>
    <t>PORTA COMPLETA DE MADEIRA PARA PINTURA, FOLHA MÉDIA, 01 FOLHA DE CORRER, 80X210CM, INCLUSO BATENTES, FERRAGENS E FECHADURA</t>
  </si>
  <si>
    <t>ADAP ORSE S8258</t>
  </si>
  <si>
    <t>PORTA COMPLETA DE MADEIRA PARA PINTURA, FOLHA MÉDIA, 01 FOLHA DE CORRER, 90X210CM, INCLUSO BATENTES, FERRAGENS E FECHADURA</t>
  </si>
  <si>
    <t>PORTA COMPLETA DE MADEIRA PARA PINTURA, FOLHA PESADA, 01 FOLHA DE CORRER, 90X210CM, INCLUSO BATENTES, FERRAGENS E FECHADURA</t>
  </si>
  <si>
    <t>PORTA COMPLETA DE MADEIRA, 02 FOLHAS DE ABRIR, 1,20(80+40)X210CM, COM PROTEÇÃO CHUMBO</t>
  </si>
  <si>
    <t>ADAP ORSE S12082</t>
  </si>
  <si>
    <t>MAT108300</t>
  </si>
  <si>
    <t>PORTA COMPLETA DE MADEIRA, 01 FOLHA DE ABRIR, 90X210CM, COM VISOR, COM PROTEÇÃO CHUMBO</t>
  </si>
  <si>
    <t>PORTA EM CHAPA LISA DE ALUMÍNIO ANODIZADO NATURAL/PRETO/BRANCO, COMUM, DE ABRIR OU CORRER</t>
  </si>
  <si>
    <t>ADAP ORSE S11956</t>
  </si>
  <si>
    <t>I12807</t>
  </si>
  <si>
    <t xml:space="preserve">Porta em chapa lisa de alumínio, cor N/P/B, comum, de abrir ou correr </t>
  </si>
  <si>
    <t>C200010</t>
  </si>
  <si>
    <t>CAIXILHO EM ALUMÍNIO PARA PELE DE VIDRO, TIPO FACHADA (STRUCTURAL GLAZING)</t>
  </si>
  <si>
    <t>ADAP CPOS 25.01.450</t>
  </si>
  <si>
    <t>H.05.000.027631</t>
  </si>
  <si>
    <t xml:space="preserve">Caixilho em alumínio anodizado natural para pele de vidro, linha Cittá da Alcoa ou equivalente </t>
  </si>
  <si>
    <t>C200011</t>
  </si>
  <si>
    <t>CAIXILHO EM ALUMÍNIO FIXO, TIPO FACHADA (STRUCTURAL GLAZING)</t>
  </si>
  <si>
    <t xml:space="preserve">ADAP CPOS 25.01.430 </t>
  </si>
  <si>
    <t>H.05.000.027629</t>
  </si>
  <si>
    <t xml:space="preserve">Caixilho em alumínio anodizado natural fixo, linha Cittá da Alcoa ou equivalente </t>
  </si>
  <si>
    <t>C200012</t>
  </si>
  <si>
    <t>CAIXILHO EM ALUMÍNIO MAXIM-AR, TIPO FACHADA (STRUCTURAL GLAZING), INCLUSO VIDRO LAMINADO FLOAT COM PELÍCULA PRATA</t>
  </si>
  <si>
    <t xml:space="preserve">ADAP CPOS 25.01.440 </t>
  </si>
  <si>
    <t>H.05.000.027630</t>
  </si>
  <si>
    <t xml:space="preserve">Caixilho em alumínio anodizado natural maxim-ar, linha Cittá da Alcoa ou equivalente </t>
  </si>
  <si>
    <t>CONJUNTO DE VIDRO (CV01) EM PERFIL DE ALUMÍNIO SERIE 45, COM PORTA PIVOTANTE DE VIDRO TEMPERADO LISO INCOLOR E=10MM, COM PELÍCULA DE SEGURANÇA, E FOLHAS FIXAS E FOLHAS PROJETANTES COM VIDRO TEMPERADO LISO INCOLOR E=6MM, DIMENSÃO 1634X260CM, CONFORME PROJETO</t>
  </si>
  <si>
    <t>CONJUNTO DE VIDRO (CV02) EM PERFIL DE ALUMÍNIO SERIE 45, COM PORTA PIVOTANTE 02 FOLHAS DE VIDRO TEMPERADO LISO INCOLOR E=10MM, COM PELÍCULA DE SEGURANÇA, E FOLHAS FIXAS E FOLHAS PROJETANTES COM VIDRO TEMPERADO LISO INCOLOR E=6MM, DIMENSÃO 794X260CM, CONFORME PROJETO</t>
  </si>
  <si>
    <t>CONJUNTO DE VIDRO (CV03) EM PERFIL DE ALUMÍNIO SERIE 32, COM PORTA PIVOTANTE DE VIDRO TEMPERADO LISO INCOLOR E=10MM, COM PELÍCULA DE SEGURANÇA, E FOLHAS FIXAS COM VIDRO TEMPERADO LISO INCOLOR E=10MM, DIMENSÃO 230X260CM, CONFORME PROJETO</t>
  </si>
  <si>
    <t>CONJUNTO DE VIDRO (CV04) EM PERFIL DE ALUMÍNIO SERIE 45, COM PORTA DE CORRER DE VIDRO TEMPERADO LISO INCOLOR E=10MM, E FOLHAS FIXAS COM VIDRO TEMPERADO LISO INCOLOR E=10MM, DIMENSÃO 333X210CM, CONFORME PROJETO</t>
  </si>
  <si>
    <t>ADAP CPOS 25.01.440 + ADAP ORSE S14051</t>
  </si>
  <si>
    <t>I14890</t>
  </si>
  <si>
    <t>Porta de correr em vidro temperado incolor 10mm, inclusive fechadura, puxador, trilhos e roldanas</t>
  </si>
  <si>
    <t>VISOR PLUMBÍFERO 50X30CM COM BLINDAGEM DE CHUMBO - FIXO</t>
  </si>
  <si>
    <t xml:space="preserve">ADAP ORSE S04895 </t>
  </si>
  <si>
    <t>I04702</t>
  </si>
  <si>
    <t>GUICHÊ DE ALUMÍNIO ANODIZADO, 02 FOLHAS DE ABRIR, 80X120CM</t>
  </si>
  <si>
    <t>ADAP SP EDU 05.05.078</t>
  </si>
  <si>
    <t>MAT066500</t>
  </si>
  <si>
    <t xml:space="preserve">Guiche em aluminio anodizado fosco, tipo guilhotina, medindo (100x100)cm </t>
  </si>
  <si>
    <t>PORTÃO DE CORRER EM TELA ONDULADA DE AÇO GALVANIZADO, SOB MEDIDA</t>
  </si>
  <si>
    <t>ADAP CPOS 24.02.280</t>
  </si>
  <si>
    <t>H.04.000.031224</t>
  </si>
  <si>
    <t xml:space="preserve">Porta/portão correr tela ondulada em aço galvanizado sobmedida </t>
  </si>
  <si>
    <t>CARGA MANUAL E REMOÇÃO DE ENTULHO, INCLUSIVE TRANSPORTE ATÉ 1 KM</t>
  </si>
  <si>
    <t>CUMEEIRA TRAPEZOIDAL EM AÇO GALVANIZADO ESP=0,5MM, REVESTIMENTO B, H=40MM, L=0,60 M</t>
  </si>
  <si>
    <t>CUMEEIRA AÇO GALV. TRAPEZOIDAL E=0,5MM - H=40MM - L=0,60M</t>
  </si>
  <si>
    <t>BARRA DE APOIO, RETA, FIXA, EM AÇO INOX, L=40CM, D=1 1/4" - JACKWAL OU SIMILAR - FORNC. E INST.</t>
  </si>
  <si>
    <t>Barra de apoio, reta, fixa, em aço inox, l=40cm, d=1 1/4" - Jackwal ou simila r</t>
  </si>
  <si>
    <t>BARRA DE APOIO, ALUMÍNIO, PARA LAVATÓRIO, EM "U" L=30 CM (BARRAS COM DIÂMETRO ENTRE 3,0 E 4,5 CM)</t>
  </si>
  <si>
    <t>Barra de apoio para lavatório, constituída de barra lateral tipo "U", em aço polido, l=30cm, Sicmol ou similar</t>
  </si>
  <si>
    <t>JANELA DE ALUMÍNIO ANODIZADO NATURAL DE CORRER, EM PERFIS SERIE 32, COM VIDRO TEMPERADO INCOLOR E=6MM - FORNECIMENTO E COLOCAÇÃO</t>
  </si>
  <si>
    <t>ADAP EMOP 14.003.0025-0 + ADAP CPTM 02.01.08.101.132</t>
  </si>
  <si>
    <t>PISO PORCELANATO, COR OFF WHITE, 60X60CM COM REJUNTE BRANCO A BASE EPÓXI, RETIFICADO EXTRA, ABSORÇÃO DE ÁGUA MENOR OU IGUAL A 0,5% E COEFICIENTE DE ATRITO MAIOR OU IGUAL A 0,4.</t>
  </si>
  <si>
    <t>ADAP SINAPI 87262</t>
  </si>
  <si>
    <t>G.02.000.034590</t>
  </si>
  <si>
    <t xml:space="preserve">Porcelanato técnico natural, com acabamento retificado, indicado para áreas internas e ambientes com acesso ao exterior, grupo de absorção BIa; ref. Eliane, Incepa ou equivalente </t>
  </si>
  <si>
    <t xml:space="preserve">RODAPÉ DE PISO PORCELANATO, COR OFF WHITE, 60X60CM COM REJUNTE BRANCO A BASE EPÓXI, RETIFICADO EXTRA, ABSORÇÃO DE ÁGUA MENOR OU IGUAL A 0,5% E COEFICIENTE DE ATRITO MAIOR OU IGUAL A 0,4., H=10CM </t>
  </si>
  <si>
    <t>REVESTIMENTO CERÂMICO PARA PAREDE 10X10cm, REF. STRUFALDI, APLICADO COM ARGAMASSA INDUSTRIALIZADA AC-III E REJUNTE CIMENTÍCIO.</t>
  </si>
  <si>
    <t>ADAP EMOP 13.030.0255-0</t>
  </si>
  <si>
    <t>REVESTIMENTO CERAMICO (10X10)CM,PLACA TELADA FORMATO (30X30)CM,BRANCO,CINZA,BEGE,CREME,AZUL,MARROM E PRETO,ABNT NBR16928</t>
  </si>
  <si>
    <t>INSTALAÇÃO DE REFORÇO DE MADEIRA PARA PORTAS DE MADEIRA EM PAREDE DRYWALL</t>
  </si>
  <si>
    <t>ADAP SINAPI 96374</t>
  </si>
  <si>
    <t xml:space="preserve">VERGA MOLDADA IN LOCO EM CONCRETO, FCK 30MPA, ESPESSURA DE *15* CM, CONFORME DETALHE </t>
  </si>
  <si>
    <t>GUIA DE CABOS PADRÃO 19”, FABRICADO EM CHAPA DE AÇO COM ESPESSURA DE 1,5MM, PINTURA EM EPÓXI , COR PRETA, ALTURA DE 2 US (80 MM), DEVERÁ SER DA MESMA MARCA DO PATCH PANEL.</t>
  </si>
  <si>
    <t>CPOS 66.20.150</t>
  </si>
  <si>
    <t>I002587</t>
  </si>
  <si>
    <t>RÉGUA DE TOMADAS 6 PADRÃO BRASILEIRO (PARA RACK)</t>
  </si>
  <si>
    <t>ADAP SBC 059458</t>
  </si>
  <si>
    <t>I11042</t>
  </si>
  <si>
    <t>RÉGUA (FILTRO DE LINHA) COM 6 TOMADAS 2P+T</t>
  </si>
  <si>
    <t>CERTIFICAÇÃO DO CABEAMENTO HORIZONTAL CONFORME NORMAS PARA ATENDIMENTO DA CAT. 6</t>
  </si>
  <si>
    <t>ADAP SBC 059449</t>
  </si>
  <si>
    <t>SWITCH 24 PORTAS 10/100/1000, MARCA HP , REF. J9561 BR</t>
  </si>
  <si>
    <t>ADAP ORSE S10726</t>
  </si>
  <si>
    <t>P.17.000.031490</t>
  </si>
  <si>
    <t>SWITCH 24 ETHERNET 10/100/1000 POE+ PORTS; 4 10 GIG SFP+; POE+; DOUBLE HOT SWAPPABLE AC/DC POWER SUPPLIES, ONE 500W AC OR 650W DC POWER MODULE IS CONFIGURED BY DEFAULT; FORWARDING PERFORMANCE: 132 MPPS; SWITCHING CAPACITY: 336GBPS. O SWITCH DEVE POSSUIR COMPATIBILIDADE COM AS TECNOLOGIAS: MÚLTIPLAS VLAN´S, GERENCIAMENTO VIA INTERFACE WEB E PORTA CONSOLE, QOS. MODELO: S5720-52X-PWR-SI-AC.</t>
  </si>
  <si>
    <t>ADAP ORSE S12791</t>
  </si>
  <si>
    <t>I13510</t>
  </si>
  <si>
    <t>GRAVADOR DIGITAL DE VÍDEO - SISTEMAS DE MONITORAMENTO, NVD 3016 COM 2 HD 6TB PARA 16 CÂMERAS</t>
  </si>
  <si>
    <t>I008551</t>
  </si>
  <si>
    <t>CÂMERA DE SEGURANÇA DIGITAL IP - VIP S3020, COM ALIMENTAÇÃO POE, VIDE MEMORIAL DESCRITIVO COM CAIXA DE PROTEÇÃO PARA USO INTERNA A , A SEGURANÇA É EM ALTA DEFINIÇÃO, COM RESOLUÇÃO DE 720P (HD) E TECNOLOGIA DE VARREDURA PROGRESSIVA QUE OFERECE MAIS NITIDEZ E DETALHES PARA AS IMAGENS. CÂMERA BULLET COM IR INTELIGENTE DE 20 METROS, QUE GARANTE IMAGENS MAIS NÍTIDAS E ILUMINAÇÃO UNIFORME NO MODO NOITE.</t>
  </si>
  <si>
    <t>ADAP ORSE 11519</t>
  </si>
  <si>
    <t>P.17.000.030562</t>
  </si>
  <si>
    <t>ACCESS POINT - PADRÃO IEEE 802.11A/B/G/N/AC, COM OPERAÇÃO NAS FREQUÊNCIAS 2.4 GHZ E 5GHZ DE FORMA SIMULTÂNEA. DEVE SUPORTAR A UTILIZAÇÃO DE SISTEMA ANTIFURTO DO TIPO KENSINGTON LOCK OU SIMILAR QUE PERMITA A INSTALAÇÃO DE UM CABO DE SEGURANÇA COM A FINALIDADE DE EVITAR FURTO DO EQUIPAMENTO</t>
  </si>
  <si>
    <t>CPOS 66.08.258</t>
  </si>
  <si>
    <t>P.17.000.031477</t>
  </si>
  <si>
    <t>CENTRAL DE CHAMADA DE ENFERMAGEM MODELO ECONÔMICO ESSENCIAL, PARA ATÉ 16 PONTOS DE ACIONAMENTO.</t>
  </si>
  <si>
    <t>I07955</t>
  </si>
  <si>
    <t>FONTE DE ENERGIA 12VCC / 220V</t>
  </si>
  <si>
    <t>ADAP ORSE 10724</t>
  </si>
  <si>
    <t>I10096</t>
  </si>
  <si>
    <t>Alarme Banheiro Pne Deficiente Físico Conforme Nbr 9050 com acionador</t>
  </si>
  <si>
    <t>ESTAÇÃO DE CHAMADA DE LEITO SISTEMA ECONÔMICO, EM CX. 4"X2" C/ CORDEL - REFERÊNCIA ESSENCIAL E SUPREMO</t>
  </si>
  <si>
    <t>ADAP ORSE S11211</t>
  </si>
  <si>
    <t>I12095</t>
  </si>
  <si>
    <t>SINALEIRO DE PORTA SD001 SISTEMA ECONÔMICO, INSTALADO EM CAIXA 4X2" - REFERÊNCIA SUPREMO</t>
  </si>
  <si>
    <t>ORSE S08444</t>
  </si>
  <si>
    <t>I08599</t>
  </si>
  <si>
    <t>SINALEIRO DE PORTA SD001 SISTEMA ECONÔMICO - REFERÊNCIA SUPREMO</t>
  </si>
  <si>
    <t>TABELA DE COTAÇÃO DE INSUMOS / SERVIÇOS ESPECIALIZADOS NÃO CONTEMPLADOS PELAS TABELAS SECID</t>
  </si>
  <si>
    <t>FORNECEDOR 1</t>
  </si>
  <si>
    <t>FORNECEDOR 2</t>
  </si>
  <si>
    <t>FORNECEDOR 3</t>
  </si>
  <si>
    <t>FORNECEDOR 4</t>
  </si>
  <si>
    <t>MEDIANA PREÇO R$</t>
  </si>
  <si>
    <t>DATA DA COTAÇÃO</t>
  </si>
  <si>
    <t>EMPRESA</t>
  </si>
  <si>
    <t>DAIKIN</t>
  </si>
  <si>
    <t>SAMSUNG</t>
  </si>
  <si>
    <t>AR-COTEC</t>
  </si>
  <si>
    <t>NOVAIR</t>
  </si>
  <si>
    <t>CONTATO</t>
  </si>
  <si>
    <t>Ruann</t>
  </si>
  <si>
    <t>Thiago</t>
  </si>
  <si>
    <t>TELEFONE / E-MAIL / SITE</t>
  </si>
  <si>
    <t>ruann.cardozo@daikin.com.br</t>
  </si>
  <si>
    <t>t.caroba@samsung.com</t>
  </si>
  <si>
    <t>https://arcotec.com.br/produto/refinets-modelo-daikin-nvdk-com-isolamento/</t>
  </si>
  <si>
    <t>https://www.novairlojavirtual.com.br/junta-de-derivacao/nvdk22t-junta-de-derivacao-y?srsltid=AfmBOoopXAClAlw5gvD9xobTiF8rsf-bwU2fdxxjqfggu6aVFzTlCxt8</t>
  </si>
  <si>
    <t>DESCRIÇÃO DO INSUMO / SERVIÇO ESPECIALIZADO</t>
  </si>
  <si>
    <t>R$ UNITÁRIO</t>
  </si>
  <si>
    <t>COTAÇÕES DE REFERÊNCIA PARA DESCARTE VISANDO REDUZIR VARIAÇÕES E DISCREPÂNCIAS  NOS VALORES</t>
  </si>
  <si>
    <t>HITACHI</t>
  </si>
  <si>
    <t xml:space="preserve">ENCLIMAR
</t>
  </si>
  <si>
    <t>ZALUSKI E CIA</t>
  </si>
  <si>
    <t>Marcelo</t>
  </si>
  <si>
    <t>Mauricio</t>
  </si>
  <si>
    <t>marcelo@connectacwb.com.br</t>
  </si>
  <si>
    <t>ENCLIMAR</t>
  </si>
  <si>
    <t>DUFRIO</t>
  </si>
  <si>
    <t>FRIGELAR</t>
  </si>
  <si>
    <t>ARCOTEC</t>
  </si>
  <si>
    <t>www.dufrio.com.br</t>
  </si>
  <si>
    <t>https://www.frigelar.com.br/valvula-esferica-danfoss-gbc-3-8-solda-com-porta-acesso-tipo-schrader/p/kit3679?srsltid=AfmBOoqwz_HiRkMhKf6pct3Z7W_FaMCP9unZZlhDmIskXhstB28QCv2Q</t>
  </si>
  <si>
    <t>www.arcotec.com</t>
  </si>
  <si>
    <t>www.frigelar.com.br</t>
  </si>
  <si>
    <t>ELETROFRIGOR</t>
  </si>
  <si>
    <t>FRIO PEÇAS</t>
  </si>
  <si>
    <t>JETFRIO</t>
  </si>
  <si>
    <t>https://www.eletrofrigor.com.br/produto/valvula-esfera-3-4-solda-gbc18s-danfoss-009l7054-5577</t>
  </si>
  <si>
    <t>https://www.friopecas.com.br/valvula-esfera-danfoss-com-schrader-gbc-3-4/p</t>
  </si>
  <si>
    <t>https://jetfrio.com.br/produtos/valvula-esfera-gbc-3-4-18s-danfoss/?variant=672022507&amp;pf=mc&amp;srsltid=AfmBOorZvRV_7MASRKRhppVo0mVEsStr6rk_PI2sghVUY9nfc7Z8ArIVqu8</t>
  </si>
  <si>
    <t>LOJA DO MECANICO</t>
  </si>
  <si>
    <t>DUTRA MAQUINAS</t>
  </si>
  <si>
    <t>DAAZ ROLAMENTOS</t>
  </si>
  <si>
    <t>https://www.lojadomecanico.com.br/produto/145043/43/456/pistola-de-ar-comprimido-para-limpeza-14-pol-bico-curto-stels-5733055/153/?utm_source=google&amp;utm_medium=cpc&amp;utm_campaign=MONKS_GG_F_PMAX_Ferramentas_Pneumaticas&amp;utm_content=Compressor_Pneumaticas&amp;utm_source=google&amp;utm_medium=cpc&amp;utm_campaign=MONKS_GG_F_PMAX_Ferramentas_Pneumaticas&amp;utm_content=Compressor_Pneumaticas&amp;gad_source=1&amp;gad_campaignid=22108856088&amp;gbraid=0AAAAADsnw5aTGQ_BsyNqzDnqq0ok9ahmk&amp;gclid=CjwKCAjw04HIBhB8EiwA8jGNbSIbxQcFgDrFsxDdTMyERpGUOgsiz3xItFv02VDNEud2of0_6NEIehoCIgoQAvD_BwE</t>
  </si>
  <si>
    <t>https://www.dutramaquinas.com.br/p/pistola-de-ar-para-limpeza-bico-curto-com-corpo-em-aluminio-5733055</t>
  </si>
  <si>
    <t>https://www.daazrolamentos.com/pistola-pulverizadora-14-garden-36055?parceiro=7201&amp;utm_source=&amp;utm_medium=&amp;utm_campaign=&amp;utm_content=&amp;utm_term=&amp;gad_source=1&amp;gad_campaignid=22588863088&amp;gbraid=0AAAAAofPffh_WzMzxQo-eUuz7LPfu7tu0&amp;gclid=CjwKCAjw04HIBhB8EiwA8jGNbVTy8NfoKxQBYVmIXFieSIxZIRsbZMJRThHtpDI2ZqCS-JYXURxGfhoC8cUQAvD_BwE</t>
  </si>
  <si>
    <t>TRAYDUS</t>
  </si>
  <si>
    <t>BERLINER LUFT</t>
  </si>
  <si>
    <t>TROX</t>
  </si>
  <si>
    <t>Fabiano</t>
  </si>
  <si>
    <t>Elaine</t>
  </si>
  <si>
    <t>Felipe</t>
  </si>
  <si>
    <t>fabiano@engmecrepresentacoes.com.br</t>
  </si>
  <si>
    <t>elaine@vereda.ind.br</t>
  </si>
  <si>
    <t>felipe@engearpr.com.br</t>
  </si>
  <si>
    <t>INDUSTRIAS TOSI</t>
  </si>
  <si>
    <t>THAIS</t>
  </si>
  <si>
    <t>thais.augusto@industriastosi.com.br</t>
  </si>
  <si>
    <t>AIRSIDE</t>
  </si>
  <si>
    <t>TROPICAL RIO</t>
  </si>
  <si>
    <t>PROJELMEC</t>
  </si>
  <si>
    <t>Celiane</t>
  </si>
  <si>
    <t>marcelo@tropicalrio.com.br</t>
  </si>
  <si>
    <t>vendas@engearpr.com.br</t>
  </si>
  <si>
    <t>Engear</t>
  </si>
  <si>
    <t>SPEED AIR</t>
  </si>
  <si>
    <t>ASMONTEC</t>
  </si>
  <si>
    <t>CONTROLAR</t>
  </si>
  <si>
    <t>LARISSA VASCONCELOS</t>
  </si>
  <si>
    <t>Murilo</t>
  </si>
  <si>
    <t>ELAINE (VEREDA)</t>
  </si>
  <si>
    <t>19 99743.2682</t>
  </si>
  <si>
    <t>NOVA EXAUSTORES</t>
  </si>
  <si>
    <t>BONATI COMPANY</t>
  </si>
  <si>
    <t>FRIO SHOPPING</t>
  </si>
  <si>
    <t>https://www.novaexaustores.com.br/exaustores/exaustor-para-banheiro-mega-25-bivolt?_gl=1*87nzhl*_up*MQ..*_gs*MQ..&amp;gclid=Cj0KCQjwovPGBhDxARIsAFhgkwSJ1uEYuTyZ-D8md9ufVPHxXEVzrgkb0LBAJpbo6IgR4iqv0NnvD5saAvHfEALw_wcB&amp;gbraid=0AAAAACyAR0S1JT18IbRppkhAEvuB3_Hfm</t>
  </si>
  <si>
    <t>https://www.bonaticompany.com.br/ventilacao/exaustor-para-banheiro-mega-18-bivolt-sicflux</t>
  </si>
  <si>
    <t>https://www.frioshopping.com/exaustores/exaustores-compactos/linha-mega/exaustor-para-banheiro-mega-10-bivolt</t>
  </si>
  <si>
    <t>VENTILADOR COMPACTO AXIAL PARA INSTALAÇÃO EM FORRO - VAZÃO 95M3/H - 220V - 18W - 60HZ. REFERÊNCIA: SICFLUX MEGA 10 OU OUTRO EQUIVALENTE (MULTIVAC)</t>
  </si>
  <si>
    <t xml:space="preserve">NOVAIR </t>
  </si>
  <si>
    <t>CENTRAL AR</t>
  </si>
  <si>
    <t>ARCONTEC</t>
  </si>
  <si>
    <t>https://www.novairlojavirtual.com.br/junta-de-derivacao/nvdk33t-junta-de-derivacao-y?srsltid=AfmBOoq4Lkg6vMyKi6_37imKKXm-LgNxXI94zX3FbJ895Zuzej921qCn</t>
  </si>
  <si>
    <t>https://www.centralar.com.br/p/refnet-conexao-de-cobre-para-vrv-daikin-khrp26a33t7.html?srsltid=AfmBOoq_siHC70Kdp849g_P5VqnPVaIYZeSrnPumKNzADPMZfjZWyh9d</t>
  </si>
  <si>
    <t>09//09/2025</t>
  </si>
  <si>
    <t>CONGELAR CONDICIONADO</t>
  </si>
  <si>
    <t>https://loja.congelarcondicionado.com.br/produto/refnet-conexao-de-cobre-para-vrv-daikin-khrp26a22t7/</t>
  </si>
  <si>
    <t>VALMIG</t>
  </si>
  <si>
    <t>ARVAC</t>
  </si>
  <si>
    <t>ICETAR</t>
  </si>
  <si>
    <t>INSTLAMED</t>
  </si>
  <si>
    <t>Hiarley</t>
  </si>
  <si>
    <t>Alexandre</t>
  </si>
  <si>
    <t>CELSO</t>
  </si>
  <si>
    <t>hiarley.silva@valmig.com</t>
  </si>
  <si>
    <t>comercial@arvac.com.br</t>
  </si>
  <si>
    <t>11 5071-2395</t>
  </si>
  <si>
    <t>43-33560279</t>
  </si>
  <si>
    <t>SISTEMA CENTRAL DE AR COMPRIMIDO MEDICINAL, DE CAPACIDADE MÍNIMA DE OPERAÇÃO DE 12M³/H, CONTENDO: 
- FILTRO DE ASPIRAÇÃO;
 - COMPRESSORES DE AR (OPERAÇÃO E BACKUP) DO TIPO PISTÃO ISENTOS DE ÓLEO COM VAZÃO DE OPERAÇÃO;
 - CONJUNTO DE FILTRAGEM; 
- SECADOR POR ADSORÇÃO; 
- RESERVATÓRIO DE AR COMPRIMIDO; 
- SISTEMA DE REGULAGEM DE PRESSÃO;
 - PAINEL DE ALARME OPERACIONAL COM TRANSMISSOR DE PRESSÃO DADOS TÉCNICOS:  1810KG - MONOFÁSICA - 4,6KW  - 220V - 60HZ DIMENSÃO: 2100x2000x2800MM (A x L x P). REF: VALMIG AIRMED-STD-12D OU EQUIVALENTE TÉCNICO</t>
  </si>
  <si>
    <t>PRINCE VENTILADORES</t>
  </si>
  <si>
    <t>DIFUSOR AR CONDICIONADO</t>
  </si>
  <si>
    <t>www.ventilador.com.br</t>
  </si>
  <si>
    <t>www.novaexaustores.com.br</t>
  </si>
  <si>
    <t>www.difusor.com</t>
  </si>
  <si>
    <t>REGULADOR DE VAZÃO DE AR PARA INSTALAÇÃO EM TETO, EM PLÁSTICO ABS, DIÂMETRO NOMINAL Ø100. REFERÊNCIA: SICFLUX RVA100 OU EQUIVALENTE TÉCNICO (MULTIVAC DVK-100, OTAM BOC-100 OU OUTRO)</t>
  </si>
  <si>
    <t>DIGITROL</t>
  </si>
  <si>
    <t>HOBECO</t>
  </si>
  <si>
    <t>VALE AUTOMACAO INDUSTRIAL</t>
  </si>
  <si>
    <t>Antonio</t>
  </si>
  <si>
    <t>Jonatan</t>
  </si>
  <si>
    <t>(11) 3511-2626</t>
  </si>
  <si>
    <t>nascimento@hobeco.net</t>
  </si>
  <si>
    <t>jonatan.lourenco@valeautomacao.com</t>
  </si>
  <si>
    <t>MERCATO</t>
  </si>
  <si>
    <t>INSTRUCAMP</t>
  </si>
  <si>
    <t>AERIS</t>
  </si>
  <si>
    <t>CAREL</t>
  </si>
  <si>
    <t>Leonardo</t>
  </si>
  <si>
    <t>FERNANDO</t>
  </si>
  <si>
    <t>51) 3115.9850</t>
  </si>
  <si>
    <t>(19) 3744-2929</t>
  </si>
  <si>
    <t>16 3415-4857</t>
  </si>
  <si>
    <t>(19) 9 9739-8525</t>
  </si>
  <si>
    <t>TRANSDUTOR DE TEMPERATURA E UMIDADE PARA MONTAGEM NA PAREDE DO AMBIENTE (IP65). CERTIFICADO DE CALIBRAÇÃO. O OUTPUT DEVE CONTER NO MÍNIMO O TBS E A UR. A PRECISÃO DEVE SER DE ±1,7% NA MEDIÇÃO DE UR E DE ±0.2 °C NA MEDIÇÃO DE TEMPERATURA. SAÍDAS MODBUS E ANALÓGICA (4-20 MA). REF. VAISALA HMW90 UR+T OU EQUIVALENTE TÉCNICO (DWYER, IMI, BELIMO, AERIS...).</t>
  </si>
  <si>
    <t>MONITOR/TRANSDUTOR PRESSÃO RELATIVA COM DISPLAY DIGITAL PARA MONTAGEM EM PAREDE (IP20). DEVE POSSUIR UMA INTERFACE GRÁFICA AO USUÁRIO QUE PERMITA O ACESSO A CONFIGURAÇÕES DE PRESSÃO, SEGURANÇA, CALIBRAÇÃO E ALARMES. A PRECISÃO DEVE SER DE ±12,5PA NA MEDIÇÃO DE PRESSÃO RELATIVA. DEVE OPERAR EM 24VAC. REF. DWYER RSM OU EQUIVALENTE TÉCNICO (VAISALA, IMI, BELIMO, AERIS...).</t>
  </si>
  <si>
    <t>CÓDIGO</t>
  </si>
  <si>
    <t>FONTE</t>
  </si>
  <si>
    <t>UND</t>
  </si>
  <si>
    <t>QUANTIDADE</t>
  </si>
  <si>
    <t>PREÇO
UNITÁRIO R$</t>
  </si>
  <si>
    <t>I11095</t>
  </si>
  <si>
    <t>BARRA CHATA DE ALUMINIO 7/8" X 1/8"</t>
  </si>
  <si>
    <t>ORSE</t>
  </si>
  <si>
    <t>I09354</t>
  </si>
  <si>
    <t>conector unha</t>
  </si>
  <si>
    <t>I09721</t>
  </si>
  <si>
    <t>CAIXA DE EQUIPOTENCIALIDADE METÁLICA MED.(40X40X10)CM C/ BARR. P/ 400A P/ EQUIPOTÊNCIALIDADE DO ATERRAMENTOS</t>
  </si>
  <si>
    <t>I10692</t>
  </si>
  <si>
    <t>PÁRA-RAIOS POLIMÉRICOS CLASSE 15KV-C/ SUPORTE</t>
  </si>
  <si>
    <t>Un</t>
  </si>
  <si>
    <t>I41200S</t>
  </si>
  <si>
    <t>POSTE DE CONCRETO ARMADO, SEÇÃO DUPLO "T" 10,5M TIPO B/600 DAN</t>
  </si>
  <si>
    <t>SP Obras</t>
  </si>
  <si>
    <t>PATCH CORD RJ45 - RJ45 CAT.6 A, FLEXÍVEL, 4 PARES, NA COR AMARELO, COMPRIMENTO DE 1 METRO - CFTV</t>
  </si>
  <si>
    <t>SIURB</t>
  </si>
  <si>
    <t>SBC</t>
  </si>
  <si>
    <t>I9797</t>
  </si>
  <si>
    <t>FONTE DE ENERGIA 12VCC / 220V - 5A</t>
  </si>
  <si>
    <t>SEINFRA</t>
  </si>
  <si>
    <t>MATED-11881</t>
  </si>
  <si>
    <t>PERFILADO PERFURADO 38X38X6000MM CHAPA 18</t>
  </si>
  <si>
    <t>SETOP</t>
  </si>
  <si>
    <t>I12094</t>
  </si>
  <si>
    <t>BOTÃO DO PACIENTE PARA ESTAÇÃO DE LEITO</t>
  </si>
  <si>
    <t>CENTRAL DE POSTO DE ENFERMAGEM COM 64 PONTOS</t>
  </si>
  <si>
    <t>EMOP</t>
  </si>
  <si>
    <t>I12096</t>
  </si>
  <si>
    <t>SINALEIRO PARA CHAMADA DE ENFERMAGEM</t>
  </si>
  <si>
    <t>E00103</t>
  </si>
  <si>
    <t>Suporte isolador reforçado p/mastro c/1 ou 2 descidas Material</t>
  </si>
  <si>
    <t>SEDOP</t>
  </si>
  <si>
    <t>I12198</t>
  </si>
  <si>
    <t>ABRAÇADEIRA TIPO PORTA BANDEIRA REFORÇADA</t>
  </si>
  <si>
    <t>P.19.000.042236</t>
  </si>
  <si>
    <t>Apoio para mastro em aço galvanizado de 2´</t>
  </si>
  <si>
    <t>CABO FLEXÍVEL ISOL. 750V - #1,0MM² - AFUMEX</t>
  </si>
  <si>
    <t>CARTUCHO PÓ EXOTERMICO P90</t>
  </si>
  <si>
    <t>I10101</t>
  </si>
  <si>
    <t>QPDG - QUADRO DE DISTRIBUIÇÃO EM CHAPA DE AÇO 16USG, PINTURA EM EPÓXI COR BEGE, COM TRINCO, BARRAMENTOS EM COBRE, ESPELHO INTERNO C/ PLAQUETAS DE IDENTIFICAÇÃO EM ACRÍLICO PARA CADA CIRCUITO E PORTA PROJETO. DEVERÁ ATENDER O SOLICITADO NO DIAGRAMA UNIFILAR EM PROJETO.</t>
  </si>
  <si>
    <t>I10103</t>
  </si>
  <si>
    <t>QD-AC-1 QUADRO DE DISTRIBUIÇÃO EM CHAPA DE AÇO 16USG, PINTURA EM EPÓXI COR BEGE, COM TRINCO, BARRAMENTOS EM COBRE, ESPELHO INTERNO C/ PLAQUETAS DE IDENTIFICAÇÃO EM ACRÍLICO PARA CADA CIRCUITO E PORTA PROJETO. DEVERÁ ATENDER O SOLICITADO NO DIAGRAMA UNIFILAR EM PROJETO.</t>
  </si>
  <si>
    <t>I10105</t>
  </si>
  <si>
    <t>P.04.000.062055</t>
  </si>
  <si>
    <t>ELETROCALHA DE AÇO GALVANIZADO ELETROLÍTICO PERFURADA 100X100MM CHAPA #18</t>
  </si>
  <si>
    <t>P.04.000.062057</t>
  </si>
  <si>
    <t>ELETROCALHA DE AÇO GALVANIZADO ELETROLÍTICO PERFURADA 200X100MM CHAPA #18</t>
  </si>
  <si>
    <t>P.04.000.062059</t>
  </si>
  <si>
    <t>ELETROCALHA DE AÇO GALVANIZADO ELETROLÍTICO PERFURADA 300X100MM CHAPA #16</t>
  </si>
  <si>
    <t>CABO DE COBRE 4,00 MM2 - ISOLAMENTO PARA 750V - AFUMEX - CLASSE 5 - FLEXÍVEL - ISOLAÇÃO EM HEPR 90 C</t>
  </si>
  <si>
    <t>CABO DE COBRE 6,00 MM2 - ISOLAMENTO PARA 750V - AFUMEX - CLASSE 5 - FLEXÍVEL - ISOLAÇÃO EM HEPR 90 C</t>
  </si>
  <si>
    <t>NO - BREAK TRIFÁSICO 25KVA, 220V- A SER ESPECIFICADO E FORNECIDO PELO HOSPITAL</t>
  </si>
  <si>
    <t>P.27.000.043671</t>
  </si>
  <si>
    <t>CHAVE REVERSORA BIPOLAR - 63 A - MARCA HOLEC</t>
  </si>
  <si>
    <t>I12147</t>
  </si>
  <si>
    <t>DSI DISPOSITIVO SUPERVISOR DE ISOLAMENTO E DST DISPOSITIVO SUPERVISOR DO TRANSFORMADOR (CARGA E TEMPERATURA), TENSÃO DE ALIMENTAÇÃO E DA REDE = CA 70...264V, 42... 460HZ. EM CONFORMIDADE COM A NBR13534 E IEC61557-8. MEDIÇÃO DE FUGAS EM CA E CC CONFORME ANEXO A (NORMATIVO) IEC61557-8. RESISTENCIA INTERNA 240KOHM, TENSÃO DE MEDIÇÃO 12V E CORRENTE DE MEDIÇÃO 50UA.</t>
  </si>
  <si>
    <t>P.12.000.041017</t>
  </si>
  <si>
    <t>TRANSFORMADOR DE CORRENTE COM CORRENTE SECUNDARIA EM MA. STW2</t>
  </si>
  <si>
    <t>I10350</t>
  </si>
  <si>
    <t>ANUNCIADOR DE ALARME E TESTE AID150-CSE PARA SALAS CIRURGICAS</t>
  </si>
  <si>
    <t>I02264</t>
  </si>
  <si>
    <t>TRANSFORMADOR DE SEPARAÇÃO MONOFÁSICO 10KVA, COM CAIXA, GRAU DE PROTEÇÃO IP23. TENSÃO PRIMARIA 220V, TENSÃO SECUNDARIA 127/220V, COM MEDIÇÃO DE TEMPERATURA. CONFORME IEC61558-2-15 E IEC742. MATERIAL ISOLANTE CLASSE H</t>
  </si>
  <si>
    <t>TX</t>
  </si>
  <si>
    <t>I2249</t>
  </si>
  <si>
    <t>VERNIZ POLIURETANO PARA CONCRETO, ALVENARIA E ESTRUTURAS DE AÇO CARBONO</t>
  </si>
  <si>
    <t>I2426</t>
  </si>
  <si>
    <t>SOLVENTE P/RESINA POLIURETANA</t>
  </si>
  <si>
    <t>I07829</t>
  </si>
  <si>
    <t>FILTRO Y - F/F - LATÃO - Ø1.1/4"</t>
  </si>
  <si>
    <t>PAINEL DE ALARME DE EMERGÊNCIA PARA REDE DE ÓXIDO NITROSO MEDICINAL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t>
  </si>
  <si>
    <t>I10256</t>
  </si>
  <si>
    <t>CAIXA PARA VÁLVULAS DE SEÇÃO DE GASES MEDICINAIS, METÁLICA COM TAMPA ACRÍLICA PARA 04 VÁLVULAS DE GASES MEDICINAIS, CONTENDO: - 01 VÁLVULA DE SEÇÃO(BLOQUEIO) Ø1/2" PARA AR COMPRIMIDO; - 01 VÁLVULA DE SEÇÃO(BLOQUEIO) Ø1/2" PARA ÓXIDO NITROSO MEDICINAL; - 01 VÁLVULAS DE SEÇÃO(BLOQUEIO) Ø1/2" PARA OXIGÊNIO MEDICINAL; - 01 VÁLVULA DE SEÇÃO(BLOQUEIO) Ø3/4" PARA VÁCUO CLÍNICO. TODAS AS VÁLVULAS DEVERÃO SER DO TIPO ESFERA, TRIPARTIDA, DE PASSAGEM PLENA, FECHAMENTO RÁPIDO COM CORPO EM LATÃO FORJADO E ESFERA EM AÇO INOXIDÁVEL, QUIMICAMENTE COMPATÍVEL COM O GÁS CONDUZIDO CAPAZES DE SUPORTAR PRESSÕES DE 40 KGF/CM².</t>
  </si>
  <si>
    <t>VÁLVULA DE ESFERA ROSCÁVEL, Ø1/2 BSP, COM TAMPA, CORPO E ESFERA DE LATÃO FORJADO, TRIPARTIDA, DE PASSAGEM PLENA, CLASSE DE PRESSÃO #300, COM HASTE A PROVA DE EXPULSÃO, VEDAÇÕES EM TEFLON OU MATERIAL NÃO TÓXICO, QUIMICAMENTE COMPATÍVEL COM USO DE GASES MEDICINAIS.</t>
  </si>
  <si>
    <t>TOMADA/POSTO DE CONSUMO DE PAREDE PARA GÁS VÁCUO CLÍNICO COM TARUGO INTERNO EMBUTIDO, VÁLVULA AUTOVEDANTE, PINO DE IMPACTO, CANOPLA EM MATERIAL PLÁSTICO DE ABS E ETIQUETA DE IDENTIFICAÇÃO DO POSTO - FORNECIMENTO E INSTALAÇÃO. REF: PROTEC, WHITE MARTINS, UNITEC HOSPITALAR, AIR LIQUIDE, VALMIG</t>
  </si>
  <si>
    <t>VÁLVULA DE ESFERA ROSCÁVEL, Ø3/4 BSP, COM TAMPA, CORPO E ESFERA DE LATÃO FORJADO, TRIPARTIDA, DE PASSAGEM PLENA, CLASSE DE PRESSÃO #300, COM HASTE A PROVA DE EXPULSÃO, VEDAÇÕES EM TEFLON OU MATERIAL NÃO TÓXICO, QUIMICAMENTE COMPATÍVEL COM USO DE GASES MEDICINAIS.</t>
  </si>
  <si>
    <t>VÁLVULA DE ESFERA ROSCÁVEL, Ø1 BSP, COM TAMPA, CORPO E ESFERA DE LATÃO FORJADO, TRIPARTIDA, DE PASSAGEM PLENA, CLASSE DE PRESSÃO #300, COM HASTE A PROVA DE EXPULSÃO, VEDAÇÕES EM TEFLON OU MATERIAL NÃO TÓXICO, QUIMICAMENTE COMPATÍVEL COM USO DE GASES MEDICINAIS.</t>
  </si>
  <si>
    <t>I14553</t>
  </si>
  <si>
    <t>Banheira para berçário infantil 84 x 42 x 25cm, em fibra de vidro, com válvula, para instalação em bancada</t>
  </si>
  <si>
    <t>I13963</t>
  </si>
  <si>
    <t>Cuba de aço inox 304, Terminox ou similar, retangular, com válvula, dim 70 x 50 x 40 cm, e=0,7 mm, para pia de cozinha</t>
  </si>
  <si>
    <t>I13989</t>
  </si>
  <si>
    <t>Funil Expurgo Hospitalar de aço inox 304 290x300mm e= 0,8mm Sem mesa para embutir - Mirnox ou similar</t>
  </si>
  <si>
    <t>O.11.000.064010</t>
  </si>
  <si>
    <t>VÁLVULA DE DESCARGA EM METAL CROMADO, MODELO DUALFLUX</t>
  </si>
  <si>
    <t>MAT035160</t>
  </si>
  <si>
    <t>Coluna de louça, cor gelo universal ref. C1, Linha Vogue Plus Deca ou similar, para lavatório ref. L51 Deca</t>
  </si>
  <si>
    <t>SCO</t>
  </si>
  <si>
    <t>MAT079840</t>
  </si>
  <si>
    <t>Lavatório de louça para deficiente físico, cor gelo, Linha Vogue Plus Conforto ref. L51 Deca ou similar</t>
  </si>
  <si>
    <t>I03359</t>
  </si>
  <si>
    <t>Barra redonda de aço mecanico laminado 3/4" (2,24 kg/m)</t>
  </si>
  <si>
    <t>I03672</t>
  </si>
  <si>
    <t>Chapa aço grossa preta 1/4"(6,3mm), 49,39 kg/m2</t>
  </si>
  <si>
    <t>I13931</t>
  </si>
  <si>
    <t>Chapa expandida em aço malha 50x100mm, esp=1/4 (6,3mm) - 12,96 kg/m2</t>
  </si>
  <si>
    <t>I08854</t>
  </si>
  <si>
    <t>Chumbador parabolt 5/16" x 3 1/4"</t>
  </si>
  <si>
    <t>Porcelanato técnico natural, com acabamento retificado, indicado para áreas internas e ambientes com acesso ao exterior, grupo de absorção BIa; ref. Eliane, Incepa ou equivalente</t>
  </si>
  <si>
    <t>I9045</t>
  </si>
  <si>
    <t>POSTE 40 x 60 MM, PINTURA ELETROSTÁTICA EM POLIESTER, NAS CORES VERDE OU BRANCA (H=3,20M - COM TAMPA) CHUMBADO</t>
  </si>
  <si>
    <t>I09327</t>
  </si>
  <si>
    <t>Gradil Nylofor 3D, malha 20x5cm, Ø 5mm 250x243 cm, pintura branca, verde e preta, Belgo ou similar, inclusive postes (secção 60x40mm e h=3,20m) e acessórios</t>
  </si>
  <si>
    <t>pç</t>
  </si>
  <si>
    <t>I12976</t>
  </si>
  <si>
    <t>ENSAIO - PROVA DE CARGA DINÂMICA - PARA 5 ESTACAS, INCLUSO MOBILIZAÇÃO DA EQUIPE COM 2 DIÁRIAS E RELATÓRIOS DE ANÁLISES CAPWAP POR ESTACA - COM EXCECUÇÃO EM 02 DIAS</t>
  </si>
  <si>
    <t>9.10.71</t>
  </si>
  <si>
    <t>FORN PREP ARGAMASSA BICOMPONENTE BASE CIMENTO POLÍMERO ACRÍLICO E FIBRA SINTÉTICA</t>
  </si>
  <si>
    <t>SP Educação</t>
  </si>
  <si>
    <t>I026551</t>
  </si>
  <si>
    <t>PARAFUSO CROMADO</t>
  </si>
  <si>
    <t>IOPES</t>
  </si>
  <si>
    <t>Fita dupla face adesiva ref.: VHB 3M 4910 ou equivalente.</t>
  </si>
  <si>
    <t>CPTM</t>
  </si>
  <si>
    <t>S.04.000.039086</t>
  </si>
  <si>
    <t>PLACA DE SINALIZAÇÃO EM PVC 3MM</t>
  </si>
  <si>
    <t>I07550</t>
  </si>
  <si>
    <t>Letras aço escovado 40 x 40cm</t>
  </si>
  <si>
    <t>MAT030150</t>
  </si>
  <si>
    <t>CHAPA AÇO GALVANIZADO 3MM</t>
  </si>
  <si>
    <t>I11392</t>
  </si>
  <si>
    <t>Adesivo em vinil para plotagem em letreiro de chapa galvanizada (c/aplicação)</t>
  </si>
  <si>
    <t>17.014.0010-0</t>
  </si>
  <si>
    <t>PINTURA ELETROSTATICA</t>
  </si>
  <si>
    <t>R.03.000.020338</t>
  </si>
  <si>
    <t>Tela tipo mosquiteira removível em fibra de vidro revestida em pvc, perfil alumínio, borracha EPDM, Kit fixação com 4 cantoneiras, travas e parafusos com buchas</t>
  </si>
  <si>
    <t>H.01.000.021234</t>
  </si>
  <si>
    <t>Porta corta-fogo em aço galvanizada P.90, com barra antipânico numa face e maçaneta na outra, completa; ref. Authentic ou equivalente</t>
  </si>
  <si>
    <t>Revestimento em aço inoxidável AISI304, liga18,8 em chapa 20 com espessura de 1mm, acabamento escovado - colocado</t>
  </si>
  <si>
    <t>I01808</t>
  </si>
  <si>
    <t>Porta em madeira compensada canela, lisa, semi-oca - 90 x (180 a 210) x 3,5cm un</t>
  </si>
  <si>
    <t>I13419</t>
  </si>
  <si>
    <t>Fechadura tipo bico de papagaio, para porta de correr, inclusive concha em latão, da IMAB, ref.: FA1352I310S00 ou similar) un</t>
  </si>
  <si>
    <t>I12793</t>
  </si>
  <si>
    <t>JANELA EM ALUMINIO COR N/P/B, MOLDURA VIDRO, TIPO GUILHOTINA</t>
  </si>
  <si>
    <t>CAIXILHO FIXO EM ALUMÍNIO ANODIZADO BRANCO, SEM VIDRO</t>
  </si>
  <si>
    <t>D190000050</t>
  </si>
  <si>
    <t>PORTA/PORTAO EM ALUMINIO (1 FOLHA) DE ABRIR C/FERRAGENS</t>
  </si>
  <si>
    <t>EMBASA</t>
  </si>
  <si>
    <t>Portão 1 ou 2 folhas tubular com tela de arame galvanizado, completo até 2,50m</t>
  </si>
  <si>
    <t>67.16.01</t>
  </si>
  <si>
    <t>CUMEEIRA GALVANIZADA TRAPEZOIDAL E=0,5MM</t>
  </si>
  <si>
    <t>SUDECAP</t>
  </si>
  <si>
    <t>67.20.18</t>
  </si>
  <si>
    <t>GANCHO 1/4"x250 MM</t>
  </si>
  <si>
    <t>Fornecimento e montagem de Cortina divisória de leito em teciso ante-chama com tela integrada h=2,70, com trilhos e acessórios Kaylor Kube ou similar</t>
  </si>
  <si>
    <t>MATED-12177</t>
  </si>
  <si>
    <t>BARRA DE APOIO (MATERIAL: AÇO INOX AISI 304|ACABAMENTO: POLIDO|MODELO: RETA| DIÂMETRO TUBO: 1.1/4" [31,75MM]|COMPRIMENTO: 120CM |INSTALAÇÃO: PAREDE|ACESSÓRIOS: INCLUSO CANOPLAS, PARAFUSOS E BUCHAS)</t>
  </si>
  <si>
    <t>MATED-4377</t>
  </si>
  <si>
    <t>PARAFUSO (ROSCA: AUTOATARRAXANTE| CABEÇA: PANELA FENDA|COMPRIMENTO: 50MM| DIÂMETRO: 4,8MM)</t>
  </si>
  <si>
    <t>I02232</t>
  </si>
  <si>
    <t>Tinta pva látex para interior coralmur ou similar</t>
  </si>
  <si>
    <t>l</t>
  </si>
  <si>
    <t>H.02.000.090916</t>
  </si>
  <si>
    <t>Armário/gabinete embutido em MDF sob medida, revestido em laminado melamínico, com portas, prateleiras e ferragens - instalado</t>
  </si>
  <si>
    <t>H.02.000.090802</t>
  </si>
  <si>
    <t>Tampo compensado, espessura de 25 mm, largura de 60 cm, revestimento na face superior em laminado fenólico melamínico - instalado</t>
  </si>
  <si>
    <t>SISTEMA DE APROVEITAMENTO DE ÁGUAS DE CHUVAS : FILTRO WFF 100, FREIO DÁGUA D=100, ECO CAP 1" E SUÇÃO D=2"</t>
  </si>
  <si>
    <t>TORNEIRA DE ACIONAMENTO RESTRITO - LATÃO CROMADO - Ø3/4</t>
  </si>
  <si>
    <t>O.17.000.090732</t>
  </si>
  <si>
    <t>AQUECEDOR INDIVIDUAL MARCA CARDAL QUALIDADE SUPERIOR OU SIMILAR</t>
  </si>
  <si>
    <t>I00480</t>
  </si>
  <si>
    <t>CORPO CAIXA SIFONADA - 5 ENTRADAS - 175x125x63</t>
  </si>
  <si>
    <t>O.25.000.000001</t>
  </si>
  <si>
    <t>TUBO PP LINHA MARROM - DURATOP, PARA ESGOTO PREDIAL D= 40MM</t>
  </si>
  <si>
    <t>O.25.000.000003</t>
  </si>
  <si>
    <t>TUBO PP LINHA MARROM - DURATOP, PARA ESGOTO PREDIAL D= 63MM</t>
  </si>
  <si>
    <t>O.25.000.000004</t>
  </si>
  <si>
    <t>TUBO PP LINHA MARROM - DURATOP, PARA ESGOTO PREDIAL D= 110MM</t>
  </si>
  <si>
    <t>O.25.000.000002</t>
  </si>
  <si>
    <t>TUBO PP LINHA MARROM - DURATOP, PARA ESGOTO PREDIAL D= 50MM</t>
  </si>
  <si>
    <t>I11749</t>
  </si>
  <si>
    <t>PRESSURIZADOR PARA REDE DE TORNEIRAS - BOMBA AUTO ASPIRANTE INOX - MARCA LEPONO - MODELO AJM45S - POTENCIA 0,6 CV - COM PRESSOSTATO</t>
  </si>
  <si>
    <t>CABO DE COBRE 2,50 MM2 - ISOLAMENTO PARA 750V - AFUMEX - CLASSE 5 - FLEXÍVEL - ISOLAÇÃO EM HEPR 90 C</t>
  </si>
  <si>
    <t>I13466</t>
  </si>
  <si>
    <t>Piso vinílico em manta, condutivo, dim. 2,0 x 23,00m, e = 2mm, ref. IQ TORO SC, da Tarkett ou similar - fornecimento e instalação</t>
  </si>
  <si>
    <t>M.04.000.033536</t>
  </si>
  <si>
    <t>Rodapé flexível em resinas de PVC de 7,5cm, espessura de 2mm, curvo/plano; ref. Tarkett ou equivalente</t>
  </si>
  <si>
    <t>M.04.000.030379</t>
  </si>
  <si>
    <t>Bate-maca ou protetor de parede em PVC, com altura de 200mm, barra de 4m, ref. TEC 200 da Tecnoperfil ou equivalente</t>
  </si>
  <si>
    <t>Corrimão, bate-maca ou protetor de parede em PVC, com altura de 131mm, barras de 4,0m, nas azul ou marfim, ref. TEC 026 da Tecnoperfil ou equivalente</t>
  </si>
  <si>
    <t>S.04.000.028073</t>
  </si>
  <si>
    <t>Cola para piso vinílico</t>
  </si>
  <si>
    <t>M.04.000.030368</t>
  </si>
  <si>
    <t>CANTONEIRA RÍGIDA EM PVC, ALTURA 1,50M, COM ABAS LATERAIS IGUAIS DE 25MM CADA, COR CINZA CLARO, ÂNGULO DE 90º, ESPESSURA 2MM, A SER FIXADA SEGUINDO ORIENTAÇÃO DO FABRICANTE</t>
  </si>
  <si>
    <t>FELTRO DE LA DE ROCHA, UMA FACE REVESTIDA COM FILME DE POLIPROPILENO, EM ROLO, DENSIDADE DE 32KGM3, ESP=50MM</t>
  </si>
  <si>
    <t>F.04.000.090497</t>
  </si>
  <si>
    <t>Chapa em policarbonato compacto, cor cristal, espessura de 6mm</t>
  </si>
  <si>
    <t>I14084</t>
  </si>
  <si>
    <t>Perfil de acabamento em policarbonato para policarbonato de 4 a 6mm na cor cristal</t>
  </si>
  <si>
    <t>MAT039950</t>
  </si>
  <si>
    <t>ECO CAP 1" (VÁLVULA SOLENOIDE)</t>
  </si>
  <si>
    <t>cj</t>
  </si>
  <si>
    <t>I01076</t>
  </si>
  <si>
    <t>Grelha pvc redonda, branca, p/caixa e ralos, d=100mm</t>
  </si>
  <si>
    <t>I05102S</t>
  </si>
  <si>
    <t>Ralo seco / ralo de passagem em pvc, quadrado, 100 x 100 x 53 mm, saida 40 mm, com grelha branca</t>
  </si>
  <si>
    <t>I09191</t>
  </si>
  <si>
    <t>ANTENA PARABOLICA COM RECEPTOR DIGITAL CENTURY MIDIABOX</t>
  </si>
  <si>
    <t>Cabo cobre flexível 16 mm², isolamento 0,6/1 kV - isolação HEPR 90°C, têmpera mole, classe 5, baixa emissão fumaça, ref. Cabos Afumex Prysmian; Atexsil Sil; ToxFree Conduspar ou equivalente</t>
  </si>
  <si>
    <t>P.07.000.091396</t>
  </si>
  <si>
    <t>Tampa para caixa R1 padrão Telebras</t>
  </si>
  <si>
    <t>CENTRAL DE CHAMADA DE ENFERMAGEM MODELO ECONÔMICO ESSENCIAL, PARA ATÉ 20 PONTOS DE ACIONAMENTO.</t>
  </si>
  <si>
    <t>I07864</t>
  </si>
  <si>
    <t>CLIPS PARA EMENDA DE RE-BARS - REF.: TEL 5238</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</si>
  <si>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</si>
  <si>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</si>
  <si>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</si>
  <si>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S02501</t>
  </si>
  <si>
    <t>m3</t>
  </si>
  <si>
    <t>Leito para cabos, tipo pesado, em aço galvanizado a fogo, de 300 x 100 mm, ref. Mopa ou equivalente</t>
  </si>
  <si>
    <t>P.15.000.034006</t>
  </si>
  <si>
    <t>Luminária hermética sobrepor para lâmpada LED ou Fluorescente de 2x28W/32W/54W, bivolt, corpo em ABS e difusor em policarbonato, IP65; ref. Osram, Philips, BLight, B.Bauer ou equivalente</t>
  </si>
  <si>
    <t>I14382</t>
  </si>
  <si>
    <t>Luminária sobrepor quadrada Led 24W*, 4000K 120° G- Light ou similar</t>
  </si>
  <si>
    <t>MAT113120</t>
  </si>
  <si>
    <t>Projetor a led, PLRJ-12.17/W, corpo e alca em aluminio injetado, led branco, temperatura de cor entre 3000/5500 K, IP 66, IK 08, resistente a UV, tensao de 90/305 VCA, eficiencia minima 100 Im/W, potencia de 70 a 110 W, temperatura de operacao de - 25 a 85o C, facho simetrico de 10o. ESPECIFICACAO: EM-RIOLUZ- 109.</t>
  </si>
  <si>
    <t>4.60.67</t>
  </si>
  <si>
    <t>VARIADOR DE LUMINOSIDADE ROTATIVO (DIMER)</t>
  </si>
  <si>
    <t>MATED-15608</t>
  </si>
  <si>
    <t>MÓDULO CEGO (PLACA E SUPORTE: NÃO INCLUSO)</t>
  </si>
  <si>
    <t>P.17.000.030515</t>
  </si>
  <si>
    <t>Rack fechado de piso padrão metálico, 19 x 44 Us x 770 mm, porta com visor em acrílico/vidro; ref. Bihouse Racks, APL Racks, Pier Telecom ou equivalente</t>
  </si>
  <si>
    <t>RE-BAR BARRA REDONDA Ø10MM X 3,00M #80MM²</t>
  </si>
  <si>
    <t>P.29.000.042480</t>
  </si>
  <si>
    <t>RELÉ TEMPORIZADOR (TIMER) BIPOLAR 16A, 2NA, BOBINA EM 220V</t>
  </si>
  <si>
    <t>RELÉ TEMPORIZADOR (TIMER) MONOPOLAR 16A, 2NA, BOBINA EM 220V</t>
  </si>
  <si>
    <t>GOINFRA CIVIL</t>
  </si>
  <si>
    <t>P.19.000.092012</t>
  </si>
  <si>
    <t>Sinalizador de obstáculo duplo com célula fotoelétrica, ref. PK-0107 da Paraklin ou equivalente</t>
  </si>
  <si>
    <t>I07615</t>
  </si>
  <si>
    <t>P.13.000.045614</t>
  </si>
  <si>
    <t>Tomada industrial 3P+T, de 32A para 220/240V, com carcaça, prensa cabos, aliviador de tensão e tampa trava; ref. S-4209 Steck ou equivalente</t>
  </si>
  <si>
    <t>UNIDUT COM BUCHA E ARRUELA DE ALUMÍNIO Ø2"</t>
  </si>
  <si>
    <t>I01997</t>
  </si>
  <si>
    <t>Sabão em pó</t>
  </si>
  <si>
    <t>S02223</t>
  </si>
  <si>
    <t>Tinta fundo epóxi</t>
  </si>
  <si>
    <t>TORNEIRA C/ ACIONAMENTO POR ALAVANCA (CLÍNICA) 1/2"</t>
  </si>
  <si>
    <t>E.18.000.020159</t>
  </si>
  <si>
    <t>Barra de apoio lateral para lavatório, para pessoas com mobilidade reduzida, em tubo de aço inoxidável de 1.1/4´, comprimento 25 a 30 cm</t>
  </si>
  <si>
    <t>TUBO ISOLAMENTO TÉRMICO D=1/4"</t>
  </si>
  <si>
    <t>TUBO ISOLAMENTO TÉRMICO D=3/8"</t>
  </si>
  <si>
    <t>TUBO ISOLAMENTO TÉRMICO D=1/2"</t>
  </si>
  <si>
    <t>TUBO ISOLAMENTO TÉRMICO D=3/4"</t>
  </si>
  <si>
    <t>TUBO DE COBRE FLEXIVEL, D = 7/8 ", E = 0,79 MM, PARA AR-CONDICIONADO/ INSTALACOES GAS RESIDENCIAIS E COMERCIAIS</t>
  </si>
  <si>
    <t>F.07.000.024538</t>
  </si>
  <si>
    <t>TUBO ISOLAMENTO TÉRMICO D=7/8"</t>
  </si>
  <si>
    <t>I07469</t>
  </si>
  <si>
    <t>TUBO DE COBRE FLEXIVEL, D = 1 ", E = 0,79 MM, PARA AR-CONDICIONADO/ INSTALACOES GAS RESIDENCIAIS E COMERCIAIS</t>
  </si>
  <si>
    <t>F.07.000.024537</t>
  </si>
  <si>
    <t>TUBO ISOLAMENTO TÉRMICO D=1"</t>
  </si>
  <si>
    <t>TUBO DE COBRE FLEXIVEL, D = 1.1/8 ", E = 0,79 MM, PARA AR-CONDICIONADO/ INSTALACOES GAS RESIDENCIAIS E COMERCIAIS</t>
  </si>
  <si>
    <t>F.07.000.024539</t>
  </si>
  <si>
    <t>TUBO ISOLAMENTO TÉRMICO D=1.1/8"</t>
  </si>
  <si>
    <t>F.07.000.024540</t>
  </si>
  <si>
    <t>TUBO ISOLAMENTO TÉRMICO D=1.1/4"</t>
  </si>
  <si>
    <t>S03802</t>
  </si>
  <si>
    <t>Cabo de cobre PP Cordplast 2 x 0,75 mm2, 450/750v</t>
  </si>
  <si>
    <t>2.45.04</t>
  </si>
  <si>
    <t>ISOLACAO TERMOACUSTICA LÃ DE ROCHA DENSID 32 KG/M3 E=50 MM ENVELOPADA FILME AUTO-EXTÍINGUÍVEL</t>
  </si>
  <si>
    <t>DIFUSOR DE AR, PARA SALAS DE CIRURGIA, EM ALUMÍNIO EXTRUDADO PINTADO EM BRANCO MUNSELL N9,5, COM CAIXAS PLENUM EM CHAPA DE AÇO INOXIDÁVEL, REGISTROS INTEGRADOS À CAIXA PLENUM, ENTRADAS DISTRIBUÍDAS NO DIFUSOR LINEAR, ENTRADA LATERAL NO DIFUSOR UNIDIRECIONAL, DIMENSÕES DO DIFUSOR CORTINA DE AR 3030 [(2x)1515]x2060MM E DIMENSÕES DO DIFUSOR UNIDIRECIONAL 600x600MM (2x). REFERÊNCIA: TROX ICLF-2-3030x2060-600x600-02 (OU SIMILAR - TROPICAL, DIFUSTHERM, DIFUSAR, FINCO)</t>
  </si>
  <si>
    <t>GRELHA DE VENTILAÇÃO, PARA EXAUSTÃO, EM ALUMÍNIO EXTRUDADO E ANODIZADO, NA COR NATURAL, DE ALETAS HORIZONTAIS, DE SIMPLES DEFLEXÃO, COM REGISTRO DE LÂMINAS CONVERGENTES, DIMENSÕES 1025x325MM, COM ÁREA EFETIVA LIVRE MÍNIMA DE 0,214 M². REFERÊNCIA: TROX MODELO AT-AG-1025x325 (OU SIMILAR - TROPICAL, DIFUSTHERM, DIFUSAR, FINCO)</t>
  </si>
  <si>
    <t>VENEZIANA FIXA, PARA CAPTAÇÃO DE AR EXTERNO, EM ALUMÍNIO EXTRUDADO E ANODIZADO, NA COR NATURAL, DE ALETAS HORIZONTAIS, COM TELA PROTETORA DE PLÁSTICO, DIMENSÕES 785x330MM, COM ÁREA EFETIVA LIVRE MÍNIMA DE 0,1963 M². REFERÊNCIA: TROX MODELO AWG-785x330 (OU SIMILAR - TROPICAL, DIFUSTHERM, DIFUSAR, FINCO)</t>
  </si>
  <si>
    <t>DAMPER DE REGULAGEM DE VAZÃO EM CHAPA DE AÇO GALVANIZADA COM LÂMINAS DE ORIENTAÇÃO CONVERGENTE, 500x200 mm. REFERÊNCIA: TROX JZ-G OU EQUIVALENTE TÉCNICO.</t>
  </si>
  <si>
    <t>DAMPER CORTA FOGO E FUMAÇA, EM CHAPA DE AÇO ZINCADO CONFORME NBR 7008 ZC, REVESTIMENTO B, DE FECHAMENTO AUTOMÁTICO, DE TEMPO DE RESISTÊNCIA AO FOGO DE 90 MINUTOS, DIMENSÕES 400x400 mm, COM ELEMENTO FUSÍVEL 72°C, CHAVE FIM DE CURSO E SOLENÓIDE DE DISPARO E SOLENÓIDE. REFERÊNCIA: TROX FKA-TI-BR-90 OU EQUIVALENTE TÉCNICO.</t>
  </si>
  <si>
    <t>Q.04.000.031401</t>
  </si>
  <si>
    <t>Duto flexível em alumínio, seção circular, isolado termicamente com lã de vidro de 25 mm; ref. Isodec RT 15 cm (6") Multivac ou equivalente</t>
  </si>
  <si>
    <t>Q.04.000.031402</t>
  </si>
  <si>
    <t>Duto flexível em alumínio, seção circular, isolado termicamente com lã de vidro de 25 mm; ref. Isodec RT 20 cm (8") Multivac ou equivalente</t>
  </si>
  <si>
    <t>C.06.000.022048</t>
  </si>
  <si>
    <t>Laje pré-fabricada mista vigota treliçada/lajota cerâmica - LT 16 (12+4); sobrecarga 200 kgf/m²</t>
  </si>
  <si>
    <t>13.31.51</t>
  </si>
  <si>
    <t>PORTÃO COM TUBOS (2") E TELAS DE AÇO, 1 FOLHA, 1,10 X 2,25M - PADRÃO SUDECAP - PRODUÇÃO EM SERRALHERIA</t>
  </si>
  <si>
    <t>I13065</t>
  </si>
  <si>
    <t xml:space="preserve">	Porta em madeira de lei muiracatiara maciça</t>
  </si>
  <si>
    <t>SINAPI - Sistema Nacional de Pesquisa de Custos e Índices da Construção Civil</t>
  </si>
  <si>
    <t>RELATÓRIO DE PREÇOS DE INSUMOS - ENGARGOS SOCIAIS SEM DESONERAÇÃO</t>
  </si>
  <si>
    <t>Mês de Referência:</t>
  </si>
  <si>
    <t>02/2025</t>
  </si>
  <si>
    <t>Encargos sociais sobre a mão de obra:</t>
  </si>
  <si>
    <t>Data de emissão:</t>
  </si>
  <si>
    <t>12/03/2025</t>
  </si>
  <si>
    <t>(SEM DESONERAÇÃO)</t>
  </si>
  <si>
    <t>SP</t>
  </si>
  <si>
    <t>Localidade</t>
  </si>
  <si>
    <t>SAO PAULO</t>
  </si>
  <si>
    <t>Origem de preço:</t>
  </si>
  <si>
    <t>C = COLETADO</t>
  </si>
  <si>
    <t>CR = COEFICIENTE DE REPRESENTATIVIDADE</t>
  </si>
  <si>
    <t>Horista</t>
  </si>
  <si>
    <t>Preço em branco para determinado estado significa que não houve coleta mínima de preços no mês de referência</t>
  </si>
  <si>
    <t>Mensalista</t>
  </si>
  <si>
    <t>Acessar Fichas de Especificação Técnico dos Insumos</t>
  </si>
  <si>
    <t>Classificação</t>
  </si>
  <si>
    <t>Código do
Insumo</t>
  </si>
  <si>
    <t>Descrição do Insumo</t>
  </si>
  <si>
    <t>Unidade</t>
  </si>
  <si>
    <t>S1</t>
  </si>
  <si>
    <t>S100</t>
  </si>
  <si>
    <t>S1000</t>
  </si>
  <si>
    <t>S1001</t>
  </si>
  <si>
    <t>S1005</t>
  </si>
  <si>
    <t>S1006</t>
  </si>
  <si>
    <t>S1007</t>
  </si>
  <si>
    <t>S1008</t>
  </si>
  <si>
    <t>S1011</t>
  </si>
  <si>
    <t>S1013</t>
  </si>
  <si>
    <t>S1014</t>
  </si>
  <si>
    <t>S1015</t>
  </si>
  <si>
    <t>S1017</t>
  </si>
  <si>
    <t>S1018</t>
  </si>
  <si>
    <t>S1019</t>
  </si>
  <si>
    <t>S102</t>
  </si>
  <si>
    <t>S1020</t>
  </si>
  <si>
    <t>S1021</t>
  </si>
  <si>
    <t>S1022</t>
  </si>
  <si>
    <t>S10228</t>
  </si>
  <si>
    <t>S10229</t>
  </si>
  <si>
    <t>VALVULA DE RETENCAO DE BRONZE, PE COM CRIVOS, EXTREMIDADE COM ROSCA, DE 3/4", PARA FUNDO DE POCO</t>
  </si>
  <si>
    <t>S10230</t>
  </si>
  <si>
    <t>VALVULA DE RETENCAO DE BRONZE, PE COM CRIVOS, EXTREMIDADE COM ROSCA, DE 4", PARA FUNDO DE POCO</t>
  </si>
  <si>
    <t>S10231</t>
  </si>
  <si>
    <t>VALVULA DE RETENCAO DE BRONZE, PE COM CRIVOS, EXTREMIDADE COM ROSCA, DE 2 1/2", PARA FUNDO DE POCO</t>
  </si>
  <si>
    <t>S10232</t>
  </si>
  <si>
    <t>VALVULA DE RETENCAO DE BRONZE, PE COM CRIVOS, EXTREMIDADE COM ROSCA, DE 2", PARA FUNDO DE POCO</t>
  </si>
  <si>
    <t>S10233</t>
  </si>
  <si>
    <t>VALVULA DE RETENCAO DE BRONZE, PE COM CRIVOS, EXTREMIDADE COM ROSCA, DE 1 1/4", PARA FUNDO DE POCO</t>
  </si>
  <si>
    <t>S10234</t>
  </si>
  <si>
    <t>VALVULA DE RETENCAO DE BRONZE, PE COM CRIVOS, EXTREMIDADE COM ROSCA, DE 1", PARA FUNDO DE POCO</t>
  </si>
  <si>
    <t>S10235</t>
  </si>
  <si>
    <t>VALVULA DE RETENCAO DE BRONZE, PE COM CRIVOS, EXTREMIDADE COM ROSCA, DE 3", PARA FUNDO DE POCO</t>
  </si>
  <si>
    <t>S10236</t>
  </si>
  <si>
    <t>VALVULA DE RETENCAO DE BRONZE, PE COM CRIVOS, EXTREMIDADE COM ROSCA, DE 1 1/2", PARA FUNDO DE POCO</t>
  </si>
  <si>
    <t>S103</t>
  </si>
  <si>
    <t>S1030</t>
  </si>
  <si>
    <t>S1031</t>
  </si>
  <si>
    <t>S104</t>
  </si>
  <si>
    <t>S10404</t>
  </si>
  <si>
    <t>VALVULA DE RETENCAO HORIZONTAL, DE BRONZE (PN-25), 1/2", 400 PSI, TAMPA DE PORCA DE UNIAO, EXTREMIDADES COM ROSCA</t>
  </si>
  <si>
    <t>S10405</t>
  </si>
  <si>
    <t>VALVULA DE RETENCAO HORIZONTAL, DE BRONZE (PN-25), 2 1/2", 400 PSI, TAMPA DE PORCA DE UNIAO, EXTREMIDADES COM ROSCA</t>
  </si>
  <si>
    <t>S10406</t>
  </si>
  <si>
    <t>VALVULA DE RETENCAO HORIZONTAL, DE BRONZE (PN-25), 3", 400 PSI, TAMPA DE PORCA DE UNIAO, EXTREMIDADES COM ROSCA</t>
  </si>
  <si>
    <t>S10407</t>
  </si>
  <si>
    <t>VALVULA DE RETENCAO HORIZONTAL, DE BRONZE (PN-25), 4", 400 PSI, TAMPA DE PORCA DE UNIAO, EXTREMIDADES COM ROSCA</t>
  </si>
  <si>
    <t>S10408</t>
  </si>
  <si>
    <t>VALVULA DE RETENCAO HORIZONTAL, DE BRONZE (PN-25), 2", 400 PSI, TAMPA DE PORCA DE UNIAO, EXTREMIDADES COM ROSCA</t>
  </si>
  <si>
    <t>S10409</t>
  </si>
  <si>
    <t>VALVULA DE RETENCAO HORIZONTAL, DE BRONZE (PN-25), 1 1/2", 400 PSI, TAMPA DE PORCA DE UNIAO, EXTREMIDADES COM ROSCA</t>
  </si>
  <si>
    <t>S10410</t>
  </si>
  <si>
    <t>VALVULA DE RETENCAO HORIZONTAL, DE BRONZE (PN-25), 1", 400 PSI, TAMPA DE PORCA DE UNIAO, EXTREMIDADES COM ROSCA</t>
  </si>
  <si>
    <t>S10411</t>
  </si>
  <si>
    <t>VALVULA DE RETENCAO HORIZONTAL, DE BRONZE (PN-25), 1 1/4", 400 PSI, TAMPA DE PORCA DE UNIAO, EXTREMIDADES COM ROSCA</t>
  </si>
  <si>
    <t>S10412</t>
  </si>
  <si>
    <t>VALVULA DE RETENCAO HORIZONTAL, DE BRONZE (PN-25), 3/4", 400 PSI, TAMPA DE PORCA DE UNIAO, EXTREMIDADES COM ROSCA</t>
  </si>
  <si>
    <t>S10413</t>
  </si>
  <si>
    <t>VALVULA DE RETENCAO VERTICAL, DE BRONZE (PN-16), 3/4", 200 PSI, EXTREMIDADES COM ROSCA</t>
  </si>
  <si>
    <t>S10414</t>
  </si>
  <si>
    <t>VALVULA DE RETENCAO VERTICAL, DE BRONZE (PN-16), 3", 200 PSI, EXTREMIDADES COM ROSCA</t>
  </si>
  <si>
    <t>S10415</t>
  </si>
  <si>
    <t>VALVULA DE RETENCAO VERTICAL, DE BRONZE (PN-16), 4", 200 PSI, EXTREMIDADES COM ROSCA</t>
  </si>
  <si>
    <t>S10416</t>
  </si>
  <si>
    <t>VALVULA DE RETENCAO VERTICAL, DE BRONZE (PN-16), 1 1/2", 200 PSI, EXTREMIDADES COM ROSCA</t>
  </si>
  <si>
    <t>S10417</t>
  </si>
  <si>
    <t>VALVULA DE RETENCAO VERTICAL, DE BRONZE (PN-16), 2", 200 PSI, EXTREMIDADES COM ROSCA</t>
  </si>
  <si>
    <t>S10418</t>
  </si>
  <si>
    <t>VALVULA DE RETENCAO VERTICAL, DE BRONZE (PN-16), 1", 200 PSI, EXTREMIDADES COM ROSCA</t>
  </si>
  <si>
    <t>S10419</t>
  </si>
  <si>
    <t>VALVULA DE RETENCAO VERTICAL, DE BRONZE (PN-16), 1 1/4", 200 PSI, EXTREMIDADES COM ROSCA</t>
  </si>
  <si>
    <t>S10420</t>
  </si>
  <si>
    <t>S10421</t>
  </si>
  <si>
    <t>S10422</t>
  </si>
  <si>
    <t>S10423</t>
  </si>
  <si>
    <t>S10425</t>
  </si>
  <si>
    <t>S10426</t>
  </si>
  <si>
    <t>S10427</t>
  </si>
  <si>
    <t>S10428</t>
  </si>
  <si>
    <t>S10429</t>
  </si>
  <si>
    <t>S10431</t>
  </si>
  <si>
    <t>S10432</t>
  </si>
  <si>
    <t>S10475</t>
  </si>
  <si>
    <t>S10478</t>
  </si>
  <si>
    <t>S10481</t>
  </si>
  <si>
    <t>EQUIPAMENTO (AQUISIÇÃO)</t>
  </si>
  <si>
    <t>S10488</t>
  </si>
  <si>
    <t>VIBROACABADORA DE ASFALTO SOBRE ESTEIRAS, LARG. PAVIMENT. 1,90 A 5,3 M, POT. 78 KW/105 HP, CAP. 450 T/H</t>
  </si>
  <si>
    <t>MAO DE OBRA</t>
  </si>
  <si>
    <t>S10489</t>
  </si>
  <si>
    <t>S1049</t>
  </si>
  <si>
    <t>S10490</t>
  </si>
  <si>
    <t>S10491</t>
  </si>
  <si>
    <t>S10492</t>
  </si>
  <si>
    <t>S10493</t>
  </si>
  <si>
    <t>S10496</t>
  </si>
  <si>
    <t>S10497</t>
  </si>
  <si>
    <t>S10498</t>
  </si>
  <si>
    <t>S10499</t>
  </si>
  <si>
    <t>S105</t>
  </si>
  <si>
    <t>S1050</t>
  </si>
  <si>
    <t>S10501</t>
  </si>
  <si>
    <t>S10502</t>
  </si>
  <si>
    <t>S10503</t>
  </si>
  <si>
    <t>S10504</t>
  </si>
  <si>
    <t>S10505</t>
  </si>
  <si>
    <t>S10506</t>
  </si>
  <si>
    <t>S10507</t>
  </si>
  <si>
    <t>S1051</t>
  </si>
  <si>
    <t>S10510</t>
  </si>
  <si>
    <t>S10512</t>
  </si>
  <si>
    <t>S10515</t>
  </si>
  <si>
    <t>S10518</t>
  </si>
  <si>
    <t>RETARDO PARA CORDEL DETONANTE</t>
  </si>
  <si>
    <t>S10521</t>
  </si>
  <si>
    <t>EQUIPAMENTO (LOCAÇÃO)</t>
  </si>
  <si>
    <t>S10527</t>
  </si>
  <si>
    <t>S10535</t>
  </si>
  <si>
    <t>S10537</t>
  </si>
  <si>
    <t>S10541</t>
  </si>
  <si>
    <t>S10542</t>
  </si>
  <si>
    <t>S10543</t>
  </si>
  <si>
    <t>S10544</t>
  </si>
  <si>
    <t>S10545</t>
  </si>
  <si>
    <t>S10553</t>
  </si>
  <si>
    <t>S10554</t>
  </si>
  <si>
    <t>S10555</t>
  </si>
  <si>
    <t>S10556</t>
  </si>
  <si>
    <t>S10567</t>
  </si>
  <si>
    <t>S10569</t>
  </si>
  <si>
    <t>CAIXA DE PASSAGEM / DERIVACAO / LUZ, OCTOGONAL 4 X4, EM ACO ESMALTADA, COM FUNDO MOVEL SIMPLES (FMS)</t>
  </si>
  <si>
    <t>S10575</t>
  </si>
  <si>
    <t>S10577</t>
  </si>
  <si>
    <t>S10578</t>
  </si>
  <si>
    <t>S10579</t>
  </si>
  <si>
    <t>S10582</t>
  </si>
  <si>
    <t>S10583</t>
  </si>
  <si>
    <t>S10587</t>
  </si>
  <si>
    <t>S10588</t>
  </si>
  <si>
    <t>S10589</t>
  </si>
  <si>
    <t>S10592</t>
  </si>
  <si>
    <t>S10597</t>
  </si>
  <si>
    <t>S10598</t>
  </si>
  <si>
    <t>TRATOR DE PNEUS COM POTENCIA DE 50 CV, TRACAO 4 X 2, PESO COM LASTRO DE 2714 KG</t>
  </si>
  <si>
    <t>S106</t>
  </si>
  <si>
    <t>S10601</t>
  </si>
  <si>
    <t>USINA DE ASFALTO A QUENTE, FIXA, TIPO CONTRA FLUXO, CAPACIDADE DE 100 A 140 T/H, POTENCIA DE 280 KW, COM MISTURADOR EXTERNO ROTATIVO</t>
  </si>
  <si>
    <t>S10604</t>
  </si>
  <si>
    <t>S10605</t>
  </si>
  <si>
    <t>S10608</t>
  </si>
  <si>
    <t>MESA VIBRATORIA COM DIMENSOES DE 2,0 X 1,0 M, COM MOTOR ELETRICO DE 2 POLOS E POTENCIA DE 3 CV</t>
  </si>
  <si>
    <t>S10617</t>
  </si>
  <si>
    <t>CAIXA INTERNA/EXTERNA DE MEDICAO PARA 1 MEDIDOR TRIFASICO, COM VISOR, EM CHAPA DE ACO 18 USG (PADRAO DA CONCESSIONARIA LOCAL)</t>
  </si>
  <si>
    <t>S10629</t>
  </si>
  <si>
    <t>S10630</t>
  </si>
  <si>
    <t>S10640</t>
  </si>
  <si>
    <t>REGUA VIBRATORIA DE CONCRETO TRELICADA, EQUIPADA COM MOTOR A GASOLINA DE 9 HP</t>
  </si>
  <si>
    <t>S10642</t>
  </si>
  <si>
    <t>ROLO COMPACTADOR DE PNEUS, ESTATICO, PRESSAO VARIAVEL, POTENCIA 111 HP, PESO SEM/COM LASTRO 9,5/26,0 T, LARGURA DE ROLAGEM 1,90 M</t>
  </si>
  <si>
    <t>S10646</t>
  </si>
  <si>
    <t>ROLO COMPACTADOR VIBRATORIO DE UM CILINDRO, ACO LISO, POTENCIA 80 HP, PESO OPERACIONAL MAXIMO 8,1 T, IMPACTO DINAMICO 16,15/9,5 T, LARGURA TRABALHO 1,68 M</t>
  </si>
  <si>
    <t>S10658</t>
  </si>
  <si>
    <t>ALISADORA DE CONCRETO COM MOTOR A GASOLINA DE 5,5 HP, PESO COM MOTOR DE 78 KG, 4 PAS</t>
  </si>
  <si>
    <t>S10667</t>
  </si>
  <si>
    <t>S1068</t>
  </si>
  <si>
    <t>CAIXA PARA MEDICAO COLETIVA TIPO L, PADRAO BIFASICO OU TRIFASICO, PARA ATE 4 MEDIDORES, SEM BARRAMENTO E COM PORTAS INFERIOR E SUPERIOR</t>
  </si>
  <si>
    <t>S10685</t>
  </si>
  <si>
    <t>S10691</t>
  </si>
  <si>
    <t>SOLVENTE PARA COLA A BASE DE RESINA SINTETICA (PARA COLA DE LAMINADO MELAMINICO E OUTRAS SUPERFICIES)</t>
  </si>
  <si>
    <t>S10698</t>
  </si>
  <si>
    <t>DIVISORIA, PLACA PRE-MOLDADA EM GRANILITE, MARMORITE OU GRANITINA, E = *3 CM</t>
  </si>
  <si>
    <t>S107</t>
  </si>
  <si>
    <t>S10700</t>
  </si>
  <si>
    <t>ARADO REVERSIVEL COM 3 DISCOS DE 26" X 6MM REBOCAVEL</t>
  </si>
  <si>
    <t>S10708</t>
  </si>
  <si>
    <t>S10709</t>
  </si>
  <si>
    <t>S10710</t>
  </si>
  <si>
    <t>S10712</t>
  </si>
  <si>
    <t>GUINDAUTO HIDRAULICO, CAPACIDADE MAXIMA DE CARGA 3300 KG, MOMENTO MAXIMO DE CARGA 5,8 TM, ALCANCE MAXIMO HORIZONTAL 7,60 M, PARA MONTAGEM SOBRE CHASSI DE CAMINHAO PBT MINIMO 8000 KG (INCLUI MONTAGEM, NAO INCLUI CAMINHAO)</t>
  </si>
  <si>
    <t>S10730</t>
  </si>
  <si>
    <t>PEDRA ARDOSIA, CINZA, 30 X 30, E= *1 CM</t>
  </si>
  <si>
    <t>S10731</t>
  </si>
  <si>
    <t>PEDRA ARDOSIA, CINZA, *40 X 40* CM, E= *1 CM</t>
  </si>
  <si>
    <t>S10734</t>
  </si>
  <si>
    <t>PEDRA GRANITICA, SERRADA, TIPO MIRACEMA, MADEIRA, PADUANA, RACHINHA, SANTA ISABEL OU OUTRAS SIMILARES, *11,5 X *23 CM, E= *1,0 A *2,0 CM</t>
  </si>
  <si>
    <t>S10737</t>
  </si>
  <si>
    <t>PEDRA GRANITICA OU BASALTO, CACO, RETALHO, CAVACO, TIPO MIRACEMA, MADEIRA, PADUANA, RACHINHA, SANTA ISABEL OU OUTRAS SIMILARES, E= *1,0 A *2,0 CM</t>
  </si>
  <si>
    <t>S10740</t>
  </si>
  <si>
    <t>TALHA ELETRICA 3 T, VELOCIDADE 2,1 M / MIN, POTENCIA 1,3 KW</t>
  </si>
  <si>
    <t>S10742</t>
  </si>
  <si>
    <t>TALHA MANUAL DE CORRENTE, CAPACIDADE DE 2 T COM ELEVACAO DE 3 M</t>
  </si>
  <si>
    <t>S10743</t>
  </si>
  <si>
    <t>TROLEY MANUAL CAPACIDADE 1 T</t>
  </si>
  <si>
    <t>S10747</t>
  </si>
  <si>
    <t>S10749</t>
  </si>
  <si>
    <t>S10775</t>
  </si>
  <si>
    <t>S10776</t>
  </si>
  <si>
    <t>S10777</t>
  </si>
  <si>
    <t>S10778</t>
  </si>
  <si>
    <t>S10779</t>
  </si>
  <si>
    <t>S10781</t>
  </si>
  <si>
    <t>EXTREMIDADE/TUBETE PARA HIDROMETRO PVC, COM ROSCA, CURTA, COM BUCHA LATAO, 3/4" OU 1/2"</t>
  </si>
  <si>
    <t>S108</t>
  </si>
  <si>
    <t>S10818</t>
  </si>
  <si>
    <t>S10826</t>
  </si>
  <si>
    <t>S10835</t>
  </si>
  <si>
    <t>S10836</t>
  </si>
  <si>
    <t>S10840</t>
  </si>
  <si>
    <t>S10841</t>
  </si>
  <si>
    <t>S10842</t>
  </si>
  <si>
    <t>S10848</t>
  </si>
  <si>
    <t>PLACA DE INAUGURACAO METALICA, *40* CM X *60* CM</t>
  </si>
  <si>
    <t>S10849</t>
  </si>
  <si>
    <t>PLACA DE INAUGURACAO EM BRONZE *35X 50*CM</t>
  </si>
  <si>
    <t>S10850</t>
  </si>
  <si>
    <t>PLACA NUMERACAO RESIDENCIAL EM CHAPA GALVANIZADA ESMALTADA 12 X 18 CM</t>
  </si>
  <si>
    <t>S10851</t>
  </si>
  <si>
    <t>S10853</t>
  </si>
  <si>
    <t>S10856</t>
  </si>
  <si>
    <t>SOLEIRA PRE-MOLDADA EM GRANILITE, MARMORITE OU GRANITINA, L = *15 CM</t>
  </si>
  <si>
    <t>S10857</t>
  </si>
  <si>
    <t>RODAPE ARDOSIA, CINZA, 10 CM, E= *1CM</t>
  </si>
  <si>
    <t>S10885</t>
  </si>
  <si>
    <t>S10886</t>
  </si>
  <si>
    <t>S10888</t>
  </si>
  <si>
    <t>S10889</t>
  </si>
  <si>
    <t>S10890</t>
  </si>
  <si>
    <t>S10891</t>
  </si>
  <si>
    <t>S10892</t>
  </si>
  <si>
    <t>S10899</t>
  </si>
  <si>
    <t>S109</t>
  </si>
  <si>
    <t>S1090</t>
  </si>
  <si>
    <t>S10900</t>
  </si>
  <si>
    <t>S10902</t>
  </si>
  <si>
    <t>S10903</t>
  </si>
  <si>
    <t>S10904</t>
  </si>
  <si>
    <t>S10905</t>
  </si>
  <si>
    <t>S10908</t>
  </si>
  <si>
    <t>S10909</t>
  </si>
  <si>
    <t>S1091</t>
  </si>
  <si>
    <t>S10911</t>
  </si>
  <si>
    <t>S10917</t>
  </si>
  <si>
    <t>S1092</t>
  </si>
  <si>
    <t>S10921</t>
  </si>
  <si>
    <t>HIDRANTE DE COLUNA COMPLETO, EM FERRO FUNDIDO, DN = 100 MM, COM REGISTRO, CUNHA DE BORRACHA, CURVA DESSIMETRICA, EXTREMIDADE E TAMPAS (INCLUI KIT FIXACAO)</t>
  </si>
  <si>
    <t>S10922</t>
  </si>
  <si>
    <t>HIDRANTE DE COLUNA COMPLETO, EM FERRO FUNDIDO, DN = 75 MM, COM REGISTRO, CUNHA DE BORRACHA, CURVA DESSIMETRICA, EXTREMIDADE E TAMPAS (INCLUI KIT FIXACAO)</t>
  </si>
  <si>
    <t>S10923</t>
  </si>
  <si>
    <t>HIDRANTE SUBTERRANEO, EM FERRO FUNDIDO, COM CURVA CURTA E CAIXA, DN 75 MM</t>
  </si>
  <si>
    <t>S10924</t>
  </si>
  <si>
    <t>HIDRANTE SUBTERRANEO, EM FERRO FUNDIDO, COM CURVA LONGA E CAIXA, DN 75 MM</t>
  </si>
  <si>
    <t>S10927</t>
  </si>
  <si>
    <t>S10928</t>
  </si>
  <si>
    <t>S1093</t>
  </si>
  <si>
    <t>S10931</t>
  </si>
  <si>
    <t>S10932</t>
  </si>
  <si>
    <t>S10933</t>
  </si>
  <si>
    <t>S10935</t>
  </si>
  <si>
    <t>S10937</t>
  </si>
  <si>
    <t>S1094</t>
  </si>
  <si>
    <t>S1095</t>
  </si>
  <si>
    <t>S10956</t>
  </si>
  <si>
    <t>BASE PARA MASTRO DE PARA-RAIOS DIAMETRO NOMINAL 2"</t>
  </si>
  <si>
    <t>S10957</t>
  </si>
  <si>
    <t>CHAPA DE ACO GROSSA, ASTM A36, E = 3/4" (19,05 MM) 149,39 KG/M2</t>
  </si>
  <si>
    <t>S1096</t>
  </si>
  <si>
    <t>PERFIL "U" SIMPLES, EM CHAPA DOBRADA DE ACO LAMINADO, E = 8 MM, H = 150 MM, L = 75 MM (16,97 KG/M)</t>
  </si>
  <si>
    <t>S1097</t>
  </si>
  <si>
    <t>S1098</t>
  </si>
  <si>
    <t>S1099</t>
  </si>
  <si>
    <t>S10997</t>
  </si>
  <si>
    <t>S10998</t>
  </si>
  <si>
    <t>S10999</t>
  </si>
  <si>
    <t>S110</t>
  </si>
  <si>
    <t>S1100</t>
  </si>
  <si>
    <t>S11002</t>
  </si>
  <si>
    <t>S1101</t>
  </si>
  <si>
    <t>S1102</t>
  </si>
  <si>
    <t>S11026</t>
  </si>
  <si>
    <t>CHAPA DE ACO GALVANIZADA BITOLA GSG 14, E = 1,95 MM (15,60 KG/M2)</t>
  </si>
  <si>
    <t>S11027</t>
  </si>
  <si>
    <t>CHAPA DE ACO GALVANIZADA BITOLA GSG 16, E = 1,55 MM (12,40 KG/M2)</t>
  </si>
  <si>
    <t>S11029</t>
  </si>
  <si>
    <t>S11032</t>
  </si>
  <si>
    <t>S11033</t>
  </si>
  <si>
    <t>S11045</t>
  </si>
  <si>
    <t>LUVA SIMPLES PVC PBA, JE, DN 75 / DE 85 MM, PARA REDE DE AGUA</t>
  </si>
  <si>
    <t>S11046</t>
  </si>
  <si>
    <t>CHAPA DE ACO GALVANIZADA BITOLA GSG 18, E = 1,25 MM (10,00 KG/M2)</t>
  </si>
  <si>
    <t>S11047</t>
  </si>
  <si>
    <t>CHAPA DE ACO GALVANIZADA BITOLA GSG 19, E = 1,11 MM (8,88 KG/M2)</t>
  </si>
  <si>
    <t>S11049</t>
  </si>
  <si>
    <t>CHAPA DE ACO GALVANIZADA BITOLA GSG 22, E = 0,80 MM (6,40 KG/M2)</t>
  </si>
  <si>
    <t>S11051</t>
  </si>
  <si>
    <t>CHAPA DE ACO GALVANIZADA BITOLA GSG 26, E = 0,50 MM (4,00 KG/M2)</t>
  </si>
  <si>
    <t>S11054</t>
  </si>
  <si>
    <t>S11055</t>
  </si>
  <si>
    <t>S11056</t>
  </si>
  <si>
    <t>S11057</t>
  </si>
  <si>
    <t>S11058</t>
  </si>
  <si>
    <t>S11059</t>
  </si>
  <si>
    <t>S1106</t>
  </si>
  <si>
    <t>S11060</t>
  </si>
  <si>
    <t>S11061</t>
  </si>
  <si>
    <t>CHAPA DE ACO GALVANIZADA BITOLA GSG 30, E = 0,35 MM (2,80 KG/M2)</t>
  </si>
  <si>
    <t>S11062</t>
  </si>
  <si>
    <t>S11063</t>
  </si>
  <si>
    <t>S11067</t>
  </si>
  <si>
    <t>TELHA TRAPEZOIDAL EM ALUMINIO, ALTURA DE *38* MM E ESPESSURA DE 0,5 MM (LARGURA TOTAL DE 1056 MM E COMPRIMENTO DE 5000 MM)</t>
  </si>
  <si>
    <t>S11068</t>
  </si>
  <si>
    <t>TELHA TRAPEZOIDAL EM ALUMINIO, ALTURA DE *38* MM E ESPESSURA DE 0,7 MM (LARGURA TOTAL DE 1056 MM E COMPRIMENTO DE 5000 MM)</t>
  </si>
  <si>
    <t>S1107</t>
  </si>
  <si>
    <t>S11075</t>
  </si>
  <si>
    <t>S1108</t>
  </si>
  <si>
    <t>CALHA MOLDURA AMERICANA DE CHAPA DE ACO GALVANIZADA NUM 26, CORTE 33 CM</t>
  </si>
  <si>
    <t>S1109</t>
  </si>
  <si>
    <t>CALHA QUADRADA DE CHAPA DE ACO GALVANIZADA NUM 26, CORTE 33 CM</t>
  </si>
  <si>
    <t>S11091</t>
  </si>
  <si>
    <t>S111</t>
  </si>
  <si>
    <t>S1110</t>
  </si>
  <si>
    <t>CALHA PLATIBANDA DE CHAPA DE ACO GALVANIZADA NUM 26, CORTE 45 CM</t>
  </si>
  <si>
    <t>S11116</t>
  </si>
  <si>
    <t>S1113</t>
  </si>
  <si>
    <t>RUFO EXTERNO/INTERNO DE CHAPA DE ACO GALVANIZADA NUM 26, CORTE 33 CM</t>
  </si>
  <si>
    <t>S11134</t>
  </si>
  <si>
    <t>S11135</t>
  </si>
  <si>
    <t>S11136</t>
  </si>
  <si>
    <t>S11137</t>
  </si>
  <si>
    <t>S1114</t>
  </si>
  <si>
    <t>RUFO INTERNO DE CHAPA DE ACO GALVANIZADA NUM 26, CORTE 50 CM</t>
  </si>
  <si>
    <t>S11145</t>
  </si>
  <si>
    <t>S11146</t>
  </si>
  <si>
    <t>S11147</t>
  </si>
  <si>
    <t>S1115</t>
  </si>
  <si>
    <t>RUFO EXTERNO DE CHAPA DE ACO GALVANIZADA NUM 26, CORTE 28 CM</t>
  </si>
  <si>
    <t>S11154</t>
  </si>
  <si>
    <t>S1116</t>
  </si>
  <si>
    <t>RUFO EXTERNO DE CHAPA DE ACO GALVANIZADA NUM 26, CORTE 25 CM</t>
  </si>
  <si>
    <t>S11161</t>
  </si>
  <si>
    <t>S1117</t>
  </si>
  <si>
    <t>CALHA PARA AGUA FURTADA DE CHAPA DE ACO GALVANIZADA NUM 26, CORTE 40 CM</t>
  </si>
  <si>
    <t>S1118</t>
  </si>
  <si>
    <t>CALHA PARA AGUA FURTADA DE CHAPA DE ACO GALVANIZADA NUM 26, CORTE 50 CM</t>
  </si>
  <si>
    <t>S11185</t>
  </si>
  <si>
    <t>S11186</t>
  </si>
  <si>
    <t>S11188</t>
  </si>
  <si>
    <t>S11189</t>
  </si>
  <si>
    <t>S1119</t>
  </si>
  <si>
    <t>CALHA QUADRADA DE CHAPA DE ACO GALVANIZADA NUM 28, CORTE 25 CM</t>
  </si>
  <si>
    <t>S11190</t>
  </si>
  <si>
    <t>JANELA BASCULANTE, ACO, COM BATENTE/REQUADRO, 60 X 60 CM (SEM VIDROS)</t>
  </si>
  <si>
    <t>S11199</t>
  </si>
  <si>
    <t>JANELA DE CORRER, ACO, BATENTE/REQUADRO DE 6 A 14 CM, COM DIVISAO HORIZ, PINT ANTICORROSIVA, SEM VIDRO, BANDEIRA COM BASCULA, 4 FLS, 120 X 150 CM (A X L)</t>
  </si>
  <si>
    <t>S112</t>
  </si>
  <si>
    <t>S11234</t>
  </si>
  <si>
    <t>S11235</t>
  </si>
  <si>
    <t>S11236</t>
  </si>
  <si>
    <t>S11241</t>
  </si>
  <si>
    <t>S11244</t>
  </si>
  <si>
    <t>S11245</t>
  </si>
  <si>
    <t>S11247</t>
  </si>
  <si>
    <t>CAIXA DE PASSAGEM/ LUZ / TELEFONIA, DE EMBUTIR, EM CHAPA DE ACO GALVANIZADO, DIMENSOES 150 X 150 X 15 CM (PADRAO CONCESSIONARIA LOCAL)</t>
  </si>
  <si>
    <t>S11249</t>
  </si>
  <si>
    <t>CAIXA DE PASSAGEM/ LUZ / TELEFONIA, DE EMBUTIR, EM CHAPA DE ACO GALVANIZADO, DIMENSOES 200 X 200 X 20 CM (PADRAO CONCESSIONARIA LOCAL)</t>
  </si>
  <si>
    <t>S11250</t>
  </si>
  <si>
    <t>CAIXA DE PASSAGEM/ LUZ / TELEFONIA, DE EMBUTIR, EM CHAPA DE ACO GALVANIZADO, DIMENSOES 20 X 20 X *12* CM (PADRAO CONCESSIONARIA LOCAL)</t>
  </si>
  <si>
    <t>S11251</t>
  </si>
  <si>
    <t>CAIXA DE PASSAGEM/ LUZ / TELEFONIA, DE EMBUTIR, EM CHAPA DE ACO GALVANIZADO, DIMENSOES 40 X 40 X *12* CM (PADRAO CONCESSIONARIA LOCAL)</t>
  </si>
  <si>
    <t>S11253</t>
  </si>
  <si>
    <t>CAIXA DE PASSAGEM/ LUZ / TELEFONIA, DE EMBUTIR, EM CHAPA DE ACO GALVANIZADO, DIMENSOES 60 X 60 X *12* CM (PADRAO CONCESSIONARIA LOCAL)</t>
  </si>
  <si>
    <t>S11255</t>
  </si>
  <si>
    <t>CAIXA DE PASSAGEM/ LUZ / TELEFONIA, DE EMBUTIR, EM CHAPA DE ACO GALVANIZADO, DIMENSOES 80 X 80 X *12* CM (PADRAO CONCESSIONARIA LOCAL)</t>
  </si>
  <si>
    <t>S11256</t>
  </si>
  <si>
    <t>CAIXA DE PASSAGEM/ LUZ / TELEFONIA, DE SOBREPOR, EM CHAPA DE ACO GALVANIZADO, DIMENSOES 80 X 80 X *12* CM (PADRAO CONCESSIONARIA LOCAL)</t>
  </si>
  <si>
    <t>S11267</t>
  </si>
  <si>
    <t>ARRUELA LISA, REDONDA, DE LATAO POLIDO, DIAMETRO NOMINAL 5/8", DIAMETRO EXTERNO = 34 MM, DIAMETRO DO FURO = 17 MM, ESPESSURA = *2,5* MM</t>
  </si>
  <si>
    <t>S11270</t>
  </si>
  <si>
    <t>S11272</t>
  </si>
  <si>
    <t>S11273</t>
  </si>
  <si>
    <t>S11274</t>
  </si>
  <si>
    <t>S11275</t>
  </si>
  <si>
    <t>S11280</t>
  </si>
  <si>
    <t>S11281</t>
  </si>
  <si>
    <t>COMPACTADOR DE SOLO A PERCUSSAO (SOQUETE), A GASOLINA 4 TEMPOS, PESO 55 A 65 KG, FORCA DE IMPACTO 1.000 A 1.500 KGF, FREQ. 600 A 700 GOLPES P/ MINUTO, VELOCIDADE TRABALHO DE 10 A 15 M/MIN, POT. DE 2,00 A 3,00 HP</t>
  </si>
  <si>
    <t>S11289</t>
  </si>
  <si>
    <t>S11296</t>
  </si>
  <si>
    <t>S11299</t>
  </si>
  <si>
    <t>S113</t>
  </si>
  <si>
    <t>S11301</t>
  </si>
  <si>
    <t>S11315</t>
  </si>
  <si>
    <t>S11316</t>
  </si>
  <si>
    <t>S11321</t>
  </si>
  <si>
    <t>REDUCAO PVC PBA, JE, PB, DN 100 X 50 / DE 110 X 60 MM, PARA REDE DE AGUA</t>
  </si>
  <si>
    <t>S11323</t>
  </si>
  <si>
    <t>REDUCAO PVC PBA, JE, PB, DN 100 X 75 / DE 110 X 85 MM, PARA REDE DE AGUA</t>
  </si>
  <si>
    <t>S11359</t>
  </si>
  <si>
    <t>S11364</t>
  </si>
  <si>
    <t>S11365</t>
  </si>
  <si>
    <t>S11366</t>
  </si>
  <si>
    <t>S11378</t>
  </si>
  <si>
    <t>TE DE REDUCAO, PVC PBA, BBB, JE, DN 100 X 50 / DE 110 X 60 MM, PARA REDE DE AGUA</t>
  </si>
  <si>
    <t>S11379</t>
  </si>
  <si>
    <t>TE DE REDUCAO, PVC PBA, BBB, JE, DN 100 X 75 / DE 110 X 85 MM, PARA REDE DE AGUA</t>
  </si>
  <si>
    <t>S11427</t>
  </si>
  <si>
    <t>POLVORA NEGRA</t>
  </si>
  <si>
    <t>S11447</t>
  </si>
  <si>
    <t>S11451</t>
  </si>
  <si>
    <t>S11455</t>
  </si>
  <si>
    <t>S11456</t>
  </si>
  <si>
    <t>S11457</t>
  </si>
  <si>
    <t>S11458</t>
  </si>
  <si>
    <t>S11461</t>
  </si>
  <si>
    <t>S11462</t>
  </si>
  <si>
    <t>S11467</t>
  </si>
  <si>
    <t>S11468</t>
  </si>
  <si>
    <t>S11469</t>
  </si>
  <si>
    <t>S11476</t>
  </si>
  <si>
    <t>S11478</t>
  </si>
  <si>
    <t>S11479</t>
  </si>
  <si>
    <t>S11480</t>
  </si>
  <si>
    <t>S11481</t>
  </si>
  <si>
    <t>S11484</t>
  </si>
  <si>
    <t>S11493</t>
  </si>
  <si>
    <t>TE DE REDUCAO, PVC PBA, BBB, JE, DN 75 X 50 / DE 85 X 60 MM, PARA REDE DE AGUA</t>
  </si>
  <si>
    <t>S11499</t>
  </si>
  <si>
    <t>S11518</t>
  </si>
  <si>
    <t>S11519</t>
  </si>
  <si>
    <t>S11520</t>
  </si>
  <si>
    <t>S11522</t>
  </si>
  <si>
    <t>S11552</t>
  </si>
  <si>
    <t>S11557</t>
  </si>
  <si>
    <t>S11558</t>
  </si>
  <si>
    <t>S11560</t>
  </si>
  <si>
    <t>S11561</t>
  </si>
  <si>
    <t>S11572</t>
  </si>
  <si>
    <t>S11573</t>
  </si>
  <si>
    <t>S11575</t>
  </si>
  <si>
    <t>S11577</t>
  </si>
  <si>
    <t>S11578</t>
  </si>
  <si>
    <t>S11580</t>
  </si>
  <si>
    <t>S11581</t>
  </si>
  <si>
    <t>S11587</t>
  </si>
  <si>
    <t>S11588</t>
  </si>
  <si>
    <t>S1159</t>
  </si>
  <si>
    <t>S11592</t>
  </si>
  <si>
    <t>S11593</t>
  </si>
  <si>
    <t>S11594</t>
  </si>
  <si>
    <t>S11596</t>
  </si>
  <si>
    <t>S11597</t>
  </si>
  <si>
    <t>S11599</t>
  </si>
  <si>
    <t>S11609</t>
  </si>
  <si>
    <t>S11615</t>
  </si>
  <si>
    <t>POLIESTIRENO EXPANDIDO/EPS (ISOPOR), TIPO 2F, PLACA, ISOLAMENTO TERMOACUSTICO, E = 10 MM, 1000 X 500 MM</t>
  </si>
  <si>
    <t>S11616</t>
  </si>
  <si>
    <t>S1162</t>
  </si>
  <si>
    <t>CAP OU TAMPAO DE FERRO GALVANIZADO, COM ROSCA BSP, DE 1/2"</t>
  </si>
  <si>
    <t>S11621</t>
  </si>
  <si>
    <t>S11622</t>
  </si>
  <si>
    <t>S1163</t>
  </si>
  <si>
    <t>CAP OU TAMPAO DE FERRO GALVANIZADO, COM ROSCA BSP, DE 3/4"</t>
  </si>
  <si>
    <t>S1164</t>
  </si>
  <si>
    <t>CAP OU TAMPAO DE FERRO GALVANIZADO, COM ROSCA BSP, DE 1 1/4"</t>
  </si>
  <si>
    <t>S11649</t>
  </si>
  <si>
    <t>S1165</t>
  </si>
  <si>
    <t>CAP OU TAMPAO DE FERRO GALVANIZADO, COM ROSCA BSP, DE 1 1/2"</t>
  </si>
  <si>
    <t>S11650</t>
  </si>
  <si>
    <t>S11651</t>
  </si>
  <si>
    <t>S11652</t>
  </si>
  <si>
    <t>VIBRADOR DE IMERSAO, DIAMETRO DA PONTEIRA DE *35* MM, COM MOTOR 4 TEMPOS A GASOLINA DE 5,5 HP (5,5 CV)</t>
  </si>
  <si>
    <t>S11655</t>
  </si>
  <si>
    <t>S11656</t>
  </si>
  <si>
    <t>S11658</t>
  </si>
  <si>
    <t>S1166</t>
  </si>
  <si>
    <t>CAP OU TAMPAO DE FERRO GALVANIZADO, COM ROSCA BSP, DE 2"</t>
  </si>
  <si>
    <t>S11669</t>
  </si>
  <si>
    <t>S1167</t>
  </si>
  <si>
    <t>CAP OU TAMPAO DE FERRO GALVANIZADO, COM ROSCA BSP, DE 4"</t>
  </si>
  <si>
    <t>S11670</t>
  </si>
  <si>
    <t>S11671</t>
  </si>
  <si>
    <t>S11672</t>
  </si>
  <si>
    <t>S11673</t>
  </si>
  <si>
    <t>S11674</t>
  </si>
  <si>
    <t>S11675</t>
  </si>
  <si>
    <t>S11676</t>
  </si>
  <si>
    <t>S11677</t>
  </si>
  <si>
    <t>S11678</t>
  </si>
  <si>
    <t>S11679</t>
  </si>
  <si>
    <t>S1168</t>
  </si>
  <si>
    <t>CAP OU TAMPAO DE FERRO GALVANIZADO, COM ROSCA BSP, DE 3"</t>
  </si>
  <si>
    <t>S11680</t>
  </si>
  <si>
    <t>S11681</t>
  </si>
  <si>
    <t>S11683</t>
  </si>
  <si>
    <t>S11684</t>
  </si>
  <si>
    <t>S11685</t>
  </si>
  <si>
    <t>S11686</t>
  </si>
  <si>
    <t>S11687</t>
  </si>
  <si>
    <t>S11688</t>
  </si>
  <si>
    <t>S11689</t>
  </si>
  <si>
    <t>S1169</t>
  </si>
  <si>
    <t>CAP OU TAMPAO DE FERRO GALVANIZADO, COM ROSCA BSP, DE 2 1/2"</t>
  </si>
  <si>
    <t>S11690</t>
  </si>
  <si>
    <t>S11692</t>
  </si>
  <si>
    <t>S11693</t>
  </si>
  <si>
    <t>S11694</t>
  </si>
  <si>
    <t>S11696</t>
  </si>
  <si>
    <t>S11697</t>
  </si>
  <si>
    <t>S11698</t>
  </si>
  <si>
    <t>S11699</t>
  </si>
  <si>
    <t>S1170</t>
  </si>
  <si>
    <t>CAP OU TAMPAO DE FERRO GALVANIZADO, COM ROSCA BSP, DE 1"</t>
  </si>
  <si>
    <t>S11703</t>
  </si>
  <si>
    <t>S11707</t>
  </si>
  <si>
    <t>S11708</t>
  </si>
  <si>
    <t>S11709</t>
  </si>
  <si>
    <t>S11710</t>
  </si>
  <si>
    <t>S11711</t>
  </si>
  <si>
    <t>S11712</t>
  </si>
  <si>
    <t>S11714</t>
  </si>
  <si>
    <t>S11717</t>
  </si>
  <si>
    <t>S11718</t>
  </si>
  <si>
    <t>S11719</t>
  </si>
  <si>
    <t>S11731</t>
  </si>
  <si>
    <t>S11732</t>
  </si>
  <si>
    <t>S11735</t>
  </si>
  <si>
    <t>S11737</t>
  </si>
  <si>
    <t>S11738</t>
  </si>
  <si>
    <t>S11739</t>
  </si>
  <si>
    <t>S11741</t>
  </si>
  <si>
    <t>S11743</t>
  </si>
  <si>
    <t>S11745</t>
  </si>
  <si>
    <t>S11746</t>
  </si>
  <si>
    <t>S11747</t>
  </si>
  <si>
    <t>S11748</t>
  </si>
  <si>
    <t>S11749</t>
  </si>
  <si>
    <t>S11750</t>
  </si>
  <si>
    <t>S11751</t>
  </si>
  <si>
    <t>S11752</t>
  </si>
  <si>
    <t>S11753</t>
  </si>
  <si>
    <t>S11756</t>
  </si>
  <si>
    <t>S11757</t>
  </si>
  <si>
    <t>S11758</t>
  </si>
  <si>
    <t>S11761</t>
  </si>
  <si>
    <t>S11762</t>
  </si>
  <si>
    <t>S11763</t>
  </si>
  <si>
    <t>S11764</t>
  </si>
  <si>
    <t>S11765</t>
  </si>
  <si>
    <t>S11766</t>
  </si>
  <si>
    <t>S11767</t>
  </si>
  <si>
    <t>S11769</t>
  </si>
  <si>
    <t>S11771</t>
  </si>
  <si>
    <t>S11772</t>
  </si>
  <si>
    <t>S11773</t>
  </si>
  <si>
    <t>S11777</t>
  </si>
  <si>
    <t>S11781</t>
  </si>
  <si>
    <t>S11786</t>
  </si>
  <si>
    <t>S11789</t>
  </si>
  <si>
    <t>S11790</t>
  </si>
  <si>
    <t>PARAFUSO M16 EM ACO GALVANIZADO, COMPRIMENTO = 450 MM, DIAMETRO = 16 MM, ROSCA MAQUINA, CABECA QUADRADA</t>
  </si>
  <si>
    <t>S11795</t>
  </si>
  <si>
    <t>S118</t>
  </si>
  <si>
    <t>S11811</t>
  </si>
  <si>
    <t>S11814</t>
  </si>
  <si>
    <t>S11816</t>
  </si>
  <si>
    <t>S11821</t>
  </si>
  <si>
    <t>S11822</t>
  </si>
  <si>
    <t>S11823</t>
  </si>
  <si>
    <t>S11824</t>
  </si>
  <si>
    <t>S11825</t>
  </si>
  <si>
    <t>S11826</t>
  </si>
  <si>
    <t>S11829</t>
  </si>
  <si>
    <t>S1183</t>
  </si>
  <si>
    <t>CAP, PVC PBA, JE, DN 75 / DE 85 MM, PARA REDE DE AGUA (NBR 10351)</t>
  </si>
  <si>
    <t>S11830</t>
  </si>
  <si>
    <t>S11831</t>
  </si>
  <si>
    <t>S11837</t>
  </si>
  <si>
    <t>S11838</t>
  </si>
  <si>
    <t>S11839</t>
  </si>
  <si>
    <t>S11844</t>
  </si>
  <si>
    <t>S1185</t>
  </si>
  <si>
    <t>S11854</t>
  </si>
  <si>
    <t>S11855</t>
  </si>
  <si>
    <t>S11856</t>
  </si>
  <si>
    <t>S11857</t>
  </si>
  <si>
    <t>S11858</t>
  </si>
  <si>
    <t>S11859</t>
  </si>
  <si>
    <t>S11862</t>
  </si>
  <si>
    <t>S11863</t>
  </si>
  <si>
    <t>S11864</t>
  </si>
  <si>
    <t>S11868</t>
  </si>
  <si>
    <t>S11869</t>
  </si>
  <si>
    <t>S11871</t>
  </si>
  <si>
    <t>S11880</t>
  </si>
  <si>
    <t>S11881</t>
  </si>
  <si>
    <t>CAIXA DE GORDURA CILINDRICA EM CONCRETO SIMPLES, PRE-MOLDADA, COM DIAMETRO DE 40 CM E ALTURA DE 45 CM, COM TAMPA</t>
  </si>
  <si>
    <t>S11882</t>
  </si>
  <si>
    <t>CAIXA PARA HIDROMETRO CONCRETO PRE MOLDADO, *0,24 M X 0,45 M X 0,30* M (L X C X A)</t>
  </si>
  <si>
    <t>S11889</t>
  </si>
  <si>
    <t>S1189</t>
  </si>
  <si>
    <t>S11890</t>
  </si>
  <si>
    <t>S11891</t>
  </si>
  <si>
    <t>S11892</t>
  </si>
  <si>
    <t>S119</t>
  </si>
  <si>
    <t>S11901</t>
  </si>
  <si>
    <t>S11902</t>
  </si>
  <si>
    <t>S11903</t>
  </si>
  <si>
    <t>S11904</t>
  </si>
  <si>
    <t>S11905</t>
  </si>
  <si>
    <t>S11906</t>
  </si>
  <si>
    <t>S1191</t>
  </si>
  <si>
    <t>S11914</t>
  </si>
  <si>
    <t>S11916</t>
  </si>
  <si>
    <t>S11917</t>
  </si>
  <si>
    <t>S11918</t>
  </si>
  <si>
    <t>S11919</t>
  </si>
  <si>
    <t>S11920</t>
  </si>
  <si>
    <t>S11921</t>
  </si>
  <si>
    <t>S11922</t>
  </si>
  <si>
    <t>S11923</t>
  </si>
  <si>
    <t>S11924</t>
  </si>
  <si>
    <t>S11927</t>
  </si>
  <si>
    <t>S11928</t>
  </si>
  <si>
    <t>S11929</t>
  </si>
  <si>
    <t>S1193</t>
  </si>
  <si>
    <t>S1194</t>
  </si>
  <si>
    <t>S11945</t>
  </si>
  <si>
    <t>S11946</t>
  </si>
  <si>
    <t>S11948</t>
  </si>
  <si>
    <t>S1195</t>
  </si>
  <si>
    <t>S11950</t>
  </si>
  <si>
    <t>S11953</t>
  </si>
  <si>
    <t>S11955</t>
  </si>
  <si>
    <t>S11960</t>
  </si>
  <si>
    <t>S11962</t>
  </si>
  <si>
    <t>S11963</t>
  </si>
  <si>
    <t>S11964</t>
  </si>
  <si>
    <t>S1197</t>
  </si>
  <si>
    <t>S11971</t>
  </si>
  <si>
    <t>S11975</t>
  </si>
  <si>
    <t>S11976</t>
  </si>
  <si>
    <t>S11977</t>
  </si>
  <si>
    <t>S1198</t>
  </si>
  <si>
    <t>S11981</t>
  </si>
  <si>
    <t>S11991</t>
  </si>
  <si>
    <t>S12</t>
  </si>
  <si>
    <t>S1200</t>
  </si>
  <si>
    <t>S12001</t>
  </si>
  <si>
    <t>S12008</t>
  </si>
  <si>
    <t>S12010</t>
  </si>
  <si>
    <t>S12015</t>
  </si>
  <si>
    <t>S12016</t>
  </si>
  <si>
    <t>S12019</t>
  </si>
  <si>
    <t>S1202</t>
  </si>
  <si>
    <t>S12020</t>
  </si>
  <si>
    <t>S12025</t>
  </si>
  <si>
    <t>S12030</t>
  </si>
  <si>
    <t>S12032</t>
  </si>
  <si>
    <t>S12033</t>
  </si>
  <si>
    <t>S12034</t>
  </si>
  <si>
    <t>S12038</t>
  </si>
  <si>
    <t>QUADRO DE DISTRIBUICAO COM BARRAMENTO TRIFASICO, DE SOBREPOR, EM CHAPA DE ACO GALVANIZADO, PARA 18 DISJUNTORES DIN, 100 A</t>
  </si>
  <si>
    <t>S12039</t>
  </si>
  <si>
    <t>QUADRO DE DISTRIBUICAO COM BARRAMENTO TRIFASICO, DE EMBUTIR, EM CHAPA DE ACO GALVANIZADO, PARA 24 DISJUNTORES DIN, 100 A</t>
  </si>
  <si>
    <t>S1204</t>
  </si>
  <si>
    <t>S12041</t>
  </si>
  <si>
    <t>QUADRO DE DISTRIBUICAO COM BARRAMENTO TRIFASICO, DE EMBUTIR, EM CHAPA DE ACO GALVANIZADO, PARA 30 DISJUNTORES DIN, 150 A</t>
  </si>
  <si>
    <t>S12042</t>
  </si>
  <si>
    <t>QUADRO DE DISTRIBUICAO COM BARRAMENTO TRIFASICO, DE EMBUTIR, EM CHAPA DE ACO GALVANIZADO, PARA 40 DISJUNTORES DIN, 100 A</t>
  </si>
  <si>
    <t>S12043</t>
  </si>
  <si>
    <t>QUADRO DE DISTRIBUICAO COM BARRAMENTO TRIFASICO, DE EMBUTIR, EM CHAPA DE ACO GALVANIZADO, PARA 30 DISJUNTORES DIN, 225 A</t>
  </si>
  <si>
    <t>S12056</t>
  </si>
  <si>
    <t>S12057</t>
  </si>
  <si>
    <t>S12058</t>
  </si>
  <si>
    <t>S12059</t>
  </si>
  <si>
    <t>S1206</t>
  </si>
  <si>
    <t>CAP, PVC PBA, JE, DN 50 / DE 60 MM, PARA REDE DE AGUA (NBR 10351)</t>
  </si>
  <si>
    <t>S12060</t>
  </si>
  <si>
    <t>S12061</t>
  </si>
  <si>
    <t>S12062</t>
  </si>
  <si>
    <t>S12067</t>
  </si>
  <si>
    <t>S1207</t>
  </si>
  <si>
    <t>CAP, PVC PBA, JE, DN 100 / DE 110 MM, PARA REDE DE AGUA (NBR 10351)</t>
  </si>
  <si>
    <t>S12070</t>
  </si>
  <si>
    <t>S12076</t>
  </si>
  <si>
    <t>TRANSFORMADOR TRIFASICO DE DISTRIBUICAO, POTENCIA DE 15 KVA, TENSAO NOMINAL DE 15 KV, TENSAO SECUNDARIA DE 220/127V, EM OLEO ISOLANTE TIPO MINERAL</t>
  </si>
  <si>
    <t>S12114</t>
  </si>
  <si>
    <t>S12118</t>
  </si>
  <si>
    <t>S12128</t>
  </si>
  <si>
    <t>S12129</t>
  </si>
  <si>
    <t>S1213</t>
  </si>
  <si>
    <t>S1214</t>
  </si>
  <si>
    <t>S12147</t>
  </si>
  <si>
    <t>S122</t>
  </si>
  <si>
    <t>S12266</t>
  </si>
  <si>
    <t>LUMINARIA SPOT DE SOBREPOR EM ALUMINIO COM ALETA PLASTICA PARA 1 LAMPADA, BASE E27, POTENCIA MAXIMA 40/60 W (NAO INCLUI LAMPADA)</t>
  </si>
  <si>
    <t>S12267</t>
  </si>
  <si>
    <t>LUMINARIA PROVA DE TEMPO PETERCO Y.31/1</t>
  </si>
  <si>
    <t>S12271</t>
  </si>
  <si>
    <t>LUMINARIA DUPLA P/SINALIZACAO, TIPO WETZEL AS-2/110 OU EQUIV</t>
  </si>
  <si>
    <t>S12294</t>
  </si>
  <si>
    <t>S12295</t>
  </si>
  <si>
    <t>S12296</t>
  </si>
  <si>
    <t>S123</t>
  </si>
  <si>
    <t>S12327</t>
  </si>
  <si>
    <t>S12329</t>
  </si>
  <si>
    <t>S12343</t>
  </si>
  <si>
    <t>FUSIVEL DIAZED 35 A TAMANHO DIII, CAPACIDADE DE INTERRUPCAO DE 50 KA EM VCA E 8 KA EM VCC, TENSAO NOMINAL DE 500 V</t>
  </si>
  <si>
    <t>S12344</t>
  </si>
  <si>
    <t>FUSIVEL DIAZED 20 A TAMANHO DII, CAPACIDADE DE INTERRUPCAO DE 50 KA EM VCA E 8 KA EM VCC, TENSAO NOMINAL DE 500 V</t>
  </si>
  <si>
    <t>S12359</t>
  </si>
  <si>
    <t>S12362</t>
  </si>
  <si>
    <t>S12366</t>
  </si>
  <si>
    <t>POSTE DE CONCRETO ARMADO DE SECAO CIRCULAR, EXTENSAO DE 10,00 M, RESISTENCIA DE 150 A 200 DAN, TIPO C-14</t>
  </si>
  <si>
    <t>S12372</t>
  </si>
  <si>
    <t>POSTE DE CONCRETO ARMADO DE SECAO DUPLO T, EXTENSAO DE 11,00 M, RESISTENCIA DE 200 DAN, TIPO D</t>
  </si>
  <si>
    <t>S12388</t>
  </si>
  <si>
    <t>POSTE DECORATIVO PARA JARDIM EM ACO TUBULAR, SEM LUMINARIA, H = *2,5* M</t>
  </si>
  <si>
    <t>S12394</t>
  </si>
  <si>
    <t>BUCHA DE REDUCAO DE FERRO GALVANIZADO, COM ROSCA BSP, DE 1/2" X 3/8"</t>
  </si>
  <si>
    <t>S12395</t>
  </si>
  <si>
    <t>CAP OU TAMPAO DE FERRO GALVANIZADO, COM ROSCA BSP, DE 1/4"</t>
  </si>
  <si>
    <t>S12396</t>
  </si>
  <si>
    <t>CAP OU TAMPAO DE FERRO GALVANIZADO, COM ROSCA BSP, DE 3/8"</t>
  </si>
  <si>
    <t>S124</t>
  </si>
  <si>
    <t>S12402</t>
  </si>
  <si>
    <t>COTOVELO 45 GRAUS DE FERRO GALVANIZADO, COM ROSCA BSP, DE 2 1/2"</t>
  </si>
  <si>
    <t>S12403</t>
  </si>
  <si>
    <t>COTOVELO DE REDUCAO 90 GRAUS DE FERRO GALVANIZADO, COM ROSCA BSP, DE 1 1/4" X 1"</t>
  </si>
  <si>
    <t>S12404</t>
  </si>
  <si>
    <t>LUVA DE FERRO GALVANIZADO, COM ROSCA BSP MACHO/FEMEA, DE 3/4"</t>
  </si>
  <si>
    <t>S12406</t>
  </si>
  <si>
    <t>LUVA DE REDUCAO DE FERRO GALVANIZADO, COM ROSCA BSP, DE 3/4" X 1/2"</t>
  </si>
  <si>
    <t>S12407</t>
  </si>
  <si>
    <t>LUVA DE REDUCAO DE FERRO GALVANIZADO, COM ROSCA BSP MACHO/FEMEA, DE 1 1/2" X 1"</t>
  </si>
  <si>
    <t>S12408</t>
  </si>
  <si>
    <t>LUVA DE REDUCAO DE FERRO GALVANIZADO, COM ROSCA BSP MACHO/FEMEA, DE 1" X 1/2"</t>
  </si>
  <si>
    <t>S12409</t>
  </si>
  <si>
    <t>LUVA DE REDUCAO DE FERRO GALVANIZADO, COM ROSCA BSP MACHO/FEMEA, DE 1" X 3/4"</t>
  </si>
  <si>
    <t>S12410</t>
  </si>
  <si>
    <t>LUVA DE REDUCAO DE FERRO GALVANIZADO, COM ROSCA BSP MACHO/FEMEA, DE 3/4" X 1/2"</t>
  </si>
  <si>
    <t>S12411</t>
  </si>
  <si>
    <t>PLUG OU BUJAO DE FERRO GALVANIZADO, DE 2 1/2"</t>
  </si>
  <si>
    <t>S12412</t>
  </si>
  <si>
    <t>PLUG OU BUJAO DE FERRO GALVANIZADO, DE 4"</t>
  </si>
  <si>
    <t>S12424</t>
  </si>
  <si>
    <t>UNIAO DE FERRO GALVANIZADO, COM ASSENTO CONICO DE BRONZE, DE 1 1/2"</t>
  </si>
  <si>
    <t>S12425</t>
  </si>
  <si>
    <t>UNIAO COM ASSENTO CONICO DE BRONZE, DIAMETRO 1"</t>
  </si>
  <si>
    <t>S12426</t>
  </si>
  <si>
    <t>UNIAO COM ASSENTO CONICO DE BRONZE, DIAMETRO 1/2"</t>
  </si>
  <si>
    <t>S12427</t>
  </si>
  <si>
    <t>UNIAO COM ASSENTO CONICO DE BRONZE, DIAMETRO 2 1/2"</t>
  </si>
  <si>
    <t>S12428</t>
  </si>
  <si>
    <t>UNIAO COM ASSENTO CONICO DE BRONZE, DIAMETRO 2"</t>
  </si>
  <si>
    <t>S12429</t>
  </si>
  <si>
    <t>UNIAO COM ASSENTO CONICO DE BRONZE, DIAMETRO 3"</t>
  </si>
  <si>
    <t>S12430</t>
  </si>
  <si>
    <t>UNIAO COM ASSENTO CONICO DE BRONZE, DIAMETRO 3/4"</t>
  </si>
  <si>
    <t>S12431</t>
  </si>
  <si>
    <t>UNIAO COM ASSENTO CONICO DE BRONZE, DIAMETRO 4"</t>
  </si>
  <si>
    <t>S12432</t>
  </si>
  <si>
    <t>UNIAO COM ASSENTO CONICO DE FERRO LONGO (MACHO-FEMEA), DIAMETRO 1 1/2"</t>
  </si>
  <si>
    <t>S12433</t>
  </si>
  <si>
    <t>UNIAO COM ASSENTO CONICO DE FERRO LONGO (MACHO-FEMEA), DIAMETRO 1"</t>
  </si>
  <si>
    <t>S12434</t>
  </si>
  <si>
    <t>UNIAO COM ASSENTO CONICO DE FERRO LONGO (MACHO-FEMEA), DIAMETRO 1/2"</t>
  </si>
  <si>
    <t>S12435</t>
  </si>
  <si>
    <t>UNIAO COM ASSENTO CONICO DE FERRO LONGO (MACHO-FEMEA), DIAMETRO 2 1/2"</t>
  </si>
  <si>
    <t>S12436</t>
  </si>
  <si>
    <t>UNIAO COM ASSENTO CONICO DE FERRO LONGO (MACHO-FEMEA), DIAMETRO 4"</t>
  </si>
  <si>
    <t>S12437</t>
  </si>
  <si>
    <t>UNIAO COM ASSENTO CONICO DE FERRO LONGO (MACHO-FEMEA), DIAMETRO 2"</t>
  </si>
  <si>
    <t>S12438</t>
  </si>
  <si>
    <t>UNIAO COM ASSENTO CONICO DE FERRO LONGO (MACHO-FEMEA), DIAMETRO 3"</t>
  </si>
  <si>
    <t>S12439</t>
  </si>
  <si>
    <t>UNIAO COM ASSENTO CONICO DE FERRO LONGO (MACHO-FEMEA), DIAMETRO 3/4"</t>
  </si>
  <si>
    <t>S12440</t>
  </si>
  <si>
    <t>UNIAO DE FERRO GALVANIZADO, COM ASSENTO CONICO DE BRONZE, DE 1 1/4"</t>
  </si>
  <si>
    <t>S12532</t>
  </si>
  <si>
    <t>ANEL EM CONCRETO ARMADO, LISO, PARA POCOS DE INSPECAO, SEM FUNDO, DIAMETRO INTERNO DE 0,60 M E ALTURA DE 0,50 M</t>
  </si>
  <si>
    <t>S12544</t>
  </si>
  <si>
    <t>ANEL EM CONCRETO ARMADO, LISO, PARA POCOS DE VISITAS, POCOS DE INSPECAO, FOSSAS SEPTICAS E SUMIDOUROS, SEM FUNDO, DIAMETRO INTERNO DE 0,80 M E ALTURA DE 0,50 M</t>
  </si>
  <si>
    <t>S12547</t>
  </si>
  <si>
    <t>ANEL EM CONCRETO ARMADO, LISO, PARA POCOS DE VISITAS, POCOS DE INSPECAO, FOSSAS SEPTICAS E SUMIDOUROS, SEM FUNDO, DIAMETRO INTERNO DE 1,00 M E ALTURA DE 0,50 M</t>
  </si>
  <si>
    <t>S12551</t>
  </si>
  <si>
    <t>ANEL EM CONCRETO ARMADO, LISO, PARA POCOS DE VISITA, POCOS DE INSPECAO, FOSSAS SEPTICAS E SUMIDOUROS, SEM FUNDO, DIAMETRO INTERNO DE 1,20 M E ALTURA DE 0,50 M</t>
  </si>
  <si>
    <t>S12563</t>
  </si>
  <si>
    <t>ANEL EM CONCRETO ARMADO, LISO, PARA, POCOS DE VISITA, POCOS DE INSPECAO, FOSSAS SEPTICAS E SUMIDOUROS, SEM FUNDO, DIAMETRO INTERNO DE 1,50 M E ALTURA DE 0,50 M</t>
  </si>
  <si>
    <t>S12565</t>
  </si>
  <si>
    <t>ANEL EM CONCRETO ARMADO, LISO, PARA FOSSAS SEPTICAS E SUMIDOUROS, SEM FUNDO, DIAMETRO INTERNO DE 2,00 M E ALTURA DE 0,50 M</t>
  </si>
  <si>
    <t>S12567</t>
  </si>
  <si>
    <t>ANEL EM CONCRETO ARMADO, LISO, PARA FOSSAS SEPTICAS E SUMIDOUROS, SEM FUNDO, DIAMETRO INTERNO DE 2,50 M E ALTURA DE 0,50 M</t>
  </si>
  <si>
    <t>S12568</t>
  </si>
  <si>
    <t>ANEL EM CONCRETO ARMADO, LISO, PARA FOSSAS SEPTICAS E SUMIDOUROS, SEM FUNDO, DIAMETRO INTERNO DE 3,00 M E ALTURA DE 0,50 M</t>
  </si>
  <si>
    <t>S12569</t>
  </si>
  <si>
    <t>TUBO DE CONCRETO ARMADO PARA AGUAS PLUVIAIS, CLASSE PA-2, COM ENCAIXE PONTA E BOLSA, DIAMETRO NOMINAL DE 1100 MM</t>
  </si>
  <si>
    <t>S12572</t>
  </si>
  <si>
    <t>TUBO DE CONCRETO ARMADO PARA AGUAS PLUVIAIS, CLASSE PA-3, COM ENCAIXE PONTA E BOLSA, DIAMETRO NOMINAL DE 1000 MM</t>
  </si>
  <si>
    <t>S12573</t>
  </si>
  <si>
    <t>TUBO DE CONCRETO ARMADO PARA AGUAS PLUVIAIS, CLASSE PA-3, COM ENCAIXE PONTA E BOLSA, DIAMETRO NOMINAL DE 1100 MM</t>
  </si>
  <si>
    <t>S12574</t>
  </si>
  <si>
    <t>TUBO DE CONCRETO ARMADO PARA AGUAS PLUVIAIS, CLASSE PA-3, COM ENCAIXE PONTA E BOLSA, DIAMETRO NOMINAL DE 1200 MM</t>
  </si>
  <si>
    <t>S12575</t>
  </si>
  <si>
    <t>TUBO DE CONCRETO ARMADO PARA AGUAS PLUVIAIS, CLASSE PA-3, COM ENCAIXE PONTA E BOLSA, DIAMETRO NOMINAL DE 1500 MM</t>
  </si>
  <si>
    <t>S12576</t>
  </si>
  <si>
    <t>TUBO DE CONCRETO ARMADO PARA AGUAS PLUVIAIS, CLASSE PA-3, COM ENCAIXE PONTA E BOLSA, DIAMETRO NOMINAL DE 400 MM</t>
  </si>
  <si>
    <t>S12577</t>
  </si>
  <si>
    <t>TUBO DE CONCRETO ARMADO PARA AGUAS PLUVIAIS, CLASSE PA-3, COM ENCAIXE PONTA E BOLSA, DIAMETRO NOMINAL DE 500 MM</t>
  </si>
  <si>
    <t>S12578</t>
  </si>
  <si>
    <t>TUBO DE CONCRETO ARMADO PARA AGUAS PLUVIAIS, CLASSE PA-3, COM ENCAIXE PONTA E BOLSA, DIAMETRO NOMINAL DE 600 MM</t>
  </si>
  <si>
    <t>S12579</t>
  </si>
  <si>
    <t>TUBO DE CONCRETO ARMADO PARA AGUAS PLUVIAIS, CLASSE PA-3, COM ENCAIXE PONTA E BOLSA, DIAMETRO NOMINAL DE 700 MM</t>
  </si>
  <si>
    <t>S12580</t>
  </si>
  <si>
    <t>TUBO DE CONCRETO ARMADO PARA AGUAS PLUVIAIS, CLASSE PA-3, COM ENCAIXE PONTA E BOLSA, DIAMETRO NOMINAL DE 800 MM</t>
  </si>
  <si>
    <t>S12581</t>
  </si>
  <si>
    <t>TUBO DE CONCRETO ARMADO PARA AGUAS PLUVIAIS, CLASSE PA-3, COM ENCAIXE PONTA E BOLSA, DIAMETRO NOMINAL DE 900 MM</t>
  </si>
  <si>
    <t>S12583</t>
  </si>
  <si>
    <t>S12584</t>
  </si>
  <si>
    <t>S12613</t>
  </si>
  <si>
    <t>S12614</t>
  </si>
  <si>
    <t>S12615</t>
  </si>
  <si>
    <t>S12616</t>
  </si>
  <si>
    <t>S12618</t>
  </si>
  <si>
    <t>S12623</t>
  </si>
  <si>
    <t>S12624</t>
  </si>
  <si>
    <t>S12626</t>
  </si>
  <si>
    <t>S12627</t>
  </si>
  <si>
    <t>S12657</t>
  </si>
  <si>
    <t>VALVULA DE RETENCAO VERTICAL, DE BRONZE (PN-16), 2 1/2", 200 PSI, EXTREMIDADES COM ROSCA</t>
  </si>
  <si>
    <t>S127</t>
  </si>
  <si>
    <t>S12713</t>
  </si>
  <si>
    <t>TUBO DE COBRE CLASSE "E", DN = 15 MM, PARA INSTALACAO HIDRAULICA PREDIAL</t>
  </si>
  <si>
    <t>S12714</t>
  </si>
  <si>
    <t>COTOVELO DE COBRE 90 GRAUS SEM ANEL DE SOLDA, BOLSA X BOLSA, 15 MM</t>
  </si>
  <si>
    <t>S12715</t>
  </si>
  <si>
    <t>COTOVELO DE COBRE 90 GRAUS SEM ANEL DE SOLDA, BOLSA X BOLSA, 22 MM</t>
  </si>
  <si>
    <t>S12716</t>
  </si>
  <si>
    <t>COTOVELO DE COBRE 90 GRAUS SEM ANEL DE SOLDA, BOLSA X BOLSA, 28 MM</t>
  </si>
  <si>
    <t>S12717</t>
  </si>
  <si>
    <t>COTOVELO DE COBRE 90 GRAUS SEM ANEL DE SOLDA, BOLSA X BOLSA, 35 MM</t>
  </si>
  <si>
    <t>S12718</t>
  </si>
  <si>
    <t>COTOVELO DE COBRE 90 GRAUS SEM ANEL DE SOLDA, BOLSA X BOLSA, 42 MM</t>
  </si>
  <si>
    <t>S12719</t>
  </si>
  <si>
    <t>COTOVELO DE COBRE 90 GRAUS SEM ANEL DE SOLDA, BOLSA X BOLSA, 54 MM</t>
  </si>
  <si>
    <t>S12720</t>
  </si>
  <si>
    <t>COTOVELO DE COBRE 90 GRAUS SEM ANEL DE SOLDA, BOLSA X BOLSA, 66 MM</t>
  </si>
  <si>
    <t>S12721</t>
  </si>
  <si>
    <t>COTOVELO DE COBRE 90 GRAUS SEM ANEL DE SOLDA, BOLSA X BOLSA, 79 MM</t>
  </si>
  <si>
    <t>S12722</t>
  </si>
  <si>
    <t>COTOVELO DE COBRE 90 GRAUS SEM ANEL DE SOLDA, BOLSA X BOLSA, 104 MM</t>
  </si>
  <si>
    <t>S12723</t>
  </si>
  <si>
    <t>LUVA DE COBRE SEM ANEL DE SOLDA, BOLSA X BOLSA, 15 MM</t>
  </si>
  <si>
    <t>LUVA DE COBRE SEM ANEL DE SOLDA, BOLSA X BOLSA, 22 MM</t>
  </si>
  <si>
    <t>LUVA DE COBRE SEM ANEL DE SOLDA, BOLSA X BOLSA, 28 MM</t>
  </si>
  <si>
    <t>S12726</t>
  </si>
  <si>
    <t>LUVA DE COBRE SEM ANEL DE SOLDA, BOLSA X BOLSA, 35 MM</t>
  </si>
  <si>
    <t>S12727</t>
  </si>
  <si>
    <t>LUVA DE COBRE SEM ANEL DE SOLDA, BOLSA X BOLSA, 42 MM</t>
  </si>
  <si>
    <t>S12728</t>
  </si>
  <si>
    <t>LUVA DE COBRE SEM ANEL DE SOLDA, BOLSA X BOLSA, 54 MM</t>
  </si>
  <si>
    <t>S12729</t>
  </si>
  <si>
    <t>LUVA DE COBRE SEM ANEL DE SOLDA, BOLSA X BOLSA, 66 MM</t>
  </si>
  <si>
    <t>S12730</t>
  </si>
  <si>
    <t>LUVA DE COBRE SEM ANEL DE SOLDA, BOLSA X BOLSA, 79 MM</t>
  </si>
  <si>
    <t>S12731</t>
  </si>
  <si>
    <t>LUVA DE COBRE SEM ANEL DE SOLDA, BOLSA X BOLSA, 104 MM</t>
  </si>
  <si>
    <t>SOLDA ESTANHO/COBRE PARA CONEXOES DE COBRE, FIO 2,5 MM, CARRETEL 500 GR (SEM CHUMBO)</t>
  </si>
  <si>
    <t>S12733</t>
  </si>
  <si>
    <t>TE DE COBRE SEM ANEL DE SOLDA, BOLSA X BOLSA X BOLSA, 15 MM</t>
  </si>
  <si>
    <t>S12734</t>
  </si>
  <si>
    <t>TE DE COBRE SEM ANEL DE SOLDA, BOLSA X BOLSA X BOLSA, 22 MM</t>
  </si>
  <si>
    <t>TE DE COBRE SEM ANEL DE SOLDA, BOLSA X BOLSA X BOLSA, 28 MM</t>
  </si>
  <si>
    <t>S12736</t>
  </si>
  <si>
    <t>TE DE COBRE SEM ANEL DE SOLDA, BOLSA X BOLSA X BOLSA, 35 MM</t>
  </si>
  <si>
    <t>S12737</t>
  </si>
  <si>
    <t>TE DE COBRE SEM ANEL DE SOLDA, BOLSA X BOLSA X BOLSA, 42 MM</t>
  </si>
  <si>
    <t>S12738</t>
  </si>
  <si>
    <t>TE DE COBRE SEM ANEL DE SOLDA, BOLSA X BOLSA X BOLSA, 54 MM</t>
  </si>
  <si>
    <t>S12739</t>
  </si>
  <si>
    <t>TE DE COBRE SEM ANEL DE SOLDA, BOLSA X BOLSA X BOLSA, 66 MM</t>
  </si>
  <si>
    <t>S12740</t>
  </si>
  <si>
    <t>TE DE COBRE SEM ANEL DE SOLDA, BOLSA X BOLSA X BOLSA, 79 MM</t>
  </si>
  <si>
    <t>S12741</t>
  </si>
  <si>
    <t>TE DE COBRE SEM ANEL DE SOLDA, BOLSA X BOLSA X BOLSA, 104 MM</t>
  </si>
  <si>
    <t>S12742</t>
  </si>
  <si>
    <t>TUBO DE COBRE CLASSE "E", DN = 104 MM, PARA INSTALACAO HIDRAULICA PREDIAL</t>
  </si>
  <si>
    <t>S12743</t>
  </si>
  <si>
    <t>TUBO DE COBRE CLASSE "E", DN = 22 MM, PARA INSTALACAO HIDRAULICA PREDIAL</t>
  </si>
  <si>
    <t>S12744</t>
  </si>
  <si>
    <t>TUBO DE COBRE CLASSE "E", DN = 28 MM, PARA INSTALACAO HIDRAULICA PREDIAL</t>
  </si>
  <si>
    <t>S12745</t>
  </si>
  <si>
    <t>TUBO DE COBRE CLASSE "E", DN = 35 MM, PARA INSTALACAO HIDRAULICA PREDIAL</t>
  </si>
  <si>
    <t>S12746</t>
  </si>
  <si>
    <t>TUBO DE COBRE CLASSE "E", DN = 42 MM, PARA INSTALACAO HIDRAULICA PREDIAL</t>
  </si>
  <si>
    <t>S12747</t>
  </si>
  <si>
    <t>TUBO DE COBRE CLASSE "E", DN = 54 MM, PARA INSTALACAO HIDRAULICA PREDIAL</t>
  </si>
  <si>
    <t>S12748</t>
  </si>
  <si>
    <t>TUBO DE COBRE CLASSE "E", DN = 66 MM, PARA INSTALACAO HIDRAULICA PREDIAL</t>
  </si>
  <si>
    <t>S12749</t>
  </si>
  <si>
    <t>TUBO DE COBRE CLASSE "E", DN = 79 MM, PARA INSTALACAO HIDRAULICA PREDIAL</t>
  </si>
  <si>
    <t>S12759</t>
  </si>
  <si>
    <t>S12760</t>
  </si>
  <si>
    <t>S12768</t>
  </si>
  <si>
    <t>HIDROMETRO MULTIJATO / MEDIDOR DE AGUA, DN 2", VAZAO MAXIMA DE 30 M3/H, PARA AGUA POTAVEL FRIA, RELOJOARIA PLANA, CLASSE B, HORIZONTAL (SEM CONEXOES)</t>
  </si>
  <si>
    <t>S12769</t>
  </si>
  <si>
    <t>HIDROMETRO UNIJATO / MEDIDOR DE AGUA, DN 1/2", VAZAO MAXIMA DE 1,5 M3/H, PARA AGUA POTAVEL FRIA, RELOJOARIA PLANA, CLASSE B, HORIZONTAL (SEM CONEXOES)</t>
  </si>
  <si>
    <t>S12770</t>
  </si>
  <si>
    <t>HIDROMETRO MULTIJATO / MEDIDOR DE AGUA, DN 1", VAZAO MAXIMA DE 10 M3/H, PARA AGUA POTAVEL FRIA, RELOJOARIA PLANA, CLASSE B, HORIZONTAL (SEM CONEXOES)</t>
  </si>
  <si>
    <t>S12772</t>
  </si>
  <si>
    <t>HIDROMETRO MULTIJATO / MEDIDOR DE AGUA, DN 1 1/2", VAZAO MAXIMA DE 20 M3/H, PARA AGUA POTAVEL FRIA, RELOJOARIA PLANA, CLASSE B, HORIZONTAL (SEM CONEXOES)</t>
  </si>
  <si>
    <t>S12773</t>
  </si>
  <si>
    <t>HIDROMETRO UNIJATO / MEDIDOR DE AGUA, DN 1/2", VAZAO MAXIMA DE 3 M3/H, PARA AGUA POTAVEL FRIA, RELOJOARIA PLANA, CLASSE B, HORIZONTAL (SEM CONEXOES)</t>
  </si>
  <si>
    <t>S12774</t>
  </si>
  <si>
    <t>HIDROMETRO UNIJATO / MEDIDOR DE AGUA, DN 3/4", VAZAO MAXIMA DE 5 M3/H, PARA AGUA POTAVEL FRIA, RELOJOARIA PLANA, CLASSE B, HORIZONTAL (SEM CONEXOES)0,</t>
  </si>
  <si>
    <t>S12775</t>
  </si>
  <si>
    <t>HIDROMETRO MULTIJATO / MEDIDOR DE AGUA, DN 1", VAZAO MAXIMA DE 7 M3/H, PARA AGUA POTAVEL FRIA, RELOJOARIA PLANA, CLASSE B, HORIZONTAL (SEM CONEXOES)</t>
  </si>
  <si>
    <t>S12776</t>
  </si>
  <si>
    <t>HIDROMETRO WOLTMANN, DN 2", VAZAO MAXIMA DE 50 M3/H, PARA AGUA POTAVEL FRIA, RELOJOARIA PLANA, TURBINA HORIZONTAL, EQUIPADO COM TELEMETRIA (SEM CONEXOES)</t>
  </si>
  <si>
    <t>S12777</t>
  </si>
  <si>
    <t>HIDROMETRO WOLTMANN, DN 3", VAZAO MAXIMA DE 80 M3/H, PARA AGUA POTAVEL FRIA, RELOJOARIA PLANA, TURBINA HORIZONTAL, EQUIPADO COM TELEMETRIA (SEM CONEXOES)</t>
  </si>
  <si>
    <t>S12815</t>
  </si>
  <si>
    <t>S12868</t>
  </si>
  <si>
    <t>S12869</t>
  </si>
  <si>
    <t>S1287</t>
  </si>
  <si>
    <t>S12872</t>
  </si>
  <si>
    <t>S12873</t>
  </si>
  <si>
    <t>S12874</t>
  </si>
  <si>
    <t>S12892</t>
  </si>
  <si>
    <t>S12893</t>
  </si>
  <si>
    <t>S12894</t>
  </si>
  <si>
    <t>S12895</t>
  </si>
  <si>
    <t>S12898</t>
  </si>
  <si>
    <t>MANOMETRO COM CAIXA EM ACO PINTADO, ESCALA *10* KGF/CM2 (*10* BAR), DIAMETRO NOMINAL DE 100 MM, CONEXAO DE 1/2"</t>
  </si>
  <si>
    <t>S12899</t>
  </si>
  <si>
    <t>MANOMETRO COM CAIXA EM ACO PINTADO, ESCALA *10* KGF/CM2 (*10* BAR), DIAMETRO NOMINAL DE *63* MM, CONEXAO DE 1/4"</t>
  </si>
  <si>
    <t>S12909</t>
  </si>
  <si>
    <t>S12910</t>
  </si>
  <si>
    <t>S1292</t>
  </si>
  <si>
    <t>S13</t>
  </si>
  <si>
    <t>S130</t>
  </si>
  <si>
    <t>S13042</t>
  </si>
  <si>
    <t>TUBO ACO CARBONO SEM COSTURA 20", E= *6,35 MM, SCHEDULE 10, *78,46 KG/M</t>
  </si>
  <si>
    <t>S131</t>
  </si>
  <si>
    <t>S13109</t>
  </si>
  <si>
    <t>SAPATA DE PVC ADITIVADO NERVURADO D = 6 POLEGADAS</t>
  </si>
  <si>
    <t>S13110</t>
  </si>
  <si>
    <t>SAPATA DE PVC ADITIVADO NERVURADO D = 8 POLEGADAS</t>
  </si>
  <si>
    <t>S13115</t>
  </si>
  <si>
    <t>S13127</t>
  </si>
  <si>
    <t>TUBO ACO CARBONO SEM COSTURA 1/2", E= *2,77 MM, SCHEDULE 40, *1,27 KG/M</t>
  </si>
  <si>
    <t>S13137</t>
  </si>
  <si>
    <t>TUBO ACO CARBONO SEM COSTURA 1/2", E= *3,73 MM, SCHEDULE 80, *1,62 KG/M</t>
  </si>
  <si>
    <t>S13141</t>
  </si>
  <si>
    <t>TUBO ACO CARBONO SEM COSTURA 3/4", E= *3,91 MM, SCHEDULE 80, *2,19 KG/M.</t>
  </si>
  <si>
    <t>S13142</t>
  </si>
  <si>
    <t>TUBO ACO CARBONO SEM COSTURA 4", E= *8,56 MM, SCHEDULE 80, *22,31 KG/M</t>
  </si>
  <si>
    <t>S13159</t>
  </si>
  <si>
    <t>S13168</t>
  </si>
  <si>
    <t>S13173</t>
  </si>
  <si>
    <t>S1318</t>
  </si>
  <si>
    <t>CHAPA DE ACO FINA A QUENTE BITOLA MSG 14, E = 2,00 MM (16,0 KG/M2)</t>
  </si>
  <si>
    <t>S13186</t>
  </si>
  <si>
    <t>S1319</t>
  </si>
  <si>
    <t>CHAPA DE ACO FINA A QUENTE BITOLA MSG 3/16", E = 4,75 MM (38,00 KG/M2)</t>
  </si>
  <si>
    <t>S13192</t>
  </si>
  <si>
    <t>S132</t>
  </si>
  <si>
    <t>S1321</t>
  </si>
  <si>
    <t>CHAPA DE ACO FINA A QUENTE BITOLA MSG 13, E = 2,25 MM (18,00 KG/M2)</t>
  </si>
  <si>
    <t>S13215</t>
  </si>
  <si>
    <t>S1322</t>
  </si>
  <si>
    <t>CHAPA DE ACO FINA A QUENTE BITOLA MSG 16, E = 1,50 MM (12,00 KG/M2)</t>
  </si>
  <si>
    <t>S13227</t>
  </si>
  <si>
    <t>S1323</t>
  </si>
  <si>
    <t>CHAPA DE ACO FINA A QUENTE BITOLA MSG 18, E = 1,20 MM (9,60 KG/M2)</t>
  </si>
  <si>
    <t>S13238</t>
  </si>
  <si>
    <t>TRATOR DE PNEUS COM POTENCIA DE 105 CV, TRACAO 4 X 4, PESO COM LASTRO DE 5775 KG</t>
  </si>
  <si>
    <t>S13244</t>
  </si>
  <si>
    <t>S13246</t>
  </si>
  <si>
    <t>S1325</t>
  </si>
  <si>
    <t>CHAPA DE ACO FINA A FRIO BITOLA MSG 20, E = 0,90 MM (7,20 KG/M2)</t>
  </si>
  <si>
    <t>S13256</t>
  </si>
  <si>
    <t>TUBO DE CONCRETO ARMADO PARA AGUAS PLUVIAIS, CLASSE PA-1, COM ENCAIXE PONTA E BOLSA, DIAMETRO NOMINAL DE 1100 MM</t>
  </si>
  <si>
    <t>S13261</t>
  </si>
  <si>
    <t>S1327</t>
  </si>
  <si>
    <t>CHAPA DE ACO FINA A FRIO BITOLA MSG 24, E = 0,60 MM (4,80 KG/M2)</t>
  </si>
  <si>
    <t>S13279</t>
  </si>
  <si>
    <t>S1328</t>
  </si>
  <si>
    <t>CHAPA DE ACO FINA A FRIO BITOLA MSG 26, E = 0,45 MM (3,60 KG/M2)</t>
  </si>
  <si>
    <t>S13284</t>
  </si>
  <si>
    <t>S13294</t>
  </si>
  <si>
    <t>S133</t>
  </si>
  <si>
    <t>S1330</t>
  </si>
  <si>
    <t>CHAPA DE ACO GROSSA, ASTM A36, E = 1/4" (6,35 MM) 49,79 KG/M2</t>
  </si>
  <si>
    <t>CHAPA DE ACO GROSSA, ASTM A36, E = 3/8" (9,53 MM) 74,69 KG/M2</t>
  </si>
  <si>
    <t>S13329</t>
  </si>
  <si>
    <t>CHAPA DE ACO GROSSA, ASTM A36, E = 1/2" (12,70 MM) 99,59 KG/M2</t>
  </si>
  <si>
    <t>S13333</t>
  </si>
  <si>
    <t>S13339</t>
  </si>
  <si>
    <t>POSTE DE CONCRETO ARMADO DE SECAO DUPLO T, EXTENSAO DE 12,00 M, RESISTENCIA DE 300 A 400 DAN, TIPO B OU D</t>
  </si>
  <si>
    <t>S1334</t>
  </si>
  <si>
    <t>CHAPA DE ACO GROSSA, ASTM A36, E = 5/8" (15,88 MM) 124,49 KG/M2</t>
  </si>
  <si>
    <t>S13343</t>
  </si>
  <si>
    <t>S13348</t>
  </si>
  <si>
    <t>ARRUELA EM ACO GALVANIZADO, DIAMETRO EXTERNO = 35MM, ESPESSURA = 3MM, DIAMETRO DO FURO= 18MM</t>
  </si>
  <si>
    <t>S1335</t>
  </si>
  <si>
    <t>CHAPA DE ACO GROSSA, ASTM A36, E = 7/8" (22,23 MM) 174,28 KG/M2</t>
  </si>
  <si>
    <t>S13356</t>
  </si>
  <si>
    <t>TUBO ACO INDUSTRIAL DN 2" (50,8 MM) E=1,50MM, PESO= 1,8237 KG/M</t>
  </si>
  <si>
    <t>S1337</t>
  </si>
  <si>
    <t>CHAPA DE ACO XADREZ PARA PISOS, E = 1/4" (6,30 MM) 54,53 KG/M2</t>
  </si>
  <si>
    <t>S1338</t>
  </si>
  <si>
    <t>CHAPA DE LAMINADO MELAMINICO, LISO BRILHANTE, DE 1,25 X 3,08 METROS, ESPESSURA = 0,8 MILIMETROS</t>
  </si>
  <si>
    <t>S13388</t>
  </si>
  <si>
    <t>S1339</t>
  </si>
  <si>
    <t>COLA A BASE DE RESINA SINTETICA PARA CHAPA DE LAMINADO MELAMINICO E OUTROS</t>
  </si>
  <si>
    <t>S13393</t>
  </si>
  <si>
    <t>QUADRO DE DISTRIBUICAO COM BARRAMENTO TRIFASICO, DE EMBUTIR, EM CHAPA DE ACO GALVANIZADO, PARA 12 DISJUNTORES DIN, 100 A</t>
  </si>
  <si>
    <t>S13395</t>
  </si>
  <si>
    <t>QUADRO DE DISTRIBUICAO COM BARRAMENTO TRIFASICO, DE EMBUTIR, EM CHAPA DE ACO GALVANIZADO, PARA 18 DISJUNTORES DIN, 100 A</t>
  </si>
  <si>
    <t>S13396</t>
  </si>
  <si>
    <t>QUADRO DE DISTRIBUICAO COM BARRAMENTO TRIFASICO, DE EMBUTIR, EM CHAPA DE ACO GALVANIZADO, PARA 28 DISJUNTORES DIN, 100 A</t>
  </si>
  <si>
    <t>S134</t>
  </si>
  <si>
    <t>S1340</t>
  </si>
  <si>
    <t>CHAPA DE LAMINADO MELAMINICO, LISO FOSCO, DE 1,25 X 3,08 METROS, ESPESSURA = 0,8 MILIMETROS</t>
  </si>
  <si>
    <t>S1341</t>
  </si>
  <si>
    <t>CHAPA DE LAMINADO MELAMINICO, TEXTURIZADO, DE 1,25 X 3,08 METROS, ESPESSURA = 0,8 MILIMETROS</t>
  </si>
  <si>
    <t>S13415</t>
  </si>
  <si>
    <t>S13416</t>
  </si>
  <si>
    <t>S13417</t>
  </si>
  <si>
    <t>S13447</t>
  </si>
  <si>
    <t>S1345</t>
  </si>
  <si>
    <t>S13457</t>
  </si>
  <si>
    <t>COMPACTADOR DE SOLO TIPO PLACA VIBRATORIA REVERSIVEL, A GASOLINA 4 TEMPOS, PESO 150 A 175 KG, FORCA CENTRIF. 2800 A 3100 KGF, LARG. TRABALHO DE 450 A 520 MM, FREQ. VIBRACAO 4000 A 4300 RPM, VELOC. TRABALHO DE 15 A 20 M/MIN, POT. DE 6,0 A 7,0 HP</t>
  </si>
  <si>
    <t>S13458</t>
  </si>
  <si>
    <t>COMPACTADOR DE SOLOS DE PERCURSAO (SOQUETE) COM MOTOR A GASOLINA 4 TEMPOS DE 4 HP (4 CV)</t>
  </si>
  <si>
    <t>S1346</t>
  </si>
  <si>
    <t>S1347</t>
  </si>
  <si>
    <t>S13475</t>
  </si>
  <si>
    <t>VIBRADOR DE IMERSAO, DIAMETRO DA PONTEIRA DE *45* MM, COM MOTOR 4 TEMPOS A GASOLINA DE 5,5 HP (5,5 CV)</t>
  </si>
  <si>
    <t>S13476</t>
  </si>
  <si>
    <t>VIBROACABADORA DE ASFALTO SOBRE ESTEIRAS, LARG. PAVIM. 2,60 M A 5,75 M, POT. 110 HP, CAP. 450 T/ H</t>
  </si>
  <si>
    <t>S135</t>
  </si>
  <si>
    <t>S13521</t>
  </si>
  <si>
    <t>PLACA DE ACO ESMALTADA PARA IDENTIFICACAO DE RUA, *45 CM X 20* CM</t>
  </si>
  <si>
    <t>S13533</t>
  </si>
  <si>
    <t>S1355</t>
  </si>
  <si>
    <t>S1358</t>
  </si>
  <si>
    <t>S13587</t>
  </si>
  <si>
    <t>S1360</t>
  </si>
  <si>
    <t>S13600</t>
  </si>
  <si>
    <t>ROLO COMPACTADOR VIBRATORIO DE UM CILINDRO LISO DE ACO, POTENCIA 125 HP, PESO SEM/COM LASTRO 10,75/12,92 T, IMPACTO DINAMICO 31,5/18,5 T, LARGURA TRABALHO 2,15 M</t>
  </si>
  <si>
    <t>S13606</t>
  </si>
  <si>
    <t>VIBROACABADORA DE ASFALTO SOBRE RODAS, LARGURA DE PAVIMENTACAO DE 1,70 A 4,20 M, POTENCIA 78 KW/105 HP, CAPACIDADE 300 T/H</t>
  </si>
  <si>
    <t>S13617</t>
  </si>
  <si>
    <t>S1367</t>
  </si>
  <si>
    <t>S1368</t>
  </si>
  <si>
    <t>S1370</t>
  </si>
  <si>
    <t>S13726</t>
  </si>
  <si>
    <t>VASSOURA MECANICA REBOCAVEL COM ESCOVA CILINDRICA LARGURA UTIL DE VARRIMENTO = 2,44M</t>
  </si>
  <si>
    <t>S13741</t>
  </si>
  <si>
    <t>S1375</t>
  </si>
  <si>
    <t>S13761</t>
  </si>
  <si>
    <t>S1379</t>
  </si>
  <si>
    <t>S1380</t>
  </si>
  <si>
    <t>S13803</t>
  </si>
  <si>
    <t>COMPRESSOR DE AR REBOCAVEL, VAZAO 89 PCM, PRESSAO EFETIVA DE TRABALHO *102* PSI, MOTOR DIESEL, POTENCIA *20* CV</t>
  </si>
  <si>
    <t>S1381</t>
  </si>
  <si>
    <t>S13836</t>
  </si>
  <si>
    <t>MAQUINA EXTRUSORA DE CONCRETO PARA GUIAS E SARJETAS, COM MOTOR A DIESEL E POTENCIA DE 14 CV</t>
  </si>
  <si>
    <t>S13877</t>
  </si>
  <si>
    <t>FRESADORA DE ASFALTO A FRIO SOBRE RODAS, LARG. FRESAGEM 1,00 M, POT. 155 KW/208 HP</t>
  </si>
  <si>
    <t>S13883</t>
  </si>
  <si>
    <t>USINA DE ASFALTO A FRIO, CAPACIDADE DE 30 A 40 T/H, ELETRICA, POTENCIA DE 30 CV</t>
  </si>
  <si>
    <t>S13887</t>
  </si>
  <si>
    <t>S13891</t>
  </si>
  <si>
    <t>S13892</t>
  </si>
  <si>
    <t>USINA DE CONCRETO FIXA, CAPACIDADE NOMINAL DE 80 M3/H, SEM SILO</t>
  </si>
  <si>
    <t>S13894</t>
  </si>
  <si>
    <t>USINA DE CONCRETO FIXA, CAPACIDADE NOMINAL DE 40 M3/H, SEM SILO</t>
  </si>
  <si>
    <t>S13895</t>
  </si>
  <si>
    <t>USINA DE CONCRETO FIXA, CAPACIDADE NOMINAL DE 60 M3/H, SEM SILO</t>
  </si>
  <si>
    <t>S13896</t>
  </si>
  <si>
    <t>VIBRADOR DE IMERSAO, DIAMETRO DA PONTEIRA DE *45* MM, COM MOTOR ELETRICO TRIFASICO DE 2 HP (2 CV)</t>
  </si>
  <si>
    <t>S13897</t>
  </si>
  <si>
    <t>REGUA VIBRADORA DUPLA PARA CONCRETO A GASOLINA 5,5 HP, PESO DE 60 KG, COMPRIMENTO 4 M</t>
  </si>
  <si>
    <t>S13914</t>
  </si>
  <si>
    <t>TALHA MANUAL DE CORRENTE, CAPACIDADE DE 1 T COM ELEVACAO DE 3 M</t>
  </si>
  <si>
    <t>S13954</t>
  </si>
  <si>
    <t>POLIDORA DE PISO (POLITRIZ) ELETRICA, MOTOR MONOFASICO DE 4 HP, PESO DE 100 KG, DIAMETRO DO TRABALHO DE 450 MM</t>
  </si>
  <si>
    <t>S13983</t>
  </si>
  <si>
    <t>S13984</t>
  </si>
  <si>
    <t>S140</t>
  </si>
  <si>
    <t>S1402</t>
  </si>
  <si>
    <t>COLAR TOMADA PVC, COM TRAVAS, SAIDA COM ROSCA, DE 32 MM X 1/2" OU 32 MM X 3/4", PARA LIGACAO PREDIAL DE AGUA</t>
  </si>
  <si>
    <t>S14041</t>
  </si>
  <si>
    <t>S14052</t>
  </si>
  <si>
    <t>S14053</t>
  </si>
  <si>
    <t>S14054</t>
  </si>
  <si>
    <t>S14055</t>
  </si>
  <si>
    <t>CAIXA DE PASSAGEM/ LUZ / TELEFONIA, DE EMBUTIR, EM CHAPA DE ACO GALVANIZADO, DIMENSOES 120 X 120 X *12* CM (PADRAO CONCESSIONARIA LOCAL)</t>
  </si>
  <si>
    <t>S1406</t>
  </si>
  <si>
    <t>COLAR TOMADA PVC, COM TRAVAS, SAIDA ROSCAVEL COM BUCHA DE LATAO, DE 60 MM X 1/2" OU 60 MM X 3/4", PARA LIGACAO PREDIAL DE AGUA</t>
  </si>
  <si>
    <t>S14077</t>
  </si>
  <si>
    <t>PERFIL ELASTOMERICO PRE-FORMADO EM EPMD, PARA JUNTA DE DILATACAO DE PISOS COM POUCA SOLICITACAO, 15 MM DE LARGURA, MOVIMENTACAO DE *11 A 19* MM</t>
  </si>
  <si>
    <t>S14112</t>
  </si>
  <si>
    <t>S1412</t>
  </si>
  <si>
    <t>COLAR TOMADA PVC, COM TRAVAS, SAIDA COM ROSCA, DE 85 MM X 1/2" OU 85 MM X 3/4", PARA LIGACAO PREDIAL DE AGUA</t>
  </si>
  <si>
    <t>S1413</t>
  </si>
  <si>
    <t>COLAR TOMADA PVC, COM TRAVAS, SAIDA COM ROSCA, DE 75 MM X 1/2" OU 75 MM X 3/4", PARA LIGACAO PREDIAL DE AGUA</t>
  </si>
  <si>
    <t>S1414</t>
  </si>
  <si>
    <t>COLAR TOMADA PVC, COM TRAVAS, SAIDA COM ROSCA, DE 60 MM X 1/2" OU 60 MM X 3/4", PARA LIGACAO PREDIAL DE AGUA</t>
  </si>
  <si>
    <t>S14146</t>
  </si>
  <si>
    <t>FINCAPINO LONGO CALIBRE 22, CARGA FORTE POTENCIA 7 (PARA FERRAMENTA DE ACAO DIRETA), COR AMARELA</t>
  </si>
  <si>
    <t>S14147</t>
  </si>
  <si>
    <t>PINO DE ACO COM ROSCA 1/4 ", COMPRIMENTO DA HASTE = 30 MM E ROSCA = 20 MM (ACAO DIRETA)</t>
  </si>
  <si>
    <t>S14148</t>
  </si>
  <si>
    <t>PORCA UNIAO/JUNCAO ZINCADA SEXTAVADA 1/4 ", CHAVE 7/16 ", COMPRIMENTO = 25 MM</t>
  </si>
  <si>
    <t>S14149</t>
  </si>
  <si>
    <t>SUPORTE "Y" PARA FITA PERFURADA</t>
  </si>
  <si>
    <t>S14151</t>
  </si>
  <si>
    <t>FITA METALICA GRAVADA, L = 17 MM, ROLO DE 25 M, CARGA RECOMENDADA = *120* KGF</t>
  </si>
  <si>
    <t>S14152</t>
  </si>
  <si>
    <t>FITA METALICA PERFURADA, L = 17 MM, ROLO DE 30 M, CARGA RECOMENDADA = *19* KGF</t>
  </si>
  <si>
    <t>FITA METALICA PERFURADA, L = *18* MM, ROLO DE 30 M, CARGA RECOMENDADA = *30* KGF</t>
  </si>
  <si>
    <t>S14154</t>
  </si>
  <si>
    <t>FITA METALICA PERFURADA, L = 25 MM, ROLO DE 30 M, CARGA RECOMENDADA = *222,5* KGF</t>
  </si>
  <si>
    <t>JUNCAO 2 GARRAS PARA FITA PERFURADA</t>
  </si>
  <si>
    <t>S14162</t>
  </si>
  <si>
    <t>POSTE CONICO CONTINUO EM ACO GALVANIZADO, CURVO, BRACO SIMPLES, FLANGEADO, H = 9 M, DIAMETRO INFERIOR = *135* MM</t>
  </si>
  <si>
    <t>S14163</t>
  </si>
  <si>
    <t>POSTE CONICO CONTINUO EM ACO GALVANIZADO, CURVO, BRACO DUPLO, FLANGEADO, H = 9 M, DIAMETRO INFERIOR = *135* MM</t>
  </si>
  <si>
    <t>S14164</t>
  </si>
  <si>
    <t>POSTE CONICO CONTINUO EM ACO GALVANIZADO, CURVO, BRACO DUPLO, ENGASTADO, H = 9 M, DIAMETRO INFERIOR/BASE = *135* MM</t>
  </si>
  <si>
    <t>S14165</t>
  </si>
  <si>
    <t>POSTE CONICO CONTINUO EM ACO GALVANIZADO, RETO, ENGASTADO, H = 9 M, DIAMETRO INFERIOR = *145* MM</t>
  </si>
  <si>
    <t>S14166</t>
  </si>
  <si>
    <t>POSTE CONICO CONTINUO EM ACO GALVANIZADO, RETO, ENGASTADO, H = 7 M, DIAMETRO INFERIOR = *125* MM</t>
  </si>
  <si>
    <t>S14185</t>
  </si>
  <si>
    <t>S14186</t>
  </si>
  <si>
    <t>S1419</t>
  </si>
  <si>
    <t>COLAR TOMADA PVC, COM TRAVAS, SAIDA COM ROSCA, DE 50 MM X 1/2" OU 50 MM X 3/4", PARA LIGACAO PREDIAL DE AGUA</t>
  </si>
  <si>
    <t>S142</t>
  </si>
  <si>
    <t>S1420</t>
  </si>
  <si>
    <t>COLAR TOMADA PVC, COM TRAVAS, SAIDA COM ROSCA, DE 40 MM X 1/2" OU 40 MM X 3/4", PARA LIGACAO PREDIAL DE AGUA</t>
  </si>
  <si>
    <t>S14211</t>
  </si>
  <si>
    <t>S14221</t>
  </si>
  <si>
    <t>ESPECIAIS</t>
  </si>
  <si>
    <t>S14250</t>
  </si>
  <si>
    <t>S14252</t>
  </si>
  <si>
    <t>S14254</t>
  </si>
  <si>
    <t>S1427</t>
  </si>
  <si>
    <t>COLAR TOMADA PVC, COM TRAVAS, SAIDA COM ROSCA, DE 110 MM X 1/2" OU 110 MM X 3/4", PARA LIGACAO PREDIAL DE AGUA</t>
  </si>
  <si>
    <t>S14405</t>
  </si>
  <si>
    <t>TANQUE DE ASFALTO ESTACIONARIO COM SERPENTINA, CAPACIDADE 30.000 L</t>
  </si>
  <si>
    <t>S1442</t>
  </si>
  <si>
    <t>COMPACTADOR DE SOLO TIPO PLACA VIBRATORIA REVERSIVEL, A GASOLINA 4 TEMPOS, PESO 125 A 150 KG, FORCA CENTRIF. 2500 A 2800 KGF, LARG. TRABALHO 400 A 450 MM, FREQ. VIBRACAO 4300 A 4500 RPM, VELOC. TRABALHO 15 A 20 M/MIN, POT. 5,5 A 6,0 HP</t>
  </si>
  <si>
    <t>S14439</t>
  </si>
  <si>
    <t>S14489</t>
  </si>
  <si>
    <t>ROLO COMPACTADOR PE DE CARNEIRO VIBRATORIO, POTENCIA 125 HP, PESO OPERACIONAL SEM/COM LASTRO 11,95/13,30 T, IMPACTO DINAMICO 38,5/22,5 T, LARGURA DE TRABALHO 2,15 M</t>
  </si>
  <si>
    <t>S14511</t>
  </si>
  <si>
    <t>ROLO COMPACTADOR DE PNEUS, ESTATICO, PRESSAO VARIAVEL, POTENCIA 110 HP, PESO SEM/COM LASTRO 10,8/27 T, LARGURA DE ROLAGEM 2,30 M</t>
  </si>
  <si>
    <t>S14513</t>
  </si>
  <si>
    <t>ROLO COMPACTADOR PE DE CARNEIRO VIBRATORIO, POTENCIA 80 HP, PESO OPERACIONAL SEM/COM LASTRO 7,4/8,8 T, LARGURA DE TRABALHO 1,68 M</t>
  </si>
  <si>
    <t>S14525</t>
  </si>
  <si>
    <t>S14529</t>
  </si>
  <si>
    <t>S14531</t>
  </si>
  <si>
    <t>S14534</t>
  </si>
  <si>
    <t>MAQUINA MANUAL TIPO PRENSA PARA PRODUCAO DE BLOCOS E PAVIMENTOS DE CONCRETO, COM MOTOR ELETRICO TRIFASICO PARA VIBRACAO, POTENCIA TOTAL INSTALADA DE 1,5 KW</t>
  </si>
  <si>
    <t>S14535</t>
  </si>
  <si>
    <t>MAQUINA TIPO PRENSA HIDRAULICA, PARA FABRICACAO DE TUBOS DE CONCRETO PARA AGUAS PLUVIAIS, DN 200 A DN 600 MM X 1000 MM DE COMPRIMENTO, COM MOTOR PRINCIPAL COM POTENCIA DE 20 CV</t>
  </si>
  <si>
    <t>S14543</t>
  </si>
  <si>
    <t>S14575</t>
  </si>
  <si>
    <t>RECICLADORA DE ASFALTO A FRIO SOBRE RODAS, LARG. FRESAGEM 2,00 M, POT. 315 KW/422 HP</t>
  </si>
  <si>
    <t>S14576</t>
  </si>
  <si>
    <t>FRESADORA DE ASFALTO A FRIO SOBRE ESTEIRAS, LARG. FRESAGEM 2,00 M, POT. 410 KW/550 HP</t>
  </si>
  <si>
    <t>S14580</t>
  </si>
  <si>
    <t>S14615</t>
  </si>
  <si>
    <t>CARRINHO COM 2 PNEUS PARA TRANSPORTAR TUBO CONCRETO, ALTURA ATE 1,0 M E DIAMETRO ATE 1000MM, COM ESTRUTURA EM PERFIL OU TUBO METALICO</t>
  </si>
  <si>
    <t>S14618</t>
  </si>
  <si>
    <t>S14619</t>
  </si>
  <si>
    <t>S14626</t>
  </si>
  <si>
    <t>ROLO COMPACTADOR VIBRATORIO TANDEM, ACO LISO, POTENCIA 125 HP, PESO SEM/COM LASTRO 10,20/11,65 T, LARGURA DE TRABALHO 1,73 M</t>
  </si>
  <si>
    <t>S151</t>
  </si>
  <si>
    <t>S1518</t>
  </si>
  <si>
    <t>S1523</t>
  </si>
  <si>
    <t>S1524</t>
  </si>
  <si>
    <t>S1525</t>
  </si>
  <si>
    <t>S1527</t>
  </si>
  <si>
    <t>S153</t>
  </si>
  <si>
    <t>S1535</t>
  </si>
  <si>
    <t>S1539</t>
  </si>
  <si>
    <t>S154</t>
  </si>
  <si>
    <t>S1542</t>
  </si>
  <si>
    <t>S1543</t>
  </si>
  <si>
    <t>S1545</t>
  </si>
  <si>
    <t>S1546</t>
  </si>
  <si>
    <t>S1547</t>
  </si>
  <si>
    <t>S1550</t>
  </si>
  <si>
    <t>S156</t>
  </si>
  <si>
    <t>S1562</t>
  </si>
  <si>
    <t>S1563</t>
  </si>
  <si>
    <t>S1564</t>
  </si>
  <si>
    <t>S157</t>
  </si>
  <si>
    <t>S1570</t>
  </si>
  <si>
    <t>S1571</t>
  </si>
  <si>
    <t>S1573</t>
  </si>
  <si>
    <t>S1574</t>
  </si>
  <si>
    <t>S1575</t>
  </si>
  <si>
    <t>S1576</t>
  </si>
  <si>
    <t>S1577</t>
  </si>
  <si>
    <t>S1578</t>
  </si>
  <si>
    <t>S1579</t>
  </si>
  <si>
    <t>S1580</t>
  </si>
  <si>
    <t>S1581</t>
  </si>
  <si>
    <t>S1585</t>
  </si>
  <si>
    <t>S1586</t>
  </si>
  <si>
    <t>S1587</t>
  </si>
  <si>
    <t>S1588</t>
  </si>
  <si>
    <t>S1589</t>
  </si>
  <si>
    <t>S1590</t>
  </si>
  <si>
    <t>S1591</t>
  </si>
  <si>
    <t>S1593</t>
  </si>
  <si>
    <t>S1594</t>
  </si>
  <si>
    <t>S1597</t>
  </si>
  <si>
    <t>S1598</t>
  </si>
  <si>
    <t>S1599</t>
  </si>
  <si>
    <t>S1600</t>
  </si>
  <si>
    <t>S1601</t>
  </si>
  <si>
    <t>S1602</t>
  </si>
  <si>
    <t>S1603</t>
  </si>
  <si>
    <t>S1607</t>
  </si>
  <si>
    <t>S1612</t>
  </si>
  <si>
    <t>S1613</t>
  </si>
  <si>
    <t>S1614</t>
  </si>
  <si>
    <t>S1615</t>
  </si>
  <si>
    <t>S1616</t>
  </si>
  <si>
    <t>S1617</t>
  </si>
  <si>
    <t>S1618</t>
  </si>
  <si>
    <t>S1619</t>
  </si>
  <si>
    <t>S1620</t>
  </si>
  <si>
    <t>S1621</t>
  </si>
  <si>
    <t>S1622</t>
  </si>
  <si>
    <t>S1623</t>
  </si>
  <si>
    <t>S1624</t>
  </si>
  <si>
    <t>S1625</t>
  </si>
  <si>
    <t>S1626</t>
  </si>
  <si>
    <t>S1627</t>
  </si>
  <si>
    <t>S1629</t>
  </si>
  <si>
    <t>S1630</t>
  </si>
  <si>
    <t>S1631</t>
  </si>
  <si>
    <t>S1633</t>
  </si>
  <si>
    <t>S1634</t>
  </si>
  <si>
    <t>CORDEL DETONANTE, NP 10 G/M</t>
  </si>
  <si>
    <t>S1647</t>
  </si>
  <si>
    <t>CRUZETA DE FERRO GALVANIZADO, COM ROSCA BSP, DE 1/2"</t>
  </si>
  <si>
    <t>S1648</t>
  </si>
  <si>
    <t>CRUZETA DE FERRO GALVANIZADO, COM ROSCA BSP, DE 1"</t>
  </si>
  <si>
    <t>S1649</t>
  </si>
  <si>
    <t>CRUZETA DE FERRO GALVANIZADO, COM ROSCA BSP, DE 1 1/2"</t>
  </si>
  <si>
    <t>S1650</t>
  </si>
  <si>
    <t>CRUZETA DE FERRO GALVANIZADO, COM ROSCA BSP, DE 2"</t>
  </si>
  <si>
    <t>S1651</t>
  </si>
  <si>
    <t>CRUZETA DE FERRO GALVANIZADO, COM ROSCA BSP, DE 2 1/2"</t>
  </si>
  <si>
    <t>S1652</t>
  </si>
  <si>
    <t>CRUZETA DE FERRO GALVANIZADO, COM ROSCA BSP, DE 3"</t>
  </si>
  <si>
    <t>S1653</t>
  </si>
  <si>
    <t>CRUZETA DE FERRO GALVANIZADO, COM ROSCA BSP, DE 1 1/4"</t>
  </si>
  <si>
    <t>S1654</t>
  </si>
  <si>
    <t>CRUZETA DE FERRO GALVANIZADO, COM ROSCA BSP, DE 3/4"</t>
  </si>
  <si>
    <t>S1743</t>
  </si>
  <si>
    <t>S1744</t>
  </si>
  <si>
    <t>S1745</t>
  </si>
  <si>
    <t>S1746</t>
  </si>
  <si>
    <t>S1747</t>
  </si>
  <si>
    <t>S1748</t>
  </si>
  <si>
    <t>S1749</t>
  </si>
  <si>
    <t>S1750</t>
  </si>
  <si>
    <t>S1775</t>
  </si>
  <si>
    <t>CURVA 45 GRAUS DE FERRO GALVANIZADO, COM ROSCA BSP FEMEA, DE 1/2"</t>
  </si>
  <si>
    <t>S1776</t>
  </si>
  <si>
    <t>CURVA 45 GRAUS DE FERRO GALVANIZADO, COM ROSCA BSP FEMEA, DE 1"</t>
  </si>
  <si>
    <t>S1777</t>
  </si>
  <si>
    <t>CURVA 45 GRAUS DE FERRO GALVANIZADO, COM ROSCA BSP FEMEA, DE 1 1/2"</t>
  </si>
  <si>
    <t>S1778</t>
  </si>
  <si>
    <t>CURVA 45 GRAUS DE FERRO GALVANIZADO, COM ROSCA BSP FEMEA, DE 2 1/2"</t>
  </si>
  <si>
    <t>S1779</t>
  </si>
  <si>
    <t>CURVA 45 GRAUS DE FERRO GALVANIZADO, COM ROSCA BSP FEMEA, DE 3"</t>
  </si>
  <si>
    <t>S1780</t>
  </si>
  <si>
    <t>CURVA 45 GRAUS DE FERRO GALVANIZADO, COM ROSCA BSP FEMEA, DE 4"</t>
  </si>
  <si>
    <t>S1781</t>
  </si>
  <si>
    <t>CURVA 45 GRAUS DE FERRO GALVANIZADO, COM ROSCA BSP MACHO/FEMEA, DE 1"</t>
  </si>
  <si>
    <t>S1782</t>
  </si>
  <si>
    <t>CURVA 45 GRAUS DE FERRO GALVANIZADO, COM ROSCA BSP MACHO/FEMEA, DE 1 1/4"</t>
  </si>
  <si>
    <t>S1783</t>
  </si>
  <si>
    <t>CURVA 45 GRAUS DE FERRO GALVANIZADO, COM ROSCA BSP MACHO/FEMEA, DE 1 1/2"</t>
  </si>
  <si>
    <t>S1784</t>
  </si>
  <si>
    <t>CURVA 45 GRAUS DE FERRO GALVANIZADO, COM ROSCA BSP MACHO/FEMEA, DE 2 1/2"</t>
  </si>
  <si>
    <t>S1786</t>
  </si>
  <si>
    <t>CURVA 90 GRAUS DE FERRO GALVANIZADO, COM ROSCA BSP FEMEA, DE 1/2"</t>
  </si>
  <si>
    <t>S1787</t>
  </si>
  <si>
    <t>CURVA 90 GRAUS DE FERRO GALVANIZADO, COM ROSCA BSP FEMEA, DE 1"</t>
  </si>
  <si>
    <t>S1788</t>
  </si>
  <si>
    <t>CURVA 90 GRAUS DE FERRO GALVANIZADO, COM ROSCA BSP FEMEA, DE 1 1/4"</t>
  </si>
  <si>
    <t>S1789</t>
  </si>
  <si>
    <t>CURVA 90 GRAUS DE FERRO GALVANIZADO, COM ROSCA BSP FEMEA, DE 1 1/2"</t>
  </si>
  <si>
    <t>S1790</t>
  </si>
  <si>
    <t>CURVA 90 GRAUS DE FERRO GALVANIZADO, COM ROSCA BSP FEMEA, DE 2"</t>
  </si>
  <si>
    <t>S1791</t>
  </si>
  <si>
    <t>CURVA 90 GRAUS DE FERRO GALVANIZADO, COM ROSCA BSP FEMEA, DE 2 1/2"</t>
  </si>
  <si>
    <t>S1792</t>
  </si>
  <si>
    <t>CURVA 90 GRAUS DE FERRO GALVANIZADO, COM ROSCA BSP FEMEA, DE 3"</t>
  </si>
  <si>
    <t>S1793</t>
  </si>
  <si>
    <t>CURVA 90 GRAUS DE FERRO GALVANIZADO, COM ROSCA BSP FEMEA, DE 4"</t>
  </si>
  <si>
    <t>S1794</t>
  </si>
  <si>
    <t>CURVA 90 GRAUS DE FERRO GALVANIZADO, COM ROSCA BSP MACHO, DE 1/2"</t>
  </si>
  <si>
    <t>S1795</t>
  </si>
  <si>
    <t>CURVA 90 GRAUS DE FERRO GALVANIZADO, COM ROSCA BSP MACHO, DE 3/4"</t>
  </si>
  <si>
    <t>S1796</t>
  </si>
  <si>
    <t>CURVA 90 GRAUS DE FERRO GALVANIZADO, COM ROSCA BSP MACHO, DE 1 1/4"</t>
  </si>
  <si>
    <t>S1797</t>
  </si>
  <si>
    <t>CURVA 90 GRAUS DE FERRO GALVANIZADO, COM ROSCA BSP MACHO, DE 1 1/2"</t>
  </si>
  <si>
    <t>S1798</t>
  </si>
  <si>
    <t>CURVA 90 GRAUS DE FERRO GALVANIZADO, COM ROSCA BSP MACHO, DE 2"</t>
  </si>
  <si>
    <t>S1799</t>
  </si>
  <si>
    <t>CURVA 90 GRAUS DE FERRO GALVANIZADO, COM ROSCA BSP MACHO, DE 3"</t>
  </si>
  <si>
    <t>S1800</t>
  </si>
  <si>
    <t>CURVA 90 GRAUS DE FERRO GALVANIZADO, COM ROSCA BSP MACHO, DE 4"</t>
  </si>
  <si>
    <t>S1802</t>
  </si>
  <si>
    <t>CURVA 90 GRAUS DE FERRO GALVANIZADO, COM ROSCA BSP MACHO, DE 6"</t>
  </si>
  <si>
    <t>S1803</t>
  </si>
  <si>
    <t>CURVA 90 GRAUS DE FERRO GALVANIZADO, COM ROSCA BSP MACHO/FEMEA, DE 1/2"</t>
  </si>
  <si>
    <t>S1804</t>
  </si>
  <si>
    <t>CURVA 90 GRAUS DE FERRO GALVANIZADO, COM ROSCA BSP MACHO/FEMEA, DE 3/4"</t>
  </si>
  <si>
    <t>S1805</t>
  </si>
  <si>
    <t>CURVA 90 GRAUS DE FERRO GALVANIZADO, COM ROSCA BSP MACHO/FEMEA, DE 1"</t>
  </si>
  <si>
    <t>S1806</t>
  </si>
  <si>
    <t>CURVA 90 GRAUS DE FERRO GALVANIZADO, COM ROSCA BSP MACHO/FEMEA, DE 2"</t>
  </si>
  <si>
    <t>S1807</t>
  </si>
  <si>
    <t>CURVA 90 GRAUS DE FERRO GALVANIZADO, COM ROSCA BSP MACHO/FEMEA, DE 3"</t>
  </si>
  <si>
    <t>S1808</t>
  </si>
  <si>
    <t>CURVA 90 GRAUS DE FERRO GALVANIZADO, COM ROSCA BSP MACHO/FEMEA, DE 4"</t>
  </si>
  <si>
    <t>S1809</t>
  </si>
  <si>
    <t>CURVA 90 GRAUS DE FERRO GALVANIZADO, COM ROSCA BSP MACHO/FEMEA, DE 1 1/2"</t>
  </si>
  <si>
    <t>S181</t>
  </si>
  <si>
    <t>S1810</t>
  </si>
  <si>
    <t>CURVA 45 GRAUS DE FERRO GALVANIZADO, COM ROSCA BSP MACHO/FEMEA, DE 2"</t>
  </si>
  <si>
    <t>S1811</t>
  </si>
  <si>
    <t>CURVA 45 GRAUS DE FERRO GALVANIZADO, COM ROSCA BSP MACHO/FEMEA, DE 3/4"</t>
  </si>
  <si>
    <t>S1812</t>
  </si>
  <si>
    <t>CURVA 45 GRAUS DE FERRO GALVANIZADO, COM ROSCA BSP MACHO/FEMEA, DE 3"</t>
  </si>
  <si>
    <t>S1813</t>
  </si>
  <si>
    <t>CURVA 90 GRAUS DE FERRO GALVANIZADO, COM ROSCA BSP FEMEA, DE 3/4"</t>
  </si>
  <si>
    <t>S1814</t>
  </si>
  <si>
    <t>CURVA 90 GRAUS DE FERRO GALVANIZADO, COM ROSCA BSP MACHO/FEMEA, DE 1 1/4"</t>
  </si>
  <si>
    <t>S1815</t>
  </si>
  <si>
    <t>CURVA 90 GRAUS DE FERRO GALVANIZADO, COM ROSCA BSP MACHO, DE 2 1/2"</t>
  </si>
  <si>
    <t>S1816</t>
  </si>
  <si>
    <t>CURVA 90 GRAUS DE FERRO GALVANIZADO, COM ROSCA BSP MACHO, DE 1"</t>
  </si>
  <si>
    <t>S1817</t>
  </si>
  <si>
    <t>CURVA 45 GRAUS DE FERRO GALVANIZADO, COM ROSCA BSP MACHO/FEMEA, DE 1/2"</t>
  </si>
  <si>
    <t>S1818</t>
  </si>
  <si>
    <t>CURVA 45 GRAUS DE FERRO GALVANIZADO, COM ROSCA BSP FEMEA, DE 2"</t>
  </si>
  <si>
    <t>S1819</t>
  </si>
  <si>
    <t>CURVA 45 GRAUS DE FERRO GALVANIZADO, COM ROSCA BSP FEMEA, DE 1 1/4"</t>
  </si>
  <si>
    <t>S1820</t>
  </si>
  <si>
    <t>CURVA 45 GRAUS DE FERRO GALVANIZADO, COM ROSCA BSP FEMEA, DE 3/4"</t>
  </si>
  <si>
    <t>S1821</t>
  </si>
  <si>
    <t>CURVA 90 GRAUS DE FERRO GALVANIZADO, COM ROSCA BSP MACHO/FEMEA, DE 2 1/2"</t>
  </si>
  <si>
    <t>S1824</t>
  </si>
  <si>
    <t>CURVA PVC PBA, JE, PB, 90 GRAUS, DN 75 / DE 85 MM, PARA REDE DE AGUA</t>
  </si>
  <si>
    <t>S1825</t>
  </si>
  <si>
    <t>CURVA PVC PBA, JE, PB, 45 GRAUS, DN 75 / DE 85 MM, PARA REDE DE AGUA</t>
  </si>
  <si>
    <t>S1827</t>
  </si>
  <si>
    <t>CURVA PVC PBA, JE, PB, 45 GRAUS, DN 100 / DE 110 MM, PARA REDE DE AGUA</t>
  </si>
  <si>
    <t>S1828</t>
  </si>
  <si>
    <t>CURVA PVC PBA, JE, PB, 90 GRAUS, DN 100 / DE 110 MM, PARA REDE DE AGUA</t>
  </si>
  <si>
    <t>S183</t>
  </si>
  <si>
    <t>S1831</t>
  </si>
  <si>
    <t>CURVA PVC PBA, JE, PB, 45 GRAUS, DN 50 / DE 60 MM, PARA REDE DE AGUA</t>
  </si>
  <si>
    <t>S184</t>
  </si>
  <si>
    <t>S1844</t>
  </si>
  <si>
    <t>S1845</t>
  </si>
  <si>
    <t>CURVA PVC PBA, JE, PB, 90 GRAUS, DN 50 / DE 60 MM, PARA REDE DE AGUA</t>
  </si>
  <si>
    <t>S1858</t>
  </si>
  <si>
    <t>S1863</t>
  </si>
  <si>
    <t>S1865</t>
  </si>
  <si>
    <t>S1870</t>
  </si>
  <si>
    <t>S1871</t>
  </si>
  <si>
    <t>S1872</t>
  </si>
  <si>
    <t>S1873</t>
  </si>
  <si>
    <t>S1874</t>
  </si>
  <si>
    <t>S1875</t>
  </si>
  <si>
    <t>S1876</t>
  </si>
  <si>
    <t>S1877</t>
  </si>
  <si>
    <t>S1878</t>
  </si>
  <si>
    <t>S1879</t>
  </si>
  <si>
    <t>S1880</t>
  </si>
  <si>
    <t>S1884</t>
  </si>
  <si>
    <t>S1887</t>
  </si>
  <si>
    <t>S1891</t>
  </si>
  <si>
    <t>S1892</t>
  </si>
  <si>
    <t>S1893</t>
  </si>
  <si>
    <t>S1894</t>
  </si>
  <si>
    <t>S1895</t>
  </si>
  <si>
    <t>S1896</t>
  </si>
  <si>
    <t>S1899</t>
  </si>
  <si>
    <t>S1900</t>
  </si>
  <si>
    <t>S1901</t>
  </si>
  <si>
    <t>S1902</t>
  </si>
  <si>
    <t>S1904</t>
  </si>
  <si>
    <t>S1907</t>
  </si>
  <si>
    <t>S1922</t>
  </si>
  <si>
    <t>S1923</t>
  </si>
  <si>
    <t>S1924</t>
  </si>
  <si>
    <t>S1925</t>
  </si>
  <si>
    <t>S1926</t>
  </si>
  <si>
    <t>S1927</t>
  </si>
  <si>
    <t>S1929</t>
  </si>
  <si>
    <t>S1930</t>
  </si>
  <si>
    <t>S1932</t>
  </si>
  <si>
    <t>S1933</t>
  </si>
  <si>
    <t>S1937</t>
  </si>
  <si>
    <t>S1938</t>
  </si>
  <si>
    <t>S1939</t>
  </si>
  <si>
    <t>S1940</t>
  </si>
  <si>
    <t>S1951</t>
  </si>
  <si>
    <t>S1953</t>
  </si>
  <si>
    <t>S1955</t>
  </si>
  <si>
    <t>S1956</t>
  </si>
  <si>
    <t>S1957</t>
  </si>
  <si>
    <t>S1958</t>
  </si>
  <si>
    <t>S1959</t>
  </si>
  <si>
    <t>S1960</t>
  </si>
  <si>
    <t>S1961</t>
  </si>
  <si>
    <t>S1962</t>
  </si>
  <si>
    <t>S1966</t>
  </si>
  <si>
    <t>S1967</t>
  </si>
  <si>
    <t>S1968</t>
  </si>
  <si>
    <t>S1969</t>
  </si>
  <si>
    <t>S1970</t>
  </si>
  <si>
    <t>S2</t>
  </si>
  <si>
    <t>S20001</t>
  </si>
  <si>
    <t>S20007</t>
  </si>
  <si>
    <t>S20017</t>
  </si>
  <si>
    <t>S20020</t>
  </si>
  <si>
    <t>S20042</t>
  </si>
  <si>
    <t>S20043</t>
  </si>
  <si>
    <t>S20044</t>
  </si>
  <si>
    <t>S20045</t>
  </si>
  <si>
    <t>S20046</t>
  </si>
  <si>
    <t>S20047</t>
  </si>
  <si>
    <t>S20055</t>
  </si>
  <si>
    <t>S20065</t>
  </si>
  <si>
    <t>S20067</t>
  </si>
  <si>
    <t>S20068</t>
  </si>
  <si>
    <t>S20078</t>
  </si>
  <si>
    <t>S20080</t>
  </si>
  <si>
    <t>S20083</t>
  </si>
  <si>
    <t>S20085</t>
  </si>
  <si>
    <t>S20086</t>
  </si>
  <si>
    <t>S20087</t>
  </si>
  <si>
    <t>S20088</t>
  </si>
  <si>
    <t>S20089</t>
  </si>
  <si>
    <t>S20096</t>
  </si>
  <si>
    <t>S20097</t>
  </si>
  <si>
    <t>S20098</t>
  </si>
  <si>
    <t>S20111</t>
  </si>
  <si>
    <t>S20139</t>
  </si>
  <si>
    <t>S20140</t>
  </si>
  <si>
    <t>S20141</t>
  </si>
  <si>
    <t>S20142</t>
  </si>
  <si>
    <t>S20143</t>
  </si>
  <si>
    <t>S20144</t>
  </si>
  <si>
    <t>S20145</t>
  </si>
  <si>
    <t>S20146</t>
  </si>
  <si>
    <t>S20147</t>
  </si>
  <si>
    <t>S20148</t>
  </si>
  <si>
    <t>S20149</t>
  </si>
  <si>
    <t>S20150</t>
  </si>
  <si>
    <t>S20151</t>
  </si>
  <si>
    <t>S20152</t>
  </si>
  <si>
    <t>S20154</t>
  </si>
  <si>
    <t>S20155</t>
  </si>
  <si>
    <t>S20156</t>
  </si>
  <si>
    <t>S20157</t>
  </si>
  <si>
    <t>S20158</t>
  </si>
  <si>
    <t>S20164</t>
  </si>
  <si>
    <t>S20165</t>
  </si>
  <si>
    <t>S20166</t>
  </si>
  <si>
    <t>S20167</t>
  </si>
  <si>
    <t>S20168</t>
  </si>
  <si>
    <t>S20169</t>
  </si>
  <si>
    <t>S20170</t>
  </si>
  <si>
    <t>S20171</t>
  </si>
  <si>
    <t>S20177</t>
  </si>
  <si>
    <t>S20178</t>
  </si>
  <si>
    <t>S20179</t>
  </si>
  <si>
    <t>S20180</t>
  </si>
  <si>
    <t>S20181</t>
  </si>
  <si>
    <t>S20182</t>
  </si>
  <si>
    <t>S20183</t>
  </si>
  <si>
    <t>S20185</t>
  </si>
  <si>
    <t>S20193</t>
  </si>
  <si>
    <t>S20204</t>
  </si>
  <si>
    <t>S20205</t>
  </si>
  <si>
    <t>S20206</t>
  </si>
  <si>
    <t>S20208</t>
  </si>
  <si>
    <t>S20209</t>
  </si>
  <si>
    <t>S20211</t>
  </si>
  <si>
    <t>S20212</t>
  </si>
  <si>
    <t>S20213</t>
  </si>
  <si>
    <t>S20214</t>
  </si>
  <si>
    <t>S20219</t>
  </si>
  <si>
    <t>ESPARGIDOR DE ASFALTO PRESSURIZADO, REBOCAVEL, TANQUE DE 2500 L, PNEUMATICO, COM MOTOR A GASOLINA 3,4HP</t>
  </si>
  <si>
    <t>S20231</t>
  </si>
  <si>
    <t>S20232</t>
  </si>
  <si>
    <t>S20234</t>
  </si>
  <si>
    <t>S20235</t>
  </si>
  <si>
    <t>S20247</t>
  </si>
  <si>
    <t>S20249</t>
  </si>
  <si>
    <t>S20250</t>
  </si>
  <si>
    <t>S20253</t>
  </si>
  <si>
    <t>CAIXA DE PASSAGEM METALICA, DE SOBREPOR, COM TAMPA APARAFUSADA, DIMENSOES 35 X 35 X *12* CM</t>
  </si>
  <si>
    <t>S20254</t>
  </si>
  <si>
    <t>CAIXA DE PASSAGEM METALICA, DE SOBREPOR, COM TAMPA APARAFUSADA, DIMENSOES 15 X 15 X *10* CM</t>
  </si>
  <si>
    <t>S20256</t>
  </si>
  <si>
    <t>S20259</t>
  </si>
  <si>
    <t>PERFIL DE BORRACHA EPDM MACICO *12 X 15* MM PARA ESQUADRIAS</t>
  </si>
  <si>
    <t>S20260</t>
  </si>
  <si>
    <t>S20262</t>
  </si>
  <si>
    <t>S20269</t>
  </si>
  <si>
    <t>S20270</t>
  </si>
  <si>
    <t>S20271</t>
  </si>
  <si>
    <t>S20322</t>
  </si>
  <si>
    <t>S20326</t>
  </si>
  <si>
    <t>S20327</t>
  </si>
  <si>
    <t>REDUCAO PVC PBA, JE, PB, DN 75 X 50 / DE 85 X 60 MM, PARA REDE DE AGUA</t>
  </si>
  <si>
    <t>S20962</t>
  </si>
  <si>
    <t>S20963</t>
  </si>
  <si>
    <t>S20964</t>
  </si>
  <si>
    <t>S20965</t>
  </si>
  <si>
    <t>S20966</t>
  </si>
  <si>
    <t>S20967</t>
  </si>
  <si>
    <t>S20968</t>
  </si>
  <si>
    <t>S20971</t>
  </si>
  <si>
    <t>S20972</t>
  </si>
  <si>
    <t>S20973</t>
  </si>
  <si>
    <t>S20974</t>
  </si>
  <si>
    <t>S20975</t>
  </si>
  <si>
    <t>S20976</t>
  </si>
  <si>
    <t>S20977</t>
  </si>
  <si>
    <t>S20980</t>
  </si>
  <si>
    <t>TUBO ACO CARBONO SEM COSTURA 8", E= *7,04 MM, SCHEDULE 30, *36,75 KG/M</t>
  </si>
  <si>
    <t>S20984</t>
  </si>
  <si>
    <t>TUBO ACO CARBONO SEM COSTURA 20", E= *12,70 MM, SCHEDULE 30, *154,97 KG/M</t>
  </si>
  <si>
    <t>S20989</t>
  </si>
  <si>
    <t>TUBO ACO CARBONO SEM COSTURA 14", E= *11,13 MM, SCHEDULE 40, *94,55 KG/M</t>
  </si>
  <si>
    <t>S20994</t>
  </si>
  <si>
    <t>TUBO ACO CARBONO SEM COSTURA 6", E= *10,97 MM, SCHEDULE 80, *42,56 KG/M</t>
  </si>
  <si>
    <t>S20995</t>
  </si>
  <si>
    <t>TUBO ACO CARBONO SEM COSTURA 8", E= *12,70 MM, SCHEDULE 80, *64,64 KG/M</t>
  </si>
  <si>
    <t>S20999</t>
  </si>
  <si>
    <t>TUBO ACO CARBONO COM COSTURA, NBR 5580, CLASSE L, DN = 15 MM, E = 2,25 MM, 1,06 KG/M</t>
  </si>
  <si>
    <t>S21001</t>
  </si>
  <si>
    <t>TUBO ACO CARBONO COM COSTURA, NBR 5580, CLASSE L, DN = 25 MM, E = 2,65 MM, 2,02 KG/M</t>
  </si>
  <si>
    <t>S21003</t>
  </si>
  <si>
    <t>TUBO ACO CARBONO COM COSTURA, NBR 5580, CLASSE L, DN = 40 MM, E = 3,0 MM, 3,34 KG/M</t>
  </si>
  <si>
    <t>S21006</t>
  </si>
  <si>
    <t>TUBO ACO CARBONO COM COSTURA, NBR 5580, CLASSE L, DN = 80 MM, E = 3,35 MM, 7,07 KG/M</t>
  </si>
  <si>
    <t>S21008</t>
  </si>
  <si>
    <t>TUBO ACO GALVANIZADO COM COSTURA, CLASSE LEVE, DN 15 MM (1/2"), E = 2,25 MM, *1,2* KG/M (NBR 5580)</t>
  </si>
  <si>
    <t>S21009</t>
  </si>
  <si>
    <t>TUBO ACO GALVANIZADO COM COSTURA, CLASSE LEVE, DN 20 MM (3/4"), E = 2,25 MM, *1,3* KG/M (NBR 5580)</t>
  </si>
  <si>
    <t>S21010</t>
  </si>
  <si>
    <t>TUBO ACO GALVANIZADO COM COSTURA, CLASSE LEVE, DN 25 MM (1"), E = 2,65 MM, *2,11* KG/M (NBR 5580)</t>
  </si>
  <si>
    <t>S21011</t>
  </si>
  <si>
    <t>TUBO ACO GALVANIZADO COM COSTURA, CLASSE LEVE, DN 32 MM (1 1/4"), E = 2,65 MM, *2,71* KG/M (NBR 5580)</t>
  </si>
  <si>
    <t>S21012</t>
  </si>
  <si>
    <t>TUBO ACO GALVANIZADO COM COSTURA, CLASSE LEVE, DN 40 MM (1 1/2"), E = 3,00 MM, *3,48* KG/M (NBR 5580)</t>
  </si>
  <si>
    <t>S21013</t>
  </si>
  <si>
    <t>TUBO ACO GALVANIZADO COM COSTURA, CLASSE LEVE, DN 50 MM (2"), E = 3,00 MM, *4,40* KG/M (NBR 5580)</t>
  </si>
  <si>
    <t>S21014</t>
  </si>
  <si>
    <t>TUBO ACO GALVANIZADO COM COSTURA, CLASSE LEVE, DN 65 MM (2 1/2"), E = 3,35 MM, * 6,23* KG/M (NBR 5580)</t>
  </si>
  <si>
    <t>S21015</t>
  </si>
  <si>
    <t>TUBO ACO GALVANIZADO COM COSTURA, CLASSE LEVE, DN 80 MM (3"), E = 3,35 MM, *7,32* KG/M (NBR 5580)</t>
  </si>
  <si>
    <t>S21016</t>
  </si>
  <si>
    <t>TUBO ACO GALVANIZADO COM COSTURA, CLASSE LEVE, DN 100 MM (4"), E = 3,75 MM, *10,55* KG/M (NBR 5580)</t>
  </si>
  <si>
    <t>S21019</t>
  </si>
  <si>
    <t>TUBO ACO CARBONO COM COSTURA, NBR 5580, CLASSE M, DN = 25 MM, E = 3,35 MM, *2,50* KG//M</t>
  </si>
  <si>
    <t>S21021</t>
  </si>
  <si>
    <t>TUBO ACO CARBONO COM COSTURA, NBR 5580, CLASSE M, DN = 40 MM, E = 3,35 MM, *3,71* KG//M</t>
  </si>
  <si>
    <t>S21024</t>
  </si>
  <si>
    <t>TUBO ACO CARBONO COM COSTURA, NBR 5580, CLASSE M, DN = 80 MM, E = 4,05 MM, *8,47* KG/M</t>
  </si>
  <si>
    <t>S21029</t>
  </si>
  <si>
    <t>S21030</t>
  </si>
  <si>
    <t>S21031</t>
  </si>
  <si>
    <t>S21032</t>
  </si>
  <si>
    <t>S21034</t>
  </si>
  <si>
    <t>S21036</t>
  </si>
  <si>
    <t>S21037</t>
  </si>
  <si>
    <t>S21040</t>
  </si>
  <si>
    <t>S21041</t>
  </si>
  <si>
    <t>S21042</t>
  </si>
  <si>
    <t>S21043</t>
  </si>
  <si>
    <t>S21044</t>
  </si>
  <si>
    <t>S21045</t>
  </si>
  <si>
    <t>S21047</t>
  </si>
  <si>
    <t>S21059</t>
  </si>
  <si>
    <t>S21060</t>
  </si>
  <si>
    <t>S21061</t>
  </si>
  <si>
    <t>S21062</t>
  </si>
  <si>
    <t>S21071</t>
  </si>
  <si>
    <t>S21090</t>
  </si>
  <si>
    <t>S21092</t>
  </si>
  <si>
    <t>VALVULA DE RETENCAO VERTICAL, DE BRONZE (PN-16), 1/2", 200 PSI, EXTREMIDADES COM ROSCA</t>
  </si>
  <si>
    <t>S21100</t>
  </si>
  <si>
    <t>S21101</t>
  </si>
  <si>
    <t>S21102</t>
  </si>
  <si>
    <t>S21106</t>
  </si>
  <si>
    <t>LAMBRI EM ALUMINIO, DE APROXIMADAMENTE 0,6 KG/M, COM APROXIMADAMENTE 168,0 MM DE LARGURA, 6,0 MM DE ALTURA E 6,0 M DE EXTENSAO</t>
  </si>
  <si>
    <t>S21107</t>
  </si>
  <si>
    <t>S21112</t>
  </si>
  <si>
    <t>S21114</t>
  </si>
  <si>
    <t>S21116</t>
  </si>
  <si>
    <t>TE DE REDUCAO DE FERRO GALVANIZADO, COM ROSCA BSP, DE 1 1/4" X 3/4"</t>
  </si>
  <si>
    <t>S21118</t>
  </si>
  <si>
    <t>S21119</t>
  </si>
  <si>
    <t>S21120</t>
  </si>
  <si>
    <t>S21121</t>
  </si>
  <si>
    <t>S21123</t>
  </si>
  <si>
    <t>S21124</t>
  </si>
  <si>
    <t>S21125</t>
  </si>
  <si>
    <t>S21127</t>
  </si>
  <si>
    <t>S21128</t>
  </si>
  <si>
    <t>S21137</t>
  </si>
  <si>
    <t>S21138</t>
  </si>
  <si>
    <t>S21141</t>
  </si>
  <si>
    <t>S21142</t>
  </si>
  <si>
    <t>S21147</t>
  </si>
  <si>
    <t>TUBO ACO CARBONO SEM COSTURA 2 1/2", E = 5,16 MM, SCHEDULE 40 (8,62 KG/M)</t>
  </si>
  <si>
    <t>S21148</t>
  </si>
  <si>
    <t>TUBO ACO CARBONO SEM COSTURA 2", E= *3,91* MM, SCHEDULE 40, *5,43* KG/M</t>
  </si>
  <si>
    <t>S21150</t>
  </si>
  <si>
    <t>TUBO ACO CARBONO SEM COSTURA 3/4", E= *2,87 MM, SCHEDULE 40, *1,69 KG/M</t>
  </si>
  <si>
    <t>S21151</t>
  </si>
  <si>
    <t>TUBO ACO CARBONO SEM COSTURA 4", E= *6,02 MM, SCHEDULE 40, *16,06 KG/M</t>
  </si>
  <si>
    <t>S2350</t>
  </si>
  <si>
    <t>S2358</t>
  </si>
  <si>
    <t>S2370</t>
  </si>
  <si>
    <t>S2373</t>
  </si>
  <si>
    <t>S2374</t>
  </si>
  <si>
    <t>S2376</t>
  </si>
  <si>
    <t>S2377</t>
  </si>
  <si>
    <t>S2378</t>
  </si>
  <si>
    <t>S2379</t>
  </si>
  <si>
    <t>S2386</t>
  </si>
  <si>
    <t>S2388</t>
  </si>
  <si>
    <t>S2391</t>
  </si>
  <si>
    <t>S2392</t>
  </si>
  <si>
    <t>S2393</t>
  </si>
  <si>
    <t>S2394</t>
  </si>
  <si>
    <t>S2401</t>
  </si>
  <si>
    <t>DISTRIBUIDOR DE AGREGADOS REBOCAVEL, CAPACIDADE 1,9 M3, LARGURA DE TRABALHO 3,66 M</t>
  </si>
  <si>
    <t>S2418</t>
  </si>
  <si>
    <t>S242</t>
  </si>
  <si>
    <t>S2420</t>
  </si>
  <si>
    <t>S2432</t>
  </si>
  <si>
    <t>S2433</t>
  </si>
  <si>
    <t>S2436</t>
  </si>
  <si>
    <t>S2437</t>
  </si>
  <si>
    <t>S2438</t>
  </si>
  <si>
    <t>S244</t>
  </si>
  <si>
    <t>S2442</t>
  </si>
  <si>
    <t>S2446</t>
  </si>
  <si>
    <t>S245</t>
  </si>
  <si>
    <t>S246</t>
  </si>
  <si>
    <t>S247</t>
  </si>
  <si>
    <t>S248</t>
  </si>
  <si>
    <t>S2483</t>
  </si>
  <si>
    <t>S2484</t>
  </si>
  <si>
    <t>S2485</t>
  </si>
  <si>
    <t>S2487</t>
  </si>
  <si>
    <t>S2488</t>
  </si>
  <si>
    <t>S2489</t>
  </si>
  <si>
    <t>S2500</t>
  </si>
  <si>
    <t>S25002</t>
  </si>
  <si>
    <t>S25003</t>
  </si>
  <si>
    <t>S25004</t>
  </si>
  <si>
    <t>S25005</t>
  </si>
  <si>
    <t>S25007</t>
  </si>
  <si>
    <t>TELHA ONDULADA EM ACO ZINCADO, ALTURA DE 17 MM, ESPESSURA DE 0,50 MM, LARGURA UTIL DE APROXIMADAMENTE 985 MM, SEM PINTURA</t>
  </si>
  <si>
    <t>S2501</t>
  </si>
  <si>
    <t>S25013</t>
  </si>
  <si>
    <t>TANQUE DE ASFALTO ESTACIONARIO COM SERPENTINA, CAPACIDADE 20.000 L</t>
  </si>
  <si>
    <t>S25014</t>
  </si>
  <si>
    <t>TANQUE DE ASFALTO ESTACIONARIO COM MACARICO, CAPACIDADE 20.000 L</t>
  </si>
  <si>
    <t>S25019</t>
  </si>
  <si>
    <t>S2502</t>
  </si>
  <si>
    <t>S25020</t>
  </si>
  <si>
    <t>S2503</t>
  </si>
  <si>
    <t>S2504</t>
  </si>
  <si>
    <t>S2505</t>
  </si>
  <si>
    <t>S25067</t>
  </si>
  <si>
    <t>S25070</t>
  </si>
  <si>
    <t>S25071</t>
  </si>
  <si>
    <t>S251</t>
  </si>
  <si>
    <t>S2510</t>
  </si>
  <si>
    <t>RELE FOTOELETRICO INTERNO E EXTERNO BIVOLT 1000 W, DE CONECTOR, SEM BASE</t>
  </si>
  <si>
    <t>S2512</t>
  </si>
  <si>
    <t>BRACO P/ LUMINARIA PUBLICA 1 X 1,50M ROMAGNOLE OU EQUIV</t>
  </si>
  <si>
    <t>S2515</t>
  </si>
  <si>
    <t>S2516</t>
  </si>
  <si>
    <t>S2517</t>
  </si>
  <si>
    <t>S2518</t>
  </si>
  <si>
    <t>S2519</t>
  </si>
  <si>
    <t>S252</t>
  </si>
  <si>
    <t>S2520</t>
  </si>
  <si>
    <t>S2521</t>
  </si>
  <si>
    <t>S2522</t>
  </si>
  <si>
    <t>S2526</t>
  </si>
  <si>
    <t>S2527</t>
  </si>
  <si>
    <t>S2528</t>
  </si>
  <si>
    <t>S253</t>
  </si>
  <si>
    <t>S25398</t>
  </si>
  <si>
    <t>CONJUNTO PARA FUTSAL COM PAR DE TRAVES OFICIAIS DE 3,00 X 2,00 M EM TUBO DE ACO GALVANIZADO 3" COM REQUADROS EM TUBO DE 1", PINTURA EM PRIMER COM TINTA ESMALTE SINTETICO E REDES DE POLIETILENO FIO 4 MM</t>
  </si>
  <si>
    <t>S25399</t>
  </si>
  <si>
    <t>CONJUNTO PARA QUADRA DE VOLEI COM POSTES EM TUBO DE ACO GALVANIZADO 3", H = *255* CM, PINTURA EM TINTA ESMALTE SINTETICO, REDE DE NYLON COM 2 MM, MALHA 10 X 10 CM E ANTENAS OFICIAIS EM FIBRA DE VIDRO</t>
  </si>
  <si>
    <t>S25400</t>
  </si>
  <si>
    <t>S2548</t>
  </si>
  <si>
    <t>S2555</t>
  </si>
  <si>
    <t>CAIXA DE LUZ "3 X 3" EM ACO ESMALTADA</t>
  </si>
  <si>
    <t>S2556</t>
  </si>
  <si>
    <t>CAIXA DE LUZ "4 X 2" EM ACO ESMALTADA</t>
  </si>
  <si>
    <t>S2557</t>
  </si>
  <si>
    <t>CAIXA DE LUZ "4 X 4" EM ACO ESMALTADA</t>
  </si>
  <si>
    <t>S2558</t>
  </si>
  <si>
    <t>S2559</t>
  </si>
  <si>
    <t>S2560</t>
  </si>
  <si>
    <t>S2565</t>
  </si>
  <si>
    <t>S2566</t>
  </si>
  <si>
    <t>S2567</t>
  </si>
  <si>
    <t>S2568</t>
  </si>
  <si>
    <t>S2569</t>
  </si>
  <si>
    <t>S2570</t>
  </si>
  <si>
    <t>S2571</t>
  </si>
  <si>
    <t>S2572</t>
  </si>
  <si>
    <t>S2573</t>
  </si>
  <si>
    <t>S2574</t>
  </si>
  <si>
    <t>S2575</t>
  </si>
  <si>
    <t>S2576</t>
  </si>
  <si>
    <t>S2577</t>
  </si>
  <si>
    <t>S2578</t>
  </si>
  <si>
    <t>S2579</t>
  </si>
  <si>
    <t>S2580</t>
  </si>
  <si>
    <t>S2581</t>
  </si>
  <si>
    <t>S2582</t>
  </si>
  <si>
    <t>S2583</t>
  </si>
  <si>
    <t>S2584</t>
  </si>
  <si>
    <t>S2585</t>
  </si>
  <si>
    <t>S2586</t>
  </si>
  <si>
    <t>S2587</t>
  </si>
  <si>
    <t>S2588</t>
  </si>
  <si>
    <t>S2589</t>
  </si>
  <si>
    <t>S2590</t>
  </si>
  <si>
    <t>S2591</t>
  </si>
  <si>
    <t>S2592</t>
  </si>
  <si>
    <t>S2593</t>
  </si>
  <si>
    <t>S2594</t>
  </si>
  <si>
    <t>S2595</t>
  </si>
  <si>
    <t>S2596</t>
  </si>
  <si>
    <t>S2597</t>
  </si>
  <si>
    <t>S26039</t>
  </si>
  <si>
    <t>DISTRIBUIDOR DE AGREGADOS AUTOPROPELIDO, CAP 3 M3, A DIESEL, 6 CC, 176 CV</t>
  </si>
  <si>
    <t>S2609</t>
  </si>
  <si>
    <t>S2611</t>
  </si>
  <si>
    <t>S2616</t>
  </si>
  <si>
    <t>S2617</t>
  </si>
  <si>
    <t>S2618</t>
  </si>
  <si>
    <t>S2619</t>
  </si>
  <si>
    <t>S2620</t>
  </si>
  <si>
    <t>S2621</t>
  </si>
  <si>
    <t>S2622</t>
  </si>
  <si>
    <t>S2623</t>
  </si>
  <si>
    <t>S2624</t>
  </si>
  <si>
    <t>S2625</t>
  </si>
  <si>
    <t>S2626</t>
  </si>
  <si>
    <t>S2627</t>
  </si>
  <si>
    <t>S2628</t>
  </si>
  <si>
    <t>S2629</t>
  </si>
  <si>
    <t>S2630</t>
  </si>
  <si>
    <t>S2631</t>
  </si>
  <si>
    <t>S2632</t>
  </si>
  <si>
    <t>S2633</t>
  </si>
  <si>
    <t>S2634</t>
  </si>
  <si>
    <t>S2636</t>
  </si>
  <si>
    <t>S2637</t>
  </si>
  <si>
    <t>S2638</t>
  </si>
  <si>
    <t>S2639</t>
  </si>
  <si>
    <t>S2640</t>
  </si>
  <si>
    <t>S2641</t>
  </si>
  <si>
    <t>S2642</t>
  </si>
  <si>
    <t>S2643</t>
  </si>
  <si>
    <t>S2644</t>
  </si>
  <si>
    <t>S2662</t>
  </si>
  <si>
    <t>S2664</t>
  </si>
  <si>
    <t>S2666</t>
  </si>
  <si>
    <t>S2668</t>
  </si>
  <si>
    <t>S2673</t>
  </si>
  <si>
    <t>S2674</t>
  </si>
  <si>
    <t>S2675</t>
  </si>
  <si>
    <t>S2676</t>
  </si>
  <si>
    <t>S2678</t>
  </si>
  <si>
    <t>S2679</t>
  </si>
  <si>
    <t>S2680</t>
  </si>
  <si>
    <t>S2681</t>
  </si>
  <si>
    <t>S2682</t>
  </si>
  <si>
    <t>S2683</t>
  </si>
  <si>
    <t>S2684</t>
  </si>
  <si>
    <t>S2685</t>
  </si>
  <si>
    <t>S2686</t>
  </si>
  <si>
    <t>S2687</t>
  </si>
  <si>
    <t>S2688</t>
  </si>
  <si>
    <t>S2689</t>
  </si>
  <si>
    <t>S2690</t>
  </si>
  <si>
    <t>S2692</t>
  </si>
  <si>
    <t>S2696</t>
  </si>
  <si>
    <t>S2701</t>
  </si>
  <si>
    <t>S2705</t>
  </si>
  <si>
    <t>S2706</t>
  </si>
  <si>
    <t>S2707</t>
  </si>
  <si>
    <t>S2708</t>
  </si>
  <si>
    <t>S2710</t>
  </si>
  <si>
    <t>S2711</t>
  </si>
  <si>
    <t>S2723</t>
  </si>
  <si>
    <t>S2729</t>
  </si>
  <si>
    <t>S2731</t>
  </si>
  <si>
    <t>S2745</t>
  </si>
  <si>
    <t>S2747</t>
  </si>
  <si>
    <t>S2759</t>
  </si>
  <si>
    <t>ESPOLETA SIMPLES N 8.</t>
  </si>
  <si>
    <t>S2762</t>
  </si>
  <si>
    <t>ESTOPIM SIMPLES</t>
  </si>
  <si>
    <t>S2788</t>
  </si>
  <si>
    <t>S2794</t>
  </si>
  <si>
    <t>S296</t>
  </si>
  <si>
    <t>S297</t>
  </si>
  <si>
    <t>S298</t>
  </si>
  <si>
    <t>S299</t>
  </si>
  <si>
    <t>S3</t>
  </si>
  <si>
    <t>S300</t>
  </si>
  <si>
    <t>S301</t>
  </si>
  <si>
    <t>S303</t>
  </si>
  <si>
    <t>S305</t>
  </si>
  <si>
    <t>S306</t>
  </si>
  <si>
    <t>S307</t>
  </si>
  <si>
    <t>S3073</t>
  </si>
  <si>
    <t>EXTREMIDADE PVC PBA, BF, JE, DN 100/ DE 110 MM</t>
  </si>
  <si>
    <t>S3074</t>
  </si>
  <si>
    <t>EXTREMIDADE PVC PBA, BF, JE, DN 75/ DE 85 MM</t>
  </si>
  <si>
    <t>S3075</t>
  </si>
  <si>
    <t>EXTREMIDADE PVC PBA, PF, JE, DN 75 / DE 85 MM</t>
  </si>
  <si>
    <t>S3076</t>
  </si>
  <si>
    <t>EXTREMIDADE PVC PBA, PF, JE, DN 100 / DE 110 MM</t>
  </si>
  <si>
    <t>S308</t>
  </si>
  <si>
    <t>S3080</t>
  </si>
  <si>
    <t>S3081</t>
  </si>
  <si>
    <t>S309</t>
  </si>
  <si>
    <t>S3090</t>
  </si>
  <si>
    <t>S3093</t>
  </si>
  <si>
    <t>S3097</t>
  </si>
  <si>
    <t>S3099</t>
  </si>
  <si>
    <t>S310</t>
  </si>
  <si>
    <t>S3103</t>
  </si>
  <si>
    <t>S3104</t>
  </si>
  <si>
    <t>S3105</t>
  </si>
  <si>
    <t>S3106</t>
  </si>
  <si>
    <t>S3107</t>
  </si>
  <si>
    <t>S3108</t>
  </si>
  <si>
    <t>S311</t>
  </si>
  <si>
    <t>S3119</t>
  </si>
  <si>
    <t>S3120</t>
  </si>
  <si>
    <t>S3121</t>
  </si>
  <si>
    <t>S3122</t>
  </si>
  <si>
    <t>S3123</t>
  </si>
  <si>
    <t>S3143</t>
  </si>
  <si>
    <t>S3146</t>
  </si>
  <si>
    <t>S3148</t>
  </si>
  <si>
    <t>S318</t>
  </si>
  <si>
    <t>S319</t>
  </si>
  <si>
    <t>S32</t>
  </si>
  <si>
    <t>S325</t>
  </si>
  <si>
    <t>S3262</t>
  </si>
  <si>
    <t>FLANGE SEXTAVADO DE FERRO GALVANIZADO, COM ROSCA BSP, DE 1/2"</t>
  </si>
  <si>
    <t>S3263</t>
  </si>
  <si>
    <t>FLANGE SEXTAVADO DE FERRO GALVANIZADO, COM ROSCA BSP, DE 3/4"</t>
  </si>
  <si>
    <t>S3264</t>
  </si>
  <si>
    <t>FLANGE SEXTAVADO DE FERRO GALVANIZADO, COM ROSCA BSP, DE 1"</t>
  </si>
  <si>
    <t>S3265</t>
  </si>
  <si>
    <t>FLANGE SEXTAVADO DE FERRO GALVANIZADO, COM ROSCA BSP, DE 1 1/4"</t>
  </si>
  <si>
    <t>S3266</t>
  </si>
  <si>
    <t>FLANGE SEXTAVADO DE FERRO GALVANIZADO, COM ROSCA BSP, DE 2"</t>
  </si>
  <si>
    <t>S3267</t>
  </si>
  <si>
    <t>FLANGE SEXTAVADO DE FERRO GALVANIZADO, COM ROSCA BSP, DE 2 1/2"</t>
  </si>
  <si>
    <t>S3268</t>
  </si>
  <si>
    <t>FLANGE SEXTAVADO DE FERRO GALVANIZADO, COM ROSCA BSP, DE 3"</t>
  </si>
  <si>
    <t>S3270</t>
  </si>
  <si>
    <t>FLANGE SEXTAVADO DE FERRO GALVANIZADO, COM ROSCA BSP, DE 6"</t>
  </si>
  <si>
    <t>S3271</t>
  </si>
  <si>
    <t>FLANGE SEXTAVADO DE FERRO GALVANIZADO, COM ROSCA BSP, DE 4"</t>
  </si>
  <si>
    <t>S3272</t>
  </si>
  <si>
    <t>FLANGE SEXTAVADO DE FERRO GALVANIZADO, COM ROSCA BSP, DE 1 1/2"</t>
  </si>
  <si>
    <t>S3275</t>
  </si>
  <si>
    <t>S328</t>
  </si>
  <si>
    <t>S3283</t>
  </si>
  <si>
    <t>S3286</t>
  </si>
  <si>
    <t>S3287</t>
  </si>
  <si>
    <t>S3288</t>
  </si>
  <si>
    <t>S329</t>
  </si>
  <si>
    <t>S3292</t>
  </si>
  <si>
    <t>FUSIVEL NH 20 A TAMANHO 000, CAPACIDADE DE INTERRUPCAO DE 120 KA, TENSAO NOMINAL DE 500 V</t>
  </si>
  <si>
    <t>S3294</t>
  </si>
  <si>
    <t>FUSIVEL NH 160 A TAMANHO 00, CAPACIDADE DE INTERRUPCAO DE 120 KA, TENSAO NOMINAL DE 500 V</t>
  </si>
  <si>
    <t>S3295</t>
  </si>
  <si>
    <t>FUSIVEL NH *36* A 80 AMPERES, TAMANHO 00, CAPACIDADE DE INTERRUPCAO DE 120 KA, TENSAO NOMINAL DE 500 V</t>
  </si>
  <si>
    <t>S3297</t>
  </si>
  <si>
    <t>FUSIVEL NH 125 A TAMANHO 00, CAPACIDADE DE INTERRUPCAO DE 120 KA, TENSAO NOMINAL DE 500 V</t>
  </si>
  <si>
    <t>S3298</t>
  </si>
  <si>
    <t>FUSIVEL NH 200 A 250 AMPERES, TAMANHO 1, CAPACIDADE DE INTERRUPCAO DE 120 KA, TENSAO NOMINAL DE 500 V</t>
  </si>
  <si>
    <t>S33</t>
  </si>
  <si>
    <t>S3302</t>
  </si>
  <si>
    <t>FUSIVEL NH 100 A TAMANHO 00, CAPACIDADE DE INTERRUPCAO DE 120 KA, TENSAO NOMINAL DE 500 V</t>
  </si>
  <si>
    <t>S3309</t>
  </si>
  <si>
    <t>S3311</t>
  </si>
  <si>
    <t>S3312</t>
  </si>
  <si>
    <t>S3313</t>
  </si>
  <si>
    <t>S3314</t>
  </si>
  <si>
    <t>S3315</t>
  </si>
  <si>
    <t>S3318</t>
  </si>
  <si>
    <t>GRADE DE DISCOS MECANICA 20X24" COM 20 DISCOS 24" X 6MM COM PNEUS PARA TRANSPORTE</t>
  </si>
  <si>
    <t>S3322</t>
  </si>
  <si>
    <t>S3324</t>
  </si>
  <si>
    <t>S3346</t>
  </si>
  <si>
    <t>LOCACAO DE GRUPO GERADOR *80 A 125* KVA, MOTOR DIESEL, REBOCAVEL, ACIONAMENTO MANUAL</t>
  </si>
  <si>
    <t>S3348</t>
  </si>
  <si>
    <t>LOCACAO DE GRUPO GERADOR ACIMA DE * 125 ATE 180* KVA, MOTOR DIESEL, REBOCAVEL, ACIONAMENTO MANUAL</t>
  </si>
  <si>
    <t>S3363</t>
  </si>
  <si>
    <t>GUINDAUTO HIDRAULICO, CAPACIDADE MAXIMA DE CARGA 6200 KG, MOMENTO MAXIMO DE CARGA 11,7 TM, ALCANCE MAXIMO HORIZONTAL 9,70 M, PARA MONTAGEM SOBRE CHASSI DE CAMINHAO PBT MINIMO 13000 KG (INCLUI MONTAGEM, NAO INCLUI CAMINHAO)</t>
  </si>
  <si>
    <t>S3365</t>
  </si>
  <si>
    <t>GUINDAUTO HIDRAULICO, CAPACIDADE MAXIMA DE CARGA 8500 KG, MOMENTO MAXIMO DE CARGA 30,4 TM, ALCANCE MAXIMO HORIZONTAL 14,30 M, PARA MONTAGEM SOBRE CHASSI DE CAMINHAO PBT MINIMO 23000 KG (INCLUI MONTAGEM, NAO INCLUI CAMINHAO)</t>
  </si>
  <si>
    <t>S3378</t>
  </si>
  <si>
    <t>S3379</t>
  </si>
  <si>
    <t>S3380</t>
  </si>
  <si>
    <t>S3384</t>
  </si>
  <si>
    <t>S339</t>
  </si>
  <si>
    <t>S3393</t>
  </si>
  <si>
    <t>S33939</t>
  </si>
  <si>
    <t>S3394</t>
  </si>
  <si>
    <t>S3395</t>
  </si>
  <si>
    <t>S33952</t>
  </si>
  <si>
    <t>S33953</t>
  </si>
  <si>
    <t>S3396</t>
  </si>
  <si>
    <t>SUPORTE ISOLADOR SIMPLES DIAMETRO NOMINAL 5/16", COM ROSCA SOBERBA E BUCHA</t>
  </si>
  <si>
    <t>S3398</t>
  </si>
  <si>
    <t>S34</t>
  </si>
  <si>
    <t>S340</t>
  </si>
  <si>
    <t>S3405</t>
  </si>
  <si>
    <t>S3406</t>
  </si>
  <si>
    <t>S3408</t>
  </si>
  <si>
    <t>POLIESTIRENO EXPANDIDO/EPS (ISOPOR), TIPO 2F, PLACA, ISOLAMENTO TERMOACUSTICO, E = 20 MM, 1000 X 500 MM</t>
  </si>
  <si>
    <t>S3409</t>
  </si>
  <si>
    <t>POLIESTIRENO EXPANDIDO/EPS (ISOPOR), TIPO 2F, PLACA, ISOLAMENTO TERMOACUSTICO, E = 50 MM, 1000 X 500 MM</t>
  </si>
  <si>
    <t>S3410</t>
  </si>
  <si>
    <t>S3411</t>
  </si>
  <si>
    <t>POLIESTIRENO EXPANDIDO/EPS (ISOPOR), PEROLAS, PARA CONCRETO LEVE</t>
  </si>
  <si>
    <t>S3412</t>
  </si>
  <si>
    <t>PAINEL DE LA DE VIDRO SEM REVESTIMENTO PSI 20, E = 25 MM, DE 1200 X 600 MM</t>
  </si>
  <si>
    <t>S3413</t>
  </si>
  <si>
    <t>PAINEL DE LA DE VIDRO SEM REVESTIMENTO PSI 20, E = 50 MM, DE 1200 X 600 MM</t>
  </si>
  <si>
    <t>S3421</t>
  </si>
  <si>
    <t>S3423</t>
  </si>
  <si>
    <t>S3428</t>
  </si>
  <si>
    <t>S3429</t>
  </si>
  <si>
    <t>S34341</t>
  </si>
  <si>
    <t>S34345</t>
  </si>
  <si>
    <t>S34347</t>
  </si>
  <si>
    <t>S34348</t>
  </si>
  <si>
    <t>S34349</t>
  </si>
  <si>
    <t>S34353</t>
  </si>
  <si>
    <t>S34355</t>
  </si>
  <si>
    <t>S34357</t>
  </si>
  <si>
    <t>S34359</t>
  </si>
  <si>
    <t>S34360</t>
  </si>
  <si>
    <t>S34361</t>
  </si>
  <si>
    <t>S34364</t>
  </si>
  <si>
    <t>S34367</t>
  </si>
  <si>
    <t>S34369</t>
  </si>
  <si>
    <t>S3437</t>
  </si>
  <si>
    <t>S34377</t>
  </si>
  <si>
    <t>S34381</t>
  </si>
  <si>
    <t>S34383</t>
  </si>
  <si>
    <t>S34384</t>
  </si>
  <si>
    <t>S34385</t>
  </si>
  <si>
    <t>S34386</t>
  </si>
  <si>
    <t>S34387</t>
  </si>
  <si>
    <t>S34388</t>
  </si>
  <si>
    <t>S34389</t>
  </si>
  <si>
    <t>S34390</t>
  </si>
  <si>
    <t>S34391</t>
  </si>
  <si>
    <t>S344</t>
  </si>
  <si>
    <t>S34400</t>
  </si>
  <si>
    <t>S34401</t>
  </si>
  <si>
    <t>S34402</t>
  </si>
  <si>
    <t>S3441</t>
  </si>
  <si>
    <t>COTOVELO 45 GRAUS DE FERRO GALVANIZADO, COM ROSCA BSP, DE 1/2"</t>
  </si>
  <si>
    <t>S34417</t>
  </si>
  <si>
    <t>S3442</t>
  </si>
  <si>
    <t>COTOVELO 45 GRAUS DE FERRO GALVANIZADO, COM ROSCA BSP, DE 3/4"</t>
  </si>
  <si>
    <t>S34425</t>
  </si>
  <si>
    <t>S3443</t>
  </si>
  <si>
    <t>COTOVELO 90 GRAUS DE FERRO GALVANIZADO, COM ROSCA BSP MACHO/FEMEA, DE 1"</t>
  </si>
  <si>
    <t>S3444</t>
  </si>
  <si>
    <t>COTOVELO 45 GRAUS DE FERRO GALVANIZADO, COM ROSCA BSP, DE 1"</t>
  </si>
  <si>
    <t>S34447</t>
  </si>
  <si>
    <t>S34449</t>
  </si>
  <si>
    <t>S3445</t>
  </si>
  <si>
    <t>COTOVELO 45 GRAUS DE FERRO GALVANIZADO, COM ROSCA BSP, DE 1 1/4"</t>
  </si>
  <si>
    <t>S34458</t>
  </si>
  <si>
    <t>S3446</t>
  </si>
  <si>
    <t>COTOVELO 45 GRAUS DE FERRO GALVANIZADO, COM ROSCA BSP, DE 1 1/2"</t>
  </si>
  <si>
    <t>S34464</t>
  </si>
  <si>
    <t>S34466</t>
  </si>
  <si>
    <t>S34468</t>
  </si>
  <si>
    <t>S34469</t>
  </si>
  <si>
    <t>AQUECEDOR SOLAR COM RESERVATORIO TERMICO DE 1000 L E *5* PLACAS COLETORAS DE *2,0* M2 (NAO INCLUI ACESSORIOS) (SEM INSTALACAO)</t>
  </si>
  <si>
    <t>S3447</t>
  </si>
  <si>
    <t>COTOVELO 45 GRAUS DE FERRO GALVANIZADO, COM ROSCA BSP, DE 2"</t>
  </si>
  <si>
    <t>S34472</t>
  </si>
  <si>
    <t>AQUECEDOR SOLAR DE INSTALACAO EXTERNA, KIT COMPACTO, CONJUNTO COM RESERVATORIO TERMICO DE 200 L, PLACA COLETORA DE *2,0* M2 E INCLUSO ACESSORIOS (RESIDENCIAS ATE 120,00 M2 E DE 4 A 5 BANHOS POR DIA) (SEM INSTALACAO)</t>
  </si>
  <si>
    <t>S34473</t>
  </si>
  <si>
    <t>S34476</t>
  </si>
  <si>
    <t>AQUECEDOR SOLAR COM RESERVATORIO TERMICO DE 400 L E *2* PLACAS COLETORAS DE *2,0* M2 (NAO INCLUI ACESSORIOS) (SEM INSTALACAO)</t>
  </si>
  <si>
    <t>S34477</t>
  </si>
  <si>
    <t>AQUECEDOR SOLAR COM RESERVATORIO TERMICO DE 600 L E *3* PLACAS COLETORAS DE *2,0* M2 (NAO INCLUI ACESSORIOS) (SEM INSTALACAO)</t>
  </si>
  <si>
    <t>S34479</t>
  </si>
  <si>
    <t>S3448</t>
  </si>
  <si>
    <t>COTOVELO 45 GRAUS DE FERRO GALVANIZADO, COM ROSCA BSP, DE 3"</t>
  </si>
  <si>
    <t>S34480</t>
  </si>
  <si>
    <t>S34481</t>
  </si>
  <si>
    <t>S34482</t>
  </si>
  <si>
    <t>AQUECEDOR SOLAR COM RESERVATORIO TERMICO DE 800 L E *4* PLACAS COLETORAS DE *2,0* M2 (NAO INCLUI ACESSORIOS) (SEM INSTALACAO)</t>
  </si>
  <si>
    <t>S34483</t>
  </si>
  <si>
    <t>S34485</t>
  </si>
  <si>
    <t>S34486</t>
  </si>
  <si>
    <t>S3449</t>
  </si>
  <si>
    <t>COTOVELO 45 GRAUS DE FERRO GALVANIZADO, COM ROSCA BSP, DE 4"</t>
  </si>
  <si>
    <t>S34491</t>
  </si>
  <si>
    <t>S34492</t>
  </si>
  <si>
    <t>S34493</t>
  </si>
  <si>
    <t>S34494</t>
  </si>
  <si>
    <t>S34495</t>
  </si>
  <si>
    <t>S34496</t>
  </si>
  <si>
    <t>S34498</t>
  </si>
  <si>
    <t>S345</t>
  </si>
  <si>
    <t>S3450</t>
  </si>
  <si>
    <t>COTOVELO 90 GRAUS DE FERRO GALVANIZADO, COM ROSCA BSP MACHO/FEMEA, DE 1/2"</t>
  </si>
  <si>
    <t>S3451</t>
  </si>
  <si>
    <t>COTOVELO 90 GRAUS DE FERRO GALVANIZADO, COM ROSCA BSP MACHO/FEMEA, DE 3/4"</t>
  </si>
  <si>
    <t>S34514</t>
  </si>
  <si>
    <t>CHAPA DE MDF BRANCO LISO 1 FACE, E = 15 MM, DE *2,75 X 1,85* M</t>
  </si>
  <si>
    <t>S34519</t>
  </si>
  <si>
    <t>CRUZETA DE CONCRETO LEVE, COMP. 2000 MM SECAO, 90 X 90 MM</t>
  </si>
  <si>
    <t>S3452</t>
  </si>
  <si>
    <t>COTOVELO 90 GRAUS DE FERRO GALVANIZADO, COM ROSCA BSP MACHO/FEMEA, DE 2"</t>
  </si>
  <si>
    <t>S3453</t>
  </si>
  <si>
    <t>COTOVELO 90 GRAUS DE FERRO GALVANIZADO, COM ROSCA BSP MACHO/FEMEA, DE 2 1/2"</t>
  </si>
  <si>
    <t>S3454</t>
  </si>
  <si>
    <t>COTOVELO 90 GRAUS DE FERRO GALVANIZADO, COM ROSCA BSP MACHO/FEMEA, DE 3"</t>
  </si>
  <si>
    <t>S34544</t>
  </si>
  <si>
    <t>S34546</t>
  </si>
  <si>
    <t>S34547</t>
  </si>
  <si>
    <t>S34548</t>
  </si>
  <si>
    <t>S34549</t>
  </si>
  <si>
    <t>ARGILA EXPANDIDA, GRANULOMETRIA 2215</t>
  </si>
  <si>
    <t>S3455</t>
  </si>
  <si>
    <t>COTOVELO 90 GRAUS DE FERRO GALVANIZADO, COM ROSCA BSP, DE 1/2"</t>
  </si>
  <si>
    <t>S34550</t>
  </si>
  <si>
    <t>S34551</t>
  </si>
  <si>
    <t>S34555</t>
  </si>
  <si>
    <t>S34556</t>
  </si>
  <si>
    <t>S34557</t>
  </si>
  <si>
    <t>S34558</t>
  </si>
  <si>
    <t>S3456</t>
  </si>
  <si>
    <t>COTOVELO 90 GRAUS DE FERRO GALVANIZADO, COM ROSCA BSP, DE 3/4"</t>
  </si>
  <si>
    <t>S34564</t>
  </si>
  <si>
    <t>S34565</t>
  </si>
  <si>
    <t>S34566</t>
  </si>
  <si>
    <t>S34567</t>
  </si>
  <si>
    <t>S34568</t>
  </si>
  <si>
    <t>S34569</t>
  </si>
  <si>
    <t>S3457</t>
  </si>
  <si>
    <t>COTOVELO 90 GRAUS DE FERRO GALVANIZADO, COM ROSCA BSP, DE 1 1/4"</t>
  </si>
  <si>
    <t>S34570</t>
  </si>
  <si>
    <t>S34571</t>
  </si>
  <si>
    <t>S34573</t>
  </si>
  <si>
    <t>S34576</t>
  </si>
  <si>
    <t>S34577</t>
  </si>
  <si>
    <t>S34578</t>
  </si>
  <si>
    <t>S34579</t>
  </si>
  <si>
    <t>S3458</t>
  </si>
  <si>
    <t>COTOVELO 90 GRAUS DE FERRO GALVANIZADO, COM ROSCA BSP, DE 1 1/2"</t>
  </si>
  <si>
    <t>S34580</t>
  </si>
  <si>
    <t>S34583</t>
  </si>
  <si>
    <t>S34584</t>
  </si>
  <si>
    <t>S34586</t>
  </si>
  <si>
    <t>S34588</t>
  </si>
  <si>
    <t>S3459</t>
  </si>
  <si>
    <t>COTOVELO 90 GRAUS DE FERRO GALVANIZADO, COM ROSCA BSP, DE 3"</t>
  </si>
  <si>
    <t>S34590</t>
  </si>
  <si>
    <t>S34591</t>
  </si>
  <si>
    <t>S34592</t>
  </si>
  <si>
    <t>S34599</t>
  </si>
  <si>
    <t>S346</t>
  </si>
  <si>
    <t>S3460</t>
  </si>
  <si>
    <t>COTOVELO 90 GRAUS DE FERRO GALVANIZADO, COM ROSCA BSP, DE 5"</t>
  </si>
  <si>
    <t>S34600</t>
  </si>
  <si>
    <t>BLOCO DE VEDACAO DE CONCRETO CELULAR AUTOCLAVADO 15 X 30 X 60 CM (E X A X C)</t>
  </si>
  <si>
    <t>S34602</t>
  </si>
  <si>
    <t>S34606</t>
  </si>
  <si>
    <t>S34607</t>
  </si>
  <si>
    <t>S34609</t>
  </si>
  <si>
    <t>S3461</t>
  </si>
  <si>
    <t>COTOVELO 90 GRAUS DE FERRO GALVANIZADO, COM ROSCA BSP, DE 6"</t>
  </si>
  <si>
    <t>S34612</t>
  </si>
  <si>
    <t>S34616</t>
  </si>
  <si>
    <t>S34618</t>
  </si>
  <si>
    <t>S3462</t>
  </si>
  <si>
    <t>COTOVELO DE REDUCAO 90 GRAUS DE FERRO GALVANIZADO, COM ROSCA BSP, DE 3/4" X 1/2"</t>
  </si>
  <si>
    <t>S34621</t>
  </si>
  <si>
    <t>S34622</t>
  </si>
  <si>
    <t>S34623</t>
  </si>
  <si>
    <t>S34624</t>
  </si>
  <si>
    <t>S34627</t>
  </si>
  <si>
    <t>S34628</t>
  </si>
  <si>
    <t>S34629</t>
  </si>
  <si>
    <t>S3463</t>
  </si>
  <si>
    <t>COTOVELO DE REDUCAO 90 GRAUS DE FERRO GALVANIZADO, COM ROSCA BSP, DE 1" X 1/2"</t>
  </si>
  <si>
    <t>S34630</t>
  </si>
  <si>
    <t>S34633</t>
  </si>
  <si>
    <t>S34635</t>
  </si>
  <si>
    <t>S34636</t>
  </si>
  <si>
    <t>S34637</t>
  </si>
  <si>
    <t>S34638</t>
  </si>
  <si>
    <t>S34639</t>
  </si>
  <si>
    <t>S3464</t>
  </si>
  <si>
    <t>COTOVELO DE REDUCAO 90 GRAUS DE FERRO GALVANIZADO, COM ROSCA BSP, DE 1" X 3/4"</t>
  </si>
  <si>
    <t>S34640</t>
  </si>
  <si>
    <t>CAIXA DE ATERRAMENTO EM CONCRETO PRE-MOLDADO, DIAMETRO DE 0,30 M E ALTURA DE 0,35 M, SEM FUNDO E COM TAMPA</t>
  </si>
  <si>
    <t>S34643</t>
  </si>
  <si>
    <t>S34649</t>
  </si>
  <si>
    <t>S3465</t>
  </si>
  <si>
    <t>COTOVELO DE REDUCAO 90 GRAUS DE FERRO GALVANIZADO, COM ROSCA BSP, DE 1 1/2" X 3/4"</t>
  </si>
  <si>
    <t>S34653</t>
  </si>
  <si>
    <t>S34655</t>
  </si>
  <si>
    <t>S34659</t>
  </si>
  <si>
    <t>CHAPA DE MDF BRANCO LISO 1 FACE, E = 12 MM, DE *2,75 X 1,85* M</t>
  </si>
  <si>
    <t>S3466</t>
  </si>
  <si>
    <t>COTOVELO DE REDUCAO 90 GRAUS DE FERRO GALVANIZADO, COM ROSCA BSP, DE 2 1/2" X 2"</t>
  </si>
  <si>
    <t>S34660</t>
  </si>
  <si>
    <t>CHAPA DE MDF BRANCO LISO 1 FACE, E = 18 MM, DE *2,75 X 1,85* M</t>
  </si>
  <si>
    <t>S34661</t>
  </si>
  <si>
    <t>CHAPA DE MDF BRANCO LISO 1 FACE, E = 25 MM, DE *2,75 X 1,85* M</t>
  </si>
  <si>
    <t>S34664</t>
  </si>
  <si>
    <t>CHAPA DE MDF BRANCO LISO 2 FACES, E = 15 MM, DE *2,75 X 1,85* M</t>
  </si>
  <si>
    <t>S34665</t>
  </si>
  <si>
    <t>CHAPA DE MDF BRANCO LISO 2 FACES, E = 18 MM, DE *2,75 X 1,85* M</t>
  </si>
  <si>
    <t>S34666</t>
  </si>
  <si>
    <t>CHAPA DE MDF BRANCO LISO 2 FACES, E = 25 MM, DE *2,75 X 1,85* M</t>
  </si>
  <si>
    <t>S34667</t>
  </si>
  <si>
    <t>CHAPA DE MDF BRANCO LISO 1 FACE, E = 6 MM, DE *2,75 X 1,85* M</t>
  </si>
  <si>
    <t>S34668</t>
  </si>
  <si>
    <t>CHAPA DE MDF BRANCO LISO 1 FACE, E = 9 MM, DE *2,75 X 1,85* M</t>
  </si>
  <si>
    <t>S34669</t>
  </si>
  <si>
    <t>CHAPA DE MDF BRANCO LISO 2 FACES, E = 6 MM, DE *2,75 X 1,85* M</t>
  </si>
  <si>
    <t>S3467</t>
  </si>
  <si>
    <t>COTOVELO DE REDUCAO 90 GRAUS DE FERRO GALVANIZADO, COM ROSCA BSP, DE 2" X 1 1/2"</t>
  </si>
  <si>
    <t>S34670</t>
  </si>
  <si>
    <t>CHAPA DE MDF BRANCO LISO 2 FACES, E = 9 MM, DE *2,75 X 1,85* M</t>
  </si>
  <si>
    <t>S34671</t>
  </si>
  <si>
    <t>CHAPA DE MDF CRU, E = 12 MM, DE *2,75 X 1,85* M</t>
  </si>
  <si>
    <t>S34672</t>
  </si>
  <si>
    <t>CHAPA DE MDF CRU, E = 15 MM, DE *2,75 X 1,85* M</t>
  </si>
  <si>
    <t>S34673</t>
  </si>
  <si>
    <t>CHAPA DE MDF CRU, E = 18 MM, DE *2,75 X 1,85* M</t>
  </si>
  <si>
    <t>S34674</t>
  </si>
  <si>
    <t>CHAPA DE MDF CRU, E = 20 MM, DE *2,75 X 1,85* M</t>
  </si>
  <si>
    <t>CHAPA DE MDF CRU, E = 25 MM, DE *2,75 X 1,85* M</t>
  </si>
  <si>
    <t>S34676</t>
  </si>
  <si>
    <t>CHAPA DE MDF CRU, E = 6 MM, DE *2,75 X 1,85* M</t>
  </si>
  <si>
    <t>S34677</t>
  </si>
  <si>
    <t>CHAPA DE MDF CRU, E = 9 MM, DE *2,75 X 1,85* M</t>
  </si>
  <si>
    <t>S3468</t>
  </si>
  <si>
    <t>COTOVELO DE REDUCAO 90 GRAUS DE FERRO GALVANIZADO, COM ROSCA BSP, DE 1 1/2" X 1"</t>
  </si>
  <si>
    <t>S34680</t>
  </si>
  <si>
    <t>RODAPE PRE-MOLDADO DE GRANILITE, MARMORITE OU GRANITINA L = 10 CM</t>
  </si>
  <si>
    <t>S34682</t>
  </si>
  <si>
    <t>REVESTIMENTO PARA ESCADA EM GRANILITE, MARMORITE OU GRANITINA ESP = 8 MM (INCLUSO EXECUCAO)</t>
  </si>
  <si>
    <t>S34683</t>
  </si>
  <si>
    <t>REVESTIMENTO DE PAREDE EM GRANILITE, MARMORITE OU GRANITINA COLORIDO - ESP = 5 MM (INCLUSO EXECUCAO)</t>
  </si>
  <si>
    <t>S34684</t>
  </si>
  <si>
    <t>REVESTIMENTO DE PAREDE EM GRANILITE, MARMORITE OU GRANITINA - ESP = 5 MM (INCLUSO EXECUCAO)</t>
  </si>
  <si>
    <t>S34686</t>
  </si>
  <si>
    <t>S34688</t>
  </si>
  <si>
    <t>S34689</t>
  </si>
  <si>
    <t>S3469</t>
  </si>
  <si>
    <t>COTOVELO 90 GRAUS DE FERRO GALVANIZADO, COM ROSCA BSP, DE 4"</t>
  </si>
  <si>
    <t>S3470</t>
  </si>
  <si>
    <t>COTOVELO 90 GRAUS DE FERRO GALVANIZADO, COM ROSCA BSP, DE 2 1/2"</t>
  </si>
  <si>
    <t>S34705</t>
  </si>
  <si>
    <t>S34707</t>
  </si>
  <si>
    <t>S34709</t>
  </si>
  <si>
    <t>S3471</t>
  </si>
  <si>
    <t>COTOVELO 90 GRAUS DE FERRO GALVANIZADO, COM ROSCA BSP, DE 2"</t>
  </si>
  <si>
    <t>S34713</t>
  </si>
  <si>
    <t>S34714</t>
  </si>
  <si>
    <t>S3472</t>
  </si>
  <si>
    <t>COTOVELO 90 GRAUS DE FERRO GALVANIZADO, COM ROSCA BSP, DE 1"</t>
  </si>
  <si>
    <t>S34721</t>
  </si>
  <si>
    <t>PLACA DE SINALIZACAO EM CHAPA DE ALUMINIO COM PINTURA REFLETIVA, E = 2 MM</t>
  </si>
  <si>
    <t>S34723</t>
  </si>
  <si>
    <t>PLACA DE SINALIZACAO EM CHAPA DE ACO NUM 16 COM PINTURA REFLETIVA</t>
  </si>
  <si>
    <t>S34729</t>
  </si>
  <si>
    <t>S3473</t>
  </si>
  <si>
    <t>COTOVELO 90 GRAUS DE FERRO GALVANIZADO, COM ROSCA BSP MACHO/FEMEA, DE 1 1/2"</t>
  </si>
  <si>
    <t>S34734</t>
  </si>
  <si>
    <t>S34738</t>
  </si>
  <si>
    <t>S3474</t>
  </si>
  <si>
    <t>COTOVELO 90 GRAUS DE FERRO GALVANIZADO, COM ROSCA BSP MACHO/FEMEA, DE 1 1/4"</t>
  </si>
  <si>
    <t>S34741</t>
  </si>
  <si>
    <t>CHAPA DE MDF BRANCO LISO 2 FACES, E = 12 MM, DE *2,75 X 1,85* M</t>
  </si>
  <si>
    <t>S34743</t>
  </si>
  <si>
    <t>S34744</t>
  </si>
  <si>
    <t>PELICULA REFLETIVA, GT 7 ANOS PARA SINALIZACAO VERTICAL</t>
  </si>
  <si>
    <t>S34745</t>
  </si>
  <si>
    <t>S34746</t>
  </si>
  <si>
    <t>S34747</t>
  </si>
  <si>
    <t>S3475</t>
  </si>
  <si>
    <t>S34753</t>
  </si>
  <si>
    <t>S34761</t>
  </si>
  <si>
    <t>S34763</t>
  </si>
  <si>
    <t>S34764</t>
  </si>
  <si>
    <t>S34769</t>
  </si>
  <si>
    <t>S3477</t>
  </si>
  <si>
    <t>S34770</t>
  </si>
  <si>
    <t>S34771</t>
  </si>
  <si>
    <t>S34773</t>
  </si>
  <si>
    <t>S34774</t>
  </si>
  <si>
    <t>S34777</t>
  </si>
  <si>
    <t>S3478</t>
  </si>
  <si>
    <t>S34781</t>
  </si>
  <si>
    <t>S34788</t>
  </si>
  <si>
    <t>S34794</t>
  </si>
  <si>
    <t>S34797</t>
  </si>
  <si>
    <t>JANELA MAXIM-AR, ACO GALVANIZADO PINT. ANTICORROSIVA, COM BATENTE/REQUADRO DE 6 A 14 CM, SEM VIDRO, COM GRADE, 1 FL, 60 X 80 CM (A X L)</t>
  </si>
  <si>
    <t>S34800</t>
  </si>
  <si>
    <t>S34802</t>
  </si>
  <si>
    <t>S34804</t>
  </si>
  <si>
    <t>S3482</t>
  </si>
  <si>
    <t>S3485</t>
  </si>
  <si>
    <t>S34872</t>
  </si>
  <si>
    <t>S3496</t>
  </si>
  <si>
    <t>S3498</t>
  </si>
  <si>
    <t>S3499</t>
  </si>
  <si>
    <t>S3500</t>
  </si>
  <si>
    <t>S3501</t>
  </si>
  <si>
    <t>S3502</t>
  </si>
  <si>
    <t>S3503</t>
  </si>
  <si>
    <t>S3505</t>
  </si>
  <si>
    <t>S3509</t>
  </si>
  <si>
    <t>S3510</t>
  </si>
  <si>
    <t>S3511</t>
  </si>
  <si>
    <t>S3513</t>
  </si>
  <si>
    <t>S3515</t>
  </si>
  <si>
    <t>S3516</t>
  </si>
  <si>
    <t>S3517</t>
  </si>
  <si>
    <t>S3518</t>
  </si>
  <si>
    <t>S3519</t>
  </si>
  <si>
    <t>S3520</t>
  </si>
  <si>
    <t>S3521</t>
  </si>
  <si>
    <t>S3522</t>
  </si>
  <si>
    <t>S3524</t>
  </si>
  <si>
    <t>S3525</t>
  </si>
  <si>
    <t>S3526</t>
  </si>
  <si>
    <t>S3527</t>
  </si>
  <si>
    <t>S35272</t>
  </si>
  <si>
    <t>S35273</t>
  </si>
  <si>
    <t>S35274</t>
  </si>
  <si>
    <t>S35275</t>
  </si>
  <si>
    <t>S35276</t>
  </si>
  <si>
    <t>S35277</t>
  </si>
  <si>
    <t>S3528</t>
  </si>
  <si>
    <t>S3529</t>
  </si>
  <si>
    <t>S3530</t>
  </si>
  <si>
    <t>S3531</t>
  </si>
  <si>
    <t>S3532</t>
  </si>
  <si>
    <t>S3533</t>
  </si>
  <si>
    <t>S3534</t>
  </si>
  <si>
    <t>S3535</t>
  </si>
  <si>
    <t>S3536</t>
  </si>
  <si>
    <t>S3538</t>
  </si>
  <si>
    <t>S3539</t>
  </si>
  <si>
    <t>S3540</t>
  </si>
  <si>
    <t>S3542</t>
  </si>
  <si>
    <t>S3543</t>
  </si>
  <si>
    <t>S35692</t>
  </si>
  <si>
    <t>S35693</t>
  </si>
  <si>
    <t>S358</t>
  </si>
  <si>
    <t>S3585</t>
  </si>
  <si>
    <t>TE 45 GRAUS DE FERRO GALVANIZADO, COM ROSCA BSP, DE 1/2"</t>
  </si>
  <si>
    <t>S3586</t>
  </si>
  <si>
    <t>TE 45 GRAUS DE FERRO GALVANIZADO, COM ROSCA BSP, DE 3/4"</t>
  </si>
  <si>
    <t>S3587</t>
  </si>
  <si>
    <t>TE 45 GRAUS DE FERRO GALVANIZADO, COM ROSCA BSP, DE 1"</t>
  </si>
  <si>
    <t>S3588</t>
  </si>
  <si>
    <t>TE 45 GRAUS DE FERRO GALVANIZADO, COM ROSCA BSP, DE 1 1/4"</t>
  </si>
  <si>
    <t>S3589</t>
  </si>
  <si>
    <t>TE 45 GRAUS DE FERRO GALVANIZADO, COM ROSCA BSP, DE 2"</t>
  </si>
  <si>
    <t>S359</t>
  </si>
  <si>
    <t>S3590</t>
  </si>
  <si>
    <t>TE 45 GRAUS DE FERRO GALVANIZADO, COM ROSCA BSP, DE 2 1/2"</t>
  </si>
  <si>
    <t>S3591</t>
  </si>
  <si>
    <t>TE 45 GRAUS DE FERRO GALVANIZADO, COM ROSCA BSP, DE 4"</t>
  </si>
  <si>
    <t>S3592</t>
  </si>
  <si>
    <t>TE 45 GRAUS DE FERRO GALVANIZADO, COM ROSCA BSP, DE 3"</t>
  </si>
  <si>
    <t>S3593</t>
  </si>
  <si>
    <t>TE 45 GRAUS DE FERRO GALVANIZADO, COM ROSCA BSP, DE 1 1/2"</t>
  </si>
  <si>
    <t>S360</t>
  </si>
  <si>
    <t>S36080</t>
  </si>
  <si>
    <t>S36081</t>
  </si>
  <si>
    <t>S36084</t>
  </si>
  <si>
    <t>TUBO PVC PBA JEI, CLASSE 12, DN 50 MM, PARA REDE DE AGUA (NBR 5647)</t>
  </si>
  <si>
    <t>S36141</t>
  </si>
  <si>
    <t>S36142</t>
  </si>
  <si>
    <t>S36143</t>
  </si>
  <si>
    <t>S36144</t>
  </si>
  <si>
    <t>S36145</t>
  </si>
  <si>
    <t>S36146</t>
  </si>
  <si>
    <t>S36147</t>
  </si>
  <si>
    <t>S36148</t>
  </si>
  <si>
    <t>S36149</t>
  </si>
  <si>
    <t>S36150</t>
  </si>
  <si>
    <t>S36151</t>
  </si>
  <si>
    <t>S36152</t>
  </si>
  <si>
    <t>S36153</t>
  </si>
  <si>
    <t>S36154</t>
  </si>
  <si>
    <t>S36155</t>
  </si>
  <si>
    <t>S36156</t>
  </si>
  <si>
    <t>S36170</t>
  </si>
  <si>
    <t>S36178</t>
  </si>
  <si>
    <t>S36204</t>
  </si>
  <si>
    <t>S36205</t>
  </si>
  <si>
    <t>S36206</t>
  </si>
  <si>
    <t>S36207</t>
  </si>
  <si>
    <t>S36209</t>
  </si>
  <si>
    <t>S36210</t>
  </si>
  <si>
    <t>S36215</t>
  </si>
  <si>
    <t>S36218</t>
  </si>
  <si>
    <t>S36220</t>
  </si>
  <si>
    <t>S36223</t>
  </si>
  <si>
    <t>S36225</t>
  </si>
  <si>
    <t>S36230</t>
  </si>
  <si>
    <t>S36238</t>
  </si>
  <si>
    <t>S36246</t>
  </si>
  <si>
    <t>S36250</t>
  </si>
  <si>
    <t>S36274</t>
  </si>
  <si>
    <t>S36278</t>
  </si>
  <si>
    <t>S36298</t>
  </si>
  <si>
    <t>S36313</t>
  </si>
  <si>
    <t>S36316</t>
  </si>
  <si>
    <t>S36320</t>
  </si>
  <si>
    <t>S36324</t>
  </si>
  <si>
    <t>S36327</t>
  </si>
  <si>
    <t>S36331</t>
  </si>
  <si>
    <t>S36346</t>
  </si>
  <si>
    <t>S36348</t>
  </si>
  <si>
    <t>S36349</t>
  </si>
  <si>
    <t>S36355</t>
  </si>
  <si>
    <t>S36356</t>
  </si>
  <si>
    <t>S36357</t>
  </si>
  <si>
    <t>S36359</t>
  </si>
  <si>
    <t>S36360</t>
  </si>
  <si>
    <t>S36362</t>
  </si>
  <si>
    <t>S36365</t>
  </si>
  <si>
    <t>S36373</t>
  </si>
  <si>
    <t>TUBO PVC PBA JEI, CLASSE 12, DN 75 MM, PARA REDE DE AGUA (NBR 5647)</t>
  </si>
  <si>
    <t>S36374</t>
  </si>
  <si>
    <t>TUBO PVC PBA JEI, CLASSE 12, DN 100 MM, PARA REDE DE AGUA (NBR 5647)</t>
  </si>
  <si>
    <t>S36375</t>
  </si>
  <si>
    <t>TUBO PVC PBA JEI, CLASSE 15, DN 50 MM, PARA REDE DE AGUA (NBR 5647)</t>
  </si>
  <si>
    <t>S36376</t>
  </si>
  <si>
    <t>TUBO PVC PBA JEI, CLASSE 15, DN 75 MM, PARA REDE DE AGUA (NBR 5647)</t>
  </si>
  <si>
    <t>S36377</t>
  </si>
  <si>
    <t>TUBO PVC PBA JEI, CLASSE 15, DN 100 MM, PARA REDE DE AGUA (NBR 5647)</t>
  </si>
  <si>
    <t>S36378</t>
  </si>
  <si>
    <t>TUBO PVC PBA JEI, CLASSE 20, DN 50 MM, PARA REDE DE AGUA (NBR 5647)</t>
  </si>
  <si>
    <t>S36379</t>
  </si>
  <si>
    <t>TUBO PVC PBA JEI, CLASSE 20, DN 75 MM, PARA REDE DE AGUA (NBR 5647)</t>
  </si>
  <si>
    <t>S36380</t>
  </si>
  <si>
    <t>TUBO PVC PBA JEI, CLASSE 20, DN 100 MM, PARA REDE DE AGUA (NBR 5647)</t>
  </si>
  <si>
    <t>S36396</t>
  </si>
  <si>
    <t>S36397</t>
  </si>
  <si>
    <t>S36398</t>
  </si>
  <si>
    <t>S36408</t>
  </si>
  <si>
    <t>S36484</t>
  </si>
  <si>
    <t>ESPARGIDOR DE ASFALTO PRESSURIZADO, TANQUE 6 M3 COM ISOLACAO TERMICA, AQUECIDO COM 2 MACARICOS, COM BARRA ESPARGIDORA 3,60 M, A SER MONTADO SOBRE CAMINHAO</t>
  </si>
  <si>
    <t>S36485</t>
  </si>
  <si>
    <t>USINA DE LAMA ASFALTICA, PROD 30 A 50 T/H, SILO DE AGREGADO 7 M3, RESERVATORIOS PARA EMULSAO E AGUA DE 2,3 M3 CADA, MISTURADOR TIPO PUGG-MILL A SER MONTADO SOBRE CAMINHAO</t>
  </si>
  <si>
    <t>S36486</t>
  </si>
  <si>
    <t>ELEVADOR DE CARGA A CABO, CABINE SEMI FECHADA 2,0 X 1,5 X 2,0 M, CAPACIDADE DE CARGA 1000 KG, TORRE 2,38 X 2,21 X 15 M, GUINCHO DE EMBREAGEM, FREIO DE SEGURANCA, LIMITADOR DE VELOCIDADE E CANCELA</t>
  </si>
  <si>
    <t>S36487</t>
  </si>
  <si>
    <t>GUINCHO ELETRICO DE COLUNA, CAPACIDADE 400 KG, COM MOTO FREIO, MOTOR TRIFASICO DE 1,25 CV</t>
  </si>
  <si>
    <t>S36491</t>
  </si>
  <si>
    <t>GUINDAUTO HIDRAULICO, CAPACIDADE MAXIMA DE CARGA 30000 KG, MOMENTO MAXIMO DE CARGA 92,2 TM, ALCANCE MAXIMO HORIZONTAL 22,00 M, PARA MONTAGEM SOBRE CHASSI DE CAMINHAO PBT MINIMO 30000 KG (INCLUI MONTAGEM, NAO INCLUI CAMINHAO)</t>
  </si>
  <si>
    <t>S36492</t>
  </si>
  <si>
    <t>GRUA ASCENCIONAL, LANCA DE 50 M, CAPACIDADE DE 2,33 T A 30 M, ALTURA ATE 48 M</t>
  </si>
  <si>
    <t>S36493</t>
  </si>
  <si>
    <t>GRUA ASCENCIONAL, LANCA DE 42 M, CAPACIDADE DE 1,5 T A 30 M, ALTURA ATE 39 M</t>
  </si>
  <si>
    <t>S36494</t>
  </si>
  <si>
    <t>GRUA ASCENCIONAL, LANCA DE 30 M, CAPACIDADE DE 1,0 T A 30 M, ALTURA ATE 39 M</t>
  </si>
  <si>
    <t>S36496</t>
  </si>
  <si>
    <t>CAVALETE PARA TALHA COM ESTRUTURA EM TUBO METALICO ALTURA MINIMA 3,2 M EQUIPADO COM RODAS DE BORRACHA PARA MOVIMENTACAO DE TUBOS DE CONCRETO NA CENTRAL DE PREMOLDADOS COM CAPACIDADE DE CARGA DE 3 TONELADAS</t>
  </si>
  <si>
    <t>S36497</t>
  </si>
  <si>
    <t>GUINCHO DE ALAVANCA MANUAL, CAPACIDADE 3,2 T COM 20 M DE CABO DE ACO DIAMETRO 16,3 MM</t>
  </si>
  <si>
    <t>S36498</t>
  </si>
  <si>
    <t>S36499</t>
  </si>
  <si>
    <t>S365</t>
  </si>
  <si>
    <t>S36500</t>
  </si>
  <si>
    <t>S36501</t>
  </si>
  <si>
    <t>S36502</t>
  </si>
  <si>
    <t>S36503</t>
  </si>
  <si>
    <t>S36508</t>
  </si>
  <si>
    <t>S36509</t>
  </si>
  <si>
    <t>S36510</t>
  </si>
  <si>
    <t>S36511</t>
  </si>
  <si>
    <t>TRATOR DE PNEUS COM POTENCIA DE 122 CV, TRACAO 4 X 4, PESO COM LASTRO DE 4510 KG</t>
  </si>
  <si>
    <t>S36512</t>
  </si>
  <si>
    <t>MICRO-TRATOR CORTADOR DE GRAMA COM LARGURA DO CORTE DE 107 CM, COM 2 LAMINAS E DESCARTE LATERAL</t>
  </si>
  <si>
    <t>S36513</t>
  </si>
  <si>
    <t>TRATOR DE PNEUS COM POTENCIA DE 85 CV, TURBO, PESO COM LASTRO DE 4900 KG</t>
  </si>
  <si>
    <t>S36514</t>
  </si>
  <si>
    <t>TRATOR DE PNEUS COM POTENCIA DE 95 CV, TRACAO 4 X 4, PESO MAXIMO DE 5225 KG</t>
  </si>
  <si>
    <t>S36515</t>
  </si>
  <si>
    <t>TRATOR DE PNEUS COM POTENCIA DE 15 CV, PESO COM LASTRO DE 1160 KG</t>
  </si>
  <si>
    <t>S36516</t>
  </si>
  <si>
    <t>DUMPER COM CAPACIDADE DE CARGA DE 1700 KG, PARTIDA ELETRICA, MOTOR DIESEL COM POTENCIA DE 16 CV</t>
  </si>
  <si>
    <t>S36517</t>
  </si>
  <si>
    <t>S36518</t>
  </si>
  <si>
    <t>S36520</t>
  </si>
  <si>
    <t>S36521</t>
  </si>
  <si>
    <t>S36522</t>
  </si>
  <si>
    <t>COMPRESSOR DE AR REBOCAVEL, VAZAO 189 PCM, PRESSAO EFETIVA DE TRABALHO 102 PSI, MOTOR DIESEL, POTENCIA 63 CV</t>
  </si>
  <si>
    <t>S36523</t>
  </si>
  <si>
    <t>COMPRESSOR DE AR REBOCAVEL VAZAO 748 PCM, PRESSAO EFETIVA DE TRABALHO 102 PSI, MOTOR DIESEL, POTENCIA 210 CV</t>
  </si>
  <si>
    <t>S36524</t>
  </si>
  <si>
    <t>COMPRESSOR DE AR ESTACIONARIO, VAZAO 620 PCM, PRESSAO EFETIVA DE TRABALHO 109 PSI, MOTOR ELETRICO, POTENCIA 127 CV</t>
  </si>
  <si>
    <t>S36525</t>
  </si>
  <si>
    <t>COMPRESSOR DE AR REBOCAVEL, VAZAO 250 PCM, PRESSAO EFETIVA DE TRABALHO 102 PSI, MOTOR DIESEL, POTENCIA 81 CV</t>
  </si>
  <si>
    <t>S36526</t>
  </si>
  <si>
    <t>COMPRESSOR DE AR REBOCAVEL VAZAO 400 PCM, PRESSAO EFETIVA DE TRABALHO 102 PSI, MOTOR DIESEL, POTENCIA 110 CV</t>
  </si>
  <si>
    <t>S36527</t>
  </si>
  <si>
    <t>COMPRESSOR DE AR REBOCAVEL VAZAO 860 PCM, PRESSAO EFETIVA DE TRABALHO 102 PSI, MOTOR DIESEL, POTENCIA 250 CV</t>
  </si>
  <si>
    <t>S36529</t>
  </si>
  <si>
    <t>GRADE DE DISCOS COM CONTROLE REMOTO, REBOCAVEL, COM 24 DISCOS 24" X 6 MM, COM PNEUS PARA TRANSPORTE</t>
  </si>
  <si>
    <t>S36530</t>
  </si>
  <si>
    <t>S36531</t>
  </si>
  <si>
    <t>S36533</t>
  </si>
  <si>
    <t>S3658</t>
  </si>
  <si>
    <t>S3659</t>
  </si>
  <si>
    <t>S366</t>
  </si>
  <si>
    <t>S3660</t>
  </si>
  <si>
    <t>S3662</t>
  </si>
  <si>
    <t>S3666</t>
  </si>
  <si>
    <t>S3668</t>
  </si>
  <si>
    <t>S3669</t>
  </si>
  <si>
    <t>S367</t>
  </si>
  <si>
    <t>S3670</t>
  </si>
  <si>
    <t>S3671</t>
  </si>
  <si>
    <t>JUNTA PLASTICA DE DILATACAO PARA PISOS, COR CINZA, 17 X 3 MM (ALTURA X ESPESSURA)</t>
  </si>
  <si>
    <t>S3672</t>
  </si>
  <si>
    <t>JUNTA PLASTICA DE DILATACAO PARA PISOS, COR CINZA, 10 X 4,5 MM (ALTURA X ESPESSURA)</t>
  </si>
  <si>
    <t>S3673</t>
  </si>
  <si>
    <t>JUNTA PLASTICA DE DILATACAO PARA PISOS, COR CINZA, 27 X 3 MM (ALTURA X ESPESSURA)</t>
  </si>
  <si>
    <t>S3674</t>
  </si>
  <si>
    <t>JUNTA DILATACAO ELASTICA PARA CONCRETO (FUGENBAND) O-12, ATE 5 MCA</t>
  </si>
  <si>
    <t>S3676</t>
  </si>
  <si>
    <t>JUNTA DILATACAO ELASTICA PARA CONCRETO (FUGENBAND) O-35/10, ATE 100 MCA</t>
  </si>
  <si>
    <t>S3678</t>
  </si>
  <si>
    <t>PERFIL ELASTOMERICO PRE-FORMADO EM EPMD, PARA JUNTA DE DILATACAO DE USO GERAL EM MEDIAS SOLICITACOES, 8 MM DE LARGURA, MOVIMENTACAO DE *5 A 11* MM</t>
  </si>
  <si>
    <t>S36782</t>
  </si>
  <si>
    <t>GRANALHA DE ACO, ESFERICA (SHOT), PARA JATEAMENTO, PENEIRA 0,40 A 1,00 MM (SAE S-170 A S-280)</t>
  </si>
  <si>
    <t>SC25KG</t>
  </si>
  <si>
    <t>S36785</t>
  </si>
  <si>
    <t>GRANALHA DE ACO, ANGULAR (GRIT), PARA JATEAMENTO, PENEIRA 1,41 A 1,19 MM (SAE G16)</t>
  </si>
  <si>
    <t>S36786</t>
  </si>
  <si>
    <t>GRANALHA DE ACO, ANGULAR (GRIT), PARA JATEAMENTO, PENEIRA 0,117 A 1,00 MM, (SAE G-40 A G-80)</t>
  </si>
  <si>
    <t>S36789</t>
  </si>
  <si>
    <t>S3679</t>
  </si>
  <si>
    <t>JUNTA DILATACAO ELASTICA PARA CONCRETO (FUGENBAND) O-35/6, ATE 100 MCA</t>
  </si>
  <si>
    <t>S36790</t>
  </si>
  <si>
    <t>S36791</t>
  </si>
  <si>
    <t>S36792</t>
  </si>
  <si>
    <t>S36793</t>
  </si>
  <si>
    <t>S36794</t>
  </si>
  <si>
    <t>S36795</t>
  </si>
  <si>
    <t>S36796</t>
  </si>
  <si>
    <t>S36797</t>
  </si>
  <si>
    <t>S36799</t>
  </si>
  <si>
    <t>S368</t>
  </si>
  <si>
    <t>S36800</t>
  </si>
  <si>
    <t>S36801</t>
  </si>
  <si>
    <t>S3681</t>
  </si>
  <si>
    <t>JUNTA DILATACAO ELASTICA PARA CONCRETO (FUGENBAND) O-22, ATE 30 MCA</t>
  </si>
  <si>
    <t>S36870</t>
  </si>
  <si>
    <t>S36880</t>
  </si>
  <si>
    <t>S36881</t>
  </si>
  <si>
    <t>S36882</t>
  </si>
  <si>
    <t>S36886</t>
  </si>
  <si>
    <t>S36887</t>
  </si>
  <si>
    <t>S36888</t>
  </si>
  <si>
    <t>S36896</t>
  </si>
  <si>
    <t>S36897</t>
  </si>
  <si>
    <t>S370</t>
  </si>
  <si>
    <t>S371</t>
  </si>
  <si>
    <t>S37103</t>
  </si>
  <si>
    <t>S37104</t>
  </si>
  <si>
    <t>S37105</t>
  </si>
  <si>
    <t>S37106</t>
  </si>
  <si>
    <t>S37107</t>
  </si>
  <si>
    <t>S3729</t>
  </si>
  <si>
    <t>S3731</t>
  </si>
  <si>
    <t>S37329</t>
  </si>
  <si>
    <t>S3733</t>
  </si>
  <si>
    <t>S3736</t>
  </si>
  <si>
    <t>S3737</t>
  </si>
  <si>
    <t>S37370</t>
  </si>
  <si>
    <t>S37371</t>
  </si>
  <si>
    <t>S37372</t>
  </si>
  <si>
    <t>S37373</t>
  </si>
  <si>
    <t>S3738</t>
  </si>
  <si>
    <t>S3739</t>
  </si>
  <si>
    <t>S37394</t>
  </si>
  <si>
    <t>FINCAPINO CURTO CALIBRE 22, CARGA MEDIA POTENCIA 5 (PARA FERRAMENTA DE ACAO DIRETA) COR VERMELHA</t>
  </si>
  <si>
    <t>PINO DE ACO COM FURO, HASTE = 27 MM (ACAO DIRETA)</t>
  </si>
  <si>
    <t>S37396</t>
  </si>
  <si>
    <t>PINO DE ACO LISO 1/4 ", HASTE = *36,5* MM (ACAO DIRETA)</t>
  </si>
  <si>
    <t>S37397</t>
  </si>
  <si>
    <t>PINO DE ACO LISO 1/4 ", HASTE = *53* MM (ACAO DIRETA)</t>
  </si>
  <si>
    <t>S37399</t>
  </si>
  <si>
    <t>S37400</t>
  </si>
  <si>
    <t>S37401</t>
  </si>
  <si>
    <t>S37404</t>
  </si>
  <si>
    <t>S37409</t>
  </si>
  <si>
    <t>S3741</t>
  </si>
  <si>
    <t>S37410</t>
  </si>
  <si>
    <t>S37411</t>
  </si>
  <si>
    <t>S37412</t>
  </si>
  <si>
    <t>S37413</t>
  </si>
  <si>
    <t>COTOVELO/JOELHO COM ADAPTADOR, 90 GRAUS, EM POLIPROPILENO, PN 16, PARA TUBOS PEAD, 20 MM X 1/2" - LIGACAO PREDIAL DE AGUA</t>
  </si>
  <si>
    <t>S37414</t>
  </si>
  <si>
    <t>COTOVELO/JOELHO COM ADAPTADOR, 90 GRAUS, EM POLIPROPILENO, PN 16, PARA TUBOS PEAD, 20 MM X 3/4" - LIGACAO PREDIAL DE AGUA</t>
  </si>
  <si>
    <t>S37415</t>
  </si>
  <si>
    <t>COTOVELO/JOELHO COM ADAPTADOR, 90 GRAUS, EM POLIPROPILENO, PN 16, PARA TUBOS PEAD, 32 MM X 1" - LIGACAO PREDIAL DE AGUA</t>
  </si>
  <si>
    <t>S37416</t>
  </si>
  <si>
    <t>COTOVELO/JOELHO 90 GRAUS, EM POLIPROPILENO, PN 16, PARA TUBOS PEAD, 20 X 20 MM - LIGACAO PREDIAL DE AGUA</t>
  </si>
  <si>
    <t>S37417</t>
  </si>
  <si>
    <t>COTOVELO/JOELHO 90 GRAUS, EM POLIPROPILENO, PN 16, PARA TUBOS PEAD, 32 X 32 MM - LIGACAO PREDIAL DE AGUA</t>
  </si>
  <si>
    <t>S37418</t>
  </si>
  <si>
    <t>COLAR DE TOMADA EM POLIPROPILENO, PP, COM PARAFUSOS, PARA PEAD, 63 X 1/2" - LIGACAO PREDIAL DE AGUA</t>
  </si>
  <si>
    <t>S37419</t>
  </si>
  <si>
    <t>COLAR DE TOMADA EM POLIPROPILENO, PP, COM PARAFUSOS, PARA PEAD, 63 X 3/4" - LIGACAO PREDIAL DE AGUA</t>
  </si>
  <si>
    <t>S3742</t>
  </si>
  <si>
    <t>S37420</t>
  </si>
  <si>
    <t>TE DE SERVICO INTEGRADO, EM POLIPROPILENO (PP), PARA TUBOS EM PEAD/PVC, 60 X 20 MM - LIGACAO PREDIAL DE AGUA</t>
  </si>
  <si>
    <t>S37421</t>
  </si>
  <si>
    <t>TE DE SERVICO INTEGRADO, EM POLIPROPILENO (PP), PARA TUBOS EM PEAD/PVC, 60 X 32 MM - LIGACAO PREDIAL DE AGUA</t>
  </si>
  <si>
    <t>S37422</t>
  </si>
  <si>
    <t>TE DE SERVICO INTEGRADO, EM POLIPROPILENO (PP), PARA TUBOS EM PEAD, 63 X 20 MM - LIGACAO PREDIAL DE AGUA</t>
  </si>
  <si>
    <t>S37423</t>
  </si>
  <si>
    <t>UNIAO EM POLIPROPILENO (PP), PARA TUBO EM PEAD, 32 MM - LIGACAO PREDIAL DE AGUA</t>
  </si>
  <si>
    <t>S37424</t>
  </si>
  <si>
    <t>LUVA, PEAD PE 100, DE 20 MM, PARA ELETROFUSAO</t>
  </si>
  <si>
    <t>S37425</t>
  </si>
  <si>
    <t>LUVA, PEAD PE 100, DE 32 MM, PARA ELETROFUSAO</t>
  </si>
  <si>
    <t>S37426</t>
  </si>
  <si>
    <t>LUVA, PEAD PE 100, DE 63 MM, PARA ELETROFUSAO</t>
  </si>
  <si>
    <t>S37427</t>
  </si>
  <si>
    <t>LUVA, PEAD PE 100, DE 125 MM, PARA ELETROFUSAO</t>
  </si>
  <si>
    <t>S37428</t>
  </si>
  <si>
    <t>LUVA, PEAD PE 100, DE 200 MM, PARA ELETROFUSAO</t>
  </si>
  <si>
    <t>S37429</t>
  </si>
  <si>
    <t>LUVA, PEAD PE 100, DE 400 MM, PARA ELETROFUSAO</t>
  </si>
  <si>
    <t>S3743</t>
  </si>
  <si>
    <t>S37430</t>
  </si>
  <si>
    <t>COTOVELO 90 GRAUS, PEAD PE 100, DE 20 MM, PARA ELETROFUSAO</t>
  </si>
  <si>
    <t>S37431</t>
  </si>
  <si>
    <t>COTOVELO 90 GRAUS, PEAD PE 100, DE 32 MM, PARA ELETROFUSAO</t>
  </si>
  <si>
    <t>S37432</t>
  </si>
  <si>
    <t>COTOVELO 90 GRAUS, PEAD PE 100, DE 63 MM, PARA ELETROFUSAO</t>
  </si>
  <si>
    <t>S37433</t>
  </si>
  <si>
    <t>COTOVELO 90 GRAUS, PEAD PE 100, DE 125 MM, PARA ELETROFUSAO</t>
  </si>
  <si>
    <t>S37434</t>
  </si>
  <si>
    <t>COTOVELO 90 GRAUS, PEAD PE 100, DE 200 MM, PARA ELETROFUSAO</t>
  </si>
  <si>
    <t>S37435</t>
  </si>
  <si>
    <t>COTOVELO 45 GRAUS, PEAD PE 100, DE 32 MM, PARA ELETROFUSAO</t>
  </si>
  <si>
    <t>S37436</t>
  </si>
  <si>
    <t>COTOVELO 45 GRAUS, PEAD PE 100, DE 40 MM, PARA ELETROFUSAO</t>
  </si>
  <si>
    <t>S37437</t>
  </si>
  <si>
    <t>COTOVELO 45 GRAUS, PEAD PE 100, DE 63 MM, PARA ELETROFUSAO</t>
  </si>
  <si>
    <t>S37438</t>
  </si>
  <si>
    <t>COTOVELO 45 GRAUS, PEAD PE 100, DE 125 MM, PARA ELETROFUSAO</t>
  </si>
  <si>
    <t>S37439</t>
  </si>
  <si>
    <t>COTOVELO 45 GRAUS, PEAD PE 100, DE 200 MM, PARA ELETROFUSAO</t>
  </si>
  <si>
    <t>S3744</t>
  </si>
  <si>
    <t>S37440</t>
  </si>
  <si>
    <t>TE DE SERVICO, PEAD PE 100, DE 63 X 20 MM, PARA ELETROFUSAO</t>
  </si>
  <si>
    <t>S37441</t>
  </si>
  <si>
    <t>TE DE SERVICO, PEAD PE 100, DE 63 X 32 MM, PARA ELETROFUSAO</t>
  </si>
  <si>
    <t>S37442</t>
  </si>
  <si>
    <t>TE DE SERVICO, PEAD PE 100, DE 63 X 63 MM, PARA ELETROFUSAO</t>
  </si>
  <si>
    <t>S37443</t>
  </si>
  <si>
    <t>TE DE SERVICO, PEAD PE 100, DE 125 X 20 MM, PARA ELETROFUSAO</t>
  </si>
  <si>
    <t>S37444</t>
  </si>
  <si>
    <t>TE DE SERVICO, PEAD PE 100, DE 125 X 32 MM, PARA ELETROFUSAO</t>
  </si>
  <si>
    <t>S37445</t>
  </si>
  <si>
    <t>TE DE SERVICO, PEAD PE 100, DE 125 X 63 MM, PARA ELETROFUSAO</t>
  </si>
  <si>
    <t>S37446</t>
  </si>
  <si>
    <t>TE DE SERVICO, PEAD PE 100, DE 200 X 20 MM, PARA ELETROFUSAO</t>
  </si>
  <si>
    <t>S37447</t>
  </si>
  <si>
    <t>TE DE SERVICO, PEAD PE 100, DE 200 X 32 MM, PARA ELETROFUSAO</t>
  </si>
  <si>
    <t>S37448</t>
  </si>
  <si>
    <t>TE DE SERVICO, PEAD PE 100, DE 200 X 63 MM, PARA ELETROFUSAO</t>
  </si>
  <si>
    <t>S37449</t>
  </si>
  <si>
    <t>S3745</t>
  </si>
  <si>
    <t>S37450</t>
  </si>
  <si>
    <t>S37451</t>
  </si>
  <si>
    <t>S37452</t>
  </si>
  <si>
    <t>S37453</t>
  </si>
  <si>
    <t>S37454</t>
  </si>
  <si>
    <t>S37455</t>
  </si>
  <si>
    <t>S37456</t>
  </si>
  <si>
    <t>S37457</t>
  </si>
  <si>
    <t>S37458</t>
  </si>
  <si>
    <t>S37459</t>
  </si>
  <si>
    <t>S3746</t>
  </si>
  <si>
    <t>S37460</t>
  </si>
  <si>
    <t>S37461</t>
  </si>
  <si>
    <t>S3747</t>
  </si>
  <si>
    <t>S37476</t>
  </si>
  <si>
    <t>ADUELA/ GALERIA PRE-MOLDADA DE CONCRETO ARMADO, SECAO QUADRADA INTERNA DE 1,50 X 1,50 M (L X A), MISULA DE 20 X 20 CM, C = 1,00 M, ESPESSURA MIN = 15 CM, TB-45 E FCK DO CONCRETO = 30 MPA</t>
  </si>
  <si>
    <t>S37477</t>
  </si>
  <si>
    <t>ADUELA/ GALERIA PRE-MOLDADA DE CONCRETO ARMADO, SECAO RETANGULAR INTERNA DE 2,50 X 2,50 M (L X A), MISULA DE 20 X 20 CM, C = 1,00 M, ESPESSURA MIN = 15 CM, TB-45 E FCK DO CONCRETO = 30 MPA</t>
  </si>
  <si>
    <t>S37478</t>
  </si>
  <si>
    <t>ADUELA/ GALERIA PRE-MOLDADA DE CONCRETO ARMADO, SECAO RETANGULAR INTERNA DE 2,00 X 2,00 M (L X A), MISULA DE 20 X 20 CM, C = 1,00 M, ESPESSURA MIN = 15 CM, TB-45 E FCK DO CONCRETO = 30 MPA</t>
  </si>
  <si>
    <t>S37479</t>
  </si>
  <si>
    <t>ADUELA/ GALERIA PRE-MOLDADA DE CONCRETO ARMADO, SECAO RETANGULAR INTERNA DE 3,00 X 3,00 M (L X A), MISULA DE 20 X 20 CM, C = 1.00 M, ESPESSURA MIN = 20 CM, TB-45 E FCK DO CONCRETO = 30 MPA</t>
  </si>
  <si>
    <t>S37514</t>
  </si>
  <si>
    <t>MINICARREGADEIRA SOBRE RODAS, POTENCIA LIQUIDA DE *47* HP, CAPACIDADE NOMINAL DE OPERACAO DE *646* KG</t>
  </si>
  <si>
    <t>S37515</t>
  </si>
  <si>
    <t>MANIPULADOR TELESCOPICO, POTENCIA DE 85 HP, CAPACIDADE DE CARGA DE 3.500 KG, ALTURA MAXIMA DE ELEVACAO DE 12,3 M</t>
  </si>
  <si>
    <t>S37518</t>
  </si>
  <si>
    <t>PORTA DE ENROLAR MANUAL COMPLETA, PERFIL MEIA CANA CEGA, EM ACO GALVANIZADO COM PINTURA ELETROSTATICA, CHAPA NUMERO 24" (SEM INSTALACAO)</t>
  </si>
  <si>
    <t>S37519</t>
  </si>
  <si>
    <t>MINICARREGADEIRA SOBRE RODAS, POTENCIA LIQUIDA DE *72* HP, CAPACIDADE NOMINAL DE OPERACAO DE *1200* KG</t>
  </si>
  <si>
    <t>S37520</t>
  </si>
  <si>
    <t>MINIESCAVADEIRA SOBRE ESTEIRAS, POTENCIA LIQUIDA DE *30* HP, PESO OPERACIONAL DE *3.500* KG</t>
  </si>
  <si>
    <t>S37521</t>
  </si>
  <si>
    <t>MINIESCAVADEIRA SOBRE ESTEIRAS, POTENCIA LIQUIDA DE *42* HP, PESO OPERACIONAL DE *4.500* KG</t>
  </si>
  <si>
    <t>S37522</t>
  </si>
  <si>
    <t>MINIESCAVADEIRA SOBRE ESTEIRAS, POTENCIA LIQUIDA DE *42* HP, PESO OPERACIONAL DE *5.300* KG</t>
  </si>
  <si>
    <t>S37523</t>
  </si>
  <si>
    <t>MANIPULADOR TELESCOPICO, POTENCIA DE 101 HP, CAPACIDADE DE CARGA DE 3.500 KG, ALTURA MAXIMA DE ELEVACAO DE 12 M</t>
  </si>
  <si>
    <t>S37524</t>
  </si>
  <si>
    <t>S37525</t>
  </si>
  <si>
    <t>S37526</t>
  </si>
  <si>
    <t>S37527</t>
  </si>
  <si>
    <t>S37528</t>
  </si>
  <si>
    <t>S37529</t>
  </si>
  <si>
    <t>S37530</t>
  </si>
  <si>
    <t>S37531</t>
  </si>
  <si>
    <t>S37532</t>
  </si>
  <si>
    <t>EMULSAO EXPLOSIVA EM CARTUCHOS DE 2" X 24", DENSIDADE 1.15 G/CM3, INICIACAO ESPOLETA N. 8 / CORDEL</t>
  </si>
  <si>
    <t>S37533</t>
  </si>
  <si>
    <t>EMULSAO EXPLOSIVA EM CARTUCHOS DE 1" X 8", DENSIDADE 1.15 G/CM3, INICIACAO ESPOLETA N. 8 / CORDEL</t>
  </si>
  <si>
    <t>S37534</t>
  </si>
  <si>
    <t>EMULSAO EXPLOSIVA EM CARTUCHOS DE 1" X 12", DENSIDADE 1.15 G/CM3, INICIACAO ESPOLETA N. 8 / CORDEL</t>
  </si>
  <si>
    <t>S37535</t>
  </si>
  <si>
    <t>EMULSAO EXPLOSIVA EM CARTUCHOS DE 1" X 24", DENSIDADE 1.15 G/CM3, INICIACAO ESPOLETA N. 8 / CORDEL</t>
  </si>
  <si>
    <t>S37536</t>
  </si>
  <si>
    <t>EMULSAO EXPLOSIVA EM CARTUCHOS DE 2 1/4" X 24", DENSIDADE 1.15 G/CM3, INICIACAO ESPOLETA N. 8 / CORDEL</t>
  </si>
  <si>
    <t>S37537</t>
  </si>
  <si>
    <t>EMULSAO EXPLOSIVA EM CARTUCHOS DE 2 1/2" X 24", DENSIDADE 1.15 G/CM3, INICIACAO ESPOLETA N. 8 / CORDEL</t>
  </si>
  <si>
    <t>S37539</t>
  </si>
  <si>
    <t>S37540</t>
  </si>
  <si>
    <t>S37544</t>
  </si>
  <si>
    <t>S37545</t>
  </si>
  <si>
    <t>S37546</t>
  </si>
  <si>
    <t>S37548</t>
  </si>
  <si>
    <t>S37552</t>
  </si>
  <si>
    <t>S37553</t>
  </si>
  <si>
    <t>S37554</t>
  </si>
  <si>
    <t>S37555</t>
  </si>
  <si>
    <t>S37556</t>
  </si>
  <si>
    <t>S37557</t>
  </si>
  <si>
    <t>S37558</t>
  </si>
  <si>
    <t>S37559</t>
  </si>
  <si>
    <t>S37560</t>
  </si>
  <si>
    <t>S37561</t>
  </si>
  <si>
    <t>S37562</t>
  </si>
  <si>
    <t>S37563</t>
  </si>
  <si>
    <t>PINO DE ACO COM ARRUELA CONICA, DIAMETRO ARRUELA = *23* MM E COMP HASTE = *27* MM (ACAO INDIRETA)</t>
  </si>
  <si>
    <t>S37587</t>
  </si>
  <si>
    <t>S37588</t>
  </si>
  <si>
    <t>S37589</t>
  </si>
  <si>
    <t>S37590</t>
  </si>
  <si>
    <t>SUPORTE MAO-FRANCESA EM ACO, ABAS IGUAIS 30 CM, CAPACIDADE MINIMA 60 KG, BRANCO</t>
  </si>
  <si>
    <t>SUPORTE MAO-FRANCESA EM ACO, ABAS IGUAIS 40 CM, CAPACIDADE MINIMA 70 KG, BRANCO</t>
  </si>
  <si>
    <t>S37592</t>
  </si>
  <si>
    <t>S37593</t>
  </si>
  <si>
    <t>S37594</t>
  </si>
  <si>
    <t>S37595</t>
  </si>
  <si>
    <t>S37596</t>
  </si>
  <si>
    <t>S37597</t>
  </si>
  <si>
    <t>BATE-ESTACAS POR GRAVIDADE, POTENCIA160 HP, PESO DO MARTELO ATE 3 TONELADAS</t>
  </si>
  <si>
    <t>S37598</t>
  </si>
  <si>
    <t>CONJUNTO MONTADO ESTOPIM COM ESPOLETA COMUM NUMERO 8, COM CABECA ACENDEDORA, 1,5 M</t>
  </si>
  <si>
    <t>S37599</t>
  </si>
  <si>
    <t>ACESSORIO INICIADOR NAO ELETRICO, TUBO DE 6 M, TEMPO DE RETARDO DE *160* MS</t>
  </si>
  <si>
    <t>S37600</t>
  </si>
  <si>
    <t>ACESSORIO DE LIGACAO NAO ELETRICO PARA CARGAS EXPLOSIVAS, TUBO DE 6 M</t>
  </si>
  <si>
    <t>S37601</t>
  </si>
  <si>
    <t>CORDEL DETONANTE, NP 05 G/M</t>
  </si>
  <si>
    <t>S37666</t>
  </si>
  <si>
    <t>S3767</t>
  </si>
  <si>
    <t>S3768</t>
  </si>
  <si>
    <t>S377</t>
  </si>
  <si>
    <t>S37712</t>
  </si>
  <si>
    <t>S37727</t>
  </si>
  <si>
    <t>S37728</t>
  </si>
  <si>
    <t>S37729</t>
  </si>
  <si>
    <t>S37730</t>
  </si>
  <si>
    <t>S37731</t>
  </si>
  <si>
    <t>S37732</t>
  </si>
  <si>
    <t>S37733</t>
  </si>
  <si>
    <t>S37734</t>
  </si>
  <si>
    <t>S37735</t>
  </si>
  <si>
    <t>S37736</t>
  </si>
  <si>
    <t>TANQUE DE ACO CARBONO NAO REVESTIDO, PARA TRANSPORTE DE AGUA COM CAPACIDADE DE 10 M3, COM BOMBA CENTRIFUGA POR TOMADA DE FORCA, VAZAO MAXIMA *75* M3/H (INCLUI MONTAGEM, NAO INCLUI CAMINHAO)</t>
  </si>
  <si>
    <t>S37737</t>
  </si>
  <si>
    <t>TANQUE DE ACO PARA TRANSPORTE DE AGUA COM CAPACIDADE DE 8 M3 (INCLUI MONTAGEM, NAO INCLUI CAMINHAO)</t>
  </si>
  <si>
    <t>S37738</t>
  </si>
  <si>
    <t>TANQUE DE ACO PARA TRANSPORTE DE AGUA COM CAPACIDADE DE 6 M3 (INCLUI MONTAGEM, NAO INCLUI CAMINHAO)</t>
  </si>
  <si>
    <t>S37739</t>
  </si>
  <si>
    <t>TANQUE DE ACO PARA TRANSPORTE DE AGUA COM CAPACIDADE DE 14 M3 (INCLUI MONTAGEM, NAO INCLUI CAMINHAO)</t>
  </si>
  <si>
    <t>S37740</t>
  </si>
  <si>
    <t>TANQUE DE ACO PARA TRANSPORTE DE AGUA COM CAPACIDADE DE 4 M3 (INCLUI MONTAGEM, NAO INCLUI CAMINHAO)</t>
  </si>
  <si>
    <t>S37741</t>
  </si>
  <si>
    <t>S37743</t>
  </si>
  <si>
    <t>S37744</t>
  </si>
  <si>
    <t>S37749</t>
  </si>
  <si>
    <t>CAMINHAO TRUCADO, PESO BRUTO TOTAL 23000 KG, CARGA UTIL MAXIMA 16360 KG, CABINE ESTENDIDA, DISTANCIA ENTRE EIXOS 3,56 M, POTENCIA 277 CV (INCLUI CABINE E CHASSI, NAO INCLUI CARROCERIA)</t>
  </si>
  <si>
    <t>S37750</t>
  </si>
  <si>
    <t>CAMINHAO TOCO, PESO BRUTO TOTAL 9600 KG, CARGA UTIL MAXIMA 6190 KG, DISTANCIA ENTRE EIXOS 3,70 M, POTENCIA 156 CV (INCLUI CABINE E CHASSI, NAO INCLUI CARROCERIA)</t>
  </si>
  <si>
    <t>S37752</t>
  </si>
  <si>
    <t>CAMINHAO TOCO, PESO BRUTO TOTAL 16000 KG, CARGA UTIL MAXIMA 11030 KG, DISTANCIA ENTRE EIXOS 5,41 M, POTENCIA 185 CV (INCLUI CABINE E CHASSI, NAO INCLUI CARROCERIA)</t>
  </si>
  <si>
    <t>S37754</t>
  </si>
  <si>
    <t>CAMINHAO TOCO, PESO BRUTO TOTAL 14300 KG, CARGA UTIL MAXIMA 9480 KG, DISTANCIA ENTRE EIXOS 4,80 M, POTENCIA 185 CV (INCLUI CABINE E CHASSI, NAO INCLUI CARROCERIA)</t>
  </si>
  <si>
    <t>S37757</t>
  </si>
  <si>
    <t>CAMINHAO TOCO, PESO BRUTO TOTAL 16000 KG, CARGA UTIL MAXIMA 10600 KG, DISTANCIA ENTRE EIXOS 4,80 M, POTENCIA 277 CV (INCLUI CABINE E CHASSI, NAO INCLUI CARROCERIA)</t>
  </si>
  <si>
    <t>S37758</t>
  </si>
  <si>
    <t>CAMINHAO TRUCADO, PESO BRUTO TOTAL 23000 KG, CARGA UTIL MAXIMA 15285 KG, DISTANCIA ENTRE EIXOS 4,80 M, POTENCIA 326 CV (INCLUI CABINE E CHASSI, NAO INCLUI CARROCERIA)</t>
  </si>
  <si>
    <t>S37762</t>
  </si>
  <si>
    <t>S37763</t>
  </si>
  <si>
    <t>S37768</t>
  </si>
  <si>
    <t>LIMPADORA A SUCCAO, TANQUE 12000 L, BASCULAMENTO HIDRAULICO, BOMBA 12 M3/MIN 95% VACUO (INCLUI MONTAGEM, NAO INCLUI CAMINHAO)</t>
  </si>
  <si>
    <t>S37769</t>
  </si>
  <si>
    <t>LIMPADORA DE SUCCAO, TANQUE 11000 L, BOMBA 340 M3/MIN (INCLUI MONTAGEM, NAO INCLUI CAMINHAO)</t>
  </si>
  <si>
    <t>S3777</t>
  </si>
  <si>
    <t>S37770</t>
  </si>
  <si>
    <t>LIMPADORA DE SUCCAO, TANQUE 5500 L, BOMBA 60M3/MIN, VACUO 500 MBAR (INCLUI MONTAGEM, NAO INCLUI CAMINHAO)</t>
  </si>
  <si>
    <t>S37771</t>
  </si>
  <si>
    <t>HIDROJATEADORA PARA DESOBSTRUCAO DE REDES E GALERIAS, TANQUE 7000 L, BOMBA TRIPLEX 140 KGF/CM2 260 L/MIN ALIMENTADA POR MOTOR INDEPENDENTE A DIESEL POTENCIA 125 CV (INCLUI MONTAGEM, NAO INCLUI CAMINHAO)</t>
  </si>
  <si>
    <t>S37772</t>
  </si>
  <si>
    <t>HIDROJATEADORA PARA DESOBSTRUCAO DE REDES E GALERIAS, TANQUE 7000 L, BOMBA TRIPLEX 120 KGF/CM2 128 L/MIN (INCLUI MONTAGEM, NAO INCLUI CAMINHAO)</t>
  </si>
  <si>
    <t>S37773</t>
  </si>
  <si>
    <t>LIMPADORA DE SUCCAO TANQUE 7000 L, BOMBA 12 M3/MIN 95% VACUO (INCLUI MONTAGEM, NAO INCLUI CAMINHAO)</t>
  </si>
  <si>
    <t>S37774</t>
  </si>
  <si>
    <t>EQUIPAMENTO DE LIMPEZA COMBINADO (VACUO/ALTA PRESSAO) 95% VACUO, TANQUE 7000 L, BOMBA 140 KGF/CM2 66 L/MIN COM MOTOR INDEPENDENTE A DIESEL DE 60 CV (INCLUI MONTAGEM, NAO INCLUI CAMINHAO)</t>
  </si>
  <si>
    <t>S37775</t>
  </si>
  <si>
    <t>GUINDAUTO HIDRAULICO, CAPACIDADE MAXIMA DE CARGA 14340 KG, MOMENTO MAXIMO DE CARGA 42,3 TM, ALCANCE MAXIMO HORIZONTAL 16,80 M, PARA MONTAGEM SOBRE CHASSI DE CAMINHAO PBT MINIMO 23000 KG (INCLUI MONTAGEM, NAO INCLUI CAMINHAO)</t>
  </si>
  <si>
    <t>S37776</t>
  </si>
  <si>
    <t>GUINDAUTO HIDRAULICO, CAPACIDADE MAXIMA DE CARGA 10000 KG, MOMENTO MAXIMO DE CARGA 23 TM, ALCANCE MAXIMO HORIZONTAL 11,80 M, PARA MONTAGEM SOBRE CHASSI DE CAMINHAO PBT MINIMO 15000 KG (INCLUI MONTAGEM, NAO INCLUI CAMINHAO)</t>
  </si>
  <si>
    <t>S37777</t>
  </si>
  <si>
    <t>ELEVADOR DE CREMALHEIRA CABINE FECHADA 1,5 X 2,5 X 2,35 M (UMA POR TORRE), CAPACIDADE DE CARGA 1200 KG (15 PESSOAS), TORRE 24 M (16 MODULOS), FREIO DE SEGURANCA, LIMITADOR DE CARGA</t>
  </si>
  <si>
    <t>S378</t>
  </si>
  <si>
    <t>S3780</t>
  </si>
  <si>
    <t>LUMINARIA DE SOBREPOR EM CHAPA DE ACO PARA 1 LAMPADA FLUORESCENTE DE *36* W, ALETADA, COMPLETA (LAMPADA E REATOR INCLUSOS)</t>
  </si>
  <si>
    <t>S37873</t>
  </si>
  <si>
    <t>S379</t>
  </si>
  <si>
    <t>ARRUELA QUADRADA EM ACO GALVANIZADO, DIMENSAO = 38 MM, ESPESSURA = 3MM, DIAMETRO DO FURO= 18 MM</t>
  </si>
  <si>
    <t>S37947</t>
  </si>
  <si>
    <t>S37948</t>
  </si>
  <si>
    <t>S37949</t>
  </si>
  <si>
    <t>S37950</t>
  </si>
  <si>
    <t>S37951</t>
  </si>
  <si>
    <t>S37952</t>
  </si>
  <si>
    <t>S37956</t>
  </si>
  <si>
    <t>S37957</t>
  </si>
  <si>
    <t>S37958</t>
  </si>
  <si>
    <t>S37959</t>
  </si>
  <si>
    <t>S37960</t>
  </si>
  <si>
    <t>S37961</t>
  </si>
  <si>
    <t>S37962</t>
  </si>
  <si>
    <t>S37963</t>
  </si>
  <si>
    <t>S37964</t>
  </si>
  <si>
    <t>S37965</t>
  </si>
  <si>
    <t>S37966</t>
  </si>
  <si>
    <t>S37967</t>
  </si>
  <si>
    <t>S37968</t>
  </si>
  <si>
    <t>S37969</t>
  </si>
  <si>
    <t>S37970</t>
  </si>
  <si>
    <t>S37971</t>
  </si>
  <si>
    <t>S37972</t>
  </si>
  <si>
    <t>S37973</t>
  </si>
  <si>
    <t>S37974</t>
  </si>
  <si>
    <t>S37975</t>
  </si>
  <si>
    <t>S37976</t>
  </si>
  <si>
    <t>S37977</t>
  </si>
  <si>
    <t>S37978</t>
  </si>
  <si>
    <t>S37979</t>
  </si>
  <si>
    <t>S3798</t>
  </si>
  <si>
    <t>LUMINARIA ABERTA P/ ILUMINACAO PUBLICA, TIPO X-57 PETERCO OU EQUIV</t>
  </si>
  <si>
    <t>S37980</t>
  </si>
  <si>
    <t>S37981</t>
  </si>
  <si>
    <t>S37982</t>
  </si>
  <si>
    <t>S37983</t>
  </si>
  <si>
    <t>S37984</t>
  </si>
  <si>
    <t>S37985</t>
  </si>
  <si>
    <t>S37986</t>
  </si>
  <si>
    <t>S37987</t>
  </si>
  <si>
    <t>S37988</t>
  </si>
  <si>
    <t>S37989</t>
  </si>
  <si>
    <t>S37990</t>
  </si>
  <si>
    <t>S37991</t>
  </si>
  <si>
    <t>S37992</t>
  </si>
  <si>
    <t>S37993</t>
  </si>
  <si>
    <t>S37994</t>
  </si>
  <si>
    <t>S37995</t>
  </si>
  <si>
    <t>S37996</t>
  </si>
  <si>
    <t>S37997</t>
  </si>
  <si>
    <t>S37998</t>
  </si>
  <si>
    <t>S37999</t>
  </si>
  <si>
    <t>S38000</t>
  </si>
  <si>
    <t>S38001</t>
  </si>
  <si>
    <t>S38002</t>
  </si>
  <si>
    <t>S38003</t>
  </si>
  <si>
    <t>S38004</t>
  </si>
  <si>
    <t>S38005</t>
  </si>
  <si>
    <t>S38006</t>
  </si>
  <si>
    <t>S38007</t>
  </si>
  <si>
    <t>S38008</t>
  </si>
  <si>
    <t>S38009</t>
  </si>
  <si>
    <t>S38010</t>
  </si>
  <si>
    <t>S38011</t>
  </si>
  <si>
    <t>S38012</t>
  </si>
  <si>
    <t>S38013</t>
  </si>
  <si>
    <t>S38014</t>
  </si>
  <si>
    <t>S38015</t>
  </si>
  <si>
    <t>S38016</t>
  </si>
  <si>
    <t>S38017</t>
  </si>
  <si>
    <t>S38018</t>
  </si>
  <si>
    <t>S38019</t>
  </si>
  <si>
    <t>S38020</t>
  </si>
  <si>
    <t>S38021</t>
  </si>
  <si>
    <t>S38022</t>
  </si>
  <si>
    <t>S38023</t>
  </si>
  <si>
    <t>S38025</t>
  </si>
  <si>
    <t>S38026</t>
  </si>
  <si>
    <t>S38028</t>
  </si>
  <si>
    <t>S38029</t>
  </si>
  <si>
    <t>S3803</t>
  </si>
  <si>
    <t>LUMINARIA PLAFON REDONDO COM VIDRO FOSCO DIAMETRO *25* CM, PARA 1 LAMPADA, BASE E27, POTENCIA MAXIMA 40/60 W (NAO INCLUI LAMPADA)</t>
  </si>
  <si>
    <t>S38030</t>
  </si>
  <si>
    <t>S38031</t>
  </si>
  <si>
    <t>S38032</t>
  </si>
  <si>
    <t>S38033</t>
  </si>
  <si>
    <t>S38034</t>
  </si>
  <si>
    <t>S38035</t>
  </si>
  <si>
    <t>S38036</t>
  </si>
  <si>
    <t>S38037</t>
  </si>
  <si>
    <t>S38051</t>
  </si>
  <si>
    <t>TUBO DRENO, CORRUGADO, ESPIRALADO, FLEXIVEL, PERFURADO, EM POLIETILENO DE ALTA DENSIDADE (PEAD), DN 65 MM, (2 1/2") PARA DRENAGEM - EM ROLO (NORMA DNIT 093/2006 - EM)</t>
  </si>
  <si>
    <t>S38052</t>
  </si>
  <si>
    <t>TUBO DRENO, CORRUGADO, ESPIRALADO, FLEXIVEL, PERFURADO, EM POLIETILENO DE ALTA DENSIDADE (PEAD), DN 100 MM, (4") PARA DRENAGEM - EM ROLO (NORMA DNIT 093/2006 - E.M)</t>
  </si>
  <si>
    <t>S38053</t>
  </si>
  <si>
    <t>TUBO DRENO, CORRUGADO, ESPIRALADO, FLEXIVEL, PERFURADO, EM POLIETILENO DE ALTA DENSIDADE (PEAD), DN *160* MM, (6") PARA DRENAGEM - EM BARRA (NORMA DNIT 093/2006 - EM)</t>
  </si>
  <si>
    <t>S38054</t>
  </si>
  <si>
    <t>TUBO DRENO, CORRUGADO, ESPIRALADO, FLEXIVEL, PERFURADO, EM POLIETILENO DE ALTA DENSIDADE (PEAD), DN *200* MM, (8") PARA DRENAGEM - EM BARRA (NORMA DNIT 093/2006 - EM)</t>
  </si>
  <si>
    <t>S38055</t>
  </si>
  <si>
    <t>S38056</t>
  </si>
  <si>
    <t>S38060</t>
  </si>
  <si>
    <t>BASE PARA MASTRO DE PARA-RAIOS DIAMETRO NOMINAL 1 1/2"</t>
  </si>
  <si>
    <t>S38061</t>
  </si>
  <si>
    <t>SINALIZADOR NOTURNO SIMPLES PARA PARA-RAIOS, SEM RELE FOTOELETRICO</t>
  </si>
  <si>
    <t>S38062</t>
  </si>
  <si>
    <t>S38063</t>
  </si>
  <si>
    <t>S38064</t>
  </si>
  <si>
    <t>S38065</t>
  </si>
  <si>
    <t>S38066</t>
  </si>
  <si>
    <t>S38067</t>
  </si>
  <si>
    <t>S38068</t>
  </si>
  <si>
    <t>S38069</t>
  </si>
  <si>
    <t>S38070</t>
  </si>
  <si>
    <t>S38071</t>
  </si>
  <si>
    <t>S38072</t>
  </si>
  <si>
    <t>S38073</t>
  </si>
  <si>
    <t>S38074</t>
  </si>
  <si>
    <t>S38075</t>
  </si>
  <si>
    <t>S38076</t>
  </si>
  <si>
    <t>S38077</t>
  </si>
  <si>
    <t>S38078</t>
  </si>
  <si>
    <t>S38079</t>
  </si>
  <si>
    <t>S38080</t>
  </si>
  <si>
    <t>S38081</t>
  </si>
  <si>
    <t>S38082</t>
  </si>
  <si>
    <t>S38083</t>
  </si>
  <si>
    <t>S38084</t>
  </si>
  <si>
    <t>S38085</t>
  </si>
  <si>
    <t>S38087</t>
  </si>
  <si>
    <t>S38088</t>
  </si>
  <si>
    <t>S38089</t>
  </si>
  <si>
    <t>S38090</t>
  </si>
  <si>
    <t>S38091</t>
  </si>
  <si>
    <t>S38092</t>
  </si>
  <si>
    <t>S38093</t>
  </si>
  <si>
    <t>S38094</t>
  </si>
  <si>
    <t>S38095</t>
  </si>
  <si>
    <t>S38096</t>
  </si>
  <si>
    <t>S38097</t>
  </si>
  <si>
    <t>S38098</t>
  </si>
  <si>
    <t>S38099</t>
  </si>
  <si>
    <t>S38100</t>
  </si>
  <si>
    <t>S38101</t>
  </si>
  <si>
    <t>S38102</t>
  </si>
  <si>
    <t>S38103</t>
  </si>
  <si>
    <t>S38104</t>
  </si>
  <si>
    <t>S38105</t>
  </si>
  <si>
    <t>S38106</t>
  </si>
  <si>
    <t>S38108</t>
  </si>
  <si>
    <t>S38109</t>
  </si>
  <si>
    <t>S38110</t>
  </si>
  <si>
    <t>S38111</t>
  </si>
  <si>
    <t>S38112</t>
  </si>
  <si>
    <t>S38113</t>
  </si>
  <si>
    <t>S38114</t>
  </si>
  <si>
    <t>S38115</t>
  </si>
  <si>
    <t>S38116</t>
  </si>
  <si>
    <t>S38117</t>
  </si>
  <si>
    <t>S38120</t>
  </si>
  <si>
    <t>S38121</t>
  </si>
  <si>
    <t>S38122</t>
  </si>
  <si>
    <t>S38123</t>
  </si>
  <si>
    <t>S38124</t>
  </si>
  <si>
    <t>S38125</t>
  </si>
  <si>
    <t>S38127</t>
  </si>
  <si>
    <t>S38128</t>
  </si>
  <si>
    <t>S38129</t>
  </si>
  <si>
    <t>S38130</t>
  </si>
  <si>
    <t>S38135</t>
  </si>
  <si>
    <t>S38137</t>
  </si>
  <si>
    <t>S38138</t>
  </si>
  <si>
    <t>S38140</t>
  </si>
  <si>
    <t>S38151</t>
  </si>
  <si>
    <t>S38152</t>
  </si>
  <si>
    <t>S38153</t>
  </si>
  <si>
    <t>S38155</t>
  </si>
  <si>
    <t>S38165</t>
  </si>
  <si>
    <t>S38167</t>
  </si>
  <si>
    <t>S38168</t>
  </si>
  <si>
    <t>S38169</t>
  </si>
  <si>
    <t>S38170</t>
  </si>
  <si>
    <t>S38175</t>
  </si>
  <si>
    <t>S38176</t>
  </si>
  <si>
    <t>S38177</t>
  </si>
  <si>
    <t>S38178</t>
  </si>
  <si>
    <t>S38179</t>
  </si>
  <si>
    <t>S38180</t>
  </si>
  <si>
    <t>S38181</t>
  </si>
  <si>
    <t>S38182</t>
  </si>
  <si>
    <t>S38185</t>
  </si>
  <si>
    <t>S38186</t>
  </si>
  <si>
    <t>S38189</t>
  </si>
  <si>
    <t>S38190</t>
  </si>
  <si>
    <t>S38193</t>
  </si>
  <si>
    <t>S38194</t>
  </si>
  <si>
    <t>S38196</t>
  </si>
  <si>
    <t>S38200</t>
  </si>
  <si>
    <t>S3825</t>
  </si>
  <si>
    <t>LUVA DE CORRER PVC PBA, JE, DN 50 / DE 60 MM, PARA REDE DE AGUA</t>
  </si>
  <si>
    <t>S3826</t>
  </si>
  <si>
    <t>LUVA DE CORRER PVC PBA, JE, DN 100 / DE 110 MM, PARA REDE DE AGUA</t>
  </si>
  <si>
    <t>S3827</t>
  </si>
  <si>
    <t>LUVA DE CORRER PVC PBA, JE, DN 75 / DE 85 MM, PARA REDE DE AGUA</t>
  </si>
  <si>
    <t>S3830</t>
  </si>
  <si>
    <t>S38364</t>
  </si>
  <si>
    <t>S38365</t>
  </si>
  <si>
    <t>S38366</t>
  </si>
  <si>
    <t>S38367</t>
  </si>
  <si>
    <t>S38368</t>
  </si>
  <si>
    <t>S38369</t>
  </si>
  <si>
    <t>S3837</t>
  </si>
  <si>
    <t>LUVA SIMPLES PVC PBA, JE, DN 100 / DE 110 MM, PARA REDE DE AGUA</t>
  </si>
  <si>
    <t>S38370</t>
  </si>
  <si>
    <t>S38372</t>
  </si>
  <si>
    <t>S38374</t>
  </si>
  <si>
    <t>S38376</t>
  </si>
  <si>
    <t>S38377</t>
  </si>
  <si>
    <t>S38379</t>
  </si>
  <si>
    <t>S3838</t>
  </si>
  <si>
    <t>LUVA DE CORRER COM TRAVAS DEFOFO, PVC, JE, DN 150 MM</t>
  </si>
  <si>
    <t>S38380</t>
  </si>
  <si>
    <t>S38381</t>
  </si>
  <si>
    <t>S38382</t>
  </si>
  <si>
    <t>S38383</t>
  </si>
  <si>
    <t>S38384</t>
  </si>
  <si>
    <t>S38385</t>
  </si>
  <si>
    <t>S38386</t>
  </si>
  <si>
    <t>S3839</t>
  </si>
  <si>
    <t>LUVA DE CORRER COM TRAVAS DEFOFO, PVC, JE, DN 250 MM</t>
  </si>
  <si>
    <t>S38390</t>
  </si>
  <si>
    <t>S38392</t>
  </si>
  <si>
    <t>S38393</t>
  </si>
  <si>
    <t>S38394</t>
  </si>
  <si>
    <t>S38395</t>
  </si>
  <si>
    <t>S38396</t>
  </si>
  <si>
    <t>S38399</t>
  </si>
  <si>
    <t>S3840</t>
  </si>
  <si>
    <t>LUVA DE CORRER COM TRAVAS DEFOFO, PVC, JE, DN 100 MM</t>
  </si>
  <si>
    <t>S38400</t>
  </si>
  <si>
    <t>S38401</t>
  </si>
  <si>
    <t>S38402</t>
  </si>
  <si>
    <t>S38403</t>
  </si>
  <si>
    <t>S38404</t>
  </si>
  <si>
    <t>S38405</t>
  </si>
  <si>
    <t>S38406</t>
  </si>
  <si>
    <t>S38408</t>
  </si>
  <si>
    <t>S38409</t>
  </si>
  <si>
    <t>S38410</t>
  </si>
  <si>
    <t>S38411</t>
  </si>
  <si>
    <t>S38412</t>
  </si>
  <si>
    <t>S38413</t>
  </si>
  <si>
    <t>S38414</t>
  </si>
  <si>
    <t>S38415</t>
  </si>
  <si>
    <t>S38418</t>
  </si>
  <si>
    <t>S38423</t>
  </si>
  <si>
    <t>S38428</t>
  </si>
  <si>
    <t>S38429</t>
  </si>
  <si>
    <t>S3843</t>
  </si>
  <si>
    <t>LUVA DE CORRER COM TRAVAS DEFOFO, PVC, JE, DN 300 MM</t>
  </si>
  <si>
    <t>S38430</t>
  </si>
  <si>
    <t>S38431</t>
  </si>
  <si>
    <t>S38433</t>
  </si>
  <si>
    <t>S38434</t>
  </si>
  <si>
    <t>S38435</t>
  </si>
  <si>
    <t>S38436</t>
  </si>
  <si>
    <t>S38437</t>
  </si>
  <si>
    <t>S38438</t>
  </si>
  <si>
    <t>S38439</t>
  </si>
  <si>
    <t>S3844</t>
  </si>
  <si>
    <t>LUVA DE CORRER COM TRAVAS DEFOFO, PVC, JE, DN 200 MM</t>
  </si>
  <si>
    <t>S38440</t>
  </si>
  <si>
    <t>S38441</t>
  </si>
  <si>
    <t>S38442</t>
  </si>
  <si>
    <t>S38443</t>
  </si>
  <si>
    <t>S38444</t>
  </si>
  <si>
    <t>S38445</t>
  </si>
  <si>
    <t>S38446</t>
  </si>
  <si>
    <t>S38447</t>
  </si>
  <si>
    <t>S38448</t>
  </si>
  <si>
    <t>S3845</t>
  </si>
  <si>
    <t>LUVA SIMPLES PVC PBA, JE, DN 50 / DE 60 MM, PARA REDE DE AGUA</t>
  </si>
  <si>
    <t>S38454</t>
  </si>
  <si>
    <t>S38455</t>
  </si>
  <si>
    <t>S38456</t>
  </si>
  <si>
    <t>S38457</t>
  </si>
  <si>
    <t>S38458</t>
  </si>
  <si>
    <t>S38459</t>
  </si>
  <si>
    <t>S3846</t>
  </si>
  <si>
    <t>S38460</t>
  </si>
  <si>
    <t>S38461</t>
  </si>
  <si>
    <t>S38462</t>
  </si>
  <si>
    <t>S38463</t>
  </si>
  <si>
    <t>S38464</t>
  </si>
  <si>
    <t>S38465</t>
  </si>
  <si>
    <t>S38467</t>
  </si>
  <si>
    <t>S38468</t>
  </si>
  <si>
    <t>S38469</t>
  </si>
  <si>
    <t>S3847</t>
  </si>
  <si>
    <t>S38470</t>
  </si>
  <si>
    <t>S38471</t>
  </si>
  <si>
    <t>S38473</t>
  </si>
  <si>
    <t>S38474</t>
  </si>
  <si>
    <t>S38475</t>
  </si>
  <si>
    <t>S38476</t>
  </si>
  <si>
    <t>S38477</t>
  </si>
  <si>
    <t>S3848</t>
  </si>
  <si>
    <t>S3850</t>
  </si>
  <si>
    <t>S38538</t>
  </si>
  <si>
    <t>ESTACA PRE-MOLDADA MACICA DE CONCRETO VIBRADO ARMADO, PARA CARGA DE 25 T, SECAO QUADRADA DE *16 X 16*, COM ANEL METALICO INCORPORADO A PECA (SOMENTE FORNECIMENTO)</t>
  </si>
  <si>
    <t>S38539</t>
  </si>
  <si>
    <t>ESTACA PRE-MOLDADA MACICA DE CONCRETO VIBRADO ARMADO, PARA CARGA DE 50 T, SECAO QUADRADA, COM ANEL METALICO INCORPORADO A PECA (SOMENTE FORNECIMENTO)</t>
  </si>
  <si>
    <t>S3854</t>
  </si>
  <si>
    <t>S38540</t>
  </si>
  <si>
    <t>ESTACA PRE-MOLDADA VAZADA DE CONCRETO CENTRIFUGADO, PARA CARGA DE 100 T, SECAO CIRCULAR, COM ANEL METALICO INCORPORADO A PECA (SOMENTE FORNECIMENTO)</t>
  </si>
  <si>
    <t>S38541</t>
  </si>
  <si>
    <t>S38542</t>
  </si>
  <si>
    <t>S38543</t>
  </si>
  <si>
    <t>S38544</t>
  </si>
  <si>
    <t>S38545</t>
  </si>
  <si>
    <t>S38546</t>
  </si>
  <si>
    <t>S38547</t>
  </si>
  <si>
    <t>S38548</t>
  </si>
  <si>
    <t>S3855</t>
  </si>
  <si>
    <t>S3856</t>
  </si>
  <si>
    <t>S38588</t>
  </si>
  <si>
    <t>S38589</t>
  </si>
  <si>
    <t>S3859</t>
  </si>
  <si>
    <t>S38590</t>
  </si>
  <si>
    <t>S38591</t>
  </si>
  <si>
    <t>S38592</t>
  </si>
  <si>
    <t>S38593</t>
  </si>
  <si>
    <t>S38594</t>
  </si>
  <si>
    <t>S38595</t>
  </si>
  <si>
    <t>S38596</t>
  </si>
  <si>
    <t>S38597</t>
  </si>
  <si>
    <t>S38598</t>
  </si>
  <si>
    <t>S38599</t>
  </si>
  <si>
    <t>S3860</t>
  </si>
  <si>
    <t>S38600</t>
  </si>
  <si>
    <t>S38603</t>
  </si>
  <si>
    <t>S38604</t>
  </si>
  <si>
    <t>USINA DE ASFALTO A FRIO, CAPACIDADE DE 40 A 60 T/H, ELETRICA, POTENCIA DE 30 CV</t>
  </si>
  <si>
    <t>S3861</t>
  </si>
  <si>
    <t>S3862</t>
  </si>
  <si>
    <t>S38629</t>
  </si>
  <si>
    <t>S3863</t>
  </si>
  <si>
    <t>S38630</t>
  </si>
  <si>
    <t>S38637</t>
  </si>
  <si>
    <t>S38638</t>
  </si>
  <si>
    <t>S38639</t>
  </si>
  <si>
    <t>S3864</t>
  </si>
  <si>
    <t>S38640</t>
  </si>
  <si>
    <t>S38641</t>
  </si>
  <si>
    <t>S38642</t>
  </si>
  <si>
    <t>COMPRESSOR DE AR REBOCAVEL, VAZAO 152 PCM, PRESSAO EFETIVA DE TRABALHO 102 PSI, MOTOR DIESEL, POTENCIA 31,5 KW</t>
  </si>
  <si>
    <t>S38643</t>
  </si>
  <si>
    <t>S3865</t>
  </si>
  <si>
    <t>S3866</t>
  </si>
  <si>
    <t>S3867</t>
  </si>
  <si>
    <t>S38674</t>
  </si>
  <si>
    <t>S38676</t>
  </si>
  <si>
    <t>S38678</t>
  </si>
  <si>
    <t>S3868</t>
  </si>
  <si>
    <t>S3869</t>
  </si>
  <si>
    <t>S3870</t>
  </si>
  <si>
    <t>S3871</t>
  </si>
  <si>
    <t>S3872</t>
  </si>
  <si>
    <t>S3873</t>
  </si>
  <si>
    <t>S3874</t>
  </si>
  <si>
    <t>S3875</t>
  </si>
  <si>
    <t>S3876</t>
  </si>
  <si>
    <t>S38769</t>
  </si>
  <si>
    <t>LUMINARIA ARANDELA TIPO MEIA-LUA COM VIDRO FOSCO *30 X 15* CM, PARA 1 LAMPADA, BASE E27, POTENCIA MAXIMA 40/60 W (NAO INCLUI LAMPADA)</t>
  </si>
  <si>
    <t>S38770</t>
  </si>
  <si>
    <t>LUMINARIA PLAFON REDONDO COM VIDRO FOSCO DIAMETRO *30* CM, PARA 2 LAMPADAS, BASE E27, POTENCIA MAXIMA 40/60 W (NAO INCLUI LAMPADAS)</t>
  </si>
  <si>
    <t>S38773</t>
  </si>
  <si>
    <t>LUMINARIA DE TETO PLAFON/PLAFONIER EM PLASTICO COM BASE E27, POTENCIA MAXIMA 60 W (NAO INCLUI LAMPADA)</t>
  </si>
  <si>
    <t>S38774</t>
  </si>
  <si>
    <t>S38775</t>
  </si>
  <si>
    <t>LUMINARIA TIPO TARTARUGA PARA AREA EXTERNA EM ALUMINIO, COM GRADE, PARA 1 LAMPADA, BASE E27, POTENCIA MAXIMA 40/60 W (NAO INCLUI LAMPADA)</t>
  </si>
  <si>
    <t>S3878</t>
  </si>
  <si>
    <t>S38783</t>
  </si>
  <si>
    <t>S38784</t>
  </si>
  <si>
    <t>LUMINARIA DE SOBREPOR EM CHAPA DE ACO COM ALETAS PLASTICAS, PARA 2 LAMPADAS, BASE E27, POTENCIA MAXIMA 40/60 W (NAO INCLUI LAMPADAS)</t>
  </si>
  <si>
    <t>S38787</t>
  </si>
  <si>
    <t>TUBO MONOCAMADA PEX, DN 16 MM, PARA AGUA QUENTE E FRIA</t>
  </si>
  <si>
    <t>S38825</t>
  </si>
  <si>
    <t>TUBO MONOCAMADA PEX, DN 20 MM, PARA AGUA QUENTE E FRIA</t>
  </si>
  <si>
    <t>S38826</t>
  </si>
  <si>
    <t>TUBO MONOCAMADA PEX, DN 25 MM, PARA AGUA QUENTE E FRIA</t>
  </si>
  <si>
    <t>S38827</t>
  </si>
  <si>
    <t>TUBO MONOCAMADA PEX, DN 32 MM, PARA AGUA QUENTE E FRIA</t>
  </si>
  <si>
    <t>S38828</t>
  </si>
  <si>
    <t>TUBO MULTICAMADA PEX GAS, DN *16* MM</t>
  </si>
  <si>
    <t>S38829</t>
  </si>
  <si>
    <t>TUBO MULTICAMADA PEX GAS, DN *20* MM</t>
  </si>
  <si>
    <t>S3883</t>
  </si>
  <si>
    <t>S38830</t>
  </si>
  <si>
    <t>TUBO MULTICAMADA PEX GAS, DN *26* MM</t>
  </si>
  <si>
    <t>S38831</t>
  </si>
  <si>
    <t>TUBO MULTICAMADA PEX GAS, DN *32* MM</t>
  </si>
  <si>
    <t>S38836</t>
  </si>
  <si>
    <t>TAMPAO / CAP, ROSCA MACHO, DN 3/4", PARA TUBO PEX PARA INST. AGUA QUENTE/FRIA</t>
  </si>
  <si>
    <t>S38837</t>
  </si>
  <si>
    <t>TAMPAO / CAP, ROSCA MACHO, DN 1", PARA TUBO PEX PARA INST. AGUA QUENTE/FRIA</t>
  </si>
  <si>
    <t>S3884</t>
  </si>
  <si>
    <t>S38844</t>
  </si>
  <si>
    <t>CONECTOR/ADAPTADOR FIXO, ROSCA FEMEA, METALICA, COM ANEL DESLIZANTE, DN 16 MM X 1/2", PARA TUBO PEX PARA INST. AGUA QUENTE/FRIA</t>
  </si>
  <si>
    <t>S38846</t>
  </si>
  <si>
    <t>CONECTOR/ADAPTADOR FIXO, ROSCA FEMEA, METALICA, COM ANEL DESLIZANTE, DN 20 MM X 1/2", PARA TUBO PEX PARA INST. AGUA QUENTE/FRIA</t>
  </si>
  <si>
    <t>S38847</t>
  </si>
  <si>
    <t>CONECTOR/ADAPTADOR FIXO, ROSCA FEMEA, METALICA, COM ANEL DESLIZANTE, DN 20 MM X 3/4", PARA TUBO PEX PARA INST. AGUA QUENTE/FRIA</t>
  </si>
  <si>
    <t>S38848</t>
  </si>
  <si>
    <t>CONECTOR/ADAPTADOR FIXO, ROSCA FEMEA, METALICA, COM ANEL DESLIZANTE, DN 25 MM X 3/4", PARA TUBO PEX PARA INST. AGUA QUENTE/FRIA</t>
  </si>
  <si>
    <t>S38850</t>
  </si>
  <si>
    <t>CONECTOR/ADAPTADOR FIXO, ROSCA FEMEA, METALICA, COM ANEL DESLIZANTE, DN 25 MM X 1", PARA TUBO PEX PARA INST. AGUA QUENTE/FRIA</t>
  </si>
  <si>
    <t>S38851</t>
  </si>
  <si>
    <t>CONECTOR/ADAPTADOR FIXO, ROSCA FEMEA, METALICA, COM ANEL DESLIZANTE, DN 32 MM X 1", PARA TUBO PEX PARA INST. AGUA QUENTE/FRIA</t>
  </si>
  <si>
    <t>S38854</t>
  </si>
  <si>
    <t>CONECTOR/ADAPTADOR MOVEL, ROSCA FEMEA, METALICA, COM ANEL DESLIZANTE, DN 16 MM X 3/4", PARA TUBO PEX PARA INST. AGUA QUENTE/FRIA</t>
  </si>
  <si>
    <t>S3886</t>
  </si>
  <si>
    <t>S38869</t>
  </si>
  <si>
    <t>DISTRIBUIDOR METALICO, COM ROSCA, 2 SAIDAS, DN 3/4" X 1/2", PARA CONEXAO COM ANEL DESLIZANTE EM TUBO PEX PARA INST. AGUA QUENTE/FRIA</t>
  </si>
  <si>
    <t>S38870</t>
  </si>
  <si>
    <t>DISTRIBUIDOR METALICO, COM ROSCA, 2 SAIDAS, DN 1" X 1/2", PARA CONEXAO COM ANEL DESLIZANTE EM TUBO PEX PARA INST. AGUA QUENTE/FRIA</t>
  </si>
  <si>
    <t>S38871</t>
  </si>
  <si>
    <t>DISTRIBUIDOR METALICO, COM ROSCA, 3 SAIDAS, DN 3/4" X 1/2", PARA CONEXAO COM ANEL DESLIZANTE EM TUBO PEX PARA INST. AGUA QUENTE/FRIA</t>
  </si>
  <si>
    <t>S38872</t>
  </si>
  <si>
    <t>DISTRIBUIDOR METALICO, COM ROSCA, 3 SAIDAS, DN 1" X 1/2", PARA CONEXAO COM ANEL DESLIZANTE EM TUBO PEX PARA INST. AGUA QUENTE/FRIA</t>
  </si>
  <si>
    <t>S38873</t>
  </si>
  <si>
    <t>TE METALICO, PARA CONEXAO COM ANEL DESLIZANTE, DN 16 MM, EM TUBO PEX PARA INST. AGUA QUENTE/FRIA</t>
  </si>
  <si>
    <t>S38874</t>
  </si>
  <si>
    <t>TE METALICO, PARA CONEXAO COM ANEL DESLIZANTE, DN 20 MM, EM TUBO PEX PARA INST. AGUA QUENTE/FRIA</t>
  </si>
  <si>
    <t>S38875</t>
  </si>
  <si>
    <t>TE METALICO, PARA CONEXAO COM ANEL DESLIZANTE, DN 25 MM, EM TUBO PEX PARA INST. AGUA QUENTE/FRIA</t>
  </si>
  <si>
    <t>S38876</t>
  </si>
  <si>
    <t>TE METALICO, PARA CONEXAO COM ANEL DESLIZANTE, DN 32 MM, EM TUBO PEX PARA INST. AGUA QUENTE/FRIA</t>
  </si>
  <si>
    <t>S38877</t>
  </si>
  <si>
    <t>S38889</t>
  </si>
  <si>
    <t>LUMINARIA DE SOBREPOR EM CHAPA DE ACO COM ALETAS PLASTICAS, PARA 1 LAMPADA, BASE E27, POTENCIA MAXIMA 40/60 W (NAO INCLUI LAMPADA)</t>
  </si>
  <si>
    <t>S3889</t>
  </si>
  <si>
    <t>S38905</t>
  </si>
  <si>
    <t>TE ROSCA FEMEA, METALICO, PARA CONEXAO COM ANEL DESLIZANTE, DN 16 MM X 1/2", EM TUBO PEX PARA INST. AGUA QUENTE/FRIA</t>
  </si>
  <si>
    <t>S38907</t>
  </si>
  <si>
    <t>TE ROSCA FEMEA, METALICO, PARA CONEXAO COM ANEL DESLIZANTE, DN 20 MM X 1/2", EM TUBO PEX PARA INST. AGUA QUENTE/FRIA</t>
  </si>
  <si>
    <t>S38910</t>
  </si>
  <si>
    <t>TE ROSCA FEMEA, METALICO, PARA CONEXAO COM ANEL DESLIZANTE, DN 25 MM X 3/4", EM TUBO PEX PARA INST. AGUA QUENTE/FRIA</t>
  </si>
  <si>
    <t>S38913</t>
  </si>
  <si>
    <t>JOELHO/COTOVELO 90 GRAUS, METALICO, PARA CONEXAO COM ANEL DESLIZANTE, DN 16 MM, EM TUBO PEX PARA INST. AGUA QUENTE/FRIA</t>
  </si>
  <si>
    <t>S38914</t>
  </si>
  <si>
    <t>JOELHO/COTOVELO 90 GRAUS, METALICO, PARA CONEXAO COM ANEL DESLIZANTE, DN 20 MM, EM TUBO PEX PARA INST. AGUA QUENTE/FRIA</t>
  </si>
  <si>
    <t>S38915</t>
  </si>
  <si>
    <t>JOELHO/COTOVELO 90 GRAUS, METALICO, PARA CONEXAO COM ANEL DESLIZANTE, DN 25 MM, EM TUBO PEX PARA INST. AGUA QUENTE/FRIA</t>
  </si>
  <si>
    <t>S38916</t>
  </si>
  <si>
    <t>JOELHO/COTOVELO 90 GRAUS, METALICO, PARA CONEXAO COM ANEL DESLIZANTE, DN 32 MM, EM TUBO PEX PARA INST. AGUA QUENTE/FRIA</t>
  </si>
  <si>
    <t>S38917</t>
  </si>
  <si>
    <t>JOELHO/COTOVELO 90 GRAUS, ROSCA FEMEA, COM BASE FIXA, METALICO, PARA CONEXAO COM ANEL DESLIZANTE, DN 16 MM X 1/2", EM TUBO PEX PARA INST. AGUA QUENTE/FRIA</t>
  </si>
  <si>
    <t>S38919</t>
  </si>
  <si>
    <t>JOELHO/COTOVELO 90 GRAUS, ROSCA FEMEA, COM BASE FIXA, METALICO, PARA CONEXAO COM ANEL DESLIZANTE, DN 20 MM X 1/2", EM TUBO PEX PARA INST. AGUA QUENTE/FRIA</t>
  </si>
  <si>
    <t>S38922</t>
  </si>
  <si>
    <t>JOELHO/COTOVELO 90 GRAUS, ROSCA FEMEA, COM BASE FIXA, METALICO, PARA CONEXAO COM ANEL DESLIZANTE, DN 25 MM X 3/4", EM TUBO PEX PARA INST. AGUA QUENTE/FRIA</t>
  </si>
  <si>
    <t>S38923</t>
  </si>
  <si>
    <t>JOELHO/COTOVELO 90 GRAUS, ROSCA FEMEA TERMINAL, METALICO, PARA CONEXAO COM ANEL DESLIZANTE, DN 16 MM X 1/2", EM TUBO PEX PARA INST. AGUA QUENTE/FRIA</t>
  </si>
  <si>
    <t>S38925</t>
  </si>
  <si>
    <t>JOELHO/COTOVELO 90 GRAUS, ROSCA FEMEA TERMINAL, METALICO, PARA CONEXAO COM ANEL DESLIZANTE, DN 20 MM X 1/2", EM TUBO PEX PARA INST. AGUA QUENTE/FRIA</t>
  </si>
  <si>
    <t>S38926</t>
  </si>
  <si>
    <t>JOELHO/COTOVELO 90 GRAUS, ROSCA FEMEA TERMINAL, METALICO, PARA CONEXAO COM ANEL DESLIZANTE, DN 20 MM X 3/4", EM TUBO PEX PARA INST. AGUA QUENTE/FRIA</t>
  </si>
  <si>
    <t>S38927</t>
  </si>
  <si>
    <t>JOELHO/COTOVELO 90 GRAUS, ROSCA FEMEA TERMINAL, METALICO, PARA CONEXAO COM ANEL DESLIZANTE, DN 25 MM X 3/4", EM TUBO PEX PARA INST. AGUA QUENTE/FRIA</t>
  </si>
  <si>
    <t>S38928</t>
  </si>
  <si>
    <t>JOELHO/COTOVELO 90 GRAUS, ROSCA FEMEA TERMINAL, PLASTICO, PARA CONEXAO COM CRIMPAGEM, DN 25 MM X 1/2", EM TUBO PEX PARA INST. AGUA QUENTE/FRIA</t>
  </si>
  <si>
    <t>S3893</t>
  </si>
  <si>
    <t>S38941</t>
  </si>
  <si>
    <t>JOELHO/COTOVELO 90 GRAUS, ROSCA FEMEA MOVEL, METALICO, PARA CONEXAO COM ANEL DESLIZANTE, DN 20 MM X 3/4", EM TUBO PEX PARA INST. AGUA QUENTE/FRIA</t>
  </si>
  <si>
    <t>S3895</t>
  </si>
  <si>
    <t>S3897</t>
  </si>
  <si>
    <t>S38971</t>
  </si>
  <si>
    <t>S38972</t>
  </si>
  <si>
    <t>S38973</t>
  </si>
  <si>
    <t>S38974</t>
  </si>
  <si>
    <t>S38975</t>
  </si>
  <si>
    <t>S38976</t>
  </si>
  <si>
    <t>S38977</t>
  </si>
  <si>
    <t>S38978</t>
  </si>
  <si>
    <t>S38979</t>
  </si>
  <si>
    <t>S3898</t>
  </si>
  <si>
    <t>S38980</t>
  </si>
  <si>
    <t>S38981</t>
  </si>
  <si>
    <t>S38982</t>
  </si>
  <si>
    <t>S38983</t>
  </si>
  <si>
    <t>S38984</t>
  </si>
  <si>
    <t>S38985</t>
  </si>
  <si>
    <t>S38986</t>
  </si>
  <si>
    <t>S38987</t>
  </si>
  <si>
    <t>S38988</t>
  </si>
  <si>
    <t>S38989</t>
  </si>
  <si>
    <t>S3899</t>
  </si>
  <si>
    <t>S38990</t>
  </si>
  <si>
    <t>S38991</t>
  </si>
  <si>
    <t>S38992</t>
  </si>
  <si>
    <t>S38993</t>
  </si>
  <si>
    <t>S38996</t>
  </si>
  <si>
    <t>S38997</t>
  </si>
  <si>
    <t>S38998</t>
  </si>
  <si>
    <t>S38999</t>
  </si>
  <si>
    <t>S390</t>
  </si>
  <si>
    <t>SUPORTE PARA TUBO DIAMETRO NOMINAL 2", COM ROSCA MECANICA</t>
  </si>
  <si>
    <t>S3900</t>
  </si>
  <si>
    <t>S39000</t>
  </si>
  <si>
    <t>S39008</t>
  </si>
  <si>
    <t>S39009</t>
  </si>
  <si>
    <t>S39012</t>
  </si>
  <si>
    <t>S39013</t>
  </si>
  <si>
    <t>ESPACADOR/SEPARADOR /CENTRALIZADOR DE BARRA DE ACO, PLASTICO, (CHUMBADOR TIPO CARAMBOLA - CB), DIAMETRO INTERNO ATE 20 MM</t>
  </si>
  <si>
    <t>S39014</t>
  </si>
  <si>
    <t>S39015</t>
  </si>
  <si>
    <t>PROTETOR/PONTEIRA PLASTICA PARA PONTA DE VERGALHAO DE ATE 1", TIPO PROTETOR DE ESPERA</t>
  </si>
  <si>
    <t>S39016</t>
  </si>
  <si>
    <t>ESPACADOR / DISTANCIADOR TIPO PINO EM PLASTICO, PARA VERGALHAO ATE 10 MM, PARA APOIO DE ARMADURA</t>
  </si>
  <si>
    <t>ESPACADOR / DISTANCIADOR CIRCULAR COM ENTRADA LATERAL, EM PLASTICO, PARA VERGALHAO *4,2 A 12,5* MM, COBRIMENTO 20 MM</t>
  </si>
  <si>
    <t>S39021</t>
  </si>
  <si>
    <t>S39022</t>
  </si>
  <si>
    <t>S39024</t>
  </si>
  <si>
    <t>S39025</t>
  </si>
  <si>
    <t>S39026</t>
  </si>
  <si>
    <t>S39027</t>
  </si>
  <si>
    <t>S39028</t>
  </si>
  <si>
    <t>S39029</t>
  </si>
  <si>
    <t>S3903</t>
  </si>
  <si>
    <t>S3904</t>
  </si>
  <si>
    <t>S3905</t>
  </si>
  <si>
    <t>S3906</t>
  </si>
  <si>
    <t>S3907</t>
  </si>
  <si>
    <t>S3908</t>
  </si>
  <si>
    <t>LUVA DE FERRO GALVANIZADO, COM ROSCA BSP, DE 1/2"</t>
  </si>
  <si>
    <t>S3909</t>
  </si>
  <si>
    <t>LUVA DE FERRO GALVANIZADO, COM ROSCA BSP, DE 3/4"</t>
  </si>
  <si>
    <t>S3910</t>
  </si>
  <si>
    <t>LUVA DE FERRO GALVANIZADO, COM ROSCA BSP, DE 1"</t>
  </si>
  <si>
    <t>S3911</t>
  </si>
  <si>
    <t>LUVA DE FERRO GALVANIZADO, COM ROSCA BSP, DE 1 1/4"</t>
  </si>
  <si>
    <t>S3912</t>
  </si>
  <si>
    <t>LUVA DE FERRO GALVANIZADO, COM ROSCA BSP, DE 2"</t>
  </si>
  <si>
    <t>S39125</t>
  </si>
  <si>
    <t>S39126</t>
  </si>
  <si>
    <t>S39127</t>
  </si>
  <si>
    <t>S39128</t>
  </si>
  <si>
    <t>S39129</t>
  </si>
  <si>
    <t>S3913</t>
  </si>
  <si>
    <t>LUVA DE FERRO GALVANIZADO, COM ROSCA BSP, DE 2 1/2"</t>
  </si>
  <si>
    <t>S39130</t>
  </si>
  <si>
    <t>S39131</t>
  </si>
  <si>
    <t>S39132</t>
  </si>
  <si>
    <t>S39133</t>
  </si>
  <si>
    <t>S39134</t>
  </si>
  <si>
    <t>S39135</t>
  </si>
  <si>
    <t>S39136</t>
  </si>
  <si>
    <t>S39137</t>
  </si>
  <si>
    <t>S39138</t>
  </si>
  <si>
    <t>S39139</t>
  </si>
  <si>
    <t>S3914</t>
  </si>
  <si>
    <t>LUVA DE FERRO GALVANIZADO, COM ROSCA BSP, DE 3"</t>
  </si>
  <si>
    <t>S39140</t>
  </si>
  <si>
    <t>S39141</t>
  </si>
  <si>
    <t>S39142</t>
  </si>
  <si>
    <t>S39143</t>
  </si>
  <si>
    <t>S39144</t>
  </si>
  <si>
    <t>S39145</t>
  </si>
  <si>
    <t>S3915</t>
  </si>
  <si>
    <t>LUVA DE FERRO GALVANIZADO, COM ROSCA BSP, DE 4"</t>
  </si>
  <si>
    <t>S39158</t>
  </si>
  <si>
    <t>S3916</t>
  </si>
  <si>
    <t>LUVA DE FERRO GALVANIZADO, COM ROSCA BSP, DE 5"</t>
  </si>
  <si>
    <t>S3917</t>
  </si>
  <si>
    <t>LUVA DE FERRO GALVANIZADO, COM ROSCA BSP, DE 6"</t>
  </si>
  <si>
    <t>S39174</t>
  </si>
  <si>
    <t>S39175</t>
  </si>
  <si>
    <t>S39176</t>
  </si>
  <si>
    <t>S39177</t>
  </si>
  <si>
    <t>S39178</t>
  </si>
  <si>
    <t>S39179</t>
  </si>
  <si>
    <t>S39180</t>
  </si>
  <si>
    <t>S39181</t>
  </si>
  <si>
    <t>S39182</t>
  </si>
  <si>
    <t>S39184</t>
  </si>
  <si>
    <t>S39185</t>
  </si>
  <si>
    <t>S39186</t>
  </si>
  <si>
    <t>S39187</t>
  </si>
  <si>
    <t>S39188</t>
  </si>
  <si>
    <t>S39189</t>
  </si>
  <si>
    <t>S3919</t>
  </si>
  <si>
    <t>LUVA DE REDUCAO DE FERRO GALVANIZADO, COM ROSCA BSP, DE 1" X 3/4"</t>
  </si>
  <si>
    <t>S39190</t>
  </si>
  <si>
    <t>S39191</t>
  </si>
  <si>
    <t>S39192</t>
  </si>
  <si>
    <t>S39193</t>
  </si>
  <si>
    <t>S39194</t>
  </si>
  <si>
    <t>S39195</t>
  </si>
  <si>
    <t>S39196</t>
  </si>
  <si>
    <t>S39197</t>
  </si>
  <si>
    <t>S39198</t>
  </si>
  <si>
    <t>S39199</t>
  </si>
  <si>
    <t>S392</t>
  </si>
  <si>
    <t>S3920</t>
  </si>
  <si>
    <t>LUVA DE REDUCAO DE FERRO GALVANIZADO, COM ROSCA BSP, DE 1 1/4" X 3/4"</t>
  </si>
  <si>
    <t>S39200</t>
  </si>
  <si>
    <t>S39201</t>
  </si>
  <si>
    <t>S39202</t>
  </si>
  <si>
    <t>S39203</t>
  </si>
  <si>
    <t>S39204</t>
  </si>
  <si>
    <t>S39205</t>
  </si>
  <si>
    <t>S39206</t>
  </si>
  <si>
    <t>S39207</t>
  </si>
  <si>
    <t>S39208</t>
  </si>
  <si>
    <t>S39209</t>
  </si>
  <si>
    <t>S3921</t>
  </si>
  <si>
    <t>LUVA DE REDUCAO DE FERRO GALVANIZADO, COM ROSCA BSP, DE 1 1/4" X 1"</t>
  </si>
  <si>
    <t>S39210</t>
  </si>
  <si>
    <t>S39211</t>
  </si>
  <si>
    <t>S39212</t>
  </si>
  <si>
    <t>S39213</t>
  </si>
  <si>
    <t>S39214</t>
  </si>
  <si>
    <t>S39215</t>
  </si>
  <si>
    <t>S39216</t>
  </si>
  <si>
    <t>S39217</t>
  </si>
  <si>
    <t>S3922</t>
  </si>
  <si>
    <t>LUVA DE REDUCAO DE FERRO GALVANIZADO, COM ROSCA BSP, DE 1 1/2" X 1/2"</t>
  </si>
  <si>
    <t>S3923</t>
  </si>
  <si>
    <t>LUVA DE REDUCAO DE FERRO GALVANIZADO, COM ROSCA BSP, DE 1 1/2" X 3/4"</t>
  </si>
  <si>
    <t>S39232</t>
  </si>
  <si>
    <t>S39233</t>
  </si>
  <si>
    <t>S39234</t>
  </si>
  <si>
    <t>S39235</t>
  </si>
  <si>
    <t>S39236</t>
  </si>
  <si>
    <t>S39237</t>
  </si>
  <si>
    <t>S39238</t>
  </si>
  <si>
    <t>S39239</t>
  </si>
  <si>
    <t>S3924</t>
  </si>
  <si>
    <t>LUVA DE REDUCAO DE FERRO GALVANIZADO, COM ROSCA BSP, DE 1 1/2" X 1"</t>
  </si>
  <si>
    <t>S39240</t>
  </si>
  <si>
    <t>S39241</t>
  </si>
  <si>
    <t>S39243</t>
  </si>
  <si>
    <t>S39244</t>
  </si>
  <si>
    <t>S39245</t>
  </si>
  <si>
    <t>S39246</t>
  </si>
  <si>
    <t>S39247</t>
  </si>
  <si>
    <t>S39248</t>
  </si>
  <si>
    <t>S39249</t>
  </si>
  <si>
    <t>S3925</t>
  </si>
  <si>
    <t>LUVA DE REDUCAO DE FERRO GALVANIZADO, COM ROSCA BSP, DE 2" X 1"</t>
  </si>
  <si>
    <t>S39250</t>
  </si>
  <si>
    <t>S39251</t>
  </si>
  <si>
    <t>S39252</t>
  </si>
  <si>
    <t>S39253</t>
  </si>
  <si>
    <t>S39254</t>
  </si>
  <si>
    <t>S39255</t>
  </si>
  <si>
    <t>S39257</t>
  </si>
  <si>
    <t>S39258</t>
  </si>
  <si>
    <t>S39259</t>
  </si>
  <si>
    <t>S3926</t>
  </si>
  <si>
    <t>LUVA DE REDUCAO DE FERRO GALVANIZADO, COM ROSCA BSP, DE 2" X 1 1/2"</t>
  </si>
  <si>
    <t>S39260</t>
  </si>
  <si>
    <t>S39261</t>
  </si>
  <si>
    <t>S39262</t>
  </si>
  <si>
    <t>S39263</t>
  </si>
  <si>
    <t>S39264</t>
  </si>
  <si>
    <t>S39265</t>
  </si>
  <si>
    <t>S39266</t>
  </si>
  <si>
    <t>S39267</t>
  </si>
  <si>
    <t>S39268</t>
  </si>
  <si>
    <t>S39269</t>
  </si>
  <si>
    <t>S3927</t>
  </si>
  <si>
    <t>LUVA DE REDUCAO DE FERRO GALVANIZADO, COM ROSCA BSP, DE 2 1/2" X 1 1/2"</t>
  </si>
  <si>
    <t>S39270</t>
  </si>
  <si>
    <t>S39271</t>
  </si>
  <si>
    <t>S39272</t>
  </si>
  <si>
    <t>S39273</t>
  </si>
  <si>
    <t>S39274</t>
  </si>
  <si>
    <t>S39276</t>
  </si>
  <si>
    <t>S39277</t>
  </si>
  <si>
    <t>S39279</t>
  </si>
  <si>
    <t>CONECTOR/ADAPTADOR FIXO, ROSCA FEMEA, EM PLASTICO, DN 16 MM X 1/2", PARA CONEXAO COM CRIMPAGEM, EM TUBO PEX PARA INST. AGUA QUENTE/FRIA</t>
  </si>
  <si>
    <t>S3928</t>
  </si>
  <si>
    <t>LUVA DE REDUCAO DE FERRO GALVANIZADO, COM ROSCA BSP, DE 2 1/2" X 2"</t>
  </si>
  <si>
    <t>S39280</t>
  </si>
  <si>
    <t>CONECTOR/ADAPTADOR FIXO, ROSCA FEMEA, EM PLASTICO, DN 20 MM X 1/2", PARA CONEXAO COM CRIMPAGEM, EM TUBO PEX PARA INST. AGUA QUENTE/FRIA</t>
  </si>
  <si>
    <t>S39281</t>
  </si>
  <si>
    <t>CONECTOR/ADAPTADOR FIXO, ROSCA FEMEA, EM PLASTICO, DN 20 MM X 3/4", PARA CONEXAO COM CRIMPAGEM, EM TUBO PEX PARA INST. AGUA QUENTE/FRIA</t>
  </si>
  <si>
    <t>S39282</t>
  </si>
  <si>
    <t>CONECTOR/ADAPTADOR FIXO, ROSCA FEMEA, EM PLASTICO, DN 25 MM X 3/4", PARA CONEXAO COM CRIMPAGEM, EM TUBO PEX PARA INST. AGUA QUENTE/FRIA</t>
  </si>
  <si>
    <t>S39283</t>
  </si>
  <si>
    <t>DISTRIBUIDOR, PLASTICO, 2 SAIDAS, DN 32 X 16 MM, PARA CONEXAO COM CRIMPAGEM, EM TUBO PEX PARA INST. AGUA QUENTE/FRIA</t>
  </si>
  <si>
    <t>S39285</t>
  </si>
  <si>
    <t>DISTRIBUIDOR, PLASTICO, 2 SAIDAS, DN 32 X 25 MM, PARA CONEXAO COM CRIMPAGEM, EM TUBO PEX PARA INST. AGUA QUENTE/FRIA</t>
  </si>
  <si>
    <t>S39286</t>
  </si>
  <si>
    <t>DISTRIBUIDOR, PLASTICO, 3 SAIDAS, DN 32 X 16 MM, PARA CONEXAO COM CRIMPAGEM, EM TUBO PEX PARA INST. AGUA QUENTE/FRIA</t>
  </si>
  <si>
    <t>S39288</t>
  </si>
  <si>
    <t>DISTRIBUIDOR, PLASTICO, 3 SAIDAS, DN 32 X 25 MM, PARA CONEXAO COM CRIMPAGEM, EM TUBO PEX PARA INST. AGUA QUENTE/FRIA</t>
  </si>
  <si>
    <t>S39289</t>
  </si>
  <si>
    <t>TE, PLASTICO, DN 20 MM, PARA CONEXAO COM CRIMPAGEM, EM TUBO PEX PARA INST. AGUA QUENTE/FRIA</t>
  </si>
  <si>
    <t>S3929</t>
  </si>
  <si>
    <t>LUVA DE REDUCAO DE FERRO GALVANIZADO, COM ROSCA BSP, DE 3" X 1 1/2"</t>
  </si>
  <si>
    <t>S39290</t>
  </si>
  <si>
    <t>TE, PLASTICO, DN 25 MM, PARA CONEXAO COM CRIMPAGEM, EM TUBO PEX PARA INST. AGUA QUENTE/FRIA</t>
  </si>
  <si>
    <t>S39291</t>
  </si>
  <si>
    <t>TE, PLASTICO, DN 32 MM, PARA CONEXAO COM CRIMPAGEM, EM TUBO PEX PARA INST. AGUA QUENTE/FRIA</t>
  </si>
  <si>
    <t>S39292</t>
  </si>
  <si>
    <t>LUVA/UNIAO DE REDUCAO METALICA, PARA CONEXAO COM ANEL DESLIZANTE, DN 20 X 16 MM, EM TUBO PEX PARA INST. AGUA QUENTE/FRIA</t>
  </si>
  <si>
    <t>S39293</t>
  </si>
  <si>
    <t>LUVA/UNIAO DE REDUCAO METALICA, PARA CONEXAO COM ANEL DESLIZANTE, DN 25 X 16 MM, EM TUBO PEX PARA INST. AGUA QUENTE/FRIA</t>
  </si>
  <si>
    <t>S39294</t>
  </si>
  <si>
    <t>LUVA/UNIAO DE REDUCAO METALICA, PARA CONEXAO COM ANEL DESLIZANTE, DN 25 X 20 MM, EM TUBO PEX PARA INST. AGUA QUENTE/FRIA</t>
  </si>
  <si>
    <t>S39295</t>
  </si>
  <si>
    <t>LUVA/UNIAO DE REDUCAO METALICA, PARA CONEXAO COM ANEL DESLIZANTE, DN 32 X 25 MM, EM TUBO PEX PARA INST. AGUA QUENTE/FRIA</t>
  </si>
  <si>
    <t>S39296</t>
  </si>
  <si>
    <t>LUVA/UNIAO METALICA, PARA CONEXAO COM ANEL DESLIZANTE, DN 16 MM, EM TUBO PEX PARA INST. AGUA QUENTE/FRIA</t>
  </si>
  <si>
    <t>S39297</t>
  </si>
  <si>
    <t>LUVA/UNIAO METALICA, PARA CONEXAO COM ANEL DESLIZANTE, DN 20 MM, EM TUBO PEX PARA INST. AGUA QUENTE/FRIA</t>
  </si>
  <si>
    <t>S39298</t>
  </si>
  <si>
    <t>LUVA/UNIAO METALICA, PARA CONEXAO COM ANEL DESLIZANTE, DN 25 MM, EM TUBO PEX PARA INST. AGUA QUENTE/FRIA</t>
  </si>
  <si>
    <t>S39299</t>
  </si>
  <si>
    <t>LUVA/UNIAO METALICA, PARA CONEXAO COM ANEL DESLIZANTE, DN 32 MM, EM TUBO PEX PARA INST. AGUA QUENTE/FRIA</t>
  </si>
  <si>
    <t>S393</t>
  </si>
  <si>
    <t>S3930</t>
  </si>
  <si>
    <t>LUVA DE REDUCAO DE FERRO GALVANIZADO, COM ROSCA BSP, DE 3" X 2"</t>
  </si>
  <si>
    <t>S39300</t>
  </si>
  <si>
    <t>JOELHO/COTOVELO 90 GRAUS, PLASTICO, PARA CONEXAO COM CRIMPAGEM, DN 16 MM, EM TUBO PEX PARA INST. AGUA QUENTE/FRIA</t>
  </si>
  <si>
    <t>S39301</t>
  </si>
  <si>
    <t>JOELHO/COTOVELO 90 GRAUS, PLASTICO, PARA CONEXAO COM CRIMPAGEM, DN 20 MM, EM TUBO PEX PARA INST. AGUA QUENTE/FRIA</t>
  </si>
  <si>
    <t>S39302</t>
  </si>
  <si>
    <t>JOELHO/COTOVELO 90 GRAUS, PLASTICO, PARA CONEXAO COM CRIMPAGEM, DN 25 MM, EM TUBO PEX PARA INST. AGUA QUENTE/FRIA</t>
  </si>
  <si>
    <t>S39304</t>
  </si>
  <si>
    <t>JOELHO/COTOVELO 90 GRAUS, ROSCA FEMEA TERMINAL, PLASTICO, PARA CONEXAO COM CRIMPAGEM, DN 16 MM X 1/2", EM TUBO PEX PARA INST. AGUA QUENTE/FRIA</t>
  </si>
  <si>
    <t>S39305</t>
  </si>
  <si>
    <t>JOELHO/COTOVELO 90 GRAUS, ROSCA FEMEA TERMINAL, PLASTICO, PARA CONEXAO COM CRIMPAGEM, DN 20 MM X 1/2", EM TUBO PEX PARA INST. AGUA QUENTE/FRIA</t>
  </si>
  <si>
    <t>S39306</t>
  </si>
  <si>
    <t>JOELHO/COTOVELO 90 GRAUS, ROSCA FEMEA TERMINAL, PLASTICO, PARA CONEXAO COM CRIMPAGEM, DN 20 MM X 3/4", EM TUBO PEX PARA INST. AGUA QUENTE/FRIA</t>
  </si>
  <si>
    <t>S39308</t>
  </si>
  <si>
    <t>LUVA/UNIAO, PLASTICA, PARA CONEXAO COM CRIMPAGEM, DN 16 MM, EM TUBO PEX PARA INST. AGUA QUENTE/FRIA</t>
  </si>
  <si>
    <t>S39309</t>
  </si>
  <si>
    <t>LUVA/UNIAO, PLASTICA, PARA CONEXAO COM CRIMPAGEM, DN 20 MM, EM TUBO PEX PARA INST. AGUA QUENTE/FRIA</t>
  </si>
  <si>
    <t>S3931</t>
  </si>
  <si>
    <t>LUVA DE REDUCAO DE FERRO GALVANIZADO, COM ROSCA BSP, DE 3" X 2 1/2"</t>
  </si>
  <si>
    <t>S39310</t>
  </si>
  <si>
    <t>LUVA/UNIAO, PLASTICA, PARA CONEXAO COM CRIMPAGEM, DN 25 MM, EM TUBO PEX PARA INST. AGUA QUENTE/FRIA</t>
  </si>
  <si>
    <t>S39311</t>
  </si>
  <si>
    <t>LUVA/UNIAO, PLASTICA, PARA CONEXAO COM CRIMPAGEM, DN 32 MM, EM TUBO PEX PARA INST. AGUA QUENTE/FRIA</t>
  </si>
  <si>
    <t>S39312</t>
  </si>
  <si>
    <t>LUVA/UNIAO DE REDUCAO, PLASTICA, PARA CONEXAO COM CRIMPAGEM, DN 20 X 16 MM, EM TUBO PEX PARA INST. AGUA QUENTE/FRIA</t>
  </si>
  <si>
    <t>S39313</t>
  </si>
  <si>
    <t>LUVA/UNIAO DE REDUCAO, PLASTICA, PARA CONEXAO COM CRIMPAGEM, DN 25 X 16 MM, EM TUBO PEX PARA INST. AGUA QUENTE/FRIA</t>
  </si>
  <si>
    <t>S39314</t>
  </si>
  <si>
    <t>LUVA/UNIAO DE REDUCAO, PLASTICA, PARA CONEXAO COM CRIMPAGEM, DN 32 X 25 MM, EM TUBO PEX PARA INST. AGUA QUENTE/FRIA</t>
  </si>
  <si>
    <t>S39315</t>
  </si>
  <si>
    <t>ESPACADOR / DISTANCIADOR TIPO GARRA DUPLA, EM PLASTICO, COBRIMENTO *20* MM, PARA FERRAGENS DE LAJES E FUNDO DE VIGAS</t>
  </si>
  <si>
    <t>S39318</t>
  </si>
  <si>
    <t>S39319</t>
  </si>
  <si>
    <t>S3932</t>
  </si>
  <si>
    <t>LUVA DE REDUCAO DE FERRO GALVANIZADO, COM ROSCA BSP, DE 4" X 2 1/2"</t>
  </si>
  <si>
    <t>S39320</t>
  </si>
  <si>
    <t>S39321</t>
  </si>
  <si>
    <t>S39322</t>
  </si>
  <si>
    <t>TE, PLASTICO, DN 16 MM, PARA CONEXAO COM CRIMPAGEM, EM TUBO PEX PARA INST. AGUA QUENTE/FRIA</t>
  </si>
  <si>
    <t>S39323</t>
  </si>
  <si>
    <t>S39324</t>
  </si>
  <si>
    <t>S39325</t>
  </si>
  <si>
    <t>S39326</t>
  </si>
  <si>
    <t>S39327</t>
  </si>
  <si>
    <t>S39328</t>
  </si>
  <si>
    <t>S39329</t>
  </si>
  <si>
    <t>S3933</t>
  </si>
  <si>
    <t>LUVA DE REDUCAO DE FERRO GALVANIZADO, COM ROSCA BSP, DE 4" X 2"</t>
  </si>
  <si>
    <t>S39330</t>
  </si>
  <si>
    <t>S39331</t>
  </si>
  <si>
    <t>S39332</t>
  </si>
  <si>
    <t>S39333</t>
  </si>
  <si>
    <t>S39334</t>
  </si>
  <si>
    <t>S39335</t>
  </si>
  <si>
    <t>S39336</t>
  </si>
  <si>
    <t>S39337</t>
  </si>
  <si>
    <t>S39338</t>
  </si>
  <si>
    <t>S3934</t>
  </si>
  <si>
    <t>LUVA DE REDUCAO DE FERRO GALVANIZADO, COM ROSCA BSP, DE 4" X 3"</t>
  </si>
  <si>
    <t>S39340</t>
  </si>
  <si>
    <t>S39341</t>
  </si>
  <si>
    <t>S39342</t>
  </si>
  <si>
    <t>S39343</t>
  </si>
  <si>
    <t>S39344</t>
  </si>
  <si>
    <t>S39345</t>
  </si>
  <si>
    <t>S39346</t>
  </si>
  <si>
    <t>S3935</t>
  </si>
  <si>
    <t>LUVA DE REDUCAO DE FERRO GALVANIZADO, COM ROSCA BSP, DE 2" X 1 1/4"</t>
  </si>
  <si>
    <t>S39350</t>
  </si>
  <si>
    <t>S39351</t>
  </si>
  <si>
    <t>S39352</t>
  </si>
  <si>
    <t>S39353</t>
  </si>
  <si>
    <t>KIT CHUVEIRO, INSTAL. PEX, QUADRO METALICO C/ 2 TRAVESSAS, SUPERIOR C/ ESPERA P/ CHUVEIRO, INFERIOR C/ 2 REGISTROS DE PRESSAO 1/2 ", *390* X *900* MM (L X H), CONEXAO COM ANEL DESLIZANTE (CONJUNTO COMPLETO)</t>
  </si>
  <si>
    <t>S39354</t>
  </si>
  <si>
    <t>KIT CHUVEIRO, INSTAL. PEX, QUADRO METALICO C/2 TRAVESSAS, SUPERIOR C/ ESPERA P/ CHUVEIRO E INFERIOR C/2 REGISTROS DE PRESSAO 1/2 ", *390* X *900* MM (L X H), CONEXAO COM CRIMPAGEM (CONJUNTO COMPLETO)</t>
  </si>
  <si>
    <t>S39355</t>
  </si>
  <si>
    <t>KIT CHASSI TANQUE E MAQUINA LAVAR ROUPA, INSTAL. PEX, QUADRO METALICO C/ TRAVESSA C/ FURO P/ ESGOTO DN 50 MM, FURO LATERAL P/ MAQUINA E FUROS SUPERIORES P/ AGUA, *344* X *442* MM (L X H), P/ CONEXAO COM ANEL DESLIZANTE (CONJUNTO COMPLETO)</t>
  </si>
  <si>
    <t>S39356</t>
  </si>
  <si>
    <t>KIT CHASSI TANQUE E MAQUINA LAVAR ROUPA, INSTAL. PEX, QUADRO METALICO C/ TRAVESSA C/ FURO P/ ESGOTO DN 50 MM, FURO LATERAL P/MAQUINA E FUROS SUPERIORES P/AGUA, *344* X *442* MM (L X H), P/ CONEXAO COM CRIMPAGEM (CONJUNTO COMPLETO)</t>
  </si>
  <si>
    <t>S39357</t>
  </si>
  <si>
    <t>KIT CHASSI COZINHA, CUBA SIMPLES SEM MAQUINA LAVAR LOUCA, INSTAL. PEX, QUADRO METALICO C/ TRAVESSA C/ FURO P/ESGOTO DN 50 MM E FUROS SUPERIORES P/AGUA, *340* X *650* MM (L X H), P/ CONEXAO COM ANEL DESLIZANTE (CONJUNTO COMPLETO)</t>
  </si>
  <si>
    <t>S39358</t>
  </si>
  <si>
    <t>KIT CHASSI COZINHA, CUBA SIMPLES SEM MAQUINA LAVAR LOUCA, INSTAL. PEX, QUADRO METALICO C/ TRAVESSA COM FURO P/ESGOTO DN 50 MM E FUROS SUPERIORES P/AGUA, *340* X *650* MM (L X H), P/ CONEXAO COM CRIMPAGEM (CONJUNTO COMPLETO)</t>
  </si>
  <si>
    <t>S39359</t>
  </si>
  <si>
    <t>CARENAGEM /TAMPA, EM PLASTICO, COR BRANCA, UTILIZADO EM KIT CHASSI METALICO PARA INSTAL. HIDRAULICA DE CUBA SIMPLES SEM MAQUINA DE LAVAR ROUPA, *355* X *670* MM (L X H) (COM FUROS E DEMAIS ENCAIXES)</t>
  </si>
  <si>
    <t>S3936</t>
  </si>
  <si>
    <t>LUVA DE REDUCAO DE FERRO GALVANIZADO, COM ROSCA BSP, DE 1 1/2" X 1 1/4"</t>
  </si>
  <si>
    <t>S39360</t>
  </si>
  <si>
    <t>CARENAGEM /TAMPA, EM PLASTICO, COR BRANCA, UTILIZADO EM KIT CHASSI METALICO PARA INSTAL. HIDRAULICA DE TANQUE COM MAQUINA DE LAVAR ROUPA, *360* X *470* MM (L X H) (COM FUROS E DEMAIS ENCAIXES)</t>
  </si>
  <si>
    <t>S39361</t>
  </si>
  <si>
    <t>S39362</t>
  </si>
  <si>
    <t>S39363</t>
  </si>
  <si>
    <t>S39364</t>
  </si>
  <si>
    <t>S39365</t>
  </si>
  <si>
    <t>S39366</t>
  </si>
  <si>
    <t>S39367</t>
  </si>
  <si>
    <t>S3937</t>
  </si>
  <si>
    <t>LUVA DE REDUCAO DE FERRO GALVANIZADO, COM ROSCA BSP, DE 1 1/4" X 1/2"</t>
  </si>
  <si>
    <t>S39378</t>
  </si>
  <si>
    <t>LUMINARIA SPOT DE SOBREPOR EM ALUMINIO COM ALETA PLASTICA PARA 2 LAMPADAS, BASE E27, POTENCIA MAXIMA 40/60 W (NAO INCLUI LAMPADA)</t>
  </si>
  <si>
    <t>S3938</t>
  </si>
  <si>
    <t>LUVA DE REDUCAO DE FERRO GALVANIZADO, COM ROSCA BSP, DE 1" X 1/2"</t>
  </si>
  <si>
    <t>S39380</t>
  </si>
  <si>
    <t>BASE PARA RELE COM SUPORTE METALICO</t>
  </si>
  <si>
    <t>S39385</t>
  </si>
  <si>
    <t>S39386</t>
  </si>
  <si>
    <t>S39387</t>
  </si>
  <si>
    <t>S39388</t>
  </si>
  <si>
    <t>S39389</t>
  </si>
  <si>
    <t>S3939</t>
  </si>
  <si>
    <t>LUVA DE FERRO GALVANIZADO, COM ROSCA BSP, DE 1 1/2"</t>
  </si>
  <si>
    <t>S39390</t>
  </si>
  <si>
    <t>S39391</t>
  </si>
  <si>
    <t>S39392</t>
  </si>
  <si>
    <t>SENSOR DE PRESENCA BIVOLT DE PAREDE COM FOTOCELULA PARA QUALQUER TIPO DE LAMPADA POTENCIA MAXIMA *1000* W, USO INTERNO</t>
  </si>
  <si>
    <t>S39393</t>
  </si>
  <si>
    <t>SENSOR DE PRESENCA BIVOLT DE PAREDE SEM FOTOCELULA PARA QUALQUER TIPO DE LAMPADA POTENCIA MAXIMA *1000* W, USO INTERNO</t>
  </si>
  <si>
    <t>S39394</t>
  </si>
  <si>
    <t>SENSOR DE PRESENCA BIVOLT DE TETO COM FOTOCELULA PARA QUALQUER TIPO DE LAMPADA POTENCIA MAXIMA *1000* W, USO INTERNO</t>
  </si>
  <si>
    <t>S39395</t>
  </si>
  <si>
    <t>SENSOR DE PRESENCA BIVOLT DE TETO SEM FOTOCELULA PARA QUALQUER TIPO DE LAMPADA POTENCIA MAXIMA *900* W, USO INTERNO</t>
  </si>
  <si>
    <t>S39396</t>
  </si>
  <si>
    <t>SENSOR DE PRESENCA BIVOLT COM FOTOCELULA PARA QUALQUER TIPO DE LAMPADA, POTENCIA MAXIMA *1000* W, USO EXTERNO</t>
  </si>
  <si>
    <t>S39397</t>
  </si>
  <si>
    <t>S39398</t>
  </si>
  <si>
    <t>S39399</t>
  </si>
  <si>
    <t>VIBRADOR DE IMERSAO, COM PONTEIRA DE *35* MM, MANGOTE DE 5 M, SEM MOTOR</t>
  </si>
  <si>
    <t>S394</t>
  </si>
  <si>
    <t>S39400</t>
  </si>
  <si>
    <t>VIBRADOR DE IMERSAO, COM PONTEIRA DE *45* MM, MANGOTE DE 5 M, SEM MOTOR.</t>
  </si>
  <si>
    <t>S39401</t>
  </si>
  <si>
    <t>VIBRADOR DE IMERSAO, COM PONTEIRA DE *60* MM, MANGOTE DE 5 M, SEM MOTOR.</t>
  </si>
  <si>
    <t>S39402</t>
  </si>
  <si>
    <t>MOTOR ELETRICO PARA VIBRADOR DE IMERSAO, DE 2 CV, MONOFASICO, 110/220 V</t>
  </si>
  <si>
    <t>S39403</t>
  </si>
  <si>
    <t>MOTOR ELETRICO PARA VIBRADOR DE IMERSAO, DE 2 CV, TRIFASICO, 220/380 V</t>
  </si>
  <si>
    <t>S39404</t>
  </si>
  <si>
    <t>MOTOR A GASOLINA PARA VIBRADOR DE IMERSAO, 4 TEMPOS, DE 5,5 CV</t>
  </si>
  <si>
    <t>S39412</t>
  </si>
  <si>
    <t>S39413</t>
  </si>
  <si>
    <t>S39414</t>
  </si>
  <si>
    <t>S39415</t>
  </si>
  <si>
    <t>S39416</t>
  </si>
  <si>
    <t>S39417</t>
  </si>
  <si>
    <t>S39418</t>
  </si>
  <si>
    <t>S39419</t>
  </si>
  <si>
    <t>S39420</t>
  </si>
  <si>
    <t>S39421</t>
  </si>
  <si>
    <t>S39422</t>
  </si>
  <si>
    <t>S39423</t>
  </si>
  <si>
    <t>S39424</t>
  </si>
  <si>
    <t>S39425</t>
  </si>
  <si>
    <t>S39426</t>
  </si>
  <si>
    <t>S39427</t>
  </si>
  <si>
    <t>S39428</t>
  </si>
  <si>
    <t>S39429</t>
  </si>
  <si>
    <t>S39430</t>
  </si>
  <si>
    <t>S39431</t>
  </si>
  <si>
    <t>S39432</t>
  </si>
  <si>
    <t>S39433</t>
  </si>
  <si>
    <t>S39434</t>
  </si>
  <si>
    <t>S39435</t>
  </si>
  <si>
    <t>S39436</t>
  </si>
  <si>
    <t>S39437</t>
  </si>
  <si>
    <t>S39438</t>
  </si>
  <si>
    <t>S39439</t>
  </si>
  <si>
    <t>S39440</t>
  </si>
  <si>
    <t>S39441</t>
  </si>
  <si>
    <t>S39442</t>
  </si>
  <si>
    <t>S39443</t>
  </si>
  <si>
    <t>S39445</t>
  </si>
  <si>
    <t>S39446</t>
  </si>
  <si>
    <t>S39447</t>
  </si>
  <si>
    <t>S39448</t>
  </si>
  <si>
    <t>S39449</t>
  </si>
  <si>
    <t>S39450</t>
  </si>
  <si>
    <t>S39451</t>
  </si>
  <si>
    <t>S39452</t>
  </si>
  <si>
    <t>S39455</t>
  </si>
  <si>
    <t>S39456</t>
  </si>
  <si>
    <t>S39457</t>
  </si>
  <si>
    <t>S39458</t>
  </si>
  <si>
    <t>S39459</t>
  </si>
  <si>
    <t>S39460</t>
  </si>
  <si>
    <t>S39461</t>
  </si>
  <si>
    <t>S39462</t>
  </si>
  <si>
    <t>S39463</t>
  </si>
  <si>
    <t>S39464</t>
  </si>
  <si>
    <t>S39465</t>
  </si>
  <si>
    <t>S39466</t>
  </si>
  <si>
    <t>S39467</t>
  </si>
  <si>
    <t>S39468</t>
  </si>
  <si>
    <t>S39469</t>
  </si>
  <si>
    <t>S39470</t>
  </si>
  <si>
    <t>S39471</t>
  </si>
  <si>
    <t>S39472</t>
  </si>
  <si>
    <t>S39473</t>
  </si>
  <si>
    <t>S39474</t>
  </si>
  <si>
    <t>S39475</t>
  </si>
  <si>
    <t>S39476</t>
  </si>
  <si>
    <t>S39477</t>
  </si>
  <si>
    <t>S39478</t>
  </si>
  <si>
    <t>S39479</t>
  </si>
  <si>
    <t>S39480</t>
  </si>
  <si>
    <t>S39481</t>
  </si>
  <si>
    <t>ESPACADOR OU DISTANCIADOR, EM PLASTICO, TIPO APOIO DE CORDOALHA (CARANGUEJO), PARA ARMADURA NEGATIVA E PROTENSAO, COBRIMENTO 50 MM</t>
  </si>
  <si>
    <t>S39482</t>
  </si>
  <si>
    <t>S39484</t>
  </si>
  <si>
    <t>S39485</t>
  </si>
  <si>
    <t>S39486</t>
  </si>
  <si>
    <t>S39488</t>
  </si>
  <si>
    <t>S39489</t>
  </si>
  <si>
    <t>S39490</t>
  </si>
  <si>
    <t>S39492</t>
  </si>
  <si>
    <t>S39493</t>
  </si>
  <si>
    <t>S39494</t>
  </si>
  <si>
    <t>S39495</t>
  </si>
  <si>
    <t>S39496</t>
  </si>
  <si>
    <t>S39497</t>
  </si>
  <si>
    <t>S39498</t>
  </si>
  <si>
    <t>S39499</t>
  </si>
  <si>
    <t>S395</t>
  </si>
  <si>
    <t>S39500</t>
  </si>
  <si>
    <t>S39501</t>
  </si>
  <si>
    <t>S39502</t>
  </si>
  <si>
    <t>S39503</t>
  </si>
  <si>
    <t>S39504</t>
  </si>
  <si>
    <t>S39505</t>
  </si>
  <si>
    <t>S39507</t>
  </si>
  <si>
    <t>S39508</t>
  </si>
  <si>
    <t>S39509</t>
  </si>
  <si>
    <t>S39511</t>
  </si>
  <si>
    <t>FORRO DE FIBRA MINERAL EM PLACAS DE 625 X 625 MM, E = 15 MM, BORDA RETA, COM PINTURA ANTIMOFO, APOIADO EM PERFIL DE ACO GALVANIZADO COM 24 MM DE BASE - INSTALADO</t>
  </si>
  <si>
    <t>S39512</t>
  </si>
  <si>
    <t>FORRO DE FIBRA MINERAL EM PLACAS DE 1250 X 625 MM, E = 15 MM, BORDA RETA, COM PINTURA ANTIMOFO, APOIADO EM PERFIL DE ACO GALVANIZADO COM 24 MM DE BASE - INSTALADO</t>
  </si>
  <si>
    <t>S39513</t>
  </si>
  <si>
    <t>FORRO DE FIBRA MINERAL EM PLACAS DE 625 X 625 MM, E = 15/16 MM, BORDA REBAIXADA, COM PINTURA ANTIMOFO, APOIADO EM PERFIL DE ACO GALVANIZADO COM 24 MM DE BASE - INSTALADO</t>
  </si>
  <si>
    <t>S39514</t>
  </si>
  <si>
    <t>PLACA DE FIBRA MINERAL PARA FORRO, DE 625 X 625 MM, E = 15 MM, BORDA RETA, COM PINTURA ANTIMOFO (NAO INCLUI PERFIS)</t>
  </si>
  <si>
    <t>S39515</t>
  </si>
  <si>
    <t>PLACA DE FIBRA MINERAL PARA FORRO, DE 1250 X 625 MM, E = 15 MM, BORDA RETA, COM PINTURA ANTIMOFO (NAO INCLUI PERFIS)</t>
  </si>
  <si>
    <t>S39516</t>
  </si>
  <si>
    <t>PLACA DE FIBRA MINERAL PARA FORRO, DE 625 X 625 MM, E = 15 MM, BORDA REBAIXADA PARA PERFIL 24 MM, COM PINTURA ANTIMOFO (NAO INCLUI PERFIS)</t>
  </si>
  <si>
    <t>S39517</t>
  </si>
  <si>
    <t>PAINEL TERMOISOLANTE PARA FECHAMENTOS VERTICAIS (INCLUI PARAFUSOS DE FIXACAO) REVESTIDO EM ACO GALVALUME, LARGURA UTIL DE 1100 MM, REVESTIMENTO COM ESPESSURA DE 0,50 MM, COM PRE-PINTURA NAS DUAS FACES, NUCLEO EM POLIURETANO (PUR) COM ESPESSURA 40/50 MM</t>
  </si>
  <si>
    <t>S39518</t>
  </si>
  <si>
    <t>PAINEL TERMOISOLANTE PARA FECHAMENTOS VERTICAIS (INCLUI PARAFUSOS DE FIXACAO) REVESTIDO EM ACO GALVALUME, LARGURA UTIL DE 1100 MM, REVESTIMENTO COM ESPESSURA DE 0,50 MM, COM PRE-PINTURA NAS DUAS FACES, NUCLEO EM POLIURETANO (PUR) COM ESPESSURA 70/80 MM</t>
  </si>
  <si>
    <t>S39520</t>
  </si>
  <si>
    <t>TELHA TERMOISOLANTE REVESTIDA EM ACO GALVANIZADO, FACE SUPERIOR EM TELHA TRAPEZOIDAL E FACE INFERIOR EM CHAPA PLANA (SEM ACESSORIOS DE FIXACAO), REVESTIMENTO COM ESPESSURA DE 0,50 MM COM PRE-PINTURA NAS DUAS FACES, NUCLEO EM POLIESTIRENO (EPS) DE 30 MM</t>
  </si>
  <si>
    <t>S39521</t>
  </si>
  <si>
    <t>TELHA TERMOISOLANTE REVESTIDA EM ACO GALVANIZADO, FACE SUPERIOR EM TELHA TRAPEZOIDAL E FACE INFERIOR EM CHAPA PLANA (SEM ACESSORIOS DE FIXACAO), REVESTIMENTO COM ESPESSURA DE 0,50 MM COM PRE-PINTURA NAS DUAS FACES, NUCLEO EM POLIESTIRENO (EPS) DE 50 MM</t>
  </si>
  <si>
    <t>S39522</t>
  </si>
  <si>
    <t>TELHA TERMOISOLANTE REVESTIDA EM ACO GALVANIZADO, FACES SUPERIOR E INFERIOR EM TELHA TRAPEZOIDAL (SEM ACESSORIOS DE FIXACAO), REVESTIMENTO COM ESPESSURA DE 0,50 MM COM PRE-PINTURA NAS DUAS FACES, NUCLEO EM POLIESTIRENO (EPS) DE 50 MM</t>
  </si>
  <si>
    <t>S39523</t>
  </si>
  <si>
    <t>S39548</t>
  </si>
  <si>
    <t>S39551</t>
  </si>
  <si>
    <t>S39554</t>
  </si>
  <si>
    <t>S39555</t>
  </si>
  <si>
    <t>S39556</t>
  </si>
  <si>
    <t>S39557</t>
  </si>
  <si>
    <t>S39559</t>
  </si>
  <si>
    <t>S39560</t>
  </si>
  <si>
    <t>S39561</t>
  </si>
  <si>
    <t>S39566</t>
  </si>
  <si>
    <t>S39567</t>
  </si>
  <si>
    <t>S39569</t>
  </si>
  <si>
    <t>S39570</t>
  </si>
  <si>
    <t>S39571</t>
  </si>
  <si>
    <t>S39572</t>
  </si>
  <si>
    <t>S39573</t>
  </si>
  <si>
    <t>S39574</t>
  </si>
  <si>
    <t>S39577</t>
  </si>
  <si>
    <t>S39578</t>
  </si>
  <si>
    <t>S39579</t>
  </si>
  <si>
    <t>S39580</t>
  </si>
  <si>
    <t>S39584</t>
  </si>
  <si>
    <t>S39585</t>
  </si>
  <si>
    <t>S39586</t>
  </si>
  <si>
    <t>S39587</t>
  </si>
  <si>
    <t>S39588</t>
  </si>
  <si>
    <t>S39590</t>
  </si>
  <si>
    <t>S39592</t>
  </si>
  <si>
    <t>S39593</t>
  </si>
  <si>
    <t>S39594</t>
  </si>
  <si>
    <t>S39595</t>
  </si>
  <si>
    <t>S39596</t>
  </si>
  <si>
    <t>S39597</t>
  </si>
  <si>
    <t>S39598</t>
  </si>
  <si>
    <t>S39599</t>
  </si>
  <si>
    <t>S396</t>
  </si>
  <si>
    <t>S39600</t>
  </si>
  <si>
    <t>S39601</t>
  </si>
  <si>
    <t>S39602</t>
  </si>
  <si>
    <t>S39603</t>
  </si>
  <si>
    <t>S39604</t>
  </si>
  <si>
    <t>S39605</t>
  </si>
  <si>
    <t>S39606</t>
  </si>
  <si>
    <t>S39607</t>
  </si>
  <si>
    <t>S39608</t>
  </si>
  <si>
    <t>NOBREAK TRIFASICO, DE 5 KVA FATOR DE POTENCIA DE 0,8, AUTONOMIA MINIMA DE 30 MINUTOS A PLENA CARGA</t>
  </si>
  <si>
    <t>S39609</t>
  </si>
  <si>
    <t>NOBREAK TRIFASICO, DE 10 KVA FATOR DE POTENCIA DE 0,8, AUTONOMIA MINIMA DE 30 MINUTOS A PLENA CARGA</t>
  </si>
  <si>
    <t>S39610</t>
  </si>
  <si>
    <t>NOBREAK TRIFASICO, DE 15 KVA FATOR DE POTENCIA DE 0,8, AUTONOMIA MINIMA DE 30 MINUTOS A PLENA CARGA</t>
  </si>
  <si>
    <t>S39611</t>
  </si>
  <si>
    <t>NOBREAK TRIFASICO, DE 20 KVA FATOR DE POTENCIA DE 0,8, AUTONOMIA MINIMA DE 30 MINUTOS A PLENA CARGA</t>
  </si>
  <si>
    <t>S39612</t>
  </si>
  <si>
    <t>NOBREAK TRIFASICO, DE 25 KVA FATOR DE POTENCIA DE 0,8, AUTONOMIA MINIMA DE 30 MINUTOS A PLENA CARGA</t>
  </si>
  <si>
    <t>S39613</t>
  </si>
  <si>
    <t>ESTABILIZADOR BIVOLT AUTOMATICO, 300 VA</t>
  </si>
  <si>
    <t>S39614</t>
  </si>
  <si>
    <t>ESTABILIZADOR BIVOLT AUTOMATICO, 500 VA</t>
  </si>
  <si>
    <t>S39615</t>
  </si>
  <si>
    <t>S39616</t>
  </si>
  <si>
    <t>ESTABILIZADOR BIVOLT AUTOMATICO, 1000 VA</t>
  </si>
  <si>
    <t>S39618</t>
  </si>
  <si>
    <t>ESTABILIZADOR BIVOLT AUTOMATICO, 1500 VA</t>
  </si>
  <si>
    <t>S39619</t>
  </si>
  <si>
    <t>ESTABILIZADOR BIVOLT AUTOMATICO, 2000 VA</t>
  </si>
  <si>
    <t>S39620</t>
  </si>
  <si>
    <t>S39621</t>
  </si>
  <si>
    <t>S39623</t>
  </si>
  <si>
    <t>S39624</t>
  </si>
  <si>
    <t>S39628</t>
  </si>
  <si>
    <t>MOTOR A DIESEL PARA VIBRADOR DE IMERSAO, DE *4,7* CV</t>
  </si>
  <si>
    <t>S39634</t>
  </si>
  <si>
    <t>S39635</t>
  </si>
  <si>
    <t>S39636</t>
  </si>
  <si>
    <t>S39637</t>
  </si>
  <si>
    <t>S39638</t>
  </si>
  <si>
    <t>S39639</t>
  </si>
  <si>
    <t>S39640</t>
  </si>
  <si>
    <t>S39641</t>
  </si>
  <si>
    <t>S39642</t>
  </si>
  <si>
    <t>S39643</t>
  </si>
  <si>
    <t>S39644</t>
  </si>
  <si>
    <t>S39645</t>
  </si>
  <si>
    <t>TUBO DE COBRE FLEXIVEL, D = 1/2 ", E = 0,79 MM, PARA AR-CONDICIONADO/ INSTALACOES GAS RESIDENCIAIS E COMERCIAIS</t>
  </si>
  <si>
    <t>S39661</t>
  </si>
  <si>
    <t>TUBO DE COBRE FLEXIVEL, D = 3/16 ", E = 0,79 MM, PARA AR-CONDICIONADO/ INSTALACOES GAS RESIDENCIAIS E COMERCIAIS</t>
  </si>
  <si>
    <t>TUBO DE COBRE FLEXIVEL, D = 1/4 ", E = 0,79 MM, PARA AR-CONDICIONADO/ INSTALACOES GAS RESIDENCIAIS E COMERCIAIS</t>
  </si>
  <si>
    <t>S39663</t>
  </si>
  <si>
    <t>TUBO DE COBRE FLEXIVEL, D = 5/16 ", E = 0,79 MM, PARA AR-CONDICIONADO/ INSTALACOES GAS RESIDENCIAIS E COMERCIAIS</t>
  </si>
  <si>
    <t>TUBO DE COBRE FLEXIVEL, D = 3/8 ", E = 0,79 MM, PARA AR-CONDICIONADO/ INSTALACOES GAS RESIDENCIAIS E COMERCIAIS</t>
  </si>
  <si>
    <t>TUBO DE COBRE FLEXIVEL, D = 5/8 ", E = 0,79 MM, PARA AR-CONDICIONADO/ INSTALACOES GAS RESIDENCIAIS E COMERCIAIS</t>
  </si>
  <si>
    <t>TUBO DE COBRE FLEXIVEL, D = 3/4 ", E = 0,79 MM, PARA AR-CONDICIONADO/ INSTALACOES GAS RESIDENCIAIS E COMERCIAIS</t>
  </si>
  <si>
    <t>S39678</t>
  </si>
  <si>
    <t>S39679</t>
  </si>
  <si>
    <t>S39686</t>
  </si>
  <si>
    <t>CAIXA INTERNA/EXTERNA DE MEDICAO PARA 4 MEDIDORES MONOFASICOS, COM VISOR, EM CHAPA DE ACO 18 USG (PADRAO DA CONCESSIONARIA LOCAL)</t>
  </si>
  <si>
    <t>S39690</t>
  </si>
  <si>
    <t>CAIXA PARA MEDICAO COLETIVA TIPO M, PADRAO BIFASICO OU TRIFASICO, PARA ATE 8 MEDIDORES, SEM BARRAMENTO E COM PORTAS INFERIOR E SUPERIOR</t>
  </si>
  <si>
    <t>S39691</t>
  </si>
  <si>
    <t>CAIXA PARA MEDICAO COLETIVA TIPO N, PADRAO BIFASICO OU TRIFASICO, PARA ATE 12 MEDIDORES, SEM BARRAMENTO E COM PORTAS INFERIOR E SUPERIOR</t>
  </si>
  <si>
    <t>S39692</t>
  </si>
  <si>
    <t>CAIXA DE PROTECAO PARA TRANSFORMADOR CORRENTE, EM CHAPA DE ACO 18 USG (PADRAO DA CONCESSIONARIA LOCAL)</t>
  </si>
  <si>
    <t>S39693</t>
  </si>
  <si>
    <t>CAIXA DE PROTECAO EXTERNA PARA MEDIDOR HOROSAZONAL, DE BAIXA TENSAO, COM MODULO, EM CHAPA DE ACO (PADRAO DA CONCESSIONARIA LOCAL)</t>
  </si>
  <si>
    <t>S39694</t>
  </si>
  <si>
    <t>S39696</t>
  </si>
  <si>
    <t>S39699</t>
  </si>
  <si>
    <t>S397</t>
  </si>
  <si>
    <t>S39700</t>
  </si>
  <si>
    <t>S39701</t>
  </si>
  <si>
    <t>S39702</t>
  </si>
  <si>
    <t>S39707</t>
  </si>
  <si>
    <t>S39708</t>
  </si>
  <si>
    <t>S39709</t>
  </si>
  <si>
    <t>S39710</t>
  </si>
  <si>
    <t>S39711</t>
  </si>
  <si>
    <t>S39712</t>
  </si>
  <si>
    <t>S39713</t>
  </si>
  <si>
    <t>S39714</t>
  </si>
  <si>
    <t>S39715</t>
  </si>
  <si>
    <t>S39716</t>
  </si>
  <si>
    <t>S39718</t>
  </si>
  <si>
    <t>S39719</t>
  </si>
  <si>
    <t>S39733</t>
  </si>
  <si>
    <t>S39734</t>
  </si>
  <si>
    <t>S39735</t>
  </si>
  <si>
    <t>S39736</t>
  </si>
  <si>
    <t>S39737</t>
  </si>
  <si>
    <t>S39738</t>
  </si>
  <si>
    <t>S39739</t>
  </si>
  <si>
    <t>S39740</t>
  </si>
  <si>
    <t>S39741</t>
  </si>
  <si>
    <t>S39742</t>
  </si>
  <si>
    <t>S39744</t>
  </si>
  <si>
    <t>PAINEL DE LA DE VIDRO SEM REVESTIMENTO PSI 40, E = 25 MM, DE 1200 X 600 MM</t>
  </si>
  <si>
    <t>S39745</t>
  </si>
  <si>
    <t>PAINEL DE LA DE VIDRO SEM REVESTIMENTO PSI 40, E = 50 MM, DE 1200 X 600 MM</t>
  </si>
  <si>
    <t>S39746</t>
  </si>
  <si>
    <t>TUBO DE COBRE CLASSE "A", DN = 1/2" (15 MM), PARA INSTALACOES DE MEDIA PRESSAO PARA GASES COMBUSTIVEIS E MEDICINAIS</t>
  </si>
  <si>
    <t>TUBO DE COBRE CLASSE "A", DN = 3/4" (22 MM), PARA INSTALACOES DE MEDIA PRESSAO PARA GASES COMBUSTIVEIS E MEDICINAIS</t>
  </si>
  <si>
    <t>TUBO DE COBRE CLASSE "A", DN = 1" (28 MM), PARA INSTALACOES DE MEDIA PRESSAO PARA GASES COMBUSTIVEIS E MEDICINAIS</t>
  </si>
  <si>
    <t>S39750</t>
  </si>
  <si>
    <t>TUBO DE COBRE CLASSE "A", DN = 1 1/4" (35 MM), PARA INSTALACOES DE MEDIA PRESSAO PARA GASES COMBUSTIVEIS E MEDICINAIS</t>
  </si>
  <si>
    <t>S39751</t>
  </si>
  <si>
    <t>TUBO DE COBRE CLASSE "A", DN = 1 1/2" (42 MM), PARA INSTALACOES DE MEDIA PRESSAO PARA GASES COMBUSTIVEIS E MEDICINAIS</t>
  </si>
  <si>
    <t>S39752</t>
  </si>
  <si>
    <t>TUBO DE COBRE CLASSE "A", DN = 2" (54 MM), PARA INSTALACOES DE MEDIA PRESSAO PARA GASES COMBUSTIVEIS E MEDICINAIS</t>
  </si>
  <si>
    <t>S39753</t>
  </si>
  <si>
    <t>TUBO DE COBRE CLASSE "A", DN = 2 1/2" (66 MM), PARA INSTALACOES DE MEDIA PRESSAO PARA GASES COMBUSTIVEIS E MEDICINAIS</t>
  </si>
  <si>
    <t>S39754</t>
  </si>
  <si>
    <t>TUBO DE COBRE CLASSE "A", DN = 3" (79 MM), PARA INSTALACOES DE MEDIA PRESSAO PARA GASES COMBUSTIVEIS E MEDICINAIS</t>
  </si>
  <si>
    <t>S39755</t>
  </si>
  <si>
    <t>TUBO DE COBRE CLASSE "A", DN = 4" (104 MM), PARA INSTALACOES DE MEDIA PRESSAO PARA GASES COMBUSTIVEIS E MEDICINAIS</t>
  </si>
  <si>
    <t>S39756</t>
  </si>
  <si>
    <t>QUADRO DE DISTRIBUICAO COM BARRAMENTO TRIFASICO, DE SOBREPOR, EM CHAPA DE ACO GALVANIZADO, PARA 12 DISJUNTORES DIN, 100 A</t>
  </si>
  <si>
    <t>S39757</t>
  </si>
  <si>
    <t>QUADRO DE DISTRIBUICAO COM BARRAMENTO TRIFASICO, DE SOBREPOR, EM CHAPA DE ACO GALVANIZADO, PARA 28 DISJUNTORES DIN, 100 A</t>
  </si>
  <si>
    <t>S39758</t>
  </si>
  <si>
    <t>QUADRO DE DISTRIBUICAO COM BARRAMENTO TRIFASICO, DE SOBREPOR, EM CHAPA DE ACO GALVANIZADO, PARA 30 DISJUNTORES DIN, 100 A</t>
  </si>
  <si>
    <t>S39759</t>
  </si>
  <si>
    <t>QUADRO DE DISTRIBUICAO COM BARRAMENTO TRIFASICO, DE SOBREPOR, EM CHAPA DE ACO GALVANIZADO, PARA 36 DISJUNTORES DIN, 100 A</t>
  </si>
  <si>
    <t>S39760</t>
  </si>
  <si>
    <t>QUADRO DE DISTRIBUICAO COM BARRAMENTO TRIFASICO, DE SOBREPOR, EM CHAPA DE ACO GALVANIZADO, PARA *42* DISJUNTORES DIN, 100 A</t>
  </si>
  <si>
    <t>S39761</t>
  </si>
  <si>
    <t>QUADRO DE DISTRIBUICAO COM BARRAMENTO TRIFASICO, DE SOBREPOR, EM CHAPA DE ACO GALVANIZADO, PARA 48 DISJUNTORES DIN, 100 A</t>
  </si>
  <si>
    <t>S39762</t>
  </si>
  <si>
    <t>QUADRO DE DISTRIBUICAO COM BARRAMENTO TRIFASICO, DE EMBUTIR, EM CHAPA DE ACO GALVANIZADO, PARA 36 DISJUNTORES DIN, 100 A</t>
  </si>
  <si>
    <t>S39763</t>
  </si>
  <si>
    <t>QUADRO DE DISTRIBUICAO COM BARRAMENTO TRIFASICO, DE EMBUTIR, EM CHAPA DE ACO GALVANIZADO, PARA 48 DISJUNTORES DIN, 100 A</t>
  </si>
  <si>
    <t>CAIXA DE PASSAGEM METALICA DE SOBREPOR COM TAMPA PARAFUSADA, DIMENSOES 20 X 20 X 10 CM</t>
  </si>
  <si>
    <t>CAIXA DE PASSAGEM METALICA DE SOBREPOR COM TAMPA PARAFUSADA, DIMENSOES 30 X 30 X 10 CM</t>
  </si>
  <si>
    <t>S39773</t>
  </si>
  <si>
    <t>CAIXA DE PASSAGEM METALICA DE SOBREPOR COM TAMPA PARAFUSADA, DIMENSOES 40 X 40 X 15 CM</t>
  </si>
  <si>
    <t>S39774</t>
  </si>
  <si>
    <t>CAIXA DE PASSAGEM METALICA DE SOBREPOR COM TAMPA PARAFUSADA, DIMENSOES 50 X 50 X 15 CM</t>
  </si>
  <si>
    <t>S39775</t>
  </si>
  <si>
    <t>CAIXA DE PASSAGEM METALICA DE SOBREPOR COM TAMPA PARAFUSADA, DIMENSOES 60 X 60 X 20 CM</t>
  </si>
  <si>
    <t>S39776</t>
  </si>
  <si>
    <t>CAIXA DE PASSAGEM METALICA DE SOBREPOR COM TAMPA PARAFUSADA, DIMENSOES 70 X 70 X 20 CM</t>
  </si>
  <si>
    <t>S39777</t>
  </si>
  <si>
    <t>CAIXA DE PASSAGEM METALICA DE SOBREPOR COM TAMPA PARAFUSADA, DIMENSOES 80 X 80 X 20 CM</t>
  </si>
  <si>
    <t>S39794</t>
  </si>
  <si>
    <t>S39795</t>
  </si>
  <si>
    <t>S39796</t>
  </si>
  <si>
    <t>S39797</t>
  </si>
  <si>
    <t>S39798</t>
  </si>
  <si>
    <t>S39799</t>
  </si>
  <si>
    <t>S398</t>
  </si>
  <si>
    <t>S39800</t>
  </si>
  <si>
    <t>S39801</t>
  </si>
  <si>
    <t>S39802</t>
  </si>
  <si>
    <t>S39803</t>
  </si>
  <si>
    <t>S39804</t>
  </si>
  <si>
    <t>S39805</t>
  </si>
  <si>
    <t>S39806</t>
  </si>
  <si>
    <t>S39807</t>
  </si>
  <si>
    <t>S39808</t>
  </si>
  <si>
    <t>S39809</t>
  </si>
  <si>
    <t>S39810</t>
  </si>
  <si>
    <t>S39811</t>
  </si>
  <si>
    <t>S39812</t>
  </si>
  <si>
    <t>S39813</t>
  </si>
  <si>
    <t>MAQUINA TIPO VASO/TANQUE/JATO DE PRESSAO PORTATIL P/ JATEAMENTO, CONTROLE AUTOMATICO E REMOTO, CAMARA DE 1 SAIDA, 280 L, DIAM. *670* MM, BICO JATO CURTO VENTURI 5/16", MANGUEIRA 1" DE 10 M, COMPLETA (VALVULAS POP UP E DOSADORA, FUNDO CONICO ETC)</t>
  </si>
  <si>
    <t>S39826</t>
  </si>
  <si>
    <t>S39828</t>
  </si>
  <si>
    <t>S39829</t>
  </si>
  <si>
    <t>S39830</t>
  </si>
  <si>
    <t>S39831</t>
  </si>
  <si>
    <t>S39833</t>
  </si>
  <si>
    <t>LOCACAO DE GRUPO GERADOR DE *260* KVA, DIESEL REBOCAVEL, ACIONAMENTO MANUAL</t>
  </si>
  <si>
    <t>S39836</t>
  </si>
  <si>
    <t>S39837</t>
  </si>
  <si>
    <t>S39848</t>
  </si>
  <si>
    <t>TUBO / MANGUEIRA PRETA EM POLIETILENO, LINHA PESADA OU REFORCADA, TIPO ESPAGUETE, PARA INJECAO DE CALDA DE CIMENTO, D = 1/2", ESPESSURA 1,5 MM</t>
  </si>
  <si>
    <t>S39849</t>
  </si>
  <si>
    <t>S39853</t>
  </si>
  <si>
    <t>S39854</t>
  </si>
  <si>
    <t>S39855</t>
  </si>
  <si>
    <t>LUVA PASSANTE DE COBRE SEM ANEL DE SOLDA, BOLSA 15 MM</t>
  </si>
  <si>
    <t>S39856</t>
  </si>
  <si>
    <t>LUVA PASSANTE DE COBRE SEM ANEL DE SOLDA, BOLSA 22 MM</t>
  </si>
  <si>
    <t>S39857</t>
  </si>
  <si>
    <t>LUVA PASSANTE DE COBRE SEM ANEL DE SOLDA, BOLSA 28 MM</t>
  </si>
  <si>
    <t>S39858</t>
  </si>
  <si>
    <t>LUVA PASSANTE DE COBRE SEM ANEL DE SOLDA, BOLSA 35 MM</t>
  </si>
  <si>
    <t>S39859</t>
  </si>
  <si>
    <t>LUVA PASSANTE DE COBRE SEM ANEL DE SOLDA, BOLSA 42 MM</t>
  </si>
  <si>
    <t>S39860</t>
  </si>
  <si>
    <t>LUVA PASSANTE DE COBRE SEM ANEL DE SOLDA, BOLSA 54 MM</t>
  </si>
  <si>
    <t>S39861</t>
  </si>
  <si>
    <t>LUVA PASSANTE DE COBRE SEM ANEL DE SOLDA, BOLSA 66 MM</t>
  </si>
  <si>
    <t>S39862</t>
  </si>
  <si>
    <t>CONECTOR BRONZE/LATAO SEM ANEL DE SOLDA, BOLSA X ROSCA F, 15 MM X 1/2"</t>
  </si>
  <si>
    <t>S39863</t>
  </si>
  <si>
    <t>CONECTOR BRONZE/LATAO SEM ANEL DE SOLDA, BOLSA X ROSCA F, 22 MM X 1/2"</t>
  </si>
  <si>
    <t>S39864</t>
  </si>
  <si>
    <t>CONECTOR BRONZE/LATAO SEM ANEL DE SOLDA, BOLSA X ROSCA F, 22 MM X 3/4"</t>
  </si>
  <si>
    <t>S39865</t>
  </si>
  <si>
    <t>CONECTOR BRONZE/LATAO SEM ANEL DE SOLDA, BOLSA X ROSCA F, 28 MM X 1/2"</t>
  </si>
  <si>
    <t>S39866</t>
  </si>
  <si>
    <t>CURVA DE TRANSPOSICAO BRONZE/LATAO SEM ANEL DE SOLDA, BOLSA X BOLSA, 15 MM</t>
  </si>
  <si>
    <t>S39867</t>
  </si>
  <si>
    <t>CURVA DE TRANSPOSICAO BRONZE/LATAO SEM ANEL DE SOLDA, BOLSA X BOLSA, 22 MM</t>
  </si>
  <si>
    <t>S39868</t>
  </si>
  <si>
    <t>CURVA DE TRANSPOSICAO BRONZE/LATAO SEM ANEL DE SOLDA, BOLSA X BOLSA, 28 MM</t>
  </si>
  <si>
    <t>S39869</t>
  </si>
  <si>
    <t>COTOVELO BRONZE/LATAO SEM ANEL DE SOLDA, BOLSA X ROSCA F, 15MM X 1/2"</t>
  </si>
  <si>
    <t>S39870</t>
  </si>
  <si>
    <t>COTOVELO BRONZE/LATAO SEM ANEL DE SOLDA, BOLSA X ROSCA F, 22MM X 1/2"</t>
  </si>
  <si>
    <t>S39871</t>
  </si>
  <si>
    <t>COTOVELO BRONZE/LATAO SEM ANEL DE SOLDA, BOLSA X ROSCA F, 22MM X 3/4"</t>
  </si>
  <si>
    <t>S39872</t>
  </si>
  <si>
    <t>JUNTA DE EXPANSAO DE COBRE, PONTA X PONTA, 15 MM</t>
  </si>
  <si>
    <t>S39873</t>
  </si>
  <si>
    <t>JUNTA DE EXPANSAO DE COBRE, PONTA X PONTA, 22 MM</t>
  </si>
  <si>
    <t>S39874</t>
  </si>
  <si>
    <t>JUNTA DE EXPANSAO DE COBRE, PONTA X PONTA, 28 MM</t>
  </si>
  <si>
    <t>S39875</t>
  </si>
  <si>
    <t>JUNTA DE EXPANSAO BRONZE/LATAO, PONTA X PONTA, 35 MM</t>
  </si>
  <si>
    <t>S39876</t>
  </si>
  <si>
    <t>JUNTA DE EXPANSAO BRONZE/LATAO, PONTA X PONTA, 42 MM</t>
  </si>
  <si>
    <t>S39877</t>
  </si>
  <si>
    <t>JUNTA DE EXPANSAO BRONZE/LATAO, PONTA X PONTA, 54 MM</t>
  </si>
  <si>
    <t>S39878</t>
  </si>
  <si>
    <t>JUNTA DE EXPANSAO BRONZE/LATAO, PONTA X PONTA, 66 MM</t>
  </si>
  <si>
    <t>S39879</t>
  </si>
  <si>
    <t>CURVA 45 GRAUS DE COBRE SEM ANEL DE SOLDA, BOLSA X BOLSA, 15 MM</t>
  </si>
  <si>
    <t>S39880</t>
  </si>
  <si>
    <t>CURVA 45 GRAUS DE COBRE SEM ANEL DE SOLDA, BOLSA X BOLSA, 22 MM</t>
  </si>
  <si>
    <t>S39881</t>
  </si>
  <si>
    <t>CURVA 45 GRAUS DE COBRE SEM ANEL DE SOLDA, BOLSA X BOLSA, 28 MM</t>
  </si>
  <si>
    <t>S39882</t>
  </si>
  <si>
    <t>CURVA 45 GRAUS DE COBRE SEM ANEL DE SOLDA, BOLSA X BOLSA, 35 MM</t>
  </si>
  <si>
    <t>S39883</t>
  </si>
  <si>
    <t>CURVA 45 GRAUS DE COBRE SEM ANEL DE SOLDA, BOLSA X BOLSA, 42 MM</t>
  </si>
  <si>
    <t>S39884</t>
  </si>
  <si>
    <t>CURVA 45 GRAUS DE COBRE SEM ANEL DE SOLDA, BOLSA X BOLSA, 54 MM</t>
  </si>
  <si>
    <t>S39885</t>
  </si>
  <si>
    <t>CURVA 45 GRAUS DE COBRE SEM ANEL DE SOLDA, BOLSA X BOLSA, 66 MM</t>
  </si>
  <si>
    <t>S39886</t>
  </si>
  <si>
    <t>BUCHA DE REDUCAO DE COBRE SEM ANEL DE SOLDA, PONTA X BOLSA, 22 X 15 MM</t>
  </si>
  <si>
    <t>S39887</t>
  </si>
  <si>
    <t>BUCHA DE REDUCAO DE COBRE SEM ANEL DE SOLDA, PONTA X BOLSA, 28 X 22 MM</t>
  </si>
  <si>
    <t>S39888</t>
  </si>
  <si>
    <t>BUCHA DE REDUCAO DE COBRE SEM ANEL DE SOLDA, PONTA X BOLSA, 35 X 28 MM</t>
  </si>
  <si>
    <t>S39890</t>
  </si>
  <si>
    <t>BUCHA DE REDUCAO DE COBRE SEM ANEL DE SOLDA, PONTA X BOLSA, 42 X 35 MM</t>
  </si>
  <si>
    <t>S39891</t>
  </si>
  <si>
    <t>BUCHA DE REDUCAO DE COBRE SEM ANEL DE SOLDA, PONTA X BOLSA, 54 X 42 MM</t>
  </si>
  <si>
    <t>S39892</t>
  </si>
  <si>
    <t>BUCHA DE REDUCAO DE COBRE SEM ANEL DE SOLDA, PONTA X BOLSA, 66 X 54 MM</t>
  </si>
  <si>
    <t>S39895</t>
  </si>
  <si>
    <t>TE DUPLA CURVA BRONZE/LATAO SEM ANEL DE SOLDA, ROSCA F X BOLSA X ROSCA F, 1/2" X 15 X 1/2"</t>
  </si>
  <si>
    <t>S39896</t>
  </si>
  <si>
    <t>TE DUPLA CURVA BRONZE/LATAO SEM ANEL DE SOLDA, ROSCA F X BOLSA X ROSCA F, 3/4" X 22 X 3/4"</t>
  </si>
  <si>
    <t>PASTA PARA SOLDA DE TUBOS E CONEXOES DE COBRE (EMBALAGEM COM 250 G)</t>
  </si>
  <si>
    <t>S399</t>
  </si>
  <si>
    <t>S3990</t>
  </si>
  <si>
    <t>S39914</t>
  </si>
  <si>
    <t>SOLDA EM VARETA FOSCOPER, D = *2,5* MM X COMPRIMENTO 500 MM</t>
  </si>
  <si>
    <t>S39917</t>
  </si>
  <si>
    <t>S39919</t>
  </si>
  <si>
    <t>S3992</t>
  </si>
  <si>
    <t>S39920</t>
  </si>
  <si>
    <t>S39925</t>
  </si>
  <si>
    <t>S3993</t>
  </si>
  <si>
    <t>S39961</t>
  </si>
  <si>
    <t>S39995</t>
  </si>
  <si>
    <t>POLIESTIRENO EXPANDIDO/EPS (ISOPOR), TIPO 2F, BLOCO</t>
  </si>
  <si>
    <t>S39996</t>
  </si>
  <si>
    <t>S39997</t>
  </si>
  <si>
    <t>S400</t>
  </si>
  <si>
    <t>S4006</t>
  </si>
  <si>
    <t>S4011</t>
  </si>
  <si>
    <t>S4012</t>
  </si>
  <si>
    <t>S4013</t>
  </si>
  <si>
    <t>S4014</t>
  </si>
  <si>
    <t>S4015</t>
  </si>
  <si>
    <t>S4016</t>
  </si>
  <si>
    <t>S4017</t>
  </si>
  <si>
    <t>S4018</t>
  </si>
  <si>
    <t>S4019</t>
  </si>
  <si>
    <t>S402</t>
  </si>
  <si>
    <t>S4020</t>
  </si>
  <si>
    <t>S4021</t>
  </si>
  <si>
    <t>S40269</t>
  </si>
  <si>
    <t>S40270</t>
  </si>
  <si>
    <t>VIGA DE ESCORAMENTO H20, DE MADEIRA, PESO DE 5,00 A 5,20 KG/M, COM EXTREMIDADES PLASTICAS</t>
  </si>
  <si>
    <t>S40271</t>
  </si>
  <si>
    <t>S40275</t>
  </si>
  <si>
    <t>S40287</t>
  </si>
  <si>
    <t>S40290</t>
  </si>
  <si>
    <t>S40291</t>
  </si>
  <si>
    <t>S40293</t>
  </si>
  <si>
    <t>S40294</t>
  </si>
  <si>
    <t>S4030</t>
  </si>
  <si>
    <t>S40304</t>
  </si>
  <si>
    <t>S4031</t>
  </si>
  <si>
    <t>S40329</t>
  </si>
  <si>
    <t>S40331</t>
  </si>
  <si>
    <t>S40334</t>
  </si>
  <si>
    <t>TUBO DE CONCRETO ARMADO PARA AGUAS PLUVIAIS, CLASSE PA-1, COM ENCAIXE PONTA E BOLSA, DIAMETRO NOMINAL DE 300 MM</t>
  </si>
  <si>
    <t>S40335</t>
  </si>
  <si>
    <t>TUBO DE CONCRETO ARMADO PARA ESGOTO SANITARIO, CLASSE EA-2, COM ENCAIXE PONTA E BOLSA, COM JUNTA ELASTICA, DIAMETRO NOMINAL DE 300 MM</t>
  </si>
  <si>
    <t>S40339</t>
  </si>
  <si>
    <t>S40340</t>
  </si>
  <si>
    <t>S40341</t>
  </si>
  <si>
    <t>S40342</t>
  </si>
  <si>
    <t>S40343</t>
  </si>
  <si>
    <t>S40344</t>
  </si>
  <si>
    <t>S40345</t>
  </si>
  <si>
    <t>S40346</t>
  </si>
  <si>
    <t>S40347</t>
  </si>
  <si>
    <t>S40354</t>
  </si>
  <si>
    <t>LUVA EM ACO CARBONO, SOLDAVEL, PRESSAO 3.000 LBS, DN 1/2"</t>
  </si>
  <si>
    <t>S40355</t>
  </si>
  <si>
    <t>LUVA DE REDUCAO EM ACO CARBONO, COM ENCAIXE PARA SOLDA DN SW, PRESSAO 3.000 LBS, 3/4" X 1/2"</t>
  </si>
  <si>
    <t>S40356</t>
  </si>
  <si>
    <t>NIPLE SEXTAVADO EM ACO CARBONO, COM ROSCA BSP, PRESSAO 3.000 LBS, DN 1/2"</t>
  </si>
  <si>
    <t>S40357</t>
  </si>
  <si>
    <t>LUVA EM ACO CARBONO, SOLDAVEL, PRESSAO 3.000 LBS, DN 3/4"</t>
  </si>
  <si>
    <t>S40358</t>
  </si>
  <si>
    <t>LUVA DE REDUCAO EM ACO CARBONO, COM ENCAIXE PARA SOLDA DN SW, PRESSAO 3.000 LBS, DN 1" X 3/4"</t>
  </si>
  <si>
    <t>S40359</t>
  </si>
  <si>
    <t>NIPLE SEXTAVADO EM ACO CARBONO, COM ROSCA BSP, PRESSAO 3.000 LBS, DN 3/4"</t>
  </si>
  <si>
    <t>S40360</t>
  </si>
  <si>
    <t>LUVA EM ACO CARBONO, SOLDAVEL, PRESSAO 3.000 LBS, DN 1"</t>
  </si>
  <si>
    <t>S40361</t>
  </si>
  <si>
    <t>LUVA DE REDUCAO EM ACO CARBONO, COM ENCAIXE PARA SOLDA DN SW, PRESSAO 3.000 LBS, DN 1 1/4" X 1"</t>
  </si>
  <si>
    <t>S40362</t>
  </si>
  <si>
    <t>NIPLE SEXTAVADO EM ACO CARBONO, COM ROSCA BSP, PRESSAO 3.000 LBS, DN 1"</t>
  </si>
  <si>
    <t>S40363</t>
  </si>
  <si>
    <t>LUVA EM ACO CARBONO, SOLDAVEL, PRESSAO 3.000 LBS, DN 1 1/4"</t>
  </si>
  <si>
    <t>S40364</t>
  </si>
  <si>
    <t>LUVA DE REDUCAO EM ACO CARBONO, COM ENCAIXE PARA SOLDA DN SW, PRESSAO 3.000 LBS, DN 1 1/2" X 1 1/4"</t>
  </si>
  <si>
    <t>S40365</t>
  </si>
  <si>
    <t>NIPLE SEXTAVADO EM ACO CARBONO, COM ROSCA BSP, PRESSAO 3.000 LBS, DN 1 1/4"</t>
  </si>
  <si>
    <t>S40366</t>
  </si>
  <si>
    <t>LUVA EM ACO CARBONO, SOLDAVEL, PRESSAO 3.000 LBS, DN 1 1/2"</t>
  </si>
  <si>
    <t>S40367</t>
  </si>
  <si>
    <t>LUVA DE REDUCAO EM ACO CARBONO, COM ENCAIXE PARA SOLDA DN SW, PRESSAO 3.000 LBS, DN 2" X 1 1/2"</t>
  </si>
  <si>
    <t>S40368</t>
  </si>
  <si>
    <t>NIPLE SEXTAVADO EM ACO CARBONO, COM ROSCA BSP, PRESSAO 3.000 LBS, DN 1 1/2"</t>
  </si>
  <si>
    <t>S40369</t>
  </si>
  <si>
    <t>LUVA EM ACO CARBONO, SOLDAVEL, PRESSAO 3.000 LBS, DN 2"</t>
  </si>
  <si>
    <t>S40370</t>
  </si>
  <si>
    <t>LUVA DE REDUCAO EM ACO CARBONO, COM ENCAIXE PARA SOLDA DN SW, PRESSAO 3.000 LBS, DN 2 1/2" X 2"</t>
  </si>
  <si>
    <t>S40371</t>
  </si>
  <si>
    <t>NIPLE SEXTAVADO EM ACO CARBONO, COM ROSCA BSP, PRESSAO 3.000 LBS, DN 2"</t>
  </si>
  <si>
    <t>S40372</t>
  </si>
  <si>
    <t>LUVA EM ACO CARBONO, SOLDAVEL, PRESSAO 3.000 LBS, DN 2 1/2"</t>
  </si>
  <si>
    <t>S40373</t>
  </si>
  <si>
    <t>LUVA DE REDUCAO EM ACO CARBONO, COM ENCAIXE PARA SOLDA DN SW, PRESSAO 3.000 LBS, DN 3" X 2 1/2"</t>
  </si>
  <si>
    <t>S40374</t>
  </si>
  <si>
    <t>NIPLE SEXTAVADO EM ACO CARBONO, COM ROSCA BSP, PRESSAO 3.000 LBS, DN 2 1/2"</t>
  </si>
  <si>
    <t>S40375</t>
  </si>
  <si>
    <t>LUVA EM ACO CARBONO, SOLDAVEL, PRESSAO 3.000 LBS, DN 3"</t>
  </si>
  <si>
    <t>S40378</t>
  </si>
  <si>
    <t>CURVA 90 GRAUS EM ACO CARBONO, RAIO CURTO, SOLDAVEL, PRESSAO 3.000 LBS, DN 1/2"</t>
  </si>
  <si>
    <t>S40379</t>
  </si>
  <si>
    <t>CURVA 45 GRAUS EM ACO CARBONO, SOLDAVEL, PRESSAO 3.000 LBS, DN 1/2"</t>
  </si>
  <si>
    <t>S40380</t>
  </si>
  <si>
    <t>CURVA 90 GRAUS EM ACO CARBONO, RAIO CURTO, SOLDAVEL, PRESSAO 3.000 LBS, DN 3/4"</t>
  </si>
  <si>
    <t>S40381</t>
  </si>
  <si>
    <t>CURVA 45 GRAUS EM ACO CARBONO, SOLDAVEL, PRESSAO 3.000 LBS, DN 3/4"</t>
  </si>
  <si>
    <t>S40382</t>
  </si>
  <si>
    <t>CURVA 90 GRAUS EM ACO CARBONO, RAIO CURTO, SOLDAVEL, PRESSAO 3.000 LBS, DN 1"</t>
  </si>
  <si>
    <t>S40383</t>
  </si>
  <si>
    <t>CURVA 90 GRAUS EM ACO CARBONO, RAIO CURTO, SOLDAVEL, PRESSAO 3.000 LBS, DN 1 1/4"</t>
  </si>
  <si>
    <t>S40384</t>
  </si>
  <si>
    <t>CURVA 45 GRAUS EM ACO CARBONO, SOLDAVEL, PRESSAO 3.000 LBS, DN 1 1/4"</t>
  </si>
  <si>
    <t>S40385</t>
  </si>
  <si>
    <t>CURVA 90 GRAUS EM ACO CARBONO, RAIO CURTO, SOLDAVEL, PRESSAO 3.000 LBS, DN 1 1/2"</t>
  </si>
  <si>
    <t>S40386</t>
  </si>
  <si>
    <t>CURVA 45 GRAUS EM ACO CARBONO, SOLDAVEL, PRESSAO 3.000 LBS, DN 1 1/2"</t>
  </si>
  <si>
    <t>S40387</t>
  </si>
  <si>
    <t>CURVA 90 GRAUS EM ACO CARBONO, RAIO CURTO, SOLDAVEL, PRESSAO 3.000 LBS, DN 2"</t>
  </si>
  <si>
    <t>S40388</t>
  </si>
  <si>
    <t>CURVA 45 GRAUS EM ACO CARBONO, SOLDAVEL, PRESSAO 3.000 LBS, DN 2"</t>
  </si>
  <si>
    <t>S40389</t>
  </si>
  <si>
    <t>CURVA 45 GRAUS EM ACO CARBONO, SOLDAVEL, PRESSAO 3.000 LBS, DN 2 1/2"</t>
  </si>
  <si>
    <t>S40390</t>
  </si>
  <si>
    <t>CURVA 90 GRAUS EM ACO CARBONO, RAIO CURTO, SOLDAVEL, PRESSAO 3.000 LBS, DN 3"</t>
  </si>
  <si>
    <t>S40391</t>
  </si>
  <si>
    <t>CURVA 45 GRAUS EM ACO CARBONO, SOLDAVEL, PRESSAO 3.000 LBS, DN 3"</t>
  </si>
  <si>
    <t>S40392</t>
  </si>
  <si>
    <t>TE 90 GRAUS EM ACO CARBONO, SOLDAVEL, PRESSAO 3.000 LBS, DN 1/2"</t>
  </si>
  <si>
    <t>S40393</t>
  </si>
  <si>
    <t>TE 90 GRAUS EM ACO CARBONO, SOLDAVEL, PRESSAO 3.000 LBS, DN 3/4"</t>
  </si>
  <si>
    <t>S40394</t>
  </si>
  <si>
    <t>TE 90 GRAUS EM ACO CARBONO, SOLDAVEL, PRESSAO 3.000 LBS, DN 1"</t>
  </si>
  <si>
    <t>S40395</t>
  </si>
  <si>
    <t>TE 90 GRAUS EM ACO CARBONO, SOLDAVEL, PRESSAO 3.000 LBS, DN 1 1/4"</t>
  </si>
  <si>
    <t>S40396</t>
  </si>
  <si>
    <t>TE 90 GRAUS EM ACO CARBONO, SOLDAVEL, PRESSAO 3.000 LBS, DN 1 1/2"</t>
  </si>
  <si>
    <t>S40397</t>
  </si>
  <si>
    <t>TE 90 GRAUS EM ACO CARBONO, SOLDAVEL, PRESSAO 3.000 LBS, DN 2"</t>
  </si>
  <si>
    <t>S40398</t>
  </si>
  <si>
    <t>TE 90 GRAUS EM ACO CARBONO, SOLDAVEL, PRESSAO 3.000 LBS, DN 2 1/2"</t>
  </si>
  <si>
    <t>S40399</t>
  </si>
  <si>
    <t>TE 90 GRAUS EM ACO CARBONO, SOLDAVEL, PRESSAO 3.000 LBS, DN 3"</t>
  </si>
  <si>
    <t>S404</t>
  </si>
  <si>
    <t>S40400</t>
  </si>
  <si>
    <t>S40401</t>
  </si>
  <si>
    <t>S40402</t>
  </si>
  <si>
    <t>S40406</t>
  </si>
  <si>
    <t>S40408</t>
  </si>
  <si>
    <t>S40409</t>
  </si>
  <si>
    <t>S40410</t>
  </si>
  <si>
    <t>ACOPLAMENTO RIGIDO EM FERRO FUNDIDO PARA SISTEMA DE TUBULACAO RANHURADA, DN 50 MM (2")</t>
  </si>
  <si>
    <t>S40411</t>
  </si>
  <si>
    <t>ACOPLAMENTO RIGIDO EM FERRO FUNDIDO PARA SISTEMA DE TUBULACAO RANHURADA, DN 65 MM (2 1/2")</t>
  </si>
  <si>
    <t>S40412</t>
  </si>
  <si>
    <t>ACOPLAMENTO RIGIDO EM FERRO FUNDIDO PARA SISTEMA DE TUBULACAO RANHURADA, DN 80 MM (3")</t>
  </si>
  <si>
    <t>S40413</t>
  </si>
  <si>
    <t>CURVA 90 GRAUS RANHURADA EM FERRO FUNDIDO, DN 50 MM (2")</t>
  </si>
  <si>
    <t>S40414</t>
  </si>
  <si>
    <t>CURVA 45 GRAUS RANHURADA EM FERRO FUNDIDO, DN 50 MM (2")</t>
  </si>
  <si>
    <t>S40415</t>
  </si>
  <si>
    <t>CURVA 90 GRAUS RANHURADA EM FERRO FUNDIDO, DN 65 MM (2 1/2")</t>
  </si>
  <si>
    <t>S40416</t>
  </si>
  <si>
    <t>CURVA 45 GRAUS RANHURADA EM FERRO FUNDIDO, DN 65 MM (2 1/2")</t>
  </si>
  <si>
    <t>S40417</t>
  </si>
  <si>
    <t>CURVA 90 GRAUS RANHURADA EM FERRO FUNDIDO, DN 80 MM (3")</t>
  </si>
  <si>
    <t>S40418</t>
  </si>
  <si>
    <t>CURVA 45 GRAUS RANHURADA EM FERRO FUNDIDO, DN 80 MM (3")</t>
  </si>
  <si>
    <t>S40419</t>
  </si>
  <si>
    <t>TE RANHURADO EM FERRO FUNDIDO, DN 50 (2")</t>
  </si>
  <si>
    <t>S40420</t>
  </si>
  <si>
    <t>TE RANHURADO EM FERRO FUNDIDO, DN 65 (2 1/2")</t>
  </si>
  <si>
    <t>S40421</t>
  </si>
  <si>
    <t>TE RANHURADO EM FERRO FUNDIDO, DN 80 (3")</t>
  </si>
  <si>
    <t>S40422</t>
  </si>
  <si>
    <t>CURVA 90 GRAUS EM ACO CARBONO, RAIO CURTO, SOLDAVEL, PRESSAO 3.000 LBS, DN 2 1/2"</t>
  </si>
  <si>
    <t>S40423</t>
  </si>
  <si>
    <t>CURVA 45 GRAUS EM ACO CARBONO, SOLDAVEL, PRESSAO 3.000 LBS, DN 1"</t>
  </si>
  <si>
    <t>S40424</t>
  </si>
  <si>
    <t>CHAPA DE ACO CARBONO LAMINADO A QUENTE, QUALIDADE ESTRUTURAL, BITOLA 3/16", E =4,75 MM (37,29 KG/M2)</t>
  </si>
  <si>
    <t>S40425</t>
  </si>
  <si>
    <t>CHAPA DE ACO GROSSA, SAE 1020, BITOLA 1/4", E = 6,35 MM (49,85 KG/M2)</t>
  </si>
  <si>
    <t>S40433</t>
  </si>
  <si>
    <t>ESPACADOR/SEPARADOR DE CORDOALHA TIPO DISCO 12 FUROS DE 14 MM, PARA TIRANTES</t>
  </si>
  <si>
    <t>S40435</t>
  </si>
  <si>
    <t>S40436</t>
  </si>
  <si>
    <t>S40438</t>
  </si>
  <si>
    <t>S40440</t>
  </si>
  <si>
    <t>S40441</t>
  </si>
  <si>
    <t>S40449</t>
  </si>
  <si>
    <t>S40451</t>
  </si>
  <si>
    <t>S40452</t>
  </si>
  <si>
    <t>S40453</t>
  </si>
  <si>
    <t>S4049</t>
  </si>
  <si>
    <t>S40515</t>
  </si>
  <si>
    <t>S40517</t>
  </si>
  <si>
    <t>S40519</t>
  </si>
  <si>
    <t>S40521</t>
  </si>
  <si>
    <t>S40524</t>
  </si>
  <si>
    <t>S40527</t>
  </si>
  <si>
    <t>GUINCHO DE ALAVANCA MANUAL, CAPACIDADE DE 1,6 T, COM 20 M DE CABO DE ACO (AQUISICAO)</t>
  </si>
  <si>
    <t>S40529</t>
  </si>
  <si>
    <t>S40535</t>
  </si>
  <si>
    <t>PERFIL "U" SIMPLES, EM CHAPA DOBRADA DE ACO LAMINADO, E = 2,65 MM, H = 75 MM, L = 40 MM (3,04 KG/M)</t>
  </si>
  <si>
    <t>S40547</t>
  </si>
  <si>
    <t>S40549</t>
  </si>
  <si>
    <t>S40552</t>
  </si>
  <si>
    <t>S40553</t>
  </si>
  <si>
    <t>S40568</t>
  </si>
  <si>
    <t>S4058</t>
  </si>
  <si>
    <t>S4059</t>
  </si>
  <si>
    <t>PERFIL "U" SIMPLES, EM CHAPA DOBRADA DE ACO LAMINADO, E = 3 MM, H = 125 MM, L = 50 MM (5,07 KG/M)</t>
  </si>
  <si>
    <t>S406</t>
  </si>
  <si>
    <t>S40607</t>
  </si>
  <si>
    <t>S4061</t>
  </si>
  <si>
    <t>S4062</t>
  </si>
  <si>
    <t>S40623</t>
  </si>
  <si>
    <t>CHAPA PARA EMENDA DE VIGA, EM ACO GROSSO, QUALIDADE ESTRUTURAL, BITOLA 3/16 ", E= 4,75 MM, 4 FUROS, LARGURA 45 MM, COMPRIMENTO 500 MM</t>
  </si>
  <si>
    <t>S40624</t>
  </si>
  <si>
    <t>TUBO ACO CARBONO SEM COSTURA 1 1/2", E= *3,68 MM, SCHEDULE 40, 4,05 KG/M</t>
  </si>
  <si>
    <t>S40626</t>
  </si>
  <si>
    <t>TUBO ACO GALVANIZADO COM COSTURA, CLASSE MEDIA, DN 1", E = 3,38 MM, PESO 2,50 KG/M (NBR 5580)</t>
  </si>
  <si>
    <t>S40636</t>
  </si>
  <si>
    <t>S40637</t>
  </si>
  <si>
    <t>MAQUINA DEMARCADORA DE FAIXA DE TRAFEGO A FRIO, AUTOPROPELIDA, MOTOR DIESEL 38 HP</t>
  </si>
  <si>
    <t>S40647</t>
  </si>
  <si>
    <t>PISO INDUSTRIAL EM CONCRETO ARMADO DE ACABAMENTO POLIDO, ESPESSURA 12 CM (CIMENTO QUEIMADO) (INCLUSO EXECUCAO)</t>
  </si>
  <si>
    <t>S40648</t>
  </si>
  <si>
    <t>PISO EPOXI AUTONIVELANTE, ESPESSURA *4* MM (INCLUSO EXECUCAO)</t>
  </si>
  <si>
    <t>S40649</t>
  </si>
  <si>
    <t>PISO EPOXI MULTILAYER, ESPESSURA *2* MM (INCLUSO EXECUCAO)</t>
  </si>
  <si>
    <t>S40650</t>
  </si>
  <si>
    <t>PISO FULGET (GRANITO LAVADO) EM PLACAS DE *40 X 40* CM, E = 2,0 CM (SEM COLOCACAO)</t>
  </si>
  <si>
    <t>S40651</t>
  </si>
  <si>
    <t>PISO FULGET (GRANITO LAVADO) EM PLACAS DE *75 X 75* CM, E = 2,0 CM (SEM COLOCACAO)</t>
  </si>
  <si>
    <t>S40652</t>
  </si>
  <si>
    <t>PISO FULGET (GRANITO LAVADO) MOLDADO IN LOCO (INCLUSO EXECUCAO)</t>
  </si>
  <si>
    <t>S40653</t>
  </si>
  <si>
    <t>PISO KORODUR (INCLUSO EXECUCAO)</t>
  </si>
  <si>
    <t>S40654</t>
  </si>
  <si>
    <t>PISO URETANO, VERSAO REVESTIMENTO AUTONIVELANTE, ESPESSURA VARIAVEL DE 3 A 4 MM (INCLUSO EXECUCAO)</t>
  </si>
  <si>
    <t>S40659</t>
  </si>
  <si>
    <t>S40660</t>
  </si>
  <si>
    <t>S40661</t>
  </si>
  <si>
    <t>S40662</t>
  </si>
  <si>
    <t>S40664</t>
  </si>
  <si>
    <t>PERFIL CARTOLA DE ACO GALVANIZADO, *20 X 30 X 10* MM, E = 0,8 MM</t>
  </si>
  <si>
    <t>S40671</t>
  </si>
  <si>
    <t>S4069</t>
  </si>
  <si>
    <t>S40699</t>
  </si>
  <si>
    <t>COMPACTADOR DE SOLO, TIPO PLACA VIBRATORIA NAO REVERSIVEL, A GASOLINA 4 TEMPOS, PESO 80 A 120 KG, FORCA CENTRIF. DE 1300 A 2000 KGF, LARG. TRABALHO DE 400 A 500 MM, FREQ. VIBRACAO DE 4800 A 6000 RPM, VELOCIDADE TRABALHO DE 20 A 30 M/MIN, POT. DE 5,0 A 6,0 HP</t>
  </si>
  <si>
    <t>S40700</t>
  </si>
  <si>
    <t>COMPACTADOR DE SOLO, TIPO PLACA VIBRATORIA REVERSIVEL, A GASOLINA 4 TEMPOS, PESO 160 A 265 KG, FORCA CENTRIF. DE 2750 A 4000 KGF, LARG. TRABALHO DE 430 A 550 MM, FREQ. VIBRACAO DE 4000 A 5500 RPM, VELOCIDADE TRABALHO DE 20 A 25 M/MIN, POT. DE 7,5 A 9,0 HP</t>
  </si>
  <si>
    <t>S40701</t>
  </si>
  <si>
    <t>COMPACTADOR DE SOLO, TIPO PLACA VIBRATORIA REVERSIVEL, A DIESEL, PESO 700 A 820 KG, FORCA CENTRIF. DE 6.200 A 10.000 KGF, LARG. TRABALHO DE 650 A 720 MM, FREQ. VIBRACAO DE 3.000 A 3.500 RPM, VELOCIDADE TRABALHO DE 25 A 30 M/MIN, POT. DE 13,0 A 15,0 HP</t>
  </si>
  <si>
    <t>S40703</t>
  </si>
  <si>
    <t>S40740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</si>
  <si>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</si>
  <si>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S40741</t>
  </si>
  <si>
    <t>S40742</t>
  </si>
  <si>
    <t>S40782</t>
  </si>
  <si>
    <t>CALHA QUADRADA DE CHAPA DE ACO GALVANIZADA NUM 24, CORTE 33 CM</t>
  </si>
  <si>
    <t>S40783</t>
  </si>
  <si>
    <t>CALHA QUADRADA DE CHAPA DE ACO GALVANIZADA NUM 24, CORTE 50 CM</t>
  </si>
  <si>
    <t>S40784</t>
  </si>
  <si>
    <t>CALHA QUADRADA DE CHAPA DE ACO GALVANIZADA NUM 24, CORTE 100 CM</t>
  </si>
  <si>
    <t>S40789</t>
  </si>
  <si>
    <t>S40791</t>
  </si>
  <si>
    <t>S408</t>
  </si>
  <si>
    <t>S40807</t>
  </si>
  <si>
    <t>S40809</t>
  </si>
  <si>
    <t>S40810</t>
  </si>
  <si>
    <t>S40811</t>
  </si>
  <si>
    <t>S40812</t>
  </si>
  <si>
    <t>S40813</t>
  </si>
  <si>
    <t>S40814</t>
  </si>
  <si>
    <t>S40815</t>
  </si>
  <si>
    <t>S40816</t>
  </si>
  <si>
    <t>S40817</t>
  </si>
  <si>
    <t>S40818</t>
  </si>
  <si>
    <t>S40819</t>
  </si>
  <si>
    <t>S40820</t>
  </si>
  <si>
    <t>S4083</t>
  </si>
  <si>
    <t>S40839</t>
  </si>
  <si>
    <t>S4084</t>
  </si>
  <si>
    <t>S4085</t>
  </si>
  <si>
    <t>S40861</t>
  </si>
  <si>
    <t>S40862</t>
  </si>
  <si>
    <t>S40863</t>
  </si>
  <si>
    <t>S40864</t>
  </si>
  <si>
    <t>S40873</t>
  </si>
  <si>
    <t>RUFO INTERNO/EXTERNO DE CHAPA DE ACO GALVANIZADA NUM 24, CORTE 25 CM</t>
  </si>
  <si>
    <t>S4090</t>
  </si>
  <si>
    <t>S40909</t>
  </si>
  <si>
    <t>S40910</t>
  </si>
  <si>
    <t>S40911</t>
  </si>
  <si>
    <t>S40912</t>
  </si>
  <si>
    <t>S40913</t>
  </si>
  <si>
    <t>S40914</t>
  </si>
  <si>
    <t>S40915</t>
  </si>
  <si>
    <t>S40916</t>
  </si>
  <si>
    <t>S40918</t>
  </si>
  <si>
    <t>S40919</t>
  </si>
  <si>
    <t>S40920</t>
  </si>
  <si>
    <t>S40921</t>
  </si>
  <si>
    <t>S40922</t>
  </si>
  <si>
    <t>S40924</t>
  </si>
  <si>
    <t>S40925</t>
  </si>
  <si>
    <t>S40927</t>
  </si>
  <si>
    <t>S40928</t>
  </si>
  <si>
    <t>S40929</t>
  </si>
  <si>
    <t>S4093</t>
  </si>
  <si>
    <t>S40930</t>
  </si>
  <si>
    <t>S40931</t>
  </si>
  <si>
    <t>S4094</t>
  </si>
  <si>
    <t>S40943</t>
  </si>
  <si>
    <t>S40944</t>
  </si>
  <si>
    <t>S40945</t>
  </si>
  <si>
    <t>S40946</t>
  </si>
  <si>
    <t>S4095</t>
  </si>
  <si>
    <t>S4096</t>
  </si>
  <si>
    <t>S40974</t>
  </si>
  <si>
    <t>S40975</t>
  </si>
  <si>
    <t>S40976</t>
  </si>
  <si>
    <t>S40977</t>
  </si>
  <si>
    <t>S40978</t>
  </si>
  <si>
    <t>S40979</t>
  </si>
  <si>
    <t>S40980</t>
  </si>
  <si>
    <t>S40981</t>
  </si>
  <si>
    <t>S40982</t>
  </si>
  <si>
    <t>S40983</t>
  </si>
  <si>
    <t>S40984</t>
  </si>
  <si>
    <t>S40986</t>
  </si>
  <si>
    <t>S40987</t>
  </si>
  <si>
    <t>S40988</t>
  </si>
  <si>
    <t>S40990</t>
  </si>
  <si>
    <t>S40992</t>
  </si>
  <si>
    <t>S40998</t>
  </si>
  <si>
    <t>S410</t>
  </si>
  <si>
    <t>S41001</t>
  </si>
  <si>
    <t>S41012</t>
  </si>
  <si>
    <t>S4102</t>
  </si>
  <si>
    <t>S41024</t>
  </si>
  <si>
    <t>S41026</t>
  </si>
  <si>
    <t>S41031</t>
  </si>
  <si>
    <t>S41033</t>
  </si>
  <si>
    <t>S41036</t>
  </si>
  <si>
    <t>S41038</t>
  </si>
  <si>
    <t>S41040</t>
  </si>
  <si>
    <t>S41043</t>
  </si>
  <si>
    <t>S41065</t>
  </si>
  <si>
    <t>S41066</t>
  </si>
  <si>
    <t>S41067</t>
  </si>
  <si>
    <t>S41068</t>
  </si>
  <si>
    <t>S41069</t>
  </si>
  <si>
    <t>S4107</t>
  </si>
  <si>
    <t>S41071</t>
  </si>
  <si>
    <t>S41072</t>
  </si>
  <si>
    <t>S41073</t>
  </si>
  <si>
    <t>S41075</t>
  </si>
  <si>
    <t>S41076</t>
  </si>
  <si>
    <t>S41077</t>
  </si>
  <si>
    <t>S41078</t>
  </si>
  <si>
    <t>S41079</t>
  </si>
  <si>
    <t>S41081</t>
  </si>
  <si>
    <t>S41082</t>
  </si>
  <si>
    <t>S41083</t>
  </si>
  <si>
    <t>S41084</t>
  </si>
  <si>
    <t>S41085</t>
  </si>
  <si>
    <t>S41086</t>
  </si>
  <si>
    <t>S41087</t>
  </si>
  <si>
    <t>S41088</t>
  </si>
  <si>
    <t>S41089</t>
  </si>
  <si>
    <t>S41090</t>
  </si>
  <si>
    <t>S41091</t>
  </si>
  <si>
    <t>S41092</t>
  </si>
  <si>
    <t>S41093</t>
  </si>
  <si>
    <t>S41094</t>
  </si>
  <si>
    <t>S41096</t>
  </si>
  <si>
    <t>S41097</t>
  </si>
  <si>
    <t>S411</t>
  </si>
  <si>
    <t>S4111</t>
  </si>
  <si>
    <t>S4114</t>
  </si>
  <si>
    <t>S4115</t>
  </si>
  <si>
    <t>S41180</t>
  </si>
  <si>
    <t>POSTE DE CONCRETO ARMADO DE SECAO CIRCULAR, EXTENSAO DE 13,00 M, RESISTENCIA DE 1000 DAN, TIPO C-23</t>
  </si>
  <si>
    <t>S41181</t>
  </si>
  <si>
    <t>POSTE DE CONCRETO ARMADO DE SECAO CIRCULAR, EXTENSAO DE 13,00 M, RESISTENCIA DE 1500 DAN, TIPO C-29</t>
  </si>
  <si>
    <t>S41182</t>
  </si>
  <si>
    <t>POSTE DE CONCRETO ARMADO DE SECAO CIRCULAR, EXTENSAO DE 13,00 M, RESISTENCIA DE 2000 DAN, TIPO C-29</t>
  </si>
  <si>
    <t>S41183</t>
  </si>
  <si>
    <t>POSTE DE CONCRETO ARMADO DE SECAO CIRCULAR, EXTENSAO DE 13,00 M, RESISTENCIA DE 2500 DAN, TIPO C-29</t>
  </si>
  <si>
    <t>S41184</t>
  </si>
  <si>
    <t>POSTE DE CONCRETO ARMADO DE SECAO CIRCULAR, EXTENSAO DE 13,00 M, RESISTENCIA DE 3000 DAN, TIPO C-29</t>
  </si>
  <si>
    <t>S41185</t>
  </si>
  <si>
    <t>POSTE DE CONCRETO ARMADO DE SECAO CIRCULAR, EXTENSAO DE 14,00 M, RESISTENCIA DE 1000 DAN, TIPO C-23</t>
  </si>
  <si>
    <t>S41186</t>
  </si>
  <si>
    <t>POSTE DE CONCRETO ARMADO DE SECAO CIRCULAR, EXTENSAO DE 14,00 M, RESISTENCIA DE 1500 DAN, TIPO C-29</t>
  </si>
  <si>
    <t>S41187</t>
  </si>
  <si>
    <t>POSTE DE CONCRETO ARMADO DE SECAO CIRCULAR, EXTENSAO DE 14,00 M, RESISTENCIA DE 2000 DAN, TIPO C-29</t>
  </si>
  <si>
    <t>S41188</t>
  </si>
  <si>
    <t>POSTE DE CONCRETO ARMADO DE SECAO CIRCULAR, EXTENSAO DE 14,00 M, RESISTENCIA DE 2500 DAN, TIPO C-29</t>
  </si>
  <si>
    <t>S41189</t>
  </si>
  <si>
    <t>POSTE DE CONCRETO ARMADO DE SECAO CIRCULAR, EXTENSAO DE 14,00 M, RESISTENCIA DE 3000 DAN, TIPO C-29</t>
  </si>
  <si>
    <t>S4119</t>
  </si>
  <si>
    <t>S41190</t>
  </si>
  <si>
    <t>POSTE DE CONCRETO ARMADO DE SECAO CIRCULAR, EXTENSAO DE 15,00 M, RESISTENCIA DE 1000 DAN, TIPO C-23</t>
  </si>
  <si>
    <t>S41191</t>
  </si>
  <si>
    <t>POSTE DE CONCRETO ARMADO DE SECAO CIRCULAR, EXTENSAO DE 15,00 M, RESISTENCIA DE 1500 DAN, TIPO C-29</t>
  </si>
  <si>
    <t>S41192</t>
  </si>
  <si>
    <t>POSTE DE CONCRETO ARMADO DE SECAO CIRCULAR, EXTENSAO DE 15,00 M, RESISTENCIA DE 2000 DAN, TIPO C-29</t>
  </si>
  <si>
    <t>S41193</t>
  </si>
  <si>
    <t>POSTE DE CONCRETO ARMADO DE SECAO CIRCULAR, EXTENSAO DE 15,00 M, RESISTENCIA DE 2500 DAN, TIPO C-29</t>
  </si>
  <si>
    <t>S41194</t>
  </si>
  <si>
    <t>POSTE DE CONCRETO ARMADO DE SECAO CIRCULAR, EXTENSAO DE 15,00 M, RESISTENCIA DE 3000 DAN, TIPO C-29</t>
  </si>
  <si>
    <t>S41195</t>
  </si>
  <si>
    <t>POSTE DE CONCRETO ARMADO DE SECAO DUPLO T, EXTENSAO DE 8,00 M, RESISTENCIA DE 150 DAN, TIPO D</t>
  </si>
  <si>
    <t>S41196</t>
  </si>
  <si>
    <t>POSTE DE CONCRETO ARMADO DE SECAO DUPLO T, EXTENSAO DE 9,00 M, RESISTENCIA DE 150 DAN, TIPO D</t>
  </si>
  <si>
    <t>S41197</t>
  </si>
  <si>
    <t>POSTE DE CONCRETO ARMADO DE SECAO DUPLO T, EXTENSAO DE 9,00 M, RESISTENCIA DE 600 DAN, TIPO B</t>
  </si>
  <si>
    <t>S41198</t>
  </si>
  <si>
    <t>POSTE DE CONCRETO ARMADO DE SECAO DUPLO T, EXTENSAO DE 9,00 M, RESISTENCIA DE 1000 DAN, TIPO B-1,5</t>
  </si>
  <si>
    <t>S41199</t>
  </si>
  <si>
    <t>POSTE DE CONCRETO ARMADO DE SECAO DUPLO T, EXTENSAO DE 10,00 M, RESISTENCIA DE 150 DAN, TIPO D</t>
  </si>
  <si>
    <t>S412</t>
  </si>
  <si>
    <t>S41200</t>
  </si>
  <si>
    <t>POSTE DE CONCRETO ARMADO DE SECAO DUPLO T, EXTENSAO DE 10,00 M, RESISTENCIA DE 600 DAN, TIPO B</t>
  </si>
  <si>
    <t>S41201</t>
  </si>
  <si>
    <t>POSTE DE CONCRETO ARMADO DE SECAO DUPLO T, EXTENSAO DE 10,00 M, RESISTENCIA DE 1000 DAN, TIPO B-1,5</t>
  </si>
  <si>
    <t>S41202</t>
  </si>
  <si>
    <t>POSTE DE CONCRETO ARMADO DE SECAO DUPLO T, EXTENSAO DE 11,00 M, RESISTENCIA DE 150 DAN, TIPO D</t>
  </si>
  <si>
    <t>S41203</t>
  </si>
  <si>
    <t>POSTE DE CONCRETO ARMADO DE SECAO DUPLO T, EXTENSAO DE 11,00 M, RESISTENCIA DE 300 DAN, TIPO B</t>
  </si>
  <si>
    <t>S41204</t>
  </si>
  <si>
    <t>POSTE DE CONCRETO ARMADO DE SECAO DUPLO T, EXTENSAO DE 11,00 M, RESISTENCIA DE 600 DAN, TIPO B</t>
  </si>
  <si>
    <t>S41205</t>
  </si>
  <si>
    <t>POSTE DE CONCRETO ARMADO DE SECAO DUPLO T, EXTENSAO DE 11,00 M, RESISTENCIA DE 1000 DAN, TIPO B-1,5</t>
  </si>
  <si>
    <t>S41206</t>
  </si>
  <si>
    <t>POSTE DE CONCRETO ARMADO DE SECAO DUPLO T, EXTENSAO DE 11,00 M, RESISTENCIA DE 1500 DAN, TIPO B-3,0</t>
  </si>
  <si>
    <t>S41207</t>
  </si>
  <si>
    <t>POSTE DE CONCRETO ARMADO DE SECAO DUPLO T, EXTENSAO DE 11,00 M, RESISTENCIA DE 2000 DAN, TIPO B-4,5</t>
  </si>
  <si>
    <t>S41208</t>
  </si>
  <si>
    <t>POSTE DE CONCRETO ARMADO DE SECAO DUPLO T, EXTENSAO DE 12,00 M, RESISTENCIA DE 150 DAN, TIPO D</t>
  </si>
  <si>
    <t>S41209</t>
  </si>
  <si>
    <t>POSTE DE CONCRETO ARMADO DE SECAO DUPLO T, EXTENSAO DE 12,00 M, RESISTENCIA DE 600 DAN, TIPO B</t>
  </si>
  <si>
    <t>S41210</t>
  </si>
  <si>
    <t>POSTE DE CONCRETO ARMADO DE SECAO DUPLO T, EXTENSAO DE 12,00 M, RESISTENCIA DE 1000 DAN, TIPO B-1,5</t>
  </si>
  <si>
    <t>S41211</t>
  </si>
  <si>
    <t>POSTE DE CONCRETO ARMADO DE SECAO DUPLO T, EXTENSAO DE 12,00 M, RESISTENCIA DE 1500 DAN, TIPO B-3,0</t>
  </si>
  <si>
    <t>S41213</t>
  </si>
  <si>
    <t>POSTE DE CONCRETO ARMADO DE SECAO DUPLO T, EXTENSAO DE 12,00 M, RESISTENCIA DE 3000 DAN, TIPO B-6,0</t>
  </si>
  <si>
    <t>S41214</t>
  </si>
  <si>
    <t>POSTE DE CONCRETO ARMADO DE SECAO DUPLO T, EXTENSAO DE 13,00 M, RESISTENCIA DE 300 DAN, TIPO B</t>
  </si>
  <si>
    <t>S41215</t>
  </si>
  <si>
    <t>POSTE DE CONCRETO ARMADO DE SECAO DUPLO T, EXTENSAO DE 13,00 M, RESISTENCIA DE 600 DAN, TIPO B</t>
  </si>
  <si>
    <t>S41216</t>
  </si>
  <si>
    <t>POSTE DE CONCRETO ARMADO DE SECAO DUPLO T, EXTENSAO DE 13,00 M, RESISTENCIA DE 1000 DAN, TIPO B-1,5</t>
  </si>
  <si>
    <t>S41217</t>
  </si>
  <si>
    <t>POSTE DE CONCRETO ARMADO DE SECAO DUPLO T, EXTENSAO DE 13,00 M, RESISTENCIA DE 1500 DAN, TIPO B-3,0</t>
  </si>
  <si>
    <t>S41218</t>
  </si>
  <si>
    <t>POSTE DE CONCRETO ARMADO DE SECAO DUPLO T, EXTENSAO DE 13,00 M, RESISTENCIA DE 2000 DAN, TIPO B-4,5</t>
  </si>
  <si>
    <t>S41221</t>
  </si>
  <si>
    <t>POSTE DE CONCRETO ARMADO DE SECAO DUPLO T, EXTENSAO DE 15,00 M, RESISTENCIA DE 1500 DAN, TIPO B-3,0</t>
  </si>
  <si>
    <t>S41222</t>
  </si>
  <si>
    <t>POSTE DE CONCRETO ARMADO DE SECAO DUPLO T, EXTENSAO DE 15,00 M, RESISTENCIA DE 2000 DAN, TIPO B-4,5</t>
  </si>
  <si>
    <t>S41315</t>
  </si>
  <si>
    <t>S41371</t>
  </si>
  <si>
    <t>BLOCO CONCRETO CELULAR AUTOCLAVADO 7,5 X 30 X 60 CM (E X A X C)</t>
  </si>
  <si>
    <t>S41372</t>
  </si>
  <si>
    <t>BLOCO CONCRETO CELULAR AUTOCLAVADO 12,5 X 30 X 60 CM (E X A X C)</t>
  </si>
  <si>
    <t>S41380</t>
  </si>
  <si>
    <t>MASTRO TELESCOPICO DE 4 METROS (3 M X DN= 2" + 1 M X DN= 1 1/2")</t>
  </si>
  <si>
    <t>S41381</t>
  </si>
  <si>
    <t>MASTRO TELESCOPICO GALVANIZADO 5 METROS (3 M X DN= 2" + 2 M X DN= 1 1/2")</t>
  </si>
  <si>
    <t>S41382</t>
  </si>
  <si>
    <t>MASTRO TELESCOPICO GALVANIZADO 6 METROS (3 M X DN= 2" + 3 M X DN= 1 1/2")</t>
  </si>
  <si>
    <t>S41383</t>
  </si>
  <si>
    <t>MASTRO TELESCOPICO GALVANIZADO 7 METROS (6 M X DN= 2" + 1 M X DN= 1 1/2")</t>
  </si>
  <si>
    <t>S41385</t>
  </si>
  <si>
    <t>MASTRO TELESCOPICO GALVANIZADO 9 METROS (6 M X DN= 2" + 3 M X DN= 1 1/2")</t>
  </si>
  <si>
    <t>S41387</t>
  </si>
  <si>
    <t>MASTRO SIMPLES GALVANIZADO DIAMETRO NOMINAL 1 1/2"</t>
  </si>
  <si>
    <t>S41388</t>
  </si>
  <si>
    <t>MASTRO SIMPLES GALVANIZADO DIAMETRO NOMINAL 2"</t>
  </si>
  <si>
    <t>S414</t>
  </si>
  <si>
    <t>S41410</t>
  </si>
  <si>
    <t>CAPTOR FRANKLIN (4 PONTAS), EM LATAO CROMADO, H = 300 MM, DUAS DESCIDAS</t>
  </si>
  <si>
    <t>S41411</t>
  </si>
  <si>
    <t>CAPTOR FRANKLIN (4 PONTAS), EM LATAO CROMADO, H = 300 MM, UMA DESCIDA</t>
  </si>
  <si>
    <t>S41412</t>
  </si>
  <si>
    <t>CAPTOR FRANKLIN (4 PONTAS), EM LATAO CROMADO, H = 350 MM, DUAS DESCIDAS</t>
  </si>
  <si>
    <t>S41413</t>
  </si>
  <si>
    <t>CAPTOR FRANKLIN (4 PONTAS), EM LATAO CROMADO, H=350 MM, UMA DESCIDA</t>
  </si>
  <si>
    <t>S41414</t>
  </si>
  <si>
    <t>MINICAPTORES DE INSERCAO, EM ACO GALVANIZADO A FOGO, H=300 MM X DN=10 MM</t>
  </si>
  <si>
    <t>S41415</t>
  </si>
  <si>
    <t>MINICAPTORES DE INSERCAO, EM ACO GALVANIZADO A FOGO, H=600,MM X DN=10,MM</t>
  </si>
  <si>
    <t>S41419</t>
  </si>
  <si>
    <t>MINICAPTOR, EM ACO GALVANIZADO A FOGO, FIXACAO COM ROSCA SOBERBA OU MECANICA, H=300 MM X DN=10 MM</t>
  </si>
  <si>
    <t>S41420</t>
  </si>
  <si>
    <t>MINICAPTOR, EM ACO GALVANIZADO A FOGO, FIXACAO COM ROSCA SOBERBA OU MECANICA, H=600 MM X DN=10 MM</t>
  </si>
  <si>
    <t>S41421</t>
  </si>
  <si>
    <t>MINICAPTOR, EM ACO GALVANIZADO A FOGO, FIXACAO HORIZONTAL COM BANDEIRA A 20 CM, H=300 MM E X DN=10 MM</t>
  </si>
  <si>
    <t>S41422</t>
  </si>
  <si>
    <t>MINICAPTOR, EM ACO GALVANIZADO A FOGO, FIXACAO HORIZONTAL COM BANDEIRA A 20 CM, H=600 MM E X DN=10 MM</t>
  </si>
  <si>
    <t>S41425</t>
  </si>
  <si>
    <t>MINICAPTOR, EM ACO GALVANIZADO A FOGO, FIXACAO HORIZONTAL DE 1 FUROS, SEM BANDEIRA, H=300 MM X DN=10 MM</t>
  </si>
  <si>
    <t>S41426</t>
  </si>
  <si>
    <t>MINICAPTOR, EM ACO GALVANIZADO A FOGO, FIXACAO HORIZONTAL DE 2 FUROS, SEM BANDEIRA, H=600 MM X DN=10 MM</t>
  </si>
  <si>
    <t>S41457</t>
  </si>
  <si>
    <t>POSTES METALICOS AUTOPORTANTES, CONICO OU TELESCOPICO, PARA SPDA, ALTURA 10 METROS LIVRES</t>
  </si>
  <si>
    <t>S41458</t>
  </si>
  <si>
    <t>POSTES METALICOS AUTOPORTANTES, CONICO OU TELESCOPICO, PARA SPDA, ALTURA 12 METROS LIVRES</t>
  </si>
  <si>
    <t>S41459</t>
  </si>
  <si>
    <t>POSTES METALICOS AUTOPORTANTES, CONICO OU TELESCOPICO, PARA SPDA, ALTURA 15 METROS LIVRES</t>
  </si>
  <si>
    <t>S41461</t>
  </si>
  <si>
    <t>POSTES METALICOS AUTOPORTANTES, CONICO OU TELESCOPICO, PARA SPDA, ALTURA 20 METROS LIVRES</t>
  </si>
  <si>
    <t>S41474</t>
  </si>
  <si>
    <t>S41475</t>
  </si>
  <si>
    <t>S41476</t>
  </si>
  <si>
    <t>S41480</t>
  </si>
  <si>
    <t>S415</t>
  </si>
  <si>
    <t>S416</t>
  </si>
  <si>
    <t>S41610</t>
  </si>
  <si>
    <t>ANEL DE CONCRETO ARMADO COM FUNDO, PARA FOSSA E POCO 1,50 X *0,50* M</t>
  </si>
  <si>
    <t>S41611</t>
  </si>
  <si>
    <t>ANEL DE CONCRETO ARMADO COM FUNDO, PARA FOSSA E POCO 2,00 X *0,50* M</t>
  </si>
  <si>
    <t>S41612</t>
  </si>
  <si>
    <t>ANEL DE CONCRETO ARMADO COM FUNDO, PARA FOSSA E POCO 2,50 X *0,50* M</t>
  </si>
  <si>
    <t>S41613</t>
  </si>
  <si>
    <t>TAMPA DE CONCRETO ARMADO PARA FOSSA, D = *0,90* M, E = 0,05 M</t>
  </si>
  <si>
    <t>S41614</t>
  </si>
  <si>
    <t>TAMPA DE CONCRETO ARMADO PARA FOSSA, D = *1,10* M, E = 0,05 M</t>
  </si>
  <si>
    <t>S41615</t>
  </si>
  <si>
    <t>TAMPA DE CONCRETO ARMADO PARA FOSSA, D = *1,35* M, E = 0,05 M</t>
  </si>
  <si>
    <t>S41616</t>
  </si>
  <si>
    <t>TAMPA DE CONCRETO ARMADO PARA FOSSA, D = 1,50 M, E = 0,05 M</t>
  </si>
  <si>
    <t>S41617</t>
  </si>
  <si>
    <t>TAMPA DE CONCRETO ARMADO PARA FOSSA, D = 2,00 M, E = 0,05 M</t>
  </si>
  <si>
    <t>S41618</t>
  </si>
  <si>
    <t>TAMPA DE CONCRETO ARMADO PARA FOSSA, D = 2,50 M, E = 0,05 M</t>
  </si>
  <si>
    <t>S41619</t>
  </si>
  <si>
    <t>TAMPA DE CONCRETO ARMADO PARA POCO, COM FURO E TAMPINHA, D = *0,90* M, E = 0,05 M</t>
  </si>
  <si>
    <t>S41620</t>
  </si>
  <si>
    <t>TAMPA DE CONCRETO ARMADO PARA POCO, COM FURO E TAMPINHA, D = *1,10* M, E = 0,05 M</t>
  </si>
  <si>
    <t>S41622</t>
  </si>
  <si>
    <t>TAMPA DE CONCRETO ARMADO PARA POCO, COM FURO E TAMPINHA, D = *1,35* M, E = 0,05 M</t>
  </si>
  <si>
    <t>S41623</t>
  </si>
  <si>
    <t>TAMPA DE CONCRETO ARMADO PARA POCO, COM FURO E TAMPINHA, D = 1,50 M, E = 0,05 M</t>
  </si>
  <si>
    <t>S41624</t>
  </si>
  <si>
    <t>TAMPA DE CONCRETO ARMADO PARA POCO, COM FURO E TAMPINHA, D = 2,00 M, E = 0,05 M</t>
  </si>
  <si>
    <t>S41625</t>
  </si>
  <si>
    <t>TAMPA DE CONCRETO ARMADO PARA POCO, COM FURO E TAMPINHA, D = 2,50 M, E = 0,05 M</t>
  </si>
  <si>
    <t>S41627</t>
  </si>
  <si>
    <t>CAIXA DE CONCRETO ARMADO PRE-MOLDADO, COM FUNDO E TAMPA, DIMENSOES DE 0,30 X 0,30 X 0,30 M</t>
  </si>
  <si>
    <t>S41628</t>
  </si>
  <si>
    <t>CAIXA DE CONCRETO ARMADO PRE-MOLDADO, COM FUNDO E TAMPA, DIMENSOES DE 0,40 X 0,40 X 0,40 M</t>
  </si>
  <si>
    <t>S41629</t>
  </si>
  <si>
    <t>CAIXA DE CONCRETO ARMADO PRE-MOLDADO, COM FUNDO E TAMPA, DIMENSOES DE 0,60 X 0,60 X 0,50 M</t>
  </si>
  <si>
    <t>S41637</t>
  </si>
  <si>
    <t>ANEL DE CONCRETO ARMADO, COM FUROS/DRENO PARA SUMIDOURO, D = 0,80 M, H = 0,50 M</t>
  </si>
  <si>
    <t>S41638</t>
  </si>
  <si>
    <t>ANEL DE CONCRETO ARMADO, COM FUROS/DRENO PARA SUMIDOURO, D = 1,00 M, H = 0,50M</t>
  </si>
  <si>
    <t>S41639</t>
  </si>
  <si>
    <t>ANEL DE CONCRETO ARMADO, COM FUROS/DRENO PARA SUMIDOURO, D = 1,50 M, H = 0,50 M</t>
  </si>
  <si>
    <t>S41679</t>
  </si>
  <si>
    <t>S41680</t>
  </si>
  <si>
    <t>S41681</t>
  </si>
  <si>
    <t>S41682</t>
  </si>
  <si>
    <t>S41683</t>
  </si>
  <si>
    <t>S41697</t>
  </si>
  <si>
    <t>TUBO DE REVESTIMENTO, EM ACO, CORPO SCHEDULE 40, PONTEIRA SCHEDULE 80, ROSQUEAVEL E SEGMENTADO PARA PERFURACAO, DIAMETRO 4" (450 MM)</t>
  </si>
  <si>
    <t>S41699</t>
  </si>
  <si>
    <t>TUBO DE REVESTIMENTO, EM ACO, CORPO SCHEDULE 40, PONTEIRA SCHEDULE 80, ROSQUEAVEL E SEGMENTADO PARA PERFURACAO, DIAMETRO 8" (200 MM)</t>
  </si>
  <si>
    <t>S417</t>
  </si>
  <si>
    <t>S4177</t>
  </si>
  <si>
    <t>NIPLE DE FERRO GALVANIZADO, COM ROSCA BSP, DE 1/2"</t>
  </si>
  <si>
    <t>S41779</t>
  </si>
  <si>
    <t>S4178</t>
  </si>
  <si>
    <t>NIPLE DE FERRO GALVANIZADO, COM ROSCA BSP, DE 3/4"</t>
  </si>
  <si>
    <t>S41780</t>
  </si>
  <si>
    <t>S41781</t>
  </si>
  <si>
    <t>S41782</t>
  </si>
  <si>
    <t>S41783</t>
  </si>
  <si>
    <t>S41785</t>
  </si>
  <si>
    <t>S41786</t>
  </si>
  <si>
    <t>S4179</t>
  </si>
  <si>
    <t>NIPLE DE FERRO GALVANIZADO, COM ROSCA BSP, DE 1"</t>
  </si>
  <si>
    <t>S4180</t>
  </si>
  <si>
    <t>NIPLE DE FERRO GALVANIZADO, COM ROSCA BSP, DE 1 1/4"</t>
  </si>
  <si>
    <t>S41805</t>
  </si>
  <si>
    <t>S4181</t>
  </si>
  <si>
    <t>NIPLE DE FERRO GALVANIZADO, COM ROSCA BSP, DE 2"</t>
  </si>
  <si>
    <t>S4182</t>
  </si>
  <si>
    <t>NIPLE DE FERRO GALVANIZADO, COM ROSCA BSP, DE 3"</t>
  </si>
  <si>
    <t>S4183</t>
  </si>
  <si>
    <t>NIPLE DE FERRO GALVANIZADO, COM ROSCA BSP, DE 4"</t>
  </si>
  <si>
    <t>S4184</t>
  </si>
  <si>
    <t>NIPLE DE FERRO GALVANIZADO, COM ROSCA BSP, DE 5"</t>
  </si>
  <si>
    <t>S4185</t>
  </si>
  <si>
    <t>NIPLE DE FERRO GALVANIZADO, COM ROSCA BSP, DE 6"</t>
  </si>
  <si>
    <t>S4186</t>
  </si>
  <si>
    <t>NIPLE DE REDUCAO DE FERRO GALVANIZADO, COM ROSCA BSP, DE 1/2" X 1/4"</t>
  </si>
  <si>
    <t>S4187</t>
  </si>
  <si>
    <t>NIPLE DE REDUCAO DE FERRO GALVANIZADO, COM ROSCA BSP, DE 3/4" X 1/2"</t>
  </si>
  <si>
    <t>S4188</t>
  </si>
  <si>
    <t>NIPLE DE REDUCAO DE FERRO GALVANIZADO, COM ROSCA BSP, DE 1" X 1/2"</t>
  </si>
  <si>
    <t>S4189</t>
  </si>
  <si>
    <t>NIPLE DE REDUCAO DE FERRO GALVANIZADO, COM ROSCA BSP, DE 1" X 3/4"</t>
  </si>
  <si>
    <t>S41892</t>
  </si>
  <si>
    <t>TE, PVC PBA, BBB, 90 GRAUS, DN 100 / DE 110 MM, PARA REDE DE AGUA</t>
  </si>
  <si>
    <t>S41898</t>
  </si>
  <si>
    <t>S4190</t>
  </si>
  <si>
    <t>NIPLE DE REDUCAO DE FERRO GALVANIZADO, COM ROSCA BSP, DE 1 1/4" X 3/4"</t>
  </si>
  <si>
    <t>S4191</t>
  </si>
  <si>
    <t>NIPLE DE REDUCAO DE FERRO GALVANIZADO, COM ROSCA BSP, DE 1 1/2" X 3/4"</t>
  </si>
  <si>
    <t>S4192</t>
  </si>
  <si>
    <t>NIPLE DE REDUCAO DE FERRO GALVANIZADO, COM ROSCA BSP, DE 1 1/2" X 1"</t>
  </si>
  <si>
    <t>S4193</t>
  </si>
  <si>
    <t>NIPLE DE REDUCAO DE FERRO GALVANIZADO, COM ROSCA BSP, DE 2" X 1 1/4"</t>
  </si>
  <si>
    <t>S41930</t>
  </si>
  <si>
    <t>S41931</t>
  </si>
  <si>
    <t>S41932</t>
  </si>
  <si>
    <t>S41933</t>
  </si>
  <si>
    <t>S41934</t>
  </si>
  <si>
    <t>S41936</t>
  </si>
  <si>
    <t>S4194</t>
  </si>
  <si>
    <t>NIPLE DE REDUCAO DE FERRO GALVANIZADO, COM ROSCA BSP, DE 2" X 1 1/2"</t>
  </si>
  <si>
    <t>S41953</t>
  </si>
  <si>
    <t>S41954</t>
  </si>
  <si>
    <t>S41955</t>
  </si>
  <si>
    <t>S41965</t>
  </si>
  <si>
    <t>S41967</t>
  </si>
  <si>
    <t>S4197</t>
  </si>
  <si>
    <t>NIPLE DE REDUCAO DE FERRO GALVANIZADO, COM ROSCA BSP, DE 2 1/2" X 2"</t>
  </si>
  <si>
    <t>S41975</t>
  </si>
  <si>
    <t>PEITORIL PRE-MOLDADO EM GRANILITE, MARMORITE OU GRANITINA, L = *15* CM</t>
  </si>
  <si>
    <t>S41982</t>
  </si>
  <si>
    <t>S41985</t>
  </si>
  <si>
    <t>TUBO DE REVESTIMENTO, EM ACO, CORPO SCHEDULE 40, PONTEIRA SCHEDULE 80, ROSQUEAVEL E SEGMENTADO PARA PERFURACAO, DIAMETRO 6" (200 MM)</t>
  </si>
  <si>
    <t>S41986</t>
  </si>
  <si>
    <t>TUBO DE REVESTIMENTO, EM ACO, CORPO SCHEDULE 40, PONTEIRA SCHEDULE 80, ROSQUEAVEL E SEGMENTADO PARA PERFURACAO, DIAMETRO 10" (273 MM)</t>
  </si>
  <si>
    <t>S41987</t>
  </si>
  <si>
    <t>TUBO DE REVESTIMENTO, EM ACO, CORPO SCHEDULE 40, PONTEIRA SCHEDULE 80, ROSQUEAVEL E SEGMENTADO PARA PERFURACAO, DIAMETRO 14" (400 MM)</t>
  </si>
  <si>
    <t>S41988</t>
  </si>
  <si>
    <t>TUBO DE REVESTIMENTO, EM ACO, CORPO SCHEDULE 40, PONTEIRA SCHEDULE 80, ROSQUEAVEL E SEGMENTADO PARA PERFURACAO, DIAMETRO 16" (450 MM)</t>
  </si>
  <si>
    <t>S41992</t>
  </si>
  <si>
    <t>S420</t>
  </si>
  <si>
    <t>S4202</t>
  </si>
  <si>
    <t>NIPLE DE REDUCAO DE FERRO GALVANIZADO, COM ROSCA BSP, DE 3" X 2 1/2"</t>
  </si>
  <si>
    <t>S4203</t>
  </si>
  <si>
    <t>NIPLE DE REDUCAO DE FERRO GALVANIZADO, COM ROSCA BSP, DE 3" X 2"</t>
  </si>
  <si>
    <t>S4204</t>
  </si>
  <si>
    <t>NIPLE DE REDUCAO DE FERRO GALVANIZADO, COM ROSCA BSP, DE 2" X 1"</t>
  </si>
  <si>
    <t>S4205</t>
  </si>
  <si>
    <t>NIPLE DE REDUCAO DE FERRO GALVANIZADO, COM ROSCA BSP, DE 1 1/2" X 1 1/4"</t>
  </si>
  <si>
    <t>S4206</t>
  </si>
  <si>
    <t>NIPLE DE REDUCAO DE FERRO GALVANIZADO, COM ROSCA BSP, DE 1 1/4" X 1"</t>
  </si>
  <si>
    <t>S4207</t>
  </si>
  <si>
    <t>NIPLE DE REDUCAO DE FERRO GALVANIZADO, COM ROSCA BSP, DE 1 1/4" X 1/2"</t>
  </si>
  <si>
    <t>S4208</t>
  </si>
  <si>
    <t>NIPLE DE FERRO GALVANIZADO, COM ROSCA BSP, DE 2 1/2"</t>
  </si>
  <si>
    <t>S4209</t>
  </si>
  <si>
    <t>NIPLE DE FERRO GALVANIZADO, COM ROSCA BSP, DE 1 1/2"</t>
  </si>
  <si>
    <t>S421</t>
  </si>
  <si>
    <t>PORCA OLHAL M 16, EM ACO GALVANIZADO, DIAMETRO = 16 MM</t>
  </si>
  <si>
    <t>S4221</t>
  </si>
  <si>
    <t>S4222</t>
  </si>
  <si>
    <t>S4223</t>
  </si>
  <si>
    <t>S42243</t>
  </si>
  <si>
    <t>S42244</t>
  </si>
  <si>
    <t>S42245</t>
  </si>
  <si>
    <t>S42246</t>
  </si>
  <si>
    <t>S42247</t>
  </si>
  <si>
    <t>S42248</t>
  </si>
  <si>
    <t>S42249</t>
  </si>
  <si>
    <t>S42251</t>
  </si>
  <si>
    <t>S4226</t>
  </si>
  <si>
    <t>S4227</t>
  </si>
  <si>
    <t>S4229</t>
  </si>
  <si>
    <t>S4230</t>
  </si>
  <si>
    <t>S42319</t>
  </si>
  <si>
    <t>S4233</t>
  </si>
  <si>
    <t>S4234</t>
  </si>
  <si>
    <t>S4235</t>
  </si>
  <si>
    <t>S4238</t>
  </si>
  <si>
    <t>S4239</t>
  </si>
  <si>
    <t>S4240</t>
  </si>
  <si>
    <t>S42402</t>
  </si>
  <si>
    <t>S42403</t>
  </si>
  <si>
    <t>S42404</t>
  </si>
  <si>
    <t>S42405</t>
  </si>
  <si>
    <t>S42406</t>
  </si>
  <si>
    <t>S42407</t>
  </si>
  <si>
    <t>S42408</t>
  </si>
  <si>
    <t>S42409</t>
  </si>
  <si>
    <t>S42416</t>
  </si>
  <si>
    <t>S42417</t>
  </si>
  <si>
    <t>S42419</t>
  </si>
  <si>
    <t>S42420</t>
  </si>
  <si>
    <t>S42421</t>
  </si>
  <si>
    <t>S42422</t>
  </si>
  <si>
    <t>S42424</t>
  </si>
  <si>
    <t>S42425</t>
  </si>
  <si>
    <t>S42428</t>
  </si>
  <si>
    <t>ALONGADOR COM TRES ALTURAS, EM TUBO DE ACO CARBONO, PINTURA NO PROCESSO ELETROSTATICO - EQUIPAMENTO DE GINASTICA PARA ACADEMIA AO AR LIVRE / ACADEMIA DA TERCEIRA IDADE - ATI</t>
  </si>
  <si>
    <t>S42429</t>
  </si>
  <si>
    <t>ESQUI TRIPLO, EM TUBO DE ACO CARBONO, PINTURA NO PROCESSO ELETROSTATICO - EQUIPAMENTO DE GINASTICA PARA ACADEMIA AO AR LIVRE / ACADEMIA DA TERCEIRA IDADE - ATI</t>
  </si>
  <si>
    <t>S4243</t>
  </si>
  <si>
    <t>S42430</t>
  </si>
  <si>
    <t>MULTIEXERCITADOR COM SEIS FUNCOES, EM TUBO DE ACO CARBONO, PINTURA NO PROCESSO ELETROSTATICO - EQUIPAMENTO DE GINASTICA PARA ACADEMIA AO AR LIVRE / ACADEMIA DA TERCEIRA IDADE - ATI</t>
  </si>
  <si>
    <t>S42431</t>
  </si>
  <si>
    <t>PRESSAO DE PERNAS TRIPLO, EM TUBO DE ACO CARBONO, PINTURA NO PROCESSO ELETROSTATICO - EQUIPAMENTO DE GINASTICA PARA ACADEMIA AO AR LIVRE / ACADEMIA DA TERCEIRA IDADE - ATI</t>
  </si>
  <si>
    <t>S42432</t>
  </si>
  <si>
    <t>ROTACAO DIAGONAL DUPLA, APARELHO TRIPLO, EM TUBO DE ACO CARBONO, PINTURA NO PROCESSO ELETROSTATICO - EQUIPAMENTO DE GINASTICA PARA ACADEMIA AO AR LIVRE / ACADEMIA DA TERCEIRA IDADE - ATI</t>
  </si>
  <si>
    <t>S42433</t>
  </si>
  <si>
    <t>SIMULADOR DE CAMINHADA TRIPLO, EM TUBO DE ACO CARBONO, PINTURA NO PROCESSO ELETROSTATICO - EQUIPAMENTO DE GINASTICA PARA ACADEMIA AO AR LIVRE / ACADEMIA DA TERCEIRA IDADE - ATI</t>
  </si>
  <si>
    <t>S42434</t>
  </si>
  <si>
    <t>SIMULADOR DE CAVALGADA TRIPLO, EM TUBO DE ACO CARBONO, PINTURA NO PROCESSO ELETROSTATICO - EQUIPAMENTO DE GINASTICA PARA ACADEMIA AO AR LIVRE / ACADEMIA DA TERCEIRA IDADE - ATI</t>
  </si>
  <si>
    <t>S42435</t>
  </si>
  <si>
    <t>SIMULADOR DE REMO INDIVIDUAL, EM TUBO DE ACO CARBONO, PINTURA NO PROCESSO ELETROSTATICO - EQUIPAMENTO DE GINASTICA PARA ACADEMIA AO AR LIVRE / ACADEMIA DA TERCEIRA IDADE - ATI</t>
  </si>
  <si>
    <t>S42436</t>
  </si>
  <si>
    <t>SURF DUPLO, EM TUBO DE ACO CARBONO, PINTURA NO PROCESSO ELETROSTATICO - EQUIPAMENTO DE GINASTICA PARA ACADEMIA AO AR LIVRE / ACADEMIA DA TERCEIRA IDADE - ATI</t>
  </si>
  <si>
    <t>S42437</t>
  </si>
  <si>
    <t>ROTACAO VERTICAL DUPLO, EM TUBO DE ACO CARBONO, PINTURA NO PROCESSO ELETROSTATICO - EQUIPAMENTO DE GINASTICA PARA ACADEMIA AO AR LIVRE / ACADEMIA DA TERCEIRA IDADE - ATI</t>
  </si>
  <si>
    <t>S42438</t>
  </si>
  <si>
    <t>PLACA ORIENTATIVA SOBRE EXERCICIOS, 2,00 M X 1,00 M (CHAPA GALVANIZADA #20), ESTRUTURA EM TUBOS REDONDOS DE ACO CARBONO, PINTURA NO PROCESSO ELETROSTATICO, ADESIVO FRENTE E VERSO - PARA ACADEMIA AO AR LIVRE / ACADEMIA DA TERCEIRA IDADE - ATI</t>
  </si>
  <si>
    <t>S42439</t>
  </si>
  <si>
    <t>BANCO COM ENCOSTO, 1,60M* DE COMPRIMENTO, EM TUBO DE ACO CARBONO E PINTURA NO PROCESSO ELETROSTATICO - PARA ACADEMIA AO AR LIVRE / ACADEMIA DA TERCEIRA IDADE - ATI</t>
  </si>
  <si>
    <t>S4244</t>
  </si>
  <si>
    <t>S42440</t>
  </si>
  <si>
    <t>LIXEIRA DUPLA, COM CAPACIDADE VOLUMETRICA DE 60L*, FABRICADA EM TUBO DE ACO CARBONO, CESTOS EM CHAPA DE ACO E PINTURA NO PROCESSO ELETROSTATICO - PARA ACADEMIA AO AR LIVRE / ACADEMIA DA TERCEIRA IDADE - ATI</t>
  </si>
  <si>
    <t>S4248</t>
  </si>
  <si>
    <t>S425</t>
  </si>
  <si>
    <t>S4250</t>
  </si>
  <si>
    <t>S4251</t>
  </si>
  <si>
    <t>S4252</t>
  </si>
  <si>
    <t>S42527</t>
  </si>
  <si>
    <t>S42528</t>
  </si>
  <si>
    <t>S42529</t>
  </si>
  <si>
    <t>S4253</t>
  </si>
  <si>
    <t>S4254</t>
  </si>
  <si>
    <t>S4257</t>
  </si>
  <si>
    <t>S42574</t>
  </si>
  <si>
    <t>TUBO ACO CARBONO SEM COSTURA 1", E= *3,38 MM, SCHEDULE 40, *2,50* KG/M</t>
  </si>
  <si>
    <t>S42575</t>
  </si>
  <si>
    <t>TUBO ACO CARBONO SEM COSTURA 1 1/4", E= *3,56 MM, SCHEDULE 40, *3,38* KG/M</t>
  </si>
  <si>
    <t>S42576</t>
  </si>
  <si>
    <t>TUBO ACO CARBONO SEM COSTURA 3", E= *5,49 MM, SCHEDULE 40, *11,28* KG/M</t>
  </si>
  <si>
    <t>S42577</t>
  </si>
  <si>
    <t>TUBO ACO CARBONO SEM COSTURA 5", E= *6,55 MM, SCHEDULE 40, *21,75* KG/M</t>
  </si>
  <si>
    <t>S426</t>
  </si>
  <si>
    <t>S4262</t>
  </si>
  <si>
    <t>S4263</t>
  </si>
  <si>
    <t>S42685</t>
  </si>
  <si>
    <t>S42686</t>
  </si>
  <si>
    <t>S42693</t>
  </si>
  <si>
    <t>S42694</t>
  </si>
  <si>
    <t>S42695</t>
  </si>
  <si>
    <t>S42696</t>
  </si>
  <si>
    <t>S42699</t>
  </si>
  <si>
    <t>S427</t>
  </si>
  <si>
    <t>S4273</t>
  </si>
  <si>
    <t>PARA-RAIOS DE DISTRIBUICAO, TENSAO NOMINAL 30 KV, CORRENTE NOMINAL DE DESCARGA 10 KA</t>
  </si>
  <si>
    <t>S4274</t>
  </si>
  <si>
    <t>PARA-RAIOS TIPO FRANKLIN 350 MM, EM LATAO CROMADO, DUAS DESCIDAS, PARA PROTECAO DE EDIFICACOES CONTRA DESCARGAS ATMOSFERICAS</t>
  </si>
  <si>
    <t>PARA-RAIOS DE DISTRIBUICAO, TENSAO NOMINAL 15 KV, CORRENTE NOMINAL DE DESCARGA 5 KA</t>
  </si>
  <si>
    <t>S428</t>
  </si>
  <si>
    <t>PARAFUSO M16 EM ACO GALVANIZADO, COMPRIMENTO = 500 MM, DIAMETRO = 16 MM, ROSCA MAQUINA, COM CABECA SEXTAVADA E PORCA</t>
  </si>
  <si>
    <t>S429</t>
  </si>
  <si>
    <t>PARAFUSO M16 EM ACO GALVANIZADO, COMPRIMENTO = 300 MM, DIAMETRO = 16 MM, ROSCA DUPLA</t>
  </si>
  <si>
    <t>S4299</t>
  </si>
  <si>
    <t>S43</t>
  </si>
  <si>
    <t>ADAPTADOR PVC PBA, PONTA/ROSCA, JE, DN 75 / DE 85 MM</t>
  </si>
  <si>
    <t>PARAFUSO M16 EM ACO GALVANIZADO, COMPRIMENTO = 125 MM, DIAMETRO = 16 MM, ROSCA MAQUINA, CABECA QUADRADA</t>
  </si>
  <si>
    <t>S4300</t>
  </si>
  <si>
    <t>S4301</t>
  </si>
  <si>
    <t>S4302</t>
  </si>
  <si>
    <t>S4304</t>
  </si>
  <si>
    <t>S4305</t>
  </si>
  <si>
    <t>S43053</t>
  </si>
  <si>
    <t>S43054</t>
  </si>
  <si>
    <t>S43055</t>
  </si>
  <si>
    <t>S43056</t>
  </si>
  <si>
    <t>S43057</t>
  </si>
  <si>
    <t>S43058</t>
  </si>
  <si>
    <t>S43059</t>
  </si>
  <si>
    <t>S4306</t>
  </si>
  <si>
    <t>S43060</t>
  </si>
  <si>
    <t>S43061</t>
  </si>
  <si>
    <t>S43062</t>
  </si>
  <si>
    <t>S4307</t>
  </si>
  <si>
    <t>S43071</t>
  </si>
  <si>
    <t>TELHA TERMOISOLANTE REVESTIDA EM ACO GALVALUME, FACE SUPERIOR TRAPEZOIDAL E FACE INFERIOR PLANA (NAO INCLUI ACESSORIOS DE FIXACAO), REVEST COM ESPESSURA DE 0,50 MM, COM PRE-PINTURA DE COR BRANCA NAS DUAS FACES, NUCLEO EM POLIISOCIANURATO (PIR) COM ESPESSURA DE 50 MM</t>
  </si>
  <si>
    <t>S4308</t>
  </si>
  <si>
    <t>S43082</t>
  </si>
  <si>
    <t>PERFIL "I" OU "W" EM ACO LAMINADO, QUAISQUER DIMENSOES</t>
  </si>
  <si>
    <t>S43083</t>
  </si>
  <si>
    <t>PERFIL "U" ENRIJECIDO, EM CHAPA DOBRADA DE ACO LAMINADO, E = 3,75 MM, H = 200 MM, L = 75 MM (9,94 KG/M)</t>
  </si>
  <si>
    <t>S43089</t>
  </si>
  <si>
    <t>S4309</t>
  </si>
  <si>
    <t>S43090</t>
  </si>
  <si>
    <t>S43091</t>
  </si>
  <si>
    <t>S43092</t>
  </si>
  <si>
    <t>S43093</t>
  </si>
  <si>
    <t>S43094</t>
  </si>
  <si>
    <t>S43095</t>
  </si>
  <si>
    <t>S43096</t>
  </si>
  <si>
    <t>S43097</t>
  </si>
  <si>
    <t>S43098</t>
  </si>
  <si>
    <t>S431</t>
  </si>
  <si>
    <t>PARAFUSO M16 EM ACO GALVANIZADO, COMPRIMENTO = 200 MM, DIAMETRO = 16 MM, ROSCA MAQUINA, CABECA QUADRADA</t>
  </si>
  <si>
    <t>S4310</t>
  </si>
  <si>
    <t>S43100</t>
  </si>
  <si>
    <t>S43102</t>
  </si>
  <si>
    <t>S43103</t>
  </si>
  <si>
    <t>S43104</t>
  </si>
  <si>
    <t>S43105</t>
  </si>
  <si>
    <t>CHAPA DE ACO CARBONO GALVANIZADA, PERFURADA (GRADE FUROS) E = 1,5 MM, DIAMETRO DO FURO = 9,52 MM (FUROS ALTERNADOS HORIZ.)</t>
  </si>
  <si>
    <t>S43106</t>
  </si>
  <si>
    <t>CHAPA DE ACO GALVANIZADA BITOLA GSG 24, E = 0,64 (5,12 KG/M2)</t>
  </si>
  <si>
    <t>S4311</t>
  </si>
  <si>
    <t>S4312</t>
  </si>
  <si>
    <t>S43124</t>
  </si>
  <si>
    <t>CHAPA EM ACO GALVANIZADO PARA STEEL DECK, COM NERVURAS TRAPEZOIDAIS, LARGURA UTIL DE 915 MM E ESPESSURA DE 0,95 MM</t>
  </si>
  <si>
    <t>S43125</t>
  </si>
  <si>
    <t>CHAPA EM ACO GALVANIZADO PARA STEEL DECK, COM NERVURAS TRAPEZOIDAIS, LARGURA UTIL DE 915 MM E ESPESSURA DE 1,25 MM</t>
  </si>
  <si>
    <t>S43126</t>
  </si>
  <si>
    <t>CHAPA EM ACO GALVANIZADO PARA STEEL DECK, COM NERVURAS TRAPEZOIDAIS, LARGURA UTIL DE 915 MM E ESPESSURA DE 0,80 MM</t>
  </si>
  <si>
    <t>S43127</t>
  </si>
  <si>
    <t>S4313</t>
  </si>
  <si>
    <t>S43130</t>
  </si>
  <si>
    <t>S43131</t>
  </si>
  <si>
    <t>S43132</t>
  </si>
  <si>
    <t>S4314</t>
  </si>
  <si>
    <t>S43142</t>
  </si>
  <si>
    <t>S43143</t>
  </si>
  <si>
    <t>S43144</t>
  </si>
  <si>
    <t>S43146</t>
  </si>
  <si>
    <t>S43147</t>
  </si>
  <si>
    <t>S43148</t>
  </si>
  <si>
    <t>S4315</t>
  </si>
  <si>
    <t>S4316</t>
  </si>
  <si>
    <t>S4317</t>
  </si>
  <si>
    <t>S4318</t>
  </si>
  <si>
    <t>S43184</t>
  </si>
  <si>
    <t>S43185</t>
  </si>
  <si>
    <t>S43186</t>
  </si>
  <si>
    <t>S43187</t>
  </si>
  <si>
    <t>S43188</t>
  </si>
  <si>
    <t>S43189</t>
  </si>
  <si>
    <t>S4319</t>
  </si>
  <si>
    <t>S43190</t>
  </si>
  <si>
    <t>S43191</t>
  </si>
  <si>
    <t>S43192</t>
  </si>
  <si>
    <t>S43194</t>
  </si>
  <si>
    <t>S43195</t>
  </si>
  <si>
    <t>S43196</t>
  </si>
  <si>
    <t>S43198</t>
  </si>
  <si>
    <t>S43199</t>
  </si>
  <si>
    <t>PARAFUSO M16 EM ACO GALVANIZADO, COMPRIMENTO = 250 MM, DIAMETRO = 16 MM, ROSCA MAQUINA, CABECA QUADRADA</t>
  </si>
  <si>
    <t>S4320</t>
  </si>
  <si>
    <t>S43200</t>
  </si>
  <si>
    <t>S43265</t>
  </si>
  <si>
    <t>S4329</t>
  </si>
  <si>
    <t>S433</t>
  </si>
  <si>
    <t>PARAFUSO M16 EM ACO GALVANIZADO, COMPRIMENTO = 350 MM, DIAMETRO = 16 MM, ROSCA MAQUINA, CABECA QUADRADA</t>
  </si>
  <si>
    <t>S4330</t>
  </si>
  <si>
    <t>S4331</t>
  </si>
  <si>
    <t>S4332</t>
  </si>
  <si>
    <t>S4333</t>
  </si>
  <si>
    <t>S4334</t>
  </si>
  <si>
    <t>S4335</t>
  </si>
  <si>
    <t>S4336</t>
  </si>
  <si>
    <t>S43360</t>
  </si>
  <si>
    <t>S43366</t>
  </si>
  <si>
    <t>BENTONITA, ARGILA CONSTITUIDA POR  MONTMORILONITA</t>
  </si>
  <si>
    <t>S4337</t>
  </si>
  <si>
    <t>S43386</t>
  </si>
  <si>
    <t>S4339</t>
  </si>
  <si>
    <t>S4340</t>
  </si>
  <si>
    <t>S4341</t>
  </si>
  <si>
    <t>S4342</t>
  </si>
  <si>
    <t>S43422</t>
  </si>
  <si>
    <t>TUBO DE REVESTIMENTO, EM ACO, CORPO SCHEDULE 40, PONTEIRA SCHEDULE 80, ROSQUEAVEL E SEGMENTADO PARA PERFURACAO, DIAMETRO 12" (320 MM)</t>
  </si>
  <si>
    <t>S43423</t>
  </si>
  <si>
    <t>ANEL EM CONCRETO ARMADO, LISO, PARA POCOS DE INSPECAO, SEM FUNDO, DIAMETRO INTERNO DE 0,60 M E ALTURA DE 0,20 M</t>
  </si>
  <si>
    <t>S43424</t>
  </si>
  <si>
    <t>ANEL EM CONCRETO ARMADO, LISO, PARA FOSSAS SEPTICAS E SUMIDOUROS, COM FUNDO, DIAMETRO INTERNO DE 1,20 M E ALTURA DE 0,50 M</t>
  </si>
  <si>
    <t>S43425</t>
  </si>
  <si>
    <t>ANEL EM CONCRETO ARMADO, PERFURADO, PARA FOSSAS SEPTICAS E SUMIDOUROS, SEM FUNDO, DIAMETRO INTERNO DE 1,20 M E ALTURA DE 0,50 M</t>
  </si>
  <si>
    <t>S43426</t>
  </si>
  <si>
    <t>ANEL EM CONCRETO ARMADO, LISO, PARA FOSSAS SEPTICAS E SUMIDOUROS, COM FUNDO, DIAMETRO INTERNO DE 3,00 M E ALTURA DE 0,50 M</t>
  </si>
  <si>
    <t>S43427</t>
  </si>
  <si>
    <t>TAMPA DE CONCRETO ARMADO PARA FOSSA SEPTICA, DIAMETRO NOMINAL DE 3,00 M E ESPESSURA MINIMA DE 100 MM</t>
  </si>
  <si>
    <t>S43428</t>
  </si>
  <si>
    <t>TAMPA DE CONCRETO ARMADO PARA POCO DE INSPECAO, COM FURO E TAMPINHA, DIAMETRO NOMINAL DE 3,00 M E ESPESSURA MINIMA DE 100 MM</t>
  </si>
  <si>
    <t>S43429</t>
  </si>
  <si>
    <t>CAIXA DE CONCRETO ARMADO PRE-MOLDADO, SEM FUNDO, QUADRADA, DIMENSOES DE 0,30 X 0,30 X 0,30 M</t>
  </si>
  <si>
    <t>S4343</t>
  </si>
  <si>
    <t>S43430</t>
  </si>
  <si>
    <t>CAIXA DE CONCRETO ARMADO PRE-MOLDADO, SEM FUNDO, QUADRADA, DIMENSOES DE 0,40 X 0,40 X 0,40 M</t>
  </si>
  <si>
    <t>S43431</t>
  </si>
  <si>
    <t>CAIXA DE CONCRETO ARMADO PRE-MOLDADO, SEM FUNDO, QUADRADA, DIMENSOES DE 0,60 X 0,60 X 0,50 M</t>
  </si>
  <si>
    <t>S43432</t>
  </si>
  <si>
    <t>CAIXA DE CONCRETO ARMADO PRE-MOLDADO, SEM FUNDO, QUADRADA, DIMENSOES DE 0,80 X 0,80 X 0,50 M</t>
  </si>
  <si>
    <t>S43433</t>
  </si>
  <si>
    <t>CAIXA DE CONCRETO ARMADO PRE-MOLDADO, SEM FUNDO, QUADRADA, DIMENSOES DE 1,00 X 1,00 X 0,50 M</t>
  </si>
  <si>
    <t>CAIXA DE CONCRETO ARMADO PRE-MOLDADO, COM FUNDO E SEM TAMPA, DIMENSOES DE 0,30 X 0,30 X 0,30 M</t>
  </si>
  <si>
    <t>S43435</t>
  </si>
  <si>
    <t>CAIXA DE CONCRETO ARMADO PRE-MOLDADO, COM FUNDO E SEM TAMPA, DIMENSOES DE 0,40 X 0,40 X 0,40 M</t>
  </si>
  <si>
    <t>S43436</t>
  </si>
  <si>
    <t>CAIXA DE CONCRETO ARMADO PRE-MOLDADO, COM FUNDO E SEM TAMPA, DIMENSOES DE 0,60 X 0,60 X 0,50 M</t>
  </si>
  <si>
    <t>S43437</t>
  </si>
  <si>
    <t>CAIXA DE CONCRETO ARMADO PRE-MOLDADO, COM FUNDO E SEM TAMPA, DIMENSOES DE 0,80 X 0,80 X 0,50 M</t>
  </si>
  <si>
    <t>S43438</t>
  </si>
  <si>
    <t>CAIXA DE CONCRETO ARMADO PRE-MOLDADO, COM FUNDO E SEM TAMPA, DIMENSOES DE 1,00 X 1,00 X 0,50 M</t>
  </si>
  <si>
    <t>S43439</t>
  </si>
  <si>
    <t>CAIXA PRE-MOLDADA PARA BOCA DE LOBO, EM CONCRETO ARMADO, COM FCK DE 25 MPA, COM DIMENSOES 1,10 X 0,65 X 1,00 M (COMPRIMENTO X LARGURA X ALTURA)</t>
  </si>
  <si>
    <t>S4344</t>
  </si>
  <si>
    <t>S43440</t>
  </si>
  <si>
    <t>CONJUNTO PRE-MOLDADO COMPOSTO POR GRELHA (0,99 X 0,45 M), QUADRO (1,10 X 0,52 M) E CANTONEIRA (1,10 X 0,35 M), EM CONCRETO ARMADO, COM FCK DE 21 MPA</t>
  </si>
  <si>
    <t>S43441</t>
  </si>
  <si>
    <t>ANEL EM CONCRETO ARMADO, LISO, PARA POCOS DE INSPECAO, COM FUNDO, DIAMETRO INTERNO DE 0,60 M E ALTURA DE 0,50 M</t>
  </si>
  <si>
    <t>S43442</t>
  </si>
  <si>
    <t>ANEL EM CONCRETO ARMADO, LISO, PARA POCOS DE VISITAS, POCOS DE INSPECAO, FOSSAS SEPTICAS E SUMIDOUROS, COM FUNDO, DIAMETRO INTERNO DE 0,80 M E ALTURA DE 0,50 M</t>
  </si>
  <si>
    <t>S43443</t>
  </si>
  <si>
    <t>ANEL EM CONCRETO ARMADO, LISO, PARA POCOS DE VISITAS, POCOS DE INSPECAO, FOSSAS SEPTICAS E SUMIDOUROS, COM FUNDO, DIAMETRO INTERNO DE 1,00 M E ALTURA DE 0,50 M</t>
  </si>
  <si>
    <t>S43444</t>
  </si>
  <si>
    <t>ANEL EM CONCRETO ARMADO, LISO, PARA POCOS DE VISITA, POCOS DE INSPECAO, FOSSAS SEPTICAS E SUMIDOUROS, COM FUNDO, DIAMETRO INTERNO DE 1,20 M E ALTURA DE 0,75 M</t>
  </si>
  <si>
    <t>S43445</t>
  </si>
  <si>
    <t>ANEL EM CONCRETO ARMADO, LISO, PARA, POCOS DE VISITA, POCOS DE INSPECAO, FOSSAS SEPTICAS E SUMIDOUROS, COM FUNDO, DIAMETRO INTERNO DE 1,50 M E ALTURA DE 1,00 M</t>
  </si>
  <si>
    <t>S43446</t>
  </si>
  <si>
    <t>ANEL EM CONCRETO ARMADO, PERFURADO, PARA FOSSAS SEPTICAS E SUMIDOUROS, SEM FUNDO, DIAMETRO INTERNO DE 2,00 M E ALTURA DE 0,50 M</t>
  </si>
  <si>
    <t>S43447</t>
  </si>
  <si>
    <t>ANEL EM CONCRETO ARMADO, PERFURADO, PARA FOSSAS SEPTICAS E SUMIDOUROS, SEM FUNDO, DIAMETRO INTERNO DE 2,50 M E ALTURA DE 0,50 M</t>
  </si>
  <si>
    <t>S43448</t>
  </si>
  <si>
    <t>ANEL EM CONCRETO ARMADO, PERFURADO, PARA FOSSAS SEPTICAS E SUMIDOUROS, SEM FUNDO, DIAMETRO INTERNO DE 3,00 M E ALTURA DE 0,50 M</t>
  </si>
  <si>
    <t>S43458</t>
  </si>
  <si>
    <t>S43459</t>
  </si>
  <si>
    <t>S4346</t>
  </si>
  <si>
    <t>S43460</t>
  </si>
  <si>
    <t>S43461</t>
  </si>
  <si>
    <t>S43462</t>
  </si>
  <si>
    <t>S43463</t>
  </si>
  <si>
    <t>S43464</t>
  </si>
  <si>
    <t>S43465</t>
  </si>
  <si>
    <t>S43466</t>
  </si>
  <si>
    <t>S43467</t>
  </si>
  <si>
    <t>S43468</t>
  </si>
  <si>
    <t>S43469</t>
  </si>
  <si>
    <t>S43470</t>
  </si>
  <si>
    <t>S43471</t>
  </si>
  <si>
    <t>S43472</t>
  </si>
  <si>
    <t>S43473</t>
  </si>
  <si>
    <t>S43474</t>
  </si>
  <si>
    <t>S43475</t>
  </si>
  <si>
    <t>S43476</t>
  </si>
  <si>
    <t>S43477</t>
  </si>
  <si>
    <t>S43478</t>
  </si>
  <si>
    <t>S43479</t>
  </si>
  <si>
    <t>S43480</t>
  </si>
  <si>
    <t>S43481</t>
  </si>
  <si>
    <t>S43482</t>
  </si>
  <si>
    <t>S43483</t>
  </si>
  <si>
    <t>S43484</t>
  </si>
  <si>
    <t>S43485</t>
  </si>
  <si>
    <t>S43486</t>
  </si>
  <si>
    <t>S43487</t>
  </si>
  <si>
    <t>S43488</t>
  </si>
  <si>
    <t>S43489</t>
  </si>
  <si>
    <t>S43490</t>
  </si>
  <si>
    <t>S43491</t>
  </si>
  <si>
    <t>S43492</t>
  </si>
  <si>
    <t>S43493</t>
  </si>
  <si>
    <t>S43494</t>
  </si>
  <si>
    <t>S43495</t>
  </si>
  <si>
    <t>S43496</t>
  </si>
  <si>
    <t>S43497</t>
  </si>
  <si>
    <t>S43498</t>
  </si>
  <si>
    <t>S43499</t>
  </si>
  <si>
    <t>S4350</t>
  </si>
  <si>
    <t>S43500</t>
  </si>
  <si>
    <t>S43501</t>
  </si>
  <si>
    <t>S43502</t>
  </si>
  <si>
    <t>S43503</t>
  </si>
  <si>
    <t>S43504</t>
  </si>
  <si>
    <t>S43505</t>
  </si>
  <si>
    <t>S4351</t>
  </si>
  <si>
    <t>S4354</t>
  </si>
  <si>
    <t>S43543</t>
  </si>
  <si>
    <t>LUMINARIA TIPO TARTARUGA A PROVA DE TEMPO, GASES, VAPOR E PO, EM ALUMINIO, COM GRADE, BASE E27, POTENCIA MAXIMA 100 W (NAO INCLUI LAMPADA)</t>
  </si>
  <si>
    <t>S4356</t>
  </si>
  <si>
    <t>S43575</t>
  </si>
  <si>
    <t>S43577</t>
  </si>
  <si>
    <t>S4358</t>
  </si>
  <si>
    <t>S43583</t>
  </si>
  <si>
    <t>S43586</t>
  </si>
  <si>
    <t>S43587</t>
  </si>
  <si>
    <t>S43589</t>
  </si>
  <si>
    <t>S43590</t>
  </si>
  <si>
    <t>S43595</t>
  </si>
  <si>
    <t>S43596</t>
  </si>
  <si>
    <t>S436</t>
  </si>
  <si>
    <t>PARAFUSO FRANCES M16 EM ACO GALVANIZADO, COMPRIMENTO = 150 MM, DIAMETRO = 16 MM, CABECA ABAULADA</t>
  </si>
  <si>
    <t>S43600</t>
  </si>
  <si>
    <t>S43601</t>
  </si>
  <si>
    <t>S43603</t>
  </si>
  <si>
    <t>S43604</t>
  </si>
  <si>
    <t>S43605</t>
  </si>
  <si>
    <t>S43606</t>
  </si>
  <si>
    <t>S43607</t>
  </si>
  <si>
    <t>S43608</t>
  </si>
  <si>
    <t>S43609</t>
  </si>
  <si>
    <t>S43610</t>
  </si>
  <si>
    <t>S43611</t>
  </si>
  <si>
    <t>S43612</t>
  </si>
  <si>
    <t>S43613</t>
  </si>
  <si>
    <t>S43614</t>
  </si>
  <si>
    <t>S43617</t>
  </si>
  <si>
    <t>S43618</t>
  </si>
  <si>
    <t>S43621</t>
  </si>
  <si>
    <t>S43624</t>
  </si>
  <si>
    <t>S43625</t>
  </si>
  <si>
    <t>S43626</t>
  </si>
  <si>
    <t>S43628</t>
  </si>
  <si>
    <t>S43647</t>
  </si>
  <si>
    <t>S43648</t>
  </si>
  <si>
    <t>S43649</t>
  </si>
  <si>
    <t>S43650</t>
  </si>
  <si>
    <t>S43651</t>
  </si>
  <si>
    <t>S43652</t>
  </si>
  <si>
    <t>S43653</t>
  </si>
  <si>
    <t>S43657</t>
  </si>
  <si>
    <t>S43665</t>
  </si>
  <si>
    <t>PERFIL "U" SIMPLES, EM CHAPA DOBRADA DE ACO LAMINADO, E = 4,75 MM, H = 100 MM, L = 75 MM (8,74 KG/M)</t>
  </si>
  <si>
    <t>S43667</t>
  </si>
  <si>
    <t>CHAPA DE ACO GROSSA, ASTM A36, E = 1" (25,40 MM) 199,18 KG/M2</t>
  </si>
  <si>
    <t>S43668</t>
  </si>
  <si>
    <t>CHAPA DE ACO GALVANIZADA BITOLA GSG 20, E = 0,95 MM (7,60 KG/M2)</t>
  </si>
  <si>
    <t>S43677</t>
  </si>
  <si>
    <t>S43678</t>
  </si>
  <si>
    <t>S43679</t>
  </si>
  <si>
    <t>S43680</t>
  </si>
  <si>
    <t>S43681</t>
  </si>
  <si>
    <t>S43682</t>
  </si>
  <si>
    <t>PERFIL "U" SIMPLES, EM CHAPA DOBRADA DE ACO LAMINADO, E = 3 MM, H = 200 MM, L = 50 MM (6,83 KG/M)</t>
  </si>
  <si>
    <t>S437</t>
  </si>
  <si>
    <t>PARAFUSO M16 EM ACO GALVANIZADO, COMPRIMENTO = 400 MM, DIAMETRO = 16 MM, ROSCA DUPLA</t>
  </si>
  <si>
    <t>S43701</t>
  </si>
  <si>
    <t>CHAPA/BOBINA LISA EM ALUMINIO, LIGA 1.200 - H14, QUALQUER ESPESSURA, QUALQUER LARGURA</t>
  </si>
  <si>
    <t>S4374</t>
  </si>
  <si>
    <t>S43740</t>
  </si>
  <si>
    <t>S43741</t>
  </si>
  <si>
    <t>S43742</t>
  </si>
  <si>
    <t>S4375</t>
  </si>
  <si>
    <t>S4376</t>
  </si>
  <si>
    <t>S4377</t>
  </si>
  <si>
    <t>S43776</t>
  </si>
  <si>
    <t>S43777</t>
  </si>
  <si>
    <t>S4379</t>
  </si>
  <si>
    <t>S4380</t>
  </si>
  <si>
    <t>S4382</t>
  </si>
  <si>
    <t>S4383</t>
  </si>
  <si>
    <t>S43832</t>
  </si>
  <si>
    <t>S43833</t>
  </si>
  <si>
    <t>S43834</t>
  </si>
  <si>
    <t>S43835</t>
  </si>
  <si>
    <t>S43836</t>
  </si>
  <si>
    <t>S43837</t>
  </si>
  <si>
    <t>S43838</t>
  </si>
  <si>
    <t>S4384</t>
  </si>
  <si>
    <t>S4385</t>
  </si>
  <si>
    <t>S43886</t>
  </si>
  <si>
    <t>PARAFUSO M16 EM ACO GALVANIZADO, COMPRIMENTO = 300 MM, DIAMETRO = 16 MM, ROSCA MAQUINA, CABECA QUADRADA</t>
  </si>
  <si>
    <t>S4396</t>
  </si>
  <si>
    <t>S4397</t>
  </si>
  <si>
    <t>S43971</t>
  </si>
  <si>
    <t>S43972</t>
  </si>
  <si>
    <t>S43973</t>
  </si>
  <si>
    <t>S43977</t>
  </si>
  <si>
    <t>S43978</t>
  </si>
  <si>
    <t>S43979</t>
  </si>
  <si>
    <t>S43980</t>
  </si>
  <si>
    <t>S43981</t>
  </si>
  <si>
    <t>S43982</t>
  </si>
  <si>
    <t>S4400</t>
  </si>
  <si>
    <t>S44002</t>
  </si>
  <si>
    <t>S44003</t>
  </si>
  <si>
    <t>S44019</t>
  </si>
  <si>
    <t>S44020</t>
  </si>
  <si>
    <t>S44045</t>
  </si>
  <si>
    <t>S44053</t>
  </si>
  <si>
    <t>S44054</t>
  </si>
  <si>
    <t>S44056</t>
  </si>
  <si>
    <t>CAMINHAO TOCO, PESO BRUTO TOTAL 10700 KG, CARGA UTIL MAXIMA 7400 KG, DISTANCIA ENTRE EIXOS 4,00 M, POTENCIA 175 CV (INCLUI CABINE E CHASSI, NAO INCLUI CARROCERIA)</t>
  </si>
  <si>
    <t>S44057</t>
  </si>
  <si>
    <t>CAMINHAO TOCO, PESO BRUTO TOTAL 13200 KG, CARGA UTIL MAXIMA 9200 KG, DISTANCIA ENTRE EIXOS 3,31 M, POTENCIA 175 CV (INCLUI CABINE E CHASSI, NAO INCLUI CARROCERIA)</t>
  </si>
  <si>
    <t>S44058</t>
  </si>
  <si>
    <t>CAMINHAO TOCO, PESO BRUTO TOTAL 16000 KG, CARGA UTIL MAXIMA 10830 KG, DISTANCIA ENTRE EIXOS 3,56 M, POTENCIA 226 CV (INCLUI CABINE E CHASSI, NAO INCLUI CARROCERIA)</t>
  </si>
  <si>
    <t>S44059</t>
  </si>
  <si>
    <t>CAMINHAO TOCO, PESO BRUTO TOTAL 8500 KG, CARGA UTIL MAXIMA 5600 KG, DISTANCIA ENTRE EIXOS 3,40 M, POTENCIA 167 CV (INCLUI CABINE E CHASSI, NAO INCLUI CARROCERIA)</t>
  </si>
  <si>
    <t>S44060</t>
  </si>
  <si>
    <t>CAMINHAO TRUCADO, PESO BRUTO TOTAL 23000 KG, CARGA UTIL MAXIMA 15460 KG, DISTANCIA ENTRE EIXOS 4,80 M, POTENCIA 286 CV (INCLUI CABINE E CHASSI, NAO INCLUI CARROCERIA)</t>
  </si>
  <si>
    <t>S44061</t>
  </si>
  <si>
    <t>CAMINHAO TRUCADO, PESO BRUTO TOTAL 23000 KG, CARGA UTIL MAXIMA 16540 KG, DISTANCIA ENTRE EIXOS 4,80 M, POTENCIA 256 CV (INCLUI CABINE E CHASSI, NAO INCLUI CARROCERIA)</t>
  </si>
  <si>
    <t>S44072</t>
  </si>
  <si>
    <t>S44073</t>
  </si>
  <si>
    <t>S44074</t>
  </si>
  <si>
    <t>S4408</t>
  </si>
  <si>
    <t>S441</t>
  </si>
  <si>
    <t>PARAFUSO M16 EM ACO GALVANIZADO, COMPRIMENTO = 150 MM, DIAMETRO = 16 MM, ROSCA MAQUINA, CABECA QUADRADA</t>
  </si>
  <si>
    <t>S4412</t>
  </si>
  <si>
    <t>S4415</t>
  </si>
  <si>
    <t>S4417</t>
  </si>
  <si>
    <t>S44171</t>
  </si>
  <si>
    <t>S44172</t>
  </si>
  <si>
    <t>S44173</t>
  </si>
  <si>
    <t>S44174</t>
  </si>
  <si>
    <t>S44175</t>
  </si>
  <si>
    <t>S44176</t>
  </si>
  <si>
    <t>S44177</t>
  </si>
  <si>
    <t>PARAFUSO FRANCES M16 EM ACO GALVANIZADO, COMPRIMENTO = 45 MM, DIAMETRO = 16 MM, CABECA ABAULADA</t>
  </si>
  <si>
    <t>S44247</t>
  </si>
  <si>
    <t>S44248</t>
  </si>
  <si>
    <t>S44249</t>
  </si>
  <si>
    <t>S4425</t>
  </si>
  <si>
    <t>S44250</t>
  </si>
  <si>
    <t>S44251</t>
  </si>
  <si>
    <t>S44252</t>
  </si>
  <si>
    <t>S44253</t>
  </si>
  <si>
    <t>S44254</t>
  </si>
  <si>
    <t>S44255</t>
  </si>
  <si>
    <t>S44256</t>
  </si>
  <si>
    <t>S44257</t>
  </si>
  <si>
    <t>S44258</t>
  </si>
  <si>
    <t>S44259</t>
  </si>
  <si>
    <t>S44260</t>
  </si>
  <si>
    <t>S44261</t>
  </si>
  <si>
    <t>S44263</t>
  </si>
  <si>
    <t>S44274</t>
  </si>
  <si>
    <t>S44281</t>
  </si>
  <si>
    <t>S4430</t>
  </si>
  <si>
    <t>S44305</t>
  </si>
  <si>
    <t>S44313</t>
  </si>
  <si>
    <t>S44315</t>
  </si>
  <si>
    <t>S44324</t>
  </si>
  <si>
    <t>S44326</t>
  </si>
  <si>
    <t>S44327</t>
  </si>
  <si>
    <t>S44329</t>
  </si>
  <si>
    <t>S4433</t>
  </si>
  <si>
    <t>S44330</t>
  </si>
  <si>
    <t>S44331</t>
  </si>
  <si>
    <t>S4437</t>
  </si>
  <si>
    <t>S44388</t>
  </si>
  <si>
    <t>S44389</t>
  </si>
  <si>
    <t>S44390</t>
  </si>
  <si>
    <t>S44391</t>
  </si>
  <si>
    <t>S44392</t>
  </si>
  <si>
    <t>S44396</t>
  </si>
  <si>
    <t>S44397</t>
  </si>
  <si>
    <t>S44399</t>
  </si>
  <si>
    <t>S444</t>
  </si>
  <si>
    <t>S44400</t>
  </si>
  <si>
    <t>S44457</t>
  </si>
  <si>
    <t>S44458</t>
  </si>
  <si>
    <t>S44459</t>
  </si>
  <si>
    <t>S44460</t>
  </si>
  <si>
    <t>S44461</t>
  </si>
  <si>
    <t>S44462</t>
  </si>
  <si>
    <t>S44463</t>
  </si>
  <si>
    <t>S44464</t>
  </si>
  <si>
    <t>S44465</t>
  </si>
  <si>
    <t>S44466</t>
  </si>
  <si>
    <t>S44467</t>
  </si>
  <si>
    <t>S44468</t>
  </si>
  <si>
    <t>S44469</t>
  </si>
  <si>
    <t>USINA DE ASFALTO, GRAVIMETRICA, CAPACIDADE DE 150 T/H, POTENCIA DE 400  KW</t>
  </si>
  <si>
    <t>S44470</t>
  </si>
  <si>
    <t>VIBROACABADORA DE ASFALTO SOBRE ESTEIRAS, LARG. PAVIM. 2,13 M A 4,55 M, POT. 74 KW/ 100 HP, CAP. 400  T/ H</t>
  </si>
  <si>
    <t>S44471</t>
  </si>
  <si>
    <t>PORTA DENTE PARA  FRESADORA</t>
  </si>
  <si>
    <t>S44472</t>
  </si>
  <si>
    <t>DENTE PARA  FRESADORA</t>
  </si>
  <si>
    <t>S44473</t>
  </si>
  <si>
    <t>APOIO DO PORTA DENTE PARA FRESADORA DE  ASFALTO</t>
  </si>
  <si>
    <t>S44474</t>
  </si>
  <si>
    <t>GUINDASTE HIDRAULICO AUTOPROPELIDO, COM LANCA TELESCOPICA 40 M, CAPACIDADE MAXIMA 60 T, POTENCIA 260 KW, TRACAO  6 X 6</t>
  </si>
  <si>
    <t>S44475</t>
  </si>
  <si>
    <t>GUINDASTE HIDRAULICO AUTOPROPELIDO, COM LANCA TELESCOPICA 28,80 M, CAPACIDADE MAXIMA 30 T, POTENCIA 97 KW, TRACAO  4 X 4</t>
  </si>
  <si>
    <t>S44476</t>
  </si>
  <si>
    <t>S44477</t>
  </si>
  <si>
    <t>S44478</t>
  </si>
  <si>
    <t>S44479</t>
  </si>
  <si>
    <t>S4448</t>
  </si>
  <si>
    <t>S44480</t>
  </si>
  <si>
    <t>S44481</t>
  </si>
  <si>
    <t>GRANALHA DE ACO, ESFERICA (SHOT), PARA JATEAMENTO, PENEIRA 1,19 A 1,00 MM  (SAE S390)</t>
  </si>
  <si>
    <t>S44489</t>
  </si>
  <si>
    <t>S44490</t>
  </si>
  <si>
    <t>GUINDASTE HIDRAULICO AUTOPROPELIDO, COM LANCA TELESCOPICA 50 M, CAPACIDADE MAXIMA 100 T, POTENCIA 350 KW,  TRACAO 10 X 6</t>
  </si>
  <si>
    <t>S44491</t>
  </si>
  <si>
    <t>VIBROACABADORA DE ASFALTO SOBRE ESTEIRAS, LARG. PAVIM. MAX. 8,00 M, POT. 100 KW/ 134 HP, CAP.  600 T/ H</t>
  </si>
  <si>
    <t>S44492</t>
  </si>
  <si>
    <t>S44493</t>
  </si>
  <si>
    <t>S44494</t>
  </si>
  <si>
    <t>S44495</t>
  </si>
  <si>
    <t>S44496</t>
  </si>
  <si>
    <t>S44497</t>
  </si>
  <si>
    <t>S44498</t>
  </si>
  <si>
    <t>AQUECEDOR DE OLEO BPF (FLUIDO) TERMICO, CAPACIDADE DE 300.000  KCAL/H</t>
  </si>
  <si>
    <t>S44499</t>
  </si>
  <si>
    <t>S445</t>
  </si>
  <si>
    <t>S44500</t>
  </si>
  <si>
    <t>S44501</t>
  </si>
  <si>
    <t>S44503</t>
  </si>
  <si>
    <t>S44504</t>
  </si>
  <si>
    <t>MANTA TERMOPLASTICA, PEAD, GEOMEMBRANA LISA, E = 0,50 MM (NBR 15352)</t>
  </si>
  <si>
    <t>S44505</t>
  </si>
  <si>
    <t>MANTA TERMOPLASTICA, PEAD, GEOMEMBRANA LISA, E = 0,75 MM (NBR 15352)</t>
  </si>
  <si>
    <t>S44506</t>
  </si>
  <si>
    <t>MANTA TERMOPLASTICA, PEAD, GEOMEMBRANA LISA, E = 0,80 MM (NBR 15352)</t>
  </si>
  <si>
    <t>S44507</t>
  </si>
  <si>
    <t>MANTA TERMOPLASTICA, PEAD, GEOMEMBRANA LISA, E = 1,00 MM (NBR 15352)</t>
  </si>
  <si>
    <t>S44508</t>
  </si>
  <si>
    <t>MANTA TERMOPLASTICA, PEAD, GEOMEMBRANA LISA, E = 1,50 MM (NBR 15352)</t>
  </si>
  <si>
    <t>S44509</t>
  </si>
  <si>
    <t>MANTA TERMOPLASTICA, PEAD, GEOMEMBRANA LISA, E = 2,00 MM (NBR 15352)</t>
  </si>
  <si>
    <t>S44510</t>
  </si>
  <si>
    <t>MANTA TERMOPLASTICA, PEAD, GEOMEMBRANA LISA, E = 2,50 MM (NBR 15352)</t>
  </si>
  <si>
    <t>S44511</t>
  </si>
  <si>
    <t>MANTA TERMOPLASTICA, PEAD, GEOMEMBRANA TEXTURIZADA EM AMBAS AS FACES, E = 1,50 MM ( NBR 15352)</t>
  </si>
  <si>
    <t>S44512</t>
  </si>
  <si>
    <t>MANTA TERMOPLASTICA, PEAD, GEOMEMBRANA TEXTURIZADA EM AMBAS AS FACES, E = 0,50 MM ( NBR 15352)</t>
  </si>
  <si>
    <t>S44513</t>
  </si>
  <si>
    <t>MANTA TERMOPLASTICA, PEAD, GEOMEMBRANA TEXTURIZADA EM AMBAS AS FACES, E = 0,75 MM ( NBR 15352)</t>
  </si>
  <si>
    <t>S44514</t>
  </si>
  <si>
    <t>MANTA TERMOPLASTICA, PEAD, GEOMEMBRANA TEXTURIZADA EM AMBAS AS FACES, E = 0,80 MM ( NBR 15352)</t>
  </si>
  <si>
    <t>S44515</t>
  </si>
  <si>
    <t>MANTA TERMOPLASTICA, PEAD, GEOMEMBRANA TEXTURIZADA EM AMBAS AS FACES, E = 1,00 MM ( NBR 15352)</t>
  </si>
  <si>
    <t>S44516</t>
  </si>
  <si>
    <t>MANTA TERMOPLASTICA, PEAD, GEOMEMBRANA TEXTURIZADA EM AMBAS AS FACES, E = 2,00 MM ( NBR 15352)</t>
  </si>
  <si>
    <t>S44517</t>
  </si>
  <si>
    <t>MANTA TERMOPLASTICA, PEAD, GEOMEMBRANA TEXTURIZADA EM AMBAS AS FACES, E = 2,50 MM ( NBR 15352)</t>
  </si>
  <si>
    <t>S44519</t>
  </si>
  <si>
    <t>TUBO DE POLIETILENO DE ALTA DENSIDADE, PEAD, PE-80, DE= 315 MM X 28,7 MM PAREDE, (SDR 11 - PN 12,5) PARA REDE DE AGUA OU ESGOTO (NBR 15561)</t>
  </si>
  <si>
    <t>S44520</t>
  </si>
  <si>
    <t>TUBO DE POLIETILENO DE ALTA DENSIDADE, PEAD, PE-80, DE= 400 MM X 36,4 MM PAREDE, (SDR 11 - PN 12,5) PARA REDE DE AGUA OU ESGOTO (NBR 15561)</t>
  </si>
  <si>
    <t>S44521</t>
  </si>
  <si>
    <t>TUBO DE POLIETILENO DE ALTA DENSIDADE, PEAD, PE-80, DE= 50 MM X 4,6 MM PAREDE, (SDR 11 - PN 12,5) PARA REDE DE AGUA OU ESGOTO ( NBR 15561)</t>
  </si>
  <si>
    <t>S44522</t>
  </si>
  <si>
    <t>TUBO DE POLIETILENO DE ALTA DENSIDADE, PEAD, PE-80, DE= 500 MM X 45,5 MM PAREDE, (SDR 11 - PN 12,5) PARA REDE DE AGUA OU ESGOTO (NBR 15561)</t>
  </si>
  <si>
    <t>S44523</t>
  </si>
  <si>
    <t>TUBO DE POLIETILENO DE ALTA DENSIDADE, PEAD, PE-80, DE= 630 MM X 57,3 MM PAREDE (SDR 11 - PN 12,5) PARA REDE DE AGUA OU ESGOTO (NBR 15561)</t>
  </si>
  <si>
    <t>S44524</t>
  </si>
  <si>
    <t>TUBO DE POLIETILENO DE ALTA DENSIDADE, PEAD, PE-80, DE= 75 MM X 6,9 MM PAREDE, (SRD 11 - PN 12,5) PARA REDE DE AGUA OU ESGOTO (NBR 15561)</t>
  </si>
  <si>
    <t>S44525</t>
  </si>
  <si>
    <t>TUBO DE POLIETILENO DE ALTA DENSIDADE, PEAD, PE-80, DE = 900 MM X 34,7 MM PAREDE, (SDR 26 - PN 05) PARA REDE DE AGUA OU ESGOTO (NBR 15561)</t>
  </si>
  <si>
    <t>S44526</t>
  </si>
  <si>
    <t>TUBO DE POLIETILENO DE ALTA DENSIDADE, PEAD, PE-80, DE = 110 MM X 10,0 MM PAREDE, (SDR 11 - PN 12,5) PARA REDE DE AGUA OU ESGOTO (NBR 15561)</t>
  </si>
  <si>
    <t>S44527</t>
  </si>
  <si>
    <t>TUBO DE POLIETILENO DE ALTA DENSIDADE, PEAD, PE-80, DE= 730 MM X 34,1 MM PAREDE, (SDR 21 - PN 06) PARA REDE DE AGUA OU ESGOTO (NBR 15561)</t>
  </si>
  <si>
    <t>S44528</t>
  </si>
  <si>
    <t>S44529</t>
  </si>
  <si>
    <t>S44530</t>
  </si>
  <si>
    <t>S44531</t>
  </si>
  <si>
    <t>S44532</t>
  </si>
  <si>
    <t>S44533</t>
  </si>
  <si>
    <t>S44534</t>
  </si>
  <si>
    <t>S44535</t>
  </si>
  <si>
    <t>S44536</t>
  </si>
  <si>
    <t>S44537</t>
  </si>
  <si>
    <t>S44538</t>
  </si>
  <si>
    <t>S44539</t>
  </si>
  <si>
    <t>S44540</t>
  </si>
  <si>
    <t>S44541</t>
  </si>
  <si>
    <t>S44542</t>
  </si>
  <si>
    <t>TUBO DE POLIETILENO DE ALTA DENSIDADE, PEAD, PE-80, DE= 800 MM X 30,8 MM PAREDE, (SDR 26 - PN 05) PARA REDE DE AGUA OU ESGOTO (NBR 15561)</t>
  </si>
  <si>
    <t>S44543</t>
  </si>
  <si>
    <t>TUBO DE POLIETILENO DE ALTA DENSIDADE, PEAD, PE-80, DE = 1000 MM X 38,5 MM PAREDE, (SDR 26 - PN 05) PARA REDE DE AGUA OU ESGOTO (NBR 15561)</t>
  </si>
  <si>
    <t>S44545</t>
  </si>
  <si>
    <t>TUBO DE POLIETILENO DE ALTA DENSIDADE, PEAD, PE-80, DE = 160 MM X 14,6 MM PAREDE, (SDR 11 - PN 12,5) PARA REDE DE AGUA OU ESGOTO (NBR 15561)</t>
  </si>
  <si>
    <t>S44547</t>
  </si>
  <si>
    <t>TUBO DE POLIETILENO DE ALTA DENSIDADE, PEAD, PE-80, DE= 200 MM X 18,2 MM PAREDE, (SDR 11 - PN 12,5) PARA REDE DE AGUA OU ESGOTO (NBR 15561)</t>
  </si>
  <si>
    <t>S44548</t>
  </si>
  <si>
    <t>S44549</t>
  </si>
  <si>
    <t>S44550</t>
  </si>
  <si>
    <t>S4460</t>
  </si>
  <si>
    <t>S4465</t>
  </si>
  <si>
    <t>S44699</t>
  </si>
  <si>
    <t>S4470</t>
  </si>
  <si>
    <t>S4472</t>
  </si>
  <si>
    <t>S4481</t>
  </si>
  <si>
    <t>S44812</t>
  </si>
  <si>
    <t>S4491</t>
  </si>
  <si>
    <t>S44919</t>
  </si>
  <si>
    <t>ESPACADOR/SEPARADOR /CENTRALIZADOR DE BARRA DE ACO, PLASTICO, (CHUMBADOR TIPO CARAMBOLA - CB), DIAMETRO INTERNO ENTRE 25 A 32 MM</t>
  </si>
  <si>
    <t>S44945</t>
  </si>
  <si>
    <t>S44954</t>
  </si>
  <si>
    <t>S44955</t>
  </si>
  <si>
    <t>S4500</t>
  </si>
  <si>
    <t>S45080</t>
  </si>
  <si>
    <t>S4509</t>
  </si>
  <si>
    <t>S45112</t>
  </si>
  <si>
    <t>S4512</t>
  </si>
  <si>
    <t>S4513</t>
  </si>
  <si>
    <t>S45146</t>
  </si>
  <si>
    <t>S4517</t>
  </si>
  <si>
    <t>S45190</t>
  </si>
  <si>
    <t>S45191</t>
  </si>
  <si>
    <t>S46</t>
  </si>
  <si>
    <t>ADAPTADOR PVC PBA, BOLSA/ROSCA, JE, DN 75 / DE 85 MM</t>
  </si>
  <si>
    <t>S47</t>
  </si>
  <si>
    <t>ADAPTADOR PVC PBA, BOLSA/ROSCA, JE, DN 100 / DE 110 MM</t>
  </si>
  <si>
    <t>S4704</t>
  </si>
  <si>
    <t>PEDRA ARDOSIA, CINZA, 20 X 40 CM, E= *1 CM</t>
  </si>
  <si>
    <t>S4708</t>
  </si>
  <si>
    <t>PEDRA PORTUGUESA OU PETIT PAVE, BRANCA OU PRETA</t>
  </si>
  <si>
    <t>S4710</t>
  </si>
  <si>
    <t>PEDRA QUARTZITO OU CALCARIO LAMINADO, SERRADA, TIPO CARIRI, ITACOLOMI, LAGOA SANTA, LUMINARIA, PIRENOPOLIS, SAO TOME OU OUTRAS SIMILARES DA REGIAO, *20 X *40 CM, E= *1,5 A *2,5 CM</t>
  </si>
  <si>
    <t>S4712</t>
  </si>
  <si>
    <t>PEDRA QUARTZITO OU CALCARIO LAMINADO, CACO, TIPO CARIRI, ITACOLOMI, LAGOA SANTA, LUMINARIA, PIRENOPOLIS, SAO TOME OU OUTRAS SIMILARES DA REGIAO, E= *1,5 A *2,5 CM</t>
  </si>
  <si>
    <t>S4718</t>
  </si>
  <si>
    <t>S4720</t>
  </si>
  <si>
    <t>S4721</t>
  </si>
  <si>
    <t>S4722</t>
  </si>
  <si>
    <t>S4730</t>
  </si>
  <si>
    <t>S4734</t>
  </si>
  <si>
    <t>S4741</t>
  </si>
  <si>
    <t>S4750</t>
  </si>
  <si>
    <t>S4751</t>
  </si>
  <si>
    <t>S4752</t>
  </si>
  <si>
    <t>S4755</t>
  </si>
  <si>
    <t>S4759</t>
  </si>
  <si>
    <t>S4760</t>
  </si>
  <si>
    <t>CANTONEIRA ACO ABAS IGUAIS (QUALQUER BITOLA), ESPESSURA ENTRE 1/8" E 1/4"</t>
  </si>
  <si>
    <t>S4783</t>
  </si>
  <si>
    <t>S4785</t>
  </si>
  <si>
    <t>S4786</t>
  </si>
  <si>
    <t>PISO EM GRANILITE, MARMORITE OU GRANITINA, AGREGADO COR PRETO, CINZA, PALHA OU BRANCO, E= *8* MM (INCLUSO EXECUCAO)</t>
  </si>
  <si>
    <t>S4790</t>
  </si>
  <si>
    <t>S4791</t>
  </si>
  <si>
    <t>S4792</t>
  </si>
  <si>
    <t>S4794</t>
  </si>
  <si>
    <t>S4795</t>
  </si>
  <si>
    <t>S4796</t>
  </si>
  <si>
    <t>S48</t>
  </si>
  <si>
    <t>ADAPTADOR PVC PBA, BOLSA/ROSCA, JE, DN 50 / DE 60 MM</t>
  </si>
  <si>
    <t>S4800</t>
  </si>
  <si>
    <t>S4801</t>
  </si>
  <si>
    <t>S4803</t>
  </si>
  <si>
    <t>S4804</t>
  </si>
  <si>
    <t>S4806</t>
  </si>
  <si>
    <t>S4812</t>
  </si>
  <si>
    <t>PLACA DE OBRA (PARA CONSTRUCAO CIVIL) EM CHAPA GALVANIZADA *N. 22*, ADESIVADA, DE *2,4 X 1,2* M (SEM POSTES PARA FIXACAO)</t>
  </si>
  <si>
    <t>S4814</t>
  </si>
  <si>
    <t>S4815</t>
  </si>
  <si>
    <t>S4818</t>
  </si>
  <si>
    <t>S4822</t>
  </si>
  <si>
    <t>S4823</t>
  </si>
  <si>
    <t>S4824</t>
  </si>
  <si>
    <t>S4825</t>
  </si>
  <si>
    <t>S4826</t>
  </si>
  <si>
    <t>S4828</t>
  </si>
  <si>
    <t>S4829</t>
  </si>
  <si>
    <t>S4888</t>
  </si>
  <si>
    <t>PLUG OU BUJAO DE FERRO GALVANIZADO, DE 1/2"</t>
  </si>
  <si>
    <t>S4889</t>
  </si>
  <si>
    <t>PLUG OU BUJAO DE FERRO GALVANIZADO, DE 3/4"</t>
  </si>
  <si>
    <t>S4890</t>
  </si>
  <si>
    <t>PLUG OU BUJAO DE FERRO GALVANIZADO, DE 1"</t>
  </si>
  <si>
    <t>S4891</t>
  </si>
  <si>
    <t>PLUG OU BUJAO DE FERRO GALVANIZADO, DE 2"</t>
  </si>
  <si>
    <t>S4892</t>
  </si>
  <si>
    <t>PLUG OU BUJAO DE FERRO GALVANIZADO, DE 3"</t>
  </si>
  <si>
    <t>S4893</t>
  </si>
  <si>
    <t>PLUG OU BUJAO DE FERRO GALVANIZADO, DE 1 1/2"</t>
  </si>
  <si>
    <t>S4894</t>
  </si>
  <si>
    <t>PLUG OU BUJAO DE FERRO GALVANIZADO, DE 1 1/4"</t>
  </si>
  <si>
    <t>S4902</t>
  </si>
  <si>
    <t>S4907</t>
  </si>
  <si>
    <t>S4910</t>
  </si>
  <si>
    <t>PORTA DE ENROLAR MANUAL COMPLETA, PERFIL MEIA CANA CEGA, EM ACO GALVANIZADO NATURAL, CHAPA NUMERO 24 (SEM INSTALACAO)</t>
  </si>
  <si>
    <t>S4911</t>
  </si>
  <si>
    <t>PORTA DE ENROLAR MANUAL COMPLETA, ARTICULADA RAIADA LARGA, EM ACO GALVANIZADO NATURAL, CHAPA NUMERO 24 (SEM INSTALACAO)</t>
  </si>
  <si>
    <t>S4914</t>
  </si>
  <si>
    <t>S4917</t>
  </si>
  <si>
    <t>S4922</t>
  </si>
  <si>
    <t>S4930</t>
  </si>
  <si>
    <t>S4943</t>
  </si>
  <si>
    <t>PORTA DE ENROLAR MANUAL COMPLETA, PERFIL MEIA CANA VAZADA TIJOLINHO, EM ACO GALVANIZADO NATURAL, CHAPA NUMERO 24 (SEM INSTALACAO)</t>
  </si>
  <si>
    <t>S4944</t>
  </si>
  <si>
    <t>PORTA GRADE DE ENROLAR MANUAL COMPLETA, PERFIL TUBULAR TIJOLINHO 3/4 ", EM ACO GALVANIZADO NATURAL (SEM INSTALACAO)</t>
  </si>
  <si>
    <t>S4948</t>
  </si>
  <si>
    <t>S4962</t>
  </si>
  <si>
    <t>S4964</t>
  </si>
  <si>
    <t>S4969</t>
  </si>
  <si>
    <t>S4977</t>
  </si>
  <si>
    <t>S4981</t>
  </si>
  <si>
    <t>S4982</t>
  </si>
  <si>
    <t>S4987</t>
  </si>
  <si>
    <t>S4989</t>
  </si>
  <si>
    <t>S4992</t>
  </si>
  <si>
    <t>S4998</t>
  </si>
  <si>
    <t>S5002</t>
  </si>
  <si>
    <t>S5020</t>
  </si>
  <si>
    <t>S5028</t>
  </si>
  <si>
    <t>S5031</t>
  </si>
  <si>
    <t>S5033</t>
  </si>
  <si>
    <t>POSTE DE CONCRETO ARMADO DE SECAO DUPLO T, EXTENSAO DE 9,00 M, RESISTENCIA DE 300 A 400 DAN, TIPO B OU D</t>
  </si>
  <si>
    <t>S5035</t>
  </si>
  <si>
    <t>POSTE DE CONCRETO ARMADO DE SECAO CIRCULAR, EXTENSAO DE 11,00 M, RESISTENCIA DE 300 A 400 DAN, TIPO C-17</t>
  </si>
  <si>
    <t>S5036</t>
  </si>
  <si>
    <t>POSTE DE CONCRETO ARMADO DE SECAO CIRCULAR, EXTENSAO DE 14,00 M, RESISTENCIA DE 300 A 400 DAN, TIPO C-17</t>
  </si>
  <si>
    <t>S5044</t>
  </si>
  <si>
    <t>POSTE DE CONCRETO ARMADO DE SECAO CIRCULAR, EXTENSAO DE 9,00 M, RESISTENCIA DE 200 A 300 DAN, TIPO C-14</t>
  </si>
  <si>
    <t>S5045</t>
  </si>
  <si>
    <t>POSTE DE CONCRETO ARMADO DE SECAO CIRCULAR, EXTENSAO DE 11,00 M, RESISTENCIA DE 200 A 300 DAN, TIPO C-14</t>
  </si>
  <si>
    <t>S5050</t>
  </si>
  <si>
    <t>POSTE CONICO CONTINUO EM ACO GALVANIZADO, RETO, FLANGEADO, H = 3 M, DIAMETRO INFERIOR = *95* MM</t>
  </si>
  <si>
    <t>S5051</t>
  </si>
  <si>
    <t>POSTE CONICO CONTINUO EM ACO GALVANIZADO, CURVO, BRACO SIMPLES, ENGASTADO, H = 9 M, DIAMETRO INFERIOR = *135* MM</t>
  </si>
  <si>
    <t>S5052</t>
  </si>
  <si>
    <t>POSTE CONICO CONTINUO EM ACO GALVANIZADO, CURVO, BRACO SIMPLES, FLANGEADO, H = 7 M, DIAMETRO INFERIOR = *125* MM</t>
  </si>
  <si>
    <t>S5057</t>
  </si>
  <si>
    <t>POSTE DE CONCRETO ARMADO DE SECAO DUPLO T, EXTENSAO DE 10,00 M, RESISTENCIA DE 300 A 400 DAN, TIPO B OU D</t>
  </si>
  <si>
    <t>S5059</t>
  </si>
  <si>
    <t>POSTE DE CONCRETO ARMADO DE SECAO CIRCULAR, EXTENSAO DE 9,00 M, RESISTENCIA DE 300 A 400 DAN, TIPO C-17</t>
  </si>
  <si>
    <t>S5061</t>
  </si>
  <si>
    <t>S5062</t>
  </si>
  <si>
    <t>S5063</t>
  </si>
  <si>
    <t>S5065</t>
  </si>
  <si>
    <t>S5066</t>
  </si>
  <si>
    <t>S5067</t>
  </si>
  <si>
    <t>S5068</t>
  </si>
  <si>
    <t>S5069</t>
  </si>
  <si>
    <t>S5070</t>
  </si>
  <si>
    <t>S5071</t>
  </si>
  <si>
    <t>S5072</t>
  </si>
  <si>
    <t>S5073</t>
  </si>
  <si>
    <t>S5074</t>
  </si>
  <si>
    <t>S5075</t>
  </si>
  <si>
    <t>S5076</t>
  </si>
  <si>
    <t>S5077</t>
  </si>
  <si>
    <t>S5078</t>
  </si>
  <si>
    <t>S5080</t>
  </si>
  <si>
    <t>S5085</t>
  </si>
  <si>
    <t>S5086</t>
  </si>
  <si>
    <t>S5088</t>
  </si>
  <si>
    <t>S509</t>
  </si>
  <si>
    <t>S5090</t>
  </si>
  <si>
    <t>S5091</t>
  </si>
  <si>
    <t>S5092</t>
  </si>
  <si>
    <t>S5093</t>
  </si>
  <si>
    <t>S510</t>
  </si>
  <si>
    <t>S5102</t>
  </si>
  <si>
    <t>S5103</t>
  </si>
  <si>
    <t>S5104</t>
  </si>
  <si>
    <t>S511</t>
  </si>
  <si>
    <t>S516</t>
  </si>
  <si>
    <t>S517</t>
  </si>
  <si>
    <t>S52</t>
  </si>
  <si>
    <t>ADAPTADOR PVC PBA, PONTA/ROSCA, JE, DN 50 / DE 60 MM</t>
  </si>
  <si>
    <t>S5318</t>
  </si>
  <si>
    <t>S532</t>
  </si>
  <si>
    <t>S5330</t>
  </si>
  <si>
    <t>S536</t>
  </si>
  <si>
    <t>S540</t>
  </si>
  <si>
    <t>S541</t>
  </si>
  <si>
    <t>S542</t>
  </si>
  <si>
    <t>S546</t>
  </si>
  <si>
    <t>S547</t>
  </si>
  <si>
    <t>S549</t>
  </si>
  <si>
    <t>S55</t>
  </si>
  <si>
    <t>ADAPTADOR DE COMPRESSAO EM POLIPROPILENO (PP), PARA TUBO EM PEAD, 20 MM X 1/2", PARA LIGACAO PREDIAL DE AGUA (NTS 179)</t>
  </si>
  <si>
    <t>S551</t>
  </si>
  <si>
    <t>S552</t>
  </si>
  <si>
    <t>S555</t>
  </si>
  <si>
    <t>S557</t>
  </si>
  <si>
    <t>S559</t>
  </si>
  <si>
    <t>S560</t>
  </si>
  <si>
    <t>S563</t>
  </si>
  <si>
    <t>S565</t>
  </si>
  <si>
    <t>S566</t>
  </si>
  <si>
    <t>S567</t>
  </si>
  <si>
    <t>S568</t>
  </si>
  <si>
    <t>S574</t>
  </si>
  <si>
    <t>S584</t>
  </si>
  <si>
    <t>S585</t>
  </si>
  <si>
    <t>S586</t>
  </si>
  <si>
    <t>S588</t>
  </si>
  <si>
    <t>S589</t>
  </si>
  <si>
    <t>S591</t>
  </si>
  <si>
    <t>S592</t>
  </si>
  <si>
    <t>S599</t>
  </si>
  <si>
    <t>S60</t>
  </si>
  <si>
    <t>ADAPTADOR PVC, COM REGISTRO, PARA PEAD, 20 MM X 3/4", PARA LIGACAO PREDIAL DE AGUA</t>
  </si>
  <si>
    <t>S6005</t>
  </si>
  <si>
    <t>S6006</t>
  </si>
  <si>
    <t>S6010</t>
  </si>
  <si>
    <t>S6011</t>
  </si>
  <si>
    <t>S6012</t>
  </si>
  <si>
    <t>S6013</t>
  </si>
  <si>
    <t>S6014</t>
  </si>
  <si>
    <t>S6015</t>
  </si>
  <si>
    <t>S6016</t>
  </si>
  <si>
    <t>S6017</t>
  </si>
  <si>
    <t>S6019</t>
  </si>
  <si>
    <t>S6020</t>
  </si>
  <si>
    <t>S6021</t>
  </si>
  <si>
    <t>S6024</t>
  </si>
  <si>
    <t>S6027</t>
  </si>
  <si>
    <t>S6028</t>
  </si>
  <si>
    <t>S6029</t>
  </si>
  <si>
    <t>S6031</t>
  </si>
  <si>
    <t>S6032</t>
  </si>
  <si>
    <t>S6033</t>
  </si>
  <si>
    <t>S6034</t>
  </si>
  <si>
    <t>S6036</t>
  </si>
  <si>
    <t>S6037</t>
  </si>
  <si>
    <t>S6038</t>
  </si>
  <si>
    <t>S6046</t>
  </si>
  <si>
    <t>S6067</t>
  </si>
  <si>
    <t>ROLO COMPACTADOR VIBRATORIO TANDEM, ACO LISO, POTENCIA 58 CV, PESO SEM/COM LASTRO 6,5/9,4 T, LARGURA DE TRABALHO 1,20 M</t>
  </si>
  <si>
    <t>S6069</t>
  </si>
  <si>
    <t>ROLO COMPACTADOR VIBRATORIO REBOCAVEL, CILINDRO DE ACO LISO, POTENCIA DE TRACAO DE 65 CV, PESO DE 4,7 T, IMPACTO DINAMICO TOTAL DE 18,3 T, LARGURA DO ROLO 1,67 M</t>
  </si>
  <si>
    <t>S6070</t>
  </si>
  <si>
    <t>ROLO COMPACTADOR VIBRATORIO PE DE CARNEIRO, COM CONTROLE REMOTO POR RADIO, POTENCIA 12,5 KW, PESO OPERACIONAL DE 1,675 T, LARGURA DE TRABALHO 0,85 M</t>
  </si>
  <si>
    <t>S6076</t>
  </si>
  <si>
    <t>SAIBRO PARA ARGAMASSA (COLETADO NO COMERCIO)</t>
  </si>
  <si>
    <t>S6077</t>
  </si>
  <si>
    <t>ARGILA OU BARRO PARA ATERRO/REATERRO (RETIRADO NA JAZIDA, SEM TRANSPORTE)</t>
  </si>
  <si>
    <t>S6079</t>
  </si>
  <si>
    <t>ARGILA, ARGILA VERMELHA OU ARGILA ARENOSA (RETIRADA NA JAZIDA, SEM TRANSPORTE)</t>
  </si>
  <si>
    <t>S6081</t>
  </si>
  <si>
    <t>ARGILA OU BARRO PARA ATERRO/REATERRO (COM TRANSPORTE ATE 10 KM)</t>
  </si>
  <si>
    <t>S6085</t>
  </si>
  <si>
    <t>S61</t>
  </si>
  <si>
    <t>ADAPTADOR DE COMPRESSAO EM POLIPROPILENO (PP), PARA TUBO EM PEAD, 20 MM X 3/4", PARA LIGACAO PREDIAL DE AGUA (NTS 179)</t>
  </si>
  <si>
    <t>S6110</t>
  </si>
  <si>
    <t>S6111</t>
  </si>
  <si>
    <t>S6114</t>
  </si>
  <si>
    <t>S6117</t>
  </si>
  <si>
    <t>S6121</t>
  </si>
  <si>
    <t>S6122</t>
  </si>
  <si>
    <t>S6127</t>
  </si>
  <si>
    <t>S6136</t>
  </si>
  <si>
    <t>S6138</t>
  </si>
  <si>
    <t>S6140</t>
  </si>
  <si>
    <t>S6141</t>
  </si>
  <si>
    <t>S6142</t>
  </si>
  <si>
    <t>S6145</t>
  </si>
  <si>
    <t>S6146</t>
  </si>
  <si>
    <t>S6149</t>
  </si>
  <si>
    <t>S6150</t>
  </si>
  <si>
    <t>S6153</t>
  </si>
  <si>
    <t>S6154</t>
  </si>
  <si>
    <t>S6155</t>
  </si>
  <si>
    <t>S6156</t>
  </si>
  <si>
    <t>S6157</t>
  </si>
  <si>
    <t>S6158</t>
  </si>
  <si>
    <t>S6160</t>
  </si>
  <si>
    <t>S6166</t>
  </si>
  <si>
    <t>S6175</t>
  </si>
  <si>
    <t>S6178</t>
  </si>
  <si>
    <t>S6180</t>
  </si>
  <si>
    <t>S6182</t>
  </si>
  <si>
    <t>S6186</t>
  </si>
  <si>
    <t>S6189</t>
  </si>
  <si>
    <t>S6193</t>
  </si>
  <si>
    <t>S6194</t>
  </si>
  <si>
    <t>S62</t>
  </si>
  <si>
    <t>ADAPTADOR DE COMPRESSAO EM POLIPROPILENO (PP), PARA TUBO EM PEAD, 32 MM X 1", PARA LIGACAO PREDIAL DE AGUA (NTS 179)</t>
  </si>
  <si>
    <t>S6212</t>
  </si>
  <si>
    <t>S6214</t>
  </si>
  <si>
    <t>S6240</t>
  </si>
  <si>
    <t>S6243</t>
  </si>
  <si>
    <t>S626</t>
  </si>
  <si>
    <t>S6294</t>
  </si>
  <si>
    <t>TE DE FERRO GALVANIZADO, DE 1/2"</t>
  </si>
  <si>
    <t>S6295</t>
  </si>
  <si>
    <t>TE DE FERRO GALVANIZADO, DE 3/4"</t>
  </si>
  <si>
    <t>S6296</t>
  </si>
  <si>
    <t>TE DE FERRO GALVANIZADO, DE 1 1/4"</t>
  </si>
  <si>
    <t>S6297</t>
  </si>
  <si>
    <t>TE DE FERRO GALVANIZADO, DE 1 1/2"</t>
  </si>
  <si>
    <t>S6298</t>
  </si>
  <si>
    <t>TE DE FERRO GALVANIZADO, DE 2"</t>
  </si>
  <si>
    <t>S6299</t>
  </si>
  <si>
    <t>TE DE FERRO GALVANIZADO, DE 2 1/2"</t>
  </si>
  <si>
    <t>S6300</t>
  </si>
  <si>
    <t>TE DE FERRO GALVANIZADO, DE 4"</t>
  </si>
  <si>
    <t>S6301</t>
  </si>
  <si>
    <t>TE DE FERRO GALVANIZADO, DE 6"</t>
  </si>
  <si>
    <t>S6302</t>
  </si>
  <si>
    <t>TE DE REDUCAO DE FERRO GALVANIZADO, COM ROSCA BSP, DE 3/4" X 1/2"</t>
  </si>
  <si>
    <t>S6303</t>
  </si>
  <si>
    <t>TE DE REDUCAO DE FERRO GALVANIZADO, COM ROSCA BSP, DE 1" X 3/4"</t>
  </si>
  <si>
    <t>S6304</t>
  </si>
  <si>
    <t>TE DE REDUCAO DE FERRO GALVANIZADO, COM ROSCA BSP, DE 1 1/2" X 3/4"</t>
  </si>
  <si>
    <t>S6305</t>
  </si>
  <si>
    <t>TE DE REDUCAO DE FERRO GALVANIZADO, COM ROSCA BSP, DE 2" X 1"</t>
  </si>
  <si>
    <t>S6306</t>
  </si>
  <si>
    <t>TE DE REDUCAO DE FERRO GALVANIZADO, COM ROSCA BSP, DE 2" X 1 1/4"</t>
  </si>
  <si>
    <t>S6307</t>
  </si>
  <si>
    <t>TE DE REDUCAO DE FERRO GALVANIZADO, COM ROSCA BSP, DE 2 1/2" X 1"</t>
  </si>
  <si>
    <t>S6308</t>
  </si>
  <si>
    <t>TE DE REDUCAO DE FERRO GALVANIZADO, COM ROSCA BSP, DE 2 1/2" X 1 1/2"</t>
  </si>
  <si>
    <t>S6309</t>
  </si>
  <si>
    <t>TE DE REDUCAO DE FERRO GALVANIZADO, COM ROSCA BSP, DE 2 1/2" X 2"</t>
  </si>
  <si>
    <t>S6310</t>
  </si>
  <si>
    <t>TE DE REDUCAO DE FERRO GALVANIZADO, COM ROSCA BSP, DE 3" X 1"</t>
  </si>
  <si>
    <t>S6311</t>
  </si>
  <si>
    <t>TE DE REDUCAO DE FERRO GALVANIZADO, COM ROSCA BSP, DE 3" X 1 1/4"</t>
  </si>
  <si>
    <t>S6312</t>
  </si>
  <si>
    <t>TE DE REDUCAO DE FERRO GALVANIZADO, COM ROSCA BSP, DE 3" X 1 1/2"</t>
  </si>
  <si>
    <t>S6313</t>
  </si>
  <si>
    <t>TE DE REDUCAO DE FERRO GALVANIZADO, COM ROSCA BSP, DE 3" X 2"</t>
  </si>
  <si>
    <t>S6314</t>
  </si>
  <si>
    <t>TE DE REDUCAO DE FERRO GALVANIZADO, COM ROSCA BSP, DE 3" X 2 1/2"</t>
  </si>
  <si>
    <t>S6315</t>
  </si>
  <si>
    <t>TE DE REDUCAO DE FERRO GALVANIZADO, COM ROSCA BSP, DE 4" X 2"</t>
  </si>
  <si>
    <t>S6316</t>
  </si>
  <si>
    <t>TE DE REDUCAO DE FERRO GALVANIZADO, COM ROSCA BSP, DE 4" X 3"</t>
  </si>
  <si>
    <t>S6317</t>
  </si>
  <si>
    <t>TE DE REDUCAO DE FERRO GALVANIZADO, COM ROSCA BSP, DE 2 1/2" X 1 1/4"</t>
  </si>
  <si>
    <t>S6318</t>
  </si>
  <si>
    <t>TE DE REDUCAO DE FERRO GALVANIZADO, COM ROSCA BSP, DE 2" X 1 1/2"</t>
  </si>
  <si>
    <t>S6319</t>
  </si>
  <si>
    <t>TE DE REDUCAO DE FERRO GALVANIZADO, COM ROSCA BSP, DE 1 1/2" X 1"</t>
  </si>
  <si>
    <t>S6320</t>
  </si>
  <si>
    <t>TE DE REDUCAO DE FERRO GALVANIZADO, COM ROSCA BSP, DE 1" X 1/2"</t>
  </si>
  <si>
    <t>S6321</t>
  </si>
  <si>
    <t>TE DE FERRO GALVANIZADO, DE 5"</t>
  </si>
  <si>
    <t>S6322</t>
  </si>
  <si>
    <t>TE DE FERRO GALVANIZADO, DE 3"</t>
  </si>
  <si>
    <t>S6323</t>
  </si>
  <si>
    <t>TE DE FERRO GALVANIZADO, DE 1"</t>
  </si>
  <si>
    <t>S64</t>
  </si>
  <si>
    <t>UNIAO EM POLIPROPILENO (PP), PARA TUBO EM PEAD, 20 MM - LIGACAO PREDIAL DE AGUA</t>
  </si>
  <si>
    <t>S647</t>
  </si>
  <si>
    <t>S65</t>
  </si>
  <si>
    <t>S650</t>
  </si>
  <si>
    <t>S651</t>
  </si>
  <si>
    <t>S652</t>
  </si>
  <si>
    <t>BLOCO DE VEDACAO DE CONCRETO CELULAR AUTOCLAVADO 20 X 30 X 60 CM (E X A X C)</t>
  </si>
  <si>
    <t>S654</t>
  </si>
  <si>
    <t>S658</t>
  </si>
  <si>
    <t>S659</t>
  </si>
  <si>
    <t>S660</t>
  </si>
  <si>
    <t>S665</t>
  </si>
  <si>
    <t>S666</t>
  </si>
  <si>
    <t>S668</t>
  </si>
  <si>
    <t>S67</t>
  </si>
  <si>
    <t>S672</t>
  </si>
  <si>
    <t>S674</t>
  </si>
  <si>
    <t>BLOCO DE VEDACAO DE CONCRETO CELULAR AUTOCLAVADO 10 X 30 X 60 CM (E X A X C)</t>
  </si>
  <si>
    <t>S679</t>
  </si>
  <si>
    <t>S695</t>
  </si>
  <si>
    <t>S7048</t>
  </si>
  <si>
    <t>TE, PVC PBA, BBB, 90 GRAUS, DN 50 / DE 60 MM, PARA REDE DE AGUA</t>
  </si>
  <si>
    <t>S7070</t>
  </si>
  <si>
    <t>S7088</t>
  </si>
  <si>
    <t>TE, PVC PBA, BBB, 90 GRAUS, DN 75 / DE 85 MM, PARA REDE DE AGUA</t>
  </si>
  <si>
    <t>S709</t>
  </si>
  <si>
    <t>BLOCO DE POLIETILENO ALTA DENSIDADE, *27* X *30* X *100* CM, ACOMPANHADOS PLACAS TERMINAIS E LONGARINAS, PARA FUNDO DE FILTRO</t>
  </si>
  <si>
    <t>S7091</t>
  </si>
  <si>
    <t>S7094</t>
  </si>
  <si>
    <t>S7097</t>
  </si>
  <si>
    <t>S7098</t>
  </si>
  <si>
    <t>S71</t>
  </si>
  <si>
    <t>S7103</t>
  </si>
  <si>
    <t>S7104</t>
  </si>
  <si>
    <t>S7105</t>
  </si>
  <si>
    <t>S7106</t>
  </si>
  <si>
    <t>S7108</t>
  </si>
  <si>
    <t>S7109</t>
  </si>
  <si>
    <t>S711</t>
  </si>
  <si>
    <t>S7110</t>
  </si>
  <si>
    <t>S7114</t>
  </si>
  <si>
    <t>S7116</t>
  </si>
  <si>
    <t>S7118</t>
  </si>
  <si>
    <t>S7119</t>
  </si>
  <si>
    <t>S712</t>
  </si>
  <si>
    <t>S7120</t>
  </si>
  <si>
    <t>S7121</t>
  </si>
  <si>
    <t>S7122</t>
  </si>
  <si>
    <t>S7123</t>
  </si>
  <si>
    <t>S7126</t>
  </si>
  <si>
    <t>S7128</t>
  </si>
  <si>
    <t>S7129</t>
  </si>
  <si>
    <t>S7130</t>
  </si>
  <si>
    <t>S7131</t>
  </si>
  <si>
    <t>S7132</t>
  </si>
  <si>
    <t>S7133</t>
  </si>
  <si>
    <t>S7135</t>
  </si>
  <si>
    <t>S7136</t>
  </si>
  <si>
    <t>S7137</t>
  </si>
  <si>
    <t>S7138</t>
  </si>
  <si>
    <t>S7139</t>
  </si>
  <si>
    <t>S7140</t>
  </si>
  <si>
    <t>S7141</t>
  </si>
  <si>
    <t>S7142</t>
  </si>
  <si>
    <t>S7143</t>
  </si>
  <si>
    <t>S7144</t>
  </si>
  <si>
    <t>S7145</t>
  </si>
  <si>
    <t>S7146</t>
  </si>
  <si>
    <t>S715</t>
  </si>
  <si>
    <t>S7153</t>
  </si>
  <si>
    <t>S7155</t>
  </si>
  <si>
    <t>S7156</t>
  </si>
  <si>
    <t>S7158</t>
  </si>
  <si>
    <t>S716</t>
  </si>
  <si>
    <t>S7161</t>
  </si>
  <si>
    <t>S7162</t>
  </si>
  <si>
    <t>S7164</t>
  </si>
  <si>
    <t>S7167</t>
  </si>
  <si>
    <t>S7170</t>
  </si>
  <si>
    <t>S7173</t>
  </si>
  <si>
    <t>S7175</t>
  </si>
  <si>
    <t>S718</t>
  </si>
  <si>
    <t>S7181</t>
  </si>
  <si>
    <t>S7184</t>
  </si>
  <si>
    <t>S7186</t>
  </si>
  <si>
    <t>S7189</t>
  </si>
  <si>
    <t>S7190</t>
  </si>
  <si>
    <t>S7192</t>
  </si>
  <si>
    <t>S7193</t>
  </si>
  <si>
    <t>S7194</t>
  </si>
  <si>
    <t>S7195</t>
  </si>
  <si>
    <t>S7197</t>
  </si>
  <si>
    <t>S72</t>
  </si>
  <si>
    <t>S7212</t>
  </si>
  <si>
    <t>S7213</t>
  </si>
  <si>
    <t>S7214</t>
  </si>
  <si>
    <t>S7216</t>
  </si>
  <si>
    <t>S7219</t>
  </si>
  <si>
    <t>S7220</t>
  </si>
  <si>
    <t>S7223</t>
  </si>
  <si>
    <t>S7224</t>
  </si>
  <si>
    <t>S7225</t>
  </si>
  <si>
    <t>S7226</t>
  </si>
  <si>
    <t>S7227</t>
  </si>
  <si>
    <t>S7229</t>
  </si>
  <si>
    <t>S723</t>
  </si>
  <si>
    <t>S7230</t>
  </si>
  <si>
    <t>S7231</t>
  </si>
  <si>
    <t>S7233</t>
  </si>
  <si>
    <t>S7234</t>
  </si>
  <si>
    <t>S7237</t>
  </si>
  <si>
    <t>TELHA TRAPEZOIDAL EM ACO ZINCADO, SEM PINTURA, ALTURA DE APROXIMADAMENTE 40 MM, ESPESSURA DE 0,50 MM E LARGURA UTIL DE 980 MM</t>
  </si>
  <si>
    <t>S7245</t>
  </si>
  <si>
    <t>S7246</t>
  </si>
  <si>
    <t>S7247</t>
  </si>
  <si>
    <t>LOCACAO DE TEODOLITO ELETRONICO, PRECISAO ANGULAR DE 5 A 7 SEGUNDOS, INCLUINDO TRIPE</t>
  </si>
  <si>
    <t>S7252</t>
  </si>
  <si>
    <t>LOCACAO DE NIVEL OPTICO, COM PRECISAO DE 0,7 MM, AUMENTO DE 32X</t>
  </si>
  <si>
    <t>S7253</t>
  </si>
  <si>
    <t>S7256</t>
  </si>
  <si>
    <t>S7258</t>
  </si>
  <si>
    <t>S7260</t>
  </si>
  <si>
    <t>S7267</t>
  </si>
  <si>
    <t>S7268</t>
  </si>
  <si>
    <t>S7270</t>
  </si>
  <si>
    <t>S7271</t>
  </si>
  <si>
    <t>S7272</t>
  </si>
  <si>
    <t>S7274</t>
  </si>
  <si>
    <t>S7288</t>
  </si>
  <si>
    <t>S729</t>
  </si>
  <si>
    <t>S7292</t>
  </si>
  <si>
    <t>S7293</t>
  </si>
  <si>
    <t>S73</t>
  </si>
  <si>
    <t>S730</t>
  </si>
  <si>
    <t>S7304</t>
  </si>
  <si>
    <t>S7306</t>
  </si>
  <si>
    <t>S7307</t>
  </si>
  <si>
    <t>S731</t>
  </si>
  <si>
    <t>S7311</t>
  </si>
  <si>
    <t>S7313</t>
  </si>
  <si>
    <t>S7314</t>
  </si>
  <si>
    <t>S7317</t>
  </si>
  <si>
    <t>S7319</t>
  </si>
  <si>
    <t>S732</t>
  </si>
  <si>
    <t>S733</t>
  </si>
  <si>
    <t>S7334</t>
  </si>
  <si>
    <t>S734</t>
  </si>
  <si>
    <t>S7340</t>
  </si>
  <si>
    <t>S7342</t>
  </si>
  <si>
    <t>S7343</t>
  </si>
  <si>
    <t>S7348</t>
  </si>
  <si>
    <t>S735</t>
  </si>
  <si>
    <t>S7350</t>
  </si>
  <si>
    <t>S7353</t>
  </si>
  <si>
    <t>S7356</t>
  </si>
  <si>
    <t>S736</t>
  </si>
  <si>
    <t>S737</t>
  </si>
  <si>
    <t>S738</t>
  </si>
  <si>
    <t>S74</t>
  </si>
  <si>
    <t>S740</t>
  </si>
  <si>
    <t>S743</t>
  </si>
  <si>
    <t>S746</t>
  </si>
  <si>
    <t>S749</t>
  </si>
  <si>
    <t>S75</t>
  </si>
  <si>
    <t>S750</t>
  </si>
  <si>
    <t>S751</t>
  </si>
  <si>
    <t>S7524</t>
  </si>
  <si>
    <t>S7525</t>
  </si>
  <si>
    <t>S7528</t>
  </si>
  <si>
    <t>S754</t>
  </si>
  <si>
    <t>S7543</t>
  </si>
  <si>
    <t>S755</t>
  </si>
  <si>
    <t>S7552</t>
  </si>
  <si>
    <t>S756</t>
  </si>
  <si>
    <t>S7568</t>
  </si>
  <si>
    <t>S7569</t>
  </si>
  <si>
    <t>S757</t>
  </si>
  <si>
    <t>S7572</t>
  </si>
  <si>
    <t>SUPORTE ISOLADOR REFORCADO DIAMETRO NOMINAL 5/16", COM ROSCA SOBERBA E BUCHA</t>
  </si>
  <si>
    <t>S7576</t>
  </si>
  <si>
    <t>S7581</t>
  </si>
  <si>
    <t>S7583</t>
  </si>
  <si>
    <t>S7584</t>
  </si>
  <si>
    <t>S7588</t>
  </si>
  <si>
    <t>S759</t>
  </si>
  <si>
    <t>S7592</t>
  </si>
  <si>
    <t>S7595</t>
  </si>
  <si>
    <t>S760</t>
  </si>
  <si>
    <t>S7602</t>
  </si>
  <si>
    <t>S7603</t>
  </si>
  <si>
    <t>S7604</t>
  </si>
  <si>
    <t>S7606</t>
  </si>
  <si>
    <t>S7608</t>
  </si>
  <si>
    <t>S761</t>
  </si>
  <si>
    <t>S7610</t>
  </si>
  <si>
    <t>TRANSFORMADOR TRIFASICO DE DISTRIBUICAO, POTENCIA DE 30 KVA, TENSAO NOMINAL DE 15 KV, TENSAO SECUNDARIA DE 220/127V, EM OLEO ISOLANTE TIPO MINERAL</t>
  </si>
  <si>
    <t>S7611</t>
  </si>
  <si>
    <t>TRANSFORMADOR TRIFASICO DE DISTRIBUICAO, POTENCIA DE 75 KVA, TENSAO NOMINAL DE 15 KV, TENSAO SECUNDARIA DE 220/127V, EM OLEO ISOLANTE TIPO MINERAL</t>
  </si>
  <si>
    <t>S7612</t>
  </si>
  <si>
    <t>TRANSFORMADOR TRIFASICO DE DISTRIBUICAO, POTENCIA DE 750 KVA, TENSAO NOMINAL DE 15 KV, TENSAO SECUNDARIA DE 220/127V, EM OLEO ISOLANTE TIPO MINERAL</t>
  </si>
  <si>
    <t>S7613</t>
  </si>
  <si>
    <t>TRANSFORMADOR TRIFASICO DE DISTRIBUICAO, POTENCIA DE 1000 KVA, TENSAO NOMINAL DE 15 KV, TENSAO SECUNDARIA DE 220/127V, EM OLEO ISOLANTE TIPO MINERAL</t>
  </si>
  <si>
    <t>TRANSFORMADOR TRIFASICO DE DISTRIBUICAO, POTENCIA DE 150 KVA, TENSAO NOMINAL DE 15 KV, TENSAO SECUNDARIA DE 220/127V, EM OLEO ISOLANTE TIPO MINERAL</t>
  </si>
  <si>
    <t>S7615</t>
  </si>
  <si>
    <t>TRANSFORMADOR TRIFASICO DE DISTRIBUICAO, POTENCIA DE 300 KVA, TENSAO NOMINAL DE 15 KV, TENSAO SECUNDARIA DE 220/127V, EM OLEO ISOLANTE TIPO MINERAL</t>
  </si>
  <si>
    <t>S7616</t>
  </si>
  <si>
    <t>TRANSFORMADOR TRIFASICO DE DISTRIBUICAO, POTENCIA DE 500 KVA, TENSAO NOMINAL DE 15 KV, TENSAO SECUNDARIA DE 220/127V, EM OLEO ISOLANTE TIPO MINERAL</t>
  </si>
  <si>
    <t>S7617</t>
  </si>
  <si>
    <t>TRANSFORMADOR TRIFASICO DE DISTRIBUICAO, POTENCIA DE 45 KVA, TENSAO NOMINAL DE 15 KV, TENSAO SECUNDARIA DE 220/127V, EM OLEO ISOLANTE TIPO MINERAL</t>
  </si>
  <si>
    <t>S7618</t>
  </si>
  <si>
    <t>TRANSFORMADOR TRIFASICO DE DISTRIBUICAO, POTENCIA DE 1500 KVA, TENSAO NOMINAL DE 15 KV, TENSAO SECUNDARIA DE 220/127V, EM OLEO ISOLANTE TIPO MINERAL</t>
  </si>
  <si>
    <t>S7619</t>
  </si>
  <si>
    <t>TRANSFORMADOR TRIFASICO DE DISTRIBUICAO, POTENCIA DE 112,5 KVA, TENSAO NOMINAL DE 15 KV, TENSAO SECUNDARIA DE 220/127V, EM OLEO ISOLANTE TIPO MINERAL</t>
  </si>
  <si>
    <t>S7620</t>
  </si>
  <si>
    <t>TRANSFORMADOR TRIFASICO DE DISTRIBUICAO, POTENCIA DE 225 KVA, TENSAO NOMINAL DE 15 KV, TENSAO SECUNDARIA DE 220/127V, EM OLEO ISOLANTE TIPO MINERAL</t>
  </si>
  <si>
    <t>S7622</t>
  </si>
  <si>
    <t>S7623</t>
  </si>
  <si>
    <t>S7624</t>
  </si>
  <si>
    <t>S7625</t>
  </si>
  <si>
    <t>S764</t>
  </si>
  <si>
    <t>BUCHA DE REDUCAO DE FERRO GALVANIZADO, COM ROSCA BSP, DE 1" X 1/2"</t>
  </si>
  <si>
    <t>S7640</t>
  </si>
  <si>
    <t>TRATOR DE PNEUS COM POTENCIA DE 85 CV, TRACAO 4 X 4, PESO COM LASTRO DE 4675 KG</t>
  </si>
  <si>
    <t>S765</t>
  </si>
  <si>
    <t>BUCHA DE REDUCAO DE FERRO GALVANIZADO, COM ROSCA BSP, DE 1" X 3/4"</t>
  </si>
  <si>
    <t>S766</t>
  </si>
  <si>
    <t>BUCHA DE REDUCAO DE FERRO GALVANIZADO, COM ROSCA BSP, DE 1 1/2" X 1/2"</t>
  </si>
  <si>
    <t>S7660</t>
  </si>
  <si>
    <t>TUBO 30" EM CHAPA PRETA, E= 1/4", 175 KG/6 M</t>
  </si>
  <si>
    <t>S7661</t>
  </si>
  <si>
    <t>TUBO ACO CARBONO SEM COSTURA 8", E= *8,18 MM, SCHEDULE 40, *42,55 KG/M</t>
  </si>
  <si>
    <t>S7667</t>
  </si>
  <si>
    <t>TUBO 26" EM CHAPA PRETA, E= 3/16", 147 KG/6 M</t>
  </si>
  <si>
    <t>S767</t>
  </si>
  <si>
    <t>BUCHA DE REDUCAO DE FERRO GALVANIZADO, COM ROSCA BSP, DE 1 1/2" X 3/4"</t>
  </si>
  <si>
    <t>S7672</t>
  </si>
  <si>
    <t>TUBO ACO CARBONO SEM COSTURA 6", E= 7,11 MM, SCHEDULE 40, *28,26 KG/M</t>
  </si>
  <si>
    <t>S7676</t>
  </si>
  <si>
    <t>TUBO 30" EM CHAPA PRETA, E= 3/8", 177 KG/6 M</t>
  </si>
  <si>
    <t>S768</t>
  </si>
  <si>
    <t>BUCHA DE REDUCAO DE FERRO GALVANIZADO, COM ROSCA BSP, DE 1 1/4" X 1/2"</t>
  </si>
  <si>
    <t>S769</t>
  </si>
  <si>
    <t>BUCHA DE REDUCAO DE FERRO GALVANIZADO, COM ROSCA BSP, DE 1 1/4" X 3/4"</t>
  </si>
  <si>
    <t>S7690</t>
  </si>
  <si>
    <t>TUBO ACO CARBONO SEM COSTURA 8", E= *6,35 MM, SCHEDULE 20, *33,27 KG/M</t>
  </si>
  <si>
    <t>S7691</t>
  </si>
  <si>
    <t>TUBO ACO GALVANIZADO COM COSTURA, CLASSE MEDIA, DN 1/2", E = *2,65* MM, PESO *1,22* KG/M (NBR 5580)</t>
  </si>
  <si>
    <t>S7692</t>
  </si>
  <si>
    <t>TUBO ACO GALVANIZADO COM COSTURA, CLASSE MEDIA, DN 5", E = *5,40* MM, PESO *17,80* KG/M (NBR 5580)</t>
  </si>
  <si>
    <t>S7693</t>
  </si>
  <si>
    <t>TUBO ACO GALVANIZADO COM COSTURA, CLASSE MEDIA, DN 4", E = 4,50* MM, PESO 12,10* KG/M (NBR 5580)</t>
  </si>
  <si>
    <t>S7694</t>
  </si>
  <si>
    <t>TUBO ACO GALVANIZADO COM COSTURA, CLASSE MEDIA, DN 3", E = *4,05* MM, PESO *8,47* KG/M (NBR 5580)</t>
  </si>
  <si>
    <t>S7695</t>
  </si>
  <si>
    <t>TUBO ACO GALVANIZADO COM COSTURA, CLASSE MEDIA, DN 6", E = 4,85* MM, PESO 19,68* KG/M (NBR 5580)</t>
  </si>
  <si>
    <t>S7696</t>
  </si>
  <si>
    <t>TUBO ACO GALVANIZADO COM COSTURA, CLASSE MEDIA, DN 2", E = *3,65* MM, PESO *5,10* KG/M (NBR 5580)</t>
  </si>
  <si>
    <t>S7697</t>
  </si>
  <si>
    <t>TUBO ACO GALVANIZADO COM COSTURA, CLASSE MEDIA, DN 1.1/2", E = *3,25* MM, PESO *3,61* KG/M (NBR 5580)</t>
  </si>
  <si>
    <t>S7698</t>
  </si>
  <si>
    <t>TUBO ACO GALVANIZADO COM COSTURA, CLASSE MEDIA, DN 1.1/4", E = *3,25* MM, PESO *3,14* KG/M (NBR 5580)</t>
  </si>
  <si>
    <t>S770</t>
  </si>
  <si>
    <t>BUCHA DE REDUCAO DE FERRO GALVANIZADO, COM ROSCA BSP, DE 1/2" X 1/4"</t>
  </si>
  <si>
    <t>S7700</t>
  </si>
  <si>
    <t>TUBO ACO GALVANIZADO COM COSTURA, CLASSE MEDIA, DN 3/4", E = *2,65* MM, PESO *1,58* KG/M (NBR 5580)</t>
  </si>
  <si>
    <t>S7701</t>
  </si>
  <si>
    <t>TUBO ACO GALVANIZADO COM COSTURA, CLASSE MEDIA, DN 2.1/2", E = *3,65* MM, PESO *6,51* KG/M (NBR 5580)</t>
  </si>
  <si>
    <t>S771</t>
  </si>
  <si>
    <t>BUCHA DE REDUCAO DE FERRO GALVANIZADO, COM ROSCA BSP, DE 2" X 1"</t>
  </si>
  <si>
    <t>S7714</t>
  </si>
  <si>
    <t>TUBO DE CONCRETO ARMADO, PRE MOLDADO PARA AGUAS PLUVIAIS, CLASSE PA-1, COM ENCAIXE PONTA E BOLSA, DIAMETRO NOMINAL DE 500 MM</t>
  </si>
  <si>
    <t>S772</t>
  </si>
  <si>
    <t>BUCHA DE REDUCAO DE FERRO GALVANIZADO, COM ROSCA BSP, DE 2" X 1 1/4"</t>
  </si>
  <si>
    <t>S7720</t>
  </si>
  <si>
    <t>TUBO DE CONCRETO ARMADO PARA ESGOTO SANITARIO, CLASSE EA-2, COM ENCAIXE PONTA E BOLSA, COM JUNTA ELASTICA, DIAMETRO NOMINAL DE 1000 MM</t>
  </si>
  <si>
    <t>S7722</t>
  </si>
  <si>
    <t>TUBO DE CONCRETO ARMADO PARA AGUAS PLUVIAIS, CLASSE PA-2, COM ENCAIXE PONTA E BOLSA, DIAMETRO NOMINAL DE 700 MM</t>
  </si>
  <si>
    <t>S7725</t>
  </si>
  <si>
    <t>TUBO DE CONCRETO ARMADO PARA AGUAS PLUVIAIS, CLASSE PA-1, COM ENCAIXE PONTA E BOLSA, DIAMETRO NOMINAL DE = 600 MM</t>
  </si>
  <si>
    <t>S7727</t>
  </si>
  <si>
    <t>TUBO DE CONCRETO ARMADO PARA AGUAS PLUVIAIS, CLASSE PA-2, COM ENCAIXE PONTA E BOLSA, DIAMETRO NOMINAL DE 2000 MM</t>
  </si>
  <si>
    <t>S773</t>
  </si>
  <si>
    <t>BUCHA DE REDUCAO DE FERRO GALVANIZADO, COM ROSCA BSP, DE 2 1/2" X 1"</t>
  </si>
  <si>
    <t>S7733</t>
  </si>
  <si>
    <t>TUBO DE CONCRETO ARMADO PARA ESGOTO SANITARIO, CLASSE EA-3, COM ENCAIXE PONTA E BOLSA, COM JUNTA ELASTICA, DIAMETRO NOMINAL DE 700 MM</t>
  </si>
  <si>
    <t>S7734</t>
  </si>
  <si>
    <t>TUBO DE CONCRETO ARMADO PARA ESGOTO SANITARIO, CLASSE EA-3, COM ENCAIXE PONTA E BOLSA, COM JUNTA ELASTICA, DIAMETRO NOMINAL DE 900 MM</t>
  </si>
  <si>
    <t>S7735</t>
  </si>
  <si>
    <t>TUBO DE CONCRETO ARMADO PARA ESGOTO SANITARIO, CLASSE EA-3, COM ENCAIXE PONTA E BOLSA, COM JUNTA ELASTICA, DIAMETRO NOMINAL DE 1000 MM</t>
  </si>
  <si>
    <t>S774</t>
  </si>
  <si>
    <t>BUCHA DE REDUCAO DE FERRO GALVANIZADO, COM ROSCA BSP, DE 2 1/2" X 1 1/4"</t>
  </si>
  <si>
    <t>S7740</t>
  </si>
  <si>
    <t>TUBO DE CONCRETO ARMADO PARA ESGOTO SANITARIO, CLASSE EA-2, COM ENCAIXE PONTA E BOLSA, COM JUNTA ELASTICA, DIAMETRO NOMINAL DE 400 MM</t>
  </si>
  <si>
    <t>S7741</t>
  </si>
  <si>
    <t>TUBO DE CONCRETO ARMADO PARA ESGOTO SANITARIO, CLASSE EA-2, COM ENCAIXE PONTA E BOLSA, COM JUNTA ELASTICA, DIAMETRO NOMINAL DE 500 MM</t>
  </si>
  <si>
    <t>S7742</t>
  </si>
  <si>
    <t>TUBO DE CONCRETO ARMADO PARA AGUAS PLUVIAIS, CLASSE PA-1, COM ENCAIXE PONTA E BOLSA, DIAMETRO NOMINAL DE 700 MM</t>
  </si>
  <si>
    <t>S7743</t>
  </si>
  <si>
    <t>TUBO DE CONCRETO ARMADO PARA ESGOTO SANITARIO, CLASSE EA-3, COM ENCAIXE PONTA E BOLSA, COM JUNTA ELASTICA, DIAMETRO NOMINAL DE 600 MM</t>
  </si>
  <si>
    <t>S7744</t>
  </si>
  <si>
    <t>TUBO DE CONCRETO ARMADO PARA ESGOTO SANITARIO, CLASSE EA-2, COM ENCAIXE PONTA E BOLSA, COM JUNTA ELASTICA, DIAMETRO NOMINAL DE 700 MM</t>
  </si>
  <si>
    <t>S7745</t>
  </si>
  <si>
    <t>TUBO DE CONCRETO ARMADO PARA AGUAS PLUVIAIS, CLASSE PA-1, COM ENCAIXE PONTA E BOLSA, DIAMETRO NOMINAL DE 400 MM</t>
  </si>
  <si>
    <t>S775</t>
  </si>
  <si>
    <t>BUCHA DE REDUCAO DE FERRO GALVANIZADO, COM ROSCA BSP, DE 2 1/2" X 2"</t>
  </si>
  <si>
    <t>S7750</t>
  </si>
  <si>
    <t>TUBO DE CONCRETO ARMADO PARA AGUAS PLUVIAIS, CLASSE PA-1, COM ENCAIXE PONTA E BOLSA, DIAMETRO NOMINAL DE 800 MM</t>
  </si>
  <si>
    <t>S7752</t>
  </si>
  <si>
    <t>TUBO DE CONCRETO ARMADO PARA AGUAS PLUVIAIS, CLASSE PA-2, COM ENCAIXE PONTA E BOLSA, DIAMETRO NOMINAL DE 500 MM</t>
  </si>
  <si>
    <t>S7753</t>
  </si>
  <si>
    <t>TUBO DE CONCRETO ARMADO PARA AGUAS PLUVIAIS, CLASSE PA-1, COM ENCAIXE PONTA E BOLSA, DIAMETRO NOMINAL DE 1000 MM</t>
  </si>
  <si>
    <t>S7754</t>
  </si>
  <si>
    <t>TUBO DE CONCRETO ARMADO PARA ESGOTO SANITARIO, CLASSE EA-2, COM ENCAIXE PONTA E BOLSA, COM JUNTA ELASTICA, DIAMETRO NOMINAL DE 900 MM</t>
  </si>
  <si>
    <t>S7755</t>
  </si>
  <si>
    <t>TUBO DE CONCRETO ARMADO PARA ESGOTO SANITARIO, CLASSE EA-3, COM ENCAIXE PONTA E BOLSA, COM JUNTA ELASTICA, DIAMETRO NOMINAL DE 400 MM</t>
  </si>
  <si>
    <t>S7756</t>
  </si>
  <si>
    <t>TUBO DE CONCRETO ARMADO PARA AGUAS PLUVIAIS, CLASSE PA-1, COM ENCAIXE PONTA E BOLSA, DIAMETRO NOMINAL DE 900 MM</t>
  </si>
  <si>
    <t>S7757</t>
  </si>
  <si>
    <t>TUBO DE CONCRETO ARMADO PARA AGUAS PLUVIAIS, CLASSE PA-1, COM ENCAIXE PONTA E BOLSA, DIAMETRO NOMINAL DE 1200 MM</t>
  </si>
  <si>
    <t>S7758</t>
  </si>
  <si>
    <t>TUBO DE CONCRETO ARMADO PARA AGUAS PLUVIAIS, CLASSE PA-1, COM ENCAIXE PONTA E BOLSA, DIAMETRO NOMINAL DE 1500 MM</t>
  </si>
  <si>
    <t>S7759</t>
  </si>
  <si>
    <t>TUBO DE CONCRETO ARMADO PARA AGUAS PLUVIAIS, CLASSE PA-1, COM ENCAIXE PONTA E BOLSA, DIAMETRO NOMINAL DE 2000 MM</t>
  </si>
  <si>
    <t>S776</t>
  </si>
  <si>
    <t>BUCHA DE REDUCAO DE FERRO GALVANIZADO, COM ROSCA BSP, DE 3" X 1 1/2"</t>
  </si>
  <si>
    <t>S7760</t>
  </si>
  <si>
    <t>TUBO DE CONCRETO ARMADO PARA AGUAS PLUVIAIS, CLASSE PA-2, COM ENCAIXE PONTA E BOLSA, DIAMETRO NOMINAL DE 300 MM</t>
  </si>
  <si>
    <t>S7761</t>
  </si>
  <si>
    <t>TUBO DE CONCRETO ARMADO PARA AGUAS PLUVIAIS, CLASSE PA-2, COM ENCAIXE PONTA E BOLSA, DIAMETRO NOMINAL DE 400 MM</t>
  </si>
  <si>
    <t>S7762</t>
  </si>
  <si>
    <t>TUBO DE CONCRETO ARMADO PARA AGUAS PLUVIAIS, CLASSE PA-2, COM ENCAIXE PONTA E BOLSA, DIAMETRO NOMINAL DE 600 MM</t>
  </si>
  <si>
    <t>S7763</t>
  </si>
  <si>
    <t>TUBO DE CONCRETO ARMADO PARA AGUAS PLUVIAIS, CLASSE PA-2, COM ENCAIXE PONTA E BOLSA, DIAMETRO NOMINAL DE 800 MM</t>
  </si>
  <si>
    <t>S7764</t>
  </si>
  <si>
    <t>TUBO DE CONCRETO ARMADO PARA AGUAS PLUVIAIS, CLASSE PA-2, COM ENCAIXE PONTA E BOLSA, DIAMETRO NOMINAL DE 900 MM</t>
  </si>
  <si>
    <t>S7765</t>
  </si>
  <si>
    <t>TUBO DE CONCRETO ARMADO PARA AGUAS PLUVIAIS, CLASSE PA-2, COM ENCAIXE PONTA E BOLSA, DIAMETRO NOMINAL DE 1000 MM</t>
  </si>
  <si>
    <t>S7766</t>
  </si>
  <si>
    <t>TUBO DE CONCRETO ARMADO PARA AGUAS PLUVIAIS, CLASSE PA-2, COM ENCAIXE PONTA E BOLSA, DIAMETRO NOMINAL DE 1200 MM</t>
  </si>
  <si>
    <t>S7767</t>
  </si>
  <si>
    <t>TUBO DE CONCRETO ARMADO PARA AGUAS PLUVIAIS, CLASSE PA-2, COM ENCAIXE PONTA E BOLSA, DIAMETRO NOMINAL DE 1500 MM</t>
  </si>
  <si>
    <t>S777</t>
  </si>
  <si>
    <t>BUCHA DE REDUCAO DE FERRO GALVANIZADO, COM ROSCA BSP, DE 3" X 1 1/4"</t>
  </si>
  <si>
    <t>S7773</t>
  </si>
  <si>
    <t>TUBO DE CONCRETO ARMADO PARA ESGOTO SANITARIO, CLASSE EA-2, COM ENCAIXE PONTA E BOLSA, COM JUNTA ELASTICA, DIAMETRO NOMINAL DE 800 MM</t>
  </si>
  <si>
    <t>S7774</t>
  </si>
  <si>
    <t>TUBO DE CONCRETO ARMADO PARA ESGOTO SANITARIO, CLASSE EA-2, COM ENCAIXE PONTA E BOLSA, COM JUNTA ELASTICA, DIAMETRO NOMINAL DE 600 MM</t>
  </si>
  <si>
    <t>S7775</t>
  </si>
  <si>
    <t>TUBO DE CONCRETO ARMADO PARA ESGOTO SANITARIO, CLASSE EA-3, COM ENCAIXE PONTA E BOLSA, COM JUNTA ELASTICA, DIAMETRO NOMINAL DE 800 MM</t>
  </si>
  <si>
    <t>S7776</t>
  </si>
  <si>
    <t>TUBO DE CONCRETO ARMADO PARA ESGOTO SANITARIO, CLASSE EA-3, COM ENCAIXE PONTA E BOLSA, COM JUNTA ELASTICA, DIAMETRO NOMINAL DE 500 MM</t>
  </si>
  <si>
    <t>S7778</t>
  </si>
  <si>
    <t>S778</t>
  </si>
  <si>
    <t>BUCHA DE REDUCAO DE FERRO GALVANIZADO, COM ROSCA BSP, DE 3" X 2"</t>
  </si>
  <si>
    <t>S7781</t>
  </si>
  <si>
    <t>S7783</t>
  </si>
  <si>
    <t>S7785</t>
  </si>
  <si>
    <t>S779</t>
  </si>
  <si>
    <t>BUCHA DE REDUCAO DE FERRO GALVANIZADO, COM ROSCA BSP, DE 3/4" X 1/2"</t>
  </si>
  <si>
    <t>S7790</t>
  </si>
  <si>
    <t>S7791</t>
  </si>
  <si>
    <t>S7792</t>
  </si>
  <si>
    <t>S7793</t>
  </si>
  <si>
    <t>S7795</t>
  </si>
  <si>
    <t>S7796</t>
  </si>
  <si>
    <t>S780</t>
  </si>
  <si>
    <t>BUCHA DE REDUCAO DE FERRO GALVANIZADO, COM ROSCA BSP, DE 3" X 2 1/2"</t>
  </si>
  <si>
    <t>S781</t>
  </si>
  <si>
    <t>BUCHA DE REDUCAO DE FERRO GALVANIZADO, COM ROSCA BSP, DE 4" X 2 1/2"</t>
  </si>
  <si>
    <t>S782</t>
  </si>
  <si>
    <t>BUCHA DE REDUCAO DE FERRO GALVANIZADO, COM ROSCA BSP, DE 4" X 3"</t>
  </si>
  <si>
    <t>S783</t>
  </si>
  <si>
    <t>BUCHA DE REDUCAO DE FERRO GALVANIZADO, COM ROSCA BSP, DE 5" X 4"</t>
  </si>
  <si>
    <t>S784</t>
  </si>
  <si>
    <t>BUCHA DE REDUCAO DE FERRO GALVANIZADO, COM ROSCA BSP, DE 6" X 5"</t>
  </si>
  <si>
    <t>S785</t>
  </si>
  <si>
    <t>BUCHA DE REDUCAO DE FERRO GALVANIZADO, COM ROSCA BSP, DE 6" X 4"</t>
  </si>
  <si>
    <t>S786</t>
  </si>
  <si>
    <t>BUCHA DE REDUCAO DE FERRO GALVANIZADO, COM ROSCA BSP, DE 4" X 2"</t>
  </si>
  <si>
    <t>S787</t>
  </si>
  <si>
    <t>BUCHA DE REDUCAO DE FERRO GALVANIZADO, COM ROSCA BSP, DE 2 1/2" X 1 1/2"</t>
  </si>
  <si>
    <t>S788</t>
  </si>
  <si>
    <t>BUCHA DE REDUCAO DE FERRO GALVANIZADO, COM ROSCA BSP, DE 2" X 1 1/2"</t>
  </si>
  <si>
    <t>S789</t>
  </si>
  <si>
    <t>BUCHA DE REDUCAO DE FERRO GALVANIZADO, COM ROSCA BSP, DE 1 1/4" X 1"</t>
  </si>
  <si>
    <t>S790</t>
  </si>
  <si>
    <t>BUCHA DE REDUCAO DE FERRO GALVANIZADO, COM ROSCA BSP, DE 1 1/2" X 1 1/4"</t>
  </si>
  <si>
    <t>S791</t>
  </si>
  <si>
    <t>BUCHA DE REDUCAO DE FERRO GALVANIZADO, COM ROSCA BSP, DE 1 1/2" X 1"</t>
  </si>
  <si>
    <t>S792</t>
  </si>
  <si>
    <t>S796</t>
  </si>
  <si>
    <t>S797</t>
  </si>
  <si>
    <t>S798</t>
  </si>
  <si>
    <t>S799</t>
  </si>
  <si>
    <t>S812</t>
  </si>
  <si>
    <t>S813</t>
  </si>
  <si>
    <t>S814</t>
  </si>
  <si>
    <t>S816</t>
  </si>
  <si>
    <t>S818</t>
  </si>
  <si>
    <t>S819</t>
  </si>
  <si>
    <t>S82</t>
  </si>
  <si>
    <t>S820</t>
  </si>
  <si>
    <t>S821</t>
  </si>
  <si>
    <t>S822</t>
  </si>
  <si>
    <t>S828</t>
  </si>
  <si>
    <t>S829</t>
  </si>
  <si>
    <t>S83</t>
  </si>
  <si>
    <t>S832</t>
  </si>
  <si>
    <t>S834</t>
  </si>
  <si>
    <t>S841</t>
  </si>
  <si>
    <t>S842</t>
  </si>
  <si>
    <t>S857</t>
  </si>
  <si>
    <t>S862</t>
  </si>
  <si>
    <t>S863</t>
  </si>
  <si>
    <t>S864</t>
  </si>
  <si>
    <t>S865</t>
  </si>
  <si>
    <t>S866</t>
  </si>
  <si>
    <t>S867</t>
  </si>
  <si>
    <t>S868</t>
  </si>
  <si>
    <t>S88</t>
  </si>
  <si>
    <t>S892</t>
  </si>
  <si>
    <t>S937</t>
  </si>
  <si>
    <t>S938</t>
  </si>
  <si>
    <t>S939</t>
  </si>
  <si>
    <t>S940</t>
  </si>
  <si>
    <t>S944</t>
  </si>
  <si>
    <t>S95</t>
  </si>
  <si>
    <t>S96</t>
  </si>
  <si>
    <t>S97</t>
  </si>
  <si>
    <t>S977</t>
  </si>
  <si>
    <t>S979</t>
  </si>
  <si>
    <t>S98</t>
  </si>
  <si>
    <t>S980</t>
  </si>
  <si>
    <t>S981</t>
  </si>
  <si>
    <t>S9813</t>
  </si>
  <si>
    <t>TUBO DE POLIETILENO DE ALTA DENSIDADE (PEAD), PE-80, DE = 20 MM X 2,3 MM DE PAREDE, PARA LIGACAO DE AGUA PREDIAL (NBR 15561)</t>
  </si>
  <si>
    <t>S9815</t>
  </si>
  <si>
    <t>TUBO DE POLIETILENO DE ALTA DENSIDADE (PEAD), PE-80, DE = 32 MM X 3,0 MM DE PAREDE, PARA LIGACAO DE AGUA PREDIAL (NBR 15561)</t>
  </si>
  <si>
    <t>S982</t>
  </si>
  <si>
    <t>S9825</t>
  </si>
  <si>
    <t>TUBO PVC DEFOFO, JEI, 1 MPA, DN 100 MM, PARA REDE DE AGUA (NBR 7665)</t>
  </si>
  <si>
    <t>S9826</t>
  </si>
  <si>
    <t>TUBO PVC DEFOFO, JEI, 1 MPA, DN 250 MM, PARA REDE DE AGUA (NBR 7665)</t>
  </si>
  <si>
    <t>S9827</t>
  </si>
  <si>
    <t>TUBO PVC DEFOFO, JEI, 1 MPA, DN 300 MM, PARA REDE DE AGUA (NBR 7665)</t>
  </si>
  <si>
    <t>S9828</t>
  </si>
  <si>
    <t>TUBO PVC DEFOFO, JEI, 1 MPA, DN 150 MM, PARA REDE DE AGUA (NBR 7665)</t>
  </si>
  <si>
    <t>S9829</t>
  </si>
  <si>
    <t>TUBO PVC DEFOFO, JEI, 1 MPA, DN 200 MM, PARA REDE DE AGUA (NBR 7665)</t>
  </si>
  <si>
    <t>S9835</t>
  </si>
  <si>
    <t>S9836</t>
  </si>
  <si>
    <t>S9837</t>
  </si>
  <si>
    <t>S9838</t>
  </si>
  <si>
    <t>S9839</t>
  </si>
  <si>
    <t>S9840</t>
  </si>
  <si>
    <t>S9841</t>
  </si>
  <si>
    <t>S9850</t>
  </si>
  <si>
    <t>TUBO PVC DE REVESTIMENTO GEOMECANICO NERVURADO REFORCADO, DN = 150 MM, COMPRIMENTO = 2 M</t>
  </si>
  <si>
    <t>S9851</t>
  </si>
  <si>
    <t>TUBO PVC DE REVESTIMENTO GEOMECANICO NERVURADO STANDARD, DN = 206 MM, COMPRIMENTO = 2 M</t>
  </si>
  <si>
    <t>S9853</t>
  </si>
  <si>
    <t>TUBO PVC DE REVESTIMENTO GEOMECANICO NERVURADO REFORCADO, DN = 200 MM, COMPRIMENTO = 2 M</t>
  </si>
  <si>
    <t>S9854</t>
  </si>
  <si>
    <t>TUBO PVC DE REVESTIMENTO GEOMECANICO NERVURADO STANDARD, DN = 154 MM, COMPRIMENTO = 2 M</t>
  </si>
  <si>
    <t>S9856</t>
  </si>
  <si>
    <t>S9859</t>
  </si>
  <si>
    <t>S986</t>
  </si>
  <si>
    <t>S9860</t>
  </si>
  <si>
    <t>S9861</t>
  </si>
  <si>
    <t>S9862</t>
  </si>
  <si>
    <t>S9863</t>
  </si>
  <si>
    <t>S9866</t>
  </si>
  <si>
    <t>S9867</t>
  </si>
  <si>
    <t>S9868</t>
  </si>
  <si>
    <t>S9869</t>
  </si>
  <si>
    <t>S987</t>
  </si>
  <si>
    <t>S9870</t>
  </si>
  <si>
    <t>S9871</t>
  </si>
  <si>
    <t>S9872</t>
  </si>
  <si>
    <t>S9873</t>
  </si>
  <si>
    <t>S9874</t>
  </si>
  <si>
    <t>S9875</t>
  </si>
  <si>
    <t>S9877</t>
  </si>
  <si>
    <t>S9878</t>
  </si>
  <si>
    <t>S988</t>
  </si>
  <si>
    <t>S9883</t>
  </si>
  <si>
    <t>UNIAO DE FERRO GALVANIZADO, COM ROSCA BSP, COM ASSENTO PLANO, DE 1/2"</t>
  </si>
  <si>
    <t>S9884</t>
  </si>
  <si>
    <t>UNIAO DE FERRO GALVANIZADO, COM ROSCA BSP, COM ASSENTO PLANO, DE 1 1/2"</t>
  </si>
  <si>
    <t>S9885</t>
  </si>
  <si>
    <t>UNIAO DE FERRO GALVANIZADO, COM ROSCA BSP, COM ASSENTO PLANO, DE 3/4"</t>
  </si>
  <si>
    <t>S9886</t>
  </si>
  <si>
    <t>UNIAO DE FERRO GALVANIZADO, COM ROSCA BSP, COM ASSENTO PLANO, DE 1"</t>
  </si>
  <si>
    <t>S9887</t>
  </si>
  <si>
    <t>UNIAO DE FERRO GALVANIZADO, COM ROSCA BSP, COM ASSENTO PLANO, DE 2"</t>
  </si>
  <si>
    <t>S9888</t>
  </si>
  <si>
    <t>UNIAO DE FERRO GALVANIZADO, COM ROSCA BSP, COM ASSENTO PLANO, DE 1 1/4"</t>
  </si>
  <si>
    <t>S9889</t>
  </si>
  <si>
    <t>UNIAO DE FERRO GALVANIZADO, COM ROSCA BSP, COM ASSENTO PLANO, DE 2 1/2"</t>
  </si>
  <si>
    <t>S989</t>
  </si>
  <si>
    <t>S9890</t>
  </si>
  <si>
    <t>UNIAO DE FERRO GALVANIZADO, COM ROSCA BSP, COM ASSENTO PLANO, DE 3"</t>
  </si>
  <si>
    <t>S9891</t>
  </si>
  <si>
    <t>UNIAO DE FERRO GALVANIZADO, COM ROSCA BSP, COM ASSENTO PLANO, DE 4"</t>
  </si>
  <si>
    <t>S9892</t>
  </si>
  <si>
    <t>S9894</t>
  </si>
  <si>
    <t>S9895</t>
  </si>
  <si>
    <t>S9897</t>
  </si>
  <si>
    <t>S9899</t>
  </si>
  <si>
    <t>S99</t>
  </si>
  <si>
    <t>S990</t>
  </si>
  <si>
    <t>S9900</t>
  </si>
  <si>
    <t>S9901</t>
  </si>
  <si>
    <t>S9905</t>
  </si>
  <si>
    <t>S9906</t>
  </si>
  <si>
    <t>S9907</t>
  </si>
  <si>
    <t>S9908</t>
  </si>
  <si>
    <t>S9909</t>
  </si>
  <si>
    <t>S991</t>
  </si>
  <si>
    <t>S9910</t>
  </si>
  <si>
    <t>S9912</t>
  </si>
  <si>
    <t>USINA DE MISTURAS ASFALTICAS A QUENTE, MOVEL, TIPO CONTRA FLUXO, CAPACIDADE DE 40 A 80 T/H</t>
  </si>
  <si>
    <t>S9914</t>
  </si>
  <si>
    <t>USINA DE CONCRETO FIXA, CAPACIDADE NOMINAL DE 90 A 120 M3/H, SEM SILO</t>
  </si>
  <si>
    <t>S9921</t>
  </si>
  <si>
    <t>USINA MISTURADORA DE SOLOS, DOSADORES TRIPLOS, CALHA VIBRATORIA CAPACIDADE DE 200 A 500 T/H, POTENCIA DE 75 KW</t>
  </si>
  <si>
    <t>S993</t>
  </si>
  <si>
    <t>S994</t>
  </si>
  <si>
    <t>S995</t>
  </si>
  <si>
    <t>S996</t>
  </si>
  <si>
    <t>S998</t>
  </si>
  <si>
    <t>S999</t>
  </si>
  <si>
    <t>TERMO DE RESPONSABILIDADE</t>
  </si>
  <si>
    <t>O profissional signatário deste, abaixo identificado, se responsabiliza pelo atendimento integral do contido na legislação, que determinam os procedimentos para elaboração e apresentação de orçamentos/projetos, bem como pelo correto uso dos modelos e tabelas vigentes. O objeto deste Termo refere-se à correspondente ART/RRT abaixo</t>
  </si>
  <si>
    <t>ART/RRT nº :</t>
  </si>
  <si>
    <t>CREA:</t>
  </si>
  <si>
    <t>______________________________</t>
  </si>
  <si>
    <t>TERMO DE LIBERAÇÃO DOS DIREITOS AUTORAIS</t>
  </si>
  <si>
    <t>O profissional signatário deste, abaixo identificado, concede à SECID a liberação dos direitos autorais relativos às composições de serviços por ele elaboradas correspondente a ART/RRT abaixo</t>
  </si>
  <si>
    <t>RELAÇÃO DE PROJETOS ORÇADOS</t>
  </si>
  <si>
    <t>RES. TÉCNICO:</t>
  </si>
  <si>
    <t>ID</t>
  </si>
  <si>
    <t>DATA DE RECEBIMENTO</t>
  </si>
  <si>
    <t>Nº DAS FOLHAS</t>
  </si>
  <si>
    <t>TÍTULO</t>
  </si>
  <si>
    <t>NOME DO ARQUIVO</t>
  </si>
  <si>
    <t>VERSÃO REVISÃO</t>
  </si>
  <si>
    <t>RECEBIDO ORÇAMENTISTA</t>
  </si>
  <si>
    <t>RECEBIDO 
FISCALIZAÇÃO</t>
  </si>
  <si>
    <t>PROJETOS ARQUITETÔNICOS</t>
  </si>
  <si>
    <t>LISTA DE QUANTIDADES ARQUITETURA</t>
  </si>
  <si>
    <t>616.03 QUANTITATIVOS</t>
  </si>
  <si>
    <t>R00</t>
  </si>
  <si>
    <t>PROJETOS COMPLEMENTARES</t>
  </si>
  <si>
    <t>CANTEIRO</t>
  </si>
  <si>
    <t>MAT PAD PE-CTO-001-MEM-DES_R00</t>
  </si>
  <si>
    <t>IMPERMEABILIZAÇÃO</t>
  </si>
  <si>
    <t>MAT PAD PE-IMP-001-MEM-DES_R00</t>
  </si>
  <si>
    <t>LISTA DE MATERIAIS</t>
  </si>
  <si>
    <t>CLIMATIZAÇÃO</t>
  </si>
  <si>
    <t>MAT PE-CDA-013-RM_R00</t>
  </si>
  <si>
    <t>INSTALAÇÃO ELETRICA</t>
  </si>
  <si>
    <t>MAT PL-ELE-001-QTV-R00</t>
  </si>
  <si>
    <t>ESTRUTURA METÁLICA</t>
  </si>
  <si>
    <t>MAT PE-ETM-000-MEM-QTC_R00</t>
  </si>
  <si>
    <t>ESTRUTURA CONCRETO</t>
  </si>
  <si>
    <t>MAT PE-ETC-000-MEM-QTC_R00</t>
  </si>
  <si>
    <t>GASES MEDICINAIS</t>
  </si>
  <si>
    <t>MAT PE-GMD-001-REL-QTV_R00</t>
  </si>
  <si>
    <t>MAT PE-HID-001-MEM-QTV_R00</t>
  </si>
  <si>
    <t>COMBATE INCENDIO</t>
  </si>
  <si>
    <t>MAT PE-PCI-001-MEM-QTV_R00a</t>
  </si>
  <si>
    <t>COMUNICAÇÃO VISUAL</t>
  </si>
  <si>
    <t>MAT PAD PE-CMV-001-MEM-DES_R00</t>
  </si>
  <si>
    <t>645.01 MAT PE-ALE-001-PLN-IMP_R00</t>
  </si>
  <si>
    <t>645.01 MAT PE-CBE-001-PLN-IMP_R00</t>
  </si>
  <si>
    <t>645.01 MAT PE-ELE-001-PLN-IMP_R00</t>
  </si>
  <si>
    <t>645.01 MAT PE-ELE-002-PLN-IMP_R00</t>
  </si>
  <si>
    <t>645.01 MAT PE-ELE-003-PLN-IMP_R00</t>
  </si>
  <si>
    <t>MAT PE-FUN-001-PLN-IMP_R00</t>
  </si>
  <si>
    <t>MAT PE-FUN-002-PLN-SIT_R00</t>
  </si>
  <si>
    <t>ENCARGOS SOCIAIS SOBRE CUSTOS DA MÃO DE OBRA HORISTA E MENSALISTA</t>
  </si>
  <si>
    <t>Resolução SECID N° 027/2025</t>
  </si>
  <si>
    <t>Vigência a partir de: JANEIRO/2025</t>
  </si>
  <si>
    <t>ENCARGOS SOCIAIS SOBRE A MÃO DE OBRA (NÃO DESONERADA)</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</si>
  <si>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</si>
  <si>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</si>
  <si>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</si>
  <si>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</si>
  <si>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</si>
  <si>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</si>
  <si>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</si>
  <si>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</si>
  <si>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</si>
  <si>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</si>
  <si>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</si>
  <si>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</si>
  <si>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</si>
  <si>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</si>
  <si>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</si>
  <si>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</si>
  <si>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</si>
  <si>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</si>
  <si>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</si>
  <si>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</si>
  <si>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</si>
  <si>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</si>
  <si>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Total dos Encargos Sociais Básicos</t>
  </si>
  <si>
    <t>GRUPO B</t>
  </si>
  <si>
    <t>B1</t>
  </si>
  <si>
    <t>Repouso Semanal Remunerado</t>
  </si>
  <si>
    <t>Não incide</t>
  </si>
  <si>
    <t>B2</t>
  </si>
  <si>
    <t>Feriados</t>
  </si>
  <si>
    <t>B3</t>
  </si>
  <si>
    <t>Auxílio-Enfermidade</t>
  </si>
  <si>
    <t>B4</t>
  </si>
  <si>
    <t>13° Salário</t>
  </si>
  <si>
    <t>B5</t>
  </si>
  <si>
    <t>Licença Paternidade</t>
  </si>
  <si>
    <t>B6</t>
  </si>
  <si>
    <t>Faltas Justificadas</t>
  </si>
  <si>
    <t>B7</t>
  </si>
  <si>
    <t>Dias de Chuva</t>
  </si>
  <si>
    <t>B8</t>
  </si>
  <si>
    <t>Auxílio Acidente de Trabalho</t>
  </si>
  <si>
    <t>B9</t>
  </si>
  <si>
    <t>Férias Gozadas</t>
  </si>
  <si>
    <t>B10</t>
  </si>
  <si>
    <t>Salário Maternidade</t>
  </si>
  <si>
    <t>B</t>
  </si>
  <si>
    <t>Total dos Encargos Sociais que recebem incidência de A</t>
  </si>
  <si>
    <t>GRUPO C</t>
  </si>
  <si>
    <t>C1</t>
  </si>
  <si>
    <t>Aviso Prévio Indenizado</t>
  </si>
  <si>
    <t>C2</t>
  </si>
  <si>
    <t>Aviso Prévio Trabalhado</t>
  </si>
  <si>
    <t>C3</t>
  </si>
  <si>
    <t>Férias Indenizadas</t>
  </si>
  <si>
    <t>C4</t>
  </si>
  <si>
    <t>Depósito Rescisão Sem Justa Causa</t>
  </si>
  <si>
    <t>C5</t>
  </si>
  <si>
    <t>Indenização Adicional</t>
  </si>
  <si>
    <t>C</t>
  </si>
  <si>
    <t>Total dos Encargos Sociais que não recebem incidência de A</t>
  </si>
  <si>
    <t>GRUPO D</t>
  </si>
  <si>
    <t>D1</t>
  </si>
  <si>
    <t>Reincidência do Grupo A sobre o Grupo B</t>
  </si>
  <si>
    <t>D2</t>
  </si>
  <si>
    <t>Reincidência do Grupo A sobre Aviso Prévio Trabalhado e</t>
  </si>
  <si>
    <t>Reincidência do FGTS sobre Aviso Prévio Indenizado</t>
  </si>
  <si>
    <t>D</t>
  </si>
  <si>
    <t>Total de Reincidências de um grupo sobre o outro</t>
  </si>
  <si>
    <t>TOTAL (A+B+C+D)</t>
  </si>
  <si>
    <t>Fonte: Informação Dias de Chuva - INMET</t>
  </si>
  <si>
    <t>Itens Revisados</t>
  </si>
  <si>
    <t>Esquadrias: porta semi-oca PCD para porta maciça</t>
  </si>
  <si>
    <t>DET Portas_orc_R01</t>
  </si>
  <si>
    <t>R01</t>
  </si>
  <si>
    <t>Inclusão de base/tablhado para caixa d'água</t>
  </si>
  <si>
    <t>Projeto Arq</t>
  </si>
  <si>
    <t>PROJETOS ESTRUTURAIS</t>
  </si>
  <si>
    <t>Erick William da Silva Damaceno</t>
  </si>
  <si>
    <t>Engenheiro Civil</t>
  </si>
  <si>
    <t>211052/D</t>
  </si>
  <si>
    <t>Prefeitura Municipal de Imbaú</t>
  </si>
  <si>
    <t>(41) 9 8737-8029</t>
  </si>
  <si>
    <t>engerickdamaceno@gmail.com</t>
  </si>
  <si>
    <t>C3368</t>
  </si>
  <si>
    <t>C3367</t>
  </si>
  <si>
    <t>C3369</t>
  </si>
  <si>
    <t>ARMAÇÃO DE MURO/CORTINA DE CONCRETO ARMADO, EXCETO VIGAS, PILARES, LAJES E FUNDAÇÕES, UTILIZANDO AÇO CA-60 DE 5,0 MM - MONTAGEM. AF_06/2022.</t>
  </si>
  <si>
    <t>EXECUÇÃO DE CANALETA DE CONCRETO PARA DRENAGEM SUPERFICIAL, TIPO MEIA CANA, ASSENTADA EM ARGAMASSA, NA PARTE SUPERIOR EXTERNA DO TALUDE, INCLUSIVE ESCAVAÇÃO MANUAL DE VALA, ASSENTAMENTO E ACABAMENTO.</t>
  </si>
  <si>
    <t>FORNECIMENTO DE CONCRETO USINADO BOMBEÁVEL, CLASSE DE RESISTÊNCIA C25, COM BRITA 0 E 1, SLUMP = 100 +/- 20 MM, INCLUI SERVIÇO DE BOMBEAMENTO, SEM LANÇAMENTO, COM MÃO DE OBRA E SERVIÇOS AUXILIARES PARA APLICAÇÃO + CONCRETAGEM DE CORTINA DE CONTENÇÃO, ATRAVÉS DE BOMBA, COM LANÇAMENTO, ADENSAMENTO E ACABAMENTO.</t>
  </si>
  <si>
    <t>FÔRMAS E ARMADURAS</t>
  </si>
  <si>
    <t>CONCRETAGEM DA ESTRUTURA</t>
  </si>
  <si>
    <t>DRENAGEM SUPERFICIAL EXTERNA</t>
  </si>
  <si>
    <t>MURO DE ARRIMO EM BALANÇO, EM CONCRETO ARMADO, TIPO L</t>
  </si>
  <si>
    <t>TERRAPLENAGEM</t>
  </si>
  <si>
    <t>ALVENARIA</t>
  </si>
  <si>
    <t>REVESTIMENTO</t>
  </si>
  <si>
    <t>GRADIL DE FECHAMENTO</t>
  </si>
  <si>
    <t>C4725</t>
  </si>
  <si>
    <t>C3370</t>
  </si>
  <si>
    <t>CERCA/GRADIL NYLOFOR H=2,43M, MALHA 5 X 20CM - FIO 5,00MM, COM FIXADORES DE
POLIAMIDA EM POSTE 40 x 60 MM CHUMBADOS EM BASE DE CONCRETO (EXCLUSIVE
ESTA), REVESTIDOS EM POLIESTER POR PROCESSO DE PINTURA ELETROSTÁTICA (GRADIL
E POSTE), NAS CORES VERDE OU BRANCA - FORNECIMENTO E INSTALAÇÃO</t>
  </si>
  <si>
    <t>CERCA/GRADIL NYLOFOR H=2,43M, MALHA 5 X 20CM - FIO 5,00MM, COM FIXADORES DE
POLIAMIDA EM POSTE 40 x 60 MM CHUMBADOS EM BASE DE CONCRETO (EXCLUSIVE ESTA),
REVESTIDOS EM POLIESTER POR PROCESSO DE PINTURA ELETROSTÁTICA (GRADIL E POSTE),
NAS CORES VERDE OU BRANCA - FORNECIMENTO E INSTALAÇÃO</t>
  </si>
  <si>
    <t>PINTURA</t>
  </si>
  <si>
    <t>24.1</t>
  </si>
  <si>
    <t>24.2</t>
  </si>
  <si>
    <t>30.1</t>
  </si>
  <si>
    <t>30.2</t>
  </si>
  <si>
    <t>30.3</t>
  </si>
  <si>
    <t>30.4</t>
  </si>
  <si>
    <t>30.5</t>
  </si>
  <si>
    <t>30.6</t>
  </si>
  <si>
    <t>30.7</t>
  </si>
  <si>
    <t>30.8</t>
  </si>
  <si>
    <t>MURO DE ALVENARIA</t>
  </si>
  <si>
    <t xml:space="preserve">PINTURA </t>
  </si>
  <si>
    <t>C810150</t>
  </si>
  <si>
    <t>C810250</t>
  </si>
  <si>
    <t>C810450</t>
  </si>
  <si>
    <t xml:space="preserve">ASSENTAMENTO DE MEIO FIO DE CONCRETO TIPO 2  DER/PR- PRÉ-MOLDADO </t>
  </si>
  <si>
    <t>ASSENTAMENTO DE MEIO FIO DE CONCRETO TIPO 3 DER/PR - PRÉ-MOLDADO</t>
  </si>
  <si>
    <t>ASSENTAMENTO DE MEIO FIO DE CONCRETO TIPO 5 DER/PR - PRÉ-MOLDADO</t>
  </si>
  <si>
    <t/>
  </si>
  <si>
    <t>MEIO FIO DE CONCRETO TIPO 2 DER /PR (PRÉ-MOLDADO)</t>
  </si>
  <si>
    <t>MEIO FIO DE CONCRETO TIPO 3 DER /PR (PRÉ-MOLDADO)</t>
  </si>
  <si>
    <t>MEIO FIO DE CONCRETO TIPO 5 DER /PR (PRÉ-MOLDADO)</t>
  </si>
  <si>
    <t>DER/PR</t>
  </si>
  <si>
    <t>FOSSA SÉPTICA</t>
  </si>
  <si>
    <t>SUMIDOURO</t>
  </si>
  <si>
    <t>MEMORIA DE CÁLCULO</t>
  </si>
  <si>
    <t>ITEM 19</t>
  </si>
  <si>
    <t>x</t>
  </si>
  <si>
    <t>m3/km</t>
  </si>
  <si>
    <t>Transporte DMT 5 km</t>
  </si>
  <si>
    <t>(retirado projeto)</t>
  </si>
  <si>
    <t>Mureta bloco concreto divisa rua</t>
  </si>
  <si>
    <t>Mureta bloco concreto interno pátio</t>
  </si>
  <si>
    <t>Mureta escada</t>
  </si>
  <si>
    <t>21.0 - PAVIMENTAÇÃO EXTERNA</t>
  </si>
  <si>
    <t>Compactação base com BG</t>
  </si>
  <si>
    <t>Transporte DMT 3,50 km</t>
  </si>
  <si>
    <t>Escavação rebaixo BG</t>
  </si>
  <si>
    <t>Escavação rebaixo Areia</t>
  </si>
  <si>
    <t>Escavação rebaixo Paver</t>
  </si>
  <si>
    <t>Paver</t>
  </si>
  <si>
    <t>Rampa acesso veiculos</t>
  </si>
  <si>
    <t>21.2 - CALÇADAS</t>
  </si>
  <si>
    <t>Piso direcional</t>
  </si>
  <si>
    <t>Demolição passeio existente p/ implantação de piso direcional</t>
  </si>
  <si>
    <t>Calçada externa</t>
  </si>
  <si>
    <t>Lastro de Brita - 5 cm</t>
  </si>
  <si>
    <t>21.3 - GUIAS E MEIO FIO</t>
  </si>
  <si>
    <t>reto</t>
  </si>
  <si>
    <t>curva</t>
  </si>
  <si>
    <t>Guia Pre-fabricada com sarjeta base 25 cm - Tipo 2 DER/PR</t>
  </si>
  <si>
    <t>Guia Pre-fabricada sem sarjeta base 12 cm Tipo 3 DER/PR</t>
  </si>
  <si>
    <t>Guia Pre-fabricada base 25 Tipo 7 DER/PR</t>
  </si>
  <si>
    <t>22.1 - PORTÕES</t>
  </si>
  <si>
    <t>Portão de tela</t>
  </si>
  <si>
    <t>24.0 - PAISAGISMO</t>
  </si>
  <si>
    <t>Grama Esmeralda</t>
  </si>
  <si>
    <t>taludes</t>
  </si>
  <si>
    <t>jardins</t>
  </si>
  <si>
    <t>Bancos de concreto</t>
  </si>
  <si>
    <t>Demarcação estacionamento</t>
  </si>
  <si>
    <t>Funcionarios</t>
  </si>
  <si>
    <t>Publico</t>
  </si>
  <si>
    <t>Moto</t>
  </si>
  <si>
    <t>com quebra de calçada existente</t>
  </si>
  <si>
    <t>em calçada nova</t>
  </si>
  <si>
    <t>24.2.1</t>
  </si>
  <si>
    <t>RUA DO SOL, S/N - BAIRRO DO SOL - IMBAU/PR 84250-000</t>
  </si>
  <si>
    <t>CALÇADA EXTERNA</t>
  </si>
  <si>
    <t>23.1.1</t>
  </si>
  <si>
    <t>23.1.2</t>
  </si>
  <si>
    <t>23.1.3</t>
  </si>
  <si>
    <t>MUROS</t>
  </si>
  <si>
    <t>20.1.1</t>
  </si>
  <si>
    <t>20.1.2</t>
  </si>
  <si>
    <t>20.1.3</t>
  </si>
  <si>
    <t>20.1.4</t>
  </si>
  <si>
    <t>20.1.5</t>
  </si>
  <si>
    <t>20.2.1</t>
  </si>
  <si>
    <t>20.2.2</t>
  </si>
  <si>
    <t>20.2.3</t>
  </si>
  <si>
    <t>20.2.4</t>
  </si>
  <si>
    <t>31.1</t>
  </si>
  <si>
    <t>FILTRO</t>
  </si>
  <si>
    <t>31.3</t>
  </si>
  <si>
    <t>31.2</t>
  </si>
  <si>
    <t>SISTEMA DE TRATAMENTO DE EFLUENTES</t>
  </si>
  <si>
    <t>20.1.6</t>
  </si>
  <si>
    <t>MEMÓRIA DE CÁLCULO</t>
  </si>
  <si>
    <t>ITEM 20</t>
  </si>
  <si>
    <t>ITEM 31</t>
  </si>
  <si>
    <t>UNIDADE</t>
  </si>
  <si>
    <t>MOVIMENTAÇÃO DE TERRA</t>
  </si>
  <si>
    <t>19.1.1</t>
  </si>
  <si>
    <t>Limpeza do terreno</t>
  </si>
  <si>
    <t>m²</t>
  </si>
  <si>
    <t>19.1.2</t>
  </si>
  <si>
    <t>Carga, manobra e descarga da limpeza</t>
  </si>
  <si>
    <t>2.894,00 × 0,10</t>
  </si>
  <si>
    <t>m³</t>
  </si>
  <si>
    <t>19.1.3</t>
  </si>
  <si>
    <t>Transporte DMT 10 km</t>
  </si>
  <si>
    <t>289,40 × 10,00</t>
  </si>
  <si>
    <t>m³×km</t>
  </si>
  <si>
    <t>19.2.1</t>
  </si>
  <si>
    <t>Espalhamento de material</t>
  </si>
  <si>
    <t>Retirado do projeto</t>
  </si>
  <si>
    <t>19.2.2</t>
  </si>
  <si>
    <t>Execução e compactação de corpo de aterro</t>
  </si>
  <si>
    <t>Retirado do orçamento</t>
  </si>
  <si>
    <t>19.2.3</t>
  </si>
  <si>
    <t>Bota-fora</t>
  </si>
  <si>
    <t>19.2.4</t>
  </si>
  <si>
    <t>3.448,27 × 5,00</t>
  </si>
  <si>
    <t>20.1.1.1</t>
  </si>
  <si>
    <t>Escavação mecanizada de vala</t>
  </si>
  <si>
    <t>20.1.2.1</t>
  </si>
  <si>
    <t>Fôrma para cortina de contenção</t>
  </si>
  <si>
    <t>628,90 + 213,52</t>
  </si>
  <si>
    <t>Projeto estrutural</t>
  </si>
  <si>
    <t>20.1.2.2</t>
  </si>
  <si>
    <t>Aço CA-50 Ø 6,3 mm</t>
  </si>
  <si>
    <t>2.273,10 + 649,80</t>
  </si>
  <si>
    <t>20.1.2.3</t>
  </si>
  <si>
    <t>Aço CA-50 Ø 10,0 mm</t>
  </si>
  <si>
    <t>313,50 + 215,00</t>
  </si>
  <si>
    <t>20.1.2.4</t>
  </si>
  <si>
    <t>Aço CA-60 Ø 5,0 mm</t>
  </si>
  <si>
    <t>281,10 + 93,50</t>
  </si>
  <si>
    <t>20.1.3.1</t>
  </si>
  <si>
    <t>Concreto C25</t>
  </si>
  <si>
    <t>65,22 + 22,11</t>
  </si>
  <si>
    <t>20.1.4.1</t>
  </si>
  <si>
    <t>Canaleta de concreto tipo meia cana</t>
  </si>
  <si>
    <t>20.1.5.1</t>
  </si>
  <si>
    <t>Impermeabilização com manta asfáltica</t>
  </si>
  <si>
    <t>20.1.5.3</t>
  </si>
  <si>
    <t>Proteção mecânica vertical</t>
  </si>
  <si>
    <t>Área vertical impermeabilizada</t>
  </si>
  <si>
    <t>20.1.6.1</t>
  </si>
  <si>
    <t>Pintura texturizada acrílica em parede externa</t>
  </si>
  <si>
    <t>Área aparente</t>
  </si>
  <si>
    <t>20.2.1.1</t>
  </si>
  <si>
    <t>Muro divisa estacionamento</t>
  </si>
  <si>
    <t>25,00 × 2,20</t>
  </si>
  <si>
    <t>20.2.1.2</t>
  </si>
  <si>
    <t>66,00 × 0,40</t>
  </si>
  <si>
    <t>20.2.1.3</t>
  </si>
  <si>
    <t>15,00 × 0,40</t>
  </si>
  <si>
    <t>20.2.1.4</t>
  </si>
  <si>
    <t>5,40 × 1,15</t>
  </si>
  <si>
    <t>20.2.1.5</t>
  </si>
  <si>
    <t>Mureta rampa veículo</t>
  </si>
  <si>
    <t>14,00 × 1,00</t>
  </si>
  <si>
    <t>20.2.1.6</t>
  </si>
  <si>
    <t>Mureta rampa cadeirante</t>
  </si>
  <si>
    <t>7,20 × 0,40</t>
  </si>
  <si>
    <t>20.2.1.7</t>
  </si>
  <si>
    <t>3,60 × 0,40</t>
  </si>
  <si>
    <t>20.2.1.8</t>
  </si>
  <si>
    <t>Alvenaria de blocos de concreto</t>
  </si>
  <si>
    <t>Quantidade adotada em planilha</t>
  </si>
  <si>
    <t>20.2.2.1</t>
  </si>
  <si>
    <t>Emboço ou massa única</t>
  </si>
  <si>
    <t>81,89 + 55,00</t>
  </si>
  <si>
    <t>20.2.3.1</t>
  </si>
  <si>
    <t>Pintura texturizada acrílica</t>
  </si>
  <si>
    <t>Área revestida</t>
  </si>
  <si>
    <t>20.2.4.1</t>
  </si>
  <si>
    <t>Gradil Nylofor interno</t>
  </si>
  <si>
    <t>20.2.4.2</t>
  </si>
  <si>
    <t>Gradil Nylofor externo</t>
  </si>
  <si>
    <t>20.2.4.3</t>
  </si>
  <si>
    <t>Gradil Nylofor total</t>
  </si>
  <si>
    <t>14,00 + 173,93</t>
  </si>
  <si>
    <t>20.2.4.4</t>
  </si>
  <si>
    <t>Baldrame — concreto</t>
  </si>
  <si>
    <t>173,93 × 0,20 × 0,30</t>
  </si>
  <si>
    <t>20.2.4.5</t>
  </si>
  <si>
    <t>Aço CA-50 Ø 8,0 mm</t>
  </si>
  <si>
    <t>695,72 × 0,395</t>
  </si>
  <si>
    <t>20.2.4.6</t>
  </si>
  <si>
    <t>Fôrma do baldrame</t>
  </si>
  <si>
    <t>173,93 × 0,30 × 2,00</t>
  </si>
  <si>
    <t>20.2.4.7</t>
  </si>
  <si>
    <t>Estaca broca moldada in loco</t>
  </si>
  <si>
    <t>70,00 × 2,00</t>
  </si>
  <si>
    <t>31.0</t>
  </si>
  <si>
    <t>31.1.1</t>
  </si>
  <si>
    <t>Tanque séptico circular</t>
  </si>
  <si>
    <t>31.1.2</t>
  </si>
  <si>
    <t>Escavação vertical</t>
  </si>
  <si>
    <t>31.1.3</t>
  </si>
  <si>
    <t>Reaterro manual</t>
  </si>
  <si>
    <t>31.1.5</t>
  </si>
  <si>
    <t>31.2.1</t>
  </si>
  <si>
    <t>Sumidouro circular</t>
  </si>
  <si>
    <t>31.2.2</t>
  </si>
  <si>
    <t>31.2.3</t>
  </si>
  <si>
    <t>FILTRO ANAERÓBIO</t>
  </si>
  <si>
    <t>31.3.1</t>
  </si>
  <si>
    <t>Filtro anaeróbio circular</t>
  </si>
  <si>
    <t>31.3.2</t>
  </si>
  <si>
    <t>31.3.3</t>
  </si>
  <si>
    <t>Face em contato com solo</t>
  </si>
  <si>
    <t>Projeto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</si>
</sst>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4" formatCode="_-&quot;R$&quot;\ * #,##0.00_-;\-&quot;R$&quot;\ * #,##0.00_-;_-&quot;R$&quot;\ * &quot;-&quot;??_-;_-@_-"/>
    <numFmt numFmtId="43" formatCode="_-* #,##0.00_-;\-* #,##0.00_-;_-* &quot;-&quot;??_-;_-@_-"/>
    <numFmt numFmtId="164" formatCode="&quot;R$ &quot;#,##0.00"/>
    <numFmt numFmtId="165" formatCode="_-* #,##0.00_-;\-* #,##0.00_-;_-* \-??_-;_-@"/>
    <numFmt numFmtId="166" formatCode="d/m/yyyy"/>
    <numFmt numFmtId="167" formatCode="dd/mm/yy"/>
    <numFmt numFmtId="168" formatCode="_(&quot;R$&quot;* #,##0.00_);_(&quot;R$&quot;* \(#,##0.00\);_(&quot;R$&quot;* \-??_);_(@_)"/>
    <numFmt numFmtId="169" formatCode="0.0000%"/>
    <numFmt numFmtId="170" formatCode="0.0%"/>
    <numFmt numFmtId="171" formatCode="#,##0.00\ ;[Red]\(#,##0.00\)"/>
    <numFmt numFmtId="172" formatCode="0.0"/>
    <numFmt numFmtId="173" formatCode="#,##0.00\ ;[Red]#,##0.00"/>
    <numFmt numFmtId="174" formatCode="#00\.000\.000\-0"/>
    <numFmt numFmtId="175" formatCode="mm/yy"/>
    <numFmt numFmtId="176" formatCode="&quot;DATA:  &quot;dd/mm/yyyy"/>
    <numFmt numFmtId="177" formatCode="_-* #,##0.00_-;\-* #,##0.00_-;_-* \-??_-;_-@_-"/>
    <numFmt numFmtId="178" formatCode="#,##0.00_ ;\-#,##0.00\ "/>
    <numFmt numFmtId="179" formatCode="_-&quot;R$ &quot;* #,##0.00_-;&quot;-R$ &quot;* #,##0.00_-;_-&quot;R$ &quot;* \-??_-;_-@"/>
    <numFmt numFmtId="180" formatCode="00"/>
    <numFmt numFmtId="181" formatCode="#,##0.00_);[Red]\-#,##0.00;;"/>
    <numFmt numFmtId="182" formatCode="##\.###\.###\-#"/>
    <numFmt numFmtId="183" formatCode="#&quot; DIAS&quot;"/>
    <numFmt numFmtId="184" formatCode="d/mmm/yy"/>
    <numFmt numFmtId="185" formatCode="#,##0.00_);[Red]\-#,##0.0;;"/>
    <numFmt numFmtId="186" formatCode="#,##0.00_ ;[Red]\-#,##0.00\ "/>
    <numFmt numFmtId="187" formatCode="_(* #,##0.00_);_(* \(#,##0.00\);_(* \-??_);_(@_)"/>
    <numFmt numFmtId="188" formatCode="0.000000%"/>
    <numFmt numFmtId="189" formatCode="0.0000"/>
    <numFmt numFmtId="190" formatCode="000000"/>
    <numFmt numFmtId="191" formatCode="0.000000"/>
    <numFmt numFmtId="192" formatCode="0.0000000"/>
    <numFmt numFmtId="193" formatCode="_-* #,##0.0000_-;\-* #,##0.0000_-;_-* \-??_-;_-@"/>
    <numFmt numFmtId="194" formatCode="&quot;R$ &quot;#,##0.00;[Red]&quot;-R$ &quot;#,##0.00"/>
    <numFmt numFmtId="195" formatCode="#,##0.00;&quot;- &quot;#,##0.00;\-"/>
    <numFmt numFmtId="196" formatCode="_-&quot;R$ &quot;* #,##0.00_-;&quot;-R$ &quot;* #,##0.00_-;_-&quot;R$ &quot;* \-??_-;_-@_-"/>
  </numFmts>
  <fonts count="76" x14ac:knownFonts="1">
    <font>
      <sz val="11"/>
      <color rgb="FF000000"/>
      <name val="Calibri"/>
      <charset val="1"/>
    </font>
    <font>
      <sz val="9"/>
      <color rgb="FF9A0005"/>
      <name val="Arial"/>
      <charset val="1"/>
    </font>
    <font>
      <sz val="10"/>
      <color rgb="FF000000"/>
      <name val="Arial"/>
      <charset val="1"/>
    </font>
    <font>
      <b/>
      <sz val="12"/>
      <color rgb="FF000000"/>
      <name val="Arial"/>
      <charset val="1"/>
    </font>
    <font>
      <sz val="12"/>
      <color rgb="FF000000"/>
      <name val="Arial"/>
      <charset val="1"/>
    </font>
    <font>
      <b/>
      <sz val="10"/>
      <color rgb="FF000000"/>
      <name val="Arial"/>
      <charset val="1"/>
    </font>
    <font>
      <i/>
      <sz val="10"/>
      <color rgb="FF000000"/>
      <name val="Arial"/>
      <charset val="1"/>
    </font>
    <font>
      <b/>
      <i/>
      <sz val="10"/>
      <color rgb="FF000000"/>
      <name val="Arial"/>
      <charset val="1"/>
    </font>
    <font>
      <b/>
      <u/>
      <sz val="10"/>
      <color rgb="FF0000FF"/>
      <name val="Arial"/>
      <charset val="1"/>
    </font>
    <font>
      <b/>
      <sz val="11"/>
      <color rgb="FF9A0005"/>
      <name val="Calibri"/>
      <charset val="1"/>
    </font>
    <font>
      <b/>
      <sz val="9"/>
      <color rgb="FF000000"/>
      <name val="Arial"/>
      <charset val="1"/>
    </font>
    <font>
      <b/>
      <sz val="11"/>
      <color rgb="FF000000"/>
      <name val="Arial"/>
      <charset val="1"/>
    </font>
    <font>
      <b/>
      <sz val="12"/>
      <color rgb="FF000000"/>
      <name val="Calibri"/>
      <charset val="1"/>
    </font>
    <font>
      <b/>
      <sz val="11"/>
      <color rgb="FF000000"/>
      <name val="Calibri"/>
      <charset val="1"/>
    </font>
    <font>
      <sz val="10"/>
      <color rgb="FF000000"/>
      <name val="Calibri"/>
      <charset val="1"/>
    </font>
    <font>
      <b/>
      <sz val="10"/>
      <color rgb="FF000000"/>
      <name val="Calibri"/>
      <charset val="1"/>
    </font>
    <font>
      <b/>
      <sz val="12"/>
      <color rgb="FFFF0000"/>
      <name val="Arial"/>
      <charset val="1"/>
    </font>
    <font>
      <sz val="11"/>
      <color rgb="FF000000"/>
      <name val="Arial"/>
      <charset val="1"/>
    </font>
    <font>
      <sz val="12"/>
      <color rgb="FF000000"/>
      <name val="Calibri"/>
      <charset val="1"/>
    </font>
    <font>
      <sz val="12"/>
      <color rgb="FF000000"/>
      <name val="Times New Roman"/>
      <charset val="1"/>
    </font>
    <font>
      <b/>
      <sz val="13"/>
      <color rgb="FF000000"/>
      <name val="Calibri"/>
      <charset val="1"/>
    </font>
    <font>
      <sz val="9"/>
      <color rgb="FF000000"/>
      <name val="Arial"/>
      <charset val="1"/>
    </font>
    <font>
      <b/>
      <sz val="9"/>
      <color rgb="FFFFFFFF"/>
      <name val="Arial"/>
      <charset val="1"/>
    </font>
    <font>
      <b/>
      <sz val="11"/>
      <color rgb="FFFFFFFF"/>
      <name val="Calibri"/>
      <charset val="1"/>
    </font>
    <font>
      <sz val="11"/>
      <color rgb="FF1F497D"/>
      <name val="Calibri"/>
      <charset val="1"/>
    </font>
    <font>
      <sz val="10"/>
      <color rgb="FF1F497D"/>
      <name val="Calibri"/>
      <charset val="1"/>
    </font>
    <font>
      <sz val="11"/>
      <color rgb="FF333399"/>
      <name val="Calibri"/>
      <charset val="1"/>
    </font>
    <font>
      <sz val="10"/>
      <color rgb="FF333399"/>
      <name val="Calibri"/>
      <charset val="1"/>
    </font>
    <font>
      <sz val="11"/>
      <name val="Calibri"/>
      <family val="2"/>
      <charset val="1"/>
    </font>
    <font>
      <sz val="10"/>
      <name val="Calibri"/>
      <family val="2"/>
      <charset val="1"/>
    </font>
    <font>
      <b/>
      <sz val="10"/>
      <name val="Calibri"/>
      <family val="2"/>
      <charset val="1"/>
    </font>
    <font>
      <b/>
      <sz val="9"/>
      <name val="Calibri"/>
      <family val="2"/>
      <charset val="1"/>
    </font>
    <font>
      <b/>
      <sz val="11"/>
      <color rgb="FFFF0000"/>
      <name val="Calibri"/>
      <charset val="1"/>
    </font>
    <font>
      <sz val="8"/>
      <color rgb="FF000000"/>
      <name val="Arial"/>
      <charset val="1"/>
    </font>
    <font>
      <sz val="10"/>
      <name val="Calibri"/>
      <charset val="1"/>
    </font>
    <font>
      <sz val="8"/>
      <name val="Arial"/>
      <charset val="1"/>
    </font>
    <font>
      <b/>
      <sz val="11"/>
      <name val="Calibri"/>
      <charset val="1"/>
    </font>
    <font>
      <sz val="11"/>
      <name val="Calibri"/>
      <charset val="1"/>
    </font>
    <font>
      <b/>
      <sz val="10"/>
      <name val="Calibri"/>
      <charset val="1"/>
    </font>
    <font>
      <sz val="8"/>
      <name val="Calibri"/>
      <family val="2"/>
      <charset val="1"/>
    </font>
    <font>
      <b/>
      <sz val="12"/>
      <color rgb="FFFF0000"/>
      <name val="Calibri"/>
      <charset val="1"/>
    </font>
    <font>
      <b/>
      <sz val="9"/>
      <color rgb="FF000000"/>
      <name val="Calibri"/>
      <charset val="1"/>
    </font>
    <font>
      <b/>
      <sz val="8"/>
      <color rgb="FF000000"/>
      <name val="Calibri"/>
      <charset val="1"/>
    </font>
    <font>
      <sz val="8"/>
      <color rgb="FF000000"/>
      <name val="Calibri"/>
      <charset val="1"/>
    </font>
    <font>
      <sz val="9"/>
      <color rgb="FF000000"/>
      <name val="Calibri"/>
      <charset val="1"/>
    </font>
    <font>
      <sz val="6"/>
      <color rgb="FF000000"/>
      <name val="Calibri"/>
      <charset val="1"/>
    </font>
    <font>
      <b/>
      <sz val="6"/>
      <color rgb="FF000000"/>
      <name val="Calibri"/>
      <charset val="1"/>
    </font>
    <font>
      <b/>
      <sz val="7"/>
      <color rgb="FF000000"/>
      <name val="Calibri"/>
      <charset val="1"/>
    </font>
    <font>
      <sz val="7"/>
      <color rgb="FF000000"/>
      <name val="Calibri"/>
      <charset val="1"/>
    </font>
    <font>
      <b/>
      <sz val="8"/>
      <color rgb="FF000000"/>
      <name val="Arial"/>
      <charset val="1"/>
    </font>
    <font>
      <sz val="11"/>
      <color rgb="FF4F81BD"/>
      <name val="Calibri"/>
      <charset val="1"/>
    </font>
    <font>
      <u/>
      <sz val="8"/>
      <color rgb="FF000000"/>
      <name val="Calibri"/>
      <charset val="1"/>
    </font>
    <font>
      <u/>
      <sz val="8"/>
      <color rgb="FF0000FF"/>
      <name val="Calibri"/>
      <charset val="1"/>
    </font>
    <font>
      <sz val="10"/>
      <color rgb="FFFF0000"/>
      <name val="Arial"/>
      <charset val="1"/>
    </font>
    <font>
      <sz val="10"/>
      <color rgb="FFFF3399"/>
      <name val="Arial"/>
      <charset val="1"/>
    </font>
    <font>
      <b/>
      <sz val="10"/>
      <color rgb="FFFFFFFF"/>
      <name val="Arial"/>
      <charset val="1"/>
    </font>
    <font>
      <b/>
      <sz val="10"/>
      <color rgb="FF005CA9"/>
      <name val="Arial"/>
      <charset val="1"/>
    </font>
    <font>
      <u/>
      <sz val="11"/>
      <color rgb="FF0000FF"/>
      <name val="Calibri"/>
      <charset val="1"/>
    </font>
    <font>
      <u/>
      <sz val="11"/>
      <color theme="10"/>
      <name val="Calibri"/>
      <charset val="1"/>
    </font>
    <font>
      <b/>
      <sz val="10"/>
      <color rgb="FF000000"/>
      <name val="Calibri"/>
      <family val="2"/>
    </font>
    <font>
      <sz val="9"/>
      <color rgb="FF000000"/>
      <name val="Calibri"/>
      <family val="2"/>
    </font>
    <font>
      <sz val="11"/>
      <color rgb="FF000000"/>
      <name val="Calibri"/>
      <charset val="1"/>
    </font>
    <font>
      <sz val="10"/>
      <name val="Arial"/>
      <family val="2"/>
    </font>
    <font>
      <sz val="12"/>
      <color rgb="FF000000"/>
      <name val="Arial"/>
      <family val="2"/>
      <charset val="1"/>
    </font>
    <font>
      <sz val="12"/>
      <color rgb="FF000000"/>
      <name val="Calibri"/>
      <family val="2"/>
      <charset val="1"/>
    </font>
    <font>
      <sz val="11"/>
      <color rgb="FF000000"/>
      <name val="Calibri"/>
      <family val="2"/>
      <charset val="1"/>
    </font>
    <font>
      <sz val="8"/>
      <name val="Arial"/>
      <family val="2"/>
      <charset val="1"/>
    </font>
    <font>
      <sz val="10"/>
      <name val="Arial"/>
      <family val="2"/>
      <charset val="1"/>
    </font>
    <font>
      <b/>
      <sz val="10"/>
      <name val="Arial"/>
      <family val="2"/>
    </font>
    <font>
      <sz val="11"/>
      <color indexed="8"/>
      <name val="Calibri"/>
      <family val="2"/>
    </font>
    <font>
      <sz val="10"/>
      <name val="Calibri"/>
      <family val="2"/>
    </font>
    <font>
      <b/>
      <sz val="18"/>
      <name val="Arial"/>
      <family val="2"/>
    </font>
    <font>
      <sz val="8"/>
      <name val="Arial"/>
      <family val="2"/>
    </font>
    <font>
      <sz val="10"/>
      <color rgb="FFFFFF00"/>
      <name val="Arial"/>
      <family val="2"/>
    </font>
    <font>
      <sz val="10"/>
      <color rgb="FF00B0F0"/>
      <name val="Arial"/>
      <family val="2"/>
    </font>
    <font>
      <sz val="10"/>
      <color rgb="FFDA9694"/>
      <name val="Arial"/>
      <family val="2"/>
    </font>
  </fonts>
  <fills count="29">
    <fill>
      <patternFill patternType="none"/>
    </fill>
    <fill>
      <patternFill patternType="gray125"/>
    </fill>
    <fill>
      <patternFill patternType="solid">
        <fgColor rgb="FFFFFF99"/>
        <bgColor rgb="FFFFFFC0"/>
      </patternFill>
    </fill>
    <fill>
      <patternFill patternType="solid">
        <fgColor rgb="FFFFFFFF"/>
        <bgColor rgb="FFFFFFCC"/>
      </patternFill>
    </fill>
    <fill>
      <patternFill patternType="solid">
        <fgColor rgb="FFFFFFC0"/>
        <bgColor rgb="FFFFFFCC"/>
      </patternFill>
    </fill>
    <fill>
      <patternFill patternType="solid">
        <fgColor rgb="FFC0C0C0"/>
        <bgColor rgb="FFBFBFBF"/>
      </patternFill>
    </fill>
    <fill>
      <patternFill patternType="solid">
        <fgColor rgb="FFBFBFBF"/>
        <bgColor rgb="FFC0C0C0"/>
      </patternFill>
    </fill>
    <fill>
      <patternFill patternType="solid">
        <fgColor rgb="FFC6D9F1"/>
        <bgColor rgb="FFD8D8D8"/>
      </patternFill>
    </fill>
    <fill>
      <patternFill patternType="solid">
        <fgColor rgb="FFE3E3E3"/>
        <bgColor rgb="FFDDDDDD"/>
      </patternFill>
    </fill>
    <fill>
      <patternFill patternType="solid">
        <fgColor rgb="FF008064"/>
        <bgColor rgb="FF336666"/>
      </patternFill>
    </fill>
    <fill>
      <patternFill patternType="solid">
        <fgColor rgb="FFD9D9D9"/>
        <bgColor rgb="FFD8D8D8"/>
      </patternFill>
    </fill>
    <fill>
      <patternFill patternType="solid">
        <fgColor rgb="FFFFFFCC"/>
        <bgColor rgb="FFFFFFC0"/>
      </patternFill>
    </fill>
    <fill>
      <patternFill patternType="solid">
        <fgColor rgb="FF8EB4E3"/>
        <bgColor rgb="FF95B3D7"/>
      </patternFill>
    </fill>
    <fill>
      <patternFill patternType="solid">
        <fgColor rgb="FFDBEEF4"/>
        <bgColor rgb="FFE3E3E3"/>
      </patternFill>
    </fill>
    <fill>
      <patternFill patternType="solid">
        <fgColor rgb="FF548CD3"/>
        <bgColor rgb="FF4F81BD"/>
      </patternFill>
    </fill>
    <fill>
      <patternFill patternType="solid">
        <fgColor rgb="FF98D258"/>
        <bgColor rgb="FF92D050"/>
      </patternFill>
    </fill>
    <fill>
      <patternFill patternType="solid">
        <fgColor rgb="FFFFFF00"/>
        <bgColor rgb="FFFFFF99"/>
      </patternFill>
    </fill>
    <fill>
      <patternFill patternType="solid">
        <fgColor rgb="FF00B0F0"/>
        <bgColor rgb="FF548CD3"/>
      </patternFill>
    </fill>
    <fill>
      <patternFill patternType="solid">
        <fgColor rgb="FF336666"/>
        <bgColor rgb="FF33656C"/>
      </patternFill>
    </fill>
    <fill>
      <patternFill patternType="solid">
        <fgColor rgb="FF00FF00"/>
        <bgColor rgb="FF92D050"/>
      </patternFill>
    </fill>
    <fill>
      <patternFill patternType="solid">
        <fgColor rgb="FF95B3D7"/>
        <bgColor rgb="FF8EB4E3"/>
      </patternFill>
    </fill>
    <fill>
      <patternFill patternType="solid">
        <fgColor rgb="FFA6CAF0"/>
        <bgColor rgb="FFA0E0E0"/>
      </patternFill>
    </fill>
    <fill>
      <patternFill patternType="solid">
        <fgColor rgb="FFA0E0E0"/>
        <bgColor rgb="FFA6CAF0"/>
      </patternFill>
    </fill>
    <fill>
      <patternFill patternType="solid">
        <fgColor rgb="FFD8D8D8"/>
        <bgColor rgb="FFD9D9D9"/>
      </patternFill>
    </fill>
    <fill>
      <patternFill patternType="solid">
        <fgColor rgb="FFDDDDDD"/>
        <bgColor rgb="FFD9D9D9"/>
      </patternFill>
    </fill>
    <fill>
      <patternFill patternType="solid">
        <fgColor rgb="FFCCCCCC"/>
        <bgColor rgb="FFD8D8D8"/>
      </patternFill>
    </fill>
    <fill>
      <patternFill patternType="solid">
        <fgColor rgb="FF005CA9"/>
        <bgColor rgb="FF1F497D"/>
      </patternFill>
    </fill>
    <fill>
      <patternFill patternType="solid">
        <fgColor rgb="FFA6CAF0"/>
        <bgColor rgb="FFB9CDE5"/>
      </patternFill>
    </fill>
    <fill>
      <patternFill patternType="solid">
        <fgColor rgb="FF808080"/>
        <bgColor rgb="FF000000"/>
      </patternFill>
    </fill>
  </fills>
  <borders count="79">
    <border>
      <left/>
      <right/>
      <top/>
      <bottom/>
      <diagonal/>
    </border>
    <border>
      <left/>
      <right/>
      <top/>
      <bottom style="double">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right/>
      <top/>
      <bottom style="medium">
        <color auto="1"/>
      </bottom>
      <diagonal/>
    </border>
    <border>
      <left/>
      <right/>
      <top style="medium">
        <color auto="1"/>
      </top>
      <bottom/>
      <diagonal/>
    </border>
    <border>
      <left style="double">
        <color auto="1"/>
      </left>
      <right/>
      <top/>
      <bottom style="double">
        <color auto="1"/>
      </bottom>
      <diagonal/>
    </border>
    <border>
      <left/>
      <right style="double">
        <color auto="1"/>
      </right>
      <top/>
      <bottom style="double">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thin">
        <color auto="1"/>
      </bottom>
      <diagonal/>
    </border>
    <border>
      <left style="thin">
        <color auto="1"/>
      </left>
      <right/>
      <top style="double">
        <color auto="1"/>
      </top>
      <bottom style="thin">
        <color auto="1"/>
      </bottom>
      <diagonal/>
    </border>
    <border>
      <left style="thin">
        <color auto="1"/>
      </left>
      <right style="thin">
        <color auto="1"/>
      </right>
      <top style="double">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style="thin">
        <color auto="1"/>
      </right>
      <top style="double">
        <color auto="1"/>
      </top>
      <bottom style="double">
        <color auto="1"/>
      </bottom>
      <diagonal/>
    </border>
    <border>
      <left style="medium">
        <color auto="1"/>
      </left>
      <right style="medium">
        <color auto="1"/>
      </right>
      <top/>
      <bottom/>
      <diagonal/>
    </border>
    <border>
      <left/>
      <right style="thin">
        <color auto="1"/>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top/>
      <bottom style="thin">
        <color auto="1"/>
      </bottom>
      <diagonal/>
    </border>
    <border>
      <left style="thin">
        <color auto="1"/>
      </left>
      <right/>
      <top style="thin">
        <color auto="1"/>
      </top>
      <bottom style="thin">
        <color auto="1"/>
      </bottom>
      <diagonal/>
    </border>
    <border>
      <left style="thin">
        <color auto="1"/>
      </left>
      <right style="thin">
        <color auto="1"/>
      </right>
      <top style="dotted">
        <color auto="1"/>
      </top>
      <bottom style="dotted">
        <color auto="1"/>
      </bottom>
      <diagonal/>
    </border>
    <border>
      <left/>
      <right style="thin">
        <color auto="1"/>
      </right>
      <top/>
      <bottom style="dotted">
        <color auto="1"/>
      </bottom>
      <diagonal/>
    </border>
    <border>
      <left style="thin">
        <color auto="1"/>
      </left>
      <right style="thin">
        <color auto="1"/>
      </right>
      <top/>
      <bottom style="dotted">
        <color auto="1"/>
      </bottom>
      <diagonal/>
    </border>
    <border>
      <left style="thin">
        <color auto="1"/>
      </left>
      <right style="thin">
        <color auto="1"/>
      </right>
      <top style="thin">
        <color auto="1"/>
      </top>
      <bottom style="dotted">
        <color auto="1"/>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rgb="FF33656C"/>
      </left>
      <right/>
      <top/>
      <bottom style="thin">
        <color auto="1"/>
      </bottom>
      <diagonal/>
    </border>
    <border>
      <left style="thin">
        <color auto="1"/>
      </left>
      <right style="thin">
        <color auto="1"/>
      </right>
      <top style="thin">
        <color auto="1"/>
      </top>
      <bottom style="hair">
        <color auto="1"/>
      </bottom>
      <diagonal/>
    </border>
    <border>
      <left/>
      <right style="thin">
        <color auto="1"/>
      </right>
      <top style="dotted">
        <color auto="1"/>
      </top>
      <bottom style="dotted">
        <color auto="1"/>
      </bottom>
      <diagonal/>
    </border>
    <border>
      <left style="thin">
        <color auto="1"/>
      </left>
      <right style="double">
        <color rgb="FF1F497D"/>
      </right>
      <top style="dotted">
        <color auto="1"/>
      </top>
      <bottom style="dotted">
        <color auto="1"/>
      </bottom>
      <diagonal/>
    </border>
    <border>
      <left style="double">
        <color rgb="FF1F497D"/>
      </left>
      <right style="thin">
        <color auto="1"/>
      </right>
      <top style="dotted">
        <color auto="1"/>
      </top>
      <bottom style="dotted">
        <color auto="1"/>
      </bottom>
      <diagonal/>
    </border>
    <border>
      <left style="hair">
        <color auto="1"/>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diagonal/>
    </border>
    <border>
      <left style="medium">
        <color auto="1"/>
      </left>
      <right style="thin">
        <color auto="1"/>
      </right>
      <top style="medium">
        <color auto="1"/>
      </top>
      <bottom/>
      <diagonal/>
    </border>
    <border>
      <left style="medium">
        <color auto="1"/>
      </left>
      <right style="thin">
        <color auto="1"/>
      </right>
      <top/>
      <bottom/>
      <diagonal/>
    </border>
    <border>
      <left style="thin">
        <color auto="1"/>
      </left>
      <right/>
      <top/>
      <bottom style="medium">
        <color auto="1"/>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bottom/>
      <diagonal/>
    </border>
    <border>
      <left style="hair">
        <color indexed="64"/>
      </left>
      <right style="thin">
        <color indexed="64"/>
      </right>
      <top style="hair">
        <color indexed="64"/>
      </top>
      <bottom style="hair">
        <color indexed="64"/>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s>
  <cellStyleXfs count="11">
    <xf numFmtId="0" fontId="0" fillId="0" borderId="0"/>
    <xf numFmtId="0" fontId="58" fillId="0" borderId="0" applyNumberFormat="0" applyFill="0" applyBorder="0" applyAlignment="0" applyProtection="0"/>
    <xf numFmtId="43" fontId="61" fillId="0" borderId="0" applyFont="0" applyFill="0" applyBorder="0" applyAlignment="0" applyProtection="0"/>
    <xf numFmtId="44" fontId="61" fillId="0" borderId="0" applyFont="0" applyFill="0" applyBorder="0" applyAlignment="0" applyProtection="0"/>
    <xf numFmtId="43" fontId="62" fillId="0" borderId="0" applyFont="0" applyFill="0" applyBorder="0" applyAlignment="0" applyProtection="0"/>
    <xf numFmtId="0" fontId="63" fillId="0" borderId="0"/>
    <xf numFmtId="0" fontId="63" fillId="0" borderId="0"/>
    <xf numFmtId="196" fontId="65" fillId="0" borderId="0"/>
    <xf numFmtId="0" fontId="67" fillId="0" borderId="0"/>
    <xf numFmtId="44" fontId="68" fillId="0" borderId="0" applyFill="0" applyBorder="0" applyAlignment="0" applyProtection="0"/>
    <xf numFmtId="44" fontId="69" fillId="0" borderId="0" applyFont="0" applyFill="0" applyBorder="0" applyAlignment="0" applyProtection="0"/>
  </cellStyleXfs>
  <cellXfs count="949">
    <xf numFmtId="0" fontId="0" fillId="0" borderId="0" xfId="0"/>
    <xf numFmtId="0" fontId="0" fillId="3" borderId="0" xfId="0" applyFill="1" applyAlignment="1">
      <alignment horizontal="center" vertical="center" wrapText="1"/>
    </xf>
    <xf numFmtId="0" fontId="0" fillId="3" borderId="9" xfId="0" applyFill="1" applyBorder="1" applyAlignment="1">
      <alignment horizontal="center" vertical="center" wrapText="1"/>
    </xf>
    <xf numFmtId="0" fontId="0" fillId="0" borderId="0" xfId="0" applyAlignment="1">
      <alignment horizontal="center"/>
    </xf>
    <xf numFmtId="0" fontId="1" fillId="0" borderId="0" xfId="0" applyFont="1" applyAlignment="1">
      <alignment horizontal="left" vertical="top" wrapText="1"/>
    </xf>
    <xf numFmtId="0" fontId="2" fillId="0" borderId="1" xfId="0" applyFont="1" applyBorder="1"/>
    <xf numFmtId="0" fontId="2" fillId="0" borderId="1" xfId="0" applyFont="1" applyBorder="1" applyAlignment="1">
      <alignment horizontal="center"/>
    </xf>
    <xf numFmtId="0" fontId="2" fillId="0" borderId="2" xfId="0" applyFont="1" applyBorder="1"/>
    <xf numFmtId="0" fontId="2" fillId="0" borderId="3" xfId="0" applyFont="1" applyBorder="1"/>
    <xf numFmtId="0" fontId="2" fillId="0" borderId="3" xfId="0" applyFont="1" applyBorder="1" applyAlignment="1">
      <alignment horizontal="center"/>
    </xf>
    <xf numFmtId="0" fontId="2" fillId="0" borderId="4" xfId="0" applyFont="1" applyBorder="1"/>
    <xf numFmtId="0" fontId="2" fillId="0" borderId="5" xfId="0" applyFont="1" applyBorder="1"/>
    <xf numFmtId="0" fontId="2" fillId="0" borderId="0" xfId="0" applyFont="1"/>
    <xf numFmtId="0" fontId="2" fillId="0" borderId="0" xfId="0" applyFont="1" applyAlignment="1">
      <alignment horizontal="center"/>
    </xf>
    <xf numFmtId="0" fontId="2" fillId="0" borderId="6" xfId="0" applyFont="1" applyBorder="1"/>
    <xf numFmtId="0" fontId="3" fillId="0" borderId="0" xfId="0" applyFont="1"/>
    <xf numFmtId="0" fontId="4" fillId="0" borderId="0" xfId="0" applyFont="1"/>
    <xf numFmtId="0" fontId="4" fillId="0" borderId="1" xfId="0" applyFont="1" applyBorder="1"/>
    <xf numFmtId="0" fontId="4" fillId="0" borderId="1" xfId="0" applyFont="1" applyBorder="1" applyAlignment="1">
      <alignment horizontal="right"/>
    </xf>
    <xf numFmtId="0" fontId="6" fillId="0" borderId="0" xfId="0" applyFont="1"/>
    <xf numFmtId="0" fontId="7" fillId="0" borderId="0" xfId="0" applyFont="1" applyAlignment="1">
      <alignment horizontal="center"/>
    </xf>
    <xf numFmtId="0" fontId="7" fillId="0" borderId="0" xfId="0" applyFont="1" applyAlignment="1">
      <alignment horizontal="left"/>
    </xf>
    <xf numFmtId="165" fontId="5" fillId="0" borderId="6" xfId="0" applyNumberFormat="1" applyFont="1" applyBorder="1"/>
    <xf numFmtId="0" fontId="5" fillId="0" borderId="6" xfId="0" applyFont="1" applyBorder="1" applyAlignment="1">
      <alignment wrapText="1"/>
    </xf>
    <xf numFmtId="0" fontId="5" fillId="0" borderId="0" xfId="0" applyFont="1"/>
    <xf numFmtId="0" fontId="5" fillId="0" borderId="0" xfId="0" applyFont="1" applyAlignment="1">
      <alignment horizontal="center"/>
    </xf>
    <xf numFmtId="0" fontId="5" fillId="0" borderId="5" xfId="0" applyFont="1" applyBorder="1"/>
    <xf numFmtId="166" fontId="5" fillId="2" borderId="7" xfId="0" applyNumberFormat="1" applyFont="1" applyFill="1" applyBorder="1" applyAlignment="1">
      <alignment horizontal="center"/>
    </xf>
    <xf numFmtId="166" fontId="3" fillId="0" borderId="0" xfId="0" applyNumberFormat="1" applyFont="1" applyAlignment="1">
      <alignment horizontal="center"/>
    </xf>
    <xf numFmtId="0" fontId="5" fillId="0" borderId="6" xfId="0" applyFont="1" applyBorder="1"/>
    <xf numFmtId="0" fontId="9" fillId="0" borderId="0" xfId="0" applyFont="1"/>
    <xf numFmtId="0" fontId="2" fillId="0" borderId="8" xfId="0" applyFont="1" applyBorder="1"/>
    <xf numFmtId="0" fontId="2" fillId="0" borderId="10" xfId="0" applyFont="1" applyBorder="1"/>
    <xf numFmtId="0" fontId="2" fillId="0" borderId="11" xfId="0" applyFont="1" applyBorder="1"/>
    <xf numFmtId="0" fontId="2" fillId="3" borderId="12" xfId="0" applyFont="1" applyFill="1" applyBorder="1"/>
    <xf numFmtId="0" fontId="2" fillId="3" borderId="9" xfId="0" applyFont="1" applyFill="1" applyBorder="1"/>
    <xf numFmtId="0" fontId="5" fillId="3" borderId="9" xfId="0" applyFont="1" applyFill="1" applyBorder="1" applyAlignment="1">
      <alignment horizontal="center"/>
    </xf>
    <xf numFmtId="0" fontId="2" fillId="3" borderId="13" xfId="0" applyFont="1" applyFill="1" applyBorder="1"/>
    <xf numFmtId="0" fontId="0" fillId="3" borderId="0" xfId="0" applyFill="1" applyAlignment="1">
      <alignment vertical="center"/>
    </xf>
    <xf numFmtId="0" fontId="0" fillId="3" borderId="0" xfId="0" applyFill="1"/>
    <xf numFmtId="0" fontId="2" fillId="3" borderId="14" xfId="0" applyFont="1" applyFill="1" applyBorder="1"/>
    <xf numFmtId="0" fontId="5" fillId="3" borderId="0" xfId="0" applyFont="1" applyFill="1" applyAlignment="1">
      <alignment horizontal="left"/>
    </xf>
    <xf numFmtId="0" fontId="5" fillId="3" borderId="0" xfId="0" applyFont="1" applyFill="1" applyAlignment="1">
      <alignment horizontal="center"/>
    </xf>
    <xf numFmtId="0" fontId="2" fillId="3" borderId="15" xfId="0" applyFont="1" applyFill="1" applyBorder="1"/>
    <xf numFmtId="0" fontId="2" fillId="3" borderId="0" xfId="0" applyFont="1" applyFill="1"/>
    <xf numFmtId="0" fontId="5" fillId="3" borderId="0" xfId="0" applyFont="1" applyFill="1" applyAlignment="1">
      <alignment horizontal="center" vertical="center"/>
    </xf>
    <xf numFmtId="0" fontId="5" fillId="3" borderId="15" xfId="0" applyFont="1" applyFill="1" applyBorder="1" applyAlignment="1">
      <alignment horizontal="center" vertical="center"/>
    </xf>
    <xf numFmtId="0" fontId="2" fillId="3" borderId="14" xfId="0" applyFont="1" applyFill="1" applyBorder="1" applyAlignment="1">
      <alignment vertical="center"/>
    </xf>
    <xf numFmtId="0" fontId="5" fillId="3" borderId="0" xfId="0" applyFont="1" applyFill="1" applyAlignment="1">
      <alignment horizontal="left" vertical="center"/>
    </xf>
    <xf numFmtId="0" fontId="10" fillId="3" borderId="0" xfId="0" applyFont="1" applyFill="1" applyAlignment="1">
      <alignment horizontal="center" vertical="center"/>
    </xf>
    <xf numFmtId="0" fontId="10" fillId="3" borderId="0" xfId="0" applyFont="1" applyFill="1" applyAlignment="1">
      <alignment horizontal="left" vertical="center"/>
    </xf>
    <xf numFmtId="0" fontId="2" fillId="3" borderId="16" xfId="0" applyFont="1" applyFill="1" applyBorder="1" applyAlignment="1">
      <alignment vertical="center"/>
    </xf>
    <xf numFmtId="0" fontId="2" fillId="3" borderId="8" xfId="0" applyFont="1" applyFill="1" applyBorder="1" applyAlignment="1">
      <alignment vertical="center"/>
    </xf>
    <xf numFmtId="0" fontId="5" fillId="3" borderId="8" xfId="0" applyFont="1" applyFill="1" applyBorder="1" applyAlignment="1">
      <alignment horizontal="center" vertical="center"/>
    </xf>
    <xf numFmtId="0" fontId="5" fillId="3" borderId="8" xfId="0" applyFont="1" applyFill="1" applyBorder="1" applyAlignment="1">
      <alignment horizontal="left" vertical="center"/>
    </xf>
    <xf numFmtId="0" fontId="5" fillId="3" borderId="17" xfId="0" applyFont="1" applyFill="1" applyBorder="1" applyAlignment="1">
      <alignment horizontal="center" vertical="center"/>
    </xf>
    <xf numFmtId="0" fontId="11" fillId="3" borderId="9" xfId="0" applyFont="1" applyFill="1" applyBorder="1" applyAlignment="1">
      <alignment horizontal="center" vertical="center"/>
    </xf>
    <xf numFmtId="0" fontId="0" fillId="3" borderId="14" xfId="0" applyFill="1" applyBorder="1" applyAlignment="1">
      <alignment horizontal="left"/>
    </xf>
    <xf numFmtId="0" fontId="0" fillId="3" borderId="0" xfId="0" applyFill="1" applyAlignment="1">
      <alignment horizontal="left"/>
    </xf>
    <xf numFmtId="0" fontId="13" fillId="3" borderId="0" xfId="0" applyFont="1" applyFill="1"/>
    <xf numFmtId="0" fontId="0" fillId="3" borderId="0" xfId="0" applyFill="1" applyAlignment="1">
      <alignment horizontal="right"/>
    </xf>
    <xf numFmtId="0" fontId="0" fillId="3" borderId="14" xfId="0" applyFill="1" applyBorder="1"/>
    <xf numFmtId="0" fontId="0" fillId="3" borderId="15" xfId="0" applyFill="1" applyBorder="1" applyAlignment="1">
      <alignment horizontal="left"/>
    </xf>
    <xf numFmtId="49" fontId="0" fillId="4" borderId="0" xfId="0" applyNumberFormat="1" applyFill="1" applyAlignment="1">
      <alignment horizontal="left"/>
    </xf>
    <xf numFmtId="49" fontId="0" fillId="3" borderId="0" xfId="0" applyNumberFormat="1" applyFill="1" applyAlignment="1">
      <alignment horizontal="left"/>
    </xf>
    <xf numFmtId="0" fontId="0" fillId="4" borderId="0" xfId="0" applyFill="1" applyAlignment="1">
      <alignment horizontal="left"/>
    </xf>
    <xf numFmtId="0" fontId="13" fillId="3" borderId="0" xfId="0" applyFont="1" applyFill="1" applyAlignment="1">
      <alignment horizontal="left"/>
    </xf>
    <xf numFmtId="0" fontId="5" fillId="3" borderId="15" xfId="0" applyFont="1" applyFill="1" applyBorder="1" applyAlignment="1">
      <alignment horizontal="left"/>
    </xf>
    <xf numFmtId="0" fontId="14" fillId="3" borderId="14" xfId="0" applyFont="1" applyFill="1" applyBorder="1"/>
    <xf numFmtId="0" fontId="0" fillId="4" borderId="15" xfId="0" applyFill="1" applyBorder="1" applyAlignment="1">
      <alignment horizontal="left"/>
    </xf>
    <xf numFmtId="0" fontId="0" fillId="4" borderId="16" xfId="0" applyFill="1" applyBorder="1" applyAlignment="1">
      <alignment horizontal="left"/>
    </xf>
    <xf numFmtId="0" fontId="0" fillId="4" borderId="8" xfId="0" applyFill="1" applyBorder="1" applyAlignment="1">
      <alignment horizontal="left"/>
    </xf>
    <xf numFmtId="0" fontId="0" fillId="4" borderId="17" xfId="0" applyFill="1" applyBorder="1" applyAlignment="1">
      <alignment horizontal="left"/>
    </xf>
    <xf numFmtId="0" fontId="4" fillId="3" borderId="12" xfId="0" applyFont="1" applyFill="1" applyBorder="1"/>
    <xf numFmtId="0" fontId="4" fillId="3" borderId="9" xfId="0" applyFont="1" applyFill="1" applyBorder="1"/>
    <xf numFmtId="0" fontId="4" fillId="3" borderId="13" xfId="0" applyFont="1" applyFill="1" applyBorder="1"/>
    <xf numFmtId="0" fontId="4" fillId="3" borderId="14" xfId="0" applyFont="1" applyFill="1" applyBorder="1"/>
    <xf numFmtId="0" fontId="0" fillId="3" borderId="18" xfId="0" applyFill="1" applyBorder="1"/>
    <xf numFmtId="0" fontId="13" fillId="3" borderId="19" xfId="0" applyFont="1" applyFill="1" applyBorder="1" applyAlignment="1">
      <alignment horizontal="center"/>
    </xf>
    <xf numFmtId="0" fontId="4" fillId="3" borderId="0" xfId="0" applyFont="1" applyFill="1"/>
    <xf numFmtId="0" fontId="4" fillId="3" borderId="15" xfId="0" applyFont="1" applyFill="1" applyBorder="1"/>
    <xf numFmtId="10" fontId="11" fillId="3" borderId="23" xfId="0" applyNumberFormat="1" applyFont="1" applyFill="1" applyBorder="1" applyAlignment="1">
      <alignment horizontal="center" vertical="center" wrapText="1"/>
    </xf>
    <xf numFmtId="10" fontId="11" fillId="3" borderId="26" xfId="0" applyNumberFormat="1" applyFont="1" applyFill="1" applyBorder="1" applyAlignment="1">
      <alignment horizontal="center" vertical="center" wrapText="1"/>
    </xf>
    <xf numFmtId="4" fontId="0" fillId="3" borderId="0" xfId="0" applyNumberFormat="1" applyFill="1"/>
    <xf numFmtId="0" fontId="4" fillId="3" borderId="0" xfId="0" applyFont="1" applyFill="1" applyAlignment="1">
      <alignment horizontal="right"/>
    </xf>
    <xf numFmtId="0" fontId="3" fillId="4" borderId="7" xfId="0" applyFont="1" applyFill="1" applyBorder="1" applyAlignment="1">
      <alignment horizontal="center"/>
    </xf>
    <xf numFmtId="0" fontId="4" fillId="3" borderId="0" xfId="0" applyFont="1" applyFill="1" applyAlignment="1">
      <alignment horizontal="left"/>
    </xf>
    <xf numFmtId="10" fontId="4" fillId="3" borderId="0" xfId="0" applyNumberFormat="1" applyFont="1" applyFill="1" applyAlignment="1">
      <alignment horizontal="center"/>
    </xf>
    <xf numFmtId="0" fontId="4" fillId="3" borderId="0" xfId="0" applyFont="1" applyFill="1" applyAlignment="1">
      <alignment horizontal="center"/>
    </xf>
    <xf numFmtId="0" fontId="4" fillId="3" borderId="16" xfId="0" applyFont="1" applyFill="1" applyBorder="1"/>
    <xf numFmtId="0" fontId="4" fillId="3" borderId="8" xfId="0" applyFont="1" applyFill="1" applyBorder="1"/>
    <xf numFmtId="0" fontId="4" fillId="3" borderId="17" xfId="0" applyFont="1" applyFill="1" applyBorder="1"/>
    <xf numFmtId="0" fontId="4" fillId="3" borderId="9" xfId="0" applyFont="1" applyFill="1" applyBorder="1" applyAlignment="1">
      <alignment horizontal="right"/>
    </xf>
    <xf numFmtId="0" fontId="4" fillId="3" borderId="9" xfId="0" applyFont="1" applyFill="1" applyBorder="1" applyAlignment="1">
      <alignment horizontal="left"/>
    </xf>
    <xf numFmtId="0" fontId="16" fillId="3" borderId="0" xfId="0" applyFont="1" applyFill="1" applyAlignment="1">
      <alignment horizontal="left"/>
    </xf>
    <xf numFmtId="0" fontId="16" fillId="3" borderId="0" xfId="0" applyFont="1" applyFill="1"/>
    <xf numFmtId="0" fontId="0" fillId="3" borderId="12" xfId="0" applyFill="1" applyBorder="1"/>
    <xf numFmtId="0" fontId="0" fillId="3" borderId="9" xfId="0" applyFill="1" applyBorder="1"/>
    <xf numFmtId="0" fontId="0" fillId="3" borderId="13" xfId="0" applyFill="1" applyBorder="1"/>
    <xf numFmtId="0" fontId="0" fillId="3" borderId="15" xfId="0" applyFill="1" applyBorder="1"/>
    <xf numFmtId="0" fontId="0" fillId="3" borderId="0" xfId="0" applyFill="1" applyAlignment="1">
      <alignment horizontal="center"/>
    </xf>
    <xf numFmtId="0" fontId="0" fillId="3" borderId="16" xfId="0" applyFill="1" applyBorder="1"/>
    <xf numFmtId="0" fontId="0" fillId="3" borderId="8" xfId="0" applyFill="1" applyBorder="1"/>
    <xf numFmtId="0" fontId="0" fillId="3" borderId="17" xfId="0" applyFill="1" applyBorder="1"/>
    <xf numFmtId="0" fontId="2" fillId="3" borderId="0" xfId="0" applyFont="1" applyFill="1" applyAlignment="1">
      <alignment horizontal="center"/>
    </xf>
    <xf numFmtId="0" fontId="17" fillId="3" borderId="0" xfId="0" applyFont="1" applyFill="1" applyAlignment="1">
      <alignment horizontal="left"/>
    </xf>
    <xf numFmtId="0" fontId="13" fillId="3" borderId="0" xfId="0" applyFont="1" applyFill="1" applyAlignment="1">
      <alignment horizontal="right"/>
    </xf>
    <xf numFmtId="0" fontId="11" fillId="3" borderId="0" xfId="0" applyFont="1" applyFill="1" applyAlignment="1">
      <alignment horizontal="left"/>
    </xf>
    <xf numFmtId="0" fontId="13" fillId="3" borderId="0" xfId="0" applyFont="1" applyFill="1" applyAlignment="1">
      <alignment horizontal="center"/>
    </xf>
    <xf numFmtId="0" fontId="3" fillId="3" borderId="0" xfId="0" applyFont="1" applyFill="1"/>
    <xf numFmtId="168" fontId="2" fillId="2" borderId="30" xfId="0" applyNumberFormat="1" applyFont="1" applyFill="1" applyBorder="1" applyAlignment="1">
      <alignment horizontal="center"/>
    </xf>
    <xf numFmtId="0" fontId="2" fillId="0" borderId="30" xfId="0" applyFont="1" applyBorder="1" applyAlignment="1">
      <alignment horizontal="center" vertical="center"/>
    </xf>
    <xf numFmtId="0" fontId="2" fillId="0" borderId="0" xfId="0" applyFont="1" applyAlignment="1">
      <alignment vertical="center"/>
    </xf>
    <xf numFmtId="0" fontId="2" fillId="0" borderId="30" xfId="0" applyFont="1" applyBorder="1" applyAlignment="1">
      <alignment horizontal="center"/>
    </xf>
    <xf numFmtId="0" fontId="2" fillId="5" borderId="30" xfId="0" applyFont="1" applyFill="1" applyBorder="1"/>
    <xf numFmtId="168" fontId="2" fillId="5" borderId="30" xfId="0" applyNumberFormat="1" applyFont="1" applyFill="1" applyBorder="1" applyAlignment="1">
      <alignment horizontal="center"/>
    </xf>
    <xf numFmtId="10" fontId="2" fillId="2" borderId="30" xfId="0" applyNumberFormat="1" applyFont="1" applyFill="1" applyBorder="1" applyAlignment="1">
      <alignment horizontal="center"/>
    </xf>
    <xf numFmtId="10" fontId="2" fillId="0" borderId="30" xfId="0" applyNumberFormat="1" applyFont="1" applyBorder="1" applyAlignment="1">
      <alignment horizontal="center"/>
    </xf>
    <xf numFmtId="0" fontId="2" fillId="5" borderId="30" xfId="0" applyFont="1" applyFill="1" applyBorder="1" applyAlignment="1">
      <alignment horizontal="left"/>
    </xf>
    <xf numFmtId="10" fontId="2" fillId="6" borderId="30" xfId="0" applyNumberFormat="1" applyFont="1" applyFill="1" applyBorder="1" applyAlignment="1">
      <alignment horizontal="center"/>
    </xf>
    <xf numFmtId="0" fontId="2" fillId="3" borderId="14" xfId="0" applyFont="1" applyFill="1" applyBorder="1" applyAlignment="1">
      <alignment horizontal="center"/>
    </xf>
    <xf numFmtId="10" fontId="2" fillId="3" borderId="0" xfId="0" applyNumberFormat="1" applyFont="1" applyFill="1"/>
    <xf numFmtId="10" fontId="2" fillId="3" borderId="15" xfId="0" applyNumberFormat="1" applyFont="1" applyFill="1" applyBorder="1"/>
    <xf numFmtId="0" fontId="2" fillId="0" borderId="30" xfId="0" applyFont="1" applyBorder="1" applyAlignment="1">
      <alignment horizontal="left"/>
    </xf>
    <xf numFmtId="10" fontId="2" fillId="2" borderId="31" xfId="0" applyNumberFormat="1" applyFont="1" applyFill="1" applyBorder="1" applyAlignment="1">
      <alignment horizontal="center"/>
    </xf>
    <xf numFmtId="168" fontId="2" fillId="0" borderId="30" xfId="0" applyNumberFormat="1" applyFont="1" applyBorder="1" applyAlignment="1">
      <alignment horizontal="center"/>
    </xf>
    <xf numFmtId="0" fontId="2" fillId="0" borderId="30" xfId="0" applyFont="1" applyBorder="1"/>
    <xf numFmtId="10" fontId="2" fillId="2" borderId="30" xfId="0" applyNumberFormat="1" applyFont="1" applyFill="1" applyBorder="1"/>
    <xf numFmtId="0" fontId="12" fillId="3" borderId="0" xfId="0" applyFont="1" applyFill="1"/>
    <xf numFmtId="0" fontId="2" fillId="3" borderId="16" xfId="0" applyFont="1" applyFill="1" applyBorder="1"/>
    <xf numFmtId="0" fontId="2" fillId="3" borderId="8" xfId="0" applyFont="1" applyFill="1" applyBorder="1"/>
    <xf numFmtId="0" fontId="2" fillId="3" borderId="17" xfId="0" applyFont="1" applyFill="1" applyBorder="1"/>
    <xf numFmtId="0" fontId="4" fillId="3" borderId="32" xfId="0" applyFont="1" applyFill="1" applyBorder="1"/>
    <xf numFmtId="0" fontId="18" fillId="3" borderId="33" xfId="0" applyFont="1" applyFill="1" applyBorder="1"/>
    <xf numFmtId="0" fontId="12" fillId="3" borderId="33" xfId="0" applyFont="1" applyFill="1" applyBorder="1" applyAlignment="1">
      <alignment horizontal="center"/>
    </xf>
    <xf numFmtId="0" fontId="18" fillId="3" borderId="0" xfId="0" applyFont="1" applyFill="1"/>
    <xf numFmtId="0" fontId="18" fillId="3" borderId="35" xfId="0" applyFont="1" applyFill="1" applyBorder="1"/>
    <xf numFmtId="166" fontId="12" fillId="3" borderId="29" xfId="0" applyNumberFormat="1" applyFont="1" applyFill="1" applyBorder="1" applyAlignment="1">
      <alignment horizontal="left"/>
    </xf>
    <xf numFmtId="0" fontId="12" fillId="3" borderId="0" xfId="0" applyFont="1" applyFill="1" applyAlignment="1">
      <alignment horizontal="left"/>
    </xf>
    <xf numFmtId="0" fontId="18" fillId="3" borderId="29" xfId="0" applyFont="1" applyFill="1" applyBorder="1" applyAlignment="1">
      <alignment horizontal="left"/>
    </xf>
    <xf numFmtId="0" fontId="4" fillId="3" borderId="0" xfId="0" applyFont="1" applyFill="1" applyAlignment="1">
      <alignment vertical="center"/>
    </xf>
    <xf numFmtId="10" fontId="12" fillId="3" borderId="0" xfId="0" applyNumberFormat="1" applyFont="1" applyFill="1" applyAlignment="1">
      <alignment horizontal="left"/>
    </xf>
    <xf numFmtId="0" fontId="18" fillId="3" borderId="0" xfId="0" applyFont="1" applyFill="1" applyAlignment="1">
      <alignment horizontal="right"/>
    </xf>
    <xf numFmtId="10" fontId="12" fillId="3" borderId="29" xfId="0" applyNumberFormat="1" applyFont="1" applyFill="1" applyBorder="1" applyAlignment="1">
      <alignment horizontal="left"/>
    </xf>
    <xf numFmtId="0" fontId="18" fillId="3" borderId="25" xfId="0" applyFont="1" applyFill="1" applyBorder="1" applyAlignment="1">
      <alignment horizontal="left"/>
    </xf>
    <xf numFmtId="0" fontId="4" fillId="3" borderId="36" xfId="0" applyFont="1" applyFill="1" applyBorder="1"/>
    <xf numFmtId="0" fontId="19" fillId="3" borderId="36" xfId="0" applyFont="1" applyFill="1" applyBorder="1" applyAlignment="1">
      <alignment horizontal="center"/>
    </xf>
    <xf numFmtId="0" fontId="19" fillId="3" borderId="24" xfId="0" applyFont="1" applyFill="1" applyBorder="1" applyAlignment="1">
      <alignment horizontal="center"/>
    </xf>
    <xf numFmtId="0" fontId="3" fillId="3" borderId="0" xfId="0" applyFont="1" applyFill="1" applyAlignment="1">
      <alignment horizontal="center" vertical="center"/>
    </xf>
    <xf numFmtId="0" fontId="12" fillId="3" borderId="7" xfId="0" applyFont="1" applyFill="1" applyBorder="1" applyAlignment="1">
      <alignment horizontal="center" vertical="center" wrapText="1"/>
    </xf>
    <xf numFmtId="0" fontId="4" fillId="3" borderId="0" xfId="0" applyFont="1" applyFill="1" applyAlignment="1">
      <alignment horizontal="center" vertical="center"/>
    </xf>
    <xf numFmtId="0" fontId="12" fillId="3" borderId="37" xfId="0" applyFont="1" applyFill="1" applyBorder="1" applyAlignment="1">
      <alignment horizontal="center" vertical="center" wrapText="1"/>
    </xf>
    <xf numFmtId="0" fontId="18" fillId="4" borderId="38" xfId="0" applyFont="1" applyFill="1" applyBorder="1" applyAlignment="1">
      <alignment horizontal="center" vertical="center"/>
    </xf>
    <xf numFmtId="164" fontId="18" fillId="7" borderId="39" xfId="0" applyNumberFormat="1" applyFont="1" applyFill="1" applyBorder="1" applyAlignment="1">
      <alignment horizontal="right" vertical="center"/>
    </xf>
    <xf numFmtId="170" fontId="18" fillId="7" borderId="40" xfId="0" applyNumberFormat="1" applyFont="1" applyFill="1" applyBorder="1" applyAlignment="1">
      <alignment vertical="center"/>
    </xf>
    <xf numFmtId="0" fontId="18" fillId="3" borderId="0" xfId="0" applyFont="1" applyFill="1" applyAlignment="1">
      <alignment horizontal="center" vertical="center"/>
    </xf>
    <xf numFmtId="0" fontId="18" fillId="4" borderId="41" xfId="0" applyFont="1" applyFill="1" applyBorder="1" applyAlignment="1">
      <alignment horizontal="center" vertical="center"/>
    </xf>
    <xf numFmtId="164" fontId="18" fillId="3" borderId="39" xfId="0" applyNumberFormat="1" applyFont="1" applyFill="1" applyBorder="1" applyAlignment="1">
      <alignment horizontal="right" vertical="center"/>
    </xf>
    <xf numFmtId="10" fontId="18" fillId="3" borderId="40" xfId="0" applyNumberFormat="1" applyFont="1" applyFill="1" applyBorder="1" applyAlignment="1">
      <alignment vertical="center"/>
    </xf>
    <xf numFmtId="165" fontId="5" fillId="3" borderId="0" xfId="0" applyNumberFormat="1" applyFont="1" applyFill="1" applyAlignment="1">
      <alignment vertical="center"/>
    </xf>
    <xf numFmtId="0" fontId="12" fillId="3" borderId="32" xfId="0" applyFont="1" applyFill="1" applyBorder="1" applyAlignment="1">
      <alignment horizontal="left" vertical="center"/>
    </xf>
    <xf numFmtId="0" fontId="12" fillId="3" borderId="33" xfId="0" applyFont="1" applyFill="1" applyBorder="1" applyAlignment="1">
      <alignment vertical="center"/>
    </xf>
    <xf numFmtId="164" fontId="12" fillId="3" borderId="32" xfId="0" applyNumberFormat="1" applyFont="1" applyFill="1" applyBorder="1" applyAlignment="1">
      <alignment vertical="center"/>
    </xf>
    <xf numFmtId="10" fontId="12" fillId="3" borderId="42" xfId="0" applyNumberFormat="1" applyFont="1" applyFill="1" applyBorder="1" applyAlignment="1">
      <alignment vertical="center"/>
    </xf>
    <xf numFmtId="0" fontId="12" fillId="0" borderId="43" xfId="0" applyFont="1" applyBorder="1" applyAlignment="1">
      <alignment horizontal="left" vertical="center"/>
    </xf>
    <xf numFmtId="164" fontId="12" fillId="0" borderId="43" xfId="0" applyNumberFormat="1" applyFont="1" applyBorder="1" applyAlignment="1">
      <alignment vertical="center"/>
    </xf>
    <xf numFmtId="164" fontId="12" fillId="0" borderId="44" xfId="0" applyNumberFormat="1" applyFont="1" applyBorder="1" applyAlignment="1">
      <alignment vertical="center"/>
    </xf>
    <xf numFmtId="164" fontId="12" fillId="0" borderId="45" xfId="0" applyNumberFormat="1" applyFont="1" applyBorder="1" applyAlignment="1">
      <alignment vertical="center"/>
    </xf>
    <xf numFmtId="164" fontId="20" fillId="0" borderId="44" xfId="0" applyNumberFormat="1" applyFont="1" applyBorder="1" applyAlignment="1">
      <alignment vertical="center"/>
    </xf>
    <xf numFmtId="170" fontId="12" fillId="0" borderId="45" xfId="0" applyNumberFormat="1" applyFont="1" applyBorder="1" applyAlignment="1">
      <alignment vertical="center"/>
    </xf>
    <xf numFmtId="165" fontId="5" fillId="0" borderId="0" xfId="0" applyNumberFormat="1" applyFont="1" applyAlignment="1">
      <alignment vertical="center"/>
    </xf>
    <xf numFmtId="1" fontId="18" fillId="4" borderId="38" xfId="0" applyNumberFormat="1" applyFont="1" applyFill="1" applyBorder="1" applyAlignment="1">
      <alignment horizontal="center" vertical="center"/>
    </xf>
    <xf numFmtId="0" fontId="18" fillId="3" borderId="0" xfId="0" applyFont="1" applyFill="1" applyAlignment="1">
      <alignment vertical="center"/>
    </xf>
    <xf numFmtId="0" fontId="12" fillId="3" borderId="37" xfId="0" applyFont="1" applyFill="1" applyBorder="1" applyAlignment="1">
      <alignment horizontal="left" vertical="center"/>
    </xf>
    <xf numFmtId="0" fontId="12" fillId="3" borderId="46" xfId="0" applyFont="1" applyFill="1" applyBorder="1" applyAlignment="1">
      <alignment vertical="center"/>
    </xf>
    <xf numFmtId="164" fontId="12" fillId="3" borderId="37" xfId="0" applyNumberFormat="1" applyFont="1" applyFill="1" applyBorder="1" applyAlignment="1">
      <alignment vertical="center"/>
    </xf>
    <xf numFmtId="10" fontId="12" fillId="0" borderId="7" xfId="0" applyNumberFormat="1" applyFont="1" applyBorder="1" applyAlignment="1">
      <alignment vertical="center"/>
    </xf>
    <xf numFmtId="164" fontId="12" fillId="8" borderId="37" xfId="0" applyNumberFormat="1" applyFont="1" applyFill="1" applyBorder="1" applyAlignment="1">
      <alignment vertical="center"/>
    </xf>
    <xf numFmtId="164" fontId="20" fillId="8" borderId="37" xfId="0" applyNumberFormat="1" applyFont="1" applyFill="1" applyBorder="1" applyAlignment="1">
      <alignment vertical="center"/>
    </xf>
    <xf numFmtId="10" fontId="12" fillId="3" borderId="7" xfId="0" applyNumberFormat="1" applyFont="1" applyFill="1" applyBorder="1" applyAlignment="1">
      <alignment vertical="center"/>
    </xf>
    <xf numFmtId="0" fontId="18" fillId="0" borderId="0" xfId="0" applyFont="1"/>
    <xf numFmtId="10" fontId="12" fillId="3" borderId="37" xfId="0" applyNumberFormat="1" applyFont="1" applyFill="1" applyBorder="1" applyAlignment="1">
      <alignment horizontal="center" vertical="center"/>
    </xf>
    <xf numFmtId="164" fontId="12" fillId="0" borderId="37" xfId="0" applyNumberFormat="1" applyFont="1" applyBorder="1" applyAlignment="1">
      <alignment horizontal="center" vertical="center"/>
    </xf>
    <xf numFmtId="164" fontId="12" fillId="0" borderId="7" xfId="0" applyNumberFormat="1" applyFont="1" applyBorder="1" applyAlignment="1">
      <alignment horizontal="center" vertical="center"/>
    </xf>
    <xf numFmtId="0" fontId="12" fillId="3" borderId="47" xfId="0" applyFont="1" applyFill="1" applyBorder="1" applyAlignment="1">
      <alignment horizontal="center"/>
    </xf>
    <xf numFmtId="169" fontId="12" fillId="3" borderId="37" xfId="0" applyNumberFormat="1" applyFont="1" applyFill="1" applyBorder="1" applyAlignment="1">
      <alignment horizontal="left" vertical="center"/>
    </xf>
    <xf numFmtId="169" fontId="3" fillId="3" borderId="46" xfId="0" applyNumberFormat="1" applyFont="1" applyFill="1" applyBorder="1" applyAlignment="1">
      <alignment horizontal="center" vertical="center"/>
    </xf>
    <xf numFmtId="4" fontId="12" fillId="3" borderId="47" xfId="0" applyNumberFormat="1" applyFont="1" applyFill="1" applyBorder="1" applyAlignment="1">
      <alignment vertical="center"/>
    </xf>
    <xf numFmtId="0" fontId="0" fillId="3" borderId="36" xfId="0" applyFill="1" applyBorder="1"/>
    <xf numFmtId="0" fontId="0" fillId="0" borderId="0" xfId="0" applyAlignment="1">
      <alignment horizontal="center" vertical="center"/>
    </xf>
    <xf numFmtId="0" fontId="0" fillId="3" borderId="0" xfId="0" applyFill="1" applyAlignment="1">
      <alignment vertical="top"/>
    </xf>
    <xf numFmtId="165" fontId="4" fillId="3" borderId="0" xfId="0" applyNumberFormat="1" applyFont="1" applyFill="1"/>
    <xf numFmtId="0" fontId="21" fillId="3" borderId="0" xfId="0" applyFont="1" applyFill="1" applyAlignment="1">
      <alignment vertical="center" wrapText="1"/>
    </xf>
    <xf numFmtId="0" fontId="5" fillId="3" borderId="0" xfId="0" applyFont="1" applyFill="1" applyAlignment="1">
      <alignment horizontal="center" vertical="center" wrapText="1"/>
    </xf>
    <xf numFmtId="0" fontId="0" fillId="0" borderId="0" xfId="0" applyAlignment="1">
      <alignment horizontal="center" vertical="center" wrapText="1"/>
    </xf>
    <xf numFmtId="4" fontId="5" fillId="3" borderId="0" xfId="0" applyNumberFormat="1" applyFont="1" applyFill="1" applyAlignment="1">
      <alignment vertical="center" wrapText="1"/>
    </xf>
    <xf numFmtId="0" fontId="5" fillId="0" borderId="0" xfId="0" applyFont="1" applyAlignment="1">
      <alignment horizontal="center" vertical="center" wrapText="1"/>
    </xf>
    <xf numFmtId="0" fontId="23" fillId="9" borderId="31" xfId="0" applyFont="1" applyFill="1" applyBorder="1" applyAlignment="1">
      <alignment horizontal="center" vertical="center" wrapText="1"/>
    </xf>
    <xf numFmtId="0" fontId="0" fillId="0" borderId="0" xfId="0" applyAlignment="1">
      <alignment vertical="center" wrapText="1"/>
    </xf>
    <xf numFmtId="4" fontId="23" fillId="9" borderId="31" xfId="0" applyNumberFormat="1" applyFont="1" applyFill="1" applyBorder="1" applyAlignment="1">
      <alignment horizontal="center" vertical="center" wrapText="1"/>
    </xf>
    <xf numFmtId="4" fontId="23" fillId="9" borderId="12" xfId="0" applyNumberFormat="1" applyFont="1" applyFill="1" applyBorder="1" applyAlignment="1">
      <alignment horizontal="center" vertical="center" wrapText="1"/>
    </xf>
    <xf numFmtId="0" fontId="24" fillId="10" borderId="7" xfId="0" applyFont="1" applyFill="1" applyBorder="1" applyAlignment="1">
      <alignment horizontal="center" vertical="center"/>
    </xf>
    <xf numFmtId="0" fontId="24" fillId="10" borderId="7" xfId="0" applyFont="1" applyFill="1" applyBorder="1" applyAlignment="1">
      <alignment horizontal="left" vertical="center" wrapText="1"/>
    </xf>
    <xf numFmtId="0" fontId="25" fillId="10" borderId="7" xfId="0" applyFont="1" applyFill="1" applyBorder="1" applyAlignment="1">
      <alignment horizontal="center" vertical="center" wrapText="1"/>
    </xf>
    <xf numFmtId="2" fontId="25" fillId="10" borderId="7" xfId="0" applyNumberFormat="1" applyFont="1" applyFill="1" applyBorder="1" applyAlignment="1">
      <alignment horizontal="right" vertical="center"/>
    </xf>
    <xf numFmtId="0" fontId="24" fillId="0" borderId="7" xfId="0" applyFont="1" applyBorder="1" applyAlignment="1">
      <alignment horizontal="center" vertical="center" wrapText="1"/>
    </xf>
    <xf numFmtId="0" fontId="24" fillId="0" borderId="7" xfId="0" applyFont="1" applyBorder="1" applyAlignment="1">
      <alignment horizontal="center" vertical="center"/>
    </xf>
    <xf numFmtId="0" fontId="24" fillId="3" borderId="7" xfId="0" applyFont="1" applyFill="1" applyBorder="1" applyAlignment="1">
      <alignment horizontal="left" vertical="center" wrapText="1"/>
    </xf>
    <xf numFmtId="0" fontId="25" fillId="3" borderId="7" xfId="0" applyFont="1" applyFill="1" applyBorder="1" applyAlignment="1">
      <alignment horizontal="center" vertical="center" wrapText="1"/>
    </xf>
    <xf numFmtId="4" fontId="25" fillId="3" borderId="7" xfId="0" applyNumberFormat="1" applyFont="1" applyFill="1" applyBorder="1" applyAlignment="1">
      <alignment horizontal="right" vertical="center"/>
    </xf>
    <xf numFmtId="49" fontId="0" fillId="3" borderId="0" xfId="0" applyNumberFormat="1" applyFill="1" applyAlignment="1">
      <alignment horizontal="center" vertical="center" wrapText="1"/>
    </xf>
    <xf numFmtId="49" fontId="23" fillId="9" borderId="31" xfId="0" applyNumberFormat="1" applyFont="1" applyFill="1" applyBorder="1" applyAlignment="1">
      <alignment horizontal="center" vertical="center" wrapText="1"/>
    </xf>
    <xf numFmtId="0" fontId="13" fillId="0" borderId="0" xfId="0" applyFont="1" applyAlignment="1">
      <alignment horizontal="center" vertical="center" wrapText="1"/>
    </xf>
    <xf numFmtId="0" fontId="26" fillId="0" borderId="7" xfId="0" applyFont="1" applyBorder="1" applyAlignment="1">
      <alignment horizontal="center" vertical="center"/>
    </xf>
    <xf numFmtId="0" fontId="26" fillId="3" borderId="7" xfId="0" applyFont="1" applyFill="1" applyBorder="1" applyAlignment="1">
      <alignment horizontal="left" vertical="center" wrapText="1"/>
    </xf>
    <xf numFmtId="0" fontId="27" fillId="3" borderId="7" xfId="0" applyFont="1" applyFill="1" applyBorder="1" applyAlignment="1">
      <alignment horizontal="center" vertical="center" wrapText="1"/>
    </xf>
    <xf numFmtId="4" fontId="27" fillId="3" borderId="7" xfId="0" applyNumberFormat="1" applyFont="1" applyFill="1" applyBorder="1" applyAlignment="1">
      <alignment horizontal="right" vertical="center" wrapText="1"/>
    </xf>
    <xf numFmtId="0" fontId="28" fillId="0" borderId="0" xfId="0" applyFont="1"/>
    <xf numFmtId="0" fontId="29" fillId="3" borderId="0" xfId="0" applyFont="1" applyFill="1" applyAlignment="1">
      <alignment vertical="center"/>
    </xf>
    <xf numFmtId="0" fontId="29" fillId="3" borderId="0" xfId="0" applyFont="1" applyFill="1" applyAlignment="1">
      <alignment horizontal="center" vertical="center"/>
    </xf>
    <xf numFmtId="0" fontId="29" fillId="3" borderId="0" xfId="0" applyFont="1" applyFill="1" applyAlignment="1">
      <alignment vertical="center" wrapText="1"/>
    </xf>
    <xf numFmtId="1" fontId="30" fillId="3" borderId="0" xfId="0" applyNumberFormat="1" applyFont="1" applyFill="1" applyAlignment="1">
      <alignment horizontal="center" vertical="center"/>
    </xf>
    <xf numFmtId="49" fontId="29" fillId="3" borderId="0" xfId="0" applyNumberFormat="1" applyFont="1" applyFill="1" applyAlignment="1">
      <alignment horizontal="center" vertical="center"/>
    </xf>
    <xf numFmtId="172" fontId="30" fillId="3" borderId="0" xfId="0" applyNumberFormat="1" applyFont="1" applyFill="1" applyAlignment="1">
      <alignment horizontal="left" vertical="center" wrapText="1"/>
    </xf>
    <xf numFmtId="172" fontId="30" fillId="3" borderId="0" xfId="0" applyNumberFormat="1" applyFont="1" applyFill="1" applyAlignment="1">
      <alignment horizontal="center" vertical="center"/>
    </xf>
    <xf numFmtId="2" fontId="30" fillId="3" borderId="0" xfId="0" applyNumberFormat="1" applyFont="1" applyFill="1" applyAlignment="1">
      <alignment horizontal="center" vertical="center"/>
    </xf>
    <xf numFmtId="2" fontId="30" fillId="3" borderId="0" xfId="0" applyNumberFormat="1" applyFont="1" applyFill="1" applyAlignment="1">
      <alignment horizontal="right" vertical="center"/>
    </xf>
    <xf numFmtId="2" fontId="30" fillId="0" borderId="0" xfId="0" applyNumberFormat="1" applyFont="1" applyAlignment="1">
      <alignment horizontal="right" vertical="center"/>
    </xf>
    <xf numFmtId="2" fontId="15" fillId="0" borderId="0" xfId="0" applyNumberFormat="1" applyFont="1" applyAlignment="1">
      <alignment horizontal="right" vertical="center"/>
    </xf>
    <xf numFmtId="0" fontId="14" fillId="0" borderId="0" xfId="0" applyFont="1" applyAlignment="1">
      <alignment vertical="center"/>
    </xf>
    <xf numFmtId="0" fontId="14" fillId="3" borderId="0" xfId="0" applyFont="1" applyFill="1" applyAlignment="1">
      <alignment horizontal="center" vertical="center"/>
    </xf>
    <xf numFmtId="0" fontId="14" fillId="3" borderId="0" xfId="0" applyFont="1" applyFill="1" applyAlignment="1">
      <alignment vertical="center"/>
    </xf>
    <xf numFmtId="0" fontId="28" fillId="3" borderId="0" xfId="0" applyFont="1" applyFill="1" applyAlignment="1">
      <alignment vertical="center"/>
    </xf>
    <xf numFmtId="1" fontId="29" fillId="3" borderId="0" xfId="0" applyNumberFormat="1" applyFont="1" applyFill="1" applyAlignment="1">
      <alignment horizontal="center" vertical="center"/>
    </xf>
    <xf numFmtId="0" fontId="30" fillId="3" borderId="0" xfId="0" applyFont="1" applyFill="1" applyAlignment="1">
      <alignment horizontal="left" vertical="center" wrapText="1"/>
    </xf>
    <xf numFmtId="2" fontId="29" fillId="3" borderId="0" xfId="0" applyNumberFormat="1" applyFont="1" applyFill="1" applyAlignment="1">
      <alignment horizontal="center" vertical="center"/>
    </xf>
    <xf numFmtId="2" fontId="29" fillId="3" borderId="0" xfId="0" applyNumberFormat="1" applyFont="1" applyFill="1" applyAlignment="1">
      <alignment horizontal="right" vertical="center"/>
    </xf>
    <xf numFmtId="2" fontId="30" fillId="3" borderId="0" xfId="0" applyNumberFormat="1" applyFont="1" applyFill="1" applyAlignment="1">
      <alignment horizontal="left" vertical="center"/>
    </xf>
    <xf numFmtId="2" fontId="15" fillId="0" borderId="0" xfId="0" applyNumberFormat="1" applyFont="1" applyAlignment="1">
      <alignment horizontal="left" vertical="center"/>
    </xf>
    <xf numFmtId="173" fontId="29" fillId="3" borderId="0" xfId="0" applyNumberFormat="1" applyFont="1" applyFill="1" applyAlignment="1">
      <alignment horizontal="left" vertical="center"/>
    </xf>
    <xf numFmtId="2" fontId="29" fillId="3" borderId="0" xfId="0" applyNumberFormat="1" applyFont="1" applyFill="1" applyAlignment="1">
      <alignment horizontal="left" vertical="center"/>
    </xf>
    <xf numFmtId="2" fontId="14" fillId="0" borderId="0" xfId="0" applyNumberFormat="1" applyFont="1" applyAlignment="1">
      <alignment horizontal="left" vertical="center"/>
    </xf>
    <xf numFmtId="2" fontId="30" fillId="3" borderId="36" xfId="0" applyNumberFormat="1" applyFont="1" applyFill="1" applyBorder="1" applyAlignment="1">
      <alignment horizontal="left" vertical="center"/>
    </xf>
    <xf numFmtId="2" fontId="30" fillId="3" borderId="0" xfId="0" applyNumberFormat="1" applyFont="1" applyFill="1" applyAlignment="1">
      <alignment vertical="center"/>
    </xf>
    <xf numFmtId="2" fontId="29" fillId="3" borderId="36" xfId="0" applyNumberFormat="1" applyFont="1" applyFill="1" applyBorder="1" applyAlignment="1">
      <alignment horizontal="left" vertical="center"/>
    </xf>
    <xf numFmtId="175" fontId="31" fillId="3" borderId="33" xfId="0" applyNumberFormat="1" applyFont="1" applyFill="1" applyBorder="1" applyAlignment="1">
      <alignment horizontal="left" vertical="center" wrapText="1"/>
    </xf>
    <xf numFmtId="2" fontId="29" fillId="3" borderId="33" xfId="0" applyNumberFormat="1" applyFont="1" applyFill="1" applyBorder="1" applyAlignment="1">
      <alignment horizontal="left" vertical="center"/>
    </xf>
    <xf numFmtId="2" fontId="30" fillId="3" borderId="33" xfId="0" applyNumberFormat="1" applyFont="1" applyFill="1" applyBorder="1" applyAlignment="1">
      <alignment horizontal="left" vertical="center"/>
    </xf>
    <xf numFmtId="2" fontId="29" fillId="3" borderId="33" xfId="0" applyNumberFormat="1" applyFont="1" applyFill="1" applyBorder="1" applyAlignment="1">
      <alignment horizontal="right" vertical="center"/>
    </xf>
    <xf numFmtId="1" fontId="30" fillId="3" borderId="33" xfId="0" applyNumberFormat="1" applyFont="1" applyFill="1" applyBorder="1" applyAlignment="1">
      <alignment horizontal="left" vertical="center"/>
    </xf>
    <xf numFmtId="1" fontId="15" fillId="0" borderId="0" xfId="0" applyNumberFormat="1" applyFont="1" applyAlignment="1">
      <alignment horizontal="left" vertical="center"/>
    </xf>
    <xf numFmtId="1" fontId="13" fillId="3" borderId="32" xfId="0" applyNumberFormat="1" applyFont="1" applyFill="1" applyBorder="1" applyAlignment="1">
      <alignment vertical="center"/>
    </xf>
    <xf numFmtId="1" fontId="13" fillId="3" borderId="34" xfId="0" applyNumberFormat="1" applyFont="1" applyFill="1" applyBorder="1" applyAlignment="1">
      <alignment vertical="center"/>
    </xf>
    <xf numFmtId="1" fontId="13" fillId="3" borderId="32" xfId="0" applyNumberFormat="1" applyFont="1" applyFill="1" applyBorder="1" applyAlignment="1">
      <alignment horizontal="center" vertical="center"/>
    </xf>
    <xf numFmtId="1" fontId="13" fillId="3" borderId="34" xfId="0" applyNumberFormat="1" applyFont="1" applyFill="1" applyBorder="1" applyAlignment="1">
      <alignment horizontal="left" vertical="center"/>
    </xf>
    <xf numFmtId="174" fontId="13" fillId="3" borderId="32" xfId="0" applyNumberFormat="1" applyFont="1" applyFill="1" applyBorder="1" applyAlignment="1">
      <alignment horizontal="center" vertical="center"/>
    </xf>
    <xf numFmtId="174" fontId="13" fillId="3" borderId="33" xfId="0" applyNumberFormat="1" applyFont="1" applyFill="1" applyBorder="1" applyAlignment="1">
      <alignment horizontal="left" vertical="center"/>
    </xf>
    <xf numFmtId="4" fontId="17" fillId="3" borderId="26" xfId="0" applyNumberFormat="1" applyFont="1" applyFill="1" applyBorder="1" applyAlignment="1">
      <alignment horizontal="center" vertical="center"/>
    </xf>
    <xf numFmtId="176" fontId="29" fillId="3" borderId="36" xfId="0" applyNumberFormat="1" applyFont="1" applyFill="1" applyBorder="1" applyAlignment="1">
      <alignment horizontal="left" vertical="center" wrapText="1"/>
    </xf>
    <xf numFmtId="0" fontId="30" fillId="3" borderId="36" xfId="0" applyFont="1" applyFill="1" applyBorder="1" applyAlignment="1">
      <alignment horizontal="left" vertical="center"/>
    </xf>
    <xf numFmtId="2" fontId="29" fillId="3" borderId="36" xfId="0" applyNumberFormat="1" applyFont="1" applyFill="1" applyBorder="1" applyAlignment="1">
      <alignment horizontal="right" vertical="center"/>
    </xf>
    <xf numFmtId="0" fontId="15" fillId="0" borderId="0" xfId="0" applyFont="1" applyAlignment="1">
      <alignment horizontal="left" vertical="center"/>
    </xf>
    <xf numFmtId="174" fontId="32" fillId="3" borderId="48" xfId="0" applyNumberFormat="1" applyFont="1" applyFill="1" applyBorder="1" applyAlignment="1">
      <alignment horizontal="right" vertical="center"/>
    </xf>
    <xf numFmtId="174" fontId="13" fillId="3" borderId="24" xfId="0" applyNumberFormat="1" applyFont="1" applyFill="1" applyBorder="1" applyAlignment="1">
      <alignment horizontal="left" vertical="center"/>
    </xf>
    <xf numFmtId="0" fontId="29" fillId="3" borderId="0" xfId="0" applyFont="1" applyFill="1" applyAlignment="1">
      <alignment horizontal="left" vertical="center" wrapText="1"/>
    </xf>
    <xf numFmtId="10" fontId="29" fillId="3" borderId="0" xfId="0" applyNumberFormat="1" applyFont="1" applyFill="1" applyAlignment="1">
      <alignment vertical="center"/>
    </xf>
    <xf numFmtId="10" fontId="14" fillId="0" borderId="0" xfId="0" applyNumberFormat="1" applyFont="1" applyAlignment="1">
      <alignment vertical="center"/>
    </xf>
    <xf numFmtId="166" fontId="0" fillId="3" borderId="37" xfId="0" applyNumberFormat="1" applyFill="1" applyBorder="1" applyAlignment="1">
      <alignment horizontal="right" vertical="center"/>
    </xf>
    <xf numFmtId="166" fontId="0" fillId="11" borderId="36" xfId="0" applyNumberFormat="1" applyFill="1" applyBorder="1" applyAlignment="1">
      <alignment horizontal="left" vertical="center"/>
    </xf>
    <xf numFmtId="166" fontId="0" fillId="3" borderId="36" xfId="0" applyNumberFormat="1" applyFill="1" applyBorder="1" applyAlignment="1">
      <alignment horizontal="right" vertical="center"/>
    </xf>
    <xf numFmtId="166" fontId="0" fillId="3" borderId="48" xfId="0" applyNumberFormat="1" applyFill="1" applyBorder="1" applyAlignment="1">
      <alignment horizontal="right" vertical="center"/>
    </xf>
    <xf numFmtId="166" fontId="13" fillId="3" borderId="24" xfId="0" applyNumberFormat="1" applyFont="1" applyFill="1" applyBorder="1" applyAlignment="1">
      <alignment horizontal="left" vertical="center"/>
    </xf>
    <xf numFmtId="1" fontId="30" fillId="3" borderId="42" xfId="0" applyNumberFormat="1" applyFont="1" applyFill="1" applyBorder="1" applyAlignment="1">
      <alignment horizontal="center" vertical="center" wrapText="1"/>
    </xf>
    <xf numFmtId="49" fontId="30" fillId="3" borderId="42" xfId="0" applyNumberFormat="1" applyFont="1" applyFill="1" applyBorder="1" applyAlignment="1">
      <alignment horizontal="center" vertical="center" wrapText="1"/>
    </xf>
    <xf numFmtId="0" fontId="30" fillId="3" borderId="42" xfId="0" applyFont="1" applyFill="1" applyBorder="1" applyAlignment="1">
      <alignment horizontal="left" vertical="center" wrapText="1"/>
    </xf>
    <xf numFmtId="0" fontId="30" fillId="3" borderId="42" xfId="0" applyFont="1" applyFill="1" applyBorder="1" applyAlignment="1">
      <alignment horizontal="center" vertical="center" wrapText="1"/>
    </xf>
    <xf numFmtId="2" fontId="30" fillId="3" borderId="42" xfId="0" applyNumberFormat="1" applyFont="1" applyFill="1" applyBorder="1" applyAlignment="1">
      <alignment horizontal="center" vertical="center" wrapText="1"/>
    </xf>
    <xf numFmtId="10" fontId="30" fillId="3" borderId="42" xfId="0" applyNumberFormat="1" applyFont="1" applyFill="1" applyBorder="1" applyAlignment="1">
      <alignment horizontal="center" vertical="center"/>
    </xf>
    <xf numFmtId="10" fontId="15" fillId="0" borderId="0" xfId="0" applyNumberFormat="1" applyFont="1" applyAlignment="1">
      <alignment horizontal="center" vertical="center"/>
    </xf>
    <xf numFmtId="0" fontId="14" fillId="3" borderId="7" xfId="0" applyFont="1" applyFill="1" applyBorder="1" applyAlignment="1">
      <alignment horizontal="center" vertical="center"/>
    </xf>
    <xf numFmtId="0" fontId="14" fillId="3" borderId="37" xfId="0" applyFont="1" applyFill="1" applyBorder="1" applyAlignment="1">
      <alignment horizontal="center" vertical="center" wrapText="1"/>
    </xf>
    <xf numFmtId="1" fontId="28" fillId="3" borderId="0" xfId="0" applyNumberFormat="1" applyFont="1" applyFill="1" applyAlignment="1">
      <alignment horizontal="center" vertical="center" wrapText="1"/>
    </xf>
    <xf numFmtId="0" fontId="30" fillId="12" borderId="49" xfId="0" applyFont="1" applyFill="1" applyBorder="1" applyAlignment="1">
      <alignment horizontal="center" vertical="center" wrapText="1"/>
    </xf>
    <xf numFmtId="165" fontId="30" fillId="12" borderId="49" xfId="0" applyNumberFormat="1" applyFont="1" applyFill="1" applyBorder="1" applyAlignment="1">
      <alignment horizontal="center" vertical="center" wrapText="1"/>
    </xf>
    <xf numFmtId="165" fontId="30" fillId="12" borderId="49" xfId="0" applyNumberFormat="1" applyFont="1" applyFill="1" applyBorder="1" applyAlignment="1">
      <alignment horizontal="left" vertical="center" wrapText="1"/>
    </xf>
    <xf numFmtId="165" fontId="15" fillId="0" borderId="0" xfId="0" applyNumberFormat="1" applyFont="1" applyAlignment="1">
      <alignment horizontal="center" vertical="center" wrapText="1"/>
    </xf>
    <xf numFmtId="177" fontId="13" fillId="0" borderId="0" xfId="0" applyNumberFormat="1" applyFont="1" applyAlignment="1">
      <alignment vertical="center"/>
    </xf>
    <xf numFmtId="178" fontId="14" fillId="11" borderId="38" xfId="0" applyNumberFormat="1" applyFont="1" applyFill="1" applyBorder="1" applyAlignment="1">
      <alignment horizontal="right" vertical="center"/>
    </xf>
    <xf numFmtId="178" fontId="14" fillId="3" borderId="50" xfId="0" applyNumberFormat="1" applyFont="1" applyFill="1" applyBorder="1" applyAlignment="1">
      <alignment horizontal="right" vertical="center"/>
    </xf>
    <xf numFmtId="178" fontId="14" fillId="3" borderId="38" xfId="0" applyNumberFormat="1" applyFont="1" applyFill="1" applyBorder="1" applyAlignment="1">
      <alignment horizontal="right" vertical="center"/>
    </xf>
    <xf numFmtId="165" fontId="14" fillId="3" borderId="51" xfId="0" applyNumberFormat="1" applyFont="1" applyFill="1" applyBorder="1" applyAlignment="1">
      <alignment horizontal="right" vertical="center"/>
    </xf>
    <xf numFmtId="165" fontId="14" fillId="3" borderId="52" xfId="0" applyNumberFormat="1" applyFont="1" applyFill="1" applyBorder="1" applyAlignment="1">
      <alignment horizontal="right" vertical="center"/>
    </xf>
    <xf numFmtId="165" fontId="14" fillId="3" borderId="38" xfId="0" applyNumberFormat="1" applyFont="1" applyFill="1" applyBorder="1" applyAlignment="1">
      <alignment horizontal="right" vertical="center"/>
    </xf>
    <xf numFmtId="0" fontId="33" fillId="3" borderId="0" xfId="0" applyFont="1" applyFill="1" applyAlignment="1">
      <alignment horizontal="center" vertical="center"/>
    </xf>
    <xf numFmtId="4" fontId="14" fillId="3" borderId="53" xfId="0" applyNumberFormat="1" applyFont="1" applyFill="1" applyBorder="1" applyAlignment="1">
      <alignment horizontal="right" vertical="center"/>
    </xf>
    <xf numFmtId="0" fontId="13" fillId="3" borderId="0" xfId="0" applyFont="1" applyFill="1" applyAlignment="1">
      <alignment vertical="center" wrapText="1"/>
    </xf>
    <xf numFmtId="0" fontId="13" fillId="3" borderId="0" xfId="0" applyFont="1" applyFill="1" applyAlignment="1">
      <alignment vertical="center"/>
    </xf>
    <xf numFmtId="0" fontId="29" fillId="3" borderId="0" xfId="0" applyFont="1" applyFill="1" applyAlignment="1">
      <alignment horizontal="center" vertical="center" wrapText="1"/>
    </xf>
    <xf numFmtId="1" fontId="30" fillId="2" borderId="54" xfId="0" applyNumberFormat="1" applyFont="1" applyFill="1" applyBorder="1" applyAlignment="1">
      <alignment horizontal="center" vertical="center" wrapText="1"/>
    </xf>
    <xf numFmtId="171" fontId="30" fillId="2" borderId="54" xfId="0" applyNumberFormat="1" applyFont="1" applyFill="1" applyBorder="1" applyAlignment="1">
      <alignment horizontal="left" vertical="center" wrapText="1"/>
    </xf>
    <xf numFmtId="171" fontId="29" fillId="2" borderId="54" xfId="0" applyNumberFormat="1" applyFont="1" applyFill="1" applyBorder="1" applyAlignment="1">
      <alignment horizontal="center" vertical="center" wrapText="1"/>
    </xf>
    <xf numFmtId="2" fontId="30" fillId="2" borderId="54" xfId="0" applyNumberFormat="1" applyFont="1" applyFill="1" applyBorder="1" applyAlignment="1">
      <alignment horizontal="center" vertical="center" wrapText="1"/>
    </xf>
    <xf numFmtId="2" fontId="29" fillId="2" borderId="54" xfId="0" applyNumberFormat="1" applyFont="1" applyFill="1" applyBorder="1" applyAlignment="1">
      <alignment vertical="center" wrapText="1"/>
    </xf>
    <xf numFmtId="2" fontId="29" fillId="2" borderId="54" xfId="0" applyNumberFormat="1" applyFont="1" applyFill="1" applyBorder="1" applyAlignment="1">
      <alignment horizontal="right" vertical="center" wrapText="1"/>
    </xf>
    <xf numFmtId="179" fontId="30" fillId="2" borderId="54" xfId="0" applyNumberFormat="1" applyFont="1" applyFill="1" applyBorder="1" applyAlignment="1">
      <alignment vertical="center" wrapText="1"/>
    </xf>
    <xf numFmtId="179" fontId="30" fillId="2" borderId="54" xfId="0" applyNumberFormat="1" applyFont="1" applyFill="1" applyBorder="1" applyAlignment="1">
      <alignment horizontal="right" vertical="center" wrapText="1"/>
    </xf>
    <xf numFmtId="179" fontId="15" fillId="0" borderId="0" xfId="0" applyNumberFormat="1" applyFont="1" applyAlignment="1">
      <alignment vertical="center" wrapText="1"/>
    </xf>
    <xf numFmtId="1" fontId="29" fillId="0" borderId="0" xfId="0" applyNumberFormat="1" applyFont="1" applyAlignment="1">
      <alignment horizontal="center" vertical="center" wrapText="1"/>
    </xf>
    <xf numFmtId="0" fontId="29" fillId="0" borderId="0" xfId="0" applyFont="1" applyAlignment="1">
      <alignment horizontal="center" vertical="center" wrapText="1"/>
    </xf>
    <xf numFmtId="1" fontId="29" fillId="0" borderId="54" xfId="0" applyNumberFormat="1" applyFont="1" applyBorder="1" applyAlignment="1">
      <alignment horizontal="center" vertical="center" wrapText="1"/>
    </xf>
    <xf numFmtId="0" fontId="29" fillId="0" borderId="54" xfId="0" applyFont="1" applyBorder="1" applyAlignment="1">
      <alignment horizontal="center" vertical="center" wrapText="1"/>
    </xf>
    <xf numFmtId="2" fontId="29" fillId="3" borderId="54" xfId="0" applyNumberFormat="1" applyFont="1" applyFill="1" applyBorder="1" applyAlignment="1">
      <alignment horizontal="left" vertical="center" wrapText="1"/>
    </xf>
    <xf numFmtId="2" fontId="29" fillId="3" borderId="54" xfId="0" applyNumberFormat="1" applyFont="1" applyFill="1" applyBorder="1" applyAlignment="1">
      <alignment horizontal="center" vertical="center" wrapText="1"/>
    </xf>
    <xf numFmtId="4" fontId="29" fillId="0" borderId="54" xfId="0" applyNumberFormat="1" applyFont="1" applyBorder="1" applyAlignment="1">
      <alignment horizontal="right" vertical="center" wrapText="1"/>
    </xf>
    <xf numFmtId="4" fontId="29" fillId="3" borderId="54" xfId="0" applyNumberFormat="1" applyFont="1" applyFill="1" applyBorder="1" applyAlignment="1">
      <alignment horizontal="right" vertical="center" wrapText="1"/>
    </xf>
    <xf numFmtId="4" fontId="14" fillId="0" borderId="0" xfId="0" applyNumberFormat="1" applyFont="1" applyAlignment="1">
      <alignment horizontal="right" vertical="center" wrapText="1"/>
    </xf>
    <xf numFmtId="0" fontId="28" fillId="3" borderId="0" xfId="0" applyFont="1" applyFill="1" applyAlignment="1">
      <alignment horizontal="center" vertical="center" wrapText="1"/>
    </xf>
    <xf numFmtId="0" fontId="30" fillId="13" borderId="54" xfId="0" applyFont="1" applyFill="1" applyBorder="1" applyAlignment="1">
      <alignment horizontal="center" vertical="center" wrapText="1"/>
    </xf>
    <xf numFmtId="0" fontId="30" fillId="13" borderId="54" xfId="0" applyFont="1" applyFill="1" applyBorder="1" applyAlignment="1">
      <alignment horizontal="left" vertical="center" wrapText="1"/>
    </xf>
    <xf numFmtId="4" fontId="29" fillId="13" borderId="54" xfId="0" applyNumberFormat="1" applyFont="1" applyFill="1" applyBorder="1" applyAlignment="1">
      <alignment horizontal="right" vertical="center" wrapText="1"/>
    </xf>
    <xf numFmtId="0" fontId="15" fillId="0" borderId="0" xfId="0" applyFont="1" applyAlignment="1">
      <alignment horizontal="center" vertical="center" wrapText="1"/>
    </xf>
    <xf numFmtId="165" fontId="30" fillId="13" borderId="54" xfId="0" applyNumberFormat="1" applyFont="1" applyFill="1" applyBorder="1" applyAlignment="1">
      <alignment horizontal="center" vertical="center" wrapText="1"/>
    </xf>
    <xf numFmtId="171" fontId="30" fillId="2" borderId="54" xfId="0" applyNumberFormat="1" applyFont="1" applyFill="1" applyBorder="1" applyAlignment="1">
      <alignment horizontal="left" wrapText="1"/>
    </xf>
    <xf numFmtId="171" fontId="29" fillId="2" borderId="54" xfId="0" applyNumberFormat="1" applyFont="1" applyFill="1" applyBorder="1" applyAlignment="1">
      <alignment horizontal="right" wrapText="1"/>
    </xf>
    <xf numFmtId="0" fontId="15" fillId="3" borderId="0" xfId="0" applyFont="1" applyFill="1" applyAlignment="1">
      <alignment vertical="center" wrapText="1"/>
    </xf>
    <xf numFmtId="0" fontId="15" fillId="0" borderId="0" xfId="0" applyFont="1" applyAlignment="1">
      <alignment vertical="center" wrapText="1"/>
    </xf>
    <xf numFmtId="0" fontId="13" fillId="0" borderId="0" xfId="0" applyFont="1" applyAlignment="1">
      <alignment vertical="center" wrapText="1"/>
    </xf>
    <xf numFmtId="2" fontId="30" fillId="13" borderId="54" xfId="0" applyNumberFormat="1" applyFont="1" applyFill="1" applyBorder="1" applyAlignment="1">
      <alignment horizontal="left" vertical="center" wrapText="1"/>
    </xf>
    <xf numFmtId="0" fontId="30" fillId="0" borderId="54" xfId="0" applyFont="1" applyBorder="1" applyAlignment="1">
      <alignment horizontal="center" vertical="center" wrapText="1"/>
    </xf>
    <xf numFmtId="2" fontId="30" fillId="0" borderId="54" xfId="0" applyNumberFormat="1" applyFont="1" applyBorder="1" applyAlignment="1">
      <alignment horizontal="left" vertical="center" wrapText="1"/>
    </xf>
    <xf numFmtId="4" fontId="34" fillId="0" borderId="0" xfId="0" applyNumberFormat="1" applyFont="1" applyAlignment="1">
      <alignment horizontal="right" vertical="center" wrapText="1"/>
    </xf>
    <xf numFmtId="178" fontId="34" fillId="11" borderId="38" xfId="0" applyNumberFormat="1" applyFont="1" applyFill="1" applyBorder="1" applyAlignment="1">
      <alignment horizontal="right" vertical="center"/>
    </xf>
    <xf numFmtId="178" fontId="34" fillId="3" borderId="50" xfId="0" applyNumberFormat="1" applyFont="1" applyFill="1" applyBorder="1" applyAlignment="1">
      <alignment horizontal="right" vertical="center"/>
    </xf>
    <xf numFmtId="178" fontId="34" fillId="3" borderId="38" xfId="0" applyNumberFormat="1" applyFont="1" applyFill="1" applyBorder="1" applyAlignment="1">
      <alignment horizontal="right" vertical="center"/>
    </xf>
    <xf numFmtId="165" fontId="34" fillId="3" borderId="51" xfId="0" applyNumberFormat="1" applyFont="1" applyFill="1" applyBorder="1" applyAlignment="1">
      <alignment horizontal="right" vertical="center"/>
    </xf>
    <xf numFmtId="165" fontId="34" fillId="3" borderId="52" xfId="0" applyNumberFormat="1" applyFont="1" applyFill="1" applyBorder="1" applyAlignment="1">
      <alignment horizontal="right" vertical="center"/>
    </xf>
    <xf numFmtId="165" fontId="34" fillId="3" borderId="38" xfId="0" applyNumberFormat="1" applyFont="1" applyFill="1" applyBorder="1" applyAlignment="1">
      <alignment horizontal="right" vertical="center"/>
    </xf>
    <xf numFmtId="0" fontId="35" fillId="3" borderId="0" xfId="0" applyFont="1" applyFill="1" applyAlignment="1">
      <alignment horizontal="center" vertical="center"/>
    </xf>
    <xf numFmtId="4" fontId="34" fillId="3" borderId="53" xfId="0" applyNumberFormat="1" applyFont="1" applyFill="1" applyBorder="1" applyAlignment="1">
      <alignment horizontal="right" vertical="center"/>
    </xf>
    <xf numFmtId="0" fontId="36" fillId="3" borderId="0" xfId="0" applyFont="1" applyFill="1" applyAlignment="1">
      <alignment vertical="center" wrapText="1"/>
    </xf>
    <xf numFmtId="0" fontId="36" fillId="3" borderId="0" xfId="0" applyFont="1" applyFill="1" applyAlignment="1">
      <alignment vertical="center"/>
    </xf>
    <xf numFmtId="0" fontId="36" fillId="0" borderId="0" xfId="0" applyFont="1" applyAlignment="1">
      <alignment vertical="center" wrapText="1"/>
    </xf>
    <xf numFmtId="0" fontId="37" fillId="0" borderId="0" xfId="0" applyFont="1"/>
    <xf numFmtId="1" fontId="29" fillId="3" borderId="54" xfId="0" applyNumberFormat="1" applyFont="1" applyFill="1" applyBorder="1" applyAlignment="1">
      <alignment horizontal="center" vertical="center" wrapText="1"/>
    </xf>
    <xf numFmtId="4" fontId="30" fillId="13" borderId="54" xfId="0" applyNumberFormat="1" applyFont="1" applyFill="1" applyBorder="1" applyAlignment="1">
      <alignment horizontal="right" vertical="center" wrapText="1"/>
    </xf>
    <xf numFmtId="2" fontId="29" fillId="2" borderId="54" xfId="0" applyNumberFormat="1" applyFont="1" applyFill="1" applyBorder="1" applyAlignment="1">
      <alignment horizontal="center" vertical="center" wrapText="1"/>
    </xf>
    <xf numFmtId="1" fontId="30" fillId="14" borderId="54" xfId="0" applyNumberFormat="1" applyFont="1" applyFill="1" applyBorder="1" applyAlignment="1">
      <alignment horizontal="center" vertical="center" wrapText="1"/>
    </xf>
    <xf numFmtId="171" fontId="30" fillId="14" borderId="54" xfId="0" applyNumberFormat="1" applyFont="1" applyFill="1" applyBorder="1" applyAlignment="1">
      <alignment horizontal="left" vertical="center" wrapText="1"/>
    </xf>
    <xf numFmtId="1" fontId="29" fillId="14" borderId="54" xfId="0" applyNumberFormat="1" applyFont="1" applyFill="1" applyBorder="1" applyAlignment="1">
      <alignment horizontal="center" vertical="center" wrapText="1"/>
    </xf>
    <xf numFmtId="1" fontId="15" fillId="0" borderId="0" xfId="0" applyNumberFormat="1" applyFont="1" applyAlignment="1">
      <alignment horizontal="center" vertical="center" wrapText="1"/>
    </xf>
    <xf numFmtId="179" fontId="38" fillId="0" borderId="0" xfId="0" applyNumberFormat="1" applyFont="1" applyAlignment="1">
      <alignment vertical="center" wrapText="1"/>
    </xf>
    <xf numFmtId="2" fontId="39" fillId="3" borderId="54" xfId="0" applyNumberFormat="1" applyFont="1" applyFill="1" applyBorder="1" applyAlignment="1">
      <alignment horizontal="left" vertical="center" wrapText="1"/>
    </xf>
    <xf numFmtId="0" fontId="30" fillId="10" borderId="55" xfId="0" applyFont="1" applyFill="1" applyBorder="1" applyAlignment="1">
      <alignment horizontal="center" vertical="center" wrapText="1"/>
    </xf>
    <xf numFmtId="49" fontId="30" fillId="10" borderId="55" xfId="0" applyNumberFormat="1" applyFont="1" applyFill="1" applyBorder="1" applyAlignment="1">
      <alignment horizontal="center" vertical="center" wrapText="1"/>
    </xf>
    <xf numFmtId="165" fontId="30" fillId="10" borderId="55" xfId="0" applyNumberFormat="1" applyFont="1" applyFill="1" applyBorder="1" applyAlignment="1">
      <alignment horizontal="left" vertical="center" wrapText="1"/>
    </xf>
    <xf numFmtId="165" fontId="30" fillId="10" borderId="55" xfId="0" applyNumberFormat="1" applyFont="1" applyFill="1" applyBorder="1" applyAlignment="1">
      <alignment horizontal="right" vertical="center" wrapText="1"/>
    </xf>
    <xf numFmtId="165" fontId="15" fillId="0" borderId="0" xfId="0" applyNumberFormat="1" applyFont="1" applyAlignment="1">
      <alignment horizontal="right" vertical="center" wrapText="1"/>
    </xf>
    <xf numFmtId="165" fontId="13" fillId="0" borderId="0" xfId="0" applyNumberFormat="1" applyFont="1" applyAlignment="1">
      <alignment vertical="center"/>
    </xf>
    <xf numFmtId="0" fontId="28" fillId="3" borderId="0" xfId="0" applyFont="1" applyFill="1" applyAlignment="1">
      <alignment horizontal="center" vertical="center"/>
    </xf>
    <xf numFmtId="0" fontId="28" fillId="3" borderId="0" xfId="0" applyFont="1" applyFill="1" applyAlignment="1">
      <alignment vertical="center" wrapText="1"/>
    </xf>
    <xf numFmtId="1" fontId="28" fillId="3" borderId="0" xfId="0" applyNumberFormat="1" applyFont="1" applyFill="1" applyAlignment="1">
      <alignment horizontal="center" vertical="center"/>
    </xf>
    <xf numFmtId="49" fontId="28" fillId="3" borderId="0" xfId="0" applyNumberFormat="1" applyFont="1" applyFill="1" applyAlignment="1">
      <alignment horizontal="center" vertical="center"/>
    </xf>
    <xf numFmtId="0" fontId="28" fillId="3" borderId="0" xfId="0" applyFont="1" applyFill="1" applyAlignment="1">
      <alignment horizontal="left" wrapText="1"/>
    </xf>
    <xf numFmtId="2" fontId="28" fillId="3" borderId="0" xfId="0" applyNumberFormat="1" applyFont="1" applyFill="1" applyAlignment="1">
      <alignment horizontal="center" vertical="center"/>
    </xf>
    <xf numFmtId="2" fontId="28" fillId="3" borderId="0" xfId="0" applyNumberFormat="1" applyFont="1" applyFill="1" applyAlignment="1">
      <alignment horizontal="right" vertical="center"/>
    </xf>
    <xf numFmtId="10" fontId="0" fillId="0" borderId="0" xfId="0" applyNumberFormat="1" applyAlignment="1">
      <alignment vertical="center"/>
    </xf>
    <xf numFmtId="0" fontId="0" fillId="0" borderId="0" xfId="0" applyAlignment="1">
      <alignment vertical="center"/>
    </xf>
    <xf numFmtId="0" fontId="0" fillId="3" borderId="0" xfId="0" applyFill="1" applyAlignment="1">
      <alignment horizontal="center" vertical="center"/>
    </xf>
    <xf numFmtId="10" fontId="28" fillId="3" borderId="0" xfId="0" applyNumberFormat="1" applyFont="1" applyFill="1" applyAlignment="1">
      <alignment vertical="center"/>
    </xf>
    <xf numFmtId="0" fontId="28" fillId="0" borderId="36" xfId="0" applyFont="1" applyBorder="1"/>
    <xf numFmtId="0" fontId="28" fillId="0" borderId="33" xfId="0" applyFont="1" applyBorder="1"/>
    <xf numFmtId="2" fontId="15" fillId="15" borderId="42" xfId="0" applyNumberFormat="1" applyFont="1" applyFill="1" applyBorder="1" applyAlignment="1">
      <alignment horizontal="center" vertical="center" wrapText="1"/>
    </xf>
    <xf numFmtId="2" fontId="15" fillId="15" borderId="32" xfId="0" applyNumberFormat="1" applyFont="1" applyFill="1" applyBorder="1" applyAlignment="1">
      <alignment horizontal="center" vertical="center" wrapText="1"/>
    </xf>
    <xf numFmtId="2" fontId="29" fillId="3" borderId="54" xfId="0" applyNumberFormat="1" applyFont="1" applyFill="1" applyBorder="1" applyAlignment="1">
      <alignment horizontal="justify" vertical="center" wrapText="1"/>
    </xf>
    <xf numFmtId="4" fontId="14" fillId="0" borderId="54" xfId="0" applyNumberFormat="1" applyFont="1" applyBorder="1" applyAlignment="1">
      <alignment vertical="center" wrapText="1"/>
    </xf>
    <xf numFmtId="10" fontId="14" fillId="3" borderId="54" xfId="0" applyNumberFormat="1" applyFont="1" applyFill="1" applyBorder="1" applyAlignment="1">
      <alignment horizontal="right" vertical="center" wrapText="1"/>
    </xf>
    <xf numFmtId="178" fontId="14" fillId="0" borderId="54" xfId="0" applyNumberFormat="1" applyFont="1" applyBorder="1" applyAlignment="1">
      <alignment horizontal="center" vertical="center" wrapText="1"/>
    </xf>
    <xf numFmtId="2" fontId="39" fillId="3" borderId="54" xfId="0" applyNumberFormat="1" applyFont="1" applyFill="1" applyBorder="1" applyAlignment="1">
      <alignment horizontal="justify" vertical="center" wrapText="1"/>
    </xf>
    <xf numFmtId="2" fontId="29" fillId="3" borderId="55" xfId="0" applyNumberFormat="1" applyFont="1" applyFill="1" applyBorder="1" applyAlignment="1">
      <alignment horizontal="justify" vertical="center" wrapText="1"/>
    </xf>
    <xf numFmtId="2" fontId="29" fillId="3" borderId="55" xfId="0" applyNumberFormat="1" applyFont="1" applyFill="1" applyBorder="1" applyAlignment="1">
      <alignment horizontal="center" vertical="center" wrapText="1"/>
    </xf>
    <xf numFmtId="4" fontId="29" fillId="3" borderId="55" xfId="0" applyNumberFormat="1" applyFont="1" applyFill="1" applyBorder="1" applyAlignment="1">
      <alignment horizontal="right" vertical="center" wrapText="1"/>
    </xf>
    <xf numFmtId="0" fontId="13" fillId="0" borderId="7" xfId="0" applyFont="1" applyBorder="1" applyAlignment="1">
      <alignment horizontal="center"/>
    </xf>
    <xf numFmtId="0" fontId="0" fillId="0" borderId="7" xfId="0" applyBorder="1" applyAlignment="1">
      <alignment horizontal="center"/>
    </xf>
    <xf numFmtId="0" fontId="13" fillId="16" borderId="7" xfId="0" applyFont="1" applyFill="1" applyBorder="1" applyAlignment="1">
      <alignment horizontal="center"/>
    </xf>
    <xf numFmtId="2" fontId="0" fillId="0" borderId="7" xfId="0" applyNumberFormat="1" applyBorder="1" applyAlignment="1">
      <alignment horizontal="center"/>
    </xf>
    <xf numFmtId="0" fontId="13" fillId="0" borderId="7" xfId="0" applyFont="1" applyBorder="1" applyAlignment="1">
      <alignment horizontal="right"/>
    </xf>
    <xf numFmtId="10" fontId="42" fillId="3" borderId="33" xfId="0" applyNumberFormat="1" applyFont="1" applyFill="1" applyBorder="1" applyAlignment="1">
      <alignment horizontal="right"/>
    </xf>
    <xf numFmtId="10" fontId="42" fillId="3" borderId="33" xfId="0" applyNumberFormat="1" applyFont="1" applyFill="1" applyBorder="1" applyAlignment="1">
      <alignment horizontal="left"/>
    </xf>
    <xf numFmtId="10" fontId="43" fillId="3" borderId="33" xfId="0" applyNumberFormat="1" applyFont="1" applyFill="1" applyBorder="1" applyAlignment="1">
      <alignment horizontal="right"/>
    </xf>
    <xf numFmtId="0" fontId="0" fillId="3" borderId="33" xfId="0" applyFill="1" applyBorder="1"/>
    <xf numFmtId="0" fontId="0" fillId="3" borderId="34" xfId="0" applyFill="1" applyBorder="1"/>
    <xf numFmtId="10" fontId="0" fillId="3" borderId="0" xfId="0" applyNumberFormat="1" applyFill="1"/>
    <xf numFmtId="0" fontId="43" fillId="3" borderId="0" xfId="0" applyFont="1" applyFill="1" applyAlignment="1">
      <alignment horizontal="left" vertical="center"/>
    </xf>
    <xf numFmtId="0" fontId="43" fillId="3" borderId="0" xfId="0" applyFont="1" applyFill="1" applyAlignment="1">
      <alignment horizontal="right" vertical="center"/>
    </xf>
    <xf numFmtId="0" fontId="42" fillId="3" borderId="0" xfId="0" applyFont="1" applyFill="1" applyAlignment="1">
      <alignment horizontal="right" vertical="center"/>
    </xf>
    <xf numFmtId="181" fontId="44" fillId="3" borderId="0" xfId="0" applyNumberFormat="1" applyFont="1" applyFill="1" applyAlignment="1">
      <alignment horizontal="left" vertical="center"/>
    </xf>
    <xf numFmtId="167" fontId="44" fillId="3" borderId="29" xfId="0" applyNumberFormat="1" applyFont="1" applyFill="1" applyBorder="1" applyAlignment="1">
      <alignment horizontal="left" vertical="center"/>
    </xf>
    <xf numFmtId="180" fontId="0" fillId="3" borderId="35" xfId="0" applyNumberFormat="1" applyFill="1" applyBorder="1" applyAlignment="1">
      <alignment horizontal="center" vertical="top"/>
    </xf>
    <xf numFmtId="49" fontId="44" fillId="3" borderId="29" xfId="0" applyNumberFormat="1" applyFont="1" applyFill="1" applyBorder="1" applyAlignment="1">
      <alignment horizontal="left" vertical="center"/>
    </xf>
    <xf numFmtId="180" fontId="43" fillId="3" borderId="35" xfId="0" applyNumberFormat="1" applyFont="1" applyFill="1" applyBorder="1" applyAlignment="1">
      <alignment horizontal="center" vertical="top"/>
    </xf>
    <xf numFmtId="182" fontId="44" fillId="3" borderId="29" xfId="0" applyNumberFormat="1" applyFont="1" applyFill="1" applyBorder="1" applyAlignment="1">
      <alignment horizontal="left" vertical="center"/>
    </xf>
    <xf numFmtId="183" fontId="44" fillId="3" borderId="29" xfId="0" applyNumberFormat="1" applyFont="1" applyFill="1" applyBorder="1" applyAlignment="1">
      <alignment horizontal="left" vertical="center"/>
    </xf>
    <xf numFmtId="10" fontId="42" fillId="3" borderId="43" xfId="0" applyNumberFormat="1" applyFont="1" applyFill="1" applyBorder="1" applyAlignment="1">
      <alignment horizontal="center"/>
    </xf>
    <xf numFmtId="10" fontId="43" fillId="4" borderId="56" xfId="0" applyNumberFormat="1" applyFont="1" applyFill="1" applyBorder="1" applyAlignment="1">
      <alignment horizontal="center"/>
    </xf>
    <xf numFmtId="0" fontId="42" fillId="3" borderId="8" xfId="0" applyFont="1" applyFill="1" applyBorder="1" applyAlignment="1">
      <alignment horizontal="center" wrapText="1"/>
    </xf>
    <xf numFmtId="10" fontId="42" fillId="3" borderId="43" xfId="0" applyNumberFormat="1" applyFont="1" applyFill="1" applyBorder="1" applyAlignment="1">
      <alignment horizontal="right"/>
    </xf>
    <xf numFmtId="180" fontId="45" fillId="3" borderId="57" xfId="0" applyNumberFormat="1" applyFont="1" applyFill="1" applyBorder="1" applyAlignment="1">
      <alignment horizontal="center" vertical="top"/>
    </xf>
    <xf numFmtId="10" fontId="46" fillId="3" borderId="31" xfId="0" applyNumberFormat="1" applyFont="1" applyFill="1" applyBorder="1" applyAlignment="1">
      <alignment horizontal="right"/>
    </xf>
    <xf numFmtId="10" fontId="46" fillId="3" borderId="12" xfId="0" applyNumberFormat="1" applyFont="1" applyFill="1" applyBorder="1" applyAlignment="1">
      <alignment horizontal="center"/>
    </xf>
    <xf numFmtId="0" fontId="46" fillId="3" borderId="58" xfId="0" applyFont="1" applyFill="1" applyBorder="1" applyAlignment="1">
      <alignment horizontal="center" vertical="center"/>
    </xf>
    <xf numFmtId="0" fontId="45" fillId="3" borderId="0" xfId="0" applyFont="1" applyFill="1"/>
    <xf numFmtId="180" fontId="42" fillId="3" borderId="35" xfId="0" applyNumberFormat="1" applyFont="1" applyFill="1" applyBorder="1" applyAlignment="1">
      <alignment horizontal="center" vertical="center"/>
    </xf>
    <xf numFmtId="184" fontId="42" fillId="3" borderId="28" xfId="0" applyNumberFormat="1" applyFont="1" applyFill="1" applyBorder="1" applyAlignment="1">
      <alignment horizontal="center" vertical="center"/>
    </xf>
    <xf numFmtId="184" fontId="46" fillId="3" borderId="14" xfId="0" applyNumberFormat="1" applyFont="1" applyFill="1" applyBorder="1" applyAlignment="1">
      <alignment horizontal="center" vertical="center"/>
    </xf>
    <xf numFmtId="184" fontId="46" fillId="3" borderId="59" xfId="0" applyNumberFormat="1" applyFont="1" applyFill="1" applyBorder="1" applyAlignment="1">
      <alignment horizontal="center" vertical="center"/>
    </xf>
    <xf numFmtId="184" fontId="15" fillId="3" borderId="0" xfId="0" applyNumberFormat="1" applyFont="1" applyFill="1" applyAlignment="1">
      <alignment horizontal="center" vertical="center"/>
    </xf>
    <xf numFmtId="180" fontId="42" fillId="3" borderId="60" xfId="0" applyNumberFormat="1" applyFont="1" applyFill="1" applyBorder="1" applyAlignment="1">
      <alignment horizontal="center" vertical="center"/>
    </xf>
    <xf numFmtId="184" fontId="42" fillId="3" borderId="61" xfId="0" applyNumberFormat="1" applyFont="1" applyFill="1" applyBorder="1" applyAlignment="1">
      <alignment horizontal="center" vertical="center"/>
    </xf>
    <xf numFmtId="184" fontId="46" fillId="3" borderId="16" xfId="0" applyNumberFormat="1" applyFont="1" applyFill="1" applyBorder="1" applyAlignment="1">
      <alignment horizontal="center" vertical="center"/>
    </xf>
    <xf numFmtId="184" fontId="46" fillId="3" borderId="62" xfId="0" applyNumberFormat="1" applyFont="1" applyFill="1" applyBorder="1" applyAlignment="1">
      <alignment horizontal="center" vertical="center"/>
    </xf>
    <xf numFmtId="184" fontId="15" fillId="3" borderId="0" xfId="0" applyNumberFormat="1" applyFont="1" applyFill="1" applyAlignment="1">
      <alignment horizontal="left" wrapText="1"/>
    </xf>
    <xf numFmtId="180" fontId="43" fillId="17" borderId="63" xfId="0" applyNumberFormat="1" applyFont="1" applyFill="1" applyBorder="1" applyAlignment="1">
      <alignment horizontal="center" vertical="center" wrapText="1"/>
    </xf>
    <xf numFmtId="0" fontId="14" fillId="17" borderId="64" xfId="0" applyFont="1" applyFill="1" applyBorder="1" applyAlignment="1">
      <alignment horizontal="left" vertical="center" wrapText="1"/>
    </xf>
    <xf numFmtId="10" fontId="14" fillId="17" borderId="64" xfId="0" applyNumberFormat="1" applyFont="1" applyFill="1" applyBorder="1" applyAlignment="1">
      <alignment horizontal="right" vertical="center" wrapText="1"/>
    </xf>
    <xf numFmtId="181" fontId="14" fillId="17" borderId="64" xfId="0" applyNumberFormat="1" applyFont="1" applyFill="1" applyBorder="1" applyAlignment="1">
      <alignment horizontal="right" vertical="center" wrapText="1"/>
    </xf>
    <xf numFmtId="185" fontId="14" fillId="17" borderId="65" xfId="0" applyNumberFormat="1" applyFont="1" applyFill="1" applyBorder="1" applyAlignment="1">
      <alignment horizontal="right" vertical="center" wrapText="1"/>
    </xf>
    <xf numFmtId="0" fontId="0" fillId="17" borderId="0" xfId="0" applyFill="1" applyAlignment="1">
      <alignment vertical="center" wrapText="1"/>
    </xf>
    <xf numFmtId="10" fontId="0" fillId="17" borderId="0" xfId="0" applyNumberFormat="1" applyFill="1" applyAlignment="1">
      <alignment vertical="center" wrapText="1"/>
    </xf>
    <xf numFmtId="180" fontId="43" fillId="4" borderId="63" xfId="0" applyNumberFormat="1" applyFont="1" applyFill="1" applyBorder="1" applyAlignment="1">
      <alignment horizontal="center" vertical="center" wrapText="1"/>
    </xf>
    <xf numFmtId="171" fontId="14" fillId="3" borderId="66" xfId="0" applyNumberFormat="1" applyFont="1" applyFill="1" applyBorder="1" applyAlignment="1">
      <alignment horizontal="left" vertical="center" wrapText="1"/>
    </xf>
    <xf numFmtId="10" fontId="14" fillId="3" borderId="66" xfId="0" applyNumberFormat="1" applyFont="1" applyFill="1" applyBorder="1" applyAlignment="1">
      <alignment horizontal="right" vertical="center" wrapText="1"/>
    </xf>
    <xf numFmtId="181" fontId="14" fillId="3" borderId="66" xfId="0" applyNumberFormat="1" applyFont="1" applyFill="1" applyBorder="1" applyAlignment="1">
      <alignment horizontal="right" vertical="center" wrapText="1"/>
    </xf>
    <xf numFmtId="10" fontId="14" fillId="4" borderId="66" xfId="0" applyNumberFormat="1" applyFont="1" applyFill="1" applyBorder="1" applyAlignment="1">
      <alignment horizontal="right" vertical="center" wrapText="1"/>
    </xf>
    <xf numFmtId="181" fontId="14" fillId="3" borderId="64" xfId="0" applyNumberFormat="1" applyFont="1" applyFill="1" applyBorder="1" applyAlignment="1">
      <alignment horizontal="right" vertical="center" wrapText="1"/>
    </xf>
    <xf numFmtId="185" fontId="14" fillId="3" borderId="67" xfId="0" applyNumberFormat="1" applyFont="1" applyFill="1" applyBorder="1" applyAlignment="1">
      <alignment horizontal="right" vertical="center" wrapText="1"/>
    </xf>
    <xf numFmtId="186" fontId="0" fillId="3" borderId="0" xfId="0" applyNumberFormat="1" applyFill="1" applyAlignment="1">
      <alignment vertical="center" wrapText="1"/>
    </xf>
    <xf numFmtId="10" fontId="0" fillId="3" borderId="0" xfId="0" applyNumberFormat="1" applyFill="1" applyAlignment="1">
      <alignment vertical="center" wrapText="1"/>
    </xf>
    <xf numFmtId="0" fontId="14" fillId="3" borderId="66" xfId="0" applyFont="1" applyFill="1" applyBorder="1" applyAlignment="1">
      <alignment horizontal="left" vertical="center" wrapText="1"/>
    </xf>
    <xf numFmtId="0" fontId="14" fillId="3" borderId="64" xfId="0" applyFont="1" applyFill="1" applyBorder="1" applyAlignment="1">
      <alignment horizontal="left" vertical="center" wrapText="1"/>
    </xf>
    <xf numFmtId="10" fontId="14" fillId="3" borderId="64" xfId="0" applyNumberFormat="1" applyFont="1" applyFill="1" applyBorder="1" applyAlignment="1">
      <alignment horizontal="right" vertical="center" wrapText="1"/>
    </xf>
    <xf numFmtId="185" fontId="14" fillId="3" borderId="65" xfId="0" applyNumberFormat="1" applyFont="1" applyFill="1" applyBorder="1" applyAlignment="1">
      <alignment horizontal="right" vertical="center" wrapText="1"/>
    </xf>
    <xf numFmtId="0" fontId="0" fillId="3" borderId="0" xfId="0" applyFill="1" applyAlignment="1">
      <alignment vertical="center" wrapText="1"/>
    </xf>
    <xf numFmtId="180" fontId="43" fillId="3" borderId="68" xfId="0" applyNumberFormat="1" applyFont="1" applyFill="1" applyBorder="1" applyAlignment="1">
      <alignment horizontal="center" vertical="center" wrapText="1"/>
    </xf>
    <xf numFmtId="180" fontId="42" fillId="3" borderId="45" xfId="0" applyNumberFormat="1" applyFont="1" applyFill="1" applyBorder="1" applyAlignment="1">
      <alignment horizontal="center" vertical="center" wrapText="1"/>
    </xf>
    <xf numFmtId="180" fontId="43" fillId="3" borderId="43" xfId="0" applyNumberFormat="1" applyFont="1" applyFill="1" applyBorder="1" applyAlignment="1">
      <alignment horizontal="center" vertical="center" wrapText="1"/>
    </xf>
    <xf numFmtId="180" fontId="43" fillId="3" borderId="44" xfId="0" applyNumberFormat="1" applyFont="1" applyFill="1" applyBorder="1" applyAlignment="1">
      <alignment horizontal="center" vertical="center" wrapText="1"/>
    </xf>
    <xf numFmtId="180" fontId="43" fillId="3" borderId="69" xfId="0" applyNumberFormat="1" applyFont="1" applyFill="1" applyBorder="1" applyAlignment="1">
      <alignment horizontal="center" vertical="center" wrapText="1"/>
    </xf>
    <xf numFmtId="10" fontId="14" fillId="4" borderId="64" xfId="0" applyNumberFormat="1" applyFont="1" applyFill="1" applyBorder="1" applyAlignment="1">
      <alignment horizontal="right" vertical="center" wrapText="1"/>
    </xf>
    <xf numFmtId="180" fontId="43" fillId="4" borderId="70" xfId="0" applyNumberFormat="1" applyFont="1" applyFill="1" applyBorder="1" applyAlignment="1">
      <alignment horizontal="center" vertical="center" wrapText="1"/>
    </xf>
    <xf numFmtId="10" fontId="14" fillId="3" borderId="72" xfId="0" applyNumberFormat="1" applyFont="1" applyFill="1" applyBorder="1" applyAlignment="1">
      <alignment horizontal="right" vertical="center" wrapText="1"/>
    </xf>
    <xf numFmtId="181" fontId="14" fillId="3" borderId="72" xfId="0" applyNumberFormat="1" applyFont="1" applyFill="1" applyBorder="1" applyAlignment="1">
      <alignment horizontal="right"/>
    </xf>
    <xf numFmtId="10" fontId="14" fillId="3" borderId="72" xfId="0" applyNumberFormat="1" applyFont="1" applyFill="1" applyBorder="1" applyAlignment="1">
      <alignment horizontal="right"/>
    </xf>
    <xf numFmtId="181" fontId="14" fillId="3" borderId="73" xfId="0" applyNumberFormat="1" applyFont="1" applyFill="1" applyBorder="1" applyAlignment="1">
      <alignment horizontal="right"/>
    </xf>
    <xf numFmtId="181" fontId="0" fillId="3" borderId="0" xfId="0" applyNumberFormat="1" applyFill="1"/>
    <xf numFmtId="179" fontId="15" fillId="4" borderId="66" xfId="0" applyNumberFormat="1" applyFont="1" applyFill="1" applyBorder="1" applyAlignment="1">
      <alignment horizontal="right"/>
    </xf>
    <xf numFmtId="188" fontId="14" fillId="3" borderId="66" xfId="0" applyNumberFormat="1" applyFont="1" applyFill="1" applyBorder="1" applyAlignment="1">
      <alignment horizontal="right"/>
    </xf>
    <xf numFmtId="10" fontId="14" fillId="3" borderId="66" xfId="0" applyNumberFormat="1" applyFont="1" applyFill="1" applyBorder="1" applyAlignment="1">
      <alignment horizontal="right"/>
    </xf>
    <xf numFmtId="181" fontId="14" fillId="3" borderId="66" xfId="0" applyNumberFormat="1" applyFont="1" applyFill="1" applyBorder="1" applyAlignment="1">
      <alignment horizontal="right"/>
    </xf>
    <xf numFmtId="0" fontId="14" fillId="3" borderId="67" xfId="0" applyFont="1" applyFill="1" applyBorder="1"/>
    <xf numFmtId="0" fontId="43" fillId="3" borderId="0" xfId="0" applyFont="1" applyFill="1"/>
    <xf numFmtId="180" fontId="0" fillId="3" borderId="0" xfId="0" applyNumberFormat="1" applyFill="1" applyAlignment="1">
      <alignment horizontal="center" vertical="top"/>
    </xf>
    <xf numFmtId="0" fontId="0" fillId="3" borderId="0" xfId="0" applyFill="1" applyAlignment="1">
      <alignment horizontal="left" wrapText="1"/>
    </xf>
    <xf numFmtId="189" fontId="0" fillId="3" borderId="0" xfId="0" applyNumberFormat="1" applyFill="1"/>
    <xf numFmtId="4" fontId="14" fillId="0" borderId="0" xfId="0" applyNumberFormat="1" applyFont="1"/>
    <xf numFmtId="49" fontId="33" fillId="3" borderId="32" xfId="0" applyNumberFormat="1" applyFont="1" applyFill="1" applyBorder="1" applyAlignment="1">
      <alignment horizontal="center" vertical="center"/>
    </xf>
    <xf numFmtId="0" fontId="33" fillId="3" borderId="33" xfId="0" applyFont="1" applyFill="1" applyBorder="1" applyAlignment="1">
      <alignment horizontal="center" vertical="center"/>
    </xf>
    <xf numFmtId="189" fontId="33" fillId="3" borderId="33" xfId="0" applyNumberFormat="1" applyFont="1" applyFill="1" applyBorder="1" applyAlignment="1">
      <alignment horizontal="center" vertical="center"/>
    </xf>
    <xf numFmtId="4" fontId="33" fillId="3" borderId="33" xfId="0" applyNumberFormat="1" applyFont="1" applyFill="1" applyBorder="1" applyAlignment="1">
      <alignment horizontal="center" vertical="center"/>
    </xf>
    <xf numFmtId="4" fontId="10" fillId="3" borderId="33" xfId="0" applyNumberFormat="1" applyFont="1" applyFill="1" applyBorder="1" applyAlignment="1">
      <alignment horizontal="center" vertical="center" wrapText="1"/>
    </xf>
    <xf numFmtId="4" fontId="10" fillId="3" borderId="33" xfId="0" applyNumberFormat="1" applyFont="1" applyFill="1" applyBorder="1" applyAlignment="1">
      <alignment vertical="center" wrapText="1"/>
    </xf>
    <xf numFmtId="0" fontId="0" fillId="3" borderId="34" xfId="0" applyFill="1" applyBorder="1" applyAlignment="1">
      <alignment wrapText="1"/>
    </xf>
    <xf numFmtId="4" fontId="0" fillId="0" borderId="0" xfId="0" applyNumberFormat="1"/>
    <xf numFmtId="0" fontId="0" fillId="0" borderId="0" xfId="0" applyAlignment="1">
      <alignment horizontal="right" vertical="center"/>
    </xf>
    <xf numFmtId="49" fontId="33" fillId="3" borderId="35" xfId="0" applyNumberFormat="1" applyFont="1" applyFill="1" applyBorder="1" applyAlignment="1">
      <alignment horizontal="center" vertical="center"/>
    </xf>
    <xf numFmtId="167" fontId="44" fillId="3" borderId="0" xfId="0" applyNumberFormat="1" applyFont="1" applyFill="1" applyAlignment="1">
      <alignment horizontal="left" vertical="center"/>
    </xf>
    <xf numFmtId="0" fontId="0" fillId="3" borderId="29" xfId="0" applyFill="1" applyBorder="1" applyAlignment="1">
      <alignment wrapText="1"/>
    </xf>
    <xf numFmtId="4" fontId="33" fillId="3" borderId="0" xfId="0" applyNumberFormat="1" applyFont="1" applyFill="1" applyAlignment="1">
      <alignment horizontal="center" vertical="center"/>
    </xf>
    <xf numFmtId="182" fontId="44" fillId="3" borderId="0" xfId="0" applyNumberFormat="1" applyFont="1" applyFill="1" applyAlignment="1">
      <alignment horizontal="left" vertical="center"/>
    </xf>
    <xf numFmtId="49" fontId="33" fillId="3" borderId="25" xfId="0" applyNumberFormat="1" applyFont="1" applyFill="1" applyBorder="1" applyAlignment="1">
      <alignment horizontal="center" vertical="center"/>
    </xf>
    <xf numFmtId="190" fontId="33" fillId="3" borderId="36" xfId="0" applyNumberFormat="1" applyFont="1" applyFill="1" applyBorder="1" applyAlignment="1">
      <alignment horizontal="center" vertical="center"/>
    </xf>
    <xf numFmtId="0" fontId="13" fillId="3" borderId="36" xfId="0" applyFont="1" applyFill="1" applyBorder="1" applyAlignment="1">
      <alignment horizontal="center" vertical="center" wrapText="1"/>
    </xf>
    <xf numFmtId="0" fontId="42" fillId="3" borderId="36" xfId="0" applyFont="1" applyFill="1" applyBorder="1" applyAlignment="1">
      <alignment horizontal="center" vertical="center"/>
    </xf>
    <xf numFmtId="181" fontId="44" fillId="3" borderId="36" xfId="0" applyNumberFormat="1" applyFont="1" applyFill="1" applyBorder="1" applyAlignment="1">
      <alignment horizontal="left" vertical="center"/>
    </xf>
    <xf numFmtId="4" fontId="33" fillId="3" borderId="36" xfId="0" applyNumberFormat="1" applyFont="1" applyFill="1" applyBorder="1" applyAlignment="1">
      <alignment horizontal="center" vertical="center"/>
    </xf>
    <xf numFmtId="0" fontId="42" fillId="3" borderId="36" xfId="0" applyFont="1" applyFill="1" applyBorder="1" applyAlignment="1">
      <alignment horizontal="right" vertical="center"/>
    </xf>
    <xf numFmtId="182" fontId="44" fillId="3" borderId="36" xfId="0" applyNumberFormat="1" applyFont="1" applyFill="1" applyBorder="1" applyAlignment="1">
      <alignment horizontal="left" vertical="center"/>
    </xf>
    <xf numFmtId="0" fontId="0" fillId="3" borderId="24" xfId="0" applyFill="1" applyBorder="1" applyAlignment="1">
      <alignment wrapText="1"/>
    </xf>
    <xf numFmtId="49" fontId="15" fillId="19" borderId="26" xfId="0" applyNumberFormat="1" applyFont="1" applyFill="1" applyBorder="1" applyAlignment="1">
      <alignment horizontal="center" vertical="center" wrapText="1"/>
    </xf>
    <xf numFmtId="190" fontId="15" fillId="19" borderId="25" xfId="0" applyNumberFormat="1" applyFont="1" applyFill="1" applyBorder="1" applyAlignment="1">
      <alignment horizontal="center" vertical="center" wrapText="1"/>
    </xf>
    <xf numFmtId="4" fontId="15" fillId="19" borderId="7" xfId="0" applyNumberFormat="1" applyFont="1" applyFill="1" applyBorder="1" applyAlignment="1">
      <alignment horizontal="center" vertical="center"/>
    </xf>
    <xf numFmtId="49" fontId="15" fillId="19" borderId="74" xfId="0" applyNumberFormat="1" applyFont="1" applyFill="1" applyBorder="1" applyAlignment="1">
      <alignment horizontal="center" vertical="center" wrapText="1"/>
    </xf>
    <xf numFmtId="190" fontId="15" fillId="19" borderId="35" xfId="0" applyNumberFormat="1" applyFont="1" applyFill="1" applyBorder="1" applyAlignment="1">
      <alignment horizontal="center" vertical="center" wrapText="1"/>
    </xf>
    <xf numFmtId="190" fontId="15" fillId="19" borderId="42" xfId="0" applyNumberFormat="1" applyFont="1" applyFill="1" applyBorder="1" applyAlignment="1">
      <alignment horizontal="center" vertical="center"/>
    </xf>
    <xf numFmtId="0" fontId="15" fillId="19" borderId="74" xfId="0" applyFont="1" applyFill="1" applyBorder="1" applyAlignment="1">
      <alignment horizontal="center" vertical="center" wrapText="1"/>
    </xf>
    <xf numFmtId="189" fontId="15" fillId="19" borderId="74" xfId="0" applyNumberFormat="1" applyFont="1" applyFill="1" applyBorder="1" applyAlignment="1">
      <alignment horizontal="center" vertical="center" wrapText="1"/>
    </xf>
    <xf numFmtId="4" fontId="15" fillId="19" borderId="74" xfId="0" applyNumberFormat="1" applyFont="1" applyFill="1" applyBorder="1" applyAlignment="1">
      <alignment horizontal="center" vertical="center" wrapText="1"/>
    </xf>
    <xf numFmtId="4" fontId="15" fillId="19" borderId="42" xfId="0" applyNumberFormat="1" applyFont="1" applyFill="1" applyBorder="1" applyAlignment="1">
      <alignment horizontal="center" vertical="center"/>
    </xf>
    <xf numFmtId="2" fontId="15" fillId="19" borderId="74" xfId="0" applyNumberFormat="1" applyFont="1" applyFill="1" applyBorder="1" applyAlignment="1">
      <alignment horizontal="center" vertical="center" wrapText="1"/>
    </xf>
    <xf numFmtId="190" fontId="44" fillId="20" borderId="54" xfId="0" applyNumberFormat="1" applyFont="1" applyFill="1" applyBorder="1" applyAlignment="1">
      <alignment horizontal="center" vertical="center"/>
    </xf>
    <xf numFmtId="190" fontId="41" fillId="20" borderId="54" xfId="0" applyNumberFormat="1" applyFont="1" applyFill="1" applyBorder="1" applyAlignment="1">
      <alignment horizontal="center" vertical="center" wrapText="1"/>
    </xf>
    <xf numFmtId="0" fontId="41" fillId="20" borderId="54" xfId="0" applyFont="1" applyFill="1" applyBorder="1" applyAlignment="1">
      <alignment horizontal="left" vertical="center" wrapText="1"/>
    </xf>
    <xf numFmtId="0" fontId="41" fillId="20" borderId="54" xfId="0" applyFont="1" applyFill="1" applyBorder="1" applyAlignment="1">
      <alignment horizontal="center" vertical="center"/>
    </xf>
    <xf numFmtId="191" fontId="44" fillId="20" borderId="54" xfId="0" applyNumberFormat="1" applyFont="1" applyFill="1" applyBorder="1" applyAlignment="1">
      <alignment horizontal="right" vertical="center"/>
    </xf>
    <xf numFmtId="4" fontId="44" fillId="20" borderId="54" xfId="0" applyNumberFormat="1" applyFont="1" applyFill="1" applyBorder="1" applyAlignment="1">
      <alignment horizontal="right" vertical="center"/>
    </xf>
    <xf numFmtId="4" fontId="41" fillId="20" borderId="54" xfId="0" applyNumberFormat="1" applyFont="1" applyFill="1" applyBorder="1" applyAlignment="1">
      <alignment horizontal="right" vertical="center"/>
    </xf>
    <xf numFmtId="165" fontId="5" fillId="0" borderId="0" xfId="0" applyNumberFormat="1" applyFont="1"/>
    <xf numFmtId="1" fontId="44" fillId="4" borderId="54" xfId="0" applyNumberFormat="1" applyFont="1" applyFill="1" applyBorder="1" applyAlignment="1">
      <alignment horizontal="center" vertical="center"/>
    </xf>
    <xf numFmtId="0" fontId="44" fillId="4" borderId="54" xfId="0" applyFont="1" applyFill="1" applyBorder="1" applyAlignment="1">
      <alignment horizontal="center" vertical="center"/>
    </xf>
    <xf numFmtId="190" fontId="44" fillId="3" borderId="54" xfId="0" applyNumberFormat="1" applyFont="1" applyFill="1" applyBorder="1" applyAlignment="1">
      <alignment horizontal="center" vertical="center"/>
    </xf>
    <xf numFmtId="0" fontId="44" fillId="0" borderId="54" xfId="0" applyFont="1" applyBorder="1" applyAlignment="1">
      <alignment horizontal="left" vertical="center" wrapText="1"/>
    </xf>
    <xf numFmtId="0" fontId="44" fillId="0" borderId="54" xfId="0" applyFont="1" applyBorder="1" applyAlignment="1">
      <alignment horizontal="center" vertical="center" wrapText="1"/>
    </xf>
    <xf numFmtId="189" fontId="44" fillId="4" borderId="54" xfId="0" applyNumberFormat="1" applyFont="1" applyFill="1" applyBorder="1" applyAlignment="1">
      <alignment horizontal="right" vertical="center"/>
    </xf>
    <xf numFmtId="4" fontId="44" fillId="0" borderId="54" xfId="0" applyNumberFormat="1" applyFont="1" applyBorder="1" applyAlignment="1">
      <alignment horizontal="right" vertical="center" wrapText="1"/>
    </xf>
    <xf numFmtId="165" fontId="44" fillId="0" borderId="54" xfId="0" applyNumberFormat="1" applyFont="1" applyBorder="1" applyAlignment="1">
      <alignment horizontal="center" vertical="center" wrapText="1"/>
    </xf>
    <xf numFmtId="165" fontId="44" fillId="0" borderId="54" xfId="0" applyNumberFormat="1" applyFont="1" applyBorder="1" applyAlignment="1">
      <alignment horizontal="right" vertical="center"/>
    </xf>
    <xf numFmtId="0" fontId="44" fillId="11" borderId="54" xfId="0" applyFont="1" applyFill="1" applyBorder="1" applyAlignment="1">
      <alignment horizontal="center" vertical="center" wrapText="1"/>
    </xf>
    <xf numFmtId="165" fontId="0" fillId="0" borderId="0" xfId="0" applyNumberFormat="1"/>
    <xf numFmtId="0" fontId="44" fillId="4" borderId="54" xfId="0" applyFont="1" applyFill="1" applyBorder="1" applyAlignment="1">
      <alignment horizontal="center" vertical="center" wrapText="1"/>
    </xf>
    <xf numFmtId="0" fontId="44" fillId="3" borderId="54" xfId="0" applyFont="1" applyFill="1" applyBorder="1" applyAlignment="1">
      <alignment horizontal="left" vertical="center" wrapText="1"/>
    </xf>
    <xf numFmtId="0" fontId="44" fillId="3" borderId="54" xfId="0" applyFont="1" applyFill="1" applyBorder="1" applyAlignment="1">
      <alignment horizontal="center" vertical="center" wrapText="1"/>
    </xf>
    <xf numFmtId="4" fontId="44" fillId="3" borderId="54" xfId="0" applyNumberFormat="1" applyFont="1" applyFill="1" applyBorder="1" applyAlignment="1">
      <alignment horizontal="right" vertical="center" wrapText="1"/>
    </xf>
    <xf numFmtId="165" fontId="44" fillId="3" borderId="54" xfId="0" applyNumberFormat="1" applyFont="1" applyFill="1" applyBorder="1" applyAlignment="1">
      <alignment horizontal="right" vertical="center" wrapText="1"/>
    </xf>
    <xf numFmtId="165" fontId="44" fillId="3" borderId="54" xfId="0" applyNumberFormat="1" applyFont="1" applyFill="1" applyBorder="1" applyAlignment="1">
      <alignment horizontal="right" vertical="center"/>
    </xf>
    <xf numFmtId="0" fontId="41" fillId="20" borderId="54" xfId="0" applyFont="1" applyFill="1" applyBorder="1" applyAlignment="1">
      <alignment horizontal="center" vertical="center" wrapText="1"/>
    </xf>
    <xf numFmtId="192" fontId="44" fillId="20" borderId="54" xfId="0" applyNumberFormat="1" applyFont="1" applyFill="1" applyBorder="1" applyAlignment="1">
      <alignment horizontal="right" vertical="center"/>
    </xf>
    <xf numFmtId="189" fontId="44" fillId="20" borderId="54" xfId="0" applyNumberFormat="1" applyFont="1" applyFill="1" applyBorder="1" applyAlignment="1">
      <alignment horizontal="right" vertical="center"/>
    </xf>
    <xf numFmtId="49" fontId="41" fillId="20" borderId="54" xfId="0" applyNumberFormat="1" applyFont="1" applyFill="1" applyBorder="1" applyAlignment="1">
      <alignment horizontal="center" vertical="center"/>
    </xf>
    <xf numFmtId="190" fontId="41" fillId="20" borderId="54" xfId="0" applyNumberFormat="1" applyFont="1" applyFill="1" applyBorder="1" applyAlignment="1">
      <alignment horizontal="center" vertical="center"/>
    </xf>
    <xf numFmtId="193" fontId="44" fillId="20" borderId="54" xfId="0" applyNumberFormat="1" applyFont="1" applyFill="1" applyBorder="1" applyAlignment="1">
      <alignment horizontal="right" vertical="center"/>
    </xf>
    <xf numFmtId="2" fontId="41" fillId="20" borderId="54" xfId="0" applyNumberFormat="1" applyFont="1" applyFill="1" applyBorder="1" applyAlignment="1">
      <alignment horizontal="left" vertical="center" wrapText="1"/>
    </xf>
    <xf numFmtId="4" fontId="43" fillId="0" borderId="0" xfId="0" applyNumberFormat="1" applyFont="1"/>
    <xf numFmtId="190" fontId="43" fillId="20" borderId="54" xfId="0" applyNumberFormat="1" applyFont="1" applyFill="1" applyBorder="1" applyAlignment="1">
      <alignment horizontal="center" vertical="center"/>
    </xf>
    <xf numFmtId="190" fontId="42" fillId="20" borderId="54" xfId="0" applyNumberFormat="1" applyFont="1" applyFill="1" applyBorder="1" applyAlignment="1">
      <alignment horizontal="center" vertical="center" wrapText="1"/>
    </xf>
    <xf numFmtId="0" fontId="42" fillId="20" borderId="54" xfId="0" applyFont="1" applyFill="1" applyBorder="1" applyAlignment="1">
      <alignment horizontal="left" vertical="center" wrapText="1"/>
    </xf>
    <xf numFmtId="0" fontId="42" fillId="20" borderId="54" xfId="0" applyFont="1" applyFill="1" applyBorder="1" applyAlignment="1">
      <alignment horizontal="center" vertical="center"/>
    </xf>
    <xf numFmtId="191" fontId="43" fillId="20" borderId="54" xfId="0" applyNumberFormat="1" applyFont="1" applyFill="1" applyBorder="1" applyAlignment="1">
      <alignment horizontal="right" vertical="center"/>
    </xf>
    <xf numFmtId="4" fontId="43" fillId="20" borderId="54" xfId="0" applyNumberFormat="1" applyFont="1" applyFill="1" applyBorder="1" applyAlignment="1">
      <alignment horizontal="right" vertical="center"/>
    </xf>
    <xf numFmtId="4" fontId="42" fillId="20" borderId="54" xfId="0" applyNumberFormat="1" applyFont="1" applyFill="1" applyBorder="1" applyAlignment="1">
      <alignment horizontal="right" vertical="center"/>
    </xf>
    <xf numFmtId="0" fontId="42" fillId="20" borderId="54" xfId="0" applyFont="1" applyFill="1" applyBorder="1" applyAlignment="1">
      <alignment horizontal="center" vertical="center" wrapText="1"/>
    </xf>
    <xf numFmtId="165" fontId="49" fillId="0" borderId="0" xfId="0" applyNumberFormat="1" applyFont="1"/>
    <xf numFmtId="0" fontId="43" fillId="0" borderId="0" xfId="0" applyFont="1"/>
    <xf numFmtId="0" fontId="43" fillId="0" borderId="0" xfId="0" applyFont="1" applyAlignment="1">
      <alignment horizontal="right" vertical="center"/>
    </xf>
    <xf numFmtId="1" fontId="43" fillId="4" borderId="54" xfId="0" applyNumberFormat="1" applyFont="1" applyFill="1" applyBorder="1" applyAlignment="1">
      <alignment horizontal="center" vertical="center"/>
    </xf>
    <xf numFmtId="0" fontId="43" fillId="4" borderId="54" xfId="0" applyFont="1" applyFill="1" applyBorder="1" applyAlignment="1">
      <alignment horizontal="center" vertical="center"/>
    </xf>
    <xf numFmtId="190" fontId="43" fillId="3" borderId="54" xfId="0" applyNumberFormat="1" applyFont="1" applyFill="1" applyBorder="1" applyAlignment="1">
      <alignment horizontal="center" vertical="center"/>
    </xf>
    <xf numFmtId="0" fontId="43" fillId="0" borderId="54" xfId="0" applyFont="1" applyBorder="1" applyAlignment="1">
      <alignment horizontal="left" vertical="center" wrapText="1"/>
    </xf>
    <xf numFmtId="0" fontId="43" fillId="0" borderId="54" xfId="0" applyFont="1" applyBorder="1" applyAlignment="1">
      <alignment horizontal="center" vertical="center" wrapText="1"/>
    </xf>
    <xf numFmtId="189" fontId="43" fillId="4" borderId="54" xfId="0" applyNumberFormat="1" applyFont="1" applyFill="1" applyBorder="1" applyAlignment="1">
      <alignment horizontal="right" vertical="center"/>
    </xf>
    <xf numFmtId="4" fontId="43" fillId="0" borderId="54" xfId="0" applyNumberFormat="1" applyFont="1" applyBorder="1" applyAlignment="1">
      <alignment horizontal="right" vertical="center" wrapText="1"/>
    </xf>
    <xf numFmtId="165" fontId="43" fillId="0" borderId="54" xfId="0" applyNumberFormat="1" applyFont="1" applyBorder="1" applyAlignment="1">
      <alignment horizontal="center" vertical="center" wrapText="1"/>
    </xf>
    <xf numFmtId="165" fontId="43" fillId="0" borderId="54" xfId="0" applyNumberFormat="1" applyFont="1" applyBorder="1" applyAlignment="1">
      <alignment horizontal="right" vertical="center"/>
    </xf>
    <xf numFmtId="0" fontId="43" fillId="4" borderId="54" xfId="0" applyFont="1" applyFill="1" applyBorder="1" applyAlignment="1">
      <alignment horizontal="center" vertical="center" wrapText="1"/>
    </xf>
    <xf numFmtId="165" fontId="43" fillId="0" borderId="0" xfId="0" applyNumberFormat="1" applyFont="1"/>
    <xf numFmtId="0" fontId="43" fillId="11" borderId="54" xfId="0" applyFont="1" applyFill="1" applyBorder="1" applyAlignment="1">
      <alignment horizontal="center" vertical="center" wrapText="1"/>
    </xf>
    <xf numFmtId="165" fontId="44" fillId="4" borderId="54" xfId="0" applyNumberFormat="1" applyFont="1" applyFill="1" applyBorder="1" applyAlignment="1">
      <alignment horizontal="center" vertical="center"/>
    </xf>
    <xf numFmtId="0" fontId="41" fillId="20" borderId="54" xfId="0" applyFont="1" applyFill="1" applyBorder="1" applyAlignment="1">
      <alignment vertical="center" wrapText="1"/>
    </xf>
    <xf numFmtId="189" fontId="41" fillId="4" borderId="54" xfId="0" applyNumberFormat="1" applyFont="1" applyFill="1" applyBorder="1" applyAlignment="1">
      <alignment horizontal="right" vertical="center"/>
    </xf>
    <xf numFmtId="0" fontId="44" fillId="3" borderId="54" xfId="0" applyFont="1" applyFill="1" applyBorder="1" applyAlignment="1">
      <alignment horizontal="center" vertical="center"/>
    </xf>
    <xf numFmtId="189" fontId="44" fillId="11" borderId="54" xfId="0" applyNumberFormat="1" applyFont="1" applyFill="1" applyBorder="1" applyAlignment="1">
      <alignment horizontal="right" vertical="center"/>
    </xf>
    <xf numFmtId="1" fontId="44" fillId="11" borderId="54" xfId="0" applyNumberFormat="1" applyFont="1" applyFill="1" applyBorder="1" applyAlignment="1">
      <alignment horizontal="center" vertical="center"/>
    </xf>
    <xf numFmtId="0" fontId="44" fillId="11" borderId="54" xfId="0" applyFont="1" applyFill="1" applyBorder="1" applyAlignment="1">
      <alignment horizontal="center" vertical="center"/>
    </xf>
    <xf numFmtId="190" fontId="14" fillId="21" borderId="54" xfId="0" applyNumberFormat="1" applyFont="1" applyFill="1" applyBorder="1" applyAlignment="1">
      <alignment horizontal="center" vertical="center"/>
    </xf>
    <xf numFmtId="0" fontId="14" fillId="21" borderId="54" xfId="0" applyFont="1" applyFill="1" applyBorder="1" applyAlignment="1">
      <alignment horizontal="center" vertical="center"/>
    </xf>
    <xf numFmtId="190" fontId="15" fillId="21" borderId="54" xfId="0" applyNumberFormat="1" applyFont="1" applyFill="1" applyBorder="1" applyAlignment="1">
      <alignment horizontal="center" vertical="center" wrapText="1"/>
    </xf>
    <xf numFmtId="0" fontId="15" fillId="21" borderId="54" xfId="0" applyFont="1" applyFill="1" applyBorder="1" applyAlignment="1">
      <alignment horizontal="left" vertical="center" wrapText="1"/>
    </xf>
    <xf numFmtId="0" fontId="15" fillId="21" borderId="54" xfId="0" applyFont="1" applyFill="1" applyBorder="1" applyAlignment="1">
      <alignment horizontal="center" vertical="center"/>
    </xf>
    <xf numFmtId="191" fontId="14" fillId="21" borderId="54" xfId="0" applyNumberFormat="1" applyFont="1" applyFill="1" applyBorder="1" applyAlignment="1">
      <alignment horizontal="right" vertical="center"/>
    </xf>
    <xf numFmtId="4" fontId="14" fillId="21" borderId="54" xfId="0" applyNumberFormat="1" applyFont="1" applyFill="1" applyBorder="1" applyAlignment="1">
      <alignment horizontal="center" vertical="center"/>
    </xf>
    <xf numFmtId="4" fontId="15" fillId="21" borderId="54" xfId="0" applyNumberFormat="1" applyFont="1" applyFill="1" applyBorder="1" applyAlignment="1">
      <alignment horizontal="right" vertical="center"/>
    </xf>
    <xf numFmtId="0" fontId="15" fillId="21" borderId="54" xfId="0" applyFont="1" applyFill="1" applyBorder="1" applyAlignment="1">
      <alignment horizontal="center" vertical="center" wrapText="1"/>
    </xf>
    <xf numFmtId="0" fontId="14" fillId="4" borderId="54" xfId="0" applyFont="1" applyFill="1" applyBorder="1" applyAlignment="1">
      <alignment horizontal="center" vertical="center"/>
    </xf>
    <xf numFmtId="0" fontId="14" fillId="3" borderId="54" xfId="0" applyFont="1" applyFill="1" applyBorder="1" applyAlignment="1">
      <alignment horizontal="center" vertical="center"/>
    </xf>
    <xf numFmtId="189" fontId="14" fillId="4" borderId="54" xfId="0" applyNumberFormat="1" applyFont="1" applyFill="1" applyBorder="1" applyAlignment="1">
      <alignment horizontal="right" vertical="center"/>
    </xf>
    <xf numFmtId="190" fontId="14" fillId="3" borderId="54" xfId="0" applyNumberFormat="1" applyFont="1" applyFill="1" applyBorder="1" applyAlignment="1">
      <alignment horizontal="center" vertical="center"/>
    </xf>
    <xf numFmtId="0" fontId="14" fillId="3" borderId="54" xfId="0" applyFont="1" applyFill="1" applyBorder="1" applyAlignment="1">
      <alignment horizontal="left" vertical="center" wrapText="1"/>
    </xf>
    <xf numFmtId="0" fontId="14" fillId="3" borderId="54" xfId="0" applyFont="1" applyFill="1" applyBorder="1" applyAlignment="1">
      <alignment horizontal="center" vertical="center" wrapText="1"/>
    </xf>
    <xf numFmtId="4" fontId="14" fillId="3" borderId="54" xfId="0" applyNumberFormat="1" applyFont="1" applyFill="1" applyBorder="1" applyAlignment="1">
      <alignment horizontal="right" vertical="center" wrapText="1"/>
    </xf>
    <xf numFmtId="165" fontId="14" fillId="3" borderId="54" xfId="0" applyNumberFormat="1" applyFont="1" applyFill="1" applyBorder="1" applyAlignment="1">
      <alignment horizontal="right" vertical="center" wrapText="1"/>
    </xf>
    <xf numFmtId="165" fontId="14" fillId="3" borderId="54" xfId="0" applyNumberFormat="1" applyFont="1" applyFill="1" applyBorder="1" applyAlignment="1">
      <alignment horizontal="right" vertical="center"/>
    </xf>
    <xf numFmtId="0" fontId="14" fillId="4" borderId="54" xfId="0" applyFont="1" applyFill="1" applyBorder="1" applyAlignment="1">
      <alignment horizontal="center" vertical="center" wrapText="1"/>
    </xf>
    <xf numFmtId="4" fontId="50" fillId="0" borderId="0" xfId="0" applyNumberFormat="1" applyFont="1" applyAlignment="1">
      <alignment horizontal="right"/>
    </xf>
    <xf numFmtId="0" fontId="0" fillId="3" borderId="12" xfId="0" applyFill="1" applyBorder="1" applyAlignment="1">
      <alignment vertical="center" wrapText="1"/>
    </xf>
    <xf numFmtId="0" fontId="0" fillId="3" borderId="13" xfId="0" applyFill="1" applyBorder="1" applyAlignment="1">
      <alignment vertical="center" wrapText="1"/>
    </xf>
    <xf numFmtId="4" fontId="50" fillId="0" borderId="0" xfId="0" applyNumberFormat="1" applyFont="1"/>
    <xf numFmtId="0" fontId="0" fillId="3" borderId="14" xfId="0" applyFill="1" applyBorder="1" applyAlignment="1">
      <alignment vertical="center" wrapText="1"/>
    </xf>
    <xf numFmtId="0" fontId="0" fillId="3" borderId="15" xfId="0" applyFill="1" applyBorder="1" applyAlignment="1">
      <alignment vertical="center" wrapText="1"/>
    </xf>
    <xf numFmtId="0" fontId="14" fillId="0" borderId="0" xfId="0" applyFont="1" applyAlignment="1">
      <alignment horizontal="right" vertical="center"/>
    </xf>
    <xf numFmtId="0" fontId="14" fillId="0" borderId="0" xfId="0" applyFont="1"/>
    <xf numFmtId="0" fontId="14" fillId="0" borderId="9" xfId="0" applyFont="1" applyBorder="1" applyAlignment="1">
      <alignment wrapText="1"/>
    </xf>
    <xf numFmtId="0" fontId="14" fillId="0" borderId="9" xfId="0" applyFont="1" applyBorder="1" applyAlignment="1">
      <alignment horizontal="center" wrapText="1"/>
    </xf>
    <xf numFmtId="0" fontId="14" fillId="0" borderId="0" xfId="0" applyFont="1" applyAlignment="1">
      <alignment horizont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5" fillId="5" borderId="7" xfId="0" applyFont="1" applyFill="1" applyBorder="1" applyAlignment="1">
      <alignment horizontal="center" vertical="center" wrapText="1"/>
    </xf>
    <xf numFmtId="0" fontId="14" fillId="0" borderId="0" xfId="0" applyFont="1" applyAlignment="1">
      <alignment horizontal="right" vertical="center" wrapText="1"/>
    </xf>
    <xf numFmtId="0" fontId="14" fillId="0" borderId="0" xfId="0" applyFont="1" applyAlignment="1">
      <alignment horizontal="left" wrapText="1"/>
    </xf>
    <xf numFmtId="0" fontId="15" fillId="0" borderId="37" xfId="0" applyFont="1" applyBorder="1" applyAlignment="1">
      <alignment vertical="center" wrapText="1"/>
    </xf>
    <xf numFmtId="0" fontId="15" fillId="0" borderId="47" xfId="0" applyFont="1" applyBorder="1" applyAlignment="1">
      <alignment horizontal="center" vertical="center" wrapText="1"/>
    </xf>
    <xf numFmtId="167" fontId="14" fillId="0" borderId="7" xfId="0" applyNumberFormat="1" applyFont="1" applyBorder="1" applyAlignment="1">
      <alignment horizontal="center" vertical="center" wrapText="1"/>
    </xf>
    <xf numFmtId="167" fontId="14" fillId="0" borderId="42" xfId="0" applyNumberFormat="1" applyFont="1" applyBorder="1" applyAlignment="1">
      <alignment horizontal="center" vertical="center" wrapText="1"/>
    </xf>
    <xf numFmtId="0" fontId="14" fillId="0" borderId="7" xfId="0" applyFont="1" applyBorder="1" applyAlignment="1">
      <alignment horizontal="center" vertical="center" wrapText="1"/>
    </xf>
    <xf numFmtId="0" fontId="14" fillId="0" borderId="42" xfId="0" applyFont="1" applyBorder="1" applyAlignment="1">
      <alignment horizontal="center" vertical="center" wrapText="1"/>
    </xf>
    <xf numFmtId="0" fontId="51" fillId="0" borderId="7" xfId="0" applyFont="1" applyBorder="1" applyAlignment="1">
      <alignment horizontal="left" vertical="center" wrapText="1"/>
    </xf>
    <xf numFmtId="0" fontId="52" fillId="0" borderId="7" xfId="0" applyFont="1" applyBorder="1" applyAlignment="1">
      <alignment horizontal="left" vertical="center" wrapText="1"/>
    </xf>
    <xf numFmtId="0" fontId="15" fillId="22" borderId="7" xfId="0" applyFont="1" applyFill="1" applyBorder="1" applyAlignment="1">
      <alignment horizontal="center" vertical="center" wrapText="1"/>
    </xf>
    <xf numFmtId="4" fontId="14" fillId="0" borderId="0" xfId="0" applyNumberFormat="1" applyFont="1" applyAlignment="1">
      <alignment horizontal="right" vertical="center"/>
    </xf>
    <xf numFmtId="0" fontId="14" fillId="0" borderId="7" xfId="0" applyFont="1" applyBorder="1" applyAlignment="1">
      <alignment vertical="center" wrapText="1"/>
    </xf>
    <xf numFmtId="194" fontId="14" fillId="0" borderId="7" xfId="0" applyNumberFormat="1" applyFont="1" applyBorder="1" applyAlignment="1">
      <alignment horizontal="right" vertical="center" wrapText="1"/>
    </xf>
    <xf numFmtId="194" fontId="14" fillId="4" borderId="7" xfId="0" applyNumberFormat="1" applyFont="1" applyFill="1" applyBorder="1" applyAlignment="1">
      <alignment horizontal="right" vertical="center" wrapText="1"/>
    </xf>
    <xf numFmtId="10" fontId="14" fillId="0" borderId="7" xfId="0" applyNumberFormat="1" applyFont="1" applyBorder="1" applyAlignment="1">
      <alignment vertical="center" wrapText="1"/>
    </xf>
    <xf numFmtId="194" fontId="14" fillId="0" borderId="7" xfId="0" applyNumberFormat="1" applyFont="1" applyBorder="1" applyAlignment="1">
      <alignment vertical="center" wrapText="1"/>
    </xf>
    <xf numFmtId="49" fontId="14" fillId="23" borderId="7" xfId="0" applyNumberFormat="1" applyFont="1" applyFill="1" applyBorder="1" applyAlignment="1">
      <alignment horizontal="center" vertical="center" wrapText="1"/>
    </xf>
    <xf numFmtId="0" fontId="14" fillId="23" borderId="7" xfId="0" applyFont="1" applyFill="1" applyBorder="1" applyAlignment="1">
      <alignment horizontal="left" vertical="center" wrapText="1"/>
    </xf>
    <xf numFmtId="0" fontId="14" fillId="23" borderId="7" xfId="0" applyFont="1" applyFill="1" applyBorder="1" applyAlignment="1">
      <alignment horizontal="center" vertical="center" wrapText="1"/>
    </xf>
    <xf numFmtId="194" fontId="14" fillId="23" borderId="7" xfId="0" applyNumberFormat="1" applyFont="1" applyFill="1" applyBorder="1" applyAlignment="1">
      <alignment horizontal="right" vertical="center" wrapText="1"/>
    </xf>
    <xf numFmtId="194" fontId="15" fillId="23" borderId="7" xfId="0" applyNumberFormat="1" applyFont="1" applyFill="1" applyBorder="1" applyAlignment="1">
      <alignment horizontal="right" vertical="center" wrapText="1"/>
    </xf>
    <xf numFmtId="10" fontId="14" fillId="0" borderId="0" xfId="0" applyNumberFormat="1" applyFont="1" applyAlignment="1">
      <alignment vertical="center" wrapText="1"/>
    </xf>
    <xf numFmtId="194" fontId="14" fillId="0" borderId="0" xfId="0" applyNumberFormat="1" applyFont="1" applyAlignment="1">
      <alignment vertical="center" wrapText="1"/>
    </xf>
    <xf numFmtId="0" fontId="14" fillId="0" borderId="42" xfId="0" applyFont="1" applyBorder="1" applyAlignment="1">
      <alignment vertical="center" wrapText="1"/>
    </xf>
    <xf numFmtId="0" fontId="14" fillId="0" borderId="37" xfId="0" applyFont="1" applyBorder="1" applyAlignment="1">
      <alignment horizontal="center" vertical="center" wrapText="1"/>
    </xf>
    <xf numFmtId="4" fontId="43" fillId="0" borderId="0" xfId="0" applyNumberFormat="1" applyFont="1" applyAlignment="1">
      <alignment horizontal="right" vertical="center"/>
    </xf>
    <xf numFmtId="0" fontId="43" fillId="0" borderId="7" xfId="0" applyFont="1" applyBorder="1" applyAlignment="1">
      <alignment horizontal="center" vertical="center" wrapText="1"/>
    </xf>
    <xf numFmtId="0" fontId="43" fillId="0" borderId="7" xfId="0" applyFont="1" applyBorder="1" applyAlignment="1">
      <alignment vertical="center" wrapText="1"/>
    </xf>
    <xf numFmtId="194" fontId="43" fillId="0" borderId="7" xfId="0" applyNumberFormat="1" applyFont="1" applyBorder="1" applyAlignment="1">
      <alignment horizontal="right" vertical="center" wrapText="1"/>
    </xf>
    <xf numFmtId="194" fontId="43" fillId="4" borderId="7" xfId="0" applyNumberFormat="1" applyFont="1" applyFill="1" applyBorder="1" applyAlignment="1">
      <alignment horizontal="right" vertical="center" wrapText="1"/>
    </xf>
    <xf numFmtId="194" fontId="43" fillId="0" borderId="0" xfId="0" applyNumberFormat="1" applyFont="1" applyAlignment="1">
      <alignment horizontal="right" vertical="center"/>
    </xf>
    <xf numFmtId="10" fontId="43" fillId="0" borderId="7" xfId="0" applyNumberFormat="1" applyFont="1" applyBorder="1" applyAlignment="1">
      <alignment vertical="center" wrapText="1"/>
    </xf>
    <xf numFmtId="194" fontId="43" fillId="0" borderId="7" xfId="0" applyNumberFormat="1" applyFont="1" applyBorder="1" applyAlignment="1">
      <alignment vertical="center" wrapText="1"/>
    </xf>
    <xf numFmtId="49" fontId="43" fillId="23" borderId="7" xfId="0" applyNumberFormat="1" applyFont="1" applyFill="1" applyBorder="1" applyAlignment="1">
      <alignment horizontal="center" vertical="center" wrapText="1"/>
    </xf>
    <xf numFmtId="0" fontId="43" fillId="23" borderId="7" xfId="0" applyFont="1" applyFill="1" applyBorder="1" applyAlignment="1">
      <alignment horizontal="left" vertical="center" wrapText="1"/>
    </xf>
    <xf numFmtId="0" fontId="43" fillId="23" borderId="7" xfId="0" applyFont="1" applyFill="1" applyBorder="1" applyAlignment="1">
      <alignment horizontal="center" vertical="center" wrapText="1"/>
    </xf>
    <xf numFmtId="194" fontId="43" fillId="23" borderId="7" xfId="0" applyNumberFormat="1" applyFont="1" applyFill="1" applyBorder="1" applyAlignment="1">
      <alignment horizontal="right" vertical="center" wrapText="1"/>
    </xf>
    <xf numFmtId="194" fontId="42" fillId="23" borderId="7" xfId="0" applyNumberFormat="1" applyFont="1" applyFill="1" applyBorder="1" applyAlignment="1">
      <alignment horizontal="right" vertical="center" wrapText="1"/>
    </xf>
    <xf numFmtId="0" fontId="43" fillId="0" borderId="0" xfId="0" applyFont="1" applyAlignment="1">
      <alignment horizontal="right" vertical="center" wrapText="1"/>
    </xf>
    <xf numFmtId="10" fontId="43" fillId="0" borderId="0" xfId="0" applyNumberFormat="1" applyFont="1" applyAlignment="1">
      <alignment vertical="center" wrapText="1"/>
    </xf>
    <xf numFmtId="194" fontId="43" fillId="0" borderId="0" xfId="0" applyNumberFormat="1" applyFont="1" applyAlignment="1">
      <alignment vertical="center" wrapText="1"/>
    </xf>
    <xf numFmtId="0" fontId="43" fillId="0" borderId="0" xfId="0" applyFont="1" applyAlignment="1">
      <alignment horizontal="left" wrapText="1"/>
    </xf>
    <xf numFmtId="194" fontId="43" fillId="24" borderId="7" xfId="0" applyNumberFormat="1" applyFont="1" applyFill="1" applyBorder="1" applyAlignment="1">
      <alignment horizontal="right" vertical="center" wrapText="1"/>
    </xf>
    <xf numFmtId="165" fontId="14" fillId="0" borderId="0" xfId="0" applyNumberFormat="1" applyFont="1" applyAlignment="1">
      <alignment horizontal="center" vertical="center" wrapText="1"/>
    </xf>
    <xf numFmtId="0" fontId="14" fillId="0" borderId="0" xfId="0" applyFont="1" applyAlignment="1">
      <alignment wrapText="1"/>
    </xf>
    <xf numFmtId="165" fontId="15" fillId="0" borderId="7" xfId="0" applyNumberFormat="1" applyFont="1" applyBorder="1" applyAlignment="1">
      <alignment horizontal="center" vertical="center" wrapText="1"/>
    </xf>
    <xf numFmtId="0" fontId="14" fillId="0" borderId="7" xfId="0" applyFont="1" applyBorder="1" applyAlignment="1">
      <alignment horizontal="left" vertical="center" wrapText="1"/>
    </xf>
    <xf numFmtId="0" fontId="14" fillId="3" borderId="7" xfId="0" applyFont="1" applyFill="1" applyBorder="1" applyAlignment="1">
      <alignment horizontal="center" vertical="center" wrapText="1"/>
    </xf>
    <xf numFmtId="0" fontId="0" fillId="0" borderId="0" xfId="0" applyAlignment="1">
      <alignment wrapText="1"/>
    </xf>
    <xf numFmtId="0" fontId="0" fillId="0" borderId="0" xfId="0" applyAlignment="1">
      <alignment horizontal="center" wrapText="1"/>
    </xf>
    <xf numFmtId="0" fontId="0" fillId="3" borderId="32" xfId="0" applyFill="1" applyBorder="1" applyAlignment="1">
      <alignment horizontal="center" vertical="center"/>
    </xf>
    <xf numFmtId="0" fontId="0" fillId="3" borderId="33" xfId="0" applyFill="1" applyBorder="1" applyAlignment="1">
      <alignment horizontal="center" vertical="center"/>
    </xf>
    <xf numFmtId="0" fontId="0" fillId="3" borderId="33" xfId="0" applyFill="1" applyBorder="1" applyAlignment="1">
      <alignment horizontal="left" vertical="center"/>
    </xf>
    <xf numFmtId="0" fontId="0" fillId="3" borderId="33" xfId="0" applyFill="1" applyBorder="1" applyAlignment="1">
      <alignment horizontal="right" vertical="center"/>
    </xf>
    <xf numFmtId="0" fontId="0" fillId="3" borderId="34" xfId="0" applyFill="1" applyBorder="1" applyAlignment="1">
      <alignment horizontal="left" vertical="center"/>
    </xf>
    <xf numFmtId="0" fontId="0" fillId="3" borderId="35" xfId="0" applyFill="1" applyBorder="1" applyAlignment="1">
      <alignment horizontal="center" vertical="center"/>
    </xf>
    <xf numFmtId="0" fontId="0" fillId="3" borderId="0" xfId="0" applyFill="1" applyAlignment="1">
      <alignment horizontal="left" vertical="center"/>
    </xf>
    <xf numFmtId="0" fontId="0" fillId="3" borderId="0" xfId="0" applyFill="1" applyAlignment="1">
      <alignment horizontal="right" vertical="center"/>
    </xf>
    <xf numFmtId="0" fontId="0" fillId="3" borderId="29" xfId="0" applyFill="1" applyBorder="1" applyAlignment="1">
      <alignment horizontal="left" vertical="center"/>
    </xf>
    <xf numFmtId="0" fontId="0" fillId="3" borderId="25" xfId="0" applyFill="1" applyBorder="1" applyAlignment="1">
      <alignment horizontal="center" vertical="center"/>
    </xf>
    <xf numFmtId="0" fontId="0" fillId="3" borderId="36" xfId="0" applyFill="1" applyBorder="1" applyAlignment="1">
      <alignment horizontal="center" vertical="center"/>
    </xf>
    <xf numFmtId="0" fontId="0" fillId="3" borderId="36" xfId="0" applyFill="1" applyBorder="1" applyAlignment="1">
      <alignment horizontal="left" vertical="center"/>
    </xf>
    <xf numFmtId="0" fontId="0" fillId="3" borderId="36" xfId="0" applyFill="1" applyBorder="1" applyAlignment="1">
      <alignment horizontal="right" vertical="center"/>
    </xf>
    <xf numFmtId="0" fontId="0" fillId="3" borderId="24" xfId="0" applyFill="1" applyBorder="1" applyAlignment="1">
      <alignment horizontal="left" vertical="center"/>
    </xf>
    <xf numFmtId="0" fontId="5" fillId="25" borderId="7" xfId="0" applyFont="1" applyFill="1" applyBorder="1" applyAlignment="1">
      <alignment horizontal="center" vertical="center" wrapText="1"/>
    </xf>
    <xf numFmtId="0" fontId="5" fillId="25" borderId="7" xfId="0" applyFont="1" applyFill="1" applyBorder="1" applyAlignment="1">
      <alignment horizontal="left" vertical="center" wrapText="1"/>
    </xf>
    <xf numFmtId="0" fontId="2" fillId="0" borderId="7" xfId="0" applyFont="1" applyBorder="1" applyAlignment="1">
      <alignment horizontal="center" vertical="center"/>
    </xf>
    <xf numFmtId="0" fontId="2" fillId="11" borderId="7" xfId="0" applyFont="1" applyFill="1" applyBorder="1" applyAlignment="1">
      <alignment horizontal="center" vertical="center"/>
    </xf>
    <xf numFmtId="0" fontId="2" fillId="0" borderId="7" xfId="0" applyFont="1" applyBorder="1" applyAlignment="1">
      <alignment horizontal="left" vertical="center" wrapText="1"/>
    </xf>
    <xf numFmtId="0" fontId="53" fillId="11" borderId="7" xfId="0" applyFont="1" applyFill="1" applyBorder="1" applyAlignment="1">
      <alignment horizontal="center" vertical="center" wrapText="1"/>
    </xf>
    <xf numFmtId="0" fontId="2" fillId="0" borderId="7" xfId="0" applyFont="1" applyBorder="1" applyAlignment="1">
      <alignment horizontal="center" vertical="center" wrapText="1"/>
    </xf>
    <xf numFmtId="189" fontId="2" fillId="11" borderId="7" xfId="0" applyNumberFormat="1" applyFont="1" applyFill="1" applyBorder="1" applyAlignment="1">
      <alignment horizontal="center" vertical="center"/>
    </xf>
    <xf numFmtId="4" fontId="2" fillId="0" borderId="7" xfId="0" applyNumberFormat="1" applyFont="1" applyBorder="1" applyAlignment="1">
      <alignment horizontal="center" vertical="center" wrapText="1"/>
    </xf>
    <xf numFmtId="4" fontId="2" fillId="11" borderId="7" xfId="0" applyNumberFormat="1" applyFont="1" applyFill="1" applyBorder="1" applyAlignment="1">
      <alignment horizontal="center" vertical="center"/>
    </xf>
    <xf numFmtId="0" fontId="53" fillId="11" borderId="7" xfId="0" applyFont="1" applyFill="1" applyBorder="1" applyAlignment="1">
      <alignment horizontal="center" vertical="center"/>
    </xf>
    <xf numFmtId="1" fontId="2" fillId="11" borderId="7" xfId="0" applyNumberFormat="1" applyFont="1" applyFill="1" applyBorder="1" applyAlignment="1">
      <alignment horizontal="center" vertical="center"/>
    </xf>
    <xf numFmtId="0" fontId="54" fillId="0" borderId="7" xfId="0" applyFont="1" applyBorder="1" applyAlignment="1">
      <alignment horizontal="center" vertical="center"/>
    </xf>
    <xf numFmtId="0" fontId="0" fillId="0" borderId="0" xfId="0" applyAlignment="1">
      <alignment horizontal="left" vertical="center"/>
    </xf>
    <xf numFmtId="0" fontId="0" fillId="0" borderId="0" xfId="0" applyAlignment="1">
      <alignment horizontal="left"/>
    </xf>
    <xf numFmtId="0" fontId="2" fillId="0" borderId="0" xfId="0" applyFont="1" applyAlignment="1">
      <alignment horizontal="right"/>
    </xf>
    <xf numFmtId="0" fontId="5" fillId="0" borderId="0" xfId="0" applyFont="1" applyAlignment="1">
      <alignment horizontal="right"/>
    </xf>
    <xf numFmtId="0" fontId="55" fillId="26" borderId="7" xfId="0" applyFont="1" applyFill="1" applyBorder="1" applyAlignment="1">
      <alignment horizontal="center" vertical="center" wrapText="1"/>
    </xf>
    <xf numFmtId="0" fontId="2" fillId="0" borderId="0" xfId="0" applyFont="1" applyAlignment="1">
      <alignment horizontal="left"/>
    </xf>
    <xf numFmtId="10" fontId="2" fillId="0" borderId="0" xfId="0" applyNumberFormat="1" applyFont="1" applyAlignment="1">
      <alignment horizontal="center"/>
    </xf>
    <xf numFmtId="0" fontId="57" fillId="0" borderId="0" xfId="0" applyFont="1"/>
    <xf numFmtId="0" fontId="55" fillId="26" borderId="7" xfId="0" applyFont="1" applyFill="1" applyBorder="1" applyAlignment="1">
      <alignment horizontal="left" vertical="center" wrapText="1"/>
    </xf>
    <xf numFmtId="195" fontId="2" fillId="0" borderId="0" xfId="0" applyNumberFormat="1" applyFont="1"/>
    <xf numFmtId="2" fontId="5" fillId="0" borderId="0" xfId="0" applyNumberFormat="1" applyFont="1" applyAlignment="1">
      <alignment horizontal="center" vertical="center" wrapText="1"/>
    </xf>
    <xf numFmtId="0" fontId="15" fillId="3" borderId="14" xfId="0" applyFont="1" applyFill="1" applyBorder="1" applyAlignment="1">
      <alignment horizontal="center"/>
    </xf>
    <xf numFmtId="0" fontId="14" fillId="3" borderId="0" xfId="0" applyFont="1" applyFill="1" applyAlignment="1">
      <alignment horizontal="right" vertical="center"/>
    </xf>
    <xf numFmtId="0" fontId="14" fillId="3" borderId="0" xfId="0" applyFont="1" applyFill="1" applyAlignment="1">
      <alignment horizontal="left" vertical="center"/>
    </xf>
    <xf numFmtId="0" fontId="15" fillId="3" borderId="15" xfId="0" applyFont="1" applyFill="1" applyBorder="1" applyAlignment="1">
      <alignment horizontal="center"/>
    </xf>
    <xf numFmtId="0" fontId="14" fillId="3" borderId="14" xfId="0" applyFont="1" applyFill="1" applyBorder="1" applyAlignment="1">
      <alignment horizontal="left"/>
    </xf>
    <xf numFmtId="2" fontId="14" fillId="3" borderId="0" xfId="0" applyNumberFormat="1" applyFont="1" applyFill="1" applyAlignment="1">
      <alignment horizontal="right" vertical="center"/>
    </xf>
    <xf numFmtId="0" fontId="14" fillId="3" borderId="15" xfId="0" applyFont="1" applyFill="1" applyBorder="1" applyAlignment="1">
      <alignment horizontal="right"/>
    </xf>
    <xf numFmtId="49" fontId="21" fillId="3" borderId="14" xfId="0" applyNumberFormat="1" applyFont="1" applyFill="1" applyBorder="1" applyAlignment="1">
      <alignment vertical="center"/>
    </xf>
    <xf numFmtId="2" fontId="5" fillId="3" borderId="0" xfId="0" applyNumberFormat="1" applyFont="1" applyFill="1" applyAlignment="1">
      <alignment horizontal="center" vertical="center" wrapText="1"/>
    </xf>
    <xf numFmtId="2" fontId="5" fillId="3" borderId="15" xfId="0" applyNumberFormat="1" applyFont="1" applyFill="1" applyBorder="1" applyAlignment="1">
      <alignment horizontal="center" vertical="center" wrapText="1"/>
    </xf>
    <xf numFmtId="0" fontId="18" fillId="3" borderId="14" xfId="0" applyFont="1" applyFill="1" applyBorder="1"/>
    <xf numFmtId="0" fontId="18" fillId="3" borderId="15" xfId="0" applyFont="1" applyFill="1" applyBorder="1"/>
    <xf numFmtId="0" fontId="15" fillId="0" borderId="0" xfId="0" applyFont="1" applyAlignment="1">
      <alignment horizontal="center" wrapText="1"/>
    </xf>
    <xf numFmtId="0" fontId="18" fillId="3" borderId="0" xfId="0" applyFont="1" applyFill="1" applyAlignment="1">
      <alignment horizontal="left" wrapText="1"/>
    </xf>
    <xf numFmtId="0" fontId="18" fillId="3" borderId="0" xfId="0" applyFont="1" applyFill="1" applyAlignment="1">
      <alignment horizontal="center"/>
    </xf>
    <xf numFmtId="2" fontId="0" fillId="0" borderId="0" xfId="0" applyNumberFormat="1"/>
    <xf numFmtId="0" fontId="13" fillId="0" borderId="0" xfId="0" applyFont="1"/>
    <xf numFmtId="2" fontId="13" fillId="0" borderId="0" xfId="0" applyNumberFormat="1" applyFont="1"/>
    <xf numFmtId="0" fontId="18" fillId="3" borderId="16" xfId="0" applyFont="1" applyFill="1" applyBorder="1"/>
    <xf numFmtId="0" fontId="18" fillId="3" borderId="8" xfId="0" applyFont="1" applyFill="1" applyBorder="1"/>
    <xf numFmtId="0" fontId="18" fillId="3" borderId="17" xfId="0" applyFont="1" applyFill="1" applyBorder="1"/>
    <xf numFmtId="1" fontId="15" fillId="3" borderId="0" xfId="0" applyNumberFormat="1" applyFont="1" applyFill="1" applyAlignment="1">
      <alignment horizontal="center" vertical="center"/>
    </xf>
    <xf numFmtId="1" fontId="14" fillId="3" borderId="0" xfId="0" applyNumberFormat="1" applyFont="1" applyFill="1" applyAlignment="1">
      <alignment horizontal="center" vertical="center"/>
    </xf>
    <xf numFmtId="172" fontId="15" fillId="3" borderId="0" xfId="0" applyNumberFormat="1" applyFont="1" applyFill="1" applyAlignment="1">
      <alignment horizontal="center" vertical="center"/>
    </xf>
    <xf numFmtId="2" fontId="15" fillId="3" borderId="0" xfId="0" applyNumberFormat="1" applyFont="1" applyFill="1" applyAlignment="1">
      <alignment horizontal="center" vertical="center"/>
    </xf>
    <xf numFmtId="2" fontId="15" fillId="3" borderId="0" xfId="0" applyNumberFormat="1" applyFont="1" applyFill="1" applyAlignment="1">
      <alignment horizontal="left" vertical="center"/>
    </xf>
    <xf numFmtId="49" fontId="15" fillId="3" borderId="0" xfId="0" applyNumberFormat="1" applyFont="1" applyFill="1" applyAlignment="1">
      <alignment horizontal="left" vertical="center"/>
    </xf>
    <xf numFmtId="0" fontId="15" fillId="3" borderId="0" xfId="0" applyFont="1" applyFill="1" applyAlignment="1">
      <alignment horizontal="left" vertical="center"/>
    </xf>
    <xf numFmtId="2" fontId="14" fillId="3" borderId="0" xfId="0" applyNumberFormat="1" applyFont="1" applyFill="1" applyAlignment="1">
      <alignment horizontal="left" vertical="center"/>
    </xf>
    <xf numFmtId="173" fontId="14" fillId="3" borderId="0" xfId="0" applyNumberFormat="1" applyFont="1" applyFill="1" applyAlignment="1">
      <alignment horizontal="left" vertical="center"/>
    </xf>
    <xf numFmtId="1" fontId="15" fillId="3" borderId="0" xfId="0" applyNumberFormat="1" applyFont="1" applyFill="1" applyAlignment="1">
      <alignment horizontal="left" vertical="center"/>
    </xf>
    <xf numFmtId="1" fontId="14" fillId="3" borderId="0" xfId="0" applyNumberFormat="1" applyFont="1" applyFill="1" applyAlignment="1">
      <alignment horizontal="left" vertical="center" wrapText="1"/>
    </xf>
    <xf numFmtId="10" fontId="14" fillId="3" borderId="0" xfId="0" applyNumberFormat="1" applyFont="1" applyFill="1" applyAlignment="1">
      <alignment vertical="center"/>
    </xf>
    <xf numFmtId="0" fontId="15" fillId="3" borderId="0" xfId="0" applyFont="1" applyFill="1" applyAlignment="1">
      <alignment vertical="center"/>
    </xf>
    <xf numFmtId="10" fontId="14" fillId="3" borderId="0" xfId="0" applyNumberFormat="1" applyFont="1" applyFill="1" applyAlignment="1">
      <alignment horizontal="right" vertical="center"/>
    </xf>
    <xf numFmtId="0" fontId="14" fillId="8" borderId="7" xfId="0" applyFont="1" applyFill="1" applyBorder="1" applyAlignment="1">
      <alignment horizontal="center" vertical="center"/>
    </xf>
    <xf numFmtId="0" fontId="14" fillId="8" borderId="7" xfId="0" applyFont="1" applyFill="1" applyBorder="1" applyAlignment="1">
      <alignment horizontal="center" vertical="center" wrapText="1"/>
    </xf>
    <xf numFmtId="0" fontId="14" fillId="3" borderId="0" xfId="0" applyFont="1" applyFill="1" applyAlignment="1">
      <alignment horizontal="center"/>
    </xf>
    <xf numFmtId="0" fontId="0" fillId="21" borderId="7" xfId="0" applyFill="1" applyBorder="1" applyAlignment="1">
      <alignment horizontal="center" vertical="center"/>
    </xf>
    <xf numFmtId="0" fontId="0" fillId="0" borderId="7" xfId="0" applyBorder="1"/>
    <xf numFmtId="166" fontId="0" fillId="0" borderId="7" xfId="0" applyNumberFormat="1" applyBorder="1"/>
    <xf numFmtId="49" fontId="0" fillId="0" borderId="7" xfId="0" applyNumberFormat="1" applyBorder="1" applyAlignment="1">
      <alignment horizontal="center"/>
    </xf>
    <xf numFmtId="0" fontId="0" fillId="0" borderId="7" xfId="0" applyBorder="1" applyAlignment="1">
      <alignment horizontal="left"/>
    </xf>
    <xf numFmtId="0" fontId="15" fillId="3" borderId="0" xfId="0" applyFont="1" applyFill="1" applyAlignment="1">
      <alignment horizontal="center"/>
    </xf>
    <xf numFmtId="0" fontId="15" fillId="3" borderId="30" xfId="0" applyFont="1" applyFill="1" applyBorder="1" applyAlignment="1">
      <alignment horizontal="center" vertical="center"/>
    </xf>
    <xf numFmtId="0" fontId="15" fillId="3" borderId="30" xfId="0" applyFont="1" applyFill="1" applyBorder="1" applyAlignment="1">
      <alignment horizontal="center" wrapText="1"/>
    </xf>
    <xf numFmtId="0" fontId="13" fillId="3" borderId="30" xfId="0" applyFont="1" applyFill="1" applyBorder="1" applyAlignment="1">
      <alignment horizontal="center" vertical="center"/>
    </xf>
    <xf numFmtId="0" fontId="0" fillId="3" borderId="30" xfId="0" applyFill="1" applyBorder="1" applyAlignment="1">
      <alignment horizontal="center" vertical="center"/>
    </xf>
    <xf numFmtId="2" fontId="0" fillId="3" borderId="30" xfId="0" applyNumberFormat="1" applyFill="1" applyBorder="1" applyAlignment="1">
      <alignment horizontal="center" vertical="center"/>
    </xf>
    <xf numFmtId="2" fontId="13" fillId="3" borderId="30" xfId="0" applyNumberFormat="1" applyFont="1" applyFill="1" applyBorder="1" applyAlignment="1">
      <alignment horizontal="center" vertical="center"/>
    </xf>
    <xf numFmtId="0" fontId="0" fillId="3" borderId="14" xfId="0" applyFill="1" applyBorder="1" applyAlignment="1">
      <alignment vertical="center"/>
    </xf>
    <xf numFmtId="0" fontId="0" fillId="3" borderId="15" xfId="0" applyFill="1" applyBorder="1" applyAlignment="1">
      <alignment vertical="center"/>
    </xf>
    <xf numFmtId="2" fontId="12" fillId="8" borderId="30" xfId="0" applyNumberFormat="1" applyFont="1" applyFill="1" applyBorder="1" applyAlignment="1">
      <alignment horizontal="center" vertical="center"/>
    </xf>
    <xf numFmtId="0" fontId="0" fillId="0" borderId="14" xfId="0" applyBorder="1"/>
    <xf numFmtId="0" fontId="0" fillId="0" borderId="15" xfId="0" applyBorder="1"/>
    <xf numFmtId="190" fontId="59" fillId="21" borderId="54" xfId="0" applyNumberFormat="1" applyFont="1" applyFill="1" applyBorder="1" applyAlignment="1">
      <alignment horizontal="center" vertical="center" wrapText="1"/>
    </xf>
    <xf numFmtId="0" fontId="59" fillId="21" borderId="54" xfId="0" applyFont="1" applyFill="1" applyBorder="1" applyAlignment="1">
      <alignment horizontal="center" vertical="center"/>
    </xf>
    <xf numFmtId="0" fontId="59" fillId="21" borderId="54" xfId="0" applyFont="1" applyFill="1" applyBorder="1" applyAlignment="1">
      <alignment horizontal="left" vertical="center" wrapText="1"/>
    </xf>
    <xf numFmtId="0" fontId="59" fillId="21" borderId="54" xfId="0" applyFont="1" applyFill="1" applyBorder="1" applyAlignment="1">
      <alignment horizontal="center" vertical="center" wrapText="1"/>
    </xf>
    <xf numFmtId="0" fontId="60" fillId="0" borderId="54" xfId="0" applyFont="1" applyBorder="1" applyAlignment="1">
      <alignment horizontal="center" vertical="center" wrapText="1"/>
    </xf>
    <xf numFmtId="44" fontId="30" fillId="13" borderId="54" xfId="3" applyFont="1" applyFill="1" applyBorder="1" applyAlignment="1">
      <alignment horizontal="center" vertical="center" wrapText="1"/>
    </xf>
    <xf numFmtId="0" fontId="28" fillId="0" borderId="54" xfId="4" applyNumberFormat="1" applyFont="1" applyBorder="1" applyAlignment="1">
      <alignment horizontal="center" vertical="center" wrapText="1"/>
    </xf>
    <xf numFmtId="4" fontId="64" fillId="27" borderId="7" xfId="5" applyNumberFormat="1" applyFont="1" applyFill="1" applyBorder="1" applyAlignment="1">
      <alignment horizontal="center" vertical="center"/>
    </xf>
    <xf numFmtId="43" fontId="28" fillId="4" borderId="75" xfId="4" applyFont="1" applyFill="1" applyBorder="1" applyAlignment="1">
      <alignment horizontal="center" vertical="center" wrapText="1"/>
    </xf>
    <xf numFmtId="43" fontId="28" fillId="4" borderId="29" xfId="4" applyFont="1" applyFill="1" applyBorder="1" applyAlignment="1">
      <alignment horizontal="center" vertical="center" wrapText="1"/>
    </xf>
    <xf numFmtId="189" fontId="59" fillId="27" borderId="7" xfId="5" applyNumberFormat="1" applyFont="1" applyFill="1" applyBorder="1" applyAlignment="1">
      <alignment horizontal="center" vertical="center"/>
    </xf>
    <xf numFmtId="189" fontId="70" fillId="4" borderId="7" xfId="8" applyNumberFormat="1" applyFont="1" applyFill="1" applyBorder="1" applyAlignment="1">
      <alignment horizontal="center" vertical="center" wrapText="1"/>
    </xf>
    <xf numFmtId="190" fontId="66" fillId="3" borderId="42" xfId="4" applyNumberFormat="1" applyFont="1" applyFill="1" applyBorder="1" applyAlignment="1">
      <alignment horizontal="center" vertical="center" wrapText="1"/>
    </xf>
    <xf numFmtId="190" fontId="66" fillId="3" borderId="74" xfId="4" applyNumberFormat="1" applyFont="1" applyFill="1" applyBorder="1" applyAlignment="1">
      <alignment horizontal="center" vertical="center" wrapText="1"/>
    </xf>
    <xf numFmtId="165" fontId="44" fillId="0" borderId="54" xfId="0" applyNumberFormat="1" applyFont="1" applyBorder="1" applyAlignment="1">
      <alignment horizontal="right" vertical="center" wrapText="1"/>
    </xf>
    <xf numFmtId="43" fontId="62" fillId="0" borderId="0" xfId="2" applyFont="1" applyAlignment="1">
      <alignment vertical="center" wrapText="1"/>
    </xf>
    <xf numFmtId="43" fontId="62" fillId="0" borderId="0" xfId="2" applyFont="1" applyAlignment="1">
      <alignment horizontal="center" vertical="center" wrapText="1"/>
    </xf>
    <xf numFmtId="43" fontId="62" fillId="0" borderId="0" xfId="2" applyFont="1" applyFill="1" applyBorder="1" applyAlignment="1">
      <alignment vertical="center" wrapText="1"/>
    </xf>
    <xf numFmtId="43" fontId="62" fillId="0" borderId="0" xfId="2" applyFont="1" applyFill="1" applyBorder="1" applyAlignment="1">
      <alignment horizontal="center" vertical="center" wrapText="1"/>
    </xf>
    <xf numFmtId="43" fontId="68" fillId="0" borderId="0" xfId="2" applyFont="1" applyFill="1" applyBorder="1" applyAlignment="1">
      <alignment vertical="center" wrapText="1"/>
    </xf>
    <xf numFmtId="43" fontId="72" fillId="0" borderId="0" xfId="2" applyFont="1" applyFill="1" applyBorder="1" applyAlignment="1">
      <alignment horizontal="center" vertical="center" wrapText="1"/>
    </xf>
    <xf numFmtId="43" fontId="62" fillId="0" borderId="0" xfId="2" applyFont="1" applyFill="1" applyBorder="1" applyAlignment="1">
      <alignment vertical="center"/>
    </xf>
    <xf numFmtId="43" fontId="68" fillId="0" borderId="0" xfId="2" applyFont="1" applyFill="1" applyBorder="1" applyAlignment="1">
      <alignment horizontal="center" vertical="center" wrapText="1"/>
    </xf>
    <xf numFmtId="43" fontId="62" fillId="0" borderId="7" xfId="2" applyFont="1" applyFill="1" applyBorder="1" applyAlignment="1">
      <alignment vertical="center" wrapText="1"/>
    </xf>
    <xf numFmtId="0" fontId="0" fillId="0" borderId="0" xfId="0" applyAlignment="1">
      <alignment horizontal="right" vertical="center" wrapText="1"/>
    </xf>
    <xf numFmtId="0" fontId="13" fillId="0" borderId="0" xfId="0" applyFont="1" applyAlignment="1">
      <alignment horizontal="right" vertical="center" wrapText="1"/>
    </xf>
    <xf numFmtId="4" fontId="0" fillId="0" borderId="0" xfId="0" applyNumberFormat="1" applyAlignment="1">
      <alignment horizontal="right" vertical="center" wrapText="1"/>
    </xf>
    <xf numFmtId="43" fontId="68" fillId="0" borderId="12" xfId="2" applyFont="1" applyFill="1" applyBorder="1" applyAlignment="1">
      <alignment vertical="center" wrapText="1"/>
    </xf>
    <xf numFmtId="43" fontId="62" fillId="0" borderId="9" xfId="2" applyFont="1" applyFill="1" applyBorder="1" applyAlignment="1">
      <alignment vertical="center" wrapText="1"/>
    </xf>
    <xf numFmtId="43" fontId="62" fillId="0" borderId="9" xfId="2" applyFont="1" applyFill="1" applyBorder="1" applyAlignment="1">
      <alignment horizontal="center" vertical="center" wrapText="1"/>
    </xf>
    <xf numFmtId="43" fontId="62" fillId="0" borderId="13" xfId="2" applyFont="1" applyFill="1" applyBorder="1" applyAlignment="1">
      <alignment vertical="center" wrapText="1"/>
    </xf>
    <xf numFmtId="43" fontId="62" fillId="0" borderId="14" xfId="2" applyFont="1" applyFill="1" applyBorder="1" applyAlignment="1">
      <alignment vertical="center" wrapText="1"/>
    </xf>
    <xf numFmtId="43" fontId="62" fillId="0" borderId="15" xfId="2" applyFont="1" applyFill="1" applyBorder="1" applyAlignment="1">
      <alignment vertical="center" wrapText="1"/>
    </xf>
    <xf numFmtId="43" fontId="68" fillId="0" borderId="14" xfId="2" applyFont="1" applyFill="1" applyBorder="1" applyAlignment="1">
      <alignment vertical="center" wrapText="1"/>
    </xf>
    <xf numFmtId="43" fontId="73" fillId="28" borderId="14" xfId="2" applyFont="1" applyFill="1" applyBorder="1" applyAlignment="1">
      <alignment vertical="center" wrapText="1"/>
    </xf>
    <xf numFmtId="43" fontId="75" fillId="28" borderId="14" xfId="2" applyFont="1" applyFill="1" applyBorder="1" applyAlignment="1">
      <alignment vertical="center" wrapText="1"/>
    </xf>
    <xf numFmtId="43" fontId="74" fillId="28" borderId="14" xfId="2" applyFont="1" applyFill="1" applyBorder="1" applyAlignment="1">
      <alignment vertical="center" wrapText="1"/>
    </xf>
    <xf numFmtId="43" fontId="68" fillId="0" borderId="15" xfId="2" applyFont="1" applyFill="1" applyBorder="1" applyAlignment="1">
      <alignment vertical="center" wrapText="1"/>
    </xf>
    <xf numFmtId="43" fontId="62" fillId="0" borderId="16" xfId="2" applyFont="1" applyFill="1" applyBorder="1" applyAlignment="1">
      <alignment vertical="center" wrapText="1"/>
    </xf>
    <xf numFmtId="43" fontId="62" fillId="0" borderId="8" xfId="2" applyFont="1" applyFill="1" applyBorder="1" applyAlignment="1">
      <alignment vertical="center" wrapText="1"/>
    </xf>
    <xf numFmtId="43" fontId="62" fillId="0" borderId="8" xfId="2" applyFont="1" applyFill="1" applyBorder="1" applyAlignment="1">
      <alignment horizontal="center" vertical="center" wrapText="1"/>
    </xf>
    <xf numFmtId="43" fontId="68" fillId="0" borderId="8" xfId="2" applyFont="1" applyFill="1" applyBorder="1" applyAlignment="1">
      <alignment vertical="center" wrapText="1"/>
    </xf>
    <xf numFmtId="43" fontId="68" fillId="0" borderId="17" xfId="2" applyFont="1" applyFill="1" applyBorder="1" applyAlignment="1">
      <alignment vertical="center" wrapText="1"/>
    </xf>
    <xf numFmtId="49" fontId="28" fillId="3" borderId="54" xfId="0" applyNumberFormat="1" applyFont="1" applyFill="1" applyBorder="1" applyAlignment="1">
      <alignment horizontal="center" vertical="center"/>
    </xf>
    <xf numFmtId="49" fontId="30" fillId="10" borderId="54" xfId="0" applyNumberFormat="1" applyFont="1" applyFill="1" applyBorder="1" applyAlignment="1">
      <alignment horizontal="center" vertical="center" wrapText="1"/>
    </xf>
    <xf numFmtId="0" fontId="28" fillId="3" borderId="54" xfId="0" applyFont="1" applyFill="1" applyBorder="1" applyAlignment="1">
      <alignment horizontal="left" wrapText="1"/>
    </xf>
    <xf numFmtId="165" fontId="30" fillId="10" borderId="54" xfId="0" applyNumberFormat="1" applyFont="1" applyFill="1" applyBorder="1" applyAlignment="1">
      <alignment horizontal="justify" vertical="center" wrapText="1"/>
    </xf>
    <xf numFmtId="0" fontId="28" fillId="3" borderId="54" xfId="0" applyFont="1" applyFill="1" applyBorder="1" applyAlignment="1">
      <alignment horizontal="center" vertical="center"/>
    </xf>
    <xf numFmtId="165" fontId="30" fillId="10" borderId="54" xfId="0" applyNumberFormat="1" applyFont="1" applyFill="1" applyBorder="1" applyAlignment="1">
      <alignment horizontal="right" vertical="center" wrapText="1"/>
    </xf>
    <xf numFmtId="2" fontId="28" fillId="3" borderId="54" xfId="0" applyNumberFormat="1" applyFont="1" applyFill="1" applyBorder="1" applyAlignment="1">
      <alignment horizontal="center" vertical="center"/>
    </xf>
    <xf numFmtId="2" fontId="28" fillId="3" borderId="54" xfId="0" applyNumberFormat="1" applyFont="1" applyFill="1" applyBorder="1" applyAlignment="1">
      <alignment horizontal="right" vertical="center"/>
    </xf>
    <xf numFmtId="2" fontId="30" fillId="3" borderId="0" xfId="0" applyNumberFormat="1" applyFont="1" applyFill="1" applyAlignment="1">
      <alignment horizontal="left" vertical="center"/>
    </xf>
    <xf numFmtId="2" fontId="29" fillId="3" borderId="0" xfId="0" applyNumberFormat="1" applyFont="1" applyFill="1" applyAlignment="1">
      <alignment horizontal="left" vertical="center"/>
    </xf>
    <xf numFmtId="169" fontId="2" fillId="3" borderId="7" xfId="0" applyNumberFormat="1" applyFont="1" applyFill="1" applyBorder="1" applyAlignment="1">
      <alignment horizontal="center" vertical="center" wrapText="1"/>
    </xf>
    <xf numFmtId="2" fontId="30" fillId="3" borderId="36" xfId="0" applyNumberFormat="1" applyFont="1" applyFill="1" applyBorder="1" applyAlignment="1">
      <alignment horizontal="left" vertical="center"/>
    </xf>
    <xf numFmtId="2" fontId="29" fillId="3" borderId="36" xfId="0" applyNumberFormat="1" applyFont="1" applyFill="1" applyBorder="1" applyAlignment="1">
      <alignment horizontal="left" vertical="center"/>
    </xf>
    <xf numFmtId="174" fontId="13" fillId="3" borderId="42" xfId="0" applyNumberFormat="1" applyFont="1" applyFill="1" applyBorder="1" applyAlignment="1">
      <alignment horizontal="center" vertical="center"/>
    </xf>
    <xf numFmtId="0" fontId="33" fillId="3" borderId="7" xfId="0" applyFont="1" applyFill="1" applyBorder="1" applyAlignment="1">
      <alignment horizontal="center" vertical="center" wrapText="1"/>
    </xf>
    <xf numFmtId="2" fontId="29" fillId="3" borderId="33" xfId="0" applyNumberFormat="1" applyFont="1" applyFill="1" applyBorder="1" applyAlignment="1">
      <alignment horizontal="left" vertical="center"/>
    </xf>
    <xf numFmtId="2" fontId="30" fillId="3" borderId="33" xfId="0" applyNumberFormat="1" applyFont="1" applyFill="1" applyBorder="1" applyAlignment="1">
      <alignment horizontal="left" vertical="center"/>
    </xf>
    <xf numFmtId="1" fontId="30" fillId="3" borderId="33" xfId="0" applyNumberFormat="1" applyFont="1" applyFill="1" applyBorder="1" applyAlignment="1">
      <alignment horizontal="left" vertical="center"/>
    </xf>
    <xf numFmtId="174" fontId="13" fillId="3" borderId="26" xfId="0" applyNumberFormat="1" applyFont="1" applyFill="1" applyBorder="1" applyAlignment="1">
      <alignment horizontal="center" vertical="center"/>
    </xf>
    <xf numFmtId="0" fontId="30" fillId="3" borderId="36" xfId="0" applyFont="1" applyFill="1" applyBorder="1" applyAlignment="1">
      <alignment horizontal="left" vertical="center"/>
    </xf>
    <xf numFmtId="174" fontId="13" fillId="3" borderId="25" xfId="0" applyNumberFormat="1" applyFont="1" applyFill="1" applyBorder="1" applyAlignment="1">
      <alignment horizontal="center" vertical="center"/>
    </xf>
    <xf numFmtId="0" fontId="5" fillId="2" borderId="0" xfId="0" applyFont="1" applyFill="1" applyAlignment="1">
      <alignment horizontal="left" wrapText="1"/>
    </xf>
    <xf numFmtId="0" fontId="5" fillId="2" borderId="0" xfId="0" applyFont="1" applyFill="1" applyAlignment="1">
      <alignment horizontal="left"/>
    </xf>
    <xf numFmtId="164" fontId="4" fillId="0" borderId="1" xfId="0" applyNumberFormat="1" applyFont="1" applyBorder="1" applyAlignment="1">
      <alignment horizontal="left"/>
    </xf>
    <xf numFmtId="165" fontId="5" fillId="0" borderId="0" xfId="0" applyNumberFormat="1" applyFont="1" applyAlignment="1">
      <alignment horizontal="center"/>
    </xf>
    <xf numFmtId="0" fontId="4" fillId="0" borderId="1" xfId="0" applyFont="1" applyBorder="1" applyAlignment="1">
      <alignment horizontal="left"/>
    </xf>
    <xf numFmtId="4" fontId="5" fillId="2" borderId="0" xfId="0" applyNumberFormat="1" applyFont="1" applyFill="1" applyAlignment="1">
      <alignment horizontal="left" wrapText="1"/>
    </xf>
    <xf numFmtId="166" fontId="5" fillId="2" borderId="0" xfId="0" applyNumberFormat="1" applyFont="1" applyFill="1" applyAlignment="1">
      <alignment horizontal="left" wrapText="1"/>
    </xf>
    <xf numFmtId="164" fontId="3" fillId="0" borderId="6" xfId="0" applyNumberFormat="1" applyFont="1" applyBorder="1" applyAlignment="1">
      <alignment horizontal="left"/>
    </xf>
    <xf numFmtId="1" fontId="5" fillId="2" borderId="0" xfId="0" applyNumberFormat="1" applyFont="1" applyFill="1" applyAlignment="1">
      <alignment horizontal="left" wrapText="1"/>
    </xf>
    <xf numFmtId="0" fontId="58" fillId="2" borderId="0" xfId="1" applyFill="1" applyAlignment="1">
      <alignment horizontal="left" wrapText="1"/>
    </xf>
    <xf numFmtId="0" fontId="8" fillId="2" borderId="0" xfId="0" applyFont="1" applyFill="1" applyAlignment="1">
      <alignment horizontal="left" wrapText="1"/>
    </xf>
    <xf numFmtId="0" fontId="0" fillId="0" borderId="9" xfId="0" applyBorder="1" applyAlignment="1">
      <alignment horizontal="center"/>
    </xf>
    <xf numFmtId="0" fontId="2" fillId="0" borderId="0" xfId="0" applyFont="1" applyAlignment="1">
      <alignment horizontal="center"/>
    </xf>
    <xf numFmtId="0" fontId="11" fillId="3" borderId="12" xfId="0" applyFont="1" applyFill="1" applyBorder="1" applyAlignment="1">
      <alignment horizontal="center" vertical="center"/>
    </xf>
    <xf numFmtId="167" fontId="11" fillId="3" borderId="13" xfId="0" applyNumberFormat="1" applyFont="1" applyFill="1" applyBorder="1" applyAlignment="1">
      <alignment horizontal="left" vertical="top"/>
    </xf>
    <xf numFmtId="0" fontId="12" fillId="3" borderId="0" xfId="0" applyFont="1" applyFill="1" applyAlignment="1">
      <alignment horizontal="left" wrapText="1"/>
    </xf>
    <xf numFmtId="0" fontId="13" fillId="4" borderId="15" xfId="0" applyFont="1" applyFill="1" applyBorder="1" applyAlignment="1">
      <alignment horizontal="left"/>
    </xf>
    <xf numFmtId="0" fontId="0" fillId="3" borderId="0" xfId="0" applyFill="1" applyAlignment="1">
      <alignment horizontal="left"/>
    </xf>
    <xf numFmtId="0" fontId="13" fillId="3" borderId="15" xfId="0" applyFont="1" applyFill="1" applyBorder="1" applyAlignment="1">
      <alignment horizontal="left"/>
    </xf>
    <xf numFmtId="0" fontId="0" fillId="3" borderId="0" xfId="0" applyFill="1" applyAlignment="1">
      <alignment horizontal="right"/>
    </xf>
    <xf numFmtId="0" fontId="0" fillId="3" borderId="15" xfId="0" applyFill="1" applyBorder="1" applyAlignment="1">
      <alignment horizontal="left"/>
    </xf>
    <xf numFmtId="0" fontId="0" fillId="4" borderId="0" xfId="0" applyFill="1" applyAlignment="1">
      <alignment horizontal="left"/>
    </xf>
    <xf numFmtId="0" fontId="13" fillId="3" borderId="0" xfId="0" applyFont="1" applyFill="1" applyAlignment="1">
      <alignment horizontal="left"/>
    </xf>
    <xf numFmtId="1" fontId="5" fillId="3" borderId="15" xfId="0" applyNumberFormat="1" applyFont="1" applyFill="1" applyBorder="1" applyAlignment="1">
      <alignment horizontal="left"/>
    </xf>
    <xf numFmtId="0" fontId="13" fillId="3" borderId="19" xfId="0" applyFont="1" applyFill="1" applyBorder="1" applyAlignment="1">
      <alignment horizontal="center"/>
    </xf>
    <xf numFmtId="0" fontId="15" fillId="3" borderId="20" xfId="0" applyFont="1" applyFill="1" applyBorder="1" applyAlignment="1">
      <alignment horizontal="left"/>
    </xf>
    <xf numFmtId="0" fontId="13" fillId="3" borderId="21" xfId="0" applyFont="1" applyFill="1" applyBorder="1" applyAlignment="1">
      <alignment horizontal="center" vertical="center" wrapText="1"/>
    </xf>
    <xf numFmtId="168" fontId="0" fillId="3" borderId="22" xfId="0" applyNumberFormat="1" applyFill="1" applyBorder="1" applyAlignment="1">
      <alignment horizontal="center" vertical="center"/>
    </xf>
    <xf numFmtId="0" fontId="13" fillId="3" borderId="24" xfId="0" applyFont="1" applyFill="1" applyBorder="1" applyAlignment="1">
      <alignment horizontal="center" vertical="center" wrapText="1"/>
    </xf>
    <xf numFmtId="168" fontId="0" fillId="3" borderId="25" xfId="0" applyNumberFormat="1" applyFill="1" applyBorder="1" applyAlignment="1">
      <alignment horizontal="center" vertical="center"/>
    </xf>
    <xf numFmtId="0" fontId="0" fillId="3" borderId="27" xfId="0" applyFill="1" applyBorder="1" applyAlignment="1">
      <alignment horizontal="center" vertical="center"/>
    </xf>
    <xf numFmtId="168" fontId="0" fillId="3" borderId="20" xfId="0" applyNumberFormat="1" applyFill="1" applyBorder="1" applyAlignment="1">
      <alignment horizontal="center" vertical="center"/>
    </xf>
    <xf numFmtId="0" fontId="12" fillId="3" borderId="27" xfId="0" applyFont="1" applyFill="1" applyBorder="1" applyAlignment="1">
      <alignment horizontal="center" vertical="center"/>
    </xf>
    <xf numFmtId="168" fontId="12" fillId="3" borderId="20" xfId="0" applyNumberFormat="1" applyFont="1" applyFill="1" applyBorder="1" applyAlignment="1">
      <alignment horizontal="center" vertical="center"/>
    </xf>
    <xf numFmtId="0" fontId="13" fillId="3" borderId="14" xfId="0" applyFont="1" applyFill="1" applyBorder="1" applyAlignment="1">
      <alignment horizontal="right"/>
    </xf>
    <xf numFmtId="0" fontId="0" fillId="4" borderId="15" xfId="0" applyFill="1" applyBorder="1" applyAlignment="1">
      <alignment horizontal="left"/>
    </xf>
    <xf numFmtId="0" fontId="0" fillId="4" borderId="28" xfId="0" applyFill="1" applyBorder="1" applyAlignment="1">
      <alignment horizontal="left"/>
    </xf>
    <xf numFmtId="0" fontId="4" fillId="3" borderId="0" xfId="0" applyFont="1" applyFill="1" applyAlignment="1">
      <alignment horizontal="left"/>
    </xf>
    <xf numFmtId="0" fontId="4" fillId="3" borderId="29" xfId="0" applyFont="1" applyFill="1" applyBorder="1" applyAlignment="1">
      <alignment horizontal="right"/>
    </xf>
    <xf numFmtId="10" fontId="3" fillId="3" borderId="7" xfId="0" applyNumberFormat="1" applyFont="1" applyFill="1" applyBorder="1" applyAlignment="1">
      <alignment horizontal="center"/>
    </xf>
    <xf numFmtId="0" fontId="4" fillId="3" borderId="14" xfId="0" applyFont="1" applyFill="1" applyBorder="1" applyAlignment="1">
      <alignment horizontal="right"/>
    </xf>
    <xf numFmtId="0" fontId="4" fillId="3" borderId="15" xfId="0" applyFont="1" applyFill="1" applyBorder="1" applyAlignment="1">
      <alignment horizontal="center"/>
    </xf>
    <xf numFmtId="17" fontId="16" fillId="3" borderId="15" xfId="0" applyNumberFormat="1" applyFont="1" applyFill="1" applyBorder="1" applyAlignment="1">
      <alignment horizontal="center"/>
    </xf>
    <xf numFmtId="0" fontId="0" fillId="3" borderId="0" xfId="0" applyFill="1" applyAlignment="1">
      <alignment horizontal="center"/>
    </xf>
    <xf numFmtId="0" fontId="0" fillId="3" borderId="15" xfId="0" applyFill="1" applyBorder="1" applyAlignment="1">
      <alignment horizontal="center"/>
    </xf>
    <xf numFmtId="0" fontId="0" fillId="3" borderId="14" xfId="0" applyFill="1" applyBorder="1" applyAlignment="1">
      <alignment horizontal="center"/>
    </xf>
    <xf numFmtId="0" fontId="2" fillId="3" borderId="0" xfId="0" applyFont="1" applyFill="1" applyAlignment="1">
      <alignment horizontal="center"/>
    </xf>
    <xf numFmtId="0" fontId="2" fillId="3" borderId="0" xfId="0" applyFont="1" applyFill="1" applyAlignment="1">
      <alignment horizontal="right"/>
    </xf>
    <xf numFmtId="0" fontId="5" fillId="5" borderId="30" xfId="0" applyFont="1" applyFill="1" applyBorder="1" applyAlignment="1">
      <alignment horizontal="center"/>
    </xf>
    <xf numFmtId="0" fontId="2" fillId="0" borderId="30" xfId="0" applyFont="1" applyBorder="1" applyAlignment="1">
      <alignment horizontal="center" vertical="center"/>
    </xf>
    <xf numFmtId="0" fontId="2" fillId="0" borderId="30" xfId="0" applyFont="1" applyBorder="1" applyAlignment="1">
      <alignment horizontal="center" vertical="center" wrapText="1"/>
    </xf>
    <xf numFmtId="0" fontId="2" fillId="0" borderId="30" xfId="0" applyFont="1" applyBorder="1" applyAlignment="1">
      <alignment horizontal="left"/>
    </xf>
    <xf numFmtId="0" fontId="2" fillId="0" borderId="30" xfId="0" applyFont="1" applyBorder="1" applyAlignment="1">
      <alignment horizontal="center"/>
    </xf>
    <xf numFmtId="0" fontId="11" fillId="3" borderId="0" xfId="0" applyFont="1" applyFill="1" applyAlignment="1">
      <alignment horizontal="center"/>
    </xf>
    <xf numFmtId="0" fontId="2" fillId="0" borderId="9" xfId="0" applyFont="1" applyBorder="1" applyAlignment="1">
      <alignment horizontal="center"/>
    </xf>
    <xf numFmtId="0" fontId="12" fillId="3" borderId="34" xfId="0" applyFont="1" applyFill="1" applyBorder="1" applyAlignment="1">
      <alignment horizontal="center"/>
    </xf>
    <xf numFmtId="169" fontId="3" fillId="3" borderId="26" xfId="0" applyNumberFormat="1" applyFont="1" applyFill="1" applyBorder="1" applyAlignment="1">
      <alignment horizontal="center" vertical="center" wrapText="1"/>
    </xf>
    <xf numFmtId="0" fontId="16" fillId="3" borderId="0" xfId="0" applyFont="1" applyFill="1" applyAlignment="1">
      <alignment horizontal="center" wrapText="1"/>
    </xf>
    <xf numFmtId="0" fontId="12" fillId="3" borderId="33" xfId="0" applyFont="1" applyFill="1" applyBorder="1" applyAlignment="1">
      <alignment horizontal="left"/>
    </xf>
    <xf numFmtId="166" fontId="12" fillId="3" borderId="33" xfId="0" applyNumberFormat="1" applyFont="1" applyFill="1" applyBorder="1" applyAlignment="1">
      <alignment horizontal="left"/>
    </xf>
    <xf numFmtId="0" fontId="12" fillId="3" borderId="0" xfId="0" applyFont="1" applyFill="1" applyAlignment="1">
      <alignment horizontal="left"/>
    </xf>
    <xf numFmtId="166" fontId="12" fillId="3" borderId="0" xfId="0" applyNumberFormat="1" applyFont="1" applyFill="1" applyAlignment="1">
      <alignment horizontal="left"/>
    </xf>
    <xf numFmtId="0" fontId="12" fillId="3" borderId="29" xfId="0" applyFont="1" applyFill="1" applyBorder="1" applyAlignment="1">
      <alignment horizontal="left"/>
    </xf>
    <xf numFmtId="0" fontId="12" fillId="3" borderId="37" xfId="0" applyFont="1" applyFill="1" applyBorder="1" applyAlignment="1">
      <alignment horizontal="center" vertical="center"/>
    </xf>
    <xf numFmtId="0" fontId="12" fillId="3" borderId="7" xfId="0" applyFont="1" applyFill="1" applyBorder="1" applyAlignment="1">
      <alignment horizontal="center" vertical="center" wrapText="1"/>
    </xf>
    <xf numFmtId="0" fontId="12" fillId="3" borderId="7" xfId="0" applyFont="1" applyFill="1" applyBorder="1" applyAlignment="1">
      <alignment horizontal="center" vertical="center"/>
    </xf>
    <xf numFmtId="0" fontId="12" fillId="7" borderId="38" xfId="0" applyFont="1" applyFill="1" applyBorder="1" applyAlignment="1">
      <alignment horizontal="left" vertical="center" wrapText="1"/>
    </xf>
    <xf numFmtId="171" fontId="18" fillId="3" borderId="41" xfId="0" applyNumberFormat="1" applyFont="1" applyFill="1" applyBorder="1" applyAlignment="1">
      <alignment horizontal="left" vertical="center" wrapText="1"/>
    </xf>
    <xf numFmtId="171" fontId="18" fillId="3" borderId="38" xfId="0" applyNumberFormat="1" applyFont="1" applyFill="1" applyBorder="1" applyAlignment="1">
      <alignment horizontal="left" vertical="center" wrapText="1"/>
    </xf>
    <xf numFmtId="0" fontId="13" fillId="3" borderId="34" xfId="0" applyFont="1" applyFill="1" applyBorder="1" applyAlignment="1">
      <alignment horizontal="right" vertical="center"/>
    </xf>
    <xf numFmtId="0" fontId="12" fillId="0" borderId="44" xfId="0" applyFont="1" applyBorder="1" applyAlignment="1">
      <alignment horizontal="center" vertical="center"/>
    </xf>
    <xf numFmtId="171" fontId="18" fillId="3" borderId="40" xfId="0" applyNumberFormat="1" applyFont="1" applyFill="1" applyBorder="1" applyAlignment="1">
      <alignment horizontal="left" vertical="center" wrapText="1"/>
    </xf>
    <xf numFmtId="0" fontId="13" fillId="3" borderId="47" xfId="0" applyFont="1" applyFill="1" applyBorder="1" applyAlignment="1">
      <alignment horizontal="right" vertical="center"/>
    </xf>
    <xf numFmtId="0" fontId="12" fillId="8" borderId="7" xfId="0" applyFont="1" applyFill="1" applyBorder="1" applyAlignment="1">
      <alignment horizontal="center" vertical="center"/>
    </xf>
    <xf numFmtId="0" fontId="12" fillId="3" borderId="37" xfId="0" applyFont="1" applyFill="1" applyBorder="1" applyAlignment="1">
      <alignment horizontal="left"/>
    </xf>
    <xf numFmtId="0" fontId="0" fillId="0" borderId="0" xfId="0" applyAlignment="1">
      <alignment horizontal="center" vertical="center"/>
    </xf>
    <xf numFmtId="0" fontId="22" fillId="9" borderId="31" xfId="0" applyFont="1" applyFill="1" applyBorder="1" applyAlignment="1">
      <alignment horizontal="center" vertical="center" wrapText="1"/>
    </xf>
    <xf numFmtId="0" fontId="23" fillId="9" borderId="31" xfId="0" applyFont="1" applyFill="1" applyBorder="1" applyAlignment="1">
      <alignment horizontal="center" vertical="center" wrapText="1"/>
    </xf>
    <xf numFmtId="4" fontId="23" fillId="9" borderId="43" xfId="0" applyNumberFormat="1" applyFont="1" applyFill="1" applyBorder="1" applyAlignment="1">
      <alignment horizontal="center" vertical="center" wrapText="1"/>
    </xf>
    <xf numFmtId="43" fontId="71" fillId="0" borderId="0" xfId="2" applyFont="1" applyFill="1" applyBorder="1" applyAlignment="1">
      <alignment horizontal="center" vertical="center" wrapText="1"/>
    </xf>
    <xf numFmtId="0" fontId="29" fillId="0" borderId="76"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13" fillId="0" borderId="7" xfId="0" applyFont="1" applyBorder="1" applyAlignment="1">
      <alignment horizontal="center"/>
    </xf>
    <xf numFmtId="180" fontId="40" fillId="16" borderId="0" xfId="0" applyNumberFormat="1" applyFont="1" applyFill="1" applyAlignment="1">
      <alignment horizontal="center" vertical="center"/>
    </xf>
    <xf numFmtId="180" fontId="0" fillId="3" borderId="32" xfId="0" applyNumberFormat="1" applyFill="1" applyBorder="1" applyAlignment="1">
      <alignment horizontal="center" vertical="top"/>
    </xf>
    <xf numFmtId="0" fontId="41" fillId="3" borderId="33" xfId="0" applyFont="1" applyFill="1" applyBorder="1" applyAlignment="1">
      <alignment horizontal="center"/>
    </xf>
    <xf numFmtId="0" fontId="41" fillId="3" borderId="0" xfId="0" applyFont="1" applyFill="1" applyAlignment="1">
      <alignment horizontal="center" wrapText="1"/>
    </xf>
    <xf numFmtId="0" fontId="41" fillId="3" borderId="8" xfId="0" applyFont="1" applyFill="1" applyBorder="1" applyAlignment="1">
      <alignment horizontal="center" vertical="center"/>
    </xf>
    <xf numFmtId="184" fontId="42" fillId="3" borderId="30" xfId="0" applyNumberFormat="1" applyFont="1" applyFill="1" applyBorder="1" applyAlignment="1">
      <alignment horizontal="center" vertical="center"/>
    </xf>
    <xf numFmtId="1" fontId="42" fillId="3" borderId="30" xfId="0" applyNumberFormat="1" applyFont="1" applyFill="1" applyBorder="1" applyAlignment="1">
      <alignment horizontal="center" vertical="center"/>
    </xf>
    <xf numFmtId="10" fontId="47" fillId="3" borderId="44" xfId="0" applyNumberFormat="1" applyFont="1" applyFill="1" applyBorder="1" applyAlignment="1">
      <alignment horizontal="center" vertical="center" wrapText="1"/>
    </xf>
    <xf numFmtId="10" fontId="47" fillId="3" borderId="30" xfId="0" applyNumberFormat="1" applyFont="1" applyFill="1" applyBorder="1" applyAlignment="1">
      <alignment horizontal="center" vertical="center" wrapText="1"/>
    </xf>
    <xf numFmtId="49" fontId="48" fillId="3" borderId="71" xfId="0" applyNumberFormat="1" applyFont="1" applyFill="1" applyBorder="1" applyAlignment="1">
      <alignment horizontal="center" vertical="center"/>
    </xf>
    <xf numFmtId="49" fontId="47" fillId="3" borderId="70" xfId="0" applyNumberFormat="1" applyFont="1" applyFill="1" applyBorder="1" applyAlignment="1">
      <alignment horizontal="center" vertical="center"/>
    </xf>
    <xf numFmtId="181" fontId="15" fillId="3" borderId="66" xfId="0" applyNumberFormat="1" applyFont="1" applyFill="1" applyBorder="1" applyAlignment="1">
      <alignment horizontal="right" vertical="center"/>
    </xf>
    <xf numFmtId="10" fontId="14" fillId="3" borderId="66" xfId="0" applyNumberFormat="1" applyFont="1" applyFill="1" applyBorder="1" applyAlignment="1">
      <alignment horizontal="right" vertical="center"/>
    </xf>
    <xf numFmtId="187" fontId="15" fillId="3" borderId="66" xfId="0" applyNumberFormat="1" applyFont="1" applyFill="1" applyBorder="1" applyAlignment="1">
      <alignment horizontal="right" vertical="center"/>
    </xf>
    <xf numFmtId="181" fontId="14" fillId="3" borderId="67" xfId="0" applyNumberFormat="1" applyFont="1" applyFill="1" applyBorder="1" applyAlignment="1">
      <alignment horizontal="center"/>
    </xf>
    <xf numFmtId="49" fontId="48" fillId="3" borderId="70" xfId="0" applyNumberFormat="1" applyFont="1" applyFill="1" applyBorder="1" applyAlignment="1">
      <alignment horizontal="center" vertical="center"/>
    </xf>
    <xf numFmtId="0" fontId="12" fillId="3" borderId="33" xfId="0" applyFont="1" applyFill="1" applyBorder="1" applyAlignment="1">
      <alignment horizontal="center" vertical="center" wrapText="1"/>
    </xf>
    <xf numFmtId="0" fontId="13" fillId="3" borderId="0" xfId="0" applyFont="1" applyFill="1" applyAlignment="1">
      <alignment horizontal="center" vertical="center" wrapText="1"/>
    </xf>
    <xf numFmtId="181" fontId="44" fillId="3" borderId="0" xfId="0" applyNumberFormat="1" applyFont="1" applyFill="1" applyAlignment="1">
      <alignment horizontal="left" vertical="center"/>
    </xf>
    <xf numFmtId="1" fontId="20" fillId="18" borderId="25" xfId="0" applyNumberFormat="1" applyFont="1" applyFill="1" applyBorder="1" applyAlignment="1">
      <alignment horizontal="center" vertical="center"/>
    </xf>
    <xf numFmtId="1" fontId="15" fillId="19" borderId="37" xfId="0" applyNumberFormat="1" applyFont="1" applyFill="1" applyBorder="1" applyAlignment="1">
      <alignment horizontal="center" vertical="center"/>
    </xf>
    <xf numFmtId="190" fontId="15" fillId="19" borderId="7" xfId="0" applyNumberFormat="1" applyFont="1" applyFill="1" applyBorder="1" applyAlignment="1">
      <alignment horizontal="center" vertical="center" wrapText="1"/>
    </xf>
    <xf numFmtId="0" fontId="15" fillId="19" borderId="7" xfId="0" applyFont="1" applyFill="1" applyBorder="1" applyAlignment="1">
      <alignment horizontal="center" vertical="center" wrapText="1"/>
    </xf>
    <xf numFmtId="0" fontId="15" fillId="19" borderId="26" xfId="0" applyFont="1" applyFill="1" applyBorder="1" applyAlignment="1">
      <alignment horizontal="center" vertical="center" wrapText="1"/>
    </xf>
    <xf numFmtId="189" fontId="15" fillId="19" borderId="26" xfId="0" applyNumberFormat="1" applyFont="1" applyFill="1" applyBorder="1" applyAlignment="1">
      <alignment horizontal="center" vertical="center" wrapText="1"/>
    </xf>
    <xf numFmtId="4" fontId="15" fillId="19" borderId="26" xfId="0" applyNumberFormat="1" applyFont="1" applyFill="1" applyBorder="1" applyAlignment="1">
      <alignment horizontal="center" vertical="center" wrapText="1"/>
    </xf>
    <xf numFmtId="4" fontId="15" fillId="19" borderId="7" xfId="0" applyNumberFormat="1" applyFont="1" applyFill="1" applyBorder="1" applyAlignment="1">
      <alignment horizontal="center" vertical="center" wrapText="1"/>
    </xf>
    <xf numFmtId="2" fontId="15" fillId="19" borderId="7" xfId="0" applyNumberFormat="1" applyFont="1" applyFill="1" applyBorder="1" applyAlignment="1">
      <alignment horizontal="center" vertical="center" wrapText="1"/>
    </xf>
    <xf numFmtId="0" fontId="0" fillId="3" borderId="9" xfId="0" applyFill="1" applyBorder="1" applyAlignment="1">
      <alignment horizontal="center" vertical="center" wrapText="1"/>
    </xf>
    <xf numFmtId="0" fontId="0" fillId="3" borderId="0" xfId="0" applyFill="1" applyAlignment="1">
      <alignment horizontal="center" vertical="center" wrapText="1"/>
    </xf>
    <xf numFmtId="190" fontId="15" fillId="18" borderId="30" xfId="0" applyNumberFormat="1" applyFont="1" applyFill="1" applyBorder="1" applyAlignment="1">
      <alignment horizontal="center" vertical="center" wrapText="1"/>
    </xf>
    <xf numFmtId="0" fontId="15" fillId="4" borderId="42" xfId="0" applyFont="1" applyFill="1" applyBorder="1" applyAlignment="1">
      <alignment horizontal="center" vertical="center" wrapText="1"/>
    </xf>
    <xf numFmtId="0" fontId="56" fillId="0" borderId="0" xfId="0" applyFont="1" applyAlignment="1">
      <alignment horizontal="center"/>
    </xf>
    <xf numFmtId="49" fontId="21" fillId="3" borderId="31" xfId="0" applyNumberFormat="1" applyFont="1" applyFill="1" applyBorder="1" applyAlignment="1">
      <alignment horizontal="center" vertical="center"/>
    </xf>
    <xf numFmtId="0" fontId="15" fillId="3" borderId="28" xfId="0" applyFont="1" applyFill="1" applyBorder="1" applyAlignment="1">
      <alignment horizontal="center"/>
    </xf>
    <xf numFmtId="0" fontId="14" fillId="3" borderId="0" xfId="0" applyFont="1" applyFill="1" applyAlignment="1">
      <alignment horizontal="left" vertical="center"/>
    </xf>
    <xf numFmtId="0" fontId="15" fillId="3" borderId="30" xfId="0" applyFont="1" applyFill="1" applyBorder="1" applyAlignment="1">
      <alignment horizontal="center"/>
    </xf>
    <xf numFmtId="0" fontId="12" fillId="3" borderId="0" xfId="0" applyFont="1" applyFill="1" applyAlignment="1">
      <alignment horizontal="center"/>
    </xf>
    <xf numFmtId="0" fontId="18" fillId="3" borderId="0" xfId="0" applyFont="1" applyFill="1" applyAlignment="1">
      <alignment horizontal="left" wrapText="1"/>
    </xf>
    <xf numFmtId="0" fontId="18" fillId="3" borderId="0" xfId="0" applyFont="1" applyFill="1" applyAlignment="1">
      <alignment horizontal="right"/>
    </xf>
    <xf numFmtId="1" fontId="18" fillId="3" borderId="0" xfId="0" applyNumberFormat="1" applyFont="1" applyFill="1" applyAlignment="1">
      <alignment horizontal="left"/>
    </xf>
    <xf numFmtId="0" fontId="18" fillId="3" borderId="0" xfId="0" applyFont="1" applyFill="1" applyAlignment="1">
      <alignment horizontal="left"/>
    </xf>
    <xf numFmtId="0" fontId="18" fillId="3" borderId="0" xfId="0" applyFont="1" applyFill="1" applyAlignment="1">
      <alignment horizontal="center"/>
    </xf>
    <xf numFmtId="172" fontId="15" fillId="3" borderId="0" xfId="0" applyNumberFormat="1" applyFont="1" applyFill="1" applyAlignment="1">
      <alignment horizontal="center" vertical="center"/>
    </xf>
    <xf numFmtId="0" fontId="15" fillId="3" borderId="0" xfId="0" applyFont="1" applyFill="1" applyAlignment="1">
      <alignment horizontal="center" vertical="center" wrapText="1"/>
    </xf>
    <xf numFmtId="0" fontId="15" fillId="3" borderId="0" xfId="0" applyFont="1" applyFill="1" applyAlignment="1">
      <alignment horizontal="left" vertical="center"/>
    </xf>
    <xf numFmtId="1" fontId="15" fillId="3" borderId="0" xfId="0" applyNumberFormat="1" applyFont="1" applyFill="1" applyAlignment="1">
      <alignment horizontal="left" vertical="center"/>
    </xf>
    <xf numFmtId="0" fontId="14" fillId="8" borderId="7" xfId="0" applyFont="1" applyFill="1" applyBorder="1" applyAlignment="1">
      <alignment horizontal="center" vertical="center" wrapText="1"/>
    </xf>
    <xf numFmtId="0" fontId="0" fillId="21" borderId="7" xfId="0" applyFill="1" applyBorder="1" applyAlignment="1">
      <alignment horizontal="center" vertical="center"/>
    </xf>
    <xf numFmtId="2" fontId="14" fillId="3" borderId="0" xfId="0" applyNumberFormat="1" applyFont="1" applyFill="1" applyAlignment="1">
      <alignment horizontal="left" vertical="center"/>
    </xf>
    <xf numFmtId="2" fontId="14" fillId="3" borderId="36" xfId="0" applyNumberFormat="1" applyFont="1" applyFill="1" applyBorder="1" applyAlignment="1">
      <alignment horizontal="left" vertical="center"/>
    </xf>
    <xf numFmtId="0" fontId="15" fillId="3" borderId="30" xfId="0" applyFont="1" applyFill="1" applyBorder="1" applyAlignment="1">
      <alignment horizontal="center" vertical="center"/>
    </xf>
    <xf numFmtId="0" fontId="13" fillId="3" borderId="30" xfId="0" applyFont="1" applyFill="1" applyBorder="1" applyAlignment="1">
      <alignment horizontal="center" vertical="center"/>
    </xf>
    <xf numFmtId="0" fontId="0" fillId="3" borderId="30" xfId="0" applyFill="1" applyBorder="1" applyAlignment="1">
      <alignment horizontal="left" vertical="center"/>
    </xf>
    <xf numFmtId="0" fontId="0" fillId="3" borderId="9" xfId="0" applyFill="1" applyBorder="1" applyAlignment="1">
      <alignment horizontal="left" vertical="center"/>
    </xf>
    <xf numFmtId="0" fontId="13" fillId="3" borderId="30" xfId="0" applyFont="1" applyFill="1" applyBorder="1" applyAlignment="1">
      <alignment horizontal="left" vertical="center"/>
    </xf>
    <xf numFmtId="0" fontId="13" fillId="0" borderId="30" xfId="0" applyFont="1" applyBorder="1" applyAlignment="1">
      <alignment horizontal="center"/>
    </xf>
    <xf numFmtId="0" fontId="0" fillId="0" borderId="61" xfId="0" applyBorder="1" applyAlignment="1">
      <alignment horizontal="left"/>
    </xf>
    <xf numFmtId="0" fontId="0" fillId="3" borderId="31" xfId="0" applyFill="1" applyBorder="1" applyAlignment="1">
      <alignment horizontal="left" vertical="center"/>
    </xf>
    <xf numFmtId="0" fontId="0" fillId="3" borderId="43" xfId="0" applyFill="1" applyBorder="1" applyAlignment="1">
      <alignment horizontal="center" vertical="center"/>
    </xf>
    <xf numFmtId="2" fontId="0" fillId="3" borderId="30" xfId="0" applyNumberFormat="1" applyFill="1" applyBorder="1" applyAlignment="1">
      <alignment horizontal="center" vertical="center"/>
    </xf>
    <xf numFmtId="0" fontId="0" fillId="3" borderId="61" xfId="0" applyFill="1" applyBorder="1" applyAlignment="1">
      <alignment horizontal="left" vertical="center"/>
    </xf>
    <xf numFmtId="43" fontId="29" fillId="3" borderId="54" xfId="2" applyNumberFormat="1" applyFont="1" applyFill="1" applyBorder="1" applyAlignment="1">
      <alignment horizontal="right" vertical="center" wrapText="1"/>
    </xf>
  </cellXfs>
  <cellStyles count="11">
    <cellStyle name="Hiperlink" xfId="1" builtinId="8"/>
    <cellStyle name="Moeda" xfId="3" builtinId="4"/>
    <cellStyle name="Moeda 10" xfId="10" xr:uid="{D3859B23-5660-4EFA-AC00-F86BB6D18F9F}"/>
    <cellStyle name="Moeda 12" xfId="9" xr:uid="{8EC50D73-21FE-4340-9DD9-6A3B28E609D1}"/>
    <cellStyle name="Moeda 4 3 2 2 2 2" xfId="7" xr:uid="{AA42C675-19EE-4760-BA89-8F75216F9903}"/>
    <cellStyle name="Normal" xfId="0" builtinId="0"/>
    <cellStyle name="Normal 4 10 2 2" xfId="5" xr:uid="{B1C2CFF8-6CF2-46C2-8BED-233237E2ED3A}"/>
    <cellStyle name="Normal 4 3 2 2 2" xfId="6" xr:uid="{8D4352EE-DCE2-4239-B01E-5328DDE5F9E3}"/>
    <cellStyle name="Normal_ELETRICA_2 2" xfId="8" xr:uid="{8442598B-0319-4FC5-B581-D5D04AF52815}"/>
    <cellStyle name="Separador de milhares 2 10 2 2 2" xfId="4" xr:uid="{D859F40D-8B2A-4908-808B-DA2CBBBEFD39}"/>
    <cellStyle name="Vírgula" xfId="2" builtinId="3"/>
  </cellStyles>
  <dxfs count="49">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9C0006"/>
      </font>
      <fill>
        <patternFill>
          <bgColor rgb="FFFFFFFF"/>
        </patternFill>
      </fill>
    </dxf>
    <dxf>
      <font>
        <color rgb="FF800080"/>
      </font>
      <fill>
        <patternFill>
          <bgColor rgb="FFFFFFFF"/>
        </patternFill>
      </fill>
    </dxf>
    <dxf>
      <font>
        <color rgb="FF9C0006"/>
      </font>
      <fill>
        <patternFill>
          <bgColor rgb="FFFFFFFF"/>
        </patternFill>
      </fill>
    </dxf>
    <dxf>
      <font>
        <color rgb="FFFFFFFF"/>
      </font>
      <fill>
        <patternFill>
          <bgColor rgb="FFFFFFFF"/>
        </patternFill>
      </fill>
    </dxf>
    <dxf>
      <fill>
        <patternFill>
          <bgColor rgb="FFFFFFFF"/>
        </patternFill>
      </fill>
    </dxf>
    <dxf>
      <fill>
        <patternFill>
          <bgColor rgb="FFFFFFFF"/>
        </patternFill>
      </fill>
    </dxf>
    <dxf>
      <fill>
        <patternFill>
          <bgColor rgb="FF92D050"/>
        </patternFill>
      </fill>
    </dxf>
    <dxf>
      <fill>
        <patternFill>
          <bgColor rgb="FFFFFF00"/>
        </patternFill>
      </fill>
    </dxf>
    <dxf>
      <font>
        <color rgb="FFC00000"/>
      </font>
      <fill>
        <patternFill>
          <bgColor rgb="FFE6B9B8"/>
        </patternFill>
      </fill>
    </dxf>
    <dxf>
      <fill>
        <patternFill>
          <bgColor rgb="FFADDB7B"/>
        </patternFill>
      </fill>
    </dxf>
    <dxf>
      <fill>
        <patternFill>
          <bgColor rgb="FFFDE0C8"/>
        </patternFill>
      </fill>
    </dxf>
    <dxf>
      <font>
        <color rgb="FFFFFFFF"/>
      </font>
      <fill>
        <patternFill>
          <bgColor rgb="FFFFC0C0"/>
        </patternFill>
      </fill>
    </dxf>
    <dxf>
      <font>
        <color rgb="FFC00000"/>
      </font>
      <fill>
        <patternFill>
          <bgColor rgb="FFFFC0C0"/>
        </patternFill>
      </fill>
    </dxf>
    <dxf>
      <font>
        <color rgb="FF9C0006"/>
      </font>
      <fill>
        <patternFill>
          <bgColor rgb="FFFFC7CE"/>
        </patternFill>
      </fill>
    </dxf>
    <dxf>
      <font>
        <color rgb="FFC00000"/>
      </font>
      <fill>
        <patternFill>
          <bgColor rgb="FFECCBCA"/>
        </patternFill>
      </fill>
    </dxf>
    <dxf>
      <fill>
        <patternFill>
          <bgColor rgb="FFFFFFFF"/>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s>
  <tableStyles count="0" defaultTableStyle="TableStyleMedium2" defaultPivotStyle="PivotStyleLight16"/>
  <colors>
    <indexedColors>
      <rgbColor rgb="FF000000"/>
      <rgbColor rgb="FFFFFFFF"/>
      <rgbColor rgb="FFFF0000"/>
      <rgbColor rgb="FF00FF00"/>
      <rgbColor rgb="FF0000FF"/>
      <rgbColor rgb="FFFFFF00"/>
      <rgbColor rgb="FFFF3399"/>
      <rgbColor rgb="FFA0E0E0"/>
      <rgbColor rgb="FF9A0005"/>
      <rgbColor rgb="FFD8D8D8"/>
      <rgbColor rgb="FF000080"/>
      <rgbColor rgb="FF9BBB59"/>
      <rgbColor rgb="FF800080"/>
      <rgbColor rgb="FF008064"/>
      <rgbColor rgb="FFC0C0C0"/>
      <rgbColor rgb="FF8B8B8B"/>
      <rgbColor rgb="FF8EB4E3"/>
      <rgbColor rgb="FFC0504D"/>
      <rgbColor rgb="FFFFFFCC"/>
      <rgbColor rgb="FFDBEEF4"/>
      <rgbColor rgb="FF660066"/>
      <rgbColor rgb="FFFFC7CE"/>
      <rgbColor rgb="FF005CA9"/>
      <rgbColor rgb="FFC6D9F1"/>
      <rgbColor rgb="FF000080"/>
      <rgbColor rgb="FFFDE0C8"/>
      <rgbColor rgb="FFFFFFC0"/>
      <rgbColor rgb="FFCCCCCC"/>
      <rgbColor rgb="FF800080"/>
      <rgbColor rgb="FF9C0006"/>
      <rgbColor rgb="FF336666"/>
      <rgbColor rgb="FF0000FF"/>
      <rgbColor rgb="FF00B0F0"/>
      <rgbColor rgb="FFDDDDDD"/>
      <rgbColor rgb="FFE3E3E3"/>
      <rgbColor rgb="FFFFFF99"/>
      <rgbColor rgb="FFA6CAF0"/>
      <rgbColor rgb="FFE6B9B8"/>
      <rgbColor rgb="FFB7B7B7"/>
      <rgbColor rgb="FFFFC0C0"/>
      <rgbColor rgb="FF4F81BD"/>
      <rgbColor rgb="FF548CD3"/>
      <rgbColor rgb="FF92D050"/>
      <rgbColor rgb="FFADDB7B"/>
      <rgbColor rgb="FF98D258"/>
      <rgbColor rgb="FFBFBFBF"/>
      <rgbColor rgb="FF595959"/>
      <rgbColor rgb="FF95B3D7"/>
      <rgbColor rgb="FF1F497D"/>
      <rgbColor rgb="FF33656C"/>
      <rgbColor rgb="FF003300"/>
      <rgbColor rgb="FF333300"/>
      <rgbColor rgb="FFC00000"/>
      <rgbColor rgb="FFECCBCA"/>
      <rgbColor rgb="FF333399"/>
      <rgbColor rgb="FFD9D9D9"/>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c:style val="2"/>
  <c:chart>
    <c:title>
      <c:tx>
        <c:rich>
          <a:bodyPr rot="0"/>
          <a:lstStyle/>
          <a:p>
            <a:pPr>
              <a:defRPr lang="pt-BR" sz="1400" b="0" strike="noStrike" spc="-1">
                <a:solidFill>
                  <a:srgbClr val="595959"/>
                </a:solidFill>
                <a:latin typeface="Calibri"/>
                <a:ea typeface="Calibri"/>
              </a:defRPr>
            </a:pPr>
            <a:r>
              <a:rPr lang="pt-BR" sz="1400" b="0" strike="noStrike" spc="-1">
                <a:solidFill>
                  <a:srgbClr val="595959"/>
                </a:solidFill>
                <a:latin typeface="Calibri"/>
                <a:ea typeface="Calibri"/>
              </a:rPr>
              <a:t>Título do gráfico</a:t>
            </a:r>
          </a:p>
        </c:rich>
      </c:tx>
      <c:overlay val="0"/>
      <c:spPr>
        <a:noFill/>
        <a:ln w="0">
          <a:noFill/>
        </a:ln>
      </c:spPr>
    </c:title>
    <c:autoTitleDeleted val="0"/>
    <c:plotArea>
      <c:layout/>
      <c:lineChart>
        <c:grouping val="standard"/>
        <c:varyColors val="0"/>
        <c:ser>
          <c:idx val="0"/>
          <c:order val="0"/>
          <c:spPr>
            <a:ln w="19080">
              <a:solidFill>
                <a:srgbClr val="4F81BD"/>
              </a:solidFill>
              <a:round/>
            </a:ln>
          </c:spPr>
          <c:marker>
            <c:symbol val="circle"/>
            <c:size val="5"/>
            <c:spPr>
              <a:solidFill>
                <a:srgbClr val="4F81BD"/>
              </a:solidFill>
            </c:spPr>
          </c:marker>
          <c:dLbls>
            <c:spPr>
              <a:noFill/>
              <a:ln>
                <a:noFill/>
              </a:ln>
              <a:effectLst/>
            </c:spPr>
            <c:txPr>
              <a:bodyPr wrap="square"/>
              <a:lstStyle/>
              <a:p>
                <a:pPr>
                  <a:defRPr sz="1000" b="0" strike="noStrike" spc="-1">
                    <a:solidFill>
                      <a:srgbClr val="000000"/>
                    </a:solidFill>
                    <a:latin typeface="Calibri"/>
                    <a:ea typeface="Calibri"/>
                  </a:defRPr>
                </a:pPr>
                <a:endParaRPr lang="pt-BR"/>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val>
            <c:numRef>
              <c:f>CRONOGRAMA!$E$60:$N$60</c:f>
              <c:numCache>
                <c:formatCode>0.0000</c:formatCode>
                <c:ptCount val="10"/>
                <c:pt idx="0">
                  <c:v>8.6974243643174659E-2</c:v>
                </c:pt>
                <c:pt idx="1">
                  <c:v>0.18920999447754189</c:v>
                </c:pt>
                <c:pt idx="2">
                  <c:v>0.27674689566875527</c:v>
                </c:pt>
                <c:pt idx="3">
                  <c:v>0.42221526934801618</c:v>
                </c:pt>
                <c:pt idx="4">
                  <c:v>0.55137629969953383</c:v>
                </c:pt>
                <c:pt idx="5">
                  <c:v>0.64040151056610417</c:v>
                </c:pt>
                <c:pt idx="6">
                  <c:v>0.72299310191439048</c:v>
                </c:pt>
                <c:pt idx="7">
                  <c:v>0.80500675020307433</c:v>
                </c:pt>
                <c:pt idx="8">
                  <c:v>0.88220377882242673</c:v>
                </c:pt>
                <c:pt idx="9">
                  <c:v>1.0000000000000002</c:v>
                </c:pt>
              </c:numCache>
            </c:numRef>
          </c:val>
          <c:smooth val="0"/>
          <c:extLst>
            <c:ext xmlns:c16="http://schemas.microsoft.com/office/drawing/2014/chart" uri="{C3380CC4-5D6E-409C-BE32-E72D297353CC}">
              <c16:uniqueId val="{00000000-C690-49E6-9594-375716D6406F}"/>
            </c:ext>
          </c:extLst>
        </c:ser>
        <c:ser>
          <c:idx val="1"/>
          <c:order val="1"/>
          <c:spPr>
            <a:ln w="19080">
              <a:solidFill>
                <a:srgbClr val="C0504D"/>
              </a:solidFill>
              <a:round/>
            </a:ln>
          </c:spPr>
          <c:marker>
            <c:symbol val="circle"/>
            <c:size val="5"/>
            <c:spPr>
              <a:solidFill>
                <a:srgbClr val="C0504D"/>
              </a:solidFill>
            </c:spPr>
          </c:marker>
          <c:dLbls>
            <c:spPr>
              <a:noFill/>
              <a:ln>
                <a:noFill/>
              </a:ln>
              <a:effectLst/>
            </c:spPr>
            <c:txPr>
              <a:bodyPr wrap="square"/>
              <a:lstStyle/>
              <a:p>
                <a:pPr>
                  <a:defRPr sz="1000" b="0" strike="noStrike" spc="-1">
                    <a:solidFill>
                      <a:srgbClr val="000000"/>
                    </a:solidFill>
                    <a:latin typeface="Calibri"/>
                    <a:ea typeface="Calibri"/>
                  </a:defRPr>
                </a:pPr>
                <a:endParaRPr lang="pt-BR"/>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val>
            <c:numRef>
              <c:f>CRONOGRAMA!$E$61:$N$61</c:f>
              <c:numCache>
                <c:formatCode>0.0000</c:formatCode>
                <c:ptCount val="10"/>
                <c:pt idx="0">
                  <c:v>3.96000000000001E-2</c:v>
                </c:pt>
                <c:pt idx="1">
                  <c:v>0.12565123228502501</c:v>
                </c:pt>
                <c:pt idx="2">
                  <c:v>0.24190544875369199</c:v>
                </c:pt>
                <c:pt idx="3">
                  <c:v>0.37719496801240698</c:v>
                </c:pt>
                <c:pt idx="4">
                  <c:v>0.52114419625132402</c:v>
                </c:pt>
                <c:pt idx="5">
                  <c:v>0.66341641089817505</c:v>
                </c:pt>
                <c:pt idx="6">
                  <c:v>0.79346567112001598</c:v>
                </c:pt>
                <c:pt idx="7">
                  <c:v>0.90043920470666505</c:v>
                </c:pt>
                <c:pt idx="8">
                  <c:v>0.97313753001707104</c:v>
                </c:pt>
                <c:pt idx="9">
                  <c:v>1</c:v>
                </c:pt>
              </c:numCache>
            </c:numRef>
          </c:val>
          <c:smooth val="0"/>
          <c:extLst>
            <c:ext xmlns:c16="http://schemas.microsoft.com/office/drawing/2014/chart" uri="{C3380CC4-5D6E-409C-BE32-E72D297353CC}">
              <c16:uniqueId val="{00000001-C690-49E6-9594-375716D6406F}"/>
            </c:ext>
          </c:extLst>
        </c:ser>
        <c:dLbls>
          <c:showLegendKey val="0"/>
          <c:showVal val="0"/>
          <c:showCatName val="0"/>
          <c:showSerName val="0"/>
          <c:showPercent val="0"/>
          <c:showBubbleSize val="0"/>
        </c:dLbls>
        <c:hiLowLines>
          <c:spPr>
            <a:ln w="0">
              <a:noFill/>
            </a:ln>
          </c:spPr>
        </c:hiLowLines>
        <c:marker val="1"/>
        <c:smooth val="0"/>
        <c:axId val="96953751"/>
        <c:axId val="80269306"/>
      </c:lineChart>
      <c:catAx>
        <c:axId val="96953751"/>
        <c:scaling>
          <c:orientation val="minMax"/>
        </c:scaling>
        <c:delete val="0"/>
        <c:axPos val="b"/>
        <c:numFmt formatCode="General" sourceLinked="0"/>
        <c:majorTickMark val="none"/>
        <c:minorTickMark val="none"/>
        <c:tickLblPos val="nextTo"/>
        <c:spPr>
          <a:ln w="6480">
            <a:solidFill>
              <a:srgbClr val="8B8B8B"/>
            </a:solidFill>
            <a:round/>
          </a:ln>
        </c:spPr>
        <c:txPr>
          <a:bodyPr/>
          <a:lstStyle/>
          <a:p>
            <a:pPr>
              <a:defRPr sz="900" b="0" strike="noStrike" spc="-1">
                <a:solidFill>
                  <a:srgbClr val="595959"/>
                </a:solidFill>
                <a:latin typeface="Calibri"/>
                <a:ea typeface="Calibri"/>
              </a:defRPr>
            </a:pPr>
            <a:endParaRPr lang="pt-BR"/>
          </a:p>
        </c:txPr>
        <c:crossAx val="80269306"/>
        <c:crosses val="autoZero"/>
        <c:auto val="1"/>
        <c:lblAlgn val="ctr"/>
        <c:lblOffset val="100"/>
        <c:noMultiLvlLbl val="0"/>
      </c:catAx>
      <c:valAx>
        <c:axId val="80269306"/>
        <c:scaling>
          <c:orientation val="minMax"/>
        </c:scaling>
        <c:delete val="0"/>
        <c:axPos val="l"/>
        <c:majorGridlines>
          <c:spPr>
            <a:ln w="6480">
              <a:solidFill>
                <a:srgbClr val="B7B7B7"/>
              </a:solidFill>
              <a:round/>
            </a:ln>
          </c:spPr>
        </c:majorGridlines>
        <c:numFmt formatCode="0.0000" sourceLinked="0"/>
        <c:majorTickMark val="none"/>
        <c:minorTickMark val="none"/>
        <c:tickLblPos val="nextTo"/>
        <c:spPr>
          <a:ln w="6480">
            <a:solidFill>
              <a:srgbClr val="8B8B8B"/>
            </a:solidFill>
            <a:round/>
          </a:ln>
        </c:spPr>
        <c:txPr>
          <a:bodyPr/>
          <a:lstStyle/>
          <a:p>
            <a:pPr>
              <a:defRPr sz="900" b="0" strike="noStrike" spc="-1">
                <a:solidFill>
                  <a:srgbClr val="595959"/>
                </a:solidFill>
                <a:latin typeface="Calibri"/>
                <a:ea typeface="Calibri"/>
              </a:defRPr>
            </a:pPr>
            <a:endParaRPr lang="pt-BR"/>
          </a:p>
        </c:txPr>
        <c:crossAx val="96953751"/>
        <c:crosses val="autoZero"/>
        <c:crossBetween val="between"/>
      </c:valAx>
      <c:spPr>
        <a:noFill/>
        <a:ln w="0">
          <a:noFill/>
        </a:ln>
      </c:spPr>
    </c:plotArea>
    <c:legend>
      <c:legendPos val="b"/>
      <c:overlay val="0"/>
      <c:spPr>
        <a:noFill/>
        <a:ln w="0">
          <a:noFill/>
        </a:ln>
      </c:spPr>
      <c:txPr>
        <a:bodyPr/>
        <a:lstStyle/>
        <a:p>
          <a:pPr>
            <a:defRPr sz="900" b="0" strike="noStrike" spc="-1">
              <a:solidFill>
                <a:srgbClr val="595959"/>
              </a:solidFill>
              <a:latin typeface="Calibri"/>
              <a:ea typeface="Calibri"/>
            </a:defRPr>
          </a:pPr>
          <a:endParaRPr lang="pt-BR"/>
        </a:p>
      </c:txPr>
    </c:legend>
    <c:plotVisOnly val="1"/>
    <c:dispBlanksAs val="zero"/>
    <c:showDLblsOverMax val="1"/>
  </c:chart>
  <c:spPr>
    <a:solidFill>
      <a:srgbClr val="FFFFFF"/>
    </a:solidFill>
    <a:ln w="9360">
      <a:solidFill>
        <a:srgbClr val="D9D9D9"/>
      </a:solidFill>
      <a:round/>
    </a:ln>
  </c:spPr>
  <c:printSettings>
    <c:headerFooter/>
    <c:pageMargins b="0.78740157499999996" l="0.511811024" r="0.511811024" t="0.78740157499999996" header="0.31496062000000002" footer="0.31496062000000002"/>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pn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1.jpe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1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14.png"/><Relationship Id="rId1" Type="http://schemas.openxmlformats.org/officeDocument/2006/relationships/chart" Target="../charts/chart1.xml"/><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19.png"/><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466560</xdr:colOff>
      <xdr:row>0</xdr:row>
      <xdr:rowOff>38160</xdr:rowOff>
    </xdr:from>
    <xdr:to>
      <xdr:col>8</xdr:col>
      <xdr:colOff>2063</xdr:colOff>
      <xdr:row>6</xdr:row>
      <xdr:rowOff>103680</xdr:rowOff>
    </xdr:to>
    <xdr:sp macro="" textlink="">
      <xdr:nvSpPr>
        <xdr:cNvPr id="2" name="Shape 3">
          <a:extLst>
            <a:ext uri="{FF2B5EF4-FFF2-40B4-BE49-F238E27FC236}">
              <a16:creationId xmlns:a16="http://schemas.microsoft.com/office/drawing/2014/main" id="{00000000-0008-0000-0000-000002000000}"/>
            </a:ext>
          </a:extLst>
        </xdr:cNvPr>
        <xdr:cNvSpPr/>
      </xdr:nvSpPr>
      <xdr:spPr>
        <a:xfrm>
          <a:off x="1292040" y="38160"/>
          <a:ext cx="5047200" cy="120852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oneCell">
    <xdr:from>
      <xdr:col>1</xdr:col>
      <xdr:colOff>409680</xdr:colOff>
      <xdr:row>0</xdr:row>
      <xdr:rowOff>0</xdr:rowOff>
    </xdr:from>
    <xdr:to>
      <xdr:col>6</xdr:col>
      <xdr:colOff>705240</xdr:colOff>
      <xdr:row>7</xdr:row>
      <xdr:rowOff>37080</xdr:rowOff>
    </xdr:to>
    <xdr:sp macro="" textlink="">
      <xdr:nvSpPr>
        <xdr:cNvPr id="3" name="Shape 4">
          <a:extLst>
            <a:ext uri="{FF2B5EF4-FFF2-40B4-BE49-F238E27FC236}">
              <a16:creationId xmlns:a16="http://schemas.microsoft.com/office/drawing/2014/main" id="{00000000-0008-0000-0000-000003000000}"/>
            </a:ext>
          </a:extLst>
        </xdr:cNvPr>
        <xdr:cNvSpPr/>
      </xdr:nvSpPr>
      <xdr:spPr>
        <a:xfrm>
          <a:off x="1235160" y="0"/>
          <a:ext cx="3980520" cy="137052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ct val="100000"/>
            </a:lnSpc>
            <a:tabLst>
              <a:tab pos="0" algn="l"/>
            </a:tabLst>
          </a:pPr>
          <a:r>
            <a:rPr lang="en-US" sz="1100" b="1" strike="noStrike" spc="-1">
              <a:solidFill>
                <a:srgbClr val="000000"/>
              </a:solidFill>
              <a:latin typeface="Arial"/>
              <a:ea typeface="Arial"/>
            </a:rPr>
            <a:t>SECRETARIA DE ESTADO DAS CIDADES</a:t>
          </a:r>
          <a:endParaRPr lang="pt-BR" sz="1100" b="0" strike="noStrike" spc="-1">
            <a:latin typeface="Times New Roman"/>
          </a:endParaRPr>
        </a:p>
        <a:p>
          <a:pPr algn="ctr">
            <a:lnSpc>
              <a:spcPct val="100000"/>
            </a:lnSpc>
            <a:spcBef>
              <a:spcPts val="601"/>
            </a:spcBef>
            <a:tabLst>
              <a:tab pos="0" algn="l"/>
            </a:tabLst>
          </a:pPr>
          <a:r>
            <a:rPr lang="en-US" sz="1100" b="1" strike="noStrike" spc="-1">
              <a:solidFill>
                <a:srgbClr val="000000"/>
              </a:solidFill>
              <a:latin typeface="Arial"/>
              <a:ea typeface="Arial"/>
            </a:rPr>
            <a:t>DIRETORIA DE EDIFICAÇÕES</a:t>
          </a:r>
          <a:endParaRPr lang="pt-BR" sz="1100" b="0" strike="noStrike" spc="-1">
            <a:latin typeface="Times New Roman"/>
          </a:endParaRPr>
        </a:p>
      </xdr:txBody>
    </xdr:sp>
    <xdr:clientData/>
  </xdr:twoCellAnchor>
  <xdr:twoCellAnchor editAs="oneCell">
    <xdr:from>
      <xdr:col>0</xdr:col>
      <xdr:colOff>66600</xdr:colOff>
      <xdr:row>0</xdr:row>
      <xdr:rowOff>28440</xdr:rowOff>
    </xdr:from>
    <xdr:to>
      <xdr:col>1</xdr:col>
      <xdr:colOff>259200</xdr:colOff>
      <xdr:row>6</xdr:row>
      <xdr:rowOff>113040</xdr:rowOff>
    </xdr:to>
    <xdr:pic>
      <xdr:nvPicPr>
        <xdr:cNvPr id="4" name="image3.jpg" descr="1_2_assinaturas_marca_2_reduzida">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tretch/>
      </xdr:blipFill>
      <xdr:spPr>
        <a:xfrm>
          <a:off x="66600" y="28440"/>
          <a:ext cx="1018080" cy="1227600"/>
        </a:xfrm>
        <a:prstGeom prst="rect">
          <a:avLst/>
        </a:prstGeom>
        <a:ln w="0">
          <a:noFill/>
        </a:ln>
      </xdr:spPr>
    </xdr:pic>
    <xdr:clientData/>
  </xdr:twoCellAnchor>
  <xdr:twoCellAnchor editAs="oneCell">
    <xdr:from>
      <xdr:col>7</xdr:col>
      <xdr:colOff>152280</xdr:colOff>
      <xdr:row>0</xdr:row>
      <xdr:rowOff>114480</xdr:rowOff>
    </xdr:from>
    <xdr:to>
      <xdr:col>13</xdr:col>
      <xdr:colOff>267840</xdr:colOff>
      <xdr:row>4</xdr:row>
      <xdr:rowOff>189360</xdr:rowOff>
    </xdr:to>
    <xdr:pic>
      <xdr:nvPicPr>
        <xdr:cNvPr id="5" name="image2.png">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a:stretch/>
      </xdr:blipFill>
      <xdr:spPr>
        <a:xfrm>
          <a:off x="6183000" y="114480"/>
          <a:ext cx="2046960" cy="8370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190440</xdr:colOff>
      <xdr:row>0</xdr:row>
      <xdr:rowOff>123840</xdr:rowOff>
    </xdr:from>
    <xdr:to>
      <xdr:col>8</xdr:col>
      <xdr:colOff>33480</xdr:colOff>
      <xdr:row>6</xdr:row>
      <xdr:rowOff>160920</xdr:rowOff>
    </xdr:to>
    <xdr:sp macro="" textlink="">
      <xdr:nvSpPr>
        <xdr:cNvPr id="5" name="Shape 5">
          <a:extLst>
            <a:ext uri="{FF2B5EF4-FFF2-40B4-BE49-F238E27FC236}">
              <a16:creationId xmlns:a16="http://schemas.microsoft.com/office/drawing/2014/main" id="{00000000-0008-0000-0100-000005000000}"/>
            </a:ext>
          </a:extLst>
        </xdr:cNvPr>
        <xdr:cNvSpPr/>
      </xdr:nvSpPr>
      <xdr:spPr>
        <a:xfrm>
          <a:off x="1095840" y="123840"/>
          <a:ext cx="3437280" cy="118008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ct val="100000"/>
            </a:lnSpc>
            <a:tabLst>
              <a:tab pos="0" algn="l"/>
            </a:tabLst>
          </a:pPr>
          <a:r>
            <a:rPr lang="en-US" sz="1200" b="1" strike="noStrike" spc="-1">
              <a:solidFill>
                <a:srgbClr val="000000"/>
              </a:solidFill>
              <a:latin typeface="Calibri"/>
              <a:ea typeface="Calibri"/>
            </a:rPr>
            <a:t>SECRETARIA DE ESTADO DAS CIDADES</a:t>
          </a:r>
          <a:endParaRPr lang="pt-BR" sz="1200" b="0" strike="noStrike" spc="-1">
            <a:latin typeface="Times New Roman"/>
          </a:endParaRPr>
        </a:p>
        <a:p>
          <a:pPr algn="ctr">
            <a:lnSpc>
              <a:spcPct val="100000"/>
            </a:lnSpc>
            <a:spcBef>
              <a:spcPts val="601"/>
            </a:spcBef>
            <a:tabLst>
              <a:tab pos="0" algn="l"/>
            </a:tabLst>
          </a:pPr>
          <a:r>
            <a:rPr lang="en-US" sz="1200" b="1" strike="noStrike" spc="-1">
              <a:solidFill>
                <a:srgbClr val="000000"/>
              </a:solidFill>
              <a:latin typeface="Calibri"/>
              <a:ea typeface="Calibri"/>
            </a:rPr>
            <a:t>DIRETORIA DE EDIFICAÇÕES</a:t>
          </a:r>
          <a:endParaRPr lang="pt-BR" sz="1200" b="0" strike="noStrike" spc="-1">
            <a:latin typeface="Times New Roman"/>
          </a:endParaRPr>
        </a:p>
      </xdr:txBody>
    </xdr:sp>
    <xdr:clientData/>
  </xdr:twoCellAnchor>
  <xdr:twoCellAnchor editAs="oneCell">
    <xdr:from>
      <xdr:col>0</xdr:col>
      <xdr:colOff>57240</xdr:colOff>
      <xdr:row>0</xdr:row>
      <xdr:rowOff>0</xdr:rowOff>
    </xdr:from>
    <xdr:to>
      <xdr:col>3</xdr:col>
      <xdr:colOff>78840</xdr:colOff>
      <xdr:row>0</xdr:row>
      <xdr:rowOff>0</xdr:rowOff>
    </xdr:to>
    <xdr:pic>
      <xdr:nvPicPr>
        <xdr:cNvPr id="6" name="image4.jp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1"/>
        <a:stretch/>
      </xdr:blipFill>
      <xdr:spPr>
        <a:xfrm>
          <a:off x="57240" y="0"/>
          <a:ext cx="1379880" cy="0"/>
        </a:xfrm>
        <a:prstGeom prst="rect">
          <a:avLst/>
        </a:prstGeom>
        <a:ln w="0">
          <a:noFill/>
        </a:ln>
      </xdr:spPr>
    </xdr:pic>
    <xdr:clientData/>
  </xdr:twoCellAnchor>
  <xdr:twoCellAnchor editAs="oneCell">
    <xdr:from>
      <xdr:col>0</xdr:col>
      <xdr:colOff>57240</xdr:colOff>
      <xdr:row>0</xdr:row>
      <xdr:rowOff>19080</xdr:rowOff>
    </xdr:from>
    <xdr:to>
      <xdr:col>2</xdr:col>
      <xdr:colOff>179640</xdr:colOff>
      <xdr:row>7</xdr:row>
      <xdr:rowOff>18000</xdr:rowOff>
    </xdr:to>
    <xdr:pic>
      <xdr:nvPicPr>
        <xdr:cNvPr id="7" name="image3.jpg" descr="1_2_assinaturas_marca_2_reduzida">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stretch/>
      </xdr:blipFill>
      <xdr:spPr>
        <a:xfrm>
          <a:off x="57240" y="19080"/>
          <a:ext cx="1027800" cy="1332360"/>
        </a:xfrm>
        <a:prstGeom prst="rect">
          <a:avLst/>
        </a:prstGeom>
        <a:ln w="0">
          <a:noFill/>
        </a:ln>
      </xdr:spPr>
    </xdr:pic>
    <xdr:clientData/>
  </xdr:twoCellAnchor>
  <xdr:twoCellAnchor editAs="oneCell">
    <xdr:from>
      <xdr:col>8</xdr:col>
      <xdr:colOff>209520</xdr:colOff>
      <xdr:row>0</xdr:row>
      <xdr:rowOff>123840</xdr:rowOff>
    </xdr:from>
    <xdr:to>
      <xdr:col>12</xdr:col>
      <xdr:colOff>317520</xdr:colOff>
      <xdr:row>4</xdr:row>
      <xdr:rowOff>151200</xdr:rowOff>
    </xdr:to>
    <xdr:pic>
      <xdr:nvPicPr>
        <xdr:cNvPr id="8" name="image5.pn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a:stretch/>
      </xdr:blipFill>
      <xdr:spPr>
        <a:xfrm>
          <a:off x="4709160" y="123840"/>
          <a:ext cx="2332440" cy="7894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5</xdr:col>
      <xdr:colOff>1502280</xdr:colOff>
      <xdr:row>6</xdr:row>
      <xdr:rowOff>56160</xdr:rowOff>
    </xdr:to>
    <xdr:sp macro="" textlink="">
      <xdr:nvSpPr>
        <xdr:cNvPr id="10" name="Shape 6">
          <a:extLst>
            <a:ext uri="{FF2B5EF4-FFF2-40B4-BE49-F238E27FC236}">
              <a16:creationId xmlns:a16="http://schemas.microsoft.com/office/drawing/2014/main" id="{00000000-0008-0000-0200-00000A000000}"/>
            </a:ext>
          </a:extLst>
        </xdr:cNvPr>
        <xdr:cNvSpPr/>
      </xdr:nvSpPr>
      <xdr:spPr>
        <a:xfrm>
          <a:off x="936720" y="0"/>
          <a:ext cx="6999840" cy="119916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ct val="100000"/>
            </a:lnSpc>
            <a:tabLst>
              <a:tab pos="0" algn="l"/>
            </a:tabLst>
          </a:pPr>
          <a:r>
            <a:rPr lang="en-US" sz="1100" b="1" strike="noStrike" spc="-1">
              <a:solidFill>
                <a:srgbClr val="000000"/>
              </a:solidFill>
              <a:latin typeface="Calibri"/>
              <a:ea typeface="Calibri"/>
            </a:rPr>
            <a:t>SECRETARIA DE ESTADO DAS CIDADES</a:t>
          </a:r>
          <a:endParaRPr lang="pt-BR" sz="1100" b="0" strike="noStrike" spc="-1">
            <a:latin typeface="Times New Roman"/>
          </a:endParaRPr>
        </a:p>
        <a:p>
          <a:pPr algn="ctr">
            <a:lnSpc>
              <a:spcPct val="100000"/>
            </a:lnSpc>
            <a:spcBef>
              <a:spcPts val="601"/>
            </a:spcBef>
            <a:tabLst>
              <a:tab pos="0" algn="l"/>
            </a:tabLst>
          </a:pPr>
          <a:r>
            <a:rPr lang="en-US" sz="1100" b="1" strike="noStrike" spc="-1">
              <a:solidFill>
                <a:srgbClr val="000000"/>
              </a:solidFill>
              <a:latin typeface="Calibri"/>
              <a:ea typeface="Calibri"/>
            </a:rPr>
            <a:t>DIRETORIA DE EDIFICAÇÕES</a:t>
          </a:r>
          <a:endParaRPr lang="pt-BR" sz="1100" b="0" strike="noStrike" spc="-1">
            <a:latin typeface="Times New Roman"/>
          </a:endParaRPr>
        </a:p>
      </xdr:txBody>
    </xdr:sp>
    <xdr:clientData/>
  </xdr:twoCellAnchor>
  <xdr:twoCellAnchor editAs="oneCell">
    <xdr:from>
      <xdr:col>0</xdr:col>
      <xdr:colOff>57240</xdr:colOff>
      <xdr:row>0</xdr:row>
      <xdr:rowOff>76320</xdr:rowOff>
    </xdr:from>
    <xdr:to>
      <xdr:col>1</xdr:col>
      <xdr:colOff>157680</xdr:colOff>
      <xdr:row>8</xdr:row>
      <xdr:rowOff>113400</xdr:rowOff>
    </xdr:to>
    <xdr:pic>
      <xdr:nvPicPr>
        <xdr:cNvPr id="11" name="image3.jpg" descr="1_2_assinaturas_marca_2_reduzida">
          <a:extLst>
            <a:ext uri="{FF2B5EF4-FFF2-40B4-BE49-F238E27FC236}">
              <a16:creationId xmlns:a16="http://schemas.microsoft.com/office/drawing/2014/main" id="{00000000-0008-0000-0200-00000B000000}"/>
            </a:ext>
          </a:extLst>
        </xdr:cNvPr>
        <xdr:cNvPicPr/>
      </xdr:nvPicPr>
      <xdr:blipFill>
        <a:blip xmlns:r="http://schemas.openxmlformats.org/officeDocument/2006/relationships" r:embed="rId1"/>
        <a:stretch/>
      </xdr:blipFill>
      <xdr:spPr>
        <a:xfrm>
          <a:off x="57240" y="76320"/>
          <a:ext cx="1037160" cy="1560960"/>
        </a:xfrm>
        <a:prstGeom prst="rect">
          <a:avLst/>
        </a:prstGeom>
        <a:ln w="0">
          <a:noFill/>
        </a:ln>
      </xdr:spPr>
    </xdr:pic>
    <xdr:clientData/>
  </xdr:twoCellAnchor>
  <xdr:twoCellAnchor editAs="oneCell">
    <xdr:from>
      <xdr:col>6</xdr:col>
      <xdr:colOff>228600</xdr:colOff>
      <xdr:row>0</xdr:row>
      <xdr:rowOff>142920</xdr:rowOff>
    </xdr:from>
    <xdr:to>
      <xdr:col>8</xdr:col>
      <xdr:colOff>869400</xdr:colOff>
      <xdr:row>5</xdr:row>
      <xdr:rowOff>132120</xdr:rowOff>
    </xdr:to>
    <xdr:pic>
      <xdr:nvPicPr>
        <xdr:cNvPr id="12" name="image5.png">
          <a:extLst>
            <a:ext uri="{FF2B5EF4-FFF2-40B4-BE49-F238E27FC236}">
              <a16:creationId xmlns:a16="http://schemas.microsoft.com/office/drawing/2014/main" id="{00000000-0008-0000-0200-00000C000000}"/>
            </a:ext>
          </a:extLst>
        </xdr:cNvPr>
        <xdr:cNvPicPr/>
      </xdr:nvPicPr>
      <xdr:blipFill>
        <a:blip xmlns:r="http://schemas.openxmlformats.org/officeDocument/2006/relationships" r:embed="rId2"/>
        <a:stretch/>
      </xdr:blipFill>
      <xdr:spPr>
        <a:xfrm>
          <a:off x="8314200" y="142920"/>
          <a:ext cx="2332440" cy="941760"/>
        </a:xfrm>
        <a:prstGeom prst="rect">
          <a:avLst/>
        </a:prstGeom>
        <a:ln w="0">
          <a:noFill/>
        </a:ln>
      </xdr:spPr>
    </xdr:pic>
    <xdr:clientData/>
  </xdr:twoCellAnchor>
  <xdr:twoCellAnchor editAs="oneCell">
    <xdr:from>
      <xdr:col>4</xdr:col>
      <xdr:colOff>790560</xdr:colOff>
      <xdr:row>50</xdr:row>
      <xdr:rowOff>19080</xdr:rowOff>
    </xdr:from>
    <xdr:to>
      <xdr:col>8</xdr:col>
      <xdr:colOff>212760</xdr:colOff>
      <xdr:row>54</xdr:row>
      <xdr:rowOff>75240</xdr:rowOff>
    </xdr:to>
    <xdr:pic>
      <xdr:nvPicPr>
        <xdr:cNvPr id="13" name="image6.png">
          <a:extLst>
            <a:ext uri="{FF2B5EF4-FFF2-40B4-BE49-F238E27FC236}">
              <a16:creationId xmlns:a16="http://schemas.microsoft.com/office/drawing/2014/main" id="{00000000-0008-0000-0200-00000D000000}"/>
            </a:ext>
          </a:extLst>
        </xdr:cNvPr>
        <xdr:cNvPicPr/>
      </xdr:nvPicPr>
      <xdr:blipFill>
        <a:blip xmlns:r="http://schemas.openxmlformats.org/officeDocument/2006/relationships" r:embed="rId3"/>
        <a:stretch/>
      </xdr:blipFill>
      <xdr:spPr>
        <a:xfrm>
          <a:off x="6238080" y="10115640"/>
          <a:ext cx="3751920" cy="85608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600120</xdr:colOff>
      <xdr:row>0</xdr:row>
      <xdr:rowOff>0</xdr:rowOff>
    </xdr:from>
    <xdr:to>
      <xdr:col>7</xdr:col>
      <xdr:colOff>709560</xdr:colOff>
      <xdr:row>5</xdr:row>
      <xdr:rowOff>170280</xdr:rowOff>
    </xdr:to>
    <xdr:sp macro="" textlink="">
      <xdr:nvSpPr>
        <xdr:cNvPr id="15" name="Shape 7">
          <a:extLst>
            <a:ext uri="{FF2B5EF4-FFF2-40B4-BE49-F238E27FC236}">
              <a16:creationId xmlns:a16="http://schemas.microsoft.com/office/drawing/2014/main" id="{00000000-0008-0000-0300-00000F000000}"/>
            </a:ext>
          </a:extLst>
        </xdr:cNvPr>
        <xdr:cNvSpPr/>
      </xdr:nvSpPr>
      <xdr:spPr>
        <a:xfrm>
          <a:off x="1616760" y="0"/>
          <a:ext cx="6171120" cy="137052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ct val="100000"/>
            </a:lnSpc>
            <a:tabLst>
              <a:tab pos="0" algn="l"/>
            </a:tabLst>
          </a:pPr>
          <a:r>
            <a:rPr lang="en-US" sz="1100" b="1" strike="noStrike" spc="-1">
              <a:solidFill>
                <a:srgbClr val="000000"/>
              </a:solidFill>
              <a:latin typeface="Arial"/>
              <a:ea typeface="Arial"/>
            </a:rPr>
            <a:t>SECRETARIA DE ESTADO DAS CIDADES</a:t>
          </a:r>
          <a:endParaRPr lang="pt-BR" sz="1100" b="0" strike="noStrike" spc="-1">
            <a:latin typeface="Times New Roman"/>
          </a:endParaRPr>
        </a:p>
        <a:p>
          <a:pPr algn="ctr">
            <a:lnSpc>
              <a:spcPct val="100000"/>
            </a:lnSpc>
            <a:spcBef>
              <a:spcPts val="601"/>
            </a:spcBef>
            <a:tabLst>
              <a:tab pos="0" algn="l"/>
            </a:tabLst>
          </a:pPr>
          <a:r>
            <a:rPr lang="en-US" sz="1100" b="1" strike="noStrike" spc="-1">
              <a:solidFill>
                <a:srgbClr val="000000"/>
              </a:solidFill>
              <a:latin typeface="Arial"/>
              <a:ea typeface="Arial"/>
            </a:rPr>
            <a:t>DIRETORIA DE EDIFICAÇÕES</a:t>
          </a:r>
          <a:endParaRPr lang="pt-BR" sz="1100" b="0" strike="noStrike" spc="-1">
            <a:latin typeface="Times New Roman"/>
          </a:endParaRPr>
        </a:p>
      </xdr:txBody>
    </xdr:sp>
    <xdr:clientData/>
  </xdr:twoCellAnchor>
  <xdr:twoCellAnchor editAs="oneCell">
    <xdr:from>
      <xdr:col>1</xdr:col>
      <xdr:colOff>95400</xdr:colOff>
      <xdr:row>1</xdr:row>
      <xdr:rowOff>19080</xdr:rowOff>
    </xdr:from>
    <xdr:to>
      <xdr:col>2</xdr:col>
      <xdr:colOff>609480</xdr:colOff>
      <xdr:row>5</xdr:row>
      <xdr:rowOff>132480</xdr:rowOff>
    </xdr:to>
    <xdr:pic>
      <xdr:nvPicPr>
        <xdr:cNvPr id="16" name="image3.jpg" descr="1_2_assinaturas_marca_2_reduzida">
          <a:extLst>
            <a:ext uri="{FF2B5EF4-FFF2-40B4-BE49-F238E27FC236}">
              <a16:creationId xmlns:a16="http://schemas.microsoft.com/office/drawing/2014/main" id="{00000000-0008-0000-0300-000010000000}"/>
            </a:ext>
          </a:extLst>
        </xdr:cNvPr>
        <xdr:cNvPicPr/>
      </xdr:nvPicPr>
      <xdr:blipFill>
        <a:blip xmlns:r="http://schemas.openxmlformats.org/officeDocument/2006/relationships" r:embed="rId1"/>
        <a:stretch/>
      </xdr:blipFill>
      <xdr:spPr>
        <a:xfrm>
          <a:off x="588960" y="76320"/>
          <a:ext cx="1037160" cy="1256400"/>
        </a:xfrm>
        <a:prstGeom prst="rect">
          <a:avLst/>
        </a:prstGeom>
        <a:ln w="0">
          <a:noFill/>
        </a:ln>
      </xdr:spPr>
    </xdr:pic>
    <xdr:clientData/>
  </xdr:twoCellAnchor>
  <xdr:twoCellAnchor editAs="oneCell">
    <xdr:from>
      <xdr:col>7</xdr:col>
      <xdr:colOff>1057320</xdr:colOff>
      <xdr:row>1</xdr:row>
      <xdr:rowOff>38160</xdr:rowOff>
    </xdr:from>
    <xdr:to>
      <xdr:col>9</xdr:col>
      <xdr:colOff>669240</xdr:colOff>
      <xdr:row>3</xdr:row>
      <xdr:rowOff>266040</xdr:rowOff>
    </xdr:to>
    <xdr:pic>
      <xdr:nvPicPr>
        <xdr:cNvPr id="17" name="image5.png">
          <a:extLst>
            <a:ext uri="{FF2B5EF4-FFF2-40B4-BE49-F238E27FC236}">
              <a16:creationId xmlns:a16="http://schemas.microsoft.com/office/drawing/2014/main" id="{00000000-0008-0000-0300-000011000000}"/>
            </a:ext>
          </a:extLst>
        </xdr:cNvPr>
        <xdr:cNvPicPr/>
      </xdr:nvPicPr>
      <xdr:blipFill>
        <a:blip xmlns:r="http://schemas.openxmlformats.org/officeDocument/2006/relationships" r:embed="rId2"/>
        <a:stretch/>
      </xdr:blipFill>
      <xdr:spPr>
        <a:xfrm>
          <a:off x="8135640" y="95400"/>
          <a:ext cx="2189520" cy="79920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57240</xdr:colOff>
      <xdr:row>0</xdr:row>
      <xdr:rowOff>0</xdr:rowOff>
    </xdr:from>
    <xdr:to>
      <xdr:col>2</xdr:col>
      <xdr:colOff>1013040</xdr:colOff>
      <xdr:row>0</xdr:row>
      <xdr:rowOff>0</xdr:rowOff>
    </xdr:to>
    <xdr:pic>
      <xdr:nvPicPr>
        <xdr:cNvPr id="19" name="image4.jpg">
          <a:extLst>
            <a:ext uri="{FF2B5EF4-FFF2-40B4-BE49-F238E27FC236}">
              <a16:creationId xmlns:a16="http://schemas.microsoft.com/office/drawing/2014/main" id="{00000000-0008-0000-0400-000013000000}"/>
            </a:ext>
          </a:extLst>
        </xdr:cNvPr>
        <xdr:cNvPicPr/>
      </xdr:nvPicPr>
      <xdr:blipFill>
        <a:blip xmlns:r="http://schemas.openxmlformats.org/officeDocument/2006/relationships" r:embed="rId1"/>
        <a:stretch/>
      </xdr:blipFill>
      <xdr:spPr>
        <a:xfrm>
          <a:off x="1406520" y="0"/>
          <a:ext cx="1580040" cy="0"/>
        </a:xfrm>
        <a:prstGeom prst="rect">
          <a:avLst/>
        </a:prstGeom>
        <a:ln w="0">
          <a:noFill/>
        </a:ln>
      </xdr:spPr>
    </xdr:pic>
    <xdr:clientData/>
  </xdr:twoCellAnchor>
  <xdr:twoCellAnchor editAs="oneCell">
    <xdr:from>
      <xdr:col>4</xdr:col>
      <xdr:colOff>447840</xdr:colOff>
      <xdr:row>0</xdr:row>
      <xdr:rowOff>38160</xdr:rowOff>
    </xdr:from>
    <xdr:to>
      <xdr:col>6</xdr:col>
      <xdr:colOff>687960</xdr:colOff>
      <xdr:row>0</xdr:row>
      <xdr:rowOff>646560</xdr:rowOff>
    </xdr:to>
    <xdr:pic>
      <xdr:nvPicPr>
        <xdr:cNvPr id="20" name="image8.png">
          <a:extLst>
            <a:ext uri="{FF2B5EF4-FFF2-40B4-BE49-F238E27FC236}">
              <a16:creationId xmlns:a16="http://schemas.microsoft.com/office/drawing/2014/main" id="{00000000-0008-0000-0400-000014000000}"/>
            </a:ext>
          </a:extLst>
        </xdr:cNvPr>
        <xdr:cNvPicPr/>
      </xdr:nvPicPr>
      <xdr:blipFill>
        <a:blip xmlns:r="http://schemas.openxmlformats.org/officeDocument/2006/relationships" r:embed="rId2"/>
        <a:stretch/>
      </xdr:blipFill>
      <xdr:spPr>
        <a:xfrm>
          <a:off x="9076680" y="38160"/>
          <a:ext cx="2113560" cy="608400"/>
        </a:xfrm>
        <a:prstGeom prst="rect">
          <a:avLst/>
        </a:prstGeom>
        <a:ln w="0">
          <a:noFill/>
        </a:ln>
      </xdr:spPr>
    </xdr:pic>
    <xdr:clientData/>
  </xdr:twoCellAnchor>
  <xdr:twoCellAnchor editAs="oneCell">
    <xdr:from>
      <xdr:col>0</xdr:col>
      <xdr:colOff>38160</xdr:colOff>
      <xdr:row>0</xdr:row>
      <xdr:rowOff>38160</xdr:rowOff>
    </xdr:from>
    <xdr:to>
      <xdr:col>0</xdr:col>
      <xdr:colOff>627480</xdr:colOff>
      <xdr:row>0</xdr:row>
      <xdr:rowOff>751320</xdr:rowOff>
    </xdr:to>
    <xdr:pic>
      <xdr:nvPicPr>
        <xdr:cNvPr id="21" name="image9.jpg" descr="1_2_assinaturas_marca_2_reduzida">
          <a:extLst>
            <a:ext uri="{FF2B5EF4-FFF2-40B4-BE49-F238E27FC236}">
              <a16:creationId xmlns:a16="http://schemas.microsoft.com/office/drawing/2014/main" id="{00000000-0008-0000-0400-000015000000}"/>
            </a:ext>
          </a:extLst>
        </xdr:cNvPr>
        <xdr:cNvPicPr/>
      </xdr:nvPicPr>
      <xdr:blipFill>
        <a:blip xmlns:r="http://schemas.openxmlformats.org/officeDocument/2006/relationships" r:embed="rId3"/>
        <a:stretch/>
      </xdr:blipFill>
      <xdr:spPr>
        <a:xfrm>
          <a:off x="38160" y="38160"/>
          <a:ext cx="589320" cy="71316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5029200</xdr:colOff>
      <xdr:row>0</xdr:row>
      <xdr:rowOff>38160</xdr:rowOff>
    </xdr:from>
    <xdr:to>
      <xdr:col>3</xdr:col>
      <xdr:colOff>385560</xdr:colOff>
      <xdr:row>0</xdr:row>
      <xdr:rowOff>646560</xdr:rowOff>
    </xdr:to>
    <xdr:pic>
      <xdr:nvPicPr>
        <xdr:cNvPr id="22" name="image8.png">
          <a:extLst>
            <a:ext uri="{FF2B5EF4-FFF2-40B4-BE49-F238E27FC236}">
              <a16:creationId xmlns:a16="http://schemas.microsoft.com/office/drawing/2014/main" id="{00000000-0008-0000-0500-000016000000}"/>
            </a:ext>
          </a:extLst>
        </xdr:cNvPr>
        <xdr:cNvPicPr/>
      </xdr:nvPicPr>
      <xdr:blipFill>
        <a:blip xmlns:r="http://schemas.openxmlformats.org/officeDocument/2006/relationships" r:embed="rId1"/>
        <a:stretch/>
      </xdr:blipFill>
      <xdr:spPr>
        <a:xfrm>
          <a:off x="5784120" y="38160"/>
          <a:ext cx="2122920" cy="608400"/>
        </a:xfrm>
        <a:prstGeom prst="rect">
          <a:avLst/>
        </a:prstGeom>
        <a:ln w="0">
          <a:noFill/>
        </a:ln>
      </xdr:spPr>
    </xdr:pic>
    <xdr:clientData/>
  </xdr:twoCellAnchor>
  <xdr:twoCellAnchor editAs="oneCell">
    <xdr:from>
      <xdr:col>0</xdr:col>
      <xdr:colOff>0</xdr:colOff>
      <xdr:row>0</xdr:row>
      <xdr:rowOff>0</xdr:rowOff>
    </xdr:from>
    <xdr:to>
      <xdr:col>0</xdr:col>
      <xdr:colOff>627480</xdr:colOff>
      <xdr:row>0</xdr:row>
      <xdr:rowOff>770400</xdr:rowOff>
    </xdr:to>
    <xdr:pic>
      <xdr:nvPicPr>
        <xdr:cNvPr id="23" name="image10.jpg">
          <a:extLst>
            <a:ext uri="{FF2B5EF4-FFF2-40B4-BE49-F238E27FC236}">
              <a16:creationId xmlns:a16="http://schemas.microsoft.com/office/drawing/2014/main" id="{00000000-0008-0000-0500-000017000000}"/>
            </a:ext>
          </a:extLst>
        </xdr:cNvPr>
        <xdr:cNvPicPr/>
      </xdr:nvPicPr>
      <xdr:blipFill>
        <a:blip xmlns:r="http://schemas.openxmlformats.org/officeDocument/2006/relationships" r:embed="rId2"/>
        <a:stretch/>
      </xdr:blipFill>
      <xdr:spPr>
        <a:xfrm>
          <a:off x="0" y="0"/>
          <a:ext cx="627480" cy="77040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29</xdr:col>
      <xdr:colOff>114480</xdr:colOff>
      <xdr:row>0</xdr:row>
      <xdr:rowOff>142920</xdr:rowOff>
    </xdr:from>
    <xdr:to>
      <xdr:col>29</xdr:col>
      <xdr:colOff>987705</xdr:colOff>
      <xdr:row>5</xdr:row>
      <xdr:rowOff>73140</xdr:rowOff>
    </xdr:to>
    <xdr:pic>
      <xdr:nvPicPr>
        <xdr:cNvPr id="24" name="image11.jpg" descr="pred_home">
          <a:extLst>
            <a:ext uri="{FF2B5EF4-FFF2-40B4-BE49-F238E27FC236}">
              <a16:creationId xmlns:a16="http://schemas.microsoft.com/office/drawing/2014/main" id="{00000000-0008-0000-0600-000018000000}"/>
            </a:ext>
          </a:extLst>
        </xdr:cNvPr>
        <xdr:cNvPicPr/>
      </xdr:nvPicPr>
      <xdr:blipFill>
        <a:blip xmlns:r="http://schemas.openxmlformats.org/officeDocument/2006/relationships" r:embed="rId1"/>
        <a:stretch/>
      </xdr:blipFill>
      <xdr:spPr>
        <a:xfrm>
          <a:off x="28979640" y="142920"/>
          <a:ext cx="856080" cy="875160"/>
        </a:xfrm>
        <a:prstGeom prst="rect">
          <a:avLst/>
        </a:prstGeom>
        <a:ln w="0">
          <a:noFill/>
        </a:ln>
      </xdr:spPr>
    </xdr:pic>
    <xdr:clientData/>
  </xdr:twoCellAnchor>
  <xdr:twoCellAnchor editAs="oneCell">
    <xdr:from>
      <xdr:col>4</xdr:col>
      <xdr:colOff>514440</xdr:colOff>
      <xdr:row>1</xdr:row>
      <xdr:rowOff>57240</xdr:rowOff>
    </xdr:from>
    <xdr:to>
      <xdr:col>5</xdr:col>
      <xdr:colOff>758385</xdr:colOff>
      <xdr:row>6</xdr:row>
      <xdr:rowOff>34980</xdr:rowOff>
    </xdr:to>
    <xdr:pic>
      <xdr:nvPicPr>
        <xdr:cNvPr id="25" name="image3.jpg" descr="1_2_assinaturas_marca_2_reduzida">
          <a:extLst>
            <a:ext uri="{FF2B5EF4-FFF2-40B4-BE49-F238E27FC236}">
              <a16:creationId xmlns:a16="http://schemas.microsoft.com/office/drawing/2014/main" id="{00000000-0008-0000-0600-000019000000}"/>
            </a:ext>
          </a:extLst>
        </xdr:cNvPr>
        <xdr:cNvPicPr/>
      </xdr:nvPicPr>
      <xdr:blipFill>
        <a:blip xmlns:r="http://schemas.openxmlformats.org/officeDocument/2006/relationships" r:embed="rId2"/>
        <a:stretch/>
      </xdr:blipFill>
      <xdr:spPr>
        <a:xfrm>
          <a:off x="3534480" y="247680"/>
          <a:ext cx="941760" cy="922680"/>
        </a:xfrm>
        <a:prstGeom prst="rect">
          <a:avLst/>
        </a:prstGeom>
        <a:ln w="0">
          <a:noFill/>
        </a:ln>
      </xdr:spPr>
    </xdr:pic>
    <xdr:clientData/>
  </xdr:twoCellAnchor>
  <xdr:twoCellAnchor editAs="oneCell">
    <xdr:from>
      <xdr:col>14</xdr:col>
      <xdr:colOff>409680</xdr:colOff>
      <xdr:row>0</xdr:row>
      <xdr:rowOff>47520</xdr:rowOff>
    </xdr:from>
    <xdr:to>
      <xdr:col>15</xdr:col>
      <xdr:colOff>682919</xdr:colOff>
      <xdr:row>3</xdr:row>
      <xdr:rowOff>113040</xdr:rowOff>
    </xdr:to>
    <xdr:pic>
      <xdr:nvPicPr>
        <xdr:cNvPr id="26" name="image12.png">
          <a:extLst>
            <a:ext uri="{FF2B5EF4-FFF2-40B4-BE49-F238E27FC236}">
              <a16:creationId xmlns:a16="http://schemas.microsoft.com/office/drawing/2014/main" id="{00000000-0008-0000-0600-00001A000000}"/>
            </a:ext>
          </a:extLst>
        </xdr:cNvPr>
        <xdr:cNvPicPr/>
      </xdr:nvPicPr>
      <xdr:blipFill>
        <a:blip xmlns:r="http://schemas.openxmlformats.org/officeDocument/2006/relationships" r:embed="rId3"/>
        <a:stretch/>
      </xdr:blipFill>
      <xdr:spPr>
        <a:xfrm>
          <a:off x="17183880" y="47520"/>
          <a:ext cx="1189440" cy="63720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133200</xdr:colOff>
      <xdr:row>1</xdr:row>
      <xdr:rowOff>57240</xdr:rowOff>
    </xdr:from>
    <xdr:to>
      <xdr:col>2</xdr:col>
      <xdr:colOff>808560</xdr:colOff>
      <xdr:row>5</xdr:row>
      <xdr:rowOff>56160</xdr:rowOff>
    </xdr:to>
    <xdr:pic>
      <xdr:nvPicPr>
        <xdr:cNvPr id="27" name="image3.jpg" descr="1_2_assinaturas_marca_2_reduzida">
          <a:extLst>
            <a:ext uri="{FF2B5EF4-FFF2-40B4-BE49-F238E27FC236}">
              <a16:creationId xmlns:a16="http://schemas.microsoft.com/office/drawing/2014/main" id="{00000000-0008-0000-0800-00001B000000}"/>
            </a:ext>
          </a:extLst>
        </xdr:cNvPr>
        <xdr:cNvPicPr/>
      </xdr:nvPicPr>
      <xdr:blipFill>
        <a:blip xmlns:r="http://schemas.openxmlformats.org/officeDocument/2006/relationships" r:embed="rId1"/>
        <a:stretch/>
      </xdr:blipFill>
      <xdr:spPr>
        <a:xfrm>
          <a:off x="1622880" y="247680"/>
          <a:ext cx="675360" cy="761040"/>
        </a:xfrm>
        <a:prstGeom prst="rect">
          <a:avLst/>
        </a:prstGeom>
        <a:ln w="0">
          <a:noFill/>
        </a:ln>
      </xdr:spPr>
    </xdr:pic>
    <xdr:clientData/>
  </xdr:twoCellAnchor>
  <xdr:twoCellAnchor editAs="oneCell">
    <xdr:from>
      <xdr:col>13</xdr:col>
      <xdr:colOff>190440</xdr:colOff>
      <xdr:row>0</xdr:row>
      <xdr:rowOff>66600</xdr:rowOff>
    </xdr:from>
    <xdr:to>
      <xdr:col>13</xdr:col>
      <xdr:colOff>1123155</xdr:colOff>
      <xdr:row>3</xdr:row>
      <xdr:rowOff>27360</xdr:rowOff>
    </xdr:to>
    <xdr:pic>
      <xdr:nvPicPr>
        <xdr:cNvPr id="28" name="image12.png">
          <a:extLst>
            <a:ext uri="{FF2B5EF4-FFF2-40B4-BE49-F238E27FC236}">
              <a16:creationId xmlns:a16="http://schemas.microsoft.com/office/drawing/2014/main" id="{00000000-0008-0000-0800-00001C000000}"/>
            </a:ext>
          </a:extLst>
        </xdr:cNvPr>
        <xdr:cNvPicPr/>
      </xdr:nvPicPr>
      <xdr:blipFill>
        <a:blip xmlns:r="http://schemas.openxmlformats.org/officeDocument/2006/relationships" r:embed="rId2"/>
        <a:stretch/>
      </xdr:blipFill>
      <xdr:spPr>
        <a:xfrm>
          <a:off x="12886560" y="66600"/>
          <a:ext cx="979920" cy="532440"/>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38160</xdr:colOff>
      <xdr:row>0</xdr:row>
      <xdr:rowOff>0</xdr:rowOff>
    </xdr:from>
    <xdr:to>
      <xdr:col>14</xdr:col>
      <xdr:colOff>350640</xdr:colOff>
      <xdr:row>20</xdr:row>
      <xdr:rowOff>122760</xdr:rowOff>
    </xdr:to>
    <xdr:pic>
      <xdr:nvPicPr>
        <xdr:cNvPr id="29" name="image14.png">
          <a:extLst>
            <a:ext uri="{FF2B5EF4-FFF2-40B4-BE49-F238E27FC236}">
              <a16:creationId xmlns:a16="http://schemas.microsoft.com/office/drawing/2014/main" id="{00000000-0008-0000-0900-00001D000000}"/>
            </a:ext>
          </a:extLst>
        </xdr:cNvPr>
        <xdr:cNvPicPr/>
      </xdr:nvPicPr>
      <xdr:blipFill>
        <a:blip xmlns:r="http://schemas.openxmlformats.org/officeDocument/2006/relationships" r:embed="rId1"/>
        <a:stretch/>
      </xdr:blipFill>
      <xdr:spPr>
        <a:xfrm>
          <a:off x="652320" y="0"/>
          <a:ext cx="8295120" cy="3932640"/>
        </a:xfrm>
        <a:prstGeom prst="rect">
          <a:avLst/>
        </a:prstGeom>
        <a:ln w="0">
          <a:noFill/>
        </a:ln>
      </xdr:spPr>
    </xdr:pic>
    <xdr:clientData/>
  </xdr:twoCellAnchor>
  <xdr:twoCellAnchor editAs="oneCell">
    <xdr:from>
      <xdr:col>0</xdr:col>
      <xdr:colOff>380880</xdr:colOff>
      <xdr:row>20</xdr:row>
      <xdr:rowOff>123840</xdr:rowOff>
    </xdr:from>
    <xdr:to>
      <xdr:col>8</xdr:col>
      <xdr:colOff>258840</xdr:colOff>
      <xdr:row>47</xdr:row>
      <xdr:rowOff>160920</xdr:rowOff>
    </xdr:to>
    <xdr:pic>
      <xdr:nvPicPr>
        <xdr:cNvPr id="30" name="image13.png">
          <a:extLst>
            <a:ext uri="{FF2B5EF4-FFF2-40B4-BE49-F238E27FC236}">
              <a16:creationId xmlns:a16="http://schemas.microsoft.com/office/drawing/2014/main" id="{00000000-0008-0000-0900-00001E000000}"/>
            </a:ext>
          </a:extLst>
        </xdr:cNvPr>
        <xdr:cNvPicPr/>
      </xdr:nvPicPr>
      <xdr:blipFill>
        <a:blip xmlns:r="http://schemas.openxmlformats.org/officeDocument/2006/relationships" r:embed="rId2"/>
        <a:stretch/>
      </xdr:blipFill>
      <xdr:spPr>
        <a:xfrm>
          <a:off x="380880" y="3933720"/>
          <a:ext cx="4790160" cy="5437800"/>
        </a:xfrm>
        <a:prstGeom prst="rect">
          <a:avLst/>
        </a:prstGeom>
        <a:ln w="0">
          <a:noFill/>
        </a:ln>
      </xdr:spPr>
    </xdr:pic>
    <xdr:clientData/>
  </xdr:twoCellAnchor>
  <xdr:twoCellAnchor editAs="oneCell">
    <xdr:from>
      <xdr:col>11</xdr:col>
      <xdr:colOff>485640</xdr:colOff>
      <xdr:row>24</xdr:row>
      <xdr:rowOff>114480</xdr:rowOff>
    </xdr:from>
    <xdr:to>
      <xdr:col>19</xdr:col>
      <xdr:colOff>550440</xdr:colOff>
      <xdr:row>35</xdr:row>
      <xdr:rowOff>75240</xdr:rowOff>
    </xdr:to>
    <xdr:pic>
      <xdr:nvPicPr>
        <xdr:cNvPr id="31" name="image15.png">
          <a:extLst>
            <a:ext uri="{FF2B5EF4-FFF2-40B4-BE49-F238E27FC236}">
              <a16:creationId xmlns:a16="http://schemas.microsoft.com/office/drawing/2014/main" id="{00000000-0008-0000-0900-00001F000000}"/>
            </a:ext>
          </a:extLst>
        </xdr:cNvPr>
        <xdr:cNvPicPr/>
      </xdr:nvPicPr>
      <xdr:blipFill>
        <a:blip xmlns:r="http://schemas.openxmlformats.org/officeDocument/2006/relationships" r:embed="rId3"/>
        <a:stretch/>
      </xdr:blipFill>
      <xdr:spPr>
        <a:xfrm>
          <a:off x="7239960" y="4724640"/>
          <a:ext cx="5561640" cy="2161080"/>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228600</xdr:colOff>
      <xdr:row>63</xdr:row>
      <xdr:rowOff>104760</xdr:rowOff>
    </xdr:from>
    <xdr:to>
      <xdr:col>13</xdr:col>
      <xdr:colOff>72570</xdr:colOff>
      <xdr:row>86</xdr:row>
      <xdr:rowOff>182070</xdr:rowOff>
    </xdr:to>
    <xdr:graphicFrame macro="">
      <xdr:nvGraphicFramePr>
        <xdr:cNvPr id="32" name="Chart 1">
          <a:extLst>
            <a:ext uri="{FF2B5EF4-FFF2-40B4-BE49-F238E27FC236}">
              <a16:creationId xmlns:a16="http://schemas.microsoft.com/office/drawing/2014/main" id="{00000000-0008-0000-0A00-00002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752400</xdr:colOff>
      <xdr:row>1</xdr:row>
      <xdr:rowOff>28440</xdr:rowOff>
    </xdr:from>
    <xdr:to>
      <xdr:col>14</xdr:col>
      <xdr:colOff>499865</xdr:colOff>
      <xdr:row>7</xdr:row>
      <xdr:rowOff>149100</xdr:rowOff>
    </xdr:to>
    <xdr:sp macro="" textlink="">
      <xdr:nvSpPr>
        <xdr:cNvPr id="33" name="Shape 9">
          <a:extLst>
            <a:ext uri="{FF2B5EF4-FFF2-40B4-BE49-F238E27FC236}">
              <a16:creationId xmlns:a16="http://schemas.microsoft.com/office/drawing/2014/main" id="{00000000-0008-0000-0A00-000021000000}"/>
            </a:ext>
          </a:extLst>
        </xdr:cNvPr>
        <xdr:cNvSpPr/>
      </xdr:nvSpPr>
      <xdr:spPr>
        <a:xfrm>
          <a:off x="1296000" y="342720"/>
          <a:ext cx="12038400" cy="131328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ct val="100000"/>
            </a:lnSpc>
            <a:tabLst>
              <a:tab pos="0" algn="l"/>
            </a:tabLst>
          </a:pPr>
          <a:r>
            <a:rPr lang="en-US" sz="1100" b="1" strike="noStrike" spc="-1">
              <a:solidFill>
                <a:srgbClr val="000000"/>
              </a:solidFill>
              <a:latin typeface="Calibri"/>
              <a:ea typeface="Calibri"/>
            </a:rPr>
            <a:t>SECRETARIA DE ESTADO DAS CIDADES</a:t>
          </a:r>
          <a:endParaRPr lang="pt-BR" sz="1100" b="0" strike="noStrike" spc="-1">
            <a:latin typeface="Times New Roman"/>
          </a:endParaRPr>
        </a:p>
        <a:p>
          <a:pPr algn="ctr">
            <a:lnSpc>
              <a:spcPct val="100000"/>
            </a:lnSpc>
            <a:spcBef>
              <a:spcPts val="601"/>
            </a:spcBef>
            <a:tabLst>
              <a:tab pos="0" algn="l"/>
            </a:tabLst>
          </a:pPr>
          <a:r>
            <a:rPr lang="en-US" sz="1100" b="1" strike="noStrike" spc="-1">
              <a:solidFill>
                <a:srgbClr val="000000"/>
              </a:solidFill>
              <a:latin typeface="Calibri"/>
              <a:ea typeface="Calibri"/>
            </a:rPr>
            <a:t>DIRETORIA DE EDIFICAÇÕES</a:t>
          </a:r>
          <a:endParaRPr lang="pt-BR" sz="1100" b="0" strike="noStrike" spc="-1">
            <a:latin typeface="Times New Roman"/>
          </a:endParaRPr>
        </a:p>
        <a:p>
          <a:pPr algn="ctr">
            <a:lnSpc>
              <a:spcPct val="100000"/>
            </a:lnSpc>
            <a:spcBef>
              <a:spcPts val="601"/>
            </a:spcBef>
            <a:tabLst>
              <a:tab pos="0" algn="l"/>
            </a:tabLst>
          </a:pPr>
          <a:endParaRPr lang="pt-BR" sz="1100" b="0" strike="noStrike" spc="-1">
            <a:latin typeface="Times New Roman"/>
          </a:endParaRPr>
        </a:p>
      </xdr:txBody>
    </xdr:sp>
    <xdr:clientData/>
  </xdr:twoCellAnchor>
  <xdr:twoCellAnchor editAs="oneCell">
    <xdr:from>
      <xdr:col>0</xdr:col>
      <xdr:colOff>228600</xdr:colOff>
      <xdr:row>54</xdr:row>
      <xdr:rowOff>0</xdr:rowOff>
    </xdr:from>
    <xdr:to>
      <xdr:col>1</xdr:col>
      <xdr:colOff>409590</xdr:colOff>
      <xdr:row>54</xdr:row>
      <xdr:rowOff>0</xdr:rowOff>
    </xdr:to>
    <xdr:pic>
      <xdr:nvPicPr>
        <xdr:cNvPr id="34" name="image16.png">
          <a:extLst>
            <a:ext uri="{FF2B5EF4-FFF2-40B4-BE49-F238E27FC236}">
              <a16:creationId xmlns:a16="http://schemas.microsoft.com/office/drawing/2014/main" id="{00000000-0008-0000-0A00-000022000000}"/>
            </a:ext>
          </a:extLst>
        </xdr:cNvPr>
        <xdr:cNvPicPr/>
      </xdr:nvPicPr>
      <xdr:blipFill>
        <a:blip xmlns:r="http://schemas.openxmlformats.org/officeDocument/2006/relationships" r:embed="rId2"/>
        <a:stretch/>
      </xdr:blipFill>
      <xdr:spPr>
        <a:xfrm>
          <a:off x="228600" y="9001080"/>
          <a:ext cx="713160" cy="0"/>
        </a:xfrm>
        <a:prstGeom prst="rect">
          <a:avLst/>
        </a:prstGeom>
        <a:ln w="0">
          <a:noFill/>
        </a:ln>
      </xdr:spPr>
    </xdr:pic>
    <xdr:clientData/>
  </xdr:twoCellAnchor>
  <xdr:twoCellAnchor editAs="oneCell">
    <xdr:from>
      <xdr:col>0</xdr:col>
      <xdr:colOff>228600</xdr:colOff>
      <xdr:row>1</xdr:row>
      <xdr:rowOff>76320</xdr:rowOff>
    </xdr:from>
    <xdr:to>
      <xdr:col>1</xdr:col>
      <xdr:colOff>537270</xdr:colOff>
      <xdr:row>6</xdr:row>
      <xdr:rowOff>118950</xdr:rowOff>
    </xdr:to>
    <xdr:pic>
      <xdr:nvPicPr>
        <xdr:cNvPr id="35" name="image3.jpg" descr="1_2_assinaturas_marca_2_reduzida">
          <a:extLst>
            <a:ext uri="{FF2B5EF4-FFF2-40B4-BE49-F238E27FC236}">
              <a16:creationId xmlns:a16="http://schemas.microsoft.com/office/drawing/2014/main" id="{00000000-0008-0000-0A00-000023000000}"/>
            </a:ext>
          </a:extLst>
        </xdr:cNvPr>
        <xdr:cNvPicPr/>
      </xdr:nvPicPr>
      <xdr:blipFill>
        <a:blip xmlns:r="http://schemas.openxmlformats.org/officeDocument/2006/relationships" r:embed="rId3"/>
        <a:stretch/>
      </xdr:blipFill>
      <xdr:spPr>
        <a:xfrm>
          <a:off x="228600" y="390600"/>
          <a:ext cx="856080" cy="1037160"/>
        </a:xfrm>
        <a:prstGeom prst="rect">
          <a:avLst/>
        </a:prstGeom>
        <a:ln w="0">
          <a:noFill/>
        </a:ln>
      </xdr:spPr>
    </xdr:pic>
    <xdr:clientData/>
  </xdr:twoCellAnchor>
  <xdr:twoCellAnchor editAs="oneCell">
    <xdr:from>
      <xdr:col>10</xdr:col>
      <xdr:colOff>19080</xdr:colOff>
      <xdr:row>1</xdr:row>
      <xdr:rowOff>123840</xdr:rowOff>
    </xdr:from>
    <xdr:to>
      <xdr:col>13</xdr:col>
      <xdr:colOff>337125</xdr:colOff>
      <xdr:row>5</xdr:row>
      <xdr:rowOff>105390</xdr:rowOff>
    </xdr:to>
    <xdr:pic>
      <xdr:nvPicPr>
        <xdr:cNvPr id="36" name="image5.png">
          <a:extLst>
            <a:ext uri="{FF2B5EF4-FFF2-40B4-BE49-F238E27FC236}">
              <a16:creationId xmlns:a16="http://schemas.microsoft.com/office/drawing/2014/main" id="{00000000-0008-0000-0A00-000024000000}"/>
            </a:ext>
          </a:extLst>
        </xdr:cNvPr>
        <xdr:cNvPicPr/>
      </xdr:nvPicPr>
      <xdr:blipFill>
        <a:blip xmlns:r="http://schemas.openxmlformats.org/officeDocument/2006/relationships" r:embed="rId4"/>
        <a:stretch/>
      </xdr:blipFill>
      <xdr:spPr>
        <a:xfrm>
          <a:off x="9844920" y="438120"/>
          <a:ext cx="2332440" cy="751320"/>
        </a:xfrm>
        <a:prstGeom prst="rect">
          <a:avLst/>
        </a:prstGeom>
        <a:ln w="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95400</xdr:colOff>
      <xdr:row>0</xdr:row>
      <xdr:rowOff>76320</xdr:rowOff>
    </xdr:from>
    <xdr:to>
      <xdr:col>1</xdr:col>
      <xdr:colOff>761040</xdr:colOff>
      <xdr:row>4</xdr:row>
      <xdr:rowOff>149265</xdr:rowOff>
    </xdr:to>
    <xdr:pic>
      <xdr:nvPicPr>
        <xdr:cNvPr id="37" name="image3.jpg" descr="1_2_assinaturas_marca_2_reduzida">
          <a:extLst>
            <a:ext uri="{FF2B5EF4-FFF2-40B4-BE49-F238E27FC236}">
              <a16:creationId xmlns:a16="http://schemas.microsoft.com/office/drawing/2014/main" id="{00000000-0008-0000-0B00-000025000000}"/>
            </a:ext>
          </a:extLst>
        </xdr:cNvPr>
        <xdr:cNvPicPr/>
      </xdr:nvPicPr>
      <xdr:blipFill>
        <a:blip xmlns:r="http://schemas.openxmlformats.org/officeDocument/2006/relationships" r:embed="rId1"/>
        <a:stretch/>
      </xdr:blipFill>
      <xdr:spPr>
        <a:xfrm>
          <a:off x="981360" y="76320"/>
          <a:ext cx="665640" cy="817920"/>
        </a:xfrm>
        <a:prstGeom prst="rect">
          <a:avLst/>
        </a:prstGeom>
        <a:ln w="0">
          <a:noFill/>
        </a:ln>
      </xdr:spPr>
    </xdr:pic>
    <xdr:clientData/>
  </xdr:twoCellAnchor>
  <xdr:twoCellAnchor editAs="oneCell">
    <xdr:from>
      <xdr:col>11</xdr:col>
      <xdr:colOff>142920</xdr:colOff>
      <xdr:row>0</xdr:row>
      <xdr:rowOff>19080</xdr:rowOff>
    </xdr:from>
    <xdr:to>
      <xdr:col>11</xdr:col>
      <xdr:colOff>1139985</xdr:colOff>
      <xdr:row>3</xdr:row>
      <xdr:rowOff>73140</xdr:rowOff>
    </xdr:to>
    <xdr:pic>
      <xdr:nvPicPr>
        <xdr:cNvPr id="38" name="image17.png">
          <a:extLst>
            <a:ext uri="{FF2B5EF4-FFF2-40B4-BE49-F238E27FC236}">
              <a16:creationId xmlns:a16="http://schemas.microsoft.com/office/drawing/2014/main" id="{00000000-0008-0000-0B00-000026000000}"/>
            </a:ext>
          </a:extLst>
        </xdr:cNvPr>
        <xdr:cNvPicPr/>
      </xdr:nvPicPr>
      <xdr:blipFill>
        <a:blip xmlns:r="http://schemas.openxmlformats.org/officeDocument/2006/relationships" r:embed="rId2"/>
        <a:stretch/>
      </xdr:blipFill>
      <xdr:spPr>
        <a:xfrm>
          <a:off x="14681880" y="19080"/>
          <a:ext cx="979920" cy="618120"/>
        </a:xfrm>
        <a:prstGeom prst="rect">
          <a:avLst/>
        </a:prstGeom>
        <a:ln w="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19080</xdr:colOff>
      <xdr:row>0</xdr:row>
      <xdr:rowOff>0</xdr:rowOff>
    </xdr:from>
    <xdr:to>
      <xdr:col>5</xdr:col>
      <xdr:colOff>1473840</xdr:colOff>
      <xdr:row>5</xdr:row>
      <xdr:rowOff>56160</xdr:rowOff>
    </xdr:to>
    <xdr:sp macro="" textlink="">
      <xdr:nvSpPr>
        <xdr:cNvPr id="39" name="Shape 10">
          <a:extLst>
            <a:ext uri="{FF2B5EF4-FFF2-40B4-BE49-F238E27FC236}">
              <a16:creationId xmlns:a16="http://schemas.microsoft.com/office/drawing/2014/main" id="{00000000-0008-0000-0C00-000027000000}"/>
            </a:ext>
          </a:extLst>
        </xdr:cNvPr>
        <xdr:cNvSpPr/>
      </xdr:nvSpPr>
      <xdr:spPr>
        <a:xfrm>
          <a:off x="1478880" y="0"/>
          <a:ext cx="7295040" cy="100872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ct val="100000"/>
            </a:lnSpc>
            <a:tabLst>
              <a:tab pos="0" algn="l"/>
            </a:tabLst>
          </a:pPr>
          <a:r>
            <a:rPr lang="en-US" sz="1200" b="1" strike="noStrike" spc="-1">
              <a:solidFill>
                <a:srgbClr val="000000"/>
              </a:solidFill>
              <a:latin typeface="Calibri"/>
              <a:ea typeface="Calibri"/>
            </a:rPr>
            <a:t>SECRETARIA DE ESTADO DAS CIDADES</a:t>
          </a:r>
          <a:endParaRPr lang="pt-BR" sz="1200" b="0" strike="noStrike" spc="-1">
            <a:latin typeface="Times New Roman"/>
          </a:endParaRPr>
        </a:p>
        <a:p>
          <a:pPr algn="ctr">
            <a:lnSpc>
              <a:spcPct val="100000"/>
            </a:lnSpc>
            <a:spcBef>
              <a:spcPts val="601"/>
            </a:spcBef>
            <a:tabLst>
              <a:tab pos="0" algn="l"/>
            </a:tabLst>
          </a:pPr>
          <a:r>
            <a:rPr lang="en-US" sz="1200" b="1" strike="noStrike" spc="-1">
              <a:solidFill>
                <a:srgbClr val="000000"/>
              </a:solidFill>
              <a:latin typeface="Calibri"/>
              <a:ea typeface="Calibri"/>
            </a:rPr>
            <a:t>DIRETORIA DE EDIFICAÇÕES</a:t>
          </a:r>
          <a:endParaRPr lang="pt-BR" sz="1200" b="0" strike="noStrike" spc="-1">
            <a:latin typeface="Times New Roman"/>
          </a:endParaRPr>
        </a:p>
        <a:p>
          <a:pPr algn="ctr">
            <a:lnSpc>
              <a:spcPct val="100000"/>
            </a:lnSpc>
            <a:tabLst>
              <a:tab pos="0" algn="l"/>
            </a:tabLst>
          </a:pPr>
          <a:endParaRPr lang="pt-BR" sz="1200" b="0" strike="noStrike" spc="-1">
            <a:latin typeface="Times New Roman"/>
          </a:endParaRPr>
        </a:p>
      </xdr:txBody>
    </xdr:sp>
    <xdr:clientData/>
  </xdr:twoCellAnchor>
  <xdr:twoCellAnchor editAs="oneCell">
    <xdr:from>
      <xdr:col>1</xdr:col>
      <xdr:colOff>162000</xdr:colOff>
      <xdr:row>0</xdr:row>
      <xdr:rowOff>38160</xdr:rowOff>
    </xdr:from>
    <xdr:to>
      <xdr:col>2</xdr:col>
      <xdr:colOff>50400</xdr:colOff>
      <xdr:row>4</xdr:row>
      <xdr:rowOff>170280</xdr:rowOff>
    </xdr:to>
    <xdr:pic>
      <xdr:nvPicPr>
        <xdr:cNvPr id="40" name="image3.jpg" descr="1_2_assinaturas_marca_2_reduzida">
          <a:extLst>
            <a:ext uri="{FF2B5EF4-FFF2-40B4-BE49-F238E27FC236}">
              <a16:creationId xmlns:a16="http://schemas.microsoft.com/office/drawing/2014/main" id="{00000000-0008-0000-0C00-000028000000}"/>
            </a:ext>
          </a:extLst>
        </xdr:cNvPr>
        <xdr:cNvPicPr/>
      </xdr:nvPicPr>
      <xdr:blipFill>
        <a:blip xmlns:r="http://schemas.openxmlformats.org/officeDocument/2006/relationships" r:embed="rId1"/>
        <a:stretch/>
      </xdr:blipFill>
      <xdr:spPr>
        <a:xfrm>
          <a:off x="806400" y="38160"/>
          <a:ext cx="703800" cy="894240"/>
        </a:xfrm>
        <a:prstGeom prst="rect">
          <a:avLst/>
        </a:prstGeom>
        <a:ln w="0">
          <a:noFill/>
        </a:ln>
      </xdr:spPr>
    </xdr:pic>
    <xdr:clientData/>
  </xdr:twoCellAnchor>
  <xdr:twoCellAnchor editAs="oneCell">
    <xdr:from>
      <xdr:col>6</xdr:col>
      <xdr:colOff>181080</xdr:colOff>
      <xdr:row>0</xdr:row>
      <xdr:rowOff>114480</xdr:rowOff>
    </xdr:from>
    <xdr:to>
      <xdr:col>7</xdr:col>
      <xdr:colOff>563040</xdr:colOff>
      <xdr:row>4</xdr:row>
      <xdr:rowOff>8640</xdr:rowOff>
    </xdr:to>
    <xdr:pic>
      <xdr:nvPicPr>
        <xdr:cNvPr id="41" name="image8.png">
          <a:extLst>
            <a:ext uri="{FF2B5EF4-FFF2-40B4-BE49-F238E27FC236}">
              <a16:creationId xmlns:a16="http://schemas.microsoft.com/office/drawing/2014/main" id="{00000000-0008-0000-0C00-000029000000}"/>
            </a:ext>
          </a:extLst>
        </xdr:cNvPr>
        <xdr:cNvPicPr/>
      </xdr:nvPicPr>
      <xdr:blipFill>
        <a:blip xmlns:r="http://schemas.openxmlformats.org/officeDocument/2006/relationships" r:embed="rId2"/>
        <a:stretch/>
      </xdr:blipFill>
      <xdr:spPr>
        <a:xfrm>
          <a:off x="9212760" y="114480"/>
          <a:ext cx="2113560" cy="656280"/>
        </a:xfrm>
        <a:prstGeom prst="rect">
          <a:avLst/>
        </a:prstGeom>
        <a:ln w="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123840</xdr:colOff>
      <xdr:row>0</xdr:row>
      <xdr:rowOff>0</xdr:rowOff>
    </xdr:from>
    <xdr:to>
      <xdr:col>4</xdr:col>
      <xdr:colOff>4799520</xdr:colOff>
      <xdr:row>27</xdr:row>
      <xdr:rowOff>132120</xdr:rowOff>
    </xdr:to>
    <xdr:pic>
      <xdr:nvPicPr>
        <xdr:cNvPr id="42" name="image18.jpg">
          <a:extLst>
            <a:ext uri="{FF2B5EF4-FFF2-40B4-BE49-F238E27FC236}">
              <a16:creationId xmlns:a16="http://schemas.microsoft.com/office/drawing/2014/main" id="{00000000-0008-0000-0D00-00002A000000}"/>
            </a:ext>
          </a:extLst>
        </xdr:cNvPr>
        <xdr:cNvPicPr/>
      </xdr:nvPicPr>
      <xdr:blipFill>
        <a:blip xmlns:r="http://schemas.openxmlformats.org/officeDocument/2006/relationships" r:embed="rId1"/>
        <a:stretch/>
      </xdr:blipFill>
      <xdr:spPr>
        <a:xfrm>
          <a:off x="2309040" y="0"/>
          <a:ext cx="7857000" cy="5342400"/>
        </a:xfrm>
        <a:prstGeom prst="rect">
          <a:avLst/>
        </a:prstGeom>
        <a:ln w="0">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28440</xdr:colOff>
      <xdr:row>0</xdr:row>
      <xdr:rowOff>85680</xdr:rowOff>
    </xdr:from>
    <xdr:to>
      <xdr:col>5</xdr:col>
      <xdr:colOff>335520</xdr:colOff>
      <xdr:row>0</xdr:row>
      <xdr:rowOff>732240</xdr:rowOff>
    </xdr:to>
    <xdr:sp macro="" textlink="">
      <xdr:nvSpPr>
        <xdr:cNvPr id="43" name="Shape 11">
          <a:extLst>
            <a:ext uri="{FF2B5EF4-FFF2-40B4-BE49-F238E27FC236}">
              <a16:creationId xmlns:a16="http://schemas.microsoft.com/office/drawing/2014/main" id="{00000000-0008-0000-0F00-00002B000000}"/>
            </a:ext>
          </a:extLst>
        </xdr:cNvPr>
        <xdr:cNvSpPr/>
      </xdr:nvSpPr>
      <xdr:spPr>
        <a:xfrm>
          <a:off x="853920" y="85680"/>
          <a:ext cx="3609000" cy="64656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gn="ctr">
            <a:lnSpc>
              <a:spcPct val="100000"/>
            </a:lnSpc>
            <a:tabLst>
              <a:tab pos="0" algn="l"/>
            </a:tabLst>
          </a:pPr>
          <a:r>
            <a:rPr lang="en-US" sz="1200" b="1" strike="noStrike" spc="-1">
              <a:solidFill>
                <a:srgbClr val="000000"/>
              </a:solidFill>
              <a:latin typeface="Arial"/>
              <a:ea typeface="Arial"/>
            </a:rPr>
            <a:t>DECLARAÇÃO DE  RESPONSABILIDADE E DE LIBERAÇÃO DOS DIREITOS AUTORAIS</a:t>
          </a:r>
          <a:endParaRPr lang="pt-BR" sz="1200" b="0" strike="noStrike" spc="-1">
            <a:latin typeface="Times New Roman"/>
          </a:endParaRPr>
        </a:p>
      </xdr:txBody>
    </xdr:sp>
    <xdr:clientData/>
  </xdr:twoCellAnchor>
  <xdr:twoCellAnchor editAs="oneCell">
    <xdr:from>
      <xdr:col>0</xdr:col>
      <xdr:colOff>95400</xdr:colOff>
      <xdr:row>0</xdr:row>
      <xdr:rowOff>76320</xdr:rowOff>
    </xdr:from>
    <xdr:to>
      <xdr:col>0</xdr:col>
      <xdr:colOff>808560</xdr:colOff>
      <xdr:row>1</xdr:row>
      <xdr:rowOff>151200</xdr:rowOff>
    </xdr:to>
    <xdr:pic>
      <xdr:nvPicPr>
        <xdr:cNvPr id="44" name="image3.jpg" descr="1_2_assinaturas_marca_2_reduzida">
          <a:extLst>
            <a:ext uri="{FF2B5EF4-FFF2-40B4-BE49-F238E27FC236}">
              <a16:creationId xmlns:a16="http://schemas.microsoft.com/office/drawing/2014/main" id="{00000000-0008-0000-0F00-00002C000000}"/>
            </a:ext>
          </a:extLst>
        </xdr:cNvPr>
        <xdr:cNvPicPr/>
      </xdr:nvPicPr>
      <xdr:blipFill>
        <a:blip xmlns:r="http://schemas.openxmlformats.org/officeDocument/2006/relationships" r:embed="rId1"/>
        <a:stretch/>
      </xdr:blipFill>
      <xdr:spPr>
        <a:xfrm>
          <a:off x="95400" y="76320"/>
          <a:ext cx="713160" cy="856080"/>
        </a:xfrm>
        <a:prstGeom prst="rect">
          <a:avLst/>
        </a:prstGeom>
        <a:ln w="0">
          <a:noFill/>
        </a:ln>
      </xdr:spPr>
    </xdr:pic>
    <xdr:clientData/>
  </xdr:twoCellAnchor>
  <xdr:twoCellAnchor editAs="oneCell">
    <xdr:from>
      <xdr:col>5</xdr:col>
      <xdr:colOff>495360</xdr:colOff>
      <xdr:row>0</xdr:row>
      <xdr:rowOff>57240</xdr:rowOff>
    </xdr:from>
    <xdr:to>
      <xdr:col>7</xdr:col>
      <xdr:colOff>605520</xdr:colOff>
      <xdr:row>0</xdr:row>
      <xdr:rowOff>637200</xdr:rowOff>
    </xdr:to>
    <xdr:pic>
      <xdr:nvPicPr>
        <xdr:cNvPr id="45" name="image19.png">
          <a:extLst>
            <a:ext uri="{FF2B5EF4-FFF2-40B4-BE49-F238E27FC236}">
              <a16:creationId xmlns:a16="http://schemas.microsoft.com/office/drawing/2014/main" id="{00000000-0008-0000-0F00-00002D000000}"/>
            </a:ext>
          </a:extLst>
        </xdr:cNvPr>
        <xdr:cNvPicPr/>
      </xdr:nvPicPr>
      <xdr:blipFill>
        <a:blip xmlns:r="http://schemas.openxmlformats.org/officeDocument/2006/relationships" r:embed="rId2"/>
        <a:stretch/>
      </xdr:blipFill>
      <xdr:spPr>
        <a:xfrm>
          <a:off x="4622760" y="57240"/>
          <a:ext cx="1761120" cy="579960"/>
        </a:xfrm>
        <a:prstGeom prst="rect">
          <a:avLst/>
        </a:prstGeom>
        <a:ln w="0">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181080</xdr:colOff>
      <xdr:row>0</xdr:row>
      <xdr:rowOff>76320</xdr:rowOff>
    </xdr:from>
    <xdr:to>
      <xdr:col>1</xdr:col>
      <xdr:colOff>341280</xdr:colOff>
      <xdr:row>5</xdr:row>
      <xdr:rowOff>75240</xdr:rowOff>
    </xdr:to>
    <xdr:pic>
      <xdr:nvPicPr>
        <xdr:cNvPr id="46" name="image3.jpg" descr="1_2_assinaturas_marca_2_reduzida">
          <a:extLst>
            <a:ext uri="{FF2B5EF4-FFF2-40B4-BE49-F238E27FC236}">
              <a16:creationId xmlns:a16="http://schemas.microsoft.com/office/drawing/2014/main" id="{00000000-0008-0000-1000-00002E000000}"/>
            </a:ext>
          </a:extLst>
        </xdr:cNvPr>
        <xdr:cNvPicPr/>
      </xdr:nvPicPr>
      <xdr:blipFill>
        <a:blip xmlns:r="http://schemas.openxmlformats.org/officeDocument/2006/relationships" r:embed="rId1"/>
        <a:stretch/>
      </xdr:blipFill>
      <xdr:spPr>
        <a:xfrm>
          <a:off x="181080" y="76320"/>
          <a:ext cx="703800" cy="865800"/>
        </a:xfrm>
        <a:prstGeom prst="rect">
          <a:avLst/>
        </a:prstGeom>
        <a:ln w="0">
          <a:noFill/>
        </a:ln>
      </xdr:spPr>
    </xdr:pic>
    <xdr:clientData/>
  </xdr:twoCellAnchor>
  <xdr:twoCellAnchor editAs="oneCell">
    <xdr:from>
      <xdr:col>7</xdr:col>
      <xdr:colOff>57240</xdr:colOff>
      <xdr:row>0</xdr:row>
      <xdr:rowOff>114480</xdr:rowOff>
    </xdr:from>
    <xdr:to>
      <xdr:col>9</xdr:col>
      <xdr:colOff>494640</xdr:colOff>
      <xdr:row>4</xdr:row>
      <xdr:rowOff>65880</xdr:rowOff>
    </xdr:to>
    <xdr:pic>
      <xdr:nvPicPr>
        <xdr:cNvPr id="47" name="image20.png">
          <a:extLst>
            <a:ext uri="{FF2B5EF4-FFF2-40B4-BE49-F238E27FC236}">
              <a16:creationId xmlns:a16="http://schemas.microsoft.com/office/drawing/2014/main" id="{00000000-0008-0000-1000-00002F000000}"/>
            </a:ext>
          </a:extLst>
        </xdr:cNvPr>
        <xdr:cNvPicPr/>
      </xdr:nvPicPr>
      <xdr:blipFill>
        <a:blip xmlns:r="http://schemas.openxmlformats.org/officeDocument/2006/relationships" r:embed="rId2"/>
        <a:stretch/>
      </xdr:blipFill>
      <xdr:spPr>
        <a:xfrm>
          <a:off x="8947800" y="114480"/>
          <a:ext cx="1665720" cy="656280"/>
        </a:xfrm>
        <a:prstGeom prst="rect">
          <a:avLst/>
        </a:prstGeom>
        <a:ln w="0">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142920</xdr:colOff>
      <xdr:row>0</xdr:row>
      <xdr:rowOff>76320</xdr:rowOff>
    </xdr:from>
    <xdr:to>
      <xdr:col>5</xdr:col>
      <xdr:colOff>400680</xdr:colOff>
      <xdr:row>0</xdr:row>
      <xdr:rowOff>770400</xdr:rowOff>
    </xdr:to>
    <xdr:sp macro="" textlink="">
      <xdr:nvSpPr>
        <xdr:cNvPr id="48" name="Shape 12">
          <a:extLst>
            <a:ext uri="{FF2B5EF4-FFF2-40B4-BE49-F238E27FC236}">
              <a16:creationId xmlns:a16="http://schemas.microsoft.com/office/drawing/2014/main" id="{00000000-0008-0000-1100-000030000000}"/>
            </a:ext>
          </a:extLst>
        </xdr:cNvPr>
        <xdr:cNvSpPr/>
      </xdr:nvSpPr>
      <xdr:spPr>
        <a:xfrm>
          <a:off x="757080" y="76320"/>
          <a:ext cx="2713680" cy="69408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gn="ctr">
            <a:lnSpc>
              <a:spcPct val="100000"/>
            </a:lnSpc>
            <a:tabLst>
              <a:tab pos="0" algn="l"/>
            </a:tabLst>
          </a:pPr>
          <a:r>
            <a:rPr lang="en-US" sz="1100" b="1" strike="noStrike" spc="-1">
              <a:solidFill>
                <a:srgbClr val="000000"/>
              </a:solidFill>
              <a:latin typeface="Arial"/>
              <a:ea typeface="Arial"/>
            </a:rPr>
            <a:t>COMPOSIÇÃO DOS ENCARGOS SOCIAIS BÁSICOS</a:t>
          </a:r>
          <a:endParaRPr lang="pt-BR" sz="1100" b="0" strike="noStrike" spc="-1">
            <a:latin typeface="Times New Roman"/>
          </a:endParaRPr>
        </a:p>
        <a:p>
          <a:pPr algn="ctr">
            <a:lnSpc>
              <a:spcPct val="100000"/>
            </a:lnSpc>
            <a:tabLst>
              <a:tab pos="0" algn="l"/>
            </a:tabLst>
          </a:pPr>
          <a:r>
            <a:rPr lang="en-US" sz="1100" b="1" strike="noStrike" spc="-1">
              <a:solidFill>
                <a:srgbClr val="000000"/>
              </a:solidFill>
              <a:latin typeface="Arial"/>
              <a:ea typeface="Arial"/>
            </a:rPr>
            <a:t>REFERÊNCIA: JANEIRO/2025</a:t>
          </a:r>
          <a:endParaRPr lang="pt-BR" sz="1100" b="0" strike="noStrike" spc="-1">
            <a:latin typeface="Times New Roman"/>
          </a:endParaRPr>
        </a:p>
      </xdr:txBody>
    </xdr:sp>
    <xdr:clientData/>
  </xdr:twoCellAnchor>
  <xdr:twoCellAnchor editAs="oneCell">
    <xdr:from>
      <xdr:col>0</xdr:col>
      <xdr:colOff>57240</xdr:colOff>
      <xdr:row>0</xdr:row>
      <xdr:rowOff>38160</xdr:rowOff>
    </xdr:from>
    <xdr:to>
      <xdr:col>1</xdr:col>
      <xdr:colOff>118440</xdr:colOff>
      <xdr:row>1</xdr:row>
      <xdr:rowOff>113040</xdr:rowOff>
    </xdr:to>
    <xdr:pic>
      <xdr:nvPicPr>
        <xdr:cNvPr id="49" name="image3.jpg" descr="1_2_assinaturas_marca_2_reduzida">
          <a:extLst>
            <a:ext uri="{FF2B5EF4-FFF2-40B4-BE49-F238E27FC236}">
              <a16:creationId xmlns:a16="http://schemas.microsoft.com/office/drawing/2014/main" id="{00000000-0008-0000-1100-000031000000}"/>
            </a:ext>
          </a:extLst>
        </xdr:cNvPr>
        <xdr:cNvPicPr/>
      </xdr:nvPicPr>
      <xdr:blipFill>
        <a:blip xmlns:r="http://schemas.openxmlformats.org/officeDocument/2006/relationships" r:embed="rId1"/>
        <a:stretch/>
      </xdr:blipFill>
      <xdr:spPr>
        <a:xfrm>
          <a:off x="57240" y="38160"/>
          <a:ext cx="675360" cy="856080"/>
        </a:xfrm>
        <a:prstGeom prst="rect">
          <a:avLst/>
        </a:prstGeom>
        <a:ln w="0">
          <a:noFill/>
        </a:ln>
      </xdr:spPr>
    </xdr:pic>
    <xdr:clientData/>
  </xdr:twoCellAnchor>
  <xdr:twoCellAnchor editAs="oneCell">
    <xdr:from>
      <xdr:col>5</xdr:col>
      <xdr:colOff>485640</xdr:colOff>
      <xdr:row>0</xdr:row>
      <xdr:rowOff>38160</xdr:rowOff>
    </xdr:from>
    <xdr:to>
      <xdr:col>7</xdr:col>
      <xdr:colOff>592560</xdr:colOff>
      <xdr:row>0</xdr:row>
      <xdr:rowOff>770400</xdr:rowOff>
    </xdr:to>
    <xdr:pic>
      <xdr:nvPicPr>
        <xdr:cNvPr id="50" name="image21.png">
          <a:extLst>
            <a:ext uri="{FF2B5EF4-FFF2-40B4-BE49-F238E27FC236}">
              <a16:creationId xmlns:a16="http://schemas.microsoft.com/office/drawing/2014/main" id="{00000000-0008-0000-1100-000032000000}"/>
            </a:ext>
          </a:extLst>
        </xdr:cNvPr>
        <xdr:cNvPicPr/>
      </xdr:nvPicPr>
      <xdr:blipFill>
        <a:blip xmlns:r="http://schemas.openxmlformats.org/officeDocument/2006/relationships" r:embed="rId2"/>
        <a:stretch/>
      </xdr:blipFill>
      <xdr:spPr>
        <a:xfrm>
          <a:off x="3555720" y="38160"/>
          <a:ext cx="1989720" cy="732240"/>
        </a:xfrm>
        <a:prstGeom prst="rect">
          <a:avLst/>
        </a:prstGeom>
        <a:ln w="0">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181080</xdr:colOff>
      <xdr:row>0</xdr:row>
      <xdr:rowOff>76320</xdr:rowOff>
    </xdr:from>
    <xdr:to>
      <xdr:col>1</xdr:col>
      <xdr:colOff>341280</xdr:colOff>
      <xdr:row>5</xdr:row>
      <xdr:rowOff>75240</xdr:rowOff>
    </xdr:to>
    <xdr:pic>
      <xdr:nvPicPr>
        <xdr:cNvPr id="51" name="image3.jpg" descr="1_2_assinaturas_marca_2_reduzida">
          <a:extLst>
            <a:ext uri="{FF2B5EF4-FFF2-40B4-BE49-F238E27FC236}">
              <a16:creationId xmlns:a16="http://schemas.microsoft.com/office/drawing/2014/main" id="{00000000-0008-0000-1200-000033000000}"/>
            </a:ext>
          </a:extLst>
        </xdr:cNvPr>
        <xdr:cNvPicPr/>
      </xdr:nvPicPr>
      <xdr:blipFill>
        <a:blip xmlns:r="http://schemas.openxmlformats.org/officeDocument/2006/relationships" r:embed="rId1"/>
        <a:stretch/>
      </xdr:blipFill>
      <xdr:spPr>
        <a:xfrm>
          <a:off x="181080" y="76320"/>
          <a:ext cx="703800" cy="865800"/>
        </a:xfrm>
        <a:prstGeom prst="rect">
          <a:avLst/>
        </a:prstGeom>
        <a:ln w="0">
          <a:noFill/>
        </a:ln>
      </xdr:spPr>
    </xdr:pic>
    <xdr:clientData/>
  </xdr:twoCellAnchor>
  <xdr:twoCellAnchor editAs="oneCell">
    <xdr:from>
      <xdr:col>7</xdr:col>
      <xdr:colOff>57240</xdr:colOff>
      <xdr:row>0</xdr:row>
      <xdr:rowOff>114480</xdr:rowOff>
    </xdr:from>
    <xdr:to>
      <xdr:col>9</xdr:col>
      <xdr:colOff>494640</xdr:colOff>
      <xdr:row>4</xdr:row>
      <xdr:rowOff>65880</xdr:rowOff>
    </xdr:to>
    <xdr:pic>
      <xdr:nvPicPr>
        <xdr:cNvPr id="52" name="image20.png">
          <a:extLst>
            <a:ext uri="{FF2B5EF4-FFF2-40B4-BE49-F238E27FC236}">
              <a16:creationId xmlns:a16="http://schemas.microsoft.com/office/drawing/2014/main" id="{00000000-0008-0000-1200-000034000000}"/>
            </a:ext>
          </a:extLst>
        </xdr:cNvPr>
        <xdr:cNvPicPr/>
      </xdr:nvPicPr>
      <xdr:blipFill>
        <a:blip xmlns:r="http://schemas.openxmlformats.org/officeDocument/2006/relationships" r:embed="rId2"/>
        <a:stretch/>
      </xdr:blipFill>
      <xdr:spPr>
        <a:xfrm>
          <a:off x="8594640" y="114480"/>
          <a:ext cx="1665720" cy="656280"/>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ngerickdamaceno@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8" Type="http://schemas.openxmlformats.org/officeDocument/2006/relationships/hyperlink" Target="https://www.lojadomecanico.com.br/produto/145043/43/456/pistola-de-ar-comprimido-para-limpeza-14-pol-bico-curto-stels-5733055/153/?utm_source=google&amp;utm_medium=cpc&amp;utm_campaign=MONKS_GG_F_PMAX_Ferramentas_Pneumaticas&amp;utm_content=Compressor_Pneumaticas&amp;utm" TargetMode="External"/><Relationship Id="rId13" Type="http://schemas.openxmlformats.org/officeDocument/2006/relationships/hyperlink" Target="mailto:elaine@vereda.ind.br" TargetMode="External"/><Relationship Id="rId18" Type="http://schemas.openxmlformats.org/officeDocument/2006/relationships/printerSettings" Target="../printerSettings/printerSettings13.bin"/><Relationship Id="rId3" Type="http://schemas.openxmlformats.org/officeDocument/2006/relationships/hyperlink" Target="https://www.frigelar.com.br/valvula-esferica-danfoss-gbc-3-8-solda-com-porta-acesso-tipo-schrader/p/kit3679?srsltid=AfmBOoqwz_HiRkMhKf6pct3Z7W_FaMCP9unZZlhDmIskXhstB28QCv2Q" TargetMode="External"/><Relationship Id="rId7" Type="http://schemas.openxmlformats.org/officeDocument/2006/relationships/hyperlink" Target="https://www.friopecas.com.br/valvula-esfera-danfoss-com-schrader-gbc-3-4/p" TargetMode="External"/><Relationship Id="rId12" Type="http://schemas.openxmlformats.org/officeDocument/2006/relationships/hyperlink" Target="mailto:marcelo@tropicalrio.com.br" TargetMode="External"/><Relationship Id="rId17" Type="http://schemas.openxmlformats.org/officeDocument/2006/relationships/hyperlink" Target="https://loja.congelarcondicionado.com.br/produto/refnet-conexao-de-cobre-para-vrv-daikin-khrp26a22t7/" TargetMode="External"/><Relationship Id="rId2" Type="http://schemas.openxmlformats.org/officeDocument/2006/relationships/hyperlink" Target="https://www.novairlojavirtual.com.br/junta-de-derivacao/nvdk22t-junta-de-derivacao-y?srsltid=AfmBOoopXAClAlw5gvD9xobTiF8rsf-bwU2fdxxjqfggu6aVFzTlCxt8" TargetMode="External"/><Relationship Id="rId16" Type="http://schemas.openxmlformats.org/officeDocument/2006/relationships/hyperlink" Target="mailto:contato@connectacwb.com.br" TargetMode="External"/><Relationship Id="rId1" Type="http://schemas.openxmlformats.org/officeDocument/2006/relationships/hyperlink" Target="https://arcotec.com.br/produto/refinets-modelo-daikin-nvdk-com-isolamento/" TargetMode="External"/><Relationship Id="rId6" Type="http://schemas.openxmlformats.org/officeDocument/2006/relationships/hyperlink" Target="http://www.arcotec.com/" TargetMode="External"/><Relationship Id="rId11" Type="http://schemas.openxmlformats.org/officeDocument/2006/relationships/hyperlink" Target="mailto:thais.augusto@industriastosi.com.br" TargetMode="External"/><Relationship Id="rId5" Type="http://schemas.openxmlformats.org/officeDocument/2006/relationships/hyperlink" Target="http://www.frigelar.com.br/" TargetMode="External"/><Relationship Id="rId15" Type="http://schemas.openxmlformats.org/officeDocument/2006/relationships/hyperlink" Target="https://www.centralar.com.br/p/refnet-conexao-de-cobre-para-vrv-daikin-khrp26a33t7.html?srsltid=AfmBOoq_siHC70Kdp849g_P5VqnPVaIYZeSrnPumKNzADPMZfjZWyh9d" TargetMode="External"/><Relationship Id="rId10" Type="http://schemas.openxmlformats.org/officeDocument/2006/relationships/hyperlink" Target="https://www.daazrolamentos.com/pistola-pulverizadora-14-garden-36055?parceiro=7201&amp;utm_source=&amp;utm_medium=&amp;utm_campaign=&amp;utm_content=&amp;utm_term=&amp;gad_source=1&amp;gad_campaignid=22588863088&amp;gbraid=0AAAAAofPffh_WzMzxQo-eUuz7LPfu7tu0&amp;gclid=CjwKCAjw04HIBhB8EiwA8jG" TargetMode="External"/><Relationship Id="rId19" Type="http://schemas.openxmlformats.org/officeDocument/2006/relationships/drawing" Target="../drawings/drawing12.xml"/><Relationship Id="rId4" Type="http://schemas.openxmlformats.org/officeDocument/2006/relationships/hyperlink" Target="http://www.dufrio.com.br/" TargetMode="External"/><Relationship Id="rId9" Type="http://schemas.openxmlformats.org/officeDocument/2006/relationships/hyperlink" Target="https://www.dutramaquinas.com.br/p/pistola-de-ar-para-limpeza-bico-curto-com-corpo-em-aluminio-5733055" TargetMode="External"/><Relationship Id="rId14" Type="http://schemas.openxmlformats.org/officeDocument/2006/relationships/hyperlink" Target="mailto:contato@connectacwb.com.br"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caixa.gov.br/Downloads/sinapi-especificacoes-tecnicas-de-insumos/SINAPI_Fichas_Especificacao_Tecnica_Insumos.pdf" TargetMode="Externa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5.xml"/><Relationship Id="rId1" Type="http://schemas.openxmlformats.org/officeDocument/2006/relationships/printerSettings" Target="../printerSettings/printerSettings17.bin"/><Relationship Id="rId4" Type="http://schemas.openxmlformats.org/officeDocument/2006/relationships/comments" Target="../comments6.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7.xml"/><Relationship Id="rId1" Type="http://schemas.openxmlformats.org/officeDocument/2006/relationships/printerSettings" Target="../printerSettings/printerSettings19.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000"/>
  <sheetViews>
    <sheetView view="pageBreakPreview" topLeftCell="A3" zoomScale="115" zoomScaleNormal="100" zoomScaleSheetLayoutView="115" zoomScalePageLayoutView="62" workbookViewId="0">
      <selection activeCell="I19" sqref="I19"/>
    </sheetView>
  </sheetViews>
  <sheetFormatPr defaultColWidth="14.42578125" defaultRowHeight="15" x14ac:dyDescent="0.25"/>
  <cols>
    <col min="1" max="1" width="11.7109375" customWidth="1"/>
    <col min="2" max="2" width="11.5703125" customWidth="1"/>
    <col min="3" max="3" width="11.28515625" customWidth="1"/>
    <col min="4" max="4" width="10" customWidth="1"/>
    <col min="5" max="6" width="9.7109375" customWidth="1"/>
    <col min="7" max="7" width="21.5703125" customWidth="1"/>
    <col min="8" max="14" width="4.5703125" customWidth="1"/>
    <col min="15" max="15" width="6.42578125" customWidth="1"/>
    <col min="16" max="16" width="9.5703125" customWidth="1"/>
    <col min="17" max="17" width="9" customWidth="1"/>
    <col min="18" max="20" width="8.7109375" customWidth="1"/>
    <col min="21" max="21" width="30" hidden="1" customWidth="1"/>
    <col min="22" max="23" width="8.7109375" customWidth="1"/>
    <col min="24" max="24" width="25" customWidth="1"/>
    <col min="25" max="25" width="15.140625" customWidth="1"/>
    <col min="26" max="26" width="8.7109375" customWidth="1"/>
  </cols>
  <sheetData>
    <row r="1" spans="1:21" x14ac:dyDescent="0.25">
      <c r="E1" s="3"/>
      <c r="F1" s="3"/>
      <c r="G1" s="3"/>
      <c r="H1" s="3"/>
      <c r="I1" s="3"/>
      <c r="J1" s="3"/>
    </row>
    <row r="2" spans="1:21" x14ac:dyDescent="0.25">
      <c r="E2" s="3"/>
      <c r="F2" s="3"/>
      <c r="G2" s="3"/>
      <c r="H2" s="3"/>
      <c r="I2" s="3"/>
      <c r="J2" s="3"/>
      <c r="U2" s="4" t="s">
        <v>0</v>
      </c>
    </row>
    <row r="3" spans="1:21" x14ac:dyDescent="0.25">
      <c r="E3" s="3"/>
      <c r="F3" s="3"/>
      <c r="G3" s="3"/>
      <c r="H3" s="3"/>
      <c r="I3" s="3"/>
      <c r="J3" s="3"/>
      <c r="U3" s="4" t="s">
        <v>1</v>
      </c>
    </row>
    <row r="4" spans="1:21" x14ac:dyDescent="0.25">
      <c r="E4" s="3"/>
      <c r="F4" s="3"/>
      <c r="G4" s="3"/>
      <c r="H4" s="3"/>
      <c r="I4" s="3"/>
      <c r="J4" s="3"/>
      <c r="U4" s="4" t="s">
        <v>2</v>
      </c>
    </row>
    <row r="5" spans="1:21" x14ac:dyDescent="0.25">
      <c r="E5" s="3"/>
      <c r="F5" s="3"/>
      <c r="G5" s="3"/>
      <c r="H5" s="3"/>
      <c r="I5" s="3"/>
      <c r="J5" s="3"/>
      <c r="U5" s="4" t="s">
        <v>3</v>
      </c>
    </row>
    <row r="6" spans="1:21" x14ac:dyDescent="0.25">
      <c r="E6" s="3"/>
      <c r="F6" s="3"/>
      <c r="G6" s="3"/>
      <c r="H6" s="3"/>
      <c r="I6" s="3"/>
      <c r="J6" s="3"/>
      <c r="U6" s="4" t="s">
        <v>4</v>
      </c>
    </row>
    <row r="7" spans="1:21" x14ac:dyDescent="0.25">
      <c r="A7" s="5"/>
      <c r="B7" s="5"/>
      <c r="C7" s="5"/>
      <c r="D7" s="5"/>
      <c r="E7" s="6"/>
      <c r="F7" s="6"/>
      <c r="G7" s="6"/>
      <c r="H7" s="6"/>
      <c r="I7" s="6"/>
      <c r="J7" s="6"/>
      <c r="K7" s="5"/>
      <c r="L7" s="5"/>
      <c r="M7" s="5"/>
      <c r="N7" s="5"/>
      <c r="O7" s="5"/>
      <c r="P7" s="5"/>
      <c r="U7" s="4" t="s">
        <v>5</v>
      </c>
    </row>
    <row r="8" spans="1:21" x14ac:dyDescent="0.25">
      <c r="A8" s="7"/>
      <c r="B8" s="8"/>
      <c r="C8" s="8"/>
      <c r="D8" s="8"/>
      <c r="E8" s="9"/>
      <c r="F8" s="9"/>
      <c r="G8" s="9"/>
      <c r="H8" s="9"/>
      <c r="I8" s="9"/>
      <c r="J8" s="9"/>
      <c r="K8" s="8"/>
      <c r="L8" s="8"/>
      <c r="M8" s="8"/>
      <c r="N8" s="8"/>
      <c r="O8" s="8"/>
      <c r="P8" s="10"/>
      <c r="U8" s="4" t="s">
        <v>6</v>
      </c>
    </row>
    <row r="9" spans="1:21" x14ac:dyDescent="0.25">
      <c r="A9" s="11"/>
      <c r="B9" s="12"/>
      <c r="C9" s="12"/>
      <c r="D9" s="12"/>
      <c r="E9" s="13"/>
      <c r="F9" s="13"/>
      <c r="G9" s="13"/>
      <c r="H9" s="13"/>
      <c r="I9" s="13"/>
      <c r="J9" s="13"/>
      <c r="K9" s="12"/>
      <c r="L9" s="12"/>
      <c r="M9" s="12"/>
      <c r="N9" s="12"/>
      <c r="O9" s="12"/>
      <c r="P9" s="14"/>
      <c r="U9" s="4" t="s">
        <v>7</v>
      </c>
    </row>
    <row r="10" spans="1:21" ht="15.75" x14ac:dyDescent="0.25">
      <c r="A10" s="11"/>
      <c r="B10" s="15" t="s">
        <v>8</v>
      </c>
      <c r="C10" s="12"/>
      <c r="D10" s="12"/>
      <c r="E10" s="13"/>
      <c r="F10" s="13"/>
      <c r="G10" s="13"/>
      <c r="H10" s="13"/>
      <c r="I10" s="13"/>
      <c r="J10" s="13"/>
      <c r="K10" s="12"/>
      <c r="L10" s="12"/>
      <c r="M10" s="12"/>
      <c r="N10" s="12"/>
      <c r="O10" s="12"/>
      <c r="P10" s="14"/>
      <c r="U10" s="4" t="s">
        <v>9</v>
      </c>
    </row>
    <row r="11" spans="1:21" ht="15.75" x14ac:dyDescent="0.25">
      <c r="A11" s="11"/>
      <c r="B11" s="16"/>
      <c r="C11" s="12"/>
      <c r="D11" s="12"/>
      <c r="E11" s="13"/>
      <c r="F11" s="13"/>
      <c r="G11" s="13"/>
      <c r="H11" s="13"/>
      <c r="I11" s="13"/>
      <c r="J11" s="13"/>
      <c r="K11" s="12"/>
      <c r="L11" s="12"/>
      <c r="M11" s="12"/>
      <c r="N11" s="12"/>
      <c r="O11" s="12"/>
      <c r="P11" s="14"/>
      <c r="U11" s="4" t="s">
        <v>10</v>
      </c>
    </row>
    <row r="12" spans="1:21" ht="16.5" customHeight="1" x14ac:dyDescent="0.25">
      <c r="A12" s="11"/>
      <c r="B12" s="17" t="s">
        <v>11</v>
      </c>
      <c r="C12" s="5"/>
      <c r="D12" s="802" t="s">
        <v>12</v>
      </c>
      <c r="E12" s="802"/>
      <c r="F12" s="802"/>
      <c r="G12" s="802"/>
      <c r="H12" s="802"/>
      <c r="I12" s="802"/>
      <c r="J12" s="802"/>
      <c r="K12" s="17" t="s">
        <v>13</v>
      </c>
      <c r="L12" s="18"/>
      <c r="M12" s="802" t="s">
        <v>14</v>
      </c>
      <c r="N12" s="802"/>
      <c r="O12" s="802"/>
      <c r="P12" s="14"/>
      <c r="U12" s="4" t="s">
        <v>10</v>
      </c>
    </row>
    <row r="13" spans="1:21" ht="15.75" x14ac:dyDescent="0.25">
      <c r="A13" s="11"/>
      <c r="B13" s="16"/>
      <c r="C13" s="12"/>
      <c r="D13" s="12"/>
      <c r="E13" s="13"/>
      <c r="F13" s="13"/>
      <c r="G13" s="13"/>
      <c r="H13" s="13"/>
      <c r="I13" s="13"/>
      <c r="J13" s="13"/>
      <c r="K13" s="12"/>
      <c r="L13" s="12"/>
      <c r="M13" s="12"/>
      <c r="N13" s="12"/>
      <c r="O13" s="12"/>
      <c r="P13" s="14"/>
      <c r="U13" s="4" t="s">
        <v>15</v>
      </c>
    </row>
    <row r="14" spans="1:21" ht="15.75" customHeight="1" x14ac:dyDescent="0.25">
      <c r="A14" s="11"/>
      <c r="B14" s="17" t="s">
        <v>16</v>
      </c>
      <c r="C14" s="5"/>
      <c r="D14" s="802" t="s">
        <v>20542</v>
      </c>
      <c r="E14" s="802"/>
      <c r="F14" s="802"/>
      <c r="G14" s="802"/>
      <c r="H14" s="802"/>
      <c r="I14" s="802"/>
      <c r="J14" s="802"/>
      <c r="K14" s="802"/>
      <c r="L14" s="802"/>
      <c r="M14" s="802"/>
      <c r="N14" s="802"/>
      <c r="O14" s="802"/>
      <c r="P14" s="14"/>
      <c r="U14" s="4" t="s">
        <v>18</v>
      </c>
    </row>
    <row r="15" spans="1:21" ht="15.75" x14ac:dyDescent="0.25">
      <c r="A15" s="11"/>
      <c r="B15" s="16"/>
      <c r="C15" s="12"/>
      <c r="D15" s="19"/>
      <c r="E15" s="20"/>
      <c r="F15" s="20"/>
      <c r="G15" s="20"/>
      <c r="H15" s="20"/>
      <c r="I15" s="20"/>
      <c r="J15" s="20"/>
      <c r="K15" s="21"/>
      <c r="L15" s="21"/>
      <c r="M15" s="21"/>
      <c r="N15" s="12"/>
      <c r="O15" s="12"/>
      <c r="P15" s="14"/>
      <c r="U15" s="4" t="s">
        <v>19</v>
      </c>
    </row>
    <row r="16" spans="1:21" ht="15.75" x14ac:dyDescent="0.25">
      <c r="A16" s="11"/>
      <c r="B16" s="17" t="s">
        <v>20</v>
      </c>
      <c r="C16" s="5"/>
      <c r="D16" s="803" t="s">
        <v>183</v>
      </c>
      <c r="E16" s="803"/>
      <c r="F16" s="803"/>
      <c r="G16" s="803"/>
      <c r="H16" s="804" t="s">
        <v>21</v>
      </c>
      <c r="I16" s="804"/>
      <c r="J16" s="804"/>
      <c r="K16" s="804"/>
      <c r="L16" s="804"/>
      <c r="M16" s="805">
        <f>+'FOLHA FECHAMENTO'!H28</f>
        <v>6698621.8399952278</v>
      </c>
      <c r="N16" s="805"/>
      <c r="O16" s="805"/>
      <c r="P16" s="22"/>
      <c r="U16" s="4" t="s">
        <v>22</v>
      </c>
    </row>
    <row r="17" spans="1:21" ht="15.75" x14ac:dyDescent="0.25">
      <c r="A17" s="11"/>
      <c r="B17" s="16"/>
      <c r="C17" s="12"/>
      <c r="D17" s="19"/>
      <c r="E17" s="20"/>
      <c r="F17" s="20"/>
      <c r="G17" s="20"/>
      <c r="H17" s="20"/>
      <c r="I17" s="20"/>
      <c r="J17" s="20"/>
      <c r="K17" s="21"/>
      <c r="L17" s="21"/>
      <c r="M17" s="21"/>
      <c r="N17" s="12"/>
      <c r="O17" s="12"/>
      <c r="P17" s="14"/>
      <c r="U17" s="4" t="s">
        <v>23</v>
      </c>
    </row>
    <row r="18" spans="1:21" ht="15.75" x14ac:dyDescent="0.25">
      <c r="A18" s="11"/>
      <c r="B18" s="17" t="s">
        <v>24</v>
      </c>
      <c r="C18" s="5"/>
      <c r="D18" s="802">
        <v>812.89</v>
      </c>
      <c r="E18" s="802"/>
      <c r="F18" s="802"/>
      <c r="G18" s="16"/>
      <c r="H18" s="806" t="s">
        <v>25</v>
      </c>
      <c r="I18" s="806"/>
      <c r="J18" s="806"/>
      <c r="K18" s="806"/>
      <c r="L18" s="806"/>
      <c r="M18" s="807">
        <f>IF(D18&lt;&gt;"",M16/D18," ")</f>
        <v>8240.5022081649768</v>
      </c>
      <c r="N18" s="807"/>
      <c r="O18" s="807"/>
      <c r="P18" s="23"/>
      <c r="U18" s="4" t="s">
        <v>26</v>
      </c>
    </row>
    <row r="19" spans="1:21" x14ac:dyDescent="0.25">
      <c r="A19" s="11"/>
      <c r="B19" s="12"/>
      <c r="C19" s="12"/>
      <c r="D19" s="12"/>
      <c r="E19" s="13"/>
      <c r="F19" s="13"/>
      <c r="G19" s="13"/>
      <c r="H19" s="13"/>
      <c r="I19" s="13"/>
      <c r="J19" s="13"/>
      <c r="K19" s="12"/>
      <c r="L19" s="12"/>
      <c r="M19" s="12"/>
      <c r="N19" s="12"/>
      <c r="O19" s="12"/>
      <c r="P19" s="14"/>
      <c r="U19" s="4" t="s">
        <v>27</v>
      </c>
    </row>
    <row r="20" spans="1:21" ht="15.75" x14ac:dyDescent="0.25">
      <c r="A20" s="11"/>
      <c r="B20" s="17" t="s">
        <v>28</v>
      </c>
      <c r="C20" s="5"/>
      <c r="D20" s="808">
        <f ca="1">TODAY()</f>
        <v>46142</v>
      </c>
      <c r="E20" s="808"/>
      <c r="F20" s="808"/>
      <c r="G20" s="13"/>
      <c r="H20" s="13"/>
      <c r="I20" s="13"/>
      <c r="J20" s="13"/>
      <c r="K20" s="12"/>
      <c r="L20" s="12"/>
      <c r="M20" s="12"/>
      <c r="N20" s="12"/>
      <c r="O20" s="12"/>
      <c r="P20" s="14"/>
      <c r="U20" s="4" t="s">
        <v>29</v>
      </c>
    </row>
    <row r="21" spans="1:21" ht="15.75" customHeight="1" x14ac:dyDescent="0.25">
      <c r="A21" s="11"/>
      <c r="B21" s="12"/>
      <c r="C21" s="12"/>
      <c r="D21" s="12"/>
      <c r="E21" s="13"/>
      <c r="F21" s="13"/>
      <c r="G21" s="13"/>
      <c r="H21" s="13"/>
      <c r="I21" s="13"/>
      <c r="J21" s="13"/>
      <c r="K21" s="12"/>
      <c r="L21" s="12"/>
      <c r="M21" s="12"/>
      <c r="N21" s="12"/>
      <c r="O21" s="12"/>
      <c r="P21" s="14"/>
      <c r="U21" s="4" t="s">
        <v>30</v>
      </c>
    </row>
    <row r="22" spans="1:21" ht="15.75" customHeight="1" x14ac:dyDescent="0.25">
      <c r="A22" s="11"/>
      <c r="B22" s="15" t="s">
        <v>31</v>
      </c>
      <c r="C22" s="24"/>
      <c r="D22" s="24"/>
      <c r="E22" s="13"/>
      <c r="F22" s="13"/>
      <c r="G22" s="13"/>
      <c r="H22" s="13"/>
      <c r="I22" s="13"/>
      <c r="J22" s="13"/>
      <c r="K22" s="12"/>
      <c r="L22" s="12"/>
      <c r="M22" s="809"/>
      <c r="N22" s="809"/>
      <c r="O22" s="809"/>
      <c r="P22" s="809"/>
      <c r="U22" s="4" t="s">
        <v>32</v>
      </c>
    </row>
    <row r="23" spans="1:21" ht="15.75" customHeight="1" x14ac:dyDescent="0.25">
      <c r="A23" s="11"/>
      <c r="B23" s="16"/>
      <c r="C23" s="12"/>
      <c r="D23" s="12"/>
      <c r="E23" s="13"/>
      <c r="F23" s="13"/>
      <c r="G23" s="13"/>
      <c r="H23" s="13"/>
      <c r="I23" s="13"/>
      <c r="J23" s="13"/>
      <c r="K23" s="12"/>
      <c r="L23" s="12"/>
      <c r="M23" s="12"/>
      <c r="N23" s="12"/>
      <c r="O23" s="12"/>
      <c r="P23" s="14"/>
      <c r="U23" s="4" t="s">
        <v>33</v>
      </c>
    </row>
    <row r="24" spans="1:21" ht="15.75" customHeight="1" x14ac:dyDescent="0.25">
      <c r="A24" s="11"/>
      <c r="B24" s="17" t="s">
        <v>34</v>
      </c>
      <c r="C24" s="5"/>
      <c r="D24" s="802" t="s">
        <v>20450</v>
      </c>
      <c r="E24" s="802"/>
      <c r="F24" s="802"/>
      <c r="G24" s="802"/>
      <c r="H24" s="802"/>
      <c r="I24" s="802"/>
      <c r="J24" s="802"/>
      <c r="K24" s="802"/>
      <c r="L24" s="802"/>
      <c r="M24" s="802"/>
      <c r="N24" s="802"/>
      <c r="O24" s="802"/>
      <c r="P24" s="14"/>
      <c r="U24" s="4" t="s">
        <v>35</v>
      </c>
    </row>
    <row r="25" spans="1:21" ht="15.75" customHeight="1" x14ac:dyDescent="0.25">
      <c r="A25" s="11"/>
      <c r="B25" s="16"/>
      <c r="C25" s="12"/>
      <c r="D25" s="12"/>
      <c r="E25" s="13"/>
      <c r="F25" s="13"/>
      <c r="G25" s="13"/>
      <c r="H25" s="13"/>
      <c r="I25" s="13"/>
      <c r="J25" s="13"/>
      <c r="K25" s="12"/>
      <c r="L25" s="12"/>
      <c r="M25" s="12"/>
      <c r="N25" s="12"/>
      <c r="O25" s="12"/>
      <c r="P25" s="14"/>
      <c r="U25" s="4" t="s">
        <v>36</v>
      </c>
    </row>
    <row r="26" spans="1:21" ht="15.75" customHeight="1" x14ac:dyDescent="0.25">
      <c r="A26" s="11"/>
      <c r="B26" s="17" t="s">
        <v>37</v>
      </c>
      <c r="C26" s="5"/>
      <c r="D26" s="802" t="s">
        <v>20451</v>
      </c>
      <c r="E26" s="802"/>
      <c r="F26" s="802"/>
      <c r="G26" s="802"/>
      <c r="H26" s="802"/>
      <c r="I26" s="802"/>
      <c r="J26" s="802"/>
      <c r="K26" s="802"/>
      <c r="L26" s="802"/>
      <c r="M26" s="802"/>
      <c r="N26" s="802"/>
      <c r="O26" s="802"/>
      <c r="P26" s="14"/>
      <c r="U26" s="4" t="s">
        <v>38</v>
      </c>
    </row>
    <row r="27" spans="1:21" ht="15.75" customHeight="1" x14ac:dyDescent="0.25">
      <c r="A27" s="11"/>
      <c r="B27" s="16"/>
      <c r="C27" s="12"/>
      <c r="D27" s="12"/>
      <c r="E27" s="13"/>
      <c r="F27" s="13"/>
      <c r="G27" s="13"/>
      <c r="H27" s="13"/>
      <c r="I27" s="13"/>
      <c r="J27" s="13"/>
      <c r="K27" s="12"/>
      <c r="L27" s="12"/>
      <c r="M27" s="12"/>
      <c r="N27" s="12"/>
      <c r="O27" s="12"/>
      <c r="P27" s="14"/>
      <c r="U27" s="4" t="s">
        <v>39</v>
      </c>
    </row>
    <row r="28" spans="1:21" ht="15.75" customHeight="1" x14ac:dyDescent="0.25">
      <c r="A28" s="11"/>
      <c r="B28" s="17" t="s">
        <v>40</v>
      </c>
      <c r="C28" s="5"/>
      <c r="D28" s="802" t="s">
        <v>20452</v>
      </c>
      <c r="E28" s="802"/>
      <c r="F28" s="802"/>
      <c r="G28" s="802"/>
      <c r="H28" s="802"/>
      <c r="I28" s="802"/>
      <c r="J28" s="802"/>
      <c r="K28" s="802"/>
      <c r="L28" s="802"/>
      <c r="M28" s="802"/>
      <c r="N28" s="802"/>
      <c r="O28" s="802"/>
      <c r="P28" s="14"/>
      <c r="U28" s="4" t="s">
        <v>41</v>
      </c>
    </row>
    <row r="29" spans="1:21" ht="15.75" customHeight="1" x14ac:dyDescent="0.25">
      <c r="A29" s="11"/>
      <c r="B29" s="16"/>
      <c r="C29" s="12"/>
      <c r="D29" s="12"/>
      <c r="E29" s="20"/>
      <c r="F29" s="20"/>
      <c r="G29" s="20"/>
      <c r="H29" s="20"/>
      <c r="I29" s="20"/>
      <c r="J29" s="20"/>
      <c r="K29" s="21"/>
      <c r="L29" s="21"/>
      <c r="M29" s="21"/>
      <c r="N29" s="12"/>
      <c r="O29" s="12"/>
      <c r="P29" s="14"/>
      <c r="U29" s="4" t="s">
        <v>42</v>
      </c>
    </row>
    <row r="30" spans="1:21" ht="15.75" customHeight="1" x14ac:dyDescent="0.25">
      <c r="A30" s="11"/>
      <c r="B30" s="17" t="s">
        <v>43</v>
      </c>
      <c r="C30" s="5"/>
      <c r="D30" s="810">
        <v>1720261230534</v>
      </c>
      <c r="E30" s="810"/>
      <c r="F30" s="810"/>
      <c r="G30" s="810"/>
      <c r="H30" s="810"/>
      <c r="I30" s="810"/>
      <c r="J30" s="810"/>
      <c r="K30" s="802"/>
      <c r="L30" s="802"/>
      <c r="M30" s="802"/>
      <c r="N30" s="802"/>
      <c r="O30" s="802"/>
      <c r="P30" s="14"/>
      <c r="U30" s="4" t="s">
        <v>44</v>
      </c>
    </row>
    <row r="31" spans="1:21" ht="15.75" customHeight="1" x14ac:dyDescent="0.25">
      <c r="A31" s="11"/>
      <c r="B31" s="16"/>
      <c r="C31" s="12"/>
      <c r="D31" s="12"/>
      <c r="E31" s="13"/>
      <c r="F31" s="13"/>
      <c r="G31" s="13"/>
      <c r="H31" s="13"/>
      <c r="I31" s="13"/>
      <c r="J31" s="13"/>
      <c r="K31" s="12"/>
      <c r="L31" s="12"/>
      <c r="M31" s="12"/>
      <c r="N31" s="12"/>
      <c r="O31" s="12"/>
      <c r="P31" s="14"/>
      <c r="U31" s="4" t="s">
        <v>45</v>
      </c>
    </row>
    <row r="32" spans="1:21" ht="15.75" customHeight="1" x14ac:dyDescent="0.25">
      <c r="A32" s="11"/>
      <c r="B32" s="17" t="s">
        <v>46</v>
      </c>
      <c r="C32" s="5"/>
      <c r="D32" s="802" t="s">
        <v>20453</v>
      </c>
      <c r="E32" s="802"/>
      <c r="F32" s="802"/>
      <c r="G32" s="802"/>
      <c r="H32" s="802"/>
      <c r="I32" s="802"/>
      <c r="J32" s="802"/>
      <c r="K32" s="802"/>
      <c r="L32" s="802"/>
      <c r="M32" s="802"/>
      <c r="N32" s="802"/>
      <c r="O32" s="802"/>
      <c r="P32" s="14"/>
      <c r="U32" s="4" t="s">
        <v>47</v>
      </c>
    </row>
    <row r="33" spans="1:25" ht="15.75" customHeight="1" x14ac:dyDescent="0.25">
      <c r="A33" s="11"/>
      <c r="B33" s="16"/>
      <c r="C33" s="12"/>
      <c r="D33" s="12"/>
      <c r="E33" s="13"/>
      <c r="F33" s="13"/>
      <c r="G33" s="13"/>
      <c r="H33" s="13"/>
      <c r="I33" s="13"/>
      <c r="J33" s="13"/>
      <c r="K33" s="12"/>
      <c r="L33" s="12"/>
      <c r="M33" s="12"/>
      <c r="N33" s="12"/>
      <c r="O33" s="12"/>
      <c r="P33" s="14"/>
      <c r="U33" s="4" t="s">
        <v>48</v>
      </c>
    </row>
    <row r="34" spans="1:25" ht="15.75" customHeight="1" x14ac:dyDescent="0.25">
      <c r="A34" s="11"/>
      <c r="B34" s="17" t="s">
        <v>49</v>
      </c>
      <c r="C34" s="5"/>
      <c r="D34" s="802" t="s">
        <v>20454</v>
      </c>
      <c r="E34" s="802"/>
      <c r="F34" s="802"/>
      <c r="G34" s="802"/>
      <c r="H34" s="802"/>
      <c r="I34" s="802"/>
      <c r="J34" s="802"/>
      <c r="K34" s="802"/>
      <c r="L34" s="802"/>
      <c r="M34" s="802"/>
      <c r="N34" s="802"/>
      <c r="O34" s="802"/>
      <c r="P34" s="14"/>
      <c r="U34" s="4" t="s">
        <v>50</v>
      </c>
    </row>
    <row r="35" spans="1:25" ht="15.75" customHeight="1" x14ac:dyDescent="0.25">
      <c r="A35" s="11"/>
      <c r="B35" s="16"/>
      <c r="C35" s="12"/>
      <c r="D35" s="12"/>
      <c r="E35" s="20"/>
      <c r="F35" s="20"/>
      <c r="G35" s="20"/>
      <c r="H35" s="20"/>
      <c r="I35" s="20"/>
      <c r="J35" s="20"/>
      <c r="K35" s="21"/>
      <c r="L35" s="21"/>
      <c r="M35" s="21"/>
      <c r="N35" s="12"/>
      <c r="O35" s="12"/>
      <c r="P35" s="14"/>
      <c r="U35" s="4" t="s">
        <v>51</v>
      </c>
    </row>
    <row r="36" spans="1:25" ht="15.75" customHeight="1" x14ac:dyDescent="0.25">
      <c r="A36" s="11"/>
      <c r="B36" s="17" t="s">
        <v>52</v>
      </c>
      <c r="C36" s="5"/>
      <c r="D36" s="811" t="s">
        <v>20455</v>
      </c>
      <c r="E36" s="812"/>
      <c r="F36" s="812"/>
      <c r="G36" s="812"/>
      <c r="H36" s="812"/>
      <c r="I36" s="812"/>
      <c r="J36" s="812"/>
      <c r="K36" s="802"/>
      <c r="L36" s="802"/>
      <c r="M36" s="802"/>
      <c r="N36" s="802"/>
      <c r="O36" s="802"/>
      <c r="P36" s="14"/>
      <c r="U36" s="4" t="s">
        <v>53</v>
      </c>
    </row>
    <row r="37" spans="1:25" ht="15.75" customHeight="1" x14ac:dyDescent="0.25">
      <c r="A37" s="11"/>
      <c r="B37" s="12"/>
      <c r="C37" s="12"/>
      <c r="D37" s="12"/>
      <c r="E37" s="13"/>
      <c r="F37" s="13"/>
      <c r="G37" s="13"/>
      <c r="H37" s="13"/>
      <c r="I37" s="13"/>
      <c r="J37" s="13"/>
      <c r="K37" s="12"/>
      <c r="L37" s="12"/>
      <c r="M37" s="12"/>
      <c r="N37" s="12"/>
      <c r="O37" s="12"/>
      <c r="P37" s="14"/>
      <c r="U37" s="4" t="s">
        <v>54</v>
      </c>
    </row>
    <row r="38" spans="1:25" ht="15.75" customHeight="1" x14ac:dyDescent="0.25">
      <c r="A38" s="11"/>
      <c r="B38" s="15" t="s">
        <v>55</v>
      </c>
      <c r="C38" s="12"/>
      <c r="D38" s="12"/>
      <c r="E38" s="13"/>
      <c r="F38" s="13"/>
      <c r="G38" s="13"/>
      <c r="H38" s="13"/>
      <c r="I38" s="13"/>
      <c r="J38" s="13"/>
      <c r="K38" s="12"/>
      <c r="L38" s="12"/>
      <c r="M38" s="12"/>
      <c r="N38" s="12"/>
      <c r="O38" s="12"/>
      <c r="P38" s="14"/>
      <c r="U38" s="4" t="s">
        <v>56</v>
      </c>
    </row>
    <row r="39" spans="1:25" ht="15.75" customHeight="1" x14ac:dyDescent="0.25">
      <c r="A39" s="11"/>
      <c r="C39" s="12"/>
      <c r="D39" s="12"/>
      <c r="E39" s="13"/>
      <c r="F39" s="13"/>
      <c r="G39" s="13"/>
      <c r="H39" s="13"/>
      <c r="I39" s="13"/>
      <c r="J39" s="13"/>
      <c r="K39" s="12"/>
      <c r="L39" s="12"/>
      <c r="M39" s="12"/>
      <c r="N39" s="12"/>
      <c r="O39" s="12"/>
      <c r="P39" s="14"/>
      <c r="U39" s="4" t="s">
        <v>57</v>
      </c>
    </row>
    <row r="40" spans="1:25" ht="15.75" customHeight="1" x14ac:dyDescent="0.25">
      <c r="A40" s="11"/>
      <c r="B40" s="15" t="s">
        <v>58</v>
      </c>
      <c r="C40" s="24"/>
      <c r="D40" s="24"/>
      <c r="E40" s="25"/>
      <c r="F40" s="25"/>
      <c r="G40" s="25"/>
      <c r="H40" s="25" t="s">
        <v>59</v>
      </c>
      <c r="I40" s="25"/>
      <c r="J40" s="25"/>
      <c r="K40" s="25" t="s">
        <v>60</v>
      </c>
      <c r="L40" s="25"/>
      <c r="M40" s="25"/>
      <c r="O40" s="25"/>
      <c r="P40" s="14"/>
      <c r="U40" s="4" t="s">
        <v>61</v>
      </c>
    </row>
    <row r="41" spans="1:25" ht="15.75" customHeight="1" x14ac:dyDescent="0.25">
      <c r="A41" s="11"/>
      <c r="B41" s="16"/>
      <c r="C41" s="12"/>
      <c r="D41" s="12"/>
      <c r="E41" s="13"/>
      <c r="F41" s="13"/>
      <c r="G41" s="13"/>
      <c r="H41" s="13"/>
      <c r="I41" s="13"/>
      <c r="J41" s="13"/>
      <c r="K41" s="12"/>
      <c r="L41" s="12"/>
      <c r="M41" s="12"/>
      <c r="O41" s="12"/>
      <c r="P41" s="14"/>
      <c r="U41" s="4" t="s">
        <v>62</v>
      </c>
    </row>
    <row r="42" spans="1:25" ht="15.75" customHeight="1" x14ac:dyDescent="0.25">
      <c r="A42" s="26"/>
      <c r="B42" s="16" t="s">
        <v>63</v>
      </c>
      <c r="C42" s="12"/>
      <c r="D42" s="12"/>
      <c r="E42" s="13"/>
      <c r="F42" s="13"/>
      <c r="G42" s="13"/>
      <c r="H42" s="27" t="s">
        <v>64</v>
      </c>
      <c r="I42" s="13"/>
      <c r="J42" s="13"/>
      <c r="K42" s="27"/>
      <c r="L42" s="28"/>
      <c r="M42" s="28"/>
      <c r="O42" s="12"/>
      <c r="P42" s="29"/>
      <c r="Q42" s="30"/>
      <c r="R42" s="30"/>
      <c r="S42" s="30"/>
      <c r="T42" s="30"/>
      <c r="U42" s="4" t="s">
        <v>65</v>
      </c>
      <c r="V42" s="30"/>
      <c r="W42" s="30"/>
      <c r="X42" s="30"/>
      <c r="Y42" s="30"/>
    </row>
    <row r="43" spans="1:25" ht="15.75" customHeight="1" x14ac:dyDescent="0.25">
      <c r="A43" s="11"/>
      <c r="B43" s="16"/>
      <c r="C43" s="12"/>
      <c r="D43" s="12"/>
      <c r="E43" s="13"/>
      <c r="F43" s="13"/>
      <c r="G43" s="13"/>
      <c r="H43" s="13"/>
      <c r="I43" s="13"/>
      <c r="J43" s="13"/>
      <c r="K43" s="13"/>
      <c r="L43" s="13"/>
      <c r="M43" s="13"/>
      <c r="O43" s="12"/>
      <c r="P43" s="14"/>
      <c r="U43" s="4" t="s">
        <v>66</v>
      </c>
    </row>
    <row r="44" spans="1:25" ht="15.75" customHeight="1" x14ac:dyDescent="0.25">
      <c r="A44" s="11"/>
      <c r="B44" s="16" t="s">
        <v>67</v>
      </c>
      <c r="C44" s="12"/>
      <c r="D44" s="12"/>
      <c r="E44" s="13"/>
      <c r="F44" s="13"/>
      <c r="G44" s="13"/>
      <c r="H44" s="27" t="s">
        <v>64</v>
      </c>
      <c r="I44" s="13"/>
      <c r="J44" s="13"/>
      <c r="K44" s="27"/>
      <c r="L44" s="13"/>
      <c r="M44" s="13"/>
      <c r="O44" s="12"/>
      <c r="P44" s="14"/>
      <c r="U44" s="4" t="s">
        <v>66</v>
      </c>
    </row>
    <row r="45" spans="1:25" ht="15.75" customHeight="1" x14ac:dyDescent="0.25">
      <c r="A45" s="11"/>
      <c r="B45" s="16"/>
      <c r="C45" s="12"/>
      <c r="D45" s="12"/>
      <c r="E45" s="13"/>
      <c r="F45" s="13"/>
      <c r="G45" s="13"/>
      <c r="H45" s="13"/>
      <c r="I45" s="13"/>
      <c r="J45" s="13"/>
      <c r="K45" s="13"/>
      <c r="L45" s="13"/>
      <c r="M45" s="13"/>
      <c r="O45" s="12"/>
      <c r="P45" s="14"/>
      <c r="U45" s="4" t="s">
        <v>66</v>
      </c>
    </row>
    <row r="46" spans="1:25" ht="15.75" customHeight="1" x14ac:dyDescent="0.25">
      <c r="A46" s="11"/>
      <c r="B46" s="16" t="s">
        <v>68</v>
      </c>
      <c r="C46" s="12"/>
      <c r="D46" s="12"/>
      <c r="E46" s="13"/>
      <c r="F46" s="13"/>
      <c r="G46" s="13"/>
      <c r="H46" s="27" t="s">
        <v>64</v>
      </c>
      <c r="I46" s="13"/>
      <c r="J46" s="13"/>
      <c r="K46" s="27"/>
      <c r="L46" s="13"/>
      <c r="M46" s="13"/>
      <c r="O46" s="12"/>
      <c r="P46" s="14"/>
      <c r="U46" s="4" t="s">
        <v>69</v>
      </c>
    </row>
    <row r="47" spans="1:25" ht="15.75" customHeight="1" x14ac:dyDescent="0.25">
      <c r="A47" s="11"/>
      <c r="E47" s="3"/>
      <c r="F47" s="3"/>
      <c r="G47" s="3"/>
      <c r="H47" s="3"/>
      <c r="I47" s="3"/>
      <c r="J47" s="3"/>
      <c r="P47" s="14"/>
      <c r="U47" s="4" t="s">
        <v>70</v>
      </c>
    </row>
    <row r="48" spans="1:25" ht="15.75" customHeight="1" x14ac:dyDescent="0.25">
      <c r="A48" s="11"/>
      <c r="B48" s="16" t="s">
        <v>71</v>
      </c>
      <c r="C48" s="12"/>
      <c r="D48" s="12"/>
      <c r="E48" s="13"/>
      <c r="F48" s="13"/>
      <c r="G48" s="13"/>
      <c r="H48" s="27" t="s">
        <v>64</v>
      </c>
      <c r="I48" s="13"/>
      <c r="J48" s="13"/>
      <c r="K48" s="27"/>
      <c r="L48" s="13"/>
      <c r="M48" s="13"/>
      <c r="O48" s="12"/>
      <c r="P48" s="14"/>
      <c r="U48" s="4" t="s">
        <v>72</v>
      </c>
    </row>
    <row r="49" spans="1:21" ht="15.75" customHeight="1" x14ac:dyDescent="0.25">
      <c r="A49" s="11"/>
      <c r="B49" s="16"/>
      <c r="C49" s="12"/>
      <c r="D49" s="12"/>
      <c r="E49" s="13"/>
      <c r="F49" s="13"/>
      <c r="G49" s="13"/>
      <c r="H49" s="13"/>
      <c r="I49" s="13"/>
      <c r="J49" s="13"/>
      <c r="K49" s="13"/>
      <c r="L49" s="13"/>
      <c r="M49" s="13"/>
      <c r="O49" s="12"/>
      <c r="P49" s="14"/>
      <c r="U49" s="4" t="s">
        <v>73</v>
      </c>
    </row>
    <row r="50" spans="1:21" ht="15.75" customHeight="1" x14ac:dyDescent="0.25">
      <c r="A50" s="11"/>
      <c r="B50" s="16" t="s">
        <v>74</v>
      </c>
      <c r="C50" s="12"/>
      <c r="D50" s="12"/>
      <c r="E50" s="13"/>
      <c r="F50" s="13"/>
      <c r="G50" s="13"/>
      <c r="H50" s="27" t="s">
        <v>64</v>
      </c>
      <c r="I50" s="13"/>
      <c r="J50" s="13"/>
      <c r="K50" s="27"/>
      <c r="L50" s="13"/>
      <c r="M50" s="13"/>
      <c r="O50" s="12"/>
      <c r="P50" s="14"/>
      <c r="U50" s="4" t="s">
        <v>75</v>
      </c>
    </row>
    <row r="51" spans="1:21" ht="15.75" customHeight="1" x14ac:dyDescent="0.25">
      <c r="A51" s="11"/>
      <c r="E51" s="3"/>
      <c r="F51" s="3"/>
      <c r="G51" s="3"/>
      <c r="H51" s="3"/>
      <c r="I51" s="3"/>
      <c r="J51" s="3"/>
      <c r="P51" s="14"/>
      <c r="U51" s="4" t="s">
        <v>76</v>
      </c>
    </row>
    <row r="52" spans="1:21" ht="15.75" customHeight="1" x14ac:dyDescent="0.25">
      <c r="A52" s="11"/>
      <c r="B52" s="16" t="s">
        <v>77</v>
      </c>
      <c r="C52" s="12"/>
      <c r="D52" s="12"/>
      <c r="E52" s="13"/>
      <c r="F52" s="13"/>
      <c r="G52" s="13"/>
      <c r="H52" s="27" t="s">
        <v>64</v>
      </c>
      <c r="I52" s="13"/>
      <c r="J52" s="13"/>
      <c r="K52" s="27"/>
      <c r="L52" s="13"/>
      <c r="M52" s="13"/>
      <c r="O52" s="12"/>
      <c r="P52" s="14"/>
      <c r="U52" s="4" t="s">
        <v>78</v>
      </c>
    </row>
    <row r="53" spans="1:21" ht="15.75" customHeight="1" x14ac:dyDescent="0.25">
      <c r="A53" s="11"/>
      <c r="B53" s="16"/>
      <c r="C53" s="12"/>
      <c r="D53" s="12"/>
      <c r="E53" s="13"/>
      <c r="F53" s="13"/>
      <c r="G53" s="13"/>
      <c r="H53" s="13"/>
      <c r="I53" s="13"/>
      <c r="J53" s="13"/>
      <c r="K53" s="13"/>
      <c r="L53" s="13"/>
      <c r="M53" s="13"/>
      <c r="O53" s="12"/>
      <c r="P53" s="14"/>
      <c r="U53" s="4" t="s">
        <v>79</v>
      </c>
    </row>
    <row r="54" spans="1:21" ht="15.75" customHeight="1" x14ac:dyDescent="0.25">
      <c r="A54" s="11"/>
      <c r="B54" s="16" t="s">
        <v>80</v>
      </c>
      <c r="C54" s="12"/>
      <c r="D54" s="12"/>
      <c r="E54" s="13"/>
      <c r="F54" s="13"/>
      <c r="G54" s="13"/>
      <c r="H54" s="27" t="s">
        <v>64</v>
      </c>
      <c r="I54" s="13"/>
      <c r="J54" s="13"/>
      <c r="K54" s="27"/>
      <c r="L54" s="13"/>
      <c r="M54" s="13"/>
      <c r="O54" s="12"/>
      <c r="P54" s="14"/>
      <c r="U54" s="4" t="s">
        <v>81</v>
      </c>
    </row>
    <row r="55" spans="1:21" ht="15.75" customHeight="1" x14ac:dyDescent="0.25">
      <c r="A55" s="11"/>
      <c r="B55" s="16"/>
      <c r="C55" s="12"/>
      <c r="D55" s="12"/>
      <c r="E55" s="13"/>
      <c r="F55" s="13"/>
      <c r="G55" s="13"/>
      <c r="H55" s="13"/>
      <c r="I55" s="13"/>
      <c r="J55" s="13"/>
      <c r="K55" s="13"/>
      <c r="L55" s="13"/>
      <c r="M55" s="13"/>
      <c r="O55" s="12"/>
      <c r="P55" s="14"/>
      <c r="U55" s="4" t="s">
        <v>82</v>
      </c>
    </row>
    <row r="56" spans="1:21" ht="15.75" customHeight="1" x14ac:dyDescent="0.25">
      <c r="A56" s="11"/>
      <c r="B56" s="16" t="s">
        <v>83</v>
      </c>
      <c r="C56" s="12"/>
      <c r="D56" s="12"/>
      <c r="E56" s="13"/>
      <c r="F56" s="13"/>
      <c r="G56" s="13"/>
      <c r="H56" s="27" t="s">
        <v>64</v>
      </c>
      <c r="I56" s="13"/>
      <c r="J56" s="13"/>
      <c r="K56" s="27"/>
      <c r="L56" s="13"/>
      <c r="M56" s="13"/>
      <c r="O56" s="12"/>
      <c r="P56" s="14"/>
      <c r="U56" s="4" t="s">
        <v>84</v>
      </c>
    </row>
    <row r="57" spans="1:21" ht="15.75" customHeight="1" x14ac:dyDescent="0.25">
      <c r="A57" s="11"/>
      <c r="B57" s="16"/>
      <c r="C57" s="12"/>
      <c r="D57" s="12"/>
      <c r="E57" s="13"/>
      <c r="F57" s="13"/>
      <c r="G57" s="13"/>
      <c r="H57" s="13"/>
      <c r="I57" s="13"/>
      <c r="J57" s="13"/>
      <c r="K57" s="13"/>
      <c r="L57" s="13"/>
      <c r="M57" s="13"/>
      <c r="O57" s="12"/>
      <c r="P57" s="14"/>
      <c r="U57" s="4" t="s">
        <v>85</v>
      </c>
    </row>
    <row r="58" spans="1:21" ht="15.75" customHeight="1" x14ac:dyDescent="0.25">
      <c r="A58" s="11"/>
      <c r="B58" s="16" t="s">
        <v>86</v>
      </c>
      <c r="C58" s="12"/>
      <c r="D58" s="12"/>
      <c r="E58" s="13"/>
      <c r="F58" s="13"/>
      <c r="G58" s="13"/>
      <c r="H58" s="27" t="s">
        <v>64</v>
      </c>
      <c r="I58" s="13"/>
      <c r="J58" s="13"/>
      <c r="K58" s="27"/>
      <c r="L58" s="13"/>
      <c r="M58" s="13"/>
      <c r="O58" s="12"/>
      <c r="P58" s="14"/>
      <c r="U58" s="4" t="s">
        <v>87</v>
      </c>
    </row>
    <row r="59" spans="1:21" ht="15.75" customHeight="1" x14ac:dyDescent="0.25">
      <c r="A59" s="11"/>
      <c r="B59" s="16"/>
      <c r="C59" s="12"/>
      <c r="D59" s="12"/>
      <c r="E59" s="13"/>
      <c r="F59" s="13"/>
      <c r="G59" s="13"/>
      <c r="H59" s="13"/>
      <c r="I59" s="13"/>
      <c r="J59" s="13"/>
      <c r="K59" s="13"/>
      <c r="L59" s="13"/>
      <c r="M59" s="13"/>
      <c r="O59" s="12"/>
      <c r="P59" s="14"/>
      <c r="U59" s="4" t="s">
        <v>88</v>
      </c>
    </row>
    <row r="60" spans="1:21" ht="15.75" customHeight="1" x14ac:dyDescent="0.25">
      <c r="A60" s="11"/>
      <c r="B60" s="16" t="s">
        <v>89</v>
      </c>
      <c r="C60" s="12"/>
      <c r="D60" s="12"/>
      <c r="E60" s="13"/>
      <c r="F60" s="13"/>
      <c r="G60" s="13"/>
      <c r="H60" s="27" t="s">
        <v>64</v>
      </c>
      <c r="I60" s="13"/>
      <c r="J60" s="13"/>
      <c r="K60" s="27"/>
      <c r="L60" s="13"/>
      <c r="M60" s="13"/>
      <c r="O60" s="12"/>
      <c r="P60" s="14"/>
      <c r="U60" s="4" t="s">
        <v>90</v>
      </c>
    </row>
    <row r="61" spans="1:21" ht="15.75" customHeight="1" x14ac:dyDescent="0.25">
      <c r="A61" s="11"/>
      <c r="B61" s="16"/>
      <c r="C61" s="12"/>
      <c r="D61" s="12"/>
      <c r="E61" s="13"/>
      <c r="F61" s="13"/>
      <c r="G61" s="13"/>
      <c r="H61" s="13"/>
      <c r="I61" s="13"/>
      <c r="J61" s="13"/>
      <c r="K61" s="13"/>
      <c r="L61" s="13"/>
      <c r="M61" s="13"/>
      <c r="O61" s="12"/>
      <c r="P61" s="14"/>
      <c r="U61" s="4" t="s">
        <v>91</v>
      </c>
    </row>
    <row r="62" spans="1:21" ht="15.75" customHeight="1" x14ac:dyDescent="0.25">
      <c r="A62" s="11"/>
      <c r="B62" s="16" t="s">
        <v>92</v>
      </c>
      <c r="C62" s="12"/>
      <c r="D62" s="12"/>
      <c r="E62" s="13"/>
      <c r="F62" s="13"/>
      <c r="G62" s="13"/>
      <c r="H62" s="27" t="s">
        <v>64</v>
      </c>
      <c r="I62" s="13"/>
      <c r="J62" s="13"/>
      <c r="K62" s="27"/>
      <c r="L62" s="13"/>
      <c r="M62" s="13"/>
      <c r="O62" s="12"/>
      <c r="P62" s="14"/>
      <c r="U62" s="4" t="s">
        <v>93</v>
      </c>
    </row>
    <row r="63" spans="1:21" ht="15.75" customHeight="1" x14ac:dyDescent="0.25">
      <c r="A63" s="11"/>
      <c r="B63" s="16"/>
      <c r="C63" s="12"/>
      <c r="D63" s="12"/>
      <c r="E63" s="13"/>
      <c r="F63" s="13"/>
      <c r="G63" s="13"/>
      <c r="H63" s="13"/>
      <c r="I63" s="13"/>
      <c r="J63" s="13"/>
      <c r="K63" s="13"/>
      <c r="L63" s="13"/>
      <c r="M63" s="13"/>
      <c r="O63" s="12"/>
      <c r="P63" s="14"/>
      <c r="U63" s="4" t="s">
        <v>94</v>
      </c>
    </row>
    <row r="64" spans="1:21" ht="15.75" customHeight="1" x14ac:dyDescent="0.25">
      <c r="A64" s="11"/>
      <c r="B64" s="16" t="s">
        <v>95</v>
      </c>
      <c r="C64" s="12"/>
      <c r="D64" s="12"/>
      <c r="E64" s="13"/>
      <c r="F64" s="13"/>
      <c r="G64" s="13"/>
      <c r="H64" s="27" t="s">
        <v>64</v>
      </c>
      <c r="I64" s="13"/>
      <c r="J64" s="13"/>
      <c r="K64" s="27"/>
      <c r="L64" s="13"/>
      <c r="M64" s="13"/>
      <c r="O64" s="12"/>
      <c r="P64" s="14"/>
      <c r="U64" s="4" t="s">
        <v>96</v>
      </c>
    </row>
    <row r="65" spans="1:21" ht="15.75" customHeight="1" x14ac:dyDescent="0.25">
      <c r="A65" s="11"/>
      <c r="B65" s="16" t="s">
        <v>97</v>
      </c>
      <c r="C65" s="12"/>
      <c r="D65" s="12"/>
      <c r="E65" s="13"/>
      <c r="F65" s="13"/>
      <c r="G65" s="13"/>
      <c r="H65" s="13"/>
      <c r="I65" s="13"/>
      <c r="J65" s="13"/>
      <c r="K65" s="13"/>
      <c r="L65" s="13"/>
      <c r="M65" s="13"/>
      <c r="O65" s="12"/>
      <c r="P65" s="14"/>
      <c r="U65" s="4" t="s">
        <v>98</v>
      </c>
    </row>
    <row r="66" spans="1:21" ht="15.75" customHeight="1" x14ac:dyDescent="0.25">
      <c r="A66" s="11"/>
      <c r="B66" s="16"/>
      <c r="C66" s="12"/>
      <c r="D66" s="12"/>
      <c r="E66" s="13"/>
      <c r="F66" s="13"/>
      <c r="G66" s="13"/>
      <c r="H66" s="27" t="s">
        <v>64</v>
      </c>
      <c r="I66" s="13"/>
      <c r="J66" s="13"/>
      <c r="K66" s="27"/>
      <c r="L66" s="13"/>
      <c r="M66" s="13"/>
      <c r="O66" s="12"/>
      <c r="P66" s="14"/>
      <c r="U66" s="4" t="s">
        <v>99</v>
      </c>
    </row>
    <row r="67" spans="1:21" ht="15.75" customHeight="1" x14ac:dyDescent="0.25">
      <c r="A67" s="11"/>
      <c r="B67" s="16" t="s">
        <v>100</v>
      </c>
      <c r="C67" s="12"/>
      <c r="D67" s="12"/>
      <c r="E67" s="13"/>
      <c r="F67" s="13"/>
      <c r="G67" s="13"/>
      <c r="H67" s="13"/>
      <c r="I67" s="13"/>
      <c r="J67" s="13"/>
      <c r="K67" s="13"/>
      <c r="L67" s="13"/>
      <c r="M67" s="13"/>
      <c r="O67" s="12"/>
      <c r="P67" s="14"/>
      <c r="U67" s="4" t="s">
        <v>101</v>
      </c>
    </row>
    <row r="68" spans="1:21" ht="15.75" customHeight="1" x14ac:dyDescent="0.25">
      <c r="A68" s="11"/>
      <c r="B68" s="16"/>
      <c r="C68" s="12"/>
      <c r="D68" s="12"/>
      <c r="E68" s="13"/>
      <c r="F68" s="13"/>
      <c r="G68" s="13"/>
      <c r="H68" s="13"/>
      <c r="I68" s="13"/>
      <c r="J68" s="13"/>
      <c r="K68" s="13"/>
      <c r="L68" s="13"/>
      <c r="M68" s="13"/>
      <c r="O68" s="12"/>
      <c r="P68" s="14"/>
      <c r="U68" s="4" t="s">
        <v>102</v>
      </c>
    </row>
    <row r="69" spans="1:21" ht="15.75" customHeight="1" x14ac:dyDescent="0.25">
      <c r="A69" s="11"/>
      <c r="B69" s="16"/>
      <c r="C69" s="12"/>
      <c r="D69" s="12"/>
      <c r="E69" s="13"/>
      <c r="F69" s="13"/>
      <c r="G69" s="13"/>
      <c r="H69" s="13"/>
      <c r="I69" s="13"/>
      <c r="J69" s="13"/>
      <c r="K69" s="13"/>
      <c r="L69" s="13"/>
      <c r="M69" s="13"/>
      <c r="O69" s="12"/>
      <c r="P69" s="14"/>
      <c r="U69" s="4"/>
    </row>
    <row r="70" spans="1:21" ht="15.75" customHeight="1" x14ac:dyDescent="0.25">
      <c r="A70" s="11"/>
      <c r="B70" s="16"/>
      <c r="C70" s="12"/>
      <c r="D70" s="12"/>
      <c r="E70" s="13"/>
      <c r="F70" s="13"/>
      <c r="G70" s="13"/>
      <c r="H70" s="13"/>
      <c r="I70" s="13"/>
      <c r="J70" s="13"/>
      <c r="K70" s="13"/>
      <c r="L70" s="13"/>
      <c r="M70" s="13"/>
      <c r="O70" s="12"/>
      <c r="P70" s="14"/>
      <c r="U70" s="4"/>
    </row>
    <row r="71" spans="1:21" ht="15.75" customHeight="1" x14ac:dyDescent="0.25">
      <c r="A71" s="11"/>
      <c r="B71" s="16"/>
      <c r="C71" s="12"/>
      <c r="D71" s="12"/>
      <c r="E71" s="13"/>
      <c r="F71" s="13"/>
      <c r="G71" s="13"/>
      <c r="H71" s="13"/>
      <c r="I71" s="13"/>
      <c r="J71" s="13"/>
      <c r="K71" s="13"/>
      <c r="L71" s="13"/>
      <c r="M71" s="13"/>
      <c r="O71" s="12"/>
      <c r="P71" s="14"/>
      <c r="U71" s="4"/>
    </row>
    <row r="72" spans="1:21" ht="15.75" customHeight="1" x14ac:dyDescent="0.25">
      <c r="A72" s="11"/>
      <c r="B72" s="16"/>
      <c r="C72" s="12"/>
      <c r="D72" s="12"/>
      <c r="E72" s="13"/>
      <c r="F72" s="13"/>
      <c r="G72" s="13"/>
      <c r="H72" s="13"/>
      <c r="I72" s="13"/>
      <c r="J72" s="13"/>
      <c r="K72" s="13"/>
      <c r="L72" s="13"/>
      <c r="M72" s="13"/>
      <c r="O72" s="12"/>
      <c r="P72" s="14"/>
      <c r="U72" s="4"/>
    </row>
    <row r="73" spans="1:21" ht="15.75" customHeight="1" x14ac:dyDescent="0.25">
      <c r="A73" s="11"/>
      <c r="B73" s="12"/>
      <c r="C73" s="12"/>
      <c r="D73" s="12"/>
      <c r="E73" s="13"/>
      <c r="F73" s="13"/>
      <c r="G73" s="13"/>
      <c r="H73" s="13"/>
      <c r="I73" s="13"/>
      <c r="J73" s="13"/>
      <c r="K73" s="12"/>
      <c r="L73" s="12"/>
      <c r="M73" s="12"/>
      <c r="N73" s="12"/>
      <c r="O73" s="12"/>
      <c r="P73" s="14"/>
      <c r="U73" s="4" t="s">
        <v>103</v>
      </c>
    </row>
    <row r="74" spans="1:21" ht="15.75" customHeight="1" x14ac:dyDescent="0.25">
      <c r="A74" s="11"/>
      <c r="B74" s="31"/>
      <c r="C74" s="31"/>
      <c r="D74" s="31"/>
      <c r="E74" s="13"/>
      <c r="F74" s="13"/>
      <c r="G74" s="13"/>
      <c r="H74" s="13"/>
      <c r="I74" s="13"/>
      <c r="J74" s="13"/>
      <c r="K74" s="12"/>
      <c r="L74" s="12"/>
      <c r="M74" s="12"/>
      <c r="N74" s="12"/>
      <c r="O74" s="12"/>
      <c r="P74" s="14"/>
      <c r="U74" s="4" t="s">
        <v>104</v>
      </c>
    </row>
    <row r="75" spans="1:21" ht="15.75" customHeight="1" x14ac:dyDescent="0.25">
      <c r="A75" s="11"/>
      <c r="B75" s="813" t="str">
        <f>D24</f>
        <v>Erick William da Silva Damaceno</v>
      </c>
      <c r="C75" s="813"/>
      <c r="D75" s="813"/>
      <c r="E75" s="13"/>
      <c r="F75" s="13"/>
      <c r="G75" s="13"/>
      <c r="H75" s="13"/>
      <c r="I75" s="13"/>
      <c r="J75" s="13"/>
      <c r="K75" s="12"/>
      <c r="L75" s="12"/>
      <c r="M75" s="12"/>
      <c r="N75" s="12"/>
      <c r="O75" s="12"/>
      <c r="P75" s="14"/>
      <c r="U75" s="4" t="s">
        <v>105</v>
      </c>
    </row>
    <row r="76" spans="1:21" ht="15.75" customHeight="1" x14ac:dyDescent="0.25">
      <c r="A76" s="11"/>
      <c r="B76" s="814" t="s">
        <v>106</v>
      </c>
      <c r="C76" s="814"/>
      <c r="D76" s="814"/>
      <c r="E76" s="13"/>
      <c r="F76" s="13"/>
      <c r="G76" s="13"/>
      <c r="H76" s="13"/>
      <c r="I76" s="13"/>
      <c r="J76" s="13"/>
      <c r="K76" s="12"/>
      <c r="L76" s="12"/>
      <c r="M76" s="12"/>
      <c r="N76" s="12"/>
      <c r="O76" s="12"/>
      <c r="P76" s="14"/>
      <c r="U76" s="4" t="s">
        <v>107</v>
      </c>
    </row>
    <row r="77" spans="1:21" ht="15.75" customHeight="1" x14ac:dyDescent="0.25">
      <c r="A77" s="11"/>
      <c r="B77" s="814" t="s">
        <v>108</v>
      </c>
      <c r="C77" s="814"/>
      <c r="D77" s="814"/>
      <c r="E77" s="13"/>
      <c r="F77" s="13"/>
      <c r="G77" s="13"/>
      <c r="H77" s="13"/>
      <c r="I77" s="13"/>
      <c r="J77" s="13"/>
      <c r="K77" s="12"/>
      <c r="L77" s="12"/>
      <c r="M77" s="12"/>
      <c r="N77" s="12"/>
      <c r="O77" s="12"/>
      <c r="P77" s="14"/>
      <c r="U77" s="4" t="s">
        <v>109</v>
      </c>
    </row>
    <row r="78" spans="1:21" ht="15.75" customHeight="1" x14ac:dyDescent="0.25">
      <c r="A78" s="32"/>
      <c r="B78" s="5"/>
      <c r="C78" s="5"/>
      <c r="D78" s="5"/>
      <c r="E78" s="6"/>
      <c r="F78" s="6"/>
      <c r="G78" s="6"/>
      <c r="H78" s="6"/>
      <c r="I78" s="6"/>
      <c r="J78" s="6"/>
      <c r="K78" s="5"/>
      <c r="L78" s="5"/>
      <c r="M78" s="5"/>
      <c r="N78" s="5"/>
      <c r="O78" s="5"/>
      <c r="P78" s="33"/>
      <c r="U78" s="4" t="s">
        <v>110</v>
      </c>
    </row>
    <row r="79" spans="1:21" ht="15.75" customHeight="1" x14ac:dyDescent="0.25">
      <c r="E79" s="3"/>
      <c r="F79" s="3"/>
      <c r="G79" s="3"/>
      <c r="H79" s="3"/>
      <c r="I79" s="3"/>
      <c r="J79" s="3"/>
      <c r="U79" s="4" t="s">
        <v>111</v>
      </c>
    </row>
    <row r="80" spans="1:21" ht="15.75" customHeight="1" x14ac:dyDescent="0.25">
      <c r="E80" s="3"/>
      <c r="F80" s="3"/>
      <c r="G80" s="3"/>
      <c r="H80" s="3"/>
      <c r="I80" s="3"/>
      <c r="J80" s="3"/>
      <c r="U80" s="4" t="s">
        <v>112</v>
      </c>
    </row>
    <row r="81" spans="5:21" ht="15.75" customHeight="1" x14ac:dyDescent="0.25">
      <c r="E81" s="3"/>
      <c r="F81" s="3"/>
      <c r="G81" s="3"/>
      <c r="H81" s="3"/>
      <c r="I81" s="3"/>
      <c r="J81" s="3"/>
      <c r="U81" s="4" t="s">
        <v>113</v>
      </c>
    </row>
    <row r="82" spans="5:21" ht="15.75" customHeight="1" x14ac:dyDescent="0.25">
      <c r="E82" s="3"/>
      <c r="F82" s="3"/>
      <c r="G82" s="3"/>
      <c r="H82" s="3"/>
      <c r="I82" s="3"/>
      <c r="J82" s="3"/>
      <c r="U82" s="4" t="s">
        <v>114</v>
      </c>
    </row>
    <row r="83" spans="5:21" ht="15.75" customHeight="1" x14ac:dyDescent="0.25">
      <c r="E83" s="3"/>
      <c r="F83" s="3"/>
      <c r="G83" s="3"/>
      <c r="H83" s="3"/>
      <c r="I83" s="3"/>
      <c r="J83" s="3"/>
      <c r="U83" s="4" t="s">
        <v>115</v>
      </c>
    </row>
    <row r="84" spans="5:21" ht="15.75" customHeight="1" x14ac:dyDescent="0.25">
      <c r="E84" s="3"/>
      <c r="F84" s="3"/>
      <c r="G84" s="3"/>
      <c r="H84" s="3"/>
      <c r="I84" s="3"/>
      <c r="J84" s="3"/>
      <c r="U84" s="4" t="s">
        <v>116</v>
      </c>
    </row>
    <row r="85" spans="5:21" ht="15.75" customHeight="1" x14ac:dyDescent="0.25">
      <c r="E85" s="3"/>
      <c r="F85" s="3"/>
      <c r="G85" s="3"/>
      <c r="H85" s="3"/>
      <c r="I85" s="3"/>
      <c r="J85" s="3"/>
      <c r="U85" s="4" t="s">
        <v>117</v>
      </c>
    </row>
    <row r="86" spans="5:21" ht="15.75" customHeight="1" x14ac:dyDescent="0.25">
      <c r="E86" s="3"/>
      <c r="F86" s="3"/>
      <c r="G86" s="3"/>
      <c r="H86" s="3"/>
      <c r="I86" s="3"/>
      <c r="J86" s="3"/>
      <c r="U86" s="4" t="s">
        <v>118</v>
      </c>
    </row>
    <row r="87" spans="5:21" ht="15.75" customHeight="1" x14ac:dyDescent="0.25">
      <c r="E87" s="3"/>
      <c r="F87" s="3"/>
      <c r="G87" s="3"/>
      <c r="H87" s="3"/>
      <c r="I87" s="3"/>
      <c r="J87" s="3"/>
      <c r="U87" s="4" t="s">
        <v>119</v>
      </c>
    </row>
    <row r="88" spans="5:21" ht="15.75" customHeight="1" x14ac:dyDescent="0.25">
      <c r="E88" s="3"/>
      <c r="F88" s="3"/>
      <c r="G88" s="3"/>
      <c r="H88" s="3"/>
      <c r="I88" s="3"/>
      <c r="J88" s="3"/>
      <c r="U88" s="4" t="s">
        <v>120</v>
      </c>
    </row>
    <row r="89" spans="5:21" ht="15.75" customHeight="1" x14ac:dyDescent="0.25">
      <c r="E89" s="3"/>
      <c r="F89" s="3"/>
      <c r="G89" s="3"/>
      <c r="H89" s="3"/>
      <c r="I89" s="3"/>
      <c r="J89" s="3"/>
      <c r="U89" s="4" t="s">
        <v>121</v>
      </c>
    </row>
    <row r="90" spans="5:21" ht="15.75" customHeight="1" x14ac:dyDescent="0.25">
      <c r="E90" s="3"/>
      <c r="F90" s="3"/>
      <c r="G90" s="3"/>
      <c r="H90" s="3"/>
      <c r="I90" s="3"/>
      <c r="J90" s="3"/>
      <c r="U90" s="4" t="s">
        <v>122</v>
      </c>
    </row>
    <row r="91" spans="5:21" ht="15.75" customHeight="1" x14ac:dyDescent="0.25">
      <c r="E91" s="3"/>
      <c r="F91" s="3"/>
      <c r="G91" s="3"/>
      <c r="H91" s="3"/>
      <c r="I91" s="3"/>
      <c r="J91" s="3"/>
      <c r="U91" s="4" t="s">
        <v>123</v>
      </c>
    </row>
    <row r="92" spans="5:21" ht="15.75" customHeight="1" x14ac:dyDescent="0.25">
      <c r="E92" s="3"/>
      <c r="F92" s="3"/>
      <c r="G92" s="3"/>
      <c r="H92" s="3"/>
      <c r="I92" s="3"/>
      <c r="J92" s="3"/>
      <c r="U92" s="4" t="s">
        <v>124</v>
      </c>
    </row>
    <row r="93" spans="5:21" ht="15.75" customHeight="1" x14ac:dyDescent="0.25">
      <c r="E93" s="3"/>
      <c r="F93" s="3"/>
      <c r="G93" s="3"/>
      <c r="H93" s="3"/>
      <c r="I93" s="3"/>
      <c r="J93" s="3"/>
      <c r="U93" s="4" t="s">
        <v>125</v>
      </c>
    </row>
    <row r="94" spans="5:21" ht="15.75" customHeight="1" x14ac:dyDescent="0.25">
      <c r="E94" s="3"/>
      <c r="F94" s="3"/>
      <c r="G94" s="3"/>
      <c r="H94" s="3"/>
      <c r="I94" s="3"/>
      <c r="J94" s="3"/>
      <c r="U94" s="4" t="s">
        <v>126</v>
      </c>
    </row>
    <row r="95" spans="5:21" ht="15.75" customHeight="1" x14ac:dyDescent="0.25">
      <c r="E95" s="3"/>
      <c r="F95" s="3"/>
      <c r="G95" s="3"/>
      <c r="H95" s="3"/>
      <c r="I95" s="3"/>
      <c r="J95" s="3"/>
      <c r="U95" s="4" t="s">
        <v>127</v>
      </c>
    </row>
    <row r="96" spans="5:21" ht="15.75" customHeight="1" x14ac:dyDescent="0.25">
      <c r="E96" s="3"/>
      <c r="F96" s="3"/>
      <c r="G96" s="3"/>
      <c r="H96" s="3"/>
      <c r="I96" s="3"/>
      <c r="J96" s="3"/>
      <c r="U96" s="4" t="s">
        <v>128</v>
      </c>
    </row>
    <row r="97" spans="5:21" ht="15.75" customHeight="1" x14ac:dyDescent="0.25">
      <c r="E97" s="3"/>
      <c r="F97" s="3"/>
      <c r="G97" s="3"/>
      <c r="H97" s="3"/>
      <c r="I97" s="3"/>
      <c r="J97" s="3"/>
      <c r="U97" s="4" t="s">
        <v>129</v>
      </c>
    </row>
    <row r="98" spans="5:21" ht="15.75" customHeight="1" x14ac:dyDescent="0.25">
      <c r="E98" s="3"/>
      <c r="F98" s="3"/>
      <c r="G98" s="3"/>
      <c r="H98" s="3"/>
      <c r="I98" s="3"/>
      <c r="J98" s="3"/>
      <c r="U98" s="4" t="s">
        <v>130</v>
      </c>
    </row>
    <row r="99" spans="5:21" ht="15.75" customHeight="1" x14ac:dyDescent="0.25">
      <c r="E99" s="3"/>
      <c r="F99" s="3"/>
      <c r="G99" s="3"/>
      <c r="H99" s="3"/>
      <c r="I99" s="3"/>
      <c r="J99" s="3"/>
      <c r="U99" s="4" t="s">
        <v>131</v>
      </c>
    </row>
    <row r="100" spans="5:21" ht="15.75" customHeight="1" x14ac:dyDescent="0.25">
      <c r="E100" s="3"/>
      <c r="F100" s="3"/>
      <c r="G100" s="3"/>
      <c r="H100" s="3"/>
      <c r="I100" s="3"/>
      <c r="J100" s="3"/>
      <c r="U100" s="4" t="s">
        <v>132</v>
      </c>
    </row>
    <row r="101" spans="5:21" ht="15.75" customHeight="1" x14ac:dyDescent="0.25">
      <c r="E101" s="3"/>
      <c r="F101" s="3"/>
      <c r="G101" s="3"/>
      <c r="H101" s="3"/>
      <c r="I101" s="3"/>
      <c r="J101" s="3"/>
      <c r="U101" s="4" t="s">
        <v>133</v>
      </c>
    </row>
    <row r="102" spans="5:21" ht="15.75" customHeight="1" x14ac:dyDescent="0.25">
      <c r="E102" s="3"/>
      <c r="F102" s="3"/>
      <c r="G102" s="3"/>
      <c r="H102" s="3"/>
      <c r="I102" s="3"/>
      <c r="J102" s="3"/>
      <c r="U102" s="4" t="s">
        <v>134</v>
      </c>
    </row>
    <row r="103" spans="5:21" ht="15.75" customHeight="1" x14ac:dyDescent="0.25">
      <c r="E103" s="3"/>
      <c r="F103" s="3"/>
      <c r="G103" s="3"/>
      <c r="H103" s="3"/>
      <c r="I103" s="3"/>
      <c r="J103" s="3"/>
      <c r="U103" s="4" t="s">
        <v>135</v>
      </c>
    </row>
    <row r="104" spans="5:21" ht="15.75" customHeight="1" x14ac:dyDescent="0.25">
      <c r="E104" s="3"/>
      <c r="F104" s="3"/>
      <c r="G104" s="3"/>
      <c r="H104" s="3"/>
      <c r="I104" s="3"/>
      <c r="J104" s="3"/>
      <c r="U104" s="4" t="s">
        <v>136</v>
      </c>
    </row>
    <row r="105" spans="5:21" ht="15.75" customHeight="1" x14ac:dyDescent="0.25">
      <c r="E105" s="3"/>
      <c r="F105" s="3"/>
      <c r="G105" s="3"/>
      <c r="H105" s="3"/>
      <c r="I105" s="3"/>
      <c r="J105" s="3"/>
      <c r="U105" s="4" t="s">
        <v>137</v>
      </c>
    </row>
    <row r="106" spans="5:21" ht="15.75" customHeight="1" x14ac:dyDescent="0.25">
      <c r="E106" s="3"/>
      <c r="F106" s="3"/>
      <c r="G106" s="3"/>
      <c r="H106" s="3"/>
      <c r="I106" s="3"/>
      <c r="J106" s="3"/>
      <c r="U106" s="4" t="s">
        <v>138</v>
      </c>
    </row>
    <row r="107" spans="5:21" ht="15.75" customHeight="1" x14ac:dyDescent="0.25">
      <c r="E107" s="3"/>
      <c r="F107" s="3"/>
      <c r="G107" s="3"/>
      <c r="H107" s="3"/>
      <c r="I107" s="3"/>
      <c r="J107" s="3"/>
      <c r="U107" s="4" t="s">
        <v>139</v>
      </c>
    </row>
    <row r="108" spans="5:21" ht="15.75" customHeight="1" x14ac:dyDescent="0.25">
      <c r="E108" s="3"/>
      <c r="F108" s="3"/>
      <c r="G108" s="3"/>
      <c r="H108" s="3"/>
      <c r="I108" s="3"/>
      <c r="J108" s="3"/>
      <c r="U108" s="4" t="s">
        <v>140</v>
      </c>
    </row>
    <row r="109" spans="5:21" ht="15.75" customHeight="1" x14ac:dyDescent="0.25">
      <c r="E109" s="3"/>
      <c r="F109" s="3"/>
      <c r="G109" s="3"/>
      <c r="H109" s="3"/>
      <c r="I109" s="3"/>
      <c r="J109" s="3"/>
      <c r="U109" s="4" t="s">
        <v>141</v>
      </c>
    </row>
    <row r="110" spans="5:21" ht="15.75" customHeight="1" x14ac:dyDescent="0.25">
      <c r="E110" s="3"/>
      <c r="F110" s="3"/>
      <c r="G110" s="3"/>
      <c r="H110" s="3"/>
      <c r="I110" s="3"/>
      <c r="J110" s="3"/>
      <c r="U110" s="4" t="s">
        <v>142</v>
      </c>
    </row>
    <row r="111" spans="5:21" ht="15.75" customHeight="1" x14ac:dyDescent="0.25">
      <c r="E111" s="3"/>
      <c r="F111" s="3"/>
      <c r="G111" s="3"/>
      <c r="H111" s="3"/>
      <c r="I111" s="3"/>
      <c r="J111" s="3"/>
      <c r="U111" s="4" t="s">
        <v>143</v>
      </c>
    </row>
    <row r="112" spans="5:21" ht="15.75" customHeight="1" x14ac:dyDescent="0.25">
      <c r="E112" s="3"/>
      <c r="F112" s="3"/>
      <c r="G112" s="3"/>
      <c r="H112" s="3"/>
      <c r="I112" s="3"/>
      <c r="J112" s="3"/>
      <c r="U112" s="4" t="s">
        <v>144</v>
      </c>
    </row>
    <row r="113" spans="5:21" ht="15.75" customHeight="1" x14ac:dyDescent="0.25">
      <c r="E113" s="3"/>
      <c r="F113" s="3"/>
      <c r="G113" s="3"/>
      <c r="H113" s="3"/>
      <c r="I113" s="3"/>
      <c r="J113" s="3"/>
      <c r="U113" s="4" t="s">
        <v>145</v>
      </c>
    </row>
    <row r="114" spans="5:21" ht="15.75" customHeight="1" x14ac:dyDescent="0.25">
      <c r="E114" s="3"/>
      <c r="F114" s="3"/>
      <c r="G114" s="3"/>
      <c r="H114" s="3"/>
      <c r="I114" s="3"/>
      <c r="J114" s="3"/>
      <c r="U114" s="4" t="s">
        <v>146</v>
      </c>
    </row>
    <row r="115" spans="5:21" ht="15.75" customHeight="1" x14ac:dyDescent="0.25">
      <c r="E115" s="3"/>
      <c r="F115" s="3"/>
      <c r="G115" s="3"/>
      <c r="H115" s="3"/>
      <c r="I115" s="3"/>
      <c r="J115" s="3"/>
      <c r="U115" s="4" t="s">
        <v>147</v>
      </c>
    </row>
    <row r="116" spans="5:21" ht="15.75" customHeight="1" x14ac:dyDescent="0.25">
      <c r="E116" s="3"/>
      <c r="F116" s="3"/>
      <c r="G116" s="3"/>
      <c r="H116" s="3"/>
      <c r="I116" s="3"/>
      <c r="J116" s="3"/>
      <c r="U116" s="4" t="s">
        <v>148</v>
      </c>
    </row>
    <row r="117" spans="5:21" ht="15.75" customHeight="1" x14ac:dyDescent="0.25">
      <c r="E117" s="3"/>
      <c r="F117" s="3"/>
      <c r="G117" s="3"/>
      <c r="H117" s="3"/>
      <c r="I117" s="3"/>
      <c r="J117" s="3"/>
      <c r="U117" s="4" t="s">
        <v>149</v>
      </c>
    </row>
    <row r="118" spans="5:21" ht="15.75" customHeight="1" x14ac:dyDescent="0.25">
      <c r="E118" s="3"/>
      <c r="F118" s="3"/>
      <c r="G118" s="3"/>
      <c r="H118" s="3"/>
      <c r="I118" s="3"/>
      <c r="J118" s="3"/>
      <c r="U118" s="4" t="s">
        <v>150</v>
      </c>
    </row>
    <row r="119" spans="5:21" ht="15.75" customHeight="1" x14ac:dyDescent="0.25">
      <c r="E119" s="3"/>
      <c r="F119" s="3"/>
      <c r="G119" s="3"/>
      <c r="H119" s="3"/>
      <c r="I119" s="3"/>
      <c r="J119" s="3"/>
      <c r="U119" s="4" t="s">
        <v>151</v>
      </c>
    </row>
    <row r="120" spans="5:21" ht="15.75" customHeight="1" x14ac:dyDescent="0.25">
      <c r="E120" s="3"/>
      <c r="F120" s="3"/>
      <c r="G120" s="3"/>
      <c r="H120" s="3"/>
      <c r="I120" s="3"/>
      <c r="J120" s="3"/>
      <c r="U120" s="4" t="s">
        <v>152</v>
      </c>
    </row>
    <row r="121" spans="5:21" ht="15.75" customHeight="1" x14ac:dyDescent="0.25">
      <c r="E121" s="3"/>
      <c r="F121" s="3"/>
      <c r="G121" s="3"/>
      <c r="H121" s="3"/>
      <c r="I121" s="3"/>
      <c r="J121" s="3"/>
      <c r="U121" s="4" t="s">
        <v>153</v>
      </c>
    </row>
    <row r="122" spans="5:21" ht="15.75" customHeight="1" x14ac:dyDescent="0.25">
      <c r="E122" s="3"/>
      <c r="F122" s="3"/>
      <c r="G122" s="3"/>
      <c r="H122" s="3"/>
      <c r="I122" s="3"/>
      <c r="J122" s="3"/>
      <c r="U122" s="4" t="s">
        <v>154</v>
      </c>
    </row>
    <row r="123" spans="5:21" ht="15.75" customHeight="1" x14ac:dyDescent="0.25">
      <c r="E123" s="3"/>
      <c r="F123" s="3"/>
      <c r="G123" s="3"/>
      <c r="H123" s="3"/>
      <c r="I123" s="3"/>
      <c r="J123" s="3"/>
      <c r="U123" s="4" t="s">
        <v>155</v>
      </c>
    </row>
    <row r="124" spans="5:21" ht="15.75" customHeight="1" x14ac:dyDescent="0.25">
      <c r="E124" s="3"/>
      <c r="F124" s="3"/>
      <c r="G124" s="3"/>
      <c r="H124" s="3"/>
      <c r="I124" s="3"/>
      <c r="J124" s="3"/>
      <c r="U124" s="4" t="s">
        <v>156</v>
      </c>
    </row>
    <row r="125" spans="5:21" ht="15.75" customHeight="1" x14ac:dyDescent="0.25">
      <c r="E125" s="3"/>
      <c r="F125" s="3"/>
      <c r="G125" s="3"/>
      <c r="H125" s="3"/>
      <c r="I125" s="3"/>
      <c r="J125" s="3"/>
      <c r="U125" s="4" t="s">
        <v>157</v>
      </c>
    </row>
    <row r="126" spans="5:21" ht="15.75" customHeight="1" x14ac:dyDescent="0.25">
      <c r="E126" s="3"/>
      <c r="F126" s="3"/>
      <c r="G126" s="3"/>
      <c r="H126" s="3"/>
      <c r="I126" s="3"/>
      <c r="J126" s="3"/>
      <c r="U126" s="4" t="s">
        <v>158</v>
      </c>
    </row>
    <row r="127" spans="5:21" ht="15.75" customHeight="1" x14ac:dyDescent="0.25">
      <c r="E127" s="3"/>
      <c r="F127" s="3"/>
      <c r="G127" s="3"/>
      <c r="H127" s="3"/>
      <c r="I127" s="3"/>
      <c r="J127" s="3"/>
      <c r="U127" s="4" t="s">
        <v>159</v>
      </c>
    </row>
    <row r="128" spans="5:21" ht="15.75" customHeight="1" x14ac:dyDescent="0.25">
      <c r="E128" s="3"/>
      <c r="F128" s="3"/>
      <c r="G128" s="3"/>
      <c r="H128" s="3"/>
      <c r="I128" s="3"/>
      <c r="J128" s="3"/>
      <c r="U128" s="4" t="s">
        <v>160</v>
      </c>
    </row>
    <row r="129" spans="5:21" ht="15.75" customHeight="1" x14ac:dyDescent="0.25">
      <c r="E129" s="3"/>
      <c r="F129" s="3"/>
      <c r="G129" s="3"/>
      <c r="H129" s="3"/>
      <c r="I129" s="3"/>
      <c r="J129" s="3"/>
      <c r="U129" s="4" t="s">
        <v>161</v>
      </c>
    </row>
    <row r="130" spans="5:21" ht="15.75" customHeight="1" x14ac:dyDescent="0.25">
      <c r="E130" s="3"/>
      <c r="F130" s="3"/>
      <c r="G130" s="3"/>
      <c r="H130" s="3"/>
      <c r="I130" s="3"/>
      <c r="J130" s="3"/>
      <c r="U130" s="4" t="s">
        <v>162</v>
      </c>
    </row>
    <row r="131" spans="5:21" ht="15.75" customHeight="1" x14ac:dyDescent="0.25">
      <c r="E131" s="3"/>
      <c r="F131" s="3"/>
      <c r="G131" s="3"/>
      <c r="H131" s="3"/>
      <c r="I131" s="3"/>
      <c r="J131" s="3"/>
      <c r="U131" s="4" t="s">
        <v>163</v>
      </c>
    </row>
    <row r="132" spans="5:21" ht="15.75" customHeight="1" x14ac:dyDescent="0.25">
      <c r="E132" s="3"/>
      <c r="F132" s="3"/>
      <c r="G132" s="3"/>
      <c r="H132" s="3"/>
      <c r="I132" s="3"/>
      <c r="J132" s="3"/>
      <c r="U132" s="4" t="s">
        <v>164</v>
      </c>
    </row>
    <row r="133" spans="5:21" ht="15.75" customHeight="1" x14ac:dyDescent="0.25">
      <c r="E133" s="3"/>
      <c r="F133" s="3"/>
      <c r="G133" s="3"/>
      <c r="H133" s="3"/>
      <c r="I133" s="3"/>
      <c r="J133" s="3"/>
      <c r="U133" s="4" t="s">
        <v>165</v>
      </c>
    </row>
    <row r="134" spans="5:21" ht="15.75" customHeight="1" x14ac:dyDescent="0.25">
      <c r="E134" s="3"/>
      <c r="F134" s="3"/>
      <c r="G134" s="3"/>
      <c r="H134" s="3"/>
      <c r="I134" s="3"/>
      <c r="J134" s="3"/>
      <c r="U134" s="4" t="s">
        <v>166</v>
      </c>
    </row>
    <row r="135" spans="5:21" ht="15.75" customHeight="1" x14ac:dyDescent="0.25">
      <c r="E135" s="3"/>
      <c r="F135" s="3"/>
      <c r="G135" s="3"/>
      <c r="H135" s="3"/>
      <c r="I135" s="3"/>
      <c r="J135" s="3"/>
      <c r="U135" s="4" t="s">
        <v>167</v>
      </c>
    </row>
    <row r="136" spans="5:21" ht="15.75" customHeight="1" x14ac:dyDescent="0.25">
      <c r="E136" s="3"/>
      <c r="F136" s="3"/>
      <c r="G136" s="3"/>
      <c r="H136" s="3"/>
      <c r="I136" s="3"/>
      <c r="J136" s="3"/>
      <c r="U136" s="4" t="s">
        <v>168</v>
      </c>
    </row>
    <row r="137" spans="5:21" ht="15.75" customHeight="1" x14ac:dyDescent="0.25">
      <c r="E137" s="3"/>
      <c r="F137" s="3"/>
      <c r="G137" s="3"/>
      <c r="H137" s="3"/>
      <c r="I137" s="3"/>
      <c r="J137" s="3"/>
      <c r="U137" s="4" t="s">
        <v>169</v>
      </c>
    </row>
    <row r="138" spans="5:21" ht="15.75" customHeight="1" x14ac:dyDescent="0.25">
      <c r="E138" s="3"/>
      <c r="F138" s="3"/>
      <c r="G138" s="3"/>
      <c r="H138" s="3"/>
      <c r="I138" s="3"/>
      <c r="J138" s="3"/>
      <c r="U138" s="4" t="s">
        <v>170</v>
      </c>
    </row>
    <row r="139" spans="5:21" ht="15.75" customHeight="1" x14ac:dyDescent="0.25">
      <c r="E139" s="3"/>
      <c r="F139" s="3"/>
      <c r="G139" s="3"/>
      <c r="H139" s="3"/>
      <c r="I139" s="3"/>
      <c r="J139" s="3"/>
      <c r="U139" s="4" t="s">
        <v>171</v>
      </c>
    </row>
    <row r="140" spans="5:21" ht="15.75" customHeight="1" x14ac:dyDescent="0.25">
      <c r="E140" s="3"/>
      <c r="F140" s="3"/>
      <c r="G140" s="3"/>
      <c r="H140" s="3"/>
      <c r="I140" s="3"/>
      <c r="J140" s="3"/>
      <c r="U140" s="4" t="s">
        <v>172</v>
      </c>
    </row>
    <row r="141" spans="5:21" ht="15.75" customHeight="1" x14ac:dyDescent="0.25">
      <c r="E141" s="3"/>
      <c r="F141" s="3"/>
      <c r="G141" s="3"/>
      <c r="H141" s="3"/>
      <c r="I141" s="3"/>
      <c r="J141" s="3"/>
      <c r="U141" s="4" t="s">
        <v>173</v>
      </c>
    </row>
    <row r="142" spans="5:21" ht="15.75" customHeight="1" x14ac:dyDescent="0.25">
      <c r="E142" s="3"/>
      <c r="F142" s="3"/>
      <c r="G142" s="3"/>
      <c r="H142" s="3"/>
      <c r="I142" s="3"/>
      <c r="J142" s="3"/>
      <c r="U142" s="4" t="s">
        <v>174</v>
      </c>
    </row>
    <row r="143" spans="5:21" ht="15.75" customHeight="1" x14ac:dyDescent="0.25">
      <c r="E143" s="3"/>
      <c r="F143" s="3"/>
      <c r="G143" s="3"/>
      <c r="H143" s="3"/>
      <c r="I143" s="3"/>
      <c r="J143" s="3"/>
      <c r="U143" s="4" t="s">
        <v>175</v>
      </c>
    </row>
    <row r="144" spans="5:21" ht="15.75" customHeight="1" x14ac:dyDescent="0.25">
      <c r="E144" s="3"/>
      <c r="F144" s="3"/>
      <c r="G144" s="3"/>
      <c r="H144" s="3"/>
      <c r="I144" s="3"/>
      <c r="J144" s="3"/>
      <c r="U144" s="4" t="s">
        <v>176</v>
      </c>
    </row>
    <row r="145" spans="5:21" ht="15.75" customHeight="1" x14ac:dyDescent="0.25">
      <c r="E145" s="3"/>
      <c r="F145" s="3"/>
      <c r="G145" s="3"/>
      <c r="H145" s="3"/>
      <c r="I145" s="3"/>
      <c r="J145" s="3"/>
      <c r="U145" s="4" t="s">
        <v>177</v>
      </c>
    </row>
    <row r="146" spans="5:21" ht="15.75" customHeight="1" x14ac:dyDescent="0.25">
      <c r="E146" s="3"/>
      <c r="F146" s="3"/>
      <c r="G146" s="3"/>
      <c r="H146" s="3"/>
      <c r="I146" s="3"/>
      <c r="J146" s="3"/>
      <c r="U146" s="4" t="s">
        <v>178</v>
      </c>
    </row>
    <row r="147" spans="5:21" ht="15.75" customHeight="1" x14ac:dyDescent="0.25">
      <c r="E147" s="3"/>
      <c r="F147" s="3"/>
      <c r="G147" s="3"/>
      <c r="H147" s="3"/>
      <c r="I147" s="3"/>
      <c r="J147" s="3"/>
      <c r="U147" s="4" t="s">
        <v>179</v>
      </c>
    </row>
    <row r="148" spans="5:21" ht="15.75" customHeight="1" x14ac:dyDescent="0.25">
      <c r="E148" s="3"/>
      <c r="F148" s="3"/>
      <c r="G148" s="3"/>
      <c r="H148" s="3"/>
      <c r="I148" s="3"/>
      <c r="J148" s="3"/>
      <c r="U148" s="4" t="s">
        <v>180</v>
      </c>
    </row>
    <row r="149" spans="5:21" ht="15.75" customHeight="1" x14ac:dyDescent="0.25">
      <c r="E149" s="3"/>
      <c r="F149" s="3"/>
      <c r="G149" s="3"/>
      <c r="H149" s="3"/>
      <c r="I149" s="3"/>
      <c r="J149" s="3"/>
      <c r="U149" s="4" t="s">
        <v>181</v>
      </c>
    </row>
    <row r="150" spans="5:21" ht="15.75" customHeight="1" x14ac:dyDescent="0.25">
      <c r="E150" s="3"/>
      <c r="F150" s="3"/>
      <c r="G150" s="3"/>
      <c r="H150" s="3"/>
      <c r="I150" s="3"/>
      <c r="J150" s="3"/>
      <c r="U150" s="4" t="s">
        <v>182</v>
      </c>
    </row>
    <row r="151" spans="5:21" ht="15.75" customHeight="1" x14ac:dyDescent="0.25">
      <c r="E151" s="3"/>
      <c r="F151" s="3"/>
      <c r="G151" s="3"/>
      <c r="H151" s="3"/>
      <c r="I151" s="3"/>
      <c r="J151" s="3"/>
      <c r="U151" s="4" t="s">
        <v>183</v>
      </c>
    </row>
    <row r="152" spans="5:21" ht="15.75" customHeight="1" x14ac:dyDescent="0.25">
      <c r="E152" s="3"/>
      <c r="F152" s="3"/>
      <c r="G152" s="3"/>
      <c r="H152" s="3"/>
      <c r="I152" s="3"/>
      <c r="J152" s="3"/>
      <c r="U152" s="4" t="s">
        <v>184</v>
      </c>
    </row>
    <row r="153" spans="5:21" ht="15.75" customHeight="1" x14ac:dyDescent="0.25">
      <c r="E153" s="3"/>
      <c r="F153" s="3"/>
      <c r="G153" s="3"/>
      <c r="H153" s="3"/>
      <c r="I153" s="3"/>
      <c r="J153" s="3"/>
      <c r="U153" s="4" t="s">
        <v>185</v>
      </c>
    </row>
    <row r="154" spans="5:21" ht="15.75" customHeight="1" x14ac:dyDescent="0.25">
      <c r="E154" s="3"/>
      <c r="F154" s="3"/>
      <c r="G154" s="3"/>
      <c r="H154" s="3"/>
      <c r="I154" s="3"/>
      <c r="J154" s="3"/>
      <c r="U154" s="4" t="s">
        <v>186</v>
      </c>
    </row>
    <row r="155" spans="5:21" ht="15.75" customHeight="1" x14ac:dyDescent="0.25">
      <c r="E155" s="3"/>
      <c r="F155" s="3"/>
      <c r="G155" s="3"/>
      <c r="H155" s="3"/>
      <c r="I155" s="3"/>
      <c r="J155" s="3"/>
      <c r="U155" s="4" t="s">
        <v>187</v>
      </c>
    </row>
    <row r="156" spans="5:21" ht="15.75" customHeight="1" x14ac:dyDescent="0.25">
      <c r="E156" s="3"/>
      <c r="F156" s="3"/>
      <c r="G156" s="3"/>
      <c r="H156" s="3"/>
      <c r="I156" s="3"/>
      <c r="J156" s="3"/>
      <c r="U156" s="4" t="s">
        <v>188</v>
      </c>
    </row>
    <row r="157" spans="5:21" ht="15.75" customHeight="1" x14ac:dyDescent="0.25">
      <c r="E157" s="3"/>
      <c r="F157" s="3"/>
      <c r="G157" s="3"/>
      <c r="H157" s="3"/>
      <c r="I157" s="3"/>
      <c r="J157" s="3"/>
      <c r="U157" s="4" t="s">
        <v>189</v>
      </c>
    </row>
    <row r="158" spans="5:21" ht="15.75" customHeight="1" x14ac:dyDescent="0.25">
      <c r="E158" s="3"/>
      <c r="F158" s="3"/>
      <c r="G158" s="3"/>
      <c r="H158" s="3"/>
      <c r="I158" s="3"/>
      <c r="J158" s="3"/>
      <c r="U158" s="4" t="s">
        <v>190</v>
      </c>
    </row>
    <row r="159" spans="5:21" ht="15.75" customHeight="1" x14ac:dyDescent="0.25">
      <c r="E159" s="3"/>
      <c r="F159" s="3"/>
      <c r="G159" s="3"/>
      <c r="H159" s="3"/>
      <c r="I159" s="3"/>
      <c r="J159" s="3"/>
      <c r="U159" s="4" t="s">
        <v>191</v>
      </c>
    </row>
    <row r="160" spans="5:21" ht="15.75" customHeight="1" x14ac:dyDescent="0.25">
      <c r="E160" s="3"/>
      <c r="F160" s="3"/>
      <c r="G160" s="3"/>
      <c r="H160" s="3"/>
      <c r="I160" s="3"/>
      <c r="J160" s="3"/>
      <c r="U160" s="4" t="s">
        <v>192</v>
      </c>
    </row>
    <row r="161" spans="5:21" ht="15.75" customHeight="1" x14ac:dyDescent="0.25">
      <c r="E161" s="3"/>
      <c r="F161" s="3"/>
      <c r="G161" s="3"/>
      <c r="H161" s="3"/>
      <c r="I161" s="3"/>
      <c r="J161" s="3"/>
      <c r="U161" s="4" t="s">
        <v>193</v>
      </c>
    </row>
    <row r="162" spans="5:21" ht="15.75" customHeight="1" x14ac:dyDescent="0.25">
      <c r="E162" s="3"/>
      <c r="F162" s="3"/>
      <c r="G162" s="3"/>
      <c r="H162" s="3"/>
      <c r="I162" s="3"/>
      <c r="J162" s="3"/>
      <c r="U162" s="4" t="s">
        <v>194</v>
      </c>
    </row>
    <row r="163" spans="5:21" ht="15.75" customHeight="1" x14ac:dyDescent="0.25">
      <c r="E163" s="3"/>
      <c r="F163" s="3"/>
      <c r="G163" s="3"/>
      <c r="H163" s="3"/>
      <c r="I163" s="3"/>
      <c r="J163" s="3"/>
      <c r="U163" s="4" t="s">
        <v>195</v>
      </c>
    </row>
    <row r="164" spans="5:21" ht="15.75" customHeight="1" x14ac:dyDescent="0.25">
      <c r="E164" s="3"/>
      <c r="F164" s="3"/>
      <c r="G164" s="3"/>
      <c r="H164" s="3"/>
      <c r="I164" s="3"/>
      <c r="J164" s="3"/>
      <c r="U164" s="4" t="s">
        <v>196</v>
      </c>
    </row>
    <row r="165" spans="5:21" ht="15.75" customHeight="1" x14ac:dyDescent="0.25">
      <c r="E165" s="3"/>
      <c r="F165" s="3"/>
      <c r="G165" s="3"/>
      <c r="H165" s="3"/>
      <c r="I165" s="3"/>
      <c r="J165" s="3"/>
      <c r="U165" s="4" t="s">
        <v>197</v>
      </c>
    </row>
    <row r="166" spans="5:21" ht="15.75" customHeight="1" x14ac:dyDescent="0.25">
      <c r="E166" s="3"/>
      <c r="F166" s="3"/>
      <c r="G166" s="3"/>
      <c r="H166" s="3"/>
      <c r="I166" s="3"/>
      <c r="J166" s="3"/>
      <c r="U166" s="4" t="s">
        <v>198</v>
      </c>
    </row>
    <row r="167" spans="5:21" ht="15.75" customHeight="1" x14ac:dyDescent="0.25">
      <c r="E167" s="3"/>
      <c r="F167" s="3"/>
      <c r="G167" s="3"/>
      <c r="H167" s="3"/>
      <c r="I167" s="3"/>
      <c r="J167" s="3"/>
      <c r="U167" s="4" t="s">
        <v>199</v>
      </c>
    </row>
    <row r="168" spans="5:21" ht="15.75" customHeight="1" x14ac:dyDescent="0.25">
      <c r="E168" s="3"/>
      <c r="F168" s="3"/>
      <c r="G168" s="3"/>
      <c r="H168" s="3"/>
      <c r="I168" s="3"/>
      <c r="J168" s="3"/>
      <c r="U168" s="4" t="s">
        <v>200</v>
      </c>
    </row>
    <row r="169" spans="5:21" ht="15.75" customHeight="1" x14ac:dyDescent="0.25">
      <c r="E169" s="3"/>
      <c r="F169" s="3"/>
      <c r="G169" s="3"/>
      <c r="H169" s="3"/>
      <c r="I169" s="3"/>
      <c r="J169" s="3"/>
      <c r="U169" s="4" t="s">
        <v>201</v>
      </c>
    </row>
    <row r="170" spans="5:21" ht="15.75" customHeight="1" x14ac:dyDescent="0.25">
      <c r="E170" s="3"/>
      <c r="F170" s="3"/>
      <c r="G170" s="3"/>
      <c r="H170" s="3"/>
      <c r="I170" s="3"/>
      <c r="J170" s="3"/>
      <c r="U170" s="4" t="s">
        <v>202</v>
      </c>
    </row>
    <row r="171" spans="5:21" ht="15.75" customHeight="1" x14ac:dyDescent="0.25">
      <c r="E171" s="3"/>
      <c r="F171" s="3"/>
      <c r="G171" s="3"/>
      <c r="H171" s="3"/>
      <c r="I171" s="3"/>
      <c r="J171" s="3"/>
      <c r="U171" s="4" t="s">
        <v>203</v>
      </c>
    </row>
    <row r="172" spans="5:21" ht="15.75" customHeight="1" x14ac:dyDescent="0.25">
      <c r="E172" s="3"/>
      <c r="F172" s="3"/>
      <c r="G172" s="3"/>
      <c r="H172" s="3"/>
      <c r="I172" s="3"/>
      <c r="J172" s="3"/>
      <c r="U172" s="4" t="s">
        <v>204</v>
      </c>
    </row>
    <row r="173" spans="5:21" ht="15.75" customHeight="1" x14ac:dyDescent="0.25">
      <c r="E173" s="3"/>
      <c r="F173" s="3"/>
      <c r="G173" s="3"/>
      <c r="H173" s="3"/>
      <c r="I173" s="3"/>
      <c r="J173" s="3"/>
      <c r="U173" s="4" t="s">
        <v>205</v>
      </c>
    </row>
    <row r="174" spans="5:21" ht="15.75" customHeight="1" x14ac:dyDescent="0.25">
      <c r="E174" s="3"/>
      <c r="F174" s="3"/>
      <c r="G174" s="3"/>
      <c r="H174" s="3"/>
      <c r="I174" s="3"/>
      <c r="J174" s="3"/>
      <c r="U174" s="4" t="s">
        <v>206</v>
      </c>
    </row>
    <row r="175" spans="5:21" ht="15.75" customHeight="1" x14ac:dyDescent="0.25">
      <c r="E175" s="3"/>
      <c r="F175" s="3"/>
      <c r="G175" s="3"/>
      <c r="H175" s="3"/>
      <c r="I175" s="3"/>
      <c r="J175" s="3"/>
      <c r="U175" s="4" t="s">
        <v>207</v>
      </c>
    </row>
    <row r="176" spans="5:21" ht="15.75" customHeight="1" x14ac:dyDescent="0.25">
      <c r="E176" s="3"/>
      <c r="F176" s="3"/>
      <c r="G176" s="3"/>
      <c r="H176" s="3"/>
      <c r="I176" s="3"/>
      <c r="J176" s="3"/>
      <c r="U176" s="4" t="s">
        <v>208</v>
      </c>
    </row>
    <row r="177" spans="5:21" ht="15.75" customHeight="1" x14ac:dyDescent="0.25">
      <c r="E177" s="3"/>
      <c r="F177" s="3"/>
      <c r="G177" s="3"/>
      <c r="H177" s="3"/>
      <c r="I177" s="3"/>
      <c r="J177" s="3"/>
      <c r="U177" s="4" t="s">
        <v>209</v>
      </c>
    </row>
    <row r="178" spans="5:21" ht="15.75" customHeight="1" x14ac:dyDescent="0.25">
      <c r="E178" s="3"/>
      <c r="F178" s="3"/>
      <c r="G178" s="3"/>
      <c r="H178" s="3"/>
      <c r="I178" s="3"/>
      <c r="J178" s="3"/>
      <c r="U178" s="4" t="s">
        <v>210</v>
      </c>
    </row>
    <row r="179" spans="5:21" ht="15.75" customHeight="1" x14ac:dyDescent="0.25">
      <c r="E179" s="3"/>
      <c r="F179" s="3"/>
      <c r="G179" s="3"/>
      <c r="H179" s="3"/>
      <c r="I179" s="3"/>
      <c r="J179" s="3"/>
      <c r="U179" s="4" t="s">
        <v>211</v>
      </c>
    </row>
    <row r="180" spans="5:21" ht="15.75" customHeight="1" x14ac:dyDescent="0.25">
      <c r="E180" s="3"/>
      <c r="F180" s="3"/>
      <c r="G180" s="3"/>
      <c r="H180" s="3"/>
      <c r="I180" s="3"/>
      <c r="J180" s="3"/>
      <c r="U180" s="4" t="s">
        <v>212</v>
      </c>
    </row>
    <row r="181" spans="5:21" ht="15.75" customHeight="1" x14ac:dyDescent="0.25">
      <c r="E181" s="3"/>
      <c r="F181" s="3"/>
      <c r="G181" s="3"/>
      <c r="H181" s="3"/>
      <c r="I181" s="3"/>
      <c r="J181" s="3"/>
      <c r="U181" s="4" t="s">
        <v>213</v>
      </c>
    </row>
    <row r="182" spans="5:21" ht="15.75" customHeight="1" x14ac:dyDescent="0.25">
      <c r="E182" s="3"/>
      <c r="F182" s="3"/>
      <c r="G182" s="3"/>
      <c r="H182" s="3"/>
      <c r="I182" s="3"/>
      <c r="J182" s="3"/>
      <c r="U182" s="4" t="s">
        <v>214</v>
      </c>
    </row>
    <row r="183" spans="5:21" ht="15.75" customHeight="1" x14ac:dyDescent="0.25">
      <c r="E183" s="3"/>
      <c r="F183" s="3"/>
      <c r="G183" s="3"/>
      <c r="H183" s="3"/>
      <c r="I183" s="3"/>
      <c r="J183" s="3"/>
      <c r="U183" s="4" t="s">
        <v>215</v>
      </c>
    </row>
    <row r="184" spans="5:21" ht="15.75" customHeight="1" x14ac:dyDescent="0.25">
      <c r="E184" s="3"/>
      <c r="F184" s="3"/>
      <c r="G184" s="3"/>
      <c r="H184" s="3"/>
      <c r="I184" s="3"/>
      <c r="J184" s="3"/>
      <c r="U184" s="4" t="s">
        <v>216</v>
      </c>
    </row>
    <row r="185" spans="5:21" ht="15.75" customHeight="1" x14ac:dyDescent="0.25">
      <c r="E185" s="3"/>
      <c r="F185" s="3"/>
      <c r="G185" s="3"/>
      <c r="H185" s="3"/>
      <c r="I185" s="3"/>
      <c r="J185" s="3"/>
      <c r="U185" s="4" t="s">
        <v>217</v>
      </c>
    </row>
    <row r="186" spans="5:21" ht="15.75" customHeight="1" x14ac:dyDescent="0.25">
      <c r="E186" s="3"/>
      <c r="F186" s="3"/>
      <c r="G186" s="3"/>
      <c r="H186" s="3"/>
      <c r="I186" s="3"/>
      <c r="J186" s="3"/>
      <c r="U186" s="4" t="s">
        <v>218</v>
      </c>
    </row>
    <row r="187" spans="5:21" ht="15.75" customHeight="1" x14ac:dyDescent="0.25">
      <c r="E187" s="3"/>
      <c r="F187" s="3"/>
      <c r="G187" s="3"/>
      <c r="H187" s="3"/>
      <c r="I187" s="3"/>
      <c r="J187" s="3"/>
      <c r="U187" s="4" t="s">
        <v>219</v>
      </c>
    </row>
    <row r="188" spans="5:21" ht="15.75" customHeight="1" x14ac:dyDescent="0.25">
      <c r="E188" s="3"/>
      <c r="F188" s="3"/>
      <c r="G188" s="3"/>
      <c r="H188" s="3"/>
      <c r="I188" s="3"/>
      <c r="J188" s="3"/>
      <c r="U188" s="4" t="s">
        <v>220</v>
      </c>
    </row>
    <row r="189" spans="5:21" ht="15.75" customHeight="1" x14ac:dyDescent="0.25">
      <c r="E189" s="3"/>
      <c r="F189" s="3"/>
      <c r="G189" s="3"/>
      <c r="H189" s="3"/>
      <c r="I189" s="3"/>
      <c r="J189" s="3"/>
      <c r="U189" s="4" t="s">
        <v>221</v>
      </c>
    </row>
    <row r="190" spans="5:21" ht="15.75" customHeight="1" x14ac:dyDescent="0.25">
      <c r="E190" s="3"/>
      <c r="F190" s="3"/>
      <c r="G190" s="3"/>
      <c r="H190" s="3"/>
      <c r="I190" s="3"/>
      <c r="J190" s="3"/>
      <c r="U190" s="4" t="s">
        <v>222</v>
      </c>
    </row>
    <row r="191" spans="5:21" ht="15.75" customHeight="1" x14ac:dyDescent="0.25">
      <c r="E191" s="3"/>
      <c r="F191" s="3"/>
      <c r="G191" s="3"/>
      <c r="H191" s="3"/>
      <c r="I191" s="3"/>
      <c r="J191" s="3"/>
      <c r="U191" s="4" t="s">
        <v>223</v>
      </c>
    </row>
    <row r="192" spans="5:21" ht="15.75" customHeight="1" x14ac:dyDescent="0.25">
      <c r="E192" s="3"/>
      <c r="F192" s="3"/>
      <c r="G192" s="3"/>
      <c r="H192" s="3"/>
      <c r="I192" s="3"/>
      <c r="J192" s="3"/>
      <c r="U192" s="4" t="s">
        <v>224</v>
      </c>
    </row>
    <row r="193" spans="5:21" ht="15.75" customHeight="1" x14ac:dyDescent="0.25">
      <c r="E193" s="3"/>
      <c r="F193" s="3"/>
      <c r="G193" s="3"/>
      <c r="H193" s="3"/>
      <c r="I193" s="3"/>
      <c r="J193" s="3"/>
      <c r="U193" s="4" t="s">
        <v>225</v>
      </c>
    </row>
    <row r="194" spans="5:21" ht="15.75" customHeight="1" x14ac:dyDescent="0.25">
      <c r="E194" s="3"/>
      <c r="F194" s="3"/>
      <c r="G194" s="3"/>
      <c r="H194" s="3"/>
      <c r="I194" s="3"/>
      <c r="J194" s="3"/>
      <c r="U194" s="4" t="s">
        <v>226</v>
      </c>
    </row>
    <row r="195" spans="5:21" ht="15.75" customHeight="1" x14ac:dyDescent="0.25">
      <c r="E195" s="3"/>
      <c r="F195" s="3"/>
      <c r="G195" s="3"/>
      <c r="H195" s="3"/>
      <c r="I195" s="3"/>
      <c r="J195" s="3"/>
      <c r="U195" s="4" t="s">
        <v>227</v>
      </c>
    </row>
    <row r="196" spans="5:21" ht="15.75" customHeight="1" x14ac:dyDescent="0.25">
      <c r="E196" s="3"/>
      <c r="F196" s="3"/>
      <c r="G196" s="3"/>
      <c r="H196" s="3"/>
      <c r="I196" s="3"/>
      <c r="J196" s="3"/>
      <c r="U196" s="4" t="s">
        <v>228</v>
      </c>
    </row>
    <row r="197" spans="5:21" ht="15.75" customHeight="1" x14ac:dyDescent="0.25">
      <c r="E197" s="3"/>
      <c r="F197" s="3"/>
      <c r="G197" s="3"/>
      <c r="H197" s="3"/>
      <c r="I197" s="3"/>
      <c r="J197" s="3"/>
      <c r="U197" s="4" t="s">
        <v>229</v>
      </c>
    </row>
    <row r="198" spans="5:21" ht="15.75" customHeight="1" x14ac:dyDescent="0.25">
      <c r="E198" s="3"/>
      <c r="F198" s="3"/>
      <c r="G198" s="3"/>
      <c r="H198" s="3"/>
      <c r="I198" s="3"/>
      <c r="J198" s="3"/>
      <c r="U198" s="4" t="s">
        <v>230</v>
      </c>
    </row>
    <row r="199" spans="5:21" ht="15.75" customHeight="1" x14ac:dyDescent="0.25">
      <c r="E199" s="3"/>
      <c r="F199" s="3"/>
      <c r="G199" s="3"/>
      <c r="H199" s="3"/>
      <c r="I199" s="3"/>
      <c r="J199" s="3"/>
      <c r="U199" s="4" t="s">
        <v>231</v>
      </c>
    </row>
    <row r="200" spans="5:21" ht="15.75" customHeight="1" x14ac:dyDescent="0.25">
      <c r="E200" s="3"/>
      <c r="F200" s="3"/>
      <c r="G200" s="3"/>
      <c r="H200" s="3"/>
      <c r="I200" s="3"/>
      <c r="J200" s="3"/>
      <c r="U200" s="4" t="s">
        <v>232</v>
      </c>
    </row>
    <row r="201" spans="5:21" ht="15.75" customHeight="1" x14ac:dyDescent="0.25">
      <c r="E201" s="3"/>
      <c r="F201" s="3"/>
      <c r="G201" s="3"/>
      <c r="H201" s="3"/>
      <c r="I201" s="3"/>
      <c r="J201" s="3"/>
      <c r="U201" s="4" t="s">
        <v>233</v>
      </c>
    </row>
    <row r="202" spans="5:21" ht="15.75" customHeight="1" x14ac:dyDescent="0.25">
      <c r="E202" s="3"/>
      <c r="F202" s="3"/>
      <c r="G202" s="3"/>
      <c r="H202" s="3"/>
      <c r="I202" s="3"/>
      <c r="J202" s="3"/>
      <c r="U202" s="4" t="s">
        <v>234</v>
      </c>
    </row>
    <row r="203" spans="5:21" ht="15.75" customHeight="1" x14ac:dyDescent="0.25">
      <c r="E203" s="3"/>
      <c r="F203" s="3"/>
      <c r="G203" s="3"/>
      <c r="H203" s="3"/>
      <c r="I203" s="3"/>
      <c r="J203" s="3"/>
      <c r="U203" s="4" t="s">
        <v>235</v>
      </c>
    </row>
    <row r="204" spans="5:21" ht="15.75" customHeight="1" x14ac:dyDescent="0.25">
      <c r="E204" s="3"/>
      <c r="F204" s="3"/>
      <c r="G204" s="3"/>
      <c r="H204" s="3"/>
      <c r="I204" s="3"/>
      <c r="J204" s="3"/>
      <c r="U204" s="4" t="s">
        <v>236</v>
      </c>
    </row>
    <row r="205" spans="5:21" ht="15.75" customHeight="1" x14ac:dyDescent="0.25">
      <c r="E205" s="3"/>
      <c r="F205" s="3"/>
      <c r="G205" s="3"/>
      <c r="H205" s="3"/>
      <c r="I205" s="3"/>
      <c r="J205" s="3"/>
      <c r="U205" s="4" t="s">
        <v>237</v>
      </c>
    </row>
    <row r="206" spans="5:21" ht="15.75" customHeight="1" x14ac:dyDescent="0.25">
      <c r="E206" s="3"/>
      <c r="F206" s="3"/>
      <c r="G206" s="3"/>
      <c r="H206" s="3"/>
      <c r="I206" s="3"/>
      <c r="J206" s="3"/>
      <c r="U206" s="4" t="s">
        <v>238</v>
      </c>
    </row>
    <row r="207" spans="5:21" ht="15.75" customHeight="1" x14ac:dyDescent="0.25">
      <c r="E207" s="3"/>
      <c r="F207" s="3"/>
      <c r="G207" s="3"/>
      <c r="H207" s="3"/>
      <c r="I207" s="3"/>
      <c r="J207" s="3"/>
      <c r="U207" s="4" t="s">
        <v>239</v>
      </c>
    </row>
    <row r="208" spans="5:21" ht="15.75" customHeight="1" x14ac:dyDescent="0.25">
      <c r="E208" s="3"/>
      <c r="F208" s="3"/>
      <c r="G208" s="3"/>
      <c r="H208" s="3"/>
      <c r="I208" s="3"/>
      <c r="J208" s="3"/>
      <c r="U208" s="4" t="s">
        <v>240</v>
      </c>
    </row>
    <row r="209" spans="5:21" ht="15.75" customHeight="1" x14ac:dyDescent="0.25">
      <c r="E209" s="3"/>
      <c r="F209" s="3"/>
      <c r="G209" s="3"/>
      <c r="H209" s="3"/>
      <c r="I209" s="3"/>
      <c r="J209" s="3"/>
      <c r="U209" s="4" t="s">
        <v>241</v>
      </c>
    </row>
    <row r="210" spans="5:21" ht="15.75" customHeight="1" x14ac:dyDescent="0.25">
      <c r="E210" s="3"/>
      <c r="F210" s="3"/>
      <c r="G210" s="3"/>
      <c r="H210" s="3"/>
      <c r="I210" s="3"/>
      <c r="J210" s="3"/>
      <c r="U210" s="4" t="s">
        <v>242</v>
      </c>
    </row>
    <row r="211" spans="5:21" ht="15.75" customHeight="1" x14ac:dyDescent="0.25">
      <c r="E211" s="3"/>
      <c r="F211" s="3"/>
      <c r="G211" s="3"/>
      <c r="H211" s="3"/>
      <c r="I211" s="3"/>
      <c r="J211" s="3"/>
      <c r="U211" s="4" t="s">
        <v>243</v>
      </c>
    </row>
    <row r="212" spans="5:21" ht="15.75" customHeight="1" x14ac:dyDescent="0.25">
      <c r="E212" s="3"/>
      <c r="F212" s="3"/>
      <c r="G212" s="3"/>
      <c r="H212" s="3"/>
      <c r="I212" s="3"/>
      <c r="J212" s="3"/>
      <c r="U212" s="4" t="s">
        <v>244</v>
      </c>
    </row>
    <row r="213" spans="5:21" ht="15.75" customHeight="1" x14ac:dyDescent="0.25">
      <c r="E213" s="3"/>
      <c r="F213" s="3"/>
      <c r="G213" s="3"/>
      <c r="H213" s="3"/>
      <c r="I213" s="3"/>
      <c r="J213" s="3"/>
      <c r="U213" s="4" t="s">
        <v>245</v>
      </c>
    </row>
    <row r="214" spans="5:21" ht="15.75" customHeight="1" x14ac:dyDescent="0.25">
      <c r="E214" s="3"/>
      <c r="F214" s="3"/>
      <c r="G214" s="3"/>
      <c r="H214" s="3"/>
      <c r="I214" s="3"/>
      <c r="J214" s="3"/>
      <c r="U214" s="4" t="s">
        <v>246</v>
      </c>
    </row>
    <row r="215" spans="5:21" ht="15.75" customHeight="1" x14ac:dyDescent="0.25">
      <c r="E215" s="3"/>
      <c r="F215" s="3"/>
      <c r="G215" s="3"/>
      <c r="H215" s="3"/>
      <c r="I215" s="3"/>
      <c r="J215" s="3"/>
      <c r="U215" s="4" t="s">
        <v>247</v>
      </c>
    </row>
    <row r="216" spans="5:21" ht="15.75" customHeight="1" x14ac:dyDescent="0.25">
      <c r="E216" s="3"/>
      <c r="F216" s="3"/>
      <c r="G216" s="3"/>
      <c r="H216" s="3"/>
      <c r="I216" s="3"/>
      <c r="J216" s="3"/>
      <c r="U216" s="4" t="s">
        <v>248</v>
      </c>
    </row>
    <row r="217" spans="5:21" ht="15.75" customHeight="1" x14ac:dyDescent="0.25">
      <c r="E217" s="3"/>
      <c r="F217" s="3"/>
      <c r="G217" s="3"/>
      <c r="H217" s="3"/>
      <c r="I217" s="3"/>
      <c r="J217" s="3"/>
      <c r="U217" s="4" t="s">
        <v>249</v>
      </c>
    </row>
    <row r="218" spans="5:21" ht="15.75" customHeight="1" x14ac:dyDescent="0.25">
      <c r="E218" s="3"/>
      <c r="F218" s="3"/>
      <c r="G218" s="3"/>
      <c r="H218" s="3"/>
      <c r="I218" s="3"/>
      <c r="J218" s="3"/>
      <c r="U218" s="4" t="s">
        <v>250</v>
      </c>
    </row>
    <row r="219" spans="5:21" ht="15.75" customHeight="1" x14ac:dyDescent="0.25">
      <c r="E219" s="3"/>
      <c r="F219" s="3"/>
      <c r="G219" s="3"/>
      <c r="H219" s="3"/>
      <c r="I219" s="3"/>
      <c r="J219" s="3"/>
      <c r="U219" s="4" t="s">
        <v>251</v>
      </c>
    </row>
    <row r="220" spans="5:21" ht="15.75" customHeight="1" x14ac:dyDescent="0.25">
      <c r="E220" s="3"/>
      <c r="F220" s="3"/>
      <c r="G220" s="3"/>
      <c r="H220" s="3"/>
      <c r="I220" s="3"/>
      <c r="J220" s="3"/>
      <c r="U220" s="4" t="s">
        <v>252</v>
      </c>
    </row>
    <row r="221" spans="5:21" ht="15.75" customHeight="1" x14ac:dyDescent="0.25">
      <c r="E221" s="3"/>
      <c r="F221" s="3"/>
      <c r="G221" s="3"/>
      <c r="H221" s="3"/>
      <c r="I221" s="3"/>
      <c r="J221" s="3"/>
      <c r="U221" s="4" t="s">
        <v>253</v>
      </c>
    </row>
    <row r="222" spans="5:21" ht="15.75" customHeight="1" x14ac:dyDescent="0.25">
      <c r="E222" s="3"/>
      <c r="F222" s="3"/>
      <c r="G222" s="3"/>
      <c r="H222" s="3"/>
      <c r="I222" s="3"/>
      <c r="J222" s="3"/>
      <c r="U222" s="4" t="s">
        <v>254</v>
      </c>
    </row>
    <row r="223" spans="5:21" ht="15.75" customHeight="1" x14ac:dyDescent="0.25">
      <c r="E223" s="3"/>
      <c r="F223" s="3"/>
      <c r="G223" s="3"/>
      <c r="H223" s="3"/>
      <c r="I223" s="3"/>
      <c r="J223" s="3"/>
      <c r="U223" s="4" t="s">
        <v>255</v>
      </c>
    </row>
    <row r="224" spans="5:21" ht="15.75" customHeight="1" x14ac:dyDescent="0.25">
      <c r="E224" s="3"/>
      <c r="F224" s="3"/>
      <c r="G224" s="3"/>
      <c r="H224" s="3"/>
      <c r="I224" s="3"/>
      <c r="J224" s="3"/>
      <c r="U224" s="4" t="s">
        <v>256</v>
      </c>
    </row>
    <row r="225" spans="5:21" ht="15.75" customHeight="1" x14ac:dyDescent="0.25">
      <c r="E225" s="3"/>
      <c r="F225" s="3"/>
      <c r="G225" s="3"/>
      <c r="H225" s="3"/>
      <c r="I225" s="3"/>
      <c r="J225" s="3"/>
      <c r="U225" s="4" t="s">
        <v>257</v>
      </c>
    </row>
    <row r="226" spans="5:21" ht="15.75" customHeight="1" x14ac:dyDescent="0.25">
      <c r="E226" s="3"/>
      <c r="F226" s="3"/>
      <c r="G226" s="3"/>
      <c r="H226" s="3"/>
      <c r="I226" s="3"/>
      <c r="J226" s="3"/>
      <c r="U226" s="4" t="s">
        <v>258</v>
      </c>
    </row>
    <row r="227" spans="5:21" ht="15.75" customHeight="1" x14ac:dyDescent="0.25">
      <c r="E227" s="3"/>
      <c r="F227" s="3"/>
      <c r="G227" s="3"/>
      <c r="H227" s="3"/>
      <c r="I227" s="3"/>
      <c r="J227" s="3"/>
      <c r="U227" s="4" t="s">
        <v>259</v>
      </c>
    </row>
    <row r="228" spans="5:21" ht="15.75" customHeight="1" x14ac:dyDescent="0.25">
      <c r="E228" s="3"/>
      <c r="F228" s="3"/>
      <c r="G228" s="3"/>
      <c r="H228" s="3"/>
      <c r="I228" s="3"/>
      <c r="J228" s="3"/>
      <c r="U228" s="4" t="s">
        <v>260</v>
      </c>
    </row>
    <row r="229" spans="5:21" ht="15.75" customHeight="1" x14ac:dyDescent="0.25">
      <c r="E229" s="3"/>
      <c r="F229" s="3"/>
      <c r="G229" s="3"/>
      <c r="H229" s="3"/>
      <c r="I229" s="3"/>
      <c r="J229" s="3"/>
      <c r="U229" s="4" t="s">
        <v>261</v>
      </c>
    </row>
    <row r="230" spans="5:21" ht="15.75" customHeight="1" x14ac:dyDescent="0.25">
      <c r="E230" s="3"/>
      <c r="F230" s="3"/>
      <c r="G230" s="3"/>
      <c r="H230" s="3"/>
      <c r="I230" s="3"/>
      <c r="J230" s="3"/>
      <c r="U230" s="4" t="s">
        <v>262</v>
      </c>
    </row>
    <row r="231" spans="5:21" ht="15.75" customHeight="1" x14ac:dyDescent="0.25">
      <c r="E231" s="3"/>
      <c r="F231" s="3"/>
      <c r="G231" s="3"/>
      <c r="H231" s="3"/>
      <c r="I231" s="3"/>
      <c r="J231" s="3"/>
      <c r="U231" s="4" t="s">
        <v>263</v>
      </c>
    </row>
    <row r="232" spans="5:21" ht="15.75" customHeight="1" x14ac:dyDescent="0.25">
      <c r="E232" s="3"/>
      <c r="F232" s="3"/>
      <c r="G232" s="3"/>
      <c r="H232" s="3"/>
      <c r="I232" s="3"/>
      <c r="J232" s="3"/>
      <c r="U232" s="4" t="s">
        <v>264</v>
      </c>
    </row>
    <row r="233" spans="5:21" ht="15.75" customHeight="1" x14ac:dyDescent="0.25">
      <c r="E233" s="3"/>
      <c r="F233" s="3"/>
      <c r="G233" s="3"/>
      <c r="H233" s="3"/>
      <c r="I233" s="3"/>
      <c r="J233" s="3"/>
      <c r="U233" s="4" t="s">
        <v>265</v>
      </c>
    </row>
    <row r="234" spans="5:21" ht="15.75" customHeight="1" x14ac:dyDescent="0.25">
      <c r="E234" s="3"/>
      <c r="F234" s="3"/>
      <c r="G234" s="3"/>
      <c r="H234" s="3"/>
      <c r="I234" s="3"/>
      <c r="J234" s="3"/>
      <c r="U234" s="4" t="s">
        <v>266</v>
      </c>
    </row>
    <row r="235" spans="5:21" ht="15.75" customHeight="1" x14ac:dyDescent="0.25">
      <c r="E235" s="3"/>
      <c r="F235" s="3"/>
      <c r="G235" s="3"/>
      <c r="H235" s="3"/>
      <c r="I235" s="3"/>
      <c r="J235" s="3"/>
      <c r="U235" s="4" t="s">
        <v>267</v>
      </c>
    </row>
    <row r="236" spans="5:21" ht="15.75" customHeight="1" x14ac:dyDescent="0.25">
      <c r="E236" s="3"/>
      <c r="F236" s="3"/>
      <c r="G236" s="3"/>
      <c r="H236" s="3"/>
      <c r="I236" s="3"/>
      <c r="J236" s="3"/>
      <c r="U236" s="4" t="s">
        <v>268</v>
      </c>
    </row>
    <row r="237" spans="5:21" ht="15.75" customHeight="1" x14ac:dyDescent="0.25">
      <c r="E237" s="3"/>
      <c r="F237" s="3"/>
      <c r="G237" s="3"/>
      <c r="H237" s="3"/>
      <c r="I237" s="3"/>
      <c r="J237" s="3"/>
      <c r="U237" s="4" t="s">
        <v>269</v>
      </c>
    </row>
    <row r="238" spans="5:21" ht="15.75" customHeight="1" x14ac:dyDescent="0.25">
      <c r="E238" s="3"/>
      <c r="F238" s="3"/>
      <c r="G238" s="3"/>
      <c r="H238" s="3"/>
      <c r="I238" s="3"/>
      <c r="J238" s="3"/>
      <c r="U238" s="4" t="s">
        <v>270</v>
      </c>
    </row>
    <row r="239" spans="5:21" ht="15.75" customHeight="1" x14ac:dyDescent="0.25">
      <c r="E239" s="3"/>
      <c r="F239" s="3"/>
      <c r="G239" s="3"/>
      <c r="H239" s="3"/>
      <c r="I239" s="3"/>
      <c r="J239" s="3"/>
      <c r="U239" s="4" t="s">
        <v>271</v>
      </c>
    </row>
    <row r="240" spans="5:21" ht="15.75" customHeight="1" x14ac:dyDescent="0.25">
      <c r="E240" s="3"/>
      <c r="F240" s="3"/>
      <c r="G240" s="3"/>
      <c r="H240" s="3"/>
      <c r="I240" s="3"/>
      <c r="J240" s="3"/>
      <c r="U240" s="4" t="s">
        <v>272</v>
      </c>
    </row>
    <row r="241" spans="5:21" ht="15.75" customHeight="1" x14ac:dyDescent="0.25">
      <c r="E241" s="3"/>
      <c r="F241" s="3"/>
      <c r="G241" s="3"/>
      <c r="H241" s="3"/>
      <c r="I241" s="3"/>
      <c r="J241" s="3"/>
      <c r="U241" s="4" t="s">
        <v>273</v>
      </c>
    </row>
    <row r="242" spans="5:21" ht="15.75" customHeight="1" x14ac:dyDescent="0.25">
      <c r="E242" s="3"/>
      <c r="F242" s="3"/>
      <c r="G242" s="3"/>
      <c r="H242" s="3"/>
      <c r="I242" s="3"/>
      <c r="J242" s="3"/>
      <c r="U242" s="4" t="s">
        <v>274</v>
      </c>
    </row>
    <row r="243" spans="5:21" ht="15.75" customHeight="1" x14ac:dyDescent="0.25">
      <c r="E243" s="3"/>
      <c r="F243" s="3"/>
      <c r="G243" s="3"/>
      <c r="H243" s="3"/>
      <c r="I243" s="3"/>
      <c r="J243" s="3"/>
      <c r="U243" s="4" t="s">
        <v>275</v>
      </c>
    </row>
    <row r="244" spans="5:21" ht="15.75" customHeight="1" x14ac:dyDescent="0.25">
      <c r="E244" s="3"/>
      <c r="F244" s="3"/>
      <c r="G244" s="3"/>
      <c r="H244" s="3"/>
      <c r="I244" s="3"/>
      <c r="J244" s="3"/>
      <c r="U244" s="4" t="s">
        <v>276</v>
      </c>
    </row>
    <row r="245" spans="5:21" ht="15.75" customHeight="1" x14ac:dyDescent="0.25">
      <c r="E245" s="3"/>
      <c r="F245" s="3"/>
      <c r="G245" s="3"/>
      <c r="H245" s="3"/>
      <c r="I245" s="3"/>
      <c r="J245" s="3"/>
      <c r="U245" s="4" t="s">
        <v>277</v>
      </c>
    </row>
    <row r="246" spans="5:21" ht="15.75" customHeight="1" x14ac:dyDescent="0.25">
      <c r="E246" s="3"/>
      <c r="F246" s="3"/>
      <c r="G246" s="3"/>
      <c r="H246" s="3"/>
      <c r="I246" s="3"/>
      <c r="J246" s="3"/>
      <c r="U246" s="4" t="s">
        <v>278</v>
      </c>
    </row>
    <row r="247" spans="5:21" ht="15.75" customHeight="1" x14ac:dyDescent="0.25">
      <c r="E247" s="3"/>
      <c r="F247" s="3"/>
      <c r="G247" s="3"/>
      <c r="H247" s="3"/>
      <c r="I247" s="3"/>
      <c r="J247" s="3"/>
      <c r="U247" s="4" t="s">
        <v>279</v>
      </c>
    </row>
    <row r="248" spans="5:21" ht="15.75" customHeight="1" x14ac:dyDescent="0.25">
      <c r="E248" s="3"/>
      <c r="F248" s="3"/>
      <c r="G248" s="3"/>
      <c r="H248" s="3"/>
      <c r="I248" s="3"/>
      <c r="J248" s="3"/>
      <c r="U248" s="4" t="s">
        <v>280</v>
      </c>
    </row>
    <row r="249" spans="5:21" ht="15.75" customHeight="1" x14ac:dyDescent="0.25">
      <c r="E249" s="3"/>
      <c r="F249" s="3"/>
      <c r="G249" s="3"/>
      <c r="H249" s="3"/>
      <c r="I249" s="3"/>
      <c r="J249" s="3"/>
      <c r="U249" s="4" t="s">
        <v>281</v>
      </c>
    </row>
    <row r="250" spans="5:21" ht="15.75" customHeight="1" x14ac:dyDescent="0.25">
      <c r="E250" s="3"/>
      <c r="F250" s="3"/>
      <c r="G250" s="3"/>
      <c r="H250" s="3"/>
      <c r="I250" s="3"/>
      <c r="J250" s="3"/>
      <c r="U250" s="4" t="s">
        <v>282</v>
      </c>
    </row>
    <row r="251" spans="5:21" ht="15.75" customHeight="1" x14ac:dyDescent="0.25">
      <c r="E251" s="3"/>
      <c r="F251" s="3"/>
      <c r="G251" s="3"/>
      <c r="H251" s="3"/>
      <c r="I251" s="3"/>
      <c r="J251" s="3"/>
      <c r="U251" s="4" t="s">
        <v>283</v>
      </c>
    </row>
    <row r="252" spans="5:21" ht="15.75" customHeight="1" x14ac:dyDescent="0.25">
      <c r="E252" s="3"/>
      <c r="F252" s="3"/>
      <c r="G252" s="3"/>
      <c r="H252" s="3"/>
      <c r="I252" s="3"/>
      <c r="J252" s="3"/>
      <c r="U252" s="4" t="s">
        <v>284</v>
      </c>
    </row>
    <row r="253" spans="5:21" ht="15.75" customHeight="1" x14ac:dyDescent="0.25">
      <c r="E253" s="3"/>
      <c r="F253" s="3"/>
      <c r="G253" s="3"/>
      <c r="H253" s="3"/>
      <c r="I253" s="3"/>
      <c r="J253" s="3"/>
      <c r="U253" s="4" t="s">
        <v>285</v>
      </c>
    </row>
    <row r="254" spans="5:21" ht="15.75" customHeight="1" x14ac:dyDescent="0.25">
      <c r="E254" s="3"/>
      <c r="F254" s="3"/>
      <c r="G254" s="3"/>
      <c r="H254" s="3"/>
      <c r="I254" s="3"/>
      <c r="J254" s="3"/>
      <c r="U254" s="4" t="s">
        <v>286</v>
      </c>
    </row>
    <row r="255" spans="5:21" ht="15.75" customHeight="1" x14ac:dyDescent="0.25">
      <c r="E255" s="3"/>
      <c r="F255" s="3"/>
      <c r="G255" s="3"/>
      <c r="H255" s="3"/>
      <c r="I255" s="3"/>
      <c r="J255" s="3"/>
      <c r="U255" s="4" t="s">
        <v>287</v>
      </c>
    </row>
    <row r="256" spans="5:21" ht="15.75" customHeight="1" x14ac:dyDescent="0.25">
      <c r="E256" s="3"/>
      <c r="F256" s="3"/>
      <c r="G256" s="3"/>
      <c r="H256" s="3"/>
      <c r="I256" s="3"/>
      <c r="J256" s="3"/>
      <c r="U256" s="4" t="s">
        <v>288</v>
      </c>
    </row>
    <row r="257" spans="5:21" ht="15.75" customHeight="1" x14ac:dyDescent="0.25">
      <c r="E257" s="3"/>
      <c r="F257" s="3"/>
      <c r="G257" s="3"/>
      <c r="H257" s="3"/>
      <c r="I257" s="3"/>
      <c r="J257" s="3"/>
      <c r="U257" s="4" t="s">
        <v>289</v>
      </c>
    </row>
    <row r="258" spans="5:21" ht="15.75" customHeight="1" x14ac:dyDescent="0.25">
      <c r="E258" s="3"/>
      <c r="F258" s="3"/>
      <c r="G258" s="3"/>
      <c r="H258" s="3"/>
      <c r="I258" s="3"/>
      <c r="J258" s="3"/>
      <c r="U258" s="4" t="s">
        <v>290</v>
      </c>
    </row>
    <row r="259" spans="5:21" ht="15.75" customHeight="1" x14ac:dyDescent="0.25">
      <c r="E259" s="3"/>
      <c r="F259" s="3"/>
      <c r="G259" s="3"/>
      <c r="H259" s="3"/>
      <c r="I259" s="3"/>
      <c r="J259" s="3"/>
      <c r="U259" s="4" t="s">
        <v>291</v>
      </c>
    </row>
    <row r="260" spans="5:21" ht="15.75" customHeight="1" x14ac:dyDescent="0.25">
      <c r="E260" s="3"/>
      <c r="F260" s="3"/>
      <c r="G260" s="3"/>
      <c r="H260" s="3"/>
      <c r="I260" s="3"/>
      <c r="J260" s="3"/>
      <c r="U260" s="4" t="s">
        <v>292</v>
      </c>
    </row>
    <row r="261" spans="5:21" ht="15.75" customHeight="1" x14ac:dyDescent="0.25">
      <c r="E261" s="3"/>
      <c r="F261" s="3"/>
      <c r="G261" s="3"/>
      <c r="H261" s="3"/>
      <c r="I261" s="3"/>
      <c r="J261" s="3"/>
      <c r="U261" s="4" t="s">
        <v>293</v>
      </c>
    </row>
    <row r="262" spans="5:21" ht="15.75" customHeight="1" x14ac:dyDescent="0.25">
      <c r="E262" s="3"/>
      <c r="F262" s="3"/>
      <c r="G262" s="3"/>
      <c r="H262" s="3"/>
      <c r="I262" s="3"/>
      <c r="J262" s="3"/>
      <c r="U262" s="4" t="s">
        <v>294</v>
      </c>
    </row>
    <row r="263" spans="5:21" ht="15.75" customHeight="1" x14ac:dyDescent="0.25">
      <c r="E263" s="3"/>
      <c r="F263" s="3"/>
      <c r="G263" s="3"/>
      <c r="H263" s="3"/>
      <c r="I263" s="3"/>
      <c r="J263" s="3"/>
      <c r="U263" s="4" t="s">
        <v>295</v>
      </c>
    </row>
    <row r="264" spans="5:21" ht="15.75" customHeight="1" x14ac:dyDescent="0.25">
      <c r="E264" s="3"/>
      <c r="F264" s="3"/>
      <c r="G264" s="3"/>
      <c r="H264" s="3"/>
      <c r="I264" s="3"/>
      <c r="J264" s="3"/>
      <c r="U264" s="4" t="s">
        <v>296</v>
      </c>
    </row>
    <row r="265" spans="5:21" ht="15.75" customHeight="1" x14ac:dyDescent="0.25">
      <c r="E265" s="3"/>
      <c r="F265" s="3"/>
      <c r="G265" s="3"/>
      <c r="H265" s="3"/>
      <c r="I265" s="3"/>
      <c r="J265" s="3"/>
      <c r="U265" s="4" t="s">
        <v>297</v>
      </c>
    </row>
    <row r="266" spans="5:21" ht="15.75" customHeight="1" x14ac:dyDescent="0.25">
      <c r="E266" s="3"/>
      <c r="F266" s="3"/>
      <c r="G266" s="3"/>
      <c r="H266" s="3"/>
      <c r="I266" s="3"/>
      <c r="J266" s="3"/>
      <c r="U266" s="4" t="s">
        <v>298</v>
      </c>
    </row>
    <row r="267" spans="5:21" ht="15.75" customHeight="1" x14ac:dyDescent="0.25">
      <c r="E267" s="3"/>
      <c r="F267" s="3"/>
      <c r="G267" s="3"/>
      <c r="H267" s="3"/>
      <c r="I267" s="3"/>
      <c r="J267" s="3"/>
      <c r="U267" s="4" t="s">
        <v>299</v>
      </c>
    </row>
    <row r="268" spans="5:21" ht="15.75" customHeight="1" x14ac:dyDescent="0.25">
      <c r="E268" s="3"/>
      <c r="F268" s="3"/>
      <c r="G268" s="3"/>
      <c r="H268" s="3"/>
      <c r="I268" s="3"/>
      <c r="J268" s="3"/>
      <c r="U268" s="4" t="s">
        <v>300</v>
      </c>
    </row>
    <row r="269" spans="5:21" ht="15.75" customHeight="1" x14ac:dyDescent="0.25">
      <c r="E269" s="3"/>
      <c r="F269" s="3"/>
      <c r="G269" s="3"/>
      <c r="H269" s="3"/>
      <c r="I269" s="3"/>
      <c r="J269" s="3"/>
      <c r="U269" s="4" t="s">
        <v>301</v>
      </c>
    </row>
    <row r="270" spans="5:21" ht="15.75" customHeight="1" x14ac:dyDescent="0.25">
      <c r="E270" s="3"/>
      <c r="F270" s="3"/>
      <c r="G270" s="3"/>
      <c r="H270" s="3"/>
      <c r="I270" s="3"/>
      <c r="J270" s="3"/>
      <c r="U270" s="4" t="s">
        <v>302</v>
      </c>
    </row>
    <row r="271" spans="5:21" ht="15.75" customHeight="1" x14ac:dyDescent="0.25">
      <c r="E271" s="3"/>
      <c r="F271" s="3"/>
      <c r="G271" s="3"/>
      <c r="H271" s="3"/>
      <c r="I271" s="3"/>
      <c r="J271" s="3"/>
      <c r="U271" s="4" t="s">
        <v>303</v>
      </c>
    </row>
    <row r="272" spans="5:21" ht="15.75" customHeight="1" x14ac:dyDescent="0.25">
      <c r="E272" s="3"/>
      <c r="F272" s="3"/>
      <c r="G272" s="3"/>
      <c r="H272" s="3"/>
      <c r="I272" s="3"/>
      <c r="J272" s="3"/>
      <c r="U272" s="4" t="s">
        <v>304</v>
      </c>
    </row>
    <row r="273" spans="5:21" ht="15.75" customHeight="1" x14ac:dyDescent="0.25">
      <c r="E273" s="3"/>
      <c r="F273" s="3"/>
      <c r="G273" s="3"/>
      <c r="H273" s="3"/>
      <c r="I273" s="3"/>
      <c r="J273" s="3"/>
      <c r="U273" s="4" t="s">
        <v>305</v>
      </c>
    </row>
    <row r="274" spans="5:21" ht="15.75" customHeight="1" x14ac:dyDescent="0.25">
      <c r="E274" s="3"/>
      <c r="F274" s="3"/>
      <c r="G274" s="3"/>
      <c r="H274" s="3"/>
      <c r="I274" s="3"/>
      <c r="J274" s="3"/>
      <c r="U274" s="4" t="s">
        <v>306</v>
      </c>
    </row>
    <row r="275" spans="5:21" ht="15.75" customHeight="1" x14ac:dyDescent="0.25">
      <c r="E275" s="3"/>
      <c r="F275" s="3"/>
      <c r="G275" s="3"/>
      <c r="H275" s="3"/>
      <c r="I275" s="3"/>
      <c r="J275" s="3"/>
      <c r="U275" s="4" t="s">
        <v>307</v>
      </c>
    </row>
    <row r="276" spans="5:21" ht="15.75" customHeight="1" x14ac:dyDescent="0.25">
      <c r="E276" s="3"/>
      <c r="F276" s="3"/>
      <c r="G276" s="3"/>
      <c r="H276" s="3"/>
      <c r="I276" s="3"/>
      <c r="J276" s="3"/>
      <c r="U276" s="4" t="s">
        <v>308</v>
      </c>
    </row>
    <row r="277" spans="5:21" ht="15.75" customHeight="1" x14ac:dyDescent="0.25">
      <c r="E277" s="3"/>
      <c r="F277" s="3"/>
      <c r="G277" s="3"/>
      <c r="H277" s="3"/>
      <c r="I277" s="3"/>
      <c r="J277" s="3"/>
      <c r="U277" s="4" t="s">
        <v>309</v>
      </c>
    </row>
    <row r="278" spans="5:21" ht="15.75" customHeight="1" x14ac:dyDescent="0.25">
      <c r="E278" s="3"/>
      <c r="F278" s="3"/>
      <c r="G278" s="3"/>
      <c r="H278" s="3"/>
      <c r="I278" s="3"/>
      <c r="J278" s="3"/>
      <c r="U278" s="4" t="s">
        <v>310</v>
      </c>
    </row>
    <row r="279" spans="5:21" ht="15.75" customHeight="1" x14ac:dyDescent="0.25">
      <c r="E279" s="3"/>
      <c r="F279" s="3"/>
      <c r="G279" s="3"/>
      <c r="H279" s="3"/>
      <c r="I279" s="3"/>
      <c r="J279" s="3"/>
      <c r="U279" s="4" t="s">
        <v>311</v>
      </c>
    </row>
    <row r="280" spans="5:21" ht="15.75" customHeight="1" x14ac:dyDescent="0.25">
      <c r="E280" s="3"/>
      <c r="F280" s="3"/>
      <c r="G280" s="3"/>
      <c r="H280" s="3"/>
      <c r="I280" s="3"/>
      <c r="J280" s="3"/>
      <c r="U280" s="4" t="s">
        <v>312</v>
      </c>
    </row>
    <row r="281" spans="5:21" ht="15.75" customHeight="1" x14ac:dyDescent="0.25">
      <c r="E281" s="3"/>
      <c r="F281" s="3"/>
      <c r="G281" s="3"/>
      <c r="H281" s="3"/>
      <c r="I281" s="3"/>
      <c r="J281" s="3"/>
      <c r="U281" s="4" t="s">
        <v>313</v>
      </c>
    </row>
    <row r="282" spans="5:21" ht="15.75" customHeight="1" x14ac:dyDescent="0.25">
      <c r="E282" s="3"/>
      <c r="F282" s="3"/>
      <c r="G282" s="3"/>
      <c r="H282" s="3"/>
      <c r="I282" s="3"/>
      <c r="J282" s="3"/>
      <c r="U282" s="4" t="s">
        <v>314</v>
      </c>
    </row>
    <row r="283" spans="5:21" ht="15.75" customHeight="1" x14ac:dyDescent="0.25">
      <c r="E283" s="3"/>
      <c r="F283" s="3"/>
      <c r="G283" s="3"/>
      <c r="H283" s="3"/>
      <c r="I283" s="3"/>
      <c r="J283" s="3"/>
      <c r="U283" s="4" t="s">
        <v>315</v>
      </c>
    </row>
    <row r="284" spans="5:21" ht="15.75" customHeight="1" x14ac:dyDescent="0.25">
      <c r="E284" s="3"/>
      <c r="F284" s="3"/>
      <c r="G284" s="3"/>
      <c r="H284" s="3"/>
      <c r="I284" s="3"/>
      <c r="J284" s="3"/>
      <c r="U284" s="4" t="s">
        <v>316</v>
      </c>
    </row>
    <row r="285" spans="5:21" ht="15.75" customHeight="1" x14ac:dyDescent="0.25">
      <c r="E285" s="3"/>
      <c r="F285" s="3"/>
      <c r="G285" s="3"/>
      <c r="H285" s="3"/>
      <c r="I285" s="3"/>
      <c r="J285" s="3"/>
      <c r="U285" s="4" t="s">
        <v>317</v>
      </c>
    </row>
    <row r="286" spans="5:21" ht="15.75" customHeight="1" x14ac:dyDescent="0.25">
      <c r="E286" s="3"/>
      <c r="F286" s="3"/>
      <c r="G286" s="3"/>
      <c r="H286" s="3"/>
      <c r="I286" s="3"/>
      <c r="J286" s="3"/>
      <c r="U286" s="4" t="s">
        <v>318</v>
      </c>
    </row>
    <row r="287" spans="5:21" ht="15.75" customHeight="1" x14ac:dyDescent="0.25">
      <c r="E287" s="3"/>
      <c r="F287" s="3"/>
      <c r="G287" s="3"/>
      <c r="H287" s="3"/>
      <c r="I287" s="3"/>
      <c r="J287" s="3"/>
      <c r="U287" s="4" t="s">
        <v>319</v>
      </c>
    </row>
    <row r="288" spans="5:21" ht="15.75" customHeight="1" x14ac:dyDescent="0.25">
      <c r="E288" s="3"/>
      <c r="F288" s="3"/>
      <c r="G288" s="3"/>
      <c r="H288" s="3"/>
      <c r="I288" s="3"/>
      <c r="J288" s="3"/>
      <c r="U288" s="4" t="s">
        <v>320</v>
      </c>
    </row>
    <row r="289" spans="5:21" ht="15.75" customHeight="1" x14ac:dyDescent="0.25">
      <c r="E289" s="3"/>
      <c r="F289" s="3"/>
      <c r="G289" s="3"/>
      <c r="H289" s="3"/>
      <c r="I289" s="3"/>
      <c r="J289" s="3"/>
      <c r="U289" s="4" t="s">
        <v>321</v>
      </c>
    </row>
    <row r="290" spans="5:21" ht="15.75" customHeight="1" x14ac:dyDescent="0.25">
      <c r="E290" s="3"/>
      <c r="F290" s="3"/>
      <c r="G290" s="3"/>
      <c r="H290" s="3"/>
      <c r="I290" s="3"/>
      <c r="J290" s="3"/>
      <c r="U290" s="4" t="s">
        <v>322</v>
      </c>
    </row>
    <row r="291" spans="5:21" ht="15.75" customHeight="1" x14ac:dyDescent="0.25">
      <c r="E291" s="3"/>
      <c r="F291" s="3"/>
      <c r="G291" s="3"/>
      <c r="H291" s="3"/>
      <c r="I291" s="3"/>
      <c r="J291" s="3"/>
      <c r="U291" s="4" t="s">
        <v>323</v>
      </c>
    </row>
    <row r="292" spans="5:21" ht="15.75" customHeight="1" x14ac:dyDescent="0.25">
      <c r="E292" s="3"/>
      <c r="F292" s="3"/>
      <c r="G292" s="3"/>
      <c r="H292" s="3"/>
      <c r="I292" s="3"/>
      <c r="J292" s="3"/>
      <c r="U292" s="4" t="s">
        <v>324</v>
      </c>
    </row>
    <row r="293" spans="5:21" ht="15.75" customHeight="1" x14ac:dyDescent="0.25">
      <c r="E293" s="3"/>
      <c r="F293" s="3"/>
      <c r="G293" s="3"/>
      <c r="H293" s="3"/>
      <c r="I293" s="3"/>
      <c r="J293" s="3"/>
      <c r="U293" s="4" t="s">
        <v>325</v>
      </c>
    </row>
    <row r="294" spans="5:21" ht="15.75" customHeight="1" x14ac:dyDescent="0.25">
      <c r="E294" s="3"/>
      <c r="F294" s="3"/>
      <c r="G294" s="3"/>
      <c r="H294" s="3"/>
      <c r="I294" s="3"/>
      <c r="J294" s="3"/>
      <c r="U294" s="4" t="s">
        <v>326</v>
      </c>
    </row>
    <row r="295" spans="5:21" ht="15.75" customHeight="1" x14ac:dyDescent="0.25">
      <c r="E295" s="3"/>
      <c r="F295" s="3"/>
      <c r="G295" s="3"/>
      <c r="H295" s="3"/>
      <c r="I295" s="3"/>
      <c r="J295" s="3"/>
      <c r="U295" s="4" t="s">
        <v>327</v>
      </c>
    </row>
    <row r="296" spans="5:21" ht="15.75" customHeight="1" x14ac:dyDescent="0.25">
      <c r="E296" s="3"/>
      <c r="F296" s="3"/>
      <c r="G296" s="3"/>
      <c r="H296" s="3"/>
      <c r="I296" s="3"/>
      <c r="J296" s="3"/>
      <c r="U296" s="4" t="s">
        <v>328</v>
      </c>
    </row>
    <row r="297" spans="5:21" ht="15.75" customHeight="1" x14ac:dyDescent="0.25">
      <c r="E297" s="3"/>
      <c r="F297" s="3"/>
      <c r="G297" s="3"/>
      <c r="H297" s="3"/>
      <c r="I297" s="3"/>
      <c r="J297" s="3"/>
      <c r="U297" s="4" t="s">
        <v>329</v>
      </c>
    </row>
    <row r="298" spans="5:21" ht="15.75" customHeight="1" x14ac:dyDescent="0.25">
      <c r="E298" s="3"/>
      <c r="F298" s="3"/>
      <c r="G298" s="3"/>
      <c r="H298" s="3"/>
      <c r="I298" s="3"/>
      <c r="J298" s="3"/>
      <c r="U298" s="4" t="s">
        <v>330</v>
      </c>
    </row>
    <row r="299" spans="5:21" ht="15.75" customHeight="1" x14ac:dyDescent="0.25">
      <c r="E299" s="3"/>
      <c r="F299" s="3"/>
      <c r="G299" s="3"/>
      <c r="H299" s="3"/>
      <c r="I299" s="3"/>
      <c r="J299" s="3"/>
      <c r="U299" s="4" t="s">
        <v>331</v>
      </c>
    </row>
    <row r="300" spans="5:21" ht="15.75" customHeight="1" x14ac:dyDescent="0.25">
      <c r="E300" s="3"/>
      <c r="F300" s="3"/>
      <c r="G300" s="3"/>
      <c r="H300" s="3"/>
      <c r="I300" s="3"/>
      <c r="J300" s="3"/>
      <c r="U300" s="4" t="s">
        <v>332</v>
      </c>
    </row>
    <row r="301" spans="5:21" ht="15.75" customHeight="1" x14ac:dyDescent="0.25">
      <c r="E301" s="3"/>
      <c r="F301" s="3"/>
      <c r="G301" s="3"/>
      <c r="H301" s="3"/>
      <c r="I301" s="3"/>
      <c r="J301" s="3"/>
      <c r="U301" s="4" t="s">
        <v>333</v>
      </c>
    </row>
    <row r="302" spans="5:21" ht="15.75" customHeight="1" x14ac:dyDescent="0.25">
      <c r="E302" s="3"/>
      <c r="F302" s="3"/>
      <c r="G302" s="3"/>
      <c r="H302" s="3"/>
      <c r="I302" s="3"/>
      <c r="J302" s="3"/>
      <c r="U302" s="4" t="s">
        <v>334</v>
      </c>
    </row>
    <row r="303" spans="5:21" ht="15.75" customHeight="1" x14ac:dyDescent="0.25">
      <c r="E303" s="3"/>
      <c r="F303" s="3"/>
      <c r="G303" s="3"/>
      <c r="H303" s="3"/>
      <c r="I303" s="3"/>
      <c r="J303" s="3"/>
      <c r="U303" s="4" t="s">
        <v>335</v>
      </c>
    </row>
    <row r="304" spans="5:21" ht="15.75" customHeight="1" x14ac:dyDescent="0.25">
      <c r="E304" s="3"/>
      <c r="F304" s="3"/>
      <c r="G304" s="3"/>
      <c r="H304" s="3"/>
      <c r="I304" s="3"/>
      <c r="J304" s="3"/>
      <c r="U304" s="4" t="s">
        <v>336</v>
      </c>
    </row>
    <row r="305" spans="5:21" ht="15.75" customHeight="1" x14ac:dyDescent="0.25">
      <c r="E305" s="3"/>
      <c r="F305" s="3"/>
      <c r="G305" s="3"/>
      <c r="H305" s="3"/>
      <c r="I305" s="3"/>
      <c r="J305" s="3"/>
      <c r="U305" s="4" t="s">
        <v>337</v>
      </c>
    </row>
    <row r="306" spans="5:21" ht="15.75" customHeight="1" x14ac:dyDescent="0.25">
      <c r="E306" s="3"/>
      <c r="F306" s="3"/>
      <c r="G306" s="3"/>
      <c r="H306" s="3"/>
      <c r="I306" s="3"/>
      <c r="J306" s="3"/>
      <c r="U306" s="4" t="s">
        <v>338</v>
      </c>
    </row>
    <row r="307" spans="5:21" ht="15.75" customHeight="1" x14ac:dyDescent="0.25">
      <c r="E307" s="3"/>
      <c r="F307" s="3"/>
      <c r="G307" s="3"/>
      <c r="H307" s="3"/>
      <c r="I307" s="3"/>
      <c r="J307" s="3"/>
      <c r="U307" s="4" t="s">
        <v>339</v>
      </c>
    </row>
    <row r="308" spans="5:21" ht="15.75" customHeight="1" x14ac:dyDescent="0.25">
      <c r="E308" s="3"/>
      <c r="F308" s="3"/>
      <c r="G308" s="3"/>
      <c r="H308" s="3"/>
      <c r="I308" s="3"/>
      <c r="J308" s="3"/>
      <c r="U308" s="4" t="s">
        <v>340</v>
      </c>
    </row>
    <row r="309" spans="5:21" ht="15.75" customHeight="1" x14ac:dyDescent="0.25">
      <c r="E309" s="3"/>
      <c r="F309" s="3"/>
      <c r="G309" s="3"/>
      <c r="H309" s="3"/>
      <c r="I309" s="3"/>
      <c r="J309" s="3"/>
      <c r="U309" s="4" t="s">
        <v>341</v>
      </c>
    </row>
    <row r="310" spans="5:21" ht="15.75" customHeight="1" x14ac:dyDescent="0.25">
      <c r="E310" s="3"/>
      <c r="F310" s="3"/>
      <c r="G310" s="3"/>
      <c r="H310" s="3"/>
      <c r="I310" s="3"/>
      <c r="J310" s="3"/>
      <c r="U310" s="4" t="s">
        <v>342</v>
      </c>
    </row>
    <row r="311" spans="5:21" ht="15.75" customHeight="1" x14ac:dyDescent="0.25">
      <c r="E311" s="3"/>
      <c r="F311" s="3"/>
      <c r="G311" s="3"/>
      <c r="H311" s="3"/>
      <c r="I311" s="3"/>
      <c r="J311" s="3"/>
      <c r="U311" s="4" t="s">
        <v>343</v>
      </c>
    </row>
    <row r="312" spans="5:21" ht="15.75" customHeight="1" x14ac:dyDescent="0.25">
      <c r="E312" s="3"/>
      <c r="F312" s="3"/>
      <c r="G312" s="3"/>
      <c r="H312" s="3"/>
      <c r="I312" s="3"/>
      <c r="J312" s="3"/>
      <c r="U312" s="4" t="s">
        <v>344</v>
      </c>
    </row>
    <row r="313" spans="5:21" ht="15.75" customHeight="1" x14ac:dyDescent="0.25">
      <c r="E313" s="3"/>
      <c r="F313" s="3"/>
      <c r="G313" s="3"/>
      <c r="H313" s="3"/>
      <c r="I313" s="3"/>
      <c r="J313" s="3"/>
      <c r="U313" s="4" t="s">
        <v>345</v>
      </c>
    </row>
    <row r="314" spans="5:21" ht="15.75" customHeight="1" x14ac:dyDescent="0.25">
      <c r="E314" s="3"/>
      <c r="F314" s="3"/>
      <c r="G314" s="3"/>
      <c r="H314" s="3"/>
      <c r="I314" s="3"/>
      <c r="J314" s="3"/>
      <c r="U314" s="4" t="s">
        <v>346</v>
      </c>
    </row>
    <row r="315" spans="5:21" ht="15.75" customHeight="1" x14ac:dyDescent="0.25">
      <c r="E315" s="3"/>
      <c r="F315" s="3"/>
      <c r="G315" s="3"/>
      <c r="H315" s="3"/>
      <c r="I315" s="3"/>
      <c r="J315" s="3"/>
      <c r="U315" s="4" t="s">
        <v>347</v>
      </c>
    </row>
    <row r="316" spans="5:21" ht="15.75" customHeight="1" x14ac:dyDescent="0.25">
      <c r="E316" s="3"/>
      <c r="F316" s="3"/>
      <c r="G316" s="3"/>
      <c r="H316" s="3"/>
      <c r="I316" s="3"/>
      <c r="J316" s="3"/>
      <c r="U316" s="4" t="s">
        <v>348</v>
      </c>
    </row>
    <row r="317" spans="5:21" ht="15.75" customHeight="1" x14ac:dyDescent="0.25">
      <c r="E317" s="3"/>
      <c r="F317" s="3"/>
      <c r="G317" s="3"/>
      <c r="H317" s="3"/>
      <c r="I317" s="3"/>
      <c r="J317" s="3"/>
      <c r="U317" s="4" t="s">
        <v>349</v>
      </c>
    </row>
    <row r="318" spans="5:21" ht="15.75" customHeight="1" x14ac:dyDescent="0.25">
      <c r="E318" s="3"/>
      <c r="F318" s="3"/>
      <c r="G318" s="3"/>
      <c r="H318" s="3"/>
      <c r="I318" s="3"/>
      <c r="J318" s="3"/>
      <c r="U318" s="4" t="s">
        <v>350</v>
      </c>
    </row>
    <row r="319" spans="5:21" ht="15.75" customHeight="1" x14ac:dyDescent="0.25">
      <c r="E319" s="3"/>
      <c r="F319" s="3"/>
      <c r="G319" s="3"/>
      <c r="H319" s="3"/>
      <c r="I319" s="3"/>
      <c r="J319" s="3"/>
      <c r="U319" s="4" t="s">
        <v>351</v>
      </c>
    </row>
    <row r="320" spans="5:21" ht="15.75" customHeight="1" x14ac:dyDescent="0.25">
      <c r="E320" s="3"/>
      <c r="F320" s="3"/>
      <c r="G320" s="3"/>
      <c r="H320" s="3"/>
      <c r="I320" s="3"/>
      <c r="J320" s="3"/>
      <c r="U320" s="4" t="s">
        <v>352</v>
      </c>
    </row>
    <row r="321" spans="5:21" ht="15.75" customHeight="1" x14ac:dyDescent="0.25">
      <c r="E321" s="3"/>
      <c r="F321" s="3"/>
      <c r="G321" s="3"/>
      <c r="H321" s="3"/>
      <c r="I321" s="3"/>
      <c r="J321" s="3"/>
      <c r="U321" s="4" t="s">
        <v>353</v>
      </c>
    </row>
    <row r="322" spans="5:21" ht="15.75" customHeight="1" x14ac:dyDescent="0.25">
      <c r="E322" s="3"/>
      <c r="F322" s="3"/>
      <c r="G322" s="3"/>
      <c r="H322" s="3"/>
      <c r="I322" s="3"/>
      <c r="J322" s="3"/>
      <c r="U322" s="4" t="s">
        <v>354</v>
      </c>
    </row>
    <row r="323" spans="5:21" ht="15.75" customHeight="1" x14ac:dyDescent="0.25">
      <c r="E323" s="3"/>
      <c r="F323" s="3"/>
      <c r="G323" s="3"/>
      <c r="H323" s="3"/>
      <c r="I323" s="3"/>
      <c r="J323" s="3"/>
      <c r="U323" s="4" t="s">
        <v>355</v>
      </c>
    </row>
    <row r="324" spans="5:21" ht="15.75" customHeight="1" x14ac:dyDescent="0.25">
      <c r="E324" s="3"/>
      <c r="F324" s="3"/>
      <c r="G324" s="3"/>
      <c r="H324" s="3"/>
      <c r="I324" s="3"/>
      <c r="J324" s="3"/>
      <c r="U324" s="4" t="s">
        <v>356</v>
      </c>
    </row>
    <row r="325" spans="5:21" ht="15.75" customHeight="1" x14ac:dyDescent="0.25">
      <c r="E325" s="3"/>
      <c r="F325" s="3"/>
      <c r="G325" s="3"/>
      <c r="H325" s="3"/>
      <c r="I325" s="3"/>
      <c r="J325" s="3"/>
      <c r="U325" s="4" t="s">
        <v>357</v>
      </c>
    </row>
    <row r="326" spans="5:21" ht="15.75" customHeight="1" x14ac:dyDescent="0.25">
      <c r="E326" s="3"/>
      <c r="F326" s="3"/>
      <c r="G326" s="3"/>
      <c r="H326" s="3"/>
      <c r="I326" s="3"/>
      <c r="J326" s="3"/>
      <c r="U326" s="4" t="s">
        <v>358</v>
      </c>
    </row>
    <row r="327" spans="5:21" ht="15.75" customHeight="1" x14ac:dyDescent="0.25">
      <c r="E327" s="3"/>
      <c r="F327" s="3"/>
      <c r="G327" s="3"/>
      <c r="H327" s="3"/>
      <c r="I327" s="3"/>
      <c r="J327" s="3"/>
      <c r="U327" s="4" t="s">
        <v>359</v>
      </c>
    </row>
    <row r="328" spans="5:21" ht="15.75" customHeight="1" x14ac:dyDescent="0.25">
      <c r="E328" s="3"/>
      <c r="F328" s="3"/>
      <c r="G328" s="3"/>
      <c r="H328" s="3"/>
      <c r="I328" s="3"/>
      <c r="J328" s="3"/>
      <c r="U328" s="4" t="s">
        <v>360</v>
      </c>
    </row>
    <row r="329" spans="5:21" ht="15.75" customHeight="1" x14ac:dyDescent="0.25">
      <c r="E329" s="3"/>
      <c r="F329" s="3"/>
      <c r="G329" s="3"/>
      <c r="H329" s="3"/>
      <c r="I329" s="3"/>
      <c r="J329" s="3"/>
      <c r="U329" s="4" t="s">
        <v>361</v>
      </c>
    </row>
    <row r="330" spans="5:21" ht="15.75" customHeight="1" x14ac:dyDescent="0.25">
      <c r="E330" s="3"/>
      <c r="F330" s="3"/>
      <c r="G330" s="3"/>
      <c r="H330" s="3"/>
      <c r="I330" s="3"/>
      <c r="J330" s="3"/>
      <c r="U330" s="4" t="s">
        <v>362</v>
      </c>
    </row>
    <row r="331" spans="5:21" ht="15.75" customHeight="1" x14ac:dyDescent="0.25">
      <c r="E331" s="3"/>
      <c r="F331" s="3"/>
      <c r="G331" s="3"/>
      <c r="H331" s="3"/>
      <c r="I331" s="3"/>
      <c r="J331" s="3"/>
      <c r="U331" s="4" t="s">
        <v>363</v>
      </c>
    </row>
    <row r="332" spans="5:21" ht="15.75" customHeight="1" x14ac:dyDescent="0.25">
      <c r="E332" s="3"/>
      <c r="F332" s="3"/>
      <c r="G332" s="3"/>
      <c r="H332" s="3"/>
      <c r="I332" s="3"/>
      <c r="J332" s="3"/>
      <c r="U332" s="4" t="s">
        <v>364</v>
      </c>
    </row>
    <row r="333" spans="5:21" ht="15.75" customHeight="1" x14ac:dyDescent="0.25">
      <c r="E333" s="3"/>
      <c r="F333" s="3"/>
      <c r="G333" s="3"/>
      <c r="H333" s="3"/>
      <c r="I333" s="3"/>
      <c r="J333" s="3"/>
      <c r="U333" s="4" t="s">
        <v>365</v>
      </c>
    </row>
    <row r="334" spans="5:21" ht="15.75" customHeight="1" x14ac:dyDescent="0.25">
      <c r="E334" s="3"/>
      <c r="F334" s="3"/>
      <c r="G334" s="3"/>
      <c r="H334" s="3"/>
      <c r="I334" s="3"/>
      <c r="J334" s="3"/>
      <c r="U334" s="4" t="s">
        <v>366</v>
      </c>
    </row>
    <row r="335" spans="5:21" ht="15.75" customHeight="1" x14ac:dyDescent="0.25">
      <c r="E335" s="3"/>
      <c r="F335" s="3"/>
      <c r="G335" s="3"/>
      <c r="H335" s="3"/>
      <c r="I335" s="3"/>
      <c r="J335" s="3"/>
      <c r="U335" s="4" t="s">
        <v>367</v>
      </c>
    </row>
    <row r="336" spans="5:21" ht="15.75" customHeight="1" x14ac:dyDescent="0.25">
      <c r="E336" s="3"/>
      <c r="F336" s="3"/>
      <c r="G336" s="3"/>
      <c r="H336" s="3"/>
      <c r="I336" s="3"/>
      <c r="J336" s="3"/>
      <c r="U336" s="4" t="s">
        <v>368</v>
      </c>
    </row>
    <row r="337" spans="5:21" ht="15.75" customHeight="1" x14ac:dyDescent="0.25">
      <c r="E337" s="3"/>
      <c r="F337" s="3"/>
      <c r="G337" s="3"/>
      <c r="H337" s="3"/>
      <c r="I337" s="3"/>
      <c r="J337" s="3"/>
      <c r="U337" s="4" t="s">
        <v>369</v>
      </c>
    </row>
    <row r="338" spans="5:21" ht="15.75" customHeight="1" x14ac:dyDescent="0.25">
      <c r="E338" s="3"/>
      <c r="F338" s="3"/>
      <c r="G338" s="3"/>
      <c r="H338" s="3"/>
      <c r="I338" s="3"/>
      <c r="J338" s="3"/>
      <c r="U338" s="4" t="s">
        <v>370</v>
      </c>
    </row>
    <row r="339" spans="5:21" ht="15.75" customHeight="1" x14ac:dyDescent="0.25">
      <c r="E339" s="3"/>
      <c r="F339" s="3"/>
      <c r="G339" s="3"/>
      <c r="H339" s="3"/>
      <c r="I339" s="3"/>
      <c r="J339" s="3"/>
      <c r="U339" s="4" t="s">
        <v>371</v>
      </c>
    </row>
    <row r="340" spans="5:21" ht="15.75" customHeight="1" x14ac:dyDescent="0.25">
      <c r="E340" s="3"/>
      <c r="F340" s="3"/>
      <c r="G340" s="3"/>
      <c r="H340" s="3"/>
      <c r="I340" s="3"/>
      <c r="J340" s="3"/>
      <c r="U340" s="4" t="s">
        <v>372</v>
      </c>
    </row>
    <row r="341" spans="5:21" ht="15.75" customHeight="1" x14ac:dyDescent="0.25">
      <c r="E341" s="3"/>
      <c r="F341" s="3"/>
      <c r="G341" s="3"/>
      <c r="H341" s="3"/>
      <c r="I341" s="3"/>
      <c r="J341" s="3"/>
      <c r="U341" s="4" t="s">
        <v>373</v>
      </c>
    </row>
    <row r="342" spans="5:21" ht="15.75" customHeight="1" x14ac:dyDescent="0.25">
      <c r="E342" s="3"/>
      <c r="F342" s="3"/>
      <c r="G342" s="3"/>
      <c r="H342" s="3"/>
      <c r="I342" s="3"/>
      <c r="J342" s="3"/>
      <c r="U342" s="4" t="s">
        <v>374</v>
      </c>
    </row>
    <row r="343" spans="5:21" ht="15.75" customHeight="1" x14ac:dyDescent="0.25">
      <c r="E343" s="3"/>
      <c r="F343" s="3"/>
      <c r="G343" s="3"/>
      <c r="H343" s="3"/>
      <c r="I343" s="3"/>
      <c r="J343" s="3"/>
      <c r="U343" s="4" t="s">
        <v>375</v>
      </c>
    </row>
    <row r="344" spans="5:21" ht="15.75" customHeight="1" x14ac:dyDescent="0.25">
      <c r="E344" s="3"/>
      <c r="F344" s="3"/>
      <c r="G344" s="3"/>
      <c r="H344" s="3"/>
      <c r="I344" s="3"/>
      <c r="J344" s="3"/>
      <c r="U344" s="4" t="s">
        <v>376</v>
      </c>
    </row>
    <row r="345" spans="5:21" ht="15.75" customHeight="1" x14ac:dyDescent="0.25">
      <c r="E345" s="3"/>
      <c r="F345" s="3"/>
      <c r="G345" s="3"/>
      <c r="H345" s="3"/>
      <c r="I345" s="3"/>
      <c r="J345" s="3"/>
      <c r="U345" s="4" t="s">
        <v>377</v>
      </c>
    </row>
    <row r="346" spans="5:21" ht="15.75" customHeight="1" x14ac:dyDescent="0.25">
      <c r="E346" s="3"/>
      <c r="F346" s="3"/>
      <c r="G346" s="3"/>
      <c r="H346" s="3"/>
      <c r="I346" s="3"/>
      <c r="J346" s="3"/>
      <c r="U346" s="4" t="s">
        <v>378</v>
      </c>
    </row>
    <row r="347" spans="5:21" ht="15.75" customHeight="1" x14ac:dyDescent="0.25">
      <c r="E347" s="3"/>
      <c r="F347" s="3"/>
      <c r="G347" s="3"/>
      <c r="H347" s="3"/>
      <c r="I347" s="3"/>
      <c r="J347" s="3"/>
      <c r="U347" s="4" t="s">
        <v>379</v>
      </c>
    </row>
    <row r="348" spans="5:21" ht="15.75" customHeight="1" x14ac:dyDescent="0.25">
      <c r="E348" s="3"/>
      <c r="F348" s="3"/>
      <c r="G348" s="3"/>
      <c r="H348" s="3"/>
      <c r="I348" s="3"/>
      <c r="J348" s="3"/>
      <c r="U348" s="4" t="s">
        <v>380</v>
      </c>
    </row>
    <row r="349" spans="5:21" ht="15.75" customHeight="1" x14ac:dyDescent="0.25">
      <c r="E349" s="3"/>
      <c r="F349" s="3"/>
      <c r="G349" s="3"/>
      <c r="H349" s="3"/>
      <c r="I349" s="3"/>
      <c r="J349" s="3"/>
      <c r="U349" s="4" t="s">
        <v>381</v>
      </c>
    </row>
    <row r="350" spans="5:21" ht="15.75" customHeight="1" x14ac:dyDescent="0.25">
      <c r="E350" s="3"/>
      <c r="F350" s="3"/>
      <c r="G350" s="3"/>
      <c r="H350" s="3"/>
      <c r="I350" s="3"/>
      <c r="J350" s="3"/>
      <c r="U350" s="4" t="s">
        <v>382</v>
      </c>
    </row>
    <row r="351" spans="5:21" ht="15.75" customHeight="1" x14ac:dyDescent="0.25">
      <c r="E351" s="3"/>
      <c r="F351" s="3"/>
      <c r="G351" s="3"/>
      <c r="H351" s="3"/>
      <c r="I351" s="3"/>
      <c r="J351" s="3"/>
      <c r="U351" s="4" t="s">
        <v>383</v>
      </c>
    </row>
    <row r="352" spans="5:21" ht="15.75" customHeight="1" x14ac:dyDescent="0.25">
      <c r="E352" s="3"/>
      <c r="F352" s="3"/>
      <c r="G352" s="3"/>
      <c r="H352" s="3"/>
      <c r="I352" s="3"/>
      <c r="J352" s="3"/>
      <c r="U352" s="4" t="s">
        <v>384</v>
      </c>
    </row>
    <row r="353" spans="5:21" ht="15.75" customHeight="1" x14ac:dyDescent="0.25">
      <c r="E353" s="3"/>
      <c r="F353" s="3"/>
      <c r="G353" s="3"/>
      <c r="H353" s="3"/>
      <c r="I353" s="3"/>
      <c r="J353" s="3"/>
      <c r="U353" s="4" t="s">
        <v>385</v>
      </c>
    </row>
    <row r="354" spans="5:21" ht="15.75" customHeight="1" x14ac:dyDescent="0.25">
      <c r="E354" s="3"/>
      <c r="F354" s="3"/>
      <c r="G354" s="3"/>
      <c r="H354" s="3"/>
      <c r="I354" s="3"/>
      <c r="J354" s="3"/>
      <c r="U354" s="4" t="s">
        <v>386</v>
      </c>
    </row>
    <row r="355" spans="5:21" ht="15.75" customHeight="1" x14ac:dyDescent="0.25">
      <c r="E355" s="3"/>
      <c r="F355" s="3"/>
      <c r="G355" s="3"/>
      <c r="H355" s="3"/>
      <c r="I355" s="3"/>
      <c r="J355" s="3"/>
      <c r="U355" s="4" t="s">
        <v>387</v>
      </c>
    </row>
    <row r="356" spans="5:21" ht="15.75" customHeight="1" x14ac:dyDescent="0.25">
      <c r="E356" s="3"/>
      <c r="F356" s="3"/>
      <c r="G356" s="3"/>
      <c r="H356" s="3"/>
      <c r="I356" s="3"/>
      <c r="J356" s="3"/>
      <c r="U356" s="4" t="s">
        <v>388</v>
      </c>
    </row>
    <row r="357" spans="5:21" ht="15.75" customHeight="1" x14ac:dyDescent="0.25">
      <c r="E357" s="3"/>
      <c r="F357" s="3"/>
      <c r="G357" s="3"/>
      <c r="H357" s="3"/>
      <c r="I357" s="3"/>
      <c r="J357" s="3"/>
      <c r="U357" s="4" t="s">
        <v>389</v>
      </c>
    </row>
    <row r="358" spans="5:21" ht="15.75" customHeight="1" x14ac:dyDescent="0.25">
      <c r="E358" s="3"/>
      <c r="F358" s="3"/>
      <c r="G358" s="3"/>
      <c r="H358" s="3"/>
      <c r="I358" s="3"/>
      <c r="J358" s="3"/>
      <c r="U358" s="4" t="s">
        <v>390</v>
      </c>
    </row>
    <row r="359" spans="5:21" ht="15.75" customHeight="1" x14ac:dyDescent="0.25">
      <c r="E359" s="3"/>
      <c r="F359" s="3"/>
      <c r="G359" s="3"/>
      <c r="H359" s="3"/>
      <c r="I359" s="3"/>
      <c r="J359" s="3"/>
      <c r="U359" s="4" t="s">
        <v>391</v>
      </c>
    </row>
    <row r="360" spans="5:21" ht="15.75" customHeight="1" x14ac:dyDescent="0.25">
      <c r="E360" s="3"/>
      <c r="F360" s="3"/>
      <c r="G360" s="3"/>
      <c r="H360" s="3"/>
      <c r="I360" s="3"/>
      <c r="J360" s="3"/>
      <c r="U360" s="4" t="s">
        <v>392</v>
      </c>
    </row>
    <row r="361" spans="5:21" ht="15.75" customHeight="1" x14ac:dyDescent="0.25">
      <c r="E361" s="3"/>
      <c r="F361" s="3"/>
      <c r="G361" s="3"/>
      <c r="H361" s="3"/>
      <c r="I361" s="3"/>
      <c r="J361" s="3"/>
      <c r="U361" s="4" t="s">
        <v>393</v>
      </c>
    </row>
    <row r="362" spans="5:21" ht="15.75" customHeight="1" x14ac:dyDescent="0.25">
      <c r="E362" s="3"/>
      <c r="F362" s="3"/>
      <c r="G362" s="3"/>
      <c r="H362" s="3"/>
      <c r="I362" s="3"/>
      <c r="J362" s="3"/>
      <c r="U362" s="4" t="s">
        <v>394</v>
      </c>
    </row>
    <row r="363" spans="5:21" ht="15.75" customHeight="1" x14ac:dyDescent="0.25">
      <c r="E363" s="3"/>
      <c r="F363" s="3"/>
      <c r="G363" s="3"/>
      <c r="H363" s="3"/>
      <c r="I363" s="3"/>
      <c r="J363" s="3"/>
      <c r="U363" s="4" t="s">
        <v>395</v>
      </c>
    </row>
    <row r="364" spans="5:21" ht="15.75" customHeight="1" x14ac:dyDescent="0.25">
      <c r="E364" s="3"/>
      <c r="F364" s="3"/>
      <c r="G364" s="3"/>
      <c r="H364" s="3"/>
      <c r="I364" s="3"/>
      <c r="J364" s="3"/>
      <c r="U364" s="4" t="s">
        <v>396</v>
      </c>
    </row>
    <row r="365" spans="5:21" ht="15.75" customHeight="1" x14ac:dyDescent="0.25">
      <c r="E365" s="3"/>
      <c r="F365" s="3"/>
      <c r="G365" s="3"/>
      <c r="H365" s="3"/>
      <c r="I365" s="3"/>
      <c r="J365" s="3"/>
      <c r="U365" s="4" t="s">
        <v>397</v>
      </c>
    </row>
    <row r="366" spans="5:21" ht="15.75" customHeight="1" x14ac:dyDescent="0.25">
      <c r="E366" s="3"/>
      <c r="F366" s="3"/>
      <c r="G366" s="3"/>
      <c r="H366" s="3"/>
      <c r="I366" s="3"/>
      <c r="J366" s="3"/>
      <c r="U366" s="4" t="s">
        <v>398</v>
      </c>
    </row>
    <row r="367" spans="5:21" ht="15.75" customHeight="1" x14ac:dyDescent="0.25">
      <c r="E367" s="3"/>
      <c r="F367" s="3"/>
      <c r="G367" s="3"/>
      <c r="H367" s="3"/>
      <c r="I367" s="3"/>
      <c r="J367" s="3"/>
      <c r="U367" s="4" t="s">
        <v>399</v>
      </c>
    </row>
    <row r="368" spans="5:21" ht="15.75" customHeight="1" x14ac:dyDescent="0.25">
      <c r="E368" s="3"/>
      <c r="F368" s="3"/>
      <c r="G368" s="3"/>
      <c r="H368" s="3"/>
      <c r="I368" s="3"/>
      <c r="J368" s="3"/>
      <c r="U368" s="4" t="s">
        <v>400</v>
      </c>
    </row>
    <row r="369" spans="5:21" ht="15.75" customHeight="1" x14ac:dyDescent="0.25">
      <c r="E369" s="3"/>
      <c r="F369" s="3"/>
      <c r="G369" s="3"/>
      <c r="H369" s="3"/>
      <c r="I369" s="3"/>
      <c r="J369" s="3"/>
      <c r="U369" s="4" t="s">
        <v>401</v>
      </c>
    </row>
    <row r="370" spans="5:21" ht="15.75" customHeight="1" x14ac:dyDescent="0.25">
      <c r="E370" s="3"/>
      <c r="F370" s="3"/>
      <c r="G370" s="3"/>
      <c r="H370" s="3"/>
      <c r="I370" s="3"/>
      <c r="J370" s="3"/>
      <c r="U370" s="4" t="s">
        <v>402</v>
      </c>
    </row>
    <row r="371" spans="5:21" ht="15.75" customHeight="1" x14ac:dyDescent="0.25">
      <c r="E371" s="3"/>
      <c r="F371" s="3"/>
      <c r="G371" s="3"/>
      <c r="H371" s="3"/>
      <c r="I371" s="3"/>
      <c r="J371" s="3"/>
      <c r="U371" s="4" t="s">
        <v>403</v>
      </c>
    </row>
    <row r="372" spans="5:21" ht="15.75" customHeight="1" x14ac:dyDescent="0.25">
      <c r="E372" s="3"/>
      <c r="F372" s="3"/>
      <c r="G372" s="3"/>
      <c r="H372" s="3"/>
      <c r="I372" s="3"/>
      <c r="J372" s="3"/>
      <c r="U372" s="4" t="s">
        <v>404</v>
      </c>
    </row>
    <row r="373" spans="5:21" ht="15.75" customHeight="1" x14ac:dyDescent="0.25">
      <c r="E373" s="3"/>
      <c r="F373" s="3"/>
      <c r="G373" s="3"/>
      <c r="H373" s="3"/>
      <c r="I373" s="3"/>
      <c r="J373" s="3"/>
      <c r="U373" s="4" t="s">
        <v>405</v>
      </c>
    </row>
    <row r="374" spans="5:21" ht="15.75" customHeight="1" x14ac:dyDescent="0.25">
      <c r="E374" s="3"/>
      <c r="F374" s="3"/>
      <c r="G374" s="3"/>
      <c r="H374" s="3"/>
      <c r="I374" s="3"/>
      <c r="J374" s="3"/>
      <c r="U374" s="4" t="s">
        <v>406</v>
      </c>
    </row>
    <row r="375" spans="5:21" ht="15.75" customHeight="1" x14ac:dyDescent="0.25">
      <c r="E375" s="3"/>
      <c r="F375" s="3"/>
      <c r="G375" s="3"/>
      <c r="H375" s="3"/>
      <c r="I375" s="3"/>
      <c r="J375" s="3"/>
      <c r="U375" s="4" t="s">
        <v>407</v>
      </c>
    </row>
    <row r="376" spans="5:21" ht="15.75" customHeight="1" x14ac:dyDescent="0.25">
      <c r="E376" s="3"/>
      <c r="F376" s="3"/>
      <c r="G376" s="3"/>
      <c r="H376" s="3"/>
      <c r="I376" s="3"/>
      <c r="J376" s="3"/>
      <c r="U376" s="4" t="s">
        <v>408</v>
      </c>
    </row>
    <row r="377" spans="5:21" ht="15.75" customHeight="1" x14ac:dyDescent="0.25">
      <c r="E377" s="3"/>
      <c r="F377" s="3"/>
      <c r="G377" s="3"/>
      <c r="H377" s="3"/>
      <c r="I377" s="3"/>
      <c r="J377" s="3"/>
      <c r="U377" s="4" t="s">
        <v>409</v>
      </c>
    </row>
    <row r="378" spans="5:21" ht="15.75" customHeight="1" x14ac:dyDescent="0.25">
      <c r="E378" s="3"/>
      <c r="F378" s="3"/>
      <c r="G378" s="3"/>
      <c r="H378" s="3"/>
      <c r="I378" s="3"/>
      <c r="J378" s="3"/>
      <c r="U378" s="4" t="s">
        <v>410</v>
      </c>
    </row>
    <row r="379" spans="5:21" ht="15.75" customHeight="1" x14ac:dyDescent="0.25">
      <c r="E379" s="3"/>
      <c r="F379" s="3"/>
      <c r="G379" s="3"/>
      <c r="H379" s="3"/>
      <c r="I379" s="3"/>
      <c r="J379" s="3"/>
      <c r="U379" s="4" t="s">
        <v>411</v>
      </c>
    </row>
    <row r="380" spans="5:21" ht="15.75" customHeight="1" x14ac:dyDescent="0.25">
      <c r="E380" s="3"/>
      <c r="F380" s="3"/>
      <c r="G380" s="3"/>
      <c r="H380" s="3"/>
      <c r="I380" s="3"/>
      <c r="J380" s="3"/>
      <c r="U380" s="4" t="s">
        <v>412</v>
      </c>
    </row>
    <row r="381" spans="5:21" ht="15.75" customHeight="1" x14ac:dyDescent="0.25">
      <c r="E381" s="3"/>
      <c r="F381" s="3"/>
      <c r="G381" s="3"/>
      <c r="H381" s="3"/>
      <c r="I381" s="3"/>
      <c r="J381" s="3"/>
      <c r="U381" s="4" t="s">
        <v>413</v>
      </c>
    </row>
    <row r="382" spans="5:21" ht="15.75" customHeight="1" x14ac:dyDescent="0.25">
      <c r="E382" s="3"/>
      <c r="F382" s="3"/>
      <c r="G382" s="3"/>
      <c r="H382" s="3"/>
      <c r="I382" s="3"/>
      <c r="J382" s="3"/>
      <c r="U382" s="4" t="s">
        <v>414</v>
      </c>
    </row>
    <row r="383" spans="5:21" ht="15.75" customHeight="1" x14ac:dyDescent="0.25">
      <c r="E383" s="3"/>
      <c r="F383" s="3"/>
      <c r="G383" s="3"/>
      <c r="H383" s="3"/>
      <c r="I383" s="3"/>
      <c r="J383" s="3"/>
      <c r="U383" s="4" t="s">
        <v>415</v>
      </c>
    </row>
    <row r="384" spans="5:21" ht="15.75" customHeight="1" x14ac:dyDescent="0.25">
      <c r="E384" s="3"/>
      <c r="F384" s="3"/>
      <c r="G384" s="3"/>
      <c r="H384" s="3"/>
      <c r="I384" s="3"/>
      <c r="J384" s="3"/>
      <c r="U384" s="4" t="s">
        <v>416</v>
      </c>
    </row>
    <row r="385" spans="5:21" ht="15.75" customHeight="1" x14ac:dyDescent="0.25">
      <c r="E385" s="3"/>
      <c r="F385" s="3"/>
      <c r="G385" s="3"/>
      <c r="H385" s="3"/>
      <c r="I385" s="3"/>
      <c r="J385" s="3"/>
      <c r="U385" s="4" t="s">
        <v>417</v>
      </c>
    </row>
    <row r="386" spans="5:21" ht="15.75" customHeight="1" x14ac:dyDescent="0.25">
      <c r="E386" s="3"/>
      <c r="F386" s="3"/>
      <c r="G386" s="3"/>
      <c r="H386" s="3"/>
      <c r="I386" s="3"/>
      <c r="J386" s="3"/>
      <c r="U386" s="4" t="s">
        <v>418</v>
      </c>
    </row>
    <row r="387" spans="5:21" ht="15.75" customHeight="1" x14ac:dyDescent="0.25">
      <c r="E387" s="3"/>
      <c r="F387" s="3"/>
      <c r="G387" s="3"/>
      <c r="H387" s="3"/>
      <c r="I387" s="3"/>
      <c r="J387" s="3"/>
      <c r="U387" s="4" t="s">
        <v>419</v>
      </c>
    </row>
    <row r="388" spans="5:21" ht="15.75" customHeight="1" x14ac:dyDescent="0.25">
      <c r="E388" s="3"/>
      <c r="F388" s="3"/>
      <c r="G388" s="3"/>
      <c r="H388" s="3"/>
      <c r="I388" s="3"/>
      <c r="J388" s="3"/>
      <c r="U388" s="4" t="s">
        <v>420</v>
      </c>
    </row>
    <row r="389" spans="5:21" ht="15.75" customHeight="1" x14ac:dyDescent="0.25">
      <c r="E389" s="3"/>
      <c r="F389" s="3"/>
      <c r="G389" s="3"/>
      <c r="H389" s="3"/>
      <c r="I389" s="3"/>
      <c r="J389" s="3"/>
      <c r="U389" s="4" t="s">
        <v>421</v>
      </c>
    </row>
    <row r="390" spans="5:21" ht="15.75" customHeight="1" x14ac:dyDescent="0.25">
      <c r="E390" s="3"/>
      <c r="F390" s="3"/>
      <c r="G390" s="3"/>
      <c r="H390" s="3"/>
      <c r="I390" s="3"/>
      <c r="J390" s="3"/>
      <c r="U390" s="4" t="s">
        <v>422</v>
      </c>
    </row>
    <row r="391" spans="5:21" ht="15.75" customHeight="1" x14ac:dyDescent="0.25">
      <c r="E391" s="3"/>
      <c r="F391" s="3"/>
      <c r="G391" s="3"/>
      <c r="H391" s="3"/>
      <c r="I391" s="3"/>
      <c r="J391" s="3"/>
      <c r="U391" s="4" t="s">
        <v>423</v>
      </c>
    </row>
    <row r="392" spans="5:21" ht="15.75" customHeight="1" x14ac:dyDescent="0.25">
      <c r="E392" s="3"/>
      <c r="F392" s="3"/>
      <c r="G392" s="3"/>
      <c r="H392" s="3"/>
      <c r="I392" s="3"/>
      <c r="J392" s="3"/>
      <c r="U392" s="4" t="s">
        <v>424</v>
      </c>
    </row>
    <row r="393" spans="5:21" ht="15.75" customHeight="1" x14ac:dyDescent="0.25">
      <c r="E393" s="3"/>
      <c r="F393" s="3"/>
      <c r="G393" s="3"/>
      <c r="H393" s="3"/>
      <c r="I393" s="3"/>
      <c r="J393" s="3"/>
      <c r="U393" s="4" t="s">
        <v>425</v>
      </c>
    </row>
    <row r="394" spans="5:21" ht="15.75" customHeight="1" x14ac:dyDescent="0.25">
      <c r="E394" s="3"/>
      <c r="F394" s="3"/>
      <c r="G394" s="3"/>
      <c r="H394" s="3"/>
      <c r="I394" s="3"/>
      <c r="J394" s="3"/>
      <c r="U394" s="4" t="s">
        <v>426</v>
      </c>
    </row>
    <row r="395" spans="5:21" ht="15.75" customHeight="1" x14ac:dyDescent="0.25">
      <c r="E395" s="3"/>
      <c r="F395" s="3"/>
      <c r="G395" s="3"/>
      <c r="H395" s="3"/>
      <c r="I395" s="3"/>
      <c r="J395" s="3"/>
      <c r="U395" s="4" t="s">
        <v>427</v>
      </c>
    </row>
    <row r="396" spans="5:21" ht="15.75" customHeight="1" x14ac:dyDescent="0.25">
      <c r="E396" s="3"/>
      <c r="F396" s="3"/>
      <c r="G396" s="3"/>
      <c r="H396" s="3"/>
      <c r="I396" s="3"/>
      <c r="J396" s="3"/>
      <c r="U396" s="4" t="s">
        <v>428</v>
      </c>
    </row>
    <row r="397" spans="5:21" ht="15.75" customHeight="1" x14ac:dyDescent="0.25">
      <c r="E397" s="3"/>
      <c r="F397" s="3"/>
      <c r="G397" s="3"/>
      <c r="H397" s="3"/>
      <c r="I397" s="3"/>
      <c r="J397" s="3"/>
      <c r="U397" s="4" t="s">
        <v>429</v>
      </c>
    </row>
    <row r="398" spans="5:21" ht="15.75" customHeight="1" x14ac:dyDescent="0.25">
      <c r="E398" s="3"/>
      <c r="F398" s="3"/>
      <c r="G398" s="3"/>
      <c r="H398" s="3"/>
      <c r="I398" s="3"/>
      <c r="J398" s="3"/>
      <c r="U398" s="4" t="s">
        <v>430</v>
      </c>
    </row>
    <row r="399" spans="5:21" ht="15.75" customHeight="1" x14ac:dyDescent="0.25">
      <c r="E399" s="3"/>
      <c r="F399" s="3"/>
      <c r="G399" s="3"/>
      <c r="H399" s="3"/>
      <c r="I399" s="3"/>
      <c r="J399" s="3"/>
      <c r="U399" s="4" t="s">
        <v>431</v>
      </c>
    </row>
    <row r="400" spans="5:21" ht="15.75" customHeight="1" x14ac:dyDescent="0.25">
      <c r="E400" s="3"/>
      <c r="F400" s="3"/>
      <c r="G400" s="3"/>
      <c r="H400" s="3"/>
      <c r="I400" s="3"/>
      <c r="J400" s="3"/>
      <c r="U400" s="4" t="s">
        <v>432</v>
      </c>
    </row>
    <row r="401" spans="5:21" ht="15.75" customHeight="1" x14ac:dyDescent="0.25">
      <c r="E401" s="3"/>
      <c r="F401" s="3"/>
      <c r="G401" s="3"/>
      <c r="H401" s="3"/>
      <c r="I401" s="3"/>
      <c r="J401" s="3"/>
      <c r="U401" s="4" t="s">
        <v>433</v>
      </c>
    </row>
    <row r="402" spans="5:21" ht="15.75" customHeight="1" x14ac:dyDescent="0.25">
      <c r="E402" s="3"/>
      <c r="F402" s="3"/>
      <c r="G402" s="3"/>
      <c r="H402" s="3"/>
      <c r="I402" s="3"/>
      <c r="J402" s="3"/>
      <c r="U402" s="4" t="s">
        <v>434</v>
      </c>
    </row>
    <row r="403" spans="5:21" ht="15.75" customHeight="1" x14ac:dyDescent="0.25">
      <c r="E403" s="3"/>
      <c r="F403" s="3"/>
      <c r="G403" s="3"/>
      <c r="H403" s="3"/>
      <c r="I403" s="3"/>
      <c r="J403" s="3"/>
      <c r="U403" s="4" t="s">
        <v>435</v>
      </c>
    </row>
    <row r="404" spans="5:21" ht="15.75" customHeight="1" x14ac:dyDescent="0.25">
      <c r="E404" s="3"/>
      <c r="F404" s="3"/>
      <c r="G404" s="3"/>
      <c r="H404" s="3"/>
      <c r="I404" s="3"/>
      <c r="J404" s="3"/>
    </row>
    <row r="405" spans="5:21" ht="15.75" customHeight="1" x14ac:dyDescent="0.25">
      <c r="E405" s="3"/>
      <c r="F405" s="3"/>
      <c r="G405" s="3"/>
      <c r="H405" s="3"/>
      <c r="I405" s="3"/>
      <c r="J405" s="3"/>
    </row>
    <row r="406" spans="5:21" ht="15.75" customHeight="1" x14ac:dyDescent="0.25">
      <c r="E406" s="3"/>
      <c r="F406" s="3"/>
      <c r="G406" s="3"/>
      <c r="H406" s="3"/>
      <c r="I406" s="3"/>
      <c r="J406" s="3"/>
    </row>
    <row r="407" spans="5:21" ht="15.75" customHeight="1" x14ac:dyDescent="0.25">
      <c r="E407" s="3"/>
      <c r="F407" s="3"/>
      <c r="G407" s="3"/>
      <c r="H407" s="3"/>
      <c r="I407" s="3"/>
      <c r="J407" s="3"/>
    </row>
    <row r="408" spans="5:21" ht="15.75" customHeight="1" x14ac:dyDescent="0.25">
      <c r="E408" s="3"/>
      <c r="F408" s="3"/>
      <c r="G408" s="3"/>
      <c r="H408" s="3"/>
      <c r="I408" s="3"/>
      <c r="J408" s="3"/>
    </row>
    <row r="409" spans="5:21" ht="15.75" customHeight="1" x14ac:dyDescent="0.25">
      <c r="E409" s="3"/>
      <c r="F409" s="3"/>
      <c r="G409" s="3"/>
      <c r="H409" s="3"/>
      <c r="I409" s="3"/>
      <c r="J409" s="3"/>
    </row>
    <row r="410" spans="5:21" ht="15.75" customHeight="1" x14ac:dyDescent="0.25">
      <c r="E410" s="3"/>
      <c r="F410" s="3"/>
      <c r="G410" s="3"/>
      <c r="H410" s="3"/>
      <c r="I410" s="3"/>
      <c r="J410" s="3"/>
    </row>
    <row r="411" spans="5:21" ht="15.75" customHeight="1" x14ac:dyDescent="0.25">
      <c r="E411" s="3"/>
      <c r="F411" s="3"/>
      <c r="G411" s="3"/>
      <c r="H411" s="3"/>
      <c r="I411" s="3"/>
      <c r="J411" s="3"/>
    </row>
    <row r="412" spans="5:21" ht="15.75" customHeight="1" x14ac:dyDescent="0.25">
      <c r="E412" s="3"/>
      <c r="F412" s="3"/>
      <c r="G412" s="3"/>
      <c r="H412" s="3"/>
      <c r="I412" s="3"/>
      <c r="J412" s="3"/>
    </row>
    <row r="413" spans="5:21" ht="15.75" customHeight="1" x14ac:dyDescent="0.25">
      <c r="E413" s="3"/>
      <c r="F413" s="3"/>
      <c r="G413" s="3"/>
      <c r="H413" s="3"/>
      <c r="I413" s="3"/>
      <c r="J413" s="3"/>
    </row>
    <row r="414" spans="5:21" ht="15.75" customHeight="1" x14ac:dyDescent="0.25">
      <c r="E414" s="3"/>
      <c r="F414" s="3"/>
      <c r="G414" s="3"/>
      <c r="H414" s="3"/>
      <c r="I414" s="3"/>
      <c r="J414" s="3"/>
    </row>
    <row r="415" spans="5:21" ht="15.75" customHeight="1" x14ac:dyDescent="0.25">
      <c r="E415" s="3"/>
      <c r="F415" s="3"/>
      <c r="G415" s="3"/>
      <c r="H415" s="3"/>
      <c r="I415" s="3"/>
      <c r="J415" s="3"/>
    </row>
    <row r="416" spans="5:21" ht="15.75" customHeight="1" x14ac:dyDescent="0.25">
      <c r="E416" s="3"/>
      <c r="F416" s="3"/>
      <c r="G416" s="3"/>
      <c r="H416" s="3"/>
      <c r="I416" s="3"/>
      <c r="J416" s="3"/>
    </row>
    <row r="417" spans="5:10" ht="15.75" customHeight="1" x14ac:dyDescent="0.25">
      <c r="E417" s="3"/>
      <c r="F417" s="3"/>
      <c r="G417" s="3"/>
      <c r="H417" s="3"/>
      <c r="I417" s="3"/>
      <c r="J417" s="3"/>
    </row>
    <row r="418" spans="5:10" ht="15.75" customHeight="1" x14ac:dyDescent="0.25">
      <c r="E418" s="3"/>
      <c r="F418" s="3"/>
      <c r="G418" s="3"/>
      <c r="H418" s="3"/>
      <c r="I418" s="3"/>
      <c r="J418" s="3"/>
    </row>
    <row r="419" spans="5:10" ht="15.75" customHeight="1" x14ac:dyDescent="0.25">
      <c r="E419" s="3"/>
      <c r="F419" s="3"/>
      <c r="G419" s="3"/>
      <c r="H419" s="3"/>
      <c r="I419" s="3"/>
      <c r="J419" s="3"/>
    </row>
    <row r="420" spans="5:10" ht="15.75" customHeight="1" x14ac:dyDescent="0.25">
      <c r="E420" s="3"/>
      <c r="F420" s="3"/>
      <c r="G420" s="3"/>
      <c r="H420" s="3"/>
      <c r="I420" s="3"/>
      <c r="J420" s="3"/>
    </row>
    <row r="421" spans="5:10" ht="15.75" customHeight="1" x14ac:dyDescent="0.25">
      <c r="E421" s="3"/>
      <c r="F421" s="3"/>
      <c r="G421" s="3"/>
      <c r="H421" s="3"/>
      <c r="I421" s="3"/>
      <c r="J421" s="3"/>
    </row>
    <row r="422" spans="5:10" ht="15.75" customHeight="1" x14ac:dyDescent="0.25">
      <c r="E422" s="3"/>
      <c r="F422" s="3"/>
      <c r="G422" s="3"/>
      <c r="H422" s="3"/>
      <c r="I422" s="3"/>
      <c r="J422" s="3"/>
    </row>
    <row r="423" spans="5:10" ht="15.75" customHeight="1" x14ac:dyDescent="0.25">
      <c r="E423" s="3"/>
      <c r="F423" s="3"/>
      <c r="G423" s="3"/>
      <c r="H423" s="3"/>
      <c r="I423" s="3"/>
      <c r="J423" s="3"/>
    </row>
    <row r="424" spans="5:10" ht="15.75" customHeight="1" x14ac:dyDescent="0.25">
      <c r="E424" s="3"/>
      <c r="F424" s="3"/>
      <c r="G424" s="3"/>
      <c r="H424" s="3"/>
      <c r="I424" s="3"/>
      <c r="J424" s="3"/>
    </row>
    <row r="425" spans="5:10" ht="15.75" customHeight="1" x14ac:dyDescent="0.25">
      <c r="E425" s="3"/>
      <c r="F425" s="3"/>
      <c r="G425" s="3"/>
      <c r="H425" s="3"/>
      <c r="I425" s="3"/>
      <c r="J425" s="3"/>
    </row>
    <row r="426" spans="5:10" ht="15.75" customHeight="1" x14ac:dyDescent="0.25">
      <c r="E426" s="3"/>
      <c r="F426" s="3"/>
      <c r="G426" s="3"/>
      <c r="H426" s="3"/>
      <c r="I426" s="3"/>
      <c r="J426" s="3"/>
    </row>
    <row r="427" spans="5:10" ht="15.75" customHeight="1" x14ac:dyDescent="0.25">
      <c r="E427" s="3"/>
      <c r="F427" s="3"/>
      <c r="G427" s="3"/>
      <c r="H427" s="3"/>
      <c r="I427" s="3"/>
      <c r="J427" s="3"/>
    </row>
    <row r="428" spans="5:10" ht="15.75" customHeight="1" x14ac:dyDescent="0.25">
      <c r="E428" s="3"/>
      <c r="F428" s="3"/>
      <c r="G428" s="3"/>
      <c r="H428" s="3"/>
      <c r="I428" s="3"/>
      <c r="J428" s="3"/>
    </row>
    <row r="429" spans="5:10" ht="15.75" customHeight="1" x14ac:dyDescent="0.25">
      <c r="E429" s="3"/>
      <c r="F429" s="3"/>
      <c r="G429" s="3"/>
      <c r="H429" s="3"/>
      <c r="I429" s="3"/>
      <c r="J429" s="3"/>
    </row>
    <row r="430" spans="5:10" ht="15.75" customHeight="1" x14ac:dyDescent="0.25">
      <c r="E430" s="3"/>
      <c r="F430" s="3"/>
      <c r="G430" s="3"/>
      <c r="H430" s="3"/>
      <c r="I430" s="3"/>
      <c r="J430" s="3"/>
    </row>
    <row r="431" spans="5:10" ht="15.75" customHeight="1" x14ac:dyDescent="0.25">
      <c r="E431" s="3"/>
      <c r="F431" s="3"/>
      <c r="G431" s="3"/>
      <c r="H431" s="3"/>
      <c r="I431" s="3"/>
      <c r="J431" s="3"/>
    </row>
    <row r="432" spans="5:10" ht="15.75" customHeight="1" x14ac:dyDescent="0.25">
      <c r="E432" s="3"/>
      <c r="F432" s="3"/>
      <c r="G432" s="3"/>
      <c r="H432" s="3"/>
      <c r="I432" s="3"/>
      <c r="J432" s="3"/>
    </row>
    <row r="433" spans="5:10" ht="15.75" customHeight="1" x14ac:dyDescent="0.25">
      <c r="E433" s="3"/>
      <c r="F433" s="3"/>
      <c r="G433" s="3"/>
      <c r="H433" s="3"/>
      <c r="I433" s="3"/>
      <c r="J433" s="3"/>
    </row>
    <row r="434" spans="5:10" ht="15.75" customHeight="1" x14ac:dyDescent="0.25">
      <c r="E434" s="3"/>
      <c r="F434" s="3"/>
      <c r="G434" s="3"/>
      <c r="H434" s="3"/>
      <c r="I434" s="3"/>
      <c r="J434" s="3"/>
    </row>
    <row r="435" spans="5:10" ht="15.75" customHeight="1" x14ac:dyDescent="0.25">
      <c r="E435" s="3"/>
      <c r="F435" s="3"/>
      <c r="G435" s="3"/>
      <c r="H435" s="3"/>
      <c r="I435" s="3"/>
      <c r="J435" s="3"/>
    </row>
    <row r="436" spans="5:10" ht="15.75" customHeight="1" x14ac:dyDescent="0.25">
      <c r="E436" s="3"/>
      <c r="F436" s="3"/>
      <c r="G436" s="3"/>
      <c r="H436" s="3"/>
      <c r="I436" s="3"/>
      <c r="J436" s="3"/>
    </row>
    <row r="437" spans="5:10" ht="15.75" customHeight="1" x14ac:dyDescent="0.25">
      <c r="E437" s="3"/>
      <c r="F437" s="3"/>
      <c r="G437" s="3"/>
      <c r="H437" s="3"/>
      <c r="I437" s="3"/>
      <c r="J437" s="3"/>
    </row>
    <row r="438" spans="5:10" ht="15.75" customHeight="1" x14ac:dyDescent="0.25">
      <c r="E438" s="3"/>
      <c r="F438" s="3"/>
      <c r="G438" s="3"/>
      <c r="H438" s="3"/>
      <c r="I438" s="3"/>
      <c r="J438" s="3"/>
    </row>
    <row r="439" spans="5:10" ht="15.75" customHeight="1" x14ac:dyDescent="0.25">
      <c r="E439" s="3"/>
      <c r="F439" s="3"/>
      <c r="G439" s="3"/>
      <c r="H439" s="3"/>
      <c r="I439" s="3"/>
      <c r="J439" s="3"/>
    </row>
    <row r="440" spans="5:10" ht="15.75" customHeight="1" x14ac:dyDescent="0.25">
      <c r="E440" s="3"/>
      <c r="F440" s="3"/>
      <c r="G440" s="3"/>
      <c r="H440" s="3"/>
      <c r="I440" s="3"/>
      <c r="J440" s="3"/>
    </row>
    <row r="441" spans="5:10" ht="15.75" customHeight="1" x14ac:dyDescent="0.25">
      <c r="E441" s="3"/>
      <c r="F441" s="3"/>
      <c r="G441" s="3"/>
      <c r="H441" s="3"/>
      <c r="I441" s="3"/>
      <c r="J441" s="3"/>
    </row>
    <row r="442" spans="5:10" ht="15.75" customHeight="1" x14ac:dyDescent="0.25">
      <c r="E442" s="3"/>
      <c r="F442" s="3"/>
      <c r="G442" s="3"/>
      <c r="H442" s="3"/>
      <c r="I442" s="3"/>
      <c r="J442" s="3"/>
    </row>
    <row r="443" spans="5:10" ht="15.75" customHeight="1" x14ac:dyDescent="0.25">
      <c r="E443" s="3"/>
      <c r="F443" s="3"/>
      <c r="G443" s="3"/>
      <c r="H443" s="3"/>
      <c r="I443" s="3"/>
      <c r="J443" s="3"/>
    </row>
    <row r="444" spans="5:10" ht="15.75" customHeight="1" x14ac:dyDescent="0.25">
      <c r="E444" s="3"/>
      <c r="F444" s="3"/>
      <c r="G444" s="3"/>
      <c r="H444" s="3"/>
      <c r="I444" s="3"/>
      <c r="J444" s="3"/>
    </row>
    <row r="445" spans="5:10" ht="15.75" customHeight="1" x14ac:dyDescent="0.25">
      <c r="E445" s="3"/>
      <c r="F445" s="3"/>
      <c r="G445" s="3"/>
      <c r="H445" s="3"/>
      <c r="I445" s="3"/>
      <c r="J445" s="3"/>
    </row>
    <row r="446" spans="5:10" ht="15.75" customHeight="1" x14ac:dyDescent="0.25">
      <c r="E446" s="3"/>
      <c r="F446" s="3"/>
      <c r="G446" s="3"/>
      <c r="H446" s="3"/>
      <c r="I446" s="3"/>
      <c r="J446" s="3"/>
    </row>
    <row r="447" spans="5:10" ht="15.75" customHeight="1" x14ac:dyDescent="0.25">
      <c r="E447" s="3"/>
      <c r="F447" s="3"/>
      <c r="G447" s="3"/>
      <c r="H447" s="3"/>
      <c r="I447" s="3"/>
      <c r="J447" s="3"/>
    </row>
    <row r="448" spans="5:10" ht="15.75" customHeight="1" x14ac:dyDescent="0.25">
      <c r="E448" s="3"/>
      <c r="F448" s="3"/>
      <c r="G448" s="3"/>
      <c r="H448" s="3"/>
      <c r="I448" s="3"/>
      <c r="J448" s="3"/>
    </row>
    <row r="449" spans="5:10" ht="15.75" customHeight="1" x14ac:dyDescent="0.25">
      <c r="E449" s="3"/>
      <c r="F449" s="3"/>
      <c r="G449" s="3"/>
      <c r="H449" s="3"/>
      <c r="I449" s="3"/>
      <c r="J449" s="3"/>
    </row>
    <row r="450" spans="5:10" ht="15.75" customHeight="1" x14ac:dyDescent="0.25">
      <c r="E450" s="3"/>
      <c r="F450" s="3"/>
      <c r="G450" s="3"/>
      <c r="H450" s="3"/>
      <c r="I450" s="3"/>
      <c r="J450" s="3"/>
    </row>
    <row r="451" spans="5:10" ht="15.75" customHeight="1" x14ac:dyDescent="0.25">
      <c r="E451" s="3"/>
      <c r="F451" s="3"/>
      <c r="G451" s="3"/>
      <c r="H451" s="3"/>
      <c r="I451" s="3"/>
      <c r="J451" s="3"/>
    </row>
    <row r="452" spans="5:10" ht="15.75" customHeight="1" x14ac:dyDescent="0.25">
      <c r="E452" s="3"/>
      <c r="F452" s="3"/>
      <c r="G452" s="3"/>
      <c r="H452" s="3"/>
      <c r="I452" s="3"/>
      <c r="J452" s="3"/>
    </row>
    <row r="453" spans="5:10" ht="15.75" customHeight="1" x14ac:dyDescent="0.25">
      <c r="E453" s="3"/>
      <c r="F453" s="3"/>
      <c r="G453" s="3"/>
      <c r="H453" s="3"/>
      <c r="I453" s="3"/>
      <c r="J453" s="3"/>
    </row>
    <row r="454" spans="5:10" ht="15.75" customHeight="1" x14ac:dyDescent="0.25">
      <c r="E454" s="3"/>
      <c r="F454" s="3"/>
      <c r="G454" s="3"/>
      <c r="H454" s="3"/>
      <c r="I454" s="3"/>
      <c r="J454" s="3"/>
    </row>
    <row r="455" spans="5:10" ht="15.75" customHeight="1" x14ac:dyDescent="0.25">
      <c r="E455" s="3"/>
      <c r="F455" s="3"/>
      <c r="G455" s="3"/>
      <c r="H455" s="3"/>
      <c r="I455" s="3"/>
      <c r="J455" s="3"/>
    </row>
    <row r="456" spans="5:10" ht="15.75" customHeight="1" x14ac:dyDescent="0.25">
      <c r="E456" s="3"/>
      <c r="F456" s="3"/>
      <c r="G456" s="3"/>
      <c r="H456" s="3"/>
      <c r="I456" s="3"/>
      <c r="J456" s="3"/>
    </row>
    <row r="457" spans="5:10" ht="15.75" customHeight="1" x14ac:dyDescent="0.25">
      <c r="E457" s="3"/>
      <c r="F457" s="3"/>
      <c r="G457" s="3"/>
      <c r="H457" s="3"/>
      <c r="I457" s="3"/>
      <c r="J457" s="3"/>
    </row>
    <row r="458" spans="5:10" ht="15.75" customHeight="1" x14ac:dyDescent="0.25">
      <c r="E458" s="3"/>
      <c r="F458" s="3"/>
      <c r="G458" s="3"/>
      <c r="H458" s="3"/>
      <c r="I458" s="3"/>
      <c r="J458" s="3"/>
    </row>
    <row r="459" spans="5:10" ht="15.75" customHeight="1" x14ac:dyDescent="0.25">
      <c r="E459" s="3"/>
      <c r="F459" s="3"/>
      <c r="G459" s="3"/>
      <c r="H459" s="3"/>
      <c r="I459" s="3"/>
      <c r="J459" s="3"/>
    </row>
    <row r="460" spans="5:10" ht="15.75" customHeight="1" x14ac:dyDescent="0.25">
      <c r="E460" s="3"/>
      <c r="F460" s="3"/>
      <c r="G460" s="3"/>
      <c r="H460" s="3"/>
      <c r="I460" s="3"/>
      <c r="J460" s="3"/>
    </row>
    <row r="461" spans="5:10" ht="15.75" customHeight="1" x14ac:dyDescent="0.25">
      <c r="E461" s="3"/>
      <c r="F461" s="3"/>
      <c r="G461" s="3"/>
      <c r="H461" s="3"/>
      <c r="I461" s="3"/>
      <c r="J461" s="3"/>
    </row>
    <row r="462" spans="5:10" ht="15.75" customHeight="1" x14ac:dyDescent="0.25">
      <c r="E462" s="3"/>
      <c r="F462" s="3"/>
      <c r="G462" s="3"/>
      <c r="H462" s="3"/>
      <c r="I462" s="3"/>
      <c r="J462" s="3"/>
    </row>
    <row r="463" spans="5:10" ht="15.75" customHeight="1" x14ac:dyDescent="0.25">
      <c r="E463" s="3"/>
      <c r="F463" s="3"/>
      <c r="G463" s="3"/>
      <c r="H463" s="3"/>
      <c r="I463" s="3"/>
      <c r="J463" s="3"/>
    </row>
    <row r="464" spans="5:10" ht="15.75" customHeight="1" x14ac:dyDescent="0.25">
      <c r="E464" s="3"/>
      <c r="F464" s="3"/>
      <c r="G464" s="3"/>
      <c r="H464" s="3"/>
      <c r="I464" s="3"/>
      <c r="J464" s="3"/>
    </row>
    <row r="465" spans="5:10" ht="15.75" customHeight="1" x14ac:dyDescent="0.25">
      <c r="E465" s="3"/>
      <c r="F465" s="3"/>
      <c r="G465" s="3"/>
      <c r="H465" s="3"/>
      <c r="I465" s="3"/>
      <c r="J465" s="3"/>
    </row>
    <row r="466" spans="5:10" ht="15.75" customHeight="1" x14ac:dyDescent="0.25">
      <c r="E466" s="3"/>
      <c r="F466" s="3"/>
      <c r="G466" s="3"/>
      <c r="H466" s="3"/>
      <c r="I466" s="3"/>
      <c r="J466" s="3"/>
    </row>
    <row r="467" spans="5:10" ht="15.75" customHeight="1" x14ac:dyDescent="0.25">
      <c r="E467" s="3"/>
      <c r="F467" s="3"/>
      <c r="G467" s="3"/>
      <c r="H467" s="3"/>
      <c r="I467" s="3"/>
      <c r="J467" s="3"/>
    </row>
    <row r="468" spans="5:10" ht="15.75" customHeight="1" x14ac:dyDescent="0.25">
      <c r="E468" s="3"/>
      <c r="F468" s="3"/>
      <c r="G468" s="3"/>
      <c r="H468" s="3"/>
      <c r="I468" s="3"/>
      <c r="J468" s="3"/>
    </row>
    <row r="469" spans="5:10" ht="15.75" customHeight="1" x14ac:dyDescent="0.25">
      <c r="E469" s="3"/>
      <c r="F469" s="3"/>
      <c r="G469" s="3"/>
      <c r="H469" s="3"/>
      <c r="I469" s="3"/>
      <c r="J469" s="3"/>
    </row>
    <row r="470" spans="5:10" ht="15.75" customHeight="1" x14ac:dyDescent="0.25">
      <c r="E470" s="3"/>
      <c r="F470" s="3"/>
      <c r="G470" s="3"/>
      <c r="H470" s="3"/>
      <c r="I470" s="3"/>
      <c r="J470" s="3"/>
    </row>
    <row r="471" spans="5:10" ht="15.75" customHeight="1" x14ac:dyDescent="0.25">
      <c r="E471" s="3"/>
      <c r="F471" s="3"/>
      <c r="G471" s="3"/>
      <c r="H471" s="3"/>
      <c r="I471" s="3"/>
      <c r="J471" s="3"/>
    </row>
    <row r="472" spans="5:10" ht="15.75" customHeight="1" x14ac:dyDescent="0.25">
      <c r="E472" s="3"/>
      <c r="F472" s="3"/>
      <c r="G472" s="3"/>
      <c r="H472" s="3"/>
      <c r="I472" s="3"/>
      <c r="J472" s="3"/>
    </row>
    <row r="473" spans="5:10" ht="15.75" customHeight="1" x14ac:dyDescent="0.25">
      <c r="E473" s="3"/>
      <c r="F473" s="3"/>
      <c r="G473" s="3"/>
      <c r="H473" s="3"/>
      <c r="I473" s="3"/>
      <c r="J473" s="3"/>
    </row>
    <row r="474" spans="5:10" ht="15.75" customHeight="1" x14ac:dyDescent="0.25">
      <c r="E474" s="3"/>
      <c r="F474" s="3"/>
      <c r="G474" s="3"/>
      <c r="H474" s="3"/>
      <c r="I474" s="3"/>
      <c r="J474" s="3"/>
    </row>
    <row r="475" spans="5:10" ht="15.75" customHeight="1" x14ac:dyDescent="0.25">
      <c r="E475" s="3"/>
      <c r="F475" s="3"/>
      <c r="G475" s="3"/>
      <c r="H475" s="3"/>
      <c r="I475" s="3"/>
      <c r="J475" s="3"/>
    </row>
    <row r="476" spans="5:10" ht="15.75" customHeight="1" x14ac:dyDescent="0.25">
      <c r="E476" s="3"/>
      <c r="F476" s="3"/>
      <c r="G476" s="3"/>
      <c r="H476" s="3"/>
      <c r="I476" s="3"/>
      <c r="J476" s="3"/>
    </row>
    <row r="477" spans="5:10" ht="15.75" customHeight="1" x14ac:dyDescent="0.25">
      <c r="E477" s="3"/>
      <c r="F477" s="3"/>
      <c r="G477" s="3"/>
      <c r="H477" s="3"/>
      <c r="I477" s="3"/>
      <c r="J477" s="3"/>
    </row>
    <row r="478" spans="5:10" ht="15.75" customHeight="1" x14ac:dyDescent="0.25">
      <c r="E478" s="3"/>
      <c r="F478" s="3"/>
      <c r="G478" s="3"/>
      <c r="H478" s="3"/>
      <c r="I478" s="3"/>
      <c r="J478" s="3"/>
    </row>
    <row r="479" spans="5:10" ht="15.75" customHeight="1" x14ac:dyDescent="0.25">
      <c r="E479" s="3"/>
      <c r="F479" s="3"/>
      <c r="G479" s="3"/>
      <c r="H479" s="3"/>
      <c r="I479" s="3"/>
      <c r="J479" s="3"/>
    </row>
    <row r="480" spans="5:10" ht="15.75" customHeight="1" x14ac:dyDescent="0.25">
      <c r="E480" s="3"/>
      <c r="F480" s="3"/>
      <c r="G480" s="3"/>
      <c r="H480" s="3"/>
      <c r="I480" s="3"/>
      <c r="J480" s="3"/>
    </row>
    <row r="481" spans="5:10" ht="15.75" customHeight="1" x14ac:dyDescent="0.25">
      <c r="E481" s="3"/>
      <c r="F481" s="3"/>
      <c r="G481" s="3"/>
      <c r="H481" s="3"/>
      <c r="I481" s="3"/>
      <c r="J481" s="3"/>
    </row>
    <row r="482" spans="5:10" ht="15.75" customHeight="1" x14ac:dyDescent="0.25">
      <c r="E482" s="3"/>
      <c r="F482" s="3"/>
      <c r="G482" s="3"/>
      <c r="H482" s="3"/>
      <c r="I482" s="3"/>
      <c r="J482" s="3"/>
    </row>
    <row r="483" spans="5:10" ht="15.75" customHeight="1" x14ac:dyDescent="0.25">
      <c r="E483" s="3"/>
      <c r="F483" s="3"/>
      <c r="G483" s="3"/>
      <c r="H483" s="3"/>
      <c r="I483" s="3"/>
      <c r="J483" s="3"/>
    </row>
    <row r="484" spans="5:10" ht="15.75" customHeight="1" x14ac:dyDescent="0.25">
      <c r="E484" s="3"/>
      <c r="F484" s="3"/>
      <c r="G484" s="3"/>
      <c r="H484" s="3"/>
      <c r="I484" s="3"/>
      <c r="J484" s="3"/>
    </row>
    <row r="485" spans="5:10" ht="15.75" customHeight="1" x14ac:dyDescent="0.25">
      <c r="E485" s="3"/>
      <c r="F485" s="3"/>
      <c r="G485" s="3"/>
      <c r="H485" s="3"/>
      <c r="I485" s="3"/>
      <c r="J485" s="3"/>
    </row>
    <row r="486" spans="5:10" ht="15.75" customHeight="1" x14ac:dyDescent="0.25">
      <c r="E486" s="3"/>
      <c r="F486" s="3"/>
      <c r="G486" s="3"/>
      <c r="H486" s="3"/>
      <c r="I486" s="3"/>
      <c r="J486" s="3"/>
    </row>
    <row r="487" spans="5:10" ht="15.75" customHeight="1" x14ac:dyDescent="0.25">
      <c r="E487" s="3"/>
      <c r="F487" s="3"/>
      <c r="G487" s="3"/>
      <c r="H487" s="3"/>
      <c r="I487" s="3"/>
      <c r="J487" s="3"/>
    </row>
    <row r="488" spans="5:10" ht="15.75" customHeight="1" x14ac:dyDescent="0.25">
      <c r="E488" s="3"/>
      <c r="F488" s="3"/>
      <c r="G488" s="3"/>
      <c r="H488" s="3"/>
      <c r="I488" s="3"/>
      <c r="J488" s="3"/>
    </row>
    <row r="489" spans="5:10" ht="15.75" customHeight="1" x14ac:dyDescent="0.25">
      <c r="E489" s="3"/>
      <c r="F489" s="3"/>
      <c r="G489" s="3"/>
      <c r="H489" s="3"/>
      <c r="I489" s="3"/>
      <c r="J489" s="3"/>
    </row>
    <row r="490" spans="5:10" ht="15.75" customHeight="1" x14ac:dyDescent="0.25">
      <c r="E490" s="3"/>
      <c r="F490" s="3"/>
      <c r="G490" s="3"/>
      <c r="H490" s="3"/>
      <c r="I490" s="3"/>
      <c r="J490" s="3"/>
    </row>
    <row r="491" spans="5:10" ht="15.75" customHeight="1" x14ac:dyDescent="0.25">
      <c r="E491" s="3"/>
      <c r="F491" s="3"/>
      <c r="G491" s="3"/>
      <c r="H491" s="3"/>
      <c r="I491" s="3"/>
      <c r="J491" s="3"/>
    </row>
    <row r="492" spans="5:10" ht="15.75" customHeight="1" x14ac:dyDescent="0.25">
      <c r="E492" s="3"/>
      <c r="F492" s="3"/>
      <c r="G492" s="3"/>
      <c r="H492" s="3"/>
      <c r="I492" s="3"/>
      <c r="J492" s="3"/>
    </row>
    <row r="493" spans="5:10" ht="15.75" customHeight="1" x14ac:dyDescent="0.25">
      <c r="E493" s="3"/>
      <c r="F493" s="3"/>
      <c r="G493" s="3"/>
      <c r="H493" s="3"/>
      <c r="I493" s="3"/>
      <c r="J493" s="3"/>
    </row>
    <row r="494" spans="5:10" ht="15.75" customHeight="1" x14ac:dyDescent="0.25">
      <c r="E494" s="3"/>
      <c r="F494" s="3"/>
      <c r="G494" s="3"/>
      <c r="H494" s="3"/>
      <c r="I494" s="3"/>
      <c r="J494" s="3"/>
    </row>
    <row r="495" spans="5:10" ht="15.75" customHeight="1" x14ac:dyDescent="0.25">
      <c r="E495" s="3"/>
      <c r="F495" s="3"/>
      <c r="G495" s="3"/>
      <c r="H495" s="3"/>
      <c r="I495" s="3"/>
      <c r="J495" s="3"/>
    </row>
    <row r="496" spans="5:10" ht="15.75" customHeight="1" x14ac:dyDescent="0.25">
      <c r="E496" s="3"/>
      <c r="F496" s="3"/>
      <c r="G496" s="3"/>
      <c r="H496" s="3"/>
      <c r="I496" s="3"/>
      <c r="J496" s="3"/>
    </row>
    <row r="497" spans="5:10" ht="15.75" customHeight="1" x14ac:dyDescent="0.25">
      <c r="E497" s="3"/>
      <c r="F497" s="3"/>
      <c r="G497" s="3"/>
      <c r="H497" s="3"/>
      <c r="I497" s="3"/>
      <c r="J497" s="3"/>
    </row>
    <row r="498" spans="5:10" ht="15.75" customHeight="1" x14ac:dyDescent="0.25">
      <c r="E498" s="3"/>
      <c r="F498" s="3"/>
      <c r="G498" s="3"/>
      <c r="H498" s="3"/>
      <c r="I498" s="3"/>
      <c r="J498" s="3"/>
    </row>
    <row r="499" spans="5:10" ht="15.75" customHeight="1" x14ac:dyDescent="0.25">
      <c r="E499" s="3"/>
      <c r="F499" s="3"/>
      <c r="G499" s="3"/>
      <c r="H499" s="3"/>
      <c r="I499" s="3"/>
      <c r="J499" s="3"/>
    </row>
    <row r="500" spans="5:10" ht="15.75" customHeight="1" x14ac:dyDescent="0.25">
      <c r="E500" s="3"/>
      <c r="F500" s="3"/>
      <c r="G500" s="3"/>
      <c r="H500" s="3"/>
      <c r="I500" s="3"/>
      <c r="J500" s="3"/>
    </row>
    <row r="501" spans="5:10" ht="15.75" customHeight="1" x14ac:dyDescent="0.25">
      <c r="E501" s="3"/>
      <c r="F501" s="3"/>
      <c r="G501" s="3"/>
      <c r="H501" s="3"/>
      <c r="I501" s="3"/>
      <c r="J501" s="3"/>
    </row>
    <row r="502" spans="5:10" ht="15.75" customHeight="1" x14ac:dyDescent="0.25">
      <c r="E502" s="3"/>
      <c r="F502" s="3"/>
      <c r="G502" s="3"/>
      <c r="H502" s="3"/>
      <c r="I502" s="3"/>
      <c r="J502" s="3"/>
    </row>
    <row r="503" spans="5:10" ht="15.75" customHeight="1" x14ac:dyDescent="0.25">
      <c r="E503" s="3"/>
      <c r="F503" s="3"/>
      <c r="G503" s="3"/>
      <c r="H503" s="3"/>
      <c r="I503" s="3"/>
      <c r="J503" s="3"/>
    </row>
    <row r="504" spans="5:10" ht="15.75" customHeight="1" x14ac:dyDescent="0.25">
      <c r="E504" s="3"/>
      <c r="F504" s="3"/>
      <c r="G504" s="3"/>
      <c r="H504" s="3"/>
      <c r="I504" s="3"/>
      <c r="J504" s="3"/>
    </row>
    <row r="505" spans="5:10" ht="15.75" customHeight="1" x14ac:dyDescent="0.25">
      <c r="E505" s="3"/>
      <c r="F505" s="3"/>
      <c r="G505" s="3"/>
      <c r="H505" s="3"/>
      <c r="I505" s="3"/>
      <c r="J505" s="3"/>
    </row>
    <row r="506" spans="5:10" ht="15.75" customHeight="1" x14ac:dyDescent="0.25">
      <c r="E506" s="3"/>
      <c r="F506" s="3"/>
      <c r="G506" s="3"/>
      <c r="H506" s="3"/>
      <c r="I506" s="3"/>
      <c r="J506" s="3"/>
    </row>
    <row r="507" spans="5:10" ht="15.75" customHeight="1" x14ac:dyDescent="0.25">
      <c r="E507" s="3"/>
      <c r="F507" s="3"/>
      <c r="G507" s="3"/>
      <c r="H507" s="3"/>
      <c r="I507" s="3"/>
      <c r="J507" s="3"/>
    </row>
    <row r="508" spans="5:10" ht="15.75" customHeight="1" x14ac:dyDescent="0.25">
      <c r="E508" s="3"/>
      <c r="F508" s="3"/>
      <c r="G508" s="3"/>
      <c r="H508" s="3"/>
      <c r="I508" s="3"/>
      <c r="J508" s="3"/>
    </row>
    <row r="509" spans="5:10" ht="15.75" customHeight="1" x14ac:dyDescent="0.25">
      <c r="E509" s="3"/>
      <c r="F509" s="3"/>
      <c r="G509" s="3"/>
      <c r="H509" s="3"/>
      <c r="I509" s="3"/>
      <c r="J509" s="3"/>
    </row>
    <row r="510" spans="5:10" ht="15.75" customHeight="1" x14ac:dyDescent="0.25">
      <c r="E510" s="3"/>
      <c r="F510" s="3"/>
      <c r="G510" s="3"/>
      <c r="H510" s="3"/>
      <c r="I510" s="3"/>
      <c r="J510" s="3"/>
    </row>
    <row r="511" spans="5:10" ht="15.75" customHeight="1" x14ac:dyDescent="0.25">
      <c r="E511" s="3"/>
      <c r="F511" s="3"/>
      <c r="G511" s="3"/>
      <c r="H511" s="3"/>
      <c r="I511" s="3"/>
      <c r="J511" s="3"/>
    </row>
    <row r="512" spans="5:10" ht="15.75" customHeight="1" x14ac:dyDescent="0.25">
      <c r="E512" s="3"/>
      <c r="F512" s="3"/>
      <c r="G512" s="3"/>
      <c r="H512" s="3"/>
      <c r="I512" s="3"/>
      <c r="J512" s="3"/>
    </row>
    <row r="513" spans="5:10" ht="15.75" customHeight="1" x14ac:dyDescent="0.25">
      <c r="E513" s="3"/>
      <c r="F513" s="3"/>
      <c r="G513" s="3"/>
      <c r="H513" s="3"/>
      <c r="I513" s="3"/>
      <c r="J513" s="3"/>
    </row>
    <row r="514" spans="5:10" ht="15.75" customHeight="1" x14ac:dyDescent="0.25">
      <c r="E514" s="3"/>
      <c r="F514" s="3"/>
      <c r="G514" s="3"/>
      <c r="H514" s="3"/>
      <c r="I514" s="3"/>
      <c r="J514" s="3"/>
    </row>
    <row r="515" spans="5:10" ht="15.75" customHeight="1" x14ac:dyDescent="0.25">
      <c r="E515" s="3"/>
      <c r="F515" s="3"/>
      <c r="G515" s="3"/>
      <c r="H515" s="3"/>
      <c r="I515" s="3"/>
      <c r="J515" s="3"/>
    </row>
    <row r="516" spans="5:10" ht="15.75" customHeight="1" x14ac:dyDescent="0.25">
      <c r="E516" s="3"/>
      <c r="F516" s="3"/>
      <c r="G516" s="3"/>
      <c r="H516" s="3"/>
      <c r="I516" s="3"/>
      <c r="J516" s="3"/>
    </row>
    <row r="517" spans="5:10" ht="15.75" customHeight="1" x14ac:dyDescent="0.25">
      <c r="E517" s="3"/>
      <c r="F517" s="3"/>
      <c r="G517" s="3"/>
      <c r="H517" s="3"/>
      <c r="I517" s="3"/>
      <c r="J517" s="3"/>
    </row>
    <row r="518" spans="5:10" ht="15.75" customHeight="1" x14ac:dyDescent="0.25">
      <c r="E518" s="3"/>
      <c r="F518" s="3"/>
      <c r="G518" s="3"/>
      <c r="H518" s="3"/>
      <c r="I518" s="3"/>
      <c r="J518" s="3"/>
    </row>
    <row r="519" spans="5:10" ht="15.75" customHeight="1" x14ac:dyDescent="0.25">
      <c r="E519" s="3"/>
      <c r="F519" s="3"/>
      <c r="G519" s="3"/>
      <c r="H519" s="3"/>
      <c r="I519" s="3"/>
      <c r="J519" s="3"/>
    </row>
    <row r="520" spans="5:10" ht="15.75" customHeight="1" x14ac:dyDescent="0.25">
      <c r="E520" s="3"/>
      <c r="F520" s="3"/>
      <c r="G520" s="3"/>
      <c r="H520" s="3"/>
      <c r="I520" s="3"/>
      <c r="J520" s="3"/>
    </row>
    <row r="521" spans="5:10" ht="15.75" customHeight="1" x14ac:dyDescent="0.25">
      <c r="E521" s="3"/>
      <c r="F521" s="3"/>
      <c r="G521" s="3"/>
      <c r="H521" s="3"/>
      <c r="I521" s="3"/>
      <c r="J521" s="3"/>
    </row>
    <row r="522" spans="5:10" ht="15.75" customHeight="1" x14ac:dyDescent="0.25">
      <c r="E522" s="3"/>
      <c r="F522" s="3"/>
      <c r="G522" s="3"/>
      <c r="H522" s="3"/>
      <c r="I522" s="3"/>
      <c r="J522" s="3"/>
    </row>
    <row r="523" spans="5:10" ht="15.75" customHeight="1" x14ac:dyDescent="0.25">
      <c r="E523" s="3"/>
      <c r="F523" s="3"/>
      <c r="G523" s="3"/>
      <c r="H523" s="3"/>
      <c r="I523" s="3"/>
      <c r="J523" s="3"/>
    </row>
    <row r="524" spans="5:10" ht="15.75" customHeight="1" x14ac:dyDescent="0.25">
      <c r="E524" s="3"/>
      <c r="F524" s="3"/>
      <c r="G524" s="3"/>
      <c r="H524" s="3"/>
      <c r="I524" s="3"/>
      <c r="J524" s="3"/>
    </row>
    <row r="525" spans="5:10" ht="15.75" customHeight="1" x14ac:dyDescent="0.25">
      <c r="E525" s="3"/>
      <c r="F525" s="3"/>
      <c r="G525" s="3"/>
      <c r="H525" s="3"/>
      <c r="I525" s="3"/>
      <c r="J525" s="3"/>
    </row>
    <row r="526" spans="5:10" ht="15.75" customHeight="1" x14ac:dyDescent="0.25">
      <c r="E526" s="3"/>
      <c r="F526" s="3"/>
      <c r="G526" s="3"/>
      <c r="H526" s="3"/>
      <c r="I526" s="3"/>
      <c r="J526" s="3"/>
    </row>
    <row r="527" spans="5:10" ht="15.75" customHeight="1" x14ac:dyDescent="0.25">
      <c r="E527" s="3"/>
      <c r="F527" s="3"/>
      <c r="G527" s="3"/>
      <c r="H527" s="3"/>
      <c r="I527" s="3"/>
      <c r="J527" s="3"/>
    </row>
    <row r="528" spans="5:10" ht="15.75" customHeight="1" x14ac:dyDescent="0.25">
      <c r="E528" s="3"/>
      <c r="F528" s="3"/>
      <c r="G528" s="3"/>
      <c r="H528" s="3"/>
      <c r="I528" s="3"/>
      <c r="J528" s="3"/>
    </row>
    <row r="529" spans="5:10" ht="15.75" customHeight="1" x14ac:dyDescent="0.25">
      <c r="E529" s="3"/>
      <c r="F529" s="3"/>
      <c r="G529" s="3"/>
      <c r="H529" s="3"/>
      <c r="I529" s="3"/>
      <c r="J529" s="3"/>
    </row>
    <row r="530" spans="5:10" ht="15.75" customHeight="1" x14ac:dyDescent="0.25">
      <c r="E530" s="3"/>
      <c r="F530" s="3"/>
      <c r="G530" s="3"/>
      <c r="H530" s="3"/>
      <c r="I530" s="3"/>
      <c r="J530" s="3"/>
    </row>
    <row r="531" spans="5:10" ht="15.75" customHeight="1" x14ac:dyDescent="0.25">
      <c r="E531" s="3"/>
      <c r="F531" s="3"/>
      <c r="G531" s="3"/>
      <c r="H531" s="3"/>
      <c r="I531" s="3"/>
      <c r="J531" s="3"/>
    </row>
    <row r="532" spans="5:10" ht="15.75" customHeight="1" x14ac:dyDescent="0.25">
      <c r="E532" s="3"/>
      <c r="F532" s="3"/>
      <c r="G532" s="3"/>
      <c r="H532" s="3"/>
      <c r="I532" s="3"/>
      <c r="J532" s="3"/>
    </row>
    <row r="533" spans="5:10" ht="15.75" customHeight="1" x14ac:dyDescent="0.25">
      <c r="E533" s="3"/>
      <c r="F533" s="3"/>
      <c r="G533" s="3"/>
      <c r="H533" s="3"/>
      <c r="I533" s="3"/>
      <c r="J533" s="3"/>
    </row>
    <row r="534" spans="5:10" ht="15.75" customHeight="1" x14ac:dyDescent="0.25">
      <c r="E534" s="3"/>
      <c r="F534" s="3"/>
      <c r="G534" s="3"/>
      <c r="H534" s="3"/>
      <c r="I534" s="3"/>
      <c r="J534" s="3"/>
    </row>
    <row r="535" spans="5:10" ht="15.75" customHeight="1" x14ac:dyDescent="0.25">
      <c r="E535" s="3"/>
      <c r="F535" s="3"/>
      <c r="G535" s="3"/>
      <c r="H535" s="3"/>
      <c r="I535" s="3"/>
      <c r="J535" s="3"/>
    </row>
    <row r="536" spans="5:10" ht="15.75" customHeight="1" x14ac:dyDescent="0.25">
      <c r="E536" s="3"/>
      <c r="F536" s="3"/>
      <c r="G536" s="3"/>
      <c r="H536" s="3"/>
      <c r="I536" s="3"/>
      <c r="J536" s="3"/>
    </row>
    <row r="537" spans="5:10" ht="15.75" customHeight="1" x14ac:dyDescent="0.25">
      <c r="E537" s="3"/>
      <c r="F537" s="3"/>
      <c r="G537" s="3"/>
      <c r="H537" s="3"/>
      <c r="I537" s="3"/>
      <c r="J537" s="3"/>
    </row>
    <row r="538" spans="5:10" ht="15.75" customHeight="1" x14ac:dyDescent="0.25">
      <c r="E538" s="3"/>
      <c r="F538" s="3"/>
      <c r="G538" s="3"/>
      <c r="H538" s="3"/>
      <c r="I538" s="3"/>
      <c r="J538" s="3"/>
    </row>
    <row r="539" spans="5:10" ht="15.75" customHeight="1" x14ac:dyDescent="0.25">
      <c r="E539" s="3"/>
      <c r="F539" s="3"/>
      <c r="G539" s="3"/>
      <c r="H539" s="3"/>
      <c r="I539" s="3"/>
      <c r="J539" s="3"/>
    </row>
    <row r="540" spans="5:10" ht="15.75" customHeight="1" x14ac:dyDescent="0.25">
      <c r="E540" s="3"/>
      <c r="F540" s="3"/>
      <c r="G540" s="3"/>
      <c r="H540" s="3"/>
      <c r="I540" s="3"/>
      <c r="J540" s="3"/>
    </row>
    <row r="541" spans="5:10" ht="15.75" customHeight="1" x14ac:dyDescent="0.25">
      <c r="E541" s="3"/>
      <c r="F541" s="3"/>
      <c r="G541" s="3"/>
      <c r="H541" s="3"/>
      <c r="I541" s="3"/>
      <c r="J541" s="3"/>
    </row>
    <row r="542" spans="5:10" ht="15.75" customHeight="1" x14ac:dyDescent="0.25">
      <c r="E542" s="3"/>
      <c r="F542" s="3"/>
      <c r="G542" s="3"/>
      <c r="H542" s="3"/>
      <c r="I542" s="3"/>
      <c r="J542" s="3"/>
    </row>
    <row r="543" spans="5:10" ht="15.75" customHeight="1" x14ac:dyDescent="0.25">
      <c r="E543" s="3"/>
      <c r="F543" s="3"/>
      <c r="G543" s="3"/>
      <c r="H543" s="3"/>
      <c r="I543" s="3"/>
      <c r="J543" s="3"/>
    </row>
    <row r="544" spans="5:10" ht="15.75" customHeight="1" x14ac:dyDescent="0.25">
      <c r="E544" s="3"/>
      <c r="F544" s="3"/>
      <c r="G544" s="3"/>
      <c r="H544" s="3"/>
      <c r="I544" s="3"/>
      <c r="J544" s="3"/>
    </row>
    <row r="545" spans="5:10" ht="15.75" customHeight="1" x14ac:dyDescent="0.25">
      <c r="E545" s="3"/>
      <c r="F545" s="3"/>
      <c r="G545" s="3"/>
      <c r="H545" s="3"/>
      <c r="I545" s="3"/>
      <c r="J545" s="3"/>
    </row>
    <row r="546" spans="5:10" ht="15.75" customHeight="1" x14ac:dyDescent="0.25">
      <c r="E546" s="3"/>
      <c r="F546" s="3"/>
      <c r="G546" s="3"/>
      <c r="H546" s="3"/>
      <c r="I546" s="3"/>
      <c r="J546" s="3"/>
    </row>
    <row r="547" spans="5:10" ht="15.75" customHeight="1" x14ac:dyDescent="0.25">
      <c r="E547" s="3"/>
      <c r="F547" s="3"/>
      <c r="G547" s="3"/>
      <c r="H547" s="3"/>
      <c r="I547" s="3"/>
      <c r="J547" s="3"/>
    </row>
    <row r="548" spans="5:10" ht="15.75" customHeight="1" x14ac:dyDescent="0.25">
      <c r="E548" s="3"/>
      <c r="F548" s="3"/>
      <c r="G548" s="3"/>
      <c r="H548" s="3"/>
      <c r="I548" s="3"/>
      <c r="J548" s="3"/>
    </row>
    <row r="549" spans="5:10" ht="15.75" customHeight="1" x14ac:dyDescent="0.25">
      <c r="E549" s="3"/>
      <c r="F549" s="3"/>
      <c r="G549" s="3"/>
      <c r="H549" s="3"/>
      <c r="I549" s="3"/>
      <c r="J549" s="3"/>
    </row>
    <row r="550" spans="5:10" ht="15.75" customHeight="1" x14ac:dyDescent="0.25">
      <c r="E550" s="3"/>
      <c r="F550" s="3"/>
      <c r="G550" s="3"/>
      <c r="H550" s="3"/>
      <c r="I550" s="3"/>
      <c r="J550" s="3"/>
    </row>
    <row r="551" spans="5:10" ht="15.75" customHeight="1" x14ac:dyDescent="0.25">
      <c r="E551" s="3"/>
      <c r="F551" s="3"/>
      <c r="G551" s="3"/>
      <c r="H551" s="3"/>
      <c r="I551" s="3"/>
      <c r="J551" s="3"/>
    </row>
    <row r="552" spans="5:10" ht="15.75" customHeight="1" x14ac:dyDescent="0.25">
      <c r="E552" s="3"/>
      <c r="F552" s="3"/>
      <c r="G552" s="3"/>
      <c r="H552" s="3"/>
      <c r="I552" s="3"/>
      <c r="J552" s="3"/>
    </row>
    <row r="553" spans="5:10" ht="15.75" customHeight="1" x14ac:dyDescent="0.25">
      <c r="E553" s="3"/>
      <c r="F553" s="3"/>
      <c r="G553" s="3"/>
      <c r="H553" s="3"/>
      <c r="I553" s="3"/>
      <c r="J553" s="3"/>
    </row>
    <row r="554" spans="5:10" ht="15.75" customHeight="1" x14ac:dyDescent="0.25">
      <c r="E554" s="3"/>
      <c r="F554" s="3"/>
      <c r="G554" s="3"/>
      <c r="H554" s="3"/>
      <c r="I554" s="3"/>
      <c r="J554" s="3"/>
    </row>
    <row r="555" spans="5:10" ht="15.75" customHeight="1" x14ac:dyDescent="0.25">
      <c r="E555" s="3"/>
      <c r="F555" s="3"/>
      <c r="G555" s="3"/>
      <c r="H555" s="3"/>
      <c r="I555" s="3"/>
      <c r="J555" s="3"/>
    </row>
    <row r="556" spans="5:10" ht="15.75" customHeight="1" x14ac:dyDescent="0.25">
      <c r="E556" s="3"/>
      <c r="F556" s="3"/>
      <c r="G556" s="3"/>
      <c r="H556" s="3"/>
      <c r="I556" s="3"/>
      <c r="J556" s="3"/>
    </row>
    <row r="557" spans="5:10" ht="15.75" customHeight="1" x14ac:dyDescent="0.25">
      <c r="E557" s="3"/>
      <c r="F557" s="3"/>
      <c r="G557" s="3"/>
      <c r="H557" s="3"/>
      <c r="I557" s="3"/>
      <c r="J557" s="3"/>
    </row>
    <row r="558" spans="5:10" ht="15.75" customHeight="1" x14ac:dyDescent="0.25">
      <c r="E558" s="3"/>
      <c r="F558" s="3"/>
      <c r="G558" s="3"/>
      <c r="H558" s="3"/>
      <c r="I558" s="3"/>
      <c r="J558" s="3"/>
    </row>
    <row r="559" spans="5:10" ht="15.75" customHeight="1" x14ac:dyDescent="0.25">
      <c r="E559" s="3"/>
      <c r="F559" s="3"/>
      <c r="G559" s="3"/>
      <c r="H559" s="3"/>
      <c r="I559" s="3"/>
      <c r="J559" s="3"/>
    </row>
    <row r="560" spans="5:10" ht="15.75" customHeight="1" x14ac:dyDescent="0.25">
      <c r="E560" s="3"/>
      <c r="F560" s="3"/>
      <c r="G560" s="3"/>
      <c r="H560" s="3"/>
      <c r="I560" s="3"/>
      <c r="J560" s="3"/>
    </row>
    <row r="561" spans="5:10" ht="15.75" customHeight="1" x14ac:dyDescent="0.25">
      <c r="E561" s="3"/>
      <c r="F561" s="3"/>
      <c r="G561" s="3"/>
      <c r="H561" s="3"/>
      <c r="I561" s="3"/>
      <c r="J561" s="3"/>
    </row>
    <row r="562" spans="5:10" ht="15.75" customHeight="1" x14ac:dyDescent="0.25">
      <c r="E562" s="3"/>
      <c r="F562" s="3"/>
      <c r="G562" s="3"/>
      <c r="H562" s="3"/>
      <c r="I562" s="3"/>
      <c r="J562" s="3"/>
    </row>
    <row r="563" spans="5:10" ht="15.75" customHeight="1" x14ac:dyDescent="0.25">
      <c r="E563" s="3"/>
      <c r="F563" s="3"/>
      <c r="G563" s="3"/>
      <c r="H563" s="3"/>
      <c r="I563" s="3"/>
      <c r="J563" s="3"/>
    </row>
    <row r="564" spans="5:10" ht="15.75" customHeight="1" x14ac:dyDescent="0.25">
      <c r="E564" s="3"/>
      <c r="F564" s="3"/>
      <c r="G564" s="3"/>
      <c r="H564" s="3"/>
      <c r="I564" s="3"/>
      <c r="J564" s="3"/>
    </row>
    <row r="565" spans="5:10" ht="15.75" customHeight="1" x14ac:dyDescent="0.25">
      <c r="E565" s="3"/>
      <c r="F565" s="3"/>
      <c r="G565" s="3"/>
      <c r="H565" s="3"/>
      <c r="I565" s="3"/>
      <c r="J565" s="3"/>
    </row>
    <row r="566" spans="5:10" ht="15.75" customHeight="1" x14ac:dyDescent="0.25">
      <c r="E566" s="3"/>
      <c r="F566" s="3"/>
      <c r="G566" s="3"/>
      <c r="H566" s="3"/>
      <c r="I566" s="3"/>
      <c r="J566" s="3"/>
    </row>
    <row r="567" spans="5:10" ht="15.75" customHeight="1" x14ac:dyDescent="0.25">
      <c r="E567" s="3"/>
      <c r="F567" s="3"/>
      <c r="G567" s="3"/>
      <c r="H567" s="3"/>
      <c r="I567" s="3"/>
      <c r="J567" s="3"/>
    </row>
    <row r="568" spans="5:10" ht="15.75" customHeight="1" x14ac:dyDescent="0.25">
      <c r="E568" s="3"/>
      <c r="F568" s="3"/>
      <c r="G568" s="3"/>
      <c r="H568" s="3"/>
      <c r="I568" s="3"/>
      <c r="J568" s="3"/>
    </row>
    <row r="569" spans="5:10" ht="15.75" customHeight="1" x14ac:dyDescent="0.25">
      <c r="E569" s="3"/>
      <c r="F569" s="3"/>
      <c r="G569" s="3"/>
      <c r="H569" s="3"/>
      <c r="I569" s="3"/>
      <c r="J569" s="3"/>
    </row>
    <row r="570" spans="5:10" ht="15.75" customHeight="1" x14ac:dyDescent="0.25">
      <c r="E570" s="3"/>
      <c r="F570" s="3"/>
      <c r="G570" s="3"/>
      <c r="H570" s="3"/>
      <c r="I570" s="3"/>
      <c r="J570" s="3"/>
    </row>
    <row r="571" spans="5:10" ht="15.75" customHeight="1" x14ac:dyDescent="0.25">
      <c r="E571" s="3"/>
      <c r="F571" s="3"/>
      <c r="G571" s="3"/>
      <c r="H571" s="3"/>
      <c r="I571" s="3"/>
      <c r="J571" s="3"/>
    </row>
    <row r="572" spans="5:10" ht="15.75" customHeight="1" x14ac:dyDescent="0.25">
      <c r="E572" s="3"/>
      <c r="F572" s="3"/>
      <c r="G572" s="3"/>
      <c r="H572" s="3"/>
      <c r="I572" s="3"/>
      <c r="J572" s="3"/>
    </row>
    <row r="573" spans="5:10" ht="15.75" customHeight="1" x14ac:dyDescent="0.25">
      <c r="E573" s="3"/>
      <c r="F573" s="3"/>
      <c r="G573" s="3"/>
      <c r="H573" s="3"/>
      <c r="I573" s="3"/>
      <c r="J573" s="3"/>
    </row>
    <row r="574" spans="5:10" ht="15.75" customHeight="1" x14ac:dyDescent="0.25">
      <c r="E574" s="3"/>
      <c r="F574" s="3"/>
      <c r="G574" s="3"/>
      <c r="H574" s="3"/>
      <c r="I574" s="3"/>
      <c r="J574" s="3"/>
    </row>
    <row r="575" spans="5:10" ht="15.75" customHeight="1" x14ac:dyDescent="0.25">
      <c r="E575" s="3"/>
      <c r="F575" s="3"/>
      <c r="G575" s="3"/>
      <c r="H575" s="3"/>
      <c r="I575" s="3"/>
      <c r="J575" s="3"/>
    </row>
    <row r="576" spans="5:10" ht="15.75" customHeight="1" x14ac:dyDescent="0.25">
      <c r="E576" s="3"/>
      <c r="F576" s="3"/>
      <c r="G576" s="3"/>
      <c r="H576" s="3"/>
      <c r="I576" s="3"/>
      <c r="J576" s="3"/>
    </row>
    <row r="577" spans="5:10" ht="15.75" customHeight="1" x14ac:dyDescent="0.25">
      <c r="E577" s="3"/>
      <c r="F577" s="3"/>
      <c r="G577" s="3"/>
      <c r="H577" s="3"/>
      <c r="I577" s="3"/>
      <c r="J577" s="3"/>
    </row>
    <row r="578" spans="5:10" ht="15.75" customHeight="1" x14ac:dyDescent="0.25">
      <c r="E578" s="3"/>
      <c r="F578" s="3"/>
      <c r="G578" s="3"/>
      <c r="H578" s="3"/>
      <c r="I578" s="3"/>
      <c r="J578" s="3"/>
    </row>
    <row r="579" spans="5:10" ht="15.75" customHeight="1" x14ac:dyDescent="0.25">
      <c r="E579" s="3"/>
      <c r="F579" s="3"/>
      <c r="G579" s="3"/>
      <c r="H579" s="3"/>
      <c r="I579" s="3"/>
      <c r="J579" s="3"/>
    </row>
    <row r="580" spans="5:10" ht="15.75" customHeight="1" x14ac:dyDescent="0.25">
      <c r="E580" s="3"/>
      <c r="F580" s="3"/>
      <c r="G580" s="3"/>
      <c r="H580" s="3"/>
      <c r="I580" s="3"/>
      <c r="J580" s="3"/>
    </row>
    <row r="581" spans="5:10" ht="15.75" customHeight="1" x14ac:dyDescent="0.25">
      <c r="E581" s="3"/>
      <c r="F581" s="3"/>
      <c r="G581" s="3"/>
      <c r="H581" s="3"/>
      <c r="I581" s="3"/>
      <c r="J581" s="3"/>
    </row>
    <row r="582" spans="5:10" ht="15.75" customHeight="1" x14ac:dyDescent="0.25">
      <c r="E582" s="3"/>
      <c r="F582" s="3"/>
      <c r="G582" s="3"/>
      <c r="H582" s="3"/>
      <c r="I582" s="3"/>
      <c r="J582" s="3"/>
    </row>
    <row r="583" spans="5:10" ht="15.75" customHeight="1" x14ac:dyDescent="0.25">
      <c r="E583" s="3"/>
      <c r="F583" s="3"/>
      <c r="G583" s="3"/>
      <c r="H583" s="3"/>
      <c r="I583" s="3"/>
      <c r="J583" s="3"/>
    </row>
    <row r="584" spans="5:10" ht="15.75" customHeight="1" x14ac:dyDescent="0.25">
      <c r="E584" s="3"/>
      <c r="F584" s="3"/>
      <c r="G584" s="3"/>
      <c r="H584" s="3"/>
      <c r="I584" s="3"/>
      <c r="J584" s="3"/>
    </row>
    <row r="585" spans="5:10" ht="15.75" customHeight="1" x14ac:dyDescent="0.25">
      <c r="E585" s="3"/>
      <c r="F585" s="3"/>
      <c r="G585" s="3"/>
      <c r="H585" s="3"/>
      <c r="I585" s="3"/>
      <c r="J585" s="3"/>
    </row>
    <row r="586" spans="5:10" ht="15.75" customHeight="1" x14ac:dyDescent="0.25">
      <c r="E586" s="3"/>
      <c r="F586" s="3"/>
      <c r="G586" s="3"/>
      <c r="H586" s="3"/>
      <c r="I586" s="3"/>
      <c r="J586" s="3"/>
    </row>
    <row r="587" spans="5:10" ht="15.75" customHeight="1" x14ac:dyDescent="0.25">
      <c r="E587" s="3"/>
      <c r="F587" s="3"/>
      <c r="G587" s="3"/>
      <c r="H587" s="3"/>
      <c r="I587" s="3"/>
      <c r="J587" s="3"/>
    </row>
    <row r="588" spans="5:10" ht="15.75" customHeight="1" x14ac:dyDescent="0.25">
      <c r="E588" s="3"/>
      <c r="F588" s="3"/>
      <c r="G588" s="3"/>
      <c r="H588" s="3"/>
      <c r="I588" s="3"/>
      <c r="J588" s="3"/>
    </row>
    <row r="589" spans="5:10" ht="15.75" customHeight="1" x14ac:dyDescent="0.25">
      <c r="E589" s="3"/>
      <c r="F589" s="3"/>
      <c r="G589" s="3"/>
      <c r="H589" s="3"/>
      <c r="I589" s="3"/>
      <c r="J589" s="3"/>
    </row>
    <row r="590" spans="5:10" ht="15.75" customHeight="1" x14ac:dyDescent="0.25">
      <c r="E590" s="3"/>
      <c r="F590" s="3"/>
      <c r="G590" s="3"/>
      <c r="H590" s="3"/>
      <c r="I590" s="3"/>
      <c r="J590" s="3"/>
    </row>
    <row r="591" spans="5:10" ht="15.75" customHeight="1" x14ac:dyDescent="0.25">
      <c r="E591" s="3"/>
      <c r="F591" s="3"/>
      <c r="G591" s="3"/>
      <c r="H591" s="3"/>
      <c r="I591" s="3"/>
      <c r="J591" s="3"/>
    </row>
    <row r="592" spans="5:10" ht="15.75" customHeight="1" x14ac:dyDescent="0.25">
      <c r="E592" s="3"/>
      <c r="F592" s="3"/>
      <c r="G592" s="3"/>
      <c r="H592" s="3"/>
      <c r="I592" s="3"/>
      <c r="J592" s="3"/>
    </row>
    <row r="593" spans="5:10" ht="15.75" customHeight="1" x14ac:dyDescent="0.25">
      <c r="E593" s="3"/>
      <c r="F593" s="3"/>
      <c r="G593" s="3"/>
      <c r="H593" s="3"/>
      <c r="I593" s="3"/>
      <c r="J593" s="3"/>
    </row>
    <row r="594" spans="5:10" ht="15.75" customHeight="1" x14ac:dyDescent="0.25">
      <c r="E594" s="3"/>
      <c r="F594" s="3"/>
      <c r="G594" s="3"/>
      <c r="H594" s="3"/>
      <c r="I594" s="3"/>
      <c r="J594" s="3"/>
    </row>
    <row r="595" spans="5:10" ht="15.75" customHeight="1" x14ac:dyDescent="0.25">
      <c r="E595" s="3"/>
      <c r="F595" s="3"/>
      <c r="G595" s="3"/>
      <c r="H595" s="3"/>
      <c r="I595" s="3"/>
      <c r="J595" s="3"/>
    </row>
    <row r="596" spans="5:10" ht="15.75" customHeight="1" x14ac:dyDescent="0.25">
      <c r="E596" s="3"/>
      <c r="F596" s="3"/>
      <c r="G596" s="3"/>
      <c r="H596" s="3"/>
      <c r="I596" s="3"/>
      <c r="J596" s="3"/>
    </row>
    <row r="597" spans="5:10" ht="15.75" customHeight="1" x14ac:dyDescent="0.25">
      <c r="E597" s="3"/>
      <c r="F597" s="3"/>
      <c r="G597" s="3"/>
      <c r="H597" s="3"/>
      <c r="I597" s="3"/>
      <c r="J597" s="3"/>
    </row>
    <row r="598" spans="5:10" ht="15.75" customHeight="1" x14ac:dyDescent="0.25">
      <c r="E598" s="3"/>
      <c r="F598" s="3"/>
      <c r="G598" s="3"/>
      <c r="H598" s="3"/>
      <c r="I598" s="3"/>
      <c r="J598" s="3"/>
    </row>
    <row r="599" spans="5:10" ht="15.75" customHeight="1" x14ac:dyDescent="0.25">
      <c r="E599" s="3"/>
      <c r="F599" s="3"/>
      <c r="G599" s="3"/>
      <c r="H599" s="3"/>
      <c r="I599" s="3"/>
      <c r="J599" s="3"/>
    </row>
    <row r="600" spans="5:10" ht="15.75" customHeight="1" x14ac:dyDescent="0.25">
      <c r="E600" s="3"/>
      <c r="F600" s="3"/>
      <c r="G600" s="3"/>
      <c r="H600" s="3"/>
      <c r="I600" s="3"/>
      <c r="J600" s="3"/>
    </row>
    <row r="601" spans="5:10" ht="15.75" customHeight="1" x14ac:dyDescent="0.25">
      <c r="E601" s="3"/>
      <c r="F601" s="3"/>
      <c r="G601" s="3"/>
      <c r="H601" s="3"/>
      <c r="I601" s="3"/>
      <c r="J601" s="3"/>
    </row>
    <row r="602" spans="5:10" ht="15.75" customHeight="1" x14ac:dyDescent="0.25">
      <c r="E602" s="3"/>
      <c r="F602" s="3"/>
      <c r="G602" s="3"/>
      <c r="H602" s="3"/>
      <c r="I602" s="3"/>
      <c r="J602" s="3"/>
    </row>
    <row r="603" spans="5:10" ht="15.75" customHeight="1" x14ac:dyDescent="0.25">
      <c r="E603" s="3"/>
      <c r="F603" s="3"/>
      <c r="G603" s="3"/>
      <c r="H603" s="3"/>
      <c r="I603" s="3"/>
      <c r="J603" s="3"/>
    </row>
    <row r="604" spans="5:10" ht="15.75" customHeight="1" x14ac:dyDescent="0.25">
      <c r="E604" s="3"/>
      <c r="F604" s="3"/>
      <c r="G604" s="3"/>
      <c r="H604" s="3"/>
      <c r="I604" s="3"/>
      <c r="J604" s="3"/>
    </row>
    <row r="605" spans="5:10" ht="15.75" customHeight="1" x14ac:dyDescent="0.25">
      <c r="E605" s="3"/>
      <c r="F605" s="3"/>
      <c r="G605" s="3"/>
      <c r="H605" s="3"/>
      <c r="I605" s="3"/>
      <c r="J605" s="3"/>
    </row>
    <row r="606" spans="5:10" ht="15.75" customHeight="1" x14ac:dyDescent="0.25">
      <c r="E606" s="3"/>
      <c r="F606" s="3"/>
      <c r="G606" s="3"/>
      <c r="H606" s="3"/>
      <c r="I606" s="3"/>
      <c r="J606" s="3"/>
    </row>
    <row r="607" spans="5:10" ht="15.75" customHeight="1" x14ac:dyDescent="0.25">
      <c r="E607" s="3"/>
      <c r="F607" s="3"/>
      <c r="G607" s="3"/>
      <c r="H607" s="3"/>
      <c r="I607" s="3"/>
      <c r="J607" s="3"/>
    </row>
    <row r="608" spans="5:10" ht="15.75" customHeight="1" x14ac:dyDescent="0.25">
      <c r="E608" s="3"/>
      <c r="F608" s="3"/>
      <c r="G608" s="3"/>
      <c r="H608" s="3"/>
      <c r="I608" s="3"/>
      <c r="J608" s="3"/>
    </row>
    <row r="609" spans="5:10" ht="15.75" customHeight="1" x14ac:dyDescent="0.25">
      <c r="E609" s="3"/>
      <c r="F609" s="3"/>
      <c r="G609" s="3"/>
      <c r="H609" s="3"/>
      <c r="I609" s="3"/>
      <c r="J609" s="3"/>
    </row>
    <row r="610" spans="5:10" ht="15.75" customHeight="1" x14ac:dyDescent="0.25">
      <c r="E610" s="3"/>
      <c r="F610" s="3"/>
      <c r="G610" s="3"/>
      <c r="H610" s="3"/>
      <c r="I610" s="3"/>
      <c r="J610" s="3"/>
    </row>
    <row r="611" spans="5:10" ht="15.75" customHeight="1" x14ac:dyDescent="0.25">
      <c r="E611" s="3"/>
      <c r="F611" s="3"/>
      <c r="G611" s="3"/>
      <c r="H611" s="3"/>
      <c r="I611" s="3"/>
      <c r="J611" s="3"/>
    </row>
    <row r="612" spans="5:10" ht="15.75" customHeight="1" x14ac:dyDescent="0.25">
      <c r="E612" s="3"/>
      <c r="F612" s="3"/>
      <c r="G612" s="3"/>
      <c r="H612" s="3"/>
      <c r="I612" s="3"/>
      <c r="J612" s="3"/>
    </row>
    <row r="613" spans="5:10" ht="15.75" customHeight="1" x14ac:dyDescent="0.25">
      <c r="E613" s="3"/>
      <c r="F613" s="3"/>
      <c r="G613" s="3"/>
      <c r="H613" s="3"/>
      <c r="I613" s="3"/>
      <c r="J613" s="3"/>
    </row>
    <row r="614" spans="5:10" ht="15.75" customHeight="1" x14ac:dyDescent="0.25">
      <c r="E614" s="3"/>
      <c r="F614" s="3"/>
      <c r="G614" s="3"/>
      <c r="H614" s="3"/>
      <c r="I614" s="3"/>
      <c r="J614" s="3"/>
    </row>
    <row r="615" spans="5:10" ht="15.75" customHeight="1" x14ac:dyDescent="0.25">
      <c r="E615" s="3"/>
      <c r="F615" s="3"/>
      <c r="G615" s="3"/>
      <c r="H615" s="3"/>
      <c r="I615" s="3"/>
      <c r="J615" s="3"/>
    </row>
    <row r="616" spans="5:10" ht="15.75" customHeight="1" x14ac:dyDescent="0.25">
      <c r="E616" s="3"/>
      <c r="F616" s="3"/>
      <c r="G616" s="3"/>
      <c r="H616" s="3"/>
      <c r="I616" s="3"/>
      <c r="J616" s="3"/>
    </row>
    <row r="617" spans="5:10" ht="15.75" customHeight="1" x14ac:dyDescent="0.25">
      <c r="E617" s="3"/>
      <c r="F617" s="3"/>
      <c r="G617" s="3"/>
      <c r="H617" s="3"/>
      <c r="I617" s="3"/>
      <c r="J617" s="3"/>
    </row>
    <row r="618" spans="5:10" ht="15.75" customHeight="1" x14ac:dyDescent="0.25">
      <c r="E618" s="3"/>
      <c r="F618" s="3"/>
      <c r="G618" s="3"/>
      <c r="H618" s="3"/>
      <c r="I618" s="3"/>
      <c r="J618" s="3"/>
    </row>
    <row r="619" spans="5:10" ht="15.75" customHeight="1" x14ac:dyDescent="0.25">
      <c r="E619" s="3"/>
      <c r="F619" s="3"/>
      <c r="G619" s="3"/>
      <c r="H619" s="3"/>
      <c r="I619" s="3"/>
      <c r="J619" s="3"/>
    </row>
    <row r="620" spans="5:10" ht="15.75" customHeight="1" x14ac:dyDescent="0.25">
      <c r="E620" s="3"/>
      <c r="F620" s="3"/>
      <c r="G620" s="3"/>
      <c r="H620" s="3"/>
      <c r="I620" s="3"/>
      <c r="J620" s="3"/>
    </row>
    <row r="621" spans="5:10" ht="15.75" customHeight="1" x14ac:dyDescent="0.25">
      <c r="E621" s="3"/>
      <c r="F621" s="3"/>
      <c r="G621" s="3"/>
      <c r="H621" s="3"/>
      <c r="I621" s="3"/>
      <c r="J621" s="3"/>
    </row>
    <row r="622" spans="5:10" ht="15.75" customHeight="1" x14ac:dyDescent="0.25">
      <c r="E622" s="3"/>
      <c r="F622" s="3"/>
      <c r="G622" s="3"/>
      <c r="H622" s="3"/>
      <c r="I622" s="3"/>
      <c r="J622" s="3"/>
    </row>
    <row r="623" spans="5:10" ht="15.75" customHeight="1" x14ac:dyDescent="0.25">
      <c r="E623" s="3"/>
      <c r="F623" s="3"/>
      <c r="G623" s="3"/>
      <c r="H623" s="3"/>
      <c r="I623" s="3"/>
      <c r="J623" s="3"/>
    </row>
    <row r="624" spans="5:10" ht="15.75" customHeight="1" x14ac:dyDescent="0.25">
      <c r="E624" s="3"/>
      <c r="F624" s="3"/>
      <c r="G624" s="3"/>
      <c r="H624" s="3"/>
      <c r="I624" s="3"/>
      <c r="J624" s="3"/>
    </row>
    <row r="625" spans="5:10" ht="15.75" customHeight="1" x14ac:dyDescent="0.25">
      <c r="E625" s="3"/>
      <c r="F625" s="3"/>
      <c r="G625" s="3"/>
      <c r="H625" s="3"/>
      <c r="I625" s="3"/>
      <c r="J625" s="3"/>
    </row>
    <row r="626" spans="5:10" ht="15.75" customHeight="1" x14ac:dyDescent="0.25">
      <c r="E626" s="3"/>
      <c r="F626" s="3"/>
      <c r="G626" s="3"/>
      <c r="H626" s="3"/>
      <c r="I626" s="3"/>
      <c r="J626" s="3"/>
    </row>
    <row r="627" spans="5:10" ht="15.75" customHeight="1" x14ac:dyDescent="0.25">
      <c r="E627" s="3"/>
      <c r="F627" s="3"/>
      <c r="G627" s="3"/>
      <c r="H627" s="3"/>
      <c r="I627" s="3"/>
      <c r="J627" s="3"/>
    </row>
    <row r="628" spans="5:10" ht="15.75" customHeight="1" x14ac:dyDescent="0.25">
      <c r="E628" s="3"/>
      <c r="F628" s="3"/>
      <c r="G628" s="3"/>
      <c r="H628" s="3"/>
      <c r="I628" s="3"/>
      <c r="J628" s="3"/>
    </row>
    <row r="629" spans="5:10" ht="15.75" customHeight="1" x14ac:dyDescent="0.25">
      <c r="E629" s="3"/>
      <c r="F629" s="3"/>
      <c r="G629" s="3"/>
      <c r="H629" s="3"/>
      <c r="I629" s="3"/>
      <c r="J629" s="3"/>
    </row>
    <row r="630" spans="5:10" ht="15.75" customHeight="1" x14ac:dyDescent="0.25">
      <c r="E630" s="3"/>
      <c r="F630" s="3"/>
      <c r="G630" s="3"/>
      <c r="H630" s="3"/>
      <c r="I630" s="3"/>
      <c r="J630" s="3"/>
    </row>
    <row r="631" spans="5:10" ht="15.75" customHeight="1" x14ac:dyDescent="0.25">
      <c r="E631" s="3"/>
      <c r="F631" s="3"/>
      <c r="G631" s="3"/>
      <c r="H631" s="3"/>
      <c r="I631" s="3"/>
      <c r="J631" s="3"/>
    </row>
    <row r="632" spans="5:10" ht="15.75" customHeight="1" x14ac:dyDescent="0.25">
      <c r="E632" s="3"/>
      <c r="F632" s="3"/>
      <c r="G632" s="3"/>
      <c r="H632" s="3"/>
      <c r="I632" s="3"/>
      <c r="J632" s="3"/>
    </row>
    <row r="633" spans="5:10" ht="15.75" customHeight="1" x14ac:dyDescent="0.25">
      <c r="E633" s="3"/>
      <c r="F633" s="3"/>
      <c r="G633" s="3"/>
      <c r="H633" s="3"/>
      <c r="I633" s="3"/>
      <c r="J633" s="3"/>
    </row>
    <row r="634" spans="5:10" ht="15.75" customHeight="1" x14ac:dyDescent="0.25">
      <c r="E634" s="3"/>
      <c r="F634" s="3"/>
      <c r="G634" s="3"/>
      <c r="H634" s="3"/>
      <c r="I634" s="3"/>
      <c r="J634" s="3"/>
    </row>
    <row r="635" spans="5:10" ht="15.75" customHeight="1" x14ac:dyDescent="0.25">
      <c r="E635" s="3"/>
      <c r="F635" s="3"/>
      <c r="G635" s="3"/>
      <c r="H635" s="3"/>
      <c r="I635" s="3"/>
      <c r="J635" s="3"/>
    </row>
    <row r="636" spans="5:10" ht="15.75" customHeight="1" x14ac:dyDescent="0.25">
      <c r="E636" s="3"/>
      <c r="F636" s="3"/>
      <c r="G636" s="3"/>
      <c r="H636" s="3"/>
      <c r="I636" s="3"/>
      <c r="J636" s="3"/>
    </row>
    <row r="637" spans="5:10" ht="15.75" customHeight="1" x14ac:dyDescent="0.25">
      <c r="E637" s="3"/>
      <c r="F637" s="3"/>
      <c r="G637" s="3"/>
      <c r="H637" s="3"/>
      <c r="I637" s="3"/>
      <c r="J637" s="3"/>
    </row>
    <row r="638" spans="5:10" ht="15.75" customHeight="1" x14ac:dyDescent="0.25">
      <c r="E638" s="3"/>
      <c r="F638" s="3"/>
      <c r="G638" s="3"/>
      <c r="H638" s="3"/>
      <c r="I638" s="3"/>
      <c r="J638" s="3"/>
    </row>
    <row r="639" spans="5:10" ht="15.75" customHeight="1" x14ac:dyDescent="0.25">
      <c r="E639" s="3"/>
      <c r="F639" s="3"/>
      <c r="G639" s="3"/>
      <c r="H639" s="3"/>
      <c r="I639" s="3"/>
      <c r="J639" s="3"/>
    </row>
    <row r="640" spans="5:10" ht="15.75" customHeight="1" x14ac:dyDescent="0.25">
      <c r="E640" s="3"/>
      <c r="F640" s="3"/>
      <c r="G640" s="3"/>
      <c r="H640" s="3"/>
      <c r="I640" s="3"/>
      <c r="J640" s="3"/>
    </row>
    <row r="641" spans="5:10" ht="15.75" customHeight="1" x14ac:dyDescent="0.25">
      <c r="E641" s="3"/>
      <c r="F641" s="3"/>
      <c r="G641" s="3"/>
      <c r="H641" s="3"/>
      <c r="I641" s="3"/>
      <c r="J641" s="3"/>
    </row>
    <row r="642" spans="5:10" ht="15.75" customHeight="1" x14ac:dyDescent="0.25">
      <c r="E642" s="3"/>
      <c r="F642" s="3"/>
      <c r="G642" s="3"/>
      <c r="H642" s="3"/>
      <c r="I642" s="3"/>
      <c r="J642" s="3"/>
    </row>
    <row r="643" spans="5:10" ht="15.75" customHeight="1" x14ac:dyDescent="0.25">
      <c r="E643" s="3"/>
      <c r="F643" s="3"/>
      <c r="G643" s="3"/>
      <c r="H643" s="3"/>
      <c r="I643" s="3"/>
      <c r="J643" s="3"/>
    </row>
    <row r="644" spans="5:10" ht="15.75" customHeight="1" x14ac:dyDescent="0.25">
      <c r="E644" s="3"/>
      <c r="F644" s="3"/>
      <c r="G644" s="3"/>
      <c r="H644" s="3"/>
      <c r="I644" s="3"/>
      <c r="J644" s="3"/>
    </row>
    <row r="645" spans="5:10" ht="15.75" customHeight="1" x14ac:dyDescent="0.25">
      <c r="E645" s="3"/>
      <c r="F645" s="3"/>
      <c r="G645" s="3"/>
      <c r="H645" s="3"/>
      <c r="I645" s="3"/>
      <c r="J645" s="3"/>
    </row>
    <row r="646" spans="5:10" ht="15.75" customHeight="1" x14ac:dyDescent="0.25">
      <c r="E646" s="3"/>
      <c r="F646" s="3"/>
      <c r="G646" s="3"/>
      <c r="H646" s="3"/>
      <c r="I646" s="3"/>
      <c r="J646" s="3"/>
    </row>
    <row r="647" spans="5:10" ht="15.75" customHeight="1" x14ac:dyDescent="0.25">
      <c r="E647" s="3"/>
      <c r="F647" s="3"/>
      <c r="G647" s="3"/>
      <c r="H647" s="3"/>
      <c r="I647" s="3"/>
      <c r="J647" s="3"/>
    </row>
    <row r="648" spans="5:10" ht="15.75" customHeight="1" x14ac:dyDescent="0.25">
      <c r="E648" s="3"/>
      <c r="F648" s="3"/>
      <c r="G648" s="3"/>
      <c r="H648" s="3"/>
      <c r="I648" s="3"/>
      <c r="J648" s="3"/>
    </row>
    <row r="649" spans="5:10" ht="15.75" customHeight="1" x14ac:dyDescent="0.25">
      <c r="E649" s="3"/>
      <c r="F649" s="3"/>
      <c r="G649" s="3"/>
      <c r="H649" s="3"/>
      <c r="I649" s="3"/>
      <c r="J649" s="3"/>
    </row>
    <row r="650" spans="5:10" ht="15.75" customHeight="1" x14ac:dyDescent="0.25">
      <c r="E650" s="3"/>
      <c r="F650" s="3"/>
      <c r="G650" s="3"/>
      <c r="H650" s="3"/>
      <c r="I650" s="3"/>
      <c r="J650" s="3"/>
    </row>
    <row r="651" spans="5:10" ht="15.75" customHeight="1" x14ac:dyDescent="0.25">
      <c r="E651" s="3"/>
      <c r="F651" s="3"/>
      <c r="G651" s="3"/>
      <c r="H651" s="3"/>
      <c r="I651" s="3"/>
      <c r="J651" s="3"/>
    </row>
    <row r="652" spans="5:10" ht="15.75" customHeight="1" x14ac:dyDescent="0.25">
      <c r="E652" s="3"/>
      <c r="F652" s="3"/>
      <c r="G652" s="3"/>
      <c r="H652" s="3"/>
      <c r="I652" s="3"/>
      <c r="J652" s="3"/>
    </row>
    <row r="653" spans="5:10" ht="15.75" customHeight="1" x14ac:dyDescent="0.25">
      <c r="E653" s="3"/>
      <c r="F653" s="3"/>
      <c r="G653" s="3"/>
      <c r="H653" s="3"/>
      <c r="I653" s="3"/>
      <c r="J653" s="3"/>
    </row>
    <row r="654" spans="5:10" ht="15.75" customHeight="1" x14ac:dyDescent="0.25">
      <c r="E654" s="3"/>
      <c r="F654" s="3"/>
      <c r="G654" s="3"/>
      <c r="H654" s="3"/>
      <c r="I654" s="3"/>
      <c r="J654" s="3"/>
    </row>
    <row r="655" spans="5:10" ht="15.75" customHeight="1" x14ac:dyDescent="0.25">
      <c r="E655" s="3"/>
      <c r="F655" s="3"/>
      <c r="G655" s="3"/>
      <c r="H655" s="3"/>
      <c r="I655" s="3"/>
      <c r="J655" s="3"/>
    </row>
    <row r="656" spans="5:10" ht="15.75" customHeight="1" x14ac:dyDescent="0.25">
      <c r="E656" s="3"/>
      <c r="F656" s="3"/>
      <c r="G656" s="3"/>
      <c r="H656" s="3"/>
      <c r="I656" s="3"/>
      <c r="J656" s="3"/>
    </row>
    <row r="657" spans="5:10" ht="15.75" customHeight="1" x14ac:dyDescent="0.25">
      <c r="E657" s="3"/>
      <c r="F657" s="3"/>
      <c r="G657" s="3"/>
      <c r="H657" s="3"/>
      <c r="I657" s="3"/>
      <c r="J657" s="3"/>
    </row>
    <row r="658" spans="5:10" ht="15.75" customHeight="1" x14ac:dyDescent="0.25">
      <c r="E658" s="3"/>
      <c r="F658" s="3"/>
      <c r="G658" s="3"/>
      <c r="H658" s="3"/>
      <c r="I658" s="3"/>
      <c r="J658" s="3"/>
    </row>
    <row r="659" spans="5:10" ht="15.75" customHeight="1" x14ac:dyDescent="0.25">
      <c r="E659" s="3"/>
      <c r="F659" s="3"/>
      <c r="G659" s="3"/>
      <c r="H659" s="3"/>
      <c r="I659" s="3"/>
      <c r="J659" s="3"/>
    </row>
    <row r="660" spans="5:10" ht="15.75" customHeight="1" x14ac:dyDescent="0.25">
      <c r="E660" s="3"/>
      <c r="F660" s="3"/>
      <c r="G660" s="3"/>
      <c r="H660" s="3"/>
      <c r="I660" s="3"/>
      <c r="J660" s="3"/>
    </row>
    <row r="661" spans="5:10" ht="15.75" customHeight="1" x14ac:dyDescent="0.25">
      <c r="E661" s="3"/>
      <c r="F661" s="3"/>
      <c r="G661" s="3"/>
      <c r="H661" s="3"/>
      <c r="I661" s="3"/>
      <c r="J661" s="3"/>
    </row>
    <row r="662" spans="5:10" ht="15.75" customHeight="1" x14ac:dyDescent="0.25">
      <c r="E662" s="3"/>
      <c r="F662" s="3"/>
      <c r="G662" s="3"/>
      <c r="H662" s="3"/>
      <c r="I662" s="3"/>
      <c r="J662" s="3"/>
    </row>
    <row r="663" spans="5:10" ht="15.75" customHeight="1" x14ac:dyDescent="0.25">
      <c r="E663" s="3"/>
      <c r="F663" s="3"/>
      <c r="G663" s="3"/>
      <c r="H663" s="3"/>
      <c r="I663" s="3"/>
      <c r="J663" s="3"/>
    </row>
    <row r="664" spans="5:10" ht="15.75" customHeight="1" x14ac:dyDescent="0.25">
      <c r="E664" s="3"/>
      <c r="F664" s="3"/>
      <c r="G664" s="3"/>
      <c r="H664" s="3"/>
      <c r="I664" s="3"/>
      <c r="J664" s="3"/>
    </row>
    <row r="665" spans="5:10" ht="15.75" customHeight="1" x14ac:dyDescent="0.25">
      <c r="E665" s="3"/>
      <c r="F665" s="3"/>
      <c r="G665" s="3"/>
      <c r="H665" s="3"/>
      <c r="I665" s="3"/>
      <c r="J665" s="3"/>
    </row>
    <row r="666" spans="5:10" ht="15.75" customHeight="1" x14ac:dyDescent="0.25">
      <c r="E666" s="3"/>
      <c r="F666" s="3"/>
      <c r="G666" s="3"/>
      <c r="H666" s="3"/>
      <c r="I666" s="3"/>
      <c r="J666" s="3"/>
    </row>
    <row r="667" spans="5:10" ht="15.75" customHeight="1" x14ac:dyDescent="0.25">
      <c r="E667" s="3"/>
      <c r="F667" s="3"/>
      <c r="G667" s="3"/>
      <c r="H667" s="3"/>
      <c r="I667" s="3"/>
      <c r="J667" s="3"/>
    </row>
    <row r="668" spans="5:10" ht="15.75" customHeight="1" x14ac:dyDescent="0.25">
      <c r="E668" s="3"/>
      <c r="F668" s="3"/>
      <c r="G668" s="3"/>
      <c r="H668" s="3"/>
      <c r="I668" s="3"/>
      <c r="J668" s="3"/>
    </row>
    <row r="669" spans="5:10" ht="15.75" customHeight="1" x14ac:dyDescent="0.25">
      <c r="E669" s="3"/>
      <c r="F669" s="3"/>
      <c r="G669" s="3"/>
      <c r="H669" s="3"/>
      <c r="I669" s="3"/>
      <c r="J669" s="3"/>
    </row>
    <row r="670" spans="5:10" ht="15.75" customHeight="1" x14ac:dyDescent="0.25">
      <c r="E670" s="3"/>
      <c r="F670" s="3"/>
      <c r="G670" s="3"/>
      <c r="H670" s="3"/>
      <c r="I670" s="3"/>
      <c r="J670" s="3"/>
    </row>
    <row r="671" spans="5:10" ht="15.75" customHeight="1" x14ac:dyDescent="0.25">
      <c r="E671" s="3"/>
      <c r="F671" s="3"/>
      <c r="G671" s="3"/>
      <c r="H671" s="3"/>
      <c r="I671" s="3"/>
      <c r="J671" s="3"/>
    </row>
    <row r="672" spans="5:10" ht="15.75" customHeight="1" x14ac:dyDescent="0.25">
      <c r="E672" s="3"/>
      <c r="F672" s="3"/>
      <c r="G672" s="3"/>
      <c r="H672" s="3"/>
      <c r="I672" s="3"/>
      <c r="J672" s="3"/>
    </row>
    <row r="673" spans="5:10" ht="15.75" customHeight="1" x14ac:dyDescent="0.25">
      <c r="E673" s="3"/>
      <c r="F673" s="3"/>
      <c r="G673" s="3"/>
      <c r="H673" s="3"/>
      <c r="I673" s="3"/>
      <c r="J673" s="3"/>
    </row>
    <row r="674" spans="5:10" ht="15.75" customHeight="1" x14ac:dyDescent="0.25">
      <c r="E674" s="3"/>
      <c r="F674" s="3"/>
      <c r="G674" s="3"/>
      <c r="H674" s="3"/>
      <c r="I674" s="3"/>
      <c r="J674" s="3"/>
    </row>
    <row r="675" spans="5:10" ht="15.75" customHeight="1" x14ac:dyDescent="0.25">
      <c r="E675" s="3"/>
      <c r="F675" s="3"/>
      <c r="G675" s="3"/>
      <c r="H675" s="3"/>
      <c r="I675" s="3"/>
      <c r="J675" s="3"/>
    </row>
    <row r="676" spans="5:10" ht="15.75" customHeight="1" x14ac:dyDescent="0.25">
      <c r="E676" s="3"/>
      <c r="F676" s="3"/>
      <c r="G676" s="3"/>
      <c r="H676" s="3"/>
      <c r="I676" s="3"/>
      <c r="J676" s="3"/>
    </row>
    <row r="677" spans="5:10" ht="15.75" customHeight="1" x14ac:dyDescent="0.25">
      <c r="E677" s="3"/>
      <c r="F677" s="3"/>
      <c r="G677" s="3"/>
      <c r="H677" s="3"/>
      <c r="I677" s="3"/>
      <c r="J677" s="3"/>
    </row>
    <row r="678" spans="5:10" ht="15.75" customHeight="1" x14ac:dyDescent="0.25">
      <c r="E678" s="3"/>
      <c r="F678" s="3"/>
      <c r="G678" s="3"/>
      <c r="H678" s="3"/>
      <c r="I678" s="3"/>
      <c r="J678" s="3"/>
    </row>
    <row r="679" spans="5:10" ht="15.75" customHeight="1" x14ac:dyDescent="0.25">
      <c r="E679" s="3"/>
      <c r="F679" s="3"/>
      <c r="G679" s="3"/>
      <c r="H679" s="3"/>
      <c r="I679" s="3"/>
      <c r="J679" s="3"/>
    </row>
    <row r="680" spans="5:10" ht="15.75" customHeight="1" x14ac:dyDescent="0.25">
      <c r="E680" s="3"/>
      <c r="F680" s="3"/>
      <c r="G680" s="3"/>
      <c r="H680" s="3"/>
      <c r="I680" s="3"/>
      <c r="J680" s="3"/>
    </row>
    <row r="681" spans="5:10" ht="15.75" customHeight="1" x14ac:dyDescent="0.25">
      <c r="E681" s="3"/>
      <c r="F681" s="3"/>
      <c r="G681" s="3"/>
      <c r="H681" s="3"/>
      <c r="I681" s="3"/>
      <c r="J681" s="3"/>
    </row>
    <row r="682" spans="5:10" ht="15.75" customHeight="1" x14ac:dyDescent="0.25">
      <c r="E682" s="3"/>
      <c r="F682" s="3"/>
      <c r="G682" s="3"/>
      <c r="H682" s="3"/>
      <c r="I682" s="3"/>
      <c r="J682" s="3"/>
    </row>
    <row r="683" spans="5:10" ht="15.75" customHeight="1" x14ac:dyDescent="0.25">
      <c r="E683" s="3"/>
      <c r="F683" s="3"/>
      <c r="G683" s="3"/>
      <c r="H683" s="3"/>
      <c r="I683" s="3"/>
      <c r="J683" s="3"/>
    </row>
    <row r="684" spans="5:10" ht="15.75" customHeight="1" x14ac:dyDescent="0.25">
      <c r="E684" s="3"/>
      <c r="F684" s="3"/>
      <c r="G684" s="3"/>
      <c r="H684" s="3"/>
      <c r="I684" s="3"/>
      <c r="J684" s="3"/>
    </row>
    <row r="685" spans="5:10" ht="15.75" customHeight="1" x14ac:dyDescent="0.25">
      <c r="E685" s="3"/>
      <c r="F685" s="3"/>
      <c r="G685" s="3"/>
      <c r="H685" s="3"/>
      <c r="I685" s="3"/>
      <c r="J685" s="3"/>
    </row>
    <row r="686" spans="5:10" ht="15.75" customHeight="1" x14ac:dyDescent="0.25">
      <c r="E686" s="3"/>
      <c r="F686" s="3"/>
      <c r="G686" s="3"/>
      <c r="H686" s="3"/>
      <c r="I686" s="3"/>
      <c r="J686" s="3"/>
    </row>
    <row r="687" spans="5:10" ht="15.75" customHeight="1" x14ac:dyDescent="0.25">
      <c r="E687" s="3"/>
      <c r="F687" s="3"/>
      <c r="G687" s="3"/>
      <c r="H687" s="3"/>
      <c r="I687" s="3"/>
      <c r="J687" s="3"/>
    </row>
    <row r="688" spans="5:10" ht="15.75" customHeight="1" x14ac:dyDescent="0.25">
      <c r="E688" s="3"/>
      <c r="F688" s="3"/>
      <c r="G688" s="3"/>
      <c r="H688" s="3"/>
      <c r="I688" s="3"/>
      <c r="J688" s="3"/>
    </row>
    <row r="689" spans="5:10" ht="15.75" customHeight="1" x14ac:dyDescent="0.25">
      <c r="E689" s="3"/>
      <c r="F689" s="3"/>
      <c r="G689" s="3"/>
      <c r="H689" s="3"/>
      <c r="I689" s="3"/>
      <c r="J689" s="3"/>
    </row>
    <row r="690" spans="5:10" ht="15.75" customHeight="1" x14ac:dyDescent="0.25">
      <c r="E690" s="3"/>
      <c r="F690" s="3"/>
      <c r="G690" s="3"/>
      <c r="H690" s="3"/>
      <c r="I690" s="3"/>
      <c r="J690" s="3"/>
    </row>
    <row r="691" spans="5:10" ht="15.75" customHeight="1" x14ac:dyDescent="0.25">
      <c r="E691" s="3"/>
      <c r="F691" s="3"/>
      <c r="G691" s="3"/>
      <c r="H691" s="3"/>
      <c r="I691" s="3"/>
      <c r="J691" s="3"/>
    </row>
    <row r="692" spans="5:10" ht="15.75" customHeight="1" x14ac:dyDescent="0.25">
      <c r="E692" s="3"/>
      <c r="F692" s="3"/>
      <c r="G692" s="3"/>
      <c r="H692" s="3"/>
      <c r="I692" s="3"/>
      <c r="J692" s="3"/>
    </row>
    <row r="693" spans="5:10" ht="15.75" customHeight="1" x14ac:dyDescent="0.25">
      <c r="E693" s="3"/>
      <c r="F693" s="3"/>
      <c r="G693" s="3"/>
      <c r="H693" s="3"/>
      <c r="I693" s="3"/>
      <c r="J693" s="3"/>
    </row>
    <row r="694" spans="5:10" ht="15.75" customHeight="1" x14ac:dyDescent="0.25">
      <c r="E694" s="3"/>
      <c r="F694" s="3"/>
      <c r="G694" s="3"/>
      <c r="H694" s="3"/>
      <c r="I694" s="3"/>
      <c r="J694" s="3"/>
    </row>
    <row r="695" spans="5:10" ht="15.75" customHeight="1" x14ac:dyDescent="0.25">
      <c r="E695" s="3"/>
      <c r="F695" s="3"/>
      <c r="G695" s="3"/>
      <c r="H695" s="3"/>
      <c r="I695" s="3"/>
      <c r="J695" s="3"/>
    </row>
    <row r="696" spans="5:10" ht="15.75" customHeight="1" x14ac:dyDescent="0.25">
      <c r="E696" s="3"/>
      <c r="F696" s="3"/>
      <c r="G696" s="3"/>
      <c r="H696" s="3"/>
      <c r="I696" s="3"/>
      <c r="J696" s="3"/>
    </row>
    <row r="697" spans="5:10" ht="15.75" customHeight="1" x14ac:dyDescent="0.25">
      <c r="E697" s="3"/>
      <c r="F697" s="3"/>
      <c r="G697" s="3"/>
      <c r="H697" s="3"/>
      <c r="I697" s="3"/>
      <c r="J697" s="3"/>
    </row>
    <row r="698" spans="5:10" ht="15.75" customHeight="1" x14ac:dyDescent="0.25">
      <c r="E698" s="3"/>
      <c r="F698" s="3"/>
      <c r="G698" s="3"/>
      <c r="H698" s="3"/>
      <c r="I698" s="3"/>
      <c r="J698" s="3"/>
    </row>
    <row r="699" spans="5:10" ht="15.75" customHeight="1" x14ac:dyDescent="0.25">
      <c r="E699" s="3"/>
      <c r="F699" s="3"/>
      <c r="G699" s="3"/>
      <c r="H699" s="3"/>
      <c r="I699" s="3"/>
      <c r="J699" s="3"/>
    </row>
    <row r="700" spans="5:10" ht="15.75" customHeight="1" x14ac:dyDescent="0.25">
      <c r="E700" s="3"/>
      <c r="F700" s="3"/>
      <c r="G700" s="3"/>
      <c r="H700" s="3"/>
      <c r="I700" s="3"/>
      <c r="J700" s="3"/>
    </row>
    <row r="701" spans="5:10" ht="15.75" customHeight="1" x14ac:dyDescent="0.25">
      <c r="E701" s="3"/>
      <c r="F701" s="3"/>
      <c r="G701" s="3"/>
      <c r="H701" s="3"/>
      <c r="I701" s="3"/>
      <c r="J701" s="3"/>
    </row>
    <row r="702" spans="5:10" ht="15.75" customHeight="1" x14ac:dyDescent="0.25">
      <c r="E702" s="3"/>
      <c r="F702" s="3"/>
      <c r="G702" s="3"/>
      <c r="H702" s="3"/>
      <c r="I702" s="3"/>
      <c r="J702" s="3"/>
    </row>
    <row r="703" spans="5:10" ht="15.75" customHeight="1" x14ac:dyDescent="0.25">
      <c r="E703" s="3"/>
      <c r="F703" s="3"/>
      <c r="G703" s="3"/>
      <c r="H703" s="3"/>
      <c r="I703" s="3"/>
      <c r="J703" s="3"/>
    </row>
    <row r="704" spans="5:10" ht="15.75" customHeight="1" x14ac:dyDescent="0.25">
      <c r="E704" s="3"/>
      <c r="F704" s="3"/>
      <c r="G704" s="3"/>
      <c r="H704" s="3"/>
      <c r="I704" s="3"/>
      <c r="J704" s="3"/>
    </row>
    <row r="705" spans="5:10" ht="15.75" customHeight="1" x14ac:dyDescent="0.25">
      <c r="E705" s="3"/>
      <c r="F705" s="3"/>
      <c r="G705" s="3"/>
      <c r="H705" s="3"/>
      <c r="I705" s="3"/>
      <c r="J705" s="3"/>
    </row>
    <row r="706" spans="5:10" ht="15.75" customHeight="1" x14ac:dyDescent="0.25">
      <c r="E706" s="3"/>
      <c r="F706" s="3"/>
      <c r="G706" s="3"/>
      <c r="H706" s="3"/>
      <c r="I706" s="3"/>
      <c r="J706" s="3"/>
    </row>
    <row r="707" spans="5:10" ht="15.75" customHeight="1" x14ac:dyDescent="0.25">
      <c r="E707" s="3"/>
      <c r="F707" s="3"/>
      <c r="G707" s="3"/>
      <c r="H707" s="3"/>
      <c r="I707" s="3"/>
      <c r="J707" s="3"/>
    </row>
    <row r="708" spans="5:10" ht="15.75" customHeight="1" x14ac:dyDescent="0.25">
      <c r="E708" s="3"/>
      <c r="F708" s="3"/>
      <c r="G708" s="3"/>
      <c r="H708" s="3"/>
      <c r="I708" s="3"/>
      <c r="J708" s="3"/>
    </row>
    <row r="709" spans="5:10" ht="15.75" customHeight="1" x14ac:dyDescent="0.25">
      <c r="E709" s="3"/>
      <c r="F709" s="3"/>
      <c r="G709" s="3"/>
      <c r="H709" s="3"/>
      <c r="I709" s="3"/>
      <c r="J709" s="3"/>
    </row>
    <row r="710" spans="5:10" ht="15.75" customHeight="1" x14ac:dyDescent="0.25">
      <c r="E710" s="3"/>
      <c r="F710" s="3"/>
      <c r="G710" s="3"/>
      <c r="H710" s="3"/>
      <c r="I710" s="3"/>
      <c r="J710" s="3"/>
    </row>
    <row r="711" spans="5:10" ht="15.75" customHeight="1" x14ac:dyDescent="0.25">
      <c r="E711" s="3"/>
      <c r="F711" s="3"/>
      <c r="G711" s="3"/>
      <c r="H711" s="3"/>
      <c r="I711" s="3"/>
      <c r="J711" s="3"/>
    </row>
    <row r="712" spans="5:10" ht="15.75" customHeight="1" x14ac:dyDescent="0.25">
      <c r="E712" s="3"/>
      <c r="F712" s="3"/>
      <c r="G712" s="3"/>
      <c r="H712" s="3"/>
      <c r="I712" s="3"/>
      <c r="J712" s="3"/>
    </row>
    <row r="713" spans="5:10" ht="15.75" customHeight="1" x14ac:dyDescent="0.25">
      <c r="E713" s="3"/>
      <c r="F713" s="3"/>
      <c r="G713" s="3"/>
      <c r="H713" s="3"/>
      <c r="I713" s="3"/>
      <c r="J713" s="3"/>
    </row>
    <row r="714" spans="5:10" ht="15.75" customHeight="1" x14ac:dyDescent="0.25">
      <c r="E714" s="3"/>
      <c r="F714" s="3"/>
      <c r="G714" s="3"/>
      <c r="H714" s="3"/>
      <c r="I714" s="3"/>
      <c r="J714" s="3"/>
    </row>
    <row r="715" spans="5:10" ht="15.75" customHeight="1" x14ac:dyDescent="0.25">
      <c r="E715" s="3"/>
      <c r="F715" s="3"/>
      <c r="G715" s="3"/>
      <c r="H715" s="3"/>
      <c r="I715" s="3"/>
      <c r="J715" s="3"/>
    </row>
    <row r="716" spans="5:10" ht="15.75" customHeight="1" x14ac:dyDescent="0.25">
      <c r="E716" s="3"/>
      <c r="F716" s="3"/>
      <c r="G716" s="3"/>
      <c r="H716" s="3"/>
      <c r="I716" s="3"/>
      <c r="J716" s="3"/>
    </row>
    <row r="717" spans="5:10" ht="15.75" customHeight="1" x14ac:dyDescent="0.25">
      <c r="E717" s="3"/>
      <c r="F717" s="3"/>
      <c r="G717" s="3"/>
      <c r="H717" s="3"/>
      <c r="I717" s="3"/>
      <c r="J717" s="3"/>
    </row>
    <row r="718" spans="5:10" ht="15.75" customHeight="1" x14ac:dyDescent="0.25">
      <c r="E718" s="3"/>
      <c r="F718" s="3"/>
      <c r="G718" s="3"/>
      <c r="H718" s="3"/>
      <c r="I718" s="3"/>
      <c r="J718" s="3"/>
    </row>
    <row r="719" spans="5:10" ht="15.75" customHeight="1" x14ac:dyDescent="0.25">
      <c r="E719" s="3"/>
      <c r="F719" s="3"/>
      <c r="G719" s="3"/>
      <c r="H719" s="3"/>
      <c r="I719" s="3"/>
      <c r="J719" s="3"/>
    </row>
    <row r="720" spans="5:10" ht="15.75" customHeight="1" x14ac:dyDescent="0.25">
      <c r="E720" s="3"/>
      <c r="F720" s="3"/>
      <c r="G720" s="3"/>
      <c r="H720" s="3"/>
      <c r="I720" s="3"/>
      <c r="J720" s="3"/>
    </row>
    <row r="721" spans="5:10" ht="15.75" customHeight="1" x14ac:dyDescent="0.25">
      <c r="E721" s="3"/>
      <c r="F721" s="3"/>
      <c r="G721" s="3"/>
      <c r="H721" s="3"/>
      <c r="I721" s="3"/>
      <c r="J721" s="3"/>
    </row>
    <row r="722" spans="5:10" ht="15.75" customHeight="1" x14ac:dyDescent="0.25">
      <c r="E722" s="3"/>
      <c r="F722" s="3"/>
      <c r="G722" s="3"/>
      <c r="H722" s="3"/>
      <c r="I722" s="3"/>
      <c r="J722" s="3"/>
    </row>
    <row r="723" spans="5:10" ht="15.75" customHeight="1" x14ac:dyDescent="0.25">
      <c r="E723" s="3"/>
      <c r="F723" s="3"/>
      <c r="G723" s="3"/>
      <c r="H723" s="3"/>
      <c r="I723" s="3"/>
      <c r="J723" s="3"/>
    </row>
    <row r="724" spans="5:10" ht="15.75" customHeight="1" x14ac:dyDescent="0.25">
      <c r="E724" s="3"/>
      <c r="F724" s="3"/>
      <c r="G724" s="3"/>
      <c r="H724" s="3"/>
      <c r="I724" s="3"/>
      <c r="J724" s="3"/>
    </row>
    <row r="725" spans="5:10" ht="15.75" customHeight="1" x14ac:dyDescent="0.25">
      <c r="E725" s="3"/>
      <c r="F725" s="3"/>
      <c r="G725" s="3"/>
      <c r="H725" s="3"/>
      <c r="I725" s="3"/>
      <c r="J725" s="3"/>
    </row>
    <row r="726" spans="5:10" ht="15.75" customHeight="1" x14ac:dyDescent="0.25">
      <c r="E726" s="3"/>
      <c r="F726" s="3"/>
      <c r="G726" s="3"/>
      <c r="H726" s="3"/>
      <c r="I726" s="3"/>
      <c r="J726" s="3"/>
    </row>
    <row r="727" spans="5:10" ht="15.75" customHeight="1" x14ac:dyDescent="0.25">
      <c r="E727" s="3"/>
      <c r="F727" s="3"/>
      <c r="G727" s="3"/>
      <c r="H727" s="3"/>
      <c r="I727" s="3"/>
      <c r="J727" s="3"/>
    </row>
    <row r="728" spans="5:10" ht="15.75" customHeight="1" x14ac:dyDescent="0.25">
      <c r="E728" s="3"/>
      <c r="F728" s="3"/>
      <c r="G728" s="3"/>
      <c r="H728" s="3"/>
      <c r="I728" s="3"/>
      <c r="J728" s="3"/>
    </row>
    <row r="729" spans="5:10" ht="15.75" customHeight="1" x14ac:dyDescent="0.25">
      <c r="E729" s="3"/>
      <c r="F729" s="3"/>
      <c r="G729" s="3"/>
      <c r="H729" s="3"/>
      <c r="I729" s="3"/>
      <c r="J729" s="3"/>
    </row>
    <row r="730" spans="5:10" ht="15.75" customHeight="1" x14ac:dyDescent="0.25">
      <c r="E730" s="3"/>
      <c r="F730" s="3"/>
      <c r="G730" s="3"/>
      <c r="H730" s="3"/>
      <c r="I730" s="3"/>
      <c r="J730" s="3"/>
    </row>
    <row r="731" spans="5:10" ht="15.75" customHeight="1" x14ac:dyDescent="0.25">
      <c r="E731" s="3"/>
      <c r="F731" s="3"/>
      <c r="G731" s="3"/>
      <c r="H731" s="3"/>
      <c r="I731" s="3"/>
      <c r="J731" s="3"/>
    </row>
    <row r="732" spans="5:10" ht="15.75" customHeight="1" x14ac:dyDescent="0.25">
      <c r="E732" s="3"/>
      <c r="F732" s="3"/>
      <c r="G732" s="3"/>
      <c r="H732" s="3"/>
      <c r="I732" s="3"/>
      <c r="J732" s="3"/>
    </row>
    <row r="733" spans="5:10" ht="15.75" customHeight="1" x14ac:dyDescent="0.25">
      <c r="E733" s="3"/>
      <c r="F733" s="3"/>
      <c r="G733" s="3"/>
      <c r="H733" s="3"/>
      <c r="I733" s="3"/>
      <c r="J733" s="3"/>
    </row>
    <row r="734" spans="5:10" ht="15.75" customHeight="1" x14ac:dyDescent="0.25">
      <c r="E734" s="3"/>
      <c r="F734" s="3"/>
      <c r="G734" s="3"/>
      <c r="H734" s="3"/>
      <c r="I734" s="3"/>
      <c r="J734" s="3"/>
    </row>
    <row r="735" spans="5:10" ht="15.75" customHeight="1" x14ac:dyDescent="0.25">
      <c r="E735" s="3"/>
      <c r="F735" s="3"/>
      <c r="G735" s="3"/>
      <c r="H735" s="3"/>
      <c r="I735" s="3"/>
      <c r="J735" s="3"/>
    </row>
    <row r="736" spans="5:10" ht="15.75" customHeight="1" x14ac:dyDescent="0.25">
      <c r="E736" s="3"/>
      <c r="F736" s="3"/>
      <c r="G736" s="3"/>
      <c r="H736" s="3"/>
      <c r="I736" s="3"/>
      <c r="J736" s="3"/>
    </row>
    <row r="737" spans="5:10" ht="15.75" customHeight="1" x14ac:dyDescent="0.25">
      <c r="E737" s="3"/>
      <c r="F737" s="3"/>
      <c r="G737" s="3"/>
      <c r="H737" s="3"/>
      <c r="I737" s="3"/>
      <c r="J737" s="3"/>
    </row>
    <row r="738" spans="5:10" ht="15.75" customHeight="1" x14ac:dyDescent="0.25">
      <c r="E738" s="3"/>
      <c r="F738" s="3"/>
      <c r="G738" s="3"/>
      <c r="H738" s="3"/>
      <c r="I738" s="3"/>
      <c r="J738" s="3"/>
    </row>
    <row r="739" spans="5:10" ht="15.75" customHeight="1" x14ac:dyDescent="0.25">
      <c r="E739" s="3"/>
      <c r="F739" s="3"/>
      <c r="G739" s="3"/>
      <c r="H739" s="3"/>
      <c r="I739" s="3"/>
      <c r="J739" s="3"/>
    </row>
    <row r="740" spans="5:10" ht="15.75" customHeight="1" x14ac:dyDescent="0.25">
      <c r="E740" s="3"/>
      <c r="F740" s="3"/>
      <c r="G740" s="3"/>
      <c r="H740" s="3"/>
      <c r="I740" s="3"/>
      <c r="J740" s="3"/>
    </row>
    <row r="741" spans="5:10" ht="15.75" customHeight="1" x14ac:dyDescent="0.25">
      <c r="E741" s="3"/>
      <c r="F741" s="3"/>
      <c r="G741" s="3"/>
      <c r="H741" s="3"/>
      <c r="I741" s="3"/>
      <c r="J741" s="3"/>
    </row>
    <row r="742" spans="5:10" ht="15.75" customHeight="1" x14ac:dyDescent="0.25">
      <c r="E742" s="3"/>
      <c r="F742" s="3"/>
      <c r="G742" s="3"/>
      <c r="H742" s="3"/>
      <c r="I742" s="3"/>
      <c r="J742" s="3"/>
    </row>
    <row r="743" spans="5:10" ht="15.75" customHeight="1" x14ac:dyDescent="0.25">
      <c r="E743" s="3"/>
      <c r="F743" s="3"/>
      <c r="G743" s="3"/>
      <c r="H743" s="3"/>
      <c r="I743" s="3"/>
      <c r="J743" s="3"/>
    </row>
    <row r="744" spans="5:10" ht="15.75" customHeight="1" x14ac:dyDescent="0.25">
      <c r="E744" s="3"/>
      <c r="F744" s="3"/>
      <c r="G744" s="3"/>
      <c r="H744" s="3"/>
      <c r="I744" s="3"/>
      <c r="J744" s="3"/>
    </row>
    <row r="745" spans="5:10" ht="15.75" customHeight="1" x14ac:dyDescent="0.25">
      <c r="E745" s="3"/>
      <c r="F745" s="3"/>
      <c r="G745" s="3"/>
      <c r="H745" s="3"/>
      <c r="I745" s="3"/>
      <c r="J745" s="3"/>
    </row>
    <row r="746" spans="5:10" ht="15.75" customHeight="1" x14ac:dyDescent="0.25">
      <c r="E746" s="3"/>
      <c r="F746" s="3"/>
      <c r="G746" s="3"/>
      <c r="H746" s="3"/>
      <c r="I746" s="3"/>
      <c r="J746" s="3"/>
    </row>
    <row r="747" spans="5:10" ht="15.75" customHeight="1" x14ac:dyDescent="0.25">
      <c r="E747" s="3"/>
      <c r="F747" s="3"/>
      <c r="G747" s="3"/>
      <c r="H747" s="3"/>
      <c r="I747" s="3"/>
      <c r="J747" s="3"/>
    </row>
    <row r="748" spans="5:10" ht="15.75" customHeight="1" x14ac:dyDescent="0.25">
      <c r="E748" s="3"/>
      <c r="F748" s="3"/>
      <c r="G748" s="3"/>
      <c r="H748" s="3"/>
      <c r="I748" s="3"/>
      <c r="J748" s="3"/>
    </row>
    <row r="749" spans="5:10" ht="15.75" customHeight="1" x14ac:dyDescent="0.25">
      <c r="E749" s="3"/>
      <c r="F749" s="3"/>
      <c r="G749" s="3"/>
      <c r="H749" s="3"/>
      <c r="I749" s="3"/>
      <c r="J749" s="3"/>
    </row>
    <row r="750" spans="5:10" ht="15.75" customHeight="1" x14ac:dyDescent="0.25">
      <c r="E750" s="3"/>
      <c r="F750" s="3"/>
      <c r="G750" s="3"/>
      <c r="H750" s="3"/>
      <c r="I750" s="3"/>
      <c r="J750" s="3"/>
    </row>
    <row r="751" spans="5:10" ht="15.75" customHeight="1" x14ac:dyDescent="0.25">
      <c r="E751" s="3"/>
      <c r="F751" s="3"/>
      <c r="G751" s="3"/>
      <c r="H751" s="3"/>
      <c r="I751" s="3"/>
      <c r="J751" s="3"/>
    </row>
    <row r="752" spans="5:10" ht="15.75" customHeight="1" x14ac:dyDescent="0.25">
      <c r="E752" s="3"/>
      <c r="F752" s="3"/>
      <c r="G752" s="3"/>
      <c r="H752" s="3"/>
      <c r="I752" s="3"/>
      <c r="J752" s="3"/>
    </row>
    <row r="753" spans="5:10" ht="15.75" customHeight="1" x14ac:dyDescent="0.25">
      <c r="E753" s="3"/>
      <c r="F753" s="3"/>
      <c r="G753" s="3"/>
      <c r="H753" s="3"/>
      <c r="I753" s="3"/>
      <c r="J753" s="3"/>
    </row>
    <row r="754" spans="5:10" ht="15.75" customHeight="1" x14ac:dyDescent="0.25">
      <c r="E754" s="3"/>
      <c r="F754" s="3"/>
      <c r="G754" s="3"/>
      <c r="H754" s="3"/>
      <c r="I754" s="3"/>
      <c r="J754" s="3"/>
    </row>
    <row r="755" spans="5:10" ht="15.75" customHeight="1" x14ac:dyDescent="0.25">
      <c r="E755" s="3"/>
      <c r="F755" s="3"/>
      <c r="G755" s="3"/>
      <c r="H755" s="3"/>
      <c r="I755" s="3"/>
      <c r="J755" s="3"/>
    </row>
    <row r="756" spans="5:10" ht="15.75" customHeight="1" x14ac:dyDescent="0.25">
      <c r="E756" s="3"/>
      <c r="F756" s="3"/>
      <c r="G756" s="3"/>
      <c r="H756" s="3"/>
      <c r="I756" s="3"/>
      <c r="J756" s="3"/>
    </row>
    <row r="757" spans="5:10" ht="15.75" customHeight="1" x14ac:dyDescent="0.25">
      <c r="E757" s="3"/>
      <c r="F757" s="3"/>
      <c r="G757" s="3"/>
      <c r="H757" s="3"/>
      <c r="I757" s="3"/>
      <c r="J757" s="3"/>
    </row>
    <row r="758" spans="5:10" ht="15.75" customHeight="1" x14ac:dyDescent="0.25">
      <c r="E758" s="3"/>
      <c r="F758" s="3"/>
      <c r="G758" s="3"/>
      <c r="H758" s="3"/>
      <c r="I758" s="3"/>
      <c r="J758" s="3"/>
    </row>
    <row r="759" spans="5:10" ht="15.75" customHeight="1" x14ac:dyDescent="0.25">
      <c r="E759" s="3"/>
      <c r="F759" s="3"/>
      <c r="G759" s="3"/>
      <c r="H759" s="3"/>
      <c r="I759" s="3"/>
      <c r="J759" s="3"/>
    </row>
    <row r="760" spans="5:10" ht="15.75" customHeight="1" x14ac:dyDescent="0.25">
      <c r="E760" s="3"/>
      <c r="F760" s="3"/>
      <c r="G760" s="3"/>
      <c r="H760" s="3"/>
      <c r="I760" s="3"/>
      <c r="J760" s="3"/>
    </row>
    <row r="761" spans="5:10" ht="15.75" customHeight="1" x14ac:dyDescent="0.25">
      <c r="E761" s="3"/>
      <c r="F761" s="3"/>
      <c r="G761" s="3"/>
      <c r="H761" s="3"/>
      <c r="I761" s="3"/>
      <c r="J761" s="3"/>
    </row>
    <row r="762" spans="5:10" ht="15.75" customHeight="1" x14ac:dyDescent="0.25">
      <c r="E762" s="3"/>
      <c r="F762" s="3"/>
      <c r="G762" s="3"/>
      <c r="H762" s="3"/>
      <c r="I762" s="3"/>
      <c r="J762" s="3"/>
    </row>
    <row r="763" spans="5:10" ht="15.75" customHeight="1" x14ac:dyDescent="0.25">
      <c r="E763" s="3"/>
      <c r="F763" s="3"/>
      <c r="G763" s="3"/>
      <c r="H763" s="3"/>
      <c r="I763" s="3"/>
      <c r="J763" s="3"/>
    </row>
    <row r="764" spans="5:10" ht="15.75" customHeight="1" x14ac:dyDescent="0.25">
      <c r="E764" s="3"/>
      <c r="F764" s="3"/>
      <c r="G764" s="3"/>
      <c r="H764" s="3"/>
      <c r="I764" s="3"/>
      <c r="J764" s="3"/>
    </row>
    <row r="765" spans="5:10" ht="15.75" customHeight="1" x14ac:dyDescent="0.25">
      <c r="E765" s="3"/>
      <c r="F765" s="3"/>
      <c r="G765" s="3"/>
      <c r="H765" s="3"/>
      <c r="I765" s="3"/>
      <c r="J765" s="3"/>
    </row>
    <row r="766" spans="5:10" ht="15.75" customHeight="1" x14ac:dyDescent="0.25">
      <c r="E766" s="3"/>
      <c r="F766" s="3"/>
      <c r="G766" s="3"/>
      <c r="H766" s="3"/>
      <c r="I766" s="3"/>
      <c r="J766" s="3"/>
    </row>
    <row r="767" spans="5:10" ht="15.75" customHeight="1" x14ac:dyDescent="0.25">
      <c r="E767" s="3"/>
      <c r="F767" s="3"/>
      <c r="G767" s="3"/>
      <c r="H767" s="3"/>
      <c r="I767" s="3"/>
      <c r="J767" s="3"/>
    </row>
    <row r="768" spans="5:10" ht="15.75" customHeight="1" x14ac:dyDescent="0.25">
      <c r="E768" s="3"/>
      <c r="F768" s="3"/>
      <c r="G768" s="3"/>
      <c r="H768" s="3"/>
      <c r="I768" s="3"/>
      <c r="J768" s="3"/>
    </row>
    <row r="769" spans="5:10" ht="15.75" customHeight="1" x14ac:dyDescent="0.25">
      <c r="E769" s="3"/>
      <c r="F769" s="3"/>
      <c r="G769" s="3"/>
      <c r="H769" s="3"/>
      <c r="I769" s="3"/>
      <c r="J769" s="3"/>
    </row>
    <row r="770" spans="5:10" ht="15.75" customHeight="1" x14ac:dyDescent="0.25">
      <c r="E770" s="3"/>
      <c r="F770" s="3"/>
      <c r="G770" s="3"/>
      <c r="H770" s="3"/>
      <c r="I770" s="3"/>
      <c r="J770" s="3"/>
    </row>
    <row r="771" spans="5:10" ht="15.75" customHeight="1" x14ac:dyDescent="0.25">
      <c r="E771" s="3"/>
      <c r="F771" s="3"/>
      <c r="G771" s="3"/>
      <c r="H771" s="3"/>
      <c r="I771" s="3"/>
      <c r="J771" s="3"/>
    </row>
    <row r="772" spans="5:10" ht="15.75" customHeight="1" x14ac:dyDescent="0.25">
      <c r="E772" s="3"/>
      <c r="F772" s="3"/>
      <c r="G772" s="3"/>
      <c r="H772" s="3"/>
      <c r="I772" s="3"/>
      <c r="J772" s="3"/>
    </row>
    <row r="773" spans="5:10" ht="15.75" customHeight="1" x14ac:dyDescent="0.25">
      <c r="E773" s="3"/>
      <c r="F773" s="3"/>
      <c r="G773" s="3"/>
      <c r="H773" s="3"/>
      <c r="I773" s="3"/>
      <c r="J773" s="3"/>
    </row>
    <row r="774" spans="5:10" ht="15.75" customHeight="1" x14ac:dyDescent="0.25">
      <c r="E774" s="3"/>
      <c r="F774" s="3"/>
      <c r="G774" s="3"/>
      <c r="H774" s="3"/>
      <c r="I774" s="3"/>
      <c r="J774" s="3"/>
    </row>
    <row r="775" spans="5:10" ht="15.75" customHeight="1" x14ac:dyDescent="0.25">
      <c r="E775" s="3"/>
      <c r="F775" s="3"/>
      <c r="G775" s="3"/>
      <c r="H775" s="3"/>
      <c r="I775" s="3"/>
      <c r="J775" s="3"/>
    </row>
    <row r="776" spans="5:10" ht="15.75" customHeight="1" x14ac:dyDescent="0.25">
      <c r="E776" s="3"/>
      <c r="F776" s="3"/>
      <c r="G776" s="3"/>
      <c r="H776" s="3"/>
      <c r="I776" s="3"/>
      <c r="J776" s="3"/>
    </row>
    <row r="777" spans="5:10" ht="15.75" customHeight="1" x14ac:dyDescent="0.25">
      <c r="E777" s="3"/>
      <c r="F777" s="3"/>
      <c r="G777" s="3"/>
      <c r="H777" s="3"/>
      <c r="I777" s="3"/>
      <c r="J777" s="3"/>
    </row>
    <row r="778" spans="5:10" ht="15.75" customHeight="1" x14ac:dyDescent="0.25">
      <c r="E778" s="3"/>
      <c r="F778" s="3"/>
      <c r="G778" s="3"/>
      <c r="H778" s="3"/>
      <c r="I778" s="3"/>
      <c r="J778" s="3"/>
    </row>
    <row r="779" spans="5:10" ht="15.75" customHeight="1" x14ac:dyDescent="0.25">
      <c r="E779" s="3"/>
      <c r="F779" s="3"/>
      <c r="G779" s="3"/>
      <c r="H779" s="3"/>
      <c r="I779" s="3"/>
      <c r="J779" s="3"/>
    </row>
    <row r="780" spans="5:10" ht="15.75" customHeight="1" x14ac:dyDescent="0.25">
      <c r="E780" s="3"/>
      <c r="F780" s="3"/>
      <c r="G780" s="3"/>
      <c r="H780" s="3"/>
      <c r="I780" s="3"/>
      <c r="J780" s="3"/>
    </row>
    <row r="781" spans="5:10" ht="15.75" customHeight="1" x14ac:dyDescent="0.25">
      <c r="E781" s="3"/>
      <c r="F781" s="3"/>
      <c r="G781" s="3"/>
      <c r="H781" s="3"/>
      <c r="I781" s="3"/>
      <c r="J781" s="3"/>
    </row>
    <row r="782" spans="5:10" ht="15.75" customHeight="1" x14ac:dyDescent="0.25">
      <c r="E782" s="3"/>
      <c r="F782" s="3"/>
      <c r="G782" s="3"/>
      <c r="H782" s="3"/>
      <c r="I782" s="3"/>
      <c r="J782" s="3"/>
    </row>
    <row r="783" spans="5:10" ht="15.75" customHeight="1" x14ac:dyDescent="0.25">
      <c r="E783" s="3"/>
      <c r="F783" s="3"/>
      <c r="G783" s="3"/>
      <c r="H783" s="3"/>
      <c r="I783" s="3"/>
      <c r="J783" s="3"/>
    </row>
    <row r="784" spans="5:10" ht="15.75" customHeight="1" x14ac:dyDescent="0.25">
      <c r="E784" s="3"/>
      <c r="F784" s="3"/>
      <c r="G784" s="3"/>
      <c r="H784" s="3"/>
      <c r="I784" s="3"/>
      <c r="J784" s="3"/>
    </row>
    <row r="785" spans="5:10" ht="15.75" customHeight="1" x14ac:dyDescent="0.25">
      <c r="E785" s="3"/>
      <c r="F785" s="3"/>
      <c r="G785" s="3"/>
      <c r="H785" s="3"/>
      <c r="I785" s="3"/>
      <c r="J785" s="3"/>
    </row>
    <row r="786" spans="5:10" ht="15.75" customHeight="1" x14ac:dyDescent="0.25">
      <c r="E786" s="3"/>
      <c r="F786" s="3"/>
      <c r="G786" s="3"/>
      <c r="H786" s="3"/>
      <c r="I786" s="3"/>
      <c r="J786" s="3"/>
    </row>
    <row r="787" spans="5:10" ht="15.75" customHeight="1" x14ac:dyDescent="0.25">
      <c r="E787" s="3"/>
      <c r="F787" s="3"/>
      <c r="G787" s="3"/>
      <c r="H787" s="3"/>
      <c r="I787" s="3"/>
      <c r="J787" s="3"/>
    </row>
    <row r="788" spans="5:10" ht="15.75" customHeight="1" x14ac:dyDescent="0.25">
      <c r="E788" s="3"/>
      <c r="F788" s="3"/>
      <c r="G788" s="3"/>
      <c r="H788" s="3"/>
      <c r="I788" s="3"/>
      <c r="J788" s="3"/>
    </row>
    <row r="789" spans="5:10" ht="15.75" customHeight="1" x14ac:dyDescent="0.25">
      <c r="E789" s="3"/>
      <c r="F789" s="3"/>
      <c r="G789" s="3"/>
      <c r="H789" s="3"/>
      <c r="I789" s="3"/>
      <c r="J789" s="3"/>
    </row>
    <row r="790" spans="5:10" ht="15.75" customHeight="1" x14ac:dyDescent="0.25">
      <c r="E790" s="3"/>
      <c r="F790" s="3"/>
      <c r="G790" s="3"/>
      <c r="H790" s="3"/>
      <c r="I790" s="3"/>
      <c r="J790" s="3"/>
    </row>
    <row r="791" spans="5:10" ht="15.75" customHeight="1" x14ac:dyDescent="0.25">
      <c r="E791" s="3"/>
      <c r="F791" s="3"/>
      <c r="G791" s="3"/>
      <c r="H791" s="3"/>
      <c r="I791" s="3"/>
      <c r="J791" s="3"/>
    </row>
    <row r="792" spans="5:10" ht="15.75" customHeight="1" x14ac:dyDescent="0.25">
      <c r="E792" s="3"/>
      <c r="F792" s="3"/>
      <c r="G792" s="3"/>
      <c r="H792" s="3"/>
      <c r="I792" s="3"/>
      <c r="J792" s="3"/>
    </row>
    <row r="793" spans="5:10" ht="15.75" customHeight="1" x14ac:dyDescent="0.25">
      <c r="E793" s="3"/>
      <c r="F793" s="3"/>
      <c r="G793" s="3"/>
      <c r="H793" s="3"/>
      <c r="I793" s="3"/>
      <c r="J793" s="3"/>
    </row>
    <row r="794" spans="5:10" ht="15.75" customHeight="1" x14ac:dyDescent="0.25">
      <c r="E794" s="3"/>
      <c r="F794" s="3"/>
      <c r="G794" s="3"/>
      <c r="H794" s="3"/>
      <c r="I794" s="3"/>
      <c r="J794" s="3"/>
    </row>
    <row r="795" spans="5:10" ht="15.75" customHeight="1" x14ac:dyDescent="0.25">
      <c r="E795" s="3"/>
      <c r="F795" s="3"/>
      <c r="G795" s="3"/>
      <c r="H795" s="3"/>
      <c r="I795" s="3"/>
      <c r="J795" s="3"/>
    </row>
    <row r="796" spans="5:10" ht="15.75" customHeight="1" x14ac:dyDescent="0.25">
      <c r="E796" s="3"/>
      <c r="F796" s="3"/>
      <c r="G796" s="3"/>
      <c r="H796" s="3"/>
      <c r="I796" s="3"/>
      <c r="J796" s="3"/>
    </row>
    <row r="797" spans="5:10" ht="15.75" customHeight="1" x14ac:dyDescent="0.25">
      <c r="E797" s="3"/>
      <c r="F797" s="3"/>
      <c r="G797" s="3"/>
      <c r="H797" s="3"/>
      <c r="I797" s="3"/>
      <c r="J797" s="3"/>
    </row>
    <row r="798" spans="5:10" ht="15.75" customHeight="1" x14ac:dyDescent="0.25">
      <c r="E798" s="3"/>
      <c r="F798" s="3"/>
      <c r="G798" s="3"/>
      <c r="H798" s="3"/>
      <c r="I798" s="3"/>
      <c r="J798" s="3"/>
    </row>
    <row r="799" spans="5:10" ht="15.75" customHeight="1" x14ac:dyDescent="0.25">
      <c r="E799" s="3"/>
      <c r="F799" s="3"/>
      <c r="G799" s="3"/>
      <c r="H799" s="3"/>
      <c r="I799" s="3"/>
      <c r="J799" s="3"/>
    </row>
    <row r="800" spans="5:10" ht="15.75" customHeight="1" x14ac:dyDescent="0.25">
      <c r="E800" s="3"/>
      <c r="F800" s="3"/>
      <c r="G800" s="3"/>
      <c r="H800" s="3"/>
      <c r="I800" s="3"/>
      <c r="J800" s="3"/>
    </row>
    <row r="801" spans="5:10" ht="15.75" customHeight="1" x14ac:dyDescent="0.25">
      <c r="E801" s="3"/>
      <c r="F801" s="3"/>
      <c r="G801" s="3"/>
      <c r="H801" s="3"/>
      <c r="I801" s="3"/>
      <c r="J801" s="3"/>
    </row>
    <row r="802" spans="5:10" ht="15.75" customHeight="1" x14ac:dyDescent="0.25">
      <c r="E802" s="3"/>
      <c r="F802" s="3"/>
      <c r="G802" s="3"/>
      <c r="H802" s="3"/>
      <c r="I802" s="3"/>
      <c r="J802" s="3"/>
    </row>
    <row r="803" spans="5:10" ht="15.75" customHeight="1" x14ac:dyDescent="0.25">
      <c r="E803" s="3"/>
      <c r="F803" s="3"/>
      <c r="G803" s="3"/>
      <c r="H803" s="3"/>
      <c r="I803" s="3"/>
      <c r="J803" s="3"/>
    </row>
    <row r="804" spans="5:10" ht="15.75" customHeight="1" x14ac:dyDescent="0.25">
      <c r="E804" s="3"/>
      <c r="F804" s="3"/>
      <c r="G804" s="3"/>
      <c r="H804" s="3"/>
      <c r="I804" s="3"/>
      <c r="J804" s="3"/>
    </row>
    <row r="805" spans="5:10" ht="15.75" customHeight="1" x14ac:dyDescent="0.25">
      <c r="E805" s="3"/>
      <c r="F805" s="3"/>
      <c r="G805" s="3"/>
      <c r="H805" s="3"/>
      <c r="I805" s="3"/>
      <c r="J805" s="3"/>
    </row>
    <row r="806" spans="5:10" ht="15.75" customHeight="1" x14ac:dyDescent="0.25">
      <c r="E806" s="3"/>
      <c r="F806" s="3"/>
      <c r="G806" s="3"/>
      <c r="H806" s="3"/>
      <c r="I806" s="3"/>
      <c r="J806" s="3"/>
    </row>
    <row r="807" spans="5:10" ht="15.75" customHeight="1" x14ac:dyDescent="0.25">
      <c r="E807" s="3"/>
      <c r="F807" s="3"/>
      <c r="G807" s="3"/>
      <c r="H807" s="3"/>
      <c r="I807" s="3"/>
      <c r="J807" s="3"/>
    </row>
    <row r="808" spans="5:10" ht="15.75" customHeight="1" x14ac:dyDescent="0.25">
      <c r="E808" s="3"/>
      <c r="F808" s="3"/>
      <c r="G808" s="3"/>
      <c r="H808" s="3"/>
      <c r="I808" s="3"/>
      <c r="J808" s="3"/>
    </row>
    <row r="809" spans="5:10" ht="15.75" customHeight="1" x14ac:dyDescent="0.25">
      <c r="E809" s="3"/>
      <c r="F809" s="3"/>
      <c r="G809" s="3"/>
      <c r="H809" s="3"/>
      <c r="I809" s="3"/>
      <c r="J809" s="3"/>
    </row>
    <row r="810" spans="5:10" ht="15.75" customHeight="1" x14ac:dyDescent="0.25">
      <c r="E810" s="3"/>
      <c r="F810" s="3"/>
      <c r="G810" s="3"/>
      <c r="H810" s="3"/>
      <c r="I810" s="3"/>
      <c r="J810" s="3"/>
    </row>
    <row r="811" spans="5:10" ht="15.75" customHeight="1" x14ac:dyDescent="0.25">
      <c r="E811" s="3"/>
      <c r="F811" s="3"/>
      <c r="G811" s="3"/>
      <c r="H811" s="3"/>
      <c r="I811" s="3"/>
      <c r="J811" s="3"/>
    </row>
    <row r="812" spans="5:10" ht="15.75" customHeight="1" x14ac:dyDescent="0.25">
      <c r="E812" s="3"/>
      <c r="F812" s="3"/>
      <c r="G812" s="3"/>
      <c r="H812" s="3"/>
      <c r="I812" s="3"/>
      <c r="J812" s="3"/>
    </row>
    <row r="813" spans="5:10" ht="15.75" customHeight="1" x14ac:dyDescent="0.25">
      <c r="E813" s="3"/>
      <c r="F813" s="3"/>
      <c r="G813" s="3"/>
      <c r="H813" s="3"/>
      <c r="I813" s="3"/>
      <c r="J813" s="3"/>
    </row>
    <row r="814" spans="5:10" ht="15.75" customHeight="1" x14ac:dyDescent="0.25">
      <c r="E814" s="3"/>
      <c r="F814" s="3"/>
      <c r="G814" s="3"/>
      <c r="H814" s="3"/>
      <c r="I814" s="3"/>
      <c r="J814" s="3"/>
    </row>
    <row r="815" spans="5:10" ht="15.75" customHeight="1" x14ac:dyDescent="0.25">
      <c r="E815" s="3"/>
      <c r="F815" s="3"/>
      <c r="G815" s="3"/>
      <c r="H815" s="3"/>
      <c r="I815" s="3"/>
      <c r="J815" s="3"/>
    </row>
    <row r="816" spans="5:10" ht="15.75" customHeight="1" x14ac:dyDescent="0.25">
      <c r="E816" s="3"/>
      <c r="F816" s="3"/>
      <c r="G816" s="3"/>
      <c r="H816" s="3"/>
      <c r="I816" s="3"/>
      <c r="J816" s="3"/>
    </row>
    <row r="817" spans="5:10" ht="15.75" customHeight="1" x14ac:dyDescent="0.25">
      <c r="E817" s="3"/>
      <c r="F817" s="3"/>
      <c r="G817" s="3"/>
      <c r="H817" s="3"/>
      <c r="I817" s="3"/>
      <c r="J817" s="3"/>
    </row>
    <row r="818" spans="5:10" ht="15.75" customHeight="1" x14ac:dyDescent="0.25">
      <c r="E818" s="3"/>
      <c r="F818" s="3"/>
      <c r="G818" s="3"/>
      <c r="H818" s="3"/>
      <c r="I818" s="3"/>
      <c r="J818" s="3"/>
    </row>
    <row r="819" spans="5:10" ht="15.75" customHeight="1" x14ac:dyDescent="0.25">
      <c r="E819" s="3"/>
      <c r="F819" s="3"/>
      <c r="G819" s="3"/>
      <c r="H819" s="3"/>
      <c r="I819" s="3"/>
      <c r="J819" s="3"/>
    </row>
    <row r="820" spans="5:10" ht="15.75" customHeight="1" x14ac:dyDescent="0.25">
      <c r="E820" s="3"/>
      <c r="F820" s="3"/>
      <c r="G820" s="3"/>
      <c r="H820" s="3"/>
      <c r="I820" s="3"/>
      <c r="J820" s="3"/>
    </row>
    <row r="821" spans="5:10" ht="15.75" customHeight="1" x14ac:dyDescent="0.25">
      <c r="E821" s="3"/>
      <c r="F821" s="3"/>
      <c r="G821" s="3"/>
      <c r="H821" s="3"/>
      <c r="I821" s="3"/>
      <c r="J821" s="3"/>
    </row>
    <row r="822" spans="5:10" ht="15.75" customHeight="1" x14ac:dyDescent="0.25">
      <c r="E822" s="3"/>
      <c r="F822" s="3"/>
      <c r="G822" s="3"/>
      <c r="H822" s="3"/>
      <c r="I822" s="3"/>
      <c r="J822" s="3"/>
    </row>
    <row r="823" spans="5:10" ht="15.75" customHeight="1" x14ac:dyDescent="0.25">
      <c r="E823" s="3"/>
      <c r="F823" s="3"/>
      <c r="G823" s="3"/>
      <c r="H823" s="3"/>
      <c r="I823" s="3"/>
      <c r="J823" s="3"/>
    </row>
    <row r="824" spans="5:10" ht="15.75" customHeight="1" x14ac:dyDescent="0.25">
      <c r="E824" s="3"/>
      <c r="F824" s="3"/>
      <c r="G824" s="3"/>
      <c r="H824" s="3"/>
      <c r="I824" s="3"/>
      <c r="J824" s="3"/>
    </row>
    <row r="825" spans="5:10" ht="15.75" customHeight="1" x14ac:dyDescent="0.25">
      <c r="E825" s="3"/>
      <c r="F825" s="3"/>
      <c r="G825" s="3"/>
      <c r="H825" s="3"/>
      <c r="I825" s="3"/>
      <c r="J825" s="3"/>
    </row>
    <row r="826" spans="5:10" ht="15.75" customHeight="1" x14ac:dyDescent="0.25">
      <c r="E826" s="3"/>
      <c r="F826" s="3"/>
      <c r="G826" s="3"/>
      <c r="H826" s="3"/>
      <c r="I826" s="3"/>
      <c r="J826" s="3"/>
    </row>
    <row r="827" spans="5:10" ht="15.75" customHeight="1" x14ac:dyDescent="0.25">
      <c r="E827" s="3"/>
      <c r="F827" s="3"/>
      <c r="G827" s="3"/>
      <c r="H827" s="3"/>
      <c r="I827" s="3"/>
      <c r="J827" s="3"/>
    </row>
    <row r="828" spans="5:10" ht="15.75" customHeight="1" x14ac:dyDescent="0.25">
      <c r="E828" s="3"/>
      <c r="F828" s="3"/>
      <c r="G828" s="3"/>
      <c r="H828" s="3"/>
      <c r="I828" s="3"/>
      <c r="J828" s="3"/>
    </row>
    <row r="829" spans="5:10" ht="15.75" customHeight="1" x14ac:dyDescent="0.25">
      <c r="E829" s="3"/>
      <c r="F829" s="3"/>
      <c r="G829" s="3"/>
      <c r="H829" s="3"/>
      <c r="I829" s="3"/>
      <c r="J829" s="3"/>
    </row>
    <row r="830" spans="5:10" ht="15.75" customHeight="1" x14ac:dyDescent="0.25">
      <c r="E830" s="3"/>
      <c r="F830" s="3"/>
      <c r="G830" s="3"/>
      <c r="H830" s="3"/>
      <c r="I830" s="3"/>
      <c r="J830" s="3"/>
    </row>
    <row r="831" spans="5:10" ht="15.75" customHeight="1" x14ac:dyDescent="0.25">
      <c r="E831" s="3"/>
      <c r="F831" s="3"/>
      <c r="G831" s="3"/>
      <c r="H831" s="3"/>
      <c r="I831" s="3"/>
      <c r="J831" s="3"/>
    </row>
    <row r="832" spans="5:10" ht="15.75" customHeight="1" x14ac:dyDescent="0.25">
      <c r="E832" s="3"/>
      <c r="F832" s="3"/>
      <c r="G832" s="3"/>
      <c r="H832" s="3"/>
      <c r="I832" s="3"/>
      <c r="J832" s="3"/>
    </row>
    <row r="833" spans="5:10" ht="15.75" customHeight="1" x14ac:dyDescent="0.25">
      <c r="E833" s="3"/>
      <c r="F833" s="3"/>
      <c r="G833" s="3"/>
      <c r="H833" s="3"/>
      <c r="I833" s="3"/>
      <c r="J833" s="3"/>
    </row>
    <row r="834" spans="5:10" ht="15.75" customHeight="1" x14ac:dyDescent="0.25">
      <c r="E834" s="3"/>
      <c r="F834" s="3"/>
      <c r="G834" s="3"/>
      <c r="H834" s="3"/>
      <c r="I834" s="3"/>
      <c r="J834" s="3"/>
    </row>
    <row r="835" spans="5:10" ht="15.75" customHeight="1" x14ac:dyDescent="0.25">
      <c r="E835" s="3"/>
      <c r="F835" s="3"/>
      <c r="G835" s="3"/>
      <c r="H835" s="3"/>
      <c r="I835" s="3"/>
      <c r="J835" s="3"/>
    </row>
    <row r="836" spans="5:10" ht="15.75" customHeight="1" x14ac:dyDescent="0.25">
      <c r="E836" s="3"/>
      <c r="F836" s="3"/>
      <c r="G836" s="3"/>
      <c r="H836" s="3"/>
      <c r="I836" s="3"/>
      <c r="J836" s="3"/>
    </row>
    <row r="837" spans="5:10" ht="15.75" customHeight="1" x14ac:dyDescent="0.25">
      <c r="E837" s="3"/>
      <c r="F837" s="3"/>
      <c r="G837" s="3"/>
      <c r="H837" s="3"/>
      <c r="I837" s="3"/>
      <c r="J837" s="3"/>
    </row>
    <row r="838" spans="5:10" ht="15.75" customHeight="1" x14ac:dyDescent="0.25">
      <c r="E838" s="3"/>
      <c r="F838" s="3"/>
      <c r="G838" s="3"/>
      <c r="H838" s="3"/>
      <c r="I838" s="3"/>
      <c r="J838" s="3"/>
    </row>
    <row r="839" spans="5:10" ht="15.75" customHeight="1" x14ac:dyDescent="0.25">
      <c r="E839" s="3"/>
      <c r="F839" s="3"/>
      <c r="G839" s="3"/>
      <c r="H839" s="3"/>
      <c r="I839" s="3"/>
      <c r="J839" s="3"/>
    </row>
    <row r="840" spans="5:10" ht="15.75" customHeight="1" x14ac:dyDescent="0.25">
      <c r="E840" s="3"/>
      <c r="F840" s="3"/>
      <c r="G840" s="3"/>
      <c r="H840" s="3"/>
      <c r="I840" s="3"/>
      <c r="J840" s="3"/>
    </row>
    <row r="841" spans="5:10" ht="15.75" customHeight="1" x14ac:dyDescent="0.25">
      <c r="E841" s="3"/>
      <c r="F841" s="3"/>
      <c r="G841" s="3"/>
      <c r="H841" s="3"/>
      <c r="I841" s="3"/>
      <c r="J841" s="3"/>
    </row>
    <row r="842" spans="5:10" ht="15.75" customHeight="1" x14ac:dyDescent="0.25">
      <c r="E842" s="3"/>
      <c r="F842" s="3"/>
      <c r="G842" s="3"/>
      <c r="H842" s="3"/>
      <c r="I842" s="3"/>
      <c r="J842" s="3"/>
    </row>
    <row r="843" spans="5:10" ht="15.75" customHeight="1" x14ac:dyDescent="0.25">
      <c r="E843" s="3"/>
      <c r="F843" s="3"/>
      <c r="G843" s="3"/>
      <c r="H843" s="3"/>
      <c r="I843" s="3"/>
      <c r="J843" s="3"/>
    </row>
    <row r="844" spans="5:10" ht="15.75" customHeight="1" x14ac:dyDescent="0.25">
      <c r="E844" s="3"/>
      <c r="F844" s="3"/>
      <c r="G844" s="3"/>
      <c r="H844" s="3"/>
      <c r="I844" s="3"/>
      <c r="J844" s="3"/>
    </row>
    <row r="845" spans="5:10" ht="15.75" customHeight="1" x14ac:dyDescent="0.25">
      <c r="E845" s="3"/>
      <c r="F845" s="3"/>
      <c r="G845" s="3"/>
      <c r="H845" s="3"/>
      <c r="I845" s="3"/>
      <c r="J845" s="3"/>
    </row>
    <row r="846" spans="5:10" ht="15.75" customHeight="1" x14ac:dyDescent="0.25">
      <c r="E846" s="3"/>
      <c r="F846" s="3"/>
      <c r="G846" s="3"/>
      <c r="H846" s="3"/>
      <c r="I846" s="3"/>
      <c r="J846" s="3"/>
    </row>
    <row r="847" spans="5:10" ht="15.75" customHeight="1" x14ac:dyDescent="0.25">
      <c r="E847" s="3"/>
      <c r="F847" s="3"/>
      <c r="G847" s="3"/>
      <c r="H847" s="3"/>
      <c r="I847" s="3"/>
      <c r="J847" s="3"/>
    </row>
    <row r="848" spans="5:10" ht="15.75" customHeight="1" x14ac:dyDescent="0.25">
      <c r="E848" s="3"/>
      <c r="F848" s="3"/>
      <c r="G848" s="3"/>
      <c r="H848" s="3"/>
      <c r="I848" s="3"/>
      <c r="J848" s="3"/>
    </row>
    <row r="849" spans="5:10" ht="15.75" customHeight="1" x14ac:dyDescent="0.25">
      <c r="E849" s="3"/>
      <c r="F849" s="3"/>
      <c r="G849" s="3"/>
      <c r="H849" s="3"/>
      <c r="I849" s="3"/>
      <c r="J849" s="3"/>
    </row>
    <row r="850" spans="5:10" ht="15.75" customHeight="1" x14ac:dyDescent="0.25">
      <c r="E850" s="3"/>
      <c r="F850" s="3"/>
      <c r="G850" s="3"/>
      <c r="H850" s="3"/>
      <c r="I850" s="3"/>
      <c r="J850" s="3"/>
    </row>
    <row r="851" spans="5:10" ht="15.75" customHeight="1" x14ac:dyDescent="0.25">
      <c r="E851" s="3"/>
      <c r="F851" s="3"/>
      <c r="G851" s="3"/>
      <c r="H851" s="3"/>
      <c r="I851" s="3"/>
      <c r="J851" s="3"/>
    </row>
    <row r="852" spans="5:10" ht="15.75" customHeight="1" x14ac:dyDescent="0.25">
      <c r="E852" s="3"/>
      <c r="F852" s="3"/>
      <c r="G852" s="3"/>
      <c r="H852" s="3"/>
      <c r="I852" s="3"/>
      <c r="J852" s="3"/>
    </row>
    <row r="853" spans="5:10" ht="15.75" customHeight="1" x14ac:dyDescent="0.25">
      <c r="E853" s="3"/>
      <c r="F853" s="3"/>
      <c r="G853" s="3"/>
      <c r="H853" s="3"/>
      <c r="I853" s="3"/>
      <c r="J853" s="3"/>
    </row>
    <row r="854" spans="5:10" ht="15.75" customHeight="1" x14ac:dyDescent="0.25">
      <c r="E854" s="3"/>
      <c r="F854" s="3"/>
      <c r="G854" s="3"/>
      <c r="H854" s="3"/>
      <c r="I854" s="3"/>
      <c r="J854" s="3"/>
    </row>
    <row r="855" spans="5:10" ht="15.75" customHeight="1" x14ac:dyDescent="0.25">
      <c r="E855" s="3"/>
      <c r="F855" s="3"/>
      <c r="G855" s="3"/>
      <c r="H855" s="3"/>
      <c r="I855" s="3"/>
      <c r="J855" s="3"/>
    </row>
    <row r="856" spans="5:10" ht="15.75" customHeight="1" x14ac:dyDescent="0.25">
      <c r="E856" s="3"/>
      <c r="F856" s="3"/>
      <c r="G856" s="3"/>
      <c r="H856" s="3"/>
      <c r="I856" s="3"/>
      <c r="J856" s="3"/>
    </row>
    <row r="857" spans="5:10" ht="15.75" customHeight="1" x14ac:dyDescent="0.25">
      <c r="E857" s="3"/>
      <c r="F857" s="3"/>
      <c r="G857" s="3"/>
      <c r="H857" s="3"/>
      <c r="I857" s="3"/>
      <c r="J857" s="3"/>
    </row>
    <row r="858" spans="5:10" ht="15.75" customHeight="1" x14ac:dyDescent="0.25">
      <c r="E858" s="3"/>
      <c r="F858" s="3"/>
      <c r="G858" s="3"/>
      <c r="H858" s="3"/>
      <c r="I858" s="3"/>
      <c r="J858" s="3"/>
    </row>
    <row r="859" spans="5:10" ht="15.75" customHeight="1" x14ac:dyDescent="0.25">
      <c r="E859" s="3"/>
      <c r="F859" s="3"/>
      <c r="G859" s="3"/>
      <c r="H859" s="3"/>
      <c r="I859" s="3"/>
      <c r="J859" s="3"/>
    </row>
    <row r="860" spans="5:10" ht="15.75" customHeight="1" x14ac:dyDescent="0.25">
      <c r="E860" s="3"/>
      <c r="F860" s="3"/>
      <c r="G860" s="3"/>
      <c r="H860" s="3"/>
      <c r="I860" s="3"/>
      <c r="J860" s="3"/>
    </row>
    <row r="861" spans="5:10" ht="15.75" customHeight="1" x14ac:dyDescent="0.25">
      <c r="E861" s="3"/>
      <c r="F861" s="3"/>
      <c r="G861" s="3"/>
      <c r="H861" s="3"/>
      <c r="I861" s="3"/>
      <c r="J861" s="3"/>
    </row>
    <row r="862" spans="5:10" ht="15.75" customHeight="1" x14ac:dyDescent="0.25">
      <c r="E862" s="3"/>
      <c r="F862" s="3"/>
      <c r="G862" s="3"/>
      <c r="H862" s="3"/>
      <c r="I862" s="3"/>
      <c r="J862" s="3"/>
    </row>
    <row r="863" spans="5:10" ht="15.75" customHeight="1" x14ac:dyDescent="0.25">
      <c r="E863" s="3"/>
      <c r="F863" s="3"/>
      <c r="G863" s="3"/>
      <c r="H863" s="3"/>
      <c r="I863" s="3"/>
      <c r="J863" s="3"/>
    </row>
    <row r="864" spans="5:10" ht="15.75" customHeight="1" x14ac:dyDescent="0.25">
      <c r="E864" s="3"/>
      <c r="F864" s="3"/>
      <c r="G864" s="3"/>
      <c r="H864" s="3"/>
      <c r="I864" s="3"/>
      <c r="J864" s="3"/>
    </row>
    <row r="865" spans="5:10" ht="15.75" customHeight="1" x14ac:dyDescent="0.25">
      <c r="E865" s="3"/>
      <c r="F865" s="3"/>
      <c r="G865" s="3"/>
      <c r="H865" s="3"/>
      <c r="I865" s="3"/>
      <c r="J865" s="3"/>
    </row>
    <row r="866" spans="5:10" ht="15.75" customHeight="1" x14ac:dyDescent="0.25">
      <c r="E866" s="3"/>
      <c r="F866" s="3"/>
      <c r="G866" s="3"/>
      <c r="H866" s="3"/>
      <c r="I866" s="3"/>
      <c r="J866" s="3"/>
    </row>
    <row r="867" spans="5:10" ht="15.75" customHeight="1" x14ac:dyDescent="0.25">
      <c r="E867" s="3"/>
      <c r="F867" s="3"/>
      <c r="G867" s="3"/>
      <c r="H867" s="3"/>
      <c r="I867" s="3"/>
      <c r="J867" s="3"/>
    </row>
    <row r="868" spans="5:10" ht="15.75" customHeight="1" x14ac:dyDescent="0.25">
      <c r="E868" s="3"/>
      <c r="F868" s="3"/>
      <c r="G868" s="3"/>
      <c r="H868" s="3"/>
      <c r="I868" s="3"/>
      <c r="J868" s="3"/>
    </row>
    <row r="869" spans="5:10" ht="15.75" customHeight="1" x14ac:dyDescent="0.25">
      <c r="E869" s="3"/>
      <c r="F869" s="3"/>
      <c r="G869" s="3"/>
      <c r="H869" s="3"/>
      <c r="I869" s="3"/>
      <c r="J869" s="3"/>
    </row>
    <row r="870" spans="5:10" ht="15.75" customHeight="1" x14ac:dyDescent="0.25">
      <c r="E870" s="3"/>
      <c r="F870" s="3"/>
      <c r="G870" s="3"/>
      <c r="H870" s="3"/>
      <c r="I870" s="3"/>
      <c r="J870" s="3"/>
    </row>
    <row r="871" spans="5:10" ht="15.75" customHeight="1" x14ac:dyDescent="0.25">
      <c r="E871" s="3"/>
      <c r="F871" s="3"/>
      <c r="G871" s="3"/>
      <c r="H871" s="3"/>
      <c r="I871" s="3"/>
      <c r="J871" s="3"/>
    </row>
    <row r="872" spans="5:10" ht="15.75" customHeight="1" x14ac:dyDescent="0.25">
      <c r="E872" s="3"/>
      <c r="F872" s="3"/>
      <c r="G872" s="3"/>
      <c r="H872" s="3"/>
      <c r="I872" s="3"/>
      <c r="J872" s="3"/>
    </row>
    <row r="873" spans="5:10" ht="15.75" customHeight="1" x14ac:dyDescent="0.25">
      <c r="E873" s="3"/>
      <c r="F873" s="3"/>
      <c r="G873" s="3"/>
      <c r="H873" s="3"/>
      <c r="I873" s="3"/>
      <c r="J873" s="3"/>
    </row>
    <row r="874" spans="5:10" ht="15.75" customHeight="1" x14ac:dyDescent="0.25">
      <c r="E874" s="3"/>
      <c r="F874" s="3"/>
      <c r="G874" s="3"/>
      <c r="H874" s="3"/>
      <c r="I874" s="3"/>
      <c r="J874" s="3"/>
    </row>
    <row r="875" spans="5:10" ht="15.75" customHeight="1" x14ac:dyDescent="0.25">
      <c r="E875" s="3"/>
      <c r="F875" s="3"/>
      <c r="G875" s="3"/>
      <c r="H875" s="3"/>
      <c r="I875" s="3"/>
      <c r="J875" s="3"/>
    </row>
    <row r="876" spans="5:10" ht="15.75" customHeight="1" x14ac:dyDescent="0.25">
      <c r="E876" s="3"/>
      <c r="F876" s="3"/>
      <c r="G876" s="3"/>
      <c r="H876" s="3"/>
      <c r="I876" s="3"/>
      <c r="J876" s="3"/>
    </row>
    <row r="877" spans="5:10" ht="15.75" customHeight="1" x14ac:dyDescent="0.25">
      <c r="E877" s="3"/>
      <c r="F877" s="3"/>
      <c r="G877" s="3"/>
      <c r="H877" s="3"/>
      <c r="I877" s="3"/>
      <c r="J877" s="3"/>
    </row>
    <row r="878" spans="5:10" ht="15.75" customHeight="1" x14ac:dyDescent="0.25">
      <c r="E878" s="3"/>
      <c r="F878" s="3"/>
      <c r="G878" s="3"/>
      <c r="H878" s="3"/>
      <c r="I878" s="3"/>
      <c r="J878" s="3"/>
    </row>
    <row r="879" spans="5:10" ht="15.75" customHeight="1" x14ac:dyDescent="0.25">
      <c r="E879" s="3"/>
      <c r="F879" s="3"/>
      <c r="G879" s="3"/>
      <c r="H879" s="3"/>
      <c r="I879" s="3"/>
      <c r="J879" s="3"/>
    </row>
    <row r="880" spans="5:10" ht="15.75" customHeight="1" x14ac:dyDescent="0.25">
      <c r="E880" s="3"/>
      <c r="F880" s="3"/>
      <c r="G880" s="3"/>
      <c r="H880" s="3"/>
      <c r="I880" s="3"/>
      <c r="J880" s="3"/>
    </row>
    <row r="881" spans="5:10" ht="15.75" customHeight="1" x14ac:dyDescent="0.25">
      <c r="E881" s="3"/>
      <c r="F881" s="3"/>
      <c r="G881" s="3"/>
      <c r="H881" s="3"/>
      <c r="I881" s="3"/>
      <c r="J881" s="3"/>
    </row>
    <row r="882" spans="5:10" ht="15.75" customHeight="1" x14ac:dyDescent="0.25">
      <c r="E882" s="3"/>
      <c r="F882" s="3"/>
      <c r="G882" s="3"/>
      <c r="H882" s="3"/>
      <c r="I882" s="3"/>
      <c r="J882" s="3"/>
    </row>
    <row r="883" spans="5:10" ht="15.75" customHeight="1" x14ac:dyDescent="0.25">
      <c r="E883" s="3"/>
      <c r="F883" s="3"/>
      <c r="G883" s="3"/>
      <c r="H883" s="3"/>
      <c r="I883" s="3"/>
      <c r="J883" s="3"/>
    </row>
    <row r="884" spans="5:10" ht="15.75" customHeight="1" x14ac:dyDescent="0.25">
      <c r="E884" s="3"/>
      <c r="F884" s="3"/>
      <c r="G884" s="3"/>
      <c r="H884" s="3"/>
      <c r="I884" s="3"/>
      <c r="J884" s="3"/>
    </row>
    <row r="885" spans="5:10" ht="15.75" customHeight="1" x14ac:dyDescent="0.25">
      <c r="E885" s="3"/>
      <c r="F885" s="3"/>
      <c r="G885" s="3"/>
      <c r="H885" s="3"/>
      <c r="I885" s="3"/>
      <c r="J885" s="3"/>
    </row>
    <row r="886" spans="5:10" ht="15.75" customHeight="1" x14ac:dyDescent="0.25">
      <c r="E886" s="3"/>
      <c r="F886" s="3"/>
      <c r="G886" s="3"/>
      <c r="H886" s="3"/>
      <c r="I886" s="3"/>
      <c r="J886" s="3"/>
    </row>
    <row r="887" spans="5:10" ht="15.75" customHeight="1" x14ac:dyDescent="0.25">
      <c r="E887" s="3"/>
      <c r="F887" s="3"/>
      <c r="G887" s="3"/>
      <c r="H887" s="3"/>
      <c r="I887" s="3"/>
      <c r="J887" s="3"/>
    </row>
    <row r="888" spans="5:10" ht="15.75" customHeight="1" x14ac:dyDescent="0.25">
      <c r="E888" s="3"/>
      <c r="F888" s="3"/>
      <c r="G888" s="3"/>
      <c r="H888" s="3"/>
      <c r="I888" s="3"/>
      <c r="J888" s="3"/>
    </row>
    <row r="889" spans="5:10" ht="15.75" customHeight="1" x14ac:dyDescent="0.25">
      <c r="E889" s="3"/>
      <c r="F889" s="3"/>
      <c r="G889" s="3"/>
      <c r="H889" s="3"/>
      <c r="I889" s="3"/>
      <c r="J889" s="3"/>
    </row>
    <row r="890" spans="5:10" ht="15.75" customHeight="1" x14ac:dyDescent="0.25">
      <c r="E890" s="3"/>
      <c r="F890" s="3"/>
      <c r="G890" s="3"/>
      <c r="H890" s="3"/>
      <c r="I890" s="3"/>
      <c r="J890" s="3"/>
    </row>
    <row r="891" spans="5:10" ht="15.75" customHeight="1" x14ac:dyDescent="0.25">
      <c r="E891" s="3"/>
      <c r="F891" s="3"/>
      <c r="G891" s="3"/>
      <c r="H891" s="3"/>
      <c r="I891" s="3"/>
      <c r="J891" s="3"/>
    </row>
    <row r="892" spans="5:10" ht="15.75" customHeight="1" x14ac:dyDescent="0.25">
      <c r="E892" s="3"/>
      <c r="F892" s="3"/>
      <c r="G892" s="3"/>
      <c r="H892" s="3"/>
      <c r="I892" s="3"/>
      <c r="J892" s="3"/>
    </row>
    <row r="893" spans="5:10" ht="15.75" customHeight="1" x14ac:dyDescent="0.25">
      <c r="E893" s="3"/>
      <c r="F893" s="3"/>
      <c r="G893" s="3"/>
      <c r="H893" s="3"/>
      <c r="I893" s="3"/>
      <c r="J893" s="3"/>
    </row>
    <row r="894" spans="5:10" ht="15.75" customHeight="1" x14ac:dyDescent="0.25">
      <c r="E894" s="3"/>
      <c r="F894" s="3"/>
      <c r="G894" s="3"/>
      <c r="H894" s="3"/>
      <c r="I894" s="3"/>
      <c r="J894" s="3"/>
    </row>
    <row r="895" spans="5:10" ht="15.75" customHeight="1" x14ac:dyDescent="0.25">
      <c r="E895" s="3"/>
      <c r="F895" s="3"/>
      <c r="G895" s="3"/>
      <c r="H895" s="3"/>
      <c r="I895" s="3"/>
      <c r="J895" s="3"/>
    </row>
    <row r="896" spans="5:10" ht="15.75" customHeight="1" x14ac:dyDescent="0.25">
      <c r="E896" s="3"/>
      <c r="F896" s="3"/>
      <c r="G896" s="3"/>
      <c r="H896" s="3"/>
      <c r="I896" s="3"/>
      <c r="J896" s="3"/>
    </row>
    <row r="897" spans="5:10" ht="15.75" customHeight="1" x14ac:dyDescent="0.25">
      <c r="E897" s="3"/>
      <c r="F897" s="3"/>
      <c r="G897" s="3"/>
      <c r="H897" s="3"/>
      <c r="I897" s="3"/>
      <c r="J897" s="3"/>
    </row>
    <row r="898" spans="5:10" ht="15.75" customHeight="1" x14ac:dyDescent="0.25">
      <c r="E898" s="3"/>
      <c r="F898" s="3"/>
      <c r="G898" s="3"/>
      <c r="H898" s="3"/>
      <c r="I898" s="3"/>
      <c r="J898" s="3"/>
    </row>
    <row r="899" spans="5:10" ht="15.75" customHeight="1" x14ac:dyDescent="0.25">
      <c r="E899" s="3"/>
      <c r="F899" s="3"/>
      <c r="G899" s="3"/>
      <c r="H899" s="3"/>
      <c r="I899" s="3"/>
      <c r="J899" s="3"/>
    </row>
    <row r="900" spans="5:10" ht="15.75" customHeight="1" x14ac:dyDescent="0.25">
      <c r="E900" s="3"/>
      <c r="F900" s="3"/>
      <c r="G900" s="3"/>
      <c r="H900" s="3"/>
      <c r="I900" s="3"/>
      <c r="J900" s="3"/>
    </row>
    <row r="901" spans="5:10" ht="15.75" customHeight="1" x14ac:dyDescent="0.25">
      <c r="E901" s="3"/>
      <c r="F901" s="3"/>
      <c r="G901" s="3"/>
      <c r="H901" s="3"/>
      <c r="I901" s="3"/>
      <c r="J901" s="3"/>
    </row>
    <row r="902" spans="5:10" ht="15.75" customHeight="1" x14ac:dyDescent="0.25">
      <c r="E902" s="3"/>
      <c r="F902" s="3"/>
      <c r="G902" s="3"/>
      <c r="H902" s="3"/>
      <c r="I902" s="3"/>
      <c r="J902" s="3"/>
    </row>
    <row r="903" spans="5:10" ht="15.75" customHeight="1" x14ac:dyDescent="0.25">
      <c r="E903" s="3"/>
      <c r="F903" s="3"/>
      <c r="G903" s="3"/>
      <c r="H903" s="3"/>
      <c r="I903" s="3"/>
      <c r="J903" s="3"/>
    </row>
    <row r="904" spans="5:10" ht="15.75" customHeight="1" x14ac:dyDescent="0.25">
      <c r="E904" s="3"/>
      <c r="F904" s="3"/>
      <c r="G904" s="3"/>
      <c r="H904" s="3"/>
      <c r="I904" s="3"/>
      <c r="J904" s="3"/>
    </row>
    <row r="905" spans="5:10" ht="15.75" customHeight="1" x14ac:dyDescent="0.25">
      <c r="E905" s="3"/>
      <c r="F905" s="3"/>
      <c r="G905" s="3"/>
      <c r="H905" s="3"/>
      <c r="I905" s="3"/>
      <c r="J905" s="3"/>
    </row>
    <row r="906" spans="5:10" ht="15.75" customHeight="1" x14ac:dyDescent="0.25">
      <c r="E906" s="3"/>
      <c r="F906" s="3"/>
      <c r="G906" s="3"/>
      <c r="H906" s="3"/>
      <c r="I906" s="3"/>
      <c r="J906" s="3"/>
    </row>
    <row r="907" spans="5:10" ht="15.75" customHeight="1" x14ac:dyDescent="0.25">
      <c r="E907" s="3"/>
      <c r="F907" s="3"/>
      <c r="G907" s="3"/>
      <c r="H907" s="3"/>
      <c r="I907" s="3"/>
      <c r="J907" s="3"/>
    </row>
    <row r="908" spans="5:10" ht="15.75" customHeight="1" x14ac:dyDescent="0.25">
      <c r="E908" s="3"/>
      <c r="F908" s="3"/>
      <c r="G908" s="3"/>
      <c r="H908" s="3"/>
      <c r="I908" s="3"/>
      <c r="J908" s="3"/>
    </row>
    <row r="909" spans="5:10" ht="15.75" customHeight="1" x14ac:dyDescent="0.25">
      <c r="E909" s="3"/>
      <c r="F909" s="3"/>
      <c r="G909" s="3"/>
      <c r="H909" s="3"/>
      <c r="I909" s="3"/>
      <c r="J909" s="3"/>
    </row>
    <row r="910" spans="5:10" ht="15.75" customHeight="1" x14ac:dyDescent="0.25">
      <c r="E910" s="3"/>
      <c r="F910" s="3"/>
      <c r="G910" s="3"/>
      <c r="H910" s="3"/>
      <c r="I910" s="3"/>
      <c r="J910" s="3"/>
    </row>
    <row r="911" spans="5:10" ht="15.75" customHeight="1" x14ac:dyDescent="0.25">
      <c r="E911" s="3"/>
      <c r="F911" s="3"/>
      <c r="G911" s="3"/>
      <c r="H911" s="3"/>
      <c r="I911" s="3"/>
      <c r="J911" s="3"/>
    </row>
    <row r="912" spans="5:10" ht="15.75" customHeight="1" x14ac:dyDescent="0.25">
      <c r="E912" s="3"/>
      <c r="F912" s="3"/>
      <c r="G912" s="3"/>
      <c r="H912" s="3"/>
      <c r="I912" s="3"/>
      <c r="J912" s="3"/>
    </row>
    <row r="913" spans="5:10" ht="15.75" customHeight="1" x14ac:dyDescent="0.25">
      <c r="E913" s="3"/>
      <c r="F913" s="3"/>
      <c r="G913" s="3"/>
      <c r="H913" s="3"/>
      <c r="I913" s="3"/>
      <c r="J913" s="3"/>
    </row>
    <row r="914" spans="5:10" ht="15.75" customHeight="1" x14ac:dyDescent="0.25">
      <c r="E914" s="3"/>
      <c r="F914" s="3"/>
      <c r="G914" s="3"/>
      <c r="H914" s="3"/>
      <c r="I914" s="3"/>
      <c r="J914" s="3"/>
    </row>
    <row r="915" spans="5:10" ht="15.75" customHeight="1" x14ac:dyDescent="0.25">
      <c r="E915" s="3"/>
      <c r="F915" s="3"/>
      <c r="G915" s="3"/>
      <c r="H915" s="3"/>
      <c r="I915" s="3"/>
      <c r="J915" s="3"/>
    </row>
    <row r="916" spans="5:10" ht="15.75" customHeight="1" x14ac:dyDescent="0.25">
      <c r="E916" s="3"/>
      <c r="F916" s="3"/>
      <c r="G916" s="3"/>
      <c r="H916" s="3"/>
      <c r="I916" s="3"/>
      <c r="J916" s="3"/>
    </row>
    <row r="917" spans="5:10" ht="15.75" customHeight="1" x14ac:dyDescent="0.25">
      <c r="E917" s="3"/>
      <c r="F917" s="3"/>
      <c r="G917" s="3"/>
      <c r="H917" s="3"/>
      <c r="I917" s="3"/>
      <c r="J917" s="3"/>
    </row>
    <row r="918" spans="5:10" ht="15.75" customHeight="1" x14ac:dyDescent="0.25">
      <c r="E918" s="3"/>
      <c r="F918" s="3"/>
      <c r="G918" s="3"/>
      <c r="H918" s="3"/>
      <c r="I918" s="3"/>
      <c r="J918" s="3"/>
    </row>
    <row r="919" spans="5:10" ht="15.75" customHeight="1" x14ac:dyDescent="0.25">
      <c r="E919" s="3"/>
      <c r="F919" s="3"/>
      <c r="G919" s="3"/>
      <c r="H919" s="3"/>
      <c r="I919" s="3"/>
      <c r="J919" s="3"/>
    </row>
    <row r="920" spans="5:10" ht="15.75" customHeight="1" x14ac:dyDescent="0.25">
      <c r="E920" s="3"/>
      <c r="F920" s="3"/>
      <c r="G920" s="3"/>
      <c r="H920" s="3"/>
      <c r="I920" s="3"/>
      <c r="J920" s="3"/>
    </row>
    <row r="921" spans="5:10" ht="15.75" customHeight="1" x14ac:dyDescent="0.25">
      <c r="E921" s="3"/>
      <c r="F921" s="3"/>
      <c r="G921" s="3"/>
      <c r="H921" s="3"/>
      <c r="I921" s="3"/>
      <c r="J921" s="3"/>
    </row>
    <row r="922" spans="5:10" ht="15.75" customHeight="1" x14ac:dyDescent="0.25">
      <c r="E922" s="3"/>
      <c r="F922" s="3"/>
      <c r="G922" s="3"/>
      <c r="H922" s="3"/>
      <c r="I922" s="3"/>
      <c r="J922" s="3"/>
    </row>
    <row r="923" spans="5:10" ht="15.75" customHeight="1" x14ac:dyDescent="0.25">
      <c r="E923" s="3"/>
      <c r="F923" s="3"/>
      <c r="G923" s="3"/>
      <c r="H923" s="3"/>
      <c r="I923" s="3"/>
      <c r="J923" s="3"/>
    </row>
    <row r="924" spans="5:10" ht="15.75" customHeight="1" x14ac:dyDescent="0.25">
      <c r="E924" s="3"/>
      <c r="F924" s="3"/>
      <c r="G924" s="3"/>
      <c r="H924" s="3"/>
      <c r="I924" s="3"/>
      <c r="J924" s="3"/>
    </row>
    <row r="925" spans="5:10" ht="15.75" customHeight="1" x14ac:dyDescent="0.25">
      <c r="E925" s="3"/>
      <c r="F925" s="3"/>
      <c r="G925" s="3"/>
      <c r="H925" s="3"/>
      <c r="I925" s="3"/>
      <c r="J925" s="3"/>
    </row>
    <row r="926" spans="5:10" ht="15.75" customHeight="1" x14ac:dyDescent="0.25">
      <c r="E926" s="3"/>
      <c r="F926" s="3"/>
      <c r="G926" s="3"/>
      <c r="H926" s="3"/>
      <c r="I926" s="3"/>
      <c r="J926" s="3"/>
    </row>
    <row r="927" spans="5:10" ht="15.75" customHeight="1" x14ac:dyDescent="0.25">
      <c r="E927" s="3"/>
      <c r="F927" s="3"/>
      <c r="G927" s="3"/>
      <c r="H927" s="3"/>
      <c r="I927" s="3"/>
      <c r="J927" s="3"/>
    </row>
    <row r="928" spans="5:10" ht="15.75" customHeight="1" x14ac:dyDescent="0.25">
      <c r="E928" s="3"/>
      <c r="F928" s="3"/>
      <c r="G928" s="3"/>
      <c r="H928" s="3"/>
      <c r="I928" s="3"/>
      <c r="J928" s="3"/>
    </row>
    <row r="929" spans="5:10" ht="15.75" customHeight="1" x14ac:dyDescent="0.25">
      <c r="E929" s="3"/>
      <c r="F929" s="3"/>
      <c r="G929" s="3"/>
      <c r="H929" s="3"/>
      <c r="I929" s="3"/>
      <c r="J929" s="3"/>
    </row>
    <row r="930" spans="5:10" ht="15.75" customHeight="1" x14ac:dyDescent="0.25">
      <c r="E930" s="3"/>
      <c r="F930" s="3"/>
      <c r="G930" s="3"/>
      <c r="H930" s="3"/>
      <c r="I930" s="3"/>
      <c r="J930" s="3"/>
    </row>
    <row r="931" spans="5:10" ht="15.75" customHeight="1" x14ac:dyDescent="0.25">
      <c r="E931" s="3"/>
      <c r="F931" s="3"/>
      <c r="G931" s="3"/>
      <c r="H931" s="3"/>
      <c r="I931" s="3"/>
      <c r="J931" s="3"/>
    </row>
    <row r="932" spans="5:10" ht="15.75" customHeight="1" x14ac:dyDescent="0.25">
      <c r="E932" s="3"/>
      <c r="F932" s="3"/>
      <c r="G932" s="3"/>
      <c r="H932" s="3"/>
      <c r="I932" s="3"/>
      <c r="J932" s="3"/>
    </row>
    <row r="933" spans="5:10" ht="15.75" customHeight="1" x14ac:dyDescent="0.25">
      <c r="E933" s="3"/>
      <c r="F933" s="3"/>
      <c r="G933" s="3"/>
      <c r="H933" s="3"/>
      <c r="I933" s="3"/>
      <c r="J933" s="3"/>
    </row>
    <row r="934" spans="5:10" ht="15.75" customHeight="1" x14ac:dyDescent="0.25">
      <c r="E934" s="3"/>
      <c r="F934" s="3"/>
      <c r="G934" s="3"/>
      <c r="H934" s="3"/>
      <c r="I934" s="3"/>
      <c r="J934" s="3"/>
    </row>
    <row r="935" spans="5:10" ht="15.75" customHeight="1" x14ac:dyDescent="0.25">
      <c r="E935" s="3"/>
      <c r="F935" s="3"/>
      <c r="G935" s="3"/>
      <c r="H935" s="3"/>
      <c r="I935" s="3"/>
      <c r="J935" s="3"/>
    </row>
    <row r="936" spans="5:10" ht="15.75" customHeight="1" x14ac:dyDescent="0.25">
      <c r="E936" s="3"/>
      <c r="F936" s="3"/>
      <c r="G936" s="3"/>
      <c r="H936" s="3"/>
      <c r="I936" s="3"/>
      <c r="J936" s="3"/>
    </row>
    <row r="937" spans="5:10" ht="15.75" customHeight="1" x14ac:dyDescent="0.25">
      <c r="E937" s="3"/>
      <c r="F937" s="3"/>
      <c r="G937" s="3"/>
      <c r="H937" s="3"/>
      <c r="I937" s="3"/>
      <c r="J937" s="3"/>
    </row>
    <row r="938" spans="5:10" ht="15.75" customHeight="1" x14ac:dyDescent="0.25">
      <c r="E938" s="3"/>
      <c r="F938" s="3"/>
      <c r="G938" s="3"/>
      <c r="H938" s="3"/>
      <c r="I938" s="3"/>
      <c r="J938" s="3"/>
    </row>
    <row r="939" spans="5:10" ht="15.75" customHeight="1" x14ac:dyDescent="0.25">
      <c r="E939" s="3"/>
      <c r="F939" s="3"/>
      <c r="G939" s="3"/>
      <c r="H939" s="3"/>
      <c r="I939" s="3"/>
      <c r="J939" s="3"/>
    </row>
    <row r="940" spans="5:10" ht="15.75" customHeight="1" x14ac:dyDescent="0.25">
      <c r="E940" s="3"/>
      <c r="F940" s="3"/>
      <c r="G940" s="3"/>
      <c r="H940" s="3"/>
      <c r="I940" s="3"/>
      <c r="J940" s="3"/>
    </row>
    <row r="941" spans="5:10" ht="15.75" customHeight="1" x14ac:dyDescent="0.25">
      <c r="E941" s="3"/>
      <c r="F941" s="3"/>
      <c r="G941" s="3"/>
      <c r="H941" s="3"/>
      <c r="I941" s="3"/>
      <c r="J941" s="3"/>
    </row>
    <row r="942" spans="5:10" ht="15.75" customHeight="1" x14ac:dyDescent="0.25">
      <c r="E942" s="3"/>
      <c r="F942" s="3"/>
      <c r="G942" s="3"/>
      <c r="H942" s="3"/>
      <c r="I942" s="3"/>
      <c r="J942" s="3"/>
    </row>
    <row r="943" spans="5:10" ht="15.75" customHeight="1" x14ac:dyDescent="0.25">
      <c r="E943" s="3"/>
      <c r="F943" s="3"/>
      <c r="G943" s="3"/>
      <c r="H943" s="3"/>
      <c r="I943" s="3"/>
      <c r="J943" s="3"/>
    </row>
    <row r="944" spans="5:10" ht="15.75" customHeight="1" x14ac:dyDescent="0.25">
      <c r="E944" s="3"/>
      <c r="F944" s="3"/>
      <c r="G944" s="3"/>
      <c r="H944" s="3"/>
      <c r="I944" s="3"/>
      <c r="J944" s="3"/>
    </row>
    <row r="945" spans="5:10" ht="15.75" customHeight="1" x14ac:dyDescent="0.25">
      <c r="E945" s="3"/>
      <c r="F945" s="3"/>
      <c r="G945" s="3"/>
      <c r="H945" s="3"/>
      <c r="I945" s="3"/>
      <c r="J945" s="3"/>
    </row>
    <row r="946" spans="5:10" ht="15.75" customHeight="1" x14ac:dyDescent="0.25">
      <c r="E946" s="3"/>
      <c r="F946" s="3"/>
      <c r="G946" s="3"/>
      <c r="H946" s="3"/>
      <c r="I946" s="3"/>
      <c r="J946" s="3"/>
    </row>
    <row r="947" spans="5:10" ht="15.75" customHeight="1" x14ac:dyDescent="0.25">
      <c r="E947" s="3"/>
      <c r="F947" s="3"/>
      <c r="G947" s="3"/>
      <c r="H947" s="3"/>
      <c r="I947" s="3"/>
      <c r="J947" s="3"/>
    </row>
    <row r="948" spans="5:10" ht="15.75" customHeight="1" x14ac:dyDescent="0.25">
      <c r="E948" s="3"/>
      <c r="F948" s="3"/>
      <c r="G948" s="3"/>
      <c r="H948" s="3"/>
      <c r="I948" s="3"/>
      <c r="J948" s="3"/>
    </row>
    <row r="949" spans="5:10" ht="15.75" customHeight="1" x14ac:dyDescent="0.25">
      <c r="E949" s="3"/>
      <c r="F949" s="3"/>
      <c r="G949" s="3"/>
      <c r="H949" s="3"/>
      <c r="I949" s="3"/>
      <c r="J949" s="3"/>
    </row>
    <row r="950" spans="5:10" ht="15.75" customHeight="1" x14ac:dyDescent="0.25">
      <c r="E950" s="3"/>
      <c r="F950" s="3"/>
      <c r="G950" s="3"/>
      <c r="H950" s="3"/>
      <c r="I950" s="3"/>
      <c r="J950" s="3"/>
    </row>
    <row r="951" spans="5:10" ht="15.75" customHeight="1" x14ac:dyDescent="0.25">
      <c r="E951" s="3"/>
      <c r="F951" s="3"/>
      <c r="G951" s="3"/>
      <c r="H951" s="3"/>
      <c r="I951" s="3"/>
      <c r="J951" s="3"/>
    </row>
    <row r="952" spans="5:10" ht="15.75" customHeight="1" x14ac:dyDescent="0.25">
      <c r="E952" s="3"/>
      <c r="F952" s="3"/>
      <c r="G952" s="3"/>
      <c r="H952" s="3"/>
      <c r="I952" s="3"/>
      <c r="J952" s="3"/>
    </row>
    <row r="953" spans="5:10" ht="15.75" customHeight="1" x14ac:dyDescent="0.25">
      <c r="E953" s="3"/>
      <c r="F953" s="3"/>
      <c r="G953" s="3"/>
      <c r="H953" s="3"/>
      <c r="I953" s="3"/>
      <c r="J953" s="3"/>
    </row>
    <row r="954" spans="5:10" ht="15.75" customHeight="1" x14ac:dyDescent="0.25">
      <c r="E954" s="3"/>
      <c r="F954" s="3"/>
      <c r="G954" s="3"/>
      <c r="H954" s="3"/>
      <c r="I954" s="3"/>
      <c r="J954" s="3"/>
    </row>
    <row r="955" spans="5:10" ht="15.75" customHeight="1" x14ac:dyDescent="0.25">
      <c r="E955" s="3"/>
      <c r="F955" s="3"/>
      <c r="G955" s="3"/>
      <c r="H955" s="3"/>
      <c r="I955" s="3"/>
      <c r="J955" s="3"/>
    </row>
    <row r="956" spans="5:10" ht="15.75" customHeight="1" x14ac:dyDescent="0.25">
      <c r="E956" s="3"/>
      <c r="F956" s="3"/>
      <c r="G956" s="3"/>
      <c r="H956" s="3"/>
      <c r="I956" s="3"/>
      <c r="J956" s="3"/>
    </row>
    <row r="957" spans="5:10" ht="15.75" customHeight="1" x14ac:dyDescent="0.25">
      <c r="E957" s="3"/>
      <c r="F957" s="3"/>
      <c r="G957" s="3"/>
      <c r="H957" s="3"/>
      <c r="I957" s="3"/>
      <c r="J957" s="3"/>
    </row>
    <row r="958" spans="5:10" ht="15.75" customHeight="1" x14ac:dyDescent="0.25">
      <c r="E958" s="3"/>
      <c r="F958" s="3"/>
      <c r="G958" s="3"/>
      <c r="H958" s="3"/>
      <c r="I958" s="3"/>
      <c r="J958" s="3"/>
    </row>
    <row r="959" spans="5:10" ht="15.75" customHeight="1" x14ac:dyDescent="0.25">
      <c r="E959" s="3"/>
      <c r="F959" s="3"/>
      <c r="G959" s="3"/>
      <c r="H959" s="3"/>
      <c r="I959" s="3"/>
      <c r="J959" s="3"/>
    </row>
    <row r="960" spans="5:10" ht="15.75" customHeight="1" x14ac:dyDescent="0.25">
      <c r="E960" s="3"/>
      <c r="F960" s="3"/>
      <c r="G960" s="3"/>
      <c r="H960" s="3"/>
      <c r="I960" s="3"/>
      <c r="J960" s="3"/>
    </row>
    <row r="961" spans="5:10" ht="15.75" customHeight="1" x14ac:dyDescent="0.25">
      <c r="E961" s="3"/>
      <c r="F961" s="3"/>
      <c r="G961" s="3"/>
      <c r="H961" s="3"/>
      <c r="I961" s="3"/>
      <c r="J961" s="3"/>
    </row>
    <row r="962" spans="5:10" ht="15.75" customHeight="1" x14ac:dyDescent="0.25">
      <c r="E962" s="3"/>
      <c r="F962" s="3"/>
      <c r="G962" s="3"/>
      <c r="H962" s="3"/>
      <c r="I962" s="3"/>
      <c r="J962" s="3"/>
    </row>
    <row r="963" spans="5:10" ht="15.75" customHeight="1" x14ac:dyDescent="0.25">
      <c r="E963" s="3"/>
      <c r="F963" s="3"/>
      <c r="G963" s="3"/>
      <c r="H963" s="3"/>
      <c r="I963" s="3"/>
      <c r="J963" s="3"/>
    </row>
    <row r="964" spans="5:10" ht="15.75" customHeight="1" x14ac:dyDescent="0.25">
      <c r="E964" s="3"/>
      <c r="F964" s="3"/>
      <c r="G964" s="3"/>
      <c r="H964" s="3"/>
      <c r="I964" s="3"/>
      <c r="J964" s="3"/>
    </row>
    <row r="965" spans="5:10" ht="15.75" customHeight="1" x14ac:dyDescent="0.25">
      <c r="E965" s="3"/>
      <c r="F965" s="3"/>
      <c r="G965" s="3"/>
      <c r="H965" s="3"/>
      <c r="I965" s="3"/>
      <c r="J965" s="3"/>
    </row>
    <row r="966" spans="5:10" ht="15.75" customHeight="1" x14ac:dyDescent="0.25">
      <c r="E966" s="3"/>
      <c r="F966" s="3"/>
      <c r="G966" s="3"/>
      <c r="H966" s="3"/>
      <c r="I966" s="3"/>
      <c r="J966" s="3"/>
    </row>
    <row r="967" spans="5:10" ht="15.75" customHeight="1" x14ac:dyDescent="0.25">
      <c r="E967" s="3"/>
      <c r="F967" s="3"/>
      <c r="G967" s="3"/>
      <c r="H967" s="3"/>
      <c r="I967" s="3"/>
      <c r="J967" s="3"/>
    </row>
    <row r="968" spans="5:10" ht="15.75" customHeight="1" x14ac:dyDescent="0.25">
      <c r="E968" s="3"/>
      <c r="F968" s="3"/>
      <c r="G968" s="3"/>
      <c r="H968" s="3"/>
      <c r="I968" s="3"/>
      <c r="J968" s="3"/>
    </row>
    <row r="969" spans="5:10" ht="15.75" customHeight="1" x14ac:dyDescent="0.25">
      <c r="E969" s="3"/>
      <c r="F969" s="3"/>
      <c r="G969" s="3"/>
      <c r="H969" s="3"/>
      <c r="I969" s="3"/>
      <c r="J969" s="3"/>
    </row>
    <row r="970" spans="5:10" ht="15.75" customHeight="1" x14ac:dyDescent="0.25">
      <c r="E970" s="3"/>
      <c r="F970" s="3"/>
      <c r="G970" s="3"/>
      <c r="H970" s="3"/>
      <c r="I970" s="3"/>
      <c r="J970" s="3"/>
    </row>
    <row r="971" spans="5:10" ht="15.75" customHeight="1" x14ac:dyDescent="0.25">
      <c r="E971" s="3"/>
      <c r="F971" s="3"/>
      <c r="G971" s="3"/>
      <c r="H971" s="3"/>
      <c r="I971" s="3"/>
      <c r="J971" s="3"/>
    </row>
    <row r="972" spans="5:10" ht="15.75" customHeight="1" x14ac:dyDescent="0.25">
      <c r="E972" s="3"/>
      <c r="F972" s="3"/>
      <c r="G972" s="3"/>
      <c r="H972" s="3"/>
      <c r="I972" s="3"/>
      <c r="J972" s="3"/>
    </row>
    <row r="973" spans="5:10" ht="15.75" customHeight="1" x14ac:dyDescent="0.25">
      <c r="E973" s="3"/>
      <c r="F973" s="3"/>
      <c r="G973" s="3"/>
      <c r="H973" s="3"/>
      <c r="I973" s="3"/>
      <c r="J973" s="3"/>
    </row>
    <row r="974" spans="5:10" ht="15.75" customHeight="1" x14ac:dyDescent="0.25">
      <c r="E974" s="3"/>
      <c r="F974" s="3"/>
      <c r="G974" s="3"/>
      <c r="H974" s="3"/>
      <c r="I974" s="3"/>
      <c r="J974" s="3"/>
    </row>
    <row r="975" spans="5:10" ht="15.75" customHeight="1" x14ac:dyDescent="0.25">
      <c r="E975" s="3"/>
      <c r="F975" s="3"/>
      <c r="G975" s="3"/>
      <c r="H975" s="3"/>
      <c r="I975" s="3"/>
      <c r="J975" s="3"/>
    </row>
    <row r="976" spans="5:10" ht="15.75" customHeight="1" x14ac:dyDescent="0.25">
      <c r="E976" s="3"/>
      <c r="F976" s="3"/>
      <c r="G976" s="3"/>
      <c r="H976" s="3"/>
      <c r="I976" s="3"/>
      <c r="J976" s="3"/>
    </row>
    <row r="977" spans="5:10" ht="15.75" customHeight="1" x14ac:dyDescent="0.25">
      <c r="E977" s="3"/>
      <c r="F977" s="3"/>
      <c r="G977" s="3"/>
      <c r="H977" s="3"/>
      <c r="I977" s="3"/>
      <c r="J977" s="3"/>
    </row>
    <row r="978" spans="5:10" ht="15.75" customHeight="1" x14ac:dyDescent="0.25">
      <c r="E978" s="3"/>
      <c r="F978" s="3"/>
      <c r="G978" s="3"/>
      <c r="H978" s="3"/>
      <c r="I978" s="3"/>
      <c r="J978" s="3"/>
    </row>
    <row r="979" spans="5:10" ht="15.75" customHeight="1" x14ac:dyDescent="0.25">
      <c r="E979" s="3"/>
      <c r="F979" s="3"/>
      <c r="G979" s="3"/>
      <c r="H979" s="3"/>
      <c r="I979" s="3"/>
      <c r="J979" s="3"/>
    </row>
    <row r="980" spans="5:10" ht="15.75" customHeight="1" x14ac:dyDescent="0.25">
      <c r="E980" s="3"/>
      <c r="F980" s="3"/>
      <c r="G980" s="3"/>
      <c r="H980" s="3"/>
      <c r="I980" s="3"/>
      <c r="J980" s="3"/>
    </row>
    <row r="981" spans="5:10" ht="15.75" customHeight="1" x14ac:dyDescent="0.25">
      <c r="E981" s="3"/>
      <c r="F981" s="3"/>
      <c r="G981" s="3"/>
      <c r="H981" s="3"/>
      <c r="I981" s="3"/>
      <c r="J981" s="3"/>
    </row>
    <row r="982" spans="5:10" ht="15.75" customHeight="1" x14ac:dyDescent="0.25">
      <c r="E982" s="3"/>
      <c r="F982" s="3"/>
      <c r="G982" s="3"/>
      <c r="H982" s="3"/>
      <c r="I982" s="3"/>
      <c r="J982" s="3"/>
    </row>
    <row r="983" spans="5:10" ht="15.75" customHeight="1" x14ac:dyDescent="0.25">
      <c r="E983" s="3"/>
      <c r="F983" s="3"/>
      <c r="G983" s="3"/>
      <c r="H983" s="3"/>
      <c r="I983" s="3"/>
      <c r="J983" s="3"/>
    </row>
    <row r="984" spans="5:10" ht="15.75" customHeight="1" x14ac:dyDescent="0.25">
      <c r="E984" s="3"/>
      <c r="F984" s="3"/>
      <c r="G984" s="3"/>
      <c r="H984" s="3"/>
      <c r="I984" s="3"/>
      <c r="J984" s="3"/>
    </row>
    <row r="985" spans="5:10" ht="15.75" customHeight="1" x14ac:dyDescent="0.25">
      <c r="E985" s="3"/>
      <c r="F985" s="3"/>
      <c r="G985" s="3"/>
      <c r="H985" s="3"/>
      <c r="I985" s="3"/>
      <c r="J985" s="3"/>
    </row>
    <row r="986" spans="5:10" ht="15.75" customHeight="1" x14ac:dyDescent="0.25">
      <c r="E986" s="3"/>
      <c r="F986" s="3"/>
      <c r="G986" s="3"/>
      <c r="H986" s="3"/>
      <c r="I986" s="3"/>
      <c r="J986" s="3"/>
    </row>
    <row r="987" spans="5:10" ht="15.75" customHeight="1" x14ac:dyDescent="0.25">
      <c r="E987" s="3"/>
      <c r="F987" s="3"/>
      <c r="G987" s="3"/>
      <c r="H987" s="3"/>
      <c r="I987" s="3"/>
      <c r="J987" s="3"/>
    </row>
    <row r="988" spans="5:10" ht="15.75" customHeight="1" x14ac:dyDescent="0.25">
      <c r="E988" s="3"/>
      <c r="F988" s="3"/>
      <c r="G988" s="3"/>
      <c r="H988" s="3"/>
      <c r="I988" s="3"/>
      <c r="J988" s="3"/>
    </row>
    <row r="989" spans="5:10" ht="15.75" customHeight="1" x14ac:dyDescent="0.25">
      <c r="E989" s="3"/>
      <c r="F989" s="3"/>
      <c r="G989" s="3"/>
      <c r="H989" s="3"/>
      <c r="I989" s="3"/>
      <c r="J989" s="3"/>
    </row>
    <row r="990" spans="5:10" ht="15.75" customHeight="1" x14ac:dyDescent="0.25">
      <c r="E990" s="3"/>
      <c r="F990" s="3"/>
      <c r="G990" s="3"/>
      <c r="H990" s="3"/>
      <c r="I990" s="3"/>
      <c r="J990" s="3"/>
    </row>
    <row r="991" spans="5:10" ht="15.75" customHeight="1" x14ac:dyDescent="0.25">
      <c r="E991" s="3"/>
      <c r="F991" s="3"/>
      <c r="G991" s="3"/>
      <c r="H991" s="3"/>
      <c r="I991" s="3"/>
      <c r="J991" s="3"/>
    </row>
    <row r="992" spans="5:10" ht="15.75" customHeight="1" x14ac:dyDescent="0.25">
      <c r="E992" s="3"/>
      <c r="F992" s="3"/>
      <c r="G992" s="3"/>
      <c r="H992" s="3"/>
      <c r="I992" s="3"/>
      <c r="J992" s="3"/>
    </row>
    <row r="993" spans="5:10" ht="15.75" customHeight="1" x14ac:dyDescent="0.25">
      <c r="E993" s="3"/>
      <c r="F993" s="3"/>
      <c r="G993" s="3"/>
      <c r="H993" s="3"/>
      <c r="I993" s="3"/>
      <c r="J993" s="3"/>
    </row>
    <row r="994" spans="5:10" ht="15.75" customHeight="1" x14ac:dyDescent="0.25">
      <c r="E994" s="3"/>
      <c r="F994" s="3"/>
      <c r="G994" s="3"/>
      <c r="H994" s="3"/>
      <c r="I994" s="3"/>
      <c r="J994" s="3"/>
    </row>
    <row r="995" spans="5:10" ht="15.75" customHeight="1" x14ac:dyDescent="0.25">
      <c r="E995" s="3"/>
      <c r="F995" s="3"/>
      <c r="G995" s="3"/>
      <c r="H995" s="3"/>
      <c r="I995" s="3"/>
      <c r="J995" s="3"/>
    </row>
    <row r="996" spans="5:10" ht="15.75" customHeight="1" x14ac:dyDescent="0.25">
      <c r="E996" s="3"/>
      <c r="F996" s="3"/>
      <c r="G996" s="3"/>
      <c r="H996" s="3"/>
      <c r="I996" s="3"/>
      <c r="J996" s="3"/>
    </row>
    <row r="997" spans="5:10" ht="15.75" customHeight="1" x14ac:dyDescent="0.25">
      <c r="E997" s="3"/>
      <c r="F997" s="3"/>
      <c r="G997" s="3"/>
      <c r="H997" s="3"/>
      <c r="I997" s="3"/>
      <c r="J997" s="3"/>
    </row>
    <row r="998" spans="5:10" ht="15.75" customHeight="1" x14ac:dyDescent="0.25">
      <c r="E998" s="3"/>
      <c r="F998" s="3"/>
      <c r="G998" s="3"/>
      <c r="H998" s="3"/>
      <c r="I998" s="3"/>
      <c r="J998" s="3"/>
    </row>
    <row r="999" spans="5:10" ht="15.75" customHeight="1" x14ac:dyDescent="0.25">
      <c r="E999" s="3"/>
      <c r="F999" s="3"/>
      <c r="G999" s="3"/>
      <c r="H999" s="3"/>
      <c r="I999" s="3"/>
      <c r="J999" s="3"/>
    </row>
    <row r="1000" spans="5:10" ht="15.75" customHeight="1" x14ac:dyDescent="0.25">
      <c r="E1000" s="3"/>
      <c r="F1000" s="3"/>
      <c r="G1000" s="3"/>
      <c r="H1000" s="3"/>
      <c r="I1000" s="3"/>
      <c r="J1000" s="3"/>
    </row>
  </sheetData>
  <mergeCells count="29">
    <mergeCell ref="D36:J36"/>
    <mergeCell ref="K36:O36"/>
    <mergeCell ref="B75:D75"/>
    <mergeCell ref="B76:D76"/>
    <mergeCell ref="B77:D77"/>
    <mergeCell ref="D30:J30"/>
    <mergeCell ref="K30:O30"/>
    <mergeCell ref="D32:J32"/>
    <mergeCell ref="K32:O32"/>
    <mergeCell ref="D34:J34"/>
    <mergeCell ref="K34:O34"/>
    <mergeCell ref="D24:J24"/>
    <mergeCell ref="K24:O24"/>
    <mergeCell ref="D26:J26"/>
    <mergeCell ref="K26:O26"/>
    <mergeCell ref="D28:J28"/>
    <mergeCell ref="K28:O28"/>
    <mergeCell ref="D18:F18"/>
    <mergeCell ref="H18:L18"/>
    <mergeCell ref="M18:O18"/>
    <mergeCell ref="D20:F20"/>
    <mergeCell ref="M22:P22"/>
    <mergeCell ref="D12:J12"/>
    <mergeCell ref="M12:O12"/>
    <mergeCell ref="D14:J14"/>
    <mergeCell ref="K14:O14"/>
    <mergeCell ref="D16:G16"/>
    <mergeCell ref="H16:L16"/>
    <mergeCell ref="M16:O16"/>
  </mergeCells>
  <dataValidations count="1">
    <dataValidation type="list" allowBlank="1" showInputMessage="1" showErrorMessage="1" prompt="SELECIONE O MUNICÍPIO" sqref="D16" xr:uid="{00000000-0002-0000-0000-000000000000}">
      <formula1>$U$1:$U$403</formula1>
      <formula2>0</formula2>
    </dataValidation>
  </dataValidations>
  <hyperlinks>
    <hyperlink ref="D36" r:id="rId1" xr:uid="{00000000-0004-0000-0000-000000000000}"/>
  </hyperlinks>
  <pageMargins left="0.51180555555555596" right="0.51180555555555596" top="0.78749999999999998" bottom="0.78749999999999998" header="0.511811023622047" footer="0.511811023622047"/>
  <pageSetup paperSize="9" scale="61" orientation="portrait" horizontalDpi="300" verticalDpi="300"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60"/>
  <sheetViews>
    <sheetView view="pageBreakPreview" topLeftCell="A13" zoomScale="130" zoomScaleNormal="100" zoomScaleSheetLayoutView="130" zoomScalePageLayoutView="62" workbookViewId="0">
      <selection activeCell="G17" sqref="G17:I17"/>
    </sheetView>
  </sheetViews>
  <sheetFormatPr defaultColWidth="14.42578125" defaultRowHeight="15" x14ac:dyDescent="0.25"/>
  <cols>
    <col min="1" max="4" width="6.42578125" customWidth="1"/>
    <col min="5" max="5" width="9.140625" customWidth="1"/>
    <col min="6" max="6" width="7.85546875" customWidth="1"/>
    <col min="7" max="7" width="13.85546875" customWidth="1"/>
    <col min="8" max="8" width="7.28515625" customWidth="1"/>
    <col min="9" max="9" width="10.28515625" customWidth="1"/>
    <col min="10" max="11" width="6.42578125" customWidth="1"/>
    <col min="12" max="12" width="8.42578125" customWidth="1"/>
    <col min="13" max="13" width="7.5703125" customWidth="1"/>
    <col min="14" max="14" width="6.5703125" customWidth="1"/>
    <col min="15" max="15" width="24.85546875" hidden="1" customWidth="1"/>
    <col min="16" max="16" width="25.140625" customWidth="1"/>
    <col min="17" max="26" width="10.5703125" customWidth="1"/>
  </cols>
  <sheetData>
    <row r="1" spans="1:26" x14ac:dyDescent="0.25">
      <c r="A1" s="34"/>
      <c r="B1" s="35"/>
      <c r="C1" s="35"/>
      <c r="D1" s="36"/>
      <c r="E1" s="36"/>
      <c r="F1" s="36"/>
      <c r="G1" s="36"/>
      <c r="H1" s="36"/>
      <c r="I1" s="36"/>
      <c r="J1" s="36"/>
      <c r="K1" s="36"/>
      <c r="L1" s="36"/>
      <c r="M1" s="37"/>
      <c r="N1" s="38"/>
      <c r="O1" s="39"/>
      <c r="P1" s="38"/>
      <c r="Q1" s="39"/>
      <c r="R1" s="39"/>
      <c r="S1" s="39"/>
      <c r="T1" s="39"/>
      <c r="U1" s="39"/>
      <c r="V1" s="39"/>
      <c r="W1" s="39"/>
      <c r="X1" s="39"/>
      <c r="Y1" s="39"/>
      <c r="Z1" s="39"/>
    </row>
    <row r="2" spans="1:26" x14ac:dyDescent="0.25">
      <c r="A2" s="40"/>
      <c r="B2" s="41"/>
      <c r="C2" s="41"/>
      <c r="D2" s="41"/>
      <c r="E2" s="42"/>
      <c r="F2" s="42"/>
      <c r="G2" s="42"/>
      <c r="H2" s="42"/>
      <c r="I2" s="42"/>
      <c r="J2" s="42"/>
      <c r="K2" s="42"/>
      <c r="L2" s="42"/>
      <c r="M2" s="43"/>
      <c r="N2" s="39"/>
      <c r="O2" s="39" t="s">
        <v>436</v>
      </c>
      <c r="P2" s="39"/>
      <c r="Q2" s="39"/>
      <c r="R2" s="39"/>
      <c r="S2" s="39"/>
      <c r="T2" s="39"/>
      <c r="U2" s="39"/>
      <c r="V2" s="39"/>
      <c r="W2" s="39"/>
      <c r="X2" s="39"/>
      <c r="Y2" s="39"/>
      <c r="Z2" s="39"/>
    </row>
    <row r="3" spans="1:26" x14ac:dyDescent="0.25">
      <c r="A3" s="40"/>
      <c r="B3" s="44"/>
      <c r="C3" s="44"/>
      <c r="D3" s="42"/>
      <c r="E3" s="42"/>
      <c r="F3" s="42"/>
      <c r="G3" s="42"/>
      <c r="H3" s="42"/>
      <c r="I3" s="42"/>
      <c r="J3" s="42"/>
      <c r="K3" s="42"/>
      <c r="L3" s="42"/>
      <c r="M3" s="43"/>
      <c r="N3" s="39"/>
      <c r="O3" s="39" t="s">
        <v>437</v>
      </c>
      <c r="P3" s="39"/>
      <c r="Q3" s="39"/>
      <c r="R3" s="39"/>
      <c r="S3" s="39"/>
      <c r="T3" s="39"/>
      <c r="U3" s="39"/>
      <c r="V3" s="39"/>
      <c r="W3" s="39"/>
      <c r="X3" s="39"/>
      <c r="Y3" s="39"/>
      <c r="Z3" s="39"/>
    </row>
    <row r="4" spans="1:26" x14ac:dyDescent="0.25">
      <c r="A4" s="40"/>
      <c r="B4" s="42" t="s">
        <v>438</v>
      </c>
      <c r="C4" s="41"/>
      <c r="D4" s="41"/>
      <c r="E4" s="42"/>
      <c r="F4" s="42"/>
      <c r="G4" s="42"/>
      <c r="H4" s="42"/>
      <c r="I4" s="42"/>
      <c r="J4" s="42"/>
      <c r="K4" s="42"/>
      <c r="L4" s="42"/>
      <c r="M4" s="43"/>
      <c r="N4" s="39"/>
      <c r="O4" s="39" t="s">
        <v>439</v>
      </c>
      <c r="P4" s="39"/>
      <c r="Q4" s="39"/>
      <c r="R4" s="39"/>
      <c r="S4" s="39"/>
      <c r="T4" s="39"/>
      <c r="U4" s="39"/>
      <c r="V4" s="39"/>
      <c r="W4" s="39"/>
      <c r="X4" s="39"/>
      <c r="Y4" s="39"/>
      <c r="Z4" s="39"/>
    </row>
    <row r="5" spans="1:26" x14ac:dyDescent="0.25">
      <c r="A5" s="40"/>
      <c r="B5" s="44"/>
      <c r="C5" s="45"/>
      <c r="D5" s="42"/>
      <c r="E5" s="42"/>
      <c r="F5" s="42"/>
      <c r="G5" s="42"/>
      <c r="H5" s="42"/>
      <c r="I5" s="42"/>
      <c r="J5" s="42"/>
      <c r="K5" s="42"/>
      <c r="L5" s="42"/>
      <c r="M5" s="46"/>
      <c r="N5" s="39"/>
      <c r="O5" s="39" t="s">
        <v>440</v>
      </c>
      <c r="P5" s="39"/>
      <c r="Q5" s="39"/>
      <c r="R5" s="39"/>
      <c r="S5" s="39"/>
      <c r="T5" s="39"/>
      <c r="U5" s="39"/>
      <c r="V5" s="39"/>
      <c r="W5" s="39"/>
      <c r="X5" s="39"/>
      <c r="Y5" s="39"/>
      <c r="Z5" s="39"/>
    </row>
    <row r="6" spans="1:26" x14ac:dyDescent="0.25">
      <c r="A6" s="47"/>
      <c r="B6" s="48"/>
      <c r="C6" s="49"/>
      <c r="D6" s="50"/>
      <c r="E6" s="49"/>
      <c r="F6" s="49"/>
      <c r="G6" s="49"/>
      <c r="H6" s="49"/>
      <c r="I6" s="49"/>
      <c r="J6" s="49"/>
      <c r="K6" s="49"/>
      <c r="L6" s="45"/>
      <c r="M6" s="46"/>
      <c r="N6" s="39"/>
      <c r="O6" s="39" t="s">
        <v>441</v>
      </c>
      <c r="P6" s="39"/>
      <c r="Q6" s="39"/>
      <c r="R6" s="39"/>
      <c r="S6" s="39"/>
      <c r="T6" s="39"/>
      <c r="U6" s="39"/>
      <c r="V6" s="39"/>
      <c r="W6" s="39"/>
      <c r="X6" s="39"/>
      <c r="Y6" s="39"/>
      <c r="Z6" s="39"/>
    </row>
    <row r="7" spans="1:26" x14ac:dyDescent="0.25">
      <c r="A7" s="51"/>
      <c r="B7" s="52"/>
      <c r="C7" s="53"/>
      <c r="D7" s="54"/>
      <c r="E7" s="53"/>
      <c r="F7" s="53"/>
      <c r="G7" s="53"/>
      <c r="H7" s="53"/>
      <c r="I7" s="53"/>
      <c r="J7" s="53"/>
      <c r="K7" s="53"/>
      <c r="L7" s="53"/>
      <c r="M7" s="55"/>
      <c r="N7" s="38"/>
      <c r="O7" s="38" t="s">
        <v>442</v>
      </c>
      <c r="P7" s="38"/>
      <c r="Q7" s="39"/>
      <c r="R7" s="39"/>
      <c r="S7" s="39"/>
      <c r="T7" s="39"/>
      <c r="U7" s="39"/>
      <c r="V7" s="39"/>
      <c r="W7" s="39"/>
      <c r="X7" s="39"/>
      <c r="Y7" s="39"/>
      <c r="Z7" s="39"/>
    </row>
    <row r="8" spans="1:26" x14ac:dyDescent="0.25">
      <c r="A8" s="38"/>
      <c r="B8" s="38"/>
      <c r="C8" s="45"/>
      <c r="D8" s="45"/>
      <c r="E8" s="45"/>
      <c r="F8" s="45"/>
      <c r="G8" s="45"/>
      <c r="H8" s="45"/>
      <c r="I8" s="45"/>
      <c r="J8" s="45"/>
      <c r="K8" s="45"/>
      <c r="L8" s="45"/>
      <c r="M8" s="45"/>
      <c r="N8" s="38"/>
      <c r="O8" s="38" t="s">
        <v>443</v>
      </c>
    </row>
    <row r="9" spans="1:26" x14ac:dyDescent="0.25">
      <c r="A9" s="815" t="s">
        <v>444</v>
      </c>
      <c r="B9" s="815"/>
      <c r="C9" s="815"/>
      <c r="D9" s="815"/>
      <c r="E9" s="815"/>
      <c r="F9" s="815"/>
      <c r="G9" s="815"/>
      <c r="H9" s="815"/>
      <c r="I9" s="815"/>
      <c r="J9" s="815"/>
      <c r="K9" s="56" t="s">
        <v>445</v>
      </c>
      <c r="L9" s="816">
        <f ca="1">IF(DADOS!D20&lt;&gt;"",DADOS!D20," ")</f>
        <v>46142</v>
      </c>
      <c r="M9" s="816"/>
      <c r="N9" s="38"/>
      <c r="O9" s="38" t="s">
        <v>446</v>
      </c>
    </row>
    <row r="10" spans="1:26" ht="15" customHeight="1" x14ac:dyDescent="0.25">
      <c r="A10" s="57" t="s">
        <v>447</v>
      </c>
      <c r="B10" s="58"/>
      <c r="C10" s="817" t="str">
        <f>IF(DADOS!$D$12&lt;&gt;"",DADOS!$D$12," ")</f>
        <v xml:space="preserve">PRONTO ATENDIMENTO MUNICIPAL </v>
      </c>
      <c r="D10" s="817"/>
      <c r="E10" s="817"/>
      <c r="F10" s="817"/>
      <c r="G10" s="817"/>
      <c r="H10" s="59"/>
      <c r="I10" s="39"/>
      <c r="J10" s="60" t="s">
        <v>448</v>
      </c>
      <c r="K10" s="818" t="s">
        <v>437</v>
      </c>
      <c r="L10" s="818"/>
      <c r="M10" s="818"/>
      <c r="N10" s="39"/>
      <c r="O10" s="38" t="s">
        <v>449</v>
      </c>
    </row>
    <row r="11" spans="1:26" x14ac:dyDescent="0.25">
      <c r="A11" s="57" t="s">
        <v>450</v>
      </c>
      <c r="B11" s="58"/>
      <c r="C11" s="819" t="str">
        <f>IF(DADOS!D14&lt;&gt;"",DADOS!D14," ")</f>
        <v>RUA DO SOL, S/N - BAIRRO DO SOL - IMBAU/PR 84250-000</v>
      </c>
      <c r="D11" s="819"/>
      <c r="E11" s="819"/>
      <c r="F11" s="819"/>
      <c r="G11" s="819"/>
      <c r="H11" s="819"/>
      <c r="I11" s="39"/>
      <c r="J11" s="60" t="s">
        <v>451</v>
      </c>
      <c r="K11" s="820" t="str">
        <f>IF(DADOS!$D$16&lt;&gt;"",DADOS!$D$16," ")</f>
        <v>IMBAÚ</v>
      </c>
      <c r="L11" s="820"/>
      <c r="M11" s="820"/>
      <c r="N11" s="39"/>
      <c r="O11" s="39" t="s">
        <v>452</v>
      </c>
    </row>
    <row r="12" spans="1:26" x14ac:dyDescent="0.25">
      <c r="A12" s="57" t="s">
        <v>453</v>
      </c>
      <c r="B12" s="58"/>
      <c r="C12" s="819" t="str">
        <f>IF(DADOS!M12&lt;&gt;"",DADOS!M12," ")</f>
        <v>SESA</v>
      </c>
      <c r="D12" s="819"/>
      <c r="E12" s="819"/>
      <c r="F12" s="819"/>
      <c r="G12" s="819"/>
      <c r="H12" s="819"/>
      <c r="I12" s="39"/>
      <c r="J12" s="60" t="s">
        <v>454</v>
      </c>
      <c r="K12" s="818"/>
      <c r="L12" s="818"/>
      <c r="M12" s="818"/>
      <c r="N12" s="39"/>
      <c r="O12" s="39" t="s">
        <v>455</v>
      </c>
    </row>
    <row r="13" spans="1:26" x14ac:dyDescent="0.25">
      <c r="A13" s="61"/>
      <c r="B13" s="39"/>
      <c r="C13" s="821"/>
      <c r="D13" s="821"/>
      <c r="E13" s="821"/>
      <c r="F13" s="821"/>
      <c r="G13" s="821"/>
      <c r="H13" s="821"/>
      <c r="I13" s="39"/>
      <c r="J13" s="39"/>
      <c r="K13" s="822"/>
      <c r="L13" s="822"/>
      <c r="M13" s="822"/>
      <c r="N13" s="39"/>
      <c r="O13" s="39" t="s">
        <v>456</v>
      </c>
    </row>
    <row r="14" spans="1:26" x14ac:dyDescent="0.25">
      <c r="A14" s="61"/>
      <c r="B14" s="39"/>
      <c r="C14" s="39"/>
      <c r="D14" s="39"/>
      <c r="E14" s="39"/>
      <c r="F14" s="39"/>
      <c r="G14" s="39"/>
      <c r="H14" s="39"/>
      <c r="I14" s="39"/>
      <c r="J14" s="60"/>
      <c r="K14" s="58"/>
      <c r="L14" s="58"/>
      <c r="M14" s="62"/>
      <c r="N14" s="39"/>
      <c r="O14" s="39" t="s">
        <v>436</v>
      </c>
    </row>
    <row r="15" spans="1:26" x14ac:dyDescent="0.25">
      <c r="A15" s="61" t="s">
        <v>457</v>
      </c>
      <c r="B15" s="39"/>
      <c r="C15" s="63" t="s">
        <v>458</v>
      </c>
      <c r="D15" s="64"/>
      <c r="E15" s="39"/>
      <c r="F15" s="60" t="s">
        <v>459</v>
      </c>
      <c r="G15" s="823"/>
      <c r="H15" s="823"/>
      <c r="I15" s="823"/>
      <c r="J15" s="58"/>
      <c r="K15" s="60"/>
      <c r="L15" s="822"/>
      <c r="M15" s="822"/>
      <c r="N15" s="39"/>
      <c r="O15" s="39" t="s">
        <v>460</v>
      </c>
    </row>
    <row r="16" spans="1:26" x14ac:dyDescent="0.25">
      <c r="A16" s="61"/>
      <c r="B16" s="39"/>
      <c r="C16" s="64"/>
      <c r="D16" s="64"/>
      <c r="E16" s="39"/>
      <c r="F16" s="60" t="s">
        <v>461</v>
      </c>
      <c r="G16" s="824" t="str">
        <f>IF(DADOS!D24&lt;&gt;"",DADOS!D24," ")</f>
        <v>Erick William da Silva Damaceno</v>
      </c>
      <c r="H16" s="824"/>
      <c r="I16" s="824"/>
      <c r="J16" s="58"/>
      <c r="K16" s="60" t="s">
        <v>462</v>
      </c>
      <c r="L16" s="41" t="str">
        <f>IF(DADOS!D28&lt;&gt;"",DADOS!D28," ")</f>
        <v>211052/D</v>
      </c>
      <c r="M16" s="67"/>
      <c r="N16" s="39"/>
      <c r="O16" s="39"/>
    </row>
    <row r="17" spans="1:26" x14ac:dyDescent="0.25">
      <c r="A17" s="61"/>
      <c r="B17" s="39"/>
      <c r="C17" s="39"/>
      <c r="D17" s="39"/>
      <c r="E17" s="39"/>
      <c r="F17" s="60" t="s">
        <v>463</v>
      </c>
      <c r="G17" s="823" t="s">
        <v>313</v>
      </c>
      <c r="H17" s="823"/>
      <c r="I17" s="823"/>
      <c r="J17" s="39"/>
      <c r="K17" s="60" t="s">
        <v>464</v>
      </c>
      <c r="L17" s="825">
        <f>IF(DADOS!D30&lt;&gt;"",DADOS!D30," ")</f>
        <v>1720261230534</v>
      </c>
      <c r="M17" s="825"/>
      <c r="N17" s="39"/>
      <c r="O17" s="39" t="s">
        <v>96</v>
      </c>
    </row>
    <row r="18" spans="1:26" x14ac:dyDescent="0.25">
      <c r="A18" s="68" t="s">
        <v>465</v>
      </c>
      <c r="B18" s="39"/>
      <c r="C18" s="65"/>
      <c r="D18" s="65"/>
      <c r="E18" s="65"/>
      <c r="F18" s="65"/>
      <c r="G18" s="65"/>
      <c r="H18" s="65"/>
      <c r="I18" s="65"/>
      <c r="J18" s="65"/>
      <c r="K18" s="65"/>
      <c r="L18" s="65"/>
      <c r="M18" s="69"/>
      <c r="N18" s="39"/>
      <c r="O18" s="39" t="s">
        <v>104</v>
      </c>
    </row>
    <row r="19" spans="1:26" x14ac:dyDescent="0.25">
      <c r="A19" s="70"/>
      <c r="B19" s="71"/>
      <c r="C19" s="71"/>
      <c r="D19" s="71"/>
      <c r="E19" s="71"/>
      <c r="F19" s="71"/>
      <c r="G19" s="71"/>
      <c r="H19" s="71"/>
      <c r="I19" s="71"/>
      <c r="J19" s="71"/>
      <c r="K19" s="71"/>
      <c r="L19" s="71"/>
      <c r="M19" s="72"/>
      <c r="N19" s="39"/>
      <c r="O19" s="39" t="s">
        <v>131</v>
      </c>
    </row>
    <row r="20" spans="1:26" ht="7.5" customHeight="1" x14ac:dyDescent="0.25">
      <c r="A20" s="39"/>
      <c r="B20" s="39"/>
      <c r="C20" s="39"/>
      <c r="D20" s="39"/>
      <c r="E20" s="39"/>
      <c r="F20" s="39"/>
      <c r="G20" s="39"/>
      <c r="H20" s="39"/>
      <c r="I20" s="39"/>
      <c r="J20" s="39"/>
      <c r="K20" s="39"/>
      <c r="L20" s="39"/>
      <c r="M20" s="39"/>
      <c r="N20" s="39"/>
      <c r="O20" s="39" t="s">
        <v>173</v>
      </c>
    </row>
    <row r="21" spans="1:26" ht="15.75" customHeight="1" x14ac:dyDescent="0.25">
      <c r="A21" s="73"/>
      <c r="B21" s="74"/>
      <c r="C21" s="74"/>
      <c r="D21" s="74"/>
      <c r="E21" s="74"/>
      <c r="F21" s="74"/>
      <c r="G21" s="74"/>
      <c r="H21" s="74"/>
      <c r="I21" s="74"/>
      <c r="J21" s="74"/>
      <c r="K21" s="74"/>
      <c r="L21" s="74"/>
      <c r="M21" s="75"/>
      <c r="N21" s="39"/>
      <c r="O21" s="39" t="s">
        <v>229</v>
      </c>
      <c r="P21" s="39"/>
      <c r="Q21" s="39"/>
      <c r="R21" s="39"/>
      <c r="S21" s="39"/>
      <c r="T21" s="39"/>
      <c r="U21" s="39"/>
      <c r="V21" s="39"/>
      <c r="W21" s="39"/>
      <c r="X21" s="39"/>
      <c r="Y21" s="39"/>
      <c r="Z21" s="39"/>
    </row>
    <row r="22" spans="1:26" ht="15.75" customHeight="1" x14ac:dyDescent="0.25">
      <c r="A22" s="76"/>
      <c r="B22" s="77"/>
      <c r="C22" s="77"/>
      <c r="D22" s="77"/>
      <c r="E22" s="826" t="s">
        <v>466</v>
      </c>
      <c r="F22" s="826"/>
      <c r="G22" s="78" t="s">
        <v>467</v>
      </c>
      <c r="H22" s="827" t="s">
        <v>468</v>
      </c>
      <c r="I22" s="827"/>
      <c r="J22" s="39"/>
      <c r="K22" s="79"/>
      <c r="L22" s="79"/>
      <c r="M22" s="80"/>
      <c r="N22" s="39"/>
      <c r="O22" s="39" t="s">
        <v>247</v>
      </c>
      <c r="P22" s="39"/>
      <c r="Q22" s="39"/>
      <c r="R22" s="39"/>
      <c r="S22" s="39"/>
      <c r="T22" s="39"/>
      <c r="U22" s="39"/>
      <c r="V22" s="39"/>
      <c r="W22" s="39"/>
      <c r="X22" s="39"/>
      <c r="Y22" s="39"/>
      <c r="Z22" s="39"/>
    </row>
    <row r="23" spans="1:26" ht="39" customHeight="1" x14ac:dyDescent="0.25">
      <c r="A23" s="76"/>
      <c r="B23" s="828" t="s">
        <v>469</v>
      </c>
      <c r="C23" s="828"/>
      <c r="D23" s="828"/>
      <c r="E23" s="829">
        <f>RESUMO!$H$42</f>
        <v>4572351.6100000013</v>
      </c>
      <c r="F23" s="829"/>
      <c r="G23" s="81">
        <f>BDI!$D$27</f>
        <v>0.20373659523052501</v>
      </c>
      <c r="H23" s="829">
        <f>$E$23+($E$23*$G$23)</f>
        <v>5503906.9592182105</v>
      </c>
      <c r="I23" s="829"/>
      <c r="J23" s="39"/>
      <c r="K23" s="79"/>
      <c r="L23" s="79"/>
      <c r="M23" s="80"/>
      <c r="N23" s="39"/>
      <c r="O23" s="39" t="s">
        <v>295</v>
      </c>
      <c r="P23" s="39"/>
      <c r="Q23" s="39"/>
      <c r="R23" s="39"/>
      <c r="S23" s="39"/>
      <c r="T23" s="39"/>
      <c r="U23" s="39"/>
      <c r="V23" s="39"/>
      <c r="W23" s="39"/>
      <c r="X23" s="39"/>
      <c r="Y23" s="39"/>
      <c r="Z23" s="39"/>
    </row>
    <row r="24" spans="1:26" ht="44.25" customHeight="1" x14ac:dyDescent="0.25">
      <c r="A24" s="76"/>
      <c r="B24" s="830" t="s">
        <v>470</v>
      </c>
      <c r="C24" s="830"/>
      <c r="D24" s="830"/>
      <c r="E24" s="831">
        <f>RESUMO!$H$50</f>
        <v>1075290.9300000002</v>
      </c>
      <c r="F24" s="831"/>
      <c r="G24" s="82">
        <f>BDI!$D$47</f>
        <v>0.11106199024390229</v>
      </c>
      <c r="H24" s="831">
        <f>$E$24+($E$24*$G$24)</f>
        <v>1194714.8807770167</v>
      </c>
      <c r="I24" s="831"/>
      <c r="J24" s="39"/>
      <c r="K24" s="79"/>
      <c r="L24" s="79"/>
      <c r="M24" s="80"/>
      <c r="N24" s="39"/>
      <c r="O24" s="39" t="s">
        <v>313</v>
      </c>
      <c r="P24" s="39"/>
      <c r="Q24" s="39"/>
      <c r="R24" s="39"/>
      <c r="S24" s="39"/>
      <c r="T24" s="39"/>
      <c r="U24" s="39"/>
      <c r="V24" s="39"/>
      <c r="W24" s="39"/>
      <c r="X24" s="39"/>
      <c r="Y24" s="39"/>
      <c r="Z24" s="39"/>
    </row>
    <row r="25" spans="1:26" ht="15.75" customHeight="1" x14ac:dyDescent="0.25">
      <c r="A25" s="76"/>
      <c r="B25" s="39"/>
      <c r="C25" s="39"/>
      <c r="D25" s="39"/>
      <c r="E25" s="39"/>
      <c r="F25" s="39"/>
      <c r="G25" s="39"/>
      <c r="H25" s="39"/>
      <c r="I25" s="39"/>
      <c r="J25" s="39"/>
      <c r="K25" s="79"/>
      <c r="L25" s="79"/>
      <c r="M25" s="80"/>
      <c r="N25" s="39"/>
      <c r="O25" s="39" t="s">
        <v>372</v>
      </c>
      <c r="P25" s="39"/>
      <c r="Q25" s="39"/>
      <c r="R25" s="39"/>
      <c r="S25" s="39"/>
      <c r="T25" s="39"/>
      <c r="U25" s="39"/>
      <c r="V25" s="39"/>
      <c r="W25" s="39"/>
      <c r="X25" s="39"/>
      <c r="Y25" s="39"/>
      <c r="Z25" s="39"/>
    </row>
    <row r="26" spans="1:26" ht="21.75" customHeight="1" x14ac:dyDescent="0.25">
      <c r="A26" s="76"/>
      <c r="B26" s="832" t="s">
        <v>471</v>
      </c>
      <c r="C26" s="832"/>
      <c r="D26" s="832"/>
      <c r="E26" s="832"/>
      <c r="F26" s="832"/>
      <c r="G26" s="832"/>
      <c r="H26" s="833">
        <f>E23+E24</f>
        <v>5647642.540000001</v>
      </c>
      <c r="I26" s="833"/>
      <c r="J26" s="39"/>
      <c r="K26" s="79"/>
      <c r="L26" s="79"/>
      <c r="M26" s="80"/>
      <c r="N26" s="39"/>
      <c r="O26" s="39" t="s">
        <v>425</v>
      </c>
      <c r="P26" s="39"/>
      <c r="Q26" s="39"/>
      <c r="R26" s="39"/>
      <c r="S26" s="39"/>
      <c r="T26" s="39"/>
      <c r="U26" s="39"/>
      <c r="V26" s="39"/>
      <c r="W26" s="39"/>
      <c r="X26" s="39"/>
      <c r="Y26" s="39"/>
      <c r="Z26" s="39"/>
    </row>
    <row r="27" spans="1:26" ht="15.75" customHeight="1" x14ac:dyDescent="0.25">
      <c r="A27" s="76"/>
      <c r="B27" s="39"/>
      <c r="C27" s="39"/>
      <c r="D27" s="39"/>
      <c r="E27" s="39"/>
      <c r="F27" s="39"/>
      <c r="G27" s="39"/>
      <c r="H27" s="39"/>
      <c r="I27" s="39"/>
      <c r="J27" s="39"/>
      <c r="K27" s="79"/>
      <c r="L27" s="79"/>
      <c r="M27" s="80"/>
      <c r="N27" s="39"/>
      <c r="O27" s="39" t="s">
        <v>426</v>
      </c>
      <c r="P27" s="39"/>
      <c r="Q27" s="39"/>
      <c r="R27" s="39"/>
      <c r="S27" s="39"/>
      <c r="T27" s="39"/>
      <c r="U27" s="39"/>
      <c r="V27" s="39"/>
      <c r="W27" s="39"/>
      <c r="X27" s="39"/>
      <c r="Y27" s="39"/>
      <c r="Z27" s="39"/>
    </row>
    <row r="28" spans="1:26" ht="24" customHeight="1" x14ac:dyDescent="0.25">
      <c r="A28" s="76"/>
      <c r="B28" s="834" t="s">
        <v>472</v>
      </c>
      <c r="C28" s="834"/>
      <c r="D28" s="834"/>
      <c r="E28" s="834"/>
      <c r="F28" s="834"/>
      <c r="G28" s="834"/>
      <c r="H28" s="835">
        <f>H23+H24</f>
        <v>6698621.8399952278</v>
      </c>
      <c r="I28" s="835"/>
      <c r="J28" s="39"/>
      <c r="K28" s="79"/>
      <c r="L28" s="79"/>
      <c r="M28" s="80"/>
      <c r="N28" s="39"/>
      <c r="O28" s="39"/>
      <c r="P28" s="83">
        <f>+CRONOGRAMA!AB51</f>
        <v>6698621.8399952259</v>
      </c>
      <c r="Q28" s="39"/>
      <c r="R28" s="39"/>
      <c r="S28" s="39"/>
      <c r="T28" s="39"/>
      <c r="U28" s="39"/>
      <c r="V28" s="39"/>
      <c r="W28" s="39"/>
      <c r="X28" s="39"/>
      <c r="Y28" s="39"/>
      <c r="Z28" s="39"/>
    </row>
    <row r="29" spans="1:26" ht="15.75" customHeight="1" x14ac:dyDescent="0.25">
      <c r="A29" s="76"/>
      <c r="B29" s="79"/>
      <c r="C29" s="79"/>
      <c r="D29" s="79"/>
      <c r="E29" s="79"/>
      <c r="F29" s="79"/>
      <c r="G29" s="79"/>
      <c r="H29" s="79"/>
      <c r="I29" s="79"/>
      <c r="J29" s="79"/>
      <c r="K29" s="79"/>
      <c r="L29" s="79"/>
      <c r="M29" s="80"/>
      <c r="N29" s="39"/>
      <c r="O29" s="39"/>
      <c r="P29" s="39"/>
      <c r="Q29" s="39"/>
      <c r="R29" s="39"/>
      <c r="S29" s="39"/>
      <c r="T29" s="39"/>
      <c r="U29" s="39"/>
      <c r="V29" s="39"/>
      <c r="W29" s="39"/>
      <c r="X29" s="39"/>
      <c r="Y29" s="39"/>
      <c r="Z29" s="39"/>
    </row>
    <row r="30" spans="1:26" ht="15.75" customHeight="1" x14ac:dyDescent="0.25">
      <c r="A30" s="836" t="s">
        <v>473</v>
      </c>
      <c r="B30" s="836"/>
      <c r="C30" s="836"/>
      <c r="D30" s="836"/>
      <c r="E30" s="836"/>
      <c r="F30" s="836"/>
      <c r="G30" s="836"/>
      <c r="H30" s="837"/>
      <c r="I30" s="837"/>
      <c r="J30" s="837"/>
      <c r="K30" s="837"/>
      <c r="L30" s="837"/>
      <c r="M30" s="837"/>
      <c r="N30" s="39"/>
      <c r="O30" s="39"/>
      <c r="P30" s="39"/>
      <c r="Q30" s="39"/>
      <c r="R30" s="39"/>
      <c r="S30" s="39"/>
      <c r="T30" s="39"/>
      <c r="U30" s="39"/>
      <c r="V30" s="39"/>
      <c r="W30" s="39"/>
      <c r="X30" s="39"/>
      <c r="Y30" s="39"/>
      <c r="Z30" s="39"/>
    </row>
    <row r="31" spans="1:26" ht="15.75" customHeight="1" x14ac:dyDescent="0.25">
      <c r="A31" s="838" t="s">
        <v>474</v>
      </c>
      <c r="B31" s="838"/>
      <c r="C31" s="838"/>
      <c r="D31" s="838"/>
      <c r="E31" s="838"/>
      <c r="F31" s="838"/>
      <c r="G31" s="838"/>
      <c r="H31" s="838"/>
      <c r="I31" s="838"/>
      <c r="J31" s="838"/>
      <c r="K31" s="838"/>
      <c r="L31" s="838"/>
      <c r="M31" s="838"/>
      <c r="N31" s="39"/>
      <c r="O31" s="39"/>
      <c r="P31" s="39"/>
      <c r="Q31" s="39"/>
      <c r="R31" s="39"/>
      <c r="S31" s="39"/>
      <c r="T31" s="39"/>
      <c r="U31" s="39"/>
      <c r="V31" s="39"/>
      <c r="W31" s="39"/>
      <c r="X31" s="39"/>
      <c r="Y31" s="39"/>
      <c r="Z31" s="39"/>
    </row>
    <row r="32" spans="1:26" ht="15.75" customHeight="1" x14ac:dyDescent="0.25">
      <c r="A32" s="76"/>
      <c r="B32" s="79"/>
      <c r="C32" s="79"/>
      <c r="D32" s="79"/>
      <c r="E32" s="79"/>
      <c r="F32" s="79"/>
      <c r="G32" s="79"/>
      <c r="H32" s="79"/>
      <c r="I32" s="79"/>
      <c r="J32" s="79"/>
      <c r="K32" s="79"/>
      <c r="L32" s="79"/>
      <c r="M32" s="80"/>
      <c r="N32" s="39"/>
      <c r="O32" s="39"/>
      <c r="P32" s="39"/>
      <c r="Q32" s="39"/>
      <c r="R32" s="39"/>
      <c r="S32" s="39"/>
      <c r="T32" s="39"/>
      <c r="U32" s="39"/>
      <c r="V32" s="39"/>
      <c r="W32" s="39"/>
      <c r="X32" s="39"/>
      <c r="Y32" s="39"/>
      <c r="Z32" s="39"/>
    </row>
    <row r="33" spans="1:26" ht="15.75" customHeight="1" x14ac:dyDescent="0.25">
      <c r="A33" s="76"/>
      <c r="B33" s="79"/>
      <c r="C33" s="79"/>
      <c r="D33" s="79"/>
      <c r="E33" s="84" t="s">
        <v>475</v>
      </c>
      <c r="F33" s="85">
        <v>300</v>
      </c>
      <c r="G33" s="839" t="s">
        <v>476</v>
      </c>
      <c r="H33" s="839"/>
      <c r="I33" s="839"/>
      <c r="J33" s="86"/>
      <c r="K33" s="86"/>
      <c r="L33" s="86"/>
      <c r="M33" s="80"/>
      <c r="N33" s="39"/>
      <c r="O33" s="39"/>
      <c r="P33" s="39"/>
      <c r="Q33" s="39"/>
      <c r="R33" s="39"/>
      <c r="S33" s="39"/>
      <c r="T33" s="39"/>
      <c r="U33" s="39"/>
      <c r="V33" s="39"/>
      <c r="W33" s="39"/>
      <c r="X33" s="39"/>
      <c r="Y33" s="39"/>
      <c r="Z33" s="39"/>
    </row>
    <row r="34" spans="1:26" ht="15.75" customHeight="1" x14ac:dyDescent="0.25">
      <c r="A34" s="76"/>
      <c r="B34" s="79"/>
      <c r="C34" s="79"/>
      <c r="D34" s="79"/>
      <c r="E34" s="79"/>
      <c r="F34" s="79"/>
      <c r="G34" s="79"/>
      <c r="H34" s="79"/>
      <c r="I34" s="79"/>
      <c r="J34" s="79"/>
      <c r="K34" s="79"/>
      <c r="L34" s="79"/>
      <c r="M34" s="80"/>
      <c r="N34" s="39"/>
      <c r="O34" s="39"/>
      <c r="P34" s="39"/>
      <c r="Q34" s="39"/>
      <c r="R34" s="39"/>
      <c r="S34" s="39"/>
      <c r="T34" s="39"/>
      <c r="U34" s="39"/>
      <c r="V34" s="39"/>
      <c r="W34" s="39"/>
      <c r="X34" s="39"/>
      <c r="Y34" s="39"/>
      <c r="Z34" s="39"/>
    </row>
    <row r="35" spans="1:26" ht="15.75" customHeight="1" x14ac:dyDescent="0.25">
      <c r="A35" s="76"/>
      <c r="B35" s="79"/>
      <c r="C35" s="79"/>
      <c r="D35" s="79"/>
      <c r="E35" s="84" t="s">
        <v>477</v>
      </c>
      <c r="F35" s="840" t="s">
        <v>478</v>
      </c>
      <c r="G35" s="840"/>
      <c r="H35" s="841">
        <f>IF(RESUMO!$F$52&lt;&gt;"",RESUMO!$F$52," ")</f>
        <v>0.79170745285872846</v>
      </c>
      <c r="I35" s="841"/>
      <c r="J35" s="87"/>
      <c r="K35" s="79"/>
      <c r="L35" s="79"/>
      <c r="M35" s="80"/>
      <c r="N35" s="39"/>
      <c r="O35" s="39"/>
      <c r="P35" s="39"/>
      <c r="Q35" s="39"/>
      <c r="R35" s="39"/>
      <c r="S35" s="39"/>
      <c r="T35" s="39"/>
      <c r="U35" s="39"/>
      <c r="V35" s="39"/>
      <c r="W35" s="39"/>
      <c r="X35" s="39"/>
      <c r="Y35" s="39"/>
      <c r="Z35" s="39"/>
    </row>
    <row r="36" spans="1:26" ht="15.75" customHeight="1" x14ac:dyDescent="0.25">
      <c r="A36" s="76"/>
      <c r="B36" s="79"/>
      <c r="C36" s="79"/>
      <c r="D36" s="79"/>
      <c r="E36" s="79"/>
      <c r="F36" s="88"/>
      <c r="G36" s="88"/>
      <c r="H36" s="86"/>
      <c r="I36" s="86"/>
      <c r="J36" s="79"/>
      <c r="K36" s="79"/>
      <c r="L36" s="79"/>
      <c r="M36" s="80"/>
      <c r="N36" s="39"/>
      <c r="O36" s="39"/>
      <c r="P36" s="39"/>
      <c r="Q36" s="39"/>
      <c r="R36" s="39"/>
      <c r="S36" s="39"/>
      <c r="T36" s="39"/>
      <c r="U36" s="39"/>
      <c r="V36" s="39"/>
      <c r="W36" s="39"/>
      <c r="X36" s="39"/>
      <c r="Y36" s="39"/>
      <c r="Z36" s="39"/>
    </row>
    <row r="37" spans="1:26" ht="15.75" customHeight="1" x14ac:dyDescent="0.25">
      <c r="A37" s="76"/>
      <c r="B37" s="79"/>
      <c r="C37" s="84"/>
      <c r="D37" s="84"/>
      <c r="E37" s="84"/>
      <c r="F37" s="840" t="s">
        <v>479</v>
      </c>
      <c r="G37" s="840"/>
      <c r="H37" s="841">
        <f>IF(H35=0,"",1-H35)</f>
        <v>0.20829254714127154</v>
      </c>
      <c r="I37" s="841"/>
      <c r="J37" s="87"/>
      <c r="K37" s="79"/>
      <c r="L37" s="79"/>
      <c r="M37" s="80"/>
      <c r="N37" s="39"/>
      <c r="O37" s="39"/>
      <c r="P37" s="39"/>
      <c r="Q37" s="39"/>
      <c r="R37" s="39"/>
      <c r="S37" s="39"/>
      <c r="T37" s="39"/>
      <c r="U37" s="39"/>
      <c r="V37" s="39"/>
      <c r="W37" s="39"/>
      <c r="X37" s="39"/>
      <c r="Y37" s="39"/>
      <c r="Z37" s="39"/>
    </row>
    <row r="38" spans="1:26" ht="10.5" customHeight="1" x14ac:dyDescent="0.25">
      <c r="A38" s="89"/>
      <c r="B38" s="90"/>
      <c r="C38" s="90"/>
      <c r="D38" s="90"/>
      <c r="E38" s="90"/>
      <c r="F38" s="90"/>
      <c r="G38" s="90"/>
      <c r="H38" s="90"/>
      <c r="I38" s="90"/>
      <c r="J38" s="90"/>
      <c r="K38" s="90"/>
      <c r="L38" s="90"/>
      <c r="M38" s="91"/>
      <c r="N38" s="39"/>
      <c r="O38" s="39"/>
      <c r="P38" s="39"/>
      <c r="Q38" s="39"/>
      <c r="R38" s="39"/>
      <c r="S38" s="39"/>
      <c r="T38" s="39"/>
      <c r="U38" s="39"/>
      <c r="V38" s="39"/>
      <c r="W38" s="39"/>
      <c r="X38" s="39"/>
      <c r="Y38" s="39"/>
      <c r="Z38" s="39"/>
    </row>
    <row r="39" spans="1:26" ht="7.5" customHeight="1" x14ac:dyDescent="0.25">
      <c r="A39" s="73"/>
      <c r="B39" s="92"/>
      <c r="C39" s="92"/>
      <c r="D39" s="92"/>
      <c r="E39" s="92"/>
      <c r="F39" s="93"/>
      <c r="G39" s="93"/>
      <c r="H39" s="93"/>
      <c r="I39" s="74"/>
      <c r="J39" s="74"/>
      <c r="K39" s="74"/>
      <c r="L39" s="74"/>
      <c r="M39" s="75"/>
      <c r="N39" s="39"/>
      <c r="O39" s="39"/>
    </row>
    <row r="40" spans="1:26" ht="15.75" customHeight="1" x14ac:dyDescent="0.25">
      <c r="A40" s="73"/>
      <c r="B40" s="92"/>
      <c r="C40" s="92"/>
      <c r="D40" s="92"/>
      <c r="E40" s="92"/>
      <c r="F40" s="93"/>
      <c r="G40" s="93"/>
      <c r="H40" s="93"/>
      <c r="I40" s="74"/>
      <c r="J40" s="74"/>
      <c r="K40" s="74"/>
      <c r="L40" s="74"/>
      <c r="M40" s="75"/>
      <c r="N40" s="39"/>
      <c r="O40" s="39"/>
    </row>
    <row r="41" spans="1:26" ht="15.75" customHeight="1" x14ac:dyDescent="0.25">
      <c r="A41" s="842" t="s">
        <v>480</v>
      </c>
      <c r="B41" s="842"/>
      <c r="C41" s="842"/>
      <c r="D41" s="842"/>
      <c r="E41" s="84"/>
      <c r="F41" s="86" t="s">
        <v>438</v>
      </c>
      <c r="G41" s="843" t="s">
        <v>481</v>
      </c>
      <c r="H41" s="843"/>
      <c r="I41" s="843"/>
      <c r="J41" s="843"/>
      <c r="K41" s="843"/>
      <c r="L41" s="843"/>
      <c r="M41" s="843"/>
      <c r="N41" s="39"/>
      <c r="O41" s="39"/>
    </row>
    <row r="42" spans="1:26" ht="15.75" customHeight="1" x14ac:dyDescent="0.25">
      <c r="A42" s="76"/>
      <c r="B42" s="79"/>
      <c r="C42" s="79"/>
      <c r="D42" s="79"/>
      <c r="E42" s="79"/>
      <c r="F42" s="79"/>
      <c r="G42" s="79"/>
      <c r="H42" s="79"/>
      <c r="I42" s="79"/>
      <c r="J42" s="79"/>
      <c r="K42" s="79"/>
      <c r="L42" s="79"/>
      <c r="M42" s="80"/>
      <c r="N42" s="39"/>
      <c r="O42" s="39"/>
    </row>
    <row r="43" spans="1:26" ht="15.75" customHeight="1" x14ac:dyDescent="0.25">
      <c r="A43" s="842" t="s">
        <v>482</v>
      </c>
      <c r="B43" s="842"/>
      <c r="C43" s="842"/>
      <c r="D43" s="842"/>
      <c r="E43" s="84"/>
      <c r="F43" s="94" t="s">
        <v>438</v>
      </c>
      <c r="G43" s="844" t="s">
        <v>483</v>
      </c>
      <c r="H43" s="844"/>
      <c r="I43" s="844"/>
      <c r="J43" s="844"/>
      <c r="K43" s="844"/>
      <c r="L43" s="844"/>
      <c r="M43" s="844"/>
      <c r="N43" s="39"/>
      <c r="O43" s="39"/>
    </row>
    <row r="44" spans="1:26" ht="15.75" customHeight="1" x14ac:dyDescent="0.25">
      <c r="A44" s="76" t="s">
        <v>438</v>
      </c>
      <c r="B44" s="84"/>
      <c r="C44" s="84"/>
      <c r="D44" s="84"/>
      <c r="E44" s="84"/>
      <c r="F44" s="94"/>
      <c r="G44" s="94"/>
      <c r="H44" s="94"/>
      <c r="I44" s="79"/>
      <c r="J44" s="79"/>
      <c r="K44" s="79"/>
      <c r="L44" s="79"/>
      <c r="M44" s="80"/>
      <c r="N44" s="39"/>
      <c r="O44" s="39"/>
    </row>
    <row r="45" spans="1:26" ht="15.75" customHeight="1" x14ac:dyDescent="0.25">
      <c r="A45" s="76"/>
      <c r="B45" s="79"/>
      <c r="C45" s="79"/>
      <c r="D45" s="79"/>
      <c r="E45" s="79"/>
      <c r="F45" s="95"/>
      <c r="G45" s="844" t="s">
        <v>484</v>
      </c>
      <c r="H45" s="844"/>
      <c r="I45" s="844"/>
      <c r="J45" s="844"/>
      <c r="K45" s="844"/>
      <c r="L45" s="844"/>
      <c r="M45" s="844"/>
      <c r="N45" s="39"/>
      <c r="O45" s="39"/>
    </row>
    <row r="46" spans="1:26" ht="15.75" customHeight="1" x14ac:dyDescent="0.25">
      <c r="A46" s="89"/>
      <c r="B46" s="90"/>
      <c r="C46" s="90"/>
      <c r="D46" s="90"/>
      <c r="E46" s="90"/>
      <c r="F46" s="90"/>
      <c r="G46" s="90"/>
      <c r="H46" s="90"/>
      <c r="I46" s="90"/>
      <c r="J46" s="90"/>
      <c r="K46" s="90"/>
      <c r="L46" s="90"/>
      <c r="M46" s="91"/>
      <c r="N46" s="39"/>
      <c r="O46" s="39"/>
    </row>
    <row r="47" spans="1:26" ht="15.75" customHeight="1" x14ac:dyDescent="0.25">
      <c r="A47" s="39"/>
      <c r="B47" s="39"/>
      <c r="C47" s="39"/>
      <c r="D47" s="39"/>
      <c r="E47" s="39"/>
      <c r="F47" s="39"/>
      <c r="G47" s="39"/>
      <c r="H47" s="39"/>
      <c r="I47" s="39"/>
      <c r="J47" s="39"/>
      <c r="K47" s="39"/>
      <c r="L47" s="39"/>
      <c r="M47" s="39"/>
      <c r="N47" s="39"/>
      <c r="O47" s="39"/>
    </row>
    <row r="48" spans="1:26" ht="15.75" customHeight="1" x14ac:dyDescent="0.25">
      <c r="A48" s="96"/>
      <c r="B48" s="97"/>
      <c r="C48" s="97"/>
      <c r="D48" s="97"/>
      <c r="E48" s="97"/>
      <c r="F48" s="97"/>
      <c r="G48" s="97"/>
      <c r="H48" s="97"/>
      <c r="I48" s="97"/>
      <c r="J48" s="97"/>
      <c r="K48" s="97"/>
      <c r="L48" s="97"/>
      <c r="M48" s="98"/>
      <c r="N48" s="39"/>
      <c r="O48" s="39"/>
    </row>
    <row r="49" spans="1:15" ht="15.75" customHeight="1" x14ac:dyDescent="0.25">
      <c r="A49" s="61"/>
      <c r="B49" s="39"/>
      <c r="C49" s="39"/>
      <c r="D49" s="39"/>
      <c r="E49" s="39"/>
      <c r="F49" s="39"/>
      <c r="G49" s="39"/>
      <c r="H49" s="39"/>
      <c r="I49" s="39"/>
      <c r="J49" s="39"/>
      <c r="K49" s="39"/>
      <c r="L49" s="39"/>
      <c r="M49" s="99"/>
      <c r="N49" s="39"/>
      <c r="O49" s="39"/>
    </row>
    <row r="50" spans="1:15" ht="15.75" customHeight="1" x14ac:dyDescent="0.25">
      <c r="A50" s="61"/>
      <c r="B50" s="39"/>
      <c r="C50" s="39"/>
      <c r="D50" s="39"/>
      <c r="E50" s="39"/>
      <c r="F50" s="39"/>
      <c r="G50" s="39"/>
      <c r="H50" s="39"/>
      <c r="I50" s="39"/>
      <c r="J50" s="39"/>
      <c r="K50" s="39"/>
      <c r="L50" s="39"/>
      <c r="M50" s="99"/>
      <c r="N50" s="39"/>
      <c r="O50" s="39"/>
    </row>
    <row r="51" spans="1:15" ht="15.75" customHeight="1" x14ac:dyDescent="0.25">
      <c r="A51" s="61"/>
      <c r="B51" s="39"/>
      <c r="C51" s="39"/>
      <c r="D51" s="39"/>
      <c r="E51" s="39"/>
      <c r="F51" s="39"/>
      <c r="G51" s="39"/>
      <c r="H51" s="39"/>
      <c r="I51" s="39"/>
      <c r="J51" s="39"/>
      <c r="K51" s="39"/>
      <c r="L51" s="39"/>
      <c r="M51" s="99"/>
      <c r="N51" s="39"/>
      <c r="O51" s="39"/>
    </row>
    <row r="52" spans="1:15" ht="15.75" customHeight="1" x14ac:dyDescent="0.25">
      <c r="A52" s="61"/>
      <c r="B52" s="39"/>
      <c r="C52" s="39"/>
      <c r="D52" s="39"/>
      <c r="E52" s="39"/>
      <c r="F52" s="39"/>
      <c r="G52" s="39"/>
      <c r="H52" s="39"/>
      <c r="I52" s="39"/>
      <c r="J52" s="39"/>
      <c r="K52" s="39"/>
      <c r="L52" s="39"/>
      <c r="M52" s="99"/>
      <c r="N52" s="39"/>
      <c r="O52" s="39"/>
    </row>
    <row r="53" spans="1:15" ht="15.75" customHeight="1" x14ac:dyDescent="0.25">
      <c r="A53" s="61"/>
      <c r="B53" s="39"/>
      <c r="C53" s="39"/>
      <c r="D53" s="39"/>
      <c r="E53" s="39"/>
      <c r="F53" s="39"/>
      <c r="G53" s="39"/>
      <c r="H53" s="39"/>
      <c r="I53" s="39"/>
      <c r="J53" s="39"/>
      <c r="K53" s="39"/>
      <c r="L53" s="39"/>
      <c r="M53" s="99"/>
      <c r="N53" s="39"/>
      <c r="O53" s="39"/>
    </row>
    <row r="54" spans="1:15" ht="15.75" customHeight="1" x14ac:dyDescent="0.25">
      <c r="A54" s="61"/>
      <c r="B54" s="39"/>
      <c r="C54" s="39"/>
      <c r="D54" s="39"/>
      <c r="E54" s="39"/>
      <c r="F54" s="39"/>
      <c r="G54" s="39"/>
      <c r="H54" s="39"/>
      <c r="I54" s="39"/>
      <c r="J54" s="39"/>
      <c r="K54" s="39"/>
      <c r="L54" s="39"/>
      <c r="M54" s="99"/>
      <c r="N54" s="39"/>
      <c r="O54" s="39"/>
    </row>
    <row r="55" spans="1:15" ht="15.75" customHeight="1" x14ac:dyDescent="0.25">
      <c r="A55" s="61"/>
      <c r="B55" s="845" t="s">
        <v>485</v>
      </c>
      <c r="C55" s="845"/>
      <c r="D55" s="845"/>
      <c r="E55" s="845"/>
      <c r="F55" s="39"/>
      <c r="G55" s="845" t="s">
        <v>486</v>
      </c>
      <c r="H55" s="845"/>
      <c r="I55" s="846" t="s">
        <v>487</v>
      </c>
      <c r="J55" s="846"/>
      <c r="K55" s="846"/>
      <c r="L55" s="846"/>
      <c r="M55" s="846"/>
      <c r="N55" s="39"/>
      <c r="O55" s="39"/>
    </row>
    <row r="56" spans="1:15" ht="15.75" customHeight="1" x14ac:dyDescent="0.25">
      <c r="A56" s="847" t="str">
        <f>IF(DADOS!D24&lt;&gt;"",DADOS!D24,"")</f>
        <v>Erick William da Silva Damaceno</v>
      </c>
      <c r="B56" s="847"/>
      <c r="C56" s="847"/>
      <c r="D56" s="847"/>
      <c r="E56" s="847"/>
      <c r="F56" s="847"/>
      <c r="G56" s="845"/>
      <c r="H56" s="845"/>
      <c r="I56" s="846"/>
      <c r="J56" s="846"/>
      <c r="K56" s="846"/>
      <c r="L56" s="846"/>
      <c r="M56" s="846"/>
      <c r="N56" s="39"/>
      <c r="O56" s="39"/>
    </row>
    <row r="57" spans="1:15" ht="15.75" customHeight="1" x14ac:dyDescent="0.25">
      <c r="A57" s="61"/>
      <c r="B57" s="845" t="s">
        <v>106</v>
      </c>
      <c r="C57" s="845"/>
      <c r="D57" s="845"/>
      <c r="E57" s="845"/>
      <c r="F57" s="100"/>
      <c r="G57" s="845" t="s">
        <v>488</v>
      </c>
      <c r="H57" s="845"/>
      <c r="I57" s="846" t="s">
        <v>489</v>
      </c>
      <c r="J57" s="846"/>
      <c r="K57" s="846"/>
      <c r="L57" s="846"/>
      <c r="M57" s="846"/>
      <c r="N57" s="39"/>
      <c r="O57" s="39"/>
    </row>
    <row r="58" spans="1:15" ht="15.75" customHeight="1" x14ac:dyDescent="0.25">
      <c r="A58" s="61"/>
      <c r="B58" s="845" t="s">
        <v>108</v>
      </c>
      <c r="C58" s="845"/>
      <c r="D58" s="845"/>
      <c r="E58" s="845"/>
      <c r="F58" s="100"/>
      <c r="G58" s="845" t="s">
        <v>108</v>
      </c>
      <c r="H58" s="845"/>
      <c r="I58" s="846" t="s">
        <v>108</v>
      </c>
      <c r="J58" s="846"/>
      <c r="K58" s="846"/>
      <c r="L58" s="846"/>
      <c r="M58" s="846"/>
      <c r="N58" s="39"/>
      <c r="O58" s="39"/>
    </row>
    <row r="59" spans="1:15" ht="15.75" customHeight="1" x14ac:dyDescent="0.25">
      <c r="A59" s="101"/>
      <c r="B59" s="102"/>
      <c r="C59" s="102"/>
      <c r="D59" s="102"/>
      <c r="E59" s="102"/>
      <c r="F59" s="102"/>
      <c r="G59" s="102"/>
      <c r="H59" s="102"/>
      <c r="I59" s="102"/>
      <c r="J59" s="102"/>
      <c r="K59" s="102"/>
      <c r="L59" s="102"/>
      <c r="M59" s="103"/>
      <c r="N59" s="39"/>
      <c r="O59" s="39"/>
    </row>
    <row r="60" spans="1:15" ht="15.75" customHeight="1" x14ac:dyDescent="0.25">
      <c r="A60" s="39"/>
      <c r="B60" s="39"/>
      <c r="C60" s="39"/>
      <c r="D60" s="39"/>
      <c r="E60" s="39"/>
      <c r="F60" s="39"/>
      <c r="G60" s="39"/>
      <c r="H60" s="39"/>
      <c r="I60" s="39"/>
      <c r="J60" s="39"/>
      <c r="K60" s="39"/>
      <c r="L60" s="39"/>
      <c r="M60" s="39"/>
      <c r="N60" s="39"/>
      <c r="O60" s="39"/>
    </row>
  </sheetData>
  <mergeCells count="52">
    <mergeCell ref="B57:E57"/>
    <mergeCell ref="G57:H57"/>
    <mergeCell ref="I57:M57"/>
    <mergeCell ref="B58:E58"/>
    <mergeCell ref="G58:H58"/>
    <mergeCell ref="I58:M58"/>
    <mergeCell ref="B55:E55"/>
    <mergeCell ref="G55:H55"/>
    <mergeCell ref="I55:M55"/>
    <mergeCell ref="A56:F56"/>
    <mergeCell ref="G56:H56"/>
    <mergeCell ref="I56:M56"/>
    <mergeCell ref="A41:D41"/>
    <mergeCell ref="G41:M41"/>
    <mergeCell ref="A43:D43"/>
    <mergeCell ref="G43:M43"/>
    <mergeCell ref="G45:M45"/>
    <mergeCell ref="A31:M31"/>
    <mergeCell ref="G33:I33"/>
    <mergeCell ref="F35:G35"/>
    <mergeCell ref="H35:I35"/>
    <mergeCell ref="F37:G37"/>
    <mergeCell ref="H37:I37"/>
    <mergeCell ref="B26:G26"/>
    <mergeCell ref="H26:I26"/>
    <mergeCell ref="B28:G28"/>
    <mergeCell ref="H28:I28"/>
    <mergeCell ref="A30:G30"/>
    <mergeCell ref="H30:M30"/>
    <mergeCell ref="B23:D23"/>
    <mergeCell ref="E23:F23"/>
    <mergeCell ref="H23:I23"/>
    <mergeCell ref="B24:D24"/>
    <mergeCell ref="E24:F24"/>
    <mergeCell ref="H24:I24"/>
    <mergeCell ref="G16:I16"/>
    <mergeCell ref="G17:I17"/>
    <mergeCell ref="L17:M17"/>
    <mergeCell ref="E22:F22"/>
    <mergeCell ref="H22:I22"/>
    <mergeCell ref="C12:H12"/>
    <mergeCell ref="K12:M12"/>
    <mergeCell ref="C13:H13"/>
    <mergeCell ref="K13:M13"/>
    <mergeCell ref="G15:I15"/>
    <mergeCell ref="L15:M15"/>
    <mergeCell ref="A9:J9"/>
    <mergeCell ref="L9:M9"/>
    <mergeCell ref="C10:G10"/>
    <mergeCell ref="K10:M10"/>
    <mergeCell ref="C11:H11"/>
    <mergeCell ref="K11:M11"/>
  </mergeCells>
  <dataValidations count="3">
    <dataValidation type="list" allowBlank="1" showErrorMessage="1" sqref="K14" xr:uid="{00000000-0002-0000-0100-000000000000}">
      <formula1>$O$16:$O$31</formula1>
      <formula2>0</formula2>
    </dataValidation>
    <dataValidation type="list" allowBlank="1" showErrorMessage="1" sqref="K10" xr:uid="{00000000-0002-0000-0100-000001000000}">
      <formula1>$O$1:$O$15</formula1>
      <formula2>0</formula2>
    </dataValidation>
    <dataValidation type="list" allowBlank="1" showInputMessage="1" prompt="ESCRITÓRIO REGIONAL DE" sqref="G17" xr:uid="{00000000-0002-0000-0100-000002000000}">
      <formula1>$O$16:$O$31</formula1>
      <formula2>0</formula2>
    </dataValidation>
  </dataValidations>
  <printOptions horizontalCentered="1" verticalCentered="1"/>
  <pageMargins left="0.98402777777777795" right="0.39374999999999999" top="0.39374999999999999" bottom="0.39374999999999999" header="0.511811023622047" footer="0.511811023622047"/>
  <pageSetup paperSize="9" scale="80" orientation="portrait"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view="pageBreakPreview" topLeftCell="A15" zoomScale="62" zoomScaleNormal="100" zoomScalePageLayoutView="62" workbookViewId="0">
      <selection activeCell="C52" sqref="C52"/>
    </sheetView>
  </sheetViews>
  <sheetFormatPr defaultColWidth="14.42578125" defaultRowHeight="15" x14ac:dyDescent="0.25"/>
  <cols>
    <col min="1" max="1" width="13.28515625" customWidth="1"/>
    <col min="2" max="2" width="37.85546875" customWidth="1"/>
    <col min="3" max="3" width="15.140625" customWidth="1"/>
    <col min="4" max="4" width="11" customWidth="1"/>
    <col min="5" max="5" width="14" customWidth="1"/>
    <col min="6" max="6" width="23.42578125" customWidth="1"/>
    <col min="7" max="8" width="12" customWidth="1"/>
    <col min="9" max="9" width="15.140625" customWidth="1"/>
    <col min="10" max="10" width="9.140625" customWidth="1"/>
    <col min="11" max="11" width="25.140625" customWidth="1"/>
    <col min="12" max="26" width="9.140625" customWidth="1"/>
  </cols>
  <sheetData>
    <row r="1" spans="1:26" x14ac:dyDescent="0.25">
      <c r="A1" s="44"/>
      <c r="B1" s="44"/>
      <c r="C1" s="44"/>
      <c r="D1" s="44"/>
      <c r="E1" s="104"/>
      <c r="F1" s="44"/>
      <c r="G1" s="44"/>
      <c r="H1" s="44"/>
      <c r="I1" s="44"/>
      <c r="J1" s="44"/>
      <c r="K1" s="44"/>
      <c r="L1" s="44"/>
      <c r="M1" s="44"/>
      <c r="N1" s="44"/>
      <c r="O1" s="44"/>
      <c r="P1" s="44"/>
      <c r="Q1" s="44"/>
      <c r="R1" s="44"/>
      <c r="S1" s="44"/>
      <c r="T1" s="44"/>
      <c r="U1" s="44"/>
      <c r="V1" s="44"/>
      <c r="W1" s="44"/>
      <c r="X1" s="44"/>
      <c r="Y1" s="44"/>
      <c r="Z1" s="44"/>
    </row>
    <row r="2" spans="1:26" x14ac:dyDescent="0.25">
      <c r="A2" s="44"/>
      <c r="B2" s="44"/>
      <c r="C2" s="44"/>
      <c r="D2" s="44"/>
      <c r="E2" s="104"/>
      <c r="F2" s="44"/>
      <c r="G2" s="44"/>
      <c r="H2" s="44"/>
      <c r="I2" s="44"/>
      <c r="J2" s="44"/>
      <c r="K2" s="44"/>
      <c r="L2" s="44"/>
      <c r="M2" s="44"/>
      <c r="N2" s="44"/>
      <c r="O2" s="44"/>
      <c r="P2" s="44"/>
      <c r="Q2" s="44"/>
      <c r="R2" s="44"/>
      <c r="S2" s="44"/>
      <c r="T2" s="44"/>
      <c r="U2" s="44"/>
      <c r="V2" s="44"/>
      <c r="W2" s="44"/>
      <c r="X2" s="44"/>
      <c r="Y2" s="44"/>
      <c r="Z2" s="44"/>
    </row>
    <row r="3" spans="1:26" x14ac:dyDescent="0.25">
      <c r="A3" s="44"/>
      <c r="B3" s="848"/>
      <c r="C3" s="848"/>
      <c r="D3" s="848"/>
      <c r="E3" s="848"/>
      <c r="F3" s="848"/>
      <c r="G3" s="848"/>
      <c r="H3" s="848"/>
      <c r="I3" s="44"/>
      <c r="J3" s="44"/>
      <c r="K3" s="44"/>
      <c r="L3" s="44"/>
      <c r="M3" s="44"/>
      <c r="N3" s="44"/>
      <c r="O3" s="44"/>
      <c r="P3" s="44"/>
      <c r="Q3" s="44"/>
      <c r="R3" s="44"/>
      <c r="S3" s="44"/>
      <c r="T3" s="44"/>
      <c r="U3" s="44"/>
      <c r="V3" s="44"/>
      <c r="W3" s="44"/>
      <c r="X3" s="44"/>
      <c r="Y3" s="44"/>
      <c r="Z3" s="44"/>
    </row>
    <row r="4" spans="1:26" x14ac:dyDescent="0.25">
      <c r="A4" s="44"/>
      <c r="B4" s="848"/>
      <c r="C4" s="848"/>
      <c r="D4" s="848"/>
      <c r="E4" s="848"/>
      <c r="F4" s="848"/>
      <c r="G4" s="848"/>
      <c r="H4" s="848"/>
      <c r="I4" s="44"/>
      <c r="J4" s="44"/>
      <c r="K4" s="44"/>
      <c r="L4" s="44"/>
      <c r="M4" s="44"/>
      <c r="N4" s="44"/>
      <c r="O4" s="44"/>
      <c r="P4" s="44"/>
      <c r="Q4" s="44"/>
      <c r="R4" s="44"/>
      <c r="S4" s="44"/>
      <c r="T4" s="44"/>
      <c r="U4" s="44"/>
      <c r="V4" s="44"/>
      <c r="W4" s="44"/>
      <c r="X4" s="44"/>
      <c r="Y4" s="44"/>
      <c r="Z4" s="44"/>
    </row>
    <row r="5" spans="1:26" x14ac:dyDescent="0.25">
      <c r="A5" s="44"/>
      <c r="B5" s="848"/>
      <c r="C5" s="848"/>
      <c r="D5" s="848"/>
      <c r="E5" s="848"/>
      <c r="F5" s="848"/>
      <c r="G5" s="848"/>
      <c r="H5" s="848"/>
      <c r="I5" s="44"/>
      <c r="J5" s="44"/>
      <c r="K5" s="44"/>
      <c r="L5" s="44"/>
      <c r="M5" s="44"/>
      <c r="N5" s="44"/>
      <c r="O5" s="44"/>
      <c r="P5" s="44"/>
      <c r="Q5" s="44"/>
      <c r="R5" s="44"/>
      <c r="S5" s="44"/>
      <c r="T5" s="44"/>
      <c r="U5" s="44"/>
      <c r="V5" s="44"/>
      <c r="W5" s="44"/>
      <c r="X5" s="44"/>
      <c r="Y5" s="44"/>
      <c r="Z5" s="44"/>
    </row>
    <row r="6" spans="1:26" x14ac:dyDescent="0.25">
      <c r="A6" s="44"/>
      <c r="B6" s="848"/>
      <c r="C6" s="848"/>
      <c r="D6" s="848"/>
      <c r="E6" s="848"/>
      <c r="F6" s="848"/>
      <c r="G6" s="848"/>
      <c r="H6" s="848"/>
      <c r="I6" s="44"/>
      <c r="J6" s="44"/>
      <c r="K6" s="44"/>
      <c r="L6" s="44"/>
      <c r="M6" s="44"/>
      <c r="N6" s="44"/>
      <c r="O6" s="44"/>
      <c r="P6" s="44"/>
      <c r="Q6" s="44"/>
      <c r="R6" s="44"/>
      <c r="S6" s="44"/>
      <c r="T6" s="44"/>
      <c r="U6" s="44"/>
      <c r="V6" s="44"/>
      <c r="W6" s="44"/>
      <c r="X6" s="44"/>
      <c r="Y6" s="44"/>
      <c r="Z6" s="44"/>
    </row>
    <row r="7" spans="1:26" x14ac:dyDescent="0.25">
      <c r="A7" s="44"/>
      <c r="B7" s="105"/>
      <c r="C7" s="106" t="s">
        <v>447</v>
      </c>
      <c r="D7" s="66" t="str">
        <f>IF(DADOS!$D$12&lt;&gt;"",DADOS!$D$12," ")</f>
        <v xml:space="preserve">PRONTO ATENDIMENTO MUNICIPAL </v>
      </c>
      <c r="E7" s="66"/>
      <c r="F7" s="107"/>
      <c r="G7" s="107"/>
      <c r="H7" s="107"/>
      <c r="I7" s="107"/>
      <c r="J7" s="44"/>
      <c r="K7" s="44"/>
      <c r="L7" s="44"/>
      <c r="M7" s="44"/>
      <c r="N7" s="44"/>
      <c r="O7" s="44"/>
      <c r="P7" s="44"/>
      <c r="Q7" s="44"/>
      <c r="R7" s="44"/>
      <c r="S7" s="44"/>
      <c r="T7" s="44"/>
      <c r="U7" s="44"/>
      <c r="V7" s="44"/>
      <c r="W7" s="44"/>
      <c r="X7" s="44"/>
      <c r="Y7" s="44"/>
      <c r="Z7" s="44"/>
    </row>
    <row r="8" spans="1:26" x14ac:dyDescent="0.25">
      <c r="A8" s="44"/>
      <c r="B8" s="105"/>
      <c r="C8" s="106" t="s">
        <v>490</v>
      </c>
      <c r="D8" s="108">
        <f>IF('FOLHA FECHAMENTO'!F33&lt;&gt;"",'FOLHA FECHAMENTO'!F33," ")</f>
        <v>300</v>
      </c>
      <c r="E8" s="66" t="s">
        <v>476</v>
      </c>
      <c r="F8" s="107"/>
      <c r="G8" s="107"/>
      <c r="H8" s="107"/>
      <c r="I8" s="107"/>
      <c r="J8" s="44"/>
      <c r="K8" s="44"/>
      <c r="L8" s="44"/>
      <c r="M8" s="44"/>
      <c r="N8" s="44"/>
      <c r="O8" s="44"/>
      <c r="P8" s="44"/>
      <c r="Q8" s="44"/>
      <c r="R8" s="44"/>
      <c r="S8" s="44"/>
      <c r="T8" s="44"/>
      <c r="U8" s="44"/>
      <c r="V8" s="44"/>
      <c r="W8" s="44"/>
      <c r="X8" s="44"/>
      <c r="Y8" s="44"/>
      <c r="Z8" s="44"/>
    </row>
    <row r="9" spans="1:26" ht="15.75" x14ac:dyDescent="0.25">
      <c r="A9" s="109"/>
      <c r="B9" s="44"/>
      <c r="C9" s="59" t="s">
        <v>491</v>
      </c>
      <c r="D9" s="39"/>
      <c r="E9" s="100"/>
      <c r="F9" s="44"/>
      <c r="G9" s="44"/>
      <c r="H9" s="849" t="s">
        <v>492</v>
      </c>
      <c r="I9" s="849"/>
      <c r="J9" s="44"/>
      <c r="K9" s="44"/>
      <c r="L9" s="44"/>
      <c r="M9" s="44"/>
      <c r="N9" s="44"/>
      <c r="O9" s="44"/>
      <c r="P9" s="44"/>
      <c r="Q9" s="44"/>
      <c r="R9" s="44"/>
      <c r="S9" s="44"/>
      <c r="T9" s="44"/>
      <c r="U9" s="44"/>
      <c r="V9" s="44"/>
      <c r="W9" s="44"/>
      <c r="X9" s="44"/>
      <c r="Y9" s="44"/>
      <c r="Z9" s="44"/>
    </row>
    <row r="10" spans="1:26" ht="6" customHeight="1" x14ac:dyDescent="0.25">
      <c r="A10" s="44"/>
      <c r="B10" s="44"/>
      <c r="C10" s="44"/>
      <c r="D10" s="44"/>
      <c r="E10" s="104"/>
      <c r="F10" s="44"/>
      <c r="G10" s="44"/>
      <c r="H10" s="44"/>
      <c r="I10" s="44"/>
      <c r="J10" s="44"/>
      <c r="K10" s="44"/>
      <c r="L10" s="44"/>
      <c r="M10" s="44"/>
      <c r="N10" s="44"/>
      <c r="O10" s="44"/>
      <c r="P10" s="44"/>
      <c r="Q10" s="44"/>
      <c r="R10" s="44"/>
      <c r="S10" s="44"/>
      <c r="T10" s="44"/>
      <c r="U10" s="44"/>
      <c r="V10" s="44"/>
      <c r="W10" s="44"/>
      <c r="X10" s="44"/>
      <c r="Y10" s="44"/>
      <c r="Z10" s="44"/>
    </row>
    <row r="11" spans="1:26" ht="19.5" customHeight="1" x14ac:dyDescent="0.25">
      <c r="A11" s="850" t="s">
        <v>493</v>
      </c>
      <c r="B11" s="850"/>
      <c r="C11" s="850"/>
      <c r="D11" s="850"/>
      <c r="E11" s="850"/>
      <c r="F11" s="850"/>
      <c r="G11" s="850"/>
      <c r="H11" s="850"/>
      <c r="I11" s="110">
        <f>'FOLHA FECHAMENTO'!$E$23</f>
        <v>4572351.6100000013</v>
      </c>
      <c r="J11" s="12"/>
      <c r="K11" s="12"/>
      <c r="L11" s="12"/>
      <c r="M11" s="12"/>
      <c r="N11" s="12"/>
      <c r="O11" s="12"/>
      <c r="P11" s="12"/>
      <c r="Q11" s="12"/>
      <c r="R11" s="12"/>
      <c r="S11" s="12"/>
      <c r="T11" s="12"/>
      <c r="U11" s="12"/>
      <c r="V11" s="12"/>
      <c r="W11" s="12"/>
      <c r="X11" s="12"/>
      <c r="Y11" s="12"/>
      <c r="Z11" s="12"/>
    </row>
    <row r="12" spans="1:26" x14ac:dyDescent="0.25">
      <c r="A12" s="44"/>
      <c r="B12" s="44"/>
      <c r="C12" s="44"/>
      <c r="D12" s="44"/>
      <c r="E12" s="104"/>
      <c r="F12" s="44"/>
      <c r="G12" s="44"/>
      <c r="H12" s="44"/>
      <c r="I12" s="44"/>
      <c r="J12" s="12"/>
      <c r="K12" s="12"/>
      <c r="L12" s="12"/>
      <c r="M12" s="12"/>
      <c r="N12" s="12"/>
      <c r="O12" s="12"/>
      <c r="P12" s="12"/>
      <c r="Q12" s="12"/>
      <c r="R12" s="12"/>
      <c r="S12" s="12"/>
      <c r="T12" s="12"/>
      <c r="U12" s="12"/>
      <c r="V12" s="12"/>
      <c r="W12" s="12"/>
      <c r="X12" s="12"/>
      <c r="Y12" s="12"/>
      <c r="Z12" s="12"/>
    </row>
    <row r="13" spans="1:26" ht="30" customHeight="1" x14ac:dyDescent="0.25">
      <c r="A13" s="851" t="s">
        <v>494</v>
      </c>
      <c r="B13" s="851" t="s">
        <v>495</v>
      </c>
      <c r="C13" s="851" t="s">
        <v>496</v>
      </c>
      <c r="D13" s="851" t="s">
        <v>497</v>
      </c>
      <c r="E13" s="852" t="s">
        <v>498</v>
      </c>
      <c r="F13" s="852" t="s">
        <v>499</v>
      </c>
      <c r="G13" s="851" t="s">
        <v>500</v>
      </c>
      <c r="H13" s="851"/>
      <c r="I13" s="851"/>
      <c r="J13" s="112"/>
      <c r="K13" s="112"/>
      <c r="L13" s="112"/>
      <c r="M13" s="112"/>
      <c r="N13" s="112"/>
      <c r="O13" s="112"/>
      <c r="P13" s="112"/>
      <c r="Q13" s="112"/>
      <c r="R13" s="112"/>
      <c r="S13" s="112"/>
      <c r="T13" s="112"/>
      <c r="U13" s="112"/>
      <c r="V13" s="112"/>
      <c r="W13" s="112"/>
      <c r="X13" s="112"/>
      <c r="Y13" s="112"/>
      <c r="Z13" s="112"/>
    </row>
    <row r="14" spans="1:26" ht="15.75" customHeight="1" x14ac:dyDescent="0.25">
      <c r="A14" s="851"/>
      <c r="B14" s="851"/>
      <c r="C14" s="851"/>
      <c r="D14" s="851"/>
      <c r="E14" s="851"/>
      <c r="F14" s="851"/>
      <c r="G14" s="111" t="s">
        <v>501</v>
      </c>
      <c r="H14" s="111" t="s">
        <v>502</v>
      </c>
      <c r="I14" s="111" t="s">
        <v>503</v>
      </c>
      <c r="J14" s="112"/>
      <c r="K14" s="112"/>
      <c r="L14" s="12"/>
      <c r="M14" s="12"/>
      <c r="N14" s="12"/>
      <c r="O14" s="12"/>
      <c r="P14" s="12"/>
      <c r="Q14" s="12"/>
      <c r="R14" s="12"/>
      <c r="S14" s="12"/>
      <c r="T14" s="12"/>
      <c r="U14" s="12"/>
      <c r="V14" s="12"/>
      <c r="W14" s="12"/>
      <c r="X14" s="12"/>
      <c r="Y14" s="12"/>
      <c r="Z14" s="12"/>
    </row>
    <row r="15" spans="1:26" ht="15.75" customHeight="1" x14ac:dyDescent="0.25">
      <c r="A15" s="113">
        <v>1</v>
      </c>
      <c r="B15" s="114" t="s">
        <v>504</v>
      </c>
      <c r="C15" s="115">
        <f>D15*$I$11</f>
        <v>171463.18537500003</v>
      </c>
      <c r="D15" s="116">
        <v>3.7499999999999999E-2</v>
      </c>
      <c r="E15" s="113"/>
      <c r="F15" s="113" t="str">
        <f>IF(AND(D15&gt;=G15,D15&lt;=I15),"OK","DIFERE")</f>
        <v>OK</v>
      </c>
      <c r="G15" s="117">
        <v>0.03</v>
      </c>
      <c r="H15" s="117">
        <v>0.04</v>
      </c>
      <c r="I15" s="117">
        <v>5.5E-2</v>
      </c>
      <c r="J15" s="12" t="s">
        <v>505</v>
      </c>
      <c r="K15" s="12" t="s">
        <v>506</v>
      </c>
      <c r="L15" s="12"/>
      <c r="M15" s="12"/>
      <c r="N15" s="12"/>
      <c r="O15" s="12"/>
      <c r="P15" s="12"/>
      <c r="Q15" s="12"/>
      <c r="R15" s="12"/>
      <c r="S15" s="12"/>
      <c r="T15" s="12"/>
      <c r="U15" s="12"/>
      <c r="V15" s="12"/>
      <c r="W15" s="12"/>
      <c r="X15" s="12"/>
      <c r="Y15" s="12"/>
      <c r="Z15" s="12"/>
    </row>
    <row r="16" spans="1:26" ht="15.75" customHeight="1" x14ac:dyDescent="0.25">
      <c r="A16" s="113">
        <v>2</v>
      </c>
      <c r="B16" s="114" t="s">
        <v>507</v>
      </c>
      <c r="C16" s="115">
        <f>D16*$I$11</f>
        <v>36578.812880000012</v>
      </c>
      <c r="D16" s="116">
        <v>8.0000000000000002E-3</v>
      </c>
      <c r="E16" s="113"/>
      <c r="F16" s="113" t="str">
        <f>IF(AND(D16&gt;=G16,D16&lt;=I16),"OK","DIFERE")</f>
        <v>OK</v>
      </c>
      <c r="G16" s="117">
        <v>8.0000000000000002E-3</v>
      </c>
      <c r="H16" s="117">
        <v>8.0000000000000002E-3</v>
      </c>
      <c r="I16" s="117">
        <v>0.01</v>
      </c>
      <c r="J16" s="12" t="s">
        <v>508</v>
      </c>
      <c r="K16" s="12" t="s">
        <v>509</v>
      </c>
      <c r="L16" s="12"/>
      <c r="M16" s="12"/>
      <c r="N16" s="12"/>
      <c r="O16" s="12"/>
      <c r="P16" s="12"/>
      <c r="Q16" s="12"/>
      <c r="R16" s="12"/>
      <c r="S16" s="12"/>
      <c r="T16" s="12"/>
      <c r="U16" s="12"/>
      <c r="V16" s="12"/>
      <c r="W16" s="12"/>
      <c r="X16" s="12"/>
      <c r="Y16" s="12"/>
      <c r="Z16" s="12"/>
    </row>
    <row r="17" spans="1:26" ht="15.75" customHeight="1" x14ac:dyDescent="0.25">
      <c r="A17" s="113">
        <v>3</v>
      </c>
      <c r="B17" s="114" t="s">
        <v>510</v>
      </c>
      <c r="C17" s="115">
        <f>D17*$I$11</f>
        <v>44351.81061700001</v>
      </c>
      <c r="D17" s="116">
        <v>9.7000000000000003E-3</v>
      </c>
      <c r="E17" s="113"/>
      <c r="F17" s="113" t="str">
        <f>IF(AND(D17&gt;=G17,D17&lt;=I17),"OK","DIFERE")</f>
        <v>OK</v>
      </c>
      <c r="G17" s="117">
        <v>9.7000000000000003E-3</v>
      </c>
      <c r="H17" s="117">
        <v>1.2699999999999999E-2</v>
      </c>
      <c r="I17" s="117">
        <v>1.2699999999999999E-2</v>
      </c>
      <c r="J17" s="12" t="s">
        <v>511</v>
      </c>
      <c r="K17" s="12" t="s">
        <v>512</v>
      </c>
      <c r="L17" s="12"/>
      <c r="M17" s="12"/>
      <c r="N17" s="12"/>
      <c r="O17" s="12"/>
      <c r="P17" s="12"/>
      <c r="Q17" s="12"/>
      <c r="R17" s="12"/>
      <c r="S17" s="12"/>
      <c r="T17" s="12"/>
      <c r="U17" s="12"/>
      <c r="V17" s="12"/>
      <c r="W17" s="12"/>
      <c r="X17" s="12"/>
      <c r="Y17" s="12"/>
      <c r="Z17" s="12"/>
    </row>
    <row r="18" spans="1:26" ht="15.75" customHeight="1" x14ac:dyDescent="0.25">
      <c r="A18" s="113">
        <v>4</v>
      </c>
      <c r="B18" s="114" t="s">
        <v>513</v>
      </c>
      <c r="C18" s="115">
        <f>D18*($I$11+C15+C16+C17)</f>
        <v>28465.997971344808</v>
      </c>
      <c r="D18" s="116">
        <v>5.8999999999999999E-3</v>
      </c>
      <c r="E18" s="113"/>
      <c r="F18" s="113" t="str">
        <f>IF(AND(D18&gt;=G18,D18&lt;=I18),"OK","DIFERE")</f>
        <v>OK</v>
      </c>
      <c r="G18" s="117">
        <v>5.8999999999999999E-3</v>
      </c>
      <c r="H18" s="117">
        <v>1.23E-2</v>
      </c>
      <c r="I18" s="117">
        <v>1.3899999999999999E-2</v>
      </c>
      <c r="J18" s="12" t="s">
        <v>514</v>
      </c>
      <c r="K18" s="12" t="s">
        <v>515</v>
      </c>
      <c r="L18" s="12"/>
      <c r="M18" s="12"/>
      <c r="N18" s="12"/>
      <c r="O18" s="12"/>
      <c r="P18" s="12"/>
      <c r="Q18" s="12"/>
      <c r="R18" s="12"/>
      <c r="S18" s="12"/>
      <c r="T18" s="12"/>
      <c r="U18" s="12"/>
      <c r="V18" s="12"/>
      <c r="W18" s="12"/>
      <c r="X18" s="12"/>
      <c r="Y18" s="12"/>
      <c r="Z18" s="12"/>
    </row>
    <row r="19" spans="1:26" ht="15.75" customHeight="1" x14ac:dyDescent="0.25">
      <c r="A19" s="113">
        <v>5</v>
      </c>
      <c r="B19" s="114" t="s">
        <v>516</v>
      </c>
      <c r="C19" s="115">
        <f>D19*($I$11+C15+C16+C17+C18)</f>
        <v>339724.79917903425</v>
      </c>
      <c r="D19" s="116">
        <v>7.0000000000000007E-2</v>
      </c>
      <c r="E19" s="113"/>
      <c r="F19" s="113" t="str">
        <f>IF(AND(D19&gt;=G19,D19&lt;=I19),"OK","DIFERE")</f>
        <v>OK</v>
      </c>
      <c r="G19" s="117">
        <v>6.1600000000000002E-2</v>
      </c>
      <c r="H19" s="117">
        <v>7.3999999999999996E-2</v>
      </c>
      <c r="I19" s="117">
        <v>8.9599999999999999E-2</v>
      </c>
      <c r="J19" s="12" t="s">
        <v>517</v>
      </c>
      <c r="K19" s="12" t="s">
        <v>518</v>
      </c>
      <c r="L19" s="12"/>
      <c r="M19" s="12"/>
      <c r="N19" s="12"/>
      <c r="O19" s="12"/>
      <c r="P19" s="12"/>
      <c r="Q19" s="12"/>
      <c r="R19" s="12"/>
      <c r="S19" s="12"/>
      <c r="T19" s="12"/>
      <c r="U19" s="12"/>
      <c r="V19" s="12"/>
      <c r="W19" s="12"/>
      <c r="X19" s="12"/>
      <c r="Y19" s="12"/>
      <c r="Z19" s="12"/>
    </row>
    <row r="20" spans="1:26" ht="15.75" customHeight="1" x14ac:dyDescent="0.25">
      <c r="A20" s="113">
        <v>6</v>
      </c>
      <c r="B20" s="118" t="s">
        <v>519</v>
      </c>
      <c r="C20" s="115">
        <f>D20*$I$11*(1+D27)</f>
        <v>310970.74319582887</v>
      </c>
      <c r="D20" s="119">
        <f>SUM(D21:D24)</f>
        <v>5.6499999999999995E-2</v>
      </c>
      <c r="E20" s="120"/>
      <c r="F20" s="44"/>
      <c r="G20" s="121"/>
      <c r="H20" s="121"/>
      <c r="I20" s="122"/>
      <c r="J20" s="12" t="s">
        <v>520</v>
      </c>
      <c r="K20" s="12" t="s">
        <v>521</v>
      </c>
      <c r="L20" s="12"/>
      <c r="M20" s="12"/>
      <c r="N20" s="12"/>
      <c r="O20" s="12"/>
      <c r="P20" s="12"/>
      <c r="Q20" s="12"/>
      <c r="R20" s="12"/>
      <c r="S20" s="12"/>
      <c r="T20" s="12"/>
      <c r="U20" s="12"/>
      <c r="V20" s="12"/>
      <c r="W20" s="12"/>
      <c r="X20" s="12"/>
      <c r="Y20" s="12"/>
      <c r="Z20" s="12"/>
    </row>
    <row r="21" spans="1:26" ht="15.75" customHeight="1" x14ac:dyDescent="0.25">
      <c r="A21" s="123" t="s">
        <v>522</v>
      </c>
      <c r="B21" s="853" t="s">
        <v>523</v>
      </c>
      <c r="C21" s="853"/>
      <c r="D21" s="116">
        <v>6.4999999999999997E-3</v>
      </c>
      <c r="E21" s="120"/>
      <c r="F21" s="44"/>
      <c r="G21" s="44"/>
      <c r="H21" s="44"/>
      <c r="I21" s="43"/>
      <c r="J21" s="12"/>
      <c r="K21" s="12"/>
      <c r="L21" s="12"/>
      <c r="M21" s="12"/>
      <c r="N21" s="12"/>
      <c r="O21" s="12"/>
      <c r="P21" s="12"/>
      <c r="Q21" s="12"/>
      <c r="R21" s="12"/>
      <c r="S21" s="12"/>
      <c r="T21" s="12"/>
      <c r="U21" s="12"/>
      <c r="V21" s="12"/>
      <c r="W21" s="12"/>
      <c r="X21" s="12"/>
      <c r="Y21" s="12"/>
      <c r="Z21" s="12"/>
    </row>
    <row r="22" spans="1:26" ht="15.75" customHeight="1" x14ac:dyDescent="0.25">
      <c r="A22" s="123" t="s">
        <v>524</v>
      </c>
      <c r="B22" s="853" t="s">
        <v>525</v>
      </c>
      <c r="C22" s="853"/>
      <c r="D22" s="116">
        <v>0.03</v>
      </c>
      <c r="E22" s="120"/>
      <c r="F22" s="44"/>
      <c r="G22" s="44"/>
      <c r="H22" s="44"/>
      <c r="I22" s="43"/>
      <c r="J22" s="12"/>
      <c r="K22" s="12"/>
      <c r="L22" s="12"/>
      <c r="M22" s="12"/>
      <c r="N22" s="12"/>
      <c r="O22" s="12"/>
      <c r="P22" s="12"/>
      <c r="Q22" s="12"/>
      <c r="R22" s="12"/>
      <c r="S22" s="12"/>
      <c r="T22" s="12"/>
      <c r="U22" s="12"/>
      <c r="V22" s="12"/>
      <c r="W22" s="12"/>
      <c r="X22" s="12"/>
      <c r="Y22" s="12"/>
      <c r="Z22" s="12"/>
    </row>
    <row r="23" spans="1:26" ht="15.75" customHeight="1" x14ac:dyDescent="0.25">
      <c r="A23" s="123" t="s">
        <v>526</v>
      </c>
      <c r="B23" s="853" t="s">
        <v>527</v>
      </c>
      <c r="C23" s="853"/>
      <c r="D23" s="116">
        <v>0.02</v>
      </c>
      <c r="E23" s="120"/>
      <c r="F23" s="44"/>
      <c r="G23" s="44"/>
      <c r="H23" s="44"/>
      <c r="I23" s="43"/>
      <c r="J23" s="12"/>
      <c r="K23" s="12"/>
      <c r="L23" s="12"/>
      <c r="M23" s="12"/>
      <c r="N23" s="12"/>
      <c r="O23" s="12"/>
      <c r="P23" s="12"/>
      <c r="Q23" s="12"/>
      <c r="R23" s="12"/>
      <c r="S23" s="12"/>
      <c r="T23" s="12"/>
      <c r="U23" s="12"/>
      <c r="V23" s="12"/>
      <c r="W23" s="12"/>
      <c r="X23" s="12"/>
      <c r="Y23" s="12"/>
      <c r="Z23" s="12"/>
    </row>
    <row r="24" spans="1:26" ht="15.75" customHeight="1" x14ac:dyDescent="0.25">
      <c r="A24" s="123" t="s">
        <v>528</v>
      </c>
      <c r="B24" s="853" t="s">
        <v>529</v>
      </c>
      <c r="C24" s="853"/>
      <c r="D24" s="124">
        <v>0</v>
      </c>
      <c r="E24" s="120"/>
      <c r="F24" s="44"/>
      <c r="G24" s="44"/>
      <c r="H24" s="44"/>
      <c r="I24" s="43"/>
      <c r="J24" s="12"/>
      <c r="K24" s="12"/>
      <c r="L24" s="12"/>
      <c r="M24" s="12"/>
      <c r="N24" s="12"/>
      <c r="O24" s="12"/>
      <c r="P24" s="12"/>
      <c r="Q24" s="12"/>
      <c r="R24" s="12"/>
      <c r="S24" s="12"/>
      <c r="T24" s="12"/>
      <c r="U24" s="12"/>
      <c r="V24" s="12"/>
      <c r="W24" s="12"/>
      <c r="X24" s="12"/>
      <c r="Y24" s="12"/>
      <c r="Z24" s="12"/>
    </row>
    <row r="25" spans="1:26" ht="15.75" customHeight="1" x14ac:dyDescent="0.25">
      <c r="A25" s="854" t="s">
        <v>530</v>
      </c>
      <c r="B25" s="854"/>
      <c r="C25" s="125">
        <f>SUM(C15:C20)</f>
        <v>931555.34921820799</v>
      </c>
      <c r="D25" s="113"/>
      <c r="E25" s="113"/>
      <c r="F25" s="854" t="s">
        <v>531</v>
      </c>
      <c r="G25" s="854"/>
      <c r="H25" s="854"/>
      <c r="I25" s="854"/>
      <c r="J25" s="12"/>
      <c r="K25" s="12"/>
      <c r="L25" s="12"/>
      <c r="M25" s="12"/>
      <c r="N25" s="12"/>
      <c r="O25" s="12"/>
      <c r="P25" s="12"/>
      <c r="Q25" s="12"/>
      <c r="R25" s="12"/>
      <c r="S25" s="12"/>
      <c r="T25" s="12"/>
      <c r="U25" s="12"/>
      <c r="V25" s="12"/>
      <c r="W25" s="12"/>
      <c r="X25" s="12"/>
      <c r="Y25" s="12"/>
      <c r="Z25" s="12"/>
    </row>
    <row r="26" spans="1:26" ht="15.75" customHeight="1" x14ac:dyDescent="0.25">
      <c r="A26" s="854" t="s">
        <v>532</v>
      </c>
      <c r="B26" s="854"/>
      <c r="C26" s="125">
        <f>C25+I11</f>
        <v>5503906.9592182096</v>
      </c>
      <c r="D26" s="113"/>
      <c r="E26" s="113"/>
      <c r="F26" s="126" t="s">
        <v>533</v>
      </c>
      <c r="G26" s="117">
        <v>0.2034</v>
      </c>
      <c r="H26" s="117">
        <v>0.22120000000000001</v>
      </c>
      <c r="I26" s="117">
        <v>0.25</v>
      </c>
      <c r="J26" s="12"/>
      <c r="K26" s="127"/>
      <c r="L26" s="12"/>
      <c r="M26" s="12"/>
      <c r="N26" s="12"/>
      <c r="O26" s="12"/>
      <c r="P26" s="12"/>
      <c r="Q26" s="12"/>
      <c r="R26" s="12"/>
      <c r="S26" s="12"/>
      <c r="T26" s="12"/>
      <c r="U26" s="12"/>
      <c r="V26" s="12"/>
      <c r="W26" s="12"/>
      <c r="X26" s="12"/>
      <c r="Y26" s="12"/>
      <c r="Z26" s="12"/>
    </row>
    <row r="27" spans="1:26" ht="15.75" customHeight="1" x14ac:dyDescent="0.25">
      <c r="A27" s="854" t="s">
        <v>467</v>
      </c>
      <c r="B27" s="854"/>
      <c r="C27" s="854"/>
      <c r="D27" s="117">
        <f>(((1+$D15+$D16+$D17)*(1+$D18)*(1+$D19)/(1-$D20)))-1</f>
        <v>0.20373659523052501</v>
      </c>
      <c r="E27" s="113" t="str">
        <f>IF(AND($D27&gt;=$G27,$D27&lt;=$I27),"OK","DIFERE")</f>
        <v>OK</v>
      </c>
      <c r="F27" s="126" t="s">
        <v>534</v>
      </c>
      <c r="G27" s="117">
        <f>((G26+1))/(1-$D$24)-1</f>
        <v>0.20340000000000003</v>
      </c>
      <c r="H27" s="117">
        <f>((H26+1))/(1-$D$24)-1</f>
        <v>0.22120000000000006</v>
      </c>
      <c r="I27" s="117">
        <f>((I26+1))/(1-$D$24)-1</f>
        <v>0.25</v>
      </c>
      <c r="J27" s="12"/>
      <c r="K27" s="12"/>
      <c r="L27" s="12"/>
      <c r="M27" s="12"/>
      <c r="N27" s="12"/>
      <c r="O27" s="12"/>
      <c r="P27" s="12"/>
      <c r="Q27" s="12"/>
      <c r="R27" s="12"/>
      <c r="S27" s="12"/>
      <c r="T27" s="12"/>
      <c r="U27" s="12"/>
      <c r="V27" s="12"/>
      <c r="W27" s="12"/>
      <c r="X27" s="12"/>
      <c r="Y27" s="12"/>
      <c r="Z27" s="12"/>
    </row>
    <row r="28" spans="1:26" ht="15.75" customHeight="1" x14ac:dyDescent="0.25">
      <c r="A28" s="44"/>
      <c r="B28" s="44"/>
      <c r="C28" s="44"/>
      <c r="D28" s="44"/>
      <c r="E28" s="104"/>
      <c r="F28" s="44"/>
      <c r="G28" s="44"/>
      <c r="H28" s="44"/>
      <c r="I28" s="44"/>
      <c r="J28" s="12"/>
      <c r="K28" s="12"/>
      <c r="L28" s="44"/>
      <c r="M28" s="44"/>
      <c r="N28" s="44"/>
      <c r="O28" s="44"/>
      <c r="P28" s="44"/>
      <c r="Q28" s="44"/>
      <c r="R28" s="44"/>
      <c r="S28" s="44"/>
      <c r="T28" s="44"/>
      <c r="U28" s="44"/>
      <c r="V28" s="44"/>
      <c r="W28" s="44"/>
      <c r="X28" s="44"/>
      <c r="Y28" s="44"/>
      <c r="Z28" s="44"/>
    </row>
    <row r="29" spans="1:26" ht="15.75" customHeight="1" x14ac:dyDescent="0.25">
      <c r="A29" s="44"/>
      <c r="B29" s="44"/>
      <c r="C29" s="44"/>
      <c r="D29" s="44"/>
      <c r="E29" s="104"/>
      <c r="F29" s="44"/>
      <c r="G29" s="44"/>
      <c r="H29" s="44"/>
      <c r="I29" s="44"/>
      <c r="J29" s="12"/>
      <c r="K29" s="12"/>
      <c r="L29" s="44"/>
      <c r="M29" s="44"/>
      <c r="N29" s="44"/>
      <c r="O29" s="44"/>
      <c r="P29" s="44"/>
      <c r="Q29" s="44"/>
      <c r="R29" s="44"/>
      <c r="S29" s="44"/>
      <c r="T29" s="44"/>
      <c r="U29" s="44"/>
      <c r="V29" s="44"/>
      <c r="W29" s="44"/>
      <c r="X29" s="44"/>
      <c r="Y29" s="44"/>
      <c r="Z29" s="44"/>
    </row>
    <row r="30" spans="1:26" ht="15.75" customHeight="1" x14ac:dyDescent="0.25">
      <c r="A30" s="128"/>
      <c r="B30" s="855" t="s">
        <v>535</v>
      </c>
      <c r="C30" s="855"/>
      <c r="D30" s="855"/>
      <c r="E30" s="855"/>
      <c r="F30" s="855"/>
      <c r="G30" s="855"/>
      <c r="H30" s="849"/>
      <c r="I30" s="849"/>
      <c r="J30" s="44"/>
      <c r="K30" s="44"/>
      <c r="L30" s="12"/>
      <c r="M30" s="12"/>
      <c r="N30" s="12"/>
      <c r="O30" s="12"/>
      <c r="P30" s="12"/>
      <c r="Q30" s="12"/>
      <c r="R30" s="12"/>
      <c r="S30" s="12"/>
      <c r="T30" s="12"/>
      <c r="U30" s="12"/>
      <c r="V30" s="12"/>
      <c r="W30" s="12"/>
      <c r="X30" s="12"/>
      <c r="Y30" s="12"/>
      <c r="Z30" s="12"/>
    </row>
    <row r="31" spans="1:26" ht="18" customHeight="1" x14ac:dyDescent="0.25">
      <c r="A31" s="44"/>
      <c r="B31" s="44"/>
      <c r="C31" s="44"/>
      <c r="D31" s="44"/>
      <c r="E31" s="104"/>
      <c r="F31" s="44"/>
      <c r="G31" s="44"/>
      <c r="H31" s="44"/>
      <c r="I31" s="44"/>
      <c r="J31" s="44"/>
      <c r="K31" s="44"/>
      <c r="L31" s="112"/>
      <c r="M31" s="112"/>
      <c r="N31" s="112"/>
      <c r="O31" s="112"/>
      <c r="P31" s="112"/>
      <c r="Q31" s="112"/>
      <c r="R31" s="112"/>
      <c r="S31" s="112"/>
      <c r="T31" s="112"/>
      <c r="U31" s="112"/>
      <c r="V31" s="112"/>
      <c r="W31" s="112"/>
      <c r="X31" s="112"/>
      <c r="Y31" s="112"/>
      <c r="Z31" s="112"/>
    </row>
    <row r="32" spans="1:26" ht="19.5" customHeight="1" x14ac:dyDescent="0.25">
      <c r="A32" s="850" t="s">
        <v>536</v>
      </c>
      <c r="B32" s="850"/>
      <c r="C32" s="850"/>
      <c r="D32" s="850"/>
      <c r="E32" s="850"/>
      <c r="F32" s="850"/>
      <c r="G32" s="850"/>
      <c r="H32" s="850"/>
      <c r="I32" s="110">
        <f>'FOLHA FECHAMENTO'!$E$24</f>
        <v>1075290.9300000002</v>
      </c>
      <c r="J32" s="12"/>
      <c r="K32" s="12"/>
      <c r="L32" s="112"/>
      <c r="M32" s="112"/>
      <c r="N32" s="112"/>
      <c r="O32" s="112"/>
      <c r="P32" s="112"/>
      <c r="Q32" s="112"/>
      <c r="R32" s="112"/>
      <c r="S32" s="112"/>
      <c r="T32" s="112"/>
      <c r="U32" s="112"/>
      <c r="V32" s="112"/>
      <c r="W32" s="112"/>
      <c r="X32" s="112"/>
      <c r="Y32" s="112"/>
      <c r="Z32" s="112"/>
    </row>
    <row r="33" spans="1:26" ht="15.75" customHeight="1" x14ac:dyDescent="0.25">
      <c r="A33" s="851" t="s">
        <v>494</v>
      </c>
      <c r="B33" s="851" t="s">
        <v>495</v>
      </c>
      <c r="C33" s="851" t="s">
        <v>496</v>
      </c>
      <c r="D33" s="851" t="s">
        <v>497</v>
      </c>
      <c r="E33" s="852" t="s">
        <v>498</v>
      </c>
      <c r="F33" s="852" t="s">
        <v>499</v>
      </c>
      <c r="G33" s="851" t="s">
        <v>500</v>
      </c>
      <c r="H33" s="851"/>
      <c r="I33" s="851"/>
      <c r="J33" s="112"/>
      <c r="K33" s="112"/>
      <c r="L33" s="12"/>
      <c r="M33" s="12"/>
      <c r="N33" s="12"/>
      <c r="O33" s="12"/>
      <c r="P33" s="12"/>
      <c r="Q33" s="12"/>
      <c r="R33" s="12"/>
      <c r="S33" s="12"/>
      <c r="T33" s="12"/>
      <c r="U33" s="12"/>
      <c r="V33" s="12"/>
      <c r="W33" s="12"/>
      <c r="X33" s="12"/>
      <c r="Y33" s="12"/>
      <c r="Z33" s="12"/>
    </row>
    <row r="34" spans="1:26" ht="15.75" customHeight="1" x14ac:dyDescent="0.25">
      <c r="A34" s="851"/>
      <c r="B34" s="851"/>
      <c r="C34" s="851"/>
      <c r="D34" s="851"/>
      <c r="E34" s="851"/>
      <c r="F34" s="851"/>
      <c r="G34" s="111" t="s">
        <v>501</v>
      </c>
      <c r="H34" s="111" t="s">
        <v>502</v>
      </c>
      <c r="I34" s="111" t="s">
        <v>503</v>
      </c>
      <c r="J34" s="112"/>
      <c r="K34" s="112"/>
      <c r="L34" s="12"/>
      <c r="M34" s="12"/>
      <c r="N34" s="12"/>
      <c r="O34" s="12"/>
      <c r="P34" s="12"/>
      <c r="Q34" s="12"/>
      <c r="R34" s="12"/>
      <c r="S34" s="12"/>
      <c r="T34" s="12"/>
      <c r="U34" s="12"/>
      <c r="V34" s="12"/>
      <c r="W34" s="12"/>
      <c r="X34" s="12"/>
      <c r="Y34" s="12"/>
      <c r="Z34" s="12"/>
    </row>
    <row r="35" spans="1:26" ht="15.75" customHeight="1" x14ac:dyDescent="0.25">
      <c r="A35" s="113">
        <v>1</v>
      </c>
      <c r="B35" s="114" t="s">
        <v>504</v>
      </c>
      <c r="C35" s="115">
        <f>D35*$I$32</f>
        <v>17204.654880000002</v>
      </c>
      <c r="D35" s="116">
        <v>1.6E-2</v>
      </c>
      <c r="E35" s="113"/>
      <c r="F35" s="113" t="str">
        <f>IF(AND(D35&gt;=G35,D35&lt;=I35),"OK","DIFERE")</f>
        <v>OK</v>
      </c>
      <c r="G35" s="117">
        <v>1.4999999999999999E-2</v>
      </c>
      <c r="H35" s="117">
        <v>3.4500000000000003E-2</v>
      </c>
      <c r="I35" s="117">
        <v>4.4900000000000002E-2</v>
      </c>
      <c r="J35" s="12" t="s">
        <v>505</v>
      </c>
      <c r="K35" s="12" t="s">
        <v>506</v>
      </c>
      <c r="L35" s="12"/>
      <c r="M35" s="12"/>
      <c r="N35" s="12"/>
      <c r="O35" s="12"/>
      <c r="P35" s="12"/>
      <c r="Q35" s="12"/>
      <c r="R35" s="12"/>
      <c r="S35" s="12"/>
      <c r="T35" s="12"/>
      <c r="U35" s="12"/>
      <c r="V35" s="12"/>
      <c r="W35" s="12"/>
      <c r="X35" s="12"/>
      <c r="Y35" s="12"/>
      <c r="Z35" s="12"/>
    </row>
    <row r="36" spans="1:26" ht="15.75" customHeight="1" x14ac:dyDescent="0.25">
      <c r="A36" s="113">
        <v>2</v>
      </c>
      <c r="B36" s="114" t="s">
        <v>507</v>
      </c>
      <c r="C36" s="115">
        <f>D36*$I$32</f>
        <v>3225.8727900000004</v>
      </c>
      <c r="D36" s="116">
        <v>3.0000000000000001E-3</v>
      </c>
      <c r="E36" s="113"/>
      <c r="F36" s="113" t="str">
        <f>IF(AND(D36&gt;=G36,D36&lt;=I36),"OK","DIFERE")</f>
        <v>OK</v>
      </c>
      <c r="G36" s="117">
        <v>3.0000000000000001E-3</v>
      </c>
      <c r="H36" s="117">
        <v>4.7999999999999996E-3</v>
      </c>
      <c r="I36" s="117">
        <v>8.2000000000000007E-3</v>
      </c>
      <c r="J36" s="12" t="s">
        <v>508</v>
      </c>
      <c r="K36" s="12" t="s">
        <v>509</v>
      </c>
      <c r="L36" s="12"/>
      <c r="M36" s="12"/>
      <c r="N36" s="12"/>
      <c r="O36" s="12"/>
      <c r="P36" s="12"/>
      <c r="Q36" s="12"/>
      <c r="R36" s="12"/>
      <c r="S36" s="12"/>
      <c r="T36" s="12"/>
      <c r="U36" s="12"/>
      <c r="V36" s="12"/>
      <c r="W36" s="12"/>
      <c r="X36" s="12"/>
      <c r="Y36" s="12"/>
      <c r="Z36" s="12"/>
    </row>
    <row r="37" spans="1:26" ht="15.75" customHeight="1" x14ac:dyDescent="0.25">
      <c r="A37" s="113">
        <v>3</v>
      </c>
      <c r="B37" s="114" t="s">
        <v>510</v>
      </c>
      <c r="C37" s="115">
        <f>D37*$I$32</f>
        <v>6021.6292080000012</v>
      </c>
      <c r="D37" s="116">
        <v>5.5999999999999999E-3</v>
      </c>
      <c r="E37" s="113"/>
      <c r="F37" s="113" t="str">
        <f>IF(AND(D37&gt;=G37,D37&lt;=I37),"OK","DIFERE")</f>
        <v>OK</v>
      </c>
      <c r="G37" s="117">
        <v>5.5999999999999999E-3</v>
      </c>
      <c r="H37" s="117">
        <v>8.5000000000000006E-3</v>
      </c>
      <c r="I37" s="117">
        <v>8.8999999999999999E-3</v>
      </c>
      <c r="J37" s="12" t="s">
        <v>511</v>
      </c>
      <c r="K37" s="12" t="s">
        <v>512</v>
      </c>
      <c r="L37" s="12"/>
      <c r="M37" s="12"/>
      <c r="N37" s="12"/>
      <c r="O37" s="12"/>
      <c r="P37" s="12"/>
      <c r="Q37" s="12"/>
      <c r="R37" s="12"/>
      <c r="S37" s="12"/>
      <c r="T37" s="12"/>
      <c r="U37" s="12"/>
      <c r="V37" s="12"/>
      <c r="W37" s="12"/>
      <c r="X37" s="12"/>
      <c r="Y37" s="12"/>
      <c r="Z37" s="12"/>
    </row>
    <row r="38" spans="1:26" ht="15.75" customHeight="1" x14ac:dyDescent="0.25">
      <c r="A38" s="113">
        <v>4</v>
      </c>
      <c r="B38" s="114" t="s">
        <v>513</v>
      </c>
      <c r="C38" s="115">
        <f>D38*($I$32+C35+C36+C37)</f>
        <v>9364.8162384630014</v>
      </c>
      <c r="D38" s="116">
        <v>8.5000000000000006E-3</v>
      </c>
      <c r="E38" s="113"/>
      <c r="F38" s="113" t="str">
        <f>IF(AND(D38&gt;=G38,D38&lt;=I38),"OK","DIFERE")</f>
        <v>OK</v>
      </c>
      <c r="G38" s="117">
        <v>8.5000000000000006E-3</v>
      </c>
      <c r="H38" s="117">
        <v>8.5000000000000006E-3</v>
      </c>
      <c r="I38" s="117">
        <v>1.11E-2</v>
      </c>
      <c r="J38" s="12" t="s">
        <v>514</v>
      </c>
      <c r="K38" s="12" t="s">
        <v>515</v>
      </c>
      <c r="L38" s="12"/>
      <c r="M38" s="12"/>
      <c r="N38" s="12"/>
      <c r="O38" s="12"/>
      <c r="P38" s="12"/>
      <c r="Q38" s="12"/>
      <c r="R38" s="12"/>
      <c r="S38" s="12"/>
      <c r="T38" s="12"/>
      <c r="U38" s="12"/>
      <c r="V38" s="12"/>
      <c r="W38" s="12"/>
      <c r="X38" s="12"/>
      <c r="Y38" s="12"/>
      <c r="Z38" s="12"/>
    </row>
    <row r="39" spans="1:26" ht="15.75" customHeight="1" x14ac:dyDescent="0.25">
      <c r="A39" s="113">
        <v>5</v>
      </c>
      <c r="B39" s="114" t="s">
        <v>516</v>
      </c>
      <c r="C39" s="115">
        <f>D39*($I$32+C35+C36+C37+C38)</f>
        <v>39999.884512192664</v>
      </c>
      <c r="D39" s="116">
        <v>3.5999999999999997E-2</v>
      </c>
      <c r="E39" s="113"/>
      <c r="F39" s="113" t="str">
        <f>IF(AND(D39&gt;=G39,D39&lt;=I39),"OK","DIFERE")</f>
        <v>OK</v>
      </c>
      <c r="G39" s="117">
        <v>3.5000000000000003E-2</v>
      </c>
      <c r="H39" s="117">
        <v>5.11E-2</v>
      </c>
      <c r="I39" s="117">
        <v>6.2199999999999998E-2</v>
      </c>
      <c r="J39" s="12" t="s">
        <v>517</v>
      </c>
      <c r="K39" s="12" t="s">
        <v>518</v>
      </c>
      <c r="L39" s="12"/>
      <c r="M39" s="12"/>
      <c r="N39" s="12"/>
      <c r="O39" s="12"/>
      <c r="P39" s="12"/>
      <c r="Q39" s="12"/>
      <c r="R39" s="12"/>
      <c r="S39" s="12"/>
      <c r="T39" s="12"/>
      <c r="U39" s="12"/>
      <c r="V39" s="12"/>
      <c r="W39" s="12"/>
      <c r="X39" s="12"/>
      <c r="Y39" s="12"/>
      <c r="Z39" s="12"/>
    </row>
    <row r="40" spans="1:26" ht="15.75" customHeight="1" x14ac:dyDescent="0.25">
      <c r="A40" s="113">
        <v>6</v>
      </c>
      <c r="B40" s="118" t="s">
        <v>519</v>
      </c>
      <c r="C40" s="115">
        <f>D40*$I$32*(1+D47)</f>
        <v>43607.093148361106</v>
      </c>
      <c r="D40" s="119">
        <f>SUM(D41:D44)</f>
        <v>3.6499999999999998E-2</v>
      </c>
      <c r="E40" s="120"/>
      <c r="F40" s="44"/>
      <c r="G40" s="121"/>
      <c r="H40" s="121"/>
      <c r="I40" s="122"/>
      <c r="J40" s="12" t="s">
        <v>520</v>
      </c>
      <c r="K40" s="12" t="s">
        <v>521</v>
      </c>
      <c r="L40" s="12"/>
      <c r="M40" s="12"/>
      <c r="N40" s="12"/>
      <c r="O40" s="12"/>
      <c r="P40" s="12"/>
      <c r="Q40" s="12"/>
      <c r="R40" s="12"/>
      <c r="S40" s="12"/>
      <c r="T40" s="12"/>
      <c r="U40" s="12"/>
      <c r="V40" s="12"/>
      <c r="W40" s="12"/>
      <c r="X40" s="12"/>
      <c r="Y40" s="12"/>
      <c r="Z40" s="12"/>
    </row>
    <row r="41" spans="1:26" ht="15.75" customHeight="1" x14ac:dyDescent="0.25">
      <c r="A41" s="123" t="s">
        <v>522</v>
      </c>
      <c r="B41" s="853" t="s">
        <v>523</v>
      </c>
      <c r="C41" s="853"/>
      <c r="D41" s="116">
        <v>6.4999999999999997E-3</v>
      </c>
      <c r="E41" s="120"/>
      <c r="F41" s="44"/>
      <c r="G41" s="44"/>
      <c r="H41" s="44"/>
      <c r="I41" s="43"/>
      <c r="J41" s="12"/>
      <c r="K41" s="12"/>
      <c r="L41" s="12"/>
      <c r="M41" s="12"/>
      <c r="N41" s="12"/>
      <c r="O41" s="12"/>
      <c r="P41" s="12"/>
      <c r="Q41" s="12"/>
      <c r="R41" s="12"/>
      <c r="S41" s="12"/>
      <c r="T41" s="12"/>
      <c r="U41" s="12"/>
      <c r="V41" s="12"/>
      <c r="W41" s="12"/>
      <c r="X41" s="12"/>
      <c r="Y41" s="12"/>
      <c r="Z41" s="12"/>
    </row>
    <row r="42" spans="1:26" ht="15.75" customHeight="1" x14ac:dyDescent="0.25">
      <c r="A42" s="123" t="s">
        <v>524</v>
      </c>
      <c r="B42" s="853" t="s">
        <v>525</v>
      </c>
      <c r="C42" s="853"/>
      <c r="D42" s="116">
        <v>0.03</v>
      </c>
      <c r="E42" s="120"/>
      <c r="F42" s="44"/>
      <c r="G42" s="44"/>
      <c r="H42" s="44"/>
      <c r="I42" s="43"/>
      <c r="J42" s="12"/>
      <c r="K42" s="12"/>
      <c r="L42" s="12"/>
      <c r="M42" s="12"/>
      <c r="N42" s="12"/>
      <c r="O42" s="12"/>
      <c r="P42" s="12"/>
      <c r="Q42" s="12"/>
      <c r="R42" s="12"/>
      <c r="S42" s="12"/>
      <c r="T42" s="12"/>
      <c r="U42" s="12"/>
      <c r="V42" s="12"/>
      <c r="W42" s="12"/>
      <c r="X42" s="12"/>
      <c r="Y42" s="12"/>
      <c r="Z42" s="12"/>
    </row>
    <row r="43" spans="1:26" ht="15.75" customHeight="1" x14ac:dyDescent="0.25">
      <c r="A43" s="123" t="s">
        <v>526</v>
      </c>
      <c r="B43" s="853" t="s">
        <v>527</v>
      </c>
      <c r="C43" s="853"/>
      <c r="D43" s="116">
        <v>0</v>
      </c>
      <c r="E43" s="120"/>
      <c r="F43" s="44"/>
      <c r="G43" s="44"/>
      <c r="H43" s="44"/>
      <c r="I43" s="43"/>
      <c r="J43" s="12"/>
      <c r="K43" s="12"/>
      <c r="L43" s="12"/>
      <c r="M43" s="12"/>
      <c r="N43" s="12"/>
      <c r="O43" s="12"/>
      <c r="P43" s="12"/>
      <c r="Q43" s="12"/>
      <c r="R43" s="12"/>
      <c r="S43" s="12"/>
      <c r="T43" s="12"/>
      <c r="U43" s="12"/>
      <c r="V43" s="12"/>
      <c r="W43" s="12"/>
      <c r="X43" s="12"/>
      <c r="Y43" s="12"/>
      <c r="Z43" s="12"/>
    </row>
    <row r="44" spans="1:26" ht="15.75" customHeight="1" x14ac:dyDescent="0.25">
      <c r="A44" s="123" t="s">
        <v>528</v>
      </c>
      <c r="B44" s="853" t="s">
        <v>529</v>
      </c>
      <c r="C44" s="853"/>
      <c r="D44" s="124">
        <v>0</v>
      </c>
      <c r="E44" s="120"/>
      <c r="F44" s="44"/>
      <c r="G44" s="44"/>
      <c r="H44" s="44"/>
      <c r="I44" s="43"/>
      <c r="J44" s="12"/>
      <c r="K44" s="12"/>
      <c r="L44" s="12"/>
      <c r="M44" s="12"/>
      <c r="N44" s="12"/>
      <c r="O44" s="12"/>
      <c r="P44" s="12"/>
      <c r="Q44" s="12"/>
      <c r="R44" s="12"/>
      <c r="S44" s="12"/>
      <c r="T44" s="12"/>
      <c r="U44" s="12"/>
      <c r="V44" s="12"/>
      <c r="W44" s="12"/>
      <c r="X44" s="12"/>
      <c r="Y44" s="12"/>
      <c r="Z44" s="12"/>
    </row>
    <row r="45" spans="1:26" ht="15.75" customHeight="1" x14ac:dyDescent="0.25">
      <c r="A45" s="854" t="s">
        <v>530</v>
      </c>
      <c r="B45" s="854"/>
      <c r="C45" s="125">
        <f>SUM(C35:C40)</f>
        <v>119423.95077701678</v>
      </c>
      <c r="D45" s="113"/>
      <c r="E45" s="113"/>
      <c r="F45" s="854" t="s">
        <v>531</v>
      </c>
      <c r="G45" s="854"/>
      <c r="H45" s="854"/>
      <c r="I45" s="854"/>
      <c r="J45" s="12"/>
      <c r="K45" s="12"/>
      <c r="L45" s="12"/>
      <c r="M45" s="12"/>
      <c r="N45" s="12"/>
      <c r="O45" s="12"/>
      <c r="P45" s="12"/>
      <c r="Q45" s="12"/>
      <c r="R45" s="12"/>
      <c r="S45" s="12"/>
      <c r="T45" s="12"/>
      <c r="U45" s="12"/>
      <c r="V45" s="12"/>
      <c r="W45" s="12"/>
      <c r="X45" s="12"/>
      <c r="Y45" s="12"/>
      <c r="Z45" s="12"/>
    </row>
    <row r="46" spans="1:26" ht="15.75" customHeight="1" x14ac:dyDescent="0.25">
      <c r="A46" s="854" t="s">
        <v>532</v>
      </c>
      <c r="B46" s="854"/>
      <c r="C46" s="125">
        <f>C45+I32</f>
        <v>1194714.880777017</v>
      </c>
      <c r="D46" s="113"/>
      <c r="E46" s="113"/>
      <c r="F46" s="126" t="s">
        <v>533</v>
      </c>
      <c r="G46" s="117">
        <v>0.111</v>
      </c>
      <c r="H46" s="117">
        <v>0.14019999999999999</v>
      </c>
      <c r="I46" s="117">
        <v>0.16800000000000001</v>
      </c>
      <c r="J46" s="12"/>
      <c r="K46" s="127"/>
      <c r="L46" s="12"/>
      <c r="M46" s="12"/>
      <c r="N46" s="12"/>
      <c r="O46" s="12"/>
      <c r="P46" s="12"/>
      <c r="Q46" s="12"/>
      <c r="R46" s="12"/>
      <c r="S46" s="12"/>
      <c r="T46" s="12"/>
      <c r="U46" s="12"/>
      <c r="V46" s="12"/>
      <c r="W46" s="12"/>
      <c r="X46" s="12"/>
      <c r="Y46" s="12"/>
      <c r="Z46" s="12"/>
    </row>
    <row r="47" spans="1:26" ht="15.75" customHeight="1" x14ac:dyDescent="0.25">
      <c r="A47" s="854" t="s">
        <v>467</v>
      </c>
      <c r="B47" s="854"/>
      <c r="C47" s="854"/>
      <c r="D47" s="117">
        <f>(((1+$D35+$D36+$D37)*(1+$D38)*(1+$D39)/(1-$D40)))-1</f>
        <v>0.11106199024390229</v>
      </c>
      <c r="E47" s="113" t="str">
        <f>IF(AND($D47&gt;=$G47,$D47&lt;=$I47),"OK","DIFERE")</f>
        <v>OK</v>
      </c>
      <c r="F47" s="126" t="s">
        <v>534</v>
      </c>
      <c r="G47" s="117">
        <f>((G46+1))/(1-$D$44)-1</f>
        <v>0.11099999999999999</v>
      </c>
      <c r="H47" s="117">
        <f>((H46+1))/(1-$D$44)-1</f>
        <v>0.1402000000000001</v>
      </c>
      <c r="I47" s="117">
        <f>((I46+1))/(1-$D$44)-1</f>
        <v>0.16799999999999993</v>
      </c>
      <c r="J47" s="12"/>
      <c r="K47" s="12"/>
      <c r="L47" s="12"/>
      <c r="M47" s="12"/>
      <c r="N47" s="12"/>
      <c r="O47" s="12"/>
      <c r="P47" s="12"/>
      <c r="Q47" s="12"/>
      <c r="R47" s="12"/>
      <c r="S47" s="12"/>
      <c r="T47" s="12"/>
      <c r="U47" s="12"/>
      <c r="V47" s="12"/>
      <c r="W47" s="12"/>
      <c r="X47" s="12"/>
      <c r="Y47" s="12"/>
      <c r="Z47" s="12"/>
    </row>
    <row r="48" spans="1:26" ht="15.75" customHeight="1" x14ac:dyDescent="0.25">
      <c r="A48" s="44"/>
      <c r="B48" s="44"/>
      <c r="C48" s="44"/>
      <c r="D48" s="44"/>
      <c r="E48" s="104"/>
      <c r="F48" s="44"/>
      <c r="G48" s="44"/>
      <c r="H48" s="44"/>
      <c r="I48" s="44"/>
      <c r="J48" s="12"/>
      <c r="K48" s="12"/>
      <c r="L48" s="12"/>
      <c r="M48" s="12"/>
      <c r="N48" s="12"/>
      <c r="O48" s="12"/>
      <c r="P48" s="12"/>
      <c r="Q48" s="12"/>
      <c r="R48" s="12"/>
      <c r="S48" s="12"/>
      <c r="T48" s="12"/>
      <c r="U48" s="12"/>
      <c r="V48" s="12"/>
      <c r="W48" s="12"/>
      <c r="X48" s="12"/>
      <c r="Y48" s="12"/>
      <c r="Z48" s="12"/>
    </row>
    <row r="49" spans="1:26" ht="15.75" customHeight="1" x14ac:dyDescent="0.25">
      <c r="A49" s="44"/>
      <c r="B49" s="44"/>
      <c r="C49" s="44"/>
      <c r="D49" s="44"/>
      <c r="E49" s="34" t="s">
        <v>537</v>
      </c>
      <c r="F49" s="35"/>
      <c r="G49" s="35"/>
      <c r="H49" s="35"/>
      <c r="I49" s="37"/>
      <c r="J49" s="12"/>
      <c r="K49" s="12"/>
      <c r="L49" s="12"/>
      <c r="M49" s="12"/>
      <c r="N49" s="12"/>
      <c r="O49" s="12"/>
      <c r="P49" s="12"/>
      <c r="Q49" s="12"/>
      <c r="R49" s="12"/>
      <c r="S49" s="12"/>
      <c r="T49" s="12"/>
      <c r="U49" s="12"/>
      <c r="V49" s="12"/>
      <c r="W49" s="12"/>
      <c r="X49" s="12"/>
      <c r="Y49" s="12"/>
      <c r="Z49" s="12"/>
    </row>
    <row r="50" spans="1:26" ht="15.75" customHeight="1" x14ac:dyDescent="0.25">
      <c r="A50" s="44"/>
      <c r="B50" s="44"/>
      <c r="C50" s="44"/>
      <c r="D50" s="44"/>
      <c r="E50" s="40"/>
      <c r="F50" s="44"/>
      <c r="G50" s="44"/>
      <c r="H50" s="44"/>
      <c r="I50" s="43"/>
      <c r="J50" s="12"/>
      <c r="K50" s="12"/>
      <c r="L50" s="12"/>
      <c r="M50" s="12"/>
      <c r="N50" s="12"/>
      <c r="O50" s="12"/>
      <c r="P50" s="12"/>
      <c r="Q50" s="12"/>
      <c r="R50" s="12"/>
      <c r="S50" s="12"/>
      <c r="T50" s="12"/>
      <c r="U50" s="12"/>
      <c r="V50" s="12"/>
      <c r="W50" s="12"/>
      <c r="X50" s="12"/>
      <c r="Y50" s="12"/>
      <c r="Z50" s="12"/>
    </row>
    <row r="51" spans="1:26" ht="15.75" customHeight="1" x14ac:dyDescent="0.25">
      <c r="A51" s="44"/>
      <c r="B51" s="44"/>
      <c r="C51" s="44"/>
      <c r="D51" s="44"/>
      <c r="E51" s="40"/>
      <c r="F51" s="44"/>
      <c r="G51" s="44"/>
      <c r="H51" s="44"/>
      <c r="I51" s="43"/>
      <c r="J51" s="12"/>
      <c r="K51" s="12"/>
      <c r="L51" s="12"/>
      <c r="M51" s="12"/>
      <c r="N51" s="12"/>
      <c r="O51" s="12"/>
      <c r="P51" s="12"/>
      <c r="Q51" s="12"/>
      <c r="R51" s="12"/>
      <c r="S51" s="12"/>
      <c r="T51" s="12"/>
      <c r="U51" s="12"/>
      <c r="V51" s="12"/>
      <c r="W51" s="12"/>
      <c r="X51" s="12"/>
      <c r="Y51" s="12"/>
      <c r="Z51" s="12"/>
    </row>
    <row r="52" spans="1:26" ht="15.75" customHeight="1" x14ac:dyDescent="0.25">
      <c r="A52" s="44"/>
      <c r="B52" s="44"/>
      <c r="C52" s="44"/>
      <c r="D52" s="44"/>
      <c r="E52" s="40"/>
      <c r="F52" s="44"/>
      <c r="G52" s="44"/>
      <c r="H52" s="44"/>
      <c r="I52" s="43"/>
      <c r="J52" s="12"/>
      <c r="K52" s="12"/>
      <c r="L52" s="12"/>
      <c r="M52" s="12"/>
      <c r="N52" s="12"/>
      <c r="O52" s="12"/>
      <c r="P52" s="12"/>
      <c r="Q52" s="12"/>
      <c r="R52" s="12"/>
      <c r="S52" s="12"/>
      <c r="T52" s="12"/>
      <c r="U52" s="12"/>
      <c r="V52" s="12"/>
      <c r="W52" s="12"/>
      <c r="X52" s="12"/>
      <c r="Y52" s="12"/>
      <c r="Z52" s="12"/>
    </row>
    <row r="53" spans="1:26" ht="15.75" customHeight="1" x14ac:dyDescent="0.25">
      <c r="A53" s="44" t="s">
        <v>538</v>
      </c>
      <c r="B53" s="44"/>
      <c r="C53" s="44"/>
      <c r="D53" s="44"/>
      <c r="E53" s="40"/>
      <c r="F53" s="44"/>
      <c r="G53" s="44"/>
      <c r="H53" s="44"/>
      <c r="I53" s="43"/>
      <c r="J53" s="12"/>
      <c r="K53" s="12"/>
      <c r="L53" s="12"/>
      <c r="M53" s="12"/>
      <c r="N53" s="12"/>
      <c r="O53" s="12"/>
      <c r="P53" s="12"/>
      <c r="Q53" s="12"/>
      <c r="R53" s="12"/>
      <c r="S53" s="12"/>
      <c r="T53" s="12"/>
      <c r="U53" s="12"/>
      <c r="V53" s="12"/>
      <c r="W53" s="12"/>
      <c r="X53" s="12"/>
      <c r="Y53" s="12"/>
      <c r="Z53" s="12"/>
    </row>
    <row r="54" spans="1:26" ht="15.75" customHeight="1" x14ac:dyDescent="0.25">
      <c r="A54" s="44" t="s">
        <v>539</v>
      </c>
      <c r="B54" s="44"/>
      <c r="C54" s="44"/>
      <c r="D54" s="44"/>
      <c r="E54" s="40"/>
      <c r="F54" s="44"/>
      <c r="G54" s="44"/>
      <c r="H54" s="44"/>
      <c r="I54" s="43"/>
      <c r="J54" s="12"/>
      <c r="K54" s="12"/>
      <c r="L54" s="12"/>
      <c r="M54" s="12"/>
      <c r="N54" s="12"/>
      <c r="O54" s="12"/>
      <c r="P54" s="12"/>
      <c r="Q54" s="12"/>
      <c r="R54" s="12"/>
      <c r="S54" s="12"/>
      <c r="T54" s="12"/>
      <c r="U54" s="12"/>
      <c r="V54" s="12"/>
      <c r="W54" s="12"/>
      <c r="X54" s="12"/>
      <c r="Y54" s="12"/>
      <c r="Z54" s="12"/>
    </row>
    <row r="55" spans="1:26" ht="15.75" customHeight="1" x14ac:dyDescent="0.25">
      <c r="A55" s="44" t="s">
        <v>540</v>
      </c>
      <c r="B55" s="44"/>
      <c r="C55" s="44"/>
      <c r="D55" s="44"/>
      <c r="E55" s="40"/>
      <c r="F55" s="44"/>
      <c r="G55" s="44"/>
      <c r="H55" s="44"/>
      <c r="I55" s="43"/>
      <c r="J55" s="12"/>
      <c r="K55" s="12"/>
      <c r="L55" s="12"/>
      <c r="M55" s="12"/>
      <c r="N55" s="12"/>
      <c r="O55" s="12"/>
      <c r="P55" s="12"/>
      <c r="Q55" s="12"/>
      <c r="R55" s="12"/>
      <c r="S55" s="12"/>
      <c r="T55" s="12"/>
      <c r="U55" s="12"/>
      <c r="V55" s="12"/>
      <c r="W55" s="12"/>
      <c r="X55" s="12"/>
      <c r="Y55" s="12"/>
      <c r="Z55" s="12"/>
    </row>
    <row r="56" spans="1:26" ht="15.75" customHeight="1" x14ac:dyDescent="0.25">
      <c r="A56" s="44" t="s">
        <v>541</v>
      </c>
      <c r="B56" s="44"/>
      <c r="C56" s="44"/>
      <c r="D56" s="44"/>
      <c r="E56" s="129"/>
      <c r="F56" s="130"/>
      <c r="G56" s="130"/>
      <c r="H56" s="130"/>
      <c r="I56" s="131"/>
      <c r="J56" s="12"/>
      <c r="K56" s="12"/>
      <c r="L56" s="12"/>
      <c r="M56" s="12"/>
      <c r="N56" s="12"/>
      <c r="O56" s="12"/>
      <c r="P56" s="12"/>
      <c r="Q56" s="12"/>
      <c r="R56" s="12"/>
      <c r="S56" s="12"/>
      <c r="T56" s="12"/>
      <c r="U56" s="12"/>
      <c r="V56" s="12"/>
      <c r="W56" s="12"/>
      <c r="X56" s="12"/>
      <c r="Y56" s="12"/>
      <c r="Z56" s="12"/>
    </row>
    <row r="57" spans="1:26" ht="15.75" customHeight="1" x14ac:dyDescent="0.25">
      <c r="A57" s="44" t="s">
        <v>542</v>
      </c>
      <c r="B57" s="44"/>
      <c r="C57" s="44"/>
      <c r="D57" s="44"/>
      <c r="E57" s="104"/>
      <c r="F57" s="44"/>
      <c r="G57" s="44"/>
      <c r="H57" s="44"/>
      <c r="I57" s="44"/>
      <c r="J57" s="12"/>
      <c r="K57" s="12"/>
      <c r="L57" s="12"/>
      <c r="M57" s="12"/>
      <c r="N57" s="12"/>
      <c r="O57" s="12"/>
      <c r="P57" s="12"/>
      <c r="Q57" s="12"/>
      <c r="R57" s="12"/>
      <c r="S57" s="12"/>
      <c r="T57" s="12"/>
      <c r="U57" s="12"/>
      <c r="V57" s="12"/>
      <c r="W57" s="12"/>
      <c r="X57" s="12"/>
      <c r="Y57" s="12"/>
      <c r="Z57" s="12"/>
    </row>
    <row r="58" spans="1:26" ht="15.75" customHeight="1" x14ac:dyDescent="0.25">
      <c r="A58" s="44" t="s">
        <v>543</v>
      </c>
      <c r="B58" s="44"/>
      <c r="C58" s="44"/>
      <c r="D58" s="44"/>
      <c r="E58" s="104"/>
      <c r="F58" s="44"/>
      <c r="G58" s="44"/>
      <c r="H58" s="44"/>
      <c r="I58" s="44"/>
      <c r="J58" s="12"/>
      <c r="K58" s="12"/>
      <c r="L58" s="12"/>
      <c r="M58" s="12"/>
      <c r="N58" s="12"/>
      <c r="O58" s="12"/>
      <c r="P58" s="12"/>
      <c r="Q58" s="12"/>
      <c r="R58" s="12"/>
      <c r="S58" s="12"/>
      <c r="T58" s="12"/>
      <c r="U58" s="12"/>
      <c r="V58" s="12"/>
      <c r="W58" s="12"/>
      <c r="X58" s="12"/>
      <c r="Y58" s="12"/>
      <c r="Z58" s="12"/>
    </row>
    <row r="59" spans="1:26" ht="15.75" customHeight="1" x14ac:dyDescent="0.25">
      <c r="A59" s="44" t="s">
        <v>544</v>
      </c>
      <c r="B59" s="44"/>
      <c r="C59" s="44"/>
      <c r="D59" s="44"/>
      <c r="E59" s="104"/>
      <c r="F59" s="44"/>
      <c r="G59" s="44"/>
      <c r="H59" s="44"/>
      <c r="I59" s="44"/>
      <c r="J59" s="12"/>
      <c r="K59" s="12"/>
      <c r="L59" s="12"/>
      <c r="M59" s="12"/>
      <c r="N59" s="12"/>
      <c r="O59" s="12"/>
      <c r="P59" s="12"/>
      <c r="Q59" s="12"/>
      <c r="R59" s="12"/>
      <c r="S59" s="12"/>
      <c r="T59" s="12"/>
      <c r="U59" s="12"/>
      <c r="V59" s="12"/>
      <c r="W59" s="12"/>
      <c r="X59" s="12"/>
      <c r="Y59" s="12"/>
      <c r="Z59" s="12"/>
    </row>
    <row r="60" spans="1:26" ht="15.75" customHeight="1" x14ac:dyDescent="0.25">
      <c r="A60" s="44" t="s">
        <v>545</v>
      </c>
      <c r="B60" s="44"/>
      <c r="C60" s="44"/>
      <c r="D60" s="44"/>
      <c r="E60" s="104"/>
      <c r="F60" s="44"/>
      <c r="G60" s="44"/>
      <c r="H60" s="44"/>
      <c r="I60" s="44"/>
      <c r="J60" s="12"/>
      <c r="K60" s="12"/>
      <c r="L60" s="12"/>
      <c r="M60" s="12"/>
      <c r="N60" s="12"/>
      <c r="O60" s="12"/>
      <c r="P60" s="12"/>
      <c r="Q60" s="12"/>
      <c r="R60" s="12"/>
      <c r="S60" s="12"/>
      <c r="T60" s="12"/>
      <c r="U60" s="12"/>
      <c r="V60" s="12"/>
      <c r="W60" s="12"/>
      <c r="X60" s="12"/>
      <c r="Y60" s="12"/>
      <c r="Z60" s="12"/>
    </row>
    <row r="61" spans="1:26" ht="15.75" customHeight="1" x14ac:dyDescent="0.25">
      <c r="A61" s="44"/>
      <c r="B61" s="44"/>
      <c r="C61" s="44"/>
      <c r="D61" s="44"/>
      <c r="E61" s="104"/>
      <c r="F61" s="44"/>
      <c r="G61" s="44"/>
      <c r="H61" s="44"/>
      <c r="I61" s="44"/>
      <c r="J61" s="12"/>
      <c r="K61" s="12"/>
      <c r="L61" s="12"/>
      <c r="M61" s="12"/>
      <c r="N61" s="12"/>
      <c r="O61" s="12"/>
      <c r="P61" s="12"/>
      <c r="Q61" s="12"/>
      <c r="R61" s="12"/>
      <c r="S61" s="12"/>
      <c r="T61" s="12"/>
      <c r="U61" s="12"/>
      <c r="V61" s="12"/>
      <c r="W61" s="12"/>
      <c r="X61" s="12"/>
      <c r="Y61" s="12"/>
      <c r="Z61" s="12"/>
    </row>
    <row r="62" spans="1:26" ht="15.75" customHeight="1" x14ac:dyDescent="0.25">
      <c r="A62" s="44"/>
      <c r="B62" s="44"/>
      <c r="C62" s="44"/>
      <c r="D62" s="44"/>
      <c r="E62" s="104"/>
      <c r="F62" s="44"/>
      <c r="G62" s="44"/>
      <c r="H62" s="44"/>
      <c r="I62" s="44"/>
      <c r="J62" s="12"/>
      <c r="K62" s="12"/>
      <c r="L62" s="12"/>
      <c r="M62" s="12"/>
      <c r="N62" s="12"/>
      <c r="O62" s="12"/>
      <c r="P62" s="12"/>
      <c r="Q62" s="12"/>
      <c r="R62" s="12"/>
      <c r="S62" s="12"/>
      <c r="T62" s="12"/>
      <c r="U62" s="12"/>
      <c r="V62" s="12"/>
      <c r="W62" s="12"/>
      <c r="X62" s="12"/>
      <c r="Y62" s="12"/>
      <c r="Z62" s="12"/>
    </row>
    <row r="63" spans="1:26" ht="15.75" customHeight="1" x14ac:dyDescent="0.25">
      <c r="A63" s="44"/>
      <c r="B63" s="44"/>
      <c r="C63" s="44"/>
      <c r="D63" s="44"/>
      <c r="E63" s="104"/>
      <c r="F63" s="44"/>
      <c r="G63" s="44"/>
      <c r="H63" s="44"/>
      <c r="I63" s="44"/>
      <c r="J63" s="12"/>
      <c r="K63" s="12"/>
      <c r="L63" s="12"/>
      <c r="M63" s="12"/>
      <c r="N63" s="12"/>
      <c r="O63" s="12"/>
      <c r="P63" s="12"/>
      <c r="Q63" s="12"/>
      <c r="R63" s="12"/>
      <c r="S63" s="12"/>
      <c r="T63" s="12"/>
      <c r="U63" s="12"/>
      <c r="V63" s="12"/>
      <c r="W63" s="12"/>
      <c r="X63" s="12"/>
      <c r="Y63" s="12"/>
      <c r="Z63" s="12"/>
    </row>
    <row r="64" spans="1:26" ht="15.75" customHeight="1" x14ac:dyDescent="0.25">
      <c r="A64" s="44"/>
      <c r="B64" s="44"/>
      <c r="C64" s="44"/>
      <c r="D64" s="44"/>
      <c r="E64" s="104"/>
      <c r="F64" s="856" t="str">
        <f>IF(DADOS!$D$24&lt;&gt;"",DADOS!$D$24," ")</f>
        <v>Erick William da Silva Damaceno</v>
      </c>
      <c r="G64" s="856"/>
      <c r="H64" s="856"/>
      <c r="I64" s="44"/>
      <c r="J64" s="12"/>
      <c r="K64" s="12"/>
      <c r="L64" s="12"/>
      <c r="M64" s="12"/>
      <c r="N64" s="12"/>
      <c r="O64" s="12"/>
      <c r="P64" s="12"/>
      <c r="Q64" s="12"/>
      <c r="R64" s="12"/>
      <c r="S64" s="12"/>
      <c r="T64" s="12"/>
      <c r="U64" s="12"/>
      <c r="V64" s="12"/>
      <c r="W64" s="12"/>
      <c r="X64" s="12"/>
      <c r="Y64" s="12"/>
      <c r="Z64" s="12"/>
    </row>
    <row r="65" spans="1:26" ht="15.75" customHeight="1" x14ac:dyDescent="0.25">
      <c r="A65" s="44"/>
      <c r="B65" s="44"/>
      <c r="C65" s="44"/>
      <c r="D65" s="44"/>
      <c r="E65" s="104"/>
      <c r="F65" s="848" t="s">
        <v>106</v>
      </c>
      <c r="G65" s="848"/>
      <c r="H65" s="848"/>
      <c r="I65" s="44"/>
      <c r="J65" s="12"/>
      <c r="K65" s="12"/>
      <c r="L65" s="12"/>
      <c r="M65" s="12"/>
      <c r="N65" s="12"/>
      <c r="O65" s="12"/>
      <c r="P65" s="12"/>
      <c r="Q65" s="12"/>
      <c r="R65" s="12"/>
      <c r="S65" s="12"/>
      <c r="T65" s="12"/>
      <c r="U65" s="12"/>
      <c r="V65" s="12"/>
      <c r="W65" s="12"/>
      <c r="X65" s="12"/>
      <c r="Y65" s="12"/>
      <c r="Z65" s="12"/>
    </row>
    <row r="66" spans="1:26" ht="15.75" customHeight="1" x14ac:dyDescent="0.25">
      <c r="A66" s="44"/>
      <c r="B66" s="44"/>
      <c r="C66" s="44"/>
      <c r="D66" s="44"/>
      <c r="E66" s="104"/>
      <c r="F66" s="848" t="s">
        <v>108</v>
      </c>
      <c r="G66" s="848"/>
      <c r="H66" s="848"/>
      <c r="I66" s="44"/>
      <c r="J66" s="12"/>
      <c r="K66" s="12"/>
      <c r="L66" s="12"/>
      <c r="M66" s="12"/>
      <c r="N66" s="12"/>
      <c r="O66" s="12"/>
      <c r="P66" s="12"/>
      <c r="Q66" s="12"/>
      <c r="R66" s="12"/>
      <c r="S66" s="12"/>
      <c r="T66" s="12"/>
      <c r="U66" s="12"/>
      <c r="V66" s="12"/>
      <c r="W66" s="12"/>
      <c r="X66" s="12"/>
      <c r="Y66" s="12"/>
      <c r="Z66" s="12"/>
    </row>
    <row r="67" spans="1:26" ht="15.75" customHeight="1" x14ac:dyDescent="0.25">
      <c r="A67" s="44"/>
      <c r="B67" s="44"/>
      <c r="C67" s="44"/>
      <c r="D67" s="44"/>
      <c r="E67" s="104"/>
      <c r="F67" s="44"/>
      <c r="G67" s="44"/>
      <c r="H67" s="44"/>
      <c r="I67" s="44"/>
      <c r="J67" s="12"/>
      <c r="K67" s="12"/>
      <c r="L67" s="12"/>
      <c r="M67" s="12"/>
      <c r="N67" s="12"/>
      <c r="O67" s="12"/>
      <c r="P67" s="12"/>
      <c r="Q67" s="12"/>
      <c r="R67" s="12"/>
      <c r="S67" s="12"/>
      <c r="T67" s="12"/>
      <c r="U67" s="12"/>
      <c r="V67" s="12"/>
      <c r="W67" s="12"/>
      <c r="X67" s="12"/>
      <c r="Y67" s="12"/>
      <c r="Z67" s="12"/>
    </row>
    <row r="68" spans="1:26" ht="15.75" customHeight="1" x14ac:dyDescent="0.25">
      <c r="A68" s="12"/>
      <c r="B68" s="12"/>
      <c r="C68" s="12"/>
      <c r="D68" s="12"/>
      <c r="E68" s="13"/>
      <c r="F68" s="12"/>
      <c r="G68" s="12"/>
      <c r="H68" s="12"/>
      <c r="I68" s="12"/>
      <c r="J68" s="12"/>
      <c r="K68" s="12"/>
      <c r="L68" s="12"/>
      <c r="M68" s="12"/>
      <c r="N68" s="12"/>
      <c r="O68" s="12"/>
      <c r="P68" s="12"/>
      <c r="Q68" s="12"/>
      <c r="R68" s="12"/>
      <c r="S68" s="12"/>
      <c r="T68" s="12"/>
      <c r="U68" s="12"/>
      <c r="V68" s="12"/>
      <c r="W68" s="12"/>
      <c r="X68" s="12"/>
      <c r="Y68" s="12"/>
      <c r="Z68" s="12"/>
    </row>
    <row r="69" spans="1:26" ht="15.75" customHeight="1" x14ac:dyDescent="0.25">
      <c r="A69" s="12"/>
      <c r="B69" s="12"/>
      <c r="C69" s="12"/>
      <c r="D69" s="12"/>
      <c r="E69" s="13"/>
      <c r="F69" s="12"/>
      <c r="G69" s="12"/>
      <c r="H69" s="12"/>
      <c r="I69" s="12"/>
      <c r="J69" s="12"/>
      <c r="K69" s="12"/>
      <c r="L69" s="12"/>
      <c r="M69" s="12"/>
      <c r="N69" s="12"/>
      <c r="O69" s="12"/>
      <c r="P69" s="12"/>
      <c r="Q69" s="12"/>
      <c r="R69" s="12"/>
      <c r="S69" s="12"/>
      <c r="T69" s="12"/>
      <c r="U69" s="12"/>
      <c r="V69" s="12"/>
      <c r="W69" s="12"/>
      <c r="X69" s="12"/>
      <c r="Y69" s="12"/>
      <c r="Z69" s="12"/>
    </row>
    <row r="70" spans="1:26" ht="15.75" customHeight="1" x14ac:dyDescent="0.25">
      <c r="A70" s="12"/>
      <c r="B70" s="12"/>
      <c r="C70" s="12"/>
      <c r="D70" s="12"/>
      <c r="E70" s="13"/>
      <c r="F70" s="12"/>
      <c r="G70" s="12"/>
      <c r="H70" s="12"/>
      <c r="I70" s="12"/>
      <c r="J70" s="12"/>
      <c r="K70" s="12"/>
      <c r="L70" s="12"/>
      <c r="M70" s="12"/>
      <c r="N70" s="12"/>
      <c r="O70" s="12"/>
      <c r="P70" s="12"/>
      <c r="Q70" s="12"/>
      <c r="R70" s="12"/>
      <c r="S70" s="12"/>
      <c r="T70" s="12"/>
      <c r="U70" s="12"/>
      <c r="V70" s="12"/>
      <c r="W70" s="12"/>
      <c r="X70" s="12"/>
      <c r="Y70" s="12"/>
      <c r="Z70" s="12"/>
    </row>
    <row r="71" spans="1:26" ht="15.75" customHeight="1" x14ac:dyDescent="0.25">
      <c r="A71" s="12"/>
      <c r="B71" s="12"/>
      <c r="C71" s="12"/>
      <c r="D71" s="12"/>
      <c r="E71" s="13"/>
      <c r="F71" s="12"/>
      <c r="G71" s="12"/>
      <c r="H71" s="12"/>
      <c r="I71" s="12"/>
      <c r="J71" s="12"/>
      <c r="K71" s="12"/>
      <c r="L71" s="12"/>
      <c r="M71" s="12"/>
      <c r="N71" s="12"/>
      <c r="O71" s="12"/>
      <c r="P71" s="12"/>
      <c r="Q71" s="12"/>
      <c r="R71" s="12"/>
      <c r="S71" s="12"/>
      <c r="T71" s="12"/>
      <c r="U71" s="12"/>
      <c r="V71" s="12"/>
      <c r="W71" s="12"/>
      <c r="X71" s="12"/>
      <c r="Y71" s="12"/>
      <c r="Z71" s="12"/>
    </row>
    <row r="72" spans="1:26" ht="15.75" customHeight="1" x14ac:dyDescent="0.25">
      <c r="A72" s="12"/>
      <c r="B72" s="12"/>
      <c r="C72" s="12"/>
      <c r="D72" s="12"/>
      <c r="E72" s="13"/>
      <c r="F72" s="12"/>
      <c r="G72" s="12"/>
      <c r="H72" s="12"/>
      <c r="I72" s="12"/>
      <c r="J72" s="12"/>
      <c r="K72" s="12"/>
      <c r="L72" s="12"/>
      <c r="M72" s="12"/>
      <c r="N72" s="12"/>
      <c r="O72" s="12"/>
      <c r="P72" s="12"/>
      <c r="Q72" s="12"/>
      <c r="R72" s="12"/>
      <c r="S72" s="12"/>
      <c r="T72" s="12"/>
      <c r="U72" s="12"/>
      <c r="V72" s="12"/>
      <c r="W72" s="12"/>
      <c r="X72" s="12"/>
      <c r="Y72" s="12"/>
      <c r="Z72" s="12"/>
    </row>
    <row r="73" spans="1:26" ht="15.75" customHeight="1" x14ac:dyDescent="0.25">
      <c r="A73" s="12"/>
      <c r="B73" s="12"/>
      <c r="C73" s="12"/>
      <c r="D73" s="12"/>
      <c r="E73" s="13"/>
      <c r="F73" s="12"/>
      <c r="G73" s="12"/>
      <c r="H73" s="12"/>
      <c r="I73" s="12"/>
      <c r="J73" s="12"/>
      <c r="K73" s="12"/>
      <c r="L73" s="12"/>
      <c r="M73" s="12"/>
      <c r="N73" s="12"/>
      <c r="O73" s="12"/>
      <c r="P73" s="12"/>
      <c r="Q73" s="12"/>
      <c r="R73" s="12"/>
      <c r="S73" s="12"/>
      <c r="T73" s="12"/>
      <c r="U73" s="12"/>
      <c r="V73" s="12"/>
      <c r="W73" s="12"/>
      <c r="X73" s="12"/>
      <c r="Y73" s="12"/>
      <c r="Z73" s="12"/>
    </row>
    <row r="74" spans="1:26" ht="15.75" customHeight="1" x14ac:dyDescent="0.25">
      <c r="A74" s="12"/>
      <c r="B74" s="12"/>
      <c r="C74" s="12"/>
      <c r="D74" s="12"/>
      <c r="E74" s="13"/>
      <c r="F74" s="12"/>
      <c r="G74" s="12"/>
      <c r="H74" s="12"/>
      <c r="I74" s="12"/>
      <c r="J74" s="12"/>
      <c r="K74" s="12"/>
      <c r="L74" s="12"/>
      <c r="M74" s="12"/>
      <c r="N74" s="12"/>
      <c r="O74" s="12"/>
      <c r="P74" s="12"/>
      <c r="Q74" s="12"/>
      <c r="R74" s="12"/>
      <c r="S74" s="12"/>
      <c r="T74" s="12"/>
      <c r="U74" s="12"/>
      <c r="V74" s="12"/>
      <c r="W74" s="12"/>
      <c r="X74" s="12"/>
      <c r="Y74" s="12"/>
      <c r="Z74" s="12"/>
    </row>
    <row r="75" spans="1:26" ht="15.75" customHeight="1" x14ac:dyDescent="0.25">
      <c r="A75" s="12"/>
      <c r="B75" s="12"/>
      <c r="C75" s="12"/>
      <c r="D75" s="12"/>
      <c r="E75" s="13"/>
      <c r="F75" s="12"/>
      <c r="G75" s="12"/>
      <c r="H75" s="12"/>
      <c r="I75" s="12"/>
      <c r="J75" s="12"/>
      <c r="K75" s="12"/>
      <c r="L75" s="12"/>
      <c r="M75" s="12"/>
      <c r="N75" s="12"/>
      <c r="O75" s="12"/>
      <c r="P75" s="12"/>
      <c r="Q75" s="12"/>
      <c r="R75" s="12"/>
      <c r="S75" s="12"/>
      <c r="T75" s="12"/>
      <c r="U75" s="12"/>
      <c r="V75" s="12"/>
      <c r="W75" s="12"/>
      <c r="X75" s="12"/>
      <c r="Y75" s="12"/>
      <c r="Z75" s="12"/>
    </row>
    <row r="76" spans="1:26" ht="15.75" customHeight="1" x14ac:dyDescent="0.25">
      <c r="A76" s="12"/>
      <c r="B76" s="12"/>
      <c r="C76" s="12"/>
      <c r="D76" s="12"/>
      <c r="E76" s="13"/>
      <c r="F76" s="12"/>
      <c r="G76" s="12"/>
      <c r="H76" s="12"/>
      <c r="I76" s="12"/>
      <c r="J76" s="12"/>
      <c r="K76" s="12"/>
      <c r="L76" s="12"/>
      <c r="M76" s="12"/>
      <c r="N76" s="12"/>
      <c r="O76" s="12"/>
      <c r="P76" s="12"/>
      <c r="Q76" s="12"/>
      <c r="R76" s="12"/>
      <c r="S76" s="12"/>
      <c r="T76" s="12"/>
      <c r="U76" s="12"/>
      <c r="V76" s="12"/>
      <c r="W76" s="12"/>
      <c r="X76" s="12"/>
      <c r="Y76" s="12"/>
      <c r="Z76" s="12"/>
    </row>
    <row r="77" spans="1:26" ht="15.75" customHeight="1" x14ac:dyDescent="0.25">
      <c r="A77" s="12"/>
      <c r="B77" s="12"/>
      <c r="C77" s="12"/>
      <c r="D77" s="12"/>
      <c r="E77" s="13"/>
      <c r="F77" s="12"/>
      <c r="G77" s="12"/>
      <c r="H77" s="12"/>
      <c r="I77" s="12"/>
      <c r="J77" s="12"/>
      <c r="K77" s="12"/>
      <c r="L77" s="12"/>
      <c r="M77" s="12"/>
      <c r="N77" s="12"/>
      <c r="O77" s="12"/>
      <c r="P77" s="12"/>
      <c r="Q77" s="12"/>
      <c r="R77" s="12"/>
      <c r="S77" s="12"/>
      <c r="T77" s="12"/>
      <c r="U77" s="12"/>
      <c r="V77" s="12"/>
      <c r="W77" s="12"/>
      <c r="X77" s="12"/>
      <c r="Y77" s="12"/>
      <c r="Z77" s="12"/>
    </row>
    <row r="78" spans="1:26" ht="15.75" customHeight="1" x14ac:dyDescent="0.25">
      <c r="A78" s="12"/>
      <c r="B78" s="12"/>
      <c r="C78" s="12"/>
      <c r="D78" s="12"/>
      <c r="E78" s="13"/>
      <c r="F78" s="12"/>
      <c r="G78" s="12"/>
      <c r="H78" s="12"/>
      <c r="I78" s="12"/>
      <c r="J78" s="12"/>
      <c r="K78" s="12"/>
      <c r="L78" s="12"/>
      <c r="M78" s="12"/>
      <c r="N78" s="12"/>
      <c r="O78" s="12"/>
      <c r="P78" s="12"/>
      <c r="Q78" s="12"/>
      <c r="R78" s="12"/>
      <c r="S78" s="12"/>
      <c r="T78" s="12"/>
      <c r="U78" s="12"/>
      <c r="V78" s="12"/>
      <c r="W78" s="12"/>
      <c r="X78" s="12"/>
      <c r="Y78" s="12"/>
      <c r="Z78" s="12"/>
    </row>
    <row r="79" spans="1:26" ht="15.75" customHeight="1" x14ac:dyDescent="0.25">
      <c r="A79" s="12"/>
      <c r="B79" s="12"/>
      <c r="C79" s="12"/>
      <c r="D79" s="12"/>
      <c r="E79" s="13"/>
      <c r="F79" s="12"/>
      <c r="G79" s="12"/>
      <c r="H79" s="12"/>
      <c r="I79" s="12"/>
      <c r="J79" s="12"/>
      <c r="K79" s="12"/>
      <c r="L79" s="12"/>
      <c r="M79" s="12"/>
      <c r="N79" s="12"/>
      <c r="O79" s="12"/>
      <c r="P79" s="12"/>
      <c r="Q79" s="12"/>
      <c r="R79" s="12"/>
      <c r="S79" s="12"/>
      <c r="T79" s="12"/>
      <c r="U79" s="12"/>
      <c r="V79" s="12"/>
      <c r="W79" s="12"/>
      <c r="X79" s="12"/>
      <c r="Y79" s="12"/>
      <c r="Z79" s="12"/>
    </row>
    <row r="80" spans="1:26" ht="15.75" customHeight="1" x14ac:dyDescent="0.25">
      <c r="A80" s="12"/>
      <c r="B80" s="12"/>
      <c r="C80" s="12"/>
      <c r="D80" s="12"/>
      <c r="E80" s="13"/>
      <c r="F80" s="12"/>
      <c r="G80" s="12"/>
      <c r="H80" s="12"/>
      <c r="I80" s="12"/>
      <c r="J80" s="12"/>
      <c r="K80" s="12"/>
      <c r="L80" s="12"/>
      <c r="M80" s="12"/>
      <c r="N80" s="12"/>
      <c r="O80" s="12"/>
      <c r="P80" s="12"/>
      <c r="Q80" s="12"/>
      <c r="R80" s="12"/>
      <c r="S80" s="12"/>
      <c r="T80" s="12"/>
      <c r="U80" s="12"/>
      <c r="V80" s="12"/>
      <c r="W80" s="12"/>
      <c r="X80" s="12"/>
      <c r="Y80" s="12"/>
      <c r="Z80" s="12"/>
    </row>
    <row r="81" spans="1:26" ht="15.75" customHeight="1" x14ac:dyDescent="0.25">
      <c r="A81" s="12"/>
      <c r="B81" s="12"/>
      <c r="C81" s="12"/>
      <c r="D81" s="12"/>
      <c r="E81" s="13"/>
      <c r="F81" s="12"/>
      <c r="G81" s="12"/>
      <c r="H81" s="12"/>
      <c r="I81" s="12"/>
      <c r="J81" s="12"/>
      <c r="K81" s="12"/>
      <c r="L81" s="12"/>
      <c r="M81" s="12"/>
      <c r="N81" s="12"/>
      <c r="O81" s="12"/>
      <c r="P81" s="12"/>
      <c r="Q81" s="12"/>
      <c r="R81" s="12"/>
      <c r="S81" s="12"/>
      <c r="T81" s="12"/>
      <c r="U81" s="12"/>
      <c r="V81" s="12"/>
      <c r="W81" s="12"/>
      <c r="X81" s="12"/>
      <c r="Y81" s="12"/>
      <c r="Z81" s="12"/>
    </row>
    <row r="82" spans="1:26" ht="15.75" customHeight="1" x14ac:dyDescent="0.25">
      <c r="A82" s="12"/>
      <c r="B82" s="12"/>
      <c r="C82" s="12"/>
      <c r="D82" s="12"/>
      <c r="E82" s="13"/>
      <c r="F82" s="12"/>
      <c r="G82" s="12"/>
      <c r="H82" s="12"/>
      <c r="I82" s="12"/>
      <c r="J82" s="12"/>
      <c r="K82" s="12"/>
      <c r="L82" s="12"/>
      <c r="M82" s="12"/>
      <c r="N82" s="12"/>
      <c r="O82" s="12"/>
      <c r="P82" s="12"/>
      <c r="Q82" s="12"/>
      <c r="R82" s="12"/>
      <c r="S82" s="12"/>
      <c r="T82" s="12"/>
      <c r="U82" s="12"/>
      <c r="V82" s="12"/>
      <c r="W82" s="12"/>
      <c r="X82" s="12"/>
      <c r="Y82" s="12"/>
      <c r="Z82" s="12"/>
    </row>
    <row r="83" spans="1:26" ht="15.75" customHeight="1" x14ac:dyDescent="0.25">
      <c r="A83" s="12"/>
      <c r="B83" s="12"/>
      <c r="C83" s="12"/>
      <c r="D83" s="12"/>
      <c r="E83" s="13"/>
      <c r="F83" s="12"/>
      <c r="G83" s="12"/>
      <c r="H83" s="12"/>
      <c r="I83" s="12"/>
      <c r="J83" s="12"/>
      <c r="K83" s="12"/>
      <c r="L83" s="12"/>
      <c r="M83" s="12"/>
      <c r="N83" s="12"/>
      <c r="O83" s="12"/>
      <c r="P83" s="12"/>
      <c r="Q83" s="12"/>
      <c r="R83" s="12"/>
      <c r="S83" s="12"/>
      <c r="T83" s="12"/>
      <c r="U83" s="12"/>
      <c r="V83" s="12"/>
      <c r="W83" s="12"/>
      <c r="X83" s="12"/>
      <c r="Y83" s="12"/>
      <c r="Z83" s="12"/>
    </row>
    <row r="84" spans="1:26" ht="15.75" customHeight="1" x14ac:dyDescent="0.25">
      <c r="A84" s="12"/>
      <c r="B84" s="12"/>
      <c r="C84" s="12"/>
      <c r="D84" s="12"/>
      <c r="E84" s="13"/>
      <c r="F84" s="12"/>
      <c r="G84" s="12"/>
      <c r="H84" s="12"/>
      <c r="I84" s="12"/>
      <c r="J84" s="12"/>
      <c r="K84" s="12"/>
      <c r="L84" s="12"/>
      <c r="M84" s="12"/>
      <c r="N84" s="12"/>
      <c r="O84" s="12"/>
      <c r="P84" s="12"/>
      <c r="Q84" s="12"/>
      <c r="R84" s="12"/>
      <c r="S84" s="12"/>
      <c r="T84" s="12"/>
      <c r="U84" s="12"/>
      <c r="V84" s="12"/>
      <c r="W84" s="12"/>
      <c r="X84" s="12"/>
      <c r="Y84" s="12"/>
      <c r="Z84" s="12"/>
    </row>
    <row r="85" spans="1:26" ht="15.75" customHeight="1" x14ac:dyDescent="0.25">
      <c r="A85" s="12"/>
      <c r="B85" s="12"/>
      <c r="C85" s="12"/>
      <c r="D85" s="12"/>
      <c r="E85" s="13"/>
      <c r="F85" s="12"/>
      <c r="G85" s="12"/>
      <c r="H85" s="12"/>
      <c r="I85" s="12"/>
      <c r="J85" s="12"/>
      <c r="K85" s="12"/>
      <c r="L85" s="12"/>
      <c r="M85" s="12"/>
      <c r="N85" s="12"/>
      <c r="O85" s="12"/>
      <c r="P85" s="12"/>
      <c r="Q85" s="12"/>
      <c r="R85" s="12"/>
      <c r="S85" s="12"/>
      <c r="T85" s="12"/>
      <c r="U85" s="12"/>
      <c r="V85" s="12"/>
      <c r="W85" s="12"/>
      <c r="X85" s="12"/>
      <c r="Y85" s="12"/>
      <c r="Z85" s="12"/>
    </row>
    <row r="86" spans="1:26" ht="15.75" customHeight="1" x14ac:dyDescent="0.25">
      <c r="A86" s="12"/>
      <c r="B86" s="12"/>
      <c r="C86" s="12"/>
      <c r="D86" s="12"/>
      <c r="E86" s="13"/>
      <c r="F86" s="12"/>
      <c r="G86" s="12"/>
      <c r="H86" s="12"/>
      <c r="I86" s="12"/>
      <c r="J86" s="12"/>
      <c r="K86" s="12"/>
      <c r="L86" s="12"/>
      <c r="M86" s="12"/>
      <c r="N86" s="12"/>
      <c r="O86" s="12"/>
      <c r="P86" s="12"/>
      <c r="Q86" s="12"/>
      <c r="R86" s="12"/>
      <c r="S86" s="12"/>
      <c r="T86" s="12"/>
      <c r="U86" s="12"/>
      <c r="V86" s="12"/>
      <c r="W86" s="12"/>
      <c r="X86" s="12"/>
      <c r="Y86" s="12"/>
      <c r="Z86" s="12"/>
    </row>
    <row r="87" spans="1:26" ht="15.75" customHeight="1" x14ac:dyDescent="0.25">
      <c r="A87" s="12"/>
      <c r="B87" s="12"/>
      <c r="C87" s="12"/>
      <c r="D87" s="12"/>
      <c r="E87" s="13"/>
      <c r="F87" s="12"/>
      <c r="G87" s="12"/>
      <c r="H87" s="12"/>
      <c r="I87" s="12"/>
      <c r="J87" s="12"/>
      <c r="K87" s="12"/>
      <c r="L87" s="12"/>
      <c r="M87" s="12"/>
      <c r="N87" s="12"/>
      <c r="O87" s="12"/>
      <c r="P87" s="12"/>
      <c r="Q87" s="12"/>
      <c r="R87" s="12"/>
      <c r="S87" s="12"/>
      <c r="T87" s="12"/>
      <c r="U87" s="12"/>
      <c r="V87" s="12"/>
      <c r="W87" s="12"/>
      <c r="X87" s="12"/>
      <c r="Y87" s="12"/>
      <c r="Z87" s="12"/>
    </row>
    <row r="88" spans="1:26" ht="15.75" customHeight="1" x14ac:dyDescent="0.25">
      <c r="A88" s="12"/>
      <c r="B88" s="12"/>
      <c r="C88" s="12"/>
      <c r="D88" s="12"/>
      <c r="E88" s="13"/>
      <c r="F88" s="12"/>
      <c r="G88" s="12"/>
      <c r="H88" s="12"/>
      <c r="I88" s="12"/>
      <c r="J88" s="12"/>
      <c r="K88" s="12"/>
      <c r="L88" s="12"/>
      <c r="M88" s="12"/>
      <c r="N88" s="12"/>
      <c r="O88" s="12"/>
      <c r="P88" s="12"/>
      <c r="Q88" s="12"/>
      <c r="R88" s="12"/>
      <c r="S88" s="12"/>
      <c r="T88" s="12"/>
      <c r="U88" s="12"/>
      <c r="V88" s="12"/>
      <c r="W88" s="12"/>
      <c r="X88" s="12"/>
      <c r="Y88" s="12"/>
      <c r="Z88" s="12"/>
    </row>
    <row r="89" spans="1:26" ht="15.75" customHeight="1" x14ac:dyDescent="0.25">
      <c r="A89" s="12"/>
      <c r="B89" s="12"/>
      <c r="C89" s="12"/>
      <c r="D89" s="12"/>
      <c r="E89" s="13"/>
      <c r="F89" s="12"/>
      <c r="G89" s="12"/>
      <c r="H89" s="12"/>
      <c r="I89" s="12"/>
      <c r="J89" s="12"/>
      <c r="K89" s="12"/>
      <c r="L89" s="12"/>
      <c r="M89" s="12"/>
      <c r="N89" s="12"/>
      <c r="O89" s="12"/>
      <c r="P89" s="12"/>
      <c r="Q89" s="12"/>
      <c r="R89" s="12"/>
      <c r="S89" s="12"/>
      <c r="T89" s="12"/>
      <c r="U89" s="12"/>
      <c r="V89" s="12"/>
      <c r="W89" s="12"/>
      <c r="X89" s="12"/>
      <c r="Y89" s="12"/>
      <c r="Z89" s="12"/>
    </row>
    <row r="90" spans="1:26" ht="15.75" customHeight="1" x14ac:dyDescent="0.25">
      <c r="A90" s="12"/>
      <c r="B90" s="12"/>
      <c r="C90" s="12"/>
      <c r="D90" s="12"/>
      <c r="E90" s="13"/>
      <c r="F90" s="12"/>
      <c r="G90" s="12"/>
      <c r="H90" s="12"/>
      <c r="I90" s="12"/>
      <c r="J90" s="12"/>
      <c r="K90" s="12"/>
      <c r="L90" s="12"/>
      <c r="M90" s="12"/>
      <c r="N90" s="12"/>
      <c r="O90" s="12"/>
      <c r="P90" s="12"/>
      <c r="Q90" s="12"/>
      <c r="R90" s="12"/>
      <c r="S90" s="12"/>
      <c r="T90" s="12"/>
      <c r="U90" s="12"/>
      <c r="V90" s="12"/>
      <c r="W90" s="12"/>
      <c r="X90" s="12"/>
      <c r="Y90" s="12"/>
      <c r="Z90" s="12"/>
    </row>
    <row r="91" spans="1:26" ht="15.75" customHeight="1" x14ac:dyDescent="0.25">
      <c r="A91" s="12"/>
      <c r="B91" s="12"/>
      <c r="C91" s="12"/>
      <c r="D91" s="12"/>
      <c r="E91" s="13"/>
      <c r="F91" s="12"/>
      <c r="G91" s="12"/>
      <c r="H91" s="12"/>
      <c r="I91" s="12"/>
      <c r="J91" s="12"/>
      <c r="K91" s="12"/>
      <c r="L91" s="12"/>
      <c r="M91" s="12"/>
      <c r="N91" s="12"/>
      <c r="O91" s="12"/>
      <c r="P91" s="12"/>
      <c r="Q91" s="12"/>
      <c r="R91" s="12"/>
      <c r="S91" s="12"/>
      <c r="T91" s="12"/>
      <c r="U91" s="12"/>
      <c r="V91" s="12"/>
      <c r="W91" s="12"/>
      <c r="X91" s="12"/>
      <c r="Y91" s="12"/>
      <c r="Z91" s="12"/>
    </row>
    <row r="92" spans="1:26" ht="15.75" customHeight="1" x14ac:dyDescent="0.25">
      <c r="A92" s="12"/>
      <c r="B92" s="12"/>
      <c r="C92" s="12"/>
      <c r="D92" s="12"/>
      <c r="E92" s="13"/>
      <c r="F92" s="12"/>
      <c r="G92" s="12"/>
      <c r="H92" s="12"/>
      <c r="I92" s="12"/>
      <c r="J92" s="12"/>
      <c r="K92" s="12"/>
      <c r="L92" s="12"/>
      <c r="M92" s="12"/>
      <c r="N92" s="12"/>
      <c r="O92" s="12"/>
      <c r="P92" s="12"/>
      <c r="Q92" s="12"/>
      <c r="R92" s="12"/>
      <c r="S92" s="12"/>
      <c r="T92" s="12"/>
      <c r="U92" s="12"/>
      <c r="V92" s="12"/>
      <c r="W92" s="12"/>
      <c r="X92" s="12"/>
      <c r="Y92" s="12"/>
      <c r="Z92" s="12"/>
    </row>
    <row r="93" spans="1:26" ht="15.75" customHeight="1" x14ac:dyDescent="0.25">
      <c r="A93" s="12"/>
      <c r="B93" s="12"/>
      <c r="C93" s="12"/>
      <c r="D93" s="12"/>
      <c r="E93" s="13"/>
      <c r="F93" s="12"/>
      <c r="G93" s="12"/>
      <c r="H93" s="12"/>
      <c r="I93" s="12"/>
      <c r="J93" s="12"/>
      <c r="K93" s="12"/>
      <c r="L93" s="12"/>
      <c r="M93" s="12"/>
      <c r="N93" s="12"/>
      <c r="O93" s="12"/>
      <c r="P93" s="12"/>
      <c r="Q93" s="12"/>
      <c r="R93" s="12"/>
      <c r="S93" s="12"/>
      <c r="T93" s="12"/>
      <c r="U93" s="12"/>
      <c r="V93" s="12"/>
      <c r="W93" s="12"/>
      <c r="X93" s="12"/>
      <c r="Y93" s="12"/>
      <c r="Z93" s="12"/>
    </row>
    <row r="94" spans="1:26" ht="15.75" customHeight="1" x14ac:dyDescent="0.25">
      <c r="A94" s="12"/>
      <c r="B94" s="12"/>
      <c r="C94" s="12"/>
      <c r="D94" s="12"/>
      <c r="E94" s="13"/>
      <c r="F94" s="12"/>
      <c r="G94" s="12"/>
      <c r="H94" s="12"/>
      <c r="I94" s="12"/>
      <c r="J94" s="12"/>
      <c r="K94" s="12"/>
      <c r="L94" s="12"/>
      <c r="M94" s="12"/>
      <c r="N94" s="12"/>
      <c r="O94" s="12"/>
      <c r="P94" s="12"/>
      <c r="Q94" s="12"/>
      <c r="R94" s="12"/>
      <c r="S94" s="12"/>
      <c r="T94" s="12"/>
      <c r="U94" s="12"/>
      <c r="V94" s="12"/>
      <c r="W94" s="12"/>
      <c r="X94" s="12"/>
      <c r="Y94" s="12"/>
      <c r="Z94" s="12"/>
    </row>
    <row r="95" spans="1:26" ht="15.75" customHeight="1" x14ac:dyDescent="0.25">
      <c r="A95" s="12"/>
      <c r="B95" s="12"/>
      <c r="C95" s="12"/>
      <c r="D95" s="12"/>
      <c r="E95" s="13"/>
      <c r="F95" s="12"/>
      <c r="G95" s="12"/>
      <c r="H95" s="12"/>
      <c r="I95" s="12"/>
      <c r="J95" s="12"/>
      <c r="K95" s="12"/>
      <c r="L95" s="12"/>
      <c r="M95" s="12"/>
      <c r="N95" s="12"/>
      <c r="O95" s="12"/>
      <c r="P95" s="12"/>
      <c r="Q95" s="12"/>
      <c r="R95" s="12"/>
      <c r="S95" s="12"/>
      <c r="T95" s="12"/>
      <c r="U95" s="12"/>
      <c r="V95" s="12"/>
      <c r="W95" s="12"/>
      <c r="X95" s="12"/>
      <c r="Y95" s="12"/>
      <c r="Z95" s="12"/>
    </row>
    <row r="96" spans="1:26" ht="15.75" customHeight="1" x14ac:dyDescent="0.25">
      <c r="A96" s="12"/>
      <c r="B96" s="12"/>
      <c r="C96" s="12"/>
      <c r="D96" s="12"/>
      <c r="E96" s="13"/>
      <c r="F96" s="12"/>
      <c r="G96" s="12"/>
      <c r="H96" s="12"/>
      <c r="I96" s="12"/>
      <c r="J96" s="12"/>
      <c r="K96" s="12"/>
      <c r="L96" s="12"/>
      <c r="M96" s="12"/>
      <c r="N96" s="12"/>
      <c r="O96" s="12"/>
      <c r="P96" s="12"/>
      <c r="Q96" s="12"/>
      <c r="R96" s="12"/>
      <c r="S96" s="12"/>
      <c r="T96" s="12"/>
      <c r="U96" s="12"/>
      <c r="V96" s="12"/>
      <c r="W96" s="12"/>
      <c r="X96" s="12"/>
      <c r="Y96" s="12"/>
      <c r="Z96" s="12"/>
    </row>
    <row r="97" spans="1:26" ht="15.75" customHeight="1" x14ac:dyDescent="0.25">
      <c r="A97" s="12"/>
      <c r="B97" s="12"/>
      <c r="C97" s="12"/>
      <c r="D97" s="12"/>
      <c r="E97" s="13"/>
      <c r="F97" s="12"/>
      <c r="G97" s="12"/>
      <c r="H97" s="12"/>
      <c r="I97" s="12"/>
      <c r="J97" s="12"/>
      <c r="K97" s="12"/>
      <c r="L97" s="12"/>
      <c r="M97" s="12"/>
      <c r="N97" s="12"/>
      <c r="O97" s="12"/>
      <c r="P97" s="12"/>
      <c r="Q97" s="12"/>
      <c r="R97" s="12"/>
      <c r="S97" s="12"/>
      <c r="T97" s="12"/>
      <c r="U97" s="12"/>
      <c r="V97" s="12"/>
      <c r="W97" s="12"/>
      <c r="X97" s="12"/>
      <c r="Y97" s="12"/>
      <c r="Z97" s="12"/>
    </row>
    <row r="98" spans="1:26" ht="15.75" customHeight="1" x14ac:dyDescent="0.25">
      <c r="A98" s="12"/>
      <c r="B98" s="12"/>
      <c r="C98" s="12"/>
      <c r="D98" s="12"/>
      <c r="E98" s="13"/>
      <c r="F98" s="12"/>
      <c r="G98" s="12"/>
      <c r="H98" s="12"/>
      <c r="I98" s="12"/>
      <c r="J98" s="12"/>
      <c r="K98" s="12"/>
      <c r="L98" s="12"/>
      <c r="M98" s="12"/>
      <c r="N98" s="12"/>
      <c r="O98" s="12"/>
      <c r="P98" s="12"/>
      <c r="Q98" s="12"/>
      <c r="R98" s="12"/>
      <c r="S98" s="12"/>
      <c r="T98" s="12"/>
      <c r="U98" s="12"/>
      <c r="V98" s="12"/>
      <c r="W98" s="12"/>
      <c r="X98" s="12"/>
      <c r="Y98" s="12"/>
      <c r="Z98" s="12"/>
    </row>
    <row r="99" spans="1:26" ht="15.75" customHeight="1" x14ac:dyDescent="0.25">
      <c r="A99" s="12"/>
      <c r="B99" s="12"/>
      <c r="C99" s="12"/>
      <c r="D99" s="12"/>
      <c r="E99" s="13"/>
      <c r="F99" s="12"/>
      <c r="G99" s="12"/>
      <c r="H99" s="12"/>
      <c r="I99" s="12"/>
      <c r="J99" s="12"/>
      <c r="K99" s="12"/>
      <c r="L99" s="12"/>
      <c r="M99" s="12"/>
      <c r="N99" s="12"/>
      <c r="O99" s="12"/>
      <c r="P99" s="12"/>
      <c r="Q99" s="12"/>
      <c r="R99" s="12"/>
      <c r="S99" s="12"/>
      <c r="T99" s="12"/>
      <c r="U99" s="12"/>
      <c r="V99" s="12"/>
      <c r="W99" s="12"/>
      <c r="X99" s="12"/>
      <c r="Y99" s="12"/>
      <c r="Z99" s="12"/>
    </row>
    <row r="100" spans="1:26" ht="15.75" customHeight="1" x14ac:dyDescent="0.25">
      <c r="A100" s="12"/>
      <c r="B100" s="12"/>
      <c r="C100" s="12"/>
      <c r="D100" s="12"/>
      <c r="E100" s="13"/>
      <c r="F100" s="12"/>
      <c r="G100" s="12"/>
      <c r="H100" s="12"/>
      <c r="I100" s="12"/>
      <c r="J100" s="12"/>
      <c r="K100" s="12"/>
      <c r="L100" s="12"/>
      <c r="M100" s="12"/>
      <c r="N100" s="12"/>
      <c r="O100" s="12"/>
      <c r="P100" s="12"/>
      <c r="Q100" s="12"/>
      <c r="R100" s="12"/>
      <c r="S100" s="12"/>
      <c r="T100" s="12"/>
      <c r="U100" s="12"/>
      <c r="V100" s="12"/>
      <c r="W100" s="12"/>
      <c r="X100" s="12"/>
      <c r="Y100" s="12"/>
      <c r="Z100" s="12"/>
    </row>
    <row r="101" spans="1:26" ht="15.75" customHeight="1" x14ac:dyDescent="0.25">
      <c r="A101" s="12"/>
      <c r="B101" s="12"/>
      <c r="C101" s="12"/>
      <c r="D101" s="12"/>
      <c r="E101" s="13"/>
      <c r="F101" s="12"/>
      <c r="G101" s="12"/>
      <c r="H101" s="12"/>
      <c r="I101" s="12"/>
      <c r="J101" s="12"/>
      <c r="K101" s="12"/>
      <c r="L101" s="12"/>
      <c r="M101" s="12"/>
      <c r="N101" s="12"/>
      <c r="O101" s="12"/>
      <c r="P101" s="12"/>
      <c r="Q101" s="12"/>
      <c r="R101" s="12"/>
      <c r="S101" s="12"/>
      <c r="T101" s="12"/>
      <c r="U101" s="12"/>
      <c r="V101" s="12"/>
      <c r="W101" s="12"/>
      <c r="X101" s="12"/>
      <c r="Y101" s="12"/>
      <c r="Z101" s="12"/>
    </row>
    <row r="102" spans="1:26" ht="15.75" customHeight="1" x14ac:dyDescent="0.25">
      <c r="A102" s="12"/>
      <c r="B102" s="12"/>
      <c r="C102" s="12"/>
      <c r="D102" s="12"/>
      <c r="E102" s="13"/>
      <c r="F102" s="12"/>
      <c r="G102" s="12"/>
      <c r="H102" s="12"/>
      <c r="I102" s="12"/>
      <c r="J102" s="12"/>
      <c r="K102" s="12"/>
      <c r="L102" s="12"/>
      <c r="M102" s="12"/>
      <c r="N102" s="12"/>
      <c r="O102" s="12"/>
      <c r="P102" s="12"/>
      <c r="Q102" s="12"/>
      <c r="R102" s="12"/>
      <c r="S102" s="12"/>
      <c r="T102" s="12"/>
      <c r="U102" s="12"/>
      <c r="V102" s="12"/>
      <c r="W102" s="12"/>
      <c r="X102" s="12"/>
      <c r="Y102" s="12"/>
      <c r="Z102" s="12"/>
    </row>
    <row r="103" spans="1:26" ht="15.75" customHeight="1" x14ac:dyDescent="0.25">
      <c r="A103" s="12"/>
      <c r="B103" s="12"/>
      <c r="C103" s="12"/>
      <c r="D103" s="12"/>
      <c r="E103" s="13"/>
      <c r="F103" s="12"/>
      <c r="G103" s="12"/>
      <c r="H103" s="12"/>
      <c r="I103" s="12"/>
      <c r="J103" s="12"/>
      <c r="K103" s="12"/>
      <c r="L103" s="12"/>
      <c r="M103" s="12"/>
      <c r="N103" s="12"/>
      <c r="O103" s="12"/>
      <c r="P103" s="12"/>
      <c r="Q103" s="12"/>
      <c r="R103" s="12"/>
      <c r="S103" s="12"/>
      <c r="T103" s="12"/>
      <c r="U103" s="12"/>
      <c r="V103" s="12"/>
      <c r="W103" s="12"/>
      <c r="X103" s="12"/>
      <c r="Y103" s="12"/>
      <c r="Z103" s="12"/>
    </row>
    <row r="104" spans="1:26" ht="15.75" customHeight="1" x14ac:dyDescent="0.25">
      <c r="A104" s="12"/>
      <c r="B104" s="12"/>
      <c r="C104" s="12"/>
      <c r="D104" s="12"/>
      <c r="E104" s="13"/>
      <c r="F104" s="12"/>
      <c r="G104" s="12"/>
      <c r="H104" s="12"/>
      <c r="I104" s="12"/>
      <c r="J104" s="12"/>
      <c r="K104" s="12"/>
      <c r="L104" s="12"/>
      <c r="M104" s="12"/>
      <c r="N104" s="12"/>
      <c r="O104" s="12"/>
      <c r="P104" s="12"/>
      <c r="Q104" s="12"/>
      <c r="R104" s="12"/>
      <c r="S104" s="12"/>
      <c r="T104" s="12"/>
      <c r="U104" s="12"/>
      <c r="V104" s="12"/>
      <c r="W104" s="12"/>
      <c r="X104" s="12"/>
      <c r="Y104" s="12"/>
      <c r="Z104" s="12"/>
    </row>
    <row r="105" spans="1:26" ht="15.75" customHeight="1" x14ac:dyDescent="0.25">
      <c r="A105" s="12"/>
      <c r="B105" s="12"/>
      <c r="C105" s="12"/>
      <c r="D105" s="12"/>
      <c r="E105" s="13"/>
      <c r="F105" s="12"/>
      <c r="G105" s="12"/>
      <c r="H105" s="12"/>
      <c r="I105" s="12"/>
      <c r="J105" s="12"/>
      <c r="K105" s="12"/>
      <c r="L105" s="12"/>
      <c r="M105" s="12"/>
      <c r="N105" s="12"/>
      <c r="O105" s="12"/>
      <c r="P105" s="12"/>
      <c r="Q105" s="12"/>
      <c r="R105" s="12"/>
      <c r="S105" s="12"/>
      <c r="T105" s="12"/>
      <c r="U105" s="12"/>
      <c r="V105" s="12"/>
      <c r="W105" s="12"/>
      <c r="X105" s="12"/>
      <c r="Y105" s="12"/>
      <c r="Z105" s="12"/>
    </row>
    <row r="106" spans="1:26" ht="15.75" customHeight="1" x14ac:dyDescent="0.25">
      <c r="A106" s="12"/>
      <c r="B106" s="12"/>
      <c r="C106" s="12"/>
      <c r="D106" s="12"/>
      <c r="E106" s="13"/>
      <c r="F106" s="12"/>
      <c r="G106" s="12"/>
      <c r="H106" s="12"/>
      <c r="I106" s="12"/>
      <c r="J106" s="12"/>
      <c r="K106" s="12"/>
      <c r="L106" s="12"/>
      <c r="M106" s="12"/>
      <c r="N106" s="12"/>
      <c r="O106" s="12"/>
      <c r="P106" s="12"/>
      <c r="Q106" s="12"/>
      <c r="R106" s="12"/>
      <c r="S106" s="12"/>
      <c r="T106" s="12"/>
      <c r="U106" s="12"/>
      <c r="V106" s="12"/>
      <c r="W106" s="12"/>
      <c r="X106" s="12"/>
      <c r="Y106" s="12"/>
      <c r="Z106" s="12"/>
    </row>
    <row r="107" spans="1:26" ht="15.75" customHeight="1" x14ac:dyDescent="0.25">
      <c r="A107" s="12"/>
      <c r="B107" s="12"/>
      <c r="C107" s="12"/>
      <c r="D107" s="12"/>
      <c r="E107" s="13"/>
      <c r="F107" s="12"/>
      <c r="G107" s="12"/>
      <c r="H107" s="12"/>
      <c r="I107" s="12"/>
      <c r="J107" s="12"/>
      <c r="K107" s="12"/>
      <c r="L107" s="12"/>
      <c r="M107" s="12"/>
      <c r="N107" s="12"/>
      <c r="O107" s="12"/>
      <c r="P107" s="12"/>
      <c r="Q107" s="12"/>
      <c r="R107" s="12"/>
      <c r="S107" s="12"/>
      <c r="T107" s="12"/>
      <c r="U107" s="12"/>
      <c r="V107" s="12"/>
      <c r="W107" s="12"/>
      <c r="X107" s="12"/>
      <c r="Y107" s="12"/>
      <c r="Z107" s="12"/>
    </row>
    <row r="108" spans="1:26" ht="15.75" customHeight="1" x14ac:dyDescent="0.25">
      <c r="A108" s="12"/>
      <c r="B108" s="12"/>
      <c r="C108" s="12"/>
      <c r="D108" s="12"/>
      <c r="E108" s="13"/>
      <c r="F108" s="12"/>
      <c r="G108" s="12"/>
      <c r="H108" s="12"/>
      <c r="I108" s="12"/>
      <c r="J108" s="12"/>
      <c r="K108" s="12"/>
      <c r="L108" s="12"/>
      <c r="M108" s="12"/>
      <c r="N108" s="12"/>
      <c r="O108" s="12"/>
      <c r="P108" s="12"/>
      <c r="Q108" s="12"/>
      <c r="R108" s="12"/>
      <c r="S108" s="12"/>
      <c r="T108" s="12"/>
      <c r="U108" s="12"/>
      <c r="V108" s="12"/>
      <c r="W108" s="12"/>
      <c r="X108" s="12"/>
      <c r="Y108" s="12"/>
      <c r="Z108" s="12"/>
    </row>
    <row r="109" spans="1:26" ht="15.75" customHeight="1" x14ac:dyDescent="0.25">
      <c r="A109" s="12"/>
      <c r="B109" s="12"/>
      <c r="C109" s="12"/>
      <c r="D109" s="12"/>
      <c r="E109" s="13"/>
      <c r="F109" s="12"/>
      <c r="G109" s="12"/>
      <c r="H109" s="12"/>
      <c r="I109" s="12"/>
      <c r="J109" s="12"/>
      <c r="K109" s="12"/>
      <c r="L109" s="12"/>
      <c r="M109" s="12"/>
      <c r="N109" s="12"/>
      <c r="O109" s="12"/>
      <c r="P109" s="12"/>
      <c r="Q109" s="12"/>
      <c r="R109" s="12"/>
      <c r="S109" s="12"/>
      <c r="T109" s="12"/>
      <c r="U109" s="12"/>
      <c r="V109" s="12"/>
      <c r="W109" s="12"/>
      <c r="X109" s="12"/>
      <c r="Y109" s="12"/>
      <c r="Z109" s="12"/>
    </row>
    <row r="110" spans="1:26" ht="15.75" customHeight="1" x14ac:dyDescent="0.25">
      <c r="A110" s="12"/>
      <c r="B110" s="12"/>
      <c r="C110" s="12"/>
      <c r="D110" s="12"/>
      <c r="E110" s="13"/>
      <c r="F110" s="12"/>
      <c r="G110" s="12"/>
      <c r="H110" s="12"/>
      <c r="I110" s="12"/>
      <c r="J110" s="12"/>
      <c r="K110" s="12"/>
      <c r="L110" s="12"/>
      <c r="M110" s="12"/>
      <c r="N110" s="12"/>
      <c r="O110" s="12"/>
      <c r="P110" s="12"/>
      <c r="Q110" s="12"/>
      <c r="R110" s="12"/>
      <c r="S110" s="12"/>
      <c r="T110" s="12"/>
      <c r="U110" s="12"/>
      <c r="V110" s="12"/>
      <c r="W110" s="12"/>
      <c r="X110" s="12"/>
      <c r="Y110" s="12"/>
      <c r="Z110" s="12"/>
    </row>
    <row r="111" spans="1:26" ht="15.75" customHeight="1" x14ac:dyDescent="0.25">
      <c r="A111" s="12"/>
      <c r="B111" s="12"/>
      <c r="C111" s="12"/>
      <c r="D111" s="12"/>
      <c r="E111" s="13"/>
      <c r="F111" s="12"/>
      <c r="G111" s="12"/>
      <c r="H111" s="12"/>
      <c r="I111" s="12"/>
      <c r="J111" s="12"/>
      <c r="K111" s="12"/>
      <c r="L111" s="12"/>
      <c r="M111" s="12"/>
      <c r="N111" s="12"/>
      <c r="O111" s="12"/>
      <c r="P111" s="12"/>
      <c r="Q111" s="12"/>
      <c r="R111" s="12"/>
      <c r="S111" s="12"/>
      <c r="T111" s="12"/>
      <c r="U111" s="12"/>
      <c r="V111" s="12"/>
      <c r="W111" s="12"/>
      <c r="X111" s="12"/>
      <c r="Y111" s="12"/>
      <c r="Z111" s="12"/>
    </row>
    <row r="112" spans="1:26" ht="15.75" customHeight="1" x14ac:dyDescent="0.25">
      <c r="A112" s="12"/>
      <c r="B112" s="12"/>
      <c r="C112" s="12"/>
      <c r="D112" s="12"/>
      <c r="E112" s="13"/>
      <c r="F112" s="12"/>
      <c r="G112" s="12"/>
      <c r="H112" s="12"/>
      <c r="I112" s="12"/>
      <c r="J112" s="12"/>
      <c r="K112" s="12"/>
      <c r="L112" s="12"/>
      <c r="M112" s="12"/>
      <c r="N112" s="12"/>
      <c r="O112" s="12"/>
      <c r="P112" s="12"/>
      <c r="Q112" s="12"/>
      <c r="R112" s="12"/>
      <c r="S112" s="12"/>
      <c r="T112" s="12"/>
      <c r="U112" s="12"/>
      <c r="V112" s="12"/>
      <c r="W112" s="12"/>
      <c r="X112" s="12"/>
      <c r="Y112" s="12"/>
      <c r="Z112" s="12"/>
    </row>
    <row r="113" spans="1:26" ht="15.75" customHeight="1" x14ac:dyDescent="0.25">
      <c r="A113" s="12"/>
      <c r="B113" s="12"/>
      <c r="C113" s="12"/>
      <c r="D113" s="12"/>
      <c r="E113" s="13"/>
      <c r="F113" s="12"/>
      <c r="G113" s="12"/>
      <c r="H113" s="12"/>
      <c r="I113" s="12"/>
      <c r="J113" s="12"/>
      <c r="K113" s="12"/>
      <c r="L113" s="12"/>
      <c r="M113" s="12"/>
      <c r="N113" s="12"/>
      <c r="O113" s="12"/>
      <c r="P113" s="12"/>
      <c r="Q113" s="12"/>
      <c r="R113" s="12"/>
      <c r="S113" s="12"/>
      <c r="T113" s="12"/>
      <c r="U113" s="12"/>
      <c r="V113" s="12"/>
      <c r="W113" s="12"/>
      <c r="X113" s="12"/>
      <c r="Y113" s="12"/>
      <c r="Z113" s="12"/>
    </row>
    <row r="114" spans="1:26" ht="15.75" customHeight="1" x14ac:dyDescent="0.25">
      <c r="A114" s="12"/>
      <c r="B114" s="12"/>
      <c r="C114" s="12"/>
      <c r="D114" s="12"/>
      <c r="E114" s="13"/>
      <c r="F114" s="12"/>
      <c r="G114" s="12"/>
      <c r="H114" s="12"/>
      <c r="I114" s="12"/>
      <c r="J114" s="12"/>
      <c r="K114" s="12"/>
      <c r="L114" s="12"/>
      <c r="M114" s="12"/>
      <c r="N114" s="12"/>
      <c r="O114" s="12"/>
      <c r="P114" s="12"/>
      <c r="Q114" s="12"/>
      <c r="R114" s="12"/>
      <c r="S114" s="12"/>
      <c r="T114" s="12"/>
      <c r="U114" s="12"/>
      <c r="V114" s="12"/>
      <c r="W114" s="12"/>
      <c r="X114" s="12"/>
      <c r="Y114" s="12"/>
      <c r="Z114" s="12"/>
    </row>
    <row r="115" spans="1:26" ht="15.75" customHeight="1" x14ac:dyDescent="0.25">
      <c r="A115" s="12"/>
      <c r="B115" s="12"/>
      <c r="C115" s="12"/>
      <c r="D115" s="12"/>
      <c r="E115" s="13"/>
      <c r="F115" s="12"/>
      <c r="G115" s="12"/>
      <c r="H115" s="12"/>
      <c r="I115" s="12"/>
      <c r="J115" s="12"/>
      <c r="K115" s="12"/>
      <c r="L115" s="12"/>
      <c r="M115" s="12"/>
      <c r="N115" s="12"/>
      <c r="O115" s="12"/>
      <c r="P115" s="12"/>
      <c r="Q115" s="12"/>
      <c r="R115" s="12"/>
      <c r="S115" s="12"/>
      <c r="T115" s="12"/>
      <c r="U115" s="12"/>
      <c r="V115" s="12"/>
      <c r="W115" s="12"/>
      <c r="X115" s="12"/>
      <c r="Y115" s="12"/>
      <c r="Z115" s="12"/>
    </row>
    <row r="116" spans="1:26" ht="15.75" customHeight="1" x14ac:dyDescent="0.25">
      <c r="A116" s="12"/>
      <c r="B116" s="12"/>
      <c r="C116" s="12"/>
      <c r="D116" s="12"/>
      <c r="E116" s="13"/>
      <c r="F116" s="12"/>
      <c r="G116" s="12"/>
      <c r="H116" s="12"/>
      <c r="I116" s="12"/>
      <c r="J116" s="12"/>
      <c r="K116" s="12"/>
      <c r="L116" s="12"/>
      <c r="M116" s="12"/>
      <c r="N116" s="12"/>
      <c r="O116" s="12"/>
      <c r="P116" s="12"/>
      <c r="Q116" s="12"/>
      <c r="R116" s="12"/>
      <c r="S116" s="12"/>
      <c r="T116" s="12"/>
      <c r="U116" s="12"/>
      <c r="V116" s="12"/>
      <c r="W116" s="12"/>
      <c r="X116" s="12"/>
      <c r="Y116" s="12"/>
      <c r="Z116" s="12"/>
    </row>
    <row r="117" spans="1:26" ht="15.75" customHeight="1" x14ac:dyDescent="0.25">
      <c r="A117" s="12"/>
      <c r="B117" s="12"/>
      <c r="C117" s="12"/>
      <c r="D117" s="12"/>
      <c r="E117" s="13"/>
      <c r="F117" s="12"/>
      <c r="G117" s="12"/>
      <c r="H117" s="12"/>
      <c r="I117" s="12"/>
      <c r="J117" s="12"/>
      <c r="K117" s="12"/>
      <c r="L117" s="12"/>
      <c r="M117" s="12"/>
      <c r="N117" s="12"/>
      <c r="O117" s="12"/>
      <c r="P117" s="12"/>
      <c r="Q117" s="12"/>
      <c r="R117" s="12"/>
      <c r="S117" s="12"/>
      <c r="T117" s="12"/>
      <c r="U117" s="12"/>
      <c r="V117" s="12"/>
      <c r="W117" s="12"/>
      <c r="X117" s="12"/>
      <c r="Y117" s="12"/>
      <c r="Z117" s="12"/>
    </row>
    <row r="118" spans="1:26" ht="15.75" customHeight="1" x14ac:dyDescent="0.25">
      <c r="A118" s="12"/>
      <c r="B118" s="12"/>
      <c r="C118" s="12"/>
      <c r="D118" s="12"/>
      <c r="E118" s="13"/>
      <c r="F118" s="12"/>
      <c r="G118" s="12"/>
      <c r="H118" s="12"/>
      <c r="I118" s="12"/>
      <c r="J118" s="12"/>
      <c r="K118" s="12"/>
      <c r="L118" s="12"/>
      <c r="M118" s="12"/>
      <c r="N118" s="12"/>
      <c r="O118" s="12"/>
      <c r="P118" s="12"/>
      <c r="Q118" s="12"/>
      <c r="R118" s="12"/>
      <c r="S118" s="12"/>
      <c r="T118" s="12"/>
      <c r="U118" s="12"/>
      <c r="V118" s="12"/>
      <c r="W118" s="12"/>
      <c r="X118" s="12"/>
      <c r="Y118" s="12"/>
      <c r="Z118" s="12"/>
    </row>
    <row r="119" spans="1:26" ht="15.75" customHeight="1" x14ac:dyDescent="0.25">
      <c r="A119" s="12"/>
      <c r="B119" s="12"/>
      <c r="C119" s="12"/>
      <c r="D119" s="12"/>
      <c r="E119" s="13"/>
      <c r="F119" s="12"/>
      <c r="G119" s="12"/>
      <c r="H119" s="12"/>
      <c r="I119" s="12"/>
      <c r="J119" s="12"/>
      <c r="K119" s="12"/>
      <c r="L119" s="12"/>
      <c r="M119" s="12"/>
      <c r="N119" s="12"/>
      <c r="O119" s="12"/>
      <c r="P119" s="12"/>
      <c r="Q119" s="12"/>
      <c r="R119" s="12"/>
      <c r="S119" s="12"/>
      <c r="T119" s="12"/>
      <c r="U119" s="12"/>
      <c r="V119" s="12"/>
      <c r="W119" s="12"/>
      <c r="X119" s="12"/>
      <c r="Y119" s="12"/>
      <c r="Z119" s="12"/>
    </row>
    <row r="120" spans="1:26" ht="15.75" customHeight="1" x14ac:dyDescent="0.25">
      <c r="A120" s="12"/>
      <c r="B120" s="12"/>
      <c r="C120" s="12"/>
      <c r="D120" s="12"/>
      <c r="E120" s="13"/>
      <c r="F120" s="12"/>
      <c r="G120" s="12"/>
      <c r="H120" s="12"/>
      <c r="I120" s="12"/>
      <c r="J120" s="12"/>
      <c r="K120" s="12"/>
      <c r="L120" s="12"/>
      <c r="M120" s="12"/>
      <c r="N120" s="12"/>
      <c r="O120" s="12"/>
      <c r="P120" s="12"/>
      <c r="Q120" s="12"/>
      <c r="R120" s="12"/>
      <c r="S120" s="12"/>
      <c r="T120" s="12"/>
      <c r="U120" s="12"/>
      <c r="V120" s="12"/>
      <c r="W120" s="12"/>
      <c r="X120" s="12"/>
      <c r="Y120" s="12"/>
      <c r="Z120" s="12"/>
    </row>
    <row r="121" spans="1:26" ht="15.75" customHeight="1" x14ac:dyDescent="0.25">
      <c r="A121" s="12"/>
      <c r="B121" s="12"/>
      <c r="C121" s="12"/>
      <c r="D121" s="12"/>
      <c r="E121" s="13"/>
      <c r="F121" s="12"/>
      <c r="G121" s="12"/>
      <c r="H121" s="12"/>
      <c r="I121" s="12"/>
      <c r="J121" s="12"/>
      <c r="K121" s="12"/>
      <c r="L121" s="12"/>
      <c r="M121" s="12"/>
      <c r="N121" s="12"/>
      <c r="O121" s="12"/>
      <c r="P121" s="12"/>
      <c r="Q121" s="12"/>
      <c r="R121" s="12"/>
      <c r="S121" s="12"/>
      <c r="T121" s="12"/>
      <c r="U121" s="12"/>
      <c r="V121" s="12"/>
      <c r="W121" s="12"/>
      <c r="X121" s="12"/>
      <c r="Y121" s="12"/>
      <c r="Z121" s="12"/>
    </row>
    <row r="122" spans="1:26" ht="15.75" customHeight="1" x14ac:dyDescent="0.25">
      <c r="A122" s="12"/>
      <c r="B122" s="12"/>
      <c r="C122" s="12"/>
      <c r="D122" s="12"/>
      <c r="E122" s="13"/>
      <c r="F122" s="12"/>
      <c r="G122" s="12"/>
      <c r="H122" s="12"/>
      <c r="I122" s="12"/>
      <c r="J122" s="12"/>
      <c r="K122" s="12"/>
      <c r="L122" s="12"/>
      <c r="M122" s="12"/>
      <c r="N122" s="12"/>
      <c r="O122" s="12"/>
      <c r="P122" s="12"/>
      <c r="Q122" s="12"/>
      <c r="R122" s="12"/>
      <c r="S122" s="12"/>
      <c r="T122" s="12"/>
      <c r="U122" s="12"/>
      <c r="V122" s="12"/>
      <c r="W122" s="12"/>
      <c r="X122" s="12"/>
      <c r="Y122" s="12"/>
      <c r="Z122" s="12"/>
    </row>
    <row r="123" spans="1:26" ht="15.75" customHeight="1" x14ac:dyDescent="0.25">
      <c r="A123" s="12"/>
      <c r="B123" s="12"/>
      <c r="C123" s="12"/>
      <c r="D123" s="12"/>
      <c r="E123" s="13"/>
      <c r="F123" s="12"/>
      <c r="G123" s="12"/>
      <c r="H123" s="12"/>
      <c r="I123" s="12"/>
      <c r="J123" s="12"/>
      <c r="K123" s="12"/>
      <c r="L123" s="12"/>
      <c r="M123" s="12"/>
      <c r="N123" s="12"/>
      <c r="O123" s="12"/>
      <c r="P123" s="12"/>
      <c r="Q123" s="12"/>
      <c r="R123" s="12"/>
      <c r="S123" s="12"/>
      <c r="T123" s="12"/>
      <c r="U123" s="12"/>
      <c r="V123" s="12"/>
      <c r="W123" s="12"/>
      <c r="X123" s="12"/>
      <c r="Y123" s="12"/>
      <c r="Z123" s="12"/>
    </row>
    <row r="124" spans="1:26" ht="15.75" customHeight="1" x14ac:dyDescent="0.25">
      <c r="A124" s="12"/>
      <c r="B124" s="12"/>
      <c r="C124" s="12"/>
      <c r="D124" s="12"/>
      <c r="E124" s="13"/>
      <c r="F124" s="12"/>
      <c r="G124" s="12"/>
      <c r="H124" s="12"/>
      <c r="I124" s="12"/>
      <c r="J124" s="12"/>
      <c r="K124" s="12"/>
      <c r="L124" s="12"/>
      <c r="M124" s="12"/>
      <c r="N124" s="12"/>
      <c r="O124" s="12"/>
      <c r="P124" s="12"/>
      <c r="Q124" s="12"/>
      <c r="R124" s="12"/>
      <c r="S124" s="12"/>
      <c r="T124" s="12"/>
      <c r="U124" s="12"/>
      <c r="V124" s="12"/>
      <c r="W124" s="12"/>
      <c r="X124" s="12"/>
      <c r="Y124" s="12"/>
      <c r="Z124" s="12"/>
    </row>
    <row r="125" spans="1:26" ht="15.75" customHeight="1" x14ac:dyDescent="0.25">
      <c r="A125" s="12"/>
      <c r="B125" s="12"/>
      <c r="C125" s="12"/>
      <c r="D125" s="12"/>
      <c r="E125" s="13"/>
      <c r="F125" s="12"/>
      <c r="G125" s="12"/>
      <c r="H125" s="12"/>
      <c r="I125" s="12"/>
      <c r="J125" s="12"/>
      <c r="K125" s="12"/>
      <c r="L125" s="12"/>
      <c r="M125" s="12"/>
      <c r="N125" s="12"/>
      <c r="O125" s="12"/>
      <c r="P125" s="12"/>
      <c r="Q125" s="12"/>
      <c r="R125" s="12"/>
      <c r="S125" s="12"/>
      <c r="T125" s="12"/>
      <c r="U125" s="12"/>
      <c r="V125" s="12"/>
      <c r="W125" s="12"/>
      <c r="X125" s="12"/>
      <c r="Y125" s="12"/>
      <c r="Z125" s="12"/>
    </row>
    <row r="126" spans="1:26" ht="15.75" customHeight="1" x14ac:dyDescent="0.25">
      <c r="A126" s="12"/>
      <c r="B126" s="12"/>
      <c r="C126" s="12"/>
      <c r="D126" s="12"/>
      <c r="E126" s="13"/>
      <c r="F126" s="12"/>
      <c r="G126" s="12"/>
      <c r="H126" s="12"/>
      <c r="I126" s="12"/>
      <c r="J126" s="12"/>
      <c r="K126" s="12"/>
      <c r="L126" s="12"/>
      <c r="M126" s="12"/>
      <c r="N126" s="12"/>
      <c r="O126" s="12"/>
      <c r="P126" s="12"/>
      <c r="Q126" s="12"/>
      <c r="R126" s="12"/>
      <c r="S126" s="12"/>
      <c r="T126" s="12"/>
      <c r="U126" s="12"/>
      <c r="V126" s="12"/>
      <c r="W126" s="12"/>
      <c r="X126" s="12"/>
      <c r="Y126" s="12"/>
      <c r="Z126" s="12"/>
    </row>
    <row r="127" spans="1:26" ht="15.75" customHeight="1" x14ac:dyDescent="0.25">
      <c r="A127" s="12"/>
      <c r="B127" s="12"/>
      <c r="C127" s="12"/>
      <c r="D127" s="12"/>
      <c r="E127" s="13"/>
      <c r="F127" s="12"/>
      <c r="G127" s="12"/>
      <c r="H127" s="12"/>
      <c r="I127" s="12"/>
      <c r="J127" s="12"/>
      <c r="K127" s="12"/>
      <c r="L127" s="12"/>
      <c r="M127" s="12"/>
      <c r="N127" s="12"/>
      <c r="O127" s="12"/>
      <c r="P127" s="12"/>
      <c r="Q127" s="12"/>
      <c r="R127" s="12"/>
      <c r="S127" s="12"/>
      <c r="T127" s="12"/>
      <c r="U127" s="12"/>
      <c r="V127" s="12"/>
      <c r="W127" s="12"/>
      <c r="X127" s="12"/>
      <c r="Y127" s="12"/>
      <c r="Z127" s="12"/>
    </row>
    <row r="128" spans="1:26" ht="15.75" customHeight="1" x14ac:dyDescent="0.25">
      <c r="A128" s="12"/>
      <c r="B128" s="12"/>
      <c r="C128" s="12"/>
      <c r="D128" s="12"/>
      <c r="E128" s="13"/>
      <c r="F128" s="12"/>
      <c r="G128" s="12"/>
      <c r="H128" s="12"/>
      <c r="I128" s="12"/>
      <c r="J128" s="12"/>
      <c r="K128" s="12"/>
      <c r="L128" s="12"/>
      <c r="M128" s="12"/>
      <c r="N128" s="12"/>
      <c r="O128" s="12"/>
      <c r="P128" s="12"/>
      <c r="Q128" s="12"/>
      <c r="R128" s="12"/>
      <c r="S128" s="12"/>
      <c r="T128" s="12"/>
      <c r="U128" s="12"/>
      <c r="V128" s="12"/>
      <c r="W128" s="12"/>
      <c r="X128" s="12"/>
      <c r="Y128" s="12"/>
      <c r="Z128" s="12"/>
    </row>
    <row r="129" spans="1:26" ht="15.75" customHeight="1" x14ac:dyDescent="0.25">
      <c r="A129" s="12"/>
      <c r="B129" s="12"/>
      <c r="C129" s="12"/>
      <c r="D129" s="12"/>
      <c r="E129" s="13"/>
      <c r="F129" s="12"/>
      <c r="G129" s="12"/>
      <c r="H129" s="12"/>
      <c r="I129" s="12"/>
      <c r="J129" s="12"/>
      <c r="K129" s="12"/>
      <c r="L129" s="12"/>
      <c r="M129" s="12"/>
      <c r="N129" s="12"/>
      <c r="O129" s="12"/>
      <c r="P129" s="12"/>
      <c r="Q129" s="12"/>
      <c r="R129" s="12"/>
      <c r="S129" s="12"/>
      <c r="T129" s="12"/>
      <c r="U129" s="12"/>
      <c r="V129" s="12"/>
      <c r="W129" s="12"/>
      <c r="X129" s="12"/>
      <c r="Y129" s="12"/>
      <c r="Z129" s="12"/>
    </row>
    <row r="130" spans="1:26" ht="15.75" customHeight="1" x14ac:dyDescent="0.25">
      <c r="A130" s="12"/>
      <c r="B130" s="12"/>
      <c r="C130" s="12"/>
      <c r="D130" s="12"/>
      <c r="E130" s="13"/>
      <c r="F130" s="12"/>
      <c r="G130" s="12"/>
      <c r="H130" s="12"/>
      <c r="I130" s="12"/>
      <c r="J130" s="12"/>
      <c r="K130" s="12"/>
      <c r="L130" s="12"/>
      <c r="M130" s="12"/>
      <c r="N130" s="12"/>
      <c r="O130" s="12"/>
      <c r="P130" s="12"/>
      <c r="Q130" s="12"/>
      <c r="R130" s="12"/>
      <c r="S130" s="12"/>
      <c r="T130" s="12"/>
      <c r="U130" s="12"/>
      <c r="V130" s="12"/>
      <c r="W130" s="12"/>
      <c r="X130" s="12"/>
      <c r="Y130" s="12"/>
      <c r="Z130" s="12"/>
    </row>
    <row r="131" spans="1:26" ht="15.75" customHeight="1" x14ac:dyDescent="0.25">
      <c r="A131" s="12"/>
      <c r="B131" s="12"/>
      <c r="C131" s="12"/>
      <c r="D131" s="12"/>
      <c r="E131" s="13"/>
      <c r="F131" s="12"/>
      <c r="G131" s="12"/>
      <c r="H131" s="12"/>
      <c r="I131" s="12"/>
      <c r="J131" s="12"/>
      <c r="K131" s="12"/>
      <c r="L131" s="12"/>
      <c r="M131" s="12"/>
      <c r="N131" s="12"/>
      <c r="O131" s="12"/>
      <c r="P131" s="12"/>
      <c r="Q131" s="12"/>
      <c r="R131" s="12"/>
      <c r="S131" s="12"/>
      <c r="T131" s="12"/>
      <c r="U131" s="12"/>
      <c r="V131" s="12"/>
      <c r="W131" s="12"/>
      <c r="X131" s="12"/>
      <c r="Y131" s="12"/>
      <c r="Z131" s="12"/>
    </row>
    <row r="132" spans="1:26" ht="15.75" customHeight="1" x14ac:dyDescent="0.25">
      <c r="A132" s="12"/>
      <c r="B132" s="12"/>
      <c r="C132" s="12"/>
      <c r="D132" s="12"/>
      <c r="E132" s="13"/>
      <c r="F132" s="12"/>
      <c r="G132" s="12"/>
      <c r="H132" s="12"/>
      <c r="I132" s="12"/>
      <c r="J132" s="12"/>
      <c r="K132" s="12"/>
      <c r="L132" s="12"/>
      <c r="M132" s="12"/>
      <c r="N132" s="12"/>
      <c r="O132" s="12"/>
      <c r="P132" s="12"/>
      <c r="Q132" s="12"/>
      <c r="R132" s="12"/>
      <c r="S132" s="12"/>
      <c r="T132" s="12"/>
      <c r="U132" s="12"/>
      <c r="V132" s="12"/>
      <c r="W132" s="12"/>
      <c r="X132" s="12"/>
      <c r="Y132" s="12"/>
      <c r="Z132" s="12"/>
    </row>
    <row r="133" spans="1:26" ht="15.75" customHeight="1" x14ac:dyDescent="0.25">
      <c r="A133" s="12"/>
      <c r="B133" s="12"/>
      <c r="C133" s="12"/>
      <c r="D133" s="12"/>
      <c r="E133" s="13"/>
      <c r="F133" s="12"/>
      <c r="G133" s="12"/>
      <c r="H133" s="12"/>
      <c r="I133" s="12"/>
      <c r="J133" s="12"/>
      <c r="K133" s="12"/>
      <c r="L133" s="12"/>
      <c r="M133" s="12"/>
      <c r="N133" s="12"/>
      <c r="O133" s="12"/>
      <c r="P133" s="12"/>
      <c r="Q133" s="12"/>
      <c r="R133" s="12"/>
      <c r="S133" s="12"/>
      <c r="T133" s="12"/>
      <c r="U133" s="12"/>
      <c r="V133" s="12"/>
      <c r="W133" s="12"/>
      <c r="X133" s="12"/>
      <c r="Y133" s="12"/>
      <c r="Z133" s="12"/>
    </row>
    <row r="134" spans="1:26" ht="15.75" customHeight="1" x14ac:dyDescent="0.25">
      <c r="A134" s="12"/>
      <c r="B134" s="12"/>
      <c r="C134" s="12"/>
      <c r="D134" s="12"/>
      <c r="E134" s="13"/>
      <c r="F134" s="12"/>
      <c r="G134" s="12"/>
      <c r="H134" s="12"/>
      <c r="I134" s="12"/>
      <c r="J134" s="12"/>
      <c r="K134" s="12"/>
      <c r="L134" s="12"/>
      <c r="M134" s="12"/>
      <c r="N134" s="12"/>
      <c r="O134" s="12"/>
      <c r="P134" s="12"/>
      <c r="Q134" s="12"/>
      <c r="R134" s="12"/>
      <c r="S134" s="12"/>
      <c r="T134" s="12"/>
      <c r="U134" s="12"/>
      <c r="V134" s="12"/>
      <c r="W134" s="12"/>
      <c r="X134" s="12"/>
      <c r="Y134" s="12"/>
      <c r="Z134" s="12"/>
    </row>
    <row r="135" spans="1:26" ht="15.75" customHeight="1" x14ac:dyDescent="0.25">
      <c r="A135" s="12"/>
      <c r="B135" s="12"/>
      <c r="C135" s="12"/>
      <c r="D135" s="12"/>
      <c r="E135" s="13"/>
      <c r="F135" s="12"/>
      <c r="G135" s="12"/>
      <c r="H135" s="12"/>
      <c r="I135" s="12"/>
      <c r="J135" s="12"/>
      <c r="K135" s="12"/>
      <c r="L135" s="12"/>
      <c r="M135" s="12"/>
      <c r="N135" s="12"/>
      <c r="O135" s="12"/>
      <c r="P135" s="12"/>
      <c r="Q135" s="12"/>
      <c r="R135" s="12"/>
      <c r="S135" s="12"/>
      <c r="T135" s="12"/>
      <c r="U135" s="12"/>
      <c r="V135" s="12"/>
      <c r="W135" s="12"/>
      <c r="X135" s="12"/>
      <c r="Y135" s="12"/>
      <c r="Z135" s="12"/>
    </row>
    <row r="136" spans="1:26" ht="15.75" customHeight="1" x14ac:dyDescent="0.25">
      <c r="A136" s="12"/>
      <c r="B136" s="12"/>
      <c r="C136" s="12"/>
      <c r="D136" s="12"/>
      <c r="E136" s="13"/>
      <c r="F136" s="12"/>
      <c r="G136" s="12"/>
      <c r="H136" s="12"/>
      <c r="I136" s="12"/>
      <c r="J136" s="12"/>
      <c r="K136" s="12"/>
      <c r="L136" s="12"/>
      <c r="M136" s="12"/>
      <c r="N136" s="12"/>
      <c r="O136" s="12"/>
      <c r="P136" s="12"/>
      <c r="Q136" s="12"/>
      <c r="R136" s="12"/>
      <c r="S136" s="12"/>
      <c r="T136" s="12"/>
      <c r="U136" s="12"/>
      <c r="V136" s="12"/>
      <c r="W136" s="12"/>
      <c r="X136" s="12"/>
      <c r="Y136" s="12"/>
      <c r="Z136" s="12"/>
    </row>
    <row r="137" spans="1:26" ht="15.75" customHeight="1" x14ac:dyDescent="0.25">
      <c r="A137" s="12"/>
      <c r="B137" s="12"/>
      <c r="C137" s="12"/>
      <c r="D137" s="12"/>
      <c r="E137" s="13"/>
      <c r="F137" s="12"/>
      <c r="G137" s="12"/>
      <c r="H137" s="12"/>
      <c r="I137" s="12"/>
      <c r="J137" s="12"/>
      <c r="K137" s="12"/>
      <c r="L137" s="12"/>
      <c r="M137" s="12"/>
      <c r="N137" s="12"/>
      <c r="O137" s="12"/>
      <c r="P137" s="12"/>
      <c r="Q137" s="12"/>
      <c r="R137" s="12"/>
      <c r="S137" s="12"/>
      <c r="T137" s="12"/>
      <c r="U137" s="12"/>
      <c r="V137" s="12"/>
      <c r="W137" s="12"/>
      <c r="X137" s="12"/>
      <c r="Y137" s="12"/>
      <c r="Z137" s="12"/>
    </row>
    <row r="138" spans="1:26" ht="15.75" customHeight="1" x14ac:dyDescent="0.25">
      <c r="A138" s="12"/>
      <c r="B138" s="12"/>
      <c r="C138" s="12"/>
      <c r="D138" s="12"/>
      <c r="E138" s="13"/>
      <c r="F138" s="12"/>
      <c r="G138" s="12"/>
      <c r="H138" s="12"/>
      <c r="I138" s="12"/>
      <c r="J138" s="12"/>
      <c r="K138" s="12"/>
      <c r="L138" s="12"/>
      <c r="M138" s="12"/>
      <c r="N138" s="12"/>
      <c r="O138" s="12"/>
      <c r="P138" s="12"/>
      <c r="Q138" s="12"/>
      <c r="R138" s="12"/>
      <c r="S138" s="12"/>
      <c r="T138" s="12"/>
      <c r="U138" s="12"/>
      <c r="V138" s="12"/>
      <c r="W138" s="12"/>
      <c r="X138" s="12"/>
      <c r="Y138" s="12"/>
      <c r="Z138" s="12"/>
    </row>
    <row r="139" spans="1:26" ht="15.75" customHeight="1" x14ac:dyDescent="0.25">
      <c r="A139" s="12"/>
      <c r="B139" s="12"/>
      <c r="C139" s="12"/>
      <c r="D139" s="12"/>
      <c r="E139" s="13"/>
      <c r="F139" s="12"/>
      <c r="G139" s="12"/>
      <c r="H139" s="12"/>
      <c r="I139" s="12"/>
      <c r="J139" s="12"/>
      <c r="K139" s="12"/>
      <c r="L139" s="12"/>
      <c r="M139" s="12"/>
      <c r="N139" s="12"/>
      <c r="O139" s="12"/>
      <c r="P139" s="12"/>
      <c r="Q139" s="12"/>
      <c r="R139" s="12"/>
      <c r="S139" s="12"/>
      <c r="T139" s="12"/>
      <c r="U139" s="12"/>
      <c r="V139" s="12"/>
      <c r="W139" s="12"/>
      <c r="X139" s="12"/>
      <c r="Y139" s="12"/>
      <c r="Z139" s="12"/>
    </row>
    <row r="140" spans="1:26" ht="15.75" customHeight="1" x14ac:dyDescent="0.25">
      <c r="A140" s="12"/>
      <c r="B140" s="12"/>
      <c r="C140" s="12"/>
      <c r="D140" s="12"/>
      <c r="E140" s="13"/>
      <c r="F140" s="12"/>
      <c r="G140" s="12"/>
      <c r="H140" s="12"/>
      <c r="I140" s="12"/>
      <c r="J140" s="12"/>
      <c r="K140" s="12"/>
      <c r="L140" s="12"/>
      <c r="M140" s="12"/>
      <c r="N140" s="12"/>
      <c r="O140" s="12"/>
      <c r="P140" s="12"/>
      <c r="Q140" s="12"/>
      <c r="R140" s="12"/>
      <c r="S140" s="12"/>
      <c r="T140" s="12"/>
      <c r="U140" s="12"/>
      <c r="V140" s="12"/>
      <c r="W140" s="12"/>
      <c r="X140" s="12"/>
      <c r="Y140" s="12"/>
      <c r="Z140" s="12"/>
    </row>
    <row r="141" spans="1:26" ht="15.75" customHeight="1" x14ac:dyDescent="0.25">
      <c r="A141" s="12"/>
      <c r="B141" s="12"/>
      <c r="C141" s="12"/>
      <c r="D141" s="12"/>
      <c r="E141" s="13"/>
      <c r="F141" s="12"/>
      <c r="G141" s="12"/>
      <c r="H141" s="12"/>
      <c r="I141" s="12"/>
      <c r="J141" s="12"/>
      <c r="K141" s="12"/>
      <c r="L141" s="12"/>
      <c r="M141" s="12"/>
      <c r="N141" s="12"/>
      <c r="O141" s="12"/>
      <c r="P141" s="12"/>
      <c r="Q141" s="12"/>
      <c r="R141" s="12"/>
      <c r="S141" s="12"/>
      <c r="T141" s="12"/>
      <c r="U141" s="12"/>
      <c r="V141" s="12"/>
      <c r="W141" s="12"/>
      <c r="X141" s="12"/>
      <c r="Y141" s="12"/>
      <c r="Z141" s="12"/>
    </row>
    <row r="142" spans="1:26" ht="15.75" customHeight="1" x14ac:dyDescent="0.25">
      <c r="A142" s="12"/>
      <c r="B142" s="12"/>
      <c r="C142" s="12"/>
      <c r="D142" s="12"/>
      <c r="E142" s="13"/>
      <c r="F142" s="12"/>
      <c r="G142" s="12"/>
      <c r="H142" s="12"/>
      <c r="I142" s="12"/>
      <c r="J142" s="12"/>
      <c r="K142" s="12"/>
      <c r="L142" s="12"/>
      <c r="M142" s="12"/>
      <c r="N142" s="12"/>
      <c r="O142" s="12"/>
      <c r="P142" s="12"/>
      <c r="Q142" s="12"/>
      <c r="R142" s="12"/>
      <c r="S142" s="12"/>
      <c r="T142" s="12"/>
      <c r="U142" s="12"/>
      <c r="V142" s="12"/>
      <c r="W142" s="12"/>
      <c r="X142" s="12"/>
      <c r="Y142" s="12"/>
      <c r="Z142" s="12"/>
    </row>
    <row r="143" spans="1:26" ht="15.75" customHeight="1" x14ac:dyDescent="0.25">
      <c r="A143" s="12"/>
      <c r="B143" s="12"/>
      <c r="C143" s="12"/>
      <c r="D143" s="12"/>
      <c r="E143" s="13"/>
      <c r="F143" s="12"/>
      <c r="G143" s="12"/>
      <c r="H143" s="12"/>
      <c r="I143" s="12"/>
      <c r="J143" s="12"/>
      <c r="K143" s="12"/>
      <c r="L143" s="12"/>
      <c r="M143" s="12"/>
      <c r="N143" s="12"/>
      <c r="O143" s="12"/>
      <c r="P143" s="12"/>
      <c r="Q143" s="12"/>
      <c r="R143" s="12"/>
      <c r="S143" s="12"/>
      <c r="T143" s="12"/>
      <c r="U143" s="12"/>
      <c r="V143" s="12"/>
      <c r="W143" s="12"/>
      <c r="X143" s="12"/>
      <c r="Y143" s="12"/>
      <c r="Z143" s="12"/>
    </row>
    <row r="144" spans="1:26" ht="15.75" customHeight="1" x14ac:dyDescent="0.25">
      <c r="A144" s="12"/>
      <c r="B144" s="12"/>
      <c r="C144" s="12"/>
      <c r="D144" s="12"/>
      <c r="E144" s="13"/>
      <c r="F144" s="12"/>
      <c r="G144" s="12"/>
      <c r="H144" s="12"/>
      <c r="I144" s="12"/>
      <c r="J144" s="12"/>
      <c r="K144" s="12"/>
      <c r="L144" s="12"/>
      <c r="M144" s="12"/>
      <c r="N144" s="12"/>
      <c r="O144" s="12"/>
      <c r="P144" s="12"/>
      <c r="Q144" s="12"/>
      <c r="R144" s="12"/>
      <c r="S144" s="12"/>
      <c r="T144" s="12"/>
      <c r="U144" s="12"/>
      <c r="V144" s="12"/>
      <c r="W144" s="12"/>
      <c r="X144" s="12"/>
      <c r="Y144" s="12"/>
      <c r="Z144" s="12"/>
    </row>
    <row r="145" spans="1:26" ht="15.75" customHeight="1" x14ac:dyDescent="0.25">
      <c r="A145" s="12"/>
      <c r="B145" s="12"/>
      <c r="C145" s="12"/>
      <c r="D145" s="12"/>
      <c r="E145" s="13"/>
      <c r="F145" s="12"/>
      <c r="G145" s="12"/>
      <c r="H145" s="12"/>
      <c r="I145" s="12"/>
      <c r="J145" s="12"/>
      <c r="K145" s="12"/>
      <c r="L145" s="12"/>
      <c r="M145" s="12"/>
      <c r="N145" s="12"/>
      <c r="O145" s="12"/>
      <c r="P145" s="12"/>
      <c r="Q145" s="12"/>
      <c r="R145" s="12"/>
      <c r="S145" s="12"/>
      <c r="T145" s="12"/>
      <c r="U145" s="12"/>
      <c r="V145" s="12"/>
      <c r="W145" s="12"/>
      <c r="X145" s="12"/>
      <c r="Y145" s="12"/>
      <c r="Z145" s="12"/>
    </row>
    <row r="146" spans="1:26" ht="15.75" customHeight="1" x14ac:dyDescent="0.25">
      <c r="A146" s="12"/>
      <c r="B146" s="12"/>
      <c r="C146" s="12"/>
      <c r="D146" s="12"/>
      <c r="E146" s="13"/>
      <c r="F146" s="12"/>
      <c r="G146" s="12"/>
      <c r="H146" s="12"/>
      <c r="I146" s="12"/>
      <c r="J146" s="12"/>
      <c r="K146" s="12"/>
      <c r="L146" s="12"/>
      <c r="M146" s="12"/>
      <c r="N146" s="12"/>
      <c r="O146" s="12"/>
      <c r="P146" s="12"/>
      <c r="Q146" s="12"/>
      <c r="R146" s="12"/>
      <c r="S146" s="12"/>
      <c r="T146" s="12"/>
      <c r="U146" s="12"/>
      <c r="V146" s="12"/>
      <c r="W146" s="12"/>
      <c r="X146" s="12"/>
      <c r="Y146" s="12"/>
      <c r="Z146" s="12"/>
    </row>
    <row r="147" spans="1:26" ht="15.75" customHeight="1" x14ac:dyDescent="0.25">
      <c r="A147" s="12"/>
      <c r="B147" s="12"/>
      <c r="C147" s="12"/>
      <c r="D147" s="12"/>
      <c r="E147" s="13"/>
      <c r="F147" s="12"/>
      <c r="G147" s="12"/>
      <c r="H147" s="12"/>
      <c r="I147" s="12"/>
      <c r="J147" s="12"/>
      <c r="K147" s="12"/>
      <c r="L147" s="12"/>
      <c r="M147" s="12"/>
      <c r="N147" s="12"/>
      <c r="O147" s="12"/>
      <c r="P147" s="12"/>
      <c r="Q147" s="12"/>
      <c r="R147" s="12"/>
      <c r="S147" s="12"/>
      <c r="T147" s="12"/>
      <c r="U147" s="12"/>
      <c r="V147" s="12"/>
      <c r="W147" s="12"/>
      <c r="X147" s="12"/>
      <c r="Y147" s="12"/>
      <c r="Z147" s="12"/>
    </row>
    <row r="148" spans="1:26" ht="15.75" customHeight="1" x14ac:dyDescent="0.25">
      <c r="A148" s="12"/>
      <c r="B148" s="12"/>
      <c r="C148" s="12"/>
      <c r="D148" s="12"/>
      <c r="E148" s="13"/>
      <c r="F148" s="12"/>
      <c r="G148" s="12"/>
      <c r="H148" s="12"/>
      <c r="I148" s="12"/>
      <c r="J148" s="12"/>
      <c r="K148" s="12"/>
      <c r="L148" s="12"/>
      <c r="M148" s="12"/>
      <c r="N148" s="12"/>
      <c r="O148" s="12"/>
      <c r="P148" s="12"/>
      <c r="Q148" s="12"/>
      <c r="R148" s="12"/>
      <c r="S148" s="12"/>
      <c r="T148" s="12"/>
      <c r="U148" s="12"/>
      <c r="V148" s="12"/>
      <c r="W148" s="12"/>
      <c r="X148" s="12"/>
      <c r="Y148" s="12"/>
      <c r="Z148" s="12"/>
    </row>
    <row r="149" spans="1:26" ht="15.75" customHeight="1" x14ac:dyDescent="0.25">
      <c r="A149" s="12"/>
      <c r="B149" s="12"/>
      <c r="C149" s="12"/>
      <c r="D149" s="12"/>
      <c r="E149" s="13"/>
      <c r="F149" s="12"/>
      <c r="G149" s="12"/>
      <c r="H149" s="12"/>
      <c r="I149" s="12"/>
      <c r="J149" s="12"/>
      <c r="K149" s="12"/>
      <c r="L149" s="12"/>
      <c r="M149" s="12"/>
      <c r="N149" s="12"/>
      <c r="O149" s="12"/>
      <c r="P149" s="12"/>
      <c r="Q149" s="12"/>
      <c r="R149" s="12"/>
      <c r="S149" s="12"/>
      <c r="T149" s="12"/>
      <c r="U149" s="12"/>
      <c r="V149" s="12"/>
      <c r="W149" s="12"/>
      <c r="X149" s="12"/>
      <c r="Y149" s="12"/>
      <c r="Z149" s="12"/>
    </row>
    <row r="150" spans="1:26" ht="15.75" customHeight="1" x14ac:dyDescent="0.25">
      <c r="A150" s="12"/>
      <c r="B150" s="12"/>
      <c r="C150" s="12"/>
      <c r="D150" s="12"/>
      <c r="E150" s="13"/>
      <c r="F150" s="12"/>
      <c r="G150" s="12"/>
      <c r="H150" s="12"/>
      <c r="I150" s="12"/>
      <c r="J150" s="12"/>
      <c r="K150" s="12"/>
      <c r="L150" s="12"/>
      <c r="M150" s="12"/>
      <c r="N150" s="12"/>
      <c r="O150" s="12"/>
      <c r="P150" s="12"/>
      <c r="Q150" s="12"/>
      <c r="R150" s="12"/>
      <c r="S150" s="12"/>
      <c r="T150" s="12"/>
      <c r="U150" s="12"/>
      <c r="V150" s="12"/>
      <c r="W150" s="12"/>
      <c r="X150" s="12"/>
      <c r="Y150" s="12"/>
      <c r="Z150" s="12"/>
    </row>
    <row r="151" spans="1:26" ht="15.75" customHeight="1" x14ac:dyDescent="0.25">
      <c r="A151" s="12"/>
      <c r="B151" s="12"/>
      <c r="C151" s="12"/>
      <c r="D151" s="12"/>
      <c r="E151" s="13"/>
      <c r="F151" s="12"/>
      <c r="G151" s="12"/>
      <c r="H151" s="12"/>
      <c r="I151" s="12"/>
      <c r="J151" s="12"/>
      <c r="K151" s="12"/>
      <c r="L151" s="12"/>
      <c r="M151" s="12"/>
      <c r="N151" s="12"/>
      <c r="O151" s="12"/>
      <c r="P151" s="12"/>
      <c r="Q151" s="12"/>
      <c r="R151" s="12"/>
      <c r="S151" s="12"/>
      <c r="T151" s="12"/>
      <c r="U151" s="12"/>
      <c r="V151" s="12"/>
      <c r="W151" s="12"/>
      <c r="X151" s="12"/>
      <c r="Y151" s="12"/>
      <c r="Z151" s="12"/>
    </row>
    <row r="152" spans="1:26" ht="15.75" customHeight="1" x14ac:dyDescent="0.25">
      <c r="A152" s="12"/>
      <c r="B152" s="12"/>
      <c r="C152" s="12"/>
      <c r="D152" s="12"/>
      <c r="E152" s="13"/>
      <c r="F152" s="12"/>
      <c r="G152" s="12"/>
      <c r="H152" s="12"/>
      <c r="I152" s="12"/>
      <c r="J152" s="12"/>
      <c r="K152" s="12"/>
      <c r="L152" s="12"/>
      <c r="M152" s="12"/>
      <c r="N152" s="12"/>
      <c r="O152" s="12"/>
      <c r="P152" s="12"/>
      <c r="Q152" s="12"/>
      <c r="R152" s="12"/>
      <c r="S152" s="12"/>
      <c r="T152" s="12"/>
      <c r="U152" s="12"/>
      <c r="V152" s="12"/>
      <c r="W152" s="12"/>
      <c r="X152" s="12"/>
      <c r="Y152" s="12"/>
      <c r="Z152" s="12"/>
    </row>
    <row r="153" spans="1:26" ht="15.75" customHeight="1" x14ac:dyDescent="0.25">
      <c r="A153" s="12"/>
      <c r="B153" s="12"/>
      <c r="C153" s="12"/>
      <c r="D153" s="12"/>
      <c r="E153" s="13"/>
      <c r="F153" s="12"/>
      <c r="G153" s="12"/>
      <c r="H153" s="12"/>
      <c r="I153" s="12"/>
      <c r="J153" s="12"/>
      <c r="K153" s="12"/>
      <c r="L153" s="12"/>
      <c r="M153" s="12"/>
      <c r="N153" s="12"/>
      <c r="O153" s="12"/>
      <c r="P153" s="12"/>
      <c r="Q153" s="12"/>
      <c r="R153" s="12"/>
      <c r="S153" s="12"/>
      <c r="T153" s="12"/>
      <c r="U153" s="12"/>
      <c r="V153" s="12"/>
      <c r="W153" s="12"/>
      <c r="X153" s="12"/>
      <c r="Y153" s="12"/>
      <c r="Z153" s="12"/>
    </row>
    <row r="154" spans="1:26" ht="15.75" customHeight="1" x14ac:dyDescent="0.25">
      <c r="A154" s="12"/>
      <c r="B154" s="12"/>
      <c r="C154" s="12"/>
      <c r="D154" s="12"/>
      <c r="E154" s="13"/>
      <c r="F154" s="12"/>
      <c r="G154" s="12"/>
      <c r="H154" s="12"/>
      <c r="I154" s="12"/>
      <c r="J154" s="12"/>
      <c r="K154" s="12"/>
      <c r="L154" s="12"/>
      <c r="M154" s="12"/>
      <c r="N154" s="12"/>
      <c r="O154" s="12"/>
      <c r="P154" s="12"/>
      <c r="Q154" s="12"/>
      <c r="R154" s="12"/>
      <c r="S154" s="12"/>
      <c r="T154" s="12"/>
      <c r="U154" s="12"/>
      <c r="V154" s="12"/>
      <c r="W154" s="12"/>
      <c r="X154" s="12"/>
      <c r="Y154" s="12"/>
      <c r="Z154" s="12"/>
    </row>
    <row r="155" spans="1:26" ht="15.75" customHeight="1" x14ac:dyDescent="0.25">
      <c r="A155" s="12"/>
      <c r="B155" s="12"/>
      <c r="C155" s="12"/>
      <c r="D155" s="12"/>
      <c r="E155" s="13"/>
      <c r="F155" s="12"/>
      <c r="G155" s="12"/>
      <c r="H155" s="12"/>
      <c r="I155" s="12"/>
      <c r="J155" s="12"/>
      <c r="K155" s="12"/>
      <c r="L155" s="12"/>
      <c r="M155" s="12"/>
      <c r="N155" s="12"/>
      <c r="O155" s="12"/>
      <c r="P155" s="12"/>
      <c r="Q155" s="12"/>
      <c r="R155" s="12"/>
      <c r="S155" s="12"/>
      <c r="T155" s="12"/>
      <c r="U155" s="12"/>
      <c r="V155" s="12"/>
      <c r="W155" s="12"/>
      <c r="X155" s="12"/>
      <c r="Y155" s="12"/>
      <c r="Z155" s="12"/>
    </row>
    <row r="156" spans="1:26" ht="15.75" customHeight="1" x14ac:dyDescent="0.25">
      <c r="A156" s="12"/>
      <c r="B156" s="12"/>
      <c r="C156" s="12"/>
      <c r="D156" s="12"/>
      <c r="E156" s="13"/>
      <c r="F156" s="12"/>
      <c r="G156" s="12"/>
      <c r="H156" s="12"/>
      <c r="I156" s="12"/>
      <c r="J156" s="12"/>
      <c r="K156" s="12"/>
      <c r="L156" s="12"/>
      <c r="M156" s="12"/>
      <c r="N156" s="12"/>
      <c r="O156" s="12"/>
      <c r="P156" s="12"/>
      <c r="Q156" s="12"/>
      <c r="R156" s="12"/>
      <c r="S156" s="12"/>
      <c r="T156" s="12"/>
      <c r="U156" s="12"/>
      <c r="V156" s="12"/>
      <c r="W156" s="12"/>
      <c r="X156" s="12"/>
      <c r="Y156" s="12"/>
      <c r="Z156" s="12"/>
    </row>
    <row r="157" spans="1:26" ht="15.75" customHeight="1" x14ac:dyDescent="0.25">
      <c r="A157" s="12"/>
      <c r="B157" s="12"/>
      <c r="C157" s="12"/>
      <c r="D157" s="12"/>
      <c r="E157" s="13"/>
      <c r="F157" s="12"/>
      <c r="G157" s="12"/>
      <c r="H157" s="12"/>
      <c r="I157" s="12"/>
      <c r="J157" s="12"/>
      <c r="K157" s="12"/>
      <c r="L157" s="12"/>
      <c r="M157" s="12"/>
      <c r="N157" s="12"/>
      <c r="O157" s="12"/>
      <c r="P157" s="12"/>
      <c r="Q157" s="12"/>
      <c r="R157" s="12"/>
      <c r="S157" s="12"/>
      <c r="T157" s="12"/>
      <c r="U157" s="12"/>
      <c r="V157" s="12"/>
      <c r="W157" s="12"/>
      <c r="X157" s="12"/>
      <c r="Y157" s="12"/>
      <c r="Z157" s="12"/>
    </row>
    <row r="158" spans="1:26" ht="15.75" customHeight="1" x14ac:dyDescent="0.25">
      <c r="A158" s="12"/>
      <c r="B158" s="12"/>
      <c r="C158" s="12"/>
      <c r="D158" s="12"/>
      <c r="E158" s="13"/>
      <c r="F158" s="12"/>
      <c r="G158" s="12"/>
      <c r="H158" s="12"/>
      <c r="I158" s="12"/>
      <c r="J158" s="12"/>
      <c r="K158" s="12"/>
      <c r="L158" s="12"/>
      <c r="M158" s="12"/>
      <c r="N158" s="12"/>
      <c r="O158" s="12"/>
      <c r="P158" s="12"/>
      <c r="Q158" s="12"/>
      <c r="R158" s="12"/>
      <c r="S158" s="12"/>
      <c r="T158" s="12"/>
      <c r="U158" s="12"/>
      <c r="V158" s="12"/>
      <c r="W158" s="12"/>
      <c r="X158" s="12"/>
      <c r="Y158" s="12"/>
      <c r="Z158" s="12"/>
    </row>
    <row r="159" spans="1:26" ht="15.75" customHeight="1" x14ac:dyDescent="0.25">
      <c r="A159" s="12"/>
      <c r="B159" s="12"/>
      <c r="C159" s="12"/>
      <c r="D159" s="12"/>
      <c r="E159" s="13"/>
      <c r="F159" s="12"/>
      <c r="G159" s="12"/>
      <c r="H159" s="12"/>
      <c r="I159" s="12"/>
      <c r="J159" s="12"/>
      <c r="K159" s="12"/>
      <c r="L159" s="12"/>
      <c r="M159" s="12"/>
      <c r="N159" s="12"/>
      <c r="O159" s="12"/>
      <c r="P159" s="12"/>
      <c r="Q159" s="12"/>
      <c r="R159" s="12"/>
      <c r="S159" s="12"/>
      <c r="T159" s="12"/>
      <c r="U159" s="12"/>
      <c r="V159" s="12"/>
      <c r="W159" s="12"/>
      <c r="X159" s="12"/>
      <c r="Y159" s="12"/>
      <c r="Z159" s="12"/>
    </row>
    <row r="160" spans="1:26" ht="15.75" customHeight="1" x14ac:dyDescent="0.25">
      <c r="A160" s="12"/>
      <c r="B160" s="12"/>
      <c r="C160" s="12"/>
      <c r="D160" s="12"/>
      <c r="E160" s="13"/>
      <c r="F160" s="12"/>
      <c r="G160" s="12"/>
      <c r="H160" s="12"/>
      <c r="I160" s="12"/>
      <c r="J160" s="12"/>
      <c r="K160" s="12"/>
      <c r="L160" s="12"/>
      <c r="M160" s="12"/>
      <c r="N160" s="12"/>
      <c r="O160" s="12"/>
      <c r="P160" s="12"/>
      <c r="Q160" s="12"/>
      <c r="R160" s="12"/>
      <c r="S160" s="12"/>
      <c r="T160" s="12"/>
      <c r="U160" s="12"/>
      <c r="V160" s="12"/>
      <c r="W160" s="12"/>
      <c r="X160" s="12"/>
      <c r="Y160" s="12"/>
      <c r="Z160" s="12"/>
    </row>
    <row r="161" spans="1:26" ht="15.75" customHeight="1" x14ac:dyDescent="0.25">
      <c r="A161" s="12"/>
      <c r="B161" s="12"/>
      <c r="C161" s="12"/>
      <c r="D161" s="12"/>
      <c r="E161" s="13"/>
      <c r="F161" s="12"/>
      <c r="G161" s="12"/>
      <c r="H161" s="12"/>
      <c r="I161" s="12"/>
      <c r="J161" s="12"/>
      <c r="K161" s="12"/>
      <c r="L161" s="12"/>
      <c r="M161" s="12"/>
      <c r="N161" s="12"/>
      <c r="O161" s="12"/>
      <c r="P161" s="12"/>
      <c r="Q161" s="12"/>
      <c r="R161" s="12"/>
      <c r="S161" s="12"/>
      <c r="T161" s="12"/>
      <c r="U161" s="12"/>
      <c r="V161" s="12"/>
      <c r="W161" s="12"/>
      <c r="X161" s="12"/>
      <c r="Y161" s="12"/>
      <c r="Z161" s="12"/>
    </row>
    <row r="162" spans="1:26" ht="15.75" customHeight="1" x14ac:dyDescent="0.25">
      <c r="A162" s="12"/>
      <c r="B162" s="12"/>
      <c r="C162" s="12"/>
      <c r="D162" s="12"/>
      <c r="E162" s="13"/>
      <c r="F162" s="12"/>
      <c r="G162" s="12"/>
      <c r="H162" s="12"/>
      <c r="I162" s="12"/>
      <c r="J162" s="12"/>
      <c r="K162" s="12"/>
      <c r="L162" s="12"/>
      <c r="M162" s="12"/>
      <c r="N162" s="12"/>
      <c r="O162" s="12"/>
      <c r="P162" s="12"/>
      <c r="Q162" s="12"/>
      <c r="R162" s="12"/>
      <c r="S162" s="12"/>
      <c r="T162" s="12"/>
      <c r="U162" s="12"/>
      <c r="V162" s="12"/>
      <c r="W162" s="12"/>
      <c r="X162" s="12"/>
      <c r="Y162" s="12"/>
      <c r="Z162" s="12"/>
    </row>
    <row r="163" spans="1:26" ht="15.75" customHeight="1" x14ac:dyDescent="0.25">
      <c r="A163" s="12"/>
      <c r="B163" s="12"/>
      <c r="C163" s="12"/>
      <c r="D163" s="12"/>
      <c r="E163" s="13"/>
      <c r="F163" s="12"/>
      <c r="G163" s="12"/>
      <c r="H163" s="12"/>
      <c r="I163" s="12"/>
      <c r="J163" s="12"/>
      <c r="K163" s="12"/>
      <c r="L163" s="12"/>
      <c r="M163" s="12"/>
      <c r="N163" s="12"/>
      <c r="O163" s="12"/>
      <c r="P163" s="12"/>
      <c r="Q163" s="12"/>
      <c r="R163" s="12"/>
      <c r="S163" s="12"/>
      <c r="T163" s="12"/>
      <c r="U163" s="12"/>
      <c r="V163" s="12"/>
      <c r="W163" s="12"/>
      <c r="X163" s="12"/>
      <c r="Y163" s="12"/>
      <c r="Z163" s="12"/>
    </row>
    <row r="164" spans="1:26" ht="15.75" customHeight="1" x14ac:dyDescent="0.25">
      <c r="A164" s="12"/>
      <c r="B164" s="12"/>
      <c r="C164" s="12"/>
      <c r="D164" s="12"/>
      <c r="E164" s="13"/>
      <c r="F164" s="12"/>
      <c r="G164" s="12"/>
      <c r="H164" s="12"/>
      <c r="I164" s="12"/>
      <c r="J164" s="12"/>
      <c r="K164" s="12"/>
      <c r="L164" s="12"/>
      <c r="M164" s="12"/>
      <c r="N164" s="12"/>
      <c r="O164" s="12"/>
      <c r="P164" s="12"/>
      <c r="Q164" s="12"/>
      <c r="R164" s="12"/>
      <c r="S164" s="12"/>
      <c r="T164" s="12"/>
      <c r="U164" s="12"/>
      <c r="V164" s="12"/>
      <c r="W164" s="12"/>
      <c r="X164" s="12"/>
      <c r="Y164" s="12"/>
      <c r="Z164" s="12"/>
    </row>
    <row r="165" spans="1:26" ht="15.75" customHeight="1" x14ac:dyDescent="0.25">
      <c r="A165" s="12"/>
      <c r="B165" s="12"/>
      <c r="C165" s="12"/>
      <c r="D165" s="12"/>
      <c r="E165" s="13"/>
      <c r="F165" s="12"/>
      <c r="G165" s="12"/>
      <c r="H165" s="12"/>
      <c r="I165" s="12"/>
      <c r="J165" s="12"/>
      <c r="K165" s="12"/>
      <c r="L165" s="12"/>
      <c r="M165" s="12"/>
      <c r="N165" s="12"/>
      <c r="O165" s="12"/>
      <c r="P165" s="12"/>
      <c r="Q165" s="12"/>
      <c r="R165" s="12"/>
      <c r="S165" s="12"/>
      <c r="T165" s="12"/>
      <c r="U165" s="12"/>
      <c r="V165" s="12"/>
      <c r="W165" s="12"/>
      <c r="X165" s="12"/>
      <c r="Y165" s="12"/>
      <c r="Z165" s="12"/>
    </row>
    <row r="166" spans="1:26" ht="15.75" customHeight="1" x14ac:dyDescent="0.25">
      <c r="A166" s="12"/>
      <c r="B166" s="12"/>
      <c r="C166" s="12"/>
      <c r="D166" s="12"/>
      <c r="E166" s="13"/>
      <c r="F166" s="12"/>
      <c r="G166" s="12"/>
      <c r="H166" s="12"/>
      <c r="I166" s="12"/>
      <c r="J166" s="12"/>
      <c r="K166" s="12"/>
      <c r="L166" s="12"/>
      <c r="M166" s="12"/>
      <c r="N166" s="12"/>
      <c r="O166" s="12"/>
      <c r="P166" s="12"/>
      <c r="Q166" s="12"/>
      <c r="R166" s="12"/>
      <c r="S166" s="12"/>
      <c r="T166" s="12"/>
      <c r="U166" s="12"/>
      <c r="V166" s="12"/>
      <c r="W166" s="12"/>
      <c r="X166" s="12"/>
      <c r="Y166" s="12"/>
      <c r="Z166" s="12"/>
    </row>
    <row r="167" spans="1:26" ht="15.75" customHeight="1" x14ac:dyDescent="0.25">
      <c r="A167" s="12"/>
      <c r="B167" s="12"/>
      <c r="C167" s="12"/>
      <c r="D167" s="12"/>
      <c r="E167" s="13"/>
      <c r="F167" s="12"/>
      <c r="G167" s="12"/>
      <c r="H167" s="12"/>
      <c r="I167" s="12"/>
      <c r="J167" s="12"/>
      <c r="K167" s="12"/>
      <c r="L167" s="12"/>
      <c r="M167" s="12"/>
      <c r="N167" s="12"/>
      <c r="O167" s="12"/>
      <c r="P167" s="12"/>
      <c r="Q167" s="12"/>
      <c r="R167" s="12"/>
      <c r="S167" s="12"/>
      <c r="T167" s="12"/>
      <c r="U167" s="12"/>
      <c r="V167" s="12"/>
      <c r="W167" s="12"/>
      <c r="X167" s="12"/>
      <c r="Y167" s="12"/>
      <c r="Z167" s="12"/>
    </row>
    <row r="168" spans="1:26" ht="15.75" customHeight="1" x14ac:dyDescent="0.25">
      <c r="A168" s="12"/>
      <c r="B168" s="12"/>
      <c r="C168" s="12"/>
      <c r="D168" s="12"/>
      <c r="E168" s="13"/>
      <c r="F168" s="12"/>
      <c r="G168" s="12"/>
      <c r="H168" s="12"/>
      <c r="I168" s="12"/>
      <c r="J168" s="12"/>
      <c r="K168" s="12"/>
      <c r="L168" s="12"/>
      <c r="M168" s="12"/>
      <c r="N168" s="12"/>
      <c r="O168" s="12"/>
      <c r="P168" s="12"/>
      <c r="Q168" s="12"/>
      <c r="R168" s="12"/>
      <c r="S168" s="12"/>
      <c r="T168" s="12"/>
      <c r="U168" s="12"/>
      <c r="V168" s="12"/>
      <c r="W168" s="12"/>
      <c r="X168" s="12"/>
      <c r="Y168" s="12"/>
      <c r="Z168" s="12"/>
    </row>
    <row r="169" spans="1:26" ht="15.75" customHeight="1" x14ac:dyDescent="0.25">
      <c r="A169" s="12"/>
      <c r="B169" s="12"/>
      <c r="C169" s="12"/>
      <c r="D169" s="12"/>
      <c r="E169" s="13"/>
      <c r="F169" s="12"/>
      <c r="G169" s="12"/>
      <c r="H169" s="12"/>
      <c r="I169" s="12"/>
      <c r="J169" s="12"/>
      <c r="K169" s="12"/>
      <c r="L169" s="12"/>
      <c r="M169" s="12"/>
      <c r="N169" s="12"/>
      <c r="O169" s="12"/>
      <c r="P169" s="12"/>
      <c r="Q169" s="12"/>
      <c r="R169" s="12"/>
      <c r="S169" s="12"/>
      <c r="T169" s="12"/>
      <c r="U169" s="12"/>
      <c r="V169" s="12"/>
      <c r="W169" s="12"/>
      <c r="X169" s="12"/>
      <c r="Y169" s="12"/>
      <c r="Z169" s="12"/>
    </row>
    <row r="170" spans="1:26" ht="15.75" customHeight="1" x14ac:dyDescent="0.25">
      <c r="A170" s="12"/>
      <c r="B170" s="12"/>
      <c r="C170" s="12"/>
      <c r="D170" s="12"/>
      <c r="E170" s="13"/>
      <c r="F170" s="12"/>
      <c r="G170" s="12"/>
      <c r="H170" s="12"/>
      <c r="I170" s="12"/>
      <c r="J170" s="12"/>
      <c r="K170" s="12"/>
      <c r="L170" s="12"/>
      <c r="M170" s="12"/>
      <c r="N170" s="12"/>
      <c r="O170" s="12"/>
      <c r="P170" s="12"/>
      <c r="Q170" s="12"/>
      <c r="R170" s="12"/>
      <c r="S170" s="12"/>
      <c r="T170" s="12"/>
      <c r="U170" s="12"/>
      <c r="V170" s="12"/>
      <c r="W170" s="12"/>
      <c r="X170" s="12"/>
      <c r="Y170" s="12"/>
      <c r="Z170" s="12"/>
    </row>
    <row r="171" spans="1:26" ht="15.75" customHeight="1" x14ac:dyDescent="0.25">
      <c r="A171" s="12"/>
      <c r="B171" s="12"/>
      <c r="C171" s="12"/>
      <c r="D171" s="12"/>
      <c r="E171" s="13"/>
      <c r="F171" s="12"/>
      <c r="G171" s="12"/>
      <c r="H171" s="12"/>
      <c r="I171" s="12"/>
      <c r="J171" s="12"/>
      <c r="K171" s="12"/>
      <c r="L171" s="12"/>
      <c r="M171" s="12"/>
      <c r="N171" s="12"/>
      <c r="O171" s="12"/>
      <c r="P171" s="12"/>
      <c r="Q171" s="12"/>
      <c r="R171" s="12"/>
      <c r="S171" s="12"/>
      <c r="T171" s="12"/>
      <c r="U171" s="12"/>
      <c r="V171" s="12"/>
      <c r="W171" s="12"/>
      <c r="X171" s="12"/>
      <c r="Y171" s="12"/>
      <c r="Z171" s="12"/>
    </row>
    <row r="172" spans="1:26" ht="15.75" customHeight="1" x14ac:dyDescent="0.25">
      <c r="A172" s="12"/>
      <c r="B172" s="12"/>
      <c r="C172" s="12"/>
      <c r="D172" s="12"/>
      <c r="E172" s="13"/>
      <c r="F172" s="12"/>
      <c r="G172" s="12"/>
      <c r="H172" s="12"/>
      <c r="I172" s="12"/>
      <c r="J172" s="12"/>
      <c r="K172" s="12"/>
      <c r="L172" s="12"/>
      <c r="M172" s="12"/>
      <c r="N172" s="12"/>
      <c r="O172" s="12"/>
      <c r="P172" s="12"/>
      <c r="Q172" s="12"/>
      <c r="R172" s="12"/>
      <c r="S172" s="12"/>
      <c r="T172" s="12"/>
      <c r="U172" s="12"/>
      <c r="V172" s="12"/>
      <c r="W172" s="12"/>
      <c r="X172" s="12"/>
      <c r="Y172" s="12"/>
      <c r="Z172" s="12"/>
    </row>
    <row r="173" spans="1:26" ht="15.75" customHeight="1" x14ac:dyDescent="0.25">
      <c r="A173" s="12"/>
      <c r="B173" s="12"/>
      <c r="C173" s="12"/>
      <c r="D173" s="12"/>
      <c r="E173" s="13"/>
      <c r="F173" s="12"/>
      <c r="G173" s="12"/>
      <c r="H173" s="12"/>
      <c r="I173" s="12"/>
      <c r="J173" s="12"/>
      <c r="K173" s="12"/>
      <c r="L173" s="12"/>
      <c r="M173" s="12"/>
      <c r="N173" s="12"/>
      <c r="O173" s="12"/>
      <c r="P173" s="12"/>
      <c r="Q173" s="12"/>
      <c r="R173" s="12"/>
      <c r="S173" s="12"/>
      <c r="T173" s="12"/>
      <c r="U173" s="12"/>
      <c r="V173" s="12"/>
      <c r="W173" s="12"/>
      <c r="X173" s="12"/>
      <c r="Y173" s="12"/>
      <c r="Z173" s="12"/>
    </row>
    <row r="174" spans="1:26" ht="15.75" customHeight="1" x14ac:dyDescent="0.25">
      <c r="A174" s="12"/>
      <c r="B174" s="12"/>
      <c r="C174" s="12"/>
      <c r="D174" s="12"/>
      <c r="E174" s="13"/>
      <c r="F174" s="12"/>
      <c r="G174" s="12"/>
      <c r="H174" s="12"/>
      <c r="I174" s="12"/>
      <c r="J174" s="12"/>
      <c r="K174" s="12"/>
      <c r="L174" s="12"/>
      <c r="M174" s="12"/>
      <c r="N174" s="12"/>
      <c r="O174" s="12"/>
      <c r="P174" s="12"/>
      <c r="Q174" s="12"/>
      <c r="R174" s="12"/>
      <c r="S174" s="12"/>
      <c r="T174" s="12"/>
      <c r="U174" s="12"/>
      <c r="V174" s="12"/>
      <c r="W174" s="12"/>
      <c r="X174" s="12"/>
      <c r="Y174" s="12"/>
      <c r="Z174" s="12"/>
    </row>
    <row r="175" spans="1:26" ht="15.75" customHeight="1" x14ac:dyDescent="0.25">
      <c r="A175" s="12"/>
      <c r="B175" s="12"/>
      <c r="C175" s="12"/>
      <c r="D175" s="12"/>
      <c r="E175" s="13"/>
      <c r="F175" s="12"/>
      <c r="G175" s="12"/>
      <c r="H175" s="12"/>
      <c r="I175" s="12"/>
      <c r="J175" s="12"/>
      <c r="K175" s="12"/>
      <c r="L175" s="12"/>
      <c r="M175" s="12"/>
      <c r="N175" s="12"/>
      <c r="O175" s="12"/>
      <c r="P175" s="12"/>
      <c r="Q175" s="12"/>
      <c r="R175" s="12"/>
      <c r="S175" s="12"/>
      <c r="T175" s="12"/>
      <c r="U175" s="12"/>
      <c r="V175" s="12"/>
      <c r="W175" s="12"/>
      <c r="X175" s="12"/>
      <c r="Y175" s="12"/>
      <c r="Z175" s="12"/>
    </row>
    <row r="176" spans="1:26" ht="15.75" customHeight="1" x14ac:dyDescent="0.25">
      <c r="A176" s="12"/>
      <c r="B176" s="12"/>
      <c r="C176" s="12"/>
      <c r="D176" s="12"/>
      <c r="E176" s="13"/>
      <c r="F176" s="12"/>
      <c r="G176" s="12"/>
      <c r="H176" s="12"/>
      <c r="I176" s="12"/>
      <c r="J176" s="12"/>
      <c r="K176" s="12"/>
      <c r="L176" s="12"/>
      <c r="M176" s="12"/>
      <c r="N176" s="12"/>
      <c r="O176" s="12"/>
      <c r="P176" s="12"/>
      <c r="Q176" s="12"/>
      <c r="R176" s="12"/>
      <c r="S176" s="12"/>
      <c r="T176" s="12"/>
      <c r="U176" s="12"/>
      <c r="V176" s="12"/>
      <c r="W176" s="12"/>
      <c r="X176" s="12"/>
      <c r="Y176" s="12"/>
      <c r="Z176" s="12"/>
    </row>
    <row r="177" spans="1:26" ht="15.75" customHeight="1" x14ac:dyDescent="0.25">
      <c r="A177" s="12"/>
      <c r="B177" s="12"/>
      <c r="C177" s="12"/>
      <c r="D177" s="12"/>
      <c r="E177" s="13"/>
      <c r="F177" s="12"/>
      <c r="G177" s="12"/>
      <c r="H177" s="12"/>
      <c r="I177" s="12"/>
      <c r="J177" s="12"/>
      <c r="K177" s="12"/>
      <c r="L177" s="12"/>
      <c r="M177" s="12"/>
      <c r="N177" s="12"/>
      <c r="O177" s="12"/>
      <c r="P177" s="12"/>
      <c r="Q177" s="12"/>
      <c r="R177" s="12"/>
      <c r="S177" s="12"/>
      <c r="T177" s="12"/>
      <c r="U177" s="12"/>
      <c r="V177" s="12"/>
      <c r="W177" s="12"/>
      <c r="X177" s="12"/>
      <c r="Y177" s="12"/>
      <c r="Z177" s="12"/>
    </row>
    <row r="178" spans="1:26" ht="15.75" customHeight="1" x14ac:dyDescent="0.25">
      <c r="A178" s="12"/>
      <c r="B178" s="12"/>
      <c r="C178" s="12"/>
      <c r="D178" s="12"/>
      <c r="E178" s="13"/>
      <c r="F178" s="12"/>
      <c r="G178" s="12"/>
      <c r="H178" s="12"/>
      <c r="I178" s="12"/>
      <c r="J178" s="12"/>
      <c r="K178" s="12"/>
      <c r="L178" s="12"/>
      <c r="M178" s="12"/>
      <c r="N178" s="12"/>
      <c r="O178" s="12"/>
      <c r="P178" s="12"/>
      <c r="Q178" s="12"/>
      <c r="R178" s="12"/>
      <c r="S178" s="12"/>
      <c r="T178" s="12"/>
      <c r="U178" s="12"/>
      <c r="V178" s="12"/>
      <c r="W178" s="12"/>
      <c r="X178" s="12"/>
      <c r="Y178" s="12"/>
      <c r="Z178" s="12"/>
    </row>
    <row r="179" spans="1:26" ht="15.75" customHeight="1" x14ac:dyDescent="0.25">
      <c r="A179" s="12"/>
      <c r="B179" s="12"/>
      <c r="C179" s="12"/>
      <c r="D179" s="12"/>
      <c r="E179" s="13"/>
      <c r="F179" s="12"/>
      <c r="G179" s="12"/>
      <c r="H179" s="12"/>
      <c r="I179" s="12"/>
      <c r="J179" s="12"/>
      <c r="K179" s="12"/>
      <c r="L179" s="12"/>
      <c r="M179" s="12"/>
      <c r="N179" s="12"/>
      <c r="O179" s="12"/>
      <c r="P179" s="12"/>
      <c r="Q179" s="12"/>
      <c r="R179" s="12"/>
      <c r="S179" s="12"/>
      <c r="T179" s="12"/>
      <c r="U179" s="12"/>
      <c r="V179" s="12"/>
      <c r="W179" s="12"/>
      <c r="X179" s="12"/>
      <c r="Y179" s="12"/>
      <c r="Z179" s="12"/>
    </row>
    <row r="180" spans="1:26" ht="15.75" customHeight="1" x14ac:dyDescent="0.25">
      <c r="A180" s="12"/>
      <c r="B180" s="12"/>
      <c r="C180" s="12"/>
      <c r="D180" s="12"/>
      <c r="E180" s="13"/>
      <c r="F180" s="12"/>
      <c r="G180" s="12"/>
      <c r="H180" s="12"/>
      <c r="I180" s="12"/>
      <c r="J180" s="12"/>
      <c r="K180" s="12"/>
      <c r="L180" s="12"/>
      <c r="M180" s="12"/>
      <c r="N180" s="12"/>
      <c r="O180" s="12"/>
      <c r="P180" s="12"/>
      <c r="Q180" s="12"/>
      <c r="R180" s="12"/>
      <c r="S180" s="12"/>
      <c r="T180" s="12"/>
      <c r="U180" s="12"/>
      <c r="V180" s="12"/>
      <c r="W180" s="12"/>
      <c r="X180" s="12"/>
      <c r="Y180" s="12"/>
      <c r="Z180" s="12"/>
    </row>
    <row r="181" spans="1:26" ht="15.75" customHeight="1" x14ac:dyDescent="0.25">
      <c r="A181" s="12"/>
      <c r="B181" s="12"/>
      <c r="C181" s="12"/>
      <c r="D181" s="12"/>
      <c r="E181" s="13"/>
      <c r="F181" s="12"/>
      <c r="G181" s="12"/>
      <c r="H181" s="12"/>
      <c r="I181" s="12"/>
      <c r="J181" s="12"/>
      <c r="K181" s="12"/>
      <c r="L181" s="12"/>
      <c r="M181" s="12"/>
      <c r="N181" s="12"/>
      <c r="O181" s="12"/>
      <c r="P181" s="12"/>
      <c r="Q181" s="12"/>
      <c r="R181" s="12"/>
      <c r="S181" s="12"/>
      <c r="T181" s="12"/>
      <c r="U181" s="12"/>
      <c r="V181" s="12"/>
      <c r="W181" s="12"/>
      <c r="X181" s="12"/>
      <c r="Y181" s="12"/>
      <c r="Z181" s="12"/>
    </row>
    <row r="182" spans="1:26" ht="15.75" customHeight="1" x14ac:dyDescent="0.25">
      <c r="A182" s="12"/>
      <c r="B182" s="12"/>
      <c r="C182" s="12"/>
      <c r="D182" s="12"/>
      <c r="E182" s="13"/>
      <c r="F182" s="12"/>
      <c r="G182" s="12"/>
      <c r="H182" s="12"/>
      <c r="I182" s="12"/>
      <c r="J182" s="12"/>
      <c r="K182" s="12"/>
      <c r="L182" s="12"/>
      <c r="M182" s="12"/>
      <c r="N182" s="12"/>
      <c r="O182" s="12"/>
      <c r="P182" s="12"/>
      <c r="Q182" s="12"/>
      <c r="R182" s="12"/>
      <c r="S182" s="12"/>
      <c r="T182" s="12"/>
      <c r="U182" s="12"/>
      <c r="V182" s="12"/>
      <c r="W182" s="12"/>
      <c r="X182" s="12"/>
      <c r="Y182" s="12"/>
      <c r="Z182" s="12"/>
    </row>
    <row r="183" spans="1:26" ht="15.75" customHeight="1" x14ac:dyDescent="0.25">
      <c r="A183" s="12"/>
      <c r="B183" s="12"/>
      <c r="C183" s="12"/>
      <c r="D183" s="12"/>
      <c r="E183" s="13"/>
      <c r="F183" s="12"/>
      <c r="G183" s="12"/>
      <c r="H183" s="12"/>
      <c r="I183" s="12"/>
      <c r="J183" s="12"/>
      <c r="K183" s="12"/>
      <c r="L183" s="12"/>
      <c r="M183" s="12"/>
      <c r="N183" s="12"/>
      <c r="O183" s="12"/>
      <c r="P183" s="12"/>
      <c r="Q183" s="12"/>
      <c r="R183" s="12"/>
      <c r="S183" s="12"/>
      <c r="T183" s="12"/>
      <c r="U183" s="12"/>
      <c r="V183" s="12"/>
      <c r="W183" s="12"/>
      <c r="X183" s="12"/>
      <c r="Y183" s="12"/>
      <c r="Z183" s="12"/>
    </row>
    <row r="184" spans="1:26" ht="15.75" customHeight="1" x14ac:dyDescent="0.25">
      <c r="A184" s="12"/>
      <c r="B184" s="12"/>
      <c r="C184" s="12"/>
      <c r="D184" s="12"/>
      <c r="E184" s="13"/>
      <c r="F184" s="12"/>
      <c r="G184" s="12"/>
      <c r="H184" s="12"/>
      <c r="I184" s="12"/>
      <c r="J184" s="12"/>
      <c r="K184" s="12"/>
      <c r="L184" s="12"/>
      <c r="M184" s="12"/>
      <c r="N184" s="12"/>
      <c r="O184" s="12"/>
      <c r="P184" s="12"/>
      <c r="Q184" s="12"/>
      <c r="R184" s="12"/>
      <c r="S184" s="12"/>
      <c r="T184" s="12"/>
      <c r="U184" s="12"/>
      <c r="V184" s="12"/>
      <c r="W184" s="12"/>
      <c r="X184" s="12"/>
      <c r="Y184" s="12"/>
      <c r="Z184" s="12"/>
    </row>
    <row r="185" spans="1:26" ht="15.75" customHeight="1" x14ac:dyDescent="0.25">
      <c r="A185" s="12"/>
      <c r="B185" s="12"/>
      <c r="C185" s="12"/>
      <c r="D185" s="12"/>
      <c r="E185" s="13"/>
      <c r="F185" s="12"/>
      <c r="G185" s="12"/>
      <c r="H185" s="12"/>
      <c r="I185" s="12"/>
      <c r="J185" s="12"/>
      <c r="K185" s="12"/>
      <c r="L185" s="12"/>
      <c r="M185" s="12"/>
      <c r="N185" s="12"/>
      <c r="O185" s="12"/>
      <c r="P185" s="12"/>
      <c r="Q185" s="12"/>
      <c r="R185" s="12"/>
      <c r="S185" s="12"/>
      <c r="T185" s="12"/>
      <c r="U185" s="12"/>
      <c r="V185" s="12"/>
      <c r="W185" s="12"/>
      <c r="X185" s="12"/>
      <c r="Y185" s="12"/>
      <c r="Z185" s="12"/>
    </row>
    <row r="186" spans="1:26" ht="15.75" customHeight="1" x14ac:dyDescent="0.25">
      <c r="A186" s="12"/>
      <c r="B186" s="12"/>
      <c r="C186" s="12"/>
      <c r="D186" s="12"/>
      <c r="E186" s="13"/>
      <c r="F186" s="12"/>
      <c r="G186" s="12"/>
      <c r="H186" s="12"/>
      <c r="I186" s="12"/>
      <c r="J186" s="12"/>
      <c r="K186" s="12"/>
      <c r="L186" s="12"/>
      <c r="M186" s="12"/>
      <c r="N186" s="12"/>
      <c r="O186" s="12"/>
      <c r="P186" s="12"/>
      <c r="Q186" s="12"/>
      <c r="R186" s="12"/>
      <c r="S186" s="12"/>
      <c r="T186" s="12"/>
      <c r="U186" s="12"/>
      <c r="V186" s="12"/>
      <c r="W186" s="12"/>
      <c r="X186" s="12"/>
      <c r="Y186" s="12"/>
      <c r="Z186" s="12"/>
    </row>
    <row r="187" spans="1:26" ht="15.75" customHeight="1" x14ac:dyDescent="0.25">
      <c r="A187" s="12"/>
      <c r="B187" s="12"/>
      <c r="C187" s="12"/>
      <c r="D187" s="12"/>
      <c r="E187" s="13"/>
      <c r="F187" s="12"/>
      <c r="G187" s="12"/>
      <c r="H187" s="12"/>
      <c r="I187" s="12"/>
      <c r="J187" s="12"/>
      <c r="K187" s="12"/>
      <c r="L187" s="12"/>
      <c r="M187" s="12"/>
      <c r="N187" s="12"/>
      <c r="O187" s="12"/>
      <c r="P187" s="12"/>
      <c r="Q187" s="12"/>
      <c r="R187" s="12"/>
      <c r="S187" s="12"/>
      <c r="T187" s="12"/>
      <c r="U187" s="12"/>
      <c r="V187" s="12"/>
      <c r="W187" s="12"/>
      <c r="X187" s="12"/>
      <c r="Y187" s="12"/>
      <c r="Z187" s="12"/>
    </row>
    <row r="188" spans="1:26" ht="15.75" customHeight="1" x14ac:dyDescent="0.25">
      <c r="A188" s="12"/>
      <c r="B188" s="12"/>
      <c r="C188" s="12"/>
      <c r="D188" s="12"/>
      <c r="E188" s="13"/>
      <c r="F188" s="12"/>
      <c r="G188" s="12"/>
      <c r="H188" s="12"/>
      <c r="I188" s="12"/>
      <c r="J188" s="12"/>
      <c r="K188" s="12"/>
      <c r="L188" s="12"/>
      <c r="M188" s="12"/>
      <c r="N188" s="12"/>
      <c r="O188" s="12"/>
      <c r="P188" s="12"/>
      <c r="Q188" s="12"/>
      <c r="R188" s="12"/>
      <c r="S188" s="12"/>
      <c r="T188" s="12"/>
      <c r="U188" s="12"/>
      <c r="V188" s="12"/>
      <c r="W188" s="12"/>
      <c r="X188" s="12"/>
      <c r="Y188" s="12"/>
      <c r="Z188" s="12"/>
    </row>
    <row r="189" spans="1:26" ht="15.75" customHeight="1" x14ac:dyDescent="0.25">
      <c r="A189" s="12"/>
      <c r="B189" s="12"/>
      <c r="C189" s="12"/>
      <c r="D189" s="12"/>
      <c r="E189" s="13"/>
      <c r="F189" s="12"/>
      <c r="G189" s="12"/>
      <c r="H189" s="12"/>
      <c r="I189" s="12"/>
      <c r="J189" s="12"/>
      <c r="K189" s="12"/>
      <c r="L189" s="12"/>
      <c r="M189" s="12"/>
      <c r="N189" s="12"/>
      <c r="O189" s="12"/>
      <c r="P189" s="12"/>
      <c r="Q189" s="12"/>
      <c r="R189" s="12"/>
      <c r="S189" s="12"/>
      <c r="T189" s="12"/>
      <c r="U189" s="12"/>
      <c r="V189" s="12"/>
      <c r="W189" s="12"/>
      <c r="X189" s="12"/>
      <c r="Y189" s="12"/>
      <c r="Z189" s="12"/>
    </row>
    <row r="190" spans="1:26" ht="15.75" customHeight="1" x14ac:dyDescent="0.25">
      <c r="A190" s="12"/>
      <c r="B190" s="12"/>
      <c r="C190" s="12"/>
      <c r="D190" s="12"/>
      <c r="E190" s="13"/>
      <c r="F190" s="12"/>
      <c r="G190" s="12"/>
      <c r="H190" s="12"/>
      <c r="I190" s="12"/>
      <c r="J190" s="12"/>
      <c r="K190" s="12"/>
      <c r="L190" s="12"/>
      <c r="M190" s="12"/>
      <c r="N190" s="12"/>
      <c r="O190" s="12"/>
      <c r="P190" s="12"/>
      <c r="Q190" s="12"/>
      <c r="R190" s="12"/>
      <c r="S190" s="12"/>
      <c r="T190" s="12"/>
      <c r="U190" s="12"/>
      <c r="V190" s="12"/>
      <c r="W190" s="12"/>
      <c r="X190" s="12"/>
      <c r="Y190" s="12"/>
      <c r="Z190" s="12"/>
    </row>
    <row r="191" spans="1:26" ht="15.75" customHeight="1" x14ac:dyDescent="0.25">
      <c r="A191" s="12"/>
      <c r="B191" s="12"/>
      <c r="C191" s="12"/>
      <c r="D191" s="12"/>
      <c r="E191" s="13"/>
      <c r="F191" s="12"/>
      <c r="G191" s="12"/>
      <c r="H191" s="12"/>
      <c r="I191" s="12"/>
      <c r="J191" s="12"/>
      <c r="K191" s="12"/>
      <c r="L191" s="12"/>
      <c r="M191" s="12"/>
      <c r="N191" s="12"/>
      <c r="O191" s="12"/>
      <c r="P191" s="12"/>
      <c r="Q191" s="12"/>
      <c r="R191" s="12"/>
      <c r="S191" s="12"/>
      <c r="T191" s="12"/>
      <c r="U191" s="12"/>
      <c r="V191" s="12"/>
      <c r="W191" s="12"/>
      <c r="X191" s="12"/>
      <c r="Y191" s="12"/>
      <c r="Z191" s="12"/>
    </row>
    <row r="192" spans="1:26" ht="15.75" customHeight="1" x14ac:dyDescent="0.25">
      <c r="A192" s="12"/>
      <c r="B192" s="12"/>
      <c r="C192" s="12"/>
      <c r="D192" s="12"/>
      <c r="E192" s="13"/>
      <c r="F192" s="12"/>
      <c r="G192" s="12"/>
      <c r="H192" s="12"/>
      <c r="I192" s="12"/>
      <c r="J192" s="12"/>
      <c r="K192" s="12"/>
      <c r="L192" s="12"/>
      <c r="M192" s="12"/>
      <c r="N192" s="12"/>
      <c r="O192" s="12"/>
      <c r="P192" s="12"/>
      <c r="Q192" s="12"/>
      <c r="R192" s="12"/>
      <c r="S192" s="12"/>
      <c r="T192" s="12"/>
      <c r="U192" s="12"/>
      <c r="V192" s="12"/>
      <c r="W192" s="12"/>
      <c r="X192" s="12"/>
      <c r="Y192" s="12"/>
      <c r="Z192" s="12"/>
    </row>
    <row r="193" spans="1:26" ht="15.75" customHeight="1" x14ac:dyDescent="0.25">
      <c r="A193" s="12"/>
      <c r="B193" s="12"/>
      <c r="C193" s="12"/>
      <c r="D193" s="12"/>
      <c r="E193" s="13"/>
      <c r="F193" s="12"/>
      <c r="G193" s="12"/>
      <c r="H193" s="12"/>
      <c r="I193" s="12"/>
      <c r="J193" s="12"/>
      <c r="K193" s="12"/>
      <c r="L193" s="12"/>
      <c r="M193" s="12"/>
      <c r="N193" s="12"/>
      <c r="O193" s="12"/>
      <c r="P193" s="12"/>
      <c r="Q193" s="12"/>
      <c r="R193" s="12"/>
      <c r="S193" s="12"/>
      <c r="T193" s="12"/>
      <c r="U193" s="12"/>
      <c r="V193" s="12"/>
      <c r="W193" s="12"/>
      <c r="X193" s="12"/>
      <c r="Y193" s="12"/>
      <c r="Z193" s="12"/>
    </row>
    <row r="194" spans="1:26" ht="15.75" customHeight="1" x14ac:dyDescent="0.25">
      <c r="A194" s="12"/>
      <c r="B194" s="12"/>
      <c r="C194" s="12"/>
      <c r="D194" s="12"/>
      <c r="E194" s="13"/>
      <c r="F194" s="12"/>
      <c r="G194" s="12"/>
      <c r="H194" s="12"/>
      <c r="I194" s="12"/>
      <c r="J194" s="12"/>
      <c r="K194" s="12"/>
      <c r="L194" s="12"/>
      <c r="M194" s="12"/>
      <c r="N194" s="12"/>
      <c r="O194" s="12"/>
      <c r="P194" s="12"/>
      <c r="Q194" s="12"/>
      <c r="R194" s="12"/>
      <c r="S194" s="12"/>
      <c r="T194" s="12"/>
      <c r="U194" s="12"/>
      <c r="V194" s="12"/>
      <c r="W194" s="12"/>
      <c r="X194" s="12"/>
      <c r="Y194" s="12"/>
      <c r="Z194" s="12"/>
    </row>
    <row r="195" spans="1:26" ht="15.75" customHeight="1" x14ac:dyDescent="0.25">
      <c r="A195" s="12"/>
      <c r="B195" s="12"/>
      <c r="C195" s="12"/>
      <c r="D195" s="12"/>
      <c r="E195" s="13"/>
      <c r="F195" s="12"/>
      <c r="G195" s="12"/>
      <c r="H195" s="12"/>
      <c r="I195" s="12"/>
      <c r="J195" s="12"/>
      <c r="K195" s="12"/>
      <c r="L195" s="12"/>
      <c r="M195" s="12"/>
      <c r="N195" s="12"/>
      <c r="O195" s="12"/>
      <c r="P195" s="12"/>
      <c r="Q195" s="12"/>
      <c r="R195" s="12"/>
      <c r="S195" s="12"/>
      <c r="T195" s="12"/>
      <c r="U195" s="12"/>
      <c r="V195" s="12"/>
      <c r="W195" s="12"/>
      <c r="X195" s="12"/>
      <c r="Y195" s="12"/>
      <c r="Z195" s="12"/>
    </row>
    <row r="196" spans="1:26" ht="15.75" customHeight="1" x14ac:dyDescent="0.25">
      <c r="A196" s="12"/>
      <c r="B196" s="12"/>
      <c r="C196" s="12"/>
      <c r="D196" s="12"/>
      <c r="E196" s="13"/>
      <c r="F196" s="12"/>
      <c r="G196" s="12"/>
      <c r="H196" s="12"/>
      <c r="I196" s="12"/>
      <c r="J196" s="12"/>
      <c r="K196" s="12"/>
      <c r="L196" s="12"/>
      <c r="M196" s="12"/>
      <c r="N196" s="12"/>
      <c r="O196" s="12"/>
      <c r="P196" s="12"/>
      <c r="Q196" s="12"/>
      <c r="R196" s="12"/>
      <c r="S196" s="12"/>
      <c r="T196" s="12"/>
      <c r="U196" s="12"/>
      <c r="V196" s="12"/>
      <c r="W196" s="12"/>
      <c r="X196" s="12"/>
      <c r="Y196" s="12"/>
      <c r="Z196" s="12"/>
    </row>
    <row r="197" spans="1:26" ht="15.75" customHeight="1" x14ac:dyDescent="0.25">
      <c r="A197" s="12"/>
      <c r="B197" s="12"/>
      <c r="C197" s="12"/>
      <c r="D197" s="12"/>
      <c r="E197" s="13"/>
      <c r="F197" s="12"/>
      <c r="G197" s="12"/>
      <c r="H197" s="12"/>
      <c r="I197" s="12"/>
      <c r="J197" s="12"/>
      <c r="K197" s="12"/>
      <c r="L197" s="12"/>
      <c r="M197" s="12"/>
      <c r="N197" s="12"/>
      <c r="O197" s="12"/>
      <c r="P197" s="12"/>
      <c r="Q197" s="12"/>
      <c r="R197" s="12"/>
      <c r="S197" s="12"/>
      <c r="T197" s="12"/>
      <c r="U197" s="12"/>
      <c r="V197" s="12"/>
      <c r="W197" s="12"/>
      <c r="X197" s="12"/>
      <c r="Y197" s="12"/>
      <c r="Z197" s="12"/>
    </row>
    <row r="198" spans="1:26" ht="15.75" customHeight="1" x14ac:dyDescent="0.25">
      <c r="A198" s="12"/>
      <c r="B198" s="12"/>
      <c r="C198" s="12"/>
      <c r="D198" s="12"/>
      <c r="E198" s="13"/>
      <c r="F198" s="12"/>
      <c r="G198" s="12"/>
      <c r="H198" s="12"/>
      <c r="I198" s="12"/>
      <c r="J198" s="12"/>
      <c r="K198" s="12"/>
      <c r="L198" s="12"/>
      <c r="M198" s="12"/>
      <c r="N198" s="12"/>
      <c r="O198" s="12"/>
      <c r="P198" s="12"/>
      <c r="Q198" s="12"/>
      <c r="R198" s="12"/>
      <c r="S198" s="12"/>
      <c r="T198" s="12"/>
      <c r="U198" s="12"/>
      <c r="V198" s="12"/>
      <c r="W198" s="12"/>
      <c r="X198" s="12"/>
      <c r="Y198" s="12"/>
      <c r="Z198" s="12"/>
    </row>
    <row r="199" spans="1:26" ht="15.75" customHeight="1" x14ac:dyDescent="0.25">
      <c r="A199" s="12"/>
      <c r="B199" s="12"/>
      <c r="C199" s="12"/>
      <c r="D199" s="12"/>
      <c r="E199" s="13"/>
      <c r="F199" s="12"/>
      <c r="G199" s="12"/>
      <c r="H199" s="12"/>
      <c r="I199" s="12"/>
      <c r="J199" s="12"/>
      <c r="K199" s="12"/>
      <c r="L199" s="12"/>
      <c r="M199" s="12"/>
      <c r="N199" s="12"/>
      <c r="O199" s="12"/>
      <c r="P199" s="12"/>
      <c r="Q199" s="12"/>
      <c r="R199" s="12"/>
      <c r="S199" s="12"/>
      <c r="T199" s="12"/>
      <c r="U199" s="12"/>
      <c r="V199" s="12"/>
      <c r="W199" s="12"/>
      <c r="X199" s="12"/>
      <c r="Y199" s="12"/>
      <c r="Z199" s="12"/>
    </row>
    <row r="200" spans="1:26" ht="15.75" customHeight="1" x14ac:dyDescent="0.25">
      <c r="A200" s="12"/>
      <c r="B200" s="12"/>
      <c r="C200" s="12"/>
      <c r="D200" s="12"/>
      <c r="E200" s="13"/>
      <c r="F200" s="12"/>
      <c r="G200" s="12"/>
      <c r="H200" s="12"/>
      <c r="I200" s="12"/>
      <c r="J200" s="12"/>
      <c r="K200" s="12"/>
      <c r="L200" s="12"/>
      <c r="M200" s="12"/>
      <c r="N200" s="12"/>
      <c r="O200" s="12"/>
      <c r="P200" s="12"/>
      <c r="Q200" s="12"/>
      <c r="R200" s="12"/>
      <c r="S200" s="12"/>
      <c r="T200" s="12"/>
      <c r="U200" s="12"/>
      <c r="V200" s="12"/>
      <c r="W200" s="12"/>
      <c r="X200" s="12"/>
      <c r="Y200" s="12"/>
      <c r="Z200" s="12"/>
    </row>
    <row r="201" spans="1:26" ht="15.75" customHeight="1" x14ac:dyDescent="0.25">
      <c r="A201" s="12"/>
      <c r="B201" s="12"/>
      <c r="C201" s="12"/>
      <c r="D201" s="12"/>
      <c r="E201" s="13"/>
      <c r="F201" s="12"/>
      <c r="G201" s="12"/>
      <c r="H201" s="12"/>
      <c r="I201" s="12"/>
      <c r="J201" s="12"/>
      <c r="K201" s="12"/>
      <c r="L201" s="12"/>
      <c r="M201" s="12"/>
      <c r="N201" s="12"/>
      <c r="O201" s="12"/>
      <c r="P201" s="12"/>
      <c r="Q201" s="12"/>
      <c r="R201" s="12"/>
      <c r="S201" s="12"/>
      <c r="T201" s="12"/>
      <c r="U201" s="12"/>
      <c r="V201" s="12"/>
      <c r="W201" s="12"/>
      <c r="X201" s="12"/>
      <c r="Y201" s="12"/>
      <c r="Z201" s="12"/>
    </row>
    <row r="202" spans="1:26" ht="15.75" customHeight="1" x14ac:dyDescent="0.25">
      <c r="A202" s="12"/>
      <c r="B202" s="12"/>
      <c r="C202" s="12"/>
      <c r="D202" s="12"/>
      <c r="E202" s="13"/>
      <c r="F202" s="12"/>
      <c r="G202" s="12"/>
      <c r="H202" s="12"/>
      <c r="I202" s="12"/>
      <c r="J202" s="12"/>
      <c r="K202" s="12"/>
      <c r="L202" s="12"/>
      <c r="M202" s="12"/>
      <c r="N202" s="12"/>
      <c r="O202" s="12"/>
      <c r="P202" s="12"/>
      <c r="Q202" s="12"/>
      <c r="R202" s="12"/>
      <c r="S202" s="12"/>
      <c r="T202" s="12"/>
      <c r="U202" s="12"/>
      <c r="V202" s="12"/>
      <c r="W202" s="12"/>
      <c r="X202" s="12"/>
      <c r="Y202" s="12"/>
      <c r="Z202" s="12"/>
    </row>
    <row r="203" spans="1:26" ht="15.75" customHeight="1" x14ac:dyDescent="0.25">
      <c r="A203" s="12"/>
      <c r="B203" s="12"/>
      <c r="C203" s="12"/>
      <c r="D203" s="12"/>
      <c r="E203" s="13"/>
      <c r="F203" s="12"/>
      <c r="G203" s="12"/>
      <c r="H203" s="12"/>
      <c r="I203" s="12"/>
      <c r="J203" s="12"/>
      <c r="K203" s="12"/>
      <c r="L203" s="12"/>
      <c r="M203" s="12"/>
      <c r="N203" s="12"/>
      <c r="O203" s="12"/>
      <c r="P203" s="12"/>
      <c r="Q203" s="12"/>
      <c r="R203" s="12"/>
      <c r="S203" s="12"/>
      <c r="T203" s="12"/>
      <c r="U203" s="12"/>
      <c r="V203" s="12"/>
      <c r="W203" s="12"/>
      <c r="X203" s="12"/>
      <c r="Y203" s="12"/>
      <c r="Z203" s="12"/>
    </row>
    <row r="204" spans="1:26" ht="15.75" customHeight="1" x14ac:dyDescent="0.25">
      <c r="A204" s="12"/>
      <c r="B204" s="12"/>
      <c r="C204" s="12"/>
      <c r="D204" s="12"/>
      <c r="E204" s="13"/>
      <c r="F204" s="12"/>
      <c r="G204" s="12"/>
      <c r="H204" s="12"/>
      <c r="I204" s="12"/>
      <c r="J204" s="12"/>
      <c r="K204" s="12"/>
      <c r="L204" s="12"/>
      <c r="M204" s="12"/>
      <c r="N204" s="12"/>
      <c r="O204" s="12"/>
      <c r="P204" s="12"/>
      <c r="Q204" s="12"/>
      <c r="R204" s="12"/>
      <c r="S204" s="12"/>
      <c r="T204" s="12"/>
      <c r="U204" s="12"/>
      <c r="V204" s="12"/>
      <c r="W204" s="12"/>
      <c r="X204" s="12"/>
      <c r="Y204" s="12"/>
      <c r="Z204" s="12"/>
    </row>
    <row r="205" spans="1:26" ht="15.75" customHeight="1" x14ac:dyDescent="0.25">
      <c r="A205" s="12"/>
      <c r="B205" s="12"/>
      <c r="C205" s="12"/>
      <c r="D205" s="12"/>
      <c r="E205" s="13"/>
      <c r="F205" s="12"/>
      <c r="G205" s="12"/>
      <c r="H205" s="12"/>
      <c r="I205" s="12"/>
      <c r="J205" s="12"/>
      <c r="K205" s="12"/>
      <c r="L205" s="12"/>
      <c r="M205" s="12"/>
      <c r="N205" s="12"/>
      <c r="O205" s="12"/>
      <c r="P205" s="12"/>
      <c r="Q205" s="12"/>
      <c r="R205" s="12"/>
      <c r="S205" s="12"/>
      <c r="T205" s="12"/>
      <c r="U205" s="12"/>
      <c r="V205" s="12"/>
      <c r="W205" s="12"/>
      <c r="X205" s="12"/>
      <c r="Y205" s="12"/>
      <c r="Z205" s="12"/>
    </row>
    <row r="206" spans="1:26" ht="15.75" customHeight="1" x14ac:dyDescent="0.25">
      <c r="A206" s="12"/>
      <c r="B206" s="12"/>
      <c r="C206" s="12"/>
      <c r="D206" s="12"/>
      <c r="E206" s="13"/>
      <c r="F206" s="12"/>
      <c r="G206" s="12"/>
      <c r="H206" s="12"/>
      <c r="I206" s="12"/>
      <c r="J206" s="12"/>
      <c r="K206" s="12"/>
      <c r="L206" s="12"/>
      <c r="M206" s="12"/>
      <c r="N206" s="12"/>
      <c r="O206" s="12"/>
      <c r="P206" s="12"/>
      <c r="Q206" s="12"/>
      <c r="R206" s="12"/>
      <c r="S206" s="12"/>
      <c r="T206" s="12"/>
      <c r="U206" s="12"/>
      <c r="V206" s="12"/>
      <c r="W206" s="12"/>
      <c r="X206" s="12"/>
      <c r="Y206" s="12"/>
      <c r="Z206" s="12"/>
    </row>
    <row r="207" spans="1:26" ht="15.75" customHeight="1" x14ac:dyDescent="0.25">
      <c r="A207" s="12"/>
      <c r="B207" s="12"/>
      <c r="C207" s="12"/>
      <c r="D207" s="12"/>
      <c r="E207" s="13"/>
      <c r="F207" s="12"/>
      <c r="G207" s="12"/>
      <c r="H207" s="12"/>
      <c r="I207" s="12"/>
      <c r="J207" s="12"/>
      <c r="K207" s="12"/>
      <c r="L207" s="12"/>
      <c r="M207" s="12"/>
      <c r="N207" s="12"/>
      <c r="O207" s="12"/>
      <c r="P207" s="12"/>
      <c r="Q207" s="12"/>
      <c r="R207" s="12"/>
      <c r="S207" s="12"/>
      <c r="T207" s="12"/>
      <c r="U207" s="12"/>
      <c r="V207" s="12"/>
      <c r="W207" s="12"/>
      <c r="X207" s="12"/>
      <c r="Y207" s="12"/>
      <c r="Z207" s="12"/>
    </row>
    <row r="208" spans="1:26" ht="15.75" customHeight="1" x14ac:dyDescent="0.25">
      <c r="A208" s="12"/>
      <c r="B208" s="12"/>
      <c r="C208" s="12"/>
      <c r="D208" s="12"/>
      <c r="E208" s="13"/>
      <c r="F208" s="12"/>
      <c r="G208" s="12"/>
      <c r="H208" s="12"/>
      <c r="I208" s="12"/>
      <c r="J208" s="12"/>
      <c r="K208" s="12"/>
      <c r="L208" s="12"/>
      <c r="M208" s="12"/>
      <c r="N208" s="12"/>
      <c r="O208" s="12"/>
      <c r="P208" s="12"/>
      <c r="Q208" s="12"/>
      <c r="R208" s="12"/>
      <c r="S208" s="12"/>
      <c r="T208" s="12"/>
      <c r="U208" s="12"/>
      <c r="V208" s="12"/>
      <c r="W208" s="12"/>
      <c r="X208" s="12"/>
      <c r="Y208" s="12"/>
      <c r="Z208" s="12"/>
    </row>
    <row r="209" spans="1:26" ht="15.75" customHeight="1" x14ac:dyDescent="0.25">
      <c r="A209" s="12"/>
      <c r="B209" s="12"/>
      <c r="C209" s="12"/>
      <c r="D209" s="12"/>
      <c r="E209" s="13"/>
      <c r="F209" s="12"/>
      <c r="G209" s="12"/>
      <c r="H209" s="12"/>
      <c r="I209" s="12"/>
      <c r="J209" s="12"/>
      <c r="K209" s="12"/>
      <c r="L209" s="12"/>
      <c r="M209" s="12"/>
      <c r="N209" s="12"/>
      <c r="O209" s="12"/>
      <c r="P209" s="12"/>
      <c r="Q209" s="12"/>
      <c r="R209" s="12"/>
      <c r="S209" s="12"/>
      <c r="T209" s="12"/>
      <c r="U209" s="12"/>
      <c r="V209" s="12"/>
      <c r="W209" s="12"/>
      <c r="X209" s="12"/>
      <c r="Y209" s="12"/>
      <c r="Z209" s="12"/>
    </row>
    <row r="210" spans="1:26" ht="15.75" customHeight="1" x14ac:dyDescent="0.25">
      <c r="A210" s="12"/>
      <c r="B210" s="12"/>
      <c r="C210" s="12"/>
      <c r="D210" s="12"/>
      <c r="E210" s="13"/>
      <c r="F210" s="12"/>
      <c r="G210" s="12"/>
      <c r="H210" s="12"/>
      <c r="I210" s="12"/>
      <c r="J210" s="12"/>
      <c r="K210" s="12"/>
      <c r="L210" s="12"/>
      <c r="M210" s="12"/>
      <c r="N210" s="12"/>
      <c r="O210" s="12"/>
      <c r="P210" s="12"/>
      <c r="Q210" s="12"/>
      <c r="R210" s="12"/>
      <c r="S210" s="12"/>
      <c r="T210" s="12"/>
      <c r="U210" s="12"/>
      <c r="V210" s="12"/>
      <c r="W210" s="12"/>
      <c r="X210" s="12"/>
      <c r="Y210" s="12"/>
      <c r="Z210" s="12"/>
    </row>
    <row r="211" spans="1:26" ht="15.75" customHeight="1" x14ac:dyDescent="0.25">
      <c r="A211" s="12"/>
      <c r="B211" s="12"/>
      <c r="C211" s="12"/>
      <c r="D211" s="12"/>
      <c r="E211" s="13"/>
      <c r="F211" s="12"/>
      <c r="G211" s="12"/>
      <c r="H211" s="12"/>
      <c r="I211" s="12"/>
      <c r="J211" s="12"/>
      <c r="K211" s="12"/>
      <c r="L211" s="12"/>
      <c r="M211" s="12"/>
      <c r="N211" s="12"/>
      <c r="O211" s="12"/>
      <c r="P211" s="12"/>
      <c r="Q211" s="12"/>
      <c r="R211" s="12"/>
      <c r="S211" s="12"/>
      <c r="T211" s="12"/>
      <c r="U211" s="12"/>
      <c r="V211" s="12"/>
      <c r="W211" s="12"/>
      <c r="X211" s="12"/>
      <c r="Y211" s="12"/>
      <c r="Z211" s="12"/>
    </row>
    <row r="212" spans="1:26" ht="15.75" customHeight="1" x14ac:dyDescent="0.25">
      <c r="A212" s="12"/>
      <c r="B212" s="12"/>
      <c r="C212" s="12"/>
      <c r="D212" s="12"/>
      <c r="E212" s="13"/>
      <c r="F212" s="12"/>
      <c r="G212" s="12"/>
      <c r="H212" s="12"/>
      <c r="I212" s="12"/>
      <c r="J212" s="12"/>
      <c r="K212" s="12"/>
      <c r="L212" s="12"/>
      <c r="M212" s="12"/>
      <c r="N212" s="12"/>
      <c r="O212" s="12"/>
      <c r="P212" s="12"/>
      <c r="Q212" s="12"/>
      <c r="R212" s="12"/>
      <c r="S212" s="12"/>
      <c r="T212" s="12"/>
      <c r="U212" s="12"/>
      <c r="V212" s="12"/>
      <c r="W212" s="12"/>
      <c r="X212" s="12"/>
      <c r="Y212" s="12"/>
      <c r="Z212" s="12"/>
    </row>
    <row r="213" spans="1:26" ht="15.75" customHeight="1" x14ac:dyDescent="0.25">
      <c r="A213" s="12"/>
      <c r="B213" s="12"/>
      <c r="C213" s="12"/>
      <c r="D213" s="12"/>
      <c r="E213" s="13"/>
      <c r="F213" s="12"/>
      <c r="G213" s="12"/>
      <c r="H213" s="12"/>
      <c r="I213" s="12"/>
      <c r="J213" s="12"/>
      <c r="K213" s="12"/>
      <c r="L213" s="12"/>
      <c r="M213" s="12"/>
      <c r="N213" s="12"/>
      <c r="O213" s="12"/>
      <c r="P213" s="12"/>
      <c r="Q213" s="12"/>
      <c r="R213" s="12"/>
      <c r="S213" s="12"/>
      <c r="T213" s="12"/>
      <c r="U213" s="12"/>
      <c r="V213" s="12"/>
      <c r="W213" s="12"/>
      <c r="X213" s="12"/>
      <c r="Y213" s="12"/>
      <c r="Z213" s="12"/>
    </row>
    <row r="214" spans="1:26" ht="15.75" customHeight="1" x14ac:dyDescent="0.25">
      <c r="A214" s="12"/>
      <c r="B214" s="12"/>
      <c r="C214" s="12"/>
      <c r="D214" s="12"/>
      <c r="E214" s="13"/>
      <c r="F214" s="12"/>
      <c r="G214" s="12"/>
      <c r="H214" s="12"/>
      <c r="I214" s="12"/>
      <c r="J214" s="12"/>
      <c r="K214" s="12"/>
      <c r="L214" s="12"/>
      <c r="M214" s="12"/>
      <c r="N214" s="12"/>
      <c r="O214" s="12"/>
      <c r="P214" s="12"/>
      <c r="Q214" s="12"/>
      <c r="R214" s="12"/>
      <c r="S214" s="12"/>
      <c r="T214" s="12"/>
      <c r="U214" s="12"/>
      <c r="V214" s="12"/>
      <c r="W214" s="12"/>
      <c r="X214" s="12"/>
      <c r="Y214" s="12"/>
      <c r="Z214" s="12"/>
    </row>
    <row r="215" spans="1:26" ht="15.75" customHeight="1" x14ac:dyDescent="0.25">
      <c r="A215" s="12"/>
      <c r="B215" s="12"/>
      <c r="C215" s="12"/>
      <c r="D215" s="12"/>
      <c r="E215" s="13"/>
      <c r="F215" s="12"/>
      <c r="G215" s="12"/>
      <c r="H215" s="12"/>
      <c r="I215" s="12"/>
      <c r="J215" s="12"/>
      <c r="K215" s="12"/>
      <c r="L215" s="12"/>
      <c r="M215" s="12"/>
      <c r="N215" s="12"/>
      <c r="O215" s="12"/>
      <c r="P215" s="12"/>
      <c r="Q215" s="12"/>
      <c r="R215" s="12"/>
      <c r="S215" s="12"/>
      <c r="T215" s="12"/>
      <c r="U215" s="12"/>
      <c r="V215" s="12"/>
      <c r="W215" s="12"/>
      <c r="X215" s="12"/>
      <c r="Y215" s="12"/>
      <c r="Z215" s="12"/>
    </row>
    <row r="216" spans="1:26" ht="15.75" customHeight="1" x14ac:dyDescent="0.25">
      <c r="A216" s="12"/>
      <c r="B216" s="12"/>
      <c r="C216" s="12"/>
      <c r="D216" s="12"/>
      <c r="E216" s="13"/>
      <c r="F216" s="12"/>
      <c r="G216" s="12"/>
      <c r="H216" s="12"/>
      <c r="I216" s="12"/>
      <c r="J216" s="12"/>
      <c r="K216" s="12"/>
      <c r="L216" s="12"/>
      <c r="M216" s="12"/>
      <c r="N216" s="12"/>
      <c r="O216" s="12"/>
      <c r="P216" s="12"/>
      <c r="Q216" s="12"/>
      <c r="R216" s="12"/>
      <c r="S216" s="12"/>
      <c r="T216" s="12"/>
      <c r="U216" s="12"/>
      <c r="V216" s="12"/>
      <c r="W216" s="12"/>
      <c r="X216" s="12"/>
      <c r="Y216" s="12"/>
      <c r="Z216" s="12"/>
    </row>
    <row r="217" spans="1:26" ht="15.75" customHeight="1" x14ac:dyDescent="0.25">
      <c r="A217" s="12"/>
      <c r="B217" s="12"/>
      <c r="C217" s="12"/>
      <c r="D217" s="12"/>
      <c r="E217" s="13"/>
      <c r="F217" s="12"/>
      <c r="G217" s="12"/>
      <c r="H217" s="12"/>
      <c r="I217" s="12"/>
      <c r="J217" s="12"/>
      <c r="K217" s="12"/>
      <c r="L217" s="12"/>
      <c r="M217" s="12"/>
      <c r="N217" s="12"/>
      <c r="O217" s="12"/>
      <c r="P217" s="12"/>
      <c r="Q217" s="12"/>
      <c r="R217" s="12"/>
      <c r="S217" s="12"/>
      <c r="T217" s="12"/>
      <c r="U217" s="12"/>
      <c r="V217" s="12"/>
      <c r="W217" s="12"/>
      <c r="X217" s="12"/>
      <c r="Y217" s="12"/>
      <c r="Z217" s="12"/>
    </row>
    <row r="218" spans="1:26" ht="15.75" customHeight="1" x14ac:dyDescent="0.25">
      <c r="A218" s="12"/>
      <c r="B218" s="12"/>
      <c r="C218" s="12"/>
      <c r="D218" s="12"/>
      <c r="E218" s="13"/>
      <c r="F218" s="12"/>
      <c r="G218" s="12"/>
      <c r="H218" s="12"/>
      <c r="I218" s="12"/>
      <c r="J218" s="12"/>
      <c r="K218" s="12"/>
      <c r="L218" s="12"/>
      <c r="M218" s="12"/>
      <c r="N218" s="12"/>
      <c r="O218" s="12"/>
      <c r="P218" s="12"/>
      <c r="Q218" s="12"/>
      <c r="R218" s="12"/>
      <c r="S218" s="12"/>
      <c r="T218" s="12"/>
      <c r="U218" s="12"/>
      <c r="V218" s="12"/>
      <c r="W218" s="12"/>
      <c r="X218" s="12"/>
      <c r="Y218" s="12"/>
      <c r="Z218" s="12"/>
    </row>
    <row r="219" spans="1:26" ht="15.75" customHeight="1" x14ac:dyDescent="0.25">
      <c r="A219" s="12"/>
      <c r="B219" s="12"/>
      <c r="C219" s="12"/>
      <c r="D219" s="12"/>
      <c r="E219" s="13"/>
      <c r="F219" s="12"/>
      <c r="G219" s="12"/>
      <c r="H219" s="12"/>
      <c r="I219" s="12"/>
      <c r="J219" s="12"/>
      <c r="K219" s="12"/>
      <c r="L219" s="12"/>
      <c r="M219" s="12"/>
      <c r="N219" s="12"/>
      <c r="O219" s="12"/>
      <c r="P219" s="12"/>
      <c r="Q219" s="12"/>
      <c r="R219" s="12"/>
      <c r="S219" s="12"/>
      <c r="T219" s="12"/>
      <c r="U219" s="12"/>
      <c r="V219" s="12"/>
      <c r="W219" s="12"/>
      <c r="X219" s="12"/>
      <c r="Y219" s="12"/>
      <c r="Z219" s="12"/>
    </row>
    <row r="220" spans="1:26" ht="15.75" customHeight="1" x14ac:dyDescent="0.25">
      <c r="A220" s="12"/>
      <c r="B220" s="12"/>
      <c r="C220" s="12"/>
      <c r="D220" s="12"/>
      <c r="E220" s="13"/>
      <c r="F220" s="12"/>
      <c r="G220" s="12"/>
      <c r="H220" s="12"/>
      <c r="I220" s="12"/>
      <c r="J220" s="12"/>
      <c r="K220" s="12"/>
      <c r="L220" s="12"/>
      <c r="M220" s="12"/>
      <c r="N220" s="12"/>
      <c r="O220" s="12"/>
      <c r="P220" s="12"/>
      <c r="Q220" s="12"/>
      <c r="R220" s="12"/>
      <c r="S220" s="12"/>
      <c r="T220" s="12"/>
      <c r="U220" s="12"/>
      <c r="V220" s="12"/>
      <c r="W220" s="12"/>
      <c r="X220" s="12"/>
      <c r="Y220" s="12"/>
      <c r="Z220" s="12"/>
    </row>
    <row r="221" spans="1:26" ht="15.75" customHeight="1" x14ac:dyDescent="0.25">
      <c r="A221" s="12"/>
      <c r="B221" s="12"/>
      <c r="C221" s="12"/>
      <c r="D221" s="12"/>
      <c r="E221" s="13"/>
      <c r="F221" s="12"/>
      <c r="G221" s="12"/>
      <c r="H221" s="12"/>
      <c r="I221" s="12"/>
      <c r="J221" s="12"/>
      <c r="K221" s="12"/>
      <c r="L221" s="12"/>
      <c r="M221" s="12"/>
      <c r="N221" s="12"/>
      <c r="O221" s="12"/>
      <c r="P221" s="12"/>
      <c r="Q221" s="12"/>
      <c r="R221" s="12"/>
      <c r="S221" s="12"/>
      <c r="T221" s="12"/>
      <c r="U221" s="12"/>
      <c r="V221" s="12"/>
      <c r="W221" s="12"/>
      <c r="X221" s="12"/>
      <c r="Y221" s="12"/>
      <c r="Z221" s="12"/>
    </row>
    <row r="222" spans="1:26" ht="15.75" customHeight="1" x14ac:dyDescent="0.25">
      <c r="A222" s="12"/>
      <c r="B222" s="12"/>
      <c r="C222" s="12"/>
      <c r="D222" s="12"/>
      <c r="E222" s="13"/>
      <c r="F222" s="12"/>
      <c r="G222" s="12"/>
      <c r="H222" s="12"/>
      <c r="I222" s="12"/>
      <c r="J222" s="12"/>
      <c r="K222" s="12"/>
      <c r="L222" s="12"/>
      <c r="M222" s="12"/>
      <c r="N222" s="12"/>
      <c r="O222" s="12"/>
      <c r="P222" s="12"/>
      <c r="Q222" s="12"/>
      <c r="R222" s="12"/>
      <c r="S222" s="12"/>
      <c r="T222" s="12"/>
      <c r="U222" s="12"/>
      <c r="V222" s="12"/>
      <c r="W222" s="12"/>
      <c r="X222" s="12"/>
      <c r="Y222" s="12"/>
      <c r="Z222" s="12"/>
    </row>
    <row r="223" spans="1:26" ht="15.75" customHeight="1" x14ac:dyDescent="0.25">
      <c r="A223" s="12"/>
      <c r="B223" s="12"/>
      <c r="C223" s="12"/>
      <c r="D223" s="12"/>
      <c r="E223" s="13"/>
      <c r="F223" s="12"/>
      <c r="G223" s="12"/>
      <c r="H223" s="12"/>
      <c r="I223" s="12"/>
      <c r="J223" s="12"/>
      <c r="K223" s="12"/>
      <c r="L223" s="12"/>
      <c r="M223" s="12"/>
      <c r="N223" s="12"/>
      <c r="O223" s="12"/>
      <c r="P223" s="12"/>
      <c r="Q223" s="12"/>
      <c r="R223" s="12"/>
      <c r="S223" s="12"/>
      <c r="T223" s="12"/>
      <c r="U223" s="12"/>
      <c r="V223" s="12"/>
      <c r="W223" s="12"/>
      <c r="X223" s="12"/>
      <c r="Y223" s="12"/>
      <c r="Z223" s="12"/>
    </row>
    <row r="224" spans="1:26" ht="15.75" customHeight="1" x14ac:dyDescent="0.25">
      <c r="A224" s="12"/>
      <c r="B224" s="12"/>
      <c r="C224" s="12"/>
      <c r="D224" s="12"/>
      <c r="E224" s="13"/>
      <c r="F224" s="12"/>
      <c r="G224" s="12"/>
      <c r="H224" s="12"/>
      <c r="I224" s="12"/>
      <c r="J224" s="12"/>
      <c r="K224" s="12"/>
      <c r="L224" s="12"/>
      <c r="M224" s="12"/>
      <c r="N224" s="12"/>
      <c r="O224" s="12"/>
      <c r="P224" s="12"/>
      <c r="Q224" s="12"/>
      <c r="R224" s="12"/>
      <c r="S224" s="12"/>
      <c r="T224" s="12"/>
      <c r="U224" s="12"/>
      <c r="V224" s="12"/>
      <c r="W224" s="12"/>
      <c r="X224" s="12"/>
      <c r="Y224" s="12"/>
      <c r="Z224" s="12"/>
    </row>
    <row r="225" spans="1:26" ht="15.75" customHeight="1" x14ac:dyDescent="0.25">
      <c r="A225" s="12"/>
      <c r="B225" s="12"/>
      <c r="C225" s="12"/>
      <c r="D225" s="12"/>
      <c r="E225" s="13"/>
      <c r="F225" s="12"/>
      <c r="G225" s="12"/>
      <c r="H225" s="12"/>
      <c r="I225" s="12"/>
      <c r="J225" s="12"/>
      <c r="K225" s="12"/>
      <c r="L225" s="12"/>
      <c r="M225" s="12"/>
      <c r="N225" s="12"/>
      <c r="O225" s="12"/>
      <c r="P225" s="12"/>
      <c r="Q225" s="12"/>
      <c r="R225" s="12"/>
      <c r="S225" s="12"/>
      <c r="T225" s="12"/>
      <c r="U225" s="12"/>
      <c r="V225" s="12"/>
      <c r="W225" s="12"/>
      <c r="X225" s="12"/>
      <c r="Y225" s="12"/>
      <c r="Z225" s="12"/>
    </row>
    <row r="226" spans="1:26" ht="15.75" customHeight="1" x14ac:dyDescent="0.25">
      <c r="A226" s="12"/>
      <c r="B226" s="12"/>
      <c r="C226" s="12"/>
      <c r="D226" s="12"/>
      <c r="E226" s="13"/>
      <c r="F226" s="12"/>
      <c r="G226" s="12"/>
      <c r="H226" s="12"/>
      <c r="I226" s="12"/>
      <c r="J226" s="12"/>
      <c r="K226" s="12"/>
      <c r="L226" s="12"/>
      <c r="M226" s="12"/>
      <c r="N226" s="12"/>
      <c r="O226" s="12"/>
      <c r="P226" s="12"/>
      <c r="Q226" s="12"/>
      <c r="R226" s="12"/>
      <c r="S226" s="12"/>
      <c r="T226" s="12"/>
      <c r="U226" s="12"/>
      <c r="V226" s="12"/>
      <c r="W226" s="12"/>
      <c r="X226" s="12"/>
      <c r="Y226" s="12"/>
      <c r="Z226" s="12"/>
    </row>
    <row r="227" spans="1:26" ht="15.75" customHeight="1" x14ac:dyDescent="0.25">
      <c r="A227" s="12"/>
      <c r="B227" s="12"/>
      <c r="C227" s="12"/>
      <c r="D227" s="12"/>
      <c r="E227" s="13"/>
      <c r="F227" s="12"/>
      <c r="G227" s="12"/>
      <c r="H227" s="12"/>
      <c r="I227" s="12"/>
      <c r="J227" s="12"/>
      <c r="K227" s="12"/>
      <c r="L227" s="12"/>
      <c r="M227" s="12"/>
      <c r="N227" s="12"/>
      <c r="O227" s="12"/>
      <c r="P227" s="12"/>
      <c r="Q227" s="12"/>
      <c r="R227" s="12"/>
      <c r="S227" s="12"/>
      <c r="T227" s="12"/>
      <c r="U227" s="12"/>
      <c r="V227" s="12"/>
      <c r="W227" s="12"/>
      <c r="X227" s="12"/>
      <c r="Y227" s="12"/>
      <c r="Z227" s="12"/>
    </row>
    <row r="228" spans="1:26" ht="15.75" customHeight="1" x14ac:dyDescent="0.25">
      <c r="A228" s="12"/>
      <c r="B228" s="12"/>
      <c r="C228" s="12"/>
      <c r="D228" s="12"/>
      <c r="E228" s="13"/>
      <c r="F228" s="12"/>
      <c r="G228" s="12"/>
      <c r="H228" s="12"/>
      <c r="I228" s="12"/>
      <c r="J228" s="12"/>
      <c r="K228" s="12"/>
      <c r="L228" s="12"/>
      <c r="M228" s="12"/>
      <c r="N228" s="12"/>
      <c r="O228" s="12"/>
      <c r="P228" s="12"/>
      <c r="Q228" s="12"/>
      <c r="R228" s="12"/>
      <c r="S228" s="12"/>
      <c r="T228" s="12"/>
      <c r="U228" s="12"/>
      <c r="V228" s="12"/>
      <c r="W228" s="12"/>
      <c r="X228" s="12"/>
      <c r="Y228" s="12"/>
      <c r="Z228" s="12"/>
    </row>
    <row r="229" spans="1:26" ht="15.75" customHeight="1" x14ac:dyDescent="0.25">
      <c r="A229" s="12"/>
      <c r="B229" s="12"/>
      <c r="C229" s="12"/>
      <c r="D229" s="12"/>
      <c r="E229" s="13"/>
      <c r="F229" s="12"/>
      <c r="G229" s="12"/>
      <c r="H229" s="12"/>
      <c r="I229" s="12"/>
      <c r="J229" s="12"/>
      <c r="K229" s="12"/>
      <c r="L229" s="12"/>
      <c r="M229" s="12"/>
      <c r="N229" s="12"/>
      <c r="O229" s="12"/>
      <c r="P229" s="12"/>
      <c r="Q229" s="12"/>
      <c r="R229" s="12"/>
      <c r="S229" s="12"/>
      <c r="T229" s="12"/>
      <c r="U229" s="12"/>
      <c r="V229" s="12"/>
      <c r="W229" s="12"/>
      <c r="X229" s="12"/>
      <c r="Y229" s="12"/>
      <c r="Z229" s="12"/>
    </row>
    <row r="230" spans="1:26" ht="15.75" customHeight="1" x14ac:dyDescent="0.25">
      <c r="A230" s="12"/>
      <c r="B230" s="12"/>
      <c r="C230" s="12"/>
      <c r="D230" s="12"/>
      <c r="E230" s="13"/>
      <c r="F230" s="12"/>
      <c r="G230" s="12"/>
      <c r="H230" s="12"/>
      <c r="I230" s="12"/>
      <c r="J230" s="12"/>
      <c r="K230" s="12"/>
      <c r="L230" s="12"/>
      <c r="M230" s="12"/>
      <c r="N230" s="12"/>
      <c r="O230" s="12"/>
      <c r="P230" s="12"/>
      <c r="Q230" s="12"/>
      <c r="R230" s="12"/>
      <c r="S230" s="12"/>
      <c r="T230" s="12"/>
      <c r="U230" s="12"/>
      <c r="V230" s="12"/>
      <c r="W230" s="12"/>
      <c r="X230" s="12"/>
      <c r="Y230" s="12"/>
      <c r="Z230" s="12"/>
    </row>
    <row r="231" spans="1:26" ht="15.75" customHeight="1" x14ac:dyDescent="0.25">
      <c r="A231" s="12"/>
      <c r="B231" s="12"/>
      <c r="C231" s="12"/>
      <c r="D231" s="12"/>
      <c r="E231" s="13"/>
      <c r="F231" s="12"/>
      <c r="G231" s="12"/>
      <c r="H231" s="12"/>
      <c r="I231" s="12"/>
      <c r="J231" s="12"/>
      <c r="K231" s="12"/>
      <c r="L231" s="12"/>
      <c r="M231" s="12"/>
      <c r="N231" s="12"/>
      <c r="O231" s="12"/>
      <c r="P231" s="12"/>
      <c r="Q231" s="12"/>
      <c r="R231" s="12"/>
      <c r="S231" s="12"/>
      <c r="T231" s="12"/>
      <c r="U231" s="12"/>
      <c r="V231" s="12"/>
      <c r="W231" s="12"/>
      <c r="X231" s="12"/>
      <c r="Y231" s="12"/>
      <c r="Z231" s="12"/>
    </row>
    <row r="232" spans="1:26" ht="15.75" customHeight="1" x14ac:dyDescent="0.25">
      <c r="A232" s="12"/>
      <c r="B232" s="12"/>
      <c r="C232" s="12"/>
      <c r="D232" s="12"/>
      <c r="E232" s="13"/>
      <c r="F232" s="12"/>
      <c r="G232" s="12"/>
      <c r="H232" s="12"/>
      <c r="I232" s="12"/>
      <c r="J232" s="12"/>
      <c r="K232" s="12"/>
      <c r="L232" s="12"/>
      <c r="M232" s="12"/>
      <c r="N232" s="12"/>
      <c r="O232" s="12"/>
      <c r="P232" s="12"/>
      <c r="Q232" s="12"/>
      <c r="R232" s="12"/>
      <c r="S232" s="12"/>
      <c r="T232" s="12"/>
      <c r="U232" s="12"/>
      <c r="V232" s="12"/>
      <c r="W232" s="12"/>
      <c r="X232" s="12"/>
      <c r="Y232" s="12"/>
      <c r="Z232" s="12"/>
    </row>
    <row r="233" spans="1:26" ht="15.75" customHeight="1" x14ac:dyDescent="0.25">
      <c r="A233" s="12"/>
      <c r="B233" s="12"/>
      <c r="C233" s="12"/>
      <c r="D233" s="12"/>
      <c r="E233" s="13"/>
      <c r="F233" s="12"/>
      <c r="G233" s="12"/>
      <c r="H233" s="12"/>
      <c r="I233" s="12"/>
      <c r="J233" s="12"/>
      <c r="K233" s="12"/>
      <c r="L233" s="12"/>
      <c r="M233" s="12"/>
      <c r="N233" s="12"/>
      <c r="O233" s="12"/>
      <c r="P233" s="12"/>
      <c r="Q233" s="12"/>
      <c r="R233" s="12"/>
      <c r="S233" s="12"/>
      <c r="T233" s="12"/>
      <c r="U233" s="12"/>
      <c r="V233" s="12"/>
      <c r="W233" s="12"/>
      <c r="X233" s="12"/>
      <c r="Y233" s="12"/>
      <c r="Z233" s="12"/>
    </row>
    <row r="234" spans="1:26" ht="15.75" customHeight="1" x14ac:dyDescent="0.25">
      <c r="A234" s="12"/>
      <c r="B234" s="12"/>
      <c r="C234" s="12"/>
      <c r="D234" s="12"/>
      <c r="E234" s="13"/>
      <c r="F234" s="12"/>
      <c r="G234" s="12"/>
      <c r="H234" s="12"/>
      <c r="I234" s="12"/>
      <c r="J234" s="12"/>
      <c r="K234" s="12"/>
      <c r="L234" s="12"/>
      <c r="M234" s="12"/>
      <c r="N234" s="12"/>
      <c r="O234" s="12"/>
      <c r="P234" s="12"/>
      <c r="Q234" s="12"/>
      <c r="R234" s="12"/>
      <c r="S234" s="12"/>
      <c r="T234" s="12"/>
      <c r="U234" s="12"/>
      <c r="V234" s="12"/>
      <c r="W234" s="12"/>
      <c r="X234" s="12"/>
      <c r="Y234" s="12"/>
      <c r="Z234" s="12"/>
    </row>
    <row r="235" spans="1:26" ht="15.75" customHeight="1" x14ac:dyDescent="0.25">
      <c r="A235" s="12"/>
      <c r="B235" s="12"/>
      <c r="C235" s="12"/>
      <c r="D235" s="12"/>
      <c r="E235" s="13"/>
      <c r="F235" s="12"/>
      <c r="G235" s="12"/>
      <c r="H235" s="12"/>
      <c r="I235" s="12"/>
      <c r="J235" s="12"/>
      <c r="K235" s="12"/>
      <c r="L235" s="12"/>
      <c r="M235" s="12"/>
      <c r="N235" s="12"/>
      <c r="O235" s="12"/>
      <c r="P235" s="12"/>
      <c r="Q235" s="12"/>
      <c r="R235" s="12"/>
      <c r="S235" s="12"/>
      <c r="T235" s="12"/>
      <c r="U235" s="12"/>
      <c r="V235" s="12"/>
      <c r="W235" s="12"/>
      <c r="X235" s="12"/>
      <c r="Y235" s="12"/>
      <c r="Z235" s="12"/>
    </row>
    <row r="236" spans="1:26" ht="15.75" customHeight="1" x14ac:dyDescent="0.25">
      <c r="A236" s="12"/>
      <c r="B236" s="12"/>
      <c r="C236" s="12"/>
      <c r="D236" s="12"/>
      <c r="E236" s="13"/>
      <c r="F236" s="12"/>
      <c r="G236" s="12"/>
      <c r="H236" s="12"/>
      <c r="I236" s="12"/>
      <c r="J236" s="12"/>
      <c r="K236" s="12"/>
      <c r="L236" s="12"/>
      <c r="M236" s="12"/>
      <c r="N236" s="12"/>
      <c r="O236" s="12"/>
      <c r="P236" s="12"/>
      <c r="Q236" s="12"/>
      <c r="R236" s="12"/>
      <c r="S236" s="12"/>
      <c r="T236" s="12"/>
      <c r="U236" s="12"/>
      <c r="V236" s="12"/>
      <c r="W236" s="12"/>
      <c r="X236" s="12"/>
      <c r="Y236" s="12"/>
      <c r="Z236" s="12"/>
    </row>
    <row r="237" spans="1:26" ht="15.75" customHeight="1" x14ac:dyDescent="0.25">
      <c r="A237" s="12"/>
      <c r="B237" s="12"/>
      <c r="C237" s="12"/>
      <c r="D237" s="12"/>
      <c r="E237" s="13"/>
      <c r="F237" s="12"/>
      <c r="G237" s="12"/>
      <c r="H237" s="12"/>
      <c r="I237" s="12"/>
      <c r="J237" s="12"/>
      <c r="K237" s="12"/>
      <c r="L237" s="12"/>
      <c r="M237" s="12"/>
      <c r="N237" s="12"/>
      <c r="O237" s="12"/>
      <c r="P237" s="12"/>
      <c r="Q237" s="12"/>
      <c r="R237" s="12"/>
      <c r="S237" s="12"/>
      <c r="T237" s="12"/>
      <c r="U237" s="12"/>
      <c r="V237" s="12"/>
      <c r="W237" s="12"/>
      <c r="X237" s="12"/>
      <c r="Y237" s="12"/>
      <c r="Z237" s="12"/>
    </row>
    <row r="238" spans="1:26" ht="15.75" customHeight="1" x14ac:dyDescent="0.25">
      <c r="A238" s="12"/>
      <c r="B238" s="12"/>
      <c r="C238" s="12"/>
      <c r="D238" s="12"/>
      <c r="E238" s="13"/>
      <c r="F238" s="12"/>
      <c r="G238" s="12"/>
      <c r="H238" s="12"/>
      <c r="I238" s="12"/>
      <c r="J238" s="12"/>
      <c r="K238" s="12"/>
      <c r="L238" s="12"/>
      <c r="M238" s="12"/>
      <c r="N238" s="12"/>
      <c r="O238" s="12"/>
      <c r="P238" s="12"/>
      <c r="Q238" s="12"/>
      <c r="R238" s="12"/>
      <c r="S238" s="12"/>
      <c r="T238" s="12"/>
      <c r="U238" s="12"/>
      <c r="V238" s="12"/>
      <c r="W238" s="12"/>
      <c r="X238" s="12"/>
      <c r="Y238" s="12"/>
      <c r="Z238" s="12"/>
    </row>
    <row r="239" spans="1:26" ht="15.75" customHeight="1" x14ac:dyDescent="0.25">
      <c r="A239" s="12"/>
      <c r="B239" s="12"/>
      <c r="C239" s="12"/>
      <c r="D239" s="12"/>
      <c r="E239" s="13"/>
      <c r="F239" s="12"/>
      <c r="G239" s="12"/>
      <c r="H239" s="12"/>
      <c r="I239" s="12"/>
      <c r="J239" s="12"/>
      <c r="K239" s="12"/>
      <c r="L239" s="12"/>
      <c r="M239" s="12"/>
      <c r="N239" s="12"/>
      <c r="O239" s="12"/>
      <c r="P239" s="12"/>
      <c r="Q239" s="12"/>
      <c r="R239" s="12"/>
      <c r="S239" s="12"/>
      <c r="T239" s="12"/>
      <c r="U239" s="12"/>
      <c r="V239" s="12"/>
      <c r="W239" s="12"/>
      <c r="X239" s="12"/>
      <c r="Y239" s="12"/>
      <c r="Z239" s="12"/>
    </row>
    <row r="240" spans="1:26" ht="15.75" customHeight="1" x14ac:dyDescent="0.25">
      <c r="A240" s="12"/>
      <c r="B240" s="12"/>
      <c r="C240" s="12"/>
      <c r="D240" s="12"/>
      <c r="E240" s="13"/>
      <c r="F240" s="12"/>
      <c r="G240" s="12"/>
      <c r="H240" s="12"/>
      <c r="I240" s="12"/>
      <c r="J240" s="12"/>
      <c r="K240" s="12"/>
      <c r="L240" s="12"/>
      <c r="M240" s="12"/>
      <c r="N240" s="12"/>
      <c r="O240" s="12"/>
      <c r="P240" s="12"/>
      <c r="Q240" s="12"/>
      <c r="R240" s="12"/>
      <c r="S240" s="12"/>
      <c r="T240" s="12"/>
      <c r="U240" s="12"/>
      <c r="V240" s="12"/>
      <c r="W240" s="12"/>
      <c r="X240" s="12"/>
      <c r="Y240" s="12"/>
      <c r="Z240" s="12"/>
    </row>
    <row r="241" spans="1:26" ht="15.75" customHeight="1" x14ac:dyDescent="0.25">
      <c r="A241" s="12"/>
      <c r="B241" s="12"/>
      <c r="C241" s="12"/>
      <c r="D241" s="12"/>
      <c r="E241" s="13"/>
      <c r="F241" s="12"/>
      <c r="G241" s="12"/>
      <c r="H241" s="12"/>
      <c r="I241" s="12"/>
      <c r="J241" s="12"/>
      <c r="K241" s="12"/>
      <c r="L241" s="12"/>
      <c r="M241" s="12"/>
      <c r="N241" s="12"/>
      <c r="O241" s="12"/>
      <c r="P241" s="12"/>
      <c r="Q241" s="12"/>
      <c r="R241" s="12"/>
      <c r="S241" s="12"/>
      <c r="T241" s="12"/>
      <c r="U241" s="12"/>
      <c r="V241" s="12"/>
      <c r="W241" s="12"/>
      <c r="X241" s="12"/>
      <c r="Y241" s="12"/>
      <c r="Z241" s="12"/>
    </row>
    <row r="242" spans="1:26" ht="15.75" customHeight="1" x14ac:dyDescent="0.25">
      <c r="A242" s="12"/>
      <c r="B242" s="12"/>
      <c r="C242" s="12"/>
      <c r="D242" s="12"/>
      <c r="E242" s="13"/>
      <c r="F242" s="12"/>
      <c r="G242" s="12"/>
      <c r="H242" s="12"/>
      <c r="I242" s="12"/>
      <c r="J242" s="12"/>
      <c r="K242" s="12"/>
      <c r="L242" s="12"/>
      <c r="M242" s="12"/>
      <c r="N242" s="12"/>
      <c r="O242" s="12"/>
      <c r="P242" s="12"/>
      <c r="Q242" s="12"/>
      <c r="R242" s="12"/>
      <c r="S242" s="12"/>
      <c r="T242" s="12"/>
      <c r="U242" s="12"/>
      <c r="V242" s="12"/>
      <c r="W242" s="12"/>
      <c r="X242" s="12"/>
      <c r="Y242" s="12"/>
      <c r="Z242" s="12"/>
    </row>
    <row r="243" spans="1:26" ht="15.75" customHeight="1" x14ac:dyDescent="0.25">
      <c r="A243" s="12"/>
      <c r="B243" s="12"/>
      <c r="C243" s="12"/>
      <c r="D243" s="12"/>
      <c r="E243" s="13"/>
      <c r="F243" s="12"/>
      <c r="G243" s="12"/>
      <c r="H243" s="12"/>
      <c r="I243" s="12"/>
      <c r="J243" s="12"/>
      <c r="K243" s="12"/>
      <c r="L243" s="12"/>
      <c r="M243" s="12"/>
      <c r="N243" s="12"/>
      <c r="O243" s="12"/>
      <c r="P243" s="12"/>
      <c r="Q243" s="12"/>
      <c r="R243" s="12"/>
      <c r="S243" s="12"/>
      <c r="T243" s="12"/>
      <c r="U243" s="12"/>
      <c r="V243" s="12"/>
      <c r="W243" s="12"/>
      <c r="X243" s="12"/>
      <c r="Y243" s="12"/>
      <c r="Z243" s="12"/>
    </row>
    <row r="244" spans="1:26" ht="15.75" customHeight="1" x14ac:dyDescent="0.25">
      <c r="A244" s="12"/>
      <c r="B244" s="12"/>
      <c r="C244" s="12"/>
      <c r="D244" s="12"/>
      <c r="E244" s="13"/>
      <c r="F244" s="12"/>
      <c r="G244" s="12"/>
      <c r="H244" s="12"/>
      <c r="I244" s="12"/>
      <c r="J244" s="12"/>
      <c r="K244" s="12"/>
      <c r="L244" s="12"/>
      <c r="M244" s="12"/>
      <c r="N244" s="12"/>
      <c r="O244" s="12"/>
      <c r="P244" s="12"/>
      <c r="Q244" s="12"/>
      <c r="R244" s="12"/>
      <c r="S244" s="12"/>
      <c r="T244" s="12"/>
      <c r="U244" s="12"/>
      <c r="V244" s="12"/>
      <c r="W244" s="12"/>
      <c r="X244" s="12"/>
      <c r="Y244" s="12"/>
      <c r="Z244" s="12"/>
    </row>
    <row r="245" spans="1:26" ht="15.75" customHeight="1" x14ac:dyDescent="0.25">
      <c r="A245" s="12"/>
      <c r="B245" s="12"/>
      <c r="C245" s="12"/>
      <c r="D245" s="12"/>
      <c r="E245" s="13"/>
      <c r="F245" s="12"/>
      <c r="G245" s="12"/>
      <c r="H245" s="12"/>
      <c r="I245" s="12"/>
      <c r="J245" s="12"/>
      <c r="K245" s="12"/>
      <c r="L245" s="12"/>
      <c r="M245" s="12"/>
      <c r="N245" s="12"/>
      <c r="O245" s="12"/>
      <c r="P245" s="12"/>
      <c r="Q245" s="12"/>
      <c r="R245" s="12"/>
      <c r="S245" s="12"/>
      <c r="T245" s="12"/>
      <c r="U245" s="12"/>
      <c r="V245" s="12"/>
      <c r="W245" s="12"/>
      <c r="X245" s="12"/>
      <c r="Y245" s="12"/>
      <c r="Z245" s="12"/>
    </row>
    <row r="246" spans="1:26" ht="15.75" customHeight="1" x14ac:dyDescent="0.25">
      <c r="A246" s="12"/>
      <c r="B246" s="12"/>
      <c r="C246" s="12"/>
      <c r="D246" s="12"/>
      <c r="E246" s="13"/>
      <c r="F246" s="12"/>
      <c r="G246" s="12"/>
      <c r="H246" s="12"/>
      <c r="I246" s="12"/>
      <c r="J246" s="12"/>
      <c r="K246" s="12"/>
      <c r="L246" s="12"/>
      <c r="M246" s="12"/>
      <c r="N246" s="12"/>
      <c r="O246" s="12"/>
      <c r="P246" s="12"/>
      <c r="Q246" s="12"/>
      <c r="R246" s="12"/>
      <c r="S246" s="12"/>
      <c r="T246" s="12"/>
      <c r="U246" s="12"/>
      <c r="V246" s="12"/>
      <c r="W246" s="12"/>
      <c r="X246" s="12"/>
      <c r="Y246" s="12"/>
      <c r="Z246" s="12"/>
    </row>
    <row r="247" spans="1:26" ht="15.75" customHeight="1" x14ac:dyDescent="0.25">
      <c r="A247" s="12"/>
      <c r="B247" s="12"/>
      <c r="C247" s="12"/>
      <c r="D247" s="12"/>
      <c r="E247" s="13"/>
      <c r="F247" s="12"/>
      <c r="G247" s="12"/>
      <c r="H247" s="12"/>
      <c r="I247" s="12"/>
      <c r="J247" s="12"/>
      <c r="K247" s="12"/>
      <c r="L247" s="12"/>
      <c r="M247" s="12"/>
      <c r="N247" s="12"/>
      <c r="O247" s="12"/>
      <c r="P247" s="12"/>
      <c r="Q247" s="12"/>
      <c r="R247" s="12"/>
      <c r="S247" s="12"/>
      <c r="T247" s="12"/>
      <c r="U247" s="12"/>
      <c r="V247" s="12"/>
      <c r="W247" s="12"/>
      <c r="X247" s="12"/>
      <c r="Y247" s="12"/>
      <c r="Z247" s="12"/>
    </row>
    <row r="248" spans="1:26" ht="15.75" customHeight="1" x14ac:dyDescent="0.25">
      <c r="A248" s="12"/>
      <c r="B248" s="12"/>
      <c r="C248" s="12"/>
      <c r="D248" s="12"/>
      <c r="E248" s="13"/>
      <c r="F248" s="12"/>
      <c r="G248" s="12"/>
      <c r="H248" s="12"/>
      <c r="I248" s="12"/>
      <c r="J248" s="12"/>
      <c r="K248" s="12"/>
      <c r="L248" s="12"/>
      <c r="M248" s="12"/>
      <c r="N248" s="12"/>
      <c r="O248" s="12"/>
      <c r="P248" s="12"/>
      <c r="Q248" s="12"/>
      <c r="R248" s="12"/>
      <c r="S248" s="12"/>
      <c r="T248" s="12"/>
      <c r="U248" s="12"/>
      <c r="V248" s="12"/>
      <c r="W248" s="12"/>
      <c r="X248" s="12"/>
      <c r="Y248" s="12"/>
      <c r="Z248" s="12"/>
    </row>
    <row r="249" spans="1:26" ht="15.75" customHeight="1" x14ac:dyDescent="0.25">
      <c r="A249" s="12"/>
      <c r="B249" s="12"/>
      <c r="C249" s="12"/>
      <c r="D249" s="12"/>
      <c r="E249" s="13"/>
      <c r="F249" s="12"/>
      <c r="G249" s="12"/>
      <c r="H249" s="12"/>
      <c r="I249" s="12"/>
      <c r="J249" s="12"/>
      <c r="K249" s="12"/>
      <c r="L249" s="12"/>
      <c r="M249" s="12"/>
      <c r="N249" s="12"/>
      <c r="O249" s="12"/>
      <c r="P249" s="12"/>
      <c r="Q249" s="12"/>
      <c r="R249" s="12"/>
      <c r="S249" s="12"/>
      <c r="T249" s="12"/>
      <c r="U249" s="12"/>
      <c r="V249" s="12"/>
      <c r="W249" s="12"/>
      <c r="X249" s="12"/>
      <c r="Y249" s="12"/>
      <c r="Z249" s="12"/>
    </row>
    <row r="250" spans="1:26" ht="15.75" customHeight="1" x14ac:dyDescent="0.25">
      <c r="A250" s="12"/>
      <c r="B250" s="12"/>
      <c r="C250" s="12"/>
      <c r="D250" s="12"/>
      <c r="E250" s="13"/>
      <c r="F250" s="12"/>
      <c r="G250" s="12"/>
      <c r="H250" s="12"/>
      <c r="I250" s="12"/>
      <c r="J250" s="12"/>
      <c r="K250" s="12"/>
      <c r="L250" s="12"/>
      <c r="M250" s="12"/>
      <c r="N250" s="12"/>
      <c r="O250" s="12"/>
      <c r="P250" s="12"/>
      <c r="Q250" s="12"/>
      <c r="R250" s="12"/>
      <c r="S250" s="12"/>
      <c r="T250" s="12"/>
      <c r="U250" s="12"/>
      <c r="V250" s="12"/>
      <c r="W250" s="12"/>
      <c r="X250" s="12"/>
      <c r="Y250" s="12"/>
      <c r="Z250" s="12"/>
    </row>
    <row r="251" spans="1:26" ht="15.75" customHeight="1" x14ac:dyDescent="0.25">
      <c r="A251" s="12"/>
      <c r="B251" s="12"/>
      <c r="C251" s="12"/>
      <c r="D251" s="12"/>
      <c r="E251" s="13"/>
      <c r="F251" s="12"/>
      <c r="G251" s="12"/>
      <c r="H251" s="12"/>
      <c r="I251" s="12"/>
      <c r="J251" s="12"/>
      <c r="K251" s="12"/>
      <c r="L251" s="12"/>
      <c r="M251" s="12"/>
      <c r="N251" s="12"/>
      <c r="O251" s="12"/>
      <c r="P251" s="12"/>
      <c r="Q251" s="12"/>
      <c r="R251" s="12"/>
      <c r="S251" s="12"/>
      <c r="T251" s="12"/>
      <c r="U251" s="12"/>
      <c r="V251" s="12"/>
      <c r="W251" s="12"/>
      <c r="X251" s="12"/>
      <c r="Y251" s="12"/>
      <c r="Z251" s="12"/>
    </row>
    <row r="252" spans="1:26" ht="15.75" customHeight="1" x14ac:dyDescent="0.25">
      <c r="A252" s="12"/>
      <c r="B252" s="12"/>
      <c r="C252" s="12"/>
      <c r="D252" s="12"/>
      <c r="E252" s="13"/>
      <c r="F252" s="12"/>
      <c r="G252" s="12"/>
      <c r="H252" s="12"/>
      <c r="I252" s="12"/>
      <c r="J252" s="12"/>
      <c r="K252" s="12"/>
      <c r="L252" s="12"/>
      <c r="M252" s="12"/>
      <c r="N252" s="12"/>
      <c r="O252" s="12"/>
      <c r="P252" s="12"/>
      <c r="Q252" s="12"/>
      <c r="R252" s="12"/>
      <c r="S252" s="12"/>
      <c r="T252" s="12"/>
      <c r="U252" s="12"/>
      <c r="V252" s="12"/>
      <c r="W252" s="12"/>
      <c r="X252" s="12"/>
      <c r="Y252" s="12"/>
      <c r="Z252" s="12"/>
    </row>
    <row r="253" spans="1:26" ht="15.75" customHeight="1" x14ac:dyDescent="0.25">
      <c r="A253" s="12"/>
      <c r="B253" s="12"/>
      <c r="C253" s="12"/>
      <c r="D253" s="12"/>
      <c r="E253" s="13"/>
      <c r="F253" s="12"/>
      <c r="G253" s="12"/>
      <c r="H253" s="12"/>
      <c r="I253" s="12"/>
      <c r="J253" s="12"/>
      <c r="K253" s="12"/>
      <c r="L253" s="12"/>
      <c r="M253" s="12"/>
      <c r="N253" s="12"/>
      <c r="O253" s="12"/>
      <c r="P253" s="12"/>
      <c r="Q253" s="12"/>
      <c r="R253" s="12"/>
      <c r="S253" s="12"/>
      <c r="T253" s="12"/>
      <c r="U253" s="12"/>
      <c r="V253" s="12"/>
      <c r="W253" s="12"/>
      <c r="X253" s="12"/>
      <c r="Y253" s="12"/>
      <c r="Z253" s="12"/>
    </row>
    <row r="254" spans="1:26" ht="15.75" customHeight="1" x14ac:dyDescent="0.25">
      <c r="A254" s="12"/>
      <c r="B254" s="12"/>
      <c r="C254" s="12"/>
      <c r="D254" s="12"/>
      <c r="E254" s="13"/>
      <c r="F254" s="12"/>
      <c r="G254" s="12"/>
      <c r="H254" s="12"/>
      <c r="I254" s="12"/>
      <c r="J254" s="12"/>
      <c r="K254" s="12"/>
      <c r="L254" s="12"/>
      <c r="M254" s="12"/>
      <c r="N254" s="12"/>
      <c r="O254" s="12"/>
      <c r="P254" s="12"/>
      <c r="Q254" s="12"/>
      <c r="R254" s="12"/>
      <c r="S254" s="12"/>
      <c r="T254" s="12"/>
      <c r="U254" s="12"/>
      <c r="V254" s="12"/>
      <c r="W254" s="12"/>
      <c r="X254" s="12"/>
      <c r="Y254" s="12"/>
      <c r="Z254" s="12"/>
    </row>
    <row r="255" spans="1:26" ht="15.75" customHeight="1" x14ac:dyDescent="0.25">
      <c r="A255" s="12"/>
      <c r="B255" s="12"/>
      <c r="C255" s="12"/>
      <c r="D255" s="12"/>
      <c r="E255" s="13"/>
      <c r="F255" s="12"/>
      <c r="G255" s="12"/>
      <c r="H255" s="12"/>
      <c r="I255" s="12"/>
      <c r="J255" s="12"/>
      <c r="K255" s="12"/>
      <c r="L255" s="12"/>
      <c r="M255" s="12"/>
      <c r="N255" s="12"/>
      <c r="O255" s="12"/>
      <c r="P255" s="12"/>
      <c r="Q255" s="12"/>
      <c r="R255" s="12"/>
      <c r="S255" s="12"/>
      <c r="T255" s="12"/>
      <c r="U255" s="12"/>
      <c r="V255" s="12"/>
      <c r="W255" s="12"/>
      <c r="X255" s="12"/>
      <c r="Y255" s="12"/>
      <c r="Z255" s="12"/>
    </row>
    <row r="256" spans="1:26" ht="15.75" customHeight="1" x14ac:dyDescent="0.25">
      <c r="A256" s="12"/>
      <c r="B256" s="12"/>
      <c r="C256" s="12"/>
      <c r="D256" s="12"/>
      <c r="E256" s="13"/>
      <c r="F256" s="12"/>
      <c r="G256" s="12"/>
      <c r="H256" s="12"/>
      <c r="I256" s="12"/>
      <c r="J256" s="12"/>
      <c r="K256" s="12"/>
      <c r="L256" s="12"/>
      <c r="M256" s="12"/>
      <c r="N256" s="12"/>
      <c r="O256" s="12"/>
      <c r="P256" s="12"/>
      <c r="Q256" s="12"/>
      <c r="R256" s="12"/>
      <c r="S256" s="12"/>
      <c r="T256" s="12"/>
      <c r="U256" s="12"/>
      <c r="V256" s="12"/>
      <c r="W256" s="12"/>
      <c r="X256" s="12"/>
      <c r="Y256" s="12"/>
      <c r="Z256" s="12"/>
    </row>
    <row r="257" spans="1:26" ht="15.75" customHeight="1" x14ac:dyDescent="0.25">
      <c r="A257" s="12"/>
      <c r="B257" s="12"/>
      <c r="C257" s="12"/>
      <c r="D257" s="12"/>
      <c r="E257" s="13"/>
      <c r="F257" s="12"/>
      <c r="G257" s="12"/>
      <c r="H257" s="12"/>
      <c r="I257" s="12"/>
      <c r="J257" s="12"/>
      <c r="K257" s="12"/>
      <c r="L257" s="12"/>
      <c r="M257" s="12"/>
      <c r="N257" s="12"/>
      <c r="O257" s="12"/>
      <c r="P257" s="12"/>
      <c r="Q257" s="12"/>
      <c r="R257" s="12"/>
      <c r="S257" s="12"/>
      <c r="T257" s="12"/>
      <c r="U257" s="12"/>
      <c r="V257" s="12"/>
      <c r="W257" s="12"/>
      <c r="X257" s="12"/>
      <c r="Y257" s="12"/>
      <c r="Z257" s="12"/>
    </row>
    <row r="258" spans="1:26" ht="15.75" customHeight="1" x14ac:dyDescent="0.25">
      <c r="A258" s="12"/>
      <c r="B258" s="12"/>
      <c r="C258" s="12"/>
      <c r="D258" s="12"/>
      <c r="E258" s="13"/>
      <c r="F258" s="12"/>
      <c r="G258" s="12"/>
      <c r="H258" s="12"/>
      <c r="I258" s="12"/>
      <c r="J258" s="12"/>
      <c r="K258" s="12"/>
      <c r="L258" s="12"/>
      <c r="M258" s="12"/>
      <c r="N258" s="12"/>
      <c r="O258" s="12"/>
      <c r="P258" s="12"/>
      <c r="Q258" s="12"/>
      <c r="R258" s="12"/>
      <c r="S258" s="12"/>
      <c r="T258" s="12"/>
      <c r="U258" s="12"/>
      <c r="V258" s="12"/>
      <c r="W258" s="12"/>
      <c r="X258" s="12"/>
      <c r="Y258" s="12"/>
      <c r="Z258" s="12"/>
    </row>
    <row r="259" spans="1:26" ht="15.75" customHeight="1" x14ac:dyDescent="0.25">
      <c r="A259" s="12"/>
      <c r="B259" s="12"/>
      <c r="C259" s="12"/>
      <c r="D259" s="12"/>
      <c r="E259" s="13"/>
      <c r="F259" s="12"/>
      <c r="G259" s="12"/>
      <c r="H259" s="12"/>
      <c r="I259" s="12"/>
      <c r="J259" s="12"/>
      <c r="K259" s="12"/>
      <c r="L259" s="12"/>
      <c r="M259" s="12"/>
      <c r="N259" s="12"/>
      <c r="O259" s="12"/>
      <c r="P259" s="12"/>
      <c r="Q259" s="12"/>
      <c r="R259" s="12"/>
      <c r="S259" s="12"/>
      <c r="T259" s="12"/>
      <c r="U259" s="12"/>
      <c r="V259" s="12"/>
      <c r="W259" s="12"/>
      <c r="X259" s="12"/>
      <c r="Y259" s="12"/>
      <c r="Z259" s="12"/>
    </row>
    <row r="260" spans="1:26" ht="15.75" customHeight="1" x14ac:dyDescent="0.25">
      <c r="A260" s="12"/>
      <c r="B260" s="12"/>
      <c r="C260" s="12"/>
      <c r="D260" s="12"/>
      <c r="E260" s="13"/>
      <c r="F260" s="12"/>
      <c r="G260" s="12"/>
      <c r="H260" s="12"/>
      <c r="I260" s="12"/>
      <c r="J260" s="12"/>
      <c r="K260" s="12"/>
      <c r="L260" s="12"/>
      <c r="M260" s="12"/>
      <c r="N260" s="12"/>
      <c r="O260" s="12"/>
      <c r="P260" s="12"/>
      <c r="Q260" s="12"/>
      <c r="R260" s="12"/>
      <c r="S260" s="12"/>
      <c r="T260" s="12"/>
      <c r="U260" s="12"/>
      <c r="V260" s="12"/>
      <c r="W260" s="12"/>
      <c r="X260" s="12"/>
      <c r="Y260" s="12"/>
      <c r="Z260" s="12"/>
    </row>
    <row r="261" spans="1:26" ht="15.75" customHeight="1" x14ac:dyDescent="0.25">
      <c r="A261" s="12"/>
      <c r="B261" s="12"/>
      <c r="C261" s="12"/>
      <c r="D261" s="12"/>
      <c r="E261" s="13"/>
      <c r="F261" s="12"/>
      <c r="G261" s="12"/>
      <c r="H261" s="12"/>
      <c r="I261" s="12"/>
      <c r="J261" s="12"/>
      <c r="K261" s="12"/>
      <c r="L261" s="12"/>
      <c r="M261" s="12"/>
      <c r="N261" s="12"/>
      <c r="O261" s="12"/>
      <c r="P261" s="12"/>
      <c r="Q261" s="12"/>
      <c r="R261" s="12"/>
      <c r="S261" s="12"/>
      <c r="T261" s="12"/>
      <c r="U261" s="12"/>
      <c r="V261" s="12"/>
      <c r="W261" s="12"/>
      <c r="X261" s="12"/>
      <c r="Y261" s="12"/>
      <c r="Z261" s="12"/>
    </row>
    <row r="262" spans="1:26" ht="15.75" customHeight="1" x14ac:dyDescent="0.25">
      <c r="A262" s="12"/>
      <c r="B262" s="12"/>
      <c r="C262" s="12"/>
      <c r="D262" s="12"/>
      <c r="E262" s="13"/>
      <c r="F262" s="12"/>
      <c r="G262" s="12"/>
      <c r="H262" s="12"/>
      <c r="I262" s="12"/>
      <c r="J262" s="12"/>
      <c r="K262" s="12"/>
      <c r="L262" s="12"/>
      <c r="M262" s="12"/>
      <c r="N262" s="12"/>
      <c r="O262" s="12"/>
      <c r="P262" s="12"/>
      <c r="Q262" s="12"/>
      <c r="R262" s="12"/>
      <c r="S262" s="12"/>
      <c r="T262" s="12"/>
      <c r="U262" s="12"/>
      <c r="V262" s="12"/>
      <c r="W262" s="12"/>
      <c r="X262" s="12"/>
      <c r="Y262" s="12"/>
      <c r="Z262" s="12"/>
    </row>
    <row r="263" spans="1:26" ht="15.75" customHeight="1" x14ac:dyDescent="0.25">
      <c r="A263" s="12"/>
      <c r="B263" s="12"/>
      <c r="C263" s="12"/>
      <c r="D263" s="12"/>
      <c r="E263" s="13"/>
      <c r="F263" s="12"/>
      <c r="G263" s="12"/>
      <c r="H263" s="12"/>
      <c r="I263" s="12"/>
      <c r="J263" s="12"/>
      <c r="K263" s="12"/>
      <c r="L263" s="12"/>
      <c r="M263" s="12"/>
      <c r="N263" s="12"/>
      <c r="O263" s="12"/>
      <c r="P263" s="12"/>
      <c r="Q263" s="12"/>
      <c r="R263" s="12"/>
      <c r="S263" s="12"/>
      <c r="T263" s="12"/>
      <c r="U263" s="12"/>
      <c r="V263" s="12"/>
      <c r="W263" s="12"/>
      <c r="X263" s="12"/>
      <c r="Y263" s="12"/>
      <c r="Z263" s="12"/>
    </row>
    <row r="264" spans="1:26" ht="15.75" customHeight="1" x14ac:dyDescent="0.25">
      <c r="A264" s="12"/>
      <c r="B264" s="12"/>
      <c r="C264" s="12"/>
      <c r="D264" s="12"/>
      <c r="E264" s="13"/>
      <c r="F264" s="12"/>
      <c r="G264" s="12"/>
      <c r="H264" s="12"/>
      <c r="I264" s="12"/>
      <c r="J264" s="12"/>
      <c r="K264" s="12"/>
      <c r="L264" s="12"/>
      <c r="M264" s="12"/>
      <c r="N264" s="12"/>
      <c r="O264" s="12"/>
      <c r="P264" s="12"/>
      <c r="Q264" s="12"/>
      <c r="R264" s="12"/>
      <c r="S264" s="12"/>
      <c r="T264" s="12"/>
      <c r="U264" s="12"/>
      <c r="V264" s="12"/>
      <c r="W264" s="12"/>
      <c r="X264" s="12"/>
      <c r="Y264" s="12"/>
      <c r="Z264" s="12"/>
    </row>
    <row r="265" spans="1:26" ht="15.75" customHeight="1" x14ac:dyDescent="0.25">
      <c r="A265" s="12"/>
      <c r="B265" s="12"/>
      <c r="C265" s="12"/>
      <c r="D265" s="12"/>
      <c r="E265" s="13"/>
      <c r="F265" s="12"/>
      <c r="G265" s="12"/>
      <c r="H265" s="12"/>
      <c r="I265" s="12"/>
      <c r="J265" s="12"/>
      <c r="K265" s="12"/>
      <c r="L265" s="12"/>
      <c r="M265" s="12"/>
      <c r="N265" s="12"/>
      <c r="O265" s="12"/>
      <c r="P265" s="12"/>
      <c r="Q265" s="12"/>
      <c r="R265" s="12"/>
      <c r="S265" s="12"/>
      <c r="T265" s="12"/>
      <c r="U265" s="12"/>
      <c r="V265" s="12"/>
      <c r="W265" s="12"/>
      <c r="X265" s="12"/>
      <c r="Y265" s="12"/>
      <c r="Z265" s="12"/>
    </row>
    <row r="266" spans="1:26" ht="15.75" customHeight="1" x14ac:dyDescent="0.25">
      <c r="A266" s="12"/>
      <c r="B266" s="12"/>
      <c r="C266" s="12"/>
      <c r="D266" s="12"/>
      <c r="E266" s="13"/>
      <c r="F266" s="12"/>
      <c r="G266" s="12"/>
      <c r="H266" s="12"/>
      <c r="I266" s="12"/>
      <c r="J266" s="12"/>
      <c r="K266" s="12"/>
      <c r="L266" s="12"/>
      <c r="M266" s="12"/>
      <c r="N266" s="12"/>
      <c r="O266" s="12"/>
      <c r="P266" s="12"/>
      <c r="Q266" s="12"/>
      <c r="R266" s="12"/>
      <c r="S266" s="12"/>
      <c r="T266" s="12"/>
      <c r="U266" s="12"/>
      <c r="V266" s="12"/>
      <c r="W266" s="12"/>
      <c r="X266" s="12"/>
      <c r="Y266" s="12"/>
      <c r="Z266" s="12"/>
    </row>
    <row r="267" spans="1:26" ht="15.75" customHeight="1" x14ac:dyDescent="0.25">
      <c r="A267" s="12"/>
      <c r="B267" s="12"/>
      <c r="C267" s="12"/>
      <c r="D267" s="12"/>
      <c r="E267" s="13"/>
      <c r="F267" s="12"/>
      <c r="G267" s="12"/>
      <c r="H267" s="12"/>
      <c r="I267" s="12"/>
      <c r="J267" s="12"/>
      <c r="K267" s="12"/>
      <c r="L267" s="12"/>
      <c r="M267" s="12"/>
      <c r="N267" s="12"/>
      <c r="O267" s="12"/>
      <c r="P267" s="12"/>
      <c r="Q267" s="12"/>
      <c r="R267" s="12"/>
      <c r="S267" s="12"/>
      <c r="T267" s="12"/>
      <c r="U267" s="12"/>
      <c r="V267" s="12"/>
      <c r="W267" s="12"/>
      <c r="X267" s="12"/>
      <c r="Y267" s="12"/>
      <c r="Z267" s="12"/>
    </row>
    <row r="268" spans="1:26" ht="15.75" customHeight="1" x14ac:dyDescent="0.25">
      <c r="A268" s="12"/>
      <c r="B268" s="12"/>
      <c r="C268" s="12"/>
      <c r="D268" s="12"/>
      <c r="E268" s="13"/>
      <c r="F268" s="12"/>
      <c r="G268" s="12"/>
      <c r="H268" s="12"/>
      <c r="I268" s="12"/>
      <c r="J268" s="12"/>
      <c r="K268" s="12"/>
      <c r="L268" s="12"/>
      <c r="M268" s="12"/>
      <c r="N268" s="12"/>
      <c r="O268" s="12"/>
      <c r="P268" s="12"/>
      <c r="Q268" s="12"/>
      <c r="R268" s="12"/>
      <c r="S268" s="12"/>
      <c r="T268" s="12"/>
      <c r="U268" s="12"/>
      <c r="V268" s="12"/>
      <c r="W268" s="12"/>
      <c r="X268" s="12"/>
      <c r="Y268" s="12"/>
      <c r="Z268" s="12"/>
    </row>
    <row r="269" spans="1:26" ht="15.75" customHeight="1" x14ac:dyDescent="0.25">
      <c r="A269" s="12"/>
      <c r="B269" s="12"/>
      <c r="C269" s="12"/>
      <c r="D269" s="12"/>
      <c r="E269" s="13"/>
      <c r="F269" s="12"/>
      <c r="G269" s="12"/>
      <c r="H269" s="12"/>
      <c r="I269" s="12"/>
      <c r="J269" s="12"/>
      <c r="K269" s="12"/>
      <c r="L269" s="12"/>
      <c r="M269" s="12"/>
      <c r="N269" s="12"/>
      <c r="O269" s="12"/>
      <c r="P269" s="12"/>
      <c r="Q269" s="12"/>
      <c r="R269" s="12"/>
      <c r="S269" s="12"/>
      <c r="T269" s="12"/>
      <c r="U269" s="12"/>
      <c r="V269" s="12"/>
      <c r="W269" s="12"/>
      <c r="X269" s="12"/>
      <c r="Y269" s="12"/>
      <c r="Z269" s="12"/>
    </row>
    <row r="270" spans="1:26" ht="15.75" customHeight="1" x14ac:dyDescent="0.25">
      <c r="A270" s="12"/>
      <c r="B270" s="12"/>
      <c r="C270" s="12"/>
      <c r="D270" s="12"/>
      <c r="E270" s="13"/>
      <c r="F270" s="12"/>
      <c r="G270" s="12"/>
      <c r="H270" s="12"/>
      <c r="I270" s="12"/>
      <c r="J270" s="12"/>
      <c r="K270" s="12"/>
      <c r="L270" s="12"/>
      <c r="M270" s="12"/>
      <c r="N270" s="12"/>
      <c r="O270" s="12"/>
      <c r="P270" s="12"/>
      <c r="Q270" s="12"/>
      <c r="R270" s="12"/>
      <c r="S270" s="12"/>
      <c r="T270" s="12"/>
      <c r="U270" s="12"/>
      <c r="V270" s="12"/>
      <c r="W270" s="12"/>
      <c r="X270" s="12"/>
      <c r="Y270" s="12"/>
      <c r="Z270" s="12"/>
    </row>
    <row r="271" spans="1:26" ht="15.75" customHeight="1" x14ac:dyDescent="0.25">
      <c r="A271" s="12"/>
      <c r="B271" s="12"/>
      <c r="C271" s="12"/>
      <c r="D271" s="12"/>
      <c r="E271" s="13"/>
      <c r="F271" s="12"/>
      <c r="G271" s="12"/>
      <c r="H271" s="12"/>
      <c r="I271" s="12"/>
      <c r="J271" s="12"/>
      <c r="K271" s="12"/>
      <c r="L271" s="12"/>
      <c r="M271" s="12"/>
      <c r="N271" s="12"/>
      <c r="O271" s="12"/>
      <c r="P271" s="12"/>
      <c r="Q271" s="12"/>
      <c r="R271" s="12"/>
      <c r="S271" s="12"/>
      <c r="T271" s="12"/>
      <c r="U271" s="12"/>
      <c r="V271" s="12"/>
      <c r="W271" s="12"/>
      <c r="X271" s="12"/>
      <c r="Y271" s="12"/>
      <c r="Z271" s="12"/>
    </row>
    <row r="272" spans="1:26" ht="15.75" customHeight="1" x14ac:dyDescent="0.25">
      <c r="A272" s="12"/>
      <c r="B272" s="12"/>
      <c r="C272" s="12"/>
      <c r="D272" s="12"/>
      <c r="E272" s="13"/>
      <c r="F272" s="12"/>
      <c r="G272" s="12"/>
      <c r="H272" s="12"/>
      <c r="I272" s="12"/>
      <c r="J272" s="12"/>
      <c r="K272" s="12"/>
      <c r="L272" s="12"/>
      <c r="M272" s="12"/>
      <c r="N272" s="12"/>
      <c r="O272" s="12"/>
      <c r="P272" s="12"/>
      <c r="Q272" s="12"/>
      <c r="R272" s="12"/>
      <c r="S272" s="12"/>
      <c r="T272" s="12"/>
      <c r="U272" s="12"/>
      <c r="V272" s="12"/>
      <c r="W272" s="12"/>
      <c r="X272" s="12"/>
      <c r="Y272" s="12"/>
      <c r="Z272" s="12"/>
    </row>
    <row r="273" spans="1:26" ht="15.75" customHeight="1" x14ac:dyDescent="0.25">
      <c r="A273" s="12"/>
      <c r="B273" s="12"/>
      <c r="C273" s="12"/>
      <c r="D273" s="12"/>
      <c r="E273" s="13"/>
      <c r="F273" s="12"/>
      <c r="G273" s="12"/>
      <c r="H273" s="12"/>
      <c r="I273" s="12"/>
      <c r="J273" s="12"/>
      <c r="K273" s="12"/>
      <c r="L273" s="12"/>
      <c r="M273" s="12"/>
      <c r="N273" s="12"/>
      <c r="O273" s="12"/>
      <c r="P273" s="12"/>
      <c r="Q273" s="12"/>
      <c r="R273" s="12"/>
      <c r="S273" s="12"/>
      <c r="T273" s="12"/>
      <c r="U273" s="12"/>
      <c r="V273" s="12"/>
      <c r="W273" s="12"/>
      <c r="X273" s="12"/>
      <c r="Y273" s="12"/>
      <c r="Z273" s="12"/>
    </row>
    <row r="274" spans="1:26" ht="15.75" customHeight="1" x14ac:dyDescent="0.25">
      <c r="A274" s="12"/>
      <c r="B274" s="12"/>
      <c r="C274" s="12"/>
      <c r="D274" s="12"/>
      <c r="E274" s="13"/>
      <c r="F274" s="12"/>
      <c r="G274" s="12"/>
      <c r="H274" s="12"/>
      <c r="I274" s="12"/>
      <c r="J274" s="12"/>
      <c r="K274" s="12"/>
      <c r="L274" s="12"/>
      <c r="M274" s="12"/>
      <c r="N274" s="12"/>
      <c r="O274" s="12"/>
      <c r="P274" s="12"/>
      <c r="Q274" s="12"/>
      <c r="R274" s="12"/>
      <c r="S274" s="12"/>
      <c r="T274" s="12"/>
      <c r="U274" s="12"/>
      <c r="V274" s="12"/>
      <c r="W274" s="12"/>
      <c r="X274" s="12"/>
      <c r="Y274" s="12"/>
      <c r="Z274" s="12"/>
    </row>
    <row r="275" spans="1:26" ht="15.75" customHeight="1" x14ac:dyDescent="0.25">
      <c r="A275" s="12"/>
      <c r="B275" s="12"/>
      <c r="C275" s="12"/>
      <c r="D275" s="12"/>
      <c r="E275" s="13"/>
      <c r="F275" s="12"/>
      <c r="G275" s="12"/>
      <c r="H275" s="12"/>
      <c r="I275" s="12"/>
      <c r="J275" s="12"/>
      <c r="K275" s="12"/>
      <c r="L275" s="12"/>
      <c r="M275" s="12"/>
      <c r="N275" s="12"/>
      <c r="O275" s="12"/>
      <c r="P275" s="12"/>
      <c r="Q275" s="12"/>
      <c r="R275" s="12"/>
      <c r="S275" s="12"/>
      <c r="T275" s="12"/>
      <c r="U275" s="12"/>
      <c r="V275" s="12"/>
      <c r="W275" s="12"/>
      <c r="X275" s="12"/>
      <c r="Y275" s="12"/>
      <c r="Z275" s="12"/>
    </row>
    <row r="276" spans="1:26" ht="15.75" customHeight="1" x14ac:dyDescent="0.25">
      <c r="A276" s="12"/>
      <c r="B276" s="12"/>
      <c r="C276" s="12"/>
      <c r="D276" s="12"/>
      <c r="E276" s="13"/>
      <c r="F276" s="12"/>
      <c r="G276" s="12"/>
      <c r="H276" s="12"/>
      <c r="I276" s="12"/>
      <c r="J276" s="12"/>
      <c r="K276" s="12"/>
      <c r="L276" s="12"/>
      <c r="M276" s="12"/>
      <c r="N276" s="12"/>
      <c r="O276" s="12"/>
      <c r="P276" s="12"/>
      <c r="Q276" s="12"/>
      <c r="R276" s="12"/>
      <c r="S276" s="12"/>
      <c r="T276" s="12"/>
      <c r="U276" s="12"/>
      <c r="V276" s="12"/>
      <c r="W276" s="12"/>
      <c r="X276" s="12"/>
      <c r="Y276" s="12"/>
      <c r="Z276" s="12"/>
    </row>
    <row r="277" spans="1:26" ht="15.75" customHeight="1" x14ac:dyDescent="0.25">
      <c r="A277" s="12"/>
      <c r="B277" s="12"/>
      <c r="C277" s="12"/>
      <c r="D277" s="12"/>
      <c r="E277" s="13"/>
      <c r="F277" s="12"/>
      <c r="G277" s="12"/>
      <c r="H277" s="12"/>
      <c r="I277" s="12"/>
      <c r="J277" s="12"/>
      <c r="K277" s="12"/>
      <c r="L277" s="12"/>
      <c r="M277" s="12"/>
      <c r="N277" s="12"/>
      <c r="O277" s="12"/>
      <c r="P277" s="12"/>
      <c r="Q277" s="12"/>
      <c r="R277" s="12"/>
      <c r="S277" s="12"/>
      <c r="T277" s="12"/>
      <c r="U277" s="12"/>
      <c r="V277" s="12"/>
      <c r="W277" s="12"/>
      <c r="X277" s="12"/>
      <c r="Y277" s="12"/>
      <c r="Z277" s="12"/>
    </row>
    <row r="278" spans="1:26" ht="15.75" customHeight="1" x14ac:dyDescent="0.25">
      <c r="A278" s="12"/>
      <c r="B278" s="12"/>
      <c r="C278" s="12"/>
      <c r="D278" s="12"/>
      <c r="E278" s="13"/>
      <c r="F278" s="12"/>
      <c r="G278" s="12"/>
      <c r="H278" s="12"/>
      <c r="I278" s="12"/>
      <c r="J278" s="12"/>
      <c r="K278" s="12"/>
      <c r="L278" s="12"/>
      <c r="M278" s="12"/>
      <c r="N278" s="12"/>
      <c r="O278" s="12"/>
      <c r="P278" s="12"/>
      <c r="Q278" s="12"/>
      <c r="R278" s="12"/>
      <c r="S278" s="12"/>
      <c r="T278" s="12"/>
      <c r="U278" s="12"/>
      <c r="V278" s="12"/>
      <c r="W278" s="12"/>
      <c r="X278" s="12"/>
      <c r="Y278" s="12"/>
      <c r="Z278" s="12"/>
    </row>
    <row r="279" spans="1:26" ht="15.75" customHeight="1" x14ac:dyDescent="0.25">
      <c r="A279" s="12"/>
      <c r="B279" s="12"/>
      <c r="C279" s="12"/>
      <c r="D279" s="12"/>
      <c r="E279" s="13"/>
      <c r="F279" s="12"/>
      <c r="G279" s="12"/>
      <c r="H279" s="12"/>
      <c r="I279" s="12"/>
      <c r="J279" s="12"/>
      <c r="K279" s="12"/>
      <c r="L279" s="12"/>
      <c r="M279" s="12"/>
      <c r="N279" s="12"/>
      <c r="O279" s="12"/>
      <c r="P279" s="12"/>
      <c r="Q279" s="12"/>
      <c r="R279" s="12"/>
      <c r="S279" s="12"/>
      <c r="T279" s="12"/>
      <c r="U279" s="12"/>
      <c r="V279" s="12"/>
      <c r="W279" s="12"/>
      <c r="X279" s="12"/>
      <c r="Y279" s="12"/>
      <c r="Z279" s="12"/>
    </row>
    <row r="280" spans="1:26" ht="15.75" customHeight="1" x14ac:dyDescent="0.25">
      <c r="A280" s="12"/>
      <c r="B280" s="12"/>
      <c r="C280" s="12"/>
      <c r="D280" s="12"/>
      <c r="E280" s="13"/>
      <c r="F280" s="12"/>
      <c r="G280" s="12"/>
      <c r="H280" s="12"/>
      <c r="I280" s="12"/>
      <c r="J280" s="12"/>
      <c r="K280" s="12"/>
      <c r="L280" s="12"/>
      <c r="M280" s="12"/>
      <c r="N280" s="12"/>
      <c r="O280" s="12"/>
      <c r="P280" s="12"/>
      <c r="Q280" s="12"/>
      <c r="R280" s="12"/>
      <c r="S280" s="12"/>
      <c r="T280" s="12"/>
      <c r="U280" s="12"/>
      <c r="V280" s="12"/>
      <c r="W280" s="12"/>
      <c r="X280" s="12"/>
      <c r="Y280" s="12"/>
      <c r="Z280" s="12"/>
    </row>
    <row r="281" spans="1:26" ht="15.75" customHeight="1" x14ac:dyDescent="0.25">
      <c r="A281" s="12"/>
      <c r="B281" s="12"/>
      <c r="C281" s="12"/>
      <c r="D281" s="12"/>
      <c r="E281" s="13"/>
      <c r="F281" s="12"/>
      <c r="G281" s="12"/>
      <c r="H281" s="12"/>
      <c r="I281" s="12"/>
      <c r="J281" s="12"/>
      <c r="K281" s="12"/>
      <c r="L281" s="12"/>
      <c r="M281" s="12"/>
      <c r="N281" s="12"/>
      <c r="O281" s="12"/>
      <c r="P281" s="12"/>
      <c r="Q281" s="12"/>
      <c r="R281" s="12"/>
      <c r="S281" s="12"/>
      <c r="T281" s="12"/>
      <c r="U281" s="12"/>
      <c r="V281" s="12"/>
      <c r="W281" s="12"/>
      <c r="X281" s="12"/>
      <c r="Y281" s="12"/>
      <c r="Z281" s="12"/>
    </row>
    <row r="282" spans="1:26" ht="15.75" customHeight="1" x14ac:dyDescent="0.25">
      <c r="A282" s="12"/>
      <c r="B282" s="12"/>
      <c r="C282" s="12"/>
      <c r="D282" s="12"/>
      <c r="E282" s="13"/>
      <c r="F282" s="12"/>
      <c r="G282" s="12"/>
      <c r="H282" s="12"/>
      <c r="I282" s="12"/>
      <c r="J282" s="12"/>
      <c r="K282" s="12"/>
      <c r="L282" s="12"/>
      <c r="M282" s="12"/>
      <c r="N282" s="12"/>
      <c r="O282" s="12"/>
      <c r="P282" s="12"/>
      <c r="Q282" s="12"/>
      <c r="R282" s="12"/>
      <c r="S282" s="12"/>
      <c r="T282" s="12"/>
      <c r="U282" s="12"/>
      <c r="V282" s="12"/>
      <c r="W282" s="12"/>
      <c r="X282" s="12"/>
      <c r="Y282" s="12"/>
      <c r="Z282" s="12"/>
    </row>
    <row r="283" spans="1:26" ht="15.75" customHeight="1" x14ac:dyDescent="0.25">
      <c r="A283" s="12"/>
      <c r="B283" s="12"/>
      <c r="C283" s="12"/>
      <c r="D283" s="12"/>
      <c r="E283" s="13"/>
      <c r="F283" s="12"/>
      <c r="G283" s="12"/>
      <c r="H283" s="12"/>
      <c r="I283" s="12"/>
      <c r="J283" s="12"/>
      <c r="K283" s="12"/>
      <c r="L283" s="12"/>
      <c r="M283" s="12"/>
      <c r="N283" s="12"/>
      <c r="O283" s="12"/>
      <c r="P283" s="12"/>
      <c r="Q283" s="12"/>
      <c r="R283" s="12"/>
      <c r="S283" s="12"/>
      <c r="T283" s="12"/>
      <c r="U283" s="12"/>
      <c r="V283" s="12"/>
      <c r="W283" s="12"/>
      <c r="X283" s="12"/>
      <c r="Y283" s="12"/>
      <c r="Z283" s="12"/>
    </row>
    <row r="284" spans="1:26" ht="15.75" customHeight="1" x14ac:dyDescent="0.25">
      <c r="A284" s="12"/>
      <c r="B284" s="12"/>
      <c r="C284" s="12"/>
      <c r="D284" s="12"/>
      <c r="E284" s="13"/>
      <c r="F284" s="12"/>
      <c r="G284" s="12"/>
      <c r="H284" s="12"/>
      <c r="I284" s="12"/>
      <c r="J284" s="12"/>
      <c r="K284" s="12"/>
      <c r="L284" s="12"/>
      <c r="M284" s="12"/>
      <c r="N284" s="12"/>
      <c r="O284" s="12"/>
      <c r="P284" s="12"/>
      <c r="Q284" s="12"/>
      <c r="R284" s="12"/>
      <c r="S284" s="12"/>
      <c r="T284" s="12"/>
      <c r="U284" s="12"/>
      <c r="V284" s="12"/>
      <c r="W284" s="12"/>
      <c r="X284" s="12"/>
      <c r="Y284" s="12"/>
      <c r="Z284" s="12"/>
    </row>
    <row r="285" spans="1:26" ht="15.75" customHeight="1" x14ac:dyDescent="0.25">
      <c r="A285" s="12"/>
      <c r="B285" s="12"/>
      <c r="C285" s="12"/>
      <c r="D285" s="12"/>
      <c r="E285" s="13"/>
      <c r="F285" s="12"/>
      <c r="G285" s="12"/>
      <c r="H285" s="12"/>
      <c r="I285" s="12"/>
      <c r="J285" s="12"/>
      <c r="K285" s="12"/>
      <c r="L285" s="12"/>
      <c r="M285" s="12"/>
      <c r="N285" s="12"/>
      <c r="O285" s="12"/>
      <c r="P285" s="12"/>
      <c r="Q285" s="12"/>
      <c r="R285" s="12"/>
      <c r="S285" s="12"/>
      <c r="T285" s="12"/>
      <c r="U285" s="12"/>
      <c r="V285" s="12"/>
      <c r="W285" s="12"/>
      <c r="X285" s="12"/>
      <c r="Y285" s="12"/>
      <c r="Z285" s="12"/>
    </row>
    <row r="286" spans="1:26" ht="15.75" customHeight="1" x14ac:dyDescent="0.25">
      <c r="A286" s="12"/>
      <c r="B286" s="12"/>
      <c r="C286" s="12"/>
      <c r="D286" s="12"/>
      <c r="E286" s="13"/>
      <c r="F286" s="12"/>
      <c r="G286" s="12"/>
      <c r="H286" s="12"/>
      <c r="I286" s="12"/>
      <c r="J286" s="12"/>
      <c r="K286" s="12"/>
      <c r="L286" s="12"/>
      <c r="M286" s="12"/>
      <c r="N286" s="12"/>
      <c r="O286" s="12"/>
      <c r="P286" s="12"/>
      <c r="Q286" s="12"/>
      <c r="R286" s="12"/>
      <c r="S286" s="12"/>
      <c r="T286" s="12"/>
      <c r="U286" s="12"/>
      <c r="V286" s="12"/>
      <c r="W286" s="12"/>
      <c r="X286" s="12"/>
      <c r="Y286" s="12"/>
      <c r="Z286" s="12"/>
    </row>
    <row r="287" spans="1:26" ht="15.75" customHeight="1" x14ac:dyDescent="0.25">
      <c r="A287" s="12"/>
      <c r="B287" s="12"/>
      <c r="C287" s="12"/>
      <c r="D287" s="12"/>
      <c r="E287" s="13"/>
      <c r="F287" s="12"/>
      <c r="G287" s="12"/>
      <c r="H287" s="12"/>
      <c r="I287" s="12"/>
      <c r="J287" s="12"/>
      <c r="K287" s="12"/>
      <c r="L287" s="12"/>
      <c r="M287" s="12"/>
      <c r="N287" s="12"/>
      <c r="O287" s="12"/>
      <c r="P287" s="12"/>
      <c r="Q287" s="12"/>
      <c r="R287" s="12"/>
      <c r="S287" s="12"/>
      <c r="T287" s="12"/>
      <c r="U287" s="12"/>
      <c r="V287" s="12"/>
      <c r="W287" s="12"/>
      <c r="X287" s="12"/>
      <c r="Y287" s="12"/>
      <c r="Z287" s="12"/>
    </row>
    <row r="288" spans="1:26" ht="15.75" customHeight="1" x14ac:dyDescent="0.25">
      <c r="A288" s="12"/>
      <c r="B288" s="12"/>
      <c r="C288" s="12"/>
      <c r="D288" s="12"/>
      <c r="E288" s="13"/>
      <c r="F288" s="12"/>
      <c r="G288" s="12"/>
      <c r="H288" s="12"/>
      <c r="I288" s="12"/>
      <c r="J288" s="12"/>
      <c r="K288" s="12"/>
      <c r="L288" s="12"/>
      <c r="M288" s="12"/>
      <c r="N288" s="12"/>
      <c r="O288" s="12"/>
      <c r="P288" s="12"/>
      <c r="Q288" s="12"/>
      <c r="R288" s="12"/>
      <c r="S288" s="12"/>
      <c r="T288" s="12"/>
      <c r="U288" s="12"/>
      <c r="V288" s="12"/>
      <c r="W288" s="12"/>
      <c r="X288" s="12"/>
      <c r="Y288" s="12"/>
      <c r="Z288" s="12"/>
    </row>
    <row r="289" spans="1:26" ht="15.75" customHeight="1" x14ac:dyDescent="0.25">
      <c r="A289" s="12"/>
      <c r="B289" s="12"/>
      <c r="C289" s="12"/>
      <c r="D289" s="12"/>
      <c r="E289" s="13"/>
      <c r="F289" s="12"/>
      <c r="G289" s="12"/>
      <c r="H289" s="12"/>
      <c r="I289" s="12"/>
      <c r="J289" s="12"/>
      <c r="K289" s="12"/>
      <c r="L289" s="12"/>
      <c r="M289" s="12"/>
      <c r="N289" s="12"/>
      <c r="O289" s="12"/>
      <c r="P289" s="12"/>
      <c r="Q289" s="12"/>
      <c r="R289" s="12"/>
      <c r="S289" s="12"/>
      <c r="T289" s="12"/>
      <c r="U289" s="12"/>
      <c r="V289" s="12"/>
      <c r="W289" s="12"/>
      <c r="X289" s="12"/>
      <c r="Y289" s="12"/>
      <c r="Z289" s="12"/>
    </row>
    <row r="290" spans="1:26" ht="15.75" customHeight="1" x14ac:dyDescent="0.25">
      <c r="A290" s="12"/>
      <c r="B290" s="12"/>
      <c r="C290" s="12"/>
      <c r="D290" s="12"/>
      <c r="E290" s="13"/>
      <c r="F290" s="12"/>
      <c r="G290" s="12"/>
      <c r="H290" s="12"/>
      <c r="I290" s="12"/>
      <c r="J290" s="12"/>
      <c r="K290" s="12"/>
      <c r="L290" s="12"/>
      <c r="M290" s="12"/>
      <c r="N290" s="12"/>
      <c r="O290" s="12"/>
      <c r="P290" s="12"/>
      <c r="Q290" s="12"/>
      <c r="R290" s="12"/>
      <c r="S290" s="12"/>
      <c r="T290" s="12"/>
      <c r="U290" s="12"/>
      <c r="V290" s="12"/>
      <c r="W290" s="12"/>
      <c r="X290" s="12"/>
      <c r="Y290" s="12"/>
      <c r="Z290" s="12"/>
    </row>
    <row r="291" spans="1:26" ht="15.75" customHeight="1" x14ac:dyDescent="0.25">
      <c r="A291" s="12"/>
      <c r="B291" s="12"/>
      <c r="C291" s="12"/>
      <c r="D291" s="12"/>
      <c r="E291" s="13"/>
      <c r="F291" s="12"/>
      <c r="G291" s="12"/>
      <c r="H291" s="12"/>
      <c r="I291" s="12"/>
      <c r="J291" s="12"/>
      <c r="K291" s="12"/>
      <c r="L291" s="12"/>
      <c r="M291" s="12"/>
      <c r="N291" s="12"/>
      <c r="O291" s="12"/>
      <c r="P291" s="12"/>
      <c r="Q291" s="12"/>
      <c r="R291" s="12"/>
      <c r="S291" s="12"/>
      <c r="T291" s="12"/>
      <c r="U291" s="12"/>
      <c r="V291" s="12"/>
      <c r="W291" s="12"/>
      <c r="X291" s="12"/>
      <c r="Y291" s="12"/>
      <c r="Z291" s="12"/>
    </row>
    <row r="292" spans="1:26" ht="15.75" customHeight="1" x14ac:dyDescent="0.25">
      <c r="A292" s="12"/>
      <c r="B292" s="12"/>
      <c r="C292" s="12"/>
      <c r="D292" s="12"/>
      <c r="E292" s="13"/>
      <c r="F292" s="12"/>
      <c r="G292" s="12"/>
      <c r="H292" s="12"/>
      <c r="I292" s="12"/>
      <c r="J292" s="12"/>
      <c r="K292" s="12"/>
      <c r="L292" s="12"/>
      <c r="M292" s="12"/>
      <c r="N292" s="12"/>
      <c r="O292" s="12"/>
      <c r="P292" s="12"/>
      <c r="Q292" s="12"/>
      <c r="R292" s="12"/>
      <c r="S292" s="12"/>
      <c r="T292" s="12"/>
      <c r="U292" s="12"/>
      <c r="V292" s="12"/>
      <c r="W292" s="12"/>
      <c r="X292" s="12"/>
      <c r="Y292" s="12"/>
      <c r="Z292" s="12"/>
    </row>
    <row r="293" spans="1:26" ht="15.75" customHeight="1" x14ac:dyDescent="0.25">
      <c r="A293" s="12"/>
      <c r="B293" s="12"/>
      <c r="C293" s="12"/>
      <c r="D293" s="12"/>
      <c r="E293" s="13"/>
      <c r="F293" s="12"/>
      <c r="G293" s="12"/>
      <c r="H293" s="12"/>
      <c r="I293" s="12"/>
      <c r="J293" s="12"/>
      <c r="K293" s="12"/>
      <c r="L293" s="12"/>
      <c r="M293" s="12"/>
      <c r="N293" s="12"/>
      <c r="O293" s="12"/>
      <c r="P293" s="12"/>
      <c r="Q293" s="12"/>
      <c r="R293" s="12"/>
      <c r="S293" s="12"/>
      <c r="T293" s="12"/>
      <c r="U293" s="12"/>
      <c r="V293" s="12"/>
      <c r="W293" s="12"/>
      <c r="X293" s="12"/>
      <c r="Y293" s="12"/>
      <c r="Z293" s="12"/>
    </row>
    <row r="294" spans="1:26" ht="15.75" customHeight="1" x14ac:dyDescent="0.25">
      <c r="A294" s="12"/>
      <c r="B294" s="12"/>
      <c r="C294" s="12"/>
      <c r="D294" s="12"/>
      <c r="E294" s="13"/>
      <c r="F294" s="12"/>
      <c r="G294" s="12"/>
      <c r="H294" s="12"/>
      <c r="I294" s="12"/>
      <c r="J294" s="12"/>
      <c r="K294" s="12"/>
      <c r="L294" s="12"/>
      <c r="M294" s="12"/>
      <c r="N294" s="12"/>
      <c r="O294" s="12"/>
      <c r="P294" s="12"/>
      <c r="Q294" s="12"/>
      <c r="R294" s="12"/>
      <c r="S294" s="12"/>
      <c r="T294" s="12"/>
      <c r="U294" s="12"/>
      <c r="V294" s="12"/>
      <c r="W294" s="12"/>
      <c r="X294" s="12"/>
      <c r="Y294" s="12"/>
      <c r="Z294" s="12"/>
    </row>
    <row r="295" spans="1:26" ht="15.75" customHeight="1" x14ac:dyDescent="0.25">
      <c r="A295" s="12"/>
      <c r="B295" s="12"/>
      <c r="C295" s="12"/>
      <c r="D295" s="12"/>
      <c r="E295" s="13"/>
      <c r="F295" s="12"/>
      <c r="G295" s="12"/>
      <c r="H295" s="12"/>
      <c r="I295" s="12"/>
      <c r="J295" s="12"/>
      <c r="K295" s="12"/>
      <c r="L295" s="12"/>
      <c r="M295" s="12"/>
      <c r="N295" s="12"/>
      <c r="O295" s="12"/>
      <c r="P295" s="12"/>
      <c r="Q295" s="12"/>
      <c r="R295" s="12"/>
      <c r="S295" s="12"/>
      <c r="T295" s="12"/>
      <c r="U295" s="12"/>
      <c r="V295" s="12"/>
      <c r="W295" s="12"/>
      <c r="X295" s="12"/>
      <c r="Y295" s="12"/>
      <c r="Z295" s="12"/>
    </row>
    <row r="296" spans="1:26" ht="15.75" customHeight="1" x14ac:dyDescent="0.25">
      <c r="A296" s="12"/>
      <c r="B296" s="12"/>
      <c r="C296" s="12"/>
      <c r="D296" s="12"/>
      <c r="E296" s="13"/>
      <c r="F296" s="12"/>
      <c r="G296" s="12"/>
      <c r="H296" s="12"/>
      <c r="I296" s="12"/>
      <c r="J296" s="12"/>
      <c r="K296" s="12"/>
      <c r="L296" s="12"/>
      <c r="M296" s="12"/>
      <c r="N296" s="12"/>
      <c r="O296" s="12"/>
      <c r="P296" s="12"/>
      <c r="Q296" s="12"/>
      <c r="R296" s="12"/>
      <c r="S296" s="12"/>
      <c r="T296" s="12"/>
      <c r="U296" s="12"/>
      <c r="V296" s="12"/>
      <c r="W296" s="12"/>
      <c r="X296" s="12"/>
      <c r="Y296" s="12"/>
      <c r="Z296" s="12"/>
    </row>
    <row r="297" spans="1:26" ht="15.75" customHeight="1" x14ac:dyDescent="0.25">
      <c r="A297" s="12"/>
      <c r="B297" s="12"/>
      <c r="C297" s="12"/>
      <c r="D297" s="12"/>
      <c r="E297" s="13"/>
      <c r="F297" s="12"/>
      <c r="G297" s="12"/>
      <c r="H297" s="12"/>
      <c r="I297" s="12"/>
      <c r="J297" s="12"/>
      <c r="K297" s="12"/>
      <c r="L297" s="12"/>
      <c r="M297" s="12"/>
      <c r="N297" s="12"/>
      <c r="O297" s="12"/>
      <c r="P297" s="12"/>
      <c r="Q297" s="12"/>
      <c r="R297" s="12"/>
      <c r="S297" s="12"/>
      <c r="T297" s="12"/>
      <c r="U297" s="12"/>
      <c r="V297" s="12"/>
      <c r="W297" s="12"/>
      <c r="X297" s="12"/>
      <c r="Y297" s="12"/>
      <c r="Z297" s="12"/>
    </row>
    <row r="298" spans="1:26" ht="15.75" customHeight="1" x14ac:dyDescent="0.25">
      <c r="A298" s="12"/>
      <c r="B298" s="12"/>
      <c r="C298" s="12"/>
      <c r="D298" s="12"/>
      <c r="E298" s="13"/>
      <c r="F298" s="12"/>
      <c r="G298" s="12"/>
      <c r="H298" s="12"/>
      <c r="I298" s="12"/>
      <c r="J298" s="12"/>
      <c r="K298" s="12"/>
      <c r="L298" s="12"/>
      <c r="M298" s="12"/>
      <c r="N298" s="12"/>
      <c r="O298" s="12"/>
      <c r="P298" s="12"/>
      <c r="Q298" s="12"/>
      <c r="R298" s="12"/>
      <c r="S298" s="12"/>
      <c r="T298" s="12"/>
      <c r="U298" s="12"/>
      <c r="V298" s="12"/>
      <c r="W298" s="12"/>
      <c r="X298" s="12"/>
      <c r="Y298" s="12"/>
      <c r="Z298" s="12"/>
    </row>
    <row r="299" spans="1:26" ht="15.75" customHeight="1" x14ac:dyDescent="0.25">
      <c r="A299" s="12"/>
      <c r="B299" s="12"/>
      <c r="C299" s="12"/>
      <c r="D299" s="12"/>
      <c r="E299" s="13"/>
      <c r="F299" s="12"/>
      <c r="G299" s="12"/>
      <c r="H299" s="12"/>
      <c r="I299" s="12"/>
      <c r="J299" s="12"/>
      <c r="K299" s="12"/>
      <c r="L299" s="12"/>
      <c r="M299" s="12"/>
      <c r="N299" s="12"/>
      <c r="O299" s="12"/>
      <c r="P299" s="12"/>
      <c r="Q299" s="12"/>
      <c r="R299" s="12"/>
      <c r="S299" s="12"/>
      <c r="T299" s="12"/>
      <c r="U299" s="12"/>
      <c r="V299" s="12"/>
      <c r="W299" s="12"/>
      <c r="X299" s="12"/>
      <c r="Y299" s="12"/>
      <c r="Z299" s="12"/>
    </row>
    <row r="300" spans="1:26" ht="15.75" customHeight="1" x14ac:dyDescent="0.25">
      <c r="A300" s="12"/>
      <c r="B300" s="12"/>
      <c r="C300" s="12"/>
      <c r="D300" s="12"/>
      <c r="E300" s="13"/>
      <c r="F300" s="12"/>
      <c r="G300" s="12"/>
      <c r="H300" s="12"/>
      <c r="I300" s="12"/>
      <c r="J300" s="12"/>
      <c r="K300" s="12"/>
      <c r="L300" s="12"/>
      <c r="M300" s="12"/>
      <c r="N300" s="12"/>
      <c r="O300" s="12"/>
      <c r="P300" s="12"/>
      <c r="Q300" s="12"/>
      <c r="R300" s="12"/>
      <c r="S300" s="12"/>
      <c r="T300" s="12"/>
      <c r="U300" s="12"/>
      <c r="V300" s="12"/>
      <c r="W300" s="12"/>
      <c r="X300" s="12"/>
      <c r="Y300" s="12"/>
      <c r="Z300" s="12"/>
    </row>
    <row r="301" spans="1:26" ht="15.75" customHeight="1" x14ac:dyDescent="0.25">
      <c r="A301" s="12"/>
      <c r="B301" s="12"/>
      <c r="C301" s="12"/>
      <c r="D301" s="12"/>
      <c r="E301" s="13"/>
      <c r="F301" s="12"/>
      <c r="G301" s="12"/>
      <c r="H301" s="12"/>
      <c r="I301" s="12"/>
      <c r="J301" s="12"/>
      <c r="K301" s="12"/>
      <c r="L301" s="12"/>
      <c r="M301" s="12"/>
      <c r="N301" s="12"/>
      <c r="O301" s="12"/>
      <c r="P301" s="12"/>
      <c r="Q301" s="12"/>
      <c r="R301" s="12"/>
      <c r="S301" s="12"/>
      <c r="T301" s="12"/>
      <c r="U301" s="12"/>
      <c r="V301" s="12"/>
      <c r="W301" s="12"/>
      <c r="X301" s="12"/>
      <c r="Y301" s="12"/>
      <c r="Z301" s="12"/>
    </row>
    <row r="302" spans="1:26" ht="15.75" customHeight="1" x14ac:dyDescent="0.25">
      <c r="A302" s="12"/>
      <c r="B302" s="12"/>
      <c r="C302" s="12"/>
      <c r="D302" s="12"/>
      <c r="E302" s="13"/>
      <c r="F302" s="12"/>
      <c r="G302" s="12"/>
      <c r="H302" s="12"/>
      <c r="I302" s="12"/>
      <c r="J302" s="12"/>
      <c r="K302" s="12"/>
      <c r="L302" s="12"/>
      <c r="M302" s="12"/>
      <c r="N302" s="12"/>
      <c r="O302" s="12"/>
      <c r="P302" s="12"/>
      <c r="Q302" s="12"/>
      <c r="R302" s="12"/>
      <c r="S302" s="12"/>
      <c r="T302" s="12"/>
      <c r="U302" s="12"/>
      <c r="V302" s="12"/>
      <c r="W302" s="12"/>
      <c r="X302" s="12"/>
      <c r="Y302" s="12"/>
      <c r="Z302" s="12"/>
    </row>
    <row r="303" spans="1:26" ht="15.75" customHeight="1" x14ac:dyDescent="0.25">
      <c r="A303" s="12"/>
      <c r="B303" s="12"/>
      <c r="C303" s="12"/>
      <c r="D303" s="12"/>
      <c r="E303" s="13"/>
      <c r="F303" s="12"/>
      <c r="G303" s="12"/>
      <c r="H303" s="12"/>
      <c r="I303" s="12"/>
      <c r="J303" s="12"/>
      <c r="K303" s="12"/>
      <c r="L303" s="12"/>
      <c r="M303" s="12"/>
      <c r="N303" s="12"/>
      <c r="O303" s="12"/>
      <c r="P303" s="12"/>
      <c r="Q303" s="12"/>
      <c r="R303" s="12"/>
      <c r="S303" s="12"/>
      <c r="T303" s="12"/>
      <c r="U303" s="12"/>
      <c r="V303" s="12"/>
      <c r="W303" s="12"/>
      <c r="X303" s="12"/>
      <c r="Y303" s="12"/>
      <c r="Z303" s="12"/>
    </row>
    <row r="304" spans="1:26" ht="15.75" customHeight="1" x14ac:dyDescent="0.25">
      <c r="A304" s="12"/>
      <c r="B304" s="12"/>
      <c r="C304" s="12"/>
      <c r="D304" s="12"/>
      <c r="E304" s="13"/>
      <c r="F304" s="12"/>
      <c r="G304" s="12"/>
      <c r="H304" s="12"/>
      <c r="I304" s="12"/>
      <c r="J304" s="12"/>
      <c r="K304" s="12"/>
      <c r="L304" s="12"/>
      <c r="M304" s="12"/>
      <c r="N304" s="12"/>
      <c r="O304" s="12"/>
      <c r="P304" s="12"/>
      <c r="Q304" s="12"/>
      <c r="R304" s="12"/>
      <c r="S304" s="12"/>
      <c r="T304" s="12"/>
      <c r="U304" s="12"/>
      <c r="V304" s="12"/>
      <c r="W304" s="12"/>
      <c r="X304" s="12"/>
      <c r="Y304" s="12"/>
      <c r="Z304" s="12"/>
    </row>
    <row r="305" spans="1:26" ht="15.75" customHeight="1" x14ac:dyDescent="0.25">
      <c r="A305" s="12"/>
      <c r="B305" s="12"/>
      <c r="C305" s="12"/>
      <c r="D305" s="12"/>
      <c r="E305" s="13"/>
      <c r="F305" s="12"/>
      <c r="G305" s="12"/>
      <c r="H305" s="12"/>
      <c r="I305" s="12"/>
      <c r="J305" s="12"/>
      <c r="K305" s="12"/>
      <c r="L305" s="12"/>
      <c r="M305" s="12"/>
      <c r="N305" s="12"/>
      <c r="O305" s="12"/>
      <c r="P305" s="12"/>
      <c r="Q305" s="12"/>
      <c r="R305" s="12"/>
      <c r="S305" s="12"/>
      <c r="T305" s="12"/>
      <c r="U305" s="12"/>
      <c r="V305" s="12"/>
      <c r="W305" s="12"/>
      <c r="X305" s="12"/>
      <c r="Y305" s="12"/>
      <c r="Z305" s="12"/>
    </row>
    <row r="306" spans="1:26" ht="15.75" customHeight="1" x14ac:dyDescent="0.25">
      <c r="A306" s="12"/>
      <c r="B306" s="12"/>
      <c r="C306" s="12"/>
      <c r="D306" s="12"/>
      <c r="E306" s="13"/>
      <c r="F306" s="12"/>
      <c r="G306" s="12"/>
      <c r="H306" s="12"/>
      <c r="I306" s="12"/>
      <c r="J306" s="12"/>
      <c r="K306" s="12"/>
      <c r="L306" s="12"/>
      <c r="M306" s="12"/>
      <c r="N306" s="12"/>
      <c r="O306" s="12"/>
      <c r="P306" s="12"/>
      <c r="Q306" s="12"/>
      <c r="R306" s="12"/>
      <c r="S306" s="12"/>
      <c r="T306" s="12"/>
      <c r="U306" s="12"/>
      <c r="V306" s="12"/>
      <c r="W306" s="12"/>
      <c r="X306" s="12"/>
      <c r="Y306" s="12"/>
      <c r="Z306" s="12"/>
    </row>
    <row r="307" spans="1:26" ht="15.75" customHeight="1" x14ac:dyDescent="0.25">
      <c r="A307" s="12"/>
      <c r="B307" s="12"/>
      <c r="C307" s="12"/>
      <c r="D307" s="12"/>
      <c r="E307" s="13"/>
      <c r="F307" s="12"/>
      <c r="G307" s="12"/>
      <c r="H307" s="12"/>
      <c r="I307" s="12"/>
      <c r="J307" s="12"/>
      <c r="K307" s="12"/>
      <c r="L307" s="12"/>
      <c r="M307" s="12"/>
      <c r="N307" s="12"/>
      <c r="O307" s="12"/>
      <c r="P307" s="12"/>
      <c r="Q307" s="12"/>
      <c r="R307" s="12"/>
      <c r="S307" s="12"/>
      <c r="T307" s="12"/>
      <c r="U307" s="12"/>
      <c r="V307" s="12"/>
      <c r="W307" s="12"/>
      <c r="X307" s="12"/>
      <c r="Y307" s="12"/>
      <c r="Z307" s="12"/>
    </row>
    <row r="308" spans="1:26" ht="15.75" customHeight="1" x14ac:dyDescent="0.25">
      <c r="A308" s="12"/>
      <c r="B308" s="12"/>
      <c r="C308" s="12"/>
      <c r="D308" s="12"/>
      <c r="E308" s="13"/>
      <c r="F308" s="12"/>
      <c r="G308" s="12"/>
      <c r="H308" s="12"/>
      <c r="I308" s="12"/>
      <c r="J308" s="12"/>
      <c r="K308" s="12"/>
      <c r="L308" s="12"/>
      <c r="M308" s="12"/>
      <c r="N308" s="12"/>
      <c r="O308" s="12"/>
      <c r="P308" s="12"/>
      <c r="Q308" s="12"/>
      <c r="R308" s="12"/>
      <c r="S308" s="12"/>
      <c r="T308" s="12"/>
      <c r="U308" s="12"/>
      <c r="V308" s="12"/>
      <c r="W308" s="12"/>
      <c r="X308" s="12"/>
      <c r="Y308" s="12"/>
      <c r="Z308" s="12"/>
    </row>
    <row r="309" spans="1:26" ht="15.75" customHeight="1" x14ac:dyDescent="0.25">
      <c r="A309" s="12"/>
      <c r="B309" s="12"/>
      <c r="C309" s="12"/>
      <c r="D309" s="12"/>
      <c r="E309" s="13"/>
      <c r="F309" s="12"/>
      <c r="G309" s="12"/>
      <c r="H309" s="12"/>
      <c r="I309" s="12"/>
      <c r="J309" s="12"/>
      <c r="K309" s="12"/>
      <c r="L309" s="12"/>
      <c r="M309" s="12"/>
      <c r="N309" s="12"/>
      <c r="O309" s="12"/>
      <c r="P309" s="12"/>
      <c r="Q309" s="12"/>
      <c r="R309" s="12"/>
      <c r="S309" s="12"/>
      <c r="T309" s="12"/>
      <c r="U309" s="12"/>
      <c r="V309" s="12"/>
      <c r="W309" s="12"/>
      <c r="X309" s="12"/>
      <c r="Y309" s="12"/>
      <c r="Z309" s="12"/>
    </row>
    <row r="310" spans="1:26" ht="15.75" customHeight="1" x14ac:dyDescent="0.25">
      <c r="A310" s="12"/>
      <c r="B310" s="12"/>
      <c r="C310" s="12"/>
      <c r="D310" s="12"/>
      <c r="E310" s="13"/>
      <c r="F310" s="12"/>
      <c r="G310" s="12"/>
      <c r="H310" s="12"/>
      <c r="I310" s="12"/>
      <c r="J310" s="12"/>
      <c r="K310" s="12"/>
      <c r="L310" s="12"/>
      <c r="M310" s="12"/>
      <c r="N310" s="12"/>
      <c r="O310" s="12"/>
      <c r="P310" s="12"/>
      <c r="Q310" s="12"/>
      <c r="R310" s="12"/>
      <c r="S310" s="12"/>
      <c r="T310" s="12"/>
      <c r="U310" s="12"/>
      <c r="V310" s="12"/>
      <c r="W310" s="12"/>
      <c r="X310" s="12"/>
      <c r="Y310" s="12"/>
      <c r="Z310" s="12"/>
    </row>
    <row r="311" spans="1:26" ht="15.75" customHeight="1" x14ac:dyDescent="0.25">
      <c r="A311" s="12"/>
      <c r="B311" s="12"/>
      <c r="C311" s="12"/>
      <c r="D311" s="12"/>
      <c r="E311" s="13"/>
      <c r="F311" s="12"/>
      <c r="G311" s="12"/>
      <c r="H311" s="12"/>
      <c r="I311" s="12"/>
      <c r="J311" s="12"/>
      <c r="K311" s="12"/>
      <c r="L311" s="12"/>
      <c r="M311" s="12"/>
      <c r="N311" s="12"/>
      <c r="O311" s="12"/>
      <c r="P311" s="12"/>
      <c r="Q311" s="12"/>
      <c r="R311" s="12"/>
      <c r="S311" s="12"/>
      <c r="T311" s="12"/>
      <c r="U311" s="12"/>
      <c r="V311" s="12"/>
      <c r="W311" s="12"/>
      <c r="X311" s="12"/>
      <c r="Y311" s="12"/>
      <c r="Z311" s="12"/>
    </row>
    <row r="312" spans="1:26" ht="15.75" customHeight="1" x14ac:dyDescent="0.25">
      <c r="A312" s="12"/>
      <c r="B312" s="12"/>
      <c r="C312" s="12"/>
      <c r="D312" s="12"/>
      <c r="E312" s="13"/>
      <c r="F312" s="12"/>
      <c r="G312" s="12"/>
      <c r="H312" s="12"/>
      <c r="I312" s="12"/>
      <c r="J312" s="12"/>
      <c r="K312" s="12"/>
      <c r="L312" s="12"/>
      <c r="M312" s="12"/>
      <c r="N312" s="12"/>
      <c r="O312" s="12"/>
      <c r="P312" s="12"/>
      <c r="Q312" s="12"/>
      <c r="R312" s="12"/>
      <c r="S312" s="12"/>
      <c r="T312" s="12"/>
      <c r="U312" s="12"/>
      <c r="V312" s="12"/>
      <c r="W312" s="12"/>
      <c r="X312" s="12"/>
      <c r="Y312" s="12"/>
      <c r="Z312" s="12"/>
    </row>
    <row r="313" spans="1:26" ht="15.75" customHeight="1" x14ac:dyDescent="0.25">
      <c r="A313" s="12"/>
      <c r="B313" s="12"/>
      <c r="C313" s="12"/>
      <c r="D313" s="12"/>
      <c r="E313" s="13"/>
      <c r="F313" s="12"/>
      <c r="G313" s="12"/>
      <c r="H313" s="12"/>
      <c r="I313" s="12"/>
      <c r="J313" s="12"/>
      <c r="K313" s="12"/>
      <c r="L313" s="12"/>
      <c r="M313" s="12"/>
      <c r="N313" s="12"/>
      <c r="O313" s="12"/>
      <c r="P313" s="12"/>
      <c r="Q313" s="12"/>
      <c r="R313" s="12"/>
      <c r="S313" s="12"/>
      <c r="T313" s="12"/>
      <c r="U313" s="12"/>
      <c r="V313" s="12"/>
      <c r="W313" s="12"/>
      <c r="X313" s="12"/>
      <c r="Y313" s="12"/>
      <c r="Z313" s="12"/>
    </row>
    <row r="314" spans="1:26" ht="15.75" customHeight="1" x14ac:dyDescent="0.25">
      <c r="A314" s="12"/>
      <c r="B314" s="12"/>
      <c r="C314" s="12"/>
      <c r="D314" s="12"/>
      <c r="E314" s="13"/>
      <c r="F314" s="12"/>
      <c r="G314" s="12"/>
      <c r="H314" s="12"/>
      <c r="I314" s="12"/>
      <c r="J314" s="12"/>
      <c r="K314" s="12"/>
      <c r="L314" s="12"/>
      <c r="M314" s="12"/>
      <c r="N314" s="12"/>
      <c r="O314" s="12"/>
      <c r="P314" s="12"/>
      <c r="Q314" s="12"/>
      <c r="R314" s="12"/>
      <c r="S314" s="12"/>
      <c r="T314" s="12"/>
      <c r="U314" s="12"/>
      <c r="V314" s="12"/>
      <c r="W314" s="12"/>
      <c r="X314" s="12"/>
      <c r="Y314" s="12"/>
      <c r="Z314" s="12"/>
    </row>
    <row r="315" spans="1:26" ht="15.75" customHeight="1" x14ac:dyDescent="0.25">
      <c r="A315" s="12"/>
      <c r="B315" s="12"/>
      <c r="C315" s="12"/>
      <c r="D315" s="12"/>
      <c r="E315" s="13"/>
      <c r="F315" s="12"/>
      <c r="G315" s="12"/>
      <c r="H315" s="12"/>
      <c r="I315" s="12"/>
      <c r="J315" s="12"/>
      <c r="K315" s="12"/>
      <c r="L315" s="12"/>
      <c r="M315" s="12"/>
      <c r="N315" s="12"/>
      <c r="O315" s="12"/>
      <c r="P315" s="12"/>
      <c r="Q315" s="12"/>
      <c r="R315" s="12"/>
      <c r="S315" s="12"/>
      <c r="T315" s="12"/>
      <c r="U315" s="12"/>
      <c r="V315" s="12"/>
      <c r="W315" s="12"/>
      <c r="X315" s="12"/>
      <c r="Y315" s="12"/>
      <c r="Z315" s="12"/>
    </row>
    <row r="316" spans="1:26" ht="15.75" customHeight="1" x14ac:dyDescent="0.25">
      <c r="A316" s="12"/>
      <c r="B316" s="12"/>
      <c r="C316" s="12"/>
      <c r="D316" s="12"/>
      <c r="E316" s="13"/>
      <c r="F316" s="12"/>
      <c r="G316" s="12"/>
      <c r="H316" s="12"/>
      <c r="I316" s="12"/>
      <c r="J316" s="12"/>
      <c r="K316" s="12"/>
      <c r="L316" s="12"/>
      <c r="M316" s="12"/>
      <c r="N316" s="12"/>
      <c r="O316" s="12"/>
      <c r="P316" s="12"/>
      <c r="Q316" s="12"/>
      <c r="R316" s="12"/>
      <c r="S316" s="12"/>
      <c r="T316" s="12"/>
      <c r="U316" s="12"/>
      <c r="V316" s="12"/>
      <c r="W316" s="12"/>
      <c r="X316" s="12"/>
      <c r="Y316" s="12"/>
      <c r="Z316" s="12"/>
    </row>
    <row r="317" spans="1:26" ht="15.75" customHeight="1" x14ac:dyDescent="0.25">
      <c r="A317" s="12"/>
      <c r="B317" s="12"/>
      <c r="C317" s="12"/>
      <c r="D317" s="12"/>
      <c r="E317" s="13"/>
      <c r="F317" s="12"/>
      <c r="G317" s="12"/>
      <c r="H317" s="12"/>
      <c r="I317" s="12"/>
      <c r="J317" s="12"/>
      <c r="K317" s="12"/>
      <c r="L317" s="12"/>
      <c r="M317" s="12"/>
      <c r="N317" s="12"/>
      <c r="O317" s="12"/>
      <c r="P317" s="12"/>
      <c r="Q317" s="12"/>
      <c r="R317" s="12"/>
      <c r="S317" s="12"/>
      <c r="T317" s="12"/>
      <c r="U317" s="12"/>
      <c r="V317" s="12"/>
      <c r="W317" s="12"/>
      <c r="X317" s="12"/>
      <c r="Y317" s="12"/>
      <c r="Z317" s="12"/>
    </row>
    <row r="318" spans="1:26" ht="15.75" customHeight="1" x14ac:dyDescent="0.25">
      <c r="A318" s="12"/>
      <c r="B318" s="12"/>
      <c r="C318" s="12"/>
      <c r="D318" s="12"/>
      <c r="E318" s="13"/>
      <c r="F318" s="12"/>
      <c r="G318" s="12"/>
      <c r="H318" s="12"/>
      <c r="I318" s="12"/>
      <c r="J318" s="12"/>
      <c r="K318" s="12"/>
      <c r="L318" s="12"/>
      <c r="M318" s="12"/>
      <c r="N318" s="12"/>
      <c r="O318" s="12"/>
      <c r="P318" s="12"/>
      <c r="Q318" s="12"/>
      <c r="R318" s="12"/>
      <c r="S318" s="12"/>
      <c r="T318" s="12"/>
      <c r="U318" s="12"/>
      <c r="V318" s="12"/>
      <c r="W318" s="12"/>
      <c r="X318" s="12"/>
      <c r="Y318" s="12"/>
      <c r="Z318" s="12"/>
    </row>
    <row r="319" spans="1:26" ht="15.75" customHeight="1" x14ac:dyDescent="0.25">
      <c r="A319" s="12"/>
      <c r="B319" s="12"/>
      <c r="C319" s="12"/>
      <c r="D319" s="12"/>
      <c r="E319" s="13"/>
      <c r="F319" s="12"/>
      <c r="G319" s="12"/>
      <c r="H319" s="12"/>
      <c r="I319" s="12"/>
      <c r="J319" s="12"/>
      <c r="K319" s="12"/>
      <c r="L319" s="12"/>
      <c r="M319" s="12"/>
      <c r="N319" s="12"/>
      <c r="O319" s="12"/>
      <c r="P319" s="12"/>
      <c r="Q319" s="12"/>
      <c r="R319" s="12"/>
      <c r="S319" s="12"/>
      <c r="T319" s="12"/>
      <c r="U319" s="12"/>
      <c r="V319" s="12"/>
      <c r="W319" s="12"/>
      <c r="X319" s="12"/>
      <c r="Y319" s="12"/>
      <c r="Z319" s="12"/>
    </row>
    <row r="320" spans="1:26" ht="15.75" customHeight="1" x14ac:dyDescent="0.25">
      <c r="A320" s="12"/>
      <c r="B320" s="12"/>
      <c r="C320" s="12"/>
      <c r="D320" s="12"/>
      <c r="E320" s="13"/>
      <c r="F320" s="12"/>
      <c r="G320" s="12"/>
      <c r="H320" s="12"/>
      <c r="I320" s="12"/>
      <c r="J320" s="12"/>
      <c r="K320" s="12"/>
      <c r="L320" s="12"/>
      <c r="M320" s="12"/>
      <c r="N320" s="12"/>
      <c r="O320" s="12"/>
      <c r="P320" s="12"/>
      <c r="Q320" s="12"/>
      <c r="R320" s="12"/>
      <c r="S320" s="12"/>
      <c r="T320" s="12"/>
      <c r="U320" s="12"/>
      <c r="V320" s="12"/>
      <c r="W320" s="12"/>
      <c r="X320" s="12"/>
      <c r="Y320" s="12"/>
      <c r="Z320" s="12"/>
    </row>
    <row r="321" spans="1:26" ht="15.75" customHeight="1" x14ac:dyDescent="0.25">
      <c r="A321" s="12"/>
      <c r="B321" s="12"/>
      <c r="C321" s="12"/>
      <c r="D321" s="12"/>
      <c r="E321" s="13"/>
      <c r="F321" s="12"/>
      <c r="G321" s="12"/>
      <c r="H321" s="12"/>
      <c r="I321" s="12"/>
      <c r="J321" s="12"/>
      <c r="K321" s="12"/>
      <c r="L321" s="12"/>
      <c r="M321" s="12"/>
      <c r="N321" s="12"/>
      <c r="O321" s="12"/>
      <c r="P321" s="12"/>
      <c r="Q321" s="12"/>
      <c r="R321" s="12"/>
      <c r="S321" s="12"/>
      <c r="T321" s="12"/>
      <c r="U321" s="12"/>
      <c r="V321" s="12"/>
      <c r="W321" s="12"/>
      <c r="X321" s="12"/>
      <c r="Y321" s="12"/>
      <c r="Z321" s="12"/>
    </row>
    <row r="322" spans="1:26" ht="15.75" customHeight="1" x14ac:dyDescent="0.25">
      <c r="A322" s="12"/>
      <c r="B322" s="12"/>
      <c r="C322" s="12"/>
      <c r="D322" s="12"/>
      <c r="E322" s="13"/>
      <c r="F322" s="12"/>
      <c r="G322" s="12"/>
      <c r="H322" s="12"/>
      <c r="I322" s="12"/>
      <c r="J322" s="12"/>
      <c r="K322" s="12"/>
      <c r="L322" s="12"/>
      <c r="M322" s="12"/>
      <c r="N322" s="12"/>
      <c r="O322" s="12"/>
      <c r="P322" s="12"/>
      <c r="Q322" s="12"/>
      <c r="R322" s="12"/>
      <c r="S322" s="12"/>
      <c r="T322" s="12"/>
      <c r="U322" s="12"/>
      <c r="V322" s="12"/>
      <c r="W322" s="12"/>
      <c r="X322" s="12"/>
      <c r="Y322" s="12"/>
      <c r="Z322" s="12"/>
    </row>
    <row r="323" spans="1:26" ht="15.75" customHeight="1" x14ac:dyDescent="0.25">
      <c r="A323" s="12"/>
      <c r="B323" s="12"/>
      <c r="C323" s="12"/>
      <c r="D323" s="12"/>
      <c r="E323" s="13"/>
      <c r="F323" s="12"/>
      <c r="G323" s="12"/>
      <c r="H323" s="12"/>
      <c r="I323" s="12"/>
      <c r="J323" s="12"/>
      <c r="K323" s="12"/>
      <c r="L323" s="12"/>
      <c r="M323" s="12"/>
      <c r="N323" s="12"/>
      <c r="O323" s="12"/>
      <c r="P323" s="12"/>
      <c r="Q323" s="12"/>
      <c r="R323" s="12"/>
      <c r="S323" s="12"/>
      <c r="T323" s="12"/>
      <c r="U323" s="12"/>
      <c r="V323" s="12"/>
      <c r="W323" s="12"/>
      <c r="X323" s="12"/>
      <c r="Y323" s="12"/>
      <c r="Z323" s="12"/>
    </row>
    <row r="324" spans="1:26" ht="15.75" customHeight="1" x14ac:dyDescent="0.25">
      <c r="A324" s="12"/>
      <c r="B324" s="12"/>
      <c r="C324" s="12"/>
      <c r="D324" s="12"/>
      <c r="E324" s="13"/>
      <c r="F324" s="12"/>
      <c r="G324" s="12"/>
      <c r="H324" s="12"/>
      <c r="I324" s="12"/>
      <c r="J324" s="12"/>
      <c r="K324" s="12"/>
      <c r="L324" s="12"/>
      <c r="M324" s="12"/>
      <c r="N324" s="12"/>
      <c r="O324" s="12"/>
      <c r="P324" s="12"/>
      <c r="Q324" s="12"/>
      <c r="R324" s="12"/>
      <c r="S324" s="12"/>
      <c r="T324" s="12"/>
      <c r="U324" s="12"/>
      <c r="V324" s="12"/>
      <c r="W324" s="12"/>
      <c r="X324" s="12"/>
      <c r="Y324" s="12"/>
      <c r="Z324" s="12"/>
    </row>
    <row r="325" spans="1:26" ht="15.75" customHeight="1" x14ac:dyDescent="0.25">
      <c r="A325" s="12"/>
      <c r="B325" s="12"/>
      <c r="C325" s="12"/>
      <c r="D325" s="12"/>
      <c r="E325" s="13"/>
      <c r="F325" s="12"/>
      <c r="G325" s="12"/>
      <c r="H325" s="12"/>
      <c r="I325" s="12"/>
      <c r="J325" s="12"/>
      <c r="K325" s="12"/>
      <c r="L325" s="12"/>
      <c r="M325" s="12"/>
      <c r="N325" s="12"/>
      <c r="O325" s="12"/>
      <c r="P325" s="12"/>
      <c r="Q325" s="12"/>
      <c r="R325" s="12"/>
      <c r="S325" s="12"/>
      <c r="T325" s="12"/>
      <c r="U325" s="12"/>
      <c r="V325" s="12"/>
      <c r="W325" s="12"/>
      <c r="X325" s="12"/>
      <c r="Y325" s="12"/>
      <c r="Z325" s="12"/>
    </row>
    <row r="326" spans="1:26" ht="15.75" customHeight="1" x14ac:dyDescent="0.25">
      <c r="A326" s="12"/>
      <c r="B326" s="12"/>
      <c r="C326" s="12"/>
      <c r="D326" s="12"/>
      <c r="E326" s="13"/>
      <c r="F326" s="12"/>
      <c r="G326" s="12"/>
      <c r="H326" s="12"/>
      <c r="I326" s="12"/>
      <c r="J326" s="12"/>
      <c r="K326" s="12"/>
      <c r="L326" s="12"/>
      <c r="M326" s="12"/>
      <c r="N326" s="12"/>
      <c r="O326" s="12"/>
      <c r="P326" s="12"/>
      <c r="Q326" s="12"/>
      <c r="R326" s="12"/>
      <c r="S326" s="12"/>
      <c r="T326" s="12"/>
      <c r="U326" s="12"/>
      <c r="V326" s="12"/>
      <c r="W326" s="12"/>
      <c r="X326" s="12"/>
      <c r="Y326" s="12"/>
      <c r="Z326" s="12"/>
    </row>
    <row r="327" spans="1:26" ht="15.75" customHeight="1" x14ac:dyDescent="0.25">
      <c r="A327" s="12"/>
      <c r="B327" s="12"/>
      <c r="C327" s="12"/>
      <c r="D327" s="12"/>
      <c r="E327" s="13"/>
      <c r="F327" s="12"/>
      <c r="G327" s="12"/>
      <c r="H327" s="12"/>
      <c r="I327" s="12"/>
      <c r="J327" s="12"/>
      <c r="K327" s="12"/>
      <c r="L327" s="12"/>
      <c r="M327" s="12"/>
      <c r="N327" s="12"/>
      <c r="O327" s="12"/>
      <c r="P327" s="12"/>
      <c r="Q327" s="12"/>
      <c r="R327" s="12"/>
      <c r="S327" s="12"/>
      <c r="T327" s="12"/>
      <c r="U327" s="12"/>
      <c r="V327" s="12"/>
      <c r="W327" s="12"/>
      <c r="X327" s="12"/>
      <c r="Y327" s="12"/>
      <c r="Z327" s="12"/>
    </row>
    <row r="328" spans="1:26" ht="15.75" customHeight="1" x14ac:dyDescent="0.25">
      <c r="A328" s="12"/>
      <c r="B328" s="12"/>
      <c r="C328" s="12"/>
      <c r="D328" s="12"/>
      <c r="E328" s="13"/>
      <c r="F328" s="12"/>
      <c r="G328" s="12"/>
      <c r="H328" s="12"/>
      <c r="I328" s="12"/>
      <c r="J328" s="12"/>
      <c r="K328" s="12"/>
      <c r="L328" s="12"/>
      <c r="M328" s="12"/>
      <c r="N328" s="12"/>
      <c r="O328" s="12"/>
      <c r="P328" s="12"/>
      <c r="Q328" s="12"/>
      <c r="R328" s="12"/>
      <c r="S328" s="12"/>
      <c r="T328" s="12"/>
      <c r="U328" s="12"/>
      <c r="V328" s="12"/>
      <c r="W328" s="12"/>
      <c r="X328" s="12"/>
      <c r="Y328" s="12"/>
      <c r="Z328" s="12"/>
    </row>
    <row r="329" spans="1:26" ht="15.75" customHeight="1" x14ac:dyDescent="0.25">
      <c r="A329" s="12"/>
      <c r="B329" s="12"/>
      <c r="C329" s="12"/>
      <c r="D329" s="12"/>
      <c r="E329" s="13"/>
      <c r="F329" s="12"/>
      <c r="G329" s="12"/>
      <c r="H329" s="12"/>
      <c r="I329" s="12"/>
      <c r="J329" s="12"/>
      <c r="K329" s="12"/>
      <c r="L329" s="12"/>
      <c r="M329" s="12"/>
      <c r="N329" s="12"/>
      <c r="O329" s="12"/>
      <c r="P329" s="12"/>
      <c r="Q329" s="12"/>
      <c r="R329" s="12"/>
      <c r="S329" s="12"/>
      <c r="T329" s="12"/>
      <c r="U329" s="12"/>
      <c r="V329" s="12"/>
      <c r="W329" s="12"/>
      <c r="X329" s="12"/>
      <c r="Y329" s="12"/>
      <c r="Z329" s="12"/>
    </row>
    <row r="330" spans="1:26" ht="15.75" customHeight="1" x14ac:dyDescent="0.25">
      <c r="A330" s="12"/>
      <c r="B330" s="12"/>
      <c r="C330" s="12"/>
      <c r="D330" s="12"/>
      <c r="E330" s="13"/>
      <c r="F330" s="12"/>
      <c r="G330" s="12"/>
      <c r="H330" s="12"/>
      <c r="I330" s="12"/>
      <c r="J330" s="12"/>
      <c r="K330" s="12"/>
      <c r="L330" s="12"/>
      <c r="M330" s="12"/>
      <c r="N330" s="12"/>
      <c r="O330" s="12"/>
      <c r="P330" s="12"/>
      <c r="Q330" s="12"/>
      <c r="R330" s="12"/>
      <c r="S330" s="12"/>
      <c r="T330" s="12"/>
      <c r="U330" s="12"/>
      <c r="V330" s="12"/>
      <c r="W330" s="12"/>
      <c r="X330" s="12"/>
      <c r="Y330" s="12"/>
      <c r="Z330" s="12"/>
    </row>
    <row r="331" spans="1:26" ht="15.75" customHeight="1" x14ac:dyDescent="0.25">
      <c r="A331" s="12"/>
      <c r="B331" s="12"/>
      <c r="C331" s="12"/>
      <c r="D331" s="12"/>
      <c r="E331" s="13"/>
      <c r="F331" s="12"/>
      <c r="G331" s="12"/>
      <c r="H331" s="12"/>
      <c r="I331" s="12"/>
      <c r="J331" s="12"/>
      <c r="K331" s="12"/>
      <c r="L331" s="12"/>
      <c r="M331" s="12"/>
      <c r="N331" s="12"/>
      <c r="O331" s="12"/>
      <c r="P331" s="12"/>
      <c r="Q331" s="12"/>
      <c r="R331" s="12"/>
      <c r="S331" s="12"/>
      <c r="T331" s="12"/>
      <c r="U331" s="12"/>
      <c r="V331" s="12"/>
      <c r="W331" s="12"/>
      <c r="X331" s="12"/>
      <c r="Y331" s="12"/>
      <c r="Z331" s="12"/>
    </row>
    <row r="332" spans="1:26" ht="15.75" customHeight="1" x14ac:dyDescent="0.25">
      <c r="A332" s="12"/>
      <c r="B332" s="12"/>
      <c r="C332" s="12"/>
      <c r="D332" s="12"/>
      <c r="E332" s="13"/>
      <c r="F332" s="12"/>
      <c r="G332" s="12"/>
      <c r="H332" s="12"/>
      <c r="I332" s="12"/>
      <c r="J332" s="12"/>
      <c r="K332" s="12"/>
      <c r="L332" s="12"/>
      <c r="M332" s="12"/>
      <c r="N332" s="12"/>
      <c r="O332" s="12"/>
      <c r="P332" s="12"/>
      <c r="Q332" s="12"/>
      <c r="R332" s="12"/>
      <c r="S332" s="12"/>
      <c r="T332" s="12"/>
      <c r="U332" s="12"/>
      <c r="V332" s="12"/>
      <c r="W332" s="12"/>
      <c r="X332" s="12"/>
      <c r="Y332" s="12"/>
      <c r="Z332" s="12"/>
    </row>
    <row r="333" spans="1:26" ht="15.75" customHeight="1" x14ac:dyDescent="0.25">
      <c r="A333" s="12"/>
      <c r="B333" s="12"/>
      <c r="C333" s="12"/>
      <c r="D333" s="12"/>
      <c r="E333" s="13"/>
      <c r="F333" s="12"/>
      <c r="G333" s="12"/>
      <c r="H333" s="12"/>
      <c r="I333" s="12"/>
      <c r="J333" s="12"/>
      <c r="K333" s="12"/>
      <c r="L333" s="12"/>
      <c r="M333" s="12"/>
      <c r="N333" s="12"/>
      <c r="O333" s="12"/>
      <c r="P333" s="12"/>
      <c r="Q333" s="12"/>
      <c r="R333" s="12"/>
      <c r="S333" s="12"/>
      <c r="T333" s="12"/>
      <c r="U333" s="12"/>
      <c r="V333" s="12"/>
      <c r="W333" s="12"/>
      <c r="X333" s="12"/>
      <c r="Y333" s="12"/>
      <c r="Z333" s="12"/>
    </row>
    <row r="334" spans="1:26" ht="15.75" customHeight="1" x14ac:dyDescent="0.25">
      <c r="A334" s="12"/>
      <c r="B334" s="12"/>
      <c r="C334" s="12"/>
      <c r="D334" s="12"/>
      <c r="E334" s="13"/>
      <c r="F334" s="12"/>
      <c r="G334" s="12"/>
      <c r="H334" s="12"/>
      <c r="I334" s="12"/>
      <c r="J334" s="12"/>
      <c r="K334" s="12"/>
      <c r="L334" s="12"/>
      <c r="M334" s="12"/>
      <c r="N334" s="12"/>
      <c r="O334" s="12"/>
      <c r="P334" s="12"/>
      <c r="Q334" s="12"/>
      <c r="R334" s="12"/>
      <c r="S334" s="12"/>
      <c r="T334" s="12"/>
      <c r="U334" s="12"/>
      <c r="V334" s="12"/>
      <c r="W334" s="12"/>
      <c r="X334" s="12"/>
      <c r="Y334" s="12"/>
      <c r="Z334" s="12"/>
    </row>
    <row r="335" spans="1:26" ht="15.75" customHeight="1" x14ac:dyDescent="0.25">
      <c r="A335" s="12"/>
      <c r="B335" s="12"/>
      <c r="C335" s="12"/>
      <c r="D335" s="12"/>
      <c r="E335" s="13"/>
      <c r="F335" s="12"/>
      <c r="G335" s="12"/>
      <c r="H335" s="12"/>
      <c r="I335" s="12"/>
      <c r="J335" s="12"/>
      <c r="K335" s="12"/>
      <c r="L335" s="12"/>
      <c r="M335" s="12"/>
      <c r="N335" s="12"/>
      <c r="O335" s="12"/>
      <c r="P335" s="12"/>
      <c r="Q335" s="12"/>
      <c r="R335" s="12"/>
      <c r="S335" s="12"/>
      <c r="T335" s="12"/>
      <c r="U335" s="12"/>
      <c r="V335" s="12"/>
      <c r="W335" s="12"/>
      <c r="X335" s="12"/>
      <c r="Y335" s="12"/>
      <c r="Z335" s="12"/>
    </row>
    <row r="336" spans="1:26" ht="15.75" customHeight="1" x14ac:dyDescent="0.25">
      <c r="A336" s="12"/>
      <c r="B336" s="12"/>
      <c r="C336" s="12"/>
      <c r="D336" s="12"/>
      <c r="E336" s="13"/>
      <c r="F336" s="12"/>
      <c r="G336" s="12"/>
      <c r="H336" s="12"/>
      <c r="I336" s="12"/>
      <c r="J336" s="12"/>
      <c r="K336" s="12"/>
      <c r="L336" s="12"/>
      <c r="M336" s="12"/>
      <c r="N336" s="12"/>
      <c r="O336" s="12"/>
      <c r="P336" s="12"/>
      <c r="Q336" s="12"/>
      <c r="R336" s="12"/>
      <c r="S336" s="12"/>
      <c r="T336" s="12"/>
      <c r="U336" s="12"/>
      <c r="V336" s="12"/>
      <c r="W336" s="12"/>
      <c r="X336" s="12"/>
      <c r="Y336" s="12"/>
      <c r="Z336" s="12"/>
    </row>
    <row r="337" spans="1:26" ht="15.75" customHeight="1" x14ac:dyDescent="0.25">
      <c r="A337" s="12"/>
      <c r="B337" s="12"/>
      <c r="C337" s="12"/>
      <c r="D337" s="12"/>
      <c r="E337" s="13"/>
      <c r="F337" s="12"/>
      <c r="G337" s="12"/>
      <c r="H337" s="12"/>
      <c r="I337" s="12"/>
      <c r="J337" s="12"/>
      <c r="K337" s="12"/>
      <c r="L337" s="12"/>
      <c r="M337" s="12"/>
      <c r="N337" s="12"/>
      <c r="O337" s="12"/>
      <c r="P337" s="12"/>
      <c r="Q337" s="12"/>
      <c r="R337" s="12"/>
      <c r="S337" s="12"/>
      <c r="T337" s="12"/>
      <c r="U337" s="12"/>
      <c r="V337" s="12"/>
      <c r="W337" s="12"/>
      <c r="X337" s="12"/>
      <c r="Y337" s="12"/>
      <c r="Z337" s="12"/>
    </row>
    <row r="338" spans="1:26" ht="15.75" customHeight="1" x14ac:dyDescent="0.25">
      <c r="A338" s="12"/>
      <c r="B338" s="12"/>
      <c r="C338" s="12"/>
      <c r="D338" s="12"/>
      <c r="E338" s="13"/>
      <c r="F338" s="12"/>
      <c r="G338" s="12"/>
      <c r="H338" s="12"/>
      <c r="I338" s="12"/>
      <c r="J338" s="12"/>
      <c r="K338" s="12"/>
      <c r="L338" s="12"/>
      <c r="M338" s="12"/>
      <c r="N338" s="12"/>
      <c r="O338" s="12"/>
      <c r="P338" s="12"/>
      <c r="Q338" s="12"/>
      <c r="R338" s="12"/>
      <c r="S338" s="12"/>
      <c r="T338" s="12"/>
      <c r="U338" s="12"/>
      <c r="V338" s="12"/>
      <c r="W338" s="12"/>
      <c r="X338" s="12"/>
      <c r="Y338" s="12"/>
      <c r="Z338" s="12"/>
    </row>
    <row r="339" spans="1:26" ht="15.75" customHeight="1" x14ac:dyDescent="0.25">
      <c r="A339" s="12"/>
      <c r="B339" s="12"/>
      <c r="C339" s="12"/>
      <c r="D339" s="12"/>
      <c r="E339" s="13"/>
      <c r="F339" s="12"/>
      <c r="G339" s="12"/>
      <c r="H339" s="12"/>
      <c r="I339" s="12"/>
      <c r="J339" s="12"/>
      <c r="K339" s="12"/>
      <c r="L339" s="12"/>
      <c r="M339" s="12"/>
      <c r="N339" s="12"/>
      <c r="O339" s="12"/>
      <c r="P339" s="12"/>
      <c r="Q339" s="12"/>
      <c r="R339" s="12"/>
      <c r="S339" s="12"/>
      <c r="T339" s="12"/>
      <c r="U339" s="12"/>
      <c r="V339" s="12"/>
      <c r="W339" s="12"/>
      <c r="X339" s="12"/>
      <c r="Y339" s="12"/>
      <c r="Z339" s="12"/>
    </row>
    <row r="340" spans="1:26" ht="15.75" customHeight="1" x14ac:dyDescent="0.25">
      <c r="A340" s="12"/>
      <c r="B340" s="12"/>
      <c r="C340" s="12"/>
      <c r="D340" s="12"/>
      <c r="E340" s="13"/>
      <c r="F340" s="12"/>
      <c r="G340" s="12"/>
      <c r="H340" s="12"/>
      <c r="I340" s="12"/>
      <c r="J340" s="12"/>
      <c r="K340" s="12"/>
      <c r="L340" s="12"/>
      <c r="M340" s="12"/>
      <c r="N340" s="12"/>
      <c r="O340" s="12"/>
      <c r="P340" s="12"/>
      <c r="Q340" s="12"/>
      <c r="R340" s="12"/>
      <c r="S340" s="12"/>
      <c r="T340" s="12"/>
      <c r="U340" s="12"/>
      <c r="V340" s="12"/>
      <c r="W340" s="12"/>
      <c r="X340" s="12"/>
      <c r="Y340" s="12"/>
      <c r="Z340" s="12"/>
    </row>
    <row r="341" spans="1:26" ht="15.75" customHeight="1" x14ac:dyDescent="0.25">
      <c r="A341" s="12"/>
      <c r="B341" s="12"/>
      <c r="C341" s="12"/>
      <c r="D341" s="12"/>
      <c r="E341" s="13"/>
      <c r="F341" s="12"/>
      <c r="G341" s="12"/>
      <c r="H341" s="12"/>
      <c r="I341" s="12"/>
      <c r="J341" s="12"/>
      <c r="K341" s="12"/>
      <c r="L341" s="12"/>
      <c r="M341" s="12"/>
      <c r="N341" s="12"/>
      <c r="O341" s="12"/>
      <c r="P341" s="12"/>
      <c r="Q341" s="12"/>
      <c r="R341" s="12"/>
      <c r="S341" s="12"/>
      <c r="T341" s="12"/>
      <c r="U341" s="12"/>
      <c r="V341" s="12"/>
      <c r="W341" s="12"/>
      <c r="X341" s="12"/>
      <c r="Y341" s="12"/>
      <c r="Z341" s="12"/>
    </row>
    <row r="342" spans="1:26" ht="15.75" customHeight="1" x14ac:dyDescent="0.25">
      <c r="A342" s="12"/>
      <c r="B342" s="12"/>
      <c r="C342" s="12"/>
      <c r="D342" s="12"/>
      <c r="E342" s="13"/>
      <c r="F342" s="12"/>
      <c r="G342" s="12"/>
      <c r="H342" s="12"/>
      <c r="I342" s="12"/>
      <c r="J342" s="12"/>
      <c r="K342" s="12"/>
      <c r="L342" s="12"/>
      <c r="M342" s="12"/>
      <c r="N342" s="12"/>
      <c r="O342" s="12"/>
      <c r="P342" s="12"/>
      <c r="Q342" s="12"/>
      <c r="R342" s="12"/>
      <c r="S342" s="12"/>
      <c r="T342" s="12"/>
      <c r="U342" s="12"/>
      <c r="V342" s="12"/>
      <c r="W342" s="12"/>
      <c r="X342" s="12"/>
      <c r="Y342" s="12"/>
      <c r="Z342" s="12"/>
    </row>
    <row r="343" spans="1:26" ht="15.75" customHeight="1" x14ac:dyDescent="0.25">
      <c r="A343" s="12"/>
      <c r="B343" s="12"/>
      <c r="C343" s="12"/>
      <c r="D343" s="12"/>
      <c r="E343" s="13"/>
      <c r="F343" s="12"/>
      <c r="G343" s="12"/>
      <c r="H343" s="12"/>
      <c r="I343" s="12"/>
      <c r="J343" s="12"/>
      <c r="K343" s="12"/>
      <c r="L343" s="12"/>
      <c r="M343" s="12"/>
      <c r="N343" s="12"/>
      <c r="O343" s="12"/>
      <c r="P343" s="12"/>
      <c r="Q343" s="12"/>
      <c r="R343" s="12"/>
      <c r="S343" s="12"/>
      <c r="T343" s="12"/>
      <c r="U343" s="12"/>
      <c r="V343" s="12"/>
      <c r="W343" s="12"/>
      <c r="X343" s="12"/>
      <c r="Y343" s="12"/>
      <c r="Z343" s="12"/>
    </row>
    <row r="344" spans="1:26" ht="15.75" customHeight="1" x14ac:dyDescent="0.25">
      <c r="A344" s="12"/>
      <c r="B344" s="12"/>
      <c r="C344" s="12"/>
      <c r="D344" s="12"/>
      <c r="E344" s="13"/>
      <c r="F344" s="12"/>
      <c r="G344" s="12"/>
      <c r="H344" s="12"/>
      <c r="I344" s="12"/>
      <c r="J344" s="12"/>
      <c r="K344" s="12"/>
      <c r="L344" s="12"/>
      <c r="M344" s="12"/>
      <c r="N344" s="12"/>
      <c r="O344" s="12"/>
      <c r="P344" s="12"/>
      <c r="Q344" s="12"/>
      <c r="R344" s="12"/>
      <c r="S344" s="12"/>
      <c r="T344" s="12"/>
      <c r="U344" s="12"/>
      <c r="V344" s="12"/>
      <c r="W344" s="12"/>
      <c r="X344" s="12"/>
      <c r="Y344" s="12"/>
      <c r="Z344" s="12"/>
    </row>
    <row r="345" spans="1:26" ht="15.75" customHeight="1" x14ac:dyDescent="0.25">
      <c r="A345" s="12"/>
      <c r="B345" s="12"/>
      <c r="C345" s="12"/>
      <c r="D345" s="12"/>
      <c r="E345" s="13"/>
      <c r="F345" s="12"/>
      <c r="G345" s="12"/>
      <c r="H345" s="12"/>
      <c r="I345" s="12"/>
      <c r="J345" s="12"/>
      <c r="K345" s="12"/>
      <c r="L345" s="12"/>
      <c r="M345" s="12"/>
      <c r="N345" s="12"/>
      <c r="O345" s="12"/>
      <c r="P345" s="12"/>
      <c r="Q345" s="12"/>
      <c r="R345" s="12"/>
      <c r="S345" s="12"/>
      <c r="T345" s="12"/>
      <c r="U345" s="12"/>
      <c r="V345" s="12"/>
      <c r="W345" s="12"/>
      <c r="X345" s="12"/>
      <c r="Y345" s="12"/>
      <c r="Z345" s="12"/>
    </row>
    <row r="346" spans="1:26" ht="15.75" customHeight="1" x14ac:dyDescent="0.25">
      <c r="A346" s="12"/>
      <c r="B346" s="12"/>
      <c r="C346" s="12"/>
      <c r="D346" s="12"/>
      <c r="E346" s="13"/>
      <c r="F346" s="12"/>
      <c r="G346" s="12"/>
      <c r="H346" s="12"/>
      <c r="I346" s="12"/>
      <c r="J346" s="12"/>
      <c r="K346" s="12"/>
      <c r="L346" s="12"/>
      <c r="M346" s="12"/>
      <c r="N346" s="12"/>
      <c r="O346" s="12"/>
      <c r="P346" s="12"/>
      <c r="Q346" s="12"/>
      <c r="R346" s="12"/>
      <c r="S346" s="12"/>
      <c r="T346" s="12"/>
      <c r="U346" s="12"/>
      <c r="V346" s="12"/>
      <c r="W346" s="12"/>
      <c r="X346" s="12"/>
      <c r="Y346" s="12"/>
      <c r="Z346" s="12"/>
    </row>
    <row r="347" spans="1:26" ht="15.75" customHeight="1" x14ac:dyDescent="0.25">
      <c r="A347" s="12"/>
      <c r="B347" s="12"/>
      <c r="C347" s="12"/>
      <c r="D347" s="12"/>
      <c r="E347" s="13"/>
      <c r="F347" s="12"/>
      <c r="G347" s="12"/>
      <c r="H347" s="12"/>
      <c r="I347" s="12"/>
      <c r="J347" s="12"/>
      <c r="K347" s="12"/>
      <c r="L347" s="12"/>
      <c r="M347" s="12"/>
      <c r="N347" s="12"/>
      <c r="O347" s="12"/>
      <c r="P347" s="12"/>
      <c r="Q347" s="12"/>
      <c r="R347" s="12"/>
      <c r="S347" s="12"/>
      <c r="T347" s="12"/>
      <c r="U347" s="12"/>
      <c r="V347" s="12"/>
      <c r="W347" s="12"/>
      <c r="X347" s="12"/>
      <c r="Y347" s="12"/>
      <c r="Z347" s="12"/>
    </row>
    <row r="348" spans="1:26" ht="15.75" customHeight="1" x14ac:dyDescent="0.25">
      <c r="A348" s="12"/>
      <c r="B348" s="12"/>
      <c r="C348" s="12"/>
      <c r="D348" s="12"/>
      <c r="E348" s="13"/>
      <c r="F348" s="12"/>
      <c r="G348" s="12"/>
      <c r="H348" s="12"/>
      <c r="I348" s="12"/>
      <c r="J348" s="12"/>
      <c r="K348" s="12"/>
      <c r="L348" s="12"/>
      <c r="M348" s="12"/>
      <c r="N348" s="12"/>
      <c r="O348" s="12"/>
      <c r="P348" s="12"/>
      <c r="Q348" s="12"/>
      <c r="R348" s="12"/>
      <c r="S348" s="12"/>
      <c r="T348" s="12"/>
      <c r="U348" s="12"/>
      <c r="V348" s="12"/>
      <c r="W348" s="12"/>
      <c r="X348" s="12"/>
      <c r="Y348" s="12"/>
      <c r="Z348" s="12"/>
    </row>
    <row r="349" spans="1:26" ht="15.75" customHeight="1" x14ac:dyDescent="0.25">
      <c r="A349" s="12"/>
      <c r="B349" s="12"/>
      <c r="C349" s="12"/>
      <c r="D349" s="12"/>
      <c r="E349" s="13"/>
      <c r="F349" s="12"/>
      <c r="G349" s="12"/>
      <c r="H349" s="12"/>
      <c r="I349" s="12"/>
      <c r="J349" s="12"/>
      <c r="K349" s="12"/>
      <c r="L349" s="12"/>
      <c r="M349" s="12"/>
      <c r="N349" s="12"/>
      <c r="O349" s="12"/>
      <c r="P349" s="12"/>
      <c r="Q349" s="12"/>
      <c r="R349" s="12"/>
      <c r="S349" s="12"/>
      <c r="T349" s="12"/>
      <c r="U349" s="12"/>
      <c r="V349" s="12"/>
      <c r="W349" s="12"/>
      <c r="X349" s="12"/>
      <c r="Y349" s="12"/>
      <c r="Z349" s="12"/>
    </row>
    <row r="350" spans="1:26" ht="15.75" customHeight="1" x14ac:dyDescent="0.25">
      <c r="A350" s="12"/>
      <c r="B350" s="12"/>
      <c r="C350" s="12"/>
      <c r="D350" s="12"/>
      <c r="E350" s="13"/>
      <c r="F350" s="12"/>
      <c r="G350" s="12"/>
      <c r="H350" s="12"/>
      <c r="I350" s="12"/>
      <c r="J350" s="12"/>
      <c r="K350" s="12"/>
      <c r="L350" s="12"/>
      <c r="M350" s="12"/>
      <c r="N350" s="12"/>
      <c r="O350" s="12"/>
      <c r="P350" s="12"/>
      <c r="Q350" s="12"/>
      <c r="R350" s="12"/>
      <c r="S350" s="12"/>
      <c r="T350" s="12"/>
      <c r="U350" s="12"/>
      <c r="V350" s="12"/>
      <c r="W350" s="12"/>
      <c r="X350" s="12"/>
      <c r="Y350" s="12"/>
      <c r="Z350" s="12"/>
    </row>
    <row r="351" spans="1:26" ht="15.75" customHeight="1" x14ac:dyDescent="0.25">
      <c r="A351" s="12"/>
      <c r="B351" s="12"/>
      <c r="C351" s="12"/>
      <c r="D351" s="12"/>
      <c r="E351" s="13"/>
      <c r="F351" s="12"/>
      <c r="G351" s="12"/>
      <c r="H351" s="12"/>
      <c r="I351" s="12"/>
      <c r="J351" s="12"/>
      <c r="K351" s="12"/>
      <c r="L351" s="12"/>
      <c r="M351" s="12"/>
      <c r="N351" s="12"/>
      <c r="O351" s="12"/>
      <c r="P351" s="12"/>
      <c r="Q351" s="12"/>
      <c r="R351" s="12"/>
      <c r="S351" s="12"/>
      <c r="T351" s="12"/>
      <c r="U351" s="12"/>
      <c r="V351" s="12"/>
      <c r="W351" s="12"/>
      <c r="X351" s="12"/>
      <c r="Y351" s="12"/>
      <c r="Z351" s="12"/>
    </row>
    <row r="352" spans="1:26" ht="15.75" customHeight="1" x14ac:dyDescent="0.25">
      <c r="A352" s="12"/>
      <c r="B352" s="12"/>
      <c r="C352" s="12"/>
      <c r="D352" s="12"/>
      <c r="E352" s="13"/>
      <c r="F352" s="12"/>
      <c r="G352" s="12"/>
      <c r="H352" s="12"/>
      <c r="I352" s="12"/>
      <c r="J352" s="12"/>
      <c r="K352" s="12"/>
      <c r="L352" s="12"/>
      <c r="M352" s="12"/>
      <c r="N352" s="12"/>
      <c r="O352" s="12"/>
      <c r="P352" s="12"/>
      <c r="Q352" s="12"/>
      <c r="R352" s="12"/>
      <c r="S352" s="12"/>
      <c r="T352" s="12"/>
      <c r="U352" s="12"/>
      <c r="V352" s="12"/>
      <c r="W352" s="12"/>
      <c r="X352" s="12"/>
      <c r="Y352" s="12"/>
      <c r="Z352" s="12"/>
    </row>
    <row r="353" spans="1:26" ht="15.75" customHeight="1" x14ac:dyDescent="0.25">
      <c r="A353" s="12"/>
      <c r="B353" s="12"/>
      <c r="C353" s="12"/>
      <c r="D353" s="12"/>
      <c r="E353" s="13"/>
      <c r="F353" s="12"/>
      <c r="G353" s="12"/>
      <c r="H353" s="12"/>
      <c r="I353" s="12"/>
      <c r="J353" s="12"/>
      <c r="K353" s="12"/>
      <c r="L353" s="12"/>
      <c r="M353" s="12"/>
      <c r="N353" s="12"/>
      <c r="O353" s="12"/>
      <c r="P353" s="12"/>
      <c r="Q353" s="12"/>
      <c r="R353" s="12"/>
      <c r="S353" s="12"/>
      <c r="T353" s="12"/>
      <c r="U353" s="12"/>
      <c r="V353" s="12"/>
      <c r="W353" s="12"/>
      <c r="X353" s="12"/>
      <c r="Y353" s="12"/>
      <c r="Z353" s="12"/>
    </row>
    <row r="354" spans="1:26" ht="15.75" customHeight="1" x14ac:dyDescent="0.25">
      <c r="A354" s="12"/>
      <c r="B354" s="12"/>
      <c r="C354" s="12"/>
      <c r="D354" s="12"/>
      <c r="E354" s="13"/>
      <c r="F354" s="12"/>
      <c r="G354" s="12"/>
      <c r="H354" s="12"/>
      <c r="I354" s="12"/>
      <c r="J354" s="12"/>
      <c r="K354" s="12"/>
      <c r="L354" s="12"/>
      <c r="M354" s="12"/>
      <c r="N354" s="12"/>
      <c r="O354" s="12"/>
      <c r="P354" s="12"/>
      <c r="Q354" s="12"/>
      <c r="R354" s="12"/>
      <c r="S354" s="12"/>
      <c r="T354" s="12"/>
      <c r="U354" s="12"/>
      <c r="V354" s="12"/>
      <c r="W354" s="12"/>
      <c r="X354" s="12"/>
      <c r="Y354" s="12"/>
      <c r="Z354" s="12"/>
    </row>
    <row r="355" spans="1:26" ht="15.75" customHeight="1" x14ac:dyDescent="0.25">
      <c r="A355" s="12"/>
      <c r="B355" s="12"/>
      <c r="C355" s="12"/>
      <c r="D355" s="12"/>
      <c r="E355" s="13"/>
      <c r="F355" s="12"/>
      <c r="G355" s="12"/>
      <c r="H355" s="12"/>
      <c r="I355" s="12"/>
      <c r="J355" s="12"/>
      <c r="K355" s="12"/>
      <c r="L355" s="12"/>
      <c r="M355" s="12"/>
      <c r="N355" s="12"/>
      <c r="O355" s="12"/>
      <c r="P355" s="12"/>
      <c r="Q355" s="12"/>
      <c r="R355" s="12"/>
      <c r="S355" s="12"/>
      <c r="T355" s="12"/>
      <c r="U355" s="12"/>
      <c r="V355" s="12"/>
      <c r="W355" s="12"/>
      <c r="X355" s="12"/>
      <c r="Y355" s="12"/>
      <c r="Z355" s="12"/>
    </row>
    <row r="356" spans="1:26" ht="15.75" customHeight="1" x14ac:dyDescent="0.25">
      <c r="A356" s="12"/>
      <c r="B356" s="12"/>
      <c r="C356" s="12"/>
      <c r="D356" s="12"/>
      <c r="E356" s="13"/>
      <c r="F356" s="12"/>
      <c r="G356" s="12"/>
      <c r="H356" s="12"/>
      <c r="I356" s="12"/>
      <c r="J356" s="12"/>
      <c r="K356" s="12"/>
      <c r="L356" s="12"/>
      <c r="M356" s="12"/>
      <c r="N356" s="12"/>
      <c r="O356" s="12"/>
      <c r="P356" s="12"/>
      <c r="Q356" s="12"/>
      <c r="R356" s="12"/>
      <c r="S356" s="12"/>
      <c r="T356" s="12"/>
      <c r="U356" s="12"/>
      <c r="V356" s="12"/>
      <c r="W356" s="12"/>
      <c r="X356" s="12"/>
      <c r="Y356" s="12"/>
      <c r="Z356" s="12"/>
    </row>
    <row r="357" spans="1:26" ht="15.75" customHeight="1" x14ac:dyDescent="0.25">
      <c r="A357" s="12"/>
      <c r="B357" s="12"/>
      <c r="C357" s="12"/>
      <c r="D357" s="12"/>
      <c r="E357" s="13"/>
      <c r="F357" s="12"/>
      <c r="G357" s="12"/>
      <c r="H357" s="12"/>
      <c r="I357" s="12"/>
      <c r="J357" s="12"/>
      <c r="K357" s="12"/>
      <c r="L357" s="12"/>
      <c r="M357" s="12"/>
      <c r="N357" s="12"/>
      <c r="O357" s="12"/>
      <c r="P357" s="12"/>
      <c r="Q357" s="12"/>
      <c r="R357" s="12"/>
      <c r="S357" s="12"/>
      <c r="T357" s="12"/>
      <c r="U357" s="12"/>
      <c r="V357" s="12"/>
      <c r="W357" s="12"/>
      <c r="X357" s="12"/>
      <c r="Y357" s="12"/>
      <c r="Z357" s="12"/>
    </row>
    <row r="358" spans="1:26" ht="15.75" customHeight="1" x14ac:dyDescent="0.25">
      <c r="A358" s="12"/>
      <c r="B358" s="12"/>
      <c r="C358" s="12"/>
      <c r="D358" s="12"/>
      <c r="E358" s="13"/>
      <c r="F358" s="12"/>
      <c r="G358" s="12"/>
      <c r="H358" s="12"/>
      <c r="I358" s="12"/>
      <c r="J358" s="12"/>
      <c r="K358" s="12"/>
      <c r="L358" s="12"/>
      <c r="M358" s="12"/>
      <c r="N358" s="12"/>
      <c r="O358" s="12"/>
      <c r="P358" s="12"/>
      <c r="Q358" s="12"/>
      <c r="R358" s="12"/>
      <c r="S358" s="12"/>
      <c r="T358" s="12"/>
      <c r="U358" s="12"/>
      <c r="V358" s="12"/>
      <c r="W358" s="12"/>
      <c r="X358" s="12"/>
      <c r="Y358" s="12"/>
      <c r="Z358" s="12"/>
    </row>
    <row r="359" spans="1:26" ht="15.75" customHeight="1" x14ac:dyDescent="0.25">
      <c r="A359" s="12"/>
      <c r="B359" s="12"/>
      <c r="C359" s="12"/>
      <c r="D359" s="12"/>
      <c r="E359" s="13"/>
      <c r="F359" s="12"/>
      <c r="G359" s="12"/>
      <c r="H359" s="12"/>
      <c r="I359" s="12"/>
      <c r="J359" s="12"/>
      <c r="K359" s="12"/>
      <c r="L359" s="12"/>
      <c r="M359" s="12"/>
      <c r="N359" s="12"/>
      <c r="O359" s="12"/>
      <c r="P359" s="12"/>
      <c r="Q359" s="12"/>
      <c r="R359" s="12"/>
      <c r="S359" s="12"/>
      <c r="T359" s="12"/>
      <c r="U359" s="12"/>
      <c r="V359" s="12"/>
      <c r="W359" s="12"/>
      <c r="X359" s="12"/>
      <c r="Y359" s="12"/>
      <c r="Z359" s="12"/>
    </row>
    <row r="360" spans="1:26" ht="15.75" customHeight="1" x14ac:dyDescent="0.25">
      <c r="A360" s="12"/>
      <c r="B360" s="12"/>
      <c r="C360" s="12"/>
      <c r="D360" s="12"/>
      <c r="E360" s="13"/>
      <c r="F360" s="12"/>
      <c r="G360" s="12"/>
      <c r="H360" s="12"/>
      <c r="I360" s="12"/>
      <c r="J360" s="12"/>
      <c r="K360" s="12"/>
      <c r="L360" s="12"/>
      <c r="M360" s="12"/>
      <c r="N360" s="12"/>
      <c r="O360" s="12"/>
      <c r="P360" s="12"/>
      <c r="Q360" s="12"/>
      <c r="R360" s="12"/>
      <c r="S360" s="12"/>
      <c r="T360" s="12"/>
      <c r="U360" s="12"/>
      <c r="V360" s="12"/>
      <c r="W360" s="12"/>
      <c r="X360" s="12"/>
      <c r="Y360" s="12"/>
      <c r="Z360" s="12"/>
    </row>
    <row r="361" spans="1:26" ht="15.75" customHeight="1" x14ac:dyDescent="0.25">
      <c r="A361" s="12"/>
      <c r="B361" s="12"/>
      <c r="C361" s="12"/>
      <c r="D361" s="12"/>
      <c r="E361" s="13"/>
      <c r="F361" s="12"/>
      <c r="G361" s="12"/>
      <c r="H361" s="12"/>
      <c r="I361" s="12"/>
      <c r="J361" s="12"/>
      <c r="K361" s="12"/>
      <c r="L361" s="12"/>
      <c r="M361" s="12"/>
      <c r="N361" s="12"/>
      <c r="O361" s="12"/>
      <c r="P361" s="12"/>
      <c r="Q361" s="12"/>
      <c r="R361" s="12"/>
      <c r="S361" s="12"/>
      <c r="T361" s="12"/>
      <c r="U361" s="12"/>
      <c r="V361" s="12"/>
      <c r="W361" s="12"/>
      <c r="X361" s="12"/>
      <c r="Y361" s="12"/>
      <c r="Z361" s="12"/>
    </row>
    <row r="362" spans="1:26" ht="15.75" customHeight="1" x14ac:dyDescent="0.25">
      <c r="A362" s="12"/>
      <c r="B362" s="12"/>
      <c r="C362" s="12"/>
      <c r="D362" s="12"/>
      <c r="E362" s="13"/>
      <c r="F362" s="12"/>
      <c r="G362" s="12"/>
      <c r="H362" s="12"/>
      <c r="I362" s="12"/>
      <c r="J362" s="12"/>
      <c r="K362" s="12"/>
      <c r="L362" s="12"/>
      <c r="M362" s="12"/>
      <c r="N362" s="12"/>
      <c r="O362" s="12"/>
      <c r="P362" s="12"/>
      <c r="Q362" s="12"/>
      <c r="R362" s="12"/>
      <c r="S362" s="12"/>
      <c r="T362" s="12"/>
      <c r="U362" s="12"/>
      <c r="V362" s="12"/>
      <c r="W362" s="12"/>
      <c r="X362" s="12"/>
      <c r="Y362" s="12"/>
      <c r="Z362" s="12"/>
    </row>
    <row r="363" spans="1:26" ht="15.75" customHeight="1" x14ac:dyDescent="0.25">
      <c r="A363" s="12"/>
      <c r="B363" s="12"/>
      <c r="C363" s="12"/>
      <c r="D363" s="12"/>
      <c r="E363" s="13"/>
      <c r="F363" s="12"/>
      <c r="G363" s="12"/>
      <c r="H363" s="12"/>
      <c r="I363" s="12"/>
      <c r="J363" s="12"/>
      <c r="K363" s="12"/>
      <c r="L363" s="12"/>
      <c r="M363" s="12"/>
      <c r="N363" s="12"/>
      <c r="O363" s="12"/>
      <c r="P363" s="12"/>
      <c r="Q363" s="12"/>
      <c r="R363" s="12"/>
      <c r="S363" s="12"/>
      <c r="T363" s="12"/>
      <c r="U363" s="12"/>
      <c r="V363" s="12"/>
      <c r="W363" s="12"/>
      <c r="X363" s="12"/>
      <c r="Y363" s="12"/>
      <c r="Z363" s="12"/>
    </row>
    <row r="364" spans="1:26" ht="15.75" customHeight="1" x14ac:dyDescent="0.25">
      <c r="A364" s="12"/>
      <c r="B364" s="12"/>
      <c r="C364" s="12"/>
      <c r="D364" s="12"/>
      <c r="E364" s="13"/>
      <c r="F364" s="12"/>
      <c r="G364" s="12"/>
      <c r="H364" s="12"/>
      <c r="I364" s="12"/>
      <c r="J364" s="12"/>
      <c r="K364" s="12"/>
      <c r="L364" s="12"/>
      <c r="M364" s="12"/>
      <c r="N364" s="12"/>
      <c r="O364" s="12"/>
      <c r="P364" s="12"/>
      <c r="Q364" s="12"/>
      <c r="R364" s="12"/>
      <c r="S364" s="12"/>
      <c r="T364" s="12"/>
      <c r="U364" s="12"/>
      <c r="V364" s="12"/>
      <c r="W364" s="12"/>
      <c r="X364" s="12"/>
      <c r="Y364" s="12"/>
      <c r="Z364" s="12"/>
    </row>
    <row r="365" spans="1:26" ht="15.75" customHeight="1" x14ac:dyDescent="0.25">
      <c r="A365" s="12"/>
      <c r="B365" s="12"/>
      <c r="C365" s="12"/>
      <c r="D365" s="12"/>
      <c r="E365" s="13"/>
      <c r="F365" s="12"/>
      <c r="G365" s="12"/>
      <c r="H365" s="12"/>
      <c r="I365" s="12"/>
      <c r="J365" s="12"/>
      <c r="K365" s="12"/>
      <c r="L365" s="12"/>
      <c r="M365" s="12"/>
      <c r="N365" s="12"/>
      <c r="O365" s="12"/>
      <c r="P365" s="12"/>
      <c r="Q365" s="12"/>
      <c r="R365" s="12"/>
      <c r="S365" s="12"/>
      <c r="T365" s="12"/>
      <c r="U365" s="12"/>
      <c r="V365" s="12"/>
      <c r="W365" s="12"/>
      <c r="X365" s="12"/>
      <c r="Y365" s="12"/>
      <c r="Z365" s="12"/>
    </row>
    <row r="366" spans="1:26" ht="15.75" customHeight="1" x14ac:dyDescent="0.25">
      <c r="A366" s="12"/>
      <c r="B366" s="12"/>
      <c r="C366" s="12"/>
      <c r="D366" s="12"/>
      <c r="E366" s="13"/>
      <c r="F366" s="12"/>
      <c r="G366" s="12"/>
      <c r="H366" s="12"/>
      <c r="I366" s="12"/>
      <c r="J366" s="12"/>
      <c r="K366" s="12"/>
      <c r="L366" s="12"/>
      <c r="M366" s="12"/>
      <c r="N366" s="12"/>
      <c r="O366" s="12"/>
      <c r="P366" s="12"/>
      <c r="Q366" s="12"/>
      <c r="R366" s="12"/>
      <c r="S366" s="12"/>
      <c r="T366" s="12"/>
      <c r="U366" s="12"/>
      <c r="V366" s="12"/>
      <c r="W366" s="12"/>
      <c r="X366" s="12"/>
      <c r="Y366" s="12"/>
      <c r="Z366" s="12"/>
    </row>
    <row r="367" spans="1:26" ht="15.75" customHeight="1" x14ac:dyDescent="0.25">
      <c r="A367" s="12"/>
      <c r="B367" s="12"/>
      <c r="C367" s="12"/>
      <c r="D367" s="12"/>
      <c r="E367" s="13"/>
      <c r="F367" s="12"/>
      <c r="G367" s="12"/>
      <c r="H367" s="12"/>
      <c r="I367" s="12"/>
      <c r="J367" s="12"/>
      <c r="K367" s="12"/>
      <c r="L367" s="12"/>
      <c r="M367" s="12"/>
      <c r="N367" s="12"/>
      <c r="O367" s="12"/>
      <c r="P367" s="12"/>
      <c r="Q367" s="12"/>
      <c r="R367" s="12"/>
      <c r="S367" s="12"/>
      <c r="T367" s="12"/>
      <c r="U367" s="12"/>
      <c r="V367" s="12"/>
      <c r="W367" s="12"/>
      <c r="X367" s="12"/>
      <c r="Y367" s="12"/>
      <c r="Z367" s="12"/>
    </row>
    <row r="368" spans="1:26" ht="15.75" customHeight="1" x14ac:dyDescent="0.25">
      <c r="A368" s="12"/>
      <c r="B368" s="12"/>
      <c r="C368" s="12"/>
      <c r="D368" s="12"/>
      <c r="E368" s="13"/>
      <c r="F368" s="12"/>
      <c r="G368" s="12"/>
      <c r="H368" s="12"/>
      <c r="I368" s="12"/>
      <c r="J368" s="12"/>
      <c r="K368" s="12"/>
      <c r="L368" s="12"/>
      <c r="M368" s="12"/>
      <c r="N368" s="12"/>
      <c r="O368" s="12"/>
      <c r="P368" s="12"/>
      <c r="Q368" s="12"/>
      <c r="R368" s="12"/>
      <c r="S368" s="12"/>
      <c r="T368" s="12"/>
      <c r="U368" s="12"/>
      <c r="V368" s="12"/>
      <c r="W368" s="12"/>
      <c r="X368" s="12"/>
      <c r="Y368" s="12"/>
      <c r="Z368" s="12"/>
    </row>
    <row r="369" spans="1:26" ht="15.75" customHeight="1" x14ac:dyDescent="0.25">
      <c r="A369" s="12"/>
      <c r="B369" s="12"/>
      <c r="C369" s="12"/>
      <c r="D369" s="12"/>
      <c r="E369" s="13"/>
      <c r="F369" s="12"/>
      <c r="G369" s="12"/>
      <c r="H369" s="12"/>
      <c r="I369" s="12"/>
      <c r="J369" s="12"/>
      <c r="K369" s="12"/>
      <c r="L369" s="12"/>
      <c r="M369" s="12"/>
      <c r="N369" s="12"/>
      <c r="O369" s="12"/>
      <c r="P369" s="12"/>
      <c r="Q369" s="12"/>
      <c r="R369" s="12"/>
      <c r="S369" s="12"/>
      <c r="T369" s="12"/>
      <c r="U369" s="12"/>
      <c r="V369" s="12"/>
      <c r="W369" s="12"/>
      <c r="X369" s="12"/>
      <c r="Y369" s="12"/>
      <c r="Z369" s="12"/>
    </row>
    <row r="370" spans="1:26" ht="15.75" customHeight="1" x14ac:dyDescent="0.25">
      <c r="A370" s="12"/>
      <c r="B370" s="12"/>
      <c r="C370" s="12"/>
      <c r="D370" s="12"/>
      <c r="E370" s="13"/>
      <c r="F370" s="12"/>
      <c r="G370" s="12"/>
      <c r="H370" s="12"/>
      <c r="I370" s="12"/>
      <c r="J370" s="12"/>
      <c r="K370" s="12"/>
      <c r="L370" s="12"/>
      <c r="M370" s="12"/>
      <c r="N370" s="12"/>
      <c r="O370" s="12"/>
      <c r="P370" s="12"/>
      <c r="Q370" s="12"/>
      <c r="R370" s="12"/>
      <c r="S370" s="12"/>
      <c r="T370" s="12"/>
      <c r="U370" s="12"/>
      <c r="V370" s="12"/>
      <c r="W370" s="12"/>
      <c r="X370" s="12"/>
      <c r="Y370" s="12"/>
      <c r="Z370" s="12"/>
    </row>
    <row r="371" spans="1:26" ht="15.75" customHeight="1" x14ac:dyDescent="0.25">
      <c r="A371" s="12"/>
      <c r="B371" s="12"/>
      <c r="C371" s="12"/>
      <c r="D371" s="12"/>
      <c r="E371" s="13"/>
      <c r="F371" s="12"/>
      <c r="G371" s="12"/>
      <c r="H371" s="12"/>
      <c r="I371" s="12"/>
      <c r="J371" s="12"/>
      <c r="K371" s="12"/>
      <c r="L371" s="12"/>
      <c r="M371" s="12"/>
      <c r="N371" s="12"/>
      <c r="O371" s="12"/>
      <c r="P371" s="12"/>
      <c r="Q371" s="12"/>
      <c r="R371" s="12"/>
      <c r="S371" s="12"/>
      <c r="T371" s="12"/>
      <c r="U371" s="12"/>
      <c r="V371" s="12"/>
      <c r="W371" s="12"/>
      <c r="X371" s="12"/>
      <c r="Y371" s="12"/>
      <c r="Z371" s="12"/>
    </row>
    <row r="372" spans="1:26" ht="15.75" customHeight="1" x14ac:dyDescent="0.25">
      <c r="A372" s="12"/>
      <c r="B372" s="12"/>
      <c r="C372" s="12"/>
      <c r="D372" s="12"/>
      <c r="E372" s="13"/>
      <c r="F372" s="12"/>
      <c r="G372" s="12"/>
      <c r="H372" s="12"/>
      <c r="I372" s="12"/>
      <c r="J372" s="12"/>
      <c r="K372" s="12"/>
      <c r="L372" s="12"/>
      <c r="M372" s="12"/>
      <c r="N372" s="12"/>
      <c r="O372" s="12"/>
      <c r="P372" s="12"/>
      <c r="Q372" s="12"/>
      <c r="R372" s="12"/>
      <c r="S372" s="12"/>
      <c r="T372" s="12"/>
      <c r="U372" s="12"/>
      <c r="V372" s="12"/>
      <c r="W372" s="12"/>
      <c r="X372" s="12"/>
      <c r="Y372" s="12"/>
      <c r="Z372" s="12"/>
    </row>
    <row r="373" spans="1:26" ht="15.75" customHeight="1" x14ac:dyDescent="0.25">
      <c r="A373" s="12"/>
      <c r="B373" s="12"/>
      <c r="C373" s="12"/>
      <c r="D373" s="12"/>
      <c r="E373" s="13"/>
      <c r="F373" s="12"/>
      <c r="G373" s="12"/>
      <c r="H373" s="12"/>
      <c r="I373" s="12"/>
      <c r="J373" s="12"/>
      <c r="K373" s="12"/>
      <c r="L373" s="12"/>
      <c r="M373" s="12"/>
      <c r="N373" s="12"/>
      <c r="O373" s="12"/>
      <c r="P373" s="12"/>
      <c r="Q373" s="12"/>
      <c r="R373" s="12"/>
      <c r="S373" s="12"/>
      <c r="T373" s="12"/>
      <c r="U373" s="12"/>
      <c r="V373" s="12"/>
      <c r="W373" s="12"/>
      <c r="X373" s="12"/>
      <c r="Y373" s="12"/>
      <c r="Z373" s="12"/>
    </row>
    <row r="374" spans="1:26" ht="15.75" customHeight="1" x14ac:dyDescent="0.25">
      <c r="A374" s="12"/>
      <c r="B374" s="12"/>
      <c r="C374" s="12"/>
      <c r="D374" s="12"/>
      <c r="E374" s="13"/>
      <c r="F374" s="12"/>
      <c r="G374" s="12"/>
      <c r="H374" s="12"/>
      <c r="I374" s="12"/>
      <c r="J374" s="12"/>
      <c r="K374" s="12"/>
      <c r="L374" s="12"/>
      <c r="M374" s="12"/>
      <c r="N374" s="12"/>
      <c r="O374" s="12"/>
      <c r="P374" s="12"/>
      <c r="Q374" s="12"/>
      <c r="R374" s="12"/>
      <c r="S374" s="12"/>
      <c r="T374" s="12"/>
      <c r="U374" s="12"/>
      <c r="V374" s="12"/>
      <c r="W374" s="12"/>
      <c r="X374" s="12"/>
      <c r="Y374" s="12"/>
      <c r="Z374" s="12"/>
    </row>
    <row r="375" spans="1:26" ht="15.75" customHeight="1" x14ac:dyDescent="0.25">
      <c r="A375" s="12"/>
      <c r="B375" s="12"/>
      <c r="C375" s="12"/>
      <c r="D375" s="12"/>
      <c r="E375" s="13"/>
      <c r="F375" s="12"/>
      <c r="G375" s="12"/>
      <c r="H375" s="12"/>
      <c r="I375" s="12"/>
      <c r="J375" s="12"/>
      <c r="K375" s="12"/>
      <c r="L375" s="12"/>
      <c r="M375" s="12"/>
      <c r="N375" s="12"/>
      <c r="O375" s="12"/>
      <c r="P375" s="12"/>
      <c r="Q375" s="12"/>
      <c r="R375" s="12"/>
      <c r="S375" s="12"/>
      <c r="T375" s="12"/>
      <c r="U375" s="12"/>
      <c r="V375" s="12"/>
      <c r="W375" s="12"/>
      <c r="X375" s="12"/>
      <c r="Y375" s="12"/>
      <c r="Z375" s="12"/>
    </row>
    <row r="376" spans="1:26" ht="15.75" customHeight="1" x14ac:dyDescent="0.25">
      <c r="A376" s="12"/>
      <c r="B376" s="12"/>
      <c r="C376" s="12"/>
      <c r="D376" s="12"/>
      <c r="E376" s="13"/>
      <c r="F376" s="12"/>
      <c r="G376" s="12"/>
      <c r="H376" s="12"/>
      <c r="I376" s="12"/>
      <c r="J376" s="12"/>
      <c r="K376" s="12"/>
      <c r="L376" s="12"/>
      <c r="M376" s="12"/>
      <c r="N376" s="12"/>
      <c r="O376" s="12"/>
      <c r="P376" s="12"/>
      <c r="Q376" s="12"/>
      <c r="R376" s="12"/>
      <c r="S376" s="12"/>
      <c r="T376" s="12"/>
      <c r="U376" s="12"/>
      <c r="V376" s="12"/>
      <c r="W376" s="12"/>
      <c r="X376" s="12"/>
      <c r="Y376" s="12"/>
      <c r="Z376" s="12"/>
    </row>
    <row r="377" spans="1:26" ht="15.75" customHeight="1" x14ac:dyDescent="0.25">
      <c r="A377" s="12"/>
      <c r="B377" s="12"/>
      <c r="C377" s="12"/>
      <c r="D377" s="12"/>
      <c r="E377" s="13"/>
      <c r="F377" s="12"/>
      <c r="G377" s="12"/>
      <c r="H377" s="12"/>
      <c r="I377" s="12"/>
      <c r="J377" s="12"/>
      <c r="K377" s="12"/>
      <c r="L377" s="12"/>
      <c r="M377" s="12"/>
      <c r="N377" s="12"/>
      <c r="O377" s="12"/>
      <c r="P377" s="12"/>
      <c r="Q377" s="12"/>
      <c r="R377" s="12"/>
      <c r="S377" s="12"/>
      <c r="T377" s="12"/>
      <c r="U377" s="12"/>
      <c r="V377" s="12"/>
      <c r="W377" s="12"/>
      <c r="X377" s="12"/>
      <c r="Y377" s="12"/>
      <c r="Z377" s="12"/>
    </row>
    <row r="378" spans="1:26" ht="15.75" customHeight="1" x14ac:dyDescent="0.25">
      <c r="A378" s="12"/>
      <c r="B378" s="12"/>
      <c r="C378" s="12"/>
      <c r="D378" s="12"/>
      <c r="E378" s="13"/>
      <c r="F378" s="12"/>
      <c r="G378" s="12"/>
      <c r="H378" s="12"/>
      <c r="I378" s="12"/>
      <c r="J378" s="12"/>
      <c r="K378" s="12"/>
      <c r="L378" s="12"/>
      <c r="M378" s="12"/>
      <c r="N378" s="12"/>
      <c r="O378" s="12"/>
      <c r="P378" s="12"/>
      <c r="Q378" s="12"/>
      <c r="R378" s="12"/>
      <c r="S378" s="12"/>
      <c r="T378" s="12"/>
      <c r="U378" s="12"/>
      <c r="V378" s="12"/>
      <c r="W378" s="12"/>
      <c r="X378" s="12"/>
      <c r="Y378" s="12"/>
      <c r="Z378" s="12"/>
    </row>
    <row r="379" spans="1:26" ht="15.75" customHeight="1" x14ac:dyDescent="0.25">
      <c r="A379" s="12"/>
      <c r="B379" s="12"/>
      <c r="C379" s="12"/>
      <c r="D379" s="12"/>
      <c r="E379" s="13"/>
      <c r="F379" s="12"/>
      <c r="G379" s="12"/>
      <c r="H379" s="12"/>
      <c r="I379" s="12"/>
      <c r="J379" s="12"/>
      <c r="K379" s="12"/>
      <c r="L379" s="12"/>
      <c r="M379" s="12"/>
      <c r="N379" s="12"/>
      <c r="O379" s="12"/>
      <c r="P379" s="12"/>
      <c r="Q379" s="12"/>
      <c r="R379" s="12"/>
      <c r="S379" s="12"/>
      <c r="T379" s="12"/>
      <c r="U379" s="12"/>
      <c r="V379" s="12"/>
      <c r="W379" s="12"/>
      <c r="X379" s="12"/>
      <c r="Y379" s="12"/>
      <c r="Z379" s="12"/>
    </row>
    <row r="380" spans="1:26" ht="15.75" customHeight="1" x14ac:dyDescent="0.25">
      <c r="A380" s="12"/>
      <c r="B380" s="12"/>
      <c r="C380" s="12"/>
      <c r="D380" s="12"/>
      <c r="E380" s="13"/>
      <c r="F380" s="12"/>
      <c r="G380" s="12"/>
      <c r="H380" s="12"/>
      <c r="I380" s="12"/>
      <c r="J380" s="12"/>
      <c r="K380" s="12"/>
      <c r="L380" s="12"/>
      <c r="M380" s="12"/>
      <c r="N380" s="12"/>
      <c r="O380" s="12"/>
      <c r="P380" s="12"/>
      <c r="Q380" s="12"/>
      <c r="R380" s="12"/>
      <c r="S380" s="12"/>
      <c r="T380" s="12"/>
      <c r="U380" s="12"/>
      <c r="V380" s="12"/>
      <c r="W380" s="12"/>
      <c r="X380" s="12"/>
      <c r="Y380" s="12"/>
      <c r="Z380" s="12"/>
    </row>
    <row r="381" spans="1:26" ht="15.75" customHeight="1" x14ac:dyDescent="0.25">
      <c r="A381" s="12"/>
      <c r="B381" s="12"/>
      <c r="C381" s="12"/>
      <c r="D381" s="12"/>
      <c r="E381" s="13"/>
      <c r="F381" s="12"/>
      <c r="G381" s="12"/>
      <c r="H381" s="12"/>
      <c r="I381" s="12"/>
      <c r="J381" s="12"/>
      <c r="K381" s="12"/>
      <c r="L381" s="12"/>
      <c r="M381" s="12"/>
      <c r="N381" s="12"/>
      <c r="O381" s="12"/>
      <c r="P381" s="12"/>
      <c r="Q381" s="12"/>
      <c r="R381" s="12"/>
      <c r="S381" s="12"/>
      <c r="T381" s="12"/>
      <c r="U381" s="12"/>
      <c r="V381" s="12"/>
      <c r="W381" s="12"/>
      <c r="X381" s="12"/>
      <c r="Y381" s="12"/>
      <c r="Z381" s="12"/>
    </row>
    <row r="382" spans="1:26" ht="15.75" customHeight="1" x14ac:dyDescent="0.25">
      <c r="A382" s="12"/>
      <c r="B382" s="12"/>
      <c r="C382" s="12"/>
      <c r="D382" s="12"/>
      <c r="E382" s="13"/>
      <c r="F382" s="12"/>
      <c r="G382" s="12"/>
      <c r="H382" s="12"/>
      <c r="I382" s="12"/>
      <c r="J382" s="12"/>
      <c r="K382" s="12"/>
      <c r="L382" s="12"/>
      <c r="M382" s="12"/>
      <c r="N382" s="12"/>
      <c r="O382" s="12"/>
      <c r="P382" s="12"/>
      <c r="Q382" s="12"/>
      <c r="R382" s="12"/>
      <c r="S382" s="12"/>
      <c r="T382" s="12"/>
      <c r="U382" s="12"/>
      <c r="V382" s="12"/>
      <c r="W382" s="12"/>
      <c r="X382" s="12"/>
      <c r="Y382" s="12"/>
      <c r="Z382" s="12"/>
    </row>
    <row r="383" spans="1:26" ht="15.75" customHeight="1" x14ac:dyDescent="0.25">
      <c r="A383" s="12"/>
      <c r="B383" s="12"/>
      <c r="C383" s="12"/>
      <c r="D383" s="12"/>
      <c r="E383" s="13"/>
      <c r="F383" s="12"/>
      <c r="G383" s="12"/>
      <c r="H383" s="12"/>
      <c r="I383" s="12"/>
      <c r="J383" s="12"/>
      <c r="K383" s="12"/>
      <c r="L383" s="12"/>
      <c r="M383" s="12"/>
      <c r="N383" s="12"/>
      <c r="O383" s="12"/>
      <c r="P383" s="12"/>
      <c r="Q383" s="12"/>
      <c r="R383" s="12"/>
      <c r="S383" s="12"/>
      <c r="T383" s="12"/>
      <c r="U383" s="12"/>
      <c r="V383" s="12"/>
      <c r="W383" s="12"/>
      <c r="X383" s="12"/>
      <c r="Y383" s="12"/>
      <c r="Z383" s="12"/>
    </row>
    <row r="384" spans="1:26" ht="15.75" customHeight="1" x14ac:dyDescent="0.25">
      <c r="A384" s="12"/>
      <c r="B384" s="12"/>
      <c r="C384" s="12"/>
      <c r="D384" s="12"/>
      <c r="E384" s="13"/>
      <c r="F384" s="12"/>
      <c r="G384" s="12"/>
      <c r="H384" s="12"/>
      <c r="I384" s="12"/>
      <c r="J384" s="12"/>
      <c r="K384" s="12"/>
      <c r="L384" s="12"/>
      <c r="M384" s="12"/>
      <c r="N384" s="12"/>
      <c r="O384" s="12"/>
      <c r="P384" s="12"/>
      <c r="Q384" s="12"/>
      <c r="R384" s="12"/>
      <c r="S384" s="12"/>
      <c r="T384" s="12"/>
      <c r="U384" s="12"/>
      <c r="V384" s="12"/>
      <c r="W384" s="12"/>
      <c r="X384" s="12"/>
      <c r="Y384" s="12"/>
      <c r="Z384" s="12"/>
    </row>
    <row r="385" spans="1:26" ht="15.75" customHeight="1" x14ac:dyDescent="0.25">
      <c r="A385" s="12"/>
      <c r="B385" s="12"/>
      <c r="C385" s="12"/>
      <c r="D385" s="12"/>
      <c r="E385" s="13"/>
      <c r="F385" s="12"/>
      <c r="G385" s="12"/>
      <c r="H385" s="12"/>
      <c r="I385" s="12"/>
      <c r="J385" s="12"/>
      <c r="K385" s="12"/>
      <c r="L385" s="12"/>
      <c r="M385" s="12"/>
      <c r="N385" s="12"/>
      <c r="O385" s="12"/>
      <c r="P385" s="12"/>
      <c r="Q385" s="12"/>
      <c r="R385" s="12"/>
      <c r="S385" s="12"/>
      <c r="T385" s="12"/>
      <c r="U385" s="12"/>
      <c r="V385" s="12"/>
      <c r="W385" s="12"/>
      <c r="X385" s="12"/>
      <c r="Y385" s="12"/>
      <c r="Z385" s="12"/>
    </row>
    <row r="386" spans="1:26" ht="15.75" customHeight="1" x14ac:dyDescent="0.25">
      <c r="A386" s="12"/>
      <c r="B386" s="12"/>
      <c r="C386" s="12"/>
      <c r="D386" s="12"/>
      <c r="E386" s="13"/>
      <c r="F386" s="12"/>
      <c r="G386" s="12"/>
      <c r="H386" s="12"/>
      <c r="I386" s="12"/>
      <c r="J386" s="12"/>
      <c r="K386" s="12"/>
      <c r="L386" s="12"/>
      <c r="M386" s="12"/>
      <c r="N386" s="12"/>
      <c r="O386" s="12"/>
      <c r="P386" s="12"/>
      <c r="Q386" s="12"/>
      <c r="R386" s="12"/>
      <c r="S386" s="12"/>
      <c r="T386" s="12"/>
      <c r="U386" s="12"/>
      <c r="V386" s="12"/>
      <c r="W386" s="12"/>
      <c r="X386" s="12"/>
      <c r="Y386" s="12"/>
      <c r="Z386" s="12"/>
    </row>
    <row r="387" spans="1:26" ht="15.75" customHeight="1" x14ac:dyDescent="0.25">
      <c r="A387" s="12"/>
      <c r="B387" s="12"/>
      <c r="C387" s="12"/>
      <c r="D387" s="12"/>
      <c r="E387" s="13"/>
      <c r="F387" s="12"/>
      <c r="G387" s="12"/>
      <c r="H387" s="12"/>
      <c r="I387" s="12"/>
      <c r="J387" s="12"/>
      <c r="K387" s="12"/>
      <c r="L387" s="12"/>
      <c r="M387" s="12"/>
      <c r="N387" s="12"/>
      <c r="O387" s="12"/>
      <c r="P387" s="12"/>
      <c r="Q387" s="12"/>
      <c r="R387" s="12"/>
      <c r="S387" s="12"/>
      <c r="T387" s="12"/>
      <c r="U387" s="12"/>
      <c r="V387" s="12"/>
      <c r="W387" s="12"/>
      <c r="X387" s="12"/>
      <c r="Y387" s="12"/>
      <c r="Z387" s="12"/>
    </row>
    <row r="388" spans="1:26" ht="15.75" customHeight="1" x14ac:dyDescent="0.25">
      <c r="A388" s="12"/>
      <c r="B388" s="12"/>
      <c r="C388" s="12"/>
      <c r="D388" s="12"/>
      <c r="E388" s="13"/>
      <c r="F388" s="12"/>
      <c r="G388" s="12"/>
      <c r="H388" s="12"/>
      <c r="I388" s="12"/>
      <c r="J388" s="12"/>
      <c r="K388" s="12"/>
      <c r="L388" s="12"/>
      <c r="M388" s="12"/>
      <c r="N388" s="12"/>
      <c r="O388" s="12"/>
      <c r="P388" s="12"/>
      <c r="Q388" s="12"/>
      <c r="R388" s="12"/>
      <c r="S388" s="12"/>
      <c r="T388" s="12"/>
      <c r="U388" s="12"/>
      <c r="V388" s="12"/>
      <c r="W388" s="12"/>
      <c r="X388" s="12"/>
      <c r="Y388" s="12"/>
      <c r="Z388" s="12"/>
    </row>
    <row r="389" spans="1:26" ht="15.75" customHeight="1" x14ac:dyDescent="0.25">
      <c r="A389" s="12"/>
      <c r="B389" s="12"/>
      <c r="C389" s="12"/>
      <c r="D389" s="12"/>
      <c r="E389" s="13"/>
      <c r="F389" s="12"/>
      <c r="G389" s="12"/>
      <c r="H389" s="12"/>
      <c r="I389" s="12"/>
      <c r="J389" s="12"/>
      <c r="K389" s="12"/>
      <c r="L389" s="12"/>
      <c r="M389" s="12"/>
      <c r="N389" s="12"/>
      <c r="O389" s="12"/>
      <c r="P389" s="12"/>
      <c r="Q389" s="12"/>
      <c r="R389" s="12"/>
      <c r="S389" s="12"/>
      <c r="T389" s="12"/>
      <c r="U389" s="12"/>
      <c r="V389" s="12"/>
      <c r="W389" s="12"/>
      <c r="X389" s="12"/>
      <c r="Y389" s="12"/>
      <c r="Z389" s="12"/>
    </row>
    <row r="390" spans="1:26" ht="15.75" customHeight="1" x14ac:dyDescent="0.25">
      <c r="A390" s="12"/>
      <c r="B390" s="12"/>
      <c r="C390" s="12"/>
      <c r="D390" s="12"/>
      <c r="E390" s="13"/>
      <c r="F390" s="12"/>
      <c r="G390" s="12"/>
      <c r="H390" s="12"/>
      <c r="I390" s="12"/>
      <c r="J390" s="12"/>
      <c r="K390" s="12"/>
      <c r="L390" s="12"/>
      <c r="M390" s="12"/>
      <c r="N390" s="12"/>
      <c r="O390" s="12"/>
      <c r="P390" s="12"/>
      <c r="Q390" s="12"/>
      <c r="R390" s="12"/>
      <c r="S390" s="12"/>
      <c r="T390" s="12"/>
      <c r="U390" s="12"/>
      <c r="V390" s="12"/>
      <c r="W390" s="12"/>
      <c r="X390" s="12"/>
      <c r="Y390" s="12"/>
      <c r="Z390" s="12"/>
    </row>
    <row r="391" spans="1:26" ht="15.75" customHeight="1" x14ac:dyDescent="0.25">
      <c r="A391" s="12"/>
      <c r="B391" s="12"/>
      <c r="C391" s="12"/>
      <c r="D391" s="12"/>
      <c r="E391" s="13"/>
      <c r="F391" s="12"/>
      <c r="G391" s="12"/>
      <c r="H391" s="12"/>
      <c r="I391" s="12"/>
      <c r="J391" s="12"/>
      <c r="K391" s="12"/>
      <c r="L391" s="12"/>
      <c r="M391" s="12"/>
      <c r="N391" s="12"/>
      <c r="O391" s="12"/>
      <c r="P391" s="12"/>
      <c r="Q391" s="12"/>
      <c r="R391" s="12"/>
      <c r="S391" s="12"/>
      <c r="T391" s="12"/>
      <c r="U391" s="12"/>
      <c r="V391" s="12"/>
      <c r="W391" s="12"/>
      <c r="X391" s="12"/>
      <c r="Y391" s="12"/>
      <c r="Z391" s="12"/>
    </row>
    <row r="392" spans="1:26" ht="15.75" customHeight="1" x14ac:dyDescent="0.25">
      <c r="A392" s="12"/>
      <c r="B392" s="12"/>
      <c r="C392" s="12"/>
      <c r="D392" s="12"/>
      <c r="E392" s="13"/>
      <c r="F392" s="12"/>
      <c r="G392" s="12"/>
      <c r="H392" s="12"/>
      <c r="I392" s="12"/>
      <c r="J392" s="12"/>
      <c r="K392" s="12"/>
      <c r="L392" s="12"/>
      <c r="M392" s="12"/>
      <c r="N392" s="12"/>
      <c r="O392" s="12"/>
      <c r="P392" s="12"/>
      <c r="Q392" s="12"/>
      <c r="R392" s="12"/>
      <c r="S392" s="12"/>
      <c r="T392" s="12"/>
      <c r="U392" s="12"/>
      <c r="V392" s="12"/>
      <c r="W392" s="12"/>
      <c r="X392" s="12"/>
      <c r="Y392" s="12"/>
      <c r="Z392" s="12"/>
    </row>
    <row r="393" spans="1:26" ht="15.75" customHeight="1" x14ac:dyDescent="0.25">
      <c r="A393" s="12"/>
      <c r="B393" s="12"/>
      <c r="C393" s="12"/>
      <c r="D393" s="12"/>
      <c r="E393" s="13"/>
      <c r="F393" s="12"/>
      <c r="G393" s="12"/>
      <c r="H393" s="12"/>
      <c r="I393" s="12"/>
      <c r="J393" s="12"/>
      <c r="K393" s="12"/>
      <c r="L393" s="12"/>
      <c r="M393" s="12"/>
      <c r="N393" s="12"/>
      <c r="O393" s="12"/>
      <c r="P393" s="12"/>
      <c r="Q393" s="12"/>
      <c r="R393" s="12"/>
      <c r="S393" s="12"/>
      <c r="T393" s="12"/>
      <c r="U393" s="12"/>
      <c r="V393" s="12"/>
      <c r="W393" s="12"/>
      <c r="X393" s="12"/>
      <c r="Y393" s="12"/>
      <c r="Z393" s="12"/>
    </row>
    <row r="394" spans="1:26" ht="15.75" customHeight="1" x14ac:dyDescent="0.25">
      <c r="A394" s="12"/>
      <c r="B394" s="12"/>
      <c r="C394" s="12"/>
      <c r="D394" s="12"/>
      <c r="E394" s="13"/>
      <c r="F394" s="12"/>
      <c r="G394" s="12"/>
      <c r="H394" s="12"/>
      <c r="I394" s="12"/>
      <c r="J394" s="12"/>
      <c r="K394" s="12"/>
      <c r="L394" s="12"/>
      <c r="M394" s="12"/>
      <c r="N394" s="12"/>
      <c r="O394" s="12"/>
      <c r="P394" s="12"/>
      <c r="Q394" s="12"/>
      <c r="R394" s="12"/>
      <c r="S394" s="12"/>
      <c r="T394" s="12"/>
      <c r="U394" s="12"/>
      <c r="V394" s="12"/>
      <c r="W394" s="12"/>
      <c r="X394" s="12"/>
      <c r="Y394" s="12"/>
      <c r="Z394" s="12"/>
    </row>
    <row r="395" spans="1:26" ht="15.75" customHeight="1" x14ac:dyDescent="0.25">
      <c r="A395" s="12"/>
      <c r="B395" s="12"/>
      <c r="C395" s="12"/>
      <c r="D395" s="12"/>
      <c r="E395" s="13"/>
      <c r="F395" s="12"/>
      <c r="G395" s="12"/>
      <c r="H395" s="12"/>
      <c r="I395" s="12"/>
      <c r="J395" s="12"/>
      <c r="K395" s="12"/>
      <c r="L395" s="12"/>
      <c r="M395" s="12"/>
      <c r="N395" s="12"/>
      <c r="O395" s="12"/>
      <c r="P395" s="12"/>
      <c r="Q395" s="12"/>
      <c r="R395" s="12"/>
      <c r="S395" s="12"/>
      <c r="T395" s="12"/>
      <c r="U395" s="12"/>
      <c r="V395" s="12"/>
      <c r="W395" s="12"/>
      <c r="X395" s="12"/>
      <c r="Y395" s="12"/>
      <c r="Z395" s="12"/>
    </row>
    <row r="396" spans="1:26" ht="15.75" customHeight="1" x14ac:dyDescent="0.25">
      <c r="A396" s="12"/>
      <c r="B396" s="12"/>
      <c r="C396" s="12"/>
      <c r="D396" s="12"/>
      <c r="E396" s="13"/>
      <c r="F396" s="12"/>
      <c r="G396" s="12"/>
      <c r="H396" s="12"/>
      <c r="I396" s="12"/>
      <c r="J396" s="12"/>
      <c r="K396" s="12"/>
      <c r="L396" s="12"/>
      <c r="M396" s="12"/>
      <c r="N396" s="12"/>
      <c r="O396" s="12"/>
      <c r="P396" s="12"/>
      <c r="Q396" s="12"/>
      <c r="R396" s="12"/>
      <c r="S396" s="12"/>
      <c r="T396" s="12"/>
      <c r="U396" s="12"/>
      <c r="V396" s="12"/>
      <c r="W396" s="12"/>
      <c r="X396" s="12"/>
      <c r="Y396" s="12"/>
      <c r="Z396" s="12"/>
    </row>
    <row r="397" spans="1:26" ht="15.75" customHeight="1" x14ac:dyDescent="0.25">
      <c r="A397" s="12"/>
      <c r="B397" s="12"/>
      <c r="C397" s="12"/>
      <c r="D397" s="12"/>
      <c r="E397" s="13"/>
      <c r="F397" s="12"/>
      <c r="G397" s="12"/>
      <c r="H397" s="12"/>
      <c r="I397" s="12"/>
      <c r="J397" s="12"/>
      <c r="K397" s="12"/>
      <c r="L397" s="12"/>
      <c r="M397" s="12"/>
      <c r="N397" s="12"/>
      <c r="O397" s="12"/>
      <c r="P397" s="12"/>
      <c r="Q397" s="12"/>
      <c r="R397" s="12"/>
      <c r="S397" s="12"/>
      <c r="T397" s="12"/>
      <c r="U397" s="12"/>
      <c r="V397" s="12"/>
      <c r="W397" s="12"/>
      <c r="X397" s="12"/>
      <c r="Y397" s="12"/>
      <c r="Z397" s="12"/>
    </row>
    <row r="398" spans="1:26" ht="15.75" customHeight="1" x14ac:dyDescent="0.25">
      <c r="A398" s="12"/>
      <c r="B398" s="12"/>
      <c r="C398" s="12"/>
      <c r="D398" s="12"/>
      <c r="E398" s="13"/>
      <c r="F398" s="12"/>
      <c r="G398" s="12"/>
      <c r="H398" s="12"/>
      <c r="I398" s="12"/>
      <c r="J398" s="12"/>
      <c r="K398" s="12"/>
      <c r="L398" s="12"/>
      <c r="M398" s="12"/>
      <c r="N398" s="12"/>
      <c r="O398" s="12"/>
      <c r="P398" s="12"/>
      <c r="Q398" s="12"/>
      <c r="R398" s="12"/>
      <c r="S398" s="12"/>
      <c r="T398" s="12"/>
      <c r="U398" s="12"/>
      <c r="V398" s="12"/>
      <c r="W398" s="12"/>
      <c r="X398" s="12"/>
      <c r="Y398" s="12"/>
      <c r="Z398" s="12"/>
    </row>
    <row r="399" spans="1:26" ht="15.75" customHeight="1" x14ac:dyDescent="0.25">
      <c r="A399" s="12"/>
      <c r="B399" s="12"/>
      <c r="C399" s="12"/>
      <c r="D399" s="12"/>
      <c r="E399" s="13"/>
      <c r="F399" s="12"/>
      <c r="G399" s="12"/>
      <c r="H399" s="12"/>
      <c r="I399" s="12"/>
      <c r="J399" s="12"/>
      <c r="K399" s="12"/>
      <c r="L399" s="12"/>
      <c r="M399" s="12"/>
      <c r="N399" s="12"/>
      <c r="O399" s="12"/>
      <c r="P399" s="12"/>
      <c r="Q399" s="12"/>
      <c r="R399" s="12"/>
      <c r="S399" s="12"/>
      <c r="T399" s="12"/>
      <c r="U399" s="12"/>
      <c r="V399" s="12"/>
      <c r="W399" s="12"/>
      <c r="X399" s="12"/>
      <c r="Y399" s="12"/>
      <c r="Z399" s="12"/>
    </row>
    <row r="400" spans="1:26" ht="15.75" customHeight="1" x14ac:dyDescent="0.25">
      <c r="A400" s="12"/>
      <c r="B400" s="12"/>
      <c r="C400" s="12"/>
      <c r="D400" s="12"/>
      <c r="E400" s="13"/>
      <c r="F400" s="12"/>
      <c r="G400" s="12"/>
      <c r="H400" s="12"/>
      <c r="I400" s="12"/>
      <c r="J400" s="12"/>
      <c r="K400" s="12"/>
      <c r="L400" s="12"/>
      <c r="M400" s="12"/>
      <c r="N400" s="12"/>
      <c r="O400" s="12"/>
      <c r="P400" s="12"/>
      <c r="Q400" s="12"/>
      <c r="R400" s="12"/>
      <c r="S400" s="12"/>
      <c r="T400" s="12"/>
      <c r="U400" s="12"/>
      <c r="V400" s="12"/>
      <c r="W400" s="12"/>
      <c r="X400" s="12"/>
      <c r="Y400" s="12"/>
      <c r="Z400" s="12"/>
    </row>
    <row r="401" spans="1:26" ht="15.75" customHeight="1" x14ac:dyDescent="0.25">
      <c r="A401" s="12"/>
      <c r="B401" s="12"/>
      <c r="C401" s="12"/>
      <c r="D401" s="12"/>
      <c r="E401" s="13"/>
      <c r="F401" s="12"/>
      <c r="G401" s="12"/>
      <c r="H401" s="12"/>
      <c r="I401" s="12"/>
      <c r="J401" s="12"/>
      <c r="K401" s="12"/>
      <c r="L401" s="12"/>
      <c r="M401" s="12"/>
      <c r="N401" s="12"/>
      <c r="O401" s="12"/>
      <c r="P401" s="12"/>
      <c r="Q401" s="12"/>
      <c r="R401" s="12"/>
      <c r="S401" s="12"/>
      <c r="T401" s="12"/>
      <c r="U401" s="12"/>
      <c r="V401" s="12"/>
      <c r="W401" s="12"/>
      <c r="X401" s="12"/>
      <c r="Y401" s="12"/>
      <c r="Z401" s="12"/>
    </row>
    <row r="402" spans="1:26" ht="15.75" customHeight="1" x14ac:dyDescent="0.25">
      <c r="A402" s="12"/>
      <c r="B402" s="12"/>
      <c r="C402" s="12"/>
      <c r="D402" s="12"/>
      <c r="E402" s="13"/>
      <c r="F402" s="12"/>
      <c r="G402" s="12"/>
      <c r="H402" s="12"/>
      <c r="I402" s="12"/>
      <c r="J402" s="12"/>
      <c r="K402" s="12"/>
      <c r="L402" s="12"/>
      <c r="M402" s="12"/>
      <c r="N402" s="12"/>
      <c r="O402" s="12"/>
      <c r="P402" s="12"/>
      <c r="Q402" s="12"/>
      <c r="R402" s="12"/>
      <c r="S402" s="12"/>
      <c r="T402" s="12"/>
      <c r="U402" s="12"/>
      <c r="V402" s="12"/>
      <c r="W402" s="12"/>
      <c r="X402" s="12"/>
      <c r="Y402" s="12"/>
      <c r="Z402" s="12"/>
    </row>
    <row r="403" spans="1:26" ht="15.75" customHeight="1" x14ac:dyDescent="0.25">
      <c r="A403" s="12"/>
      <c r="B403" s="12"/>
      <c r="C403" s="12"/>
      <c r="D403" s="12"/>
      <c r="E403" s="13"/>
      <c r="F403" s="12"/>
      <c r="G403" s="12"/>
      <c r="H403" s="12"/>
      <c r="I403" s="12"/>
      <c r="J403" s="12"/>
      <c r="K403" s="12"/>
      <c r="L403" s="12"/>
      <c r="M403" s="12"/>
      <c r="N403" s="12"/>
      <c r="O403" s="12"/>
      <c r="P403" s="12"/>
      <c r="Q403" s="12"/>
      <c r="R403" s="12"/>
      <c r="S403" s="12"/>
      <c r="T403" s="12"/>
      <c r="U403" s="12"/>
      <c r="V403" s="12"/>
      <c r="W403" s="12"/>
      <c r="X403" s="12"/>
      <c r="Y403" s="12"/>
      <c r="Z403" s="12"/>
    </row>
    <row r="404" spans="1:26" ht="15.75" customHeight="1" x14ac:dyDescent="0.25">
      <c r="A404" s="12"/>
      <c r="B404" s="12"/>
      <c r="C404" s="12"/>
      <c r="D404" s="12"/>
      <c r="E404" s="13"/>
      <c r="F404" s="12"/>
      <c r="G404" s="12"/>
      <c r="H404" s="12"/>
      <c r="I404" s="12"/>
      <c r="J404" s="12"/>
      <c r="K404" s="12"/>
      <c r="L404" s="12"/>
      <c r="M404" s="12"/>
      <c r="N404" s="12"/>
      <c r="O404" s="12"/>
      <c r="P404" s="12"/>
      <c r="Q404" s="12"/>
      <c r="R404" s="12"/>
      <c r="S404" s="12"/>
      <c r="T404" s="12"/>
      <c r="U404" s="12"/>
      <c r="V404" s="12"/>
      <c r="W404" s="12"/>
      <c r="X404" s="12"/>
      <c r="Y404" s="12"/>
      <c r="Z404" s="12"/>
    </row>
    <row r="405" spans="1:26" ht="15.75" customHeight="1" x14ac:dyDescent="0.25">
      <c r="A405" s="12"/>
      <c r="B405" s="12"/>
      <c r="C405" s="12"/>
      <c r="D405" s="12"/>
      <c r="E405" s="13"/>
      <c r="F405" s="12"/>
      <c r="G405" s="12"/>
      <c r="H405" s="12"/>
      <c r="I405" s="12"/>
      <c r="J405" s="12"/>
      <c r="K405" s="12"/>
      <c r="L405" s="12"/>
      <c r="M405" s="12"/>
      <c r="N405" s="12"/>
      <c r="O405" s="12"/>
      <c r="P405" s="12"/>
      <c r="Q405" s="12"/>
      <c r="R405" s="12"/>
      <c r="S405" s="12"/>
      <c r="T405" s="12"/>
      <c r="U405" s="12"/>
      <c r="V405" s="12"/>
      <c r="W405" s="12"/>
      <c r="X405" s="12"/>
      <c r="Y405" s="12"/>
      <c r="Z405" s="12"/>
    </row>
    <row r="406" spans="1:26" ht="15.75" customHeight="1" x14ac:dyDescent="0.25">
      <c r="A406" s="12"/>
      <c r="B406" s="12"/>
      <c r="C406" s="12"/>
      <c r="D406" s="12"/>
      <c r="E406" s="13"/>
      <c r="F406" s="12"/>
      <c r="G406" s="12"/>
      <c r="H406" s="12"/>
      <c r="I406" s="12"/>
      <c r="J406" s="12"/>
      <c r="K406" s="12"/>
      <c r="L406" s="12"/>
      <c r="M406" s="12"/>
      <c r="N406" s="12"/>
      <c r="O406" s="12"/>
      <c r="P406" s="12"/>
      <c r="Q406" s="12"/>
      <c r="R406" s="12"/>
      <c r="S406" s="12"/>
      <c r="T406" s="12"/>
      <c r="U406" s="12"/>
      <c r="V406" s="12"/>
      <c r="W406" s="12"/>
      <c r="X406" s="12"/>
      <c r="Y406" s="12"/>
      <c r="Z406" s="12"/>
    </row>
    <row r="407" spans="1:26" ht="15.75" customHeight="1" x14ac:dyDescent="0.25">
      <c r="A407" s="12"/>
      <c r="B407" s="12"/>
      <c r="C407" s="12"/>
      <c r="D407" s="12"/>
      <c r="E407" s="13"/>
      <c r="F407" s="12"/>
      <c r="G407" s="12"/>
      <c r="H407" s="12"/>
      <c r="I407" s="12"/>
      <c r="J407" s="12"/>
      <c r="K407" s="12"/>
      <c r="L407" s="12"/>
      <c r="M407" s="12"/>
      <c r="N407" s="12"/>
      <c r="O407" s="12"/>
      <c r="P407" s="12"/>
      <c r="Q407" s="12"/>
      <c r="R407" s="12"/>
      <c r="S407" s="12"/>
      <c r="T407" s="12"/>
      <c r="U407" s="12"/>
      <c r="V407" s="12"/>
      <c r="W407" s="12"/>
      <c r="X407" s="12"/>
      <c r="Y407" s="12"/>
      <c r="Z407" s="12"/>
    </row>
    <row r="408" spans="1:26" ht="15.75" customHeight="1" x14ac:dyDescent="0.25">
      <c r="A408" s="12"/>
      <c r="B408" s="12"/>
      <c r="C408" s="12"/>
      <c r="D408" s="12"/>
      <c r="E408" s="13"/>
      <c r="F408" s="12"/>
      <c r="G408" s="12"/>
      <c r="H408" s="12"/>
      <c r="I408" s="12"/>
      <c r="J408" s="12"/>
      <c r="K408" s="12"/>
      <c r="L408" s="12"/>
      <c r="M408" s="12"/>
      <c r="N408" s="12"/>
      <c r="O408" s="12"/>
      <c r="P408" s="12"/>
      <c r="Q408" s="12"/>
      <c r="R408" s="12"/>
      <c r="S408" s="12"/>
      <c r="T408" s="12"/>
      <c r="U408" s="12"/>
      <c r="V408" s="12"/>
      <c r="W408" s="12"/>
      <c r="X408" s="12"/>
      <c r="Y408" s="12"/>
      <c r="Z408" s="12"/>
    </row>
    <row r="409" spans="1:26" ht="15.75" customHeight="1" x14ac:dyDescent="0.25">
      <c r="A409" s="12"/>
      <c r="B409" s="12"/>
      <c r="C409" s="12"/>
      <c r="D409" s="12"/>
      <c r="E409" s="13"/>
      <c r="F409" s="12"/>
      <c r="G409" s="12"/>
      <c r="H409" s="12"/>
      <c r="I409" s="12"/>
      <c r="J409" s="12"/>
      <c r="K409" s="12"/>
      <c r="L409" s="12"/>
      <c r="M409" s="12"/>
      <c r="N409" s="12"/>
      <c r="O409" s="12"/>
      <c r="P409" s="12"/>
      <c r="Q409" s="12"/>
      <c r="R409" s="12"/>
      <c r="S409" s="12"/>
      <c r="T409" s="12"/>
      <c r="U409" s="12"/>
      <c r="V409" s="12"/>
      <c r="W409" s="12"/>
      <c r="X409" s="12"/>
      <c r="Y409" s="12"/>
      <c r="Z409" s="12"/>
    </row>
    <row r="410" spans="1:26" ht="15.75" customHeight="1" x14ac:dyDescent="0.25">
      <c r="A410" s="12"/>
      <c r="B410" s="12"/>
      <c r="C410" s="12"/>
      <c r="D410" s="12"/>
      <c r="E410" s="13"/>
      <c r="F410" s="12"/>
      <c r="G410" s="12"/>
      <c r="H410" s="12"/>
      <c r="I410" s="12"/>
      <c r="J410" s="12"/>
      <c r="K410" s="12"/>
      <c r="L410" s="12"/>
      <c r="M410" s="12"/>
      <c r="N410" s="12"/>
      <c r="O410" s="12"/>
      <c r="P410" s="12"/>
      <c r="Q410" s="12"/>
      <c r="R410" s="12"/>
      <c r="S410" s="12"/>
      <c r="T410" s="12"/>
      <c r="U410" s="12"/>
      <c r="V410" s="12"/>
      <c r="W410" s="12"/>
      <c r="X410" s="12"/>
      <c r="Y410" s="12"/>
      <c r="Z410" s="12"/>
    </row>
    <row r="411" spans="1:26" ht="15.75" customHeight="1" x14ac:dyDescent="0.25">
      <c r="A411" s="12"/>
      <c r="B411" s="12"/>
      <c r="C411" s="12"/>
      <c r="D411" s="12"/>
      <c r="E411" s="13"/>
      <c r="F411" s="12"/>
      <c r="G411" s="12"/>
      <c r="H411" s="12"/>
      <c r="I411" s="12"/>
      <c r="J411" s="12"/>
      <c r="K411" s="12"/>
      <c r="L411" s="12"/>
      <c r="M411" s="12"/>
      <c r="N411" s="12"/>
      <c r="O411" s="12"/>
      <c r="P411" s="12"/>
      <c r="Q411" s="12"/>
      <c r="R411" s="12"/>
      <c r="S411" s="12"/>
      <c r="T411" s="12"/>
      <c r="U411" s="12"/>
      <c r="V411" s="12"/>
      <c r="W411" s="12"/>
      <c r="X411" s="12"/>
      <c r="Y411" s="12"/>
      <c r="Z411" s="12"/>
    </row>
    <row r="412" spans="1:26" ht="15.75" customHeight="1" x14ac:dyDescent="0.25">
      <c r="A412" s="12"/>
      <c r="B412" s="12"/>
      <c r="C412" s="12"/>
      <c r="D412" s="12"/>
      <c r="E412" s="13"/>
      <c r="F412" s="12"/>
      <c r="G412" s="12"/>
      <c r="H412" s="12"/>
      <c r="I412" s="12"/>
      <c r="J412" s="12"/>
      <c r="K412" s="12"/>
      <c r="L412" s="12"/>
      <c r="M412" s="12"/>
      <c r="N412" s="12"/>
      <c r="O412" s="12"/>
      <c r="P412" s="12"/>
      <c r="Q412" s="12"/>
      <c r="R412" s="12"/>
      <c r="S412" s="12"/>
      <c r="T412" s="12"/>
      <c r="U412" s="12"/>
      <c r="V412" s="12"/>
      <c r="W412" s="12"/>
      <c r="X412" s="12"/>
      <c r="Y412" s="12"/>
      <c r="Z412" s="12"/>
    </row>
    <row r="413" spans="1:26" ht="15.75" customHeight="1" x14ac:dyDescent="0.25">
      <c r="A413" s="12"/>
      <c r="B413" s="12"/>
      <c r="C413" s="12"/>
      <c r="D413" s="12"/>
      <c r="E413" s="13"/>
      <c r="F413" s="12"/>
      <c r="G413" s="12"/>
      <c r="H413" s="12"/>
      <c r="I413" s="12"/>
      <c r="J413" s="12"/>
      <c r="K413" s="12"/>
      <c r="L413" s="12"/>
      <c r="M413" s="12"/>
      <c r="N413" s="12"/>
      <c r="O413" s="12"/>
      <c r="P413" s="12"/>
      <c r="Q413" s="12"/>
      <c r="R413" s="12"/>
      <c r="S413" s="12"/>
      <c r="T413" s="12"/>
      <c r="U413" s="12"/>
      <c r="V413" s="12"/>
      <c r="W413" s="12"/>
      <c r="X413" s="12"/>
      <c r="Y413" s="12"/>
      <c r="Z413" s="12"/>
    </row>
    <row r="414" spans="1:26" ht="15.75" customHeight="1" x14ac:dyDescent="0.25">
      <c r="A414" s="12"/>
      <c r="B414" s="12"/>
      <c r="C414" s="12"/>
      <c r="D414" s="12"/>
      <c r="E414" s="13"/>
      <c r="F414" s="12"/>
      <c r="G414" s="12"/>
      <c r="H414" s="12"/>
      <c r="I414" s="12"/>
      <c r="J414" s="12"/>
      <c r="K414" s="12"/>
      <c r="L414" s="12"/>
      <c r="M414" s="12"/>
      <c r="N414" s="12"/>
      <c r="O414" s="12"/>
      <c r="P414" s="12"/>
      <c r="Q414" s="12"/>
      <c r="R414" s="12"/>
      <c r="S414" s="12"/>
      <c r="T414" s="12"/>
      <c r="U414" s="12"/>
      <c r="V414" s="12"/>
      <c r="W414" s="12"/>
      <c r="X414" s="12"/>
      <c r="Y414" s="12"/>
      <c r="Z414" s="12"/>
    </row>
    <row r="415" spans="1:26" ht="15.75" customHeight="1" x14ac:dyDescent="0.25">
      <c r="A415" s="12"/>
      <c r="B415" s="12"/>
      <c r="C415" s="12"/>
      <c r="D415" s="12"/>
      <c r="E415" s="13"/>
      <c r="F415" s="12"/>
      <c r="G415" s="12"/>
      <c r="H415" s="12"/>
      <c r="I415" s="12"/>
      <c r="J415" s="12"/>
      <c r="K415" s="12"/>
      <c r="L415" s="12"/>
      <c r="M415" s="12"/>
      <c r="N415" s="12"/>
      <c r="O415" s="12"/>
      <c r="P415" s="12"/>
      <c r="Q415" s="12"/>
      <c r="R415" s="12"/>
      <c r="S415" s="12"/>
      <c r="T415" s="12"/>
      <c r="U415" s="12"/>
      <c r="V415" s="12"/>
      <c r="W415" s="12"/>
      <c r="X415" s="12"/>
      <c r="Y415" s="12"/>
      <c r="Z415" s="12"/>
    </row>
    <row r="416" spans="1:26" ht="15.75" customHeight="1" x14ac:dyDescent="0.25">
      <c r="A416" s="12"/>
      <c r="B416" s="12"/>
      <c r="C416" s="12"/>
      <c r="D416" s="12"/>
      <c r="E416" s="13"/>
      <c r="F416" s="12"/>
      <c r="G416" s="12"/>
      <c r="H416" s="12"/>
      <c r="I416" s="12"/>
      <c r="J416" s="12"/>
      <c r="K416" s="12"/>
      <c r="L416" s="12"/>
      <c r="M416" s="12"/>
      <c r="N416" s="12"/>
      <c r="O416" s="12"/>
      <c r="P416" s="12"/>
      <c r="Q416" s="12"/>
      <c r="R416" s="12"/>
      <c r="S416" s="12"/>
      <c r="T416" s="12"/>
      <c r="U416" s="12"/>
      <c r="V416" s="12"/>
      <c r="W416" s="12"/>
      <c r="X416" s="12"/>
      <c r="Y416" s="12"/>
      <c r="Z416" s="12"/>
    </row>
    <row r="417" spans="1:26" ht="15.75" customHeight="1" x14ac:dyDescent="0.25">
      <c r="A417" s="12"/>
      <c r="B417" s="12"/>
      <c r="C417" s="12"/>
      <c r="D417" s="12"/>
      <c r="E417" s="13"/>
      <c r="F417" s="12"/>
      <c r="G417" s="12"/>
      <c r="H417" s="12"/>
      <c r="I417" s="12"/>
      <c r="J417" s="12"/>
      <c r="K417" s="12"/>
      <c r="L417" s="12"/>
      <c r="M417" s="12"/>
      <c r="N417" s="12"/>
      <c r="O417" s="12"/>
      <c r="P417" s="12"/>
      <c r="Q417" s="12"/>
      <c r="R417" s="12"/>
      <c r="S417" s="12"/>
      <c r="T417" s="12"/>
      <c r="U417" s="12"/>
      <c r="V417" s="12"/>
      <c r="W417" s="12"/>
      <c r="X417" s="12"/>
      <c r="Y417" s="12"/>
      <c r="Z417" s="12"/>
    </row>
    <row r="418" spans="1:26" ht="15.75" customHeight="1" x14ac:dyDescent="0.25">
      <c r="A418" s="12"/>
      <c r="B418" s="12"/>
      <c r="C418" s="12"/>
      <c r="D418" s="12"/>
      <c r="E418" s="13"/>
      <c r="F418" s="12"/>
      <c r="G418" s="12"/>
      <c r="H418" s="12"/>
      <c r="I418" s="12"/>
      <c r="J418" s="12"/>
      <c r="K418" s="12"/>
      <c r="L418" s="12"/>
      <c r="M418" s="12"/>
      <c r="N418" s="12"/>
      <c r="O418" s="12"/>
      <c r="P418" s="12"/>
      <c r="Q418" s="12"/>
      <c r="R418" s="12"/>
      <c r="S418" s="12"/>
      <c r="T418" s="12"/>
      <c r="U418" s="12"/>
      <c r="V418" s="12"/>
      <c r="W418" s="12"/>
      <c r="X418" s="12"/>
      <c r="Y418" s="12"/>
      <c r="Z418" s="12"/>
    </row>
    <row r="419" spans="1:26" ht="15.75" customHeight="1" x14ac:dyDescent="0.25">
      <c r="A419" s="12"/>
      <c r="B419" s="12"/>
      <c r="C419" s="12"/>
      <c r="D419" s="12"/>
      <c r="E419" s="13"/>
      <c r="F419" s="12"/>
      <c r="G419" s="12"/>
      <c r="H419" s="12"/>
      <c r="I419" s="12"/>
      <c r="J419" s="12"/>
      <c r="K419" s="12"/>
      <c r="L419" s="12"/>
      <c r="M419" s="12"/>
      <c r="N419" s="12"/>
      <c r="O419" s="12"/>
      <c r="P419" s="12"/>
      <c r="Q419" s="12"/>
      <c r="R419" s="12"/>
      <c r="S419" s="12"/>
      <c r="T419" s="12"/>
      <c r="U419" s="12"/>
      <c r="V419" s="12"/>
      <c r="W419" s="12"/>
      <c r="X419" s="12"/>
      <c r="Y419" s="12"/>
      <c r="Z419" s="12"/>
    </row>
    <row r="420" spans="1:26" ht="15.75" customHeight="1" x14ac:dyDescent="0.25">
      <c r="A420" s="12"/>
      <c r="B420" s="12"/>
      <c r="C420" s="12"/>
      <c r="D420" s="12"/>
      <c r="E420" s="13"/>
      <c r="F420" s="12"/>
      <c r="G420" s="12"/>
      <c r="H420" s="12"/>
      <c r="I420" s="12"/>
      <c r="J420" s="12"/>
      <c r="K420" s="12"/>
      <c r="L420" s="12"/>
      <c r="M420" s="12"/>
      <c r="N420" s="12"/>
      <c r="O420" s="12"/>
      <c r="P420" s="12"/>
      <c r="Q420" s="12"/>
      <c r="R420" s="12"/>
      <c r="S420" s="12"/>
      <c r="T420" s="12"/>
      <c r="U420" s="12"/>
      <c r="V420" s="12"/>
      <c r="W420" s="12"/>
      <c r="X420" s="12"/>
      <c r="Y420" s="12"/>
      <c r="Z420" s="12"/>
    </row>
    <row r="421" spans="1:26" ht="15.75" customHeight="1" x14ac:dyDescent="0.25">
      <c r="A421" s="12"/>
      <c r="B421" s="12"/>
      <c r="C421" s="12"/>
      <c r="D421" s="12"/>
      <c r="E421" s="13"/>
      <c r="F421" s="12"/>
      <c r="G421" s="12"/>
      <c r="H421" s="12"/>
      <c r="I421" s="12"/>
      <c r="J421" s="12"/>
      <c r="K421" s="12"/>
      <c r="L421" s="12"/>
      <c r="M421" s="12"/>
      <c r="N421" s="12"/>
      <c r="O421" s="12"/>
      <c r="P421" s="12"/>
      <c r="Q421" s="12"/>
      <c r="R421" s="12"/>
      <c r="S421" s="12"/>
      <c r="T421" s="12"/>
      <c r="U421" s="12"/>
      <c r="V421" s="12"/>
      <c r="W421" s="12"/>
      <c r="X421" s="12"/>
      <c r="Y421" s="12"/>
      <c r="Z421" s="12"/>
    </row>
    <row r="422" spans="1:26" ht="15.75" customHeight="1" x14ac:dyDescent="0.25">
      <c r="A422" s="12"/>
      <c r="B422" s="12"/>
      <c r="C422" s="12"/>
      <c r="D422" s="12"/>
      <c r="E422" s="13"/>
      <c r="F422" s="12"/>
      <c r="G422" s="12"/>
      <c r="H422" s="12"/>
      <c r="I422" s="12"/>
      <c r="J422" s="12"/>
      <c r="K422" s="12"/>
      <c r="L422" s="12"/>
      <c r="M422" s="12"/>
      <c r="N422" s="12"/>
      <c r="O422" s="12"/>
      <c r="P422" s="12"/>
      <c r="Q422" s="12"/>
      <c r="R422" s="12"/>
      <c r="S422" s="12"/>
      <c r="T422" s="12"/>
      <c r="U422" s="12"/>
      <c r="V422" s="12"/>
      <c r="W422" s="12"/>
      <c r="X422" s="12"/>
      <c r="Y422" s="12"/>
      <c r="Z422" s="12"/>
    </row>
    <row r="423" spans="1:26" ht="15.75" customHeight="1" x14ac:dyDescent="0.25">
      <c r="A423" s="12"/>
      <c r="B423" s="12"/>
      <c r="C423" s="12"/>
      <c r="D423" s="12"/>
      <c r="E423" s="13"/>
      <c r="F423" s="12"/>
      <c r="G423" s="12"/>
      <c r="H423" s="12"/>
      <c r="I423" s="12"/>
      <c r="J423" s="12"/>
      <c r="K423" s="12"/>
      <c r="L423" s="12"/>
      <c r="M423" s="12"/>
      <c r="N423" s="12"/>
      <c r="O423" s="12"/>
      <c r="P423" s="12"/>
      <c r="Q423" s="12"/>
      <c r="R423" s="12"/>
      <c r="S423" s="12"/>
      <c r="T423" s="12"/>
      <c r="U423" s="12"/>
      <c r="V423" s="12"/>
      <c r="W423" s="12"/>
      <c r="X423" s="12"/>
      <c r="Y423" s="12"/>
      <c r="Z423" s="12"/>
    </row>
    <row r="424" spans="1:26" ht="15.75" customHeight="1" x14ac:dyDescent="0.25">
      <c r="A424" s="12"/>
      <c r="B424" s="12"/>
      <c r="C424" s="12"/>
      <c r="D424" s="12"/>
      <c r="E424" s="13"/>
      <c r="F424" s="12"/>
      <c r="G424" s="12"/>
      <c r="H424" s="12"/>
      <c r="I424" s="12"/>
      <c r="J424" s="12"/>
      <c r="K424" s="12"/>
      <c r="L424" s="12"/>
      <c r="M424" s="12"/>
      <c r="N424" s="12"/>
      <c r="O424" s="12"/>
      <c r="P424" s="12"/>
      <c r="Q424" s="12"/>
      <c r="R424" s="12"/>
      <c r="S424" s="12"/>
      <c r="T424" s="12"/>
      <c r="U424" s="12"/>
      <c r="V424" s="12"/>
      <c r="W424" s="12"/>
      <c r="X424" s="12"/>
      <c r="Y424" s="12"/>
      <c r="Z424" s="12"/>
    </row>
    <row r="425" spans="1:26" ht="15.75" customHeight="1" x14ac:dyDescent="0.25">
      <c r="A425" s="12"/>
      <c r="B425" s="12"/>
      <c r="C425" s="12"/>
      <c r="D425" s="12"/>
      <c r="E425" s="13"/>
      <c r="F425" s="12"/>
      <c r="G425" s="12"/>
      <c r="H425" s="12"/>
      <c r="I425" s="12"/>
      <c r="J425" s="12"/>
      <c r="K425" s="12"/>
      <c r="L425" s="12"/>
      <c r="M425" s="12"/>
      <c r="N425" s="12"/>
      <c r="O425" s="12"/>
      <c r="P425" s="12"/>
      <c r="Q425" s="12"/>
      <c r="R425" s="12"/>
      <c r="S425" s="12"/>
      <c r="T425" s="12"/>
      <c r="U425" s="12"/>
      <c r="V425" s="12"/>
      <c r="W425" s="12"/>
      <c r="X425" s="12"/>
      <c r="Y425" s="12"/>
      <c r="Z425" s="12"/>
    </row>
    <row r="426" spans="1:26" ht="15.75" customHeight="1" x14ac:dyDescent="0.25">
      <c r="A426" s="12"/>
      <c r="B426" s="12"/>
      <c r="C426" s="12"/>
      <c r="D426" s="12"/>
      <c r="E426" s="13"/>
      <c r="F426" s="12"/>
      <c r="G426" s="12"/>
      <c r="H426" s="12"/>
      <c r="I426" s="12"/>
      <c r="J426" s="12"/>
      <c r="K426" s="12"/>
      <c r="L426" s="12"/>
      <c r="M426" s="12"/>
      <c r="N426" s="12"/>
      <c r="O426" s="12"/>
      <c r="P426" s="12"/>
      <c r="Q426" s="12"/>
      <c r="R426" s="12"/>
      <c r="S426" s="12"/>
      <c r="T426" s="12"/>
      <c r="U426" s="12"/>
      <c r="V426" s="12"/>
      <c r="W426" s="12"/>
      <c r="X426" s="12"/>
      <c r="Y426" s="12"/>
      <c r="Z426" s="12"/>
    </row>
    <row r="427" spans="1:26" ht="15.75" customHeight="1" x14ac:dyDescent="0.25">
      <c r="A427" s="12"/>
      <c r="B427" s="12"/>
      <c r="C427" s="12"/>
      <c r="D427" s="12"/>
      <c r="E427" s="13"/>
      <c r="F427" s="12"/>
      <c r="G427" s="12"/>
      <c r="H427" s="12"/>
      <c r="I427" s="12"/>
      <c r="J427" s="12"/>
      <c r="K427" s="12"/>
      <c r="L427" s="12"/>
      <c r="M427" s="12"/>
      <c r="N427" s="12"/>
      <c r="O427" s="12"/>
      <c r="P427" s="12"/>
      <c r="Q427" s="12"/>
      <c r="R427" s="12"/>
      <c r="S427" s="12"/>
      <c r="T427" s="12"/>
      <c r="U427" s="12"/>
      <c r="V427" s="12"/>
      <c r="W427" s="12"/>
      <c r="X427" s="12"/>
      <c r="Y427" s="12"/>
      <c r="Z427" s="12"/>
    </row>
    <row r="428" spans="1:26" ht="15.75" customHeight="1" x14ac:dyDescent="0.25">
      <c r="A428" s="12"/>
      <c r="B428" s="12"/>
      <c r="C428" s="12"/>
      <c r="D428" s="12"/>
      <c r="E428" s="13"/>
      <c r="F428" s="12"/>
      <c r="G428" s="12"/>
      <c r="H428" s="12"/>
      <c r="I428" s="12"/>
      <c r="J428" s="12"/>
      <c r="K428" s="12"/>
      <c r="L428" s="12"/>
      <c r="M428" s="12"/>
      <c r="N428" s="12"/>
      <c r="O428" s="12"/>
      <c r="P428" s="12"/>
      <c r="Q428" s="12"/>
      <c r="R428" s="12"/>
      <c r="S428" s="12"/>
      <c r="T428" s="12"/>
      <c r="U428" s="12"/>
      <c r="V428" s="12"/>
      <c r="W428" s="12"/>
      <c r="X428" s="12"/>
      <c r="Y428" s="12"/>
      <c r="Z428" s="12"/>
    </row>
    <row r="429" spans="1:26" ht="15.75" customHeight="1" x14ac:dyDescent="0.25">
      <c r="A429" s="12"/>
      <c r="B429" s="12"/>
      <c r="C429" s="12"/>
      <c r="D429" s="12"/>
      <c r="E429" s="13"/>
      <c r="F429" s="12"/>
      <c r="G429" s="12"/>
      <c r="H429" s="12"/>
      <c r="I429" s="12"/>
      <c r="J429" s="12"/>
      <c r="K429" s="12"/>
      <c r="L429" s="12"/>
      <c r="M429" s="12"/>
      <c r="N429" s="12"/>
      <c r="O429" s="12"/>
      <c r="P429" s="12"/>
      <c r="Q429" s="12"/>
      <c r="R429" s="12"/>
      <c r="S429" s="12"/>
      <c r="T429" s="12"/>
      <c r="U429" s="12"/>
      <c r="V429" s="12"/>
      <c r="W429" s="12"/>
      <c r="X429" s="12"/>
      <c r="Y429" s="12"/>
      <c r="Z429" s="12"/>
    </row>
    <row r="430" spans="1:26" ht="15.75" customHeight="1" x14ac:dyDescent="0.25">
      <c r="A430" s="12"/>
      <c r="B430" s="12"/>
      <c r="C430" s="12"/>
      <c r="D430" s="12"/>
      <c r="E430" s="13"/>
      <c r="F430" s="12"/>
      <c r="G430" s="12"/>
      <c r="H430" s="12"/>
      <c r="I430" s="12"/>
      <c r="J430" s="12"/>
      <c r="K430" s="12"/>
      <c r="L430" s="12"/>
      <c r="M430" s="12"/>
      <c r="N430" s="12"/>
      <c r="O430" s="12"/>
      <c r="P430" s="12"/>
      <c r="Q430" s="12"/>
      <c r="R430" s="12"/>
      <c r="S430" s="12"/>
      <c r="T430" s="12"/>
      <c r="U430" s="12"/>
      <c r="V430" s="12"/>
      <c r="W430" s="12"/>
      <c r="X430" s="12"/>
      <c r="Y430" s="12"/>
      <c r="Z430" s="12"/>
    </row>
    <row r="431" spans="1:26" ht="15.75" customHeight="1" x14ac:dyDescent="0.25">
      <c r="A431" s="12"/>
      <c r="B431" s="12"/>
      <c r="C431" s="12"/>
      <c r="D431" s="12"/>
      <c r="E431" s="13"/>
      <c r="F431" s="12"/>
      <c r="G431" s="12"/>
      <c r="H431" s="12"/>
      <c r="I431" s="12"/>
      <c r="J431" s="12"/>
      <c r="K431" s="12"/>
      <c r="L431" s="12"/>
      <c r="M431" s="12"/>
      <c r="N431" s="12"/>
      <c r="O431" s="12"/>
      <c r="P431" s="12"/>
      <c r="Q431" s="12"/>
      <c r="R431" s="12"/>
      <c r="S431" s="12"/>
      <c r="T431" s="12"/>
      <c r="U431" s="12"/>
      <c r="V431" s="12"/>
      <c r="W431" s="12"/>
      <c r="X431" s="12"/>
      <c r="Y431" s="12"/>
      <c r="Z431" s="12"/>
    </row>
    <row r="432" spans="1:26" ht="15.75" customHeight="1" x14ac:dyDescent="0.25">
      <c r="A432" s="12"/>
      <c r="B432" s="12"/>
      <c r="C432" s="12"/>
      <c r="D432" s="12"/>
      <c r="E432" s="13"/>
      <c r="F432" s="12"/>
      <c r="G432" s="12"/>
      <c r="H432" s="12"/>
      <c r="I432" s="12"/>
      <c r="J432" s="12"/>
      <c r="K432" s="12"/>
      <c r="L432" s="12"/>
      <c r="M432" s="12"/>
      <c r="N432" s="12"/>
      <c r="O432" s="12"/>
      <c r="P432" s="12"/>
      <c r="Q432" s="12"/>
      <c r="R432" s="12"/>
      <c r="S432" s="12"/>
      <c r="T432" s="12"/>
      <c r="U432" s="12"/>
      <c r="V432" s="12"/>
      <c r="W432" s="12"/>
      <c r="X432" s="12"/>
      <c r="Y432" s="12"/>
      <c r="Z432" s="12"/>
    </row>
    <row r="433" spans="1:26" ht="15.75" customHeight="1" x14ac:dyDescent="0.25">
      <c r="A433" s="12"/>
      <c r="B433" s="12"/>
      <c r="C433" s="12"/>
      <c r="D433" s="12"/>
      <c r="E433" s="13"/>
      <c r="F433" s="12"/>
      <c r="G433" s="12"/>
      <c r="H433" s="12"/>
      <c r="I433" s="12"/>
      <c r="J433" s="12"/>
      <c r="K433" s="12"/>
      <c r="L433" s="12"/>
      <c r="M433" s="12"/>
      <c r="N433" s="12"/>
      <c r="O433" s="12"/>
      <c r="P433" s="12"/>
      <c r="Q433" s="12"/>
      <c r="R433" s="12"/>
      <c r="S433" s="12"/>
      <c r="T433" s="12"/>
      <c r="U433" s="12"/>
      <c r="V433" s="12"/>
      <c r="W433" s="12"/>
      <c r="X433" s="12"/>
      <c r="Y433" s="12"/>
      <c r="Z433" s="12"/>
    </row>
    <row r="434" spans="1:26" ht="15.75" customHeight="1" x14ac:dyDescent="0.25">
      <c r="A434" s="12"/>
      <c r="B434" s="12"/>
      <c r="C434" s="12"/>
      <c r="D434" s="12"/>
      <c r="E434" s="13"/>
      <c r="F434" s="12"/>
      <c r="G434" s="12"/>
      <c r="H434" s="12"/>
      <c r="I434" s="12"/>
      <c r="J434" s="12"/>
      <c r="K434" s="12"/>
      <c r="L434" s="12"/>
      <c r="M434" s="12"/>
      <c r="N434" s="12"/>
      <c r="O434" s="12"/>
      <c r="P434" s="12"/>
      <c r="Q434" s="12"/>
      <c r="R434" s="12"/>
      <c r="S434" s="12"/>
      <c r="T434" s="12"/>
      <c r="U434" s="12"/>
      <c r="V434" s="12"/>
      <c r="W434" s="12"/>
      <c r="X434" s="12"/>
      <c r="Y434" s="12"/>
      <c r="Z434" s="12"/>
    </row>
    <row r="435" spans="1:26" ht="15.75" customHeight="1" x14ac:dyDescent="0.25">
      <c r="A435" s="12"/>
      <c r="B435" s="12"/>
      <c r="C435" s="12"/>
      <c r="D435" s="12"/>
      <c r="E435" s="13"/>
      <c r="F435" s="12"/>
      <c r="G435" s="12"/>
      <c r="H435" s="12"/>
      <c r="I435" s="12"/>
      <c r="J435" s="12"/>
      <c r="K435" s="12"/>
      <c r="L435" s="12"/>
      <c r="M435" s="12"/>
      <c r="N435" s="12"/>
      <c r="O435" s="12"/>
      <c r="P435" s="12"/>
      <c r="Q435" s="12"/>
      <c r="R435" s="12"/>
      <c r="S435" s="12"/>
      <c r="T435" s="12"/>
      <c r="U435" s="12"/>
      <c r="V435" s="12"/>
      <c r="W435" s="12"/>
      <c r="X435" s="12"/>
      <c r="Y435" s="12"/>
      <c r="Z435" s="12"/>
    </row>
    <row r="436" spans="1:26" ht="15.75" customHeight="1" x14ac:dyDescent="0.25">
      <c r="A436" s="12"/>
      <c r="B436" s="12"/>
      <c r="C436" s="12"/>
      <c r="D436" s="12"/>
      <c r="E436" s="13"/>
      <c r="F436" s="12"/>
      <c r="G436" s="12"/>
      <c r="H436" s="12"/>
      <c r="I436" s="12"/>
      <c r="J436" s="12"/>
      <c r="K436" s="12"/>
      <c r="L436" s="12"/>
      <c r="M436" s="12"/>
      <c r="N436" s="12"/>
      <c r="O436" s="12"/>
      <c r="P436" s="12"/>
      <c r="Q436" s="12"/>
      <c r="R436" s="12"/>
      <c r="S436" s="12"/>
      <c r="T436" s="12"/>
      <c r="U436" s="12"/>
      <c r="V436" s="12"/>
      <c r="W436" s="12"/>
      <c r="X436" s="12"/>
      <c r="Y436" s="12"/>
      <c r="Z436" s="12"/>
    </row>
    <row r="437" spans="1:26" ht="15.75" customHeight="1" x14ac:dyDescent="0.25">
      <c r="A437" s="12"/>
      <c r="B437" s="12"/>
      <c r="C437" s="12"/>
      <c r="D437" s="12"/>
      <c r="E437" s="13"/>
      <c r="F437" s="12"/>
      <c r="G437" s="12"/>
      <c r="H437" s="12"/>
      <c r="I437" s="12"/>
      <c r="J437" s="12"/>
      <c r="K437" s="12"/>
      <c r="L437" s="12"/>
      <c r="M437" s="12"/>
      <c r="N437" s="12"/>
      <c r="O437" s="12"/>
      <c r="P437" s="12"/>
      <c r="Q437" s="12"/>
      <c r="R437" s="12"/>
      <c r="S437" s="12"/>
      <c r="T437" s="12"/>
      <c r="U437" s="12"/>
      <c r="V437" s="12"/>
      <c r="W437" s="12"/>
      <c r="X437" s="12"/>
      <c r="Y437" s="12"/>
      <c r="Z437" s="12"/>
    </row>
    <row r="438" spans="1:26" ht="15.75" customHeight="1" x14ac:dyDescent="0.25">
      <c r="A438" s="12"/>
      <c r="B438" s="12"/>
      <c r="C438" s="12"/>
      <c r="D438" s="12"/>
      <c r="E438" s="13"/>
      <c r="F438" s="12"/>
      <c r="G438" s="12"/>
      <c r="H438" s="12"/>
      <c r="I438" s="12"/>
      <c r="J438" s="12"/>
      <c r="K438" s="12"/>
      <c r="L438" s="12"/>
      <c r="M438" s="12"/>
      <c r="N438" s="12"/>
      <c r="O438" s="12"/>
      <c r="P438" s="12"/>
      <c r="Q438" s="12"/>
      <c r="R438" s="12"/>
      <c r="S438" s="12"/>
      <c r="T438" s="12"/>
      <c r="U438" s="12"/>
      <c r="V438" s="12"/>
      <c r="W438" s="12"/>
      <c r="X438" s="12"/>
      <c r="Y438" s="12"/>
      <c r="Z438" s="12"/>
    </row>
    <row r="439" spans="1:26" ht="15.75" customHeight="1" x14ac:dyDescent="0.25">
      <c r="A439" s="12"/>
      <c r="B439" s="12"/>
      <c r="C439" s="12"/>
      <c r="D439" s="12"/>
      <c r="E439" s="13"/>
      <c r="F439" s="12"/>
      <c r="G439" s="12"/>
      <c r="H439" s="12"/>
      <c r="I439" s="12"/>
      <c r="J439" s="12"/>
      <c r="K439" s="12"/>
      <c r="L439" s="12"/>
      <c r="M439" s="12"/>
      <c r="N439" s="12"/>
      <c r="O439" s="12"/>
      <c r="P439" s="12"/>
      <c r="Q439" s="12"/>
      <c r="R439" s="12"/>
      <c r="S439" s="12"/>
      <c r="T439" s="12"/>
      <c r="U439" s="12"/>
      <c r="V439" s="12"/>
      <c r="W439" s="12"/>
      <c r="X439" s="12"/>
      <c r="Y439" s="12"/>
      <c r="Z439" s="12"/>
    </row>
    <row r="440" spans="1:26" ht="15.75" customHeight="1" x14ac:dyDescent="0.25">
      <c r="A440" s="12"/>
      <c r="B440" s="12"/>
      <c r="C440" s="12"/>
      <c r="D440" s="12"/>
      <c r="E440" s="13"/>
      <c r="F440" s="12"/>
      <c r="G440" s="12"/>
      <c r="H440" s="12"/>
      <c r="I440" s="12"/>
      <c r="J440" s="12"/>
      <c r="K440" s="12"/>
      <c r="L440" s="12"/>
      <c r="M440" s="12"/>
      <c r="N440" s="12"/>
      <c r="O440" s="12"/>
      <c r="P440" s="12"/>
      <c r="Q440" s="12"/>
      <c r="R440" s="12"/>
      <c r="S440" s="12"/>
      <c r="T440" s="12"/>
      <c r="U440" s="12"/>
      <c r="V440" s="12"/>
      <c r="W440" s="12"/>
      <c r="X440" s="12"/>
      <c r="Y440" s="12"/>
      <c r="Z440" s="12"/>
    </row>
    <row r="441" spans="1:26" ht="15.75" customHeight="1" x14ac:dyDescent="0.25">
      <c r="A441" s="12"/>
      <c r="B441" s="12"/>
      <c r="C441" s="12"/>
      <c r="D441" s="12"/>
      <c r="E441" s="13"/>
      <c r="F441" s="12"/>
      <c r="G441" s="12"/>
      <c r="H441" s="12"/>
      <c r="I441" s="12"/>
      <c r="J441" s="12"/>
      <c r="K441" s="12"/>
      <c r="L441" s="12"/>
      <c r="M441" s="12"/>
      <c r="N441" s="12"/>
      <c r="O441" s="12"/>
      <c r="P441" s="12"/>
      <c r="Q441" s="12"/>
      <c r="R441" s="12"/>
      <c r="S441" s="12"/>
      <c r="T441" s="12"/>
      <c r="U441" s="12"/>
      <c r="V441" s="12"/>
      <c r="W441" s="12"/>
      <c r="X441" s="12"/>
      <c r="Y441" s="12"/>
      <c r="Z441" s="12"/>
    </row>
    <row r="442" spans="1:26" ht="15.75" customHeight="1" x14ac:dyDescent="0.25">
      <c r="A442" s="12"/>
      <c r="B442" s="12"/>
      <c r="C442" s="12"/>
      <c r="D442" s="12"/>
      <c r="E442" s="13"/>
      <c r="F442" s="12"/>
      <c r="G442" s="12"/>
      <c r="H442" s="12"/>
      <c r="I442" s="12"/>
      <c r="J442" s="12"/>
      <c r="K442" s="12"/>
      <c r="L442" s="12"/>
      <c r="M442" s="12"/>
      <c r="N442" s="12"/>
      <c r="O442" s="12"/>
      <c r="P442" s="12"/>
      <c r="Q442" s="12"/>
      <c r="R442" s="12"/>
      <c r="S442" s="12"/>
      <c r="T442" s="12"/>
      <c r="U442" s="12"/>
      <c r="V442" s="12"/>
      <c r="W442" s="12"/>
      <c r="X442" s="12"/>
      <c r="Y442" s="12"/>
      <c r="Z442" s="12"/>
    </row>
    <row r="443" spans="1:26" ht="15.75" customHeight="1" x14ac:dyDescent="0.25">
      <c r="A443" s="12"/>
      <c r="B443" s="12"/>
      <c r="C443" s="12"/>
      <c r="D443" s="12"/>
      <c r="E443" s="13"/>
      <c r="F443" s="12"/>
      <c r="G443" s="12"/>
      <c r="H443" s="12"/>
      <c r="I443" s="12"/>
      <c r="J443" s="12"/>
      <c r="K443" s="12"/>
      <c r="L443" s="12"/>
      <c r="M443" s="12"/>
      <c r="N443" s="12"/>
      <c r="O443" s="12"/>
      <c r="P443" s="12"/>
      <c r="Q443" s="12"/>
      <c r="R443" s="12"/>
      <c r="S443" s="12"/>
      <c r="T443" s="12"/>
      <c r="U443" s="12"/>
      <c r="V443" s="12"/>
      <c r="W443" s="12"/>
      <c r="X443" s="12"/>
      <c r="Y443" s="12"/>
      <c r="Z443" s="12"/>
    </row>
    <row r="444" spans="1:26" ht="15.75" customHeight="1" x14ac:dyDescent="0.25">
      <c r="A444" s="12"/>
      <c r="B444" s="12"/>
      <c r="C444" s="12"/>
      <c r="D444" s="12"/>
      <c r="E444" s="13"/>
      <c r="F444" s="12"/>
      <c r="G444" s="12"/>
      <c r="H444" s="12"/>
      <c r="I444" s="12"/>
      <c r="J444" s="12"/>
      <c r="K444" s="12"/>
      <c r="L444" s="12"/>
      <c r="M444" s="12"/>
      <c r="N444" s="12"/>
      <c r="O444" s="12"/>
      <c r="P444" s="12"/>
      <c r="Q444" s="12"/>
      <c r="R444" s="12"/>
      <c r="S444" s="12"/>
      <c r="T444" s="12"/>
      <c r="U444" s="12"/>
      <c r="V444" s="12"/>
      <c r="W444" s="12"/>
      <c r="X444" s="12"/>
      <c r="Y444" s="12"/>
      <c r="Z444" s="12"/>
    </row>
    <row r="445" spans="1:26" ht="15.75" customHeight="1" x14ac:dyDescent="0.25">
      <c r="A445" s="12"/>
      <c r="B445" s="12"/>
      <c r="C445" s="12"/>
      <c r="D445" s="12"/>
      <c r="E445" s="13"/>
      <c r="F445" s="12"/>
      <c r="G445" s="12"/>
      <c r="H445" s="12"/>
      <c r="I445" s="12"/>
      <c r="J445" s="12"/>
      <c r="K445" s="12"/>
      <c r="L445" s="12"/>
      <c r="M445" s="12"/>
      <c r="N445" s="12"/>
      <c r="O445" s="12"/>
      <c r="P445" s="12"/>
      <c r="Q445" s="12"/>
      <c r="R445" s="12"/>
      <c r="S445" s="12"/>
      <c r="T445" s="12"/>
      <c r="U445" s="12"/>
      <c r="V445" s="12"/>
      <c r="W445" s="12"/>
      <c r="X445" s="12"/>
      <c r="Y445" s="12"/>
      <c r="Z445" s="12"/>
    </row>
    <row r="446" spans="1:26" ht="15.75" customHeight="1" x14ac:dyDescent="0.25">
      <c r="A446" s="12"/>
      <c r="B446" s="12"/>
      <c r="C446" s="12"/>
      <c r="D446" s="12"/>
      <c r="E446" s="13"/>
      <c r="F446" s="12"/>
      <c r="G446" s="12"/>
      <c r="H446" s="12"/>
      <c r="I446" s="12"/>
      <c r="J446" s="12"/>
      <c r="K446" s="12"/>
      <c r="L446" s="12"/>
      <c r="M446" s="12"/>
      <c r="N446" s="12"/>
      <c r="O446" s="12"/>
      <c r="P446" s="12"/>
      <c r="Q446" s="12"/>
      <c r="R446" s="12"/>
      <c r="S446" s="12"/>
      <c r="T446" s="12"/>
      <c r="U446" s="12"/>
      <c r="V446" s="12"/>
      <c r="W446" s="12"/>
      <c r="X446" s="12"/>
      <c r="Y446" s="12"/>
      <c r="Z446" s="12"/>
    </row>
    <row r="447" spans="1:26" ht="15.75" customHeight="1" x14ac:dyDescent="0.25">
      <c r="A447" s="12"/>
      <c r="B447" s="12"/>
      <c r="C447" s="12"/>
      <c r="D447" s="12"/>
      <c r="E447" s="13"/>
      <c r="F447" s="12"/>
      <c r="G447" s="12"/>
      <c r="H447" s="12"/>
      <c r="I447" s="12"/>
      <c r="J447" s="12"/>
      <c r="K447" s="12"/>
      <c r="L447" s="12"/>
      <c r="M447" s="12"/>
      <c r="N447" s="12"/>
      <c r="O447" s="12"/>
      <c r="P447" s="12"/>
      <c r="Q447" s="12"/>
      <c r="R447" s="12"/>
      <c r="S447" s="12"/>
      <c r="T447" s="12"/>
      <c r="U447" s="12"/>
      <c r="V447" s="12"/>
      <c r="W447" s="12"/>
      <c r="X447" s="12"/>
      <c r="Y447" s="12"/>
      <c r="Z447" s="12"/>
    </row>
    <row r="448" spans="1:26" ht="15.75" customHeight="1" x14ac:dyDescent="0.25">
      <c r="A448" s="12"/>
      <c r="B448" s="12"/>
      <c r="C448" s="12"/>
      <c r="D448" s="12"/>
      <c r="E448" s="13"/>
      <c r="F448" s="12"/>
      <c r="G448" s="12"/>
      <c r="H448" s="12"/>
      <c r="I448" s="12"/>
      <c r="J448" s="12"/>
      <c r="K448" s="12"/>
      <c r="L448" s="12"/>
      <c r="M448" s="12"/>
      <c r="N448" s="12"/>
      <c r="O448" s="12"/>
      <c r="P448" s="12"/>
      <c r="Q448" s="12"/>
      <c r="R448" s="12"/>
      <c r="S448" s="12"/>
      <c r="T448" s="12"/>
      <c r="U448" s="12"/>
      <c r="V448" s="12"/>
      <c r="W448" s="12"/>
      <c r="X448" s="12"/>
      <c r="Y448" s="12"/>
      <c r="Z448" s="12"/>
    </row>
    <row r="449" spans="1:26" ht="15.75" customHeight="1" x14ac:dyDescent="0.25">
      <c r="A449" s="12"/>
      <c r="B449" s="12"/>
      <c r="C449" s="12"/>
      <c r="D449" s="12"/>
      <c r="E449" s="13"/>
      <c r="F449" s="12"/>
      <c r="G449" s="12"/>
      <c r="H449" s="12"/>
      <c r="I449" s="12"/>
      <c r="J449" s="12"/>
      <c r="K449" s="12"/>
      <c r="L449" s="12"/>
      <c r="M449" s="12"/>
      <c r="N449" s="12"/>
      <c r="O449" s="12"/>
      <c r="P449" s="12"/>
      <c r="Q449" s="12"/>
      <c r="R449" s="12"/>
      <c r="S449" s="12"/>
      <c r="T449" s="12"/>
      <c r="U449" s="12"/>
      <c r="V449" s="12"/>
      <c r="W449" s="12"/>
      <c r="X449" s="12"/>
      <c r="Y449" s="12"/>
      <c r="Z449" s="12"/>
    </row>
    <row r="450" spans="1:26" ht="15.75" customHeight="1" x14ac:dyDescent="0.25">
      <c r="A450" s="12"/>
      <c r="B450" s="12"/>
      <c r="C450" s="12"/>
      <c r="D450" s="12"/>
      <c r="E450" s="13"/>
      <c r="F450" s="12"/>
      <c r="G450" s="12"/>
      <c r="H450" s="12"/>
      <c r="I450" s="12"/>
      <c r="J450" s="12"/>
      <c r="K450" s="12"/>
      <c r="L450" s="12"/>
      <c r="M450" s="12"/>
      <c r="N450" s="12"/>
      <c r="O450" s="12"/>
      <c r="P450" s="12"/>
      <c r="Q450" s="12"/>
      <c r="R450" s="12"/>
      <c r="S450" s="12"/>
      <c r="T450" s="12"/>
      <c r="U450" s="12"/>
      <c r="V450" s="12"/>
      <c r="W450" s="12"/>
      <c r="X450" s="12"/>
      <c r="Y450" s="12"/>
      <c r="Z450" s="12"/>
    </row>
    <row r="451" spans="1:26" ht="15.75" customHeight="1" x14ac:dyDescent="0.25">
      <c r="A451" s="12"/>
      <c r="B451" s="12"/>
      <c r="C451" s="12"/>
      <c r="D451" s="12"/>
      <c r="E451" s="13"/>
      <c r="F451" s="12"/>
      <c r="G451" s="12"/>
      <c r="H451" s="12"/>
      <c r="I451" s="12"/>
      <c r="J451" s="12"/>
      <c r="K451" s="12"/>
      <c r="L451" s="12"/>
      <c r="M451" s="12"/>
      <c r="N451" s="12"/>
      <c r="O451" s="12"/>
      <c r="P451" s="12"/>
      <c r="Q451" s="12"/>
      <c r="R451" s="12"/>
      <c r="S451" s="12"/>
      <c r="T451" s="12"/>
      <c r="U451" s="12"/>
      <c r="V451" s="12"/>
      <c r="W451" s="12"/>
      <c r="X451" s="12"/>
      <c r="Y451" s="12"/>
      <c r="Z451" s="12"/>
    </row>
    <row r="452" spans="1:26" ht="15.75" customHeight="1" x14ac:dyDescent="0.25">
      <c r="A452" s="12"/>
      <c r="B452" s="12"/>
      <c r="C452" s="12"/>
      <c r="D452" s="12"/>
      <c r="E452" s="13"/>
      <c r="F452" s="12"/>
      <c r="G452" s="12"/>
      <c r="H452" s="12"/>
      <c r="I452" s="12"/>
      <c r="J452" s="12"/>
      <c r="K452" s="12"/>
      <c r="L452" s="12"/>
      <c r="M452" s="12"/>
      <c r="N452" s="12"/>
      <c r="O452" s="12"/>
      <c r="P452" s="12"/>
      <c r="Q452" s="12"/>
      <c r="R452" s="12"/>
      <c r="S452" s="12"/>
      <c r="T452" s="12"/>
      <c r="U452" s="12"/>
      <c r="V452" s="12"/>
      <c r="W452" s="12"/>
      <c r="X452" s="12"/>
      <c r="Y452" s="12"/>
      <c r="Z452" s="12"/>
    </row>
    <row r="453" spans="1:26" ht="15.75" customHeight="1" x14ac:dyDescent="0.25">
      <c r="A453" s="12"/>
      <c r="B453" s="12"/>
      <c r="C453" s="12"/>
      <c r="D453" s="12"/>
      <c r="E453" s="13"/>
      <c r="F453" s="12"/>
      <c r="G453" s="12"/>
      <c r="H453" s="12"/>
      <c r="I453" s="12"/>
      <c r="J453" s="12"/>
      <c r="K453" s="12"/>
      <c r="L453" s="12"/>
      <c r="M453" s="12"/>
      <c r="N453" s="12"/>
      <c r="O453" s="12"/>
      <c r="P453" s="12"/>
      <c r="Q453" s="12"/>
      <c r="R453" s="12"/>
      <c r="S453" s="12"/>
      <c r="T453" s="12"/>
      <c r="U453" s="12"/>
      <c r="V453" s="12"/>
      <c r="W453" s="12"/>
      <c r="X453" s="12"/>
      <c r="Y453" s="12"/>
      <c r="Z453" s="12"/>
    </row>
    <row r="454" spans="1:26" ht="15.75" customHeight="1" x14ac:dyDescent="0.25">
      <c r="A454" s="12"/>
      <c r="B454" s="12"/>
      <c r="C454" s="12"/>
      <c r="D454" s="12"/>
      <c r="E454" s="13"/>
      <c r="F454" s="12"/>
      <c r="G454" s="12"/>
      <c r="H454" s="12"/>
      <c r="I454" s="12"/>
      <c r="J454" s="12"/>
      <c r="K454" s="12"/>
      <c r="L454" s="12"/>
      <c r="M454" s="12"/>
      <c r="N454" s="12"/>
      <c r="O454" s="12"/>
      <c r="P454" s="12"/>
      <c r="Q454" s="12"/>
      <c r="R454" s="12"/>
      <c r="S454" s="12"/>
      <c r="T454" s="12"/>
      <c r="U454" s="12"/>
      <c r="V454" s="12"/>
      <c r="W454" s="12"/>
      <c r="X454" s="12"/>
      <c r="Y454" s="12"/>
      <c r="Z454" s="12"/>
    </row>
    <row r="455" spans="1:26" ht="15.75" customHeight="1" x14ac:dyDescent="0.25">
      <c r="A455" s="12"/>
      <c r="B455" s="12"/>
      <c r="C455" s="12"/>
      <c r="D455" s="12"/>
      <c r="E455" s="13"/>
      <c r="F455" s="12"/>
      <c r="G455" s="12"/>
      <c r="H455" s="12"/>
      <c r="I455" s="12"/>
      <c r="J455" s="12"/>
      <c r="K455" s="12"/>
      <c r="L455" s="12"/>
      <c r="M455" s="12"/>
      <c r="N455" s="12"/>
      <c r="O455" s="12"/>
      <c r="P455" s="12"/>
      <c r="Q455" s="12"/>
      <c r="R455" s="12"/>
      <c r="S455" s="12"/>
      <c r="T455" s="12"/>
      <c r="U455" s="12"/>
      <c r="V455" s="12"/>
      <c r="W455" s="12"/>
      <c r="X455" s="12"/>
      <c r="Y455" s="12"/>
      <c r="Z455" s="12"/>
    </row>
    <row r="456" spans="1:26" ht="15.75" customHeight="1" x14ac:dyDescent="0.25">
      <c r="A456" s="12"/>
      <c r="B456" s="12"/>
      <c r="C456" s="12"/>
      <c r="D456" s="12"/>
      <c r="E456" s="13"/>
      <c r="F456" s="12"/>
      <c r="G456" s="12"/>
      <c r="H456" s="12"/>
      <c r="I456" s="12"/>
      <c r="J456" s="12"/>
      <c r="K456" s="12"/>
      <c r="L456" s="12"/>
      <c r="M456" s="12"/>
      <c r="N456" s="12"/>
      <c r="O456" s="12"/>
      <c r="P456" s="12"/>
      <c r="Q456" s="12"/>
      <c r="R456" s="12"/>
      <c r="S456" s="12"/>
      <c r="T456" s="12"/>
      <c r="U456" s="12"/>
      <c r="V456" s="12"/>
      <c r="W456" s="12"/>
      <c r="X456" s="12"/>
      <c r="Y456" s="12"/>
      <c r="Z456" s="12"/>
    </row>
    <row r="457" spans="1:26" ht="15.75" customHeight="1" x14ac:dyDescent="0.25">
      <c r="A457" s="12"/>
      <c r="B457" s="12"/>
      <c r="C457" s="12"/>
      <c r="D457" s="12"/>
      <c r="E457" s="13"/>
      <c r="F457" s="12"/>
      <c r="G457" s="12"/>
      <c r="H457" s="12"/>
      <c r="I457" s="12"/>
      <c r="J457" s="12"/>
      <c r="K457" s="12"/>
      <c r="L457" s="12"/>
      <c r="M457" s="12"/>
      <c r="N457" s="12"/>
      <c r="O457" s="12"/>
      <c r="P457" s="12"/>
      <c r="Q457" s="12"/>
      <c r="R457" s="12"/>
      <c r="S457" s="12"/>
      <c r="T457" s="12"/>
      <c r="U457" s="12"/>
      <c r="V457" s="12"/>
      <c r="W457" s="12"/>
      <c r="X457" s="12"/>
      <c r="Y457" s="12"/>
      <c r="Z457" s="12"/>
    </row>
    <row r="458" spans="1:26" ht="15.75" customHeight="1" x14ac:dyDescent="0.25">
      <c r="A458" s="12"/>
      <c r="B458" s="12"/>
      <c r="C458" s="12"/>
      <c r="D458" s="12"/>
      <c r="E458" s="13"/>
      <c r="F458" s="12"/>
      <c r="G458" s="12"/>
      <c r="H458" s="12"/>
      <c r="I458" s="12"/>
      <c r="J458" s="12"/>
      <c r="K458" s="12"/>
      <c r="L458" s="12"/>
      <c r="M458" s="12"/>
      <c r="N458" s="12"/>
      <c r="O458" s="12"/>
      <c r="P458" s="12"/>
      <c r="Q458" s="12"/>
      <c r="R458" s="12"/>
      <c r="S458" s="12"/>
      <c r="T458" s="12"/>
      <c r="U458" s="12"/>
      <c r="V458" s="12"/>
      <c r="W458" s="12"/>
      <c r="X458" s="12"/>
      <c r="Y458" s="12"/>
      <c r="Z458" s="12"/>
    </row>
    <row r="459" spans="1:26" ht="15.75" customHeight="1" x14ac:dyDescent="0.25">
      <c r="A459" s="12"/>
      <c r="B459" s="12"/>
      <c r="C459" s="12"/>
      <c r="D459" s="12"/>
      <c r="E459" s="13"/>
      <c r="F459" s="12"/>
      <c r="G459" s="12"/>
      <c r="H459" s="12"/>
      <c r="I459" s="12"/>
      <c r="J459" s="12"/>
      <c r="K459" s="12"/>
      <c r="L459" s="12"/>
      <c r="M459" s="12"/>
      <c r="N459" s="12"/>
      <c r="O459" s="12"/>
      <c r="P459" s="12"/>
      <c r="Q459" s="12"/>
      <c r="R459" s="12"/>
      <c r="S459" s="12"/>
      <c r="T459" s="12"/>
      <c r="U459" s="12"/>
      <c r="V459" s="12"/>
      <c r="W459" s="12"/>
      <c r="X459" s="12"/>
      <c r="Y459" s="12"/>
      <c r="Z459" s="12"/>
    </row>
    <row r="460" spans="1:26" ht="15.75" customHeight="1" x14ac:dyDescent="0.25">
      <c r="A460" s="12"/>
      <c r="B460" s="12"/>
      <c r="C460" s="12"/>
      <c r="D460" s="12"/>
      <c r="E460" s="13"/>
      <c r="F460" s="12"/>
      <c r="G460" s="12"/>
      <c r="H460" s="12"/>
      <c r="I460" s="12"/>
      <c r="J460" s="12"/>
      <c r="K460" s="12"/>
      <c r="L460" s="12"/>
      <c r="M460" s="12"/>
      <c r="N460" s="12"/>
      <c r="O460" s="12"/>
      <c r="P460" s="12"/>
      <c r="Q460" s="12"/>
      <c r="R460" s="12"/>
      <c r="S460" s="12"/>
      <c r="T460" s="12"/>
      <c r="U460" s="12"/>
      <c r="V460" s="12"/>
      <c r="W460" s="12"/>
      <c r="X460" s="12"/>
      <c r="Y460" s="12"/>
      <c r="Z460" s="12"/>
    </row>
    <row r="461" spans="1:26" ht="15.75" customHeight="1" x14ac:dyDescent="0.25">
      <c r="A461" s="12"/>
      <c r="B461" s="12"/>
      <c r="C461" s="12"/>
      <c r="D461" s="12"/>
      <c r="E461" s="13"/>
      <c r="F461" s="12"/>
      <c r="G461" s="12"/>
      <c r="H461" s="12"/>
      <c r="I461" s="12"/>
      <c r="J461" s="12"/>
      <c r="K461" s="12"/>
      <c r="L461" s="12"/>
      <c r="M461" s="12"/>
      <c r="N461" s="12"/>
      <c r="O461" s="12"/>
      <c r="P461" s="12"/>
      <c r="Q461" s="12"/>
      <c r="R461" s="12"/>
      <c r="S461" s="12"/>
      <c r="T461" s="12"/>
      <c r="U461" s="12"/>
      <c r="V461" s="12"/>
      <c r="W461" s="12"/>
      <c r="X461" s="12"/>
      <c r="Y461" s="12"/>
      <c r="Z461" s="12"/>
    </row>
    <row r="462" spans="1:26" ht="15.75" customHeight="1" x14ac:dyDescent="0.25">
      <c r="A462" s="12"/>
      <c r="B462" s="12"/>
      <c r="C462" s="12"/>
      <c r="D462" s="12"/>
      <c r="E462" s="13"/>
      <c r="F462" s="12"/>
      <c r="G462" s="12"/>
      <c r="H462" s="12"/>
      <c r="I462" s="12"/>
      <c r="J462" s="12"/>
      <c r="K462" s="12"/>
      <c r="L462" s="12"/>
      <c r="M462" s="12"/>
      <c r="N462" s="12"/>
      <c r="O462" s="12"/>
      <c r="P462" s="12"/>
      <c r="Q462" s="12"/>
      <c r="R462" s="12"/>
      <c r="S462" s="12"/>
      <c r="T462" s="12"/>
      <c r="U462" s="12"/>
      <c r="V462" s="12"/>
      <c r="W462" s="12"/>
      <c r="X462" s="12"/>
      <c r="Y462" s="12"/>
      <c r="Z462" s="12"/>
    </row>
    <row r="463" spans="1:26" ht="15.75" customHeight="1" x14ac:dyDescent="0.25">
      <c r="A463" s="12"/>
      <c r="B463" s="12"/>
      <c r="C463" s="12"/>
      <c r="D463" s="12"/>
      <c r="E463" s="13"/>
      <c r="F463" s="12"/>
      <c r="G463" s="12"/>
      <c r="H463" s="12"/>
      <c r="I463" s="12"/>
      <c r="J463" s="12"/>
      <c r="K463" s="12"/>
      <c r="L463" s="12"/>
      <c r="M463" s="12"/>
      <c r="N463" s="12"/>
      <c r="O463" s="12"/>
      <c r="P463" s="12"/>
      <c r="Q463" s="12"/>
      <c r="R463" s="12"/>
      <c r="S463" s="12"/>
      <c r="T463" s="12"/>
      <c r="U463" s="12"/>
      <c r="V463" s="12"/>
      <c r="W463" s="12"/>
      <c r="X463" s="12"/>
      <c r="Y463" s="12"/>
      <c r="Z463" s="12"/>
    </row>
    <row r="464" spans="1:26" ht="15.75" customHeight="1" x14ac:dyDescent="0.25">
      <c r="A464" s="12"/>
      <c r="B464" s="12"/>
      <c r="C464" s="12"/>
      <c r="D464" s="12"/>
      <c r="E464" s="13"/>
      <c r="F464" s="12"/>
      <c r="G464" s="12"/>
      <c r="H464" s="12"/>
      <c r="I464" s="12"/>
      <c r="J464" s="12"/>
      <c r="K464" s="12"/>
      <c r="L464" s="12"/>
      <c r="M464" s="12"/>
      <c r="N464" s="12"/>
      <c r="O464" s="12"/>
      <c r="P464" s="12"/>
      <c r="Q464" s="12"/>
      <c r="R464" s="12"/>
      <c r="S464" s="12"/>
      <c r="T464" s="12"/>
      <c r="U464" s="12"/>
      <c r="V464" s="12"/>
      <c r="W464" s="12"/>
      <c r="X464" s="12"/>
      <c r="Y464" s="12"/>
      <c r="Z464" s="12"/>
    </row>
    <row r="465" spans="1:26" ht="15.75" customHeight="1" x14ac:dyDescent="0.25">
      <c r="A465" s="12"/>
      <c r="B465" s="12"/>
      <c r="C465" s="12"/>
      <c r="D465" s="12"/>
      <c r="E465" s="13"/>
      <c r="F465" s="12"/>
      <c r="G465" s="12"/>
      <c r="H465" s="12"/>
      <c r="I465" s="12"/>
      <c r="J465" s="12"/>
      <c r="K465" s="12"/>
      <c r="L465" s="12"/>
      <c r="M465" s="12"/>
      <c r="N465" s="12"/>
      <c r="O465" s="12"/>
      <c r="P465" s="12"/>
      <c r="Q465" s="12"/>
      <c r="R465" s="12"/>
      <c r="S465" s="12"/>
      <c r="T465" s="12"/>
      <c r="U465" s="12"/>
      <c r="V465" s="12"/>
      <c r="W465" s="12"/>
      <c r="X465" s="12"/>
      <c r="Y465" s="12"/>
      <c r="Z465" s="12"/>
    </row>
    <row r="466" spans="1:26" ht="15.75" customHeight="1" x14ac:dyDescent="0.25">
      <c r="A466" s="12"/>
      <c r="B466" s="12"/>
      <c r="C466" s="12"/>
      <c r="D466" s="12"/>
      <c r="E466" s="13"/>
      <c r="F466" s="12"/>
      <c r="G466" s="12"/>
      <c r="H466" s="12"/>
      <c r="I466" s="12"/>
      <c r="J466" s="12"/>
      <c r="K466" s="12"/>
      <c r="L466" s="12"/>
      <c r="M466" s="12"/>
      <c r="N466" s="12"/>
      <c r="O466" s="12"/>
      <c r="P466" s="12"/>
      <c r="Q466" s="12"/>
      <c r="R466" s="12"/>
      <c r="S466" s="12"/>
      <c r="T466" s="12"/>
      <c r="U466" s="12"/>
      <c r="V466" s="12"/>
      <c r="W466" s="12"/>
      <c r="X466" s="12"/>
      <c r="Y466" s="12"/>
      <c r="Z466" s="12"/>
    </row>
    <row r="467" spans="1:26" ht="15.75" customHeight="1" x14ac:dyDescent="0.25">
      <c r="A467" s="12"/>
      <c r="B467" s="12"/>
      <c r="C467" s="12"/>
      <c r="D467" s="12"/>
      <c r="E467" s="13"/>
      <c r="F467" s="12"/>
      <c r="G467" s="12"/>
      <c r="H467" s="12"/>
      <c r="I467" s="12"/>
      <c r="J467" s="12"/>
      <c r="K467" s="12"/>
      <c r="L467" s="12"/>
      <c r="M467" s="12"/>
      <c r="N467" s="12"/>
      <c r="O467" s="12"/>
      <c r="P467" s="12"/>
      <c r="Q467" s="12"/>
      <c r="R467" s="12"/>
      <c r="S467" s="12"/>
      <c r="T467" s="12"/>
      <c r="U467" s="12"/>
      <c r="V467" s="12"/>
      <c r="W467" s="12"/>
      <c r="X467" s="12"/>
      <c r="Y467" s="12"/>
      <c r="Z467" s="12"/>
    </row>
    <row r="468" spans="1:26" ht="15.75" customHeight="1" x14ac:dyDescent="0.25">
      <c r="A468" s="12"/>
      <c r="B468" s="12"/>
      <c r="C468" s="12"/>
      <c r="D468" s="12"/>
      <c r="E468" s="13"/>
      <c r="F468" s="12"/>
      <c r="G468" s="12"/>
      <c r="H468" s="12"/>
      <c r="I468" s="12"/>
      <c r="J468" s="12"/>
      <c r="K468" s="12"/>
      <c r="L468" s="12"/>
      <c r="M468" s="12"/>
      <c r="N468" s="12"/>
      <c r="O468" s="12"/>
      <c r="P468" s="12"/>
      <c r="Q468" s="12"/>
      <c r="R468" s="12"/>
      <c r="S468" s="12"/>
      <c r="T468" s="12"/>
      <c r="U468" s="12"/>
      <c r="V468" s="12"/>
      <c r="W468" s="12"/>
      <c r="X468" s="12"/>
      <c r="Y468" s="12"/>
      <c r="Z468" s="12"/>
    </row>
    <row r="469" spans="1:26" ht="15.75" customHeight="1" x14ac:dyDescent="0.25">
      <c r="A469" s="12"/>
      <c r="B469" s="12"/>
      <c r="C469" s="12"/>
      <c r="D469" s="12"/>
      <c r="E469" s="13"/>
      <c r="F469" s="12"/>
      <c r="G469" s="12"/>
      <c r="H469" s="12"/>
      <c r="I469" s="12"/>
      <c r="J469" s="12"/>
      <c r="K469" s="12"/>
      <c r="L469" s="12"/>
      <c r="M469" s="12"/>
      <c r="N469" s="12"/>
      <c r="O469" s="12"/>
      <c r="P469" s="12"/>
      <c r="Q469" s="12"/>
      <c r="R469" s="12"/>
      <c r="S469" s="12"/>
      <c r="T469" s="12"/>
      <c r="U469" s="12"/>
      <c r="V469" s="12"/>
      <c r="W469" s="12"/>
      <c r="X469" s="12"/>
      <c r="Y469" s="12"/>
      <c r="Z469" s="12"/>
    </row>
    <row r="470" spans="1:26" ht="15.75" customHeight="1" x14ac:dyDescent="0.25">
      <c r="A470" s="12"/>
      <c r="B470" s="12"/>
      <c r="C470" s="12"/>
      <c r="D470" s="12"/>
      <c r="E470" s="13"/>
      <c r="F470" s="12"/>
      <c r="G470" s="12"/>
      <c r="H470" s="12"/>
      <c r="I470" s="12"/>
      <c r="J470" s="12"/>
      <c r="K470" s="12"/>
      <c r="L470" s="12"/>
      <c r="M470" s="12"/>
      <c r="N470" s="12"/>
      <c r="O470" s="12"/>
      <c r="P470" s="12"/>
      <c r="Q470" s="12"/>
      <c r="R470" s="12"/>
      <c r="S470" s="12"/>
      <c r="T470" s="12"/>
      <c r="U470" s="12"/>
      <c r="V470" s="12"/>
      <c r="W470" s="12"/>
      <c r="X470" s="12"/>
      <c r="Y470" s="12"/>
      <c r="Z470" s="12"/>
    </row>
    <row r="471" spans="1:26" ht="15.75" customHeight="1" x14ac:dyDescent="0.25">
      <c r="A471" s="12"/>
      <c r="B471" s="12"/>
      <c r="C471" s="12"/>
      <c r="D471" s="12"/>
      <c r="E471" s="13"/>
      <c r="F471" s="12"/>
      <c r="G471" s="12"/>
      <c r="H471" s="12"/>
      <c r="I471" s="12"/>
      <c r="J471" s="12"/>
      <c r="K471" s="12"/>
      <c r="L471" s="12"/>
      <c r="M471" s="12"/>
      <c r="N471" s="12"/>
      <c r="O471" s="12"/>
      <c r="P471" s="12"/>
      <c r="Q471" s="12"/>
      <c r="R471" s="12"/>
      <c r="S471" s="12"/>
      <c r="T471" s="12"/>
      <c r="U471" s="12"/>
      <c r="V471" s="12"/>
      <c r="W471" s="12"/>
      <c r="X471" s="12"/>
      <c r="Y471" s="12"/>
      <c r="Z471" s="12"/>
    </row>
    <row r="472" spans="1:26" ht="15.75" customHeight="1" x14ac:dyDescent="0.25">
      <c r="A472" s="12"/>
      <c r="B472" s="12"/>
      <c r="C472" s="12"/>
      <c r="D472" s="12"/>
      <c r="E472" s="13"/>
      <c r="F472" s="12"/>
      <c r="G472" s="12"/>
      <c r="H472" s="12"/>
      <c r="I472" s="12"/>
      <c r="J472" s="12"/>
      <c r="K472" s="12"/>
      <c r="L472" s="12"/>
      <c r="M472" s="12"/>
      <c r="N472" s="12"/>
      <c r="O472" s="12"/>
      <c r="P472" s="12"/>
      <c r="Q472" s="12"/>
      <c r="R472" s="12"/>
      <c r="S472" s="12"/>
      <c r="T472" s="12"/>
      <c r="U472" s="12"/>
      <c r="V472" s="12"/>
      <c r="W472" s="12"/>
      <c r="X472" s="12"/>
      <c r="Y472" s="12"/>
      <c r="Z472" s="12"/>
    </row>
    <row r="473" spans="1:26" ht="15.75" customHeight="1" x14ac:dyDescent="0.25">
      <c r="A473" s="12"/>
      <c r="B473" s="12"/>
      <c r="C473" s="12"/>
      <c r="D473" s="12"/>
      <c r="E473" s="13"/>
      <c r="F473" s="12"/>
      <c r="G473" s="12"/>
      <c r="H473" s="12"/>
      <c r="I473" s="12"/>
      <c r="J473" s="12"/>
      <c r="K473" s="12"/>
      <c r="L473" s="12"/>
      <c r="M473" s="12"/>
      <c r="N473" s="12"/>
      <c r="O473" s="12"/>
      <c r="P473" s="12"/>
      <c r="Q473" s="12"/>
      <c r="R473" s="12"/>
      <c r="S473" s="12"/>
      <c r="T473" s="12"/>
      <c r="U473" s="12"/>
      <c r="V473" s="12"/>
      <c r="W473" s="12"/>
      <c r="X473" s="12"/>
      <c r="Y473" s="12"/>
      <c r="Z473" s="12"/>
    </row>
    <row r="474" spans="1:26" ht="15.75" customHeight="1" x14ac:dyDescent="0.25">
      <c r="A474" s="12"/>
      <c r="B474" s="12"/>
      <c r="C474" s="12"/>
      <c r="D474" s="12"/>
      <c r="E474" s="13"/>
      <c r="F474" s="12"/>
      <c r="G474" s="12"/>
      <c r="H474" s="12"/>
      <c r="I474" s="12"/>
      <c r="J474" s="12"/>
      <c r="K474" s="12"/>
      <c r="L474" s="12"/>
      <c r="M474" s="12"/>
      <c r="N474" s="12"/>
      <c r="O474" s="12"/>
      <c r="P474" s="12"/>
      <c r="Q474" s="12"/>
      <c r="R474" s="12"/>
      <c r="S474" s="12"/>
      <c r="T474" s="12"/>
      <c r="U474" s="12"/>
      <c r="V474" s="12"/>
      <c r="W474" s="12"/>
      <c r="X474" s="12"/>
      <c r="Y474" s="12"/>
      <c r="Z474" s="12"/>
    </row>
    <row r="475" spans="1:26" ht="15.75" customHeight="1" x14ac:dyDescent="0.25">
      <c r="A475" s="12"/>
      <c r="B475" s="12"/>
      <c r="C475" s="12"/>
      <c r="D475" s="12"/>
      <c r="E475" s="13"/>
      <c r="F475" s="12"/>
      <c r="G475" s="12"/>
      <c r="H475" s="12"/>
      <c r="I475" s="12"/>
      <c r="J475" s="12"/>
      <c r="K475" s="12"/>
      <c r="L475" s="12"/>
      <c r="M475" s="12"/>
      <c r="N475" s="12"/>
      <c r="O475" s="12"/>
      <c r="P475" s="12"/>
      <c r="Q475" s="12"/>
      <c r="R475" s="12"/>
      <c r="S475" s="12"/>
      <c r="T475" s="12"/>
      <c r="U475" s="12"/>
      <c r="V475" s="12"/>
      <c r="W475" s="12"/>
      <c r="X475" s="12"/>
      <c r="Y475" s="12"/>
      <c r="Z475" s="12"/>
    </row>
    <row r="476" spans="1:26" ht="15.75" customHeight="1" x14ac:dyDescent="0.25">
      <c r="A476" s="12"/>
      <c r="B476" s="12"/>
      <c r="C476" s="12"/>
      <c r="D476" s="12"/>
      <c r="E476" s="13"/>
      <c r="F476" s="12"/>
      <c r="G476" s="12"/>
      <c r="H476" s="12"/>
      <c r="I476" s="12"/>
      <c r="J476" s="12"/>
      <c r="K476" s="12"/>
      <c r="L476" s="12"/>
      <c r="M476" s="12"/>
      <c r="N476" s="12"/>
      <c r="O476" s="12"/>
      <c r="P476" s="12"/>
      <c r="Q476" s="12"/>
      <c r="R476" s="12"/>
      <c r="S476" s="12"/>
      <c r="T476" s="12"/>
      <c r="U476" s="12"/>
      <c r="V476" s="12"/>
      <c r="W476" s="12"/>
      <c r="X476" s="12"/>
      <c r="Y476" s="12"/>
      <c r="Z476" s="12"/>
    </row>
    <row r="477" spans="1:26" ht="15.75" customHeight="1" x14ac:dyDescent="0.25">
      <c r="A477" s="12"/>
      <c r="B477" s="12"/>
      <c r="C477" s="12"/>
      <c r="D477" s="12"/>
      <c r="E477" s="13"/>
      <c r="F477" s="12"/>
      <c r="G477" s="12"/>
      <c r="H477" s="12"/>
      <c r="I477" s="12"/>
      <c r="J477" s="12"/>
      <c r="K477" s="12"/>
      <c r="L477" s="12"/>
      <c r="M477" s="12"/>
      <c r="N477" s="12"/>
      <c r="O477" s="12"/>
      <c r="P477" s="12"/>
      <c r="Q477" s="12"/>
      <c r="R477" s="12"/>
      <c r="S477" s="12"/>
      <c r="T477" s="12"/>
      <c r="U477" s="12"/>
      <c r="V477" s="12"/>
      <c r="W477" s="12"/>
      <c r="X477" s="12"/>
      <c r="Y477" s="12"/>
      <c r="Z477" s="12"/>
    </row>
    <row r="478" spans="1:26" ht="15.75" customHeight="1" x14ac:dyDescent="0.25">
      <c r="A478" s="12"/>
      <c r="B478" s="12"/>
      <c r="C478" s="12"/>
      <c r="D478" s="12"/>
      <c r="E478" s="13"/>
      <c r="F478" s="12"/>
      <c r="G478" s="12"/>
      <c r="H478" s="12"/>
      <c r="I478" s="12"/>
      <c r="J478" s="12"/>
      <c r="K478" s="12"/>
      <c r="L478" s="12"/>
      <c r="M478" s="12"/>
      <c r="N478" s="12"/>
      <c r="O478" s="12"/>
      <c r="P478" s="12"/>
      <c r="Q478" s="12"/>
      <c r="R478" s="12"/>
      <c r="S478" s="12"/>
      <c r="T478" s="12"/>
      <c r="U478" s="12"/>
      <c r="V478" s="12"/>
      <c r="W478" s="12"/>
      <c r="X478" s="12"/>
      <c r="Y478" s="12"/>
      <c r="Z478" s="12"/>
    </row>
    <row r="479" spans="1:26" ht="15.75" customHeight="1" x14ac:dyDescent="0.25">
      <c r="A479" s="12"/>
      <c r="B479" s="12"/>
      <c r="C479" s="12"/>
      <c r="D479" s="12"/>
      <c r="E479" s="13"/>
      <c r="F479" s="12"/>
      <c r="G479" s="12"/>
      <c r="H479" s="12"/>
      <c r="I479" s="12"/>
      <c r="J479" s="12"/>
      <c r="K479" s="12"/>
      <c r="L479" s="12"/>
      <c r="M479" s="12"/>
      <c r="N479" s="12"/>
      <c r="O479" s="12"/>
      <c r="P479" s="12"/>
      <c r="Q479" s="12"/>
      <c r="R479" s="12"/>
      <c r="S479" s="12"/>
      <c r="T479" s="12"/>
      <c r="U479" s="12"/>
      <c r="V479" s="12"/>
      <c r="W479" s="12"/>
      <c r="X479" s="12"/>
      <c r="Y479" s="12"/>
      <c r="Z479" s="12"/>
    </row>
    <row r="480" spans="1:26" ht="15.75" customHeight="1" x14ac:dyDescent="0.25">
      <c r="A480" s="12"/>
      <c r="B480" s="12"/>
      <c r="C480" s="12"/>
      <c r="D480" s="12"/>
      <c r="E480" s="13"/>
      <c r="F480" s="12"/>
      <c r="G480" s="12"/>
      <c r="H480" s="12"/>
      <c r="I480" s="12"/>
      <c r="J480" s="12"/>
      <c r="K480" s="12"/>
      <c r="L480" s="12"/>
      <c r="M480" s="12"/>
      <c r="N480" s="12"/>
      <c r="O480" s="12"/>
      <c r="P480" s="12"/>
      <c r="Q480" s="12"/>
      <c r="R480" s="12"/>
      <c r="S480" s="12"/>
      <c r="T480" s="12"/>
      <c r="U480" s="12"/>
      <c r="V480" s="12"/>
      <c r="W480" s="12"/>
      <c r="X480" s="12"/>
      <c r="Y480" s="12"/>
      <c r="Z480" s="12"/>
    </row>
    <row r="481" spans="1:26" ht="15.75" customHeight="1" x14ac:dyDescent="0.25">
      <c r="A481" s="12"/>
      <c r="B481" s="12"/>
      <c r="C481" s="12"/>
      <c r="D481" s="12"/>
      <c r="E481" s="13"/>
      <c r="F481" s="12"/>
      <c r="G481" s="12"/>
      <c r="H481" s="12"/>
      <c r="I481" s="12"/>
      <c r="J481" s="12"/>
      <c r="K481" s="12"/>
      <c r="L481" s="12"/>
      <c r="M481" s="12"/>
      <c r="N481" s="12"/>
      <c r="O481" s="12"/>
      <c r="P481" s="12"/>
      <c r="Q481" s="12"/>
      <c r="R481" s="12"/>
      <c r="S481" s="12"/>
      <c r="T481" s="12"/>
      <c r="U481" s="12"/>
      <c r="V481" s="12"/>
      <c r="W481" s="12"/>
      <c r="X481" s="12"/>
      <c r="Y481" s="12"/>
      <c r="Z481" s="12"/>
    </row>
    <row r="482" spans="1:26" ht="15.75" customHeight="1" x14ac:dyDescent="0.25">
      <c r="A482" s="12"/>
      <c r="B482" s="12"/>
      <c r="C482" s="12"/>
      <c r="D482" s="12"/>
      <c r="E482" s="13"/>
      <c r="F482" s="12"/>
      <c r="G482" s="12"/>
      <c r="H482" s="12"/>
      <c r="I482" s="12"/>
      <c r="J482" s="12"/>
      <c r="K482" s="12"/>
      <c r="L482" s="12"/>
      <c r="M482" s="12"/>
      <c r="N482" s="12"/>
      <c r="O482" s="12"/>
      <c r="P482" s="12"/>
      <c r="Q482" s="12"/>
      <c r="R482" s="12"/>
      <c r="S482" s="12"/>
      <c r="T482" s="12"/>
      <c r="U482" s="12"/>
      <c r="V482" s="12"/>
      <c r="W482" s="12"/>
      <c r="X482" s="12"/>
      <c r="Y482" s="12"/>
      <c r="Z482" s="12"/>
    </row>
    <row r="483" spans="1:26" ht="15.75" customHeight="1" x14ac:dyDescent="0.25">
      <c r="A483" s="12"/>
      <c r="B483" s="12"/>
      <c r="C483" s="12"/>
      <c r="D483" s="12"/>
      <c r="E483" s="13"/>
      <c r="F483" s="12"/>
      <c r="G483" s="12"/>
      <c r="H483" s="12"/>
      <c r="I483" s="12"/>
      <c r="J483" s="12"/>
      <c r="K483" s="12"/>
      <c r="L483" s="12"/>
      <c r="M483" s="12"/>
      <c r="N483" s="12"/>
      <c r="O483" s="12"/>
      <c r="P483" s="12"/>
      <c r="Q483" s="12"/>
      <c r="R483" s="12"/>
      <c r="S483" s="12"/>
      <c r="T483" s="12"/>
      <c r="U483" s="12"/>
      <c r="V483" s="12"/>
      <c r="W483" s="12"/>
      <c r="X483" s="12"/>
      <c r="Y483" s="12"/>
      <c r="Z483" s="12"/>
    </row>
    <row r="484" spans="1:26" ht="15.75" customHeight="1" x14ac:dyDescent="0.25">
      <c r="A484" s="12"/>
      <c r="B484" s="12"/>
      <c r="C484" s="12"/>
      <c r="D484" s="12"/>
      <c r="E484" s="13"/>
      <c r="F484" s="12"/>
      <c r="G484" s="12"/>
      <c r="H484" s="12"/>
      <c r="I484" s="12"/>
      <c r="J484" s="12"/>
      <c r="K484" s="12"/>
      <c r="L484" s="12"/>
      <c r="M484" s="12"/>
      <c r="N484" s="12"/>
      <c r="O484" s="12"/>
      <c r="P484" s="12"/>
      <c r="Q484" s="12"/>
      <c r="R484" s="12"/>
      <c r="S484" s="12"/>
      <c r="T484" s="12"/>
      <c r="U484" s="12"/>
      <c r="V484" s="12"/>
      <c r="W484" s="12"/>
      <c r="X484" s="12"/>
      <c r="Y484" s="12"/>
      <c r="Z484" s="12"/>
    </row>
    <row r="485" spans="1:26" ht="15.75" customHeight="1" x14ac:dyDescent="0.25">
      <c r="A485" s="12"/>
      <c r="B485" s="12"/>
      <c r="C485" s="12"/>
      <c r="D485" s="12"/>
      <c r="E485" s="13"/>
      <c r="F485" s="12"/>
      <c r="G485" s="12"/>
      <c r="H485" s="12"/>
      <c r="I485" s="12"/>
      <c r="J485" s="12"/>
      <c r="K485" s="12"/>
      <c r="L485" s="12"/>
      <c r="M485" s="12"/>
      <c r="N485" s="12"/>
      <c r="O485" s="12"/>
      <c r="P485" s="12"/>
      <c r="Q485" s="12"/>
      <c r="R485" s="12"/>
      <c r="S485" s="12"/>
      <c r="T485" s="12"/>
      <c r="U485" s="12"/>
      <c r="V485" s="12"/>
      <c r="W485" s="12"/>
      <c r="X485" s="12"/>
      <c r="Y485" s="12"/>
      <c r="Z485" s="12"/>
    </row>
    <row r="486" spans="1:26" ht="15.75" customHeight="1" x14ac:dyDescent="0.25">
      <c r="A486" s="12"/>
      <c r="B486" s="12"/>
      <c r="C486" s="12"/>
      <c r="D486" s="12"/>
      <c r="E486" s="13"/>
      <c r="F486" s="12"/>
      <c r="G486" s="12"/>
      <c r="H486" s="12"/>
      <c r="I486" s="12"/>
      <c r="J486" s="12"/>
      <c r="K486" s="12"/>
      <c r="L486" s="12"/>
      <c r="M486" s="12"/>
      <c r="N486" s="12"/>
      <c r="O486" s="12"/>
      <c r="P486" s="12"/>
      <c r="Q486" s="12"/>
      <c r="R486" s="12"/>
      <c r="S486" s="12"/>
      <c r="T486" s="12"/>
      <c r="U486" s="12"/>
      <c r="V486" s="12"/>
      <c r="W486" s="12"/>
      <c r="X486" s="12"/>
      <c r="Y486" s="12"/>
      <c r="Z486" s="12"/>
    </row>
    <row r="487" spans="1:26" ht="15.75" customHeight="1" x14ac:dyDescent="0.25">
      <c r="A487" s="12"/>
      <c r="B487" s="12"/>
      <c r="C487" s="12"/>
      <c r="D487" s="12"/>
      <c r="E487" s="13"/>
      <c r="F487" s="12"/>
      <c r="G487" s="12"/>
      <c r="H487" s="12"/>
      <c r="I487" s="12"/>
      <c r="J487" s="12"/>
      <c r="K487" s="12"/>
      <c r="L487" s="12"/>
      <c r="M487" s="12"/>
      <c r="N487" s="12"/>
      <c r="O487" s="12"/>
      <c r="P487" s="12"/>
      <c r="Q487" s="12"/>
      <c r="R487" s="12"/>
      <c r="S487" s="12"/>
      <c r="T487" s="12"/>
      <c r="U487" s="12"/>
      <c r="V487" s="12"/>
      <c r="W487" s="12"/>
      <c r="X487" s="12"/>
      <c r="Y487" s="12"/>
      <c r="Z487" s="12"/>
    </row>
    <row r="488" spans="1:26" ht="15.75" customHeight="1" x14ac:dyDescent="0.25">
      <c r="A488" s="12"/>
      <c r="B488" s="12"/>
      <c r="C488" s="12"/>
      <c r="D488" s="12"/>
      <c r="E488" s="13"/>
      <c r="F488" s="12"/>
      <c r="G488" s="12"/>
      <c r="H488" s="12"/>
      <c r="I488" s="12"/>
      <c r="J488" s="12"/>
      <c r="K488" s="12"/>
      <c r="L488" s="12"/>
      <c r="M488" s="12"/>
      <c r="N488" s="12"/>
      <c r="O488" s="12"/>
      <c r="P488" s="12"/>
      <c r="Q488" s="12"/>
      <c r="R488" s="12"/>
      <c r="S488" s="12"/>
      <c r="T488" s="12"/>
      <c r="U488" s="12"/>
      <c r="V488" s="12"/>
      <c r="W488" s="12"/>
      <c r="X488" s="12"/>
      <c r="Y488" s="12"/>
      <c r="Z488" s="12"/>
    </row>
    <row r="489" spans="1:26" ht="15.75" customHeight="1" x14ac:dyDescent="0.25">
      <c r="A489" s="12"/>
      <c r="B489" s="12"/>
      <c r="C489" s="12"/>
      <c r="D489" s="12"/>
      <c r="E489" s="13"/>
      <c r="F489" s="12"/>
      <c r="G489" s="12"/>
      <c r="H489" s="12"/>
      <c r="I489" s="12"/>
      <c r="J489" s="12"/>
      <c r="K489" s="12"/>
      <c r="L489" s="12"/>
      <c r="M489" s="12"/>
      <c r="N489" s="12"/>
      <c r="O489" s="12"/>
      <c r="P489" s="12"/>
      <c r="Q489" s="12"/>
      <c r="R489" s="12"/>
      <c r="S489" s="12"/>
      <c r="T489" s="12"/>
      <c r="U489" s="12"/>
      <c r="V489" s="12"/>
      <c r="W489" s="12"/>
      <c r="X489" s="12"/>
      <c r="Y489" s="12"/>
      <c r="Z489" s="12"/>
    </row>
    <row r="490" spans="1:26" ht="15.75" customHeight="1" x14ac:dyDescent="0.25">
      <c r="A490" s="12"/>
      <c r="B490" s="12"/>
      <c r="C490" s="12"/>
      <c r="D490" s="12"/>
      <c r="E490" s="13"/>
      <c r="F490" s="12"/>
      <c r="G490" s="12"/>
      <c r="H490" s="12"/>
      <c r="I490" s="12"/>
      <c r="J490" s="12"/>
      <c r="K490" s="12"/>
      <c r="L490" s="12"/>
      <c r="M490" s="12"/>
      <c r="N490" s="12"/>
      <c r="O490" s="12"/>
      <c r="P490" s="12"/>
      <c r="Q490" s="12"/>
      <c r="R490" s="12"/>
      <c r="S490" s="12"/>
      <c r="T490" s="12"/>
      <c r="U490" s="12"/>
      <c r="V490" s="12"/>
      <c r="W490" s="12"/>
      <c r="X490" s="12"/>
      <c r="Y490" s="12"/>
      <c r="Z490" s="12"/>
    </row>
    <row r="491" spans="1:26" ht="15.75" customHeight="1" x14ac:dyDescent="0.25">
      <c r="A491" s="12"/>
      <c r="B491" s="12"/>
      <c r="C491" s="12"/>
      <c r="D491" s="12"/>
      <c r="E491" s="13"/>
      <c r="F491" s="12"/>
      <c r="G491" s="12"/>
      <c r="H491" s="12"/>
      <c r="I491" s="12"/>
      <c r="J491" s="12"/>
      <c r="K491" s="12"/>
      <c r="L491" s="12"/>
      <c r="M491" s="12"/>
      <c r="N491" s="12"/>
      <c r="O491" s="12"/>
      <c r="P491" s="12"/>
      <c r="Q491" s="12"/>
      <c r="R491" s="12"/>
      <c r="S491" s="12"/>
      <c r="T491" s="12"/>
      <c r="U491" s="12"/>
      <c r="V491" s="12"/>
      <c r="W491" s="12"/>
      <c r="X491" s="12"/>
      <c r="Y491" s="12"/>
      <c r="Z491" s="12"/>
    </row>
    <row r="492" spans="1:26" ht="15.75" customHeight="1" x14ac:dyDescent="0.25">
      <c r="A492" s="12"/>
      <c r="B492" s="12"/>
      <c r="C492" s="12"/>
      <c r="D492" s="12"/>
      <c r="E492" s="13"/>
      <c r="F492" s="12"/>
      <c r="G492" s="12"/>
      <c r="H492" s="12"/>
      <c r="I492" s="12"/>
      <c r="J492" s="12"/>
      <c r="K492" s="12"/>
      <c r="L492" s="12"/>
      <c r="M492" s="12"/>
      <c r="N492" s="12"/>
      <c r="O492" s="12"/>
      <c r="P492" s="12"/>
      <c r="Q492" s="12"/>
      <c r="R492" s="12"/>
      <c r="S492" s="12"/>
      <c r="T492" s="12"/>
      <c r="U492" s="12"/>
      <c r="V492" s="12"/>
      <c r="W492" s="12"/>
      <c r="X492" s="12"/>
      <c r="Y492" s="12"/>
      <c r="Z492" s="12"/>
    </row>
    <row r="493" spans="1:26" ht="15.75" customHeight="1" x14ac:dyDescent="0.25">
      <c r="A493" s="12"/>
      <c r="B493" s="12"/>
      <c r="C493" s="12"/>
      <c r="D493" s="12"/>
      <c r="E493" s="13"/>
      <c r="F493" s="12"/>
      <c r="G493" s="12"/>
      <c r="H493" s="12"/>
      <c r="I493" s="12"/>
      <c r="J493" s="12"/>
      <c r="K493" s="12"/>
      <c r="L493" s="12"/>
      <c r="M493" s="12"/>
      <c r="N493" s="12"/>
      <c r="O493" s="12"/>
      <c r="P493" s="12"/>
      <c r="Q493" s="12"/>
      <c r="R493" s="12"/>
      <c r="S493" s="12"/>
      <c r="T493" s="12"/>
      <c r="U493" s="12"/>
      <c r="V493" s="12"/>
      <c r="W493" s="12"/>
      <c r="X493" s="12"/>
      <c r="Y493" s="12"/>
      <c r="Z493" s="12"/>
    </row>
    <row r="494" spans="1:26" ht="15.75" customHeight="1" x14ac:dyDescent="0.25">
      <c r="A494" s="12"/>
      <c r="B494" s="12"/>
      <c r="C494" s="12"/>
      <c r="D494" s="12"/>
      <c r="E494" s="13"/>
      <c r="F494" s="12"/>
      <c r="G494" s="12"/>
      <c r="H494" s="12"/>
      <c r="I494" s="12"/>
      <c r="J494" s="12"/>
      <c r="K494" s="12"/>
      <c r="L494" s="12"/>
      <c r="M494" s="12"/>
      <c r="N494" s="12"/>
      <c r="O494" s="12"/>
      <c r="P494" s="12"/>
      <c r="Q494" s="12"/>
      <c r="R494" s="12"/>
      <c r="S494" s="12"/>
      <c r="T494" s="12"/>
      <c r="U494" s="12"/>
      <c r="V494" s="12"/>
      <c r="W494" s="12"/>
      <c r="X494" s="12"/>
      <c r="Y494" s="12"/>
      <c r="Z494" s="12"/>
    </row>
    <row r="495" spans="1:26" ht="15.75" customHeight="1" x14ac:dyDescent="0.25">
      <c r="A495" s="12"/>
      <c r="B495" s="12"/>
      <c r="C495" s="12"/>
      <c r="D495" s="12"/>
      <c r="E495" s="13"/>
      <c r="F495" s="12"/>
      <c r="G495" s="12"/>
      <c r="H495" s="12"/>
      <c r="I495" s="12"/>
      <c r="J495" s="12"/>
      <c r="K495" s="12"/>
      <c r="L495" s="12"/>
      <c r="M495" s="12"/>
      <c r="N495" s="12"/>
      <c r="O495" s="12"/>
      <c r="P495" s="12"/>
      <c r="Q495" s="12"/>
      <c r="R495" s="12"/>
      <c r="S495" s="12"/>
      <c r="T495" s="12"/>
      <c r="U495" s="12"/>
      <c r="V495" s="12"/>
      <c r="W495" s="12"/>
      <c r="X495" s="12"/>
      <c r="Y495" s="12"/>
      <c r="Z495" s="12"/>
    </row>
    <row r="496" spans="1:26" ht="15.75" customHeight="1" x14ac:dyDescent="0.25">
      <c r="A496" s="12"/>
      <c r="B496" s="12"/>
      <c r="C496" s="12"/>
      <c r="D496" s="12"/>
      <c r="E496" s="13"/>
      <c r="F496" s="12"/>
      <c r="G496" s="12"/>
      <c r="H496" s="12"/>
      <c r="I496" s="12"/>
      <c r="J496" s="12"/>
      <c r="K496" s="12"/>
      <c r="L496" s="12"/>
      <c r="M496" s="12"/>
      <c r="N496" s="12"/>
      <c r="O496" s="12"/>
      <c r="P496" s="12"/>
      <c r="Q496" s="12"/>
      <c r="R496" s="12"/>
      <c r="S496" s="12"/>
      <c r="T496" s="12"/>
      <c r="U496" s="12"/>
      <c r="V496" s="12"/>
      <c r="W496" s="12"/>
      <c r="X496" s="12"/>
      <c r="Y496" s="12"/>
      <c r="Z496" s="12"/>
    </row>
    <row r="497" spans="1:26" ht="15.75" customHeight="1" x14ac:dyDescent="0.25">
      <c r="A497" s="12"/>
      <c r="B497" s="12"/>
      <c r="C497" s="12"/>
      <c r="D497" s="12"/>
      <c r="E497" s="13"/>
      <c r="F497" s="12"/>
      <c r="G497" s="12"/>
      <c r="H497" s="12"/>
      <c r="I497" s="12"/>
      <c r="J497" s="12"/>
      <c r="K497" s="12"/>
      <c r="L497" s="12"/>
      <c r="M497" s="12"/>
      <c r="N497" s="12"/>
      <c r="O497" s="12"/>
      <c r="P497" s="12"/>
      <c r="Q497" s="12"/>
      <c r="R497" s="12"/>
      <c r="S497" s="12"/>
      <c r="T497" s="12"/>
      <c r="U497" s="12"/>
      <c r="V497" s="12"/>
      <c r="W497" s="12"/>
      <c r="X497" s="12"/>
      <c r="Y497" s="12"/>
      <c r="Z497" s="12"/>
    </row>
    <row r="498" spans="1:26" ht="15.75" customHeight="1" x14ac:dyDescent="0.25">
      <c r="A498" s="12"/>
      <c r="B498" s="12"/>
      <c r="C498" s="12"/>
      <c r="D498" s="12"/>
      <c r="E498" s="13"/>
      <c r="F498" s="12"/>
      <c r="G498" s="12"/>
      <c r="H498" s="12"/>
      <c r="I498" s="12"/>
      <c r="J498" s="12"/>
      <c r="K498" s="12"/>
      <c r="L498" s="12"/>
      <c r="M498" s="12"/>
      <c r="N498" s="12"/>
      <c r="O498" s="12"/>
      <c r="P498" s="12"/>
      <c r="Q498" s="12"/>
      <c r="R498" s="12"/>
      <c r="S498" s="12"/>
      <c r="T498" s="12"/>
      <c r="U498" s="12"/>
      <c r="V498" s="12"/>
      <c r="W498" s="12"/>
      <c r="X498" s="12"/>
      <c r="Y498" s="12"/>
      <c r="Z498" s="12"/>
    </row>
    <row r="499" spans="1:26" ht="15.75" customHeight="1" x14ac:dyDescent="0.25">
      <c r="A499" s="12"/>
      <c r="B499" s="12"/>
      <c r="C499" s="12"/>
      <c r="D499" s="12"/>
      <c r="E499" s="13"/>
      <c r="F499" s="12"/>
      <c r="G499" s="12"/>
      <c r="H499" s="12"/>
      <c r="I499" s="12"/>
      <c r="J499" s="12"/>
      <c r="K499" s="12"/>
      <c r="L499" s="12"/>
      <c r="M499" s="12"/>
      <c r="N499" s="12"/>
      <c r="O499" s="12"/>
      <c r="P499" s="12"/>
      <c r="Q499" s="12"/>
      <c r="R499" s="12"/>
      <c r="S499" s="12"/>
      <c r="T499" s="12"/>
      <c r="U499" s="12"/>
      <c r="V499" s="12"/>
      <c r="W499" s="12"/>
      <c r="X499" s="12"/>
      <c r="Y499" s="12"/>
      <c r="Z499" s="12"/>
    </row>
    <row r="500" spans="1:26" ht="15.75" customHeight="1" x14ac:dyDescent="0.25">
      <c r="A500" s="12"/>
      <c r="B500" s="12"/>
      <c r="C500" s="12"/>
      <c r="D500" s="12"/>
      <c r="E500" s="13"/>
      <c r="F500" s="12"/>
      <c r="G500" s="12"/>
      <c r="H500" s="12"/>
      <c r="I500" s="12"/>
      <c r="J500" s="12"/>
      <c r="K500" s="12"/>
      <c r="L500" s="12"/>
      <c r="M500" s="12"/>
      <c r="N500" s="12"/>
      <c r="O500" s="12"/>
      <c r="P500" s="12"/>
      <c r="Q500" s="12"/>
      <c r="R500" s="12"/>
      <c r="S500" s="12"/>
      <c r="T500" s="12"/>
      <c r="U500" s="12"/>
      <c r="V500" s="12"/>
      <c r="W500" s="12"/>
      <c r="X500" s="12"/>
      <c r="Y500" s="12"/>
      <c r="Z500" s="12"/>
    </row>
    <row r="501" spans="1:26" ht="15.75" customHeight="1" x14ac:dyDescent="0.25">
      <c r="A501" s="12"/>
      <c r="B501" s="12"/>
      <c r="C501" s="12"/>
      <c r="D501" s="12"/>
      <c r="E501" s="13"/>
      <c r="F501" s="12"/>
      <c r="G501" s="12"/>
      <c r="H501" s="12"/>
      <c r="I501" s="12"/>
      <c r="J501" s="12"/>
      <c r="K501" s="12"/>
      <c r="L501" s="12"/>
      <c r="M501" s="12"/>
      <c r="N501" s="12"/>
      <c r="O501" s="12"/>
      <c r="P501" s="12"/>
      <c r="Q501" s="12"/>
      <c r="R501" s="12"/>
      <c r="S501" s="12"/>
      <c r="T501" s="12"/>
      <c r="U501" s="12"/>
      <c r="V501" s="12"/>
      <c r="W501" s="12"/>
      <c r="X501" s="12"/>
      <c r="Y501" s="12"/>
      <c r="Z501" s="12"/>
    </row>
    <row r="502" spans="1:26" ht="15.75" customHeight="1" x14ac:dyDescent="0.25">
      <c r="A502" s="12"/>
      <c r="B502" s="12"/>
      <c r="C502" s="12"/>
      <c r="D502" s="12"/>
      <c r="E502" s="13"/>
      <c r="F502" s="12"/>
      <c r="G502" s="12"/>
      <c r="H502" s="12"/>
      <c r="I502" s="12"/>
      <c r="J502" s="12"/>
      <c r="K502" s="12"/>
      <c r="L502" s="12"/>
      <c r="M502" s="12"/>
      <c r="N502" s="12"/>
      <c r="O502" s="12"/>
      <c r="P502" s="12"/>
      <c r="Q502" s="12"/>
      <c r="R502" s="12"/>
      <c r="S502" s="12"/>
      <c r="T502" s="12"/>
      <c r="U502" s="12"/>
      <c r="V502" s="12"/>
      <c r="W502" s="12"/>
      <c r="X502" s="12"/>
      <c r="Y502" s="12"/>
      <c r="Z502" s="12"/>
    </row>
    <row r="503" spans="1:26" ht="15.75" customHeight="1" x14ac:dyDescent="0.25">
      <c r="A503" s="12"/>
      <c r="B503" s="12"/>
      <c r="C503" s="12"/>
      <c r="D503" s="12"/>
      <c r="E503" s="13"/>
      <c r="F503" s="12"/>
      <c r="G503" s="12"/>
      <c r="H503" s="12"/>
      <c r="I503" s="12"/>
      <c r="J503" s="12"/>
      <c r="K503" s="12"/>
      <c r="L503" s="12"/>
      <c r="M503" s="12"/>
      <c r="N503" s="12"/>
      <c r="O503" s="12"/>
      <c r="P503" s="12"/>
      <c r="Q503" s="12"/>
      <c r="R503" s="12"/>
      <c r="S503" s="12"/>
      <c r="T503" s="12"/>
      <c r="U503" s="12"/>
      <c r="V503" s="12"/>
      <c r="W503" s="12"/>
      <c r="X503" s="12"/>
      <c r="Y503" s="12"/>
      <c r="Z503" s="12"/>
    </row>
    <row r="504" spans="1:26" ht="15.75" customHeight="1" x14ac:dyDescent="0.25">
      <c r="A504" s="12"/>
      <c r="B504" s="12"/>
      <c r="C504" s="12"/>
      <c r="D504" s="12"/>
      <c r="E504" s="13"/>
      <c r="F504" s="12"/>
      <c r="G504" s="12"/>
      <c r="H504" s="12"/>
      <c r="I504" s="12"/>
      <c r="J504" s="12"/>
      <c r="K504" s="12"/>
      <c r="L504" s="12"/>
      <c r="M504" s="12"/>
      <c r="N504" s="12"/>
      <c r="O504" s="12"/>
      <c r="P504" s="12"/>
      <c r="Q504" s="12"/>
      <c r="R504" s="12"/>
      <c r="S504" s="12"/>
      <c r="T504" s="12"/>
      <c r="U504" s="12"/>
      <c r="V504" s="12"/>
      <c r="W504" s="12"/>
      <c r="X504" s="12"/>
      <c r="Y504" s="12"/>
      <c r="Z504" s="12"/>
    </row>
    <row r="505" spans="1:26" ht="15.75" customHeight="1" x14ac:dyDescent="0.25">
      <c r="A505" s="12"/>
      <c r="B505" s="12"/>
      <c r="C505" s="12"/>
      <c r="D505" s="12"/>
      <c r="E505" s="13"/>
      <c r="F505" s="12"/>
      <c r="G505" s="12"/>
      <c r="H505" s="12"/>
      <c r="I505" s="12"/>
      <c r="J505" s="12"/>
      <c r="K505" s="12"/>
      <c r="L505" s="12"/>
      <c r="M505" s="12"/>
      <c r="N505" s="12"/>
      <c r="O505" s="12"/>
      <c r="P505" s="12"/>
      <c r="Q505" s="12"/>
      <c r="R505" s="12"/>
      <c r="S505" s="12"/>
      <c r="T505" s="12"/>
      <c r="U505" s="12"/>
      <c r="V505" s="12"/>
      <c r="W505" s="12"/>
      <c r="X505" s="12"/>
      <c r="Y505" s="12"/>
      <c r="Z505" s="12"/>
    </row>
    <row r="506" spans="1:26" ht="15.75" customHeight="1" x14ac:dyDescent="0.25">
      <c r="A506" s="12"/>
      <c r="B506" s="12"/>
      <c r="C506" s="12"/>
      <c r="D506" s="12"/>
      <c r="E506" s="13"/>
      <c r="F506" s="12"/>
      <c r="G506" s="12"/>
      <c r="H506" s="12"/>
      <c r="I506" s="12"/>
      <c r="J506" s="12"/>
      <c r="K506" s="12"/>
      <c r="L506" s="12"/>
      <c r="M506" s="12"/>
      <c r="N506" s="12"/>
      <c r="O506" s="12"/>
      <c r="P506" s="12"/>
      <c r="Q506" s="12"/>
      <c r="R506" s="12"/>
      <c r="S506" s="12"/>
      <c r="T506" s="12"/>
      <c r="U506" s="12"/>
      <c r="V506" s="12"/>
      <c r="W506" s="12"/>
      <c r="X506" s="12"/>
      <c r="Y506" s="12"/>
      <c r="Z506" s="12"/>
    </row>
    <row r="507" spans="1:26" ht="15.75" customHeight="1" x14ac:dyDescent="0.25">
      <c r="A507" s="12"/>
      <c r="B507" s="12"/>
      <c r="C507" s="12"/>
      <c r="D507" s="12"/>
      <c r="E507" s="13"/>
      <c r="F507" s="12"/>
      <c r="G507" s="12"/>
      <c r="H507" s="12"/>
      <c r="I507" s="12"/>
      <c r="J507" s="12"/>
      <c r="K507" s="12"/>
      <c r="L507" s="12"/>
      <c r="M507" s="12"/>
      <c r="N507" s="12"/>
      <c r="O507" s="12"/>
      <c r="P507" s="12"/>
      <c r="Q507" s="12"/>
      <c r="R507" s="12"/>
      <c r="S507" s="12"/>
      <c r="T507" s="12"/>
      <c r="U507" s="12"/>
      <c r="V507" s="12"/>
      <c r="W507" s="12"/>
      <c r="X507" s="12"/>
      <c r="Y507" s="12"/>
      <c r="Z507" s="12"/>
    </row>
    <row r="508" spans="1:26" ht="15.75" customHeight="1" x14ac:dyDescent="0.25">
      <c r="A508" s="12"/>
      <c r="B508" s="12"/>
      <c r="C508" s="12"/>
      <c r="D508" s="12"/>
      <c r="E508" s="13"/>
      <c r="F508" s="12"/>
      <c r="G508" s="12"/>
      <c r="H508" s="12"/>
      <c r="I508" s="12"/>
      <c r="J508" s="12"/>
      <c r="K508" s="12"/>
      <c r="L508" s="12"/>
      <c r="M508" s="12"/>
      <c r="N508" s="12"/>
      <c r="O508" s="12"/>
      <c r="P508" s="12"/>
      <c r="Q508" s="12"/>
      <c r="R508" s="12"/>
      <c r="S508" s="12"/>
      <c r="T508" s="12"/>
      <c r="U508" s="12"/>
      <c r="V508" s="12"/>
      <c r="W508" s="12"/>
      <c r="X508" s="12"/>
      <c r="Y508" s="12"/>
      <c r="Z508" s="12"/>
    </row>
    <row r="509" spans="1:26" ht="15.75" customHeight="1" x14ac:dyDescent="0.25">
      <c r="A509" s="12"/>
      <c r="B509" s="12"/>
      <c r="C509" s="12"/>
      <c r="D509" s="12"/>
      <c r="E509" s="13"/>
      <c r="F509" s="12"/>
      <c r="G509" s="12"/>
      <c r="H509" s="12"/>
      <c r="I509" s="12"/>
      <c r="J509" s="12"/>
      <c r="K509" s="12"/>
      <c r="L509" s="12"/>
      <c r="M509" s="12"/>
      <c r="N509" s="12"/>
      <c r="O509" s="12"/>
      <c r="P509" s="12"/>
      <c r="Q509" s="12"/>
      <c r="R509" s="12"/>
      <c r="S509" s="12"/>
      <c r="T509" s="12"/>
      <c r="U509" s="12"/>
      <c r="V509" s="12"/>
      <c r="W509" s="12"/>
      <c r="X509" s="12"/>
      <c r="Y509" s="12"/>
      <c r="Z509" s="12"/>
    </row>
    <row r="510" spans="1:26" ht="15.75" customHeight="1" x14ac:dyDescent="0.25">
      <c r="A510" s="12"/>
      <c r="B510" s="12"/>
      <c r="C510" s="12"/>
      <c r="D510" s="12"/>
      <c r="E510" s="13"/>
      <c r="F510" s="12"/>
      <c r="G510" s="12"/>
      <c r="H510" s="12"/>
      <c r="I510" s="12"/>
      <c r="J510" s="12"/>
      <c r="K510" s="12"/>
      <c r="L510" s="12"/>
      <c r="M510" s="12"/>
      <c r="N510" s="12"/>
      <c r="O510" s="12"/>
      <c r="P510" s="12"/>
      <c r="Q510" s="12"/>
      <c r="R510" s="12"/>
      <c r="S510" s="12"/>
      <c r="T510" s="12"/>
      <c r="U510" s="12"/>
      <c r="V510" s="12"/>
      <c r="W510" s="12"/>
      <c r="X510" s="12"/>
      <c r="Y510" s="12"/>
      <c r="Z510" s="12"/>
    </row>
    <row r="511" spans="1:26" ht="15.75" customHeight="1" x14ac:dyDescent="0.25">
      <c r="A511" s="12"/>
      <c r="B511" s="12"/>
      <c r="C511" s="12"/>
      <c r="D511" s="12"/>
      <c r="E511" s="13"/>
      <c r="F511" s="12"/>
      <c r="G511" s="12"/>
      <c r="H511" s="12"/>
      <c r="I511" s="12"/>
      <c r="J511" s="12"/>
      <c r="K511" s="12"/>
      <c r="L511" s="12"/>
      <c r="M511" s="12"/>
      <c r="N511" s="12"/>
      <c r="O511" s="12"/>
      <c r="P511" s="12"/>
      <c r="Q511" s="12"/>
      <c r="R511" s="12"/>
      <c r="S511" s="12"/>
      <c r="T511" s="12"/>
      <c r="U511" s="12"/>
      <c r="V511" s="12"/>
      <c r="W511" s="12"/>
      <c r="X511" s="12"/>
      <c r="Y511" s="12"/>
      <c r="Z511" s="12"/>
    </row>
    <row r="512" spans="1:26" ht="15.75" customHeight="1" x14ac:dyDescent="0.25">
      <c r="A512" s="12"/>
      <c r="B512" s="12"/>
      <c r="C512" s="12"/>
      <c r="D512" s="12"/>
      <c r="E512" s="13"/>
      <c r="F512" s="12"/>
      <c r="G512" s="12"/>
      <c r="H512" s="12"/>
      <c r="I512" s="12"/>
      <c r="J512" s="12"/>
      <c r="K512" s="12"/>
      <c r="L512" s="12"/>
      <c r="M512" s="12"/>
      <c r="N512" s="12"/>
      <c r="O512" s="12"/>
      <c r="P512" s="12"/>
      <c r="Q512" s="12"/>
      <c r="R512" s="12"/>
      <c r="S512" s="12"/>
      <c r="T512" s="12"/>
      <c r="U512" s="12"/>
      <c r="V512" s="12"/>
      <c r="W512" s="12"/>
      <c r="X512" s="12"/>
      <c r="Y512" s="12"/>
      <c r="Z512" s="12"/>
    </row>
    <row r="513" spans="1:26" ht="15.75" customHeight="1" x14ac:dyDescent="0.25">
      <c r="A513" s="12"/>
      <c r="B513" s="12"/>
      <c r="C513" s="12"/>
      <c r="D513" s="12"/>
      <c r="E513" s="13"/>
      <c r="F513" s="12"/>
      <c r="G513" s="12"/>
      <c r="H513" s="12"/>
      <c r="I513" s="12"/>
      <c r="J513" s="12"/>
      <c r="K513" s="12"/>
      <c r="L513" s="12"/>
      <c r="M513" s="12"/>
      <c r="N513" s="12"/>
      <c r="O513" s="12"/>
      <c r="P513" s="12"/>
      <c r="Q513" s="12"/>
      <c r="R513" s="12"/>
      <c r="S513" s="12"/>
      <c r="T513" s="12"/>
      <c r="U513" s="12"/>
      <c r="V513" s="12"/>
      <c r="W513" s="12"/>
      <c r="X513" s="12"/>
      <c r="Y513" s="12"/>
      <c r="Z513" s="12"/>
    </row>
    <row r="514" spans="1:26" ht="15.75" customHeight="1" x14ac:dyDescent="0.25">
      <c r="A514" s="12"/>
      <c r="B514" s="12"/>
      <c r="C514" s="12"/>
      <c r="D514" s="12"/>
      <c r="E514" s="13"/>
      <c r="F514" s="12"/>
      <c r="G514" s="12"/>
      <c r="H514" s="12"/>
      <c r="I514" s="12"/>
      <c r="J514" s="12"/>
      <c r="K514" s="12"/>
      <c r="L514" s="12"/>
      <c r="M514" s="12"/>
      <c r="N514" s="12"/>
      <c r="O514" s="12"/>
      <c r="P514" s="12"/>
      <c r="Q514" s="12"/>
      <c r="R514" s="12"/>
      <c r="S514" s="12"/>
      <c r="T514" s="12"/>
      <c r="U514" s="12"/>
      <c r="V514" s="12"/>
      <c r="W514" s="12"/>
      <c r="X514" s="12"/>
      <c r="Y514" s="12"/>
      <c r="Z514" s="12"/>
    </row>
    <row r="515" spans="1:26" ht="15.75" customHeight="1" x14ac:dyDescent="0.25">
      <c r="A515" s="12"/>
      <c r="B515" s="12"/>
      <c r="C515" s="12"/>
      <c r="D515" s="12"/>
      <c r="E515" s="13"/>
      <c r="F515" s="12"/>
      <c r="G515" s="12"/>
      <c r="H515" s="12"/>
      <c r="I515" s="12"/>
      <c r="J515" s="12"/>
      <c r="K515" s="12"/>
      <c r="L515" s="12"/>
      <c r="M515" s="12"/>
      <c r="N515" s="12"/>
      <c r="O515" s="12"/>
      <c r="P515" s="12"/>
      <c r="Q515" s="12"/>
      <c r="R515" s="12"/>
      <c r="S515" s="12"/>
      <c r="T515" s="12"/>
      <c r="U515" s="12"/>
      <c r="V515" s="12"/>
      <c r="W515" s="12"/>
      <c r="X515" s="12"/>
      <c r="Y515" s="12"/>
      <c r="Z515" s="12"/>
    </row>
    <row r="516" spans="1:26" ht="15.75" customHeight="1" x14ac:dyDescent="0.25">
      <c r="A516" s="12"/>
      <c r="B516" s="12"/>
      <c r="C516" s="12"/>
      <c r="D516" s="12"/>
      <c r="E516" s="13"/>
      <c r="F516" s="12"/>
      <c r="G516" s="12"/>
      <c r="H516" s="12"/>
      <c r="I516" s="12"/>
      <c r="J516" s="12"/>
      <c r="K516" s="12"/>
      <c r="L516" s="12"/>
      <c r="M516" s="12"/>
      <c r="N516" s="12"/>
      <c r="O516" s="12"/>
      <c r="P516" s="12"/>
      <c r="Q516" s="12"/>
      <c r="R516" s="12"/>
      <c r="S516" s="12"/>
      <c r="T516" s="12"/>
      <c r="U516" s="12"/>
      <c r="V516" s="12"/>
      <c r="W516" s="12"/>
      <c r="X516" s="12"/>
      <c r="Y516" s="12"/>
      <c r="Z516" s="12"/>
    </row>
    <row r="517" spans="1:26" ht="15.75" customHeight="1" x14ac:dyDescent="0.25">
      <c r="A517" s="12"/>
      <c r="B517" s="12"/>
      <c r="C517" s="12"/>
      <c r="D517" s="12"/>
      <c r="E517" s="13"/>
      <c r="F517" s="12"/>
      <c r="G517" s="12"/>
      <c r="H517" s="12"/>
      <c r="I517" s="12"/>
      <c r="J517" s="12"/>
      <c r="K517" s="12"/>
      <c r="L517" s="12"/>
      <c r="M517" s="12"/>
      <c r="N517" s="12"/>
      <c r="O517" s="12"/>
      <c r="P517" s="12"/>
      <c r="Q517" s="12"/>
      <c r="R517" s="12"/>
      <c r="S517" s="12"/>
      <c r="T517" s="12"/>
      <c r="U517" s="12"/>
      <c r="V517" s="12"/>
      <c r="W517" s="12"/>
      <c r="X517" s="12"/>
      <c r="Y517" s="12"/>
      <c r="Z517" s="12"/>
    </row>
    <row r="518" spans="1:26" ht="15.75" customHeight="1" x14ac:dyDescent="0.25">
      <c r="A518" s="12"/>
      <c r="B518" s="12"/>
      <c r="C518" s="12"/>
      <c r="D518" s="12"/>
      <c r="E518" s="13"/>
      <c r="F518" s="12"/>
      <c r="G518" s="12"/>
      <c r="H518" s="12"/>
      <c r="I518" s="12"/>
      <c r="J518" s="12"/>
      <c r="K518" s="12"/>
      <c r="L518" s="12"/>
      <c r="M518" s="12"/>
      <c r="N518" s="12"/>
      <c r="O518" s="12"/>
      <c r="P518" s="12"/>
      <c r="Q518" s="12"/>
      <c r="R518" s="12"/>
      <c r="S518" s="12"/>
      <c r="T518" s="12"/>
      <c r="U518" s="12"/>
      <c r="V518" s="12"/>
      <c r="W518" s="12"/>
      <c r="X518" s="12"/>
      <c r="Y518" s="12"/>
      <c r="Z518" s="12"/>
    </row>
    <row r="519" spans="1:26" ht="15.75" customHeight="1" x14ac:dyDescent="0.25">
      <c r="A519" s="12"/>
      <c r="B519" s="12"/>
      <c r="C519" s="12"/>
      <c r="D519" s="12"/>
      <c r="E519" s="13"/>
      <c r="F519" s="12"/>
      <c r="G519" s="12"/>
      <c r="H519" s="12"/>
      <c r="I519" s="12"/>
      <c r="J519" s="12"/>
      <c r="K519" s="12"/>
      <c r="L519" s="12"/>
      <c r="M519" s="12"/>
      <c r="N519" s="12"/>
      <c r="O519" s="12"/>
      <c r="P519" s="12"/>
      <c r="Q519" s="12"/>
      <c r="R519" s="12"/>
      <c r="S519" s="12"/>
      <c r="T519" s="12"/>
      <c r="U519" s="12"/>
      <c r="V519" s="12"/>
      <c r="W519" s="12"/>
      <c r="X519" s="12"/>
      <c r="Y519" s="12"/>
      <c r="Z519" s="12"/>
    </row>
    <row r="520" spans="1:26" ht="15.75" customHeight="1" x14ac:dyDescent="0.25">
      <c r="A520" s="12"/>
      <c r="B520" s="12"/>
      <c r="C520" s="12"/>
      <c r="D520" s="12"/>
      <c r="E520" s="13"/>
      <c r="F520" s="12"/>
      <c r="G520" s="12"/>
      <c r="H520" s="12"/>
      <c r="I520" s="12"/>
      <c r="J520" s="12"/>
      <c r="K520" s="12"/>
      <c r="L520" s="12"/>
      <c r="M520" s="12"/>
      <c r="N520" s="12"/>
      <c r="O520" s="12"/>
      <c r="P520" s="12"/>
      <c r="Q520" s="12"/>
      <c r="R520" s="12"/>
      <c r="S520" s="12"/>
      <c r="T520" s="12"/>
      <c r="U520" s="12"/>
      <c r="V520" s="12"/>
      <c r="W520" s="12"/>
      <c r="X520" s="12"/>
      <c r="Y520" s="12"/>
      <c r="Z520" s="12"/>
    </row>
    <row r="521" spans="1:26" ht="15.75" customHeight="1" x14ac:dyDescent="0.25">
      <c r="A521" s="12"/>
      <c r="B521" s="12"/>
      <c r="C521" s="12"/>
      <c r="D521" s="12"/>
      <c r="E521" s="13"/>
      <c r="F521" s="12"/>
      <c r="G521" s="12"/>
      <c r="H521" s="12"/>
      <c r="I521" s="12"/>
      <c r="J521" s="12"/>
      <c r="K521" s="12"/>
      <c r="L521" s="12"/>
      <c r="M521" s="12"/>
      <c r="N521" s="12"/>
      <c r="O521" s="12"/>
      <c r="P521" s="12"/>
      <c r="Q521" s="12"/>
      <c r="R521" s="12"/>
      <c r="S521" s="12"/>
      <c r="T521" s="12"/>
      <c r="U521" s="12"/>
      <c r="V521" s="12"/>
      <c r="W521" s="12"/>
      <c r="X521" s="12"/>
      <c r="Y521" s="12"/>
      <c r="Z521" s="12"/>
    </row>
    <row r="522" spans="1:26" ht="15.75" customHeight="1" x14ac:dyDescent="0.25">
      <c r="A522" s="12"/>
      <c r="B522" s="12"/>
      <c r="C522" s="12"/>
      <c r="D522" s="12"/>
      <c r="E522" s="13"/>
      <c r="F522" s="12"/>
      <c r="G522" s="12"/>
      <c r="H522" s="12"/>
      <c r="I522" s="12"/>
      <c r="J522" s="12"/>
      <c r="K522" s="12"/>
      <c r="L522" s="12"/>
      <c r="M522" s="12"/>
      <c r="N522" s="12"/>
      <c r="O522" s="12"/>
      <c r="P522" s="12"/>
      <c r="Q522" s="12"/>
      <c r="R522" s="12"/>
      <c r="S522" s="12"/>
      <c r="T522" s="12"/>
      <c r="U522" s="12"/>
      <c r="V522" s="12"/>
      <c r="W522" s="12"/>
      <c r="X522" s="12"/>
      <c r="Y522" s="12"/>
      <c r="Z522" s="12"/>
    </row>
    <row r="523" spans="1:26" ht="15.75" customHeight="1" x14ac:dyDescent="0.25">
      <c r="A523" s="12"/>
      <c r="B523" s="12"/>
      <c r="C523" s="12"/>
      <c r="D523" s="12"/>
      <c r="E523" s="13"/>
      <c r="F523" s="12"/>
      <c r="G523" s="12"/>
      <c r="H523" s="12"/>
      <c r="I523" s="12"/>
      <c r="J523" s="12"/>
      <c r="K523" s="12"/>
      <c r="L523" s="12"/>
      <c r="M523" s="12"/>
      <c r="N523" s="12"/>
      <c r="O523" s="12"/>
      <c r="P523" s="12"/>
      <c r="Q523" s="12"/>
      <c r="R523" s="12"/>
      <c r="S523" s="12"/>
      <c r="T523" s="12"/>
      <c r="U523" s="12"/>
      <c r="V523" s="12"/>
      <c r="W523" s="12"/>
      <c r="X523" s="12"/>
      <c r="Y523" s="12"/>
      <c r="Z523" s="12"/>
    </row>
    <row r="524" spans="1:26" ht="15.75" customHeight="1" x14ac:dyDescent="0.25">
      <c r="A524" s="12"/>
      <c r="B524" s="12"/>
      <c r="C524" s="12"/>
      <c r="D524" s="12"/>
      <c r="E524" s="13"/>
      <c r="F524" s="12"/>
      <c r="G524" s="12"/>
      <c r="H524" s="12"/>
      <c r="I524" s="12"/>
      <c r="J524" s="12"/>
      <c r="K524" s="12"/>
      <c r="L524" s="12"/>
      <c r="M524" s="12"/>
      <c r="N524" s="12"/>
      <c r="O524" s="12"/>
      <c r="P524" s="12"/>
      <c r="Q524" s="12"/>
      <c r="R524" s="12"/>
      <c r="S524" s="12"/>
      <c r="T524" s="12"/>
      <c r="U524" s="12"/>
      <c r="V524" s="12"/>
      <c r="W524" s="12"/>
      <c r="X524" s="12"/>
      <c r="Y524" s="12"/>
      <c r="Z524" s="12"/>
    </row>
    <row r="525" spans="1:26" ht="15.75" customHeight="1" x14ac:dyDescent="0.25">
      <c r="A525" s="12"/>
      <c r="B525" s="12"/>
      <c r="C525" s="12"/>
      <c r="D525" s="12"/>
      <c r="E525" s="13"/>
      <c r="F525" s="12"/>
      <c r="G525" s="12"/>
      <c r="H525" s="12"/>
      <c r="I525" s="12"/>
      <c r="J525" s="12"/>
      <c r="K525" s="12"/>
      <c r="L525" s="12"/>
      <c r="M525" s="12"/>
      <c r="N525" s="12"/>
      <c r="O525" s="12"/>
      <c r="P525" s="12"/>
      <c r="Q525" s="12"/>
      <c r="R525" s="12"/>
      <c r="S525" s="12"/>
      <c r="T525" s="12"/>
      <c r="U525" s="12"/>
      <c r="V525" s="12"/>
      <c r="W525" s="12"/>
      <c r="X525" s="12"/>
      <c r="Y525" s="12"/>
      <c r="Z525" s="12"/>
    </row>
    <row r="526" spans="1:26" ht="15.75" customHeight="1" x14ac:dyDescent="0.25">
      <c r="A526" s="12"/>
      <c r="B526" s="12"/>
      <c r="C526" s="12"/>
      <c r="D526" s="12"/>
      <c r="E526" s="13"/>
      <c r="F526" s="12"/>
      <c r="G526" s="12"/>
      <c r="H526" s="12"/>
      <c r="I526" s="12"/>
      <c r="J526" s="12"/>
      <c r="K526" s="12"/>
      <c r="L526" s="12"/>
      <c r="M526" s="12"/>
      <c r="N526" s="12"/>
      <c r="O526" s="12"/>
      <c r="P526" s="12"/>
      <c r="Q526" s="12"/>
      <c r="R526" s="12"/>
      <c r="S526" s="12"/>
      <c r="T526" s="12"/>
      <c r="U526" s="12"/>
      <c r="V526" s="12"/>
      <c r="W526" s="12"/>
      <c r="X526" s="12"/>
      <c r="Y526" s="12"/>
      <c r="Z526" s="12"/>
    </row>
    <row r="527" spans="1:26" ht="15.75" customHeight="1" x14ac:dyDescent="0.25">
      <c r="A527" s="12"/>
      <c r="B527" s="12"/>
      <c r="C527" s="12"/>
      <c r="D527" s="12"/>
      <c r="E527" s="13"/>
      <c r="F527" s="12"/>
      <c r="G527" s="12"/>
      <c r="H527" s="12"/>
      <c r="I527" s="12"/>
      <c r="J527" s="12"/>
      <c r="K527" s="12"/>
      <c r="L527" s="12"/>
      <c r="M527" s="12"/>
      <c r="N527" s="12"/>
      <c r="O527" s="12"/>
      <c r="P527" s="12"/>
      <c r="Q527" s="12"/>
      <c r="R527" s="12"/>
      <c r="S527" s="12"/>
      <c r="T527" s="12"/>
      <c r="U527" s="12"/>
      <c r="V527" s="12"/>
      <c r="W527" s="12"/>
      <c r="X527" s="12"/>
      <c r="Y527" s="12"/>
      <c r="Z527" s="12"/>
    </row>
    <row r="528" spans="1:26" ht="15.75" customHeight="1" x14ac:dyDescent="0.25">
      <c r="A528" s="12"/>
      <c r="B528" s="12"/>
      <c r="C528" s="12"/>
      <c r="D528" s="12"/>
      <c r="E528" s="13"/>
      <c r="F528" s="12"/>
      <c r="G528" s="12"/>
      <c r="H528" s="12"/>
      <c r="I528" s="12"/>
      <c r="J528" s="12"/>
      <c r="K528" s="12"/>
      <c r="L528" s="12"/>
      <c r="M528" s="12"/>
      <c r="N528" s="12"/>
      <c r="O528" s="12"/>
      <c r="P528" s="12"/>
      <c r="Q528" s="12"/>
      <c r="R528" s="12"/>
      <c r="S528" s="12"/>
      <c r="T528" s="12"/>
      <c r="U528" s="12"/>
      <c r="V528" s="12"/>
      <c r="W528" s="12"/>
      <c r="X528" s="12"/>
      <c r="Y528" s="12"/>
      <c r="Z528" s="12"/>
    </row>
    <row r="529" spans="1:26" ht="15.75" customHeight="1" x14ac:dyDescent="0.25">
      <c r="A529" s="12"/>
      <c r="B529" s="12"/>
      <c r="C529" s="12"/>
      <c r="D529" s="12"/>
      <c r="E529" s="13"/>
      <c r="F529" s="12"/>
      <c r="G529" s="12"/>
      <c r="H529" s="12"/>
      <c r="I529" s="12"/>
      <c r="J529" s="12"/>
      <c r="K529" s="12"/>
      <c r="L529" s="12"/>
      <c r="M529" s="12"/>
      <c r="N529" s="12"/>
      <c r="O529" s="12"/>
      <c r="P529" s="12"/>
      <c r="Q529" s="12"/>
      <c r="R529" s="12"/>
      <c r="S529" s="12"/>
      <c r="T529" s="12"/>
      <c r="U529" s="12"/>
      <c r="V529" s="12"/>
      <c r="W529" s="12"/>
      <c r="X529" s="12"/>
      <c r="Y529" s="12"/>
      <c r="Z529" s="12"/>
    </row>
    <row r="530" spans="1:26" ht="15.75" customHeight="1" x14ac:dyDescent="0.25">
      <c r="A530" s="12"/>
      <c r="B530" s="12"/>
      <c r="C530" s="12"/>
      <c r="D530" s="12"/>
      <c r="E530" s="13"/>
      <c r="F530" s="12"/>
      <c r="G530" s="12"/>
      <c r="H530" s="12"/>
      <c r="I530" s="12"/>
      <c r="J530" s="12"/>
      <c r="K530" s="12"/>
      <c r="L530" s="12"/>
      <c r="M530" s="12"/>
      <c r="N530" s="12"/>
      <c r="O530" s="12"/>
      <c r="P530" s="12"/>
      <c r="Q530" s="12"/>
      <c r="R530" s="12"/>
      <c r="S530" s="12"/>
      <c r="T530" s="12"/>
      <c r="U530" s="12"/>
      <c r="V530" s="12"/>
      <c r="W530" s="12"/>
      <c r="X530" s="12"/>
      <c r="Y530" s="12"/>
      <c r="Z530" s="12"/>
    </row>
    <row r="531" spans="1:26" ht="15.75" customHeight="1" x14ac:dyDescent="0.25">
      <c r="A531" s="12"/>
      <c r="B531" s="12"/>
      <c r="C531" s="12"/>
      <c r="D531" s="12"/>
      <c r="E531" s="13"/>
      <c r="F531" s="12"/>
      <c r="G531" s="12"/>
      <c r="H531" s="12"/>
      <c r="I531" s="12"/>
      <c r="J531" s="12"/>
      <c r="K531" s="12"/>
      <c r="L531" s="12"/>
      <c r="M531" s="12"/>
      <c r="N531" s="12"/>
      <c r="O531" s="12"/>
      <c r="P531" s="12"/>
      <c r="Q531" s="12"/>
      <c r="R531" s="12"/>
      <c r="S531" s="12"/>
      <c r="T531" s="12"/>
      <c r="U531" s="12"/>
      <c r="V531" s="12"/>
      <c r="W531" s="12"/>
      <c r="X531" s="12"/>
      <c r="Y531" s="12"/>
      <c r="Z531" s="12"/>
    </row>
    <row r="532" spans="1:26" ht="15.75" customHeight="1" x14ac:dyDescent="0.25">
      <c r="A532" s="12"/>
      <c r="B532" s="12"/>
      <c r="C532" s="12"/>
      <c r="D532" s="12"/>
      <c r="E532" s="13"/>
      <c r="F532" s="12"/>
      <c r="G532" s="12"/>
      <c r="H532" s="12"/>
      <c r="I532" s="12"/>
      <c r="J532" s="12"/>
      <c r="K532" s="12"/>
      <c r="L532" s="12"/>
      <c r="M532" s="12"/>
      <c r="N532" s="12"/>
      <c r="O532" s="12"/>
      <c r="P532" s="12"/>
      <c r="Q532" s="12"/>
      <c r="R532" s="12"/>
      <c r="S532" s="12"/>
      <c r="T532" s="12"/>
      <c r="U532" s="12"/>
      <c r="V532" s="12"/>
      <c r="W532" s="12"/>
      <c r="X532" s="12"/>
      <c r="Y532" s="12"/>
      <c r="Z532" s="12"/>
    </row>
    <row r="533" spans="1:26" ht="15.75" customHeight="1" x14ac:dyDescent="0.25">
      <c r="A533" s="12"/>
      <c r="B533" s="12"/>
      <c r="C533" s="12"/>
      <c r="D533" s="12"/>
      <c r="E533" s="13"/>
      <c r="F533" s="12"/>
      <c r="G533" s="12"/>
      <c r="H533" s="12"/>
      <c r="I533" s="12"/>
      <c r="J533" s="12"/>
      <c r="K533" s="12"/>
      <c r="L533" s="12"/>
      <c r="M533" s="12"/>
      <c r="N533" s="12"/>
      <c r="O533" s="12"/>
      <c r="P533" s="12"/>
      <c r="Q533" s="12"/>
      <c r="R533" s="12"/>
      <c r="S533" s="12"/>
      <c r="T533" s="12"/>
      <c r="U533" s="12"/>
      <c r="V533" s="12"/>
      <c r="W533" s="12"/>
      <c r="X533" s="12"/>
      <c r="Y533" s="12"/>
      <c r="Z533" s="12"/>
    </row>
    <row r="534" spans="1:26" ht="15.75" customHeight="1" x14ac:dyDescent="0.25">
      <c r="A534" s="12"/>
      <c r="B534" s="12"/>
      <c r="C534" s="12"/>
      <c r="D534" s="12"/>
      <c r="E534" s="13"/>
      <c r="F534" s="12"/>
      <c r="G534" s="12"/>
      <c r="H534" s="12"/>
      <c r="I534" s="12"/>
      <c r="J534" s="12"/>
      <c r="K534" s="12"/>
      <c r="L534" s="12"/>
      <c r="M534" s="12"/>
      <c r="N534" s="12"/>
      <c r="O534" s="12"/>
      <c r="P534" s="12"/>
      <c r="Q534" s="12"/>
      <c r="R534" s="12"/>
      <c r="S534" s="12"/>
      <c r="T534" s="12"/>
      <c r="U534" s="12"/>
      <c r="V534" s="12"/>
      <c r="W534" s="12"/>
      <c r="X534" s="12"/>
      <c r="Y534" s="12"/>
      <c r="Z534" s="12"/>
    </row>
    <row r="535" spans="1:26" ht="15.75" customHeight="1" x14ac:dyDescent="0.25">
      <c r="A535" s="12"/>
      <c r="B535" s="12"/>
      <c r="C535" s="12"/>
      <c r="D535" s="12"/>
      <c r="E535" s="13"/>
      <c r="F535" s="12"/>
      <c r="G535" s="12"/>
      <c r="H535" s="12"/>
      <c r="I535" s="12"/>
      <c r="J535" s="12"/>
      <c r="K535" s="12"/>
      <c r="L535" s="12"/>
      <c r="M535" s="12"/>
      <c r="N535" s="12"/>
      <c r="O535" s="12"/>
      <c r="P535" s="12"/>
      <c r="Q535" s="12"/>
      <c r="R535" s="12"/>
      <c r="S535" s="12"/>
      <c r="T535" s="12"/>
      <c r="U535" s="12"/>
      <c r="V535" s="12"/>
      <c r="W535" s="12"/>
      <c r="X535" s="12"/>
      <c r="Y535" s="12"/>
      <c r="Z535" s="12"/>
    </row>
    <row r="536" spans="1:26" ht="15.75" customHeight="1" x14ac:dyDescent="0.25">
      <c r="A536" s="12"/>
      <c r="B536" s="12"/>
      <c r="C536" s="12"/>
      <c r="D536" s="12"/>
      <c r="E536" s="13"/>
      <c r="F536" s="12"/>
      <c r="G536" s="12"/>
      <c r="H536" s="12"/>
      <c r="I536" s="12"/>
      <c r="J536" s="12"/>
      <c r="K536" s="12"/>
      <c r="L536" s="12"/>
      <c r="M536" s="12"/>
      <c r="N536" s="12"/>
      <c r="O536" s="12"/>
      <c r="P536" s="12"/>
      <c r="Q536" s="12"/>
      <c r="R536" s="12"/>
      <c r="S536" s="12"/>
      <c r="T536" s="12"/>
      <c r="U536" s="12"/>
      <c r="V536" s="12"/>
      <c r="W536" s="12"/>
      <c r="X536" s="12"/>
      <c r="Y536" s="12"/>
      <c r="Z536" s="12"/>
    </row>
    <row r="537" spans="1:26" ht="15.75" customHeight="1" x14ac:dyDescent="0.25">
      <c r="A537" s="12"/>
      <c r="B537" s="12"/>
      <c r="C537" s="12"/>
      <c r="D537" s="12"/>
      <c r="E537" s="13"/>
      <c r="F537" s="12"/>
      <c r="G537" s="12"/>
      <c r="H537" s="12"/>
      <c r="I537" s="12"/>
      <c r="J537" s="12"/>
      <c r="K537" s="12"/>
      <c r="L537" s="12"/>
      <c r="M537" s="12"/>
      <c r="N537" s="12"/>
      <c r="O537" s="12"/>
      <c r="P537" s="12"/>
      <c r="Q537" s="12"/>
      <c r="R537" s="12"/>
      <c r="S537" s="12"/>
      <c r="T537" s="12"/>
      <c r="U537" s="12"/>
      <c r="V537" s="12"/>
      <c r="W537" s="12"/>
      <c r="X537" s="12"/>
      <c r="Y537" s="12"/>
      <c r="Z537" s="12"/>
    </row>
    <row r="538" spans="1:26" ht="15.75" customHeight="1" x14ac:dyDescent="0.25">
      <c r="A538" s="12"/>
      <c r="B538" s="12"/>
      <c r="C538" s="12"/>
      <c r="D538" s="12"/>
      <c r="E538" s="13"/>
      <c r="F538" s="12"/>
      <c r="G538" s="12"/>
      <c r="H538" s="12"/>
      <c r="I538" s="12"/>
      <c r="J538" s="12"/>
      <c r="K538" s="12"/>
      <c r="L538" s="12"/>
      <c r="M538" s="12"/>
      <c r="N538" s="12"/>
      <c r="O538" s="12"/>
      <c r="P538" s="12"/>
      <c r="Q538" s="12"/>
      <c r="R538" s="12"/>
      <c r="S538" s="12"/>
      <c r="T538" s="12"/>
      <c r="U538" s="12"/>
      <c r="V538" s="12"/>
      <c r="W538" s="12"/>
      <c r="X538" s="12"/>
      <c r="Y538" s="12"/>
      <c r="Z538" s="12"/>
    </row>
    <row r="539" spans="1:26" ht="15.75" customHeight="1" x14ac:dyDescent="0.25">
      <c r="A539" s="12"/>
      <c r="B539" s="12"/>
      <c r="C539" s="12"/>
      <c r="D539" s="12"/>
      <c r="E539" s="13"/>
      <c r="F539" s="12"/>
      <c r="G539" s="12"/>
      <c r="H539" s="12"/>
      <c r="I539" s="12"/>
      <c r="J539" s="12"/>
      <c r="K539" s="12"/>
      <c r="L539" s="12"/>
      <c r="M539" s="12"/>
      <c r="N539" s="12"/>
      <c r="O539" s="12"/>
      <c r="P539" s="12"/>
      <c r="Q539" s="12"/>
      <c r="R539" s="12"/>
      <c r="S539" s="12"/>
      <c r="T539" s="12"/>
      <c r="U539" s="12"/>
      <c r="V539" s="12"/>
      <c r="W539" s="12"/>
      <c r="X539" s="12"/>
      <c r="Y539" s="12"/>
      <c r="Z539" s="12"/>
    </row>
    <row r="540" spans="1:26" ht="15.75" customHeight="1" x14ac:dyDescent="0.25">
      <c r="A540" s="12"/>
      <c r="B540" s="12"/>
      <c r="C540" s="12"/>
      <c r="D540" s="12"/>
      <c r="E540" s="13"/>
      <c r="F540" s="12"/>
      <c r="G540" s="12"/>
      <c r="H540" s="12"/>
      <c r="I540" s="12"/>
      <c r="J540" s="12"/>
      <c r="K540" s="12"/>
      <c r="L540" s="12"/>
      <c r="M540" s="12"/>
      <c r="N540" s="12"/>
      <c r="O540" s="12"/>
      <c r="P540" s="12"/>
      <c r="Q540" s="12"/>
      <c r="R540" s="12"/>
      <c r="S540" s="12"/>
      <c r="T540" s="12"/>
      <c r="U540" s="12"/>
      <c r="V540" s="12"/>
      <c r="W540" s="12"/>
      <c r="X540" s="12"/>
      <c r="Y540" s="12"/>
      <c r="Z540" s="12"/>
    </row>
    <row r="541" spans="1:26" ht="15.75" customHeight="1" x14ac:dyDescent="0.25">
      <c r="A541" s="12"/>
      <c r="B541" s="12"/>
      <c r="C541" s="12"/>
      <c r="D541" s="12"/>
      <c r="E541" s="13"/>
      <c r="F541" s="12"/>
      <c r="G541" s="12"/>
      <c r="H541" s="12"/>
      <c r="I541" s="12"/>
      <c r="J541" s="12"/>
      <c r="K541" s="12"/>
      <c r="L541" s="12"/>
      <c r="M541" s="12"/>
      <c r="N541" s="12"/>
      <c r="O541" s="12"/>
      <c r="P541" s="12"/>
      <c r="Q541" s="12"/>
      <c r="R541" s="12"/>
      <c r="S541" s="12"/>
      <c r="T541" s="12"/>
      <c r="U541" s="12"/>
      <c r="V541" s="12"/>
      <c r="W541" s="12"/>
      <c r="X541" s="12"/>
      <c r="Y541" s="12"/>
      <c r="Z541" s="12"/>
    </row>
    <row r="542" spans="1:26" ht="15.75" customHeight="1" x14ac:dyDescent="0.25">
      <c r="A542" s="12"/>
      <c r="B542" s="12"/>
      <c r="C542" s="12"/>
      <c r="D542" s="12"/>
      <c r="E542" s="13"/>
      <c r="F542" s="12"/>
      <c r="G542" s="12"/>
      <c r="H542" s="12"/>
      <c r="I542" s="12"/>
      <c r="J542" s="12"/>
      <c r="K542" s="12"/>
      <c r="L542" s="12"/>
      <c r="M542" s="12"/>
      <c r="N542" s="12"/>
      <c r="O542" s="12"/>
      <c r="P542" s="12"/>
      <c r="Q542" s="12"/>
      <c r="R542" s="12"/>
      <c r="S542" s="12"/>
      <c r="T542" s="12"/>
      <c r="U542" s="12"/>
      <c r="V542" s="12"/>
      <c r="W542" s="12"/>
      <c r="X542" s="12"/>
      <c r="Y542" s="12"/>
      <c r="Z542" s="12"/>
    </row>
    <row r="543" spans="1:26" ht="15.75" customHeight="1" x14ac:dyDescent="0.25">
      <c r="A543" s="12"/>
      <c r="B543" s="12"/>
      <c r="C543" s="12"/>
      <c r="D543" s="12"/>
      <c r="E543" s="13"/>
      <c r="F543" s="12"/>
      <c r="G543" s="12"/>
      <c r="H543" s="12"/>
      <c r="I543" s="12"/>
      <c r="J543" s="12"/>
      <c r="K543" s="12"/>
      <c r="L543" s="12"/>
      <c r="M543" s="12"/>
      <c r="N543" s="12"/>
      <c r="O543" s="12"/>
      <c r="P543" s="12"/>
      <c r="Q543" s="12"/>
      <c r="R543" s="12"/>
      <c r="S543" s="12"/>
      <c r="T543" s="12"/>
      <c r="U543" s="12"/>
      <c r="V543" s="12"/>
      <c r="W543" s="12"/>
      <c r="X543" s="12"/>
      <c r="Y543" s="12"/>
      <c r="Z543" s="12"/>
    </row>
    <row r="544" spans="1:26" ht="15.75" customHeight="1" x14ac:dyDescent="0.25">
      <c r="A544" s="12"/>
      <c r="B544" s="12"/>
      <c r="C544" s="12"/>
      <c r="D544" s="12"/>
      <c r="E544" s="13"/>
      <c r="F544" s="12"/>
      <c r="G544" s="12"/>
      <c r="H544" s="12"/>
      <c r="I544" s="12"/>
      <c r="J544" s="12"/>
      <c r="K544" s="12"/>
      <c r="L544" s="12"/>
      <c r="M544" s="12"/>
      <c r="N544" s="12"/>
      <c r="O544" s="12"/>
      <c r="P544" s="12"/>
      <c r="Q544" s="12"/>
      <c r="R544" s="12"/>
      <c r="S544" s="12"/>
      <c r="T544" s="12"/>
      <c r="U544" s="12"/>
      <c r="V544" s="12"/>
      <c r="W544" s="12"/>
      <c r="X544" s="12"/>
      <c r="Y544" s="12"/>
      <c r="Z544" s="12"/>
    </row>
    <row r="545" spans="1:26" ht="15.75" customHeight="1" x14ac:dyDescent="0.25">
      <c r="A545" s="12"/>
      <c r="B545" s="12"/>
      <c r="C545" s="12"/>
      <c r="D545" s="12"/>
      <c r="E545" s="13"/>
      <c r="F545" s="12"/>
      <c r="G545" s="12"/>
      <c r="H545" s="12"/>
      <c r="I545" s="12"/>
      <c r="J545" s="12"/>
      <c r="K545" s="12"/>
      <c r="L545" s="12"/>
      <c r="M545" s="12"/>
      <c r="N545" s="12"/>
      <c r="O545" s="12"/>
      <c r="P545" s="12"/>
      <c r="Q545" s="12"/>
      <c r="R545" s="12"/>
      <c r="S545" s="12"/>
      <c r="T545" s="12"/>
      <c r="U545" s="12"/>
      <c r="V545" s="12"/>
      <c r="W545" s="12"/>
      <c r="X545" s="12"/>
      <c r="Y545" s="12"/>
      <c r="Z545" s="12"/>
    </row>
    <row r="546" spans="1:26" ht="15.75" customHeight="1" x14ac:dyDescent="0.25">
      <c r="A546" s="12"/>
      <c r="B546" s="12"/>
      <c r="C546" s="12"/>
      <c r="D546" s="12"/>
      <c r="E546" s="13"/>
      <c r="F546" s="12"/>
      <c r="G546" s="12"/>
      <c r="H546" s="12"/>
      <c r="I546" s="12"/>
      <c r="J546" s="12"/>
      <c r="K546" s="12"/>
      <c r="L546" s="12"/>
      <c r="M546" s="12"/>
      <c r="N546" s="12"/>
      <c r="O546" s="12"/>
      <c r="P546" s="12"/>
      <c r="Q546" s="12"/>
      <c r="R546" s="12"/>
      <c r="S546" s="12"/>
      <c r="T546" s="12"/>
      <c r="U546" s="12"/>
      <c r="V546" s="12"/>
      <c r="W546" s="12"/>
      <c r="X546" s="12"/>
      <c r="Y546" s="12"/>
      <c r="Z546" s="12"/>
    </row>
    <row r="547" spans="1:26" ht="15.75" customHeight="1" x14ac:dyDescent="0.25">
      <c r="A547" s="12"/>
      <c r="B547" s="12"/>
      <c r="C547" s="12"/>
      <c r="D547" s="12"/>
      <c r="E547" s="13"/>
      <c r="F547" s="12"/>
      <c r="G547" s="12"/>
      <c r="H547" s="12"/>
      <c r="I547" s="12"/>
      <c r="J547" s="12"/>
      <c r="K547" s="12"/>
      <c r="L547" s="12"/>
      <c r="M547" s="12"/>
      <c r="N547" s="12"/>
      <c r="O547" s="12"/>
      <c r="P547" s="12"/>
      <c r="Q547" s="12"/>
      <c r="R547" s="12"/>
      <c r="S547" s="12"/>
      <c r="T547" s="12"/>
      <c r="U547" s="12"/>
      <c r="V547" s="12"/>
      <c r="W547" s="12"/>
      <c r="X547" s="12"/>
      <c r="Y547" s="12"/>
      <c r="Z547" s="12"/>
    </row>
    <row r="548" spans="1:26" ht="15.75" customHeight="1" x14ac:dyDescent="0.25">
      <c r="A548" s="12"/>
      <c r="B548" s="12"/>
      <c r="C548" s="12"/>
      <c r="D548" s="12"/>
      <c r="E548" s="13"/>
      <c r="F548" s="12"/>
      <c r="G548" s="12"/>
      <c r="H548" s="12"/>
      <c r="I548" s="12"/>
      <c r="J548" s="12"/>
      <c r="K548" s="12"/>
      <c r="L548" s="12"/>
      <c r="M548" s="12"/>
      <c r="N548" s="12"/>
      <c r="O548" s="12"/>
      <c r="P548" s="12"/>
      <c r="Q548" s="12"/>
      <c r="R548" s="12"/>
      <c r="S548" s="12"/>
      <c r="T548" s="12"/>
      <c r="U548" s="12"/>
      <c r="V548" s="12"/>
      <c r="W548" s="12"/>
      <c r="X548" s="12"/>
      <c r="Y548" s="12"/>
      <c r="Z548" s="12"/>
    </row>
    <row r="549" spans="1:26" ht="15.75" customHeight="1" x14ac:dyDescent="0.25">
      <c r="A549" s="12"/>
      <c r="B549" s="12"/>
      <c r="C549" s="12"/>
      <c r="D549" s="12"/>
      <c r="E549" s="13"/>
      <c r="F549" s="12"/>
      <c r="G549" s="12"/>
      <c r="H549" s="12"/>
      <c r="I549" s="12"/>
      <c r="J549" s="12"/>
      <c r="K549" s="12"/>
      <c r="L549" s="12"/>
      <c r="M549" s="12"/>
      <c r="N549" s="12"/>
      <c r="O549" s="12"/>
      <c r="P549" s="12"/>
      <c r="Q549" s="12"/>
      <c r="R549" s="12"/>
      <c r="S549" s="12"/>
      <c r="T549" s="12"/>
      <c r="U549" s="12"/>
      <c r="V549" s="12"/>
      <c r="W549" s="12"/>
      <c r="X549" s="12"/>
      <c r="Y549" s="12"/>
      <c r="Z549" s="12"/>
    </row>
    <row r="550" spans="1:26" ht="15.75" customHeight="1" x14ac:dyDescent="0.25">
      <c r="A550" s="12"/>
      <c r="B550" s="12"/>
      <c r="C550" s="12"/>
      <c r="D550" s="12"/>
      <c r="E550" s="13"/>
      <c r="F550" s="12"/>
      <c r="G550" s="12"/>
      <c r="H550" s="12"/>
      <c r="I550" s="12"/>
      <c r="J550" s="12"/>
      <c r="K550" s="12"/>
      <c r="L550" s="12"/>
      <c r="M550" s="12"/>
      <c r="N550" s="12"/>
      <c r="O550" s="12"/>
      <c r="P550" s="12"/>
      <c r="Q550" s="12"/>
      <c r="R550" s="12"/>
      <c r="S550" s="12"/>
      <c r="T550" s="12"/>
      <c r="U550" s="12"/>
      <c r="V550" s="12"/>
      <c r="W550" s="12"/>
      <c r="X550" s="12"/>
      <c r="Y550" s="12"/>
      <c r="Z550" s="12"/>
    </row>
    <row r="551" spans="1:26" ht="15.75" customHeight="1" x14ac:dyDescent="0.25">
      <c r="A551" s="12"/>
      <c r="B551" s="12"/>
      <c r="C551" s="12"/>
      <c r="D551" s="12"/>
      <c r="E551" s="13"/>
      <c r="F551" s="12"/>
      <c r="G551" s="12"/>
      <c r="H551" s="12"/>
      <c r="I551" s="12"/>
      <c r="J551" s="12"/>
      <c r="K551" s="12"/>
      <c r="L551" s="12"/>
      <c r="M551" s="12"/>
      <c r="N551" s="12"/>
      <c r="O551" s="12"/>
      <c r="P551" s="12"/>
      <c r="Q551" s="12"/>
      <c r="R551" s="12"/>
      <c r="S551" s="12"/>
      <c r="T551" s="12"/>
      <c r="U551" s="12"/>
      <c r="V551" s="12"/>
      <c r="W551" s="12"/>
      <c r="X551" s="12"/>
      <c r="Y551" s="12"/>
      <c r="Z551" s="12"/>
    </row>
    <row r="552" spans="1:26" ht="15.75" customHeight="1" x14ac:dyDescent="0.25">
      <c r="A552" s="12"/>
      <c r="B552" s="12"/>
      <c r="C552" s="12"/>
      <c r="D552" s="12"/>
      <c r="E552" s="13"/>
      <c r="F552" s="12"/>
      <c r="G552" s="12"/>
      <c r="H552" s="12"/>
      <c r="I552" s="12"/>
      <c r="J552" s="12"/>
      <c r="K552" s="12"/>
      <c r="L552" s="12"/>
      <c r="M552" s="12"/>
      <c r="N552" s="12"/>
      <c r="O552" s="12"/>
      <c r="P552" s="12"/>
      <c r="Q552" s="12"/>
      <c r="R552" s="12"/>
      <c r="S552" s="12"/>
      <c r="T552" s="12"/>
      <c r="U552" s="12"/>
      <c r="V552" s="12"/>
      <c r="W552" s="12"/>
      <c r="X552" s="12"/>
      <c r="Y552" s="12"/>
      <c r="Z552" s="12"/>
    </row>
    <row r="553" spans="1:26" ht="15.75" customHeight="1" x14ac:dyDescent="0.25">
      <c r="A553" s="12"/>
      <c r="B553" s="12"/>
      <c r="C553" s="12"/>
      <c r="D553" s="12"/>
      <c r="E553" s="13"/>
      <c r="F553" s="12"/>
      <c r="G553" s="12"/>
      <c r="H553" s="12"/>
      <c r="I553" s="12"/>
      <c r="J553" s="12"/>
      <c r="K553" s="12"/>
      <c r="L553" s="12"/>
      <c r="M553" s="12"/>
      <c r="N553" s="12"/>
      <c r="O553" s="12"/>
      <c r="P553" s="12"/>
      <c r="Q553" s="12"/>
      <c r="R553" s="12"/>
      <c r="S553" s="12"/>
      <c r="T553" s="12"/>
      <c r="U553" s="12"/>
      <c r="V553" s="12"/>
      <c r="W553" s="12"/>
      <c r="X553" s="12"/>
      <c r="Y553" s="12"/>
      <c r="Z553" s="12"/>
    </row>
    <row r="554" spans="1:26" ht="15.75" customHeight="1" x14ac:dyDescent="0.25">
      <c r="A554" s="12"/>
      <c r="B554" s="12"/>
      <c r="C554" s="12"/>
      <c r="D554" s="12"/>
      <c r="E554" s="13"/>
      <c r="F554" s="12"/>
      <c r="G554" s="12"/>
      <c r="H554" s="12"/>
      <c r="I554" s="12"/>
      <c r="J554" s="12"/>
      <c r="K554" s="12"/>
      <c r="L554" s="12"/>
      <c r="M554" s="12"/>
      <c r="N554" s="12"/>
      <c r="O554" s="12"/>
      <c r="P554" s="12"/>
      <c r="Q554" s="12"/>
      <c r="R554" s="12"/>
      <c r="S554" s="12"/>
      <c r="T554" s="12"/>
      <c r="U554" s="12"/>
      <c r="V554" s="12"/>
      <c r="W554" s="12"/>
      <c r="X554" s="12"/>
      <c r="Y554" s="12"/>
      <c r="Z554" s="12"/>
    </row>
    <row r="555" spans="1:26" ht="15.75" customHeight="1" x14ac:dyDescent="0.25">
      <c r="A555" s="12"/>
      <c r="B555" s="12"/>
      <c r="C555" s="12"/>
      <c r="D555" s="12"/>
      <c r="E555" s="13"/>
      <c r="F555" s="12"/>
      <c r="G555" s="12"/>
      <c r="H555" s="12"/>
      <c r="I555" s="12"/>
      <c r="J555" s="12"/>
      <c r="K555" s="12"/>
      <c r="L555" s="12"/>
      <c r="M555" s="12"/>
      <c r="N555" s="12"/>
      <c r="O555" s="12"/>
      <c r="P555" s="12"/>
      <c r="Q555" s="12"/>
      <c r="R555" s="12"/>
      <c r="S555" s="12"/>
      <c r="T555" s="12"/>
      <c r="U555" s="12"/>
      <c r="V555" s="12"/>
      <c r="W555" s="12"/>
      <c r="X555" s="12"/>
      <c r="Y555" s="12"/>
      <c r="Z555" s="12"/>
    </row>
    <row r="556" spans="1:26" ht="15.75" customHeight="1" x14ac:dyDescent="0.25">
      <c r="A556" s="12"/>
      <c r="B556" s="12"/>
      <c r="C556" s="12"/>
      <c r="D556" s="12"/>
      <c r="E556" s="13"/>
      <c r="F556" s="12"/>
      <c r="G556" s="12"/>
      <c r="H556" s="12"/>
      <c r="I556" s="12"/>
      <c r="J556" s="12"/>
      <c r="K556" s="12"/>
      <c r="L556" s="12"/>
      <c r="M556" s="12"/>
      <c r="N556" s="12"/>
      <c r="O556" s="12"/>
      <c r="P556" s="12"/>
      <c r="Q556" s="12"/>
      <c r="R556" s="12"/>
      <c r="S556" s="12"/>
      <c r="T556" s="12"/>
      <c r="U556" s="12"/>
      <c r="V556" s="12"/>
      <c r="W556" s="12"/>
      <c r="X556" s="12"/>
      <c r="Y556" s="12"/>
      <c r="Z556" s="12"/>
    </row>
    <row r="557" spans="1:26" ht="15.75" customHeight="1" x14ac:dyDescent="0.25">
      <c r="A557" s="12"/>
      <c r="B557" s="12"/>
      <c r="C557" s="12"/>
      <c r="D557" s="12"/>
      <c r="E557" s="13"/>
      <c r="F557" s="12"/>
      <c r="G557" s="12"/>
      <c r="H557" s="12"/>
      <c r="I557" s="12"/>
      <c r="J557" s="12"/>
      <c r="K557" s="12"/>
      <c r="L557" s="12"/>
      <c r="M557" s="12"/>
      <c r="N557" s="12"/>
      <c r="O557" s="12"/>
      <c r="P557" s="12"/>
      <c r="Q557" s="12"/>
      <c r="R557" s="12"/>
      <c r="S557" s="12"/>
      <c r="T557" s="12"/>
      <c r="U557" s="12"/>
      <c r="V557" s="12"/>
      <c r="W557" s="12"/>
      <c r="X557" s="12"/>
      <c r="Y557" s="12"/>
      <c r="Z557" s="12"/>
    </row>
    <row r="558" spans="1:26" ht="15.75" customHeight="1" x14ac:dyDescent="0.25">
      <c r="A558" s="12"/>
      <c r="B558" s="12"/>
      <c r="C558" s="12"/>
      <c r="D558" s="12"/>
      <c r="E558" s="13"/>
      <c r="F558" s="12"/>
      <c r="G558" s="12"/>
      <c r="H558" s="12"/>
      <c r="I558" s="12"/>
      <c r="J558" s="12"/>
      <c r="K558" s="12"/>
      <c r="L558" s="12"/>
      <c r="M558" s="12"/>
      <c r="N558" s="12"/>
      <c r="O558" s="12"/>
      <c r="P558" s="12"/>
      <c r="Q558" s="12"/>
      <c r="R558" s="12"/>
      <c r="S558" s="12"/>
      <c r="T558" s="12"/>
      <c r="U558" s="12"/>
      <c r="V558" s="12"/>
      <c r="W558" s="12"/>
      <c r="X558" s="12"/>
      <c r="Y558" s="12"/>
      <c r="Z558" s="12"/>
    </row>
    <row r="559" spans="1:26" ht="15.75" customHeight="1" x14ac:dyDescent="0.25">
      <c r="A559" s="12"/>
      <c r="B559" s="12"/>
      <c r="C559" s="12"/>
      <c r="D559" s="12"/>
      <c r="E559" s="13"/>
      <c r="F559" s="12"/>
      <c r="G559" s="12"/>
      <c r="H559" s="12"/>
      <c r="I559" s="12"/>
      <c r="J559" s="12"/>
      <c r="K559" s="12"/>
      <c r="L559" s="12"/>
      <c r="M559" s="12"/>
      <c r="N559" s="12"/>
      <c r="O559" s="12"/>
      <c r="P559" s="12"/>
      <c r="Q559" s="12"/>
      <c r="R559" s="12"/>
      <c r="S559" s="12"/>
      <c r="T559" s="12"/>
      <c r="U559" s="12"/>
      <c r="V559" s="12"/>
      <c r="W559" s="12"/>
      <c r="X559" s="12"/>
      <c r="Y559" s="12"/>
      <c r="Z559" s="12"/>
    </row>
    <row r="560" spans="1:26" ht="15.75" customHeight="1" x14ac:dyDescent="0.25">
      <c r="A560" s="12"/>
      <c r="B560" s="12"/>
      <c r="C560" s="12"/>
      <c r="D560" s="12"/>
      <c r="E560" s="13"/>
      <c r="F560" s="12"/>
      <c r="G560" s="12"/>
      <c r="H560" s="12"/>
      <c r="I560" s="12"/>
      <c r="J560" s="12"/>
      <c r="K560" s="12"/>
      <c r="L560" s="12"/>
      <c r="M560" s="12"/>
      <c r="N560" s="12"/>
      <c r="O560" s="12"/>
      <c r="P560" s="12"/>
      <c r="Q560" s="12"/>
      <c r="R560" s="12"/>
      <c r="S560" s="12"/>
      <c r="T560" s="12"/>
      <c r="U560" s="12"/>
      <c r="V560" s="12"/>
      <c r="W560" s="12"/>
      <c r="X560" s="12"/>
      <c r="Y560" s="12"/>
      <c r="Z560" s="12"/>
    </row>
    <row r="561" spans="1:26" ht="15.75" customHeight="1" x14ac:dyDescent="0.25">
      <c r="A561" s="12"/>
      <c r="B561" s="12"/>
      <c r="C561" s="12"/>
      <c r="D561" s="12"/>
      <c r="E561" s="13"/>
      <c r="F561" s="12"/>
      <c r="G561" s="12"/>
      <c r="H561" s="12"/>
      <c r="I561" s="12"/>
      <c r="J561" s="12"/>
      <c r="K561" s="12"/>
      <c r="L561" s="12"/>
      <c r="M561" s="12"/>
      <c r="N561" s="12"/>
      <c r="O561" s="12"/>
      <c r="P561" s="12"/>
      <c r="Q561" s="12"/>
      <c r="R561" s="12"/>
      <c r="S561" s="12"/>
      <c r="T561" s="12"/>
      <c r="U561" s="12"/>
      <c r="V561" s="12"/>
      <c r="W561" s="12"/>
      <c r="X561" s="12"/>
      <c r="Y561" s="12"/>
      <c r="Z561" s="12"/>
    </row>
    <row r="562" spans="1:26" ht="15.75" customHeight="1" x14ac:dyDescent="0.25">
      <c r="A562" s="12"/>
      <c r="B562" s="12"/>
      <c r="C562" s="12"/>
      <c r="D562" s="12"/>
      <c r="E562" s="13"/>
      <c r="F562" s="12"/>
      <c r="G562" s="12"/>
      <c r="H562" s="12"/>
      <c r="I562" s="12"/>
      <c r="J562" s="12"/>
      <c r="K562" s="12"/>
      <c r="L562" s="12"/>
      <c r="M562" s="12"/>
      <c r="N562" s="12"/>
      <c r="O562" s="12"/>
      <c r="P562" s="12"/>
      <c r="Q562" s="12"/>
      <c r="R562" s="12"/>
      <c r="S562" s="12"/>
      <c r="T562" s="12"/>
      <c r="U562" s="12"/>
      <c r="V562" s="12"/>
      <c r="W562" s="12"/>
      <c r="X562" s="12"/>
      <c r="Y562" s="12"/>
      <c r="Z562" s="12"/>
    </row>
    <row r="563" spans="1:26" ht="15.75" customHeight="1" x14ac:dyDescent="0.25">
      <c r="A563" s="12"/>
      <c r="B563" s="12"/>
      <c r="C563" s="12"/>
      <c r="D563" s="12"/>
      <c r="E563" s="13"/>
      <c r="F563" s="12"/>
      <c r="G563" s="12"/>
      <c r="H563" s="12"/>
      <c r="I563" s="12"/>
      <c r="J563" s="12"/>
      <c r="K563" s="12"/>
      <c r="L563" s="12"/>
      <c r="M563" s="12"/>
      <c r="N563" s="12"/>
      <c r="O563" s="12"/>
      <c r="P563" s="12"/>
      <c r="Q563" s="12"/>
      <c r="R563" s="12"/>
      <c r="S563" s="12"/>
      <c r="T563" s="12"/>
      <c r="U563" s="12"/>
      <c r="V563" s="12"/>
      <c r="W563" s="12"/>
      <c r="X563" s="12"/>
      <c r="Y563" s="12"/>
      <c r="Z563" s="12"/>
    </row>
    <row r="564" spans="1:26" ht="15.75" customHeight="1" x14ac:dyDescent="0.25">
      <c r="A564" s="12"/>
      <c r="B564" s="12"/>
      <c r="C564" s="12"/>
      <c r="D564" s="12"/>
      <c r="E564" s="13"/>
      <c r="F564" s="12"/>
      <c r="G564" s="12"/>
      <c r="H564" s="12"/>
      <c r="I564" s="12"/>
      <c r="J564" s="12"/>
      <c r="K564" s="12"/>
      <c r="L564" s="12"/>
      <c r="M564" s="12"/>
      <c r="N564" s="12"/>
      <c r="O564" s="12"/>
      <c r="P564" s="12"/>
      <c r="Q564" s="12"/>
      <c r="R564" s="12"/>
      <c r="S564" s="12"/>
      <c r="T564" s="12"/>
      <c r="U564" s="12"/>
      <c r="V564" s="12"/>
      <c r="W564" s="12"/>
      <c r="X564" s="12"/>
      <c r="Y564" s="12"/>
      <c r="Z564" s="12"/>
    </row>
    <row r="565" spans="1:26" ht="15.75" customHeight="1" x14ac:dyDescent="0.25">
      <c r="A565" s="12"/>
      <c r="B565" s="12"/>
      <c r="C565" s="12"/>
      <c r="D565" s="12"/>
      <c r="E565" s="13"/>
      <c r="F565" s="12"/>
      <c r="G565" s="12"/>
      <c r="H565" s="12"/>
      <c r="I565" s="12"/>
      <c r="J565" s="12"/>
      <c r="K565" s="12"/>
      <c r="L565" s="12"/>
      <c r="M565" s="12"/>
      <c r="N565" s="12"/>
      <c r="O565" s="12"/>
      <c r="P565" s="12"/>
      <c r="Q565" s="12"/>
      <c r="R565" s="12"/>
      <c r="S565" s="12"/>
      <c r="T565" s="12"/>
      <c r="U565" s="12"/>
      <c r="V565" s="12"/>
      <c r="W565" s="12"/>
      <c r="X565" s="12"/>
      <c r="Y565" s="12"/>
      <c r="Z565" s="12"/>
    </row>
    <row r="566" spans="1:26" ht="15.75" customHeight="1" x14ac:dyDescent="0.25">
      <c r="A566" s="12"/>
      <c r="B566" s="12"/>
      <c r="C566" s="12"/>
      <c r="D566" s="12"/>
      <c r="E566" s="13"/>
      <c r="F566" s="12"/>
      <c r="G566" s="12"/>
      <c r="H566" s="12"/>
      <c r="I566" s="12"/>
      <c r="J566" s="12"/>
      <c r="K566" s="12"/>
      <c r="L566" s="12"/>
      <c r="M566" s="12"/>
      <c r="N566" s="12"/>
      <c r="O566" s="12"/>
      <c r="P566" s="12"/>
      <c r="Q566" s="12"/>
      <c r="R566" s="12"/>
      <c r="S566" s="12"/>
      <c r="T566" s="12"/>
      <c r="U566" s="12"/>
      <c r="V566" s="12"/>
      <c r="W566" s="12"/>
      <c r="X566" s="12"/>
      <c r="Y566" s="12"/>
      <c r="Z566" s="12"/>
    </row>
    <row r="567" spans="1:26" ht="15.75" customHeight="1" x14ac:dyDescent="0.25">
      <c r="A567" s="12"/>
      <c r="B567" s="12"/>
      <c r="C567" s="12"/>
      <c r="D567" s="12"/>
      <c r="E567" s="13"/>
      <c r="F567" s="12"/>
      <c r="G567" s="12"/>
      <c r="H567" s="12"/>
      <c r="I567" s="12"/>
      <c r="J567" s="12"/>
      <c r="K567" s="12"/>
      <c r="L567" s="12"/>
      <c r="M567" s="12"/>
      <c r="N567" s="12"/>
      <c r="O567" s="12"/>
      <c r="P567" s="12"/>
      <c r="Q567" s="12"/>
      <c r="R567" s="12"/>
      <c r="S567" s="12"/>
      <c r="T567" s="12"/>
      <c r="U567" s="12"/>
      <c r="V567" s="12"/>
      <c r="W567" s="12"/>
      <c r="X567" s="12"/>
      <c r="Y567" s="12"/>
      <c r="Z567" s="12"/>
    </row>
    <row r="568" spans="1:26" ht="15.75" customHeight="1" x14ac:dyDescent="0.25">
      <c r="A568" s="12"/>
      <c r="B568" s="12"/>
      <c r="C568" s="12"/>
      <c r="D568" s="12"/>
      <c r="E568" s="13"/>
      <c r="F568" s="12"/>
      <c r="G568" s="12"/>
      <c r="H568" s="12"/>
      <c r="I568" s="12"/>
      <c r="J568" s="12"/>
      <c r="K568" s="12"/>
      <c r="L568" s="12"/>
      <c r="M568" s="12"/>
      <c r="N568" s="12"/>
      <c r="O568" s="12"/>
      <c r="P568" s="12"/>
      <c r="Q568" s="12"/>
      <c r="R568" s="12"/>
      <c r="S568" s="12"/>
      <c r="T568" s="12"/>
      <c r="U568" s="12"/>
      <c r="V568" s="12"/>
      <c r="W568" s="12"/>
      <c r="X568" s="12"/>
      <c r="Y568" s="12"/>
      <c r="Z568" s="12"/>
    </row>
    <row r="569" spans="1:26" ht="15.75" customHeight="1" x14ac:dyDescent="0.25">
      <c r="A569" s="12"/>
      <c r="B569" s="12"/>
      <c r="C569" s="12"/>
      <c r="D569" s="12"/>
      <c r="E569" s="13"/>
      <c r="F569" s="12"/>
      <c r="G569" s="12"/>
      <c r="H569" s="12"/>
      <c r="I569" s="12"/>
      <c r="J569" s="12"/>
      <c r="K569" s="12"/>
      <c r="L569" s="12"/>
      <c r="M569" s="12"/>
      <c r="N569" s="12"/>
      <c r="O569" s="12"/>
      <c r="P569" s="12"/>
      <c r="Q569" s="12"/>
      <c r="R569" s="12"/>
      <c r="S569" s="12"/>
      <c r="T569" s="12"/>
      <c r="U569" s="12"/>
      <c r="V569" s="12"/>
      <c r="W569" s="12"/>
      <c r="X569" s="12"/>
      <c r="Y569" s="12"/>
      <c r="Z569" s="12"/>
    </row>
    <row r="570" spans="1:26" ht="15.75" customHeight="1" x14ac:dyDescent="0.25">
      <c r="A570" s="12"/>
      <c r="B570" s="12"/>
      <c r="C570" s="12"/>
      <c r="D570" s="12"/>
      <c r="E570" s="13"/>
      <c r="F570" s="12"/>
      <c r="G570" s="12"/>
      <c r="H570" s="12"/>
      <c r="I570" s="12"/>
      <c r="J570" s="12"/>
      <c r="K570" s="12"/>
      <c r="L570" s="12"/>
      <c r="M570" s="12"/>
      <c r="N570" s="12"/>
      <c r="O570" s="12"/>
      <c r="P570" s="12"/>
      <c r="Q570" s="12"/>
      <c r="R570" s="12"/>
      <c r="S570" s="12"/>
      <c r="T570" s="12"/>
      <c r="U570" s="12"/>
      <c r="V570" s="12"/>
      <c r="W570" s="12"/>
      <c r="X570" s="12"/>
      <c r="Y570" s="12"/>
      <c r="Z570" s="12"/>
    </row>
    <row r="571" spans="1:26" ht="15.75" customHeight="1" x14ac:dyDescent="0.25">
      <c r="A571" s="12"/>
      <c r="B571" s="12"/>
      <c r="C571" s="12"/>
      <c r="D571" s="12"/>
      <c r="E571" s="13"/>
      <c r="F571" s="12"/>
      <c r="G571" s="12"/>
      <c r="H571" s="12"/>
      <c r="I571" s="12"/>
      <c r="J571" s="12"/>
      <c r="K571" s="12"/>
      <c r="L571" s="12"/>
      <c r="M571" s="12"/>
      <c r="N571" s="12"/>
      <c r="O571" s="12"/>
      <c r="P571" s="12"/>
      <c r="Q571" s="12"/>
      <c r="R571" s="12"/>
      <c r="S571" s="12"/>
      <c r="T571" s="12"/>
      <c r="U571" s="12"/>
      <c r="V571" s="12"/>
      <c r="W571" s="12"/>
      <c r="X571" s="12"/>
      <c r="Y571" s="12"/>
      <c r="Z571" s="12"/>
    </row>
    <row r="572" spans="1:26" ht="15.75" customHeight="1" x14ac:dyDescent="0.25">
      <c r="A572" s="12"/>
      <c r="B572" s="12"/>
      <c r="C572" s="12"/>
      <c r="D572" s="12"/>
      <c r="E572" s="13"/>
      <c r="F572" s="12"/>
      <c r="G572" s="12"/>
      <c r="H572" s="12"/>
      <c r="I572" s="12"/>
      <c r="J572" s="12"/>
      <c r="K572" s="12"/>
      <c r="L572" s="12"/>
      <c r="M572" s="12"/>
      <c r="N572" s="12"/>
      <c r="O572" s="12"/>
      <c r="P572" s="12"/>
      <c r="Q572" s="12"/>
      <c r="R572" s="12"/>
      <c r="S572" s="12"/>
      <c r="T572" s="12"/>
      <c r="U572" s="12"/>
      <c r="V572" s="12"/>
      <c r="W572" s="12"/>
      <c r="X572" s="12"/>
      <c r="Y572" s="12"/>
      <c r="Z572" s="12"/>
    </row>
    <row r="573" spans="1:26" ht="15.75" customHeight="1" x14ac:dyDescent="0.25">
      <c r="A573" s="12"/>
      <c r="B573" s="12"/>
      <c r="C573" s="12"/>
      <c r="D573" s="12"/>
      <c r="E573" s="13"/>
      <c r="F573" s="12"/>
      <c r="G573" s="12"/>
      <c r="H573" s="12"/>
      <c r="I573" s="12"/>
      <c r="J573" s="12"/>
      <c r="K573" s="12"/>
      <c r="L573" s="12"/>
      <c r="M573" s="12"/>
      <c r="N573" s="12"/>
      <c r="O573" s="12"/>
      <c r="P573" s="12"/>
      <c r="Q573" s="12"/>
      <c r="R573" s="12"/>
      <c r="S573" s="12"/>
      <c r="T573" s="12"/>
      <c r="U573" s="12"/>
      <c r="V573" s="12"/>
      <c r="W573" s="12"/>
      <c r="X573" s="12"/>
      <c r="Y573" s="12"/>
      <c r="Z573" s="12"/>
    </row>
    <row r="574" spans="1:26" ht="15.75" customHeight="1" x14ac:dyDescent="0.25">
      <c r="A574" s="12"/>
      <c r="B574" s="12"/>
      <c r="C574" s="12"/>
      <c r="D574" s="12"/>
      <c r="E574" s="13"/>
      <c r="F574" s="12"/>
      <c r="G574" s="12"/>
      <c r="H574" s="12"/>
      <c r="I574" s="12"/>
      <c r="J574" s="12"/>
      <c r="K574" s="12"/>
      <c r="L574" s="12"/>
      <c r="M574" s="12"/>
      <c r="N574" s="12"/>
      <c r="O574" s="12"/>
      <c r="P574" s="12"/>
      <c r="Q574" s="12"/>
      <c r="R574" s="12"/>
      <c r="S574" s="12"/>
      <c r="T574" s="12"/>
      <c r="U574" s="12"/>
      <c r="V574" s="12"/>
      <c r="W574" s="12"/>
      <c r="X574" s="12"/>
      <c r="Y574" s="12"/>
      <c r="Z574" s="12"/>
    </row>
    <row r="575" spans="1:26" ht="15.75" customHeight="1" x14ac:dyDescent="0.25">
      <c r="A575" s="12"/>
      <c r="B575" s="12"/>
      <c r="C575" s="12"/>
      <c r="D575" s="12"/>
      <c r="E575" s="13"/>
      <c r="F575" s="12"/>
      <c r="G575" s="12"/>
      <c r="H575" s="12"/>
      <c r="I575" s="12"/>
      <c r="J575" s="12"/>
      <c r="K575" s="12"/>
      <c r="L575" s="12"/>
      <c r="M575" s="12"/>
      <c r="N575" s="12"/>
      <c r="O575" s="12"/>
      <c r="P575" s="12"/>
      <c r="Q575" s="12"/>
      <c r="R575" s="12"/>
      <c r="S575" s="12"/>
      <c r="T575" s="12"/>
      <c r="U575" s="12"/>
      <c r="V575" s="12"/>
      <c r="W575" s="12"/>
      <c r="X575" s="12"/>
      <c r="Y575" s="12"/>
      <c r="Z575" s="12"/>
    </row>
    <row r="576" spans="1:26" ht="15.75" customHeight="1" x14ac:dyDescent="0.25">
      <c r="A576" s="12"/>
      <c r="B576" s="12"/>
      <c r="C576" s="12"/>
      <c r="D576" s="12"/>
      <c r="E576" s="13"/>
      <c r="F576" s="12"/>
      <c r="G576" s="12"/>
      <c r="H576" s="12"/>
      <c r="I576" s="12"/>
      <c r="J576" s="12"/>
      <c r="K576" s="12"/>
      <c r="L576" s="12"/>
      <c r="M576" s="12"/>
      <c r="N576" s="12"/>
      <c r="O576" s="12"/>
      <c r="P576" s="12"/>
      <c r="Q576" s="12"/>
      <c r="R576" s="12"/>
      <c r="S576" s="12"/>
      <c r="T576" s="12"/>
      <c r="U576" s="12"/>
      <c r="V576" s="12"/>
      <c r="W576" s="12"/>
      <c r="X576" s="12"/>
      <c r="Y576" s="12"/>
      <c r="Z576" s="12"/>
    </row>
    <row r="577" spans="1:26" ht="15.75" customHeight="1" x14ac:dyDescent="0.25">
      <c r="A577" s="12"/>
      <c r="B577" s="12"/>
      <c r="C577" s="12"/>
      <c r="D577" s="12"/>
      <c r="E577" s="13"/>
      <c r="F577" s="12"/>
      <c r="G577" s="12"/>
      <c r="H577" s="12"/>
      <c r="I577" s="12"/>
      <c r="J577" s="12"/>
      <c r="K577" s="12"/>
      <c r="L577" s="12"/>
      <c r="M577" s="12"/>
      <c r="N577" s="12"/>
      <c r="O577" s="12"/>
      <c r="P577" s="12"/>
      <c r="Q577" s="12"/>
      <c r="R577" s="12"/>
      <c r="S577" s="12"/>
      <c r="T577" s="12"/>
      <c r="U577" s="12"/>
      <c r="V577" s="12"/>
      <c r="W577" s="12"/>
      <c r="X577" s="12"/>
      <c r="Y577" s="12"/>
      <c r="Z577" s="12"/>
    </row>
    <row r="578" spans="1:26" ht="15.75" customHeight="1" x14ac:dyDescent="0.25">
      <c r="A578" s="12"/>
      <c r="B578" s="12"/>
      <c r="C578" s="12"/>
      <c r="D578" s="12"/>
      <c r="E578" s="13"/>
      <c r="F578" s="12"/>
      <c r="G578" s="12"/>
      <c r="H578" s="12"/>
      <c r="I578" s="12"/>
      <c r="J578" s="12"/>
      <c r="K578" s="12"/>
      <c r="L578" s="12"/>
      <c r="M578" s="12"/>
      <c r="N578" s="12"/>
      <c r="O578" s="12"/>
      <c r="P578" s="12"/>
      <c r="Q578" s="12"/>
      <c r="R578" s="12"/>
      <c r="S578" s="12"/>
      <c r="T578" s="12"/>
      <c r="U578" s="12"/>
      <c r="V578" s="12"/>
      <c r="W578" s="12"/>
      <c r="X578" s="12"/>
      <c r="Y578" s="12"/>
      <c r="Z578" s="12"/>
    </row>
    <row r="579" spans="1:26" ht="15.75" customHeight="1" x14ac:dyDescent="0.25">
      <c r="A579" s="12"/>
      <c r="B579" s="12"/>
      <c r="C579" s="12"/>
      <c r="D579" s="12"/>
      <c r="E579" s="13"/>
      <c r="F579" s="12"/>
      <c r="G579" s="12"/>
      <c r="H579" s="12"/>
      <c r="I579" s="12"/>
      <c r="J579" s="12"/>
      <c r="K579" s="12"/>
      <c r="L579" s="12"/>
      <c r="M579" s="12"/>
      <c r="N579" s="12"/>
      <c r="O579" s="12"/>
      <c r="P579" s="12"/>
      <c r="Q579" s="12"/>
      <c r="R579" s="12"/>
      <c r="S579" s="12"/>
      <c r="T579" s="12"/>
      <c r="U579" s="12"/>
      <c r="V579" s="12"/>
      <c r="W579" s="12"/>
      <c r="X579" s="12"/>
      <c r="Y579" s="12"/>
      <c r="Z579" s="12"/>
    </row>
    <row r="580" spans="1:26" ht="15.75" customHeight="1" x14ac:dyDescent="0.25">
      <c r="A580" s="12"/>
      <c r="B580" s="12"/>
      <c r="C580" s="12"/>
      <c r="D580" s="12"/>
      <c r="E580" s="13"/>
      <c r="F580" s="12"/>
      <c r="G580" s="12"/>
      <c r="H580" s="12"/>
      <c r="I580" s="12"/>
      <c r="J580" s="12"/>
      <c r="K580" s="12"/>
      <c r="L580" s="12"/>
      <c r="M580" s="12"/>
      <c r="N580" s="12"/>
      <c r="O580" s="12"/>
      <c r="P580" s="12"/>
      <c r="Q580" s="12"/>
      <c r="R580" s="12"/>
      <c r="S580" s="12"/>
      <c r="T580" s="12"/>
      <c r="U580" s="12"/>
      <c r="V580" s="12"/>
      <c r="W580" s="12"/>
      <c r="X580" s="12"/>
      <c r="Y580" s="12"/>
      <c r="Z580" s="12"/>
    </row>
    <row r="581" spans="1:26" ht="15.75" customHeight="1" x14ac:dyDescent="0.25">
      <c r="A581" s="12"/>
      <c r="B581" s="12"/>
      <c r="C581" s="12"/>
      <c r="D581" s="12"/>
      <c r="E581" s="13"/>
      <c r="F581" s="12"/>
      <c r="G581" s="12"/>
      <c r="H581" s="12"/>
      <c r="I581" s="12"/>
      <c r="J581" s="12"/>
      <c r="K581" s="12"/>
      <c r="L581" s="12"/>
      <c r="M581" s="12"/>
      <c r="N581" s="12"/>
      <c r="O581" s="12"/>
      <c r="P581" s="12"/>
      <c r="Q581" s="12"/>
      <c r="R581" s="12"/>
      <c r="S581" s="12"/>
      <c r="T581" s="12"/>
      <c r="U581" s="12"/>
      <c r="V581" s="12"/>
      <c r="W581" s="12"/>
      <c r="X581" s="12"/>
      <c r="Y581" s="12"/>
      <c r="Z581" s="12"/>
    </row>
    <row r="582" spans="1:26" ht="15.75" customHeight="1" x14ac:dyDescent="0.25">
      <c r="A582" s="12"/>
      <c r="B582" s="12"/>
      <c r="C582" s="12"/>
      <c r="D582" s="12"/>
      <c r="E582" s="13"/>
      <c r="F582" s="12"/>
      <c r="G582" s="12"/>
      <c r="H582" s="12"/>
      <c r="I582" s="12"/>
      <c r="J582" s="12"/>
      <c r="K582" s="12"/>
      <c r="L582" s="12"/>
      <c r="M582" s="12"/>
      <c r="N582" s="12"/>
      <c r="O582" s="12"/>
      <c r="P582" s="12"/>
      <c r="Q582" s="12"/>
      <c r="R582" s="12"/>
      <c r="S582" s="12"/>
      <c r="T582" s="12"/>
      <c r="U582" s="12"/>
      <c r="V582" s="12"/>
      <c r="W582" s="12"/>
      <c r="X582" s="12"/>
      <c r="Y582" s="12"/>
      <c r="Z582" s="12"/>
    </row>
    <row r="583" spans="1:26" ht="15.75" customHeight="1" x14ac:dyDescent="0.25">
      <c r="A583" s="12"/>
      <c r="B583" s="12"/>
      <c r="C583" s="12"/>
      <c r="D583" s="12"/>
      <c r="E583" s="13"/>
      <c r="F583" s="12"/>
      <c r="G583" s="12"/>
      <c r="H583" s="12"/>
      <c r="I583" s="12"/>
      <c r="J583" s="12"/>
      <c r="K583" s="12"/>
      <c r="L583" s="12"/>
      <c r="M583" s="12"/>
      <c r="N583" s="12"/>
      <c r="O583" s="12"/>
      <c r="P583" s="12"/>
      <c r="Q583" s="12"/>
      <c r="R583" s="12"/>
      <c r="S583" s="12"/>
      <c r="T583" s="12"/>
      <c r="U583" s="12"/>
      <c r="V583" s="12"/>
      <c r="W583" s="12"/>
      <c r="X583" s="12"/>
      <c r="Y583" s="12"/>
      <c r="Z583" s="12"/>
    </row>
    <row r="584" spans="1:26" ht="15.75" customHeight="1" x14ac:dyDescent="0.25">
      <c r="A584" s="12"/>
      <c r="B584" s="12"/>
      <c r="C584" s="12"/>
      <c r="D584" s="12"/>
      <c r="E584" s="13"/>
      <c r="F584" s="12"/>
      <c r="G584" s="12"/>
      <c r="H584" s="12"/>
      <c r="I584" s="12"/>
      <c r="J584" s="12"/>
      <c r="K584" s="12"/>
      <c r="L584" s="12"/>
      <c r="M584" s="12"/>
      <c r="N584" s="12"/>
      <c r="O584" s="12"/>
      <c r="P584" s="12"/>
      <c r="Q584" s="12"/>
      <c r="R584" s="12"/>
      <c r="S584" s="12"/>
      <c r="T584" s="12"/>
      <c r="U584" s="12"/>
      <c r="V584" s="12"/>
      <c r="W584" s="12"/>
      <c r="X584" s="12"/>
      <c r="Y584" s="12"/>
      <c r="Z584" s="12"/>
    </row>
    <row r="585" spans="1:26" ht="15.75" customHeight="1" x14ac:dyDescent="0.25">
      <c r="A585" s="12"/>
      <c r="B585" s="12"/>
      <c r="C585" s="12"/>
      <c r="D585" s="12"/>
      <c r="E585" s="13"/>
      <c r="F585" s="12"/>
      <c r="G585" s="12"/>
      <c r="H585" s="12"/>
      <c r="I585" s="12"/>
      <c r="J585" s="12"/>
      <c r="K585" s="12"/>
      <c r="L585" s="12"/>
      <c r="M585" s="12"/>
      <c r="N585" s="12"/>
      <c r="O585" s="12"/>
      <c r="P585" s="12"/>
      <c r="Q585" s="12"/>
      <c r="R585" s="12"/>
      <c r="S585" s="12"/>
      <c r="T585" s="12"/>
      <c r="U585" s="12"/>
      <c r="V585" s="12"/>
      <c r="W585" s="12"/>
      <c r="X585" s="12"/>
      <c r="Y585" s="12"/>
      <c r="Z585" s="12"/>
    </row>
    <row r="586" spans="1:26" ht="15.75" customHeight="1" x14ac:dyDescent="0.25">
      <c r="A586" s="12"/>
      <c r="B586" s="12"/>
      <c r="C586" s="12"/>
      <c r="D586" s="12"/>
      <c r="E586" s="13"/>
      <c r="F586" s="12"/>
      <c r="G586" s="12"/>
      <c r="H586" s="12"/>
      <c r="I586" s="12"/>
      <c r="J586" s="12"/>
      <c r="K586" s="12"/>
      <c r="L586" s="12"/>
      <c r="M586" s="12"/>
      <c r="N586" s="12"/>
      <c r="O586" s="12"/>
      <c r="P586" s="12"/>
      <c r="Q586" s="12"/>
      <c r="R586" s="12"/>
      <c r="S586" s="12"/>
      <c r="T586" s="12"/>
      <c r="U586" s="12"/>
      <c r="V586" s="12"/>
      <c r="W586" s="12"/>
      <c r="X586" s="12"/>
      <c r="Y586" s="12"/>
      <c r="Z586" s="12"/>
    </row>
    <row r="587" spans="1:26" ht="15.75" customHeight="1" x14ac:dyDescent="0.25">
      <c r="A587" s="12"/>
      <c r="B587" s="12"/>
      <c r="C587" s="12"/>
      <c r="D587" s="12"/>
      <c r="E587" s="13"/>
      <c r="F587" s="12"/>
      <c r="G587" s="12"/>
      <c r="H587" s="12"/>
      <c r="I587" s="12"/>
      <c r="J587" s="12"/>
      <c r="K587" s="12"/>
      <c r="L587" s="12"/>
      <c r="M587" s="12"/>
      <c r="N587" s="12"/>
      <c r="O587" s="12"/>
      <c r="P587" s="12"/>
      <c r="Q587" s="12"/>
      <c r="R587" s="12"/>
      <c r="S587" s="12"/>
      <c r="T587" s="12"/>
      <c r="U587" s="12"/>
      <c r="V587" s="12"/>
      <c r="W587" s="12"/>
      <c r="X587" s="12"/>
      <c r="Y587" s="12"/>
      <c r="Z587" s="12"/>
    </row>
    <row r="588" spans="1:26" ht="15.75" customHeight="1" x14ac:dyDescent="0.25">
      <c r="A588" s="12"/>
      <c r="B588" s="12"/>
      <c r="C588" s="12"/>
      <c r="D588" s="12"/>
      <c r="E588" s="13"/>
      <c r="F588" s="12"/>
      <c r="G588" s="12"/>
      <c r="H588" s="12"/>
      <c r="I588" s="12"/>
      <c r="J588" s="12"/>
      <c r="K588" s="12"/>
      <c r="L588" s="12"/>
      <c r="M588" s="12"/>
      <c r="N588" s="12"/>
      <c r="O588" s="12"/>
      <c r="P588" s="12"/>
      <c r="Q588" s="12"/>
      <c r="R588" s="12"/>
      <c r="S588" s="12"/>
      <c r="T588" s="12"/>
      <c r="U588" s="12"/>
      <c r="V588" s="12"/>
      <c r="W588" s="12"/>
      <c r="X588" s="12"/>
      <c r="Y588" s="12"/>
      <c r="Z588" s="12"/>
    </row>
    <row r="589" spans="1:26" ht="15.75" customHeight="1" x14ac:dyDescent="0.25">
      <c r="A589" s="12"/>
      <c r="B589" s="12"/>
      <c r="C589" s="12"/>
      <c r="D589" s="12"/>
      <c r="E589" s="13"/>
      <c r="F589" s="12"/>
      <c r="G589" s="12"/>
      <c r="H589" s="12"/>
      <c r="I589" s="12"/>
      <c r="J589" s="12"/>
      <c r="K589" s="12"/>
      <c r="L589" s="12"/>
      <c r="M589" s="12"/>
      <c r="N589" s="12"/>
      <c r="O589" s="12"/>
      <c r="P589" s="12"/>
      <c r="Q589" s="12"/>
      <c r="R589" s="12"/>
      <c r="S589" s="12"/>
      <c r="T589" s="12"/>
      <c r="U589" s="12"/>
      <c r="V589" s="12"/>
      <c r="W589" s="12"/>
      <c r="X589" s="12"/>
      <c r="Y589" s="12"/>
      <c r="Z589" s="12"/>
    </row>
    <row r="590" spans="1:26" ht="15.75" customHeight="1" x14ac:dyDescent="0.25">
      <c r="A590" s="12"/>
      <c r="B590" s="12"/>
      <c r="C590" s="12"/>
      <c r="D590" s="12"/>
      <c r="E590" s="13"/>
      <c r="F590" s="12"/>
      <c r="G590" s="12"/>
      <c r="H590" s="12"/>
      <c r="I590" s="12"/>
      <c r="J590" s="12"/>
      <c r="K590" s="12"/>
      <c r="L590" s="12"/>
      <c r="M590" s="12"/>
      <c r="N590" s="12"/>
      <c r="O590" s="12"/>
      <c r="P590" s="12"/>
      <c r="Q590" s="12"/>
      <c r="R590" s="12"/>
      <c r="S590" s="12"/>
      <c r="T590" s="12"/>
      <c r="U590" s="12"/>
      <c r="V590" s="12"/>
      <c r="W590" s="12"/>
      <c r="X590" s="12"/>
      <c r="Y590" s="12"/>
      <c r="Z590" s="12"/>
    </row>
    <row r="591" spans="1:26" ht="15.75" customHeight="1" x14ac:dyDescent="0.25">
      <c r="A591" s="12"/>
      <c r="B591" s="12"/>
      <c r="C591" s="12"/>
      <c r="D591" s="12"/>
      <c r="E591" s="13"/>
      <c r="F591" s="12"/>
      <c r="G591" s="12"/>
      <c r="H591" s="12"/>
      <c r="I591" s="12"/>
      <c r="J591" s="12"/>
      <c r="K591" s="12"/>
      <c r="L591" s="12"/>
      <c r="M591" s="12"/>
      <c r="N591" s="12"/>
      <c r="O591" s="12"/>
      <c r="P591" s="12"/>
      <c r="Q591" s="12"/>
      <c r="R591" s="12"/>
      <c r="S591" s="12"/>
      <c r="T591" s="12"/>
      <c r="U591" s="12"/>
      <c r="V591" s="12"/>
      <c r="W591" s="12"/>
      <c r="X591" s="12"/>
      <c r="Y591" s="12"/>
      <c r="Z591" s="12"/>
    </row>
    <row r="592" spans="1:26" ht="15.75" customHeight="1" x14ac:dyDescent="0.25">
      <c r="A592" s="12"/>
      <c r="B592" s="12"/>
      <c r="C592" s="12"/>
      <c r="D592" s="12"/>
      <c r="E592" s="13"/>
      <c r="F592" s="12"/>
      <c r="G592" s="12"/>
      <c r="H592" s="12"/>
      <c r="I592" s="12"/>
      <c r="J592" s="12"/>
      <c r="K592" s="12"/>
      <c r="L592" s="12"/>
      <c r="M592" s="12"/>
      <c r="N592" s="12"/>
      <c r="O592" s="12"/>
      <c r="P592" s="12"/>
      <c r="Q592" s="12"/>
      <c r="R592" s="12"/>
      <c r="S592" s="12"/>
      <c r="T592" s="12"/>
      <c r="U592" s="12"/>
      <c r="V592" s="12"/>
      <c r="W592" s="12"/>
      <c r="X592" s="12"/>
      <c r="Y592" s="12"/>
      <c r="Z592" s="12"/>
    </row>
    <row r="593" spans="1:26" ht="15.75" customHeight="1" x14ac:dyDescent="0.25">
      <c r="A593" s="12"/>
      <c r="B593" s="12"/>
      <c r="C593" s="12"/>
      <c r="D593" s="12"/>
      <c r="E593" s="13"/>
      <c r="F593" s="12"/>
      <c r="G593" s="12"/>
      <c r="H593" s="12"/>
      <c r="I593" s="12"/>
      <c r="J593" s="12"/>
      <c r="K593" s="12"/>
      <c r="L593" s="12"/>
      <c r="M593" s="12"/>
      <c r="N593" s="12"/>
      <c r="O593" s="12"/>
      <c r="P593" s="12"/>
      <c r="Q593" s="12"/>
      <c r="R593" s="12"/>
      <c r="S593" s="12"/>
      <c r="T593" s="12"/>
      <c r="U593" s="12"/>
      <c r="V593" s="12"/>
      <c r="W593" s="12"/>
      <c r="X593" s="12"/>
      <c r="Y593" s="12"/>
      <c r="Z593" s="12"/>
    </row>
    <row r="594" spans="1:26" ht="15.75" customHeight="1" x14ac:dyDescent="0.25">
      <c r="A594" s="12"/>
      <c r="B594" s="12"/>
      <c r="C594" s="12"/>
      <c r="D594" s="12"/>
      <c r="E594" s="13"/>
      <c r="F594" s="12"/>
      <c r="G594" s="12"/>
      <c r="H594" s="12"/>
      <c r="I594" s="12"/>
      <c r="J594" s="12"/>
      <c r="K594" s="12"/>
      <c r="L594" s="12"/>
      <c r="M594" s="12"/>
      <c r="N594" s="12"/>
      <c r="O594" s="12"/>
      <c r="P594" s="12"/>
      <c r="Q594" s="12"/>
      <c r="R594" s="12"/>
      <c r="S594" s="12"/>
      <c r="T594" s="12"/>
      <c r="U594" s="12"/>
      <c r="V594" s="12"/>
      <c r="W594" s="12"/>
      <c r="X594" s="12"/>
      <c r="Y594" s="12"/>
      <c r="Z594" s="12"/>
    </row>
    <row r="595" spans="1:26" ht="15.75" customHeight="1" x14ac:dyDescent="0.25">
      <c r="A595" s="12"/>
      <c r="B595" s="12"/>
      <c r="C595" s="12"/>
      <c r="D595" s="12"/>
      <c r="E595" s="13"/>
      <c r="F595" s="12"/>
      <c r="G595" s="12"/>
      <c r="H595" s="12"/>
      <c r="I595" s="12"/>
      <c r="J595" s="12"/>
      <c r="K595" s="12"/>
      <c r="L595" s="12"/>
      <c r="M595" s="12"/>
      <c r="N595" s="12"/>
      <c r="O595" s="12"/>
      <c r="P595" s="12"/>
      <c r="Q595" s="12"/>
      <c r="R595" s="12"/>
      <c r="S595" s="12"/>
      <c r="T595" s="12"/>
      <c r="U595" s="12"/>
      <c r="V595" s="12"/>
      <c r="W595" s="12"/>
      <c r="X595" s="12"/>
      <c r="Y595" s="12"/>
      <c r="Z595" s="12"/>
    </row>
    <row r="596" spans="1:26" ht="15.75" customHeight="1" x14ac:dyDescent="0.25">
      <c r="A596" s="12"/>
      <c r="B596" s="12"/>
      <c r="C596" s="12"/>
      <c r="D596" s="12"/>
      <c r="E596" s="13"/>
      <c r="F596" s="12"/>
      <c r="G596" s="12"/>
      <c r="H596" s="12"/>
      <c r="I596" s="12"/>
      <c r="J596" s="12"/>
      <c r="K596" s="12"/>
      <c r="L596" s="12"/>
      <c r="M596" s="12"/>
      <c r="N596" s="12"/>
      <c r="O596" s="12"/>
      <c r="P596" s="12"/>
      <c r="Q596" s="12"/>
      <c r="R596" s="12"/>
      <c r="S596" s="12"/>
      <c r="T596" s="12"/>
      <c r="U596" s="12"/>
      <c r="V596" s="12"/>
      <c r="W596" s="12"/>
      <c r="X596" s="12"/>
      <c r="Y596" s="12"/>
      <c r="Z596" s="12"/>
    </row>
    <row r="597" spans="1:26" ht="15.75" customHeight="1" x14ac:dyDescent="0.25">
      <c r="A597" s="12"/>
      <c r="B597" s="12"/>
      <c r="C597" s="12"/>
      <c r="D597" s="12"/>
      <c r="E597" s="13"/>
      <c r="F597" s="12"/>
      <c r="G597" s="12"/>
      <c r="H597" s="12"/>
      <c r="I597" s="12"/>
      <c r="J597" s="12"/>
      <c r="K597" s="12"/>
      <c r="L597" s="12"/>
      <c r="M597" s="12"/>
      <c r="N597" s="12"/>
      <c r="O597" s="12"/>
      <c r="P597" s="12"/>
      <c r="Q597" s="12"/>
      <c r="R597" s="12"/>
      <c r="S597" s="12"/>
      <c r="T597" s="12"/>
      <c r="U597" s="12"/>
      <c r="V597" s="12"/>
      <c r="W597" s="12"/>
      <c r="X597" s="12"/>
      <c r="Y597" s="12"/>
      <c r="Z597" s="12"/>
    </row>
    <row r="598" spans="1:26" ht="15.75" customHeight="1" x14ac:dyDescent="0.25">
      <c r="A598" s="12"/>
      <c r="B598" s="12"/>
      <c r="C598" s="12"/>
      <c r="D598" s="12"/>
      <c r="E598" s="13"/>
      <c r="F598" s="12"/>
      <c r="G598" s="12"/>
      <c r="H598" s="12"/>
      <c r="I598" s="12"/>
      <c r="J598" s="12"/>
      <c r="K598" s="12"/>
      <c r="L598" s="12"/>
      <c r="M598" s="12"/>
      <c r="N598" s="12"/>
      <c r="O598" s="12"/>
      <c r="P598" s="12"/>
      <c r="Q598" s="12"/>
      <c r="R598" s="12"/>
      <c r="S598" s="12"/>
      <c r="T598" s="12"/>
      <c r="U598" s="12"/>
      <c r="V598" s="12"/>
      <c r="W598" s="12"/>
      <c r="X598" s="12"/>
      <c r="Y598" s="12"/>
      <c r="Z598" s="12"/>
    </row>
    <row r="599" spans="1:26" ht="15.75" customHeight="1" x14ac:dyDescent="0.25">
      <c r="A599" s="12"/>
      <c r="B599" s="12"/>
      <c r="C599" s="12"/>
      <c r="D599" s="12"/>
      <c r="E599" s="13"/>
      <c r="F599" s="12"/>
      <c r="G599" s="12"/>
      <c r="H599" s="12"/>
      <c r="I599" s="12"/>
      <c r="J599" s="12"/>
      <c r="K599" s="12"/>
      <c r="L599" s="12"/>
      <c r="M599" s="12"/>
      <c r="N599" s="12"/>
      <c r="O599" s="12"/>
      <c r="P599" s="12"/>
      <c r="Q599" s="12"/>
      <c r="R599" s="12"/>
      <c r="S599" s="12"/>
      <c r="T599" s="12"/>
      <c r="U599" s="12"/>
      <c r="V599" s="12"/>
      <c r="W599" s="12"/>
      <c r="X599" s="12"/>
      <c r="Y599" s="12"/>
      <c r="Z599" s="12"/>
    </row>
    <row r="600" spans="1:26" ht="15.75" customHeight="1" x14ac:dyDescent="0.25">
      <c r="A600" s="12"/>
      <c r="B600" s="12"/>
      <c r="C600" s="12"/>
      <c r="D600" s="12"/>
      <c r="E600" s="13"/>
      <c r="F600" s="12"/>
      <c r="G600" s="12"/>
      <c r="H600" s="12"/>
      <c r="I600" s="12"/>
      <c r="J600" s="12"/>
      <c r="K600" s="12"/>
      <c r="L600" s="12"/>
      <c r="M600" s="12"/>
      <c r="N600" s="12"/>
      <c r="O600" s="12"/>
      <c r="P600" s="12"/>
      <c r="Q600" s="12"/>
      <c r="R600" s="12"/>
      <c r="S600" s="12"/>
      <c r="T600" s="12"/>
      <c r="U600" s="12"/>
      <c r="V600" s="12"/>
      <c r="W600" s="12"/>
      <c r="X600" s="12"/>
      <c r="Y600" s="12"/>
      <c r="Z600" s="12"/>
    </row>
    <row r="601" spans="1:26" ht="15.75" customHeight="1" x14ac:dyDescent="0.25">
      <c r="A601" s="12"/>
      <c r="B601" s="12"/>
      <c r="C601" s="12"/>
      <c r="D601" s="12"/>
      <c r="E601" s="13"/>
      <c r="F601" s="12"/>
      <c r="G601" s="12"/>
      <c r="H601" s="12"/>
      <c r="I601" s="12"/>
      <c r="J601" s="12"/>
      <c r="K601" s="12"/>
      <c r="L601" s="12"/>
      <c r="M601" s="12"/>
      <c r="N601" s="12"/>
      <c r="O601" s="12"/>
      <c r="P601" s="12"/>
      <c r="Q601" s="12"/>
      <c r="R601" s="12"/>
      <c r="S601" s="12"/>
      <c r="T601" s="12"/>
      <c r="U601" s="12"/>
      <c r="V601" s="12"/>
      <c r="W601" s="12"/>
      <c r="X601" s="12"/>
      <c r="Y601" s="12"/>
      <c r="Z601" s="12"/>
    </row>
    <row r="602" spans="1:26" ht="15.75" customHeight="1" x14ac:dyDescent="0.25">
      <c r="A602" s="12"/>
      <c r="B602" s="12"/>
      <c r="C602" s="12"/>
      <c r="D602" s="12"/>
      <c r="E602" s="13"/>
      <c r="F602" s="12"/>
      <c r="G602" s="12"/>
      <c r="H602" s="12"/>
      <c r="I602" s="12"/>
      <c r="J602" s="12"/>
      <c r="K602" s="12"/>
      <c r="L602" s="12"/>
      <c r="M602" s="12"/>
      <c r="N602" s="12"/>
      <c r="O602" s="12"/>
      <c r="P602" s="12"/>
      <c r="Q602" s="12"/>
      <c r="R602" s="12"/>
      <c r="S602" s="12"/>
      <c r="T602" s="12"/>
      <c r="U602" s="12"/>
      <c r="V602" s="12"/>
      <c r="W602" s="12"/>
      <c r="X602" s="12"/>
      <c r="Y602" s="12"/>
      <c r="Z602" s="12"/>
    </row>
    <row r="603" spans="1:26" ht="15.75" customHeight="1" x14ac:dyDescent="0.25">
      <c r="A603" s="12"/>
      <c r="B603" s="12"/>
      <c r="C603" s="12"/>
      <c r="D603" s="12"/>
      <c r="E603" s="13"/>
      <c r="F603" s="12"/>
      <c r="G603" s="12"/>
      <c r="H603" s="12"/>
      <c r="I603" s="12"/>
      <c r="J603" s="12"/>
      <c r="K603" s="12"/>
      <c r="L603" s="12"/>
      <c r="M603" s="12"/>
      <c r="N603" s="12"/>
      <c r="O603" s="12"/>
      <c r="P603" s="12"/>
      <c r="Q603" s="12"/>
      <c r="R603" s="12"/>
      <c r="S603" s="12"/>
      <c r="T603" s="12"/>
      <c r="U603" s="12"/>
      <c r="V603" s="12"/>
      <c r="W603" s="12"/>
      <c r="X603" s="12"/>
      <c r="Y603" s="12"/>
      <c r="Z603" s="12"/>
    </row>
    <row r="604" spans="1:26" ht="15.75" customHeight="1" x14ac:dyDescent="0.25">
      <c r="A604" s="12"/>
      <c r="B604" s="12"/>
      <c r="C604" s="12"/>
      <c r="D604" s="12"/>
      <c r="E604" s="13"/>
      <c r="F604" s="12"/>
      <c r="G604" s="12"/>
      <c r="H604" s="12"/>
      <c r="I604" s="12"/>
      <c r="J604" s="12"/>
      <c r="K604" s="12"/>
      <c r="L604" s="12"/>
      <c r="M604" s="12"/>
      <c r="N604" s="12"/>
      <c r="O604" s="12"/>
      <c r="P604" s="12"/>
      <c r="Q604" s="12"/>
      <c r="R604" s="12"/>
      <c r="S604" s="12"/>
      <c r="T604" s="12"/>
      <c r="U604" s="12"/>
      <c r="V604" s="12"/>
      <c r="W604" s="12"/>
      <c r="X604" s="12"/>
      <c r="Y604" s="12"/>
      <c r="Z604" s="12"/>
    </row>
    <row r="605" spans="1:26" ht="15.75" customHeight="1" x14ac:dyDescent="0.25">
      <c r="A605" s="12"/>
      <c r="B605" s="12"/>
      <c r="C605" s="12"/>
      <c r="D605" s="12"/>
      <c r="E605" s="13"/>
      <c r="F605" s="12"/>
      <c r="G605" s="12"/>
      <c r="H605" s="12"/>
      <c r="I605" s="12"/>
      <c r="J605" s="12"/>
      <c r="K605" s="12"/>
      <c r="L605" s="12"/>
      <c r="M605" s="12"/>
      <c r="N605" s="12"/>
      <c r="O605" s="12"/>
      <c r="P605" s="12"/>
      <c r="Q605" s="12"/>
      <c r="R605" s="12"/>
      <c r="S605" s="12"/>
      <c r="T605" s="12"/>
      <c r="U605" s="12"/>
      <c r="V605" s="12"/>
      <c r="W605" s="12"/>
      <c r="X605" s="12"/>
      <c r="Y605" s="12"/>
      <c r="Z605" s="12"/>
    </row>
    <row r="606" spans="1:26" ht="15.75" customHeight="1" x14ac:dyDescent="0.25">
      <c r="A606" s="12"/>
      <c r="B606" s="12"/>
      <c r="C606" s="12"/>
      <c r="D606" s="12"/>
      <c r="E606" s="13"/>
      <c r="F606" s="12"/>
      <c r="G606" s="12"/>
      <c r="H606" s="12"/>
      <c r="I606" s="12"/>
      <c r="J606" s="12"/>
      <c r="K606" s="12"/>
      <c r="L606" s="12"/>
      <c r="M606" s="12"/>
      <c r="N606" s="12"/>
      <c r="O606" s="12"/>
      <c r="P606" s="12"/>
      <c r="Q606" s="12"/>
      <c r="R606" s="12"/>
      <c r="S606" s="12"/>
      <c r="T606" s="12"/>
      <c r="U606" s="12"/>
      <c r="V606" s="12"/>
      <c r="W606" s="12"/>
      <c r="X606" s="12"/>
      <c r="Y606" s="12"/>
      <c r="Z606" s="12"/>
    </row>
    <row r="607" spans="1:26" ht="15.75" customHeight="1" x14ac:dyDescent="0.25">
      <c r="A607" s="12"/>
      <c r="B607" s="12"/>
      <c r="C607" s="12"/>
      <c r="D607" s="12"/>
      <c r="E607" s="13"/>
      <c r="F607" s="12"/>
      <c r="G607" s="12"/>
      <c r="H607" s="12"/>
      <c r="I607" s="12"/>
      <c r="J607" s="12"/>
      <c r="K607" s="12"/>
      <c r="L607" s="12"/>
      <c r="M607" s="12"/>
      <c r="N607" s="12"/>
      <c r="O607" s="12"/>
      <c r="P607" s="12"/>
      <c r="Q607" s="12"/>
      <c r="R607" s="12"/>
      <c r="S607" s="12"/>
      <c r="T607" s="12"/>
      <c r="U607" s="12"/>
      <c r="V607" s="12"/>
      <c r="W607" s="12"/>
      <c r="X607" s="12"/>
      <c r="Y607" s="12"/>
      <c r="Z607" s="12"/>
    </row>
    <row r="608" spans="1:26" ht="15.75" customHeight="1" x14ac:dyDescent="0.25">
      <c r="A608" s="12"/>
      <c r="B608" s="12"/>
      <c r="C608" s="12"/>
      <c r="D608" s="12"/>
      <c r="E608" s="13"/>
      <c r="F608" s="12"/>
      <c r="G608" s="12"/>
      <c r="H608" s="12"/>
      <c r="I608" s="12"/>
      <c r="J608" s="12"/>
      <c r="K608" s="12"/>
      <c r="L608" s="12"/>
      <c r="M608" s="12"/>
      <c r="N608" s="12"/>
      <c r="O608" s="12"/>
      <c r="P608" s="12"/>
      <c r="Q608" s="12"/>
      <c r="R608" s="12"/>
      <c r="S608" s="12"/>
      <c r="T608" s="12"/>
      <c r="U608" s="12"/>
      <c r="V608" s="12"/>
      <c r="W608" s="12"/>
      <c r="X608" s="12"/>
      <c r="Y608" s="12"/>
      <c r="Z608" s="12"/>
    </row>
    <row r="609" spans="1:26" ht="15.75" customHeight="1" x14ac:dyDescent="0.25">
      <c r="A609" s="12"/>
      <c r="B609" s="12"/>
      <c r="C609" s="12"/>
      <c r="D609" s="12"/>
      <c r="E609" s="13"/>
      <c r="F609" s="12"/>
      <c r="G609" s="12"/>
      <c r="H609" s="12"/>
      <c r="I609" s="12"/>
      <c r="J609" s="12"/>
      <c r="K609" s="12"/>
      <c r="L609" s="12"/>
      <c r="M609" s="12"/>
      <c r="N609" s="12"/>
      <c r="O609" s="12"/>
      <c r="P609" s="12"/>
      <c r="Q609" s="12"/>
      <c r="R609" s="12"/>
      <c r="S609" s="12"/>
      <c r="T609" s="12"/>
      <c r="U609" s="12"/>
      <c r="V609" s="12"/>
      <c r="W609" s="12"/>
      <c r="X609" s="12"/>
      <c r="Y609" s="12"/>
      <c r="Z609" s="12"/>
    </row>
    <row r="610" spans="1:26" ht="15.75" customHeight="1" x14ac:dyDescent="0.25">
      <c r="A610" s="12"/>
      <c r="B610" s="12"/>
      <c r="C610" s="12"/>
      <c r="D610" s="12"/>
      <c r="E610" s="13"/>
      <c r="F610" s="12"/>
      <c r="G610" s="12"/>
      <c r="H610" s="12"/>
      <c r="I610" s="12"/>
      <c r="J610" s="12"/>
      <c r="K610" s="12"/>
      <c r="L610" s="12"/>
      <c r="M610" s="12"/>
      <c r="N610" s="12"/>
      <c r="O610" s="12"/>
      <c r="P610" s="12"/>
      <c r="Q610" s="12"/>
      <c r="R610" s="12"/>
      <c r="S610" s="12"/>
      <c r="T610" s="12"/>
      <c r="U610" s="12"/>
      <c r="V610" s="12"/>
      <c r="W610" s="12"/>
      <c r="X610" s="12"/>
      <c r="Y610" s="12"/>
      <c r="Z610" s="12"/>
    </row>
    <row r="611" spans="1:26" ht="15.75" customHeight="1" x14ac:dyDescent="0.25">
      <c r="A611" s="12"/>
      <c r="B611" s="12"/>
      <c r="C611" s="12"/>
      <c r="D611" s="12"/>
      <c r="E611" s="13"/>
      <c r="F611" s="12"/>
      <c r="G611" s="12"/>
      <c r="H611" s="12"/>
      <c r="I611" s="12"/>
      <c r="J611" s="12"/>
      <c r="K611" s="12"/>
      <c r="L611" s="12"/>
      <c r="M611" s="12"/>
      <c r="N611" s="12"/>
      <c r="O611" s="12"/>
      <c r="P611" s="12"/>
      <c r="Q611" s="12"/>
      <c r="R611" s="12"/>
      <c r="S611" s="12"/>
      <c r="T611" s="12"/>
      <c r="U611" s="12"/>
      <c r="V611" s="12"/>
      <c r="W611" s="12"/>
      <c r="X611" s="12"/>
      <c r="Y611" s="12"/>
      <c r="Z611" s="12"/>
    </row>
    <row r="612" spans="1:26" ht="15.75" customHeight="1" x14ac:dyDescent="0.25">
      <c r="A612" s="12"/>
      <c r="B612" s="12"/>
      <c r="C612" s="12"/>
      <c r="D612" s="12"/>
      <c r="E612" s="13"/>
      <c r="F612" s="12"/>
      <c r="G612" s="12"/>
      <c r="H612" s="12"/>
      <c r="I612" s="12"/>
      <c r="J612" s="12"/>
      <c r="K612" s="12"/>
      <c r="L612" s="12"/>
      <c r="M612" s="12"/>
      <c r="N612" s="12"/>
      <c r="O612" s="12"/>
      <c r="P612" s="12"/>
      <c r="Q612" s="12"/>
      <c r="R612" s="12"/>
      <c r="S612" s="12"/>
      <c r="T612" s="12"/>
      <c r="U612" s="12"/>
      <c r="V612" s="12"/>
      <c r="W612" s="12"/>
      <c r="X612" s="12"/>
      <c r="Y612" s="12"/>
      <c r="Z612" s="12"/>
    </row>
    <row r="613" spans="1:26" ht="15.75" customHeight="1" x14ac:dyDescent="0.25">
      <c r="A613" s="12"/>
      <c r="B613" s="12"/>
      <c r="C613" s="12"/>
      <c r="D613" s="12"/>
      <c r="E613" s="13"/>
      <c r="F613" s="12"/>
      <c r="G613" s="12"/>
      <c r="H613" s="12"/>
      <c r="I613" s="12"/>
      <c r="J613" s="12"/>
      <c r="K613" s="12"/>
      <c r="L613" s="12"/>
      <c r="M613" s="12"/>
      <c r="N613" s="12"/>
      <c r="O613" s="12"/>
      <c r="P613" s="12"/>
      <c r="Q613" s="12"/>
      <c r="R613" s="12"/>
      <c r="S613" s="12"/>
      <c r="T613" s="12"/>
      <c r="U613" s="12"/>
      <c r="V613" s="12"/>
      <c r="W613" s="12"/>
      <c r="X613" s="12"/>
      <c r="Y613" s="12"/>
      <c r="Z613" s="12"/>
    </row>
    <row r="614" spans="1:26" ht="15.75" customHeight="1" x14ac:dyDescent="0.25">
      <c r="A614" s="12"/>
      <c r="B614" s="12"/>
      <c r="C614" s="12"/>
      <c r="D614" s="12"/>
      <c r="E614" s="13"/>
      <c r="F614" s="12"/>
      <c r="G614" s="12"/>
      <c r="H614" s="12"/>
      <c r="I614" s="12"/>
      <c r="J614" s="12"/>
      <c r="K614" s="12"/>
      <c r="L614" s="12"/>
      <c r="M614" s="12"/>
      <c r="N614" s="12"/>
      <c r="O614" s="12"/>
      <c r="P614" s="12"/>
      <c r="Q614" s="12"/>
      <c r="R614" s="12"/>
      <c r="S614" s="12"/>
      <c r="T614" s="12"/>
      <c r="U614" s="12"/>
      <c r="V614" s="12"/>
      <c r="W614" s="12"/>
      <c r="X614" s="12"/>
      <c r="Y614" s="12"/>
      <c r="Z614" s="12"/>
    </row>
    <row r="615" spans="1:26" ht="15.75" customHeight="1" x14ac:dyDescent="0.25">
      <c r="A615" s="12"/>
      <c r="B615" s="12"/>
      <c r="C615" s="12"/>
      <c r="D615" s="12"/>
      <c r="E615" s="13"/>
      <c r="F615" s="12"/>
      <c r="G615" s="12"/>
      <c r="H615" s="12"/>
      <c r="I615" s="12"/>
      <c r="J615" s="12"/>
      <c r="K615" s="12"/>
      <c r="L615" s="12"/>
      <c r="M615" s="12"/>
      <c r="N615" s="12"/>
      <c r="O615" s="12"/>
      <c r="P615" s="12"/>
      <c r="Q615" s="12"/>
      <c r="R615" s="12"/>
      <c r="S615" s="12"/>
      <c r="T615" s="12"/>
      <c r="U615" s="12"/>
      <c r="V615" s="12"/>
      <c r="W615" s="12"/>
      <c r="X615" s="12"/>
      <c r="Y615" s="12"/>
      <c r="Z615" s="12"/>
    </row>
    <row r="616" spans="1:26" ht="15.75" customHeight="1" x14ac:dyDescent="0.25">
      <c r="A616" s="12"/>
      <c r="B616" s="12"/>
      <c r="C616" s="12"/>
      <c r="D616" s="12"/>
      <c r="E616" s="13"/>
      <c r="F616" s="12"/>
      <c r="G616" s="12"/>
      <c r="H616" s="12"/>
      <c r="I616" s="12"/>
      <c r="J616" s="12"/>
      <c r="K616" s="12"/>
      <c r="L616" s="12"/>
      <c r="M616" s="12"/>
      <c r="N616" s="12"/>
      <c r="O616" s="12"/>
      <c r="P616" s="12"/>
      <c r="Q616" s="12"/>
      <c r="R616" s="12"/>
      <c r="S616" s="12"/>
      <c r="T616" s="12"/>
      <c r="U616" s="12"/>
      <c r="V616" s="12"/>
      <c r="W616" s="12"/>
      <c r="X616" s="12"/>
      <c r="Y616" s="12"/>
      <c r="Z616" s="12"/>
    </row>
    <row r="617" spans="1:26" ht="15.75" customHeight="1" x14ac:dyDescent="0.25">
      <c r="A617" s="12"/>
      <c r="B617" s="12"/>
      <c r="C617" s="12"/>
      <c r="D617" s="12"/>
      <c r="E617" s="13"/>
      <c r="F617" s="12"/>
      <c r="G617" s="12"/>
      <c r="H617" s="12"/>
      <c r="I617" s="12"/>
      <c r="J617" s="12"/>
      <c r="K617" s="12"/>
      <c r="L617" s="12"/>
      <c r="M617" s="12"/>
      <c r="N617" s="12"/>
      <c r="O617" s="12"/>
      <c r="P617" s="12"/>
      <c r="Q617" s="12"/>
      <c r="R617" s="12"/>
      <c r="S617" s="12"/>
      <c r="T617" s="12"/>
      <c r="U617" s="12"/>
      <c r="V617" s="12"/>
      <c r="W617" s="12"/>
      <c r="X617" s="12"/>
      <c r="Y617" s="12"/>
      <c r="Z617" s="12"/>
    </row>
    <row r="618" spans="1:26" ht="15.75" customHeight="1" x14ac:dyDescent="0.25">
      <c r="A618" s="12"/>
      <c r="B618" s="12"/>
      <c r="C618" s="12"/>
      <c r="D618" s="12"/>
      <c r="E618" s="13"/>
      <c r="F618" s="12"/>
      <c r="G618" s="12"/>
      <c r="H618" s="12"/>
      <c r="I618" s="12"/>
      <c r="J618" s="12"/>
      <c r="K618" s="12"/>
      <c r="L618" s="12"/>
      <c r="M618" s="12"/>
      <c r="N618" s="12"/>
      <c r="O618" s="12"/>
      <c r="P618" s="12"/>
      <c r="Q618" s="12"/>
      <c r="R618" s="12"/>
      <c r="S618" s="12"/>
      <c r="T618" s="12"/>
      <c r="U618" s="12"/>
      <c r="V618" s="12"/>
      <c r="W618" s="12"/>
      <c r="X618" s="12"/>
      <c r="Y618" s="12"/>
      <c r="Z618" s="12"/>
    </row>
    <row r="619" spans="1:26" ht="15.75" customHeight="1" x14ac:dyDescent="0.25">
      <c r="A619" s="12"/>
      <c r="B619" s="12"/>
      <c r="C619" s="12"/>
      <c r="D619" s="12"/>
      <c r="E619" s="13"/>
      <c r="F619" s="12"/>
      <c r="G619" s="12"/>
      <c r="H619" s="12"/>
      <c r="I619" s="12"/>
      <c r="J619" s="12"/>
      <c r="K619" s="12"/>
      <c r="L619" s="12"/>
      <c r="M619" s="12"/>
      <c r="N619" s="12"/>
      <c r="O619" s="12"/>
      <c r="P619" s="12"/>
      <c r="Q619" s="12"/>
      <c r="R619" s="12"/>
      <c r="S619" s="12"/>
      <c r="T619" s="12"/>
      <c r="U619" s="12"/>
      <c r="V619" s="12"/>
      <c r="W619" s="12"/>
      <c r="X619" s="12"/>
      <c r="Y619" s="12"/>
      <c r="Z619" s="12"/>
    </row>
    <row r="620" spans="1:26" ht="15.75" customHeight="1" x14ac:dyDescent="0.25">
      <c r="A620" s="12"/>
      <c r="B620" s="12"/>
      <c r="C620" s="12"/>
      <c r="D620" s="12"/>
      <c r="E620" s="13"/>
      <c r="F620" s="12"/>
      <c r="G620" s="12"/>
      <c r="H620" s="12"/>
      <c r="I620" s="12"/>
      <c r="J620" s="12"/>
      <c r="K620" s="12"/>
      <c r="L620" s="12"/>
      <c r="M620" s="12"/>
      <c r="N620" s="12"/>
      <c r="O620" s="12"/>
      <c r="P620" s="12"/>
      <c r="Q620" s="12"/>
      <c r="R620" s="12"/>
      <c r="S620" s="12"/>
      <c r="T620" s="12"/>
      <c r="U620" s="12"/>
      <c r="V620" s="12"/>
      <c r="W620" s="12"/>
      <c r="X620" s="12"/>
      <c r="Y620" s="12"/>
      <c r="Z620" s="12"/>
    </row>
    <row r="621" spans="1:26" ht="15.75" customHeight="1" x14ac:dyDescent="0.25">
      <c r="A621" s="12"/>
      <c r="B621" s="12"/>
      <c r="C621" s="12"/>
      <c r="D621" s="12"/>
      <c r="E621" s="13"/>
      <c r="F621" s="12"/>
      <c r="G621" s="12"/>
      <c r="H621" s="12"/>
      <c r="I621" s="12"/>
      <c r="J621" s="12"/>
      <c r="K621" s="12"/>
      <c r="L621" s="12"/>
      <c r="M621" s="12"/>
      <c r="N621" s="12"/>
      <c r="O621" s="12"/>
      <c r="P621" s="12"/>
      <c r="Q621" s="12"/>
      <c r="R621" s="12"/>
      <c r="S621" s="12"/>
      <c r="T621" s="12"/>
      <c r="U621" s="12"/>
      <c r="V621" s="12"/>
      <c r="W621" s="12"/>
      <c r="X621" s="12"/>
      <c r="Y621" s="12"/>
      <c r="Z621" s="12"/>
    </row>
    <row r="622" spans="1:26" ht="15.75" customHeight="1" x14ac:dyDescent="0.25">
      <c r="A622" s="12"/>
      <c r="B622" s="12"/>
      <c r="C622" s="12"/>
      <c r="D622" s="12"/>
      <c r="E622" s="13"/>
      <c r="F622" s="12"/>
      <c r="G622" s="12"/>
      <c r="H622" s="12"/>
      <c r="I622" s="12"/>
      <c r="J622" s="12"/>
      <c r="K622" s="12"/>
      <c r="L622" s="12"/>
      <c r="M622" s="12"/>
      <c r="N622" s="12"/>
      <c r="O622" s="12"/>
      <c r="P622" s="12"/>
      <c r="Q622" s="12"/>
      <c r="R622" s="12"/>
      <c r="S622" s="12"/>
      <c r="T622" s="12"/>
      <c r="U622" s="12"/>
      <c r="V622" s="12"/>
      <c r="W622" s="12"/>
      <c r="X622" s="12"/>
      <c r="Y622" s="12"/>
      <c r="Z622" s="12"/>
    </row>
    <row r="623" spans="1:26" ht="15.75" customHeight="1" x14ac:dyDescent="0.25">
      <c r="A623" s="12"/>
      <c r="B623" s="12"/>
      <c r="C623" s="12"/>
      <c r="D623" s="12"/>
      <c r="E623" s="13"/>
      <c r="F623" s="12"/>
      <c r="G623" s="12"/>
      <c r="H623" s="12"/>
      <c r="I623" s="12"/>
      <c r="J623" s="12"/>
      <c r="K623" s="12"/>
      <c r="L623" s="12"/>
      <c r="M623" s="12"/>
      <c r="N623" s="12"/>
      <c r="O623" s="12"/>
      <c r="P623" s="12"/>
      <c r="Q623" s="12"/>
      <c r="R623" s="12"/>
      <c r="S623" s="12"/>
      <c r="T623" s="12"/>
      <c r="U623" s="12"/>
      <c r="V623" s="12"/>
      <c r="W623" s="12"/>
      <c r="X623" s="12"/>
      <c r="Y623" s="12"/>
      <c r="Z623" s="12"/>
    </row>
    <row r="624" spans="1:26" ht="15.75" customHeight="1" x14ac:dyDescent="0.25">
      <c r="A624" s="12"/>
      <c r="B624" s="12"/>
      <c r="C624" s="12"/>
      <c r="D624" s="12"/>
      <c r="E624" s="13"/>
      <c r="F624" s="12"/>
      <c r="G624" s="12"/>
      <c r="H624" s="12"/>
      <c r="I624" s="12"/>
      <c r="J624" s="12"/>
      <c r="K624" s="12"/>
      <c r="L624" s="12"/>
      <c r="M624" s="12"/>
      <c r="N624" s="12"/>
      <c r="O624" s="12"/>
      <c r="P624" s="12"/>
      <c r="Q624" s="12"/>
      <c r="R624" s="12"/>
      <c r="S624" s="12"/>
      <c r="T624" s="12"/>
      <c r="U624" s="12"/>
      <c r="V624" s="12"/>
      <c r="W624" s="12"/>
      <c r="X624" s="12"/>
      <c r="Y624" s="12"/>
      <c r="Z624" s="12"/>
    </row>
    <row r="625" spans="1:26" ht="15.75" customHeight="1" x14ac:dyDescent="0.25">
      <c r="A625" s="12"/>
      <c r="B625" s="12"/>
      <c r="C625" s="12"/>
      <c r="D625" s="12"/>
      <c r="E625" s="13"/>
      <c r="F625" s="12"/>
      <c r="G625" s="12"/>
      <c r="H625" s="12"/>
      <c r="I625" s="12"/>
      <c r="J625" s="12"/>
      <c r="K625" s="12"/>
      <c r="L625" s="12"/>
      <c r="M625" s="12"/>
      <c r="N625" s="12"/>
      <c r="O625" s="12"/>
      <c r="P625" s="12"/>
      <c r="Q625" s="12"/>
      <c r="R625" s="12"/>
      <c r="S625" s="12"/>
      <c r="T625" s="12"/>
      <c r="U625" s="12"/>
      <c r="V625" s="12"/>
      <c r="W625" s="12"/>
      <c r="X625" s="12"/>
      <c r="Y625" s="12"/>
      <c r="Z625" s="12"/>
    </row>
    <row r="626" spans="1:26" ht="15.75" customHeight="1" x14ac:dyDescent="0.25">
      <c r="A626" s="12"/>
      <c r="B626" s="12"/>
      <c r="C626" s="12"/>
      <c r="D626" s="12"/>
      <c r="E626" s="13"/>
      <c r="F626" s="12"/>
      <c r="G626" s="12"/>
      <c r="H626" s="12"/>
      <c r="I626" s="12"/>
      <c r="J626" s="12"/>
      <c r="K626" s="12"/>
      <c r="L626" s="12"/>
      <c r="M626" s="12"/>
      <c r="N626" s="12"/>
      <c r="O626" s="12"/>
      <c r="P626" s="12"/>
      <c r="Q626" s="12"/>
      <c r="R626" s="12"/>
      <c r="S626" s="12"/>
      <c r="T626" s="12"/>
      <c r="U626" s="12"/>
      <c r="V626" s="12"/>
      <c r="W626" s="12"/>
      <c r="X626" s="12"/>
      <c r="Y626" s="12"/>
      <c r="Z626" s="12"/>
    </row>
    <row r="627" spans="1:26" ht="15.75" customHeight="1" x14ac:dyDescent="0.25">
      <c r="A627" s="12"/>
      <c r="B627" s="12"/>
      <c r="C627" s="12"/>
      <c r="D627" s="12"/>
      <c r="E627" s="13"/>
      <c r="F627" s="12"/>
      <c r="G627" s="12"/>
      <c r="H627" s="12"/>
      <c r="I627" s="12"/>
      <c r="J627" s="12"/>
      <c r="K627" s="12"/>
      <c r="L627" s="12"/>
      <c r="M627" s="12"/>
      <c r="N627" s="12"/>
      <c r="O627" s="12"/>
      <c r="P627" s="12"/>
      <c r="Q627" s="12"/>
      <c r="R627" s="12"/>
      <c r="S627" s="12"/>
      <c r="T627" s="12"/>
      <c r="U627" s="12"/>
      <c r="V627" s="12"/>
      <c r="W627" s="12"/>
      <c r="X627" s="12"/>
      <c r="Y627" s="12"/>
      <c r="Z627" s="12"/>
    </row>
    <row r="628" spans="1:26" ht="15.75" customHeight="1" x14ac:dyDescent="0.25">
      <c r="A628" s="12"/>
      <c r="B628" s="12"/>
      <c r="C628" s="12"/>
      <c r="D628" s="12"/>
      <c r="E628" s="13"/>
      <c r="F628" s="12"/>
      <c r="G628" s="12"/>
      <c r="H628" s="12"/>
      <c r="I628" s="12"/>
      <c r="J628" s="12"/>
      <c r="K628" s="12"/>
      <c r="L628" s="12"/>
      <c r="M628" s="12"/>
      <c r="N628" s="12"/>
      <c r="O628" s="12"/>
      <c r="P628" s="12"/>
      <c r="Q628" s="12"/>
      <c r="R628" s="12"/>
      <c r="S628" s="12"/>
      <c r="T628" s="12"/>
      <c r="U628" s="12"/>
      <c r="V628" s="12"/>
      <c r="W628" s="12"/>
      <c r="X628" s="12"/>
      <c r="Y628" s="12"/>
      <c r="Z628" s="12"/>
    </row>
    <row r="629" spans="1:26" ht="15.75" customHeight="1" x14ac:dyDescent="0.25">
      <c r="A629" s="12"/>
      <c r="B629" s="12"/>
      <c r="C629" s="12"/>
      <c r="D629" s="12"/>
      <c r="E629" s="13"/>
      <c r="F629" s="12"/>
      <c r="G629" s="12"/>
      <c r="H629" s="12"/>
      <c r="I629" s="12"/>
      <c r="J629" s="12"/>
      <c r="K629" s="12"/>
      <c r="L629" s="12"/>
      <c r="M629" s="12"/>
      <c r="N629" s="12"/>
      <c r="O629" s="12"/>
      <c r="P629" s="12"/>
      <c r="Q629" s="12"/>
      <c r="R629" s="12"/>
      <c r="S629" s="12"/>
      <c r="T629" s="12"/>
      <c r="U629" s="12"/>
      <c r="V629" s="12"/>
      <c r="W629" s="12"/>
      <c r="X629" s="12"/>
      <c r="Y629" s="12"/>
      <c r="Z629" s="12"/>
    </row>
    <row r="630" spans="1:26" ht="15.75" customHeight="1" x14ac:dyDescent="0.25">
      <c r="A630" s="12"/>
      <c r="B630" s="12"/>
      <c r="C630" s="12"/>
      <c r="D630" s="12"/>
      <c r="E630" s="13"/>
      <c r="F630" s="12"/>
      <c r="G630" s="12"/>
      <c r="H630" s="12"/>
      <c r="I630" s="12"/>
      <c r="J630" s="12"/>
      <c r="K630" s="12"/>
      <c r="L630" s="12"/>
      <c r="M630" s="12"/>
      <c r="N630" s="12"/>
      <c r="O630" s="12"/>
      <c r="P630" s="12"/>
      <c r="Q630" s="12"/>
      <c r="R630" s="12"/>
      <c r="S630" s="12"/>
      <c r="T630" s="12"/>
      <c r="U630" s="12"/>
      <c r="V630" s="12"/>
      <c r="W630" s="12"/>
      <c r="X630" s="12"/>
      <c r="Y630" s="12"/>
      <c r="Z630" s="12"/>
    </row>
    <row r="631" spans="1:26" ht="15.75" customHeight="1" x14ac:dyDescent="0.25">
      <c r="A631" s="12"/>
      <c r="B631" s="12"/>
      <c r="C631" s="12"/>
      <c r="D631" s="12"/>
      <c r="E631" s="13"/>
      <c r="F631" s="12"/>
      <c r="G631" s="12"/>
      <c r="H631" s="12"/>
      <c r="I631" s="12"/>
      <c r="J631" s="12"/>
      <c r="K631" s="12"/>
      <c r="L631" s="12"/>
      <c r="M631" s="12"/>
      <c r="N631" s="12"/>
      <c r="O631" s="12"/>
      <c r="P631" s="12"/>
      <c r="Q631" s="12"/>
      <c r="R631" s="12"/>
      <c r="S631" s="12"/>
      <c r="T631" s="12"/>
      <c r="U631" s="12"/>
      <c r="V631" s="12"/>
      <c r="W631" s="12"/>
      <c r="X631" s="12"/>
      <c r="Y631" s="12"/>
      <c r="Z631" s="12"/>
    </row>
    <row r="632" spans="1:26" ht="15.75" customHeight="1" x14ac:dyDescent="0.25">
      <c r="A632" s="12"/>
      <c r="B632" s="12"/>
      <c r="C632" s="12"/>
      <c r="D632" s="12"/>
      <c r="E632" s="13"/>
      <c r="F632" s="12"/>
      <c r="G632" s="12"/>
      <c r="H632" s="12"/>
      <c r="I632" s="12"/>
      <c r="J632" s="12"/>
      <c r="K632" s="12"/>
      <c r="L632" s="12"/>
      <c r="M632" s="12"/>
      <c r="N632" s="12"/>
      <c r="O632" s="12"/>
      <c r="P632" s="12"/>
      <c r="Q632" s="12"/>
      <c r="R632" s="12"/>
      <c r="S632" s="12"/>
      <c r="T632" s="12"/>
      <c r="U632" s="12"/>
      <c r="V632" s="12"/>
      <c r="W632" s="12"/>
      <c r="X632" s="12"/>
      <c r="Y632" s="12"/>
      <c r="Z632" s="12"/>
    </row>
    <row r="633" spans="1:26" ht="15.75" customHeight="1" x14ac:dyDescent="0.25">
      <c r="A633" s="12"/>
      <c r="B633" s="12"/>
      <c r="C633" s="12"/>
      <c r="D633" s="12"/>
      <c r="E633" s="13"/>
      <c r="F633" s="12"/>
      <c r="G633" s="12"/>
      <c r="H633" s="12"/>
      <c r="I633" s="12"/>
      <c r="J633" s="12"/>
      <c r="K633" s="12"/>
      <c r="L633" s="12"/>
      <c r="M633" s="12"/>
      <c r="N633" s="12"/>
      <c r="O633" s="12"/>
      <c r="P633" s="12"/>
      <c r="Q633" s="12"/>
      <c r="R633" s="12"/>
      <c r="S633" s="12"/>
      <c r="T633" s="12"/>
      <c r="U633" s="12"/>
      <c r="V633" s="12"/>
      <c r="W633" s="12"/>
      <c r="X633" s="12"/>
      <c r="Y633" s="12"/>
      <c r="Z633" s="12"/>
    </row>
    <row r="634" spans="1:26" ht="15.75" customHeight="1" x14ac:dyDescent="0.25">
      <c r="A634" s="12"/>
      <c r="B634" s="12"/>
      <c r="C634" s="12"/>
      <c r="D634" s="12"/>
      <c r="E634" s="13"/>
      <c r="F634" s="12"/>
      <c r="G634" s="12"/>
      <c r="H634" s="12"/>
      <c r="I634" s="12"/>
      <c r="J634" s="12"/>
      <c r="K634" s="12"/>
      <c r="L634" s="12"/>
      <c r="M634" s="12"/>
      <c r="N634" s="12"/>
      <c r="O634" s="12"/>
      <c r="P634" s="12"/>
      <c r="Q634" s="12"/>
      <c r="R634" s="12"/>
      <c r="S634" s="12"/>
      <c r="T634" s="12"/>
      <c r="U634" s="12"/>
      <c r="V634" s="12"/>
      <c r="W634" s="12"/>
      <c r="X634" s="12"/>
      <c r="Y634" s="12"/>
      <c r="Z634" s="12"/>
    </row>
    <row r="635" spans="1:26" ht="15.75" customHeight="1" x14ac:dyDescent="0.25">
      <c r="A635" s="12"/>
      <c r="B635" s="12"/>
      <c r="C635" s="12"/>
      <c r="D635" s="12"/>
      <c r="E635" s="13"/>
      <c r="F635" s="12"/>
      <c r="G635" s="12"/>
      <c r="H635" s="12"/>
      <c r="I635" s="12"/>
      <c r="J635" s="12"/>
      <c r="K635" s="12"/>
      <c r="L635" s="12"/>
      <c r="M635" s="12"/>
      <c r="N635" s="12"/>
      <c r="O635" s="12"/>
      <c r="P635" s="12"/>
      <c r="Q635" s="12"/>
      <c r="R635" s="12"/>
      <c r="S635" s="12"/>
      <c r="T635" s="12"/>
      <c r="U635" s="12"/>
      <c r="V635" s="12"/>
      <c r="W635" s="12"/>
      <c r="X635" s="12"/>
      <c r="Y635" s="12"/>
      <c r="Z635" s="12"/>
    </row>
    <row r="636" spans="1:26" ht="15.75" customHeight="1" x14ac:dyDescent="0.25">
      <c r="A636" s="12"/>
      <c r="B636" s="12"/>
      <c r="C636" s="12"/>
      <c r="D636" s="12"/>
      <c r="E636" s="13"/>
      <c r="F636" s="12"/>
      <c r="G636" s="12"/>
      <c r="H636" s="12"/>
      <c r="I636" s="12"/>
      <c r="J636" s="12"/>
      <c r="K636" s="12"/>
      <c r="L636" s="12"/>
      <c r="M636" s="12"/>
      <c r="N636" s="12"/>
      <c r="O636" s="12"/>
      <c r="P636" s="12"/>
      <c r="Q636" s="12"/>
      <c r="R636" s="12"/>
      <c r="S636" s="12"/>
      <c r="T636" s="12"/>
      <c r="U636" s="12"/>
      <c r="V636" s="12"/>
      <c r="W636" s="12"/>
      <c r="X636" s="12"/>
      <c r="Y636" s="12"/>
      <c r="Z636" s="12"/>
    </row>
    <row r="637" spans="1:26" ht="15.75" customHeight="1" x14ac:dyDescent="0.25">
      <c r="A637" s="12"/>
      <c r="B637" s="12"/>
      <c r="C637" s="12"/>
      <c r="D637" s="12"/>
      <c r="E637" s="13"/>
      <c r="F637" s="12"/>
      <c r="G637" s="12"/>
      <c r="H637" s="12"/>
      <c r="I637" s="12"/>
      <c r="J637" s="12"/>
      <c r="K637" s="12"/>
      <c r="L637" s="12"/>
      <c r="M637" s="12"/>
      <c r="N637" s="12"/>
      <c r="O637" s="12"/>
      <c r="P637" s="12"/>
      <c r="Q637" s="12"/>
      <c r="R637" s="12"/>
      <c r="S637" s="12"/>
      <c r="T637" s="12"/>
      <c r="U637" s="12"/>
      <c r="V637" s="12"/>
      <c r="W637" s="12"/>
      <c r="X637" s="12"/>
      <c r="Y637" s="12"/>
      <c r="Z637" s="12"/>
    </row>
    <row r="638" spans="1:26" ht="15.75" customHeight="1" x14ac:dyDescent="0.25">
      <c r="A638" s="12"/>
      <c r="B638" s="12"/>
      <c r="C638" s="12"/>
      <c r="D638" s="12"/>
      <c r="E638" s="13"/>
      <c r="F638" s="12"/>
      <c r="G638" s="12"/>
      <c r="H638" s="12"/>
      <c r="I638" s="12"/>
      <c r="J638" s="12"/>
      <c r="K638" s="12"/>
      <c r="L638" s="12"/>
      <c r="M638" s="12"/>
      <c r="N638" s="12"/>
      <c r="O638" s="12"/>
      <c r="P638" s="12"/>
      <c r="Q638" s="12"/>
      <c r="R638" s="12"/>
      <c r="S638" s="12"/>
      <c r="T638" s="12"/>
      <c r="U638" s="12"/>
      <c r="V638" s="12"/>
      <c r="W638" s="12"/>
      <c r="X638" s="12"/>
      <c r="Y638" s="12"/>
      <c r="Z638" s="12"/>
    </row>
    <row r="639" spans="1:26" ht="15.75" customHeight="1" x14ac:dyDescent="0.25">
      <c r="A639" s="12"/>
      <c r="B639" s="12"/>
      <c r="C639" s="12"/>
      <c r="D639" s="12"/>
      <c r="E639" s="13"/>
      <c r="F639" s="12"/>
      <c r="G639" s="12"/>
      <c r="H639" s="12"/>
      <c r="I639" s="12"/>
      <c r="J639" s="12"/>
      <c r="K639" s="12"/>
      <c r="L639" s="12"/>
      <c r="M639" s="12"/>
      <c r="N639" s="12"/>
      <c r="O639" s="12"/>
      <c r="P639" s="12"/>
      <c r="Q639" s="12"/>
      <c r="R639" s="12"/>
      <c r="S639" s="12"/>
      <c r="T639" s="12"/>
      <c r="U639" s="12"/>
      <c r="V639" s="12"/>
      <c r="W639" s="12"/>
      <c r="X639" s="12"/>
      <c r="Y639" s="12"/>
      <c r="Z639" s="12"/>
    </row>
    <row r="640" spans="1:26" ht="15.75" customHeight="1" x14ac:dyDescent="0.25">
      <c r="A640" s="12"/>
      <c r="B640" s="12"/>
      <c r="C640" s="12"/>
      <c r="D640" s="12"/>
      <c r="E640" s="13"/>
      <c r="F640" s="12"/>
      <c r="G640" s="12"/>
      <c r="H640" s="12"/>
      <c r="I640" s="12"/>
      <c r="J640" s="12"/>
      <c r="K640" s="12"/>
      <c r="L640" s="12"/>
      <c r="M640" s="12"/>
      <c r="N640" s="12"/>
      <c r="O640" s="12"/>
      <c r="P640" s="12"/>
      <c r="Q640" s="12"/>
      <c r="R640" s="12"/>
      <c r="S640" s="12"/>
      <c r="T640" s="12"/>
      <c r="U640" s="12"/>
      <c r="V640" s="12"/>
      <c r="W640" s="12"/>
      <c r="X640" s="12"/>
      <c r="Y640" s="12"/>
      <c r="Z640" s="12"/>
    </row>
    <row r="641" spans="1:26" ht="15.75" customHeight="1" x14ac:dyDescent="0.25">
      <c r="A641" s="12"/>
      <c r="B641" s="12"/>
      <c r="C641" s="12"/>
      <c r="D641" s="12"/>
      <c r="E641" s="13"/>
      <c r="F641" s="12"/>
      <c r="G641" s="12"/>
      <c r="H641" s="12"/>
      <c r="I641" s="12"/>
      <c r="J641" s="12"/>
      <c r="K641" s="12"/>
      <c r="L641" s="12"/>
      <c r="M641" s="12"/>
      <c r="N641" s="12"/>
      <c r="O641" s="12"/>
      <c r="P641" s="12"/>
      <c r="Q641" s="12"/>
      <c r="R641" s="12"/>
      <c r="S641" s="12"/>
      <c r="T641" s="12"/>
      <c r="U641" s="12"/>
      <c r="V641" s="12"/>
      <c r="W641" s="12"/>
      <c r="X641" s="12"/>
      <c r="Y641" s="12"/>
      <c r="Z641" s="12"/>
    </row>
    <row r="642" spans="1:26" ht="15.75" customHeight="1" x14ac:dyDescent="0.25">
      <c r="A642" s="12"/>
      <c r="B642" s="12"/>
      <c r="C642" s="12"/>
      <c r="D642" s="12"/>
      <c r="E642" s="13"/>
      <c r="F642" s="12"/>
      <c r="G642" s="12"/>
      <c r="H642" s="12"/>
      <c r="I642" s="12"/>
      <c r="J642" s="12"/>
      <c r="K642" s="12"/>
      <c r="L642" s="12"/>
      <c r="M642" s="12"/>
      <c r="N642" s="12"/>
      <c r="O642" s="12"/>
      <c r="P642" s="12"/>
      <c r="Q642" s="12"/>
      <c r="R642" s="12"/>
      <c r="S642" s="12"/>
      <c r="T642" s="12"/>
      <c r="U642" s="12"/>
      <c r="V642" s="12"/>
      <c r="W642" s="12"/>
      <c r="X642" s="12"/>
      <c r="Y642" s="12"/>
      <c r="Z642" s="12"/>
    </row>
    <row r="643" spans="1:26" ht="15.75" customHeight="1" x14ac:dyDescent="0.25">
      <c r="A643" s="12"/>
      <c r="B643" s="12"/>
      <c r="C643" s="12"/>
      <c r="D643" s="12"/>
      <c r="E643" s="13"/>
      <c r="F643" s="12"/>
      <c r="G643" s="12"/>
      <c r="H643" s="12"/>
      <c r="I643" s="12"/>
      <c r="J643" s="12"/>
      <c r="K643" s="12"/>
      <c r="L643" s="12"/>
      <c r="M643" s="12"/>
      <c r="N643" s="12"/>
      <c r="O643" s="12"/>
      <c r="P643" s="12"/>
      <c r="Q643" s="12"/>
      <c r="R643" s="12"/>
      <c r="S643" s="12"/>
      <c r="T643" s="12"/>
      <c r="U643" s="12"/>
      <c r="V643" s="12"/>
      <c r="W643" s="12"/>
      <c r="X643" s="12"/>
      <c r="Y643" s="12"/>
      <c r="Z643" s="12"/>
    </row>
    <row r="644" spans="1:26" ht="15.75" customHeight="1" x14ac:dyDescent="0.25">
      <c r="A644" s="12"/>
      <c r="B644" s="12"/>
      <c r="C644" s="12"/>
      <c r="D644" s="12"/>
      <c r="E644" s="13"/>
      <c r="F644" s="12"/>
      <c r="G644" s="12"/>
      <c r="H644" s="12"/>
      <c r="I644" s="12"/>
      <c r="J644" s="12"/>
      <c r="K644" s="12"/>
      <c r="L644" s="12"/>
      <c r="M644" s="12"/>
      <c r="N644" s="12"/>
      <c r="O644" s="12"/>
      <c r="P644" s="12"/>
      <c r="Q644" s="12"/>
      <c r="R644" s="12"/>
      <c r="S644" s="12"/>
      <c r="T644" s="12"/>
      <c r="U644" s="12"/>
      <c r="V644" s="12"/>
      <c r="W644" s="12"/>
      <c r="X644" s="12"/>
      <c r="Y644" s="12"/>
      <c r="Z644" s="12"/>
    </row>
    <row r="645" spans="1:26" ht="15.75" customHeight="1" x14ac:dyDescent="0.25">
      <c r="A645" s="12"/>
      <c r="B645" s="12"/>
      <c r="C645" s="12"/>
      <c r="D645" s="12"/>
      <c r="E645" s="13"/>
      <c r="F645" s="12"/>
      <c r="G645" s="12"/>
      <c r="H645" s="12"/>
      <c r="I645" s="12"/>
      <c r="J645" s="12"/>
      <c r="K645" s="12"/>
      <c r="L645" s="12"/>
      <c r="M645" s="12"/>
      <c r="N645" s="12"/>
      <c r="O645" s="12"/>
      <c r="P645" s="12"/>
      <c r="Q645" s="12"/>
      <c r="R645" s="12"/>
      <c r="S645" s="12"/>
      <c r="T645" s="12"/>
      <c r="U645" s="12"/>
      <c r="V645" s="12"/>
      <c r="W645" s="12"/>
      <c r="X645" s="12"/>
      <c r="Y645" s="12"/>
      <c r="Z645" s="12"/>
    </row>
    <row r="646" spans="1:26" ht="15.75" customHeight="1" x14ac:dyDescent="0.25">
      <c r="A646" s="12"/>
      <c r="B646" s="12"/>
      <c r="C646" s="12"/>
      <c r="D646" s="12"/>
      <c r="E646" s="13"/>
      <c r="F646" s="12"/>
      <c r="G646" s="12"/>
      <c r="H646" s="12"/>
      <c r="I646" s="12"/>
      <c r="J646" s="12"/>
      <c r="K646" s="12"/>
      <c r="L646" s="12"/>
      <c r="M646" s="12"/>
      <c r="N646" s="12"/>
      <c r="O646" s="12"/>
      <c r="P646" s="12"/>
      <c r="Q646" s="12"/>
      <c r="R646" s="12"/>
      <c r="S646" s="12"/>
      <c r="T646" s="12"/>
      <c r="U646" s="12"/>
      <c r="V646" s="12"/>
      <c r="W646" s="12"/>
      <c r="X646" s="12"/>
      <c r="Y646" s="12"/>
      <c r="Z646" s="12"/>
    </row>
    <row r="647" spans="1:26" ht="15.75" customHeight="1" x14ac:dyDescent="0.25">
      <c r="A647" s="12"/>
      <c r="B647" s="12"/>
      <c r="C647" s="12"/>
      <c r="D647" s="12"/>
      <c r="E647" s="13"/>
      <c r="F647" s="12"/>
      <c r="G647" s="12"/>
      <c r="H647" s="12"/>
      <c r="I647" s="12"/>
      <c r="J647" s="12"/>
      <c r="K647" s="12"/>
      <c r="L647" s="12"/>
      <c r="M647" s="12"/>
      <c r="N647" s="12"/>
      <c r="O647" s="12"/>
      <c r="P647" s="12"/>
      <c r="Q647" s="12"/>
      <c r="R647" s="12"/>
      <c r="S647" s="12"/>
      <c r="T647" s="12"/>
      <c r="U647" s="12"/>
      <c r="V647" s="12"/>
      <c r="W647" s="12"/>
      <c r="X647" s="12"/>
      <c r="Y647" s="12"/>
      <c r="Z647" s="12"/>
    </row>
    <row r="648" spans="1:26" ht="15.75" customHeight="1" x14ac:dyDescent="0.25">
      <c r="A648" s="12"/>
      <c r="B648" s="12"/>
      <c r="C648" s="12"/>
      <c r="D648" s="12"/>
      <c r="E648" s="13"/>
      <c r="F648" s="12"/>
      <c r="G648" s="12"/>
      <c r="H648" s="12"/>
      <c r="I648" s="12"/>
      <c r="J648" s="12"/>
      <c r="K648" s="12"/>
      <c r="L648" s="12"/>
      <c r="M648" s="12"/>
      <c r="N648" s="12"/>
      <c r="O648" s="12"/>
      <c r="P648" s="12"/>
      <c r="Q648" s="12"/>
      <c r="R648" s="12"/>
      <c r="S648" s="12"/>
      <c r="T648" s="12"/>
      <c r="U648" s="12"/>
      <c r="V648" s="12"/>
      <c r="W648" s="12"/>
      <c r="X648" s="12"/>
      <c r="Y648" s="12"/>
      <c r="Z648" s="12"/>
    </row>
    <row r="649" spans="1:26" ht="15.75" customHeight="1" x14ac:dyDescent="0.25">
      <c r="A649" s="12"/>
      <c r="B649" s="12"/>
      <c r="C649" s="12"/>
      <c r="D649" s="12"/>
      <c r="E649" s="13"/>
      <c r="F649" s="12"/>
      <c r="G649" s="12"/>
      <c r="H649" s="12"/>
      <c r="I649" s="12"/>
      <c r="J649" s="12"/>
      <c r="K649" s="12"/>
      <c r="L649" s="12"/>
      <c r="M649" s="12"/>
      <c r="N649" s="12"/>
      <c r="O649" s="12"/>
      <c r="P649" s="12"/>
      <c r="Q649" s="12"/>
      <c r="R649" s="12"/>
      <c r="S649" s="12"/>
      <c r="T649" s="12"/>
      <c r="U649" s="12"/>
      <c r="V649" s="12"/>
      <c r="W649" s="12"/>
      <c r="X649" s="12"/>
      <c r="Y649" s="12"/>
      <c r="Z649" s="12"/>
    </row>
    <row r="650" spans="1:26" ht="15.75" customHeight="1" x14ac:dyDescent="0.25">
      <c r="A650" s="12"/>
      <c r="B650" s="12"/>
      <c r="C650" s="12"/>
      <c r="D650" s="12"/>
      <c r="E650" s="13"/>
      <c r="F650" s="12"/>
      <c r="G650" s="12"/>
      <c r="H650" s="12"/>
      <c r="I650" s="12"/>
      <c r="J650" s="12"/>
      <c r="K650" s="12"/>
      <c r="L650" s="12"/>
      <c r="M650" s="12"/>
      <c r="N650" s="12"/>
      <c r="O650" s="12"/>
      <c r="P650" s="12"/>
      <c r="Q650" s="12"/>
      <c r="R650" s="12"/>
      <c r="S650" s="12"/>
      <c r="T650" s="12"/>
      <c r="U650" s="12"/>
      <c r="V650" s="12"/>
      <c r="W650" s="12"/>
      <c r="X650" s="12"/>
      <c r="Y650" s="12"/>
      <c r="Z650" s="12"/>
    </row>
    <row r="651" spans="1:26" ht="15.75" customHeight="1" x14ac:dyDescent="0.25">
      <c r="A651" s="12"/>
      <c r="B651" s="12"/>
      <c r="C651" s="12"/>
      <c r="D651" s="12"/>
      <c r="E651" s="13"/>
      <c r="F651" s="12"/>
      <c r="G651" s="12"/>
      <c r="H651" s="12"/>
      <c r="I651" s="12"/>
      <c r="J651" s="12"/>
      <c r="K651" s="12"/>
      <c r="L651" s="12"/>
      <c r="M651" s="12"/>
      <c r="N651" s="12"/>
      <c r="O651" s="12"/>
      <c r="P651" s="12"/>
      <c r="Q651" s="12"/>
      <c r="R651" s="12"/>
      <c r="S651" s="12"/>
      <c r="T651" s="12"/>
      <c r="U651" s="12"/>
      <c r="V651" s="12"/>
      <c r="W651" s="12"/>
      <c r="X651" s="12"/>
      <c r="Y651" s="12"/>
      <c r="Z651" s="12"/>
    </row>
    <row r="652" spans="1:26" ht="15.75" customHeight="1" x14ac:dyDescent="0.25">
      <c r="A652" s="12"/>
      <c r="B652" s="12"/>
      <c r="C652" s="12"/>
      <c r="D652" s="12"/>
      <c r="E652" s="13"/>
      <c r="F652" s="12"/>
      <c r="G652" s="12"/>
      <c r="H652" s="12"/>
      <c r="I652" s="12"/>
      <c r="J652" s="12"/>
      <c r="K652" s="12"/>
      <c r="L652" s="12"/>
      <c r="M652" s="12"/>
      <c r="N652" s="12"/>
      <c r="O652" s="12"/>
      <c r="P652" s="12"/>
      <c r="Q652" s="12"/>
      <c r="R652" s="12"/>
      <c r="S652" s="12"/>
      <c r="T652" s="12"/>
      <c r="U652" s="12"/>
      <c r="V652" s="12"/>
      <c r="W652" s="12"/>
      <c r="X652" s="12"/>
      <c r="Y652" s="12"/>
      <c r="Z652" s="12"/>
    </row>
    <row r="653" spans="1:26" ht="15.75" customHeight="1" x14ac:dyDescent="0.25">
      <c r="A653" s="12"/>
      <c r="B653" s="12"/>
      <c r="C653" s="12"/>
      <c r="D653" s="12"/>
      <c r="E653" s="13"/>
      <c r="F653" s="12"/>
      <c r="G653" s="12"/>
      <c r="H653" s="12"/>
      <c r="I653" s="12"/>
      <c r="J653" s="12"/>
      <c r="K653" s="12"/>
      <c r="L653" s="12"/>
      <c r="M653" s="12"/>
      <c r="N653" s="12"/>
      <c r="O653" s="12"/>
      <c r="P653" s="12"/>
      <c r="Q653" s="12"/>
      <c r="R653" s="12"/>
      <c r="S653" s="12"/>
      <c r="T653" s="12"/>
      <c r="U653" s="12"/>
      <c r="V653" s="12"/>
      <c r="W653" s="12"/>
      <c r="X653" s="12"/>
      <c r="Y653" s="12"/>
      <c r="Z653" s="12"/>
    </row>
    <row r="654" spans="1:26" ht="15.75" customHeight="1" x14ac:dyDescent="0.25">
      <c r="A654" s="12"/>
      <c r="B654" s="12"/>
      <c r="C654" s="12"/>
      <c r="D654" s="12"/>
      <c r="E654" s="13"/>
      <c r="F654" s="12"/>
      <c r="G654" s="12"/>
      <c r="H654" s="12"/>
      <c r="I654" s="12"/>
      <c r="J654" s="12"/>
      <c r="K654" s="12"/>
      <c r="L654" s="12"/>
      <c r="M654" s="12"/>
      <c r="N654" s="12"/>
      <c r="O654" s="12"/>
      <c r="P654" s="12"/>
      <c r="Q654" s="12"/>
      <c r="R654" s="12"/>
      <c r="S654" s="12"/>
      <c r="T654" s="12"/>
      <c r="U654" s="12"/>
      <c r="V654" s="12"/>
      <c r="W654" s="12"/>
      <c r="X654" s="12"/>
      <c r="Y654" s="12"/>
      <c r="Z654" s="12"/>
    </row>
    <row r="655" spans="1:26" ht="15.75" customHeight="1" x14ac:dyDescent="0.25">
      <c r="A655" s="12"/>
      <c r="B655" s="12"/>
      <c r="C655" s="12"/>
      <c r="D655" s="12"/>
      <c r="E655" s="13"/>
      <c r="F655" s="12"/>
      <c r="G655" s="12"/>
      <c r="H655" s="12"/>
      <c r="I655" s="12"/>
      <c r="J655" s="12"/>
      <c r="K655" s="12"/>
      <c r="L655" s="12"/>
      <c r="M655" s="12"/>
      <c r="N655" s="12"/>
      <c r="O655" s="12"/>
      <c r="P655" s="12"/>
      <c r="Q655" s="12"/>
      <c r="R655" s="12"/>
      <c r="S655" s="12"/>
      <c r="T655" s="12"/>
      <c r="U655" s="12"/>
      <c r="V655" s="12"/>
      <c r="W655" s="12"/>
      <c r="X655" s="12"/>
      <c r="Y655" s="12"/>
      <c r="Z655" s="12"/>
    </row>
    <row r="656" spans="1:26" ht="15.75" customHeight="1" x14ac:dyDescent="0.25">
      <c r="A656" s="12"/>
      <c r="B656" s="12"/>
      <c r="C656" s="12"/>
      <c r="D656" s="12"/>
      <c r="E656" s="13"/>
      <c r="F656" s="12"/>
      <c r="G656" s="12"/>
      <c r="H656" s="12"/>
      <c r="I656" s="12"/>
      <c r="J656" s="12"/>
      <c r="K656" s="12"/>
      <c r="L656" s="12"/>
      <c r="M656" s="12"/>
      <c r="N656" s="12"/>
      <c r="O656" s="12"/>
      <c r="P656" s="12"/>
      <c r="Q656" s="12"/>
      <c r="R656" s="12"/>
      <c r="S656" s="12"/>
      <c r="T656" s="12"/>
      <c r="U656" s="12"/>
      <c r="V656" s="12"/>
      <c r="W656" s="12"/>
      <c r="X656" s="12"/>
      <c r="Y656" s="12"/>
      <c r="Z656" s="12"/>
    </row>
    <row r="657" spans="1:26" ht="15.75" customHeight="1" x14ac:dyDescent="0.25">
      <c r="A657" s="12"/>
      <c r="B657" s="12"/>
      <c r="C657" s="12"/>
      <c r="D657" s="12"/>
      <c r="E657" s="13"/>
      <c r="F657" s="12"/>
      <c r="G657" s="12"/>
      <c r="H657" s="12"/>
      <c r="I657" s="12"/>
      <c r="J657" s="12"/>
      <c r="K657" s="12"/>
      <c r="L657" s="12"/>
      <c r="M657" s="12"/>
      <c r="N657" s="12"/>
      <c r="O657" s="12"/>
      <c r="P657" s="12"/>
      <c r="Q657" s="12"/>
      <c r="R657" s="12"/>
      <c r="S657" s="12"/>
      <c r="T657" s="12"/>
      <c r="U657" s="12"/>
      <c r="V657" s="12"/>
      <c r="W657" s="12"/>
      <c r="X657" s="12"/>
      <c r="Y657" s="12"/>
      <c r="Z657" s="12"/>
    </row>
    <row r="658" spans="1:26" ht="15.75" customHeight="1" x14ac:dyDescent="0.25">
      <c r="A658" s="12"/>
      <c r="B658" s="12"/>
      <c r="C658" s="12"/>
      <c r="D658" s="12"/>
      <c r="E658" s="13"/>
      <c r="F658" s="12"/>
      <c r="G658" s="12"/>
      <c r="H658" s="12"/>
      <c r="I658" s="12"/>
      <c r="J658" s="12"/>
      <c r="K658" s="12"/>
      <c r="L658" s="12"/>
      <c r="M658" s="12"/>
      <c r="N658" s="12"/>
      <c r="O658" s="12"/>
      <c r="P658" s="12"/>
      <c r="Q658" s="12"/>
      <c r="R658" s="12"/>
      <c r="S658" s="12"/>
      <c r="T658" s="12"/>
      <c r="U658" s="12"/>
      <c r="V658" s="12"/>
      <c r="W658" s="12"/>
      <c r="X658" s="12"/>
      <c r="Y658" s="12"/>
      <c r="Z658" s="12"/>
    </row>
    <row r="659" spans="1:26" ht="15.75" customHeight="1" x14ac:dyDescent="0.25">
      <c r="A659" s="12"/>
      <c r="B659" s="12"/>
      <c r="C659" s="12"/>
      <c r="D659" s="12"/>
      <c r="E659" s="13"/>
      <c r="F659" s="12"/>
      <c r="G659" s="12"/>
      <c r="H659" s="12"/>
      <c r="I659" s="12"/>
      <c r="J659" s="12"/>
      <c r="K659" s="12"/>
      <c r="L659" s="12"/>
      <c r="M659" s="12"/>
      <c r="N659" s="12"/>
      <c r="O659" s="12"/>
      <c r="P659" s="12"/>
      <c r="Q659" s="12"/>
      <c r="R659" s="12"/>
      <c r="S659" s="12"/>
      <c r="T659" s="12"/>
      <c r="U659" s="12"/>
      <c r="V659" s="12"/>
      <c r="W659" s="12"/>
      <c r="X659" s="12"/>
      <c r="Y659" s="12"/>
      <c r="Z659" s="12"/>
    </row>
    <row r="660" spans="1:26" ht="15.75" customHeight="1" x14ac:dyDescent="0.25">
      <c r="A660" s="12"/>
      <c r="B660" s="12"/>
      <c r="C660" s="12"/>
      <c r="D660" s="12"/>
      <c r="E660" s="13"/>
      <c r="F660" s="12"/>
      <c r="G660" s="12"/>
      <c r="H660" s="12"/>
      <c r="I660" s="12"/>
      <c r="J660" s="12"/>
      <c r="K660" s="12"/>
      <c r="L660" s="12"/>
      <c r="M660" s="12"/>
      <c r="N660" s="12"/>
      <c r="O660" s="12"/>
      <c r="P660" s="12"/>
      <c r="Q660" s="12"/>
      <c r="R660" s="12"/>
      <c r="S660" s="12"/>
      <c r="T660" s="12"/>
      <c r="U660" s="12"/>
      <c r="V660" s="12"/>
      <c r="W660" s="12"/>
      <c r="X660" s="12"/>
      <c r="Y660" s="12"/>
      <c r="Z660" s="12"/>
    </row>
    <row r="661" spans="1:26" ht="15.75" customHeight="1" x14ac:dyDescent="0.25">
      <c r="A661" s="12"/>
      <c r="B661" s="12"/>
      <c r="C661" s="12"/>
      <c r="D661" s="12"/>
      <c r="E661" s="13"/>
      <c r="F661" s="12"/>
      <c r="G661" s="12"/>
      <c r="H661" s="12"/>
      <c r="I661" s="12"/>
      <c r="J661" s="12"/>
      <c r="K661" s="12"/>
      <c r="L661" s="12"/>
      <c r="M661" s="12"/>
      <c r="N661" s="12"/>
      <c r="O661" s="12"/>
      <c r="P661" s="12"/>
      <c r="Q661" s="12"/>
      <c r="R661" s="12"/>
      <c r="S661" s="12"/>
      <c r="T661" s="12"/>
      <c r="U661" s="12"/>
      <c r="V661" s="12"/>
      <c r="W661" s="12"/>
      <c r="X661" s="12"/>
      <c r="Y661" s="12"/>
      <c r="Z661" s="12"/>
    </row>
    <row r="662" spans="1:26" ht="15.75" customHeight="1" x14ac:dyDescent="0.25">
      <c r="A662" s="12"/>
      <c r="B662" s="12"/>
      <c r="C662" s="12"/>
      <c r="D662" s="12"/>
      <c r="E662" s="13"/>
      <c r="F662" s="12"/>
      <c r="G662" s="12"/>
      <c r="H662" s="12"/>
      <c r="I662" s="12"/>
      <c r="J662" s="12"/>
      <c r="K662" s="12"/>
      <c r="L662" s="12"/>
      <c r="M662" s="12"/>
      <c r="N662" s="12"/>
      <c r="O662" s="12"/>
      <c r="P662" s="12"/>
      <c r="Q662" s="12"/>
      <c r="R662" s="12"/>
      <c r="S662" s="12"/>
      <c r="T662" s="12"/>
      <c r="U662" s="12"/>
      <c r="V662" s="12"/>
      <c r="W662" s="12"/>
      <c r="X662" s="12"/>
      <c r="Y662" s="12"/>
      <c r="Z662" s="12"/>
    </row>
    <row r="663" spans="1:26" ht="15.75" customHeight="1" x14ac:dyDescent="0.25">
      <c r="A663" s="12"/>
      <c r="B663" s="12"/>
      <c r="C663" s="12"/>
      <c r="D663" s="12"/>
      <c r="E663" s="13"/>
      <c r="F663" s="12"/>
      <c r="G663" s="12"/>
      <c r="H663" s="12"/>
      <c r="I663" s="12"/>
      <c r="J663" s="12"/>
      <c r="K663" s="12"/>
      <c r="L663" s="12"/>
      <c r="M663" s="12"/>
      <c r="N663" s="12"/>
      <c r="O663" s="12"/>
      <c r="P663" s="12"/>
      <c r="Q663" s="12"/>
      <c r="R663" s="12"/>
      <c r="S663" s="12"/>
      <c r="T663" s="12"/>
      <c r="U663" s="12"/>
      <c r="V663" s="12"/>
      <c r="W663" s="12"/>
      <c r="X663" s="12"/>
      <c r="Y663" s="12"/>
      <c r="Z663" s="12"/>
    </row>
    <row r="664" spans="1:26" ht="15.75" customHeight="1" x14ac:dyDescent="0.25">
      <c r="A664" s="12"/>
      <c r="B664" s="12"/>
      <c r="C664" s="12"/>
      <c r="D664" s="12"/>
      <c r="E664" s="13"/>
      <c r="F664" s="12"/>
      <c r="G664" s="12"/>
      <c r="H664" s="12"/>
      <c r="I664" s="12"/>
      <c r="J664" s="12"/>
      <c r="K664" s="12"/>
      <c r="L664" s="12"/>
      <c r="M664" s="12"/>
      <c r="N664" s="12"/>
      <c r="O664" s="12"/>
      <c r="P664" s="12"/>
      <c r="Q664" s="12"/>
      <c r="R664" s="12"/>
      <c r="S664" s="12"/>
      <c r="T664" s="12"/>
      <c r="U664" s="12"/>
      <c r="V664" s="12"/>
      <c r="W664" s="12"/>
      <c r="X664" s="12"/>
      <c r="Y664" s="12"/>
      <c r="Z664" s="12"/>
    </row>
    <row r="665" spans="1:26" ht="15.75" customHeight="1" x14ac:dyDescent="0.25">
      <c r="A665" s="12"/>
      <c r="B665" s="12"/>
      <c r="C665" s="12"/>
      <c r="D665" s="12"/>
      <c r="E665" s="13"/>
      <c r="F665" s="12"/>
      <c r="G665" s="12"/>
      <c r="H665" s="12"/>
      <c r="I665" s="12"/>
      <c r="J665" s="12"/>
      <c r="K665" s="12"/>
      <c r="L665" s="12"/>
      <c r="M665" s="12"/>
      <c r="N665" s="12"/>
      <c r="O665" s="12"/>
      <c r="P665" s="12"/>
      <c r="Q665" s="12"/>
      <c r="R665" s="12"/>
      <c r="S665" s="12"/>
      <c r="T665" s="12"/>
      <c r="U665" s="12"/>
      <c r="V665" s="12"/>
      <c r="W665" s="12"/>
      <c r="X665" s="12"/>
      <c r="Y665" s="12"/>
      <c r="Z665" s="12"/>
    </row>
    <row r="666" spans="1:26" ht="15.75" customHeight="1" x14ac:dyDescent="0.25">
      <c r="A666" s="12"/>
      <c r="B666" s="12"/>
      <c r="C666" s="12"/>
      <c r="D666" s="12"/>
      <c r="E666" s="13"/>
      <c r="F666" s="12"/>
      <c r="G666" s="12"/>
      <c r="H666" s="12"/>
      <c r="I666" s="12"/>
      <c r="J666" s="12"/>
      <c r="K666" s="12"/>
      <c r="L666" s="12"/>
      <c r="M666" s="12"/>
      <c r="N666" s="12"/>
      <c r="O666" s="12"/>
      <c r="P666" s="12"/>
      <c r="Q666" s="12"/>
      <c r="R666" s="12"/>
      <c r="S666" s="12"/>
      <c r="T666" s="12"/>
      <c r="U666" s="12"/>
      <c r="V666" s="12"/>
      <c r="W666" s="12"/>
      <c r="X666" s="12"/>
      <c r="Y666" s="12"/>
      <c r="Z666" s="12"/>
    </row>
    <row r="667" spans="1:26" ht="15.75" customHeight="1" x14ac:dyDescent="0.25">
      <c r="A667" s="12"/>
      <c r="B667" s="12"/>
      <c r="C667" s="12"/>
      <c r="D667" s="12"/>
      <c r="E667" s="13"/>
      <c r="F667" s="12"/>
      <c r="G667" s="12"/>
      <c r="H667" s="12"/>
      <c r="I667" s="12"/>
      <c r="J667" s="12"/>
      <c r="K667" s="12"/>
      <c r="L667" s="12"/>
      <c r="M667" s="12"/>
      <c r="N667" s="12"/>
      <c r="O667" s="12"/>
      <c r="P667" s="12"/>
      <c r="Q667" s="12"/>
      <c r="R667" s="12"/>
      <c r="S667" s="12"/>
      <c r="T667" s="12"/>
      <c r="U667" s="12"/>
      <c r="V667" s="12"/>
      <c r="W667" s="12"/>
      <c r="X667" s="12"/>
      <c r="Y667" s="12"/>
      <c r="Z667" s="12"/>
    </row>
    <row r="668" spans="1:26" ht="15.75" customHeight="1" x14ac:dyDescent="0.25">
      <c r="A668" s="12"/>
      <c r="B668" s="12"/>
      <c r="C668" s="12"/>
      <c r="D668" s="12"/>
      <c r="E668" s="13"/>
      <c r="F668" s="12"/>
      <c r="G668" s="12"/>
      <c r="H668" s="12"/>
      <c r="I668" s="12"/>
      <c r="J668" s="12"/>
      <c r="K668" s="12"/>
      <c r="L668" s="12"/>
      <c r="M668" s="12"/>
      <c r="N668" s="12"/>
      <c r="O668" s="12"/>
      <c r="P668" s="12"/>
      <c r="Q668" s="12"/>
      <c r="R668" s="12"/>
      <c r="S668" s="12"/>
      <c r="T668" s="12"/>
      <c r="U668" s="12"/>
      <c r="V668" s="12"/>
      <c r="W668" s="12"/>
      <c r="X668" s="12"/>
      <c r="Y668" s="12"/>
      <c r="Z668" s="12"/>
    </row>
    <row r="669" spans="1:26" ht="15.75" customHeight="1" x14ac:dyDescent="0.25">
      <c r="A669" s="12"/>
      <c r="B669" s="12"/>
      <c r="C669" s="12"/>
      <c r="D669" s="12"/>
      <c r="E669" s="13"/>
      <c r="F669" s="12"/>
      <c r="G669" s="12"/>
      <c r="H669" s="12"/>
      <c r="I669" s="12"/>
      <c r="J669" s="12"/>
      <c r="K669" s="12"/>
      <c r="L669" s="12"/>
      <c r="M669" s="12"/>
      <c r="N669" s="12"/>
      <c r="O669" s="12"/>
      <c r="P669" s="12"/>
      <c r="Q669" s="12"/>
      <c r="R669" s="12"/>
      <c r="S669" s="12"/>
      <c r="T669" s="12"/>
      <c r="U669" s="12"/>
      <c r="V669" s="12"/>
      <c r="W669" s="12"/>
      <c r="X669" s="12"/>
      <c r="Y669" s="12"/>
      <c r="Z669" s="12"/>
    </row>
    <row r="670" spans="1:26" ht="15.75" customHeight="1" x14ac:dyDescent="0.25">
      <c r="A670" s="12"/>
      <c r="B670" s="12"/>
      <c r="C670" s="12"/>
      <c r="D670" s="12"/>
      <c r="E670" s="13"/>
      <c r="F670" s="12"/>
      <c r="G670" s="12"/>
      <c r="H670" s="12"/>
      <c r="I670" s="12"/>
      <c r="J670" s="12"/>
      <c r="K670" s="12"/>
      <c r="L670" s="12"/>
      <c r="M670" s="12"/>
      <c r="N670" s="12"/>
      <c r="O670" s="12"/>
      <c r="P670" s="12"/>
      <c r="Q670" s="12"/>
      <c r="R670" s="12"/>
      <c r="S670" s="12"/>
      <c r="T670" s="12"/>
      <c r="U670" s="12"/>
      <c r="V670" s="12"/>
      <c r="W670" s="12"/>
      <c r="X670" s="12"/>
      <c r="Y670" s="12"/>
      <c r="Z670" s="12"/>
    </row>
    <row r="671" spans="1:26" ht="15.75" customHeight="1" x14ac:dyDescent="0.25">
      <c r="A671" s="12"/>
      <c r="B671" s="12"/>
      <c r="C671" s="12"/>
      <c r="D671" s="12"/>
      <c r="E671" s="13"/>
      <c r="F671" s="12"/>
      <c r="G671" s="12"/>
      <c r="H671" s="12"/>
      <c r="I671" s="12"/>
      <c r="J671" s="12"/>
      <c r="K671" s="12"/>
      <c r="L671" s="12"/>
      <c r="M671" s="12"/>
      <c r="N671" s="12"/>
      <c r="O671" s="12"/>
      <c r="P671" s="12"/>
      <c r="Q671" s="12"/>
      <c r="R671" s="12"/>
      <c r="S671" s="12"/>
      <c r="T671" s="12"/>
      <c r="U671" s="12"/>
      <c r="V671" s="12"/>
      <c r="W671" s="12"/>
      <c r="X671" s="12"/>
      <c r="Y671" s="12"/>
      <c r="Z671" s="12"/>
    </row>
    <row r="672" spans="1:26" ht="15.75" customHeight="1" x14ac:dyDescent="0.25">
      <c r="A672" s="12"/>
      <c r="B672" s="12"/>
      <c r="C672" s="12"/>
      <c r="D672" s="12"/>
      <c r="E672" s="13"/>
      <c r="F672" s="12"/>
      <c r="G672" s="12"/>
      <c r="H672" s="12"/>
      <c r="I672" s="12"/>
      <c r="J672" s="12"/>
      <c r="K672" s="12"/>
      <c r="L672" s="12"/>
      <c r="M672" s="12"/>
      <c r="N672" s="12"/>
      <c r="O672" s="12"/>
      <c r="P672" s="12"/>
      <c r="Q672" s="12"/>
      <c r="R672" s="12"/>
      <c r="S672" s="12"/>
      <c r="T672" s="12"/>
      <c r="U672" s="12"/>
      <c r="V672" s="12"/>
      <c r="W672" s="12"/>
      <c r="X672" s="12"/>
      <c r="Y672" s="12"/>
      <c r="Z672" s="12"/>
    </row>
    <row r="673" spans="1:26" ht="15.75" customHeight="1" x14ac:dyDescent="0.25">
      <c r="A673" s="12"/>
      <c r="B673" s="12"/>
      <c r="C673" s="12"/>
      <c r="D673" s="12"/>
      <c r="E673" s="13"/>
      <c r="F673" s="12"/>
      <c r="G673" s="12"/>
      <c r="H673" s="12"/>
      <c r="I673" s="12"/>
      <c r="J673" s="12"/>
      <c r="K673" s="12"/>
      <c r="L673" s="12"/>
      <c r="M673" s="12"/>
      <c r="N673" s="12"/>
      <c r="O673" s="12"/>
      <c r="P673" s="12"/>
      <c r="Q673" s="12"/>
      <c r="R673" s="12"/>
      <c r="S673" s="12"/>
      <c r="T673" s="12"/>
      <c r="U673" s="12"/>
      <c r="V673" s="12"/>
      <c r="W673" s="12"/>
      <c r="X673" s="12"/>
      <c r="Y673" s="12"/>
      <c r="Z673" s="12"/>
    </row>
    <row r="674" spans="1:26" ht="15.75" customHeight="1" x14ac:dyDescent="0.25">
      <c r="A674" s="12"/>
      <c r="B674" s="12"/>
      <c r="C674" s="12"/>
      <c r="D674" s="12"/>
      <c r="E674" s="13"/>
      <c r="F674" s="12"/>
      <c r="G674" s="12"/>
      <c r="H674" s="12"/>
      <c r="I674" s="12"/>
      <c r="J674" s="12"/>
      <c r="K674" s="12"/>
      <c r="L674" s="12"/>
      <c r="M674" s="12"/>
      <c r="N674" s="12"/>
      <c r="O674" s="12"/>
      <c r="P674" s="12"/>
      <c r="Q674" s="12"/>
      <c r="R674" s="12"/>
      <c r="S674" s="12"/>
      <c r="T674" s="12"/>
      <c r="U674" s="12"/>
      <c r="V674" s="12"/>
      <c r="W674" s="12"/>
      <c r="X674" s="12"/>
      <c r="Y674" s="12"/>
      <c r="Z674" s="12"/>
    </row>
    <row r="675" spans="1:26" ht="15.75" customHeight="1" x14ac:dyDescent="0.25">
      <c r="A675" s="12"/>
      <c r="B675" s="12"/>
      <c r="C675" s="12"/>
      <c r="D675" s="12"/>
      <c r="E675" s="13"/>
      <c r="F675" s="12"/>
      <c r="G675" s="12"/>
      <c r="H675" s="12"/>
      <c r="I675" s="12"/>
      <c r="J675" s="12"/>
      <c r="K675" s="12"/>
      <c r="L675" s="12"/>
      <c r="M675" s="12"/>
      <c r="N675" s="12"/>
      <c r="O675" s="12"/>
      <c r="P675" s="12"/>
      <c r="Q675" s="12"/>
      <c r="R675" s="12"/>
      <c r="S675" s="12"/>
      <c r="T675" s="12"/>
      <c r="U675" s="12"/>
      <c r="V675" s="12"/>
      <c r="W675" s="12"/>
      <c r="X675" s="12"/>
      <c r="Y675" s="12"/>
      <c r="Z675" s="12"/>
    </row>
    <row r="676" spans="1:26" ht="15.75" customHeight="1" x14ac:dyDescent="0.25">
      <c r="A676" s="12"/>
      <c r="B676" s="12"/>
      <c r="C676" s="12"/>
      <c r="D676" s="12"/>
      <c r="E676" s="13"/>
      <c r="F676" s="12"/>
      <c r="G676" s="12"/>
      <c r="H676" s="12"/>
      <c r="I676" s="12"/>
      <c r="J676" s="12"/>
      <c r="K676" s="12"/>
      <c r="L676" s="12"/>
      <c r="M676" s="12"/>
      <c r="N676" s="12"/>
      <c r="O676" s="12"/>
      <c r="P676" s="12"/>
      <c r="Q676" s="12"/>
      <c r="R676" s="12"/>
      <c r="S676" s="12"/>
      <c r="T676" s="12"/>
      <c r="U676" s="12"/>
      <c r="V676" s="12"/>
      <c r="W676" s="12"/>
      <c r="X676" s="12"/>
      <c r="Y676" s="12"/>
      <c r="Z676" s="12"/>
    </row>
    <row r="677" spans="1:26" ht="15.75" customHeight="1" x14ac:dyDescent="0.25">
      <c r="A677" s="12"/>
      <c r="B677" s="12"/>
      <c r="C677" s="12"/>
      <c r="D677" s="12"/>
      <c r="E677" s="13"/>
      <c r="F677" s="12"/>
      <c r="G677" s="12"/>
      <c r="H677" s="12"/>
      <c r="I677" s="12"/>
      <c r="J677" s="12"/>
      <c r="K677" s="12"/>
      <c r="L677" s="12"/>
      <c r="M677" s="12"/>
      <c r="N677" s="12"/>
      <c r="O677" s="12"/>
      <c r="P677" s="12"/>
      <c r="Q677" s="12"/>
      <c r="R677" s="12"/>
      <c r="S677" s="12"/>
      <c r="T677" s="12"/>
      <c r="U677" s="12"/>
      <c r="V677" s="12"/>
      <c r="W677" s="12"/>
      <c r="X677" s="12"/>
      <c r="Y677" s="12"/>
      <c r="Z677" s="12"/>
    </row>
    <row r="678" spans="1:26" ht="15.75" customHeight="1" x14ac:dyDescent="0.25">
      <c r="A678" s="12"/>
      <c r="B678" s="12"/>
      <c r="C678" s="12"/>
      <c r="D678" s="12"/>
      <c r="E678" s="13"/>
      <c r="F678" s="12"/>
      <c r="G678" s="12"/>
      <c r="H678" s="12"/>
      <c r="I678" s="12"/>
      <c r="J678" s="12"/>
      <c r="K678" s="12"/>
      <c r="L678" s="12"/>
      <c r="M678" s="12"/>
      <c r="N678" s="12"/>
      <c r="O678" s="12"/>
      <c r="P678" s="12"/>
      <c r="Q678" s="12"/>
      <c r="R678" s="12"/>
      <c r="S678" s="12"/>
      <c r="T678" s="12"/>
      <c r="U678" s="12"/>
      <c r="V678" s="12"/>
      <c r="W678" s="12"/>
      <c r="X678" s="12"/>
      <c r="Y678" s="12"/>
      <c r="Z678" s="12"/>
    </row>
    <row r="679" spans="1:26" ht="15.75" customHeight="1" x14ac:dyDescent="0.25">
      <c r="A679" s="12"/>
      <c r="B679" s="12"/>
      <c r="C679" s="12"/>
      <c r="D679" s="12"/>
      <c r="E679" s="13"/>
      <c r="F679" s="12"/>
      <c r="G679" s="12"/>
      <c r="H679" s="12"/>
      <c r="I679" s="12"/>
      <c r="J679" s="12"/>
      <c r="K679" s="12"/>
      <c r="L679" s="12"/>
      <c r="M679" s="12"/>
      <c r="N679" s="12"/>
      <c r="O679" s="12"/>
      <c r="P679" s="12"/>
      <c r="Q679" s="12"/>
      <c r="R679" s="12"/>
      <c r="S679" s="12"/>
      <c r="T679" s="12"/>
      <c r="U679" s="12"/>
      <c r="V679" s="12"/>
      <c r="W679" s="12"/>
      <c r="X679" s="12"/>
      <c r="Y679" s="12"/>
      <c r="Z679" s="12"/>
    </row>
    <row r="680" spans="1:26" ht="15.75" customHeight="1" x14ac:dyDescent="0.25">
      <c r="A680" s="12"/>
      <c r="B680" s="12"/>
      <c r="C680" s="12"/>
      <c r="D680" s="12"/>
      <c r="E680" s="13"/>
      <c r="F680" s="12"/>
      <c r="G680" s="12"/>
      <c r="H680" s="12"/>
      <c r="I680" s="12"/>
      <c r="J680" s="12"/>
      <c r="K680" s="12"/>
      <c r="L680" s="12"/>
      <c r="M680" s="12"/>
      <c r="N680" s="12"/>
      <c r="O680" s="12"/>
      <c r="P680" s="12"/>
      <c r="Q680" s="12"/>
      <c r="R680" s="12"/>
      <c r="S680" s="12"/>
      <c r="T680" s="12"/>
      <c r="U680" s="12"/>
      <c r="V680" s="12"/>
      <c r="W680" s="12"/>
      <c r="X680" s="12"/>
      <c r="Y680" s="12"/>
      <c r="Z680" s="12"/>
    </row>
    <row r="681" spans="1:26" ht="15.75" customHeight="1" x14ac:dyDescent="0.25">
      <c r="A681" s="12"/>
      <c r="B681" s="12"/>
      <c r="C681" s="12"/>
      <c r="D681" s="12"/>
      <c r="E681" s="13"/>
      <c r="F681" s="12"/>
      <c r="G681" s="12"/>
      <c r="H681" s="12"/>
      <c r="I681" s="12"/>
      <c r="J681" s="12"/>
      <c r="K681" s="12"/>
      <c r="L681" s="12"/>
      <c r="M681" s="12"/>
      <c r="N681" s="12"/>
      <c r="O681" s="12"/>
      <c r="P681" s="12"/>
      <c r="Q681" s="12"/>
      <c r="R681" s="12"/>
      <c r="S681" s="12"/>
      <c r="T681" s="12"/>
      <c r="U681" s="12"/>
      <c r="V681" s="12"/>
      <c r="W681" s="12"/>
      <c r="X681" s="12"/>
      <c r="Y681" s="12"/>
      <c r="Z681" s="12"/>
    </row>
    <row r="682" spans="1:26" ht="15.75" customHeight="1" x14ac:dyDescent="0.25">
      <c r="A682" s="12"/>
      <c r="B682" s="12"/>
      <c r="C682" s="12"/>
      <c r="D682" s="12"/>
      <c r="E682" s="13"/>
      <c r="F682" s="12"/>
      <c r="G682" s="12"/>
      <c r="H682" s="12"/>
      <c r="I682" s="12"/>
      <c r="J682" s="12"/>
      <c r="K682" s="12"/>
      <c r="L682" s="12"/>
      <c r="M682" s="12"/>
      <c r="N682" s="12"/>
      <c r="O682" s="12"/>
      <c r="P682" s="12"/>
      <c r="Q682" s="12"/>
      <c r="R682" s="12"/>
      <c r="S682" s="12"/>
      <c r="T682" s="12"/>
      <c r="U682" s="12"/>
      <c r="V682" s="12"/>
      <c r="W682" s="12"/>
      <c r="X682" s="12"/>
      <c r="Y682" s="12"/>
      <c r="Z682" s="12"/>
    </row>
    <row r="683" spans="1:26" ht="15.75" customHeight="1" x14ac:dyDescent="0.25">
      <c r="A683" s="12"/>
      <c r="B683" s="12"/>
      <c r="C683" s="12"/>
      <c r="D683" s="12"/>
      <c r="E683" s="13"/>
      <c r="F683" s="12"/>
      <c r="G683" s="12"/>
      <c r="H683" s="12"/>
      <c r="I683" s="12"/>
      <c r="J683" s="12"/>
      <c r="K683" s="12"/>
      <c r="L683" s="12"/>
      <c r="M683" s="12"/>
      <c r="N683" s="12"/>
      <c r="O683" s="12"/>
      <c r="P683" s="12"/>
      <c r="Q683" s="12"/>
      <c r="R683" s="12"/>
      <c r="S683" s="12"/>
      <c r="T683" s="12"/>
      <c r="U683" s="12"/>
      <c r="V683" s="12"/>
      <c r="W683" s="12"/>
      <c r="X683" s="12"/>
      <c r="Y683" s="12"/>
      <c r="Z683" s="12"/>
    </row>
    <row r="684" spans="1:26" ht="15.75" customHeight="1" x14ac:dyDescent="0.25">
      <c r="A684" s="12"/>
      <c r="B684" s="12"/>
      <c r="C684" s="12"/>
      <c r="D684" s="12"/>
      <c r="E684" s="13"/>
      <c r="F684" s="12"/>
      <c r="G684" s="12"/>
      <c r="H684" s="12"/>
      <c r="I684" s="12"/>
      <c r="J684" s="12"/>
      <c r="K684" s="12"/>
      <c r="L684" s="12"/>
      <c r="M684" s="12"/>
      <c r="N684" s="12"/>
      <c r="O684" s="12"/>
      <c r="P684" s="12"/>
      <c r="Q684" s="12"/>
      <c r="R684" s="12"/>
      <c r="S684" s="12"/>
      <c r="T684" s="12"/>
      <c r="U684" s="12"/>
      <c r="V684" s="12"/>
      <c r="W684" s="12"/>
      <c r="X684" s="12"/>
      <c r="Y684" s="12"/>
      <c r="Z684" s="12"/>
    </row>
    <row r="685" spans="1:26" ht="15.75" customHeight="1" x14ac:dyDescent="0.25">
      <c r="A685" s="12"/>
      <c r="B685" s="12"/>
      <c r="C685" s="12"/>
      <c r="D685" s="12"/>
      <c r="E685" s="13"/>
      <c r="F685" s="12"/>
      <c r="G685" s="12"/>
      <c r="H685" s="12"/>
      <c r="I685" s="12"/>
      <c r="J685" s="12"/>
      <c r="K685" s="12"/>
      <c r="L685" s="12"/>
      <c r="M685" s="12"/>
      <c r="N685" s="12"/>
      <c r="O685" s="12"/>
      <c r="P685" s="12"/>
      <c r="Q685" s="12"/>
      <c r="R685" s="12"/>
      <c r="S685" s="12"/>
      <c r="T685" s="12"/>
      <c r="U685" s="12"/>
      <c r="V685" s="12"/>
      <c r="W685" s="12"/>
      <c r="X685" s="12"/>
      <c r="Y685" s="12"/>
      <c r="Z685" s="12"/>
    </row>
    <row r="686" spans="1:26" ht="15.75" customHeight="1" x14ac:dyDescent="0.25">
      <c r="A686" s="12"/>
      <c r="B686" s="12"/>
      <c r="C686" s="12"/>
      <c r="D686" s="12"/>
      <c r="E686" s="13"/>
      <c r="F686" s="12"/>
      <c r="G686" s="12"/>
      <c r="H686" s="12"/>
      <c r="I686" s="12"/>
      <c r="J686" s="12"/>
      <c r="K686" s="12"/>
      <c r="L686" s="12"/>
      <c r="M686" s="12"/>
      <c r="N686" s="12"/>
      <c r="O686" s="12"/>
      <c r="P686" s="12"/>
      <c r="Q686" s="12"/>
      <c r="R686" s="12"/>
      <c r="S686" s="12"/>
      <c r="T686" s="12"/>
      <c r="U686" s="12"/>
      <c r="V686" s="12"/>
      <c r="W686" s="12"/>
      <c r="X686" s="12"/>
      <c r="Y686" s="12"/>
      <c r="Z686" s="12"/>
    </row>
    <row r="687" spans="1:26" ht="15.75" customHeight="1" x14ac:dyDescent="0.25">
      <c r="A687" s="12"/>
      <c r="B687" s="12"/>
      <c r="C687" s="12"/>
      <c r="D687" s="12"/>
      <c r="E687" s="13"/>
      <c r="F687" s="12"/>
      <c r="G687" s="12"/>
      <c r="H687" s="12"/>
      <c r="I687" s="12"/>
      <c r="J687" s="12"/>
      <c r="K687" s="12"/>
      <c r="L687" s="12"/>
      <c r="M687" s="12"/>
      <c r="N687" s="12"/>
      <c r="O687" s="12"/>
      <c r="P687" s="12"/>
      <c r="Q687" s="12"/>
      <c r="R687" s="12"/>
      <c r="S687" s="12"/>
      <c r="T687" s="12"/>
      <c r="U687" s="12"/>
      <c r="V687" s="12"/>
      <c r="W687" s="12"/>
      <c r="X687" s="12"/>
      <c r="Y687" s="12"/>
      <c r="Z687" s="12"/>
    </row>
    <row r="688" spans="1:26" ht="15.75" customHeight="1" x14ac:dyDescent="0.25">
      <c r="A688" s="12"/>
      <c r="B688" s="12"/>
      <c r="C688" s="12"/>
      <c r="D688" s="12"/>
      <c r="E688" s="13"/>
      <c r="F688" s="12"/>
      <c r="G688" s="12"/>
      <c r="H688" s="12"/>
      <c r="I688" s="12"/>
      <c r="J688" s="12"/>
      <c r="K688" s="12"/>
      <c r="L688" s="12"/>
      <c r="M688" s="12"/>
      <c r="N688" s="12"/>
      <c r="O688" s="12"/>
      <c r="P688" s="12"/>
      <c r="Q688" s="12"/>
      <c r="R688" s="12"/>
      <c r="S688" s="12"/>
      <c r="T688" s="12"/>
      <c r="U688" s="12"/>
      <c r="V688" s="12"/>
      <c r="W688" s="12"/>
      <c r="X688" s="12"/>
      <c r="Y688" s="12"/>
      <c r="Z688" s="12"/>
    </row>
    <row r="689" spans="1:26" ht="15.75" customHeight="1" x14ac:dyDescent="0.25">
      <c r="A689" s="12"/>
      <c r="B689" s="12"/>
      <c r="C689" s="12"/>
      <c r="D689" s="12"/>
      <c r="E689" s="13"/>
      <c r="F689" s="12"/>
      <c r="G689" s="12"/>
      <c r="H689" s="12"/>
      <c r="I689" s="12"/>
      <c r="J689" s="12"/>
      <c r="K689" s="12"/>
      <c r="L689" s="12"/>
      <c r="M689" s="12"/>
      <c r="N689" s="12"/>
      <c r="O689" s="12"/>
      <c r="P689" s="12"/>
      <c r="Q689" s="12"/>
      <c r="R689" s="12"/>
      <c r="S689" s="12"/>
      <c r="T689" s="12"/>
      <c r="U689" s="12"/>
      <c r="V689" s="12"/>
      <c r="W689" s="12"/>
      <c r="X689" s="12"/>
      <c r="Y689" s="12"/>
      <c r="Z689" s="12"/>
    </row>
    <row r="690" spans="1:26" ht="15.75" customHeight="1" x14ac:dyDescent="0.25">
      <c r="A690" s="12"/>
      <c r="B690" s="12"/>
      <c r="C690" s="12"/>
      <c r="D690" s="12"/>
      <c r="E690" s="13"/>
      <c r="F690" s="12"/>
      <c r="G690" s="12"/>
      <c r="H690" s="12"/>
      <c r="I690" s="12"/>
      <c r="J690" s="12"/>
      <c r="K690" s="12"/>
      <c r="L690" s="12"/>
      <c r="M690" s="12"/>
      <c r="N690" s="12"/>
      <c r="O690" s="12"/>
      <c r="P690" s="12"/>
      <c r="Q690" s="12"/>
      <c r="R690" s="12"/>
      <c r="S690" s="12"/>
      <c r="T690" s="12"/>
      <c r="U690" s="12"/>
      <c r="V690" s="12"/>
      <c r="W690" s="12"/>
      <c r="X690" s="12"/>
      <c r="Y690" s="12"/>
      <c r="Z690" s="12"/>
    </row>
    <row r="691" spans="1:26" ht="15.75" customHeight="1" x14ac:dyDescent="0.25">
      <c r="A691" s="12"/>
      <c r="B691" s="12"/>
      <c r="C691" s="12"/>
      <c r="D691" s="12"/>
      <c r="E691" s="13"/>
      <c r="F691" s="12"/>
      <c r="G691" s="12"/>
      <c r="H691" s="12"/>
      <c r="I691" s="12"/>
      <c r="J691" s="12"/>
      <c r="K691" s="12"/>
      <c r="L691" s="12"/>
      <c r="M691" s="12"/>
      <c r="N691" s="12"/>
      <c r="O691" s="12"/>
      <c r="P691" s="12"/>
      <c r="Q691" s="12"/>
      <c r="R691" s="12"/>
      <c r="S691" s="12"/>
      <c r="T691" s="12"/>
      <c r="U691" s="12"/>
      <c r="V691" s="12"/>
      <c r="W691" s="12"/>
      <c r="X691" s="12"/>
      <c r="Y691" s="12"/>
      <c r="Z691" s="12"/>
    </row>
    <row r="692" spans="1:26" ht="15.75" customHeight="1" x14ac:dyDescent="0.25">
      <c r="A692" s="12"/>
      <c r="B692" s="12"/>
      <c r="C692" s="12"/>
      <c r="D692" s="12"/>
      <c r="E692" s="13"/>
      <c r="F692" s="12"/>
      <c r="G692" s="12"/>
      <c r="H692" s="12"/>
      <c r="I692" s="12"/>
      <c r="J692" s="12"/>
      <c r="K692" s="12"/>
      <c r="L692" s="12"/>
      <c r="M692" s="12"/>
      <c r="N692" s="12"/>
      <c r="O692" s="12"/>
      <c r="P692" s="12"/>
      <c r="Q692" s="12"/>
      <c r="R692" s="12"/>
      <c r="S692" s="12"/>
      <c r="T692" s="12"/>
      <c r="U692" s="12"/>
      <c r="V692" s="12"/>
      <c r="W692" s="12"/>
      <c r="X692" s="12"/>
      <c r="Y692" s="12"/>
      <c r="Z692" s="12"/>
    </row>
    <row r="693" spans="1:26" ht="15.75" customHeight="1" x14ac:dyDescent="0.25">
      <c r="A693" s="12"/>
      <c r="B693" s="12"/>
      <c r="C693" s="12"/>
      <c r="D693" s="12"/>
      <c r="E693" s="13"/>
      <c r="F693" s="12"/>
      <c r="G693" s="12"/>
      <c r="H693" s="12"/>
      <c r="I693" s="12"/>
      <c r="J693" s="12"/>
      <c r="K693" s="12"/>
      <c r="L693" s="12"/>
      <c r="M693" s="12"/>
      <c r="N693" s="12"/>
      <c r="O693" s="12"/>
      <c r="P693" s="12"/>
      <c r="Q693" s="12"/>
      <c r="R693" s="12"/>
      <c r="S693" s="12"/>
      <c r="T693" s="12"/>
      <c r="U693" s="12"/>
      <c r="V693" s="12"/>
      <c r="W693" s="12"/>
      <c r="X693" s="12"/>
      <c r="Y693" s="12"/>
      <c r="Z693" s="12"/>
    </row>
    <row r="694" spans="1:26" ht="15.75" customHeight="1" x14ac:dyDescent="0.25">
      <c r="A694" s="12"/>
      <c r="B694" s="12"/>
      <c r="C694" s="12"/>
      <c r="D694" s="12"/>
      <c r="E694" s="13"/>
      <c r="F694" s="12"/>
      <c r="G694" s="12"/>
      <c r="H694" s="12"/>
      <c r="I694" s="12"/>
      <c r="J694" s="12"/>
      <c r="K694" s="12"/>
      <c r="L694" s="12"/>
      <c r="M694" s="12"/>
      <c r="N694" s="12"/>
      <c r="O694" s="12"/>
      <c r="P694" s="12"/>
      <c r="Q694" s="12"/>
      <c r="R694" s="12"/>
      <c r="S694" s="12"/>
      <c r="T694" s="12"/>
      <c r="U694" s="12"/>
      <c r="V694" s="12"/>
      <c r="W694" s="12"/>
      <c r="X694" s="12"/>
      <c r="Y694" s="12"/>
      <c r="Z694" s="12"/>
    </row>
    <row r="695" spans="1:26" ht="15.75" customHeight="1" x14ac:dyDescent="0.25">
      <c r="A695" s="12"/>
      <c r="B695" s="12"/>
      <c r="C695" s="12"/>
      <c r="D695" s="12"/>
      <c r="E695" s="13"/>
      <c r="F695" s="12"/>
      <c r="G695" s="12"/>
      <c r="H695" s="12"/>
      <c r="I695" s="12"/>
      <c r="J695" s="12"/>
      <c r="K695" s="12"/>
      <c r="L695" s="12"/>
      <c r="M695" s="12"/>
      <c r="N695" s="12"/>
      <c r="O695" s="12"/>
      <c r="P695" s="12"/>
      <c r="Q695" s="12"/>
      <c r="R695" s="12"/>
      <c r="S695" s="12"/>
      <c r="T695" s="12"/>
      <c r="U695" s="12"/>
      <c r="V695" s="12"/>
      <c r="W695" s="12"/>
      <c r="X695" s="12"/>
      <c r="Y695" s="12"/>
      <c r="Z695" s="12"/>
    </row>
    <row r="696" spans="1:26" ht="15.75" customHeight="1" x14ac:dyDescent="0.25">
      <c r="A696" s="12"/>
      <c r="B696" s="12"/>
      <c r="C696" s="12"/>
      <c r="D696" s="12"/>
      <c r="E696" s="13"/>
      <c r="F696" s="12"/>
      <c r="G696" s="12"/>
      <c r="H696" s="12"/>
      <c r="I696" s="12"/>
      <c r="J696" s="12"/>
      <c r="K696" s="12"/>
      <c r="L696" s="12"/>
      <c r="M696" s="12"/>
      <c r="N696" s="12"/>
      <c r="O696" s="12"/>
      <c r="P696" s="12"/>
      <c r="Q696" s="12"/>
      <c r="R696" s="12"/>
      <c r="S696" s="12"/>
      <c r="T696" s="12"/>
      <c r="U696" s="12"/>
      <c r="V696" s="12"/>
      <c r="W696" s="12"/>
      <c r="X696" s="12"/>
      <c r="Y696" s="12"/>
      <c r="Z696" s="12"/>
    </row>
    <row r="697" spans="1:26" ht="15.75" customHeight="1" x14ac:dyDescent="0.25">
      <c r="A697" s="12"/>
      <c r="B697" s="12"/>
      <c r="C697" s="12"/>
      <c r="D697" s="12"/>
      <c r="E697" s="13"/>
      <c r="F697" s="12"/>
      <c r="G697" s="12"/>
      <c r="H697" s="12"/>
      <c r="I697" s="12"/>
      <c r="J697" s="12"/>
      <c r="K697" s="12"/>
      <c r="L697" s="12"/>
      <c r="M697" s="12"/>
      <c r="N697" s="12"/>
      <c r="O697" s="12"/>
      <c r="P697" s="12"/>
      <c r="Q697" s="12"/>
      <c r="R697" s="12"/>
      <c r="S697" s="12"/>
      <c r="T697" s="12"/>
      <c r="U697" s="12"/>
      <c r="V697" s="12"/>
      <c r="W697" s="12"/>
      <c r="X697" s="12"/>
      <c r="Y697" s="12"/>
      <c r="Z697" s="12"/>
    </row>
    <row r="698" spans="1:26" ht="15.75" customHeight="1" x14ac:dyDescent="0.25">
      <c r="A698" s="12"/>
      <c r="B698" s="12"/>
      <c r="C698" s="12"/>
      <c r="D698" s="12"/>
      <c r="E698" s="13"/>
      <c r="F698" s="12"/>
      <c r="G698" s="12"/>
      <c r="H698" s="12"/>
      <c r="I698" s="12"/>
      <c r="J698" s="12"/>
      <c r="K698" s="12"/>
      <c r="L698" s="12"/>
      <c r="M698" s="12"/>
      <c r="N698" s="12"/>
      <c r="O698" s="12"/>
      <c r="P698" s="12"/>
      <c r="Q698" s="12"/>
      <c r="R698" s="12"/>
      <c r="S698" s="12"/>
      <c r="T698" s="12"/>
      <c r="U698" s="12"/>
      <c r="V698" s="12"/>
      <c r="W698" s="12"/>
      <c r="X698" s="12"/>
      <c r="Y698" s="12"/>
      <c r="Z698" s="12"/>
    </row>
    <row r="699" spans="1:26" ht="15.75" customHeight="1" x14ac:dyDescent="0.25">
      <c r="A699" s="12"/>
      <c r="B699" s="12"/>
      <c r="C699" s="12"/>
      <c r="D699" s="12"/>
      <c r="E699" s="13"/>
      <c r="F699" s="12"/>
      <c r="G699" s="12"/>
      <c r="H699" s="12"/>
      <c r="I699" s="12"/>
      <c r="J699" s="12"/>
      <c r="K699" s="12"/>
      <c r="L699" s="12"/>
      <c r="M699" s="12"/>
      <c r="N699" s="12"/>
      <c r="O699" s="12"/>
      <c r="P699" s="12"/>
      <c r="Q699" s="12"/>
      <c r="R699" s="12"/>
      <c r="S699" s="12"/>
      <c r="T699" s="12"/>
      <c r="U699" s="12"/>
      <c r="V699" s="12"/>
      <c r="W699" s="12"/>
      <c r="X699" s="12"/>
      <c r="Y699" s="12"/>
      <c r="Z699" s="12"/>
    </row>
    <row r="700" spans="1:26" ht="15.75" customHeight="1" x14ac:dyDescent="0.25">
      <c r="A700" s="12"/>
      <c r="B700" s="12"/>
      <c r="C700" s="12"/>
      <c r="D700" s="12"/>
      <c r="E700" s="13"/>
      <c r="F700" s="12"/>
      <c r="G700" s="12"/>
      <c r="H700" s="12"/>
      <c r="I700" s="12"/>
      <c r="J700" s="12"/>
      <c r="K700" s="12"/>
      <c r="L700" s="12"/>
      <c r="M700" s="12"/>
      <c r="N700" s="12"/>
      <c r="O700" s="12"/>
      <c r="P700" s="12"/>
      <c r="Q700" s="12"/>
      <c r="R700" s="12"/>
      <c r="S700" s="12"/>
      <c r="T700" s="12"/>
      <c r="U700" s="12"/>
      <c r="V700" s="12"/>
      <c r="W700" s="12"/>
      <c r="X700" s="12"/>
      <c r="Y700" s="12"/>
      <c r="Z700" s="12"/>
    </row>
    <row r="701" spans="1:26" ht="15.75" customHeight="1" x14ac:dyDescent="0.25">
      <c r="A701" s="12"/>
      <c r="B701" s="12"/>
      <c r="C701" s="12"/>
      <c r="D701" s="12"/>
      <c r="E701" s="13"/>
      <c r="F701" s="12"/>
      <c r="G701" s="12"/>
      <c r="H701" s="12"/>
      <c r="I701" s="12"/>
      <c r="J701" s="12"/>
      <c r="K701" s="12"/>
      <c r="L701" s="12"/>
      <c r="M701" s="12"/>
      <c r="N701" s="12"/>
      <c r="O701" s="12"/>
      <c r="P701" s="12"/>
      <c r="Q701" s="12"/>
      <c r="R701" s="12"/>
      <c r="S701" s="12"/>
      <c r="T701" s="12"/>
      <c r="U701" s="12"/>
      <c r="V701" s="12"/>
      <c r="W701" s="12"/>
      <c r="X701" s="12"/>
      <c r="Y701" s="12"/>
      <c r="Z701" s="12"/>
    </row>
    <row r="702" spans="1:26" ht="15.75" customHeight="1" x14ac:dyDescent="0.25">
      <c r="A702" s="12"/>
      <c r="B702" s="12"/>
      <c r="C702" s="12"/>
      <c r="D702" s="12"/>
      <c r="E702" s="13"/>
      <c r="F702" s="12"/>
      <c r="G702" s="12"/>
      <c r="H702" s="12"/>
      <c r="I702" s="12"/>
      <c r="J702" s="12"/>
      <c r="K702" s="12"/>
      <c r="L702" s="12"/>
      <c r="M702" s="12"/>
      <c r="N702" s="12"/>
      <c r="O702" s="12"/>
      <c r="P702" s="12"/>
      <c r="Q702" s="12"/>
      <c r="R702" s="12"/>
      <c r="S702" s="12"/>
      <c r="T702" s="12"/>
      <c r="U702" s="12"/>
      <c r="V702" s="12"/>
      <c r="W702" s="12"/>
      <c r="X702" s="12"/>
      <c r="Y702" s="12"/>
      <c r="Z702" s="12"/>
    </row>
    <row r="703" spans="1:26" ht="15.75" customHeight="1" x14ac:dyDescent="0.25">
      <c r="A703" s="12"/>
      <c r="B703" s="12"/>
      <c r="C703" s="12"/>
      <c r="D703" s="12"/>
      <c r="E703" s="13"/>
      <c r="F703" s="12"/>
      <c r="G703" s="12"/>
      <c r="H703" s="12"/>
      <c r="I703" s="12"/>
      <c r="J703" s="12"/>
      <c r="K703" s="12"/>
      <c r="L703" s="12"/>
      <c r="M703" s="12"/>
      <c r="N703" s="12"/>
      <c r="O703" s="12"/>
      <c r="P703" s="12"/>
      <c r="Q703" s="12"/>
      <c r="R703" s="12"/>
      <c r="S703" s="12"/>
      <c r="T703" s="12"/>
      <c r="U703" s="12"/>
      <c r="V703" s="12"/>
      <c r="W703" s="12"/>
      <c r="X703" s="12"/>
      <c r="Y703" s="12"/>
      <c r="Z703" s="12"/>
    </row>
    <row r="704" spans="1:26" ht="15.75" customHeight="1" x14ac:dyDescent="0.25">
      <c r="A704" s="12"/>
      <c r="B704" s="12"/>
      <c r="C704" s="12"/>
      <c r="D704" s="12"/>
      <c r="E704" s="13"/>
      <c r="F704" s="12"/>
      <c r="G704" s="12"/>
      <c r="H704" s="12"/>
      <c r="I704" s="12"/>
      <c r="J704" s="12"/>
      <c r="K704" s="12"/>
      <c r="L704" s="12"/>
      <c r="M704" s="12"/>
      <c r="N704" s="12"/>
      <c r="O704" s="12"/>
      <c r="P704" s="12"/>
      <c r="Q704" s="12"/>
      <c r="R704" s="12"/>
      <c r="S704" s="12"/>
      <c r="T704" s="12"/>
      <c r="U704" s="12"/>
      <c r="V704" s="12"/>
      <c r="W704" s="12"/>
      <c r="X704" s="12"/>
      <c r="Y704" s="12"/>
      <c r="Z704" s="12"/>
    </row>
    <row r="705" spans="1:26" ht="15.75" customHeight="1" x14ac:dyDescent="0.25">
      <c r="A705" s="12"/>
      <c r="B705" s="12"/>
      <c r="C705" s="12"/>
      <c r="D705" s="12"/>
      <c r="E705" s="13"/>
      <c r="F705" s="12"/>
      <c r="G705" s="12"/>
      <c r="H705" s="12"/>
      <c r="I705" s="12"/>
      <c r="J705" s="12"/>
      <c r="K705" s="12"/>
      <c r="L705" s="12"/>
      <c r="M705" s="12"/>
      <c r="N705" s="12"/>
      <c r="O705" s="12"/>
      <c r="P705" s="12"/>
      <c r="Q705" s="12"/>
      <c r="R705" s="12"/>
      <c r="S705" s="12"/>
      <c r="T705" s="12"/>
      <c r="U705" s="12"/>
      <c r="V705" s="12"/>
      <c r="W705" s="12"/>
      <c r="X705" s="12"/>
      <c r="Y705" s="12"/>
      <c r="Z705" s="12"/>
    </row>
    <row r="706" spans="1:26" ht="15.75" customHeight="1" x14ac:dyDescent="0.25">
      <c r="A706" s="12"/>
      <c r="B706" s="12"/>
      <c r="C706" s="12"/>
      <c r="D706" s="12"/>
      <c r="E706" s="13"/>
      <c r="F706" s="12"/>
      <c r="G706" s="12"/>
      <c r="H706" s="12"/>
      <c r="I706" s="12"/>
      <c r="J706" s="12"/>
      <c r="K706" s="12"/>
      <c r="L706" s="12"/>
      <c r="M706" s="12"/>
      <c r="N706" s="12"/>
      <c r="O706" s="12"/>
      <c r="P706" s="12"/>
      <c r="Q706" s="12"/>
      <c r="R706" s="12"/>
      <c r="S706" s="12"/>
      <c r="T706" s="12"/>
      <c r="U706" s="12"/>
      <c r="V706" s="12"/>
      <c r="W706" s="12"/>
      <c r="X706" s="12"/>
      <c r="Y706" s="12"/>
      <c r="Z706" s="12"/>
    </row>
    <row r="707" spans="1:26" ht="15.75" customHeight="1" x14ac:dyDescent="0.25">
      <c r="A707" s="12"/>
      <c r="B707" s="12"/>
      <c r="C707" s="12"/>
      <c r="D707" s="12"/>
      <c r="E707" s="13"/>
      <c r="F707" s="12"/>
      <c r="G707" s="12"/>
      <c r="H707" s="12"/>
      <c r="I707" s="12"/>
      <c r="J707" s="12"/>
      <c r="K707" s="12"/>
      <c r="L707" s="12"/>
      <c r="M707" s="12"/>
      <c r="N707" s="12"/>
      <c r="O707" s="12"/>
      <c r="P707" s="12"/>
      <c r="Q707" s="12"/>
      <c r="R707" s="12"/>
      <c r="S707" s="12"/>
      <c r="T707" s="12"/>
      <c r="U707" s="12"/>
      <c r="V707" s="12"/>
      <c r="W707" s="12"/>
      <c r="X707" s="12"/>
      <c r="Y707" s="12"/>
      <c r="Z707" s="12"/>
    </row>
    <row r="708" spans="1:26" ht="15.75" customHeight="1" x14ac:dyDescent="0.25">
      <c r="A708" s="12"/>
      <c r="B708" s="12"/>
      <c r="C708" s="12"/>
      <c r="D708" s="12"/>
      <c r="E708" s="13"/>
      <c r="F708" s="12"/>
      <c r="G708" s="12"/>
      <c r="H708" s="12"/>
      <c r="I708" s="12"/>
      <c r="J708" s="12"/>
      <c r="K708" s="12"/>
      <c r="L708" s="12"/>
      <c r="M708" s="12"/>
      <c r="N708" s="12"/>
      <c r="O708" s="12"/>
      <c r="P708" s="12"/>
      <c r="Q708" s="12"/>
      <c r="R708" s="12"/>
      <c r="S708" s="12"/>
      <c r="T708" s="12"/>
      <c r="U708" s="12"/>
      <c r="V708" s="12"/>
      <c r="W708" s="12"/>
      <c r="X708" s="12"/>
      <c r="Y708" s="12"/>
      <c r="Z708" s="12"/>
    </row>
    <row r="709" spans="1:26" ht="15.75" customHeight="1" x14ac:dyDescent="0.25">
      <c r="A709" s="12"/>
      <c r="B709" s="12"/>
      <c r="C709" s="12"/>
      <c r="D709" s="12"/>
      <c r="E709" s="13"/>
      <c r="F709" s="12"/>
      <c r="G709" s="12"/>
      <c r="H709" s="12"/>
      <c r="I709" s="12"/>
      <c r="J709" s="12"/>
      <c r="K709" s="12"/>
      <c r="L709" s="12"/>
      <c r="M709" s="12"/>
      <c r="N709" s="12"/>
      <c r="O709" s="12"/>
      <c r="P709" s="12"/>
      <c r="Q709" s="12"/>
      <c r="R709" s="12"/>
      <c r="S709" s="12"/>
      <c r="T709" s="12"/>
      <c r="U709" s="12"/>
      <c r="V709" s="12"/>
      <c r="W709" s="12"/>
      <c r="X709" s="12"/>
      <c r="Y709" s="12"/>
      <c r="Z709" s="12"/>
    </row>
    <row r="710" spans="1:26" ht="15.75" customHeight="1" x14ac:dyDescent="0.25">
      <c r="A710" s="12"/>
      <c r="B710" s="12"/>
      <c r="C710" s="12"/>
      <c r="D710" s="12"/>
      <c r="E710" s="13"/>
      <c r="F710" s="12"/>
      <c r="G710" s="12"/>
      <c r="H710" s="12"/>
      <c r="I710" s="12"/>
      <c r="J710" s="12"/>
      <c r="K710" s="12"/>
      <c r="L710" s="12"/>
      <c r="M710" s="12"/>
      <c r="N710" s="12"/>
      <c r="O710" s="12"/>
      <c r="P710" s="12"/>
      <c r="Q710" s="12"/>
      <c r="R710" s="12"/>
      <c r="S710" s="12"/>
      <c r="T710" s="12"/>
      <c r="U710" s="12"/>
      <c r="V710" s="12"/>
      <c r="W710" s="12"/>
      <c r="X710" s="12"/>
      <c r="Y710" s="12"/>
      <c r="Z710" s="12"/>
    </row>
    <row r="711" spans="1:26" ht="15.75" customHeight="1" x14ac:dyDescent="0.25">
      <c r="A711" s="12"/>
      <c r="B711" s="12"/>
      <c r="C711" s="12"/>
      <c r="D711" s="12"/>
      <c r="E711" s="13"/>
      <c r="F711" s="12"/>
      <c r="G711" s="12"/>
      <c r="H711" s="12"/>
      <c r="I711" s="12"/>
      <c r="J711" s="12"/>
      <c r="K711" s="12"/>
      <c r="L711" s="12"/>
      <c r="M711" s="12"/>
      <c r="N711" s="12"/>
      <c r="O711" s="12"/>
      <c r="P711" s="12"/>
      <c r="Q711" s="12"/>
      <c r="R711" s="12"/>
      <c r="S711" s="12"/>
      <c r="T711" s="12"/>
      <c r="U711" s="12"/>
      <c r="V711" s="12"/>
      <c r="W711" s="12"/>
      <c r="X711" s="12"/>
      <c r="Y711" s="12"/>
      <c r="Z711" s="12"/>
    </row>
    <row r="712" spans="1:26" ht="15.75" customHeight="1" x14ac:dyDescent="0.25">
      <c r="A712" s="12"/>
      <c r="B712" s="12"/>
      <c r="C712" s="12"/>
      <c r="D712" s="12"/>
      <c r="E712" s="13"/>
      <c r="F712" s="12"/>
      <c r="G712" s="12"/>
      <c r="H712" s="12"/>
      <c r="I712" s="12"/>
      <c r="J712" s="12"/>
      <c r="K712" s="12"/>
      <c r="L712" s="12"/>
      <c r="M712" s="12"/>
      <c r="N712" s="12"/>
      <c r="O712" s="12"/>
      <c r="P712" s="12"/>
      <c r="Q712" s="12"/>
      <c r="R712" s="12"/>
      <c r="S712" s="12"/>
      <c r="T712" s="12"/>
      <c r="U712" s="12"/>
      <c r="V712" s="12"/>
      <c r="W712" s="12"/>
      <c r="X712" s="12"/>
      <c r="Y712" s="12"/>
      <c r="Z712" s="12"/>
    </row>
    <row r="713" spans="1:26" ht="15.75" customHeight="1" x14ac:dyDescent="0.25">
      <c r="A713" s="12"/>
      <c r="B713" s="12"/>
      <c r="C713" s="12"/>
      <c r="D713" s="12"/>
      <c r="E713" s="13"/>
      <c r="F713" s="12"/>
      <c r="G713" s="12"/>
      <c r="H713" s="12"/>
      <c r="I713" s="12"/>
      <c r="J713" s="12"/>
      <c r="K713" s="12"/>
      <c r="L713" s="12"/>
      <c r="M713" s="12"/>
      <c r="N713" s="12"/>
      <c r="O713" s="12"/>
      <c r="P713" s="12"/>
      <c r="Q713" s="12"/>
      <c r="R713" s="12"/>
      <c r="S713" s="12"/>
      <c r="T713" s="12"/>
      <c r="U713" s="12"/>
      <c r="V713" s="12"/>
      <c r="W713" s="12"/>
      <c r="X713" s="12"/>
      <c r="Y713" s="12"/>
      <c r="Z713" s="12"/>
    </row>
    <row r="714" spans="1:26" ht="15.75" customHeight="1" x14ac:dyDescent="0.25">
      <c r="A714" s="12"/>
      <c r="B714" s="12"/>
      <c r="C714" s="12"/>
      <c r="D714" s="12"/>
      <c r="E714" s="13"/>
      <c r="F714" s="12"/>
      <c r="G714" s="12"/>
      <c r="H714" s="12"/>
      <c r="I714" s="12"/>
      <c r="J714" s="12"/>
      <c r="K714" s="12"/>
      <c r="L714" s="12"/>
      <c r="M714" s="12"/>
      <c r="N714" s="12"/>
      <c r="O714" s="12"/>
      <c r="P714" s="12"/>
      <c r="Q714" s="12"/>
      <c r="R714" s="12"/>
      <c r="S714" s="12"/>
      <c r="T714" s="12"/>
      <c r="U714" s="12"/>
      <c r="V714" s="12"/>
      <c r="W714" s="12"/>
      <c r="X714" s="12"/>
      <c r="Y714" s="12"/>
      <c r="Z714" s="12"/>
    </row>
    <row r="715" spans="1:26" ht="15.75" customHeight="1" x14ac:dyDescent="0.25">
      <c r="A715" s="12"/>
      <c r="B715" s="12"/>
      <c r="C715" s="12"/>
      <c r="D715" s="12"/>
      <c r="E715" s="13"/>
      <c r="F715" s="12"/>
      <c r="G715" s="12"/>
      <c r="H715" s="12"/>
      <c r="I715" s="12"/>
      <c r="J715" s="12"/>
      <c r="K715" s="12"/>
      <c r="L715" s="12"/>
      <c r="M715" s="12"/>
      <c r="N715" s="12"/>
      <c r="O715" s="12"/>
      <c r="P715" s="12"/>
      <c r="Q715" s="12"/>
      <c r="R715" s="12"/>
      <c r="S715" s="12"/>
      <c r="T715" s="12"/>
      <c r="U715" s="12"/>
      <c r="V715" s="12"/>
      <c r="W715" s="12"/>
      <c r="X715" s="12"/>
      <c r="Y715" s="12"/>
      <c r="Z715" s="12"/>
    </row>
    <row r="716" spans="1:26" ht="15.75" customHeight="1" x14ac:dyDescent="0.25">
      <c r="A716" s="12"/>
      <c r="B716" s="12"/>
      <c r="C716" s="12"/>
      <c r="D716" s="12"/>
      <c r="E716" s="13"/>
      <c r="F716" s="12"/>
      <c r="G716" s="12"/>
      <c r="H716" s="12"/>
      <c r="I716" s="12"/>
      <c r="J716" s="12"/>
      <c r="K716" s="12"/>
      <c r="L716" s="12"/>
      <c r="M716" s="12"/>
      <c r="N716" s="12"/>
      <c r="O716" s="12"/>
      <c r="P716" s="12"/>
      <c r="Q716" s="12"/>
      <c r="R716" s="12"/>
      <c r="S716" s="12"/>
      <c r="T716" s="12"/>
      <c r="U716" s="12"/>
      <c r="V716" s="12"/>
      <c r="W716" s="12"/>
      <c r="X716" s="12"/>
      <c r="Y716" s="12"/>
      <c r="Z716" s="12"/>
    </row>
    <row r="717" spans="1:26" ht="15.75" customHeight="1" x14ac:dyDescent="0.25">
      <c r="A717" s="12"/>
      <c r="B717" s="12"/>
      <c r="C717" s="12"/>
      <c r="D717" s="12"/>
      <c r="E717" s="13"/>
      <c r="F717" s="12"/>
      <c r="G717" s="12"/>
      <c r="H717" s="12"/>
      <c r="I717" s="12"/>
      <c r="J717" s="12"/>
      <c r="K717" s="12"/>
      <c r="L717" s="12"/>
      <c r="M717" s="12"/>
      <c r="N717" s="12"/>
      <c r="O717" s="12"/>
      <c r="P717" s="12"/>
      <c r="Q717" s="12"/>
      <c r="R717" s="12"/>
      <c r="S717" s="12"/>
      <c r="T717" s="12"/>
      <c r="U717" s="12"/>
      <c r="V717" s="12"/>
      <c r="W717" s="12"/>
      <c r="X717" s="12"/>
      <c r="Y717" s="12"/>
      <c r="Z717" s="12"/>
    </row>
    <row r="718" spans="1:26" ht="15.75" customHeight="1" x14ac:dyDescent="0.25">
      <c r="A718" s="12"/>
      <c r="B718" s="12"/>
      <c r="C718" s="12"/>
      <c r="D718" s="12"/>
      <c r="E718" s="13"/>
      <c r="F718" s="12"/>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x14ac:dyDescent="0.25">
      <c r="A719" s="12"/>
      <c r="B719" s="12"/>
      <c r="C719" s="12"/>
      <c r="D719" s="12"/>
      <c r="E719" s="13"/>
      <c r="F719" s="12"/>
      <c r="G719" s="12"/>
      <c r="H719" s="12"/>
      <c r="I719" s="12"/>
      <c r="J719" s="12"/>
      <c r="K719" s="12"/>
      <c r="L719" s="12"/>
      <c r="M719" s="12"/>
      <c r="N719" s="12"/>
      <c r="O719" s="12"/>
      <c r="P719" s="12"/>
      <c r="Q719" s="12"/>
      <c r="R719" s="12"/>
      <c r="S719" s="12"/>
      <c r="T719" s="12"/>
      <c r="U719" s="12"/>
      <c r="V719" s="12"/>
      <c r="W719" s="12"/>
      <c r="X719" s="12"/>
      <c r="Y719" s="12"/>
      <c r="Z719" s="12"/>
    </row>
    <row r="720" spans="1:26" ht="15.75" customHeight="1" x14ac:dyDescent="0.25">
      <c r="A720" s="12"/>
      <c r="B720" s="12"/>
      <c r="C720" s="12"/>
      <c r="D720" s="12"/>
      <c r="E720" s="13"/>
      <c r="F720" s="12"/>
      <c r="G720" s="12"/>
      <c r="H720" s="12"/>
      <c r="I720" s="12"/>
      <c r="J720" s="12"/>
      <c r="K720" s="12"/>
      <c r="L720" s="12"/>
      <c r="M720" s="12"/>
      <c r="N720" s="12"/>
      <c r="O720" s="12"/>
      <c r="P720" s="12"/>
      <c r="Q720" s="12"/>
      <c r="R720" s="12"/>
      <c r="S720" s="12"/>
      <c r="T720" s="12"/>
      <c r="U720" s="12"/>
      <c r="V720" s="12"/>
      <c r="W720" s="12"/>
      <c r="X720" s="12"/>
      <c r="Y720" s="12"/>
      <c r="Z720" s="12"/>
    </row>
    <row r="721" spans="1:26" ht="15.75" customHeight="1" x14ac:dyDescent="0.25">
      <c r="A721" s="12"/>
      <c r="B721" s="12"/>
      <c r="C721" s="12"/>
      <c r="D721" s="12"/>
      <c r="E721" s="13"/>
      <c r="F721" s="12"/>
      <c r="G721" s="12"/>
      <c r="H721" s="12"/>
      <c r="I721" s="12"/>
      <c r="J721" s="12"/>
      <c r="K721" s="12"/>
      <c r="L721" s="12"/>
      <c r="M721" s="12"/>
      <c r="N721" s="12"/>
      <c r="O721" s="12"/>
      <c r="P721" s="12"/>
      <c r="Q721" s="12"/>
      <c r="R721" s="12"/>
      <c r="S721" s="12"/>
      <c r="T721" s="12"/>
      <c r="U721" s="12"/>
      <c r="V721" s="12"/>
      <c r="W721" s="12"/>
      <c r="X721" s="12"/>
      <c r="Y721" s="12"/>
      <c r="Z721" s="12"/>
    </row>
    <row r="722" spans="1:26" ht="15.75" customHeight="1" x14ac:dyDescent="0.25">
      <c r="A722" s="12"/>
      <c r="B722" s="12"/>
      <c r="C722" s="12"/>
      <c r="D722" s="12"/>
      <c r="E722" s="13"/>
      <c r="F722" s="12"/>
      <c r="G722" s="12"/>
      <c r="H722" s="12"/>
      <c r="I722" s="12"/>
      <c r="J722" s="12"/>
      <c r="K722" s="12"/>
      <c r="L722" s="12"/>
      <c r="M722" s="12"/>
      <c r="N722" s="12"/>
      <c r="O722" s="12"/>
      <c r="P722" s="12"/>
      <c r="Q722" s="12"/>
      <c r="R722" s="12"/>
      <c r="S722" s="12"/>
      <c r="T722" s="12"/>
      <c r="U722" s="12"/>
      <c r="V722" s="12"/>
      <c r="W722" s="12"/>
      <c r="X722" s="12"/>
      <c r="Y722" s="12"/>
      <c r="Z722" s="12"/>
    </row>
    <row r="723" spans="1:26" ht="15.75" customHeight="1" x14ac:dyDescent="0.25">
      <c r="A723" s="12"/>
      <c r="B723" s="12"/>
      <c r="C723" s="12"/>
      <c r="D723" s="12"/>
      <c r="E723" s="13"/>
      <c r="F723" s="12"/>
      <c r="G723" s="12"/>
      <c r="H723" s="12"/>
      <c r="I723" s="12"/>
      <c r="J723" s="12"/>
      <c r="K723" s="12"/>
      <c r="L723" s="12"/>
      <c r="M723" s="12"/>
      <c r="N723" s="12"/>
      <c r="O723" s="12"/>
      <c r="P723" s="12"/>
      <c r="Q723" s="12"/>
      <c r="R723" s="12"/>
      <c r="S723" s="12"/>
      <c r="T723" s="12"/>
      <c r="U723" s="12"/>
      <c r="V723" s="12"/>
      <c r="W723" s="12"/>
      <c r="X723" s="12"/>
      <c r="Y723" s="12"/>
      <c r="Z723" s="12"/>
    </row>
    <row r="724" spans="1:26" ht="15.75" customHeight="1" x14ac:dyDescent="0.25">
      <c r="A724" s="12"/>
      <c r="B724" s="12"/>
      <c r="C724" s="12"/>
      <c r="D724" s="12"/>
      <c r="E724" s="13"/>
      <c r="F724" s="12"/>
      <c r="G724" s="12"/>
      <c r="H724" s="12"/>
      <c r="I724" s="12"/>
      <c r="J724" s="12"/>
      <c r="K724" s="12"/>
      <c r="L724" s="12"/>
      <c r="M724" s="12"/>
      <c r="N724" s="12"/>
      <c r="O724" s="12"/>
      <c r="P724" s="12"/>
      <c r="Q724" s="12"/>
      <c r="R724" s="12"/>
      <c r="S724" s="12"/>
      <c r="T724" s="12"/>
      <c r="U724" s="12"/>
      <c r="V724" s="12"/>
      <c r="W724" s="12"/>
      <c r="X724" s="12"/>
      <c r="Y724" s="12"/>
      <c r="Z724" s="12"/>
    </row>
    <row r="725" spans="1:26" ht="15.75" customHeight="1" x14ac:dyDescent="0.25">
      <c r="A725" s="12"/>
      <c r="B725" s="12"/>
      <c r="C725" s="12"/>
      <c r="D725" s="12"/>
      <c r="E725" s="13"/>
      <c r="F725" s="12"/>
      <c r="G725" s="12"/>
      <c r="H725" s="12"/>
      <c r="I725" s="12"/>
      <c r="J725" s="12"/>
      <c r="K725" s="12"/>
      <c r="L725" s="12"/>
      <c r="M725" s="12"/>
      <c r="N725" s="12"/>
      <c r="O725" s="12"/>
      <c r="P725" s="12"/>
      <c r="Q725" s="12"/>
      <c r="R725" s="12"/>
      <c r="S725" s="12"/>
      <c r="T725" s="12"/>
      <c r="U725" s="12"/>
      <c r="V725" s="12"/>
      <c r="W725" s="12"/>
      <c r="X725" s="12"/>
      <c r="Y725" s="12"/>
      <c r="Z725" s="12"/>
    </row>
    <row r="726" spans="1:26" ht="15.75" customHeight="1" x14ac:dyDescent="0.25">
      <c r="A726" s="12"/>
      <c r="B726" s="12"/>
      <c r="C726" s="12"/>
      <c r="D726" s="12"/>
      <c r="E726" s="13"/>
      <c r="F726" s="12"/>
      <c r="G726" s="12"/>
      <c r="H726" s="12"/>
      <c r="I726" s="12"/>
      <c r="J726" s="12"/>
      <c r="K726" s="12"/>
      <c r="L726" s="12"/>
      <c r="M726" s="12"/>
      <c r="N726" s="12"/>
      <c r="O726" s="12"/>
      <c r="P726" s="12"/>
      <c r="Q726" s="12"/>
      <c r="R726" s="12"/>
      <c r="S726" s="12"/>
      <c r="T726" s="12"/>
      <c r="U726" s="12"/>
      <c r="V726" s="12"/>
      <c r="W726" s="12"/>
      <c r="X726" s="12"/>
      <c r="Y726" s="12"/>
      <c r="Z726" s="12"/>
    </row>
    <row r="727" spans="1:26" ht="15.75" customHeight="1" x14ac:dyDescent="0.25">
      <c r="A727" s="12"/>
      <c r="B727" s="12"/>
      <c r="C727" s="12"/>
      <c r="D727" s="12"/>
      <c r="E727" s="13"/>
      <c r="F727" s="12"/>
      <c r="G727" s="12"/>
      <c r="H727" s="12"/>
      <c r="I727" s="12"/>
      <c r="J727" s="12"/>
      <c r="K727" s="12"/>
      <c r="L727" s="12"/>
      <c r="M727" s="12"/>
      <c r="N727" s="12"/>
      <c r="O727" s="12"/>
      <c r="P727" s="12"/>
      <c r="Q727" s="12"/>
      <c r="R727" s="12"/>
      <c r="S727" s="12"/>
      <c r="T727" s="12"/>
      <c r="U727" s="12"/>
      <c r="V727" s="12"/>
      <c r="W727" s="12"/>
      <c r="X727" s="12"/>
      <c r="Y727" s="12"/>
      <c r="Z727" s="12"/>
    </row>
    <row r="728" spans="1:26" ht="15.75" customHeight="1" x14ac:dyDescent="0.25">
      <c r="A728" s="12"/>
      <c r="B728" s="12"/>
      <c r="C728" s="12"/>
      <c r="D728" s="12"/>
      <c r="E728" s="13"/>
      <c r="F728" s="12"/>
      <c r="G728" s="12"/>
      <c r="H728" s="12"/>
      <c r="I728" s="12"/>
      <c r="J728" s="12"/>
      <c r="K728" s="12"/>
      <c r="L728" s="12"/>
      <c r="M728" s="12"/>
      <c r="N728" s="12"/>
      <c r="O728" s="12"/>
      <c r="P728" s="12"/>
      <c r="Q728" s="12"/>
      <c r="R728" s="12"/>
      <c r="S728" s="12"/>
      <c r="T728" s="12"/>
      <c r="U728" s="12"/>
      <c r="V728" s="12"/>
      <c r="W728" s="12"/>
      <c r="X728" s="12"/>
      <c r="Y728" s="12"/>
      <c r="Z728" s="12"/>
    </row>
    <row r="729" spans="1:26" ht="15.75" customHeight="1" x14ac:dyDescent="0.25">
      <c r="A729" s="12"/>
      <c r="B729" s="12"/>
      <c r="C729" s="12"/>
      <c r="D729" s="12"/>
      <c r="E729" s="13"/>
      <c r="F729" s="12"/>
      <c r="G729" s="12"/>
      <c r="H729" s="12"/>
      <c r="I729" s="12"/>
      <c r="J729" s="12"/>
      <c r="K729" s="12"/>
      <c r="L729" s="12"/>
      <c r="M729" s="12"/>
      <c r="N729" s="12"/>
      <c r="O729" s="12"/>
      <c r="P729" s="12"/>
      <c r="Q729" s="12"/>
      <c r="R729" s="12"/>
      <c r="S729" s="12"/>
      <c r="T729" s="12"/>
      <c r="U729" s="12"/>
      <c r="V729" s="12"/>
      <c r="W729" s="12"/>
      <c r="X729" s="12"/>
      <c r="Y729" s="12"/>
      <c r="Z729" s="12"/>
    </row>
    <row r="730" spans="1:26" ht="15.75" customHeight="1" x14ac:dyDescent="0.25">
      <c r="A730" s="12"/>
      <c r="B730" s="12"/>
      <c r="C730" s="12"/>
      <c r="D730" s="12"/>
      <c r="E730" s="13"/>
      <c r="F730" s="12"/>
      <c r="G730" s="12"/>
      <c r="H730" s="12"/>
      <c r="I730" s="12"/>
      <c r="J730" s="12"/>
      <c r="K730" s="12"/>
      <c r="L730" s="12"/>
      <c r="M730" s="12"/>
      <c r="N730" s="12"/>
      <c r="O730" s="12"/>
      <c r="P730" s="12"/>
      <c r="Q730" s="12"/>
      <c r="R730" s="12"/>
      <c r="S730" s="12"/>
      <c r="T730" s="12"/>
      <c r="U730" s="12"/>
      <c r="V730" s="12"/>
      <c r="W730" s="12"/>
      <c r="X730" s="12"/>
      <c r="Y730" s="12"/>
      <c r="Z730" s="12"/>
    </row>
    <row r="731" spans="1:26" ht="15.75" customHeight="1" x14ac:dyDescent="0.25">
      <c r="A731" s="12"/>
      <c r="B731" s="12"/>
      <c r="C731" s="12"/>
      <c r="D731" s="12"/>
      <c r="E731" s="13"/>
      <c r="F731" s="12"/>
      <c r="G731" s="12"/>
      <c r="H731" s="12"/>
      <c r="I731" s="12"/>
      <c r="J731" s="12"/>
      <c r="K731" s="12"/>
      <c r="L731" s="12"/>
      <c r="M731" s="12"/>
      <c r="N731" s="12"/>
      <c r="O731" s="12"/>
      <c r="P731" s="12"/>
      <c r="Q731" s="12"/>
      <c r="R731" s="12"/>
      <c r="S731" s="12"/>
      <c r="T731" s="12"/>
      <c r="U731" s="12"/>
      <c r="V731" s="12"/>
      <c r="W731" s="12"/>
      <c r="X731" s="12"/>
      <c r="Y731" s="12"/>
      <c r="Z731" s="12"/>
    </row>
    <row r="732" spans="1:26" ht="15.75" customHeight="1" x14ac:dyDescent="0.25">
      <c r="A732" s="12"/>
      <c r="B732" s="12"/>
      <c r="C732" s="12"/>
      <c r="D732" s="12"/>
      <c r="E732" s="13"/>
      <c r="F732" s="12"/>
      <c r="G732" s="12"/>
      <c r="H732" s="12"/>
      <c r="I732" s="12"/>
      <c r="J732" s="12"/>
      <c r="K732" s="12"/>
      <c r="L732" s="12"/>
      <c r="M732" s="12"/>
      <c r="N732" s="12"/>
      <c r="O732" s="12"/>
      <c r="P732" s="12"/>
      <c r="Q732" s="12"/>
      <c r="R732" s="12"/>
      <c r="S732" s="12"/>
      <c r="T732" s="12"/>
      <c r="U732" s="12"/>
      <c r="V732" s="12"/>
      <c r="W732" s="12"/>
      <c r="X732" s="12"/>
      <c r="Y732" s="12"/>
      <c r="Z732" s="12"/>
    </row>
    <row r="733" spans="1:26" ht="15.75" customHeight="1" x14ac:dyDescent="0.25">
      <c r="A733" s="12"/>
      <c r="B733" s="12"/>
      <c r="C733" s="12"/>
      <c r="D733" s="12"/>
      <c r="E733" s="13"/>
      <c r="F733" s="12"/>
      <c r="G733" s="12"/>
      <c r="H733" s="12"/>
      <c r="I733" s="12"/>
      <c r="J733" s="12"/>
      <c r="K733" s="12"/>
      <c r="L733" s="12"/>
      <c r="M733" s="12"/>
      <c r="N733" s="12"/>
      <c r="O733" s="12"/>
      <c r="P733" s="12"/>
      <c r="Q733" s="12"/>
      <c r="R733" s="12"/>
      <c r="S733" s="12"/>
      <c r="T733" s="12"/>
      <c r="U733" s="12"/>
      <c r="V733" s="12"/>
      <c r="W733" s="12"/>
      <c r="X733" s="12"/>
      <c r="Y733" s="12"/>
      <c r="Z733" s="12"/>
    </row>
    <row r="734" spans="1:26" ht="15.75" customHeight="1" x14ac:dyDescent="0.25">
      <c r="A734" s="12"/>
      <c r="B734" s="12"/>
      <c r="C734" s="12"/>
      <c r="D734" s="12"/>
      <c r="E734" s="13"/>
      <c r="F734" s="12"/>
      <c r="G734" s="12"/>
      <c r="H734" s="12"/>
      <c r="I734" s="12"/>
      <c r="J734" s="12"/>
      <c r="K734" s="12"/>
      <c r="L734" s="12"/>
      <c r="M734" s="12"/>
      <c r="N734" s="12"/>
      <c r="O734" s="12"/>
      <c r="P734" s="12"/>
      <c r="Q734" s="12"/>
      <c r="R734" s="12"/>
      <c r="S734" s="12"/>
      <c r="T734" s="12"/>
      <c r="U734" s="12"/>
      <c r="V734" s="12"/>
      <c r="W734" s="12"/>
      <c r="X734" s="12"/>
      <c r="Y734" s="12"/>
      <c r="Z734" s="12"/>
    </row>
    <row r="735" spans="1:26" ht="15.75" customHeight="1" x14ac:dyDescent="0.25">
      <c r="A735" s="12"/>
      <c r="B735" s="12"/>
      <c r="C735" s="12"/>
      <c r="D735" s="12"/>
      <c r="E735" s="13"/>
      <c r="F735" s="12"/>
      <c r="G735" s="12"/>
      <c r="H735" s="12"/>
      <c r="I735" s="12"/>
      <c r="J735" s="12"/>
      <c r="K735" s="12"/>
      <c r="L735" s="12"/>
      <c r="M735" s="12"/>
      <c r="N735" s="12"/>
      <c r="O735" s="12"/>
      <c r="P735" s="12"/>
      <c r="Q735" s="12"/>
      <c r="R735" s="12"/>
      <c r="S735" s="12"/>
      <c r="T735" s="12"/>
      <c r="U735" s="12"/>
      <c r="V735" s="12"/>
      <c r="W735" s="12"/>
      <c r="X735" s="12"/>
      <c r="Y735" s="12"/>
      <c r="Z735" s="12"/>
    </row>
    <row r="736" spans="1:26" ht="15.75" customHeight="1" x14ac:dyDescent="0.25">
      <c r="A736" s="12"/>
      <c r="B736" s="12"/>
      <c r="C736" s="12"/>
      <c r="D736" s="12"/>
      <c r="E736" s="13"/>
      <c r="F736" s="12"/>
      <c r="G736" s="12"/>
      <c r="H736" s="12"/>
      <c r="I736" s="12"/>
      <c r="J736" s="12"/>
      <c r="K736" s="12"/>
      <c r="L736" s="12"/>
      <c r="M736" s="12"/>
      <c r="N736" s="12"/>
      <c r="O736" s="12"/>
      <c r="P736" s="12"/>
      <c r="Q736" s="12"/>
      <c r="R736" s="12"/>
      <c r="S736" s="12"/>
      <c r="T736" s="12"/>
      <c r="U736" s="12"/>
      <c r="V736" s="12"/>
      <c r="W736" s="12"/>
      <c r="X736" s="12"/>
      <c r="Y736" s="12"/>
      <c r="Z736" s="12"/>
    </row>
    <row r="737" spans="1:26" ht="15.75" customHeight="1" x14ac:dyDescent="0.25">
      <c r="A737" s="12"/>
      <c r="B737" s="12"/>
      <c r="C737" s="12"/>
      <c r="D737" s="12"/>
      <c r="E737" s="13"/>
      <c r="F737" s="12"/>
      <c r="G737" s="12"/>
      <c r="H737" s="12"/>
      <c r="I737" s="12"/>
      <c r="J737" s="12"/>
      <c r="K737" s="12"/>
      <c r="L737" s="12"/>
      <c r="M737" s="12"/>
      <c r="N737" s="12"/>
      <c r="O737" s="12"/>
      <c r="P737" s="12"/>
      <c r="Q737" s="12"/>
      <c r="R737" s="12"/>
      <c r="S737" s="12"/>
      <c r="T737" s="12"/>
      <c r="U737" s="12"/>
      <c r="V737" s="12"/>
      <c r="W737" s="12"/>
      <c r="X737" s="12"/>
      <c r="Y737" s="12"/>
      <c r="Z737" s="12"/>
    </row>
    <row r="738" spans="1:26" ht="15.75" customHeight="1" x14ac:dyDescent="0.25">
      <c r="A738" s="12"/>
      <c r="B738" s="12"/>
      <c r="C738" s="12"/>
      <c r="D738" s="12"/>
      <c r="E738" s="13"/>
      <c r="F738" s="12"/>
      <c r="G738" s="12"/>
      <c r="H738" s="12"/>
      <c r="I738" s="12"/>
      <c r="J738" s="12"/>
      <c r="K738" s="12"/>
      <c r="L738" s="12"/>
      <c r="M738" s="12"/>
      <c r="N738" s="12"/>
      <c r="O738" s="12"/>
      <c r="P738" s="12"/>
      <c r="Q738" s="12"/>
      <c r="R738" s="12"/>
      <c r="S738" s="12"/>
      <c r="T738" s="12"/>
      <c r="U738" s="12"/>
      <c r="V738" s="12"/>
      <c r="W738" s="12"/>
      <c r="X738" s="12"/>
      <c r="Y738" s="12"/>
      <c r="Z738" s="12"/>
    </row>
    <row r="739" spans="1:26" ht="15.75" customHeight="1" x14ac:dyDescent="0.25">
      <c r="A739" s="12"/>
      <c r="B739" s="12"/>
      <c r="C739" s="12"/>
      <c r="D739" s="12"/>
      <c r="E739" s="13"/>
      <c r="F739" s="12"/>
      <c r="G739" s="12"/>
      <c r="H739" s="12"/>
      <c r="I739" s="12"/>
      <c r="J739" s="12"/>
      <c r="K739" s="12"/>
      <c r="L739" s="12"/>
      <c r="M739" s="12"/>
      <c r="N739" s="12"/>
      <c r="O739" s="12"/>
      <c r="P739" s="12"/>
      <c r="Q739" s="12"/>
      <c r="R739" s="12"/>
      <c r="S739" s="12"/>
      <c r="T739" s="12"/>
      <c r="U739" s="12"/>
      <c r="V739" s="12"/>
      <c r="W739" s="12"/>
      <c r="X739" s="12"/>
      <c r="Y739" s="12"/>
      <c r="Z739" s="12"/>
    </row>
    <row r="740" spans="1:26" ht="15.75" customHeight="1" x14ac:dyDescent="0.25">
      <c r="A740" s="12"/>
      <c r="B740" s="12"/>
      <c r="C740" s="12"/>
      <c r="D740" s="12"/>
      <c r="E740" s="13"/>
      <c r="F740" s="12"/>
      <c r="G740" s="12"/>
      <c r="H740" s="12"/>
      <c r="I740" s="12"/>
      <c r="J740" s="12"/>
      <c r="K740" s="12"/>
      <c r="L740" s="12"/>
      <c r="M740" s="12"/>
      <c r="N740" s="12"/>
      <c r="O740" s="12"/>
      <c r="P740" s="12"/>
      <c r="Q740" s="12"/>
      <c r="R740" s="12"/>
      <c r="S740" s="12"/>
      <c r="T740" s="12"/>
      <c r="U740" s="12"/>
      <c r="V740" s="12"/>
      <c r="W740" s="12"/>
      <c r="X740" s="12"/>
      <c r="Y740" s="12"/>
      <c r="Z740" s="12"/>
    </row>
    <row r="741" spans="1:26" ht="15.75" customHeight="1" x14ac:dyDescent="0.25">
      <c r="A741" s="12"/>
      <c r="B741" s="12"/>
      <c r="C741" s="12"/>
      <c r="D741" s="12"/>
      <c r="E741" s="13"/>
      <c r="F741" s="12"/>
      <c r="G741" s="12"/>
      <c r="H741" s="12"/>
      <c r="I741" s="12"/>
      <c r="J741" s="12"/>
      <c r="K741" s="12"/>
      <c r="L741" s="12"/>
      <c r="M741" s="12"/>
      <c r="N741" s="12"/>
      <c r="O741" s="12"/>
      <c r="P741" s="12"/>
      <c r="Q741" s="12"/>
      <c r="R741" s="12"/>
      <c r="S741" s="12"/>
      <c r="T741" s="12"/>
      <c r="U741" s="12"/>
      <c r="V741" s="12"/>
      <c r="W741" s="12"/>
      <c r="X741" s="12"/>
      <c r="Y741" s="12"/>
      <c r="Z741" s="12"/>
    </row>
    <row r="742" spans="1:26" ht="15.75" customHeight="1" x14ac:dyDescent="0.25">
      <c r="A742" s="12"/>
      <c r="B742" s="12"/>
      <c r="C742" s="12"/>
      <c r="D742" s="12"/>
      <c r="E742" s="13"/>
      <c r="F742" s="12"/>
      <c r="G742" s="12"/>
      <c r="H742" s="12"/>
      <c r="I742" s="12"/>
      <c r="J742" s="12"/>
      <c r="K742" s="12"/>
      <c r="L742" s="12"/>
      <c r="M742" s="12"/>
      <c r="N742" s="12"/>
      <c r="O742" s="12"/>
      <c r="P742" s="12"/>
      <c r="Q742" s="12"/>
      <c r="R742" s="12"/>
      <c r="S742" s="12"/>
      <c r="T742" s="12"/>
      <c r="U742" s="12"/>
      <c r="V742" s="12"/>
      <c r="W742" s="12"/>
      <c r="X742" s="12"/>
      <c r="Y742" s="12"/>
      <c r="Z742" s="12"/>
    </row>
    <row r="743" spans="1:26" ht="15.75" customHeight="1" x14ac:dyDescent="0.25">
      <c r="A743" s="12"/>
      <c r="B743" s="12"/>
      <c r="C743" s="12"/>
      <c r="D743" s="12"/>
      <c r="E743" s="13"/>
      <c r="F743" s="12"/>
      <c r="G743" s="12"/>
      <c r="H743" s="12"/>
      <c r="I743" s="12"/>
      <c r="J743" s="12"/>
      <c r="K743" s="12"/>
      <c r="L743" s="12"/>
      <c r="M743" s="12"/>
      <c r="N743" s="12"/>
      <c r="O743" s="12"/>
      <c r="P743" s="12"/>
      <c r="Q743" s="12"/>
      <c r="R743" s="12"/>
      <c r="S743" s="12"/>
      <c r="T743" s="12"/>
      <c r="U743" s="12"/>
      <c r="V743" s="12"/>
      <c r="W743" s="12"/>
      <c r="X743" s="12"/>
      <c r="Y743" s="12"/>
      <c r="Z743" s="12"/>
    </row>
    <row r="744" spans="1:26" ht="15.75" customHeight="1" x14ac:dyDescent="0.25">
      <c r="A744" s="12"/>
      <c r="B744" s="12"/>
      <c r="C744" s="12"/>
      <c r="D744" s="12"/>
      <c r="E744" s="13"/>
      <c r="F744" s="12"/>
      <c r="G744" s="12"/>
      <c r="H744" s="12"/>
      <c r="I744" s="12"/>
      <c r="J744" s="12"/>
      <c r="K744" s="12"/>
      <c r="L744" s="12"/>
      <c r="M744" s="12"/>
      <c r="N744" s="12"/>
      <c r="O744" s="12"/>
      <c r="P744" s="12"/>
      <c r="Q744" s="12"/>
      <c r="R744" s="12"/>
      <c r="S744" s="12"/>
      <c r="T744" s="12"/>
      <c r="U744" s="12"/>
      <c r="V744" s="12"/>
      <c r="W744" s="12"/>
      <c r="X744" s="12"/>
      <c r="Y744" s="12"/>
      <c r="Z744" s="12"/>
    </row>
    <row r="745" spans="1:26" ht="15.75" customHeight="1" x14ac:dyDescent="0.25">
      <c r="A745" s="12"/>
      <c r="B745" s="12"/>
      <c r="C745" s="12"/>
      <c r="D745" s="12"/>
      <c r="E745" s="13"/>
      <c r="F745" s="12"/>
      <c r="G745" s="12"/>
      <c r="H745" s="12"/>
      <c r="I745" s="12"/>
      <c r="J745" s="12"/>
      <c r="K745" s="12"/>
      <c r="L745" s="12"/>
      <c r="M745" s="12"/>
      <c r="N745" s="12"/>
      <c r="O745" s="12"/>
      <c r="P745" s="12"/>
      <c r="Q745" s="12"/>
      <c r="R745" s="12"/>
      <c r="S745" s="12"/>
      <c r="T745" s="12"/>
      <c r="U745" s="12"/>
      <c r="V745" s="12"/>
      <c r="W745" s="12"/>
      <c r="X745" s="12"/>
      <c r="Y745" s="12"/>
      <c r="Z745" s="12"/>
    </row>
    <row r="746" spans="1:26" ht="15.75" customHeight="1" x14ac:dyDescent="0.25">
      <c r="A746" s="12"/>
      <c r="B746" s="12"/>
      <c r="C746" s="12"/>
      <c r="D746" s="12"/>
      <c r="E746" s="13"/>
      <c r="F746" s="12"/>
      <c r="G746" s="12"/>
      <c r="H746" s="12"/>
      <c r="I746" s="12"/>
      <c r="J746" s="12"/>
      <c r="K746" s="12"/>
      <c r="L746" s="12"/>
      <c r="M746" s="12"/>
      <c r="N746" s="12"/>
      <c r="O746" s="12"/>
      <c r="P746" s="12"/>
      <c r="Q746" s="12"/>
      <c r="R746" s="12"/>
      <c r="S746" s="12"/>
      <c r="T746" s="12"/>
      <c r="U746" s="12"/>
      <c r="V746" s="12"/>
      <c r="W746" s="12"/>
      <c r="X746" s="12"/>
      <c r="Y746" s="12"/>
      <c r="Z746" s="12"/>
    </row>
    <row r="747" spans="1:26" ht="15.75" customHeight="1" x14ac:dyDescent="0.25">
      <c r="A747" s="12"/>
      <c r="B747" s="12"/>
      <c r="C747" s="12"/>
      <c r="D747" s="12"/>
      <c r="E747" s="13"/>
      <c r="F747" s="12"/>
      <c r="G747" s="12"/>
      <c r="H747" s="12"/>
      <c r="I747" s="12"/>
      <c r="J747" s="12"/>
      <c r="K747" s="12"/>
      <c r="L747" s="12"/>
      <c r="M747" s="12"/>
      <c r="N747" s="12"/>
      <c r="O747" s="12"/>
      <c r="P747" s="12"/>
      <c r="Q747" s="12"/>
      <c r="R747" s="12"/>
      <c r="S747" s="12"/>
      <c r="T747" s="12"/>
      <c r="U747" s="12"/>
      <c r="V747" s="12"/>
      <c r="W747" s="12"/>
      <c r="X747" s="12"/>
      <c r="Y747" s="12"/>
      <c r="Z747" s="12"/>
    </row>
    <row r="748" spans="1:26" ht="15.75" customHeight="1" x14ac:dyDescent="0.25">
      <c r="A748" s="12"/>
      <c r="B748" s="12"/>
      <c r="C748" s="12"/>
      <c r="D748" s="12"/>
      <c r="E748" s="13"/>
      <c r="F748" s="12"/>
      <c r="G748" s="12"/>
      <c r="H748" s="12"/>
      <c r="I748" s="12"/>
      <c r="J748" s="12"/>
      <c r="K748" s="12"/>
      <c r="L748" s="12"/>
      <c r="M748" s="12"/>
      <c r="N748" s="12"/>
      <c r="O748" s="12"/>
      <c r="P748" s="12"/>
      <c r="Q748" s="12"/>
      <c r="R748" s="12"/>
      <c r="S748" s="12"/>
      <c r="T748" s="12"/>
      <c r="U748" s="12"/>
      <c r="V748" s="12"/>
      <c r="W748" s="12"/>
      <c r="X748" s="12"/>
      <c r="Y748" s="12"/>
      <c r="Z748" s="12"/>
    </row>
    <row r="749" spans="1:26" ht="15.75" customHeight="1" x14ac:dyDescent="0.25">
      <c r="A749" s="12"/>
      <c r="B749" s="12"/>
      <c r="C749" s="12"/>
      <c r="D749" s="12"/>
      <c r="E749" s="13"/>
      <c r="F749" s="12"/>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x14ac:dyDescent="0.25">
      <c r="A750" s="12"/>
      <c r="B750" s="12"/>
      <c r="C750" s="12"/>
      <c r="D750" s="12"/>
      <c r="E750" s="13"/>
      <c r="F750" s="12"/>
      <c r="G750" s="12"/>
      <c r="H750" s="12"/>
      <c r="I750" s="12"/>
      <c r="J750" s="12"/>
      <c r="K750" s="12"/>
      <c r="L750" s="12"/>
      <c r="M750" s="12"/>
      <c r="N750" s="12"/>
      <c r="O750" s="12"/>
      <c r="P750" s="12"/>
      <c r="Q750" s="12"/>
      <c r="R750" s="12"/>
      <c r="S750" s="12"/>
      <c r="T750" s="12"/>
      <c r="U750" s="12"/>
      <c r="V750" s="12"/>
      <c r="W750" s="12"/>
      <c r="X750" s="12"/>
      <c r="Y750" s="12"/>
      <c r="Z750" s="12"/>
    </row>
    <row r="751" spans="1:26" ht="15.75" customHeight="1" x14ac:dyDescent="0.25">
      <c r="A751" s="12"/>
      <c r="B751" s="12"/>
      <c r="C751" s="12"/>
      <c r="D751" s="12"/>
      <c r="E751" s="13"/>
      <c r="F751" s="12"/>
      <c r="G751" s="12"/>
      <c r="H751" s="12"/>
      <c r="I751" s="12"/>
      <c r="J751" s="12"/>
      <c r="K751" s="12"/>
      <c r="L751" s="12"/>
      <c r="M751" s="12"/>
      <c r="N751" s="12"/>
      <c r="O751" s="12"/>
      <c r="P751" s="12"/>
      <c r="Q751" s="12"/>
      <c r="R751" s="12"/>
      <c r="S751" s="12"/>
      <c r="T751" s="12"/>
      <c r="U751" s="12"/>
      <c r="V751" s="12"/>
      <c r="W751" s="12"/>
      <c r="X751" s="12"/>
      <c r="Y751" s="12"/>
      <c r="Z751" s="12"/>
    </row>
    <row r="752" spans="1:26" ht="15.75" customHeight="1" x14ac:dyDescent="0.25">
      <c r="A752" s="12"/>
      <c r="B752" s="12"/>
      <c r="C752" s="12"/>
      <c r="D752" s="12"/>
      <c r="E752" s="13"/>
      <c r="F752" s="12"/>
      <c r="G752" s="12"/>
      <c r="H752" s="12"/>
      <c r="I752" s="12"/>
      <c r="J752" s="12"/>
      <c r="K752" s="12"/>
      <c r="L752" s="12"/>
      <c r="M752" s="12"/>
      <c r="N752" s="12"/>
      <c r="O752" s="12"/>
      <c r="P752" s="12"/>
      <c r="Q752" s="12"/>
      <c r="R752" s="12"/>
      <c r="S752" s="12"/>
      <c r="T752" s="12"/>
      <c r="U752" s="12"/>
      <c r="V752" s="12"/>
      <c r="W752" s="12"/>
      <c r="X752" s="12"/>
      <c r="Y752" s="12"/>
      <c r="Z752" s="12"/>
    </row>
    <row r="753" spans="1:26" ht="15.75" customHeight="1" x14ac:dyDescent="0.25">
      <c r="A753" s="12"/>
      <c r="B753" s="12"/>
      <c r="C753" s="12"/>
      <c r="D753" s="12"/>
      <c r="E753" s="13"/>
      <c r="F753" s="12"/>
      <c r="G753" s="12"/>
      <c r="H753" s="12"/>
      <c r="I753" s="12"/>
      <c r="J753" s="12"/>
      <c r="K753" s="12"/>
      <c r="L753" s="12"/>
      <c r="M753" s="12"/>
      <c r="N753" s="12"/>
      <c r="O753" s="12"/>
      <c r="P753" s="12"/>
      <c r="Q753" s="12"/>
      <c r="R753" s="12"/>
      <c r="S753" s="12"/>
      <c r="T753" s="12"/>
      <c r="U753" s="12"/>
      <c r="V753" s="12"/>
      <c r="W753" s="12"/>
      <c r="X753" s="12"/>
      <c r="Y753" s="12"/>
      <c r="Z753" s="12"/>
    </row>
    <row r="754" spans="1:26" ht="15.75" customHeight="1" x14ac:dyDescent="0.25">
      <c r="A754" s="12"/>
      <c r="B754" s="12"/>
      <c r="C754" s="12"/>
      <c r="D754" s="12"/>
      <c r="E754" s="13"/>
      <c r="F754" s="12"/>
      <c r="G754" s="12"/>
      <c r="H754" s="12"/>
      <c r="I754" s="12"/>
      <c r="J754" s="12"/>
      <c r="K754" s="12"/>
      <c r="L754" s="12"/>
      <c r="M754" s="12"/>
      <c r="N754" s="12"/>
      <c r="O754" s="12"/>
      <c r="P754" s="12"/>
      <c r="Q754" s="12"/>
      <c r="R754" s="12"/>
      <c r="S754" s="12"/>
      <c r="T754" s="12"/>
      <c r="U754" s="12"/>
      <c r="V754" s="12"/>
      <c r="W754" s="12"/>
      <c r="X754" s="12"/>
      <c r="Y754" s="12"/>
      <c r="Z754" s="12"/>
    </row>
    <row r="755" spans="1:26" ht="15.75" customHeight="1" x14ac:dyDescent="0.25">
      <c r="A755" s="12"/>
      <c r="B755" s="12"/>
      <c r="C755" s="12"/>
      <c r="D755" s="12"/>
      <c r="E755" s="13"/>
      <c r="F755" s="12"/>
      <c r="G755" s="12"/>
      <c r="H755" s="12"/>
      <c r="I755" s="12"/>
      <c r="J755" s="12"/>
      <c r="K755" s="12"/>
      <c r="L755" s="12"/>
      <c r="M755" s="12"/>
      <c r="N755" s="12"/>
      <c r="O755" s="12"/>
      <c r="P755" s="12"/>
      <c r="Q755" s="12"/>
      <c r="R755" s="12"/>
      <c r="S755" s="12"/>
      <c r="T755" s="12"/>
      <c r="U755" s="12"/>
      <c r="V755" s="12"/>
      <c r="W755" s="12"/>
      <c r="X755" s="12"/>
      <c r="Y755" s="12"/>
      <c r="Z755" s="12"/>
    </row>
    <row r="756" spans="1:26" ht="15.75" customHeight="1" x14ac:dyDescent="0.25">
      <c r="A756" s="12"/>
      <c r="B756" s="12"/>
      <c r="C756" s="12"/>
      <c r="D756" s="12"/>
      <c r="E756" s="13"/>
      <c r="F756" s="12"/>
      <c r="G756" s="12"/>
      <c r="H756" s="12"/>
      <c r="I756" s="12"/>
      <c r="J756" s="12"/>
      <c r="K756" s="12"/>
      <c r="L756" s="12"/>
      <c r="M756" s="12"/>
      <c r="N756" s="12"/>
      <c r="O756" s="12"/>
      <c r="P756" s="12"/>
      <c r="Q756" s="12"/>
      <c r="R756" s="12"/>
      <c r="S756" s="12"/>
      <c r="T756" s="12"/>
      <c r="U756" s="12"/>
      <c r="V756" s="12"/>
      <c r="W756" s="12"/>
      <c r="X756" s="12"/>
      <c r="Y756" s="12"/>
      <c r="Z756" s="12"/>
    </row>
    <row r="757" spans="1:26" ht="15.75" customHeight="1" x14ac:dyDescent="0.25">
      <c r="A757" s="12"/>
      <c r="B757" s="12"/>
      <c r="C757" s="12"/>
      <c r="D757" s="12"/>
      <c r="E757" s="13"/>
      <c r="F757" s="12"/>
      <c r="G757" s="12"/>
      <c r="H757" s="12"/>
      <c r="I757" s="12"/>
      <c r="J757" s="12"/>
      <c r="K757" s="12"/>
      <c r="L757" s="12"/>
      <c r="M757" s="12"/>
      <c r="N757" s="12"/>
      <c r="O757" s="12"/>
      <c r="P757" s="12"/>
      <c r="Q757" s="12"/>
      <c r="R757" s="12"/>
      <c r="S757" s="12"/>
      <c r="T757" s="12"/>
      <c r="U757" s="12"/>
      <c r="V757" s="12"/>
      <c r="W757" s="12"/>
      <c r="X757" s="12"/>
      <c r="Y757" s="12"/>
      <c r="Z757" s="12"/>
    </row>
    <row r="758" spans="1:26" ht="15.75" customHeight="1" x14ac:dyDescent="0.25">
      <c r="A758" s="12"/>
      <c r="B758" s="12"/>
      <c r="C758" s="12"/>
      <c r="D758" s="12"/>
      <c r="E758" s="13"/>
      <c r="F758" s="12"/>
      <c r="G758" s="12"/>
      <c r="H758" s="12"/>
      <c r="I758" s="12"/>
      <c r="J758" s="12"/>
      <c r="K758" s="12"/>
      <c r="L758" s="12"/>
      <c r="M758" s="12"/>
      <c r="N758" s="12"/>
      <c r="O758" s="12"/>
      <c r="P758" s="12"/>
      <c r="Q758" s="12"/>
      <c r="R758" s="12"/>
      <c r="S758" s="12"/>
      <c r="T758" s="12"/>
      <c r="U758" s="12"/>
      <c r="V758" s="12"/>
      <c r="W758" s="12"/>
      <c r="X758" s="12"/>
      <c r="Y758" s="12"/>
      <c r="Z758" s="12"/>
    </row>
    <row r="759" spans="1:26" ht="15.75" customHeight="1" x14ac:dyDescent="0.25">
      <c r="A759" s="12"/>
      <c r="B759" s="12"/>
      <c r="C759" s="12"/>
      <c r="D759" s="12"/>
      <c r="E759" s="13"/>
      <c r="F759" s="12"/>
      <c r="G759" s="12"/>
      <c r="H759" s="12"/>
      <c r="I759" s="12"/>
      <c r="J759" s="12"/>
      <c r="K759" s="12"/>
      <c r="L759" s="12"/>
      <c r="M759" s="12"/>
      <c r="N759" s="12"/>
      <c r="O759" s="12"/>
      <c r="P759" s="12"/>
      <c r="Q759" s="12"/>
      <c r="R759" s="12"/>
      <c r="S759" s="12"/>
      <c r="T759" s="12"/>
      <c r="U759" s="12"/>
      <c r="V759" s="12"/>
      <c r="W759" s="12"/>
      <c r="X759" s="12"/>
      <c r="Y759" s="12"/>
      <c r="Z759" s="12"/>
    </row>
    <row r="760" spans="1:26" ht="15.75" customHeight="1" x14ac:dyDescent="0.25">
      <c r="A760" s="12"/>
      <c r="B760" s="12"/>
      <c r="C760" s="12"/>
      <c r="D760" s="12"/>
      <c r="E760" s="13"/>
      <c r="F760" s="12"/>
      <c r="G760" s="12"/>
      <c r="H760" s="12"/>
      <c r="I760" s="12"/>
      <c r="J760" s="12"/>
      <c r="K760" s="12"/>
      <c r="L760" s="12"/>
      <c r="M760" s="12"/>
      <c r="N760" s="12"/>
      <c r="O760" s="12"/>
      <c r="P760" s="12"/>
      <c r="Q760" s="12"/>
      <c r="R760" s="12"/>
      <c r="S760" s="12"/>
      <c r="T760" s="12"/>
      <c r="U760" s="12"/>
      <c r="V760" s="12"/>
      <c r="W760" s="12"/>
      <c r="X760" s="12"/>
      <c r="Y760" s="12"/>
      <c r="Z760" s="12"/>
    </row>
    <row r="761" spans="1:26" ht="15.75" customHeight="1" x14ac:dyDescent="0.25">
      <c r="A761" s="12"/>
      <c r="B761" s="12"/>
      <c r="C761" s="12"/>
      <c r="D761" s="12"/>
      <c r="E761" s="13"/>
      <c r="F761" s="12"/>
      <c r="G761" s="12"/>
      <c r="H761" s="12"/>
      <c r="I761" s="12"/>
      <c r="J761" s="12"/>
      <c r="K761" s="12"/>
      <c r="L761" s="12"/>
      <c r="M761" s="12"/>
      <c r="N761" s="12"/>
      <c r="O761" s="12"/>
      <c r="P761" s="12"/>
      <c r="Q761" s="12"/>
      <c r="R761" s="12"/>
      <c r="S761" s="12"/>
      <c r="T761" s="12"/>
      <c r="U761" s="12"/>
      <c r="V761" s="12"/>
      <c r="W761" s="12"/>
      <c r="X761" s="12"/>
      <c r="Y761" s="12"/>
      <c r="Z761" s="12"/>
    </row>
    <row r="762" spans="1:26" ht="15.75" customHeight="1" x14ac:dyDescent="0.25">
      <c r="A762" s="12"/>
      <c r="B762" s="12"/>
      <c r="C762" s="12"/>
      <c r="D762" s="12"/>
      <c r="E762" s="13"/>
      <c r="F762" s="12"/>
      <c r="G762" s="12"/>
      <c r="H762" s="12"/>
      <c r="I762" s="12"/>
      <c r="J762" s="12"/>
      <c r="K762" s="12"/>
      <c r="L762" s="12"/>
      <c r="M762" s="12"/>
      <c r="N762" s="12"/>
      <c r="O762" s="12"/>
      <c r="P762" s="12"/>
      <c r="Q762" s="12"/>
      <c r="R762" s="12"/>
      <c r="S762" s="12"/>
      <c r="T762" s="12"/>
      <c r="U762" s="12"/>
      <c r="V762" s="12"/>
      <c r="W762" s="12"/>
      <c r="X762" s="12"/>
      <c r="Y762" s="12"/>
      <c r="Z762" s="12"/>
    </row>
    <row r="763" spans="1:26" ht="15.75" customHeight="1" x14ac:dyDescent="0.25">
      <c r="A763" s="12"/>
      <c r="B763" s="12"/>
      <c r="C763" s="12"/>
      <c r="D763" s="12"/>
      <c r="E763" s="13"/>
      <c r="F763" s="12"/>
      <c r="G763" s="12"/>
      <c r="H763" s="12"/>
      <c r="I763" s="12"/>
      <c r="J763" s="12"/>
      <c r="K763" s="12"/>
      <c r="L763" s="12"/>
      <c r="M763" s="12"/>
      <c r="N763" s="12"/>
      <c r="O763" s="12"/>
      <c r="P763" s="12"/>
      <c r="Q763" s="12"/>
      <c r="R763" s="12"/>
      <c r="S763" s="12"/>
      <c r="T763" s="12"/>
      <c r="U763" s="12"/>
      <c r="V763" s="12"/>
      <c r="W763" s="12"/>
      <c r="X763" s="12"/>
      <c r="Y763" s="12"/>
      <c r="Z763" s="12"/>
    </row>
    <row r="764" spans="1:26" ht="15.75" customHeight="1" x14ac:dyDescent="0.25">
      <c r="A764" s="12"/>
      <c r="B764" s="12"/>
      <c r="C764" s="12"/>
      <c r="D764" s="12"/>
      <c r="E764" s="13"/>
      <c r="F764" s="12"/>
      <c r="G764" s="12"/>
      <c r="H764" s="12"/>
      <c r="I764" s="12"/>
      <c r="J764" s="12"/>
      <c r="K764" s="12"/>
      <c r="L764" s="12"/>
      <c r="M764" s="12"/>
      <c r="N764" s="12"/>
      <c r="O764" s="12"/>
      <c r="P764" s="12"/>
      <c r="Q764" s="12"/>
      <c r="R764" s="12"/>
      <c r="S764" s="12"/>
      <c r="T764" s="12"/>
      <c r="U764" s="12"/>
      <c r="V764" s="12"/>
      <c r="W764" s="12"/>
      <c r="X764" s="12"/>
      <c r="Y764" s="12"/>
      <c r="Z764" s="12"/>
    </row>
    <row r="765" spans="1:26" ht="15.75" customHeight="1" x14ac:dyDescent="0.25">
      <c r="A765" s="12"/>
      <c r="B765" s="12"/>
      <c r="C765" s="12"/>
      <c r="D765" s="12"/>
      <c r="E765" s="13"/>
      <c r="F765" s="12"/>
      <c r="G765" s="12"/>
      <c r="H765" s="12"/>
      <c r="I765" s="12"/>
      <c r="J765" s="12"/>
      <c r="K765" s="12"/>
      <c r="L765" s="12"/>
      <c r="M765" s="12"/>
      <c r="N765" s="12"/>
      <c r="O765" s="12"/>
      <c r="P765" s="12"/>
      <c r="Q765" s="12"/>
      <c r="R765" s="12"/>
      <c r="S765" s="12"/>
      <c r="T765" s="12"/>
      <c r="U765" s="12"/>
      <c r="V765" s="12"/>
      <c r="W765" s="12"/>
      <c r="X765" s="12"/>
      <c r="Y765" s="12"/>
      <c r="Z765" s="12"/>
    </row>
    <row r="766" spans="1:26" ht="15.75" customHeight="1" x14ac:dyDescent="0.25">
      <c r="A766" s="12"/>
      <c r="B766" s="12"/>
      <c r="C766" s="12"/>
      <c r="D766" s="12"/>
      <c r="E766" s="13"/>
      <c r="F766" s="12"/>
      <c r="G766" s="12"/>
      <c r="H766" s="12"/>
      <c r="I766" s="12"/>
      <c r="J766" s="12"/>
      <c r="K766" s="12"/>
      <c r="L766" s="12"/>
      <c r="M766" s="12"/>
      <c r="N766" s="12"/>
      <c r="O766" s="12"/>
      <c r="P766" s="12"/>
      <c r="Q766" s="12"/>
      <c r="R766" s="12"/>
      <c r="S766" s="12"/>
      <c r="T766" s="12"/>
      <c r="U766" s="12"/>
      <c r="V766" s="12"/>
      <c r="W766" s="12"/>
      <c r="X766" s="12"/>
      <c r="Y766" s="12"/>
      <c r="Z766" s="12"/>
    </row>
    <row r="767" spans="1:26" ht="15.75" customHeight="1" x14ac:dyDescent="0.25">
      <c r="A767" s="12"/>
      <c r="B767" s="12"/>
      <c r="C767" s="12"/>
      <c r="D767" s="12"/>
      <c r="E767" s="13"/>
      <c r="F767" s="12"/>
      <c r="G767" s="12"/>
      <c r="H767" s="12"/>
      <c r="I767" s="12"/>
      <c r="J767" s="12"/>
      <c r="K767" s="12"/>
      <c r="L767" s="12"/>
      <c r="M767" s="12"/>
      <c r="N767" s="12"/>
      <c r="O767" s="12"/>
      <c r="P767" s="12"/>
      <c r="Q767" s="12"/>
      <c r="R767" s="12"/>
      <c r="S767" s="12"/>
      <c r="T767" s="12"/>
      <c r="U767" s="12"/>
      <c r="V767" s="12"/>
      <c r="W767" s="12"/>
      <c r="X767" s="12"/>
      <c r="Y767" s="12"/>
      <c r="Z767" s="12"/>
    </row>
    <row r="768" spans="1:26" ht="15.75" customHeight="1" x14ac:dyDescent="0.25">
      <c r="A768" s="12"/>
      <c r="B768" s="12"/>
      <c r="C768" s="12"/>
      <c r="D768" s="12"/>
      <c r="E768" s="13"/>
      <c r="F768" s="12"/>
      <c r="G768" s="12"/>
      <c r="H768" s="12"/>
      <c r="I768" s="12"/>
      <c r="J768" s="12"/>
      <c r="K768" s="12"/>
      <c r="L768" s="12"/>
      <c r="M768" s="12"/>
      <c r="N768" s="12"/>
      <c r="O768" s="12"/>
      <c r="P768" s="12"/>
      <c r="Q768" s="12"/>
      <c r="R768" s="12"/>
      <c r="S768" s="12"/>
      <c r="T768" s="12"/>
      <c r="U768" s="12"/>
      <c r="V768" s="12"/>
      <c r="W768" s="12"/>
      <c r="X768" s="12"/>
      <c r="Y768" s="12"/>
      <c r="Z768" s="12"/>
    </row>
    <row r="769" spans="1:26" ht="15.75" customHeight="1" x14ac:dyDescent="0.25">
      <c r="A769" s="12"/>
      <c r="B769" s="12"/>
      <c r="C769" s="12"/>
      <c r="D769" s="12"/>
      <c r="E769" s="13"/>
      <c r="F769" s="12"/>
      <c r="G769" s="12"/>
      <c r="H769" s="12"/>
      <c r="I769" s="12"/>
      <c r="J769" s="12"/>
      <c r="K769" s="12"/>
      <c r="L769" s="12"/>
      <c r="M769" s="12"/>
      <c r="N769" s="12"/>
      <c r="O769" s="12"/>
      <c r="P769" s="12"/>
      <c r="Q769" s="12"/>
      <c r="R769" s="12"/>
      <c r="S769" s="12"/>
      <c r="T769" s="12"/>
      <c r="U769" s="12"/>
      <c r="V769" s="12"/>
      <c r="W769" s="12"/>
      <c r="X769" s="12"/>
      <c r="Y769" s="12"/>
      <c r="Z769" s="12"/>
    </row>
    <row r="770" spans="1:26" ht="15.75" customHeight="1" x14ac:dyDescent="0.25">
      <c r="A770" s="12"/>
      <c r="B770" s="12"/>
      <c r="C770" s="12"/>
      <c r="D770" s="12"/>
      <c r="E770" s="13"/>
      <c r="F770" s="12"/>
      <c r="G770" s="12"/>
      <c r="H770" s="12"/>
      <c r="I770" s="12"/>
      <c r="J770" s="12"/>
      <c r="K770" s="12"/>
      <c r="L770" s="12"/>
      <c r="M770" s="12"/>
      <c r="N770" s="12"/>
      <c r="O770" s="12"/>
      <c r="P770" s="12"/>
      <c r="Q770" s="12"/>
      <c r="R770" s="12"/>
      <c r="S770" s="12"/>
      <c r="T770" s="12"/>
      <c r="U770" s="12"/>
      <c r="V770" s="12"/>
      <c r="W770" s="12"/>
      <c r="X770" s="12"/>
      <c r="Y770" s="12"/>
      <c r="Z770" s="12"/>
    </row>
    <row r="771" spans="1:26" ht="15.75" customHeight="1" x14ac:dyDescent="0.25">
      <c r="A771" s="12"/>
      <c r="B771" s="12"/>
      <c r="C771" s="12"/>
      <c r="D771" s="12"/>
      <c r="E771" s="13"/>
      <c r="F771" s="12"/>
      <c r="G771" s="12"/>
      <c r="H771" s="12"/>
      <c r="I771" s="12"/>
      <c r="J771" s="12"/>
      <c r="K771" s="12"/>
      <c r="L771" s="12"/>
      <c r="M771" s="12"/>
      <c r="N771" s="12"/>
      <c r="O771" s="12"/>
      <c r="P771" s="12"/>
      <c r="Q771" s="12"/>
      <c r="R771" s="12"/>
      <c r="S771" s="12"/>
      <c r="T771" s="12"/>
      <c r="U771" s="12"/>
      <c r="V771" s="12"/>
      <c r="W771" s="12"/>
      <c r="X771" s="12"/>
      <c r="Y771" s="12"/>
      <c r="Z771" s="12"/>
    </row>
    <row r="772" spans="1:26" ht="15.75" customHeight="1" x14ac:dyDescent="0.25">
      <c r="A772" s="12"/>
      <c r="B772" s="12"/>
      <c r="C772" s="12"/>
      <c r="D772" s="12"/>
      <c r="E772" s="13"/>
      <c r="F772" s="12"/>
      <c r="G772" s="12"/>
      <c r="H772" s="12"/>
      <c r="I772" s="12"/>
      <c r="J772" s="12"/>
      <c r="K772" s="12"/>
      <c r="L772" s="12"/>
      <c r="M772" s="12"/>
      <c r="N772" s="12"/>
      <c r="O772" s="12"/>
      <c r="P772" s="12"/>
      <c r="Q772" s="12"/>
      <c r="R772" s="12"/>
      <c r="S772" s="12"/>
      <c r="T772" s="12"/>
      <c r="U772" s="12"/>
      <c r="V772" s="12"/>
      <c r="W772" s="12"/>
      <c r="X772" s="12"/>
      <c r="Y772" s="12"/>
      <c r="Z772" s="12"/>
    </row>
    <row r="773" spans="1:26" ht="15.75" customHeight="1" x14ac:dyDescent="0.25">
      <c r="A773" s="12"/>
      <c r="B773" s="12"/>
      <c r="C773" s="12"/>
      <c r="D773" s="12"/>
      <c r="E773" s="13"/>
      <c r="F773" s="12"/>
      <c r="G773" s="12"/>
      <c r="H773" s="12"/>
      <c r="I773" s="12"/>
      <c r="J773" s="12"/>
      <c r="K773" s="12"/>
      <c r="L773" s="12"/>
      <c r="M773" s="12"/>
      <c r="N773" s="12"/>
      <c r="O773" s="12"/>
      <c r="P773" s="12"/>
      <c r="Q773" s="12"/>
      <c r="R773" s="12"/>
      <c r="S773" s="12"/>
      <c r="T773" s="12"/>
      <c r="U773" s="12"/>
      <c r="V773" s="12"/>
      <c r="W773" s="12"/>
      <c r="X773" s="12"/>
      <c r="Y773" s="12"/>
      <c r="Z773" s="12"/>
    </row>
    <row r="774" spans="1:26" ht="15.75" customHeight="1" x14ac:dyDescent="0.25">
      <c r="A774" s="12"/>
      <c r="B774" s="12"/>
      <c r="C774" s="12"/>
      <c r="D774" s="12"/>
      <c r="E774" s="13"/>
      <c r="F774" s="12"/>
      <c r="G774" s="12"/>
      <c r="H774" s="12"/>
      <c r="I774" s="12"/>
      <c r="J774" s="12"/>
      <c r="K774" s="12"/>
      <c r="L774" s="12"/>
      <c r="M774" s="12"/>
      <c r="N774" s="12"/>
      <c r="O774" s="12"/>
      <c r="P774" s="12"/>
      <c r="Q774" s="12"/>
      <c r="R774" s="12"/>
      <c r="S774" s="12"/>
      <c r="T774" s="12"/>
      <c r="U774" s="12"/>
      <c r="V774" s="12"/>
      <c r="W774" s="12"/>
      <c r="X774" s="12"/>
      <c r="Y774" s="12"/>
      <c r="Z774" s="12"/>
    </row>
    <row r="775" spans="1:26" ht="15.75" customHeight="1" x14ac:dyDescent="0.25">
      <c r="A775" s="12"/>
      <c r="B775" s="12"/>
      <c r="C775" s="12"/>
      <c r="D775" s="12"/>
      <c r="E775" s="13"/>
      <c r="F775" s="12"/>
      <c r="G775" s="12"/>
      <c r="H775" s="12"/>
      <c r="I775" s="12"/>
      <c r="J775" s="12"/>
      <c r="K775" s="12"/>
      <c r="L775" s="12"/>
      <c r="M775" s="12"/>
      <c r="N775" s="12"/>
      <c r="O775" s="12"/>
      <c r="P775" s="12"/>
      <c r="Q775" s="12"/>
      <c r="R775" s="12"/>
      <c r="S775" s="12"/>
      <c r="T775" s="12"/>
      <c r="U775" s="12"/>
      <c r="V775" s="12"/>
      <c r="W775" s="12"/>
      <c r="X775" s="12"/>
      <c r="Y775" s="12"/>
      <c r="Z775" s="12"/>
    </row>
    <row r="776" spans="1:26" ht="15.75" customHeight="1" x14ac:dyDescent="0.25">
      <c r="A776" s="12"/>
      <c r="B776" s="12"/>
      <c r="C776" s="12"/>
      <c r="D776" s="12"/>
      <c r="E776" s="13"/>
      <c r="F776" s="12"/>
      <c r="G776" s="12"/>
      <c r="H776" s="12"/>
      <c r="I776" s="12"/>
      <c r="J776" s="12"/>
      <c r="K776" s="12"/>
      <c r="L776" s="12"/>
      <c r="M776" s="12"/>
      <c r="N776" s="12"/>
      <c r="O776" s="12"/>
      <c r="P776" s="12"/>
      <c r="Q776" s="12"/>
      <c r="R776" s="12"/>
      <c r="S776" s="12"/>
      <c r="T776" s="12"/>
      <c r="U776" s="12"/>
      <c r="V776" s="12"/>
      <c r="W776" s="12"/>
      <c r="X776" s="12"/>
      <c r="Y776" s="12"/>
      <c r="Z776" s="12"/>
    </row>
    <row r="777" spans="1:26" ht="15.75" customHeight="1" x14ac:dyDescent="0.25">
      <c r="A777" s="12"/>
      <c r="B777" s="12"/>
      <c r="C777" s="12"/>
      <c r="D777" s="12"/>
      <c r="E777" s="13"/>
      <c r="F777" s="12"/>
      <c r="G777" s="12"/>
      <c r="H777" s="12"/>
      <c r="I777" s="12"/>
      <c r="J777" s="12"/>
      <c r="K777" s="12"/>
      <c r="L777" s="12"/>
      <c r="M777" s="12"/>
      <c r="N777" s="12"/>
      <c r="O777" s="12"/>
      <c r="P777" s="12"/>
      <c r="Q777" s="12"/>
      <c r="R777" s="12"/>
      <c r="S777" s="12"/>
      <c r="T777" s="12"/>
      <c r="U777" s="12"/>
      <c r="V777" s="12"/>
      <c r="W777" s="12"/>
      <c r="X777" s="12"/>
      <c r="Y777" s="12"/>
      <c r="Z777" s="12"/>
    </row>
    <row r="778" spans="1:26" ht="15.75" customHeight="1" x14ac:dyDescent="0.25">
      <c r="A778" s="12"/>
      <c r="B778" s="12"/>
      <c r="C778" s="12"/>
      <c r="D778" s="12"/>
      <c r="E778" s="13"/>
      <c r="F778" s="12"/>
      <c r="G778" s="12"/>
      <c r="H778" s="12"/>
      <c r="I778" s="12"/>
      <c r="J778" s="12"/>
      <c r="K778" s="12"/>
      <c r="L778" s="12"/>
      <c r="M778" s="12"/>
      <c r="N778" s="12"/>
      <c r="O778" s="12"/>
      <c r="P778" s="12"/>
      <c r="Q778" s="12"/>
      <c r="R778" s="12"/>
      <c r="S778" s="12"/>
      <c r="T778" s="12"/>
      <c r="U778" s="12"/>
      <c r="V778" s="12"/>
      <c r="W778" s="12"/>
      <c r="X778" s="12"/>
      <c r="Y778" s="12"/>
      <c r="Z778" s="12"/>
    </row>
    <row r="779" spans="1:26" ht="15.75" customHeight="1" x14ac:dyDescent="0.25">
      <c r="A779" s="12"/>
      <c r="B779" s="12"/>
      <c r="C779" s="12"/>
      <c r="D779" s="12"/>
      <c r="E779" s="13"/>
      <c r="F779" s="12"/>
      <c r="G779" s="12"/>
      <c r="H779" s="12"/>
      <c r="I779" s="12"/>
      <c r="J779" s="12"/>
      <c r="K779" s="12"/>
      <c r="L779" s="12"/>
      <c r="M779" s="12"/>
      <c r="N779" s="12"/>
      <c r="O779" s="12"/>
      <c r="P779" s="12"/>
      <c r="Q779" s="12"/>
      <c r="R779" s="12"/>
      <c r="S779" s="12"/>
      <c r="T779" s="12"/>
      <c r="U779" s="12"/>
      <c r="V779" s="12"/>
      <c r="W779" s="12"/>
      <c r="X779" s="12"/>
      <c r="Y779" s="12"/>
      <c r="Z779" s="12"/>
    </row>
    <row r="780" spans="1:26" ht="15.75" customHeight="1" x14ac:dyDescent="0.25">
      <c r="A780" s="12"/>
      <c r="B780" s="12"/>
      <c r="C780" s="12"/>
      <c r="D780" s="12"/>
      <c r="E780" s="13"/>
      <c r="F780" s="12"/>
      <c r="G780" s="12"/>
      <c r="H780" s="12"/>
      <c r="I780" s="12"/>
      <c r="J780" s="12"/>
      <c r="K780" s="12"/>
      <c r="L780" s="12"/>
      <c r="M780" s="12"/>
      <c r="N780" s="12"/>
      <c r="O780" s="12"/>
      <c r="P780" s="12"/>
      <c r="Q780" s="12"/>
      <c r="R780" s="12"/>
      <c r="S780" s="12"/>
      <c r="T780" s="12"/>
      <c r="U780" s="12"/>
      <c r="V780" s="12"/>
      <c r="W780" s="12"/>
      <c r="X780" s="12"/>
      <c r="Y780" s="12"/>
      <c r="Z780" s="12"/>
    </row>
    <row r="781" spans="1:26" ht="15.75" customHeight="1" x14ac:dyDescent="0.25">
      <c r="A781" s="12"/>
      <c r="B781" s="12"/>
      <c r="C781" s="12"/>
      <c r="D781" s="12"/>
      <c r="E781" s="13"/>
      <c r="F781" s="12"/>
      <c r="G781" s="12"/>
      <c r="H781" s="12"/>
      <c r="I781" s="12"/>
      <c r="J781" s="12"/>
      <c r="K781" s="12"/>
      <c r="L781" s="12"/>
      <c r="M781" s="12"/>
      <c r="N781" s="12"/>
      <c r="O781" s="12"/>
      <c r="P781" s="12"/>
      <c r="Q781" s="12"/>
      <c r="R781" s="12"/>
      <c r="S781" s="12"/>
      <c r="T781" s="12"/>
      <c r="U781" s="12"/>
      <c r="V781" s="12"/>
      <c r="W781" s="12"/>
      <c r="X781" s="12"/>
      <c r="Y781" s="12"/>
      <c r="Z781" s="12"/>
    </row>
    <row r="782" spans="1:26" ht="15.75" customHeight="1" x14ac:dyDescent="0.25">
      <c r="A782" s="12"/>
      <c r="B782" s="12"/>
      <c r="C782" s="12"/>
      <c r="D782" s="12"/>
      <c r="E782" s="13"/>
      <c r="F782" s="12"/>
      <c r="G782" s="12"/>
      <c r="H782" s="12"/>
      <c r="I782" s="12"/>
      <c r="J782" s="12"/>
      <c r="K782" s="12"/>
      <c r="L782" s="12"/>
      <c r="M782" s="12"/>
      <c r="N782" s="12"/>
      <c r="O782" s="12"/>
      <c r="P782" s="12"/>
      <c r="Q782" s="12"/>
      <c r="R782" s="12"/>
      <c r="S782" s="12"/>
      <c r="T782" s="12"/>
      <c r="U782" s="12"/>
      <c r="V782" s="12"/>
      <c r="W782" s="12"/>
      <c r="X782" s="12"/>
      <c r="Y782" s="12"/>
      <c r="Z782" s="12"/>
    </row>
    <row r="783" spans="1:26" ht="15.75" customHeight="1" x14ac:dyDescent="0.25">
      <c r="A783" s="12"/>
      <c r="B783" s="12"/>
      <c r="C783" s="12"/>
      <c r="D783" s="12"/>
      <c r="E783" s="13"/>
      <c r="F783" s="12"/>
      <c r="G783" s="12"/>
      <c r="H783" s="12"/>
      <c r="I783" s="12"/>
      <c r="J783" s="12"/>
      <c r="K783" s="12"/>
      <c r="L783" s="12"/>
      <c r="M783" s="12"/>
      <c r="N783" s="12"/>
      <c r="O783" s="12"/>
      <c r="P783" s="12"/>
      <c r="Q783" s="12"/>
      <c r="R783" s="12"/>
      <c r="S783" s="12"/>
      <c r="T783" s="12"/>
      <c r="U783" s="12"/>
      <c r="V783" s="12"/>
      <c r="W783" s="12"/>
      <c r="X783" s="12"/>
      <c r="Y783" s="12"/>
      <c r="Z783" s="12"/>
    </row>
    <row r="784" spans="1:26" ht="15.75" customHeight="1" x14ac:dyDescent="0.25">
      <c r="A784" s="12"/>
      <c r="B784" s="12"/>
      <c r="C784" s="12"/>
      <c r="D784" s="12"/>
      <c r="E784" s="13"/>
      <c r="F784" s="12"/>
      <c r="G784" s="12"/>
      <c r="H784" s="12"/>
      <c r="I784" s="12"/>
      <c r="J784" s="12"/>
      <c r="K784" s="12"/>
      <c r="L784" s="12"/>
      <c r="M784" s="12"/>
      <c r="N784" s="12"/>
      <c r="O784" s="12"/>
      <c r="P784" s="12"/>
      <c r="Q784" s="12"/>
      <c r="R784" s="12"/>
      <c r="S784" s="12"/>
      <c r="T784" s="12"/>
      <c r="U784" s="12"/>
      <c r="V784" s="12"/>
      <c r="W784" s="12"/>
      <c r="X784" s="12"/>
      <c r="Y784" s="12"/>
      <c r="Z784" s="12"/>
    </row>
    <row r="785" spans="1:26" ht="15.75" customHeight="1" x14ac:dyDescent="0.25">
      <c r="A785" s="12"/>
      <c r="B785" s="12"/>
      <c r="C785" s="12"/>
      <c r="D785" s="12"/>
      <c r="E785" s="13"/>
      <c r="F785" s="12"/>
      <c r="G785" s="12"/>
      <c r="H785" s="12"/>
      <c r="I785" s="12"/>
      <c r="J785" s="12"/>
      <c r="K785" s="12"/>
      <c r="L785" s="12"/>
      <c r="M785" s="12"/>
      <c r="N785" s="12"/>
      <c r="O785" s="12"/>
      <c r="P785" s="12"/>
      <c r="Q785" s="12"/>
      <c r="R785" s="12"/>
      <c r="S785" s="12"/>
      <c r="T785" s="12"/>
      <c r="U785" s="12"/>
      <c r="V785" s="12"/>
      <c r="W785" s="12"/>
      <c r="X785" s="12"/>
      <c r="Y785" s="12"/>
      <c r="Z785" s="12"/>
    </row>
    <row r="786" spans="1:26" ht="15.75" customHeight="1" x14ac:dyDescent="0.25">
      <c r="A786" s="12"/>
      <c r="B786" s="12"/>
      <c r="C786" s="12"/>
      <c r="D786" s="12"/>
      <c r="E786" s="13"/>
      <c r="F786" s="12"/>
      <c r="G786" s="12"/>
      <c r="H786" s="12"/>
      <c r="I786" s="12"/>
      <c r="J786" s="12"/>
      <c r="K786" s="12"/>
      <c r="L786" s="12"/>
      <c r="M786" s="12"/>
      <c r="N786" s="12"/>
      <c r="O786" s="12"/>
      <c r="P786" s="12"/>
      <c r="Q786" s="12"/>
      <c r="R786" s="12"/>
      <c r="S786" s="12"/>
      <c r="T786" s="12"/>
      <c r="U786" s="12"/>
      <c r="V786" s="12"/>
      <c r="W786" s="12"/>
      <c r="X786" s="12"/>
      <c r="Y786" s="12"/>
      <c r="Z786" s="12"/>
    </row>
    <row r="787" spans="1:26" ht="15.75" customHeight="1" x14ac:dyDescent="0.25">
      <c r="A787" s="12"/>
      <c r="B787" s="12"/>
      <c r="C787" s="12"/>
      <c r="D787" s="12"/>
      <c r="E787" s="13"/>
      <c r="F787" s="12"/>
      <c r="G787" s="12"/>
      <c r="H787" s="12"/>
      <c r="I787" s="12"/>
      <c r="J787" s="12"/>
      <c r="K787" s="12"/>
      <c r="L787" s="12"/>
      <c r="M787" s="12"/>
      <c r="N787" s="12"/>
      <c r="O787" s="12"/>
      <c r="P787" s="12"/>
      <c r="Q787" s="12"/>
      <c r="R787" s="12"/>
      <c r="S787" s="12"/>
      <c r="T787" s="12"/>
      <c r="U787" s="12"/>
      <c r="V787" s="12"/>
      <c r="W787" s="12"/>
      <c r="X787" s="12"/>
      <c r="Y787" s="12"/>
      <c r="Z787" s="12"/>
    </row>
    <row r="788" spans="1:26" ht="15.75" customHeight="1" x14ac:dyDescent="0.25">
      <c r="A788" s="12"/>
      <c r="B788" s="12"/>
      <c r="C788" s="12"/>
      <c r="D788" s="12"/>
      <c r="E788" s="13"/>
      <c r="F788" s="12"/>
      <c r="G788" s="12"/>
      <c r="H788" s="12"/>
      <c r="I788" s="12"/>
      <c r="J788" s="12"/>
      <c r="K788" s="12"/>
      <c r="L788" s="12"/>
      <c r="M788" s="12"/>
      <c r="N788" s="12"/>
      <c r="O788" s="12"/>
      <c r="P788" s="12"/>
      <c r="Q788" s="12"/>
      <c r="R788" s="12"/>
      <c r="S788" s="12"/>
      <c r="T788" s="12"/>
      <c r="U788" s="12"/>
      <c r="V788" s="12"/>
      <c r="W788" s="12"/>
      <c r="X788" s="12"/>
      <c r="Y788" s="12"/>
      <c r="Z788" s="12"/>
    </row>
    <row r="789" spans="1:26" ht="15.75" customHeight="1" x14ac:dyDescent="0.25">
      <c r="A789" s="12"/>
      <c r="B789" s="12"/>
      <c r="C789" s="12"/>
      <c r="D789" s="12"/>
      <c r="E789" s="13"/>
      <c r="F789" s="12"/>
      <c r="G789" s="12"/>
      <c r="H789" s="12"/>
      <c r="I789" s="12"/>
      <c r="J789" s="12"/>
      <c r="K789" s="12"/>
      <c r="L789" s="12"/>
      <c r="M789" s="12"/>
      <c r="N789" s="12"/>
      <c r="O789" s="12"/>
      <c r="P789" s="12"/>
      <c r="Q789" s="12"/>
      <c r="R789" s="12"/>
      <c r="S789" s="12"/>
      <c r="T789" s="12"/>
      <c r="U789" s="12"/>
      <c r="V789" s="12"/>
      <c r="W789" s="12"/>
      <c r="X789" s="12"/>
      <c r="Y789" s="12"/>
      <c r="Z789" s="12"/>
    </row>
    <row r="790" spans="1:26" ht="15.75" customHeight="1" x14ac:dyDescent="0.25">
      <c r="A790" s="12"/>
      <c r="B790" s="12"/>
      <c r="C790" s="12"/>
      <c r="D790" s="12"/>
      <c r="E790" s="13"/>
      <c r="F790" s="12"/>
      <c r="G790" s="12"/>
      <c r="H790" s="12"/>
      <c r="I790" s="12"/>
      <c r="J790" s="12"/>
      <c r="K790" s="12"/>
      <c r="L790" s="12"/>
      <c r="M790" s="12"/>
      <c r="N790" s="12"/>
      <c r="O790" s="12"/>
      <c r="P790" s="12"/>
      <c r="Q790" s="12"/>
      <c r="R790" s="12"/>
      <c r="S790" s="12"/>
      <c r="T790" s="12"/>
      <c r="U790" s="12"/>
      <c r="V790" s="12"/>
      <c r="W790" s="12"/>
      <c r="X790" s="12"/>
      <c r="Y790" s="12"/>
      <c r="Z790" s="12"/>
    </row>
    <row r="791" spans="1:26" ht="15.75" customHeight="1" x14ac:dyDescent="0.25">
      <c r="A791" s="12"/>
      <c r="B791" s="12"/>
      <c r="C791" s="12"/>
      <c r="D791" s="12"/>
      <c r="E791" s="13"/>
      <c r="F791" s="12"/>
      <c r="G791" s="12"/>
      <c r="H791" s="12"/>
      <c r="I791" s="12"/>
      <c r="J791" s="12"/>
      <c r="K791" s="12"/>
      <c r="L791" s="12"/>
      <c r="M791" s="12"/>
      <c r="N791" s="12"/>
      <c r="O791" s="12"/>
      <c r="P791" s="12"/>
      <c r="Q791" s="12"/>
      <c r="R791" s="12"/>
      <c r="S791" s="12"/>
      <c r="T791" s="12"/>
      <c r="U791" s="12"/>
      <c r="V791" s="12"/>
      <c r="W791" s="12"/>
      <c r="X791" s="12"/>
      <c r="Y791" s="12"/>
      <c r="Z791" s="12"/>
    </row>
    <row r="792" spans="1:26" ht="15.75" customHeight="1" x14ac:dyDescent="0.25">
      <c r="A792" s="12"/>
      <c r="B792" s="12"/>
      <c r="C792" s="12"/>
      <c r="D792" s="12"/>
      <c r="E792" s="13"/>
      <c r="F792" s="12"/>
      <c r="G792" s="12"/>
      <c r="H792" s="12"/>
      <c r="I792" s="12"/>
      <c r="J792" s="12"/>
      <c r="K792" s="12"/>
      <c r="L792" s="12"/>
      <c r="M792" s="12"/>
      <c r="N792" s="12"/>
      <c r="O792" s="12"/>
      <c r="P792" s="12"/>
      <c r="Q792" s="12"/>
      <c r="R792" s="12"/>
      <c r="S792" s="12"/>
      <c r="T792" s="12"/>
      <c r="U792" s="12"/>
      <c r="V792" s="12"/>
      <c r="W792" s="12"/>
      <c r="X792" s="12"/>
      <c r="Y792" s="12"/>
      <c r="Z792" s="12"/>
    </row>
    <row r="793" spans="1:26" ht="15.75" customHeight="1" x14ac:dyDescent="0.25">
      <c r="A793" s="12"/>
      <c r="B793" s="12"/>
      <c r="C793" s="12"/>
      <c r="D793" s="12"/>
      <c r="E793" s="13"/>
      <c r="F793" s="12"/>
      <c r="G793" s="12"/>
      <c r="H793" s="12"/>
      <c r="I793" s="12"/>
      <c r="J793" s="12"/>
      <c r="K793" s="12"/>
      <c r="L793" s="12"/>
      <c r="M793" s="12"/>
      <c r="N793" s="12"/>
      <c r="O793" s="12"/>
      <c r="P793" s="12"/>
      <c r="Q793" s="12"/>
      <c r="R793" s="12"/>
      <c r="S793" s="12"/>
      <c r="T793" s="12"/>
      <c r="U793" s="12"/>
      <c r="V793" s="12"/>
      <c r="W793" s="12"/>
      <c r="X793" s="12"/>
      <c r="Y793" s="12"/>
      <c r="Z793" s="12"/>
    </row>
    <row r="794" spans="1:26" ht="15.75" customHeight="1" x14ac:dyDescent="0.25">
      <c r="A794" s="12"/>
      <c r="B794" s="12"/>
      <c r="C794" s="12"/>
      <c r="D794" s="12"/>
      <c r="E794" s="13"/>
      <c r="F794" s="12"/>
      <c r="G794" s="12"/>
      <c r="H794" s="12"/>
      <c r="I794" s="12"/>
      <c r="J794" s="12"/>
      <c r="K794" s="12"/>
      <c r="L794" s="12"/>
      <c r="M794" s="12"/>
      <c r="N794" s="12"/>
      <c r="O794" s="12"/>
      <c r="P794" s="12"/>
      <c r="Q794" s="12"/>
      <c r="R794" s="12"/>
      <c r="S794" s="12"/>
      <c r="T794" s="12"/>
      <c r="U794" s="12"/>
      <c r="V794" s="12"/>
      <c r="W794" s="12"/>
      <c r="X794" s="12"/>
      <c r="Y794" s="12"/>
      <c r="Z794" s="12"/>
    </row>
    <row r="795" spans="1:26" ht="15.75" customHeight="1" x14ac:dyDescent="0.25">
      <c r="A795" s="12"/>
      <c r="B795" s="12"/>
      <c r="C795" s="12"/>
      <c r="D795" s="12"/>
      <c r="E795" s="13"/>
      <c r="F795" s="12"/>
      <c r="G795" s="12"/>
      <c r="H795" s="12"/>
      <c r="I795" s="12"/>
      <c r="J795" s="12"/>
      <c r="K795" s="12"/>
      <c r="L795" s="12"/>
      <c r="M795" s="12"/>
      <c r="N795" s="12"/>
      <c r="O795" s="12"/>
      <c r="P795" s="12"/>
      <c r="Q795" s="12"/>
      <c r="R795" s="12"/>
      <c r="S795" s="12"/>
      <c r="T795" s="12"/>
      <c r="U795" s="12"/>
      <c r="V795" s="12"/>
      <c r="W795" s="12"/>
      <c r="X795" s="12"/>
      <c r="Y795" s="12"/>
      <c r="Z795" s="12"/>
    </row>
    <row r="796" spans="1:26" ht="15.75" customHeight="1" x14ac:dyDescent="0.25">
      <c r="A796" s="12"/>
      <c r="B796" s="12"/>
      <c r="C796" s="12"/>
      <c r="D796" s="12"/>
      <c r="E796" s="13"/>
      <c r="F796" s="12"/>
      <c r="G796" s="12"/>
      <c r="H796" s="12"/>
      <c r="I796" s="12"/>
      <c r="J796" s="12"/>
      <c r="K796" s="12"/>
      <c r="L796" s="12"/>
      <c r="M796" s="12"/>
      <c r="N796" s="12"/>
      <c r="O796" s="12"/>
      <c r="P796" s="12"/>
      <c r="Q796" s="12"/>
      <c r="R796" s="12"/>
      <c r="S796" s="12"/>
      <c r="T796" s="12"/>
      <c r="U796" s="12"/>
      <c r="V796" s="12"/>
      <c r="W796" s="12"/>
      <c r="X796" s="12"/>
      <c r="Y796" s="12"/>
      <c r="Z796" s="12"/>
    </row>
    <row r="797" spans="1:26" ht="15.75" customHeight="1" x14ac:dyDescent="0.25">
      <c r="A797" s="12"/>
      <c r="B797" s="12"/>
      <c r="C797" s="12"/>
      <c r="D797" s="12"/>
      <c r="E797" s="13"/>
      <c r="F797" s="12"/>
      <c r="G797" s="12"/>
      <c r="H797" s="12"/>
      <c r="I797" s="12"/>
      <c r="J797" s="12"/>
      <c r="K797" s="12"/>
      <c r="L797" s="12"/>
      <c r="M797" s="12"/>
      <c r="N797" s="12"/>
      <c r="O797" s="12"/>
      <c r="P797" s="12"/>
      <c r="Q797" s="12"/>
      <c r="R797" s="12"/>
      <c r="S797" s="12"/>
      <c r="T797" s="12"/>
      <c r="U797" s="12"/>
      <c r="V797" s="12"/>
      <c r="W797" s="12"/>
      <c r="X797" s="12"/>
      <c r="Y797" s="12"/>
      <c r="Z797" s="12"/>
    </row>
    <row r="798" spans="1:26" ht="15.75" customHeight="1" x14ac:dyDescent="0.25">
      <c r="A798" s="12"/>
      <c r="B798" s="12"/>
      <c r="C798" s="12"/>
      <c r="D798" s="12"/>
      <c r="E798" s="13"/>
      <c r="F798" s="12"/>
      <c r="G798" s="12"/>
      <c r="H798" s="12"/>
      <c r="I798" s="12"/>
      <c r="J798" s="12"/>
      <c r="K798" s="12"/>
      <c r="L798" s="12"/>
      <c r="M798" s="12"/>
      <c r="N798" s="12"/>
      <c r="O798" s="12"/>
      <c r="P798" s="12"/>
      <c r="Q798" s="12"/>
      <c r="R798" s="12"/>
      <c r="S798" s="12"/>
      <c r="T798" s="12"/>
      <c r="U798" s="12"/>
      <c r="V798" s="12"/>
      <c r="W798" s="12"/>
      <c r="X798" s="12"/>
      <c r="Y798" s="12"/>
      <c r="Z798" s="12"/>
    </row>
    <row r="799" spans="1:26" ht="15.75" customHeight="1" x14ac:dyDescent="0.25">
      <c r="A799" s="12"/>
      <c r="B799" s="12"/>
      <c r="C799" s="12"/>
      <c r="D799" s="12"/>
      <c r="E799" s="13"/>
      <c r="F799" s="12"/>
      <c r="G799" s="12"/>
      <c r="H799" s="12"/>
      <c r="I799" s="12"/>
      <c r="J799" s="12"/>
      <c r="K799" s="12"/>
      <c r="L799" s="12"/>
      <c r="M799" s="12"/>
      <c r="N799" s="12"/>
      <c r="O799" s="12"/>
      <c r="P799" s="12"/>
      <c r="Q799" s="12"/>
      <c r="R799" s="12"/>
      <c r="S799" s="12"/>
      <c r="T799" s="12"/>
      <c r="U799" s="12"/>
      <c r="V799" s="12"/>
      <c r="W799" s="12"/>
      <c r="X799" s="12"/>
      <c r="Y799" s="12"/>
      <c r="Z799" s="12"/>
    </row>
    <row r="800" spans="1:26" ht="15.75" customHeight="1" x14ac:dyDescent="0.25">
      <c r="A800" s="12"/>
      <c r="B800" s="12"/>
      <c r="C800" s="12"/>
      <c r="D800" s="12"/>
      <c r="E800" s="13"/>
      <c r="F800" s="12"/>
      <c r="G800" s="12"/>
      <c r="H800" s="12"/>
      <c r="I800" s="12"/>
      <c r="J800" s="12"/>
      <c r="K800" s="12"/>
      <c r="L800" s="12"/>
      <c r="M800" s="12"/>
      <c r="N800" s="12"/>
      <c r="O800" s="12"/>
      <c r="P800" s="12"/>
      <c r="Q800" s="12"/>
      <c r="R800" s="12"/>
      <c r="S800" s="12"/>
      <c r="T800" s="12"/>
      <c r="U800" s="12"/>
      <c r="V800" s="12"/>
      <c r="W800" s="12"/>
      <c r="X800" s="12"/>
      <c r="Y800" s="12"/>
      <c r="Z800" s="12"/>
    </row>
    <row r="801" spans="1:26" ht="15.75" customHeight="1" x14ac:dyDescent="0.25">
      <c r="A801" s="12"/>
      <c r="B801" s="12"/>
      <c r="C801" s="12"/>
      <c r="D801" s="12"/>
      <c r="E801" s="13"/>
      <c r="F801" s="12"/>
      <c r="G801" s="12"/>
      <c r="H801" s="12"/>
      <c r="I801" s="12"/>
      <c r="J801" s="12"/>
      <c r="K801" s="12"/>
      <c r="L801" s="12"/>
      <c r="M801" s="12"/>
      <c r="N801" s="12"/>
      <c r="O801" s="12"/>
      <c r="P801" s="12"/>
      <c r="Q801" s="12"/>
      <c r="R801" s="12"/>
      <c r="S801" s="12"/>
      <c r="T801" s="12"/>
      <c r="U801" s="12"/>
      <c r="V801" s="12"/>
      <c r="W801" s="12"/>
      <c r="X801" s="12"/>
      <c r="Y801" s="12"/>
      <c r="Z801" s="12"/>
    </row>
    <row r="802" spans="1:26" ht="15.75" customHeight="1" x14ac:dyDescent="0.25">
      <c r="A802" s="12"/>
      <c r="B802" s="12"/>
      <c r="C802" s="12"/>
      <c r="D802" s="12"/>
      <c r="E802" s="13"/>
      <c r="F802" s="12"/>
      <c r="G802" s="12"/>
      <c r="H802" s="12"/>
      <c r="I802" s="12"/>
      <c r="J802" s="12"/>
      <c r="K802" s="12"/>
      <c r="L802" s="12"/>
      <c r="M802" s="12"/>
      <c r="N802" s="12"/>
      <c r="O802" s="12"/>
      <c r="P802" s="12"/>
      <c r="Q802" s="12"/>
      <c r="R802" s="12"/>
      <c r="S802" s="12"/>
      <c r="T802" s="12"/>
      <c r="U802" s="12"/>
      <c r="V802" s="12"/>
      <c r="W802" s="12"/>
      <c r="X802" s="12"/>
      <c r="Y802" s="12"/>
      <c r="Z802" s="12"/>
    </row>
    <row r="803" spans="1:26" ht="15.75" customHeight="1" x14ac:dyDescent="0.25">
      <c r="A803" s="12"/>
      <c r="B803" s="12"/>
      <c r="C803" s="12"/>
      <c r="D803" s="12"/>
      <c r="E803" s="13"/>
      <c r="F803" s="12"/>
      <c r="G803" s="12"/>
      <c r="H803" s="12"/>
      <c r="I803" s="12"/>
      <c r="J803" s="12"/>
      <c r="K803" s="12"/>
      <c r="L803" s="12"/>
      <c r="M803" s="12"/>
      <c r="N803" s="12"/>
      <c r="O803" s="12"/>
      <c r="P803" s="12"/>
      <c r="Q803" s="12"/>
      <c r="R803" s="12"/>
      <c r="S803" s="12"/>
      <c r="T803" s="12"/>
      <c r="U803" s="12"/>
      <c r="V803" s="12"/>
      <c r="W803" s="12"/>
      <c r="X803" s="12"/>
      <c r="Y803" s="12"/>
      <c r="Z803" s="12"/>
    </row>
    <row r="804" spans="1:26" ht="15.75" customHeight="1" x14ac:dyDescent="0.25">
      <c r="A804" s="12"/>
      <c r="B804" s="12"/>
      <c r="C804" s="12"/>
      <c r="D804" s="12"/>
      <c r="E804" s="13"/>
      <c r="F804" s="12"/>
      <c r="G804" s="12"/>
      <c r="H804" s="12"/>
      <c r="I804" s="12"/>
      <c r="J804" s="12"/>
      <c r="K804" s="12"/>
      <c r="L804" s="12"/>
      <c r="M804" s="12"/>
      <c r="N804" s="12"/>
      <c r="O804" s="12"/>
      <c r="P804" s="12"/>
      <c r="Q804" s="12"/>
      <c r="R804" s="12"/>
      <c r="S804" s="12"/>
      <c r="T804" s="12"/>
      <c r="U804" s="12"/>
      <c r="V804" s="12"/>
      <c r="W804" s="12"/>
      <c r="X804" s="12"/>
      <c r="Y804" s="12"/>
      <c r="Z804" s="12"/>
    </row>
    <row r="805" spans="1:26" ht="15.75" customHeight="1" x14ac:dyDescent="0.25">
      <c r="A805" s="12"/>
      <c r="B805" s="12"/>
      <c r="C805" s="12"/>
      <c r="D805" s="12"/>
      <c r="E805" s="13"/>
      <c r="F805" s="12"/>
      <c r="G805" s="12"/>
      <c r="H805" s="12"/>
      <c r="I805" s="12"/>
      <c r="J805" s="12"/>
      <c r="K805" s="12"/>
      <c r="L805" s="12"/>
      <c r="M805" s="12"/>
      <c r="N805" s="12"/>
      <c r="O805" s="12"/>
      <c r="P805" s="12"/>
      <c r="Q805" s="12"/>
      <c r="R805" s="12"/>
      <c r="S805" s="12"/>
      <c r="T805" s="12"/>
      <c r="U805" s="12"/>
      <c r="V805" s="12"/>
      <c r="W805" s="12"/>
      <c r="X805" s="12"/>
      <c r="Y805" s="12"/>
      <c r="Z805" s="12"/>
    </row>
    <row r="806" spans="1:26" ht="15.75" customHeight="1" x14ac:dyDescent="0.25">
      <c r="A806" s="12"/>
      <c r="B806" s="12"/>
      <c r="C806" s="12"/>
      <c r="D806" s="12"/>
      <c r="E806" s="13"/>
      <c r="F806" s="12"/>
      <c r="G806" s="12"/>
      <c r="H806" s="12"/>
      <c r="I806" s="12"/>
      <c r="J806" s="12"/>
      <c r="K806" s="12"/>
      <c r="L806" s="12"/>
      <c r="M806" s="12"/>
      <c r="N806" s="12"/>
      <c r="O806" s="12"/>
      <c r="P806" s="12"/>
      <c r="Q806" s="12"/>
      <c r="R806" s="12"/>
      <c r="S806" s="12"/>
      <c r="T806" s="12"/>
      <c r="U806" s="12"/>
      <c r="V806" s="12"/>
      <c r="W806" s="12"/>
      <c r="X806" s="12"/>
      <c r="Y806" s="12"/>
      <c r="Z806" s="12"/>
    </row>
    <row r="807" spans="1:26" ht="15.75" customHeight="1" x14ac:dyDescent="0.25">
      <c r="A807" s="12"/>
      <c r="B807" s="12"/>
      <c r="C807" s="12"/>
      <c r="D807" s="12"/>
      <c r="E807" s="13"/>
      <c r="F807" s="12"/>
      <c r="G807" s="12"/>
      <c r="H807" s="12"/>
      <c r="I807" s="12"/>
      <c r="J807" s="12"/>
      <c r="K807" s="12"/>
      <c r="L807" s="12"/>
      <c r="M807" s="12"/>
      <c r="N807" s="12"/>
      <c r="O807" s="12"/>
      <c r="P807" s="12"/>
      <c r="Q807" s="12"/>
      <c r="R807" s="12"/>
      <c r="S807" s="12"/>
      <c r="T807" s="12"/>
      <c r="U807" s="12"/>
      <c r="V807" s="12"/>
      <c r="W807" s="12"/>
      <c r="X807" s="12"/>
      <c r="Y807" s="12"/>
      <c r="Z807" s="12"/>
    </row>
    <row r="808" spans="1:26" ht="15.75" customHeight="1" x14ac:dyDescent="0.25">
      <c r="A808" s="12"/>
      <c r="B808" s="12"/>
      <c r="C808" s="12"/>
      <c r="D808" s="12"/>
      <c r="E808" s="13"/>
      <c r="F808" s="12"/>
      <c r="G808" s="12"/>
      <c r="H808" s="12"/>
      <c r="I808" s="12"/>
      <c r="J808" s="12"/>
      <c r="K808" s="12"/>
      <c r="L808" s="12"/>
      <c r="M808" s="12"/>
      <c r="N808" s="12"/>
      <c r="O808" s="12"/>
      <c r="P808" s="12"/>
      <c r="Q808" s="12"/>
      <c r="R808" s="12"/>
      <c r="S808" s="12"/>
      <c r="T808" s="12"/>
      <c r="U808" s="12"/>
      <c r="V808" s="12"/>
      <c r="W808" s="12"/>
      <c r="X808" s="12"/>
      <c r="Y808" s="12"/>
      <c r="Z808" s="12"/>
    </row>
    <row r="809" spans="1:26" ht="15.75" customHeight="1" x14ac:dyDescent="0.25">
      <c r="A809" s="12"/>
      <c r="B809" s="12"/>
      <c r="C809" s="12"/>
      <c r="D809" s="12"/>
      <c r="E809" s="13"/>
      <c r="F809" s="12"/>
      <c r="G809" s="12"/>
      <c r="H809" s="12"/>
      <c r="I809" s="12"/>
      <c r="J809" s="12"/>
      <c r="K809" s="12"/>
      <c r="L809" s="12"/>
      <c r="M809" s="12"/>
      <c r="N809" s="12"/>
      <c r="O809" s="12"/>
      <c r="P809" s="12"/>
      <c r="Q809" s="12"/>
      <c r="R809" s="12"/>
      <c r="S809" s="12"/>
      <c r="T809" s="12"/>
      <c r="U809" s="12"/>
      <c r="V809" s="12"/>
      <c r="W809" s="12"/>
      <c r="X809" s="12"/>
      <c r="Y809" s="12"/>
      <c r="Z809" s="12"/>
    </row>
    <row r="810" spans="1:26" ht="15.75" customHeight="1" x14ac:dyDescent="0.25">
      <c r="A810" s="12"/>
      <c r="B810" s="12"/>
      <c r="C810" s="12"/>
      <c r="D810" s="12"/>
      <c r="E810" s="13"/>
      <c r="F810" s="12"/>
      <c r="G810" s="12"/>
      <c r="H810" s="12"/>
      <c r="I810" s="12"/>
      <c r="J810" s="12"/>
      <c r="K810" s="12"/>
      <c r="L810" s="12"/>
      <c r="M810" s="12"/>
      <c r="N810" s="12"/>
      <c r="O810" s="12"/>
      <c r="P810" s="12"/>
      <c r="Q810" s="12"/>
      <c r="R810" s="12"/>
      <c r="S810" s="12"/>
      <c r="T810" s="12"/>
      <c r="U810" s="12"/>
      <c r="V810" s="12"/>
      <c r="W810" s="12"/>
      <c r="X810" s="12"/>
      <c r="Y810" s="12"/>
      <c r="Z810" s="12"/>
    </row>
    <row r="811" spans="1:26" ht="15.75" customHeight="1" x14ac:dyDescent="0.25">
      <c r="A811" s="12"/>
      <c r="B811" s="12"/>
      <c r="C811" s="12"/>
      <c r="D811" s="12"/>
      <c r="E811" s="13"/>
      <c r="F811" s="12"/>
      <c r="G811" s="12"/>
      <c r="H811" s="12"/>
      <c r="I811" s="12"/>
      <c r="J811" s="12"/>
      <c r="K811" s="12"/>
      <c r="L811" s="12"/>
      <c r="M811" s="12"/>
      <c r="N811" s="12"/>
      <c r="O811" s="12"/>
      <c r="P811" s="12"/>
      <c r="Q811" s="12"/>
      <c r="R811" s="12"/>
      <c r="S811" s="12"/>
      <c r="T811" s="12"/>
      <c r="U811" s="12"/>
      <c r="V811" s="12"/>
      <c r="W811" s="12"/>
      <c r="X811" s="12"/>
      <c r="Y811" s="12"/>
      <c r="Z811" s="12"/>
    </row>
    <row r="812" spans="1:26" ht="15.75" customHeight="1" x14ac:dyDescent="0.25">
      <c r="A812" s="12"/>
      <c r="B812" s="12"/>
      <c r="C812" s="12"/>
      <c r="D812" s="12"/>
      <c r="E812" s="13"/>
      <c r="F812" s="12"/>
      <c r="G812" s="12"/>
      <c r="H812" s="12"/>
      <c r="I812" s="12"/>
      <c r="J812" s="12"/>
      <c r="K812" s="12"/>
      <c r="L812" s="12"/>
      <c r="M812" s="12"/>
      <c r="N812" s="12"/>
      <c r="O812" s="12"/>
      <c r="P812" s="12"/>
      <c r="Q812" s="12"/>
      <c r="R812" s="12"/>
      <c r="S812" s="12"/>
      <c r="T812" s="12"/>
      <c r="U812" s="12"/>
      <c r="V812" s="12"/>
      <c r="W812" s="12"/>
      <c r="X812" s="12"/>
      <c r="Y812" s="12"/>
      <c r="Z812" s="12"/>
    </row>
    <row r="813" spans="1:26" ht="15.75" customHeight="1" x14ac:dyDescent="0.25">
      <c r="A813" s="12"/>
      <c r="B813" s="12"/>
      <c r="C813" s="12"/>
      <c r="D813" s="12"/>
      <c r="E813" s="13"/>
      <c r="F813" s="12"/>
      <c r="G813" s="12"/>
      <c r="H813" s="12"/>
      <c r="I813" s="12"/>
      <c r="J813" s="12"/>
      <c r="K813" s="12"/>
      <c r="L813" s="12"/>
      <c r="M813" s="12"/>
      <c r="N813" s="12"/>
      <c r="O813" s="12"/>
      <c r="P813" s="12"/>
      <c r="Q813" s="12"/>
      <c r="R813" s="12"/>
      <c r="S813" s="12"/>
      <c r="T813" s="12"/>
      <c r="U813" s="12"/>
      <c r="V813" s="12"/>
      <c r="W813" s="12"/>
      <c r="X813" s="12"/>
      <c r="Y813" s="12"/>
      <c r="Z813" s="12"/>
    </row>
    <row r="814" spans="1:26" ht="15.75" customHeight="1" x14ac:dyDescent="0.25">
      <c r="A814" s="12"/>
      <c r="B814" s="12"/>
      <c r="C814" s="12"/>
      <c r="D814" s="12"/>
      <c r="E814" s="13"/>
      <c r="F814" s="12"/>
      <c r="G814" s="12"/>
      <c r="H814" s="12"/>
      <c r="I814" s="12"/>
      <c r="J814" s="12"/>
      <c r="K814" s="12"/>
      <c r="L814" s="12"/>
      <c r="M814" s="12"/>
      <c r="N814" s="12"/>
      <c r="O814" s="12"/>
      <c r="P814" s="12"/>
      <c r="Q814" s="12"/>
      <c r="R814" s="12"/>
      <c r="S814" s="12"/>
      <c r="T814" s="12"/>
      <c r="U814" s="12"/>
      <c r="V814" s="12"/>
      <c r="W814" s="12"/>
      <c r="X814" s="12"/>
      <c r="Y814" s="12"/>
      <c r="Z814" s="12"/>
    </row>
    <row r="815" spans="1:26" ht="15.75" customHeight="1" x14ac:dyDescent="0.25">
      <c r="A815" s="12"/>
      <c r="B815" s="12"/>
      <c r="C815" s="12"/>
      <c r="D815" s="12"/>
      <c r="E815" s="13"/>
      <c r="F815" s="12"/>
      <c r="G815" s="12"/>
      <c r="H815" s="12"/>
      <c r="I815" s="12"/>
      <c r="J815" s="12"/>
      <c r="K815" s="12"/>
      <c r="L815" s="12"/>
      <c r="M815" s="12"/>
      <c r="N815" s="12"/>
      <c r="O815" s="12"/>
      <c r="P815" s="12"/>
      <c r="Q815" s="12"/>
      <c r="R815" s="12"/>
      <c r="S815" s="12"/>
      <c r="T815" s="12"/>
      <c r="U815" s="12"/>
      <c r="V815" s="12"/>
      <c r="W815" s="12"/>
      <c r="X815" s="12"/>
      <c r="Y815" s="12"/>
      <c r="Z815" s="12"/>
    </row>
    <row r="816" spans="1:26" ht="15.75" customHeight="1" x14ac:dyDescent="0.25">
      <c r="A816" s="12"/>
      <c r="B816" s="12"/>
      <c r="C816" s="12"/>
      <c r="D816" s="12"/>
      <c r="E816" s="13"/>
      <c r="F816" s="12"/>
      <c r="G816" s="12"/>
      <c r="H816" s="12"/>
      <c r="I816" s="12"/>
      <c r="J816" s="12"/>
      <c r="K816" s="12"/>
      <c r="L816" s="12"/>
      <c r="M816" s="12"/>
      <c r="N816" s="12"/>
      <c r="O816" s="12"/>
      <c r="P816" s="12"/>
      <c r="Q816" s="12"/>
      <c r="R816" s="12"/>
      <c r="S816" s="12"/>
      <c r="T816" s="12"/>
      <c r="U816" s="12"/>
      <c r="V816" s="12"/>
      <c r="W816" s="12"/>
      <c r="X816" s="12"/>
      <c r="Y816" s="12"/>
      <c r="Z816" s="12"/>
    </row>
    <row r="817" spans="1:26" ht="15.75" customHeight="1" x14ac:dyDescent="0.25">
      <c r="A817" s="12"/>
      <c r="B817" s="12"/>
      <c r="C817" s="12"/>
      <c r="D817" s="12"/>
      <c r="E817" s="13"/>
      <c r="F817" s="12"/>
      <c r="G817" s="12"/>
      <c r="H817" s="12"/>
      <c r="I817" s="12"/>
      <c r="J817" s="12"/>
      <c r="K817" s="12"/>
      <c r="L817" s="12"/>
      <c r="M817" s="12"/>
      <c r="N817" s="12"/>
      <c r="O817" s="12"/>
      <c r="P817" s="12"/>
      <c r="Q817" s="12"/>
      <c r="R817" s="12"/>
      <c r="S817" s="12"/>
      <c r="T817" s="12"/>
      <c r="U817" s="12"/>
      <c r="V817" s="12"/>
      <c r="W817" s="12"/>
      <c r="X817" s="12"/>
      <c r="Y817" s="12"/>
      <c r="Z817" s="12"/>
    </row>
    <row r="818" spans="1:26" ht="15.75" customHeight="1" x14ac:dyDescent="0.25">
      <c r="A818" s="12"/>
      <c r="B818" s="12"/>
      <c r="C818" s="12"/>
      <c r="D818" s="12"/>
      <c r="E818" s="13"/>
      <c r="F818" s="12"/>
      <c r="G818" s="12"/>
      <c r="H818" s="12"/>
      <c r="I818" s="12"/>
      <c r="J818" s="12"/>
      <c r="K818" s="12"/>
      <c r="L818" s="12"/>
      <c r="M818" s="12"/>
      <c r="N818" s="12"/>
      <c r="O818" s="12"/>
      <c r="P818" s="12"/>
      <c r="Q818" s="12"/>
      <c r="R818" s="12"/>
      <c r="S818" s="12"/>
      <c r="T818" s="12"/>
      <c r="U818" s="12"/>
      <c r="V818" s="12"/>
      <c r="W818" s="12"/>
      <c r="X818" s="12"/>
      <c r="Y818" s="12"/>
      <c r="Z818" s="12"/>
    </row>
    <row r="819" spans="1:26" ht="15.75" customHeight="1" x14ac:dyDescent="0.25">
      <c r="A819" s="12"/>
      <c r="B819" s="12"/>
      <c r="C819" s="12"/>
      <c r="D819" s="12"/>
      <c r="E819" s="13"/>
      <c r="F819" s="12"/>
      <c r="G819" s="12"/>
      <c r="H819" s="12"/>
      <c r="I819" s="12"/>
      <c r="J819" s="12"/>
      <c r="K819" s="12"/>
      <c r="L819" s="12"/>
      <c r="M819" s="12"/>
      <c r="N819" s="12"/>
      <c r="O819" s="12"/>
      <c r="P819" s="12"/>
      <c r="Q819" s="12"/>
      <c r="R819" s="12"/>
      <c r="S819" s="12"/>
      <c r="T819" s="12"/>
      <c r="U819" s="12"/>
      <c r="V819" s="12"/>
      <c r="W819" s="12"/>
      <c r="X819" s="12"/>
      <c r="Y819" s="12"/>
      <c r="Z819" s="12"/>
    </row>
    <row r="820" spans="1:26" ht="15.75" customHeight="1" x14ac:dyDescent="0.25">
      <c r="A820" s="12"/>
      <c r="B820" s="12"/>
      <c r="C820" s="12"/>
      <c r="D820" s="12"/>
      <c r="E820" s="13"/>
      <c r="F820" s="12"/>
      <c r="G820" s="12"/>
      <c r="H820" s="12"/>
      <c r="I820" s="12"/>
      <c r="J820" s="12"/>
      <c r="K820" s="12"/>
      <c r="L820" s="12"/>
      <c r="M820" s="12"/>
      <c r="N820" s="12"/>
      <c r="O820" s="12"/>
      <c r="P820" s="12"/>
      <c r="Q820" s="12"/>
      <c r="R820" s="12"/>
      <c r="S820" s="12"/>
      <c r="T820" s="12"/>
      <c r="U820" s="12"/>
      <c r="V820" s="12"/>
      <c r="W820" s="12"/>
      <c r="X820" s="12"/>
      <c r="Y820" s="12"/>
      <c r="Z820" s="12"/>
    </row>
    <row r="821" spans="1:26" ht="15.75" customHeight="1" x14ac:dyDescent="0.25">
      <c r="A821" s="12"/>
      <c r="B821" s="12"/>
      <c r="C821" s="12"/>
      <c r="D821" s="12"/>
      <c r="E821" s="13"/>
      <c r="F821" s="12"/>
      <c r="G821" s="12"/>
      <c r="H821" s="12"/>
      <c r="I821" s="12"/>
      <c r="J821" s="12"/>
      <c r="K821" s="12"/>
      <c r="L821" s="12"/>
      <c r="M821" s="12"/>
      <c r="N821" s="12"/>
      <c r="O821" s="12"/>
      <c r="P821" s="12"/>
      <c r="Q821" s="12"/>
      <c r="R821" s="12"/>
      <c r="S821" s="12"/>
      <c r="T821" s="12"/>
      <c r="U821" s="12"/>
      <c r="V821" s="12"/>
      <c r="W821" s="12"/>
      <c r="X821" s="12"/>
      <c r="Y821" s="12"/>
      <c r="Z821" s="12"/>
    </row>
    <row r="822" spans="1:26" ht="15.75" customHeight="1" x14ac:dyDescent="0.25">
      <c r="A822" s="12"/>
      <c r="B822" s="12"/>
      <c r="C822" s="12"/>
      <c r="D822" s="12"/>
      <c r="E822" s="13"/>
      <c r="F822" s="12"/>
      <c r="G822" s="12"/>
      <c r="H822" s="12"/>
      <c r="I822" s="12"/>
      <c r="J822" s="12"/>
      <c r="K822" s="12"/>
      <c r="L822" s="12"/>
      <c r="M822" s="12"/>
      <c r="N822" s="12"/>
      <c r="O822" s="12"/>
      <c r="P822" s="12"/>
      <c r="Q822" s="12"/>
      <c r="R822" s="12"/>
      <c r="S822" s="12"/>
      <c r="T822" s="12"/>
      <c r="U822" s="12"/>
      <c r="V822" s="12"/>
      <c r="W822" s="12"/>
      <c r="X822" s="12"/>
      <c r="Y822" s="12"/>
      <c r="Z822" s="12"/>
    </row>
    <row r="823" spans="1:26" ht="15.75" customHeight="1" x14ac:dyDescent="0.25">
      <c r="A823" s="12"/>
      <c r="B823" s="12"/>
      <c r="C823" s="12"/>
      <c r="D823" s="12"/>
      <c r="E823" s="13"/>
      <c r="F823" s="12"/>
      <c r="G823" s="12"/>
      <c r="H823" s="12"/>
      <c r="I823" s="12"/>
      <c r="J823" s="12"/>
      <c r="K823" s="12"/>
      <c r="L823" s="12"/>
      <c r="M823" s="12"/>
      <c r="N823" s="12"/>
      <c r="O823" s="12"/>
      <c r="P823" s="12"/>
      <c r="Q823" s="12"/>
      <c r="R823" s="12"/>
      <c r="S823" s="12"/>
      <c r="T823" s="12"/>
      <c r="U823" s="12"/>
      <c r="V823" s="12"/>
      <c r="W823" s="12"/>
      <c r="X823" s="12"/>
      <c r="Y823" s="12"/>
      <c r="Z823" s="12"/>
    </row>
    <row r="824" spans="1:26" ht="15.75" customHeight="1" x14ac:dyDescent="0.25">
      <c r="A824" s="12"/>
      <c r="B824" s="12"/>
      <c r="C824" s="12"/>
      <c r="D824" s="12"/>
      <c r="E824" s="13"/>
      <c r="F824" s="12"/>
      <c r="G824" s="12"/>
      <c r="H824" s="12"/>
      <c r="I824" s="12"/>
      <c r="J824" s="12"/>
      <c r="K824" s="12"/>
      <c r="L824" s="12"/>
      <c r="M824" s="12"/>
      <c r="N824" s="12"/>
      <c r="O824" s="12"/>
      <c r="P824" s="12"/>
      <c r="Q824" s="12"/>
      <c r="R824" s="12"/>
      <c r="S824" s="12"/>
      <c r="T824" s="12"/>
      <c r="U824" s="12"/>
      <c r="V824" s="12"/>
      <c r="W824" s="12"/>
      <c r="X824" s="12"/>
      <c r="Y824" s="12"/>
      <c r="Z824" s="12"/>
    </row>
    <row r="825" spans="1:26" ht="15.75" customHeight="1" x14ac:dyDescent="0.25">
      <c r="A825" s="12"/>
      <c r="B825" s="12"/>
      <c r="C825" s="12"/>
      <c r="D825" s="12"/>
      <c r="E825" s="13"/>
      <c r="F825" s="12"/>
      <c r="G825" s="12"/>
      <c r="H825" s="12"/>
      <c r="I825" s="12"/>
      <c r="J825" s="12"/>
      <c r="K825" s="12"/>
      <c r="L825" s="12"/>
      <c r="M825" s="12"/>
      <c r="N825" s="12"/>
      <c r="O825" s="12"/>
      <c r="P825" s="12"/>
      <c r="Q825" s="12"/>
      <c r="R825" s="12"/>
      <c r="S825" s="12"/>
      <c r="T825" s="12"/>
      <c r="U825" s="12"/>
      <c r="V825" s="12"/>
      <c r="W825" s="12"/>
      <c r="X825" s="12"/>
      <c r="Y825" s="12"/>
      <c r="Z825" s="12"/>
    </row>
    <row r="826" spans="1:26" ht="15.75" customHeight="1" x14ac:dyDescent="0.25">
      <c r="A826" s="12"/>
      <c r="B826" s="12"/>
      <c r="C826" s="12"/>
      <c r="D826" s="12"/>
      <c r="E826" s="13"/>
      <c r="F826" s="12"/>
      <c r="G826" s="12"/>
      <c r="H826" s="12"/>
      <c r="I826" s="12"/>
      <c r="J826" s="12"/>
      <c r="K826" s="12"/>
      <c r="L826" s="12"/>
      <c r="M826" s="12"/>
      <c r="N826" s="12"/>
      <c r="O826" s="12"/>
      <c r="P826" s="12"/>
      <c r="Q826" s="12"/>
      <c r="R826" s="12"/>
      <c r="S826" s="12"/>
      <c r="T826" s="12"/>
      <c r="U826" s="12"/>
      <c r="V826" s="12"/>
      <c r="W826" s="12"/>
      <c r="X826" s="12"/>
      <c r="Y826" s="12"/>
      <c r="Z826" s="12"/>
    </row>
    <row r="827" spans="1:26" ht="15.75" customHeight="1" x14ac:dyDescent="0.25">
      <c r="A827" s="12"/>
      <c r="B827" s="12"/>
      <c r="C827" s="12"/>
      <c r="D827" s="12"/>
      <c r="E827" s="13"/>
      <c r="F827" s="12"/>
      <c r="G827" s="12"/>
      <c r="H827" s="12"/>
      <c r="I827" s="12"/>
      <c r="J827" s="12"/>
      <c r="K827" s="12"/>
      <c r="L827" s="12"/>
      <c r="M827" s="12"/>
      <c r="N827" s="12"/>
      <c r="O827" s="12"/>
      <c r="P827" s="12"/>
      <c r="Q827" s="12"/>
      <c r="R827" s="12"/>
      <c r="S827" s="12"/>
      <c r="T827" s="12"/>
      <c r="U827" s="12"/>
      <c r="V827" s="12"/>
      <c r="W827" s="12"/>
      <c r="X827" s="12"/>
      <c r="Y827" s="12"/>
      <c r="Z827" s="12"/>
    </row>
    <row r="828" spans="1:26" ht="15.75" customHeight="1" x14ac:dyDescent="0.25">
      <c r="A828" s="12"/>
      <c r="B828" s="12"/>
      <c r="C828" s="12"/>
      <c r="D828" s="12"/>
      <c r="E828" s="13"/>
      <c r="F828" s="12"/>
      <c r="G828" s="12"/>
      <c r="H828" s="12"/>
      <c r="I828" s="12"/>
      <c r="J828" s="12"/>
      <c r="K828" s="12"/>
      <c r="L828" s="12"/>
      <c r="M828" s="12"/>
      <c r="N828" s="12"/>
      <c r="O828" s="12"/>
      <c r="P828" s="12"/>
      <c r="Q828" s="12"/>
      <c r="R828" s="12"/>
      <c r="S828" s="12"/>
      <c r="T828" s="12"/>
      <c r="U828" s="12"/>
      <c r="V828" s="12"/>
      <c r="W828" s="12"/>
      <c r="X828" s="12"/>
      <c r="Y828" s="12"/>
      <c r="Z828" s="12"/>
    </row>
    <row r="829" spans="1:26" ht="15.75" customHeight="1" x14ac:dyDescent="0.25">
      <c r="A829" s="12"/>
      <c r="B829" s="12"/>
      <c r="C829" s="12"/>
      <c r="D829" s="12"/>
      <c r="E829" s="13"/>
      <c r="F829" s="12"/>
      <c r="G829" s="12"/>
      <c r="H829" s="12"/>
      <c r="I829" s="12"/>
      <c r="J829" s="12"/>
      <c r="K829" s="12"/>
      <c r="L829" s="12"/>
      <c r="M829" s="12"/>
      <c r="N829" s="12"/>
      <c r="O829" s="12"/>
      <c r="P829" s="12"/>
      <c r="Q829" s="12"/>
      <c r="R829" s="12"/>
      <c r="S829" s="12"/>
      <c r="T829" s="12"/>
      <c r="U829" s="12"/>
      <c r="V829" s="12"/>
      <c r="W829" s="12"/>
      <c r="X829" s="12"/>
      <c r="Y829" s="12"/>
      <c r="Z829" s="12"/>
    </row>
    <row r="830" spans="1:26" ht="15.75" customHeight="1" x14ac:dyDescent="0.25">
      <c r="A830" s="12"/>
      <c r="B830" s="12"/>
      <c r="C830" s="12"/>
      <c r="D830" s="12"/>
      <c r="E830" s="13"/>
      <c r="F830" s="12"/>
      <c r="G830" s="12"/>
      <c r="H830" s="12"/>
      <c r="I830" s="12"/>
      <c r="J830" s="12"/>
      <c r="K830" s="12"/>
      <c r="L830" s="12"/>
      <c r="M830" s="12"/>
      <c r="N830" s="12"/>
      <c r="O830" s="12"/>
      <c r="P830" s="12"/>
      <c r="Q830" s="12"/>
      <c r="R830" s="12"/>
      <c r="S830" s="12"/>
      <c r="T830" s="12"/>
      <c r="U830" s="12"/>
      <c r="V830" s="12"/>
      <c r="W830" s="12"/>
      <c r="X830" s="12"/>
      <c r="Y830" s="12"/>
      <c r="Z830" s="12"/>
    </row>
    <row r="831" spans="1:26" ht="15.75" customHeight="1" x14ac:dyDescent="0.25">
      <c r="A831" s="12"/>
      <c r="B831" s="12"/>
      <c r="C831" s="12"/>
      <c r="D831" s="12"/>
      <c r="E831" s="13"/>
      <c r="F831" s="12"/>
      <c r="G831" s="12"/>
      <c r="H831" s="12"/>
      <c r="I831" s="12"/>
      <c r="J831" s="12"/>
      <c r="K831" s="12"/>
      <c r="L831" s="12"/>
      <c r="M831" s="12"/>
      <c r="N831" s="12"/>
      <c r="O831" s="12"/>
      <c r="P831" s="12"/>
      <c r="Q831" s="12"/>
      <c r="R831" s="12"/>
      <c r="S831" s="12"/>
      <c r="T831" s="12"/>
      <c r="U831" s="12"/>
      <c r="V831" s="12"/>
      <c r="W831" s="12"/>
      <c r="X831" s="12"/>
      <c r="Y831" s="12"/>
      <c r="Z831" s="12"/>
    </row>
    <row r="832" spans="1:26" ht="15.75" customHeight="1" x14ac:dyDescent="0.25">
      <c r="A832" s="12"/>
      <c r="B832" s="12"/>
      <c r="C832" s="12"/>
      <c r="D832" s="12"/>
      <c r="E832" s="13"/>
      <c r="F832" s="12"/>
      <c r="G832" s="12"/>
      <c r="H832" s="12"/>
      <c r="I832" s="12"/>
      <c r="J832" s="12"/>
      <c r="K832" s="12"/>
      <c r="L832" s="12"/>
      <c r="M832" s="12"/>
      <c r="N832" s="12"/>
      <c r="O832" s="12"/>
      <c r="P832" s="12"/>
      <c r="Q832" s="12"/>
      <c r="R832" s="12"/>
      <c r="S832" s="12"/>
      <c r="T832" s="12"/>
      <c r="U832" s="12"/>
      <c r="V832" s="12"/>
      <c r="W832" s="12"/>
      <c r="X832" s="12"/>
      <c r="Y832" s="12"/>
      <c r="Z832" s="12"/>
    </row>
    <row r="833" spans="1:26" ht="15.75" customHeight="1" x14ac:dyDescent="0.25">
      <c r="A833" s="12"/>
      <c r="B833" s="12"/>
      <c r="C833" s="12"/>
      <c r="D833" s="12"/>
      <c r="E833" s="13"/>
      <c r="F833" s="12"/>
      <c r="G833" s="12"/>
      <c r="H833" s="12"/>
      <c r="I833" s="12"/>
      <c r="J833" s="12"/>
      <c r="K833" s="12"/>
      <c r="L833" s="12"/>
      <c r="M833" s="12"/>
      <c r="N833" s="12"/>
      <c r="O833" s="12"/>
      <c r="P833" s="12"/>
      <c r="Q833" s="12"/>
      <c r="R833" s="12"/>
      <c r="S833" s="12"/>
      <c r="T833" s="12"/>
      <c r="U833" s="12"/>
      <c r="V833" s="12"/>
      <c r="W833" s="12"/>
      <c r="X833" s="12"/>
      <c r="Y833" s="12"/>
      <c r="Z833" s="12"/>
    </row>
    <row r="834" spans="1:26" ht="15.75" customHeight="1" x14ac:dyDescent="0.25">
      <c r="A834" s="12"/>
      <c r="B834" s="12"/>
      <c r="C834" s="12"/>
      <c r="D834" s="12"/>
      <c r="E834" s="13"/>
      <c r="F834" s="12"/>
      <c r="G834" s="12"/>
      <c r="H834" s="12"/>
      <c r="I834" s="12"/>
      <c r="J834" s="12"/>
      <c r="K834" s="12"/>
      <c r="L834" s="12"/>
      <c r="M834" s="12"/>
      <c r="N834" s="12"/>
      <c r="O834" s="12"/>
      <c r="P834" s="12"/>
      <c r="Q834" s="12"/>
      <c r="R834" s="12"/>
      <c r="S834" s="12"/>
      <c r="T834" s="12"/>
      <c r="U834" s="12"/>
      <c r="V834" s="12"/>
      <c r="W834" s="12"/>
      <c r="X834" s="12"/>
      <c r="Y834" s="12"/>
      <c r="Z834" s="12"/>
    </row>
    <row r="835" spans="1:26" ht="15.75" customHeight="1" x14ac:dyDescent="0.25">
      <c r="A835" s="12"/>
      <c r="B835" s="12"/>
      <c r="C835" s="12"/>
      <c r="D835" s="12"/>
      <c r="E835" s="13"/>
      <c r="F835" s="12"/>
      <c r="G835" s="12"/>
      <c r="H835" s="12"/>
      <c r="I835" s="12"/>
      <c r="J835" s="12"/>
      <c r="K835" s="12"/>
      <c r="L835" s="12"/>
      <c r="M835" s="12"/>
      <c r="N835" s="12"/>
      <c r="O835" s="12"/>
      <c r="P835" s="12"/>
      <c r="Q835" s="12"/>
      <c r="R835" s="12"/>
      <c r="S835" s="12"/>
      <c r="T835" s="12"/>
      <c r="U835" s="12"/>
      <c r="V835" s="12"/>
      <c r="W835" s="12"/>
      <c r="X835" s="12"/>
      <c r="Y835" s="12"/>
      <c r="Z835" s="12"/>
    </row>
    <row r="836" spans="1:26" ht="15.75" customHeight="1" x14ac:dyDescent="0.25">
      <c r="A836" s="12"/>
      <c r="B836" s="12"/>
      <c r="C836" s="12"/>
      <c r="D836" s="12"/>
      <c r="E836" s="13"/>
      <c r="F836" s="12"/>
      <c r="G836" s="12"/>
      <c r="H836" s="12"/>
      <c r="I836" s="12"/>
      <c r="J836" s="12"/>
      <c r="K836" s="12"/>
      <c r="L836" s="12"/>
      <c r="M836" s="12"/>
      <c r="N836" s="12"/>
      <c r="O836" s="12"/>
      <c r="P836" s="12"/>
      <c r="Q836" s="12"/>
      <c r="R836" s="12"/>
      <c r="S836" s="12"/>
      <c r="T836" s="12"/>
      <c r="U836" s="12"/>
      <c r="V836" s="12"/>
      <c r="W836" s="12"/>
      <c r="X836" s="12"/>
      <c r="Y836" s="12"/>
      <c r="Z836" s="12"/>
    </row>
    <row r="837" spans="1:26" ht="15.75" customHeight="1" x14ac:dyDescent="0.25">
      <c r="A837" s="12"/>
      <c r="B837" s="12"/>
      <c r="C837" s="12"/>
      <c r="D837" s="12"/>
      <c r="E837" s="13"/>
      <c r="F837" s="12"/>
      <c r="G837" s="12"/>
      <c r="H837" s="12"/>
      <c r="I837" s="12"/>
      <c r="J837" s="12"/>
      <c r="K837" s="12"/>
      <c r="L837" s="12"/>
      <c r="M837" s="12"/>
      <c r="N837" s="12"/>
      <c r="O837" s="12"/>
      <c r="P837" s="12"/>
      <c r="Q837" s="12"/>
      <c r="R837" s="12"/>
      <c r="S837" s="12"/>
      <c r="T837" s="12"/>
      <c r="U837" s="12"/>
      <c r="V837" s="12"/>
      <c r="W837" s="12"/>
      <c r="X837" s="12"/>
      <c r="Y837" s="12"/>
      <c r="Z837" s="12"/>
    </row>
    <row r="838" spans="1:26" ht="15.75" customHeight="1" x14ac:dyDescent="0.25">
      <c r="A838" s="12"/>
      <c r="B838" s="12"/>
      <c r="C838" s="12"/>
      <c r="D838" s="12"/>
      <c r="E838" s="13"/>
      <c r="F838" s="12"/>
      <c r="G838" s="12"/>
      <c r="H838" s="12"/>
      <c r="I838" s="12"/>
      <c r="J838" s="12"/>
      <c r="K838" s="12"/>
      <c r="L838" s="12"/>
      <c r="M838" s="12"/>
      <c r="N838" s="12"/>
      <c r="O838" s="12"/>
      <c r="P838" s="12"/>
      <c r="Q838" s="12"/>
      <c r="R838" s="12"/>
      <c r="S838" s="12"/>
      <c r="T838" s="12"/>
      <c r="U838" s="12"/>
      <c r="V838" s="12"/>
      <c r="W838" s="12"/>
      <c r="X838" s="12"/>
      <c r="Y838" s="12"/>
      <c r="Z838" s="12"/>
    </row>
    <row r="839" spans="1:26" ht="15.75" customHeight="1" x14ac:dyDescent="0.25">
      <c r="A839" s="12"/>
      <c r="B839" s="12"/>
      <c r="C839" s="12"/>
      <c r="D839" s="12"/>
      <c r="E839" s="13"/>
      <c r="F839" s="12"/>
      <c r="G839" s="12"/>
      <c r="H839" s="12"/>
      <c r="I839" s="12"/>
      <c r="J839" s="12"/>
      <c r="K839" s="12"/>
      <c r="L839" s="12"/>
      <c r="M839" s="12"/>
      <c r="N839" s="12"/>
      <c r="O839" s="12"/>
      <c r="P839" s="12"/>
      <c r="Q839" s="12"/>
      <c r="R839" s="12"/>
      <c r="S839" s="12"/>
      <c r="T839" s="12"/>
      <c r="U839" s="12"/>
      <c r="V839" s="12"/>
      <c r="W839" s="12"/>
      <c r="X839" s="12"/>
      <c r="Y839" s="12"/>
      <c r="Z839" s="12"/>
    </row>
    <row r="840" spans="1:26" ht="15.75" customHeight="1" x14ac:dyDescent="0.25">
      <c r="A840" s="12"/>
      <c r="B840" s="12"/>
      <c r="C840" s="12"/>
      <c r="D840" s="12"/>
      <c r="E840" s="13"/>
      <c r="F840" s="12"/>
      <c r="G840" s="12"/>
      <c r="H840" s="12"/>
      <c r="I840" s="12"/>
      <c r="J840" s="12"/>
      <c r="K840" s="12"/>
      <c r="L840" s="12"/>
      <c r="M840" s="12"/>
      <c r="N840" s="12"/>
      <c r="O840" s="12"/>
      <c r="P840" s="12"/>
      <c r="Q840" s="12"/>
      <c r="R840" s="12"/>
      <c r="S840" s="12"/>
      <c r="T840" s="12"/>
      <c r="U840" s="12"/>
      <c r="V840" s="12"/>
      <c r="W840" s="12"/>
      <c r="X840" s="12"/>
      <c r="Y840" s="12"/>
      <c r="Z840" s="12"/>
    </row>
    <row r="841" spans="1:26" ht="15.75" customHeight="1" x14ac:dyDescent="0.25">
      <c r="A841" s="12"/>
      <c r="B841" s="12"/>
      <c r="C841" s="12"/>
      <c r="D841" s="12"/>
      <c r="E841" s="13"/>
      <c r="F841" s="12"/>
      <c r="G841" s="12"/>
      <c r="H841" s="12"/>
      <c r="I841" s="12"/>
      <c r="J841" s="12"/>
      <c r="K841" s="12"/>
      <c r="L841" s="12"/>
      <c r="M841" s="12"/>
      <c r="N841" s="12"/>
      <c r="O841" s="12"/>
      <c r="P841" s="12"/>
      <c r="Q841" s="12"/>
      <c r="R841" s="12"/>
      <c r="S841" s="12"/>
      <c r="T841" s="12"/>
      <c r="U841" s="12"/>
      <c r="V841" s="12"/>
      <c r="W841" s="12"/>
      <c r="X841" s="12"/>
      <c r="Y841" s="12"/>
      <c r="Z841" s="12"/>
    </row>
    <row r="842" spans="1:26" ht="15.75" customHeight="1" x14ac:dyDescent="0.25">
      <c r="A842" s="12"/>
      <c r="B842" s="12"/>
      <c r="C842" s="12"/>
      <c r="D842" s="12"/>
      <c r="E842" s="13"/>
      <c r="F842" s="12"/>
      <c r="G842" s="12"/>
      <c r="H842" s="12"/>
      <c r="I842" s="12"/>
      <c r="J842" s="12"/>
      <c r="K842" s="12"/>
      <c r="L842" s="12"/>
      <c r="M842" s="12"/>
      <c r="N842" s="12"/>
      <c r="O842" s="12"/>
      <c r="P842" s="12"/>
      <c r="Q842" s="12"/>
      <c r="R842" s="12"/>
      <c r="S842" s="12"/>
      <c r="T842" s="12"/>
      <c r="U842" s="12"/>
      <c r="V842" s="12"/>
      <c r="W842" s="12"/>
      <c r="X842" s="12"/>
      <c r="Y842" s="12"/>
      <c r="Z842" s="12"/>
    </row>
    <row r="843" spans="1:26" ht="15.75" customHeight="1" x14ac:dyDescent="0.25">
      <c r="A843" s="12"/>
      <c r="B843" s="12"/>
      <c r="C843" s="12"/>
      <c r="D843" s="12"/>
      <c r="E843" s="13"/>
      <c r="F843" s="12"/>
      <c r="G843" s="12"/>
      <c r="H843" s="12"/>
      <c r="I843" s="12"/>
      <c r="J843" s="12"/>
      <c r="K843" s="12"/>
      <c r="L843" s="12"/>
      <c r="M843" s="12"/>
      <c r="N843" s="12"/>
      <c r="O843" s="12"/>
      <c r="P843" s="12"/>
      <c r="Q843" s="12"/>
      <c r="R843" s="12"/>
      <c r="S843" s="12"/>
      <c r="T843" s="12"/>
      <c r="U843" s="12"/>
      <c r="V843" s="12"/>
      <c r="W843" s="12"/>
      <c r="X843" s="12"/>
      <c r="Y843" s="12"/>
      <c r="Z843" s="12"/>
    </row>
    <row r="844" spans="1:26" ht="15.75" customHeight="1" x14ac:dyDescent="0.25">
      <c r="A844" s="12"/>
      <c r="B844" s="12"/>
      <c r="C844" s="12"/>
      <c r="D844" s="12"/>
      <c r="E844" s="13"/>
      <c r="F844" s="12"/>
      <c r="G844" s="12"/>
      <c r="H844" s="12"/>
      <c r="I844" s="12"/>
      <c r="J844" s="12"/>
      <c r="K844" s="12"/>
      <c r="L844" s="12"/>
      <c r="M844" s="12"/>
      <c r="N844" s="12"/>
      <c r="O844" s="12"/>
      <c r="P844" s="12"/>
      <c r="Q844" s="12"/>
      <c r="R844" s="12"/>
      <c r="S844" s="12"/>
      <c r="T844" s="12"/>
      <c r="U844" s="12"/>
      <c r="V844" s="12"/>
      <c r="W844" s="12"/>
      <c r="X844" s="12"/>
      <c r="Y844" s="12"/>
      <c r="Z844" s="12"/>
    </row>
    <row r="845" spans="1:26" ht="15.75" customHeight="1" x14ac:dyDescent="0.25">
      <c r="A845" s="12"/>
      <c r="B845" s="12"/>
      <c r="C845" s="12"/>
      <c r="D845" s="12"/>
      <c r="E845" s="13"/>
      <c r="F845" s="12"/>
      <c r="G845" s="12"/>
      <c r="H845" s="12"/>
      <c r="I845" s="12"/>
      <c r="J845" s="12"/>
      <c r="K845" s="12"/>
      <c r="L845" s="12"/>
      <c r="M845" s="12"/>
      <c r="N845" s="12"/>
      <c r="O845" s="12"/>
      <c r="P845" s="12"/>
      <c r="Q845" s="12"/>
      <c r="R845" s="12"/>
      <c r="S845" s="12"/>
      <c r="T845" s="12"/>
      <c r="U845" s="12"/>
      <c r="V845" s="12"/>
      <c r="W845" s="12"/>
      <c r="X845" s="12"/>
      <c r="Y845" s="12"/>
      <c r="Z845" s="12"/>
    </row>
    <row r="846" spans="1:26" ht="15.75" customHeight="1" x14ac:dyDescent="0.25">
      <c r="A846" s="12"/>
      <c r="B846" s="12"/>
      <c r="C846" s="12"/>
      <c r="D846" s="12"/>
      <c r="E846" s="13"/>
      <c r="F846" s="12"/>
      <c r="G846" s="12"/>
      <c r="H846" s="12"/>
      <c r="I846" s="12"/>
      <c r="J846" s="12"/>
      <c r="K846" s="12"/>
      <c r="L846" s="12"/>
      <c r="M846" s="12"/>
      <c r="N846" s="12"/>
      <c r="O846" s="12"/>
      <c r="P846" s="12"/>
      <c r="Q846" s="12"/>
      <c r="R846" s="12"/>
      <c r="S846" s="12"/>
      <c r="T846" s="12"/>
      <c r="U846" s="12"/>
      <c r="V846" s="12"/>
      <c r="W846" s="12"/>
      <c r="X846" s="12"/>
      <c r="Y846" s="12"/>
      <c r="Z846" s="12"/>
    </row>
    <row r="847" spans="1:26" ht="15.75" customHeight="1" x14ac:dyDescent="0.25">
      <c r="A847" s="12"/>
      <c r="B847" s="12"/>
      <c r="C847" s="12"/>
      <c r="D847" s="12"/>
      <c r="E847" s="13"/>
      <c r="F847" s="12"/>
      <c r="G847" s="12"/>
      <c r="H847" s="12"/>
      <c r="I847" s="12"/>
      <c r="J847" s="12"/>
      <c r="K847" s="12"/>
      <c r="L847" s="12"/>
      <c r="M847" s="12"/>
      <c r="N847" s="12"/>
      <c r="O847" s="12"/>
      <c r="P847" s="12"/>
      <c r="Q847" s="12"/>
      <c r="R847" s="12"/>
      <c r="S847" s="12"/>
      <c r="T847" s="12"/>
      <c r="U847" s="12"/>
      <c r="V847" s="12"/>
      <c r="W847" s="12"/>
      <c r="X847" s="12"/>
      <c r="Y847" s="12"/>
      <c r="Z847" s="12"/>
    </row>
    <row r="848" spans="1:26" ht="15.75" customHeight="1" x14ac:dyDescent="0.25">
      <c r="A848" s="12"/>
      <c r="B848" s="12"/>
      <c r="C848" s="12"/>
      <c r="D848" s="12"/>
      <c r="E848" s="13"/>
      <c r="F848" s="12"/>
      <c r="G848" s="12"/>
      <c r="H848" s="12"/>
      <c r="I848" s="12"/>
      <c r="J848" s="12"/>
      <c r="K848" s="12"/>
      <c r="L848" s="12"/>
      <c r="M848" s="12"/>
      <c r="N848" s="12"/>
      <c r="O848" s="12"/>
      <c r="P848" s="12"/>
      <c r="Q848" s="12"/>
      <c r="R848" s="12"/>
      <c r="S848" s="12"/>
      <c r="T848" s="12"/>
      <c r="U848" s="12"/>
      <c r="V848" s="12"/>
      <c r="W848" s="12"/>
      <c r="X848" s="12"/>
      <c r="Y848" s="12"/>
      <c r="Z848" s="12"/>
    </row>
    <row r="849" spans="1:26" ht="15.75" customHeight="1" x14ac:dyDescent="0.25">
      <c r="A849" s="12"/>
      <c r="B849" s="12"/>
      <c r="C849" s="12"/>
      <c r="D849" s="12"/>
      <c r="E849" s="13"/>
      <c r="F849" s="12"/>
      <c r="G849" s="12"/>
      <c r="H849" s="12"/>
      <c r="I849" s="12"/>
      <c r="J849" s="12"/>
      <c r="K849" s="12"/>
      <c r="L849" s="12"/>
      <c r="M849" s="12"/>
      <c r="N849" s="12"/>
      <c r="O849" s="12"/>
      <c r="P849" s="12"/>
      <c r="Q849" s="12"/>
      <c r="R849" s="12"/>
      <c r="S849" s="12"/>
      <c r="T849" s="12"/>
      <c r="U849" s="12"/>
      <c r="V849" s="12"/>
      <c r="W849" s="12"/>
      <c r="X849" s="12"/>
      <c r="Y849" s="12"/>
      <c r="Z849" s="12"/>
    </row>
    <row r="850" spans="1:26" ht="15.75" customHeight="1" x14ac:dyDescent="0.25">
      <c r="A850" s="12"/>
      <c r="B850" s="12"/>
      <c r="C850" s="12"/>
      <c r="D850" s="12"/>
      <c r="E850" s="13"/>
      <c r="F850" s="12"/>
      <c r="G850" s="12"/>
      <c r="H850" s="12"/>
      <c r="I850" s="12"/>
      <c r="J850" s="12"/>
      <c r="K850" s="12"/>
      <c r="L850" s="12"/>
      <c r="M850" s="12"/>
      <c r="N850" s="12"/>
      <c r="O850" s="12"/>
      <c r="P850" s="12"/>
      <c r="Q850" s="12"/>
      <c r="R850" s="12"/>
      <c r="S850" s="12"/>
      <c r="T850" s="12"/>
      <c r="U850" s="12"/>
      <c r="V850" s="12"/>
      <c r="W850" s="12"/>
      <c r="X850" s="12"/>
      <c r="Y850" s="12"/>
      <c r="Z850" s="12"/>
    </row>
    <row r="851" spans="1:26" ht="15.75" customHeight="1" x14ac:dyDescent="0.25">
      <c r="A851" s="12"/>
      <c r="B851" s="12"/>
      <c r="C851" s="12"/>
      <c r="D851" s="12"/>
      <c r="E851" s="13"/>
      <c r="F851" s="12"/>
      <c r="G851" s="12"/>
      <c r="H851" s="12"/>
      <c r="I851" s="12"/>
      <c r="J851" s="12"/>
      <c r="K851" s="12"/>
      <c r="L851" s="12"/>
      <c r="M851" s="12"/>
      <c r="N851" s="12"/>
      <c r="O851" s="12"/>
      <c r="P851" s="12"/>
      <c r="Q851" s="12"/>
      <c r="R851" s="12"/>
      <c r="S851" s="12"/>
      <c r="T851" s="12"/>
      <c r="U851" s="12"/>
      <c r="V851" s="12"/>
      <c r="W851" s="12"/>
      <c r="X851" s="12"/>
      <c r="Y851" s="12"/>
      <c r="Z851" s="12"/>
    </row>
    <row r="852" spans="1:26" ht="15.75" customHeight="1" x14ac:dyDescent="0.25">
      <c r="A852" s="12"/>
      <c r="B852" s="12"/>
      <c r="C852" s="12"/>
      <c r="D852" s="12"/>
      <c r="E852" s="13"/>
      <c r="F852" s="12"/>
      <c r="G852" s="12"/>
      <c r="H852" s="12"/>
      <c r="I852" s="12"/>
      <c r="J852" s="12"/>
      <c r="K852" s="12"/>
      <c r="L852" s="12"/>
      <c r="M852" s="12"/>
      <c r="N852" s="12"/>
      <c r="O852" s="12"/>
      <c r="P852" s="12"/>
      <c r="Q852" s="12"/>
      <c r="R852" s="12"/>
      <c r="S852" s="12"/>
      <c r="T852" s="12"/>
      <c r="U852" s="12"/>
      <c r="V852" s="12"/>
      <c r="W852" s="12"/>
      <c r="X852" s="12"/>
      <c r="Y852" s="12"/>
      <c r="Z852" s="12"/>
    </row>
    <row r="853" spans="1:26" ht="15.75" customHeight="1" x14ac:dyDescent="0.25">
      <c r="A853" s="12"/>
      <c r="B853" s="12"/>
      <c r="C853" s="12"/>
      <c r="D853" s="12"/>
      <c r="E853" s="13"/>
      <c r="F853" s="12"/>
      <c r="G853" s="12"/>
      <c r="H853" s="12"/>
      <c r="I853" s="12"/>
      <c r="J853" s="12"/>
      <c r="K853" s="12"/>
      <c r="L853" s="12"/>
      <c r="M853" s="12"/>
      <c r="N853" s="12"/>
      <c r="O853" s="12"/>
      <c r="P853" s="12"/>
      <c r="Q853" s="12"/>
      <c r="R853" s="12"/>
      <c r="S853" s="12"/>
      <c r="T853" s="12"/>
      <c r="U853" s="12"/>
      <c r="V853" s="12"/>
      <c r="W853" s="12"/>
      <c r="X853" s="12"/>
      <c r="Y853" s="12"/>
      <c r="Z853" s="12"/>
    </row>
    <row r="854" spans="1:26" ht="15.75" customHeight="1" x14ac:dyDescent="0.25">
      <c r="A854" s="12"/>
      <c r="B854" s="12"/>
      <c r="C854" s="12"/>
      <c r="D854" s="12"/>
      <c r="E854" s="13"/>
      <c r="F854" s="12"/>
      <c r="G854" s="12"/>
      <c r="H854" s="12"/>
      <c r="I854" s="12"/>
      <c r="J854" s="12"/>
      <c r="K854" s="12"/>
      <c r="L854" s="12"/>
      <c r="M854" s="12"/>
      <c r="N854" s="12"/>
      <c r="O854" s="12"/>
      <c r="P854" s="12"/>
      <c r="Q854" s="12"/>
      <c r="R854" s="12"/>
      <c r="S854" s="12"/>
      <c r="T854" s="12"/>
      <c r="U854" s="12"/>
      <c r="V854" s="12"/>
      <c r="W854" s="12"/>
      <c r="X854" s="12"/>
      <c r="Y854" s="12"/>
      <c r="Z854" s="12"/>
    </row>
    <row r="855" spans="1:26" ht="15.75" customHeight="1" x14ac:dyDescent="0.25">
      <c r="A855" s="12"/>
      <c r="B855" s="12"/>
      <c r="C855" s="12"/>
      <c r="D855" s="12"/>
      <c r="E855" s="13"/>
      <c r="F855" s="12"/>
      <c r="G855" s="12"/>
      <c r="H855" s="12"/>
      <c r="I855" s="12"/>
      <c r="J855" s="12"/>
      <c r="K855" s="12"/>
      <c r="L855" s="12"/>
      <c r="M855" s="12"/>
      <c r="N855" s="12"/>
      <c r="O855" s="12"/>
      <c r="P855" s="12"/>
      <c r="Q855" s="12"/>
      <c r="R855" s="12"/>
      <c r="S855" s="12"/>
      <c r="T855" s="12"/>
      <c r="U855" s="12"/>
      <c r="V855" s="12"/>
      <c r="W855" s="12"/>
      <c r="X855" s="12"/>
      <c r="Y855" s="12"/>
      <c r="Z855" s="12"/>
    </row>
    <row r="856" spans="1:26" ht="15.75" customHeight="1" x14ac:dyDescent="0.25">
      <c r="A856" s="12"/>
      <c r="B856" s="12"/>
      <c r="C856" s="12"/>
      <c r="D856" s="12"/>
      <c r="E856" s="13"/>
      <c r="F856" s="12"/>
      <c r="G856" s="12"/>
      <c r="H856" s="12"/>
      <c r="I856" s="12"/>
      <c r="J856" s="12"/>
      <c r="K856" s="12"/>
      <c r="L856" s="12"/>
      <c r="M856" s="12"/>
      <c r="N856" s="12"/>
      <c r="O856" s="12"/>
      <c r="P856" s="12"/>
      <c r="Q856" s="12"/>
      <c r="R856" s="12"/>
      <c r="S856" s="12"/>
      <c r="T856" s="12"/>
      <c r="U856" s="12"/>
      <c r="V856" s="12"/>
      <c r="W856" s="12"/>
      <c r="X856" s="12"/>
      <c r="Y856" s="12"/>
      <c r="Z856" s="12"/>
    </row>
    <row r="857" spans="1:26" ht="15.75" customHeight="1" x14ac:dyDescent="0.25">
      <c r="A857" s="12"/>
      <c r="B857" s="12"/>
      <c r="C857" s="12"/>
      <c r="D857" s="12"/>
      <c r="E857" s="13"/>
      <c r="F857" s="12"/>
      <c r="G857" s="12"/>
      <c r="H857" s="12"/>
      <c r="I857" s="12"/>
      <c r="J857" s="12"/>
      <c r="K857" s="12"/>
      <c r="L857" s="12"/>
      <c r="M857" s="12"/>
      <c r="N857" s="12"/>
      <c r="O857" s="12"/>
      <c r="P857" s="12"/>
      <c r="Q857" s="12"/>
      <c r="R857" s="12"/>
      <c r="S857" s="12"/>
      <c r="T857" s="12"/>
      <c r="U857" s="12"/>
      <c r="V857" s="12"/>
      <c r="W857" s="12"/>
      <c r="X857" s="12"/>
      <c r="Y857" s="12"/>
      <c r="Z857" s="12"/>
    </row>
    <row r="858" spans="1:26" ht="15.75" customHeight="1" x14ac:dyDescent="0.25">
      <c r="A858" s="12"/>
      <c r="B858" s="12"/>
      <c r="C858" s="12"/>
      <c r="D858" s="12"/>
      <c r="E858" s="13"/>
      <c r="F858" s="12"/>
      <c r="G858" s="12"/>
      <c r="H858" s="12"/>
      <c r="I858" s="12"/>
      <c r="J858" s="12"/>
      <c r="K858" s="12"/>
      <c r="L858" s="12"/>
      <c r="M858" s="12"/>
      <c r="N858" s="12"/>
      <c r="O858" s="12"/>
      <c r="P858" s="12"/>
      <c r="Q858" s="12"/>
      <c r="R858" s="12"/>
      <c r="S858" s="12"/>
      <c r="T858" s="12"/>
      <c r="U858" s="12"/>
      <c r="V858" s="12"/>
      <c r="W858" s="12"/>
      <c r="X858" s="12"/>
      <c r="Y858" s="12"/>
      <c r="Z858" s="12"/>
    </row>
    <row r="859" spans="1:26" ht="15.75" customHeight="1" x14ac:dyDescent="0.25">
      <c r="A859" s="12"/>
      <c r="B859" s="12"/>
      <c r="C859" s="12"/>
      <c r="D859" s="12"/>
      <c r="E859" s="13"/>
      <c r="F859" s="12"/>
      <c r="G859" s="12"/>
      <c r="H859" s="12"/>
      <c r="I859" s="12"/>
      <c r="J859" s="12"/>
      <c r="K859" s="12"/>
      <c r="L859" s="12"/>
      <c r="M859" s="12"/>
      <c r="N859" s="12"/>
      <c r="O859" s="12"/>
      <c r="P859" s="12"/>
      <c r="Q859" s="12"/>
      <c r="R859" s="12"/>
      <c r="S859" s="12"/>
      <c r="T859" s="12"/>
      <c r="U859" s="12"/>
      <c r="V859" s="12"/>
      <c r="W859" s="12"/>
      <c r="X859" s="12"/>
      <c r="Y859" s="12"/>
      <c r="Z859" s="12"/>
    </row>
    <row r="860" spans="1:26" ht="15.75" customHeight="1" x14ac:dyDescent="0.25">
      <c r="A860" s="12"/>
      <c r="B860" s="12"/>
      <c r="C860" s="12"/>
      <c r="D860" s="12"/>
      <c r="E860" s="13"/>
      <c r="F860" s="12"/>
      <c r="G860" s="12"/>
      <c r="H860" s="12"/>
      <c r="I860" s="12"/>
      <c r="J860" s="12"/>
      <c r="K860" s="12"/>
      <c r="L860" s="12"/>
      <c r="M860" s="12"/>
      <c r="N860" s="12"/>
      <c r="O860" s="12"/>
      <c r="P860" s="12"/>
      <c r="Q860" s="12"/>
      <c r="R860" s="12"/>
      <c r="S860" s="12"/>
      <c r="T860" s="12"/>
      <c r="U860" s="12"/>
      <c r="V860" s="12"/>
      <c r="W860" s="12"/>
      <c r="X860" s="12"/>
      <c r="Y860" s="12"/>
      <c r="Z860" s="12"/>
    </row>
    <row r="861" spans="1:26" ht="15.75" customHeight="1" x14ac:dyDescent="0.25">
      <c r="A861" s="12"/>
      <c r="B861" s="12"/>
      <c r="C861" s="12"/>
      <c r="D861" s="12"/>
      <c r="E861" s="13"/>
      <c r="F861" s="12"/>
      <c r="G861" s="12"/>
      <c r="H861" s="12"/>
      <c r="I861" s="12"/>
      <c r="J861" s="12"/>
      <c r="K861" s="12"/>
      <c r="L861" s="12"/>
      <c r="M861" s="12"/>
      <c r="N861" s="12"/>
      <c r="O861" s="12"/>
      <c r="P861" s="12"/>
      <c r="Q861" s="12"/>
      <c r="R861" s="12"/>
      <c r="S861" s="12"/>
      <c r="T861" s="12"/>
      <c r="U861" s="12"/>
      <c r="V861" s="12"/>
      <c r="W861" s="12"/>
      <c r="X861" s="12"/>
      <c r="Y861" s="12"/>
      <c r="Z861" s="12"/>
    </row>
    <row r="862" spans="1:26" ht="15.75" customHeight="1" x14ac:dyDescent="0.25">
      <c r="A862" s="12"/>
      <c r="B862" s="12"/>
      <c r="C862" s="12"/>
      <c r="D862" s="12"/>
      <c r="E862" s="13"/>
      <c r="F862" s="12"/>
      <c r="G862" s="12"/>
      <c r="H862" s="12"/>
      <c r="I862" s="12"/>
      <c r="J862" s="12"/>
      <c r="K862" s="12"/>
      <c r="L862" s="12"/>
      <c r="M862" s="12"/>
      <c r="N862" s="12"/>
      <c r="O862" s="12"/>
      <c r="P862" s="12"/>
      <c r="Q862" s="12"/>
      <c r="R862" s="12"/>
      <c r="S862" s="12"/>
      <c r="T862" s="12"/>
      <c r="U862" s="12"/>
      <c r="V862" s="12"/>
      <c r="W862" s="12"/>
      <c r="X862" s="12"/>
      <c r="Y862" s="12"/>
      <c r="Z862" s="12"/>
    </row>
    <row r="863" spans="1:26" ht="15.75" customHeight="1" x14ac:dyDescent="0.25">
      <c r="A863" s="12"/>
      <c r="B863" s="12"/>
      <c r="C863" s="12"/>
      <c r="D863" s="12"/>
      <c r="E863" s="13"/>
      <c r="F863" s="12"/>
      <c r="G863" s="12"/>
      <c r="H863" s="12"/>
      <c r="I863" s="12"/>
      <c r="J863" s="12"/>
      <c r="K863" s="12"/>
      <c r="L863" s="12"/>
      <c r="M863" s="12"/>
      <c r="N863" s="12"/>
      <c r="O863" s="12"/>
      <c r="P863" s="12"/>
      <c r="Q863" s="12"/>
      <c r="R863" s="12"/>
      <c r="S863" s="12"/>
      <c r="T863" s="12"/>
      <c r="U863" s="12"/>
      <c r="V863" s="12"/>
      <c r="W863" s="12"/>
      <c r="X863" s="12"/>
      <c r="Y863" s="12"/>
      <c r="Z863" s="12"/>
    </row>
    <row r="864" spans="1:26" ht="15.75" customHeight="1" x14ac:dyDescent="0.25">
      <c r="A864" s="12"/>
      <c r="B864" s="12"/>
      <c r="C864" s="12"/>
      <c r="D864" s="12"/>
      <c r="E864" s="13"/>
      <c r="F864" s="12"/>
      <c r="G864" s="12"/>
      <c r="H864" s="12"/>
      <c r="I864" s="12"/>
      <c r="J864" s="12"/>
      <c r="K864" s="12"/>
      <c r="L864" s="12"/>
      <c r="M864" s="12"/>
      <c r="N864" s="12"/>
      <c r="O864" s="12"/>
      <c r="P864" s="12"/>
      <c r="Q864" s="12"/>
      <c r="R864" s="12"/>
      <c r="S864" s="12"/>
      <c r="T864" s="12"/>
      <c r="U864" s="12"/>
      <c r="V864" s="12"/>
      <c r="W864" s="12"/>
      <c r="X864" s="12"/>
      <c r="Y864" s="12"/>
      <c r="Z864" s="12"/>
    </row>
    <row r="865" spans="1:26" ht="15.75" customHeight="1" x14ac:dyDescent="0.25">
      <c r="A865" s="12"/>
      <c r="B865" s="12"/>
      <c r="C865" s="12"/>
      <c r="D865" s="12"/>
      <c r="E865" s="13"/>
      <c r="F865" s="12"/>
      <c r="G865" s="12"/>
      <c r="H865" s="12"/>
      <c r="I865" s="12"/>
      <c r="J865" s="12"/>
      <c r="K865" s="12"/>
      <c r="L865" s="12"/>
      <c r="M865" s="12"/>
      <c r="N865" s="12"/>
      <c r="O865" s="12"/>
      <c r="P865" s="12"/>
      <c r="Q865" s="12"/>
      <c r="R865" s="12"/>
      <c r="S865" s="12"/>
      <c r="T865" s="12"/>
      <c r="U865" s="12"/>
      <c r="V865" s="12"/>
      <c r="W865" s="12"/>
      <c r="X865" s="12"/>
      <c r="Y865" s="12"/>
      <c r="Z865" s="12"/>
    </row>
    <row r="866" spans="1:26" ht="15.75" customHeight="1" x14ac:dyDescent="0.25">
      <c r="A866" s="12"/>
      <c r="B866" s="12"/>
      <c r="C866" s="12"/>
      <c r="D866" s="12"/>
      <c r="E866" s="13"/>
      <c r="F866" s="12"/>
      <c r="G866" s="12"/>
      <c r="H866" s="12"/>
      <c r="I866" s="12"/>
      <c r="J866" s="12"/>
      <c r="K866" s="12"/>
      <c r="L866" s="12"/>
      <c r="M866" s="12"/>
      <c r="N866" s="12"/>
      <c r="O866" s="12"/>
      <c r="P866" s="12"/>
      <c r="Q866" s="12"/>
      <c r="R866" s="12"/>
      <c r="S866" s="12"/>
      <c r="T866" s="12"/>
      <c r="U866" s="12"/>
      <c r="V866" s="12"/>
      <c r="W866" s="12"/>
      <c r="X866" s="12"/>
      <c r="Y866" s="12"/>
      <c r="Z866" s="12"/>
    </row>
    <row r="867" spans="1:26" ht="15.75" customHeight="1" x14ac:dyDescent="0.25">
      <c r="A867" s="12"/>
      <c r="B867" s="12"/>
      <c r="C867" s="12"/>
      <c r="D867" s="12"/>
      <c r="E867" s="13"/>
      <c r="F867" s="12"/>
      <c r="G867" s="12"/>
      <c r="H867" s="12"/>
      <c r="I867" s="12"/>
      <c r="J867" s="12"/>
      <c r="K867" s="12"/>
      <c r="L867" s="12"/>
      <c r="M867" s="12"/>
      <c r="N867" s="12"/>
      <c r="O867" s="12"/>
      <c r="P867" s="12"/>
      <c r="Q867" s="12"/>
      <c r="R867" s="12"/>
      <c r="S867" s="12"/>
      <c r="T867" s="12"/>
      <c r="U867" s="12"/>
      <c r="V867" s="12"/>
      <c r="W867" s="12"/>
      <c r="X867" s="12"/>
      <c r="Y867" s="12"/>
      <c r="Z867" s="12"/>
    </row>
    <row r="868" spans="1:26" ht="15.75" customHeight="1" x14ac:dyDescent="0.25">
      <c r="A868" s="12"/>
      <c r="B868" s="12"/>
      <c r="C868" s="12"/>
      <c r="D868" s="12"/>
      <c r="E868" s="13"/>
      <c r="F868" s="12"/>
      <c r="G868" s="12"/>
      <c r="H868" s="12"/>
      <c r="I868" s="12"/>
      <c r="J868" s="12"/>
      <c r="K868" s="12"/>
      <c r="L868" s="12"/>
      <c r="M868" s="12"/>
      <c r="N868" s="12"/>
      <c r="O868" s="12"/>
      <c r="P868" s="12"/>
      <c r="Q868" s="12"/>
      <c r="R868" s="12"/>
      <c r="S868" s="12"/>
      <c r="T868" s="12"/>
      <c r="U868" s="12"/>
      <c r="V868" s="12"/>
      <c r="W868" s="12"/>
      <c r="X868" s="12"/>
      <c r="Y868" s="12"/>
      <c r="Z868" s="12"/>
    </row>
    <row r="869" spans="1:26" ht="15.75" customHeight="1" x14ac:dyDescent="0.25">
      <c r="A869" s="12"/>
      <c r="B869" s="12"/>
      <c r="C869" s="12"/>
      <c r="D869" s="12"/>
      <c r="E869" s="13"/>
      <c r="F869" s="12"/>
      <c r="G869" s="12"/>
      <c r="H869" s="12"/>
      <c r="I869" s="12"/>
      <c r="J869" s="12"/>
      <c r="K869" s="12"/>
      <c r="L869" s="12"/>
      <c r="M869" s="12"/>
      <c r="N869" s="12"/>
      <c r="O869" s="12"/>
      <c r="P869" s="12"/>
      <c r="Q869" s="12"/>
      <c r="R869" s="12"/>
      <c r="S869" s="12"/>
      <c r="T869" s="12"/>
      <c r="U869" s="12"/>
      <c r="V869" s="12"/>
      <c r="W869" s="12"/>
      <c r="X869" s="12"/>
      <c r="Y869" s="12"/>
      <c r="Z869" s="12"/>
    </row>
    <row r="870" spans="1:26" ht="15.75" customHeight="1" x14ac:dyDescent="0.25">
      <c r="A870" s="12"/>
      <c r="B870" s="12"/>
      <c r="C870" s="12"/>
      <c r="D870" s="12"/>
      <c r="E870" s="13"/>
      <c r="F870" s="12"/>
      <c r="G870" s="12"/>
      <c r="H870" s="12"/>
      <c r="I870" s="12"/>
      <c r="J870" s="12"/>
      <c r="K870" s="12"/>
      <c r="L870" s="12"/>
      <c r="M870" s="12"/>
      <c r="N870" s="12"/>
      <c r="O870" s="12"/>
      <c r="P870" s="12"/>
      <c r="Q870" s="12"/>
      <c r="R870" s="12"/>
      <c r="S870" s="12"/>
      <c r="T870" s="12"/>
      <c r="U870" s="12"/>
      <c r="V870" s="12"/>
      <c r="W870" s="12"/>
      <c r="X870" s="12"/>
      <c r="Y870" s="12"/>
      <c r="Z870" s="12"/>
    </row>
    <row r="871" spans="1:26" ht="15.75" customHeight="1" x14ac:dyDescent="0.25">
      <c r="A871" s="12"/>
      <c r="B871" s="12"/>
      <c r="C871" s="12"/>
      <c r="D871" s="12"/>
      <c r="E871" s="13"/>
      <c r="F871" s="12"/>
      <c r="G871" s="12"/>
      <c r="H871" s="12"/>
      <c r="I871" s="12"/>
      <c r="J871" s="12"/>
      <c r="K871" s="12"/>
      <c r="L871" s="12"/>
      <c r="M871" s="12"/>
      <c r="N871" s="12"/>
      <c r="O871" s="12"/>
      <c r="P871" s="12"/>
      <c r="Q871" s="12"/>
      <c r="R871" s="12"/>
      <c r="S871" s="12"/>
      <c r="T871" s="12"/>
      <c r="U871" s="12"/>
      <c r="V871" s="12"/>
      <c r="W871" s="12"/>
      <c r="X871" s="12"/>
      <c r="Y871" s="12"/>
      <c r="Z871" s="12"/>
    </row>
    <row r="872" spans="1:26" ht="15.75" customHeight="1" x14ac:dyDescent="0.25">
      <c r="A872" s="12"/>
      <c r="B872" s="12"/>
      <c r="C872" s="12"/>
      <c r="D872" s="12"/>
      <c r="E872" s="13"/>
      <c r="F872" s="12"/>
      <c r="G872" s="12"/>
      <c r="H872" s="12"/>
      <c r="I872" s="12"/>
      <c r="J872" s="12"/>
      <c r="K872" s="12"/>
      <c r="L872" s="12"/>
      <c r="M872" s="12"/>
      <c r="N872" s="12"/>
      <c r="O872" s="12"/>
      <c r="P872" s="12"/>
      <c r="Q872" s="12"/>
      <c r="R872" s="12"/>
      <c r="S872" s="12"/>
      <c r="T872" s="12"/>
      <c r="U872" s="12"/>
      <c r="V872" s="12"/>
      <c r="W872" s="12"/>
      <c r="X872" s="12"/>
      <c r="Y872" s="12"/>
      <c r="Z872" s="12"/>
    </row>
    <row r="873" spans="1:26" ht="15.75" customHeight="1" x14ac:dyDescent="0.25">
      <c r="A873" s="12"/>
      <c r="B873" s="12"/>
      <c r="C873" s="12"/>
      <c r="D873" s="12"/>
      <c r="E873" s="13"/>
      <c r="F873" s="12"/>
      <c r="G873" s="12"/>
      <c r="H873" s="12"/>
      <c r="I873" s="12"/>
      <c r="J873" s="12"/>
      <c r="K873" s="12"/>
      <c r="L873" s="12"/>
      <c r="M873" s="12"/>
      <c r="N873" s="12"/>
      <c r="O873" s="12"/>
      <c r="P873" s="12"/>
      <c r="Q873" s="12"/>
      <c r="R873" s="12"/>
      <c r="S873" s="12"/>
      <c r="T873" s="12"/>
      <c r="U873" s="12"/>
      <c r="V873" s="12"/>
      <c r="W873" s="12"/>
      <c r="X873" s="12"/>
      <c r="Y873" s="12"/>
      <c r="Z873" s="12"/>
    </row>
    <row r="874" spans="1:26" ht="15.75" customHeight="1" x14ac:dyDescent="0.25">
      <c r="A874" s="12"/>
      <c r="B874" s="12"/>
      <c r="C874" s="12"/>
      <c r="D874" s="12"/>
      <c r="E874" s="13"/>
      <c r="F874" s="12"/>
      <c r="G874" s="12"/>
      <c r="H874" s="12"/>
      <c r="I874" s="12"/>
      <c r="J874" s="12"/>
      <c r="K874" s="12"/>
      <c r="L874" s="12"/>
      <c r="M874" s="12"/>
      <c r="N874" s="12"/>
      <c r="O874" s="12"/>
      <c r="P874" s="12"/>
      <c r="Q874" s="12"/>
      <c r="R874" s="12"/>
      <c r="S874" s="12"/>
      <c r="T874" s="12"/>
      <c r="U874" s="12"/>
      <c r="V874" s="12"/>
      <c r="W874" s="12"/>
      <c r="X874" s="12"/>
      <c r="Y874" s="12"/>
      <c r="Z874" s="12"/>
    </row>
    <row r="875" spans="1:26" ht="15.75" customHeight="1" x14ac:dyDescent="0.25">
      <c r="A875" s="12"/>
      <c r="B875" s="12"/>
      <c r="C875" s="12"/>
      <c r="D875" s="12"/>
      <c r="E875" s="13"/>
      <c r="F875" s="12"/>
      <c r="G875" s="12"/>
      <c r="H875" s="12"/>
      <c r="I875" s="12"/>
      <c r="J875" s="12"/>
      <c r="K875" s="12"/>
      <c r="L875" s="12"/>
      <c r="M875" s="12"/>
      <c r="N875" s="12"/>
      <c r="O875" s="12"/>
      <c r="P875" s="12"/>
      <c r="Q875" s="12"/>
      <c r="R875" s="12"/>
      <c r="S875" s="12"/>
      <c r="T875" s="12"/>
      <c r="U875" s="12"/>
      <c r="V875" s="12"/>
      <c r="W875" s="12"/>
      <c r="X875" s="12"/>
      <c r="Y875" s="12"/>
      <c r="Z875" s="12"/>
    </row>
    <row r="876" spans="1:26" ht="15.75" customHeight="1" x14ac:dyDescent="0.25">
      <c r="A876" s="12"/>
      <c r="B876" s="12"/>
      <c r="C876" s="12"/>
      <c r="D876" s="12"/>
      <c r="E876" s="13"/>
      <c r="F876" s="12"/>
      <c r="G876" s="12"/>
      <c r="H876" s="12"/>
      <c r="I876" s="12"/>
      <c r="J876" s="12"/>
      <c r="K876" s="12"/>
      <c r="L876" s="12"/>
      <c r="M876" s="12"/>
      <c r="N876" s="12"/>
      <c r="O876" s="12"/>
      <c r="P876" s="12"/>
      <c r="Q876" s="12"/>
      <c r="R876" s="12"/>
      <c r="S876" s="12"/>
      <c r="T876" s="12"/>
      <c r="U876" s="12"/>
      <c r="V876" s="12"/>
      <c r="W876" s="12"/>
      <c r="X876" s="12"/>
      <c r="Y876" s="12"/>
      <c r="Z876" s="12"/>
    </row>
    <row r="877" spans="1:26" ht="15.75" customHeight="1" x14ac:dyDescent="0.25">
      <c r="A877" s="12"/>
      <c r="B877" s="12"/>
      <c r="C877" s="12"/>
      <c r="D877" s="12"/>
      <c r="E877" s="13"/>
      <c r="F877" s="12"/>
      <c r="G877" s="12"/>
      <c r="H877" s="12"/>
      <c r="I877" s="12"/>
      <c r="J877" s="12"/>
      <c r="K877" s="12"/>
      <c r="L877" s="12"/>
      <c r="M877" s="12"/>
      <c r="N877" s="12"/>
      <c r="O877" s="12"/>
      <c r="P877" s="12"/>
      <c r="Q877" s="12"/>
      <c r="R877" s="12"/>
      <c r="S877" s="12"/>
      <c r="T877" s="12"/>
      <c r="U877" s="12"/>
      <c r="V877" s="12"/>
      <c r="W877" s="12"/>
      <c r="X877" s="12"/>
      <c r="Y877" s="12"/>
      <c r="Z877" s="12"/>
    </row>
    <row r="878" spans="1:26" ht="15.75" customHeight="1" x14ac:dyDescent="0.25">
      <c r="A878" s="12"/>
      <c r="B878" s="12"/>
      <c r="C878" s="12"/>
      <c r="D878" s="12"/>
      <c r="E878" s="13"/>
      <c r="F878" s="12"/>
      <c r="G878" s="12"/>
      <c r="H878" s="12"/>
      <c r="I878" s="12"/>
      <c r="J878" s="12"/>
      <c r="K878" s="12"/>
      <c r="L878" s="12"/>
      <c r="M878" s="12"/>
      <c r="N878" s="12"/>
      <c r="O878" s="12"/>
      <c r="P878" s="12"/>
      <c r="Q878" s="12"/>
      <c r="R878" s="12"/>
      <c r="S878" s="12"/>
      <c r="T878" s="12"/>
      <c r="U878" s="12"/>
      <c r="V878" s="12"/>
      <c r="W878" s="12"/>
      <c r="X878" s="12"/>
      <c r="Y878" s="12"/>
      <c r="Z878" s="12"/>
    </row>
    <row r="879" spans="1:26" ht="15.75" customHeight="1" x14ac:dyDescent="0.25">
      <c r="A879" s="12"/>
      <c r="B879" s="12"/>
      <c r="C879" s="12"/>
      <c r="D879" s="12"/>
      <c r="E879" s="13"/>
      <c r="F879" s="12"/>
      <c r="G879" s="12"/>
      <c r="H879" s="12"/>
      <c r="I879" s="12"/>
      <c r="J879" s="12"/>
      <c r="K879" s="12"/>
      <c r="L879" s="12"/>
      <c r="M879" s="12"/>
      <c r="N879" s="12"/>
      <c r="O879" s="12"/>
      <c r="P879" s="12"/>
      <c r="Q879" s="12"/>
      <c r="R879" s="12"/>
      <c r="S879" s="12"/>
      <c r="T879" s="12"/>
      <c r="U879" s="12"/>
      <c r="V879" s="12"/>
      <c r="W879" s="12"/>
      <c r="X879" s="12"/>
      <c r="Y879" s="12"/>
      <c r="Z879" s="12"/>
    </row>
    <row r="880" spans="1:26" ht="15.75" customHeight="1" x14ac:dyDescent="0.25">
      <c r="A880" s="12"/>
      <c r="B880" s="12"/>
      <c r="C880" s="12"/>
      <c r="D880" s="12"/>
      <c r="E880" s="13"/>
      <c r="F880" s="12"/>
      <c r="G880" s="12"/>
      <c r="H880" s="12"/>
      <c r="I880" s="12"/>
      <c r="J880" s="12"/>
      <c r="K880" s="12"/>
      <c r="L880" s="12"/>
      <c r="M880" s="12"/>
      <c r="N880" s="12"/>
      <c r="O880" s="12"/>
      <c r="P880" s="12"/>
      <c r="Q880" s="12"/>
      <c r="R880" s="12"/>
      <c r="S880" s="12"/>
      <c r="T880" s="12"/>
      <c r="U880" s="12"/>
      <c r="V880" s="12"/>
      <c r="W880" s="12"/>
      <c r="X880" s="12"/>
      <c r="Y880" s="12"/>
      <c r="Z880" s="12"/>
    </row>
    <row r="881" spans="1:26" ht="15.75" customHeight="1" x14ac:dyDescent="0.25">
      <c r="A881" s="12"/>
      <c r="B881" s="12"/>
      <c r="C881" s="12"/>
      <c r="D881" s="12"/>
      <c r="E881" s="13"/>
      <c r="F881" s="12"/>
      <c r="G881" s="12"/>
      <c r="H881" s="12"/>
      <c r="I881" s="12"/>
      <c r="J881" s="12"/>
      <c r="K881" s="12"/>
      <c r="L881" s="12"/>
      <c r="M881" s="12"/>
      <c r="N881" s="12"/>
      <c r="O881" s="12"/>
      <c r="P881" s="12"/>
      <c r="Q881" s="12"/>
      <c r="R881" s="12"/>
      <c r="S881" s="12"/>
      <c r="T881" s="12"/>
      <c r="U881" s="12"/>
      <c r="V881" s="12"/>
      <c r="W881" s="12"/>
      <c r="X881" s="12"/>
      <c r="Y881" s="12"/>
      <c r="Z881" s="12"/>
    </row>
    <row r="882" spans="1:26" ht="15.75" customHeight="1" x14ac:dyDescent="0.25">
      <c r="A882" s="12"/>
      <c r="B882" s="12"/>
      <c r="C882" s="12"/>
      <c r="D882" s="12"/>
      <c r="E882" s="13"/>
      <c r="F882" s="12"/>
      <c r="G882" s="12"/>
      <c r="H882" s="12"/>
      <c r="I882" s="12"/>
      <c r="J882" s="12"/>
      <c r="K882" s="12"/>
      <c r="L882" s="12"/>
      <c r="M882" s="12"/>
      <c r="N882" s="12"/>
      <c r="O882" s="12"/>
      <c r="P882" s="12"/>
      <c r="Q882" s="12"/>
      <c r="R882" s="12"/>
      <c r="S882" s="12"/>
      <c r="T882" s="12"/>
      <c r="U882" s="12"/>
      <c r="V882" s="12"/>
      <c r="W882" s="12"/>
      <c r="X882" s="12"/>
      <c r="Y882" s="12"/>
      <c r="Z882" s="12"/>
    </row>
    <row r="883" spans="1:26" ht="15.75" customHeight="1" x14ac:dyDescent="0.25">
      <c r="A883" s="12"/>
      <c r="B883" s="12"/>
      <c r="C883" s="12"/>
      <c r="D883" s="12"/>
      <c r="E883" s="13"/>
      <c r="F883" s="12"/>
      <c r="G883" s="12"/>
      <c r="H883" s="12"/>
      <c r="I883" s="12"/>
      <c r="J883" s="12"/>
      <c r="K883" s="12"/>
      <c r="L883" s="12"/>
      <c r="M883" s="12"/>
      <c r="N883" s="12"/>
      <c r="O883" s="12"/>
      <c r="P883" s="12"/>
      <c r="Q883" s="12"/>
      <c r="R883" s="12"/>
      <c r="S883" s="12"/>
      <c r="T883" s="12"/>
      <c r="U883" s="12"/>
      <c r="V883" s="12"/>
      <c r="W883" s="12"/>
      <c r="X883" s="12"/>
      <c r="Y883" s="12"/>
      <c r="Z883" s="12"/>
    </row>
    <row r="884" spans="1:26" ht="15.75" customHeight="1" x14ac:dyDescent="0.25">
      <c r="A884" s="12"/>
      <c r="B884" s="12"/>
      <c r="C884" s="12"/>
      <c r="D884" s="12"/>
      <c r="E884" s="13"/>
      <c r="F884" s="12"/>
      <c r="G884" s="12"/>
      <c r="H884" s="12"/>
      <c r="I884" s="12"/>
      <c r="J884" s="12"/>
      <c r="K884" s="12"/>
      <c r="L884" s="12"/>
      <c r="M884" s="12"/>
      <c r="N884" s="12"/>
      <c r="O884" s="12"/>
      <c r="P884" s="12"/>
      <c r="Q884" s="12"/>
      <c r="R884" s="12"/>
      <c r="S884" s="12"/>
      <c r="T884" s="12"/>
      <c r="U884" s="12"/>
      <c r="V884" s="12"/>
      <c r="W884" s="12"/>
      <c r="X884" s="12"/>
      <c r="Y884" s="12"/>
      <c r="Z884" s="12"/>
    </row>
    <row r="885" spans="1:26" ht="15.75" customHeight="1" x14ac:dyDescent="0.25">
      <c r="A885" s="12"/>
      <c r="B885" s="12"/>
      <c r="C885" s="12"/>
      <c r="D885" s="12"/>
      <c r="E885" s="13"/>
      <c r="F885" s="12"/>
      <c r="G885" s="12"/>
      <c r="H885" s="12"/>
      <c r="I885" s="12"/>
      <c r="J885" s="12"/>
      <c r="K885" s="12"/>
      <c r="L885" s="12"/>
      <c r="M885" s="12"/>
      <c r="N885" s="12"/>
      <c r="O885" s="12"/>
      <c r="P885" s="12"/>
      <c r="Q885" s="12"/>
      <c r="R885" s="12"/>
      <c r="S885" s="12"/>
      <c r="T885" s="12"/>
      <c r="U885" s="12"/>
      <c r="V885" s="12"/>
      <c r="W885" s="12"/>
      <c r="X885" s="12"/>
      <c r="Y885" s="12"/>
      <c r="Z885" s="12"/>
    </row>
    <row r="886" spans="1:26" ht="15.75" customHeight="1" x14ac:dyDescent="0.25">
      <c r="A886" s="12"/>
      <c r="B886" s="12"/>
      <c r="C886" s="12"/>
      <c r="D886" s="12"/>
      <c r="E886" s="13"/>
      <c r="F886" s="12"/>
      <c r="G886" s="12"/>
      <c r="H886" s="12"/>
      <c r="I886" s="12"/>
      <c r="J886" s="12"/>
      <c r="K886" s="12"/>
      <c r="L886" s="12"/>
      <c r="M886" s="12"/>
      <c r="N886" s="12"/>
      <c r="O886" s="12"/>
      <c r="P886" s="12"/>
      <c r="Q886" s="12"/>
      <c r="R886" s="12"/>
      <c r="S886" s="12"/>
      <c r="T886" s="12"/>
      <c r="U886" s="12"/>
      <c r="V886" s="12"/>
      <c r="W886" s="12"/>
      <c r="X886" s="12"/>
      <c r="Y886" s="12"/>
      <c r="Z886" s="12"/>
    </row>
    <row r="887" spans="1:26" ht="15.75" customHeight="1" x14ac:dyDescent="0.25">
      <c r="A887" s="12"/>
      <c r="B887" s="12"/>
      <c r="C887" s="12"/>
      <c r="D887" s="12"/>
      <c r="E887" s="13"/>
      <c r="F887" s="12"/>
      <c r="G887" s="12"/>
      <c r="H887" s="12"/>
      <c r="I887" s="12"/>
      <c r="J887" s="12"/>
      <c r="K887" s="12"/>
      <c r="L887" s="12"/>
      <c r="M887" s="12"/>
      <c r="N887" s="12"/>
      <c r="O887" s="12"/>
      <c r="P887" s="12"/>
      <c r="Q887" s="12"/>
      <c r="R887" s="12"/>
      <c r="S887" s="12"/>
      <c r="T887" s="12"/>
      <c r="U887" s="12"/>
      <c r="V887" s="12"/>
      <c r="W887" s="12"/>
      <c r="X887" s="12"/>
      <c r="Y887" s="12"/>
      <c r="Z887" s="12"/>
    </row>
    <row r="888" spans="1:26" ht="15.75" customHeight="1" x14ac:dyDescent="0.25">
      <c r="A888" s="12"/>
      <c r="B888" s="12"/>
      <c r="C888" s="12"/>
      <c r="D888" s="12"/>
      <c r="E888" s="13"/>
      <c r="F888" s="12"/>
      <c r="G888" s="12"/>
      <c r="H888" s="12"/>
      <c r="I888" s="12"/>
      <c r="J888" s="12"/>
      <c r="K888" s="12"/>
      <c r="L888" s="12"/>
      <c r="M888" s="12"/>
      <c r="N888" s="12"/>
      <c r="O888" s="12"/>
      <c r="P888" s="12"/>
      <c r="Q888" s="12"/>
      <c r="R888" s="12"/>
      <c r="S888" s="12"/>
      <c r="T888" s="12"/>
      <c r="U888" s="12"/>
      <c r="V888" s="12"/>
      <c r="W888" s="12"/>
      <c r="X888" s="12"/>
      <c r="Y888" s="12"/>
      <c r="Z888" s="12"/>
    </row>
    <row r="889" spans="1:26" ht="15.75" customHeight="1" x14ac:dyDescent="0.25">
      <c r="A889" s="12"/>
      <c r="B889" s="12"/>
      <c r="C889" s="12"/>
      <c r="D889" s="12"/>
      <c r="E889" s="13"/>
      <c r="F889" s="12"/>
      <c r="G889" s="12"/>
      <c r="H889" s="12"/>
      <c r="I889" s="12"/>
      <c r="J889" s="12"/>
      <c r="K889" s="12"/>
      <c r="L889" s="12"/>
      <c r="M889" s="12"/>
      <c r="N889" s="12"/>
      <c r="O889" s="12"/>
      <c r="P889" s="12"/>
      <c r="Q889" s="12"/>
      <c r="R889" s="12"/>
      <c r="S889" s="12"/>
      <c r="T889" s="12"/>
      <c r="U889" s="12"/>
      <c r="V889" s="12"/>
      <c r="W889" s="12"/>
      <c r="X889" s="12"/>
      <c r="Y889" s="12"/>
      <c r="Z889" s="12"/>
    </row>
    <row r="890" spans="1:26" ht="15.75" customHeight="1" x14ac:dyDescent="0.25">
      <c r="A890" s="12"/>
      <c r="B890" s="12"/>
      <c r="C890" s="12"/>
      <c r="D890" s="12"/>
      <c r="E890" s="13"/>
      <c r="F890" s="12"/>
      <c r="G890" s="12"/>
      <c r="H890" s="12"/>
      <c r="I890" s="12"/>
      <c r="J890" s="12"/>
      <c r="K890" s="12"/>
      <c r="L890" s="12"/>
      <c r="M890" s="12"/>
      <c r="N890" s="12"/>
      <c r="O890" s="12"/>
      <c r="P890" s="12"/>
      <c r="Q890" s="12"/>
      <c r="R890" s="12"/>
      <c r="S890" s="12"/>
      <c r="T890" s="12"/>
      <c r="U890" s="12"/>
      <c r="V890" s="12"/>
      <c r="W890" s="12"/>
      <c r="X890" s="12"/>
      <c r="Y890" s="12"/>
      <c r="Z890" s="12"/>
    </row>
    <row r="891" spans="1:26" ht="15.75" customHeight="1" x14ac:dyDescent="0.25">
      <c r="A891" s="12"/>
      <c r="B891" s="12"/>
      <c r="C891" s="12"/>
      <c r="D891" s="12"/>
      <c r="E891" s="13"/>
      <c r="F891" s="12"/>
      <c r="G891" s="12"/>
      <c r="H891" s="12"/>
      <c r="I891" s="12"/>
      <c r="J891" s="12"/>
      <c r="K891" s="12"/>
      <c r="L891" s="12"/>
      <c r="M891" s="12"/>
      <c r="N891" s="12"/>
      <c r="O891" s="12"/>
      <c r="P891" s="12"/>
      <c r="Q891" s="12"/>
      <c r="R891" s="12"/>
      <c r="S891" s="12"/>
      <c r="T891" s="12"/>
      <c r="U891" s="12"/>
      <c r="V891" s="12"/>
      <c r="W891" s="12"/>
      <c r="X891" s="12"/>
      <c r="Y891" s="12"/>
      <c r="Z891" s="12"/>
    </row>
    <row r="892" spans="1:26" ht="15.75" customHeight="1" x14ac:dyDescent="0.25">
      <c r="A892" s="12"/>
      <c r="B892" s="12"/>
      <c r="C892" s="12"/>
      <c r="D892" s="12"/>
      <c r="E892" s="13"/>
      <c r="F892" s="12"/>
      <c r="G892" s="12"/>
      <c r="H892" s="12"/>
      <c r="I892" s="12"/>
      <c r="J892" s="12"/>
      <c r="K892" s="12"/>
      <c r="L892" s="12"/>
      <c r="M892" s="12"/>
      <c r="N892" s="12"/>
      <c r="O892" s="12"/>
      <c r="P892" s="12"/>
      <c r="Q892" s="12"/>
      <c r="R892" s="12"/>
      <c r="S892" s="12"/>
      <c r="T892" s="12"/>
      <c r="U892" s="12"/>
      <c r="V892" s="12"/>
      <c r="W892" s="12"/>
      <c r="X892" s="12"/>
      <c r="Y892" s="12"/>
      <c r="Z892" s="12"/>
    </row>
    <row r="893" spans="1:26" ht="15.75" customHeight="1" x14ac:dyDescent="0.25">
      <c r="A893" s="12"/>
      <c r="B893" s="12"/>
      <c r="C893" s="12"/>
      <c r="D893" s="12"/>
      <c r="E893" s="13"/>
      <c r="F893" s="12"/>
      <c r="G893" s="12"/>
      <c r="H893" s="12"/>
      <c r="I893" s="12"/>
      <c r="J893" s="12"/>
      <c r="K893" s="12"/>
      <c r="L893" s="12"/>
      <c r="M893" s="12"/>
      <c r="N893" s="12"/>
      <c r="O893" s="12"/>
      <c r="P893" s="12"/>
      <c r="Q893" s="12"/>
      <c r="R893" s="12"/>
      <c r="S893" s="12"/>
      <c r="T893" s="12"/>
      <c r="U893" s="12"/>
      <c r="V893" s="12"/>
      <c r="W893" s="12"/>
      <c r="X893" s="12"/>
      <c r="Y893" s="12"/>
      <c r="Z893" s="12"/>
    </row>
    <row r="894" spans="1:26" ht="15.75" customHeight="1" x14ac:dyDescent="0.25">
      <c r="A894" s="12"/>
      <c r="B894" s="12"/>
      <c r="C894" s="12"/>
      <c r="D894" s="12"/>
      <c r="E894" s="13"/>
      <c r="F894" s="12"/>
      <c r="G894" s="12"/>
      <c r="H894" s="12"/>
      <c r="I894" s="12"/>
      <c r="J894" s="12"/>
      <c r="K894" s="12"/>
      <c r="L894" s="12"/>
      <c r="M894" s="12"/>
      <c r="N894" s="12"/>
      <c r="O894" s="12"/>
      <c r="P894" s="12"/>
      <c r="Q894" s="12"/>
      <c r="R894" s="12"/>
      <c r="S894" s="12"/>
      <c r="T894" s="12"/>
      <c r="U894" s="12"/>
      <c r="V894" s="12"/>
      <c r="W894" s="12"/>
      <c r="X894" s="12"/>
      <c r="Y894" s="12"/>
      <c r="Z894" s="12"/>
    </row>
    <row r="895" spans="1:26" ht="15.75" customHeight="1" x14ac:dyDescent="0.25">
      <c r="A895" s="12"/>
      <c r="B895" s="12"/>
      <c r="C895" s="12"/>
      <c r="D895" s="12"/>
      <c r="E895" s="13"/>
      <c r="F895" s="12"/>
      <c r="G895" s="12"/>
      <c r="H895" s="12"/>
      <c r="I895" s="12"/>
      <c r="J895" s="12"/>
      <c r="K895" s="12"/>
      <c r="L895" s="12"/>
      <c r="M895" s="12"/>
      <c r="N895" s="12"/>
      <c r="O895" s="12"/>
      <c r="P895" s="12"/>
      <c r="Q895" s="12"/>
      <c r="R895" s="12"/>
      <c r="S895" s="12"/>
      <c r="T895" s="12"/>
      <c r="U895" s="12"/>
      <c r="V895" s="12"/>
      <c r="W895" s="12"/>
      <c r="X895" s="12"/>
      <c r="Y895" s="12"/>
      <c r="Z895" s="12"/>
    </row>
    <row r="896" spans="1:26" ht="15.75" customHeight="1" x14ac:dyDescent="0.25">
      <c r="A896" s="12"/>
      <c r="B896" s="12"/>
      <c r="C896" s="12"/>
      <c r="D896" s="12"/>
      <c r="E896" s="13"/>
      <c r="F896" s="12"/>
      <c r="G896" s="12"/>
      <c r="H896" s="12"/>
      <c r="I896" s="12"/>
      <c r="J896" s="12"/>
      <c r="K896" s="12"/>
      <c r="L896" s="12"/>
      <c r="M896" s="12"/>
      <c r="N896" s="12"/>
      <c r="O896" s="12"/>
      <c r="P896" s="12"/>
      <c r="Q896" s="12"/>
      <c r="R896" s="12"/>
      <c r="S896" s="12"/>
      <c r="T896" s="12"/>
      <c r="U896" s="12"/>
      <c r="V896" s="12"/>
      <c r="W896" s="12"/>
      <c r="X896" s="12"/>
      <c r="Y896" s="12"/>
      <c r="Z896" s="12"/>
    </row>
    <row r="897" spans="1:26" ht="15.75" customHeight="1" x14ac:dyDescent="0.25">
      <c r="A897" s="12"/>
      <c r="B897" s="12"/>
      <c r="C897" s="12"/>
      <c r="D897" s="12"/>
      <c r="E897" s="13"/>
      <c r="F897" s="12"/>
      <c r="G897" s="12"/>
      <c r="H897" s="12"/>
      <c r="I897" s="12"/>
      <c r="J897" s="12"/>
      <c r="K897" s="12"/>
      <c r="L897" s="12"/>
      <c r="M897" s="12"/>
      <c r="N897" s="12"/>
      <c r="O897" s="12"/>
      <c r="P897" s="12"/>
      <c r="Q897" s="12"/>
      <c r="R897" s="12"/>
      <c r="S897" s="12"/>
      <c r="T897" s="12"/>
      <c r="U897" s="12"/>
      <c r="V897" s="12"/>
      <c r="W897" s="12"/>
      <c r="X897" s="12"/>
      <c r="Y897" s="12"/>
      <c r="Z897" s="12"/>
    </row>
    <row r="898" spans="1:26" ht="15.75" customHeight="1" x14ac:dyDescent="0.25">
      <c r="A898" s="12"/>
      <c r="B898" s="12"/>
      <c r="C898" s="12"/>
      <c r="D898" s="12"/>
      <c r="E898" s="13"/>
      <c r="F898" s="12"/>
      <c r="G898" s="12"/>
      <c r="H898" s="12"/>
      <c r="I898" s="12"/>
      <c r="J898" s="12"/>
      <c r="K898" s="12"/>
      <c r="L898" s="12"/>
      <c r="M898" s="12"/>
      <c r="N898" s="12"/>
      <c r="O898" s="12"/>
      <c r="P898" s="12"/>
      <c r="Q898" s="12"/>
      <c r="R898" s="12"/>
      <c r="S898" s="12"/>
      <c r="T898" s="12"/>
      <c r="U898" s="12"/>
      <c r="V898" s="12"/>
      <c r="W898" s="12"/>
      <c r="X898" s="12"/>
      <c r="Y898" s="12"/>
      <c r="Z898" s="12"/>
    </row>
    <row r="899" spans="1:26" ht="15.75" customHeight="1" x14ac:dyDescent="0.25">
      <c r="A899" s="12"/>
      <c r="B899" s="12"/>
      <c r="C899" s="12"/>
      <c r="D899" s="12"/>
      <c r="E899" s="13"/>
      <c r="F899" s="12"/>
      <c r="G899" s="12"/>
      <c r="H899" s="12"/>
      <c r="I899" s="12"/>
      <c r="J899" s="12"/>
      <c r="K899" s="12"/>
      <c r="L899" s="12"/>
      <c r="M899" s="12"/>
      <c r="N899" s="12"/>
      <c r="O899" s="12"/>
      <c r="P899" s="12"/>
      <c r="Q899" s="12"/>
      <c r="R899" s="12"/>
      <c r="S899" s="12"/>
      <c r="T899" s="12"/>
      <c r="U899" s="12"/>
      <c r="V899" s="12"/>
      <c r="W899" s="12"/>
      <c r="X899" s="12"/>
      <c r="Y899" s="12"/>
      <c r="Z899" s="12"/>
    </row>
    <row r="900" spans="1:26" ht="15.75" customHeight="1" x14ac:dyDescent="0.25">
      <c r="A900" s="12"/>
      <c r="B900" s="12"/>
      <c r="C900" s="12"/>
      <c r="D900" s="12"/>
      <c r="E900" s="13"/>
      <c r="F900" s="12"/>
      <c r="G900" s="12"/>
      <c r="H900" s="12"/>
      <c r="I900" s="12"/>
      <c r="J900" s="12"/>
      <c r="K900" s="12"/>
      <c r="L900" s="12"/>
      <c r="M900" s="12"/>
      <c r="N900" s="12"/>
      <c r="O900" s="12"/>
      <c r="P900" s="12"/>
      <c r="Q900" s="12"/>
      <c r="R900" s="12"/>
      <c r="S900" s="12"/>
      <c r="T900" s="12"/>
      <c r="U900" s="12"/>
      <c r="V900" s="12"/>
      <c r="W900" s="12"/>
      <c r="X900" s="12"/>
      <c r="Y900" s="12"/>
      <c r="Z900" s="12"/>
    </row>
    <row r="901" spans="1:26" ht="15.75" customHeight="1" x14ac:dyDescent="0.25">
      <c r="A901" s="12"/>
      <c r="B901" s="12"/>
      <c r="C901" s="12"/>
      <c r="D901" s="12"/>
      <c r="E901" s="13"/>
      <c r="F901" s="12"/>
      <c r="G901" s="12"/>
      <c r="H901" s="12"/>
      <c r="I901" s="12"/>
      <c r="J901" s="12"/>
      <c r="K901" s="12"/>
      <c r="L901" s="12"/>
      <c r="M901" s="12"/>
      <c r="N901" s="12"/>
      <c r="O901" s="12"/>
      <c r="P901" s="12"/>
      <c r="Q901" s="12"/>
      <c r="R901" s="12"/>
      <c r="S901" s="12"/>
      <c r="T901" s="12"/>
      <c r="U901" s="12"/>
      <c r="V901" s="12"/>
      <c r="W901" s="12"/>
      <c r="X901" s="12"/>
      <c r="Y901" s="12"/>
      <c r="Z901" s="12"/>
    </row>
    <row r="902" spans="1:26" ht="15.75" customHeight="1" x14ac:dyDescent="0.25">
      <c r="A902" s="12"/>
      <c r="B902" s="12"/>
      <c r="C902" s="12"/>
      <c r="D902" s="12"/>
      <c r="E902" s="13"/>
      <c r="F902" s="12"/>
      <c r="G902" s="12"/>
      <c r="H902" s="12"/>
      <c r="I902" s="12"/>
      <c r="J902" s="12"/>
      <c r="K902" s="12"/>
      <c r="L902" s="12"/>
      <c r="M902" s="12"/>
      <c r="N902" s="12"/>
      <c r="O902" s="12"/>
      <c r="P902" s="12"/>
      <c r="Q902" s="12"/>
      <c r="R902" s="12"/>
      <c r="S902" s="12"/>
      <c r="T902" s="12"/>
      <c r="U902" s="12"/>
      <c r="V902" s="12"/>
      <c r="W902" s="12"/>
      <c r="X902" s="12"/>
      <c r="Y902" s="12"/>
      <c r="Z902" s="12"/>
    </row>
    <row r="903" spans="1:26" ht="15.75" customHeight="1" x14ac:dyDescent="0.25">
      <c r="A903" s="12"/>
      <c r="B903" s="12"/>
      <c r="C903" s="12"/>
      <c r="D903" s="12"/>
      <c r="E903" s="13"/>
      <c r="F903" s="12"/>
      <c r="G903" s="12"/>
      <c r="H903" s="12"/>
      <c r="I903" s="12"/>
      <c r="J903" s="12"/>
      <c r="K903" s="12"/>
      <c r="L903" s="12"/>
      <c r="M903" s="12"/>
      <c r="N903" s="12"/>
      <c r="O903" s="12"/>
      <c r="P903" s="12"/>
      <c r="Q903" s="12"/>
      <c r="R903" s="12"/>
      <c r="S903" s="12"/>
      <c r="T903" s="12"/>
      <c r="U903" s="12"/>
      <c r="V903" s="12"/>
      <c r="W903" s="12"/>
      <c r="X903" s="12"/>
      <c r="Y903" s="12"/>
      <c r="Z903" s="12"/>
    </row>
    <row r="904" spans="1:26" ht="15.75" customHeight="1" x14ac:dyDescent="0.25">
      <c r="A904" s="12"/>
      <c r="B904" s="12"/>
      <c r="C904" s="12"/>
      <c r="D904" s="12"/>
      <c r="E904" s="13"/>
      <c r="F904" s="12"/>
      <c r="G904" s="12"/>
      <c r="H904" s="12"/>
      <c r="I904" s="12"/>
      <c r="J904" s="12"/>
      <c r="K904" s="12"/>
      <c r="L904" s="12"/>
      <c r="M904" s="12"/>
      <c r="N904" s="12"/>
      <c r="O904" s="12"/>
      <c r="P904" s="12"/>
      <c r="Q904" s="12"/>
      <c r="R904" s="12"/>
      <c r="S904" s="12"/>
      <c r="T904" s="12"/>
      <c r="U904" s="12"/>
      <c r="V904" s="12"/>
      <c r="W904" s="12"/>
      <c r="X904" s="12"/>
      <c r="Y904" s="12"/>
      <c r="Z904" s="12"/>
    </row>
    <row r="905" spans="1:26" ht="15.75" customHeight="1" x14ac:dyDescent="0.25">
      <c r="A905" s="12"/>
      <c r="B905" s="12"/>
      <c r="C905" s="12"/>
      <c r="D905" s="12"/>
      <c r="E905" s="13"/>
      <c r="F905" s="12"/>
      <c r="G905" s="12"/>
      <c r="H905" s="12"/>
      <c r="I905" s="12"/>
      <c r="J905" s="12"/>
      <c r="K905" s="12"/>
      <c r="L905" s="12"/>
      <c r="M905" s="12"/>
      <c r="N905" s="12"/>
      <c r="O905" s="12"/>
      <c r="P905" s="12"/>
      <c r="Q905" s="12"/>
      <c r="R905" s="12"/>
      <c r="S905" s="12"/>
      <c r="T905" s="12"/>
      <c r="U905" s="12"/>
      <c r="V905" s="12"/>
      <c r="W905" s="12"/>
      <c r="X905" s="12"/>
      <c r="Y905" s="12"/>
      <c r="Z905" s="12"/>
    </row>
    <row r="906" spans="1:26" ht="15.75" customHeight="1" x14ac:dyDescent="0.25">
      <c r="A906" s="12"/>
      <c r="B906" s="12"/>
      <c r="C906" s="12"/>
      <c r="D906" s="12"/>
      <c r="E906" s="13"/>
      <c r="F906" s="12"/>
      <c r="G906" s="12"/>
      <c r="H906" s="12"/>
      <c r="I906" s="12"/>
      <c r="J906" s="12"/>
      <c r="K906" s="12"/>
      <c r="L906" s="12"/>
      <c r="M906" s="12"/>
      <c r="N906" s="12"/>
      <c r="O906" s="12"/>
      <c r="P906" s="12"/>
      <c r="Q906" s="12"/>
      <c r="R906" s="12"/>
      <c r="S906" s="12"/>
      <c r="T906" s="12"/>
      <c r="U906" s="12"/>
      <c r="V906" s="12"/>
      <c r="W906" s="12"/>
      <c r="X906" s="12"/>
      <c r="Y906" s="12"/>
      <c r="Z906" s="12"/>
    </row>
    <row r="907" spans="1:26" ht="15.75" customHeight="1" x14ac:dyDescent="0.25">
      <c r="A907" s="12"/>
      <c r="B907" s="12"/>
      <c r="C907" s="12"/>
      <c r="D907" s="12"/>
      <c r="E907" s="13"/>
      <c r="F907" s="12"/>
      <c r="G907" s="12"/>
      <c r="H907" s="12"/>
      <c r="I907" s="12"/>
      <c r="J907" s="12"/>
      <c r="K907" s="12"/>
      <c r="L907" s="12"/>
      <c r="M907" s="12"/>
      <c r="N907" s="12"/>
      <c r="O907" s="12"/>
      <c r="P907" s="12"/>
      <c r="Q907" s="12"/>
      <c r="R907" s="12"/>
      <c r="S907" s="12"/>
      <c r="T907" s="12"/>
      <c r="U907" s="12"/>
      <c r="V907" s="12"/>
      <c r="W907" s="12"/>
      <c r="X907" s="12"/>
      <c r="Y907" s="12"/>
      <c r="Z907" s="12"/>
    </row>
    <row r="908" spans="1:26" ht="15.75" customHeight="1" x14ac:dyDescent="0.25">
      <c r="A908" s="12"/>
      <c r="B908" s="12"/>
      <c r="C908" s="12"/>
      <c r="D908" s="12"/>
      <c r="E908" s="13"/>
      <c r="F908" s="12"/>
      <c r="G908" s="12"/>
      <c r="H908" s="12"/>
      <c r="I908" s="12"/>
      <c r="J908" s="12"/>
      <c r="K908" s="12"/>
      <c r="L908" s="12"/>
      <c r="M908" s="12"/>
      <c r="N908" s="12"/>
      <c r="O908" s="12"/>
      <c r="P908" s="12"/>
      <c r="Q908" s="12"/>
      <c r="R908" s="12"/>
      <c r="S908" s="12"/>
      <c r="T908" s="12"/>
      <c r="U908" s="12"/>
      <c r="V908" s="12"/>
      <c r="W908" s="12"/>
      <c r="X908" s="12"/>
      <c r="Y908" s="12"/>
      <c r="Z908" s="12"/>
    </row>
    <row r="909" spans="1:26" ht="15.75" customHeight="1" x14ac:dyDescent="0.25">
      <c r="A909" s="12"/>
      <c r="B909" s="12"/>
      <c r="C909" s="12"/>
      <c r="D909" s="12"/>
      <c r="E909" s="13"/>
      <c r="F909" s="12"/>
      <c r="G909" s="12"/>
      <c r="H909" s="12"/>
      <c r="I909" s="12"/>
      <c r="J909" s="12"/>
      <c r="K909" s="12"/>
      <c r="L909" s="12"/>
      <c r="M909" s="12"/>
      <c r="N909" s="12"/>
      <c r="O909" s="12"/>
      <c r="P909" s="12"/>
      <c r="Q909" s="12"/>
      <c r="R909" s="12"/>
      <c r="S909" s="12"/>
      <c r="T909" s="12"/>
      <c r="U909" s="12"/>
      <c r="V909" s="12"/>
      <c r="W909" s="12"/>
      <c r="X909" s="12"/>
      <c r="Y909" s="12"/>
      <c r="Z909" s="12"/>
    </row>
    <row r="910" spans="1:26" ht="15.75" customHeight="1" x14ac:dyDescent="0.25">
      <c r="A910" s="12"/>
      <c r="B910" s="12"/>
      <c r="C910" s="12"/>
      <c r="D910" s="12"/>
      <c r="E910" s="13"/>
      <c r="F910" s="12"/>
      <c r="G910" s="12"/>
      <c r="H910" s="12"/>
      <c r="I910" s="12"/>
      <c r="J910" s="12"/>
      <c r="K910" s="12"/>
      <c r="L910" s="12"/>
      <c r="M910" s="12"/>
      <c r="N910" s="12"/>
      <c r="O910" s="12"/>
      <c r="P910" s="12"/>
      <c r="Q910" s="12"/>
      <c r="R910" s="12"/>
      <c r="S910" s="12"/>
      <c r="T910" s="12"/>
      <c r="U910" s="12"/>
      <c r="V910" s="12"/>
      <c r="W910" s="12"/>
      <c r="X910" s="12"/>
      <c r="Y910" s="12"/>
      <c r="Z910" s="12"/>
    </row>
    <row r="911" spans="1:26" ht="15.75" customHeight="1" x14ac:dyDescent="0.25">
      <c r="A911" s="12"/>
      <c r="B911" s="12"/>
      <c r="C911" s="12"/>
      <c r="D911" s="12"/>
      <c r="E911" s="13"/>
      <c r="F911" s="12"/>
      <c r="G911" s="12"/>
      <c r="H911" s="12"/>
      <c r="I911" s="12"/>
      <c r="J911" s="12"/>
      <c r="K911" s="12"/>
      <c r="L911" s="12"/>
      <c r="M911" s="12"/>
      <c r="N911" s="12"/>
      <c r="O911" s="12"/>
      <c r="P911" s="12"/>
      <c r="Q911" s="12"/>
      <c r="R911" s="12"/>
      <c r="S911" s="12"/>
      <c r="T911" s="12"/>
      <c r="U911" s="12"/>
      <c r="V911" s="12"/>
      <c r="W911" s="12"/>
      <c r="X911" s="12"/>
      <c r="Y911" s="12"/>
      <c r="Z911" s="12"/>
    </row>
    <row r="912" spans="1:26" ht="15.75" customHeight="1" x14ac:dyDescent="0.25">
      <c r="A912" s="12"/>
      <c r="B912" s="12"/>
      <c r="C912" s="12"/>
      <c r="D912" s="12"/>
      <c r="E912" s="13"/>
      <c r="F912" s="12"/>
      <c r="G912" s="12"/>
      <c r="H912" s="12"/>
      <c r="I912" s="12"/>
      <c r="J912" s="12"/>
      <c r="K912" s="12"/>
      <c r="L912" s="12"/>
      <c r="M912" s="12"/>
      <c r="N912" s="12"/>
      <c r="O912" s="12"/>
      <c r="P912" s="12"/>
      <c r="Q912" s="12"/>
      <c r="R912" s="12"/>
      <c r="S912" s="12"/>
      <c r="T912" s="12"/>
      <c r="U912" s="12"/>
      <c r="V912" s="12"/>
      <c r="W912" s="12"/>
      <c r="X912" s="12"/>
      <c r="Y912" s="12"/>
      <c r="Z912" s="12"/>
    </row>
    <row r="913" spans="1:26" ht="15.75" customHeight="1" x14ac:dyDescent="0.25">
      <c r="A913" s="12"/>
      <c r="B913" s="12"/>
      <c r="C913" s="12"/>
      <c r="D913" s="12"/>
      <c r="E913" s="13"/>
      <c r="F913" s="12"/>
      <c r="G913" s="12"/>
      <c r="H913" s="12"/>
      <c r="I913" s="12"/>
      <c r="J913" s="12"/>
      <c r="K913" s="12"/>
      <c r="L913" s="12"/>
      <c r="M913" s="12"/>
      <c r="N913" s="12"/>
      <c r="O913" s="12"/>
      <c r="P913" s="12"/>
      <c r="Q913" s="12"/>
      <c r="R913" s="12"/>
      <c r="S913" s="12"/>
      <c r="T913" s="12"/>
      <c r="U913" s="12"/>
      <c r="V913" s="12"/>
      <c r="W913" s="12"/>
      <c r="X913" s="12"/>
      <c r="Y913" s="12"/>
      <c r="Z913" s="12"/>
    </row>
    <row r="914" spans="1:26" ht="15.75" customHeight="1" x14ac:dyDescent="0.25">
      <c r="A914" s="12"/>
      <c r="B914" s="12"/>
      <c r="C914" s="12"/>
      <c r="D914" s="12"/>
      <c r="E914" s="13"/>
      <c r="F914" s="12"/>
      <c r="G914" s="12"/>
      <c r="H914" s="12"/>
      <c r="I914" s="12"/>
      <c r="J914" s="12"/>
      <c r="K914" s="12"/>
      <c r="L914" s="12"/>
      <c r="M914" s="12"/>
      <c r="N914" s="12"/>
      <c r="O914" s="12"/>
      <c r="P914" s="12"/>
      <c r="Q914" s="12"/>
      <c r="R914" s="12"/>
      <c r="S914" s="12"/>
      <c r="T914" s="12"/>
      <c r="U914" s="12"/>
      <c r="V914" s="12"/>
      <c r="W914" s="12"/>
      <c r="X914" s="12"/>
      <c r="Y914" s="12"/>
      <c r="Z914" s="12"/>
    </row>
    <row r="915" spans="1:26" ht="15.75" customHeight="1" x14ac:dyDescent="0.25">
      <c r="A915" s="12"/>
      <c r="B915" s="12"/>
      <c r="C915" s="12"/>
      <c r="D915" s="12"/>
      <c r="E915" s="13"/>
      <c r="F915" s="12"/>
      <c r="G915" s="12"/>
      <c r="H915" s="12"/>
      <c r="I915" s="12"/>
      <c r="J915" s="12"/>
      <c r="K915" s="12"/>
      <c r="L915" s="12"/>
      <c r="M915" s="12"/>
      <c r="N915" s="12"/>
      <c r="O915" s="12"/>
      <c r="P915" s="12"/>
      <c r="Q915" s="12"/>
      <c r="R915" s="12"/>
      <c r="S915" s="12"/>
      <c r="T915" s="12"/>
      <c r="U915" s="12"/>
      <c r="V915" s="12"/>
      <c r="W915" s="12"/>
      <c r="X915" s="12"/>
      <c r="Y915" s="12"/>
      <c r="Z915" s="12"/>
    </row>
    <row r="916" spans="1:26" ht="15.75" customHeight="1" x14ac:dyDescent="0.25">
      <c r="A916" s="12"/>
      <c r="B916" s="12"/>
      <c r="C916" s="12"/>
      <c r="D916" s="12"/>
      <c r="E916" s="13"/>
      <c r="F916" s="12"/>
      <c r="G916" s="12"/>
      <c r="H916" s="12"/>
      <c r="I916" s="12"/>
      <c r="J916" s="12"/>
      <c r="K916" s="12"/>
      <c r="L916" s="12"/>
      <c r="M916" s="12"/>
      <c r="N916" s="12"/>
      <c r="O916" s="12"/>
      <c r="P916" s="12"/>
      <c r="Q916" s="12"/>
      <c r="R916" s="12"/>
      <c r="S916" s="12"/>
      <c r="T916" s="12"/>
      <c r="U916" s="12"/>
      <c r="V916" s="12"/>
      <c r="W916" s="12"/>
      <c r="X916" s="12"/>
      <c r="Y916" s="12"/>
      <c r="Z916" s="12"/>
    </row>
    <row r="917" spans="1:26" ht="15.75" customHeight="1" x14ac:dyDescent="0.25">
      <c r="A917" s="12"/>
      <c r="B917" s="12"/>
      <c r="C917" s="12"/>
      <c r="D917" s="12"/>
      <c r="E917" s="13"/>
      <c r="F917" s="12"/>
      <c r="G917" s="12"/>
      <c r="H917" s="12"/>
      <c r="I917" s="12"/>
      <c r="J917" s="12"/>
      <c r="K917" s="12"/>
      <c r="L917" s="12"/>
      <c r="M917" s="12"/>
      <c r="N917" s="12"/>
      <c r="O917" s="12"/>
      <c r="P917" s="12"/>
      <c r="Q917" s="12"/>
      <c r="R917" s="12"/>
      <c r="S917" s="12"/>
      <c r="T917" s="12"/>
      <c r="U917" s="12"/>
      <c r="V917" s="12"/>
      <c r="W917" s="12"/>
      <c r="X917" s="12"/>
      <c r="Y917" s="12"/>
      <c r="Z917" s="12"/>
    </row>
    <row r="918" spans="1:26" ht="15.75" customHeight="1" x14ac:dyDescent="0.25">
      <c r="A918" s="12"/>
      <c r="B918" s="12"/>
      <c r="C918" s="12"/>
      <c r="D918" s="12"/>
      <c r="E918" s="13"/>
      <c r="F918" s="12"/>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x14ac:dyDescent="0.25">
      <c r="A919" s="12"/>
      <c r="B919" s="12"/>
      <c r="C919" s="12"/>
      <c r="D919" s="12"/>
      <c r="E919" s="13"/>
      <c r="F919" s="12"/>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x14ac:dyDescent="0.25">
      <c r="A920" s="12"/>
      <c r="B920" s="12"/>
      <c r="C920" s="12"/>
      <c r="D920" s="12"/>
      <c r="E920" s="13"/>
      <c r="F920" s="12"/>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x14ac:dyDescent="0.25">
      <c r="A921" s="12"/>
      <c r="B921" s="12"/>
      <c r="C921" s="12"/>
      <c r="D921" s="12"/>
      <c r="E921" s="13"/>
      <c r="F921" s="12"/>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x14ac:dyDescent="0.25">
      <c r="A922" s="12"/>
      <c r="B922" s="12"/>
      <c r="C922" s="12"/>
      <c r="D922" s="12"/>
      <c r="E922" s="13"/>
      <c r="F922" s="12"/>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x14ac:dyDescent="0.25">
      <c r="A923" s="12"/>
      <c r="B923" s="12"/>
      <c r="C923" s="12"/>
      <c r="D923" s="12"/>
      <c r="E923" s="13"/>
      <c r="F923" s="12"/>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x14ac:dyDescent="0.25">
      <c r="A924" s="12"/>
      <c r="B924" s="12"/>
      <c r="C924" s="12"/>
      <c r="D924" s="12"/>
      <c r="E924" s="13"/>
      <c r="F924" s="12"/>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x14ac:dyDescent="0.25">
      <c r="A925" s="12"/>
      <c r="B925" s="12"/>
      <c r="C925" s="12"/>
      <c r="D925" s="12"/>
      <c r="E925" s="13"/>
      <c r="F925" s="12"/>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x14ac:dyDescent="0.25">
      <c r="A926" s="12"/>
      <c r="B926" s="12"/>
      <c r="C926" s="12"/>
      <c r="D926" s="12"/>
      <c r="E926" s="13"/>
      <c r="F926" s="12"/>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x14ac:dyDescent="0.25">
      <c r="A927" s="12"/>
      <c r="B927" s="12"/>
      <c r="C927" s="12"/>
      <c r="D927" s="12"/>
      <c r="E927" s="13"/>
      <c r="F927" s="12"/>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x14ac:dyDescent="0.25">
      <c r="A928" s="12"/>
      <c r="B928" s="12"/>
      <c r="C928" s="12"/>
      <c r="D928" s="12"/>
      <c r="E928" s="13"/>
      <c r="F928" s="12"/>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x14ac:dyDescent="0.25">
      <c r="A929" s="12"/>
      <c r="B929" s="12"/>
      <c r="C929" s="12"/>
      <c r="D929" s="12"/>
      <c r="E929" s="13"/>
      <c r="F929" s="12"/>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x14ac:dyDescent="0.25">
      <c r="A930" s="12"/>
      <c r="B930" s="12"/>
      <c r="C930" s="12"/>
      <c r="D930" s="12"/>
      <c r="E930" s="13"/>
      <c r="F930" s="12"/>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x14ac:dyDescent="0.25">
      <c r="A931" s="12"/>
      <c r="B931" s="12"/>
      <c r="C931" s="12"/>
      <c r="D931" s="12"/>
      <c r="E931" s="13"/>
      <c r="F931" s="12"/>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x14ac:dyDescent="0.25">
      <c r="A932" s="12"/>
      <c r="B932" s="12"/>
      <c r="C932" s="12"/>
      <c r="D932" s="12"/>
      <c r="E932" s="13"/>
      <c r="F932" s="12"/>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x14ac:dyDescent="0.25">
      <c r="A933" s="12"/>
      <c r="B933" s="12"/>
      <c r="C933" s="12"/>
      <c r="D933" s="12"/>
      <c r="E933" s="13"/>
      <c r="F933" s="12"/>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x14ac:dyDescent="0.25">
      <c r="A934" s="12"/>
      <c r="B934" s="12"/>
      <c r="C934" s="12"/>
      <c r="D934" s="12"/>
      <c r="E934" s="13"/>
      <c r="F934" s="12"/>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x14ac:dyDescent="0.25">
      <c r="A935" s="12"/>
      <c r="B935" s="12"/>
      <c r="C935" s="12"/>
      <c r="D935" s="12"/>
      <c r="E935" s="13"/>
      <c r="F935" s="12"/>
      <c r="G935" s="12"/>
      <c r="H935" s="12"/>
      <c r="I935" s="12"/>
      <c r="J935" s="12"/>
      <c r="K935" s="12"/>
      <c r="L935" s="12"/>
      <c r="M935" s="12"/>
      <c r="N935" s="12"/>
      <c r="O935" s="12"/>
      <c r="P935" s="12"/>
      <c r="Q935" s="12"/>
      <c r="R935" s="12"/>
      <c r="S935" s="12"/>
      <c r="T935" s="12"/>
      <c r="U935" s="12"/>
      <c r="V935" s="12"/>
      <c r="W935" s="12"/>
      <c r="X935" s="12"/>
      <c r="Y935" s="12"/>
      <c r="Z935" s="12"/>
    </row>
    <row r="936" spans="1:26" ht="15.75" customHeight="1" x14ac:dyDescent="0.25">
      <c r="A936" s="12"/>
      <c r="B936" s="12"/>
      <c r="C936" s="12"/>
      <c r="D936" s="12"/>
      <c r="E936" s="13"/>
      <c r="F936" s="12"/>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x14ac:dyDescent="0.25">
      <c r="A937" s="12"/>
      <c r="B937" s="12"/>
      <c r="C937" s="12"/>
      <c r="D937" s="12"/>
      <c r="E937" s="13"/>
      <c r="F937" s="12"/>
      <c r="G937" s="12"/>
      <c r="H937" s="12"/>
      <c r="I937" s="12"/>
      <c r="J937" s="12"/>
      <c r="K937" s="12"/>
      <c r="L937" s="12"/>
      <c r="M937" s="12"/>
      <c r="N937" s="12"/>
      <c r="O937" s="12"/>
      <c r="P937" s="12"/>
      <c r="Q937" s="12"/>
      <c r="R937" s="12"/>
      <c r="S937" s="12"/>
      <c r="T937" s="12"/>
      <c r="U937" s="12"/>
      <c r="V937" s="12"/>
      <c r="W937" s="12"/>
      <c r="X937" s="12"/>
      <c r="Y937" s="12"/>
      <c r="Z937" s="12"/>
    </row>
    <row r="938" spans="1:26" ht="15.75" customHeight="1" x14ac:dyDescent="0.25">
      <c r="A938" s="12"/>
      <c r="B938" s="12"/>
      <c r="C938" s="12"/>
      <c r="D938" s="12"/>
      <c r="E938" s="13"/>
      <c r="F938" s="12"/>
      <c r="G938" s="12"/>
      <c r="H938" s="12"/>
      <c r="I938" s="12"/>
      <c r="J938" s="12"/>
      <c r="K938" s="12"/>
      <c r="L938" s="12"/>
      <c r="M938" s="12"/>
      <c r="N938" s="12"/>
      <c r="O938" s="12"/>
      <c r="P938" s="12"/>
      <c r="Q938" s="12"/>
      <c r="R938" s="12"/>
      <c r="S938" s="12"/>
      <c r="T938" s="12"/>
      <c r="U938" s="12"/>
      <c r="V938" s="12"/>
      <c r="W938" s="12"/>
      <c r="X938" s="12"/>
      <c r="Y938" s="12"/>
      <c r="Z938" s="12"/>
    </row>
    <row r="939" spans="1:26" ht="15.75" customHeight="1" x14ac:dyDescent="0.25">
      <c r="A939" s="12"/>
      <c r="B939" s="12"/>
      <c r="C939" s="12"/>
      <c r="D939" s="12"/>
      <c r="E939" s="13"/>
      <c r="F939" s="12"/>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x14ac:dyDescent="0.25">
      <c r="A940" s="12"/>
      <c r="B940" s="12"/>
      <c r="C940" s="12"/>
      <c r="D940" s="12"/>
      <c r="E940" s="13"/>
      <c r="F940" s="12"/>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x14ac:dyDescent="0.25">
      <c r="A941" s="12"/>
      <c r="B941" s="12"/>
      <c r="C941" s="12"/>
      <c r="D941" s="12"/>
      <c r="E941" s="13"/>
      <c r="F941" s="12"/>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x14ac:dyDescent="0.25">
      <c r="A942" s="12"/>
      <c r="B942" s="12"/>
      <c r="C942" s="12"/>
      <c r="D942" s="12"/>
      <c r="E942" s="13"/>
      <c r="F942" s="12"/>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x14ac:dyDescent="0.25">
      <c r="A943" s="12"/>
      <c r="B943" s="12"/>
      <c r="C943" s="12"/>
      <c r="D943" s="12"/>
      <c r="E943" s="13"/>
      <c r="F943" s="12"/>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x14ac:dyDescent="0.25">
      <c r="A944" s="12"/>
      <c r="B944" s="12"/>
      <c r="C944" s="12"/>
      <c r="D944" s="12"/>
      <c r="E944" s="13"/>
      <c r="F944" s="12"/>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x14ac:dyDescent="0.25">
      <c r="A945" s="12"/>
      <c r="B945" s="12"/>
      <c r="C945" s="12"/>
      <c r="D945" s="12"/>
      <c r="E945" s="13"/>
      <c r="F945" s="12"/>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x14ac:dyDescent="0.25">
      <c r="A946" s="12"/>
      <c r="B946" s="12"/>
      <c r="C946" s="12"/>
      <c r="D946" s="12"/>
      <c r="E946" s="13"/>
      <c r="F946" s="12"/>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x14ac:dyDescent="0.25">
      <c r="A947" s="12"/>
      <c r="B947" s="12"/>
      <c r="C947" s="12"/>
      <c r="D947" s="12"/>
      <c r="E947" s="13"/>
      <c r="F947" s="12"/>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x14ac:dyDescent="0.25">
      <c r="A948" s="12"/>
      <c r="B948" s="12"/>
      <c r="C948" s="12"/>
      <c r="D948" s="12"/>
      <c r="E948" s="13"/>
      <c r="F948" s="12"/>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x14ac:dyDescent="0.25">
      <c r="A949" s="12"/>
      <c r="B949" s="12"/>
      <c r="C949" s="12"/>
      <c r="D949" s="12"/>
      <c r="E949" s="13"/>
      <c r="F949" s="12"/>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x14ac:dyDescent="0.25">
      <c r="A950" s="12"/>
      <c r="B950" s="12"/>
      <c r="C950" s="12"/>
      <c r="D950" s="12"/>
      <c r="E950" s="13"/>
      <c r="F950" s="12"/>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x14ac:dyDescent="0.25">
      <c r="A951" s="12"/>
      <c r="B951" s="12"/>
      <c r="C951" s="12"/>
      <c r="D951" s="12"/>
      <c r="E951" s="13"/>
      <c r="F951" s="12"/>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x14ac:dyDescent="0.25">
      <c r="A952" s="12"/>
      <c r="B952" s="12"/>
      <c r="C952" s="12"/>
      <c r="D952" s="12"/>
      <c r="E952" s="13"/>
      <c r="F952" s="12"/>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x14ac:dyDescent="0.25">
      <c r="A953" s="12"/>
      <c r="B953" s="12"/>
      <c r="C953" s="12"/>
      <c r="D953" s="12"/>
      <c r="E953" s="13"/>
      <c r="F953" s="12"/>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x14ac:dyDescent="0.25">
      <c r="A954" s="12"/>
      <c r="B954" s="12"/>
      <c r="C954" s="12"/>
      <c r="D954" s="12"/>
      <c r="E954" s="13"/>
      <c r="F954" s="12"/>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x14ac:dyDescent="0.25">
      <c r="A955" s="12"/>
      <c r="B955" s="12"/>
      <c r="C955" s="12"/>
      <c r="D955" s="12"/>
      <c r="E955" s="13"/>
      <c r="F955" s="12"/>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x14ac:dyDescent="0.25">
      <c r="A956" s="12"/>
      <c r="B956" s="12"/>
      <c r="C956" s="12"/>
      <c r="D956" s="12"/>
      <c r="E956" s="13"/>
      <c r="F956" s="12"/>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x14ac:dyDescent="0.25">
      <c r="A957" s="12"/>
      <c r="B957" s="12"/>
      <c r="C957" s="12"/>
      <c r="D957" s="12"/>
      <c r="E957" s="13"/>
      <c r="F957" s="12"/>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x14ac:dyDescent="0.25">
      <c r="A958" s="12"/>
      <c r="B958" s="12"/>
      <c r="C958" s="12"/>
      <c r="D958" s="12"/>
      <c r="E958" s="13"/>
      <c r="F958" s="12"/>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x14ac:dyDescent="0.25">
      <c r="A959" s="12"/>
      <c r="B959" s="12"/>
      <c r="C959" s="12"/>
      <c r="D959" s="12"/>
      <c r="E959" s="13"/>
      <c r="F959" s="12"/>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x14ac:dyDescent="0.25">
      <c r="A960" s="12"/>
      <c r="B960" s="12"/>
      <c r="C960" s="12"/>
      <c r="D960" s="12"/>
      <c r="E960" s="13"/>
      <c r="F960" s="12"/>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x14ac:dyDescent="0.25">
      <c r="A961" s="12"/>
      <c r="B961" s="12"/>
      <c r="C961" s="12"/>
      <c r="D961" s="12"/>
      <c r="E961" s="13"/>
      <c r="F961" s="12"/>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x14ac:dyDescent="0.25">
      <c r="A962" s="12"/>
      <c r="B962" s="12"/>
      <c r="C962" s="12"/>
      <c r="D962" s="12"/>
      <c r="E962" s="13"/>
      <c r="F962" s="12"/>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x14ac:dyDescent="0.25">
      <c r="A963" s="12"/>
      <c r="B963" s="12"/>
      <c r="C963" s="12"/>
      <c r="D963" s="12"/>
      <c r="E963" s="13"/>
      <c r="F963" s="12"/>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x14ac:dyDescent="0.25">
      <c r="A964" s="12"/>
      <c r="B964" s="12"/>
      <c r="C964" s="12"/>
      <c r="D964" s="12"/>
      <c r="E964" s="13"/>
      <c r="F964" s="12"/>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x14ac:dyDescent="0.25">
      <c r="A965" s="12"/>
      <c r="B965" s="12"/>
      <c r="C965" s="12"/>
      <c r="D965" s="12"/>
      <c r="E965" s="13"/>
      <c r="F965" s="12"/>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x14ac:dyDescent="0.25">
      <c r="A966" s="12"/>
      <c r="B966" s="12"/>
      <c r="C966" s="12"/>
      <c r="D966" s="12"/>
      <c r="E966" s="13"/>
      <c r="F966" s="12"/>
      <c r="G966" s="12"/>
      <c r="H966" s="12"/>
      <c r="I966" s="12"/>
      <c r="J966" s="12"/>
      <c r="K966" s="12"/>
      <c r="L966" s="12"/>
      <c r="M966" s="12"/>
      <c r="N966" s="12"/>
      <c r="O966" s="12"/>
      <c r="P966" s="12"/>
      <c r="Q966" s="12"/>
      <c r="R966" s="12"/>
      <c r="S966" s="12"/>
      <c r="T966" s="12"/>
      <c r="U966" s="12"/>
      <c r="V966" s="12"/>
      <c r="W966" s="12"/>
      <c r="X966" s="12"/>
      <c r="Y966" s="12"/>
      <c r="Z966" s="12"/>
    </row>
    <row r="967" spans="1:26" ht="15.75" customHeight="1" x14ac:dyDescent="0.25">
      <c r="A967" s="12"/>
      <c r="B967" s="12"/>
      <c r="C967" s="12"/>
      <c r="D967" s="12"/>
      <c r="E967" s="13"/>
      <c r="F967" s="12"/>
      <c r="G967" s="12"/>
      <c r="H967" s="12"/>
      <c r="I967" s="12"/>
      <c r="J967" s="12"/>
      <c r="K967" s="12"/>
      <c r="L967" s="12"/>
      <c r="M967" s="12"/>
      <c r="N967" s="12"/>
      <c r="O967" s="12"/>
      <c r="P967" s="12"/>
      <c r="Q967" s="12"/>
      <c r="R967" s="12"/>
      <c r="S967" s="12"/>
      <c r="T967" s="12"/>
      <c r="U967" s="12"/>
      <c r="V967" s="12"/>
      <c r="W967" s="12"/>
      <c r="X967" s="12"/>
      <c r="Y967" s="12"/>
      <c r="Z967" s="12"/>
    </row>
    <row r="968" spans="1:26" ht="15.75" customHeight="1" x14ac:dyDescent="0.25">
      <c r="A968" s="12"/>
      <c r="B968" s="12"/>
      <c r="C968" s="12"/>
      <c r="D968" s="12"/>
      <c r="E968" s="13"/>
      <c r="F968" s="12"/>
      <c r="G968" s="12"/>
      <c r="H968" s="12"/>
      <c r="I968" s="12"/>
      <c r="J968" s="12"/>
      <c r="K968" s="12"/>
      <c r="L968" s="12"/>
      <c r="M968" s="12"/>
      <c r="N968" s="12"/>
      <c r="O968" s="12"/>
      <c r="P968" s="12"/>
      <c r="Q968" s="12"/>
      <c r="R968" s="12"/>
      <c r="S968" s="12"/>
      <c r="T968" s="12"/>
      <c r="U968" s="12"/>
      <c r="V968" s="12"/>
      <c r="W968" s="12"/>
      <c r="X968" s="12"/>
      <c r="Y968" s="12"/>
      <c r="Z968" s="12"/>
    </row>
    <row r="969" spans="1:26" ht="15.75" customHeight="1" x14ac:dyDescent="0.25">
      <c r="A969" s="12"/>
      <c r="B969" s="12"/>
      <c r="C969" s="12"/>
      <c r="D969" s="12"/>
      <c r="E969" s="13"/>
      <c r="F969" s="12"/>
      <c r="G969" s="12"/>
      <c r="H969" s="12"/>
      <c r="I969" s="12"/>
      <c r="J969" s="12"/>
      <c r="K969" s="12"/>
      <c r="L969" s="12"/>
      <c r="M969" s="12"/>
      <c r="N969" s="12"/>
      <c r="O969" s="12"/>
      <c r="P969" s="12"/>
      <c r="Q969" s="12"/>
      <c r="R969" s="12"/>
      <c r="S969" s="12"/>
      <c r="T969" s="12"/>
      <c r="U969" s="12"/>
      <c r="V969" s="12"/>
      <c r="W969" s="12"/>
      <c r="X969" s="12"/>
      <c r="Y969" s="12"/>
      <c r="Z969" s="12"/>
    </row>
    <row r="970" spans="1:26" ht="15.75" customHeight="1" x14ac:dyDescent="0.25">
      <c r="A970" s="12"/>
      <c r="B970" s="12"/>
      <c r="C970" s="12"/>
      <c r="D970" s="12"/>
      <c r="E970" s="13"/>
      <c r="F970" s="12"/>
      <c r="G970" s="12"/>
      <c r="H970" s="12"/>
      <c r="I970" s="12"/>
      <c r="J970" s="12"/>
      <c r="K970" s="12"/>
      <c r="L970" s="12"/>
      <c r="M970" s="12"/>
      <c r="N970" s="12"/>
      <c r="O970" s="12"/>
      <c r="P970" s="12"/>
      <c r="Q970" s="12"/>
      <c r="R970" s="12"/>
      <c r="S970" s="12"/>
      <c r="T970" s="12"/>
      <c r="U970" s="12"/>
      <c r="V970" s="12"/>
      <c r="W970" s="12"/>
      <c r="X970" s="12"/>
      <c r="Y970" s="12"/>
      <c r="Z970" s="12"/>
    </row>
    <row r="971" spans="1:26" ht="15.75" customHeight="1" x14ac:dyDescent="0.25">
      <c r="A971" s="12"/>
      <c r="B971" s="12"/>
      <c r="C971" s="12"/>
      <c r="D971" s="12"/>
      <c r="E971" s="13"/>
      <c r="F971" s="12"/>
      <c r="G971" s="12"/>
      <c r="H971" s="12"/>
      <c r="I971" s="12"/>
      <c r="J971" s="12"/>
      <c r="K971" s="12"/>
      <c r="L971" s="12"/>
      <c r="M971" s="12"/>
      <c r="N971" s="12"/>
      <c r="O971" s="12"/>
      <c r="P971" s="12"/>
      <c r="Q971" s="12"/>
      <c r="R971" s="12"/>
      <c r="S971" s="12"/>
      <c r="T971" s="12"/>
      <c r="U971" s="12"/>
      <c r="V971" s="12"/>
      <c r="W971" s="12"/>
      <c r="X971" s="12"/>
      <c r="Y971" s="12"/>
      <c r="Z971" s="12"/>
    </row>
    <row r="972" spans="1:26" ht="15.75" customHeight="1" x14ac:dyDescent="0.25">
      <c r="A972" s="12"/>
      <c r="B972" s="12"/>
      <c r="C972" s="12"/>
      <c r="D972" s="12"/>
      <c r="E972" s="13"/>
      <c r="F972" s="12"/>
      <c r="G972" s="12"/>
      <c r="H972" s="12"/>
      <c r="I972" s="12"/>
      <c r="J972" s="12"/>
      <c r="K972" s="12"/>
      <c r="L972" s="12"/>
      <c r="M972" s="12"/>
      <c r="N972" s="12"/>
      <c r="O972" s="12"/>
      <c r="P972" s="12"/>
      <c r="Q972" s="12"/>
      <c r="R972" s="12"/>
      <c r="S972" s="12"/>
      <c r="T972" s="12"/>
      <c r="U972" s="12"/>
      <c r="V972" s="12"/>
      <c r="W972" s="12"/>
      <c r="X972" s="12"/>
      <c r="Y972" s="12"/>
      <c r="Z972" s="12"/>
    </row>
    <row r="973" spans="1:26" ht="15.75" customHeight="1" x14ac:dyDescent="0.25">
      <c r="A973" s="12"/>
      <c r="B973" s="12"/>
      <c r="C973" s="12"/>
      <c r="D973" s="12"/>
      <c r="E973" s="13"/>
      <c r="F973" s="12"/>
      <c r="G973" s="12"/>
      <c r="H973" s="12"/>
      <c r="I973" s="12"/>
      <c r="J973" s="12"/>
      <c r="K973" s="12"/>
      <c r="L973" s="12"/>
      <c r="M973" s="12"/>
      <c r="N973" s="12"/>
      <c r="O973" s="12"/>
      <c r="P973" s="12"/>
      <c r="Q973" s="12"/>
      <c r="R973" s="12"/>
      <c r="S973" s="12"/>
      <c r="T973" s="12"/>
      <c r="U973" s="12"/>
      <c r="V973" s="12"/>
      <c r="W973" s="12"/>
      <c r="X973" s="12"/>
      <c r="Y973" s="12"/>
      <c r="Z973" s="12"/>
    </row>
    <row r="974" spans="1:26" ht="15.75" customHeight="1" x14ac:dyDescent="0.25">
      <c r="A974" s="12"/>
      <c r="B974" s="12"/>
      <c r="C974" s="12"/>
      <c r="D974" s="12"/>
      <c r="E974" s="13"/>
      <c r="F974" s="12"/>
      <c r="G974" s="12"/>
      <c r="H974" s="12"/>
      <c r="I974" s="12"/>
      <c r="J974" s="12"/>
      <c r="K974" s="12"/>
      <c r="L974" s="12"/>
      <c r="M974" s="12"/>
      <c r="N974" s="12"/>
      <c r="O974" s="12"/>
      <c r="P974" s="12"/>
      <c r="Q974" s="12"/>
      <c r="R974" s="12"/>
      <c r="S974" s="12"/>
      <c r="T974" s="12"/>
      <c r="U974" s="12"/>
      <c r="V974" s="12"/>
      <c r="W974" s="12"/>
      <c r="X974" s="12"/>
      <c r="Y974" s="12"/>
      <c r="Z974" s="12"/>
    </row>
    <row r="975" spans="1:26" ht="15.75" customHeight="1" x14ac:dyDescent="0.25">
      <c r="A975" s="12"/>
      <c r="B975" s="12"/>
      <c r="C975" s="12"/>
      <c r="D975" s="12"/>
      <c r="E975" s="13"/>
      <c r="F975" s="12"/>
      <c r="G975" s="12"/>
      <c r="H975" s="12"/>
      <c r="I975" s="12"/>
      <c r="J975" s="12"/>
      <c r="K975" s="12"/>
      <c r="L975" s="12"/>
      <c r="M975" s="12"/>
      <c r="N975" s="12"/>
      <c r="O975" s="12"/>
      <c r="P975" s="12"/>
      <c r="Q975" s="12"/>
      <c r="R975" s="12"/>
      <c r="S975" s="12"/>
      <c r="T975" s="12"/>
      <c r="U975" s="12"/>
      <c r="V975" s="12"/>
      <c r="W975" s="12"/>
      <c r="X975" s="12"/>
      <c r="Y975" s="12"/>
      <c r="Z975" s="12"/>
    </row>
    <row r="976" spans="1:26" ht="15.75" customHeight="1" x14ac:dyDescent="0.25">
      <c r="A976" s="12"/>
      <c r="B976" s="12"/>
      <c r="C976" s="12"/>
      <c r="D976" s="12"/>
      <c r="E976" s="13"/>
      <c r="F976" s="12"/>
      <c r="G976" s="12"/>
      <c r="H976" s="12"/>
      <c r="I976" s="12"/>
      <c r="J976" s="12"/>
      <c r="K976" s="12"/>
      <c r="L976" s="12"/>
      <c r="M976" s="12"/>
      <c r="N976" s="12"/>
      <c r="O976" s="12"/>
      <c r="P976" s="12"/>
      <c r="Q976" s="12"/>
      <c r="R976" s="12"/>
      <c r="S976" s="12"/>
      <c r="T976" s="12"/>
      <c r="U976" s="12"/>
      <c r="V976" s="12"/>
      <c r="W976" s="12"/>
      <c r="X976" s="12"/>
      <c r="Y976" s="12"/>
      <c r="Z976" s="12"/>
    </row>
    <row r="977" spans="1:26" ht="15.75" customHeight="1" x14ac:dyDescent="0.25">
      <c r="A977" s="12"/>
      <c r="B977" s="12"/>
      <c r="C977" s="12"/>
      <c r="D977" s="12"/>
      <c r="E977" s="13"/>
      <c r="F977" s="12"/>
      <c r="G977" s="12"/>
      <c r="H977" s="12"/>
      <c r="I977" s="12"/>
      <c r="J977" s="12"/>
      <c r="K977" s="12"/>
      <c r="L977" s="12"/>
      <c r="M977" s="12"/>
      <c r="N977" s="12"/>
      <c r="O977" s="12"/>
      <c r="P977" s="12"/>
      <c r="Q977" s="12"/>
      <c r="R977" s="12"/>
      <c r="S977" s="12"/>
      <c r="T977" s="12"/>
      <c r="U977" s="12"/>
      <c r="V977" s="12"/>
      <c r="W977" s="12"/>
      <c r="X977" s="12"/>
      <c r="Y977" s="12"/>
      <c r="Z977" s="12"/>
    </row>
    <row r="978" spans="1:26" ht="15.75" customHeight="1" x14ac:dyDescent="0.25">
      <c r="A978" s="12"/>
      <c r="B978" s="12"/>
      <c r="C978" s="12"/>
      <c r="D978" s="12"/>
      <c r="E978" s="13"/>
      <c r="F978" s="12"/>
      <c r="G978" s="12"/>
      <c r="H978" s="12"/>
      <c r="I978" s="12"/>
      <c r="J978" s="12"/>
      <c r="K978" s="12"/>
      <c r="L978" s="12"/>
      <c r="M978" s="12"/>
      <c r="N978" s="12"/>
      <c r="O978" s="12"/>
      <c r="P978" s="12"/>
      <c r="Q978" s="12"/>
      <c r="R978" s="12"/>
      <c r="S978" s="12"/>
      <c r="T978" s="12"/>
      <c r="U978" s="12"/>
      <c r="V978" s="12"/>
      <c r="W978" s="12"/>
      <c r="X978" s="12"/>
      <c r="Y978" s="12"/>
      <c r="Z978" s="12"/>
    </row>
    <row r="979" spans="1:26" ht="15.75" customHeight="1" x14ac:dyDescent="0.25">
      <c r="A979" s="12"/>
      <c r="B979" s="12"/>
      <c r="C979" s="12"/>
      <c r="D979" s="12"/>
      <c r="E979" s="13"/>
      <c r="F979" s="12"/>
      <c r="G979" s="12"/>
      <c r="H979" s="12"/>
      <c r="I979" s="12"/>
      <c r="J979" s="12"/>
      <c r="K979" s="12"/>
      <c r="L979" s="12"/>
      <c r="M979" s="12"/>
      <c r="N979" s="12"/>
      <c r="O979" s="12"/>
      <c r="P979" s="12"/>
      <c r="Q979" s="12"/>
      <c r="R979" s="12"/>
      <c r="S979" s="12"/>
      <c r="T979" s="12"/>
      <c r="U979" s="12"/>
      <c r="V979" s="12"/>
      <c r="W979" s="12"/>
      <c r="X979" s="12"/>
      <c r="Y979" s="12"/>
      <c r="Z979" s="12"/>
    </row>
    <row r="980" spans="1:26" ht="15.75" customHeight="1" x14ac:dyDescent="0.25">
      <c r="A980" s="12"/>
      <c r="B980" s="12"/>
      <c r="C980" s="12"/>
      <c r="D980" s="12"/>
      <c r="E980" s="13"/>
      <c r="F980" s="12"/>
      <c r="G980" s="12"/>
      <c r="H980" s="12"/>
      <c r="I980" s="12"/>
      <c r="J980" s="12"/>
      <c r="K980" s="12"/>
      <c r="L980" s="12"/>
      <c r="M980" s="12"/>
      <c r="N980" s="12"/>
      <c r="O980" s="12"/>
      <c r="P980" s="12"/>
      <c r="Q980" s="12"/>
      <c r="R980" s="12"/>
      <c r="S980" s="12"/>
      <c r="T980" s="12"/>
      <c r="U980" s="12"/>
      <c r="V980" s="12"/>
      <c r="W980" s="12"/>
      <c r="X980" s="12"/>
      <c r="Y980" s="12"/>
      <c r="Z980" s="12"/>
    </row>
    <row r="981" spans="1:26" ht="15.75" customHeight="1" x14ac:dyDescent="0.25">
      <c r="A981" s="12"/>
      <c r="B981" s="12"/>
      <c r="C981" s="12"/>
      <c r="D981" s="12"/>
      <c r="E981" s="13"/>
      <c r="F981" s="12"/>
      <c r="G981" s="12"/>
      <c r="H981" s="12"/>
      <c r="I981" s="12"/>
      <c r="J981" s="12"/>
      <c r="K981" s="12"/>
      <c r="L981" s="12"/>
      <c r="M981" s="12"/>
      <c r="N981" s="12"/>
      <c r="O981" s="12"/>
      <c r="P981" s="12"/>
      <c r="Q981" s="12"/>
      <c r="R981" s="12"/>
      <c r="S981" s="12"/>
      <c r="T981" s="12"/>
      <c r="U981" s="12"/>
      <c r="V981" s="12"/>
      <c r="W981" s="12"/>
      <c r="X981" s="12"/>
      <c r="Y981" s="12"/>
      <c r="Z981" s="12"/>
    </row>
    <row r="982" spans="1:26" ht="15.75" customHeight="1" x14ac:dyDescent="0.25">
      <c r="A982" s="12"/>
      <c r="B982" s="12"/>
      <c r="C982" s="12"/>
      <c r="D982" s="12"/>
      <c r="E982" s="13"/>
      <c r="F982" s="12"/>
      <c r="G982" s="12"/>
      <c r="H982" s="12"/>
      <c r="I982" s="12"/>
      <c r="J982" s="12"/>
      <c r="K982" s="12"/>
      <c r="L982" s="12"/>
      <c r="M982" s="12"/>
      <c r="N982" s="12"/>
      <c r="O982" s="12"/>
      <c r="P982" s="12"/>
      <c r="Q982" s="12"/>
      <c r="R982" s="12"/>
      <c r="S982" s="12"/>
      <c r="T982" s="12"/>
      <c r="U982" s="12"/>
      <c r="V982" s="12"/>
      <c r="W982" s="12"/>
      <c r="X982" s="12"/>
      <c r="Y982" s="12"/>
      <c r="Z982" s="12"/>
    </row>
    <row r="983" spans="1:26" ht="15.75" customHeight="1" x14ac:dyDescent="0.25">
      <c r="A983" s="12"/>
      <c r="B983" s="12"/>
      <c r="C983" s="12"/>
      <c r="D983" s="12"/>
      <c r="E983" s="13"/>
      <c r="F983" s="12"/>
      <c r="G983" s="12"/>
      <c r="H983" s="12"/>
      <c r="I983" s="12"/>
      <c r="J983" s="12"/>
      <c r="K983" s="12"/>
      <c r="L983" s="12"/>
      <c r="M983" s="12"/>
      <c r="N983" s="12"/>
      <c r="O983" s="12"/>
      <c r="P983" s="12"/>
      <c r="Q983" s="12"/>
      <c r="R983" s="12"/>
      <c r="S983" s="12"/>
      <c r="T983" s="12"/>
      <c r="U983" s="12"/>
      <c r="V983" s="12"/>
      <c r="W983" s="12"/>
      <c r="X983" s="12"/>
      <c r="Y983" s="12"/>
      <c r="Z983" s="12"/>
    </row>
    <row r="984" spans="1:26" ht="15.75" customHeight="1" x14ac:dyDescent="0.25">
      <c r="A984" s="12"/>
      <c r="B984" s="12"/>
      <c r="C984" s="12"/>
      <c r="D984" s="12"/>
      <c r="E984" s="13"/>
      <c r="F984" s="12"/>
      <c r="G984" s="12"/>
      <c r="H984" s="12"/>
      <c r="I984" s="12"/>
      <c r="J984" s="12"/>
      <c r="K984" s="12"/>
      <c r="L984" s="12"/>
      <c r="M984" s="12"/>
      <c r="N984" s="12"/>
      <c r="O984" s="12"/>
      <c r="P984" s="12"/>
      <c r="Q984" s="12"/>
      <c r="R984" s="12"/>
      <c r="S984" s="12"/>
      <c r="T984" s="12"/>
      <c r="U984" s="12"/>
      <c r="V984" s="12"/>
      <c r="W984" s="12"/>
      <c r="X984" s="12"/>
      <c r="Y984" s="12"/>
      <c r="Z984" s="12"/>
    </row>
    <row r="985" spans="1:26" ht="15.75" customHeight="1" x14ac:dyDescent="0.25">
      <c r="A985" s="12"/>
      <c r="B985" s="12"/>
      <c r="C985" s="12"/>
      <c r="D985" s="12"/>
      <c r="E985" s="13"/>
      <c r="F985" s="12"/>
      <c r="G985" s="12"/>
      <c r="H985" s="12"/>
      <c r="I985" s="12"/>
      <c r="J985" s="12"/>
      <c r="K985" s="12"/>
      <c r="L985" s="12"/>
      <c r="M985" s="12"/>
      <c r="N985" s="12"/>
      <c r="O985" s="12"/>
      <c r="P985" s="12"/>
      <c r="Q985" s="12"/>
      <c r="R985" s="12"/>
      <c r="S985" s="12"/>
      <c r="T985" s="12"/>
      <c r="U985" s="12"/>
      <c r="V985" s="12"/>
      <c r="W985" s="12"/>
      <c r="X985" s="12"/>
      <c r="Y985" s="12"/>
      <c r="Z985" s="12"/>
    </row>
    <row r="986" spans="1:26" ht="15.75" customHeight="1" x14ac:dyDescent="0.25">
      <c r="A986" s="12"/>
      <c r="B986" s="12"/>
      <c r="C986" s="12"/>
      <c r="D986" s="12"/>
      <c r="E986" s="13"/>
      <c r="F986" s="12"/>
      <c r="G986" s="12"/>
      <c r="H986" s="12"/>
      <c r="I986" s="12"/>
      <c r="J986" s="12"/>
      <c r="K986" s="12"/>
      <c r="L986" s="12"/>
      <c r="M986" s="12"/>
      <c r="N986" s="12"/>
      <c r="O986" s="12"/>
      <c r="P986" s="12"/>
      <c r="Q986" s="12"/>
      <c r="R986" s="12"/>
      <c r="S986" s="12"/>
      <c r="T986" s="12"/>
      <c r="U986" s="12"/>
      <c r="V986" s="12"/>
      <c r="W986" s="12"/>
      <c r="X986" s="12"/>
      <c r="Y986" s="12"/>
      <c r="Z986" s="12"/>
    </row>
    <row r="987" spans="1:26" ht="15.75" customHeight="1" x14ac:dyDescent="0.25">
      <c r="A987" s="12"/>
      <c r="B987" s="12"/>
      <c r="C987" s="12"/>
      <c r="D987" s="12"/>
      <c r="E987" s="13"/>
      <c r="F987" s="12"/>
      <c r="G987" s="12"/>
      <c r="H987" s="12"/>
      <c r="I987" s="12"/>
      <c r="J987" s="12"/>
      <c r="K987" s="12"/>
      <c r="L987" s="12"/>
      <c r="M987" s="12"/>
      <c r="N987" s="12"/>
      <c r="O987" s="12"/>
      <c r="P987" s="12"/>
      <c r="Q987" s="12"/>
      <c r="R987" s="12"/>
      <c r="S987" s="12"/>
      <c r="T987" s="12"/>
      <c r="U987" s="12"/>
      <c r="V987" s="12"/>
      <c r="W987" s="12"/>
      <c r="X987" s="12"/>
      <c r="Y987" s="12"/>
      <c r="Z987" s="12"/>
    </row>
    <row r="988" spans="1:26" ht="15.75" customHeight="1" x14ac:dyDescent="0.25">
      <c r="A988" s="12"/>
      <c r="B988" s="12"/>
      <c r="C988" s="12"/>
      <c r="D988" s="12"/>
      <c r="E988" s="13"/>
      <c r="F988" s="12"/>
      <c r="G988" s="12"/>
      <c r="H988" s="12"/>
      <c r="I988" s="12"/>
      <c r="J988" s="12"/>
      <c r="K988" s="12"/>
      <c r="L988" s="12"/>
      <c r="M988" s="12"/>
      <c r="N988" s="12"/>
      <c r="O988" s="12"/>
      <c r="P988" s="12"/>
      <c r="Q988" s="12"/>
      <c r="R988" s="12"/>
      <c r="S988" s="12"/>
      <c r="T988" s="12"/>
      <c r="U988" s="12"/>
      <c r="V988" s="12"/>
      <c r="W988" s="12"/>
      <c r="X988" s="12"/>
      <c r="Y988" s="12"/>
      <c r="Z988" s="12"/>
    </row>
    <row r="989" spans="1:26" ht="15.75" customHeight="1" x14ac:dyDescent="0.25">
      <c r="A989" s="12"/>
      <c r="B989" s="12"/>
      <c r="C989" s="12"/>
      <c r="D989" s="12"/>
      <c r="E989" s="13"/>
      <c r="F989" s="12"/>
      <c r="G989" s="12"/>
      <c r="H989" s="12"/>
      <c r="I989" s="12"/>
      <c r="J989" s="12"/>
      <c r="K989" s="12"/>
      <c r="L989" s="12"/>
      <c r="M989" s="12"/>
      <c r="N989" s="12"/>
      <c r="O989" s="12"/>
      <c r="P989" s="12"/>
      <c r="Q989" s="12"/>
      <c r="R989" s="12"/>
      <c r="S989" s="12"/>
      <c r="T989" s="12"/>
      <c r="U989" s="12"/>
      <c r="V989" s="12"/>
      <c r="W989" s="12"/>
      <c r="X989" s="12"/>
      <c r="Y989" s="12"/>
      <c r="Z989" s="12"/>
    </row>
    <row r="990" spans="1:26" ht="15.75" customHeight="1" x14ac:dyDescent="0.25">
      <c r="A990" s="12"/>
      <c r="B990" s="12"/>
      <c r="C990" s="12"/>
      <c r="D990" s="12"/>
      <c r="E990" s="13"/>
      <c r="F990" s="12"/>
      <c r="G990" s="12"/>
      <c r="H990" s="12"/>
      <c r="I990" s="12"/>
      <c r="J990" s="12"/>
      <c r="K990" s="12"/>
      <c r="L990" s="12"/>
      <c r="M990" s="12"/>
      <c r="N990" s="12"/>
      <c r="O990" s="12"/>
      <c r="P990" s="12"/>
      <c r="Q990" s="12"/>
      <c r="R990" s="12"/>
      <c r="S990" s="12"/>
      <c r="T990" s="12"/>
      <c r="U990" s="12"/>
      <c r="V990" s="12"/>
      <c r="W990" s="12"/>
      <c r="X990" s="12"/>
      <c r="Y990" s="12"/>
      <c r="Z990" s="12"/>
    </row>
    <row r="991" spans="1:26" ht="15.75" customHeight="1" x14ac:dyDescent="0.25">
      <c r="A991" s="12"/>
      <c r="B991" s="12"/>
      <c r="C991" s="12"/>
      <c r="D991" s="12"/>
      <c r="E991" s="13"/>
      <c r="F991" s="12"/>
      <c r="G991" s="12"/>
      <c r="H991" s="12"/>
      <c r="I991" s="12"/>
      <c r="J991" s="12"/>
      <c r="K991" s="12"/>
      <c r="L991" s="12"/>
      <c r="M991" s="12"/>
      <c r="N991" s="12"/>
      <c r="O991" s="12"/>
      <c r="P991" s="12"/>
      <c r="Q991" s="12"/>
      <c r="R991" s="12"/>
      <c r="S991" s="12"/>
      <c r="T991" s="12"/>
      <c r="U991" s="12"/>
      <c r="V991" s="12"/>
      <c r="W991" s="12"/>
      <c r="X991" s="12"/>
      <c r="Y991" s="12"/>
      <c r="Z991" s="12"/>
    </row>
    <row r="992" spans="1:26" ht="15.75" customHeight="1" x14ac:dyDescent="0.25">
      <c r="A992" s="12"/>
      <c r="B992" s="12"/>
      <c r="C992" s="12"/>
      <c r="D992" s="12"/>
      <c r="E992" s="13"/>
      <c r="F992" s="12"/>
      <c r="G992" s="12"/>
      <c r="H992" s="12"/>
      <c r="I992" s="12"/>
      <c r="J992" s="12"/>
      <c r="K992" s="12"/>
      <c r="L992" s="12"/>
      <c r="M992" s="12"/>
      <c r="N992" s="12"/>
      <c r="O992" s="12"/>
      <c r="P992" s="12"/>
      <c r="Q992" s="12"/>
      <c r="R992" s="12"/>
      <c r="S992" s="12"/>
      <c r="T992" s="12"/>
      <c r="U992" s="12"/>
      <c r="V992" s="12"/>
      <c r="W992" s="12"/>
      <c r="X992" s="12"/>
      <c r="Y992" s="12"/>
      <c r="Z992" s="12"/>
    </row>
    <row r="993" spans="1:26" ht="15.75" customHeight="1" x14ac:dyDescent="0.25">
      <c r="A993" s="12"/>
      <c r="B993" s="12"/>
      <c r="C993" s="12"/>
      <c r="D993" s="12"/>
      <c r="E993" s="13"/>
      <c r="F993" s="12"/>
      <c r="G993" s="12"/>
      <c r="H993" s="12"/>
      <c r="I993" s="12"/>
      <c r="J993" s="12"/>
      <c r="K993" s="12"/>
      <c r="L993" s="12"/>
      <c r="M993" s="12"/>
      <c r="N993" s="12"/>
      <c r="O993" s="12"/>
      <c r="P993" s="12"/>
      <c r="Q993" s="12"/>
      <c r="R993" s="12"/>
      <c r="S993" s="12"/>
      <c r="T993" s="12"/>
      <c r="U993" s="12"/>
      <c r="V993" s="12"/>
      <c r="W993" s="12"/>
      <c r="X993" s="12"/>
      <c r="Y993" s="12"/>
      <c r="Z993" s="12"/>
    </row>
    <row r="994" spans="1:26" ht="15.75" customHeight="1" x14ac:dyDescent="0.25">
      <c r="A994" s="12"/>
      <c r="B994" s="12"/>
      <c r="C994" s="12"/>
      <c r="D994" s="12"/>
      <c r="E994" s="13"/>
      <c r="F994" s="12"/>
      <c r="G994" s="12"/>
      <c r="H994" s="12"/>
      <c r="I994" s="12"/>
      <c r="J994" s="12"/>
      <c r="K994" s="12"/>
      <c r="L994" s="12"/>
      <c r="M994" s="12"/>
      <c r="N994" s="12"/>
      <c r="O994" s="12"/>
      <c r="P994" s="12"/>
      <c r="Q994" s="12"/>
      <c r="R994" s="12"/>
      <c r="S994" s="12"/>
      <c r="T994" s="12"/>
      <c r="U994" s="12"/>
      <c r="V994" s="12"/>
      <c r="W994" s="12"/>
      <c r="X994" s="12"/>
      <c r="Y994" s="12"/>
      <c r="Z994" s="12"/>
    </row>
    <row r="995" spans="1:26" ht="15.75" customHeight="1" x14ac:dyDescent="0.25">
      <c r="A995" s="12"/>
      <c r="B995" s="12"/>
      <c r="C995" s="12"/>
      <c r="D995" s="12"/>
      <c r="E995" s="13"/>
      <c r="F995" s="12"/>
      <c r="G995" s="12"/>
      <c r="H995" s="12"/>
      <c r="I995" s="12"/>
      <c r="J995" s="12"/>
      <c r="K995" s="12"/>
      <c r="L995" s="12"/>
      <c r="M995" s="12"/>
      <c r="N995" s="12"/>
      <c r="O995" s="12"/>
      <c r="P995" s="12"/>
      <c r="Q995" s="12"/>
      <c r="R995" s="12"/>
      <c r="S995" s="12"/>
      <c r="T995" s="12"/>
      <c r="U995" s="12"/>
      <c r="V995" s="12"/>
      <c r="W995" s="12"/>
      <c r="X995" s="12"/>
      <c r="Y995" s="12"/>
      <c r="Z995" s="12"/>
    </row>
    <row r="996" spans="1:26" ht="15.75" customHeight="1" x14ac:dyDescent="0.25">
      <c r="A996" s="12"/>
      <c r="B996" s="12"/>
      <c r="C996" s="12"/>
      <c r="D996" s="12"/>
      <c r="E996" s="13"/>
      <c r="F996" s="12"/>
      <c r="G996" s="12"/>
      <c r="H996" s="12"/>
      <c r="I996" s="12"/>
      <c r="J996" s="12"/>
      <c r="K996" s="12"/>
      <c r="L996" s="12"/>
      <c r="M996" s="12"/>
      <c r="N996" s="12"/>
      <c r="O996" s="12"/>
      <c r="P996" s="12"/>
      <c r="Q996" s="12"/>
      <c r="R996" s="12"/>
      <c r="S996" s="12"/>
      <c r="T996" s="12"/>
      <c r="U996" s="12"/>
      <c r="V996" s="12"/>
      <c r="W996" s="12"/>
      <c r="X996" s="12"/>
      <c r="Y996" s="12"/>
      <c r="Z996" s="12"/>
    </row>
    <row r="997" spans="1:26" ht="15.75" customHeight="1" x14ac:dyDescent="0.25">
      <c r="A997" s="12"/>
      <c r="B997" s="12"/>
      <c r="C997" s="12"/>
      <c r="D997" s="12"/>
      <c r="E997" s="13"/>
      <c r="F997" s="12"/>
      <c r="G997" s="12"/>
      <c r="H997" s="12"/>
      <c r="I997" s="12"/>
      <c r="J997" s="12"/>
      <c r="K997" s="12"/>
      <c r="L997" s="12"/>
      <c r="M997" s="12"/>
      <c r="N997" s="12"/>
      <c r="O997" s="12"/>
      <c r="P997" s="12"/>
      <c r="Q997" s="12"/>
      <c r="R997" s="12"/>
      <c r="S997" s="12"/>
      <c r="T997" s="12"/>
      <c r="U997" s="12"/>
      <c r="V997" s="12"/>
      <c r="W997" s="12"/>
      <c r="X997" s="12"/>
      <c r="Y997" s="12"/>
      <c r="Z997" s="12"/>
    </row>
    <row r="998" spans="1:26" ht="15.75" customHeight="1" x14ac:dyDescent="0.25">
      <c r="A998" s="12"/>
      <c r="B998" s="12"/>
      <c r="C998" s="12"/>
      <c r="D998" s="12"/>
      <c r="E998" s="13"/>
      <c r="F998" s="12"/>
      <c r="G998" s="12"/>
      <c r="H998" s="12"/>
      <c r="I998" s="12"/>
      <c r="J998" s="12"/>
      <c r="K998" s="12"/>
      <c r="L998" s="12"/>
      <c r="M998" s="12"/>
      <c r="N998" s="12"/>
      <c r="O998" s="12"/>
      <c r="P998" s="12"/>
      <c r="Q998" s="12"/>
      <c r="R998" s="12"/>
      <c r="S998" s="12"/>
      <c r="T998" s="12"/>
      <c r="U998" s="12"/>
      <c r="V998" s="12"/>
      <c r="W998" s="12"/>
      <c r="X998" s="12"/>
      <c r="Y998" s="12"/>
      <c r="Z998" s="12"/>
    </row>
    <row r="999" spans="1:26" ht="15.75" customHeight="1" x14ac:dyDescent="0.25">
      <c r="A999" s="12"/>
      <c r="B999" s="12"/>
      <c r="C999" s="12"/>
      <c r="D999" s="12"/>
      <c r="E999" s="13"/>
      <c r="F999" s="12"/>
      <c r="G999" s="12"/>
      <c r="H999" s="12"/>
      <c r="I999" s="12"/>
      <c r="J999" s="12"/>
      <c r="K999" s="12"/>
      <c r="L999" s="12"/>
      <c r="M999" s="12"/>
      <c r="N999" s="12"/>
      <c r="O999" s="12"/>
      <c r="P999" s="12"/>
      <c r="Q999" s="12"/>
      <c r="R999" s="12"/>
      <c r="S999" s="12"/>
      <c r="T999" s="12"/>
      <c r="U999" s="12"/>
      <c r="V999" s="12"/>
      <c r="W999" s="12"/>
      <c r="X999" s="12"/>
      <c r="Y999" s="12"/>
      <c r="Z999" s="12"/>
    </row>
    <row r="1000" spans="1:26" ht="15.75" customHeight="1" x14ac:dyDescent="0.25">
      <c r="A1000" s="12"/>
      <c r="B1000" s="12"/>
      <c r="C1000" s="12"/>
      <c r="D1000" s="12"/>
      <c r="E1000" s="13"/>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mergeCells count="39">
    <mergeCell ref="F66:H66"/>
    <mergeCell ref="F45:I45"/>
    <mergeCell ref="A46:B46"/>
    <mergeCell ref="A47:C47"/>
    <mergeCell ref="F64:H64"/>
    <mergeCell ref="F65:H65"/>
    <mergeCell ref="B41:C41"/>
    <mergeCell ref="B42:C42"/>
    <mergeCell ref="B43:C43"/>
    <mergeCell ref="B44:C44"/>
    <mergeCell ref="A45:B45"/>
    <mergeCell ref="A32:H32"/>
    <mergeCell ref="A33:A34"/>
    <mergeCell ref="B33:B34"/>
    <mergeCell ref="C33:C34"/>
    <mergeCell ref="D33:D34"/>
    <mergeCell ref="E33:E34"/>
    <mergeCell ref="F33:F34"/>
    <mergeCell ref="G33:I33"/>
    <mergeCell ref="F25:I25"/>
    <mergeCell ref="A26:B26"/>
    <mergeCell ref="A27:C27"/>
    <mergeCell ref="B30:G30"/>
    <mergeCell ref="H30:I30"/>
    <mergeCell ref="B21:C21"/>
    <mergeCell ref="B22:C22"/>
    <mergeCell ref="B23:C23"/>
    <mergeCell ref="B24:C24"/>
    <mergeCell ref="A25:B25"/>
    <mergeCell ref="B3:H6"/>
    <mergeCell ref="H9:I9"/>
    <mergeCell ref="A11:H11"/>
    <mergeCell ref="A13:A14"/>
    <mergeCell ref="B13:B14"/>
    <mergeCell ref="C13:C14"/>
    <mergeCell ref="D13:D14"/>
    <mergeCell ref="E13:E14"/>
    <mergeCell ref="F13:F14"/>
    <mergeCell ref="G13:I13"/>
  </mergeCells>
  <printOptions horizontalCentered="1" verticalCentered="1"/>
  <pageMargins left="0.98402777777777795" right="0.39374999999999999" top="0.98402777777777795" bottom="0.39374999999999999" header="0.511811023622047" footer="0.511811023622047"/>
  <pageSetup paperSize="9" scale="57" orientation="portrait" horizontalDpi="300" verticalDpi="30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993"/>
  <sheetViews>
    <sheetView view="pageBreakPreview" topLeftCell="A31" zoomScaleNormal="100" zoomScaleSheetLayoutView="100" zoomScalePageLayoutView="62" workbookViewId="0">
      <selection activeCell="H51" sqref="H51"/>
    </sheetView>
  </sheetViews>
  <sheetFormatPr defaultColWidth="14.42578125" defaultRowHeight="15" x14ac:dyDescent="0.25"/>
  <cols>
    <col min="1" max="1" width="7" customWidth="1"/>
    <col min="2" max="2" width="7.42578125" customWidth="1"/>
    <col min="3" max="3" width="11.140625" customWidth="1"/>
    <col min="4" max="4" width="26.85546875" customWidth="1"/>
    <col min="5" max="5" width="13.140625" customWidth="1"/>
    <col min="6" max="6" width="18" customWidth="1"/>
    <col min="7" max="8" width="16.85546875" customWidth="1"/>
    <col min="9" max="9" width="19.7109375" customWidth="1"/>
    <col min="10" max="10" width="12.7109375" customWidth="1"/>
    <col min="11" max="11" width="17.5703125" customWidth="1"/>
    <col min="12" max="22" width="9.140625" customWidth="1"/>
  </cols>
  <sheetData>
    <row r="1" spans="1:22" ht="4.5" customHeight="1" x14ac:dyDescent="0.25">
      <c r="A1" s="79"/>
      <c r="B1" s="132"/>
      <c r="C1" s="133"/>
      <c r="D1" s="134"/>
      <c r="E1" s="857"/>
      <c r="F1" s="857"/>
      <c r="G1" s="857"/>
      <c r="H1" s="857"/>
      <c r="I1" s="857"/>
      <c r="J1" s="857"/>
      <c r="K1" s="79"/>
      <c r="L1" s="79"/>
      <c r="M1" s="79"/>
      <c r="N1" s="79"/>
      <c r="O1" s="79"/>
      <c r="P1" s="79"/>
      <c r="Q1" s="79"/>
      <c r="R1" s="79"/>
      <c r="S1" s="79"/>
      <c r="T1" s="79"/>
      <c r="U1" s="79"/>
      <c r="V1" s="79"/>
    </row>
    <row r="2" spans="1:22" ht="22.5" customHeight="1" x14ac:dyDescent="0.25">
      <c r="A2" s="79"/>
      <c r="B2" s="858" t="s">
        <v>546</v>
      </c>
      <c r="C2" s="858"/>
      <c r="D2" s="858"/>
      <c r="E2" s="858"/>
      <c r="F2" s="858"/>
      <c r="G2" s="858"/>
      <c r="H2" s="858"/>
      <c r="I2" s="858"/>
      <c r="J2" s="858"/>
      <c r="K2" s="859"/>
      <c r="L2" s="859"/>
      <c r="M2" s="79"/>
      <c r="N2" s="79"/>
      <c r="O2" s="79"/>
      <c r="P2" s="79"/>
      <c r="Q2" s="79"/>
      <c r="R2" s="79"/>
      <c r="S2" s="79"/>
      <c r="T2" s="79"/>
      <c r="U2" s="79"/>
      <c r="V2" s="79"/>
    </row>
    <row r="3" spans="1:22" ht="22.5" customHeight="1" x14ac:dyDescent="0.25">
      <c r="A3" s="79"/>
      <c r="B3" s="858"/>
      <c r="C3" s="858"/>
      <c r="D3" s="858"/>
      <c r="E3" s="858"/>
      <c r="F3" s="858"/>
      <c r="G3" s="858"/>
      <c r="H3" s="858"/>
      <c r="I3" s="858"/>
      <c r="J3" s="858"/>
      <c r="K3" s="859"/>
      <c r="L3" s="859"/>
      <c r="M3" s="79"/>
      <c r="N3" s="79"/>
      <c r="O3" s="79"/>
      <c r="P3" s="79"/>
      <c r="Q3" s="79"/>
      <c r="R3" s="79"/>
      <c r="S3" s="79"/>
      <c r="T3" s="79"/>
      <c r="U3" s="79"/>
      <c r="V3" s="79"/>
    </row>
    <row r="4" spans="1:22" ht="22.5" customHeight="1" x14ac:dyDescent="0.25">
      <c r="A4" s="79"/>
      <c r="B4" s="858"/>
      <c r="C4" s="858"/>
      <c r="D4" s="858"/>
      <c r="E4" s="858"/>
      <c r="F4" s="858"/>
      <c r="G4" s="858"/>
      <c r="H4" s="858"/>
      <c r="I4" s="858"/>
      <c r="J4" s="858"/>
      <c r="K4" s="79"/>
      <c r="L4" s="79"/>
      <c r="M4" s="79"/>
      <c r="N4" s="79"/>
      <c r="O4" s="79"/>
      <c r="P4" s="79"/>
      <c r="Q4" s="79"/>
      <c r="R4" s="79"/>
      <c r="S4" s="79"/>
      <c r="T4" s="79"/>
      <c r="U4" s="79"/>
      <c r="V4" s="79"/>
    </row>
    <row r="5" spans="1:22" ht="22.5" customHeight="1" x14ac:dyDescent="0.25">
      <c r="A5" s="79"/>
      <c r="B5" s="858"/>
      <c r="C5" s="858"/>
      <c r="D5" s="858"/>
      <c r="E5" s="858"/>
      <c r="F5" s="858"/>
      <c r="G5" s="858"/>
      <c r="H5" s="858"/>
      <c r="I5" s="858"/>
      <c r="J5" s="858"/>
      <c r="K5" s="79"/>
      <c r="L5" s="79"/>
      <c r="M5" s="79"/>
      <c r="N5" s="79"/>
      <c r="O5" s="79"/>
      <c r="P5" s="79"/>
      <c r="Q5" s="79"/>
      <c r="R5" s="79"/>
      <c r="S5" s="79"/>
      <c r="T5" s="79"/>
      <c r="U5" s="79"/>
      <c r="V5" s="79"/>
    </row>
    <row r="6" spans="1:22" ht="15.75" customHeight="1" x14ac:dyDescent="0.25">
      <c r="A6" s="79"/>
      <c r="B6" s="858"/>
      <c r="C6" s="858"/>
      <c r="D6" s="858"/>
      <c r="E6" s="858"/>
      <c r="F6" s="858"/>
      <c r="G6" s="858"/>
      <c r="H6" s="858"/>
      <c r="I6" s="858"/>
      <c r="J6" s="858"/>
      <c r="K6" s="79"/>
      <c r="L6" s="79"/>
      <c r="M6" s="79"/>
      <c r="N6" s="79"/>
      <c r="O6" s="79"/>
      <c r="P6" s="79"/>
      <c r="Q6" s="79"/>
      <c r="R6" s="79"/>
      <c r="S6" s="79"/>
      <c r="T6" s="79"/>
      <c r="U6" s="79"/>
      <c r="V6" s="79"/>
    </row>
    <row r="7" spans="1:22" ht="15.75" customHeight="1" x14ac:dyDescent="0.25">
      <c r="A7" s="135"/>
      <c r="B7" s="136"/>
      <c r="C7" s="60" t="s">
        <v>450</v>
      </c>
      <c r="D7" s="860" t="str">
        <f>IF(DADOS!D14&lt;&gt;"",DADOS!D14," ")</f>
        <v>RUA DO SOL, S/N - BAIRRO DO SOL - IMBAU/PR 84250-000</v>
      </c>
      <c r="E7" s="860"/>
      <c r="F7" s="860"/>
      <c r="G7" s="60" t="s">
        <v>445</v>
      </c>
      <c r="H7" s="861">
        <f ca="1">IF(DADOS!$D$20&lt;&gt;"",DADOS!$D$20," ")</f>
        <v>46142</v>
      </c>
      <c r="I7" s="861"/>
      <c r="J7" s="137"/>
      <c r="K7" s="79"/>
      <c r="L7" s="79"/>
      <c r="M7" s="79"/>
      <c r="N7" s="79"/>
      <c r="O7" s="79"/>
      <c r="P7" s="79"/>
      <c r="Q7" s="79"/>
      <c r="R7" s="79"/>
      <c r="S7" s="79"/>
      <c r="T7" s="79"/>
      <c r="U7" s="79"/>
      <c r="V7" s="79"/>
    </row>
    <row r="8" spans="1:22" ht="15.75" customHeight="1" x14ac:dyDescent="0.25">
      <c r="A8" s="135"/>
      <c r="B8" s="136"/>
      <c r="C8" s="60" t="s">
        <v>451</v>
      </c>
      <c r="D8" s="862" t="str">
        <f>IF(DADOS!$D$16&lt;&gt;"",DADOS!$D$16," ")</f>
        <v>IMBAÚ</v>
      </c>
      <c r="E8" s="862"/>
      <c r="F8" s="138"/>
      <c r="G8" s="60" t="s">
        <v>448</v>
      </c>
      <c r="H8" s="863" t="str">
        <f>IF('FOLHA FECHAMENTO'!K10&lt;&gt;"",'FOLHA FECHAMENTO'!K10," ")</f>
        <v>CONSTRUÇÃO</v>
      </c>
      <c r="I8" s="863"/>
      <c r="J8" s="139"/>
      <c r="K8" s="140"/>
      <c r="L8" s="140"/>
      <c r="M8" s="79"/>
      <c r="N8" s="79"/>
      <c r="O8" s="79"/>
      <c r="P8" s="79"/>
      <c r="Q8" s="79"/>
      <c r="R8" s="79"/>
      <c r="S8" s="79"/>
      <c r="T8" s="79"/>
      <c r="U8" s="79"/>
      <c r="V8" s="79"/>
    </row>
    <row r="9" spans="1:22" ht="15.75" customHeight="1" x14ac:dyDescent="0.25">
      <c r="A9" s="135"/>
      <c r="B9" s="136"/>
      <c r="C9" s="60" t="s">
        <v>547</v>
      </c>
      <c r="D9" s="862" t="str">
        <f>IF(DADOS!D12&lt;&gt;"",DADOS!D12," ")</f>
        <v xml:space="preserve">PRONTO ATENDIMENTO MUNICIPAL </v>
      </c>
      <c r="E9" s="862"/>
      <c r="F9" s="862"/>
      <c r="G9" s="60" t="s">
        <v>548</v>
      </c>
      <c r="H9" s="864" t="str">
        <f>IF(DADOS!$D$24&lt;&gt;"",DADOS!$D$24," ")</f>
        <v>Erick William da Silva Damaceno</v>
      </c>
      <c r="I9" s="864"/>
      <c r="J9" s="864"/>
      <c r="K9" s="140"/>
      <c r="L9" s="140"/>
      <c r="M9" s="79"/>
      <c r="N9" s="79"/>
      <c r="O9" s="79"/>
      <c r="P9" s="79"/>
      <c r="Q9" s="79"/>
      <c r="R9" s="79"/>
      <c r="S9" s="79"/>
      <c r="T9" s="79"/>
      <c r="U9" s="79"/>
      <c r="V9" s="79"/>
    </row>
    <row r="10" spans="1:22" ht="15.75" customHeight="1" x14ac:dyDescent="0.25">
      <c r="A10" s="135"/>
      <c r="B10" s="136"/>
      <c r="C10" s="60" t="s">
        <v>549</v>
      </c>
      <c r="D10" s="862" t="str">
        <f>IF(DADOS!M12&lt;&gt;"",DADOS!M12," ")</f>
        <v>SESA</v>
      </c>
      <c r="E10" s="862"/>
      <c r="F10" s="138"/>
      <c r="G10" s="60" t="s">
        <v>550</v>
      </c>
      <c r="H10" s="141">
        <f>IF('FOLHA FECHAMENTO'!G23&lt;&gt;"",'FOLHA FECHAMENTO'!G23," ")</f>
        <v>0.20373659523052501</v>
      </c>
      <c r="I10" s="142" t="s">
        <v>551</v>
      </c>
      <c r="J10" s="143">
        <f>IF('FOLHA FECHAMENTO'!$G$24&lt;&gt;"",'FOLHA FECHAMENTO'!G24," ")</f>
        <v>0.11106199024390229</v>
      </c>
      <c r="K10" s="140"/>
      <c r="L10" s="140"/>
      <c r="M10" s="79"/>
      <c r="N10" s="79"/>
      <c r="O10" s="79"/>
      <c r="P10" s="79"/>
      <c r="Q10" s="79"/>
      <c r="R10" s="79"/>
      <c r="S10" s="79"/>
      <c r="T10" s="79"/>
      <c r="U10" s="79"/>
      <c r="V10" s="79"/>
    </row>
    <row r="11" spans="1:22" ht="6" customHeight="1" x14ac:dyDescent="0.25">
      <c r="A11" s="135"/>
      <c r="B11" s="144"/>
      <c r="C11" s="60"/>
      <c r="D11" s="145"/>
      <c r="E11" s="146"/>
      <c r="F11" s="146"/>
      <c r="G11" s="146"/>
      <c r="H11" s="146"/>
      <c r="I11" s="146"/>
      <c r="J11" s="147"/>
      <c r="K11" s="140"/>
      <c r="L11" s="140"/>
      <c r="M11" s="79"/>
      <c r="N11" s="79"/>
      <c r="O11" s="79"/>
      <c r="P11" s="79"/>
      <c r="Q11" s="79"/>
      <c r="R11" s="79"/>
      <c r="S11" s="79"/>
      <c r="T11" s="79"/>
      <c r="U11" s="79"/>
      <c r="V11" s="79"/>
    </row>
    <row r="12" spans="1:22" ht="18.75" customHeight="1" x14ac:dyDescent="0.25">
      <c r="A12" s="148"/>
      <c r="B12" s="865" t="s">
        <v>494</v>
      </c>
      <c r="C12" s="866" t="s">
        <v>552</v>
      </c>
      <c r="D12" s="866"/>
      <c r="E12" s="866"/>
      <c r="F12" s="866" t="s">
        <v>553</v>
      </c>
      <c r="G12" s="866"/>
      <c r="H12" s="866"/>
      <c r="I12" s="866" t="s">
        <v>554</v>
      </c>
      <c r="J12" s="867" t="s">
        <v>555</v>
      </c>
      <c r="K12" s="140"/>
      <c r="L12" s="150"/>
      <c r="M12" s="150"/>
      <c r="N12" s="150"/>
      <c r="O12" s="150"/>
      <c r="P12" s="150"/>
      <c r="Q12" s="150"/>
      <c r="R12" s="150"/>
      <c r="S12" s="150"/>
      <c r="T12" s="150"/>
      <c r="U12" s="150"/>
      <c r="V12" s="150"/>
    </row>
    <row r="13" spans="1:22" ht="15.75" customHeight="1" x14ac:dyDescent="0.25">
      <c r="A13" s="148"/>
      <c r="B13" s="865"/>
      <c r="C13" s="865"/>
      <c r="D13" s="866"/>
      <c r="E13" s="866"/>
      <c r="F13" s="151" t="s">
        <v>556</v>
      </c>
      <c r="G13" s="151" t="s">
        <v>557</v>
      </c>
      <c r="H13" s="149" t="s">
        <v>558</v>
      </c>
      <c r="I13" s="866"/>
      <c r="J13" s="866"/>
      <c r="K13" s="140"/>
      <c r="L13" s="150"/>
      <c r="M13" s="150"/>
      <c r="N13" s="150"/>
      <c r="O13" s="150"/>
      <c r="P13" s="150"/>
      <c r="Q13" s="150"/>
      <c r="R13" s="150"/>
      <c r="S13" s="150"/>
      <c r="T13" s="150"/>
      <c r="U13" s="150"/>
      <c r="V13" s="150"/>
    </row>
    <row r="14" spans="1:22" ht="15.75" customHeight="1" x14ac:dyDescent="0.25">
      <c r="A14" s="148"/>
      <c r="B14" s="152"/>
      <c r="C14" s="868" t="s">
        <v>559</v>
      </c>
      <c r="D14" s="868"/>
      <c r="E14" s="868"/>
      <c r="F14" s="153"/>
      <c r="G14" s="153"/>
      <c r="H14" s="153"/>
      <c r="I14" s="153"/>
      <c r="J14" s="154"/>
      <c r="K14" s="140"/>
      <c r="L14" s="150"/>
      <c r="M14" s="150"/>
      <c r="N14" s="150"/>
      <c r="O14" s="150"/>
      <c r="P14" s="150"/>
      <c r="Q14" s="150"/>
      <c r="R14" s="150"/>
      <c r="S14" s="150"/>
      <c r="T14" s="150"/>
      <c r="U14" s="150"/>
      <c r="V14" s="150"/>
    </row>
    <row r="15" spans="1:22" ht="15.75" customHeight="1" x14ac:dyDescent="0.25">
      <c r="A15" s="155"/>
      <c r="B15" s="156">
        <v>1</v>
      </c>
      <c r="C15" s="869" t="str">
        <f>IF($B15&lt;&gt;"",VLOOKUP($B15,PLANILHA_SINTÉTICA!$E:$P,3,0),"")</f>
        <v>ADMINISTRAÇÃO LOCAL</v>
      </c>
      <c r="D15" s="869"/>
      <c r="E15" s="869"/>
      <c r="F15" s="157">
        <f>IF($B15&lt;&gt;"",VLOOKUP($B15,PLANILHA_SINTÉTICA!$E:$P,9,0),"")</f>
        <v>6517</v>
      </c>
      <c r="G15" s="157">
        <f>IF($B15&lt;&gt;"",VLOOKUP($B15,PLANILHA_SINTÉTICA!$E:$P,10,0),"")</f>
        <v>172946</v>
      </c>
      <c r="H15" s="157">
        <f>IF($B15&lt;&gt;"",VLOOKUP($B15,PLANILHA_SINTÉTICA!$E:$P,12,0),"")</f>
        <v>179463</v>
      </c>
      <c r="I15" s="157">
        <f t="shared" ref="I15:I32" si="0">IF($B15&lt;&gt;"",(1+$H$10)*$H15," ")</f>
        <v>216026.18058985571</v>
      </c>
      <c r="J15" s="158">
        <f>IF($B15&lt;&gt;"",IF(OR($B15="",H15=0),0,$I15/$I$51),"")</f>
        <v>3.2249347067188627E-2</v>
      </c>
      <c r="K15" s="140"/>
      <c r="L15" s="159"/>
      <c r="M15" s="140"/>
      <c r="N15" s="140"/>
      <c r="O15" s="140"/>
      <c r="P15" s="140"/>
      <c r="Q15" s="140"/>
      <c r="R15" s="140"/>
      <c r="S15" s="140"/>
      <c r="T15" s="140"/>
      <c r="U15" s="140"/>
      <c r="V15" s="140"/>
    </row>
    <row r="16" spans="1:22" ht="15.75" customHeight="1" x14ac:dyDescent="0.25">
      <c r="A16" s="155"/>
      <c r="B16" s="152">
        <v>2</v>
      </c>
      <c r="C16" s="870" t="str">
        <f>IF($B16&lt;&gt;"",VLOOKUP($B16,PLANILHA_SINTÉTICA!$E:$P,3,0),"")</f>
        <v>SERVIÇOS PRELIMINARES</v>
      </c>
      <c r="D16" s="870"/>
      <c r="E16" s="870"/>
      <c r="F16" s="157">
        <f>IF($B16&lt;&gt;"",VLOOKUP($B16,PLANILHA_SINTÉTICA!$E:$P,9,0),"")</f>
        <v>21162.82</v>
      </c>
      <c r="G16" s="157">
        <f>IF($B16&lt;&gt;"",VLOOKUP($B16,PLANILHA_SINTÉTICA!$E:$P,10,0),"")</f>
        <v>10513.74</v>
      </c>
      <c r="H16" s="157">
        <f>IF($B16&lt;&gt;"",VLOOKUP($B16,PLANILHA_SINTÉTICA!$E:$P,12,0),"")</f>
        <v>31676.560000000001</v>
      </c>
      <c r="I16" s="157">
        <f t="shared" si="0"/>
        <v>38130.23448301544</v>
      </c>
      <c r="J16" s="158">
        <f>IF($B16&lt;&gt;"",IF(OR($B16="",H16=0),0,$I16/$I$51),"")</f>
        <v>5.6922506440582436E-3</v>
      </c>
      <c r="K16" s="159"/>
      <c r="L16" s="159"/>
      <c r="M16" s="140"/>
      <c r="N16" s="140"/>
      <c r="O16" s="140"/>
      <c r="P16" s="140"/>
      <c r="Q16" s="140"/>
      <c r="R16" s="140"/>
      <c r="S16" s="140"/>
      <c r="T16" s="140"/>
      <c r="U16" s="140"/>
      <c r="V16" s="140"/>
    </row>
    <row r="17" spans="1:22" ht="15.75" customHeight="1" x14ac:dyDescent="0.25">
      <c r="A17" s="155"/>
      <c r="B17" s="152">
        <v>3</v>
      </c>
      <c r="C17" s="870" t="str">
        <f>IF($B17&lt;&gt;"",VLOOKUP($B17,PLANILHA_SINTÉTICA!$E:$P,3,0),"")</f>
        <v>MOVIMENTO DE TERRA</v>
      </c>
      <c r="D17" s="870"/>
      <c r="E17" s="870"/>
      <c r="F17" s="157">
        <f>IF($B17&lt;&gt;"",VLOOKUP($B17,PLANILHA_SINTÉTICA!$E:$P,9,0),"")</f>
        <v>4527.82</v>
      </c>
      <c r="G17" s="157">
        <f>IF($B17&lt;&gt;"",VLOOKUP($B17,PLANILHA_SINTÉTICA!$E:$P,10,0),"")</f>
        <v>7211.91</v>
      </c>
      <c r="H17" s="157">
        <f>IF($B17&lt;&gt;"",VLOOKUP($B17,PLANILHA_SINTÉTICA!$E:$P,12,0),"")</f>
        <v>11739.73</v>
      </c>
      <c r="I17" s="157">
        <f t="shared" si="0"/>
        <v>14131.54261912565</v>
      </c>
      <c r="J17" s="158">
        <f>IF($B17&lt;&gt;"",IF(OR($B17="",H17=0),0,$I17/$I$51),"")</f>
        <v>2.1096194048081571E-3</v>
      </c>
      <c r="K17" s="159"/>
      <c r="L17" s="159"/>
      <c r="M17" s="140"/>
      <c r="N17" s="140"/>
      <c r="O17" s="140"/>
      <c r="P17" s="140"/>
      <c r="Q17" s="140"/>
      <c r="R17" s="140"/>
      <c r="S17" s="140"/>
      <c r="T17" s="140"/>
      <c r="U17" s="140"/>
      <c r="V17" s="140"/>
    </row>
    <row r="18" spans="1:22" ht="15.75" customHeight="1" x14ac:dyDescent="0.25">
      <c r="A18" s="155"/>
      <c r="B18" s="152">
        <v>4</v>
      </c>
      <c r="C18" s="870" t="str">
        <f>IF($B18&lt;&gt;"",VLOOKUP($B18,PLANILHA_SINTÉTICA!$E:$P,3,0),"")</f>
        <v>FUNDAÇÃO</v>
      </c>
      <c r="D18" s="870"/>
      <c r="E18" s="870"/>
      <c r="F18" s="157">
        <f>IF($B18&lt;&gt;"",VLOOKUP($B18,PLANILHA_SINTÉTICA!$E:$P,9,0),"")</f>
        <v>108118.09</v>
      </c>
      <c r="G18" s="157">
        <f>IF($B18&lt;&gt;"",VLOOKUP($B18,PLANILHA_SINTÉTICA!$E:$P,10,0),"")</f>
        <v>29889.93</v>
      </c>
      <c r="H18" s="157">
        <f>IF($B18&lt;&gt;"",VLOOKUP($B18,PLANILHA_SINTÉTICA!$E:$P,12,0),"")</f>
        <v>138008.01999999999</v>
      </c>
      <c r="I18" s="157">
        <f t="shared" si="0"/>
        <v>166125.30410930619</v>
      </c>
      <c r="J18" s="158">
        <f>IF($B18&lt;&gt;"",IF(OR($B18="",H18=0),0,$I18/$I$51),"")</f>
        <v>2.4799922741932927E-2</v>
      </c>
      <c r="K18" s="159"/>
      <c r="L18" s="159"/>
      <c r="M18" s="140"/>
      <c r="N18" s="140"/>
      <c r="O18" s="140"/>
      <c r="P18" s="140"/>
      <c r="Q18" s="140"/>
      <c r="R18" s="140"/>
      <c r="S18" s="140"/>
      <c r="T18" s="140"/>
      <c r="U18" s="140"/>
      <c r="V18" s="140"/>
    </row>
    <row r="19" spans="1:22" ht="15.75" customHeight="1" x14ac:dyDescent="0.25">
      <c r="A19" s="155"/>
      <c r="B19" s="152">
        <v>5</v>
      </c>
      <c r="C19" s="870" t="str">
        <f>IF($B19&lt;&gt;"",VLOOKUP($B19,PLANILHA_SINTÉTICA!$E:$P,3,0),"")</f>
        <v>SUPRAESTRUTURA</v>
      </c>
      <c r="D19" s="870"/>
      <c r="E19" s="870"/>
      <c r="F19" s="157">
        <f>IF($B19&lt;&gt;"",VLOOKUP($B19,PLANILHA_SINTÉTICA!$E:$P,9,0),"")</f>
        <v>339164.7</v>
      </c>
      <c r="G19" s="157">
        <f>IF($B19&lt;&gt;"",VLOOKUP($B19,PLANILHA_SINTÉTICA!$E:$P,10,0),"")</f>
        <v>98037.71</v>
      </c>
      <c r="H19" s="157">
        <f>IF($B19&lt;&gt;"",VLOOKUP($B19,PLANILHA_SINTÉTICA!$E:$P,12,0),"")</f>
        <v>437202.40999999992</v>
      </c>
      <c r="I19" s="157">
        <f t="shared" si="0"/>
        <v>526276.54043997999</v>
      </c>
      <c r="J19" s="158">
        <f>IF($B19&lt;&gt;"",IF(OR($B19="",H19=0),0,$I19/$I$51),"")</f>
        <v>7.8564897826857327E-2</v>
      </c>
      <c r="K19" s="159"/>
      <c r="L19" s="159"/>
      <c r="M19" s="140"/>
      <c r="N19" s="140"/>
      <c r="O19" s="140"/>
      <c r="P19" s="140"/>
      <c r="Q19" s="140"/>
      <c r="R19" s="140"/>
      <c r="S19" s="140"/>
      <c r="T19" s="140"/>
      <c r="U19" s="140"/>
      <c r="V19" s="140"/>
    </row>
    <row r="20" spans="1:22" ht="15.75" customHeight="1" x14ac:dyDescent="0.25">
      <c r="A20" s="155"/>
      <c r="B20" s="152">
        <v>6</v>
      </c>
      <c r="C20" s="870" t="str">
        <f>IF($B20&lt;&gt;"",VLOOKUP($B20,PLANILHA_SINTÉTICA!$E:$P,3,0),"")</f>
        <v>ALVENARIAS - VEDAÇÃO</v>
      </c>
      <c r="D20" s="870"/>
      <c r="E20" s="870"/>
      <c r="F20" s="157">
        <f>IF($B20&lt;&gt;"",VLOOKUP($B20,PLANILHA_SINTÉTICA!$E:$P,9,0),"")</f>
        <v>247317.62</v>
      </c>
      <c r="G20" s="157">
        <f>IF($B20&lt;&gt;"",VLOOKUP($B20,PLANILHA_SINTÉTICA!$E:$P,10,0),"")</f>
        <v>42380.72</v>
      </c>
      <c r="H20" s="157">
        <f>IF($B20&lt;&gt;"",VLOOKUP($B20,PLANILHA_SINTÉTICA!$E:$P,12,0),"")</f>
        <v>289698.34000000003</v>
      </c>
      <c r="I20" s="157">
        <f t="shared" si="0"/>
        <v>348720.49343553506</v>
      </c>
      <c r="J20" s="158">
        <f>IF($B20&lt;&gt;"",IF(OR($B20="",H20=0),0,$I20/$I$51),"")</f>
        <v>5.2058543050369235E-2</v>
      </c>
      <c r="K20" s="159"/>
      <c r="L20" s="159"/>
      <c r="M20" s="140"/>
      <c r="N20" s="140"/>
      <c r="O20" s="140"/>
      <c r="P20" s="140"/>
      <c r="Q20" s="140"/>
      <c r="R20" s="140"/>
      <c r="S20" s="140"/>
      <c r="T20" s="140"/>
      <c r="U20" s="140"/>
      <c r="V20" s="140"/>
    </row>
    <row r="21" spans="1:22" ht="15.75" customHeight="1" x14ac:dyDescent="0.25">
      <c r="A21" s="155"/>
      <c r="B21" s="152">
        <v>7</v>
      </c>
      <c r="C21" s="870" t="str">
        <f>IF($B21&lt;&gt;"",VLOOKUP($B21,PLANILHA_SINTÉTICA!$E:$P,3,0),"")</f>
        <v>COBERTURA</v>
      </c>
      <c r="D21" s="870"/>
      <c r="E21" s="870"/>
      <c r="F21" s="157">
        <f>IF($B21&lt;&gt;"",VLOOKUP($B21,PLANILHA_SINTÉTICA!$E:$P,9,0),"")</f>
        <v>247254.12</v>
      </c>
      <c r="G21" s="157">
        <f>IF($B21&lt;&gt;"",VLOOKUP($B21,PLANILHA_SINTÉTICA!$E:$P,10,0),"")</f>
        <v>24844.66</v>
      </c>
      <c r="H21" s="157">
        <f>IF($B21&lt;&gt;"",VLOOKUP($B21,PLANILHA_SINTÉTICA!$E:$P,12,0),"")</f>
        <v>272098.78000000003</v>
      </c>
      <c r="I21" s="157">
        <f t="shared" si="0"/>
        <v>327535.25900357973</v>
      </c>
      <c r="J21" s="158">
        <f>IF($B21&lt;&gt;"",IF(OR($B21="",H21=0),0,$I21/$I$51),"")</f>
        <v>4.8895917224043982E-2</v>
      </c>
      <c r="K21" s="159"/>
      <c r="L21" s="159"/>
      <c r="M21" s="140"/>
      <c r="N21" s="140"/>
      <c r="O21" s="140"/>
      <c r="P21" s="140"/>
      <c r="Q21" s="140"/>
      <c r="R21" s="140"/>
      <c r="S21" s="140"/>
      <c r="T21" s="140"/>
      <c r="U21" s="140"/>
      <c r="V21" s="140"/>
    </row>
    <row r="22" spans="1:22" ht="15.75" customHeight="1" x14ac:dyDescent="0.25">
      <c r="A22" s="155"/>
      <c r="B22" s="152">
        <v>8</v>
      </c>
      <c r="C22" s="870" t="str">
        <f>IF($B22&lt;&gt;"",VLOOKUP($B22,PLANILHA_SINTÉTICA!$E:$P,3,0),"")</f>
        <v>IMPERMEABILIZAÇÃO E ISOLAMENTOS</v>
      </c>
      <c r="D22" s="870"/>
      <c r="E22" s="870"/>
      <c r="F22" s="157">
        <f>IF($B22&lt;&gt;"",VLOOKUP($B22,PLANILHA_SINTÉTICA!$E:$P,9,0),"")</f>
        <v>18538.39</v>
      </c>
      <c r="G22" s="157">
        <f>IF($B22&lt;&gt;"",VLOOKUP($B22,PLANILHA_SINTÉTICA!$E:$P,10,0),"")</f>
        <v>10601.63</v>
      </c>
      <c r="H22" s="157">
        <f>IF($B22&lt;&gt;"",VLOOKUP($B22,PLANILHA_SINTÉTICA!$E:$P,12,0),"")</f>
        <v>29140.019999999997</v>
      </c>
      <c r="I22" s="157">
        <f t="shared" si="0"/>
        <v>35076.9084597494</v>
      </c>
      <c r="J22" s="158">
        <f>IF($B22&lt;&gt;"",IF(OR($B22="",H22=0),0,$I22/$I$51),"")</f>
        <v>5.236436583166546E-3</v>
      </c>
      <c r="K22" s="159"/>
      <c r="L22" s="159"/>
      <c r="M22" s="140"/>
      <c r="N22" s="140"/>
      <c r="O22" s="140"/>
      <c r="P22" s="140"/>
      <c r="Q22" s="140"/>
      <c r="R22" s="140"/>
      <c r="S22" s="140"/>
      <c r="T22" s="140"/>
      <c r="U22" s="140"/>
      <c r="V22" s="140"/>
    </row>
    <row r="23" spans="1:22" ht="15.75" customHeight="1" x14ac:dyDescent="0.25">
      <c r="A23" s="155"/>
      <c r="B23" s="152">
        <v>9</v>
      </c>
      <c r="C23" s="870" t="str">
        <f>IF($B23&lt;&gt;"",VLOOKUP($B23,PLANILHA_SINTÉTICA!$E:$P,3,0),"")</f>
        <v>REVESTIMENTOS</v>
      </c>
      <c r="D23" s="870"/>
      <c r="E23" s="870"/>
      <c r="F23" s="157">
        <f>IF($B23&lt;&gt;"",VLOOKUP($B23,PLANILHA_SINTÉTICA!$E:$P,9,0),"")</f>
        <v>281805.12</v>
      </c>
      <c r="G23" s="157">
        <f>IF($B23&lt;&gt;"",VLOOKUP($B23,PLANILHA_SINTÉTICA!$E:$P,10,0),"")</f>
        <v>114370.09</v>
      </c>
      <c r="H23" s="157">
        <f>IF($B23&lt;&gt;"",VLOOKUP($B23,PLANILHA_SINTÉTICA!$E:$P,12,0),"")</f>
        <v>396175.21</v>
      </c>
      <c r="I23" s="157">
        <f t="shared" si="0"/>
        <v>476890.59840013826</v>
      </c>
      <c r="J23" s="158">
        <f>IF($B23&lt;&gt;"",IF(OR($B23="",H23=0),0,$I23/$I$51),"")</f>
        <v>7.1192345200438739E-2</v>
      </c>
      <c r="K23" s="159"/>
      <c r="L23" s="159"/>
      <c r="M23" s="140"/>
      <c r="N23" s="140"/>
      <c r="O23" s="140"/>
      <c r="P23" s="140"/>
      <c r="Q23" s="140"/>
      <c r="R23" s="140"/>
      <c r="S23" s="140"/>
      <c r="T23" s="140"/>
      <c r="U23" s="140"/>
      <c r="V23" s="140"/>
    </row>
    <row r="24" spans="1:22" ht="15.75" customHeight="1" x14ac:dyDescent="0.25">
      <c r="A24" s="155"/>
      <c r="B24" s="152">
        <v>10</v>
      </c>
      <c r="C24" s="870" t="str">
        <f>IF($B24&lt;&gt;"",VLOOKUP($B24,PLANILHA_SINTÉTICA!$E:$P,3,0),"")</f>
        <v>ESQUADRIAS</v>
      </c>
      <c r="D24" s="870"/>
      <c r="E24" s="870"/>
      <c r="F24" s="157">
        <f>IF($B24&lt;&gt;"",VLOOKUP($B24,PLANILHA_SINTÉTICA!$E:$P,9,0),"")</f>
        <v>260494.23</v>
      </c>
      <c r="G24" s="157">
        <f>IF($B24&lt;&gt;"",VLOOKUP($B24,PLANILHA_SINTÉTICA!$E:$P,10,0),"")</f>
        <v>44365.75</v>
      </c>
      <c r="H24" s="157">
        <f>IF($B24&lt;&gt;"",VLOOKUP($B24,PLANILHA_SINTÉTICA!$E:$P,12,0),"")</f>
        <v>304859.9800000001</v>
      </c>
      <c r="I24" s="157">
        <f t="shared" si="0"/>
        <v>366971.11434724607</v>
      </c>
      <c r="J24" s="158">
        <f>IF($B24&lt;&gt;"",IF(OR($B24="",H24=0),0,$I24/$I$51),"")</f>
        <v>5.4783076745157422E-2</v>
      </c>
      <c r="K24" s="159"/>
      <c r="L24" s="159"/>
      <c r="M24" s="140"/>
      <c r="N24" s="140"/>
      <c r="O24" s="140"/>
      <c r="P24" s="140"/>
      <c r="Q24" s="140"/>
      <c r="R24" s="140"/>
      <c r="S24" s="140"/>
      <c r="T24" s="140"/>
      <c r="U24" s="140"/>
      <c r="V24" s="140"/>
    </row>
    <row r="25" spans="1:22" ht="15.75" customHeight="1" x14ac:dyDescent="0.25">
      <c r="A25" s="155"/>
      <c r="B25" s="152">
        <v>11</v>
      </c>
      <c r="C25" s="870" t="str">
        <f>IF($B25&lt;&gt;"",VLOOKUP($B25,PLANILHA_SINTÉTICA!$E:$P,3,0),"")</f>
        <v>PINTURAS</v>
      </c>
      <c r="D25" s="870"/>
      <c r="E25" s="870"/>
      <c r="F25" s="157">
        <f>IF($B25&lt;&gt;"",VLOOKUP($B25,PLANILHA_SINTÉTICA!$E:$P,9,0),"")</f>
        <v>55477.31</v>
      </c>
      <c r="G25" s="157">
        <f>IF($B25&lt;&gt;"",VLOOKUP($B25,PLANILHA_SINTÉTICA!$E:$P,10,0),"")</f>
        <v>52205.7</v>
      </c>
      <c r="H25" s="157">
        <f>IF($B25&lt;&gt;"",VLOOKUP($B25,PLANILHA_SINTÉTICA!$E:$P,12,0),"")</f>
        <v>107683.01000000001</v>
      </c>
      <c r="I25" s="157">
        <f t="shared" si="0"/>
        <v>129621.97982157458</v>
      </c>
      <c r="J25" s="158">
        <f>IF($B25&lt;&gt;"",IF(OR($B25="",H25=0),0,$I25/$I$51),"")</f>
        <v>1.935054447284144E-2</v>
      </c>
      <c r="K25" s="159"/>
      <c r="L25" s="159"/>
      <c r="M25" s="140"/>
      <c r="N25" s="140"/>
      <c r="O25" s="140"/>
      <c r="P25" s="140"/>
      <c r="Q25" s="140"/>
      <c r="R25" s="140"/>
      <c r="S25" s="140"/>
      <c r="T25" s="140"/>
      <c r="U25" s="140"/>
      <c r="V25" s="140"/>
    </row>
    <row r="26" spans="1:22" ht="15.75" customHeight="1" x14ac:dyDescent="0.25">
      <c r="A26" s="155"/>
      <c r="B26" s="152">
        <v>12</v>
      </c>
      <c r="C26" s="870" t="str">
        <f>IF($B26&lt;&gt;"",VLOOKUP($B26,PLANILHA_SINTÉTICA!$E:$P,3,0),"")</f>
        <v>DIVERSOS</v>
      </c>
      <c r="D26" s="870"/>
      <c r="E26" s="870"/>
      <c r="F26" s="157">
        <f>IF($B26&lt;&gt;"",VLOOKUP($B26,PLANILHA_SINTÉTICA!$E:$P,9,0),"")</f>
        <v>191282.5</v>
      </c>
      <c r="G26" s="157">
        <f>IF($B26&lt;&gt;"",VLOOKUP($B26,PLANILHA_SINTÉTICA!$E:$P,10,0),"")</f>
        <v>20714.89</v>
      </c>
      <c r="H26" s="157">
        <f>IF($B26&lt;&gt;"",VLOOKUP($B26,PLANILHA_SINTÉTICA!$E:$P,12,0),"")</f>
        <v>211997.39</v>
      </c>
      <c r="I26" s="157">
        <f t="shared" si="0"/>
        <v>255189.01643635778</v>
      </c>
      <c r="J26" s="158">
        <f>IF($B26&lt;&gt;"",IF(OR($B26="",H26=0),0,$I26/$I$51),"")</f>
        <v>3.8095749025972729E-2</v>
      </c>
      <c r="K26" s="159"/>
      <c r="L26" s="159"/>
      <c r="M26" s="140"/>
      <c r="N26" s="140"/>
      <c r="O26" s="140"/>
      <c r="P26" s="140"/>
      <c r="Q26" s="140"/>
      <c r="R26" s="140"/>
      <c r="S26" s="140"/>
      <c r="T26" s="140"/>
      <c r="U26" s="140"/>
      <c r="V26" s="140"/>
    </row>
    <row r="27" spans="1:22" ht="15.75" customHeight="1" x14ac:dyDescent="0.25">
      <c r="A27" s="155"/>
      <c r="B27" s="152">
        <v>13</v>
      </c>
      <c r="C27" s="870" t="str">
        <f>IF($B27&lt;&gt;"",VLOOKUP($B27,PLANILHA_SINTÉTICA!$E:$P,3,0),"")</f>
        <v>INSTALAÇÃO HIDRÁULICA</v>
      </c>
      <c r="D27" s="870"/>
      <c r="E27" s="870"/>
      <c r="F27" s="157">
        <f>IF($B27&lt;&gt;"",VLOOKUP($B27,PLANILHA_SINTÉTICA!$E:$P,9,0),"")</f>
        <v>127609.87</v>
      </c>
      <c r="G27" s="157">
        <f>IF($B27&lt;&gt;"",VLOOKUP($B27,PLANILHA_SINTÉTICA!$E:$P,10,0),"")</f>
        <v>82972.94</v>
      </c>
      <c r="H27" s="157">
        <f>IF($B27&lt;&gt;"",VLOOKUP($B27,PLANILHA_SINTÉTICA!$E:$P,12,0),"")</f>
        <v>210582.80999999997</v>
      </c>
      <c r="I27" s="157">
        <f t="shared" si="0"/>
        <v>253486.23472347652</v>
      </c>
      <c r="J27" s="158">
        <f>IF($B27&lt;&gt;"",IF(OR($B27="",H27=0),0,$I27/$I$51),"")</f>
        <v>3.7841550214104513E-2</v>
      </c>
      <c r="K27" s="159"/>
      <c r="L27" s="159"/>
      <c r="M27" s="140"/>
      <c r="N27" s="140"/>
      <c r="O27" s="140"/>
      <c r="P27" s="140"/>
      <c r="Q27" s="140"/>
      <c r="R27" s="140"/>
      <c r="S27" s="140"/>
      <c r="T27" s="140"/>
      <c r="U27" s="140"/>
      <c r="V27" s="140"/>
    </row>
    <row r="28" spans="1:22" ht="15.75" customHeight="1" x14ac:dyDescent="0.25">
      <c r="A28" s="155"/>
      <c r="B28" s="152">
        <v>14</v>
      </c>
      <c r="C28" s="870" t="str">
        <f>IF($B28&lt;&gt;"",VLOOKUP($B28,PLANILHA_SINTÉTICA!$E:$P,3,0),"")</f>
        <v>COMBATE INCÊNDIO</v>
      </c>
      <c r="D28" s="870"/>
      <c r="E28" s="870"/>
      <c r="F28" s="157">
        <f>IF($B28&lt;&gt;"",VLOOKUP($B28,PLANILHA_SINTÉTICA!$E:$P,9,0),"")</f>
        <v>2944.36</v>
      </c>
      <c r="G28" s="157">
        <f>IF($B28&lt;&gt;"",VLOOKUP($B28,PLANILHA_SINTÉTICA!$E:$P,10,0),"")</f>
        <v>362.51</v>
      </c>
      <c r="H28" s="157">
        <f>IF($B28&lt;&gt;"",VLOOKUP($B28,PLANILHA_SINTÉTICA!$E:$P,12,0),"")</f>
        <v>3306.8700000000003</v>
      </c>
      <c r="I28" s="157">
        <f t="shared" si="0"/>
        <v>3980.6004346699665</v>
      </c>
      <c r="J28" s="158">
        <f>IF($B28&lt;&gt;"",IF(OR($B28="",H28=0),0,$I28/$I$51),"")</f>
        <v>5.9424170071866659E-4</v>
      </c>
      <c r="K28" s="159"/>
      <c r="L28" s="159"/>
      <c r="M28" s="140"/>
      <c r="N28" s="140"/>
      <c r="O28" s="140"/>
      <c r="P28" s="140"/>
      <c r="Q28" s="140"/>
      <c r="R28" s="140"/>
      <c r="S28" s="140"/>
      <c r="T28" s="140"/>
      <c r="U28" s="140"/>
      <c r="V28" s="140"/>
    </row>
    <row r="29" spans="1:22" ht="15.75" customHeight="1" x14ac:dyDescent="0.25">
      <c r="A29" s="155"/>
      <c r="B29" s="152">
        <v>15</v>
      </c>
      <c r="C29" s="870" t="str">
        <f>IF($B29&lt;&gt;"",VLOOKUP($B29,PLANILHA_SINTÉTICA!$E:$P,3,0),"")</f>
        <v>INSTALAÇÃO ELÉTRICA - EXCETO POSTO TRANSFORMAÇÃO, GERADOR, CABEAMENTO CAT, SWITCH, GRAVADORES, CÂMERAS, CERTIFICAÇÃO, CENTRAL DE ENFERMAGEM</v>
      </c>
      <c r="D29" s="870"/>
      <c r="E29" s="870"/>
      <c r="F29" s="157">
        <f>IF($B29&lt;&gt;"",VLOOKUP($B29,PLANILHA_SINTÉTICA!$E:$P,9,0),"")</f>
        <v>456555.93</v>
      </c>
      <c r="G29" s="157">
        <f>IF($B29&lt;&gt;"",VLOOKUP($B29,PLANILHA_SINTÉTICA!$E:$P,10,0),"")</f>
        <v>156670.6</v>
      </c>
      <c r="H29" s="157">
        <f>IF($B29&lt;&gt;"",VLOOKUP($B29,PLANILHA_SINTÉTICA!$E:$P,12,0),"")</f>
        <v>613226.53000000038</v>
      </c>
      <c r="I29" s="157">
        <f t="shared" si="0"/>
        <v>738163.21532722982</v>
      </c>
      <c r="J29" s="158">
        <f>IF($B29&lt;&gt;"",IF(OR($B29="",H29=0),0,$I29/$I$51),"")</f>
        <v>0.11019628110963134</v>
      </c>
      <c r="K29" s="159"/>
      <c r="L29" s="159"/>
      <c r="M29" s="140"/>
      <c r="N29" s="140"/>
      <c r="O29" s="140"/>
      <c r="P29" s="140"/>
      <c r="Q29" s="140"/>
      <c r="R29" s="140"/>
      <c r="S29" s="140"/>
      <c r="T29" s="140"/>
      <c r="U29" s="140"/>
      <c r="V29" s="140"/>
    </row>
    <row r="30" spans="1:22" ht="29.25" customHeight="1" x14ac:dyDescent="0.25">
      <c r="A30" s="155"/>
      <c r="B30" s="152">
        <v>16</v>
      </c>
      <c r="C30" s="870" t="str">
        <f>IF($B30&lt;&gt;"",VLOOKUP($B30,PLANILHA_SINTÉTICA!$E:$P,3,0),"")</f>
        <v>INSTALAÇÕES DE GÁS MEDICINAL - EXCETO CENTRAIS</v>
      </c>
      <c r="D30" s="870"/>
      <c r="E30" s="870"/>
      <c r="F30" s="157">
        <f>IF($B30&lt;&gt;"",VLOOKUP($B30,PLANILHA_SINTÉTICA!$E:$P,9,0),"")</f>
        <v>61233.58</v>
      </c>
      <c r="G30" s="157">
        <f>IF($B30&lt;&gt;"",VLOOKUP($B30,PLANILHA_SINTÉTICA!$E:$P,10,0),"")</f>
        <v>14627.06</v>
      </c>
      <c r="H30" s="157">
        <f>IF($B30&lt;&gt;"",VLOOKUP($B30,PLANILHA_SINTÉTICA!$E:$P,12,0),"")</f>
        <v>75860.640000000029</v>
      </c>
      <c r="I30" s="157">
        <f t="shared" si="0"/>
        <v>91316.228505608611</v>
      </c>
      <c r="J30" s="158">
        <f>IF($B30&lt;&gt;"",IF(OR($B30="",H30=0),0,$I30/$I$51),"")</f>
        <v>1.3632091896931696E-2</v>
      </c>
      <c r="K30" s="159"/>
      <c r="L30" s="159"/>
      <c r="M30" s="140"/>
      <c r="N30" s="140"/>
      <c r="O30" s="140"/>
      <c r="P30" s="140"/>
      <c r="Q30" s="140"/>
      <c r="R30" s="140"/>
      <c r="S30" s="140"/>
      <c r="T30" s="140"/>
      <c r="U30" s="140"/>
      <c r="V30" s="140"/>
    </row>
    <row r="31" spans="1:22" ht="29.25" customHeight="1" x14ac:dyDescent="0.25">
      <c r="A31" s="155"/>
      <c r="B31" s="152">
        <v>17</v>
      </c>
      <c r="C31" s="870" t="str">
        <f>IF($B31&lt;&gt;"",VLOOKUP($B31,PLANILHA_SINTÉTICA!$E:$P,3,0),"")</f>
        <v>INSTALAÇÕES DE CLIMATIZAÇÃO - EXCETO EQUIPAMENTOS</v>
      </c>
      <c r="D31" s="870"/>
      <c r="E31" s="870"/>
      <c r="F31" s="157">
        <f>IF($B31&lt;&gt;"",VLOOKUP($B31,PLANILHA_SINTÉTICA!$E:$P,9,0),"")</f>
        <v>196589.97</v>
      </c>
      <c r="G31" s="157">
        <f>IF($B31&lt;&gt;"",VLOOKUP($B31,PLANILHA_SINTÉTICA!$E:$P,10,0),"")</f>
        <v>66437.899999999994</v>
      </c>
      <c r="H31" s="157">
        <f>IF($B31&lt;&gt;"",VLOOKUP($B31,PLANILHA_SINTÉTICA!$E:$P,12,0),"")</f>
        <v>263027.87</v>
      </c>
      <c r="I31" s="157">
        <f t="shared" si="0"/>
        <v>316616.27268453717</v>
      </c>
      <c r="J31" s="158">
        <f>IF($B31&lt;&gt;"",IF(OR($B31="",H31=0),0,$I31/$I$51),"")</f>
        <v>4.7265882482591795E-2</v>
      </c>
      <c r="K31" s="159"/>
      <c r="L31" s="159"/>
      <c r="M31" s="140"/>
      <c r="N31" s="140"/>
      <c r="O31" s="140"/>
      <c r="P31" s="140"/>
      <c r="Q31" s="140"/>
      <c r="R31" s="140"/>
      <c r="S31" s="140"/>
      <c r="T31" s="140"/>
      <c r="U31" s="140"/>
      <c r="V31" s="140"/>
    </row>
    <row r="32" spans="1:22" ht="15.75" customHeight="1" x14ac:dyDescent="0.25">
      <c r="A32" s="155"/>
      <c r="B32" s="152">
        <v>18</v>
      </c>
      <c r="C32" s="870" t="str">
        <f>IF($B32&lt;&gt;"",VLOOKUP($B32,PLANILHA_SINTÉTICA!$E:$P,3,0),"")</f>
        <v>SERVIÇOS FINAIS</v>
      </c>
      <c r="D32" s="870"/>
      <c r="E32" s="870"/>
      <c r="F32" s="157">
        <f>IF($B32&lt;&gt;"",VLOOKUP($B32,PLANILHA_SINTÉTICA!$E:$P,9,0),"")</f>
        <v>3444.54</v>
      </c>
      <c r="G32" s="157">
        <f>IF($B32&lt;&gt;"",VLOOKUP($B32,PLANILHA_SINTÉTICA!$E:$P,10,0),"")</f>
        <v>3701.39</v>
      </c>
      <c r="H32" s="157">
        <f>IF($B32&lt;&gt;"",VLOOKUP($B32,PLANILHA_SINTÉTICA!$E:$P,12,0),"")</f>
        <v>7145.93</v>
      </c>
      <c r="I32" s="157">
        <f t="shared" si="0"/>
        <v>8601.8174479556656</v>
      </c>
      <c r="J32" s="158">
        <f>IF($B32&lt;&gt;"",IF(OR($B32="",H32=0),0,$I32/$I$51),"")</f>
        <v>1.2841174876594909E-3</v>
      </c>
      <c r="K32" s="159"/>
      <c r="L32" s="159"/>
      <c r="M32" s="140"/>
      <c r="N32" s="140"/>
      <c r="O32" s="140"/>
      <c r="P32" s="140"/>
      <c r="Q32" s="140"/>
      <c r="R32" s="140"/>
      <c r="S32" s="140"/>
      <c r="T32" s="140"/>
      <c r="U32" s="140"/>
      <c r="V32" s="140"/>
    </row>
    <row r="33" spans="1:22" ht="15.75" customHeight="1" x14ac:dyDescent="0.25">
      <c r="A33" s="148"/>
      <c r="B33" s="152"/>
      <c r="C33" s="868" t="s">
        <v>560</v>
      </c>
      <c r="D33" s="868"/>
      <c r="E33" s="868"/>
      <c r="F33" s="153"/>
      <c r="G33" s="153"/>
      <c r="H33" s="153"/>
      <c r="I33" s="153"/>
      <c r="J33" s="154"/>
      <c r="K33" s="140"/>
      <c r="L33" s="150"/>
      <c r="M33" s="150"/>
      <c r="N33" s="150"/>
      <c r="O33" s="150"/>
      <c r="P33" s="150"/>
      <c r="Q33" s="150"/>
      <c r="R33" s="150"/>
      <c r="S33" s="150"/>
      <c r="T33" s="150"/>
      <c r="U33" s="150"/>
      <c r="V33" s="150"/>
    </row>
    <row r="34" spans="1:22" ht="15.75" customHeight="1" x14ac:dyDescent="0.25">
      <c r="A34" s="155"/>
      <c r="B34" s="152">
        <v>19</v>
      </c>
      <c r="C34" s="870" t="str">
        <f>IF($B34&lt;&gt;"",VLOOKUP($B34,PLANILHA_SINTÉTICA!$E:$P,3,0),"")</f>
        <v>MOVIMENTO DE TERRA</v>
      </c>
      <c r="D34" s="870"/>
      <c r="E34" s="870"/>
      <c r="F34" s="157">
        <f>IF($B34&lt;&gt;"",VLOOKUP($B34,PLANILHA_SINTÉTICA!$E:$P,9,0),"")</f>
        <v>56550.559999999998</v>
      </c>
      <c r="G34" s="157">
        <f>IF($B34&lt;&gt;"",VLOOKUP($B34,PLANILHA_SINTÉTICA!$E:$P,10,0),"")</f>
        <v>10005.83</v>
      </c>
      <c r="H34" s="157">
        <f>IF($B34&lt;&gt;"",VLOOKUP($B34,PLANILHA_SINTÉTICA!$E:$P,12,0),"")</f>
        <v>66556.39</v>
      </c>
      <c r="I34" s="157">
        <f t="shared" ref="I34:I41" si="1">IF($B34&lt;&gt;"",(1+$H$10)*$H34," ")</f>
        <v>80116.362289434968</v>
      </c>
      <c r="J34" s="158">
        <f>IF($B34&lt;&gt;"",IF(OR($B34="",H34=0),0,$I34/$I$51),"")</f>
        <v>1.1960126157754871E-2</v>
      </c>
      <c r="K34" s="159"/>
      <c r="L34" s="159"/>
      <c r="M34" s="140"/>
      <c r="N34" s="140"/>
      <c r="O34" s="140"/>
      <c r="P34" s="140"/>
      <c r="Q34" s="140"/>
      <c r="R34" s="140"/>
      <c r="S34" s="140"/>
      <c r="T34" s="140"/>
      <c r="U34" s="140"/>
      <c r="V34" s="140"/>
    </row>
    <row r="35" spans="1:22" ht="15.75" customHeight="1" x14ac:dyDescent="0.25">
      <c r="A35" s="155"/>
      <c r="B35" s="152">
        <v>20</v>
      </c>
      <c r="C35" s="870" t="str">
        <f>IF($B35&lt;&gt;"",VLOOKUP($B35,PLANILHA_SINTÉTICA!$E:$P,3,0),"")</f>
        <v>MUROS</v>
      </c>
      <c r="D35" s="870"/>
      <c r="E35" s="870"/>
      <c r="F35" s="157">
        <f>IF($B35&lt;&gt;"",VLOOKUP($B35,PLANILHA_SINTÉTICA!$E:$P,9,0),"")</f>
        <v>381535.55</v>
      </c>
      <c r="G35" s="157">
        <f>IF($B35&lt;&gt;"",VLOOKUP($B35,PLANILHA_SINTÉTICA!$E:$P,10,0),"")</f>
        <v>84575.02</v>
      </c>
      <c r="H35" s="157">
        <f>IF($B35&lt;&gt;"",VLOOKUP($B35,PLANILHA_SINTÉTICA!$E:$P,12,0),"")</f>
        <v>466110.57</v>
      </c>
      <c r="I35" s="157">
        <f t="shared" si="1"/>
        <v>561074.35053275933</v>
      </c>
      <c r="J35" s="158">
        <f>IF($B35&lt;&gt;"",IF(OR($B35="",H35=0),0,$I35/$I$51),"")</f>
        <v>8.3759669367028972E-2</v>
      </c>
      <c r="K35" s="159"/>
      <c r="L35" s="159"/>
      <c r="M35" s="140"/>
      <c r="N35" s="140"/>
      <c r="O35" s="140"/>
      <c r="P35" s="140"/>
      <c r="Q35" s="140"/>
      <c r="R35" s="140"/>
      <c r="S35" s="140"/>
      <c r="T35" s="140"/>
      <c r="U35" s="140"/>
      <c r="V35" s="140"/>
    </row>
    <row r="36" spans="1:22" ht="15.75" customHeight="1" x14ac:dyDescent="0.25">
      <c r="A36" s="155"/>
      <c r="B36" s="152">
        <v>21</v>
      </c>
      <c r="C36" s="870" t="str">
        <f>IF($B36&lt;&gt;"",VLOOKUP($B36,PLANILHA_SINTÉTICA!$E:$P,3,0),"")</f>
        <v>CALÇADA EXTERNA</v>
      </c>
      <c r="D36" s="870"/>
      <c r="E36" s="870"/>
      <c r="F36" s="157">
        <f>IF($B36&lt;&gt;"",VLOOKUP($B36,PLANILHA_SINTÉTICA!$E:$P,9,0),"")</f>
        <v>186369.53</v>
      </c>
      <c r="G36" s="157">
        <f>IF($B36&lt;&gt;"",VLOOKUP($B36,PLANILHA_SINTÉTICA!$E:$P,10,0),"")</f>
        <v>35638.19</v>
      </c>
      <c r="H36" s="157">
        <f>IF($B36&lt;&gt;"",VLOOKUP($B36,PLANILHA_SINTÉTICA!$E:$P,12,0),"")</f>
        <v>222007.72000000006</v>
      </c>
      <c r="I36" s="157">
        <f t="shared" si="1"/>
        <v>267238.8169876918</v>
      </c>
      <c r="J36" s="158">
        <f>IF($B36&lt;&gt;"",IF(OR($B36="",H36=0),0,$I36/$I$51),"")</f>
        <v>3.9894596735122197E-2</v>
      </c>
      <c r="K36" s="159"/>
      <c r="L36" s="159"/>
      <c r="M36" s="140"/>
      <c r="N36" s="140"/>
      <c r="O36" s="140"/>
      <c r="P36" s="140"/>
      <c r="Q36" s="140"/>
      <c r="R36" s="140"/>
      <c r="S36" s="140"/>
      <c r="T36" s="140"/>
      <c r="U36" s="140"/>
      <c r="V36" s="140"/>
    </row>
    <row r="37" spans="1:22" ht="15.75" customHeight="1" x14ac:dyDescent="0.25">
      <c r="A37" s="155"/>
      <c r="B37" s="152">
        <v>22</v>
      </c>
      <c r="C37" s="870" t="str">
        <f>IF($B37&lt;&gt;"",VLOOKUP($B37,PLANILHA_SINTÉTICA!$E:$P,3,0),"")</f>
        <v>INSTALAÇÃO ELÉTRICA - (POSTO TRANSFORMAÇÃO,  INFRA PARA CABEAMENTO CAT)</v>
      </c>
      <c r="D37" s="870"/>
      <c r="E37" s="870"/>
      <c r="F37" s="157">
        <f>IF($B37&lt;&gt;"",VLOOKUP($B37,PLANILHA_SINTÉTICA!$E:$P,9,0),"")</f>
        <v>62137.88</v>
      </c>
      <c r="G37" s="157">
        <f>IF($B37&lt;&gt;"",VLOOKUP($B37,PLANILHA_SINTÉTICA!$E:$P,10,0),"")</f>
        <v>10509.5</v>
      </c>
      <c r="H37" s="157">
        <f>IF($B37&lt;&gt;"",VLOOKUP($B37,PLANILHA_SINTÉTICA!$E:$P,12,0),"")</f>
        <v>72647.37999999999</v>
      </c>
      <c r="I37" s="157">
        <f t="shared" si="1"/>
        <v>87448.309853618121</v>
      </c>
      <c r="J37" s="158">
        <f>IF($B37&lt;&gt;"",IF(OR($B37="",H37=0),0,$I37/$I$51),"")</f>
        <v>1.3054671832867706E-2</v>
      </c>
      <c r="K37" s="159"/>
      <c r="L37" s="159"/>
      <c r="M37" s="140"/>
      <c r="N37" s="140"/>
      <c r="O37" s="140"/>
      <c r="P37" s="140"/>
      <c r="Q37" s="140"/>
      <c r="R37" s="140"/>
      <c r="S37" s="140"/>
      <c r="T37" s="140"/>
      <c r="U37" s="140"/>
      <c r="V37" s="140"/>
    </row>
    <row r="38" spans="1:22" ht="15.75" x14ac:dyDescent="0.25">
      <c r="A38" s="155"/>
      <c r="B38" s="152">
        <v>23</v>
      </c>
      <c r="C38" s="870" t="str">
        <f>IF($B38&lt;&gt;"",VLOOKUP($B38,PLANILHA_SINTÉTICA!$E:$P,3,0),"")</f>
        <v>ESQUADRIAS</v>
      </c>
      <c r="D38" s="870"/>
      <c r="E38" s="870"/>
      <c r="F38" s="157">
        <f>IF($B38&lt;&gt;"",VLOOKUP($B38,PLANILHA_SINTÉTICA!$E:$P,9,0),"")</f>
        <v>11340.58</v>
      </c>
      <c r="G38" s="157">
        <f>IF($B38&lt;&gt;"",VLOOKUP($B38,PLANILHA_SINTÉTICA!$E:$P,10,0),"")</f>
        <v>1790.4</v>
      </c>
      <c r="H38" s="157">
        <f>IF($B38&lt;&gt;"",VLOOKUP($B38,PLANILHA_SINTÉTICA!$E:$P,12,0),"")</f>
        <v>13130.98</v>
      </c>
      <c r="I38" s="157">
        <f t="shared" si="1"/>
        <v>15806.241157240118</v>
      </c>
      <c r="J38" s="158">
        <f>IF($B38&lt;&gt;"",IF(OR($B38="",H38=0),0,$I38/$I$51),"")</f>
        <v>2.3596258357004643E-3</v>
      </c>
      <c r="K38" s="159"/>
      <c r="L38" s="159"/>
      <c r="M38" s="140"/>
      <c r="N38" s="140"/>
      <c r="O38" s="140"/>
      <c r="P38" s="140"/>
      <c r="Q38" s="140"/>
      <c r="R38" s="140"/>
      <c r="S38" s="140"/>
      <c r="T38" s="140"/>
      <c r="U38" s="140"/>
      <c r="V38" s="140"/>
    </row>
    <row r="39" spans="1:22" ht="15.75" customHeight="1" x14ac:dyDescent="0.25">
      <c r="A39" s="155"/>
      <c r="B39" s="152">
        <v>27</v>
      </c>
      <c r="C39" s="870" t="str">
        <f>IF($B39&lt;&gt;"",VLOOKUP($B39,PLANILHA_SINTÉTICA!$E:$P,3,0),"")</f>
        <v>PAISAGISMO, SINALIZAÇÃO VIÁRIA E MOBILIÁRIO URBANO</v>
      </c>
      <c r="D39" s="870"/>
      <c r="E39" s="870"/>
      <c r="F39" s="157">
        <f>IF($B39&lt;&gt;"",VLOOKUP($B39,PLANILHA_SINTÉTICA!$E:$P,9,0),"")</f>
        <v>29173.31</v>
      </c>
      <c r="G39" s="157">
        <f>IF($B39&lt;&gt;"",VLOOKUP($B39,PLANILHA_SINTÉTICA!$E:$P,10,0),"")</f>
        <v>10829.59</v>
      </c>
      <c r="H39" s="157">
        <f>IF($B39&lt;&gt;"",VLOOKUP($B39,PLANILHA_SINTÉTICA!$E:$P,12,0),"")</f>
        <v>40002.899999999994</v>
      </c>
      <c r="I39" s="157">
        <f t="shared" si="1"/>
        <v>48152.954645347163</v>
      </c>
      <c r="J39" s="158">
        <f>IF($B39&lt;&gt;"",IF(OR($B39="",H39=0),0,$I39/$I$51),"")</f>
        <v>7.1884867955736816E-3</v>
      </c>
      <c r="K39" s="159"/>
      <c r="L39" s="159"/>
      <c r="M39" s="140"/>
      <c r="N39" s="140"/>
      <c r="O39" s="140"/>
      <c r="P39" s="140"/>
      <c r="Q39" s="140"/>
      <c r="R39" s="140"/>
      <c r="S39" s="140"/>
      <c r="T39" s="140"/>
      <c r="U39" s="140"/>
      <c r="V39" s="140"/>
    </row>
    <row r="40" spans="1:22" ht="15.75" customHeight="1" x14ac:dyDescent="0.25">
      <c r="A40" s="155"/>
      <c r="B40" s="152">
        <v>28</v>
      </c>
      <c r="C40" s="870" t="str">
        <f>IF($B40&lt;&gt;"",VLOOKUP($B40,PLANILHA_SINTÉTICA!$E:$P,3,0),"")</f>
        <v>CANTEIRO DE OBRAS - BARRACÕES</v>
      </c>
      <c r="D40" s="870"/>
      <c r="E40" s="870"/>
      <c r="F40" s="157">
        <f>IF($B40&lt;&gt;"",VLOOKUP($B40,PLANILHA_SINTÉTICA!$E:$P,9,0),"")</f>
        <v>77254.73</v>
      </c>
      <c r="G40" s="157">
        <f>IF($B40&lt;&gt;"",VLOOKUP($B40,PLANILHA_SINTÉTICA!$E:$P,10,0),"")</f>
        <v>16097.24</v>
      </c>
      <c r="H40" s="157">
        <f>IF($B40&lt;&gt;"",VLOOKUP($B40,PLANILHA_SINTÉTICA!$E:$P,12,0),"")</f>
        <v>93351.97</v>
      </c>
      <c r="I40" s="157">
        <f t="shared" si="1"/>
        <v>112371.18252586211</v>
      </c>
      <c r="J40" s="158">
        <f>IF($B40&lt;&gt;"",IF(OR($B40="",H40=0),0,$I40/$I$51),"")</f>
        <v>1.6775268885150591E-2</v>
      </c>
      <c r="K40" s="159"/>
      <c r="L40" s="159"/>
      <c r="M40" s="140"/>
      <c r="N40" s="140"/>
      <c r="O40" s="140"/>
      <c r="P40" s="140"/>
      <c r="Q40" s="140"/>
      <c r="R40" s="140"/>
      <c r="S40" s="140"/>
      <c r="T40" s="140"/>
      <c r="U40" s="140"/>
      <c r="V40" s="140"/>
    </row>
    <row r="41" spans="1:22" ht="15.75" customHeight="1" x14ac:dyDescent="0.25">
      <c r="A41" s="155"/>
      <c r="B41" s="152">
        <v>31</v>
      </c>
      <c r="C41" s="870" t="str">
        <f>IF($B41&lt;&gt;"",VLOOKUP($B41,PLANILHA_SINTÉTICA!$E:$P,3,0),"")</f>
        <v>SISTEMA DE TRATAMENTO DE EFLUENTES</v>
      </c>
      <c r="D41" s="870"/>
      <c r="E41" s="870"/>
      <c r="F41" s="157">
        <f>IF($B41&lt;&gt;"",VLOOKUP($B41,PLANILHA_SINTÉTICA!$E:$P,9,0),"")</f>
        <v>13857.64</v>
      </c>
      <c r="G41" s="157">
        <f>IF($B41&lt;&gt;"",VLOOKUP($B41,PLANILHA_SINTÉTICA!$E:$P,10,0),"")</f>
        <v>1792.96</v>
      </c>
      <c r="H41" s="157">
        <f>IF($B41&lt;&gt;"",VLOOKUP($B41,PLANILHA_SINTÉTICA!$E:$P,12,0),"")</f>
        <v>15650.599999999999</v>
      </c>
      <c r="I41" s="157">
        <f t="shared" si="1"/>
        <v>18839.199957314853</v>
      </c>
      <c r="J41" s="158">
        <f>IF($B41&lt;&gt;"",IF(OR($B41="",H41=0),0,$I41/$I$51),"")</f>
        <v>2.812399387114571E-3</v>
      </c>
      <c r="K41" s="159"/>
      <c r="L41" s="159"/>
      <c r="M41" s="140"/>
      <c r="N41" s="140"/>
      <c r="O41" s="140"/>
      <c r="P41" s="140"/>
      <c r="Q41" s="140"/>
      <c r="R41" s="140"/>
      <c r="S41" s="140"/>
      <c r="T41" s="140"/>
      <c r="U41" s="140"/>
      <c r="V41" s="140"/>
    </row>
    <row r="42" spans="1:22" ht="15.75" customHeight="1" x14ac:dyDescent="0.25">
      <c r="A42" s="155"/>
      <c r="B42" s="160"/>
      <c r="C42" s="161"/>
      <c r="D42" s="871" t="s">
        <v>561</v>
      </c>
      <c r="E42" s="871"/>
      <c r="F42" s="162">
        <f>SUMIF(F15:F41,"&gt;0",F15:F41)</f>
        <v>3448257.7500000005</v>
      </c>
      <c r="G42" s="162">
        <f>SUMIF(G15:G41,"&gt;0",G15:G41)</f>
        <v>1124093.8599999999</v>
      </c>
      <c r="H42" s="162">
        <f>SUMIF(H15:H41,"&gt;0",H15:H41)</f>
        <v>4572351.6100000013</v>
      </c>
      <c r="I42" s="162">
        <f>SUMIF(I15:I41,"&gt;0",I15:I41)</f>
        <v>5503906.9592182087</v>
      </c>
      <c r="J42" s="163">
        <f>SUMIF(J15:J41,"&gt;0",J15:J41)</f>
        <v>0.82164765987478583</v>
      </c>
      <c r="K42" s="159"/>
      <c r="L42" s="159"/>
      <c r="M42" s="159"/>
      <c r="N42" s="140"/>
      <c r="O42" s="140"/>
      <c r="P42" s="140"/>
      <c r="Q42" s="140"/>
      <c r="R42" s="140"/>
      <c r="S42" s="140"/>
      <c r="T42" s="140"/>
      <c r="U42" s="140"/>
      <c r="V42" s="140"/>
    </row>
    <row r="43" spans="1:22" ht="15.75" customHeight="1" x14ac:dyDescent="0.25">
      <c r="A43" s="155"/>
      <c r="B43" s="164"/>
      <c r="C43" s="872" t="s">
        <v>562</v>
      </c>
      <c r="D43" s="872"/>
      <c r="E43" s="872"/>
      <c r="F43" s="165"/>
      <c r="G43" s="166"/>
      <c r="H43" s="167"/>
      <c r="I43" s="168"/>
      <c r="J43" s="169"/>
      <c r="K43" s="170"/>
      <c r="L43" s="170"/>
      <c r="M43" s="159"/>
      <c r="N43" s="140"/>
      <c r="O43" s="140"/>
      <c r="P43" s="140"/>
      <c r="Q43" s="140"/>
      <c r="R43" s="140"/>
      <c r="S43" s="140"/>
      <c r="T43" s="140"/>
      <c r="U43" s="140"/>
      <c r="V43" s="140"/>
    </row>
    <row r="44" spans="1:22" ht="15.75" customHeight="1" x14ac:dyDescent="0.25">
      <c r="A44" s="148"/>
      <c r="B44" s="152"/>
      <c r="C44" s="868" t="s">
        <v>560</v>
      </c>
      <c r="D44" s="868"/>
      <c r="E44" s="868"/>
      <c r="F44" s="153" t="str">
        <f>IF($B44&lt;&gt;"",VLOOKUP($B44,PLANILHA_SINTÉTICA!$E:$P,9,0),"")</f>
        <v/>
      </c>
      <c r="G44" s="153" t="str">
        <f>IF($B44&lt;&gt;"",VLOOKUP($B44,PLANILHA_SINTÉTICA!$E:$P,10,0),"")</f>
        <v/>
      </c>
      <c r="H44" s="153" t="str">
        <f>IF($B44&lt;&gt;"",VLOOKUP($B44,PLANILHA_SINTÉTICA!$E:$P,12,0),"")</f>
        <v/>
      </c>
      <c r="I44" s="153" t="str">
        <f t="shared" ref="I44:I49" si="2">IF($B44&lt;&gt;"",(1+$J$10)*$H44," ")</f>
        <v xml:space="preserve"> </v>
      </c>
      <c r="J44" s="154" t="str">
        <f>IF($B44&lt;&gt;"",IF(OR($B44="",H44=0),0,$I44/$I$51),"")</f>
        <v/>
      </c>
      <c r="K44" s="140"/>
      <c r="L44" s="150"/>
      <c r="M44" s="150"/>
      <c r="N44" s="150"/>
      <c r="O44" s="150"/>
      <c r="P44" s="150"/>
      <c r="Q44" s="150"/>
      <c r="R44" s="150"/>
      <c r="S44" s="150"/>
      <c r="T44" s="150"/>
      <c r="U44" s="150"/>
      <c r="V44" s="150"/>
    </row>
    <row r="45" spans="1:22" ht="15.75" customHeight="1" x14ac:dyDescent="0.25">
      <c r="A45" s="155"/>
      <c r="B45" s="171">
        <v>24</v>
      </c>
      <c r="C45" s="873" t="str">
        <f>IF($B45&lt;&gt;"",VLOOKUP($B45,PLANILHA_SINTÉTICA!$E:$P,3,0),"")</f>
        <v>GRUPO GERADOR</v>
      </c>
      <c r="D45" s="873"/>
      <c r="E45" s="873"/>
      <c r="F45" s="157">
        <f>IF($B45&lt;&gt;"",VLOOKUP($B45,PLANILHA_SINTÉTICA!$E:$P,9,0),"")</f>
        <v>174370.05</v>
      </c>
      <c r="G45" s="157">
        <f>IF($B45&lt;&gt;"",VLOOKUP($B45,PLANILHA_SINTÉTICA!$E:$P,10,0),"")</f>
        <v>0</v>
      </c>
      <c r="H45" s="157">
        <f>IF($B45&lt;&gt;"",VLOOKUP($B45,PLANILHA_SINTÉTICA!$E:$P,12,0),"")</f>
        <v>174370.05</v>
      </c>
      <c r="I45" s="157">
        <f t="shared" si="2"/>
        <v>193735.93479192874</v>
      </c>
      <c r="J45" s="158">
        <f>IF($B45&lt;&gt;"",IF(OR($B45="",H45=0),0,$I45/$I$51),"")</f>
        <v>2.8921760239575909E-2</v>
      </c>
      <c r="K45" s="159"/>
      <c r="L45" s="159"/>
      <c r="M45" s="159"/>
      <c r="N45" s="140"/>
      <c r="O45" s="140"/>
      <c r="P45" s="140"/>
      <c r="Q45" s="140"/>
      <c r="R45" s="140"/>
      <c r="S45" s="140"/>
      <c r="T45" s="140"/>
      <c r="U45" s="140"/>
      <c r="V45" s="140"/>
    </row>
    <row r="46" spans="1:22" ht="15.75" customHeight="1" x14ac:dyDescent="0.25">
      <c r="A46" s="155"/>
      <c r="B46" s="171">
        <v>25</v>
      </c>
      <c r="C46" s="873" t="str">
        <f>IF($B46&lt;&gt;"",VLOOKUP($B46,PLANILHA_SINTÉTICA!$E:$P,3,0),"")</f>
        <v>EQUIPAMENTOS CABEAMENTO ESTRUTURADO</v>
      </c>
      <c r="D46" s="873"/>
      <c r="E46" s="873"/>
      <c r="F46" s="157">
        <f>IF($B46&lt;&gt;"",VLOOKUP($B46,PLANILHA_SINTÉTICA!$E:$P,9,0),"")</f>
        <v>41801.590000000004</v>
      </c>
      <c r="G46" s="157">
        <f>IF($B46&lt;&gt;"",VLOOKUP($B46,PLANILHA_SINTÉTICA!$E:$P,10,0),"")</f>
        <v>8260.98</v>
      </c>
      <c r="H46" s="157">
        <f>IF($B46&lt;&gt;"",VLOOKUP($B46,PLANILHA_SINTÉTICA!$E:$P,12,0),"")</f>
        <v>50062.57</v>
      </c>
      <c r="I46" s="157">
        <f t="shared" si="2"/>
        <v>55622.618660924672</v>
      </c>
      <c r="J46" s="158">
        <f>IF($B46&lt;&gt;"",IF(OR($B46="",H46=0),0,$I46/$I$51),"")</f>
        <v>8.3035913938029251E-3</v>
      </c>
      <c r="K46" s="159"/>
      <c r="L46" s="159"/>
      <c r="M46" s="159"/>
      <c r="N46" s="140"/>
      <c r="O46" s="140"/>
      <c r="P46" s="140"/>
      <c r="Q46" s="140"/>
      <c r="R46" s="140"/>
      <c r="S46" s="140"/>
      <c r="T46" s="140"/>
      <c r="U46" s="140"/>
      <c r="V46" s="140"/>
    </row>
    <row r="47" spans="1:22" ht="15.75" customHeight="1" x14ac:dyDescent="0.25">
      <c r="A47" s="155"/>
      <c r="B47" s="171">
        <v>26</v>
      </c>
      <c r="C47" s="873" t="str">
        <f>IF($B47&lt;&gt;"",VLOOKUP($B47,PLANILHA_SINTÉTICA!$E:$P,3,0),"")</f>
        <v>EQUIPAMENTOS CHAMADA DE ENFERMAGEM</v>
      </c>
      <c r="D47" s="873"/>
      <c r="E47" s="873"/>
      <c r="F47" s="157">
        <f>IF($B47&lt;&gt;"",VLOOKUP($B47,PLANILHA_SINTÉTICA!$E:$P,9,0),"")</f>
        <v>5029.54</v>
      </c>
      <c r="G47" s="157">
        <f>IF($B47&lt;&gt;"",VLOOKUP($B47,PLANILHA_SINTÉTICA!$E:$P,10,0),"")</f>
        <v>736.15</v>
      </c>
      <c r="H47" s="157">
        <f>IF($B47&lt;&gt;"",VLOOKUP($B47,PLANILHA_SINTÉTICA!$E:$P,12,0),"")</f>
        <v>5765.69</v>
      </c>
      <c r="I47" s="157">
        <f t="shared" si="2"/>
        <v>6406.0390065293641</v>
      </c>
      <c r="J47" s="158">
        <f>IF($B47&lt;&gt;"",IF(OR($B47="",H47=0),0,$I47/$I$51),"")</f>
        <v>9.5632193599600628E-4</v>
      </c>
      <c r="K47" s="159"/>
      <c r="L47" s="159"/>
      <c r="M47" s="159"/>
      <c r="N47" s="140"/>
      <c r="O47" s="140"/>
      <c r="P47" s="140"/>
      <c r="Q47" s="140"/>
      <c r="R47" s="140"/>
      <c r="S47" s="140"/>
      <c r="T47" s="140"/>
      <c r="U47" s="140"/>
      <c r="V47" s="140"/>
    </row>
    <row r="48" spans="1:22" ht="15.75" customHeight="1" x14ac:dyDescent="0.25">
      <c r="A48" s="155"/>
      <c r="B48" s="152">
        <v>29</v>
      </c>
      <c r="C48" s="873" t="str">
        <f>IF($B48&lt;&gt;"",VLOOKUP($B48,PLANILHA_SINTÉTICA!$E:$P,3,0),"")</f>
        <v>INSTALAÇÃO DE CLIMATIZAÇÃO  -  EQUIPAMENTOS (FANCOIL, UTAS, VENTILADORES, EVAPORADORES, CONDENSADORES, COMANDO)</v>
      </c>
      <c r="D48" s="873"/>
      <c r="E48" s="873"/>
      <c r="F48" s="157">
        <f>IF($B48&lt;&gt;"",VLOOKUP($B48,PLANILHA_SINTÉTICA!$E:$P,9,0),"")</f>
        <v>674639.26</v>
      </c>
      <c r="G48" s="157">
        <f>IF($B48&lt;&gt;"",VLOOKUP($B48,PLANILHA_SINTÉTICA!$E:$P,10,0),"")</f>
        <v>41725.300000000003</v>
      </c>
      <c r="H48" s="157">
        <f>IF($B48&lt;&gt;"",VLOOKUP($B48,PLANILHA_SINTÉTICA!$E:$P,12,0),"")</f>
        <v>716364.56</v>
      </c>
      <c r="I48" s="157">
        <f t="shared" si="2"/>
        <v>795925.43377379747</v>
      </c>
      <c r="J48" s="158">
        <f>IF($B48&lt;&gt;"",IF(OR($B48="",H48=0),0,$I48/$I$51),"")</f>
        <v>0.11881928145601435</v>
      </c>
      <c r="K48" s="159"/>
      <c r="L48" s="159"/>
      <c r="M48" s="159"/>
      <c r="N48" s="140"/>
      <c r="O48" s="140"/>
      <c r="P48" s="140"/>
      <c r="Q48" s="140"/>
      <c r="R48" s="140"/>
      <c r="S48" s="140"/>
      <c r="T48" s="140"/>
      <c r="U48" s="140"/>
      <c r="V48" s="140"/>
    </row>
    <row r="49" spans="1:22" ht="15.75" customHeight="1" x14ac:dyDescent="0.25">
      <c r="A49" s="155"/>
      <c r="B49" s="152">
        <v>30</v>
      </c>
      <c r="C49" s="873" t="str">
        <f>IF($B49&lt;&gt;"",VLOOKUP($B49,PLANILHA_SINTÉTICA!$E:$P,3,0),"")</f>
        <v>INSTALAÇÃO DE GASES MEDICIAIS - EQUIPAMENTOS</v>
      </c>
      <c r="D49" s="873"/>
      <c r="E49" s="873"/>
      <c r="F49" s="157">
        <f>IF($B49&lt;&gt;"",VLOOKUP($B49,PLANILHA_SINTÉTICA!$E:$P,9,0),"")</f>
        <v>127182.5</v>
      </c>
      <c r="G49" s="157">
        <f>IF($B49&lt;&gt;"",VLOOKUP($B49,PLANILHA_SINTÉTICA!$E:$P,10,0),"")</f>
        <v>1545.56</v>
      </c>
      <c r="H49" s="157">
        <f>IF($B49&lt;&gt;"",VLOOKUP($B49,PLANILHA_SINTÉTICA!$E:$P,12,0),"")</f>
        <v>128728.06</v>
      </c>
      <c r="I49" s="157">
        <f t="shared" si="2"/>
        <v>143024.85454383647</v>
      </c>
      <c r="J49" s="158">
        <f>IF($B49&lt;&gt;"",IF(OR($B49="",H49=0),0,$I49/$I$51),"")</f>
        <v>2.135138509982501E-2</v>
      </c>
      <c r="K49" s="159"/>
      <c r="L49" s="159"/>
      <c r="M49" s="159"/>
      <c r="N49" s="140"/>
      <c r="O49" s="140"/>
      <c r="P49" s="140"/>
      <c r="Q49" s="140"/>
      <c r="R49" s="140"/>
      <c r="S49" s="140"/>
      <c r="T49" s="140"/>
      <c r="U49" s="140"/>
      <c r="V49" s="140"/>
    </row>
    <row r="50" spans="1:22" ht="19.5" customHeight="1" x14ac:dyDescent="0.25">
      <c r="A50" s="172"/>
      <c r="B50" s="173"/>
      <c r="C50" s="174"/>
      <c r="D50" s="874" t="s">
        <v>563</v>
      </c>
      <c r="E50" s="874"/>
      <c r="F50" s="175">
        <f>SUMIF(F44:F49,"&gt;0",F44:F49)</f>
        <v>1023022.94</v>
      </c>
      <c r="G50" s="175">
        <f>SUMIF(G44:G49,"&gt;0",G44:G49)</f>
        <v>52267.99</v>
      </c>
      <c r="H50" s="175">
        <f>SUMIF(H44:H49,"&gt;0",H44:H49)</f>
        <v>1075290.9300000002</v>
      </c>
      <c r="I50" s="175">
        <f>SUMIF(I44:I49,"&gt;0",I44:I49)</f>
        <v>1194714.8807770167</v>
      </c>
      <c r="J50" s="176">
        <f>SUMIF(J44:J49,"&gt;0",J44:J49)</f>
        <v>0.1783523401252142</v>
      </c>
      <c r="K50" s="172"/>
      <c r="L50" s="159"/>
      <c r="M50" s="159"/>
      <c r="N50" s="172"/>
      <c r="O50" s="172"/>
      <c r="P50" s="172"/>
      <c r="Q50" s="172"/>
      <c r="R50" s="172"/>
      <c r="S50" s="172"/>
      <c r="T50" s="172"/>
      <c r="U50" s="172"/>
      <c r="V50" s="172"/>
    </row>
    <row r="51" spans="1:22" ht="19.5" customHeight="1" x14ac:dyDescent="0.25">
      <c r="A51" s="140"/>
      <c r="B51" s="875" t="s">
        <v>564</v>
      </c>
      <c r="C51" s="875"/>
      <c r="D51" s="875"/>
      <c r="E51" s="875"/>
      <c r="F51" s="177">
        <f>F42+F50</f>
        <v>4471280.6900000004</v>
      </c>
      <c r="G51" s="177">
        <f>G42+G50</f>
        <v>1176361.8499999999</v>
      </c>
      <c r="H51" s="177">
        <f>H42+H50</f>
        <v>5647642.540000001</v>
      </c>
      <c r="I51" s="178">
        <f>I42+I50</f>
        <v>6698621.8399952259</v>
      </c>
      <c r="J51" s="179">
        <f>J42+J50</f>
        <v>1</v>
      </c>
      <c r="K51" s="159"/>
      <c r="L51" s="159"/>
      <c r="M51" s="159"/>
      <c r="N51" s="140"/>
      <c r="O51" s="140"/>
      <c r="P51" s="140"/>
      <c r="Q51" s="140"/>
      <c r="R51" s="140"/>
      <c r="S51" s="140"/>
      <c r="T51" s="140"/>
      <c r="U51" s="140"/>
      <c r="V51" s="140"/>
    </row>
    <row r="52" spans="1:22" ht="15.75" customHeight="1" x14ac:dyDescent="0.25">
      <c r="A52" s="180"/>
      <c r="B52" s="173" t="s">
        <v>565</v>
      </c>
      <c r="C52" s="174"/>
      <c r="D52" s="174"/>
      <c r="E52" s="174"/>
      <c r="F52" s="181">
        <f>IF(H51=0,0,F51/$H$51)</f>
        <v>0.79170745285872846</v>
      </c>
      <c r="G52" s="181">
        <f>IF(H51=0,0,G51/$H$51)</f>
        <v>0.20829254714127138</v>
      </c>
      <c r="H52" s="181">
        <f>F52+G52</f>
        <v>0.99999999999999978</v>
      </c>
      <c r="I52" s="182" t="s">
        <v>566</v>
      </c>
      <c r="J52" s="183" t="s">
        <v>566</v>
      </c>
      <c r="K52" s="16"/>
      <c r="L52" s="16"/>
      <c r="M52" s="16"/>
      <c r="N52" s="16"/>
      <c r="O52" s="16"/>
      <c r="P52" s="16"/>
      <c r="Q52" s="16"/>
      <c r="R52" s="16"/>
      <c r="S52" s="16"/>
      <c r="T52" s="16"/>
      <c r="U52" s="16"/>
      <c r="V52" s="16"/>
    </row>
    <row r="53" spans="1:22" ht="15.75" customHeight="1" x14ac:dyDescent="0.25">
      <c r="A53" s="180"/>
      <c r="B53" s="876" t="s">
        <v>567</v>
      </c>
      <c r="C53" s="876"/>
      <c r="D53" s="876"/>
      <c r="E53" s="184">
        <f>IF('FOLHA FECHAMENTO'!$F$33&lt;&gt;"",'FOLHA FECHAMENTO'!$F$33," ")</f>
        <v>300</v>
      </c>
      <c r="F53" s="185"/>
      <c r="G53" s="186"/>
      <c r="H53" s="186"/>
      <c r="I53" s="186"/>
      <c r="J53" s="187"/>
      <c r="K53" s="16"/>
      <c r="L53" s="16"/>
      <c r="M53" s="16"/>
      <c r="N53" s="16"/>
      <c r="O53" s="16"/>
      <c r="P53" s="16"/>
      <c r="Q53" s="16"/>
      <c r="R53" s="16"/>
      <c r="S53" s="16"/>
      <c r="T53" s="16"/>
      <c r="U53" s="16"/>
      <c r="V53" s="16"/>
    </row>
    <row r="54" spans="1:22" ht="15.75" customHeight="1" x14ac:dyDescent="0.25">
      <c r="A54" s="180"/>
      <c r="B54" s="79"/>
      <c r="C54" s="79"/>
      <c r="D54" s="79"/>
      <c r="E54" s="79"/>
      <c r="F54" s="79"/>
      <c r="G54" s="79"/>
      <c r="H54" s="79"/>
      <c r="I54" s="79"/>
      <c r="J54" s="79"/>
      <c r="K54" s="16"/>
      <c r="L54" s="16"/>
      <c r="M54" s="16"/>
      <c r="N54" s="16"/>
      <c r="O54" s="16"/>
      <c r="P54" s="16"/>
      <c r="Q54" s="16"/>
      <c r="R54" s="16"/>
      <c r="S54" s="16"/>
      <c r="T54" s="16"/>
      <c r="U54" s="16"/>
      <c r="V54" s="16"/>
    </row>
    <row r="55" spans="1:22" ht="15.75" customHeight="1" x14ac:dyDescent="0.25">
      <c r="A55" s="16"/>
      <c r="B55" s="79"/>
      <c r="C55" s="79"/>
      <c r="D55" s="79"/>
      <c r="E55" s="79"/>
      <c r="F55" s="79"/>
      <c r="G55" s="79"/>
      <c r="H55" s="79"/>
      <c r="I55" s="79"/>
      <c r="J55" s="79"/>
      <c r="K55" s="16"/>
      <c r="L55" s="16"/>
      <c r="M55" s="16"/>
      <c r="N55" s="16"/>
      <c r="O55" s="16"/>
      <c r="P55" s="16"/>
      <c r="Q55" s="16"/>
      <c r="R55" s="16"/>
      <c r="S55" s="16"/>
      <c r="T55" s="16"/>
      <c r="U55" s="16"/>
      <c r="V55" s="16"/>
    </row>
    <row r="56" spans="1:22" ht="15.75" customHeight="1" x14ac:dyDescent="0.25">
      <c r="A56" s="16"/>
      <c r="B56" s="79"/>
      <c r="C56" s="79"/>
      <c r="D56" s="79"/>
      <c r="E56" s="79"/>
      <c r="F56" s="79"/>
      <c r="G56" s="79"/>
      <c r="H56" s="79"/>
      <c r="I56" s="79"/>
      <c r="J56" s="79"/>
      <c r="K56" s="16"/>
      <c r="L56" s="16"/>
      <c r="M56" s="16"/>
      <c r="N56" s="16"/>
      <c r="O56" s="16"/>
      <c r="P56" s="16"/>
      <c r="Q56" s="16"/>
      <c r="R56" s="16"/>
      <c r="S56" s="16"/>
      <c r="T56" s="16"/>
      <c r="U56" s="16"/>
      <c r="V56" s="16"/>
    </row>
    <row r="57" spans="1:22" ht="15.75" customHeight="1" x14ac:dyDescent="0.25">
      <c r="A57" s="16"/>
      <c r="B57" s="79"/>
      <c r="C57" s="79"/>
      <c r="D57" s="188"/>
      <c r="E57" s="79"/>
      <c r="F57" s="79"/>
      <c r="G57" s="79"/>
      <c r="H57" s="79"/>
      <c r="I57" s="79"/>
      <c r="J57" s="79"/>
      <c r="K57" s="16"/>
      <c r="L57" s="16"/>
      <c r="M57" s="16"/>
      <c r="N57" s="16"/>
      <c r="O57" s="16"/>
      <c r="P57" s="16"/>
      <c r="Q57" s="16"/>
      <c r="R57" s="16"/>
      <c r="S57" s="16"/>
      <c r="T57" s="16"/>
      <c r="U57" s="16"/>
      <c r="V57" s="16"/>
    </row>
    <row r="58" spans="1:22" ht="15.75" customHeight="1" x14ac:dyDescent="0.25">
      <c r="A58" s="16"/>
      <c r="B58" s="79"/>
      <c r="C58" s="877" t="str">
        <f>IF(DADOS!$D$24&lt;&gt;"",DADOS!$D$24," ")</f>
        <v>Erick William da Silva Damaceno</v>
      </c>
      <c r="D58" s="877"/>
      <c r="E58" s="877"/>
      <c r="F58" s="79"/>
      <c r="G58" s="79"/>
      <c r="H58" s="79"/>
      <c r="I58" s="79"/>
      <c r="J58" s="79"/>
      <c r="K58" s="16"/>
      <c r="L58" s="16"/>
      <c r="M58" s="16"/>
      <c r="N58" s="16"/>
      <c r="O58" s="16"/>
      <c r="P58" s="16"/>
      <c r="Q58" s="16"/>
      <c r="R58" s="16"/>
      <c r="S58" s="16"/>
      <c r="T58" s="16"/>
      <c r="U58" s="16"/>
      <c r="V58" s="16"/>
    </row>
    <row r="59" spans="1:22" ht="15.75" customHeight="1" x14ac:dyDescent="0.25">
      <c r="A59" s="16"/>
      <c r="B59" s="79"/>
      <c r="C59" s="79"/>
      <c r="D59" s="100" t="s">
        <v>568</v>
      </c>
      <c r="E59" s="39"/>
      <c r="F59" s="79"/>
      <c r="G59" s="79"/>
      <c r="H59" s="79"/>
      <c r="I59" s="79"/>
      <c r="J59" s="79"/>
      <c r="K59" s="16"/>
      <c r="L59" s="16"/>
      <c r="M59" s="16"/>
      <c r="N59" s="16"/>
      <c r="O59" s="16"/>
      <c r="P59" s="16"/>
      <c r="Q59" s="16"/>
      <c r="R59" s="16"/>
      <c r="S59" s="16"/>
      <c r="T59" s="16"/>
      <c r="U59" s="16"/>
      <c r="V59" s="16"/>
    </row>
    <row r="60" spans="1:22" ht="15.75" customHeight="1" x14ac:dyDescent="0.25">
      <c r="A60" s="16"/>
      <c r="B60" s="79"/>
      <c r="C60" s="79"/>
      <c r="D60" s="100" t="s">
        <v>569</v>
      </c>
      <c r="E60" s="190"/>
      <c r="F60" s="79"/>
      <c r="G60" s="79"/>
      <c r="H60" s="79"/>
      <c r="I60" s="79"/>
      <c r="J60" s="79"/>
      <c r="K60" s="16"/>
      <c r="L60" s="16"/>
      <c r="M60" s="16"/>
      <c r="N60" s="16"/>
      <c r="O60" s="16"/>
      <c r="P60" s="16"/>
      <c r="Q60" s="16"/>
      <c r="R60" s="16"/>
      <c r="S60" s="16"/>
      <c r="T60" s="16"/>
      <c r="U60" s="16"/>
      <c r="V60" s="16"/>
    </row>
    <row r="61" spans="1:22" ht="6" customHeight="1" x14ac:dyDescent="0.25">
      <c r="A61" s="16"/>
      <c r="B61" s="79"/>
      <c r="C61" s="79"/>
      <c r="D61" s="79"/>
      <c r="E61" s="79"/>
      <c r="F61" s="79"/>
      <c r="G61" s="79"/>
      <c r="H61" s="79"/>
      <c r="I61" s="79"/>
      <c r="J61" s="79"/>
      <c r="K61" s="16"/>
      <c r="L61" s="16"/>
      <c r="M61" s="16"/>
      <c r="N61" s="16"/>
      <c r="O61" s="16"/>
      <c r="P61" s="16"/>
      <c r="Q61" s="16"/>
      <c r="R61" s="16"/>
      <c r="S61" s="16"/>
      <c r="T61" s="16"/>
      <c r="U61" s="16"/>
      <c r="V61" s="16"/>
    </row>
    <row r="62" spans="1:22" ht="15.75" customHeight="1" x14ac:dyDescent="0.25">
      <c r="A62" s="16"/>
      <c r="B62" s="79"/>
      <c r="C62" s="79"/>
      <c r="D62" s="79"/>
      <c r="E62" s="79"/>
      <c r="F62" s="79"/>
      <c r="G62" s="79"/>
      <c r="H62" s="191"/>
      <c r="I62" s="79"/>
      <c r="J62" s="79"/>
      <c r="K62" s="16"/>
      <c r="L62" s="16"/>
      <c r="M62" s="16"/>
      <c r="N62" s="16"/>
      <c r="O62" s="16"/>
      <c r="P62" s="16"/>
      <c r="Q62" s="16"/>
      <c r="R62" s="16"/>
      <c r="S62" s="16"/>
      <c r="T62" s="16"/>
      <c r="U62" s="16"/>
      <c r="V62" s="16"/>
    </row>
    <row r="63" spans="1:22" ht="15.75" customHeight="1" x14ac:dyDescent="0.25">
      <c r="A63" s="16"/>
      <c r="B63" s="79"/>
      <c r="C63" s="79"/>
      <c r="D63" s="79"/>
      <c r="E63" s="79"/>
      <c r="F63" s="79"/>
      <c r="G63" s="79"/>
      <c r="H63" s="79"/>
      <c r="I63" s="79"/>
      <c r="J63" s="79"/>
      <c r="K63" s="16"/>
      <c r="L63" s="16"/>
      <c r="M63" s="16"/>
      <c r="N63" s="16"/>
      <c r="O63" s="16"/>
      <c r="P63" s="16"/>
      <c r="Q63" s="16"/>
      <c r="R63" s="16"/>
      <c r="S63" s="16"/>
      <c r="T63" s="16"/>
      <c r="U63" s="16"/>
      <c r="V63" s="16"/>
    </row>
    <row r="64" spans="1:22" ht="15.75" customHeight="1" x14ac:dyDescent="0.25">
      <c r="A64" s="16"/>
      <c r="B64" s="79"/>
      <c r="C64" s="79"/>
      <c r="D64" s="79"/>
      <c r="E64" s="79"/>
      <c r="F64" s="79"/>
      <c r="G64" s="79"/>
      <c r="H64" s="79"/>
      <c r="I64" s="79"/>
      <c r="J64" s="79"/>
      <c r="K64" s="16"/>
      <c r="L64" s="16"/>
      <c r="M64" s="16"/>
      <c r="N64" s="16"/>
      <c r="O64" s="16"/>
      <c r="P64" s="16"/>
      <c r="Q64" s="16"/>
      <c r="R64" s="16"/>
      <c r="S64" s="16"/>
      <c r="T64" s="16"/>
      <c r="U64" s="16"/>
      <c r="V64" s="16"/>
    </row>
    <row r="65" spans="1:22" ht="15.75" customHeight="1" x14ac:dyDescent="0.25">
      <c r="A65" s="16"/>
      <c r="B65" s="79"/>
      <c r="C65" s="79"/>
      <c r="D65" s="79"/>
      <c r="E65" s="16"/>
      <c r="F65" s="16"/>
      <c r="G65" s="16"/>
      <c r="H65" s="16"/>
      <c r="I65" s="16"/>
      <c r="J65" s="16"/>
      <c r="K65" s="16"/>
      <c r="L65" s="16"/>
      <c r="M65" s="16"/>
      <c r="N65" s="16"/>
      <c r="O65" s="16"/>
      <c r="P65" s="16"/>
      <c r="Q65" s="16"/>
      <c r="R65" s="16"/>
      <c r="S65" s="16"/>
      <c r="T65" s="16"/>
      <c r="U65" s="16"/>
      <c r="V65" s="16"/>
    </row>
    <row r="66" spans="1:22" ht="15.75" customHeight="1" x14ac:dyDescent="0.25">
      <c r="A66" s="16"/>
      <c r="B66" s="79"/>
      <c r="C66" s="79"/>
      <c r="D66" s="79"/>
      <c r="E66" s="16"/>
      <c r="F66" s="16"/>
      <c r="G66" s="16"/>
      <c r="H66" s="16"/>
      <c r="I66" s="16"/>
      <c r="J66" s="16"/>
      <c r="K66" s="16"/>
      <c r="L66" s="16"/>
      <c r="M66" s="16"/>
      <c r="N66" s="16"/>
      <c r="O66" s="16"/>
      <c r="P66" s="16"/>
      <c r="Q66" s="16"/>
      <c r="R66" s="16"/>
      <c r="S66" s="16"/>
      <c r="T66" s="16"/>
      <c r="U66" s="16"/>
      <c r="V66" s="16"/>
    </row>
    <row r="67" spans="1:22" ht="15.75" customHeight="1" x14ac:dyDescent="0.25">
      <c r="A67" s="16"/>
      <c r="B67" s="79"/>
      <c r="C67" s="79"/>
      <c r="D67" s="79"/>
      <c r="E67" s="16"/>
      <c r="F67" s="16"/>
      <c r="G67" s="16"/>
      <c r="H67" s="16"/>
      <c r="I67" s="16"/>
      <c r="J67" s="16"/>
      <c r="K67" s="16"/>
      <c r="L67" s="16"/>
      <c r="M67" s="16"/>
      <c r="N67" s="16"/>
      <c r="O67" s="16"/>
      <c r="P67" s="16"/>
      <c r="Q67" s="16"/>
      <c r="R67" s="16"/>
      <c r="S67" s="16"/>
      <c r="T67" s="16"/>
      <c r="U67" s="16"/>
      <c r="V67" s="16"/>
    </row>
    <row r="68" spans="1:22" ht="15.75" customHeight="1" x14ac:dyDescent="0.25">
      <c r="A68" s="16"/>
      <c r="B68" s="79"/>
      <c r="C68" s="79"/>
      <c r="D68" s="79"/>
      <c r="E68" s="16"/>
      <c r="F68" s="16"/>
      <c r="G68" s="16"/>
      <c r="H68" s="16"/>
      <c r="I68" s="16"/>
      <c r="J68" s="16"/>
      <c r="K68" s="16"/>
      <c r="L68" s="16"/>
      <c r="M68" s="16"/>
      <c r="N68" s="16"/>
      <c r="O68" s="16"/>
      <c r="P68" s="16"/>
      <c r="Q68" s="16"/>
      <c r="R68" s="16"/>
      <c r="S68" s="16"/>
      <c r="T68" s="16"/>
      <c r="U68" s="16"/>
      <c r="V68" s="16"/>
    </row>
    <row r="69" spans="1:22" ht="15.75" customHeight="1" x14ac:dyDescent="0.25">
      <c r="A69" s="16"/>
      <c r="B69" s="79"/>
      <c r="C69" s="79"/>
      <c r="D69" s="79"/>
      <c r="E69" s="16"/>
      <c r="F69" s="16"/>
      <c r="G69" s="16"/>
      <c r="H69" s="16"/>
      <c r="I69" s="16"/>
      <c r="J69" s="16"/>
      <c r="K69" s="16"/>
      <c r="L69" s="16"/>
      <c r="M69" s="16"/>
      <c r="N69" s="16"/>
      <c r="O69" s="16"/>
      <c r="P69" s="16"/>
      <c r="Q69" s="16"/>
      <c r="R69" s="16"/>
      <c r="S69" s="16"/>
      <c r="T69" s="16"/>
      <c r="U69" s="16"/>
      <c r="V69" s="16"/>
    </row>
    <row r="70" spans="1:22" ht="15.75" customHeight="1" x14ac:dyDescent="0.25">
      <c r="A70" s="16"/>
      <c r="B70" s="16"/>
      <c r="C70" s="16"/>
      <c r="D70" s="16"/>
      <c r="E70" s="16"/>
      <c r="F70" s="16"/>
      <c r="G70" s="16"/>
      <c r="H70" s="16"/>
      <c r="I70" s="16"/>
      <c r="J70" s="16"/>
      <c r="K70" s="16"/>
      <c r="L70" s="16"/>
      <c r="M70" s="16"/>
      <c r="N70" s="16"/>
      <c r="O70" s="16"/>
      <c r="P70" s="16"/>
      <c r="Q70" s="16"/>
      <c r="R70" s="16"/>
      <c r="S70" s="16"/>
      <c r="T70" s="16"/>
      <c r="U70" s="16"/>
      <c r="V70" s="16"/>
    </row>
    <row r="71" spans="1:22" ht="15.75" customHeight="1" x14ac:dyDescent="0.25">
      <c r="A71" s="16"/>
      <c r="B71" s="16"/>
      <c r="C71" s="16"/>
      <c r="D71" s="16"/>
      <c r="E71" s="16"/>
      <c r="F71" s="16"/>
      <c r="G71" s="16"/>
      <c r="H71" s="16"/>
      <c r="I71" s="16"/>
      <c r="J71" s="16"/>
      <c r="K71" s="16"/>
      <c r="L71" s="16"/>
      <c r="M71" s="16"/>
      <c r="N71" s="16"/>
      <c r="O71" s="16"/>
      <c r="P71" s="16"/>
      <c r="Q71" s="16"/>
      <c r="R71" s="16"/>
      <c r="S71" s="16"/>
      <c r="T71" s="16"/>
      <c r="U71" s="16"/>
      <c r="V71" s="16"/>
    </row>
    <row r="72" spans="1:22" ht="15.75" customHeight="1" x14ac:dyDescent="0.25">
      <c r="A72" s="16"/>
      <c r="B72" s="16"/>
      <c r="C72" s="16"/>
      <c r="D72" s="16"/>
      <c r="E72" s="16"/>
      <c r="F72" s="16"/>
      <c r="G72" s="16"/>
      <c r="H72" s="16"/>
      <c r="I72" s="16"/>
      <c r="J72" s="16"/>
      <c r="K72" s="16"/>
      <c r="L72" s="16"/>
      <c r="M72" s="16"/>
      <c r="N72" s="16"/>
      <c r="O72" s="16"/>
      <c r="P72" s="16"/>
      <c r="Q72" s="16"/>
      <c r="R72" s="16"/>
      <c r="S72" s="16"/>
      <c r="T72" s="16"/>
      <c r="U72" s="16"/>
      <c r="V72" s="16"/>
    </row>
    <row r="73" spans="1:22" ht="15.75" customHeight="1" x14ac:dyDescent="0.25">
      <c r="A73" s="16"/>
      <c r="B73" s="16"/>
      <c r="C73" s="16"/>
      <c r="D73" s="16"/>
      <c r="E73" s="16"/>
      <c r="F73" s="16"/>
      <c r="G73" s="16"/>
      <c r="H73" s="16"/>
      <c r="I73" s="16"/>
      <c r="J73" s="16"/>
      <c r="K73" s="16"/>
      <c r="L73" s="16"/>
      <c r="M73" s="16"/>
      <c r="N73" s="16"/>
      <c r="O73" s="16"/>
      <c r="P73" s="16"/>
      <c r="Q73" s="16"/>
      <c r="R73" s="16"/>
      <c r="S73" s="16"/>
      <c r="T73" s="16"/>
      <c r="U73" s="16"/>
      <c r="V73" s="16"/>
    </row>
    <row r="74" spans="1:22" ht="15.75" customHeight="1" x14ac:dyDescent="0.25">
      <c r="A74" s="16"/>
      <c r="B74" s="16"/>
      <c r="C74" s="16"/>
      <c r="D74" s="16"/>
      <c r="E74" s="16"/>
      <c r="F74" s="16"/>
      <c r="G74" s="16"/>
      <c r="H74" s="16"/>
      <c r="I74" s="16"/>
      <c r="J74" s="16"/>
      <c r="K74" s="16"/>
      <c r="L74" s="16"/>
      <c r="M74" s="16"/>
      <c r="N74" s="16"/>
      <c r="O74" s="16"/>
      <c r="P74" s="16"/>
      <c r="Q74" s="16"/>
      <c r="R74" s="16"/>
      <c r="S74" s="16"/>
      <c r="T74" s="16"/>
      <c r="U74" s="16"/>
      <c r="V74" s="16"/>
    </row>
    <row r="75" spans="1:22" ht="15.75" customHeight="1" x14ac:dyDescent="0.25">
      <c r="A75" s="16"/>
      <c r="B75" s="16"/>
      <c r="C75" s="16"/>
      <c r="D75" s="16"/>
      <c r="E75" s="16"/>
      <c r="F75" s="16"/>
      <c r="G75" s="16"/>
      <c r="H75" s="16"/>
      <c r="I75" s="16"/>
      <c r="J75" s="16"/>
      <c r="K75" s="16"/>
      <c r="L75" s="16"/>
      <c r="M75" s="16"/>
      <c r="N75" s="16"/>
      <c r="O75" s="16"/>
      <c r="P75" s="16"/>
      <c r="Q75" s="16"/>
      <c r="R75" s="16"/>
      <c r="S75" s="16"/>
      <c r="T75" s="16"/>
      <c r="U75" s="16"/>
      <c r="V75" s="16"/>
    </row>
    <row r="76" spans="1:22" ht="15.75" customHeight="1" x14ac:dyDescent="0.25">
      <c r="A76" s="16"/>
      <c r="B76" s="16"/>
      <c r="C76" s="16"/>
      <c r="D76" s="16"/>
      <c r="E76" s="16"/>
      <c r="F76" s="16"/>
      <c r="G76" s="16"/>
      <c r="H76" s="16"/>
      <c r="I76" s="16"/>
      <c r="J76" s="16"/>
      <c r="K76" s="16"/>
      <c r="L76" s="16"/>
      <c r="M76" s="16"/>
      <c r="N76" s="16"/>
      <c r="O76" s="16"/>
      <c r="P76" s="16"/>
      <c r="Q76" s="16"/>
      <c r="R76" s="16"/>
      <c r="S76" s="16"/>
      <c r="T76" s="16"/>
      <c r="U76" s="16"/>
      <c r="V76" s="16"/>
    </row>
    <row r="77" spans="1:22" ht="15.75" customHeight="1" x14ac:dyDescent="0.25">
      <c r="A77" s="16"/>
      <c r="B77" s="16"/>
      <c r="C77" s="16"/>
      <c r="D77" s="16"/>
      <c r="E77" s="16"/>
      <c r="F77" s="16"/>
      <c r="G77" s="16"/>
      <c r="H77" s="16"/>
      <c r="I77" s="16"/>
      <c r="J77" s="16"/>
      <c r="K77" s="16"/>
      <c r="L77" s="16"/>
      <c r="M77" s="16"/>
      <c r="N77" s="16"/>
      <c r="O77" s="16"/>
      <c r="P77" s="16"/>
      <c r="Q77" s="16"/>
      <c r="R77" s="16"/>
      <c r="S77" s="16"/>
      <c r="T77" s="16"/>
      <c r="U77" s="16"/>
      <c r="V77" s="16"/>
    </row>
    <row r="78" spans="1:22" ht="15.75" customHeight="1" x14ac:dyDescent="0.25">
      <c r="A78" s="16"/>
      <c r="B78" s="16"/>
      <c r="C78" s="16"/>
      <c r="D78" s="16"/>
      <c r="E78" s="16"/>
      <c r="F78" s="16"/>
      <c r="G78" s="16"/>
      <c r="H78" s="16"/>
      <c r="I78" s="16"/>
      <c r="J78" s="16"/>
      <c r="K78" s="16"/>
      <c r="L78" s="16"/>
      <c r="M78" s="16"/>
      <c r="N78" s="16"/>
      <c r="O78" s="16"/>
      <c r="P78" s="16"/>
      <c r="Q78" s="16"/>
      <c r="R78" s="16"/>
      <c r="S78" s="16"/>
      <c r="T78" s="16"/>
      <c r="U78" s="16"/>
      <c r="V78" s="16"/>
    </row>
    <row r="79" spans="1:22" ht="15.75" customHeight="1" x14ac:dyDescent="0.25">
      <c r="A79" s="16"/>
      <c r="B79" s="16"/>
      <c r="C79" s="16"/>
      <c r="D79" s="16"/>
      <c r="E79" s="16"/>
      <c r="F79" s="16"/>
      <c r="G79" s="16"/>
      <c r="H79" s="16"/>
      <c r="I79" s="16"/>
      <c r="J79" s="16"/>
      <c r="K79" s="16"/>
      <c r="L79" s="16"/>
      <c r="M79" s="16"/>
      <c r="N79" s="16"/>
      <c r="O79" s="16"/>
      <c r="P79" s="16"/>
      <c r="Q79" s="16"/>
      <c r="R79" s="16"/>
      <c r="S79" s="16"/>
      <c r="T79" s="16"/>
      <c r="U79" s="16"/>
      <c r="V79" s="16"/>
    </row>
    <row r="80" spans="1:22" ht="15.75" customHeight="1" x14ac:dyDescent="0.25">
      <c r="A80" s="16"/>
      <c r="B80" s="16"/>
      <c r="C80" s="16"/>
      <c r="D80" s="16"/>
      <c r="E80" s="16"/>
      <c r="F80" s="16"/>
      <c r="G80" s="16"/>
      <c r="H80" s="16"/>
      <c r="I80" s="16"/>
      <c r="J80" s="16"/>
      <c r="K80" s="16"/>
      <c r="L80" s="16"/>
      <c r="M80" s="16"/>
      <c r="N80" s="16"/>
      <c r="O80" s="16"/>
      <c r="P80" s="16"/>
      <c r="Q80" s="16"/>
      <c r="R80" s="16"/>
      <c r="S80" s="16"/>
      <c r="T80" s="16"/>
      <c r="U80" s="16"/>
      <c r="V80" s="16"/>
    </row>
    <row r="81" spans="1:22" ht="15.75" customHeight="1" x14ac:dyDescent="0.25">
      <c r="A81" s="16"/>
      <c r="B81" s="16"/>
      <c r="C81" s="16"/>
      <c r="D81" s="16"/>
      <c r="E81" s="16"/>
      <c r="F81" s="16"/>
      <c r="G81" s="16"/>
      <c r="H81" s="16"/>
      <c r="I81" s="16"/>
      <c r="J81" s="16"/>
      <c r="K81" s="16"/>
      <c r="L81" s="16"/>
      <c r="M81" s="16"/>
      <c r="N81" s="16"/>
      <c r="O81" s="16"/>
      <c r="P81" s="16"/>
      <c r="Q81" s="16"/>
      <c r="R81" s="16"/>
      <c r="S81" s="16"/>
      <c r="T81" s="16"/>
      <c r="U81" s="16"/>
      <c r="V81" s="16"/>
    </row>
    <row r="82" spans="1:22" ht="15.75" customHeight="1" x14ac:dyDescent="0.25">
      <c r="A82" s="16"/>
      <c r="B82" s="16"/>
      <c r="C82" s="16"/>
      <c r="D82" s="16"/>
      <c r="E82" s="16"/>
      <c r="F82" s="16"/>
      <c r="G82" s="16"/>
      <c r="H82" s="16"/>
      <c r="I82" s="16"/>
      <c r="J82" s="16"/>
      <c r="K82" s="16"/>
      <c r="L82" s="16"/>
      <c r="M82" s="16"/>
      <c r="N82" s="16"/>
      <c r="O82" s="16"/>
      <c r="P82" s="16"/>
      <c r="Q82" s="16"/>
      <c r="R82" s="16"/>
      <c r="S82" s="16"/>
      <c r="T82" s="16"/>
      <c r="U82" s="16"/>
      <c r="V82" s="16"/>
    </row>
    <row r="83" spans="1:22" ht="15.75" customHeight="1" x14ac:dyDescent="0.25">
      <c r="A83" s="16"/>
      <c r="B83" s="16"/>
      <c r="C83" s="16"/>
      <c r="D83" s="16"/>
      <c r="E83" s="16"/>
      <c r="F83" s="16"/>
      <c r="G83" s="16"/>
      <c r="H83" s="16"/>
      <c r="I83" s="16"/>
      <c r="J83" s="16"/>
      <c r="K83" s="16"/>
      <c r="L83" s="16"/>
      <c r="M83" s="16"/>
      <c r="N83" s="16"/>
      <c r="O83" s="16"/>
      <c r="P83" s="16"/>
      <c r="Q83" s="16"/>
      <c r="R83" s="16"/>
      <c r="S83" s="16"/>
      <c r="T83" s="16"/>
      <c r="U83" s="16"/>
      <c r="V83" s="16"/>
    </row>
    <row r="84" spans="1:22" ht="15.75" customHeight="1" x14ac:dyDescent="0.25">
      <c r="A84" s="16"/>
      <c r="B84" s="16"/>
      <c r="C84" s="16"/>
      <c r="D84" s="16"/>
      <c r="E84" s="16"/>
      <c r="F84" s="16"/>
      <c r="G84" s="16"/>
      <c r="H84" s="16"/>
      <c r="I84" s="16"/>
      <c r="J84" s="16"/>
      <c r="K84" s="16"/>
      <c r="L84" s="16"/>
      <c r="M84" s="16"/>
      <c r="N84" s="16"/>
      <c r="O84" s="16"/>
      <c r="P84" s="16"/>
      <c r="Q84" s="16"/>
      <c r="R84" s="16"/>
      <c r="S84" s="16"/>
      <c r="T84" s="16"/>
      <c r="U84" s="16"/>
      <c r="V84" s="16"/>
    </row>
    <row r="85" spans="1:22" ht="15.75" customHeight="1" x14ac:dyDescent="0.25">
      <c r="A85" s="16"/>
      <c r="B85" s="16"/>
      <c r="C85" s="16"/>
      <c r="D85" s="16"/>
      <c r="E85" s="16"/>
      <c r="F85" s="16"/>
      <c r="G85" s="16"/>
      <c r="H85" s="16"/>
      <c r="I85" s="16"/>
      <c r="J85" s="16"/>
      <c r="K85" s="16"/>
      <c r="L85" s="16"/>
      <c r="M85" s="16"/>
      <c r="N85" s="16"/>
      <c r="O85" s="16"/>
      <c r="P85" s="16"/>
      <c r="Q85" s="16"/>
      <c r="R85" s="16"/>
      <c r="S85" s="16"/>
      <c r="T85" s="16"/>
      <c r="U85" s="16"/>
      <c r="V85" s="16"/>
    </row>
    <row r="86" spans="1:22" ht="15.75" customHeight="1" x14ac:dyDescent="0.25">
      <c r="A86" s="16"/>
      <c r="B86" s="16"/>
      <c r="C86" s="16"/>
      <c r="D86" s="16"/>
      <c r="E86" s="16"/>
      <c r="F86" s="16"/>
      <c r="G86" s="16"/>
      <c r="H86" s="16"/>
      <c r="I86" s="16"/>
      <c r="J86" s="16"/>
      <c r="K86" s="16"/>
      <c r="L86" s="16"/>
      <c r="M86" s="16"/>
      <c r="N86" s="16"/>
      <c r="O86" s="16"/>
      <c r="P86" s="16"/>
      <c r="Q86" s="16"/>
      <c r="R86" s="16"/>
      <c r="S86" s="16"/>
      <c r="T86" s="16"/>
      <c r="U86" s="16"/>
      <c r="V86" s="16"/>
    </row>
    <row r="87" spans="1:22" ht="15.75" customHeight="1" x14ac:dyDescent="0.25">
      <c r="A87" s="16"/>
      <c r="B87" s="16"/>
      <c r="C87" s="16"/>
      <c r="D87" s="16"/>
      <c r="E87" s="16"/>
      <c r="F87" s="16"/>
      <c r="G87" s="16"/>
      <c r="H87" s="16"/>
      <c r="I87" s="16"/>
      <c r="J87" s="16"/>
      <c r="K87" s="16"/>
      <c r="L87" s="16"/>
      <c r="M87" s="16"/>
      <c r="N87" s="16"/>
      <c r="O87" s="16"/>
      <c r="P87" s="16"/>
      <c r="Q87" s="16"/>
      <c r="R87" s="16"/>
      <c r="S87" s="16"/>
      <c r="T87" s="16"/>
      <c r="U87" s="16"/>
      <c r="V87" s="16"/>
    </row>
    <row r="88" spans="1:22" ht="15.75" customHeight="1" x14ac:dyDescent="0.25">
      <c r="A88" s="16"/>
      <c r="B88" s="16"/>
      <c r="C88" s="16"/>
      <c r="D88" s="16"/>
      <c r="E88" s="16"/>
      <c r="F88" s="16"/>
      <c r="G88" s="16"/>
      <c r="H88" s="16"/>
      <c r="I88" s="16"/>
      <c r="J88" s="16"/>
      <c r="K88" s="16"/>
      <c r="L88" s="16"/>
      <c r="M88" s="16"/>
      <c r="N88" s="16"/>
      <c r="O88" s="16"/>
      <c r="P88" s="16"/>
      <c r="Q88" s="16"/>
      <c r="R88" s="16"/>
      <c r="S88" s="16"/>
      <c r="T88" s="16"/>
      <c r="U88" s="16"/>
      <c r="V88" s="16"/>
    </row>
    <row r="89" spans="1:22" ht="15.75" customHeight="1" x14ac:dyDescent="0.25">
      <c r="A89" s="16"/>
      <c r="B89" s="16"/>
      <c r="C89" s="16"/>
      <c r="D89" s="16"/>
      <c r="E89" s="16"/>
      <c r="F89" s="16"/>
      <c r="G89" s="16"/>
      <c r="H89" s="16"/>
      <c r="I89" s="16"/>
      <c r="J89" s="16"/>
      <c r="K89" s="16"/>
      <c r="L89" s="16"/>
      <c r="M89" s="16"/>
      <c r="N89" s="16"/>
      <c r="O89" s="16"/>
      <c r="P89" s="16"/>
      <c r="Q89" s="16"/>
      <c r="R89" s="16"/>
      <c r="S89" s="16"/>
      <c r="T89" s="16"/>
      <c r="U89" s="16"/>
      <c r="V89" s="16"/>
    </row>
    <row r="90" spans="1:22" ht="15.75" customHeight="1" x14ac:dyDescent="0.25">
      <c r="A90" s="16"/>
      <c r="B90" s="16"/>
      <c r="C90" s="16"/>
      <c r="D90" s="16"/>
      <c r="E90" s="16"/>
      <c r="F90" s="16"/>
      <c r="G90" s="16"/>
      <c r="H90" s="16"/>
      <c r="I90" s="16"/>
      <c r="J90" s="16"/>
      <c r="K90" s="16"/>
      <c r="L90" s="16"/>
      <c r="M90" s="16"/>
      <c r="N90" s="16"/>
      <c r="O90" s="16"/>
      <c r="P90" s="16"/>
      <c r="Q90" s="16"/>
      <c r="R90" s="16"/>
      <c r="S90" s="16"/>
      <c r="T90" s="16"/>
      <c r="U90" s="16"/>
      <c r="V90" s="16"/>
    </row>
    <row r="91" spans="1:22" ht="15.75" customHeight="1" x14ac:dyDescent="0.25">
      <c r="A91" s="16"/>
      <c r="B91" s="16"/>
      <c r="C91" s="16"/>
      <c r="D91" s="16"/>
      <c r="E91" s="16"/>
      <c r="F91" s="16"/>
      <c r="G91" s="16"/>
      <c r="H91" s="16"/>
      <c r="I91" s="16"/>
      <c r="J91" s="16"/>
      <c r="K91" s="16"/>
      <c r="L91" s="16"/>
      <c r="M91" s="16"/>
      <c r="N91" s="16"/>
      <c r="O91" s="16"/>
      <c r="P91" s="16"/>
      <c r="Q91" s="16"/>
      <c r="R91" s="16"/>
      <c r="S91" s="16"/>
      <c r="T91" s="16"/>
      <c r="U91" s="16"/>
      <c r="V91" s="16"/>
    </row>
    <row r="92" spans="1:22" ht="15.75" customHeight="1" x14ac:dyDescent="0.25">
      <c r="A92" s="16"/>
      <c r="B92" s="16"/>
      <c r="C92" s="16"/>
      <c r="D92" s="16"/>
      <c r="E92" s="16"/>
      <c r="F92" s="16"/>
      <c r="G92" s="16"/>
      <c r="H92" s="16"/>
      <c r="I92" s="16"/>
      <c r="J92" s="16"/>
      <c r="K92" s="16"/>
      <c r="L92" s="16"/>
      <c r="M92" s="16"/>
      <c r="N92" s="16"/>
      <c r="O92" s="16"/>
      <c r="P92" s="16"/>
      <c r="Q92" s="16"/>
      <c r="R92" s="16"/>
      <c r="S92" s="16"/>
      <c r="T92" s="16"/>
      <c r="U92" s="16"/>
      <c r="V92" s="16"/>
    </row>
    <row r="93" spans="1:22" ht="15.75" customHeight="1" x14ac:dyDescent="0.25">
      <c r="A93" s="16"/>
      <c r="B93" s="16"/>
      <c r="C93" s="16"/>
      <c r="D93" s="16"/>
      <c r="E93" s="16"/>
      <c r="F93" s="16"/>
      <c r="G93" s="16"/>
      <c r="H93" s="16"/>
      <c r="I93" s="16"/>
      <c r="J93" s="16"/>
      <c r="K93" s="16"/>
      <c r="L93" s="16"/>
      <c r="M93" s="16"/>
      <c r="N93" s="16"/>
      <c r="O93" s="16"/>
      <c r="P93" s="16"/>
      <c r="Q93" s="16"/>
      <c r="R93" s="16"/>
      <c r="S93" s="16"/>
      <c r="T93" s="16"/>
      <c r="U93" s="16"/>
      <c r="V93" s="16"/>
    </row>
    <row r="94" spans="1:22" ht="15.75" customHeight="1" x14ac:dyDescent="0.25">
      <c r="A94" s="16"/>
      <c r="B94" s="16"/>
      <c r="C94" s="16"/>
      <c r="D94" s="16"/>
      <c r="E94" s="16"/>
      <c r="F94" s="16"/>
      <c r="G94" s="16"/>
      <c r="H94" s="16"/>
      <c r="I94" s="16"/>
      <c r="J94" s="16"/>
      <c r="K94" s="16"/>
      <c r="L94" s="16"/>
      <c r="M94" s="16"/>
      <c r="N94" s="16"/>
      <c r="O94" s="16"/>
      <c r="P94" s="16"/>
      <c r="Q94" s="16"/>
      <c r="R94" s="16"/>
      <c r="S94" s="16"/>
      <c r="T94" s="16"/>
      <c r="U94" s="16"/>
      <c r="V94" s="16"/>
    </row>
    <row r="95" spans="1:22" ht="15.75" customHeight="1" x14ac:dyDescent="0.25">
      <c r="A95" s="16"/>
      <c r="B95" s="16"/>
      <c r="C95" s="16"/>
      <c r="D95" s="16"/>
      <c r="E95" s="16"/>
      <c r="F95" s="16"/>
      <c r="G95" s="16"/>
      <c r="H95" s="16"/>
      <c r="I95" s="16"/>
      <c r="J95" s="16"/>
      <c r="K95" s="16"/>
      <c r="L95" s="16"/>
      <c r="M95" s="16"/>
      <c r="N95" s="16"/>
      <c r="O95" s="16"/>
      <c r="P95" s="16"/>
      <c r="Q95" s="16"/>
      <c r="R95" s="16"/>
      <c r="S95" s="16"/>
      <c r="T95" s="16"/>
      <c r="U95" s="16"/>
      <c r="V95" s="16"/>
    </row>
    <row r="96" spans="1:22" ht="15.75" customHeight="1" x14ac:dyDescent="0.25">
      <c r="A96" s="16"/>
      <c r="B96" s="16"/>
      <c r="C96" s="16"/>
      <c r="D96" s="16"/>
      <c r="E96" s="16"/>
      <c r="F96" s="16"/>
      <c r="G96" s="16"/>
      <c r="H96" s="16"/>
      <c r="I96" s="16"/>
      <c r="J96" s="16"/>
      <c r="K96" s="16"/>
      <c r="L96" s="16"/>
      <c r="M96" s="16"/>
      <c r="N96" s="16"/>
      <c r="O96" s="16"/>
      <c r="P96" s="16"/>
      <c r="Q96" s="16"/>
      <c r="R96" s="16"/>
      <c r="S96" s="16"/>
      <c r="T96" s="16"/>
      <c r="U96" s="16"/>
      <c r="V96" s="16"/>
    </row>
    <row r="97" spans="1:22" ht="15.75" customHeight="1" x14ac:dyDescent="0.25">
      <c r="A97" s="16"/>
      <c r="B97" s="16"/>
      <c r="C97" s="16"/>
      <c r="D97" s="16"/>
      <c r="E97" s="16"/>
      <c r="F97" s="16"/>
      <c r="G97" s="16"/>
      <c r="H97" s="16"/>
      <c r="I97" s="16"/>
      <c r="J97" s="16"/>
      <c r="K97" s="16"/>
      <c r="L97" s="16"/>
      <c r="M97" s="16"/>
      <c r="N97" s="16"/>
      <c r="O97" s="16"/>
      <c r="P97" s="16"/>
      <c r="Q97" s="16"/>
      <c r="R97" s="16"/>
      <c r="S97" s="16"/>
      <c r="T97" s="16"/>
      <c r="U97" s="16"/>
      <c r="V97" s="16"/>
    </row>
    <row r="98" spans="1:22" ht="15.75" customHeight="1" x14ac:dyDescent="0.25">
      <c r="A98" s="16"/>
      <c r="B98" s="16"/>
      <c r="C98" s="16"/>
      <c r="D98" s="16"/>
      <c r="E98" s="16"/>
      <c r="F98" s="16"/>
      <c r="G98" s="16"/>
      <c r="H98" s="16"/>
      <c r="I98" s="16"/>
      <c r="J98" s="16"/>
      <c r="K98" s="16"/>
      <c r="L98" s="16"/>
      <c r="M98" s="16"/>
      <c r="N98" s="16"/>
      <c r="O98" s="16"/>
      <c r="P98" s="16"/>
      <c r="Q98" s="16"/>
      <c r="R98" s="16"/>
      <c r="S98" s="16"/>
      <c r="T98" s="16"/>
      <c r="U98" s="16"/>
      <c r="V98" s="16"/>
    </row>
    <row r="99" spans="1:22" ht="15.75" customHeight="1" x14ac:dyDescent="0.25">
      <c r="A99" s="16"/>
      <c r="B99" s="16"/>
      <c r="C99" s="16"/>
      <c r="D99" s="16"/>
      <c r="E99" s="16"/>
      <c r="F99" s="16"/>
      <c r="G99" s="16"/>
      <c r="H99" s="16"/>
      <c r="I99" s="16"/>
      <c r="J99" s="16"/>
      <c r="K99" s="16"/>
      <c r="L99" s="16"/>
      <c r="M99" s="16"/>
      <c r="N99" s="16"/>
      <c r="O99" s="16"/>
      <c r="P99" s="16"/>
      <c r="Q99" s="16"/>
      <c r="R99" s="16"/>
      <c r="S99" s="16"/>
      <c r="T99" s="16"/>
      <c r="U99" s="16"/>
      <c r="V99" s="16"/>
    </row>
    <row r="100" spans="1:22" ht="15.75" customHeight="1" x14ac:dyDescent="0.25">
      <c r="A100" s="16"/>
      <c r="B100" s="16"/>
      <c r="C100" s="16"/>
      <c r="D100" s="16"/>
      <c r="E100" s="16"/>
      <c r="F100" s="16"/>
      <c r="G100" s="16"/>
      <c r="H100" s="16"/>
      <c r="I100" s="16"/>
      <c r="J100" s="16"/>
      <c r="K100" s="16"/>
      <c r="L100" s="16"/>
      <c r="M100" s="16"/>
      <c r="N100" s="16"/>
      <c r="O100" s="16"/>
      <c r="P100" s="16"/>
      <c r="Q100" s="16"/>
      <c r="R100" s="16"/>
      <c r="S100" s="16"/>
      <c r="T100" s="16"/>
      <c r="U100" s="16"/>
      <c r="V100" s="16"/>
    </row>
    <row r="101" spans="1:22" ht="15.75" customHeight="1" x14ac:dyDescent="0.25">
      <c r="A101" s="16"/>
      <c r="B101" s="16"/>
      <c r="C101" s="16"/>
      <c r="D101" s="16"/>
      <c r="E101" s="16"/>
      <c r="F101" s="16"/>
      <c r="G101" s="16"/>
      <c r="H101" s="16"/>
      <c r="I101" s="16"/>
      <c r="J101" s="16"/>
      <c r="K101" s="16"/>
      <c r="L101" s="16"/>
      <c r="M101" s="16"/>
      <c r="N101" s="16"/>
      <c r="O101" s="16"/>
      <c r="P101" s="16"/>
      <c r="Q101" s="16"/>
      <c r="R101" s="16"/>
      <c r="S101" s="16"/>
      <c r="T101" s="16"/>
      <c r="U101" s="16"/>
      <c r="V101" s="16"/>
    </row>
    <row r="102" spans="1:22" ht="15.75" customHeight="1" x14ac:dyDescent="0.25">
      <c r="A102" s="16"/>
      <c r="B102" s="16"/>
      <c r="C102" s="16"/>
      <c r="D102" s="16"/>
      <c r="E102" s="16"/>
      <c r="F102" s="16"/>
      <c r="G102" s="16"/>
      <c r="H102" s="16"/>
      <c r="I102" s="16"/>
      <c r="J102" s="16"/>
      <c r="K102" s="16"/>
      <c r="L102" s="16"/>
      <c r="M102" s="16"/>
      <c r="N102" s="16"/>
      <c r="O102" s="16"/>
      <c r="P102" s="16"/>
      <c r="Q102" s="16"/>
      <c r="R102" s="16"/>
      <c r="S102" s="16"/>
      <c r="T102" s="16"/>
      <c r="U102" s="16"/>
      <c r="V102" s="16"/>
    </row>
    <row r="103" spans="1:22" ht="15.75" customHeight="1" x14ac:dyDescent="0.25">
      <c r="A103" s="16"/>
      <c r="B103" s="16"/>
      <c r="C103" s="16"/>
      <c r="D103" s="16"/>
      <c r="E103" s="16"/>
      <c r="F103" s="16"/>
      <c r="G103" s="16"/>
      <c r="H103" s="16"/>
      <c r="I103" s="16"/>
      <c r="J103" s="16"/>
      <c r="K103" s="16"/>
      <c r="L103" s="16"/>
      <c r="M103" s="16"/>
      <c r="N103" s="16"/>
      <c r="O103" s="16"/>
      <c r="P103" s="16"/>
      <c r="Q103" s="16"/>
      <c r="R103" s="16"/>
      <c r="S103" s="16"/>
      <c r="T103" s="16"/>
      <c r="U103" s="16"/>
      <c r="V103" s="16"/>
    </row>
    <row r="104" spans="1:22" ht="15.75" customHeight="1" x14ac:dyDescent="0.25">
      <c r="A104" s="16"/>
      <c r="B104" s="16"/>
      <c r="C104" s="16"/>
      <c r="D104" s="16"/>
      <c r="E104" s="16"/>
      <c r="F104" s="16"/>
      <c r="G104" s="16"/>
      <c r="H104" s="16"/>
      <c r="I104" s="16"/>
      <c r="J104" s="16"/>
      <c r="K104" s="16"/>
      <c r="L104" s="16"/>
      <c r="M104" s="16"/>
      <c r="N104" s="16"/>
      <c r="O104" s="16"/>
      <c r="P104" s="16"/>
      <c r="Q104" s="16"/>
      <c r="R104" s="16"/>
      <c r="S104" s="16"/>
      <c r="T104" s="16"/>
      <c r="U104" s="16"/>
      <c r="V104" s="16"/>
    </row>
    <row r="105" spans="1:22" ht="15.75" customHeight="1" x14ac:dyDescent="0.25">
      <c r="A105" s="16"/>
      <c r="B105" s="16"/>
      <c r="C105" s="16"/>
      <c r="D105" s="16"/>
      <c r="E105" s="16"/>
      <c r="F105" s="16"/>
      <c r="G105" s="16"/>
      <c r="H105" s="16"/>
      <c r="I105" s="16"/>
      <c r="J105" s="16"/>
      <c r="K105" s="16"/>
      <c r="L105" s="16"/>
      <c r="M105" s="16"/>
      <c r="N105" s="16"/>
      <c r="O105" s="16"/>
      <c r="P105" s="16"/>
      <c r="Q105" s="16"/>
      <c r="R105" s="16"/>
      <c r="S105" s="16"/>
      <c r="T105" s="16"/>
      <c r="U105" s="16"/>
      <c r="V105" s="16"/>
    </row>
    <row r="106" spans="1:22" ht="15.75" customHeight="1" x14ac:dyDescent="0.25">
      <c r="A106" s="16"/>
      <c r="B106" s="16"/>
      <c r="C106" s="16"/>
      <c r="D106" s="16"/>
      <c r="E106" s="16"/>
      <c r="F106" s="16"/>
      <c r="G106" s="16"/>
      <c r="H106" s="16"/>
      <c r="I106" s="16"/>
      <c r="J106" s="16"/>
      <c r="K106" s="16"/>
      <c r="L106" s="16"/>
      <c r="M106" s="16"/>
      <c r="N106" s="16"/>
      <c r="O106" s="16"/>
      <c r="P106" s="16"/>
      <c r="Q106" s="16"/>
      <c r="R106" s="16"/>
      <c r="S106" s="16"/>
      <c r="T106" s="16"/>
      <c r="U106" s="16"/>
      <c r="V106" s="16"/>
    </row>
    <row r="107" spans="1:22" ht="15.75" customHeight="1" x14ac:dyDescent="0.25">
      <c r="A107" s="16"/>
      <c r="B107" s="16"/>
      <c r="C107" s="16"/>
      <c r="D107" s="16"/>
      <c r="E107" s="16"/>
      <c r="F107" s="16"/>
      <c r="G107" s="16"/>
      <c r="H107" s="16"/>
      <c r="I107" s="16"/>
      <c r="J107" s="16"/>
      <c r="K107" s="16"/>
      <c r="L107" s="16"/>
      <c r="M107" s="16"/>
      <c r="N107" s="16"/>
      <c r="O107" s="16"/>
      <c r="P107" s="16"/>
      <c r="Q107" s="16"/>
      <c r="R107" s="16"/>
      <c r="S107" s="16"/>
      <c r="T107" s="16"/>
      <c r="U107" s="16"/>
      <c r="V107" s="16"/>
    </row>
    <row r="108" spans="1:22" ht="15.75" customHeight="1" x14ac:dyDescent="0.25">
      <c r="A108" s="16"/>
      <c r="B108" s="16"/>
      <c r="C108" s="16"/>
      <c r="D108" s="16"/>
      <c r="E108" s="16"/>
      <c r="F108" s="16"/>
      <c r="G108" s="16"/>
      <c r="H108" s="16"/>
      <c r="I108" s="16"/>
      <c r="J108" s="16"/>
      <c r="K108" s="16"/>
      <c r="L108" s="16"/>
      <c r="M108" s="16"/>
      <c r="N108" s="16"/>
      <c r="O108" s="16"/>
      <c r="P108" s="16"/>
      <c r="Q108" s="16"/>
      <c r="R108" s="16"/>
      <c r="S108" s="16"/>
      <c r="T108" s="16"/>
      <c r="U108" s="16"/>
      <c r="V108" s="16"/>
    </row>
    <row r="109" spans="1:22" ht="15.75" customHeight="1" x14ac:dyDescent="0.25">
      <c r="A109" s="16"/>
      <c r="B109" s="16"/>
      <c r="C109" s="16"/>
      <c r="D109" s="16"/>
      <c r="E109" s="16"/>
      <c r="F109" s="16"/>
      <c r="G109" s="16"/>
      <c r="H109" s="16"/>
      <c r="I109" s="16"/>
      <c r="J109" s="16"/>
      <c r="K109" s="16"/>
      <c r="L109" s="16"/>
      <c r="M109" s="16"/>
      <c r="N109" s="16"/>
      <c r="O109" s="16"/>
      <c r="P109" s="16"/>
      <c r="Q109" s="16"/>
      <c r="R109" s="16"/>
      <c r="S109" s="16"/>
      <c r="T109" s="16"/>
      <c r="U109" s="16"/>
      <c r="V109" s="16"/>
    </row>
    <row r="110" spans="1:22" ht="15.75" customHeight="1" x14ac:dyDescent="0.25">
      <c r="A110" s="16"/>
      <c r="B110" s="16"/>
      <c r="C110" s="16"/>
      <c r="D110" s="16"/>
      <c r="E110" s="16"/>
      <c r="F110" s="16"/>
      <c r="G110" s="16"/>
      <c r="H110" s="16"/>
      <c r="I110" s="16"/>
      <c r="J110" s="16"/>
      <c r="K110" s="16"/>
      <c r="L110" s="16"/>
      <c r="M110" s="16"/>
      <c r="N110" s="16"/>
      <c r="O110" s="16"/>
      <c r="P110" s="16"/>
      <c r="Q110" s="16"/>
      <c r="R110" s="16"/>
      <c r="S110" s="16"/>
      <c r="T110" s="16"/>
      <c r="U110" s="16"/>
      <c r="V110" s="16"/>
    </row>
    <row r="111" spans="1:22" ht="15.75" customHeight="1" x14ac:dyDescent="0.25">
      <c r="A111" s="16"/>
      <c r="B111" s="16"/>
      <c r="C111" s="16"/>
      <c r="D111" s="16"/>
      <c r="E111" s="16"/>
      <c r="F111" s="16"/>
      <c r="G111" s="16"/>
      <c r="H111" s="16"/>
      <c r="I111" s="16"/>
      <c r="J111" s="16"/>
      <c r="K111" s="16"/>
      <c r="L111" s="16"/>
      <c r="M111" s="16"/>
      <c r="N111" s="16"/>
      <c r="O111" s="16"/>
      <c r="P111" s="16"/>
      <c r="Q111" s="16"/>
      <c r="R111" s="16"/>
      <c r="S111" s="16"/>
      <c r="T111" s="16"/>
      <c r="U111" s="16"/>
      <c r="V111" s="16"/>
    </row>
    <row r="112" spans="1:22" ht="15.75" customHeight="1" x14ac:dyDescent="0.25">
      <c r="A112" s="16"/>
      <c r="B112" s="16"/>
      <c r="C112" s="16"/>
      <c r="D112" s="16"/>
      <c r="E112" s="16"/>
      <c r="F112" s="16"/>
      <c r="G112" s="16"/>
      <c r="H112" s="16"/>
      <c r="I112" s="16"/>
      <c r="J112" s="16"/>
      <c r="K112" s="16"/>
      <c r="L112" s="16"/>
      <c r="M112" s="16"/>
      <c r="N112" s="16"/>
      <c r="O112" s="16"/>
      <c r="P112" s="16"/>
      <c r="Q112" s="16"/>
      <c r="R112" s="16"/>
      <c r="S112" s="16"/>
      <c r="T112" s="16"/>
      <c r="U112" s="16"/>
      <c r="V112" s="16"/>
    </row>
    <row r="113" spans="1:22" ht="15.75" customHeight="1" x14ac:dyDescent="0.25">
      <c r="A113" s="16"/>
      <c r="B113" s="16"/>
      <c r="C113" s="16"/>
      <c r="D113" s="16"/>
      <c r="E113" s="16"/>
      <c r="F113" s="16"/>
      <c r="G113" s="16"/>
      <c r="H113" s="16"/>
      <c r="I113" s="16"/>
      <c r="J113" s="16"/>
      <c r="K113" s="16"/>
      <c r="L113" s="16"/>
      <c r="M113" s="16"/>
      <c r="N113" s="16"/>
      <c r="O113" s="16"/>
      <c r="P113" s="16"/>
      <c r="Q113" s="16"/>
      <c r="R113" s="16"/>
      <c r="S113" s="16"/>
      <c r="T113" s="16"/>
      <c r="U113" s="16"/>
      <c r="V113" s="16"/>
    </row>
    <row r="114" spans="1:22" ht="15.75" customHeight="1" x14ac:dyDescent="0.25">
      <c r="A114" s="16"/>
      <c r="B114" s="16"/>
      <c r="C114" s="16"/>
      <c r="D114" s="16"/>
      <c r="E114" s="16"/>
      <c r="F114" s="16"/>
      <c r="G114" s="16"/>
      <c r="H114" s="16"/>
      <c r="I114" s="16"/>
      <c r="J114" s="16"/>
      <c r="K114" s="16"/>
      <c r="L114" s="16"/>
      <c r="M114" s="16"/>
      <c r="N114" s="16"/>
      <c r="O114" s="16"/>
      <c r="P114" s="16"/>
      <c r="Q114" s="16"/>
      <c r="R114" s="16"/>
      <c r="S114" s="16"/>
      <c r="T114" s="16"/>
      <c r="U114" s="16"/>
      <c r="V114" s="16"/>
    </row>
    <row r="115" spans="1:22" ht="15.75" customHeight="1" x14ac:dyDescent="0.25">
      <c r="A115" s="16"/>
      <c r="B115" s="16"/>
      <c r="C115" s="16"/>
      <c r="D115" s="16"/>
      <c r="E115" s="16"/>
      <c r="F115" s="16"/>
      <c r="G115" s="16"/>
      <c r="H115" s="16"/>
      <c r="I115" s="16"/>
      <c r="J115" s="16"/>
      <c r="K115" s="16"/>
      <c r="L115" s="16"/>
      <c r="M115" s="16"/>
      <c r="N115" s="16"/>
      <c r="O115" s="16"/>
      <c r="P115" s="16"/>
      <c r="Q115" s="16"/>
      <c r="R115" s="16"/>
      <c r="S115" s="16"/>
      <c r="T115" s="16"/>
      <c r="U115" s="16"/>
      <c r="V115" s="16"/>
    </row>
    <row r="116" spans="1:22" ht="15.75" customHeight="1" x14ac:dyDescent="0.25">
      <c r="A116" s="16"/>
      <c r="B116" s="16"/>
      <c r="C116" s="16"/>
      <c r="D116" s="16"/>
      <c r="E116" s="16"/>
      <c r="F116" s="16"/>
      <c r="G116" s="16"/>
      <c r="H116" s="16"/>
      <c r="I116" s="16"/>
      <c r="J116" s="16"/>
      <c r="K116" s="16"/>
      <c r="L116" s="16"/>
      <c r="M116" s="16"/>
      <c r="N116" s="16"/>
      <c r="O116" s="16"/>
      <c r="P116" s="16"/>
      <c r="Q116" s="16"/>
      <c r="R116" s="16"/>
      <c r="S116" s="16"/>
      <c r="T116" s="16"/>
      <c r="U116" s="16"/>
      <c r="V116" s="16"/>
    </row>
    <row r="117" spans="1:22" ht="15.75" customHeight="1" x14ac:dyDescent="0.25">
      <c r="A117" s="16"/>
      <c r="B117" s="16"/>
      <c r="C117" s="16"/>
      <c r="D117" s="16"/>
      <c r="E117" s="16"/>
      <c r="F117" s="16"/>
      <c r="G117" s="16"/>
      <c r="H117" s="16"/>
      <c r="I117" s="16"/>
      <c r="J117" s="16"/>
      <c r="K117" s="16"/>
      <c r="L117" s="16"/>
      <c r="M117" s="16"/>
      <c r="N117" s="16"/>
      <c r="O117" s="16"/>
      <c r="P117" s="16"/>
      <c r="Q117" s="16"/>
      <c r="R117" s="16"/>
      <c r="S117" s="16"/>
      <c r="T117" s="16"/>
      <c r="U117" s="16"/>
      <c r="V117" s="16"/>
    </row>
    <row r="118" spans="1:22" ht="15.75" customHeight="1" x14ac:dyDescent="0.25">
      <c r="A118" s="16"/>
      <c r="B118" s="16"/>
      <c r="C118" s="16"/>
      <c r="D118" s="16"/>
      <c r="E118" s="16"/>
      <c r="F118" s="16"/>
      <c r="G118" s="16"/>
      <c r="H118" s="16"/>
      <c r="I118" s="16"/>
      <c r="J118" s="16"/>
      <c r="K118" s="16"/>
      <c r="L118" s="16"/>
      <c r="M118" s="16"/>
      <c r="N118" s="16"/>
      <c r="O118" s="16"/>
      <c r="P118" s="16"/>
      <c r="Q118" s="16"/>
      <c r="R118" s="16"/>
      <c r="S118" s="16"/>
      <c r="T118" s="16"/>
      <c r="U118" s="16"/>
      <c r="V118" s="16"/>
    </row>
    <row r="119" spans="1:22" ht="15.75" customHeight="1" x14ac:dyDescent="0.25">
      <c r="A119" s="16"/>
      <c r="B119" s="16"/>
      <c r="C119" s="16"/>
      <c r="D119" s="16"/>
      <c r="E119" s="16"/>
      <c r="F119" s="16"/>
      <c r="G119" s="16"/>
      <c r="H119" s="16"/>
      <c r="I119" s="16"/>
      <c r="J119" s="16"/>
      <c r="K119" s="16"/>
      <c r="L119" s="16"/>
      <c r="M119" s="16"/>
      <c r="N119" s="16"/>
      <c r="O119" s="16"/>
      <c r="P119" s="16"/>
      <c r="Q119" s="16"/>
      <c r="R119" s="16"/>
      <c r="S119" s="16"/>
      <c r="T119" s="16"/>
      <c r="U119" s="16"/>
      <c r="V119" s="16"/>
    </row>
    <row r="120" spans="1:22" ht="15.75" customHeight="1" x14ac:dyDescent="0.25">
      <c r="A120" s="16"/>
      <c r="B120" s="16"/>
      <c r="C120" s="16"/>
      <c r="D120" s="16"/>
      <c r="E120" s="16"/>
      <c r="F120" s="16"/>
      <c r="G120" s="16"/>
      <c r="H120" s="16"/>
      <c r="I120" s="16"/>
      <c r="J120" s="16"/>
      <c r="K120" s="16"/>
      <c r="L120" s="16"/>
      <c r="M120" s="16"/>
      <c r="N120" s="16"/>
      <c r="O120" s="16"/>
      <c r="P120" s="16"/>
      <c r="Q120" s="16"/>
      <c r="R120" s="16"/>
      <c r="S120" s="16"/>
      <c r="T120" s="16"/>
      <c r="U120" s="16"/>
      <c r="V120" s="16"/>
    </row>
    <row r="121" spans="1:22" ht="15.75" customHeight="1" x14ac:dyDescent="0.25">
      <c r="A121" s="16"/>
      <c r="B121" s="16"/>
      <c r="C121" s="16"/>
      <c r="D121" s="16"/>
      <c r="E121" s="16"/>
      <c r="F121" s="16"/>
      <c r="G121" s="16"/>
      <c r="H121" s="16"/>
      <c r="I121" s="16"/>
      <c r="J121" s="16"/>
      <c r="K121" s="16"/>
      <c r="L121" s="16"/>
      <c r="M121" s="16"/>
      <c r="N121" s="16"/>
      <c r="O121" s="16"/>
      <c r="P121" s="16"/>
      <c r="Q121" s="16"/>
      <c r="R121" s="16"/>
      <c r="S121" s="16"/>
      <c r="T121" s="16"/>
      <c r="U121" s="16"/>
      <c r="V121" s="16"/>
    </row>
    <row r="122" spans="1:22" ht="15.75" customHeight="1" x14ac:dyDescent="0.25">
      <c r="A122" s="16"/>
      <c r="B122" s="16"/>
      <c r="C122" s="16"/>
      <c r="D122" s="16"/>
      <c r="E122" s="16"/>
      <c r="F122" s="16"/>
      <c r="G122" s="16"/>
      <c r="H122" s="16"/>
      <c r="I122" s="16"/>
      <c r="J122" s="16"/>
      <c r="K122" s="16"/>
      <c r="L122" s="16"/>
      <c r="M122" s="16"/>
      <c r="N122" s="16"/>
      <c r="O122" s="16"/>
      <c r="P122" s="16"/>
      <c r="Q122" s="16"/>
      <c r="R122" s="16"/>
      <c r="S122" s="16"/>
      <c r="T122" s="16"/>
      <c r="U122" s="16"/>
      <c r="V122" s="16"/>
    </row>
    <row r="123" spans="1:22" ht="15.75" customHeight="1" x14ac:dyDescent="0.25">
      <c r="A123" s="16"/>
      <c r="B123" s="16"/>
      <c r="C123" s="16"/>
      <c r="D123" s="16"/>
      <c r="E123" s="16"/>
      <c r="F123" s="16"/>
      <c r="G123" s="16"/>
      <c r="H123" s="16"/>
      <c r="I123" s="16"/>
      <c r="J123" s="16"/>
      <c r="K123" s="16"/>
      <c r="L123" s="16"/>
      <c r="M123" s="16"/>
      <c r="N123" s="16"/>
      <c r="O123" s="16"/>
      <c r="P123" s="16"/>
      <c r="Q123" s="16"/>
      <c r="R123" s="16"/>
      <c r="S123" s="16"/>
      <c r="T123" s="16"/>
      <c r="U123" s="16"/>
      <c r="V123" s="16"/>
    </row>
    <row r="124" spans="1:22" ht="15.75" customHeight="1" x14ac:dyDescent="0.25">
      <c r="A124" s="16"/>
      <c r="B124" s="16"/>
      <c r="C124" s="16"/>
      <c r="D124" s="16"/>
      <c r="E124" s="16"/>
      <c r="F124" s="16"/>
      <c r="G124" s="16"/>
      <c r="H124" s="16"/>
      <c r="I124" s="16"/>
      <c r="J124" s="16"/>
      <c r="K124" s="16"/>
      <c r="L124" s="16"/>
      <c r="M124" s="16"/>
      <c r="N124" s="16"/>
      <c r="O124" s="16"/>
      <c r="P124" s="16"/>
      <c r="Q124" s="16"/>
      <c r="R124" s="16"/>
      <c r="S124" s="16"/>
      <c r="T124" s="16"/>
      <c r="U124" s="16"/>
      <c r="V124" s="16"/>
    </row>
    <row r="125" spans="1:22" ht="15.75" customHeight="1" x14ac:dyDescent="0.25">
      <c r="A125" s="16"/>
      <c r="B125" s="16"/>
      <c r="C125" s="16"/>
      <c r="D125" s="16"/>
      <c r="E125" s="16"/>
      <c r="F125" s="16"/>
      <c r="G125" s="16"/>
      <c r="H125" s="16"/>
      <c r="I125" s="16"/>
      <c r="J125" s="16"/>
      <c r="K125" s="16"/>
      <c r="L125" s="16"/>
      <c r="M125" s="16"/>
      <c r="N125" s="16"/>
      <c r="O125" s="16"/>
      <c r="P125" s="16"/>
      <c r="Q125" s="16"/>
      <c r="R125" s="16"/>
      <c r="S125" s="16"/>
      <c r="T125" s="16"/>
      <c r="U125" s="16"/>
      <c r="V125" s="16"/>
    </row>
    <row r="126" spans="1:22" ht="15.75" customHeight="1" x14ac:dyDescent="0.25">
      <c r="A126" s="16"/>
      <c r="B126" s="16"/>
      <c r="C126" s="16"/>
      <c r="D126" s="16"/>
      <c r="E126" s="16"/>
      <c r="F126" s="16"/>
      <c r="G126" s="16"/>
      <c r="H126" s="16"/>
      <c r="I126" s="16"/>
      <c r="J126" s="16"/>
      <c r="K126" s="16"/>
      <c r="L126" s="16"/>
      <c r="M126" s="16"/>
      <c r="N126" s="16"/>
      <c r="O126" s="16"/>
      <c r="P126" s="16"/>
      <c r="Q126" s="16"/>
      <c r="R126" s="16"/>
      <c r="S126" s="16"/>
      <c r="T126" s="16"/>
      <c r="U126" s="16"/>
      <c r="V126" s="16"/>
    </row>
    <row r="127" spans="1:22" ht="15.75" customHeight="1" x14ac:dyDescent="0.25">
      <c r="A127" s="16"/>
      <c r="B127" s="16"/>
      <c r="C127" s="16"/>
      <c r="D127" s="16"/>
      <c r="E127" s="16"/>
      <c r="F127" s="16"/>
      <c r="G127" s="16"/>
      <c r="H127" s="16"/>
      <c r="I127" s="16"/>
      <c r="J127" s="16"/>
      <c r="K127" s="16"/>
      <c r="L127" s="16"/>
      <c r="M127" s="16"/>
      <c r="N127" s="16"/>
      <c r="O127" s="16"/>
      <c r="P127" s="16"/>
      <c r="Q127" s="16"/>
      <c r="R127" s="16"/>
      <c r="S127" s="16"/>
      <c r="T127" s="16"/>
      <c r="U127" s="16"/>
      <c r="V127" s="16"/>
    </row>
    <row r="128" spans="1:22" ht="15.75" customHeight="1" x14ac:dyDescent="0.25">
      <c r="A128" s="16"/>
      <c r="B128" s="16"/>
      <c r="C128" s="16"/>
      <c r="D128" s="16"/>
      <c r="E128" s="16"/>
      <c r="F128" s="16"/>
      <c r="G128" s="16"/>
      <c r="H128" s="16"/>
      <c r="I128" s="16"/>
      <c r="J128" s="16"/>
      <c r="K128" s="16"/>
      <c r="L128" s="16"/>
      <c r="M128" s="16"/>
      <c r="N128" s="16"/>
      <c r="O128" s="16"/>
      <c r="P128" s="16"/>
      <c r="Q128" s="16"/>
      <c r="R128" s="16"/>
      <c r="S128" s="16"/>
      <c r="T128" s="16"/>
      <c r="U128" s="16"/>
      <c r="V128" s="16"/>
    </row>
    <row r="129" spans="1:22" ht="15.75" customHeight="1" x14ac:dyDescent="0.25">
      <c r="A129" s="16"/>
      <c r="B129" s="16"/>
      <c r="C129" s="16"/>
      <c r="D129" s="16"/>
      <c r="E129" s="16"/>
      <c r="F129" s="16"/>
      <c r="G129" s="16"/>
      <c r="H129" s="16"/>
      <c r="I129" s="16"/>
      <c r="J129" s="16"/>
      <c r="K129" s="16"/>
      <c r="L129" s="16"/>
      <c r="M129" s="16"/>
      <c r="N129" s="16"/>
      <c r="O129" s="16"/>
      <c r="P129" s="16"/>
      <c r="Q129" s="16"/>
      <c r="R129" s="16"/>
      <c r="S129" s="16"/>
      <c r="T129" s="16"/>
      <c r="U129" s="16"/>
      <c r="V129" s="16"/>
    </row>
    <row r="130" spans="1:22" ht="15.75" customHeight="1" x14ac:dyDescent="0.25">
      <c r="A130" s="16"/>
      <c r="B130" s="16"/>
      <c r="C130" s="16"/>
      <c r="D130" s="16"/>
      <c r="E130" s="16"/>
      <c r="F130" s="16"/>
      <c r="G130" s="16"/>
      <c r="H130" s="16"/>
      <c r="I130" s="16"/>
      <c r="J130" s="16"/>
      <c r="K130" s="16"/>
      <c r="L130" s="16"/>
      <c r="M130" s="16"/>
      <c r="N130" s="16"/>
      <c r="O130" s="16"/>
      <c r="P130" s="16"/>
      <c r="Q130" s="16"/>
      <c r="R130" s="16"/>
      <c r="S130" s="16"/>
      <c r="T130" s="16"/>
      <c r="U130" s="16"/>
      <c r="V130" s="16"/>
    </row>
    <row r="131" spans="1:22" ht="15.75" customHeight="1" x14ac:dyDescent="0.25">
      <c r="A131" s="16"/>
      <c r="B131" s="16"/>
      <c r="C131" s="16"/>
      <c r="D131" s="16"/>
      <c r="E131" s="16"/>
      <c r="F131" s="16"/>
      <c r="G131" s="16"/>
      <c r="H131" s="16"/>
      <c r="I131" s="16"/>
      <c r="J131" s="16"/>
      <c r="K131" s="16"/>
      <c r="L131" s="16"/>
      <c r="M131" s="16"/>
      <c r="N131" s="16"/>
      <c r="O131" s="16"/>
      <c r="P131" s="16"/>
      <c r="Q131" s="16"/>
      <c r="R131" s="16"/>
      <c r="S131" s="16"/>
      <c r="T131" s="16"/>
      <c r="U131" s="16"/>
      <c r="V131" s="16"/>
    </row>
    <row r="132" spans="1:22" ht="15.75" customHeight="1" x14ac:dyDescent="0.25">
      <c r="A132" s="16"/>
      <c r="B132" s="16"/>
      <c r="C132" s="16"/>
      <c r="D132" s="16"/>
      <c r="E132" s="16"/>
      <c r="F132" s="16"/>
      <c r="G132" s="16"/>
      <c r="H132" s="16"/>
      <c r="I132" s="16"/>
      <c r="J132" s="16"/>
      <c r="K132" s="16"/>
      <c r="L132" s="16"/>
      <c r="M132" s="16"/>
      <c r="N132" s="16"/>
      <c r="O132" s="16"/>
      <c r="P132" s="16"/>
      <c r="Q132" s="16"/>
      <c r="R132" s="16"/>
      <c r="S132" s="16"/>
      <c r="T132" s="16"/>
      <c r="U132" s="16"/>
      <c r="V132" s="16"/>
    </row>
    <row r="133" spans="1:22" ht="15.75" customHeight="1" x14ac:dyDescent="0.25">
      <c r="A133" s="16"/>
      <c r="B133" s="16"/>
      <c r="C133" s="16"/>
      <c r="D133" s="16"/>
      <c r="E133" s="16"/>
      <c r="F133" s="16"/>
      <c r="G133" s="16"/>
      <c r="H133" s="16"/>
      <c r="I133" s="16"/>
      <c r="J133" s="16"/>
      <c r="K133" s="16"/>
      <c r="L133" s="16"/>
      <c r="M133" s="16"/>
      <c r="N133" s="16"/>
      <c r="O133" s="16"/>
      <c r="P133" s="16"/>
      <c r="Q133" s="16"/>
      <c r="R133" s="16"/>
      <c r="S133" s="16"/>
      <c r="T133" s="16"/>
      <c r="U133" s="16"/>
      <c r="V133" s="16"/>
    </row>
    <row r="134" spans="1:22" ht="15.75" customHeight="1" x14ac:dyDescent="0.25">
      <c r="A134" s="16"/>
      <c r="B134" s="16"/>
      <c r="C134" s="16"/>
      <c r="D134" s="16"/>
      <c r="E134" s="16"/>
      <c r="F134" s="16"/>
      <c r="G134" s="16"/>
      <c r="H134" s="16"/>
      <c r="I134" s="16"/>
      <c r="J134" s="16"/>
      <c r="K134" s="16"/>
      <c r="L134" s="16"/>
      <c r="M134" s="16"/>
      <c r="N134" s="16"/>
      <c r="O134" s="16"/>
      <c r="P134" s="16"/>
      <c r="Q134" s="16"/>
      <c r="R134" s="16"/>
      <c r="S134" s="16"/>
      <c r="T134" s="16"/>
      <c r="U134" s="16"/>
      <c r="V134" s="16"/>
    </row>
    <row r="135" spans="1:22" ht="15.75" customHeight="1" x14ac:dyDescent="0.25">
      <c r="A135" s="16"/>
      <c r="B135" s="16"/>
      <c r="C135" s="16"/>
      <c r="D135" s="16"/>
      <c r="E135" s="16"/>
      <c r="F135" s="16"/>
      <c r="G135" s="16"/>
      <c r="H135" s="16"/>
      <c r="I135" s="16"/>
      <c r="J135" s="16"/>
      <c r="K135" s="16"/>
      <c r="L135" s="16"/>
      <c r="M135" s="16"/>
      <c r="N135" s="16"/>
      <c r="O135" s="16"/>
      <c r="P135" s="16"/>
      <c r="Q135" s="16"/>
      <c r="R135" s="16"/>
      <c r="S135" s="16"/>
      <c r="T135" s="16"/>
      <c r="U135" s="16"/>
      <c r="V135" s="16"/>
    </row>
    <row r="136" spans="1:22" ht="15.75" customHeight="1" x14ac:dyDescent="0.25">
      <c r="A136" s="16"/>
      <c r="B136" s="16"/>
      <c r="C136" s="16"/>
      <c r="D136" s="16"/>
      <c r="E136" s="16"/>
      <c r="F136" s="16"/>
      <c r="G136" s="16"/>
      <c r="H136" s="16"/>
      <c r="I136" s="16"/>
      <c r="J136" s="16"/>
      <c r="K136" s="16"/>
      <c r="L136" s="16"/>
      <c r="M136" s="16"/>
      <c r="N136" s="16"/>
      <c r="O136" s="16"/>
      <c r="P136" s="16"/>
      <c r="Q136" s="16"/>
      <c r="R136" s="16"/>
      <c r="S136" s="16"/>
      <c r="T136" s="16"/>
      <c r="U136" s="16"/>
      <c r="V136" s="16"/>
    </row>
    <row r="137" spans="1:22" ht="15.75" customHeight="1" x14ac:dyDescent="0.25">
      <c r="A137" s="16"/>
      <c r="B137" s="16"/>
      <c r="C137" s="16"/>
      <c r="D137" s="16"/>
      <c r="E137" s="16"/>
      <c r="F137" s="16"/>
      <c r="G137" s="16"/>
      <c r="H137" s="16"/>
      <c r="I137" s="16"/>
      <c r="J137" s="16"/>
      <c r="K137" s="16"/>
      <c r="L137" s="16"/>
      <c r="M137" s="16"/>
      <c r="N137" s="16"/>
      <c r="O137" s="16"/>
      <c r="P137" s="16"/>
      <c r="Q137" s="16"/>
      <c r="R137" s="16"/>
      <c r="S137" s="16"/>
      <c r="T137" s="16"/>
      <c r="U137" s="16"/>
      <c r="V137" s="16"/>
    </row>
    <row r="138" spans="1:22" ht="15.75" customHeight="1" x14ac:dyDescent="0.25">
      <c r="A138" s="16"/>
      <c r="B138" s="16"/>
      <c r="C138" s="16"/>
      <c r="D138" s="16"/>
      <c r="E138" s="16"/>
      <c r="F138" s="16"/>
      <c r="G138" s="16"/>
      <c r="H138" s="16"/>
      <c r="I138" s="16"/>
      <c r="J138" s="16"/>
      <c r="K138" s="16"/>
      <c r="L138" s="16"/>
      <c r="M138" s="16"/>
      <c r="N138" s="16"/>
      <c r="O138" s="16"/>
      <c r="P138" s="16"/>
      <c r="Q138" s="16"/>
      <c r="R138" s="16"/>
      <c r="S138" s="16"/>
      <c r="T138" s="16"/>
      <c r="U138" s="16"/>
      <c r="V138" s="16"/>
    </row>
    <row r="139" spans="1:22" ht="15.75" customHeight="1" x14ac:dyDescent="0.25">
      <c r="A139" s="16"/>
      <c r="B139" s="16"/>
      <c r="C139" s="16"/>
      <c r="D139" s="16"/>
      <c r="E139" s="16"/>
      <c r="F139" s="16"/>
      <c r="G139" s="16"/>
      <c r="H139" s="16"/>
      <c r="I139" s="16"/>
      <c r="J139" s="16"/>
      <c r="K139" s="16"/>
      <c r="L139" s="16"/>
      <c r="M139" s="16"/>
      <c r="N139" s="16"/>
      <c r="O139" s="16"/>
      <c r="P139" s="16"/>
      <c r="Q139" s="16"/>
      <c r="R139" s="16"/>
      <c r="S139" s="16"/>
      <c r="T139" s="16"/>
      <c r="U139" s="16"/>
      <c r="V139" s="16"/>
    </row>
    <row r="140" spans="1:22" ht="15.75" customHeight="1" x14ac:dyDescent="0.25">
      <c r="A140" s="16"/>
      <c r="B140" s="16"/>
      <c r="C140" s="16"/>
      <c r="D140" s="16"/>
      <c r="E140" s="16"/>
      <c r="F140" s="16"/>
      <c r="G140" s="16"/>
      <c r="H140" s="16"/>
      <c r="I140" s="16"/>
      <c r="J140" s="16"/>
      <c r="K140" s="16"/>
      <c r="L140" s="16"/>
      <c r="M140" s="16"/>
      <c r="N140" s="16"/>
      <c r="O140" s="16"/>
      <c r="P140" s="16"/>
      <c r="Q140" s="16"/>
      <c r="R140" s="16"/>
      <c r="S140" s="16"/>
      <c r="T140" s="16"/>
      <c r="U140" s="16"/>
      <c r="V140" s="16"/>
    </row>
    <row r="141" spans="1:22" ht="15.75" customHeight="1" x14ac:dyDescent="0.25">
      <c r="A141" s="16"/>
      <c r="B141" s="16"/>
      <c r="C141" s="16"/>
      <c r="D141" s="16"/>
      <c r="E141" s="16"/>
      <c r="F141" s="16"/>
      <c r="G141" s="16"/>
      <c r="H141" s="16"/>
      <c r="I141" s="16"/>
      <c r="J141" s="16"/>
      <c r="K141" s="16"/>
      <c r="L141" s="16"/>
      <c r="M141" s="16"/>
      <c r="N141" s="16"/>
      <c r="O141" s="16"/>
      <c r="P141" s="16"/>
      <c r="Q141" s="16"/>
      <c r="R141" s="16"/>
      <c r="S141" s="16"/>
      <c r="T141" s="16"/>
      <c r="U141" s="16"/>
      <c r="V141" s="16"/>
    </row>
    <row r="142" spans="1:22" ht="15.75" customHeight="1" x14ac:dyDescent="0.25">
      <c r="A142" s="16"/>
      <c r="B142" s="16"/>
      <c r="C142" s="16"/>
      <c r="D142" s="16"/>
      <c r="E142" s="16"/>
      <c r="F142" s="16"/>
      <c r="G142" s="16"/>
      <c r="H142" s="16"/>
      <c r="I142" s="16"/>
      <c r="J142" s="16"/>
      <c r="K142" s="16"/>
      <c r="L142" s="16"/>
      <c r="M142" s="16"/>
      <c r="N142" s="16"/>
      <c r="O142" s="16"/>
      <c r="P142" s="16"/>
      <c r="Q142" s="16"/>
      <c r="R142" s="16"/>
      <c r="S142" s="16"/>
      <c r="T142" s="16"/>
      <c r="U142" s="16"/>
      <c r="V142" s="16"/>
    </row>
    <row r="143" spans="1:22" ht="15.75" customHeight="1" x14ac:dyDescent="0.25">
      <c r="A143" s="16"/>
      <c r="B143" s="16"/>
      <c r="C143" s="16"/>
      <c r="D143" s="16"/>
      <c r="E143" s="16"/>
      <c r="F143" s="16"/>
      <c r="G143" s="16"/>
      <c r="H143" s="16"/>
      <c r="I143" s="16"/>
      <c r="J143" s="16"/>
      <c r="K143" s="16"/>
      <c r="L143" s="16"/>
      <c r="M143" s="16"/>
      <c r="N143" s="16"/>
      <c r="O143" s="16"/>
      <c r="P143" s="16"/>
      <c r="Q143" s="16"/>
      <c r="R143" s="16"/>
      <c r="S143" s="16"/>
      <c r="T143" s="16"/>
      <c r="U143" s="16"/>
      <c r="V143" s="16"/>
    </row>
    <row r="144" spans="1:22" ht="15.75" customHeight="1" x14ac:dyDescent="0.25">
      <c r="A144" s="16"/>
      <c r="B144" s="16"/>
      <c r="C144" s="16"/>
      <c r="D144" s="16"/>
      <c r="E144" s="16"/>
      <c r="F144" s="16"/>
      <c r="G144" s="16"/>
      <c r="H144" s="16"/>
      <c r="I144" s="16"/>
      <c r="J144" s="16"/>
      <c r="K144" s="16"/>
      <c r="L144" s="16"/>
      <c r="M144" s="16"/>
      <c r="N144" s="16"/>
      <c r="O144" s="16"/>
      <c r="P144" s="16"/>
      <c r="Q144" s="16"/>
      <c r="R144" s="16"/>
      <c r="S144" s="16"/>
      <c r="T144" s="16"/>
      <c r="U144" s="16"/>
      <c r="V144" s="16"/>
    </row>
    <row r="145" spans="1:22" ht="15.75" customHeight="1" x14ac:dyDescent="0.25">
      <c r="A145" s="16"/>
      <c r="B145" s="16"/>
      <c r="C145" s="16"/>
      <c r="D145" s="16"/>
      <c r="E145" s="16"/>
      <c r="F145" s="16"/>
      <c r="G145" s="16"/>
      <c r="H145" s="16"/>
      <c r="I145" s="16"/>
      <c r="J145" s="16"/>
      <c r="K145" s="16"/>
      <c r="L145" s="16"/>
      <c r="M145" s="16"/>
      <c r="N145" s="16"/>
      <c r="O145" s="16"/>
      <c r="P145" s="16"/>
      <c r="Q145" s="16"/>
      <c r="R145" s="16"/>
      <c r="S145" s="16"/>
      <c r="T145" s="16"/>
      <c r="U145" s="16"/>
      <c r="V145" s="16"/>
    </row>
    <row r="146" spans="1:22" ht="15.75" customHeight="1" x14ac:dyDescent="0.25">
      <c r="A146" s="16"/>
      <c r="B146" s="16"/>
      <c r="C146" s="16"/>
      <c r="D146" s="16"/>
      <c r="E146" s="16"/>
      <c r="F146" s="16"/>
      <c r="G146" s="16"/>
      <c r="H146" s="16"/>
      <c r="I146" s="16"/>
      <c r="J146" s="16"/>
      <c r="K146" s="16"/>
      <c r="L146" s="16"/>
      <c r="M146" s="16"/>
      <c r="N146" s="16"/>
      <c r="O146" s="16"/>
      <c r="P146" s="16"/>
      <c r="Q146" s="16"/>
      <c r="R146" s="16"/>
      <c r="S146" s="16"/>
      <c r="T146" s="16"/>
      <c r="U146" s="16"/>
      <c r="V146" s="16"/>
    </row>
    <row r="147" spans="1:22" ht="15.75" customHeight="1" x14ac:dyDescent="0.25">
      <c r="A147" s="16"/>
      <c r="B147" s="16"/>
      <c r="C147" s="16"/>
      <c r="D147" s="16"/>
      <c r="E147" s="16"/>
      <c r="F147" s="16"/>
      <c r="G147" s="16"/>
      <c r="H147" s="16"/>
      <c r="I147" s="16"/>
      <c r="J147" s="16"/>
      <c r="K147" s="16"/>
      <c r="L147" s="16"/>
      <c r="M147" s="16"/>
      <c r="N147" s="16"/>
      <c r="O147" s="16"/>
      <c r="P147" s="16"/>
      <c r="Q147" s="16"/>
      <c r="R147" s="16"/>
      <c r="S147" s="16"/>
      <c r="T147" s="16"/>
      <c r="U147" s="16"/>
      <c r="V147" s="16"/>
    </row>
    <row r="148" spans="1:22" ht="15.75" customHeight="1" x14ac:dyDescent="0.25">
      <c r="A148" s="16"/>
      <c r="B148" s="16"/>
      <c r="C148" s="16"/>
      <c r="D148" s="16"/>
      <c r="E148" s="16"/>
      <c r="F148" s="16"/>
      <c r="G148" s="16"/>
      <c r="H148" s="16"/>
      <c r="I148" s="16"/>
      <c r="J148" s="16"/>
      <c r="K148" s="16"/>
      <c r="L148" s="16"/>
      <c r="M148" s="16"/>
      <c r="N148" s="16"/>
      <c r="O148" s="16"/>
      <c r="P148" s="16"/>
      <c r="Q148" s="16"/>
      <c r="R148" s="16"/>
      <c r="S148" s="16"/>
      <c r="T148" s="16"/>
      <c r="U148" s="16"/>
      <c r="V148" s="16"/>
    </row>
    <row r="149" spans="1:22" ht="15.75" customHeight="1" x14ac:dyDescent="0.25">
      <c r="A149" s="16"/>
      <c r="B149" s="16"/>
      <c r="C149" s="16"/>
      <c r="D149" s="16"/>
      <c r="E149" s="16"/>
      <c r="F149" s="16"/>
      <c r="G149" s="16"/>
      <c r="H149" s="16"/>
      <c r="I149" s="16"/>
      <c r="J149" s="16"/>
      <c r="K149" s="16"/>
      <c r="L149" s="16"/>
      <c r="M149" s="16"/>
      <c r="N149" s="16"/>
      <c r="O149" s="16"/>
      <c r="P149" s="16"/>
      <c r="Q149" s="16"/>
      <c r="R149" s="16"/>
      <c r="S149" s="16"/>
      <c r="T149" s="16"/>
      <c r="U149" s="16"/>
      <c r="V149" s="16"/>
    </row>
    <row r="150" spans="1:22" ht="15.75" customHeight="1" x14ac:dyDescent="0.25">
      <c r="A150" s="16"/>
      <c r="B150" s="16"/>
      <c r="C150" s="16"/>
      <c r="D150" s="16"/>
      <c r="E150" s="16"/>
      <c r="F150" s="16"/>
      <c r="G150" s="16"/>
      <c r="H150" s="16"/>
      <c r="I150" s="16"/>
      <c r="J150" s="16"/>
      <c r="K150" s="16"/>
      <c r="L150" s="16"/>
      <c r="M150" s="16"/>
      <c r="N150" s="16"/>
      <c r="O150" s="16"/>
      <c r="P150" s="16"/>
      <c r="Q150" s="16"/>
      <c r="R150" s="16"/>
      <c r="S150" s="16"/>
      <c r="T150" s="16"/>
      <c r="U150" s="16"/>
      <c r="V150" s="16"/>
    </row>
    <row r="151" spans="1:22" ht="15.75" customHeight="1" x14ac:dyDescent="0.25">
      <c r="A151" s="16"/>
      <c r="B151" s="16"/>
      <c r="C151" s="16"/>
      <c r="D151" s="16"/>
      <c r="E151" s="16"/>
      <c r="F151" s="16"/>
      <c r="G151" s="16"/>
      <c r="H151" s="16"/>
      <c r="I151" s="16"/>
      <c r="J151" s="16"/>
      <c r="K151" s="16"/>
      <c r="L151" s="16"/>
      <c r="M151" s="16"/>
      <c r="N151" s="16"/>
      <c r="O151" s="16"/>
      <c r="P151" s="16"/>
      <c r="Q151" s="16"/>
      <c r="R151" s="16"/>
      <c r="S151" s="16"/>
      <c r="T151" s="16"/>
      <c r="U151" s="16"/>
      <c r="V151" s="16"/>
    </row>
    <row r="152" spans="1:22" ht="15.75" customHeight="1" x14ac:dyDescent="0.25">
      <c r="A152" s="16"/>
      <c r="B152" s="16"/>
      <c r="C152" s="16"/>
      <c r="D152" s="16"/>
      <c r="E152" s="16"/>
      <c r="F152" s="16"/>
      <c r="G152" s="16"/>
      <c r="H152" s="16"/>
      <c r="I152" s="16"/>
      <c r="J152" s="16"/>
      <c r="K152" s="16"/>
      <c r="L152" s="16"/>
      <c r="M152" s="16"/>
      <c r="N152" s="16"/>
      <c r="O152" s="16"/>
      <c r="P152" s="16"/>
      <c r="Q152" s="16"/>
      <c r="R152" s="16"/>
      <c r="S152" s="16"/>
      <c r="T152" s="16"/>
      <c r="U152" s="16"/>
      <c r="V152" s="16"/>
    </row>
    <row r="153" spans="1:22" ht="15.75" customHeight="1" x14ac:dyDescent="0.25">
      <c r="A153" s="16"/>
      <c r="B153" s="16"/>
      <c r="C153" s="16"/>
      <c r="D153" s="16"/>
      <c r="E153" s="16"/>
      <c r="F153" s="16"/>
      <c r="G153" s="16"/>
      <c r="H153" s="16"/>
      <c r="I153" s="16"/>
      <c r="J153" s="16"/>
      <c r="K153" s="16"/>
      <c r="L153" s="16"/>
      <c r="M153" s="16"/>
      <c r="N153" s="16"/>
      <c r="O153" s="16"/>
      <c r="P153" s="16"/>
      <c r="Q153" s="16"/>
      <c r="R153" s="16"/>
      <c r="S153" s="16"/>
      <c r="T153" s="16"/>
      <c r="U153" s="16"/>
      <c r="V153" s="16"/>
    </row>
    <row r="154" spans="1:22" ht="15.75" customHeight="1" x14ac:dyDescent="0.25">
      <c r="A154" s="16"/>
      <c r="B154" s="16"/>
      <c r="C154" s="16"/>
      <c r="D154" s="16"/>
      <c r="E154" s="16"/>
      <c r="F154" s="16"/>
      <c r="G154" s="16"/>
      <c r="H154" s="16"/>
      <c r="I154" s="16"/>
      <c r="J154" s="16"/>
      <c r="K154" s="16"/>
      <c r="L154" s="16"/>
      <c r="M154" s="16"/>
      <c r="N154" s="16"/>
      <c r="O154" s="16"/>
      <c r="P154" s="16"/>
      <c r="Q154" s="16"/>
      <c r="R154" s="16"/>
      <c r="S154" s="16"/>
      <c r="T154" s="16"/>
      <c r="U154" s="16"/>
      <c r="V154" s="16"/>
    </row>
    <row r="155" spans="1:22" ht="15.75" customHeight="1" x14ac:dyDescent="0.25">
      <c r="A155" s="16"/>
      <c r="B155" s="16"/>
      <c r="C155" s="16"/>
      <c r="D155" s="16"/>
      <c r="E155" s="16"/>
      <c r="F155" s="16"/>
      <c r="G155" s="16"/>
      <c r="H155" s="16"/>
      <c r="I155" s="16"/>
      <c r="J155" s="16"/>
      <c r="K155" s="16"/>
      <c r="L155" s="16"/>
      <c r="M155" s="16"/>
      <c r="N155" s="16"/>
      <c r="O155" s="16"/>
      <c r="P155" s="16"/>
      <c r="Q155" s="16"/>
      <c r="R155" s="16"/>
      <c r="S155" s="16"/>
      <c r="T155" s="16"/>
      <c r="U155" s="16"/>
      <c r="V155" s="16"/>
    </row>
    <row r="156" spans="1:22" ht="15.75" customHeight="1" x14ac:dyDescent="0.25">
      <c r="A156" s="16"/>
      <c r="B156" s="16"/>
      <c r="C156" s="16"/>
      <c r="D156" s="16"/>
      <c r="E156" s="16"/>
      <c r="F156" s="16"/>
      <c r="G156" s="16"/>
      <c r="H156" s="16"/>
      <c r="I156" s="16"/>
      <c r="J156" s="16"/>
      <c r="K156" s="16"/>
      <c r="L156" s="16"/>
      <c r="M156" s="16"/>
      <c r="N156" s="16"/>
      <c r="O156" s="16"/>
      <c r="P156" s="16"/>
      <c r="Q156" s="16"/>
      <c r="R156" s="16"/>
      <c r="S156" s="16"/>
      <c r="T156" s="16"/>
      <c r="U156" s="16"/>
      <c r="V156" s="16"/>
    </row>
    <row r="157" spans="1:22" ht="15.75" customHeight="1" x14ac:dyDescent="0.25">
      <c r="A157" s="16"/>
      <c r="B157" s="16"/>
      <c r="C157" s="16"/>
      <c r="D157" s="16"/>
      <c r="E157" s="16"/>
      <c r="F157" s="16"/>
      <c r="G157" s="16"/>
      <c r="H157" s="16"/>
      <c r="I157" s="16"/>
      <c r="J157" s="16"/>
      <c r="K157" s="16"/>
      <c r="L157" s="16"/>
      <c r="M157" s="16"/>
      <c r="N157" s="16"/>
      <c r="O157" s="16"/>
      <c r="P157" s="16"/>
      <c r="Q157" s="16"/>
      <c r="R157" s="16"/>
      <c r="S157" s="16"/>
      <c r="T157" s="16"/>
      <c r="U157" s="16"/>
      <c r="V157" s="16"/>
    </row>
    <row r="158" spans="1:22" ht="15.75" customHeight="1" x14ac:dyDescent="0.25">
      <c r="A158" s="16"/>
      <c r="B158" s="16"/>
      <c r="C158" s="16"/>
      <c r="D158" s="16"/>
      <c r="E158" s="16"/>
      <c r="F158" s="16"/>
      <c r="G158" s="16"/>
      <c r="H158" s="16"/>
      <c r="I158" s="16"/>
      <c r="J158" s="16"/>
      <c r="K158" s="16"/>
      <c r="L158" s="16"/>
      <c r="M158" s="16"/>
      <c r="N158" s="16"/>
      <c r="O158" s="16"/>
      <c r="P158" s="16"/>
      <c r="Q158" s="16"/>
      <c r="R158" s="16"/>
      <c r="S158" s="16"/>
      <c r="T158" s="16"/>
      <c r="U158" s="16"/>
      <c r="V158" s="16"/>
    </row>
    <row r="159" spans="1:22" ht="15.75" customHeight="1" x14ac:dyDescent="0.25">
      <c r="A159" s="16"/>
      <c r="B159" s="16"/>
      <c r="C159" s="16"/>
      <c r="D159" s="16"/>
      <c r="E159" s="16"/>
      <c r="F159" s="16"/>
      <c r="G159" s="16"/>
      <c r="H159" s="16"/>
      <c r="I159" s="16"/>
      <c r="J159" s="16"/>
      <c r="K159" s="16"/>
      <c r="L159" s="16"/>
      <c r="M159" s="16"/>
      <c r="N159" s="16"/>
      <c r="O159" s="16"/>
      <c r="P159" s="16"/>
      <c r="Q159" s="16"/>
      <c r="R159" s="16"/>
      <c r="S159" s="16"/>
      <c r="T159" s="16"/>
      <c r="U159" s="16"/>
      <c r="V159" s="16"/>
    </row>
    <row r="160" spans="1:22" ht="15.75" customHeight="1" x14ac:dyDescent="0.25">
      <c r="A160" s="16"/>
      <c r="B160" s="16"/>
      <c r="C160" s="16"/>
      <c r="D160" s="16"/>
      <c r="E160" s="16"/>
      <c r="F160" s="16"/>
      <c r="G160" s="16"/>
      <c r="H160" s="16"/>
      <c r="I160" s="16"/>
      <c r="J160" s="16"/>
      <c r="K160" s="16"/>
      <c r="L160" s="16"/>
      <c r="M160" s="16"/>
      <c r="N160" s="16"/>
      <c r="O160" s="16"/>
      <c r="P160" s="16"/>
      <c r="Q160" s="16"/>
      <c r="R160" s="16"/>
      <c r="S160" s="16"/>
      <c r="T160" s="16"/>
      <c r="U160" s="16"/>
      <c r="V160" s="16"/>
    </row>
    <row r="161" spans="1:22" ht="15.75" customHeight="1" x14ac:dyDescent="0.25">
      <c r="A161" s="16"/>
      <c r="B161" s="16"/>
      <c r="C161" s="16"/>
      <c r="D161" s="16"/>
      <c r="E161" s="16"/>
      <c r="F161" s="16"/>
      <c r="G161" s="16"/>
      <c r="H161" s="16"/>
      <c r="I161" s="16"/>
      <c r="J161" s="16"/>
      <c r="K161" s="16"/>
      <c r="L161" s="16"/>
      <c r="M161" s="16"/>
      <c r="N161" s="16"/>
      <c r="O161" s="16"/>
      <c r="P161" s="16"/>
      <c r="Q161" s="16"/>
      <c r="R161" s="16"/>
      <c r="S161" s="16"/>
      <c r="T161" s="16"/>
      <c r="U161" s="16"/>
      <c r="V161" s="16"/>
    </row>
    <row r="162" spans="1:22" ht="15.75" customHeight="1" x14ac:dyDescent="0.25">
      <c r="A162" s="16"/>
      <c r="B162" s="16"/>
      <c r="C162" s="16"/>
      <c r="D162" s="16"/>
      <c r="E162" s="16"/>
      <c r="F162" s="16"/>
      <c r="G162" s="16"/>
      <c r="H162" s="16"/>
      <c r="I162" s="16"/>
      <c r="J162" s="16"/>
      <c r="K162" s="16"/>
      <c r="L162" s="16"/>
      <c r="M162" s="16"/>
      <c r="N162" s="16"/>
      <c r="O162" s="16"/>
      <c r="P162" s="16"/>
      <c r="Q162" s="16"/>
      <c r="R162" s="16"/>
      <c r="S162" s="16"/>
      <c r="T162" s="16"/>
      <c r="U162" s="16"/>
      <c r="V162" s="16"/>
    </row>
    <row r="163" spans="1:22" ht="15.75" customHeight="1" x14ac:dyDescent="0.25">
      <c r="A163" s="16"/>
      <c r="B163" s="16"/>
      <c r="C163" s="16"/>
      <c r="D163" s="16"/>
      <c r="E163" s="16"/>
      <c r="F163" s="16"/>
      <c r="G163" s="16"/>
      <c r="H163" s="16"/>
      <c r="I163" s="16"/>
      <c r="J163" s="16"/>
      <c r="K163" s="16"/>
      <c r="L163" s="16"/>
      <c r="M163" s="16"/>
      <c r="N163" s="16"/>
      <c r="O163" s="16"/>
      <c r="P163" s="16"/>
      <c r="Q163" s="16"/>
      <c r="R163" s="16"/>
      <c r="S163" s="16"/>
      <c r="T163" s="16"/>
      <c r="U163" s="16"/>
      <c r="V163" s="16"/>
    </row>
    <row r="164" spans="1:22" ht="15.75" customHeight="1" x14ac:dyDescent="0.25">
      <c r="A164" s="16"/>
      <c r="B164" s="16"/>
      <c r="C164" s="16"/>
      <c r="D164" s="16"/>
      <c r="E164" s="16"/>
      <c r="F164" s="16"/>
      <c r="G164" s="16"/>
      <c r="H164" s="16"/>
      <c r="I164" s="16"/>
      <c r="J164" s="16"/>
      <c r="K164" s="16"/>
      <c r="L164" s="16"/>
      <c r="M164" s="16"/>
      <c r="N164" s="16"/>
      <c r="O164" s="16"/>
      <c r="P164" s="16"/>
      <c r="Q164" s="16"/>
      <c r="R164" s="16"/>
      <c r="S164" s="16"/>
      <c r="T164" s="16"/>
      <c r="U164" s="16"/>
      <c r="V164" s="16"/>
    </row>
    <row r="165" spans="1:22" ht="15.75" customHeight="1" x14ac:dyDescent="0.25">
      <c r="A165" s="16"/>
      <c r="B165" s="16"/>
      <c r="C165" s="16"/>
      <c r="D165" s="16"/>
      <c r="E165" s="16"/>
      <c r="F165" s="16"/>
      <c r="G165" s="16"/>
      <c r="H165" s="16"/>
      <c r="I165" s="16"/>
      <c r="J165" s="16"/>
      <c r="K165" s="16"/>
      <c r="L165" s="16"/>
      <c r="M165" s="16"/>
      <c r="N165" s="16"/>
      <c r="O165" s="16"/>
      <c r="P165" s="16"/>
      <c r="Q165" s="16"/>
      <c r="R165" s="16"/>
      <c r="S165" s="16"/>
      <c r="T165" s="16"/>
      <c r="U165" s="16"/>
      <c r="V165" s="16"/>
    </row>
    <row r="166" spans="1:22" ht="15.75" customHeight="1" x14ac:dyDescent="0.25">
      <c r="A166" s="16"/>
      <c r="B166" s="16"/>
      <c r="C166" s="16"/>
      <c r="D166" s="16"/>
      <c r="E166" s="16"/>
      <c r="F166" s="16"/>
      <c r="G166" s="16"/>
      <c r="H166" s="16"/>
      <c r="I166" s="16"/>
      <c r="J166" s="16"/>
      <c r="K166" s="16"/>
      <c r="L166" s="16"/>
      <c r="M166" s="16"/>
      <c r="N166" s="16"/>
      <c r="O166" s="16"/>
      <c r="P166" s="16"/>
      <c r="Q166" s="16"/>
      <c r="R166" s="16"/>
      <c r="S166" s="16"/>
      <c r="T166" s="16"/>
      <c r="U166" s="16"/>
      <c r="V166" s="16"/>
    </row>
    <row r="167" spans="1:22" ht="15.75" customHeight="1" x14ac:dyDescent="0.25">
      <c r="A167" s="16"/>
      <c r="B167" s="16"/>
      <c r="C167" s="16"/>
      <c r="D167" s="16"/>
      <c r="E167" s="16"/>
      <c r="F167" s="16"/>
      <c r="G167" s="16"/>
      <c r="H167" s="16"/>
      <c r="I167" s="16"/>
      <c r="J167" s="16"/>
      <c r="K167" s="16"/>
      <c r="L167" s="16"/>
      <c r="M167" s="16"/>
      <c r="N167" s="16"/>
      <c r="O167" s="16"/>
      <c r="P167" s="16"/>
      <c r="Q167" s="16"/>
      <c r="R167" s="16"/>
      <c r="S167" s="16"/>
      <c r="T167" s="16"/>
      <c r="U167" s="16"/>
      <c r="V167" s="16"/>
    </row>
    <row r="168" spans="1:22" ht="15.75" customHeight="1" x14ac:dyDescent="0.25">
      <c r="A168" s="16"/>
      <c r="B168" s="16"/>
      <c r="C168" s="16"/>
      <c r="D168" s="16"/>
      <c r="E168" s="16"/>
      <c r="F168" s="16"/>
      <c r="G168" s="16"/>
      <c r="H168" s="16"/>
      <c r="I168" s="16"/>
      <c r="J168" s="16"/>
      <c r="K168" s="16"/>
      <c r="L168" s="16"/>
      <c r="M168" s="16"/>
      <c r="N168" s="16"/>
      <c r="O168" s="16"/>
      <c r="P168" s="16"/>
      <c r="Q168" s="16"/>
      <c r="R168" s="16"/>
      <c r="S168" s="16"/>
      <c r="T168" s="16"/>
      <c r="U168" s="16"/>
      <c r="V168" s="16"/>
    </row>
    <row r="169" spans="1:22" ht="15.75" customHeight="1" x14ac:dyDescent="0.25">
      <c r="A169" s="16"/>
      <c r="B169" s="16"/>
      <c r="C169" s="16"/>
      <c r="D169" s="16"/>
      <c r="E169" s="16"/>
      <c r="F169" s="16"/>
      <c r="G169" s="16"/>
      <c r="H169" s="16"/>
      <c r="I169" s="16"/>
      <c r="J169" s="16"/>
      <c r="K169" s="16"/>
      <c r="L169" s="16"/>
      <c r="M169" s="16"/>
      <c r="N169" s="16"/>
      <c r="O169" s="16"/>
      <c r="P169" s="16"/>
      <c r="Q169" s="16"/>
      <c r="R169" s="16"/>
      <c r="S169" s="16"/>
      <c r="T169" s="16"/>
      <c r="U169" s="16"/>
      <c r="V169" s="16"/>
    </row>
    <row r="170" spans="1:22" ht="15.75" customHeight="1" x14ac:dyDescent="0.25">
      <c r="A170" s="16"/>
      <c r="B170" s="16"/>
      <c r="C170" s="16"/>
      <c r="D170" s="16"/>
      <c r="E170" s="16"/>
      <c r="F170" s="16"/>
      <c r="G170" s="16"/>
      <c r="H170" s="16"/>
      <c r="I170" s="16"/>
      <c r="J170" s="16"/>
      <c r="K170" s="16"/>
      <c r="L170" s="16"/>
      <c r="M170" s="16"/>
      <c r="N170" s="16"/>
      <c r="O170" s="16"/>
      <c r="P170" s="16"/>
      <c r="Q170" s="16"/>
      <c r="R170" s="16"/>
      <c r="S170" s="16"/>
      <c r="T170" s="16"/>
      <c r="U170" s="16"/>
      <c r="V170" s="16"/>
    </row>
    <row r="171" spans="1:22" ht="15.75" customHeight="1" x14ac:dyDescent="0.25">
      <c r="A171" s="16"/>
      <c r="B171" s="16"/>
      <c r="C171" s="16"/>
      <c r="D171" s="16"/>
      <c r="E171" s="16"/>
      <c r="F171" s="16"/>
      <c r="G171" s="16"/>
      <c r="H171" s="16"/>
      <c r="I171" s="16"/>
      <c r="J171" s="16"/>
      <c r="K171" s="16"/>
      <c r="L171" s="16"/>
      <c r="M171" s="16"/>
      <c r="N171" s="16"/>
      <c r="O171" s="16"/>
      <c r="P171" s="16"/>
      <c r="Q171" s="16"/>
      <c r="R171" s="16"/>
      <c r="S171" s="16"/>
      <c r="T171" s="16"/>
      <c r="U171" s="16"/>
      <c r="V171" s="16"/>
    </row>
    <row r="172" spans="1:22" ht="15.75" customHeight="1" x14ac:dyDescent="0.25">
      <c r="A172" s="16"/>
      <c r="B172" s="16"/>
      <c r="C172" s="16"/>
      <c r="D172" s="16"/>
      <c r="E172" s="16"/>
      <c r="F172" s="16"/>
      <c r="G172" s="16"/>
      <c r="H172" s="16"/>
      <c r="I172" s="16"/>
      <c r="J172" s="16"/>
      <c r="K172" s="16"/>
      <c r="L172" s="16"/>
      <c r="M172" s="16"/>
      <c r="N172" s="16"/>
      <c r="O172" s="16"/>
      <c r="P172" s="16"/>
      <c r="Q172" s="16"/>
      <c r="R172" s="16"/>
      <c r="S172" s="16"/>
      <c r="T172" s="16"/>
      <c r="U172" s="16"/>
      <c r="V172" s="16"/>
    </row>
    <row r="173" spans="1:22" ht="15.75" customHeight="1" x14ac:dyDescent="0.25">
      <c r="A173" s="16"/>
      <c r="B173" s="16"/>
      <c r="C173" s="16"/>
      <c r="D173" s="16"/>
      <c r="E173" s="16"/>
      <c r="F173" s="16"/>
      <c r="G173" s="16"/>
      <c r="H173" s="16"/>
      <c r="I173" s="16"/>
      <c r="J173" s="16"/>
      <c r="K173" s="16"/>
      <c r="L173" s="16"/>
      <c r="M173" s="16"/>
      <c r="N173" s="16"/>
      <c r="O173" s="16"/>
      <c r="P173" s="16"/>
      <c r="Q173" s="16"/>
      <c r="R173" s="16"/>
      <c r="S173" s="16"/>
      <c r="T173" s="16"/>
      <c r="U173" s="16"/>
      <c r="V173" s="16"/>
    </row>
    <row r="174" spans="1:22" ht="15.75" customHeight="1" x14ac:dyDescent="0.25">
      <c r="A174" s="16"/>
      <c r="B174" s="16"/>
      <c r="C174" s="16"/>
      <c r="D174" s="16"/>
      <c r="E174" s="16"/>
      <c r="F174" s="16"/>
      <c r="G174" s="16"/>
      <c r="H174" s="16"/>
      <c r="I174" s="16"/>
      <c r="J174" s="16"/>
      <c r="K174" s="16"/>
      <c r="L174" s="16"/>
      <c r="M174" s="16"/>
      <c r="N174" s="16"/>
      <c r="O174" s="16"/>
      <c r="P174" s="16"/>
      <c r="Q174" s="16"/>
      <c r="R174" s="16"/>
      <c r="S174" s="16"/>
      <c r="T174" s="16"/>
      <c r="U174" s="16"/>
      <c r="V174" s="16"/>
    </row>
    <row r="175" spans="1:22" ht="15.75" customHeight="1" x14ac:dyDescent="0.25">
      <c r="A175" s="16"/>
      <c r="B175" s="16"/>
      <c r="C175" s="16"/>
      <c r="D175" s="16"/>
      <c r="E175" s="16"/>
      <c r="F175" s="16"/>
      <c r="G175" s="16"/>
      <c r="H175" s="16"/>
      <c r="I175" s="16"/>
      <c r="J175" s="16"/>
      <c r="K175" s="16"/>
      <c r="L175" s="16"/>
      <c r="M175" s="16"/>
      <c r="N175" s="16"/>
      <c r="O175" s="16"/>
      <c r="P175" s="16"/>
      <c r="Q175" s="16"/>
      <c r="R175" s="16"/>
      <c r="S175" s="16"/>
      <c r="T175" s="16"/>
      <c r="U175" s="16"/>
      <c r="V175" s="16"/>
    </row>
    <row r="176" spans="1:22" ht="15.75" customHeight="1" x14ac:dyDescent="0.25">
      <c r="A176" s="16"/>
      <c r="B176" s="16"/>
      <c r="C176" s="16"/>
      <c r="D176" s="16"/>
      <c r="E176" s="16"/>
      <c r="F176" s="16"/>
      <c r="G176" s="16"/>
      <c r="H176" s="16"/>
      <c r="I176" s="16"/>
      <c r="J176" s="16"/>
      <c r="K176" s="16"/>
      <c r="L176" s="16"/>
      <c r="M176" s="16"/>
      <c r="N176" s="16"/>
      <c r="O176" s="16"/>
      <c r="P176" s="16"/>
      <c r="Q176" s="16"/>
      <c r="R176" s="16"/>
      <c r="S176" s="16"/>
      <c r="T176" s="16"/>
      <c r="U176" s="16"/>
      <c r="V176" s="16"/>
    </row>
    <row r="177" spans="1:22" ht="15.75" customHeight="1" x14ac:dyDescent="0.25">
      <c r="A177" s="16"/>
      <c r="B177" s="16"/>
      <c r="C177" s="16"/>
      <c r="D177" s="16"/>
      <c r="E177" s="16"/>
      <c r="F177" s="16"/>
      <c r="G177" s="16"/>
      <c r="H177" s="16"/>
      <c r="I177" s="16"/>
      <c r="J177" s="16"/>
      <c r="K177" s="16"/>
      <c r="L177" s="16"/>
      <c r="M177" s="16"/>
      <c r="N177" s="16"/>
      <c r="O177" s="16"/>
      <c r="P177" s="16"/>
      <c r="Q177" s="16"/>
      <c r="R177" s="16"/>
      <c r="S177" s="16"/>
      <c r="T177" s="16"/>
      <c r="U177" s="16"/>
      <c r="V177" s="16"/>
    </row>
    <row r="178" spans="1:22" ht="15.75" customHeight="1" x14ac:dyDescent="0.25">
      <c r="A178" s="16"/>
      <c r="B178" s="16"/>
      <c r="C178" s="16"/>
      <c r="D178" s="16"/>
      <c r="E178" s="16"/>
      <c r="F178" s="16"/>
      <c r="G178" s="16"/>
      <c r="H178" s="16"/>
      <c r="I178" s="16"/>
      <c r="J178" s="16"/>
      <c r="K178" s="16"/>
      <c r="L178" s="16"/>
      <c r="M178" s="16"/>
      <c r="N178" s="16"/>
      <c r="O178" s="16"/>
      <c r="P178" s="16"/>
      <c r="Q178" s="16"/>
      <c r="R178" s="16"/>
      <c r="S178" s="16"/>
      <c r="T178" s="16"/>
      <c r="U178" s="16"/>
      <c r="V178" s="16"/>
    </row>
    <row r="179" spans="1:22" ht="15.75" customHeight="1" x14ac:dyDescent="0.25">
      <c r="A179" s="16"/>
      <c r="B179" s="16"/>
      <c r="C179" s="16"/>
      <c r="D179" s="16"/>
      <c r="E179" s="16"/>
      <c r="F179" s="16"/>
      <c r="G179" s="16"/>
      <c r="H179" s="16"/>
      <c r="I179" s="16"/>
      <c r="J179" s="16"/>
      <c r="K179" s="16"/>
      <c r="L179" s="16"/>
      <c r="M179" s="16"/>
      <c r="N179" s="16"/>
      <c r="O179" s="16"/>
      <c r="P179" s="16"/>
      <c r="Q179" s="16"/>
      <c r="R179" s="16"/>
      <c r="S179" s="16"/>
      <c r="T179" s="16"/>
      <c r="U179" s="16"/>
      <c r="V179" s="16"/>
    </row>
    <row r="180" spans="1:22" ht="15.75" customHeight="1" x14ac:dyDescent="0.25">
      <c r="A180" s="16"/>
      <c r="B180" s="16"/>
      <c r="C180" s="16"/>
      <c r="D180" s="16"/>
      <c r="E180" s="16"/>
      <c r="F180" s="16"/>
      <c r="G180" s="16"/>
      <c r="H180" s="16"/>
      <c r="I180" s="16"/>
      <c r="J180" s="16"/>
      <c r="K180" s="16"/>
      <c r="L180" s="16"/>
      <c r="M180" s="16"/>
      <c r="N180" s="16"/>
      <c r="O180" s="16"/>
      <c r="P180" s="16"/>
      <c r="Q180" s="16"/>
      <c r="R180" s="16"/>
      <c r="S180" s="16"/>
      <c r="T180" s="16"/>
      <c r="U180" s="16"/>
      <c r="V180" s="16"/>
    </row>
    <row r="181" spans="1:22" ht="15.75" customHeight="1" x14ac:dyDescent="0.25">
      <c r="A181" s="16"/>
      <c r="B181" s="16"/>
      <c r="C181" s="16"/>
      <c r="D181" s="16"/>
      <c r="E181" s="16"/>
      <c r="F181" s="16"/>
      <c r="G181" s="16"/>
      <c r="H181" s="16"/>
      <c r="I181" s="16"/>
      <c r="J181" s="16"/>
      <c r="K181" s="16"/>
      <c r="L181" s="16"/>
      <c r="M181" s="16"/>
      <c r="N181" s="16"/>
      <c r="O181" s="16"/>
      <c r="P181" s="16"/>
      <c r="Q181" s="16"/>
      <c r="R181" s="16"/>
      <c r="S181" s="16"/>
      <c r="T181" s="16"/>
      <c r="U181" s="16"/>
      <c r="V181" s="16"/>
    </row>
    <row r="182" spans="1:22" ht="15.75" customHeight="1" x14ac:dyDescent="0.25">
      <c r="A182" s="16"/>
      <c r="B182" s="16"/>
      <c r="C182" s="16"/>
      <c r="D182" s="16"/>
      <c r="E182" s="16"/>
      <c r="F182" s="16"/>
      <c r="G182" s="16"/>
      <c r="H182" s="16"/>
      <c r="I182" s="16"/>
      <c r="J182" s="16"/>
      <c r="K182" s="16"/>
      <c r="L182" s="16"/>
      <c r="M182" s="16"/>
      <c r="N182" s="16"/>
      <c r="O182" s="16"/>
      <c r="P182" s="16"/>
      <c r="Q182" s="16"/>
      <c r="R182" s="16"/>
      <c r="S182" s="16"/>
      <c r="T182" s="16"/>
      <c r="U182" s="16"/>
      <c r="V182" s="16"/>
    </row>
    <row r="183" spans="1:22" ht="15.75" customHeight="1" x14ac:dyDescent="0.25">
      <c r="A183" s="16"/>
      <c r="B183" s="16"/>
      <c r="C183" s="16"/>
      <c r="D183" s="16"/>
      <c r="E183" s="16"/>
      <c r="F183" s="16"/>
      <c r="G183" s="16"/>
      <c r="H183" s="16"/>
      <c r="I183" s="16"/>
      <c r="J183" s="16"/>
      <c r="K183" s="16"/>
      <c r="L183" s="16"/>
      <c r="M183" s="16"/>
      <c r="N183" s="16"/>
      <c r="O183" s="16"/>
      <c r="P183" s="16"/>
      <c r="Q183" s="16"/>
      <c r="R183" s="16"/>
      <c r="S183" s="16"/>
      <c r="T183" s="16"/>
      <c r="U183" s="16"/>
      <c r="V183" s="16"/>
    </row>
    <row r="184" spans="1:22" ht="15.75" customHeight="1" x14ac:dyDescent="0.25">
      <c r="A184" s="16"/>
      <c r="B184" s="16"/>
      <c r="C184" s="16"/>
      <c r="D184" s="16"/>
      <c r="E184" s="16"/>
      <c r="F184" s="16"/>
      <c r="G184" s="16"/>
      <c r="H184" s="16"/>
      <c r="I184" s="16"/>
      <c r="J184" s="16"/>
      <c r="K184" s="16"/>
      <c r="L184" s="16"/>
      <c r="M184" s="16"/>
      <c r="N184" s="16"/>
      <c r="O184" s="16"/>
      <c r="P184" s="16"/>
      <c r="Q184" s="16"/>
      <c r="R184" s="16"/>
      <c r="S184" s="16"/>
      <c r="T184" s="16"/>
      <c r="U184" s="16"/>
      <c r="V184" s="16"/>
    </row>
    <row r="185" spans="1:22" ht="15.75" customHeight="1" x14ac:dyDescent="0.25">
      <c r="A185" s="16"/>
      <c r="B185" s="16"/>
      <c r="C185" s="16"/>
      <c r="D185" s="16"/>
      <c r="E185" s="16"/>
      <c r="F185" s="16"/>
      <c r="G185" s="16"/>
      <c r="H185" s="16"/>
      <c r="I185" s="16"/>
      <c r="J185" s="16"/>
      <c r="K185" s="16"/>
      <c r="L185" s="16"/>
      <c r="M185" s="16"/>
      <c r="N185" s="16"/>
      <c r="O185" s="16"/>
      <c r="P185" s="16"/>
      <c r="Q185" s="16"/>
      <c r="R185" s="16"/>
      <c r="S185" s="16"/>
      <c r="T185" s="16"/>
      <c r="U185" s="16"/>
      <c r="V185" s="16"/>
    </row>
    <row r="186" spans="1:22" ht="15.75" customHeight="1" x14ac:dyDescent="0.25">
      <c r="A186" s="16"/>
      <c r="B186" s="16"/>
      <c r="C186" s="16"/>
      <c r="D186" s="16"/>
      <c r="E186" s="16"/>
      <c r="F186" s="16"/>
      <c r="G186" s="16"/>
      <c r="H186" s="16"/>
      <c r="I186" s="16"/>
      <c r="J186" s="16"/>
      <c r="K186" s="16"/>
      <c r="L186" s="16"/>
      <c r="M186" s="16"/>
      <c r="N186" s="16"/>
      <c r="O186" s="16"/>
      <c r="P186" s="16"/>
      <c r="Q186" s="16"/>
      <c r="R186" s="16"/>
      <c r="S186" s="16"/>
      <c r="T186" s="16"/>
      <c r="U186" s="16"/>
      <c r="V186" s="16"/>
    </row>
    <row r="187" spans="1:22" ht="15.75" customHeight="1" x14ac:dyDescent="0.25">
      <c r="A187" s="16"/>
      <c r="B187" s="16"/>
      <c r="C187" s="16"/>
      <c r="D187" s="16"/>
      <c r="E187" s="16"/>
      <c r="F187" s="16"/>
      <c r="G187" s="16"/>
      <c r="H187" s="16"/>
      <c r="I187" s="16"/>
      <c r="J187" s="16"/>
      <c r="K187" s="16"/>
      <c r="L187" s="16"/>
      <c r="M187" s="16"/>
      <c r="N187" s="16"/>
      <c r="O187" s="16"/>
      <c r="P187" s="16"/>
      <c r="Q187" s="16"/>
      <c r="R187" s="16"/>
      <c r="S187" s="16"/>
      <c r="T187" s="16"/>
      <c r="U187" s="16"/>
      <c r="V187" s="16"/>
    </row>
    <row r="188" spans="1:22" ht="15.75" customHeight="1" x14ac:dyDescent="0.25">
      <c r="A188" s="16"/>
      <c r="B188" s="16"/>
      <c r="C188" s="16"/>
      <c r="D188" s="16"/>
      <c r="E188" s="16"/>
      <c r="F188" s="16"/>
      <c r="G188" s="16"/>
      <c r="H188" s="16"/>
      <c r="I188" s="16"/>
      <c r="J188" s="16"/>
      <c r="K188" s="16"/>
      <c r="L188" s="16"/>
      <c r="M188" s="16"/>
      <c r="N188" s="16"/>
      <c r="O188" s="16"/>
      <c r="P188" s="16"/>
      <c r="Q188" s="16"/>
      <c r="R188" s="16"/>
      <c r="S188" s="16"/>
      <c r="T188" s="16"/>
      <c r="U188" s="16"/>
      <c r="V188" s="16"/>
    </row>
    <row r="189" spans="1:22" ht="15.75" customHeight="1" x14ac:dyDescent="0.25">
      <c r="A189" s="16"/>
      <c r="B189" s="16"/>
      <c r="C189" s="16"/>
      <c r="D189" s="16"/>
      <c r="E189" s="16"/>
      <c r="F189" s="16"/>
      <c r="G189" s="16"/>
      <c r="H189" s="16"/>
      <c r="I189" s="16"/>
      <c r="J189" s="16"/>
      <c r="K189" s="16"/>
      <c r="L189" s="16"/>
      <c r="M189" s="16"/>
      <c r="N189" s="16"/>
      <c r="O189" s="16"/>
      <c r="P189" s="16"/>
      <c r="Q189" s="16"/>
      <c r="R189" s="16"/>
      <c r="S189" s="16"/>
      <c r="T189" s="16"/>
      <c r="U189" s="16"/>
      <c r="V189" s="16"/>
    </row>
    <row r="190" spans="1:22" ht="15.75" customHeight="1" x14ac:dyDescent="0.25">
      <c r="A190" s="16"/>
      <c r="B190" s="16"/>
      <c r="C190" s="16"/>
      <c r="D190" s="16"/>
      <c r="E190" s="16"/>
      <c r="F190" s="16"/>
      <c r="G190" s="16"/>
      <c r="H190" s="16"/>
      <c r="I190" s="16"/>
      <c r="J190" s="16"/>
      <c r="K190" s="16"/>
      <c r="L190" s="16"/>
      <c r="M190" s="16"/>
      <c r="N190" s="16"/>
      <c r="O190" s="16"/>
      <c r="P190" s="16"/>
      <c r="Q190" s="16"/>
      <c r="R190" s="16"/>
      <c r="S190" s="16"/>
      <c r="T190" s="16"/>
      <c r="U190" s="16"/>
      <c r="V190" s="16"/>
    </row>
    <row r="191" spans="1:22" ht="15.75" customHeight="1" x14ac:dyDescent="0.25">
      <c r="A191" s="16"/>
      <c r="B191" s="16"/>
      <c r="C191" s="16"/>
      <c r="D191" s="16"/>
      <c r="E191" s="16"/>
      <c r="F191" s="16"/>
      <c r="G191" s="16"/>
      <c r="H191" s="16"/>
      <c r="I191" s="16"/>
      <c r="J191" s="16"/>
      <c r="K191" s="16"/>
      <c r="L191" s="16"/>
      <c r="M191" s="16"/>
      <c r="N191" s="16"/>
      <c r="O191" s="16"/>
      <c r="P191" s="16"/>
      <c r="Q191" s="16"/>
      <c r="R191" s="16"/>
      <c r="S191" s="16"/>
      <c r="T191" s="16"/>
      <c r="U191" s="16"/>
      <c r="V191" s="16"/>
    </row>
    <row r="192" spans="1:22" ht="15.75" customHeight="1" x14ac:dyDescent="0.25">
      <c r="A192" s="16"/>
      <c r="B192" s="16"/>
      <c r="C192" s="16"/>
      <c r="D192" s="16"/>
      <c r="E192" s="16"/>
      <c r="F192" s="16"/>
      <c r="G192" s="16"/>
      <c r="H192" s="16"/>
      <c r="I192" s="16"/>
      <c r="J192" s="16"/>
      <c r="K192" s="16"/>
      <c r="L192" s="16"/>
      <c r="M192" s="16"/>
      <c r="N192" s="16"/>
      <c r="O192" s="16"/>
      <c r="P192" s="16"/>
      <c r="Q192" s="16"/>
      <c r="R192" s="16"/>
      <c r="S192" s="16"/>
      <c r="T192" s="16"/>
      <c r="U192" s="16"/>
      <c r="V192" s="16"/>
    </row>
    <row r="193" spans="1:22" ht="15.75" customHeight="1" x14ac:dyDescent="0.25">
      <c r="A193" s="16"/>
      <c r="B193" s="16"/>
      <c r="C193" s="16"/>
      <c r="D193" s="16"/>
      <c r="E193" s="16"/>
      <c r="F193" s="16"/>
      <c r="G193" s="16"/>
      <c r="H193" s="16"/>
      <c r="I193" s="16"/>
      <c r="J193" s="16"/>
      <c r="K193" s="16"/>
      <c r="L193" s="16"/>
      <c r="M193" s="16"/>
      <c r="N193" s="16"/>
      <c r="O193" s="16"/>
      <c r="P193" s="16"/>
      <c r="Q193" s="16"/>
      <c r="R193" s="16"/>
      <c r="S193" s="16"/>
      <c r="T193" s="16"/>
      <c r="U193" s="16"/>
      <c r="V193" s="16"/>
    </row>
    <row r="194" spans="1:22" ht="15.75" customHeight="1" x14ac:dyDescent="0.25">
      <c r="A194" s="16"/>
      <c r="B194" s="16"/>
      <c r="C194" s="16"/>
      <c r="D194" s="16"/>
      <c r="E194" s="16"/>
      <c r="F194" s="16"/>
      <c r="G194" s="16"/>
      <c r="H194" s="16"/>
      <c r="I194" s="16"/>
      <c r="J194" s="16"/>
      <c r="K194" s="16"/>
      <c r="L194" s="16"/>
      <c r="M194" s="16"/>
      <c r="N194" s="16"/>
      <c r="O194" s="16"/>
      <c r="P194" s="16"/>
      <c r="Q194" s="16"/>
      <c r="R194" s="16"/>
      <c r="S194" s="16"/>
      <c r="T194" s="16"/>
      <c r="U194" s="16"/>
      <c r="V194" s="16"/>
    </row>
    <row r="195" spans="1:22" ht="15.75" customHeight="1" x14ac:dyDescent="0.25">
      <c r="A195" s="16"/>
      <c r="B195" s="16"/>
      <c r="C195" s="16"/>
      <c r="D195" s="16"/>
      <c r="E195" s="16"/>
      <c r="F195" s="16"/>
      <c r="G195" s="16"/>
      <c r="H195" s="16"/>
      <c r="I195" s="16"/>
      <c r="J195" s="16"/>
      <c r="K195" s="16"/>
      <c r="L195" s="16"/>
      <c r="M195" s="16"/>
      <c r="N195" s="16"/>
      <c r="O195" s="16"/>
      <c r="P195" s="16"/>
      <c r="Q195" s="16"/>
      <c r="R195" s="16"/>
      <c r="S195" s="16"/>
      <c r="T195" s="16"/>
      <c r="U195" s="16"/>
      <c r="V195" s="16"/>
    </row>
    <row r="196" spans="1:22" ht="15.75" customHeight="1" x14ac:dyDescent="0.25">
      <c r="A196" s="16"/>
      <c r="B196" s="16"/>
      <c r="C196" s="16"/>
      <c r="D196" s="16"/>
      <c r="E196" s="16"/>
      <c r="F196" s="16"/>
      <c r="G196" s="16"/>
      <c r="H196" s="16"/>
      <c r="I196" s="16"/>
      <c r="J196" s="16"/>
      <c r="K196" s="16"/>
      <c r="L196" s="16"/>
      <c r="M196" s="16"/>
      <c r="N196" s="16"/>
      <c r="O196" s="16"/>
      <c r="P196" s="16"/>
      <c r="Q196" s="16"/>
      <c r="R196" s="16"/>
      <c r="S196" s="16"/>
      <c r="T196" s="16"/>
      <c r="U196" s="16"/>
      <c r="V196" s="16"/>
    </row>
    <row r="197" spans="1:22" ht="15.75" customHeight="1" x14ac:dyDescent="0.25">
      <c r="A197" s="16"/>
      <c r="B197" s="16"/>
      <c r="C197" s="16"/>
      <c r="D197" s="16"/>
      <c r="E197" s="16"/>
      <c r="F197" s="16"/>
      <c r="G197" s="16"/>
      <c r="H197" s="16"/>
      <c r="I197" s="16"/>
      <c r="J197" s="16"/>
      <c r="K197" s="16"/>
      <c r="L197" s="16"/>
      <c r="M197" s="16"/>
      <c r="N197" s="16"/>
      <c r="O197" s="16"/>
      <c r="P197" s="16"/>
      <c r="Q197" s="16"/>
      <c r="R197" s="16"/>
      <c r="S197" s="16"/>
      <c r="T197" s="16"/>
      <c r="U197" s="16"/>
      <c r="V197" s="16"/>
    </row>
    <row r="198" spans="1:22" ht="15.75" customHeight="1" x14ac:dyDescent="0.25">
      <c r="A198" s="16"/>
      <c r="B198" s="16"/>
      <c r="C198" s="16"/>
      <c r="D198" s="16"/>
      <c r="E198" s="16"/>
      <c r="F198" s="16"/>
      <c r="G198" s="16"/>
      <c r="H198" s="16"/>
      <c r="I198" s="16"/>
      <c r="J198" s="16"/>
      <c r="K198" s="16"/>
      <c r="L198" s="16"/>
      <c r="M198" s="16"/>
      <c r="N198" s="16"/>
      <c r="O198" s="16"/>
      <c r="P198" s="16"/>
      <c r="Q198" s="16"/>
      <c r="R198" s="16"/>
      <c r="S198" s="16"/>
      <c r="T198" s="16"/>
      <c r="U198" s="16"/>
      <c r="V198" s="16"/>
    </row>
    <row r="199" spans="1:22" ht="15.75" customHeight="1" x14ac:dyDescent="0.25">
      <c r="A199" s="16"/>
      <c r="B199" s="16"/>
      <c r="C199" s="16"/>
      <c r="D199" s="16"/>
      <c r="E199" s="16"/>
      <c r="F199" s="16"/>
      <c r="G199" s="16"/>
      <c r="H199" s="16"/>
      <c r="I199" s="16"/>
      <c r="J199" s="16"/>
      <c r="K199" s="16"/>
      <c r="L199" s="16"/>
      <c r="M199" s="16"/>
      <c r="N199" s="16"/>
      <c r="O199" s="16"/>
      <c r="P199" s="16"/>
      <c r="Q199" s="16"/>
      <c r="R199" s="16"/>
      <c r="S199" s="16"/>
      <c r="T199" s="16"/>
      <c r="U199" s="16"/>
      <c r="V199" s="16"/>
    </row>
    <row r="200" spans="1:22" ht="15.75" customHeight="1" x14ac:dyDescent="0.25">
      <c r="A200" s="16"/>
      <c r="B200" s="16"/>
      <c r="C200" s="16"/>
      <c r="D200" s="16"/>
      <c r="E200" s="16"/>
      <c r="F200" s="16"/>
      <c r="G200" s="16"/>
      <c r="H200" s="16"/>
      <c r="I200" s="16"/>
      <c r="J200" s="16"/>
      <c r="K200" s="16"/>
      <c r="L200" s="16"/>
      <c r="M200" s="16"/>
      <c r="N200" s="16"/>
      <c r="O200" s="16"/>
      <c r="P200" s="16"/>
      <c r="Q200" s="16"/>
      <c r="R200" s="16"/>
      <c r="S200" s="16"/>
      <c r="T200" s="16"/>
      <c r="U200" s="16"/>
      <c r="V200" s="16"/>
    </row>
    <row r="201" spans="1:22" ht="15.75" customHeight="1" x14ac:dyDescent="0.25">
      <c r="A201" s="16"/>
      <c r="B201" s="16"/>
      <c r="C201" s="16"/>
      <c r="D201" s="16"/>
      <c r="E201" s="16"/>
      <c r="F201" s="16"/>
      <c r="G201" s="16"/>
      <c r="H201" s="16"/>
      <c r="I201" s="16"/>
      <c r="J201" s="16"/>
      <c r="K201" s="16"/>
      <c r="L201" s="16"/>
      <c r="M201" s="16"/>
      <c r="N201" s="16"/>
      <c r="O201" s="16"/>
      <c r="P201" s="16"/>
      <c r="Q201" s="16"/>
      <c r="R201" s="16"/>
      <c r="S201" s="16"/>
      <c r="T201" s="16"/>
      <c r="U201" s="16"/>
      <c r="V201" s="16"/>
    </row>
    <row r="202" spans="1:22" ht="15.75" customHeight="1" x14ac:dyDescent="0.25">
      <c r="A202" s="16"/>
      <c r="B202" s="16"/>
      <c r="C202" s="16"/>
      <c r="D202" s="16"/>
      <c r="E202" s="16"/>
      <c r="F202" s="16"/>
      <c r="G202" s="16"/>
      <c r="H202" s="16"/>
      <c r="I202" s="16"/>
      <c r="J202" s="16"/>
      <c r="K202" s="16"/>
      <c r="L202" s="16"/>
      <c r="M202" s="16"/>
      <c r="N202" s="16"/>
      <c r="O202" s="16"/>
      <c r="P202" s="16"/>
      <c r="Q202" s="16"/>
      <c r="R202" s="16"/>
      <c r="S202" s="16"/>
      <c r="T202" s="16"/>
      <c r="U202" s="16"/>
      <c r="V202" s="16"/>
    </row>
    <row r="203" spans="1:22" ht="15.75" customHeight="1" x14ac:dyDescent="0.25">
      <c r="A203" s="16"/>
      <c r="B203" s="16"/>
      <c r="C203" s="16"/>
      <c r="D203" s="16"/>
      <c r="E203" s="16"/>
      <c r="F203" s="16"/>
      <c r="G203" s="16"/>
      <c r="H203" s="16"/>
      <c r="I203" s="16"/>
      <c r="J203" s="16"/>
      <c r="K203" s="16"/>
      <c r="L203" s="16"/>
      <c r="M203" s="16"/>
      <c r="N203" s="16"/>
      <c r="O203" s="16"/>
      <c r="P203" s="16"/>
      <c r="Q203" s="16"/>
      <c r="R203" s="16"/>
      <c r="S203" s="16"/>
      <c r="T203" s="16"/>
      <c r="U203" s="16"/>
      <c r="V203" s="16"/>
    </row>
    <row r="204" spans="1:22" ht="15.75" customHeight="1" x14ac:dyDescent="0.25">
      <c r="A204" s="16"/>
      <c r="B204" s="16"/>
      <c r="C204" s="16"/>
      <c r="D204" s="16"/>
      <c r="E204" s="16"/>
      <c r="F204" s="16"/>
      <c r="G204" s="16"/>
      <c r="H204" s="16"/>
      <c r="I204" s="16"/>
      <c r="J204" s="16"/>
      <c r="K204" s="16"/>
      <c r="L204" s="16"/>
      <c r="M204" s="16"/>
      <c r="N204" s="16"/>
      <c r="O204" s="16"/>
      <c r="P204" s="16"/>
      <c r="Q204" s="16"/>
      <c r="R204" s="16"/>
      <c r="S204" s="16"/>
      <c r="T204" s="16"/>
      <c r="U204" s="16"/>
      <c r="V204" s="16"/>
    </row>
    <row r="205" spans="1:22" ht="15.75" customHeight="1" x14ac:dyDescent="0.25">
      <c r="A205" s="16"/>
      <c r="B205" s="16"/>
      <c r="C205" s="16"/>
      <c r="D205" s="16"/>
      <c r="E205" s="16"/>
      <c r="F205" s="16"/>
      <c r="G205" s="16"/>
      <c r="H205" s="16"/>
      <c r="I205" s="16"/>
      <c r="J205" s="16"/>
      <c r="K205" s="16"/>
      <c r="L205" s="16"/>
      <c r="M205" s="16"/>
      <c r="N205" s="16"/>
      <c r="O205" s="16"/>
      <c r="P205" s="16"/>
      <c r="Q205" s="16"/>
      <c r="R205" s="16"/>
      <c r="S205" s="16"/>
      <c r="T205" s="16"/>
      <c r="U205" s="16"/>
      <c r="V205" s="16"/>
    </row>
    <row r="206" spans="1:22" ht="15.75" customHeight="1" x14ac:dyDescent="0.25">
      <c r="A206" s="16"/>
      <c r="B206" s="16"/>
      <c r="C206" s="16"/>
      <c r="D206" s="16"/>
      <c r="E206" s="16"/>
      <c r="F206" s="16"/>
      <c r="G206" s="16"/>
      <c r="H206" s="16"/>
      <c r="I206" s="16"/>
      <c r="J206" s="16"/>
      <c r="K206" s="16"/>
      <c r="L206" s="16"/>
      <c r="M206" s="16"/>
      <c r="N206" s="16"/>
      <c r="O206" s="16"/>
      <c r="P206" s="16"/>
      <c r="Q206" s="16"/>
      <c r="R206" s="16"/>
      <c r="S206" s="16"/>
      <c r="T206" s="16"/>
      <c r="U206" s="16"/>
      <c r="V206" s="16"/>
    </row>
    <row r="207" spans="1:22" ht="15.75" customHeight="1" x14ac:dyDescent="0.25">
      <c r="A207" s="16"/>
      <c r="B207" s="16"/>
      <c r="C207" s="16"/>
      <c r="D207" s="16"/>
      <c r="E207" s="16"/>
      <c r="F207" s="16"/>
      <c r="G207" s="16"/>
      <c r="H207" s="16"/>
      <c r="I207" s="16"/>
      <c r="J207" s="16"/>
      <c r="K207" s="16"/>
      <c r="L207" s="16"/>
      <c r="M207" s="16"/>
      <c r="N207" s="16"/>
      <c r="O207" s="16"/>
      <c r="P207" s="16"/>
      <c r="Q207" s="16"/>
      <c r="R207" s="16"/>
      <c r="S207" s="16"/>
      <c r="T207" s="16"/>
      <c r="U207" s="16"/>
      <c r="V207" s="16"/>
    </row>
    <row r="208" spans="1:22" ht="15.75" customHeight="1" x14ac:dyDescent="0.25">
      <c r="A208" s="16"/>
      <c r="B208" s="16"/>
      <c r="C208" s="16"/>
      <c r="D208" s="16"/>
      <c r="E208" s="16"/>
      <c r="F208" s="16"/>
      <c r="G208" s="16"/>
      <c r="H208" s="16"/>
      <c r="I208" s="16"/>
      <c r="J208" s="16"/>
      <c r="K208" s="16"/>
      <c r="L208" s="16"/>
      <c r="M208" s="16"/>
      <c r="N208" s="16"/>
      <c r="O208" s="16"/>
      <c r="P208" s="16"/>
      <c r="Q208" s="16"/>
      <c r="R208" s="16"/>
      <c r="S208" s="16"/>
      <c r="T208" s="16"/>
      <c r="U208" s="16"/>
      <c r="V208" s="16"/>
    </row>
    <row r="209" spans="1:22" ht="15.75" customHeight="1" x14ac:dyDescent="0.25">
      <c r="A209" s="16"/>
      <c r="B209" s="16"/>
      <c r="C209" s="16"/>
      <c r="D209" s="16"/>
      <c r="E209" s="16"/>
      <c r="F209" s="16"/>
      <c r="G209" s="16"/>
      <c r="H209" s="16"/>
      <c r="I209" s="16"/>
      <c r="J209" s="16"/>
      <c r="K209" s="16"/>
      <c r="L209" s="16"/>
      <c r="M209" s="16"/>
      <c r="N209" s="16"/>
      <c r="O209" s="16"/>
      <c r="P209" s="16"/>
      <c r="Q209" s="16"/>
      <c r="R209" s="16"/>
      <c r="S209" s="16"/>
      <c r="T209" s="16"/>
      <c r="U209" s="16"/>
      <c r="V209" s="16"/>
    </row>
    <row r="210" spans="1:22" ht="15.75" customHeight="1" x14ac:dyDescent="0.25">
      <c r="A210" s="16"/>
      <c r="B210" s="16"/>
      <c r="C210" s="16"/>
      <c r="D210" s="16"/>
      <c r="E210" s="16"/>
      <c r="F210" s="16"/>
      <c r="G210" s="16"/>
      <c r="H210" s="16"/>
      <c r="I210" s="16"/>
      <c r="J210" s="16"/>
      <c r="K210" s="16"/>
      <c r="L210" s="16"/>
      <c r="M210" s="16"/>
      <c r="N210" s="16"/>
      <c r="O210" s="16"/>
      <c r="P210" s="16"/>
      <c r="Q210" s="16"/>
      <c r="R210" s="16"/>
      <c r="S210" s="16"/>
      <c r="T210" s="16"/>
      <c r="U210" s="16"/>
      <c r="V210" s="16"/>
    </row>
    <row r="211" spans="1:22" ht="15.75" customHeight="1" x14ac:dyDescent="0.25">
      <c r="A211" s="16"/>
      <c r="B211" s="16"/>
      <c r="C211" s="16"/>
      <c r="D211" s="16"/>
      <c r="E211" s="16"/>
      <c r="F211" s="16"/>
      <c r="G211" s="16"/>
      <c r="H211" s="16"/>
      <c r="I211" s="16"/>
      <c r="J211" s="16"/>
      <c r="K211" s="16"/>
      <c r="L211" s="16"/>
      <c r="M211" s="16"/>
      <c r="N211" s="16"/>
      <c r="O211" s="16"/>
      <c r="P211" s="16"/>
      <c r="Q211" s="16"/>
      <c r="R211" s="16"/>
      <c r="S211" s="16"/>
      <c r="T211" s="16"/>
      <c r="U211" s="16"/>
      <c r="V211" s="16"/>
    </row>
    <row r="212" spans="1:22" ht="15.75" customHeight="1" x14ac:dyDescent="0.25">
      <c r="A212" s="16"/>
      <c r="B212" s="16"/>
      <c r="C212" s="16"/>
      <c r="D212" s="16"/>
      <c r="E212" s="16"/>
      <c r="F212" s="16"/>
      <c r="G212" s="16"/>
      <c r="H212" s="16"/>
      <c r="I212" s="16"/>
      <c r="J212" s="16"/>
      <c r="K212" s="16"/>
      <c r="L212" s="16"/>
      <c r="M212" s="16"/>
      <c r="N212" s="16"/>
      <c r="O212" s="16"/>
      <c r="P212" s="16"/>
      <c r="Q212" s="16"/>
      <c r="R212" s="16"/>
      <c r="S212" s="16"/>
      <c r="T212" s="16"/>
      <c r="U212" s="16"/>
      <c r="V212" s="16"/>
    </row>
    <row r="213" spans="1:22" ht="15.75" customHeight="1" x14ac:dyDescent="0.25">
      <c r="A213" s="16"/>
      <c r="B213" s="16"/>
      <c r="C213" s="16"/>
      <c r="D213" s="16"/>
      <c r="E213" s="16"/>
      <c r="F213" s="16"/>
      <c r="G213" s="16"/>
      <c r="H213" s="16"/>
      <c r="I213" s="16"/>
      <c r="J213" s="16"/>
      <c r="K213" s="16"/>
      <c r="L213" s="16"/>
      <c r="M213" s="16"/>
      <c r="N213" s="16"/>
      <c r="O213" s="16"/>
      <c r="P213" s="16"/>
      <c r="Q213" s="16"/>
      <c r="R213" s="16"/>
      <c r="S213" s="16"/>
      <c r="T213" s="16"/>
      <c r="U213" s="16"/>
      <c r="V213" s="16"/>
    </row>
    <row r="214" spans="1:22" ht="15.75" customHeight="1" x14ac:dyDescent="0.25">
      <c r="A214" s="16"/>
      <c r="B214" s="16"/>
      <c r="C214" s="16"/>
      <c r="D214" s="16"/>
      <c r="E214" s="16"/>
      <c r="F214" s="16"/>
      <c r="G214" s="16"/>
      <c r="H214" s="16"/>
      <c r="I214" s="16"/>
      <c r="J214" s="16"/>
      <c r="K214" s="16"/>
      <c r="L214" s="16"/>
      <c r="M214" s="16"/>
      <c r="N214" s="16"/>
      <c r="O214" s="16"/>
      <c r="P214" s="16"/>
      <c r="Q214" s="16"/>
      <c r="R214" s="16"/>
      <c r="S214" s="16"/>
      <c r="T214" s="16"/>
      <c r="U214" s="16"/>
      <c r="V214" s="16"/>
    </row>
    <row r="215" spans="1:22" ht="15.75" customHeight="1" x14ac:dyDescent="0.25">
      <c r="A215" s="16"/>
      <c r="B215" s="16"/>
      <c r="C215" s="16"/>
      <c r="D215" s="16"/>
      <c r="E215" s="16"/>
      <c r="F215" s="16"/>
      <c r="G215" s="16"/>
      <c r="H215" s="16"/>
      <c r="I215" s="16"/>
      <c r="J215" s="16"/>
      <c r="K215" s="16"/>
      <c r="L215" s="16"/>
      <c r="M215" s="16"/>
      <c r="N215" s="16"/>
      <c r="O215" s="16"/>
      <c r="P215" s="16"/>
      <c r="Q215" s="16"/>
      <c r="R215" s="16"/>
      <c r="S215" s="16"/>
      <c r="T215" s="16"/>
      <c r="U215" s="16"/>
      <c r="V215" s="16"/>
    </row>
    <row r="216" spans="1:22" ht="15.75" customHeight="1" x14ac:dyDescent="0.25">
      <c r="A216" s="16"/>
      <c r="B216" s="16"/>
      <c r="C216" s="16"/>
      <c r="D216" s="16"/>
      <c r="E216" s="16"/>
      <c r="F216" s="16"/>
      <c r="G216" s="16"/>
      <c r="H216" s="16"/>
      <c r="I216" s="16"/>
      <c r="J216" s="16"/>
      <c r="K216" s="16"/>
      <c r="L216" s="16"/>
      <c r="M216" s="16"/>
      <c r="N216" s="16"/>
      <c r="O216" s="16"/>
      <c r="P216" s="16"/>
      <c r="Q216" s="16"/>
      <c r="R216" s="16"/>
      <c r="S216" s="16"/>
      <c r="T216" s="16"/>
      <c r="U216" s="16"/>
      <c r="V216" s="16"/>
    </row>
    <row r="217" spans="1:22" ht="15.75" customHeight="1" x14ac:dyDescent="0.25">
      <c r="A217" s="16"/>
      <c r="B217" s="16"/>
      <c r="C217" s="16"/>
      <c r="D217" s="16"/>
      <c r="E217" s="16"/>
      <c r="F217" s="16"/>
      <c r="G217" s="16"/>
      <c r="H217" s="16"/>
      <c r="I217" s="16"/>
      <c r="J217" s="16"/>
      <c r="K217" s="16"/>
      <c r="L217" s="16"/>
      <c r="M217" s="16"/>
      <c r="N217" s="16"/>
      <c r="O217" s="16"/>
      <c r="P217" s="16"/>
      <c r="Q217" s="16"/>
      <c r="R217" s="16"/>
      <c r="S217" s="16"/>
      <c r="T217" s="16"/>
      <c r="U217" s="16"/>
      <c r="V217" s="16"/>
    </row>
    <row r="218" spans="1:22" ht="15.75" customHeight="1" x14ac:dyDescent="0.25">
      <c r="A218" s="16"/>
      <c r="B218" s="16"/>
      <c r="C218" s="16"/>
      <c r="D218" s="16"/>
      <c r="E218" s="16"/>
      <c r="F218" s="16"/>
      <c r="G218" s="16"/>
      <c r="H218" s="16"/>
      <c r="I218" s="16"/>
      <c r="J218" s="16"/>
      <c r="K218" s="16"/>
      <c r="L218" s="16"/>
      <c r="M218" s="16"/>
      <c r="N218" s="16"/>
      <c r="O218" s="16"/>
      <c r="P218" s="16"/>
      <c r="Q218" s="16"/>
      <c r="R218" s="16"/>
      <c r="S218" s="16"/>
      <c r="T218" s="16"/>
      <c r="U218" s="16"/>
      <c r="V218" s="16"/>
    </row>
    <row r="219" spans="1:22" ht="15.75" customHeight="1" x14ac:dyDescent="0.25">
      <c r="A219" s="16"/>
      <c r="B219" s="16"/>
      <c r="C219" s="16"/>
      <c r="D219" s="16"/>
      <c r="E219" s="16"/>
      <c r="F219" s="16"/>
      <c r="G219" s="16"/>
      <c r="H219" s="16"/>
      <c r="I219" s="16"/>
      <c r="J219" s="16"/>
      <c r="K219" s="16"/>
      <c r="L219" s="16"/>
      <c r="M219" s="16"/>
      <c r="N219" s="16"/>
      <c r="O219" s="16"/>
      <c r="P219" s="16"/>
      <c r="Q219" s="16"/>
      <c r="R219" s="16"/>
      <c r="S219" s="16"/>
      <c r="T219" s="16"/>
      <c r="U219" s="16"/>
      <c r="V219" s="16"/>
    </row>
    <row r="220" spans="1:22" ht="15.75" customHeight="1" x14ac:dyDescent="0.25">
      <c r="A220" s="16"/>
      <c r="B220" s="16"/>
      <c r="C220" s="16"/>
      <c r="D220" s="16"/>
      <c r="E220" s="16"/>
      <c r="F220" s="16"/>
      <c r="G220" s="16"/>
      <c r="H220" s="16"/>
      <c r="I220" s="16"/>
      <c r="J220" s="16"/>
      <c r="K220" s="16"/>
      <c r="L220" s="16"/>
      <c r="M220" s="16"/>
      <c r="N220" s="16"/>
      <c r="O220" s="16"/>
      <c r="P220" s="16"/>
      <c r="Q220" s="16"/>
      <c r="R220" s="16"/>
      <c r="S220" s="16"/>
      <c r="T220" s="16"/>
      <c r="U220" s="16"/>
      <c r="V220" s="16"/>
    </row>
    <row r="221" spans="1:22" ht="15.75" customHeight="1" x14ac:dyDescent="0.25">
      <c r="A221" s="16"/>
      <c r="B221" s="16"/>
      <c r="C221" s="16"/>
      <c r="D221" s="16"/>
      <c r="E221" s="16"/>
      <c r="F221" s="16"/>
      <c r="G221" s="16"/>
      <c r="H221" s="16"/>
      <c r="I221" s="16"/>
      <c r="J221" s="16"/>
      <c r="K221" s="16"/>
      <c r="L221" s="16"/>
      <c r="M221" s="16"/>
      <c r="N221" s="16"/>
      <c r="O221" s="16"/>
      <c r="P221" s="16"/>
      <c r="Q221" s="16"/>
      <c r="R221" s="16"/>
      <c r="S221" s="16"/>
      <c r="T221" s="16"/>
      <c r="U221" s="16"/>
      <c r="V221" s="16"/>
    </row>
    <row r="222" spans="1:22" ht="15.75" customHeight="1" x14ac:dyDescent="0.25">
      <c r="A222" s="16"/>
      <c r="B222" s="16"/>
      <c r="C222" s="16"/>
      <c r="D222" s="16"/>
      <c r="E222" s="16"/>
      <c r="F222" s="16"/>
      <c r="G222" s="16"/>
      <c r="H222" s="16"/>
      <c r="I222" s="16"/>
      <c r="J222" s="16"/>
      <c r="K222" s="16"/>
      <c r="L222" s="16"/>
      <c r="M222" s="16"/>
      <c r="N222" s="16"/>
      <c r="O222" s="16"/>
      <c r="P222" s="16"/>
      <c r="Q222" s="16"/>
      <c r="R222" s="16"/>
      <c r="S222" s="16"/>
      <c r="T222" s="16"/>
      <c r="U222" s="16"/>
      <c r="V222" s="16"/>
    </row>
    <row r="223" spans="1:22" ht="15.75" customHeight="1" x14ac:dyDescent="0.25">
      <c r="A223" s="16"/>
      <c r="B223" s="16"/>
      <c r="C223" s="16"/>
      <c r="D223" s="16"/>
      <c r="E223" s="16"/>
      <c r="F223" s="16"/>
      <c r="G223" s="16"/>
      <c r="H223" s="16"/>
      <c r="I223" s="16"/>
      <c r="J223" s="16"/>
      <c r="K223" s="16"/>
      <c r="L223" s="16"/>
      <c r="M223" s="16"/>
      <c r="N223" s="16"/>
      <c r="O223" s="16"/>
      <c r="P223" s="16"/>
      <c r="Q223" s="16"/>
      <c r="R223" s="16"/>
      <c r="S223" s="16"/>
      <c r="T223" s="16"/>
      <c r="U223" s="16"/>
      <c r="V223" s="16"/>
    </row>
    <row r="224" spans="1:22" ht="15.75" customHeight="1" x14ac:dyDescent="0.25">
      <c r="A224" s="16"/>
      <c r="B224" s="16"/>
      <c r="C224" s="16"/>
      <c r="D224" s="16"/>
      <c r="E224" s="16"/>
      <c r="F224" s="16"/>
      <c r="G224" s="16"/>
      <c r="H224" s="16"/>
      <c r="I224" s="16"/>
      <c r="J224" s="16"/>
      <c r="K224" s="16"/>
      <c r="L224" s="16"/>
      <c r="M224" s="16"/>
      <c r="N224" s="16"/>
      <c r="O224" s="16"/>
      <c r="P224" s="16"/>
      <c r="Q224" s="16"/>
      <c r="R224" s="16"/>
      <c r="S224" s="16"/>
      <c r="T224" s="16"/>
      <c r="U224" s="16"/>
      <c r="V224" s="16"/>
    </row>
    <row r="225" spans="1:22" ht="15.75" customHeight="1" x14ac:dyDescent="0.25">
      <c r="A225" s="16"/>
      <c r="B225" s="16"/>
      <c r="C225" s="16"/>
      <c r="D225" s="16"/>
      <c r="E225" s="16"/>
      <c r="F225" s="16"/>
      <c r="G225" s="16"/>
      <c r="H225" s="16"/>
      <c r="I225" s="16"/>
      <c r="J225" s="16"/>
      <c r="K225" s="16"/>
      <c r="L225" s="16"/>
      <c r="M225" s="16"/>
      <c r="N225" s="16"/>
      <c r="O225" s="16"/>
      <c r="P225" s="16"/>
      <c r="Q225" s="16"/>
      <c r="R225" s="16"/>
      <c r="S225" s="16"/>
      <c r="T225" s="16"/>
      <c r="U225" s="16"/>
      <c r="V225" s="16"/>
    </row>
    <row r="226" spans="1:22" ht="15.75" customHeight="1" x14ac:dyDescent="0.25">
      <c r="A226" s="16"/>
      <c r="B226" s="16"/>
      <c r="C226" s="16"/>
      <c r="D226" s="16"/>
      <c r="E226" s="16"/>
      <c r="F226" s="16"/>
      <c r="G226" s="16"/>
      <c r="H226" s="16"/>
      <c r="I226" s="16"/>
      <c r="J226" s="16"/>
      <c r="K226" s="16"/>
      <c r="L226" s="16"/>
      <c r="M226" s="16"/>
      <c r="N226" s="16"/>
      <c r="O226" s="16"/>
      <c r="P226" s="16"/>
      <c r="Q226" s="16"/>
      <c r="R226" s="16"/>
      <c r="S226" s="16"/>
      <c r="T226" s="16"/>
      <c r="U226" s="16"/>
      <c r="V226" s="16"/>
    </row>
    <row r="227" spans="1:22" ht="15.75" customHeight="1" x14ac:dyDescent="0.25">
      <c r="A227" s="16"/>
      <c r="B227" s="16"/>
      <c r="C227" s="16"/>
      <c r="D227" s="16"/>
      <c r="E227" s="16"/>
      <c r="F227" s="16"/>
      <c r="G227" s="16"/>
      <c r="H227" s="16"/>
      <c r="I227" s="16"/>
      <c r="J227" s="16"/>
      <c r="K227" s="16"/>
      <c r="L227" s="16"/>
      <c r="M227" s="16"/>
      <c r="N227" s="16"/>
      <c r="O227" s="16"/>
      <c r="P227" s="16"/>
      <c r="Q227" s="16"/>
      <c r="R227" s="16"/>
      <c r="S227" s="16"/>
      <c r="T227" s="16"/>
      <c r="U227" s="16"/>
      <c r="V227" s="16"/>
    </row>
    <row r="228" spans="1:22" ht="15.75" customHeight="1" x14ac:dyDescent="0.25">
      <c r="A228" s="16"/>
      <c r="B228" s="16"/>
      <c r="C228" s="16"/>
      <c r="D228" s="16"/>
      <c r="E228" s="16"/>
      <c r="F228" s="16"/>
      <c r="G228" s="16"/>
      <c r="H228" s="16"/>
      <c r="I228" s="16"/>
      <c r="J228" s="16"/>
      <c r="K228" s="16"/>
      <c r="L228" s="16"/>
      <c r="M228" s="16"/>
      <c r="N228" s="16"/>
      <c r="O228" s="16"/>
      <c r="P228" s="16"/>
      <c r="Q228" s="16"/>
      <c r="R228" s="16"/>
      <c r="S228" s="16"/>
      <c r="T228" s="16"/>
      <c r="U228" s="16"/>
      <c r="V228" s="16"/>
    </row>
    <row r="229" spans="1:22" ht="15.75" customHeight="1" x14ac:dyDescent="0.25">
      <c r="A229" s="16"/>
      <c r="B229" s="16"/>
      <c r="C229" s="16"/>
      <c r="D229" s="16"/>
      <c r="E229" s="16"/>
      <c r="F229" s="16"/>
      <c r="G229" s="16"/>
      <c r="H229" s="16"/>
      <c r="I229" s="16"/>
      <c r="J229" s="16"/>
      <c r="K229" s="16"/>
      <c r="L229" s="16"/>
      <c r="M229" s="16"/>
      <c r="N229" s="16"/>
      <c r="O229" s="16"/>
      <c r="P229" s="16"/>
      <c r="Q229" s="16"/>
      <c r="R229" s="16"/>
      <c r="S229" s="16"/>
      <c r="T229" s="16"/>
      <c r="U229" s="16"/>
      <c r="V229" s="16"/>
    </row>
    <row r="230" spans="1:22" ht="15.75" customHeight="1" x14ac:dyDescent="0.25">
      <c r="A230" s="16"/>
      <c r="B230" s="16"/>
      <c r="C230" s="16"/>
      <c r="D230" s="16"/>
      <c r="E230" s="16"/>
      <c r="F230" s="16"/>
      <c r="G230" s="16"/>
      <c r="H230" s="16"/>
      <c r="I230" s="16"/>
      <c r="J230" s="16"/>
      <c r="K230" s="16"/>
      <c r="L230" s="16"/>
      <c r="M230" s="16"/>
      <c r="N230" s="16"/>
      <c r="O230" s="16"/>
      <c r="P230" s="16"/>
      <c r="Q230" s="16"/>
      <c r="R230" s="16"/>
      <c r="S230" s="16"/>
      <c r="T230" s="16"/>
      <c r="U230" s="16"/>
      <c r="V230" s="16"/>
    </row>
    <row r="231" spans="1:22" ht="15.75" customHeight="1" x14ac:dyDescent="0.25">
      <c r="A231" s="16"/>
      <c r="B231" s="16"/>
      <c r="C231" s="16"/>
      <c r="D231" s="16"/>
      <c r="E231" s="16"/>
      <c r="F231" s="16"/>
      <c r="G231" s="16"/>
      <c r="H231" s="16"/>
      <c r="I231" s="16"/>
      <c r="J231" s="16"/>
      <c r="K231" s="16"/>
      <c r="L231" s="16"/>
      <c r="M231" s="16"/>
      <c r="N231" s="16"/>
      <c r="O231" s="16"/>
      <c r="P231" s="16"/>
      <c r="Q231" s="16"/>
      <c r="R231" s="16"/>
      <c r="S231" s="16"/>
      <c r="T231" s="16"/>
      <c r="U231" s="16"/>
      <c r="V231" s="16"/>
    </row>
    <row r="232" spans="1:22" ht="15.75" customHeight="1" x14ac:dyDescent="0.25">
      <c r="A232" s="16"/>
      <c r="B232" s="16"/>
      <c r="C232" s="16"/>
      <c r="D232" s="16"/>
      <c r="E232" s="16"/>
      <c r="F232" s="16"/>
      <c r="G232" s="16"/>
      <c r="H232" s="16"/>
      <c r="I232" s="16"/>
      <c r="J232" s="16"/>
      <c r="K232" s="16"/>
      <c r="L232" s="16"/>
      <c r="M232" s="16"/>
      <c r="N232" s="16"/>
      <c r="O232" s="16"/>
      <c r="P232" s="16"/>
      <c r="Q232" s="16"/>
      <c r="R232" s="16"/>
      <c r="S232" s="16"/>
      <c r="T232" s="16"/>
      <c r="U232" s="16"/>
      <c r="V232" s="16"/>
    </row>
    <row r="233" spans="1:22" ht="15.75" customHeight="1" x14ac:dyDescent="0.25">
      <c r="A233" s="16"/>
      <c r="B233" s="16"/>
      <c r="C233" s="16"/>
      <c r="D233" s="16"/>
      <c r="E233" s="16"/>
      <c r="F233" s="16"/>
      <c r="G233" s="16"/>
      <c r="H233" s="16"/>
      <c r="I233" s="16"/>
      <c r="J233" s="16"/>
      <c r="K233" s="16"/>
      <c r="L233" s="16"/>
      <c r="M233" s="16"/>
      <c r="N233" s="16"/>
      <c r="O233" s="16"/>
      <c r="P233" s="16"/>
      <c r="Q233" s="16"/>
      <c r="R233" s="16"/>
      <c r="S233" s="16"/>
      <c r="T233" s="16"/>
      <c r="U233" s="16"/>
      <c r="V233" s="16"/>
    </row>
    <row r="234" spans="1:22" ht="15.75" customHeight="1" x14ac:dyDescent="0.25">
      <c r="A234" s="16"/>
      <c r="B234" s="16"/>
      <c r="C234" s="16"/>
      <c r="D234" s="16"/>
      <c r="E234" s="16"/>
      <c r="F234" s="16"/>
      <c r="G234" s="16"/>
      <c r="H234" s="16"/>
      <c r="I234" s="16"/>
      <c r="J234" s="16"/>
      <c r="K234" s="16"/>
      <c r="L234" s="16"/>
      <c r="M234" s="16"/>
      <c r="N234" s="16"/>
      <c r="O234" s="16"/>
      <c r="P234" s="16"/>
      <c r="Q234" s="16"/>
      <c r="R234" s="16"/>
      <c r="S234" s="16"/>
      <c r="T234" s="16"/>
      <c r="U234" s="16"/>
      <c r="V234" s="16"/>
    </row>
    <row r="235" spans="1:22" ht="15.75" customHeight="1" x14ac:dyDescent="0.25">
      <c r="A235" s="16"/>
      <c r="B235" s="16"/>
      <c r="C235" s="16"/>
      <c r="D235" s="16"/>
      <c r="E235" s="16"/>
      <c r="F235" s="16"/>
      <c r="G235" s="16"/>
      <c r="H235" s="16"/>
      <c r="I235" s="16"/>
      <c r="J235" s="16"/>
      <c r="K235" s="16"/>
      <c r="L235" s="16"/>
      <c r="M235" s="16"/>
      <c r="N235" s="16"/>
      <c r="O235" s="16"/>
      <c r="P235" s="16"/>
      <c r="Q235" s="16"/>
      <c r="R235" s="16"/>
      <c r="S235" s="16"/>
      <c r="T235" s="16"/>
      <c r="U235" s="16"/>
      <c r="V235" s="16"/>
    </row>
    <row r="236" spans="1:22" ht="15.75" customHeight="1" x14ac:dyDescent="0.25">
      <c r="A236" s="16"/>
      <c r="B236" s="16"/>
      <c r="C236" s="16"/>
      <c r="D236" s="16"/>
      <c r="E236" s="16"/>
      <c r="F236" s="16"/>
      <c r="G236" s="16"/>
      <c r="H236" s="16"/>
      <c r="I236" s="16"/>
      <c r="J236" s="16"/>
      <c r="K236" s="16"/>
      <c r="L236" s="16"/>
      <c r="M236" s="16"/>
      <c r="N236" s="16"/>
      <c r="O236" s="16"/>
      <c r="P236" s="16"/>
      <c r="Q236" s="16"/>
      <c r="R236" s="16"/>
      <c r="S236" s="16"/>
      <c r="T236" s="16"/>
      <c r="U236" s="16"/>
      <c r="V236" s="16"/>
    </row>
    <row r="237" spans="1:22" ht="15.75" customHeight="1" x14ac:dyDescent="0.25">
      <c r="A237" s="16"/>
      <c r="B237" s="16"/>
      <c r="C237" s="16"/>
      <c r="D237" s="16"/>
      <c r="E237" s="16"/>
      <c r="F237" s="16"/>
      <c r="G237" s="16"/>
      <c r="H237" s="16"/>
      <c r="I237" s="16"/>
      <c r="J237" s="16"/>
      <c r="K237" s="16"/>
      <c r="L237" s="16"/>
      <c r="M237" s="16"/>
      <c r="N237" s="16"/>
      <c r="O237" s="16"/>
      <c r="P237" s="16"/>
      <c r="Q237" s="16"/>
      <c r="R237" s="16"/>
      <c r="S237" s="16"/>
      <c r="T237" s="16"/>
      <c r="U237" s="16"/>
      <c r="V237" s="16"/>
    </row>
    <row r="238" spans="1:22" ht="15.75" customHeight="1" x14ac:dyDescent="0.25">
      <c r="A238" s="16"/>
      <c r="B238" s="16"/>
      <c r="C238" s="16"/>
      <c r="D238" s="16"/>
      <c r="E238" s="16"/>
      <c r="F238" s="16"/>
      <c r="G238" s="16"/>
      <c r="H238" s="16"/>
      <c r="I238" s="16"/>
      <c r="J238" s="16"/>
      <c r="K238" s="16"/>
      <c r="L238" s="16"/>
      <c r="M238" s="16"/>
      <c r="N238" s="16"/>
      <c r="O238" s="16"/>
      <c r="P238" s="16"/>
      <c r="Q238" s="16"/>
      <c r="R238" s="16"/>
      <c r="S238" s="16"/>
      <c r="T238" s="16"/>
      <c r="U238" s="16"/>
      <c r="V238" s="16"/>
    </row>
    <row r="239" spans="1:22" ht="15.75" customHeight="1" x14ac:dyDescent="0.25">
      <c r="A239" s="16"/>
      <c r="B239" s="16"/>
      <c r="C239" s="16"/>
      <c r="D239" s="16"/>
      <c r="E239" s="16"/>
      <c r="F239" s="16"/>
      <c r="G239" s="16"/>
      <c r="H239" s="16"/>
      <c r="I239" s="16"/>
      <c r="J239" s="16"/>
      <c r="K239" s="16"/>
      <c r="L239" s="16"/>
      <c r="M239" s="16"/>
      <c r="N239" s="16"/>
      <c r="O239" s="16"/>
      <c r="P239" s="16"/>
      <c r="Q239" s="16"/>
      <c r="R239" s="16"/>
      <c r="S239" s="16"/>
      <c r="T239" s="16"/>
      <c r="U239" s="16"/>
      <c r="V239" s="16"/>
    </row>
    <row r="240" spans="1:22" ht="15.75" customHeight="1" x14ac:dyDescent="0.25">
      <c r="A240" s="16"/>
      <c r="B240" s="16"/>
      <c r="C240" s="16"/>
      <c r="D240" s="16"/>
      <c r="E240" s="16"/>
      <c r="F240" s="16"/>
      <c r="G240" s="16"/>
      <c r="H240" s="16"/>
      <c r="I240" s="16"/>
      <c r="J240" s="16"/>
      <c r="K240" s="16"/>
      <c r="L240" s="16"/>
      <c r="M240" s="16"/>
      <c r="N240" s="16"/>
      <c r="O240" s="16"/>
      <c r="P240" s="16"/>
      <c r="Q240" s="16"/>
      <c r="R240" s="16"/>
      <c r="S240" s="16"/>
      <c r="T240" s="16"/>
      <c r="U240" s="16"/>
      <c r="V240" s="16"/>
    </row>
    <row r="241" spans="1:22" ht="15.75" customHeight="1" x14ac:dyDescent="0.25">
      <c r="A241" s="16"/>
      <c r="B241" s="16"/>
      <c r="C241" s="16"/>
      <c r="D241" s="16"/>
      <c r="E241" s="16"/>
      <c r="F241" s="16"/>
      <c r="G241" s="16"/>
      <c r="H241" s="16"/>
      <c r="I241" s="16"/>
      <c r="J241" s="16"/>
      <c r="K241" s="16"/>
      <c r="L241" s="16"/>
      <c r="M241" s="16"/>
      <c r="N241" s="16"/>
      <c r="O241" s="16"/>
      <c r="P241" s="16"/>
      <c r="Q241" s="16"/>
      <c r="R241" s="16"/>
      <c r="S241" s="16"/>
      <c r="T241" s="16"/>
      <c r="U241" s="16"/>
      <c r="V241" s="16"/>
    </row>
    <row r="242" spans="1:22" ht="15.75" customHeight="1" x14ac:dyDescent="0.25">
      <c r="A242" s="16"/>
      <c r="B242" s="16"/>
      <c r="C242" s="16"/>
      <c r="D242" s="16"/>
      <c r="E242" s="16"/>
      <c r="F242" s="16"/>
      <c r="G242" s="16"/>
      <c r="H242" s="16"/>
      <c r="I242" s="16"/>
      <c r="J242" s="16"/>
      <c r="K242" s="16"/>
      <c r="L242" s="16"/>
      <c r="M242" s="16"/>
      <c r="N242" s="16"/>
      <c r="O242" s="16"/>
      <c r="P242" s="16"/>
      <c r="Q242" s="16"/>
      <c r="R242" s="16"/>
      <c r="S242" s="16"/>
      <c r="T242" s="16"/>
      <c r="U242" s="16"/>
      <c r="V242" s="16"/>
    </row>
    <row r="243" spans="1:22" ht="15.75" customHeight="1" x14ac:dyDescent="0.25">
      <c r="A243" s="16"/>
      <c r="B243" s="16"/>
      <c r="C243" s="16"/>
      <c r="D243" s="16"/>
      <c r="E243" s="16"/>
      <c r="F243" s="16"/>
      <c r="G243" s="16"/>
      <c r="H243" s="16"/>
      <c r="I243" s="16"/>
      <c r="J243" s="16"/>
      <c r="K243" s="16"/>
      <c r="L243" s="16"/>
      <c r="M243" s="16"/>
      <c r="N243" s="16"/>
      <c r="O243" s="16"/>
      <c r="P243" s="16"/>
      <c r="Q243" s="16"/>
      <c r="R243" s="16"/>
      <c r="S243" s="16"/>
      <c r="T243" s="16"/>
      <c r="U243" s="16"/>
      <c r="V243" s="16"/>
    </row>
    <row r="244" spans="1:22" ht="15.75" customHeight="1" x14ac:dyDescent="0.25">
      <c r="A244" s="16"/>
      <c r="B244" s="16"/>
      <c r="C244" s="16"/>
      <c r="D244" s="16"/>
      <c r="E244" s="16"/>
      <c r="F244" s="16"/>
      <c r="G244" s="16"/>
      <c r="H244" s="16"/>
      <c r="I244" s="16"/>
      <c r="J244" s="16"/>
      <c r="K244" s="16"/>
      <c r="L244" s="16"/>
      <c r="M244" s="16"/>
      <c r="N244" s="16"/>
      <c r="O244" s="16"/>
      <c r="P244" s="16"/>
      <c r="Q244" s="16"/>
      <c r="R244" s="16"/>
      <c r="S244" s="16"/>
      <c r="T244" s="16"/>
      <c r="U244" s="16"/>
      <c r="V244" s="16"/>
    </row>
    <row r="245" spans="1:22" ht="15.75" customHeight="1" x14ac:dyDescent="0.25">
      <c r="A245" s="16"/>
      <c r="B245" s="16"/>
      <c r="C245" s="16"/>
      <c r="D245" s="16"/>
      <c r="E245" s="16"/>
      <c r="F245" s="16"/>
      <c r="G245" s="16"/>
      <c r="H245" s="16"/>
      <c r="I245" s="16"/>
      <c r="J245" s="16"/>
      <c r="K245" s="16"/>
      <c r="L245" s="16"/>
      <c r="M245" s="16"/>
      <c r="N245" s="16"/>
      <c r="O245" s="16"/>
      <c r="P245" s="16"/>
      <c r="Q245" s="16"/>
      <c r="R245" s="16"/>
      <c r="S245" s="16"/>
      <c r="T245" s="16"/>
      <c r="U245" s="16"/>
      <c r="V245" s="16"/>
    </row>
    <row r="246" spans="1:22" ht="15.75" customHeight="1" x14ac:dyDescent="0.25">
      <c r="A246" s="16"/>
      <c r="B246" s="16"/>
      <c r="C246" s="16"/>
      <c r="D246" s="16"/>
      <c r="E246" s="16"/>
      <c r="F246" s="16"/>
      <c r="G246" s="16"/>
      <c r="H246" s="16"/>
      <c r="I246" s="16"/>
      <c r="J246" s="16"/>
      <c r="K246" s="16"/>
      <c r="L246" s="16"/>
      <c r="M246" s="16"/>
      <c r="N246" s="16"/>
      <c r="O246" s="16"/>
      <c r="P246" s="16"/>
      <c r="Q246" s="16"/>
      <c r="R246" s="16"/>
      <c r="S246" s="16"/>
      <c r="T246" s="16"/>
      <c r="U246" s="16"/>
      <c r="V246" s="16"/>
    </row>
    <row r="247" spans="1:22" ht="15.75" customHeight="1" x14ac:dyDescent="0.25">
      <c r="A247" s="16"/>
      <c r="B247" s="16"/>
      <c r="C247" s="16"/>
      <c r="D247" s="16"/>
      <c r="E247" s="16"/>
      <c r="F247" s="16"/>
      <c r="G247" s="16"/>
      <c r="H247" s="16"/>
      <c r="I247" s="16"/>
      <c r="J247" s="16"/>
      <c r="K247" s="16"/>
      <c r="L247" s="16"/>
      <c r="M247" s="16"/>
      <c r="N247" s="16"/>
      <c r="O247" s="16"/>
      <c r="P247" s="16"/>
      <c r="Q247" s="16"/>
      <c r="R247" s="16"/>
      <c r="S247" s="16"/>
      <c r="T247" s="16"/>
      <c r="U247" s="16"/>
      <c r="V247" s="16"/>
    </row>
    <row r="248" spans="1:22" ht="15.75" customHeight="1" x14ac:dyDescent="0.25">
      <c r="A248" s="16"/>
      <c r="B248" s="16"/>
      <c r="C248" s="16"/>
      <c r="D248" s="16"/>
      <c r="E248" s="16"/>
      <c r="F248" s="16"/>
      <c r="G248" s="16"/>
      <c r="H248" s="16"/>
      <c r="I248" s="16"/>
      <c r="J248" s="16"/>
      <c r="K248" s="16"/>
      <c r="L248" s="16"/>
      <c r="M248" s="16"/>
      <c r="N248" s="16"/>
      <c r="O248" s="16"/>
      <c r="P248" s="16"/>
      <c r="Q248" s="16"/>
      <c r="R248" s="16"/>
      <c r="S248" s="16"/>
      <c r="T248" s="16"/>
      <c r="U248" s="16"/>
      <c r="V248" s="16"/>
    </row>
    <row r="249" spans="1:22" ht="15.75" customHeight="1" x14ac:dyDescent="0.25">
      <c r="A249" s="16"/>
      <c r="B249" s="16"/>
      <c r="C249" s="16"/>
      <c r="D249" s="16"/>
      <c r="E249" s="16"/>
      <c r="F249" s="16"/>
      <c r="G249" s="16"/>
      <c r="H249" s="16"/>
      <c r="I249" s="16"/>
      <c r="J249" s="16"/>
      <c r="K249" s="16"/>
      <c r="L249" s="16"/>
      <c r="M249" s="16"/>
      <c r="N249" s="16"/>
      <c r="O249" s="16"/>
      <c r="P249" s="16"/>
      <c r="Q249" s="16"/>
      <c r="R249" s="16"/>
      <c r="S249" s="16"/>
      <c r="T249" s="16"/>
      <c r="U249" s="16"/>
      <c r="V249" s="16"/>
    </row>
    <row r="250" spans="1:22" ht="15.75" customHeight="1" x14ac:dyDescent="0.25">
      <c r="A250" s="16"/>
      <c r="B250" s="16"/>
      <c r="C250" s="16"/>
      <c r="D250" s="16"/>
      <c r="E250" s="16"/>
      <c r="F250" s="16"/>
      <c r="G250" s="16"/>
      <c r="H250" s="16"/>
      <c r="I250" s="16"/>
      <c r="J250" s="16"/>
      <c r="K250" s="16"/>
      <c r="L250" s="16"/>
      <c r="M250" s="16"/>
      <c r="N250" s="16"/>
      <c r="O250" s="16"/>
      <c r="P250" s="16"/>
      <c r="Q250" s="16"/>
      <c r="R250" s="16"/>
      <c r="S250" s="16"/>
      <c r="T250" s="16"/>
      <c r="U250" s="16"/>
      <c r="V250" s="16"/>
    </row>
    <row r="251" spans="1:22" ht="15.75" customHeight="1" x14ac:dyDescent="0.25">
      <c r="A251" s="16"/>
      <c r="B251" s="16"/>
      <c r="C251" s="16"/>
      <c r="D251" s="16"/>
      <c r="E251" s="16"/>
      <c r="F251" s="16"/>
      <c r="G251" s="16"/>
      <c r="H251" s="16"/>
      <c r="I251" s="16"/>
      <c r="J251" s="16"/>
      <c r="K251" s="16"/>
      <c r="L251" s="16"/>
      <c r="M251" s="16"/>
      <c r="N251" s="16"/>
      <c r="O251" s="16"/>
      <c r="P251" s="16"/>
      <c r="Q251" s="16"/>
      <c r="R251" s="16"/>
      <c r="S251" s="16"/>
      <c r="T251" s="16"/>
      <c r="U251" s="16"/>
      <c r="V251" s="16"/>
    </row>
    <row r="252" spans="1:22" ht="15.75" customHeight="1" x14ac:dyDescent="0.25">
      <c r="A252" s="16"/>
      <c r="B252" s="16"/>
      <c r="C252" s="16"/>
      <c r="D252" s="16"/>
      <c r="E252" s="16"/>
      <c r="F252" s="16"/>
      <c r="G252" s="16"/>
      <c r="H252" s="16"/>
      <c r="I252" s="16"/>
      <c r="J252" s="16"/>
      <c r="K252" s="16"/>
      <c r="L252" s="16"/>
      <c r="M252" s="16"/>
      <c r="N252" s="16"/>
      <c r="O252" s="16"/>
      <c r="P252" s="16"/>
      <c r="Q252" s="16"/>
      <c r="R252" s="16"/>
      <c r="S252" s="16"/>
      <c r="T252" s="16"/>
      <c r="U252" s="16"/>
      <c r="V252" s="16"/>
    </row>
    <row r="253" spans="1:22" ht="15.75" customHeight="1" x14ac:dyDescent="0.25">
      <c r="A253" s="16"/>
      <c r="B253" s="16"/>
      <c r="C253" s="16"/>
      <c r="D253" s="16"/>
      <c r="E253" s="16"/>
      <c r="F253" s="16"/>
      <c r="G253" s="16"/>
      <c r="H253" s="16"/>
      <c r="I253" s="16"/>
      <c r="J253" s="16"/>
      <c r="K253" s="16"/>
      <c r="L253" s="16"/>
      <c r="M253" s="16"/>
      <c r="N253" s="16"/>
      <c r="O253" s="16"/>
      <c r="P253" s="16"/>
      <c r="Q253" s="16"/>
      <c r="R253" s="16"/>
      <c r="S253" s="16"/>
      <c r="T253" s="16"/>
      <c r="U253" s="16"/>
      <c r="V253" s="16"/>
    </row>
    <row r="254" spans="1:22" ht="15.75" customHeight="1" x14ac:dyDescent="0.25">
      <c r="A254" s="16"/>
      <c r="B254" s="16"/>
      <c r="C254" s="16"/>
      <c r="D254" s="16"/>
      <c r="E254" s="16"/>
      <c r="F254" s="16"/>
      <c r="G254" s="16"/>
      <c r="H254" s="16"/>
      <c r="I254" s="16"/>
      <c r="J254" s="16"/>
      <c r="K254" s="16"/>
      <c r="L254" s="16"/>
      <c r="M254" s="16"/>
      <c r="N254" s="16"/>
      <c r="O254" s="16"/>
      <c r="P254" s="16"/>
      <c r="Q254" s="16"/>
      <c r="R254" s="16"/>
      <c r="S254" s="16"/>
      <c r="T254" s="16"/>
      <c r="U254" s="16"/>
      <c r="V254" s="16"/>
    </row>
    <row r="255" spans="1:22" ht="15.75" customHeight="1" x14ac:dyDescent="0.25">
      <c r="A255" s="16"/>
      <c r="B255" s="16"/>
      <c r="C255" s="16"/>
      <c r="D255" s="16"/>
      <c r="E255" s="16"/>
      <c r="F255" s="16"/>
      <c r="G255" s="16"/>
      <c r="H255" s="16"/>
      <c r="I255" s="16"/>
      <c r="J255" s="16"/>
      <c r="K255" s="16"/>
      <c r="L255" s="16"/>
      <c r="M255" s="16"/>
      <c r="N255" s="16"/>
      <c r="O255" s="16"/>
      <c r="P255" s="16"/>
      <c r="Q255" s="16"/>
      <c r="R255" s="16"/>
      <c r="S255" s="16"/>
      <c r="T255" s="16"/>
      <c r="U255" s="16"/>
      <c r="V255" s="16"/>
    </row>
    <row r="256" spans="1:22" ht="15.75" customHeight="1" x14ac:dyDescent="0.25">
      <c r="A256" s="16"/>
      <c r="B256" s="16"/>
      <c r="C256" s="16"/>
      <c r="D256" s="16"/>
      <c r="E256" s="16"/>
      <c r="F256" s="16"/>
      <c r="G256" s="16"/>
      <c r="H256" s="16"/>
      <c r="I256" s="16"/>
      <c r="J256" s="16"/>
      <c r="K256" s="16"/>
      <c r="L256" s="16"/>
      <c r="M256" s="16"/>
      <c r="N256" s="16"/>
      <c r="O256" s="16"/>
      <c r="P256" s="16"/>
      <c r="Q256" s="16"/>
      <c r="R256" s="16"/>
      <c r="S256" s="16"/>
      <c r="T256" s="16"/>
      <c r="U256" s="16"/>
      <c r="V256" s="16"/>
    </row>
    <row r="257" spans="1:22" ht="15.75" customHeight="1" x14ac:dyDescent="0.25">
      <c r="A257" s="16"/>
      <c r="B257" s="16"/>
      <c r="C257" s="16"/>
      <c r="D257" s="16"/>
      <c r="E257" s="16"/>
      <c r="F257" s="16"/>
      <c r="G257" s="16"/>
      <c r="H257" s="16"/>
      <c r="I257" s="16"/>
      <c r="J257" s="16"/>
      <c r="K257" s="16"/>
      <c r="L257" s="16"/>
      <c r="M257" s="16"/>
      <c r="N257" s="16"/>
      <c r="O257" s="16"/>
      <c r="P257" s="16"/>
      <c r="Q257" s="16"/>
      <c r="R257" s="16"/>
      <c r="S257" s="16"/>
      <c r="T257" s="16"/>
      <c r="U257" s="16"/>
      <c r="V257" s="16"/>
    </row>
    <row r="258" spans="1:22" ht="15.75" customHeight="1" x14ac:dyDescent="0.25">
      <c r="A258" s="16"/>
      <c r="B258" s="16"/>
      <c r="C258" s="16"/>
      <c r="D258" s="16"/>
      <c r="E258" s="16"/>
      <c r="F258" s="16"/>
      <c r="G258" s="16"/>
      <c r="H258" s="16"/>
      <c r="I258" s="16"/>
      <c r="J258" s="16"/>
      <c r="K258" s="16"/>
      <c r="L258" s="16"/>
      <c r="M258" s="16"/>
      <c r="N258" s="16"/>
      <c r="O258" s="16"/>
      <c r="P258" s="16"/>
      <c r="Q258" s="16"/>
      <c r="R258" s="16"/>
      <c r="S258" s="16"/>
      <c r="T258" s="16"/>
      <c r="U258" s="16"/>
      <c r="V258" s="16"/>
    </row>
    <row r="259" spans="1:22" ht="15.75" customHeight="1" x14ac:dyDescent="0.25">
      <c r="A259" s="16"/>
      <c r="B259" s="16"/>
      <c r="C259" s="16"/>
      <c r="D259" s="16"/>
      <c r="E259" s="16"/>
      <c r="F259" s="16"/>
      <c r="G259" s="16"/>
      <c r="H259" s="16"/>
      <c r="I259" s="16"/>
      <c r="J259" s="16"/>
      <c r="K259" s="16"/>
      <c r="L259" s="16"/>
      <c r="M259" s="16"/>
      <c r="N259" s="16"/>
      <c r="O259" s="16"/>
      <c r="P259" s="16"/>
      <c r="Q259" s="16"/>
      <c r="R259" s="16"/>
      <c r="S259" s="16"/>
      <c r="T259" s="16"/>
      <c r="U259" s="16"/>
      <c r="V259" s="16"/>
    </row>
    <row r="260" spans="1:22" ht="15.75" customHeight="1" x14ac:dyDescent="0.25">
      <c r="A260" s="16"/>
      <c r="B260" s="16"/>
      <c r="C260" s="16"/>
      <c r="D260" s="16"/>
      <c r="E260" s="16"/>
      <c r="F260" s="16"/>
      <c r="G260" s="16"/>
      <c r="H260" s="16"/>
      <c r="I260" s="16"/>
      <c r="J260" s="16"/>
      <c r="K260" s="16"/>
      <c r="L260" s="16"/>
      <c r="M260" s="16"/>
      <c r="N260" s="16"/>
      <c r="O260" s="16"/>
      <c r="P260" s="16"/>
      <c r="Q260" s="16"/>
      <c r="R260" s="16"/>
      <c r="S260" s="16"/>
      <c r="T260" s="16"/>
      <c r="U260" s="16"/>
      <c r="V260" s="16"/>
    </row>
    <row r="261" spans="1:22" ht="15.75" customHeight="1" x14ac:dyDescent="0.25">
      <c r="A261" s="16"/>
      <c r="B261" s="16"/>
      <c r="C261" s="16"/>
      <c r="D261" s="16"/>
      <c r="E261" s="16"/>
      <c r="F261" s="16"/>
      <c r="G261" s="16"/>
      <c r="H261" s="16"/>
      <c r="I261" s="16"/>
      <c r="J261" s="16"/>
      <c r="K261" s="16"/>
      <c r="L261" s="16"/>
      <c r="M261" s="16"/>
      <c r="N261" s="16"/>
      <c r="O261" s="16"/>
      <c r="P261" s="16"/>
      <c r="Q261" s="16"/>
      <c r="R261" s="16"/>
      <c r="S261" s="16"/>
      <c r="T261" s="16"/>
      <c r="U261" s="16"/>
      <c r="V261" s="16"/>
    </row>
    <row r="262" spans="1:22" ht="15.75" customHeight="1" x14ac:dyDescent="0.25">
      <c r="A262" s="16"/>
      <c r="B262" s="16"/>
      <c r="C262" s="16"/>
      <c r="D262" s="16"/>
      <c r="E262" s="16"/>
      <c r="F262" s="16"/>
      <c r="G262" s="16"/>
      <c r="H262" s="16"/>
      <c r="I262" s="16"/>
      <c r="J262" s="16"/>
      <c r="K262" s="16"/>
      <c r="L262" s="16"/>
      <c r="M262" s="16"/>
      <c r="N262" s="16"/>
      <c r="O262" s="16"/>
      <c r="P262" s="16"/>
      <c r="Q262" s="16"/>
      <c r="R262" s="16"/>
      <c r="S262" s="16"/>
      <c r="T262" s="16"/>
      <c r="U262" s="16"/>
      <c r="V262" s="16"/>
    </row>
    <row r="263" spans="1:22" ht="15.75" customHeight="1" x14ac:dyDescent="0.25">
      <c r="A263" s="16"/>
      <c r="B263" s="16"/>
      <c r="C263" s="16"/>
      <c r="D263" s="16"/>
      <c r="E263" s="16"/>
      <c r="F263" s="16"/>
      <c r="G263" s="16"/>
      <c r="H263" s="16"/>
      <c r="I263" s="16"/>
      <c r="J263" s="16"/>
      <c r="K263" s="16"/>
      <c r="L263" s="16"/>
      <c r="M263" s="16"/>
      <c r="N263" s="16"/>
      <c r="O263" s="16"/>
      <c r="P263" s="16"/>
      <c r="Q263" s="16"/>
      <c r="R263" s="16"/>
      <c r="S263" s="16"/>
      <c r="T263" s="16"/>
      <c r="U263" s="16"/>
      <c r="V263" s="16"/>
    </row>
    <row r="264" spans="1:22" ht="15.75" customHeight="1" x14ac:dyDescent="0.25">
      <c r="A264" s="16"/>
      <c r="B264" s="16"/>
      <c r="C264" s="16"/>
      <c r="D264" s="16"/>
      <c r="E264" s="16"/>
      <c r="F264" s="16"/>
      <c r="G264" s="16"/>
      <c r="H264" s="16"/>
      <c r="I264" s="16"/>
      <c r="J264" s="16"/>
      <c r="K264" s="16"/>
      <c r="L264" s="16"/>
      <c r="M264" s="16"/>
      <c r="N264" s="16"/>
      <c r="O264" s="16"/>
      <c r="P264" s="16"/>
      <c r="Q264" s="16"/>
      <c r="R264" s="16"/>
      <c r="S264" s="16"/>
      <c r="T264" s="16"/>
      <c r="U264" s="16"/>
      <c r="V264" s="16"/>
    </row>
    <row r="265" spans="1:22" ht="15.75" customHeight="1" x14ac:dyDescent="0.25">
      <c r="A265" s="16"/>
      <c r="B265" s="16"/>
      <c r="C265" s="16"/>
      <c r="D265" s="16"/>
      <c r="E265" s="16"/>
      <c r="F265" s="16"/>
      <c r="G265" s="16"/>
      <c r="H265" s="16"/>
      <c r="I265" s="16"/>
      <c r="J265" s="16"/>
      <c r="K265" s="16"/>
      <c r="L265" s="16"/>
      <c r="M265" s="16"/>
      <c r="N265" s="16"/>
      <c r="O265" s="16"/>
      <c r="P265" s="16"/>
      <c r="Q265" s="16"/>
      <c r="R265" s="16"/>
      <c r="S265" s="16"/>
      <c r="T265" s="16"/>
      <c r="U265" s="16"/>
      <c r="V265" s="16"/>
    </row>
    <row r="266" spans="1:22" ht="15.75" customHeight="1" x14ac:dyDescent="0.25">
      <c r="A266" s="16"/>
      <c r="B266" s="16"/>
      <c r="C266" s="16"/>
      <c r="D266" s="16"/>
      <c r="E266" s="16"/>
      <c r="F266" s="16"/>
      <c r="G266" s="16"/>
      <c r="H266" s="16"/>
      <c r="I266" s="16"/>
      <c r="J266" s="16"/>
      <c r="K266" s="16"/>
      <c r="L266" s="16"/>
      <c r="M266" s="16"/>
      <c r="N266" s="16"/>
      <c r="O266" s="16"/>
      <c r="P266" s="16"/>
      <c r="Q266" s="16"/>
      <c r="R266" s="16"/>
      <c r="S266" s="16"/>
      <c r="T266" s="16"/>
      <c r="U266" s="16"/>
      <c r="V266" s="16"/>
    </row>
    <row r="267" spans="1:22" ht="15.75" customHeight="1" x14ac:dyDescent="0.25">
      <c r="A267" s="16"/>
      <c r="B267" s="16"/>
      <c r="C267" s="16"/>
      <c r="D267" s="16"/>
      <c r="E267" s="16"/>
      <c r="F267" s="16"/>
      <c r="G267" s="16"/>
      <c r="H267" s="16"/>
      <c r="I267" s="16"/>
      <c r="J267" s="16"/>
      <c r="K267" s="16"/>
      <c r="L267" s="16"/>
      <c r="M267" s="16"/>
      <c r="N267" s="16"/>
      <c r="O267" s="16"/>
      <c r="P267" s="16"/>
      <c r="Q267" s="16"/>
      <c r="R267" s="16"/>
      <c r="S267" s="16"/>
      <c r="T267" s="16"/>
      <c r="U267" s="16"/>
      <c r="V267" s="16"/>
    </row>
    <row r="268" spans="1:22" ht="15.75" customHeight="1" x14ac:dyDescent="0.25">
      <c r="A268" s="16"/>
      <c r="B268" s="16"/>
      <c r="C268" s="16"/>
      <c r="D268" s="16"/>
      <c r="E268" s="16"/>
      <c r="F268" s="16"/>
      <c r="G268" s="16"/>
      <c r="H268" s="16"/>
      <c r="I268" s="16"/>
      <c r="J268" s="16"/>
      <c r="K268" s="16"/>
      <c r="L268" s="16"/>
      <c r="M268" s="16"/>
      <c r="N268" s="16"/>
      <c r="O268" s="16"/>
      <c r="P268" s="16"/>
      <c r="Q268" s="16"/>
      <c r="R268" s="16"/>
      <c r="S268" s="16"/>
      <c r="T268" s="16"/>
      <c r="U268" s="16"/>
      <c r="V268" s="16"/>
    </row>
    <row r="269" spans="1:22" ht="15.75" customHeight="1" x14ac:dyDescent="0.25">
      <c r="A269" s="16"/>
      <c r="B269" s="16"/>
      <c r="C269" s="16"/>
      <c r="D269" s="16"/>
      <c r="E269" s="16"/>
      <c r="F269" s="16"/>
      <c r="G269" s="16"/>
      <c r="H269" s="16"/>
      <c r="I269" s="16"/>
      <c r="J269" s="16"/>
      <c r="K269" s="16"/>
      <c r="L269" s="16"/>
      <c r="M269" s="16"/>
      <c r="N269" s="16"/>
      <c r="O269" s="16"/>
      <c r="P269" s="16"/>
      <c r="Q269" s="16"/>
      <c r="R269" s="16"/>
      <c r="S269" s="16"/>
      <c r="T269" s="16"/>
      <c r="U269" s="16"/>
      <c r="V269" s="16"/>
    </row>
    <row r="270" spans="1:22" ht="15.75" customHeight="1" x14ac:dyDescent="0.25">
      <c r="A270" s="16"/>
      <c r="B270" s="16"/>
      <c r="C270" s="16"/>
      <c r="D270" s="16"/>
      <c r="E270" s="16"/>
      <c r="F270" s="16"/>
      <c r="G270" s="16"/>
      <c r="H270" s="16"/>
      <c r="I270" s="16"/>
      <c r="J270" s="16"/>
      <c r="K270" s="16"/>
      <c r="L270" s="16"/>
      <c r="M270" s="16"/>
      <c r="N270" s="16"/>
      <c r="O270" s="16"/>
      <c r="P270" s="16"/>
      <c r="Q270" s="16"/>
      <c r="R270" s="16"/>
      <c r="S270" s="16"/>
      <c r="T270" s="16"/>
      <c r="U270" s="16"/>
      <c r="V270" s="16"/>
    </row>
    <row r="271" spans="1:22" ht="15.75" customHeight="1" x14ac:dyDescent="0.25">
      <c r="A271" s="16"/>
      <c r="B271" s="16"/>
      <c r="C271" s="16"/>
      <c r="D271" s="16"/>
      <c r="E271" s="16"/>
      <c r="F271" s="16"/>
      <c r="G271" s="16"/>
      <c r="H271" s="16"/>
      <c r="I271" s="16"/>
      <c r="J271" s="16"/>
      <c r="K271" s="16"/>
      <c r="L271" s="16"/>
      <c r="M271" s="16"/>
      <c r="N271" s="16"/>
      <c r="O271" s="16"/>
      <c r="P271" s="16"/>
      <c r="Q271" s="16"/>
      <c r="R271" s="16"/>
      <c r="S271" s="16"/>
      <c r="T271" s="16"/>
      <c r="U271" s="16"/>
      <c r="V271" s="16"/>
    </row>
    <row r="272" spans="1:22" ht="15.75" customHeight="1" x14ac:dyDescent="0.25">
      <c r="A272" s="16"/>
      <c r="B272" s="16"/>
      <c r="C272" s="16"/>
      <c r="D272" s="16"/>
      <c r="E272" s="16"/>
      <c r="F272" s="16"/>
      <c r="G272" s="16"/>
      <c r="H272" s="16"/>
      <c r="I272" s="16"/>
      <c r="J272" s="16"/>
      <c r="K272" s="16"/>
      <c r="L272" s="16"/>
      <c r="M272" s="16"/>
      <c r="N272" s="16"/>
      <c r="O272" s="16"/>
      <c r="P272" s="16"/>
      <c r="Q272" s="16"/>
      <c r="R272" s="16"/>
      <c r="S272" s="16"/>
      <c r="T272" s="16"/>
      <c r="U272" s="16"/>
      <c r="V272" s="16"/>
    </row>
    <row r="273" spans="1:22" ht="15.75" customHeight="1" x14ac:dyDescent="0.25">
      <c r="A273" s="16"/>
      <c r="B273" s="16"/>
      <c r="C273" s="16"/>
      <c r="D273" s="16"/>
      <c r="E273" s="16"/>
      <c r="F273" s="16"/>
      <c r="G273" s="16"/>
      <c r="H273" s="16"/>
      <c r="I273" s="16"/>
      <c r="J273" s="16"/>
      <c r="K273" s="16"/>
      <c r="L273" s="16"/>
      <c r="M273" s="16"/>
      <c r="N273" s="16"/>
      <c r="O273" s="16"/>
      <c r="P273" s="16"/>
      <c r="Q273" s="16"/>
      <c r="R273" s="16"/>
      <c r="S273" s="16"/>
      <c r="T273" s="16"/>
      <c r="U273" s="16"/>
      <c r="V273" s="16"/>
    </row>
    <row r="274" spans="1:22" ht="15.75" customHeight="1" x14ac:dyDescent="0.25">
      <c r="A274" s="16"/>
      <c r="B274" s="16"/>
      <c r="C274" s="16"/>
      <c r="D274" s="16"/>
      <c r="E274" s="16"/>
      <c r="F274" s="16"/>
      <c r="G274" s="16"/>
      <c r="H274" s="16"/>
      <c r="I274" s="16"/>
      <c r="J274" s="16"/>
      <c r="K274" s="16"/>
      <c r="L274" s="16"/>
      <c r="M274" s="16"/>
      <c r="N274" s="16"/>
      <c r="O274" s="16"/>
      <c r="P274" s="16"/>
      <c r="Q274" s="16"/>
      <c r="R274" s="16"/>
      <c r="S274" s="16"/>
      <c r="T274" s="16"/>
      <c r="U274" s="16"/>
      <c r="V274" s="16"/>
    </row>
    <row r="275" spans="1:22" ht="15.75" customHeight="1" x14ac:dyDescent="0.25">
      <c r="A275" s="16"/>
      <c r="B275" s="16"/>
      <c r="C275" s="16"/>
      <c r="D275" s="16"/>
      <c r="E275" s="16"/>
      <c r="F275" s="16"/>
      <c r="G275" s="16"/>
      <c r="H275" s="16"/>
      <c r="I275" s="16"/>
      <c r="J275" s="16"/>
      <c r="K275" s="16"/>
      <c r="L275" s="16"/>
      <c r="M275" s="16"/>
      <c r="N275" s="16"/>
      <c r="O275" s="16"/>
      <c r="P275" s="16"/>
      <c r="Q275" s="16"/>
      <c r="R275" s="16"/>
      <c r="S275" s="16"/>
      <c r="T275" s="16"/>
      <c r="U275" s="16"/>
      <c r="V275" s="16"/>
    </row>
    <row r="276" spans="1:22" ht="15.75" customHeight="1" x14ac:dyDescent="0.25">
      <c r="A276" s="16"/>
      <c r="B276" s="16"/>
      <c r="C276" s="16"/>
      <c r="D276" s="16"/>
      <c r="E276" s="16"/>
      <c r="F276" s="16"/>
      <c r="G276" s="16"/>
      <c r="H276" s="16"/>
      <c r="I276" s="16"/>
      <c r="J276" s="16"/>
      <c r="K276" s="16"/>
      <c r="L276" s="16"/>
      <c r="M276" s="16"/>
      <c r="N276" s="16"/>
      <c r="O276" s="16"/>
      <c r="P276" s="16"/>
      <c r="Q276" s="16"/>
      <c r="R276" s="16"/>
      <c r="S276" s="16"/>
      <c r="T276" s="16"/>
      <c r="U276" s="16"/>
      <c r="V276" s="16"/>
    </row>
    <row r="277" spans="1:22" ht="15.75" customHeight="1" x14ac:dyDescent="0.25">
      <c r="A277" s="16"/>
      <c r="B277" s="16"/>
      <c r="C277" s="16"/>
      <c r="D277" s="16"/>
      <c r="E277" s="16"/>
      <c r="F277" s="16"/>
      <c r="G277" s="16"/>
      <c r="H277" s="16"/>
      <c r="I277" s="16"/>
      <c r="J277" s="16"/>
      <c r="K277" s="16"/>
      <c r="L277" s="16"/>
      <c r="M277" s="16"/>
      <c r="N277" s="16"/>
      <c r="O277" s="16"/>
      <c r="P277" s="16"/>
      <c r="Q277" s="16"/>
      <c r="R277" s="16"/>
      <c r="S277" s="16"/>
      <c r="T277" s="16"/>
      <c r="U277" s="16"/>
      <c r="V277" s="16"/>
    </row>
    <row r="278" spans="1:22" ht="15.75" customHeight="1" x14ac:dyDescent="0.25">
      <c r="A278" s="16"/>
      <c r="B278" s="16"/>
      <c r="C278" s="16"/>
      <c r="D278" s="16"/>
      <c r="E278" s="16"/>
      <c r="F278" s="16"/>
      <c r="G278" s="16"/>
      <c r="H278" s="16"/>
      <c r="I278" s="16"/>
      <c r="J278" s="16"/>
      <c r="K278" s="16"/>
      <c r="L278" s="16"/>
      <c r="M278" s="16"/>
      <c r="N278" s="16"/>
      <c r="O278" s="16"/>
      <c r="P278" s="16"/>
      <c r="Q278" s="16"/>
      <c r="R278" s="16"/>
      <c r="S278" s="16"/>
      <c r="T278" s="16"/>
      <c r="U278" s="16"/>
      <c r="V278" s="16"/>
    </row>
    <row r="279" spans="1:22" ht="15.75" customHeight="1" x14ac:dyDescent="0.25">
      <c r="A279" s="16"/>
      <c r="B279" s="16"/>
      <c r="C279" s="16"/>
      <c r="D279" s="16"/>
      <c r="E279" s="16"/>
      <c r="F279" s="16"/>
      <c r="G279" s="16"/>
      <c r="H279" s="16"/>
      <c r="I279" s="16"/>
      <c r="J279" s="16"/>
      <c r="K279" s="16"/>
      <c r="L279" s="16"/>
      <c r="M279" s="16"/>
      <c r="N279" s="16"/>
      <c r="O279" s="16"/>
      <c r="P279" s="16"/>
      <c r="Q279" s="16"/>
      <c r="R279" s="16"/>
      <c r="S279" s="16"/>
      <c r="T279" s="16"/>
      <c r="U279" s="16"/>
      <c r="V279" s="16"/>
    </row>
    <row r="280" spans="1:22" ht="15.75" customHeight="1" x14ac:dyDescent="0.25">
      <c r="A280" s="16"/>
      <c r="B280" s="16"/>
      <c r="C280" s="16"/>
      <c r="D280" s="16"/>
      <c r="E280" s="16"/>
      <c r="F280" s="16"/>
      <c r="G280" s="16"/>
      <c r="H280" s="16"/>
      <c r="I280" s="16"/>
      <c r="J280" s="16"/>
      <c r="K280" s="16"/>
      <c r="L280" s="16"/>
      <c r="M280" s="16"/>
      <c r="N280" s="16"/>
      <c r="O280" s="16"/>
      <c r="P280" s="16"/>
      <c r="Q280" s="16"/>
      <c r="R280" s="16"/>
      <c r="S280" s="16"/>
      <c r="T280" s="16"/>
      <c r="U280" s="16"/>
      <c r="V280" s="16"/>
    </row>
    <row r="281" spans="1:22" ht="15.75" customHeight="1" x14ac:dyDescent="0.25">
      <c r="A281" s="16"/>
      <c r="B281" s="16"/>
      <c r="C281" s="16"/>
      <c r="D281" s="16"/>
      <c r="E281" s="16"/>
      <c r="F281" s="16"/>
      <c r="G281" s="16"/>
      <c r="H281" s="16"/>
      <c r="I281" s="16"/>
      <c r="J281" s="16"/>
      <c r="K281" s="16"/>
      <c r="L281" s="16"/>
      <c r="M281" s="16"/>
      <c r="N281" s="16"/>
      <c r="O281" s="16"/>
      <c r="P281" s="16"/>
      <c r="Q281" s="16"/>
      <c r="R281" s="16"/>
      <c r="S281" s="16"/>
      <c r="T281" s="16"/>
      <c r="U281" s="16"/>
      <c r="V281" s="16"/>
    </row>
    <row r="282" spans="1:22" ht="15.75" customHeight="1" x14ac:dyDescent="0.25">
      <c r="A282" s="16"/>
      <c r="B282" s="16"/>
      <c r="C282" s="16"/>
      <c r="D282" s="16"/>
      <c r="E282" s="16"/>
      <c r="F282" s="16"/>
      <c r="G282" s="16"/>
      <c r="H282" s="16"/>
      <c r="I282" s="16"/>
      <c r="J282" s="16"/>
      <c r="K282" s="16"/>
      <c r="L282" s="16"/>
      <c r="M282" s="16"/>
      <c r="N282" s="16"/>
      <c r="O282" s="16"/>
      <c r="P282" s="16"/>
      <c r="Q282" s="16"/>
      <c r="R282" s="16"/>
      <c r="S282" s="16"/>
      <c r="T282" s="16"/>
      <c r="U282" s="16"/>
      <c r="V282" s="16"/>
    </row>
    <row r="283" spans="1:22" ht="15.75" customHeight="1" x14ac:dyDescent="0.25">
      <c r="A283" s="16"/>
      <c r="B283" s="16"/>
      <c r="C283" s="16"/>
      <c r="D283" s="16"/>
      <c r="E283" s="16"/>
      <c r="F283" s="16"/>
      <c r="G283" s="16"/>
      <c r="H283" s="16"/>
      <c r="I283" s="16"/>
      <c r="J283" s="16"/>
      <c r="K283" s="16"/>
      <c r="L283" s="16"/>
      <c r="M283" s="16"/>
      <c r="N283" s="16"/>
      <c r="O283" s="16"/>
      <c r="P283" s="16"/>
      <c r="Q283" s="16"/>
      <c r="R283" s="16"/>
      <c r="S283" s="16"/>
      <c r="T283" s="16"/>
      <c r="U283" s="16"/>
      <c r="V283" s="16"/>
    </row>
    <row r="284" spans="1:22" ht="15.75" customHeight="1" x14ac:dyDescent="0.25">
      <c r="A284" s="16"/>
      <c r="B284" s="16"/>
      <c r="C284" s="16"/>
      <c r="D284" s="16"/>
      <c r="E284" s="16"/>
      <c r="F284" s="16"/>
      <c r="G284" s="16"/>
      <c r="H284" s="16"/>
      <c r="I284" s="16"/>
      <c r="J284" s="16"/>
      <c r="K284" s="16"/>
      <c r="L284" s="16"/>
      <c r="M284" s="16"/>
      <c r="N284" s="16"/>
      <c r="O284" s="16"/>
      <c r="P284" s="16"/>
      <c r="Q284" s="16"/>
      <c r="R284" s="16"/>
      <c r="S284" s="16"/>
      <c r="T284" s="16"/>
      <c r="U284" s="16"/>
      <c r="V284" s="16"/>
    </row>
    <row r="285" spans="1:22" ht="15.75" customHeight="1" x14ac:dyDescent="0.25">
      <c r="A285" s="16"/>
      <c r="B285" s="16"/>
      <c r="C285" s="16"/>
      <c r="D285" s="16"/>
      <c r="E285" s="16"/>
      <c r="F285" s="16"/>
      <c r="G285" s="16"/>
      <c r="H285" s="16"/>
      <c r="I285" s="16"/>
      <c r="J285" s="16"/>
      <c r="K285" s="16"/>
      <c r="L285" s="16"/>
      <c r="M285" s="16"/>
      <c r="N285" s="16"/>
      <c r="O285" s="16"/>
      <c r="P285" s="16"/>
      <c r="Q285" s="16"/>
      <c r="R285" s="16"/>
      <c r="S285" s="16"/>
      <c r="T285" s="16"/>
      <c r="U285" s="16"/>
      <c r="V285" s="16"/>
    </row>
    <row r="286" spans="1:22" ht="15.75" customHeight="1" x14ac:dyDescent="0.25">
      <c r="A286" s="16"/>
      <c r="B286" s="16"/>
      <c r="C286" s="16"/>
      <c r="D286" s="16"/>
      <c r="E286" s="16"/>
      <c r="F286" s="16"/>
      <c r="G286" s="16"/>
      <c r="H286" s="16"/>
      <c r="I286" s="16"/>
      <c r="J286" s="16"/>
      <c r="K286" s="16"/>
      <c r="L286" s="16"/>
      <c r="M286" s="16"/>
      <c r="N286" s="16"/>
      <c r="O286" s="16"/>
      <c r="P286" s="16"/>
      <c r="Q286" s="16"/>
      <c r="R286" s="16"/>
      <c r="S286" s="16"/>
      <c r="T286" s="16"/>
      <c r="U286" s="16"/>
      <c r="V286" s="16"/>
    </row>
    <row r="287" spans="1:22" ht="15.75" customHeight="1" x14ac:dyDescent="0.25">
      <c r="A287" s="16"/>
      <c r="B287" s="16"/>
      <c r="C287" s="16"/>
      <c r="D287" s="16"/>
      <c r="E287" s="16"/>
      <c r="F287" s="16"/>
      <c r="G287" s="16"/>
      <c r="H287" s="16"/>
      <c r="I287" s="16"/>
      <c r="J287" s="16"/>
      <c r="K287" s="16"/>
      <c r="L287" s="16"/>
      <c r="M287" s="16"/>
      <c r="N287" s="16"/>
      <c r="O287" s="16"/>
      <c r="P287" s="16"/>
      <c r="Q287" s="16"/>
      <c r="R287" s="16"/>
      <c r="S287" s="16"/>
      <c r="T287" s="16"/>
      <c r="U287" s="16"/>
      <c r="V287" s="16"/>
    </row>
    <row r="288" spans="1:22" ht="15.75" customHeight="1" x14ac:dyDescent="0.25">
      <c r="A288" s="16"/>
      <c r="B288" s="16"/>
      <c r="C288" s="16"/>
      <c r="D288" s="16"/>
      <c r="E288" s="16"/>
      <c r="F288" s="16"/>
      <c r="G288" s="16"/>
      <c r="H288" s="16"/>
      <c r="I288" s="16"/>
      <c r="J288" s="16"/>
      <c r="K288" s="16"/>
      <c r="L288" s="16"/>
      <c r="M288" s="16"/>
      <c r="N288" s="16"/>
      <c r="O288" s="16"/>
      <c r="P288" s="16"/>
      <c r="Q288" s="16"/>
      <c r="R288" s="16"/>
      <c r="S288" s="16"/>
      <c r="T288" s="16"/>
      <c r="U288" s="16"/>
      <c r="V288" s="16"/>
    </row>
    <row r="289" spans="1:22" ht="15.75" customHeight="1" x14ac:dyDescent="0.25">
      <c r="A289" s="16"/>
      <c r="B289" s="16"/>
      <c r="C289" s="16"/>
      <c r="D289" s="16"/>
      <c r="E289" s="16"/>
      <c r="F289" s="16"/>
      <c r="G289" s="16"/>
      <c r="H289" s="16"/>
      <c r="I289" s="16"/>
      <c r="J289" s="16"/>
      <c r="K289" s="16"/>
      <c r="L289" s="16"/>
      <c r="M289" s="16"/>
      <c r="N289" s="16"/>
      <c r="O289" s="16"/>
      <c r="P289" s="16"/>
      <c r="Q289" s="16"/>
      <c r="R289" s="16"/>
      <c r="S289" s="16"/>
      <c r="T289" s="16"/>
      <c r="U289" s="16"/>
      <c r="V289" s="16"/>
    </row>
    <row r="290" spans="1:22" ht="15.75" customHeight="1" x14ac:dyDescent="0.25">
      <c r="A290" s="16"/>
      <c r="B290" s="16"/>
      <c r="C290" s="16"/>
      <c r="D290" s="16"/>
      <c r="E290" s="16"/>
      <c r="F290" s="16"/>
      <c r="G290" s="16"/>
      <c r="H290" s="16"/>
      <c r="I290" s="16"/>
      <c r="J290" s="16"/>
      <c r="K290" s="16"/>
      <c r="L290" s="16"/>
      <c r="M290" s="16"/>
      <c r="N290" s="16"/>
      <c r="O290" s="16"/>
      <c r="P290" s="16"/>
      <c r="Q290" s="16"/>
      <c r="R290" s="16"/>
      <c r="S290" s="16"/>
      <c r="T290" s="16"/>
      <c r="U290" s="16"/>
      <c r="V290" s="16"/>
    </row>
    <row r="291" spans="1:22" ht="15.75" customHeight="1" x14ac:dyDescent="0.25">
      <c r="A291" s="16"/>
      <c r="B291" s="16"/>
      <c r="C291" s="16"/>
      <c r="D291" s="16"/>
      <c r="E291" s="16"/>
      <c r="F291" s="16"/>
      <c r="G291" s="16"/>
      <c r="H291" s="16"/>
      <c r="I291" s="16"/>
      <c r="J291" s="16"/>
      <c r="K291" s="16"/>
      <c r="L291" s="16"/>
      <c r="M291" s="16"/>
      <c r="N291" s="16"/>
      <c r="O291" s="16"/>
      <c r="P291" s="16"/>
      <c r="Q291" s="16"/>
      <c r="R291" s="16"/>
      <c r="S291" s="16"/>
      <c r="T291" s="16"/>
      <c r="U291" s="16"/>
      <c r="V291" s="16"/>
    </row>
    <row r="292" spans="1:22" ht="15.75" customHeight="1" x14ac:dyDescent="0.25">
      <c r="A292" s="16"/>
      <c r="B292" s="16"/>
      <c r="C292" s="16"/>
      <c r="D292" s="16"/>
      <c r="E292" s="16"/>
      <c r="F292" s="16"/>
      <c r="G292" s="16"/>
      <c r="H292" s="16"/>
      <c r="I292" s="16"/>
      <c r="J292" s="16"/>
      <c r="K292" s="16"/>
      <c r="L292" s="16"/>
      <c r="M292" s="16"/>
      <c r="N292" s="16"/>
      <c r="O292" s="16"/>
      <c r="P292" s="16"/>
      <c r="Q292" s="16"/>
      <c r="R292" s="16"/>
      <c r="S292" s="16"/>
      <c r="T292" s="16"/>
      <c r="U292" s="16"/>
      <c r="V292" s="16"/>
    </row>
    <row r="293" spans="1:22" ht="15.75" customHeight="1" x14ac:dyDescent="0.25">
      <c r="A293" s="16"/>
      <c r="B293" s="16"/>
      <c r="C293" s="16"/>
      <c r="D293" s="16"/>
      <c r="E293" s="16"/>
      <c r="F293" s="16"/>
      <c r="G293" s="16"/>
      <c r="H293" s="16"/>
      <c r="I293" s="16"/>
      <c r="J293" s="16"/>
      <c r="K293" s="16"/>
      <c r="L293" s="16"/>
      <c r="M293" s="16"/>
      <c r="N293" s="16"/>
      <c r="O293" s="16"/>
      <c r="P293" s="16"/>
      <c r="Q293" s="16"/>
      <c r="R293" s="16"/>
      <c r="S293" s="16"/>
      <c r="T293" s="16"/>
      <c r="U293" s="16"/>
      <c r="V293" s="16"/>
    </row>
    <row r="294" spans="1:22" ht="15.75" customHeight="1" x14ac:dyDescent="0.25">
      <c r="A294" s="16"/>
      <c r="B294" s="16"/>
      <c r="C294" s="16"/>
      <c r="D294" s="16"/>
      <c r="E294" s="16"/>
      <c r="F294" s="16"/>
      <c r="G294" s="16"/>
      <c r="H294" s="16"/>
      <c r="I294" s="16"/>
      <c r="J294" s="16"/>
      <c r="K294" s="16"/>
      <c r="L294" s="16"/>
      <c r="M294" s="16"/>
      <c r="N294" s="16"/>
      <c r="O294" s="16"/>
      <c r="P294" s="16"/>
      <c r="Q294" s="16"/>
      <c r="R294" s="16"/>
      <c r="S294" s="16"/>
      <c r="T294" s="16"/>
      <c r="U294" s="16"/>
      <c r="V294" s="16"/>
    </row>
    <row r="295" spans="1:22" ht="15.75" customHeight="1" x14ac:dyDescent="0.25">
      <c r="A295" s="16"/>
      <c r="B295" s="16"/>
      <c r="C295" s="16"/>
      <c r="D295" s="16"/>
      <c r="E295" s="16"/>
      <c r="F295" s="16"/>
      <c r="G295" s="16"/>
      <c r="H295" s="16"/>
      <c r="I295" s="16"/>
      <c r="J295" s="16"/>
      <c r="K295" s="16"/>
      <c r="L295" s="16"/>
      <c r="M295" s="16"/>
      <c r="N295" s="16"/>
      <c r="O295" s="16"/>
      <c r="P295" s="16"/>
      <c r="Q295" s="16"/>
      <c r="R295" s="16"/>
      <c r="S295" s="16"/>
      <c r="T295" s="16"/>
      <c r="U295" s="16"/>
      <c r="V295" s="16"/>
    </row>
    <row r="296" spans="1:22" ht="15.75" customHeight="1" x14ac:dyDescent="0.25">
      <c r="A296" s="16"/>
      <c r="B296" s="16"/>
      <c r="C296" s="16"/>
      <c r="D296" s="16"/>
      <c r="E296" s="16"/>
      <c r="F296" s="16"/>
      <c r="G296" s="16"/>
      <c r="H296" s="16"/>
      <c r="I296" s="16"/>
      <c r="J296" s="16"/>
      <c r="K296" s="16"/>
      <c r="L296" s="16"/>
      <c r="M296" s="16"/>
      <c r="N296" s="16"/>
      <c r="O296" s="16"/>
      <c r="P296" s="16"/>
      <c r="Q296" s="16"/>
      <c r="R296" s="16"/>
      <c r="S296" s="16"/>
      <c r="T296" s="16"/>
      <c r="U296" s="16"/>
      <c r="V296" s="16"/>
    </row>
    <row r="297" spans="1:22" ht="15.75" customHeight="1" x14ac:dyDescent="0.25">
      <c r="A297" s="16"/>
      <c r="B297" s="16"/>
      <c r="C297" s="16"/>
      <c r="D297" s="16"/>
      <c r="E297" s="16"/>
      <c r="F297" s="16"/>
      <c r="G297" s="16"/>
      <c r="H297" s="16"/>
      <c r="I297" s="16"/>
      <c r="J297" s="16"/>
      <c r="K297" s="16"/>
      <c r="L297" s="16"/>
      <c r="M297" s="16"/>
      <c r="N297" s="16"/>
      <c r="O297" s="16"/>
      <c r="P297" s="16"/>
      <c r="Q297" s="16"/>
      <c r="R297" s="16"/>
      <c r="S297" s="16"/>
      <c r="T297" s="16"/>
      <c r="U297" s="16"/>
      <c r="V297" s="16"/>
    </row>
    <row r="298" spans="1:22" ht="15.75" customHeight="1" x14ac:dyDescent="0.25">
      <c r="A298" s="16"/>
      <c r="B298" s="16"/>
      <c r="C298" s="16"/>
      <c r="D298" s="16"/>
      <c r="E298" s="16"/>
      <c r="F298" s="16"/>
      <c r="G298" s="16"/>
      <c r="H298" s="16"/>
      <c r="I298" s="16"/>
      <c r="J298" s="16"/>
      <c r="K298" s="16"/>
      <c r="L298" s="16"/>
      <c r="M298" s="16"/>
      <c r="N298" s="16"/>
      <c r="O298" s="16"/>
      <c r="P298" s="16"/>
      <c r="Q298" s="16"/>
      <c r="R298" s="16"/>
      <c r="S298" s="16"/>
      <c r="T298" s="16"/>
      <c r="U298" s="16"/>
      <c r="V298" s="16"/>
    </row>
    <row r="299" spans="1:22" ht="15.75" customHeight="1" x14ac:dyDescent="0.25">
      <c r="A299" s="16"/>
      <c r="B299" s="16"/>
      <c r="C299" s="16"/>
      <c r="D299" s="16"/>
      <c r="E299" s="16"/>
      <c r="F299" s="16"/>
      <c r="G299" s="16"/>
      <c r="H299" s="16"/>
      <c r="I299" s="16"/>
      <c r="J299" s="16"/>
      <c r="K299" s="16"/>
      <c r="L299" s="16"/>
      <c r="M299" s="16"/>
      <c r="N299" s="16"/>
      <c r="O299" s="16"/>
      <c r="P299" s="16"/>
      <c r="Q299" s="16"/>
      <c r="R299" s="16"/>
      <c r="S299" s="16"/>
      <c r="T299" s="16"/>
      <c r="U299" s="16"/>
      <c r="V299" s="16"/>
    </row>
    <row r="300" spans="1:22" ht="15.75" customHeight="1" x14ac:dyDescent="0.25">
      <c r="A300" s="16"/>
      <c r="B300" s="16"/>
      <c r="C300" s="16"/>
      <c r="D300" s="16"/>
      <c r="E300" s="16"/>
      <c r="F300" s="16"/>
      <c r="G300" s="16"/>
      <c r="H300" s="16"/>
      <c r="I300" s="16"/>
      <c r="J300" s="16"/>
      <c r="K300" s="16"/>
      <c r="L300" s="16"/>
      <c r="M300" s="16"/>
      <c r="N300" s="16"/>
      <c r="O300" s="16"/>
      <c r="P300" s="16"/>
      <c r="Q300" s="16"/>
      <c r="R300" s="16"/>
      <c r="S300" s="16"/>
      <c r="T300" s="16"/>
      <c r="U300" s="16"/>
      <c r="V300" s="16"/>
    </row>
    <row r="301" spans="1:22" ht="15.75" customHeight="1" x14ac:dyDescent="0.25">
      <c r="A301" s="16"/>
      <c r="B301" s="16"/>
      <c r="C301" s="16"/>
      <c r="D301" s="16"/>
      <c r="E301" s="16"/>
      <c r="F301" s="16"/>
      <c r="G301" s="16"/>
      <c r="H301" s="16"/>
      <c r="I301" s="16"/>
      <c r="J301" s="16"/>
      <c r="K301" s="16"/>
      <c r="L301" s="16"/>
      <c r="M301" s="16"/>
      <c r="N301" s="16"/>
      <c r="O301" s="16"/>
      <c r="P301" s="16"/>
      <c r="Q301" s="16"/>
      <c r="R301" s="16"/>
      <c r="S301" s="16"/>
      <c r="T301" s="16"/>
      <c r="U301" s="16"/>
      <c r="V301" s="16"/>
    </row>
    <row r="302" spans="1:22" ht="15.75" customHeight="1" x14ac:dyDescent="0.25">
      <c r="A302" s="16"/>
      <c r="B302" s="16"/>
      <c r="C302" s="16"/>
      <c r="D302" s="16"/>
      <c r="E302" s="16"/>
      <c r="F302" s="16"/>
      <c r="G302" s="16"/>
      <c r="H302" s="16"/>
      <c r="I302" s="16"/>
      <c r="J302" s="16"/>
      <c r="K302" s="16"/>
      <c r="L302" s="16"/>
      <c r="M302" s="16"/>
      <c r="N302" s="16"/>
      <c r="O302" s="16"/>
      <c r="P302" s="16"/>
      <c r="Q302" s="16"/>
      <c r="R302" s="16"/>
      <c r="S302" s="16"/>
      <c r="T302" s="16"/>
      <c r="U302" s="16"/>
      <c r="V302" s="16"/>
    </row>
    <row r="303" spans="1:22" ht="15.75" customHeight="1" x14ac:dyDescent="0.25">
      <c r="A303" s="16"/>
      <c r="B303" s="16"/>
      <c r="C303" s="16"/>
      <c r="D303" s="16"/>
      <c r="E303" s="16"/>
      <c r="F303" s="16"/>
      <c r="G303" s="16"/>
      <c r="H303" s="16"/>
      <c r="I303" s="16"/>
      <c r="J303" s="16"/>
      <c r="K303" s="16"/>
      <c r="L303" s="16"/>
      <c r="M303" s="16"/>
      <c r="N303" s="16"/>
      <c r="O303" s="16"/>
      <c r="P303" s="16"/>
      <c r="Q303" s="16"/>
      <c r="R303" s="16"/>
      <c r="S303" s="16"/>
      <c r="T303" s="16"/>
      <c r="U303" s="16"/>
      <c r="V303" s="16"/>
    </row>
    <row r="304" spans="1:22" ht="15.75" customHeight="1" x14ac:dyDescent="0.25">
      <c r="A304" s="16"/>
      <c r="B304" s="16"/>
      <c r="C304" s="16"/>
      <c r="D304" s="16"/>
      <c r="E304" s="16"/>
      <c r="F304" s="16"/>
      <c r="G304" s="16"/>
      <c r="H304" s="16"/>
      <c r="I304" s="16"/>
      <c r="J304" s="16"/>
      <c r="K304" s="16"/>
      <c r="L304" s="16"/>
      <c r="M304" s="16"/>
      <c r="N304" s="16"/>
      <c r="O304" s="16"/>
      <c r="P304" s="16"/>
      <c r="Q304" s="16"/>
      <c r="R304" s="16"/>
      <c r="S304" s="16"/>
      <c r="T304" s="16"/>
      <c r="U304" s="16"/>
      <c r="V304" s="16"/>
    </row>
    <row r="305" spans="1:22" ht="15.75" customHeight="1" x14ac:dyDescent="0.25">
      <c r="A305" s="16"/>
      <c r="B305" s="16"/>
      <c r="C305" s="16"/>
      <c r="D305" s="16"/>
      <c r="E305" s="16"/>
      <c r="F305" s="16"/>
      <c r="G305" s="16"/>
      <c r="H305" s="16"/>
      <c r="I305" s="16"/>
      <c r="J305" s="16"/>
      <c r="K305" s="16"/>
      <c r="L305" s="16"/>
      <c r="M305" s="16"/>
      <c r="N305" s="16"/>
      <c r="O305" s="16"/>
      <c r="P305" s="16"/>
      <c r="Q305" s="16"/>
      <c r="R305" s="16"/>
      <c r="S305" s="16"/>
      <c r="T305" s="16"/>
      <c r="U305" s="16"/>
      <c r="V305" s="16"/>
    </row>
    <row r="306" spans="1:22" ht="15.75" customHeight="1" x14ac:dyDescent="0.25">
      <c r="A306" s="16"/>
      <c r="B306" s="16"/>
      <c r="C306" s="16"/>
      <c r="D306" s="16"/>
      <c r="E306" s="16"/>
      <c r="F306" s="16"/>
      <c r="G306" s="16"/>
      <c r="H306" s="16"/>
      <c r="I306" s="16"/>
      <c r="J306" s="16"/>
      <c r="K306" s="16"/>
      <c r="L306" s="16"/>
      <c r="M306" s="16"/>
      <c r="N306" s="16"/>
      <c r="O306" s="16"/>
      <c r="P306" s="16"/>
      <c r="Q306" s="16"/>
      <c r="R306" s="16"/>
      <c r="S306" s="16"/>
      <c r="T306" s="16"/>
      <c r="U306" s="16"/>
      <c r="V306" s="16"/>
    </row>
    <row r="307" spans="1:22" ht="15.75" customHeight="1" x14ac:dyDescent="0.25">
      <c r="A307" s="16"/>
      <c r="B307" s="16"/>
      <c r="C307" s="16"/>
      <c r="D307" s="16"/>
      <c r="E307" s="16"/>
      <c r="F307" s="16"/>
      <c r="G307" s="16"/>
      <c r="H307" s="16"/>
      <c r="I307" s="16"/>
      <c r="J307" s="16"/>
      <c r="K307" s="16"/>
      <c r="L307" s="16"/>
      <c r="M307" s="16"/>
      <c r="N307" s="16"/>
      <c r="O307" s="16"/>
      <c r="P307" s="16"/>
      <c r="Q307" s="16"/>
      <c r="R307" s="16"/>
      <c r="S307" s="16"/>
      <c r="T307" s="16"/>
      <c r="U307" s="16"/>
      <c r="V307" s="16"/>
    </row>
    <row r="308" spans="1:22" ht="15.75" customHeight="1" x14ac:dyDescent="0.25">
      <c r="A308" s="16"/>
      <c r="B308" s="16"/>
      <c r="C308" s="16"/>
      <c r="D308" s="16"/>
      <c r="E308" s="16"/>
      <c r="F308" s="16"/>
      <c r="G308" s="16"/>
      <c r="H308" s="16"/>
      <c r="I308" s="16"/>
      <c r="J308" s="16"/>
      <c r="K308" s="16"/>
      <c r="L308" s="16"/>
      <c r="M308" s="16"/>
      <c r="N308" s="16"/>
      <c r="O308" s="16"/>
      <c r="P308" s="16"/>
      <c r="Q308" s="16"/>
      <c r="R308" s="16"/>
      <c r="S308" s="16"/>
      <c r="T308" s="16"/>
      <c r="U308" s="16"/>
      <c r="V308" s="16"/>
    </row>
    <row r="309" spans="1:22" ht="15.75" customHeight="1" x14ac:dyDescent="0.25">
      <c r="A309" s="16"/>
      <c r="B309" s="16"/>
      <c r="C309" s="16"/>
      <c r="D309" s="16"/>
      <c r="E309" s="16"/>
      <c r="F309" s="16"/>
      <c r="G309" s="16"/>
      <c r="H309" s="16"/>
      <c r="I309" s="16"/>
      <c r="J309" s="16"/>
      <c r="K309" s="16"/>
      <c r="L309" s="16"/>
      <c r="M309" s="16"/>
      <c r="N309" s="16"/>
      <c r="O309" s="16"/>
      <c r="P309" s="16"/>
      <c r="Q309" s="16"/>
      <c r="R309" s="16"/>
      <c r="S309" s="16"/>
      <c r="T309" s="16"/>
      <c r="U309" s="16"/>
      <c r="V309" s="16"/>
    </row>
    <row r="310" spans="1:22" ht="15.75" customHeight="1" x14ac:dyDescent="0.25">
      <c r="A310" s="16"/>
      <c r="B310" s="16"/>
      <c r="C310" s="16"/>
      <c r="D310" s="16"/>
      <c r="E310" s="16"/>
      <c r="F310" s="16"/>
      <c r="G310" s="16"/>
      <c r="H310" s="16"/>
      <c r="I310" s="16"/>
      <c r="J310" s="16"/>
      <c r="K310" s="16"/>
      <c r="L310" s="16"/>
      <c r="M310" s="16"/>
      <c r="N310" s="16"/>
      <c r="O310" s="16"/>
      <c r="P310" s="16"/>
      <c r="Q310" s="16"/>
      <c r="R310" s="16"/>
      <c r="S310" s="16"/>
      <c r="T310" s="16"/>
      <c r="U310" s="16"/>
      <c r="V310" s="16"/>
    </row>
    <row r="311" spans="1:22" ht="15.75" customHeight="1" x14ac:dyDescent="0.25">
      <c r="A311" s="16"/>
      <c r="B311" s="16"/>
      <c r="C311" s="16"/>
      <c r="D311" s="16"/>
      <c r="E311" s="16"/>
      <c r="F311" s="16"/>
      <c r="G311" s="16"/>
      <c r="H311" s="16"/>
      <c r="I311" s="16"/>
      <c r="J311" s="16"/>
      <c r="K311" s="16"/>
      <c r="L311" s="16"/>
      <c r="M311" s="16"/>
      <c r="N311" s="16"/>
      <c r="O311" s="16"/>
      <c r="P311" s="16"/>
      <c r="Q311" s="16"/>
      <c r="R311" s="16"/>
      <c r="S311" s="16"/>
      <c r="T311" s="16"/>
      <c r="U311" s="16"/>
      <c r="V311" s="16"/>
    </row>
    <row r="312" spans="1:22" ht="15.75" customHeight="1" x14ac:dyDescent="0.25">
      <c r="A312" s="16"/>
      <c r="B312" s="16"/>
      <c r="C312" s="16"/>
      <c r="D312" s="16"/>
      <c r="E312" s="16"/>
      <c r="F312" s="16"/>
      <c r="G312" s="16"/>
      <c r="H312" s="16"/>
      <c r="I312" s="16"/>
      <c r="J312" s="16"/>
      <c r="K312" s="16"/>
      <c r="L312" s="16"/>
      <c r="M312" s="16"/>
      <c r="N312" s="16"/>
      <c r="O312" s="16"/>
      <c r="P312" s="16"/>
      <c r="Q312" s="16"/>
      <c r="R312" s="16"/>
      <c r="S312" s="16"/>
      <c r="T312" s="16"/>
      <c r="U312" s="16"/>
      <c r="V312" s="16"/>
    </row>
    <row r="313" spans="1:22" ht="15.75" customHeight="1" x14ac:dyDescent="0.25">
      <c r="A313" s="16"/>
      <c r="B313" s="16"/>
      <c r="C313" s="16"/>
      <c r="D313" s="16"/>
      <c r="E313" s="16"/>
      <c r="F313" s="16"/>
      <c r="G313" s="16"/>
      <c r="H313" s="16"/>
      <c r="I313" s="16"/>
      <c r="J313" s="16"/>
      <c r="K313" s="16"/>
      <c r="L313" s="16"/>
      <c r="M313" s="16"/>
      <c r="N313" s="16"/>
      <c r="O313" s="16"/>
      <c r="P313" s="16"/>
      <c r="Q313" s="16"/>
      <c r="R313" s="16"/>
      <c r="S313" s="16"/>
      <c r="T313" s="16"/>
      <c r="U313" s="16"/>
      <c r="V313" s="16"/>
    </row>
    <row r="314" spans="1:22" ht="15.75" customHeight="1" x14ac:dyDescent="0.25">
      <c r="A314" s="16"/>
      <c r="B314" s="16"/>
      <c r="C314" s="16"/>
      <c r="D314" s="16"/>
      <c r="E314" s="16"/>
      <c r="F314" s="16"/>
      <c r="G314" s="16"/>
      <c r="H314" s="16"/>
      <c r="I314" s="16"/>
      <c r="J314" s="16"/>
      <c r="K314" s="16"/>
      <c r="L314" s="16"/>
      <c r="M314" s="16"/>
      <c r="N314" s="16"/>
      <c r="O314" s="16"/>
      <c r="P314" s="16"/>
      <c r="Q314" s="16"/>
      <c r="R314" s="16"/>
      <c r="S314" s="16"/>
      <c r="T314" s="16"/>
      <c r="U314" s="16"/>
      <c r="V314" s="16"/>
    </row>
    <row r="315" spans="1:22" ht="15.75" customHeight="1" x14ac:dyDescent="0.25">
      <c r="A315" s="16"/>
      <c r="B315" s="16"/>
      <c r="C315" s="16"/>
      <c r="D315" s="16"/>
      <c r="E315" s="16"/>
      <c r="F315" s="16"/>
      <c r="G315" s="16"/>
      <c r="H315" s="16"/>
      <c r="I315" s="16"/>
      <c r="J315" s="16"/>
      <c r="K315" s="16"/>
      <c r="L315" s="16"/>
      <c r="M315" s="16"/>
      <c r="N315" s="16"/>
      <c r="O315" s="16"/>
      <c r="P315" s="16"/>
      <c r="Q315" s="16"/>
      <c r="R315" s="16"/>
      <c r="S315" s="16"/>
      <c r="T315" s="16"/>
      <c r="U315" s="16"/>
      <c r="V315" s="16"/>
    </row>
    <row r="316" spans="1:22" ht="15.75" customHeight="1" x14ac:dyDescent="0.25">
      <c r="A316" s="16"/>
      <c r="B316" s="16"/>
      <c r="C316" s="16"/>
      <c r="D316" s="16"/>
      <c r="E316" s="16"/>
      <c r="F316" s="16"/>
      <c r="G316" s="16"/>
      <c r="H316" s="16"/>
      <c r="I316" s="16"/>
      <c r="J316" s="16"/>
      <c r="K316" s="16"/>
      <c r="L316" s="16"/>
      <c r="M316" s="16"/>
      <c r="N316" s="16"/>
      <c r="O316" s="16"/>
      <c r="P316" s="16"/>
      <c r="Q316" s="16"/>
      <c r="R316" s="16"/>
      <c r="S316" s="16"/>
      <c r="T316" s="16"/>
      <c r="U316" s="16"/>
      <c r="V316" s="16"/>
    </row>
    <row r="317" spans="1:22" ht="15.75" customHeight="1" x14ac:dyDescent="0.25">
      <c r="A317" s="16"/>
      <c r="B317" s="16"/>
      <c r="C317" s="16"/>
      <c r="D317" s="16"/>
      <c r="E317" s="16"/>
      <c r="F317" s="16"/>
      <c r="G317" s="16"/>
      <c r="H317" s="16"/>
      <c r="I317" s="16"/>
      <c r="J317" s="16"/>
      <c r="K317" s="16"/>
      <c r="L317" s="16"/>
      <c r="M317" s="16"/>
      <c r="N317" s="16"/>
      <c r="O317" s="16"/>
      <c r="P317" s="16"/>
      <c r="Q317" s="16"/>
      <c r="R317" s="16"/>
      <c r="S317" s="16"/>
      <c r="T317" s="16"/>
      <c r="U317" s="16"/>
      <c r="V317" s="16"/>
    </row>
    <row r="318" spans="1:22" ht="15.75" customHeight="1" x14ac:dyDescent="0.25">
      <c r="A318" s="16"/>
      <c r="B318" s="16"/>
      <c r="C318" s="16"/>
      <c r="D318" s="16"/>
      <c r="E318" s="16"/>
      <c r="F318" s="16"/>
      <c r="G318" s="16"/>
      <c r="H318" s="16"/>
      <c r="I318" s="16"/>
      <c r="J318" s="16"/>
      <c r="K318" s="16"/>
      <c r="L318" s="16"/>
      <c r="M318" s="16"/>
      <c r="N318" s="16"/>
      <c r="O318" s="16"/>
      <c r="P318" s="16"/>
      <c r="Q318" s="16"/>
      <c r="R318" s="16"/>
      <c r="S318" s="16"/>
      <c r="T318" s="16"/>
      <c r="U318" s="16"/>
      <c r="V318" s="16"/>
    </row>
    <row r="319" spans="1:22" ht="15.75" customHeight="1" x14ac:dyDescent="0.25">
      <c r="A319" s="16"/>
      <c r="B319" s="16"/>
      <c r="C319" s="16"/>
      <c r="D319" s="16"/>
      <c r="E319" s="16"/>
      <c r="F319" s="16"/>
      <c r="G319" s="16"/>
      <c r="H319" s="16"/>
      <c r="I319" s="16"/>
      <c r="J319" s="16"/>
      <c r="K319" s="16"/>
      <c r="L319" s="16"/>
      <c r="M319" s="16"/>
      <c r="N319" s="16"/>
      <c r="O319" s="16"/>
      <c r="P319" s="16"/>
      <c r="Q319" s="16"/>
      <c r="R319" s="16"/>
      <c r="S319" s="16"/>
      <c r="T319" s="16"/>
      <c r="U319" s="16"/>
      <c r="V319" s="16"/>
    </row>
    <row r="320" spans="1:22" ht="15.75" customHeight="1" x14ac:dyDescent="0.25">
      <c r="A320" s="16"/>
      <c r="B320" s="16"/>
      <c r="C320" s="16"/>
      <c r="D320" s="16"/>
      <c r="E320" s="16"/>
      <c r="F320" s="16"/>
      <c r="G320" s="16"/>
      <c r="H320" s="16"/>
      <c r="I320" s="16"/>
      <c r="J320" s="16"/>
      <c r="K320" s="16"/>
      <c r="L320" s="16"/>
      <c r="M320" s="16"/>
      <c r="N320" s="16"/>
      <c r="O320" s="16"/>
      <c r="P320" s="16"/>
      <c r="Q320" s="16"/>
      <c r="R320" s="16"/>
      <c r="S320" s="16"/>
      <c r="T320" s="16"/>
      <c r="U320" s="16"/>
      <c r="V320" s="16"/>
    </row>
    <row r="321" spans="1:22" ht="15.75" customHeight="1" x14ac:dyDescent="0.25">
      <c r="A321" s="16"/>
      <c r="B321" s="16"/>
      <c r="C321" s="16"/>
      <c r="D321" s="16"/>
      <c r="E321" s="16"/>
      <c r="F321" s="16"/>
      <c r="G321" s="16"/>
      <c r="H321" s="16"/>
      <c r="I321" s="16"/>
      <c r="J321" s="16"/>
      <c r="K321" s="16"/>
      <c r="L321" s="16"/>
      <c r="M321" s="16"/>
      <c r="N321" s="16"/>
      <c r="O321" s="16"/>
      <c r="P321" s="16"/>
      <c r="Q321" s="16"/>
      <c r="R321" s="16"/>
      <c r="S321" s="16"/>
      <c r="T321" s="16"/>
      <c r="U321" s="16"/>
      <c r="V321" s="16"/>
    </row>
    <row r="322" spans="1:22" ht="15.75" customHeight="1" x14ac:dyDescent="0.25">
      <c r="A322" s="16"/>
      <c r="B322" s="16"/>
      <c r="C322" s="16"/>
      <c r="D322" s="16"/>
      <c r="E322" s="16"/>
      <c r="F322" s="16"/>
      <c r="G322" s="16"/>
      <c r="H322" s="16"/>
      <c r="I322" s="16"/>
      <c r="J322" s="16"/>
      <c r="K322" s="16"/>
      <c r="L322" s="16"/>
      <c r="M322" s="16"/>
      <c r="N322" s="16"/>
      <c r="O322" s="16"/>
      <c r="P322" s="16"/>
      <c r="Q322" s="16"/>
      <c r="R322" s="16"/>
      <c r="S322" s="16"/>
      <c r="T322" s="16"/>
      <c r="U322" s="16"/>
      <c r="V322" s="16"/>
    </row>
    <row r="323" spans="1:22" ht="15.75" customHeight="1" x14ac:dyDescent="0.25">
      <c r="A323" s="16"/>
      <c r="B323" s="16"/>
      <c r="C323" s="16"/>
      <c r="D323" s="16"/>
      <c r="E323" s="16"/>
      <c r="F323" s="16"/>
      <c r="G323" s="16"/>
      <c r="H323" s="16"/>
      <c r="I323" s="16"/>
      <c r="J323" s="16"/>
      <c r="K323" s="16"/>
      <c r="L323" s="16"/>
      <c r="M323" s="16"/>
      <c r="N323" s="16"/>
      <c r="O323" s="16"/>
      <c r="P323" s="16"/>
      <c r="Q323" s="16"/>
      <c r="R323" s="16"/>
      <c r="S323" s="16"/>
      <c r="T323" s="16"/>
      <c r="U323" s="16"/>
      <c r="V323" s="16"/>
    </row>
    <row r="324" spans="1:22" ht="15.75" customHeight="1" x14ac:dyDescent="0.25">
      <c r="A324" s="16"/>
      <c r="B324" s="16"/>
      <c r="C324" s="16"/>
      <c r="D324" s="16"/>
      <c r="E324" s="16"/>
      <c r="F324" s="16"/>
      <c r="G324" s="16"/>
      <c r="H324" s="16"/>
      <c r="I324" s="16"/>
      <c r="J324" s="16"/>
      <c r="K324" s="16"/>
      <c r="L324" s="16"/>
      <c r="M324" s="16"/>
      <c r="N324" s="16"/>
      <c r="O324" s="16"/>
      <c r="P324" s="16"/>
      <c r="Q324" s="16"/>
      <c r="R324" s="16"/>
      <c r="S324" s="16"/>
      <c r="T324" s="16"/>
      <c r="U324" s="16"/>
      <c r="V324" s="16"/>
    </row>
    <row r="325" spans="1:22" ht="15.75" customHeight="1" x14ac:dyDescent="0.25">
      <c r="A325" s="16"/>
      <c r="B325" s="16"/>
      <c r="C325" s="16"/>
      <c r="D325" s="16"/>
      <c r="E325" s="16"/>
      <c r="F325" s="16"/>
      <c r="G325" s="16"/>
      <c r="H325" s="16"/>
      <c r="I325" s="16"/>
      <c r="J325" s="16"/>
      <c r="K325" s="16"/>
      <c r="L325" s="16"/>
      <c r="M325" s="16"/>
      <c r="N325" s="16"/>
      <c r="O325" s="16"/>
      <c r="P325" s="16"/>
      <c r="Q325" s="16"/>
      <c r="R325" s="16"/>
      <c r="S325" s="16"/>
      <c r="T325" s="16"/>
      <c r="U325" s="16"/>
      <c r="V325" s="16"/>
    </row>
    <row r="326" spans="1:22" ht="15.75" customHeight="1" x14ac:dyDescent="0.25">
      <c r="A326" s="16"/>
      <c r="B326" s="16"/>
      <c r="C326" s="16"/>
      <c r="D326" s="16"/>
      <c r="E326" s="16"/>
      <c r="F326" s="16"/>
      <c r="G326" s="16"/>
      <c r="H326" s="16"/>
      <c r="I326" s="16"/>
      <c r="J326" s="16"/>
      <c r="K326" s="16"/>
      <c r="L326" s="16"/>
      <c r="M326" s="16"/>
      <c r="N326" s="16"/>
      <c r="O326" s="16"/>
      <c r="P326" s="16"/>
      <c r="Q326" s="16"/>
      <c r="R326" s="16"/>
      <c r="S326" s="16"/>
      <c r="T326" s="16"/>
      <c r="U326" s="16"/>
      <c r="V326" s="16"/>
    </row>
    <row r="327" spans="1:22" ht="15.75" customHeight="1" x14ac:dyDescent="0.25">
      <c r="A327" s="16"/>
      <c r="B327" s="16"/>
      <c r="C327" s="16"/>
      <c r="D327" s="16"/>
      <c r="E327" s="16"/>
      <c r="F327" s="16"/>
      <c r="G327" s="16"/>
      <c r="H327" s="16"/>
      <c r="I327" s="16"/>
      <c r="J327" s="16"/>
      <c r="K327" s="16"/>
      <c r="L327" s="16"/>
      <c r="M327" s="16"/>
      <c r="N327" s="16"/>
      <c r="O327" s="16"/>
      <c r="P327" s="16"/>
      <c r="Q327" s="16"/>
      <c r="R327" s="16"/>
      <c r="S327" s="16"/>
      <c r="T327" s="16"/>
      <c r="U327" s="16"/>
      <c r="V327" s="16"/>
    </row>
    <row r="328" spans="1:22" ht="15.75" customHeight="1" x14ac:dyDescent="0.25">
      <c r="A328" s="16"/>
      <c r="B328" s="16"/>
      <c r="C328" s="16"/>
      <c r="D328" s="16"/>
      <c r="E328" s="16"/>
      <c r="F328" s="16"/>
      <c r="G328" s="16"/>
      <c r="H328" s="16"/>
      <c r="I328" s="16"/>
      <c r="J328" s="16"/>
      <c r="K328" s="16"/>
      <c r="L328" s="16"/>
      <c r="M328" s="16"/>
      <c r="N328" s="16"/>
      <c r="O328" s="16"/>
      <c r="P328" s="16"/>
      <c r="Q328" s="16"/>
      <c r="R328" s="16"/>
      <c r="S328" s="16"/>
      <c r="T328" s="16"/>
      <c r="U328" s="16"/>
      <c r="V328" s="16"/>
    </row>
    <row r="329" spans="1:22" ht="15.75" customHeight="1" x14ac:dyDescent="0.25">
      <c r="A329" s="16"/>
      <c r="B329" s="16"/>
      <c r="C329" s="16"/>
      <c r="D329" s="16"/>
      <c r="E329" s="16"/>
      <c r="F329" s="16"/>
      <c r="G329" s="16"/>
      <c r="H329" s="16"/>
      <c r="I329" s="16"/>
      <c r="J329" s="16"/>
      <c r="K329" s="16"/>
      <c r="L329" s="16"/>
      <c r="M329" s="16"/>
      <c r="N329" s="16"/>
      <c r="O329" s="16"/>
      <c r="P329" s="16"/>
      <c r="Q329" s="16"/>
      <c r="R329" s="16"/>
      <c r="S329" s="16"/>
      <c r="T329" s="16"/>
      <c r="U329" s="16"/>
      <c r="V329" s="16"/>
    </row>
    <row r="330" spans="1:22" ht="15.75" customHeight="1" x14ac:dyDescent="0.25">
      <c r="A330" s="16"/>
      <c r="B330" s="16"/>
      <c r="C330" s="16"/>
      <c r="D330" s="16"/>
      <c r="E330" s="16"/>
      <c r="F330" s="16"/>
      <c r="G330" s="16"/>
      <c r="H330" s="16"/>
      <c r="I330" s="16"/>
      <c r="J330" s="16"/>
      <c r="K330" s="16"/>
      <c r="L330" s="16"/>
      <c r="M330" s="16"/>
      <c r="N330" s="16"/>
      <c r="O330" s="16"/>
      <c r="P330" s="16"/>
      <c r="Q330" s="16"/>
      <c r="R330" s="16"/>
      <c r="S330" s="16"/>
      <c r="T330" s="16"/>
      <c r="U330" s="16"/>
      <c r="V330" s="16"/>
    </row>
    <row r="331" spans="1:22" ht="15.75" customHeight="1" x14ac:dyDescent="0.25">
      <c r="A331" s="16"/>
      <c r="B331" s="16"/>
      <c r="C331" s="16"/>
      <c r="D331" s="16"/>
      <c r="E331" s="16"/>
      <c r="F331" s="16"/>
      <c r="G331" s="16"/>
      <c r="H331" s="16"/>
      <c r="I331" s="16"/>
      <c r="J331" s="16"/>
      <c r="K331" s="16"/>
      <c r="L331" s="16"/>
      <c r="M331" s="16"/>
      <c r="N331" s="16"/>
      <c r="O331" s="16"/>
      <c r="P331" s="16"/>
      <c r="Q331" s="16"/>
      <c r="R331" s="16"/>
      <c r="S331" s="16"/>
      <c r="T331" s="16"/>
      <c r="U331" s="16"/>
      <c r="V331" s="16"/>
    </row>
    <row r="332" spans="1:22" ht="15.75" customHeight="1" x14ac:dyDescent="0.25">
      <c r="A332" s="16"/>
      <c r="B332" s="16"/>
      <c r="C332" s="16"/>
      <c r="D332" s="16"/>
      <c r="E332" s="16"/>
      <c r="F332" s="16"/>
      <c r="G332" s="16"/>
      <c r="H332" s="16"/>
      <c r="I332" s="16"/>
      <c r="J332" s="16"/>
      <c r="K332" s="16"/>
      <c r="L332" s="16"/>
      <c r="M332" s="16"/>
      <c r="N332" s="16"/>
      <c r="O332" s="16"/>
      <c r="P332" s="16"/>
      <c r="Q332" s="16"/>
      <c r="R332" s="16"/>
      <c r="S332" s="16"/>
      <c r="T332" s="16"/>
      <c r="U332" s="16"/>
      <c r="V332" s="16"/>
    </row>
    <row r="333" spans="1:22" ht="15.75" customHeight="1" x14ac:dyDescent="0.25">
      <c r="A333" s="16"/>
      <c r="B333" s="16"/>
      <c r="C333" s="16"/>
      <c r="D333" s="16"/>
      <c r="E333" s="16"/>
      <c r="F333" s="16"/>
      <c r="G333" s="16"/>
      <c r="H333" s="16"/>
      <c r="I333" s="16"/>
      <c r="J333" s="16"/>
      <c r="K333" s="16"/>
      <c r="L333" s="16"/>
      <c r="M333" s="16"/>
      <c r="N333" s="16"/>
      <c r="O333" s="16"/>
      <c r="P333" s="16"/>
      <c r="Q333" s="16"/>
      <c r="R333" s="16"/>
      <c r="S333" s="16"/>
      <c r="T333" s="16"/>
      <c r="U333" s="16"/>
      <c r="V333" s="16"/>
    </row>
    <row r="334" spans="1:22" ht="15.75" customHeight="1" x14ac:dyDescent="0.25">
      <c r="A334" s="16"/>
      <c r="B334" s="16"/>
      <c r="C334" s="16"/>
      <c r="D334" s="16"/>
      <c r="E334" s="16"/>
      <c r="F334" s="16"/>
      <c r="G334" s="16"/>
      <c r="H334" s="16"/>
      <c r="I334" s="16"/>
      <c r="J334" s="16"/>
      <c r="K334" s="16"/>
      <c r="L334" s="16"/>
      <c r="M334" s="16"/>
      <c r="N334" s="16"/>
      <c r="O334" s="16"/>
      <c r="P334" s="16"/>
      <c r="Q334" s="16"/>
      <c r="R334" s="16"/>
      <c r="S334" s="16"/>
      <c r="T334" s="16"/>
      <c r="U334" s="16"/>
      <c r="V334" s="16"/>
    </row>
    <row r="335" spans="1:22" ht="15.75" customHeight="1" x14ac:dyDescent="0.25">
      <c r="A335" s="16"/>
      <c r="B335" s="16"/>
      <c r="C335" s="16"/>
      <c r="D335" s="16"/>
      <c r="E335" s="16"/>
      <c r="F335" s="16"/>
      <c r="G335" s="16"/>
      <c r="H335" s="16"/>
      <c r="I335" s="16"/>
      <c r="J335" s="16"/>
      <c r="K335" s="16"/>
      <c r="L335" s="16"/>
      <c r="M335" s="16"/>
      <c r="N335" s="16"/>
      <c r="O335" s="16"/>
      <c r="P335" s="16"/>
      <c r="Q335" s="16"/>
      <c r="R335" s="16"/>
      <c r="S335" s="16"/>
      <c r="T335" s="16"/>
      <c r="U335" s="16"/>
      <c r="V335" s="16"/>
    </row>
    <row r="336" spans="1:22" ht="15.75" customHeight="1" x14ac:dyDescent="0.25">
      <c r="A336" s="16"/>
      <c r="B336" s="16"/>
      <c r="C336" s="16"/>
      <c r="D336" s="16"/>
      <c r="E336" s="16"/>
      <c r="F336" s="16"/>
      <c r="G336" s="16"/>
      <c r="H336" s="16"/>
      <c r="I336" s="16"/>
      <c r="J336" s="16"/>
      <c r="K336" s="16"/>
      <c r="L336" s="16"/>
      <c r="M336" s="16"/>
      <c r="N336" s="16"/>
      <c r="O336" s="16"/>
      <c r="P336" s="16"/>
      <c r="Q336" s="16"/>
      <c r="R336" s="16"/>
      <c r="S336" s="16"/>
      <c r="T336" s="16"/>
      <c r="U336" s="16"/>
      <c r="V336" s="16"/>
    </row>
    <row r="337" spans="1:22" ht="15.75" customHeight="1" x14ac:dyDescent="0.25">
      <c r="A337" s="16"/>
      <c r="B337" s="16"/>
      <c r="C337" s="16"/>
      <c r="D337" s="16"/>
      <c r="E337" s="16"/>
      <c r="F337" s="16"/>
      <c r="G337" s="16"/>
      <c r="H337" s="16"/>
      <c r="I337" s="16"/>
      <c r="J337" s="16"/>
      <c r="K337" s="16"/>
      <c r="L337" s="16"/>
      <c r="M337" s="16"/>
      <c r="N337" s="16"/>
      <c r="O337" s="16"/>
      <c r="P337" s="16"/>
      <c r="Q337" s="16"/>
      <c r="R337" s="16"/>
      <c r="S337" s="16"/>
      <c r="T337" s="16"/>
      <c r="U337" s="16"/>
      <c r="V337" s="16"/>
    </row>
    <row r="338" spans="1:22" ht="15.75" customHeight="1" x14ac:dyDescent="0.25">
      <c r="A338" s="16"/>
      <c r="B338" s="16"/>
      <c r="C338" s="16"/>
      <c r="D338" s="16"/>
      <c r="E338" s="16"/>
      <c r="F338" s="16"/>
      <c r="G338" s="16"/>
      <c r="H338" s="16"/>
      <c r="I338" s="16"/>
      <c r="J338" s="16"/>
      <c r="K338" s="16"/>
      <c r="L338" s="16"/>
      <c r="M338" s="16"/>
      <c r="N338" s="16"/>
      <c r="O338" s="16"/>
      <c r="P338" s="16"/>
      <c r="Q338" s="16"/>
      <c r="R338" s="16"/>
      <c r="S338" s="16"/>
      <c r="T338" s="16"/>
      <c r="U338" s="16"/>
      <c r="V338" s="16"/>
    </row>
    <row r="339" spans="1:22" ht="15.75" customHeight="1" x14ac:dyDescent="0.25">
      <c r="A339" s="16"/>
      <c r="B339" s="16"/>
      <c r="C339" s="16"/>
      <c r="D339" s="16"/>
      <c r="E339" s="16"/>
      <c r="F339" s="16"/>
      <c r="G339" s="16"/>
      <c r="H339" s="16"/>
      <c r="I339" s="16"/>
      <c r="J339" s="16"/>
      <c r="K339" s="16"/>
      <c r="L339" s="16"/>
      <c r="M339" s="16"/>
      <c r="N339" s="16"/>
      <c r="O339" s="16"/>
      <c r="P339" s="16"/>
      <c r="Q339" s="16"/>
      <c r="R339" s="16"/>
      <c r="S339" s="16"/>
      <c r="T339" s="16"/>
      <c r="U339" s="16"/>
      <c r="V339" s="16"/>
    </row>
    <row r="340" spans="1:22" ht="15.75" customHeight="1" x14ac:dyDescent="0.25">
      <c r="A340" s="16"/>
      <c r="B340" s="16"/>
      <c r="C340" s="16"/>
      <c r="D340" s="16"/>
      <c r="E340" s="16"/>
      <c r="F340" s="16"/>
      <c r="G340" s="16"/>
      <c r="H340" s="16"/>
      <c r="I340" s="16"/>
      <c r="J340" s="16"/>
      <c r="K340" s="16"/>
      <c r="L340" s="16"/>
      <c r="M340" s="16"/>
      <c r="N340" s="16"/>
      <c r="O340" s="16"/>
      <c r="P340" s="16"/>
      <c r="Q340" s="16"/>
      <c r="R340" s="16"/>
      <c r="S340" s="16"/>
      <c r="T340" s="16"/>
      <c r="U340" s="16"/>
      <c r="V340" s="16"/>
    </row>
    <row r="341" spans="1:22" ht="15.75" customHeight="1" x14ac:dyDescent="0.25">
      <c r="A341" s="16"/>
      <c r="B341" s="16"/>
      <c r="C341" s="16"/>
      <c r="D341" s="16"/>
      <c r="E341" s="16"/>
      <c r="F341" s="16"/>
      <c r="G341" s="16"/>
      <c r="H341" s="16"/>
      <c r="I341" s="16"/>
      <c r="J341" s="16"/>
      <c r="K341" s="16"/>
      <c r="L341" s="16"/>
      <c r="M341" s="16"/>
      <c r="N341" s="16"/>
      <c r="O341" s="16"/>
      <c r="P341" s="16"/>
      <c r="Q341" s="16"/>
      <c r="R341" s="16"/>
      <c r="S341" s="16"/>
      <c r="T341" s="16"/>
      <c r="U341" s="16"/>
      <c r="V341" s="16"/>
    </row>
    <row r="342" spans="1:22" ht="15.75" customHeight="1" x14ac:dyDescent="0.25">
      <c r="A342" s="16"/>
      <c r="B342" s="16"/>
      <c r="C342" s="16"/>
      <c r="D342" s="16"/>
      <c r="E342" s="16"/>
      <c r="F342" s="16"/>
      <c r="G342" s="16"/>
      <c r="H342" s="16"/>
      <c r="I342" s="16"/>
      <c r="J342" s="16"/>
      <c r="K342" s="16"/>
      <c r="L342" s="16"/>
      <c r="M342" s="16"/>
      <c r="N342" s="16"/>
      <c r="O342" s="16"/>
      <c r="P342" s="16"/>
      <c r="Q342" s="16"/>
      <c r="R342" s="16"/>
      <c r="S342" s="16"/>
      <c r="T342" s="16"/>
      <c r="U342" s="16"/>
      <c r="V342" s="16"/>
    </row>
    <row r="343" spans="1:22" ht="15.75" customHeight="1" x14ac:dyDescent="0.25">
      <c r="A343" s="16"/>
      <c r="B343" s="16"/>
      <c r="C343" s="16"/>
      <c r="D343" s="16"/>
      <c r="E343" s="16"/>
      <c r="F343" s="16"/>
      <c r="G343" s="16"/>
      <c r="H343" s="16"/>
      <c r="I343" s="16"/>
      <c r="J343" s="16"/>
      <c r="K343" s="16"/>
      <c r="L343" s="16"/>
      <c r="M343" s="16"/>
      <c r="N343" s="16"/>
      <c r="O343" s="16"/>
      <c r="P343" s="16"/>
      <c r="Q343" s="16"/>
      <c r="R343" s="16"/>
      <c r="S343" s="16"/>
      <c r="T343" s="16"/>
      <c r="U343" s="16"/>
      <c r="V343" s="16"/>
    </row>
    <row r="344" spans="1:22" ht="15.75" customHeight="1" x14ac:dyDescent="0.25">
      <c r="A344" s="16"/>
      <c r="B344" s="16"/>
      <c r="C344" s="16"/>
      <c r="D344" s="16"/>
      <c r="E344" s="16"/>
      <c r="F344" s="16"/>
      <c r="G344" s="16"/>
      <c r="H344" s="16"/>
      <c r="I344" s="16"/>
      <c r="J344" s="16"/>
      <c r="K344" s="16"/>
      <c r="L344" s="16"/>
      <c r="M344" s="16"/>
      <c r="N344" s="16"/>
      <c r="O344" s="16"/>
      <c r="P344" s="16"/>
      <c r="Q344" s="16"/>
      <c r="R344" s="16"/>
      <c r="S344" s="16"/>
      <c r="T344" s="16"/>
      <c r="U344" s="16"/>
      <c r="V344" s="16"/>
    </row>
    <row r="345" spans="1:22" ht="15.75" customHeight="1" x14ac:dyDescent="0.25">
      <c r="A345" s="16"/>
      <c r="B345" s="16"/>
      <c r="C345" s="16"/>
      <c r="D345" s="16"/>
      <c r="E345" s="16"/>
      <c r="F345" s="16"/>
      <c r="G345" s="16"/>
      <c r="H345" s="16"/>
      <c r="I345" s="16"/>
      <c r="J345" s="16"/>
      <c r="K345" s="16"/>
      <c r="L345" s="16"/>
      <c r="M345" s="16"/>
      <c r="N345" s="16"/>
      <c r="O345" s="16"/>
      <c r="P345" s="16"/>
      <c r="Q345" s="16"/>
      <c r="R345" s="16"/>
      <c r="S345" s="16"/>
      <c r="T345" s="16"/>
      <c r="U345" s="16"/>
      <c r="V345" s="16"/>
    </row>
    <row r="346" spans="1:22" ht="15.75" customHeight="1" x14ac:dyDescent="0.25">
      <c r="A346" s="16"/>
      <c r="B346" s="16"/>
      <c r="C346" s="16"/>
      <c r="D346" s="16"/>
      <c r="E346" s="16"/>
      <c r="F346" s="16"/>
      <c r="G346" s="16"/>
      <c r="H346" s="16"/>
      <c r="I346" s="16"/>
      <c r="J346" s="16"/>
      <c r="K346" s="16"/>
      <c r="L346" s="16"/>
      <c r="M346" s="16"/>
      <c r="N346" s="16"/>
      <c r="O346" s="16"/>
      <c r="P346" s="16"/>
      <c r="Q346" s="16"/>
      <c r="R346" s="16"/>
      <c r="S346" s="16"/>
      <c r="T346" s="16"/>
      <c r="U346" s="16"/>
      <c r="V346" s="16"/>
    </row>
    <row r="347" spans="1:22" ht="15.75" customHeight="1" x14ac:dyDescent="0.25">
      <c r="A347" s="16"/>
      <c r="B347" s="16"/>
      <c r="C347" s="16"/>
      <c r="D347" s="16"/>
      <c r="E347" s="16"/>
      <c r="F347" s="16"/>
      <c r="G347" s="16"/>
      <c r="H347" s="16"/>
      <c r="I347" s="16"/>
      <c r="J347" s="16"/>
      <c r="K347" s="16"/>
      <c r="L347" s="16"/>
      <c r="M347" s="16"/>
      <c r="N347" s="16"/>
      <c r="O347" s="16"/>
      <c r="P347" s="16"/>
      <c r="Q347" s="16"/>
      <c r="R347" s="16"/>
      <c r="S347" s="16"/>
      <c r="T347" s="16"/>
      <c r="U347" s="16"/>
      <c r="V347" s="16"/>
    </row>
    <row r="348" spans="1:22" ht="15.75" customHeight="1" x14ac:dyDescent="0.25">
      <c r="A348" s="16"/>
      <c r="B348" s="16"/>
      <c r="C348" s="16"/>
      <c r="D348" s="16"/>
      <c r="E348" s="16"/>
      <c r="F348" s="16"/>
      <c r="G348" s="16"/>
      <c r="H348" s="16"/>
      <c r="I348" s="16"/>
      <c r="J348" s="16"/>
      <c r="K348" s="16"/>
      <c r="L348" s="16"/>
      <c r="M348" s="16"/>
      <c r="N348" s="16"/>
      <c r="O348" s="16"/>
      <c r="P348" s="16"/>
      <c r="Q348" s="16"/>
      <c r="R348" s="16"/>
      <c r="S348" s="16"/>
      <c r="T348" s="16"/>
      <c r="U348" s="16"/>
      <c r="V348" s="16"/>
    </row>
    <row r="349" spans="1:22" ht="15.75" customHeight="1" x14ac:dyDescent="0.25">
      <c r="A349" s="16"/>
      <c r="B349" s="16"/>
      <c r="C349" s="16"/>
      <c r="D349" s="16"/>
      <c r="E349" s="16"/>
      <c r="F349" s="16"/>
      <c r="G349" s="16"/>
      <c r="H349" s="16"/>
      <c r="I349" s="16"/>
      <c r="J349" s="16"/>
      <c r="K349" s="16"/>
      <c r="L349" s="16"/>
      <c r="M349" s="16"/>
      <c r="N349" s="16"/>
      <c r="O349" s="16"/>
      <c r="P349" s="16"/>
      <c r="Q349" s="16"/>
      <c r="R349" s="16"/>
      <c r="S349" s="16"/>
      <c r="T349" s="16"/>
      <c r="U349" s="16"/>
      <c r="V349" s="16"/>
    </row>
    <row r="350" spans="1:22" ht="15.75" customHeight="1" x14ac:dyDescent="0.25">
      <c r="A350" s="16"/>
      <c r="B350" s="16"/>
      <c r="C350" s="16"/>
      <c r="D350" s="16"/>
      <c r="E350" s="16"/>
      <c r="F350" s="16"/>
      <c r="G350" s="16"/>
      <c r="H350" s="16"/>
      <c r="I350" s="16"/>
      <c r="J350" s="16"/>
      <c r="K350" s="16"/>
      <c r="L350" s="16"/>
      <c r="M350" s="16"/>
      <c r="N350" s="16"/>
      <c r="O350" s="16"/>
      <c r="P350" s="16"/>
      <c r="Q350" s="16"/>
      <c r="R350" s="16"/>
      <c r="S350" s="16"/>
      <c r="T350" s="16"/>
      <c r="U350" s="16"/>
      <c r="V350" s="16"/>
    </row>
    <row r="351" spans="1:22" ht="15.75" customHeight="1" x14ac:dyDescent="0.25">
      <c r="A351" s="16"/>
      <c r="B351" s="16"/>
      <c r="C351" s="16"/>
      <c r="D351" s="16"/>
      <c r="E351" s="16"/>
      <c r="F351" s="16"/>
      <c r="G351" s="16"/>
      <c r="H351" s="16"/>
      <c r="I351" s="16"/>
      <c r="J351" s="16"/>
      <c r="K351" s="16"/>
      <c r="L351" s="16"/>
      <c r="M351" s="16"/>
      <c r="N351" s="16"/>
      <c r="O351" s="16"/>
      <c r="P351" s="16"/>
      <c r="Q351" s="16"/>
      <c r="R351" s="16"/>
      <c r="S351" s="16"/>
      <c r="T351" s="16"/>
      <c r="U351" s="16"/>
      <c r="V351" s="16"/>
    </row>
    <row r="352" spans="1:22" ht="15.75" customHeight="1" x14ac:dyDescent="0.25">
      <c r="A352" s="16"/>
      <c r="B352" s="16"/>
      <c r="C352" s="16"/>
      <c r="D352" s="16"/>
      <c r="E352" s="16"/>
      <c r="F352" s="16"/>
      <c r="G352" s="16"/>
      <c r="H352" s="16"/>
      <c r="I352" s="16"/>
      <c r="J352" s="16"/>
      <c r="K352" s="16"/>
      <c r="L352" s="16"/>
      <c r="M352" s="16"/>
      <c r="N352" s="16"/>
      <c r="O352" s="16"/>
      <c r="P352" s="16"/>
      <c r="Q352" s="16"/>
      <c r="R352" s="16"/>
      <c r="S352" s="16"/>
      <c r="T352" s="16"/>
      <c r="U352" s="16"/>
      <c r="V352" s="16"/>
    </row>
    <row r="353" spans="1:22" ht="15.75" customHeight="1" x14ac:dyDescent="0.25">
      <c r="A353" s="16"/>
      <c r="B353" s="16"/>
      <c r="C353" s="16"/>
      <c r="D353" s="16"/>
      <c r="E353" s="16"/>
      <c r="F353" s="16"/>
      <c r="G353" s="16"/>
      <c r="H353" s="16"/>
      <c r="I353" s="16"/>
      <c r="J353" s="16"/>
      <c r="K353" s="16"/>
      <c r="L353" s="16"/>
      <c r="M353" s="16"/>
      <c r="N353" s="16"/>
      <c r="O353" s="16"/>
      <c r="P353" s="16"/>
      <c r="Q353" s="16"/>
      <c r="R353" s="16"/>
      <c r="S353" s="16"/>
      <c r="T353" s="16"/>
      <c r="U353" s="16"/>
      <c r="V353" s="16"/>
    </row>
    <row r="354" spans="1:22" ht="15.75" customHeight="1" x14ac:dyDescent="0.25">
      <c r="A354" s="16"/>
      <c r="B354" s="16"/>
      <c r="C354" s="16"/>
      <c r="D354" s="16"/>
      <c r="E354" s="16"/>
      <c r="F354" s="16"/>
      <c r="G354" s="16"/>
      <c r="H354" s="16"/>
      <c r="I354" s="16"/>
      <c r="J354" s="16"/>
      <c r="K354" s="16"/>
      <c r="L354" s="16"/>
      <c r="M354" s="16"/>
      <c r="N354" s="16"/>
      <c r="O354" s="16"/>
      <c r="P354" s="16"/>
      <c r="Q354" s="16"/>
      <c r="R354" s="16"/>
      <c r="S354" s="16"/>
      <c r="T354" s="16"/>
      <c r="U354" s="16"/>
      <c r="V354" s="16"/>
    </row>
    <row r="355" spans="1:22" ht="15.75" customHeight="1" x14ac:dyDescent="0.25">
      <c r="A355" s="16"/>
      <c r="B355" s="16"/>
      <c r="C355" s="16"/>
      <c r="D355" s="16"/>
      <c r="E355" s="16"/>
      <c r="F355" s="16"/>
      <c r="G355" s="16"/>
      <c r="H355" s="16"/>
      <c r="I355" s="16"/>
      <c r="J355" s="16"/>
      <c r="K355" s="16"/>
      <c r="L355" s="16"/>
      <c r="M355" s="16"/>
      <c r="N355" s="16"/>
      <c r="O355" s="16"/>
      <c r="P355" s="16"/>
      <c r="Q355" s="16"/>
      <c r="R355" s="16"/>
      <c r="S355" s="16"/>
      <c r="T355" s="16"/>
      <c r="U355" s="16"/>
      <c r="V355" s="16"/>
    </row>
    <row r="356" spans="1:22" ht="15.75" customHeight="1" x14ac:dyDescent="0.25">
      <c r="A356" s="16"/>
      <c r="B356" s="16"/>
      <c r="C356" s="16"/>
      <c r="D356" s="16"/>
      <c r="E356" s="16"/>
      <c r="F356" s="16"/>
      <c r="G356" s="16"/>
      <c r="H356" s="16"/>
      <c r="I356" s="16"/>
      <c r="J356" s="16"/>
      <c r="K356" s="16"/>
      <c r="L356" s="16"/>
      <c r="M356" s="16"/>
      <c r="N356" s="16"/>
      <c r="O356" s="16"/>
      <c r="P356" s="16"/>
      <c r="Q356" s="16"/>
      <c r="R356" s="16"/>
      <c r="S356" s="16"/>
      <c r="T356" s="16"/>
      <c r="U356" s="16"/>
      <c r="V356" s="16"/>
    </row>
    <row r="357" spans="1:22" ht="15.75" customHeight="1" x14ac:dyDescent="0.25">
      <c r="A357" s="16"/>
      <c r="B357" s="16"/>
      <c r="C357" s="16"/>
      <c r="D357" s="16"/>
      <c r="E357" s="16"/>
      <c r="F357" s="16"/>
      <c r="G357" s="16"/>
      <c r="H357" s="16"/>
      <c r="I357" s="16"/>
      <c r="J357" s="16"/>
      <c r="K357" s="16"/>
      <c r="L357" s="16"/>
      <c r="M357" s="16"/>
      <c r="N357" s="16"/>
      <c r="O357" s="16"/>
      <c r="P357" s="16"/>
      <c r="Q357" s="16"/>
      <c r="R357" s="16"/>
      <c r="S357" s="16"/>
      <c r="T357" s="16"/>
      <c r="U357" s="16"/>
      <c r="V357" s="16"/>
    </row>
    <row r="358" spans="1:22" ht="15.75" customHeight="1" x14ac:dyDescent="0.25">
      <c r="A358" s="16"/>
      <c r="B358" s="16"/>
      <c r="C358" s="16"/>
      <c r="D358" s="16"/>
      <c r="E358" s="16"/>
      <c r="F358" s="16"/>
      <c r="G358" s="16"/>
      <c r="H358" s="16"/>
      <c r="I358" s="16"/>
      <c r="J358" s="16"/>
      <c r="K358" s="16"/>
      <c r="L358" s="16"/>
      <c r="M358" s="16"/>
      <c r="N358" s="16"/>
      <c r="O358" s="16"/>
      <c r="P358" s="16"/>
      <c r="Q358" s="16"/>
      <c r="R358" s="16"/>
      <c r="S358" s="16"/>
      <c r="T358" s="16"/>
      <c r="U358" s="16"/>
      <c r="V358" s="16"/>
    </row>
    <row r="359" spans="1:22" ht="15.75" customHeight="1" x14ac:dyDescent="0.25">
      <c r="A359" s="16"/>
      <c r="B359" s="16"/>
      <c r="C359" s="16"/>
      <c r="D359" s="16"/>
      <c r="E359" s="16"/>
      <c r="F359" s="16"/>
      <c r="G359" s="16"/>
      <c r="H359" s="16"/>
      <c r="I359" s="16"/>
      <c r="J359" s="16"/>
      <c r="K359" s="16"/>
      <c r="L359" s="16"/>
      <c r="M359" s="16"/>
      <c r="N359" s="16"/>
      <c r="O359" s="16"/>
      <c r="P359" s="16"/>
      <c r="Q359" s="16"/>
      <c r="R359" s="16"/>
      <c r="S359" s="16"/>
      <c r="T359" s="16"/>
      <c r="U359" s="16"/>
      <c r="V359" s="16"/>
    </row>
    <row r="360" spans="1:22" ht="15.75" customHeight="1" x14ac:dyDescent="0.25">
      <c r="A360" s="16"/>
      <c r="B360" s="16"/>
      <c r="C360" s="16"/>
      <c r="D360" s="16"/>
      <c r="E360" s="16"/>
      <c r="F360" s="16"/>
      <c r="G360" s="16"/>
      <c r="H360" s="16"/>
      <c r="I360" s="16"/>
      <c r="J360" s="16"/>
      <c r="K360" s="16"/>
      <c r="L360" s="16"/>
      <c r="M360" s="16"/>
      <c r="N360" s="16"/>
      <c r="O360" s="16"/>
      <c r="P360" s="16"/>
      <c r="Q360" s="16"/>
      <c r="R360" s="16"/>
      <c r="S360" s="16"/>
      <c r="T360" s="16"/>
      <c r="U360" s="16"/>
      <c r="V360" s="16"/>
    </row>
    <row r="361" spans="1:22" ht="15.75" customHeight="1" x14ac:dyDescent="0.25">
      <c r="A361" s="16"/>
      <c r="B361" s="16"/>
      <c r="C361" s="16"/>
      <c r="D361" s="16"/>
      <c r="E361" s="16"/>
      <c r="F361" s="16"/>
      <c r="G361" s="16"/>
      <c r="H361" s="16"/>
      <c r="I361" s="16"/>
      <c r="J361" s="16"/>
      <c r="K361" s="16"/>
      <c r="L361" s="16"/>
      <c r="M361" s="16"/>
      <c r="N361" s="16"/>
      <c r="O361" s="16"/>
      <c r="P361" s="16"/>
      <c r="Q361" s="16"/>
      <c r="R361" s="16"/>
      <c r="S361" s="16"/>
      <c r="T361" s="16"/>
      <c r="U361" s="16"/>
      <c r="V361" s="16"/>
    </row>
    <row r="362" spans="1:22" ht="15.75" customHeight="1" x14ac:dyDescent="0.25">
      <c r="A362" s="16"/>
      <c r="B362" s="16"/>
      <c r="C362" s="16"/>
      <c r="D362" s="16"/>
      <c r="E362" s="16"/>
      <c r="F362" s="16"/>
      <c r="G362" s="16"/>
      <c r="H362" s="16"/>
      <c r="I362" s="16"/>
      <c r="J362" s="16"/>
      <c r="K362" s="16"/>
      <c r="L362" s="16"/>
      <c r="M362" s="16"/>
      <c r="N362" s="16"/>
      <c r="O362" s="16"/>
      <c r="P362" s="16"/>
      <c r="Q362" s="16"/>
      <c r="R362" s="16"/>
      <c r="S362" s="16"/>
      <c r="T362" s="16"/>
      <c r="U362" s="16"/>
      <c r="V362" s="16"/>
    </row>
    <row r="363" spans="1:22" ht="15.75" customHeight="1" x14ac:dyDescent="0.25">
      <c r="A363" s="16"/>
      <c r="B363" s="16"/>
      <c r="C363" s="16"/>
      <c r="D363" s="16"/>
      <c r="E363" s="16"/>
      <c r="F363" s="16"/>
      <c r="G363" s="16"/>
      <c r="H363" s="16"/>
      <c r="I363" s="16"/>
      <c r="J363" s="16"/>
      <c r="K363" s="16"/>
      <c r="L363" s="16"/>
      <c r="M363" s="16"/>
      <c r="N363" s="16"/>
      <c r="O363" s="16"/>
      <c r="P363" s="16"/>
      <c r="Q363" s="16"/>
      <c r="R363" s="16"/>
      <c r="S363" s="16"/>
      <c r="T363" s="16"/>
      <c r="U363" s="16"/>
      <c r="V363" s="16"/>
    </row>
    <row r="364" spans="1:22" ht="15.75" customHeight="1" x14ac:dyDescent="0.25">
      <c r="A364" s="16"/>
      <c r="B364" s="16"/>
      <c r="C364" s="16"/>
      <c r="D364" s="16"/>
      <c r="E364" s="16"/>
      <c r="F364" s="16"/>
      <c r="G364" s="16"/>
      <c r="H364" s="16"/>
      <c r="I364" s="16"/>
      <c r="J364" s="16"/>
      <c r="K364" s="16"/>
      <c r="L364" s="16"/>
      <c r="M364" s="16"/>
      <c r="N364" s="16"/>
      <c r="O364" s="16"/>
      <c r="P364" s="16"/>
      <c r="Q364" s="16"/>
      <c r="R364" s="16"/>
      <c r="S364" s="16"/>
      <c r="T364" s="16"/>
      <c r="U364" s="16"/>
      <c r="V364" s="16"/>
    </row>
    <row r="365" spans="1:22" ht="15.75" customHeight="1" x14ac:dyDescent="0.25">
      <c r="A365" s="16"/>
      <c r="B365" s="16"/>
      <c r="C365" s="16"/>
      <c r="D365" s="16"/>
      <c r="E365" s="16"/>
      <c r="F365" s="16"/>
      <c r="G365" s="16"/>
      <c r="H365" s="16"/>
      <c r="I365" s="16"/>
      <c r="J365" s="16"/>
      <c r="K365" s="16"/>
      <c r="L365" s="16"/>
      <c r="M365" s="16"/>
      <c r="N365" s="16"/>
      <c r="O365" s="16"/>
      <c r="P365" s="16"/>
      <c r="Q365" s="16"/>
      <c r="R365" s="16"/>
      <c r="S365" s="16"/>
      <c r="T365" s="16"/>
      <c r="U365" s="16"/>
      <c r="V365" s="16"/>
    </row>
    <row r="366" spans="1:22" ht="15.75" customHeight="1" x14ac:dyDescent="0.25">
      <c r="A366" s="16"/>
      <c r="B366" s="16"/>
      <c r="C366" s="16"/>
      <c r="D366" s="16"/>
      <c r="E366" s="16"/>
      <c r="F366" s="16"/>
      <c r="G366" s="16"/>
      <c r="H366" s="16"/>
      <c r="I366" s="16"/>
      <c r="J366" s="16"/>
      <c r="K366" s="16"/>
      <c r="L366" s="16"/>
      <c r="M366" s="16"/>
      <c r="N366" s="16"/>
      <c r="O366" s="16"/>
      <c r="P366" s="16"/>
      <c r="Q366" s="16"/>
      <c r="R366" s="16"/>
      <c r="S366" s="16"/>
      <c r="T366" s="16"/>
      <c r="U366" s="16"/>
      <c r="V366" s="16"/>
    </row>
    <row r="367" spans="1:22" ht="15.75" customHeight="1" x14ac:dyDescent="0.25">
      <c r="A367" s="16"/>
      <c r="B367" s="16"/>
      <c r="C367" s="16"/>
      <c r="D367" s="16"/>
      <c r="E367" s="16"/>
      <c r="F367" s="16"/>
      <c r="G367" s="16"/>
      <c r="H367" s="16"/>
      <c r="I367" s="16"/>
      <c r="J367" s="16"/>
      <c r="K367" s="16"/>
      <c r="L367" s="16"/>
      <c r="M367" s="16"/>
      <c r="N367" s="16"/>
      <c r="O367" s="16"/>
      <c r="P367" s="16"/>
      <c r="Q367" s="16"/>
      <c r="R367" s="16"/>
      <c r="S367" s="16"/>
      <c r="T367" s="16"/>
      <c r="U367" s="16"/>
      <c r="V367" s="16"/>
    </row>
    <row r="368" spans="1:22" ht="15.75" customHeight="1" x14ac:dyDescent="0.25">
      <c r="A368" s="16"/>
      <c r="B368" s="16"/>
      <c r="C368" s="16"/>
      <c r="D368" s="16"/>
      <c r="E368" s="16"/>
      <c r="F368" s="16"/>
      <c r="G368" s="16"/>
      <c r="H368" s="16"/>
      <c r="I368" s="16"/>
      <c r="J368" s="16"/>
      <c r="K368" s="16"/>
      <c r="L368" s="16"/>
      <c r="M368" s="16"/>
      <c r="N368" s="16"/>
      <c r="O368" s="16"/>
      <c r="P368" s="16"/>
      <c r="Q368" s="16"/>
      <c r="R368" s="16"/>
      <c r="S368" s="16"/>
      <c r="T368" s="16"/>
      <c r="U368" s="16"/>
      <c r="V368" s="16"/>
    </row>
    <row r="369" spans="1:22" ht="15.75" customHeight="1" x14ac:dyDescent="0.25">
      <c r="A369" s="16"/>
      <c r="B369" s="16"/>
      <c r="C369" s="16"/>
      <c r="D369" s="16"/>
      <c r="E369" s="16"/>
      <c r="F369" s="16"/>
      <c r="G369" s="16"/>
      <c r="H369" s="16"/>
      <c r="I369" s="16"/>
      <c r="J369" s="16"/>
      <c r="K369" s="16"/>
      <c r="L369" s="16"/>
      <c r="M369" s="16"/>
      <c r="N369" s="16"/>
      <c r="O369" s="16"/>
      <c r="P369" s="16"/>
      <c r="Q369" s="16"/>
      <c r="R369" s="16"/>
      <c r="S369" s="16"/>
      <c r="T369" s="16"/>
      <c r="U369" s="16"/>
      <c r="V369" s="16"/>
    </row>
    <row r="370" spans="1:22" ht="15.75" customHeight="1" x14ac:dyDescent="0.25">
      <c r="A370" s="16"/>
      <c r="B370" s="16"/>
      <c r="C370" s="16"/>
      <c r="D370" s="16"/>
      <c r="E370" s="16"/>
      <c r="F370" s="16"/>
      <c r="G370" s="16"/>
      <c r="H370" s="16"/>
      <c r="I370" s="16"/>
      <c r="J370" s="16"/>
      <c r="K370" s="16"/>
      <c r="L370" s="16"/>
      <c r="M370" s="16"/>
      <c r="N370" s="16"/>
      <c r="O370" s="16"/>
      <c r="P370" s="16"/>
      <c r="Q370" s="16"/>
      <c r="R370" s="16"/>
      <c r="S370" s="16"/>
      <c r="T370" s="16"/>
      <c r="U370" s="16"/>
      <c r="V370" s="16"/>
    </row>
    <row r="371" spans="1:22" ht="15.75" customHeight="1" x14ac:dyDescent="0.25">
      <c r="A371" s="16"/>
      <c r="B371" s="16"/>
      <c r="C371" s="16"/>
      <c r="D371" s="16"/>
      <c r="E371" s="16"/>
      <c r="F371" s="16"/>
      <c r="G371" s="16"/>
      <c r="H371" s="16"/>
      <c r="I371" s="16"/>
      <c r="J371" s="16"/>
      <c r="K371" s="16"/>
      <c r="L371" s="16"/>
      <c r="M371" s="16"/>
      <c r="N371" s="16"/>
      <c r="O371" s="16"/>
      <c r="P371" s="16"/>
      <c r="Q371" s="16"/>
      <c r="R371" s="16"/>
      <c r="S371" s="16"/>
      <c r="T371" s="16"/>
      <c r="U371" s="16"/>
      <c r="V371" s="16"/>
    </row>
    <row r="372" spans="1:22" ht="15.75" customHeight="1" x14ac:dyDescent="0.25">
      <c r="A372" s="16"/>
      <c r="B372" s="16"/>
      <c r="C372" s="16"/>
      <c r="D372" s="16"/>
      <c r="E372" s="16"/>
      <c r="F372" s="16"/>
      <c r="G372" s="16"/>
      <c r="H372" s="16"/>
      <c r="I372" s="16"/>
      <c r="J372" s="16"/>
      <c r="K372" s="16"/>
      <c r="L372" s="16"/>
      <c r="M372" s="16"/>
      <c r="N372" s="16"/>
      <c r="O372" s="16"/>
      <c r="P372" s="16"/>
      <c r="Q372" s="16"/>
      <c r="R372" s="16"/>
      <c r="S372" s="16"/>
      <c r="T372" s="16"/>
      <c r="U372" s="16"/>
      <c r="V372" s="16"/>
    </row>
    <row r="373" spans="1:22" ht="15.75" customHeight="1" x14ac:dyDescent="0.25">
      <c r="A373" s="16"/>
      <c r="B373" s="16"/>
      <c r="C373" s="16"/>
      <c r="D373" s="16"/>
      <c r="E373" s="16"/>
      <c r="F373" s="16"/>
      <c r="G373" s="16"/>
      <c r="H373" s="16"/>
      <c r="I373" s="16"/>
      <c r="J373" s="16"/>
      <c r="K373" s="16"/>
      <c r="L373" s="16"/>
      <c r="M373" s="16"/>
      <c r="N373" s="16"/>
      <c r="O373" s="16"/>
      <c r="P373" s="16"/>
      <c r="Q373" s="16"/>
      <c r="R373" s="16"/>
      <c r="S373" s="16"/>
      <c r="T373" s="16"/>
      <c r="U373" s="16"/>
      <c r="V373" s="16"/>
    </row>
    <row r="374" spans="1:22" ht="15.75" customHeight="1" x14ac:dyDescent="0.25">
      <c r="A374" s="16"/>
      <c r="B374" s="16"/>
      <c r="C374" s="16"/>
      <c r="D374" s="16"/>
      <c r="E374" s="16"/>
      <c r="F374" s="16"/>
      <c r="G374" s="16"/>
      <c r="H374" s="16"/>
      <c r="I374" s="16"/>
      <c r="J374" s="16"/>
      <c r="K374" s="16"/>
      <c r="L374" s="16"/>
      <c r="M374" s="16"/>
      <c r="N374" s="16"/>
      <c r="O374" s="16"/>
      <c r="P374" s="16"/>
      <c r="Q374" s="16"/>
      <c r="R374" s="16"/>
      <c r="S374" s="16"/>
      <c r="T374" s="16"/>
      <c r="U374" s="16"/>
      <c r="V374" s="16"/>
    </row>
    <row r="375" spans="1:22" ht="15.75" customHeight="1" x14ac:dyDescent="0.25">
      <c r="A375" s="16"/>
      <c r="B375" s="16"/>
      <c r="C375" s="16"/>
      <c r="D375" s="16"/>
      <c r="E375" s="16"/>
      <c r="F375" s="16"/>
      <c r="G375" s="16"/>
      <c r="H375" s="16"/>
      <c r="I375" s="16"/>
      <c r="J375" s="16"/>
      <c r="K375" s="16"/>
      <c r="L375" s="16"/>
      <c r="M375" s="16"/>
      <c r="N375" s="16"/>
      <c r="O375" s="16"/>
      <c r="P375" s="16"/>
      <c r="Q375" s="16"/>
      <c r="R375" s="16"/>
      <c r="S375" s="16"/>
      <c r="T375" s="16"/>
      <c r="U375" s="16"/>
      <c r="V375" s="16"/>
    </row>
    <row r="376" spans="1:22" ht="15.75" customHeight="1" x14ac:dyDescent="0.25">
      <c r="A376" s="16"/>
      <c r="B376" s="16"/>
      <c r="C376" s="16"/>
      <c r="D376" s="16"/>
      <c r="E376" s="16"/>
      <c r="F376" s="16"/>
      <c r="G376" s="16"/>
      <c r="H376" s="16"/>
      <c r="I376" s="16"/>
      <c r="J376" s="16"/>
      <c r="K376" s="16"/>
      <c r="L376" s="16"/>
      <c r="M376" s="16"/>
      <c r="N376" s="16"/>
      <c r="O376" s="16"/>
      <c r="P376" s="16"/>
      <c r="Q376" s="16"/>
      <c r="R376" s="16"/>
      <c r="S376" s="16"/>
      <c r="T376" s="16"/>
      <c r="U376" s="16"/>
      <c r="V376" s="16"/>
    </row>
    <row r="377" spans="1:22" ht="15.75" customHeight="1" x14ac:dyDescent="0.25">
      <c r="A377" s="16"/>
      <c r="B377" s="16"/>
      <c r="C377" s="16"/>
      <c r="D377" s="16"/>
      <c r="E377" s="16"/>
      <c r="F377" s="16"/>
      <c r="G377" s="16"/>
      <c r="H377" s="16"/>
      <c r="I377" s="16"/>
      <c r="J377" s="16"/>
      <c r="K377" s="16"/>
      <c r="L377" s="16"/>
      <c r="M377" s="16"/>
      <c r="N377" s="16"/>
      <c r="O377" s="16"/>
      <c r="P377" s="16"/>
      <c r="Q377" s="16"/>
      <c r="R377" s="16"/>
      <c r="S377" s="16"/>
      <c r="T377" s="16"/>
      <c r="U377" s="16"/>
      <c r="V377" s="16"/>
    </row>
    <row r="378" spans="1:22" ht="15.75" customHeight="1" x14ac:dyDescent="0.25">
      <c r="A378" s="16"/>
      <c r="B378" s="16"/>
      <c r="C378" s="16"/>
      <c r="D378" s="16"/>
      <c r="E378" s="16"/>
      <c r="F378" s="16"/>
      <c r="G378" s="16"/>
      <c r="H378" s="16"/>
      <c r="I378" s="16"/>
      <c r="J378" s="16"/>
      <c r="K378" s="16"/>
      <c r="L378" s="16"/>
      <c r="M378" s="16"/>
      <c r="N378" s="16"/>
      <c r="O378" s="16"/>
      <c r="P378" s="16"/>
      <c r="Q378" s="16"/>
      <c r="R378" s="16"/>
      <c r="S378" s="16"/>
      <c r="T378" s="16"/>
      <c r="U378" s="16"/>
      <c r="V378" s="16"/>
    </row>
    <row r="379" spans="1:22" ht="15.75" customHeight="1" x14ac:dyDescent="0.25">
      <c r="A379" s="16"/>
      <c r="B379" s="16"/>
      <c r="C379" s="16"/>
      <c r="D379" s="16"/>
      <c r="E379" s="16"/>
      <c r="F379" s="16"/>
      <c r="G379" s="16"/>
      <c r="H379" s="16"/>
      <c r="I379" s="16"/>
      <c r="J379" s="16"/>
      <c r="K379" s="16"/>
      <c r="L379" s="16"/>
      <c r="M379" s="16"/>
      <c r="N379" s="16"/>
      <c r="O379" s="16"/>
      <c r="P379" s="16"/>
      <c r="Q379" s="16"/>
      <c r="R379" s="16"/>
      <c r="S379" s="16"/>
      <c r="T379" s="16"/>
      <c r="U379" s="16"/>
      <c r="V379" s="16"/>
    </row>
    <row r="380" spans="1:22" ht="15.75" customHeight="1" x14ac:dyDescent="0.25">
      <c r="A380" s="16"/>
      <c r="B380" s="16"/>
      <c r="C380" s="16"/>
      <c r="D380" s="16"/>
      <c r="E380" s="16"/>
      <c r="F380" s="16"/>
      <c r="G380" s="16"/>
      <c r="H380" s="16"/>
      <c r="I380" s="16"/>
      <c r="J380" s="16"/>
      <c r="K380" s="16"/>
      <c r="L380" s="16"/>
      <c r="M380" s="16"/>
      <c r="N380" s="16"/>
      <c r="O380" s="16"/>
      <c r="P380" s="16"/>
      <c r="Q380" s="16"/>
      <c r="R380" s="16"/>
      <c r="S380" s="16"/>
      <c r="T380" s="16"/>
      <c r="U380" s="16"/>
      <c r="V380" s="16"/>
    </row>
    <row r="381" spans="1:22" ht="15.75" customHeight="1" x14ac:dyDescent="0.25">
      <c r="A381" s="16"/>
      <c r="B381" s="16"/>
      <c r="C381" s="16"/>
      <c r="D381" s="16"/>
      <c r="E381" s="16"/>
      <c r="F381" s="16"/>
      <c r="G381" s="16"/>
      <c r="H381" s="16"/>
      <c r="I381" s="16"/>
      <c r="J381" s="16"/>
      <c r="K381" s="16"/>
      <c r="L381" s="16"/>
      <c r="M381" s="16"/>
      <c r="N381" s="16"/>
      <c r="O381" s="16"/>
      <c r="P381" s="16"/>
      <c r="Q381" s="16"/>
      <c r="R381" s="16"/>
      <c r="S381" s="16"/>
      <c r="T381" s="16"/>
      <c r="U381" s="16"/>
      <c r="V381" s="16"/>
    </row>
    <row r="382" spans="1:22" ht="15.75" customHeight="1" x14ac:dyDescent="0.25">
      <c r="A382" s="16"/>
      <c r="B382" s="16"/>
      <c r="C382" s="16"/>
      <c r="D382" s="16"/>
      <c r="E382" s="16"/>
      <c r="F382" s="16"/>
      <c r="G382" s="16"/>
      <c r="H382" s="16"/>
      <c r="I382" s="16"/>
      <c r="J382" s="16"/>
      <c r="K382" s="16"/>
      <c r="L382" s="16"/>
      <c r="M382" s="16"/>
      <c r="N382" s="16"/>
      <c r="O382" s="16"/>
      <c r="P382" s="16"/>
      <c r="Q382" s="16"/>
      <c r="R382" s="16"/>
      <c r="S382" s="16"/>
      <c r="T382" s="16"/>
      <c r="U382" s="16"/>
      <c r="V382" s="16"/>
    </row>
    <row r="383" spans="1:22" ht="15.75" customHeight="1" x14ac:dyDescent="0.25">
      <c r="A383" s="16"/>
      <c r="B383" s="16"/>
      <c r="C383" s="16"/>
      <c r="D383" s="16"/>
      <c r="E383" s="16"/>
      <c r="F383" s="16"/>
      <c r="G383" s="16"/>
      <c r="H383" s="16"/>
      <c r="I383" s="16"/>
      <c r="J383" s="16"/>
      <c r="K383" s="16"/>
      <c r="L383" s="16"/>
      <c r="M383" s="16"/>
      <c r="N383" s="16"/>
      <c r="O383" s="16"/>
      <c r="P383" s="16"/>
      <c r="Q383" s="16"/>
      <c r="R383" s="16"/>
      <c r="S383" s="16"/>
      <c r="T383" s="16"/>
      <c r="U383" s="16"/>
      <c r="V383" s="16"/>
    </row>
    <row r="384" spans="1:22" ht="15.75" customHeight="1" x14ac:dyDescent="0.25">
      <c r="A384" s="16"/>
      <c r="B384" s="16"/>
      <c r="C384" s="16"/>
      <c r="D384" s="16"/>
      <c r="E384" s="16"/>
      <c r="F384" s="16"/>
      <c r="G384" s="16"/>
      <c r="H384" s="16"/>
      <c r="I384" s="16"/>
      <c r="J384" s="16"/>
      <c r="K384" s="16"/>
      <c r="L384" s="16"/>
      <c r="M384" s="16"/>
      <c r="N384" s="16"/>
      <c r="O384" s="16"/>
      <c r="P384" s="16"/>
      <c r="Q384" s="16"/>
      <c r="R384" s="16"/>
      <c r="S384" s="16"/>
      <c r="T384" s="16"/>
      <c r="U384" s="16"/>
      <c r="V384" s="16"/>
    </row>
    <row r="385" spans="1:22" ht="15.75" customHeight="1" x14ac:dyDescent="0.25">
      <c r="A385" s="16"/>
      <c r="B385" s="16"/>
      <c r="C385" s="16"/>
      <c r="D385" s="16"/>
      <c r="E385" s="16"/>
      <c r="F385" s="16"/>
      <c r="G385" s="16"/>
      <c r="H385" s="16"/>
      <c r="I385" s="16"/>
      <c r="J385" s="16"/>
      <c r="K385" s="16"/>
      <c r="L385" s="16"/>
      <c r="M385" s="16"/>
      <c r="N385" s="16"/>
      <c r="O385" s="16"/>
      <c r="P385" s="16"/>
      <c r="Q385" s="16"/>
      <c r="R385" s="16"/>
      <c r="S385" s="16"/>
      <c r="T385" s="16"/>
      <c r="U385" s="16"/>
      <c r="V385" s="16"/>
    </row>
    <row r="386" spans="1:22" ht="15.75" customHeight="1" x14ac:dyDescent="0.25">
      <c r="A386" s="16"/>
      <c r="B386" s="16"/>
      <c r="C386" s="16"/>
      <c r="D386" s="16"/>
      <c r="E386" s="16"/>
      <c r="F386" s="16"/>
      <c r="G386" s="16"/>
      <c r="H386" s="16"/>
      <c r="I386" s="16"/>
      <c r="J386" s="16"/>
      <c r="K386" s="16"/>
      <c r="L386" s="16"/>
      <c r="M386" s="16"/>
      <c r="N386" s="16"/>
      <c r="O386" s="16"/>
      <c r="P386" s="16"/>
      <c r="Q386" s="16"/>
      <c r="R386" s="16"/>
      <c r="S386" s="16"/>
      <c r="T386" s="16"/>
      <c r="U386" s="16"/>
      <c r="V386" s="16"/>
    </row>
    <row r="387" spans="1:22" ht="15.75" customHeight="1" x14ac:dyDescent="0.25">
      <c r="A387" s="16"/>
      <c r="B387" s="16"/>
      <c r="C387" s="16"/>
      <c r="D387" s="16"/>
      <c r="E387" s="16"/>
      <c r="F387" s="16"/>
      <c r="G387" s="16"/>
      <c r="H387" s="16"/>
      <c r="I387" s="16"/>
      <c r="J387" s="16"/>
      <c r="K387" s="16"/>
      <c r="L387" s="16"/>
      <c r="M387" s="16"/>
      <c r="N387" s="16"/>
      <c r="O387" s="16"/>
      <c r="P387" s="16"/>
      <c r="Q387" s="16"/>
      <c r="R387" s="16"/>
      <c r="S387" s="16"/>
      <c r="T387" s="16"/>
      <c r="U387" s="16"/>
      <c r="V387" s="16"/>
    </row>
    <row r="388" spans="1:22" ht="15.75" customHeight="1" x14ac:dyDescent="0.25">
      <c r="A388" s="16"/>
      <c r="B388" s="16"/>
      <c r="C388" s="16"/>
      <c r="D388" s="16"/>
      <c r="E388" s="16"/>
      <c r="F388" s="16"/>
      <c r="G388" s="16"/>
      <c r="H388" s="16"/>
      <c r="I388" s="16"/>
      <c r="J388" s="16"/>
      <c r="K388" s="16"/>
      <c r="L388" s="16"/>
      <c r="M388" s="16"/>
      <c r="N388" s="16"/>
      <c r="O388" s="16"/>
      <c r="P388" s="16"/>
      <c r="Q388" s="16"/>
      <c r="R388" s="16"/>
      <c r="S388" s="16"/>
      <c r="T388" s="16"/>
      <c r="U388" s="16"/>
      <c r="V388" s="16"/>
    </row>
    <row r="389" spans="1:22" ht="15.75" customHeight="1" x14ac:dyDescent="0.25">
      <c r="A389" s="16"/>
      <c r="B389" s="16"/>
      <c r="C389" s="16"/>
      <c r="D389" s="16"/>
      <c r="E389" s="16"/>
      <c r="F389" s="16"/>
      <c r="G389" s="16"/>
      <c r="H389" s="16"/>
      <c r="I389" s="16"/>
      <c r="J389" s="16"/>
      <c r="K389" s="16"/>
      <c r="L389" s="16"/>
      <c r="M389" s="16"/>
      <c r="N389" s="16"/>
      <c r="O389" s="16"/>
      <c r="P389" s="16"/>
      <c r="Q389" s="16"/>
      <c r="R389" s="16"/>
      <c r="S389" s="16"/>
      <c r="T389" s="16"/>
      <c r="U389" s="16"/>
      <c r="V389" s="16"/>
    </row>
    <row r="390" spans="1:22" ht="15.75" customHeight="1" x14ac:dyDescent="0.25">
      <c r="A390" s="16"/>
      <c r="B390" s="16"/>
      <c r="C390" s="16"/>
      <c r="D390" s="16"/>
      <c r="E390" s="16"/>
      <c r="F390" s="16"/>
      <c r="G390" s="16"/>
      <c r="H390" s="16"/>
      <c r="I390" s="16"/>
      <c r="J390" s="16"/>
      <c r="K390" s="16"/>
      <c r="L390" s="16"/>
      <c r="M390" s="16"/>
      <c r="N390" s="16"/>
      <c r="O390" s="16"/>
      <c r="P390" s="16"/>
      <c r="Q390" s="16"/>
      <c r="R390" s="16"/>
      <c r="S390" s="16"/>
      <c r="T390" s="16"/>
      <c r="U390" s="16"/>
      <c r="V390" s="16"/>
    </row>
    <row r="391" spans="1:22" ht="15.75" customHeight="1" x14ac:dyDescent="0.25">
      <c r="A391" s="16"/>
      <c r="B391" s="16"/>
      <c r="C391" s="16"/>
      <c r="D391" s="16"/>
      <c r="E391" s="16"/>
      <c r="F391" s="16"/>
      <c r="G391" s="16"/>
      <c r="H391" s="16"/>
      <c r="I391" s="16"/>
      <c r="J391" s="16"/>
      <c r="K391" s="16"/>
      <c r="L391" s="16"/>
      <c r="M391" s="16"/>
      <c r="N391" s="16"/>
      <c r="O391" s="16"/>
      <c r="P391" s="16"/>
      <c r="Q391" s="16"/>
      <c r="R391" s="16"/>
      <c r="S391" s="16"/>
      <c r="T391" s="16"/>
      <c r="U391" s="16"/>
      <c r="V391" s="16"/>
    </row>
    <row r="392" spans="1:22" ht="15.75" customHeight="1" x14ac:dyDescent="0.25">
      <c r="A392" s="16"/>
      <c r="B392" s="16"/>
      <c r="C392" s="16"/>
      <c r="D392" s="16"/>
      <c r="E392" s="16"/>
      <c r="F392" s="16"/>
      <c r="G392" s="16"/>
      <c r="H392" s="16"/>
      <c r="I392" s="16"/>
      <c r="J392" s="16"/>
      <c r="K392" s="16"/>
      <c r="L392" s="16"/>
      <c r="M392" s="16"/>
      <c r="N392" s="16"/>
      <c r="O392" s="16"/>
      <c r="P392" s="16"/>
      <c r="Q392" s="16"/>
      <c r="R392" s="16"/>
      <c r="S392" s="16"/>
      <c r="T392" s="16"/>
      <c r="U392" s="16"/>
      <c r="V392" s="16"/>
    </row>
    <row r="393" spans="1:22" ht="15.75" customHeight="1" x14ac:dyDescent="0.25">
      <c r="A393" s="16"/>
      <c r="B393" s="16"/>
      <c r="C393" s="16"/>
      <c r="D393" s="16"/>
      <c r="E393" s="16"/>
      <c r="F393" s="16"/>
      <c r="G393" s="16"/>
      <c r="H393" s="16"/>
      <c r="I393" s="16"/>
      <c r="J393" s="16"/>
      <c r="K393" s="16"/>
      <c r="L393" s="16"/>
      <c r="M393" s="16"/>
      <c r="N393" s="16"/>
      <c r="O393" s="16"/>
      <c r="P393" s="16"/>
      <c r="Q393" s="16"/>
      <c r="R393" s="16"/>
      <c r="S393" s="16"/>
      <c r="T393" s="16"/>
      <c r="U393" s="16"/>
      <c r="V393" s="16"/>
    </row>
    <row r="394" spans="1:22" ht="15.75" customHeight="1" x14ac:dyDescent="0.25">
      <c r="A394" s="16"/>
      <c r="B394" s="16"/>
      <c r="C394" s="16"/>
      <c r="D394" s="16"/>
      <c r="E394" s="16"/>
      <c r="F394" s="16"/>
      <c r="G394" s="16"/>
      <c r="H394" s="16"/>
      <c r="I394" s="16"/>
      <c r="J394" s="16"/>
      <c r="K394" s="16"/>
      <c r="L394" s="16"/>
      <c r="M394" s="16"/>
      <c r="N394" s="16"/>
      <c r="O394" s="16"/>
      <c r="P394" s="16"/>
      <c r="Q394" s="16"/>
      <c r="R394" s="16"/>
      <c r="S394" s="16"/>
      <c r="T394" s="16"/>
      <c r="U394" s="16"/>
      <c r="V394" s="16"/>
    </row>
    <row r="395" spans="1:22" ht="15.75" customHeight="1" x14ac:dyDescent="0.25">
      <c r="A395" s="16"/>
      <c r="B395" s="16"/>
      <c r="C395" s="16"/>
      <c r="D395" s="16"/>
      <c r="E395" s="16"/>
      <c r="F395" s="16"/>
      <c r="G395" s="16"/>
      <c r="H395" s="16"/>
      <c r="I395" s="16"/>
      <c r="J395" s="16"/>
      <c r="K395" s="16"/>
      <c r="L395" s="16"/>
      <c r="M395" s="16"/>
      <c r="N395" s="16"/>
      <c r="O395" s="16"/>
      <c r="P395" s="16"/>
      <c r="Q395" s="16"/>
      <c r="R395" s="16"/>
      <c r="S395" s="16"/>
      <c r="T395" s="16"/>
      <c r="U395" s="16"/>
      <c r="V395" s="16"/>
    </row>
    <row r="396" spans="1:22" ht="15.75" customHeight="1" x14ac:dyDescent="0.25">
      <c r="A396" s="16"/>
      <c r="B396" s="16"/>
      <c r="C396" s="16"/>
      <c r="D396" s="16"/>
      <c r="E396" s="16"/>
      <c r="F396" s="16"/>
      <c r="G396" s="16"/>
      <c r="H396" s="16"/>
      <c r="I396" s="16"/>
      <c r="J396" s="16"/>
      <c r="K396" s="16"/>
      <c r="L396" s="16"/>
      <c r="M396" s="16"/>
      <c r="N396" s="16"/>
      <c r="O396" s="16"/>
      <c r="P396" s="16"/>
      <c r="Q396" s="16"/>
      <c r="R396" s="16"/>
      <c r="S396" s="16"/>
      <c r="T396" s="16"/>
      <c r="U396" s="16"/>
      <c r="V396" s="16"/>
    </row>
    <row r="397" spans="1:22" ht="15.75" customHeight="1" x14ac:dyDescent="0.25">
      <c r="A397" s="16"/>
      <c r="B397" s="16"/>
      <c r="C397" s="16"/>
      <c r="D397" s="16"/>
      <c r="E397" s="16"/>
      <c r="F397" s="16"/>
      <c r="G397" s="16"/>
      <c r="H397" s="16"/>
      <c r="I397" s="16"/>
      <c r="J397" s="16"/>
      <c r="K397" s="16"/>
      <c r="L397" s="16"/>
      <c r="M397" s="16"/>
      <c r="N397" s="16"/>
      <c r="O397" s="16"/>
      <c r="P397" s="16"/>
      <c r="Q397" s="16"/>
      <c r="R397" s="16"/>
      <c r="S397" s="16"/>
      <c r="T397" s="16"/>
      <c r="U397" s="16"/>
      <c r="V397" s="16"/>
    </row>
    <row r="398" spans="1:22" ht="15.75" customHeight="1" x14ac:dyDescent="0.25">
      <c r="A398" s="16"/>
      <c r="B398" s="16"/>
      <c r="C398" s="16"/>
      <c r="D398" s="16"/>
      <c r="E398" s="16"/>
      <c r="F398" s="16"/>
      <c r="G398" s="16"/>
      <c r="H398" s="16"/>
      <c r="I398" s="16"/>
      <c r="J398" s="16"/>
      <c r="K398" s="16"/>
      <c r="L398" s="16"/>
      <c r="M398" s="16"/>
      <c r="N398" s="16"/>
      <c r="O398" s="16"/>
      <c r="P398" s="16"/>
      <c r="Q398" s="16"/>
      <c r="R398" s="16"/>
      <c r="S398" s="16"/>
      <c r="T398" s="16"/>
      <c r="U398" s="16"/>
      <c r="V398" s="16"/>
    </row>
    <row r="399" spans="1:22" ht="15.75" customHeight="1" x14ac:dyDescent="0.25">
      <c r="A399" s="16"/>
      <c r="B399" s="16"/>
      <c r="C399" s="16"/>
      <c r="D399" s="16"/>
      <c r="E399" s="16"/>
      <c r="F399" s="16"/>
      <c r="G399" s="16"/>
      <c r="H399" s="16"/>
      <c r="I399" s="16"/>
      <c r="J399" s="16"/>
      <c r="K399" s="16"/>
      <c r="L399" s="16"/>
      <c r="M399" s="16"/>
      <c r="N399" s="16"/>
      <c r="O399" s="16"/>
      <c r="P399" s="16"/>
      <c r="Q399" s="16"/>
      <c r="R399" s="16"/>
      <c r="S399" s="16"/>
      <c r="T399" s="16"/>
      <c r="U399" s="16"/>
      <c r="V399" s="16"/>
    </row>
    <row r="400" spans="1:22" ht="15.75" customHeight="1" x14ac:dyDescent="0.25">
      <c r="A400" s="16"/>
      <c r="B400" s="16"/>
      <c r="C400" s="16"/>
      <c r="D400" s="16"/>
      <c r="E400" s="16"/>
      <c r="F400" s="16"/>
      <c r="G400" s="16"/>
      <c r="H400" s="16"/>
      <c r="I400" s="16"/>
      <c r="J400" s="16"/>
      <c r="K400" s="16"/>
      <c r="L400" s="16"/>
      <c r="M400" s="16"/>
      <c r="N400" s="16"/>
      <c r="O400" s="16"/>
      <c r="P400" s="16"/>
      <c r="Q400" s="16"/>
      <c r="R400" s="16"/>
      <c r="S400" s="16"/>
      <c r="T400" s="16"/>
      <c r="U400" s="16"/>
      <c r="V400" s="16"/>
    </row>
    <row r="401" spans="1:22" ht="15.75" customHeight="1" x14ac:dyDescent="0.25">
      <c r="A401" s="16"/>
      <c r="B401" s="16"/>
      <c r="C401" s="16"/>
      <c r="D401" s="16"/>
      <c r="E401" s="16"/>
      <c r="F401" s="16"/>
      <c r="G401" s="16"/>
      <c r="H401" s="16"/>
      <c r="I401" s="16"/>
      <c r="J401" s="16"/>
      <c r="K401" s="16"/>
      <c r="L401" s="16"/>
      <c r="M401" s="16"/>
      <c r="N401" s="16"/>
      <c r="O401" s="16"/>
      <c r="P401" s="16"/>
      <c r="Q401" s="16"/>
      <c r="R401" s="16"/>
      <c r="S401" s="16"/>
      <c r="T401" s="16"/>
      <c r="U401" s="16"/>
      <c r="V401" s="16"/>
    </row>
    <row r="402" spans="1:22" ht="15.75" customHeight="1" x14ac:dyDescent="0.25">
      <c r="A402" s="16"/>
      <c r="B402" s="16"/>
      <c r="C402" s="16"/>
      <c r="D402" s="16"/>
      <c r="E402" s="16"/>
      <c r="F402" s="16"/>
      <c r="G402" s="16"/>
      <c r="H402" s="16"/>
      <c r="I402" s="16"/>
      <c r="J402" s="16"/>
      <c r="K402" s="16"/>
      <c r="L402" s="16"/>
      <c r="M402" s="16"/>
      <c r="N402" s="16"/>
      <c r="O402" s="16"/>
      <c r="P402" s="16"/>
      <c r="Q402" s="16"/>
      <c r="R402" s="16"/>
      <c r="S402" s="16"/>
      <c r="T402" s="16"/>
      <c r="U402" s="16"/>
      <c r="V402" s="16"/>
    </row>
    <row r="403" spans="1:22" ht="15.75" customHeight="1" x14ac:dyDescent="0.25">
      <c r="A403" s="16"/>
      <c r="B403" s="16"/>
      <c r="C403" s="16"/>
      <c r="D403" s="16"/>
      <c r="E403" s="16"/>
      <c r="F403" s="16"/>
      <c r="G403" s="16"/>
      <c r="H403" s="16"/>
      <c r="I403" s="16"/>
      <c r="J403" s="16"/>
      <c r="K403" s="16"/>
      <c r="L403" s="16"/>
      <c r="M403" s="16"/>
      <c r="N403" s="16"/>
      <c r="O403" s="16"/>
      <c r="P403" s="16"/>
      <c r="Q403" s="16"/>
      <c r="R403" s="16"/>
      <c r="S403" s="16"/>
      <c r="T403" s="16"/>
      <c r="U403" s="16"/>
      <c r="V403" s="16"/>
    </row>
    <row r="404" spans="1:22" ht="15.75" customHeight="1" x14ac:dyDescent="0.25">
      <c r="A404" s="16"/>
      <c r="B404" s="16"/>
      <c r="C404" s="16"/>
      <c r="D404" s="16"/>
      <c r="E404" s="16"/>
      <c r="F404" s="16"/>
      <c r="G404" s="16"/>
      <c r="H404" s="16"/>
      <c r="I404" s="16"/>
      <c r="J404" s="16"/>
      <c r="K404" s="16"/>
      <c r="L404" s="16"/>
      <c r="M404" s="16"/>
      <c r="N404" s="16"/>
      <c r="O404" s="16"/>
      <c r="P404" s="16"/>
      <c r="Q404" s="16"/>
      <c r="R404" s="16"/>
      <c r="S404" s="16"/>
      <c r="T404" s="16"/>
      <c r="U404" s="16"/>
      <c r="V404" s="16"/>
    </row>
    <row r="405" spans="1:22" ht="15.75" customHeight="1" x14ac:dyDescent="0.25">
      <c r="A405" s="16"/>
      <c r="B405" s="16"/>
      <c r="C405" s="16"/>
      <c r="D405" s="16"/>
      <c r="E405" s="16"/>
      <c r="F405" s="16"/>
      <c r="G405" s="16"/>
      <c r="H405" s="16"/>
      <c r="I405" s="16"/>
      <c r="J405" s="16"/>
      <c r="K405" s="16"/>
      <c r="L405" s="16"/>
      <c r="M405" s="16"/>
      <c r="N405" s="16"/>
      <c r="O405" s="16"/>
      <c r="P405" s="16"/>
      <c r="Q405" s="16"/>
      <c r="R405" s="16"/>
      <c r="S405" s="16"/>
      <c r="T405" s="16"/>
      <c r="U405" s="16"/>
      <c r="V405" s="16"/>
    </row>
    <row r="406" spans="1:22" ht="15.75" customHeight="1" x14ac:dyDescent="0.25">
      <c r="A406" s="16"/>
      <c r="B406" s="16"/>
      <c r="C406" s="16"/>
      <c r="D406" s="16"/>
      <c r="E406" s="16"/>
      <c r="F406" s="16"/>
      <c r="G406" s="16"/>
      <c r="H406" s="16"/>
      <c r="I406" s="16"/>
      <c r="J406" s="16"/>
      <c r="K406" s="16"/>
      <c r="L406" s="16"/>
      <c r="M406" s="16"/>
      <c r="N406" s="16"/>
      <c r="O406" s="16"/>
      <c r="P406" s="16"/>
      <c r="Q406" s="16"/>
      <c r="R406" s="16"/>
      <c r="S406" s="16"/>
      <c r="T406" s="16"/>
      <c r="U406" s="16"/>
      <c r="V406" s="16"/>
    </row>
    <row r="407" spans="1:22" ht="15.75" customHeight="1" x14ac:dyDescent="0.25">
      <c r="A407" s="16"/>
      <c r="B407" s="16"/>
      <c r="C407" s="16"/>
      <c r="D407" s="16"/>
      <c r="E407" s="16"/>
      <c r="F407" s="16"/>
      <c r="G407" s="16"/>
      <c r="H407" s="16"/>
      <c r="I407" s="16"/>
      <c r="J407" s="16"/>
      <c r="K407" s="16"/>
      <c r="L407" s="16"/>
      <c r="M407" s="16"/>
      <c r="N407" s="16"/>
      <c r="O407" s="16"/>
      <c r="P407" s="16"/>
      <c r="Q407" s="16"/>
      <c r="R407" s="16"/>
      <c r="S407" s="16"/>
      <c r="T407" s="16"/>
      <c r="U407" s="16"/>
      <c r="V407" s="16"/>
    </row>
    <row r="408" spans="1:22" ht="15.75" customHeight="1" x14ac:dyDescent="0.25">
      <c r="A408" s="16"/>
      <c r="B408" s="16"/>
      <c r="C408" s="16"/>
      <c r="D408" s="16"/>
      <c r="E408" s="16"/>
      <c r="F408" s="16"/>
      <c r="G408" s="16"/>
      <c r="H408" s="16"/>
      <c r="I408" s="16"/>
      <c r="J408" s="16"/>
      <c r="K408" s="16"/>
      <c r="L408" s="16"/>
      <c r="M408" s="16"/>
      <c r="N408" s="16"/>
      <c r="O408" s="16"/>
      <c r="P408" s="16"/>
      <c r="Q408" s="16"/>
      <c r="R408" s="16"/>
      <c r="S408" s="16"/>
      <c r="T408" s="16"/>
      <c r="U408" s="16"/>
      <c r="V408" s="16"/>
    </row>
    <row r="409" spans="1:22" ht="15.75" customHeight="1" x14ac:dyDescent="0.25">
      <c r="A409" s="16"/>
      <c r="B409" s="16"/>
      <c r="C409" s="16"/>
      <c r="D409" s="16"/>
      <c r="E409" s="16"/>
      <c r="F409" s="16"/>
      <c r="G409" s="16"/>
      <c r="H409" s="16"/>
      <c r="I409" s="16"/>
      <c r="J409" s="16"/>
      <c r="K409" s="16"/>
      <c r="L409" s="16"/>
      <c r="M409" s="16"/>
      <c r="N409" s="16"/>
      <c r="O409" s="16"/>
      <c r="P409" s="16"/>
      <c r="Q409" s="16"/>
      <c r="R409" s="16"/>
      <c r="S409" s="16"/>
      <c r="T409" s="16"/>
      <c r="U409" s="16"/>
      <c r="V409" s="16"/>
    </row>
    <row r="410" spans="1:22" ht="15.75" customHeight="1" x14ac:dyDescent="0.25">
      <c r="A410" s="16"/>
      <c r="B410" s="16"/>
      <c r="C410" s="16"/>
      <c r="D410" s="16"/>
      <c r="E410" s="16"/>
      <c r="F410" s="16"/>
      <c r="G410" s="16"/>
      <c r="H410" s="16"/>
      <c r="I410" s="16"/>
      <c r="J410" s="16"/>
      <c r="K410" s="16"/>
      <c r="L410" s="16"/>
      <c r="M410" s="16"/>
      <c r="N410" s="16"/>
      <c r="O410" s="16"/>
      <c r="P410" s="16"/>
      <c r="Q410" s="16"/>
      <c r="R410" s="16"/>
      <c r="S410" s="16"/>
      <c r="T410" s="16"/>
      <c r="U410" s="16"/>
      <c r="V410" s="16"/>
    </row>
    <row r="411" spans="1:22" ht="15.75" customHeight="1" x14ac:dyDescent="0.25">
      <c r="A411" s="16"/>
      <c r="B411" s="16"/>
      <c r="C411" s="16"/>
      <c r="D411" s="16"/>
      <c r="E411" s="16"/>
      <c r="F411" s="16"/>
      <c r="G411" s="16"/>
      <c r="H411" s="16"/>
      <c r="I411" s="16"/>
      <c r="J411" s="16"/>
      <c r="K411" s="16"/>
      <c r="L411" s="16"/>
      <c r="M411" s="16"/>
      <c r="N411" s="16"/>
      <c r="O411" s="16"/>
      <c r="P411" s="16"/>
      <c r="Q411" s="16"/>
      <c r="R411" s="16"/>
      <c r="S411" s="16"/>
      <c r="T411" s="16"/>
      <c r="U411" s="16"/>
      <c r="V411" s="16"/>
    </row>
    <row r="412" spans="1:22" ht="15.75" customHeight="1" x14ac:dyDescent="0.25">
      <c r="A412" s="16"/>
      <c r="B412" s="16"/>
      <c r="C412" s="16"/>
      <c r="D412" s="16"/>
      <c r="E412" s="16"/>
      <c r="F412" s="16"/>
      <c r="G412" s="16"/>
      <c r="H412" s="16"/>
      <c r="I412" s="16"/>
      <c r="J412" s="16"/>
      <c r="K412" s="16"/>
      <c r="L412" s="16"/>
      <c r="M412" s="16"/>
      <c r="N412" s="16"/>
      <c r="O412" s="16"/>
      <c r="P412" s="16"/>
      <c r="Q412" s="16"/>
      <c r="R412" s="16"/>
      <c r="S412" s="16"/>
      <c r="T412" s="16"/>
      <c r="U412" s="16"/>
      <c r="V412" s="16"/>
    </row>
    <row r="413" spans="1:22" ht="15.75" customHeight="1" x14ac:dyDescent="0.25">
      <c r="A413" s="16"/>
      <c r="B413" s="16"/>
      <c r="C413" s="16"/>
      <c r="D413" s="16"/>
      <c r="E413" s="16"/>
      <c r="F413" s="16"/>
      <c r="G413" s="16"/>
      <c r="H413" s="16"/>
      <c r="I413" s="16"/>
      <c r="J413" s="16"/>
      <c r="K413" s="16"/>
      <c r="L413" s="16"/>
      <c r="M413" s="16"/>
      <c r="N413" s="16"/>
      <c r="O413" s="16"/>
      <c r="P413" s="16"/>
      <c r="Q413" s="16"/>
      <c r="R413" s="16"/>
      <c r="S413" s="16"/>
      <c r="T413" s="16"/>
      <c r="U413" s="16"/>
      <c r="V413" s="16"/>
    </row>
    <row r="414" spans="1:22" ht="15.75" customHeight="1" x14ac:dyDescent="0.25">
      <c r="A414" s="16"/>
      <c r="B414" s="16"/>
      <c r="C414" s="16"/>
      <c r="D414" s="16"/>
      <c r="E414" s="16"/>
      <c r="F414" s="16"/>
      <c r="G414" s="16"/>
      <c r="H414" s="16"/>
      <c r="I414" s="16"/>
      <c r="J414" s="16"/>
      <c r="K414" s="16"/>
      <c r="L414" s="16"/>
      <c r="M414" s="16"/>
      <c r="N414" s="16"/>
      <c r="O414" s="16"/>
      <c r="P414" s="16"/>
      <c r="Q414" s="16"/>
      <c r="R414" s="16"/>
      <c r="S414" s="16"/>
      <c r="T414" s="16"/>
      <c r="U414" s="16"/>
      <c r="V414" s="16"/>
    </row>
    <row r="415" spans="1:22" ht="15.75" customHeight="1" x14ac:dyDescent="0.25">
      <c r="A415" s="16"/>
      <c r="B415" s="16"/>
      <c r="C415" s="16"/>
      <c r="D415" s="16"/>
      <c r="E415" s="16"/>
      <c r="F415" s="16"/>
      <c r="G415" s="16"/>
      <c r="H415" s="16"/>
      <c r="I415" s="16"/>
      <c r="J415" s="16"/>
      <c r="K415" s="16"/>
      <c r="L415" s="16"/>
      <c r="M415" s="16"/>
      <c r="N415" s="16"/>
      <c r="O415" s="16"/>
      <c r="P415" s="16"/>
      <c r="Q415" s="16"/>
      <c r="R415" s="16"/>
      <c r="S415" s="16"/>
      <c r="T415" s="16"/>
      <c r="U415" s="16"/>
      <c r="V415" s="16"/>
    </row>
    <row r="416" spans="1:22" ht="15.75" customHeight="1" x14ac:dyDescent="0.25">
      <c r="A416" s="16"/>
      <c r="B416" s="16"/>
      <c r="C416" s="16"/>
      <c r="D416" s="16"/>
      <c r="E416" s="16"/>
      <c r="F416" s="16"/>
      <c r="G416" s="16"/>
      <c r="H416" s="16"/>
      <c r="I416" s="16"/>
      <c r="J416" s="16"/>
      <c r="K416" s="16"/>
      <c r="L416" s="16"/>
      <c r="M416" s="16"/>
      <c r="N416" s="16"/>
      <c r="O416" s="16"/>
      <c r="P416" s="16"/>
      <c r="Q416" s="16"/>
      <c r="R416" s="16"/>
      <c r="S416" s="16"/>
      <c r="T416" s="16"/>
      <c r="U416" s="16"/>
      <c r="V416" s="16"/>
    </row>
    <row r="417" spans="1:22" ht="15.75" customHeight="1" x14ac:dyDescent="0.25">
      <c r="A417" s="16"/>
      <c r="B417" s="16"/>
      <c r="C417" s="16"/>
      <c r="D417" s="16"/>
      <c r="E417" s="16"/>
      <c r="F417" s="16"/>
      <c r="G417" s="16"/>
      <c r="H417" s="16"/>
      <c r="I417" s="16"/>
      <c r="J417" s="16"/>
      <c r="K417" s="16"/>
      <c r="L417" s="16"/>
      <c r="M417" s="16"/>
      <c r="N417" s="16"/>
      <c r="O417" s="16"/>
      <c r="P417" s="16"/>
      <c r="Q417" s="16"/>
      <c r="R417" s="16"/>
      <c r="S417" s="16"/>
      <c r="T417" s="16"/>
      <c r="U417" s="16"/>
      <c r="V417" s="16"/>
    </row>
    <row r="418" spans="1:22" ht="15.75" customHeight="1" x14ac:dyDescent="0.25">
      <c r="A418" s="16"/>
      <c r="B418" s="16"/>
      <c r="C418" s="16"/>
      <c r="D418" s="16"/>
      <c r="E418" s="16"/>
      <c r="F418" s="16"/>
      <c r="G418" s="16"/>
      <c r="H418" s="16"/>
      <c r="I418" s="16"/>
      <c r="J418" s="16"/>
      <c r="K418" s="16"/>
      <c r="L418" s="16"/>
      <c r="M418" s="16"/>
      <c r="N418" s="16"/>
      <c r="O418" s="16"/>
      <c r="P418" s="16"/>
      <c r="Q418" s="16"/>
      <c r="R418" s="16"/>
      <c r="S418" s="16"/>
      <c r="T418" s="16"/>
      <c r="U418" s="16"/>
      <c r="V418" s="16"/>
    </row>
    <row r="419" spans="1:22" ht="15.75" customHeight="1" x14ac:dyDescent="0.25">
      <c r="A419" s="16"/>
      <c r="B419" s="16"/>
      <c r="C419" s="16"/>
      <c r="D419" s="16"/>
      <c r="E419" s="16"/>
      <c r="F419" s="16"/>
      <c r="G419" s="16"/>
      <c r="H419" s="16"/>
      <c r="I419" s="16"/>
      <c r="J419" s="16"/>
      <c r="K419" s="16"/>
      <c r="L419" s="16"/>
      <c r="M419" s="16"/>
      <c r="N419" s="16"/>
      <c r="O419" s="16"/>
      <c r="P419" s="16"/>
      <c r="Q419" s="16"/>
      <c r="R419" s="16"/>
      <c r="S419" s="16"/>
      <c r="T419" s="16"/>
      <c r="U419" s="16"/>
      <c r="V419" s="16"/>
    </row>
    <row r="420" spans="1:22" ht="15.75" customHeight="1" x14ac:dyDescent="0.25">
      <c r="A420" s="16"/>
      <c r="B420" s="16"/>
      <c r="C420" s="16"/>
      <c r="D420" s="16"/>
      <c r="E420" s="16"/>
      <c r="F420" s="16"/>
      <c r="G420" s="16"/>
      <c r="H420" s="16"/>
      <c r="I420" s="16"/>
      <c r="J420" s="16"/>
      <c r="K420" s="16"/>
      <c r="L420" s="16"/>
      <c r="M420" s="16"/>
      <c r="N420" s="16"/>
      <c r="O420" s="16"/>
      <c r="P420" s="16"/>
      <c r="Q420" s="16"/>
      <c r="R420" s="16"/>
      <c r="S420" s="16"/>
      <c r="T420" s="16"/>
      <c r="U420" s="16"/>
      <c r="V420" s="16"/>
    </row>
    <row r="421" spans="1:22" ht="15.75" customHeight="1" x14ac:dyDescent="0.25">
      <c r="A421" s="16"/>
      <c r="B421" s="16"/>
      <c r="C421" s="16"/>
      <c r="D421" s="16"/>
      <c r="E421" s="16"/>
      <c r="F421" s="16"/>
      <c r="G421" s="16"/>
      <c r="H421" s="16"/>
      <c r="I421" s="16"/>
      <c r="J421" s="16"/>
      <c r="K421" s="16"/>
      <c r="L421" s="16"/>
      <c r="M421" s="16"/>
      <c r="N421" s="16"/>
      <c r="O421" s="16"/>
      <c r="P421" s="16"/>
      <c r="Q421" s="16"/>
      <c r="R421" s="16"/>
      <c r="S421" s="16"/>
      <c r="T421" s="16"/>
      <c r="U421" s="16"/>
      <c r="V421" s="16"/>
    </row>
    <row r="422" spans="1:22" ht="15.75" customHeight="1" x14ac:dyDescent="0.25">
      <c r="A422" s="16"/>
      <c r="B422" s="16"/>
      <c r="C422" s="16"/>
      <c r="D422" s="16"/>
      <c r="E422" s="16"/>
      <c r="F422" s="16"/>
      <c r="G422" s="16"/>
      <c r="H422" s="16"/>
      <c r="I422" s="16"/>
      <c r="J422" s="16"/>
      <c r="K422" s="16"/>
      <c r="L422" s="16"/>
      <c r="M422" s="16"/>
      <c r="N422" s="16"/>
      <c r="O422" s="16"/>
      <c r="P422" s="16"/>
      <c r="Q422" s="16"/>
      <c r="R422" s="16"/>
      <c r="S422" s="16"/>
      <c r="T422" s="16"/>
      <c r="U422" s="16"/>
      <c r="V422" s="16"/>
    </row>
    <row r="423" spans="1:22" ht="15.75" customHeight="1" x14ac:dyDescent="0.25">
      <c r="A423" s="16"/>
      <c r="B423" s="16"/>
      <c r="C423" s="16"/>
      <c r="D423" s="16"/>
      <c r="E423" s="16"/>
      <c r="F423" s="16"/>
      <c r="G423" s="16"/>
      <c r="H423" s="16"/>
      <c r="I423" s="16"/>
      <c r="J423" s="16"/>
      <c r="K423" s="16"/>
      <c r="L423" s="16"/>
      <c r="M423" s="16"/>
      <c r="N423" s="16"/>
      <c r="O423" s="16"/>
      <c r="P423" s="16"/>
      <c r="Q423" s="16"/>
      <c r="R423" s="16"/>
      <c r="S423" s="16"/>
      <c r="T423" s="16"/>
      <c r="U423" s="16"/>
      <c r="V423" s="16"/>
    </row>
    <row r="424" spans="1:22" ht="15.75" customHeight="1" x14ac:dyDescent="0.25">
      <c r="A424" s="16"/>
      <c r="B424" s="16"/>
      <c r="C424" s="16"/>
      <c r="D424" s="16"/>
      <c r="E424" s="16"/>
      <c r="F424" s="16"/>
      <c r="G424" s="16"/>
      <c r="H424" s="16"/>
      <c r="I424" s="16"/>
      <c r="J424" s="16"/>
      <c r="K424" s="16"/>
      <c r="L424" s="16"/>
      <c r="M424" s="16"/>
      <c r="N424" s="16"/>
      <c r="O424" s="16"/>
      <c r="P424" s="16"/>
      <c r="Q424" s="16"/>
      <c r="R424" s="16"/>
      <c r="S424" s="16"/>
      <c r="T424" s="16"/>
      <c r="U424" s="16"/>
      <c r="V424" s="16"/>
    </row>
    <row r="425" spans="1:22" ht="15.75" customHeight="1" x14ac:dyDescent="0.25">
      <c r="A425" s="16"/>
      <c r="B425" s="16"/>
      <c r="C425" s="16"/>
      <c r="D425" s="16"/>
      <c r="E425" s="16"/>
      <c r="F425" s="16"/>
      <c r="G425" s="16"/>
      <c r="H425" s="16"/>
      <c r="I425" s="16"/>
      <c r="J425" s="16"/>
      <c r="K425" s="16"/>
      <c r="L425" s="16"/>
      <c r="M425" s="16"/>
      <c r="N425" s="16"/>
      <c r="O425" s="16"/>
      <c r="P425" s="16"/>
      <c r="Q425" s="16"/>
      <c r="R425" s="16"/>
      <c r="S425" s="16"/>
      <c r="T425" s="16"/>
      <c r="U425" s="16"/>
      <c r="V425" s="16"/>
    </row>
    <row r="426" spans="1:22" ht="15.75" customHeight="1" x14ac:dyDescent="0.25">
      <c r="A426" s="16"/>
      <c r="B426" s="16"/>
      <c r="C426" s="16"/>
      <c r="D426" s="16"/>
      <c r="E426" s="16"/>
      <c r="F426" s="16"/>
      <c r="G426" s="16"/>
      <c r="H426" s="16"/>
      <c r="I426" s="16"/>
      <c r="J426" s="16"/>
      <c r="K426" s="16"/>
      <c r="L426" s="16"/>
      <c r="M426" s="16"/>
      <c r="N426" s="16"/>
      <c r="O426" s="16"/>
      <c r="P426" s="16"/>
      <c r="Q426" s="16"/>
      <c r="R426" s="16"/>
      <c r="S426" s="16"/>
      <c r="T426" s="16"/>
      <c r="U426" s="16"/>
      <c r="V426" s="16"/>
    </row>
    <row r="427" spans="1:22" ht="15.75" customHeight="1" x14ac:dyDescent="0.25">
      <c r="A427" s="16"/>
      <c r="B427" s="16"/>
      <c r="C427" s="16"/>
      <c r="D427" s="16"/>
      <c r="E427" s="16"/>
      <c r="F427" s="16"/>
      <c r="G427" s="16"/>
      <c r="H427" s="16"/>
      <c r="I427" s="16"/>
      <c r="J427" s="16"/>
      <c r="K427" s="16"/>
      <c r="L427" s="16"/>
      <c r="M427" s="16"/>
      <c r="N427" s="16"/>
      <c r="O427" s="16"/>
      <c r="P427" s="16"/>
      <c r="Q427" s="16"/>
      <c r="R427" s="16"/>
      <c r="S427" s="16"/>
      <c r="T427" s="16"/>
      <c r="U427" s="16"/>
      <c r="V427" s="16"/>
    </row>
    <row r="428" spans="1:22" ht="15.75" customHeight="1" x14ac:dyDescent="0.25">
      <c r="A428" s="16"/>
      <c r="B428" s="16"/>
      <c r="C428" s="16"/>
      <c r="D428" s="16"/>
      <c r="E428" s="16"/>
      <c r="F428" s="16"/>
      <c r="G428" s="16"/>
      <c r="H428" s="16"/>
      <c r="I428" s="16"/>
      <c r="J428" s="16"/>
      <c r="K428" s="16"/>
      <c r="L428" s="16"/>
      <c r="M428" s="16"/>
      <c r="N428" s="16"/>
      <c r="O428" s="16"/>
      <c r="P428" s="16"/>
      <c r="Q428" s="16"/>
      <c r="R428" s="16"/>
      <c r="S428" s="16"/>
      <c r="T428" s="16"/>
      <c r="U428" s="16"/>
      <c r="V428" s="16"/>
    </row>
    <row r="429" spans="1:22" ht="15.75" customHeight="1" x14ac:dyDescent="0.25">
      <c r="A429" s="16"/>
      <c r="B429" s="16"/>
      <c r="C429" s="16"/>
      <c r="D429" s="16"/>
      <c r="E429" s="16"/>
      <c r="F429" s="16"/>
      <c r="G429" s="16"/>
      <c r="H429" s="16"/>
      <c r="I429" s="16"/>
      <c r="J429" s="16"/>
      <c r="K429" s="16"/>
      <c r="L429" s="16"/>
      <c r="M429" s="16"/>
      <c r="N429" s="16"/>
      <c r="O429" s="16"/>
      <c r="P429" s="16"/>
      <c r="Q429" s="16"/>
      <c r="R429" s="16"/>
      <c r="S429" s="16"/>
      <c r="T429" s="16"/>
      <c r="U429" s="16"/>
      <c r="V429" s="16"/>
    </row>
    <row r="430" spans="1:22" ht="15.75" customHeight="1" x14ac:dyDescent="0.25">
      <c r="A430" s="16"/>
      <c r="B430" s="16"/>
      <c r="C430" s="16"/>
      <c r="D430" s="16"/>
      <c r="E430" s="16"/>
      <c r="F430" s="16"/>
      <c r="G430" s="16"/>
      <c r="H430" s="16"/>
      <c r="I430" s="16"/>
      <c r="J430" s="16"/>
      <c r="K430" s="16"/>
      <c r="L430" s="16"/>
      <c r="M430" s="16"/>
      <c r="N430" s="16"/>
      <c r="O430" s="16"/>
      <c r="P430" s="16"/>
      <c r="Q430" s="16"/>
      <c r="R430" s="16"/>
      <c r="S430" s="16"/>
      <c r="T430" s="16"/>
      <c r="U430" s="16"/>
      <c r="V430" s="16"/>
    </row>
    <row r="431" spans="1:22" ht="15.75" customHeight="1" x14ac:dyDescent="0.25">
      <c r="A431" s="16"/>
      <c r="B431" s="16"/>
      <c r="C431" s="16"/>
      <c r="D431" s="16"/>
      <c r="E431" s="16"/>
      <c r="F431" s="16"/>
      <c r="G431" s="16"/>
      <c r="H431" s="16"/>
      <c r="I431" s="16"/>
      <c r="J431" s="16"/>
      <c r="K431" s="16"/>
      <c r="L431" s="16"/>
      <c r="M431" s="16"/>
      <c r="N431" s="16"/>
      <c r="O431" s="16"/>
      <c r="P431" s="16"/>
      <c r="Q431" s="16"/>
      <c r="R431" s="16"/>
      <c r="S431" s="16"/>
      <c r="T431" s="16"/>
      <c r="U431" s="16"/>
      <c r="V431" s="16"/>
    </row>
    <row r="432" spans="1:22" ht="15.75" customHeight="1" x14ac:dyDescent="0.25">
      <c r="A432" s="16"/>
      <c r="B432" s="16"/>
      <c r="C432" s="16"/>
      <c r="D432" s="16"/>
      <c r="E432" s="16"/>
      <c r="F432" s="16"/>
      <c r="G432" s="16"/>
      <c r="H432" s="16"/>
      <c r="I432" s="16"/>
      <c r="J432" s="16"/>
      <c r="K432" s="16"/>
      <c r="L432" s="16"/>
      <c r="M432" s="16"/>
      <c r="N432" s="16"/>
      <c r="O432" s="16"/>
      <c r="P432" s="16"/>
      <c r="Q432" s="16"/>
      <c r="R432" s="16"/>
      <c r="S432" s="16"/>
      <c r="T432" s="16"/>
      <c r="U432" s="16"/>
      <c r="V432" s="16"/>
    </row>
    <row r="433" spans="1:22" ht="15.75" customHeight="1" x14ac:dyDescent="0.25">
      <c r="A433" s="16"/>
      <c r="B433" s="16"/>
      <c r="C433" s="16"/>
      <c r="D433" s="16"/>
      <c r="E433" s="16"/>
      <c r="F433" s="16"/>
      <c r="G433" s="16"/>
      <c r="H433" s="16"/>
      <c r="I433" s="16"/>
      <c r="J433" s="16"/>
      <c r="K433" s="16"/>
      <c r="L433" s="16"/>
      <c r="M433" s="16"/>
      <c r="N433" s="16"/>
      <c r="O433" s="16"/>
      <c r="P433" s="16"/>
      <c r="Q433" s="16"/>
      <c r="R433" s="16"/>
      <c r="S433" s="16"/>
      <c r="T433" s="16"/>
      <c r="U433" s="16"/>
      <c r="V433" s="16"/>
    </row>
    <row r="434" spans="1:22" ht="15.75" customHeight="1" x14ac:dyDescent="0.25">
      <c r="A434" s="16"/>
      <c r="B434" s="16"/>
      <c r="C434" s="16"/>
      <c r="D434" s="16"/>
      <c r="E434" s="16"/>
      <c r="F434" s="16"/>
      <c r="G434" s="16"/>
      <c r="H434" s="16"/>
      <c r="I434" s="16"/>
      <c r="J434" s="16"/>
      <c r="K434" s="16"/>
      <c r="L434" s="16"/>
      <c r="M434" s="16"/>
      <c r="N434" s="16"/>
      <c r="O434" s="16"/>
      <c r="P434" s="16"/>
      <c r="Q434" s="16"/>
      <c r="R434" s="16"/>
      <c r="S434" s="16"/>
      <c r="T434" s="16"/>
      <c r="U434" s="16"/>
      <c r="V434" s="16"/>
    </row>
    <row r="435" spans="1:22" ht="15.75" customHeight="1" x14ac:dyDescent="0.25">
      <c r="A435" s="16"/>
      <c r="B435" s="16"/>
      <c r="C435" s="16"/>
      <c r="D435" s="16"/>
      <c r="E435" s="16"/>
      <c r="F435" s="16"/>
      <c r="G435" s="16"/>
      <c r="H435" s="16"/>
      <c r="I435" s="16"/>
      <c r="J435" s="16"/>
      <c r="K435" s="16"/>
      <c r="L435" s="16"/>
      <c r="M435" s="16"/>
      <c r="N435" s="16"/>
      <c r="O435" s="16"/>
      <c r="P435" s="16"/>
      <c r="Q435" s="16"/>
      <c r="R435" s="16"/>
      <c r="S435" s="16"/>
      <c r="T435" s="16"/>
      <c r="U435" s="16"/>
      <c r="V435" s="16"/>
    </row>
    <row r="436" spans="1:22" ht="15.75" customHeight="1" x14ac:dyDescent="0.25">
      <c r="A436" s="16"/>
      <c r="B436" s="16"/>
      <c r="C436" s="16"/>
      <c r="D436" s="16"/>
      <c r="E436" s="16"/>
      <c r="F436" s="16"/>
      <c r="G436" s="16"/>
      <c r="H436" s="16"/>
      <c r="I436" s="16"/>
      <c r="J436" s="16"/>
      <c r="K436" s="16"/>
      <c r="L436" s="16"/>
      <c r="M436" s="16"/>
      <c r="N436" s="16"/>
      <c r="O436" s="16"/>
      <c r="P436" s="16"/>
      <c r="Q436" s="16"/>
      <c r="R436" s="16"/>
      <c r="S436" s="16"/>
      <c r="T436" s="16"/>
      <c r="U436" s="16"/>
      <c r="V436" s="16"/>
    </row>
    <row r="437" spans="1:22" ht="15.75" customHeight="1" x14ac:dyDescent="0.25">
      <c r="A437" s="16"/>
      <c r="B437" s="16"/>
      <c r="C437" s="16"/>
      <c r="D437" s="16"/>
      <c r="E437" s="16"/>
      <c r="F437" s="16"/>
      <c r="G437" s="16"/>
      <c r="H437" s="16"/>
      <c r="I437" s="16"/>
      <c r="J437" s="16"/>
      <c r="K437" s="16"/>
      <c r="L437" s="16"/>
      <c r="M437" s="16"/>
      <c r="N437" s="16"/>
      <c r="O437" s="16"/>
      <c r="P437" s="16"/>
      <c r="Q437" s="16"/>
      <c r="R437" s="16"/>
      <c r="S437" s="16"/>
      <c r="T437" s="16"/>
      <c r="U437" s="16"/>
      <c r="V437" s="16"/>
    </row>
    <row r="438" spans="1:22" ht="15.75" customHeight="1" x14ac:dyDescent="0.25">
      <c r="A438" s="16"/>
      <c r="B438" s="16"/>
      <c r="C438" s="16"/>
      <c r="D438" s="16"/>
      <c r="E438" s="16"/>
      <c r="F438" s="16"/>
      <c r="G438" s="16"/>
      <c r="H438" s="16"/>
      <c r="I438" s="16"/>
      <c r="J438" s="16"/>
      <c r="K438" s="16"/>
      <c r="L438" s="16"/>
      <c r="M438" s="16"/>
      <c r="N438" s="16"/>
      <c r="O438" s="16"/>
      <c r="P438" s="16"/>
      <c r="Q438" s="16"/>
      <c r="R438" s="16"/>
      <c r="S438" s="16"/>
      <c r="T438" s="16"/>
      <c r="U438" s="16"/>
      <c r="V438" s="16"/>
    </row>
    <row r="439" spans="1:22" ht="15.75" customHeight="1" x14ac:dyDescent="0.25">
      <c r="A439" s="16"/>
      <c r="B439" s="16"/>
      <c r="C439" s="16"/>
      <c r="D439" s="16"/>
      <c r="E439" s="16"/>
      <c r="F439" s="16"/>
      <c r="G439" s="16"/>
      <c r="H439" s="16"/>
      <c r="I439" s="16"/>
      <c r="J439" s="16"/>
      <c r="K439" s="16"/>
      <c r="L439" s="16"/>
      <c r="M439" s="16"/>
      <c r="N439" s="16"/>
      <c r="O439" s="16"/>
      <c r="P439" s="16"/>
      <c r="Q439" s="16"/>
      <c r="R439" s="16"/>
      <c r="S439" s="16"/>
      <c r="T439" s="16"/>
      <c r="U439" s="16"/>
      <c r="V439" s="16"/>
    </row>
    <row r="440" spans="1:22" ht="15.75" customHeight="1" x14ac:dyDescent="0.25">
      <c r="A440" s="16"/>
      <c r="B440" s="16"/>
      <c r="C440" s="16"/>
      <c r="D440" s="16"/>
      <c r="E440" s="16"/>
      <c r="F440" s="16"/>
      <c r="G440" s="16"/>
      <c r="H440" s="16"/>
      <c r="I440" s="16"/>
      <c r="J440" s="16"/>
      <c r="K440" s="16"/>
      <c r="L440" s="16"/>
      <c r="M440" s="16"/>
      <c r="N440" s="16"/>
      <c r="O440" s="16"/>
      <c r="P440" s="16"/>
      <c r="Q440" s="16"/>
      <c r="R440" s="16"/>
      <c r="S440" s="16"/>
      <c r="T440" s="16"/>
      <c r="U440" s="16"/>
      <c r="V440" s="16"/>
    </row>
    <row r="441" spans="1:22" ht="15.75" customHeight="1" x14ac:dyDescent="0.25">
      <c r="A441" s="16"/>
      <c r="B441" s="16"/>
      <c r="C441" s="16"/>
      <c r="D441" s="16"/>
      <c r="E441" s="16"/>
      <c r="F441" s="16"/>
      <c r="G441" s="16"/>
      <c r="H441" s="16"/>
      <c r="I441" s="16"/>
      <c r="J441" s="16"/>
      <c r="K441" s="16"/>
      <c r="L441" s="16"/>
      <c r="M441" s="16"/>
      <c r="N441" s="16"/>
      <c r="O441" s="16"/>
      <c r="P441" s="16"/>
      <c r="Q441" s="16"/>
      <c r="R441" s="16"/>
      <c r="S441" s="16"/>
      <c r="T441" s="16"/>
      <c r="U441" s="16"/>
      <c r="V441" s="16"/>
    </row>
    <row r="442" spans="1:22" ht="15.75" customHeight="1" x14ac:dyDescent="0.25">
      <c r="A442" s="16"/>
      <c r="B442" s="16"/>
      <c r="C442" s="16"/>
      <c r="D442" s="16"/>
      <c r="E442" s="16"/>
      <c r="F442" s="16"/>
      <c r="G442" s="16"/>
      <c r="H442" s="16"/>
      <c r="I442" s="16"/>
      <c r="J442" s="16"/>
      <c r="K442" s="16"/>
      <c r="L442" s="16"/>
      <c r="M442" s="16"/>
      <c r="N442" s="16"/>
      <c r="O442" s="16"/>
      <c r="P442" s="16"/>
      <c r="Q442" s="16"/>
      <c r="R442" s="16"/>
      <c r="S442" s="16"/>
      <c r="T442" s="16"/>
      <c r="U442" s="16"/>
      <c r="V442" s="16"/>
    </row>
    <row r="443" spans="1:22" ht="15.75" customHeight="1" x14ac:dyDescent="0.25">
      <c r="A443" s="16"/>
      <c r="B443" s="16"/>
      <c r="C443" s="16"/>
      <c r="D443" s="16"/>
      <c r="E443" s="16"/>
      <c r="F443" s="16"/>
      <c r="G443" s="16"/>
      <c r="H443" s="16"/>
      <c r="I443" s="16"/>
      <c r="J443" s="16"/>
      <c r="K443" s="16"/>
      <c r="L443" s="16"/>
      <c r="M443" s="16"/>
      <c r="N443" s="16"/>
      <c r="O443" s="16"/>
      <c r="P443" s="16"/>
      <c r="Q443" s="16"/>
      <c r="R443" s="16"/>
      <c r="S443" s="16"/>
      <c r="T443" s="16"/>
      <c r="U443" s="16"/>
      <c r="V443" s="16"/>
    </row>
    <row r="444" spans="1:22" ht="15.75" customHeight="1" x14ac:dyDescent="0.25">
      <c r="A444" s="16"/>
      <c r="B444" s="16"/>
      <c r="C444" s="16"/>
      <c r="D444" s="16"/>
      <c r="E444" s="16"/>
      <c r="F444" s="16"/>
      <c r="G444" s="16"/>
      <c r="H444" s="16"/>
      <c r="I444" s="16"/>
      <c r="J444" s="16"/>
      <c r="K444" s="16"/>
      <c r="L444" s="16"/>
      <c r="M444" s="16"/>
      <c r="N444" s="16"/>
      <c r="O444" s="16"/>
      <c r="P444" s="16"/>
      <c r="Q444" s="16"/>
      <c r="R444" s="16"/>
      <c r="S444" s="16"/>
      <c r="T444" s="16"/>
      <c r="U444" s="16"/>
      <c r="V444" s="16"/>
    </row>
    <row r="445" spans="1:22" ht="15.75" customHeight="1" x14ac:dyDescent="0.25">
      <c r="A445" s="16"/>
      <c r="B445" s="16"/>
      <c r="C445" s="16"/>
      <c r="D445" s="16"/>
      <c r="E445" s="16"/>
      <c r="F445" s="16"/>
      <c r="G445" s="16"/>
      <c r="H445" s="16"/>
      <c r="I445" s="16"/>
      <c r="J445" s="16"/>
      <c r="K445" s="16"/>
      <c r="L445" s="16"/>
      <c r="M445" s="16"/>
      <c r="N445" s="16"/>
      <c r="O445" s="16"/>
      <c r="P445" s="16"/>
      <c r="Q445" s="16"/>
      <c r="R445" s="16"/>
      <c r="S445" s="16"/>
      <c r="T445" s="16"/>
      <c r="U445" s="16"/>
      <c r="V445" s="16"/>
    </row>
    <row r="446" spans="1:22" ht="15.75" customHeight="1" x14ac:dyDescent="0.25">
      <c r="A446" s="16"/>
      <c r="B446" s="16"/>
      <c r="C446" s="16"/>
      <c r="D446" s="16"/>
      <c r="E446" s="16"/>
      <c r="F446" s="16"/>
      <c r="G446" s="16"/>
      <c r="H446" s="16"/>
      <c r="I446" s="16"/>
      <c r="J446" s="16"/>
      <c r="K446" s="16"/>
      <c r="L446" s="16"/>
      <c r="M446" s="16"/>
      <c r="N446" s="16"/>
      <c r="O446" s="16"/>
      <c r="P446" s="16"/>
      <c r="Q446" s="16"/>
      <c r="R446" s="16"/>
      <c r="S446" s="16"/>
      <c r="T446" s="16"/>
      <c r="U446" s="16"/>
      <c r="V446" s="16"/>
    </row>
    <row r="447" spans="1:22" ht="15.75" customHeight="1" x14ac:dyDescent="0.25">
      <c r="A447" s="16"/>
      <c r="B447" s="16"/>
      <c r="C447" s="16"/>
      <c r="D447" s="16"/>
      <c r="E447" s="16"/>
      <c r="F447" s="16"/>
      <c r="G447" s="16"/>
      <c r="H447" s="16"/>
      <c r="I447" s="16"/>
      <c r="J447" s="16"/>
      <c r="K447" s="16"/>
      <c r="L447" s="16"/>
      <c r="M447" s="16"/>
      <c r="N447" s="16"/>
      <c r="O447" s="16"/>
      <c r="P447" s="16"/>
      <c r="Q447" s="16"/>
      <c r="R447" s="16"/>
      <c r="S447" s="16"/>
      <c r="T447" s="16"/>
      <c r="U447" s="16"/>
      <c r="V447" s="16"/>
    </row>
    <row r="448" spans="1:22" ht="15.75" customHeight="1" x14ac:dyDescent="0.25">
      <c r="A448" s="16"/>
      <c r="B448" s="16"/>
      <c r="C448" s="16"/>
      <c r="D448" s="16"/>
      <c r="E448" s="16"/>
      <c r="F448" s="16"/>
      <c r="G448" s="16"/>
      <c r="H448" s="16"/>
      <c r="I448" s="16"/>
      <c r="J448" s="16"/>
      <c r="K448" s="16"/>
      <c r="L448" s="16"/>
      <c r="M448" s="16"/>
      <c r="N448" s="16"/>
      <c r="O448" s="16"/>
      <c r="P448" s="16"/>
      <c r="Q448" s="16"/>
      <c r="R448" s="16"/>
      <c r="S448" s="16"/>
      <c r="T448" s="16"/>
      <c r="U448" s="16"/>
      <c r="V448" s="16"/>
    </row>
    <row r="449" spans="1:22" ht="15.75" customHeight="1" x14ac:dyDescent="0.25">
      <c r="A449" s="16"/>
      <c r="B449" s="16"/>
      <c r="C449" s="16"/>
      <c r="D449" s="16"/>
      <c r="E449" s="16"/>
      <c r="F449" s="16"/>
      <c r="G449" s="16"/>
      <c r="H449" s="16"/>
      <c r="I449" s="16"/>
      <c r="J449" s="16"/>
      <c r="K449" s="16"/>
      <c r="L449" s="16"/>
      <c r="M449" s="16"/>
      <c r="N449" s="16"/>
      <c r="O449" s="16"/>
      <c r="P449" s="16"/>
      <c r="Q449" s="16"/>
      <c r="R449" s="16"/>
      <c r="S449" s="16"/>
      <c r="T449" s="16"/>
      <c r="U449" s="16"/>
      <c r="V449" s="16"/>
    </row>
    <row r="450" spans="1:22" ht="15.75" customHeight="1" x14ac:dyDescent="0.25">
      <c r="A450" s="16"/>
      <c r="B450" s="16"/>
      <c r="C450" s="16"/>
      <c r="D450" s="16"/>
      <c r="E450" s="16"/>
      <c r="F450" s="16"/>
      <c r="G450" s="16"/>
      <c r="H450" s="16"/>
      <c r="I450" s="16"/>
      <c r="J450" s="16"/>
      <c r="K450" s="16"/>
      <c r="L450" s="16"/>
      <c r="M450" s="16"/>
      <c r="N450" s="16"/>
      <c r="O450" s="16"/>
      <c r="P450" s="16"/>
      <c r="Q450" s="16"/>
      <c r="R450" s="16"/>
      <c r="S450" s="16"/>
      <c r="T450" s="16"/>
      <c r="U450" s="16"/>
      <c r="V450" s="16"/>
    </row>
    <row r="451" spans="1:22" ht="15.75" customHeight="1" x14ac:dyDescent="0.25">
      <c r="A451" s="16"/>
      <c r="B451" s="16"/>
      <c r="C451" s="16"/>
      <c r="D451" s="16"/>
      <c r="E451" s="16"/>
      <c r="F451" s="16"/>
      <c r="G451" s="16"/>
      <c r="H451" s="16"/>
      <c r="I451" s="16"/>
      <c r="J451" s="16"/>
      <c r="K451" s="16"/>
      <c r="L451" s="16"/>
      <c r="M451" s="16"/>
      <c r="N451" s="16"/>
      <c r="O451" s="16"/>
      <c r="P451" s="16"/>
      <c r="Q451" s="16"/>
      <c r="R451" s="16"/>
      <c r="S451" s="16"/>
      <c r="T451" s="16"/>
      <c r="U451" s="16"/>
      <c r="V451" s="16"/>
    </row>
    <row r="452" spans="1:22" ht="15.75" customHeight="1" x14ac:dyDescent="0.25">
      <c r="A452" s="16"/>
      <c r="B452" s="16"/>
      <c r="C452" s="16"/>
      <c r="D452" s="16"/>
      <c r="E452" s="16"/>
      <c r="F452" s="16"/>
      <c r="G452" s="16"/>
      <c r="H452" s="16"/>
      <c r="I452" s="16"/>
      <c r="J452" s="16"/>
      <c r="K452" s="16"/>
      <c r="L452" s="16"/>
      <c r="M452" s="16"/>
      <c r="N452" s="16"/>
      <c r="O452" s="16"/>
      <c r="P452" s="16"/>
      <c r="Q452" s="16"/>
      <c r="R452" s="16"/>
      <c r="S452" s="16"/>
      <c r="T452" s="16"/>
      <c r="U452" s="16"/>
      <c r="V452" s="16"/>
    </row>
    <row r="453" spans="1:22" ht="15.75" customHeight="1" x14ac:dyDescent="0.25">
      <c r="A453" s="16"/>
      <c r="B453" s="16"/>
      <c r="C453" s="16"/>
      <c r="D453" s="16"/>
      <c r="E453" s="16"/>
      <c r="F453" s="16"/>
      <c r="G453" s="16"/>
      <c r="H453" s="16"/>
      <c r="I453" s="16"/>
      <c r="J453" s="16"/>
      <c r="K453" s="16"/>
      <c r="L453" s="16"/>
      <c r="M453" s="16"/>
      <c r="N453" s="16"/>
      <c r="O453" s="16"/>
      <c r="P453" s="16"/>
      <c r="Q453" s="16"/>
      <c r="R453" s="16"/>
      <c r="S453" s="16"/>
      <c r="T453" s="16"/>
      <c r="U453" s="16"/>
      <c r="V453" s="16"/>
    </row>
    <row r="454" spans="1:22" ht="15.75" customHeight="1" x14ac:dyDescent="0.25">
      <c r="A454" s="16"/>
      <c r="B454" s="16"/>
      <c r="C454" s="16"/>
      <c r="D454" s="16"/>
      <c r="E454" s="16"/>
      <c r="F454" s="16"/>
      <c r="G454" s="16"/>
      <c r="H454" s="16"/>
      <c r="I454" s="16"/>
      <c r="J454" s="16"/>
      <c r="K454" s="16"/>
      <c r="L454" s="16"/>
      <c r="M454" s="16"/>
      <c r="N454" s="16"/>
      <c r="O454" s="16"/>
      <c r="P454" s="16"/>
      <c r="Q454" s="16"/>
      <c r="R454" s="16"/>
      <c r="S454" s="16"/>
      <c r="T454" s="16"/>
      <c r="U454" s="16"/>
      <c r="V454" s="16"/>
    </row>
    <row r="455" spans="1:22" ht="15.75" customHeight="1" x14ac:dyDescent="0.25">
      <c r="A455" s="16"/>
      <c r="B455" s="16"/>
      <c r="C455" s="16"/>
      <c r="D455" s="16"/>
      <c r="E455" s="16"/>
      <c r="F455" s="16"/>
      <c r="G455" s="16"/>
      <c r="H455" s="16"/>
      <c r="I455" s="16"/>
      <c r="J455" s="16"/>
      <c r="K455" s="16"/>
      <c r="L455" s="16"/>
      <c r="M455" s="16"/>
      <c r="N455" s="16"/>
      <c r="O455" s="16"/>
      <c r="P455" s="16"/>
      <c r="Q455" s="16"/>
      <c r="R455" s="16"/>
      <c r="S455" s="16"/>
      <c r="T455" s="16"/>
      <c r="U455" s="16"/>
      <c r="V455" s="16"/>
    </row>
    <row r="456" spans="1:22" ht="15.75" customHeight="1" x14ac:dyDescent="0.25">
      <c r="A456" s="16"/>
      <c r="B456" s="16"/>
      <c r="C456" s="16"/>
      <c r="D456" s="16"/>
      <c r="E456" s="16"/>
      <c r="F456" s="16"/>
      <c r="G456" s="16"/>
      <c r="H456" s="16"/>
      <c r="I456" s="16"/>
      <c r="J456" s="16"/>
      <c r="K456" s="16"/>
      <c r="L456" s="16"/>
      <c r="M456" s="16"/>
      <c r="N456" s="16"/>
      <c r="O456" s="16"/>
      <c r="P456" s="16"/>
      <c r="Q456" s="16"/>
      <c r="R456" s="16"/>
      <c r="S456" s="16"/>
      <c r="T456" s="16"/>
      <c r="U456" s="16"/>
      <c r="V456" s="16"/>
    </row>
    <row r="457" spans="1:22" ht="15.75" customHeight="1" x14ac:dyDescent="0.25">
      <c r="A457" s="16"/>
      <c r="B457" s="16"/>
      <c r="C457" s="16"/>
      <c r="D457" s="16"/>
      <c r="E457" s="16"/>
      <c r="F457" s="16"/>
      <c r="G457" s="16"/>
      <c r="H457" s="16"/>
      <c r="I457" s="16"/>
      <c r="J457" s="16"/>
      <c r="K457" s="16"/>
      <c r="L457" s="16"/>
      <c r="M457" s="16"/>
      <c r="N457" s="16"/>
      <c r="O457" s="16"/>
      <c r="P457" s="16"/>
      <c r="Q457" s="16"/>
      <c r="R457" s="16"/>
      <c r="S457" s="16"/>
      <c r="T457" s="16"/>
      <c r="U457" s="16"/>
      <c r="V457" s="16"/>
    </row>
    <row r="458" spans="1:22" ht="15.75" customHeight="1" x14ac:dyDescent="0.25">
      <c r="A458" s="16"/>
      <c r="B458" s="16"/>
      <c r="C458" s="16"/>
      <c r="D458" s="16"/>
      <c r="E458" s="16"/>
      <c r="F458" s="16"/>
      <c r="G458" s="16"/>
      <c r="H458" s="16"/>
      <c r="I458" s="16"/>
      <c r="J458" s="16"/>
      <c r="K458" s="16"/>
      <c r="L458" s="16"/>
      <c r="M458" s="16"/>
      <c r="N458" s="16"/>
      <c r="O458" s="16"/>
      <c r="P458" s="16"/>
      <c r="Q458" s="16"/>
      <c r="R458" s="16"/>
      <c r="S458" s="16"/>
      <c r="T458" s="16"/>
      <c r="U458" s="16"/>
      <c r="V458" s="16"/>
    </row>
    <row r="459" spans="1:22" ht="15.75" customHeight="1" x14ac:dyDescent="0.25">
      <c r="A459" s="16"/>
      <c r="B459" s="16"/>
      <c r="C459" s="16"/>
      <c r="D459" s="16"/>
      <c r="E459" s="16"/>
      <c r="F459" s="16"/>
      <c r="G459" s="16"/>
      <c r="H459" s="16"/>
      <c r="I459" s="16"/>
      <c r="J459" s="16"/>
      <c r="K459" s="16"/>
      <c r="L459" s="16"/>
      <c r="M459" s="16"/>
      <c r="N459" s="16"/>
      <c r="O459" s="16"/>
      <c r="P459" s="16"/>
      <c r="Q459" s="16"/>
      <c r="R459" s="16"/>
      <c r="S459" s="16"/>
      <c r="T459" s="16"/>
      <c r="U459" s="16"/>
      <c r="V459" s="16"/>
    </row>
    <row r="460" spans="1:22" ht="15.75" customHeight="1" x14ac:dyDescent="0.25">
      <c r="A460" s="16"/>
      <c r="B460" s="16"/>
      <c r="C460" s="16"/>
      <c r="D460" s="16"/>
      <c r="E460" s="16"/>
      <c r="F460" s="16"/>
      <c r="G460" s="16"/>
      <c r="H460" s="16"/>
      <c r="I460" s="16"/>
      <c r="J460" s="16"/>
      <c r="K460" s="16"/>
      <c r="L460" s="16"/>
      <c r="M460" s="16"/>
      <c r="N460" s="16"/>
      <c r="O460" s="16"/>
      <c r="P460" s="16"/>
      <c r="Q460" s="16"/>
      <c r="R460" s="16"/>
      <c r="S460" s="16"/>
      <c r="T460" s="16"/>
      <c r="U460" s="16"/>
      <c r="V460" s="16"/>
    </row>
    <row r="461" spans="1:22" ht="15.75" customHeight="1" x14ac:dyDescent="0.25">
      <c r="A461" s="16"/>
      <c r="B461" s="16"/>
      <c r="C461" s="16"/>
      <c r="D461" s="16"/>
      <c r="E461" s="16"/>
      <c r="F461" s="16"/>
      <c r="G461" s="16"/>
      <c r="H461" s="16"/>
      <c r="I461" s="16"/>
      <c r="J461" s="16"/>
      <c r="K461" s="16"/>
      <c r="L461" s="16"/>
      <c r="M461" s="16"/>
      <c r="N461" s="16"/>
      <c r="O461" s="16"/>
      <c r="P461" s="16"/>
      <c r="Q461" s="16"/>
      <c r="R461" s="16"/>
      <c r="S461" s="16"/>
      <c r="T461" s="16"/>
      <c r="U461" s="16"/>
      <c r="V461" s="16"/>
    </row>
    <row r="462" spans="1:22" ht="15.75" customHeight="1" x14ac:dyDescent="0.25">
      <c r="A462" s="16"/>
      <c r="B462" s="16"/>
      <c r="C462" s="16"/>
      <c r="D462" s="16"/>
      <c r="E462" s="16"/>
      <c r="F462" s="16"/>
      <c r="G462" s="16"/>
      <c r="H462" s="16"/>
      <c r="I462" s="16"/>
      <c r="J462" s="16"/>
      <c r="K462" s="16"/>
      <c r="L462" s="16"/>
      <c r="M462" s="16"/>
      <c r="N462" s="16"/>
      <c r="O462" s="16"/>
      <c r="P462" s="16"/>
      <c r="Q462" s="16"/>
      <c r="R462" s="16"/>
      <c r="S462" s="16"/>
      <c r="T462" s="16"/>
      <c r="U462" s="16"/>
      <c r="V462" s="16"/>
    </row>
    <row r="463" spans="1:22" ht="15.75" customHeight="1" x14ac:dyDescent="0.25">
      <c r="A463" s="16"/>
      <c r="B463" s="16"/>
      <c r="C463" s="16"/>
      <c r="D463" s="16"/>
      <c r="E463" s="16"/>
      <c r="F463" s="16"/>
      <c r="G463" s="16"/>
      <c r="H463" s="16"/>
      <c r="I463" s="16"/>
      <c r="J463" s="16"/>
      <c r="K463" s="16"/>
      <c r="L463" s="16"/>
      <c r="M463" s="16"/>
      <c r="N463" s="16"/>
      <c r="O463" s="16"/>
      <c r="P463" s="16"/>
      <c r="Q463" s="16"/>
      <c r="R463" s="16"/>
      <c r="S463" s="16"/>
      <c r="T463" s="16"/>
      <c r="U463" s="16"/>
      <c r="V463" s="16"/>
    </row>
    <row r="464" spans="1:22" ht="15.75" customHeight="1" x14ac:dyDescent="0.25">
      <c r="A464" s="16"/>
      <c r="B464" s="16"/>
      <c r="C464" s="16"/>
      <c r="D464" s="16"/>
      <c r="E464" s="16"/>
      <c r="F464" s="16"/>
      <c r="G464" s="16"/>
      <c r="H464" s="16"/>
      <c r="I464" s="16"/>
      <c r="J464" s="16"/>
      <c r="K464" s="16"/>
      <c r="L464" s="16"/>
      <c r="M464" s="16"/>
      <c r="N464" s="16"/>
      <c r="O464" s="16"/>
      <c r="P464" s="16"/>
      <c r="Q464" s="16"/>
      <c r="R464" s="16"/>
      <c r="S464" s="16"/>
      <c r="T464" s="16"/>
      <c r="U464" s="16"/>
      <c r="V464" s="16"/>
    </row>
    <row r="465" spans="1:22" ht="15.75" customHeight="1" x14ac:dyDescent="0.25">
      <c r="A465" s="16"/>
      <c r="B465" s="16"/>
      <c r="C465" s="16"/>
      <c r="D465" s="16"/>
      <c r="E465" s="16"/>
      <c r="F465" s="16"/>
      <c r="G465" s="16"/>
      <c r="H465" s="16"/>
      <c r="I465" s="16"/>
      <c r="J465" s="16"/>
      <c r="K465" s="16"/>
      <c r="L465" s="16"/>
      <c r="M465" s="16"/>
      <c r="N465" s="16"/>
      <c r="O465" s="16"/>
      <c r="P465" s="16"/>
      <c r="Q465" s="16"/>
      <c r="R465" s="16"/>
      <c r="S465" s="16"/>
      <c r="T465" s="16"/>
      <c r="U465" s="16"/>
      <c r="V465" s="16"/>
    </row>
    <row r="466" spans="1:22" ht="15.75" customHeight="1" x14ac:dyDescent="0.25">
      <c r="A466" s="16"/>
      <c r="B466" s="16"/>
      <c r="C466" s="16"/>
      <c r="D466" s="16"/>
      <c r="E466" s="16"/>
      <c r="F466" s="16"/>
      <c r="G466" s="16"/>
      <c r="H466" s="16"/>
      <c r="I466" s="16"/>
      <c r="J466" s="16"/>
      <c r="K466" s="16"/>
      <c r="L466" s="16"/>
      <c r="M466" s="16"/>
      <c r="N466" s="16"/>
      <c r="O466" s="16"/>
      <c r="P466" s="16"/>
      <c r="Q466" s="16"/>
      <c r="R466" s="16"/>
      <c r="S466" s="16"/>
      <c r="T466" s="16"/>
      <c r="U466" s="16"/>
      <c r="V466" s="16"/>
    </row>
    <row r="467" spans="1:22" ht="15.75" customHeight="1" x14ac:dyDescent="0.25">
      <c r="A467" s="16"/>
      <c r="B467" s="16"/>
      <c r="C467" s="16"/>
      <c r="D467" s="16"/>
      <c r="E467" s="16"/>
      <c r="F467" s="16"/>
      <c r="G467" s="16"/>
      <c r="H467" s="16"/>
      <c r="I467" s="16"/>
      <c r="J467" s="16"/>
      <c r="K467" s="16"/>
      <c r="L467" s="16"/>
      <c r="M467" s="16"/>
      <c r="N467" s="16"/>
      <c r="O467" s="16"/>
      <c r="P467" s="16"/>
      <c r="Q467" s="16"/>
      <c r="R467" s="16"/>
      <c r="S467" s="16"/>
      <c r="T467" s="16"/>
      <c r="U467" s="16"/>
      <c r="V467" s="16"/>
    </row>
    <row r="468" spans="1:22" ht="15.75" customHeight="1" x14ac:dyDescent="0.25">
      <c r="A468" s="16"/>
      <c r="B468" s="16"/>
      <c r="C468" s="16"/>
      <c r="D468" s="16"/>
      <c r="E468" s="16"/>
      <c r="F468" s="16"/>
      <c r="G468" s="16"/>
      <c r="H468" s="16"/>
      <c r="I468" s="16"/>
      <c r="J468" s="16"/>
      <c r="K468" s="16"/>
      <c r="L468" s="16"/>
      <c r="M468" s="16"/>
      <c r="N468" s="16"/>
      <c r="O468" s="16"/>
      <c r="P468" s="16"/>
      <c r="Q468" s="16"/>
      <c r="R468" s="16"/>
      <c r="S468" s="16"/>
      <c r="T468" s="16"/>
      <c r="U468" s="16"/>
      <c r="V468" s="16"/>
    </row>
    <row r="469" spans="1:22" ht="15.75" customHeight="1" x14ac:dyDescent="0.25">
      <c r="A469" s="16"/>
      <c r="B469" s="16"/>
      <c r="C469" s="16"/>
      <c r="D469" s="16"/>
      <c r="E469" s="16"/>
      <c r="F469" s="16"/>
      <c r="G469" s="16"/>
      <c r="H469" s="16"/>
      <c r="I469" s="16"/>
      <c r="J469" s="16"/>
      <c r="K469" s="16"/>
      <c r="L469" s="16"/>
      <c r="M469" s="16"/>
      <c r="N469" s="16"/>
      <c r="O469" s="16"/>
      <c r="P469" s="16"/>
      <c r="Q469" s="16"/>
      <c r="R469" s="16"/>
      <c r="S469" s="16"/>
      <c r="T469" s="16"/>
      <c r="U469" s="16"/>
      <c r="V469" s="16"/>
    </row>
    <row r="470" spans="1:22" ht="15.75" customHeight="1" x14ac:dyDescent="0.25">
      <c r="A470" s="16"/>
      <c r="B470" s="16"/>
      <c r="C470" s="16"/>
      <c r="D470" s="16"/>
      <c r="E470" s="16"/>
      <c r="F470" s="16"/>
      <c r="G470" s="16"/>
      <c r="H470" s="16"/>
      <c r="I470" s="16"/>
      <c r="J470" s="16"/>
      <c r="K470" s="16"/>
      <c r="L470" s="16"/>
      <c r="M470" s="16"/>
      <c r="N470" s="16"/>
      <c r="O470" s="16"/>
      <c r="P470" s="16"/>
      <c r="Q470" s="16"/>
      <c r="R470" s="16"/>
      <c r="S470" s="16"/>
      <c r="T470" s="16"/>
      <c r="U470" s="16"/>
      <c r="V470" s="16"/>
    </row>
    <row r="471" spans="1:22" ht="15.75" customHeight="1" x14ac:dyDescent="0.25">
      <c r="A471" s="16"/>
      <c r="B471" s="16"/>
      <c r="C471" s="16"/>
      <c r="D471" s="16"/>
      <c r="E471" s="16"/>
      <c r="F471" s="16"/>
      <c r="G471" s="16"/>
      <c r="H471" s="16"/>
      <c r="I471" s="16"/>
      <c r="J471" s="16"/>
      <c r="K471" s="16"/>
      <c r="L471" s="16"/>
      <c r="M471" s="16"/>
      <c r="N471" s="16"/>
      <c r="O471" s="16"/>
      <c r="P471" s="16"/>
      <c r="Q471" s="16"/>
      <c r="R471" s="16"/>
      <c r="S471" s="16"/>
      <c r="T471" s="16"/>
      <c r="U471" s="16"/>
      <c r="V471" s="16"/>
    </row>
    <row r="472" spans="1:22" ht="15.75" customHeight="1" x14ac:dyDescent="0.25">
      <c r="A472" s="16"/>
      <c r="B472" s="16"/>
      <c r="C472" s="16"/>
      <c r="D472" s="16"/>
      <c r="E472" s="16"/>
      <c r="F472" s="16"/>
      <c r="G472" s="16"/>
      <c r="H472" s="16"/>
      <c r="I472" s="16"/>
      <c r="J472" s="16"/>
      <c r="K472" s="16"/>
      <c r="L472" s="16"/>
      <c r="M472" s="16"/>
      <c r="N472" s="16"/>
      <c r="O472" s="16"/>
      <c r="P472" s="16"/>
      <c r="Q472" s="16"/>
      <c r="R472" s="16"/>
      <c r="S472" s="16"/>
      <c r="T472" s="16"/>
      <c r="U472" s="16"/>
      <c r="V472" s="16"/>
    </row>
    <row r="473" spans="1:22" ht="15.75" customHeight="1" x14ac:dyDescent="0.25">
      <c r="A473" s="16"/>
      <c r="B473" s="16"/>
      <c r="C473" s="16"/>
      <c r="D473" s="16"/>
      <c r="E473" s="16"/>
      <c r="F473" s="16"/>
      <c r="G473" s="16"/>
      <c r="H473" s="16"/>
      <c r="I473" s="16"/>
      <c r="J473" s="16"/>
      <c r="K473" s="16"/>
      <c r="L473" s="16"/>
      <c r="M473" s="16"/>
      <c r="N473" s="16"/>
      <c r="O473" s="16"/>
      <c r="P473" s="16"/>
      <c r="Q473" s="16"/>
      <c r="R473" s="16"/>
      <c r="S473" s="16"/>
      <c r="T473" s="16"/>
      <c r="U473" s="16"/>
      <c r="V473" s="16"/>
    </row>
    <row r="474" spans="1:22" ht="15.75" customHeight="1" x14ac:dyDescent="0.25">
      <c r="A474" s="16"/>
      <c r="B474" s="16"/>
      <c r="C474" s="16"/>
      <c r="D474" s="16"/>
      <c r="E474" s="16"/>
      <c r="F474" s="16"/>
      <c r="G474" s="16"/>
      <c r="H474" s="16"/>
      <c r="I474" s="16"/>
      <c r="J474" s="16"/>
      <c r="K474" s="16"/>
      <c r="L474" s="16"/>
      <c r="M474" s="16"/>
      <c r="N474" s="16"/>
      <c r="O474" s="16"/>
      <c r="P474" s="16"/>
      <c r="Q474" s="16"/>
      <c r="R474" s="16"/>
      <c r="S474" s="16"/>
      <c r="T474" s="16"/>
      <c r="U474" s="16"/>
      <c r="V474" s="16"/>
    </row>
    <row r="475" spans="1:22" ht="15.75" customHeight="1" x14ac:dyDescent="0.25">
      <c r="A475" s="16"/>
      <c r="B475" s="16"/>
      <c r="C475" s="16"/>
      <c r="D475" s="16"/>
      <c r="E475" s="16"/>
      <c r="F475" s="16"/>
      <c r="G475" s="16"/>
      <c r="H475" s="16"/>
      <c r="I475" s="16"/>
      <c r="J475" s="16"/>
      <c r="K475" s="16"/>
      <c r="L475" s="16"/>
      <c r="M475" s="16"/>
      <c r="N475" s="16"/>
      <c r="O475" s="16"/>
      <c r="P475" s="16"/>
      <c r="Q475" s="16"/>
      <c r="R475" s="16"/>
      <c r="S475" s="16"/>
      <c r="T475" s="16"/>
      <c r="U475" s="16"/>
      <c r="V475" s="16"/>
    </row>
    <row r="476" spans="1:22" ht="15.75" customHeight="1" x14ac:dyDescent="0.25">
      <c r="A476" s="16"/>
      <c r="B476" s="16"/>
      <c r="C476" s="16"/>
      <c r="D476" s="16"/>
      <c r="E476" s="16"/>
      <c r="F476" s="16"/>
      <c r="G476" s="16"/>
      <c r="H476" s="16"/>
      <c r="I476" s="16"/>
      <c r="J476" s="16"/>
      <c r="K476" s="16"/>
      <c r="L476" s="16"/>
      <c r="M476" s="16"/>
      <c r="N476" s="16"/>
      <c r="O476" s="16"/>
      <c r="P476" s="16"/>
      <c r="Q476" s="16"/>
      <c r="R476" s="16"/>
      <c r="S476" s="16"/>
      <c r="T476" s="16"/>
      <c r="U476" s="16"/>
      <c r="V476" s="16"/>
    </row>
    <row r="477" spans="1:22" ht="15.75" customHeight="1" x14ac:dyDescent="0.25">
      <c r="A477" s="16"/>
      <c r="B477" s="16"/>
      <c r="C477" s="16"/>
      <c r="D477" s="16"/>
      <c r="E477" s="16"/>
      <c r="F477" s="16"/>
      <c r="G477" s="16"/>
      <c r="H477" s="16"/>
      <c r="I477" s="16"/>
      <c r="J477" s="16"/>
      <c r="K477" s="16"/>
      <c r="L477" s="16"/>
      <c r="M477" s="16"/>
      <c r="N477" s="16"/>
      <c r="O477" s="16"/>
      <c r="P477" s="16"/>
      <c r="Q477" s="16"/>
      <c r="R477" s="16"/>
      <c r="S477" s="16"/>
      <c r="T477" s="16"/>
      <c r="U477" s="16"/>
      <c r="V477" s="16"/>
    </row>
    <row r="478" spans="1:22" ht="15.75" customHeight="1" x14ac:dyDescent="0.25">
      <c r="A478" s="16"/>
      <c r="B478" s="16"/>
      <c r="C478" s="16"/>
      <c r="D478" s="16"/>
      <c r="E478" s="16"/>
      <c r="F478" s="16"/>
      <c r="G478" s="16"/>
      <c r="H478" s="16"/>
      <c r="I478" s="16"/>
      <c r="J478" s="16"/>
      <c r="K478" s="16"/>
      <c r="L478" s="16"/>
      <c r="M478" s="16"/>
      <c r="N478" s="16"/>
      <c r="O478" s="16"/>
      <c r="P478" s="16"/>
      <c r="Q478" s="16"/>
      <c r="R478" s="16"/>
      <c r="S478" s="16"/>
      <c r="T478" s="16"/>
      <c r="U478" s="16"/>
      <c r="V478" s="16"/>
    </row>
    <row r="479" spans="1:22" ht="15.75" customHeight="1" x14ac:dyDescent="0.25">
      <c r="A479" s="16"/>
      <c r="B479" s="16"/>
      <c r="C479" s="16"/>
      <c r="D479" s="16"/>
      <c r="E479" s="16"/>
      <c r="F479" s="16"/>
      <c r="G479" s="16"/>
      <c r="H479" s="16"/>
      <c r="I479" s="16"/>
      <c r="J479" s="16"/>
      <c r="K479" s="16"/>
      <c r="L479" s="16"/>
      <c r="M479" s="16"/>
      <c r="N479" s="16"/>
      <c r="O479" s="16"/>
      <c r="P479" s="16"/>
      <c r="Q479" s="16"/>
      <c r="R479" s="16"/>
      <c r="S479" s="16"/>
      <c r="T479" s="16"/>
      <c r="U479" s="16"/>
      <c r="V479" s="16"/>
    </row>
    <row r="480" spans="1:22" ht="15.75" customHeight="1" x14ac:dyDescent="0.25">
      <c r="A480" s="16"/>
      <c r="B480" s="16"/>
      <c r="C480" s="16"/>
      <c r="D480" s="16"/>
      <c r="E480" s="16"/>
      <c r="F480" s="16"/>
      <c r="G480" s="16"/>
      <c r="H480" s="16"/>
      <c r="I480" s="16"/>
      <c r="J480" s="16"/>
      <c r="K480" s="16"/>
      <c r="L480" s="16"/>
      <c r="M480" s="16"/>
      <c r="N480" s="16"/>
      <c r="O480" s="16"/>
      <c r="P480" s="16"/>
      <c r="Q480" s="16"/>
      <c r="R480" s="16"/>
      <c r="S480" s="16"/>
      <c r="T480" s="16"/>
      <c r="U480" s="16"/>
      <c r="V480" s="16"/>
    </row>
    <row r="481" spans="1:22" ht="15.75" customHeight="1" x14ac:dyDescent="0.25">
      <c r="A481" s="16"/>
      <c r="B481" s="16"/>
      <c r="C481" s="16"/>
      <c r="D481" s="16"/>
      <c r="E481" s="16"/>
      <c r="F481" s="16"/>
      <c r="G481" s="16"/>
      <c r="H481" s="16"/>
      <c r="I481" s="16"/>
      <c r="J481" s="16"/>
      <c r="K481" s="16"/>
      <c r="L481" s="16"/>
      <c r="M481" s="16"/>
      <c r="N481" s="16"/>
      <c r="O481" s="16"/>
      <c r="P481" s="16"/>
      <c r="Q481" s="16"/>
      <c r="R481" s="16"/>
      <c r="S481" s="16"/>
      <c r="T481" s="16"/>
      <c r="U481" s="16"/>
      <c r="V481" s="16"/>
    </row>
    <row r="482" spans="1:22" ht="15.75" customHeight="1" x14ac:dyDescent="0.25">
      <c r="A482" s="16"/>
      <c r="B482" s="16"/>
      <c r="C482" s="16"/>
      <c r="D482" s="16"/>
      <c r="E482" s="16"/>
      <c r="F482" s="16"/>
      <c r="G482" s="16"/>
      <c r="H482" s="16"/>
      <c r="I482" s="16"/>
      <c r="J482" s="16"/>
      <c r="K482" s="16"/>
      <c r="L482" s="16"/>
      <c r="M482" s="16"/>
      <c r="N482" s="16"/>
      <c r="O482" s="16"/>
      <c r="P482" s="16"/>
      <c r="Q482" s="16"/>
      <c r="R482" s="16"/>
      <c r="S482" s="16"/>
      <c r="T482" s="16"/>
      <c r="U482" s="16"/>
      <c r="V482" s="16"/>
    </row>
    <row r="483" spans="1:22" ht="15.75" customHeight="1" x14ac:dyDescent="0.25">
      <c r="A483" s="16"/>
      <c r="B483" s="16"/>
      <c r="C483" s="16"/>
      <c r="D483" s="16"/>
      <c r="E483" s="16"/>
      <c r="F483" s="16"/>
      <c r="G483" s="16"/>
      <c r="H483" s="16"/>
      <c r="I483" s="16"/>
      <c r="J483" s="16"/>
      <c r="K483" s="16"/>
      <c r="L483" s="16"/>
      <c r="M483" s="16"/>
      <c r="N483" s="16"/>
      <c r="O483" s="16"/>
      <c r="P483" s="16"/>
      <c r="Q483" s="16"/>
      <c r="R483" s="16"/>
      <c r="S483" s="16"/>
      <c r="T483" s="16"/>
      <c r="U483" s="16"/>
      <c r="V483" s="16"/>
    </row>
    <row r="484" spans="1:22" ht="15.75" customHeight="1" x14ac:dyDescent="0.25">
      <c r="A484" s="16"/>
      <c r="B484" s="16"/>
      <c r="C484" s="16"/>
      <c r="D484" s="16"/>
      <c r="E484" s="16"/>
      <c r="F484" s="16"/>
      <c r="G484" s="16"/>
      <c r="H484" s="16"/>
      <c r="I484" s="16"/>
      <c r="J484" s="16"/>
      <c r="K484" s="16"/>
      <c r="L484" s="16"/>
      <c r="M484" s="16"/>
      <c r="N484" s="16"/>
      <c r="O484" s="16"/>
      <c r="P484" s="16"/>
      <c r="Q484" s="16"/>
      <c r="R484" s="16"/>
      <c r="S484" s="16"/>
      <c r="T484" s="16"/>
      <c r="U484" s="16"/>
      <c r="V484" s="16"/>
    </row>
    <row r="485" spans="1:22" ht="15.75" customHeight="1" x14ac:dyDescent="0.25">
      <c r="A485" s="16"/>
      <c r="B485" s="16"/>
      <c r="C485" s="16"/>
      <c r="D485" s="16"/>
      <c r="E485" s="16"/>
      <c r="F485" s="16"/>
      <c r="G485" s="16"/>
      <c r="H485" s="16"/>
      <c r="I485" s="16"/>
      <c r="J485" s="16"/>
      <c r="K485" s="16"/>
      <c r="L485" s="16"/>
      <c r="M485" s="16"/>
      <c r="N485" s="16"/>
      <c r="O485" s="16"/>
      <c r="P485" s="16"/>
      <c r="Q485" s="16"/>
      <c r="R485" s="16"/>
      <c r="S485" s="16"/>
      <c r="T485" s="16"/>
      <c r="U485" s="16"/>
      <c r="V485" s="16"/>
    </row>
    <row r="486" spans="1:22" ht="15.75" customHeight="1" x14ac:dyDescent="0.25">
      <c r="A486" s="16"/>
      <c r="B486" s="16"/>
      <c r="C486" s="16"/>
      <c r="D486" s="16"/>
      <c r="E486" s="16"/>
      <c r="F486" s="16"/>
      <c r="G486" s="16"/>
      <c r="H486" s="16"/>
      <c r="I486" s="16"/>
      <c r="J486" s="16"/>
      <c r="K486" s="16"/>
      <c r="L486" s="16"/>
      <c r="M486" s="16"/>
      <c r="N486" s="16"/>
      <c r="O486" s="16"/>
      <c r="P486" s="16"/>
      <c r="Q486" s="16"/>
      <c r="R486" s="16"/>
      <c r="S486" s="16"/>
      <c r="T486" s="16"/>
      <c r="U486" s="16"/>
      <c r="V486" s="16"/>
    </row>
    <row r="487" spans="1:22" ht="15.75" customHeight="1" x14ac:dyDescent="0.25">
      <c r="A487" s="16"/>
      <c r="B487" s="16"/>
      <c r="C487" s="16"/>
      <c r="D487" s="16"/>
      <c r="E487" s="16"/>
      <c r="F487" s="16"/>
      <c r="G487" s="16"/>
      <c r="H487" s="16"/>
      <c r="I487" s="16"/>
      <c r="J487" s="16"/>
      <c r="K487" s="16"/>
      <c r="L487" s="16"/>
      <c r="M487" s="16"/>
      <c r="N487" s="16"/>
      <c r="O487" s="16"/>
      <c r="P487" s="16"/>
      <c r="Q487" s="16"/>
      <c r="R487" s="16"/>
      <c r="S487" s="16"/>
      <c r="T487" s="16"/>
      <c r="U487" s="16"/>
      <c r="V487" s="16"/>
    </row>
    <row r="488" spans="1:22" ht="15.75" customHeight="1" x14ac:dyDescent="0.25">
      <c r="A488" s="16"/>
      <c r="B488" s="16"/>
      <c r="C488" s="16"/>
      <c r="D488" s="16"/>
      <c r="E488" s="16"/>
      <c r="F488" s="16"/>
      <c r="G488" s="16"/>
      <c r="H488" s="16"/>
      <c r="I488" s="16"/>
      <c r="J488" s="16"/>
      <c r="K488" s="16"/>
      <c r="L488" s="16"/>
      <c r="M488" s="16"/>
      <c r="N488" s="16"/>
      <c r="O488" s="16"/>
      <c r="P488" s="16"/>
      <c r="Q488" s="16"/>
      <c r="R488" s="16"/>
      <c r="S488" s="16"/>
      <c r="T488" s="16"/>
      <c r="U488" s="16"/>
      <c r="V488" s="16"/>
    </row>
    <row r="489" spans="1:22" ht="15.75" customHeight="1" x14ac:dyDescent="0.25">
      <c r="A489" s="16"/>
      <c r="B489" s="16"/>
      <c r="C489" s="16"/>
      <c r="D489" s="16"/>
      <c r="E489" s="16"/>
      <c r="F489" s="16"/>
      <c r="G489" s="16"/>
      <c r="H489" s="16"/>
      <c r="I489" s="16"/>
      <c r="J489" s="16"/>
      <c r="K489" s="16"/>
      <c r="L489" s="16"/>
      <c r="M489" s="16"/>
      <c r="N489" s="16"/>
      <c r="O489" s="16"/>
      <c r="P489" s="16"/>
      <c r="Q489" s="16"/>
      <c r="R489" s="16"/>
      <c r="S489" s="16"/>
      <c r="T489" s="16"/>
      <c r="U489" s="16"/>
      <c r="V489" s="16"/>
    </row>
    <row r="490" spans="1:22" ht="15.75" customHeight="1" x14ac:dyDescent="0.25">
      <c r="A490" s="16"/>
      <c r="B490" s="16"/>
      <c r="C490" s="16"/>
      <c r="D490" s="16"/>
      <c r="E490" s="16"/>
      <c r="F490" s="16"/>
      <c r="G490" s="16"/>
      <c r="H490" s="16"/>
      <c r="I490" s="16"/>
      <c r="J490" s="16"/>
      <c r="K490" s="16"/>
      <c r="L490" s="16"/>
      <c r="M490" s="16"/>
      <c r="N490" s="16"/>
      <c r="O490" s="16"/>
      <c r="P490" s="16"/>
      <c r="Q490" s="16"/>
      <c r="R490" s="16"/>
      <c r="S490" s="16"/>
      <c r="T490" s="16"/>
      <c r="U490" s="16"/>
      <c r="V490" s="16"/>
    </row>
    <row r="491" spans="1:22" ht="15.75" customHeight="1" x14ac:dyDescent="0.25">
      <c r="A491" s="16"/>
      <c r="B491" s="16"/>
      <c r="C491" s="16"/>
      <c r="D491" s="16"/>
      <c r="E491" s="16"/>
      <c r="F491" s="16"/>
      <c r="G491" s="16"/>
      <c r="H491" s="16"/>
      <c r="I491" s="16"/>
      <c r="J491" s="16"/>
      <c r="K491" s="16"/>
      <c r="L491" s="16"/>
      <c r="M491" s="16"/>
      <c r="N491" s="16"/>
      <c r="O491" s="16"/>
      <c r="P491" s="16"/>
      <c r="Q491" s="16"/>
      <c r="R491" s="16"/>
      <c r="S491" s="16"/>
      <c r="T491" s="16"/>
      <c r="U491" s="16"/>
      <c r="V491" s="16"/>
    </row>
    <row r="492" spans="1:22" ht="15.75" customHeight="1" x14ac:dyDescent="0.25">
      <c r="A492" s="16"/>
      <c r="B492" s="16"/>
      <c r="C492" s="16"/>
      <c r="D492" s="16"/>
      <c r="E492" s="16"/>
      <c r="F492" s="16"/>
      <c r="G492" s="16"/>
      <c r="H492" s="16"/>
      <c r="I492" s="16"/>
      <c r="J492" s="16"/>
      <c r="K492" s="16"/>
      <c r="L492" s="16"/>
      <c r="M492" s="16"/>
      <c r="N492" s="16"/>
      <c r="O492" s="16"/>
      <c r="P492" s="16"/>
      <c r="Q492" s="16"/>
      <c r="R492" s="16"/>
      <c r="S492" s="16"/>
      <c r="T492" s="16"/>
      <c r="U492" s="16"/>
      <c r="V492" s="16"/>
    </row>
    <row r="493" spans="1:22" ht="15.75" customHeight="1" x14ac:dyDescent="0.25">
      <c r="A493" s="16"/>
      <c r="B493" s="16"/>
      <c r="C493" s="16"/>
      <c r="D493" s="16"/>
      <c r="E493" s="16"/>
      <c r="F493" s="16"/>
      <c r="G493" s="16"/>
      <c r="H493" s="16"/>
      <c r="I493" s="16"/>
      <c r="J493" s="16"/>
      <c r="K493" s="16"/>
      <c r="L493" s="16"/>
      <c r="M493" s="16"/>
      <c r="N493" s="16"/>
      <c r="O493" s="16"/>
      <c r="P493" s="16"/>
      <c r="Q493" s="16"/>
      <c r="R493" s="16"/>
      <c r="S493" s="16"/>
      <c r="T493" s="16"/>
      <c r="U493" s="16"/>
      <c r="V493" s="16"/>
    </row>
    <row r="494" spans="1:22" ht="15.75" customHeight="1" x14ac:dyDescent="0.25">
      <c r="A494" s="16"/>
      <c r="B494" s="16"/>
      <c r="C494" s="16"/>
      <c r="D494" s="16"/>
      <c r="E494" s="16"/>
      <c r="F494" s="16"/>
      <c r="G494" s="16"/>
      <c r="H494" s="16"/>
      <c r="I494" s="16"/>
      <c r="J494" s="16"/>
      <c r="K494" s="16"/>
      <c r="L494" s="16"/>
      <c r="M494" s="16"/>
      <c r="N494" s="16"/>
      <c r="O494" s="16"/>
      <c r="P494" s="16"/>
      <c r="Q494" s="16"/>
      <c r="R494" s="16"/>
      <c r="S494" s="16"/>
      <c r="T494" s="16"/>
      <c r="U494" s="16"/>
      <c r="V494" s="16"/>
    </row>
    <row r="495" spans="1:22" ht="15.75" customHeight="1" x14ac:dyDescent="0.25">
      <c r="A495" s="16"/>
      <c r="B495" s="16"/>
      <c r="C495" s="16"/>
      <c r="D495" s="16"/>
      <c r="E495" s="16"/>
      <c r="F495" s="16"/>
      <c r="G495" s="16"/>
      <c r="H495" s="16"/>
      <c r="I495" s="16"/>
      <c r="J495" s="16"/>
      <c r="K495" s="16"/>
      <c r="L495" s="16"/>
      <c r="M495" s="16"/>
      <c r="N495" s="16"/>
      <c r="O495" s="16"/>
      <c r="P495" s="16"/>
      <c r="Q495" s="16"/>
      <c r="R495" s="16"/>
      <c r="S495" s="16"/>
      <c r="T495" s="16"/>
      <c r="U495" s="16"/>
      <c r="V495" s="16"/>
    </row>
    <row r="496" spans="1:22" ht="15.75" customHeight="1" x14ac:dyDescent="0.25">
      <c r="A496" s="16"/>
      <c r="B496" s="16"/>
      <c r="C496" s="16"/>
      <c r="D496" s="16"/>
      <c r="E496" s="16"/>
      <c r="F496" s="16"/>
      <c r="G496" s="16"/>
      <c r="H496" s="16"/>
      <c r="I496" s="16"/>
      <c r="J496" s="16"/>
      <c r="K496" s="16"/>
      <c r="L496" s="16"/>
      <c r="M496" s="16"/>
      <c r="N496" s="16"/>
      <c r="O496" s="16"/>
      <c r="P496" s="16"/>
      <c r="Q496" s="16"/>
      <c r="R496" s="16"/>
      <c r="S496" s="16"/>
      <c r="T496" s="16"/>
      <c r="U496" s="16"/>
      <c r="V496" s="16"/>
    </row>
    <row r="497" spans="1:22" ht="15.75" customHeight="1" x14ac:dyDescent="0.25">
      <c r="A497" s="16"/>
      <c r="B497" s="16"/>
      <c r="C497" s="16"/>
      <c r="D497" s="16"/>
      <c r="E497" s="16"/>
      <c r="F497" s="16"/>
      <c r="G497" s="16"/>
      <c r="H497" s="16"/>
      <c r="I497" s="16"/>
      <c r="J497" s="16"/>
      <c r="K497" s="16"/>
      <c r="L497" s="16"/>
      <c r="M497" s="16"/>
      <c r="N497" s="16"/>
      <c r="O497" s="16"/>
      <c r="P497" s="16"/>
      <c r="Q497" s="16"/>
      <c r="R497" s="16"/>
      <c r="S497" s="16"/>
      <c r="T497" s="16"/>
      <c r="U497" s="16"/>
      <c r="V497" s="16"/>
    </row>
    <row r="498" spans="1:22" ht="15.75" customHeight="1" x14ac:dyDescent="0.25">
      <c r="A498" s="16"/>
      <c r="B498" s="16"/>
      <c r="C498" s="16"/>
      <c r="D498" s="16"/>
      <c r="E498" s="16"/>
      <c r="F498" s="16"/>
      <c r="G498" s="16"/>
      <c r="H498" s="16"/>
      <c r="I498" s="16"/>
      <c r="J498" s="16"/>
      <c r="K498" s="16"/>
      <c r="L498" s="16"/>
      <c r="M498" s="16"/>
      <c r="N498" s="16"/>
      <c r="O498" s="16"/>
      <c r="P498" s="16"/>
      <c r="Q498" s="16"/>
      <c r="R498" s="16"/>
      <c r="S498" s="16"/>
      <c r="T498" s="16"/>
      <c r="U498" s="16"/>
      <c r="V498" s="16"/>
    </row>
    <row r="499" spans="1:22" ht="15.75" customHeight="1" x14ac:dyDescent="0.25">
      <c r="A499" s="16"/>
      <c r="B499" s="16"/>
      <c r="C499" s="16"/>
      <c r="D499" s="16"/>
      <c r="E499" s="16"/>
      <c r="F499" s="16"/>
      <c r="G499" s="16"/>
      <c r="H499" s="16"/>
      <c r="I499" s="16"/>
      <c r="J499" s="16"/>
      <c r="K499" s="16"/>
      <c r="L499" s="16"/>
      <c r="M499" s="16"/>
      <c r="N499" s="16"/>
      <c r="O499" s="16"/>
      <c r="P499" s="16"/>
      <c r="Q499" s="16"/>
      <c r="R499" s="16"/>
      <c r="S499" s="16"/>
      <c r="T499" s="16"/>
      <c r="U499" s="16"/>
      <c r="V499" s="16"/>
    </row>
    <row r="500" spans="1:22" ht="15.75" customHeight="1" x14ac:dyDescent="0.25">
      <c r="A500" s="16"/>
      <c r="B500" s="16"/>
      <c r="C500" s="16"/>
      <c r="D500" s="16"/>
      <c r="E500" s="16"/>
      <c r="F500" s="16"/>
      <c r="G500" s="16"/>
      <c r="H500" s="16"/>
      <c r="I500" s="16"/>
      <c r="J500" s="16"/>
      <c r="K500" s="16"/>
      <c r="L500" s="16"/>
      <c r="M500" s="16"/>
      <c r="N500" s="16"/>
      <c r="O500" s="16"/>
      <c r="P500" s="16"/>
      <c r="Q500" s="16"/>
      <c r="R500" s="16"/>
      <c r="S500" s="16"/>
      <c r="T500" s="16"/>
      <c r="U500" s="16"/>
      <c r="V500" s="16"/>
    </row>
    <row r="501" spans="1:22" ht="15.75" customHeight="1" x14ac:dyDescent="0.25">
      <c r="A501" s="16"/>
      <c r="B501" s="16"/>
      <c r="C501" s="16"/>
      <c r="D501" s="16"/>
      <c r="E501" s="16"/>
      <c r="F501" s="16"/>
      <c r="G501" s="16"/>
      <c r="H501" s="16"/>
      <c r="I501" s="16"/>
      <c r="J501" s="16"/>
      <c r="K501" s="16"/>
      <c r="L501" s="16"/>
      <c r="M501" s="16"/>
      <c r="N501" s="16"/>
      <c r="O501" s="16"/>
      <c r="P501" s="16"/>
      <c r="Q501" s="16"/>
      <c r="R501" s="16"/>
      <c r="S501" s="16"/>
      <c r="T501" s="16"/>
      <c r="U501" s="16"/>
      <c r="V501" s="16"/>
    </row>
    <row r="502" spans="1:22" ht="15.75" customHeight="1" x14ac:dyDescent="0.25">
      <c r="A502" s="16"/>
      <c r="B502" s="16"/>
      <c r="C502" s="16"/>
      <c r="D502" s="16"/>
      <c r="E502" s="16"/>
      <c r="F502" s="16"/>
      <c r="G502" s="16"/>
      <c r="H502" s="16"/>
      <c r="I502" s="16"/>
      <c r="J502" s="16"/>
      <c r="K502" s="16"/>
      <c r="L502" s="16"/>
      <c r="M502" s="16"/>
      <c r="N502" s="16"/>
      <c r="O502" s="16"/>
      <c r="P502" s="16"/>
      <c r="Q502" s="16"/>
      <c r="R502" s="16"/>
      <c r="S502" s="16"/>
      <c r="T502" s="16"/>
      <c r="U502" s="16"/>
      <c r="V502" s="16"/>
    </row>
    <row r="503" spans="1:22" ht="15.75" customHeight="1" x14ac:dyDescent="0.25">
      <c r="A503" s="16"/>
      <c r="B503" s="16"/>
      <c r="C503" s="16"/>
      <c r="D503" s="16"/>
      <c r="E503" s="16"/>
      <c r="F503" s="16"/>
      <c r="G503" s="16"/>
      <c r="H503" s="16"/>
      <c r="I503" s="16"/>
      <c r="J503" s="16"/>
      <c r="K503" s="16"/>
      <c r="L503" s="16"/>
      <c r="M503" s="16"/>
      <c r="N503" s="16"/>
      <c r="O503" s="16"/>
      <c r="P503" s="16"/>
      <c r="Q503" s="16"/>
      <c r="R503" s="16"/>
      <c r="S503" s="16"/>
      <c r="T503" s="16"/>
      <c r="U503" s="16"/>
      <c r="V503" s="16"/>
    </row>
    <row r="504" spans="1:22" ht="15.75" customHeight="1" x14ac:dyDescent="0.25">
      <c r="A504" s="16"/>
      <c r="B504" s="16"/>
      <c r="C504" s="16"/>
      <c r="D504" s="16"/>
      <c r="E504" s="16"/>
      <c r="F504" s="16"/>
      <c r="G504" s="16"/>
      <c r="H504" s="16"/>
      <c r="I504" s="16"/>
      <c r="J504" s="16"/>
      <c r="K504" s="16"/>
      <c r="L504" s="16"/>
      <c r="M504" s="16"/>
      <c r="N504" s="16"/>
      <c r="O504" s="16"/>
      <c r="P504" s="16"/>
      <c r="Q504" s="16"/>
      <c r="R504" s="16"/>
      <c r="S504" s="16"/>
      <c r="T504" s="16"/>
      <c r="U504" s="16"/>
      <c r="V504" s="16"/>
    </row>
    <row r="505" spans="1:22" ht="15.75" customHeight="1" x14ac:dyDescent="0.25">
      <c r="A505" s="16"/>
      <c r="B505" s="16"/>
      <c r="C505" s="16"/>
      <c r="D505" s="16"/>
      <c r="E505" s="16"/>
      <c r="F505" s="16"/>
      <c r="G505" s="16"/>
      <c r="H505" s="16"/>
      <c r="I505" s="16"/>
      <c r="J505" s="16"/>
      <c r="K505" s="16"/>
      <c r="L505" s="16"/>
      <c r="M505" s="16"/>
      <c r="N505" s="16"/>
      <c r="O505" s="16"/>
      <c r="P505" s="16"/>
      <c r="Q505" s="16"/>
      <c r="R505" s="16"/>
      <c r="S505" s="16"/>
      <c r="T505" s="16"/>
      <c r="U505" s="16"/>
      <c r="V505" s="16"/>
    </row>
    <row r="506" spans="1:22" ht="15.75" customHeight="1" x14ac:dyDescent="0.25">
      <c r="A506" s="16"/>
      <c r="B506" s="16"/>
      <c r="C506" s="16"/>
      <c r="D506" s="16"/>
      <c r="E506" s="16"/>
      <c r="F506" s="16"/>
      <c r="G506" s="16"/>
      <c r="H506" s="16"/>
      <c r="I506" s="16"/>
      <c r="J506" s="16"/>
      <c r="K506" s="16"/>
      <c r="L506" s="16"/>
      <c r="M506" s="16"/>
      <c r="N506" s="16"/>
      <c r="O506" s="16"/>
      <c r="P506" s="16"/>
      <c r="Q506" s="16"/>
      <c r="R506" s="16"/>
      <c r="S506" s="16"/>
      <c r="T506" s="16"/>
      <c r="U506" s="16"/>
      <c r="V506" s="16"/>
    </row>
    <row r="507" spans="1:22" ht="15.75" customHeight="1" x14ac:dyDescent="0.25">
      <c r="A507" s="16"/>
      <c r="B507" s="16"/>
      <c r="C507" s="16"/>
      <c r="D507" s="16"/>
      <c r="E507" s="16"/>
      <c r="F507" s="16"/>
      <c r="G507" s="16"/>
      <c r="H507" s="16"/>
      <c r="I507" s="16"/>
      <c r="J507" s="16"/>
      <c r="K507" s="16"/>
      <c r="L507" s="16"/>
      <c r="M507" s="16"/>
      <c r="N507" s="16"/>
      <c r="O507" s="16"/>
      <c r="P507" s="16"/>
      <c r="Q507" s="16"/>
      <c r="R507" s="16"/>
      <c r="S507" s="16"/>
      <c r="T507" s="16"/>
      <c r="U507" s="16"/>
      <c r="V507" s="16"/>
    </row>
    <row r="508" spans="1:22" ht="15.75" customHeight="1" x14ac:dyDescent="0.25">
      <c r="A508" s="16"/>
      <c r="B508" s="16"/>
      <c r="C508" s="16"/>
      <c r="D508" s="16"/>
      <c r="E508" s="16"/>
      <c r="F508" s="16"/>
      <c r="G508" s="16"/>
      <c r="H508" s="16"/>
      <c r="I508" s="16"/>
      <c r="J508" s="16"/>
      <c r="K508" s="16"/>
      <c r="L508" s="16"/>
      <c r="M508" s="16"/>
      <c r="N508" s="16"/>
      <c r="O508" s="16"/>
      <c r="P508" s="16"/>
      <c r="Q508" s="16"/>
      <c r="R508" s="16"/>
      <c r="S508" s="16"/>
      <c r="T508" s="16"/>
      <c r="U508" s="16"/>
      <c r="V508" s="16"/>
    </row>
    <row r="509" spans="1:22" ht="15.75" customHeight="1" x14ac:dyDescent="0.25">
      <c r="A509" s="16"/>
      <c r="B509" s="16"/>
      <c r="C509" s="16"/>
      <c r="D509" s="16"/>
      <c r="E509" s="16"/>
      <c r="F509" s="16"/>
      <c r="G509" s="16"/>
      <c r="H509" s="16"/>
      <c r="I509" s="16"/>
      <c r="J509" s="16"/>
      <c r="K509" s="16"/>
      <c r="L509" s="16"/>
      <c r="M509" s="16"/>
      <c r="N509" s="16"/>
      <c r="O509" s="16"/>
      <c r="P509" s="16"/>
      <c r="Q509" s="16"/>
      <c r="R509" s="16"/>
      <c r="S509" s="16"/>
      <c r="T509" s="16"/>
      <c r="U509" s="16"/>
      <c r="V509" s="16"/>
    </row>
    <row r="510" spans="1:22" ht="15.75" customHeight="1" x14ac:dyDescent="0.25">
      <c r="A510" s="16"/>
      <c r="B510" s="16"/>
      <c r="C510" s="16"/>
      <c r="D510" s="16"/>
      <c r="E510" s="16"/>
      <c r="F510" s="16"/>
      <c r="G510" s="16"/>
      <c r="H510" s="16"/>
      <c r="I510" s="16"/>
      <c r="J510" s="16"/>
      <c r="K510" s="16"/>
      <c r="L510" s="16"/>
      <c r="M510" s="16"/>
      <c r="N510" s="16"/>
      <c r="O510" s="16"/>
      <c r="P510" s="16"/>
      <c r="Q510" s="16"/>
      <c r="R510" s="16"/>
      <c r="S510" s="16"/>
      <c r="T510" s="16"/>
      <c r="U510" s="16"/>
      <c r="V510" s="16"/>
    </row>
    <row r="511" spans="1:22" ht="15.75" customHeight="1" x14ac:dyDescent="0.25">
      <c r="A511" s="16"/>
      <c r="B511" s="16"/>
      <c r="C511" s="16"/>
      <c r="D511" s="16"/>
      <c r="E511" s="16"/>
      <c r="F511" s="16"/>
      <c r="G511" s="16"/>
      <c r="H511" s="16"/>
      <c r="I511" s="16"/>
      <c r="J511" s="16"/>
      <c r="K511" s="16"/>
      <c r="L511" s="16"/>
      <c r="M511" s="16"/>
      <c r="N511" s="16"/>
      <c r="O511" s="16"/>
      <c r="P511" s="16"/>
      <c r="Q511" s="16"/>
      <c r="R511" s="16"/>
      <c r="S511" s="16"/>
      <c r="T511" s="16"/>
      <c r="U511" s="16"/>
      <c r="V511" s="16"/>
    </row>
    <row r="512" spans="1:22" ht="15.75" customHeight="1" x14ac:dyDescent="0.25">
      <c r="A512" s="16"/>
      <c r="B512" s="16"/>
      <c r="C512" s="16"/>
      <c r="D512" s="16"/>
      <c r="E512" s="16"/>
      <c r="F512" s="16"/>
      <c r="G512" s="16"/>
      <c r="H512" s="16"/>
      <c r="I512" s="16"/>
      <c r="J512" s="16"/>
      <c r="K512" s="16"/>
      <c r="L512" s="16"/>
      <c r="M512" s="16"/>
      <c r="N512" s="16"/>
      <c r="O512" s="16"/>
      <c r="P512" s="16"/>
      <c r="Q512" s="16"/>
      <c r="R512" s="16"/>
      <c r="S512" s="16"/>
      <c r="T512" s="16"/>
      <c r="U512" s="16"/>
      <c r="V512" s="16"/>
    </row>
    <row r="513" spans="1:22" ht="15.75" customHeight="1" x14ac:dyDescent="0.25">
      <c r="A513" s="16"/>
      <c r="B513" s="16"/>
      <c r="C513" s="16"/>
      <c r="D513" s="16"/>
      <c r="E513" s="16"/>
      <c r="F513" s="16"/>
      <c r="G513" s="16"/>
      <c r="H513" s="16"/>
      <c r="I513" s="16"/>
      <c r="J513" s="16"/>
      <c r="K513" s="16"/>
      <c r="L513" s="16"/>
      <c r="M513" s="16"/>
      <c r="N513" s="16"/>
      <c r="O513" s="16"/>
      <c r="P513" s="16"/>
      <c r="Q513" s="16"/>
      <c r="R513" s="16"/>
      <c r="S513" s="16"/>
      <c r="T513" s="16"/>
      <c r="U513" s="16"/>
      <c r="V513" s="16"/>
    </row>
    <row r="514" spans="1:22" ht="15.75" customHeight="1" x14ac:dyDescent="0.25">
      <c r="A514" s="16"/>
      <c r="B514" s="16"/>
      <c r="C514" s="16"/>
      <c r="D514" s="16"/>
      <c r="E514" s="16"/>
      <c r="F514" s="16"/>
      <c r="G514" s="16"/>
      <c r="H514" s="16"/>
      <c r="I514" s="16"/>
      <c r="J514" s="16"/>
      <c r="K514" s="16"/>
      <c r="L514" s="16"/>
      <c r="M514" s="16"/>
      <c r="N514" s="16"/>
      <c r="O514" s="16"/>
      <c r="P514" s="16"/>
      <c r="Q514" s="16"/>
      <c r="R514" s="16"/>
      <c r="S514" s="16"/>
      <c r="T514" s="16"/>
      <c r="U514" s="16"/>
      <c r="V514" s="16"/>
    </row>
    <row r="515" spans="1:22" ht="15.75" customHeight="1" x14ac:dyDescent="0.25">
      <c r="A515" s="16"/>
      <c r="B515" s="16"/>
      <c r="C515" s="16"/>
      <c r="D515" s="16"/>
      <c r="E515" s="16"/>
      <c r="F515" s="16"/>
      <c r="G515" s="16"/>
      <c r="H515" s="16"/>
      <c r="I515" s="16"/>
      <c r="J515" s="16"/>
      <c r="K515" s="16"/>
      <c r="L515" s="16"/>
      <c r="M515" s="16"/>
      <c r="N515" s="16"/>
      <c r="O515" s="16"/>
      <c r="P515" s="16"/>
      <c r="Q515" s="16"/>
      <c r="R515" s="16"/>
      <c r="S515" s="16"/>
      <c r="T515" s="16"/>
      <c r="U515" s="16"/>
      <c r="V515" s="16"/>
    </row>
    <row r="516" spans="1:22" ht="15.75" customHeight="1" x14ac:dyDescent="0.25">
      <c r="A516" s="16"/>
      <c r="B516" s="16"/>
      <c r="C516" s="16"/>
      <c r="D516" s="16"/>
      <c r="E516" s="16"/>
      <c r="F516" s="16"/>
      <c r="G516" s="16"/>
      <c r="H516" s="16"/>
      <c r="I516" s="16"/>
      <c r="J516" s="16"/>
      <c r="K516" s="16"/>
      <c r="L516" s="16"/>
      <c r="M516" s="16"/>
      <c r="N516" s="16"/>
      <c r="O516" s="16"/>
      <c r="P516" s="16"/>
      <c r="Q516" s="16"/>
      <c r="R516" s="16"/>
      <c r="S516" s="16"/>
      <c r="T516" s="16"/>
      <c r="U516" s="16"/>
      <c r="V516" s="16"/>
    </row>
    <row r="517" spans="1:22" ht="15.75" customHeight="1" x14ac:dyDescent="0.25">
      <c r="A517" s="16"/>
      <c r="B517" s="16"/>
      <c r="C517" s="16"/>
      <c r="D517" s="16"/>
      <c r="E517" s="16"/>
      <c r="F517" s="16"/>
      <c r="G517" s="16"/>
      <c r="H517" s="16"/>
      <c r="I517" s="16"/>
      <c r="J517" s="16"/>
      <c r="K517" s="16"/>
      <c r="L517" s="16"/>
      <c r="M517" s="16"/>
      <c r="N517" s="16"/>
      <c r="O517" s="16"/>
      <c r="P517" s="16"/>
      <c r="Q517" s="16"/>
      <c r="R517" s="16"/>
      <c r="S517" s="16"/>
      <c r="T517" s="16"/>
      <c r="U517" s="16"/>
      <c r="V517" s="16"/>
    </row>
    <row r="518" spans="1:22" ht="15.75" customHeight="1" x14ac:dyDescent="0.25">
      <c r="A518" s="16"/>
      <c r="B518" s="16"/>
      <c r="C518" s="16"/>
      <c r="D518" s="16"/>
      <c r="E518" s="16"/>
      <c r="F518" s="16"/>
      <c r="G518" s="16"/>
      <c r="H518" s="16"/>
      <c r="I518" s="16"/>
      <c r="J518" s="16"/>
      <c r="K518" s="16"/>
      <c r="L518" s="16"/>
      <c r="M518" s="16"/>
      <c r="N518" s="16"/>
      <c r="O518" s="16"/>
      <c r="P518" s="16"/>
      <c r="Q518" s="16"/>
      <c r="R518" s="16"/>
      <c r="S518" s="16"/>
      <c r="T518" s="16"/>
      <c r="U518" s="16"/>
      <c r="V518" s="16"/>
    </row>
    <row r="519" spans="1:22" ht="15.75" customHeight="1" x14ac:dyDescent="0.25">
      <c r="A519" s="16"/>
      <c r="B519" s="16"/>
      <c r="C519" s="16"/>
      <c r="D519" s="16"/>
      <c r="E519" s="16"/>
      <c r="F519" s="16"/>
      <c r="G519" s="16"/>
      <c r="H519" s="16"/>
      <c r="I519" s="16"/>
      <c r="J519" s="16"/>
      <c r="K519" s="16"/>
      <c r="L519" s="16"/>
      <c r="M519" s="16"/>
      <c r="N519" s="16"/>
      <c r="O519" s="16"/>
      <c r="P519" s="16"/>
      <c r="Q519" s="16"/>
      <c r="R519" s="16"/>
      <c r="S519" s="16"/>
      <c r="T519" s="16"/>
      <c r="U519" s="16"/>
      <c r="V519" s="16"/>
    </row>
    <row r="520" spans="1:22" ht="15.75" customHeight="1" x14ac:dyDescent="0.25">
      <c r="A520" s="16"/>
      <c r="B520" s="16"/>
      <c r="C520" s="16"/>
      <c r="D520" s="16"/>
      <c r="E520" s="16"/>
      <c r="F520" s="16"/>
      <c r="G520" s="16"/>
      <c r="H520" s="16"/>
      <c r="I520" s="16"/>
      <c r="J520" s="16"/>
      <c r="K520" s="16"/>
      <c r="L520" s="16"/>
      <c r="M520" s="16"/>
      <c r="N520" s="16"/>
      <c r="O520" s="16"/>
      <c r="P520" s="16"/>
      <c r="Q520" s="16"/>
      <c r="R520" s="16"/>
      <c r="S520" s="16"/>
      <c r="T520" s="16"/>
      <c r="U520" s="16"/>
      <c r="V520" s="16"/>
    </row>
    <row r="521" spans="1:22" ht="15.75" customHeight="1" x14ac:dyDescent="0.25">
      <c r="A521" s="16"/>
      <c r="B521" s="16"/>
      <c r="C521" s="16"/>
      <c r="D521" s="16"/>
      <c r="E521" s="16"/>
      <c r="F521" s="16"/>
      <c r="G521" s="16"/>
      <c r="H521" s="16"/>
      <c r="I521" s="16"/>
      <c r="J521" s="16"/>
      <c r="K521" s="16"/>
      <c r="L521" s="16"/>
      <c r="M521" s="16"/>
      <c r="N521" s="16"/>
      <c r="O521" s="16"/>
      <c r="P521" s="16"/>
      <c r="Q521" s="16"/>
      <c r="R521" s="16"/>
      <c r="S521" s="16"/>
      <c r="T521" s="16"/>
      <c r="U521" s="16"/>
      <c r="V521" s="16"/>
    </row>
    <row r="522" spans="1:22" ht="15.75" customHeight="1" x14ac:dyDescent="0.25">
      <c r="A522" s="16"/>
      <c r="B522" s="16"/>
      <c r="C522" s="16"/>
      <c r="D522" s="16"/>
      <c r="E522" s="16"/>
      <c r="F522" s="16"/>
      <c r="G522" s="16"/>
      <c r="H522" s="16"/>
      <c r="I522" s="16"/>
      <c r="J522" s="16"/>
      <c r="K522" s="16"/>
      <c r="L522" s="16"/>
      <c r="M522" s="16"/>
      <c r="N522" s="16"/>
      <c r="O522" s="16"/>
      <c r="P522" s="16"/>
      <c r="Q522" s="16"/>
      <c r="R522" s="16"/>
      <c r="S522" s="16"/>
      <c r="T522" s="16"/>
      <c r="U522" s="16"/>
      <c r="V522" s="16"/>
    </row>
    <row r="523" spans="1:22" ht="15.75" customHeight="1" x14ac:dyDescent="0.25">
      <c r="A523" s="16"/>
      <c r="B523" s="16"/>
      <c r="C523" s="16"/>
      <c r="D523" s="16"/>
      <c r="E523" s="16"/>
      <c r="F523" s="16"/>
      <c r="G523" s="16"/>
      <c r="H523" s="16"/>
      <c r="I523" s="16"/>
      <c r="J523" s="16"/>
      <c r="K523" s="16"/>
      <c r="L523" s="16"/>
      <c r="M523" s="16"/>
      <c r="N523" s="16"/>
      <c r="O523" s="16"/>
      <c r="P523" s="16"/>
      <c r="Q523" s="16"/>
      <c r="R523" s="16"/>
      <c r="S523" s="16"/>
      <c r="T523" s="16"/>
      <c r="U523" s="16"/>
      <c r="V523" s="16"/>
    </row>
    <row r="524" spans="1:22" ht="15.75" customHeight="1" x14ac:dyDescent="0.25">
      <c r="A524" s="16"/>
      <c r="B524" s="16"/>
      <c r="C524" s="16"/>
      <c r="D524" s="16"/>
      <c r="E524" s="16"/>
      <c r="F524" s="16"/>
      <c r="G524" s="16"/>
      <c r="H524" s="16"/>
      <c r="I524" s="16"/>
      <c r="J524" s="16"/>
      <c r="K524" s="16"/>
      <c r="L524" s="16"/>
      <c r="M524" s="16"/>
      <c r="N524" s="16"/>
      <c r="O524" s="16"/>
      <c r="P524" s="16"/>
      <c r="Q524" s="16"/>
      <c r="R524" s="16"/>
      <c r="S524" s="16"/>
      <c r="T524" s="16"/>
      <c r="U524" s="16"/>
      <c r="V524" s="16"/>
    </row>
    <row r="525" spans="1:22" ht="15.75" customHeight="1" x14ac:dyDescent="0.25">
      <c r="A525" s="16"/>
      <c r="B525" s="16"/>
      <c r="C525" s="16"/>
      <c r="D525" s="16"/>
      <c r="E525" s="16"/>
      <c r="F525" s="16"/>
      <c r="G525" s="16"/>
      <c r="H525" s="16"/>
      <c r="I525" s="16"/>
      <c r="J525" s="16"/>
      <c r="K525" s="16"/>
      <c r="L525" s="16"/>
      <c r="M525" s="16"/>
      <c r="N525" s="16"/>
      <c r="O525" s="16"/>
      <c r="P525" s="16"/>
      <c r="Q525" s="16"/>
      <c r="R525" s="16"/>
      <c r="S525" s="16"/>
      <c r="T525" s="16"/>
      <c r="U525" s="16"/>
      <c r="V525" s="16"/>
    </row>
    <row r="526" spans="1:22" ht="15.75" customHeight="1" x14ac:dyDescent="0.25">
      <c r="A526" s="16"/>
      <c r="B526" s="16"/>
      <c r="C526" s="16"/>
      <c r="D526" s="16"/>
      <c r="E526" s="16"/>
      <c r="F526" s="16"/>
      <c r="G526" s="16"/>
      <c r="H526" s="16"/>
      <c r="I526" s="16"/>
      <c r="J526" s="16"/>
      <c r="K526" s="16"/>
      <c r="L526" s="16"/>
      <c r="M526" s="16"/>
      <c r="N526" s="16"/>
      <c r="O526" s="16"/>
      <c r="P526" s="16"/>
      <c r="Q526" s="16"/>
      <c r="R526" s="16"/>
      <c r="S526" s="16"/>
      <c r="T526" s="16"/>
      <c r="U526" s="16"/>
      <c r="V526" s="16"/>
    </row>
    <row r="527" spans="1:22" ht="15.75" customHeight="1" x14ac:dyDescent="0.25">
      <c r="A527" s="16"/>
      <c r="B527" s="16"/>
      <c r="C527" s="16"/>
      <c r="D527" s="16"/>
      <c r="E527" s="16"/>
      <c r="F527" s="16"/>
      <c r="G527" s="16"/>
      <c r="H527" s="16"/>
      <c r="I527" s="16"/>
      <c r="J527" s="16"/>
      <c r="K527" s="16"/>
      <c r="L527" s="16"/>
      <c r="M527" s="16"/>
      <c r="N527" s="16"/>
      <c r="O527" s="16"/>
      <c r="P527" s="16"/>
      <c r="Q527" s="16"/>
      <c r="R527" s="16"/>
      <c r="S527" s="16"/>
      <c r="T527" s="16"/>
      <c r="U527" s="16"/>
      <c r="V527" s="16"/>
    </row>
    <row r="528" spans="1:22" ht="15.75" customHeight="1" x14ac:dyDescent="0.25">
      <c r="A528" s="16"/>
      <c r="B528" s="16"/>
      <c r="C528" s="16"/>
      <c r="D528" s="16"/>
      <c r="E528" s="16"/>
      <c r="F528" s="16"/>
      <c r="G528" s="16"/>
      <c r="H528" s="16"/>
      <c r="I528" s="16"/>
      <c r="J528" s="16"/>
      <c r="K528" s="16"/>
      <c r="L528" s="16"/>
      <c r="M528" s="16"/>
      <c r="N528" s="16"/>
      <c r="O528" s="16"/>
      <c r="P528" s="16"/>
      <c r="Q528" s="16"/>
      <c r="R528" s="16"/>
      <c r="S528" s="16"/>
      <c r="T528" s="16"/>
      <c r="U528" s="16"/>
      <c r="V528" s="16"/>
    </row>
    <row r="529" spans="1:22" ht="15.75" customHeight="1" x14ac:dyDescent="0.25">
      <c r="A529" s="16"/>
      <c r="B529" s="16"/>
      <c r="C529" s="16"/>
      <c r="D529" s="16"/>
      <c r="E529" s="16"/>
      <c r="F529" s="16"/>
      <c r="G529" s="16"/>
      <c r="H529" s="16"/>
      <c r="I529" s="16"/>
      <c r="J529" s="16"/>
      <c r="K529" s="16"/>
      <c r="L529" s="16"/>
      <c r="M529" s="16"/>
      <c r="N529" s="16"/>
      <c r="O529" s="16"/>
      <c r="P529" s="16"/>
      <c r="Q529" s="16"/>
      <c r="R529" s="16"/>
      <c r="S529" s="16"/>
      <c r="T529" s="16"/>
      <c r="U529" s="16"/>
      <c r="V529" s="16"/>
    </row>
    <row r="530" spans="1:22" ht="15.75" customHeight="1" x14ac:dyDescent="0.25">
      <c r="A530" s="16"/>
      <c r="B530" s="16"/>
      <c r="C530" s="16"/>
      <c r="D530" s="16"/>
      <c r="E530" s="16"/>
      <c r="F530" s="16"/>
      <c r="G530" s="16"/>
      <c r="H530" s="16"/>
      <c r="I530" s="16"/>
      <c r="J530" s="16"/>
      <c r="K530" s="16"/>
      <c r="L530" s="16"/>
      <c r="M530" s="16"/>
      <c r="N530" s="16"/>
      <c r="O530" s="16"/>
      <c r="P530" s="16"/>
      <c r="Q530" s="16"/>
      <c r="R530" s="16"/>
      <c r="S530" s="16"/>
      <c r="T530" s="16"/>
      <c r="U530" s="16"/>
      <c r="V530" s="16"/>
    </row>
    <row r="531" spans="1:22" ht="15.75" customHeight="1" x14ac:dyDescent="0.25">
      <c r="A531" s="16"/>
      <c r="B531" s="16"/>
      <c r="C531" s="16"/>
      <c r="D531" s="16"/>
      <c r="E531" s="16"/>
      <c r="F531" s="16"/>
      <c r="G531" s="16"/>
      <c r="H531" s="16"/>
      <c r="I531" s="16"/>
      <c r="J531" s="16"/>
      <c r="K531" s="16"/>
      <c r="L531" s="16"/>
      <c r="M531" s="16"/>
      <c r="N531" s="16"/>
      <c r="O531" s="16"/>
      <c r="P531" s="16"/>
      <c r="Q531" s="16"/>
      <c r="R531" s="16"/>
      <c r="S531" s="16"/>
      <c r="T531" s="16"/>
      <c r="U531" s="16"/>
      <c r="V531" s="16"/>
    </row>
    <row r="532" spans="1:22" ht="15.75" customHeight="1" x14ac:dyDescent="0.25">
      <c r="A532" s="16"/>
      <c r="B532" s="16"/>
      <c r="C532" s="16"/>
      <c r="D532" s="16"/>
      <c r="E532" s="16"/>
      <c r="F532" s="16"/>
      <c r="G532" s="16"/>
      <c r="H532" s="16"/>
      <c r="I532" s="16"/>
      <c r="J532" s="16"/>
      <c r="K532" s="16"/>
      <c r="L532" s="16"/>
      <c r="M532" s="16"/>
      <c r="N532" s="16"/>
      <c r="O532" s="16"/>
      <c r="P532" s="16"/>
      <c r="Q532" s="16"/>
      <c r="R532" s="16"/>
      <c r="S532" s="16"/>
      <c r="T532" s="16"/>
      <c r="U532" s="16"/>
      <c r="V532" s="16"/>
    </row>
    <row r="533" spans="1:22" ht="15.75" customHeight="1" x14ac:dyDescent="0.25">
      <c r="A533" s="16"/>
      <c r="B533" s="16"/>
      <c r="C533" s="16"/>
      <c r="D533" s="16"/>
      <c r="E533" s="16"/>
      <c r="F533" s="16"/>
      <c r="G533" s="16"/>
      <c r="H533" s="16"/>
      <c r="I533" s="16"/>
      <c r="J533" s="16"/>
      <c r="K533" s="16"/>
      <c r="L533" s="16"/>
      <c r="M533" s="16"/>
      <c r="N533" s="16"/>
      <c r="O533" s="16"/>
      <c r="P533" s="16"/>
      <c r="Q533" s="16"/>
      <c r="R533" s="16"/>
      <c r="S533" s="16"/>
      <c r="T533" s="16"/>
      <c r="U533" s="16"/>
      <c r="V533" s="16"/>
    </row>
    <row r="534" spans="1:22" ht="15.75" customHeight="1" x14ac:dyDescent="0.25">
      <c r="A534" s="16"/>
      <c r="B534" s="16"/>
      <c r="C534" s="16"/>
      <c r="D534" s="16"/>
      <c r="E534" s="16"/>
      <c r="F534" s="16"/>
      <c r="G534" s="16"/>
      <c r="H534" s="16"/>
      <c r="I534" s="16"/>
      <c r="J534" s="16"/>
      <c r="K534" s="16"/>
      <c r="L534" s="16"/>
      <c r="M534" s="16"/>
      <c r="N534" s="16"/>
      <c r="O534" s="16"/>
      <c r="P534" s="16"/>
      <c r="Q534" s="16"/>
      <c r="R534" s="16"/>
      <c r="S534" s="16"/>
      <c r="T534" s="16"/>
      <c r="U534" s="16"/>
      <c r="V534" s="16"/>
    </row>
    <row r="535" spans="1:22" ht="15.75" customHeight="1" x14ac:dyDescent="0.25">
      <c r="A535" s="16"/>
      <c r="B535" s="16"/>
      <c r="C535" s="16"/>
      <c r="D535" s="16"/>
      <c r="E535" s="16"/>
      <c r="F535" s="16"/>
      <c r="G535" s="16"/>
      <c r="H535" s="16"/>
      <c r="I535" s="16"/>
      <c r="J535" s="16"/>
      <c r="K535" s="16"/>
      <c r="L535" s="16"/>
      <c r="M535" s="16"/>
      <c r="N535" s="16"/>
      <c r="O535" s="16"/>
      <c r="P535" s="16"/>
      <c r="Q535" s="16"/>
      <c r="R535" s="16"/>
      <c r="S535" s="16"/>
      <c r="T535" s="16"/>
      <c r="U535" s="16"/>
      <c r="V535" s="16"/>
    </row>
    <row r="536" spans="1:22" ht="15.75" customHeight="1" x14ac:dyDescent="0.25">
      <c r="A536" s="16"/>
      <c r="B536" s="16"/>
      <c r="C536" s="16"/>
      <c r="D536" s="16"/>
      <c r="E536" s="16"/>
      <c r="F536" s="16"/>
      <c r="G536" s="16"/>
      <c r="H536" s="16"/>
      <c r="I536" s="16"/>
      <c r="J536" s="16"/>
      <c r="K536" s="16"/>
      <c r="L536" s="16"/>
      <c r="M536" s="16"/>
      <c r="N536" s="16"/>
      <c r="O536" s="16"/>
      <c r="P536" s="16"/>
      <c r="Q536" s="16"/>
      <c r="R536" s="16"/>
      <c r="S536" s="16"/>
      <c r="T536" s="16"/>
      <c r="U536" s="16"/>
      <c r="V536" s="16"/>
    </row>
    <row r="537" spans="1:22" ht="15.75" customHeight="1" x14ac:dyDescent="0.25">
      <c r="A537" s="16"/>
      <c r="B537" s="16"/>
      <c r="C537" s="16"/>
      <c r="D537" s="16"/>
      <c r="E537" s="16"/>
      <c r="F537" s="16"/>
      <c r="G537" s="16"/>
      <c r="H537" s="16"/>
      <c r="I537" s="16"/>
      <c r="J537" s="16"/>
      <c r="K537" s="16"/>
      <c r="L537" s="16"/>
      <c r="M537" s="16"/>
      <c r="N537" s="16"/>
      <c r="O537" s="16"/>
      <c r="P537" s="16"/>
      <c r="Q537" s="16"/>
      <c r="R537" s="16"/>
      <c r="S537" s="16"/>
      <c r="T537" s="16"/>
      <c r="U537" s="16"/>
      <c r="V537" s="16"/>
    </row>
    <row r="538" spans="1:22" ht="15.75" customHeight="1" x14ac:dyDescent="0.25">
      <c r="A538" s="16"/>
      <c r="B538" s="16"/>
      <c r="C538" s="16"/>
      <c r="D538" s="16"/>
      <c r="E538" s="16"/>
      <c r="F538" s="16"/>
      <c r="G538" s="16"/>
      <c r="H538" s="16"/>
      <c r="I538" s="16"/>
      <c r="J538" s="16"/>
      <c r="K538" s="16"/>
      <c r="L538" s="16"/>
      <c r="M538" s="16"/>
      <c r="N538" s="16"/>
      <c r="O538" s="16"/>
      <c r="P538" s="16"/>
      <c r="Q538" s="16"/>
      <c r="R538" s="16"/>
      <c r="S538" s="16"/>
      <c r="T538" s="16"/>
      <c r="U538" s="16"/>
      <c r="V538" s="16"/>
    </row>
    <row r="539" spans="1:22" ht="15.75" customHeight="1" x14ac:dyDescent="0.25">
      <c r="A539" s="16"/>
      <c r="B539" s="16"/>
      <c r="C539" s="16"/>
      <c r="D539" s="16"/>
      <c r="E539" s="16"/>
      <c r="F539" s="16"/>
      <c r="G539" s="16"/>
      <c r="H539" s="16"/>
      <c r="I539" s="16"/>
      <c r="J539" s="16"/>
      <c r="K539" s="16"/>
      <c r="L539" s="16"/>
      <c r="M539" s="16"/>
      <c r="N539" s="16"/>
      <c r="O539" s="16"/>
      <c r="P539" s="16"/>
      <c r="Q539" s="16"/>
      <c r="R539" s="16"/>
      <c r="S539" s="16"/>
      <c r="T539" s="16"/>
      <c r="U539" s="16"/>
      <c r="V539" s="16"/>
    </row>
    <row r="540" spans="1:22" ht="15.75" customHeight="1" x14ac:dyDescent="0.25">
      <c r="A540" s="16"/>
      <c r="B540" s="16"/>
      <c r="C540" s="16"/>
      <c r="D540" s="16"/>
      <c r="E540" s="16"/>
      <c r="F540" s="16"/>
      <c r="G540" s="16"/>
      <c r="H540" s="16"/>
      <c r="I540" s="16"/>
      <c r="J540" s="16"/>
      <c r="K540" s="16"/>
      <c r="L540" s="16"/>
      <c r="M540" s="16"/>
      <c r="N540" s="16"/>
      <c r="O540" s="16"/>
      <c r="P540" s="16"/>
      <c r="Q540" s="16"/>
      <c r="R540" s="16"/>
      <c r="S540" s="16"/>
      <c r="T540" s="16"/>
      <c r="U540" s="16"/>
      <c r="V540" s="16"/>
    </row>
    <row r="541" spans="1:22" ht="15.75" customHeight="1" x14ac:dyDescent="0.25">
      <c r="A541" s="16"/>
      <c r="B541" s="16"/>
      <c r="C541" s="16"/>
      <c r="D541" s="16"/>
      <c r="E541" s="16"/>
      <c r="F541" s="16"/>
      <c r="G541" s="16"/>
      <c r="H541" s="16"/>
      <c r="I541" s="16"/>
      <c r="J541" s="16"/>
      <c r="K541" s="16"/>
      <c r="L541" s="16"/>
      <c r="M541" s="16"/>
      <c r="N541" s="16"/>
      <c r="O541" s="16"/>
      <c r="P541" s="16"/>
      <c r="Q541" s="16"/>
      <c r="R541" s="16"/>
      <c r="S541" s="16"/>
      <c r="T541" s="16"/>
      <c r="U541" s="16"/>
      <c r="V541" s="16"/>
    </row>
    <row r="542" spans="1:22" ht="15.75" customHeight="1" x14ac:dyDescent="0.25">
      <c r="A542" s="16"/>
      <c r="B542" s="16"/>
      <c r="C542" s="16"/>
      <c r="D542" s="16"/>
      <c r="E542" s="16"/>
      <c r="F542" s="16"/>
      <c r="G542" s="16"/>
      <c r="H542" s="16"/>
      <c r="I542" s="16"/>
      <c r="J542" s="16"/>
      <c r="K542" s="16"/>
      <c r="L542" s="16"/>
      <c r="M542" s="16"/>
      <c r="N542" s="16"/>
      <c r="O542" s="16"/>
      <c r="P542" s="16"/>
      <c r="Q542" s="16"/>
      <c r="R542" s="16"/>
      <c r="S542" s="16"/>
      <c r="T542" s="16"/>
      <c r="U542" s="16"/>
      <c r="V542" s="16"/>
    </row>
    <row r="543" spans="1:22" ht="15.75" customHeight="1" x14ac:dyDescent="0.25">
      <c r="A543" s="16"/>
      <c r="B543" s="16"/>
      <c r="C543" s="16"/>
      <c r="D543" s="16"/>
      <c r="E543" s="16"/>
      <c r="F543" s="16"/>
      <c r="G543" s="16"/>
      <c r="H543" s="16"/>
      <c r="I543" s="16"/>
      <c r="J543" s="16"/>
      <c r="K543" s="16"/>
      <c r="L543" s="16"/>
      <c r="M543" s="16"/>
      <c r="N543" s="16"/>
      <c r="O543" s="16"/>
      <c r="P543" s="16"/>
      <c r="Q543" s="16"/>
      <c r="R543" s="16"/>
      <c r="S543" s="16"/>
      <c r="T543" s="16"/>
      <c r="U543" s="16"/>
      <c r="V543" s="16"/>
    </row>
    <row r="544" spans="1:22" ht="15.75" customHeight="1" x14ac:dyDescent="0.25">
      <c r="A544" s="16"/>
      <c r="B544" s="16"/>
      <c r="C544" s="16"/>
      <c r="D544" s="16"/>
      <c r="E544" s="16"/>
      <c r="F544" s="16"/>
      <c r="G544" s="16"/>
      <c r="H544" s="16"/>
      <c r="I544" s="16"/>
      <c r="J544" s="16"/>
      <c r="K544" s="16"/>
      <c r="L544" s="16"/>
      <c r="M544" s="16"/>
      <c r="N544" s="16"/>
      <c r="O544" s="16"/>
      <c r="P544" s="16"/>
      <c r="Q544" s="16"/>
      <c r="R544" s="16"/>
      <c r="S544" s="16"/>
      <c r="T544" s="16"/>
      <c r="U544" s="16"/>
      <c r="V544" s="16"/>
    </row>
    <row r="545" spans="1:22" ht="15.75" customHeight="1" x14ac:dyDescent="0.25">
      <c r="A545" s="16"/>
      <c r="B545" s="16"/>
      <c r="C545" s="16"/>
      <c r="D545" s="16"/>
      <c r="E545" s="16"/>
      <c r="F545" s="16"/>
      <c r="G545" s="16"/>
      <c r="H545" s="16"/>
      <c r="I545" s="16"/>
      <c r="J545" s="16"/>
      <c r="K545" s="16"/>
      <c r="L545" s="16"/>
      <c r="M545" s="16"/>
      <c r="N545" s="16"/>
      <c r="O545" s="16"/>
      <c r="P545" s="16"/>
      <c r="Q545" s="16"/>
      <c r="R545" s="16"/>
      <c r="S545" s="16"/>
      <c r="T545" s="16"/>
      <c r="U545" s="16"/>
      <c r="V545" s="16"/>
    </row>
    <row r="546" spans="1:22" ht="15.75" customHeight="1" x14ac:dyDescent="0.25">
      <c r="A546" s="16"/>
      <c r="B546" s="16"/>
      <c r="C546" s="16"/>
      <c r="D546" s="16"/>
      <c r="E546" s="16"/>
      <c r="F546" s="16"/>
      <c r="G546" s="16"/>
      <c r="H546" s="16"/>
      <c r="I546" s="16"/>
      <c r="J546" s="16"/>
      <c r="K546" s="16"/>
      <c r="L546" s="16"/>
      <c r="M546" s="16"/>
      <c r="N546" s="16"/>
      <c r="O546" s="16"/>
      <c r="P546" s="16"/>
      <c r="Q546" s="16"/>
      <c r="R546" s="16"/>
      <c r="S546" s="16"/>
      <c r="T546" s="16"/>
      <c r="U546" s="16"/>
      <c r="V546" s="16"/>
    </row>
    <row r="547" spans="1:22" ht="15.75" customHeight="1" x14ac:dyDescent="0.25">
      <c r="A547" s="16"/>
      <c r="B547" s="16"/>
      <c r="C547" s="16"/>
      <c r="D547" s="16"/>
      <c r="E547" s="16"/>
      <c r="F547" s="16"/>
      <c r="G547" s="16"/>
      <c r="H547" s="16"/>
      <c r="I547" s="16"/>
      <c r="J547" s="16"/>
      <c r="K547" s="16"/>
      <c r="L547" s="16"/>
      <c r="M547" s="16"/>
      <c r="N547" s="16"/>
      <c r="O547" s="16"/>
      <c r="P547" s="16"/>
      <c r="Q547" s="16"/>
      <c r="R547" s="16"/>
      <c r="S547" s="16"/>
      <c r="T547" s="16"/>
      <c r="U547" s="16"/>
      <c r="V547" s="16"/>
    </row>
    <row r="548" spans="1:22" ht="15.75" customHeight="1" x14ac:dyDescent="0.25">
      <c r="A548" s="16"/>
      <c r="B548" s="16"/>
      <c r="C548" s="16"/>
      <c r="D548" s="16"/>
      <c r="E548" s="16"/>
      <c r="F548" s="16"/>
      <c r="G548" s="16"/>
      <c r="H548" s="16"/>
      <c r="I548" s="16"/>
      <c r="J548" s="16"/>
      <c r="K548" s="16"/>
      <c r="L548" s="16"/>
      <c r="M548" s="16"/>
      <c r="N548" s="16"/>
      <c r="O548" s="16"/>
      <c r="P548" s="16"/>
      <c r="Q548" s="16"/>
      <c r="R548" s="16"/>
      <c r="S548" s="16"/>
      <c r="T548" s="16"/>
      <c r="U548" s="16"/>
      <c r="V548" s="16"/>
    </row>
    <row r="549" spans="1:22" ht="15.75" customHeight="1" x14ac:dyDescent="0.25">
      <c r="A549" s="16"/>
      <c r="B549" s="16"/>
      <c r="C549" s="16"/>
      <c r="D549" s="16"/>
      <c r="E549" s="16"/>
      <c r="F549" s="16"/>
      <c r="G549" s="16"/>
      <c r="H549" s="16"/>
      <c r="I549" s="16"/>
      <c r="J549" s="16"/>
      <c r="K549" s="16"/>
      <c r="L549" s="16"/>
      <c r="M549" s="16"/>
      <c r="N549" s="16"/>
      <c r="O549" s="16"/>
      <c r="P549" s="16"/>
      <c r="Q549" s="16"/>
      <c r="R549" s="16"/>
      <c r="S549" s="16"/>
      <c r="T549" s="16"/>
      <c r="U549" s="16"/>
      <c r="V549" s="16"/>
    </row>
    <row r="550" spans="1:22" ht="15.75" customHeight="1" x14ac:dyDescent="0.25">
      <c r="A550" s="16"/>
      <c r="B550" s="16"/>
      <c r="C550" s="16"/>
      <c r="D550" s="16"/>
      <c r="E550" s="16"/>
      <c r="F550" s="16"/>
      <c r="G550" s="16"/>
      <c r="H550" s="16"/>
      <c r="I550" s="16"/>
      <c r="J550" s="16"/>
      <c r="K550" s="16"/>
      <c r="L550" s="16"/>
      <c r="M550" s="16"/>
      <c r="N550" s="16"/>
      <c r="O550" s="16"/>
      <c r="P550" s="16"/>
      <c r="Q550" s="16"/>
      <c r="R550" s="16"/>
      <c r="S550" s="16"/>
      <c r="T550" s="16"/>
      <c r="U550" s="16"/>
      <c r="V550" s="16"/>
    </row>
    <row r="551" spans="1:22" ht="15.75" customHeight="1" x14ac:dyDescent="0.25">
      <c r="A551" s="16"/>
      <c r="B551" s="16"/>
      <c r="C551" s="16"/>
      <c r="D551" s="16"/>
      <c r="E551" s="16"/>
      <c r="F551" s="16"/>
      <c r="G551" s="16"/>
      <c r="H551" s="16"/>
      <c r="I551" s="16"/>
      <c r="J551" s="16"/>
      <c r="K551" s="16"/>
      <c r="L551" s="16"/>
      <c r="M551" s="16"/>
      <c r="N551" s="16"/>
      <c r="O551" s="16"/>
      <c r="P551" s="16"/>
      <c r="Q551" s="16"/>
      <c r="R551" s="16"/>
      <c r="S551" s="16"/>
      <c r="T551" s="16"/>
      <c r="U551" s="16"/>
      <c r="V551" s="16"/>
    </row>
    <row r="552" spans="1:22" ht="15.75" customHeight="1" x14ac:dyDescent="0.25">
      <c r="A552" s="16"/>
      <c r="B552" s="16"/>
      <c r="C552" s="16"/>
      <c r="D552" s="16"/>
      <c r="E552" s="16"/>
      <c r="F552" s="16"/>
      <c r="G552" s="16"/>
      <c r="H552" s="16"/>
      <c r="I552" s="16"/>
      <c r="J552" s="16"/>
      <c r="K552" s="16"/>
      <c r="L552" s="16"/>
      <c r="M552" s="16"/>
      <c r="N552" s="16"/>
      <c r="O552" s="16"/>
      <c r="P552" s="16"/>
      <c r="Q552" s="16"/>
      <c r="R552" s="16"/>
      <c r="S552" s="16"/>
      <c r="T552" s="16"/>
      <c r="U552" s="16"/>
      <c r="V552" s="16"/>
    </row>
    <row r="553" spans="1:22" ht="15.75" customHeight="1" x14ac:dyDescent="0.25">
      <c r="A553" s="16"/>
      <c r="B553" s="16"/>
      <c r="C553" s="16"/>
      <c r="D553" s="16"/>
      <c r="E553" s="16"/>
      <c r="F553" s="16"/>
      <c r="G553" s="16"/>
      <c r="H553" s="16"/>
      <c r="I553" s="16"/>
      <c r="J553" s="16"/>
      <c r="K553" s="16"/>
      <c r="L553" s="16"/>
      <c r="M553" s="16"/>
      <c r="N553" s="16"/>
      <c r="O553" s="16"/>
      <c r="P553" s="16"/>
      <c r="Q553" s="16"/>
      <c r="R553" s="16"/>
      <c r="S553" s="16"/>
      <c r="T553" s="16"/>
      <c r="U553" s="16"/>
      <c r="V553" s="16"/>
    </row>
    <row r="554" spans="1:22" ht="15.75" customHeight="1" x14ac:dyDescent="0.25">
      <c r="A554" s="16"/>
      <c r="B554" s="16"/>
      <c r="C554" s="16"/>
      <c r="D554" s="16"/>
      <c r="E554" s="16"/>
      <c r="F554" s="16"/>
      <c r="G554" s="16"/>
      <c r="H554" s="16"/>
      <c r="I554" s="16"/>
      <c r="J554" s="16"/>
      <c r="K554" s="16"/>
      <c r="L554" s="16"/>
      <c r="M554" s="16"/>
      <c r="N554" s="16"/>
      <c r="O554" s="16"/>
      <c r="P554" s="16"/>
      <c r="Q554" s="16"/>
      <c r="R554" s="16"/>
      <c r="S554" s="16"/>
      <c r="T554" s="16"/>
      <c r="U554" s="16"/>
      <c r="V554" s="16"/>
    </row>
    <row r="555" spans="1:22" ht="15.75" customHeight="1" x14ac:dyDescent="0.25">
      <c r="A555" s="16"/>
      <c r="B555" s="16"/>
      <c r="C555" s="16"/>
      <c r="D555" s="16"/>
      <c r="E555" s="16"/>
      <c r="F555" s="16"/>
      <c r="G555" s="16"/>
      <c r="H555" s="16"/>
      <c r="I555" s="16"/>
      <c r="J555" s="16"/>
      <c r="K555" s="16"/>
      <c r="L555" s="16"/>
      <c r="M555" s="16"/>
      <c r="N555" s="16"/>
      <c r="O555" s="16"/>
      <c r="P555" s="16"/>
      <c r="Q555" s="16"/>
      <c r="R555" s="16"/>
      <c r="S555" s="16"/>
      <c r="T555" s="16"/>
      <c r="U555" s="16"/>
      <c r="V555" s="16"/>
    </row>
    <row r="556" spans="1:22" ht="15.75" customHeight="1" x14ac:dyDescent="0.25">
      <c r="A556" s="16"/>
      <c r="B556" s="16"/>
      <c r="C556" s="16"/>
      <c r="D556" s="16"/>
      <c r="E556" s="16"/>
      <c r="F556" s="16"/>
      <c r="G556" s="16"/>
      <c r="H556" s="16"/>
      <c r="I556" s="16"/>
      <c r="J556" s="16"/>
      <c r="K556" s="16"/>
      <c r="L556" s="16"/>
      <c r="M556" s="16"/>
      <c r="N556" s="16"/>
      <c r="O556" s="16"/>
      <c r="P556" s="16"/>
      <c r="Q556" s="16"/>
      <c r="R556" s="16"/>
      <c r="S556" s="16"/>
      <c r="T556" s="16"/>
      <c r="U556" s="16"/>
      <c r="V556" s="16"/>
    </row>
    <row r="557" spans="1:22" ht="15.75" customHeight="1" x14ac:dyDescent="0.25">
      <c r="A557" s="16"/>
      <c r="B557" s="16"/>
      <c r="C557" s="16"/>
      <c r="D557" s="16"/>
      <c r="E557" s="16"/>
      <c r="F557" s="16"/>
      <c r="G557" s="16"/>
      <c r="H557" s="16"/>
      <c r="I557" s="16"/>
      <c r="J557" s="16"/>
      <c r="K557" s="16"/>
      <c r="L557" s="16"/>
      <c r="M557" s="16"/>
      <c r="N557" s="16"/>
      <c r="O557" s="16"/>
      <c r="P557" s="16"/>
      <c r="Q557" s="16"/>
      <c r="R557" s="16"/>
      <c r="S557" s="16"/>
      <c r="T557" s="16"/>
      <c r="U557" s="16"/>
      <c r="V557" s="16"/>
    </row>
    <row r="558" spans="1:22" ht="15.75" customHeight="1" x14ac:dyDescent="0.25">
      <c r="A558" s="16"/>
      <c r="B558" s="16"/>
      <c r="C558" s="16"/>
      <c r="D558" s="16"/>
      <c r="E558" s="16"/>
      <c r="F558" s="16"/>
      <c r="G558" s="16"/>
      <c r="H558" s="16"/>
      <c r="I558" s="16"/>
      <c r="J558" s="16"/>
      <c r="K558" s="16"/>
      <c r="L558" s="16"/>
      <c r="M558" s="16"/>
      <c r="N558" s="16"/>
      <c r="O558" s="16"/>
      <c r="P558" s="16"/>
      <c r="Q558" s="16"/>
      <c r="R558" s="16"/>
      <c r="S558" s="16"/>
      <c r="T558" s="16"/>
      <c r="U558" s="16"/>
      <c r="V558" s="16"/>
    </row>
    <row r="559" spans="1:22" ht="15.75" customHeight="1" x14ac:dyDescent="0.25">
      <c r="A559" s="16"/>
      <c r="B559" s="16"/>
      <c r="C559" s="16"/>
      <c r="D559" s="16"/>
      <c r="E559" s="16"/>
      <c r="F559" s="16"/>
      <c r="G559" s="16"/>
      <c r="H559" s="16"/>
      <c r="I559" s="16"/>
      <c r="J559" s="16"/>
      <c r="K559" s="16"/>
      <c r="L559" s="16"/>
      <c r="M559" s="16"/>
      <c r="N559" s="16"/>
      <c r="O559" s="16"/>
      <c r="P559" s="16"/>
      <c r="Q559" s="16"/>
      <c r="R559" s="16"/>
      <c r="S559" s="16"/>
      <c r="T559" s="16"/>
      <c r="U559" s="16"/>
      <c r="V559" s="16"/>
    </row>
    <row r="560" spans="1:22" ht="15.75" customHeight="1" x14ac:dyDescent="0.25">
      <c r="A560" s="16"/>
      <c r="B560" s="16"/>
      <c r="C560" s="16"/>
      <c r="D560" s="16"/>
      <c r="E560" s="16"/>
      <c r="F560" s="16"/>
      <c r="G560" s="16"/>
      <c r="H560" s="16"/>
      <c r="I560" s="16"/>
      <c r="J560" s="16"/>
      <c r="K560" s="16"/>
      <c r="L560" s="16"/>
      <c r="M560" s="16"/>
      <c r="N560" s="16"/>
      <c r="O560" s="16"/>
      <c r="P560" s="16"/>
      <c r="Q560" s="16"/>
      <c r="R560" s="16"/>
      <c r="S560" s="16"/>
      <c r="T560" s="16"/>
      <c r="U560" s="16"/>
      <c r="V560" s="16"/>
    </row>
    <row r="561" spans="1:22" ht="15.75" customHeight="1" x14ac:dyDescent="0.25">
      <c r="A561" s="16"/>
      <c r="B561" s="16"/>
      <c r="C561" s="16"/>
      <c r="D561" s="16"/>
      <c r="E561" s="16"/>
      <c r="F561" s="16"/>
      <c r="G561" s="16"/>
      <c r="H561" s="16"/>
      <c r="I561" s="16"/>
      <c r="J561" s="16"/>
      <c r="K561" s="16"/>
      <c r="L561" s="16"/>
      <c r="M561" s="16"/>
      <c r="N561" s="16"/>
      <c r="O561" s="16"/>
      <c r="P561" s="16"/>
      <c r="Q561" s="16"/>
      <c r="R561" s="16"/>
      <c r="S561" s="16"/>
      <c r="T561" s="16"/>
      <c r="U561" s="16"/>
      <c r="V561" s="16"/>
    </row>
    <row r="562" spans="1:22" ht="15.75" customHeight="1" x14ac:dyDescent="0.25">
      <c r="A562" s="16"/>
      <c r="B562" s="16"/>
      <c r="C562" s="16"/>
      <c r="D562" s="16"/>
      <c r="E562" s="16"/>
      <c r="F562" s="16"/>
      <c r="G562" s="16"/>
      <c r="H562" s="16"/>
      <c r="I562" s="16"/>
      <c r="J562" s="16"/>
      <c r="K562" s="16"/>
      <c r="L562" s="16"/>
      <c r="M562" s="16"/>
      <c r="N562" s="16"/>
      <c r="O562" s="16"/>
      <c r="P562" s="16"/>
      <c r="Q562" s="16"/>
      <c r="R562" s="16"/>
      <c r="S562" s="16"/>
      <c r="T562" s="16"/>
      <c r="U562" s="16"/>
      <c r="V562" s="16"/>
    </row>
    <row r="563" spans="1:22" ht="15.75" customHeight="1" x14ac:dyDescent="0.25">
      <c r="A563" s="16"/>
      <c r="B563" s="16"/>
      <c r="C563" s="16"/>
      <c r="D563" s="16"/>
      <c r="E563" s="16"/>
      <c r="F563" s="16"/>
      <c r="G563" s="16"/>
      <c r="H563" s="16"/>
      <c r="I563" s="16"/>
      <c r="J563" s="16"/>
      <c r="K563" s="16"/>
      <c r="L563" s="16"/>
      <c r="M563" s="16"/>
      <c r="N563" s="16"/>
      <c r="O563" s="16"/>
      <c r="P563" s="16"/>
      <c r="Q563" s="16"/>
      <c r="R563" s="16"/>
      <c r="S563" s="16"/>
      <c r="T563" s="16"/>
      <c r="U563" s="16"/>
      <c r="V563" s="16"/>
    </row>
    <row r="564" spans="1:22" ht="15.75" customHeight="1" x14ac:dyDescent="0.25">
      <c r="A564" s="16"/>
      <c r="B564" s="16"/>
      <c r="C564" s="16"/>
      <c r="D564" s="16"/>
      <c r="E564" s="16"/>
      <c r="F564" s="16"/>
      <c r="G564" s="16"/>
      <c r="H564" s="16"/>
      <c r="I564" s="16"/>
      <c r="J564" s="16"/>
      <c r="K564" s="16"/>
      <c r="L564" s="16"/>
      <c r="M564" s="16"/>
      <c r="N564" s="16"/>
      <c r="O564" s="16"/>
      <c r="P564" s="16"/>
      <c r="Q564" s="16"/>
      <c r="R564" s="16"/>
      <c r="S564" s="16"/>
      <c r="T564" s="16"/>
      <c r="U564" s="16"/>
      <c r="V564" s="16"/>
    </row>
    <row r="565" spans="1:22" ht="15.75" customHeight="1" x14ac:dyDescent="0.25">
      <c r="A565" s="16"/>
      <c r="B565" s="16"/>
      <c r="C565" s="16"/>
      <c r="D565" s="16"/>
      <c r="E565" s="16"/>
      <c r="F565" s="16"/>
      <c r="G565" s="16"/>
      <c r="H565" s="16"/>
      <c r="I565" s="16"/>
      <c r="J565" s="16"/>
      <c r="K565" s="16"/>
      <c r="L565" s="16"/>
      <c r="M565" s="16"/>
      <c r="N565" s="16"/>
      <c r="O565" s="16"/>
      <c r="P565" s="16"/>
      <c r="Q565" s="16"/>
      <c r="R565" s="16"/>
      <c r="S565" s="16"/>
      <c r="T565" s="16"/>
      <c r="U565" s="16"/>
      <c r="V565" s="16"/>
    </row>
    <row r="566" spans="1:22" ht="15.75" customHeight="1" x14ac:dyDescent="0.25">
      <c r="A566" s="16"/>
      <c r="B566" s="16"/>
      <c r="C566" s="16"/>
      <c r="D566" s="16"/>
      <c r="E566" s="16"/>
      <c r="F566" s="16"/>
      <c r="G566" s="16"/>
      <c r="H566" s="16"/>
      <c r="I566" s="16"/>
      <c r="J566" s="16"/>
      <c r="K566" s="16"/>
      <c r="L566" s="16"/>
      <c r="M566" s="16"/>
      <c r="N566" s="16"/>
      <c r="O566" s="16"/>
      <c r="P566" s="16"/>
      <c r="Q566" s="16"/>
      <c r="R566" s="16"/>
      <c r="S566" s="16"/>
      <c r="T566" s="16"/>
      <c r="U566" s="16"/>
      <c r="V566" s="16"/>
    </row>
    <row r="567" spans="1:22" ht="15.75" customHeight="1" x14ac:dyDescent="0.25">
      <c r="A567" s="16"/>
      <c r="B567" s="16"/>
      <c r="C567" s="16"/>
      <c r="D567" s="16"/>
      <c r="E567" s="16"/>
      <c r="F567" s="16"/>
      <c r="G567" s="16"/>
      <c r="H567" s="16"/>
      <c r="I567" s="16"/>
      <c r="J567" s="16"/>
      <c r="K567" s="16"/>
      <c r="L567" s="16"/>
      <c r="M567" s="16"/>
      <c r="N567" s="16"/>
      <c r="O567" s="16"/>
      <c r="P567" s="16"/>
      <c r="Q567" s="16"/>
      <c r="R567" s="16"/>
      <c r="S567" s="16"/>
      <c r="T567" s="16"/>
      <c r="U567" s="16"/>
      <c r="V567" s="16"/>
    </row>
    <row r="568" spans="1:22" ht="15.75" customHeight="1" x14ac:dyDescent="0.25">
      <c r="A568" s="16"/>
      <c r="B568" s="16"/>
      <c r="C568" s="16"/>
      <c r="D568" s="16"/>
      <c r="E568" s="16"/>
      <c r="F568" s="16"/>
      <c r="G568" s="16"/>
      <c r="H568" s="16"/>
      <c r="I568" s="16"/>
      <c r="J568" s="16"/>
      <c r="K568" s="16"/>
      <c r="L568" s="16"/>
      <c r="M568" s="16"/>
      <c r="N568" s="16"/>
      <c r="O568" s="16"/>
      <c r="P568" s="16"/>
      <c r="Q568" s="16"/>
      <c r="R568" s="16"/>
      <c r="S568" s="16"/>
      <c r="T568" s="16"/>
      <c r="U568" s="16"/>
      <c r="V568" s="16"/>
    </row>
    <row r="569" spans="1:22" ht="15.75" customHeight="1" x14ac:dyDescent="0.25">
      <c r="A569" s="16"/>
      <c r="B569" s="16"/>
      <c r="C569" s="16"/>
      <c r="D569" s="16"/>
      <c r="E569" s="16"/>
      <c r="F569" s="16"/>
      <c r="G569" s="16"/>
      <c r="H569" s="16"/>
      <c r="I569" s="16"/>
      <c r="J569" s="16"/>
      <c r="K569" s="16"/>
      <c r="L569" s="16"/>
      <c r="M569" s="16"/>
      <c r="N569" s="16"/>
      <c r="O569" s="16"/>
      <c r="P569" s="16"/>
      <c r="Q569" s="16"/>
      <c r="R569" s="16"/>
      <c r="S569" s="16"/>
      <c r="T569" s="16"/>
      <c r="U569" s="16"/>
      <c r="V569" s="16"/>
    </row>
    <row r="570" spans="1:22" ht="15.75" customHeight="1" x14ac:dyDescent="0.25">
      <c r="A570" s="16"/>
      <c r="B570" s="16"/>
      <c r="C570" s="16"/>
      <c r="D570" s="16"/>
      <c r="E570" s="16"/>
      <c r="F570" s="16"/>
      <c r="G570" s="16"/>
      <c r="H570" s="16"/>
      <c r="I570" s="16"/>
      <c r="J570" s="16"/>
      <c r="K570" s="16"/>
      <c r="L570" s="16"/>
      <c r="M570" s="16"/>
      <c r="N570" s="16"/>
      <c r="O570" s="16"/>
      <c r="P570" s="16"/>
      <c r="Q570" s="16"/>
      <c r="R570" s="16"/>
      <c r="S570" s="16"/>
      <c r="T570" s="16"/>
      <c r="U570" s="16"/>
      <c r="V570" s="16"/>
    </row>
    <row r="571" spans="1:22" ht="15.75" customHeight="1" x14ac:dyDescent="0.25">
      <c r="A571" s="16"/>
      <c r="B571" s="16"/>
      <c r="C571" s="16"/>
      <c r="D571" s="16"/>
      <c r="E571" s="16"/>
      <c r="F571" s="16"/>
      <c r="G571" s="16"/>
      <c r="H571" s="16"/>
      <c r="I571" s="16"/>
      <c r="J571" s="16"/>
      <c r="K571" s="16"/>
      <c r="L571" s="16"/>
      <c r="M571" s="16"/>
      <c r="N571" s="16"/>
      <c r="O571" s="16"/>
      <c r="P571" s="16"/>
      <c r="Q571" s="16"/>
      <c r="R571" s="16"/>
      <c r="S571" s="16"/>
      <c r="T571" s="16"/>
      <c r="U571" s="16"/>
      <c r="V571" s="16"/>
    </row>
    <row r="572" spans="1:22" ht="15.75" customHeight="1" x14ac:dyDescent="0.25">
      <c r="A572" s="16"/>
      <c r="B572" s="16"/>
      <c r="C572" s="16"/>
      <c r="D572" s="16"/>
      <c r="E572" s="16"/>
      <c r="F572" s="16"/>
      <c r="G572" s="16"/>
      <c r="H572" s="16"/>
      <c r="I572" s="16"/>
      <c r="J572" s="16"/>
      <c r="K572" s="16"/>
      <c r="L572" s="16"/>
      <c r="M572" s="16"/>
      <c r="N572" s="16"/>
      <c r="O572" s="16"/>
      <c r="P572" s="16"/>
      <c r="Q572" s="16"/>
      <c r="R572" s="16"/>
      <c r="S572" s="16"/>
      <c r="T572" s="16"/>
      <c r="U572" s="16"/>
      <c r="V572" s="16"/>
    </row>
    <row r="573" spans="1:22" ht="15.75" customHeight="1" x14ac:dyDescent="0.25">
      <c r="A573" s="16"/>
      <c r="B573" s="16"/>
      <c r="C573" s="16"/>
      <c r="D573" s="16"/>
      <c r="E573" s="16"/>
      <c r="F573" s="16"/>
      <c r="G573" s="16"/>
      <c r="H573" s="16"/>
      <c r="I573" s="16"/>
      <c r="J573" s="16"/>
      <c r="K573" s="16"/>
      <c r="L573" s="16"/>
      <c r="M573" s="16"/>
      <c r="N573" s="16"/>
      <c r="O573" s="16"/>
      <c r="P573" s="16"/>
      <c r="Q573" s="16"/>
      <c r="R573" s="16"/>
      <c r="S573" s="16"/>
      <c r="T573" s="16"/>
      <c r="U573" s="16"/>
      <c r="V573" s="16"/>
    </row>
    <row r="574" spans="1:22" ht="15.75" customHeight="1" x14ac:dyDescent="0.25">
      <c r="A574" s="16"/>
      <c r="B574" s="16"/>
      <c r="C574" s="16"/>
      <c r="D574" s="16"/>
      <c r="E574" s="16"/>
      <c r="F574" s="16"/>
      <c r="G574" s="16"/>
      <c r="H574" s="16"/>
      <c r="I574" s="16"/>
      <c r="J574" s="16"/>
      <c r="K574" s="16"/>
      <c r="L574" s="16"/>
      <c r="M574" s="16"/>
      <c r="N574" s="16"/>
      <c r="O574" s="16"/>
      <c r="P574" s="16"/>
      <c r="Q574" s="16"/>
      <c r="R574" s="16"/>
      <c r="S574" s="16"/>
      <c r="T574" s="16"/>
      <c r="U574" s="16"/>
      <c r="V574" s="16"/>
    </row>
    <row r="575" spans="1:22" ht="15.75" customHeight="1" x14ac:dyDescent="0.25">
      <c r="A575" s="16"/>
      <c r="B575" s="16"/>
      <c r="C575" s="16"/>
      <c r="D575" s="16"/>
      <c r="E575" s="16"/>
      <c r="F575" s="16"/>
      <c r="G575" s="16"/>
      <c r="H575" s="16"/>
      <c r="I575" s="16"/>
      <c r="J575" s="16"/>
      <c r="K575" s="16"/>
      <c r="L575" s="16"/>
      <c r="M575" s="16"/>
      <c r="N575" s="16"/>
      <c r="O575" s="16"/>
      <c r="P575" s="16"/>
      <c r="Q575" s="16"/>
      <c r="R575" s="16"/>
      <c r="S575" s="16"/>
      <c r="T575" s="16"/>
      <c r="U575" s="16"/>
      <c r="V575" s="16"/>
    </row>
    <row r="576" spans="1:22" ht="15.75" customHeight="1" x14ac:dyDescent="0.25">
      <c r="A576" s="16"/>
      <c r="B576" s="16"/>
      <c r="C576" s="16"/>
      <c r="D576" s="16"/>
      <c r="E576" s="16"/>
      <c r="F576" s="16"/>
      <c r="G576" s="16"/>
      <c r="H576" s="16"/>
      <c r="I576" s="16"/>
      <c r="J576" s="16"/>
      <c r="K576" s="16"/>
      <c r="L576" s="16"/>
      <c r="M576" s="16"/>
      <c r="N576" s="16"/>
      <c r="O576" s="16"/>
      <c r="P576" s="16"/>
      <c r="Q576" s="16"/>
      <c r="R576" s="16"/>
      <c r="S576" s="16"/>
      <c r="T576" s="16"/>
      <c r="U576" s="16"/>
      <c r="V576" s="16"/>
    </row>
    <row r="577" spans="1:22" ht="15.75" customHeight="1" x14ac:dyDescent="0.25">
      <c r="A577" s="16"/>
      <c r="B577" s="16"/>
      <c r="C577" s="16"/>
      <c r="D577" s="16"/>
      <c r="E577" s="16"/>
      <c r="F577" s="16"/>
      <c r="G577" s="16"/>
      <c r="H577" s="16"/>
      <c r="I577" s="16"/>
      <c r="J577" s="16"/>
      <c r="K577" s="16"/>
      <c r="L577" s="16"/>
      <c r="M577" s="16"/>
      <c r="N577" s="16"/>
      <c r="O577" s="16"/>
      <c r="P577" s="16"/>
      <c r="Q577" s="16"/>
      <c r="R577" s="16"/>
      <c r="S577" s="16"/>
      <c r="T577" s="16"/>
      <c r="U577" s="16"/>
      <c r="V577" s="16"/>
    </row>
    <row r="578" spans="1:22" ht="15.75" customHeight="1" x14ac:dyDescent="0.25">
      <c r="A578" s="16"/>
      <c r="B578" s="16"/>
      <c r="C578" s="16"/>
      <c r="D578" s="16"/>
      <c r="E578" s="16"/>
      <c r="F578" s="16"/>
      <c r="G578" s="16"/>
      <c r="H578" s="16"/>
      <c r="I578" s="16"/>
      <c r="J578" s="16"/>
      <c r="K578" s="16"/>
      <c r="L578" s="16"/>
      <c r="M578" s="16"/>
      <c r="N578" s="16"/>
      <c r="O578" s="16"/>
      <c r="P578" s="16"/>
      <c r="Q578" s="16"/>
      <c r="R578" s="16"/>
      <c r="S578" s="16"/>
      <c r="T578" s="16"/>
      <c r="U578" s="16"/>
      <c r="V578" s="16"/>
    </row>
    <row r="579" spans="1:22" ht="15.75" customHeight="1" x14ac:dyDescent="0.25">
      <c r="A579" s="16"/>
      <c r="B579" s="16"/>
      <c r="C579" s="16"/>
      <c r="D579" s="16"/>
      <c r="E579" s="16"/>
      <c r="F579" s="16"/>
      <c r="G579" s="16"/>
      <c r="H579" s="16"/>
      <c r="I579" s="16"/>
      <c r="J579" s="16"/>
      <c r="K579" s="16"/>
      <c r="L579" s="16"/>
      <c r="M579" s="16"/>
      <c r="N579" s="16"/>
      <c r="O579" s="16"/>
      <c r="P579" s="16"/>
      <c r="Q579" s="16"/>
      <c r="R579" s="16"/>
      <c r="S579" s="16"/>
      <c r="T579" s="16"/>
      <c r="U579" s="16"/>
      <c r="V579" s="16"/>
    </row>
    <row r="580" spans="1:22" ht="15.75" customHeight="1" x14ac:dyDescent="0.25">
      <c r="A580" s="16"/>
      <c r="B580" s="16"/>
      <c r="C580" s="16"/>
      <c r="D580" s="16"/>
      <c r="E580" s="16"/>
      <c r="F580" s="16"/>
      <c r="G580" s="16"/>
      <c r="H580" s="16"/>
      <c r="I580" s="16"/>
      <c r="J580" s="16"/>
      <c r="K580" s="16"/>
      <c r="L580" s="16"/>
      <c r="M580" s="16"/>
      <c r="N580" s="16"/>
      <c r="O580" s="16"/>
      <c r="P580" s="16"/>
      <c r="Q580" s="16"/>
      <c r="R580" s="16"/>
      <c r="S580" s="16"/>
      <c r="T580" s="16"/>
      <c r="U580" s="16"/>
      <c r="V580" s="16"/>
    </row>
    <row r="581" spans="1:22" ht="15.75" customHeight="1" x14ac:dyDescent="0.25">
      <c r="A581" s="16"/>
      <c r="B581" s="16"/>
      <c r="C581" s="16"/>
      <c r="D581" s="16"/>
      <c r="E581" s="16"/>
      <c r="F581" s="16"/>
      <c r="G581" s="16"/>
      <c r="H581" s="16"/>
      <c r="I581" s="16"/>
      <c r="J581" s="16"/>
      <c r="K581" s="16"/>
      <c r="L581" s="16"/>
      <c r="M581" s="16"/>
      <c r="N581" s="16"/>
      <c r="O581" s="16"/>
      <c r="P581" s="16"/>
      <c r="Q581" s="16"/>
      <c r="R581" s="16"/>
      <c r="S581" s="16"/>
      <c r="T581" s="16"/>
      <c r="U581" s="16"/>
      <c r="V581" s="16"/>
    </row>
    <row r="582" spans="1:22" ht="15.75" customHeight="1" x14ac:dyDescent="0.25">
      <c r="A582" s="16"/>
      <c r="B582" s="16"/>
      <c r="C582" s="16"/>
      <c r="D582" s="16"/>
      <c r="E582" s="16"/>
      <c r="F582" s="16"/>
      <c r="G582" s="16"/>
      <c r="H582" s="16"/>
      <c r="I582" s="16"/>
      <c r="J582" s="16"/>
      <c r="K582" s="16"/>
      <c r="L582" s="16"/>
      <c r="M582" s="16"/>
      <c r="N582" s="16"/>
      <c r="O582" s="16"/>
      <c r="P582" s="16"/>
      <c r="Q582" s="16"/>
      <c r="R582" s="16"/>
      <c r="S582" s="16"/>
      <c r="T582" s="16"/>
      <c r="U582" s="16"/>
      <c r="V582" s="16"/>
    </row>
    <row r="583" spans="1:22" ht="15.75" customHeight="1" x14ac:dyDescent="0.25">
      <c r="A583" s="16"/>
      <c r="B583" s="16"/>
      <c r="C583" s="16"/>
      <c r="D583" s="16"/>
      <c r="E583" s="16"/>
      <c r="F583" s="16"/>
      <c r="G583" s="16"/>
      <c r="H583" s="16"/>
      <c r="I583" s="16"/>
      <c r="J583" s="16"/>
      <c r="K583" s="16"/>
      <c r="L583" s="16"/>
      <c r="M583" s="16"/>
      <c r="N583" s="16"/>
      <c r="O583" s="16"/>
      <c r="P583" s="16"/>
      <c r="Q583" s="16"/>
      <c r="R583" s="16"/>
      <c r="S583" s="16"/>
      <c r="T583" s="16"/>
      <c r="U583" s="16"/>
      <c r="V583" s="16"/>
    </row>
    <row r="584" spans="1:22" ht="15.75" customHeight="1" x14ac:dyDescent="0.25">
      <c r="A584" s="16"/>
      <c r="B584" s="16"/>
      <c r="C584" s="16"/>
      <c r="D584" s="16"/>
      <c r="E584" s="16"/>
      <c r="F584" s="16"/>
      <c r="G584" s="16"/>
      <c r="H584" s="16"/>
      <c r="I584" s="16"/>
      <c r="J584" s="16"/>
      <c r="K584" s="16"/>
      <c r="L584" s="16"/>
      <c r="M584" s="16"/>
      <c r="N584" s="16"/>
      <c r="O584" s="16"/>
      <c r="P584" s="16"/>
      <c r="Q584" s="16"/>
      <c r="R584" s="16"/>
      <c r="S584" s="16"/>
      <c r="T584" s="16"/>
      <c r="U584" s="16"/>
      <c r="V584" s="16"/>
    </row>
    <row r="585" spans="1:22" ht="15.75" customHeight="1" x14ac:dyDescent="0.25">
      <c r="A585" s="16"/>
      <c r="B585" s="16"/>
      <c r="C585" s="16"/>
      <c r="D585" s="16"/>
      <c r="E585" s="16"/>
      <c r="F585" s="16"/>
      <c r="G585" s="16"/>
      <c r="H585" s="16"/>
      <c r="I585" s="16"/>
      <c r="J585" s="16"/>
      <c r="K585" s="16"/>
      <c r="L585" s="16"/>
      <c r="M585" s="16"/>
      <c r="N585" s="16"/>
      <c r="O585" s="16"/>
      <c r="P585" s="16"/>
      <c r="Q585" s="16"/>
      <c r="R585" s="16"/>
      <c r="S585" s="16"/>
      <c r="T585" s="16"/>
      <c r="U585" s="16"/>
      <c r="V585" s="16"/>
    </row>
    <row r="586" spans="1:22" ht="15.75" customHeight="1" x14ac:dyDescent="0.25">
      <c r="A586" s="16"/>
      <c r="B586" s="16"/>
      <c r="C586" s="16"/>
      <c r="D586" s="16"/>
      <c r="E586" s="16"/>
      <c r="F586" s="16"/>
      <c r="G586" s="16"/>
      <c r="H586" s="16"/>
      <c r="I586" s="16"/>
      <c r="J586" s="16"/>
      <c r="K586" s="16"/>
      <c r="L586" s="16"/>
      <c r="M586" s="16"/>
      <c r="N586" s="16"/>
      <c r="O586" s="16"/>
      <c r="P586" s="16"/>
      <c r="Q586" s="16"/>
      <c r="R586" s="16"/>
      <c r="S586" s="16"/>
      <c r="T586" s="16"/>
      <c r="U586" s="16"/>
      <c r="V586" s="16"/>
    </row>
    <row r="587" spans="1:22" ht="15.75" customHeight="1" x14ac:dyDescent="0.25">
      <c r="A587" s="16"/>
      <c r="B587" s="16"/>
      <c r="C587" s="16"/>
      <c r="D587" s="16"/>
      <c r="E587" s="16"/>
      <c r="F587" s="16"/>
      <c r="G587" s="16"/>
      <c r="H587" s="16"/>
      <c r="I587" s="16"/>
      <c r="J587" s="16"/>
      <c r="K587" s="16"/>
      <c r="L587" s="16"/>
      <c r="M587" s="16"/>
      <c r="N587" s="16"/>
      <c r="O587" s="16"/>
      <c r="P587" s="16"/>
      <c r="Q587" s="16"/>
      <c r="R587" s="16"/>
      <c r="S587" s="16"/>
      <c r="T587" s="16"/>
      <c r="U587" s="16"/>
      <c r="V587" s="16"/>
    </row>
    <row r="588" spans="1:22" ht="15.75" customHeight="1" x14ac:dyDescent="0.25">
      <c r="A588" s="16"/>
      <c r="B588" s="16"/>
      <c r="C588" s="16"/>
      <c r="D588" s="16"/>
      <c r="E588" s="16"/>
      <c r="F588" s="16"/>
      <c r="G588" s="16"/>
      <c r="H588" s="16"/>
      <c r="I588" s="16"/>
      <c r="J588" s="16"/>
      <c r="K588" s="16"/>
      <c r="L588" s="16"/>
      <c r="M588" s="16"/>
      <c r="N588" s="16"/>
      <c r="O588" s="16"/>
      <c r="P588" s="16"/>
      <c r="Q588" s="16"/>
      <c r="R588" s="16"/>
      <c r="S588" s="16"/>
      <c r="T588" s="16"/>
      <c r="U588" s="16"/>
      <c r="V588" s="16"/>
    </row>
    <row r="589" spans="1:22" ht="15.75" customHeight="1" x14ac:dyDescent="0.25">
      <c r="A589" s="16"/>
      <c r="B589" s="16"/>
      <c r="C589" s="16"/>
      <c r="D589" s="16"/>
      <c r="E589" s="16"/>
      <c r="F589" s="16"/>
      <c r="G589" s="16"/>
      <c r="H589" s="16"/>
      <c r="I589" s="16"/>
      <c r="J589" s="16"/>
      <c r="K589" s="16"/>
      <c r="L589" s="16"/>
      <c r="M589" s="16"/>
      <c r="N589" s="16"/>
      <c r="O589" s="16"/>
      <c r="P589" s="16"/>
      <c r="Q589" s="16"/>
      <c r="R589" s="16"/>
      <c r="S589" s="16"/>
      <c r="T589" s="16"/>
      <c r="U589" s="16"/>
      <c r="V589" s="16"/>
    </row>
    <row r="590" spans="1:22" ht="15.75" customHeight="1" x14ac:dyDescent="0.25">
      <c r="A590" s="16"/>
      <c r="B590" s="16"/>
      <c r="C590" s="16"/>
      <c r="D590" s="16"/>
      <c r="E590" s="16"/>
      <c r="F590" s="16"/>
      <c r="G590" s="16"/>
      <c r="H590" s="16"/>
      <c r="I590" s="16"/>
      <c r="J590" s="16"/>
      <c r="K590" s="16"/>
      <c r="L590" s="16"/>
      <c r="M590" s="16"/>
      <c r="N590" s="16"/>
      <c r="O590" s="16"/>
      <c r="P590" s="16"/>
      <c r="Q590" s="16"/>
      <c r="R590" s="16"/>
      <c r="S590" s="16"/>
      <c r="T590" s="16"/>
      <c r="U590" s="16"/>
      <c r="V590" s="16"/>
    </row>
    <row r="591" spans="1:22" ht="15.75" customHeight="1" x14ac:dyDescent="0.25">
      <c r="A591" s="16"/>
      <c r="B591" s="16"/>
      <c r="C591" s="16"/>
      <c r="D591" s="16"/>
      <c r="E591" s="16"/>
      <c r="F591" s="16"/>
      <c r="G591" s="16"/>
      <c r="H591" s="16"/>
      <c r="I591" s="16"/>
      <c r="J591" s="16"/>
      <c r="K591" s="16"/>
      <c r="L591" s="16"/>
      <c r="M591" s="16"/>
      <c r="N591" s="16"/>
      <c r="O591" s="16"/>
      <c r="P591" s="16"/>
      <c r="Q591" s="16"/>
      <c r="R591" s="16"/>
      <c r="S591" s="16"/>
      <c r="T591" s="16"/>
      <c r="U591" s="16"/>
      <c r="V591" s="16"/>
    </row>
    <row r="592" spans="1:22" ht="15.75" customHeight="1" x14ac:dyDescent="0.25">
      <c r="A592" s="16"/>
      <c r="B592" s="16"/>
      <c r="C592" s="16"/>
      <c r="D592" s="16"/>
      <c r="E592" s="16"/>
      <c r="F592" s="16"/>
      <c r="G592" s="16"/>
      <c r="H592" s="16"/>
      <c r="I592" s="16"/>
      <c r="J592" s="16"/>
      <c r="K592" s="16"/>
      <c r="L592" s="16"/>
      <c r="M592" s="16"/>
      <c r="N592" s="16"/>
      <c r="O592" s="16"/>
      <c r="P592" s="16"/>
      <c r="Q592" s="16"/>
      <c r="R592" s="16"/>
      <c r="S592" s="16"/>
      <c r="T592" s="16"/>
      <c r="U592" s="16"/>
      <c r="V592" s="16"/>
    </row>
    <row r="593" spans="1:22" ht="15.75" customHeight="1" x14ac:dyDescent="0.25">
      <c r="A593" s="16"/>
      <c r="B593" s="16"/>
      <c r="C593" s="16"/>
      <c r="D593" s="16"/>
      <c r="E593" s="16"/>
      <c r="F593" s="16"/>
      <c r="G593" s="16"/>
      <c r="H593" s="16"/>
      <c r="I593" s="16"/>
      <c r="J593" s="16"/>
      <c r="K593" s="16"/>
      <c r="L593" s="16"/>
      <c r="M593" s="16"/>
      <c r="N593" s="16"/>
      <c r="O593" s="16"/>
      <c r="P593" s="16"/>
      <c r="Q593" s="16"/>
      <c r="R593" s="16"/>
      <c r="S593" s="16"/>
      <c r="T593" s="16"/>
      <c r="U593" s="16"/>
      <c r="V593" s="16"/>
    </row>
    <row r="594" spans="1:22" ht="15.75" customHeight="1" x14ac:dyDescent="0.25">
      <c r="A594" s="16"/>
      <c r="B594" s="16"/>
      <c r="C594" s="16"/>
      <c r="D594" s="16"/>
      <c r="E594" s="16"/>
      <c r="F594" s="16"/>
      <c r="G594" s="16"/>
      <c r="H594" s="16"/>
      <c r="I594" s="16"/>
      <c r="J594" s="16"/>
      <c r="K594" s="16"/>
      <c r="L594" s="16"/>
      <c r="M594" s="16"/>
      <c r="N594" s="16"/>
      <c r="O594" s="16"/>
      <c r="P594" s="16"/>
      <c r="Q594" s="16"/>
      <c r="R594" s="16"/>
      <c r="S594" s="16"/>
      <c r="T594" s="16"/>
      <c r="U594" s="16"/>
      <c r="V594" s="16"/>
    </row>
    <row r="595" spans="1:22" ht="15.75" customHeight="1" x14ac:dyDescent="0.25">
      <c r="A595" s="16"/>
      <c r="B595" s="16"/>
      <c r="C595" s="16"/>
      <c r="D595" s="16"/>
      <c r="E595" s="16"/>
      <c r="F595" s="16"/>
      <c r="G595" s="16"/>
      <c r="H595" s="16"/>
      <c r="I595" s="16"/>
      <c r="J595" s="16"/>
      <c r="K595" s="16"/>
      <c r="L595" s="16"/>
      <c r="M595" s="16"/>
      <c r="N595" s="16"/>
      <c r="O595" s="16"/>
      <c r="P595" s="16"/>
      <c r="Q595" s="16"/>
      <c r="R595" s="16"/>
      <c r="S595" s="16"/>
      <c r="T595" s="16"/>
      <c r="U595" s="16"/>
      <c r="V595" s="16"/>
    </row>
    <row r="596" spans="1:22" ht="15.75" customHeight="1" x14ac:dyDescent="0.25">
      <c r="A596" s="16"/>
      <c r="B596" s="16"/>
      <c r="C596" s="16"/>
      <c r="D596" s="16"/>
      <c r="E596" s="16"/>
      <c r="F596" s="16"/>
      <c r="G596" s="16"/>
      <c r="H596" s="16"/>
      <c r="I596" s="16"/>
      <c r="J596" s="16"/>
      <c r="K596" s="16"/>
      <c r="L596" s="16"/>
      <c r="M596" s="16"/>
      <c r="N596" s="16"/>
      <c r="O596" s="16"/>
      <c r="P596" s="16"/>
      <c r="Q596" s="16"/>
      <c r="R596" s="16"/>
      <c r="S596" s="16"/>
      <c r="T596" s="16"/>
      <c r="U596" s="16"/>
      <c r="V596" s="16"/>
    </row>
    <row r="597" spans="1:22" ht="15.75" customHeight="1" x14ac:dyDescent="0.25">
      <c r="A597" s="16"/>
      <c r="B597" s="16"/>
      <c r="C597" s="16"/>
      <c r="D597" s="16"/>
      <c r="E597" s="16"/>
      <c r="F597" s="16"/>
      <c r="G597" s="16"/>
      <c r="H597" s="16"/>
      <c r="I597" s="16"/>
      <c r="J597" s="16"/>
      <c r="K597" s="16"/>
      <c r="L597" s="16"/>
      <c r="M597" s="16"/>
      <c r="N597" s="16"/>
      <c r="O597" s="16"/>
      <c r="P597" s="16"/>
      <c r="Q597" s="16"/>
      <c r="R597" s="16"/>
      <c r="S597" s="16"/>
      <c r="T597" s="16"/>
      <c r="U597" s="16"/>
      <c r="V597" s="16"/>
    </row>
    <row r="598" spans="1:22" ht="15.75" customHeight="1" x14ac:dyDescent="0.25">
      <c r="A598" s="16"/>
      <c r="B598" s="16"/>
      <c r="C598" s="16"/>
      <c r="D598" s="16"/>
      <c r="E598" s="16"/>
      <c r="F598" s="16"/>
      <c r="G598" s="16"/>
      <c r="H598" s="16"/>
      <c r="I598" s="16"/>
      <c r="J598" s="16"/>
      <c r="K598" s="16"/>
      <c r="L598" s="16"/>
      <c r="M598" s="16"/>
      <c r="N598" s="16"/>
      <c r="O598" s="16"/>
      <c r="P598" s="16"/>
      <c r="Q598" s="16"/>
      <c r="R598" s="16"/>
      <c r="S598" s="16"/>
      <c r="T598" s="16"/>
      <c r="U598" s="16"/>
      <c r="V598" s="16"/>
    </row>
    <row r="599" spans="1:22" ht="15.75" customHeight="1" x14ac:dyDescent="0.25">
      <c r="A599" s="16"/>
      <c r="B599" s="16"/>
      <c r="C599" s="16"/>
      <c r="D599" s="16"/>
      <c r="E599" s="16"/>
      <c r="F599" s="16"/>
      <c r="G599" s="16"/>
      <c r="H599" s="16"/>
      <c r="I599" s="16"/>
      <c r="J599" s="16"/>
      <c r="K599" s="16"/>
      <c r="L599" s="16"/>
      <c r="M599" s="16"/>
      <c r="N599" s="16"/>
      <c r="O599" s="16"/>
      <c r="P599" s="16"/>
      <c r="Q599" s="16"/>
      <c r="R599" s="16"/>
      <c r="S599" s="16"/>
      <c r="T599" s="16"/>
      <c r="U599" s="16"/>
      <c r="V599" s="16"/>
    </row>
    <row r="600" spans="1:22" ht="15.75" customHeight="1" x14ac:dyDescent="0.25">
      <c r="A600" s="16"/>
      <c r="B600" s="16"/>
      <c r="C600" s="16"/>
      <c r="D600" s="16"/>
      <c r="E600" s="16"/>
      <c r="F600" s="16"/>
      <c r="G600" s="16"/>
      <c r="H600" s="16"/>
      <c r="I600" s="16"/>
      <c r="J600" s="16"/>
      <c r="K600" s="16"/>
      <c r="L600" s="16"/>
      <c r="M600" s="16"/>
      <c r="N600" s="16"/>
      <c r="O600" s="16"/>
      <c r="P600" s="16"/>
      <c r="Q600" s="16"/>
      <c r="R600" s="16"/>
      <c r="S600" s="16"/>
      <c r="T600" s="16"/>
      <c r="U600" s="16"/>
      <c r="V600" s="16"/>
    </row>
    <row r="601" spans="1:22" ht="15.75" customHeight="1" x14ac:dyDescent="0.25">
      <c r="A601" s="16"/>
      <c r="B601" s="16"/>
      <c r="C601" s="16"/>
      <c r="D601" s="16"/>
      <c r="E601" s="16"/>
      <c r="F601" s="16"/>
      <c r="G601" s="16"/>
      <c r="H601" s="16"/>
      <c r="I601" s="16"/>
      <c r="J601" s="16"/>
      <c r="K601" s="16"/>
      <c r="L601" s="16"/>
      <c r="M601" s="16"/>
      <c r="N601" s="16"/>
      <c r="O601" s="16"/>
      <c r="P601" s="16"/>
      <c r="Q601" s="16"/>
      <c r="R601" s="16"/>
      <c r="S601" s="16"/>
      <c r="T601" s="16"/>
      <c r="U601" s="16"/>
      <c r="V601" s="16"/>
    </row>
    <row r="602" spans="1:22" ht="15.75" customHeight="1" x14ac:dyDescent="0.25">
      <c r="A602" s="16"/>
      <c r="B602" s="16"/>
      <c r="C602" s="16"/>
      <c r="D602" s="16"/>
      <c r="E602" s="16"/>
      <c r="F602" s="16"/>
      <c r="G602" s="16"/>
      <c r="H602" s="16"/>
      <c r="I602" s="16"/>
      <c r="J602" s="16"/>
      <c r="K602" s="16"/>
      <c r="L602" s="16"/>
      <c r="M602" s="16"/>
      <c r="N602" s="16"/>
      <c r="O602" s="16"/>
      <c r="P602" s="16"/>
      <c r="Q602" s="16"/>
      <c r="R602" s="16"/>
      <c r="S602" s="16"/>
      <c r="T602" s="16"/>
      <c r="U602" s="16"/>
      <c r="V602" s="16"/>
    </row>
    <row r="603" spans="1:22" ht="15.75" customHeight="1" x14ac:dyDescent="0.25">
      <c r="A603" s="16"/>
      <c r="B603" s="16"/>
      <c r="C603" s="16"/>
      <c r="D603" s="16"/>
      <c r="E603" s="16"/>
      <c r="F603" s="16"/>
      <c r="G603" s="16"/>
      <c r="H603" s="16"/>
      <c r="I603" s="16"/>
      <c r="J603" s="16"/>
      <c r="K603" s="16"/>
      <c r="L603" s="16"/>
      <c r="M603" s="16"/>
      <c r="N603" s="16"/>
      <c r="O603" s="16"/>
      <c r="P603" s="16"/>
      <c r="Q603" s="16"/>
      <c r="R603" s="16"/>
      <c r="S603" s="16"/>
      <c r="T603" s="16"/>
      <c r="U603" s="16"/>
      <c r="V603" s="16"/>
    </row>
    <row r="604" spans="1:22" ht="15.75" customHeight="1" x14ac:dyDescent="0.25">
      <c r="A604" s="16"/>
      <c r="B604" s="16"/>
      <c r="C604" s="16"/>
      <c r="D604" s="16"/>
      <c r="E604" s="16"/>
      <c r="F604" s="16"/>
      <c r="G604" s="16"/>
      <c r="H604" s="16"/>
      <c r="I604" s="16"/>
      <c r="J604" s="16"/>
      <c r="K604" s="16"/>
      <c r="L604" s="16"/>
      <c r="M604" s="16"/>
      <c r="N604" s="16"/>
      <c r="O604" s="16"/>
      <c r="P604" s="16"/>
      <c r="Q604" s="16"/>
      <c r="R604" s="16"/>
      <c r="S604" s="16"/>
      <c r="T604" s="16"/>
      <c r="U604" s="16"/>
      <c r="V604" s="16"/>
    </row>
    <row r="605" spans="1:22" ht="15.75" customHeight="1" x14ac:dyDescent="0.25">
      <c r="A605" s="16"/>
      <c r="B605" s="16"/>
      <c r="C605" s="16"/>
      <c r="D605" s="16"/>
      <c r="E605" s="16"/>
      <c r="F605" s="16"/>
      <c r="G605" s="16"/>
      <c r="H605" s="16"/>
      <c r="I605" s="16"/>
      <c r="J605" s="16"/>
      <c r="K605" s="16"/>
      <c r="L605" s="16"/>
      <c r="M605" s="16"/>
      <c r="N605" s="16"/>
      <c r="O605" s="16"/>
      <c r="P605" s="16"/>
      <c r="Q605" s="16"/>
      <c r="R605" s="16"/>
      <c r="S605" s="16"/>
      <c r="T605" s="16"/>
      <c r="U605" s="16"/>
      <c r="V605" s="16"/>
    </row>
    <row r="606" spans="1:22" ht="15.75" customHeight="1" x14ac:dyDescent="0.25">
      <c r="A606" s="16"/>
      <c r="B606" s="16"/>
      <c r="C606" s="16"/>
      <c r="D606" s="16"/>
      <c r="E606" s="16"/>
      <c r="F606" s="16"/>
      <c r="G606" s="16"/>
      <c r="H606" s="16"/>
      <c r="I606" s="16"/>
      <c r="J606" s="16"/>
      <c r="K606" s="16"/>
      <c r="L606" s="16"/>
      <c r="M606" s="16"/>
      <c r="N606" s="16"/>
      <c r="O606" s="16"/>
      <c r="P606" s="16"/>
      <c r="Q606" s="16"/>
      <c r="R606" s="16"/>
      <c r="S606" s="16"/>
      <c r="T606" s="16"/>
      <c r="U606" s="16"/>
      <c r="V606" s="16"/>
    </row>
    <row r="607" spans="1:22" ht="15.75" customHeight="1" x14ac:dyDescent="0.25">
      <c r="A607" s="16"/>
      <c r="B607" s="16"/>
      <c r="C607" s="16"/>
      <c r="D607" s="16"/>
      <c r="E607" s="16"/>
      <c r="F607" s="16"/>
      <c r="G607" s="16"/>
      <c r="H607" s="16"/>
      <c r="I607" s="16"/>
      <c r="J607" s="16"/>
      <c r="K607" s="16"/>
      <c r="L607" s="16"/>
      <c r="M607" s="16"/>
      <c r="N607" s="16"/>
      <c r="O607" s="16"/>
      <c r="P607" s="16"/>
      <c r="Q607" s="16"/>
      <c r="R607" s="16"/>
      <c r="S607" s="16"/>
      <c r="T607" s="16"/>
      <c r="U607" s="16"/>
      <c r="V607" s="16"/>
    </row>
    <row r="608" spans="1:22" ht="15.75" customHeight="1" x14ac:dyDescent="0.25">
      <c r="A608" s="16"/>
      <c r="B608" s="16"/>
      <c r="C608" s="16"/>
      <c r="D608" s="16"/>
      <c r="E608" s="16"/>
      <c r="F608" s="16"/>
      <c r="G608" s="16"/>
      <c r="H608" s="16"/>
      <c r="I608" s="16"/>
      <c r="J608" s="16"/>
      <c r="K608" s="16"/>
      <c r="L608" s="16"/>
      <c r="M608" s="16"/>
      <c r="N608" s="16"/>
      <c r="O608" s="16"/>
      <c r="P608" s="16"/>
      <c r="Q608" s="16"/>
      <c r="R608" s="16"/>
      <c r="S608" s="16"/>
      <c r="T608" s="16"/>
      <c r="U608" s="16"/>
      <c r="V608" s="16"/>
    </row>
    <row r="609" spans="1:22" ht="15.75" customHeight="1" x14ac:dyDescent="0.25">
      <c r="A609" s="16"/>
      <c r="B609" s="16"/>
      <c r="C609" s="16"/>
      <c r="D609" s="16"/>
      <c r="E609" s="16"/>
      <c r="F609" s="16"/>
      <c r="G609" s="16"/>
      <c r="H609" s="16"/>
      <c r="I609" s="16"/>
      <c r="J609" s="16"/>
      <c r="K609" s="16"/>
      <c r="L609" s="16"/>
      <c r="M609" s="16"/>
      <c r="N609" s="16"/>
      <c r="O609" s="16"/>
      <c r="P609" s="16"/>
      <c r="Q609" s="16"/>
      <c r="R609" s="16"/>
      <c r="S609" s="16"/>
      <c r="T609" s="16"/>
      <c r="U609" s="16"/>
      <c r="V609" s="16"/>
    </row>
    <row r="610" spans="1:22" ht="15.75" customHeight="1" x14ac:dyDescent="0.25">
      <c r="A610" s="16"/>
      <c r="B610" s="16"/>
      <c r="C610" s="16"/>
      <c r="D610" s="16"/>
      <c r="E610" s="16"/>
      <c r="F610" s="16"/>
      <c r="G610" s="16"/>
      <c r="H610" s="16"/>
      <c r="I610" s="16"/>
      <c r="J610" s="16"/>
      <c r="K610" s="16"/>
      <c r="L610" s="16"/>
      <c r="M610" s="16"/>
      <c r="N610" s="16"/>
      <c r="O610" s="16"/>
      <c r="P610" s="16"/>
      <c r="Q610" s="16"/>
      <c r="R610" s="16"/>
      <c r="S610" s="16"/>
      <c r="T610" s="16"/>
      <c r="U610" s="16"/>
      <c r="V610" s="16"/>
    </row>
    <row r="611" spans="1:22" ht="15.75" customHeight="1" x14ac:dyDescent="0.25">
      <c r="A611" s="16"/>
      <c r="B611" s="16"/>
      <c r="C611" s="16"/>
      <c r="D611" s="16"/>
      <c r="E611" s="16"/>
      <c r="F611" s="16"/>
      <c r="G611" s="16"/>
      <c r="H611" s="16"/>
      <c r="I611" s="16"/>
      <c r="J611" s="16"/>
      <c r="K611" s="16"/>
      <c r="L611" s="16"/>
      <c r="M611" s="16"/>
      <c r="N611" s="16"/>
      <c r="O611" s="16"/>
      <c r="P611" s="16"/>
      <c r="Q611" s="16"/>
      <c r="R611" s="16"/>
      <c r="S611" s="16"/>
      <c r="T611" s="16"/>
      <c r="U611" s="16"/>
      <c r="V611" s="16"/>
    </row>
    <row r="612" spans="1:22" ht="15.75" customHeight="1" x14ac:dyDescent="0.25">
      <c r="A612" s="16"/>
      <c r="B612" s="16"/>
      <c r="C612" s="16"/>
      <c r="D612" s="16"/>
      <c r="E612" s="16"/>
      <c r="F612" s="16"/>
      <c r="G612" s="16"/>
      <c r="H612" s="16"/>
      <c r="I612" s="16"/>
      <c r="J612" s="16"/>
      <c r="K612" s="16"/>
      <c r="L612" s="16"/>
      <c r="M612" s="16"/>
      <c r="N612" s="16"/>
      <c r="O612" s="16"/>
      <c r="P612" s="16"/>
      <c r="Q612" s="16"/>
      <c r="R612" s="16"/>
      <c r="S612" s="16"/>
      <c r="T612" s="16"/>
      <c r="U612" s="16"/>
      <c r="V612" s="16"/>
    </row>
    <row r="613" spans="1:22" ht="15.75" customHeight="1" x14ac:dyDescent="0.25">
      <c r="A613" s="16"/>
      <c r="B613" s="16"/>
      <c r="C613" s="16"/>
      <c r="D613" s="16"/>
      <c r="E613" s="16"/>
      <c r="F613" s="16"/>
      <c r="G613" s="16"/>
      <c r="H613" s="16"/>
      <c r="I613" s="16"/>
      <c r="J613" s="16"/>
      <c r="K613" s="16"/>
      <c r="L613" s="16"/>
      <c r="M613" s="16"/>
      <c r="N613" s="16"/>
      <c r="O613" s="16"/>
      <c r="P613" s="16"/>
      <c r="Q613" s="16"/>
      <c r="R613" s="16"/>
      <c r="S613" s="16"/>
      <c r="T613" s="16"/>
      <c r="U613" s="16"/>
      <c r="V613" s="16"/>
    </row>
    <row r="614" spans="1:22" ht="15.75" customHeight="1" x14ac:dyDescent="0.25">
      <c r="A614" s="16"/>
      <c r="B614" s="16"/>
      <c r="C614" s="16"/>
      <c r="D614" s="16"/>
      <c r="E614" s="16"/>
      <c r="F614" s="16"/>
      <c r="G614" s="16"/>
      <c r="H614" s="16"/>
      <c r="I614" s="16"/>
      <c r="J614" s="16"/>
      <c r="K614" s="16"/>
      <c r="L614" s="16"/>
      <c r="M614" s="16"/>
      <c r="N614" s="16"/>
      <c r="O614" s="16"/>
      <c r="P614" s="16"/>
      <c r="Q614" s="16"/>
      <c r="R614" s="16"/>
      <c r="S614" s="16"/>
      <c r="T614" s="16"/>
      <c r="U614" s="16"/>
      <c r="V614" s="16"/>
    </row>
    <row r="615" spans="1:22" ht="15.75" customHeight="1" x14ac:dyDescent="0.25">
      <c r="A615" s="16"/>
      <c r="B615" s="16"/>
      <c r="C615" s="16"/>
      <c r="D615" s="16"/>
      <c r="E615" s="16"/>
      <c r="F615" s="16"/>
      <c r="G615" s="16"/>
      <c r="H615" s="16"/>
      <c r="I615" s="16"/>
      <c r="J615" s="16"/>
      <c r="K615" s="16"/>
      <c r="L615" s="16"/>
      <c r="M615" s="16"/>
      <c r="N615" s="16"/>
      <c r="O615" s="16"/>
      <c r="P615" s="16"/>
      <c r="Q615" s="16"/>
      <c r="R615" s="16"/>
      <c r="S615" s="16"/>
      <c r="T615" s="16"/>
      <c r="U615" s="16"/>
      <c r="V615" s="16"/>
    </row>
    <row r="616" spans="1:22" ht="15.75" customHeight="1" x14ac:dyDescent="0.25">
      <c r="A616" s="16"/>
      <c r="B616" s="16"/>
      <c r="C616" s="16"/>
      <c r="D616" s="16"/>
      <c r="E616" s="16"/>
      <c r="F616" s="16"/>
      <c r="G616" s="16"/>
      <c r="H616" s="16"/>
      <c r="I616" s="16"/>
      <c r="J616" s="16"/>
      <c r="K616" s="16"/>
      <c r="L616" s="16"/>
      <c r="M616" s="16"/>
      <c r="N616" s="16"/>
      <c r="O616" s="16"/>
      <c r="P616" s="16"/>
      <c r="Q616" s="16"/>
      <c r="R616" s="16"/>
      <c r="S616" s="16"/>
      <c r="T616" s="16"/>
      <c r="U616" s="16"/>
      <c r="V616" s="16"/>
    </row>
    <row r="617" spans="1:22" ht="15.75" customHeight="1" x14ac:dyDescent="0.25">
      <c r="A617" s="16"/>
      <c r="B617" s="16"/>
      <c r="C617" s="16"/>
      <c r="D617" s="16"/>
      <c r="E617" s="16"/>
      <c r="F617" s="16"/>
      <c r="G617" s="16"/>
      <c r="H617" s="16"/>
      <c r="I617" s="16"/>
      <c r="J617" s="16"/>
      <c r="K617" s="16"/>
      <c r="L617" s="16"/>
      <c r="M617" s="16"/>
      <c r="N617" s="16"/>
      <c r="O617" s="16"/>
      <c r="P617" s="16"/>
      <c r="Q617" s="16"/>
      <c r="R617" s="16"/>
      <c r="S617" s="16"/>
      <c r="T617" s="16"/>
      <c r="U617" s="16"/>
      <c r="V617" s="16"/>
    </row>
    <row r="618" spans="1:22" ht="15.75" customHeight="1" x14ac:dyDescent="0.25">
      <c r="A618" s="16"/>
      <c r="B618" s="16"/>
      <c r="C618" s="16"/>
      <c r="D618" s="16"/>
      <c r="E618" s="16"/>
      <c r="F618" s="16"/>
      <c r="G618" s="16"/>
      <c r="H618" s="16"/>
      <c r="I618" s="16"/>
      <c r="J618" s="16"/>
      <c r="K618" s="16"/>
      <c r="L618" s="16"/>
      <c r="M618" s="16"/>
      <c r="N618" s="16"/>
      <c r="O618" s="16"/>
      <c r="P618" s="16"/>
      <c r="Q618" s="16"/>
      <c r="R618" s="16"/>
      <c r="S618" s="16"/>
      <c r="T618" s="16"/>
      <c r="U618" s="16"/>
      <c r="V618" s="16"/>
    </row>
    <row r="619" spans="1:22" ht="15.75" customHeight="1" x14ac:dyDescent="0.25">
      <c r="A619" s="16"/>
      <c r="B619" s="16"/>
      <c r="C619" s="16"/>
      <c r="D619" s="16"/>
      <c r="E619" s="16"/>
      <c r="F619" s="16"/>
      <c r="G619" s="16"/>
      <c r="H619" s="16"/>
      <c r="I619" s="16"/>
      <c r="J619" s="16"/>
      <c r="K619" s="16"/>
      <c r="L619" s="16"/>
      <c r="M619" s="16"/>
      <c r="N619" s="16"/>
      <c r="O619" s="16"/>
      <c r="P619" s="16"/>
      <c r="Q619" s="16"/>
      <c r="R619" s="16"/>
      <c r="S619" s="16"/>
      <c r="T619" s="16"/>
      <c r="U619" s="16"/>
      <c r="V619" s="16"/>
    </row>
    <row r="620" spans="1:22" ht="15.75" customHeight="1" x14ac:dyDescent="0.25">
      <c r="A620" s="16"/>
      <c r="B620" s="16"/>
      <c r="C620" s="16"/>
      <c r="D620" s="16"/>
      <c r="E620" s="16"/>
      <c r="F620" s="16"/>
      <c r="G620" s="16"/>
      <c r="H620" s="16"/>
      <c r="I620" s="16"/>
      <c r="J620" s="16"/>
      <c r="K620" s="16"/>
      <c r="L620" s="16"/>
      <c r="M620" s="16"/>
      <c r="N620" s="16"/>
      <c r="O620" s="16"/>
      <c r="P620" s="16"/>
      <c r="Q620" s="16"/>
      <c r="R620" s="16"/>
      <c r="S620" s="16"/>
      <c r="T620" s="16"/>
      <c r="U620" s="16"/>
      <c r="V620" s="16"/>
    </row>
    <row r="621" spans="1:22" ht="15.75" customHeight="1" x14ac:dyDescent="0.25">
      <c r="A621" s="16"/>
      <c r="B621" s="16"/>
      <c r="C621" s="16"/>
      <c r="D621" s="16"/>
      <c r="E621" s="16"/>
      <c r="F621" s="16"/>
      <c r="G621" s="16"/>
      <c r="H621" s="16"/>
      <c r="I621" s="16"/>
      <c r="J621" s="16"/>
      <c r="K621" s="16"/>
      <c r="L621" s="16"/>
      <c r="M621" s="16"/>
      <c r="N621" s="16"/>
      <c r="O621" s="16"/>
      <c r="P621" s="16"/>
      <c r="Q621" s="16"/>
      <c r="R621" s="16"/>
      <c r="S621" s="16"/>
      <c r="T621" s="16"/>
      <c r="U621" s="16"/>
      <c r="V621" s="16"/>
    </row>
    <row r="622" spans="1:22" ht="15.75" customHeight="1" x14ac:dyDescent="0.25">
      <c r="A622" s="16"/>
      <c r="B622" s="16"/>
      <c r="C622" s="16"/>
      <c r="D622" s="16"/>
      <c r="E622" s="16"/>
      <c r="F622" s="16"/>
      <c r="G622" s="16"/>
      <c r="H622" s="16"/>
      <c r="I622" s="16"/>
      <c r="J622" s="16"/>
      <c r="K622" s="16"/>
      <c r="L622" s="16"/>
      <c r="M622" s="16"/>
      <c r="N622" s="16"/>
      <c r="O622" s="16"/>
      <c r="P622" s="16"/>
      <c r="Q622" s="16"/>
      <c r="R622" s="16"/>
      <c r="S622" s="16"/>
      <c r="T622" s="16"/>
      <c r="U622" s="16"/>
      <c r="V622" s="16"/>
    </row>
    <row r="623" spans="1:22" ht="15.75" customHeight="1" x14ac:dyDescent="0.25">
      <c r="A623" s="16"/>
      <c r="B623" s="16"/>
      <c r="C623" s="16"/>
      <c r="D623" s="16"/>
      <c r="E623" s="16"/>
      <c r="F623" s="16"/>
      <c r="G623" s="16"/>
      <c r="H623" s="16"/>
      <c r="I623" s="16"/>
      <c r="J623" s="16"/>
      <c r="K623" s="16"/>
      <c r="L623" s="16"/>
      <c r="M623" s="16"/>
      <c r="N623" s="16"/>
      <c r="O623" s="16"/>
      <c r="P623" s="16"/>
      <c r="Q623" s="16"/>
      <c r="R623" s="16"/>
      <c r="S623" s="16"/>
      <c r="T623" s="16"/>
      <c r="U623" s="16"/>
      <c r="V623" s="16"/>
    </row>
    <row r="624" spans="1:22" ht="15.75" customHeight="1" x14ac:dyDescent="0.25">
      <c r="A624" s="16"/>
      <c r="B624" s="16"/>
      <c r="C624" s="16"/>
      <c r="D624" s="16"/>
      <c r="E624" s="16"/>
      <c r="F624" s="16"/>
      <c r="G624" s="16"/>
      <c r="H624" s="16"/>
      <c r="I624" s="16"/>
      <c r="J624" s="16"/>
      <c r="K624" s="16"/>
      <c r="L624" s="16"/>
      <c r="M624" s="16"/>
      <c r="N624" s="16"/>
      <c r="O624" s="16"/>
      <c r="P624" s="16"/>
      <c r="Q624" s="16"/>
      <c r="R624" s="16"/>
      <c r="S624" s="16"/>
      <c r="T624" s="16"/>
      <c r="U624" s="16"/>
      <c r="V624" s="16"/>
    </row>
    <row r="625" spans="1:22" ht="15.75" customHeight="1" x14ac:dyDescent="0.25">
      <c r="A625" s="16"/>
      <c r="B625" s="16"/>
      <c r="C625" s="16"/>
      <c r="D625" s="16"/>
      <c r="E625" s="16"/>
      <c r="F625" s="16"/>
      <c r="G625" s="16"/>
      <c r="H625" s="16"/>
      <c r="I625" s="16"/>
      <c r="J625" s="16"/>
      <c r="K625" s="16"/>
      <c r="L625" s="16"/>
      <c r="M625" s="16"/>
      <c r="N625" s="16"/>
      <c r="O625" s="16"/>
      <c r="P625" s="16"/>
      <c r="Q625" s="16"/>
      <c r="R625" s="16"/>
      <c r="S625" s="16"/>
      <c r="T625" s="16"/>
      <c r="U625" s="16"/>
      <c r="V625" s="16"/>
    </row>
    <row r="626" spans="1:22" ht="15.75" customHeight="1" x14ac:dyDescent="0.25">
      <c r="A626" s="16"/>
      <c r="B626" s="16"/>
      <c r="C626" s="16"/>
      <c r="D626" s="16"/>
      <c r="E626" s="16"/>
      <c r="F626" s="16"/>
      <c r="G626" s="16"/>
      <c r="H626" s="16"/>
      <c r="I626" s="16"/>
      <c r="J626" s="16"/>
      <c r="K626" s="16"/>
      <c r="L626" s="16"/>
      <c r="M626" s="16"/>
      <c r="N626" s="16"/>
      <c r="O626" s="16"/>
      <c r="P626" s="16"/>
      <c r="Q626" s="16"/>
      <c r="R626" s="16"/>
      <c r="S626" s="16"/>
      <c r="T626" s="16"/>
      <c r="U626" s="16"/>
      <c r="V626" s="16"/>
    </row>
    <row r="627" spans="1:22" ht="15.75" customHeight="1" x14ac:dyDescent="0.25">
      <c r="A627" s="16"/>
      <c r="B627" s="16"/>
      <c r="C627" s="16"/>
      <c r="D627" s="16"/>
      <c r="E627" s="16"/>
      <c r="F627" s="16"/>
      <c r="G627" s="16"/>
      <c r="H627" s="16"/>
      <c r="I627" s="16"/>
      <c r="J627" s="16"/>
      <c r="K627" s="16"/>
      <c r="L627" s="16"/>
      <c r="M627" s="16"/>
      <c r="N627" s="16"/>
      <c r="O627" s="16"/>
      <c r="P627" s="16"/>
      <c r="Q627" s="16"/>
      <c r="R627" s="16"/>
      <c r="S627" s="16"/>
      <c r="T627" s="16"/>
      <c r="U627" s="16"/>
      <c r="V627" s="16"/>
    </row>
    <row r="628" spans="1:22" ht="15.75" customHeight="1" x14ac:dyDescent="0.25">
      <c r="A628" s="16"/>
      <c r="B628" s="16"/>
      <c r="C628" s="16"/>
      <c r="D628" s="16"/>
      <c r="E628" s="16"/>
      <c r="F628" s="16"/>
      <c r="G628" s="16"/>
      <c r="H628" s="16"/>
      <c r="I628" s="16"/>
      <c r="J628" s="16"/>
      <c r="K628" s="16"/>
      <c r="L628" s="16"/>
      <c r="M628" s="16"/>
      <c r="N628" s="16"/>
      <c r="O628" s="16"/>
      <c r="P628" s="16"/>
      <c r="Q628" s="16"/>
      <c r="R628" s="16"/>
      <c r="S628" s="16"/>
      <c r="T628" s="16"/>
      <c r="U628" s="16"/>
      <c r="V628" s="16"/>
    </row>
    <row r="629" spans="1:22" ht="15.75" customHeight="1" x14ac:dyDescent="0.25">
      <c r="A629" s="16"/>
      <c r="B629" s="16"/>
      <c r="C629" s="16"/>
      <c r="D629" s="16"/>
      <c r="E629" s="16"/>
      <c r="F629" s="16"/>
      <c r="G629" s="16"/>
      <c r="H629" s="16"/>
      <c r="I629" s="16"/>
      <c r="J629" s="16"/>
      <c r="K629" s="16"/>
      <c r="L629" s="16"/>
      <c r="M629" s="16"/>
      <c r="N629" s="16"/>
      <c r="O629" s="16"/>
      <c r="P629" s="16"/>
      <c r="Q629" s="16"/>
      <c r="R629" s="16"/>
      <c r="S629" s="16"/>
      <c r="T629" s="16"/>
      <c r="U629" s="16"/>
      <c r="V629" s="16"/>
    </row>
    <row r="630" spans="1:22" ht="15.75" customHeight="1" x14ac:dyDescent="0.25">
      <c r="A630" s="16"/>
      <c r="B630" s="16"/>
      <c r="C630" s="16"/>
      <c r="D630" s="16"/>
      <c r="E630" s="16"/>
      <c r="F630" s="16"/>
      <c r="G630" s="16"/>
      <c r="H630" s="16"/>
      <c r="I630" s="16"/>
      <c r="J630" s="16"/>
      <c r="K630" s="16"/>
      <c r="L630" s="16"/>
      <c r="M630" s="16"/>
      <c r="N630" s="16"/>
      <c r="O630" s="16"/>
      <c r="P630" s="16"/>
      <c r="Q630" s="16"/>
      <c r="R630" s="16"/>
      <c r="S630" s="16"/>
      <c r="T630" s="16"/>
      <c r="U630" s="16"/>
      <c r="V630" s="16"/>
    </row>
    <row r="631" spans="1:22" ht="15.75" customHeight="1" x14ac:dyDescent="0.25">
      <c r="A631" s="16"/>
      <c r="B631" s="16"/>
      <c r="C631" s="16"/>
      <c r="D631" s="16"/>
      <c r="E631" s="16"/>
      <c r="F631" s="16"/>
      <c r="G631" s="16"/>
      <c r="H631" s="16"/>
      <c r="I631" s="16"/>
      <c r="J631" s="16"/>
      <c r="K631" s="16"/>
      <c r="L631" s="16"/>
      <c r="M631" s="16"/>
      <c r="N631" s="16"/>
      <c r="O631" s="16"/>
      <c r="P631" s="16"/>
      <c r="Q631" s="16"/>
      <c r="R631" s="16"/>
      <c r="S631" s="16"/>
      <c r="T631" s="16"/>
      <c r="U631" s="16"/>
      <c r="V631" s="16"/>
    </row>
    <row r="632" spans="1:22" ht="15.75" customHeight="1" x14ac:dyDescent="0.25">
      <c r="A632" s="16"/>
      <c r="B632" s="16"/>
      <c r="C632" s="16"/>
      <c r="D632" s="16"/>
      <c r="E632" s="16"/>
      <c r="F632" s="16"/>
      <c r="G632" s="16"/>
      <c r="H632" s="16"/>
      <c r="I632" s="16"/>
      <c r="J632" s="16"/>
      <c r="K632" s="16"/>
      <c r="L632" s="16"/>
      <c r="M632" s="16"/>
      <c r="N632" s="16"/>
      <c r="O632" s="16"/>
      <c r="P632" s="16"/>
      <c r="Q632" s="16"/>
      <c r="R632" s="16"/>
      <c r="S632" s="16"/>
      <c r="T632" s="16"/>
      <c r="U632" s="16"/>
      <c r="V632" s="16"/>
    </row>
    <row r="633" spans="1:22" ht="15.75" customHeight="1" x14ac:dyDescent="0.25">
      <c r="A633" s="16"/>
      <c r="B633" s="16"/>
      <c r="C633" s="16"/>
      <c r="D633" s="16"/>
      <c r="E633" s="16"/>
      <c r="F633" s="16"/>
      <c r="G633" s="16"/>
      <c r="H633" s="16"/>
      <c r="I633" s="16"/>
      <c r="J633" s="16"/>
      <c r="K633" s="16"/>
      <c r="L633" s="16"/>
      <c r="M633" s="16"/>
      <c r="N633" s="16"/>
      <c r="O633" s="16"/>
      <c r="P633" s="16"/>
      <c r="Q633" s="16"/>
      <c r="R633" s="16"/>
      <c r="S633" s="16"/>
      <c r="T633" s="16"/>
      <c r="U633" s="16"/>
      <c r="V633" s="16"/>
    </row>
    <row r="634" spans="1:22" ht="15.75" customHeight="1" x14ac:dyDescent="0.25">
      <c r="A634" s="16"/>
      <c r="B634" s="16"/>
      <c r="C634" s="16"/>
      <c r="D634" s="16"/>
      <c r="E634" s="16"/>
      <c r="F634" s="16"/>
      <c r="G634" s="16"/>
      <c r="H634" s="16"/>
      <c r="I634" s="16"/>
      <c r="J634" s="16"/>
      <c r="K634" s="16"/>
      <c r="L634" s="16"/>
      <c r="M634" s="16"/>
      <c r="N634" s="16"/>
      <c r="O634" s="16"/>
      <c r="P634" s="16"/>
      <c r="Q634" s="16"/>
      <c r="R634" s="16"/>
      <c r="S634" s="16"/>
      <c r="T634" s="16"/>
      <c r="U634" s="16"/>
      <c r="V634" s="16"/>
    </row>
    <row r="635" spans="1:22" ht="15.75" customHeight="1" x14ac:dyDescent="0.25">
      <c r="A635" s="16"/>
      <c r="B635" s="16"/>
      <c r="C635" s="16"/>
      <c r="D635" s="16"/>
      <c r="E635" s="16"/>
      <c r="F635" s="16"/>
      <c r="G635" s="16"/>
      <c r="H635" s="16"/>
      <c r="I635" s="16"/>
      <c r="J635" s="16"/>
      <c r="K635" s="16"/>
      <c r="L635" s="16"/>
      <c r="M635" s="16"/>
      <c r="N635" s="16"/>
      <c r="O635" s="16"/>
      <c r="P635" s="16"/>
      <c r="Q635" s="16"/>
      <c r="R635" s="16"/>
      <c r="S635" s="16"/>
      <c r="T635" s="16"/>
      <c r="U635" s="16"/>
      <c r="V635" s="16"/>
    </row>
    <row r="636" spans="1:22" ht="15.75" customHeight="1" x14ac:dyDescent="0.25">
      <c r="A636" s="16"/>
      <c r="B636" s="16"/>
      <c r="C636" s="16"/>
      <c r="D636" s="16"/>
      <c r="E636" s="16"/>
      <c r="F636" s="16"/>
      <c r="G636" s="16"/>
      <c r="H636" s="16"/>
      <c r="I636" s="16"/>
      <c r="J636" s="16"/>
      <c r="K636" s="16"/>
      <c r="L636" s="16"/>
      <c r="M636" s="16"/>
      <c r="N636" s="16"/>
      <c r="O636" s="16"/>
      <c r="P636" s="16"/>
      <c r="Q636" s="16"/>
      <c r="R636" s="16"/>
      <c r="S636" s="16"/>
      <c r="T636" s="16"/>
      <c r="U636" s="16"/>
      <c r="V636" s="16"/>
    </row>
    <row r="637" spans="1:22" ht="15.75" customHeight="1" x14ac:dyDescent="0.25">
      <c r="A637" s="16"/>
      <c r="B637" s="16"/>
      <c r="C637" s="16"/>
      <c r="D637" s="16"/>
      <c r="E637" s="16"/>
      <c r="F637" s="16"/>
      <c r="G637" s="16"/>
      <c r="H637" s="16"/>
      <c r="I637" s="16"/>
      <c r="J637" s="16"/>
      <c r="K637" s="16"/>
      <c r="L637" s="16"/>
      <c r="M637" s="16"/>
      <c r="N637" s="16"/>
      <c r="O637" s="16"/>
      <c r="P637" s="16"/>
      <c r="Q637" s="16"/>
      <c r="R637" s="16"/>
      <c r="S637" s="16"/>
      <c r="T637" s="16"/>
      <c r="U637" s="16"/>
      <c r="V637" s="16"/>
    </row>
    <row r="638" spans="1:22" ht="15.75" customHeight="1" x14ac:dyDescent="0.25">
      <c r="A638" s="16"/>
      <c r="B638" s="16"/>
      <c r="C638" s="16"/>
      <c r="D638" s="16"/>
      <c r="E638" s="16"/>
      <c r="F638" s="16"/>
      <c r="G638" s="16"/>
      <c r="H638" s="16"/>
      <c r="I638" s="16"/>
      <c r="J638" s="16"/>
      <c r="K638" s="16"/>
      <c r="L638" s="16"/>
      <c r="M638" s="16"/>
      <c r="N638" s="16"/>
      <c r="O638" s="16"/>
      <c r="P638" s="16"/>
      <c r="Q638" s="16"/>
      <c r="R638" s="16"/>
      <c r="S638" s="16"/>
      <c r="T638" s="16"/>
      <c r="U638" s="16"/>
      <c r="V638" s="16"/>
    </row>
    <row r="639" spans="1:22" ht="15.75" customHeight="1" x14ac:dyDescent="0.25">
      <c r="A639" s="16"/>
      <c r="B639" s="16"/>
      <c r="C639" s="16"/>
      <c r="D639" s="16"/>
      <c r="E639" s="16"/>
      <c r="F639" s="16"/>
      <c r="G639" s="16"/>
      <c r="H639" s="16"/>
      <c r="I639" s="16"/>
      <c r="J639" s="16"/>
      <c r="K639" s="16"/>
      <c r="L639" s="16"/>
      <c r="M639" s="16"/>
      <c r="N639" s="16"/>
      <c r="O639" s="16"/>
      <c r="P639" s="16"/>
      <c r="Q639" s="16"/>
      <c r="R639" s="16"/>
      <c r="S639" s="16"/>
      <c r="T639" s="16"/>
      <c r="U639" s="16"/>
      <c r="V639" s="16"/>
    </row>
    <row r="640" spans="1:22" ht="15.75" customHeight="1" x14ac:dyDescent="0.25">
      <c r="A640" s="16"/>
      <c r="B640" s="16"/>
      <c r="C640" s="16"/>
      <c r="D640" s="16"/>
      <c r="E640" s="16"/>
      <c r="F640" s="16"/>
      <c r="G640" s="16"/>
      <c r="H640" s="16"/>
      <c r="I640" s="16"/>
      <c r="J640" s="16"/>
      <c r="K640" s="16"/>
      <c r="L640" s="16"/>
      <c r="M640" s="16"/>
      <c r="N640" s="16"/>
      <c r="O640" s="16"/>
      <c r="P640" s="16"/>
      <c r="Q640" s="16"/>
      <c r="R640" s="16"/>
      <c r="S640" s="16"/>
      <c r="T640" s="16"/>
      <c r="U640" s="16"/>
      <c r="V640" s="16"/>
    </row>
    <row r="641" spans="1:22" ht="15.75" customHeight="1" x14ac:dyDescent="0.25">
      <c r="A641" s="16"/>
      <c r="B641" s="16"/>
      <c r="C641" s="16"/>
      <c r="D641" s="16"/>
      <c r="E641" s="16"/>
      <c r="F641" s="16"/>
      <c r="G641" s="16"/>
      <c r="H641" s="16"/>
      <c r="I641" s="16"/>
      <c r="J641" s="16"/>
      <c r="K641" s="16"/>
      <c r="L641" s="16"/>
      <c r="M641" s="16"/>
      <c r="N641" s="16"/>
      <c r="O641" s="16"/>
      <c r="P641" s="16"/>
      <c r="Q641" s="16"/>
      <c r="R641" s="16"/>
      <c r="S641" s="16"/>
      <c r="T641" s="16"/>
      <c r="U641" s="16"/>
      <c r="V641" s="16"/>
    </row>
    <row r="642" spans="1:22" ht="15.75" customHeight="1" x14ac:dyDescent="0.25">
      <c r="A642" s="16"/>
      <c r="B642" s="16"/>
      <c r="C642" s="16"/>
      <c r="D642" s="16"/>
      <c r="E642" s="16"/>
      <c r="F642" s="16"/>
      <c r="G642" s="16"/>
      <c r="H642" s="16"/>
      <c r="I642" s="16"/>
      <c r="J642" s="16"/>
      <c r="K642" s="16"/>
      <c r="L642" s="16"/>
      <c r="M642" s="16"/>
      <c r="N642" s="16"/>
      <c r="O642" s="16"/>
      <c r="P642" s="16"/>
      <c r="Q642" s="16"/>
      <c r="R642" s="16"/>
      <c r="S642" s="16"/>
      <c r="T642" s="16"/>
      <c r="U642" s="16"/>
      <c r="V642" s="16"/>
    </row>
    <row r="643" spans="1:22" ht="15.75" customHeight="1" x14ac:dyDescent="0.25">
      <c r="A643" s="16"/>
      <c r="B643" s="16"/>
      <c r="C643" s="16"/>
      <c r="D643" s="16"/>
      <c r="E643" s="16"/>
      <c r="F643" s="16"/>
      <c r="G643" s="16"/>
      <c r="H643" s="16"/>
      <c r="I643" s="16"/>
      <c r="J643" s="16"/>
      <c r="K643" s="16"/>
      <c r="L643" s="16"/>
      <c r="M643" s="16"/>
      <c r="N643" s="16"/>
      <c r="O643" s="16"/>
      <c r="P643" s="16"/>
      <c r="Q643" s="16"/>
      <c r="R643" s="16"/>
      <c r="S643" s="16"/>
      <c r="T643" s="16"/>
      <c r="U643" s="16"/>
      <c r="V643" s="16"/>
    </row>
    <row r="644" spans="1:22" ht="15.75" customHeight="1" x14ac:dyDescent="0.25">
      <c r="A644" s="16"/>
      <c r="B644" s="16"/>
      <c r="C644" s="16"/>
      <c r="D644" s="16"/>
      <c r="E644" s="16"/>
      <c r="F644" s="16"/>
      <c r="G644" s="16"/>
      <c r="H644" s="16"/>
      <c r="I644" s="16"/>
      <c r="J644" s="16"/>
      <c r="K644" s="16"/>
      <c r="L644" s="16"/>
      <c r="M644" s="16"/>
      <c r="N644" s="16"/>
      <c r="O644" s="16"/>
      <c r="P644" s="16"/>
      <c r="Q644" s="16"/>
      <c r="R644" s="16"/>
      <c r="S644" s="16"/>
      <c r="T644" s="16"/>
      <c r="U644" s="16"/>
      <c r="V644" s="16"/>
    </row>
    <row r="645" spans="1:22" ht="15.75" customHeight="1" x14ac:dyDescent="0.25">
      <c r="A645" s="16"/>
      <c r="B645" s="16"/>
      <c r="C645" s="16"/>
      <c r="D645" s="16"/>
      <c r="E645" s="16"/>
      <c r="F645" s="16"/>
      <c r="G645" s="16"/>
      <c r="H645" s="16"/>
      <c r="I645" s="16"/>
      <c r="J645" s="16"/>
      <c r="K645" s="16"/>
      <c r="L645" s="16"/>
      <c r="M645" s="16"/>
      <c r="N645" s="16"/>
      <c r="O645" s="16"/>
      <c r="P645" s="16"/>
      <c r="Q645" s="16"/>
      <c r="R645" s="16"/>
      <c r="S645" s="16"/>
      <c r="T645" s="16"/>
      <c r="U645" s="16"/>
      <c r="V645" s="16"/>
    </row>
    <row r="646" spans="1:22" ht="15.75" customHeight="1" x14ac:dyDescent="0.25">
      <c r="A646" s="16"/>
      <c r="B646" s="16"/>
      <c r="C646" s="16"/>
      <c r="D646" s="16"/>
      <c r="E646" s="16"/>
      <c r="F646" s="16"/>
      <c r="G646" s="16"/>
      <c r="H646" s="16"/>
      <c r="I646" s="16"/>
      <c r="J646" s="16"/>
      <c r="K646" s="16"/>
      <c r="L646" s="16"/>
      <c r="M646" s="16"/>
      <c r="N646" s="16"/>
      <c r="O646" s="16"/>
      <c r="P646" s="16"/>
      <c r="Q646" s="16"/>
      <c r="R646" s="16"/>
      <c r="S646" s="16"/>
      <c r="T646" s="16"/>
      <c r="U646" s="16"/>
      <c r="V646" s="16"/>
    </row>
    <row r="647" spans="1:22" ht="15.75" customHeight="1" x14ac:dyDescent="0.25">
      <c r="A647" s="16"/>
      <c r="B647" s="16"/>
      <c r="C647" s="16"/>
      <c r="D647" s="16"/>
      <c r="E647" s="16"/>
      <c r="F647" s="16"/>
      <c r="G647" s="16"/>
      <c r="H647" s="16"/>
      <c r="I647" s="16"/>
      <c r="J647" s="16"/>
      <c r="K647" s="16"/>
      <c r="L647" s="16"/>
      <c r="M647" s="16"/>
      <c r="N647" s="16"/>
      <c r="O647" s="16"/>
      <c r="P647" s="16"/>
      <c r="Q647" s="16"/>
      <c r="R647" s="16"/>
      <c r="S647" s="16"/>
      <c r="T647" s="16"/>
      <c r="U647" s="16"/>
      <c r="V647" s="16"/>
    </row>
    <row r="648" spans="1:22" ht="15.75" customHeight="1" x14ac:dyDescent="0.25">
      <c r="A648" s="16"/>
      <c r="B648" s="16"/>
      <c r="C648" s="16"/>
      <c r="D648" s="16"/>
      <c r="E648" s="16"/>
      <c r="F648" s="16"/>
      <c r="G648" s="16"/>
      <c r="H648" s="16"/>
      <c r="I648" s="16"/>
      <c r="J648" s="16"/>
      <c r="K648" s="16"/>
      <c r="L648" s="16"/>
      <c r="M648" s="16"/>
      <c r="N648" s="16"/>
      <c r="O648" s="16"/>
      <c r="P648" s="16"/>
      <c r="Q648" s="16"/>
      <c r="R648" s="16"/>
      <c r="S648" s="16"/>
      <c r="T648" s="16"/>
      <c r="U648" s="16"/>
      <c r="V648" s="16"/>
    </row>
    <row r="649" spans="1:22" ht="15.75" customHeight="1" x14ac:dyDescent="0.25">
      <c r="A649" s="16"/>
      <c r="B649" s="16"/>
      <c r="C649" s="16"/>
      <c r="D649" s="16"/>
      <c r="E649" s="16"/>
      <c r="F649" s="16"/>
      <c r="G649" s="16"/>
      <c r="H649" s="16"/>
      <c r="I649" s="16"/>
      <c r="J649" s="16"/>
      <c r="K649" s="16"/>
      <c r="L649" s="16"/>
      <c r="M649" s="16"/>
      <c r="N649" s="16"/>
      <c r="O649" s="16"/>
      <c r="P649" s="16"/>
      <c r="Q649" s="16"/>
      <c r="R649" s="16"/>
      <c r="S649" s="16"/>
      <c r="T649" s="16"/>
      <c r="U649" s="16"/>
      <c r="V649" s="16"/>
    </row>
    <row r="650" spans="1:22" ht="15.75" customHeight="1" x14ac:dyDescent="0.25">
      <c r="A650" s="16"/>
      <c r="B650" s="16"/>
      <c r="C650" s="16"/>
      <c r="D650" s="16"/>
      <c r="E650" s="16"/>
      <c r="F650" s="16"/>
      <c r="G650" s="16"/>
      <c r="H650" s="16"/>
      <c r="I650" s="16"/>
      <c r="J650" s="16"/>
      <c r="K650" s="16"/>
      <c r="L650" s="16"/>
      <c r="M650" s="16"/>
      <c r="N650" s="16"/>
      <c r="O650" s="16"/>
      <c r="P650" s="16"/>
      <c r="Q650" s="16"/>
      <c r="R650" s="16"/>
      <c r="S650" s="16"/>
      <c r="T650" s="16"/>
      <c r="U650" s="16"/>
      <c r="V650" s="16"/>
    </row>
    <row r="651" spans="1:22" ht="15.75" customHeight="1" x14ac:dyDescent="0.25">
      <c r="A651" s="16"/>
      <c r="B651" s="16"/>
      <c r="C651" s="16"/>
      <c r="D651" s="16"/>
      <c r="E651" s="16"/>
      <c r="F651" s="16"/>
      <c r="G651" s="16"/>
      <c r="H651" s="16"/>
      <c r="I651" s="16"/>
      <c r="J651" s="16"/>
      <c r="K651" s="16"/>
      <c r="L651" s="16"/>
      <c r="M651" s="16"/>
      <c r="N651" s="16"/>
      <c r="O651" s="16"/>
      <c r="P651" s="16"/>
      <c r="Q651" s="16"/>
      <c r="R651" s="16"/>
      <c r="S651" s="16"/>
      <c r="T651" s="16"/>
      <c r="U651" s="16"/>
      <c r="V651" s="16"/>
    </row>
    <row r="652" spans="1:22" ht="15.75" customHeight="1" x14ac:dyDescent="0.25">
      <c r="A652" s="16"/>
      <c r="B652" s="16"/>
      <c r="C652" s="16"/>
      <c r="D652" s="16"/>
      <c r="E652" s="16"/>
      <c r="F652" s="16"/>
      <c r="G652" s="16"/>
      <c r="H652" s="16"/>
      <c r="I652" s="16"/>
      <c r="J652" s="16"/>
      <c r="K652" s="16"/>
      <c r="L652" s="16"/>
      <c r="M652" s="16"/>
      <c r="N652" s="16"/>
      <c r="O652" s="16"/>
      <c r="P652" s="16"/>
      <c r="Q652" s="16"/>
      <c r="R652" s="16"/>
      <c r="S652" s="16"/>
      <c r="T652" s="16"/>
      <c r="U652" s="16"/>
      <c r="V652" s="16"/>
    </row>
    <row r="653" spans="1:22" ht="15.75" customHeight="1" x14ac:dyDescent="0.25">
      <c r="A653" s="16"/>
      <c r="B653" s="16"/>
      <c r="C653" s="16"/>
      <c r="D653" s="16"/>
      <c r="E653" s="16"/>
      <c r="F653" s="16"/>
      <c r="G653" s="16"/>
      <c r="H653" s="16"/>
      <c r="I653" s="16"/>
      <c r="J653" s="16"/>
      <c r="K653" s="16"/>
      <c r="L653" s="16"/>
      <c r="M653" s="16"/>
      <c r="N653" s="16"/>
      <c r="O653" s="16"/>
      <c r="P653" s="16"/>
      <c r="Q653" s="16"/>
      <c r="R653" s="16"/>
      <c r="S653" s="16"/>
      <c r="T653" s="16"/>
      <c r="U653" s="16"/>
      <c r="V653" s="16"/>
    </row>
    <row r="654" spans="1:22" ht="15.75" customHeight="1" x14ac:dyDescent="0.25">
      <c r="A654" s="16"/>
      <c r="B654" s="16"/>
      <c r="C654" s="16"/>
      <c r="D654" s="16"/>
      <c r="E654" s="16"/>
      <c r="F654" s="16"/>
      <c r="G654" s="16"/>
      <c r="H654" s="16"/>
      <c r="I654" s="16"/>
      <c r="J654" s="16"/>
      <c r="K654" s="16"/>
      <c r="L654" s="16"/>
      <c r="M654" s="16"/>
      <c r="N654" s="16"/>
      <c r="O654" s="16"/>
      <c r="P654" s="16"/>
      <c r="Q654" s="16"/>
      <c r="R654" s="16"/>
      <c r="S654" s="16"/>
      <c r="T654" s="16"/>
      <c r="U654" s="16"/>
      <c r="V654" s="16"/>
    </row>
    <row r="655" spans="1:22" ht="15.75" customHeight="1" x14ac:dyDescent="0.25">
      <c r="A655" s="16"/>
      <c r="B655" s="16"/>
      <c r="C655" s="16"/>
      <c r="D655" s="16"/>
      <c r="E655" s="16"/>
      <c r="F655" s="16"/>
      <c r="G655" s="16"/>
      <c r="H655" s="16"/>
      <c r="I655" s="16"/>
      <c r="J655" s="16"/>
      <c r="K655" s="16"/>
      <c r="L655" s="16"/>
      <c r="M655" s="16"/>
      <c r="N655" s="16"/>
      <c r="O655" s="16"/>
      <c r="P655" s="16"/>
      <c r="Q655" s="16"/>
      <c r="R655" s="16"/>
      <c r="S655" s="16"/>
      <c r="T655" s="16"/>
      <c r="U655" s="16"/>
      <c r="V655" s="16"/>
    </row>
    <row r="656" spans="1:22" ht="15.75" customHeight="1" x14ac:dyDescent="0.25">
      <c r="A656" s="16"/>
      <c r="B656" s="16"/>
      <c r="C656" s="16"/>
      <c r="D656" s="16"/>
      <c r="E656" s="16"/>
      <c r="F656" s="16"/>
      <c r="G656" s="16"/>
      <c r="H656" s="16"/>
      <c r="I656" s="16"/>
      <c r="J656" s="16"/>
      <c r="K656" s="16"/>
      <c r="L656" s="16"/>
      <c r="M656" s="16"/>
      <c r="N656" s="16"/>
      <c r="O656" s="16"/>
      <c r="P656" s="16"/>
      <c r="Q656" s="16"/>
      <c r="R656" s="16"/>
      <c r="S656" s="16"/>
      <c r="T656" s="16"/>
      <c r="U656" s="16"/>
      <c r="V656" s="16"/>
    </row>
    <row r="657" spans="1:22" ht="15.75" customHeight="1" x14ac:dyDescent="0.25">
      <c r="A657" s="16"/>
      <c r="B657" s="16"/>
      <c r="C657" s="16"/>
      <c r="D657" s="16"/>
      <c r="E657" s="16"/>
      <c r="F657" s="16"/>
      <c r="G657" s="16"/>
      <c r="H657" s="16"/>
      <c r="I657" s="16"/>
      <c r="J657" s="16"/>
      <c r="K657" s="16"/>
      <c r="L657" s="16"/>
      <c r="M657" s="16"/>
      <c r="N657" s="16"/>
      <c r="O657" s="16"/>
      <c r="P657" s="16"/>
      <c r="Q657" s="16"/>
      <c r="R657" s="16"/>
      <c r="S657" s="16"/>
      <c r="T657" s="16"/>
      <c r="U657" s="16"/>
      <c r="V657" s="16"/>
    </row>
    <row r="658" spans="1:22" ht="15.75" customHeight="1" x14ac:dyDescent="0.25">
      <c r="A658" s="16"/>
      <c r="B658" s="16"/>
      <c r="C658" s="16"/>
      <c r="D658" s="16"/>
      <c r="E658" s="16"/>
      <c r="F658" s="16"/>
      <c r="G658" s="16"/>
      <c r="H658" s="16"/>
      <c r="I658" s="16"/>
      <c r="J658" s="16"/>
      <c r="K658" s="16"/>
      <c r="L658" s="16"/>
      <c r="M658" s="16"/>
      <c r="N658" s="16"/>
      <c r="O658" s="16"/>
      <c r="P658" s="16"/>
      <c r="Q658" s="16"/>
      <c r="R658" s="16"/>
      <c r="S658" s="16"/>
      <c r="T658" s="16"/>
      <c r="U658" s="16"/>
      <c r="V658" s="16"/>
    </row>
    <row r="659" spans="1:22" ht="15.75" customHeight="1" x14ac:dyDescent="0.25">
      <c r="A659" s="16"/>
      <c r="B659" s="16"/>
      <c r="C659" s="16"/>
      <c r="D659" s="16"/>
      <c r="E659" s="16"/>
      <c r="F659" s="16"/>
      <c r="G659" s="16"/>
      <c r="H659" s="16"/>
      <c r="I659" s="16"/>
      <c r="J659" s="16"/>
      <c r="K659" s="16"/>
      <c r="L659" s="16"/>
      <c r="M659" s="16"/>
      <c r="N659" s="16"/>
      <c r="O659" s="16"/>
      <c r="P659" s="16"/>
      <c r="Q659" s="16"/>
      <c r="R659" s="16"/>
      <c r="S659" s="16"/>
      <c r="T659" s="16"/>
      <c r="U659" s="16"/>
      <c r="V659" s="16"/>
    </row>
    <row r="660" spans="1:22" ht="15.75" customHeight="1" x14ac:dyDescent="0.25">
      <c r="A660" s="16"/>
      <c r="B660" s="16"/>
      <c r="C660" s="16"/>
      <c r="D660" s="16"/>
      <c r="E660" s="16"/>
      <c r="F660" s="16"/>
      <c r="G660" s="16"/>
      <c r="H660" s="16"/>
      <c r="I660" s="16"/>
      <c r="J660" s="16"/>
      <c r="K660" s="16"/>
      <c r="L660" s="16"/>
      <c r="M660" s="16"/>
      <c r="N660" s="16"/>
      <c r="O660" s="16"/>
      <c r="P660" s="16"/>
      <c r="Q660" s="16"/>
      <c r="R660" s="16"/>
      <c r="S660" s="16"/>
      <c r="T660" s="16"/>
      <c r="U660" s="16"/>
      <c r="V660" s="16"/>
    </row>
    <row r="661" spans="1:22" ht="15.75" customHeight="1" x14ac:dyDescent="0.25">
      <c r="A661" s="16"/>
      <c r="B661" s="16"/>
      <c r="C661" s="16"/>
      <c r="D661" s="16"/>
      <c r="E661" s="16"/>
      <c r="F661" s="16"/>
      <c r="G661" s="16"/>
      <c r="H661" s="16"/>
      <c r="I661" s="16"/>
      <c r="J661" s="16"/>
      <c r="K661" s="16"/>
      <c r="L661" s="16"/>
      <c r="M661" s="16"/>
      <c r="N661" s="16"/>
      <c r="O661" s="16"/>
      <c r="P661" s="16"/>
      <c r="Q661" s="16"/>
      <c r="R661" s="16"/>
      <c r="S661" s="16"/>
      <c r="T661" s="16"/>
      <c r="U661" s="16"/>
      <c r="V661" s="16"/>
    </row>
    <row r="662" spans="1:22" ht="15.75" customHeight="1" x14ac:dyDescent="0.25">
      <c r="A662" s="16"/>
      <c r="B662" s="16"/>
      <c r="C662" s="16"/>
      <c r="D662" s="16"/>
      <c r="E662" s="16"/>
      <c r="F662" s="16"/>
      <c r="G662" s="16"/>
      <c r="H662" s="16"/>
      <c r="I662" s="16"/>
      <c r="J662" s="16"/>
      <c r="K662" s="16"/>
      <c r="L662" s="16"/>
      <c r="M662" s="16"/>
      <c r="N662" s="16"/>
      <c r="O662" s="16"/>
      <c r="P662" s="16"/>
      <c r="Q662" s="16"/>
      <c r="R662" s="16"/>
      <c r="S662" s="16"/>
      <c r="T662" s="16"/>
      <c r="U662" s="16"/>
      <c r="V662" s="16"/>
    </row>
    <row r="663" spans="1:22" ht="15.75" customHeight="1" x14ac:dyDescent="0.25">
      <c r="A663" s="16"/>
      <c r="B663" s="16"/>
      <c r="C663" s="16"/>
      <c r="D663" s="16"/>
      <c r="E663" s="16"/>
      <c r="F663" s="16"/>
      <c r="G663" s="16"/>
      <c r="H663" s="16"/>
      <c r="I663" s="16"/>
      <c r="J663" s="16"/>
      <c r="K663" s="16"/>
      <c r="L663" s="16"/>
      <c r="M663" s="16"/>
      <c r="N663" s="16"/>
      <c r="O663" s="16"/>
      <c r="P663" s="16"/>
      <c r="Q663" s="16"/>
      <c r="R663" s="16"/>
      <c r="S663" s="16"/>
      <c r="T663" s="16"/>
      <c r="U663" s="16"/>
      <c r="V663" s="16"/>
    </row>
    <row r="664" spans="1:22" ht="15.75" customHeight="1" x14ac:dyDescent="0.25">
      <c r="A664" s="16"/>
      <c r="B664" s="16"/>
      <c r="C664" s="16"/>
      <c r="D664" s="16"/>
      <c r="E664" s="16"/>
      <c r="F664" s="16"/>
      <c r="G664" s="16"/>
      <c r="H664" s="16"/>
      <c r="I664" s="16"/>
      <c r="J664" s="16"/>
      <c r="K664" s="16"/>
      <c r="L664" s="16"/>
      <c r="M664" s="16"/>
      <c r="N664" s="16"/>
      <c r="O664" s="16"/>
      <c r="P664" s="16"/>
      <c r="Q664" s="16"/>
      <c r="R664" s="16"/>
      <c r="S664" s="16"/>
      <c r="T664" s="16"/>
      <c r="U664" s="16"/>
      <c r="V664" s="16"/>
    </row>
    <row r="665" spans="1:22" ht="15.75" customHeight="1" x14ac:dyDescent="0.25">
      <c r="A665" s="16"/>
      <c r="B665" s="16"/>
      <c r="C665" s="16"/>
      <c r="D665" s="16"/>
      <c r="E665" s="16"/>
      <c r="F665" s="16"/>
      <c r="G665" s="16"/>
      <c r="H665" s="16"/>
      <c r="I665" s="16"/>
      <c r="J665" s="16"/>
      <c r="K665" s="16"/>
      <c r="L665" s="16"/>
      <c r="M665" s="16"/>
      <c r="N665" s="16"/>
      <c r="O665" s="16"/>
      <c r="P665" s="16"/>
      <c r="Q665" s="16"/>
      <c r="R665" s="16"/>
      <c r="S665" s="16"/>
      <c r="T665" s="16"/>
      <c r="U665" s="16"/>
      <c r="V665" s="16"/>
    </row>
    <row r="666" spans="1:22" ht="15.75" customHeight="1" x14ac:dyDescent="0.25">
      <c r="A666" s="16"/>
      <c r="B666" s="16"/>
      <c r="C666" s="16"/>
      <c r="D666" s="16"/>
      <c r="E666" s="16"/>
      <c r="F666" s="16"/>
      <c r="G666" s="16"/>
      <c r="H666" s="16"/>
      <c r="I666" s="16"/>
      <c r="J666" s="16"/>
      <c r="K666" s="16"/>
      <c r="L666" s="16"/>
      <c r="M666" s="16"/>
      <c r="N666" s="16"/>
      <c r="O666" s="16"/>
      <c r="P666" s="16"/>
      <c r="Q666" s="16"/>
      <c r="R666" s="16"/>
      <c r="S666" s="16"/>
      <c r="T666" s="16"/>
      <c r="U666" s="16"/>
      <c r="V666" s="16"/>
    </row>
    <row r="667" spans="1:22" ht="15.75" customHeight="1" x14ac:dyDescent="0.25">
      <c r="A667" s="16"/>
      <c r="B667" s="16"/>
      <c r="C667" s="16"/>
      <c r="D667" s="16"/>
      <c r="E667" s="16"/>
      <c r="F667" s="16"/>
      <c r="G667" s="16"/>
      <c r="H667" s="16"/>
      <c r="I667" s="16"/>
      <c r="J667" s="16"/>
      <c r="K667" s="16"/>
      <c r="L667" s="16"/>
      <c r="M667" s="16"/>
      <c r="N667" s="16"/>
      <c r="O667" s="16"/>
      <c r="P667" s="16"/>
      <c r="Q667" s="16"/>
      <c r="R667" s="16"/>
      <c r="S667" s="16"/>
      <c r="T667" s="16"/>
      <c r="U667" s="16"/>
      <c r="V667" s="16"/>
    </row>
    <row r="668" spans="1:22" ht="15.75" customHeight="1" x14ac:dyDescent="0.25">
      <c r="A668" s="16"/>
      <c r="B668" s="16"/>
      <c r="C668" s="16"/>
      <c r="D668" s="16"/>
      <c r="E668" s="16"/>
      <c r="F668" s="16"/>
      <c r="G668" s="16"/>
      <c r="H668" s="16"/>
      <c r="I668" s="16"/>
      <c r="J668" s="16"/>
      <c r="K668" s="16"/>
      <c r="L668" s="16"/>
      <c r="M668" s="16"/>
      <c r="N668" s="16"/>
      <c r="O668" s="16"/>
      <c r="P668" s="16"/>
      <c r="Q668" s="16"/>
      <c r="R668" s="16"/>
      <c r="S668" s="16"/>
      <c r="T668" s="16"/>
      <c r="U668" s="16"/>
      <c r="V668" s="16"/>
    </row>
    <row r="669" spans="1:22" ht="15.75" customHeight="1" x14ac:dyDescent="0.25">
      <c r="A669" s="16"/>
      <c r="B669" s="16"/>
      <c r="C669" s="16"/>
      <c r="D669" s="16"/>
      <c r="E669" s="16"/>
      <c r="F669" s="16"/>
      <c r="G669" s="16"/>
      <c r="H669" s="16"/>
      <c r="I669" s="16"/>
      <c r="J669" s="16"/>
      <c r="K669" s="16"/>
      <c r="L669" s="16"/>
      <c r="M669" s="16"/>
      <c r="N669" s="16"/>
      <c r="O669" s="16"/>
      <c r="P669" s="16"/>
      <c r="Q669" s="16"/>
      <c r="R669" s="16"/>
      <c r="S669" s="16"/>
      <c r="T669" s="16"/>
      <c r="U669" s="16"/>
      <c r="V669" s="16"/>
    </row>
    <row r="670" spans="1:22" ht="15.75" customHeight="1" x14ac:dyDescent="0.25">
      <c r="A670" s="16"/>
      <c r="B670" s="16"/>
      <c r="C670" s="16"/>
      <c r="D670" s="16"/>
      <c r="E670" s="16"/>
      <c r="F670" s="16"/>
      <c r="G670" s="16"/>
      <c r="H670" s="16"/>
      <c r="I670" s="16"/>
      <c r="J670" s="16"/>
      <c r="K670" s="16"/>
      <c r="L670" s="16"/>
      <c r="M670" s="16"/>
      <c r="N670" s="16"/>
      <c r="O670" s="16"/>
      <c r="P670" s="16"/>
      <c r="Q670" s="16"/>
      <c r="R670" s="16"/>
      <c r="S670" s="16"/>
      <c r="T670" s="16"/>
      <c r="U670" s="16"/>
      <c r="V670" s="16"/>
    </row>
    <row r="671" spans="1:22" ht="15.75" customHeight="1" x14ac:dyDescent="0.25">
      <c r="A671" s="16"/>
      <c r="B671" s="16"/>
      <c r="C671" s="16"/>
      <c r="D671" s="16"/>
      <c r="E671" s="16"/>
      <c r="F671" s="16"/>
      <c r="G671" s="16"/>
      <c r="H671" s="16"/>
      <c r="I671" s="16"/>
      <c r="J671" s="16"/>
      <c r="K671" s="16"/>
      <c r="L671" s="16"/>
      <c r="M671" s="16"/>
      <c r="N671" s="16"/>
      <c r="O671" s="16"/>
      <c r="P671" s="16"/>
      <c r="Q671" s="16"/>
      <c r="R671" s="16"/>
      <c r="S671" s="16"/>
      <c r="T671" s="16"/>
      <c r="U671" s="16"/>
      <c r="V671" s="16"/>
    </row>
    <row r="672" spans="1:22" ht="15.75" customHeight="1" x14ac:dyDescent="0.25">
      <c r="A672" s="16"/>
      <c r="B672" s="16"/>
      <c r="C672" s="16"/>
      <c r="D672" s="16"/>
      <c r="E672" s="16"/>
      <c r="F672" s="16"/>
      <c r="G672" s="16"/>
      <c r="H672" s="16"/>
      <c r="I672" s="16"/>
      <c r="J672" s="16"/>
      <c r="K672" s="16"/>
      <c r="L672" s="16"/>
      <c r="M672" s="16"/>
      <c r="N672" s="16"/>
      <c r="O672" s="16"/>
      <c r="P672" s="16"/>
      <c r="Q672" s="16"/>
      <c r="R672" s="16"/>
      <c r="S672" s="16"/>
      <c r="T672" s="16"/>
      <c r="U672" s="16"/>
      <c r="V672" s="16"/>
    </row>
    <row r="673" spans="1:22" ht="15.75" customHeight="1" x14ac:dyDescent="0.25">
      <c r="A673" s="16"/>
      <c r="B673" s="16"/>
      <c r="C673" s="16"/>
      <c r="D673" s="16"/>
      <c r="E673" s="16"/>
      <c r="F673" s="16"/>
      <c r="G673" s="16"/>
      <c r="H673" s="16"/>
      <c r="I673" s="16"/>
      <c r="J673" s="16"/>
      <c r="K673" s="16"/>
      <c r="L673" s="16"/>
      <c r="M673" s="16"/>
      <c r="N673" s="16"/>
      <c r="O673" s="16"/>
      <c r="P673" s="16"/>
      <c r="Q673" s="16"/>
      <c r="R673" s="16"/>
      <c r="S673" s="16"/>
      <c r="T673" s="16"/>
      <c r="U673" s="16"/>
      <c r="V673" s="16"/>
    </row>
    <row r="674" spans="1:22" ht="15.75" customHeight="1" x14ac:dyDescent="0.25">
      <c r="A674" s="16"/>
      <c r="B674" s="16"/>
      <c r="C674" s="16"/>
      <c r="D674" s="16"/>
      <c r="E674" s="16"/>
      <c r="F674" s="16"/>
      <c r="G674" s="16"/>
      <c r="H674" s="16"/>
      <c r="I674" s="16"/>
      <c r="J674" s="16"/>
      <c r="K674" s="16"/>
      <c r="L674" s="16"/>
      <c r="M674" s="16"/>
      <c r="N674" s="16"/>
      <c r="O674" s="16"/>
      <c r="P674" s="16"/>
      <c r="Q674" s="16"/>
      <c r="R674" s="16"/>
      <c r="S674" s="16"/>
      <c r="T674" s="16"/>
      <c r="U674" s="16"/>
      <c r="V674" s="16"/>
    </row>
    <row r="675" spans="1:22" ht="15.75" customHeight="1" x14ac:dyDescent="0.25">
      <c r="A675" s="16"/>
      <c r="B675" s="16"/>
      <c r="C675" s="16"/>
      <c r="D675" s="16"/>
      <c r="E675" s="16"/>
      <c r="F675" s="16"/>
      <c r="G675" s="16"/>
      <c r="H675" s="16"/>
      <c r="I675" s="16"/>
      <c r="J675" s="16"/>
      <c r="K675" s="16"/>
      <c r="L675" s="16"/>
      <c r="M675" s="16"/>
      <c r="N675" s="16"/>
      <c r="O675" s="16"/>
      <c r="P675" s="16"/>
      <c r="Q675" s="16"/>
      <c r="R675" s="16"/>
      <c r="S675" s="16"/>
      <c r="T675" s="16"/>
      <c r="U675" s="16"/>
      <c r="V675" s="16"/>
    </row>
    <row r="676" spans="1:22" ht="15.75" customHeight="1" x14ac:dyDescent="0.25">
      <c r="A676" s="16"/>
      <c r="B676" s="16"/>
      <c r="C676" s="16"/>
      <c r="D676" s="16"/>
      <c r="E676" s="16"/>
      <c r="F676" s="16"/>
      <c r="G676" s="16"/>
      <c r="H676" s="16"/>
      <c r="I676" s="16"/>
      <c r="J676" s="16"/>
      <c r="K676" s="16"/>
      <c r="L676" s="16"/>
      <c r="M676" s="16"/>
      <c r="N676" s="16"/>
      <c r="O676" s="16"/>
      <c r="P676" s="16"/>
      <c r="Q676" s="16"/>
      <c r="R676" s="16"/>
      <c r="S676" s="16"/>
      <c r="T676" s="16"/>
      <c r="U676" s="16"/>
      <c r="V676" s="16"/>
    </row>
    <row r="677" spans="1:22" ht="15.75" customHeight="1" x14ac:dyDescent="0.25">
      <c r="A677" s="16"/>
      <c r="B677" s="16"/>
      <c r="C677" s="16"/>
      <c r="D677" s="16"/>
      <c r="E677" s="16"/>
      <c r="F677" s="16"/>
      <c r="G677" s="16"/>
      <c r="H677" s="16"/>
      <c r="I677" s="16"/>
      <c r="J677" s="16"/>
      <c r="K677" s="16"/>
      <c r="L677" s="16"/>
      <c r="M677" s="16"/>
      <c r="N677" s="16"/>
      <c r="O677" s="16"/>
      <c r="P677" s="16"/>
      <c r="Q677" s="16"/>
      <c r="R677" s="16"/>
      <c r="S677" s="16"/>
      <c r="T677" s="16"/>
      <c r="U677" s="16"/>
      <c r="V677" s="16"/>
    </row>
    <row r="678" spans="1:22" ht="15.75" customHeight="1" x14ac:dyDescent="0.25">
      <c r="A678" s="16"/>
      <c r="B678" s="16"/>
      <c r="C678" s="16"/>
      <c r="D678" s="16"/>
      <c r="E678" s="16"/>
      <c r="F678" s="16"/>
      <c r="G678" s="16"/>
      <c r="H678" s="16"/>
      <c r="I678" s="16"/>
      <c r="J678" s="16"/>
      <c r="K678" s="16"/>
      <c r="L678" s="16"/>
      <c r="M678" s="16"/>
      <c r="N678" s="16"/>
      <c r="O678" s="16"/>
      <c r="P678" s="16"/>
      <c r="Q678" s="16"/>
      <c r="R678" s="16"/>
      <c r="S678" s="16"/>
      <c r="T678" s="16"/>
      <c r="U678" s="16"/>
      <c r="V678" s="16"/>
    </row>
    <row r="679" spans="1:22" ht="15.75" customHeight="1" x14ac:dyDescent="0.25">
      <c r="A679" s="16"/>
      <c r="B679" s="16"/>
      <c r="C679" s="16"/>
      <c r="D679" s="16"/>
      <c r="E679" s="16"/>
      <c r="F679" s="16"/>
      <c r="G679" s="16"/>
      <c r="H679" s="16"/>
      <c r="I679" s="16"/>
      <c r="J679" s="16"/>
      <c r="K679" s="16"/>
      <c r="L679" s="16"/>
      <c r="M679" s="16"/>
      <c r="N679" s="16"/>
      <c r="O679" s="16"/>
      <c r="P679" s="16"/>
      <c r="Q679" s="16"/>
      <c r="R679" s="16"/>
      <c r="S679" s="16"/>
      <c r="T679" s="16"/>
      <c r="U679" s="16"/>
      <c r="V679" s="16"/>
    </row>
    <row r="680" spans="1:22" ht="15.75" customHeight="1" x14ac:dyDescent="0.25">
      <c r="A680" s="16"/>
      <c r="B680" s="16"/>
      <c r="C680" s="16"/>
      <c r="D680" s="16"/>
      <c r="E680" s="16"/>
      <c r="F680" s="16"/>
      <c r="G680" s="16"/>
      <c r="H680" s="16"/>
      <c r="I680" s="16"/>
      <c r="J680" s="16"/>
      <c r="K680" s="16"/>
      <c r="L680" s="16"/>
      <c r="M680" s="16"/>
      <c r="N680" s="16"/>
      <c r="O680" s="16"/>
      <c r="P680" s="16"/>
      <c r="Q680" s="16"/>
      <c r="R680" s="16"/>
      <c r="S680" s="16"/>
      <c r="T680" s="16"/>
      <c r="U680" s="16"/>
      <c r="V680" s="16"/>
    </row>
    <row r="681" spans="1:22" ht="15.75" customHeight="1" x14ac:dyDescent="0.25">
      <c r="A681" s="16"/>
      <c r="B681" s="16"/>
      <c r="C681" s="16"/>
      <c r="D681" s="16"/>
      <c r="E681" s="16"/>
      <c r="F681" s="16"/>
      <c r="G681" s="16"/>
      <c r="H681" s="16"/>
      <c r="I681" s="16"/>
      <c r="J681" s="16"/>
      <c r="K681" s="16"/>
      <c r="L681" s="16"/>
      <c r="M681" s="16"/>
      <c r="N681" s="16"/>
      <c r="O681" s="16"/>
      <c r="P681" s="16"/>
      <c r="Q681" s="16"/>
      <c r="R681" s="16"/>
      <c r="S681" s="16"/>
      <c r="T681" s="16"/>
      <c r="U681" s="16"/>
      <c r="V681" s="16"/>
    </row>
    <row r="682" spans="1:22" ht="15.75" customHeight="1" x14ac:dyDescent="0.25">
      <c r="A682" s="16"/>
      <c r="B682" s="16"/>
      <c r="C682" s="16"/>
      <c r="D682" s="16"/>
      <c r="E682" s="16"/>
      <c r="F682" s="16"/>
      <c r="G682" s="16"/>
      <c r="H682" s="16"/>
      <c r="I682" s="16"/>
      <c r="J682" s="16"/>
      <c r="K682" s="16"/>
      <c r="L682" s="16"/>
      <c r="M682" s="16"/>
      <c r="N682" s="16"/>
      <c r="O682" s="16"/>
      <c r="P682" s="16"/>
      <c r="Q682" s="16"/>
      <c r="R682" s="16"/>
      <c r="S682" s="16"/>
      <c r="T682" s="16"/>
      <c r="U682" s="16"/>
      <c r="V682" s="16"/>
    </row>
    <row r="683" spans="1:22" ht="15.75" customHeight="1" x14ac:dyDescent="0.25">
      <c r="A683" s="16"/>
      <c r="B683" s="16"/>
      <c r="C683" s="16"/>
      <c r="D683" s="16"/>
      <c r="E683" s="16"/>
      <c r="F683" s="16"/>
      <c r="G683" s="16"/>
      <c r="H683" s="16"/>
      <c r="I683" s="16"/>
      <c r="J683" s="16"/>
      <c r="K683" s="16"/>
      <c r="L683" s="16"/>
      <c r="M683" s="16"/>
      <c r="N683" s="16"/>
      <c r="O683" s="16"/>
      <c r="P683" s="16"/>
      <c r="Q683" s="16"/>
      <c r="R683" s="16"/>
      <c r="S683" s="16"/>
      <c r="T683" s="16"/>
      <c r="U683" s="16"/>
      <c r="V683" s="16"/>
    </row>
    <row r="684" spans="1:22" ht="15.75" customHeight="1" x14ac:dyDescent="0.25">
      <c r="A684" s="16"/>
      <c r="B684" s="16"/>
      <c r="C684" s="16"/>
      <c r="D684" s="16"/>
      <c r="E684" s="16"/>
      <c r="F684" s="16"/>
      <c r="G684" s="16"/>
      <c r="H684" s="16"/>
      <c r="I684" s="16"/>
      <c r="J684" s="16"/>
      <c r="K684" s="16"/>
      <c r="L684" s="16"/>
      <c r="M684" s="16"/>
      <c r="N684" s="16"/>
      <c r="O684" s="16"/>
      <c r="P684" s="16"/>
      <c r="Q684" s="16"/>
      <c r="R684" s="16"/>
      <c r="S684" s="16"/>
      <c r="T684" s="16"/>
      <c r="U684" s="16"/>
      <c r="V684" s="16"/>
    </row>
    <row r="685" spans="1:22" ht="15.75" customHeight="1" x14ac:dyDescent="0.25">
      <c r="A685" s="16"/>
      <c r="B685" s="16"/>
      <c r="C685" s="16"/>
      <c r="D685" s="16"/>
      <c r="E685" s="16"/>
      <c r="F685" s="16"/>
      <c r="G685" s="16"/>
      <c r="H685" s="16"/>
      <c r="I685" s="16"/>
      <c r="J685" s="16"/>
      <c r="K685" s="16"/>
      <c r="L685" s="16"/>
      <c r="M685" s="16"/>
      <c r="N685" s="16"/>
      <c r="O685" s="16"/>
      <c r="P685" s="16"/>
      <c r="Q685" s="16"/>
      <c r="R685" s="16"/>
      <c r="S685" s="16"/>
      <c r="T685" s="16"/>
      <c r="U685" s="16"/>
      <c r="V685" s="16"/>
    </row>
    <row r="686" spans="1:22" ht="15.75" customHeight="1" x14ac:dyDescent="0.25">
      <c r="A686" s="16"/>
      <c r="B686" s="16"/>
      <c r="C686" s="16"/>
      <c r="D686" s="16"/>
      <c r="E686" s="16"/>
      <c r="F686" s="16"/>
      <c r="G686" s="16"/>
      <c r="H686" s="16"/>
      <c r="I686" s="16"/>
      <c r="J686" s="16"/>
      <c r="K686" s="16"/>
      <c r="L686" s="16"/>
      <c r="M686" s="16"/>
      <c r="N686" s="16"/>
      <c r="O686" s="16"/>
      <c r="P686" s="16"/>
      <c r="Q686" s="16"/>
      <c r="R686" s="16"/>
      <c r="S686" s="16"/>
      <c r="T686" s="16"/>
      <c r="U686" s="16"/>
      <c r="V686" s="16"/>
    </row>
    <row r="687" spans="1:22" ht="15.75" customHeight="1" x14ac:dyDescent="0.25">
      <c r="A687" s="16"/>
      <c r="B687" s="16"/>
      <c r="C687" s="16"/>
      <c r="D687" s="16"/>
      <c r="E687" s="16"/>
      <c r="F687" s="16"/>
      <c r="G687" s="16"/>
      <c r="H687" s="16"/>
      <c r="I687" s="16"/>
      <c r="J687" s="16"/>
      <c r="K687" s="16"/>
      <c r="L687" s="16"/>
      <c r="M687" s="16"/>
      <c r="N687" s="16"/>
      <c r="O687" s="16"/>
      <c r="P687" s="16"/>
      <c r="Q687" s="16"/>
      <c r="R687" s="16"/>
      <c r="S687" s="16"/>
      <c r="T687" s="16"/>
      <c r="U687" s="16"/>
      <c r="V687" s="16"/>
    </row>
    <row r="688" spans="1:22" ht="15.75" customHeight="1" x14ac:dyDescent="0.25">
      <c r="A688" s="16"/>
      <c r="B688" s="16"/>
      <c r="C688" s="16"/>
      <c r="D688" s="16"/>
      <c r="E688" s="16"/>
      <c r="F688" s="16"/>
      <c r="G688" s="16"/>
      <c r="H688" s="16"/>
      <c r="I688" s="16"/>
      <c r="J688" s="16"/>
      <c r="K688" s="16"/>
      <c r="L688" s="16"/>
      <c r="M688" s="16"/>
      <c r="N688" s="16"/>
      <c r="O688" s="16"/>
      <c r="P688" s="16"/>
      <c r="Q688" s="16"/>
      <c r="R688" s="16"/>
      <c r="S688" s="16"/>
      <c r="T688" s="16"/>
      <c r="U688" s="16"/>
      <c r="V688" s="16"/>
    </row>
    <row r="689" spans="1:22" ht="15.75" customHeight="1" x14ac:dyDescent="0.25">
      <c r="A689" s="16"/>
      <c r="B689" s="16"/>
      <c r="C689" s="16"/>
      <c r="D689" s="16"/>
      <c r="E689" s="16"/>
      <c r="F689" s="16"/>
      <c r="G689" s="16"/>
      <c r="H689" s="16"/>
      <c r="I689" s="16"/>
      <c r="J689" s="16"/>
      <c r="K689" s="16"/>
      <c r="L689" s="16"/>
      <c r="M689" s="16"/>
      <c r="N689" s="16"/>
      <c r="O689" s="16"/>
      <c r="P689" s="16"/>
      <c r="Q689" s="16"/>
      <c r="R689" s="16"/>
      <c r="S689" s="16"/>
      <c r="T689" s="16"/>
      <c r="U689" s="16"/>
      <c r="V689" s="16"/>
    </row>
    <row r="690" spans="1:22" ht="15.75" customHeight="1" x14ac:dyDescent="0.25">
      <c r="A690" s="16"/>
      <c r="B690" s="16"/>
      <c r="C690" s="16"/>
      <c r="D690" s="16"/>
      <c r="E690" s="16"/>
      <c r="F690" s="16"/>
      <c r="G690" s="16"/>
      <c r="H690" s="16"/>
      <c r="I690" s="16"/>
      <c r="J690" s="16"/>
      <c r="K690" s="16"/>
      <c r="L690" s="16"/>
      <c r="M690" s="16"/>
      <c r="N690" s="16"/>
      <c r="O690" s="16"/>
      <c r="P690" s="16"/>
      <c r="Q690" s="16"/>
      <c r="R690" s="16"/>
      <c r="S690" s="16"/>
      <c r="T690" s="16"/>
      <c r="U690" s="16"/>
      <c r="V690" s="16"/>
    </row>
    <row r="691" spans="1:22" ht="15.75" customHeight="1" x14ac:dyDescent="0.25">
      <c r="A691" s="16"/>
      <c r="B691" s="16"/>
      <c r="C691" s="16"/>
      <c r="D691" s="16"/>
      <c r="E691" s="16"/>
      <c r="F691" s="16"/>
      <c r="G691" s="16"/>
      <c r="H691" s="16"/>
      <c r="I691" s="16"/>
      <c r="J691" s="16"/>
      <c r="K691" s="16"/>
      <c r="L691" s="16"/>
      <c r="M691" s="16"/>
      <c r="N691" s="16"/>
      <c r="O691" s="16"/>
      <c r="P691" s="16"/>
      <c r="Q691" s="16"/>
      <c r="R691" s="16"/>
      <c r="S691" s="16"/>
      <c r="T691" s="16"/>
      <c r="U691" s="16"/>
      <c r="V691" s="16"/>
    </row>
    <row r="692" spans="1:22" ht="15.75" customHeight="1" x14ac:dyDescent="0.25">
      <c r="A692" s="16"/>
      <c r="B692" s="16"/>
      <c r="C692" s="16"/>
      <c r="D692" s="16"/>
      <c r="E692" s="16"/>
      <c r="F692" s="16"/>
      <c r="G692" s="16"/>
      <c r="H692" s="16"/>
      <c r="I692" s="16"/>
      <c r="J692" s="16"/>
      <c r="K692" s="16"/>
      <c r="L692" s="16"/>
      <c r="M692" s="16"/>
      <c r="N692" s="16"/>
      <c r="O692" s="16"/>
      <c r="P692" s="16"/>
      <c r="Q692" s="16"/>
      <c r="R692" s="16"/>
      <c r="S692" s="16"/>
      <c r="T692" s="16"/>
      <c r="U692" s="16"/>
      <c r="V692" s="16"/>
    </row>
    <row r="693" spans="1:22" ht="15.75" customHeight="1" x14ac:dyDescent="0.25">
      <c r="A693" s="16"/>
      <c r="B693" s="16"/>
      <c r="C693" s="16"/>
      <c r="D693" s="16"/>
      <c r="E693" s="16"/>
      <c r="F693" s="16"/>
      <c r="G693" s="16"/>
      <c r="H693" s="16"/>
      <c r="I693" s="16"/>
      <c r="J693" s="16"/>
      <c r="K693" s="16"/>
      <c r="L693" s="16"/>
      <c r="M693" s="16"/>
      <c r="N693" s="16"/>
      <c r="O693" s="16"/>
      <c r="P693" s="16"/>
      <c r="Q693" s="16"/>
      <c r="R693" s="16"/>
      <c r="S693" s="16"/>
      <c r="T693" s="16"/>
      <c r="U693" s="16"/>
      <c r="V693" s="16"/>
    </row>
    <row r="694" spans="1:22" ht="15.75" customHeight="1" x14ac:dyDescent="0.25">
      <c r="A694" s="16"/>
      <c r="B694" s="16"/>
      <c r="C694" s="16"/>
      <c r="D694" s="16"/>
      <c r="E694" s="16"/>
      <c r="F694" s="16"/>
      <c r="G694" s="16"/>
      <c r="H694" s="16"/>
      <c r="I694" s="16"/>
      <c r="J694" s="16"/>
      <c r="K694" s="16"/>
      <c r="L694" s="16"/>
      <c r="M694" s="16"/>
      <c r="N694" s="16"/>
      <c r="O694" s="16"/>
      <c r="P694" s="16"/>
      <c r="Q694" s="16"/>
      <c r="R694" s="16"/>
      <c r="S694" s="16"/>
      <c r="T694" s="16"/>
      <c r="U694" s="16"/>
      <c r="V694" s="16"/>
    </row>
    <row r="695" spans="1:22" ht="15.75" customHeight="1" x14ac:dyDescent="0.25">
      <c r="A695" s="16"/>
      <c r="B695" s="16"/>
      <c r="C695" s="16"/>
      <c r="D695" s="16"/>
      <c r="E695" s="16"/>
      <c r="F695" s="16"/>
      <c r="G695" s="16"/>
      <c r="H695" s="16"/>
      <c r="I695" s="16"/>
      <c r="J695" s="16"/>
      <c r="K695" s="16"/>
      <c r="L695" s="16"/>
      <c r="M695" s="16"/>
      <c r="N695" s="16"/>
      <c r="O695" s="16"/>
      <c r="P695" s="16"/>
      <c r="Q695" s="16"/>
      <c r="R695" s="16"/>
      <c r="S695" s="16"/>
      <c r="T695" s="16"/>
      <c r="U695" s="16"/>
      <c r="V695" s="16"/>
    </row>
    <row r="696" spans="1:22" ht="15.75" customHeight="1" x14ac:dyDescent="0.25">
      <c r="A696" s="16"/>
      <c r="B696" s="16"/>
      <c r="C696" s="16"/>
      <c r="D696" s="16"/>
      <c r="E696" s="16"/>
      <c r="F696" s="16"/>
      <c r="G696" s="16"/>
      <c r="H696" s="16"/>
      <c r="I696" s="16"/>
      <c r="J696" s="16"/>
      <c r="K696" s="16"/>
      <c r="L696" s="16"/>
      <c r="M696" s="16"/>
      <c r="N696" s="16"/>
      <c r="O696" s="16"/>
      <c r="P696" s="16"/>
      <c r="Q696" s="16"/>
      <c r="R696" s="16"/>
      <c r="S696" s="16"/>
      <c r="T696" s="16"/>
      <c r="U696" s="16"/>
      <c r="V696" s="16"/>
    </row>
    <row r="697" spans="1:22" ht="15.75" customHeight="1" x14ac:dyDescent="0.25">
      <c r="A697" s="16"/>
      <c r="B697" s="16"/>
      <c r="C697" s="16"/>
      <c r="D697" s="16"/>
      <c r="E697" s="16"/>
      <c r="F697" s="16"/>
      <c r="G697" s="16"/>
      <c r="H697" s="16"/>
      <c r="I697" s="16"/>
      <c r="J697" s="16"/>
      <c r="K697" s="16"/>
      <c r="L697" s="16"/>
      <c r="M697" s="16"/>
      <c r="N697" s="16"/>
      <c r="O697" s="16"/>
      <c r="P697" s="16"/>
      <c r="Q697" s="16"/>
      <c r="R697" s="16"/>
      <c r="S697" s="16"/>
      <c r="T697" s="16"/>
      <c r="U697" s="16"/>
      <c r="V697" s="16"/>
    </row>
    <row r="698" spans="1:22" ht="15.75" customHeight="1" x14ac:dyDescent="0.25">
      <c r="A698" s="16"/>
      <c r="B698" s="16"/>
      <c r="C698" s="16"/>
      <c r="D698" s="16"/>
      <c r="E698" s="16"/>
      <c r="F698" s="16"/>
      <c r="G698" s="16"/>
      <c r="H698" s="16"/>
      <c r="I698" s="16"/>
      <c r="J698" s="16"/>
      <c r="K698" s="16"/>
      <c r="L698" s="16"/>
      <c r="M698" s="16"/>
      <c r="N698" s="16"/>
      <c r="O698" s="16"/>
      <c r="P698" s="16"/>
      <c r="Q698" s="16"/>
      <c r="R698" s="16"/>
      <c r="S698" s="16"/>
      <c r="T698" s="16"/>
      <c r="U698" s="16"/>
      <c r="V698" s="16"/>
    </row>
    <row r="699" spans="1:22" ht="15.75" customHeight="1" x14ac:dyDescent="0.25">
      <c r="A699" s="16"/>
      <c r="B699" s="16"/>
      <c r="C699" s="16"/>
      <c r="D699" s="16"/>
      <c r="E699" s="16"/>
      <c r="F699" s="16"/>
      <c r="G699" s="16"/>
      <c r="H699" s="16"/>
      <c r="I699" s="16"/>
      <c r="J699" s="16"/>
      <c r="K699" s="16"/>
      <c r="L699" s="16"/>
      <c r="M699" s="16"/>
      <c r="N699" s="16"/>
      <c r="O699" s="16"/>
      <c r="P699" s="16"/>
      <c r="Q699" s="16"/>
      <c r="R699" s="16"/>
      <c r="S699" s="16"/>
      <c r="T699" s="16"/>
      <c r="U699" s="16"/>
      <c r="V699" s="16"/>
    </row>
    <row r="700" spans="1:22" ht="15.75" customHeight="1" x14ac:dyDescent="0.25">
      <c r="A700" s="16"/>
      <c r="B700" s="16"/>
      <c r="C700" s="16"/>
      <c r="D700" s="16"/>
      <c r="E700" s="16"/>
      <c r="F700" s="16"/>
      <c r="G700" s="16"/>
      <c r="H700" s="16"/>
      <c r="I700" s="16"/>
      <c r="J700" s="16"/>
      <c r="K700" s="16"/>
      <c r="L700" s="16"/>
      <c r="M700" s="16"/>
      <c r="N700" s="16"/>
      <c r="O700" s="16"/>
      <c r="P700" s="16"/>
      <c r="Q700" s="16"/>
      <c r="R700" s="16"/>
      <c r="S700" s="16"/>
      <c r="T700" s="16"/>
      <c r="U700" s="16"/>
      <c r="V700" s="16"/>
    </row>
    <row r="701" spans="1:22" ht="15.75" customHeight="1" x14ac:dyDescent="0.25">
      <c r="A701" s="16"/>
      <c r="B701" s="16"/>
      <c r="C701" s="16"/>
      <c r="D701" s="16"/>
      <c r="E701" s="16"/>
      <c r="F701" s="16"/>
      <c r="G701" s="16"/>
      <c r="H701" s="16"/>
      <c r="I701" s="16"/>
      <c r="J701" s="16"/>
      <c r="K701" s="16"/>
      <c r="L701" s="16"/>
      <c r="M701" s="16"/>
      <c r="N701" s="16"/>
      <c r="O701" s="16"/>
      <c r="P701" s="16"/>
      <c r="Q701" s="16"/>
      <c r="R701" s="16"/>
      <c r="S701" s="16"/>
      <c r="T701" s="16"/>
      <c r="U701" s="16"/>
      <c r="V701" s="16"/>
    </row>
    <row r="702" spans="1:22" ht="15.75" customHeight="1" x14ac:dyDescent="0.25">
      <c r="A702" s="16"/>
      <c r="B702" s="16"/>
      <c r="C702" s="16"/>
      <c r="D702" s="16"/>
      <c r="E702" s="16"/>
      <c r="F702" s="16"/>
      <c r="G702" s="16"/>
      <c r="H702" s="16"/>
      <c r="I702" s="16"/>
      <c r="J702" s="16"/>
      <c r="K702" s="16"/>
      <c r="L702" s="16"/>
      <c r="M702" s="16"/>
      <c r="N702" s="16"/>
      <c r="O702" s="16"/>
      <c r="P702" s="16"/>
      <c r="Q702" s="16"/>
      <c r="R702" s="16"/>
      <c r="S702" s="16"/>
      <c r="T702" s="16"/>
      <c r="U702" s="16"/>
      <c r="V702" s="16"/>
    </row>
    <row r="703" spans="1:22" ht="15.75" customHeight="1" x14ac:dyDescent="0.25">
      <c r="A703" s="16"/>
      <c r="B703" s="16"/>
      <c r="C703" s="16"/>
      <c r="D703" s="16"/>
      <c r="E703" s="16"/>
      <c r="F703" s="16"/>
      <c r="G703" s="16"/>
      <c r="H703" s="16"/>
      <c r="I703" s="16"/>
      <c r="J703" s="16"/>
      <c r="K703" s="16"/>
      <c r="L703" s="16"/>
      <c r="M703" s="16"/>
      <c r="N703" s="16"/>
      <c r="O703" s="16"/>
      <c r="P703" s="16"/>
      <c r="Q703" s="16"/>
      <c r="R703" s="16"/>
      <c r="S703" s="16"/>
      <c r="T703" s="16"/>
      <c r="U703" s="16"/>
      <c r="V703" s="16"/>
    </row>
    <row r="704" spans="1:22" ht="15.75" customHeight="1" x14ac:dyDescent="0.25">
      <c r="A704" s="16"/>
      <c r="B704" s="16"/>
      <c r="C704" s="16"/>
      <c r="D704" s="16"/>
      <c r="E704" s="16"/>
      <c r="F704" s="16"/>
      <c r="G704" s="16"/>
      <c r="H704" s="16"/>
      <c r="I704" s="16"/>
      <c r="J704" s="16"/>
      <c r="K704" s="16"/>
      <c r="L704" s="16"/>
      <c r="M704" s="16"/>
      <c r="N704" s="16"/>
      <c r="O704" s="16"/>
      <c r="P704" s="16"/>
      <c r="Q704" s="16"/>
      <c r="R704" s="16"/>
      <c r="S704" s="16"/>
      <c r="T704" s="16"/>
      <c r="U704" s="16"/>
      <c r="V704" s="16"/>
    </row>
    <row r="705" spans="1:22" ht="15.75" customHeight="1" x14ac:dyDescent="0.25">
      <c r="A705" s="16"/>
      <c r="B705" s="16"/>
      <c r="C705" s="16"/>
      <c r="D705" s="16"/>
      <c r="E705" s="16"/>
      <c r="F705" s="16"/>
      <c r="G705" s="16"/>
      <c r="H705" s="16"/>
      <c r="I705" s="16"/>
      <c r="J705" s="16"/>
      <c r="K705" s="16"/>
      <c r="L705" s="16"/>
      <c r="M705" s="16"/>
      <c r="N705" s="16"/>
      <c r="O705" s="16"/>
      <c r="P705" s="16"/>
      <c r="Q705" s="16"/>
      <c r="R705" s="16"/>
      <c r="S705" s="16"/>
      <c r="T705" s="16"/>
      <c r="U705" s="16"/>
      <c r="V705" s="16"/>
    </row>
    <row r="706" spans="1:22" ht="15.75" customHeight="1" x14ac:dyDescent="0.25">
      <c r="A706" s="16"/>
      <c r="B706" s="16"/>
      <c r="C706" s="16"/>
      <c r="D706" s="16"/>
      <c r="E706" s="16"/>
      <c r="F706" s="16"/>
      <c r="G706" s="16"/>
      <c r="H706" s="16"/>
      <c r="I706" s="16"/>
      <c r="J706" s="16"/>
      <c r="K706" s="16"/>
      <c r="L706" s="16"/>
      <c r="M706" s="16"/>
      <c r="N706" s="16"/>
      <c r="O706" s="16"/>
      <c r="P706" s="16"/>
      <c r="Q706" s="16"/>
      <c r="R706" s="16"/>
      <c r="S706" s="16"/>
      <c r="T706" s="16"/>
      <c r="U706" s="16"/>
      <c r="V706" s="16"/>
    </row>
    <row r="707" spans="1:22" ht="15.75" customHeight="1" x14ac:dyDescent="0.25">
      <c r="A707" s="16"/>
      <c r="B707" s="16"/>
      <c r="C707" s="16"/>
      <c r="D707" s="16"/>
      <c r="E707" s="16"/>
      <c r="F707" s="16"/>
      <c r="G707" s="16"/>
      <c r="H707" s="16"/>
      <c r="I707" s="16"/>
      <c r="J707" s="16"/>
      <c r="K707" s="16"/>
      <c r="L707" s="16"/>
      <c r="M707" s="16"/>
      <c r="N707" s="16"/>
      <c r="O707" s="16"/>
      <c r="P707" s="16"/>
      <c r="Q707" s="16"/>
      <c r="R707" s="16"/>
      <c r="S707" s="16"/>
      <c r="T707" s="16"/>
      <c r="U707" s="16"/>
      <c r="V707" s="16"/>
    </row>
    <row r="708" spans="1:22" ht="15.75" customHeight="1" x14ac:dyDescent="0.25">
      <c r="A708" s="16"/>
      <c r="B708" s="16"/>
      <c r="C708" s="16"/>
      <c r="D708" s="16"/>
      <c r="E708" s="16"/>
      <c r="F708" s="16"/>
      <c r="G708" s="16"/>
      <c r="H708" s="16"/>
      <c r="I708" s="16"/>
      <c r="J708" s="16"/>
      <c r="K708" s="16"/>
      <c r="L708" s="16"/>
      <c r="M708" s="16"/>
      <c r="N708" s="16"/>
      <c r="O708" s="16"/>
      <c r="P708" s="16"/>
      <c r="Q708" s="16"/>
      <c r="R708" s="16"/>
      <c r="S708" s="16"/>
      <c r="T708" s="16"/>
      <c r="U708" s="16"/>
      <c r="V708" s="16"/>
    </row>
    <row r="709" spans="1:22" ht="15.75" customHeight="1" x14ac:dyDescent="0.25">
      <c r="A709" s="16"/>
      <c r="B709" s="16"/>
      <c r="C709" s="16"/>
      <c r="D709" s="16"/>
      <c r="E709" s="16"/>
      <c r="F709" s="16"/>
      <c r="G709" s="16"/>
      <c r="H709" s="16"/>
      <c r="I709" s="16"/>
      <c r="J709" s="16"/>
      <c r="K709" s="16"/>
      <c r="L709" s="16"/>
      <c r="M709" s="16"/>
      <c r="N709" s="16"/>
      <c r="O709" s="16"/>
      <c r="P709" s="16"/>
      <c r="Q709" s="16"/>
      <c r="R709" s="16"/>
      <c r="S709" s="16"/>
      <c r="T709" s="16"/>
      <c r="U709" s="16"/>
      <c r="V709" s="16"/>
    </row>
    <row r="710" spans="1:22" ht="15.75" customHeight="1" x14ac:dyDescent="0.25">
      <c r="A710" s="16"/>
      <c r="B710" s="16"/>
      <c r="C710" s="16"/>
      <c r="D710" s="16"/>
      <c r="E710" s="16"/>
      <c r="F710" s="16"/>
      <c r="G710" s="16"/>
      <c r="H710" s="16"/>
      <c r="I710" s="16"/>
      <c r="J710" s="16"/>
      <c r="K710" s="16"/>
      <c r="L710" s="16"/>
      <c r="M710" s="16"/>
      <c r="N710" s="16"/>
      <c r="O710" s="16"/>
      <c r="P710" s="16"/>
      <c r="Q710" s="16"/>
      <c r="R710" s="16"/>
      <c r="S710" s="16"/>
      <c r="T710" s="16"/>
      <c r="U710" s="16"/>
      <c r="V710" s="16"/>
    </row>
    <row r="711" spans="1:22" ht="15.75" customHeight="1" x14ac:dyDescent="0.25">
      <c r="A711" s="16"/>
      <c r="B711" s="16"/>
      <c r="C711" s="16"/>
      <c r="D711" s="16"/>
      <c r="E711" s="16"/>
      <c r="F711" s="16"/>
      <c r="G711" s="16"/>
      <c r="H711" s="16"/>
      <c r="I711" s="16"/>
      <c r="J711" s="16"/>
      <c r="K711" s="16"/>
      <c r="L711" s="16"/>
      <c r="M711" s="16"/>
      <c r="N711" s="16"/>
      <c r="O711" s="16"/>
      <c r="P711" s="16"/>
      <c r="Q711" s="16"/>
      <c r="R711" s="16"/>
      <c r="S711" s="16"/>
      <c r="T711" s="16"/>
      <c r="U711" s="16"/>
      <c r="V711" s="16"/>
    </row>
    <row r="712" spans="1:22" ht="15.75" customHeight="1" x14ac:dyDescent="0.25">
      <c r="A712" s="16"/>
      <c r="B712" s="16"/>
      <c r="C712" s="16"/>
      <c r="D712" s="16"/>
      <c r="E712" s="16"/>
      <c r="F712" s="16"/>
      <c r="G712" s="16"/>
      <c r="H712" s="16"/>
      <c r="I712" s="16"/>
      <c r="J712" s="16"/>
      <c r="K712" s="16"/>
      <c r="L712" s="16"/>
      <c r="M712" s="16"/>
      <c r="N712" s="16"/>
      <c r="O712" s="16"/>
      <c r="P712" s="16"/>
      <c r="Q712" s="16"/>
      <c r="R712" s="16"/>
      <c r="S712" s="16"/>
      <c r="T712" s="16"/>
      <c r="U712" s="16"/>
      <c r="V712" s="16"/>
    </row>
    <row r="713" spans="1:22" ht="15.75" customHeight="1" x14ac:dyDescent="0.25">
      <c r="A713" s="16"/>
      <c r="B713" s="16"/>
      <c r="C713" s="16"/>
      <c r="D713" s="16"/>
      <c r="E713" s="16"/>
      <c r="F713" s="16"/>
      <c r="G713" s="16"/>
      <c r="H713" s="16"/>
      <c r="I713" s="16"/>
      <c r="J713" s="16"/>
      <c r="K713" s="16"/>
      <c r="L713" s="16"/>
      <c r="M713" s="16"/>
      <c r="N713" s="16"/>
      <c r="O713" s="16"/>
      <c r="P713" s="16"/>
      <c r="Q713" s="16"/>
      <c r="R713" s="16"/>
      <c r="S713" s="16"/>
      <c r="T713" s="16"/>
      <c r="U713" s="16"/>
      <c r="V713" s="16"/>
    </row>
    <row r="714" spans="1:22" ht="15.75" customHeight="1" x14ac:dyDescent="0.25">
      <c r="A714" s="16"/>
      <c r="B714" s="16"/>
      <c r="C714" s="16"/>
      <c r="D714" s="16"/>
      <c r="E714" s="16"/>
      <c r="F714" s="16"/>
      <c r="G714" s="16"/>
      <c r="H714" s="16"/>
      <c r="I714" s="16"/>
      <c r="J714" s="16"/>
      <c r="K714" s="16"/>
      <c r="L714" s="16"/>
      <c r="M714" s="16"/>
      <c r="N714" s="16"/>
      <c r="O714" s="16"/>
      <c r="P714" s="16"/>
      <c r="Q714" s="16"/>
      <c r="R714" s="16"/>
      <c r="S714" s="16"/>
      <c r="T714" s="16"/>
      <c r="U714" s="16"/>
      <c r="V714" s="16"/>
    </row>
    <row r="715" spans="1:22" ht="15.75" customHeight="1" x14ac:dyDescent="0.25">
      <c r="A715" s="16"/>
      <c r="B715" s="16"/>
      <c r="C715" s="16"/>
      <c r="D715" s="16"/>
      <c r="E715" s="16"/>
      <c r="F715" s="16"/>
      <c r="G715" s="16"/>
      <c r="H715" s="16"/>
      <c r="I715" s="16"/>
      <c r="J715" s="16"/>
      <c r="K715" s="16"/>
      <c r="L715" s="16"/>
      <c r="M715" s="16"/>
      <c r="N715" s="16"/>
      <c r="O715" s="16"/>
      <c r="P715" s="16"/>
      <c r="Q715" s="16"/>
      <c r="R715" s="16"/>
      <c r="S715" s="16"/>
      <c r="T715" s="16"/>
      <c r="U715" s="16"/>
      <c r="V715" s="16"/>
    </row>
    <row r="716" spans="1:22" ht="15.75" customHeight="1" x14ac:dyDescent="0.25">
      <c r="A716" s="16"/>
      <c r="B716" s="16"/>
      <c r="C716" s="16"/>
      <c r="D716" s="16"/>
      <c r="E716" s="16"/>
      <c r="F716" s="16"/>
      <c r="G716" s="16"/>
      <c r="H716" s="16"/>
      <c r="I716" s="16"/>
      <c r="J716" s="16"/>
      <c r="K716" s="16"/>
      <c r="L716" s="16"/>
      <c r="M716" s="16"/>
      <c r="N716" s="16"/>
      <c r="O716" s="16"/>
      <c r="P716" s="16"/>
      <c r="Q716" s="16"/>
      <c r="R716" s="16"/>
      <c r="S716" s="16"/>
      <c r="T716" s="16"/>
      <c r="U716" s="16"/>
      <c r="V716" s="16"/>
    </row>
    <row r="717" spans="1:22" ht="15.75" customHeight="1" x14ac:dyDescent="0.25">
      <c r="A717" s="16"/>
      <c r="B717" s="16"/>
      <c r="C717" s="16"/>
      <c r="D717" s="16"/>
      <c r="E717" s="16"/>
      <c r="F717" s="16"/>
      <c r="G717" s="16"/>
      <c r="H717" s="16"/>
      <c r="I717" s="16"/>
      <c r="J717" s="16"/>
      <c r="K717" s="16"/>
      <c r="L717" s="16"/>
      <c r="M717" s="16"/>
      <c r="N717" s="16"/>
      <c r="O717" s="16"/>
      <c r="P717" s="16"/>
      <c r="Q717" s="16"/>
      <c r="R717" s="16"/>
      <c r="S717" s="16"/>
      <c r="T717" s="16"/>
      <c r="U717" s="16"/>
      <c r="V717" s="16"/>
    </row>
    <row r="718" spans="1:22" ht="15.75" customHeight="1" x14ac:dyDescent="0.25">
      <c r="A718" s="16"/>
      <c r="B718" s="16"/>
      <c r="C718" s="16"/>
      <c r="D718" s="16"/>
      <c r="E718" s="16"/>
      <c r="F718" s="16"/>
      <c r="G718" s="16"/>
      <c r="H718" s="16"/>
      <c r="I718" s="16"/>
      <c r="J718" s="16"/>
      <c r="K718" s="16"/>
      <c r="L718" s="16"/>
      <c r="M718" s="16"/>
      <c r="N718" s="16"/>
      <c r="O718" s="16"/>
      <c r="P718" s="16"/>
      <c r="Q718" s="16"/>
      <c r="R718" s="16"/>
      <c r="S718" s="16"/>
      <c r="T718" s="16"/>
      <c r="U718" s="16"/>
      <c r="V718" s="16"/>
    </row>
    <row r="719" spans="1:22" ht="15.75" customHeight="1" x14ac:dyDescent="0.25">
      <c r="A719" s="16"/>
      <c r="B719" s="16"/>
      <c r="C719" s="16"/>
      <c r="D719" s="16"/>
      <c r="E719" s="16"/>
      <c r="F719" s="16"/>
      <c r="G719" s="16"/>
      <c r="H719" s="16"/>
      <c r="I719" s="16"/>
      <c r="J719" s="16"/>
      <c r="K719" s="16"/>
      <c r="L719" s="16"/>
      <c r="M719" s="16"/>
      <c r="N719" s="16"/>
      <c r="O719" s="16"/>
      <c r="P719" s="16"/>
      <c r="Q719" s="16"/>
      <c r="R719" s="16"/>
      <c r="S719" s="16"/>
      <c r="T719" s="16"/>
      <c r="U719" s="16"/>
      <c r="V719" s="16"/>
    </row>
    <row r="720" spans="1:22" ht="15.75" customHeight="1" x14ac:dyDescent="0.25">
      <c r="A720" s="16"/>
      <c r="B720" s="16"/>
      <c r="C720" s="16"/>
      <c r="D720" s="16"/>
      <c r="E720" s="16"/>
      <c r="F720" s="16"/>
      <c r="G720" s="16"/>
      <c r="H720" s="16"/>
      <c r="I720" s="16"/>
      <c r="J720" s="16"/>
      <c r="K720" s="16"/>
      <c r="L720" s="16"/>
      <c r="M720" s="16"/>
      <c r="N720" s="16"/>
      <c r="O720" s="16"/>
      <c r="P720" s="16"/>
      <c r="Q720" s="16"/>
      <c r="R720" s="16"/>
      <c r="S720" s="16"/>
      <c r="T720" s="16"/>
      <c r="U720" s="16"/>
      <c r="V720" s="16"/>
    </row>
    <row r="721" spans="1:22" ht="15.75" customHeight="1" x14ac:dyDescent="0.25">
      <c r="A721" s="16"/>
      <c r="B721" s="16"/>
      <c r="C721" s="16"/>
      <c r="D721" s="16"/>
      <c r="E721" s="16"/>
      <c r="F721" s="16"/>
      <c r="G721" s="16"/>
      <c r="H721" s="16"/>
      <c r="I721" s="16"/>
      <c r="J721" s="16"/>
      <c r="K721" s="16"/>
      <c r="L721" s="16"/>
      <c r="M721" s="16"/>
      <c r="N721" s="16"/>
      <c r="O721" s="16"/>
      <c r="P721" s="16"/>
      <c r="Q721" s="16"/>
      <c r="R721" s="16"/>
      <c r="S721" s="16"/>
      <c r="T721" s="16"/>
      <c r="U721" s="16"/>
      <c r="V721" s="16"/>
    </row>
    <row r="722" spans="1:22" ht="15.75" customHeight="1" x14ac:dyDescent="0.25">
      <c r="A722" s="16"/>
      <c r="B722" s="16"/>
      <c r="C722" s="16"/>
      <c r="D722" s="16"/>
      <c r="E722" s="16"/>
      <c r="F722" s="16"/>
      <c r="G722" s="16"/>
      <c r="H722" s="16"/>
      <c r="I722" s="16"/>
      <c r="J722" s="16"/>
      <c r="K722" s="16"/>
      <c r="L722" s="16"/>
      <c r="M722" s="16"/>
      <c r="N722" s="16"/>
      <c r="O722" s="16"/>
      <c r="P722" s="16"/>
      <c r="Q722" s="16"/>
      <c r="R722" s="16"/>
      <c r="S722" s="16"/>
      <c r="T722" s="16"/>
      <c r="U722" s="16"/>
      <c r="V722" s="16"/>
    </row>
    <row r="723" spans="1:22" ht="15.75" customHeight="1" x14ac:dyDescent="0.25">
      <c r="A723" s="16"/>
      <c r="B723" s="16"/>
      <c r="C723" s="16"/>
      <c r="D723" s="16"/>
      <c r="E723" s="16"/>
      <c r="F723" s="16"/>
      <c r="G723" s="16"/>
      <c r="H723" s="16"/>
      <c r="I723" s="16"/>
      <c r="J723" s="16"/>
      <c r="K723" s="16"/>
      <c r="L723" s="16"/>
      <c r="M723" s="16"/>
      <c r="N723" s="16"/>
      <c r="O723" s="16"/>
      <c r="P723" s="16"/>
      <c r="Q723" s="16"/>
      <c r="R723" s="16"/>
      <c r="S723" s="16"/>
      <c r="T723" s="16"/>
      <c r="U723" s="16"/>
      <c r="V723" s="16"/>
    </row>
    <row r="724" spans="1:22" ht="15.75" customHeight="1" x14ac:dyDescent="0.25">
      <c r="A724" s="16"/>
      <c r="B724" s="16"/>
      <c r="C724" s="16"/>
      <c r="D724" s="16"/>
      <c r="E724" s="16"/>
      <c r="F724" s="16"/>
      <c r="G724" s="16"/>
      <c r="H724" s="16"/>
      <c r="I724" s="16"/>
      <c r="J724" s="16"/>
      <c r="K724" s="16"/>
      <c r="L724" s="16"/>
      <c r="M724" s="16"/>
      <c r="N724" s="16"/>
      <c r="O724" s="16"/>
      <c r="P724" s="16"/>
      <c r="Q724" s="16"/>
      <c r="R724" s="16"/>
      <c r="S724" s="16"/>
      <c r="T724" s="16"/>
      <c r="U724" s="16"/>
      <c r="V724" s="16"/>
    </row>
    <row r="725" spans="1:22" ht="15.75" customHeight="1" x14ac:dyDescent="0.25">
      <c r="A725" s="16"/>
      <c r="B725" s="16"/>
      <c r="C725" s="16"/>
      <c r="D725" s="16"/>
      <c r="E725" s="16"/>
      <c r="F725" s="16"/>
      <c r="G725" s="16"/>
      <c r="H725" s="16"/>
      <c r="I725" s="16"/>
      <c r="J725" s="16"/>
      <c r="K725" s="16"/>
      <c r="L725" s="16"/>
      <c r="M725" s="16"/>
      <c r="N725" s="16"/>
      <c r="O725" s="16"/>
      <c r="P725" s="16"/>
      <c r="Q725" s="16"/>
      <c r="R725" s="16"/>
      <c r="S725" s="16"/>
      <c r="T725" s="16"/>
      <c r="U725" s="16"/>
      <c r="V725" s="16"/>
    </row>
    <row r="726" spans="1:22" ht="15.75" customHeight="1" x14ac:dyDescent="0.25">
      <c r="A726" s="16"/>
      <c r="B726" s="16"/>
      <c r="C726" s="16"/>
      <c r="D726" s="16"/>
      <c r="E726" s="16"/>
      <c r="F726" s="16"/>
      <c r="G726" s="16"/>
      <c r="H726" s="16"/>
      <c r="I726" s="16"/>
      <c r="J726" s="16"/>
      <c r="K726" s="16"/>
      <c r="L726" s="16"/>
      <c r="M726" s="16"/>
      <c r="N726" s="16"/>
      <c r="O726" s="16"/>
      <c r="P726" s="16"/>
      <c r="Q726" s="16"/>
      <c r="R726" s="16"/>
      <c r="S726" s="16"/>
      <c r="T726" s="16"/>
      <c r="U726" s="16"/>
      <c r="V726" s="16"/>
    </row>
    <row r="727" spans="1:22" ht="15.75" customHeight="1" x14ac:dyDescent="0.25">
      <c r="A727" s="16"/>
      <c r="B727" s="16"/>
      <c r="C727" s="16"/>
      <c r="D727" s="16"/>
      <c r="E727" s="16"/>
      <c r="F727" s="16"/>
      <c r="G727" s="16"/>
      <c r="H727" s="16"/>
      <c r="I727" s="16"/>
      <c r="J727" s="16"/>
      <c r="K727" s="16"/>
      <c r="L727" s="16"/>
      <c r="M727" s="16"/>
      <c r="N727" s="16"/>
      <c r="O727" s="16"/>
      <c r="P727" s="16"/>
      <c r="Q727" s="16"/>
      <c r="R727" s="16"/>
      <c r="S727" s="16"/>
      <c r="T727" s="16"/>
      <c r="U727" s="16"/>
      <c r="V727" s="16"/>
    </row>
    <row r="728" spans="1:22" ht="15.75" customHeight="1" x14ac:dyDescent="0.25">
      <c r="A728" s="16"/>
      <c r="B728" s="16"/>
      <c r="C728" s="16"/>
      <c r="D728" s="16"/>
      <c r="E728" s="16"/>
      <c r="F728" s="16"/>
      <c r="G728" s="16"/>
      <c r="H728" s="16"/>
      <c r="I728" s="16"/>
      <c r="J728" s="16"/>
      <c r="K728" s="16"/>
      <c r="L728" s="16"/>
      <c r="M728" s="16"/>
      <c r="N728" s="16"/>
      <c r="O728" s="16"/>
      <c r="P728" s="16"/>
      <c r="Q728" s="16"/>
      <c r="R728" s="16"/>
      <c r="S728" s="16"/>
      <c r="T728" s="16"/>
      <c r="U728" s="16"/>
      <c r="V728" s="16"/>
    </row>
    <row r="729" spans="1:22" ht="15.75" customHeight="1" x14ac:dyDescent="0.25">
      <c r="A729" s="16"/>
      <c r="B729" s="16"/>
      <c r="C729" s="16"/>
      <c r="D729" s="16"/>
      <c r="E729" s="16"/>
      <c r="F729" s="16"/>
      <c r="G729" s="16"/>
      <c r="H729" s="16"/>
      <c r="I729" s="16"/>
      <c r="J729" s="16"/>
      <c r="K729" s="16"/>
      <c r="L729" s="16"/>
      <c r="M729" s="16"/>
      <c r="N729" s="16"/>
      <c r="O729" s="16"/>
      <c r="P729" s="16"/>
      <c r="Q729" s="16"/>
      <c r="R729" s="16"/>
      <c r="S729" s="16"/>
      <c r="T729" s="16"/>
      <c r="U729" s="16"/>
      <c r="V729" s="16"/>
    </row>
    <row r="730" spans="1:22" ht="15.75" customHeight="1" x14ac:dyDescent="0.25">
      <c r="A730" s="16"/>
      <c r="B730" s="16"/>
      <c r="C730" s="16"/>
      <c r="D730" s="16"/>
      <c r="E730" s="16"/>
      <c r="F730" s="16"/>
      <c r="G730" s="16"/>
      <c r="H730" s="16"/>
      <c r="I730" s="16"/>
      <c r="J730" s="16"/>
      <c r="K730" s="16"/>
      <c r="L730" s="16"/>
      <c r="M730" s="16"/>
      <c r="N730" s="16"/>
      <c r="O730" s="16"/>
      <c r="P730" s="16"/>
      <c r="Q730" s="16"/>
      <c r="R730" s="16"/>
      <c r="S730" s="16"/>
      <c r="T730" s="16"/>
      <c r="U730" s="16"/>
      <c r="V730" s="16"/>
    </row>
    <row r="731" spans="1:22" ht="15.75" customHeight="1" x14ac:dyDescent="0.25">
      <c r="A731" s="16"/>
      <c r="B731" s="16"/>
      <c r="C731" s="16"/>
      <c r="D731" s="16"/>
      <c r="E731" s="16"/>
      <c r="F731" s="16"/>
      <c r="G731" s="16"/>
      <c r="H731" s="16"/>
      <c r="I731" s="16"/>
      <c r="J731" s="16"/>
      <c r="K731" s="16"/>
      <c r="L731" s="16"/>
      <c r="M731" s="16"/>
      <c r="N731" s="16"/>
      <c r="O731" s="16"/>
      <c r="P731" s="16"/>
      <c r="Q731" s="16"/>
      <c r="R731" s="16"/>
      <c r="S731" s="16"/>
      <c r="T731" s="16"/>
      <c r="U731" s="16"/>
      <c r="V731" s="16"/>
    </row>
    <row r="732" spans="1:22" ht="15.75" customHeight="1" x14ac:dyDescent="0.25">
      <c r="A732" s="16"/>
      <c r="B732" s="16"/>
      <c r="C732" s="16"/>
      <c r="D732" s="16"/>
      <c r="E732" s="16"/>
      <c r="F732" s="16"/>
      <c r="G732" s="16"/>
      <c r="H732" s="16"/>
      <c r="I732" s="16"/>
      <c r="J732" s="16"/>
      <c r="K732" s="16"/>
      <c r="L732" s="16"/>
      <c r="M732" s="16"/>
      <c r="N732" s="16"/>
      <c r="O732" s="16"/>
      <c r="P732" s="16"/>
      <c r="Q732" s="16"/>
      <c r="R732" s="16"/>
      <c r="S732" s="16"/>
      <c r="T732" s="16"/>
      <c r="U732" s="16"/>
      <c r="V732" s="16"/>
    </row>
    <row r="733" spans="1:22" ht="15.75" customHeight="1" x14ac:dyDescent="0.25">
      <c r="A733" s="16"/>
      <c r="B733" s="16"/>
      <c r="C733" s="16"/>
      <c r="D733" s="16"/>
      <c r="E733" s="16"/>
      <c r="F733" s="16"/>
      <c r="G733" s="16"/>
      <c r="H733" s="16"/>
      <c r="I733" s="16"/>
      <c r="J733" s="16"/>
      <c r="K733" s="16"/>
      <c r="L733" s="16"/>
      <c r="M733" s="16"/>
      <c r="N733" s="16"/>
      <c r="O733" s="16"/>
      <c r="P733" s="16"/>
      <c r="Q733" s="16"/>
      <c r="R733" s="16"/>
      <c r="S733" s="16"/>
      <c r="T733" s="16"/>
      <c r="U733" s="16"/>
      <c r="V733" s="16"/>
    </row>
    <row r="734" spans="1:22" ht="15.75" customHeight="1" x14ac:dyDescent="0.25">
      <c r="A734" s="16"/>
      <c r="B734" s="16"/>
      <c r="C734" s="16"/>
      <c r="D734" s="16"/>
      <c r="E734" s="16"/>
      <c r="F734" s="16"/>
      <c r="G734" s="16"/>
      <c r="H734" s="16"/>
      <c r="I734" s="16"/>
      <c r="J734" s="16"/>
      <c r="K734" s="16"/>
      <c r="L734" s="16"/>
      <c r="M734" s="16"/>
      <c r="N734" s="16"/>
      <c r="O734" s="16"/>
      <c r="P734" s="16"/>
      <c r="Q734" s="16"/>
      <c r="R734" s="16"/>
      <c r="S734" s="16"/>
      <c r="T734" s="16"/>
      <c r="U734" s="16"/>
      <c r="V734" s="16"/>
    </row>
    <row r="735" spans="1:22" ht="15.75" customHeight="1" x14ac:dyDescent="0.25">
      <c r="A735" s="16"/>
      <c r="B735" s="16"/>
      <c r="C735" s="16"/>
      <c r="D735" s="16"/>
      <c r="E735" s="16"/>
      <c r="F735" s="16"/>
      <c r="G735" s="16"/>
      <c r="H735" s="16"/>
      <c r="I735" s="16"/>
      <c r="J735" s="16"/>
      <c r="K735" s="16"/>
      <c r="L735" s="16"/>
      <c r="M735" s="16"/>
      <c r="N735" s="16"/>
      <c r="O735" s="16"/>
      <c r="P735" s="16"/>
      <c r="Q735" s="16"/>
      <c r="R735" s="16"/>
      <c r="S735" s="16"/>
      <c r="T735" s="16"/>
      <c r="U735" s="16"/>
      <c r="V735" s="16"/>
    </row>
    <row r="736" spans="1:22" ht="15.75" customHeight="1" x14ac:dyDescent="0.25">
      <c r="A736" s="16"/>
      <c r="B736" s="16"/>
      <c r="C736" s="16"/>
      <c r="D736" s="16"/>
      <c r="E736" s="16"/>
      <c r="F736" s="16"/>
      <c r="G736" s="16"/>
      <c r="H736" s="16"/>
      <c r="I736" s="16"/>
      <c r="J736" s="16"/>
      <c r="K736" s="16"/>
      <c r="L736" s="16"/>
      <c r="M736" s="16"/>
      <c r="N736" s="16"/>
      <c r="O736" s="16"/>
      <c r="P736" s="16"/>
      <c r="Q736" s="16"/>
      <c r="R736" s="16"/>
      <c r="S736" s="16"/>
      <c r="T736" s="16"/>
      <c r="U736" s="16"/>
      <c r="V736" s="16"/>
    </row>
    <row r="737" spans="1:22" ht="15.75" customHeight="1" x14ac:dyDescent="0.25">
      <c r="A737" s="16"/>
      <c r="B737" s="16"/>
      <c r="C737" s="16"/>
      <c r="D737" s="16"/>
      <c r="E737" s="16"/>
      <c r="F737" s="16"/>
      <c r="G737" s="16"/>
      <c r="H737" s="16"/>
      <c r="I737" s="16"/>
      <c r="J737" s="16"/>
      <c r="K737" s="16"/>
      <c r="L737" s="16"/>
      <c r="M737" s="16"/>
      <c r="N737" s="16"/>
      <c r="O737" s="16"/>
      <c r="P737" s="16"/>
      <c r="Q737" s="16"/>
      <c r="R737" s="16"/>
      <c r="S737" s="16"/>
      <c r="T737" s="16"/>
      <c r="U737" s="16"/>
      <c r="V737" s="16"/>
    </row>
    <row r="738" spans="1:22" ht="15.75" customHeight="1" x14ac:dyDescent="0.25">
      <c r="A738" s="16"/>
      <c r="B738" s="16"/>
      <c r="C738" s="16"/>
      <c r="D738" s="16"/>
      <c r="E738" s="16"/>
      <c r="F738" s="16"/>
      <c r="G738" s="16"/>
      <c r="H738" s="16"/>
      <c r="I738" s="16"/>
      <c r="J738" s="16"/>
      <c r="K738" s="16"/>
      <c r="L738" s="16"/>
      <c r="M738" s="16"/>
      <c r="N738" s="16"/>
      <c r="O738" s="16"/>
      <c r="P738" s="16"/>
      <c r="Q738" s="16"/>
      <c r="R738" s="16"/>
      <c r="S738" s="16"/>
      <c r="T738" s="16"/>
      <c r="U738" s="16"/>
      <c r="V738" s="16"/>
    </row>
    <row r="739" spans="1:22" ht="15.75" customHeight="1" x14ac:dyDescent="0.25">
      <c r="A739" s="16"/>
      <c r="B739" s="16"/>
      <c r="C739" s="16"/>
      <c r="D739" s="16"/>
      <c r="E739" s="16"/>
      <c r="F739" s="16"/>
      <c r="G739" s="16"/>
      <c r="H739" s="16"/>
      <c r="I739" s="16"/>
      <c r="J739" s="16"/>
      <c r="K739" s="16"/>
      <c r="L739" s="16"/>
      <c r="M739" s="16"/>
      <c r="N739" s="16"/>
      <c r="O739" s="16"/>
      <c r="P739" s="16"/>
      <c r="Q739" s="16"/>
      <c r="R739" s="16"/>
      <c r="S739" s="16"/>
      <c r="T739" s="16"/>
      <c r="U739" s="16"/>
      <c r="V739" s="16"/>
    </row>
    <row r="740" spans="1:22" ht="15.75" customHeight="1" x14ac:dyDescent="0.25">
      <c r="A740" s="16"/>
      <c r="B740" s="16"/>
      <c r="C740" s="16"/>
      <c r="D740" s="16"/>
      <c r="E740" s="16"/>
      <c r="F740" s="16"/>
      <c r="G740" s="16"/>
      <c r="H740" s="16"/>
      <c r="I740" s="16"/>
      <c r="J740" s="16"/>
      <c r="K740" s="16"/>
      <c r="L740" s="16"/>
      <c r="M740" s="16"/>
      <c r="N740" s="16"/>
      <c r="O740" s="16"/>
      <c r="P740" s="16"/>
      <c r="Q740" s="16"/>
      <c r="R740" s="16"/>
      <c r="S740" s="16"/>
      <c r="T740" s="16"/>
      <c r="U740" s="16"/>
      <c r="V740" s="16"/>
    </row>
    <row r="741" spans="1:22" ht="15.75" customHeight="1" x14ac:dyDescent="0.25">
      <c r="A741" s="16"/>
      <c r="B741" s="16"/>
      <c r="C741" s="16"/>
      <c r="D741" s="16"/>
      <c r="E741" s="16"/>
      <c r="F741" s="16"/>
      <c r="G741" s="16"/>
      <c r="H741" s="16"/>
      <c r="I741" s="16"/>
      <c r="J741" s="16"/>
      <c r="K741" s="16"/>
      <c r="L741" s="16"/>
      <c r="M741" s="16"/>
      <c r="N741" s="16"/>
      <c r="O741" s="16"/>
      <c r="P741" s="16"/>
      <c r="Q741" s="16"/>
      <c r="R741" s="16"/>
      <c r="S741" s="16"/>
      <c r="T741" s="16"/>
      <c r="U741" s="16"/>
      <c r="V741" s="16"/>
    </row>
    <row r="742" spans="1:22" ht="15.75" customHeight="1" x14ac:dyDescent="0.25">
      <c r="A742" s="16"/>
      <c r="B742" s="16"/>
      <c r="C742" s="16"/>
      <c r="D742" s="16"/>
      <c r="E742" s="16"/>
      <c r="F742" s="16"/>
      <c r="G742" s="16"/>
      <c r="H742" s="16"/>
      <c r="I742" s="16"/>
      <c r="J742" s="16"/>
      <c r="K742" s="16"/>
      <c r="L742" s="16"/>
      <c r="M742" s="16"/>
      <c r="N742" s="16"/>
      <c r="O742" s="16"/>
      <c r="P742" s="16"/>
      <c r="Q742" s="16"/>
      <c r="R742" s="16"/>
      <c r="S742" s="16"/>
      <c r="T742" s="16"/>
      <c r="U742" s="16"/>
      <c r="V742" s="16"/>
    </row>
    <row r="743" spans="1:22" ht="15.75" customHeight="1" x14ac:dyDescent="0.25">
      <c r="A743" s="16"/>
      <c r="B743" s="16"/>
      <c r="C743" s="16"/>
      <c r="D743" s="16"/>
      <c r="E743" s="16"/>
      <c r="F743" s="16"/>
      <c r="G743" s="16"/>
      <c r="H743" s="16"/>
      <c r="I743" s="16"/>
      <c r="J743" s="16"/>
      <c r="K743" s="16"/>
      <c r="L743" s="16"/>
      <c r="M743" s="16"/>
      <c r="N743" s="16"/>
      <c r="O743" s="16"/>
      <c r="P743" s="16"/>
      <c r="Q743" s="16"/>
      <c r="R743" s="16"/>
      <c r="S743" s="16"/>
      <c r="T743" s="16"/>
      <c r="U743" s="16"/>
      <c r="V743" s="16"/>
    </row>
    <row r="744" spans="1:22" ht="15.75" customHeight="1" x14ac:dyDescent="0.25">
      <c r="A744" s="16"/>
      <c r="B744" s="16"/>
      <c r="C744" s="16"/>
      <c r="D744" s="16"/>
      <c r="E744" s="16"/>
      <c r="F744" s="16"/>
      <c r="G744" s="16"/>
      <c r="H744" s="16"/>
      <c r="I744" s="16"/>
      <c r="J744" s="16"/>
      <c r="K744" s="16"/>
      <c r="L744" s="16"/>
      <c r="M744" s="16"/>
      <c r="N744" s="16"/>
      <c r="O744" s="16"/>
      <c r="P744" s="16"/>
      <c r="Q744" s="16"/>
      <c r="R744" s="16"/>
      <c r="S744" s="16"/>
      <c r="T744" s="16"/>
      <c r="U744" s="16"/>
      <c r="V744" s="16"/>
    </row>
    <row r="745" spans="1:22" ht="15.75" customHeight="1" x14ac:dyDescent="0.25">
      <c r="A745" s="16"/>
      <c r="B745" s="16"/>
      <c r="C745" s="16"/>
      <c r="D745" s="16"/>
      <c r="E745" s="16"/>
      <c r="F745" s="16"/>
      <c r="G745" s="16"/>
      <c r="H745" s="16"/>
      <c r="I745" s="16"/>
      <c r="J745" s="16"/>
      <c r="K745" s="16"/>
      <c r="L745" s="16"/>
      <c r="M745" s="16"/>
      <c r="N745" s="16"/>
      <c r="O745" s="16"/>
      <c r="P745" s="16"/>
      <c r="Q745" s="16"/>
      <c r="R745" s="16"/>
      <c r="S745" s="16"/>
      <c r="T745" s="16"/>
      <c r="U745" s="16"/>
      <c r="V745" s="16"/>
    </row>
    <row r="746" spans="1:22" ht="15.75" customHeight="1" x14ac:dyDescent="0.25">
      <c r="A746" s="16"/>
      <c r="B746" s="16"/>
      <c r="C746" s="16"/>
      <c r="D746" s="16"/>
      <c r="E746" s="16"/>
      <c r="F746" s="16"/>
      <c r="G746" s="16"/>
      <c r="H746" s="16"/>
      <c r="I746" s="16"/>
      <c r="J746" s="16"/>
      <c r="K746" s="16"/>
      <c r="L746" s="16"/>
      <c r="M746" s="16"/>
      <c r="N746" s="16"/>
      <c r="O746" s="16"/>
      <c r="P746" s="16"/>
      <c r="Q746" s="16"/>
      <c r="R746" s="16"/>
      <c r="S746" s="16"/>
      <c r="T746" s="16"/>
      <c r="U746" s="16"/>
      <c r="V746" s="16"/>
    </row>
    <row r="747" spans="1:22" ht="15.75" customHeight="1" x14ac:dyDescent="0.25">
      <c r="A747" s="16"/>
      <c r="B747" s="16"/>
      <c r="C747" s="16"/>
      <c r="D747" s="16"/>
      <c r="E747" s="16"/>
      <c r="F747" s="16"/>
      <c r="G747" s="16"/>
      <c r="H747" s="16"/>
      <c r="I747" s="16"/>
      <c r="J747" s="16"/>
      <c r="K747" s="16"/>
      <c r="L747" s="16"/>
      <c r="M747" s="16"/>
      <c r="N747" s="16"/>
      <c r="O747" s="16"/>
      <c r="P747" s="16"/>
      <c r="Q747" s="16"/>
      <c r="R747" s="16"/>
      <c r="S747" s="16"/>
      <c r="T747" s="16"/>
      <c r="U747" s="16"/>
      <c r="V747" s="16"/>
    </row>
    <row r="748" spans="1:22" ht="15.75" customHeight="1" x14ac:dyDescent="0.25">
      <c r="A748" s="16"/>
      <c r="B748" s="16"/>
      <c r="C748" s="16"/>
      <c r="D748" s="16"/>
      <c r="E748" s="16"/>
      <c r="F748" s="16"/>
      <c r="G748" s="16"/>
      <c r="H748" s="16"/>
      <c r="I748" s="16"/>
      <c r="J748" s="16"/>
      <c r="K748" s="16"/>
      <c r="L748" s="16"/>
      <c r="M748" s="16"/>
      <c r="N748" s="16"/>
      <c r="O748" s="16"/>
      <c r="P748" s="16"/>
      <c r="Q748" s="16"/>
      <c r="R748" s="16"/>
      <c r="S748" s="16"/>
      <c r="T748" s="16"/>
      <c r="U748" s="16"/>
      <c r="V748" s="16"/>
    </row>
    <row r="749" spans="1:22" ht="15.75" customHeight="1" x14ac:dyDescent="0.25">
      <c r="A749" s="16"/>
      <c r="B749" s="16"/>
      <c r="C749" s="16"/>
      <c r="D749" s="16"/>
      <c r="E749" s="16"/>
      <c r="F749" s="16"/>
      <c r="G749" s="16"/>
      <c r="H749" s="16"/>
      <c r="I749" s="16"/>
      <c r="J749" s="16"/>
      <c r="K749" s="16"/>
      <c r="L749" s="16"/>
      <c r="M749" s="16"/>
      <c r="N749" s="16"/>
      <c r="O749" s="16"/>
      <c r="P749" s="16"/>
      <c r="Q749" s="16"/>
      <c r="R749" s="16"/>
      <c r="S749" s="16"/>
      <c r="T749" s="16"/>
      <c r="U749" s="16"/>
      <c r="V749" s="16"/>
    </row>
    <row r="750" spans="1:22" ht="15.75" customHeight="1" x14ac:dyDescent="0.25">
      <c r="A750" s="16"/>
      <c r="B750" s="16"/>
      <c r="C750" s="16"/>
      <c r="D750" s="16"/>
      <c r="E750" s="16"/>
      <c r="F750" s="16"/>
      <c r="G750" s="16"/>
      <c r="H750" s="16"/>
      <c r="I750" s="16"/>
      <c r="J750" s="16"/>
      <c r="K750" s="16"/>
      <c r="L750" s="16"/>
      <c r="M750" s="16"/>
      <c r="N750" s="16"/>
      <c r="O750" s="16"/>
      <c r="P750" s="16"/>
      <c r="Q750" s="16"/>
      <c r="R750" s="16"/>
      <c r="S750" s="16"/>
      <c r="T750" s="16"/>
      <c r="U750" s="16"/>
      <c r="V750" s="16"/>
    </row>
    <row r="751" spans="1:22" ht="15.75" customHeight="1" x14ac:dyDescent="0.25">
      <c r="A751" s="16"/>
      <c r="B751" s="16"/>
      <c r="C751" s="16"/>
      <c r="D751" s="16"/>
      <c r="E751" s="16"/>
      <c r="F751" s="16"/>
      <c r="G751" s="16"/>
      <c r="H751" s="16"/>
      <c r="I751" s="16"/>
      <c r="J751" s="16"/>
      <c r="K751" s="16"/>
      <c r="L751" s="16"/>
      <c r="M751" s="16"/>
      <c r="N751" s="16"/>
      <c r="O751" s="16"/>
      <c r="P751" s="16"/>
      <c r="Q751" s="16"/>
      <c r="R751" s="16"/>
      <c r="S751" s="16"/>
      <c r="T751" s="16"/>
      <c r="U751" s="16"/>
      <c r="V751" s="16"/>
    </row>
    <row r="752" spans="1:22" ht="15.75" customHeight="1" x14ac:dyDescent="0.25">
      <c r="A752" s="16"/>
      <c r="B752" s="16"/>
      <c r="C752" s="16"/>
      <c r="D752" s="16"/>
      <c r="E752" s="16"/>
      <c r="F752" s="16"/>
      <c r="G752" s="16"/>
      <c r="H752" s="16"/>
      <c r="I752" s="16"/>
      <c r="J752" s="16"/>
      <c r="K752" s="16"/>
      <c r="L752" s="16"/>
      <c r="M752" s="16"/>
      <c r="N752" s="16"/>
      <c r="O752" s="16"/>
      <c r="P752" s="16"/>
      <c r="Q752" s="16"/>
      <c r="R752" s="16"/>
      <c r="S752" s="16"/>
      <c r="T752" s="16"/>
      <c r="U752" s="16"/>
      <c r="V752" s="16"/>
    </row>
    <row r="753" spans="1:22" ht="15.75" customHeight="1" x14ac:dyDescent="0.25">
      <c r="A753" s="16"/>
      <c r="B753" s="16"/>
      <c r="C753" s="16"/>
      <c r="D753" s="16"/>
      <c r="E753" s="16"/>
      <c r="F753" s="16"/>
      <c r="G753" s="16"/>
      <c r="H753" s="16"/>
      <c r="I753" s="16"/>
      <c r="J753" s="16"/>
      <c r="K753" s="16"/>
      <c r="L753" s="16"/>
      <c r="M753" s="16"/>
      <c r="N753" s="16"/>
      <c r="O753" s="16"/>
      <c r="P753" s="16"/>
      <c r="Q753" s="16"/>
      <c r="R753" s="16"/>
      <c r="S753" s="16"/>
      <c r="T753" s="16"/>
      <c r="U753" s="16"/>
      <c r="V753" s="16"/>
    </row>
    <row r="754" spans="1:22" ht="15.75" customHeight="1" x14ac:dyDescent="0.25">
      <c r="A754" s="16"/>
      <c r="B754" s="16"/>
      <c r="C754" s="16"/>
      <c r="D754" s="16"/>
      <c r="E754" s="16"/>
      <c r="F754" s="16"/>
      <c r="G754" s="16"/>
      <c r="H754" s="16"/>
      <c r="I754" s="16"/>
      <c r="J754" s="16"/>
      <c r="K754" s="16"/>
      <c r="L754" s="16"/>
      <c r="M754" s="16"/>
      <c r="N754" s="16"/>
      <c r="O754" s="16"/>
      <c r="P754" s="16"/>
      <c r="Q754" s="16"/>
      <c r="R754" s="16"/>
      <c r="S754" s="16"/>
      <c r="T754" s="16"/>
      <c r="U754" s="16"/>
      <c r="V754" s="16"/>
    </row>
    <row r="755" spans="1:22" ht="15.75" customHeight="1" x14ac:dyDescent="0.25">
      <c r="A755" s="16"/>
      <c r="B755" s="16"/>
      <c r="C755" s="16"/>
      <c r="D755" s="16"/>
      <c r="E755" s="16"/>
      <c r="F755" s="16"/>
      <c r="G755" s="16"/>
      <c r="H755" s="16"/>
      <c r="I755" s="16"/>
      <c r="J755" s="16"/>
      <c r="K755" s="16"/>
      <c r="L755" s="16"/>
      <c r="M755" s="16"/>
      <c r="N755" s="16"/>
      <c r="O755" s="16"/>
      <c r="P755" s="16"/>
      <c r="Q755" s="16"/>
      <c r="R755" s="16"/>
      <c r="S755" s="16"/>
      <c r="T755" s="16"/>
      <c r="U755" s="16"/>
      <c r="V755" s="16"/>
    </row>
    <row r="756" spans="1:22" ht="15.75" customHeight="1" x14ac:dyDescent="0.25">
      <c r="A756" s="16"/>
      <c r="B756" s="16"/>
      <c r="C756" s="16"/>
      <c r="D756" s="16"/>
      <c r="E756" s="16"/>
      <c r="F756" s="16"/>
      <c r="G756" s="16"/>
      <c r="H756" s="16"/>
      <c r="I756" s="16"/>
      <c r="J756" s="16"/>
      <c r="K756" s="16"/>
      <c r="L756" s="16"/>
      <c r="M756" s="16"/>
      <c r="N756" s="16"/>
      <c r="O756" s="16"/>
      <c r="P756" s="16"/>
      <c r="Q756" s="16"/>
      <c r="R756" s="16"/>
      <c r="S756" s="16"/>
      <c r="T756" s="16"/>
      <c r="U756" s="16"/>
      <c r="V756" s="16"/>
    </row>
    <row r="757" spans="1:22" ht="15.75" customHeight="1" x14ac:dyDescent="0.25">
      <c r="A757" s="16"/>
      <c r="B757" s="16"/>
      <c r="C757" s="16"/>
      <c r="D757" s="16"/>
      <c r="E757" s="16"/>
      <c r="F757" s="16"/>
      <c r="G757" s="16"/>
      <c r="H757" s="16"/>
      <c r="I757" s="16"/>
      <c r="J757" s="16"/>
      <c r="K757" s="16"/>
      <c r="L757" s="16"/>
      <c r="M757" s="16"/>
      <c r="N757" s="16"/>
      <c r="O757" s="16"/>
      <c r="P757" s="16"/>
      <c r="Q757" s="16"/>
      <c r="R757" s="16"/>
      <c r="S757" s="16"/>
      <c r="T757" s="16"/>
      <c r="U757" s="16"/>
      <c r="V757" s="16"/>
    </row>
    <row r="758" spans="1:22" ht="15.75" customHeight="1" x14ac:dyDescent="0.25">
      <c r="A758" s="16"/>
      <c r="B758" s="16"/>
      <c r="C758" s="16"/>
      <c r="D758" s="16"/>
      <c r="E758" s="16"/>
      <c r="F758" s="16"/>
      <c r="G758" s="16"/>
      <c r="H758" s="16"/>
      <c r="I758" s="16"/>
      <c r="J758" s="16"/>
      <c r="K758" s="16"/>
      <c r="L758" s="16"/>
      <c r="M758" s="16"/>
      <c r="N758" s="16"/>
      <c r="O758" s="16"/>
      <c r="P758" s="16"/>
      <c r="Q758" s="16"/>
      <c r="R758" s="16"/>
      <c r="S758" s="16"/>
      <c r="T758" s="16"/>
      <c r="U758" s="16"/>
      <c r="V758" s="16"/>
    </row>
    <row r="759" spans="1:22" ht="15.75" customHeight="1" x14ac:dyDescent="0.25">
      <c r="A759" s="16"/>
      <c r="B759" s="16"/>
      <c r="C759" s="16"/>
      <c r="D759" s="16"/>
      <c r="E759" s="16"/>
      <c r="F759" s="16"/>
      <c r="G759" s="16"/>
      <c r="H759" s="16"/>
      <c r="I759" s="16"/>
      <c r="J759" s="16"/>
      <c r="K759" s="16"/>
      <c r="L759" s="16"/>
      <c r="M759" s="16"/>
      <c r="N759" s="16"/>
      <c r="O759" s="16"/>
      <c r="P759" s="16"/>
      <c r="Q759" s="16"/>
      <c r="R759" s="16"/>
      <c r="S759" s="16"/>
      <c r="T759" s="16"/>
      <c r="U759" s="16"/>
      <c r="V759" s="16"/>
    </row>
    <row r="760" spans="1:22" ht="15.75" customHeight="1" x14ac:dyDescent="0.25">
      <c r="A760" s="16"/>
      <c r="B760" s="16"/>
      <c r="C760" s="16"/>
      <c r="D760" s="16"/>
      <c r="E760" s="16"/>
      <c r="F760" s="16"/>
      <c r="G760" s="16"/>
      <c r="H760" s="16"/>
      <c r="I760" s="16"/>
      <c r="J760" s="16"/>
      <c r="K760" s="16"/>
      <c r="L760" s="16"/>
      <c r="M760" s="16"/>
      <c r="N760" s="16"/>
      <c r="O760" s="16"/>
      <c r="P760" s="16"/>
      <c r="Q760" s="16"/>
      <c r="R760" s="16"/>
      <c r="S760" s="16"/>
      <c r="T760" s="16"/>
      <c r="U760" s="16"/>
      <c r="V760" s="16"/>
    </row>
    <row r="761" spans="1:22" ht="15.75" customHeight="1" x14ac:dyDescent="0.25">
      <c r="A761" s="16"/>
      <c r="B761" s="16"/>
      <c r="C761" s="16"/>
      <c r="D761" s="16"/>
      <c r="E761" s="16"/>
      <c r="F761" s="16"/>
      <c r="G761" s="16"/>
      <c r="H761" s="16"/>
      <c r="I761" s="16"/>
      <c r="J761" s="16"/>
      <c r="K761" s="16"/>
      <c r="L761" s="16"/>
      <c r="M761" s="16"/>
      <c r="N761" s="16"/>
      <c r="O761" s="16"/>
      <c r="P761" s="16"/>
      <c r="Q761" s="16"/>
      <c r="R761" s="16"/>
      <c r="S761" s="16"/>
      <c r="T761" s="16"/>
      <c r="U761" s="16"/>
      <c r="V761" s="16"/>
    </row>
    <row r="762" spans="1:22" ht="15.75" customHeight="1" x14ac:dyDescent="0.25">
      <c r="A762" s="16"/>
      <c r="B762" s="16"/>
      <c r="C762" s="16"/>
      <c r="D762" s="16"/>
      <c r="E762" s="16"/>
      <c r="F762" s="16"/>
      <c r="G762" s="16"/>
      <c r="H762" s="16"/>
      <c r="I762" s="16"/>
      <c r="J762" s="16"/>
      <c r="K762" s="16"/>
      <c r="L762" s="16"/>
      <c r="M762" s="16"/>
      <c r="N762" s="16"/>
      <c r="O762" s="16"/>
      <c r="P762" s="16"/>
      <c r="Q762" s="16"/>
      <c r="R762" s="16"/>
      <c r="S762" s="16"/>
      <c r="T762" s="16"/>
      <c r="U762" s="16"/>
      <c r="V762" s="16"/>
    </row>
    <row r="763" spans="1:22" ht="15.75" customHeight="1" x14ac:dyDescent="0.25">
      <c r="A763" s="16"/>
      <c r="B763" s="16"/>
      <c r="C763" s="16"/>
      <c r="D763" s="16"/>
      <c r="E763" s="16"/>
      <c r="F763" s="16"/>
      <c r="G763" s="16"/>
      <c r="H763" s="16"/>
      <c r="I763" s="16"/>
      <c r="J763" s="16"/>
      <c r="K763" s="16"/>
      <c r="L763" s="16"/>
      <c r="M763" s="16"/>
      <c r="N763" s="16"/>
      <c r="O763" s="16"/>
      <c r="P763" s="16"/>
      <c r="Q763" s="16"/>
      <c r="R763" s="16"/>
      <c r="S763" s="16"/>
      <c r="T763" s="16"/>
      <c r="U763" s="16"/>
      <c r="V763" s="16"/>
    </row>
    <row r="764" spans="1:22" ht="15.75" customHeight="1" x14ac:dyDescent="0.25">
      <c r="A764" s="16"/>
      <c r="B764" s="16"/>
      <c r="C764" s="16"/>
      <c r="D764" s="16"/>
      <c r="E764" s="16"/>
      <c r="F764" s="16"/>
      <c r="G764" s="16"/>
      <c r="H764" s="16"/>
      <c r="I764" s="16"/>
      <c r="J764" s="16"/>
      <c r="K764" s="16"/>
      <c r="L764" s="16"/>
      <c r="M764" s="16"/>
      <c r="N764" s="16"/>
      <c r="O764" s="16"/>
      <c r="P764" s="16"/>
      <c r="Q764" s="16"/>
      <c r="R764" s="16"/>
      <c r="S764" s="16"/>
      <c r="T764" s="16"/>
      <c r="U764" s="16"/>
      <c r="V764" s="16"/>
    </row>
    <row r="765" spans="1:22" ht="15.75" customHeight="1" x14ac:dyDescent="0.25">
      <c r="A765" s="16"/>
      <c r="B765" s="16"/>
      <c r="C765" s="16"/>
      <c r="D765" s="16"/>
      <c r="E765" s="16"/>
      <c r="F765" s="16"/>
      <c r="G765" s="16"/>
      <c r="H765" s="16"/>
      <c r="I765" s="16"/>
      <c r="J765" s="16"/>
      <c r="K765" s="16"/>
      <c r="L765" s="16"/>
      <c r="M765" s="16"/>
      <c r="N765" s="16"/>
      <c r="O765" s="16"/>
      <c r="P765" s="16"/>
      <c r="Q765" s="16"/>
      <c r="R765" s="16"/>
      <c r="S765" s="16"/>
      <c r="T765" s="16"/>
      <c r="U765" s="16"/>
      <c r="V765" s="16"/>
    </row>
    <row r="766" spans="1:22" ht="15.75" customHeight="1" x14ac:dyDescent="0.25">
      <c r="A766" s="16"/>
      <c r="B766" s="16"/>
      <c r="C766" s="16"/>
      <c r="D766" s="16"/>
      <c r="E766" s="16"/>
      <c r="F766" s="16"/>
      <c r="G766" s="16"/>
      <c r="H766" s="16"/>
      <c r="I766" s="16"/>
      <c r="J766" s="16"/>
      <c r="K766" s="16"/>
      <c r="L766" s="16"/>
      <c r="M766" s="16"/>
      <c r="N766" s="16"/>
      <c r="O766" s="16"/>
      <c r="P766" s="16"/>
      <c r="Q766" s="16"/>
      <c r="R766" s="16"/>
      <c r="S766" s="16"/>
      <c r="T766" s="16"/>
      <c r="U766" s="16"/>
      <c r="V766" s="16"/>
    </row>
    <row r="767" spans="1:22" ht="15.75" customHeight="1" x14ac:dyDescent="0.25">
      <c r="A767" s="16"/>
      <c r="B767" s="16"/>
      <c r="C767" s="16"/>
      <c r="D767" s="16"/>
      <c r="E767" s="16"/>
      <c r="F767" s="16"/>
      <c r="G767" s="16"/>
      <c r="H767" s="16"/>
      <c r="I767" s="16"/>
      <c r="J767" s="16"/>
      <c r="K767" s="16"/>
      <c r="L767" s="16"/>
      <c r="M767" s="16"/>
      <c r="N767" s="16"/>
      <c r="O767" s="16"/>
      <c r="P767" s="16"/>
      <c r="Q767" s="16"/>
      <c r="R767" s="16"/>
      <c r="S767" s="16"/>
      <c r="T767" s="16"/>
      <c r="U767" s="16"/>
      <c r="V767" s="16"/>
    </row>
    <row r="768" spans="1:22" ht="15.75" customHeight="1" x14ac:dyDescent="0.25">
      <c r="A768" s="16"/>
      <c r="B768" s="16"/>
      <c r="C768" s="16"/>
      <c r="D768" s="16"/>
      <c r="E768" s="16"/>
      <c r="F768" s="16"/>
      <c r="G768" s="16"/>
      <c r="H768" s="16"/>
      <c r="I768" s="16"/>
      <c r="J768" s="16"/>
      <c r="K768" s="16"/>
      <c r="L768" s="16"/>
      <c r="M768" s="16"/>
      <c r="N768" s="16"/>
      <c r="O768" s="16"/>
      <c r="P768" s="16"/>
      <c r="Q768" s="16"/>
      <c r="R768" s="16"/>
      <c r="S768" s="16"/>
      <c r="T768" s="16"/>
      <c r="U768" s="16"/>
      <c r="V768" s="16"/>
    </row>
    <row r="769" spans="1:22" ht="15.75" customHeight="1" x14ac:dyDescent="0.25">
      <c r="A769" s="16"/>
      <c r="B769" s="16"/>
      <c r="C769" s="16"/>
      <c r="D769" s="16"/>
      <c r="E769" s="16"/>
      <c r="F769" s="16"/>
      <c r="G769" s="16"/>
      <c r="H769" s="16"/>
      <c r="I769" s="16"/>
      <c r="J769" s="16"/>
      <c r="K769" s="16"/>
      <c r="L769" s="16"/>
      <c r="M769" s="16"/>
      <c r="N769" s="16"/>
      <c r="O769" s="16"/>
      <c r="P769" s="16"/>
      <c r="Q769" s="16"/>
      <c r="R769" s="16"/>
      <c r="S769" s="16"/>
      <c r="T769" s="16"/>
      <c r="U769" s="16"/>
      <c r="V769" s="16"/>
    </row>
    <row r="770" spans="1:22" ht="15.75" customHeight="1" x14ac:dyDescent="0.25">
      <c r="A770" s="16"/>
      <c r="B770" s="16"/>
      <c r="C770" s="16"/>
      <c r="D770" s="16"/>
      <c r="E770" s="16"/>
      <c r="F770" s="16"/>
      <c r="G770" s="16"/>
      <c r="H770" s="16"/>
      <c r="I770" s="16"/>
      <c r="J770" s="16"/>
      <c r="K770" s="16"/>
      <c r="L770" s="16"/>
      <c r="M770" s="16"/>
      <c r="N770" s="16"/>
      <c r="O770" s="16"/>
      <c r="P770" s="16"/>
      <c r="Q770" s="16"/>
      <c r="R770" s="16"/>
      <c r="S770" s="16"/>
      <c r="T770" s="16"/>
      <c r="U770" s="16"/>
      <c r="V770" s="16"/>
    </row>
    <row r="771" spans="1:22" ht="15.75" customHeight="1" x14ac:dyDescent="0.25">
      <c r="A771" s="16"/>
      <c r="B771" s="16"/>
      <c r="C771" s="16"/>
      <c r="D771" s="16"/>
      <c r="E771" s="16"/>
      <c r="F771" s="16"/>
      <c r="G771" s="16"/>
      <c r="H771" s="16"/>
      <c r="I771" s="16"/>
      <c r="J771" s="16"/>
      <c r="K771" s="16"/>
      <c r="L771" s="16"/>
      <c r="M771" s="16"/>
      <c r="N771" s="16"/>
      <c r="O771" s="16"/>
      <c r="P771" s="16"/>
      <c r="Q771" s="16"/>
      <c r="R771" s="16"/>
      <c r="S771" s="16"/>
      <c r="T771" s="16"/>
      <c r="U771" s="16"/>
      <c r="V771" s="16"/>
    </row>
    <row r="772" spans="1:22" ht="15.75" customHeight="1" x14ac:dyDescent="0.25">
      <c r="A772" s="16"/>
      <c r="B772" s="16"/>
      <c r="C772" s="16"/>
      <c r="D772" s="16"/>
      <c r="E772" s="16"/>
      <c r="F772" s="16"/>
      <c r="G772" s="16"/>
      <c r="H772" s="16"/>
      <c r="I772" s="16"/>
      <c r="J772" s="16"/>
      <c r="K772" s="16"/>
      <c r="L772" s="16"/>
      <c r="M772" s="16"/>
      <c r="N772" s="16"/>
      <c r="O772" s="16"/>
      <c r="P772" s="16"/>
      <c r="Q772" s="16"/>
      <c r="R772" s="16"/>
      <c r="S772" s="16"/>
      <c r="T772" s="16"/>
      <c r="U772" s="16"/>
      <c r="V772" s="16"/>
    </row>
    <row r="773" spans="1:22" ht="15.75" customHeight="1" x14ac:dyDescent="0.25">
      <c r="A773" s="16"/>
      <c r="B773" s="16"/>
      <c r="C773" s="16"/>
      <c r="D773" s="16"/>
      <c r="E773" s="16"/>
      <c r="F773" s="16"/>
      <c r="G773" s="16"/>
      <c r="H773" s="16"/>
      <c r="I773" s="16"/>
      <c r="J773" s="16"/>
      <c r="K773" s="16"/>
      <c r="L773" s="16"/>
      <c r="M773" s="16"/>
      <c r="N773" s="16"/>
      <c r="O773" s="16"/>
      <c r="P773" s="16"/>
      <c r="Q773" s="16"/>
      <c r="R773" s="16"/>
      <c r="S773" s="16"/>
      <c r="T773" s="16"/>
      <c r="U773" s="16"/>
      <c r="V773" s="16"/>
    </row>
    <row r="774" spans="1:22" ht="15.75" customHeight="1" x14ac:dyDescent="0.25">
      <c r="A774" s="16"/>
      <c r="B774" s="16"/>
      <c r="C774" s="16"/>
      <c r="D774" s="16"/>
      <c r="E774" s="16"/>
      <c r="F774" s="16"/>
      <c r="G774" s="16"/>
      <c r="H774" s="16"/>
      <c r="I774" s="16"/>
      <c r="J774" s="16"/>
      <c r="K774" s="16"/>
      <c r="L774" s="16"/>
      <c r="M774" s="16"/>
      <c r="N774" s="16"/>
      <c r="O774" s="16"/>
      <c r="P774" s="16"/>
      <c r="Q774" s="16"/>
      <c r="R774" s="16"/>
      <c r="S774" s="16"/>
      <c r="T774" s="16"/>
      <c r="U774" s="16"/>
      <c r="V774" s="16"/>
    </row>
    <row r="775" spans="1:22" ht="15.75" customHeight="1" x14ac:dyDescent="0.25">
      <c r="A775" s="16"/>
      <c r="B775" s="16"/>
      <c r="C775" s="16"/>
      <c r="D775" s="16"/>
      <c r="E775" s="16"/>
      <c r="F775" s="16"/>
      <c r="G775" s="16"/>
      <c r="H775" s="16"/>
      <c r="I775" s="16"/>
      <c r="J775" s="16"/>
      <c r="K775" s="16"/>
      <c r="L775" s="16"/>
      <c r="M775" s="16"/>
      <c r="N775" s="16"/>
      <c r="O775" s="16"/>
      <c r="P775" s="16"/>
      <c r="Q775" s="16"/>
      <c r="R775" s="16"/>
      <c r="S775" s="16"/>
      <c r="T775" s="16"/>
      <c r="U775" s="16"/>
      <c r="V775" s="16"/>
    </row>
    <row r="776" spans="1:22" ht="15.75" customHeight="1" x14ac:dyDescent="0.25">
      <c r="A776" s="16"/>
      <c r="B776" s="16"/>
      <c r="C776" s="16"/>
      <c r="D776" s="16"/>
      <c r="E776" s="16"/>
      <c r="F776" s="16"/>
      <c r="G776" s="16"/>
      <c r="H776" s="16"/>
      <c r="I776" s="16"/>
      <c r="J776" s="16"/>
      <c r="K776" s="16"/>
      <c r="L776" s="16"/>
      <c r="M776" s="16"/>
      <c r="N776" s="16"/>
      <c r="O776" s="16"/>
      <c r="P776" s="16"/>
      <c r="Q776" s="16"/>
      <c r="R776" s="16"/>
      <c r="S776" s="16"/>
      <c r="T776" s="16"/>
      <c r="U776" s="16"/>
      <c r="V776" s="16"/>
    </row>
    <row r="777" spans="1:22" ht="15.75" customHeight="1" x14ac:dyDescent="0.25">
      <c r="A777" s="16"/>
      <c r="B777" s="16"/>
      <c r="C777" s="16"/>
      <c r="D777" s="16"/>
      <c r="E777" s="16"/>
      <c r="F777" s="16"/>
      <c r="G777" s="16"/>
      <c r="H777" s="16"/>
      <c r="I777" s="16"/>
      <c r="J777" s="16"/>
      <c r="K777" s="16"/>
      <c r="L777" s="16"/>
      <c r="M777" s="16"/>
      <c r="N777" s="16"/>
      <c r="O777" s="16"/>
      <c r="P777" s="16"/>
      <c r="Q777" s="16"/>
      <c r="R777" s="16"/>
      <c r="S777" s="16"/>
      <c r="T777" s="16"/>
      <c r="U777" s="16"/>
      <c r="V777" s="16"/>
    </row>
    <row r="778" spans="1:22" ht="15.75" customHeight="1" x14ac:dyDescent="0.25">
      <c r="A778" s="16"/>
      <c r="B778" s="16"/>
      <c r="C778" s="16"/>
      <c r="D778" s="16"/>
      <c r="E778" s="16"/>
      <c r="F778" s="16"/>
      <c r="G778" s="16"/>
      <c r="H778" s="16"/>
      <c r="I778" s="16"/>
      <c r="J778" s="16"/>
      <c r="K778" s="16"/>
      <c r="L778" s="16"/>
      <c r="M778" s="16"/>
      <c r="N778" s="16"/>
      <c r="O778" s="16"/>
      <c r="P778" s="16"/>
      <c r="Q778" s="16"/>
      <c r="R778" s="16"/>
      <c r="S778" s="16"/>
      <c r="T778" s="16"/>
      <c r="U778" s="16"/>
      <c r="V778" s="16"/>
    </row>
    <row r="779" spans="1:22" ht="15.75" customHeight="1" x14ac:dyDescent="0.25">
      <c r="A779" s="16"/>
      <c r="B779" s="16"/>
      <c r="C779" s="16"/>
      <c r="D779" s="16"/>
      <c r="E779" s="16"/>
      <c r="F779" s="16"/>
      <c r="G779" s="16"/>
      <c r="H779" s="16"/>
      <c r="I779" s="16"/>
      <c r="J779" s="16"/>
      <c r="K779" s="16"/>
      <c r="L779" s="16"/>
      <c r="M779" s="16"/>
      <c r="N779" s="16"/>
      <c r="O779" s="16"/>
      <c r="P779" s="16"/>
      <c r="Q779" s="16"/>
      <c r="R779" s="16"/>
      <c r="S779" s="16"/>
      <c r="T779" s="16"/>
      <c r="U779" s="16"/>
      <c r="V779" s="16"/>
    </row>
    <row r="780" spans="1:22" ht="15.75" customHeight="1" x14ac:dyDescent="0.25">
      <c r="A780" s="16"/>
      <c r="B780" s="16"/>
      <c r="C780" s="16"/>
      <c r="D780" s="16"/>
      <c r="E780" s="16"/>
      <c r="F780" s="16"/>
      <c r="G780" s="16"/>
      <c r="H780" s="16"/>
      <c r="I780" s="16"/>
      <c r="J780" s="16"/>
      <c r="K780" s="16"/>
      <c r="L780" s="16"/>
      <c r="M780" s="16"/>
      <c r="N780" s="16"/>
      <c r="O780" s="16"/>
      <c r="P780" s="16"/>
      <c r="Q780" s="16"/>
      <c r="R780" s="16"/>
      <c r="S780" s="16"/>
      <c r="T780" s="16"/>
      <c r="U780" s="16"/>
      <c r="V780" s="16"/>
    </row>
    <row r="781" spans="1:22" ht="15.75" customHeight="1" x14ac:dyDescent="0.25">
      <c r="A781" s="16"/>
      <c r="B781" s="16"/>
      <c r="C781" s="16"/>
      <c r="D781" s="16"/>
      <c r="E781" s="16"/>
      <c r="F781" s="16"/>
      <c r="G781" s="16"/>
      <c r="H781" s="16"/>
      <c r="I781" s="16"/>
      <c r="J781" s="16"/>
      <c r="K781" s="16"/>
      <c r="L781" s="16"/>
      <c r="M781" s="16"/>
      <c r="N781" s="16"/>
      <c r="O781" s="16"/>
      <c r="P781" s="16"/>
      <c r="Q781" s="16"/>
      <c r="R781" s="16"/>
      <c r="S781" s="16"/>
      <c r="T781" s="16"/>
      <c r="U781" s="16"/>
      <c r="V781" s="16"/>
    </row>
    <row r="782" spans="1:22" ht="15.75" customHeight="1" x14ac:dyDescent="0.25">
      <c r="A782" s="16"/>
      <c r="B782" s="16"/>
      <c r="C782" s="16"/>
      <c r="D782" s="16"/>
      <c r="E782" s="16"/>
      <c r="F782" s="16"/>
      <c r="G782" s="16"/>
      <c r="H782" s="16"/>
      <c r="I782" s="16"/>
      <c r="J782" s="16"/>
      <c r="K782" s="16"/>
      <c r="L782" s="16"/>
      <c r="M782" s="16"/>
      <c r="N782" s="16"/>
      <c r="O782" s="16"/>
      <c r="P782" s="16"/>
      <c r="Q782" s="16"/>
      <c r="R782" s="16"/>
      <c r="S782" s="16"/>
      <c r="T782" s="16"/>
      <c r="U782" s="16"/>
      <c r="V782" s="16"/>
    </row>
    <row r="783" spans="1:22" ht="15.75" customHeight="1" x14ac:dyDescent="0.25">
      <c r="A783" s="16"/>
      <c r="B783" s="16"/>
      <c r="C783" s="16"/>
      <c r="D783" s="16"/>
      <c r="E783" s="16"/>
      <c r="F783" s="16"/>
      <c r="G783" s="16"/>
      <c r="H783" s="16"/>
      <c r="I783" s="16"/>
      <c r="J783" s="16"/>
      <c r="K783" s="16"/>
      <c r="L783" s="16"/>
      <c r="M783" s="16"/>
      <c r="N783" s="16"/>
      <c r="O783" s="16"/>
      <c r="P783" s="16"/>
      <c r="Q783" s="16"/>
      <c r="R783" s="16"/>
      <c r="S783" s="16"/>
      <c r="T783" s="16"/>
      <c r="U783" s="16"/>
      <c r="V783" s="16"/>
    </row>
    <row r="784" spans="1:22" ht="15.75" customHeight="1" x14ac:dyDescent="0.25">
      <c r="A784" s="16"/>
      <c r="B784" s="16"/>
      <c r="C784" s="16"/>
      <c r="D784" s="16"/>
      <c r="E784" s="16"/>
      <c r="F784" s="16"/>
      <c r="G784" s="16"/>
      <c r="H784" s="16"/>
      <c r="I784" s="16"/>
      <c r="J784" s="16"/>
      <c r="K784" s="16"/>
      <c r="L784" s="16"/>
      <c r="M784" s="16"/>
      <c r="N784" s="16"/>
      <c r="O784" s="16"/>
      <c r="P784" s="16"/>
      <c r="Q784" s="16"/>
      <c r="R784" s="16"/>
      <c r="S784" s="16"/>
      <c r="T784" s="16"/>
      <c r="U784" s="16"/>
      <c r="V784" s="16"/>
    </row>
    <row r="785" spans="1:22" ht="15.75" customHeight="1" x14ac:dyDescent="0.25">
      <c r="A785" s="16"/>
      <c r="B785" s="16"/>
      <c r="C785" s="16"/>
      <c r="D785" s="16"/>
      <c r="E785" s="16"/>
      <c r="F785" s="16"/>
      <c r="G785" s="16"/>
      <c r="H785" s="16"/>
      <c r="I785" s="16"/>
      <c r="J785" s="16"/>
      <c r="K785" s="16"/>
      <c r="L785" s="16"/>
      <c r="M785" s="16"/>
      <c r="N785" s="16"/>
      <c r="O785" s="16"/>
      <c r="P785" s="16"/>
      <c r="Q785" s="16"/>
      <c r="R785" s="16"/>
      <c r="S785" s="16"/>
      <c r="T785" s="16"/>
      <c r="U785" s="16"/>
      <c r="V785" s="16"/>
    </row>
    <row r="786" spans="1:22" ht="15.75" customHeight="1" x14ac:dyDescent="0.25">
      <c r="A786" s="16"/>
      <c r="B786" s="16"/>
      <c r="C786" s="16"/>
      <c r="D786" s="16"/>
      <c r="E786" s="16"/>
      <c r="F786" s="16"/>
      <c r="G786" s="16"/>
      <c r="H786" s="16"/>
      <c r="I786" s="16"/>
      <c r="J786" s="16"/>
      <c r="K786" s="16"/>
      <c r="L786" s="16"/>
      <c r="M786" s="16"/>
      <c r="N786" s="16"/>
      <c r="O786" s="16"/>
      <c r="P786" s="16"/>
      <c r="Q786" s="16"/>
      <c r="R786" s="16"/>
      <c r="S786" s="16"/>
      <c r="T786" s="16"/>
      <c r="U786" s="16"/>
      <c r="V786" s="16"/>
    </row>
    <row r="787" spans="1:22" ht="15.75" customHeight="1" x14ac:dyDescent="0.25">
      <c r="A787" s="16"/>
      <c r="B787" s="16"/>
      <c r="C787" s="16"/>
      <c r="D787" s="16"/>
      <c r="E787" s="16"/>
      <c r="F787" s="16"/>
      <c r="G787" s="16"/>
      <c r="H787" s="16"/>
      <c r="I787" s="16"/>
      <c r="J787" s="16"/>
      <c r="K787" s="16"/>
      <c r="L787" s="16"/>
      <c r="M787" s="16"/>
      <c r="N787" s="16"/>
      <c r="O787" s="16"/>
      <c r="P787" s="16"/>
      <c r="Q787" s="16"/>
      <c r="R787" s="16"/>
      <c r="S787" s="16"/>
      <c r="T787" s="16"/>
      <c r="U787" s="16"/>
      <c r="V787" s="16"/>
    </row>
    <row r="788" spans="1:22" ht="15.75" customHeight="1" x14ac:dyDescent="0.25">
      <c r="A788" s="16"/>
      <c r="B788" s="16"/>
      <c r="C788" s="16"/>
      <c r="D788" s="16"/>
      <c r="E788" s="16"/>
      <c r="F788" s="16"/>
      <c r="G788" s="16"/>
      <c r="H788" s="16"/>
      <c r="I788" s="16"/>
      <c r="J788" s="16"/>
      <c r="K788" s="16"/>
      <c r="L788" s="16"/>
      <c r="M788" s="16"/>
      <c r="N788" s="16"/>
      <c r="O788" s="16"/>
      <c r="P788" s="16"/>
      <c r="Q788" s="16"/>
      <c r="R788" s="16"/>
      <c r="S788" s="16"/>
      <c r="T788" s="16"/>
      <c r="U788" s="16"/>
      <c r="V788" s="16"/>
    </row>
    <row r="789" spans="1:22" ht="15.75" customHeight="1" x14ac:dyDescent="0.25">
      <c r="A789" s="16"/>
      <c r="B789" s="16"/>
      <c r="C789" s="16"/>
      <c r="D789" s="16"/>
      <c r="E789" s="16"/>
      <c r="F789" s="16"/>
      <c r="G789" s="16"/>
      <c r="H789" s="16"/>
      <c r="I789" s="16"/>
      <c r="J789" s="16"/>
      <c r="K789" s="16"/>
      <c r="L789" s="16"/>
      <c r="M789" s="16"/>
      <c r="N789" s="16"/>
      <c r="O789" s="16"/>
      <c r="P789" s="16"/>
      <c r="Q789" s="16"/>
      <c r="R789" s="16"/>
      <c r="S789" s="16"/>
      <c r="T789" s="16"/>
      <c r="U789" s="16"/>
      <c r="V789" s="16"/>
    </row>
    <row r="790" spans="1:22" ht="15.75" customHeight="1" x14ac:dyDescent="0.25">
      <c r="A790" s="16"/>
      <c r="B790" s="16"/>
      <c r="C790" s="16"/>
      <c r="D790" s="16"/>
      <c r="E790" s="16"/>
      <c r="F790" s="16"/>
      <c r="G790" s="16"/>
      <c r="H790" s="16"/>
      <c r="I790" s="16"/>
      <c r="J790" s="16"/>
      <c r="K790" s="16"/>
      <c r="L790" s="16"/>
      <c r="M790" s="16"/>
      <c r="N790" s="16"/>
      <c r="O790" s="16"/>
      <c r="P790" s="16"/>
      <c r="Q790" s="16"/>
      <c r="R790" s="16"/>
      <c r="S790" s="16"/>
      <c r="T790" s="16"/>
      <c r="U790" s="16"/>
      <c r="V790" s="16"/>
    </row>
    <row r="791" spans="1:22" ht="15.75" customHeight="1" x14ac:dyDescent="0.25">
      <c r="A791" s="16"/>
      <c r="B791" s="16"/>
      <c r="C791" s="16"/>
      <c r="D791" s="16"/>
      <c r="E791" s="16"/>
      <c r="F791" s="16"/>
      <c r="G791" s="16"/>
      <c r="H791" s="16"/>
      <c r="I791" s="16"/>
      <c r="J791" s="16"/>
      <c r="K791" s="16"/>
      <c r="L791" s="16"/>
      <c r="M791" s="16"/>
      <c r="N791" s="16"/>
      <c r="O791" s="16"/>
      <c r="P791" s="16"/>
      <c r="Q791" s="16"/>
      <c r="R791" s="16"/>
      <c r="S791" s="16"/>
      <c r="T791" s="16"/>
      <c r="U791" s="16"/>
      <c r="V791" s="16"/>
    </row>
    <row r="792" spans="1:22" ht="15.75" customHeight="1" x14ac:dyDescent="0.25">
      <c r="A792" s="16"/>
      <c r="B792" s="16"/>
      <c r="C792" s="16"/>
      <c r="D792" s="16"/>
      <c r="E792" s="16"/>
      <c r="F792" s="16"/>
      <c r="G792" s="16"/>
      <c r="H792" s="16"/>
      <c r="I792" s="16"/>
      <c r="J792" s="16"/>
      <c r="K792" s="16"/>
      <c r="L792" s="16"/>
      <c r="M792" s="16"/>
      <c r="N792" s="16"/>
      <c r="O792" s="16"/>
      <c r="P792" s="16"/>
      <c r="Q792" s="16"/>
      <c r="R792" s="16"/>
      <c r="S792" s="16"/>
      <c r="T792" s="16"/>
      <c r="U792" s="16"/>
      <c r="V792" s="16"/>
    </row>
    <row r="793" spans="1:22" ht="15.75" customHeight="1" x14ac:dyDescent="0.25">
      <c r="A793" s="16"/>
      <c r="B793" s="16"/>
      <c r="C793" s="16"/>
      <c r="D793" s="16"/>
      <c r="E793" s="16"/>
      <c r="F793" s="16"/>
      <c r="G793" s="16"/>
      <c r="H793" s="16"/>
      <c r="I793" s="16"/>
      <c r="J793" s="16"/>
      <c r="K793" s="16"/>
      <c r="L793" s="16"/>
      <c r="M793" s="16"/>
      <c r="N793" s="16"/>
      <c r="O793" s="16"/>
      <c r="P793" s="16"/>
      <c r="Q793" s="16"/>
      <c r="R793" s="16"/>
      <c r="S793" s="16"/>
      <c r="T793" s="16"/>
      <c r="U793" s="16"/>
      <c r="V793" s="16"/>
    </row>
    <row r="794" spans="1:22" ht="15.75" customHeight="1" x14ac:dyDescent="0.25">
      <c r="A794" s="16"/>
      <c r="B794" s="16"/>
      <c r="C794" s="16"/>
      <c r="D794" s="16"/>
      <c r="E794" s="16"/>
      <c r="F794" s="16"/>
      <c r="G794" s="16"/>
      <c r="H794" s="16"/>
      <c r="I794" s="16"/>
      <c r="J794" s="16"/>
      <c r="K794" s="16"/>
      <c r="L794" s="16"/>
      <c r="M794" s="16"/>
      <c r="N794" s="16"/>
      <c r="O794" s="16"/>
      <c r="P794" s="16"/>
      <c r="Q794" s="16"/>
      <c r="R794" s="16"/>
      <c r="S794" s="16"/>
      <c r="T794" s="16"/>
      <c r="U794" s="16"/>
      <c r="V794" s="16"/>
    </row>
    <row r="795" spans="1:22" ht="15.75" customHeight="1" x14ac:dyDescent="0.25">
      <c r="A795" s="16"/>
      <c r="B795" s="16"/>
      <c r="C795" s="16"/>
      <c r="D795" s="16"/>
      <c r="E795" s="16"/>
      <c r="F795" s="16"/>
      <c r="G795" s="16"/>
      <c r="H795" s="16"/>
      <c r="I795" s="16"/>
      <c r="J795" s="16"/>
      <c r="K795" s="16"/>
      <c r="L795" s="16"/>
      <c r="M795" s="16"/>
      <c r="N795" s="16"/>
      <c r="O795" s="16"/>
      <c r="P795" s="16"/>
      <c r="Q795" s="16"/>
      <c r="R795" s="16"/>
      <c r="S795" s="16"/>
      <c r="T795" s="16"/>
      <c r="U795" s="16"/>
      <c r="V795" s="16"/>
    </row>
    <row r="796" spans="1:22" ht="15.75" customHeight="1" x14ac:dyDescent="0.25">
      <c r="A796" s="16"/>
      <c r="B796" s="16"/>
      <c r="C796" s="16"/>
      <c r="D796" s="16"/>
      <c r="E796" s="16"/>
      <c r="F796" s="16"/>
      <c r="G796" s="16"/>
      <c r="H796" s="16"/>
      <c r="I796" s="16"/>
      <c r="J796" s="16"/>
      <c r="K796" s="16"/>
      <c r="L796" s="16"/>
      <c r="M796" s="16"/>
      <c r="N796" s="16"/>
      <c r="O796" s="16"/>
      <c r="P796" s="16"/>
      <c r="Q796" s="16"/>
      <c r="R796" s="16"/>
      <c r="S796" s="16"/>
      <c r="T796" s="16"/>
      <c r="U796" s="16"/>
      <c r="V796" s="16"/>
    </row>
    <row r="797" spans="1:22" ht="15.75" customHeight="1" x14ac:dyDescent="0.25">
      <c r="A797" s="16"/>
      <c r="B797" s="16"/>
      <c r="C797" s="16"/>
      <c r="D797" s="16"/>
      <c r="E797" s="16"/>
      <c r="F797" s="16"/>
      <c r="G797" s="16"/>
      <c r="H797" s="16"/>
      <c r="I797" s="16"/>
      <c r="J797" s="16"/>
      <c r="K797" s="16"/>
      <c r="L797" s="16"/>
      <c r="M797" s="16"/>
      <c r="N797" s="16"/>
      <c r="O797" s="16"/>
      <c r="P797" s="16"/>
      <c r="Q797" s="16"/>
      <c r="R797" s="16"/>
      <c r="S797" s="16"/>
      <c r="T797" s="16"/>
      <c r="U797" s="16"/>
      <c r="V797" s="16"/>
    </row>
    <row r="798" spans="1:22" ht="15.75" customHeight="1" x14ac:dyDescent="0.25">
      <c r="A798" s="16"/>
      <c r="B798" s="16"/>
      <c r="C798" s="16"/>
      <c r="D798" s="16"/>
      <c r="E798" s="16"/>
      <c r="F798" s="16"/>
      <c r="G798" s="16"/>
      <c r="H798" s="16"/>
      <c r="I798" s="16"/>
      <c r="J798" s="16"/>
      <c r="K798" s="16"/>
      <c r="L798" s="16"/>
      <c r="M798" s="16"/>
      <c r="N798" s="16"/>
      <c r="O798" s="16"/>
      <c r="P798" s="16"/>
      <c r="Q798" s="16"/>
      <c r="R798" s="16"/>
      <c r="S798" s="16"/>
      <c r="T798" s="16"/>
      <c r="U798" s="16"/>
      <c r="V798" s="16"/>
    </row>
    <row r="799" spans="1:22" ht="15.75" customHeight="1" x14ac:dyDescent="0.25">
      <c r="A799" s="16"/>
      <c r="B799" s="16"/>
      <c r="C799" s="16"/>
      <c r="D799" s="16"/>
      <c r="E799" s="16"/>
      <c r="F799" s="16"/>
      <c r="G799" s="16"/>
      <c r="H799" s="16"/>
      <c r="I799" s="16"/>
      <c r="J799" s="16"/>
      <c r="K799" s="16"/>
      <c r="L799" s="16"/>
      <c r="M799" s="16"/>
      <c r="N799" s="16"/>
      <c r="O799" s="16"/>
      <c r="P799" s="16"/>
      <c r="Q799" s="16"/>
      <c r="R799" s="16"/>
      <c r="S799" s="16"/>
      <c r="T799" s="16"/>
      <c r="U799" s="16"/>
      <c r="V799" s="16"/>
    </row>
    <row r="800" spans="1:22" ht="15.75" customHeight="1" x14ac:dyDescent="0.25">
      <c r="A800" s="16"/>
      <c r="B800" s="16"/>
      <c r="C800" s="16"/>
      <c r="D800" s="16"/>
      <c r="E800" s="16"/>
      <c r="F800" s="16"/>
      <c r="G800" s="16"/>
      <c r="H800" s="16"/>
      <c r="I800" s="16"/>
      <c r="J800" s="16"/>
      <c r="K800" s="16"/>
      <c r="L800" s="16"/>
      <c r="M800" s="16"/>
      <c r="N800" s="16"/>
      <c r="O800" s="16"/>
      <c r="P800" s="16"/>
      <c r="Q800" s="16"/>
      <c r="R800" s="16"/>
      <c r="S800" s="16"/>
      <c r="T800" s="16"/>
      <c r="U800" s="16"/>
      <c r="V800" s="16"/>
    </row>
    <row r="801" spans="1:22" ht="15.75" customHeight="1" x14ac:dyDescent="0.25">
      <c r="A801" s="16"/>
      <c r="B801" s="16"/>
      <c r="C801" s="16"/>
      <c r="D801" s="16"/>
      <c r="E801" s="16"/>
      <c r="F801" s="16"/>
      <c r="G801" s="16"/>
      <c r="H801" s="16"/>
      <c r="I801" s="16"/>
      <c r="J801" s="16"/>
      <c r="K801" s="16"/>
      <c r="L801" s="16"/>
      <c r="M801" s="16"/>
      <c r="N801" s="16"/>
      <c r="O801" s="16"/>
      <c r="P801" s="16"/>
      <c r="Q801" s="16"/>
      <c r="R801" s="16"/>
      <c r="S801" s="16"/>
      <c r="T801" s="16"/>
      <c r="U801" s="16"/>
      <c r="V801" s="16"/>
    </row>
    <row r="802" spans="1:22" ht="15.75" customHeight="1" x14ac:dyDescent="0.25">
      <c r="A802" s="16"/>
      <c r="B802" s="16"/>
      <c r="C802" s="16"/>
      <c r="D802" s="16"/>
      <c r="E802" s="16"/>
      <c r="F802" s="16"/>
      <c r="G802" s="16"/>
      <c r="H802" s="16"/>
      <c r="I802" s="16"/>
      <c r="J802" s="16"/>
      <c r="K802" s="16"/>
      <c r="L802" s="16"/>
      <c r="M802" s="16"/>
      <c r="N802" s="16"/>
      <c r="O802" s="16"/>
      <c r="P802" s="16"/>
      <c r="Q802" s="16"/>
      <c r="R802" s="16"/>
      <c r="S802" s="16"/>
      <c r="T802" s="16"/>
      <c r="U802" s="16"/>
      <c r="V802" s="16"/>
    </row>
    <row r="803" spans="1:22" ht="15.75" customHeight="1" x14ac:dyDescent="0.25">
      <c r="A803" s="16"/>
      <c r="B803" s="16"/>
      <c r="C803" s="16"/>
      <c r="D803" s="16"/>
      <c r="E803" s="16"/>
      <c r="F803" s="16"/>
      <c r="G803" s="16"/>
      <c r="H803" s="16"/>
      <c r="I803" s="16"/>
      <c r="J803" s="16"/>
      <c r="K803" s="16"/>
      <c r="L803" s="16"/>
      <c r="M803" s="16"/>
      <c r="N803" s="16"/>
      <c r="O803" s="16"/>
      <c r="P803" s="16"/>
      <c r="Q803" s="16"/>
      <c r="R803" s="16"/>
      <c r="S803" s="16"/>
      <c r="T803" s="16"/>
      <c r="U803" s="16"/>
      <c r="V803" s="16"/>
    </row>
    <row r="804" spans="1:22" ht="15.75" customHeight="1" x14ac:dyDescent="0.25">
      <c r="A804" s="16"/>
      <c r="B804" s="16"/>
      <c r="C804" s="16"/>
      <c r="D804" s="16"/>
      <c r="E804" s="16"/>
      <c r="F804" s="16"/>
      <c r="G804" s="16"/>
      <c r="H804" s="16"/>
      <c r="I804" s="16"/>
      <c r="J804" s="16"/>
      <c r="K804" s="16"/>
      <c r="L804" s="16"/>
      <c r="M804" s="16"/>
      <c r="N804" s="16"/>
      <c r="O804" s="16"/>
      <c r="P804" s="16"/>
      <c r="Q804" s="16"/>
      <c r="R804" s="16"/>
      <c r="S804" s="16"/>
      <c r="T804" s="16"/>
      <c r="U804" s="16"/>
      <c r="V804" s="16"/>
    </row>
    <row r="805" spans="1:22" ht="15.75" customHeight="1" x14ac:dyDescent="0.25">
      <c r="A805" s="16"/>
      <c r="B805" s="16"/>
      <c r="C805" s="16"/>
      <c r="D805" s="16"/>
      <c r="E805" s="16"/>
      <c r="F805" s="16"/>
      <c r="G805" s="16"/>
      <c r="H805" s="16"/>
      <c r="I805" s="16"/>
      <c r="J805" s="16"/>
      <c r="K805" s="16"/>
      <c r="L805" s="16"/>
      <c r="M805" s="16"/>
      <c r="N805" s="16"/>
      <c r="O805" s="16"/>
      <c r="P805" s="16"/>
      <c r="Q805" s="16"/>
      <c r="R805" s="16"/>
      <c r="S805" s="16"/>
      <c r="T805" s="16"/>
      <c r="U805" s="16"/>
      <c r="V805" s="16"/>
    </row>
    <row r="806" spans="1:22" ht="15.75" customHeight="1" x14ac:dyDescent="0.25">
      <c r="A806" s="16"/>
      <c r="B806" s="16"/>
      <c r="C806" s="16"/>
      <c r="D806" s="16"/>
      <c r="E806" s="16"/>
      <c r="F806" s="16"/>
      <c r="G806" s="16"/>
      <c r="H806" s="16"/>
      <c r="I806" s="16"/>
      <c r="J806" s="16"/>
      <c r="K806" s="16"/>
      <c r="L806" s="16"/>
      <c r="M806" s="16"/>
      <c r="N806" s="16"/>
      <c r="O806" s="16"/>
      <c r="P806" s="16"/>
      <c r="Q806" s="16"/>
      <c r="R806" s="16"/>
      <c r="S806" s="16"/>
      <c r="T806" s="16"/>
      <c r="U806" s="16"/>
      <c r="V806" s="16"/>
    </row>
    <row r="807" spans="1:22" ht="15.75" customHeight="1" x14ac:dyDescent="0.25">
      <c r="A807" s="16"/>
      <c r="B807" s="16"/>
      <c r="C807" s="16"/>
      <c r="D807" s="16"/>
      <c r="E807" s="16"/>
      <c r="F807" s="16"/>
      <c r="G807" s="16"/>
      <c r="H807" s="16"/>
      <c r="I807" s="16"/>
      <c r="J807" s="16"/>
      <c r="K807" s="16"/>
      <c r="L807" s="16"/>
      <c r="M807" s="16"/>
      <c r="N807" s="16"/>
      <c r="O807" s="16"/>
      <c r="P807" s="16"/>
      <c r="Q807" s="16"/>
      <c r="R807" s="16"/>
      <c r="S807" s="16"/>
      <c r="T807" s="16"/>
      <c r="U807" s="16"/>
      <c r="V807" s="16"/>
    </row>
    <row r="808" spans="1:22" ht="15.75" customHeight="1" x14ac:dyDescent="0.25">
      <c r="A808" s="16"/>
      <c r="B808" s="16"/>
      <c r="C808" s="16"/>
      <c r="D808" s="16"/>
      <c r="E808" s="16"/>
      <c r="F808" s="16"/>
      <c r="G808" s="16"/>
      <c r="H808" s="16"/>
      <c r="I808" s="16"/>
      <c r="J808" s="16"/>
      <c r="K808" s="16"/>
      <c r="L808" s="16"/>
      <c r="M808" s="16"/>
      <c r="N808" s="16"/>
      <c r="O808" s="16"/>
      <c r="P808" s="16"/>
      <c r="Q808" s="16"/>
      <c r="R808" s="16"/>
      <c r="S808" s="16"/>
      <c r="T808" s="16"/>
      <c r="U808" s="16"/>
      <c r="V808" s="16"/>
    </row>
    <row r="809" spans="1:22" ht="15.75" customHeight="1" x14ac:dyDescent="0.25">
      <c r="A809" s="16"/>
      <c r="B809" s="16"/>
      <c r="C809" s="16"/>
      <c r="D809" s="16"/>
      <c r="E809" s="16"/>
      <c r="F809" s="16"/>
      <c r="G809" s="16"/>
      <c r="H809" s="16"/>
      <c r="I809" s="16"/>
      <c r="J809" s="16"/>
      <c r="K809" s="16"/>
      <c r="L809" s="16"/>
      <c r="M809" s="16"/>
      <c r="N809" s="16"/>
      <c r="O809" s="16"/>
      <c r="P809" s="16"/>
      <c r="Q809" s="16"/>
      <c r="R809" s="16"/>
      <c r="S809" s="16"/>
      <c r="T809" s="16"/>
      <c r="U809" s="16"/>
      <c r="V809" s="16"/>
    </row>
    <row r="810" spans="1:22" ht="15.75" customHeight="1" x14ac:dyDescent="0.25">
      <c r="A810" s="16"/>
      <c r="B810" s="16"/>
      <c r="C810" s="16"/>
      <c r="D810" s="16"/>
      <c r="E810" s="16"/>
      <c r="F810" s="16"/>
      <c r="G810" s="16"/>
      <c r="H810" s="16"/>
      <c r="I810" s="16"/>
      <c r="J810" s="16"/>
      <c r="K810" s="16"/>
      <c r="L810" s="16"/>
      <c r="M810" s="16"/>
      <c r="N810" s="16"/>
      <c r="O810" s="16"/>
      <c r="P810" s="16"/>
      <c r="Q810" s="16"/>
      <c r="R810" s="16"/>
      <c r="S810" s="16"/>
      <c r="T810" s="16"/>
      <c r="U810" s="16"/>
      <c r="V810" s="16"/>
    </row>
    <row r="811" spans="1:22" ht="15.75" customHeight="1" x14ac:dyDescent="0.25">
      <c r="A811" s="16"/>
      <c r="B811" s="16"/>
      <c r="C811" s="16"/>
      <c r="D811" s="16"/>
      <c r="E811" s="16"/>
      <c r="F811" s="16"/>
      <c r="G811" s="16"/>
      <c r="H811" s="16"/>
      <c r="I811" s="16"/>
      <c r="J811" s="16"/>
      <c r="K811" s="16"/>
      <c r="L811" s="16"/>
      <c r="M811" s="16"/>
      <c r="N811" s="16"/>
      <c r="O811" s="16"/>
      <c r="P811" s="16"/>
      <c r="Q811" s="16"/>
      <c r="R811" s="16"/>
      <c r="S811" s="16"/>
      <c r="T811" s="16"/>
      <c r="U811" s="16"/>
      <c r="V811" s="16"/>
    </row>
    <row r="812" spans="1:22" ht="15.75" customHeight="1" x14ac:dyDescent="0.25">
      <c r="A812" s="16"/>
      <c r="B812" s="16"/>
      <c r="C812" s="16"/>
      <c r="D812" s="16"/>
      <c r="E812" s="16"/>
      <c r="F812" s="16"/>
      <c r="G812" s="16"/>
      <c r="H812" s="16"/>
      <c r="I812" s="16"/>
      <c r="J812" s="16"/>
      <c r="K812" s="16"/>
      <c r="L812" s="16"/>
      <c r="M812" s="16"/>
      <c r="N812" s="16"/>
      <c r="O812" s="16"/>
      <c r="P812" s="16"/>
      <c r="Q812" s="16"/>
      <c r="R812" s="16"/>
      <c r="S812" s="16"/>
      <c r="T812" s="16"/>
      <c r="U812" s="16"/>
      <c r="V812" s="16"/>
    </row>
    <row r="813" spans="1:22" ht="15.75" customHeight="1" x14ac:dyDescent="0.25">
      <c r="A813" s="16"/>
      <c r="B813" s="16"/>
      <c r="C813" s="16"/>
      <c r="D813" s="16"/>
      <c r="E813" s="16"/>
      <c r="F813" s="16"/>
      <c r="G813" s="16"/>
      <c r="H813" s="16"/>
      <c r="I813" s="16"/>
      <c r="J813" s="16"/>
      <c r="K813" s="16"/>
      <c r="L813" s="16"/>
      <c r="M813" s="16"/>
      <c r="N813" s="16"/>
      <c r="O813" s="16"/>
      <c r="P813" s="16"/>
      <c r="Q813" s="16"/>
      <c r="R813" s="16"/>
      <c r="S813" s="16"/>
      <c r="T813" s="16"/>
      <c r="U813" s="16"/>
      <c r="V813" s="16"/>
    </row>
    <row r="814" spans="1:22" ht="15.75" customHeight="1" x14ac:dyDescent="0.25">
      <c r="A814" s="16"/>
      <c r="B814" s="16"/>
      <c r="C814" s="16"/>
      <c r="D814" s="16"/>
      <c r="E814" s="16"/>
      <c r="F814" s="16"/>
      <c r="G814" s="16"/>
      <c r="H814" s="16"/>
      <c r="I814" s="16"/>
      <c r="J814" s="16"/>
      <c r="K814" s="16"/>
      <c r="L814" s="16"/>
      <c r="M814" s="16"/>
      <c r="N814" s="16"/>
      <c r="O814" s="16"/>
      <c r="P814" s="16"/>
      <c r="Q814" s="16"/>
      <c r="R814" s="16"/>
      <c r="S814" s="16"/>
      <c r="T814" s="16"/>
      <c r="U814" s="16"/>
      <c r="V814" s="16"/>
    </row>
    <row r="815" spans="1:22" ht="15.75" customHeight="1" x14ac:dyDescent="0.25">
      <c r="A815" s="16"/>
      <c r="B815" s="16"/>
      <c r="C815" s="16"/>
      <c r="D815" s="16"/>
      <c r="E815" s="16"/>
      <c r="F815" s="16"/>
      <c r="G815" s="16"/>
      <c r="H815" s="16"/>
      <c r="I815" s="16"/>
      <c r="J815" s="16"/>
      <c r="K815" s="16"/>
      <c r="L815" s="16"/>
      <c r="M815" s="16"/>
      <c r="N815" s="16"/>
      <c r="O815" s="16"/>
      <c r="P815" s="16"/>
      <c r="Q815" s="16"/>
      <c r="R815" s="16"/>
      <c r="S815" s="16"/>
      <c r="T815" s="16"/>
      <c r="U815" s="16"/>
      <c r="V815" s="16"/>
    </row>
    <row r="816" spans="1:22" ht="15.75" customHeight="1" x14ac:dyDescent="0.25">
      <c r="A816" s="16"/>
      <c r="B816" s="16"/>
      <c r="C816" s="16"/>
      <c r="D816" s="16"/>
      <c r="E816" s="16"/>
      <c r="F816" s="16"/>
      <c r="G816" s="16"/>
      <c r="H816" s="16"/>
      <c r="I816" s="16"/>
      <c r="J816" s="16"/>
      <c r="K816" s="16"/>
      <c r="L816" s="16"/>
      <c r="M816" s="16"/>
      <c r="N816" s="16"/>
      <c r="O816" s="16"/>
      <c r="P816" s="16"/>
      <c r="Q816" s="16"/>
      <c r="R816" s="16"/>
      <c r="S816" s="16"/>
      <c r="T816" s="16"/>
      <c r="U816" s="16"/>
      <c r="V816" s="16"/>
    </row>
    <row r="817" spans="1:22" ht="15.75" customHeight="1" x14ac:dyDescent="0.25">
      <c r="A817" s="16"/>
      <c r="B817" s="16"/>
      <c r="C817" s="16"/>
      <c r="D817" s="16"/>
      <c r="E817" s="16"/>
      <c r="F817" s="16"/>
      <c r="G817" s="16"/>
      <c r="H817" s="16"/>
      <c r="I817" s="16"/>
      <c r="J817" s="16"/>
      <c r="K817" s="16"/>
      <c r="L817" s="16"/>
      <c r="M817" s="16"/>
      <c r="N817" s="16"/>
      <c r="O817" s="16"/>
      <c r="P817" s="16"/>
      <c r="Q817" s="16"/>
      <c r="R817" s="16"/>
      <c r="S817" s="16"/>
      <c r="T817" s="16"/>
      <c r="U817" s="16"/>
      <c r="V817" s="16"/>
    </row>
    <row r="818" spans="1:22" ht="15.75" customHeight="1" x14ac:dyDescent="0.25">
      <c r="A818" s="16"/>
      <c r="B818" s="16"/>
      <c r="C818" s="16"/>
      <c r="D818" s="16"/>
      <c r="E818" s="16"/>
      <c r="F818" s="16"/>
      <c r="G818" s="16"/>
      <c r="H818" s="16"/>
      <c r="I818" s="16"/>
      <c r="J818" s="16"/>
      <c r="K818" s="16"/>
      <c r="L818" s="16"/>
      <c r="M818" s="16"/>
      <c r="N818" s="16"/>
      <c r="O818" s="16"/>
      <c r="P818" s="16"/>
      <c r="Q818" s="16"/>
      <c r="R818" s="16"/>
      <c r="S818" s="16"/>
      <c r="T818" s="16"/>
      <c r="U818" s="16"/>
      <c r="V818" s="16"/>
    </row>
    <row r="819" spans="1:22" ht="15.75" customHeight="1" x14ac:dyDescent="0.25">
      <c r="A819" s="16"/>
      <c r="B819" s="16"/>
      <c r="C819" s="16"/>
      <c r="D819" s="16"/>
      <c r="E819" s="16"/>
      <c r="F819" s="16"/>
      <c r="G819" s="16"/>
      <c r="H819" s="16"/>
      <c r="I819" s="16"/>
      <c r="J819" s="16"/>
      <c r="K819" s="16"/>
      <c r="L819" s="16"/>
      <c r="M819" s="16"/>
      <c r="N819" s="16"/>
      <c r="O819" s="16"/>
      <c r="P819" s="16"/>
      <c r="Q819" s="16"/>
      <c r="R819" s="16"/>
      <c r="S819" s="16"/>
      <c r="T819" s="16"/>
      <c r="U819" s="16"/>
      <c r="V819" s="16"/>
    </row>
    <row r="820" spans="1:22" ht="15.75" customHeight="1" x14ac:dyDescent="0.25">
      <c r="A820" s="16"/>
      <c r="B820" s="16"/>
      <c r="C820" s="16"/>
      <c r="D820" s="16"/>
      <c r="E820" s="16"/>
      <c r="F820" s="16"/>
      <c r="G820" s="16"/>
      <c r="H820" s="16"/>
      <c r="I820" s="16"/>
      <c r="J820" s="16"/>
      <c r="K820" s="16"/>
      <c r="L820" s="16"/>
      <c r="M820" s="16"/>
      <c r="N820" s="16"/>
      <c r="O820" s="16"/>
      <c r="P820" s="16"/>
      <c r="Q820" s="16"/>
      <c r="R820" s="16"/>
      <c r="S820" s="16"/>
      <c r="T820" s="16"/>
      <c r="U820" s="16"/>
      <c r="V820" s="16"/>
    </row>
    <row r="821" spans="1:22" ht="15.75" customHeight="1" x14ac:dyDescent="0.25">
      <c r="A821" s="16"/>
      <c r="B821" s="16"/>
      <c r="C821" s="16"/>
      <c r="D821" s="16"/>
      <c r="E821" s="16"/>
      <c r="F821" s="16"/>
      <c r="G821" s="16"/>
      <c r="H821" s="16"/>
      <c r="I821" s="16"/>
      <c r="J821" s="16"/>
      <c r="K821" s="16"/>
      <c r="L821" s="16"/>
      <c r="M821" s="16"/>
      <c r="N821" s="16"/>
      <c r="O821" s="16"/>
      <c r="P821" s="16"/>
      <c r="Q821" s="16"/>
      <c r="R821" s="16"/>
      <c r="S821" s="16"/>
      <c r="T821" s="16"/>
      <c r="U821" s="16"/>
      <c r="V821" s="16"/>
    </row>
    <row r="822" spans="1:22" ht="15.75" customHeight="1" x14ac:dyDescent="0.25">
      <c r="A822" s="16"/>
      <c r="B822" s="16"/>
      <c r="C822" s="16"/>
      <c r="D822" s="16"/>
      <c r="E822" s="16"/>
      <c r="F822" s="16"/>
      <c r="G822" s="16"/>
      <c r="H822" s="16"/>
      <c r="I822" s="16"/>
      <c r="J822" s="16"/>
      <c r="K822" s="16"/>
      <c r="L822" s="16"/>
      <c r="M822" s="16"/>
      <c r="N822" s="16"/>
      <c r="O822" s="16"/>
      <c r="P822" s="16"/>
      <c r="Q822" s="16"/>
      <c r="R822" s="16"/>
      <c r="S822" s="16"/>
      <c r="T822" s="16"/>
      <c r="U822" s="16"/>
      <c r="V822" s="16"/>
    </row>
    <row r="823" spans="1:22" ht="15.75" customHeight="1" x14ac:dyDescent="0.25">
      <c r="A823" s="16"/>
      <c r="B823" s="16"/>
      <c r="C823" s="16"/>
      <c r="D823" s="16"/>
      <c r="E823" s="16"/>
      <c r="F823" s="16"/>
      <c r="G823" s="16"/>
      <c r="H823" s="16"/>
      <c r="I823" s="16"/>
      <c r="J823" s="16"/>
      <c r="K823" s="16"/>
      <c r="L823" s="16"/>
      <c r="M823" s="16"/>
      <c r="N823" s="16"/>
      <c r="O823" s="16"/>
      <c r="P823" s="16"/>
      <c r="Q823" s="16"/>
      <c r="R823" s="16"/>
      <c r="S823" s="16"/>
      <c r="T823" s="16"/>
      <c r="U823" s="16"/>
      <c r="V823" s="16"/>
    </row>
    <row r="824" spans="1:22" ht="15.75" customHeight="1" x14ac:dyDescent="0.25">
      <c r="A824" s="16"/>
      <c r="B824" s="16"/>
      <c r="C824" s="16"/>
      <c r="D824" s="16"/>
      <c r="E824" s="16"/>
      <c r="F824" s="16"/>
      <c r="G824" s="16"/>
      <c r="H824" s="16"/>
      <c r="I824" s="16"/>
      <c r="J824" s="16"/>
      <c r="K824" s="16"/>
      <c r="L824" s="16"/>
      <c r="M824" s="16"/>
      <c r="N824" s="16"/>
      <c r="O824" s="16"/>
      <c r="P824" s="16"/>
      <c r="Q824" s="16"/>
      <c r="R824" s="16"/>
      <c r="S824" s="16"/>
      <c r="T824" s="16"/>
      <c r="U824" s="16"/>
      <c r="V824" s="16"/>
    </row>
    <row r="825" spans="1:22" ht="15.75" customHeight="1" x14ac:dyDescent="0.25">
      <c r="A825" s="16"/>
      <c r="B825" s="16"/>
      <c r="C825" s="16"/>
      <c r="D825" s="16"/>
      <c r="E825" s="16"/>
      <c r="F825" s="16"/>
      <c r="G825" s="16"/>
      <c r="H825" s="16"/>
      <c r="I825" s="16"/>
      <c r="J825" s="16"/>
      <c r="K825" s="16"/>
      <c r="L825" s="16"/>
      <c r="M825" s="16"/>
      <c r="N825" s="16"/>
      <c r="O825" s="16"/>
      <c r="P825" s="16"/>
      <c r="Q825" s="16"/>
      <c r="R825" s="16"/>
      <c r="S825" s="16"/>
      <c r="T825" s="16"/>
      <c r="U825" s="16"/>
      <c r="V825" s="16"/>
    </row>
    <row r="826" spans="1:22" ht="15.75" customHeight="1" x14ac:dyDescent="0.25">
      <c r="A826" s="16"/>
      <c r="B826" s="16"/>
      <c r="C826" s="16"/>
      <c r="D826" s="16"/>
      <c r="E826" s="16"/>
      <c r="F826" s="16"/>
      <c r="G826" s="16"/>
      <c r="H826" s="16"/>
      <c r="I826" s="16"/>
      <c r="J826" s="16"/>
      <c r="K826" s="16"/>
      <c r="L826" s="16"/>
      <c r="M826" s="16"/>
      <c r="N826" s="16"/>
      <c r="O826" s="16"/>
      <c r="P826" s="16"/>
      <c r="Q826" s="16"/>
      <c r="R826" s="16"/>
      <c r="S826" s="16"/>
      <c r="T826" s="16"/>
      <c r="U826" s="16"/>
      <c r="V826" s="16"/>
    </row>
    <row r="827" spans="1:22" ht="15.75" customHeight="1" x14ac:dyDescent="0.25">
      <c r="A827" s="16"/>
      <c r="B827" s="16"/>
      <c r="C827" s="16"/>
      <c r="D827" s="16"/>
      <c r="E827" s="16"/>
      <c r="F827" s="16"/>
      <c r="G827" s="16"/>
      <c r="H827" s="16"/>
      <c r="I827" s="16"/>
      <c r="J827" s="16"/>
      <c r="K827" s="16"/>
      <c r="L827" s="16"/>
      <c r="M827" s="16"/>
      <c r="N827" s="16"/>
      <c r="O827" s="16"/>
      <c r="P827" s="16"/>
      <c r="Q827" s="16"/>
      <c r="R827" s="16"/>
      <c r="S827" s="16"/>
      <c r="T827" s="16"/>
      <c r="U827" s="16"/>
      <c r="V827" s="16"/>
    </row>
    <row r="828" spans="1:22" ht="15.75" customHeight="1" x14ac:dyDescent="0.25">
      <c r="A828" s="16"/>
      <c r="B828" s="16"/>
      <c r="C828" s="16"/>
      <c r="D828" s="16"/>
      <c r="E828" s="16"/>
      <c r="F828" s="16"/>
      <c r="G828" s="16"/>
      <c r="H828" s="16"/>
      <c r="I828" s="16"/>
      <c r="J828" s="16"/>
      <c r="K828" s="16"/>
      <c r="L828" s="16"/>
      <c r="M828" s="16"/>
      <c r="N828" s="16"/>
      <c r="O828" s="16"/>
      <c r="P828" s="16"/>
      <c r="Q828" s="16"/>
      <c r="R828" s="16"/>
      <c r="S828" s="16"/>
      <c r="T828" s="16"/>
      <c r="U828" s="16"/>
      <c r="V828" s="16"/>
    </row>
    <row r="829" spans="1:22" ht="15.75" customHeight="1" x14ac:dyDescent="0.25">
      <c r="A829" s="16"/>
      <c r="B829" s="16"/>
      <c r="C829" s="16"/>
      <c r="D829" s="16"/>
      <c r="E829" s="16"/>
      <c r="F829" s="16"/>
      <c r="G829" s="16"/>
      <c r="H829" s="16"/>
      <c r="I829" s="16"/>
      <c r="J829" s="16"/>
      <c r="K829" s="16"/>
      <c r="L829" s="16"/>
      <c r="M829" s="16"/>
      <c r="N829" s="16"/>
      <c r="O829" s="16"/>
      <c r="P829" s="16"/>
      <c r="Q829" s="16"/>
      <c r="R829" s="16"/>
      <c r="S829" s="16"/>
      <c r="T829" s="16"/>
      <c r="U829" s="16"/>
      <c r="V829" s="16"/>
    </row>
    <row r="830" spans="1:22" ht="15.75" customHeight="1" x14ac:dyDescent="0.25">
      <c r="A830" s="16"/>
      <c r="B830" s="16"/>
      <c r="C830" s="16"/>
      <c r="D830" s="16"/>
      <c r="E830" s="16"/>
      <c r="F830" s="16"/>
      <c r="G830" s="16"/>
      <c r="H830" s="16"/>
      <c r="I830" s="16"/>
      <c r="J830" s="16"/>
      <c r="K830" s="16"/>
      <c r="L830" s="16"/>
      <c r="M830" s="16"/>
      <c r="N830" s="16"/>
      <c r="O830" s="16"/>
      <c r="P830" s="16"/>
      <c r="Q830" s="16"/>
      <c r="R830" s="16"/>
      <c r="S830" s="16"/>
      <c r="T830" s="16"/>
      <c r="U830" s="16"/>
      <c r="V830" s="16"/>
    </row>
    <row r="831" spans="1:22" ht="15.75" customHeight="1" x14ac:dyDescent="0.25">
      <c r="A831" s="16"/>
      <c r="B831" s="16"/>
      <c r="C831" s="16"/>
      <c r="D831" s="16"/>
      <c r="E831" s="16"/>
      <c r="F831" s="16"/>
      <c r="G831" s="16"/>
      <c r="H831" s="16"/>
      <c r="I831" s="16"/>
      <c r="J831" s="16"/>
      <c r="K831" s="16"/>
      <c r="L831" s="16"/>
      <c r="M831" s="16"/>
      <c r="N831" s="16"/>
      <c r="O831" s="16"/>
      <c r="P831" s="16"/>
      <c r="Q831" s="16"/>
      <c r="R831" s="16"/>
      <c r="S831" s="16"/>
      <c r="T831" s="16"/>
      <c r="U831" s="16"/>
      <c r="V831" s="16"/>
    </row>
    <row r="832" spans="1:22" ht="15.75" customHeight="1" x14ac:dyDescent="0.25">
      <c r="A832" s="16"/>
      <c r="B832" s="16"/>
      <c r="C832" s="16"/>
      <c r="D832" s="16"/>
      <c r="E832" s="16"/>
      <c r="F832" s="16"/>
      <c r="G832" s="16"/>
      <c r="H832" s="16"/>
      <c r="I832" s="16"/>
      <c r="J832" s="16"/>
      <c r="K832" s="16"/>
      <c r="L832" s="16"/>
      <c r="M832" s="16"/>
      <c r="N832" s="16"/>
      <c r="O832" s="16"/>
      <c r="P832" s="16"/>
      <c r="Q832" s="16"/>
      <c r="R832" s="16"/>
      <c r="S832" s="16"/>
      <c r="T832" s="16"/>
      <c r="U832" s="16"/>
      <c r="V832" s="16"/>
    </row>
    <row r="833" spans="1:22" ht="15.75" customHeight="1" x14ac:dyDescent="0.25">
      <c r="A833" s="16"/>
      <c r="B833" s="16"/>
      <c r="C833" s="16"/>
      <c r="D833" s="16"/>
      <c r="E833" s="16"/>
      <c r="F833" s="16"/>
      <c r="G833" s="16"/>
      <c r="H833" s="16"/>
      <c r="I833" s="16"/>
      <c r="J833" s="16"/>
      <c r="K833" s="16"/>
      <c r="L833" s="16"/>
      <c r="M833" s="16"/>
      <c r="N833" s="16"/>
      <c r="O833" s="16"/>
      <c r="P833" s="16"/>
      <c r="Q833" s="16"/>
      <c r="R833" s="16"/>
      <c r="S833" s="16"/>
      <c r="T833" s="16"/>
      <c r="U833" s="16"/>
      <c r="V833" s="16"/>
    </row>
    <row r="834" spans="1:22" ht="15.75" customHeight="1" x14ac:dyDescent="0.25">
      <c r="A834" s="16"/>
      <c r="B834" s="16"/>
      <c r="C834" s="16"/>
      <c r="D834" s="16"/>
      <c r="E834" s="16"/>
      <c r="F834" s="16"/>
      <c r="G834" s="16"/>
      <c r="H834" s="16"/>
      <c r="I834" s="16"/>
      <c r="J834" s="16"/>
      <c r="K834" s="16"/>
      <c r="L834" s="16"/>
      <c r="M834" s="16"/>
      <c r="N834" s="16"/>
      <c r="O834" s="16"/>
      <c r="P834" s="16"/>
      <c r="Q834" s="16"/>
      <c r="R834" s="16"/>
      <c r="S834" s="16"/>
      <c r="T834" s="16"/>
      <c r="U834" s="16"/>
      <c r="V834" s="16"/>
    </row>
    <row r="835" spans="1:22" ht="15.75" customHeight="1" x14ac:dyDescent="0.25">
      <c r="A835" s="16"/>
      <c r="B835" s="16"/>
      <c r="C835" s="16"/>
      <c r="D835" s="16"/>
      <c r="E835" s="16"/>
      <c r="F835" s="16"/>
      <c r="G835" s="16"/>
      <c r="H835" s="16"/>
      <c r="I835" s="16"/>
      <c r="J835" s="16"/>
      <c r="K835" s="16"/>
      <c r="L835" s="16"/>
      <c r="M835" s="16"/>
      <c r="N835" s="16"/>
      <c r="O835" s="16"/>
      <c r="P835" s="16"/>
      <c r="Q835" s="16"/>
      <c r="R835" s="16"/>
      <c r="S835" s="16"/>
      <c r="T835" s="16"/>
      <c r="U835" s="16"/>
      <c r="V835" s="16"/>
    </row>
    <row r="836" spans="1:22" ht="15.75" customHeight="1" x14ac:dyDescent="0.25">
      <c r="A836" s="16"/>
      <c r="B836" s="16"/>
      <c r="C836" s="16"/>
      <c r="D836" s="16"/>
      <c r="E836" s="16"/>
      <c r="F836" s="16"/>
      <c r="G836" s="16"/>
      <c r="H836" s="16"/>
      <c r="I836" s="16"/>
      <c r="J836" s="16"/>
      <c r="K836" s="16"/>
      <c r="L836" s="16"/>
      <c r="M836" s="16"/>
      <c r="N836" s="16"/>
      <c r="O836" s="16"/>
      <c r="P836" s="16"/>
      <c r="Q836" s="16"/>
      <c r="R836" s="16"/>
      <c r="S836" s="16"/>
      <c r="T836" s="16"/>
      <c r="U836" s="16"/>
      <c r="V836" s="16"/>
    </row>
    <row r="837" spans="1:22" ht="15.75" customHeight="1" x14ac:dyDescent="0.25">
      <c r="A837" s="16"/>
      <c r="B837" s="16"/>
      <c r="C837" s="16"/>
      <c r="D837" s="16"/>
      <c r="E837" s="16"/>
      <c r="F837" s="16"/>
      <c r="G837" s="16"/>
      <c r="H837" s="16"/>
      <c r="I837" s="16"/>
      <c r="J837" s="16"/>
      <c r="K837" s="16"/>
      <c r="L837" s="16"/>
      <c r="M837" s="16"/>
      <c r="N837" s="16"/>
      <c r="O837" s="16"/>
      <c r="P837" s="16"/>
      <c r="Q837" s="16"/>
      <c r="R837" s="16"/>
      <c r="S837" s="16"/>
      <c r="T837" s="16"/>
      <c r="U837" s="16"/>
      <c r="V837" s="16"/>
    </row>
    <row r="838" spans="1:22" ht="15.75" customHeight="1" x14ac:dyDescent="0.25">
      <c r="A838" s="16"/>
      <c r="B838" s="16"/>
      <c r="C838" s="16"/>
      <c r="D838" s="16"/>
      <c r="E838" s="16"/>
      <c r="F838" s="16"/>
      <c r="G838" s="16"/>
      <c r="H838" s="16"/>
      <c r="I838" s="16"/>
      <c r="J838" s="16"/>
      <c r="K838" s="16"/>
      <c r="L838" s="16"/>
      <c r="M838" s="16"/>
      <c r="N838" s="16"/>
      <c r="O838" s="16"/>
      <c r="P838" s="16"/>
      <c r="Q838" s="16"/>
      <c r="R838" s="16"/>
      <c r="S838" s="16"/>
      <c r="T838" s="16"/>
      <c r="U838" s="16"/>
      <c r="V838" s="16"/>
    </row>
    <row r="839" spans="1:22" ht="15.75" customHeight="1" x14ac:dyDescent="0.25">
      <c r="A839" s="16"/>
      <c r="B839" s="16"/>
      <c r="C839" s="16"/>
      <c r="D839" s="16"/>
      <c r="E839" s="16"/>
      <c r="F839" s="16"/>
      <c r="G839" s="16"/>
      <c r="H839" s="16"/>
      <c r="I839" s="16"/>
      <c r="J839" s="16"/>
      <c r="K839" s="16"/>
      <c r="L839" s="16"/>
      <c r="M839" s="16"/>
      <c r="N839" s="16"/>
      <c r="O839" s="16"/>
      <c r="P839" s="16"/>
      <c r="Q839" s="16"/>
      <c r="R839" s="16"/>
      <c r="S839" s="16"/>
      <c r="T839" s="16"/>
      <c r="U839" s="16"/>
      <c r="V839" s="16"/>
    </row>
    <row r="840" spans="1:22" ht="15.75" customHeight="1" x14ac:dyDescent="0.25">
      <c r="A840" s="16"/>
      <c r="B840" s="16"/>
      <c r="C840" s="16"/>
      <c r="D840" s="16"/>
      <c r="E840" s="16"/>
      <c r="F840" s="16"/>
      <c r="G840" s="16"/>
      <c r="H840" s="16"/>
      <c r="I840" s="16"/>
      <c r="J840" s="16"/>
      <c r="K840" s="16"/>
      <c r="L840" s="16"/>
      <c r="M840" s="16"/>
      <c r="N840" s="16"/>
      <c r="O840" s="16"/>
      <c r="P840" s="16"/>
      <c r="Q840" s="16"/>
      <c r="R840" s="16"/>
      <c r="S840" s="16"/>
      <c r="T840" s="16"/>
      <c r="U840" s="16"/>
      <c r="V840" s="16"/>
    </row>
    <row r="841" spans="1:22" ht="15.75" customHeight="1" x14ac:dyDescent="0.25">
      <c r="A841" s="16"/>
      <c r="B841" s="16"/>
      <c r="C841" s="16"/>
      <c r="D841" s="16"/>
      <c r="E841" s="16"/>
      <c r="F841" s="16"/>
      <c r="G841" s="16"/>
      <c r="H841" s="16"/>
      <c r="I841" s="16"/>
      <c r="J841" s="16"/>
      <c r="K841" s="16"/>
      <c r="L841" s="16"/>
      <c r="M841" s="16"/>
      <c r="N841" s="16"/>
      <c r="O841" s="16"/>
      <c r="P841" s="16"/>
      <c r="Q841" s="16"/>
      <c r="R841" s="16"/>
      <c r="S841" s="16"/>
      <c r="T841" s="16"/>
      <c r="U841" s="16"/>
      <c r="V841" s="16"/>
    </row>
    <row r="842" spans="1:22" ht="15.75" customHeight="1" x14ac:dyDescent="0.25">
      <c r="A842" s="16"/>
      <c r="B842" s="16"/>
      <c r="C842" s="16"/>
      <c r="D842" s="16"/>
      <c r="E842" s="16"/>
      <c r="F842" s="16"/>
      <c r="G842" s="16"/>
      <c r="H842" s="16"/>
      <c r="I842" s="16"/>
      <c r="J842" s="16"/>
      <c r="K842" s="16"/>
      <c r="L842" s="16"/>
      <c r="M842" s="16"/>
      <c r="N842" s="16"/>
      <c r="O842" s="16"/>
      <c r="P842" s="16"/>
      <c r="Q842" s="16"/>
      <c r="R842" s="16"/>
      <c r="S842" s="16"/>
      <c r="T842" s="16"/>
      <c r="U842" s="16"/>
      <c r="V842" s="16"/>
    </row>
    <row r="843" spans="1:22" ht="15.75" customHeight="1" x14ac:dyDescent="0.25">
      <c r="A843" s="16"/>
      <c r="B843" s="16"/>
      <c r="C843" s="16"/>
      <c r="D843" s="16"/>
      <c r="E843" s="16"/>
      <c r="F843" s="16"/>
      <c r="G843" s="16"/>
      <c r="H843" s="16"/>
      <c r="I843" s="16"/>
      <c r="J843" s="16"/>
      <c r="K843" s="16"/>
      <c r="L843" s="16"/>
      <c r="M843" s="16"/>
      <c r="N843" s="16"/>
      <c r="O843" s="16"/>
      <c r="P843" s="16"/>
      <c r="Q843" s="16"/>
      <c r="R843" s="16"/>
      <c r="S843" s="16"/>
      <c r="T843" s="16"/>
      <c r="U843" s="16"/>
      <c r="V843" s="16"/>
    </row>
    <row r="844" spans="1:22" ht="15.75" customHeight="1" x14ac:dyDescent="0.25">
      <c r="A844" s="16"/>
      <c r="B844" s="16"/>
      <c r="C844" s="16"/>
      <c r="D844" s="16"/>
      <c r="E844" s="16"/>
      <c r="F844" s="16"/>
      <c r="G844" s="16"/>
      <c r="H844" s="16"/>
      <c r="I844" s="16"/>
      <c r="J844" s="16"/>
      <c r="K844" s="16"/>
      <c r="L844" s="16"/>
      <c r="M844" s="16"/>
      <c r="N844" s="16"/>
      <c r="O844" s="16"/>
      <c r="P844" s="16"/>
      <c r="Q844" s="16"/>
      <c r="R844" s="16"/>
      <c r="S844" s="16"/>
      <c r="T844" s="16"/>
      <c r="U844" s="16"/>
      <c r="V844" s="16"/>
    </row>
    <row r="845" spans="1:22" ht="15.75" customHeight="1" x14ac:dyDescent="0.25">
      <c r="A845" s="16"/>
      <c r="B845" s="16"/>
      <c r="C845" s="16"/>
      <c r="D845" s="16"/>
      <c r="E845" s="16"/>
      <c r="F845" s="16"/>
      <c r="G845" s="16"/>
      <c r="H845" s="16"/>
      <c r="I845" s="16"/>
      <c r="J845" s="16"/>
      <c r="K845" s="16"/>
      <c r="L845" s="16"/>
      <c r="M845" s="16"/>
      <c r="N845" s="16"/>
      <c r="O845" s="16"/>
      <c r="P845" s="16"/>
      <c r="Q845" s="16"/>
      <c r="R845" s="16"/>
      <c r="S845" s="16"/>
      <c r="T845" s="16"/>
      <c r="U845" s="16"/>
      <c r="V845" s="16"/>
    </row>
    <row r="846" spans="1:22" ht="15.75" customHeight="1" x14ac:dyDescent="0.25">
      <c r="A846" s="16"/>
      <c r="B846" s="16"/>
      <c r="C846" s="16"/>
      <c r="D846" s="16"/>
      <c r="E846" s="16"/>
      <c r="F846" s="16"/>
      <c r="G846" s="16"/>
      <c r="H846" s="16"/>
      <c r="I846" s="16"/>
      <c r="J846" s="16"/>
      <c r="K846" s="16"/>
      <c r="L846" s="16"/>
      <c r="M846" s="16"/>
      <c r="N846" s="16"/>
      <c r="O846" s="16"/>
      <c r="P846" s="16"/>
      <c r="Q846" s="16"/>
      <c r="R846" s="16"/>
      <c r="S846" s="16"/>
      <c r="T846" s="16"/>
      <c r="U846" s="16"/>
      <c r="V846" s="16"/>
    </row>
    <row r="847" spans="1:22" ht="15.75" customHeight="1" x14ac:dyDescent="0.25">
      <c r="A847" s="16"/>
      <c r="B847" s="16"/>
      <c r="C847" s="16"/>
      <c r="D847" s="16"/>
      <c r="E847" s="16"/>
      <c r="F847" s="16"/>
      <c r="G847" s="16"/>
      <c r="H847" s="16"/>
      <c r="I847" s="16"/>
      <c r="J847" s="16"/>
      <c r="K847" s="16"/>
      <c r="L847" s="16"/>
      <c r="M847" s="16"/>
      <c r="N847" s="16"/>
      <c r="O847" s="16"/>
      <c r="P847" s="16"/>
      <c r="Q847" s="16"/>
      <c r="R847" s="16"/>
      <c r="S847" s="16"/>
      <c r="T847" s="16"/>
      <c r="U847" s="16"/>
      <c r="V847" s="16"/>
    </row>
    <row r="848" spans="1:22" ht="15.75" customHeight="1" x14ac:dyDescent="0.25">
      <c r="A848" s="16"/>
      <c r="B848" s="16"/>
      <c r="C848" s="16"/>
      <c r="D848" s="16"/>
      <c r="E848" s="16"/>
      <c r="F848" s="16"/>
      <c r="G848" s="16"/>
      <c r="H848" s="16"/>
      <c r="I848" s="16"/>
      <c r="J848" s="16"/>
      <c r="K848" s="16"/>
      <c r="L848" s="16"/>
      <c r="M848" s="16"/>
      <c r="N848" s="16"/>
      <c r="O848" s="16"/>
      <c r="P848" s="16"/>
      <c r="Q848" s="16"/>
      <c r="R848" s="16"/>
      <c r="S848" s="16"/>
      <c r="T848" s="16"/>
      <c r="U848" s="16"/>
      <c r="V848" s="16"/>
    </row>
    <row r="849" spans="1:22" ht="15.75" customHeight="1" x14ac:dyDescent="0.25">
      <c r="A849" s="16"/>
      <c r="B849" s="16"/>
      <c r="C849" s="16"/>
      <c r="D849" s="16"/>
      <c r="E849" s="16"/>
      <c r="F849" s="16"/>
      <c r="G849" s="16"/>
      <c r="H849" s="16"/>
      <c r="I849" s="16"/>
      <c r="J849" s="16"/>
      <c r="K849" s="16"/>
      <c r="L849" s="16"/>
      <c r="M849" s="16"/>
      <c r="N849" s="16"/>
      <c r="O849" s="16"/>
      <c r="P849" s="16"/>
      <c r="Q849" s="16"/>
      <c r="R849" s="16"/>
      <c r="S849" s="16"/>
      <c r="T849" s="16"/>
      <c r="U849" s="16"/>
      <c r="V849" s="16"/>
    </row>
    <row r="850" spans="1:22" ht="15.75" customHeight="1" x14ac:dyDescent="0.25">
      <c r="A850" s="16"/>
      <c r="B850" s="16"/>
      <c r="C850" s="16"/>
      <c r="D850" s="16"/>
      <c r="E850" s="16"/>
      <c r="F850" s="16"/>
      <c r="G850" s="16"/>
      <c r="H850" s="16"/>
      <c r="I850" s="16"/>
      <c r="J850" s="16"/>
      <c r="K850" s="16"/>
      <c r="L850" s="16"/>
      <c r="M850" s="16"/>
      <c r="N850" s="16"/>
      <c r="O850" s="16"/>
      <c r="P850" s="16"/>
      <c r="Q850" s="16"/>
      <c r="R850" s="16"/>
      <c r="S850" s="16"/>
      <c r="T850" s="16"/>
      <c r="U850" s="16"/>
      <c r="V850" s="16"/>
    </row>
    <row r="851" spans="1:22" ht="15.75" customHeight="1" x14ac:dyDescent="0.25">
      <c r="A851" s="16"/>
      <c r="B851" s="16"/>
      <c r="C851" s="16"/>
      <c r="D851" s="16"/>
      <c r="E851" s="16"/>
      <c r="F851" s="16"/>
      <c r="G851" s="16"/>
      <c r="H851" s="16"/>
      <c r="I851" s="16"/>
      <c r="J851" s="16"/>
      <c r="K851" s="16"/>
      <c r="L851" s="16"/>
      <c r="M851" s="16"/>
      <c r="N851" s="16"/>
      <c r="O851" s="16"/>
      <c r="P851" s="16"/>
      <c r="Q851" s="16"/>
      <c r="R851" s="16"/>
      <c r="S851" s="16"/>
      <c r="T851" s="16"/>
      <c r="U851" s="16"/>
      <c r="V851" s="16"/>
    </row>
    <row r="852" spans="1:22" ht="15.75" customHeight="1" x14ac:dyDescent="0.25">
      <c r="A852" s="16"/>
      <c r="B852" s="16"/>
      <c r="C852" s="16"/>
      <c r="D852" s="16"/>
      <c r="E852" s="16"/>
      <c r="F852" s="16"/>
      <c r="G852" s="16"/>
      <c r="H852" s="16"/>
      <c r="I852" s="16"/>
      <c r="J852" s="16"/>
      <c r="K852" s="16"/>
      <c r="L852" s="16"/>
      <c r="M852" s="16"/>
      <c r="N852" s="16"/>
      <c r="O852" s="16"/>
      <c r="P852" s="16"/>
      <c r="Q852" s="16"/>
      <c r="R852" s="16"/>
      <c r="S852" s="16"/>
      <c r="T852" s="16"/>
      <c r="U852" s="16"/>
      <c r="V852" s="16"/>
    </row>
    <row r="853" spans="1:22" ht="15.75" customHeight="1" x14ac:dyDescent="0.25">
      <c r="A853" s="16"/>
      <c r="B853" s="16"/>
      <c r="C853" s="16"/>
      <c r="D853" s="16"/>
      <c r="E853" s="16"/>
      <c r="F853" s="16"/>
      <c r="G853" s="16"/>
      <c r="H853" s="16"/>
      <c r="I853" s="16"/>
      <c r="J853" s="16"/>
      <c r="K853" s="16"/>
      <c r="L853" s="16"/>
      <c r="M853" s="16"/>
      <c r="N853" s="16"/>
      <c r="O853" s="16"/>
      <c r="P853" s="16"/>
      <c r="Q853" s="16"/>
      <c r="R853" s="16"/>
      <c r="S853" s="16"/>
      <c r="T853" s="16"/>
      <c r="U853" s="16"/>
      <c r="V853" s="16"/>
    </row>
    <row r="854" spans="1:22" ht="15.75" customHeight="1" x14ac:dyDescent="0.25">
      <c r="A854" s="16"/>
      <c r="B854" s="16"/>
      <c r="C854" s="16"/>
      <c r="D854" s="16"/>
      <c r="E854" s="16"/>
      <c r="F854" s="16"/>
      <c r="G854" s="16"/>
      <c r="H854" s="16"/>
      <c r="I854" s="16"/>
      <c r="J854" s="16"/>
      <c r="K854" s="16"/>
      <c r="L854" s="16"/>
      <c r="M854" s="16"/>
      <c r="N854" s="16"/>
      <c r="O854" s="16"/>
      <c r="P854" s="16"/>
      <c r="Q854" s="16"/>
      <c r="R854" s="16"/>
      <c r="S854" s="16"/>
      <c r="T854" s="16"/>
      <c r="U854" s="16"/>
      <c r="V854" s="16"/>
    </row>
    <row r="855" spans="1:22" ht="15.75" customHeight="1" x14ac:dyDescent="0.25">
      <c r="A855" s="16"/>
      <c r="B855" s="16"/>
      <c r="C855" s="16"/>
      <c r="D855" s="16"/>
      <c r="E855" s="16"/>
      <c r="F855" s="16"/>
      <c r="G855" s="16"/>
      <c r="H855" s="16"/>
      <c r="I855" s="16"/>
      <c r="J855" s="16"/>
      <c r="K855" s="16"/>
      <c r="L855" s="16"/>
      <c r="M855" s="16"/>
      <c r="N855" s="16"/>
      <c r="O855" s="16"/>
      <c r="P855" s="16"/>
      <c r="Q855" s="16"/>
      <c r="R855" s="16"/>
      <c r="S855" s="16"/>
      <c r="T855" s="16"/>
      <c r="U855" s="16"/>
      <c r="V855" s="16"/>
    </row>
    <row r="856" spans="1:22" ht="15.75" customHeight="1" x14ac:dyDescent="0.25">
      <c r="A856" s="16"/>
      <c r="B856" s="16"/>
      <c r="C856" s="16"/>
      <c r="D856" s="16"/>
      <c r="E856" s="16"/>
      <c r="F856" s="16"/>
      <c r="G856" s="16"/>
      <c r="H856" s="16"/>
      <c r="I856" s="16"/>
      <c r="J856" s="16"/>
      <c r="K856" s="16"/>
      <c r="L856" s="16"/>
      <c r="M856" s="16"/>
      <c r="N856" s="16"/>
      <c r="O856" s="16"/>
      <c r="P856" s="16"/>
      <c r="Q856" s="16"/>
      <c r="R856" s="16"/>
      <c r="S856" s="16"/>
      <c r="T856" s="16"/>
      <c r="U856" s="16"/>
      <c r="V856" s="16"/>
    </row>
    <row r="857" spans="1:22" ht="15.75" customHeight="1" x14ac:dyDescent="0.25">
      <c r="A857" s="16"/>
      <c r="B857" s="16"/>
      <c r="C857" s="16"/>
      <c r="D857" s="16"/>
      <c r="E857" s="16"/>
      <c r="F857" s="16"/>
      <c r="G857" s="16"/>
      <c r="H857" s="16"/>
      <c r="I857" s="16"/>
      <c r="J857" s="16"/>
      <c r="K857" s="16"/>
      <c r="L857" s="16"/>
      <c r="M857" s="16"/>
      <c r="N857" s="16"/>
      <c r="O857" s="16"/>
      <c r="P857" s="16"/>
      <c r="Q857" s="16"/>
      <c r="R857" s="16"/>
      <c r="S857" s="16"/>
      <c r="T857" s="16"/>
      <c r="U857" s="16"/>
      <c r="V857" s="16"/>
    </row>
    <row r="858" spans="1:22" ht="15.75" customHeight="1" x14ac:dyDescent="0.25">
      <c r="A858" s="16"/>
      <c r="B858" s="16"/>
      <c r="C858" s="16"/>
      <c r="D858" s="16"/>
      <c r="E858" s="16"/>
      <c r="F858" s="16"/>
      <c r="G858" s="16"/>
      <c r="H858" s="16"/>
      <c r="I858" s="16"/>
      <c r="J858" s="16"/>
      <c r="K858" s="16"/>
      <c r="L858" s="16"/>
      <c r="M858" s="16"/>
      <c r="N858" s="16"/>
      <c r="O858" s="16"/>
      <c r="P858" s="16"/>
      <c r="Q858" s="16"/>
      <c r="R858" s="16"/>
      <c r="S858" s="16"/>
      <c r="T858" s="16"/>
      <c r="U858" s="16"/>
      <c r="V858" s="16"/>
    </row>
    <row r="859" spans="1:22" ht="15.75" customHeight="1" x14ac:dyDescent="0.25">
      <c r="A859" s="16"/>
      <c r="B859" s="16"/>
      <c r="C859" s="16"/>
      <c r="D859" s="16"/>
      <c r="E859" s="16"/>
      <c r="F859" s="16"/>
      <c r="G859" s="16"/>
      <c r="H859" s="16"/>
      <c r="I859" s="16"/>
      <c r="J859" s="16"/>
      <c r="K859" s="16"/>
      <c r="L859" s="16"/>
      <c r="M859" s="16"/>
      <c r="N859" s="16"/>
      <c r="O859" s="16"/>
      <c r="P859" s="16"/>
      <c r="Q859" s="16"/>
      <c r="R859" s="16"/>
      <c r="S859" s="16"/>
      <c r="T859" s="16"/>
      <c r="U859" s="16"/>
      <c r="V859" s="16"/>
    </row>
    <row r="860" spans="1:22" ht="15.75" customHeight="1" x14ac:dyDescent="0.25">
      <c r="A860" s="16"/>
      <c r="B860" s="16"/>
      <c r="C860" s="16"/>
      <c r="D860" s="16"/>
      <c r="E860" s="16"/>
      <c r="F860" s="16"/>
      <c r="G860" s="16"/>
      <c r="H860" s="16"/>
      <c r="I860" s="16"/>
      <c r="J860" s="16"/>
      <c r="K860" s="16"/>
      <c r="L860" s="16"/>
      <c r="M860" s="16"/>
      <c r="N860" s="16"/>
      <c r="O860" s="16"/>
      <c r="P860" s="16"/>
      <c r="Q860" s="16"/>
      <c r="R860" s="16"/>
      <c r="S860" s="16"/>
      <c r="T860" s="16"/>
      <c r="U860" s="16"/>
      <c r="V860" s="16"/>
    </row>
    <row r="861" spans="1:22" ht="15.75" customHeight="1" x14ac:dyDescent="0.25">
      <c r="A861" s="16"/>
      <c r="B861" s="16"/>
      <c r="C861" s="16"/>
      <c r="D861" s="16"/>
      <c r="E861" s="16"/>
      <c r="F861" s="16"/>
      <c r="G861" s="16"/>
      <c r="H861" s="16"/>
      <c r="I861" s="16"/>
      <c r="J861" s="16"/>
      <c r="K861" s="16"/>
      <c r="L861" s="16"/>
      <c r="M861" s="16"/>
      <c r="N861" s="16"/>
      <c r="O861" s="16"/>
      <c r="P861" s="16"/>
      <c r="Q861" s="16"/>
      <c r="R861" s="16"/>
      <c r="S861" s="16"/>
      <c r="T861" s="16"/>
      <c r="U861" s="16"/>
      <c r="V861" s="16"/>
    </row>
    <row r="862" spans="1:22" ht="15.75" customHeight="1" x14ac:dyDescent="0.25">
      <c r="A862" s="16"/>
      <c r="B862" s="16"/>
      <c r="C862" s="16"/>
      <c r="D862" s="16"/>
      <c r="E862" s="16"/>
      <c r="F862" s="16"/>
      <c r="G862" s="16"/>
      <c r="H862" s="16"/>
      <c r="I862" s="16"/>
      <c r="J862" s="16"/>
      <c r="K862" s="16"/>
      <c r="L862" s="16"/>
      <c r="M862" s="16"/>
      <c r="N862" s="16"/>
      <c r="O862" s="16"/>
      <c r="P862" s="16"/>
      <c r="Q862" s="16"/>
      <c r="R862" s="16"/>
      <c r="S862" s="16"/>
      <c r="T862" s="16"/>
      <c r="U862" s="16"/>
      <c r="V862" s="16"/>
    </row>
    <row r="863" spans="1:22" ht="15.75" customHeight="1" x14ac:dyDescent="0.25">
      <c r="A863" s="16"/>
      <c r="B863" s="16"/>
      <c r="C863" s="16"/>
      <c r="D863" s="16"/>
      <c r="E863" s="16"/>
      <c r="F863" s="16"/>
      <c r="G863" s="16"/>
      <c r="H863" s="16"/>
      <c r="I863" s="16"/>
      <c r="J863" s="16"/>
      <c r="K863" s="16"/>
      <c r="L863" s="16"/>
      <c r="M863" s="16"/>
      <c r="N863" s="16"/>
      <c r="O863" s="16"/>
      <c r="P863" s="16"/>
      <c r="Q863" s="16"/>
      <c r="R863" s="16"/>
      <c r="S863" s="16"/>
      <c r="T863" s="16"/>
      <c r="U863" s="16"/>
      <c r="V863" s="16"/>
    </row>
    <row r="864" spans="1:22" ht="15.75" customHeight="1" x14ac:dyDescent="0.25">
      <c r="A864" s="16"/>
      <c r="B864" s="16"/>
      <c r="C864" s="16"/>
      <c r="D864" s="16"/>
      <c r="E864" s="16"/>
      <c r="F864" s="16"/>
      <c r="G864" s="16"/>
      <c r="H864" s="16"/>
      <c r="I864" s="16"/>
      <c r="J864" s="16"/>
      <c r="K864" s="16"/>
      <c r="L864" s="16"/>
      <c r="M864" s="16"/>
      <c r="N864" s="16"/>
      <c r="O864" s="16"/>
      <c r="P864" s="16"/>
      <c r="Q864" s="16"/>
      <c r="R864" s="16"/>
      <c r="S864" s="16"/>
      <c r="T864" s="16"/>
      <c r="U864" s="16"/>
      <c r="V864" s="16"/>
    </row>
    <row r="865" spans="1:22" ht="15.75" customHeight="1" x14ac:dyDescent="0.25">
      <c r="A865" s="16"/>
      <c r="B865" s="16"/>
      <c r="C865" s="16"/>
      <c r="D865" s="16"/>
      <c r="E865" s="16"/>
      <c r="F865" s="16"/>
      <c r="G865" s="16"/>
      <c r="H865" s="16"/>
      <c r="I865" s="16"/>
      <c r="J865" s="16"/>
      <c r="K865" s="16"/>
      <c r="L865" s="16"/>
      <c r="M865" s="16"/>
      <c r="N865" s="16"/>
      <c r="O865" s="16"/>
      <c r="P865" s="16"/>
      <c r="Q865" s="16"/>
      <c r="R865" s="16"/>
      <c r="S865" s="16"/>
      <c r="T865" s="16"/>
      <c r="U865" s="16"/>
      <c r="V865" s="16"/>
    </row>
    <row r="866" spans="1:22" ht="15.75" customHeight="1" x14ac:dyDescent="0.25">
      <c r="A866" s="16"/>
      <c r="B866" s="16"/>
      <c r="C866" s="16"/>
      <c r="D866" s="16"/>
      <c r="E866" s="16"/>
      <c r="F866" s="16"/>
      <c r="G866" s="16"/>
      <c r="H866" s="16"/>
      <c r="I866" s="16"/>
      <c r="J866" s="16"/>
      <c r="K866" s="16"/>
      <c r="L866" s="16"/>
      <c r="M866" s="16"/>
      <c r="N866" s="16"/>
      <c r="O866" s="16"/>
      <c r="P866" s="16"/>
      <c r="Q866" s="16"/>
      <c r="R866" s="16"/>
      <c r="S866" s="16"/>
      <c r="T866" s="16"/>
      <c r="U866" s="16"/>
      <c r="V866" s="16"/>
    </row>
    <row r="867" spans="1:22" ht="15.75" customHeight="1" x14ac:dyDescent="0.25">
      <c r="A867" s="16"/>
      <c r="B867" s="16"/>
      <c r="C867" s="16"/>
      <c r="D867" s="16"/>
      <c r="E867" s="16"/>
      <c r="F867" s="16"/>
      <c r="G867" s="16"/>
      <c r="H867" s="16"/>
      <c r="I867" s="16"/>
      <c r="J867" s="16"/>
      <c r="K867" s="16"/>
      <c r="L867" s="16"/>
      <c r="M867" s="16"/>
      <c r="N867" s="16"/>
      <c r="O867" s="16"/>
      <c r="P867" s="16"/>
      <c r="Q867" s="16"/>
      <c r="R867" s="16"/>
      <c r="S867" s="16"/>
      <c r="T867" s="16"/>
      <c r="U867" s="16"/>
      <c r="V867" s="16"/>
    </row>
    <row r="868" spans="1:22" ht="15.75" customHeight="1" x14ac:dyDescent="0.25">
      <c r="A868" s="16"/>
      <c r="B868" s="16"/>
      <c r="C868" s="16"/>
      <c r="D868" s="16"/>
      <c r="E868" s="16"/>
      <c r="F868" s="16"/>
      <c r="G868" s="16"/>
      <c r="H868" s="16"/>
      <c r="I868" s="16"/>
      <c r="J868" s="16"/>
      <c r="K868" s="16"/>
      <c r="L868" s="16"/>
      <c r="M868" s="16"/>
      <c r="N868" s="16"/>
      <c r="O868" s="16"/>
      <c r="P868" s="16"/>
      <c r="Q868" s="16"/>
      <c r="R868" s="16"/>
      <c r="S868" s="16"/>
      <c r="T868" s="16"/>
      <c r="U868" s="16"/>
      <c r="V868" s="16"/>
    </row>
    <row r="869" spans="1:22" ht="15.75" customHeight="1" x14ac:dyDescent="0.25">
      <c r="A869" s="16"/>
      <c r="B869" s="16"/>
      <c r="C869" s="16"/>
      <c r="D869" s="16"/>
      <c r="E869" s="16"/>
      <c r="F869" s="16"/>
      <c r="G869" s="16"/>
      <c r="H869" s="16"/>
      <c r="I869" s="16"/>
      <c r="J869" s="16"/>
      <c r="K869" s="16"/>
      <c r="L869" s="16"/>
      <c r="M869" s="16"/>
      <c r="N869" s="16"/>
      <c r="O869" s="16"/>
      <c r="P869" s="16"/>
      <c r="Q869" s="16"/>
      <c r="R869" s="16"/>
      <c r="S869" s="16"/>
      <c r="T869" s="16"/>
      <c r="U869" s="16"/>
      <c r="V869" s="16"/>
    </row>
    <row r="870" spans="1:22" ht="15.75" customHeight="1" x14ac:dyDescent="0.25">
      <c r="A870" s="16"/>
      <c r="B870" s="16"/>
      <c r="C870" s="16"/>
      <c r="D870" s="16"/>
      <c r="E870" s="16"/>
      <c r="F870" s="16"/>
      <c r="G870" s="16"/>
      <c r="H870" s="16"/>
      <c r="I870" s="16"/>
      <c r="J870" s="16"/>
      <c r="K870" s="16"/>
      <c r="L870" s="16"/>
      <c r="M870" s="16"/>
      <c r="N870" s="16"/>
      <c r="O870" s="16"/>
      <c r="P870" s="16"/>
      <c r="Q870" s="16"/>
      <c r="R870" s="16"/>
      <c r="S870" s="16"/>
      <c r="T870" s="16"/>
      <c r="U870" s="16"/>
      <c r="V870" s="16"/>
    </row>
    <row r="871" spans="1:22" ht="15.75" customHeight="1" x14ac:dyDescent="0.25">
      <c r="A871" s="16"/>
      <c r="B871" s="16"/>
      <c r="C871" s="16"/>
      <c r="D871" s="16"/>
      <c r="E871" s="16"/>
      <c r="F871" s="16"/>
      <c r="G871" s="16"/>
      <c r="H871" s="16"/>
      <c r="I871" s="16"/>
      <c r="J871" s="16"/>
      <c r="K871" s="16"/>
      <c r="L871" s="16"/>
      <c r="M871" s="16"/>
      <c r="N871" s="16"/>
      <c r="O871" s="16"/>
      <c r="P871" s="16"/>
      <c r="Q871" s="16"/>
      <c r="R871" s="16"/>
      <c r="S871" s="16"/>
      <c r="T871" s="16"/>
      <c r="U871" s="16"/>
      <c r="V871" s="16"/>
    </row>
    <row r="872" spans="1:22" ht="15.75" customHeight="1" x14ac:dyDescent="0.25">
      <c r="A872" s="16"/>
      <c r="B872" s="16"/>
      <c r="C872" s="16"/>
      <c r="D872" s="16"/>
      <c r="E872" s="16"/>
      <c r="F872" s="16"/>
      <c r="G872" s="16"/>
      <c r="H872" s="16"/>
      <c r="I872" s="16"/>
      <c r="J872" s="16"/>
      <c r="K872" s="16"/>
      <c r="L872" s="16"/>
      <c r="M872" s="16"/>
      <c r="N872" s="16"/>
      <c r="O872" s="16"/>
      <c r="P872" s="16"/>
      <c r="Q872" s="16"/>
      <c r="R872" s="16"/>
      <c r="S872" s="16"/>
      <c r="T872" s="16"/>
      <c r="U872" s="16"/>
      <c r="V872" s="16"/>
    </row>
    <row r="873" spans="1:22" ht="15.75" customHeight="1" x14ac:dyDescent="0.25">
      <c r="A873" s="16"/>
      <c r="B873" s="16"/>
      <c r="C873" s="16"/>
      <c r="D873" s="16"/>
      <c r="E873" s="16"/>
      <c r="F873" s="16"/>
      <c r="G873" s="16"/>
      <c r="H873" s="16"/>
      <c r="I873" s="16"/>
      <c r="J873" s="16"/>
      <c r="K873" s="16"/>
      <c r="L873" s="16"/>
      <c r="M873" s="16"/>
      <c r="N873" s="16"/>
      <c r="O873" s="16"/>
      <c r="P873" s="16"/>
      <c r="Q873" s="16"/>
      <c r="R873" s="16"/>
      <c r="S873" s="16"/>
      <c r="T873" s="16"/>
      <c r="U873" s="16"/>
      <c r="V873" s="16"/>
    </row>
    <row r="874" spans="1:22" ht="15.75" customHeight="1" x14ac:dyDescent="0.25">
      <c r="A874" s="16"/>
      <c r="B874" s="16"/>
      <c r="C874" s="16"/>
      <c r="D874" s="16"/>
      <c r="E874" s="16"/>
      <c r="F874" s="16"/>
      <c r="G874" s="16"/>
      <c r="H874" s="16"/>
      <c r="I874" s="16"/>
      <c r="J874" s="16"/>
      <c r="K874" s="16"/>
      <c r="L874" s="16"/>
      <c r="M874" s="16"/>
      <c r="N874" s="16"/>
      <c r="O874" s="16"/>
      <c r="P874" s="16"/>
      <c r="Q874" s="16"/>
      <c r="R874" s="16"/>
      <c r="S874" s="16"/>
      <c r="T874" s="16"/>
      <c r="U874" s="16"/>
      <c r="V874" s="16"/>
    </row>
    <row r="875" spans="1:22" ht="15.75" customHeight="1" x14ac:dyDescent="0.25">
      <c r="A875" s="16"/>
      <c r="B875" s="16"/>
      <c r="C875" s="16"/>
      <c r="D875" s="16"/>
      <c r="E875" s="16"/>
      <c r="F875" s="16"/>
      <c r="G875" s="16"/>
      <c r="H875" s="16"/>
      <c r="I875" s="16"/>
      <c r="J875" s="16"/>
      <c r="K875" s="16"/>
      <c r="L875" s="16"/>
      <c r="M875" s="16"/>
      <c r="N875" s="16"/>
      <c r="O875" s="16"/>
      <c r="P875" s="16"/>
      <c r="Q875" s="16"/>
      <c r="R875" s="16"/>
      <c r="S875" s="16"/>
      <c r="T875" s="16"/>
      <c r="U875" s="16"/>
      <c r="V875" s="16"/>
    </row>
    <row r="876" spans="1:22" ht="15.75" customHeight="1" x14ac:dyDescent="0.25">
      <c r="A876" s="16"/>
      <c r="B876" s="16"/>
      <c r="C876" s="16"/>
      <c r="D876" s="16"/>
      <c r="E876" s="16"/>
      <c r="F876" s="16"/>
      <c r="G876" s="16"/>
      <c r="H876" s="16"/>
      <c r="I876" s="16"/>
      <c r="J876" s="16"/>
      <c r="K876" s="16"/>
      <c r="L876" s="16"/>
      <c r="M876" s="16"/>
      <c r="N876" s="16"/>
      <c r="O876" s="16"/>
      <c r="P876" s="16"/>
      <c r="Q876" s="16"/>
      <c r="R876" s="16"/>
      <c r="S876" s="16"/>
      <c r="T876" s="16"/>
      <c r="U876" s="16"/>
      <c r="V876" s="16"/>
    </row>
    <row r="877" spans="1:22" ht="15.75" customHeight="1" x14ac:dyDescent="0.25">
      <c r="A877" s="16"/>
      <c r="B877" s="16"/>
      <c r="C877" s="16"/>
      <c r="D877" s="16"/>
      <c r="E877" s="16"/>
      <c r="F877" s="16"/>
      <c r="G877" s="16"/>
      <c r="H877" s="16"/>
      <c r="I877" s="16"/>
      <c r="J877" s="16"/>
      <c r="K877" s="16"/>
      <c r="L877" s="16"/>
      <c r="M877" s="16"/>
      <c r="N877" s="16"/>
      <c r="O877" s="16"/>
      <c r="P877" s="16"/>
      <c r="Q877" s="16"/>
      <c r="R877" s="16"/>
      <c r="S877" s="16"/>
      <c r="T877" s="16"/>
      <c r="U877" s="16"/>
      <c r="V877" s="16"/>
    </row>
    <row r="878" spans="1:22" ht="15.75" customHeight="1" x14ac:dyDescent="0.25">
      <c r="A878" s="16"/>
      <c r="B878" s="16"/>
      <c r="C878" s="16"/>
      <c r="D878" s="16"/>
      <c r="E878" s="16"/>
      <c r="F878" s="16"/>
      <c r="G878" s="16"/>
      <c r="H878" s="16"/>
      <c r="I878" s="16"/>
      <c r="J878" s="16"/>
      <c r="K878" s="16"/>
      <c r="L878" s="16"/>
      <c r="M878" s="16"/>
      <c r="N878" s="16"/>
      <c r="O878" s="16"/>
      <c r="P878" s="16"/>
      <c r="Q878" s="16"/>
      <c r="R878" s="16"/>
      <c r="S878" s="16"/>
      <c r="T878" s="16"/>
      <c r="U878" s="16"/>
      <c r="V878" s="16"/>
    </row>
    <row r="879" spans="1:22" ht="15.75" customHeight="1" x14ac:dyDescent="0.25">
      <c r="A879" s="16"/>
      <c r="B879" s="16"/>
      <c r="C879" s="16"/>
      <c r="D879" s="16"/>
      <c r="E879" s="16"/>
      <c r="F879" s="16"/>
      <c r="G879" s="16"/>
      <c r="H879" s="16"/>
      <c r="I879" s="16"/>
      <c r="J879" s="16"/>
      <c r="K879" s="16"/>
      <c r="L879" s="16"/>
      <c r="M879" s="16"/>
      <c r="N879" s="16"/>
      <c r="O879" s="16"/>
      <c r="P879" s="16"/>
      <c r="Q879" s="16"/>
      <c r="R879" s="16"/>
      <c r="S879" s="16"/>
      <c r="T879" s="16"/>
      <c r="U879" s="16"/>
      <c r="V879" s="16"/>
    </row>
    <row r="880" spans="1:22" ht="15.75" customHeight="1" x14ac:dyDescent="0.25">
      <c r="A880" s="16"/>
      <c r="B880" s="16"/>
      <c r="C880" s="16"/>
      <c r="D880" s="16"/>
      <c r="E880" s="16"/>
      <c r="F880" s="16"/>
      <c r="G880" s="16"/>
      <c r="H880" s="16"/>
      <c r="I880" s="16"/>
      <c r="J880" s="16"/>
      <c r="K880" s="16"/>
      <c r="L880" s="16"/>
      <c r="M880" s="16"/>
      <c r="N880" s="16"/>
      <c r="O880" s="16"/>
      <c r="P880" s="16"/>
      <c r="Q880" s="16"/>
      <c r="R880" s="16"/>
      <c r="S880" s="16"/>
      <c r="T880" s="16"/>
      <c r="U880" s="16"/>
      <c r="V880" s="16"/>
    </row>
    <row r="881" spans="1:22" ht="15.75" customHeight="1" x14ac:dyDescent="0.25">
      <c r="A881" s="16"/>
      <c r="B881" s="16"/>
      <c r="C881" s="16"/>
      <c r="D881" s="16"/>
      <c r="E881" s="16"/>
      <c r="F881" s="16"/>
      <c r="G881" s="16"/>
      <c r="H881" s="16"/>
      <c r="I881" s="16"/>
      <c r="J881" s="16"/>
      <c r="K881" s="16"/>
      <c r="L881" s="16"/>
      <c r="M881" s="16"/>
      <c r="N881" s="16"/>
      <c r="O881" s="16"/>
      <c r="P881" s="16"/>
      <c r="Q881" s="16"/>
      <c r="R881" s="16"/>
      <c r="S881" s="16"/>
      <c r="T881" s="16"/>
      <c r="U881" s="16"/>
      <c r="V881" s="16"/>
    </row>
    <row r="882" spans="1:22" ht="15.75" customHeight="1" x14ac:dyDescent="0.25">
      <c r="A882" s="16"/>
      <c r="B882" s="16"/>
      <c r="C882" s="16"/>
      <c r="D882" s="16"/>
      <c r="E882" s="16"/>
      <c r="F882" s="16"/>
      <c r="G882" s="16"/>
      <c r="H882" s="16"/>
      <c r="I882" s="16"/>
      <c r="J882" s="16"/>
      <c r="K882" s="16"/>
      <c r="L882" s="16"/>
      <c r="M882" s="16"/>
      <c r="N882" s="16"/>
      <c r="O882" s="16"/>
      <c r="P882" s="16"/>
      <c r="Q882" s="16"/>
      <c r="R882" s="16"/>
      <c r="S882" s="16"/>
      <c r="T882" s="16"/>
      <c r="U882" s="16"/>
      <c r="V882" s="16"/>
    </row>
    <row r="883" spans="1:22" ht="15.75" customHeight="1" x14ac:dyDescent="0.25">
      <c r="A883" s="16"/>
      <c r="B883" s="16"/>
      <c r="C883" s="16"/>
      <c r="D883" s="16"/>
      <c r="E883" s="16"/>
      <c r="F883" s="16"/>
      <c r="G883" s="16"/>
      <c r="H883" s="16"/>
      <c r="I883" s="16"/>
      <c r="J883" s="16"/>
      <c r="K883" s="16"/>
      <c r="L883" s="16"/>
      <c r="M883" s="16"/>
      <c r="N883" s="16"/>
      <c r="O883" s="16"/>
      <c r="P883" s="16"/>
      <c r="Q883" s="16"/>
      <c r="R883" s="16"/>
      <c r="S883" s="16"/>
      <c r="T883" s="16"/>
      <c r="U883" s="16"/>
      <c r="V883" s="16"/>
    </row>
    <row r="884" spans="1:22" ht="15.75" customHeight="1" x14ac:dyDescent="0.25">
      <c r="A884" s="16"/>
      <c r="B884" s="16"/>
      <c r="C884" s="16"/>
      <c r="D884" s="16"/>
      <c r="E884" s="16"/>
      <c r="F884" s="16"/>
      <c r="G884" s="16"/>
      <c r="H884" s="16"/>
      <c r="I884" s="16"/>
      <c r="J884" s="16"/>
      <c r="K884" s="16"/>
      <c r="L884" s="16"/>
      <c r="M884" s="16"/>
      <c r="N884" s="16"/>
      <c r="O884" s="16"/>
      <c r="P884" s="16"/>
      <c r="Q884" s="16"/>
      <c r="R884" s="16"/>
      <c r="S884" s="16"/>
      <c r="T884" s="16"/>
      <c r="U884" s="16"/>
      <c r="V884" s="16"/>
    </row>
    <row r="885" spans="1:22" ht="15.75" customHeight="1" x14ac:dyDescent="0.25">
      <c r="A885" s="16"/>
      <c r="B885" s="16"/>
      <c r="C885" s="16"/>
      <c r="D885" s="16"/>
      <c r="E885" s="16"/>
      <c r="F885" s="16"/>
      <c r="G885" s="16"/>
      <c r="H885" s="16"/>
      <c r="I885" s="16"/>
      <c r="J885" s="16"/>
      <c r="K885" s="16"/>
      <c r="L885" s="16"/>
      <c r="M885" s="16"/>
      <c r="N885" s="16"/>
      <c r="O885" s="16"/>
      <c r="P885" s="16"/>
      <c r="Q885" s="16"/>
      <c r="R885" s="16"/>
      <c r="S885" s="16"/>
      <c r="T885" s="16"/>
      <c r="U885" s="16"/>
      <c r="V885" s="16"/>
    </row>
    <row r="886" spans="1:22" ht="15.75" customHeight="1" x14ac:dyDescent="0.25">
      <c r="A886" s="16"/>
      <c r="B886" s="16"/>
      <c r="C886" s="16"/>
      <c r="D886" s="16"/>
      <c r="E886" s="16"/>
      <c r="F886" s="16"/>
      <c r="G886" s="16"/>
      <c r="H886" s="16"/>
      <c r="I886" s="16"/>
      <c r="J886" s="16"/>
      <c r="K886" s="16"/>
      <c r="L886" s="16"/>
      <c r="M886" s="16"/>
      <c r="N886" s="16"/>
      <c r="O886" s="16"/>
      <c r="P886" s="16"/>
      <c r="Q886" s="16"/>
      <c r="R886" s="16"/>
      <c r="S886" s="16"/>
      <c r="T886" s="16"/>
      <c r="U886" s="16"/>
      <c r="V886" s="16"/>
    </row>
    <row r="887" spans="1:22" ht="15.75" customHeight="1" x14ac:dyDescent="0.25">
      <c r="A887" s="16"/>
      <c r="B887" s="16"/>
      <c r="C887" s="16"/>
      <c r="D887" s="16"/>
      <c r="E887" s="16"/>
      <c r="F887" s="16"/>
      <c r="G887" s="16"/>
      <c r="H887" s="16"/>
      <c r="I887" s="16"/>
      <c r="J887" s="16"/>
      <c r="K887" s="16"/>
      <c r="L887" s="16"/>
      <c r="M887" s="16"/>
      <c r="N887" s="16"/>
      <c r="O887" s="16"/>
      <c r="P887" s="16"/>
      <c r="Q887" s="16"/>
      <c r="R887" s="16"/>
      <c r="S887" s="16"/>
      <c r="T887" s="16"/>
      <c r="U887" s="16"/>
      <c r="V887" s="16"/>
    </row>
    <row r="888" spans="1:22" ht="15.75" customHeight="1" x14ac:dyDescent="0.25">
      <c r="A888" s="16"/>
      <c r="B888" s="16"/>
      <c r="C888" s="16"/>
      <c r="D888" s="16"/>
      <c r="E888" s="16"/>
      <c r="F888" s="16"/>
      <c r="G888" s="16"/>
      <c r="H888" s="16"/>
      <c r="I888" s="16"/>
      <c r="J888" s="16"/>
      <c r="K888" s="16"/>
      <c r="L888" s="16"/>
      <c r="M888" s="16"/>
      <c r="N888" s="16"/>
      <c r="O888" s="16"/>
      <c r="P888" s="16"/>
      <c r="Q888" s="16"/>
      <c r="R888" s="16"/>
      <c r="S888" s="16"/>
      <c r="T888" s="16"/>
      <c r="U888" s="16"/>
      <c r="V888" s="16"/>
    </row>
    <row r="889" spans="1:22" ht="15.75" customHeight="1" x14ac:dyDescent="0.25">
      <c r="A889" s="16"/>
      <c r="B889" s="16"/>
      <c r="C889" s="16"/>
      <c r="D889" s="16"/>
      <c r="E889" s="16"/>
      <c r="F889" s="16"/>
      <c r="G889" s="16"/>
      <c r="H889" s="16"/>
      <c r="I889" s="16"/>
      <c r="J889" s="16"/>
      <c r="K889" s="16"/>
      <c r="L889" s="16"/>
      <c r="M889" s="16"/>
      <c r="N889" s="16"/>
      <c r="O889" s="16"/>
      <c r="P889" s="16"/>
      <c r="Q889" s="16"/>
      <c r="R889" s="16"/>
      <c r="S889" s="16"/>
      <c r="T889" s="16"/>
      <c r="U889" s="16"/>
      <c r="V889" s="16"/>
    </row>
    <row r="890" spans="1:22" ht="15.75" customHeight="1" x14ac:dyDescent="0.25">
      <c r="A890" s="16"/>
      <c r="B890" s="16"/>
      <c r="C890" s="16"/>
      <c r="D890" s="16"/>
      <c r="E890" s="16"/>
      <c r="F890" s="16"/>
      <c r="G890" s="16"/>
      <c r="H890" s="16"/>
      <c r="I890" s="16"/>
      <c r="J890" s="16"/>
      <c r="K890" s="16"/>
      <c r="L890" s="16"/>
      <c r="M890" s="16"/>
      <c r="N890" s="16"/>
      <c r="O890" s="16"/>
      <c r="P890" s="16"/>
      <c r="Q890" s="16"/>
      <c r="R890" s="16"/>
      <c r="S890" s="16"/>
      <c r="T890" s="16"/>
      <c r="U890" s="16"/>
      <c r="V890" s="16"/>
    </row>
    <row r="891" spans="1:22" ht="15.75" customHeight="1" x14ac:dyDescent="0.25">
      <c r="A891" s="16"/>
      <c r="B891" s="16"/>
      <c r="C891" s="16"/>
      <c r="D891" s="16"/>
      <c r="E891" s="16"/>
      <c r="F891" s="16"/>
      <c r="G891" s="16"/>
      <c r="H891" s="16"/>
      <c r="I891" s="16"/>
      <c r="J891" s="16"/>
      <c r="K891" s="16"/>
      <c r="L891" s="16"/>
      <c r="M891" s="16"/>
      <c r="N891" s="16"/>
      <c r="O891" s="16"/>
      <c r="P891" s="16"/>
      <c r="Q891" s="16"/>
      <c r="R891" s="16"/>
      <c r="S891" s="16"/>
      <c r="T891" s="16"/>
      <c r="U891" s="16"/>
      <c r="V891" s="16"/>
    </row>
    <row r="892" spans="1:22" ht="15.75" customHeight="1" x14ac:dyDescent="0.25">
      <c r="A892" s="16"/>
      <c r="B892" s="16"/>
      <c r="C892" s="16"/>
      <c r="D892" s="16"/>
      <c r="E892" s="16"/>
      <c r="F892" s="16"/>
      <c r="G892" s="16"/>
      <c r="H892" s="16"/>
      <c r="I892" s="16"/>
      <c r="J892" s="16"/>
      <c r="K892" s="16"/>
      <c r="L892" s="16"/>
      <c r="M892" s="16"/>
      <c r="N892" s="16"/>
      <c r="O892" s="16"/>
      <c r="P892" s="16"/>
      <c r="Q892" s="16"/>
      <c r="R892" s="16"/>
      <c r="S892" s="16"/>
      <c r="T892" s="16"/>
      <c r="U892" s="16"/>
      <c r="V892" s="16"/>
    </row>
    <row r="893" spans="1:22" ht="15.75" customHeight="1" x14ac:dyDescent="0.25">
      <c r="A893" s="16"/>
      <c r="B893" s="16"/>
      <c r="C893" s="16"/>
      <c r="D893" s="16"/>
      <c r="E893" s="16"/>
      <c r="F893" s="16"/>
      <c r="G893" s="16"/>
      <c r="H893" s="16"/>
      <c r="I893" s="16"/>
      <c r="J893" s="16"/>
      <c r="K893" s="16"/>
      <c r="L893" s="16"/>
      <c r="M893" s="16"/>
      <c r="N893" s="16"/>
      <c r="O893" s="16"/>
      <c r="P893" s="16"/>
      <c r="Q893" s="16"/>
      <c r="R893" s="16"/>
      <c r="S893" s="16"/>
      <c r="T893" s="16"/>
      <c r="U893" s="16"/>
      <c r="V893" s="16"/>
    </row>
    <row r="894" spans="1:22" ht="15.75" customHeight="1" x14ac:dyDescent="0.25">
      <c r="A894" s="16"/>
      <c r="B894" s="16"/>
      <c r="C894" s="16"/>
      <c r="D894" s="16"/>
      <c r="E894" s="16"/>
      <c r="F894" s="16"/>
      <c r="G894" s="16"/>
      <c r="H894" s="16"/>
      <c r="I894" s="16"/>
      <c r="J894" s="16"/>
      <c r="K894" s="16"/>
      <c r="L894" s="16"/>
      <c r="M894" s="16"/>
      <c r="N894" s="16"/>
      <c r="O894" s="16"/>
      <c r="P894" s="16"/>
      <c r="Q894" s="16"/>
      <c r="R894" s="16"/>
      <c r="S894" s="16"/>
      <c r="T894" s="16"/>
      <c r="U894" s="16"/>
      <c r="V894" s="16"/>
    </row>
    <row r="895" spans="1:22" ht="15.75" customHeight="1" x14ac:dyDescent="0.25">
      <c r="A895" s="16"/>
      <c r="B895" s="16"/>
      <c r="C895" s="16"/>
      <c r="D895" s="16"/>
      <c r="E895" s="16"/>
      <c r="F895" s="16"/>
      <c r="G895" s="16"/>
      <c r="H895" s="16"/>
      <c r="I895" s="16"/>
      <c r="J895" s="16"/>
      <c r="K895" s="16"/>
      <c r="L895" s="16"/>
      <c r="M895" s="16"/>
      <c r="N895" s="16"/>
      <c r="O895" s="16"/>
      <c r="P895" s="16"/>
      <c r="Q895" s="16"/>
      <c r="R895" s="16"/>
      <c r="S895" s="16"/>
      <c r="T895" s="16"/>
      <c r="U895" s="16"/>
      <c r="V895" s="16"/>
    </row>
    <row r="896" spans="1:22" ht="15.75" customHeight="1" x14ac:dyDescent="0.25">
      <c r="A896" s="16"/>
      <c r="B896" s="16"/>
      <c r="C896" s="16"/>
      <c r="D896" s="16"/>
      <c r="E896" s="16"/>
      <c r="F896" s="16"/>
      <c r="G896" s="16"/>
      <c r="H896" s="16"/>
      <c r="I896" s="16"/>
      <c r="J896" s="16"/>
      <c r="K896" s="16"/>
      <c r="L896" s="16"/>
      <c r="M896" s="16"/>
      <c r="N896" s="16"/>
      <c r="O896" s="16"/>
      <c r="P896" s="16"/>
      <c r="Q896" s="16"/>
      <c r="R896" s="16"/>
      <c r="S896" s="16"/>
      <c r="T896" s="16"/>
      <c r="U896" s="16"/>
      <c r="V896" s="16"/>
    </row>
    <row r="897" spans="1:22" ht="15.75" customHeight="1" x14ac:dyDescent="0.25">
      <c r="A897" s="16"/>
      <c r="B897" s="16"/>
      <c r="C897" s="16"/>
      <c r="D897" s="16"/>
      <c r="E897" s="16"/>
      <c r="F897" s="16"/>
      <c r="G897" s="16"/>
      <c r="H897" s="16"/>
      <c r="I897" s="16"/>
      <c r="J897" s="16"/>
      <c r="K897" s="16"/>
      <c r="L897" s="16"/>
      <c r="M897" s="16"/>
      <c r="N897" s="16"/>
      <c r="O897" s="16"/>
      <c r="P897" s="16"/>
      <c r="Q897" s="16"/>
      <c r="R897" s="16"/>
      <c r="S897" s="16"/>
      <c r="T897" s="16"/>
      <c r="U897" s="16"/>
      <c r="V897" s="16"/>
    </row>
    <row r="898" spans="1:22" ht="15.75" customHeight="1" x14ac:dyDescent="0.25">
      <c r="A898" s="16"/>
      <c r="B898" s="16"/>
      <c r="C898" s="16"/>
      <c r="D898" s="16"/>
      <c r="E898" s="16"/>
      <c r="F898" s="16"/>
      <c r="G898" s="16"/>
      <c r="H898" s="16"/>
      <c r="I898" s="16"/>
      <c r="J898" s="16"/>
      <c r="K898" s="16"/>
      <c r="L898" s="16"/>
      <c r="M898" s="16"/>
      <c r="N898" s="16"/>
      <c r="O898" s="16"/>
      <c r="P898" s="16"/>
      <c r="Q898" s="16"/>
      <c r="R898" s="16"/>
      <c r="S898" s="16"/>
      <c r="T898" s="16"/>
      <c r="U898" s="16"/>
      <c r="V898" s="16"/>
    </row>
    <row r="899" spans="1:22" ht="15.75" customHeight="1" x14ac:dyDescent="0.25">
      <c r="A899" s="16"/>
      <c r="B899" s="16"/>
      <c r="C899" s="16"/>
      <c r="D899" s="16"/>
      <c r="E899" s="16"/>
      <c r="F899" s="16"/>
      <c r="G899" s="16"/>
      <c r="H899" s="16"/>
      <c r="I899" s="16"/>
      <c r="J899" s="16"/>
      <c r="K899" s="16"/>
      <c r="L899" s="16"/>
      <c r="M899" s="16"/>
      <c r="N899" s="16"/>
      <c r="O899" s="16"/>
      <c r="P899" s="16"/>
      <c r="Q899" s="16"/>
      <c r="R899" s="16"/>
      <c r="S899" s="16"/>
      <c r="T899" s="16"/>
      <c r="U899" s="16"/>
      <c r="V899" s="16"/>
    </row>
    <row r="900" spans="1:22" ht="15.75" customHeight="1" x14ac:dyDescent="0.25">
      <c r="A900" s="16"/>
      <c r="B900" s="16"/>
      <c r="C900" s="16"/>
      <c r="D900" s="16"/>
      <c r="E900" s="16"/>
      <c r="F900" s="16"/>
      <c r="G900" s="16"/>
      <c r="H900" s="16"/>
      <c r="I900" s="16"/>
      <c r="J900" s="16"/>
      <c r="K900" s="16"/>
      <c r="L900" s="16"/>
      <c r="M900" s="16"/>
      <c r="N900" s="16"/>
      <c r="O900" s="16"/>
      <c r="P900" s="16"/>
      <c r="Q900" s="16"/>
      <c r="R900" s="16"/>
      <c r="S900" s="16"/>
      <c r="T900" s="16"/>
      <c r="U900" s="16"/>
      <c r="V900" s="16"/>
    </row>
    <row r="901" spans="1:22" ht="15.75" customHeight="1" x14ac:dyDescent="0.25">
      <c r="A901" s="16"/>
      <c r="B901" s="16"/>
      <c r="C901" s="16"/>
      <c r="D901" s="16"/>
      <c r="E901" s="16"/>
      <c r="F901" s="16"/>
      <c r="G901" s="16"/>
      <c r="H901" s="16"/>
      <c r="I901" s="16"/>
      <c r="J901" s="16"/>
      <c r="K901" s="16"/>
      <c r="L901" s="16"/>
      <c r="M901" s="16"/>
      <c r="N901" s="16"/>
      <c r="O901" s="16"/>
      <c r="P901" s="16"/>
      <c r="Q901" s="16"/>
      <c r="R901" s="16"/>
      <c r="S901" s="16"/>
      <c r="T901" s="16"/>
      <c r="U901" s="16"/>
      <c r="V901" s="16"/>
    </row>
    <row r="902" spans="1:22" ht="15.75" customHeight="1" x14ac:dyDescent="0.25">
      <c r="A902" s="16"/>
      <c r="B902" s="16"/>
      <c r="C902" s="16"/>
      <c r="D902" s="16"/>
      <c r="E902" s="16"/>
      <c r="F902" s="16"/>
      <c r="G902" s="16"/>
      <c r="H902" s="16"/>
      <c r="I902" s="16"/>
      <c r="J902" s="16"/>
      <c r="K902" s="16"/>
      <c r="L902" s="16"/>
      <c r="M902" s="16"/>
      <c r="N902" s="16"/>
      <c r="O902" s="16"/>
      <c r="P902" s="16"/>
      <c r="Q902" s="16"/>
      <c r="R902" s="16"/>
      <c r="S902" s="16"/>
      <c r="T902" s="16"/>
      <c r="U902" s="16"/>
      <c r="V902" s="16"/>
    </row>
    <row r="903" spans="1:22" ht="15.75" customHeight="1" x14ac:dyDescent="0.25">
      <c r="A903" s="16"/>
      <c r="B903" s="16"/>
      <c r="C903" s="16"/>
      <c r="D903" s="16"/>
      <c r="E903" s="16"/>
      <c r="F903" s="16"/>
      <c r="G903" s="16"/>
      <c r="H903" s="16"/>
      <c r="I903" s="16"/>
      <c r="J903" s="16"/>
      <c r="K903" s="16"/>
      <c r="L903" s="16"/>
      <c r="M903" s="16"/>
      <c r="N903" s="16"/>
      <c r="O903" s="16"/>
      <c r="P903" s="16"/>
      <c r="Q903" s="16"/>
      <c r="R903" s="16"/>
      <c r="S903" s="16"/>
      <c r="T903" s="16"/>
      <c r="U903" s="16"/>
      <c r="V903" s="16"/>
    </row>
    <row r="904" spans="1:22" ht="15.75" customHeight="1" x14ac:dyDescent="0.25">
      <c r="A904" s="16"/>
      <c r="B904" s="16"/>
      <c r="C904" s="16"/>
      <c r="D904" s="16"/>
      <c r="E904" s="16"/>
      <c r="F904" s="16"/>
      <c r="G904" s="16"/>
      <c r="H904" s="16"/>
      <c r="I904" s="16"/>
      <c r="J904" s="16"/>
      <c r="K904" s="16"/>
      <c r="L904" s="16"/>
      <c r="M904" s="16"/>
      <c r="N904" s="16"/>
      <c r="O904" s="16"/>
      <c r="P904" s="16"/>
      <c r="Q904" s="16"/>
      <c r="R904" s="16"/>
      <c r="S904" s="16"/>
      <c r="T904" s="16"/>
      <c r="U904" s="16"/>
      <c r="V904" s="16"/>
    </row>
    <row r="905" spans="1:22" ht="15.75" customHeight="1" x14ac:dyDescent="0.25">
      <c r="A905" s="16"/>
      <c r="B905" s="16"/>
      <c r="C905" s="16"/>
      <c r="D905" s="16"/>
      <c r="E905" s="16"/>
      <c r="F905" s="16"/>
      <c r="G905" s="16"/>
      <c r="H905" s="16"/>
      <c r="I905" s="16"/>
      <c r="J905" s="16"/>
      <c r="K905" s="16"/>
      <c r="L905" s="16"/>
      <c r="M905" s="16"/>
      <c r="N905" s="16"/>
      <c r="O905" s="16"/>
      <c r="P905" s="16"/>
      <c r="Q905" s="16"/>
      <c r="R905" s="16"/>
      <c r="S905" s="16"/>
      <c r="T905" s="16"/>
      <c r="U905" s="16"/>
      <c r="V905" s="16"/>
    </row>
    <row r="906" spans="1:22" ht="15.75" customHeight="1" x14ac:dyDescent="0.25">
      <c r="A906" s="16"/>
      <c r="B906" s="16"/>
      <c r="C906" s="16"/>
      <c r="D906" s="16"/>
      <c r="E906" s="16"/>
      <c r="F906" s="16"/>
      <c r="G906" s="16"/>
      <c r="H906" s="16"/>
      <c r="I906" s="16"/>
      <c r="J906" s="16"/>
      <c r="K906" s="16"/>
      <c r="L906" s="16"/>
      <c r="M906" s="16"/>
      <c r="N906" s="16"/>
      <c r="O906" s="16"/>
      <c r="P906" s="16"/>
      <c r="Q906" s="16"/>
      <c r="R906" s="16"/>
      <c r="S906" s="16"/>
      <c r="T906" s="16"/>
      <c r="U906" s="16"/>
      <c r="V906" s="16"/>
    </row>
    <row r="907" spans="1:22" ht="15.75" customHeight="1" x14ac:dyDescent="0.25">
      <c r="A907" s="16"/>
      <c r="B907" s="16"/>
      <c r="C907" s="16"/>
      <c r="D907" s="16"/>
      <c r="E907" s="16"/>
      <c r="F907" s="16"/>
      <c r="G907" s="16"/>
      <c r="H907" s="16"/>
      <c r="I907" s="16"/>
      <c r="J907" s="16"/>
      <c r="K907" s="16"/>
      <c r="L907" s="16"/>
      <c r="M907" s="16"/>
      <c r="N907" s="16"/>
      <c r="O907" s="16"/>
      <c r="P907" s="16"/>
      <c r="Q907" s="16"/>
      <c r="R907" s="16"/>
      <c r="S907" s="16"/>
      <c r="T907" s="16"/>
      <c r="U907" s="16"/>
      <c r="V907" s="16"/>
    </row>
    <row r="908" spans="1:22" ht="15.75" customHeight="1" x14ac:dyDescent="0.25">
      <c r="A908" s="16"/>
      <c r="B908" s="16"/>
      <c r="C908" s="16"/>
      <c r="D908" s="16"/>
      <c r="E908" s="16"/>
      <c r="F908" s="16"/>
      <c r="G908" s="16"/>
      <c r="H908" s="16"/>
      <c r="I908" s="16"/>
      <c r="J908" s="16"/>
      <c r="K908" s="16"/>
      <c r="L908" s="16"/>
      <c r="M908" s="16"/>
      <c r="N908" s="16"/>
      <c r="O908" s="16"/>
      <c r="P908" s="16"/>
      <c r="Q908" s="16"/>
      <c r="R908" s="16"/>
      <c r="S908" s="16"/>
      <c r="T908" s="16"/>
      <c r="U908" s="16"/>
      <c r="V908" s="16"/>
    </row>
    <row r="909" spans="1:22" ht="15.75" customHeight="1" x14ac:dyDescent="0.25">
      <c r="A909" s="16"/>
      <c r="B909" s="16"/>
      <c r="C909" s="16"/>
      <c r="D909" s="16"/>
      <c r="E909" s="16"/>
      <c r="F909" s="16"/>
      <c r="G909" s="16"/>
      <c r="H909" s="16"/>
      <c r="I909" s="16"/>
      <c r="J909" s="16"/>
      <c r="K909" s="16"/>
      <c r="L909" s="16"/>
      <c r="M909" s="16"/>
      <c r="N909" s="16"/>
      <c r="O909" s="16"/>
      <c r="P909" s="16"/>
      <c r="Q909" s="16"/>
      <c r="R909" s="16"/>
      <c r="S909" s="16"/>
      <c r="T909" s="16"/>
      <c r="U909" s="16"/>
      <c r="V909" s="16"/>
    </row>
    <row r="910" spans="1:22" ht="15.75" customHeight="1" x14ac:dyDescent="0.25">
      <c r="A910" s="16"/>
      <c r="B910" s="16"/>
      <c r="C910" s="16"/>
      <c r="D910" s="16"/>
      <c r="E910" s="16"/>
      <c r="F910" s="16"/>
      <c r="G910" s="16"/>
      <c r="H910" s="16"/>
      <c r="I910" s="16"/>
      <c r="J910" s="16"/>
      <c r="K910" s="16"/>
      <c r="L910" s="16"/>
      <c r="M910" s="16"/>
      <c r="N910" s="16"/>
      <c r="O910" s="16"/>
      <c r="P910" s="16"/>
      <c r="Q910" s="16"/>
      <c r="R910" s="16"/>
      <c r="S910" s="16"/>
      <c r="T910" s="16"/>
      <c r="U910" s="16"/>
      <c r="V910" s="16"/>
    </row>
    <row r="911" spans="1:22" ht="15.75" customHeight="1" x14ac:dyDescent="0.25">
      <c r="A911" s="16"/>
      <c r="B911" s="16"/>
      <c r="C911" s="16"/>
      <c r="D911" s="16"/>
      <c r="E911" s="16"/>
      <c r="F911" s="16"/>
      <c r="G911" s="16"/>
      <c r="H911" s="16"/>
      <c r="I911" s="16"/>
      <c r="J911" s="16"/>
      <c r="K911" s="16"/>
      <c r="L911" s="16"/>
      <c r="M911" s="16"/>
      <c r="N911" s="16"/>
      <c r="O911" s="16"/>
      <c r="P911" s="16"/>
      <c r="Q911" s="16"/>
      <c r="R911" s="16"/>
      <c r="S911" s="16"/>
      <c r="T911" s="16"/>
      <c r="U911" s="16"/>
      <c r="V911" s="16"/>
    </row>
    <row r="912" spans="1:22" ht="15.75" customHeight="1" x14ac:dyDescent="0.25">
      <c r="A912" s="16"/>
      <c r="B912" s="16"/>
      <c r="C912" s="16"/>
      <c r="D912" s="16"/>
      <c r="E912" s="16"/>
      <c r="F912" s="16"/>
      <c r="G912" s="16"/>
      <c r="H912" s="16"/>
      <c r="I912" s="16"/>
      <c r="J912" s="16"/>
      <c r="K912" s="16"/>
      <c r="L912" s="16"/>
      <c r="M912" s="16"/>
      <c r="N912" s="16"/>
      <c r="O912" s="16"/>
      <c r="P912" s="16"/>
      <c r="Q912" s="16"/>
      <c r="R912" s="16"/>
      <c r="S912" s="16"/>
      <c r="T912" s="16"/>
      <c r="U912" s="16"/>
      <c r="V912" s="16"/>
    </row>
    <row r="913" spans="1:22" ht="15.75" customHeight="1" x14ac:dyDescent="0.25">
      <c r="A913" s="16"/>
      <c r="B913" s="16"/>
      <c r="C913" s="16"/>
      <c r="D913" s="16"/>
      <c r="E913" s="16"/>
      <c r="F913" s="16"/>
      <c r="G913" s="16"/>
      <c r="H913" s="16"/>
      <c r="I913" s="16"/>
      <c r="J913" s="16"/>
      <c r="K913" s="16"/>
      <c r="L913" s="16"/>
      <c r="M913" s="16"/>
      <c r="N913" s="16"/>
      <c r="O913" s="16"/>
      <c r="P913" s="16"/>
      <c r="Q913" s="16"/>
      <c r="R913" s="16"/>
      <c r="S913" s="16"/>
      <c r="T913" s="16"/>
      <c r="U913" s="16"/>
      <c r="V913" s="16"/>
    </row>
    <row r="914" spans="1:22" ht="15.75" customHeight="1" x14ac:dyDescent="0.25">
      <c r="A914" s="16"/>
      <c r="B914" s="16"/>
      <c r="C914" s="16"/>
      <c r="D914" s="16"/>
      <c r="E914" s="16"/>
      <c r="F914" s="16"/>
      <c r="G914" s="16"/>
      <c r="H914" s="16"/>
      <c r="I914" s="16"/>
      <c r="J914" s="16"/>
      <c r="K914" s="16"/>
      <c r="L914" s="16"/>
      <c r="M914" s="16"/>
      <c r="N914" s="16"/>
      <c r="O914" s="16"/>
      <c r="P914" s="16"/>
      <c r="Q914" s="16"/>
      <c r="R914" s="16"/>
      <c r="S914" s="16"/>
      <c r="T914" s="16"/>
      <c r="U914" s="16"/>
      <c r="V914" s="16"/>
    </row>
    <row r="915" spans="1:22" ht="15.75" customHeight="1" x14ac:dyDescent="0.25">
      <c r="A915" s="16"/>
      <c r="B915" s="16"/>
      <c r="C915" s="16"/>
      <c r="D915" s="16"/>
      <c r="E915" s="16"/>
      <c r="F915" s="16"/>
      <c r="G915" s="16"/>
      <c r="H915" s="16"/>
      <c r="I915" s="16"/>
      <c r="J915" s="16"/>
      <c r="K915" s="16"/>
      <c r="L915" s="16"/>
      <c r="M915" s="16"/>
      <c r="N915" s="16"/>
      <c r="O915" s="16"/>
      <c r="P915" s="16"/>
      <c r="Q915" s="16"/>
      <c r="R915" s="16"/>
      <c r="S915" s="16"/>
      <c r="T915" s="16"/>
      <c r="U915" s="16"/>
      <c r="V915" s="16"/>
    </row>
    <row r="916" spans="1:22" ht="15.75" customHeight="1" x14ac:dyDescent="0.25">
      <c r="A916" s="16"/>
      <c r="B916" s="16"/>
      <c r="C916" s="16"/>
      <c r="D916" s="16"/>
      <c r="E916" s="16"/>
      <c r="F916" s="16"/>
      <c r="G916" s="16"/>
      <c r="H916" s="16"/>
      <c r="I916" s="16"/>
      <c r="J916" s="16"/>
      <c r="K916" s="16"/>
      <c r="L916" s="16"/>
      <c r="M916" s="16"/>
      <c r="N916" s="16"/>
      <c r="O916" s="16"/>
      <c r="P916" s="16"/>
      <c r="Q916" s="16"/>
      <c r="R916" s="16"/>
      <c r="S916" s="16"/>
      <c r="T916" s="16"/>
      <c r="U916" s="16"/>
      <c r="V916" s="16"/>
    </row>
    <row r="917" spans="1:22" ht="15.75" customHeight="1" x14ac:dyDescent="0.25">
      <c r="A917" s="16"/>
      <c r="B917" s="16"/>
      <c r="C917" s="16"/>
      <c r="D917" s="16"/>
      <c r="E917" s="16"/>
      <c r="F917" s="16"/>
      <c r="G917" s="16"/>
      <c r="H917" s="16"/>
      <c r="I917" s="16"/>
      <c r="J917" s="16"/>
      <c r="K917" s="16"/>
      <c r="L917" s="16"/>
      <c r="M917" s="16"/>
      <c r="N917" s="16"/>
      <c r="O917" s="16"/>
      <c r="P917" s="16"/>
      <c r="Q917" s="16"/>
      <c r="R917" s="16"/>
      <c r="S917" s="16"/>
      <c r="T917" s="16"/>
      <c r="U917" s="16"/>
      <c r="V917" s="16"/>
    </row>
    <row r="918" spans="1:22" ht="15.75" customHeight="1" x14ac:dyDescent="0.25">
      <c r="A918" s="16"/>
      <c r="B918" s="16"/>
      <c r="C918" s="16"/>
      <c r="D918" s="16"/>
      <c r="E918" s="16"/>
      <c r="F918" s="16"/>
      <c r="G918" s="16"/>
      <c r="H918" s="16"/>
      <c r="I918" s="16"/>
      <c r="J918" s="16"/>
      <c r="K918" s="16"/>
      <c r="L918" s="16"/>
      <c r="M918" s="16"/>
      <c r="N918" s="16"/>
      <c r="O918" s="16"/>
      <c r="P918" s="16"/>
      <c r="Q918" s="16"/>
      <c r="R918" s="16"/>
      <c r="S918" s="16"/>
      <c r="T918" s="16"/>
      <c r="U918" s="16"/>
      <c r="V918" s="16"/>
    </row>
    <row r="919" spans="1:22" ht="15.75" customHeight="1" x14ac:dyDescent="0.25">
      <c r="A919" s="16"/>
      <c r="B919" s="16"/>
      <c r="C919" s="16"/>
      <c r="D919" s="16"/>
      <c r="E919" s="16"/>
      <c r="F919" s="16"/>
      <c r="G919" s="16"/>
      <c r="H919" s="16"/>
      <c r="I919" s="16"/>
      <c r="J919" s="16"/>
      <c r="K919" s="16"/>
      <c r="L919" s="16"/>
      <c r="M919" s="16"/>
      <c r="N919" s="16"/>
      <c r="O919" s="16"/>
      <c r="P919" s="16"/>
      <c r="Q919" s="16"/>
      <c r="R919" s="16"/>
      <c r="S919" s="16"/>
      <c r="T919" s="16"/>
      <c r="U919" s="16"/>
      <c r="V919" s="16"/>
    </row>
    <row r="920" spans="1:22" ht="15.75" customHeight="1" x14ac:dyDescent="0.25">
      <c r="A920" s="16"/>
      <c r="B920" s="16"/>
      <c r="C920" s="16"/>
      <c r="D920" s="16"/>
      <c r="E920" s="16"/>
      <c r="F920" s="16"/>
      <c r="G920" s="16"/>
      <c r="H920" s="16"/>
      <c r="I920" s="16"/>
      <c r="J920" s="16"/>
      <c r="K920" s="16"/>
      <c r="L920" s="16"/>
      <c r="M920" s="16"/>
      <c r="N920" s="16"/>
      <c r="O920" s="16"/>
      <c r="P920" s="16"/>
      <c r="Q920" s="16"/>
      <c r="R920" s="16"/>
      <c r="S920" s="16"/>
      <c r="T920" s="16"/>
      <c r="U920" s="16"/>
      <c r="V920" s="16"/>
    </row>
    <row r="921" spans="1:22" ht="15.75" customHeight="1" x14ac:dyDescent="0.25">
      <c r="A921" s="16"/>
      <c r="B921" s="16"/>
      <c r="C921" s="16"/>
      <c r="D921" s="16"/>
      <c r="E921" s="16"/>
      <c r="F921" s="16"/>
      <c r="G921" s="16"/>
      <c r="H921" s="16"/>
      <c r="I921" s="16"/>
      <c r="J921" s="16"/>
      <c r="K921" s="16"/>
      <c r="L921" s="16"/>
      <c r="M921" s="16"/>
      <c r="N921" s="16"/>
      <c r="O921" s="16"/>
      <c r="P921" s="16"/>
      <c r="Q921" s="16"/>
      <c r="R921" s="16"/>
      <c r="S921" s="16"/>
      <c r="T921" s="16"/>
      <c r="U921" s="16"/>
      <c r="V921" s="16"/>
    </row>
    <row r="922" spans="1:22" ht="15.75" customHeight="1" x14ac:dyDescent="0.25">
      <c r="A922" s="16"/>
      <c r="B922" s="16"/>
      <c r="C922" s="16"/>
      <c r="D922" s="16"/>
      <c r="E922" s="16"/>
      <c r="F922" s="16"/>
      <c r="G922" s="16"/>
      <c r="H922" s="16"/>
      <c r="I922" s="16"/>
      <c r="J922" s="16"/>
      <c r="K922" s="16"/>
      <c r="L922" s="16"/>
      <c r="M922" s="16"/>
      <c r="N922" s="16"/>
      <c r="O922" s="16"/>
      <c r="P922" s="16"/>
      <c r="Q922" s="16"/>
      <c r="R922" s="16"/>
      <c r="S922" s="16"/>
      <c r="T922" s="16"/>
      <c r="U922" s="16"/>
      <c r="V922" s="16"/>
    </row>
    <row r="923" spans="1:22" ht="15.75" customHeight="1" x14ac:dyDescent="0.25">
      <c r="A923" s="16"/>
      <c r="B923" s="16"/>
      <c r="C923" s="16"/>
      <c r="D923" s="16"/>
      <c r="E923" s="16"/>
      <c r="F923" s="16"/>
      <c r="G923" s="16"/>
      <c r="H923" s="16"/>
      <c r="I923" s="16"/>
      <c r="J923" s="16"/>
      <c r="K923" s="16"/>
      <c r="L923" s="16"/>
      <c r="M923" s="16"/>
      <c r="N923" s="16"/>
      <c r="O923" s="16"/>
      <c r="P923" s="16"/>
      <c r="Q923" s="16"/>
      <c r="R923" s="16"/>
      <c r="S923" s="16"/>
      <c r="T923" s="16"/>
      <c r="U923" s="16"/>
      <c r="V923" s="16"/>
    </row>
    <row r="924" spans="1:22" ht="15.75" customHeight="1" x14ac:dyDescent="0.25">
      <c r="A924" s="16"/>
      <c r="B924" s="16"/>
      <c r="C924" s="16"/>
      <c r="D924" s="16"/>
      <c r="E924" s="16"/>
      <c r="F924" s="16"/>
      <c r="G924" s="16"/>
      <c r="H924" s="16"/>
      <c r="I924" s="16"/>
      <c r="J924" s="16"/>
      <c r="K924" s="16"/>
      <c r="L924" s="16"/>
      <c r="M924" s="16"/>
      <c r="N924" s="16"/>
      <c r="O924" s="16"/>
      <c r="P924" s="16"/>
      <c r="Q924" s="16"/>
      <c r="R924" s="16"/>
      <c r="S924" s="16"/>
      <c r="T924" s="16"/>
      <c r="U924" s="16"/>
      <c r="V924" s="16"/>
    </row>
    <row r="925" spans="1:22" ht="15.75" customHeight="1" x14ac:dyDescent="0.25">
      <c r="A925" s="16"/>
      <c r="B925" s="16"/>
      <c r="C925" s="16"/>
      <c r="D925" s="16"/>
      <c r="E925" s="16"/>
      <c r="F925" s="16"/>
      <c r="G925" s="16"/>
      <c r="H925" s="16"/>
      <c r="I925" s="16"/>
      <c r="J925" s="16"/>
      <c r="K925" s="16"/>
      <c r="L925" s="16"/>
      <c r="M925" s="16"/>
      <c r="N925" s="16"/>
      <c r="O925" s="16"/>
      <c r="P925" s="16"/>
      <c r="Q925" s="16"/>
      <c r="R925" s="16"/>
      <c r="S925" s="16"/>
      <c r="T925" s="16"/>
      <c r="U925" s="16"/>
      <c r="V925" s="16"/>
    </row>
    <row r="926" spans="1:22" ht="15.75" customHeight="1" x14ac:dyDescent="0.25">
      <c r="A926" s="16"/>
      <c r="B926" s="16"/>
      <c r="C926" s="16"/>
      <c r="D926" s="16"/>
      <c r="E926" s="16"/>
      <c r="F926" s="16"/>
      <c r="G926" s="16"/>
      <c r="H926" s="16"/>
      <c r="I926" s="16"/>
      <c r="J926" s="16"/>
      <c r="K926" s="16"/>
      <c r="L926" s="16"/>
      <c r="M926" s="16"/>
      <c r="N926" s="16"/>
      <c r="O926" s="16"/>
      <c r="P926" s="16"/>
      <c r="Q926" s="16"/>
      <c r="R926" s="16"/>
      <c r="S926" s="16"/>
      <c r="T926" s="16"/>
      <c r="U926" s="16"/>
      <c r="V926" s="16"/>
    </row>
    <row r="927" spans="1:22" ht="15.75" customHeight="1" x14ac:dyDescent="0.25">
      <c r="A927" s="16"/>
      <c r="B927" s="16"/>
      <c r="C927" s="16"/>
      <c r="D927" s="16"/>
      <c r="E927" s="16"/>
      <c r="F927" s="16"/>
      <c r="G927" s="16"/>
      <c r="H927" s="16"/>
      <c r="I927" s="16"/>
      <c r="J927" s="16"/>
      <c r="K927" s="16"/>
      <c r="L927" s="16"/>
      <c r="M927" s="16"/>
      <c r="N927" s="16"/>
      <c r="O927" s="16"/>
      <c r="P927" s="16"/>
      <c r="Q927" s="16"/>
      <c r="R927" s="16"/>
      <c r="S927" s="16"/>
      <c r="T927" s="16"/>
      <c r="U927" s="16"/>
      <c r="V927" s="16"/>
    </row>
    <row r="928" spans="1:22" ht="15.75" customHeight="1" x14ac:dyDescent="0.25">
      <c r="A928" s="16"/>
      <c r="B928" s="16"/>
      <c r="C928" s="16"/>
      <c r="D928" s="16"/>
      <c r="E928" s="16"/>
      <c r="F928" s="16"/>
      <c r="G928" s="16"/>
      <c r="H928" s="16"/>
      <c r="I928" s="16"/>
      <c r="J928" s="16"/>
      <c r="K928" s="16"/>
      <c r="L928" s="16"/>
      <c r="M928" s="16"/>
      <c r="N928" s="16"/>
      <c r="O928" s="16"/>
      <c r="P928" s="16"/>
      <c r="Q928" s="16"/>
      <c r="R928" s="16"/>
      <c r="S928" s="16"/>
      <c r="T928" s="16"/>
      <c r="U928" s="16"/>
      <c r="V928" s="16"/>
    </row>
    <row r="929" spans="1:22" ht="15.75" customHeight="1" x14ac:dyDescent="0.25">
      <c r="A929" s="16"/>
      <c r="B929" s="16"/>
      <c r="C929" s="16"/>
      <c r="D929" s="16"/>
      <c r="E929" s="16"/>
      <c r="F929" s="16"/>
      <c r="G929" s="16"/>
      <c r="H929" s="16"/>
      <c r="I929" s="16"/>
      <c r="J929" s="16"/>
      <c r="K929" s="16"/>
      <c r="L929" s="16"/>
      <c r="M929" s="16"/>
      <c r="N929" s="16"/>
      <c r="O929" s="16"/>
      <c r="P929" s="16"/>
      <c r="Q929" s="16"/>
      <c r="R929" s="16"/>
      <c r="S929" s="16"/>
      <c r="T929" s="16"/>
      <c r="U929" s="16"/>
      <c r="V929" s="16"/>
    </row>
    <row r="930" spans="1:22" ht="15.75" customHeight="1" x14ac:dyDescent="0.25">
      <c r="A930" s="16"/>
      <c r="B930" s="16"/>
      <c r="C930" s="16"/>
      <c r="D930" s="16"/>
      <c r="E930" s="16"/>
      <c r="F930" s="16"/>
      <c r="G930" s="16"/>
      <c r="H930" s="16"/>
      <c r="I930" s="16"/>
      <c r="J930" s="16"/>
      <c r="K930" s="16"/>
      <c r="L930" s="16"/>
      <c r="M930" s="16"/>
      <c r="N930" s="16"/>
      <c r="O930" s="16"/>
      <c r="P930" s="16"/>
      <c r="Q930" s="16"/>
      <c r="R930" s="16"/>
      <c r="S930" s="16"/>
      <c r="T930" s="16"/>
      <c r="U930" s="16"/>
      <c r="V930" s="16"/>
    </row>
    <row r="931" spans="1:22" ht="15.75" customHeight="1" x14ac:dyDescent="0.25">
      <c r="A931" s="16"/>
      <c r="B931" s="16"/>
      <c r="C931" s="16"/>
      <c r="D931" s="16"/>
      <c r="E931" s="16"/>
      <c r="F931" s="16"/>
      <c r="G931" s="16"/>
      <c r="H931" s="16"/>
      <c r="I931" s="16"/>
      <c r="J931" s="16"/>
      <c r="K931" s="16"/>
      <c r="L931" s="16"/>
      <c r="M931" s="16"/>
      <c r="N931" s="16"/>
      <c r="O931" s="16"/>
      <c r="P931" s="16"/>
      <c r="Q931" s="16"/>
      <c r="R931" s="16"/>
      <c r="S931" s="16"/>
      <c r="T931" s="16"/>
      <c r="U931" s="16"/>
      <c r="V931" s="16"/>
    </row>
    <row r="932" spans="1:22" ht="15.75" customHeight="1" x14ac:dyDescent="0.25">
      <c r="A932" s="16"/>
      <c r="B932" s="16"/>
      <c r="C932" s="16"/>
      <c r="D932" s="16"/>
      <c r="E932" s="16"/>
      <c r="F932" s="16"/>
      <c r="G932" s="16"/>
      <c r="H932" s="16"/>
      <c r="I932" s="16"/>
      <c r="J932" s="16"/>
      <c r="K932" s="16"/>
      <c r="L932" s="16"/>
      <c r="M932" s="16"/>
      <c r="N932" s="16"/>
      <c r="O932" s="16"/>
      <c r="P932" s="16"/>
      <c r="Q932" s="16"/>
      <c r="R932" s="16"/>
      <c r="S932" s="16"/>
      <c r="T932" s="16"/>
      <c r="U932" s="16"/>
      <c r="V932" s="16"/>
    </row>
    <row r="933" spans="1:22" ht="15.75" customHeight="1" x14ac:dyDescent="0.25">
      <c r="A933" s="16"/>
      <c r="B933" s="16"/>
      <c r="C933" s="16"/>
      <c r="D933" s="16"/>
      <c r="E933" s="16"/>
      <c r="F933" s="16"/>
      <c r="G933" s="16"/>
      <c r="H933" s="16"/>
      <c r="I933" s="16"/>
      <c r="J933" s="16"/>
      <c r="K933" s="16"/>
      <c r="L933" s="16"/>
      <c r="M933" s="16"/>
      <c r="N933" s="16"/>
      <c r="O933" s="16"/>
      <c r="P933" s="16"/>
      <c r="Q933" s="16"/>
      <c r="R933" s="16"/>
      <c r="S933" s="16"/>
      <c r="T933" s="16"/>
      <c r="U933" s="16"/>
      <c r="V933" s="16"/>
    </row>
    <row r="934" spans="1:22" ht="15.75" customHeight="1" x14ac:dyDescent="0.25">
      <c r="A934" s="16"/>
      <c r="B934" s="16"/>
      <c r="C934" s="16"/>
      <c r="D934" s="16"/>
      <c r="E934" s="16"/>
      <c r="F934" s="16"/>
      <c r="G934" s="16"/>
      <c r="H934" s="16"/>
      <c r="I934" s="16"/>
      <c r="J934" s="16"/>
      <c r="K934" s="16"/>
      <c r="L934" s="16"/>
      <c r="M934" s="16"/>
      <c r="N934" s="16"/>
      <c r="O934" s="16"/>
      <c r="P934" s="16"/>
      <c r="Q934" s="16"/>
      <c r="R934" s="16"/>
      <c r="S934" s="16"/>
      <c r="T934" s="16"/>
      <c r="U934" s="16"/>
      <c r="V934" s="16"/>
    </row>
    <row r="935" spans="1:22" ht="15.75" customHeight="1" x14ac:dyDescent="0.25">
      <c r="A935" s="16"/>
      <c r="B935" s="16"/>
      <c r="C935" s="16"/>
      <c r="D935" s="16"/>
      <c r="E935" s="16"/>
      <c r="F935" s="16"/>
      <c r="G935" s="16"/>
      <c r="H935" s="16"/>
      <c r="I935" s="16"/>
      <c r="J935" s="16"/>
      <c r="K935" s="16"/>
      <c r="L935" s="16"/>
      <c r="M935" s="16"/>
      <c r="N935" s="16"/>
      <c r="O935" s="16"/>
      <c r="P935" s="16"/>
      <c r="Q935" s="16"/>
      <c r="R935" s="16"/>
      <c r="S935" s="16"/>
      <c r="T935" s="16"/>
      <c r="U935" s="16"/>
      <c r="V935" s="16"/>
    </row>
    <row r="936" spans="1:22" ht="15.75" customHeight="1" x14ac:dyDescent="0.25">
      <c r="A936" s="16"/>
      <c r="B936" s="16"/>
      <c r="C936" s="16"/>
      <c r="D936" s="16"/>
      <c r="E936" s="16"/>
      <c r="F936" s="16"/>
      <c r="G936" s="16"/>
      <c r="H936" s="16"/>
      <c r="I936" s="16"/>
      <c r="J936" s="16"/>
      <c r="K936" s="16"/>
      <c r="L936" s="16"/>
      <c r="M936" s="16"/>
      <c r="N936" s="16"/>
      <c r="O936" s="16"/>
      <c r="P936" s="16"/>
      <c r="Q936" s="16"/>
      <c r="R936" s="16"/>
      <c r="S936" s="16"/>
      <c r="T936" s="16"/>
      <c r="U936" s="16"/>
      <c r="V936" s="16"/>
    </row>
    <row r="937" spans="1:22" ht="15.75" customHeight="1" x14ac:dyDescent="0.25">
      <c r="A937" s="16"/>
      <c r="B937" s="16"/>
      <c r="C937" s="16"/>
      <c r="D937" s="16"/>
      <c r="E937" s="16"/>
      <c r="F937" s="16"/>
      <c r="G937" s="16"/>
      <c r="H937" s="16"/>
      <c r="I937" s="16"/>
      <c r="J937" s="16"/>
      <c r="K937" s="16"/>
      <c r="L937" s="16"/>
      <c r="M937" s="16"/>
      <c r="N937" s="16"/>
      <c r="O937" s="16"/>
      <c r="P937" s="16"/>
      <c r="Q937" s="16"/>
      <c r="R937" s="16"/>
      <c r="S937" s="16"/>
      <c r="T937" s="16"/>
      <c r="U937" s="16"/>
      <c r="V937" s="16"/>
    </row>
    <row r="938" spans="1:22" ht="15.75" customHeight="1" x14ac:dyDescent="0.25">
      <c r="A938" s="16"/>
      <c r="B938" s="16"/>
      <c r="C938" s="16"/>
      <c r="D938" s="16"/>
      <c r="E938" s="16"/>
      <c r="F938" s="16"/>
      <c r="G938" s="16"/>
      <c r="H938" s="16"/>
      <c r="I938" s="16"/>
      <c r="J938" s="16"/>
      <c r="K938" s="16"/>
      <c r="L938" s="16"/>
      <c r="M938" s="16"/>
      <c r="N938" s="16"/>
      <c r="O938" s="16"/>
      <c r="P938" s="16"/>
      <c r="Q938" s="16"/>
      <c r="R938" s="16"/>
      <c r="S938" s="16"/>
      <c r="T938" s="16"/>
      <c r="U938" s="16"/>
      <c r="V938" s="16"/>
    </row>
    <row r="939" spans="1:22" ht="15.75" customHeight="1" x14ac:dyDescent="0.25">
      <c r="A939" s="16"/>
      <c r="B939" s="16"/>
      <c r="C939" s="16"/>
      <c r="D939" s="16"/>
      <c r="E939" s="16"/>
      <c r="F939" s="16"/>
      <c r="G939" s="16"/>
      <c r="H939" s="16"/>
      <c r="I939" s="16"/>
      <c r="J939" s="16"/>
      <c r="K939" s="16"/>
      <c r="L939" s="16"/>
      <c r="M939" s="16"/>
      <c r="N939" s="16"/>
      <c r="O939" s="16"/>
      <c r="P939" s="16"/>
      <c r="Q939" s="16"/>
      <c r="R939" s="16"/>
      <c r="S939" s="16"/>
      <c r="T939" s="16"/>
      <c r="U939" s="16"/>
      <c r="V939" s="16"/>
    </row>
    <row r="940" spans="1:22" ht="15.75" customHeight="1" x14ac:dyDescent="0.25">
      <c r="A940" s="16"/>
      <c r="B940" s="16"/>
      <c r="C940" s="16"/>
      <c r="D940" s="16"/>
      <c r="E940" s="16"/>
      <c r="F940" s="16"/>
      <c r="G940" s="16"/>
      <c r="H940" s="16"/>
      <c r="I940" s="16"/>
      <c r="J940" s="16"/>
      <c r="K940" s="16"/>
      <c r="L940" s="16"/>
      <c r="M940" s="16"/>
      <c r="N940" s="16"/>
      <c r="O940" s="16"/>
      <c r="P940" s="16"/>
      <c r="Q940" s="16"/>
      <c r="R940" s="16"/>
      <c r="S940" s="16"/>
      <c r="T940" s="16"/>
      <c r="U940" s="16"/>
      <c r="V940" s="16"/>
    </row>
    <row r="941" spans="1:22" ht="15.75" customHeight="1" x14ac:dyDescent="0.25">
      <c r="A941" s="16"/>
      <c r="B941" s="16"/>
      <c r="C941" s="16"/>
      <c r="D941" s="16"/>
      <c r="E941" s="16"/>
      <c r="F941" s="16"/>
      <c r="G941" s="16"/>
      <c r="H941" s="16"/>
      <c r="I941" s="16"/>
      <c r="J941" s="16"/>
      <c r="K941" s="16"/>
      <c r="L941" s="16"/>
      <c r="M941" s="16"/>
      <c r="N941" s="16"/>
      <c r="O941" s="16"/>
      <c r="P941" s="16"/>
      <c r="Q941" s="16"/>
      <c r="R941" s="16"/>
      <c r="S941" s="16"/>
      <c r="T941" s="16"/>
      <c r="U941" s="16"/>
      <c r="V941" s="16"/>
    </row>
    <row r="942" spans="1:22" ht="15.75" customHeight="1" x14ac:dyDescent="0.25">
      <c r="A942" s="16"/>
      <c r="B942" s="16"/>
      <c r="C942" s="16"/>
      <c r="D942" s="16"/>
      <c r="E942" s="16"/>
      <c r="F942" s="16"/>
      <c r="G942" s="16"/>
      <c r="H942" s="16"/>
      <c r="I942" s="16"/>
      <c r="J942" s="16"/>
      <c r="K942" s="16"/>
      <c r="L942" s="16"/>
      <c r="M942" s="16"/>
      <c r="N942" s="16"/>
      <c r="O942" s="16"/>
      <c r="P942" s="16"/>
      <c r="Q942" s="16"/>
      <c r="R942" s="16"/>
      <c r="S942" s="16"/>
      <c r="T942" s="16"/>
      <c r="U942" s="16"/>
      <c r="V942" s="16"/>
    </row>
    <row r="943" spans="1:22" ht="15.75" customHeight="1" x14ac:dyDescent="0.25">
      <c r="A943" s="16"/>
      <c r="B943" s="16"/>
      <c r="C943" s="16"/>
      <c r="D943" s="16"/>
      <c r="E943" s="16"/>
      <c r="F943" s="16"/>
      <c r="G943" s="16"/>
      <c r="H943" s="16"/>
      <c r="I943" s="16"/>
      <c r="J943" s="16"/>
      <c r="K943" s="16"/>
      <c r="L943" s="16"/>
      <c r="M943" s="16"/>
      <c r="N943" s="16"/>
      <c r="O943" s="16"/>
      <c r="P943" s="16"/>
      <c r="Q943" s="16"/>
      <c r="R943" s="16"/>
      <c r="S943" s="16"/>
      <c r="T943" s="16"/>
      <c r="U943" s="16"/>
      <c r="V943" s="16"/>
    </row>
    <row r="944" spans="1:22" ht="15.75" customHeight="1" x14ac:dyDescent="0.25">
      <c r="A944" s="16"/>
      <c r="B944" s="16"/>
      <c r="C944" s="16"/>
      <c r="D944" s="16"/>
      <c r="E944" s="16"/>
      <c r="F944" s="16"/>
      <c r="G944" s="16"/>
      <c r="H944" s="16"/>
      <c r="I944" s="16"/>
      <c r="J944" s="16"/>
      <c r="K944" s="16"/>
      <c r="L944" s="16"/>
      <c r="M944" s="16"/>
      <c r="N944" s="16"/>
      <c r="O944" s="16"/>
      <c r="P944" s="16"/>
      <c r="Q944" s="16"/>
      <c r="R944" s="16"/>
      <c r="S944" s="16"/>
      <c r="T944" s="16"/>
      <c r="U944" s="16"/>
      <c r="V944" s="16"/>
    </row>
    <row r="945" spans="1:22" ht="15.75" customHeight="1" x14ac:dyDescent="0.25">
      <c r="A945" s="16"/>
      <c r="B945" s="16"/>
      <c r="C945" s="16"/>
      <c r="D945" s="16"/>
      <c r="E945" s="16"/>
      <c r="F945" s="16"/>
      <c r="G945" s="16"/>
      <c r="H945" s="16"/>
      <c r="I945" s="16"/>
      <c r="J945" s="16"/>
      <c r="K945" s="16"/>
      <c r="L945" s="16"/>
      <c r="M945" s="16"/>
      <c r="N945" s="16"/>
      <c r="O945" s="16"/>
      <c r="P945" s="16"/>
      <c r="Q945" s="16"/>
      <c r="R945" s="16"/>
      <c r="S945" s="16"/>
      <c r="T945" s="16"/>
      <c r="U945" s="16"/>
      <c r="V945" s="16"/>
    </row>
    <row r="946" spans="1:22" ht="15.75" customHeight="1" x14ac:dyDescent="0.25">
      <c r="A946" s="16"/>
      <c r="B946" s="16"/>
      <c r="C946" s="16"/>
      <c r="D946" s="16"/>
      <c r="E946" s="16"/>
      <c r="F946" s="16"/>
      <c r="G946" s="16"/>
      <c r="H946" s="16"/>
      <c r="I946" s="16"/>
      <c r="J946" s="16"/>
      <c r="K946" s="16"/>
      <c r="L946" s="16"/>
      <c r="M946" s="16"/>
      <c r="N946" s="16"/>
      <c r="O946" s="16"/>
      <c r="P946" s="16"/>
      <c r="Q946" s="16"/>
      <c r="R946" s="16"/>
      <c r="S946" s="16"/>
      <c r="T946" s="16"/>
      <c r="U946" s="16"/>
      <c r="V946" s="16"/>
    </row>
    <row r="947" spans="1:22" ht="15.75" customHeight="1" x14ac:dyDescent="0.25">
      <c r="A947" s="16"/>
      <c r="B947" s="16"/>
      <c r="C947" s="16"/>
      <c r="D947" s="16"/>
      <c r="E947" s="16"/>
      <c r="F947" s="16"/>
      <c r="G947" s="16"/>
      <c r="H947" s="16"/>
      <c r="I947" s="16"/>
      <c r="J947" s="16"/>
      <c r="K947" s="16"/>
      <c r="L947" s="16"/>
      <c r="M947" s="16"/>
      <c r="N947" s="16"/>
      <c r="O947" s="16"/>
      <c r="P947" s="16"/>
      <c r="Q947" s="16"/>
      <c r="R947" s="16"/>
      <c r="S947" s="16"/>
      <c r="T947" s="16"/>
      <c r="U947" s="16"/>
      <c r="V947" s="16"/>
    </row>
    <row r="948" spans="1:22" ht="15.75" customHeight="1" x14ac:dyDescent="0.25">
      <c r="A948" s="16"/>
      <c r="B948" s="16"/>
      <c r="C948" s="16"/>
      <c r="D948" s="16"/>
      <c r="E948" s="16"/>
      <c r="F948" s="16"/>
      <c r="G948" s="16"/>
      <c r="H948" s="16"/>
      <c r="I948" s="16"/>
      <c r="J948" s="16"/>
      <c r="K948" s="16"/>
      <c r="L948" s="16"/>
      <c r="M948" s="16"/>
      <c r="N948" s="16"/>
      <c r="O948" s="16"/>
      <c r="P948" s="16"/>
      <c r="Q948" s="16"/>
      <c r="R948" s="16"/>
      <c r="S948" s="16"/>
      <c r="T948" s="16"/>
      <c r="U948" s="16"/>
      <c r="V948" s="16"/>
    </row>
    <row r="949" spans="1:22" ht="15.75" customHeight="1" x14ac:dyDescent="0.25">
      <c r="A949" s="16"/>
      <c r="B949" s="16"/>
      <c r="C949" s="16"/>
      <c r="D949" s="16"/>
      <c r="E949" s="16"/>
      <c r="F949" s="16"/>
      <c r="G949" s="16"/>
      <c r="H949" s="16"/>
      <c r="I949" s="16"/>
      <c r="J949" s="16"/>
      <c r="K949" s="16"/>
      <c r="L949" s="16"/>
      <c r="M949" s="16"/>
      <c r="N949" s="16"/>
      <c r="O949" s="16"/>
      <c r="P949" s="16"/>
      <c r="Q949" s="16"/>
      <c r="R949" s="16"/>
      <c r="S949" s="16"/>
      <c r="T949" s="16"/>
      <c r="U949" s="16"/>
      <c r="V949" s="16"/>
    </row>
    <row r="950" spans="1:22" ht="15.75" customHeight="1" x14ac:dyDescent="0.25">
      <c r="A950" s="16"/>
      <c r="B950" s="16"/>
      <c r="C950" s="16"/>
      <c r="D950" s="16"/>
      <c r="E950" s="16"/>
      <c r="F950" s="16"/>
      <c r="G950" s="16"/>
      <c r="H950" s="16"/>
      <c r="I950" s="16"/>
      <c r="J950" s="16"/>
      <c r="K950" s="16"/>
      <c r="L950" s="16"/>
      <c r="M950" s="16"/>
      <c r="N950" s="16"/>
      <c r="O950" s="16"/>
      <c r="P950" s="16"/>
      <c r="Q950" s="16"/>
      <c r="R950" s="16"/>
      <c r="S950" s="16"/>
      <c r="T950" s="16"/>
      <c r="U950" s="16"/>
      <c r="V950" s="16"/>
    </row>
    <row r="951" spans="1:22" ht="15.75" customHeight="1" x14ac:dyDescent="0.25">
      <c r="A951" s="16"/>
      <c r="B951" s="16"/>
      <c r="C951" s="16"/>
      <c r="D951" s="16"/>
      <c r="E951" s="16"/>
      <c r="F951" s="16"/>
      <c r="G951" s="16"/>
      <c r="H951" s="16"/>
      <c r="I951" s="16"/>
      <c r="J951" s="16"/>
      <c r="K951" s="16"/>
      <c r="L951" s="16"/>
      <c r="M951" s="16"/>
      <c r="N951" s="16"/>
      <c r="O951" s="16"/>
      <c r="P951" s="16"/>
      <c r="Q951" s="16"/>
      <c r="R951" s="16"/>
      <c r="S951" s="16"/>
      <c r="T951" s="16"/>
      <c r="U951" s="16"/>
      <c r="V951" s="16"/>
    </row>
    <row r="952" spans="1:22" ht="15.75" customHeight="1" x14ac:dyDescent="0.25">
      <c r="A952" s="16"/>
      <c r="B952" s="16"/>
      <c r="C952" s="16"/>
      <c r="D952" s="16"/>
      <c r="E952" s="16"/>
      <c r="F952" s="16"/>
      <c r="G952" s="16"/>
      <c r="H952" s="16"/>
      <c r="I952" s="16"/>
      <c r="J952" s="16"/>
      <c r="K952" s="16"/>
      <c r="L952" s="16"/>
      <c r="M952" s="16"/>
      <c r="N952" s="16"/>
      <c r="O952" s="16"/>
      <c r="P952" s="16"/>
      <c r="Q952" s="16"/>
      <c r="R952" s="16"/>
      <c r="S952" s="16"/>
      <c r="T952" s="16"/>
      <c r="U952" s="16"/>
      <c r="V952" s="16"/>
    </row>
    <row r="953" spans="1:22" ht="15.75" customHeight="1" x14ac:dyDescent="0.25">
      <c r="A953" s="16"/>
      <c r="B953" s="16"/>
      <c r="C953" s="16"/>
      <c r="D953" s="16"/>
      <c r="E953" s="16"/>
      <c r="F953" s="16"/>
      <c r="G953" s="16"/>
      <c r="H953" s="16"/>
      <c r="I953" s="16"/>
      <c r="J953" s="16"/>
      <c r="K953" s="16"/>
      <c r="L953" s="16"/>
      <c r="M953" s="16"/>
      <c r="N953" s="16"/>
      <c r="O953" s="16"/>
      <c r="P953" s="16"/>
      <c r="Q953" s="16"/>
      <c r="R953" s="16"/>
      <c r="S953" s="16"/>
      <c r="T953" s="16"/>
      <c r="U953" s="16"/>
      <c r="V953" s="16"/>
    </row>
    <row r="954" spans="1:22" ht="15.75" customHeight="1" x14ac:dyDescent="0.25">
      <c r="A954" s="16"/>
      <c r="B954" s="16"/>
      <c r="C954" s="16"/>
      <c r="D954" s="16"/>
      <c r="E954" s="16"/>
      <c r="F954" s="16"/>
      <c r="G954" s="16"/>
      <c r="H954" s="16"/>
      <c r="I954" s="16"/>
      <c r="J954" s="16"/>
      <c r="K954" s="16"/>
      <c r="L954" s="16"/>
      <c r="M954" s="16"/>
      <c r="N954" s="16"/>
      <c r="O954" s="16"/>
      <c r="P954" s="16"/>
      <c r="Q954" s="16"/>
      <c r="R954" s="16"/>
      <c r="S954" s="16"/>
      <c r="T954" s="16"/>
      <c r="U954" s="16"/>
      <c r="V954" s="16"/>
    </row>
    <row r="955" spans="1:22" ht="15.75" customHeight="1" x14ac:dyDescent="0.25">
      <c r="A955" s="16"/>
      <c r="B955" s="16"/>
      <c r="C955" s="16"/>
      <c r="D955" s="16"/>
      <c r="E955" s="16"/>
      <c r="F955" s="16"/>
      <c r="G955" s="16"/>
      <c r="H955" s="16"/>
      <c r="I955" s="16"/>
      <c r="J955" s="16"/>
      <c r="K955" s="16"/>
      <c r="L955" s="16"/>
      <c r="M955" s="16"/>
      <c r="N955" s="16"/>
      <c r="O955" s="16"/>
      <c r="P955" s="16"/>
      <c r="Q955" s="16"/>
      <c r="R955" s="16"/>
      <c r="S955" s="16"/>
      <c r="T955" s="16"/>
      <c r="U955" s="16"/>
      <c r="V955" s="16"/>
    </row>
    <row r="956" spans="1:22" ht="15.75" customHeight="1" x14ac:dyDescent="0.25">
      <c r="A956" s="16"/>
      <c r="B956" s="16"/>
      <c r="C956" s="16"/>
      <c r="D956" s="16"/>
      <c r="E956" s="16"/>
      <c r="F956" s="16"/>
      <c r="G956" s="16"/>
      <c r="H956" s="16"/>
      <c r="I956" s="16"/>
      <c r="J956" s="16"/>
      <c r="K956" s="16"/>
      <c r="L956" s="16"/>
      <c r="M956" s="16"/>
      <c r="N956" s="16"/>
      <c r="O956" s="16"/>
      <c r="P956" s="16"/>
      <c r="Q956" s="16"/>
      <c r="R956" s="16"/>
      <c r="S956" s="16"/>
      <c r="T956" s="16"/>
      <c r="U956" s="16"/>
      <c r="V956" s="16"/>
    </row>
    <row r="957" spans="1:22" ht="15.75" customHeight="1" x14ac:dyDescent="0.25">
      <c r="A957" s="16"/>
      <c r="B957" s="16"/>
      <c r="C957" s="16"/>
      <c r="D957" s="16"/>
      <c r="E957" s="16"/>
      <c r="F957" s="16"/>
      <c r="G957" s="16"/>
      <c r="H957" s="16"/>
      <c r="I957" s="16"/>
      <c r="J957" s="16"/>
      <c r="K957" s="16"/>
      <c r="L957" s="16"/>
      <c r="M957" s="16"/>
      <c r="N957" s="16"/>
      <c r="O957" s="16"/>
      <c r="P957" s="16"/>
      <c r="Q957" s="16"/>
      <c r="R957" s="16"/>
      <c r="S957" s="16"/>
      <c r="T957" s="16"/>
      <c r="U957" s="16"/>
      <c r="V957" s="16"/>
    </row>
    <row r="958" spans="1:22" ht="15.75" customHeight="1" x14ac:dyDescent="0.25">
      <c r="A958" s="16"/>
      <c r="B958" s="16"/>
      <c r="C958" s="16"/>
      <c r="D958" s="16"/>
      <c r="E958" s="16"/>
      <c r="F958" s="16"/>
      <c r="G958" s="16"/>
      <c r="H958" s="16"/>
      <c r="I958" s="16"/>
      <c r="J958" s="16"/>
      <c r="K958" s="16"/>
      <c r="L958" s="16"/>
      <c r="M958" s="16"/>
      <c r="N958" s="16"/>
      <c r="O958" s="16"/>
      <c r="P958" s="16"/>
      <c r="Q958" s="16"/>
      <c r="R958" s="16"/>
      <c r="S958" s="16"/>
      <c r="T958" s="16"/>
      <c r="U958" s="16"/>
      <c r="V958" s="16"/>
    </row>
    <row r="959" spans="1:22" ht="15.75" customHeight="1" x14ac:dyDescent="0.25">
      <c r="A959" s="16"/>
      <c r="B959" s="16"/>
      <c r="C959" s="16"/>
      <c r="D959" s="16"/>
      <c r="E959" s="16"/>
      <c r="F959" s="16"/>
      <c r="G959" s="16"/>
      <c r="H959" s="16"/>
      <c r="I959" s="16"/>
      <c r="J959" s="16"/>
      <c r="K959" s="16"/>
      <c r="L959" s="16"/>
      <c r="M959" s="16"/>
      <c r="N959" s="16"/>
      <c r="O959" s="16"/>
      <c r="P959" s="16"/>
      <c r="Q959" s="16"/>
      <c r="R959" s="16"/>
      <c r="S959" s="16"/>
      <c r="T959" s="16"/>
      <c r="U959" s="16"/>
      <c r="V959" s="16"/>
    </row>
    <row r="960" spans="1:22" ht="15.75" customHeight="1" x14ac:dyDescent="0.25">
      <c r="A960" s="16"/>
      <c r="B960" s="16"/>
      <c r="C960" s="16"/>
      <c r="D960" s="16"/>
      <c r="E960" s="16"/>
      <c r="F960" s="16"/>
      <c r="G960" s="16"/>
      <c r="H960" s="16"/>
      <c r="I960" s="16"/>
      <c r="J960" s="16"/>
      <c r="K960" s="16"/>
      <c r="L960" s="16"/>
      <c r="M960" s="16"/>
      <c r="N960" s="16"/>
      <c r="O960" s="16"/>
      <c r="P960" s="16"/>
      <c r="Q960" s="16"/>
      <c r="R960" s="16"/>
      <c r="S960" s="16"/>
      <c r="T960" s="16"/>
      <c r="U960" s="16"/>
      <c r="V960" s="16"/>
    </row>
    <row r="961" spans="1:22" ht="15.75" customHeight="1" x14ac:dyDescent="0.25">
      <c r="A961" s="16"/>
      <c r="B961" s="16"/>
      <c r="C961" s="16"/>
      <c r="D961" s="16"/>
      <c r="E961" s="16"/>
      <c r="F961" s="16"/>
      <c r="G961" s="16"/>
      <c r="H961" s="16"/>
      <c r="I961" s="16"/>
      <c r="J961" s="16"/>
      <c r="K961" s="16"/>
      <c r="L961" s="16"/>
      <c r="M961" s="16"/>
      <c r="N961" s="16"/>
      <c r="O961" s="16"/>
      <c r="P961" s="16"/>
      <c r="Q961" s="16"/>
      <c r="R961" s="16"/>
      <c r="S961" s="16"/>
      <c r="T961" s="16"/>
      <c r="U961" s="16"/>
      <c r="V961" s="16"/>
    </row>
    <row r="962" spans="1:22" ht="15.75" customHeight="1" x14ac:dyDescent="0.25">
      <c r="A962" s="16"/>
      <c r="B962" s="16"/>
      <c r="C962" s="16"/>
      <c r="D962" s="16"/>
      <c r="E962" s="16"/>
      <c r="F962" s="16"/>
      <c r="G962" s="16"/>
      <c r="H962" s="16"/>
      <c r="I962" s="16"/>
      <c r="J962" s="16"/>
      <c r="K962" s="16"/>
      <c r="L962" s="16"/>
      <c r="M962" s="16"/>
      <c r="N962" s="16"/>
      <c r="O962" s="16"/>
      <c r="P962" s="16"/>
      <c r="Q962" s="16"/>
      <c r="R962" s="16"/>
      <c r="S962" s="16"/>
      <c r="T962" s="16"/>
      <c r="U962" s="16"/>
      <c r="V962" s="16"/>
    </row>
    <row r="963" spans="1:22" ht="15.75" customHeight="1" x14ac:dyDescent="0.25">
      <c r="A963" s="16"/>
      <c r="B963" s="16"/>
      <c r="C963" s="16"/>
      <c r="D963" s="16"/>
      <c r="E963" s="16"/>
      <c r="F963" s="16"/>
      <c r="G963" s="16"/>
      <c r="H963" s="16"/>
      <c r="I963" s="16"/>
      <c r="J963" s="16"/>
      <c r="K963" s="16"/>
      <c r="L963" s="16"/>
      <c r="M963" s="16"/>
      <c r="N963" s="16"/>
      <c r="O963" s="16"/>
      <c r="P963" s="16"/>
      <c r="Q963" s="16"/>
      <c r="R963" s="16"/>
      <c r="S963" s="16"/>
      <c r="T963" s="16"/>
      <c r="U963" s="16"/>
      <c r="V963" s="16"/>
    </row>
    <row r="964" spans="1:22" ht="15.75" customHeight="1" x14ac:dyDescent="0.25">
      <c r="A964" s="16"/>
      <c r="B964" s="16"/>
      <c r="C964" s="16"/>
      <c r="D964" s="16"/>
      <c r="E964" s="16"/>
      <c r="F964" s="16"/>
      <c r="G964" s="16"/>
      <c r="H964" s="16"/>
      <c r="I964" s="16"/>
      <c r="J964" s="16"/>
      <c r="K964" s="16"/>
      <c r="L964" s="16"/>
      <c r="M964" s="16"/>
      <c r="N964" s="16"/>
      <c r="O964" s="16"/>
      <c r="P964" s="16"/>
      <c r="Q964" s="16"/>
      <c r="R964" s="16"/>
      <c r="S964" s="16"/>
      <c r="T964" s="16"/>
      <c r="U964" s="16"/>
      <c r="V964" s="16"/>
    </row>
    <row r="965" spans="1:22" ht="15.75" customHeight="1" x14ac:dyDescent="0.25">
      <c r="A965" s="16"/>
      <c r="B965" s="16"/>
      <c r="C965" s="16"/>
      <c r="D965" s="16"/>
      <c r="E965" s="16"/>
      <c r="F965" s="16"/>
      <c r="G965" s="16"/>
      <c r="H965" s="16"/>
      <c r="I965" s="16"/>
      <c r="J965" s="16"/>
      <c r="K965" s="16"/>
      <c r="L965" s="16"/>
      <c r="M965" s="16"/>
      <c r="N965" s="16"/>
      <c r="O965" s="16"/>
      <c r="P965" s="16"/>
      <c r="Q965" s="16"/>
      <c r="R965" s="16"/>
      <c r="S965" s="16"/>
      <c r="T965" s="16"/>
      <c r="U965" s="16"/>
      <c r="V965" s="16"/>
    </row>
    <row r="966" spans="1:22" ht="15.75" customHeight="1" x14ac:dyDescent="0.25">
      <c r="A966" s="16"/>
      <c r="B966" s="16"/>
      <c r="C966" s="16"/>
      <c r="D966" s="16"/>
      <c r="E966" s="16"/>
      <c r="F966" s="16"/>
      <c r="G966" s="16"/>
      <c r="H966" s="16"/>
      <c r="I966" s="16"/>
      <c r="J966" s="16"/>
      <c r="K966" s="16"/>
      <c r="L966" s="16"/>
      <c r="M966" s="16"/>
      <c r="N966" s="16"/>
      <c r="O966" s="16"/>
      <c r="P966" s="16"/>
      <c r="Q966" s="16"/>
      <c r="R966" s="16"/>
      <c r="S966" s="16"/>
      <c r="T966" s="16"/>
      <c r="U966" s="16"/>
      <c r="V966" s="16"/>
    </row>
    <row r="967" spans="1:22" ht="15.75" customHeight="1" x14ac:dyDescent="0.25">
      <c r="A967" s="16"/>
      <c r="B967" s="16"/>
      <c r="C967" s="16"/>
      <c r="D967" s="16"/>
      <c r="E967" s="16"/>
      <c r="F967" s="16"/>
      <c r="G967" s="16"/>
      <c r="H967" s="16"/>
      <c r="I967" s="16"/>
      <c r="J967" s="16"/>
      <c r="K967" s="16"/>
      <c r="L967" s="16"/>
      <c r="M967" s="16"/>
      <c r="N967" s="16"/>
      <c r="O967" s="16"/>
      <c r="P967" s="16"/>
      <c r="Q967" s="16"/>
      <c r="R967" s="16"/>
      <c r="S967" s="16"/>
      <c r="T967" s="16"/>
      <c r="U967" s="16"/>
      <c r="V967" s="16"/>
    </row>
    <row r="968" spans="1:22" ht="15.75" customHeight="1" x14ac:dyDescent="0.25">
      <c r="A968" s="16"/>
      <c r="B968" s="16"/>
      <c r="C968" s="16"/>
      <c r="D968" s="16"/>
      <c r="E968" s="16"/>
      <c r="F968" s="16"/>
      <c r="G968" s="16"/>
      <c r="H968" s="16"/>
      <c r="I968" s="16"/>
      <c r="J968" s="16"/>
      <c r="K968" s="16"/>
      <c r="L968" s="16"/>
      <c r="M968" s="16"/>
      <c r="N968" s="16"/>
      <c r="O968" s="16"/>
      <c r="P968" s="16"/>
      <c r="Q968" s="16"/>
      <c r="R968" s="16"/>
      <c r="S968" s="16"/>
      <c r="T968" s="16"/>
      <c r="U968" s="16"/>
      <c r="V968" s="16"/>
    </row>
    <row r="969" spans="1:22" ht="15.75" customHeight="1" x14ac:dyDescent="0.25">
      <c r="A969" s="16"/>
      <c r="B969" s="16"/>
      <c r="C969" s="16"/>
      <c r="D969" s="16"/>
      <c r="E969" s="16"/>
      <c r="F969" s="16"/>
      <c r="G969" s="16"/>
      <c r="H969" s="16"/>
      <c r="I969" s="16"/>
      <c r="J969" s="16"/>
      <c r="K969" s="16"/>
      <c r="L969" s="16"/>
      <c r="M969" s="16"/>
      <c r="N969" s="16"/>
      <c r="O969" s="16"/>
      <c r="P969" s="16"/>
      <c r="Q969" s="16"/>
      <c r="R969" s="16"/>
      <c r="S969" s="16"/>
      <c r="T969" s="16"/>
      <c r="U969" s="16"/>
      <c r="V969" s="16"/>
    </row>
    <row r="970" spans="1:22" ht="15.75" customHeight="1" x14ac:dyDescent="0.25">
      <c r="A970" s="16"/>
      <c r="B970" s="16"/>
      <c r="C970" s="16"/>
      <c r="D970" s="16"/>
      <c r="E970" s="16"/>
      <c r="F970" s="16"/>
      <c r="G970" s="16"/>
      <c r="H970" s="16"/>
      <c r="I970" s="16"/>
      <c r="J970" s="16"/>
      <c r="K970" s="16"/>
      <c r="L970" s="16"/>
      <c r="M970" s="16"/>
      <c r="N970" s="16"/>
      <c r="O970" s="16"/>
      <c r="P970" s="16"/>
      <c r="Q970" s="16"/>
      <c r="R970" s="16"/>
      <c r="S970" s="16"/>
      <c r="T970" s="16"/>
      <c r="U970" s="16"/>
      <c r="V970" s="16"/>
    </row>
    <row r="971" spans="1:22" ht="15.75" customHeight="1" x14ac:dyDescent="0.25">
      <c r="A971" s="16"/>
      <c r="B971" s="16"/>
      <c r="C971" s="16"/>
      <c r="D971" s="16"/>
      <c r="E971" s="16"/>
      <c r="F971" s="16"/>
      <c r="G971" s="16"/>
      <c r="H971" s="16"/>
      <c r="I971" s="16"/>
      <c r="J971" s="16"/>
      <c r="K971" s="16"/>
      <c r="L971" s="16"/>
      <c r="M971" s="16"/>
      <c r="N971" s="16"/>
      <c r="O971" s="16"/>
      <c r="P971" s="16"/>
      <c r="Q971" s="16"/>
      <c r="R971" s="16"/>
      <c r="S971" s="16"/>
      <c r="T971" s="16"/>
      <c r="U971" s="16"/>
      <c r="V971" s="16"/>
    </row>
    <row r="972" spans="1:22" ht="15.75" customHeight="1" x14ac:dyDescent="0.25">
      <c r="A972" s="16"/>
      <c r="B972" s="16"/>
      <c r="C972" s="16"/>
      <c r="D972" s="16"/>
      <c r="E972" s="16"/>
      <c r="F972" s="16"/>
      <c r="G972" s="16"/>
      <c r="H972" s="16"/>
      <c r="I972" s="16"/>
      <c r="J972" s="16"/>
      <c r="K972" s="16"/>
      <c r="L972" s="16"/>
      <c r="M972" s="16"/>
      <c r="N972" s="16"/>
      <c r="O972" s="16"/>
      <c r="P972" s="16"/>
      <c r="Q972" s="16"/>
      <c r="R972" s="16"/>
      <c r="S972" s="16"/>
      <c r="T972" s="16"/>
      <c r="U972" s="16"/>
      <c r="V972" s="16"/>
    </row>
    <row r="973" spans="1:22" ht="15.75" customHeight="1" x14ac:dyDescent="0.25">
      <c r="A973" s="16"/>
      <c r="B973" s="16"/>
      <c r="C973" s="16"/>
      <c r="D973" s="16"/>
      <c r="E973" s="16"/>
      <c r="F973" s="16"/>
      <c r="G973" s="16"/>
      <c r="H973" s="16"/>
      <c r="I973" s="16"/>
      <c r="J973" s="16"/>
      <c r="K973" s="16"/>
      <c r="L973" s="16"/>
      <c r="M973" s="16"/>
      <c r="N973" s="16"/>
      <c r="O973" s="16"/>
      <c r="P973" s="16"/>
      <c r="Q973" s="16"/>
      <c r="R973" s="16"/>
      <c r="S973" s="16"/>
      <c r="T973" s="16"/>
      <c r="U973" s="16"/>
      <c r="V973" s="16"/>
    </row>
    <row r="974" spans="1:22" ht="15.75" customHeight="1" x14ac:dyDescent="0.25">
      <c r="A974" s="16"/>
      <c r="B974" s="16"/>
      <c r="C974" s="16"/>
      <c r="D974" s="16"/>
      <c r="E974" s="16"/>
      <c r="F974" s="16"/>
      <c r="G974" s="16"/>
      <c r="H974" s="16"/>
      <c r="I974" s="16"/>
      <c r="J974" s="16"/>
      <c r="K974" s="16"/>
      <c r="L974" s="16"/>
      <c r="M974" s="16"/>
      <c r="N974" s="16"/>
      <c r="O974" s="16"/>
      <c r="P974" s="16"/>
      <c r="Q974" s="16"/>
      <c r="R974" s="16"/>
      <c r="S974" s="16"/>
      <c r="T974" s="16"/>
      <c r="U974" s="16"/>
      <c r="V974" s="16"/>
    </row>
    <row r="975" spans="1:22" ht="15.75" customHeight="1" x14ac:dyDescent="0.25">
      <c r="A975" s="16"/>
      <c r="B975" s="16"/>
      <c r="C975" s="16"/>
      <c r="D975" s="16"/>
      <c r="E975" s="16"/>
      <c r="F975" s="16"/>
      <c r="G975" s="16"/>
      <c r="H975" s="16"/>
      <c r="I975" s="16"/>
      <c r="J975" s="16"/>
      <c r="K975" s="16"/>
      <c r="L975" s="16"/>
      <c r="M975" s="16"/>
      <c r="N975" s="16"/>
      <c r="O975" s="16"/>
      <c r="P975" s="16"/>
      <c r="Q975" s="16"/>
      <c r="R975" s="16"/>
      <c r="S975" s="16"/>
      <c r="T975" s="16"/>
      <c r="U975" s="16"/>
      <c r="V975" s="16"/>
    </row>
    <row r="976" spans="1:22" ht="15.75" customHeight="1" x14ac:dyDescent="0.25">
      <c r="A976" s="16"/>
      <c r="B976" s="16"/>
      <c r="C976" s="16"/>
      <c r="D976" s="16"/>
      <c r="E976" s="16"/>
      <c r="F976" s="16"/>
      <c r="G976" s="16"/>
      <c r="H976" s="16"/>
      <c r="I976" s="16"/>
      <c r="J976" s="16"/>
      <c r="K976" s="16"/>
      <c r="L976" s="16"/>
      <c r="M976" s="16"/>
      <c r="N976" s="16"/>
      <c r="O976" s="16"/>
      <c r="P976" s="16"/>
      <c r="Q976" s="16"/>
      <c r="R976" s="16"/>
      <c r="S976" s="16"/>
      <c r="T976" s="16"/>
      <c r="U976" s="16"/>
      <c r="V976" s="16"/>
    </row>
    <row r="977" spans="1:22" ht="15.75" customHeight="1" x14ac:dyDescent="0.25">
      <c r="A977" s="16"/>
      <c r="B977" s="16"/>
      <c r="C977" s="16"/>
      <c r="D977" s="16"/>
      <c r="E977" s="16"/>
      <c r="F977" s="16"/>
      <c r="G977" s="16"/>
      <c r="H977" s="16"/>
      <c r="I977" s="16"/>
      <c r="J977" s="16"/>
      <c r="K977" s="16"/>
      <c r="L977" s="16"/>
      <c r="M977" s="16"/>
      <c r="N977" s="16"/>
      <c r="O977" s="16"/>
      <c r="P977" s="16"/>
      <c r="Q977" s="16"/>
      <c r="R977" s="16"/>
      <c r="S977" s="16"/>
      <c r="T977" s="16"/>
      <c r="U977" s="16"/>
      <c r="V977" s="16"/>
    </row>
    <row r="978" spans="1:22" ht="15.75" customHeight="1" x14ac:dyDescent="0.25">
      <c r="A978" s="16"/>
      <c r="B978" s="16"/>
      <c r="C978" s="16"/>
      <c r="D978" s="16"/>
      <c r="E978" s="16"/>
      <c r="F978" s="16"/>
      <c r="G978" s="16"/>
      <c r="H978" s="16"/>
      <c r="I978" s="16"/>
      <c r="J978" s="16"/>
      <c r="K978" s="16"/>
      <c r="L978" s="16"/>
      <c r="M978" s="16"/>
      <c r="N978" s="16"/>
      <c r="O978" s="16"/>
      <c r="P978" s="16"/>
      <c r="Q978" s="16"/>
      <c r="R978" s="16"/>
      <c r="S978" s="16"/>
      <c r="T978" s="16"/>
      <c r="U978" s="16"/>
      <c r="V978" s="16"/>
    </row>
    <row r="979" spans="1:22" ht="15.75" customHeight="1" x14ac:dyDescent="0.25">
      <c r="A979" s="16"/>
      <c r="B979" s="16"/>
      <c r="C979" s="16"/>
      <c r="D979" s="16"/>
      <c r="E979" s="16"/>
      <c r="F979" s="16"/>
      <c r="G979" s="16"/>
      <c r="H979" s="16"/>
      <c r="I979" s="16"/>
      <c r="J979" s="16"/>
      <c r="K979" s="16"/>
      <c r="L979" s="16"/>
      <c r="M979" s="16"/>
      <c r="N979" s="16"/>
      <c r="O979" s="16"/>
      <c r="P979" s="16"/>
      <c r="Q979" s="16"/>
      <c r="R979" s="16"/>
      <c r="S979" s="16"/>
      <c r="T979" s="16"/>
      <c r="U979" s="16"/>
      <c r="V979" s="16"/>
    </row>
    <row r="980" spans="1:22" ht="15.75" customHeight="1" x14ac:dyDescent="0.25">
      <c r="A980" s="16"/>
      <c r="B980" s="16"/>
      <c r="C980" s="16"/>
      <c r="D980" s="16"/>
      <c r="E980" s="16"/>
      <c r="F980" s="16"/>
      <c r="G980" s="16"/>
      <c r="H980" s="16"/>
      <c r="I980" s="16"/>
      <c r="J980" s="16"/>
      <c r="K980" s="16"/>
      <c r="L980" s="16"/>
      <c r="M980" s="16"/>
      <c r="N980" s="16"/>
      <c r="O980" s="16"/>
      <c r="P980" s="16"/>
      <c r="Q980" s="16"/>
      <c r="R980" s="16"/>
      <c r="S980" s="16"/>
      <c r="T980" s="16"/>
      <c r="U980" s="16"/>
      <c r="V980" s="16"/>
    </row>
    <row r="981" spans="1:22" ht="15.75" customHeight="1" x14ac:dyDescent="0.25">
      <c r="A981" s="16"/>
      <c r="B981" s="16"/>
      <c r="C981" s="16"/>
      <c r="D981" s="16"/>
      <c r="E981" s="16"/>
      <c r="F981" s="16"/>
      <c r="G981" s="16"/>
      <c r="H981" s="16"/>
      <c r="I981" s="16"/>
      <c r="J981" s="16"/>
      <c r="K981" s="16"/>
      <c r="L981" s="16"/>
      <c r="M981" s="16"/>
      <c r="N981" s="16"/>
      <c r="O981" s="16"/>
      <c r="P981" s="16"/>
      <c r="Q981" s="16"/>
      <c r="R981" s="16"/>
      <c r="S981" s="16"/>
      <c r="T981" s="16"/>
      <c r="U981" s="16"/>
      <c r="V981" s="16"/>
    </row>
    <row r="982" spans="1:22" ht="15.75" customHeight="1" x14ac:dyDescent="0.25">
      <c r="A982" s="16"/>
      <c r="B982" s="16"/>
      <c r="C982" s="16"/>
      <c r="D982" s="16"/>
      <c r="E982" s="16"/>
      <c r="F982" s="16"/>
      <c r="G982" s="16"/>
      <c r="H982" s="16"/>
      <c r="I982" s="16"/>
      <c r="J982" s="16"/>
      <c r="K982" s="16"/>
      <c r="L982" s="16"/>
      <c r="M982" s="16"/>
      <c r="N982" s="16"/>
      <c r="O982" s="16"/>
      <c r="P982" s="16"/>
      <c r="Q982" s="16"/>
      <c r="R982" s="16"/>
      <c r="S982" s="16"/>
      <c r="T982" s="16"/>
      <c r="U982" s="16"/>
      <c r="V982" s="16"/>
    </row>
    <row r="983" spans="1:22" ht="15.75" customHeight="1" x14ac:dyDescent="0.25">
      <c r="A983" s="16"/>
      <c r="B983" s="16"/>
      <c r="C983" s="16"/>
      <c r="D983" s="16"/>
      <c r="E983" s="16"/>
      <c r="F983" s="16"/>
      <c r="G983" s="16"/>
      <c r="H983" s="16"/>
      <c r="I983" s="16"/>
      <c r="J983" s="16"/>
      <c r="K983" s="16"/>
      <c r="L983" s="16"/>
      <c r="M983" s="16"/>
      <c r="N983" s="16"/>
      <c r="O983" s="16"/>
      <c r="P983" s="16"/>
      <c r="Q983" s="16"/>
      <c r="R983" s="16"/>
      <c r="S983" s="16"/>
      <c r="T983" s="16"/>
      <c r="U983" s="16"/>
      <c r="V983" s="16"/>
    </row>
    <row r="984" spans="1:22" ht="15.75" customHeight="1" x14ac:dyDescent="0.25">
      <c r="A984" s="16"/>
      <c r="B984" s="16"/>
      <c r="C984" s="16"/>
      <c r="D984" s="16"/>
      <c r="E984" s="16"/>
      <c r="F984" s="16"/>
      <c r="G984" s="16"/>
      <c r="H984" s="16"/>
      <c r="I984" s="16"/>
      <c r="J984" s="16"/>
      <c r="K984" s="16"/>
      <c r="L984" s="16"/>
      <c r="M984" s="16"/>
      <c r="N984" s="16"/>
      <c r="O984" s="16"/>
      <c r="P984" s="16"/>
      <c r="Q984" s="16"/>
      <c r="R984" s="16"/>
      <c r="S984" s="16"/>
      <c r="T984" s="16"/>
      <c r="U984" s="16"/>
      <c r="V984" s="16"/>
    </row>
    <row r="985" spans="1:22" ht="15.75" customHeight="1" x14ac:dyDescent="0.25">
      <c r="A985" s="16"/>
      <c r="B985" s="16"/>
      <c r="C985" s="16"/>
      <c r="D985" s="16"/>
      <c r="E985" s="16"/>
      <c r="F985" s="16"/>
      <c r="G985" s="16"/>
      <c r="H985" s="16"/>
      <c r="I985" s="16"/>
      <c r="J985" s="16"/>
      <c r="K985" s="16"/>
      <c r="L985" s="16"/>
      <c r="M985" s="16"/>
      <c r="N985" s="16"/>
      <c r="O985" s="16"/>
      <c r="P985" s="16"/>
      <c r="Q985" s="16"/>
      <c r="R985" s="16"/>
      <c r="S985" s="16"/>
      <c r="T985" s="16"/>
      <c r="U985" s="16"/>
      <c r="V985" s="16"/>
    </row>
    <row r="986" spans="1:22" ht="15.75" customHeight="1" x14ac:dyDescent="0.25">
      <c r="A986" s="16"/>
      <c r="B986" s="16"/>
      <c r="C986" s="16"/>
      <c r="D986" s="16"/>
      <c r="E986" s="16"/>
      <c r="F986" s="16"/>
      <c r="G986" s="16"/>
      <c r="H986" s="16"/>
      <c r="I986" s="16"/>
      <c r="J986" s="16"/>
      <c r="K986" s="16"/>
      <c r="L986" s="16"/>
      <c r="M986" s="16"/>
      <c r="N986" s="16"/>
      <c r="O986" s="16"/>
      <c r="P986" s="16"/>
      <c r="Q986" s="16"/>
      <c r="R986" s="16"/>
      <c r="S986" s="16"/>
      <c r="T986" s="16"/>
      <c r="U986" s="16"/>
      <c r="V986" s="16"/>
    </row>
    <row r="987" spans="1:22" ht="15.75" customHeight="1" x14ac:dyDescent="0.25">
      <c r="A987" s="16"/>
      <c r="B987" s="16"/>
      <c r="C987" s="16"/>
      <c r="D987" s="16"/>
      <c r="E987" s="16"/>
      <c r="F987" s="16"/>
      <c r="G987" s="16"/>
      <c r="H987" s="16"/>
      <c r="I987" s="16"/>
      <c r="J987" s="16"/>
      <c r="K987" s="16"/>
      <c r="L987" s="16"/>
      <c r="M987" s="16"/>
      <c r="N987" s="16"/>
      <c r="O987" s="16"/>
      <c r="P987" s="16"/>
      <c r="Q987" s="16"/>
      <c r="R987" s="16"/>
      <c r="S987" s="16"/>
      <c r="T987" s="16"/>
      <c r="U987" s="16"/>
      <c r="V987" s="16"/>
    </row>
    <row r="988" spans="1:22" ht="15.75" customHeight="1" x14ac:dyDescent="0.25">
      <c r="A988" s="16"/>
      <c r="B988" s="16"/>
      <c r="C988" s="16"/>
      <c r="D988" s="16"/>
      <c r="E988" s="16"/>
      <c r="F988" s="16"/>
      <c r="G988" s="16"/>
      <c r="H988" s="16"/>
      <c r="I988" s="16"/>
      <c r="J988" s="16"/>
      <c r="K988" s="16"/>
      <c r="L988" s="16"/>
      <c r="M988" s="16"/>
      <c r="N988" s="16"/>
      <c r="O988" s="16"/>
      <c r="P988" s="16"/>
      <c r="Q988" s="16"/>
      <c r="R988" s="16"/>
      <c r="S988" s="16"/>
      <c r="T988" s="16"/>
      <c r="U988" s="16"/>
      <c r="V988" s="16"/>
    </row>
    <row r="989" spans="1:22" ht="15.75" customHeight="1" x14ac:dyDescent="0.25">
      <c r="A989" s="16"/>
      <c r="B989" s="16"/>
      <c r="C989" s="16"/>
      <c r="D989" s="16"/>
      <c r="E989" s="16"/>
      <c r="F989" s="16"/>
      <c r="G989" s="16"/>
      <c r="H989" s="16"/>
      <c r="I989" s="16"/>
      <c r="J989" s="16"/>
      <c r="K989" s="16"/>
      <c r="L989" s="16"/>
      <c r="M989" s="16"/>
      <c r="N989" s="16"/>
      <c r="O989" s="16"/>
      <c r="P989" s="16"/>
      <c r="Q989" s="16"/>
      <c r="R989" s="16"/>
      <c r="S989" s="16"/>
      <c r="T989" s="16"/>
      <c r="U989" s="16"/>
      <c r="V989" s="16"/>
    </row>
    <row r="990" spans="1:22" ht="15.75" customHeight="1" x14ac:dyDescent="0.25">
      <c r="A990" s="16"/>
      <c r="B990" s="16"/>
      <c r="C990" s="16"/>
      <c r="D990" s="16"/>
      <c r="E990" s="16"/>
      <c r="F990" s="16"/>
      <c r="G990" s="16"/>
      <c r="H990" s="16"/>
      <c r="I990" s="16"/>
      <c r="J990" s="16"/>
      <c r="K990" s="16"/>
      <c r="L990" s="16"/>
      <c r="M990" s="16"/>
      <c r="N990" s="16"/>
      <c r="O990" s="16"/>
      <c r="P990" s="16"/>
      <c r="Q990" s="16"/>
      <c r="R990" s="16"/>
      <c r="S990" s="16"/>
      <c r="T990" s="16"/>
      <c r="U990" s="16"/>
      <c r="V990" s="16"/>
    </row>
    <row r="991" spans="1:22" ht="15.75" customHeight="1" x14ac:dyDescent="0.25">
      <c r="A991" s="16"/>
      <c r="B991" s="16"/>
      <c r="C991" s="16"/>
      <c r="D991" s="16"/>
      <c r="E991" s="16"/>
      <c r="F991" s="16"/>
      <c r="G991" s="16"/>
      <c r="H991" s="16"/>
      <c r="I991" s="16"/>
      <c r="J991" s="16"/>
      <c r="K991" s="16"/>
      <c r="L991" s="16"/>
      <c r="M991" s="16"/>
      <c r="N991" s="16"/>
      <c r="O991" s="16"/>
      <c r="P991" s="16"/>
      <c r="Q991" s="16"/>
      <c r="R991" s="16"/>
      <c r="S991" s="16"/>
      <c r="T991" s="16"/>
      <c r="U991" s="16"/>
      <c r="V991" s="16"/>
    </row>
    <row r="992" spans="1:22" ht="15.75" customHeight="1" x14ac:dyDescent="0.25">
      <c r="A992" s="16"/>
      <c r="B992" s="16"/>
      <c r="C992" s="16"/>
      <c r="D992" s="16"/>
      <c r="E992" s="16"/>
      <c r="F992" s="16"/>
      <c r="G992" s="16"/>
      <c r="H992" s="16"/>
      <c r="I992" s="16"/>
      <c r="J992" s="16"/>
      <c r="K992" s="16"/>
      <c r="L992" s="16"/>
      <c r="M992" s="16"/>
      <c r="N992" s="16"/>
      <c r="O992" s="16"/>
      <c r="P992" s="16"/>
      <c r="Q992" s="16"/>
      <c r="R992" s="16"/>
      <c r="S992" s="16"/>
      <c r="T992" s="16"/>
      <c r="U992" s="16"/>
      <c r="V992" s="16"/>
    </row>
    <row r="993" spans="1:22" ht="15.75" customHeight="1" x14ac:dyDescent="0.25">
      <c r="A993" s="16"/>
      <c r="B993" s="16"/>
      <c r="C993" s="16"/>
      <c r="D993" s="16"/>
      <c r="E993" s="16"/>
      <c r="F993" s="16"/>
      <c r="G993" s="16"/>
      <c r="H993" s="16"/>
      <c r="I993" s="16"/>
      <c r="J993" s="16"/>
      <c r="K993" s="16"/>
      <c r="L993" s="16"/>
      <c r="M993" s="16"/>
      <c r="N993" s="16"/>
      <c r="O993" s="16"/>
      <c r="P993" s="16"/>
      <c r="Q993" s="16"/>
      <c r="R993" s="16"/>
      <c r="S993" s="16"/>
      <c r="T993" s="16"/>
      <c r="U993" s="16"/>
      <c r="V993" s="16"/>
    </row>
  </sheetData>
  <mergeCells count="55">
    <mergeCell ref="D50:E50"/>
    <mergeCell ref="B51:E51"/>
    <mergeCell ref="B53:D53"/>
    <mergeCell ref="C58:E58"/>
    <mergeCell ref="C45:E45"/>
    <mergeCell ref="C46:E46"/>
    <mergeCell ref="C47:E47"/>
    <mergeCell ref="C48:E48"/>
    <mergeCell ref="C49:E49"/>
    <mergeCell ref="C39:E39"/>
    <mergeCell ref="C40:E40"/>
    <mergeCell ref="D42:E42"/>
    <mergeCell ref="C43:E43"/>
    <mergeCell ref="C44:E44"/>
    <mergeCell ref="C41:E41"/>
    <mergeCell ref="C34:E34"/>
    <mergeCell ref="C35:E35"/>
    <mergeCell ref="C36:E36"/>
    <mergeCell ref="C37:E37"/>
    <mergeCell ref="C38:E38"/>
    <mergeCell ref="C29:E29"/>
    <mergeCell ref="C30:E30"/>
    <mergeCell ref="C31:E31"/>
    <mergeCell ref="C32:E32"/>
    <mergeCell ref="C33:E33"/>
    <mergeCell ref="C24:E24"/>
    <mergeCell ref="C25:E25"/>
    <mergeCell ref="C26:E26"/>
    <mergeCell ref="C27:E27"/>
    <mergeCell ref="C28:E28"/>
    <mergeCell ref="C19:E19"/>
    <mergeCell ref="C20:E20"/>
    <mergeCell ref="C21:E21"/>
    <mergeCell ref="C22:E22"/>
    <mergeCell ref="C23:E23"/>
    <mergeCell ref="C14:E14"/>
    <mergeCell ref="C15:E15"/>
    <mergeCell ref="C16:E16"/>
    <mergeCell ref="C17:E17"/>
    <mergeCell ref="C18:E18"/>
    <mergeCell ref="B12:B13"/>
    <mergeCell ref="C12:E13"/>
    <mergeCell ref="F12:H12"/>
    <mergeCell ref="I12:I13"/>
    <mergeCell ref="J12:J13"/>
    <mergeCell ref="D8:E8"/>
    <mergeCell ref="H8:I8"/>
    <mergeCell ref="D9:F9"/>
    <mergeCell ref="H9:J9"/>
    <mergeCell ref="D10:E10"/>
    <mergeCell ref="E1:J1"/>
    <mergeCell ref="B2:J6"/>
    <mergeCell ref="K2:L3"/>
    <mergeCell ref="D7:F7"/>
    <mergeCell ref="H7:I7"/>
  </mergeCells>
  <conditionalFormatting sqref="B53">
    <cfRule type="cellIs" dxfId="48" priority="2" operator="equal">
      <formula>"PREENCHER PRAZO NA FOLHA DE FECHAMENTO!"</formula>
    </cfRule>
  </conditionalFormatting>
  <conditionalFormatting sqref="J42 J50:J51">
    <cfRule type="cellIs" dxfId="47" priority="3" operator="greaterThan">
      <formula>1</formula>
    </cfRule>
    <cfRule type="cellIs" dxfId="46" priority="4" operator="lessThan">
      <formula>1</formula>
    </cfRule>
  </conditionalFormatting>
  <printOptions horizontalCentered="1" verticalCentered="1"/>
  <pageMargins left="0.98402777777777795" right="0.39374999999999999" top="0.39374999999999999" bottom="0.39374999999999999" header="0.511811023622047" footer="0.511811023622047"/>
  <pageSetup paperSize="9" scale="61"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H7801"/>
  <sheetViews>
    <sheetView view="pageBreakPreview" zoomScale="62" zoomScaleNormal="100" zoomScalePageLayoutView="62" workbookViewId="0">
      <pane xSplit="7" ySplit="3" topLeftCell="H4" activePane="bottomRight" state="frozen"/>
      <selection pane="topRight" activeCell="H1" sqref="H1"/>
      <selection pane="bottomLeft" activeCell="A4" sqref="A4"/>
      <selection pane="bottomRight" activeCell="H4" sqref="H4"/>
    </sheetView>
  </sheetViews>
  <sheetFormatPr defaultColWidth="14.42578125" defaultRowHeight="15" x14ac:dyDescent="0.25"/>
  <cols>
    <col min="1" max="1" width="19.140625" customWidth="1"/>
    <col min="2" max="2" width="8.85546875" customWidth="1"/>
    <col min="3" max="3" width="85.7109375" customWidth="1"/>
    <col min="4" max="4" width="8.7109375" customWidth="1"/>
    <col min="5" max="7" width="13.28515625" customWidth="1"/>
    <col min="8" max="8" width="9.140625" customWidth="1"/>
  </cols>
  <sheetData>
    <row r="1" spans="1:8" ht="66" customHeight="1" x14ac:dyDescent="0.25">
      <c r="A1" s="192"/>
      <c r="B1" s="192"/>
      <c r="C1" s="193" t="s">
        <v>570</v>
      </c>
      <c r="D1" s="194"/>
      <c r="E1" s="195"/>
      <c r="F1" s="195"/>
      <c r="G1" s="195"/>
      <c r="H1" s="196"/>
    </row>
    <row r="2" spans="1:8" ht="15.75" customHeight="1" x14ac:dyDescent="0.25">
      <c r="A2" s="878" t="s">
        <v>571</v>
      </c>
      <c r="B2" s="878" t="s">
        <v>572</v>
      </c>
      <c r="C2" s="879" t="s">
        <v>573</v>
      </c>
      <c r="D2" s="879" t="s">
        <v>574</v>
      </c>
      <c r="E2" s="880" t="s">
        <v>575</v>
      </c>
      <c r="F2" s="880"/>
      <c r="G2" s="880"/>
      <c r="H2" s="198"/>
    </row>
    <row r="3" spans="1:8" ht="30" x14ac:dyDescent="0.25">
      <c r="A3" s="878"/>
      <c r="B3" s="878"/>
      <c r="C3" s="878"/>
      <c r="D3" s="878"/>
      <c r="E3" s="199" t="s">
        <v>556</v>
      </c>
      <c r="F3" s="199" t="s">
        <v>557</v>
      </c>
      <c r="G3" s="200" t="s">
        <v>558</v>
      </c>
      <c r="H3" s="198"/>
    </row>
    <row r="4" spans="1:8" x14ac:dyDescent="0.25">
      <c r="A4" s="201"/>
      <c r="B4" s="201"/>
      <c r="C4" s="202"/>
      <c r="D4" s="203"/>
      <c r="E4" s="204"/>
      <c r="F4" s="204"/>
      <c r="G4" s="204"/>
      <c r="H4" s="198"/>
    </row>
    <row r="5" spans="1:8" ht="30" hidden="1" x14ac:dyDescent="0.25">
      <c r="A5" s="205" t="s">
        <v>576</v>
      </c>
      <c r="B5" s="206">
        <v>104658</v>
      </c>
      <c r="C5" s="207" t="s">
        <v>577</v>
      </c>
      <c r="D5" s="208" t="s">
        <v>578</v>
      </c>
      <c r="E5" s="209">
        <v>104.37</v>
      </c>
      <c r="F5" s="209">
        <v>42.6</v>
      </c>
      <c r="G5" s="209">
        <v>146.97</v>
      </c>
      <c r="H5" s="198"/>
    </row>
    <row r="6" spans="1:8" ht="30" hidden="1" x14ac:dyDescent="0.25">
      <c r="A6" s="205" t="s">
        <v>576</v>
      </c>
      <c r="B6" s="206">
        <v>105002</v>
      </c>
      <c r="C6" s="207" t="s">
        <v>579</v>
      </c>
      <c r="D6" s="208" t="s">
        <v>580</v>
      </c>
      <c r="E6" s="209">
        <v>447.96</v>
      </c>
      <c r="F6" s="209">
        <v>315.02999999999997</v>
      </c>
      <c r="G6" s="209">
        <v>762.99</v>
      </c>
      <c r="H6" s="198"/>
    </row>
    <row r="7" spans="1:8" ht="30" hidden="1" x14ac:dyDescent="0.25">
      <c r="A7" s="205" t="s">
        <v>576</v>
      </c>
      <c r="B7" s="206">
        <v>105004</v>
      </c>
      <c r="C7" s="207" t="s">
        <v>581</v>
      </c>
      <c r="D7" s="208" t="s">
        <v>578</v>
      </c>
      <c r="E7" s="209">
        <v>76.349999999999994</v>
      </c>
      <c r="F7" s="209">
        <v>54.51</v>
      </c>
      <c r="G7" s="209">
        <v>130.86000000000001</v>
      </c>
      <c r="H7" s="198"/>
    </row>
    <row r="8" spans="1:8" ht="30" hidden="1" x14ac:dyDescent="0.25">
      <c r="A8" s="205" t="s">
        <v>576</v>
      </c>
      <c r="B8" s="206">
        <v>105003</v>
      </c>
      <c r="C8" s="207" t="s">
        <v>582</v>
      </c>
      <c r="D8" s="208" t="s">
        <v>580</v>
      </c>
      <c r="E8" s="209">
        <v>679.48</v>
      </c>
      <c r="F8" s="209">
        <v>618.21</v>
      </c>
      <c r="G8" s="209">
        <v>1297.69</v>
      </c>
      <c r="H8" s="198"/>
    </row>
    <row r="9" spans="1:8" ht="30" hidden="1" x14ac:dyDescent="0.25">
      <c r="A9" s="205" t="s">
        <v>576</v>
      </c>
      <c r="B9" s="206">
        <v>105005</v>
      </c>
      <c r="C9" s="207" t="s">
        <v>583</v>
      </c>
      <c r="D9" s="208" t="s">
        <v>578</v>
      </c>
      <c r="E9" s="209">
        <v>119.21</v>
      </c>
      <c r="F9" s="209">
        <v>110.64</v>
      </c>
      <c r="G9" s="209">
        <v>229.85</v>
      </c>
      <c r="H9" s="198"/>
    </row>
    <row r="10" spans="1:8" ht="45" hidden="1" x14ac:dyDescent="0.25">
      <c r="A10" s="205" t="s">
        <v>576</v>
      </c>
      <c r="B10" s="206">
        <v>105000</v>
      </c>
      <c r="C10" s="207" t="s">
        <v>584</v>
      </c>
      <c r="D10" s="208" t="s">
        <v>585</v>
      </c>
      <c r="E10" s="209">
        <v>996.55</v>
      </c>
      <c r="F10" s="209">
        <v>529.32000000000005</v>
      </c>
      <c r="G10" s="209">
        <v>1525.87</v>
      </c>
      <c r="H10" s="198"/>
    </row>
    <row r="11" spans="1:8" ht="45" hidden="1" x14ac:dyDescent="0.25">
      <c r="A11" s="205" t="s">
        <v>576</v>
      </c>
      <c r="B11" s="206">
        <v>105001</v>
      </c>
      <c r="C11" s="207" t="s">
        <v>586</v>
      </c>
      <c r="D11" s="208" t="s">
        <v>585</v>
      </c>
      <c r="E11" s="209">
        <v>1020.82</v>
      </c>
      <c r="F11" s="209">
        <v>534.59</v>
      </c>
      <c r="G11" s="209">
        <v>1555.41</v>
      </c>
      <c r="H11" s="198"/>
    </row>
    <row r="12" spans="1:8" ht="45" hidden="1" x14ac:dyDescent="0.25">
      <c r="A12" s="205" t="s">
        <v>587</v>
      </c>
      <c r="B12" s="206">
        <v>89306</v>
      </c>
      <c r="C12" s="207" t="s">
        <v>588</v>
      </c>
      <c r="D12" s="208" t="s">
        <v>578</v>
      </c>
      <c r="E12" s="209">
        <v>60.79</v>
      </c>
      <c r="F12" s="209">
        <v>47.33</v>
      </c>
      <c r="G12" s="209">
        <v>108.12</v>
      </c>
      <c r="H12" s="198"/>
    </row>
    <row r="13" spans="1:8" ht="45" hidden="1" x14ac:dyDescent="0.25">
      <c r="A13" s="205" t="s">
        <v>587</v>
      </c>
      <c r="B13" s="206">
        <v>89307</v>
      </c>
      <c r="C13" s="207" t="s">
        <v>589</v>
      </c>
      <c r="D13" s="208" t="s">
        <v>578</v>
      </c>
      <c r="E13" s="209">
        <v>61.86</v>
      </c>
      <c r="F13" s="209">
        <v>49.05</v>
      </c>
      <c r="G13" s="209">
        <v>110.91</v>
      </c>
      <c r="H13" s="198"/>
    </row>
    <row r="14" spans="1:8" ht="45" hidden="1" x14ac:dyDescent="0.25">
      <c r="A14" s="205" t="s">
        <v>587</v>
      </c>
      <c r="B14" s="206">
        <v>89290</v>
      </c>
      <c r="C14" s="207" t="s">
        <v>590</v>
      </c>
      <c r="D14" s="208" t="s">
        <v>578</v>
      </c>
      <c r="E14" s="209">
        <v>53.82</v>
      </c>
      <c r="F14" s="209">
        <v>33.979999999999997</v>
      </c>
      <c r="G14" s="209">
        <v>87.8</v>
      </c>
      <c r="H14" s="198"/>
    </row>
    <row r="15" spans="1:8" ht="45" hidden="1" x14ac:dyDescent="0.25">
      <c r="A15" s="205" t="s">
        <v>587</v>
      </c>
      <c r="B15" s="206">
        <v>89291</v>
      </c>
      <c r="C15" s="207" t="s">
        <v>591</v>
      </c>
      <c r="D15" s="208" t="s">
        <v>578</v>
      </c>
      <c r="E15" s="209">
        <v>54.61</v>
      </c>
      <c r="F15" s="209">
        <v>35.270000000000003</v>
      </c>
      <c r="G15" s="209">
        <v>89.88</v>
      </c>
      <c r="H15" s="198"/>
    </row>
    <row r="16" spans="1:8" ht="45" hidden="1" x14ac:dyDescent="0.25">
      <c r="A16" s="205" t="s">
        <v>587</v>
      </c>
      <c r="B16" s="206">
        <v>89298</v>
      </c>
      <c r="C16" s="207" t="s">
        <v>592</v>
      </c>
      <c r="D16" s="208" t="s">
        <v>578</v>
      </c>
      <c r="E16" s="209">
        <v>56.34</v>
      </c>
      <c r="F16" s="209">
        <v>35.1</v>
      </c>
      <c r="G16" s="209">
        <v>91.44</v>
      </c>
      <c r="H16" s="198"/>
    </row>
    <row r="17" spans="1:8" ht="45" hidden="1" x14ac:dyDescent="0.25">
      <c r="A17" s="205" t="s">
        <v>587</v>
      </c>
      <c r="B17" s="206">
        <v>89299</v>
      </c>
      <c r="C17" s="207" t="s">
        <v>593</v>
      </c>
      <c r="D17" s="208" t="s">
        <v>578</v>
      </c>
      <c r="E17" s="209">
        <v>57.29</v>
      </c>
      <c r="F17" s="209">
        <v>36.65</v>
      </c>
      <c r="G17" s="209">
        <v>93.94</v>
      </c>
      <c r="H17" s="198"/>
    </row>
    <row r="18" spans="1:8" ht="45" hidden="1" x14ac:dyDescent="0.25">
      <c r="A18" s="205" t="s">
        <v>587</v>
      </c>
      <c r="B18" s="206">
        <v>89282</v>
      </c>
      <c r="C18" s="207" t="s">
        <v>594</v>
      </c>
      <c r="D18" s="208" t="s">
        <v>578</v>
      </c>
      <c r="E18" s="209">
        <v>51.21</v>
      </c>
      <c r="F18" s="209">
        <v>26.05</v>
      </c>
      <c r="G18" s="209">
        <v>77.260000000000005</v>
      </c>
      <c r="H18" s="198"/>
    </row>
    <row r="19" spans="1:8" ht="45" hidden="1" x14ac:dyDescent="0.25">
      <c r="A19" s="205" t="s">
        <v>587</v>
      </c>
      <c r="B19" s="206">
        <v>89283</v>
      </c>
      <c r="C19" s="207" t="s">
        <v>595</v>
      </c>
      <c r="D19" s="208" t="s">
        <v>578</v>
      </c>
      <c r="E19" s="209">
        <v>51.92</v>
      </c>
      <c r="F19" s="209">
        <v>27.21</v>
      </c>
      <c r="G19" s="209">
        <v>79.13</v>
      </c>
      <c r="H19" s="198"/>
    </row>
    <row r="20" spans="1:8" ht="45" hidden="1" x14ac:dyDescent="0.25">
      <c r="A20" s="205" t="s">
        <v>596</v>
      </c>
      <c r="B20" s="206">
        <v>89480</v>
      </c>
      <c r="C20" s="207" t="s">
        <v>597</v>
      </c>
      <c r="D20" s="208" t="s">
        <v>578</v>
      </c>
      <c r="E20" s="209">
        <v>104.84</v>
      </c>
      <c r="F20" s="209">
        <v>55.07</v>
      </c>
      <c r="G20" s="209">
        <v>159.91</v>
      </c>
      <c r="H20" s="198"/>
    </row>
    <row r="21" spans="1:8" ht="15.75" hidden="1" customHeight="1" x14ac:dyDescent="0.25">
      <c r="A21" s="205" t="s">
        <v>596</v>
      </c>
      <c r="B21" s="206">
        <v>89464</v>
      </c>
      <c r="C21" s="207" t="s">
        <v>598</v>
      </c>
      <c r="D21" s="208" t="s">
        <v>578</v>
      </c>
      <c r="E21" s="209">
        <v>95.88</v>
      </c>
      <c r="F21" s="209">
        <v>38.909999999999997</v>
      </c>
      <c r="G21" s="209">
        <v>134.79</v>
      </c>
      <c r="H21" s="198"/>
    </row>
    <row r="22" spans="1:8" ht="15.75" hidden="1" customHeight="1" x14ac:dyDescent="0.25">
      <c r="A22" s="205" t="s">
        <v>596</v>
      </c>
      <c r="B22" s="206">
        <v>89478</v>
      </c>
      <c r="C22" s="207" t="s">
        <v>599</v>
      </c>
      <c r="D22" s="208" t="s">
        <v>578</v>
      </c>
      <c r="E22" s="209">
        <v>88.04</v>
      </c>
      <c r="F22" s="209">
        <v>51.48</v>
      </c>
      <c r="G22" s="209">
        <v>139.52000000000001</v>
      </c>
      <c r="H22" s="198"/>
    </row>
    <row r="23" spans="1:8" ht="15.75" hidden="1" customHeight="1" x14ac:dyDescent="0.25">
      <c r="A23" s="205" t="s">
        <v>596</v>
      </c>
      <c r="B23" s="206">
        <v>89462</v>
      </c>
      <c r="C23" s="207" t="s">
        <v>600</v>
      </c>
      <c r="D23" s="208" t="s">
        <v>578</v>
      </c>
      <c r="E23" s="209">
        <v>79.650000000000006</v>
      </c>
      <c r="F23" s="209">
        <v>36.200000000000003</v>
      </c>
      <c r="G23" s="209">
        <v>115.85</v>
      </c>
      <c r="H23" s="198"/>
    </row>
    <row r="24" spans="1:8" ht="15.75" hidden="1" customHeight="1" x14ac:dyDescent="0.25">
      <c r="A24" s="205" t="s">
        <v>596</v>
      </c>
      <c r="B24" s="206">
        <v>89472</v>
      </c>
      <c r="C24" s="207" t="s">
        <v>601</v>
      </c>
      <c r="D24" s="208" t="s">
        <v>578</v>
      </c>
      <c r="E24" s="209">
        <v>84.67</v>
      </c>
      <c r="F24" s="209">
        <v>33.200000000000003</v>
      </c>
      <c r="G24" s="209">
        <v>117.87</v>
      </c>
      <c r="H24" s="198"/>
    </row>
    <row r="25" spans="1:8" ht="15.75" hidden="1" customHeight="1" x14ac:dyDescent="0.25">
      <c r="A25" s="205" t="s">
        <v>596</v>
      </c>
      <c r="B25" s="206">
        <v>89455</v>
      </c>
      <c r="C25" s="207" t="s">
        <v>602</v>
      </c>
      <c r="D25" s="208" t="s">
        <v>578</v>
      </c>
      <c r="E25" s="209">
        <v>78.63</v>
      </c>
      <c r="F25" s="209">
        <v>23.71</v>
      </c>
      <c r="G25" s="209">
        <v>102.34</v>
      </c>
      <c r="H25" s="198"/>
    </row>
    <row r="26" spans="1:8" ht="15.75" hidden="1" customHeight="1" x14ac:dyDescent="0.25">
      <c r="A26" s="205" t="s">
        <v>596</v>
      </c>
      <c r="B26" s="206">
        <v>89470</v>
      </c>
      <c r="C26" s="207" t="s">
        <v>603</v>
      </c>
      <c r="D26" s="208" t="s">
        <v>578</v>
      </c>
      <c r="E26" s="209">
        <v>68.62</v>
      </c>
      <c r="F26" s="209">
        <v>31.01</v>
      </c>
      <c r="G26" s="209">
        <v>99.63</v>
      </c>
      <c r="H26" s="198"/>
    </row>
    <row r="27" spans="1:8" ht="15.75" hidden="1" customHeight="1" x14ac:dyDescent="0.25">
      <c r="A27" s="205" t="s">
        <v>596</v>
      </c>
      <c r="B27" s="206">
        <v>89453</v>
      </c>
      <c r="C27" s="207" t="s">
        <v>604</v>
      </c>
      <c r="D27" s="208" t="s">
        <v>578</v>
      </c>
      <c r="E27" s="209">
        <v>63.1</v>
      </c>
      <c r="F27" s="209">
        <v>22.41</v>
      </c>
      <c r="G27" s="209">
        <v>85.51</v>
      </c>
      <c r="H27" s="198"/>
    </row>
    <row r="28" spans="1:8" ht="15.75" hidden="1" customHeight="1" x14ac:dyDescent="0.25">
      <c r="A28" s="205" t="s">
        <v>605</v>
      </c>
      <c r="B28" s="206">
        <v>103338</v>
      </c>
      <c r="C28" s="207" t="s">
        <v>606</v>
      </c>
      <c r="D28" s="208" t="s">
        <v>578</v>
      </c>
      <c r="E28" s="209">
        <v>70.709999999999994</v>
      </c>
      <c r="F28" s="209">
        <v>49.72</v>
      </c>
      <c r="G28" s="209">
        <v>120.43</v>
      </c>
      <c r="H28" s="198"/>
    </row>
    <row r="29" spans="1:8" ht="15.75" hidden="1" customHeight="1" x14ac:dyDescent="0.25">
      <c r="A29" s="205" t="s">
        <v>605</v>
      </c>
      <c r="B29" s="206">
        <v>103339</v>
      </c>
      <c r="C29" s="207" t="s">
        <v>607</v>
      </c>
      <c r="D29" s="208" t="s">
        <v>578</v>
      </c>
      <c r="E29" s="209">
        <v>71.260000000000005</v>
      </c>
      <c r="F29" s="209">
        <v>50.8</v>
      </c>
      <c r="G29" s="209">
        <v>122.06</v>
      </c>
      <c r="H29" s="198"/>
    </row>
    <row r="30" spans="1:8" ht="15.75" hidden="1" customHeight="1" x14ac:dyDescent="0.25">
      <c r="A30" s="205" t="s">
        <v>605</v>
      </c>
      <c r="B30" s="206">
        <v>103340</v>
      </c>
      <c r="C30" s="207" t="s">
        <v>608</v>
      </c>
      <c r="D30" s="208" t="s">
        <v>578</v>
      </c>
      <c r="E30" s="209">
        <v>87.74</v>
      </c>
      <c r="F30" s="209">
        <v>56.37</v>
      </c>
      <c r="G30" s="209">
        <v>144.11000000000001</v>
      </c>
      <c r="H30" s="198"/>
    </row>
    <row r="31" spans="1:8" ht="15.75" hidden="1" customHeight="1" x14ac:dyDescent="0.25">
      <c r="A31" s="205" t="s">
        <v>605</v>
      </c>
      <c r="B31" s="206">
        <v>103341</v>
      </c>
      <c r="C31" s="207" t="s">
        <v>609</v>
      </c>
      <c r="D31" s="208" t="s">
        <v>578</v>
      </c>
      <c r="E31" s="209">
        <v>88.44</v>
      </c>
      <c r="F31" s="209">
        <v>57.71</v>
      </c>
      <c r="G31" s="209">
        <v>146.15</v>
      </c>
      <c r="H31" s="198"/>
    </row>
    <row r="32" spans="1:8" ht="15.75" hidden="1" customHeight="1" x14ac:dyDescent="0.25">
      <c r="A32" s="205" t="s">
        <v>605</v>
      </c>
      <c r="B32" s="206">
        <v>103336</v>
      </c>
      <c r="C32" s="207" t="s">
        <v>610</v>
      </c>
      <c r="D32" s="208" t="s">
        <v>578</v>
      </c>
      <c r="E32" s="209">
        <v>54.5</v>
      </c>
      <c r="F32" s="209">
        <v>36.479999999999997</v>
      </c>
      <c r="G32" s="209">
        <v>90.98</v>
      </c>
      <c r="H32" s="198"/>
    </row>
    <row r="33" spans="1:8" ht="15.75" hidden="1" customHeight="1" x14ac:dyDescent="0.25">
      <c r="A33" s="205" t="s">
        <v>605</v>
      </c>
      <c r="B33" s="206">
        <v>103337</v>
      </c>
      <c r="C33" s="207" t="s">
        <v>611</v>
      </c>
      <c r="D33" s="208" t="s">
        <v>578</v>
      </c>
      <c r="E33" s="209">
        <v>54.98</v>
      </c>
      <c r="F33" s="209">
        <v>37.39</v>
      </c>
      <c r="G33" s="209">
        <v>92.37</v>
      </c>
      <c r="H33" s="198"/>
    </row>
    <row r="34" spans="1:8" ht="15.75" hidden="1" customHeight="1" x14ac:dyDescent="0.25">
      <c r="A34" s="205" t="s">
        <v>605</v>
      </c>
      <c r="B34" s="206">
        <v>103342</v>
      </c>
      <c r="C34" s="207" t="s">
        <v>612</v>
      </c>
      <c r="D34" s="208" t="s">
        <v>578</v>
      </c>
      <c r="E34" s="209">
        <v>76.510000000000005</v>
      </c>
      <c r="F34" s="209">
        <v>43.5</v>
      </c>
      <c r="G34" s="209">
        <v>120.01</v>
      </c>
      <c r="H34" s="198"/>
    </row>
    <row r="35" spans="1:8" ht="15.75" hidden="1" customHeight="1" x14ac:dyDescent="0.25">
      <c r="A35" s="205" t="s">
        <v>605</v>
      </c>
      <c r="B35" s="206">
        <v>103343</v>
      </c>
      <c r="C35" s="207" t="s">
        <v>613</v>
      </c>
      <c r="D35" s="208" t="s">
        <v>578</v>
      </c>
      <c r="E35" s="209">
        <v>77.14</v>
      </c>
      <c r="F35" s="209">
        <v>44.67</v>
      </c>
      <c r="G35" s="209">
        <v>121.81</v>
      </c>
      <c r="H35" s="198"/>
    </row>
    <row r="36" spans="1:8" ht="15.75" hidden="1" customHeight="1" x14ac:dyDescent="0.25">
      <c r="A36" s="205" t="s">
        <v>605</v>
      </c>
      <c r="B36" s="206">
        <v>103354</v>
      </c>
      <c r="C36" s="207" t="s">
        <v>614</v>
      </c>
      <c r="D36" s="208" t="s">
        <v>578</v>
      </c>
      <c r="E36" s="209">
        <v>50.62</v>
      </c>
      <c r="F36" s="209">
        <v>52.73</v>
      </c>
      <c r="G36" s="209">
        <v>103.35</v>
      </c>
      <c r="H36" s="198"/>
    </row>
    <row r="37" spans="1:8" ht="15.75" hidden="1" customHeight="1" x14ac:dyDescent="0.25">
      <c r="A37" s="205" t="s">
        <v>605</v>
      </c>
      <c r="B37" s="206">
        <v>103355</v>
      </c>
      <c r="C37" s="207" t="s">
        <v>615</v>
      </c>
      <c r="D37" s="208" t="s">
        <v>578</v>
      </c>
      <c r="E37" s="209">
        <v>51.19</v>
      </c>
      <c r="F37" s="209">
        <v>53.82</v>
      </c>
      <c r="G37" s="209">
        <v>105.01</v>
      </c>
      <c r="H37" s="198"/>
    </row>
    <row r="38" spans="1:8" ht="15.75" hidden="1" customHeight="1" x14ac:dyDescent="0.25">
      <c r="A38" s="205" t="s">
        <v>605</v>
      </c>
      <c r="B38" s="206">
        <v>103330</v>
      </c>
      <c r="C38" s="207" t="s">
        <v>616</v>
      </c>
      <c r="D38" s="208" t="s">
        <v>578</v>
      </c>
      <c r="E38" s="209">
        <v>48.73</v>
      </c>
      <c r="F38" s="209">
        <v>45.95</v>
      </c>
      <c r="G38" s="209">
        <v>94.68</v>
      </c>
      <c r="H38" s="198"/>
    </row>
    <row r="39" spans="1:8" ht="15.75" hidden="1" customHeight="1" x14ac:dyDescent="0.25">
      <c r="A39" s="205" t="s">
        <v>605</v>
      </c>
      <c r="B39" s="206">
        <v>103331</v>
      </c>
      <c r="C39" s="207" t="s">
        <v>617</v>
      </c>
      <c r="D39" s="208" t="s">
        <v>578</v>
      </c>
      <c r="E39" s="209">
        <v>49.28</v>
      </c>
      <c r="F39" s="209">
        <v>46.97</v>
      </c>
      <c r="G39" s="209">
        <v>96.25</v>
      </c>
      <c r="H39" s="198"/>
    </row>
    <row r="40" spans="1:8" ht="15.75" hidden="1" customHeight="1" x14ac:dyDescent="0.25">
      <c r="A40" s="205" t="s">
        <v>605</v>
      </c>
      <c r="B40" s="206">
        <v>103358</v>
      </c>
      <c r="C40" s="207" t="s">
        <v>618</v>
      </c>
      <c r="D40" s="208" t="s">
        <v>578</v>
      </c>
      <c r="E40" s="209">
        <v>42.54</v>
      </c>
      <c r="F40" s="209">
        <v>36.81</v>
      </c>
      <c r="G40" s="209">
        <v>79.349999999999994</v>
      </c>
      <c r="H40" s="198"/>
    </row>
    <row r="41" spans="1:8" ht="15.75" hidden="1" customHeight="1" x14ac:dyDescent="0.25">
      <c r="A41" s="205" t="s">
        <v>605</v>
      </c>
      <c r="B41" s="206">
        <v>103359</v>
      </c>
      <c r="C41" s="207" t="s">
        <v>619</v>
      </c>
      <c r="D41" s="208" t="s">
        <v>578</v>
      </c>
      <c r="E41" s="209">
        <v>43.02</v>
      </c>
      <c r="F41" s="209">
        <v>37.659999999999997</v>
      </c>
      <c r="G41" s="209">
        <v>80.680000000000007</v>
      </c>
      <c r="H41" s="198"/>
    </row>
    <row r="42" spans="1:8" ht="15.75" hidden="1" customHeight="1" x14ac:dyDescent="0.25">
      <c r="A42" s="205" t="s">
        <v>605</v>
      </c>
      <c r="B42" s="206">
        <v>103366</v>
      </c>
      <c r="C42" s="207" t="s">
        <v>620</v>
      </c>
      <c r="D42" s="208" t="s">
        <v>578</v>
      </c>
      <c r="E42" s="209">
        <v>39.74</v>
      </c>
      <c r="F42" s="209">
        <v>28.49</v>
      </c>
      <c r="G42" s="209">
        <v>68.23</v>
      </c>
      <c r="H42" s="198"/>
    </row>
    <row r="43" spans="1:8" ht="15.75" hidden="1" customHeight="1" x14ac:dyDescent="0.25">
      <c r="A43" s="205" t="s">
        <v>605</v>
      </c>
      <c r="B43" s="206">
        <v>103367</v>
      </c>
      <c r="C43" s="207" t="s">
        <v>621</v>
      </c>
      <c r="D43" s="208" t="s">
        <v>578</v>
      </c>
      <c r="E43" s="209">
        <v>40.159999999999997</v>
      </c>
      <c r="F43" s="209">
        <v>29.27</v>
      </c>
      <c r="G43" s="209">
        <v>69.430000000000007</v>
      </c>
      <c r="H43" s="198"/>
    </row>
    <row r="44" spans="1:8" ht="15.75" hidden="1" customHeight="1" x14ac:dyDescent="0.25">
      <c r="A44" s="205" t="s">
        <v>605</v>
      </c>
      <c r="B44" s="206">
        <v>103360</v>
      </c>
      <c r="C44" s="207" t="s">
        <v>622</v>
      </c>
      <c r="D44" s="208" t="s">
        <v>578</v>
      </c>
      <c r="E44" s="209">
        <v>49.43</v>
      </c>
      <c r="F44" s="209">
        <v>43.41</v>
      </c>
      <c r="G44" s="209">
        <v>92.84</v>
      </c>
      <c r="H44" s="198"/>
    </row>
    <row r="45" spans="1:8" ht="15.75" hidden="1" customHeight="1" x14ac:dyDescent="0.25">
      <c r="A45" s="205" t="s">
        <v>605</v>
      </c>
      <c r="B45" s="206">
        <v>103361</v>
      </c>
      <c r="C45" s="207" t="s">
        <v>623</v>
      </c>
      <c r="D45" s="208" t="s">
        <v>578</v>
      </c>
      <c r="E45" s="209">
        <v>50</v>
      </c>
      <c r="F45" s="209">
        <v>44.51</v>
      </c>
      <c r="G45" s="209">
        <v>94.51</v>
      </c>
      <c r="H45" s="198"/>
    </row>
    <row r="46" spans="1:8" ht="15.75" hidden="1" customHeight="1" x14ac:dyDescent="0.25">
      <c r="A46" s="205" t="s">
        <v>605</v>
      </c>
      <c r="B46" s="206">
        <v>103368</v>
      </c>
      <c r="C46" s="207" t="s">
        <v>624</v>
      </c>
      <c r="D46" s="208" t="s">
        <v>578</v>
      </c>
      <c r="E46" s="209">
        <v>44.46</v>
      </c>
      <c r="F46" s="209">
        <v>33.21</v>
      </c>
      <c r="G46" s="209">
        <v>77.67</v>
      </c>
      <c r="H46" s="198"/>
    </row>
    <row r="47" spans="1:8" ht="15.75" hidden="1" customHeight="1" x14ac:dyDescent="0.25">
      <c r="A47" s="205" t="s">
        <v>605</v>
      </c>
      <c r="B47" s="206">
        <v>103369</v>
      </c>
      <c r="C47" s="207" t="s">
        <v>625</v>
      </c>
      <c r="D47" s="208" t="s">
        <v>578</v>
      </c>
      <c r="E47" s="209">
        <v>44.99</v>
      </c>
      <c r="F47" s="209">
        <v>34.200000000000003</v>
      </c>
      <c r="G47" s="209">
        <v>79.19</v>
      </c>
      <c r="H47" s="198"/>
    </row>
    <row r="48" spans="1:8" ht="15.75" hidden="1" customHeight="1" x14ac:dyDescent="0.25">
      <c r="A48" s="205" t="s">
        <v>605</v>
      </c>
      <c r="B48" s="206">
        <v>103334</v>
      </c>
      <c r="C48" s="207" t="s">
        <v>626</v>
      </c>
      <c r="D48" s="208" t="s">
        <v>578</v>
      </c>
      <c r="E48" s="209">
        <v>80.400000000000006</v>
      </c>
      <c r="F48" s="209">
        <v>88.78</v>
      </c>
      <c r="G48" s="209">
        <v>169.18</v>
      </c>
      <c r="H48" s="198"/>
    </row>
    <row r="49" spans="1:8" ht="15.75" hidden="1" customHeight="1" x14ac:dyDescent="0.25">
      <c r="A49" s="205" t="s">
        <v>605</v>
      </c>
      <c r="B49" s="206">
        <v>103335</v>
      </c>
      <c r="C49" s="207" t="s">
        <v>627</v>
      </c>
      <c r="D49" s="208" t="s">
        <v>578</v>
      </c>
      <c r="E49" s="209">
        <v>81.41</v>
      </c>
      <c r="F49" s="209">
        <v>90.69</v>
      </c>
      <c r="G49" s="209">
        <v>172.1</v>
      </c>
      <c r="H49" s="198"/>
    </row>
    <row r="50" spans="1:8" ht="15.75" hidden="1" customHeight="1" x14ac:dyDescent="0.25">
      <c r="A50" s="205" t="s">
        <v>605</v>
      </c>
      <c r="B50" s="206">
        <v>103362</v>
      </c>
      <c r="C50" s="207" t="s">
        <v>628</v>
      </c>
      <c r="D50" s="208" t="s">
        <v>578</v>
      </c>
      <c r="E50" s="209">
        <v>62.41</v>
      </c>
      <c r="F50" s="209">
        <v>49.55</v>
      </c>
      <c r="G50" s="209">
        <v>111.96</v>
      </c>
      <c r="H50" s="198"/>
    </row>
    <row r="51" spans="1:8" ht="15.75" hidden="1" customHeight="1" x14ac:dyDescent="0.25">
      <c r="A51" s="205" t="s">
        <v>605</v>
      </c>
      <c r="B51" s="206">
        <v>103363</v>
      </c>
      <c r="C51" s="207" t="s">
        <v>629</v>
      </c>
      <c r="D51" s="208" t="s">
        <v>578</v>
      </c>
      <c r="E51" s="209">
        <v>63.08</v>
      </c>
      <c r="F51" s="209">
        <v>50.77</v>
      </c>
      <c r="G51" s="209">
        <v>113.85</v>
      </c>
      <c r="H51" s="198"/>
    </row>
    <row r="52" spans="1:8" ht="15.75" hidden="1" customHeight="1" x14ac:dyDescent="0.25">
      <c r="A52" s="205" t="s">
        <v>605</v>
      </c>
      <c r="B52" s="206">
        <v>103370</v>
      </c>
      <c r="C52" s="207" t="s">
        <v>630</v>
      </c>
      <c r="D52" s="208" t="s">
        <v>578</v>
      </c>
      <c r="E52" s="209">
        <v>58.85</v>
      </c>
      <c r="F52" s="209">
        <v>38.200000000000003</v>
      </c>
      <c r="G52" s="209">
        <v>97.05</v>
      </c>
      <c r="H52" s="198"/>
    </row>
    <row r="53" spans="1:8" ht="15.75" hidden="1" customHeight="1" x14ac:dyDescent="0.25">
      <c r="A53" s="205" t="s">
        <v>605</v>
      </c>
      <c r="B53" s="206">
        <v>103371</v>
      </c>
      <c r="C53" s="207" t="s">
        <v>631</v>
      </c>
      <c r="D53" s="208" t="s">
        <v>578</v>
      </c>
      <c r="E53" s="209">
        <v>59.45</v>
      </c>
      <c r="F53" s="209">
        <v>39.31</v>
      </c>
      <c r="G53" s="209">
        <v>98.76</v>
      </c>
      <c r="H53" s="198"/>
    </row>
    <row r="54" spans="1:8" ht="15.75" hidden="1" customHeight="1" x14ac:dyDescent="0.25">
      <c r="A54" s="205" t="s">
        <v>605</v>
      </c>
      <c r="B54" s="206">
        <v>103332</v>
      </c>
      <c r="C54" s="207" t="s">
        <v>632</v>
      </c>
      <c r="D54" s="208" t="s">
        <v>578</v>
      </c>
      <c r="E54" s="209">
        <v>60.91</v>
      </c>
      <c r="F54" s="209">
        <v>83.41</v>
      </c>
      <c r="G54" s="209">
        <v>144.32</v>
      </c>
      <c r="H54" s="198"/>
    </row>
    <row r="55" spans="1:8" ht="15.75" hidden="1" customHeight="1" x14ac:dyDescent="0.25">
      <c r="A55" s="205" t="s">
        <v>605</v>
      </c>
      <c r="B55" s="206">
        <v>103333</v>
      </c>
      <c r="C55" s="207" t="s">
        <v>633</v>
      </c>
      <c r="D55" s="208" t="s">
        <v>578</v>
      </c>
      <c r="E55" s="209">
        <v>61.48</v>
      </c>
      <c r="F55" s="209">
        <v>84.51</v>
      </c>
      <c r="G55" s="209">
        <v>145.99</v>
      </c>
      <c r="H55" s="198"/>
    </row>
    <row r="56" spans="1:8" ht="15.75" hidden="1" customHeight="1" x14ac:dyDescent="0.25">
      <c r="A56" s="205" t="s">
        <v>605</v>
      </c>
      <c r="B56" s="206">
        <v>103352</v>
      </c>
      <c r="C56" s="207" t="s">
        <v>634</v>
      </c>
      <c r="D56" s="208" t="s">
        <v>578</v>
      </c>
      <c r="E56" s="209">
        <v>54.14</v>
      </c>
      <c r="F56" s="209">
        <v>68.37</v>
      </c>
      <c r="G56" s="209">
        <v>122.51</v>
      </c>
      <c r="H56" s="198"/>
    </row>
    <row r="57" spans="1:8" ht="15.75" hidden="1" customHeight="1" x14ac:dyDescent="0.25">
      <c r="A57" s="205" t="s">
        <v>605</v>
      </c>
      <c r="B57" s="206">
        <v>103353</v>
      </c>
      <c r="C57" s="207" t="s">
        <v>635</v>
      </c>
      <c r="D57" s="208" t="s">
        <v>578</v>
      </c>
      <c r="E57" s="209">
        <v>54.68</v>
      </c>
      <c r="F57" s="209">
        <v>69.38</v>
      </c>
      <c r="G57" s="209">
        <v>124.06</v>
      </c>
      <c r="H57" s="198"/>
    </row>
    <row r="58" spans="1:8" ht="15.75" hidden="1" customHeight="1" x14ac:dyDescent="0.25">
      <c r="A58" s="205" t="s">
        <v>605</v>
      </c>
      <c r="B58" s="206">
        <v>103328</v>
      </c>
      <c r="C58" s="207" t="s">
        <v>636</v>
      </c>
      <c r="D58" s="208" t="s">
        <v>578</v>
      </c>
      <c r="E58" s="209">
        <v>50.43</v>
      </c>
      <c r="F58" s="209">
        <v>61.21</v>
      </c>
      <c r="G58" s="209">
        <v>111.64</v>
      </c>
      <c r="H58" s="198"/>
    </row>
    <row r="59" spans="1:8" ht="15.75" hidden="1" customHeight="1" x14ac:dyDescent="0.25">
      <c r="A59" s="205" t="s">
        <v>605</v>
      </c>
      <c r="B59" s="206">
        <v>103329</v>
      </c>
      <c r="C59" s="207" t="s">
        <v>637</v>
      </c>
      <c r="D59" s="208" t="s">
        <v>578</v>
      </c>
      <c r="E59" s="209">
        <v>50.95</v>
      </c>
      <c r="F59" s="209">
        <v>62.15</v>
      </c>
      <c r="G59" s="209">
        <v>113.1</v>
      </c>
      <c r="H59" s="198"/>
    </row>
    <row r="60" spans="1:8" ht="15.75" hidden="1" customHeight="1" x14ac:dyDescent="0.25">
      <c r="A60" s="205" t="s">
        <v>605</v>
      </c>
      <c r="B60" s="206">
        <v>103356</v>
      </c>
      <c r="C60" s="207" t="s">
        <v>638</v>
      </c>
      <c r="D60" s="208" t="s">
        <v>578</v>
      </c>
      <c r="E60" s="209">
        <v>38.909999999999997</v>
      </c>
      <c r="F60" s="209">
        <v>29.63</v>
      </c>
      <c r="G60" s="209">
        <v>68.540000000000006</v>
      </c>
      <c r="H60" s="198"/>
    </row>
    <row r="61" spans="1:8" ht="15.75" hidden="1" customHeight="1" x14ac:dyDescent="0.25">
      <c r="A61" s="205" t="s">
        <v>605</v>
      </c>
      <c r="B61" s="206">
        <v>103357</v>
      </c>
      <c r="C61" s="207" t="s">
        <v>639</v>
      </c>
      <c r="D61" s="208" t="s">
        <v>578</v>
      </c>
      <c r="E61" s="209">
        <v>39.33</v>
      </c>
      <c r="F61" s="209">
        <v>30.44</v>
      </c>
      <c r="G61" s="209">
        <v>69.77</v>
      </c>
      <c r="H61" s="198"/>
    </row>
    <row r="62" spans="1:8" ht="15.75" hidden="1" customHeight="1" x14ac:dyDescent="0.25">
      <c r="A62" s="205" t="s">
        <v>605</v>
      </c>
      <c r="B62" s="206">
        <v>103364</v>
      </c>
      <c r="C62" s="207" t="s">
        <v>640</v>
      </c>
      <c r="D62" s="208" t="s">
        <v>578</v>
      </c>
      <c r="E62" s="209">
        <v>33.81</v>
      </c>
      <c r="F62" s="209">
        <v>22.81</v>
      </c>
      <c r="G62" s="209">
        <v>56.62</v>
      </c>
      <c r="H62" s="198"/>
    </row>
    <row r="63" spans="1:8" ht="15.75" hidden="1" customHeight="1" x14ac:dyDescent="0.25">
      <c r="A63" s="205" t="s">
        <v>605</v>
      </c>
      <c r="B63" s="206">
        <v>103365</v>
      </c>
      <c r="C63" s="207" t="s">
        <v>641</v>
      </c>
      <c r="D63" s="208" t="s">
        <v>578</v>
      </c>
      <c r="E63" s="209">
        <v>33.96</v>
      </c>
      <c r="F63" s="209">
        <v>23.54</v>
      </c>
      <c r="G63" s="209">
        <v>57.5</v>
      </c>
      <c r="H63" s="198"/>
    </row>
    <row r="64" spans="1:8" ht="15.75" hidden="1" customHeight="1" x14ac:dyDescent="0.25">
      <c r="A64" s="205" t="s">
        <v>605</v>
      </c>
      <c r="B64" s="206">
        <v>103350</v>
      </c>
      <c r="C64" s="207" t="s">
        <v>642</v>
      </c>
      <c r="D64" s="208" t="s">
        <v>578</v>
      </c>
      <c r="E64" s="209">
        <v>93.15</v>
      </c>
      <c r="F64" s="209">
        <v>114.77</v>
      </c>
      <c r="G64" s="209">
        <v>207.92</v>
      </c>
      <c r="H64" s="198"/>
    </row>
    <row r="65" spans="1:8" ht="15.75" hidden="1" customHeight="1" x14ac:dyDescent="0.25">
      <c r="A65" s="205" t="s">
        <v>605</v>
      </c>
      <c r="B65" s="206">
        <v>103351</v>
      </c>
      <c r="C65" s="207" t="s">
        <v>643</v>
      </c>
      <c r="D65" s="208" t="s">
        <v>578</v>
      </c>
      <c r="E65" s="209">
        <v>93.88</v>
      </c>
      <c r="F65" s="209">
        <v>116.18</v>
      </c>
      <c r="G65" s="209">
        <v>210.06</v>
      </c>
      <c r="H65" s="198"/>
    </row>
    <row r="66" spans="1:8" ht="15.75" hidden="1" customHeight="1" x14ac:dyDescent="0.25">
      <c r="A66" s="205" t="s">
        <v>605</v>
      </c>
      <c r="B66" s="206">
        <v>103344</v>
      </c>
      <c r="C66" s="207" t="s">
        <v>644</v>
      </c>
      <c r="D66" s="208" t="s">
        <v>578</v>
      </c>
      <c r="E66" s="209">
        <v>54.28</v>
      </c>
      <c r="F66" s="209">
        <v>37.25</v>
      </c>
      <c r="G66" s="209">
        <v>91.53</v>
      </c>
      <c r="H66" s="198"/>
    </row>
    <row r="67" spans="1:8" ht="15.75" hidden="1" customHeight="1" x14ac:dyDescent="0.25">
      <c r="A67" s="205" t="s">
        <v>605</v>
      </c>
      <c r="B67" s="206">
        <v>103345</v>
      </c>
      <c r="C67" s="207" t="s">
        <v>645</v>
      </c>
      <c r="D67" s="208" t="s">
        <v>578</v>
      </c>
      <c r="E67" s="209">
        <v>54.96</v>
      </c>
      <c r="F67" s="209">
        <v>38.520000000000003</v>
      </c>
      <c r="G67" s="209">
        <v>93.48</v>
      </c>
      <c r="H67" s="198"/>
    </row>
    <row r="68" spans="1:8" ht="15.75" hidden="1" customHeight="1" x14ac:dyDescent="0.25">
      <c r="A68" s="205" t="s">
        <v>605</v>
      </c>
      <c r="B68" s="206">
        <v>103348</v>
      </c>
      <c r="C68" s="207" t="s">
        <v>646</v>
      </c>
      <c r="D68" s="208" t="s">
        <v>578</v>
      </c>
      <c r="E68" s="209">
        <v>47.5</v>
      </c>
      <c r="F68" s="209">
        <v>28.89</v>
      </c>
      <c r="G68" s="209">
        <v>76.39</v>
      </c>
      <c r="H68" s="198"/>
    </row>
    <row r="69" spans="1:8" ht="15.75" hidden="1" customHeight="1" x14ac:dyDescent="0.25">
      <c r="A69" s="205" t="s">
        <v>605</v>
      </c>
      <c r="B69" s="206">
        <v>103349</v>
      </c>
      <c r="C69" s="207" t="s">
        <v>647</v>
      </c>
      <c r="D69" s="208" t="s">
        <v>578</v>
      </c>
      <c r="E69" s="209">
        <v>48.12</v>
      </c>
      <c r="F69" s="209">
        <v>30.05</v>
      </c>
      <c r="G69" s="209">
        <v>78.17</v>
      </c>
      <c r="H69" s="198"/>
    </row>
    <row r="70" spans="1:8" ht="15.75" hidden="1" customHeight="1" x14ac:dyDescent="0.25">
      <c r="A70" s="205" t="s">
        <v>605</v>
      </c>
      <c r="B70" s="206">
        <v>103346</v>
      </c>
      <c r="C70" s="207" t="s">
        <v>648</v>
      </c>
      <c r="D70" s="208" t="s">
        <v>578</v>
      </c>
      <c r="E70" s="209">
        <v>58.96</v>
      </c>
      <c r="F70" s="209">
        <v>43.69</v>
      </c>
      <c r="G70" s="209">
        <v>102.65</v>
      </c>
      <c r="H70" s="198"/>
    </row>
    <row r="71" spans="1:8" ht="15.75" hidden="1" customHeight="1" x14ac:dyDescent="0.25">
      <c r="A71" s="205" t="s">
        <v>605</v>
      </c>
      <c r="B71" s="206">
        <v>103347</v>
      </c>
      <c r="C71" s="207" t="s">
        <v>649</v>
      </c>
      <c r="D71" s="208" t="s">
        <v>578</v>
      </c>
      <c r="E71" s="209">
        <v>59.68</v>
      </c>
      <c r="F71" s="209">
        <v>45.05</v>
      </c>
      <c r="G71" s="209">
        <v>104.73</v>
      </c>
      <c r="H71" s="198"/>
    </row>
    <row r="72" spans="1:8" ht="15.75" hidden="1" customHeight="1" x14ac:dyDescent="0.25">
      <c r="A72" s="205" t="s">
        <v>605</v>
      </c>
      <c r="B72" s="206">
        <v>103324</v>
      </c>
      <c r="C72" s="207" t="s">
        <v>650</v>
      </c>
      <c r="D72" s="208" t="s">
        <v>578</v>
      </c>
      <c r="E72" s="209">
        <v>53.33</v>
      </c>
      <c r="F72" s="209">
        <v>33.47</v>
      </c>
      <c r="G72" s="209">
        <v>86.8</v>
      </c>
      <c r="H72" s="198"/>
    </row>
    <row r="73" spans="1:8" ht="15.75" hidden="1" customHeight="1" x14ac:dyDescent="0.25">
      <c r="A73" s="205" t="s">
        <v>605</v>
      </c>
      <c r="B73" s="206">
        <v>103325</v>
      </c>
      <c r="C73" s="207" t="s">
        <v>651</v>
      </c>
      <c r="D73" s="208" t="s">
        <v>578</v>
      </c>
      <c r="E73" s="209">
        <v>53.99</v>
      </c>
      <c r="F73" s="209">
        <v>34.700000000000003</v>
      </c>
      <c r="G73" s="209">
        <v>88.69</v>
      </c>
      <c r="H73" s="198"/>
    </row>
    <row r="74" spans="1:8" ht="15.75" hidden="1" customHeight="1" x14ac:dyDescent="0.25">
      <c r="A74" s="205" t="s">
        <v>605</v>
      </c>
      <c r="B74" s="206">
        <v>103326</v>
      </c>
      <c r="C74" s="207" t="s">
        <v>652</v>
      </c>
      <c r="D74" s="208" t="s">
        <v>578</v>
      </c>
      <c r="E74" s="209">
        <v>63.56</v>
      </c>
      <c r="F74" s="209">
        <v>38.56</v>
      </c>
      <c r="G74" s="209">
        <v>102.12</v>
      </c>
      <c r="H74" s="198"/>
    </row>
    <row r="75" spans="1:8" ht="15.75" hidden="1" customHeight="1" x14ac:dyDescent="0.25">
      <c r="A75" s="205" t="s">
        <v>605</v>
      </c>
      <c r="B75" s="206">
        <v>103327</v>
      </c>
      <c r="C75" s="207" t="s">
        <v>653</v>
      </c>
      <c r="D75" s="208" t="s">
        <v>578</v>
      </c>
      <c r="E75" s="209">
        <v>64.33</v>
      </c>
      <c r="F75" s="209">
        <v>40</v>
      </c>
      <c r="G75" s="209">
        <v>104.33</v>
      </c>
      <c r="H75" s="198"/>
    </row>
    <row r="76" spans="1:8" ht="15.75" hidden="1" customHeight="1" x14ac:dyDescent="0.25">
      <c r="A76" s="205" t="s">
        <v>605</v>
      </c>
      <c r="B76" s="206">
        <v>103322</v>
      </c>
      <c r="C76" s="207" t="s">
        <v>654</v>
      </c>
      <c r="D76" s="208" t="s">
        <v>578</v>
      </c>
      <c r="E76" s="209">
        <v>41.02</v>
      </c>
      <c r="F76" s="209">
        <v>23.21</v>
      </c>
      <c r="G76" s="209">
        <v>64.23</v>
      </c>
      <c r="H76" s="198"/>
    </row>
    <row r="77" spans="1:8" ht="15.75" hidden="1" customHeight="1" x14ac:dyDescent="0.25">
      <c r="A77" s="205" t="s">
        <v>605</v>
      </c>
      <c r="B77" s="206">
        <v>103323</v>
      </c>
      <c r="C77" s="207" t="s">
        <v>655</v>
      </c>
      <c r="D77" s="208" t="s">
        <v>578</v>
      </c>
      <c r="E77" s="209">
        <v>41.59</v>
      </c>
      <c r="F77" s="209">
        <v>24.3</v>
      </c>
      <c r="G77" s="209">
        <v>65.89</v>
      </c>
      <c r="H77" s="198"/>
    </row>
    <row r="78" spans="1:8" ht="15.75" hidden="1" customHeight="1" x14ac:dyDescent="0.25">
      <c r="A78" s="205" t="s">
        <v>605</v>
      </c>
      <c r="B78" s="206">
        <v>103318</v>
      </c>
      <c r="C78" s="207" t="s">
        <v>656</v>
      </c>
      <c r="D78" s="208" t="s">
        <v>578</v>
      </c>
      <c r="E78" s="209">
        <v>64.89</v>
      </c>
      <c r="F78" s="209">
        <v>38.53</v>
      </c>
      <c r="G78" s="209">
        <v>103.42</v>
      </c>
      <c r="H78" s="198"/>
    </row>
    <row r="79" spans="1:8" ht="15.75" hidden="1" customHeight="1" x14ac:dyDescent="0.25">
      <c r="A79" s="205" t="s">
        <v>605</v>
      </c>
      <c r="B79" s="206">
        <v>103319</v>
      </c>
      <c r="C79" s="207" t="s">
        <v>657</v>
      </c>
      <c r="D79" s="208" t="s">
        <v>578</v>
      </c>
      <c r="E79" s="209">
        <v>65.45</v>
      </c>
      <c r="F79" s="209">
        <v>39.6</v>
      </c>
      <c r="G79" s="209">
        <v>105.05</v>
      </c>
      <c r="H79" s="198"/>
    </row>
    <row r="80" spans="1:8" ht="15.75" hidden="1" customHeight="1" x14ac:dyDescent="0.25">
      <c r="A80" s="205" t="s">
        <v>605</v>
      </c>
      <c r="B80" s="206">
        <v>103320</v>
      </c>
      <c r="C80" s="207" t="s">
        <v>658</v>
      </c>
      <c r="D80" s="208" t="s">
        <v>578</v>
      </c>
      <c r="E80" s="209">
        <v>79.62</v>
      </c>
      <c r="F80" s="209">
        <v>43.66</v>
      </c>
      <c r="G80" s="209">
        <v>123.28</v>
      </c>
      <c r="H80" s="198"/>
    </row>
    <row r="81" spans="1:8" ht="15.75" hidden="1" customHeight="1" x14ac:dyDescent="0.25">
      <c r="A81" s="205" t="s">
        <v>605</v>
      </c>
      <c r="B81" s="206">
        <v>103321</v>
      </c>
      <c r="C81" s="207" t="s">
        <v>659</v>
      </c>
      <c r="D81" s="208" t="s">
        <v>578</v>
      </c>
      <c r="E81" s="209">
        <v>80.31</v>
      </c>
      <c r="F81" s="209">
        <v>45.01</v>
      </c>
      <c r="G81" s="209">
        <v>125.32</v>
      </c>
      <c r="H81" s="198"/>
    </row>
    <row r="82" spans="1:8" ht="15.75" hidden="1" customHeight="1" x14ac:dyDescent="0.25">
      <c r="A82" s="205" t="s">
        <v>605</v>
      </c>
      <c r="B82" s="206">
        <v>103316</v>
      </c>
      <c r="C82" s="207" t="s">
        <v>660</v>
      </c>
      <c r="D82" s="208" t="s">
        <v>578</v>
      </c>
      <c r="E82" s="209">
        <v>50.78</v>
      </c>
      <c r="F82" s="209">
        <v>28.24</v>
      </c>
      <c r="G82" s="209">
        <v>79.02</v>
      </c>
      <c r="H82" s="198"/>
    </row>
    <row r="83" spans="1:8" ht="15.75" hidden="1" customHeight="1" x14ac:dyDescent="0.25">
      <c r="A83" s="205" t="s">
        <v>605</v>
      </c>
      <c r="B83" s="206">
        <v>103317</v>
      </c>
      <c r="C83" s="207" t="s">
        <v>661</v>
      </c>
      <c r="D83" s="208" t="s">
        <v>578</v>
      </c>
      <c r="E83" s="209">
        <v>51.26</v>
      </c>
      <c r="F83" s="209">
        <v>29.15</v>
      </c>
      <c r="G83" s="209">
        <v>80.41</v>
      </c>
      <c r="H83" s="198"/>
    </row>
    <row r="84" spans="1:8" ht="15.75" hidden="1" customHeight="1" x14ac:dyDescent="0.25">
      <c r="A84" s="205" t="s">
        <v>662</v>
      </c>
      <c r="B84" s="206">
        <v>101166</v>
      </c>
      <c r="C84" s="207" t="s">
        <v>663</v>
      </c>
      <c r="D84" s="208" t="s">
        <v>664</v>
      </c>
      <c r="E84" s="209">
        <v>415.61</v>
      </c>
      <c r="F84" s="209">
        <v>326.54000000000002</v>
      </c>
      <c r="G84" s="209">
        <v>742.15</v>
      </c>
      <c r="H84" s="198"/>
    </row>
    <row r="85" spans="1:8" ht="15.75" hidden="1" customHeight="1" x14ac:dyDescent="0.25">
      <c r="A85" s="205" t="s">
        <v>662</v>
      </c>
      <c r="B85" s="206">
        <v>101165</v>
      </c>
      <c r="C85" s="207" t="s">
        <v>665</v>
      </c>
      <c r="D85" s="208" t="s">
        <v>664</v>
      </c>
      <c r="E85" s="209">
        <v>631.74</v>
      </c>
      <c r="F85" s="209">
        <v>398.32</v>
      </c>
      <c r="G85" s="209">
        <v>1030.06</v>
      </c>
      <c r="H85" s="198"/>
    </row>
    <row r="86" spans="1:8" ht="15.75" hidden="1" customHeight="1" x14ac:dyDescent="0.25">
      <c r="A86" s="205" t="s">
        <v>662</v>
      </c>
      <c r="B86" s="206">
        <v>101163</v>
      </c>
      <c r="C86" s="207" t="s">
        <v>666</v>
      </c>
      <c r="D86" s="208" t="s">
        <v>578</v>
      </c>
      <c r="E86" s="209">
        <v>470.18</v>
      </c>
      <c r="F86" s="209">
        <v>158.15</v>
      </c>
      <c r="G86" s="209">
        <v>628.33000000000004</v>
      </c>
      <c r="H86" s="198"/>
    </row>
    <row r="87" spans="1:8" ht="15.75" hidden="1" customHeight="1" x14ac:dyDescent="0.25">
      <c r="A87" s="205" t="s">
        <v>662</v>
      </c>
      <c r="B87" s="206">
        <v>101164</v>
      </c>
      <c r="C87" s="207" t="s">
        <v>667</v>
      </c>
      <c r="D87" s="208" t="s">
        <v>578</v>
      </c>
      <c r="E87" s="209">
        <v>478.26</v>
      </c>
      <c r="F87" s="209">
        <v>158.91</v>
      </c>
      <c r="G87" s="209">
        <v>637.16999999999996</v>
      </c>
      <c r="H87" s="198"/>
    </row>
    <row r="88" spans="1:8" ht="15.75" hidden="1" customHeight="1" x14ac:dyDescent="0.25">
      <c r="A88" s="205" t="s">
        <v>662</v>
      </c>
      <c r="B88" s="206">
        <v>101162</v>
      </c>
      <c r="C88" s="207" t="s">
        <v>668</v>
      </c>
      <c r="D88" s="208" t="s">
        <v>578</v>
      </c>
      <c r="E88" s="209">
        <v>93.76</v>
      </c>
      <c r="F88" s="209">
        <v>84.71</v>
      </c>
      <c r="G88" s="209">
        <v>178.47</v>
      </c>
      <c r="H88" s="198"/>
    </row>
    <row r="89" spans="1:8" ht="15.75" hidden="1" customHeight="1" x14ac:dyDescent="0.25">
      <c r="A89" s="205" t="s">
        <v>662</v>
      </c>
      <c r="B89" s="206">
        <v>101161</v>
      </c>
      <c r="C89" s="207" t="s">
        <v>669</v>
      </c>
      <c r="D89" s="208" t="s">
        <v>578</v>
      </c>
      <c r="E89" s="209">
        <v>153.94</v>
      </c>
      <c r="F89" s="209">
        <v>77.569999999999993</v>
      </c>
      <c r="G89" s="209">
        <v>231.51</v>
      </c>
      <c r="H89" s="198"/>
    </row>
    <row r="90" spans="1:8" ht="15.75" hidden="1" customHeight="1" x14ac:dyDescent="0.25">
      <c r="A90" s="205" t="s">
        <v>662</v>
      </c>
      <c r="B90" s="206">
        <v>101159</v>
      </c>
      <c r="C90" s="207" t="s">
        <v>670</v>
      </c>
      <c r="D90" s="208" t="s">
        <v>578</v>
      </c>
      <c r="E90" s="209">
        <v>79.28</v>
      </c>
      <c r="F90" s="209">
        <v>75.64</v>
      </c>
      <c r="G90" s="209">
        <v>154.91999999999999</v>
      </c>
      <c r="H90" s="198"/>
    </row>
    <row r="91" spans="1:8" ht="15.75" hidden="1" customHeight="1" x14ac:dyDescent="0.25">
      <c r="A91" s="205" t="s">
        <v>662</v>
      </c>
      <c r="B91" s="206">
        <v>101154</v>
      </c>
      <c r="C91" s="207" t="s">
        <v>671</v>
      </c>
      <c r="D91" s="208" t="s">
        <v>578</v>
      </c>
      <c r="E91" s="209">
        <v>101.91</v>
      </c>
      <c r="F91" s="209">
        <v>31.81</v>
      </c>
      <c r="G91" s="209">
        <v>133.72</v>
      </c>
      <c r="H91" s="198"/>
    </row>
    <row r="92" spans="1:8" ht="15.75" hidden="1" customHeight="1" x14ac:dyDescent="0.25">
      <c r="A92" s="205" t="s">
        <v>662</v>
      </c>
      <c r="B92" s="206">
        <v>101155</v>
      </c>
      <c r="C92" s="207" t="s">
        <v>672</v>
      </c>
      <c r="D92" s="208" t="s">
        <v>578</v>
      </c>
      <c r="E92" s="209">
        <v>144.97</v>
      </c>
      <c r="F92" s="209">
        <v>41.98</v>
      </c>
      <c r="G92" s="209">
        <v>186.95</v>
      </c>
      <c r="H92" s="198"/>
    </row>
    <row r="93" spans="1:8" ht="15.75" hidden="1" customHeight="1" x14ac:dyDescent="0.25">
      <c r="A93" s="205" t="s">
        <v>662</v>
      </c>
      <c r="B93" s="206">
        <v>101156</v>
      </c>
      <c r="C93" s="207" t="s">
        <v>673</v>
      </c>
      <c r="D93" s="208" t="s">
        <v>578</v>
      </c>
      <c r="E93" s="209">
        <v>215.62</v>
      </c>
      <c r="F93" s="209">
        <v>57.24</v>
      </c>
      <c r="G93" s="209">
        <v>272.86</v>
      </c>
      <c r="H93" s="198"/>
    </row>
    <row r="94" spans="1:8" ht="15.75" hidden="1" customHeight="1" x14ac:dyDescent="0.25">
      <c r="A94" s="205" t="s">
        <v>662</v>
      </c>
      <c r="B94" s="206">
        <v>101158</v>
      </c>
      <c r="C94" s="207" t="s">
        <v>674</v>
      </c>
      <c r="D94" s="208" t="s">
        <v>578</v>
      </c>
      <c r="E94" s="209">
        <v>70.900000000000006</v>
      </c>
      <c r="F94" s="209">
        <v>21.19</v>
      </c>
      <c r="G94" s="209">
        <v>92.09</v>
      </c>
      <c r="H94" s="198"/>
    </row>
    <row r="95" spans="1:8" ht="15.75" hidden="1" customHeight="1" x14ac:dyDescent="0.25">
      <c r="A95" s="205" t="s">
        <v>662</v>
      </c>
      <c r="B95" s="206">
        <v>101157</v>
      </c>
      <c r="C95" s="207" t="s">
        <v>675</v>
      </c>
      <c r="D95" s="208" t="s">
        <v>578</v>
      </c>
      <c r="E95" s="209">
        <v>52.94</v>
      </c>
      <c r="F95" s="209">
        <v>18.079999999999998</v>
      </c>
      <c r="G95" s="209">
        <v>71.02</v>
      </c>
      <c r="H95" s="198"/>
    </row>
    <row r="96" spans="1:8" ht="15.75" hidden="1" customHeight="1" x14ac:dyDescent="0.25">
      <c r="A96" s="205" t="s">
        <v>676</v>
      </c>
      <c r="B96" s="206">
        <v>87382</v>
      </c>
      <c r="C96" s="207" t="s">
        <v>677</v>
      </c>
      <c r="D96" s="208" t="s">
        <v>664</v>
      </c>
      <c r="E96" s="209">
        <v>1532.65</v>
      </c>
      <c r="F96" s="209">
        <v>111.29</v>
      </c>
      <c r="G96" s="209">
        <v>1643.94</v>
      </c>
      <c r="H96" s="198"/>
    </row>
    <row r="97" spans="1:8" ht="15.75" hidden="1" customHeight="1" x14ac:dyDescent="0.25">
      <c r="A97" s="205" t="s">
        <v>676</v>
      </c>
      <c r="B97" s="206">
        <v>87383</v>
      </c>
      <c r="C97" s="207" t="s">
        <v>678</v>
      </c>
      <c r="D97" s="208" t="s">
        <v>664</v>
      </c>
      <c r="E97" s="209">
        <v>1539.58</v>
      </c>
      <c r="F97" s="209">
        <v>87.36</v>
      </c>
      <c r="G97" s="209">
        <v>1626.94</v>
      </c>
      <c r="H97" s="198"/>
    </row>
    <row r="98" spans="1:8" ht="15.75" hidden="1" customHeight="1" x14ac:dyDescent="0.25">
      <c r="A98" s="205" t="s">
        <v>676</v>
      </c>
      <c r="B98" s="206">
        <v>87384</v>
      </c>
      <c r="C98" s="207" t="s">
        <v>679</v>
      </c>
      <c r="D98" s="208" t="s">
        <v>664</v>
      </c>
      <c r="E98" s="209">
        <v>1542.5</v>
      </c>
      <c r="F98" s="209">
        <v>63.6</v>
      </c>
      <c r="G98" s="209">
        <v>1606.1</v>
      </c>
      <c r="H98" s="198"/>
    </row>
    <row r="99" spans="1:8" ht="15.75" hidden="1" customHeight="1" x14ac:dyDescent="0.25">
      <c r="A99" s="205" t="s">
        <v>676</v>
      </c>
      <c r="B99" s="206">
        <v>87398</v>
      </c>
      <c r="C99" s="207" t="s">
        <v>680</v>
      </c>
      <c r="D99" s="208" t="s">
        <v>664</v>
      </c>
      <c r="E99" s="209">
        <v>1646.54</v>
      </c>
      <c r="F99" s="209">
        <v>245.81</v>
      </c>
      <c r="G99" s="209">
        <v>1892.35</v>
      </c>
      <c r="H99" s="198"/>
    </row>
    <row r="100" spans="1:8" ht="15.75" hidden="1" customHeight="1" x14ac:dyDescent="0.25">
      <c r="A100" s="205" t="s">
        <v>676</v>
      </c>
      <c r="B100" s="206">
        <v>87395</v>
      </c>
      <c r="C100" s="207" t="s">
        <v>681</v>
      </c>
      <c r="D100" s="208" t="s">
        <v>664</v>
      </c>
      <c r="E100" s="209">
        <v>3046.63</v>
      </c>
      <c r="F100" s="209">
        <v>145.22</v>
      </c>
      <c r="G100" s="209">
        <v>3191.85</v>
      </c>
      <c r="H100" s="198"/>
    </row>
    <row r="101" spans="1:8" ht="15.75" hidden="1" customHeight="1" x14ac:dyDescent="0.25">
      <c r="A101" s="205" t="s">
        <v>676</v>
      </c>
      <c r="B101" s="206">
        <v>87396</v>
      </c>
      <c r="C101" s="207" t="s">
        <v>682</v>
      </c>
      <c r="D101" s="208" t="s">
        <v>664</v>
      </c>
      <c r="E101" s="209">
        <v>3077.5</v>
      </c>
      <c r="F101" s="209">
        <v>117.91</v>
      </c>
      <c r="G101" s="209">
        <v>3195.41</v>
      </c>
      <c r="H101" s="198"/>
    </row>
    <row r="102" spans="1:8" ht="15.75" hidden="1" customHeight="1" x14ac:dyDescent="0.25">
      <c r="A102" s="205" t="s">
        <v>676</v>
      </c>
      <c r="B102" s="206">
        <v>87397</v>
      </c>
      <c r="C102" s="207" t="s">
        <v>683</v>
      </c>
      <c r="D102" s="208" t="s">
        <v>664</v>
      </c>
      <c r="E102" s="209">
        <v>3108.25</v>
      </c>
      <c r="F102" s="209">
        <v>91.51</v>
      </c>
      <c r="G102" s="209">
        <v>3199.76</v>
      </c>
      <c r="H102" s="198"/>
    </row>
    <row r="103" spans="1:8" ht="15.75" hidden="1" customHeight="1" x14ac:dyDescent="0.25">
      <c r="A103" s="205" t="s">
        <v>676</v>
      </c>
      <c r="B103" s="206">
        <v>87402</v>
      </c>
      <c r="C103" s="207" t="s">
        <v>684</v>
      </c>
      <c r="D103" s="208" t="s">
        <v>664</v>
      </c>
      <c r="E103" s="209">
        <v>3197.27</v>
      </c>
      <c r="F103" s="209">
        <v>308.12</v>
      </c>
      <c r="G103" s="209">
        <v>3505.39</v>
      </c>
      <c r="H103" s="198"/>
    </row>
    <row r="104" spans="1:8" ht="15.75" hidden="1" customHeight="1" x14ac:dyDescent="0.25">
      <c r="A104" s="205" t="s">
        <v>676</v>
      </c>
      <c r="B104" s="206">
        <v>87391</v>
      </c>
      <c r="C104" s="207" t="s">
        <v>685</v>
      </c>
      <c r="D104" s="208" t="s">
        <v>664</v>
      </c>
      <c r="E104" s="209">
        <v>4864.6899999999996</v>
      </c>
      <c r="F104" s="209">
        <v>145.28</v>
      </c>
      <c r="G104" s="209">
        <v>5009.97</v>
      </c>
      <c r="H104" s="198"/>
    </row>
    <row r="105" spans="1:8" ht="15.75" hidden="1" customHeight="1" x14ac:dyDescent="0.25">
      <c r="A105" s="205" t="s">
        <v>676</v>
      </c>
      <c r="B105" s="206">
        <v>87393</v>
      </c>
      <c r="C105" s="207" t="s">
        <v>686</v>
      </c>
      <c r="D105" s="208" t="s">
        <v>664</v>
      </c>
      <c r="E105" s="209">
        <v>4920.07</v>
      </c>
      <c r="F105" s="209">
        <v>117.88</v>
      </c>
      <c r="G105" s="209">
        <v>5037.95</v>
      </c>
      <c r="H105" s="198"/>
    </row>
    <row r="106" spans="1:8" ht="15.75" hidden="1" customHeight="1" x14ac:dyDescent="0.25">
      <c r="A106" s="205" t="s">
        <v>676</v>
      </c>
      <c r="B106" s="206">
        <v>87394</v>
      </c>
      <c r="C106" s="207" t="s">
        <v>687</v>
      </c>
      <c r="D106" s="208" t="s">
        <v>664</v>
      </c>
      <c r="E106" s="209">
        <v>4973.95</v>
      </c>
      <c r="F106" s="209">
        <v>91.68</v>
      </c>
      <c r="G106" s="209">
        <v>5065.63</v>
      </c>
      <c r="H106" s="198"/>
    </row>
    <row r="107" spans="1:8" ht="15.75" hidden="1" customHeight="1" x14ac:dyDescent="0.25">
      <c r="A107" s="205" t="s">
        <v>676</v>
      </c>
      <c r="B107" s="206">
        <v>87401</v>
      </c>
      <c r="C107" s="207" t="s">
        <v>688</v>
      </c>
      <c r="D107" s="208" t="s">
        <v>664</v>
      </c>
      <c r="E107" s="209">
        <v>5052.5</v>
      </c>
      <c r="F107" s="209">
        <v>308.24</v>
      </c>
      <c r="G107" s="209">
        <v>5360.74</v>
      </c>
      <c r="H107" s="198"/>
    </row>
    <row r="108" spans="1:8" ht="15.75" hidden="1" customHeight="1" x14ac:dyDescent="0.25">
      <c r="A108" s="205" t="s">
        <v>676</v>
      </c>
      <c r="B108" s="206">
        <v>87407</v>
      </c>
      <c r="C108" s="207" t="s">
        <v>689</v>
      </c>
      <c r="D108" s="208" t="s">
        <v>664</v>
      </c>
      <c r="E108" s="209">
        <v>1569.28</v>
      </c>
      <c r="F108" s="209">
        <v>105.86</v>
      </c>
      <c r="G108" s="209">
        <v>1675.14</v>
      </c>
      <c r="H108" s="198"/>
    </row>
    <row r="109" spans="1:8" ht="15.75" hidden="1" customHeight="1" x14ac:dyDescent="0.25">
      <c r="A109" s="205" t="s">
        <v>676</v>
      </c>
      <c r="B109" s="206">
        <v>87408</v>
      </c>
      <c r="C109" s="207" t="s">
        <v>690</v>
      </c>
      <c r="D109" s="208" t="s">
        <v>664</v>
      </c>
      <c r="E109" s="209">
        <v>1569.93</v>
      </c>
      <c r="F109" s="209">
        <v>79.319999999999993</v>
      </c>
      <c r="G109" s="209">
        <v>1649.25</v>
      </c>
      <c r="H109" s="198"/>
    </row>
    <row r="110" spans="1:8" ht="15.75" hidden="1" customHeight="1" x14ac:dyDescent="0.25">
      <c r="A110" s="205" t="s">
        <v>676</v>
      </c>
      <c r="B110" s="206">
        <v>87404</v>
      </c>
      <c r="C110" s="207" t="s">
        <v>691</v>
      </c>
      <c r="D110" s="208" t="s">
        <v>664</v>
      </c>
      <c r="E110" s="209">
        <v>4543.82</v>
      </c>
      <c r="F110" s="209">
        <v>157</v>
      </c>
      <c r="G110" s="209">
        <v>4700.82</v>
      </c>
      <c r="H110" s="198"/>
    </row>
    <row r="111" spans="1:8" ht="15.75" hidden="1" customHeight="1" x14ac:dyDescent="0.25">
      <c r="A111" s="205" t="s">
        <v>676</v>
      </c>
      <c r="B111" s="206">
        <v>87405</v>
      </c>
      <c r="C111" s="207" t="s">
        <v>692</v>
      </c>
      <c r="D111" s="208" t="s">
        <v>664</v>
      </c>
      <c r="E111" s="209">
        <v>4571.66</v>
      </c>
      <c r="F111" s="209">
        <v>117.7</v>
      </c>
      <c r="G111" s="209">
        <v>4689.3599999999997</v>
      </c>
      <c r="H111" s="198"/>
    </row>
    <row r="112" spans="1:8" ht="15.75" hidden="1" customHeight="1" x14ac:dyDescent="0.25">
      <c r="A112" s="205" t="s">
        <v>676</v>
      </c>
      <c r="B112" s="206">
        <v>87388</v>
      </c>
      <c r="C112" s="207" t="s">
        <v>693</v>
      </c>
      <c r="D112" s="208" t="s">
        <v>664</v>
      </c>
      <c r="E112" s="209">
        <v>4386.46</v>
      </c>
      <c r="F112" s="209">
        <v>112.01</v>
      </c>
      <c r="G112" s="209">
        <v>4498.47</v>
      </c>
      <c r="H112" s="198"/>
    </row>
    <row r="113" spans="1:8" ht="15.75" hidden="1" customHeight="1" x14ac:dyDescent="0.25">
      <c r="A113" s="205" t="s">
        <v>676</v>
      </c>
      <c r="B113" s="206">
        <v>87389</v>
      </c>
      <c r="C113" s="207" t="s">
        <v>694</v>
      </c>
      <c r="D113" s="208" t="s">
        <v>664</v>
      </c>
      <c r="E113" s="209">
        <v>4414.55</v>
      </c>
      <c r="F113" s="209">
        <v>86.41</v>
      </c>
      <c r="G113" s="209">
        <v>4500.96</v>
      </c>
      <c r="H113" s="198"/>
    </row>
    <row r="114" spans="1:8" ht="15.75" hidden="1" customHeight="1" x14ac:dyDescent="0.25">
      <c r="A114" s="205" t="s">
        <v>676</v>
      </c>
      <c r="B114" s="206">
        <v>87390</v>
      </c>
      <c r="C114" s="207" t="s">
        <v>695</v>
      </c>
      <c r="D114" s="208" t="s">
        <v>664</v>
      </c>
      <c r="E114" s="209">
        <v>4446.3900000000003</v>
      </c>
      <c r="F114" s="209">
        <v>63.59</v>
      </c>
      <c r="G114" s="209">
        <v>4509.9799999999996</v>
      </c>
      <c r="H114" s="198"/>
    </row>
    <row r="115" spans="1:8" ht="15.75" hidden="1" customHeight="1" x14ac:dyDescent="0.25">
      <c r="A115" s="205" t="s">
        <v>676</v>
      </c>
      <c r="B115" s="206">
        <v>87385</v>
      </c>
      <c r="C115" s="207" t="s">
        <v>696</v>
      </c>
      <c r="D115" s="208" t="s">
        <v>664</v>
      </c>
      <c r="E115" s="209">
        <v>1785.71</v>
      </c>
      <c r="F115" s="209">
        <v>132.75</v>
      </c>
      <c r="G115" s="209">
        <v>1918.46</v>
      </c>
      <c r="H115" s="198"/>
    </row>
    <row r="116" spans="1:8" ht="15.75" hidden="1" customHeight="1" x14ac:dyDescent="0.25">
      <c r="A116" s="205" t="s">
        <v>676</v>
      </c>
      <c r="B116" s="206">
        <v>87386</v>
      </c>
      <c r="C116" s="207" t="s">
        <v>697</v>
      </c>
      <c r="D116" s="208" t="s">
        <v>664</v>
      </c>
      <c r="E116" s="209">
        <v>1792.02</v>
      </c>
      <c r="F116" s="209">
        <v>100.29</v>
      </c>
      <c r="G116" s="209">
        <v>1892.31</v>
      </c>
      <c r="H116" s="198"/>
    </row>
    <row r="117" spans="1:8" ht="15.75" hidden="1" customHeight="1" x14ac:dyDescent="0.25">
      <c r="A117" s="205" t="s">
        <v>676</v>
      </c>
      <c r="B117" s="206">
        <v>87387</v>
      </c>
      <c r="C117" s="207" t="s">
        <v>698</v>
      </c>
      <c r="D117" s="208" t="s">
        <v>664</v>
      </c>
      <c r="E117" s="209">
        <v>1797.65</v>
      </c>
      <c r="F117" s="209">
        <v>74.510000000000005</v>
      </c>
      <c r="G117" s="209">
        <v>1872.16</v>
      </c>
      <c r="H117" s="198"/>
    </row>
    <row r="118" spans="1:8" ht="15.75" hidden="1" customHeight="1" x14ac:dyDescent="0.25">
      <c r="A118" s="205" t="s">
        <v>676</v>
      </c>
      <c r="B118" s="206">
        <v>87399</v>
      </c>
      <c r="C118" s="207" t="s">
        <v>699</v>
      </c>
      <c r="D118" s="208" t="s">
        <v>664</v>
      </c>
      <c r="E118" s="209">
        <v>1902.97</v>
      </c>
      <c r="F118" s="209">
        <v>264.17</v>
      </c>
      <c r="G118" s="209">
        <v>2167.14</v>
      </c>
      <c r="H118" s="198"/>
    </row>
    <row r="119" spans="1:8" ht="15.75" hidden="1" customHeight="1" x14ac:dyDescent="0.25">
      <c r="A119" s="205" t="s">
        <v>676</v>
      </c>
      <c r="B119" s="206">
        <v>100464</v>
      </c>
      <c r="C119" s="207" t="s">
        <v>700</v>
      </c>
      <c r="D119" s="208" t="s">
        <v>664</v>
      </c>
      <c r="E119" s="209">
        <v>466.89</v>
      </c>
      <c r="F119" s="209">
        <v>132.83000000000001</v>
      </c>
      <c r="G119" s="209">
        <v>599.72</v>
      </c>
      <c r="H119" s="198"/>
    </row>
    <row r="120" spans="1:8" ht="15.75" hidden="1" customHeight="1" x14ac:dyDescent="0.25">
      <c r="A120" s="205" t="s">
        <v>676</v>
      </c>
      <c r="B120" s="206">
        <v>100465</v>
      </c>
      <c r="C120" s="207" t="s">
        <v>701</v>
      </c>
      <c r="D120" s="208" t="s">
        <v>664</v>
      </c>
      <c r="E120" s="209">
        <v>453.89</v>
      </c>
      <c r="F120" s="209">
        <v>87.61</v>
      </c>
      <c r="G120" s="209">
        <v>541.5</v>
      </c>
      <c r="H120" s="198"/>
    </row>
    <row r="121" spans="1:8" ht="15.75" hidden="1" customHeight="1" x14ac:dyDescent="0.25">
      <c r="A121" s="205" t="s">
        <v>676</v>
      </c>
      <c r="B121" s="206">
        <v>100466</v>
      </c>
      <c r="C121" s="207" t="s">
        <v>702</v>
      </c>
      <c r="D121" s="208" t="s">
        <v>664</v>
      </c>
      <c r="E121" s="209">
        <v>448.35</v>
      </c>
      <c r="F121" s="209">
        <v>62.23</v>
      </c>
      <c r="G121" s="209">
        <v>510.58</v>
      </c>
      <c r="H121" s="198"/>
    </row>
    <row r="122" spans="1:8" ht="15.75" hidden="1" customHeight="1" x14ac:dyDescent="0.25">
      <c r="A122" s="205" t="s">
        <v>676</v>
      </c>
      <c r="B122" s="206">
        <v>88627</v>
      </c>
      <c r="C122" s="207" t="s">
        <v>703</v>
      </c>
      <c r="D122" s="208" t="s">
        <v>664</v>
      </c>
      <c r="E122" s="209">
        <v>508.1</v>
      </c>
      <c r="F122" s="209">
        <v>171.35</v>
      </c>
      <c r="G122" s="209">
        <v>679.45</v>
      </c>
      <c r="H122" s="198"/>
    </row>
    <row r="123" spans="1:8" ht="15.75" hidden="1" customHeight="1" x14ac:dyDescent="0.25">
      <c r="A123" s="205" t="s">
        <v>676</v>
      </c>
      <c r="B123" s="206">
        <v>88626</v>
      </c>
      <c r="C123" s="207" t="s">
        <v>704</v>
      </c>
      <c r="D123" s="208" t="s">
        <v>664</v>
      </c>
      <c r="E123" s="209">
        <v>461.26</v>
      </c>
      <c r="F123" s="209">
        <v>96.89</v>
      </c>
      <c r="G123" s="209">
        <v>558.15</v>
      </c>
      <c r="H123" s="198"/>
    </row>
    <row r="124" spans="1:8" ht="15.75" hidden="1" customHeight="1" x14ac:dyDescent="0.25">
      <c r="A124" s="205" t="s">
        <v>676</v>
      </c>
      <c r="B124" s="206">
        <v>100488</v>
      </c>
      <c r="C124" s="207" t="s">
        <v>705</v>
      </c>
      <c r="D124" s="208" t="s">
        <v>664</v>
      </c>
      <c r="E124" s="209">
        <v>462.3</v>
      </c>
      <c r="F124" s="209">
        <v>77.13</v>
      </c>
      <c r="G124" s="209">
        <v>539.42999999999995</v>
      </c>
      <c r="H124" s="198"/>
    </row>
    <row r="125" spans="1:8" ht="15.75" hidden="1" customHeight="1" x14ac:dyDescent="0.25">
      <c r="A125" s="205" t="s">
        <v>676</v>
      </c>
      <c r="B125" s="206">
        <v>87368</v>
      </c>
      <c r="C125" s="207" t="s">
        <v>706</v>
      </c>
      <c r="D125" s="208" t="s">
        <v>664</v>
      </c>
      <c r="E125" s="209">
        <v>497.33</v>
      </c>
      <c r="F125" s="209">
        <v>220.93</v>
      </c>
      <c r="G125" s="209">
        <v>718.26</v>
      </c>
      <c r="H125" s="198"/>
    </row>
    <row r="126" spans="1:8" ht="15.75" hidden="1" customHeight="1" x14ac:dyDescent="0.25">
      <c r="A126" s="205" t="s">
        <v>676</v>
      </c>
      <c r="B126" s="206">
        <v>87289</v>
      </c>
      <c r="C126" s="207" t="s">
        <v>707</v>
      </c>
      <c r="D126" s="208" t="s">
        <v>664</v>
      </c>
      <c r="E126" s="209">
        <v>442.64</v>
      </c>
      <c r="F126" s="209">
        <v>121.59</v>
      </c>
      <c r="G126" s="209">
        <v>564.23</v>
      </c>
      <c r="H126" s="198"/>
    </row>
    <row r="127" spans="1:8" ht="15.75" hidden="1" customHeight="1" x14ac:dyDescent="0.25">
      <c r="A127" s="205" t="s">
        <v>676</v>
      </c>
      <c r="B127" s="206">
        <v>87290</v>
      </c>
      <c r="C127" s="207" t="s">
        <v>708</v>
      </c>
      <c r="D127" s="208" t="s">
        <v>664</v>
      </c>
      <c r="E127" s="209">
        <v>443.27</v>
      </c>
      <c r="F127" s="209">
        <v>100.08</v>
      </c>
      <c r="G127" s="209">
        <v>543.35</v>
      </c>
      <c r="H127" s="198"/>
    </row>
    <row r="128" spans="1:8" ht="15.75" hidden="1" customHeight="1" x14ac:dyDescent="0.25">
      <c r="A128" s="205" t="s">
        <v>676</v>
      </c>
      <c r="B128" s="206">
        <v>87333</v>
      </c>
      <c r="C128" s="207" t="s">
        <v>709</v>
      </c>
      <c r="D128" s="208" t="s">
        <v>664</v>
      </c>
      <c r="E128" s="209">
        <v>440.4</v>
      </c>
      <c r="F128" s="209">
        <v>133.85</v>
      </c>
      <c r="G128" s="209">
        <v>574.25</v>
      </c>
      <c r="H128" s="198"/>
    </row>
    <row r="129" spans="1:8" ht="15.75" hidden="1" customHeight="1" x14ac:dyDescent="0.25">
      <c r="A129" s="205" t="s">
        <v>676</v>
      </c>
      <c r="B129" s="206">
        <v>87334</v>
      </c>
      <c r="C129" s="207" t="s">
        <v>710</v>
      </c>
      <c r="D129" s="208" t="s">
        <v>664</v>
      </c>
      <c r="E129" s="209">
        <v>427.6</v>
      </c>
      <c r="F129" s="209">
        <v>88.7</v>
      </c>
      <c r="G129" s="209">
        <v>516.29999999999995</v>
      </c>
      <c r="H129" s="198"/>
    </row>
    <row r="130" spans="1:8" ht="15.75" hidden="1" customHeight="1" x14ac:dyDescent="0.25">
      <c r="A130" s="205" t="s">
        <v>676</v>
      </c>
      <c r="B130" s="206">
        <v>105515</v>
      </c>
      <c r="C130" s="207" t="s">
        <v>711</v>
      </c>
      <c r="D130" s="208" t="s">
        <v>664</v>
      </c>
      <c r="E130" s="209">
        <v>672</v>
      </c>
      <c r="F130" s="209">
        <v>175.3</v>
      </c>
      <c r="G130" s="209">
        <v>847.3</v>
      </c>
      <c r="H130" s="198"/>
    </row>
    <row r="131" spans="1:8" ht="15.75" hidden="1" customHeight="1" x14ac:dyDescent="0.25">
      <c r="A131" s="205" t="s">
        <v>676</v>
      </c>
      <c r="B131" s="206">
        <v>87367</v>
      </c>
      <c r="C131" s="207" t="s">
        <v>712</v>
      </c>
      <c r="D131" s="208" t="s">
        <v>664</v>
      </c>
      <c r="E131" s="209">
        <v>514.87</v>
      </c>
      <c r="F131" s="209">
        <v>219.19</v>
      </c>
      <c r="G131" s="209">
        <v>734.06</v>
      </c>
      <c r="H131" s="198"/>
    </row>
    <row r="132" spans="1:8" ht="15.75" hidden="1" customHeight="1" x14ac:dyDescent="0.25">
      <c r="A132" s="205" t="s">
        <v>676</v>
      </c>
      <c r="B132" s="206">
        <v>87286</v>
      </c>
      <c r="C132" s="207" t="s">
        <v>713</v>
      </c>
      <c r="D132" s="208" t="s">
        <v>664</v>
      </c>
      <c r="E132" s="209">
        <v>459.85</v>
      </c>
      <c r="F132" s="209">
        <v>128.86000000000001</v>
      </c>
      <c r="G132" s="209">
        <v>588.71</v>
      </c>
      <c r="H132" s="198"/>
    </row>
    <row r="133" spans="1:8" ht="15.75" hidden="1" customHeight="1" x14ac:dyDescent="0.25">
      <c r="A133" s="205" t="s">
        <v>676</v>
      </c>
      <c r="B133" s="206">
        <v>87287</v>
      </c>
      <c r="C133" s="207" t="s">
        <v>714</v>
      </c>
      <c r="D133" s="208" t="s">
        <v>664</v>
      </c>
      <c r="E133" s="209">
        <v>459.82</v>
      </c>
      <c r="F133" s="209">
        <v>93.24</v>
      </c>
      <c r="G133" s="209">
        <v>553.05999999999995</v>
      </c>
      <c r="H133" s="198"/>
    </row>
    <row r="134" spans="1:8" ht="15.75" hidden="1" customHeight="1" x14ac:dyDescent="0.25">
      <c r="A134" s="205" t="s">
        <v>676</v>
      </c>
      <c r="B134" s="206">
        <v>87331</v>
      </c>
      <c r="C134" s="207" t="s">
        <v>715</v>
      </c>
      <c r="D134" s="208" t="s">
        <v>664</v>
      </c>
      <c r="E134" s="209">
        <v>467.22</v>
      </c>
      <c r="F134" s="209">
        <v>154.82</v>
      </c>
      <c r="G134" s="209">
        <v>622.04</v>
      </c>
      <c r="H134" s="198"/>
    </row>
    <row r="135" spans="1:8" ht="15.75" hidden="1" customHeight="1" x14ac:dyDescent="0.25">
      <c r="A135" s="205" t="s">
        <v>676</v>
      </c>
      <c r="B135" s="206">
        <v>87332</v>
      </c>
      <c r="C135" s="207" t="s">
        <v>716</v>
      </c>
      <c r="D135" s="208" t="s">
        <v>664</v>
      </c>
      <c r="E135" s="209">
        <v>445.54</v>
      </c>
      <c r="F135" s="209">
        <v>82.47</v>
      </c>
      <c r="G135" s="209">
        <v>528.01</v>
      </c>
      <c r="H135" s="198"/>
    </row>
    <row r="136" spans="1:8" ht="15.75" hidden="1" customHeight="1" x14ac:dyDescent="0.25">
      <c r="A136" s="205" t="s">
        <v>676</v>
      </c>
      <c r="B136" s="206">
        <v>87369</v>
      </c>
      <c r="C136" s="207" t="s">
        <v>717</v>
      </c>
      <c r="D136" s="208" t="s">
        <v>664</v>
      </c>
      <c r="E136" s="209">
        <v>508.98</v>
      </c>
      <c r="F136" s="209">
        <v>216.68</v>
      </c>
      <c r="G136" s="209">
        <v>725.66</v>
      </c>
      <c r="H136" s="198"/>
    </row>
    <row r="137" spans="1:8" ht="15.75" hidden="1" customHeight="1" x14ac:dyDescent="0.25">
      <c r="A137" s="205" t="s">
        <v>676</v>
      </c>
      <c r="B137" s="206">
        <v>87292</v>
      </c>
      <c r="C137" s="207" t="s">
        <v>718</v>
      </c>
      <c r="D137" s="208" t="s">
        <v>664</v>
      </c>
      <c r="E137" s="209">
        <v>453.41</v>
      </c>
      <c r="F137" s="209">
        <v>112.35</v>
      </c>
      <c r="G137" s="209">
        <v>565.76</v>
      </c>
      <c r="H137" s="198"/>
    </row>
    <row r="138" spans="1:8" ht="15.75" hidden="1" customHeight="1" x14ac:dyDescent="0.25">
      <c r="A138" s="205" t="s">
        <v>676</v>
      </c>
      <c r="B138" s="206">
        <v>87335</v>
      </c>
      <c r="C138" s="207" t="s">
        <v>719</v>
      </c>
      <c r="D138" s="208" t="s">
        <v>664</v>
      </c>
      <c r="E138" s="209">
        <v>438.79</v>
      </c>
      <c r="F138" s="209">
        <v>123.83</v>
      </c>
      <c r="G138" s="209">
        <v>562.62</v>
      </c>
      <c r="H138" s="198"/>
    </row>
    <row r="139" spans="1:8" ht="15.75" hidden="1" customHeight="1" x14ac:dyDescent="0.25">
      <c r="A139" s="205" t="s">
        <v>676</v>
      </c>
      <c r="B139" s="206">
        <v>87336</v>
      </c>
      <c r="C139" s="207" t="s">
        <v>720</v>
      </c>
      <c r="D139" s="208" t="s">
        <v>664</v>
      </c>
      <c r="E139" s="209">
        <v>440.02</v>
      </c>
      <c r="F139" s="209">
        <v>85</v>
      </c>
      <c r="G139" s="209">
        <v>525.02</v>
      </c>
      <c r="H139" s="198"/>
    </row>
    <row r="140" spans="1:8" ht="15.75" hidden="1" customHeight="1" x14ac:dyDescent="0.25">
      <c r="A140" s="205" t="s">
        <v>676</v>
      </c>
      <c r="B140" s="206">
        <v>87370</v>
      </c>
      <c r="C140" s="207" t="s">
        <v>721</v>
      </c>
      <c r="D140" s="208" t="s">
        <v>664</v>
      </c>
      <c r="E140" s="209">
        <v>488.99</v>
      </c>
      <c r="F140" s="209">
        <v>218.05</v>
      </c>
      <c r="G140" s="209">
        <v>707.04</v>
      </c>
      <c r="H140" s="198"/>
    </row>
    <row r="141" spans="1:8" ht="15.75" hidden="1" customHeight="1" x14ac:dyDescent="0.25">
      <c r="A141" s="205" t="s">
        <v>676</v>
      </c>
      <c r="B141" s="206">
        <v>88715</v>
      </c>
      <c r="C141" s="207" t="s">
        <v>722</v>
      </c>
      <c r="D141" s="208" t="s">
        <v>664</v>
      </c>
      <c r="E141" s="209">
        <v>430.85</v>
      </c>
      <c r="F141" s="209">
        <v>106.36</v>
      </c>
      <c r="G141" s="209">
        <v>537.21</v>
      </c>
      <c r="H141" s="198"/>
    </row>
    <row r="142" spans="1:8" ht="15.75" hidden="1" customHeight="1" x14ac:dyDescent="0.25">
      <c r="A142" s="205" t="s">
        <v>676</v>
      </c>
      <c r="B142" s="206">
        <v>87294</v>
      </c>
      <c r="C142" s="207" t="s">
        <v>723</v>
      </c>
      <c r="D142" s="208" t="s">
        <v>664</v>
      </c>
      <c r="E142" s="209">
        <v>435.01</v>
      </c>
      <c r="F142" s="209">
        <v>106.58</v>
      </c>
      <c r="G142" s="209">
        <v>541.59</v>
      </c>
      <c r="H142" s="198"/>
    </row>
    <row r="143" spans="1:8" ht="15.75" hidden="1" customHeight="1" x14ac:dyDescent="0.25">
      <c r="A143" s="205" t="s">
        <v>676</v>
      </c>
      <c r="B143" s="206">
        <v>87337</v>
      </c>
      <c r="C143" s="207" t="s">
        <v>724</v>
      </c>
      <c r="D143" s="208" t="s">
        <v>664</v>
      </c>
      <c r="E143" s="209">
        <v>430.79</v>
      </c>
      <c r="F143" s="209">
        <v>121.85</v>
      </c>
      <c r="G143" s="209">
        <v>552.64</v>
      </c>
      <c r="H143" s="198"/>
    </row>
    <row r="144" spans="1:8" ht="15.75" hidden="1" customHeight="1" x14ac:dyDescent="0.25">
      <c r="A144" s="205" t="s">
        <v>676</v>
      </c>
      <c r="B144" s="206">
        <v>100487</v>
      </c>
      <c r="C144" s="207" t="s">
        <v>725</v>
      </c>
      <c r="D144" s="208" t="s">
        <v>664</v>
      </c>
      <c r="E144" s="209">
        <v>418.68</v>
      </c>
      <c r="F144" s="209">
        <v>81.77</v>
      </c>
      <c r="G144" s="209">
        <v>500.45</v>
      </c>
      <c r="H144" s="198"/>
    </row>
    <row r="145" spans="1:8" ht="15.75" hidden="1" customHeight="1" x14ac:dyDescent="0.25">
      <c r="A145" s="205" t="s">
        <v>676</v>
      </c>
      <c r="B145" s="206">
        <v>87380</v>
      </c>
      <c r="C145" s="207" t="s">
        <v>726</v>
      </c>
      <c r="D145" s="208" t="s">
        <v>664</v>
      </c>
      <c r="E145" s="209">
        <v>3258.46</v>
      </c>
      <c r="F145" s="209">
        <v>212.04</v>
      </c>
      <c r="G145" s="209">
        <v>3470.5</v>
      </c>
      <c r="H145" s="198"/>
    </row>
    <row r="146" spans="1:8" ht="15.75" hidden="1" customHeight="1" x14ac:dyDescent="0.25">
      <c r="A146" s="205" t="s">
        <v>676</v>
      </c>
      <c r="B146" s="206">
        <v>87322</v>
      </c>
      <c r="C146" s="207" t="s">
        <v>727</v>
      </c>
      <c r="D146" s="208" t="s">
        <v>664</v>
      </c>
      <c r="E146" s="209">
        <v>3231.51</v>
      </c>
      <c r="F146" s="209">
        <v>113.73</v>
      </c>
      <c r="G146" s="209">
        <v>3345.24</v>
      </c>
      <c r="H146" s="198"/>
    </row>
    <row r="147" spans="1:8" ht="15.75" hidden="1" customHeight="1" x14ac:dyDescent="0.25">
      <c r="A147" s="205" t="s">
        <v>676</v>
      </c>
      <c r="B147" s="206">
        <v>87323</v>
      </c>
      <c r="C147" s="207" t="s">
        <v>728</v>
      </c>
      <c r="D147" s="208" t="s">
        <v>664</v>
      </c>
      <c r="E147" s="209">
        <v>3242.08</v>
      </c>
      <c r="F147" s="209">
        <v>86.88</v>
      </c>
      <c r="G147" s="209">
        <v>3328.96</v>
      </c>
      <c r="H147" s="198"/>
    </row>
    <row r="148" spans="1:8" ht="15.75" hidden="1" customHeight="1" x14ac:dyDescent="0.25">
      <c r="A148" s="205" t="s">
        <v>676</v>
      </c>
      <c r="B148" s="206">
        <v>87360</v>
      </c>
      <c r="C148" s="207" t="s">
        <v>729</v>
      </c>
      <c r="D148" s="208" t="s">
        <v>664</v>
      </c>
      <c r="E148" s="209">
        <v>3165.02</v>
      </c>
      <c r="F148" s="209">
        <v>172.2</v>
      </c>
      <c r="G148" s="209">
        <v>3337.22</v>
      </c>
      <c r="H148" s="198"/>
    </row>
    <row r="149" spans="1:8" ht="15.75" hidden="1" customHeight="1" x14ac:dyDescent="0.25">
      <c r="A149" s="205" t="s">
        <v>676</v>
      </c>
      <c r="B149" s="206">
        <v>87361</v>
      </c>
      <c r="C149" s="207" t="s">
        <v>730</v>
      </c>
      <c r="D149" s="208" t="s">
        <v>664</v>
      </c>
      <c r="E149" s="209">
        <v>3158.9</v>
      </c>
      <c r="F149" s="209">
        <v>102.74</v>
      </c>
      <c r="G149" s="209">
        <v>3261.64</v>
      </c>
      <c r="H149" s="198"/>
    </row>
    <row r="150" spans="1:8" ht="15.75" hidden="1" customHeight="1" x14ac:dyDescent="0.25">
      <c r="A150" s="205" t="s">
        <v>676</v>
      </c>
      <c r="B150" s="206">
        <v>87362</v>
      </c>
      <c r="C150" s="207" t="s">
        <v>731</v>
      </c>
      <c r="D150" s="208" t="s">
        <v>664</v>
      </c>
      <c r="E150" s="209">
        <v>3171.72</v>
      </c>
      <c r="F150" s="209">
        <v>72.67</v>
      </c>
      <c r="G150" s="209">
        <v>3244.39</v>
      </c>
      <c r="H150" s="198"/>
    </row>
    <row r="151" spans="1:8" ht="15.75" hidden="1" customHeight="1" x14ac:dyDescent="0.25">
      <c r="A151" s="205" t="s">
        <v>676</v>
      </c>
      <c r="B151" s="206">
        <v>87377</v>
      </c>
      <c r="C151" s="207" t="s">
        <v>732</v>
      </c>
      <c r="D151" s="208" t="s">
        <v>664</v>
      </c>
      <c r="E151" s="209">
        <v>502.01</v>
      </c>
      <c r="F151" s="209">
        <v>215.14</v>
      </c>
      <c r="G151" s="209">
        <v>717.15</v>
      </c>
      <c r="H151" s="198"/>
    </row>
    <row r="152" spans="1:8" ht="15.75" hidden="1" customHeight="1" x14ac:dyDescent="0.25">
      <c r="A152" s="205" t="s">
        <v>676</v>
      </c>
      <c r="B152" s="206">
        <v>87313</v>
      </c>
      <c r="C152" s="207" t="s">
        <v>733</v>
      </c>
      <c r="D152" s="208" t="s">
        <v>664</v>
      </c>
      <c r="E152" s="209">
        <v>442.38</v>
      </c>
      <c r="F152" s="209">
        <v>107.84</v>
      </c>
      <c r="G152" s="209">
        <v>550.22</v>
      </c>
      <c r="H152" s="198"/>
    </row>
    <row r="153" spans="1:8" ht="15.75" hidden="1" customHeight="1" x14ac:dyDescent="0.25">
      <c r="A153" s="205" t="s">
        <v>676</v>
      </c>
      <c r="B153" s="206">
        <v>87314</v>
      </c>
      <c r="C153" s="207" t="s">
        <v>734</v>
      </c>
      <c r="D153" s="208" t="s">
        <v>664</v>
      </c>
      <c r="E153" s="209">
        <v>443.1</v>
      </c>
      <c r="F153" s="209">
        <v>88.89</v>
      </c>
      <c r="G153" s="209">
        <v>531.99</v>
      </c>
      <c r="H153" s="198"/>
    </row>
    <row r="154" spans="1:8" ht="15.75" hidden="1" customHeight="1" x14ac:dyDescent="0.25">
      <c r="A154" s="205" t="s">
        <v>676</v>
      </c>
      <c r="B154" s="206">
        <v>87352</v>
      </c>
      <c r="C154" s="207" t="s">
        <v>735</v>
      </c>
      <c r="D154" s="208" t="s">
        <v>664</v>
      </c>
      <c r="E154" s="209">
        <v>469.82</v>
      </c>
      <c r="F154" s="209">
        <v>202.98</v>
      </c>
      <c r="G154" s="209">
        <v>672.8</v>
      </c>
      <c r="H154" s="198"/>
    </row>
    <row r="155" spans="1:8" ht="15.75" hidden="1" customHeight="1" x14ac:dyDescent="0.25">
      <c r="A155" s="205" t="s">
        <v>676</v>
      </c>
      <c r="B155" s="206">
        <v>87353</v>
      </c>
      <c r="C155" s="207" t="s">
        <v>736</v>
      </c>
      <c r="D155" s="208" t="s">
        <v>664</v>
      </c>
      <c r="E155" s="209">
        <v>440.35</v>
      </c>
      <c r="F155" s="209">
        <v>118.82</v>
      </c>
      <c r="G155" s="209">
        <v>559.16999999999996</v>
      </c>
      <c r="H155" s="198"/>
    </row>
    <row r="156" spans="1:8" ht="15.75" hidden="1" customHeight="1" x14ac:dyDescent="0.25">
      <c r="A156" s="205" t="s">
        <v>676</v>
      </c>
      <c r="B156" s="206">
        <v>87354</v>
      </c>
      <c r="C156" s="207" t="s">
        <v>737</v>
      </c>
      <c r="D156" s="208" t="s">
        <v>664</v>
      </c>
      <c r="E156" s="209">
        <v>429.63</v>
      </c>
      <c r="F156" s="209">
        <v>75.16</v>
      </c>
      <c r="G156" s="209">
        <v>504.79</v>
      </c>
      <c r="H156" s="198"/>
    </row>
    <row r="157" spans="1:8" ht="15.75" hidden="1" customHeight="1" x14ac:dyDescent="0.25">
      <c r="A157" s="205" t="s">
        <v>676</v>
      </c>
      <c r="B157" s="206">
        <v>100480</v>
      </c>
      <c r="C157" s="207" t="s">
        <v>738</v>
      </c>
      <c r="D157" s="208" t="s">
        <v>664</v>
      </c>
      <c r="E157" s="209">
        <v>676.1</v>
      </c>
      <c r="F157" s="209">
        <v>173.69</v>
      </c>
      <c r="G157" s="209">
        <v>849.79</v>
      </c>
      <c r="H157" s="198"/>
    </row>
    <row r="158" spans="1:8" ht="15.75" hidden="1" customHeight="1" x14ac:dyDescent="0.25">
      <c r="A158" s="205" t="s">
        <v>676</v>
      </c>
      <c r="B158" s="206">
        <v>100475</v>
      </c>
      <c r="C158" s="207" t="s">
        <v>739</v>
      </c>
      <c r="D158" s="208" t="s">
        <v>664</v>
      </c>
      <c r="E158" s="209">
        <v>628.30999999999995</v>
      </c>
      <c r="F158" s="209">
        <v>93.63</v>
      </c>
      <c r="G158" s="209">
        <v>721.94</v>
      </c>
      <c r="H158" s="198"/>
    </row>
    <row r="159" spans="1:8" ht="15.75" hidden="1" customHeight="1" x14ac:dyDescent="0.25">
      <c r="A159" s="205" t="s">
        <v>676</v>
      </c>
      <c r="B159" s="206">
        <v>100491</v>
      </c>
      <c r="C159" s="207" t="s">
        <v>740</v>
      </c>
      <c r="D159" s="208" t="s">
        <v>664</v>
      </c>
      <c r="E159" s="209">
        <v>631.35</v>
      </c>
      <c r="F159" s="209">
        <v>84.06</v>
      </c>
      <c r="G159" s="209">
        <v>715.41</v>
      </c>
      <c r="H159" s="198"/>
    </row>
    <row r="160" spans="1:8" ht="15.75" hidden="1" customHeight="1" x14ac:dyDescent="0.25">
      <c r="A160" s="205" t="s">
        <v>676</v>
      </c>
      <c r="B160" s="206">
        <v>100477</v>
      </c>
      <c r="C160" s="207" t="s">
        <v>741</v>
      </c>
      <c r="D160" s="208" t="s">
        <v>664</v>
      </c>
      <c r="E160" s="209">
        <v>643.04</v>
      </c>
      <c r="F160" s="209">
        <v>177.78</v>
      </c>
      <c r="G160" s="209">
        <v>820.82</v>
      </c>
      <c r="H160" s="198"/>
    </row>
    <row r="161" spans="1:8" ht="15.75" hidden="1" customHeight="1" x14ac:dyDescent="0.25">
      <c r="A161" s="205" t="s">
        <v>676</v>
      </c>
      <c r="B161" s="206">
        <v>100478</v>
      </c>
      <c r="C161" s="207" t="s">
        <v>742</v>
      </c>
      <c r="D161" s="208" t="s">
        <v>664</v>
      </c>
      <c r="E161" s="209">
        <v>617.48</v>
      </c>
      <c r="F161" s="209">
        <v>89.42</v>
      </c>
      <c r="G161" s="209">
        <v>706.9</v>
      </c>
      <c r="H161" s="198"/>
    </row>
    <row r="162" spans="1:8" ht="15.75" hidden="1" customHeight="1" x14ac:dyDescent="0.25">
      <c r="A162" s="205" t="s">
        <v>676</v>
      </c>
      <c r="B162" s="206">
        <v>100479</v>
      </c>
      <c r="C162" s="207" t="s">
        <v>743</v>
      </c>
      <c r="D162" s="208" t="s">
        <v>664</v>
      </c>
      <c r="E162" s="209">
        <v>613.33000000000004</v>
      </c>
      <c r="F162" s="209">
        <v>66.33</v>
      </c>
      <c r="G162" s="209">
        <v>679.66</v>
      </c>
      <c r="H162" s="198"/>
    </row>
    <row r="163" spans="1:8" ht="15.75" hidden="1" customHeight="1" x14ac:dyDescent="0.25">
      <c r="A163" s="205" t="s">
        <v>676</v>
      </c>
      <c r="B163" s="206">
        <v>87372</v>
      </c>
      <c r="C163" s="207" t="s">
        <v>744</v>
      </c>
      <c r="D163" s="208" t="s">
        <v>664</v>
      </c>
      <c r="E163" s="209">
        <v>639.17999999999995</v>
      </c>
      <c r="F163" s="209">
        <v>227.38</v>
      </c>
      <c r="G163" s="209">
        <v>866.56</v>
      </c>
      <c r="H163" s="198"/>
    </row>
    <row r="164" spans="1:8" ht="15.75" hidden="1" customHeight="1" x14ac:dyDescent="0.25">
      <c r="A164" s="205" t="s">
        <v>676</v>
      </c>
      <c r="B164" s="206">
        <v>87298</v>
      </c>
      <c r="C164" s="207" t="s">
        <v>745</v>
      </c>
      <c r="D164" s="208" t="s">
        <v>664</v>
      </c>
      <c r="E164" s="209">
        <v>579.9</v>
      </c>
      <c r="F164" s="209">
        <v>110.37</v>
      </c>
      <c r="G164" s="209">
        <v>690.27</v>
      </c>
      <c r="H164" s="198"/>
    </row>
    <row r="165" spans="1:8" ht="15.75" hidden="1" customHeight="1" x14ac:dyDescent="0.25">
      <c r="A165" s="205" t="s">
        <v>676</v>
      </c>
      <c r="B165" s="206">
        <v>87299</v>
      </c>
      <c r="C165" s="207" t="s">
        <v>746</v>
      </c>
      <c r="D165" s="208" t="s">
        <v>664</v>
      </c>
      <c r="E165" s="209">
        <v>378.51</v>
      </c>
      <c r="F165" s="209">
        <v>97.84</v>
      </c>
      <c r="G165" s="209">
        <v>476.35</v>
      </c>
      <c r="H165" s="198"/>
    </row>
    <row r="166" spans="1:8" ht="15.75" hidden="1" customHeight="1" x14ac:dyDescent="0.25">
      <c r="A166" s="205" t="s">
        <v>676</v>
      </c>
      <c r="B166" s="206">
        <v>87339</v>
      </c>
      <c r="C166" s="207" t="s">
        <v>747</v>
      </c>
      <c r="D166" s="208" t="s">
        <v>664</v>
      </c>
      <c r="E166" s="209">
        <v>618.59</v>
      </c>
      <c r="F166" s="209">
        <v>258.45999999999998</v>
      </c>
      <c r="G166" s="209">
        <v>877.05</v>
      </c>
      <c r="H166" s="198"/>
    </row>
    <row r="167" spans="1:8" ht="15.75" hidden="1" customHeight="1" x14ac:dyDescent="0.25">
      <c r="A167" s="205" t="s">
        <v>676</v>
      </c>
      <c r="B167" s="206">
        <v>87340</v>
      </c>
      <c r="C167" s="207" t="s">
        <v>748</v>
      </c>
      <c r="D167" s="208" t="s">
        <v>664</v>
      </c>
      <c r="E167" s="209">
        <v>573.04999999999995</v>
      </c>
      <c r="F167" s="209">
        <v>119.37</v>
      </c>
      <c r="G167" s="209">
        <v>692.42</v>
      </c>
      <c r="H167" s="198"/>
    </row>
    <row r="168" spans="1:8" ht="15.75" hidden="1" customHeight="1" x14ac:dyDescent="0.25">
      <c r="A168" s="205" t="s">
        <v>676</v>
      </c>
      <c r="B168" s="206">
        <v>87341</v>
      </c>
      <c r="C168" s="207" t="s">
        <v>749</v>
      </c>
      <c r="D168" s="208" t="s">
        <v>664</v>
      </c>
      <c r="E168" s="209">
        <v>562.41999999999996</v>
      </c>
      <c r="F168" s="209">
        <v>81</v>
      </c>
      <c r="G168" s="209">
        <v>643.41999999999996</v>
      </c>
      <c r="H168" s="198"/>
    </row>
    <row r="169" spans="1:8" ht="15.75" hidden="1" customHeight="1" x14ac:dyDescent="0.25">
      <c r="A169" s="205" t="s">
        <v>676</v>
      </c>
      <c r="B169" s="206">
        <v>88629</v>
      </c>
      <c r="C169" s="207" t="s">
        <v>750</v>
      </c>
      <c r="D169" s="208" t="s">
        <v>664</v>
      </c>
      <c r="E169" s="209">
        <v>534.61</v>
      </c>
      <c r="F169" s="209">
        <v>167.25</v>
      </c>
      <c r="G169" s="209">
        <v>701.86</v>
      </c>
      <c r="H169" s="198"/>
    </row>
    <row r="170" spans="1:8" ht="15.75" hidden="1" customHeight="1" x14ac:dyDescent="0.25">
      <c r="A170" s="205" t="s">
        <v>676</v>
      </c>
      <c r="B170" s="206">
        <v>88628</v>
      </c>
      <c r="C170" s="207" t="s">
        <v>751</v>
      </c>
      <c r="D170" s="208" t="s">
        <v>664</v>
      </c>
      <c r="E170" s="209">
        <v>486.21</v>
      </c>
      <c r="F170" s="209">
        <v>85.39</v>
      </c>
      <c r="G170" s="209">
        <v>571.6</v>
      </c>
      <c r="H170" s="198"/>
    </row>
    <row r="171" spans="1:8" ht="15.75" hidden="1" customHeight="1" x14ac:dyDescent="0.25">
      <c r="A171" s="205" t="s">
        <v>676</v>
      </c>
      <c r="B171" s="206">
        <v>100489</v>
      </c>
      <c r="C171" s="207" t="s">
        <v>752</v>
      </c>
      <c r="D171" s="208" t="s">
        <v>664</v>
      </c>
      <c r="E171" s="209">
        <v>488.44</v>
      </c>
      <c r="F171" s="209">
        <v>75.569999999999993</v>
      </c>
      <c r="G171" s="209">
        <v>564.01</v>
      </c>
      <c r="H171" s="198"/>
    </row>
    <row r="172" spans="1:8" ht="15.75" hidden="1" customHeight="1" x14ac:dyDescent="0.25">
      <c r="A172" s="205" t="s">
        <v>676</v>
      </c>
      <c r="B172" s="206">
        <v>100468</v>
      </c>
      <c r="C172" s="207" t="s">
        <v>753</v>
      </c>
      <c r="D172" s="208" t="s">
        <v>664</v>
      </c>
      <c r="E172" s="209">
        <v>551.29999999999995</v>
      </c>
      <c r="F172" s="209">
        <v>169.53</v>
      </c>
      <c r="G172" s="209">
        <v>720.83</v>
      </c>
      <c r="H172" s="198"/>
    </row>
    <row r="173" spans="1:8" ht="15.75" hidden="1" customHeight="1" x14ac:dyDescent="0.25">
      <c r="A173" s="205" t="s">
        <v>676</v>
      </c>
      <c r="B173" s="206">
        <v>100469</v>
      </c>
      <c r="C173" s="207" t="s">
        <v>754</v>
      </c>
      <c r="D173" s="208" t="s">
        <v>664</v>
      </c>
      <c r="E173" s="209">
        <v>478.88</v>
      </c>
      <c r="F173" s="209">
        <v>81.14</v>
      </c>
      <c r="G173" s="209">
        <v>560.02</v>
      </c>
      <c r="H173" s="198"/>
    </row>
    <row r="174" spans="1:8" ht="15.75" hidden="1" customHeight="1" x14ac:dyDescent="0.25">
      <c r="A174" s="205" t="s">
        <v>676</v>
      </c>
      <c r="B174" s="206">
        <v>100470</v>
      </c>
      <c r="C174" s="207" t="s">
        <v>755</v>
      </c>
      <c r="D174" s="208" t="s">
        <v>664</v>
      </c>
      <c r="E174" s="209">
        <v>434.94</v>
      </c>
      <c r="F174" s="209">
        <v>81.12</v>
      </c>
      <c r="G174" s="209">
        <v>516.05999999999995</v>
      </c>
      <c r="H174" s="198"/>
    </row>
    <row r="175" spans="1:8" ht="15.75" hidden="1" customHeight="1" x14ac:dyDescent="0.25">
      <c r="A175" s="205" t="s">
        <v>676</v>
      </c>
      <c r="B175" s="206">
        <v>87371</v>
      </c>
      <c r="C175" s="207" t="s">
        <v>756</v>
      </c>
      <c r="D175" s="208" t="s">
        <v>664</v>
      </c>
      <c r="E175" s="209">
        <v>478.3</v>
      </c>
      <c r="F175" s="209">
        <v>212.38</v>
      </c>
      <c r="G175" s="209">
        <v>690.68</v>
      </c>
      <c r="H175" s="198"/>
    </row>
    <row r="176" spans="1:8" ht="15.75" hidden="1" customHeight="1" x14ac:dyDescent="0.25">
      <c r="A176" s="205" t="s">
        <v>676</v>
      </c>
      <c r="B176" s="206">
        <v>87295</v>
      </c>
      <c r="C176" s="207" t="s">
        <v>757</v>
      </c>
      <c r="D176" s="208" t="s">
        <v>664</v>
      </c>
      <c r="E176" s="209">
        <v>430.19</v>
      </c>
      <c r="F176" s="209">
        <v>138.09</v>
      </c>
      <c r="G176" s="209">
        <v>568.28</v>
      </c>
      <c r="H176" s="198"/>
    </row>
    <row r="177" spans="1:8" ht="15.75" hidden="1" customHeight="1" x14ac:dyDescent="0.25">
      <c r="A177" s="205" t="s">
        <v>676</v>
      </c>
      <c r="B177" s="206">
        <v>87296</v>
      </c>
      <c r="C177" s="207" t="s">
        <v>758</v>
      </c>
      <c r="D177" s="208" t="s">
        <v>664</v>
      </c>
      <c r="E177" s="209">
        <v>424.79</v>
      </c>
      <c r="F177" s="209">
        <v>94</v>
      </c>
      <c r="G177" s="209">
        <v>518.79</v>
      </c>
      <c r="H177" s="198"/>
    </row>
    <row r="178" spans="1:8" ht="15.75" hidden="1" customHeight="1" x14ac:dyDescent="0.25">
      <c r="A178" s="205" t="s">
        <v>676</v>
      </c>
      <c r="B178" s="206">
        <v>87338</v>
      </c>
      <c r="C178" s="207" t="s">
        <v>759</v>
      </c>
      <c r="D178" s="208" t="s">
        <v>664</v>
      </c>
      <c r="E178" s="209">
        <v>417.63</v>
      </c>
      <c r="F178" s="209">
        <v>104.79</v>
      </c>
      <c r="G178" s="209">
        <v>522.41999999999996</v>
      </c>
      <c r="H178" s="198"/>
    </row>
    <row r="179" spans="1:8" ht="15.75" hidden="1" customHeight="1" x14ac:dyDescent="0.25">
      <c r="A179" s="205" t="s">
        <v>676</v>
      </c>
      <c r="B179" s="206">
        <v>88630</v>
      </c>
      <c r="C179" s="207" t="s">
        <v>760</v>
      </c>
      <c r="D179" s="208" t="s">
        <v>664</v>
      </c>
      <c r="E179" s="209">
        <v>417.25</v>
      </c>
      <c r="F179" s="209">
        <v>83.89</v>
      </c>
      <c r="G179" s="209">
        <v>501.14</v>
      </c>
      <c r="H179" s="198"/>
    </row>
    <row r="180" spans="1:8" ht="15.75" hidden="1" customHeight="1" x14ac:dyDescent="0.25">
      <c r="A180" s="205" t="s">
        <v>676</v>
      </c>
      <c r="B180" s="206">
        <v>87381</v>
      </c>
      <c r="C180" s="207" t="s">
        <v>761</v>
      </c>
      <c r="D180" s="208" t="s">
        <v>664</v>
      </c>
      <c r="E180" s="209">
        <v>3208.13</v>
      </c>
      <c r="F180" s="209">
        <v>205.13</v>
      </c>
      <c r="G180" s="209">
        <v>3413.26</v>
      </c>
      <c r="H180" s="198"/>
    </row>
    <row r="181" spans="1:8" ht="15.75" hidden="1" customHeight="1" x14ac:dyDescent="0.25">
      <c r="A181" s="205" t="s">
        <v>676</v>
      </c>
      <c r="B181" s="206">
        <v>87325</v>
      </c>
      <c r="C181" s="207" t="s">
        <v>762</v>
      </c>
      <c r="D181" s="208" t="s">
        <v>664</v>
      </c>
      <c r="E181" s="209">
        <v>3157.64</v>
      </c>
      <c r="F181" s="209">
        <v>117.24</v>
      </c>
      <c r="G181" s="209">
        <v>3274.88</v>
      </c>
      <c r="H181" s="198"/>
    </row>
    <row r="182" spans="1:8" ht="15.75" hidden="1" customHeight="1" x14ac:dyDescent="0.25">
      <c r="A182" s="205" t="s">
        <v>676</v>
      </c>
      <c r="B182" s="206">
        <v>87326</v>
      </c>
      <c r="C182" s="207" t="s">
        <v>763</v>
      </c>
      <c r="D182" s="208" t="s">
        <v>664</v>
      </c>
      <c r="E182" s="209">
        <v>3181.6</v>
      </c>
      <c r="F182" s="209">
        <v>81.91</v>
      </c>
      <c r="G182" s="209">
        <v>3263.51</v>
      </c>
      <c r="H182" s="198"/>
    </row>
    <row r="183" spans="1:8" ht="15.75" hidden="1" customHeight="1" x14ac:dyDescent="0.25">
      <c r="A183" s="205" t="s">
        <v>676</v>
      </c>
      <c r="B183" s="206">
        <v>87363</v>
      </c>
      <c r="C183" s="207" t="s">
        <v>764</v>
      </c>
      <c r="D183" s="208" t="s">
        <v>664</v>
      </c>
      <c r="E183" s="209">
        <v>3117.29</v>
      </c>
      <c r="F183" s="209">
        <v>146.19999999999999</v>
      </c>
      <c r="G183" s="209">
        <v>3263.49</v>
      </c>
      <c r="H183" s="198"/>
    </row>
    <row r="184" spans="1:8" ht="15.75" hidden="1" customHeight="1" x14ac:dyDescent="0.25">
      <c r="A184" s="205" t="s">
        <v>676</v>
      </c>
      <c r="B184" s="206">
        <v>87364</v>
      </c>
      <c r="C184" s="207" t="s">
        <v>765</v>
      </c>
      <c r="D184" s="208" t="s">
        <v>664</v>
      </c>
      <c r="E184" s="209">
        <v>3124.98</v>
      </c>
      <c r="F184" s="209">
        <v>76.510000000000005</v>
      </c>
      <c r="G184" s="209">
        <v>3201.49</v>
      </c>
      <c r="H184" s="198"/>
    </row>
    <row r="185" spans="1:8" ht="15.75" hidden="1" customHeight="1" x14ac:dyDescent="0.25">
      <c r="A185" s="205" t="s">
        <v>676</v>
      </c>
      <c r="B185" s="206">
        <v>87378</v>
      </c>
      <c r="C185" s="207" t="s">
        <v>766</v>
      </c>
      <c r="D185" s="208" t="s">
        <v>664</v>
      </c>
      <c r="E185" s="209">
        <v>451.26</v>
      </c>
      <c r="F185" s="209">
        <v>208.08</v>
      </c>
      <c r="G185" s="209">
        <v>659.34</v>
      </c>
      <c r="H185" s="198"/>
    </row>
    <row r="186" spans="1:8" ht="15.75" hidden="1" customHeight="1" x14ac:dyDescent="0.25">
      <c r="A186" s="205" t="s">
        <v>676</v>
      </c>
      <c r="B186" s="206">
        <v>87316</v>
      </c>
      <c r="C186" s="207" t="s">
        <v>767</v>
      </c>
      <c r="D186" s="208" t="s">
        <v>664</v>
      </c>
      <c r="E186" s="209">
        <v>397.19</v>
      </c>
      <c r="F186" s="209">
        <v>115.84</v>
      </c>
      <c r="G186" s="209">
        <v>513.03</v>
      </c>
      <c r="H186" s="198"/>
    </row>
    <row r="187" spans="1:8" ht="15.75" hidden="1" customHeight="1" x14ac:dyDescent="0.25">
      <c r="A187" s="205" t="s">
        <v>676</v>
      </c>
      <c r="B187" s="206">
        <v>87317</v>
      </c>
      <c r="C187" s="207" t="s">
        <v>768</v>
      </c>
      <c r="D187" s="208" t="s">
        <v>664</v>
      </c>
      <c r="E187" s="209">
        <v>395.31</v>
      </c>
      <c r="F187" s="209">
        <v>88.84</v>
      </c>
      <c r="G187" s="209">
        <v>484.15</v>
      </c>
      <c r="H187" s="198"/>
    </row>
    <row r="188" spans="1:8" ht="15.75" hidden="1" customHeight="1" x14ac:dyDescent="0.25">
      <c r="A188" s="205" t="s">
        <v>676</v>
      </c>
      <c r="B188" s="206">
        <v>87355</v>
      </c>
      <c r="C188" s="207" t="s">
        <v>769</v>
      </c>
      <c r="D188" s="208" t="s">
        <v>664</v>
      </c>
      <c r="E188" s="209">
        <v>408.47</v>
      </c>
      <c r="F188" s="209">
        <v>163.53</v>
      </c>
      <c r="G188" s="209">
        <v>572</v>
      </c>
      <c r="H188" s="198"/>
    </row>
    <row r="189" spans="1:8" ht="15.75" hidden="1" customHeight="1" x14ac:dyDescent="0.25">
      <c r="A189" s="205" t="s">
        <v>676</v>
      </c>
      <c r="B189" s="206">
        <v>87356</v>
      </c>
      <c r="C189" s="207" t="s">
        <v>770</v>
      </c>
      <c r="D189" s="208" t="s">
        <v>664</v>
      </c>
      <c r="E189" s="209">
        <v>389.99</v>
      </c>
      <c r="F189" s="209">
        <v>104.35</v>
      </c>
      <c r="G189" s="209">
        <v>494.34</v>
      </c>
      <c r="H189" s="198"/>
    </row>
    <row r="190" spans="1:8" ht="15.75" hidden="1" customHeight="1" x14ac:dyDescent="0.25">
      <c r="A190" s="205" t="s">
        <v>676</v>
      </c>
      <c r="B190" s="206">
        <v>87357</v>
      </c>
      <c r="C190" s="207" t="s">
        <v>771</v>
      </c>
      <c r="D190" s="208" t="s">
        <v>664</v>
      </c>
      <c r="E190" s="209">
        <v>381.43</v>
      </c>
      <c r="F190" s="209">
        <v>73.239999999999995</v>
      </c>
      <c r="G190" s="209">
        <v>454.67</v>
      </c>
      <c r="H190" s="198"/>
    </row>
    <row r="191" spans="1:8" ht="15.75" hidden="1" customHeight="1" x14ac:dyDescent="0.25">
      <c r="A191" s="205" t="s">
        <v>676</v>
      </c>
      <c r="B191" s="206">
        <v>100486</v>
      </c>
      <c r="C191" s="207" t="s">
        <v>772</v>
      </c>
      <c r="D191" s="208" t="s">
        <v>664</v>
      </c>
      <c r="E191" s="209">
        <v>597.19000000000005</v>
      </c>
      <c r="F191" s="209">
        <v>166.87</v>
      </c>
      <c r="G191" s="209">
        <v>764.06</v>
      </c>
      <c r="H191" s="198"/>
    </row>
    <row r="192" spans="1:8" ht="15.75" hidden="1" customHeight="1" x14ac:dyDescent="0.25">
      <c r="A192" s="205" t="s">
        <v>676</v>
      </c>
      <c r="B192" s="206">
        <v>100481</v>
      </c>
      <c r="C192" s="207" t="s">
        <v>773</v>
      </c>
      <c r="D192" s="208" t="s">
        <v>664</v>
      </c>
      <c r="E192" s="209">
        <v>544.04</v>
      </c>
      <c r="F192" s="209">
        <v>87.6</v>
      </c>
      <c r="G192" s="209">
        <v>631.64</v>
      </c>
      <c r="H192" s="198"/>
    </row>
    <row r="193" spans="1:8" ht="15.75" hidden="1" customHeight="1" x14ac:dyDescent="0.25">
      <c r="A193" s="205" t="s">
        <v>676</v>
      </c>
      <c r="B193" s="206">
        <v>100492</v>
      </c>
      <c r="C193" s="207" t="s">
        <v>774</v>
      </c>
      <c r="D193" s="208" t="s">
        <v>664</v>
      </c>
      <c r="E193" s="209">
        <v>547.58000000000004</v>
      </c>
      <c r="F193" s="209">
        <v>78</v>
      </c>
      <c r="G193" s="209">
        <v>625.58000000000004</v>
      </c>
      <c r="H193" s="198"/>
    </row>
    <row r="194" spans="1:8" ht="15.75" hidden="1" customHeight="1" x14ac:dyDescent="0.25">
      <c r="A194" s="205" t="s">
        <v>676</v>
      </c>
      <c r="B194" s="206">
        <v>100483</v>
      </c>
      <c r="C194" s="207" t="s">
        <v>775</v>
      </c>
      <c r="D194" s="208" t="s">
        <v>664</v>
      </c>
      <c r="E194" s="209">
        <v>555.07000000000005</v>
      </c>
      <c r="F194" s="209">
        <v>150.04</v>
      </c>
      <c r="G194" s="209">
        <v>705.11</v>
      </c>
      <c r="H194" s="198"/>
    </row>
    <row r="195" spans="1:8" ht="15.75" hidden="1" customHeight="1" x14ac:dyDescent="0.25">
      <c r="A195" s="205" t="s">
        <v>676</v>
      </c>
      <c r="B195" s="206">
        <v>100484</v>
      </c>
      <c r="C195" s="207" t="s">
        <v>776</v>
      </c>
      <c r="D195" s="208" t="s">
        <v>664</v>
      </c>
      <c r="E195" s="209">
        <v>538.41</v>
      </c>
      <c r="F195" s="209">
        <v>94.86</v>
      </c>
      <c r="G195" s="209">
        <v>633.27</v>
      </c>
      <c r="H195" s="198"/>
    </row>
    <row r="196" spans="1:8" ht="15.75" hidden="1" customHeight="1" x14ac:dyDescent="0.25">
      <c r="A196" s="205" t="s">
        <v>676</v>
      </c>
      <c r="B196" s="206">
        <v>100485</v>
      </c>
      <c r="C196" s="207" t="s">
        <v>777</v>
      </c>
      <c r="D196" s="208" t="s">
        <v>664</v>
      </c>
      <c r="E196" s="209">
        <v>534.38</v>
      </c>
      <c r="F196" s="209">
        <v>65.97</v>
      </c>
      <c r="G196" s="209">
        <v>600.35</v>
      </c>
      <c r="H196" s="198"/>
    </row>
    <row r="197" spans="1:8" ht="15.75" hidden="1" customHeight="1" x14ac:dyDescent="0.25">
      <c r="A197" s="205" t="s">
        <v>676</v>
      </c>
      <c r="B197" s="206">
        <v>87373</v>
      </c>
      <c r="C197" s="207" t="s">
        <v>778</v>
      </c>
      <c r="D197" s="208" t="s">
        <v>664</v>
      </c>
      <c r="E197" s="209">
        <v>571.13</v>
      </c>
      <c r="F197" s="209">
        <v>215.11</v>
      </c>
      <c r="G197" s="209">
        <v>786.24</v>
      </c>
      <c r="H197" s="198"/>
    </row>
    <row r="198" spans="1:8" ht="15.75" hidden="1" customHeight="1" x14ac:dyDescent="0.25">
      <c r="A198" s="205" t="s">
        <v>676</v>
      </c>
      <c r="B198" s="206">
        <v>87301</v>
      </c>
      <c r="C198" s="207" t="s">
        <v>779</v>
      </c>
      <c r="D198" s="208" t="s">
        <v>664</v>
      </c>
      <c r="E198" s="209">
        <v>517.01</v>
      </c>
      <c r="F198" s="209">
        <v>121.11</v>
      </c>
      <c r="G198" s="209">
        <v>638.12</v>
      </c>
      <c r="H198" s="198"/>
    </row>
    <row r="199" spans="1:8" ht="15.75" hidden="1" customHeight="1" x14ac:dyDescent="0.25">
      <c r="A199" s="205" t="s">
        <v>676</v>
      </c>
      <c r="B199" s="206">
        <v>87302</v>
      </c>
      <c r="C199" s="207" t="s">
        <v>780</v>
      </c>
      <c r="D199" s="208" t="s">
        <v>664</v>
      </c>
      <c r="E199" s="209">
        <v>518.33000000000004</v>
      </c>
      <c r="F199" s="209">
        <v>98.94</v>
      </c>
      <c r="G199" s="209">
        <v>617.27</v>
      </c>
      <c r="H199" s="198"/>
    </row>
    <row r="200" spans="1:8" ht="15.75" hidden="1" customHeight="1" x14ac:dyDescent="0.25">
      <c r="A200" s="205" t="s">
        <v>676</v>
      </c>
      <c r="B200" s="206">
        <v>87342</v>
      </c>
      <c r="C200" s="207" t="s">
        <v>781</v>
      </c>
      <c r="D200" s="208" t="s">
        <v>664</v>
      </c>
      <c r="E200" s="209">
        <v>539.02</v>
      </c>
      <c r="F200" s="209">
        <v>208.47</v>
      </c>
      <c r="G200" s="209">
        <v>747.49</v>
      </c>
      <c r="H200" s="198"/>
    </row>
    <row r="201" spans="1:8" ht="15.75" hidden="1" customHeight="1" x14ac:dyDescent="0.25">
      <c r="A201" s="205" t="s">
        <v>676</v>
      </c>
      <c r="B201" s="206">
        <v>87343</v>
      </c>
      <c r="C201" s="207" t="s">
        <v>782</v>
      </c>
      <c r="D201" s="208" t="s">
        <v>664</v>
      </c>
      <c r="E201" s="209">
        <v>513.39</v>
      </c>
      <c r="F201" s="209">
        <v>129.30000000000001</v>
      </c>
      <c r="G201" s="209">
        <v>642.69000000000005</v>
      </c>
      <c r="H201" s="198"/>
    </row>
    <row r="202" spans="1:8" ht="15.75" hidden="1" customHeight="1" x14ac:dyDescent="0.25">
      <c r="A202" s="205" t="s">
        <v>676</v>
      </c>
      <c r="B202" s="206">
        <v>87344</v>
      </c>
      <c r="C202" s="207" t="s">
        <v>783</v>
      </c>
      <c r="D202" s="208" t="s">
        <v>664</v>
      </c>
      <c r="E202" s="209">
        <v>500.97</v>
      </c>
      <c r="F202" s="209">
        <v>80.67</v>
      </c>
      <c r="G202" s="209">
        <v>581.64</v>
      </c>
      <c r="H202" s="198"/>
    </row>
    <row r="203" spans="1:8" ht="15.75" hidden="1" customHeight="1" x14ac:dyDescent="0.25">
      <c r="A203" s="205" t="s">
        <v>676</v>
      </c>
      <c r="B203" s="206">
        <v>88631</v>
      </c>
      <c r="C203" s="207" t="s">
        <v>784</v>
      </c>
      <c r="D203" s="208" t="s">
        <v>664</v>
      </c>
      <c r="E203" s="209">
        <v>478.01</v>
      </c>
      <c r="F203" s="209">
        <v>161.81</v>
      </c>
      <c r="G203" s="209">
        <v>639.82000000000005</v>
      </c>
      <c r="H203" s="198"/>
    </row>
    <row r="204" spans="1:8" ht="15.75" hidden="1" customHeight="1" x14ac:dyDescent="0.25">
      <c r="A204" s="205" t="s">
        <v>676</v>
      </c>
      <c r="B204" s="206">
        <v>100490</v>
      </c>
      <c r="C204" s="207" t="s">
        <v>785</v>
      </c>
      <c r="D204" s="208" t="s">
        <v>664</v>
      </c>
      <c r="E204" s="209">
        <v>433.77</v>
      </c>
      <c r="F204" s="209">
        <v>71.25</v>
      </c>
      <c r="G204" s="209">
        <v>505.02</v>
      </c>
      <c r="H204" s="198"/>
    </row>
    <row r="205" spans="1:8" ht="15.75" hidden="1" customHeight="1" x14ac:dyDescent="0.25">
      <c r="A205" s="205" t="s">
        <v>676</v>
      </c>
      <c r="B205" s="206">
        <v>100472</v>
      </c>
      <c r="C205" s="207" t="s">
        <v>786</v>
      </c>
      <c r="D205" s="208" t="s">
        <v>664</v>
      </c>
      <c r="E205" s="209">
        <v>445.74</v>
      </c>
      <c r="F205" s="209">
        <v>143.31</v>
      </c>
      <c r="G205" s="209">
        <v>589.04999999999995</v>
      </c>
      <c r="H205" s="198"/>
    </row>
    <row r="206" spans="1:8" ht="15.75" hidden="1" customHeight="1" x14ac:dyDescent="0.25">
      <c r="A206" s="205" t="s">
        <v>676</v>
      </c>
      <c r="B206" s="206">
        <v>100473</v>
      </c>
      <c r="C206" s="207" t="s">
        <v>787</v>
      </c>
      <c r="D206" s="208" t="s">
        <v>664</v>
      </c>
      <c r="E206" s="209">
        <v>428.13</v>
      </c>
      <c r="F206" s="209">
        <v>88.12</v>
      </c>
      <c r="G206" s="209">
        <v>516.25</v>
      </c>
      <c r="H206" s="198"/>
    </row>
    <row r="207" spans="1:8" ht="15.75" hidden="1" customHeight="1" x14ac:dyDescent="0.25">
      <c r="A207" s="205" t="s">
        <v>676</v>
      </c>
      <c r="B207" s="206">
        <v>100474</v>
      </c>
      <c r="C207" s="207" t="s">
        <v>788</v>
      </c>
      <c r="D207" s="208" t="s">
        <v>664</v>
      </c>
      <c r="E207" s="209">
        <v>422.22</v>
      </c>
      <c r="F207" s="209">
        <v>59.32</v>
      </c>
      <c r="G207" s="209">
        <v>481.54</v>
      </c>
      <c r="H207" s="198"/>
    </row>
    <row r="208" spans="1:8" ht="15.75" hidden="1" customHeight="1" x14ac:dyDescent="0.25">
      <c r="A208" s="205" t="s">
        <v>676</v>
      </c>
      <c r="B208" s="206">
        <v>87379</v>
      </c>
      <c r="C208" s="207" t="s">
        <v>789</v>
      </c>
      <c r="D208" s="208" t="s">
        <v>664</v>
      </c>
      <c r="E208" s="209">
        <v>3178.49</v>
      </c>
      <c r="F208" s="209">
        <v>207.92</v>
      </c>
      <c r="G208" s="209">
        <v>3386.41</v>
      </c>
      <c r="H208" s="198"/>
    </row>
    <row r="209" spans="1:8" ht="15.75" hidden="1" customHeight="1" x14ac:dyDescent="0.25">
      <c r="A209" s="205" t="s">
        <v>676</v>
      </c>
      <c r="B209" s="206">
        <v>87319</v>
      </c>
      <c r="C209" s="207" t="s">
        <v>790</v>
      </c>
      <c r="D209" s="208" t="s">
        <v>664</v>
      </c>
      <c r="E209" s="209">
        <v>3138.41</v>
      </c>
      <c r="F209" s="209">
        <v>107.77</v>
      </c>
      <c r="G209" s="209">
        <v>3246.18</v>
      </c>
      <c r="H209" s="198"/>
    </row>
    <row r="210" spans="1:8" ht="15.75" hidden="1" customHeight="1" x14ac:dyDescent="0.25">
      <c r="A210" s="205" t="s">
        <v>676</v>
      </c>
      <c r="B210" s="206">
        <v>87320</v>
      </c>
      <c r="C210" s="207" t="s">
        <v>791</v>
      </c>
      <c r="D210" s="208" t="s">
        <v>664</v>
      </c>
      <c r="E210" s="209">
        <v>3150.91</v>
      </c>
      <c r="F210" s="209">
        <v>90.09</v>
      </c>
      <c r="G210" s="209">
        <v>3241</v>
      </c>
      <c r="H210" s="198"/>
    </row>
    <row r="211" spans="1:8" ht="15.75" hidden="1" customHeight="1" x14ac:dyDescent="0.25">
      <c r="A211" s="205" t="s">
        <v>676</v>
      </c>
      <c r="B211" s="206">
        <v>87358</v>
      </c>
      <c r="C211" s="207" t="s">
        <v>792</v>
      </c>
      <c r="D211" s="208" t="s">
        <v>664</v>
      </c>
      <c r="E211" s="209">
        <v>3090.61</v>
      </c>
      <c r="F211" s="209">
        <v>134.15</v>
      </c>
      <c r="G211" s="209">
        <v>3224.76</v>
      </c>
      <c r="H211" s="198"/>
    </row>
    <row r="212" spans="1:8" ht="15.75" hidden="1" customHeight="1" x14ac:dyDescent="0.25">
      <c r="A212" s="205" t="s">
        <v>676</v>
      </c>
      <c r="B212" s="206">
        <v>87359</v>
      </c>
      <c r="C212" s="207" t="s">
        <v>793</v>
      </c>
      <c r="D212" s="208" t="s">
        <v>664</v>
      </c>
      <c r="E212" s="209">
        <v>3087.14</v>
      </c>
      <c r="F212" s="209">
        <v>86.64</v>
      </c>
      <c r="G212" s="209">
        <v>3173.78</v>
      </c>
      <c r="H212" s="198"/>
    </row>
    <row r="213" spans="1:8" ht="15.75" hidden="1" customHeight="1" x14ac:dyDescent="0.25">
      <c r="A213" s="205" t="s">
        <v>676</v>
      </c>
      <c r="B213" s="206">
        <v>87376</v>
      </c>
      <c r="C213" s="207" t="s">
        <v>794</v>
      </c>
      <c r="D213" s="208" t="s">
        <v>664</v>
      </c>
      <c r="E213" s="209">
        <v>420.9</v>
      </c>
      <c r="F213" s="209">
        <v>210.79</v>
      </c>
      <c r="G213" s="209">
        <v>631.69000000000005</v>
      </c>
      <c r="H213" s="198"/>
    </row>
    <row r="214" spans="1:8" ht="15.75" hidden="1" customHeight="1" x14ac:dyDescent="0.25">
      <c r="A214" s="205" t="s">
        <v>676</v>
      </c>
      <c r="B214" s="206">
        <v>87310</v>
      </c>
      <c r="C214" s="207" t="s">
        <v>795</v>
      </c>
      <c r="D214" s="208" t="s">
        <v>664</v>
      </c>
      <c r="E214" s="209">
        <v>363.38</v>
      </c>
      <c r="F214" s="209">
        <v>107.38</v>
      </c>
      <c r="G214" s="209">
        <v>470.76</v>
      </c>
      <c r="H214" s="198"/>
    </row>
    <row r="215" spans="1:8" ht="15.75" hidden="1" customHeight="1" x14ac:dyDescent="0.25">
      <c r="A215" s="205" t="s">
        <v>676</v>
      </c>
      <c r="B215" s="206">
        <v>87311</v>
      </c>
      <c r="C215" s="207" t="s">
        <v>796</v>
      </c>
      <c r="D215" s="208" t="s">
        <v>664</v>
      </c>
      <c r="E215" s="209">
        <v>362.45</v>
      </c>
      <c r="F215" s="209">
        <v>88.46</v>
      </c>
      <c r="G215" s="209">
        <v>450.91</v>
      </c>
      <c r="H215" s="198"/>
    </row>
    <row r="216" spans="1:8" ht="15.75" hidden="1" customHeight="1" x14ac:dyDescent="0.25">
      <c r="A216" s="205" t="s">
        <v>676</v>
      </c>
      <c r="B216" s="206">
        <v>87350</v>
      </c>
      <c r="C216" s="207" t="s">
        <v>797</v>
      </c>
      <c r="D216" s="208" t="s">
        <v>664</v>
      </c>
      <c r="E216" s="209">
        <v>378.96</v>
      </c>
      <c r="F216" s="209">
        <v>160.02000000000001</v>
      </c>
      <c r="G216" s="209">
        <v>538.98</v>
      </c>
      <c r="H216" s="198"/>
    </row>
    <row r="217" spans="1:8" ht="15.75" hidden="1" customHeight="1" x14ac:dyDescent="0.25">
      <c r="A217" s="205" t="s">
        <v>676</v>
      </c>
      <c r="B217" s="206">
        <v>87351</v>
      </c>
      <c r="C217" s="207" t="s">
        <v>798</v>
      </c>
      <c r="D217" s="208" t="s">
        <v>664</v>
      </c>
      <c r="E217" s="209">
        <v>352.06</v>
      </c>
      <c r="F217" s="209">
        <v>79.12</v>
      </c>
      <c r="G217" s="209">
        <v>431.18</v>
      </c>
      <c r="H217" s="198"/>
    </row>
    <row r="218" spans="1:8" ht="15.75" hidden="1" customHeight="1" x14ac:dyDescent="0.25">
      <c r="A218" s="205" t="s">
        <v>676</v>
      </c>
      <c r="B218" s="206">
        <v>87374</v>
      </c>
      <c r="C218" s="207" t="s">
        <v>799</v>
      </c>
      <c r="D218" s="208" t="s">
        <v>664</v>
      </c>
      <c r="E218" s="209">
        <v>528.92999999999995</v>
      </c>
      <c r="F218" s="209">
        <v>216.66</v>
      </c>
      <c r="G218" s="209">
        <v>745.59</v>
      </c>
      <c r="H218" s="198"/>
    </row>
    <row r="219" spans="1:8" ht="15.75" hidden="1" customHeight="1" x14ac:dyDescent="0.25">
      <c r="A219" s="205" t="s">
        <v>676</v>
      </c>
      <c r="B219" s="206">
        <v>87304</v>
      </c>
      <c r="C219" s="207" t="s">
        <v>800</v>
      </c>
      <c r="D219" s="208" t="s">
        <v>664</v>
      </c>
      <c r="E219" s="209">
        <v>472.03</v>
      </c>
      <c r="F219" s="209">
        <v>109.86</v>
      </c>
      <c r="G219" s="209">
        <v>581.89</v>
      </c>
      <c r="H219" s="198"/>
    </row>
    <row r="220" spans="1:8" ht="15.75" hidden="1" customHeight="1" x14ac:dyDescent="0.25">
      <c r="A220" s="205" t="s">
        <v>676</v>
      </c>
      <c r="B220" s="206">
        <v>87305</v>
      </c>
      <c r="C220" s="207" t="s">
        <v>801</v>
      </c>
      <c r="D220" s="208" t="s">
        <v>664</v>
      </c>
      <c r="E220" s="209">
        <v>476.68</v>
      </c>
      <c r="F220" s="209">
        <v>102.44</v>
      </c>
      <c r="G220" s="209">
        <v>579.12</v>
      </c>
      <c r="H220" s="198"/>
    </row>
    <row r="221" spans="1:8" ht="15.75" hidden="1" customHeight="1" x14ac:dyDescent="0.25">
      <c r="A221" s="205" t="s">
        <v>676</v>
      </c>
      <c r="B221" s="206">
        <v>87345</v>
      </c>
      <c r="C221" s="207" t="s">
        <v>802</v>
      </c>
      <c r="D221" s="208" t="s">
        <v>664</v>
      </c>
      <c r="E221" s="209">
        <v>488.95</v>
      </c>
      <c r="F221" s="209">
        <v>185.73</v>
      </c>
      <c r="G221" s="209">
        <v>674.68</v>
      </c>
      <c r="H221" s="198"/>
    </row>
    <row r="222" spans="1:8" ht="15.75" hidden="1" customHeight="1" x14ac:dyDescent="0.25">
      <c r="A222" s="205" t="s">
        <v>676</v>
      </c>
      <c r="B222" s="206">
        <v>87346</v>
      </c>
      <c r="C222" s="207" t="s">
        <v>803</v>
      </c>
      <c r="D222" s="208" t="s">
        <v>664</v>
      </c>
      <c r="E222" s="209">
        <v>468.2</v>
      </c>
      <c r="F222" s="209">
        <v>119.62</v>
      </c>
      <c r="G222" s="209">
        <v>587.82000000000005</v>
      </c>
      <c r="H222" s="198"/>
    </row>
    <row r="223" spans="1:8" ht="15.75" hidden="1" customHeight="1" x14ac:dyDescent="0.25">
      <c r="A223" s="205" t="s">
        <v>676</v>
      </c>
      <c r="B223" s="206">
        <v>87347</v>
      </c>
      <c r="C223" s="207" t="s">
        <v>804</v>
      </c>
      <c r="D223" s="208" t="s">
        <v>664</v>
      </c>
      <c r="E223" s="209">
        <v>458.1</v>
      </c>
      <c r="F223" s="209">
        <v>81.22</v>
      </c>
      <c r="G223" s="209">
        <v>539.32000000000005</v>
      </c>
      <c r="H223" s="198"/>
    </row>
    <row r="224" spans="1:8" ht="15.75" hidden="1" customHeight="1" x14ac:dyDescent="0.25">
      <c r="A224" s="205" t="s">
        <v>676</v>
      </c>
      <c r="B224" s="206">
        <v>87366</v>
      </c>
      <c r="C224" s="207" t="s">
        <v>805</v>
      </c>
      <c r="D224" s="208" t="s">
        <v>664</v>
      </c>
      <c r="E224" s="209">
        <v>442.69</v>
      </c>
      <c r="F224" s="209">
        <v>217.45</v>
      </c>
      <c r="G224" s="209">
        <v>660.14</v>
      </c>
      <c r="H224" s="198"/>
    </row>
    <row r="225" spans="1:8" ht="15.75" hidden="1" customHeight="1" x14ac:dyDescent="0.25">
      <c r="A225" s="205" t="s">
        <v>676</v>
      </c>
      <c r="B225" s="206">
        <v>87283</v>
      </c>
      <c r="C225" s="207" t="s">
        <v>806</v>
      </c>
      <c r="D225" s="208" t="s">
        <v>664</v>
      </c>
      <c r="E225" s="209">
        <v>383.8</v>
      </c>
      <c r="F225" s="209">
        <v>108.12</v>
      </c>
      <c r="G225" s="209">
        <v>491.92</v>
      </c>
      <c r="H225" s="198"/>
    </row>
    <row r="226" spans="1:8" ht="15.75" hidden="1" customHeight="1" x14ac:dyDescent="0.25">
      <c r="A226" s="205" t="s">
        <v>676</v>
      </c>
      <c r="B226" s="206">
        <v>87284</v>
      </c>
      <c r="C226" s="207" t="s">
        <v>807</v>
      </c>
      <c r="D226" s="208" t="s">
        <v>664</v>
      </c>
      <c r="E226" s="209">
        <v>384.07</v>
      </c>
      <c r="F226" s="209">
        <v>91.49</v>
      </c>
      <c r="G226" s="209">
        <v>475.56</v>
      </c>
      <c r="H226" s="198"/>
    </row>
    <row r="227" spans="1:8" ht="15.75" hidden="1" customHeight="1" x14ac:dyDescent="0.25">
      <c r="A227" s="205" t="s">
        <v>676</v>
      </c>
      <c r="B227" s="206">
        <v>87329</v>
      </c>
      <c r="C227" s="207" t="s">
        <v>808</v>
      </c>
      <c r="D227" s="208" t="s">
        <v>664</v>
      </c>
      <c r="E227" s="209">
        <v>396.73</v>
      </c>
      <c r="F227" s="209">
        <v>157.82</v>
      </c>
      <c r="G227" s="209">
        <v>554.54999999999995</v>
      </c>
      <c r="H227" s="198"/>
    </row>
    <row r="228" spans="1:8" ht="15.75" hidden="1" customHeight="1" x14ac:dyDescent="0.25">
      <c r="A228" s="205" t="s">
        <v>676</v>
      </c>
      <c r="B228" s="206">
        <v>87330</v>
      </c>
      <c r="C228" s="207" t="s">
        <v>809</v>
      </c>
      <c r="D228" s="208" t="s">
        <v>664</v>
      </c>
      <c r="E228" s="209">
        <v>372.16</v>
      </c>
      <c r="F228" s="209">
        <v>81.41</v>
      </c>
      <c r="G228" s="209">
        <v>453.57</v>
      </c>
      <c r="H228" s="198"/>
    </row>
    <row r="229" spans="1:8" ht="15.75" hidden="1" customHeight="1" x14ac:dyDescent="0.25">
      <c r="A229" s="205" t="s">
        <v>676</v>
      </c>
      <c r="B229" s="206">
        <v>87375</v>
      </c>
      <c r="C229" s="207" t="s">
        <v>810</v>
      </c>
      <c r="D229" s="208" t="s">
        <v>664</v>
      </c>
      <c r="E229" s="209">
        <v>500.69</v>
      </c>
      <c r="F229" s="209">
        <v>220.76</v>
      </c>
      <c r="G229" s="209">
        <v>721.45</v>
      </c>
      <c r="H229" s="198"/>
    </row>
    <row r="230" spans="1:8" ht="15.75" hidden="1" customHeight="1" x14ac:dyDescent="0.25">
      <c r="A230" s="205" t="s">
        <v>676</v>
      </c>
      <c r="B230" s="206">
        <v>87307</v>
      </c>
      <c r="C230" s="207" t="s">
        <v>811</v>
      </c>
      <c r="D230" s="208" t="s">
        <v>664</v>
      </c>
      <c r="E230" s="209">
        <v>444.62</v>
      </c>
      <c r="F230" s="209">
        <v>121.12</v>
      </c>
      <c r="G230" s="209">
        <v>565.74</v>
      </c>
      <c r="H230" s="198"/>
    </row>
    <row r="231" spans="1:8" ht="15.75" hidden="1" customHeight="1" x14ac:dyDescent="0.25">
      <c r="A231" s="205" t="s">
        <v>676</v>
      </c>
      <c r="B231" s="206">
        <v>87308</v>
      </c>
      <c r="C231" s="207" t="s">
        <v>812</v>
      </c>
      <c r="D231" s="208" t="s">
        <v>664</v>
      </c>
      <c r="E231" s="209">
        <v>443.47</v>
      </c>
      <c r="F231" s="209">
        <v>101.93</v>
      </c>
      <c r="G231" s="209">
        <v>545.4</v>
      </c>
      <c r="H231" s="198"/>
    </row>
    <row r="232" spans="1:8" ht="15.75" hidden="1" customHeight="1" x14ac:dyDescent="0.25">
      <c r="A232" s="205" t="s">
        <v>676</v>
      </c>
      <c r="B232" s="206">
        <v>87348</v>
      </c>
      <c r="C232" s="207" t="s">
        <v>813</v>
      </c>
      <c r="D232" s="208" t="s">
        <v>664</v>
      </c>
      <c r="E232" s="209">
        <v>452.46</v>
      </c>
      <c r="F232" s="209">
        <v>167.25</v>
      </c>
      <c r="G232" s="209">
        <v>619.71</v>
      </c>
      <c r="H232" s="198"/>
    </row>
    <row r="233" spans="1:8" ht="15.75" hidden="1" customHeight="1" x14ac:dyDescent="0.25">
      <c r="A233" s="205" t="s">
        <v>676</v>
      </c>
      <c r="B233" s="206">
        <v>87349</v>
      </c>
      <c r="C233" s="207" t="s">
        <v>814</v>
      </c>
      <c r="D233" s="208" t="s">
        <v>664</v>
      </c>
      <c r="E233" s="209">
        <v>426.87</v>
      </c>
      <c r="F233" s="209">
        <v>76.209999999999994</v>
      </c>
      <c r="G233" s="209">
        <v>503.08</v>
      </c>
      <c r="H233" s="198"/>
    </row>
    <row r="234" spans="1:8" ht="15.75" hidden="1" customHeight="1" x14ac:dyDescent="0.25">
      <c r="A234" s="205" t="s">
        <v>676</v>
      </c>
      <c r="B234" s="206">
        <v>87365</v>
      </c>
      <c r="C234" s="207" t="s">
        <v>815</v>
      </c>
      <c r="D234" s="208" t="s">
        <v>664</v>
      </c>
      <c r="E234" s="209">
        <v>419.74</v>
      </c>
      <c r="F234" s="209">
        <v>210.78</v>
      </c>
      <c r="G234" s="209">
        <v>630.52</v>
      </c>
      <c r="H234" s="198"/>
    </row>
    <row r="235" spans="1:8" ht="15.75" hidden="1" customHeight="1" x14ac:dyDescent="0.25">
      <c r="A235" s="205" t="s">
        <v>676</v>
      </c>
      <c r="B235" s="206">
        <v>87280</v>
      </c>
      <c r="C235" s="207" t="s">
        <v>816</v>
      </c>
      <c r="D235" s="208" t="s">
        <v>664</v>
      </c>
      <c r="E235" s="209">
        <v>364.9</v>
      </c>
      <c r="F235" s="209">
        <v>120.33</v>
      </c>
      <c r="G235" s="209">
        <v>485.23</v>
      </c>
      <c r="H235" s="198"/>
    </row>
    <row r="236" spans="1:8" ht="15.75" hidden="1" customHeight="1" x14ac:dyDescent="0.25">
      <c r="A236" s="205" t="s">
        <v>676</v>
      </c>
      <c r="B236" s="206">
        <v>87281</v>
      </c>
      <c r="C236" s="207" t="s">
        <v>817</v>
      </c>
      <c r="D236" s="208" t="s">
        <v>664</v>
      </c>
      <c r="E236" s="209">
        <v>366.68</v>
      </c>
      <c r="F236" s="209">
        <v>102.16</v>
      </c>
      <c r="G236" s="209">
        <v>468.84</v>
      </c>
      <c r="H236" s="198"/>
    </row>
    <row r="237" spans="1:8" ht="15.75" hidden="1" customHeight="1" x14ac:dyDescent="0.25">
      <c r="A237" s="205" t="s">
        <v>676</v>
      </c>
      <c r="B237" s="206">
        <v>87327</v>
      </c>
      <c r="C237" s="207" t="s">
        <v>818</v>
      </c>
      <c r="D237" s="208" t="s">
        <v>664</v>
      </c>
      <c r="E237" s="209">
        <v>372.88</v>
      </c>
      <c r="F237" s="209">
        <v>145.79</v>
      </c>
      <c r="G237" s="209">
        <v>518.66999999999996</v>
      </c>
      <c r="H237" s="198"/>
    </row>
    <row r="238" spans="1:8" ht="15.75" hidden="1" customHeight="1" x14ac:dyDescent="0.25">
      <c r="A238" s="205" t="s">
        <v>676</v>
      </c>
      <c r="B238" s="206">
        <v>87328</v>
      </c>
      <c r="C238" s="207" t="s">
        <v>819</v>
      </c>
      <c r="D238" s="208" t="s">
        <v>664</v>
      </c>
      <c r="E238" s="209">
        <v>351.47</v>
      </c>
      <c r="F238" s="209">
        <v>77.67</v>
      </c>
      <c r="G238" s="209">
        <v>429.14</v>
      </c>
      <c r="H238" s="198"/>
    </row>
    <row r="239" spans="1:8" ht="15.75" hidden="1" customHeight="1" x14ac:dyDescent="0.25">
      <c r="A239" s="205" t="s">
        <v>676</v>
      </c>
      <c r="B239" s="206">
        <v>87410</v>
      </c>
      <c r="C239" s="207" t="s">
        <v>820</v>
      </c>
      <c r="D239" s="208" t="s">
        <v>664</v>
      </c>
      <c r="E239" s="209">
        <v>811.25</v>
      </c>
      <c r="F239" s="209">
        <v>147.56</v>
      </c>
      <c r="G239" s="209">
        <v>958.81</v>
      </c>
      <c r="H239" s="198"/>
    </row>
    <row r="240" spans="1:8" ht="15.75" hidden="1" customHeight="1" x14ac:dyDescent="0.25">
      <c r="A240" s="205" t="s">
        <v>821</v>
      </c>
      <c r="B240" s="206">
        <v>95577</v>
      </c>
      <c r="C240" s="207" t="s">
        <v>822</v>
      </c>
      <c r="D240" s="208" t="s">
        <v>823</v>
      </c>
      <c r="E240" s="209">
        <v>9.65</v>
      </c>
      <c r="F240" s="209">
        <v>1.2</v>
      </c>
      <c r="G240" s="209">
        <v>10.85</v>
      </c>
      <c r="H240" s="198"/>
    </row>
    <row r="241" spans="1:8" ht="15.75" hidden="1" customHeight="1" x14ac:dyDescent="0.25">
      <c r="A241" s="205" t="s">
        <v>821</v>
      </c>
      <c r="B241" s="206">
        <v>95578</v>
      </c>
      <c r="C241" s="207" t="s">
        <v>824</v>
      </c>
      <c r="D241" s="208" t="s">
        <v>823</v>
      </c>
      <c r="E241" s="209">
        <v>8.26</v>
      </c>
      <c r="F241" s="209">
        <v>0.65</v>
      </c>
      <c r="G241" s="209">
        <v>8.91</v>
      </c>
      <c r="H241" s="198"/>
    </row>
    <row r="242" spans="1:8" ht="15.75" hidden="1" customHeight="1" x14ac:dyDescent="0.25">
      <c r="A242" s="205" t="s">
        <v>821</v>
      </c>
      <c r="B242" s="206">
        <v>95579</v>
      </c>
      <c r="C242" s="207" t="s">
        <v>825</v>
      </c>
      <c r="D242" s="208" t="s">
        <v>823</v>
      </c>
      <c r="E242" s="209">
        <v>8.1300000000000008</v>
      </c>
      <c r="F242" s="209">
        <v>0.38</v>
      </c>
      <c r="G242" s="209">
        <v>8.51</v>
      </c>
      <c r="H242" s="198"/>
    </row>
    <row r="243" spans="1:8" ht="15.75" hidden="1" customHeight="1" x14ac:dyDescent="0.25">
      <c r="A243" s="205" t="s">
        <v>821</v>
      </c>
      <c r="B243" s="206">
        <v>95580</v>
      </c>
      <c r="C243" s="207" t="s">
        <v>826</v>
      </c>
      <c r="D243" s="208" t="s">
        <v>823</v>
      </c>
      <c r="E243" s="209">
        <v>9.44</v>
      </c>
      <c r="F243" s="209">
        <v>0.28000000000000003</v>
      </c>
      <c r="G243" s="209">
        <v>9.7200000000000006</v>
      </c>
      <c r="H243" s="198"/>
    </row>
    <row r="244" spans="1:8" ht="15.75" hidden="1" customHeight="1" x14ac:dyDescent="0.25">
      <c r="A244" s="205" t="s">
        <v>821</v>
      </c>
      <c r="B244" s="206">
        <v>95581</v>
      </c>
      <c r="C244" s="207" t="s">
        <v>827</v>
      </c>
      <c r="D244" s="208" t="s">
        <v>823</v>
      </c>
      <c r="E244" s="209">
        <v>9.41</v>
      </c>
      <c r="F244" s="209">
        <v>0.26</v>
      </c>
      <c r="G244" s="209">
        <v>9.67</v>
      </c>
      <c r="H244" s="198"/>
    </row>
    <row r="245" spans="1:8" ht="15.75" hidden="1" customHeight="1" x14ac:dyDescent="0.25">
      <c r="A245" s="205" t="s">
        <v>821</v>
      </c>
      <c r="B245" s="206">
        <v>95582</v>
      </c>
      <c r="C245" s="207" t="s">
        <v>828</v>
      </c>
      <c r="D245" s="208" t="s">
        <v>823</v>
      </c>
      <c r="E245" s="209">
        <v>10.28</v>
      </c>
      <c r="F245" s="209">
        <v>0.22</v>
      </c>
      <c r="G245" s="209">
        <v>10.5</v>
      </c>
      <c r="H245" s="198"/>
    </row>
    <row r="246" spans="1:8" ht="15.75" hidden="1" customHeight="1" x14ac:dyDescent="0.25">
      <c r="A246" s="205" t="s">
        <v>821</v>
      </c>
      <c r="B246" s="206">
        <v>95576</v>
      </c>
      <c r="C246" s="207" t="s">
        <v>829</v>
      </c>
      <c r="D246" s="208" t="s">
        <v>823</v>
      </c>
      <c r="E246" s="209">
        <v>10.66</v>
      </c>
      <c r="F246" s="209">
        <v>2.5099999999999998</v>
      </c>
      <c r="G246" s="209">
        <v>13.17</v>
      </c>
      <c r="H246" s="198"/>
    </row>
    <row r="247" spans="1:8" ht="15.75" hidden="1" customHeight="1" x14ac:dyDescent="0.25">
      <c r="A247" s="205" t="s">
        <v>821</v>
      </c>
      <c r="B247" s="206">
        <v>95583</v>
      </c>
      <c r="C247" s="207" t="s">
        <v>830</v>
      </c>
      <c r="D247" s="208" t="s">
        <v>823</v>
      </c>
      <c r="E247" s="209">
        <v>11.05</v>
      </c>
      <c r="F247" s="209">
        <v>6.99</v>
      </c>
      <c r="G247" s="209">
        <v>18.04</v>
      </c>
      <c r="H247" s="198"/>
    </row>
    <row r="248" spans="1:8" ht="15.75" hidden="1" customHeight="1" x14ac:dyDescent="0.25">
      <c r="A248" s="205" t="s">
        <v>821</v>
      </c>
      <c r="B248" s="206">
        <v>95584</v>
      </c>
      <c r="C248" s="207" t="s">
        <v>831</v>
      </c>
      <c r="D248" s="208" t="s">
        <v>823</v>
      </c>
      <c r="E248" s="209">
        <v>10.96</v>
      </c>
      <c r="F248" s="209">
        <v>4.2</v>
      </c>
      <c r="G248" s="209">
        <v>15.16</v>
      </c>
      <c r="H248" s="198"/>
    </row>
    <row r="249" spans="1:8" ht="15.75" hidden="1" customHeight="1" x14ac:dyDescent="0.25">
      <c r="A249" s="205" t="s">
        <v>821</v>
      </c>
      <c r="B249" s="206">
        <v>95593</v>
      </c>
      <c r="C249" s="207" t="s">
        <v>832</v>
      </c>
      <c r="D249" s="208" t="s">
        <v>823</v>
      </c>
      <c r="E249" s="209">
        <v>10.96</v>
      </c>
      <c r="F249" s="209">
        <v>4.2</v>
      </c>
      <c r="G249" s="209">
        <v>15.16</v>
      </c>
      <c r="H249" s="198"/>
    </row>
    <row r="250" spans="1:8" ht="15.75" hidden="1" customHeight="1" x14ac:dyDescent="0.25">
      <c r="A250" s="205" t="s">
        <v>821</v>
      </c>
      <c r="B250" s="206">
        <v>95592</v>
      </c>
      <c r="C250" s="207" t="s">
        <v>833</v>
      </c>
      <c r="D250" s="208" t="s">
        <v>823</v>
      </c>
      <c r="E250" s="209">
        <v>11.05</v>
      </c>
      <c r="F250" s="209">
        <v>6.99</v>
      </c>
      <c r="G250" s="209">
        <v>18.04</v>
      </c>
      <c r="H250" s="198"/>
    </row>
    <row r="251" spans="1:8" ht="15.75" hidden="1" customHeight="1" x14ac:dyDescent="0.25">
      <c r="A251" s="205" t="s">
        <v>834</v>
      </c>
      <c r="B251" s="206">
        <v>92919</v>
      </c>
      <c r="C251" s="207" t="s">
        <v>835</v>
      </c>
      <c r="D251" s="208" t="s">
        <v>823</v>
      </c>
      <c r="E251" s="209">
        <v>10.19</v>
      </c>
      <c r="F251" s="209">
        <v>2.44</v>
      </c>
      <c r="G251" s="209">
        <v>12.63</v>
      </c>
      <c r="H251" s="198"/>
    </row>
    <row r="252" spans="1:8" ht="15.75" hidden="1" customHeight="1" x14ac:dyDescent="0.25">
      <c r="A252" s="205" t="s">
        <v>834</v>
      </c>
      <c r="B252" s="206">
        <v>92921</v>
      </c>
      <c r="C252" s="207" t="s">
        <v>836</v>
      </c>
      <c r="D252" s="208" t="s">
        <v>823</v>
      </c>
      <c r="E252" s="209">
        <v>8.73</v>
      </c>
      <c r="F252" s="209">
        <v>1.54</v>
      </c>
      <c r="G252" s="209">
        <v>10.27</v>
      </c>
      <c r="H252" s="198"/>
    </row>
    <row r="253" spans="1:8" ht="15.75" hidden="1" customHeight="1" x14ac:dyDescent="0.25">
      <c r="A253" s="205" t="s">
        <v>834</v>
      </c>
      <c r="B253" s="206">
        <v>92922</v>
      </c>
      <c r="C253" s="207" t="s">
        <v>837</v>
      </c>
      <c r="D253" s="208" t="s">
        <v>823</v>
      </c>
      <c r="E253" s="209">
        <v>8.5299999999999994</v>
      </c>
      <c r="F253" s="209">
        <v>1.1299999999999999</v>
      </c>
      <c r="G253" s="209">
        <v>9.66</v>
      </c>
      <c r="H253" s="198"/>
    </row>
    <row r="254" spans="1:8" ht="15.75" hidden="1" customHeight="1" x14ac:dyDescent="0.25">
      <c r="A254" s="205" t="s">
        <v>834</v>
      </c>
      <c r="B254" s="206">
        <v>92923</v>
      </c>
      <c r="C254" s="207" t="s">
        <v>838</v>
      </c>
      <c r="D254" s="208" t="s">
        <v>823</v>
      </c>
      <c r="E254" s="209">
        <v>9.77</v>
      </c>
      <c r="F254" s="209">
        <v>0.86</v>
      </c>
      <c r="G254" s="209">
        <v>10.63</v>
      </c>
      <c r="H254" s="198"/>
    </row>
    <row r="255" spans="1:8" ht="15.75" hidden="1" customHeight="1" x14ac:dyDescent="0.25">
      <c r="A255" s="205" t="s">
        <v>834</v>
      </c>
      <c r="B255" s="206">
        <v>92924</v>
      </c>
      <c r="C255" s="207" t="s">
        <v>839</v>
      </c>
      <c r="D255" s="208" t="s">
        <v>823</v>
      </c>
      <c r="E255" s="209">
        <v>9.69</v>
      </c>
      <c r="F255" s="209">
        <v>0.69</v>
      </c>
      <c r="G255" s="209">
        <v>10.38</v>
      </c>
      <c r="H255" s="198"/>
    </row>
    <row r="256" spans="1:8" ht="15.75" hidden="1" customHeight="1" x14ac:dyDescent="0.25">
      <c r="A256" s="205" t="s">
        <v>834</v>
      </c>
      <c r="B256" s="206">
        <v>104104</v>
      </c>
      <c r="C256" s="207" t="s">
        <v>840</v>
      </c>
      <c r="D256" s="208" t="s">
        <v>823</v>
      </c>
      <c r="E256" s="209">
        <v>10.42</v>
      </c>
      <c r="F256" s="209">
        <v>0.28000000000000003</v>
      </c>
      <c r="G256" s="209">
        <v>10.7</v>
      </c>
      <c r="H256" s="198"/>
    </row>
    <row r="257" spans="1:8" ht="15.75" hidden="1" customHeight="1" x14ac:dyDescent="0.25">
      <c r="A257" s="205" t="s">
        <v>834</v>
      </c>
      <c r="B257" s="206">
        <v>92916</v>
      </c>
      <c r="C257" s="207" t="s">
        <v>841</v>
      </c>
      <c r="D257" s="208" t="s">
        <v>823</v>
      </c>
      <c r="E257" s="209">
        <v>11.48</v>
      </c>
      <c r="F257" s="209">
        <v>5.32</v>
      </c>
      <c r="G257" s="209">
        <v>16.8</v>
      </c>
      <c r="H257" s="198"/>
    </row>
    <row r="258" spans="1:8" ht="15.75" hidden="1" customHeight="1" x14ac:dyDescent="0.25">
      <c r="A258" s="205" t="s">
        <v>834</v>
      </c>
      <c r="B258" s="206">
        <v>92917</v>
      </c>
      <c r="C258" s="207" t="s">
        <v>842</v>
      </c>
      <c r="D258" s="208" t="s">
        <v>823</v>
      </c>
      <c r="E258" s="209">
        <v>11.18</v>
      </c>
      <c r="F258" s="209">
        <v>3.6</v>
      </c>
      <c r="G258" s="209">
        <v>14.78</v>
      </c>
      <c r="H258" s="198"/>
    </row>
    <row r="259" spans="1:8" ht="15.75" hidden="1" customHeight="1" x14ac:dyDescent="0.25">
      <c r="A259" s="205" t="s">
        <v>834</v>
      </c>
      <c r="B259" s="206">
        <v>92915</v>
      </c>
      <c r="C259" s="207" t="s">
        <v>843</v>
      </c>
      <c r="D259" s="208" t="s">
        <v>823</v>
      </c>
      <c r="E259" s="209">
        <v>11.45</v>
      </c>
      <c r="F259" s="209">
        <v>7.72</v>
      </c>
      <c r="G259" s="209">
        <v>19.170000000000002</v>
      </c>
      <c r="H259" s="198"/>
    </row>
    <row r="260" spans="1:8" ht="15.75" hidden="1" customHeight="1" x14ac:dyDescent="0.25">
      <c r="A260" s="205" t="s">
        <v>834</v>
      </c>
      <c r="B260" s="206">
        <v>92771</v>
      </c>
      <c r="C260" s="207" t="s">
        <v>844</v>
      </c>
      <c r="D260" s="208" t="s">
        <v>823</v>
      </c>
      <c r="E260" s="209">
        <v>9.68</v>
      </c>
      <c r="F260" s="209">
        <v>1.03</v>
      </c>
      <c r="G260" s="209">
        <v>10.71</v>
      </c>
      <c r="H260" s="198"/>
    </row>
    <row r="261" spans="1:8" ht="15.75" hidden="1" customHeight="1" x14ac:dyDescent="0.25">
      <c r="A261" s="205" t="s">
        <v>834</v>
      </c>
      <c r="B261" s="206">
        <v>92772</v>
      </c>
      <c r="C261" s="207" t="s">
        <v>845</v>
      </c>
      <c r="D261" s="208" t="s">
        <v>823</v>
      </c>
      <c r="E261" s="209">
        <v>8.31</v>
      </c>
      <c r="F261" s="209">
        <v>0.56999999999999995</v>
      </c>
      <c r="G261" s="209">
        <v>8.8800000000000008</v>
      </c>
      <c r="H261" s="198"/>
    </row>
    <row r="262" spans="1:8" ht="15.75" hidden="1" customHeight="1" x14ac:dyDescent="0.25">
      <c r="A262" s="205" t="s">
        <v>834</v>
      </c>
      <c r="B262" s="206">
        <v>92773</v>
      </c>
      <c r="C262" s="207" t="s">
        <v>846</v>
      </c>
      <c r="D262" s="208" t="s">
        <v>823</v>
      </c>
      <c r="E262" s="209">
        <v>8.24</v>
      </c>
      <c r="F262" s="209">
        <v>0.43</v>
      </c>
      <c r="G262" s="209">
        <v>8.67</v>
      </c>
      <c r="H262" s="198"/>
    </row>
    <row r="263" spans="1:8" ht="15.75" hidden="1" customHeight="1" x14ac:dyDescent="0.25">
      <c r="A263" s="205" t="s">
        <v>834</v>
      </c>
      <c r="B263" s="206">
        <v>92774</v>
      </c>
      <c r="C263" s="207" t="s">
        <v>847</v>
      </c>
      <c r="D263" s="208" t="s">
        <v>823</v>
      </c>
      <c r="E263" s="209">
        <v>9.57</v>
      </c>
      <c r="F263" s="209">
        <v>0.35</v>
      </c>
      <c r="G263" s="209">
        <v>9.92</v>
      </c>
      <c r="H263" s="198"/>
    </row>
    <row r="264" spans="1:8" ht="15.75" hidden="1" customHeight="1" x14ac:dyDescent="0.25">
      <c r="A264" s="205" t="s">
        <v>834</v>
      </c>
      <c r="B264" s="206">
        <v>92769</v>
      </c>
      <c r="C264" s="207" t="s">
        <v>848</v>
      </c>
      <c r="D264" s="208" t="s">
        <v>823</v>
      </c>
      <c r="E264" s="209">
        <v>10.66</v>
      </c>
      <c r="F264" s="209">
        <v>2.76</v>
      </c>
      <c r="G264" s="209">
        <v>13.42</v>
      </c>
      <c r="H264" s="198"/>
    </row>
    <row r="265" spans="1:8" ht="15.75" hidden="1" customHeight="1" x14ac:dyDescent="0.25">
      <c r="A265" s="205" t="s">
        <v>834</v>
      </c>
      <c r="B265" s="206">
        <v>92770</v>
      </c>
      <c r="C265" s="207" t="s">
        <v>849</v>
      </c>
      <c r="D265" s="208" t="s">
        <v>823</v>
      </c>
      <c r="E265" s="209">
        <v>10.52</v>
      </c>
      <c r="F265" s="209">
        <v>1.71</v>
      </c>
      <c r="G265" s="209">
        <v>12.23</v>
      </c>
      <c r="H265" s="198"/>
    </row>
    <row r="266" spans="1:8" ht="15.75" hidden="1" customHeight="1" x14ac:dyDescent="0.25">
      <c r="A266" s="205" t="s">
        <v>834</v>
      </c>
      <c r="B266" s="206">
        <v>92767</v>
      </c>
      <c r="C266" s="207" t="s">
        <v>850</v>
      </c>
      <c r="D266" s="208" t="s">
        <v>823</v>
      </c>
      <c r="E266" s="209">
        <v>11.22</v>
      </c>
      <c r="F266" s="209">
        <v>6.1</v>
      </c>
      <c r="G266" s="209">
        <v>17.32</v>
      </c>
      <c r="H266" s="198"/>
    </row>
    <row r="267" spans="1:8" ht="15.75" hidden="1" customHeight="1" x14ac:dyDescent="0.25">
      <c r="A267" s="205" t="s">
        <v>834</v>
      </c>
      <c r="B267" s="206">
        <v>92768</v>
      </c>
      <c r="C267" s="207" t="s">
        <v>851</v>
      </c>
      <c r="D267" s="208" t="s">
        <v>823</v>
      </c>
      <c r="E267" s="209">
        <v>10.48</v>
      </c>
      <c r="F267" s="209">
        <v>4.33</v>
      </c>
      <c r="G267" s="209">
        <v>14.81</v>
      </c>
      <c r="H267" s="198"/>
    </row>
    <row r="268" spans="1:8" ht="15.75" hidden="1" customHeight="1" x14ac:dyDescent="0.25">
      <c r="A268" s="205" t="s">
        <v>834</v>
      </c>
      <c r="B268" s="206">
        <v>92762</v>
      </c>
      <c r="C268" s="207" t="s">
        <v>852</v>
      </c>
      <c r="D268" s="208" t="s">
        <v>823</v>
      </c>
      <c r="E268" s="209">
        <v>9.85</v>
      </c>
      <c r="F268" s="209">
        <v>1.46</v>
      </c>
      <c r="G268" s="209">
        <v>11.31</v>
      </c>
      <c r="H268" s="198"/>
    </row>
    <row r="269" spans="1:8" ht="15.75" hidden="1" customHeight="1" x14ac:dyDescent="0.25">
      <c r="A269" s="205" t="s">
        <v>834</v>
      </c>
      <c r="B269" s="206">
        <v>92763</v>
      </c>
      <c r="C269" s="207" t="s">
        <v>853</v>
      </c>
      <c r="D269" s="208" t="s">
        <v>823</v>
      </c>
      <c r="E269" s="209">
        <v>8.49</v>
      </c>
      <c r="F269" s="209">
        <v>0.92</v>
      </c>
      <c r="G269" s="209">
        <v>9.41</v>
      </c>
      <c r="H269" s="198"/>
    </row>
    <row r="270" spans="1:8" ht="15.75" hidden="1" customHeight="1" x14ac:dyDescent="0.25">
      <c r="A270" s="205" t="s">
        <v>834</v>
      </c>
      <c r="B270" s="206">
        <v>92764</v>
      </c>
      <c r="C270" s="207" t="s">
        <v>854</v>
      </c>
      <c r="D270" s="208" t="s">
        <v>823</v>
      </c>
      <c r="E270" s="209">
        <v>8.3699999999999992</v>
      </c>
      <c r="F270" s="209">
        <v>0.64</v>
      </c>
      <c r="G270" s="209">
        <v>9.01</v>
      </c>
      <c r="H270" s="198"/>
    </row>
    <row r="271" spans="1:8" ht="15.75" hidden="1" customHeight="1" x14ac:dyDescent="0.25">
      <c r="A271" s="205" t="s">
        <v>834</v>
      </c>
      <c r="B271" s="206">
        <v>92765</v>
      </c>
      <c r="C271" s="207" t="s">
        <v>855</v>
      </c>
      <c r="D271" s="208" t="s">
        <v>823</v>
      </c>
      <c r="E271" s="209">
        <v>9.64</v>
      </c>
      <c r="F271" s="209">
        <v>0.48</v>
      </c>
      <c r="G271" s="209">
        <v>10.119999999999999</v>
      </c>
      <c r="H271" s="198"/>
    </row>
    <row r="272" spans="1:8" ht="15.75" hidden="1" customHeight="1" x14ac:dyDescent="0.25">
      <c r="A272" s="205" t="s">
        <v>834</v>
      </c>
      <c r="B272" s="206">
        <v>92766</v>
      </c>
      <c r="C272" s="207" t="s">
        <v>856</v>
      </c>
      <c r="D272" s="208" t="s">
        <v>823</v>
      </c>
      <c r="E272" s="209">
        <v>9.59</v>
      </c>
      <c r="F272" s="209">
        <v>0.39</v>
      </c>
      <c r="G272" s="209">
        <v>9.98</v>
      </c>
      <c r="H272" s="198"/>
    </row>
    <row r="273" spans="1:8" ht="15.75" hidden="1" customHeight="1" x14ac:dyDescent="0.25">
      <c r="A273" s="205" t="s">
        <v>834</v>
      </c>
      <c r="B273" s="206">
        <v>104105</v>
      </c>
      <c r="C273" s="207" t="s">
        <v>857</v>
      </c>
      <c r="D273" s="208" t="s">
        <v>823</v>
      </c>
      <c r="E273" s="209">
        <v>10.42</v>
      </c>
      <c r="F273" s="209">
        <v>0.28999999999999998</v>
      </c>
      <c r="G273" s="209">
        <v>10.71</v>
      </c>
      <c r="H273" s="198"/>
    </row>
    <row r="274" spans="1:8" ht="15.75" hidden="1" customHeight="1" x14ac:dyDescent="0.25">
      <c r="A274" s="205" t="s">
        <v>834</v>
      </c>
      <c r="B274" s="206">
        <v>92760</v>
      </c>
      <c r="C274" s="207" t="s">
        <v>858</v>
      </c>
      <c r="D274" s="208" t="s">
        <v>823</v>
      </c>
      <c r="E274" s="209">
        <v>10.78</v>
      </c>
      <c r="F274" s="209">
        <v>3.36</v>
      </c>
      <c r="G274" s="209">
        <v>14.14</v>
      </c>
      <c r="H274" s="198"/>
    </row>
    <row r="275" spans="1:8" ht="15.75" hidden="1" customHeight="1" x14ac:dyDescent="0.25">
      <c r="A275" s="205" t="s">
        <v>834</v>
      </c>
      <c r="B275" s="206">
        <v>92761</v>
      </c>
      <c r="C275" s="207" t="s">
        <v>859</v>
      </c>
      <c r="D275" s="208" t="s">
        <v>823</v>
      </c>
      <c r="E275" s="209">
        <v>10.68</v>
      </c>
      <c r="F275" s="209">
        <v>2.21</v>
      </c>
      <c r="G275" s="209">
        <v>12.89</v>
      </c>
      <c r="H275" s="198"/>
    </row>
    <row r="276" spans="1:8" ht="15.75" hidden="1" customHeight="1" x14ac:dyDescent="0.25">
      <c r="A276" s="205" t="s">
        <v>834</v>
      </c>
      <c r="B276" s="206">
        <v>92759</v>
      </c>
      <c r="C276" s="207" t="s">
        <v>860</v>
      </c>
      <c r="D276" s="208" t="s">
        <v>823</v>
      </c>
      <c r="E276" s="209">
        <v>10.51</v>
      </c>
      <c r="F276" s="209">
        <v>5.0599999999999996</v>
      </c>
      <c r="G276" s="209">
        <v>15.57</v>
      </c>
      <c r="H276" s="198"/>
    </row>
    <row r="277" spans="1:8" ht="15.75" hidden="1" customHeight="1" x14ac:dyDescent="0.25">
      <c r="A277" s="205" t="s">
        <v>834</v>
      </c>
      <c r="B277" s="206">
        <v>104108</v>
      </c>
      <c r="C277" s="207" t="s">
        <v>861</v>
      </c>
      <c r="D277" s="208" t="s">
        <v>823</v>
      </c>
      <c r="E277" s="209">
        <v>10.48</v>
      </c>
      <c r="F277" s="209">
        <v>3.18</v>
      </c>
      <c r="G277" s="209">
        <v>13.66</v>
      </c>
      <c r="H277" s="198"/>
    </row>
    <row r="278" spans="1:8" ht="15.75" hidden="1" customHeight="1" x14ac:dyDescent="0.25">
      <c r="A278" s="205" t="s">
        <v>834</v>
      </c>
      <c r="B278" s="206">
        <v>104107</v>
      </c>
      <c r="C278" s="207" t="s">
        <v>862</v>
      </c>
      <c r="D278" s="208" t="s">
        <v>823</v>
      </c>
      <c r="E278" s="209">
        <v>9.02</v>
      </c>
      <c r="F278" s="209">
        <v>2.41</v>
      </c>
      <c r="G278" s="209">
        <v>11.43</v>
      </c>
      <c r="H278" s="198"/>
    </row>
    <row r="279" spans="1:8" ht="15.75" hidden="1" customHeight="1" x14ac:dyDescent="0.25">
      <c r="A279" s="205" t="s">
        <v>834</v>
      </c>
      <c r="B279" s="206">
        <v>104106</v>
      </c>
      <c r="C279" s="207" t="s">
        <v>863</v>
      </c>
      <c r="D279" s="208" t="s">
        <v>823</v>
      </c>
      <c r="E279" s="209">
        <v>8.76</v>
      </c>
      <c r="F279" s="209">
        <v>1.77</v>
      </c>
      <c r="G279" s="209">
        <v>10.53</v>
      </c>
      <c r="H279" s="198"/>
    </row>
    <row r="280" spans="1:8" ht="15.75" hidden="1" customHeight="1" x14ac:dyDescent="0.25">
      <c r="A280" s="205" t="s">
        <v>834</v>
      </c>
      <c r="B280" s="206">
        <v>104110</v>
      </c>
      <c r="C280" s="207" t="s">
        <v>864</v>
      </c>
      <c r="D280" s="208" t="s">
        <v>823</v>
      </c>
      <c r="E280" s="209">
        <v>12.39</v>
      </c>
      <c r="F280" s="209">
        <v>7.97</v>
      </c>
      <c r="G280" s="209">
        <v>20.36</v>
      </c>
      <c r="H280" s="198"/>
    </row>
    <row r="281" spans="1:8" ht="15.75" hidden="1" customHeight="1" x14ac:dyDescent="0.25">
      <c r="A281" s="205" t="s">
        <v>834</v>
      </c>
      <c r="B281" s="206">
        <v>104109</v>
      </c>
      <c r="C281" s="207" t="s">
        <v>865</v>
      </c>
      <c r="D281" s="208" t="s">
        <v>823</v>
      </c>
      <c r="E281" s="209">
        <v>11.84</v>
      </c>
      <c r="F281" s="209">
        <v>5.48</v>
      </c>
      <c r="G281" s="209">
        <v>17.32</v>
      </c>
      <c r="H281" s="198"/>
    </row>
    <row r="282" spans="1:8" ht="15.75" hidden="1" customHeight="1" x14ac:dyDescent="0.25">
      <c r="A282" s="205" t="s">
        <v>834</v>
      </c>
      <c r="B282" s="206">
        <v>104111</v>
      </c>
      <c r="C282" s="207" t="s">
        <v>866</v>
      </c>
      <c r="D282" s="208" t="s">
        <v>823</v>
      </c>
      <c r="E282" s="209">
        <v>12.71</v>
      </c>
      <c r="F282" s="209">
        <v>11.28</v>
      </c>
      <c r="G282" s="209">
        <v>23.99</v>
      </c>
      <c r="H282" s="198"/>
    </row>
    <row r="283" spans="1:8" ht="15.75" hidden="1" customHeight="1" x14ac:dyDescent="0.25">
      <c r="A283" s="205" t="s">
        <v>834</v>
      </c>
      <c r="B283" s="206">
        <v>92884</v>
      </c>
      <c r="C283" s="207" t="s">
        <v>867</v>
      </c>
      <c r="D283" s="208" t="s">
        <v>823</v>
      </c>
      <c r="E283" s="209">
        <v>10.67</v>
      </c>
      <c r="F283" s="209">
        <v>1.99</v>
      </c>
      <c r="G283" s="209">
        <v>12.66</v>
      </c>
      <c r="H283" s="198"/>
    </row>
    <row r="284" spans="1:8" ht="15.75" hidden="1" customHeight="1" x14ac:dyDescent="0.25">
      <c r="A284" s="205" t="s">
        <v>834</v>
      </c>
      <c r="B284" s="206">
        <v>92885</v>
      </c>
      <c r="C284" s="207" t="s">
        <v>868</v>
      </c>
      <c r="D284" s="208" t="s">
        <v>823</v>
      </c>
      <c r="E284" s="209">
        <v>10.44</v>
      </c>
      <c r="F284" s="209">
        <v>1.39</v>
      </c>
      <c r="G284" s="209">
        <v>11.83</v>
      </c>
      <c r="H284" s="198"/>
    </row>
    <row r="285" spans="1:8" ht="15.75" hidden="1" customHeight="1" x14ac:dyDescent="0.25">
      <c r="A285" s="205" t="s">
        <v>834</v>
      </c>
      <c r="B285" s="206">
        <v>92886</v>
      </c>
      <c r="C285" s="207" t="s">
        <v>869</v>
      </c>
      <c r="D285" s="208" t="s">
        <v>823</v>
      </c>
      <c r="E285" s="209">
        <v>10.220000000000001</v>
      </c>
      <c r="F285" s="209">
        <v>0.89</v>
      </c>
      <c r="G285" s="209">
        <v>11.11</v>
      </c>
      <c r="H285" s="198"/>
    </row>
    <row r="286" spans="1:8" ht="15.75" hidden="1" customHeight="1" x14ac:dyDescent="0.25">
      <c r="A286" s="205" t="s">
        <v>834</v>
      </c>
      <c r="B286" s="206">
        <v>92887</v>
      </c>
      <c r="C286" s="207" t="s">
        <v>870</v>
      </c>
      <c r="D286" s="208" t="s">
        <v>823</v>
      </c>
      <c r="E286" s="209">
        <v>10.35</v>
      </c>
      <c r="F286" s="209">
        <v>0.56999999999999995</v>
      </c>
      <c r="G286" s="209">
        <v>10.92</v>
      </c>
      <c r="H286" s="198"/>
    </row>
    <row r="287" spans="1:8" ht="15.75" hidden="1" customHeight="1" x14ac:dyDescent="0.25">
      <c r="A287" s="205" t="s">
        <v>834</v>
      </c>
      <c r="B287" s="206">
        <v>92888</v>
      </c>
      <c r="C287" s="207" t="s">
        <v>871</v>
      </c>
      <c r="D287" s="208" t="s">
        <v>823</v>
      </c>
      <c r="E287" s="209">
        <v>10.25</v>
      </c>
      <c r="F287" s="209">
        <v>0.32</v>
      </c>
      <c r="G287" s="209">
        <v>10.57</v>
      </c>
      <c r="H287" s="198"/>
    </row>
    <row r="288" spans="1:8" ht="15.75" hidden="1" customHeight="1" x14ac:dyDescent="0.25">
      <c r="A288" s="205" t="s">
        <v>834</v>
      </c>
      <c r="B288" s="206">
        <v>92882</v>
      </c>
      <c r="C288" s="207" t="s">
        <v>872</v>
      </c>
      <c r="D288" s="208" t="s">
        <v>823</v>
      </c>
      <c r="E288" s="209">
        <v>10.25</v>
      </c>
      <c r="F288" s="209">
        <v>4.17</v>
      </c>
      <c r="G288" s="209">
        <v>14.42</v>
      </c>
      <c r="H288" s="198"/>
    </row>
    <row r="289" spans="1:8" ht="15.75" hidden="1" customHeight="1" x14ac:dyDescent="0.25">
      <c r="A289" s="205" t="s">
        <v>834</v>
      </c>
      <c r="B289" s="206">
        <v>92883</v>
      </c>
      <c r="C289" s="207" t="s">
        <v>873</v>
      </c>
      <c r="D289" s="208" t="s">
        <v>823</v>
      </c>
      <c r="E289" s="209">
        <v>10.039999999999999</v>
      </c>
      <c r="F289" s="209">
        <v>2.84</v>
      </c>
      <c r="G289" s="209">
        <v>12.88</v>
      </c>
      <c r="H289" s="198"/>
    </row>
    <row r="290" spans="1:8" ht="15.75" hidden="1" customHeight="1" x14ac:dyDescent="0.25">
      <c r="A290" s="205" t="s">
        <v>834</v>
      </c>
      <c r="B290" s="206">
        <v>92877</v>
      </c>
      <c r="C290" s="207" t="s">
        <v>874</v>
      </c>
      <c r="D290" s="208" t="s">
        <v>823</v>
      </c>
      <c r="E290" s="209">
        <v>9.35</v>
      </c>
      <c r="F290" s="209">
        <v>0.36</v>
      </c>
      <c r="G290" s="209">
        <v>9.7100000000000009</v>
      </c>
      <c r="H290" s="198"/>
    </row>
    <row r="291" spans="1:8" ht="15.75" hidden="1" customHeight="1" x14ac:dyDescent="0.25">
      <c r="A291" s="205" t="s">
        <v>834</v>
      </c>
      <c r="B291" s="206">
        <v>92878</v>
      </c>
      <c r="C291" s="207" t="s">
        <v>875</v>
      </c>
      <c r="D291" s="208" t="s">
        <v>823</v>
      </c>
      <c r="E291" s="209">
        <v>9.2899999999999991</v>
      </c>
      <c r="F291" s="209">
        <v>0.2</v>
      </c>
      <c r="G291" s="209">
        <v>9.49</v>
      </c>
      <c r="H291" s="198"/>
    </row>
    <row r="292" spans="1:8" ht="15.75" hidden="1" customHeight="1" x14ac:dyDescent="0.25">
      <c r="A292" s="205" t="s">
        <v>834</v>
      </c>
      <c r="B292" s="206">
        <v>92879</v>
      </c>
      <c r="C292" s="207" t="s">
        <v>876</v>
      </c>
      <c r="D292" s="208" t="s">
        <v>823</v>
      </c>
      <c r="E292" s="209">
        <v>9.25</v>
      </c>
      <c r="F292" s="209">
        <v>0.09</v>
      </c>
      <c r="G292" s="209">
        <v>9.34</v>
      </c>
      <c r="H292" s="198"/>
    </row>
    <row r="293" spans="1:8" ht="15.75" hidden="1" customHeight="1" x14ac:dyDescent="0.25">
      <c r="A293" s="205" t="s">
        <v>834</v>
      </c>
      <c r="B293" s="206">
        <v>92880</v>
      </c>
      <c r="C293" s="207" t="s">
        <v>877</v>
      </c>
      <c r="D293" s="208" t="s">
        <v>823</v>
      </c>
      <c r="E293" s="209">
        <v>9.49</v>
      </c>
      <c r="F293" s="209">
        <v>0.04</v>
      </c>
      <c r="G293" s="209">
        <v>9.5299999999999994</v>
      </c>
      <c r="H293" s="198"/>
    </row>
    <row r="294" spans="1:8" ht="15.75" hidden="1" customHeight="1" x14ac:dyDescent="0.25">
      <c r="A294" s="205" t="s">
        <v>834</v>
      </c>
      <c r="B294" s="206">
        <v>92881</v>
      </c>
      <c r="C294" s="207" t="s">
        <v>878</v>
      </c>
      <c r="D294" s="208" t="s">
        <v>823</v>
      </c>
      <c r="E294" s="209">
        <v>9.4700000000000006</v>
      </c>
      <c r="F294" s="209">
        <v>0.03</v>
      </c>
      <c r="G294" s="209">
        <v>9.5</v>
      </c>
      <c r="H294" s="198"/>
    </row>
    <row r="295" spans="1:8" ht="15.75" hidden="1" customHeight="1" x14ac:dyDescent="0.25">
      <c r="A295" s="205" t="s">
        <v>834</v>
      </c>
      <c r="B295" s="206">
        <v>92875</v>
      </c>
      <c r="C295" s="207" t="s">
        <v>879</v>
      </c>
      <c r="D295" s="208" t="s">
        <v>823</v>
      </c>
      <c r="E295" s="209">
        <v>8.36</v>
      </c>
      <c r="F295" s="209">
        <v>1.26</v>
      </c>
      <c r="G295" s="209">
        <v>9.6199999999999992</v>
      </c>
      <c r="H295" s="198"/>
    </row>
    <row r="296" spans="1:8" ht="15.75" hidden="1" customHeight="1" x14ac:dyDescent="0.25">
      <c r="A296" s="205" t="s">
        <v>834</v>
      </c>
      <c r="B296" s="206">
        <v>92876</v>
      </c>
      <c r="C296" s="207" t="s">
        <v>880</v>
      </c>
      <c r="D296" s="208" t="s">
        <v>823</v>
      </c>
      <c r="E296" s="209">
        <v>8.4600000000000009</v>
      </c>
      <c r="F296" s="209">
        <v>0.67</v>
      </c>
      <c r="G296" s="209">
        <v>9.1300000000000008</v>
      </c>
      <c r="H296" s="198"/>
    </row>
    <row r="297" spans="1:8" ht="15.75" hidden="1" customHeight="1" x14ac:dyDescent="0.25">
      <c r="A297" s="205" t="s">
        <v>834</v>
      </c>
      <c r="B297" s="206">
        <v>92803</v>
      </c>
      <c r="C297" s="207" t="s">
        <v>881</v>
      </c>
      <c r="D297" s="208" t="s">
        <v>823</v>
      </c>
      <c r="E297" s="209">
        <v>8.67</v>
      </c>
      <c r="F297" s="209">
        <v>0.25</v>
      </c>
      <c r="G297" s="209">
        <v>8.92</v>
      </c>
      <c r="H297" s="198"/>
    </row>
    <row r="298" spans="1:8" ht="15.75" hidden="1" customHeight="1" x14ac:dyDescent="0.25">
      <c r="A298" s="205" t="s">
        <v>834</v>
      </c>
      <c r="B298" s="206">
        <v>92804</v>
      </c>
      <c r="C298" s="207" t="s">
        <v>882</v>
      </c>
      <c r="D298" s="208" t="s">
        <v>823</v>
      </c>
      <c r="E298" s="209">
        <v>7.47</v>
      </c>
      <c r="F298" s="209">
        <v>0.14000000000000001</v>
      </c>
      <c r="G298" s="209">
        <v>7.61</v>
      </c>
      <c r="H298" s="198"/>
    </row>
    <row r="299" spans="1:8" ht="15.75" hidden="1" customHeight="1" x14ac:dyDescent="0.25">
      <c r="A299" s="205" t="s">
        <v>834</v>
      </c>
      <c r="B299" s="206">
        <v>92805</v>
      </c>
      <c r="C299" s="207" t="s">
        <v>883</v>
      </c>
      <c r="D299" s="208" t="s">
        <v>823</v>
      </c>
      <c r="E299" s="209">
        <v>7.45</v>
      </c>
      <c r="F299" s="209">
        <v>0.06</v>
      </c>
      <c r="G299" s="209">
        <v>7.51</v>
      </c>
      <c r="H299" s="198"/>
    </row>
    <row r="300" spans="1:8" ht="15.75" hidden="1" customHeight="1" x14ac:dyDescent="0.25">
      <c r="A300" s="205" t="s">
        <v>834</v>
      </c>
      <c r="B300" s="206">
        <v>92806</v>
      </c>
      <c r="C300" s="207" t="s">
        <v>884</v>
      </c>
      <c r="D300" s="208" t="s">
        <v>823</v>
      </c>
      <c r="E300" s="209">
        <v>8.8000000000000007</v>
      </c>
      <c r="F300" s="209">
        <v>0.02</v>
      </c>
      <c r="G300" s="209">
        <v>8.82</v>
      </c>
      <c r="H300" s="198"/>
    </row>
    <row r="301" spans="1:8" ht="15.75" hidden="1" customHeight="1" x14ac:dyDescent="0.25">
      <c r="A301" s="205" t="s">
        <v>834</v>
      </c>
      <c r="B301" s="206">
        <v>92798</v>
      </c>
      <c r="C301" s="207" t="s">
        <v>885</v>
      </c>
      <c r="D301" s="208" t="s">
        <v>823</v>
      </c>
      <c r="E301" s="209">
        <v>8.8000000000000007</v>
      </c>
      <c r="F301" s="209">
        <v>0.02</v>
      </c>
      <c r="G301" s="209">
        <v>8.82</v>
      </c>
      <c r="H301" s="198"/>
    </row>
    <row r="302" spans="1:8" ht="15.75" hidden="1" customHeight="1" x14ac:dyDescent="0.25">
      <c r="A302" s="205" t="s">
        <v>834</v>
      </c>
      <c r="B302" s="206">
        <v>95448</v>
      </c>
      <c r="C302" s="207" t="s">
        <v>886</v>
      </c>
      <c r="D302" s="208" t="s">
        <v>823</v>
      </c>
      <c r="E302" s="209">
        <v>9.68</v>
      </c>
      <c r="F302" s="209">
        <v>0</v>
      </c>
      <c r="G302" s="209">
        <v>9.68</v>
      </c>
      <c r="H302" s="198"/>
    </row>
    <row r="303" spans="1:8" ht="15.75" hidden="1" customHeight="1" x14ac:dyDescent="0.25">
      <c r="A303" s="205" t="s">
        <v>834</v>
      </c>
      <c r="B303" s="206">
        <v>92801</v>
      </c>
      <c r="C303" s="207" t="s">
        <v>887</v>
      </c>
      <c r="D303" s="208" t="s">
        <v>823</v>
      </c>
      <c r="E303" s="209">
        <v>9.06</v>
      </c>
      <c r="F303" s="209">
        <v>0.94</v>
      </c>
      <c r="G303" s="209">
        <v>10</v>
      </c>
      <c r="H303" s="198"/>
    </row>
    <row r="304" spans="1:8" ht="15.75" hidden="1" customHeight="1" x14ac:dyDescent="0.25">
      <c r="A304" s="205" t="s">
        <v>834</v>
      </c>
      <c r="B304" s="206">
        <v>92802</v>
      </c>
      <c r="C304" s="207" t="s">
        <v>888</v>
      </c>
      <c r="D304" s="208" t="s">
        <v>823</v>
      </c>
      <c r="E304" s="209">
        <v>9.26</v>
      </c>
      <c r="F304" s="209">
        <v>0.49</v>
      </c>
      <c r="G304" s="209">
        <v>9.75</v>
      </c>
      <c r="H304" s="198"/>
    </row>
    <row r="305" spans="1:8" ht="15.75" hidden="1" customHeight="1" x14ac:dyDescent="0.25">
      <c r="A305" s="205" t="s">
        <v>834</v>
      </c>
      <c r="B305" s="206">
        <v>92799</v>
      </c>
      <c r="C305" s="207" t="s">
        <v>889</v>
      </c>
      <c r="D305" s="208" t="s">
        <v>823</v>
      </c>
      <c r="E305" s="209">
        <v>8.82</v>
      </c>
      <c r="F305" s="209">
        <v>2.86</v>
      </c>
      <c r="G305" s="209">
        <v>11.68</v>
      </c>
      <c r="H305" s="198"/>
    </row>
    <row r="306" spans="1:8" ht="15.75" hidden="1" customHeight="1" x14ac:dyDescent="0.25">
      <c r="A306" s="205" t="s">
        <v>834</v>
      </c>
      <c r="B306" s="206">
        <v>92800</v>
      </c>
      <c r="C306" s="207" t="s">
        <v>890</v>
      </c>
      <c r="D306" s="208" t="s">
        <v>823</v>
      </c>
      <c r="E306" s="209">
        <v>8.44</v>
      </c>
      <c r="F306" s="209">
        <v>1.78</v>
      </c>
      <c r="G306" s="209">
        <v>10.220000000000001</v>
      </c>
      <c r="H306" s="198"/>
    </row>
    <row r="307" spans="1:8" ht="15.75" hidden="1" customHeight="1" x14ac:dyDescent="0.25">
      <c r="A307" s="205" t="s">
        <v>891</v>
      </c>
      <c r="B307" s="206">
        <v>95605</v>
      </c>
      <c r="C307" s="207" t="s">
        <v>892</v>
      </c>
      <c r="D307" s="208" t="s">
        <v>580</v>
      </c>
      <c r="E307" s="209">
        <v>53.8</v>
      </c>
      <c r="F307" s="209">
        <v>122.29</v>
      </c>
      <c r="G307" s="209">
        <v>176.09</v>
      </c>
      <c r="H307" s="198"/>
    </row>
    <row r="308" spans="1:8" ht="15.75" hidden="1" customHeight="1" x14ac:dyDescent="0.25">
      <c r="A308" s="205" t="s">
        <v>891</v>
      </c>
      <c r="B308" s="206">
        <v>95602</v>
      </c>
      <c r="C308" s="207" t="s">
        <v>893</v>
      </c>
      <c r="D308" s="208" t="s">
        <v>580</v>
      </c>
      <c r="E308" s="209">
        <v>11.07</v>
      </c>
      <c r="F308" s="209">
        <v>25.15</v>
      </c>
      <c r="G308" s="209">
        <v>36.22</v>
      </c>
      <c r="H308" s="198"/>
    </row>
    <row r="309" spans="1:8" ht="15.75" hidden="1" customHeight="1" x14ac:dyDescent="0.25">
      <c r="A309" s="205" t="s">
        <v>891</v>
      </c>
      <c r="B309" s="206">
        <v>95603</v>
      </c>
      <c r="C309" s="207" t="s">
        <v>894</v>
      </c>
      <c r="D309" s="208" t="s">
        <v>580</v>
      </c>
      <c r="E309" s="209">
        <v>18.88</v>
      </c>
      <c r="F309" s="209">
        <v>42.92</v>
      </c>
      <c r="G309" s="209">
        <v>61.8</v>
      </c>
      <c r="H309" s="198"/>
    </row>
    <row r="310" spans="1:8" ht="15.75" hidden="1" customHeight="1" x14ac:dyDescent="0.25">
      <c r="A310" s="205" t="s">
        <v>891</v>
      </c>
      <c r="B310" s="206">
        <v>95604</v>
      </c>
      <c r="C310" s="207" t="s">
        <v>895</v>
      </c>
      <c r="D310" s="208" t="s">
        <v>580</v>
      </c>
      <c r="E310" s="209">
        <v>29.29</v>
      </c>
      <c r="F310" s="209">
        <v>66.61</v>
      </c>
      <c r="G310" s="209">
        <v>95.9</v>
      </c>
      <c r="H310" s="198"/>
    </row>
    <row r="311" spans="1:8" ht="15.75" hidden="1" customHeight="1" x14ac:dyDescent="0.25">
      <c r="A311" s="205" t="s">
        <v>891</v>
      </c>
      <c r="B311" s="206">
        <v>95601</v>
      </c>
      <c r="C311" s="207" t="s">
        <v>896</v>
      </c>
      <c r="D311" s="208" t="s">
        <v>580</v>
      </c>
      <c r="E311" s="209">
        <v>6.93</v>
      </c>
      <c r="F311" s="209">
        <v>15.7</v>
      </c>
      <c r="G311" s="209">
        <v>22.63</v>
      </c>
      <c r="H311" s="198"/>
    </row>
    <row r="312" spans="1:8" ht="15.75" hidden="1" customHeight="1" x14ac:dyDescent="0.25">
      <c r="A312" s="205" t="s">
        <v>891</v>
      </c>
      <c r="B312" s="206">
        <v>102521</v>
      </c>
      <c r="C312" s="207" t="s">
        <v>897</v>
      </c>
      <c r="D312" s="208" t="s">
        <v>580</v>
      </c>
      <c r="E312" s="209">
        <v>44.38</v>
      </c>
      <c r="F312" s="209">
        <v>100.88</v>
      </c>
      <c r="G312" s="209">
        <v>145.26</v>
      </c>
      <c r="H312" s="198"/>
    </row>
    <row r="313" spans="1:8" ht="15.75" hidden="1" customHeight="1" x14ac:dyDescent="0.25">
      <c r="A313" s="205" t="s">
        <v>891</v>
      </c>
      <c r="B313" s="206">
        <v>102522</v>
      </c>
      <c r="C313" s="207" t="s">
        <v>898</v>
      </c>
      <c r="D313" s="208" t="s">
        <v>580</v>
      </c>
      <c r="E313" s="209">
        <v>65.11</v>
      </c>
      <c r="F313" s="209">
        <v>148</v>
      </c>
      <c r="G313" s="209">
        <v>213.11</v>
      </c>
      <c r="H313" s="198"/>
    </row>
    <row r="314" spans="1:8" ht="15.75" hidden="1" customHeight="1" x14ac:dyDescent="0.25">
      <c r="A314" s="205" t="s">
        <v>891</v>
      </c>
      <c r="B314" s="206">
        <v>102523</v>
      </c>
      <c r="C314" s="207" t="s">
        <v>899</v>
      </c>
      <c r="D314" s="208" t="s">
        <v>580</v>
      </c>
      <c r="E314" s="209">
        <v>85.84</v>
      </c>
      <c r="F314" s="209">
        <v>195.12</v>
      </c>
      <c r="G314" s="209">
        <v>280.95999999999998</v>
      </c>
      <c r="H314" s="198"/>
    </row>
    <row r="315" spans="1:8" ht="15.75" hidden="1" customHeight="1" x14ac:dyDescent="0.25">
      <c r="A315" s="205" t="s">
        <v>891</v>
      </c>
      <c r="B315" s="206">
        <v>95608</v>
      </c>
      <c r="C315" s="207" t="s">
        <v>900</v>
      </c>
      <c r="D315" s="208" t="s">
        <v>580</v>
      </c>
      <c r="E315" s="209">
        <v>23.38</v>
      </c>
      <c r="F315" s="209">
        <v>16.64</v>
      </c>
      <c r="G315" s="209">
        <v>40.020000000000003</v>
      </c>
      <c r="H315" s="198"/>
    </row>
    <row r="316" spans="1:8" ht="15.75" hidden="1" customHeight="1" x14ac:dyDescent="0.25">
      <c r="A316" s="205" t="s">
        <v>891</v>
      </c>
      <c r="B316" s="206">
        <v>95609</v>
      </c>
      <c r="C316" s="207" t="s">
        <v>901</v>
      </c>
      <c r="D316" s="208" t="s">
        <v>580</v>
      </c>
      <c r="E316" s="209">
        <v>29.65</v>
      </c>
      <c r="F316" s="209">
        <v>21.09</v>
      </c>
      <c r="G316" s="209">
        <v>50.74</v>
      </c>
      <c r="H316" s="198"/>
    </row>
    <row r="317" spans="1:8" ht="15.75" hidden="1" customHeight="1" x14ac:dyDescent="0.25">
      <c r="A317" s="205" t="s">
        <v>891</v>
      </c>
      <c r="B317" s="206">
        <v>95607</v>
      </c>
      <c r="C317" s="207" t="s">
        <v>902</v>
      </c>
      <c r="D317" s="208" t="s">
        <v>580</v>
      </c>
      <c r="E317" s="209">
        <v>16.13</v>
      </c>
      <c r="F317" s="209">
        <v>11.47</v>
      </c>
      <c r="G317" s="209">
        <v>27.6</v>
      </c>
      <c r="H317" s="198"/>
    </row>
    <row r="318" spans="1:8" ht="15.75" hidden="1" customHeight="1" x14ac:dyDescent="0.25">
      <c r="A318" s="205" t="s">
        <v>903</v>
      </c>
      <c r="B318" s="206">
        <v>95996</v>
      </c>
      <c r="C318" s="207" t="s">
        <v>904</v>
      </c>
      <c r="D318" s="208" t="s">
        <v>664</v>
      </c>
      <c r="E318" s="209">
        <v>1267.69</v>
      </c>
      <c r="F318" s="209">
        <v>29.44</v>
      </c>
      <c r="G318" s="209">
        <v>1297.1300000000001</v>
      </c>
      <c r="H318" s="198"/>
    </row>
    <row r="319" spans="1:8" ht="15.75" hidden="1" customHeight="1" x14ac:dyDescent="0.25">
      <c r="A319" s="205" t="s">
        <v>903</v>
      </c>
      <c r="B319" s="206">
        <v>95995</v>
      </c>
      <c r="C319" s="207" t="s">
        <v>905</v>
      </c>
      <c r="D319" s="208" t="s">
        <v>664</v>
      </c>
      <c r="E319" s="209">
        <v>1462.53</v>
      </c>
      <c r="F319" s="209">
        <v>41.2</v>
      </c>
      <c r="G319" s="209">
        <v>1503.73</v>
      </c>
      <c r="H319" s="198"/>
    </row>
    <row r="320" spans="1:8" ht="15.75" hidden="1" customHeight="1" x14ac:dyDescent="0.25">
      <c r="A320" s="205" t="s">
        <v>903</v>
      </c>
      <c r="B320" s="206">
        <v>96001</v>
      </c>
      <c r="C320" s="207" t="s">
        <v>906</v>
      </c>
      <c r="D320" s="208" t="s">
        <v>578</v>
      </c>
      <c r="E320" s="209">
        <v>6.55</v>
      </c>
      <c r="F320" s="209">
        <v>1.03</v>
      </c>
      <c r="G320" s="209">
        <v>7.58</v>
      </c>
      <c r="H320" s="198"/>
    </row>
    <row r="321" spans="1:8" ht="15.75" hidden="1" customHeight="1" x14ac:dyDescent="0.25">
      <c r="A321" s="205" t="s">
        <v>907</v>
      </c>
      <c r="B321" s="206">
        <v>94880</v>
      </c>
      <c r="C321" s="207" t="s">
        <v>908</v>
      </c>
      <c r="D321" s="208" t="s">
        <v>585</v>
      </c>
      <c r="E321" s="209">
        <v>33.93</v>
      </c>
      <c r="F321" s="209">
        <v>13.73</v>
      </c>
      <c r="G321" s="209">
        <v>47.66</v>
      </c>
      <c r="H321" s="198"/>
    </row>
    <row r="322" spans="1:8" ht="15.75" hidden="1" customHeight="1" x14ac:dyDescent="0.25">
      <c r="A322" s="205" t="s">
        <v>907</v>
      </c>
      <c r="B322" s="206">
        <v>94882</v>
      </c>
      <c r="C322" s="207" t="s">
        <v>909</v>
      </c>
      <c r="D322" s="208" t="s">
        <v>585</v>
      </c>
      <c r="E322" s="209">
        <v>39.08</v>
      </c>
      <c r="F322" s="209">
        <v>16.27</v>
      </c>
      <c r="G322" s="209">
        <v>55.35</v>
      </c>
      <c r="H322" s="198"/>
    </row>
    <row r="323" spans="1:8" ht="15.75" hidden="1" customHeight="1" x14ac:dyDescent="0.25">
      <c r="A323" s="205" t="s">
        <v>907</v>
      </c>
      <c r="B323" s="206">
        <v>94884</v>
      </c>
      <c r="C323" s="207" t="s">
        <v>910</v>
      </c>
      <c r="D323" s="208" t="s">
        <v>585</v>
      </c>
      <c r="E323" s="209">
        <v>49.51</v>
      </c>
      <c r="F323" s="209">
        <v>21.45</v>
      </c>
      <c r="G323" s="209">
        <v>70.959999999999994</v>
      </c>
      <c r="H323" s="198"/>
    </row>
    <row r="324" spans="1:8" ht="15.75" hidden="1" customHeight="1" x14ac:dyDescent="0.25">
      <c r="A324" s="205" t="s">
        <v>907</v>
      </c>
      <c r="B324" s="206">
        <v>94870</v>
      </c>
      <c r="C324" s="207" t="s">
        <v>911</v>
      </c>
      <c r="D324" s="208" t="s">
        <v>585</v>
      </c>
      <c r="E324" s="209">
        <v>1.49</v>
      </c>
      <c r="F324" s="209">
        <v>0.67</v>
      </c>
      <c r="G324" s="209">
        <v>2.16</v>
      </c>
      <c r="H324" s="198"/>
    </row>
    <row r="325" spans="1:8" ht="15.75" hidden="1" customHeight="1" x14ac:dyDescent="0.25">
      <c r="A325" s="205" t="s">
        <v>907</v>
      </c>
      <c r="B325" s="206">
        <v>94872</v>
      </c>
      <c r="C325" s="207" t="s">
        <v>912</v>
      </c>
      <c r="D325" s="208" t="s">
        <v>585</v>
      </c>
      <c r="E325" s="209">
        <v>1.89</v>
      </c>
      <c r="F325" s="209">
        <v>1.1599999999999999</v>
      </c>
      <c r="G325" s="209">
        <v>3.05</v>
      </c>
      <c r="H325" s="198"/>
    </row>
    <row r="326" spans="1:8" ht="15.75" hidden="1" customHeight="1" x14ac:dyDescent="0.25">
      <c r="A326" s="205" t="s">
        <v>907</v>
      </c>
      <c r="B326" s="206">
        <v>90746</v>
      </c>
      <c r="C326" s="207" t="s">
        <v>913</v>
      </c>
      <c r="D326" s="208" t="s">
        <v>585</v>
      </c>
      <c r="E326" s="209">
        <v>1.41</v>
      </c>
      <c r="F326" s="209">
        <v>2.73</v>
      </c>
      <c r="G326" s="209">
        <v>4.1399999999999997</v>
      </c>
      <c r="H326" s="198"/>
    </row>
    <row r="327" spans="1:8" ht="15.75" hidden="1" customHeight="1" x14ac:dyDescent="0.25">
      <c r="A327" s="205" t="s">
        <v>907</v>
      </c>
      <c r="B327" s="206">
        <v>90747</v>
      </c>
      <c r="C327" s="207" t="s">
        <v>914</v>
      </c>
      <c r="D327" s="208" t="s">
        <v>585</v>
      </c>
      <c r="E327" s="209">
        <v>12.71</v>
      </c>
      <c r="F327" s="209">
        <v>6.28</v>
      </c>
      <c r="G327" s="209">
        <v>18.989999999999998</v>
      </c>
      <c r="H327" s="198"/>
    </row>
    <row r="328" spans="1:8" ht="15.75" hidden="1" customHeight="1" x14ac:dyDescent="0.25">
      <c r="A328" s="205" t="s">
        <v>907</v>
      </c>
      <c r="B328" s="206">
        <v>94876</v>
      </c>
      <c r="C328" s="207" t="s">
        <v>915</v>
      </c>
      <c r="D328" s="208" t="s">
        <v>585</v>
      </c>
      <c r="E328" s="209">
        <v>22.38</v>
      </c>
      <c r="F328" s="209">
        <v>9.5399999999999991</v>
      </c>
      <c r="G328" s="209">
        <v>31.92</v>
      </c>
      <c r="H328" s="198"/>
    </row>
    <row r="329" spans="1:8" ht="15.75" hidden="1" customHeight="1" x14ac:dyDescent="0.25">
      <c r="A329" s="205" t="s">
        <v>907</v>
      </c>
      <c r="B329" s="206">
        <v>94878</v>
      </c>
      <c r="C329" s="207" t="s">
        <v>916</v>
      </c>
      <c r="D329" s="208" t="s">
        <v>585</v>
      </c>
      <c r="E329" s="209">
        <v>25.72</v>
      </c>
      <c r="F329" s="209">
        <v>11.2</v>
      </c>
      <c r="G329" s="209">
        <v>36.92</v>
      </c>
      <c r="H329" s="198"/>
    </row>
    <row r="330" spans="1:8" ht="15.75" hidden="1" customHeight="1" x14ac:dyDescent="0.25">
      <c r="A330" s="205" t="s">
        <v>907</v>
      </c>
      <c r="B330" s="206">
        <v>90740</v>
      </c>
      <c r="C330" s="207" t="s">
        <v>917</v>
      </c>
      <c r="D330" s="208" t="s">
        <v>585</v>
      </c>
      <c r="E330" s="209">
        <v>1.72</v>
      </c>
      <c r="F330" s="209">
        <v>3.34</v>
      </c>
      <c r="G330" s="209">
        <v>5.0599999999999996</v>
      </c>
      <c r="H330" s="198"/>
    </row>
    <row r="331" spans="1:8" ht="15.75" hidden="1" customHeight="1" x14ac:dyDescent="0.25">
      <c r="A331" s="205" t="s">
        <v>907</v>
      </c>
      <c r="B331" s="206">
        <v>90741</v>
      </c>
      <c r="C331" s="207" t="s">
        <v>918</v>
      </c>
      <c r="D331" s="208" t="s">
        <v>585</v>
      </c>
      <c r="E331" s="209">
        <v>1.97</v>
      </c>
      <c r="F331" s="209">
        <v>3.8</v>
      </c>
      <c r="G331" s="209">
        <v>5.77</v>
      </c>
      <c r="H331" s="198"/>
    </row>
    <row r="332" spans="1:8" ht="15.75" hidden="1" customHeight="1" x14ac:dyDescent="0.25">
      <c r="A332" s="205" t="s">
        <v>907</v>
      </c>
      <c r="B332" s="206">
        <v>90742</v>
      </c>
      <c r="C332" s="207" t="s">
        <v>919</v>
      </c>
      <c r="D332" s="208" t="s">
        <v>585</v>
      </c>
      <c r="E332" s="209">
        <v>2.2000000000000002</v>
      </c>
      <c r="F332" s="209">
        <v>4.28</v>
      </c>
      <c r="G332" s="209">
        <v>6.48</v>
      </c>
      <c r="H332" s="198"/>
    </row>
    <row r="333" spans="1:8" ht="15.75" hidden="1" customHeight="1" x14ac:dyDescent="0.25">
      <c r="A333" s="205" t="s">
        <v>907</v>
      </c>
      <c r="B333" s="206">
        <v>90743</v>
      </c>
      <c r="C333" s="207" t="s">
        <v>920</v>
      </c>
      <c r="D333" s="208" t="s">
        <v>585</v>
      </c>
      <c r="E333" s="209">
        <v>2.44</v>
      </c>
      <c r="F333" s="209">
        <v>4.75</v>
      </c>
      <c r="G333" s="209">
        <v>7.19</v>
      </c>
      <c r="H333" s="198"/>
    </row>
    <row r="334" spans="1:8" ht="15.75" hidden="1" customHeight="1" x14ac:dyDescent="0.25">
      <c r="A334" s="205" t="s">
        <v>907</v>
      </c>
      <c r="B334" s="206">
        <v>90744</v>
      </c>
      <c r="C334" s="207" t="s">
        <v>921</v>
      </c>
      <c r="D334" s="208" t="s">
        <v>585</v>
      </c>
      <c r="E334" s="209">
        <v>2.68</v>
      </c>
      <c r="F334" s="209">
        <v>5.22</v>
      </c>
      <c r="G334" s="209">
        <v>7.9</v>
      </c>
      <c r="H334" s="198"/>
    </row>
    <row r="335" spans="1:8" ht="15.75" hidden="1" customHeight="1" x14ac:dyDescent="0.25">
      <c r="A335" s="205" t="s">
        <v>907</v>
      </c>
      <c r="B335" s="206">
        <v>90745</v>
      </c>
      <c r="C335" s="207" t="s">
        <v>922</v>
      </c>
      <c r="D335" s="208" t="s">
        <v>585</v>
      </c>
      <c r="E335" s="209">
        <v>6.88</v>
      </c>
      <c r="F335" s="209">
        <v>4.71</v>
      </c>
      <c r="G335" s="209">
        <v>11.59</v>
      </c>
      <c r="H335" s="198"/>
    </row>
    <row r="336" spans="1:8" ht="15.75" hidden="1" customHeight="1" x14ac:dyDescent="0.25">
      <c r="A336" s="205" t="s">
        <v>907</v>
      </c>
      <c r="B336" s="206">
        <v>90733</v>
      </c>
      <c r="C336" s="207" t="s">
        <v>923</v>
      </c>
      <c r="D336" s="208" t="s">
        <v>585</v>
      </c>
      <c r="E336" s="209">
        <v>1.31</v>
      </c>
      <c r="F336" s="209">
        <v>2.5299999999999998</v>
      </c>
      <c r="G336" s="209">
        <v>3.84</v>
      </c>
      <c r="H336" s="198"/>
    </row>
    <row r="337" spans="1:8" ht="15.75" hidden="1" customHeight="1" x14ac:dyDescent="0.25">
      <c r="A337" s="205" t="s">
        <v>907</v>
      </c>
      <c r="B337" s="206">
        <v>90734</v>
      </c>
      <c r="C337" s="207" t="s">
        <v>924</v>
      </c>
      <c r="D337" s="208" t="s">
        <v>585</v>
      </c>
      <c r="E337" s="209">
        <v>1.55</v>
      </c>
      <c r="F337" s="209">
        <v>3</v>
      </c>
      <c r="G337" s="209">
        <v>4.55</v>
      </c>
      <c r="H337" s="198"/>
    </row>
    <row r="338" spans="1:8" ht="15.75" hidden="1" customHeight="1" x14ac:dyDescent="0.25">
      <c r="A338" s="205" t="s">
        <v>907</v>
      </c>
      <c r="B338" s="206">
        <v>90735</v>
      </c>
      <c r="C338" s="207" t="s">
        <v>925</v>
      </c>
      <c r="D338" s="208" t="s">
        <v>585</v>
      </c>
      <c r="E338" s="209">
        <v>1.78</v>
      </c>
      <c r="F338" s="209">
        <v>3.47</v>
      </c>
      <c r="G338" s="209">
        <v>5.25</v>
      </c>
      <c r="H338" s="198"/>
    </row>
    <row r="339" spans="1:8" ht="15.75" hidden="1" customHeight="1" x14ac:dyDescent="0.25">
      <c r="A339" s="205" t="s">
        <v>907</v>
      </c>
      <c r="B339" s="206">
        <v>90736</v>
      </c>
      <c r="C339" s="207" t="s">
        <v>926</v>
      </c>
      <c r="D339" s="208" t="s">
        <v>585</v>
      </c>
      <c r="E339" s="209">
        <v>2.02</v>
      </c>
      <c r="F339" s="209">
        <v>3.94</v>
      </c>
      <c r="G339" s="209">
        <v>5.96</v>
      </c>
      <c r="H339" s="198"/>
    </row>
    <row r="340" spans="1:8" ht="15.75" hidden="1" customHeight="1" x14ac:dyDescent="0.25">
      <c r="A340" s="205" t="s">
        <v>907</v>
      </c>
      <c r="B340" s="206">
        <v>90737</v>
      </c>
      <c r="C340" s="207" t="s">
        <v>927</v>
      </c>
      <c r="D340" s="208" t="s">
        <v>585</v>
      </c>
      <c r="E340" s="209">
        <v>2.2599999999999998</v>
      </c>
      <c r="F340" s="209">
        <v>4.41</v>
      </c>
      <c r="G340" s="209">
        <v>6.67</v>
      </c>
      <c r="H340" s="198"/>
    </row>
    <row r="341" spans="1:8" ht="15.75" hidden="1" customHeight="1" x14ac:dyDescent="0.25">
      <c r="A341" s="205" t="s">
        <v>907</v>
      </c>
      <c r="B341" s="206">
        <v>90738</v>
      </c>
      <c r="C341" s="207" t="s">
        <v>928</v>
      </c>
      <c r="D341" s="208" t="s">
        <v>585</v>
      </c>
      <c r="E341" s="209">
        <v>2.5099999999999998</v>
      </c>
      <c r="F341" s="209">
        <v>4.87</v>
      </c>
      <c r="G341" s="209">
        <v>7.38</v>
      </c>
      <c r="H341" s="198"/>
    </row>
    <row r="342" spans="1:8" ht="15.75" hidden="1" customHeight="1" x14ac:dyDescent="0.25">
      <c r="A342" s="205" t="s">
        <v>907</v>
      </c>
      <c r="B342" s="206">
        <v>90739</v>
      </c>
      <c r="C342" s="207" t="s">
        <v>929</v>
      </c>
      <c r="D342" s="208" t="s">
        <v>585</v>
      </c>
      <c r="E342" s="209">
        <v>6.17</v>
      </c>
      <c r="F342" s="209">
        <v>4.22</v>
      </c>
      <c r="G342" s="209">
        <v>10.39</v>
      </c>
      <c r="H342" s="198"/>
    </row>
    <row r="343" spans="1:8" ht="15.75" hidden="1" customHeight="1" x14ac:dyDescent="0.25">
      <c r="A343" s="205" t="s">
        <v>907</v>
      </c>
      <c r="B343" s="206">
        <v>90724</v>
      </c>
      <c r="C343" s="207" t="s">
        <v>930</v>
      </c>
      <c r="D343" s="208" t="s">
        <v>580</v>
      </c>
      <c r="E343" s="209">
        <v>9.76</v>
      </c>
      <c r="F343" s="209">
        <v>17.46</v>
      </c>
      <c r="G343" s="209">
        <v>27.22</v>
      </c>
      <c r="H343" s="198"/>
    </row>
    <row r="344" spans="1:8" ht="15.75" hidden="1" customHeight="1" x14ac:dyDescent="0.25">
      <c r="A344" s="205" t="s">
        <v>907</v>
      </c>
      <c r="B344" s="206">
        <v>102267</v>
      </c>
      <c r="C344" s="207" t="s">
        <v>931</v>
      </c>
      <c r="D344" s="208" t="s">
        <v>580</v>
      </c>
      <c r="E344" s="209">
        <v>54.1</v>
      </c>
      <c r="F344" s="209">
        <v>92.31</v>
      </c>
      <c r="G344" s="209">
        <v>146.41</v>
      </c>
      <c r="H344" s="198"/>
    </row>
    <row r="345" spans="1:8" ht="15.75" hidden="1" customHeight="1" x14ac:dyDescent="0.25">
      <c r="A345" s="205" t="s">
        <v>907</v>
      </c>
      <c r="B345" s="206">
        <v>102268</v>
      </c>
      <c r="C345" s="207" t="s">
        <v>932</v>
      </c>
      <c r="D345" s="208" t="s">
        <v>580</v>
      </c>
      <c r="E345" s="209">
        <v>61.08</v>
      </c>
      <c r="F345" s="209">
        <v>104.13</v>
      </c>
      <c r="G345" s="209">
        <v>165.21</v>
      </c>
      <c r="H345" s="198"/>
    </row>
    <row r="346" spans="1:8" ht="15.75" hidden="1" customHeight="1" x14ac:dyDescent="0.25">
      <c r="A346" s="205" t="s">
        <v>907</v>
      </c>
      <c r="B346" s="206">
        <v>90725</v>
      </c>
      <c r="C346" s="207" t="s">
        <v>933</v>
      </c>
      <c r="D346" s="208" t="s">
        <v>580</v>
      </c>
      <c r="E346" s="209">
        <v>12.08</v>
      </c>
      <c r="F346" s="209">
        <v>21.4</v>
      </c>
      <c r="G346" s="209">
        <v>33.479999999999997</v>
      </c>
      <c r="H346" s="198"/>
    </row>
    <row r="347" spans="1:8" ht="15.75" hidden="1" customHeight="1" x14ac:dyDescent="0.25">
      <c r="A347" s="205" t="s">
        <v>907</v>
      </c>
      <c r="B347" s="206">
        <v>102269</v>
      </c>
      <c r="C347" s="207" t="s">
        <v>934</v>
      </c>
      <c r="D347" s="208" t="s">
        <v>580</v>
      </c>
      <c r="E347" s="209">
        <v>75.069999999999993</v>
      </c>
      <c r="F347" s="209">
        <v>127.75</v>
      </c>
      <c r="G347" s="209">
        <v>202.82</v>
      </c>
      <c r="H347" s="198"/>
    </row>
    <row r="348" spans="1:8" ht="15.75" hidden="1" customHeight="1" x14ac:dyDescent="0.25">
      <c r="A348" s="205" t="s">
        <v>907</v>
      </c>
      <c r="B348" s="206">
        <v>90726</v>
      </c>
      <c r="C348" s="207" t="s">
        <v>935</v>
      </c>
      <c r="D348" s="208" t="s">
        <v>580</v>
      </c>
      <c r="E348" s="209">
        <v>14.46</v>
      </c>
      <c r="F348" s="209">
        <v>25.36</v>
      </c>
      <c r="G348" s="209">
        <v>39.82</v>
      </c>
      <c r="H348" s="198"/>
    </row>
    <row r="349" spans="1:8" ht="15.75" hidden="1" customHeight="1" x14ac:dyDescent="0.25">
      <c r="A349" s="205" t="s">
        <v>907</v>
      </c>
      <c r="B349" s="206">
        <v>90727</v>
      </c>
      <c r="C349" s="207" t="s">
        <v>936</v>
      </c>
      <c r="D349" s="208" t="s">
        <v>580</v>
      </c>
      <c r="E349" s="209">
        <v>16.8</v>
      </c>
      <c r="F349" s="209">
        <v>29.29</v>
      </c>
      <c r="G349" s="209">
        <v>46.09</v>
      </c>
      <c r="H349" s="198"/>
    </row>
    <row r="350" spans="1:8" ht="15.75" hidden="1" customHeight="1" x14ac:dyDescent="0.25">
      <c r="A350" s="205" t="s">
        <v>907</v>
      </c>
      <c r="B350" s="206">
        <v>90728</v>
      </c>
      <c r="C350" s="207" t="s">
        <v>937</v>
      </c>
      <c r="D350" s="208" t="s">
        <v>580</v>
      </c>
      <c r="E350" s="209">
        <v>19.12</v>
      </c>
      <c r="F350" s="209">
        <v>33.229999999999997</v>
      </c>
      <c r="G350" s="209">
        <v>52.35</v>
      </c>
      <c r="H350" s="198"/>
    </row>
    <row r="351" spans="1:8" ht="15.75" hidden="1" customHeight="1" x14ac:dyDescent="0.25">
      <c r="A351" s="205" t="s">
        <v>907</v>
      </c>
      <c r="B351" s="206">
        <v>90729</v>
      </c>
      <c r="C351" s="207" t="s">
        <v>938</v>
      </c>
      <c r="D351" s="208" t="s">
        <v>580</v>
      </c>
      <c r="E351" s="209">
        <v>21.45</v>
      </c>
      <c r="F351" s="209">
        <v>37.17</v>
      </c>
      <c r="G351" s="209">
        <v>58.62</v>
      </c>
      <c r="H351" s="198"/>
    </row>
    <row r="352" spans="1:8" ht="15.75" hidden="1" customHeight="1" x14ac:dyDescent="0.25">
      <c r="A352" s="205" t="s">
        <v>907</v>
      </c>
      <c r="B352" s="206">
        <v>90730</v>
      </c>
      <c r="C352" s="207" t="s">
        <v>939</v>
      </c>
      <c r="D352" s="208" t="s">
        <v>580</v>
      </c>
      <c r="E352" s="209">
        <v>23.79</v>
      </c>
      <c r="F352" s="209">
        <v>41.1</v>
      </c>
      <c r="G352" s="209">
        <v>64.89</v>
      </c>
      <c r="H352" s="198"/>
    </row>
    <row r="353" spans="1:8" ht="15.75" hidden="1" customHeight="1" x14ac:dyDescent="0.25">
      <c r="A353" s="205" t="s">
        <v>907</v>
      </c>
      <c r="B353" s="206">
        <v>90731</v>
      </c>
      <c r="C353" s="207" t="s">
        <v>940</v>
      </c>
      <c r="D353" s="208" t="s">
        <v>580</v>
      </c>
      <c r="E353" s="209">
        <v>26.11</v>
      </c>
      <c r="F353" s="209">
        <v>45.05</v>
      </c>
      <c r="G353" s="209">
        <v>71.16</v>
      </c>
      <c r="H353" s="198"/>
    </row>
    <row r="354" spans="1:8" ht="15.75" hidden="1" customHeight="1" x14ac:dyDescent="0.25">
      <c r="A354" s="205" t="s">
        <v>907</v>
      </c>
      <c r="B354" s="206">
        <v>90732</v>
      </c>
      <c r="C354" s="207" t="s">
        <v>941</v>
      </c>
      <c r="D354" s="208" t="s">
        <v>580</v>
      </c>
      <c r="E354" s="209">
        <v>33.1</v>
      </c>
      <c r="F354" s="209">
        <v>56.85</v>
      </c>
      <c r="G354" s="209">
        <v>89.95</v>
      </c>
      <c r="H354" s="198"/>
    </row>
    <row r="355" spans="1:8" ht="15.75" hidden="1" customHeight="1" x14ac:dyDescent="0.25">
      <c r="A355" s="205" t="s">
        <v>907</v>
      </c>
      <c r="B355" s="206">
        <v>102265</v>
      </c>
      <c r="C355" s="207" t="s">
        <v>942</v>
      </c>
      <c r="D355" s="208" t="s">
        <v>580</v>
      </c>
      <c r="E355" s="209">
        <v>42.41</v>
      </c>
      <c r="F355" s="209">
        <v>72.61</v>
      </c>
      <c r="G355" s="209">
        <v>115.02</v>
      </c>
      <c r="H355" s="198"/>
    </row>
    <row r="356" spans="1:8" ht="15.75" hidden="1" customHeight="1" x14ac:dyDescent="0.25">
      <c r="A356" s="205" t="s">
        <v>907</v>
      </c>
      <c r="B356" s="206">
        <v>102266</v>
      </c>
      <c r="C356" s="207" t="s">
        <v>943</v>
      </c>
      <c r="D356" s="208" t="s">
        <v>580</v>
      </c>
      <c r="E356" s="209">
        <v>47.07</v>
      </c>
      <c r="F356" s="209">
        <v>80.48</v>
      </c>
      <c r="G356" s="209">
        <v>127.55</v>
      </c>
      <c r="H356" s="198"/>
    </row>
    <row r="357" spans="1:8" ht="15.75" hidden="1" customHeight="1" x14ac:dyDescent="0.25">
      <c r="A357" s="205" t="s">
        <v>907</v>
      </c>
      <c r="B357" s="206">
        <v>94879</v>
      </c>
      <c r="C357" s="207" t="s">
        <v>944</v>
      </c>
      <c r="D357" s="208" t="s">
        <v>585</v>
      </c>
      <c r="E357" s="209">
        <v>2361.6999999999998</v>
      </c>
      <c r="F357" s="209">
        <v>13.77</v>
      </c>
      <c r="G357" s="209">
        <v>2375.4699999999998</v>
      </c>
      <c r="H357" s="198"/>
    </row>
    <row r="358" spans="1:8" ht="15.75" hidden="1" customHeight="1" x14ac:dyDescent="0.25">
      <c r="A358" s="205" t="s">
        <v>907</v>
      </c>
      <c r="B358" s="206">
        <v>94881</v>
      </c>
      <c r="C358" s="207" t="s">
        <v>945</v>
      </c>
      <c r="D358" s="208" t="s">
        <v>585</v>
      </c>
      <c r="E358" s="209">
        <v>3256.17</v>
      </c>
      <c r="F358" s="209">
        <v>16.36</v>
      </c>
      <c r="G358" s="209">
        <v>3272.53</v>
      </c>
      <c r="H358" s="198"/>
    </row>
    <row r="359" spans="1:8" ht="15.75" hidden="1" customHeight="1" x14ac:dyDescent="0.25">
      <c r="A359" s="205" t="s">
        <v>907</v>
      </c>
      <c r="B359" s="206">
        <v>94869</v>
      </c>
      <c r="C359" s="207" t="s">
        <v>946</v>
      </c>
      <c r="D359" s="208" t="s">
        <v>585</v>
      </c>
      <c r="E359" s="209">
        <v>167.02</v>
      </c>
      <c r="F359" s="209">
        <v>0.67</v>
      </c>
      <c r="G359" s="209">
        <v>167.69</v>
      </c>
      <c r="H359" s="198"/>
    </row>
    <row r="360" spans="1:8" ht="15.75" hidden="1" customHeight="1" x14ac:dyDescent="0.25">
      <c r="A360" s="205" t="s">
        <v>907</v>
      </c>
      <c r="B360" s="206">
        <v>94871</v>
      </c>
      <c r="C360" s="207" t="s">
        <v>947</v>
      </c>
      <c r="D360" s="208" t="s">
        <v>585</v>
      </c>
      <c r="E360" s="209">
        <v>261.22000000000003</v>
      </c>
      <c r="F360" s="209">
        <v>1.18</v>
      </c>
      <c r="G360" s="209">
        <v>262.39999999999998</v>
      </c>
      <c r="H360" s="198"/>
    </row>
    <row r="361" spans="1:8" ht="15.75" hidden="1" customHeight="1" x14ac:dyDescent="0.25">
      <c r="A361" s="205" t="s">
        <v>907</v>
      </c>
      <c r="B361" s="206">
        <v>90708</v>
      </c>
      <c r="C361" s="207" t="s">
        <v>948</v>
      </c>
      <c r="D361" s="208" t="s">
        <v>585</v>
      </c>
      <c r="E361" s="209">
        <v>943.85</v>
      </c>
      <c r="F361" s="209">
        <v>6.27</v>
      </c>
      <c r="G361" s="209">
        <v>950.12</v>
      </c>
      <c r="H361" s="198"/>
    </row>
    <row r="362" spans="1:8" ht="15.75" hidden="1" customHeight="1" x14ac:dyDescent="0.25">
      <c r="A362" s="205" t="s">
        <v>907</v>
      </c>
      <c r="B362" s="206">
        <v>94875</v>
      </c>
      <c r="C362" s="207" t="s">
        <v>949</v>
      </c>
      <c r="D362" s="208" t="s">
        <v>585</v>
      </c>
      <c r="E362" s="209">
        <v>1533.45</v>
      </c>
      <c r="F362" s="209">
        <v>9.56</v>
      </c>
      <c r="G362" s="209">
        <v>1543.01</v>
      </c>
      <c r="H362" s="198"/>
    </row>
    <row r="363" spans="1:8" ht="15.75" hidden="1" customHeight="1" x14ac:dyDescent="0.25">
      <c r="A363" s="205" t="s">
        <v>907</v>
      </c>
      <c r="B363" s="206">
        <v>102264</v>
      </c>
      <c r="C363" s="207" t="s">
        <v>950</v>
      </c>
      <c r="D363" s="208" t="s">
        <v>585</v>
      </c>
      <c r="E363" s="209">
        <v>17.190000000000001</v>
      </c>
      <c r="F363" s="209">
        <v>2.5299999999999998</v>
      </c>
      <c r="G363" s="209">
        <v>19.72</v>
      </c>
      <c r="H363" s="198"/>
    </row>
    <row r="364" spans="1:8" ht="15.75" hidden="1" customHeight="1" x14ac:dyDescent="0.25">
      <c r="A364" s="205" t="s">
        <v>907</v>
      </c>
      <c r="B364" s="206">
        <v>90701</v>
      </c>
      <c r="C364" s="207" t="s">
        <v>951</v>
      </c>
      <c r="D364" s="208" t="s">
        <v>585</v>
      </c>
      <c r="E364" s="209">
        <v>63.33</v>
      </c>
      <c r="F364" s="209">
        <v>3.33</v>
      </c>
      <c r="G364" s="209">
        <v>66.66</v>
      </c>
      <c r="H364" s="198"/>
    </row>
    <row r="365" spans="1:8" ht="15.75" hidden="1" customHeight="1" x14ac:dyDescent="0.25">
      <c r="A365" s="205" t="s">
        <v>907</v>
      </c>
      <c r="B365" s="206">
        <v>90702</v>
      </c>
      <c r="C365" s="207" t="s">
        <v>952</v>
      </c>
      <c r="D365" s="208" t="s">
        <v>585</v>
      </c>
      <c r="E365" s="209">
        <v>106.16</v>
      </c>
      <c r="F365" s="209">
        <v>3.8</v>
      </c>
      <c r="G365" s="209">
        <v>109.96</v>
      </c>
      <c r="H365" s="198"/>
    </row>
    <row r="366" spans="1:8" ht="15.75" hidden="1" customHeight="1" x14ac:dyDescent="0.25">
      <c r="A366" s="205" t="s">
        <v>907</v>
      </c>
      <c r="B366" s="206">
        <v>90703</v>
      </c>
      <c r="C366" s="207" t="s">
        <v>953</v>
      </c>
      <c r="D366" s="208" t="s">
        <v>585</v>
      </c>
      <c r="E366" s="209">
        <v>167.46</v>
      </c>
      <c r="F366" s="209">
        <v>4.29</v>
      </c>
      <c r="G366" s="209">
        <v>171.75</v>
      </c>
      <c r="H366" s="198"/>
    </row>
    <row r="367" spans="1:8" ht="15.75" hidden="1" customHeight="1" x14ac:dyDescent="0.25">
      <c r="A367" s="205" t="s">
        <v>907</v>
      </c>
      <c r="B367" s="206">
        <v>90704</v>
      </c>
      <c r="C367" s="207" t="s">
        <v>954</v>
      </c>
      <c r="D367" s="208" t="s">
        <v>585</v>
      </c>
      <c r="E367" s="209">
        <v>249.87</v>
      </c>
      <c r="F367" s="209">
        <v>4.76</v>
      </c>
      <c r="G367" s="209">
        <v>254.63</v>
      </c>
      <c r="H367" s="198"/>
    </row>
    <row r="368" spans="1:8" ht="15.75" hidden="1" customHeight="1" x14ac:dyDescent="0.25">
      <c r="A368" s="205" t="s">
        <v>907</v>
      </c>
      <c r="B368" s="206">
        <v>90705</v>
      </c>
      <c r="C368" s="207" t="s">
        <v>955</v>
      </c>
      <c r="D368" s="208" t="s">
        <v>585</v>
      </c>
      <c r="E368" s="209">
        <v>327.73</v>
      </c>
      <c r="F368" s="209">
        <v>5.22</v>
      </c>
      <c r="G368" s="209">
        <v>332.95</v>
      </c>
      <c r="H368" s="198"/>
    </row>
    <row r="369" spans="1:8" ht="15.75" hidden="1" customHeight="1" x14ac:dyDescent="0.25">
      <c r="A369" s="205" t="s">
        <v>907</v>
      </c>
      <c r="B369" s="206">
        <v>90706</v>
      </c>
      <c r="C369" s="207" t="s">
        <v>956</v>
      </c>
      <c r="D369" s="208" t="s">
        <v>585</v>
      </c>
      <c r="E369" s="209">
        <v>436.71</v>
      </c>
      <c r="F369" s="209">
        <v>4.72</v>
      </c>
      <c r="G369" s="209">
        <v>441.43</v>
      </c>
      <c r="H369" s="198"/>
    </row>
    <row r="370" spans="1:8" ht="15.75" hidden="1" customHeight="1" x14ac:dyDescent="0.25">
      <c r="A370" s="205" t="s">
        <v>907</v>
      </c>
      <c r="B370" s="206">
        <v>90694</v>
      </c>
      <c r="C370" s="207" t="s">
        <v>957</v>
      </c>
      <c r="D370" s="208" t="s">
        <v>585</v>
      </c>
      <c r="E370" s="209">
        <v>42.25</v>
      </c>
      <c r="F370" s="209">
        <v>2.5299999999999998</v>
      </c>
      <c r="G370" s="209">
        <v>44.78</v>
      </c>
      <c r="H370" s="198"/>
    </row>
    <row r="371" spans="1:8" ht="15.75" hidden="1" customHeight="1" x14ac:dyDescent="0.25">
      <c r="A371" s="205" t="s">
        <v>907</v>
      </c>
      <c r="B371" s="206">
        <v>90695</v>
      </c>
      <c r="C371" s="207" t="s">
        <v>958</v>
      </c>
      <c r="D371" s="208" t="s">
        <v>585</v>
      </c>
      <c r="E371" s="209">
        <v>81.680000000000007</v>
      </c>
      <c r="F371" s="209">
        <v>3</v>
      </c>
      <c r="G371" s="209">
        <v>84.68</v>
      </c>
      <c r="H371" s="198"/>
    </row>
    <row r="372" spans="1:8" ht="15.75" hidden="1" customHeight="1" x14ac:dyDescent="0.25">
      <c r="A372" s="205" t="s">
        <v>907</v>
      </c>
      <c r="B372" s="206">
        <v>90696</v>
      </c>
      <c r="C372" s="207" t="s">
        <v>959</v>
      </c>
      <c r="D372" s="208" t="s">
        <v>585</v>
      </c>
      <c r="E372" s="209">
        <v>137.62</v>
      </c>
      <c r="F372" s="209">
        <v>3.47</v>
      </c>
      <c r="G372" s="209">
        <v>141.09</v>
      </c>
      <c r="H372" s="198"/>
    </row>
    <row r="373" spans="1:8" ht="15.75" hidden="1" customHeight="1" x14ac:dyDescent="0.25">
      <c r="A373" s="205" t="s">
        <v>907</v>
      </c>
      <c r="B373" s="206">
        <v>90697</v>
      </c>
      <c r="C373" s="207" t="s">
        <v>960</v>
      </c>
      <c r="D373" s="208" t="s">
        <v>585</v>
      </c>
      <c r="E373" s="209">
        <v>214.64</v>
      </c>
      <c r="F373" s="209">
        <v>3.93</v>
      </c>
      <c r="G373" s="209">
        <v>218.57</v>
      </c>
      <c r="H373" s="198"/>
    </row>
    <row r="374" spans="1:8" ht="15.75" hidden="1" customHeight="1" x14ac:dyDescent="0.25">
      <c r="A374" s="205" t="s">
        <v>907</v>
      </c>
      <c r="B374" s="206">
        <v>90698</v>
      </c>
      <c r="C374" s="207" t="s">
        <v>961</v>
      </c>
      <c r="D374" s="208" t="s">
        <v>585</v>
      </c>
      <c r="E374" s="209">
        <v>329.3</v>
      </c>
      <c r="F374" s="209">
        <v>4.4000000000000004</v>
      </c>
      <c r="G374" s="209">
        <v>333.7</v>
      </c>
      <c r="H374" s="198"/>
    </row>
    <row r="375" spans="1:8" ht="15.75" hidden="1" customHeight="1" x14ac:dyDescent="0.25">
      <c r="A375" s="205" t="s">
        <v>907</v>
      </c>
      <c r="B375" s="206">
        <v>90699</v>
      </c>
      <c r="C375" s="207" t="s">
        <v>962</v>
      </c>
      <c r="D375" s="208" t="s">
        <v>585</v>
      </c>
      <c r="E375" s="209">
        <v>464.49</v>
      </c>
      <c r="F375" s="209">
        <v>4.88</v>
      </c>
      <c r="G375" s="209">
        <v>469.37</v>
      </c>
      <c r="H375" s="198"/>
    </row>
    <row r="376" spans="1:8" ht="15.75" hidden="1" customHeight="1" x14ac:dyDescent="0.25">
      <c r="A376" s="205" t="s">
        <v>907</v>
      </c>
      <c r="B376" s="206">
        <v>90700</v>
      </c>
      <c r="C376" s="207" t="s">
        <v>963</v>
      </c>
      <c r="D376" s="208" t="s">
        <v>585</v>
      </c>
      <c r="E376" s="209">
        <v>544.20000000000005</v>
      </c>
      <c r="F376" s="209">
        <v>4.22</v>
      </c>
      <c r="G376" s="209">
        <v>548.41999999999996</v>
      </c>
      <c r="H376" s="198"/>
    </row>
    <row r="377" spans="1:8" ht="15.75" hidden="1" customHeight="1" x14ac:dyDescent="0.25">
      <c r="A377" s="205" t="s">
        <v>964</v>
      </c>
      <c r="B377" s="206">
        <v>105378</v>
      </c>
      <c r="C377" s="207" t="s">
        <v>965</v>
      </c>
      <c r="D377" s="208" t="s">
        <v>580</v>
      </c>
      <c r="E377" s="209">
        <v>7.75</v>
      </c>
      <c r="F377" s="209">
        <v>5.66</v>
      </c>
      <c r="G377" s="209">
        <v>13.41</v>
      </c>
      <c r="H377" s="198"/>
    </row>
    <row r="378" spans="1:8" ht="15.75" hidden="1" customHeight="1" x14ac:dyDescent="0.25">
      <c r="A378" s="205" t="s">
        <v>964</v>
      </c>
      <c r="B378" s="206">
        <v>105373</v>
      </c>
      <c r="C378" s="207" t="s">
        <v>966</v>
      </c>
      <c r="D378" s="208" t="s">
        <v>580</v>
      </c>
      <c r="E378" s="209">
        <v>6.05</v>
      </c>
      <c r="F378" s="209">
        <v>4.4000000000000004</v>
      </c>
      <c r="G378" s="209">
        <v>10.45</v>
      </c>
      <c r="H378" s="198"/>
    </row>
    <row r="379" spans="1:8" ht="15.75" hidden="1" customHeight="1" x14ac:dyDescent="0.25">
      <c r="A379" s="205" t="s">
        <v>964</v>
      </c>
      <c r="B379" s="206">
        <v>105380</v>
      </c>
      <c r="C379" s="207" t="s">
        <v>967</v>
      </c>
      <c r="D379" s="208" t="s">
        <v>580</v>
      </c>
      <c r="E379" s="209">
        <v>60.87</v>
      </c>
      <c r="F379" s="209">
        <v>45.18</v>
      </c>
      <c r="G379" s="209">
        <v>106.05</v>
      </c>
      <c r="H379" s="198"/>
    </row>
    <row r="380" spans="1:8" ht="15.75" hidden="1" customHeight="1" x14ac:dyDescent="0.25">
      <c r="A380" s="205" t="s">
        <v>964</v>
      </c>
      <c r="B380" s="206">
        <v>105267</v>
      </c>
      <c r="C380" s="207" t="s">
        <v>968</v>
      </c>
      <c r="D380" s="208" t="s">
        <v>580</v>
      </c>
      <c r="E380" s="209">
        <v>48.51</v>
      </c>
      <c r="F380" s="209">
        <v>37.65</v>
      </c>
      <c r="G380" s="209">
        <v>86.16</v>
      </c>
      <c r="H380" s="198"/>
    </row>
    <row r="381" spans="1:8" ht="15.75" hidden="1" customHeight="1" x14ac:dyDescent="0.25">
      <c r="A381" s="205" t="s">
        <v>964</v>
      </c>
      <c r="B381" s="206">
        <v>105249</v>
      </c>
      <c r="C381" s="207" t="s">
        <v>969</v>
      </c>
      <c r="D381" s="208" t="s">
        <v>580</v>
      </c>
      <c r="E381" s="209">
        <v>75.59</v>
      </c>
      <c r="F381" s="209">
        <v>53.97</v>
      </c>
      <c r="G381" s="209">
        <v>129.56</v>
      </c>
      <c r="H381" s="198"/>
    </row>
    <row r="382" spans="1:8" ht="15.75" hidden="1" customHeight="1" x14ac:dyDescent="0.25">
      <c r="A382" s="205" t="s">
        <v>964</v>
      </c>
      <c r="B382" s="206">
        <v>105268</v>
      </c>
      <c r="C382" s="207" t="s">
        <v>970</v>
      </c>
      <c r="D382" s="208" t="s">
        <v>580</v>
      </c>
      <c r="E382" s="209">
        <v>61.05</v>
      </c>
      <c r="F382" s="209">
        <v>45.03</v>
      </c>
      <c r="G382" s="209">
        <v>106.08</v>
      </c>
      <c r="H382" s="198"/>
    </row>
    <row r="383" spans="1:8" ht="15.75" hidden="1" customHeight="1" x14ac:dyDescent="0.25">
      <c r="A383" s="205" t="s">
        <v>964</v>
      </c>
      <c r="B383" s="206">
        <v>105379</v>
      </c>
      <c r="C383" s="207" t="s">
        <v>971</v>
      </c>
      <c r="D383" s="208" t="s">
        <v>580</v>
      </c>
      <c r="E383" s="209">
        <v>9.92</v>
      </c>
      <c r="F383" s="209">
        <v>7.84</v>
      </c>
      <c r="G383" s="209">
        <v>17.760000000000002</v>
      </c>
      <c r="H383" s="198"/>
    </row>
    <row r="384" spans="1:8" ht="15.75" hidden="1" customHeight="1" x14ac:dyDescent="0.25">
      <c r="A384" s="205" t="s">
        <v>964</v>
      </c>
      <c r="B384" s="206">
        <v>105388</v>
      </c>
      <c r="C384" s="207" t="s">
        <v>972</v>
      </c>
      <c r="D384" s="208" t="s">
        <v>580</v>
      </c>
      <c r="E384" s="209">
        <v>7.84</v>
      </c>
      <c r="F384" s="209">
        <v>6.23</v>
      </c>
      <c r="G384" s="209">
        <v>14.07</v>
      </c>
      <c r="H384" s="198"/>
    </row>
    <row r="385" spans="1:8" ht="15.75" hidden="1" customHeight="1" x14ac:dyDescent="0.25">
      <c r="A385" s="205" t="s">
        <v>964</v>
      </c>
      <c r="B385" s="206">
        <v>105392</v>
      </c>
      <c r="C385" s="207" t="s">
        <v>973</v>
      </c>
      <c r="D385" s="208" t="s">
        <v>580</v>
      </c>
      <c r="E385" s="209">
        <v>12.08</v>
      </c>
      <c r="F385" s="209">
        <v>10.039999999999999</v>
      </c>
      <c r="G385" s="209">
        <v>22.12</v>
      </c>
      <c r="H385" s="198"/>
    </row>
    <row r="386" spans="1:8" ht="15.75" hidden="1" customHeight="1" x14ac:dyDescent="0.25">
      <c r="A386" s="205" t="s">
        <v>964</v>
      </c>
      <c r="B386" s="206">
        <v>105389</v>
      </c>
      <c r="C386" s="207" t="s">
        <v>974</v>
      </c>
      <c r="D386" s="208" t="s">
        <v>580</v>
      </c>
      <c r="E386" s="209">
        <v>9.64</v>
      </c>
      <c r="F386" s="209">
        <v>8.08</v>
      </c>
      <c r="G386" s="209">
        <v>17.72</v>
      </c>
      <c r="H386" s="198"/>
    </row>
    <row r="387" spans="1:8" ht="15.75" hidden="1" customHeight="1" x14ac:dyDescent="0.25">
      <c r="A387" s="205" t="s">
        <v>964</v>
      </c>
      <c r="B387" s="206">
        <v>105393</v>
      </c>
      <c r="C387" s="207" t="s">
        <v>975</v>
      </c>
      <c r="D387" s="208" t="s">
        <v>580</v>
      </c>
      <c r="E387" s="209">
        <v>14.4</v>
      </c>
      <c r="F387" s="209">
        <v>12.26</v>
      </c>
      <c r="G387" s="209">
        <v>26.66</v>
      </c>
      <c r="H387" s="198"/>
    </row>
    <row r="388" spans="1:8" ht="15.75" hidden="1" customHeight="1" x14ac:dyDescent="0.25">
      <c r="A388" s="205" t="s">
        <v>964</v>
      </c>
      <c r="B388" s="206">
        <v>105316</v>
      </c>
      <c r="C388" s="207" t="s">
        <v>976</v>
      </c>
      <c r="D388" s="208" t="s">
        <v>580</v>
      </c>
      <c r="E388" s="209">
        <v>11.58</v>
      </c>
      <c r="F388" s="209">
        <v>9.94</v>
      </c>
      <c r="G388" s="209">
        <v>21.52</v>
      </c>
      <c r="H388" s="198"/>
    </row>
    <row r="389" spans="1:8" ht="15.75" hidden="1" customHeight="1" x14ac:dyDescent="0.25">
      <c r="A389" s="205" t="s">
        <v>964</v>
      </c>
      <c r="B389" s="206">
        <v>105394</v>
      </c>
      <c r="C389" s="207" t="s">
        <v>977</v>
      </c>
      <c r="D389" s="208" t="s">
        <v>580</v>
      </c>
      <c r="E389" s="209">
        <v>16.72</v>
      </c>
      <c r="F389" s="209">
        <v>14.45</v>
      </c>
      <c r="G389" s="209">
        <v>31.17</v>
      </c>
      <c r="H389" s="198"/>
    </row>
    <row r="390" spans="1:8" ht="15.75" hidden="1" customHeight="1" x14ac:dyDescent="0.25">
      <c r="A390" s="205" t="s">
        <v>964</v>
      </c>
      <c r="B390" s="206">
        <v>105317</v>
      </c>
      <c r="C390" s="207" t="s">
        <v>978</v>
      </c>
      <c r="D390" s="208" t="s">
        <v>580</v>
      </c>
      <c r="E390" s="209">
        <v>13.54</v>
      </c>
      <c r="F390" s="209">
        <v>11.77</v>
      </c>
      <c r="G390" s="209">
        <v>25.31</v>
      </c>
      <c r="H390" s="198"/>
    </row>
    <row r="391" spans="1:8" ht="15.75" hidden="1" customHeight="1" x14ac:dyDescent="0.25">
      <c r="A391" s="205" t="s">
        <v>964</v>
      </c>
      <c r="B391" s="206">
        <v>105395</v>
      </c>
      <c r="C391" s="207" t="s">
        <v>979</v>
      </c>
      <c r="D391" s="208" t="s">
        <v>580</v>
      </c>
      <c r="E391" s="209">
        <v>19.05</v>
      </c>
      <c r="F391" s="209">
        <v>16.64</v>
      </c>
      <c r="G391" s="209">
        <v>35.69</v>
      </c>
      <c r="H391" s="198"/>
    </row>
    <row r="392" spans="1:8" ht="15.75" hidden="1" customHeight="1" x14ac:dyDescent="0.25">
      <c r="A392" s="205" t="s">
        <v>964</v>
      </c>
      <c r="B392" s="206">
        <v>105318</v>
      </c>
      <c r="C392" s="207" t="s">
        <v>980</v>
      </c>
      <c r="D392" s="208" t="s">
        <v>580</v>
      </c>
      <c r="E392" s="209">
        <v>15.47</v>
      </c>
      <c r="F392" s="209">
        <v>13.63</v>
      </c>
      <c r="G392" s="209">
        <v>29.1</v>
      </c>
      <c r="H392" s="198"/>
    </row>
    <row r="393" spans="1:8" ht="15.75" hidden="1" customHeight="1" x14ac:dyDescent="0.25">
      <c r="A393" s="205" t="s">
        <v>964</v>
      </c>
      <c r="B393" s="206">
        <v>105396</v>
      </c>
      <c r="C393" s="207" t="s">
        <v>981</v>
      </c>
      <c r="D393" s="208" t="s">
        <v>580</v>
      </c>
      <c r="E393" s="209">
        <v>21.36</v>
      </c>
      <c r="F393" s="209">
        <v>18.84</v>
      </c>
      <c r="G393" s="209">
        <v>40.200000000000003</v>
      </c>
      <c r="H393" s="198"/>
    </row>
    <row r="394" spans="1:8" ht="15.75" hidden="1" customHeight="1" x14ac:dyDescent="0.25">
      <c r="A394" s="205" t="s">
        <v>964</v>
      </c>
      <c r="B394" s="206">
        <v>105258</v>
      </c>
      <c r="C394" s="207" t="s">
        <v>982</v>
      </c>
      <c r="D394" s="208" t="s">
        <v>580</v>
      </c>
      <c r="E394" s="209">
        <v>17.41</v>
      </c>
      <c r="F394" s="209">
        <v>15.48</v>
      </c>
      <c r="G394" s="209">
        <v>32.89</v>
      </c>
      <c r="H394" s="198"/>
    </row>
    <row r="395" spans="1:8" ht="15.75" hidden="1" customHeight="1" x14ac:dyDescent="0.25">
      <c r="A395" s="205" t="s">
        <v>964</v>
      </c>
      <c r="B395" s="206">
        <v>105397</v>
      </c>
      <c r="C395" s="207" t="s">
        <v>983</v>
      </c>
      <c r="D395" s="208" t="s">
        <v>580</v>
      </c>
      <c r="E395" s="209">
        <v>23.81</v>
      </c>
      <c r="F395" s="209">
        <v>21.03</v>
      </c>
      <c r="G395" s="209">
        <v>44.84</v>
      </c>
      <c r="H395" s="198"/>
    </row>
    <row r="396" spans="1:8" ht="15.75" hidden="1" customHeight="1" x14ac:dyDescent="0.25">
      <c r="A396" s="205" t="s">
        <v>964</v>
      </c>
      <c r="B396" s="206">
        <v>105261</v>
      </c>
      <c r="C396" s="207" t="s">
        <v>984</v>
      </c>
      <c r="D396" s="208" t="s">
        <v>580</v>
      </c>
      <c r="E396" s="209">
        <v>19.48</v>
      </c>
      <c r="F396" s="209">
        <v>17.329999999999998</v>
      </c>
      <c r="G396" s="209">
        <v>36.81</v>
      </c>
      <c r="H396" s="198"/>
    </row>
    <row r="397" spans="1:8" ht="15.75" hidden="1" customHeight="1" x14ac:dyDescent="0.25">
      <c r="A397" s="205" t="s">
        <v>964</v>
      </c>
      <c r="B397" s="206">
        <v>105398</v>
      </c>
      <c r="C397" s="207" t="s">
        <v>985</v>
      </c>
      <c r="D397" s="208" t="s">
        <v>580</v>
      </c>
      <c r="E397" s="209">
        <v>33.04</v>
      </c>
      <c r="F397" s="209">
        <v>23.22</v>
      </c>
      <c r="G397" s="209">
        <v>56.26</v>
      </c>
      <c r="H397" s="198"/>
    </row>
    <row r="398" spans="1:8" ht="15.75" hidden="1" customHeight="1" x14ac:dyDescent="0.25">
      <c r="A398" s="205" t="s">
        <v>964</v>
      </c>
      <c r="B398" s="206">
        <v>105262</v>
      </c>
      <c r="C398" s="207" t="s">
        <v>986</v>
      </c>
      <c r="D398" s="208" t="s">
        <v>580</v>
      </c>
      <c r="E398" s="209">
        <v>26.09</v>
      </c>
      <c r="F398" s="209">
        <v>19.18</v>
      </c>
      <c r="G398" s="209">
        <v>45.27</v>
      </c>
      <c r="H398" s="198"/>
    </row>
    <row r="399" spans="1:8" ht="15.75" hidden="1" customHeight="1" x14ac:dyDescent="0.25">
      <c r="A399" s="205" t="s">
        <v>964</v>
      </c>
      <c r="B399" s="206">
        <v>105399</v>
      </c>
      <c r="C399" s="207" t="s">
        <v>987</v>
      </c>
      <c r="D399" s="208" t="s">
        <v>580</v>
      </c>
      <c r="E399" s="209">
        <v>38.97</v>
      </c>
      <c r="F399" s="209">
        <v>27.61</v>
      </c>
      <c r="G399" s="209">
        <v>66.58</v>
      </c>
      <c r="H399" s="198"/>
    </row>
    <row r="400" spans="1:8" ht="15.75" hidden="1" customHeight="1" x14ac:dyDescent="0.25">
      <c r="A400" s="205" t="s">
        <v>964</v>
      </c>
      <c r="B400" s="206">
        <v>105263</v>
      </c>
      <c r="C400" s="207" t="s">
        <v>988</v>
      </c>
      <c r="D400" s="208" t="s">
        <v>580</v>
      </c>
      <c r="E400" s="209">
        <v>30.95</v>
      </c>
      <c r="F400" s="209">
        <v>22.86</v>
      </c>
      <c r="G400" s="209">
        <v>53.81</v>
      </c>
      <c r="H400" s="198"/>
    </row>
    <row r="401" spans="1:8" ht="15.75" hidden="1" customHeight="1" x14ac:dyDescent="0.25">
      <c r="A401" s="205" t="s">
        <v>964</v>
      </c>
      <c r="B401" s="206">
        <v>105400</v>
      </c>
      <c r="C401" s="207" t="s">
        <v>989</v>
      </c>
      <c r="D401" s="208" t="s">
        <v>580</v>
      </c>
      <c r="E401" s="209">
        <v>44.08</v>
      </c>
      <c r="F401" s="209">
        <v>32</v>
      </c>
      <c r="G401" s="209">
        <v>76.08</v>
      </c>
      <c r="H401" s="198"/>
    </row>
    <row r="402" spans="1:8" ht="15.75" hidden="1" customHeight="1" x14ac:dyDescent="0.25">
      <c r="A402" s="205" t="s">
        <v>964</v>
      </c>
      <c r="B402" s="206">
        <v>105264</v>
      </c>
      <c r="C402" s="207" t="s">
        <v>990</v>
      </c>
      <c r="D402" s="208" t="s">
        <v>580</v>
      </c>
      <c r="E402" s="209">
        <v>34.97</v>
      </c>
      <c r="F402" s="209">
        <v>26.56</v>
      </c>
      <c r="G402" s="209">
        <v>61.53</v>
      </c>
      <c r="H402" s="198"/>
    </row>
    <row r="403" spans="1:8" ht="15.75" hidden="1" customHeight="1" x14ac:dyDescent="0.25">
      <c r="A403" s="205" t="s">
        <v>964</v>
      </c>
      <c r="B403" s="206">
        <v>105297</v>
      </c>
      <c r="C403" s="207" t="s">
        <v>991</v>
      </c>
      <c r="D403" s="208" t="s">
        <v>580</v>
      </c>
      <c r="E403" s="209">
        <v>6.84</v>
      </c>
      <c r="F403" s="209">
        <v>4.79</v>
      </c>
      <c r="G403" s="209">
        <v>11.63</v>
      </c>
      <c r="H403" s="198"/>
    </row>
    <row r="404" spans="1:8" ht="15.75" hidden="1" customHeight="1" x14ac:dyDescent="0.25">
      <c r="A404" s="205" t="s">
        <v>964</v>
      </c>
      <c r="B404" s="206">
        <v>105372</v>
      </c>
      <c r="C404" s="207" t="s">
        <v>992</v>
      </c>
      <c r="D404" s="208" t="s">
        <v>580</v>
      </c>
      <c r="E404" s="209">
        <v>5.31</v>
      </c>
      <c r="F404" s="209">
        <v>3.64</v>
      </c>
      <c r="G404" s="209">
        <v>8.9499999999999993</v>
      </c>
      <c r="H404" s="198"/>
    </row>
    <row r="405" spans="1:8" ht="15.75" hidden="1" customHeight="1" x14ac:dyDescent="0.25">
      <c r="A405" s="205" t="s">
        <v>964</v>
      </c>
      <c r="B405" s="206">
        <v>105401</v>
      </c>
      <c r="C405" s="207" t="s">
        <v>993</v>
      </c>
      <c r="D405" s="208" t="s">
        <v>580</v>
      </c>
      <c r="E405" s="209">
        <v>49.45</v>
      </c>
      <c r="F405" s="209">
        <v>36.409999999999997</v>
      </c>
      <c r="G405" s="209">
        <v>85.86</v>
      </c>
      <c r="H405" s="198"/>
    </row>
    <row r="406" spans="1:8" ht="15.75" hidden="1" customHeight="1" x14ac:dyDescent="0.25">
      <c r="A406" s="205" t="s">
        <v>964</v>
      </c>
      <c r="B406" s="206">
        <v>105265</v>
      </c>
      <c r="C406" s="207" t="s">
        <v>994</v>
      </c>
      <c r="D406" s="208" t="s">
        <v>580</v>
      </c>
      <c r="E406" s="209">
        <v>39.26</v>
      </c>
      <c r="F406" s="209">
        <v>30.26</v>
      </c>
      <c r="G406" s="209">
        <v>69.52</v>
      </c>
      <c r="H406" s="198"/>
    </row>
    <row r="407" spans="1:8" ht="15.75" hidden="1" customHeight="1" x14ac:dyDescent="0.25">
      <c r="A407" s="205" t="s">
        <v>964</v>
      </c>
      <c r="B407" s="206">
        <v>105402</v>
      </c>
      <c r="C407" s="207" t="s">
        <v>995</v>
      </c>
      <c r="D407" s="208" t="s">
        <v>580</v>
      </c>
      <c r="E407" s="209">
        <v>55.11</v>
      </c>
      <c r="F407" s="209">
        <v>40.799999999999997</v>
      </c>
      <c r="G407" s="209">
        <v>95.91</v>
      </c>
      <c r="H407" s="198"/>
    </row>
    <row r="408" spans="1:8" ht="15.75" hidden="1" customHeight="1" x14ac:dyDescent="0.25">
      <c r="A408" s="205" t="s">
        <v>964</v>
      </c>
      <c r="B408" s="206">
        <v>105266</v>
      </c>
      <c r="C408" s="207" t="s">
        <v>996</v>
      </c>
      <c r="D408" s="208" t="s">
        <v>580</v>
      </c>
      <c r="E408" s="209">
        <v>43.85</v>
      </c>
      <c r="F408" s="209">
        <v>33.94</v>
      </c>
      <c r="G408" s="209">
        <v>77.790000000000006</v>
      </c>
      <c r="H408" s="198"/>
    </row>
    <row r="409" spans="1:8" ht="15.75" hidden="1" customHeight="1" x14ac:dyDescent="0.25">
      <c r="A409" s="205" t="s">
        <v>964</v>
      </c>
      <c r="B409" s="206">
        <v>105361</v>
      </c>
      <c r="C409" s="207" t="s">
        <v>997</v>
      </c>
      <c r="D409" s="208" t="s">
        <v>580</v>
      </c>
      <c r="E409" s="209">
        <v>7.8</v>
      </c>
      <c r="F409" s="209">
        <v>11.89</v>
      </c>
      <c r="G409" s="209">
        <v>19.690000000000001</v>
      </c>
      <c r="H409" s="198"/>
    </row>
    <row r="410" spans="1:8" ht="15.75" hidden="1" customHeight="1" x14ac:dyDescent="0.25">
      <c r="A410" s="205" t="s">
        <v>964</v>
      </c>
      <c r="B410" s="206">
        <v>105382</v>
      </c>
      <c r="C410" s="207" t="s">
        <v>998</v>
      </c>
      <c r="D410" s="208" t="s">
        <v>580</v>
      </c>
      <c r="E410" s="209">
        <v>6.65</v>
      </c>
      <c r="F410" s="209">
        <v>9.64</v>
      </c>
      <c r="G410" s="209">
        <v>16.29</v>
      </c>
      <c r="H410" s="198"/>
    </row>
    <row r="411" spans="1:8" ht="15.75" hidden="1" customHeight="1" x14ac:dyDescent="0.25">
      <c r="A411" s="205" t="s">
        <v>964</v>
      </c>
      <c r="B411" s="206">
        <v>105359</v>
      </c>
      <c r="C411" s="207" t="s">
        <v>999</v>
      </c>
      <c r="D411" s="208" t="s">
        <v>580</v>
      </c>
      <c r="E411" s="209">
        <v>5.23</v>
      </c>
      <c r="F411" s="209">
        <v>8.7200000000000006</v>
      </c>
      <c r="G411" s="209">
        <v>13.95</v>
      </c>
      <c r="H411" s="198"/>
    </row>
    <row r="412" spans="1:8" ht="15.75" hidden="1" customHeight="1" x14ac:dyDescent="0.25">
      <c r="A412" s="205" t="s">
        <v>964</v>
      </c>
      <c r="B412" s="206">
        <v>105315</v>
      </c>
      <c r="C412" s="207" t="s">
        <v>1000</v>
      </c>
      <c r="D412" s="208" t="s">
        <v>580</v>
      </c>
      <c r="E412" s="209">
        <v>4.3899999999999997</v>
      </c>
      <c r="F412" s="209">
        <v>7.07</v>
      </c>
      <c r="G412" s="209">
        <v>11.46</v>
      </c>
      <c r="H412" s="198"/>
    </row>
    <row r="413" spans="1:8" ht="15.75" hidden="1" customHeight="1" x14ac:dyDescent="0.25">
      <c r="A413" s="205" t="s">
        <v>964</v>
      </c>
      <c r="B413" s="206">
        <v>105360</v>
      </c>
      <c r="C413" s="207" t="s">
        <v>1001</v>
      </c>
      <c r="D413" s="208" t="s">
        <v>580</v>
      </c>
      <c r="E413" s="209">
        <v>6.6</v>
      </c>
      <c r="F413" s="209">
        <v>10.31</v>
      </c>
      <c r="G413" s="209">
        <v>16.91</v>
      </c>
      <c r="H413" s="198"/>
    </row>
    <row r="414" spans="1:8" ht="15.75" hidden="1" customHeight="1" x14ac:dyDescent="0.25">
      <c r="A414" s="205" t="s">
        <v>964</v>
      </c>
      <c r="B414" s="206">
        <v>105381</v>
      </c>
      <c r="C414" s="207" t="s">
        <v>1002</v>
      </c>
      <c r="D414" s="208" t="s">
        <v>580</v>
      </c>
      <c r="E414" s="209">
        <v>5.62</v>
      </c>
      <c r="F414" s="209">
        <v>8.35</v>
      </c>
      <c r="G414" s="209">
        <v>13.97</v>
      </c>
      <c r="H414" s="198"/>
    </row>
    <row r="415" spans="1:8" ht="15.75" hidden="1" customHeight="1" x14ac:dyDescent="0.25">
      <c r="A415" s="205" t="s">
        <v>964</v>
      </c>
      <c r="B415" s="206">
        <v>105251</v>
      </c>
      <c r="C415" s="207" t="s">
        <v>1003</v>
      </c>
      <c r="D415" s="208" t="s">
        <v>580</v>
      </c>
      <c r="E415" s="209">
        <v>11.13</v>
      </c>
      <c r="F415" s="209">
        <v>8.5</v>
      </c>
      <c r="G415" s="209">
        <v>19.63</v>
      </c>
      <c r="H415" s="198"/>
    </row>
    <row r="416" spans="1:8" ht="15.75" hidden="1" customHeight="1" x14ac:dyDescent="0.25">
      <c r="A416" s="205" t="s">
        <v>964</v>
      </c>
      <c r="B416" s="206">
        <v>105282</v>
      </c>
      <c r="C416" s="207" t="s">
        <v>1004</v>
      </c>
      <c r="D416" s="208" t="s">
        <v>580</v>
      </c>
      <c r="E416" s="209">
        <v>8.58</v>
      </c>
      <c r="F416" s="209">
        <v>6.61</v>
      </c>
      <c r="G416" s="209">
        <v>15.19</v>
      </c>
      <c r="H416" s="198"/>
    </row>
    <row r="417" spans="1:8" ht="15.75" hidden="1" customHeight="1" x14ac:dyDescent="0.25">
      <c r="A417" s="205" t="s">
        <v>964</v>
      </c>
      <c r="B417" s="206">
        <v>105276</v>
      </c>
      <c r="C417" s="207" t="s">
        <v>1005</v>
      </c>
      <c r="D417" s="208" t="s">
        <v>580</v>
      </c>
      <c r="E417" s="209">
        <v>87.01</v>
      </c>
      <c r="F417" s="209">
        <v>67.78</v>
      </c>
      <c r="G417" s="209">
        <v>154.79</v>
      </c>
      <c r="H417" s="198"/>
    </row>
    <row r="418" spans="1:8" ht="15.75" hidden="1" customHeight="1" x14ac:dyDescent="0.25">
      <c r="A418" s="205" t="s">
        <v>964</v>
      </c>
      <c r="B418" s="206">
        <v>105341</v>
      </c>
      <c r="C418" s="207" t="s">
        <v>1006</v>
      </c>
      <c r="D418" s="208" t="s">
        <v>580</v>
      </c>
      <c r="E418" s="209">
        <v>68.47</v>
      </c>
      <c r="F418" s="209">
        <v>56.46</v>
      </c>
      <c r="G418" s="209">
        <v>124.93</v>
      </c>
      <c r="H418" s="198"/>
    </row>
    <row r="419" spans="1:8" ht="15.75" hidden="1" customHeight="1" x14ac:dyDescent="0.25">
      <c r="A419" s="205" t="s">
        <v>964</v>
      </c>
      <c r="B419" s="206">
        <v>105277</v>
      </c>
      <c r="C419" s="207" t="s">
        <v>1007</v>
      </c>
      <c r="D419" s="208" t="s">
        <v>580</v>
      </c>
      <c r="E419" s="209">
        <v>106.47</v>
      </c>
      <c r="F419" s="209">
        <v>80.97</v>
      </c>
      <c r="G419" s="209">
        <v>187.44</v>
      </c>
      <c r="H419" s="198"/>
    </row>
    <row r="420" spans="1:8" ht="15.75" hidden="1" customHeight="1" x14ac:dyDescent="0.25">
      <c r="A420" s="205" t="s">
        <v>964</v>
      </c>
      <c r="B420" s="206">
        <v>105342</v>
      </c>
      <c r="C420" s="207" t="s">
        <v>1008</v>
      </c>
      <c r="D420" s="208" t="s">
        <v>580</v>
      </c>
      <c r="E420" s="209">
        <v>84.67</v>
      </c>
      <c r="F420" s="209">
        <v>67.55</v>
      </c>
      <c r="G420" s="209">
        <v>152.22</v>
      </c>
      <c r="H420" s="198"/>
    </row>
    <row r="421" spans="1:8" ht="15.75" hidden="1" customHeight="1" x14ac:dyDescent="0.25">
      <c r="A421" s="205" t="s">
        <v>964</v>
      </c>
      <c r="B421" s="206">
        <v>105252</v>
      </c>
      <c r="C421" s="207" t="s">
        <v>1009</v>
      </c>
      <c r="D421" s="208" t="s">
        <v>580</v>
      </c>
      <c r="E421" s="209">
        <v>14.22</v>
      </c>
      <c r="F421" s="209">
        <v>11.8</v>
      </c>
      <c r="G421" s="209">
        <v>26.02</v>
      </c>
      <c r="H421" s="198"/>
    </row>
    <row r="422" spans="1:8" ht="15.75" hidden="1" customHeight="1" x14ac:dyDescent="0.25">
      <c r="A422" s="205" t="s">
        <v>964</v>
      </c>
      <c r="B422" s="206">
        <v>105298</v>
      </c>
      <c r="C422" s="207" t="s">
        <v>1010</v>
      </c>
      <c r="D422" s="208" t="s">
        <v>580</v>
      </c>
      <c r="E422" s="209">
        <v>11.11</v>
      </c>
      <c r="F422" s="209">
        <v>9.36</v>
      </c>
      <c r="G422" s="209">
        <v>20.47</v>
      </c>
      <c r="H422" s="198"/>
    </row>
    <row r="423" spans="1:8" ht="15.75" hidden="1" customHeight="1" x14ac:dyDescent="0.25">
      <c r="A423" s="205" t="s">
        <v>964</v>
      </c>
      <c r="B423" s="206">
        <v>105253</v>
      </c>
      <c r="C423" s="207" t="s">
        <v>1011</v>
      </c>
      <c r="D423" s="208" t="s">
        <v>580</v>
      </c>
      <c r="E423" s="209">
        <v>17.309999999999999</v>
      </c>
      <c r="F423" s="209">
        <v>15.09</v>
      </c>
      <c r="G423" s="209">
        <v>32.4</v>
      </c>
      <c r="H423" s="198"/>
    </row>
    <row r="424" spans="1:8" ht="15.75" hidden="1" customHeight="1" x14ac:dyDescent="0.25">
      <c r="A424" s="205" t="s">
        <v>964</v>
      </c>
      <c r="B424" s="206">
        <v>105299</v>
      </c>
      <c r="C424" s="207" t="s">
        <v>1012</v>
      </c>
      <c r="D424" s="208" t="s">
        <v>580</v>
      </c>
      <c r="E424" s="209">
        <v>13.65</v>
      </c>
      <c r="F424" s="209">
        <v>12.13</v>
      </c>
      <c r="G424" s="209">
        <v>25.78</v>
      </c>
      <c r="H424" s="198"/>
    </row>
    <row r="425" spans="1:8" ht="15.75" hidden="1" customHeight="1" x14ac:dyDescent="0.25">
      <c r="A425" s="205" t="s">
        <v>964</v>
      </c>
      <c r="B425" s="206">
        <v>105254</v>
      </c>
      <c r="C425" s="207" t="s">
        <v>1013</v>
      </c>
      <c r="D425" s="208" t="s">
        <v>580</v>
      </c>
      <c r="E425" s="209">
        <v>20.56</v>
      </c>
      <c r="F425" s="209">
        <v>18.399999999999999</v>
      </c>
      <c r="G425" s="209">
        <v>38.96</v>
      </c>
      <c r="H425" s="198"/>
    </row>
    <row r="426" spans="1:8" ht="15.75" hidden="1" customHeight="1" x14ac:dyDescent="0.25">
      <c r="A426" s="205" t="s">
        <v>964</v>
      </c>
      <c r="B426" s="206">
        <v>105300</v>
      </c>
      <c r="C426" s="207" t="s">
        <v>1014</v>
      </c>
      <c r="D426" s="208" t="s">
        <v>580</v>
      </c>
      <c r="E426" s="209">
        <v>16.34</v>
      </c>
      <c r="F426" s="209">
        <v>14.92</v>
      </c>
      <c r="G426" s="209">
        <v>31.26</v>
      </c>
      <c r="H426" s="198"/>
    </row>
    <row r="427" spans="1:8" ht="15.75" hidden="1" customHeight="1" x14ac:dyDescent="0.25">
      <c r="A427" s="205" t="s">
        <v>964</v>
      </c>
      <c r="B427" s="206">
        <v>105255</v>
      </c>
      <c r="C427" s="207" t="s">
        <v>1015</v>
      </c>
      <c r="D427" s="208" t="s">
        <v>580</v>
      </c>
      <c r="E427" s="209">
        <v>23.83</v>
      </c>
      <c r="F427" s="209">
        <v>21.69</v>
      </c>
      <c r="G427" s="209">
        <v>45.52</v>
      </c>
      <c r="H427" s="198"/>
    </row>
    <row r="428" spans="1:8" ht="15.75" hidden="1" customHeight="1" x14ac:dyDescent="0.25">
      <c r="A428" s="205" t="s">
        <v>964</v>
      </c>
      <c r="B428" s="206">
        <v>105301</v>
      </c>
      <c r="C428" s="207" t="s">
        <v>1016</v>
      </c>
      <c r="D428" s="208" t="s">
        <v>580</v>
      </c>
      <c r="E428" s="209">
        <v>19.03</v>
      </c>
      <c r="F428" s="209">
        <v>17.690000000000001</v>
      </c>
      <c r="G428" s="209">
        <v>36.72</v>
      </c>
      <c r="H428" s="198"/>
    </row>
    <row r="429" spans="1:8" ht="15.75" hidden="1" customHeight="1" x14ac:dyDescent="0.25">
      <c r="A429" s="205" t="s">
        <v>964</v>
      </c>
      <c r="B429" s="206">
        <v>105256</v>
      </c>
      <c r="C429" s="207" t="s">
        <v>1017</v>
      </c>
      <c r="D429" s="208" t="s">
        <v>580</v>
      </c>
      <c r="E429" s="209">
        <v>27.09</v>
      </c>
      <c r="F429" s="209">
        <v>24.97</v>
      </c>
      <c r="G429" s="209">
        <v>52.06</v>
      </c>
      <c r="H429" s="198"/>
    </row>
    <row r="430" spans="1:8" ht="15.75" hidden="1" customHeight="1" x14ac:dyDescent="0.25">
      <c r="A430" s="205" t="s">
        <v>964</v>
      </c>
      <c r="B430" s="206">
        <v>105302</v>
      </c>
      <c r="C430" s="207" t="s">
        <v>1018</v>
      </c>
      <c r="D430" s="208" t="s">
        <v>580</v>
      </c>
      <c r="E430" s="209">
        <v>21.74</v>
      </c>
      <c r="F430" s="209">
        <v>20.45</v>
      </c>
      <c r="G430" s="209">
        <v>42.19</v>
      </c>
      <c r="H430" s="198"/>
    </row>
    <row r="431" spans="1:8" ht="15.75" hidden="1" customHeight="1" x14ac:dyDescent="0.25">
      <c r="A431" s="205" t="s">
        <v>964</v>
      </c>
      <c r="B431" s="206">
        <v>105257</v>
      </c>
      <c r="C431" s="207" t="s">
        <v>1019</v>
      </c>
      <c r="D431" s="208" t="s">
        <v>580</v>
      </c>
      <c r="E431" s="209">
        <v>30.33</v>
      </c>
      <c r="F431" s="209">
        <v>28.25</v>
      </c>
      <c r="G431" s="209">
        <v>58.58</v>
      </c>
      <c r="H431" s="198"/>
    </row>
    <row r="432" spans="1:8" ht="15.75" hidden="1" customHeight="1" x14ac:dyDescent="0.25">
      <c r="A432" s="205" t="s">
        <v>964</v>
      </c>
      <c r="B432" s="206">
        <v>105303</v>
      </c>
      <c r="C432" s="207" t="s">
        <v>1020</v>
      </c>
      <c r="D432" s="208" t="s">
        <v>580</v>
      </c>
      <c r="E432" s="209">
        <v>24.38</v>
      </c>
      <c r="F432" s="209">
        <v>23.22</v>
      </c>
      <c r="G432" s="209">
        <v>47.6</v>
      </c>
      <c r="H432" s="198"/>
    </row>
    <row r="433" spans="1:8" ht="15.75" hidden="1" customHeight="1" x14ac:dyDescent="0.25">
      <c r="A433" s="205" t="s">
        <v>964</v>
      </c>
      <c r="B433" s="206">
        <v>105270</v>
      </c>
      <c r="C433" s="207" t="s">
        <v>1021</v>
      </c>
      <c r="D433" s="208" t="s">
        <v>580</v>
      </c>
      <c r="E433" s="209">
        <v>33.72</v>
      </c>
      <c r="F433" s="209">
        <v>31.56</v>
      </c>
      <c r="G433" s="209">
        <v>65.28</v>
      </c>
      <c r="H433" s="198"/>
    </row>
    <row r="434" spans="1:8" ht="15.75" hidden="1" customHeight="1" x14ac:dyDescent="0.25">
      <c r="A434" s="205" t="s">
        <v>964</v>
      </c>
      <c r="B434" s="206">
        <v>105304</v>
      </c>
      <c r="C434" s="207" t="s">
        <v>1022</v>
      </c>
      <c r="D434" s="208" t="s">
        <v>580</v>
      </c>
      <c r="E434" s="209">
        <v>27.23</v>
      </c>
      <c r="F434" s="209">
        <v>26</v>
      </c>
      <c r="G434" s="209">
        <v>53.23</v>
      </c>
      <c r="H434" s="198"/>
    </row>
    <row r="435" spans="1:8" ht="15.75" hidden="1" customHeight="1" x14ac:dyDescent="0.25">
      <c r="A435" s="205" t="s">
        <v>964</v>
      </c>
      <c r="B435" s="206">
        <v>105271</v>
      </c>
      <c r="C435" s="207" t="s">
        <v>1023</v>
      </c>
      <c r="D435" s="208" t="s">
        <v>580</v>
      </c>
      <c r="E435" s="209">
        <v>47.28</v>
      </c>
      <c r="F435" s="209">
        <v>34.85</v>
      </c>
      <c r="G435" s="209">
        <v>82.13</v>
      </c>
      <c r="H435" s="198"/>
    </row>
    <row r="436" spans="1:8" ht="15.75" hidden="1" customHeight="1" x14ac:dyDescent="0.25">
      <c r="A436" s="205" t="s">
        <v>964</v>
      </c>
      <c r="B436" s="206">
        <v>105305</v>
      </c>
      <c r="C436" s="207" t="s">
        <v>1024</v>
      </c>
      <c r="D436" s="208" t="s">
        <v>580</v>
      </c>
      <c r="E436" s="209">
        <v>36.89</v>
      </c>
      <c r="F436" s="209">
        <v>28.77</v>
      </c>
      <c r="G436" s="209">
        <v>65.66</v>
      </c>
      <c r="H436" s="198"/>
    </row>
    <row r="437" spans="1:8" ht="15.75" hidden="1" customHeight="1" x14ac:dyDescent="0.25">
      <c r="A437" s="205" t="s">
        <v>964</v>
      </c>
      <c r="B437" s="206">
        <v>105272</v>
      </c>
      <c r="C437" s="207" t="s">
        <v>1025</v>
      </c>
      <c r="D437" s="208" t="s">
        <v>580</v>
      </c>
      <c r="E437" s="209">
        <v>55.59</v>
      </c>
      <c r="F437" s="209">
        <v>41.44</v>
      </c>
      <c r="G437" s="209">
        <v>97.03</v>
      </c>
      <c r="H437" s="198"/>
    </row>
    <row r="438" spans="1:8" ht="15.75" hidden="1" customHeight="1" x14ac:dyDescent="0.25">
      <c r="A438" s="205" t="s">
        <v>964</v>
      </c>
      <c r="B438" s="206">
        <v>105306</v>
      </c>
      <c r="C438" s="207" t="s">
        <v>1026</v>
      </c>
      <c r="D438" s="208" t="s">
        <v>580</v>
      </c>
      <c r="E438" s="209">
        <v>43.57</v>
      </c>
      <c r="F438" s="209">
        <v>34.299999999999997</v>
      </c>
      <c r="G438" s="209">
        <v>77.87</v>
      </c>
      <c r="H438" s="198"/>
    </row>
    <row r="439" spans="1:8" ht="15.75" hidden="1" customHeight="1" x14ac:dyDescent="0.25">
      <c r="A439" s="205" t="s">
        <v>964</v>
      </c>
      <c r="B439" s="206">
        <v>105273</v>
      </c>
      <c r="C439" s="207" t="s">
        <v>1027</v>
      </c>
      <c r="D439" s="208" t="s">
        <v>580</v>
      </c>
      <c r="E439" s="209">
        <v>63.08</v>
      </c>
      <c r="F439" s="209">
        <v>48.02</v>
      </c>
      <c r="G439" s="209">
        <v>111.1</v>
      </c>
      <c r="H439" s="198"/>
    </row>
    <row r="440" spans="1:8" ht="15.75" hidden="1" customHeight="1" x14ac:dyDescent="0.25">
      <c r="A440" s="205" t="s">
        <v>964</v>
      </c>
      <c r="B440" s="206">
        <v>105307</v>
      </c>
      <c r="C440" s="207" t="s">
        <v>1028</v>
      </c>
      <c r="D440" s="208" t="s">
        <v>580</v>
      </c>
      <c r="E440" s="209">
        <v>49.4</v>
      </c>
      <c r="F440" s="209">
        <v>39.86</v>
      </c>
      <c r="G440" s="209">
        <v>89.26</v>
      </c>
      <c r="H440" s="198"/>
    </row>
    <row r="441" spans="1:8" ht="15.75" hidden="1" customHeight="1" x14ac:dyDescent="0.25">
      <c r="A441" s="205" t="s">
        <v>964</v>
      </c>
      <c r="B441" s="206">
        <v>105250</v>
      </c>
      <c r="C441" s="207" t="s">
        <v>1029</v>
      </c>
      <c r="D441" s="208" t="s">
        <v>580</v>
      </c>
      <c r="E441" s="209">
        <v>9.84</v>
      </c>
      <c r="F441" s="209">
        <v>7.19</v>
      </c>
      <c r="G441" s="209">
        <v>17.03</v>
      </c>
      <c r="H441" s="198"/>
    </row>
    <row r="442" spans="1:8" ht="15.75" hidden="1" customHeight="1" x14ac:dyDescent="0.25">
      <c r="A442" s="205" t="s">
        <v>964</v>
      </c>
      <c r="B442" s="206">
        <v>105269</v>
      </c>
      <c r="C442" s="207" t="s">
        <v>1030</v>
      </c>
      <c r="D442" s="208" t="s">
        <v>580</v>
      </c>
      <c r="E442" s="209">
        <v>7.55</v>
      </c>
      <c r="F442" s="209">
        <v>5.48</v>
      </c>
      <c r="G442" s="209">
        <v>13.03</v>
      </c>
      <c r="H442" s="198"/>
    </row>
    <row r="443" spans="1:8" ht="15.75" hidden="1" customHeight="1" x14ac:dyDescent="0.25">
      <c r="A443" s="205" t="s">
        <v>964</v>
      </c>
      <c r="B443" s="206">
        <v>105274</v>
      </c>
      <c r="C443" s="207" t="s">
        <v>1031</v>
      </c>
      <c r="D443" s="208" t="s">
        <v>580</v>
      </c>
      <c r="E443" s="209">
        <v>70.84</v>
      </c>
      <c r="F443" s="209">
        <v>54.62</v>
      </c>
      <c r="G443" s="209">
        <v>125.46</v>
      </c>
      <c r="H443" s="198"/>
    </row>
    <row r="444" spans="1:8" ht="15.75" hidden="1" customHeight="1" x14ac:dyDescent="0.25">
      <c r="A444" s="205" t="s">
        <v>964</v>
      </c>
      <c r="B444" s="206">
        <v>105340</v>
      </c>
      <c r="C444" s="207" t="s">
        <v>1032</v>
      </c>
      <c r="D444" s="208" t="s">
        <v>580</v>
      </c>
      <c r="E444" s="209">
        <v>55.56</v>
      </c>
      <c r="F444" s="209">
        <v>45.39</v>
      </c>
      <c r="G444" s="209">
        <v>100.95</v>
      </c>
      <c r="H444" s="198"/>
    </row>
    <row r="445" spans="1:8" ht="15.75" hidden="1" customHeight="1" x14ac:dyDescent="0.25">
      <c r="A445" s="205" t="s">
        <v>964</v>
      </c>
      <c r="B445" s="206">
        <v>105275</v>
      </c>
      <c r="C445" s="207" t="s">
        <v>1033</v>
      </c>
      <c r="D445" s="208" t="s">
        <v>580</v>
      </c>
      <c r="E445" s="209">
        <v>78.86</v>
      </c>
      <c r="F445" s="209">
        <v>61.2</v>
      </c>
      <c r="G445" s="209">
        <v>140.06</v>
      </c>
      <c r="H445" s="198"/>
    </row>
    <row r="446" spans="1:8" ht="15.75" hidden="1" customHeight="1" x14ac:dyDescent="0.25">
      <c r="A446" s="205" t="s">
        <v>964</v>
      </c>
      <c r="B446" s="206">
        <v>105390</v>
      </c>
      <c r="C446" s="207" t="s">
        <v>1034</v>
      </c>
      <c r="D446" s="208" t="s">
        <v>580</v>
      </c>
      <c r="E446" s="209">
        <v>61.92</v>
      </c>
      <c r="F446" s="209">
        <v>50.94</v>
      </c>
      <c r="G446" s="209">
        <v>112.86</v>
      </c>
      <c r="H446" s="198"/>
    </row>
    <row r="447" spans="1:8" ht="15.75" hidden="1" customHeight="1" x14ac:dyDescent="0.25">
      <c r="A447" s="205" t="s">
        <v>964</v>
      </c>
      <c r="B447" s="206">
        <v>105364</v>
      </c>
      <c r="C447" s="207" t="s">
        <v>1035</v>
      </c>
      <c r="D447" s="208" t="s">
        <v>580</v>
      </c>
      <c r="E447" s="209">
        <v>10.85</v>
      </c>
      <c r="F447" s="209">
        <v>17.829999999999998</v>
      </c>
      <c r="G447" s="209">
        <v>28.68</v>
      </c>
      <c r="H447" s="198"/>
    </row>
    <row r="448" spans="1:8" ht="15.75" hidden="1" customHeight="1" x14ac:dyDescent="0.25">
      <c r="A448" s="205" t="s">
        <v>964</v>
      </c>
      <c r="B448" s="206">
        <v>105385</v>
      </c>
      <c r="C448" s="207" t="s">
        <v>1036</v>
      </c>
      <c r="D448" s="208" t="s">
        <v>580</v>
      </c>
      <c r="E448" s="209">
        <v>9.1199999999999992</v>
      </c>
      <c r="F448" s="209">
        <v>14.47</v>
      </c>
      <c r="G448" s="209">
        <v>23.59</v>
      </c>
      <c r="H448" s="198"/>
    </row>
    <row r="449" spans="1:8" ht="15.75" hidden="1" customHeight="1" x14ac:dyDescent="0.25">
      <c r="A449" s="205" t="s">
        <v>964</v>
      </c>
      <c r="B449" s="206">
        <v>105362</v>
      </c>
      <c r="C449" s="207" t="s">
        <v>1037</v>
      </c>
      <c r="D449" s="208" t="s">
        <v>580</v>
      </c>
      <c r="E449" s="209">
        <v>7.47</v>
      </c>
      <c r="F449" s="209">
        <v>13.08</v>
      </c>
      <c r="G449" s="209">
        <v>20.55</v>
      </c>
      <c r="H449" s="198"/>
    </row>
    <row r="450" spans="1:8" ht="15.75" hidden="1" customHeight="1" x14ac:dyDescent="0.25">
      <c r="A450" s="205" t="s">
        <v>964</v>
      </c>
      <c r="B450" s="206">
        <v>105383</v>
      </c>
      <c r="C450" s="207" t="s">
        <v>1038</v>
      </c>
      <c r="D450" s="208" t="s">
        <v>580</v>
      </c>
      <c r="E450" s="209">
        <v>6.2</v>
      </c>
      <c r="F450" s="209">
        <v>10.62</v>
      </c>
      <c r="G450" s="209">
        <v>16.82</v>
      </c>
      <c r="H450" s="198"/>
    </row>
    <row r="451" spans="1:8" ht="15.75" hidden="1" customHeight="1" x14ac:dyDescent="0.25">
      <c r="A451" s="205" t="s">
        <v>964</v>
      </c>
      <c r="B451" s="206">
        <v>105363</v>
      </c>
      <c r="C451" s="207" t="s">
        <v>1039</v>
      </c>
      <c r="D451" s="208" t="s">
        <v>580</v>
      </c>
      <c r="E451" s="209">
        <v>9.24</v>
      </c>
      <c r="F451" s="209">
        <v>15.46</v>
      </c>
      <c r="G451" s="209">
        <v>24.7</v>
      </c>
      <c r="H451" s="198"/>
    </row>
    <row r="452" spans="1:8" ht="15.75" hidden="1" customHeight="1" x14ac:dyDescent="0.25">
      <c r="A452" s="205" t="s">
        <v>964</v>
      </c>
      <c r="B452" s="206">
        <v>105384</v>
      </c>
      <c r="C452" s="207" t="s">
        <v>1040</v>
      </c>
      <c r="D452" s="208" t="s">
        <v>580</v>
      </c>
      <c r="E452" s="209">
        <v>7.76</v>
      </c>
      <c r="F452" s="209">
        <v>12.53</v>
      </c>
      <c r="G452" s="209">
        <v>20.29</v>
      </c>
      <c r="H452" s="198"/>
    </row>
    <row r="453" spans="1:8" ht="15.75" hidden="1" customHeight="1" x14ac:dyDescent="0.25">
      <c r="A453" s="205" t="s">
        <v>964</v>
      </c>
      <c r="B453" s="206">
        <v>105279</v>
      </c>
      <c r="C453" s="207" t="s">
        <v>1041</v>
      </c>
      <c r="D453" s="208" t="s">
        <v>580</v>
      </c>
      <c r="E453" s="209">
        <v>15.49</v>
      </c>
      <c r="F453" s="209">
        <v>11.35</v>
      </c>
      <c r="G453" s="209">
        <v>26.84</v>
      </c>
      <c r="H453" s="198"/>
    </row>
    <row r="454" spans="1:8" ht="15.75" hidden="1" customHeight="1" x14ac:dyDescent="0.25">
      <c r="A454" s="205" t="s">
        <v>964</v>
      </c>
      <c r="B454" s="206">
        <v>105259</v>
      </c>
      <c r="C454" s="207" t="s">
        <v>1042</v>
      </c>
      <c r="D454" s="208" t="s">
        <v>580</v>
      </c>
      <c r="E454" s="209">
        <v>12.11</v>
      </c>
      <c r="F454" s="209">
        <v>8.81</v>
      </c>
      <c r="G454" s="209">
        <v>20.92</v>
      </c>
      <c r="H454" s="198"/>
    </row>
    <row r="455" spans="1:8" ht="15.75" hidden="1" customHeight="1" x14ac:dyDescent="0.25">
      <c r="A455" s="205" t="s">
        <v>964</v>
      </c>
      <c r="B455" s="206">
        <v>105357</v>
      </c>
      <c r="C455" s="207" t="s">
        <v>1043</v>
      </c>
      <c r="D455" s="208" t="s">
        <v>580</v>
      </c>
      <c r="E455" s="209">
        <v>121.76</v>
      </c>
      <c r="F455" s="209">
        <v>90.39</v>
      </c>
      <c r="G455" s="209">
        <v>212.15</v>
      </c>
      <c r="H455" s="198"/>
    </row>
    <row r="456" spans="1:8" ht="15.75" hidden="1" customHeight="1" x14ac:dyDescent="0.25">
      <c r="A456" s="205" t="s">
        <v>964</v>
      </c>
      <c r="B456" s="206">
        <v>105346</v>
      </c>
      <c r="C456" s="207" t="s">
        <v>1044</v>
      </c>
      <c r="D456" s="208" t="s">
        <v>580</v>
      </c>
      <c r="E456" s="209">
        <v>97</v>
      </c>
      <c r="F456" s="209">
        <v>75.319999999999993</v>
      </c>
      <c r="G456" s="209">
        <v>172.32</v>
      </c>
      <c r="H456" s="198"/>
    </row>
    <row r="457" spans="1:8" ht="15.75" hidden="1" customHeight="1" x14ac:dyDescent="0.25">
      <c r="A457" s="205" t="s">
        <v>964</v>
      </c>
      <c r="B457" s="206">
        <v>105358</v>
      </c>
      <c r="C457" s="207" t="s">
        <v>1045</v>
      </c>
      <c r="D457" s="208" t="s">
        <v>580</v>
      </c>
      <c r="E457" s="209">
        <v>151.18</v>
      </c>
      <c r="F457" s="209">
        <v>107.94</v>
      </c>
      <c r="G457" s="209">
        <v>259.12</v>
      </c>
      <c r="H457" s="198"/>
    </row>
    <row r="458" spans="1:8" ht="15.75" hidden="1" customHeight="1" x14ac:dyDescent="0.25">
      <c r="A458" s="205" t="s">
        <v>964</v>
      </c>
      <c r="B458" s="206">
        <v>105347</v>
      </c>
      <c r="C458" s="207" t="s">
        <v>1046</v>
      </c>
      <c r="D458" s="208" t="s">
        <v>580</v>
      </c>
      <c r="E458" s="209">
        <v>122.08</v>
      </c>
      <c r="F458" s="209">
        <v>90.08</v>
      </c>
      <c r="G458" s="209">
        <v>212.16</v>
      </c>
      <c r="H458" s="198"/>
    </row>
    <row r="459" spans="1:8" ht="15.75" hidden="1" customHeight="1" x14ac:dyDescent="0.25">
      <c r="A459" s="205" t="s">
        <v>964</v>
      </c>
      <c r="B459" s="206">
        <v>105280</v>
      </c>
      <c r="C459" s="207" t="s">
        <v>1047</v>
      </c>
      <c r="D459" s="208" t="s">
        <v>580</v>
      </c>
      <c r="E459" s="209">
        <v>19.84</v>
      </c>
      <c r="F459" s="209">
        <v>15.73</v>
      </c>
      <c r="G459" s="209">
        <v>35.57</v>
      </c>
      <c r="H459" s="198"/>
    </row>
    <row r="460" spans="1:8" ht="15.75" hidden="1" customHeight="1" x14ac:dyDescent="0.25">
      <c r="A460" s="205" t="s">
        <v>964</v>
      </c>
      <c r="B460" s="206">
        <v>105283</v>
      </c>
      <c r="C460" s="207" t="s">
        <v>1048</v>
      </c>
      <c r="D460" s="208" t="s">
        <v>580</v>
      </c>
      <c r="E460" s="209">
        <v>15.7</v>
      </c>
      <c r="F460" s="209">
        <v>12.5</v>
      </c>
      <c r="G460" s="209">
        <v>28.2</v>
      </c>
      <c r="H460" s="198"/>
    </row>
    <row r="461" spans="1:8" ht="15.75" hidden="1" customHeight="1" x14ac:dyDescent="0.25">
      <c r="A461" s="205" t="s">
        <v>964</v>
      </c>
      <c r="B461" s="206">
        <v>105281</v>
      </c>
      <c r="C461" s="207" t="s">
        <v>1049</v>
      </c>
      <c r="D461" s="208" t="s">
        <v>580</v>
      </c>
      <c r="E461" s="209">
        <v>24.16</v>
      </c>
      <c r="F461" s="209">
        <v>20.12</v>
      </c>
      <c r="G461" s="209">
        <v>44.28</v>
      </c>
      <c r="H461" s="198"/>
    </row>
    <row r="462" spans="1:8" ht="15.75" hidden="1" customHeight="1" x14ac:dyDescent="0.25">
      <c r="A462" s="205" t="s">
        <v>964</v>
      </c>
      <c r="B462" s="206">
        <v>105319</v>
      </c>
      <c r="C462" s="207" t="s">
        <v>1050</v>
      </c>
      <c r="D462" s="208" t="s">
        <v>580</v>
      </c>
      <c r="E462" s="209">
        <v>19.260000000000002</v>
      </c>
      <c r="F462" s="209">
        <v>16.2</v>
      </c>
      <c r="G462" s="209">
        <v>35.46</v>
      </c>
      <c r="H462" s="198"/>
    </row>
    <row r="463" spans="1:8" ht="15.75" hidden="1" customHeight="1" x14ac:dyDescent="0.25">
      <c r="A463" s="205" t="s">
        <v>964</v>
      </c>
      <c r="B463" s="206">
        <v>105284</v>
      </c>
      <c r="C463" s="207" t="s">
        <v>1051</v>
      </c>
      <c r="D463" s="208" t="s">
        <v>580</v>
      </c>
      <c r="E463" s="209">
        <v>28.84</v>
      </c>
      <c r="F463" s="209">
        <v>24.52</v>
      </c>
      <c r="G463" s="209">
        <v>53.36</v>
      </c>
      <c r="H463" s="198"/>
    </row>
    <row r="464" spans="1:8" ht="15.75" hidden="1" customHeight="1" x14ac:dyDescent="0.25">
      <c r="A464" s="205" t="s">
        <v>964</v>
      </c>
      <c r="B464" s="206">
        <v>105320</v>
      </c>
      <c r="C464" s="207" t="s">
        <v>1052</v>
      </c>
      <c r="D464" s="208" t="s">
        <v>580</v>
      </c>
      <c r="E464" s="209">
        <v>23.19</v>
      </c>
      <c r="F464" s="209">
        <v>19.89</v>
      </c>
      <c r="G464" s="209">
        <v>43.08</v>
      </c>
      <c r="H464" s="198"/>
    </row>
    <row r="465" spans="1:8" ht="15.75" hidden="1" customHeight="1" x14ac:dyDescent="0.25">
      <c r="A465" s="205" t="s">
        <v>964</v>
      </c>
      <c r="B465" s="206">
        <v>105348</v>
      </c>
      <c r="C465" s="207" t="s">
        <v>1053</v>
      </c>
      <c r="D465" s="208" t="s">
        <v>580</v>
      </c>
      <c r="E465" s="209">
        <v>33.47</v>
      </c>
      <c r="F465" s="209">
        <v>28.91</v>
      </c>
      <c r="G465" s="209">
        <v>62.38</v>
      </c>
      <c r="H465" s="198"/>
    </row>
    <row r="466" spans="1:8" ht="15.75" hidden="1" customHeight="1" x14ac:dyDescent="0.25">
      <c r="A466" s="205" t="s">
        <v>964</v>
      </c>
      <c r="B466" s="206">
        <v>105321</v>
      </c>
      <c r="C466" s="207" t="s">
        <v>1054</v>
      </c>
      <c r="D466" s="208" t="s">
        <v>580</v>
      </c>
      <c r="E466" s="209">
        <v>27.07</v>
      </c>
      <c r="F466" s="209">
        <v>23.58</v>
      </c>
      <c r="G466" s="209">
        <v>50.65</v>
      </c>
      <c r="H466" s="198"/>
    </row>
    <row r="467" spans="1:8" ht="15.75" hidden="1" customHeight="1" x14ac:dyDescent="0.25">
      <c r="A467" s="205" t="s">
        <v>964</v>
      </c>
      <c r="B467" s="206">
        <v>105349</v>
      </c>
      <c r="C467" s="207" t="s">
        <v>1055</v>
      </c>
      <c r="D467" s="208" t="s">
        <v>580</v>
      </c>
      <c r="E467" s="209">
        <v>38.08</v>
      </c>
      <c r="F467" s="209">
        <v>33.32</v>
      </c>
      <c r="G467" s="209">
        <v>71.400000000000006</v>
      </c>
      <c r="H467" s="198"/>
    </row>
    <row r="468" spans="1:8" ht="15.75" hidden="1" customHeight="1" x14ac:dyDescent="0.25">
      <c r="A468" s="205" t="s">
        <v>964</v>
      </c>
      <c r="B468" s="206">
        <v>105322</v>
      </c>
      <c r="C468" s="207" t="s">
        <v>1056</v>
      </c>
      <c r="D468" s="208" t="s">
        <v>580</v>
      </c>
      <c r="E468" s="209">
        <v>30.94</v>
      </c>
      <c r="F468" s="209">
        <v>27.29</v>
      </c>
      <c r="G468" s="209">
        <v>58.23</v>
      </c>
      <c r="H468" s="198"/>
    </row>
    <row r="469" spans="1:8" ht="15.75" hidden="1" customHeight="1" x14ac:dyDescent="0.25">
      <c r="A469" s="205" t="s">
        <v>964</v>
      </c>
      <c r="B469" s="206">
        <v>105350</v>
      </c>
      <c r="C469" s="207" t="s">
        <v>1057</v>
      </c>
      <c r="D469" s="208" t="s">
        <v>580</v>
      </c>
      <c r="E469" s="209">
        <v>42.72</v>
      </c>
      <c r="F469" s="209">
        <v>37.71</v>
      </c>
      <c r="G469" s="209">
        <v>80.430000000000007</v>
      </c>
      <c r="H469" s="198"/>
    </row>
    <row r="470" spans="1:8" ht="15.75" hidden="1" customHeight="1" x14ac:dyDescent="0.25">
      <c r="A470" s="205" t="s">
        <v>964</v>
      </c>
      <c r="B470" s="206">
        <v>105323</v>
      </c>
      <c r="C470" s="207" t="s">
        <v>1058</v>
      </c>
      <c r="D470" s="208" t="s">
        <v>580</v>
      </c>
      <c r="E470" s="209">
        <v>34.81</v>
      </c>
      <c r="F470" s="209">
        <v>30.99</v>
      </c>
      <c r="G470" s="209">
        <v>65.8</v>
      </c>
      <c r="H470" s="198"/>
    </row>
    <row r="471" spans="1:8" ht="15.75" hidden="1" customHeight="1" x14ac:dyDescent="0.25">
      <c r="A471" s="205" t="s">
        <v>964</v>
      </c>
      <c r="B471" s="206">
        <v>105351</v>
      </c>
      <c r="C471" s="207" t="s">
        <v>1059</v>
      </c>
      <c r="D471" s="208" t="s">
        <v>580</v>
      </c>
      <c r="E471" s="209">
        <v>47.65</v>
      </c>
      <c r="F471" s="209">
        <v>42.09</v>
      </c>
      <c r="G471" s="209">
        <v>89.74</v>
      </c>
      <c r="H471" s="198"/>
    </row>
    <row r="472" spans="1:8" ht="15.75" hidden="1" customHeight="1" x14ac:dyDescent="0.25">
      <c r="A472" s="205" t="s">
        <v>964</v>
      </c>
      <c r="B472" s="206">
        <v>105324</v>
      </c>
      <c r="C472" s="207" t="s">
        <v>1060</v>
      </c>
      <c r="D472" s="208" t="s">
        <v>580</v>
      </c>
      <c r="E472" s="209">
        <v>38.99</v>
      </c>
      <c r="F472" s="209">
        <v>34.67</v>
      </c>
      <c r="G472" s="209">
        <v>73.66</v>
      </c>
      <c r="H472" s="198"/>
    </row>
    <row r="473" spans="1:8" ht="15.75" hidden="1" customHeight="1" x14ac:dyDescent="0.25">
      <c r="A473" s="205" t="s">
        <v>964</v>
      </c>
      <c r="B473" s="206">
        <v>105352</v>
      </c>
      <c r="C473" s="207" t="s">
        <v>1061</v>
      </c>
      <c r="D473" s="208" t="s">
        <v>580</v>
      </c>
      <c r="E473" s="209">
        <v>66.05</v>
      </c>
      <c r="F473" s="209">
        <v>46.49</v>
      </c>
      <c r="G473" s="209">
        <v>112.54</v>
      </c>
      <c r="H473" s="198"/>
    </row>
    <row r="474" spans="1:8" ht="15.75" hidden="1" customHeight="1" x14ac:dyDescent="0.25">
      <c r="A474" s="205" t="s">
        <v>964</v>
      </c>
      <c r="B474" s="206">
        <v>105325</v>
      </c>
      <c r="C474" s="207" t="s">
        <v>1062</v>
      </c>
      <c r="D474" s="208" t="s">
        <v>580</v>
      </c>
      <c r="E474" s="209">
        <v>52.19</v>
      </c>
      <c r="F474" s="209">
        <v>38.369999999999997</v>
      </c>
      <c r="G474" s="209">
        <v>90.56</v>
      </c>
      <c r="H474" s="198"/>
    </row>
    <row r="475" spans="1:8" ht="15.75" hidden="1" customHeight="1" x14ac:dyDescent="0.25">
      <c r="A475" s="205" t="s">
        <v>964</v>
      </c>
      <c r="B475" s="206">
        <v>105353</v>
      </c>
      <c r="C475" s="207" t="s">
        <v>1063</v>
      </c>
      <c r="D475" s="208" t="s">
        <v>580</v>
      </c>
      <c r="E475" s="209">
        <v>77.95</v>
      </c>
      <c r="F475" s="209">
        <v>55.27</v>
      </c>
      <c r="G475" s="209">
        <v>133.22</v>
      </c>
      <c r="H475" s="198"/>
    </row>
    <row r="476" spans="1:8" ht="15.75" hidden="1" customHeight="1" x14ac:dyDescent="0.25">
      <c r="A476" s="205" t="s">
        <v>964</v>
      </c>
      <c r="B476" s="206">
        <v>105326</v>
      </c>
      <c r="C476" s="207" t="s">
        <v>1064</v>
      </c>
      <c r="D476" s="208" t="s">
        <v>580</v>
      </c>
      <c r="E476" s="209">
        <v>61.91</v>
      </c>
      <c r="F476" s="209">
        <v>45.75</v>
      </c>
      <c r="G476" s="209">
        <v>107.66</v>
      </c>
      <c r="H476" s="198"/>
    </row>
    <row r="477" spans="1:8" ht="15.75" hidden="1" customHeight="1" x14ac:dyDescent="0.25">
      <c r="A477" s="205" t="s">
        <v>964</v>
      </c>
      <c r="B477" s="206">
        <v>105354</v>
      </c>
      <c r="C477" s="207" t="s">
        <v>1065</v>
      </c>
      <c r="D477" s="208" t="s">
        <v>580</v>
      </c>
      <c r="E477" s="209">
        <v>88.13</v>
      </c>
      <c r="F477" s="209">
        <v>64.040000000000006</v>
      </c>
      <c r="G477" s="209">
        <v>152.16999999999999</v>
      </c>
      <c r="H477" s="198"/>
    </row>
    <row r="478" spans="1:8" ht="15.75" hidden="1" customHeight="1" x14ac:dyDescent="0.25">
      <c r="A478" s="205" t="s">
        <v>964</v>
      </c>
      <c r="B478" s="206">
        <v>105344</v>
      </c>
      <c r="C478" s="207" t="s">
        <v>1066</v>
      </c>
      <c r="D478" s="208" t="s">
        <v>580</v>
      </c>
      <c r="E478" s="209">
        <v>69.92</v>
      </c>
      <c r="F478" s="209">
        <v>53.14</v>
      </c>
      <c r="G478" s="209">
        <v>123.06</v>
      </c>
      <c r="H478" s="198"/>
    </row>
    <row r="479" spans="1:8" ht="15.75" hidden="1" customHeight="1" x14ac:dyDescent="0.25">
      <c r="A479" s="205" t="s">
        <v>964</v>
      </c>
      <c r="B479" s="206">
        <v>105278</v>
      </c>
      <c r="C479" s="207" t="s">
        <v>1067</v>
      </c>
      <c r="D479" s="208" t="s">
        <v>580</v>
      </c>
      <c r="E479" s="209">
        <v>13.68</v>
      </c>
      <c r="F479" s="209">
        <v>9.6</v>
      </c>
      <c r="G479" s="209">
        <v>23.28</v>
      </c>
      <c r="H479" s="198"/>
    </row>
    <row r="480" spans="1:8" ht="15.75" hidden="1" customHeight="1" x14ac:dyDescent="0.25">
      <c r="A480" s="205" t="s">
        <v>964</v>
      </c>
      <c r="B480" s="206">
        <v>105343</v>
      </c>
      <c r="C480" s="207" t="s">
        <v>1068</v>
      </c>
      <c r="D480" s="208" t="s">
        <v>580</v>
      </c>
      <c r="E480" s="209">
        <v>10.59</v>
      </c>
      <c r="F480" s="209">
        <v>7.34</v>
      </c>
      <c r="G480" s="209">
        <v>17.93</v>
      </c>
      <c r="H480" s="198"/>
    </row>
    <row r="481" spans="1:8" ht="15.75" hidden="1" customHeight="1" x14ac:dyDescent="0.25">
      <c r="A481" s="205" t="s">
        <v>964</v>
      </c>
      <c r="B481" s="206">
        <v>105355</v>
      </c>
      <c r="C481" s="207" t="s">
        <v>1069</v>
      </c>
      <c r="D481" s="208" t="s">
        <v>580</v>
      </c>
      <c r="E481" s="209">
        <v>98.94</v>
      </c>
      <c r="F481" s="209">
        <v>72.819999999999993</v>
      </c>
      <c r="G481" s="209">
        <v>171.76</v>
      </c>
      <c r="H481" s="198"/>
    </row>
    <row r="482" spans="1:8" ht="15.75" hidden="1" customHeight="1" x14ac:dyDescent="0.25">
      <c r="A482" s="205" t="s">
        <v>964</v>
      </c>
      <c r="B482" s="206">
        <v>105391</v>
      </c>
      <c r="C482" s="207" t="s">
        <v>1070</v>
      </c>
      <c r="D482" s="208" t="s">
        <v>580</v>
      </c>
      <c r="E482" s="209">
        <v>78.55</v>
      </c>
      <c r="F482" s="209">
        <v>60.52</v>
      </c>
      <c r="G482" s="209">
        <v>139.07</v>
      </c>
      <c r="H482" s="198"/>
    </row>
    <row r="483" spans="1:8" ht="15.75" hidden="1" customHeight="1" x14ac:dyDescent="0.25">
      <c r="A483" s="205" t="s">
        <v>964</v>
      </c>
      <c r="B483" s="206">
        <v>105356</v>
      </c>
      <c r="C483" s="207" t="s">
        <v>1071</v>
      </c>
      <c r="D483" s="208" t="s">
        <v>580</v>
      </c>
      <c r="E483" s="209">
        <v>110.21</v>
      </c>
      <c r="F483" s="209">
        <v>81.61</v>
      </c>
      <c r="G483" s="209">
        <v>191.82</v>
      </c>
      <c r="H483" s="198"/>
    </row>
    <row r="484" spans="1:8" ht="15.75" hidden="1" customHeight="1" x14ac:dyDescent="0.25">
      <c r="A484" s="205" t="s">
        <v>964</v>
      </c>
      <c r="B484" s="206">
        <v>105345</v>
      </c>
      <c r="C484" s="207" t="s">
        <v>1072</v>
      </c>
      <c r="D484" s="208" t="s">
        <v>580</v>
      </c>
      <c r="E484" s="209">
        <v>87.65</v>
      </c>
      <c r="F484" s="209">
        <v>67.92</v>
      </c>
      <c r="G484" s="209">
        <v>155.57</v>
      </c>
      <c r="H484" s="198"/>
    </row>
    <row r="485" spans="1:8" ht="15.75" hidden="1" customHeight="1" x14ac:dyDescent="0.25">
      <c r="A485" s="205" t="s">
        <v>964</v>
      </c>
      <c r="B485" s="206">
        <v>105367</v>
      </c>
      <c r="C485" s="207" t="s">
        <v>1073</v>
      </c>
      <c r="D485" s="208" t="s">
        <v>580</v>
      </c>
      <c r="E485" s="209">
        <v>15.6</v>
      </c>
      <c r="F485" s="209">
        <v>23.78</v>
      </c>
      <c r="G485" s="209">
        <v>39.380000000000003</v>
      </c>
      <c r="H485" s="198"/>
    </row>
    <row r="486" spans="1:8" ht="15.75" hidden="1" customHeight="1" x14ac:dyDescent="0.25">
      <c r="A486" s="205" t="s">
        <v>964</v>
      </c>
      <c r="B486" s="206">
        <v>105371</v>
      </c>
      <c r="C486" s="207" t="s">
        <v>1074</v>
      </c>
      <c r="D486" s="208" t="s">
        <v>580</v>
      </c>
      <c r="E486" s="209">
        <v>13.31</v>
      </c>
      <c r="F486" s="209">
        <v>19.29</v>
      </c>
      <c r="G486" s="209">
        <v>32.6</v>
      </c>
      <c r="H486" s="198"/>
    </row>
    <row r="487" spans="1:8" ht="15.75" hidden="1" customHeight="1" x14ac:dyDescent="0.25">
      <c r="A487" s="205" t="s">
        <v>964</v>
      </c>
      <c r="B487" s="206">
        <v>105365</v>
      </c>
      <c r="C487" s="207" t="s">
        <v>1075</v>
      </c>
      <c r="D487" s="208" t="s">
        <v>580</v>
      </c>
      <c r="E487" s="209">
        <v>10.47</v>
      </c>
      <c r="F487" s="209">
        <v>17.440000000000001</v>
      </c>
      <c r="G487" s="209">
        <v>27.91</v>
      </c>
      <c r="H487" s="198"/>
    </row>
    <row r="488" spans="1:8" ht="15.75" hidden="1" customHeight="1" x14ac:dyDescent="0.25">
      <c r="A488" s="205" t="s">
        <v>964</v>
      </c>
      <c r="B488" s="206">
        <v>105386</v>
      </c>
      <c r="C488" s="207" t="s">
        <v>1076</v>
      </c>
      <c r="D488" s="208" t="s">
        <v>580</v>
      </c>
      <c r="E488" s="209">
        <v>8.7799999999999994</v>
      </c>
      <c r="F488" s="209">
        <v>14.15</v>
      </c>
      <c r="G488" s="209">
        <v>22.93</v>
      </c>
      <c r="H488" s="198"/>
    </row>
    <row r="489" spans="1:8" ht="15.75" hidden="1" customHeight="1" x14ac:dyDescent="0.25">
      <c r="A489" s="205" t="s">
        <v>964</v>
      </c>
      <c r="B489" s="206">
        <v>105366</v>
      </c>
      <c r="C489" s="207" t="s">
        <v>1077</v>
      </c>
      <c r="D489" s="208" t="s">
        <v>580</v>
      </c>
      <c r="E489" s="209">
        <v>13.22</v>
      </c>
      <c r="F489" s="209">
        <v>20.61</v>
      </c>
      <c r="G489" s="209">
        <v>33.83</v>
      </c>
      <c r="H489" s="198"/>
    </row>
    <row r="490" spans="1:8" ht="15.75" hidden="1" customHeight="1" x14ac:dyDescent="0.25">
      <c r="A490" s="205" t="s">
        <v>964</v>
      </c>
      <c r="B490" s="206">
        <v>105387</v>
      </c>
      <c r="C490" s="207" t="s">
        <v>1078</v>
      </c>
      <c r="D490" s="208" t="s">
        <v>580</v>
      </c>
      <c r="E490" s="209">
        <v>11.22</v>
      </c>
      <c r="F490" s="209">
        <v>16.73</v>
      </c>
      <c r="G490" s="209">
        <v>27.95</v>
      </c>
      <c r="H490" s="198"/>
    </row>
    <row r="491" spans="1:8" ht="15.75" hidden="1" customHeight="1" x14ac:dyDescent="0.25">
      <c r="A491" s="205" t="s">
        <v>964</v>
      </c>
      <c r="B491" s="206">
        <v>97177</v>
      </c>
      <c r="C491" s="207" t="s">
        <v>1079</v>
      </c>
      <c r="D491" s="208" t="s">
        <v>585</v>
      </c>
      <c r="E491" s="209">
        <v>43.61</v>
      </c>
      <c r="F491" s="209">
        <v>42.01</v>
      </c>
      <c r="G491" s="209">
        <v>85.62</v>
      </c>
      <c r="H491" s="198"/>
    </row>
    <row r="492" spans="1:8" ht="15.75" hidden="1" customHeight="1" x14ac:dyDescent="0.25">
      <c r="A492" s="205" t="s">
        <v>964</v>
      </c>
      <c r="B492" s="206">
        <v>97187</v>
      </c>
      <c r="C492" s="207" t="s">
        <v>1080</v>
      </c>
      <c r="D492" s="208" t="s">
        <v>585</v>
      </c>
      <c r="E492" s="209">
        <v>38.130000000000003</v>
      </c>
      <c r="F492" s="209">
        <v>38.99</v>
      </c>
      <c r="G492" s="209">
        <v>77.12</v>
      </c>
      <c r="H492" s="198"/>
    </row>
    <row r="493" spans="1:8" ht="15.75" hidden="1" customHeight="1" x14ac:dyDescent="0.25">
      <c r="A493" s="205" t="s">
        <v>964</v>
      </c>
      <c r="B493" s="206">
        <v>97178</v>
      </c>
      <c r="C493" s="207" t="s">
        <v>1081</v>
      </c>
      <c r="D493" s="208" t="s">
        <v>585</v>
      </c>
      <c r="E493" s="209">
        <v>52.65</v>
      </c>
      <c r="F493" s="209">
        <v>51.5</v>
      </c>
      <c r="G493" s="209">
        <v>104.15</v>
      </c>
      <c r="H493" s="198"/>
    </row>
    <row r="494" spans="1:8" ht="15.75" hidden="1" customHeight="1" x14ac:dyDescent="0.25">
      <c r="A494" s="205" t="s">
        <v>964</v>
      </c>
      <c r="B494" s="206">
        <v>97188</v>
      </c>
      <c r="C494" s="207" t="s">
        <v>1082</v>
      </c>
      <c r="D494" s="208" t="s">
        <v>585</v>
      </c>
      <c r="E494" s="209">
        <v>46.1</v>
      </c>
      <c r="F494" s="209">
        <v>47.82</v>
      </c>
      <c r="G494" s="209">
        <v>93.92</v>
      </c>
      <c r="H494" s="198"/>
    </row>
    <row r="495" spans="1:8" ht="15.75" hidden="1" customHeight="1" x14ac:dyDescent="0.25">
      <c r="A495" s="205" t="s">
        <v>964</v>
      </c>
      <c r="B495" s="206">
        <v>97179</v>
      </c>
      <c r="C495" s="207" t="s">
        <v>1083</v>
      </c>
      <c r="D495" s="208" t="s">
        <v>585</v>
      </c>
      <c r="E495" s="209">
        <v>61.68</v>
      </c>
      <c r="F495" s="209">
        <v>61.01</v>
      </c>
      <c r="G495" s="209">
        <v>122.69</v>
      </c>
      <c r="H495" s="198"/>
    </row>
    <row r="496" spans="1:8" ht="15.75" hidden="1" customHeight="1" x14ac:dyDescent="0.25">
      <c r="A496" s="205" t="s">
        <v>964</v>
      </c>
      <c r="B496" s="206">
        <v>97189</v>
      </c>
      <c r="C496" s="207" t="s">
        <v>1084</v>
      </c>
      <c r="D496" s="208" t="s">
        <v>585</v>
      </c>
      <c r="E496" s="209">
        <v>54.08</v>
      </c>
      <c r="F496" s="209">
        <v>56.63</v>
      </c>
      <c r="G496" s="209">
        <v>110.71</v>
      </c>
      <c r="H496" s="198"/>
    </row>
    <row r="497" spans="1:8" ht="15.75" hidden="1" customHeight="1" x14ac:dyDescent="0.25">
      <c r="A497" s="205" t="s">
        <v>964</v>
      </c>
      <c r="B497" s="206">
        <v>97180</v>
      </c>
      <c r="C497" s="207" t="s">
        <v>1085</v>
      </c>
      <c r="D497" s="208" t="s">
        <v>585</v>
      </c>
      <c r="E497" s="209">
        <v>70.73</v>
      </c>
      <c r="F497" s="209">
        <v>70.489999999999995</v>
      </c>
      <c r="G497" s="209">
        <v>141.22</v>
      </c>
      <c r="H497" s="198"/>
    </row>
    <row r="498" spans="1:8" ht="15.75" hidden="1" customHeight="1" x14ac:dyDescent="0.25">
      <c r="A498" s="205" t="s">
        <v>964</v>
      </c>
      <c r="B498" s="206">
        <v>97190</v>
      </c>
      <c r="C498" s="207" t="s">
        <v>1086</v>
      </c>
      <c r="D498" s="208" t="s">
        <v>585</v>
      </c>
      <c r="E498" s="209">
        <v>62.06</v>
      </c>
      <c r="F498" s="209">
        <v>65.45</v>
      </c>
      <c r="G498" s="209">
        <v>127.51</v>
      </c>
      <c r="H498" s="198"/>
    </row>
    <row r="499" spans="1:8" ht="15.75" hidden="1" customHeight="1" x14ac:dyDescent="0.25">
      <c r="A499" s="205" t="s">
        <v>964</v>
      </c>
      <c r="B499" s="206">
        <v>97181</v>
      </c>
      <c r="C499" s="207" t="s">
        <v>1087</v>
      </c>
      <c r="D499" s="208" t="s">
        <v>585</v>
      </c>
      <c r="E499" s="209">
        <v>79.760000000000005</v>
      </c>
      <c r="F499" s="209">
        <v>80</v>
      </c>
      <c r="G499" s="209">
        <v>159.76</v>
      </c>
      <c r="H499" s="198"/>
    </row>
    <row r="500" spans="1:8" ht="15.75" hidden="1" customHeight="1" x14ac:dyDescent="0.25">
      <c r="A500" s="205" t="s">
        <v>964</v>
      </c>
      <c r="B500" s="206">
        <v>97191</v>
      </c>
      <c r="C500" s="207" t="s">
        <v>1088</v>
      </c>
      <c r="D500" s="208" t="s">
        <v>585</v>
      </c>
      <c r="E500" s="209">
        <v>70.040000000000006</v>
      </c>
      <c r="F500" s="209">
        <v>74.27</v>
      </c>
      <c r="G500" s="209">
        <v>144.31</v>
      </c>
      <c r="H500" s="198"/>
    </row>
    <row r="501" spans="1:8" ht="15.75" hidden="1" customHeight="1" x14ac:dyDescent="0.25">
      <c r="A501" s="205" t="s">
        <v>964</v>
      </c>
      <c r="B501" s="206">
        <v>97182</v>
      </c>
      <c r="C501" s="207" t="s">
        <v>1089</v>
      </c>
      <c r="D501" s="208" t="s">
        <v>585</v>
      </c>
      <c r="E501" s="209">
        <v>93.38</v>
      </c>
      <c r="F501" s="209">
        <v>89.5</v>
      </c>
      <c r="G501" s="209">
        <v>182.88</v>
      </c>
      <c r="H501" s="198"/>
    </row>
    <row r="502" spans="1:8" ht="15.75" hidden="1" customHeight="1" x14ac:dyDescent="0.25">
      <c r="A502" s="205" t="s">
        <v>964</v>
      </c>
      <c r="B502" s="206">
        <v>97192</v>
      </c>
      <c r="C502" s="207" t="s">
        <v>1090</v>
      </c>
      <c r="D502" s="208" t="s">
        <v>585</v>
      </c>
      <c r="E502" s="209">
        <v>81.510000000000005</v>
      </c>
      <c r="F502" s="209">
        <v>83.08</v>
      </c>
      <c r="G502" s="209">
        <v>164.59</v>
      </c>
      <c r="H502" s="198"/>
    </row>
    <row r="503" spans="1:8" ht="15.75" hidden="1" customHeight="1" x14ac:dyDescent="0.25">
      <c r="A503" s="205" t="s">
        <v>964</v>
      </c>
      <c r="B503" s="206">
        <v>97173</v>
      </c>
      <c r="C503" s="207" t="s">
        <v>1091</v>
      </c>
      <c r="D503" s="208" t="s">
        <v>585</v>
      </c>
      <c r="E503" s="209">
        <v>25.56</v>
      </c>
      <c r="F503" s="209">
        <v>22.99</v>
      </c>
      <c r="G503" s="209">
        <v>48.55</v>
      </c>
      <c r="H503" s="198"/>
    </row>
    <row r="504" spans="1:8" ht="15.75" hidden="1" customHeight="1" x14ac:dyDescent="0.25">
      <c r="A504" s="205" t="s">
        <v>964</v>
      </c>
      <c r="B504" s="206">
        <v>97183</v>
      </c>
      <c r="C504" s="207" t="s">
        <v>1092</v>
      </c>
      <c r="D504" s="208" t="s">
        <v>585</v>
      </c>
      <c r="E504" s="209">
        <v>22.19</v>
      </c>
      <c r="F504" s="209">
        <v>21.35</v>
      </c>
      <c r="G504" s="209">
        <v>43.54</v>
      </c>
      <c r="H504" s="198"/>
    </row>
    <row r="505" spans="1:8" ht="15.75" hidden="1" customHeight="1" x14ac:dyDescent="0.25">
      <c r="A505" s="205" t="s">
        <v>964</v>
      </c>
      <c r="B505" s="206">
        <v>97174</v>
      </c>
      <c r="C505" s="207" t="s">
        <v>1093</v>
      </c>
      <c r="D505" s="208" t="s">
        <v>585</v>
      </c>
      <c r="E505" s="209">
        <v>30.07</v>
      </c>
      <c r="F505" s="209">
        <v>27.75</v>
      </c>
      <c r="G505" s="209">
        <v>57.82</v>
      </c>
      <c r="H505" s="198"/>
    </row>
    <row r="506" spans="1:8" ht="15.75" hidden="1" customHeight="1" x14ac:dyDescent="0.25">
      <c r="A506" s="205" t="s">
        <v>964</v>
      </c>
      <c r="B506" s="206">
        <v>97184</v>
      </c>
      <c r="C506" s="207" t="s">
        <v>1094</v>
      </c>
      <c r="D506" s="208" t="s">
        <v>585</v>
      </c>
      <c r="E506" s="209">
        <v>26.18</v>
      </c>
      <c r="F506" s="209">
        <v>25.76</v>
      </c>
      <c r="G506" s="209">
        <v>51.94</v>
      </c>
      <c r="H506" s="198"/>
    </row>
    <row r="507" spans="1:8" ht="15.75" hidden="1" customHeight="1" x14ac:dyDescent="0.25">
      <c r="A507" s="205" t="s">
        <v>964</v>
      </c>
      <c r="B507" s="206">
        <v>97175</v>
      </c>
      <c r="C507" s="207" t="s">
        <v>1095</v>
      </c>
      <c r="D507" s="208" t="s">
        <v>585</v>
      </c>
      <c r="E507" s="209">
        <v>34.58</v>
      </c>
      <c r="F507" s="209">
        <v>32.5</v>
      </c>
      <c r="G507" s="209">
        <v>67.08</v>
      </c>
      <c r="H507" s="198"/>
    </row>
    <row r="508" spans="1:8" ht="15.75" hidden="1" customHeight="1" x14ac:dyDescent="0.25">
      <c r="A508" s="205" t="s">
        <v>964</v>
      </c>
      <c r="B508" s="206">
        <v>97185</v>
      </c>
      <c r="C508" s="207" t="s">
        <v>1096</v>
      </c>
      <c r="D508" s="208" t="s">
        <v>585</v>
      </c>
      <c r="E508" s="209">
        <v>30.15</v>
      </c>
      <c r="F508" s="209">
        <v>30.17</v>
      </c>
      <c r="G508" s="209">
        <v>60.32</v>
      </c>
      <c r="H508" s="198"/>
    </row>
    <row r="509" spans="1:8" ht="15.75" hidden="1" customHeight="1" x14ac:dyDescent="0.25">
      <c r="A509" s="205" t="s">
        <v>964</v>
      </c>
      <c r="B509" s="206">
        <v>97176</v>
      </c>
      <c r="C509" s="207" t="s">
        <v>1097</v>
      </c>
      <c r="D509" s="208" t="s">
        <v>585</v>
      </c>
      <c r="E509" s="209">
        <v>39.119999999999997</v>
      </c>
      <c r="F509" s="209">
        <v>37.24</v>
      </c>
      <c r="G509" s="209">
        <v>76.36</v>
      </c>
      <c r="H509" s="198"/>
    </row>
    <row r="510" spans="1:8" ht="15.75" hidden="1" customHeight="1" x14ac:dyDescent="0.25">
      <c r="A510" s="205" t="s">
        <v>964</v>
      </c>
      <c r="B510" s="206">
        <v>97186</v>
      </c>
      <c r="C510" s="207" t="s">
        <v>1098</v>
      </c>
      <c r="D510" s="208" t="s">
        <v>585</v>
      </c>
      <c r="E510" s="209">
        <v>34.159999999999997</v>
      </c>
      <c r="F510" s="209">
        <v>34.57</v>
      </c>
      <c r="G510" s="209">
        <v>68.73</v>
      </c>
      <c r="H510" s="198"/>
    </row>
    <row r="511" spans="1:8" ht="15.75" hidden="1" customHeight="1" x14ac:dyDescent="0.25">
      <c r="A511" s="205" t="s">
        <v>964</v>
      </c>
      <c r="B511" s="206">
        <v>97142</v>
      </c>
      <c r="C511" s="207" t="s">
        <v>1099</v>
      </c>
      <c r="D511" s="208" t="s">
        <v>585</v>
      </c>
      <c r="E511" s="209">
        <v>3.47</v>
      </c>
      <c r="F511" s="209">
        <v>2.74</v>
      </c>
      <c r="G511" s="209">
        <v>6.21</v>
      </c>
      <c r="H511" s="198"/>
    </row>
    <row r="512" spans="1:8" ht="15.75" hidden="1" customHeight="1" x14ac:dyDescent="0.25">
      <c r="A512" s="205" t="s">
        <v>964</v>
      </c>
      <c r="B512" s="206">
        <v>97158</v>
      </c>
      <c r="C512" s="207" t="s">
        <v>1100</v>
      </c>
      <c r="D512" s="208" t="s">
        <v>585</v>
      </c>
      <c r="E512" s="209">
        <v>2.64</v>
      </c>
      <c r="F512" s="209">
        <v>2.13</v>
      </c>
      <c r="G512" s="209">
        <v>4.7699999999999996</v>
      </c>
      <c r="H512" s="198"/>
    </row>
    <row r="513" spans="1:8" ht="15.75" hidden="1" customHeight="1" x14ac:dyDescent="0.25">
      <c r="A513" s="205" t="s">
        <v>964</v>
      </c>
      <c r="B513" s="206">
        <v>97155</v>
      </c>
      <c r="C513" s="207" t="s">
        <v>1101</v>
      </c>
      <c r="D513" s="208" t="s">
        <v>585</v>
      </c>
      <c r="E513" s="209">
        <v>26.72</v>
      </c>
      <c r="F513" s="209">
        <v>22.01</v>
      </c>
      <c r="G513" s="209">
        <v>48.73</v>
      </c>
      <c r="H513" s="198"/>
    </row>
    <row r="514" spans="1:8" ht="15.75" hidden="1" customHeight="1" x14ac:dyDescent="0.25">
      <c r="A514" s="205" t="s">
        <v>964</v>
      </c>
      <c r="B514" s="206">
        <v>97171</v>
      </c>
      <c r="C514" s="207" t="s">
        <v>1102</v>
      </c>
      <c r="D514" s="208" t="s">
        <v>585</v>
      </c>
      <c r="E514" s="209">
        <v>20.69</v>
      </c>
      <c r="F514" s="209">
        <v>18.329999999999998</v>
      </c>
      <c r="G514" s="209">
        <v>39.020000000000003</v>
      </c>
      <c r="H514" s="198"/>
    </row>
    <row r="515" spans="1:8" ht="15.75" hidden="1" customHeight="1" x14ac:dyDescent="0.25">
      <c r="A515" s="205" t="s">
        <v>964</v>
      </c>
      <c r="B515" s="206">
        <v>97156</v>
      </c>
      <c r="C515" s="207" t="s">
        <v>1103</v>
      </c>
      <c r="D515" s="208" t="s">
        <v>585</v>
      </c>
      <c r="E515" s="209">
        <v>32.1</v>
      </c>
      <c r="F515" s="209">
        <v>26.28</v>
      </c>
      <c r="G515" s="209">
        <v>58.38</v>
      </c>
      <c r="H515" s="198"/>
    </row>
    <row r="516" spans="1:8" ht="15.75" hidden="1" customHeight="1" x14ac:dyDescent="0.25">
      <c r="A516" s="205" t="s">
        <v>964</v>
      </c>
      <c r="B516" s="206">
        <v>97172</v>
      </c>
      <c r="C516" s="207" t="s">
        <v>1104</v>
      </c>
      <c r="D516" s="208" t="s">
        <v>585</v>
      </c>
      <c r="E516" s="209">
        <v>25.01</v>
      </c>
      <c r="F516" s="209">
        <v>21.93</v>
      </c>
      <c r="G516" s="209">
        <v>46.94</v>
      </c>
      <c r="H516" s="198"/>
    </row>
    <row r="517" spans="1:8" ht="15.75" hidden="1" customHeight="1" x14ac:dyDescent="0.25">
      <c r="A517" s="205" t="s">
        <v>964</v>
      </c>
      <c r="B517" s="206">
        <v>97143</v>
      </c>
      <c r="C517" s="207" t="s">
        <v>1105</v>
      </c>
      <c r="D517" s="208" t="s">
        <v>585</v>
      </c>
      <c r="E517" s="209">
        <v>4.4000000000000004</v>
      </c>
      <c r="F517" s="209">
        <v>3.83</v>
      </c>
      <c r="G517" s="209">
        <v>8.23</v>
      </c>
      <c r="H517" s="198"/>
    </row>
    <row r="518" spans="1:8" ht="15.75" hidden="1" customHeight="1" x14ac:dyDescent="0.25">
      <c r="A518" s="205" t="s">
        <v>964</v>
      </c>
      <c r="B518" s="206">
        <v>97159</v>
      </c>
      <c r="C518" s="207" t="s">
        <v>1106</v>
      </c>
      <c r="D518" s="208" t="s">
        <v>585</v>
      </c>
      <c r="E518" s="209">
        <v>3.39</v>
      </c>
      <c r="F518" s="209">
        <v>3.04</v>
      </c>
      <c r="G518" s="209">
        <v>6.43</v>
      </c>
      <c r="H518" s="198"/>
    </row>
    <row r="519" spans="1:8" ht="15.75" hidden="1" customHeight="1" x14ac:dyDescent="0.25">
      <c r="A519" s="205" t="s">
        <v>964</v>
      </c>
      <c r="B519" s="206">
        <v>97144</v>
      </c>
      <c r="C519" s="207" t="s">
        <v>1107</v>
      </c>
      <c r="D519" s="208" t="s">
        <v>585</v>
      </c>
      <c r="E519" s="209">
        <v>5.39</v>
      </c>
      <c r="F519" s="209">
        <v>4.8899999999999997</v>
      </c>
      <c r="G519" s="209">
        <v>10.28</v>
      </c>
      <c r="H519" s="198"/>
    </row>
    <row r="520" spans="1:8" ht="15.75" hidden="1" customHeight="1" x14ac:dyDescent="0.25">
      <c r="A520" s="205" t="s">
        <v>964</v>
      </c>
      <c r="B520" s="206">
        <v>97160</v>
      </c>
      <c r="C520" s="207" t="s">
        <v>1108</v>
      </c>
      <c r="D520" s="208" t="s">
        <v>585</v>
      </c>
      <c r="E520" s="209">
        <v>4.1900000000000004</v>
      </c>
      <c r="F520" s="209">
        <v>3.93</v>
      </c>
      <c r="G520" s="209">
        <v>8.1199999999999992</v>
      </c>
      <c r="H520" s="198"/>
    </row>
    <row r="521" spans="1:8" ht="15.75" hidden="1" customHeight="1" x14ac:dyDescent="0.25">
      <c r="A521" s="205" t="s">
        <v>964</v>
      </c>
      <c r="B521" s="206">
        <v>97145</v>
      </c>
      <c r="C521" s="207" t="s">
        <v>1109</v>
      </c>
      <c r="D521" s="208" t="s">
        <v>585</v>
      </c>
      <c r="E521" s="209">
        <v>6.35</v>
      </c>
      <c r="F521" s="209">
        <v>5.97</v>
      </c>
      <c r="G521" s="209">
        <v>12.32</v>
      </c>
      <c r="H521" s="198"/>
    </row>
    <row r="522" spans="1:8" ht="15.75" hidden="1" customHeight="1" x14ac:dyDescent="0.25">
      <c r="A522" s="205" t="s">
        <v>964</v>
      </c>
      <c r="B522" s="206">
        <v>97161</v>
      </c>
      <c r="C522" s="207" t="s">
        <v>1110</v>
      </c>
      <c r="D522" s="208" t="s">
        <v>585</v>
      </c>
      <c r="E522" s="209">
        <v>4.97</v>
      </c>
      <c r="F522" s="209">
        <v>4.84</v>
      </c>
      <c r="G522" s="209">
        <v>9.81</v>
      </c>
      <c r="H522" s="198"/>
    </row>
    <row r="523" spans="1:8" ht="15.75" hidden="1" customHeight="1" x14ac:dyDescent="0.25">
      <c r="A523" s="205" t="s">
        <v>964</v>
      </c>
      <c r="B523" s="206">
        <v>97146</v>
      </c>
      <c r="C523" s="207" t="s">
        <v>1111</v>
      </c>
      <c r="D523" s="208" t="s">
        <v>585</v>
      </c>
      <c r="E523" s="209">
        <v>7.35</v>
      </c>
      <c r="F523" s="209">
        <v>7.03</v>
      </c>
      <c r="G523" s="209">
        <v>14.38</v>
      </c>
      <c r="H523" s="198"/>
    </row>
    <row r="524" spans="1:8" ht="15.75" hidden="1" customHeight="1" x14ac:dyDescent="0.25">
      <c r="A524" s="205" t="s">
        <v>964</v>
      </c>
      <c r="B524" s="206">
        <v>97162</v>
      </c>
      <c r="C524" s="207" t="s">
        <v>1112</v>
      </c>
      <c r="D524" s="208" t="s">
        <v>585</v>
      </c>
      <c r="E524" s="209">
        <v>5.78</v>
      </c>
      <c r="F524" s="209">
        <v>5.75</v>
      </c>
      <c r="G524" s="209">
        <v>11.53</v>
      </c>
      <c r="H524" s="198"/>
    </row>
    <row r="525" spans="1:8" ht="15.75" hidden="1" customHeight="1" x14ac:dyDescent="0.25">
      <c r="A525" s="205" t="s">
        <v>964</v>
      </c>
      <c r="B525" s="206">
        <v>97147</v>
      </c>
      <c r="C525" s="207" t="s">
        <v>1113</v>
      </c>
      <c r="D525" s="208" t="s">
        <v>585</v>
      </c>
      <c r="E525" s="209">
        <v>8.35</v>
      </c>
      <c r="F525" s="209">
        <v>8.09</v>
      </c>
      <c r="G525" s="209">
        <v>16.440000000000001</v>
      </c>
      <c r="H525" s="198"/>
    </row>
    <row r="526" spans="1:8" ht="15.75" hidden="1" customHeight="1" x14ac:dyDescent="0.25">
      <c r="A526" s="205" t="s">
        <v>964</v>
      </c>
      <c r="B526" s="206">
        <v>97163</v>
      </c>
      <c r="C526" s="207" t="s">
        <v>1114</v>
      </c>
      <c r="D526" s="208" t="s">
        <v>585</v>
      </c>
      <c r="E526" s="209">
        <v>6.6</v>
      </c>
      <c r="F526" s="209">
        <v>6.62</v>
      </c>
      <c r="G526" s="209">
        <v>13.22</v>
      </c>
      <c r="H526" s="198"/>
    </row>
    <row r="527" spans="1:8" ht="15.75" hidden="1" customHeight="1" x14ac:dyDescent="0.25">
      <c r="A527" s="205" t="s">
        <v>964</v>
      </c>
      <c r="B527" s="206">
        <v>97148</v>
      </c>
      <c r="C527" s="207" t="s">
        <v>1115</v>
      </c>
      <c r="D527" s="208" t="s">
        <v>585</v>
      </c>
      <c r="E527" s="209">
        <v>9.33</v>
      </c>
      <c r="F527" s="209">
        <v>9.16</v>
      </c>
      <c r="G527" s="209">
        <v>18.489999999999998</v>
      </c>
      <c r="H527" s="198"/>
    </row>
    <row r="528" spans="1:8" ht="15.75" hidden="1" customHeight="1" x14ac:dyDescent="0.25">
      <c r="A528" s="205" t="s">
        <v>964</v>
      </c>
      <c r="B528" s="206">
        <v>97164</v>
      </c>
      <c r="C528" s="207" t="s">
        <v>1116</v>
      </c>
      <c r="D528" s="208" t="s">
        <v>585</v>
      </c>
      <c r="E528" s="209">
        <v>7.4</v>
      </c>
      <c r="F528" s="209">
        <v>7.53</v>
      </c>
      <c r="G528" s="209">
        <v>14.93</v>
      </c>
      <c r="H528" s="198"/>
    </row>
    <row r="529" spans="1:8" ht="15.75" hidden="1" customHeight="1" x14ac:dyDescent="0.25">
      <c r="A529" s="205" t="s">
        <v>964</v>
      </c>
      <c r="B529" s="206">
        <v>97149</v>
      </c>
      <c r="C529" s="207" t="s">
        <v>1117</v>
      </c>
      <c r="D529" s="208" t="s">
        <v>585</v>
      </c>
      <c r="E529" s="209">
        <v>10.32</v>
      </c>
      <c r="F529" s="209">
        <v>10.25</v>
      </c>
      <c r="G529" s="209">
        <v>20.57</v>
      </c>
      <c r="H529" s="198"/>
    </row>
    <row r="530" spans="1:8" ht="15.75" hidden="1" customHeight="1" x14ac:dyDescent="0.25">
      <c r="A530" s="205" t="s">
        <v>964</v>
      </c>
      <c r="B530" s="206">
        <v>97165</v>
      </c>
      <c r="C530" s="207" t="s">
        <v>1118</v>
      </c>
      <c r="D530" s="208" t="s">
        <v>585</v>
      </c>
      <c r="E530" s="209">
        <v>8.2200000000000006</v>
      </c>
      <c r="F530" s="209">
        <v>8.43</v>
      </c>
      <c r="G530" s="209">
        <v>16.649999999999999</v>
      </c>
      <c r="H530" s="198"/>
    </row>
    <row r="531" spans="1:8" ht="15.75" hidden="1" customHeight="1" x14ac:dyDescent="0.25">
      <c r="A531" s="205" t="s">
        <v>964</v>
      </c>
      <c r="B531" s="206">
        <v>97150</v>
      </c>
      <c r="C531" s="207" t="s">
        <v>1119</v>
      </c>
      <c r="D531" s="208" t="s">
        <v>585</v>
      </c>
      <c r="E531" s="209">
        <v>14.65</v>
      </c>
      <c r="F531" s="209">
        <v>11.3</v>
      </c>
      <c r="G531" s="209">
        <v>25.95</v>
      </c>
      <c r="H531" s="198"/>
    </row>
    <row r="532" spans="1:8" ht="15.75" hidden="1" customHeight="1" x14ac:dyDescent="0.25">
      <c r="A532" s="205" t="s">
        <v>964</v>
      </c>
      <c r="B532" s="206">
        <v>97166</v>
      </c>
      <c r="C532" s="207" t="s">
        <v>1120</v>
      </c>
      <c r="D532" s="208" t="s">
        <v>585</v>
      </c>
      <c r="E532" s="209">
        <v>11.26</v>
      </c>
      <c r="F532" s="209">
        <v>9.34</v>
      </c>
      <c r="G532" s="209">
        <v>20.6</v>
      </c>
      <c r="H532" s="198"/>
    </row>
    <row r="533" spans="1:8" ht="15.75" hidden="1" customHeight="1" x14ac:dyDescent="0.25">
      <c r="A533" s="205" t="s">
        <v>964</v>
      </c>
      <c r="B533" s="206">
        <v>97151</v>
      </c>
      <c r="C533" s="207" t="s">
        <v>1121</v>
      </c>
      <c r="D533" s="208" t="s">
        <v>585</v>
      </c>
      <c r="E533" s="209">
        <v>17.16</v>
      </c>
      <c r="F533" s="209">
        <v>13.46</v>
      </c>
      <c r="G533" s="209">
        <v>30.62</v>
      </c>
      <c r="H533" s="198"/>
    </row>
    <row r="534" spans="1:8" ht="15.75" hidden="1" customHeight="1" x14ac:dyDescent="0.25">
      <c r="A534" s="205" t="s">
        <v>964</v>
      </c>
      <c r="B534" s="206">
        <v>97167</v>
      </c>
      <c r="C534" s="207" t="s">
        <v>1122</v>
      </c>
      <c r="D534" s="208" t="s">
        <v>585</v>
      </c>
      <c r="E534" s="209">
        <v>13.25</v>
      </c>
      <c r="F534" s="209">
        <v>11.13</v>
      </c>
      <c r="G534" s="209">
        <v>24.38</v>
      </c>
      <c r="H534" s="198"/>
    </row>
    <row r="535" spans="1:8" ht="15.75" hidden="1" customHeight="1" x14ac:dyDescent="0.25">
      <c r="A535" s="205" t="s">
        <v>964</v>
      </c>
      <c r="B535" s="206">
        <v>97152</v>
      </c>
      <c r="C535" s="207" t="s">
        <v>1123</v>
      </c>
      <c r="D535" s="208" t="s">
        <v>585</v>
      </c>
      <c r="E535" s="209">
        <v>19.399999999999999</v>
      </c>
      <c r="F535" s="209">
        <v>15.59</v>
      </c>
      <c r="G535" s="209">
        <v>34.99</v>
      </c>
      <c r="H535" s="198"/>
    </row>
    <row r="536" spans="1:8" ht="15.75" hidden="1" customHeight="1" x14ac:dyDescent="0.25">
      <c r="A536" s="205" t="s">
        <v>964</v>
      </c>
      <c r="B536" s="206">
        <v>97168</v>
      </c>
      <c r="C536" s="207" t="s">
        <v>1124</v>
      </c>
      <c r="D536" s="208" t="s">
        <v>585</v>
      </c>
      <c r="E536" s="209">
        <v>14.95</v>
      </c>
      <c r="F536" s="209">
        <v>12.94</v>
      </c>
      <c r="G536" s="209">
        <v>27.89</v>
      </c>
      <c r="H536" s="198"/>
    </row>
    <row r="537" spans="1:8" ht="15.75" hidden="1" customHeight="1" x14ac:dyDescent="0.25">
      <c r="A537" s="205" t="s">
        <v>964</v>
      </c>
      <c r="B537" s="206">
        <v>97141</v>
      </c>
      <c r="C537" s="207" t="s">
        <v>1125</v>
      </c>
      <c r="D537" s="208" t="s">
        <v>585</v>
      </c>
      <c r="E537" s="209">
        <v>3.07</v>
      </c>
      <c r="F537" s="209">
        <v>2.31</v>
      </c>
      <c r="G537" s="209">
        <v>5.38</v>
      </c>
      <c r="H537" s="198"/>
    </row>
    <row r="538" spans="1:8" ht="15.75" hidden="1" customHeight="1" x14ac:dyDescent="0.25">
      <c r="A538" s="205" t="s">
        <v>964</v>
      </c>
      <c r="B538" s="206">
        <v>97157</v>
      </c>
      <c r="C538" s="207" t="s">
        <v>1126</v>
      </c>
      <c r="D538" s="208" t="s">
        <v>585</v>
      </c>
      <c r="E538" s="209">
        <v>2.2999999999999998</v>
      </c>
      <c r="F538" s="209">
        <v>1.77</v>
      </c>
      <c r="G538" s="209">
        <v>4.07</v>
      </c>
      <c r="H538" s="198"/>
    </row>
    <row r="539" spans="1:8" ht="15.75" hidden="1" customHeight="1" x14ac:dyDescent="0.25">
      <c r="A539" s="205" t="s">
        <v>964</v>
      </c>
      <c r="B539" s="206">
        <v>97153</v>
      </c>
      <c r="C539" s="207" t="s">
        <v>1127</v>
      </c>
      <c r="D539" s="208" t="s">
        <v>585</v>
      </c>
      <c r="E539" s="209">
        <v>21.81</v>
      </c>
      <c r="F539" s="209">
        <v>17.72</v>
      </c>
      <c r="G539" s="209">
        <v>39.53</v>
      </c>
      <c r="H539" s="198"/>
    </row>
    <row r="540" spans="1:8" ht="15.75" hidden="1" customHeight="1" x14ac:dyDescent="0.25">
      <c r="A540" s="205" t="s">
        <v>964</v>
      </c>
      <c r="B540" s="206">
        <v>97169</v>
      </c>
      <c r="C540" s="207" t="s">
        <v>1128</v>
      </c>
      <c r="D540" s="208" t="s">
        <v>585</v>
      </c>
      <c r="E540" s="209">
        <v>16.829999999999998</v>
      </c>
      <c r="F540" s="209">
        <v>14.74</v>
      </c>
      <c r="G540" s="209">
        <v>31.57</v>
      </c>
      <c r="H540" s="198"/>
    </row>
    <row r="541" spans="1:8" ht="15.75" hidden="1" customHeight="1" x14ac:dyDescent="0.25">
      <c r="A541" s="205" t="s">
        <v>964</v>
      </c>
      <c r="B541" s="206">
        <v>97154</v>
      </c>
      <c r="C541" s="207" t="s">
        <v>1129</v>
      </c>
      <c r="D541" s="208" t="s">
        <v>585</v>
      </c>
      <c r="E541" s="209">
        <v>24.26</v>
      </c>
      <c r="F541" s="209">
        <v>19.87</v>
      </c>
      <c r="G541" s="209">
        <v>44.13</v>
      </c>
      <c r="H541" s="198"/>
    </row>
    <row r="542" spans="1:8" ht="15.75" hidden="1" customHeight="1" x14ac:dyDescent="0.25">
      <c r="A542" s="205" t="s">
        <v>964</v>
      </c>
      <c r="B542" s="206">
        <v>97170</v>
      </c>
      <c r="C542" s="207" t="s">
        <v>1130</v>
      </c>
      <c r="D542" s="208" t="s">
        <v>585</v>
      </c>
      <c r="E542" s="209">
        <v>18.75</v>
      </c>
      <c r="F542" s="209">
        <v>16.54</v>
      </c>
      <c r="G542" s="209">
        <v>35.29</v>
      </c>
      <c r="H542" s="198"/>
    </row>
    <row r="543" spans="1:8" ht="15.75" hidden="1" customHeight="1" x14ac:dyDescent="0.25">
      <c r="A543" s="205" t="s">
        <v>964</v>
      </c>
      <c r="B543" s="206">
        <v>105311</v>
      </c>
      <c r="C543" s="207" t="s">
        <v>1131</v>
      </c>
      <c r="D543" s="208" t="s">
        <v>585</v>
      </c>
      <c r="E543" s="209">
        <v>1.69</v>
      </c>
      <c r="F543" s="209">
        <v>2.7</v>
      </c>
      <c r="G543" s="209">
        <v>4.3899999999999997</v>
      </c>
      <c r="H543" s="198"/>
    </row>
    <row r="544" spans="1:8" ht="15.75" hidden="1" customHeight="1" x14ac:dyDescent="0.25">
      <c r="A544" s="205" t="s">
        <v>964</v>
      </c>
      <c r="B544" s="206">
        <v>105339</v>
      </c>
      <c r="C544" s="207" t="s">
        <v>1132</v>
      </c>
      <c r="D544" s="208" t="s">
        <v>585</v>
      </c>
      <c r="E544" s="209">
        <v>1.42</v>
      </c>
      <c r="F544" s="209">
        <v>2.19</v>
      </c>
      <c r="G544" s="209">
        <v>3.61</v>
      </c>
      <c r="H544" s="198"/>
    </row>
    <row r="545" spans="1:8" ht="15.75" hidden="1" customHeight="1" x14ac:dyDescent="0.25">
      <c r="A545" s="205" t="s">
        <v>964</v>
      </c>
      <c r="B545" s="206">
        <v>97127</v>
      </c>
      <c r="C545" s="207" t="s">
        <v>1133</v>
      </c>
      <c r="D545" s="208" t="s">
        <v>585</v>
      </c>
      <c r="E545" s="209">
        <v>2.2400000000000002</v>
      </c>
      <c r="F545" s="209">
        <v>3.49</v>
      </c>
      <c r="G545" s="209">
        <v>5.73</v>
      </c>
      <c r="H545" s="198"/>
    </row>
    <row r="546" spans="1:8" ht="15.75" hidden="1" customHeight="1" x14ac:dyDescent="0.25">
      <c r="A546" s="205" t="s">
        <v>964</v>
      </c>
      <c r="B546" s="206">
        <v>97134</v>
      </c>
      <c r="C546" s="207" t="s">
        <v>1134</v>
      </c>
      <c r="D546" s="208" t="s">
        <v>585</v>
      </c>
      <c r="E546" s="209">
        <v>1.9</v>
      </c>
      <c r="F546" s="209">
        <v>2.83</v>
      </c>
      <c r="G546" s="209">
        <v>4.7300000000000004</v>
      </c>
      <c r="H546" s="198"/>
    </row>
    <row r="547" spans="1:8" ht="15.75" hidden="1" customHeight="1" x14ac:dyDescent="0.25">
      <c r="A547" s="205" t="s">
        <v>964</v>
      </c>
      <c r="B547" s="206">
        <v>97128</v>
      </c>
      <c r="C547" s="207" t="s">
        <v>1135</v>
      </c>
      <c r="D547" s="208" t="s">
        <v>585</v>
      </c>
      <c r="E547" s="209">
        <v>5.63</v>
      </c>
      <c r="F547" s="209">
        <v>5.58</v>
      </c>
      <c r="G547" s="209">
        <v>11.21</v>
      </c>
      <c r="H547" s="198"/>
    </row>
    <row r="548" spans="1:8" ht="15.75" hidden="1" customHeight="1" x14ac:dyDescent="0.25">
      <c r="A548" s="205" t="s">
        <v>964</v>
      </c>
      <c r="B548" s="206">
        <v>97135</v>
      </c>
      <c r="C548" s="207" t="s">
        <v>1136</v>
      </c>
      <c r="D548" s="208" t="s">
        <v>585</v>
      </c>
      <c r="E548" s="209">
        <v>4.3600000000000003</v>
      </c>
      <c r="F548" s="209">
        <v>4.22</v>
      </c>
      <c r="G548" s="209">
        <v>8.58</v>
      </c>
      <c r="H548" s="198"/>
    </row>
    <row r="549" spans="1:8" ht="15.75" hidden="1" customHeight="1" x14ac:dyDescent="0.25">
      <c r="A549" s="205" t="s">
        <v>964</v>
      </c>
      <c r="B549" s="206">
        <v>97129</v>
      </c>
      <c r="C549" s="207" t="s">
        <v>1137</v>
      </c>
      <c r="D549" s="208" t="s">
        <v>585</v>
      </c>
      <c r="E549" s="209">
        <v>6.67</v>
      </c>
      <c r="F549" s="209">
        <v>6.6</v>
      </c>
      <c r="G549" s="209">
        <v>13.27</v>
      </c>
      <c r="H549" s="198"/>
    </row>
    <row r="550" spans="1:8" ht="15.75" hidden="1" customHeight="1" x14ac:dyDescent="0.25">
      <c r="A550" s="205" t="s">
        <v>964</v>
      </c>
      <c r="B550" s="206">
        <v>97136</v>
      </c>
      <c r="C550" s="207" t="s">
        <v>1138</v>
      </c>
      <c r="D550" s="208" t="s">
        <v>585</v>
      </c>
      <c r="E550" s="209">
        <v>5.14</v>
      </c>
      <c r="F550" s="209">
        <v>5.01</v>
      </c>
      <c r="G550" s="209">
        <v>10.15</v>
      </c>
      <c r="H550" s="198"/>
    </row>
    <row r="551" spans="1:8" ht="15.75" hidden="1" customHeight="1" x14ac:dyDescent="0.25">
      <c r="A551" s="205" t="s">
        <v>964</v>
      </c>
      <c r="B551" s="206">
        <v>97130</v>
      </c>
      <c r="C551" s="207" t="s">
        <v>1139</v>
      </c>
      <c r="D551" s="208" t="s">
        <v>585</v>
      </c>
      <c r="E551" s="209">
        <v>7.72</v>
      </c>
      <c r="F551" s="209">
        <v>7.63</v>
      </c>
      <c r="G551" s="209">
        <v>15.35</v>
      </c>
      <c r="H551" s="198"/>
    </row>
    <row r="552" spans="1:8" ht="15.75" hidden="1" customHeight="1" x14ac:dyDescent="0.25">
      <c r="A552" s="205" t="s">
        <v>964</v>
      </c>
      <c r="B552" s="206">
        <v>97137</v>
      </c>
      <c r="C552" s="207" t="s">
        <v>1140</v>
      </c>
      <c r="D552" s="208" t="s">
        <v>585</v>
      </c>
      <c r="E552" s="209">
        <v>5.96</v>
      </c>
      <c r="F552" s="209">
        <v>5.79</v>
      </c>
      <c r="G552" s="209">
        <v>11.75</v>
      </c>
      <c r="H552" s="198"/>
    </row>
    <row r="553" spans="1:8" ht="15.75" hidden="1" customHeight="1" x14ac:dyDescent="0.25">
      <c r="A553" s="205" t="s">
        <v>964</v>
      </c>
      <c r="B553" s="206">
        <v>97131</v>
      </c>
      <c r="C553" s="207" t="s">
        <v>1141</v>
      </c>
      <c r="D553" s="208" t="s">
        <v>585</v>
      </c>
      <c r="E553" s="209">
        <v>8.7799999999999994</v>
      </c>
      <c r="F553" s="209">
        <v>8.65</v>
      </c>
      <c r="G553" s="209">
        <v>17.43</v>
      </c>
      <c r="H553" s="198"/>
    </row>
    <row r="554" spans="1:8" ht="15.75" hidden="1" customHeight="1" x14ac:dyDescent="0.25">
      <c r="A554" s="205" t="s">
        <v>964</v>
      </c>
      <c r="B554" s="206">
        <v>97138</v>
      </c>
      <c r="C554" s="207" t="s">
        <v>1142</v>
      </c>
      <c r="D554" s="208" t="s">
        <v>585</v>
      </c>
      <c r="E554" s="209">
        <v>6.79</v>
      </c>
      <c r="F554" s="209">
        <v>6.56</v>
      </c>
      <c r="G554" s="209">
        <v>13.35</v>
      </c>
      <c r="H554" s="198"/>
    </row>
    <row r="555" spans="1:8" ht="15.75" hidden="1" customHeight="1" x14ac:dyDescent="0.25">
      <c r="A555" s="205" t="s">
        <v>964</v>
      </c>
      <c r="B555" s="206">
        <v>97132</v>
      </c>
      <c r="C555" s="207" t="s">
        <v>1143</v>
      </c>
      <c r="D555" s="208" t="s">
        <v>585</v>
      </c>
      <c r="E555" s="209">
        <v>9.82</v>
      </c>
      <c r="F555" s="209">
        <v>9.69</v>
      </c>
      <c r="G555" s="209">
        <v>19.510000000000002</v>
      </c>
      <c r="H555" s="198"/>
    </row>
    <row r="556" spans="1:8" ht="15.75" hidden="1" customHeight="1" x14ac:dyDescent="0.25">
      <c r="A556" s="205" t="s">
        <v>964</v>
      </c>
      <c r="B556" s="206">
        <v>97139</v>
      </c>
      <c r="C556" s="207" t="s">
        <v>1144</v>
      </c>
      <c r="D556" s="208" t="s">
        <v>585</v>
      </c>
      <c r="E556" s="209">
        <v>7.6</v>
      </c>
      <c r="F556" s="209">
        <v>7.35</v>
      </c>
      <c r="G556" s="209">
        <v>14.95</v>
      </c>
      <c r="H556" s="198"/>
    </row>
    <row r="557" spans="1:8" ht="15.75" hidden="1" customHeight="1" x14ac:dyDescent="0.25">
      <c r="A557" s="205" t="s">
        <v>964</v>
      </c>
      <c r="B557" s="206">
        <v>97133</v>
      </c>
      <c r="C557" s="207" t="s">
        <v>1145</v>
      </c>
      <c r="D557" s="208" t="s">
        <v>585</v>
      </c>
      <c r="E557" s="209">
        <v>11.93</v>
      </c>
      <c r="F557" s="209">
        <v>11.73</v>
      </c>
      <c r="G557" s="209">
        <v>23.66</v>
      </c>
      <c r="H557" s="198"/>
    </row>
    <row r="558" spans="1:8" ht="15.75" hidden="1" customHeight="1" x14ac:dyDescent="0.25">
      <c r="A558" s="205" t="s">
        <v>964</v>
      </c>
      <c r="B558" s="206">
        <v>97140</v>
      </c>
      <c r="C558" s="207" t="s">
        <v>1146</v>
      </c>
      <c r="D558" s="208" t="s">
        <v>585</v>
      </c>
      <c r="E558" s="209">
        <v>9.2200000000000006</v>
      </c>
      <c r="F558" s="209">
        <v>8.9</v>
      </c>
      <c r="G558" s="209">
        <v>18.12</v>
      </c>
      <c r="H558" s="198"/>
    </row>
    <row r="559" spans="1:8" ht="15.75" hidden="1" customHeight="1" x14ac:dyDescent="0.25">
      <c r="A559" s="205" t="s">
        <v>964</v>
      </c>
      <c r="B559" s="206">
        <v>97123</v>
      </c>
      <c r="C559" s="207" t="s">
        <v>1147</v>
      </c>
      <c r="D559" s="208" t="s">
        <v>585</v>
      </c>
      <c r="E559" s="209">
        <v>1.78</v>
      </c>
      <c r="F559" s="209">
        <v>2.94</v>
      </c>
      <c r="G559" s="209">
        <v>4.72</v>
      </c>
      <c r="H559" s="198"/>
    </row>
    <row r="560" spans="1:8" ht="15.75" hidden="1" customHeight="1" x14ac:dyDescent="0.25">
      <c r="A560" s="205" t="s">
        <v>964</v>
      </c>
      <c r="B560" s="206">
        <v>97126</v>
      </c>
      <c r="C560" s="207" t="s">
        <v>1148</v>
      </c>
      <c r="D560" s="208" t="s">
        <v>585</v>
      </c>
      <c r="E560" s="209">
        <v>1.51</v>
      </c>
      <c r="F560" s="209">
        <v>2.37</v>
      </c>
      <c r="G560" s="209">
        <v>3.88</v>
      </c>
      <c r="H560" s="198"/>
    </row>
    <row r="561" spans="1:8" ht="15.75" hidden="1" customHeight="1" x14ac:dyDescent="0.25">
      <c r="A561" s="205" t="s">
        <v>964</v>
      </c>
      <c r="B561" s="206">
        <v>105308</v>
      </c>
      <c r="C561" s="207" t="s">
        <v>1149</v>
      </c>
      <c r="D561" s="208" t="s">
        <v>585</v>
      </c>
      <c r="E561" s="209">
        <v>2.12</v>
      </c>
      <c r="F561" s="209">
        <v>3.32</v>
      </c>
      <c r="G561" s="209">
        <v>5.44</v>
      </c>
      <c r="H561" s="198"/>
    </row>
    <row r="562" spans="1:8" ht="15.75" hidden="1" customHeight="1" x14ac:dyDescent="0.25">
      <c r="A562" s="205" t="s">
        <v>964</v>
      </c>
      <c r="B562" s="206">
        <v>105312</v>
      </c>
      <c r="C562" s="207" t="s">
        <v>1150</v>
      </c>
      <c r="D562" s="208" t="s">
        <v>585</v>
      </c>
      <c r="E562" s="209">
        <v>1.8</v>
      </c>
      <c r="F562" s="209">
        <v>2.7</v>
      </c>
      <c r="G562" s="209">
        <v>4.5</v>
      </c>
      <c r="H562" s="198"/>
    </row>
    <row r="563" spans="1:8" ht="15.75" hidden="1" customHeight="1" x14ac:dyDescent="0.25">
      <c r="A563" s="205" t="s">
        <v>964</v>
      </c>
      <c r="B563" s="206">
        <v>105309</v>
      </c>
      <c r="C563" s="207" t="s">
        <v>1151</v>
      </c>
      <c r="D563" s="208" t="s">
        <v>585</v>
      </c>
      <c r="E563" s="209">
        <v>2.31</v>
      </c>
      <c r="F563" s="209">
        <v>3.55</v>
      </c>
      <c r="G563" s="209">
        <v>5.86</v>
      </c>
      <c r="H563" s="198"/>
    </row>
    <row r="564" spans="1:8" ht="15.75" hidden="1" customHeight="1" x14ac:dyDescent="0.25">
      <c r="A564" s="205" t="s">
        <v>964</v>
      </c>
      <c r="B564" s="206">
        <v>105313</v>
      </c>
      <c r="C564" s="207" t="s">
        <v>1152</v>
      </c>
      <c r="D564" s="208" t="s">
        <v>585</v>
      </c>
      <c r="E564" s="209">
        <v>1.96</v>
      </c>
      <c r="F564" s="209">
        <v>2.88</v>
      </c>
      <c r="G564" s="209">
        <v>4.84</v>
      </c>
      <c r="H564" s="198"/>
    </row>
    <row r="565" spans="1:8" ht="15.75" hidden="1" customHeight="1" x14ac:dyDescent="0.25">
      <c r="A565" s="205" t="s">
        <v>964</v>
      </c>
      <c r="B565" s="206">
        <v>105310</v>
      </c>
      <c r="C565" s="207" t="s">
        <v>1153</v>
      </c>
      <c r="D565" s="208" t="s">
        <v>585</v>
      </c>
      <c r="E565" s="209">
        <v>2.72</v>
      </c>
      <c r="F565" s="209">
        <v>4.18</v>
      </c>
      <c r="G565" s="209">
        <v>6.9</v>
      </c>
      <c r="H565" s="198"/>
    </row>
    <row r="566" spans="1:8" ht="15.75" hidden="1" customHeight="1" x14ac:dyDescent="0.25">
      <c r="A566" s="205" t="s">
        <v>964</v>
      </c>
      <c r="B566" s="206">
        <v>105314</v>
      </c>
      <c r="C566" s="207" t="s">
        <v>1154</v>
      </c>
      <c r="D566" s="208" t="s">
        <v>585</v>
      </c>
      <c r="E566" s="209">
        <v>2.3199999999999998</v>
      </c>
      <c r="F566" s="209">
        <v>3.39</v>
      </c>
      <c r="G566" s="209">
        <v>5.71</v>
      </c>
      <c r="H566" s="198"/>
    </row>
    <row r="567" spans="1:8" ht="15.75" hidden="1" customHeight="1" x14ac:dyDescent="0.25">
      <c r="A567" s="205" t="s">
        <v>964</v>
      </c>
      <c r="B567" s="206">
        <v>97121</v>
      </c>
      <c r="C567" s="207" t="s">
        <v>1155</v>
      </c>
      <c r="D567" s="208" t="s">
        <v>585</v>
      </c>
      <c r="E567" s="209">
        <v>1.23</v>
      </c>
      <c r="F567" s="209">
        <v>2.15</v>
      </c>
      <c r="G567" s="209">
        <v>3.38</v>
      </c>
      <c r="H567" s="198"/>
    </row>
    <row r="568" spans="1:8" ht="15.75" hidden="1" customHeight="1" x14ac:dyDescent="0.25">
      <c r="A568" s="205" t="s">
        <v>964</v>
      </c>
      <c r="B568" s="206">
        <v>97124</v>
      </c>
      <c r="C568" s="207" t="s">
        <v>1156</v>
      </c>
      <c r="D568" s="208" t="s">
        <v>585</v>
      </c>
      <c r="E568" s="209">
        <v>1.01</v>
      </c>
      <c r="F568" s="209">
        <v>1.75</v>
      </c>
      <c r="G568" s="209">
        <v>2.76</v>
      </c>
      <c r="H568" s="198"/>
    </row>
    <row r="569" spans="1:8" ht="15.75" hidden="1" customHeight="1" x14ac:dyDescent="0.25">
      <c r="A569" s="205" t="s">
        <v>964</v>
      </c>
      <c r="B569" s="206">
        <v>97122</v>
      </c>
      <c r="C569" s="207" t="s">
        <v>1157</v>
      </c>
      <c r="D569" s="208" t="s">
        <v>585</v>
      </c>
      <c r="E569" s="209">
        <v>1.53</v>
      </c>
      <c r="F569" s="209">
        <v>2.54</v>
      </c>
      <c r="G569" s="209">
        <v>4.07</v>
      </c>
      <c r="H569" s="198"/>
    </row>
    <row r="570" spans="1:8" ht="15.75" hidden="1" customHeight="1" x14ac:dyDescent="0.25">
      <c r="A570" s="205" t="s">
        <v>964</v>
      </c>
      <c r="B570" s="206">
        <v>97125</v>
      </c>
      <c r="C570" s="207" t="s">
        <v>1158</v>
      </c>
      <c r="D570" s="208" t="s">
        <v>585</v>
      </c>
      <c r="E570" s="209">
        <v>1.28</v>
      </c>
      <c r="F570" s="209">
        <v>2.06</v>
      </c>
      <c r="G570" s="209">
        <v>3.34</v>
      </c>
      <c r="H570" s="198"/>
    </row>
    <row r="571" spans="1:8" ht="15.75" hidden="1" customHeight="1" x14ac:dyDescent="0.25">
      <c r="A571" s="205" t="s">
        <v>964</v>
      </c>
      <c r="B571" s="206">
        <v>105296</v>
      </c>
      <c r="C571" s="207" t="s">
        <v>1159</v>
      </c>
      <c r="D571" s="208" t="s">
        <v>580</v>
      </c>
      <c r="E571" s="209">
        <v>157.58000000000001</v>
      </c>
      <c r="F571" s="209">
        <v>17.829999999999998</v>
      </c>
      <c r="G571" s="209">
        <v>175.41</v>
      </c>
      <c r="H571" s="198"/>
    </row>
    <row r="572" spans="1:8" ht="15.75" hidden="1" customHeight="1" x14ac:dyDescent="0.25">
      <c r="A572" s="205" t="s">
        <v>964</v>
      </c>
      <c r="B572" s="206">
        <v>105374</v>
      </c>
      <c r="C572" s="207" t="s">
        <v>1160</v>
      </c>
      <c r="D572" s="208" t="s">
        <v>580</v>
      </c>
      <c r="E572" s="209">
        <v>155.85</v>
      </c>
      <c r="F572" s="209">
        <v>14.47</v>
      </c>
      <c r="G572" s="209">
        <v>170.32</v>
      </c>
      <c r="H572" s="198"/>
    </row>
    <row r="573" spans="1:8" ht="15.75" hidden="1" customHeight="1" x14ac:dyDescent="0.25">
      <c r="A573" s="205" t="s">
        <v>964</v>
      </c>
      <c r="B573" s="206">
        <v>105292</v>
      </c>
      <c r="C573" s="207" t="s">
        <v>1161</v>
      </c>
      <c r="D573" s="208" t="s">
        <v>580</v>
      </c>
      <c r="E573" s="209">
        <v>39.5</v>
      </c>
      <c r="F573" s="209">
        <v>13.08</v>
      </c>
      <c r="G573" s="209">
        <v>52.58</v>
      </c>
      <c r="H573" s="198"/>
    </row>
    <row r="574" spans="1:8" ht="15.75" hidden="1" customHeight="1" x14ac:dyDescent="0.25">
      <c r="A574" s="205" t="s">
        <v>964</v>
      </c>
      <c r="B574" s="206">
        <v>105293</v>
      </c>
      <c r="C574" s="207" t="s">
        <v>1162</v>
      </c>
      <c r="D574" s="208" t="s">
        <v>580</v>
      </c>
      <c r="E574" s="209">
        <v>38.24</v>
      </c>
      <c r="F574" s="209">
        <v>10.61</v>
      </c>
      <c r="G574" s="209">
        <v>48.85</v>
      </c>
      <c r="H574" s="198"/>
    </row>
    <row r="575" spans="1:8" ht="15.75" hidden="1" customHeight="1" x14ac:dyDescent="0.25">
      <c r="A575" s="205" t="s">
        <v>964</v>
      </c>
      <c r="B575" s="206">
        <v>105294</v>
      </c>
      <c r="C575" s="207" t="s">
        <v>1163</v>
      </c>
      <c r="D575" s="208" t="s">
        <v>580</v>
      </c>
      <c r="E575" s="209">
        <v>88.29</v>
      </c>
      <c r="F575" s="209">
        <v>15.46</v>
      </c>
      <c r="G575" s="209">
        <v>103.75</v>
      </c>
      <c r="H575" s="198"/>
    </row>
    <row r="576" spans="1:8" ht="15.75" hidden="1" customHeight="1" x14ac:dyDescent="0.25">
      <c r="A576" s="205" t="s">
        <v>964</v>
      </c>
      <c r="B576" s="206">
        <v>105295</v>
      </c>
      <c r="C576" s="207" t="s">
        <v>1164</v>
      </c>
      <c r="D576" s="208" t="s">
        <v>580</v>
      </c>
      <c r="E576" s="209">
        <v>86.81</v>
      </c>
      <c r="F576" s="209">
        <v>12.53</v>
      </c>
      <c r="G576" s="209">
        <v>99.34</v>
      </c>
      <c r="H576" s="198"/>
    </row>
    <row r="577" spans="1:8" ht="15.75" hidden="1" customHeight="1" x14ac:dyDescent="0.25">
      <c r="A577" s="205" t="s">
        <v>964</v>
      </c>
      <c r="B577" s="206">
        <v>105290</v>
      </c>
      <c r="C577" s="207" t="s">
        <v>1165</v>
      </c>
      <c r="D577" s="208" t="s">
        <v>580</v>
      </c>
      <c r="E577" s="209">
        <v>56.68</v>
      </c>
      <c r="F577" s="209">
        <v>11.88</v>
      </c>
      <c r="G577" s="209">
        <v>68.56</v>
      </c>
      <c r="H577" s="198"/>
    </row>
    <row r="578" spans="1:8" ht="15.75" hidden="1" customHeight="1" x14ac:dyDescent="0.25">
      <c r="A578" s="205" t="s">
        <v>964</v>
      </c>
      <c r="B578" s="206">
        <v>105291</v>
      </c>
      <c r="C578" s="207" t="s">
        <v>1166</v>
      </c>
      <c r="D578" s="208" t="s">
        <v>580</v>
      </c>
      <c r="E578" s="209">
        <v>55.53</v>
      </c>
      <c r="F578" s="209">
        <v>9.6300000000000008</v>
      </c>
      <c r="G578" s="209">
        <v>65.16</v>
      </c>
      <c r="H578" s="198"/>
    </row>
    <row r="579" spans="1:8" ht="15.75" hidden="1" customHeight="1" x14ac:dyDescent="0.25">
      <c r="A579" s="205" t="s">
        <v>964</v>
      </c>
      <c r="B579" s="206">
        <v>105286</v>
      </c>
      <c r="C579" s="207" t="s">
        <v>1167</v>
      </c>
      <c r="D579" s="208" t="s">
        <v>580</v>
      </c>
      <c r="E579" s="209">
        <v>23.09</v>
      </c>
      <c r="F579" s="209">
        <v>8.7100000000000009</v>
      </c>
      <c r="G579" s="209">
        <v>31.8</v>
      </c>
      <c r="H579" s="198"/>
    </row>
    <row r="580" spans="1:8" ht="15.75" hidden="1" customHeight="1" x14ac:dyDescent="0.25">
      <c r="A580" s="205" t="s">
        <v>964</v>
      </c>
      <c r="B580" s="206">
        <v>105287</v>
      </c>
      <c r="C580" s="207" t="s">
        <v>1168</v>
      </c>
      <c r="D580" s="208" t="s">
        <v>580</v>
      </c>
      <c r="E580" s="209">
        <v>22.23</v>
      </c>
      <c r="F580" s="209">
        <v>7.08</v>
      </c>
      <c r="G580" s="209">
        <v>29.31</v>
      </c>
      <c r="H580" s="198"/>
    </row>
    <row r="581" spans="1:8" ht="15.75" hidden="1" customHeight="1" x14ac:dyDescent="0.25">
      <c r="A581" s="205" t="s">
        <v>964</v>
      </c>
      <c r="B581" s="206">
        <v>105288</v>
      </c>
      <c r="C581" s="207" t="s">
        <v>1169</v>
      </c>
      <c r="D581" s="208" t="s">
        <v>580</v>
      </c>
      <c r="E581" s="209">
        <v>41.04</v>
      </c>
      <c r="F581" s="209">
        <v>10.3</v>
      </c>
      <c r="G581" s="209">
        <v>51.34</v>
      </c>
      <c r="H581" s="198"/>
    </row>
    <row r="582" spans="1:8" ht="15.75" hidden="1" customHeight="1" x14ac:dyDescent="0.25">
      <c r="A582" s="205" t="s">
        <v>964</v>
      </c>
      <c r="B582" s="206">
        <v>105289</v>
      </c>
      <c r="C582" s="207" t="s">
        <v>1170</v>
      </c>
      <c r="D582" s="208" t="s">
        <v>580</v>
      </c>
      <c r="E582" s="209">
        <v>40.049999999999997</v>
      </c>
      <c r="F582" s="209">
        <v>8.35</v>
      </c>
      <c r="G582" s="209">
        <v>48.4</v>
      </c>
      <c r="H582" s="198"/>
    </row>
    <row r="583" spans="1:8" ht="15.75" hidden="1" customHeight="1" x14ac:dyDescent="0.25">
      <c r="A583" s="205" t="s">
        <v>964</v>
      </c>
      <c r="B583" s="206">
        <v>105375</v>
      </c>
      <c r="C583" s="207" t="s">
        <v>1171</v>
      </c>
      <c r="D583" s="208" t="s">
        <v>580</v>
      </c>
      <c r="E583" s="209">
        <v>114.94</v>
      </c>
      <c r="F583" s="209">
        <v>23.79</v>
      </c>
      <c r="G583" s="209">
        <v>138.72999999999999</v>
      </c>
      <c r="H583" s="198"/>
    </row>
    <row r="584" spans="1:8" ht="15.75" hidden="1" customHeight="1" x14ac:dyDescent="0.25">
      <c r="A584" s="205" t="s">
        <v>964</v>
      </c>
      <c r="B584" s="206">
        <v>105376</v>
      </c>
      <c r="C584" s="207" t="s">
        <v>1172</v>
      </c>
      <c r="D584" s="208" t="s">
        <v>580</v>
      </c>
      <c r="E584" s="209">
        <v>112.65</v>
      </c>
      <c r="F584" s="209">
        <v>19.3</v>
      </c>
      <c r="G584" s="209">
        <v>131.94999999999999</v>
      </c>
      <c r="H584" s="198"/>
    </row>
    <row r="585" spans="1:8" ht="15.75" hidden="1" customHeight="1" x14ac:dyDescent="0.25">
      <c r="A585" s="205" t="s">
        <v>964</v>
      </c>
      <c r="B585" s="206">
        <v>105331</v>
      </c>
      <c r="C585" s="207" t="s">
        <v>1173</v>
      </c>
      <c r="D585" s="208" t="s">
        <v>585</v>
      </c>
      <c r="E585" s="209">
        <v>53.62</v>
      </c>
      <c r="F585" s="209">
        <v>2.7</v>
      </c>
      <c r="G585" s="209">
        <v>56.32</v>
      </c>
      <c r="H585" s="198"/>
    </row>
    <row r="586" spans="1:8" ht="15.75" hidden="1" customHeight="1" x14ac:dyDescent="0.25">
      <c r="A586" s="205" t="s">
        <v>964</v>
      </c>
      <c r="B586" s="206">
        <v>105332</v>
      </c>
      <c r="C586" s="207" t="s">
        <v>1174</v>
      </c>
      <c r="D586" s="208" t="s">
        <v>585</v>
      </c>
      <c r="E586" s="209">
        <v>53.35</v>
      </c>
      <c r="F586" s="209">
        <v>2.19</v>
      </c>
      <c r="G586" s="209">
        <v>55.54</v>
      </c>
      <c r="H586" s="198"/>
    </row>
    <row r="587" spans="1:8" ht="15.75" hidden="1" customHeight="1" x14ac:dyDescent="0.25">
      <c r="A587" s="205" t="s">
        <v>964</v>
      </c>
      <c r="B587" s="206">
        <v>105333</v>
      </c>
      <c r="C587" s="207" t="s">
        <v>1175</v>
      </c>
      <c r="D587" s="208" t="s">
        <v>585</v>
      </c>
      <c r="E587" s="209">
        <v>242.48</v>
      </c>
      <c r="F587" s="209">
        <v>5.58</v>
      </c>
      <c r="G587" s="209">
        <v>248.06</v>
      </c>
      <c r="H587" s="198"/>
    </row>
    <row r="588" spans="1:8" ht="15.75" hidden="1" customHeight="1" x14ac:dyDescent="0.25">
      <c r="A588" s="205" t="s">
        <v>964</v>
      </c>
      <c r="B588" s="206">
        <v>105334</v>
      </c>
      <c r="C588" s="207" t="s">
        <v>1176</v>
      </c>
      <c r="D588" s="208" t="s">
        <v>585</v>
      </c>
      <c r="E588" s="209">
        <v>241.21</v>
      </c>
      <c r="F588" s="209">
        <v>4.22</v>
      </c>
      <c r="G588" s="209">
        <v>245.43</v>
      </c>
      <c r="H588" s="198"/>
    </row>
    <row r="589" spans="1:8" ht="15.75" hidden="1" customHeight="1" x14ac:dyDescent="0.25">
      <c r="A589" s="205" t="s">
        <v>964</v>
      </c>
      <c r="B589" s="206">
        <v>105335</v>
      </c>
      <c r="C589" s="207" t="s">
        <v>1177</v>
      </c>
      <c r="D589" s="208" t="s">
        <v>585</v>
      </c>
      <c r="E589" s="209">
        <v>367.24</v>
      </c>
      <c r="F589" s="209">
        <v>6.61</v>
      </c>
      <c r="G589" s="209">
        <v>373.85</v>
      </c>
      <c r="H589" s="198"/>
    </row>
    <row r="590" spans="1:8" ht="15.75" hidden="1" customHeight="1" x14ac:dyDescent="0.25">
      <c r="A590" s="205" t="s">
        <v>964</v>
      </c>
      <c r="B590" s="206">
        <v>105336</v>
      </c>
      <c r="C590" s="207" t="s">
        <v>1178</v>
      </c>
      <c r="D590" s="208" t="s">
        <v>585</v>
      </c>
      <c r="E590" s="209">
        <v>365.73</v>
      </c>
      <c r="F590" s="209">
        <v>5</v>
      </c>
      <c r="G590" s="209">
        <v>370.73</v>
      </c>
      <c r="H590" s="198"/>
    </row>
    <row r="591" spans="1:8" ht="15.75" hidden="1" customHeight="1" x14ac:dyDescent="0.25">
      <c r="A591" s="205" t="s">
        <v>964</v>
      </c>
      <c r="B591" s="206">
        <v>105337</v>
      </c>
      <c r="C591" s="207" t="s">
        <v>1179</v>
      </c>
      <c r="D591" s="208" t="s">
        <v>585</v>
      </c>
      <c r="E591" s="209">
        <v>519.73</v>
      </c>
      <c r="F591" s="209">
        <v>7.64</v>
      </c>
      <c r="G591" s="209">
        <v>527.37</v>
      </c>
      <c r="H591" s="198"/>
    </row>
    <row r="592" spans="1:8" ht="15.75" hidden="1" customHeight="1" x14ac:dyDescent="0.25">
      <c r="A592" s="205" t="s">
        <v>964</v>
      </c>
      <c r="B592" s="206">
        <v>105338</v>
      </c>
      <c r="C592" s="207" t="s">
        <v>1180</v>
      </c>
      <c r="D592" s="208" t="s">
        <v>585</v>
      </c>
      <c r="E592" s="209">
        <v>517.96</v>
      </c>
      <c r="F592" s="209">
        <v>5.81</v>
      </c>
      <c r="G592" s="209">
        <v>523.77</v>
      </c>
      <c r="H592" s="198"/>
    </row>
    <row r="593" spans="1:8" ht="15.75" hidden="1" customHeight="1" x14ac:dyDescent="0.25">
      <c r="A593" s="205" t="s">
        <v>964</v>
      </c>
      <c r="B593" s="206">
        <v>105329</v>
      </c>
      <c r="C593" s="207" t="s">
        <v>1181</v>
      </c>
      <c r="D593" s="208" t="s">
        <v>580</v>
      </c>
      <c r="E593" s="209">
        <v>76.45</v>
      </c>
      <c r="F593" s="209">
        <v>2.93</v>
      </c>
      <c r="G593" s="209">
        <v>79.38</v>
      </c>
      <c r="H593" s="198"/>
    </row>
    <row r="594" spans="1:8" ht="15.75" hidden="1" customHeight="1" x14ac:dyDescent="0.25">
      <c r="A594" s="205" t="s">
        <v>964</v>
      </c>
      <c r="B594" s="206">
        <v>105330</v>
      </c>
      <c r="C594" s="207" t="s">
        <v>1182</v>
      </c>
      <c r="D594" s="208" t="s">
        <v>580</v>
      </c>
      <c r="E594" s="209">
        <v>76.17</v>
      </c>
      <c r="F594" s="209">
        <v>2.37</v>
      </c>
      <c r="G594" s="209">
        <v>78.540000000000006</v>
      </c>
      <c r="H594" s="198"/>
    </row>
    <row r="595" spans="1:8" ht="15.75" hidden="1" customHeight="1" x14ac:dyDescent="0.25">
      <c r="A595" s="205" t="s">
        <v>964</v>
      </c>
      <c r="B595" s="206">
        <v>105260</v>
      </c>
      <c r="C595" s="207" t="s">
        <v>1183</v>
      </c>
      <c r="D595" s="208" t="s">
        <v>580</v>
      </c>
      <c r="E595" s="209">
        <v>23.98</v>
      </c>
      <c r="F595" s="209">
        <v>2.15</v>
      </c>
      <c r="G595" s="209">
        <v>26.13</v>
      </c>
      <c r="H595" s="198"/>
    </row>
    <row r="596" spans="1:8" ht="15.75" hidden="1" customHeight="1" x14ac:dyDescent="0.25">
      <c r="A596" s="205" t="s">
        <v>964</v>
      </c>
      <c r="B596" s="206">
        <v>105285</v>
      </c>
      <c r="C596" s="207" t="s">
        <v>1184</v>
      </c>
      <c r="D596" s="208" t="s">
        <v>580</v>
      </c>
      <c r="E596" s="209">
        <v>23.77</v>
      </c>
      <c r="F596" s="209">
        <v>1.74</v>
      </c>
      <c r="G596" s="209">
        <v>25.51</v>
      </c>
      <c r="H596" s="198"/>
    </row>
    <row r="597" spans="1:8" ht="15.75" hidden="1" customHeight="1" x14ac:dyDescent="0.25">
      <c r="A597" s="205" t="s">
        <v>964</v>
      </c>
      <c r="B597" s="206">
        <v>105327</v>
      </c>
      <c r="C597" s="207" t="s">
        <v>1185</v>
      </c>
      <c r="D597" s="208" t="s">
        <v>580</v>
      </c>
      <c r="E597" s="209">
        <v>46.22</v>
      </c>
      <c r="F597" s="209">
        <v>2.54</v>
      </c>
      <c r="G597" s="209">
        <v>48.76</v>
      </c>
      <c r="H597" s="198"/>
    </row>
    <row r="598" spans="1:8" ht="15.75" hidden="1" customHeight="1" x14ac:dyDescent="0.25">
      <c r="A598" s="205" t="s">
        <v>964</v>
      </c>
      <c r="B598" s="206">
        <v>105328</v>
      </c>
      <c r="C598" s="207" t="s">
        <v>1186</v>
      </c>
      <c r="D598" s="208" t="s">
        <v>580</v>
      </c>
      <c r="E598" s="209">
        <v>45.97</v>
      </c>
      <c r="F598" s="209">
        <v>2.06</v>
      </c>
      <c r="G598" s="209">
        <v>48.03</v>
      </c>
      <c r="H598" s="198"/>
    </row>
    <row r="599" spans="1:8" ht="15.75" hidden="1" customHeight="1" x14ac:dyDescent="0.25">
      <c r="A599" s="205" t="s">
        <v>964</v>
      </c>
      <c r="B599" s="206">
        <v>105377</v>
      </c>
      <c r="C599" s="207" t="s">
        <v>1187</v>
      </c>
      <c r="D599" s="208" t="s">
        <v>580</v>
      </c>
      <c r="E599" s="209">
        <v>39.409999999999997</v>
      </c>
      <c r="F599" s="209">
        <v>7.19</v>
      </c>
      <c r="G599" s="209">
        <v>46.6</v>
      </c>
      <c r="H599" s="198"/>
    </row>
    <row r="600" spans="1:8" ht="15.75" hidden="1" customHeight="1" x14ac:dyDescent="0.25">
      <c r="A600" s="205" t="s">
        <v>964</v>
      </c>
      <c r="B600" s="206">
        <v>105368</v>
      </c>
      <c r="C600" s="207" t="s">
        <v>1188</v>
      </c>
      <c r="D600" s="208" t="s">
        <v>580</v>
      </c>
      <c r="E600" s="209">
        <v>37.11</v>
      </c>
      <c r="F600" s="209">
        <v>5.49</v>
      </c>
      <c r="G600" s="209">
        <v>42.6</v>
      </c>
      <c r="H600" s="198"/>
    </row>
    <row r="601" spans="1:8" ht="15.75" hidden="1" customHeight="1" x14ac:dyDescent="0.25">
      <c r="A601" s="205" t="s">
        <v>964</v>
      </c>
      <c r="B601" s="206">
        <v>105369</v>
      </c>
      <c r="C601" s="207" t="s">
        <v>1189</v>
      </c>
      <c r="D601" s="208" t="s">
        <v>580</v>
      </c>
      <c r="E601" s="209">
        <v>63.25</v>
      </c>
      <c r="F601" s="209">
        <v>9.6</v>
      </c>
      <c r="G601" s="209">
        <v>72.849999999999994</v>
      </c>
      <c r="H601" s="198"/>
    </row>
    <row r="602" spans="1:8" ht="15.75" hidden="1" customHeight="1" x14ac:dyDescent="0.25">
      <c r="A602" s="205" t="s">
        <v>964</v>
      </c>
      <c r="B602" s="206">
        <v>105370</v>
      </c>
      <c r="C602" s="207" t="s">
        <v>1190</v>
      </c>
      <c r="D602" s="208" t="s">
        <v>580</v>
      </c>
      <c r="E602" s="209">
        <v>60.17</v>
      </c>
      <c r="F602" s="209">
        <v>7.33</v>
      </c>
      <c r="G602" s="209">
        <v>67.5</v>
      </c>
      <c r="H602" s="198"/>
    </row>
    <row r="603" spans="1:8" ht="15.75" hidden="1" customHeight="1" x14ac:dyDescent="0.25">
      <c r="A603" s="205" t="s">
        <v>1191</v>
      </c>
      <c r="B603" s="206">
        <v>92864</v>
      </c>
      <c r="C603" s="207" t="s">
        <v>1192</v>
      </c>
      <c r="D603" s="208" t="s">
        <v>585</v>
      </c>
      <c r="E603" s="209">
        <v>68.41</v>
      </c>
      <c r="F603" s="209">
        <v>25.03</v>
      </c>
      <c r="G603" s="209">
        <v>93.44</v>
      </c>
      <c r="H603" s="198"/>
    </row>
    <row r="604" spans="1:8" ht="15.75" hidden="1" customHeight="1" x14ac:dyDescent="0.25">
      <c r="A604" s="205" t="s">
        <v>1191</v>
      </c>
      <c r="B604" s="206">
        <v>92848</v>
      </c>
      <c r="C604" s="207" t="s">
        <v>1193</v>
      </c>
      <c r="D604" s="208" t="s">
        <v>585</v>
      </c>
      <c r="E604" s="209">
        <v>61.87</v>
      </c>
      <c r="F604" s="209">
        <v>20.45</v>
      </c>
      <c r="G604" s="209">
        <v>82.32</v>
      </c>
      <c r="H604" s="198"/>
    </row>
    <row r="605" spans="1:8" ht="15.75" hidden="1" customHeight="1" x14ac:dyDescent="0.25">
      <c r="A605" s="205" t="s">
        <v>1191</v>
      </c>
      <c r="B605" s="206">
        <v>92850</v>
      </c>
      <c r="C605" s="207" t="s">
        <v>1194</v>
      </c>
      <c r="D605" s="208" t="s">
        <v>585</v>
      </c>
      <c r="E605" s="209">
        <v>16.88</v>
      </c>
      <c r="F605" s="209">
        <v>6.25</v>
      </c>
      <c r="G605" s="209">
        <v>23.13</v>
      </c>
      <c r="H605" s="198"/>
    </row>
    <row r="606" spans="1:8" ht="15.75" hidden="1" customHeight="1" x14ac:dyDescent="0.25">
      <c r="A606" s="205" t="s">
        <v>1191</v>
      </c>
      <c r="B606" s="206">
        <v>92834</v>
      </c>
      <c r="C606" s="207" t="s">
        <v>1195</v>
      </c>
      <c r="D606" s="208" t="s">
        <v>585</v>
      </c>
      <c r="E606" s="209">
        <v>15.22</v>
      </c>
      <c r="F606" s="209">
        <v>5.1100000000000003</v>
      </c>
      <c r="G606" s="209">
        <v>20.329999999999998</v>
      </c>
      <c r="H606" s="198"/>
    </row>
    <row r="607" spans="1:8" ht="15.75" hidden="1" customHeight="1" x14ac:dyDescent="0.25">
      <c r="A607" s="205" t="s">
        <v>1191</v>
      </c>
      <c r="B607" s="206">
        <v>92852</v>
      </c>
      <c r="C607" s="207" t="s">
        <v>1196</v>
      </c>
      <c r="D607" s="208" t="s">
        <v>585</v>
      </c>
      <c r="E607" s="209">
        <v>22.23</v>
      </c>
      <c r="F607" s="209">
        <v>8.93</v>
      </c>
      <c r="G607" s="209">
        <v>31.16</v>
      </c>
      <c r="H607" s="198"/>
    </row>
    <row r="608" spans="1:8" ht="15.75" hidden="1" customHeight="1" x14ac:dyDescent="0.25">
      <c r="A608" s="205" t="s">
        <v>1191</v>
      </c>
      <c r="B608" s="206">
        <v>92836</v>
      </c>
      <c r="C608" s="207" t="s">
        <v>1197</v>
      </c>
      <c r="D608" s="208" t="s">
        <v>585</v>
      </c>
      <c r="E608" s="209">
        <v>19.88</v>
      </c>
      <c r="F608" s="209">
        <v>7.3</v>
      </c>
      <c r="G608" s="209">
        <v>27.18</v>
      </c>
      <c r="H608" s="198"/>
    </row>
    <row r="609" spans="1:8" ht="15.75" hidden="1" customHeight="1" x14ac:dyDescent="0.25">
      <c r="A609" s="205" t="s">
        <v>1191</v>
      </c>
      <c r="B609" s="206">
        <v>92854</v>
      </c>
      <c r="C609" s="207" t="s">
        <v>1198</v>
      </c>
      <c r="D609" s="208" t="s">
        <v>585</v>
      </c>
      <c r="E609" s="209">
        <v>27.89</v>
      </c>
      <c r="F609" s="209">
        <v>11.63</v>
      </c>
      <c r="G609" s="209">
        <v>39.520000000000003</v>
      </c>
      <c r="H609" s="198"/>
    </row>
    <row r="610" spans="1:8" ht="15.75" hidden="1" customHeight="1" x14ac:dyDescent="0.25">
      <c r="A610" s="205" t="s">
        <v>1191</v>
      </c>
      <c r="B610" s="206">
        <v>92838</v>
      </c>
      <c r="C610" s="207" t="s">
        <v>1199</v>
      </c>
      <c r="D610" s="208" t="s">
        <v>585</v>
      </c>
      <c r="E610" s="209">
        <v>24.85</v>
      </c>
      <c r="F610" s="209">
        <v>9.51</v>
      </c>
      <c r="G610" s="209">
        <v>34.36</v>
      </c>
      <c r="H610" s="198"/>
    </row>
    <row r="611" spans="1:8" ht="15.75" hidden="1" customHeight="1" x14ac:dyDescent="0.25">
      <c r="A611" s="205" t="s">
        <v>1191</v>
      </c>
      <c r="B611" s="206">
        <v>92856</v>
      </c>
      <c r="C611" s="207" t="s">
        <v>1200</v>
      </c>
      <c r="D611" s="208" t="s">
        <v>585</v>
      </c>
      <c r="E611" s="209">
        <v>33.82</v>
      </c>
      <c r="F611" s="209">
        <v>14.29</v>
      </c>
      <c r="G611" s="209">
        <v>48.11</v>
      </c>
      <c r="H611" s="198"/>
    </row>
    <row r="612" spans="1:8" ht="15.75" hidden="1" customHeight="1" x14ac:dyDescent="0.25">
      <c r="A612" s="205" t="s">
        <v>1191</v>
      </c>
      <c r="B612" s="206">
        <v>92840</v>
      </c>
      <c r="C612" s="207" t="s">
        <v>1201</v>
      </c>
      <c r="D612" s="208" t="s">
        <v>585</v>
      </c>
      <c r="E612" s="209">
        <v>30.08</v>
      </c>
      <c r="F612" s="209">
        <v>11.68</v>
      </c>
      <c r="G612" s="209">
        <v>41.76</v>
      </c>
      <c r="H612" s="198"/>
    </row>
    <row r="613" spans="1:8" ht="15.75" hidden="1" customHeight="1" x14ac:dyDescent="0.25">
      <c r="A613" s="205" t="s">
        <v>1191</v>
      </c>
      <c r="B613" s="206">
        <v>92858</v>
      </c>
      <c r="C613" s="207" t="s">
        <v>1202</v>
      </c>
      <c r="D613" s="208" t="s">
        <v>585</v>
      </c>
      <c r="E613" s="209">
        <v>42.5</v>
      </c>
      <c r="F613" s="209">
        <v>16.98</v>
      </c>
      <c r="G613" s="209">
        <v>59.48</v>
      </c>
      <c r="H613" s="198"/>
    </row>
    <row r="614" spans="1:8" ht="15.75" hidden="1" customHeight="1" x14ac:dyDescent="0.25">
      <c r="A614" s="205" t="s">
        <v>1191</v>
      </c>
      <c r="B614" s="206">
        <v>92842</v>
      </c>
      <c r="C614" s="207" t="s">
        <v>1203</v>
      </c>
      <c r="D614" s="208" t="s">
        <v>585</v>
      </c>
      <c r="E614" s="209">
        <v>38.03</v>
      </c>
      <c r="F614" s="209">
        <v>13.88</v>
      </c>
      <c r="G614" s="209">
        <v>51.91</v>
      </c>
      <c r="H614" s="198"/>
    </row>
    <row r="615" spans="1:8" ht="15.75" hidden="1" customHeight="1" x14ac:dyDescent="0.25">
      <c r="A615" s="205" t="s">
        <v>1191</v>
      </c>
      <c r="B615" s="206">
        <v>92860</v>
      </c>
      <c r="C615" s="207" t="s">
        <v>1204</v>
      </c>
      <c r="D615" s="208" t="s">
        <v>585</v>
      </c>
      <c r="E615" s="209">
        <v>50.53</v>
      </c>
      <c r="F615" s="209">
        <v>19.670000000000002</v>
      </c>
      <c r="G615" s="209">
        <v>70.2</v>
      </c>
      <c r="H615" s="198"/>
    </row>
    <row r="616" spans="1:8" ht="15.75" hidden="1" customHeight="1" x14ac:dyDescent="0.25">
      <c r="A616" s="205" t="s">
        <v>1191</v>
      </c>
      <c r="B616" s="206">
        <v>92844</v>
      </c>
      <c r="C616" s="207" t="s">
        <v>1205</v>
      </c>
      <c r="D616" s="208" t="s">
        <v>585</v>
      </c>
      <c r="E616" s="209">
        <v>45.38</v>
      </c>
      <c r="F616" s="209">
        <v>16.05</v>
      </c>
      <c r="G616" s="209">
        <v>61.43</v>
      </c>
      <c r="H616" s="198"/>
    </row>
    <row r="617" spans="1:8" ht="15.75" hidden="1" customHeight="1" x14ac:dyDescent="0.25">
      <c r="A617" s="205" t="s">
        <v>1191</v>
      </c>
      <c r="B617" s="206">
        <v>92862</v>
      </c>
      <c r="C617" s="207" t="s">
        <v>1206</v>
      </c>
      <c r="D617" s="208" t="s">
        <v>585</v>
      </c>
      <c r="E617" s="209">
        <v>57.96</v>
      </c>
      <c r="F617" s="209">
        <v>22.34</v>
      </c>
      <c r="G617" s="209">
        <v>80.3</v>
      </c>
      <c r="H617" s="198"/>
    </row>
    <row r="618" spans="1:8" ht="15.75" hidden="1" customHeight="1" x14ac:dyDescent="0.25">
      <c r="A618" s="205" t="s">
        <v>1191</v>
      </c>
      <c r="B618" s="206">
        <v>92846</v>
      </c>
      <c r="C618" s="207" t="s">
        <v>1207</v>
      </c>
      <c r="D618" s="208" t="s">
        <v>585</v>
      </c>
      <c r="E618" s="209">
        <v>52.09</v>
      </c>
      <c r="F618" s="209">
        <v>18.27</v>
      </c>
      <c r="G618" s="209">
        <v>70.36</v>
      </c>
      <c r="H618" s="198"/>
    </row>
    <row r="619" spans="1:8" ht="15.75" hidden="1" customHeight="1" x14ac:dyDescent="0.25">
      <c r="A619" s="205" t="s">
        <v>1191</v>
      </c>
      <c r="B619" s="206">
        <v>92828</v>
      </c>
      <c r="C619" s="207" t="s">
        <v>1208</v>
      </c>
      <c r="D619" s="208" t="s">
        <v>585</v>
      </c>
      <c r="E619" s="209">
        <v>73.13</v>
      </c>
      <c r="F619" s="209">
        <v>47.75</v>
      </c>
      <c r="G619" s="209">
        <v>120.88</v>
      </c>
      <c r="H619" s="198"/>
    </row>
    <row r="620" spans="1:8" ht="15.75" hidden="1" customHeight="1" x14ac:dyDescent="0.25">
      <c r="A620" s="205" t="s">
        <v>1191</v>
      </c>
      <c r="B620" s="206">
        <v>92815</v>
      </c>
      <c r="C620" s="207" t="s">
        <v>1209</v>
      </c>
      <c r="D620" s="208" t="s">
        <v>585</v>
      </c>
      <c r="E620" s="209">
        <v>66.55</v>
      </c>
      <c r="F620" s="209">
        <v>43.19</v>
      </c>
      <c r="G620" s="209">
        <v>109.74</v>
      </c>
      <c r="H620" s="198"/>
    </row>
    <row r="621" spans="1:8" ht="15.75" hidden="1" customHeight="1" x14ac:dyDescent="0.25">
      <c r="A621" s="205" t="s">
        <v>1191</v>
      </c>
      <c r="B621" s="206">
        <v>92830</v>
      </c>
      <c r="C621" s="207" t="s">
        <v>1210</v>
      </c>
      <c r="D621" s="208" t="s">
        <v>585</v>
      </c>
      <c r="E621" s="209">
        <v>90.66</v>
      </c>
      <c r="F621" s="209">
        <v>58.4</v>
      </c>
      <c r="G621" s="209">
        <v>149.06</v>
      </c>
      <c r="H621" s="198"/>
    </row>
    <row r="622" spans="1:8" ht="15.75" hidden="1" customHeight="1" x14ac:dyDescent="0.25">
      <c r="A622" s="205" t="s">
        <v>1191</v>
      </c>
      <c r="B622" s="206">
        <v>92817</v>
      </c>
      <c r="C622" s="207" t="s">
        <v>1211</v>
      </c>
      <c r="D622" s="208" t="s">
        <v>585</v>
      </c>
      <c r="E622" s="209">
        <v>82.7</v>
      </c>
      <c r="F622" s="209">
        <v>52.85</v>
      </c>
      <c r="G622" s="209">
        <v>135.55000000000001</v>
      </c>
      <c r="H622" s="198"/>
    </row>
    <row r="623" spans="1:8" ht="15.75" hidden="1" customHeight="1" x14ac:dyDescent="0.25">
      <c r="A623" s="205" t="s">
        <v>1191</v>
      </c>
      <c r="B623" s="206">
        <v>92832</v>
      </c>
      <c r="C623" s="207" t="s">
        <v>1212</v>
      </c>
      <c r="D623" s="208" t="s">
        <v>585</v>
      </c>
      <c r="E623" s="209">
        <v>118.42</v>
      </c>
      <c r="F623" s="209">
        <v>74.84</v>
      </c>
      <c r="G623" s="209">
        <v>193.26</v>
      </c>
      <c r="H623" s="198"/>
    </row>
    <row r="624" spans="1:8" ht="15.75" hidden="1" customHeight="1" x14ac:dyDescent="0.25">
      <c r="A624" s="205" t="s">
        <v>1191</v>
      </c>
      <c r="B624" s="206">
        <v>92819</v>
      </c>
      <c r="C624" s="207" t="s">
        <v>1213</v>
      </c>
      <c r="D624" s="208" t="s">
        <v>585</v>
      </c>
      <c r="E624" s="209">
        <v>108.34</v>
      </c>
      <c r="F624" s="209">
        <v>67.84</v>
      </c>
      <c r="G624" s="209">
        <v>176.18</v>
      </c>
      <c r="H624" s="198"/>
    </row>
    <row r="625" spans="1:8" ht="15.75" hidden="1" customHeight="1" x14ac:dyDescent="0.25">
      <c r="A625" s="205" t="s">
        <v>1191</v>
      </c>
      <c r="B625" s="206">
        <v>92820</v>
      </c>
      <c r="C625" s="207" t="s">
        <v>1214</v>
      </c>
      <c r="D625" s="208" t="s">
        <v>585</v>
      </c>
      <c r="E625" s="209">
        <v>18.170000000000002</v>
      </c>
      <c r="F625" s="209">
        <v>12.49</v>
      </c>
      <c r="G625" s="209">
        <v>30.66</v>
      </c>
      <c r="H625" s="198"/>
    </row>
    <row r="626" spans="1:8" ht="15.75" hidden="1" customHeight="1" x14ac:dyDescent="0.25">
      <c r="A626" s="205" t="s">
        <v>1191</v>
      </c>
      <c r="B626" s="206">
        <v>92808</v>
      </c>
      <c r="C626" s="207" t="s">
        <v>1215</v>
      </c>
      <c r="D626" s="208" t="s">
        <v>585</v>
      </c>
      <c r="E626" s="209">
        <v>16.510000000000002</v>
      </c>
      <c r="F626" s="209">
        <v>11.34</v>
      </c>
      <c r="G626" s="209">
        <v>27.85</v>
      </c>
      <c r="H626" s="198"/>
    </row>
    <row r="627" spans="1:8" ht="15.75" hidden="1" customHeight="1" x14ac:dyDescent="0.25">
      <c r="A627" s="205" t="s">
        <v>1191</v>
      </c>
      <c r="B627" s="206">
        <v>92821</v>
      </c>
      <c r="C627" s="207" t="s">
        <v>1216</v>
      </c>
      <c r="D627" s="208" t="s">
        <v>585</v>
      </c>
      <c r="E627" s="209">
        <v>25.38</v>
      </c>
      <c r="F627" s="209">
        <v>17.309999999999999</v>
      </c>
      <c r="G627" s="209">
        <v>42.69</v>
      </c>
      <c r="H627" s="198"/>
    </row>
    <row r="628" spans="1:8" ht="15.75" hidden="1" customHeight="1" x14ac:dyDescent="0.25">
      <c r="A628" s="205" t="s">
        <v>1191</v>
      </c>
      <c r="B628" s="206">
        <v>92809</v>
      </c>
      <c r="C628" s="207" t="s">
        <v>1217</v>
      </c>
      <c r="D628" s="208" t="s">
        <v>585</v>
      </c>
      <c r="E628" s="209">
        <v>23.03</v>
      </c>
      <c r="F628" s="209">
        <v>15.68</v>
      </c>
      <c r="G628" s="209">
        <v>38.71</v>
      </c>
      <c r="H628" s="198"/>
    </row>
    <row r="629" spans="1:8" ht="15.75" hidden="1" customHeight="1" x14ac:dyDescent="0.25">
      <c r="A629" s="205" t="s">
        <v>1191</v>
      </c>
      <c r="B629" s="206">
        <v>92822</v>
      </c>
      <c r="C629" s="207" t="s">
        <v>1218</v>
      </c>
      <c r="D629" s="208" t="s">
        <v>585</v>
      </c>
      <c r="E629" s="209">
        <v>32.840000000000003</v>
      </c>
      <c r="F629" s="209">
        <v>22.25</v>
      </c>
      <c r="G629" s="209">
        <v>55.09</v>
      </c>
      <c r="H629" s="198"/>
    </row>
    <row r="630" spans="1:8" ht="15.75" hidden="1" customHeight="1" x14ac:dyDescent="0.25">
      <c r="A630" s="205" t="s">
        <v>1191</v>
      </c>
      <c r="B630" s="206">
        <v>92810</v>
      </c>
      <c r="C630" s="207" t="s">
        <v>1219</v>
      </c>
      <c r="D630" s="208" t="s">
        <v>585</v>
      </c>
      <c r="E630" s="209">
        <v>29.8</v>
      </c>
      <c r="F630" s="209">
        <v>20.12</v>
      </c>
      <c r="G630" s="209">
        <v>49.92</v>
      </c>
      <c r="H630" s="198"/>
    </row>
    <row r="631" spans="1:8" ht="15.75" hidden="1" customHeight="1" x14ac:dyDescent="0.25">
      <c r="A631" s="205" t="s">
        <v>1191</v>
      </c>
      <c r="B631" s="206">
        <v>92824</v>
      </c>
      <c r="C631" s="207" t="s">
        <v>1220</v>
      </c>
      <c r="D631" s="208" t="s">
        <v>585</v>
      </c>
      <c r="E631" s="209">
        <v>40.479999999999997</v>
      </c>
      <c r="F631" s="209">
        <v>27.22</v>
      </c>
      <c r="G631" s="209">
        <v>67.7</v>
      </c>
      <c r="H631" s="198"/>
    </row>
    <row r="632" spans="1:8" ht="15.75" hidden="1" customHeight="1" x14ac:dyDescent="0.25">
      <c r="A632" s="205" t="s">
        <v>1191</v>
      </c>
      <c r="B632" s="206">
        <v>92811</v>
      </c>
      <c r="C632" s="207" t="s">
        <v>1221</v>
      </c>
      <c r="D632" s="208" t="s">
        <v>585</v>
      </c>
      <c r="E632" s="209">
        <v>36.75</v>
      </c>
      <c r="F632" s="209">
        <v>24.6</v>
      </c>
      <c r="G632" s="209">
        <v>61.35</v>
      </c>
      <c r="H632" s="198"/>
    </row>
    <row r="633" spans="1:8" ht="15.75" hidden="1" customHeight="1" x14ac:dyDescent="0.25">
      <c r="A633" s="205" t="s">
        <v>1191</v>
      </c>
      <c r="B633" s="206">
        <v>92825</v>
      </c>
      <c r="C633" s="207" t="s">
        <v>1222</v>
      </c>
      <c r="D633" s="208" t="s">
        <v>585</v>
      </c>
      <c r="E633" s="209">
        <v>48.35</v>
      </c>
      <c r="F633" s="209">
        <v>32.25</v>
      </c>
      <c r="G633" s="209">
        <v>80.599999999999994</v>
      </c>
      <c r="H633" s="198"/>
    </row>
    <row r="634" spans="1:8" ht="15.75" hidden="1" customHeight="1" x14ac:dyDescent="0.25">
      <c r="A634" s="205" t="s">
        <v>1191</v>
      </c>
      <c r="B634" s="206">
        <v>92812</v>
      </c>
      <c r="C634" s="207" t="s">
        <v>1223</v>
      </c>
      <c r="D634" s="208" t="s">
        <v>585</v>
      </c>
      <c r="E634" s="209">
        <v>43.91</v>
      </c>
      <c r="F634" s="209">
        <v>29.14</v>
      </c>
      <c r="G634" s="209">
        <v>73.05</v>
      </c>
      <c r="H634" s="198"/>
    </row>
    <row r="635" spans="1:8" ht="15.75" hidden="1" customHeight="1" x14ac:dyDescent="0.25">
      <c r="A635" s="205" t="s">
        <v>1191</v>
      </c>
      <c r="B635" s="206">
        <v>92826</v>
      </c>
      <c r="C635" s="207" t="s">
        <v>1224</v>
      </c>
      <c r="D635" s="208" t="s">
        <v>585</v>
      </c>
      <c r="E635" s="209">
        <v>56.39</v>
      </c>
      <c r="F635" s="209">
        <v>37.369999999999997</v>
      </c>
      <c r="G635" s="209">
        <v>93.76</v>
      </c>
      <c r="H635" s="198"/>
    </row>
    <row r="636" spans="1:8" ht="15.75" hidden="1" customHeight="1" x14ac:dyDescent="0.25">
      <c r="A636" s="205" t="s">
        <v>1191</v>
      </c>
      <c r="B636" s="206">
        <v>92813</v>
      </c>
      <c r="C636" s="207" t="s">
        <v>1225</v>
      </c>
      <c r="D636" s="208" t="s">
        <v>585</v>
      </c>
      <c r="E636" s="209">
        <v>51.26</v>
      </c>
      <c r="F636" s="209">
        <v>33.770000000000003</v>
      </c>
      <c r="G636" s="209">
        <v>85.03</v>
      </c>
      <c r="H636" s="198"/>
    </row>
    <row r="637" spans="1:8" ht="15.75" hidden="1" customHeight="1" x14ac:dyDescent="0.25">
      <c r="A637" s="205" t="s">
        <v>1191</v>
      </c>
      <c r="B637" s="206">
        <v>92827</v>
      </c>
      <c r="C637" s="207" t="s">
        <v>1226</v>
      </c>
      <c r="D637" s="208" t="s">
        <v>585</v>
      </c>
      <c r="E637" s="209">
        <v>64.7</v>
      </c>
      <c r="F637" s="209">
        <v>42.54</v>
      </c>
      <c r="G637" s="209">
        <v>107.24</v>
      </c>
      <c r="H637" s="198"/>
    </row>
    <row r="638" spans="1:8" ht="15.75" hidden="1" customHeight="1" x14ac:dyDescent="0.25">
      <c r="A638" s="205" t="s">
        <v>1191</v>
      </c>
      <c r="B638" s="206">
        <v>92814</v>
      </c>
      <c r="C638" s="207" t="s">
        <v>1227</v>
      </c>
      <c r="D638" s="208" t="s">
        <v>585</v>
      </c>
      <c r="E638" s="209">
        <v>58.82</v>
      </c>
      <c r="F638" s="209">
        <v>38.46</v>
      </c>
      <c r="G638" s="209">
        <v>97.28</v>
      </c>
      <c r="H638" s="198"/>
    </row>
    <row r="639" spans="1:8" ht="15.75" hidden="1" customHeight="1" x14ac:dyDescent="0.25">
      <c r="A639" s="205" t="s">
        <v>1191</v>
      </c>
      <c r="B639" s="206">
        <v>95570</v>
      </c>
      <c r="C639" s="207" t="s">
        <v>1228</v>
      </c>
      <c r="D639" s="208" t="s">
        <v>585</v>
      </c>
      <c r="E639" s="209">
        <v>50.62</v>
      </c>
      <c r="F639" s="209">
        <v>12.48</v>
      </c>
      <c r="G639" s="209">
        <v>63.1</v>
      </c>
      <c r="H639" s="198"/>
    </row>
    <row r="640" spans="1:8" ht="15.75" hidden="1" customHeight="1" x14ac:dyDescent="0.25">
      <c r="A640" s="205" t="s">
        <v>1191</v>
      </c>
      <c r="B640" s="206">
        <v>95567</v>
      </c>
      <c r="C640" s="207" t="s">
        <v>1229</v>
      </c>
      <c r="D640" s="208" t="s">
        <v>585</v>
      </c>
      <c r="E640" s="209">
        <v>48.95</v>
      </c>
      <c r="F640" s="209">
        <v>11.34</v>
      </c>
      <c r="G640" s="209">
        <v>60.29</v>
      </c>
      <c r="H640" s="198"/>
    </row>
    <row r="641" spans="1:8" ht="15.75" hidden="1" customHeight="1" x14ac:dyDescent="0.25">
      <c r="A641" s="205" t="s">
        <v>1191</v>
      </c>
      <c r="B641" s="206">
        <v>95571</v>
      </c>
      <c r="C641" s="207" t="s">
        <v>1230</v>
      </c>
      <c r="D641" s="208" t="s">
        <v>585</v>
      </c>
      <c r="E641" s="209">
        <v>63.7</v>
      </c>
      <c r="F641" s="209">
        <v>17.32</v>
      </c>
      <c r="G641" s="209">
        <v>81.02</v>
      </c>
      <c r="H641" s="198"/>
    </row>
    <row r="642" spans="1:8" ht="15.75" hidden="1" customHeight="1" x14ac:dyDescent="0.25">
      <c r="A642" s="205" t="s">
        <v>1191</v>
      </c>
      <c r="B642" s="206">
        <v>95568</v>
      </c>
      <c r="C642" s="207" t="s">
        <v>1231</v>
      </c>
      <c r="D642" s="208" t="s">
        <v>585</v>
      </c>
      <c r="E642" s="209">
        <v>61.37</v>
      </c>
      <c r="F642" s="209">
        <v>15.67</v>
      </c>
      <c r="G642" s="209">
        <v>77.040000000000006</v>
      </c>
      <c r="H642" s="198"/>
    </row>
    <row r="643" spans="1:8" ht="15.75" hidden="1" customHeight="1" x14ac:dyDescent="0.25">
      <c r="A643" s="205" t="s">
        <v>1191</v>
      </c>
      <c r="B643" s="206">
        <v>95572</v>
      </c>
      <c r="C643" s="207" t="s">
        <v>1232</v>
      </c>
      <c r="D643" s="208" t="s">
        <v>585</v>
      </c>
      <c r="E643" s="209">
        <v>89.9</v>
      </c>
      <c r="F643" s="209">
        <v>22.25</v>
      </c>
      <c r="G643" s="209">
        <v>112.15</v>
      </c>
      <c r="H643" s="198"/>
    </row>
    <row r="644" spans="1:8" ht="15.75" hidden="1" customHeight="1" x14ac:dyDescent="0.25">
      <c r="A644" s="205" t="s">
        <v>1191</v>
      </c>
      <c r="B644" s="206">
        <v>95569</v>
      </c>
      <c r="C644" s="207" t="s">
        <v>1233</v>
      </c>
      <c r="D644" s="208" t="s">
        <v>585</v>
      </c>
      <c r="E644" s="209">
        <v>86.85</v>
      </c>
      <c r="F644" s="209">
        <v>20.13</v>
      </c>
      <c r="G644" s="209">
        <v>106.98</v>
      </c>
      <c r="H644" s="198"/>
    </row>
    <row r="645" spans="1:8" ht="15.75" hidden="1" customHeight="1" x14ac:dyDescent="0.25">
      <c r="A645" s="205" t="s">
        <v>1191</v>
      </c>
      <c r="B645" s="206">
        <v>92863</v>
      </c>
      <c r="C645" s="207" t="s">
        <v>1234</v>
      </c>
      <c r="D645" s="208" t="s">
        <v>585</v>
      </c>
      <c r="E645" s="209">
        <v>1052.5899999999999</v>
      </c>
      <c r="F645" s="209">
        <v>25</v>
      </c>
      <c r="G645" s="209">
        <v>1077.5899999999999</v>
      </c>
      <c r="H645" s="198"/>
    </row>
    <row r="646" spans="1:8" ht="15.75" hidden="1" customHeight="1" x14ac:dyDescent="0.25">
      <c r="A646" s="205" t="s">
        <v>1191</v>
      </c>
      <c r="B646" s="206">
        <v>92847</v>
      </c>
      <c r="C646" s="207" t="s">
        <v>1235</v>
      </c>
      <c r="D646" s="208" t="s">
        <v>585</v>
      </c>
      <c r="E646" s="209">
        <v>1046</v>
      </c>
      <c r="F646" s="209">
        <v>20.47</v>
      </c>
      <c r="G646" s="209">
        <v>1066.47</v>
      </c>
      <c r="H646" s="198"/>
    </row>
    <row r="647" spans="1:8" ht="15.75" hidden="1" customHeight="1" x14ac:dyDescent="0.25">
      <c r="A647" s="205" t="s">
        <v>1191</v>
      </c>
      <c r="B647" s="206">
        <v>92849</v>
      </c>
      <c r="C647" s="207" t="s">
        <v>1236</v>
      </c>
      <c r="D647" s="208" t="s">
        <v>585</v>
      </c>
      <c r="E647" s="209">
        <v>222.78</v>
      </c>
      <c r="F647" s="209">
        <v>6.25</v>
      </c>
      <c r="G647" s="209">
        <v>229.03</v>
      </c>
      <c r="H647" s="198"/>
    </row>
    <row r="648" spans="1:8" ht="15.75" hidden="1" customHeight="1" x14ac:dyDescent="0.25">
      <c r="A648" s="205" t="s">
        <v>1191</v>
      </c>
      <c r="B648" s="206">
        <v>92833</v>
      </c>
      <c r="C648" s="207" t="s">
        <v>1237</v>
      </c>
      <c r="D648" s="208" t="s">
        <v>585</v>
      </c>
      <c r="E648" s="209">
        <v>221.12</v>
      </c>
      <c r="F648" s="209">
        <v>5.1100000000000003</v>
      </c>
      <c r="G648" s="209">
        <v>226.23</v>
      </c>
      <c r="H648" s="198"/>
    </row>
    <row r="649" spans="1:8" ht="15.75" hidden="1" customHeight="1" x14ac:dyDescent="0.25">
      <c r="A649" s="205" t="s">
        <v>1191</v>
      </c>
      <c r="B649" s="206">
        <v>92851</v>
      </c>
      <c r="C649" s="207" t="s">
        <v>1238</v>
      </c>
      <c r="D649" s="208" t="s">
        <v>585</v>
      </c>
      <c r="E649" s="209">
        <v>233.41</v>
      </c>
      <c r="F649" s="209">
        <v>8.94</v>
      </c>
      <c r="G649" s="209">
        <v>242.35</v>
      </c>
      <c r="H649" s="198"/>
    </row>
    <row r="650" spans="1:8" ht="15.75" hidden="1" customHeight="1" x14ac:dyDescent="0.25">
      <c r="A650" s="205" t="s">
        <v>1191</v>
      </c>
      <c r="B650" s="206">
        <v>92835</v>
      </c>
      <c r="C650" s="207" t="s">
        <v>1239</v>
      </c>
      <c r="D650" s="208" t="s">
        <v>585</v>
      </c>
      <c r="E650" s="209">
        <v>231.06</v>
      </c>
      <c r="F650" s="209">
        <v>7.31</v>
      </c>
      <c r="G650" s="209">
        <v>238.37</v>
      </c>
      <c r="H650" s="198"/>
    </row>
    <row r="651" spans="1:8" ht="15.75" hidden="1" customHeight="1" x14ac:dyDescent="0.25">
      <c r="A651" s="205" t="s">
        <v>1191</v>
      </c>
      <c r="B651" s="206">
        <v>92853</v>
      </c>
      <c r="C651" s="207" t="s">
        <v>1240</v>
      </c>
      <c r="D651" s="208" t="s">
        <v>585</v>
      </c>
      <c r="E651" s="209">
        <v>418.56</v>
      </c>
      <c r="F651" s="209">
        <v>11.65</v>
      </c>
      <c r="G651" s="209">
        <v>430.21</v>
      </c>
      <c r="H651" s="198"/>
    </row>
    <row r="652" spans="1:8" ht="15.75" hidden="1" customHeight="1" x14ac:dyDescent="0.25">
      <c r="A652" s="205" t="s">
        <v>1191</v>
      </c>
      <c r="B652" s="206">
        <v>92837</v>
      </c>
      <c r="C652" s="207" t="s">
        <v>1241</v>
      </c>
      <c r="D652" s="208" t="s">
        <v>585</v>
      </c>
      <c r="E652" s="209">
        <v>415.53</v>
      </c>
      <c r="F652" s="209">
        <v>9.52</v>
      </c>
      <c r="G652" s="209">
        <v>425.05</v>
      </c>
      <c r="H652" s="198"/>
    </row>
    <row r="653" spans="1:8" ht="15.75" hidden="1" customHeight="1" x14ac:dyDescent="0.25">
      <c r="A653" s="205" t="s">
        <v>1191</v>
      </c>
      <c r="B653" s="206">
        <v>92855</v>
      </c>
      <c r="C653" s="207" t="s">
        <v>1242</v>
      </c>
      <c r="D653" s="208" t="s">
        <v>585</v>
      </c>
      <c r="E653" s="209">
        <v>513.22</v>
      </c>
      <c r="F653" s="209">
        <v>14.29</v>
      </c>
      <c r="G653" s="209">
        <v>527.51</v>
      </c>
      <c r="H653" s="198"/>
    </row>
    <row r="654" spans="1:8" ht="15.75" hidden="1" customHeight="1" x14ac:dyDescent="0.25">
      <c r="A654" s="205" t="s">
        <v>1191</v>
      </c>
      <c r="B654" s="206">
        <v>92839</v>
      </c>
      <c r="C654" s="207" t="s">
        <v>1243</v>
      </c>
      <c r="D654" s="208" t="s">
        <v>585</v>
      </c>
      <c r="E654" s="209">
        <v>509.49</v>
      </c>
      <c r="F654" s="209">
        <v>11.67</v>
      </c>
      <c r="G654" s="209">
        <v>521.16</v>
      </c>
      <c r="H654" s="198"/>
    </row>
    <row r="655" spans="1:8" ht="15.75" hidden="1" customHeight="1" x14ac:dyDescent="0.25">
      <c r="A655" s="205" t="s">
        <v>1191</v>
      </c>
      <c r="B655" s="206">
        <v>92857</v>
      </c>
      <c r="C655" s="207" t="s">
        <v>1244</v>
      </c>
      <c r="D655" s="208" t="s">
        <v>585</v>
      </c>
      <c r="E655" s="209">
        <v>668.65</v>
      </c>
      <c r="F655" s="209">
        <v>17</v>
      </c>
      <c r="G655" s="209">
        <v>685.65</v>
      </c>
      <c r="H655" s="198"/>
    </row>
    <row r="656" spans="1:8" ht="15.75" hidden="1" customHeight="1" x14ac:dyDescent="0.25">
      <c r="A656" s="205" t="s">
        <v>1191</v>
      </c>
      <c r="B656" s="206">
        <v>92841</v>
      </c>
      <c r="C656" s="207" t="s">
        <v>1245</v>
      </c>
      <c r="D656" s="208" t="s">
        <v>585</v>
      </c>
      <c r="E656" s="209">
        <v>664.18</v>
      </c>
      <c r="F656" s="209">
        <v>13.9</v>
      </c>
      <c r="G656" s="209">
        <v>678.08</v>
      </c>
      <c r="H656" s="198"/>
    </row>
    <row r="657" spans="1:8" ht="15.75" hidden="1" customHeight="1" x14ac:dyDescent="0.25">
      <c r="A657" s="205" t="s">
        <v>1191</v>
      </c>
      <c r="B657" s="206">
        <v>92859</v>
      </c>
      <c r="C657" s="207" t="s">
        <v>1246</v>
      </c>
      <c r="D657" s="208" t="s">
        <v>585</v>
      </c>
      <c r="E657" s="209">
        <v>690.54</v>
      </c>
      <c r="F657" s="209">
        <v>19.670000000000002</v>
      </c>
      <c r="G657" s="209">
        <v>710.21</v>
      </c>
      <c r="H657" s="198"/>
    </row>
    <row r="658" spans="1:8" ht="15.75" hidden="1" customHeight="1" x14ac:dyDescent="0.25">
      <c r="A658" s="205" t="s">
        <v>1191</v>
      </c>
      <c r="B658" s="206">
        <v>92843</v>
      </c>
      <c r="C658" s="207" t="s">
        <v>1247</v>
      </c>
      <c r="D658" s="208" t="s">
        <v>585</v>
      </c>
      <c r="E658" s="209">
        <v>685.38</v>
      </c>
      <c r="F658" s="209">
        <v>16.059999999999999</v>
      </c>
      <c r="G658" s="209">
        <v>701.44</v>
      </c>
      <c r="H658" s="198"/>
    </row>
    <row r="659" spans="1:8" ht="15.75" hidden="1" customHeight="1" x14ac:dyDescent="0.25">
      <c r="A659" s="205" t="s">
        <v>1191</v>
      </c>
      <c r="B659" s="206">
        <v>92861</v>
      </c>
      <c r="C659" s="207" t="s">
        <v>1248</v>
      </c>
      <c r="D659" s="208" t="s">
        <v>585</v>
      </c>
      <c r="E659" s="209">
        <v>1028.3399999999999</v>
      </c>
      <c r="F659" s="209">
        <v>22.38</v>
      </c>
      <c r="G659" s="209">
        <v>1050.72</v>
      </c>
      <c r="H659" s="198"/>
    </row>
    <row r="660" spans="1:8" ht="15.75" hidden="1" customHeight="1" x14ac:dyDescent="0.25">
      <c r="A660" s="205" t="s">
        <v>1191</v>
      </c>
      <c r="B660" s="206">
        <v>92845</v>
      </c>
      <c r="C660" s="207" t="s">
        <v>1249</v>
      </c>
      <c r="D660" s="208" t="s">
        <v>585</v>
      </c>
      <c r="E660" s="209">
        <v>1022.47</v>
      </c>
      <c r="F660" s="209">
        <v>18.309999999999999</v>
      </c>
      <c r="G660" s="209">
        <v>1040.78</v>
      </c>
      <c r="H660" s="198"/>
    </row>
    <row r="661" spans="1:8" ht="15.75" hidden="1" customHeight="1" x14ac:dyDescent="0.25">
      <c r="A661" s="205" t="s">
        <v>1191</v>
      </c>
      <c r="B661" s="206">
        <v>92226</v>
      </c>
      <c r="C661" s="207" t="s">
        <v>1250</v>
      </c>
      <c r="D661" s="208" t="s">
        <v>585</v>
      </c>
      <c r="E661" s="209">
        <v>563.08000000000004</v>
      </c>
      <c r="F661" s="209">
        <v>47.76</v>
      </c>
      <c r="G661" s="209">
        <v>610.84</v>
      </c>
      <c r="H661" s="198"/>
    </row>
    <row r="662" spans="1:8" ht="15.75" hidden="1" customHeight="1" x14ac:dyDescent="0.25">
      <c r="A662" s="205" t="s">
        <v>1191</v>
      </c>
      <c r="B662" s="206">
        <v>92216</v>
      </c>
      <c r="C662" s="207" t="s">
        <v>1251</v>
      </c>
      <c r="D662" s="208" t="s">
        <v>585</v>
      </c>
      <c r="E662" s="209">
        <v>556.53</v>
      </c>
      <c r="F662" s="209">
        <v>43.17</v>
      </c>
      <c r="G662" s="209">
        <v>599.70000000000005</v>
      </c>
      <c r="H662" s="198"/>
    </row>
    <row r="663" spans="1:8" ht="15.75" hidden="1" customHeight="1" x14ac:dyDescent="0.25">
      <c r="A663" s="205" t="s">
        <v>1191</v>
      </c>
      <c r="B663" s="206">
        <v>92829</v>
      </c>
      <c r="C663" s="207" t="s">
        <v>1252</v>
      </c>
      <c r="D663" s="208" t="s">
        <v>585</v>
      </c>
      <c r="E663" s="209">
        <v>822.45</v>
      </c>
      <c r="F663" s="209">
        <v>58.39</v>
      </c>
      <c r="G663" s="209">
        <v>880.84</v>
      </c>
      <c r="H663" s="198"/>
    </row>
    <row r="664" spans="1:8" ht="15.75" hidden="1" customHeight="1" x14ac:dyDescent="0.25">
      <c r="A664" s="205" t="s">
        <v>1191</v>
      </c>
      <c r="B664" s="206">
        <v>92816</v>
      </c>
      <c r="C664" s="207" t="s">
        <v>1253</v>
      </c>
      <c r="D664" s="208" t="s">
        <v>585</v>
      </c>
      <c r="E664" s="209">
        <v>814.51</v>
      </c>
      <c r="F664" s="209">
        <v>52.82</v>
      </c>
      <c r="G664" s="209">
        <v>867.33</v>
      </c>
      <c r="H664" s="198"/>
    </row>
    <row r="665" spans="1:8" ht="15.75" hidden="1" customHeight="1" x14ac:dyDescent="0.25">
      <c r="A665" s="205" t="s">
        <v>1191</v>
      </c>
      <c r="B665" s="206">
        <v>92831</v>
      </c>
      <c r="C665" s="207" t="s">
        <v>1254</v>
      </c>
      <c r="D665" s="208" t="s">
        <v>585</v>
      </c>
      <c r="E665" s="209">
        <v>1178.6099999999999</v>
      </c>
      <c r="F665" s="209">
        <v>74.83</v>
      </c>
      <c r="G665" s="209">
        <v>1253.44</v>
      </c>
      <c r="H665" s="198"/>
    </row>
    <row r="666" spans="1:8" ht="15.75" hidden="1" customHeight="1" x14ac:dyDescent="0.25">
      <c r="A666" s="205" t="s">
        <v>1191</v>
      </c>
      <c r="B666" s="206">
        <v>92818</v>
      </c>
      <c r="C666" s="207" t="s">
        <v>1255</v>
      </c>
      <c r="D666" s="208" t="s">
        <v>585</v>
      </c>
      <c r="E666" s="209">
        <v>1168.49</v>
      </c>
      <c r="F666" s="209">
        <v>67.87</v>
      </c>
      <c r="G666" s="209">
        <v>1236.3599999999999</v>
      </c>
      <c r="H666" s="198"/>
    </row>
    <row r="667" spans="1:8" ht="15.75" hidden="1" customHeight="1" x14ac:dyDescent="0.25">
      <c r="A667" s="205" t="s">
        <v>1191</v>
      </c>
      <c r="B667" s="206">
        <v>95566</v>
      </c>
      <c r="C667" s="207" t="s">
        <v>1256</v>
      </c>
      <c r="D667" s="208" t="s">
        <v>585</v>
      </c>
      <c r="E667" s="209">
        <v>133.26</v>
      </c>
      <c r="F667" s="209">
        <v>12.49</v>
      </c>
      <c r="G667" s="209">
        <v>145.75</v>
      </c>
      <c r="H667" s="198"/>
    </row>
    <row r="668" spans="1:8" ht="15.75" hidden="1" customHeight="1" x14ac:dyDescent="0.25">
      <c r="A668" s="205" t="s">
        <v>1191</v>
      </c>
      <c r="B668" s="206">
        <v>95565</v>
      </c>
      <c r="C668" s="207" t="s">
        <v>1257</v>
      </c>
      <c r="D668" s="208" t="s">
        <v>585</v>
      </c>
      <c r="E668" s="209">
        <v>131.61000000000001</v>
      </c>
      <c r="F668" s="209">
        <v>11.33</v>
      </c>
      <c r="G668" s="209">
        <v>142.94</v>
      </c>
      <c r="H668" s="198"/>
    </row>
    <row r="669" spans="1:8" ht="15.75" hidden="1" customHeight="1" x14ac:dyDescent="0.25">
      <c r="A669" s="205" t="s">
        <v>1191</v>
      </c>
      <c r="B669" s="206">
        <v>92219</v>
      </c>
      <c r="C669" s="207" t="s">
        <v>1258</v>
      </c>
      <c r="D669" s="208" t="s">
        <v>585</v>
      </c>
      <c r="E669" s="209">
        <v>155.25</v>
      </c>
      <c r="F669" s="209">
        <v>17.32</v>
      </c>
      <c r="G669" s="209">
        <v>172.57</v>
      </c>
      <c r="H669" s="198"/>
    </row>
    <row r="670" spans="1:8" ht="15.75" hidden="1" customHeight="1" x14ac:dyDescent="0.25">
      <c r="A670" s="205" t="s">
        <v>1191</v>
      </c>
      <c r="B670" s="206">
        <v>92210</v>
      </c>
      <c r="C670" s="207" t="s">
        <v>1259</v>
      </c>
      <c r="D670" s="208" t="s">
        <v>585</v>
      </c>
      <c r="E670" s="209">
        <v>152.91999999999999</v>
      </c>
      <c r="F670" s="209">
        <v>15.67</v>
      </c>
      <c r="G670" s="209">
        <v>168.59</v>
      </c>
      <c r="H670" s="198"/>
    </row>
    <row r="671" spans="1:8" ht="15.75" hidden="1" customHeight="1" x14ac:dyDescent="0.25">
      <c r="A671" s="205" t="s">
        <v>1191</v>
      </c>
      <c r="B671" s="206">
        <v>92220</v>
      </c>
      <c r="C671" s="207" t="s">
        <v>1260</v>
      </c>
      <c r="D671" s="208" t="s">
        <v>585</v>
      </c>
      <c r="E671" s="209">
        <v>188.06</v>
      </c>
      <c r="F671" s="209">
        <v>22.25</v>
      </c>
      <c r="G671" s="209">
        <v>210.31</v>
      </c>
      <c r="H671" s="198"/>
    </row>
    <row r="672" spans="1:8" ht="15.75" hidden="1" customHeight="1" x14ac:dyDescent="0.25">
      <c r="A672" s="205" t="s">
        <v>1191</v>
      </c>
      <c r="B672" s="206">
        <v>92211</v>
      </c>
      <c r="C672" s="207" t="s">
        <v>1261</v>
      </c>
      <c r="D672" s="208" t="s">
        <v>585</v>
      </c>
      <c r="E672" s="209">
        <v>185.02</v>
      </c>
      <c r="F672" s="209">
        <v>20.12</v>
      </c>
      <c r="G672" s="209">
        <v>205.14</v>
      </c>
      <c r="H672" s="198"/>
    </row>
    <row r="673" spans="1:8" ht="15.75" hidden="1" customHeight="1" x14ac:dyDescent="0.25">
      <c r="A673" s="205" t="s">
        <v>1191</v>
      </c>
      <c r="B673" s="206">
        <v>92221</v>
      </c>
      <c r="C673" s="207" t="s">
        <v>1262</v>
      </c>
      <c r="D673" s="208" t="s">
        <v>585</v>
      </c>
      <c r="E673" s="209">
        <v>291.81</v>
      </c>
      <c r="F673" s="209">
        <v>27.21</v>
      </c>
      <c r="G673" s="209">
        <v>319.02</v>
      </c>
      <c r="H673" s="198"/>
    </row>
    <row r="674" spans="1:8" ht="15.75" hidden="1" customHeight="1" x14ac:dyDescent="0.25">
      <c r="A674" s="205" t="s">
        <v>1191</v>
      </c>
      <c r="B674" s="206">
        <v>92212</v>
      </c>
      <c r="C674" s="207" t="s">
        <v>1263</v>
      </c>
      <c r="D674" s="208" t="s">
        <v>585</v>
      </c>
      <c r="E674" s="209">
        <v>288.07</v>
      </c>
      <c r="F674" s="209">
        <v>24.6</v>
      </c>
      <c r="G674" s="209">
        <v>312.67</v>
      </c>
      <c r="H674" s="198"/>
    </row>
    <row r="675" spans="1:8" ht="15.75" hidden="1" customHeight="1" x14ac:dyDescent="0.25">
      <c r="A675" s="205" t="s">
        <v>1191</v>
      </c>
      <c r="B675" s="206">
        <v>92222</v>
      </c>
      <c r="C675" s="207" t="s">
        <v>1264</v>
      </c>
      <c r="D675" s="208" t="s">
        <v>585</v>
      </c>
      <c r="E675" s="209">
        <v>390.9</v>
      </c>
      <c r="F675" s="209">
        <v>32.24</v>
      </c>
      <c r="G675" s="209">
        <v>423.14</v>
      </c>
      <c r="H675" s="198"/>
    </row>
    <row r="676" spans="1:8" ht="15.75" hidden="1" customHeight="1" x14ac:dyDescent="0.25">
      <c r="A676" s="205" t="s">
        <v>1191</v>
      </c>
      <c r="B676" s="206">
        <v>92213</v>
      </c>
      <c r="C676" s="207" t="s">
        <v>1265</v>
      </c>
      <c r="D676" s="208" t="s">
        <v>585</v>
      </c>
      <c r="E676" s="209">
        <v>386.46</v>
      </c>
      <c r="F676" s="209">
        <v>29.13</v>
      </c>
      <c r="G676" s="209">
        <v>415.59</v>
      </c>
      <c r="H676" s="198"/>
    </row>
    <row r="677" spans="1:8" ht="15.75" hidden="1" customHeight="1" x14ac:dyDescent="0.25">
      <c r="A677" s="205" t="s">
        <v>1191</v>
      </c>
      <c r="B677" s="206">
        <v>92223</v>
      </c>
      <c r="C677" s="207" t="s">
        <v>1266</v>
      </c>
      <c r="D677" s="208" t="s">
        <v>585</v>
      </c>
      <c r="E677" s="209">
        <v>474.55</v>
      </c>
      <c r="F677" s="209">
        <v>37.36</v>
      </c>
      <c r="G677" s="209">
        <v>511.91</v>
      </c>
      <c r="H677" s="198"/>
    </row>
    <row r="678" spans="1:8" ht="15.75" hidden="1" customHeight="1" x14ac:dyDescent="0.25">
      <c r="A678" s="205" t="s">
        <v>1191</v>
      </c>
      <c r="B678" s="206">
        <v>92214</v>
      </c>
      <c r="C678" s="207" t="s">
        <v>1267</v>
      </c>
      <c r="D678" s="208" t="s">
        <v>585</v>
      </c>
      <c r="E678" s="209">
        <v>469.42</v>
      </c>
      <c r="F678" s="209">
        <v>33.76</v>
      </c>
      <c r="G678" s="209">
        <v>503.18</v>
      </c>
      <c r="H678" s="198"/>
    </row>
    <row r="679" spans="1:8" ht="15.75" hidden="1" customHeight="1" x14ac:dyDescent="0.25">
      <c r="A679" s="205" t="s">
        <v>1191</v>
      </c>
      <c r="B679" s="206">
        <v>92224</v>
      </c>
      <c r="C679" s="207" t="s">
        <v>1268</v>
      </c>
      <c r="D679" s="208" t="s">
        <v>585</v>
      </c>
      <c r="E679" s="209">
        <v>545.16</v>
      </c>
      <c r="F679" s="209">
        <v>42.54</v>
      </c>
      <c r="G679" s="209">
        <v>587.70000000000005</v>
      </c>
      <c r="H679" s="198"/>
    </row>
    <row r="680" spans="1:8" ht="15.75" hidden="1" customHeight="1" x14ac:dyDescent="0.25">
      <c r="A680" s="205" t="s">
        <v>1191</v>
      </c>
      <c r="B680" s="206">
        <v>92215</v>
      </c>
      <c r="C680" s="207" t="s">
        <v>1269</v>
      </c>
      <c r="D680" s="208" t="s">
        <v>585</v>
      </c>
      <c r="E680" s="209">
        <v>539.27</v>
      </c>
      <c r="F680" s="209">
        <v>38.47</v>
      </c>
      <c r="G680" s="209">
        <v>577.74</v>
      </c>
      <c r="H680" s="198"/>
    </row>
    <row r="681" spans="1:8" ht="15.75" hidden="1" customHeight="1" x14ac:dyDescent="0.25">
      <c r="A681" s="205" t="s">
        <v>1270</v>
      </c>
      <c r="B681" s="206">
        <v>94342</v>
      </c>
      <c r="C681" s="207" t="s">
        <v>1271</v>
      </c>
      <c r="D681" s="208" t="s">
        <v>664</v>
      </c>
      <c r="E681" s="209">
        <v>94.99</v>
      </c>
      <c r="F681" s="209">
        <v>20.77</v>
      </c>
      <c r="G681" s="209">
        <v>115.76</v>
      </c>
      <c r="H681" s="198"/>
    </row>
    <row r="682" spans="1:8" ht="15.75" hidden="1" customHeight="1" x14ac:dyDescent="0.25">
      <c r="A682" s="205" t="s">
        <v>1270</v>
      </c>
      <c r="B682" s="206">
        <v>94319</v>
      </c>
      <c r="C682" s="207" t="s">
        <v>1272</v>
      </c>
      <c r="D682" s="208" t="s">
        <v>664</v>
      </c>
      <c r="E682" s="209">
        <v>64.17</v>
      </c>
      <c r="F682" s="209">
        <v>20.77</v>
      </c>
      <c r="G682" s="209">
        <v>84.94</v>
      </c>
      <c r="H682" s="198"/>
    </row>
    <row r="683" spans="1:8" ht="15.75" hidden="1" customHeight="1" x14ac:dyDescent="0.25">
      <c r="A683" s="205" t="s">
        <v>1270</v>
      </c>
      <c r="B683" s="206">
        <v>94304</v>
      </c>
      <c r="C683" s="207" t="s">
        <v>1273</v>
      </c>
      <c r="D683" s="208" t="s">
        <v>664</v>
      </c>
      <c r="E683" s="209">
        <v>70.03</v>
      </c>
      <c r="F683" s="209">
        <v>7.98</v>
      </c>
      <c r="G683" s="209">
        <v>78.010000000000005</v>
      </c>
      <c r="H683" s="198"/>
    </row>
    <row r="684" spans="1:8" ht="15.75" hidden="1" customHeight="1" x14ac:dyDescent="0.25">
      <c r="A684" s="205" t="s">
        <v>1270</v>
      </c>
      <c r="B684" s="206">
        <v>94306</v>
      </c>
      <c r="C684" s="207" t="s">
        <v>1274</v>
      </c>
      <c r="D684" s="208" t="s">
        <v>664</v>
      </c>
      <c r="E684" s="209">
        <v>64.58</v>
      </c>
      <c r="F684" s="209">
        <v>6.16</v>
      </c>
      <c r="G684" s="209">
        <v>70.739999999999995</v>
      </c>
      <c r="H684" s="198"/>
    </row>
    <row r="685" spans="1:8" ht="15.75" hidden="1" customHeight="1" x14ac:dyDescent="0.25">
      <c r="A685" s="205" t="s">
        <v>1270</v>
      </c>
      <c r="B685" s="206">
        <v>94327</v>
      </c>
      <c r="C685" s="207" t="s">
        <v>1275</v>
      </c>
      <c r="D685" s="208" t="s">
        <v>664</v>
      </c>
      <c r="E685" s="209">
        <v>100.86</v>
      </c>
      <c r="F685" s="209">
        <v>7.97</v>
      </c>
      <c r="G685" s="209">
        <v>108.83</v>
      </c>
      <c r="H685" s="198"/>
    </row>
    <row r="686" spans="1:8" ht="15.75" hidden="1" customHeight="1" x14ac:dyDescent="0.25">
      <c r="A686" s="205" t="s">
        <v>1270</v>
      </c>
      <c r="B686" s="206">
        <v>94329</v>
      </c>
      <c r="C686" s="207" t="s">
        <v>1276</v>
      </c>
      <c r="D686" s="208" t="s">
        <v>664</v>
      </c>
      <c r="E686" s="209">
        <v>95.4</v>
      </c>
      <c r="F686" s="209">
        <v>6.16</v>
      </c>
      <c r="G686" s="209">
        <v>101.56</v>
      </c>
      <c r="H686" s="198"/>
    </row>
    <row r="687" spans="1:8" ht="15.75" hidden="1" customHeight="1" x14ac:dyDescent="0.25">
      <c r="A687" s="205" t="s">
        <v>1270</v>
      </c>
      <c r="B687" s="206">
        <v>94333</v>
      </c>
      <c r="C687" s="207" t="s">
        <v>1277</v>
      </c>
      <c r="D687" s="208" t="s">
        <v>664</v>
      </c>
      <c r="E687" s="209">
        <v>92.9</v>
      </c>
      <c r="F687" s="209">
        <v>5.39</v>
      </c>
      <c r="G687" s="209">
        <v>98.29</v>
      </c>
      <c r="H687" s="198"/>
    </row>
    <row r="688" spans="1:8" ht="15.75" hidden="1" customHeight="1" x14ac:dyDescent="0.25">
      <c r="A688" s="205" t="s">
        <v>1270</v>
      </c>
      <c r="B688" s="206">
        <v>94310</v>
      </c>
      <c r="C688" s="207" t="s">
        <v>1278</v>
      </c>
      <c r="D688" s="208" t="s">
        <v>664</v>
      </c>
      <c r="E688" s="209">
        <v>62.08</v>
      </c>
      <c r="F688" s="209">
        <v>5.39</v>
      </c>
      <c r="G688" s="209">
        <v>67.47</v>
      </c>
      <c r="H688" s="198"/>
    </row>
    <row r="689" spans="1:8" ht="15.75" hidden="1" customHeight="1" x14ac:dyDescent="0.25">
      <c r="A689" s="205" t="s">
        <v>1270</v>
      </c>
      <c r="B689" s="206">
        <v>104739</v>
      </c>
      <c r="C689" s="207" t="s">
        <v>1279</v>
      </c>
      <c r="D689" s="208" t="s">
        <v>664</v>
      </c>
      <c r="E689" s="209">
        <v>101.53</v>
      </c>
      <c r="F689" s="209">
        <v>12.21</v>
      </c>
      <c r="G689" s="209">
        <v>113.74</v>
      </c>
      <c r="H689" s="198"/>
    </row>
    <row r="690" spans="1:8" ht="15.75" hidden="1" customHeight="1" x14ac:dyDescent="0.25">
      <c r="A690" s="205" t="s">
        <v>1270</v>
      </c>
      <c r="B690" s="206">
        <v>104738</v>
      </c>
      <c r="C690" s="207" t="s">
        <v>1280</v>
      </c>
      <c r="D690" s="208" t="s">
        <v>664</v>
      </c>
      <c r="E690" s="209">
        <v>70.709999999999994</v>
      </c>
      <c r="F690" s="209">
        <v>12.21</v>
      </c>
      <c r="G690" s="209">
        <v>82.92</v>
      </c>
      <c r="H690" s="198"/>
    </row>
    <row r="691" spans="1:8" ht="15.75" hidden="1" customHeight="1" x14ac:dyDescent="0.25">
      <c r="A691" s="205" t="s">
        <v>1270</v>
      </c>
      <c r="B691" s="206">
        <v>94316</v>
      </c>
      <c r="C691" s="207" t="s">
        <v>1281</v>
      </c>
      <c r="D691" s="208" t="s">
        <v>664</v>
      </c>
      <c r="E691" s="209">
        <v>64.55</v>
      </c>
      <c r="F691" s="209">
        <v>8.18</v>
      </c>
      <c r="G691" s="209">
        <v>72.73</v>
      </c>
      <c r="H691" s="198"/>
    </row>
    <row r="692" spans="1:8" ht="15.75" hidden="1" customHeight="1" x14ac:dyDescent="0.25">
      <c r="A692" s="205" t="s">
        <v>1270</v>
      </c>
      <c r="B692" s="206">
        <v>94318</v>
      </c>
      <c r="C692" s="207" t="s">
        <v>1282</v>
      </c>
      <c r="D692" s="208" t="s">
        <v>664</v>
      </c>
      <c r="E692" s="209">
        <v>60.54</v>
      </c>
      <c r="F692" s="209">
        <v>5.71</v>
      </c>
      <c r="G692" s="209">
        <v>66.25</v>
      </c>
      <c r="H692" s="198"/>
    </row>
    <row r="693" spans="1:8" ht="15.75" hidden="1" customHeight="1" x14ac:dyDescent="0.25">
      <c r="A693" s="205" t="s">
        <v>1270</v>
      </c>
      <c r="B693" s="206">
        <v>94339</v>
      </c>
      <c r="C693" s="207" t="s">
        <v>1283</v>
      </c>
      <c r="D693" s="208" t="s">
        <v>664</v>
      </c>
      <c r="E693" s="209">
        <v>95.37</v>
      </c>
      <c r="F693" s="209">
        <v>8.18</v>
      </c>
      <c r="G693" s="209">
        <v>103.55</v>
      </c>
      <c r="H693" s="198"/>
    </row>
    <row r="694" spans="1:8" ht="15.75" hidden="1" customHeight="1" x14ac:dyDescent="0.25">
      <c r="A694" s="205" t="s">
        <v>1270</v>
      </c>
      <c r="B694" s="206">
        <v>94341</v>
      </c>
      <c r="C694" s="207" t="s">
        <v>1284</v>
      </c>
      <c r="D694" s="208" t="s">
        <v>664</v>
      </c>
      <c r="E694" s="209">
        <v>91.36</v>
      </c>
      <c r="F694" s="209">
        <v>5.71</v>
      </c>
      <c r="G694" s="209">
        <v>97.07</v>
      </c>
      <c r="H694" s="198"/>
    </row>
    <row r="695" spans="1:8" ht="15.75" hidden="1" customHeight="1" x14ac:dyDescent="0.25">
      <c r="A695" s="205" t="s">
        <v>1270</v>
      </c>
      <c r="B695" s="206">
        <v>104742</v>
      </c>
      <c r="C695" s="207" t="s">
        <v>1285</v>
      </c>
      <c r="D695" s="208" t="s">
        <v>578</v>
      </c>
      <c r="E695" s="209">
        <v>7.63</v>
      </c>
      <c r="F695" s="209">
        <v>1.37</v>
      </c>
      <c r="G695" s="209">
        <v>9</v>
      </c>
      <c r="H695" s="198"/>
    </row>
    <row r="696" spans="1:8" ht="15.75" hidden="1" customHeight="1" x14ac:dyDescent="0.25">
      <c r="A696" s="205" t="s">
        <v>1270</v>
      </c>
      <c r="B696" s="206">
        <v>93382</v>
      </c>
      <c r="C696" s="207" t="s">
        <v>1286</v>
      </c>
      <c r="D696" s="208" t="s">
        <v>664</v>
      </c>
      <c r="E696" s="209">
        <v>12.29</v>
      </c>
      <c r="F696" s="209">
        <v>20.78</v>
      </c>
      <c r="G696" s="209">
        <v>33.07</v>
      </c>
      <c r="H696" s="198"/>
    </row>
    <row r="697" spans="1:8" ht="15.75" hidden="1" customHeight="1" x14ac:dyDescent="0.25">
      <c r="A697" s="205" t="s">
        <v>1270</v>
      </c>
      <c r="B697" s="206">
        <v>104737</v>
      </c>
      <c r="C697" s="207" t="s">
        <v>1287</v>
      </c>
      <c r="D697" s="208" t="s">
        <v>664</v>
      </c>
      <c r="E697" s="209">
        <v>10.83</v>
      </c>
      <c r="F697" s="209">
        <v>17.350000000000001</v>
      </c>
      <c r="G697" s="209">
        <v>28.18</v>
      </c>
      <c r="H697" s="198"/>
    </row>
    <row r="698" spans="1:8" ht="15.75" hidden="1" customHeight="1" x14ac:dyDescent="0.25">
      <c r="A698" s="205" t="s">
        <v>1270</v>
      </c>
      <c r="B698" s="206">
        <v>93369</v>
      </c>
      <c r="C698" s="207" t="s">
        <v>1288</v>
      </c>
      <c r="D698" s="208" t="s">
        <v>664</v>
      </c>
      <c r="E698" s="209">
        <v>12.72</v>
      </c>
      <c r="F698" s="209">
        <v>6.15</v>
      </c>
      <c r="G698" s="209">
        <v>18.87</v>
      </c>
      <c r="H698" s="198"/>
    </row>
    <row r="699" spans="1:8" ht="15.75" hidden="1" customHeight="1" x14ac:dyDescent="0.25">
      <c r="A699" s="205" t="s">
        <v>1270</v>
      </c>
      <c r="B699" s="206">
        <v>93373</v>
      </c>
      <c r="C699" s="207" t="s">
        <v>1289</v>
      </c>
      <c r="D699" s="208" t="s">
        <v>664</v>
      </c>
      <c r="E699" s="209">
        <v>10.199999999999999</v>
      </c>
      <c r="F699" s="209">
        <v>5.4</v>
      </c>
      <c r="G699" s="209">
        <v>15.6</v>
      </c>
      <c r="H699" s="198"/>
    </row>
    <row r="700" spans="1:8" ht="15.75" hidden="1" customHeight="1" x14ac:dyDescent="0.25">
      <c r="A700" s="205" t="s">
        <v>1270</v>
      </c>
      <c r="B700" s="206">
        <v>93368</v>
      </c>
      <c r="C700" s="207" t="s">
        <v>1290</v>
      </c>
      <c r="D700" s="208" t="s">
        <v>664</v>
      </c>
      <c r="E700" s="209">
        <v>15.77</v>
      </c>
      <c r="F700" s="209">
        <v>7.14</v>
      </c>
      <c r="G700" s="209">
        <v>22.91</v>
      </c>
      <c r="H700" s="198"/>
    </row>
    <row r="701" spans="1:8" ht="15.75" hidden="1" customHeight="1" x14ac:dyDescent="0.25">
      <c r="A701" s="205" t="s">
        <v>1270</v>
      </c>
      <c r="B701" s="206">
        <v>104729</v>
      </c>
      <c r="C701" s="207" t="s">
        <v>1291</v>
      </c>
      <c r="D701" s="208" t="s">
        <v>664</v>
      </c>
      <c r="E701" s="209">
        <v>14.11</v>
      </c>
      <c r="F701" s="209">
        <v>4.2</v>
      </c>
      <c r="G701" s="209">
        <v>18.309999999999999</v>
      </c>
      <c r="H701" s="198"/>
    </row>
    <row r="702" spans="1:8" ht="15.75" hidden="1" customHeight="1" x14ac:dyDescent="0.25">
      <c r="A702" s="205" t="s">
        <v>1270</v>
      </c>
      <c r="B702" s="206">
        <v>93372</v>
      </c>
      <c r="C702" s="207" t="s">
        <v>1292</v>
      </c>
      <c r="D702" s="208" t="s">
        <v>664</v>
      </c>
      <c r="E702" s="209">
        <v>12.16</v>
      </c>
      <c r="F702" s="209">
        <v>6</v>
      </c>
      <c r="G702" s="209">
        <v>18.16</v>
      </c>
      <c r="H702" s="198"/>
    </row>
    <row r="703" spans="1:8" ht="15.75" hidden="1" customHeight="1" x14ac:dyDescent="0.25">
      <c r="A703" s="205" t="s">
        <v>1270</v>
      </c>
      <c r="B703" s="206">
        <v>104731</v>
      </c>
      <c r="C703" s="207" t="s">
        <v>1293</v>
      </c>
      <c r="D703" s="208" t="s">
        <v>664</v>
      </c>
      <c r="E703" s="209">
        <v>10.49</v>
      </c>
      <c r="F703" s="209">
        <v>3.08</v>
      </c>
      <c r="G703" s="209">
        <v>13.57</v>
      </c>
      <c r="H703" s="198"/>
    </row>
    <row r="704" spans="1:8" ht="15.75" hidden="1" customHeight="1" x14ac:dyDescent="0.25">
      <c r="A704" s="205" t="s">
        <v>1270</v>
      </c>
      <c r="B704" s="206">
        <v>93367</v>
      </c>
      <c r="C704" s="207" t="s">
        <v>1294</v>
      </c>
      <c r="D704" s="208" t="s">
        <v>664</v>
      </c>
      <c r="E704" s="209">
        <v>18.16</v>
      </c>
      <c r="F704" s="209">
        <v>7.98</v>
      </c>
      <c r="G704" s="209">
        <v>26.14</v>
      </c>
      <c r="H704" s="198"/>
    </row>
    <row r="705" spans="1:8" ht="15.75" hidden="1" customHeight="1" x14ac:dyDescent="0.25">
      <c r="A705" s="205" t="s">
        <v>1270</v>
      </c>
      <c r="B705" s="206">
        <v>104728</v>
      </c>
      <c r="C705" s="207" t="s">
        <v>1295</v>
      </c>
      <c r="D705" s="208" t="s">
        <v>664</v>
      </c>
      <c r="E705" s="209">
        <v>16.53</v>
      </c>
      <c r="F705" s="209">
        <v>4.99</v>
      </c>
      <c r="G705" s="209">
        <v>21.52</v>
      </c>
      <c r="H705" s="198"/>
    </row>
    <row r="706" spans="1:8" ht="15.75" hidden="1" customHeight="1" x14ac:dyDescent="0.25">
      <c r="A706" s="205" t="s">
        <v>1270</v>
      </c>
      <c r="B706" s="206">
        <v>104730</v>
      </c>
      <c r="C706" s="207" t="s">
        <v>1296</v>
      </c>
      <c r="D706" s="208" t="s">
        <v>664</v>
      </c>
      <c r="E706" s="209">
        <v>11.04</v>
      </c>
      <c r="F706" s="209">
        <v>3.25</v>
      </c>
      <c r="G706" s="209">
        <v>14.29</v>
      </c>
      <c r="H706" s="198"/>
    </row>
    <row r="707" spans="1:8" ht="15.75" hidden="1" customHeight="1" x14ac:dyDescent="0.25">
      <c r="A707" s="205" t="s">
        <v>1270</v>
      </c>
      <c r="B707" s="206">
        <v>104732</v>
      </c>
      <c r="C707" s="207" t="s">
        <v>1297</v>
      </c>
      <c r="D707" s="208" t="s">
        <v>664</v>
      </c>
      <c r="E707" s="209">
        <v>8.5299999999999994</v>
      </c>
      <c r="F707" s="209">
        <v>2.4900000000000002</v>
      </c>
      <c r="G707" s="209">
        <v>11.02</v>
      </c>
      <c r="H707" s="198"/>
    </row>
    <row r="708" spans="1:8" ht="15.75" hidden="1" customHeight="1" x14ac:dyDescent="0.25">
      <c r="A708" s="205" t="s">
        <v>1270</v>
      </c>
      <c r="B708" s="206">
        <v>104740</v>
      </c>
      <c r="C708" s="207" t="s">
        <v>1298</v>
      </c>
      <c r="D708" s="208" t="s">
        <v>664</v>
      </c>
      <c r="E708" s="209">
        <v>18.850000000000001</v>
      </c>
      <c r="F708" s="209">
        <v>12.2</v>
      </c>
      <c r="G708" s="209">
        <v>31.05</v>
      </c>
      <c r="H708" s="198"/>
    </row>
    <row r="709" spans="1:8" ht="15.75" hidden="1" customHeight="1" x14ac:dyDescent="0.25">
      <c r="A709" s="205" t="s">
        <v>1270</v>
      </c>
      <c r="B709" s="206">
        <v>104741</v>
      </c>
      <c r="C709" s="207" t="s">
        <v>1299</v>
      </c>
      <c r="D709" s="208" t="s">
        <v>664</v>
      </c>
      <c r="E709" s="209">
        <v>17.39</v>
      </c>
      <c r="F709" s="209">
        <v>8.77</v>
      </c>
      <c r="G709" s="209">
        <v>26.16</v>
      </c>
      <c r="H709" s="198"/>
    </row>
    <row r="710" spans="1:8" ht="15.75" hidden="1" customHeight="1" x14ac:dyDescent="0.25">
      <c r="A710" s="205" t="s">
        <v>1270</v>
      </c>
      <c r="B710" s="206">
        <v>104733</v>
      </c>
      <c r="C710" s="207" t="s">
        <v>1300</v>
      </c>
      <c r="D710" s="208" t="s">
        <v>664</v>
      </c>
      <c r="E710" s="209">
        <v>15.13</v>
      </c>
      <c r="F710" s="209">
        <v>7.12</v>
      </c>
      <c r="G710" s="209">
        <v>22.25</v>
      </c>
      <c r="H710" s="198"/>
    </row>
    <row r="711" spans="1:8" ht="15.75" hidden="1" customHeight="1" x14ac:dyDescent="0.25">
      <c r="A711" s="205" t="s">
        <v>1270</v>
      </c>
      <c r="B711" s="206">
        <v>104735</v>
      </c>
      <c r="C711" s="207" t="s">
        <v>1301</v>
      </c>
      <c r="D711" s="208" t="s">
        <v>664</v>
      </c>
      <c r="E711" s="209">
        <v>9.1999999999999993</v>
      </c>
      <c r="F711" s="209">
        <v>3.88</v>
      </c>
      <c r="G711" s="209">
        <v>13.08</v>
      </c>
      <c r="H711" s="198"/>
    </row>
    <row r="712" spans="1:8" ht="15.75" hidden="1" customHeight="1" x14ac:dyDescent="0.25">
      <c r="A712" s="205" t="s">
        <v>1270</v>
      </c>
      <c r="B712" s="206">
        <v>104734</v>
      </c>
      <c r="C712" s="207" t="s">
        <v>1302</v>
      </c>
      <c r="D712" s="208" t="s">
        <v>664</v>
      </c>
      <c r="E712" s="209">
        <v>11.13</v>
      </c>
      <c r="F712" s="209">
        <v>4.9800000000000004</v>
      </c>
      <c r="G712" s="209">
        <v>16.11</v>
      </c>
      <c r="H712" s="198"/>
    </row>
    <row r="713" spans="1:8" ht="15.75" hidden="1" customHeight="1" x14ac:dyDescent="0.25">
      <c r="A713" s="205" t="s">
        <v>1270</v>
      </c>
      <c r="B713" s="206">
        <v>104736</v>
      </c>
      <c r="C713" s="207" t="s">
        <v>1303</v>
      </c>
      <c r="D713" s="208" t="s">
        <v>664</v>
      </c>
      <c r="E713" s="209">
        <v>7.01</v>
      </c>
      <c r="F713" s="209">
        <v>2.78</v>
      </c>
      <c r="G713" s="209">
        <v>9.7899999999999991</v>
      </c>
      <c r="H713" s="198"/>
    </row>
    <row r="714" spans="1:8" ht="15.75" hidden="1" customHeight="1" x14ac:dyDescent="0.25">
      <c r="A714" s="205" t="s">
        <v>1270</v>
      </c>
      <c r="B714" s="206">
        <v>93381</v>
      </c>
      <c r="C714" s="207" t="s">
        <v>1304</v>
      </c>
      <c r="D714" s="208" t="s">
        <v>664</v>
      </c>
      <c r="E714" s="209">
        <v>8.66</v>
      </c>
      <c r="F714" s="209">
        <v>5.72</v>
      </c>
      <c r="G714" s="209">
        <v>14.38</v>
      </c>
      <c r="H714" s="198"/>
    </row>
    <row r="715" spans="1:8" ht="15.75" hidden="1" customHeight="1" x14ac:dyDescent="0.25">
      <c r="A715" s="205" t="s">
        <v>1270</v>
      </c>
      <c r="B715" s="206">
        <v>93379</v>
      </c>
      <c r="C715" s="207" t="s">
        <v>1305</v>
      </c>
      <c r="D715" s="208" t="s">
        <v>664</v>
      </c>
      <c r="E715" s="209">
        <v>12.69</v>
      </c>
      <c r="F715" s="209">
        <v>8.17</v>
      </c>
      <c r="G715" s="209">
        <v>20.86</v>
      </c>
      <c r="H715" s="198"/>
    </row>
    <row r="716" spans="1:8" ht="15.75" hidden="1" customHeight="1" x14ac:dyDescent="0.25">
      <c r="A716" s="205" t="s">
        <v>1270</v>
      </c>
      <c r="B716" s="206">
        <v>93380</v>
      </c>
      <c r="C716" s="207" t="s">
        <v>1306</v>
      </c>
      <c r="D716" s="208" t="s">
        <v>664</v>
      </c>
      <c r="E716" s="209">
        <v>10.82</v>
      </c>
      <c r="F716" s="209">
        <v>6.92</v>
      </c>
      <c r="G716" s="209">
        <v>17.739999999999998</v>
      </c>
      <c r="H716" s="198"/>
    </row>
    <row r="717" spans="1:8" ht="15.75" hidden="1" customHeight="1" x14ac:dyDescent="0.25">
      <c r="A717" s="205" t="s">
        <v>1270</v>
      </c>
      <c r="B717" s="206">
        <v>93378</v>
      </c>
      <c r="C717" s="207" t="s">
        <v>1307</v>
      </c>
      <c r="D717" s="208" t="s">
        <v>664</v>
      </c>
      <c r="E717" s="209">
        <v>16.600000000000001</v>
      </c>
      <c r="F717" s="209">
        <v>10.54</v>
      </c>
      <c r="G717" s="209">
        <v>27.14</v>
      </c>
      <c r="H717" s="198"/>
    </row>
    <row r="718" spans="1:8" ht="15.75" hidden="1" customHeight="1" x14ac:dyDescent="0.25">
      <c r="A718" s="205" t="s">
        <v>1308</v>
      </c>
      <c r="B718" s="206">
        <v>105732</v>
      </c>
      <c r="C718" s="207" t="s">
        <v>1309</v>
      </c>
      <c r="D718" s="208" t="s">
        <v>664</v>
      </c>
      <c r="E718" s="209">
        <v>177.27</v>
      </c>
      <c r="F718" s="209">
        <v>7.81</v>
      </c>
      <c r="G718" s="209">
        <v>185.08</v>
      </c>
      <c r="H718" s="198"/>
    </row>
    <row r="719" spans="1:8" ht="15.75" hidden="1" customHeight="1" x14ac:dyDescent="0.25">
      <c r="A719" s="205" t="s">
        <v>1308</v>
      </c>
      <c r="B719" s="206">
        <v>96397</v>
      </c>
      <c r="C719" s="207" t="s">
        <v>1310</v>
      </c>
      <c r="D719" s="208" t="s">
        <v>664</v>
      </c>
      <c r="E719" s="209">
        <v>173.62</v>
      </c>
      <c r="F719" s="209">
        <v>6.48</v>
      </c>
      <c r="G719" s="209">
        <v>180.1</v>
      </c>
      <c r="H719" s="198"/>
    </row>
    <row r="720" spans="1:8" ht="15.75" hidden="1" customHeight="1" x14ac:dyDescent="0.25">
      <c r="A720" s="205" t="s">
        <v>1308</v>
      </c>
      <c r="B720" s="206">
        <v>105735</v>
      </c>
      <c r="C720" s="207" t="s">
        <v>1311</v>
      </c>
      <c r="D720" s="208" t="s">
        <v>664</v>
      </c>
      <c r="E720" s="209">
        <v>171.74</v>
      </c>
      <c r="F720" s="209">
        <v>5.84</v>
      </c>
      <c r="G720" s="209">
        <v>177.58</v>
      </c>
      <c r="H720" s="198"/>
    </row>
    <row r="721" spans="1:8" ht="15.75" hidden="1" customHeight="1" x14ac:dyDescent="0.25">
      <c r="A721" s="205" t="s">
        <v>1308</v>
      </c>
      <c r="B721" s="206">
        <v>105727</v>
      </c>
      <c r="C721" s="207" t="s">
        <v>1312</v>
      </c>
      <c r="D721" s="208" t="s">
        <v>664</v>
      </c>
      <c r="E721" s="209">
        <v>117.12</v>
      </c>
      <c r="F721" s="209">
        <v>6.82</v>
      </c>
      <c r="G721" s="209">
        <v>123.94</v>
      </c>
      <c r="H721" s="198"/>
    </row>
    <row r="722" spans="1:8" ht="15.75" hidden="1" customHeight="1" x14ac:dyDescent="0.25">
      <c r="A722" s="205" t="s">
        <v>1308</v>
      </c>
      <c r="B722" s="206">
        <v>96396</v>
      </c>
      <c r="C722" s="207" t="s">
        <v>1313</v>
      </c>
      <c r="D722" s="208" t="s">
        <v>664</v>
      </c>
      <c r="E722" s="209">
        <v>114.26</v>
      </c>
      <c r="F722" s="209">
        <v>5.83</v>
      </c>
      <c r="G722" s="209">
        <v>120.09</v>
      </c>
      <c r="H722" s="198"/>
    </row>
    <row r="723" spans="1:8" ht="15.75" hidden="1" customHeight="1" x14ac:dyDescent="0.25">
      <c r="A723" s="205" t="s">
        <v>1308</v>
      </c>
      <c r="B723" s="206">
        <v>105730</v>
      </c>
      <c r="C723" s="207" t="s">
        <v>1314</v>
      </c>
      <c r="D723" s="208" t="s">
        <v>664</v>
      </c>
      <c r="E723" s="209">
        <v>112.78</v>
      </c>
      <c r="F723" s="209">
        <v>5.35</v>
      </c>
      <c r="G723" s="209">
        <v>118.13</v>
      </c>
      <c r="H723" s="198"/>
    </row>
    <row r="724" spans="1:8" ht="15.75" hidden="1" customHeight="1" x14ac:dyDescent="0.25">
      <c r="A724" s="205" t="s">
        <v>1308</v>
      </c>
      <c r="B724" s="206">
        <v>105737</v>
      </c>
      <c r="C724" s="207" t="s">
        <v>1315</v>
      </c>
      <c r="D724" s="208" t="s">
        <v>664</v>
      </c>
      <c r="E724" s="209">
        <v>253.19</v>
      </c>
      <c r="F724" s="209">
        <v>8.15</v>
      </c>
      <c r="G724" s="209">
        <v>261.33999999999997</v>
      </c>
      <c r="H724" s="198"/>
    </row>
    <row r="725" spans="1:8" ht="15.75" hidden="1" customHeight="1" x14ac:dyDescent="0.25">
      <c r="A725" s="205" t="s">
        <v>1308</v>
      </c>
      <c r="B725" s="206">
        <v>96398</v>
      </c>
      <c r="C725" s="207" t="s">
        <v>1316</v>
      </c>
      <c r="D725" s="208" t="s">
        <v>664</v>
      </c>
      <c r="E725" s="209">
        <v>250.44</v>
      </c>
      <c r="F725" s="209">
        <v>7.16</v>
      </c>
      <c r="G725" s="209">
        <v>257.60000000000002</v>
      </c>
      <c r="H725" s="198"/>
    </row>
    <row r="726" spans="1:8" ht="15.75" hidden="1" customHeight="1" x14ac:dyDescent="0.25">
      <c r="A726" s="205" t="s">
        <v>1308</v>
      </c>
      <c r="B726" s="206">
        <v>105740</v>
      </c>
      <c r="C726" s="207" t="s">
        <v>1317</v>
      </c>
      <c r="D726" s="208" t="s">
        <v>664</v>
      </c>
      <c r="E726" s="209">
        <v>248.92</v>
      </c>
      <c r="F726" s="209">
        <v>6.67</v>
      </c>
      <c r="G726" s="209">
        <v>255.59</v>
      </c>
      <c r="H726" s="198"/>
    </row>
    <row r="727" spans="1:8" ht="15.75" hidden="1" customHeight="1" x14ac:dyDescent="0.25">
      <c r="A727" s="205" t="s">
        <v>1308</v>
      </c>
      <c r="B727" s="206">
        <v>105749</v>
      </c>
      <c r="C727" s="207" t="s">
        <v>1318</v>
      </c>
      <c r="D727" s="208" t="s">
        <v>664</v>
      </c>
      <c r="E727" s="209">
        <v>107.26</v>
      </c>
      <c r="F727" s="209">
        <v>8.24</v>
      </c>
      <c r="G727" s="209">
        <v>115.5</v>
      </c>
      <c r="H727" s="198"/>
    </row>
    <row r="728" spans="1:8" ht="15.75" hidden="1" customHeight="1" x14ac:dyDescent="0.25">
      <c r="A728" s="205" t="s">
        <v>1308</v>
      </c>
      <c r="B728" s="206">
        <v>96400</v>
      </c>
      <c r="C728" s="207" t="s">
        <v>1319</v>
      </c>
      <c r="D728" s="208" t="s">
        <v>664</v>
      </c>
      <c r="E728" s="209">
        <v>105.68</v>
      </c>
      <c r="F728" s="209">
        <v>7.81</v>
      </c>
      <c r="G728" s="209">
        <v>113.49</v>
      </c>
      <c r="H728" s="198"/>
    </row>
    <row r="729" spans="1:8" ht="15.75" hidden="1" customHeight="1" x14ac:dyDescent="0.25">
      <c r="A729" s="205" t="s">
        <v>1308</v>
      </c>
      <c r="B729" s="206">
        <v>105752</v>
      </c>
      <c r="C729" s="207" t="s">
        <v>1320</v>
      </c>
      <c r="D729" s="208" t="s">
        <v>664</v>
      </c>
      <c r="E729" s="209">
        <v>104.34</v>
      </c>
      <c r="F729" s="209">
        <v>7.34</v>
      </c>
      <c r="G729" s="209">
        <v>111.68</v>
      </c>
      <c r="H729" s="198"/>
    </row>
    <row r="730" spans="1:8" ht="15.75" hidden="1" customHeight="1" x14ac:dyDescent="0.25">
      <c r="A730" s="205" t="s">
        <v>1308</v>
      </c>
      <c r="B730" s="206">
        <v>105754</v>
      </c>
      <c r="C730" s="207" t="s">
        <v>1321</v>
      </c>
      <c r="D730" s="208" t="s">
        <v>664</v>
      </c>
      <c r="E730" s="209">
        <v>103.06</v>
      </c>
      <c r="F730" s="209">
        <v>6.9</v>
      </c>
      <c r="G730" s="209">
        <v>109.96</v>
      </c>
      <c r="H730" s="198"/>
    </row>
    <row r="731" spans="1:8" ht="15.75" hidden="1" customHeight="1" x14ac:dyDescent="0.25">
      <c r="A731" s="205" t="s">
        <v>1308</v>
      </c>
      <c r="B731" s="206">
        <v>105742</v>
      </c>
      <c r="C731" s="207" t="s">
        <v>1322</v>
      </c>
      <c r="D731" s="208" t="s">
        <v>664</v>
      </c>
      <c r="E731" s="209">
        <v>80.569999999999993</v>
      </c>
      <c r="F731" s="209">
        <v>5.7</v>
      </c>
      <c r="G731" s="209">
        <v>86.27</v>
      </c>
      <c r="H731" s="198"/>
    </row>
    <row r="732" spans="1:8" ht="15.75" hidden="1" customHeight="1" x14ac:dyDescent="0.25">
      <c r="A732" s="205" t="s">
        <v>1308</v>
      </c>
      <c r="B732" s="206">
        <v>96399</v>
      </c>
      <c r="C732" s="207" t="s">
        <v>1323</v>
      </c>
      <c r="D732" s="208" t="s">
        <v>664</v>
      </c>
      <c r="E732" s="209">
        <v>79.319999999999993</v>
      </c>
      <c r="F732" s="209">
        <v>5.16</v>
      </c>
      <c r="G732" s="209">
        <v>84.48</v>
      </c>
      <c r="H732" s="198"/>
    </row>
    <row r="733" spans="1:8" ht="15.75" hidden="1" customHeight="1" x14ac:dyDescent="0.25">
      <c r="A733" s="205" t="s">
        <v>1308</v>
      </c>
      <c r="B733" s="206">
        <v>105745</v>
      </c>
      <c r="C733" s="207" t="s">
        <v>1324</v>
      </c>
      <c r="D733" s="208" t="s">
        <v>664</v>
      </c>
      <c r="E733" s="209">
        <v>78.040000000000006</v>
      </c>
      <c r="F733" s="209">
        <v>4.6399999999999997</v>
      </c>
      <c r="G733" s="209">
        <v>82.68</v>
      </c>
      <c r="H733" s="198"/>
    </row>
    <row r="734" spans="1:8" ht="15.75" hidden="1" customHeight="1" x14ac:dyDescent="0.25">
      <c r="A734" s="205" t="s">
        <v>1308</v>
      </c>
      <c r="B734" s="206">
        <v>105747</v>
      </c>
      <c r="C734" s="207" t="s">
        <v>1325</v>
      </c>
      <c r="D734" s="208" t="s">
        <v>664</v>
      </c>
      <c r="E734" s="209">
        <v>76.78</v>
      </c>
      <c r="F734" s="209">
        <v>4.0999999999999996</v>
      </c>
      <c r="G734" s="209">
        <v>80.88</v>
      </c>
      <c r="H734" s="198"/>
    </row>
    <row r="735" spans="1:8" ht="15.75" hidden="1" customHeight="1" x14ac:dyDescent="0.25">
      <c r="A735" s="205" t="s">
        <v>1308</v>
      </c>
      <c r="B735" s="206">
        <v>105657</v>
      </c>
      <c r="C735" s="207" t="s">
        <v>1326</v>
      </c>
      <c r="D735" s="208" t="s">
        <v>664</v>
      </c>
      <c r="E735" s="209">
        <v>137.44</v>
      </c>
      <c r="F735" s="209">
        <v>11.53</v>
      </c>
      <c r="G735" s="209">
        <v>148.97</v>
      </c>
      <c r="H735" s="198"/>
    </row>
    <row r="736" spans="1:8" ht="15.75" hidden="1" customHeight="1" x14ac:dyDescent="0.25">
      <c r="A736" s="205" t="s">
        <v>1308</v>
      </c>
      <c r="B736" s="206">
        <v>100566</v>
      </c>
      <c r="C736" s="207" t="s">
        <v>1327</v>
      </c>
      <c r="D736" s="208" t="s">
        <v>664</v>
      </c>
      <c r="E736" s="209">
        <v>132.15</v>
      </c>
      <c r="F736" s="209">
        <v>8.77</v>
      </c>
      <c r="G736" s="209">
        <v>140.91999999999999</v>
      </c>
      <c r="H736" s="198"/>
    </row>
    <row r="737" spans="1:8" ht="15.75" hidden="1" customHeight="1" x14ac:dyDescent="0.25">
      <c r="A737" s="205" t="s">
        <v>1308</v>
      </c>
      <c r="B737" s="206">
        <v>105666</v>
      </c>
      <c r="C737" s="207" t="s">
        <v>1328</v>
      </c>
      <c r="D737" s="208" t="s">
        <v>664</v>
      </c>
      <c r="E737" s="209">
        <v>129.47</v>
      </c>
      <c r="F737" s="209">
        <v>7.4</v>
      </c>
      <c r="G737" s="209">
        <v>136.87</v>
      </c>
      <c r="H737" s="198"/>
    </row>
    <row r="738" spans="1:8" ht="15.75" hidden="1" customHeight="1" x14ac:dyDescent="0.25">
      <c r="A738" s="205" t="s">
        <v>1308</v>
      </c>
      <c r="B738" s="206">
        <v>105658</v>
      </c>
      <c r="C738" s="207" t="s">
        <v>1329</v>
      </c>
      <c r="D738" s="208" t="s">
        <v>664</v>
      </c>
      <c r="E738" s="209">
        <v>166.07</v>
      </c>
      <c r="F738" s="209">
        <v>11.52</v>
      </c>
      <c r="G738" s="209">
        <v>177.59</v>
      </c>
      <c r="H738" s="198"/>
    </row>
    <row r="739" spans="1:8" ht="15.75" hidden="1" customHeight="1" x14ac:dyDescent="0.25">
      <c r="A739" s="205" t="s">
        <v>1308</v>
      </c>
      <c r="B739" s="206">
        <v>100567</v>
      </c>
      <c r="C739" s="207" t="s">
        <v>1330</v>
      </c>
      <c r="D739" s="208" t="s">
        <v>664</v>
      </c>
      <c r="E739" s="209">
        <v>160.76</v>
      </c>
      <c r="F739" s="209">
        <v>8.7799999999999994</v>
      </c>
      <c r="G739" s="209">
        <v>169.54</v>
      </c>
      <c r="H739" s="198"/>
    </row>
    <row r="740" spans="1:8" ht="15.75" hidden="1" customHeight="1" x14ac:dyDescent="0.25">
      <c r="A740" s="205" t="s">
        <v>1308</v>
      </c>
      <c r="B740" s="206">
        <v>105667</v>
      </c>
      <c r="C740" s="207" t="s">
        <v>1331</v>
      </c>
      <c r="D740" s="208" t="s">
        <v>664</v>
      </c>
      <c r="E740" s="209">
        <v>158.1</v>
      </c>
      <c r="F740" s="209">
        <v>7.39</v>
      </c>
      <c r="G740" s="209">
        <v>165.49</v>
      </c>
      <c r="H740" s="198"/>
    </row>
    <row r="741" spans="1:8" ht="15.75" hidden="1" customHeight="1" x14ac:dyDescent="0.25">
      <c r="A741" s="205" t="s">
        <v>1308</v>
      </c>
      <c r="B741" s="206">
        <v>105659</v>
      </c>
      <c r="C741" s="207" t="s">
        <v>1332</v>
      </c>
      <c r="D741" s="208" t="s">
        <v>664</v>
      </c>
      <c r="E741" s="209">
        <v>194.3</v>
      </c>
      <c r="F741" s="209">
        <v>11.52</v>
      </c>
      <c r="G741" s="209">
        <v>205.82</v>
      </c>
      <c r="H741" s="198"/>
    </row>
    <row r="742" spans="1:8" ht="15.75" hidden="1" customHeight="1" x14ac:dyDescent="0.25">
      <c r="A742" s="205" t="s">
        <v>1308</v>
      </c>
      <c r="B742" s="206">
        <v>100568</v>
      </c>
      <c r="C742" s="207" t="s">
        <v>1333</v>
      </c>
      <c r="D742" s="208" t="s">
        <v>664</v>
      </c>
      <c r="E742" s="209">
        <v>188.99</v>
      </c>
      <c r="F742" s="209">
        <v>8.7799999999999994</v>
      </c>
      <c r="G742" s="209">
        <v>197.77</v>
      </c>
      <c r="H742" s="198"/>
    </row>
    <row r="743" spans="1:8" ht="15.75" hidden="1" customHeight="1" x14ac:dyDescent="0.25">
      <c r="A743" s="205" t="s">
        <v>1308</v>
      </c>
      <c r="B743" s="206">
        <v>105668</v>
      </c>
      <c r="C743" s="207" t="s">
        <v>1334</v>
      </c>
      <c r="D743" s="208" t="s">
        <v>664</v>
      </c>
      <c r="E743" s="209">
        <v>186.32</v>
      </c>
      <c r="F743" s="209">
        <v>7.4</v>
      </c>
      <c r="G743" s="209">
        <v>193.72</v>
      </c>
      <c r="H743" s="198"/>
    </row>
    <row r="744" spans="1:8" ht="15.75" hidden="1" customHeight="1" x14ac:dyDescent="0.25">
      <c r="A744" s="205" t="s">
        <v>1308</v>
      </c>
      <c r="B744" s="206">
        <v>105710</v>
      </c>
      <c r="C744" s="207" t="s">
        <v>1335</v>
      </c>
      <c r="D744" s="208" t="s">
        <v>664</v>
      </c>
      <c r="E744" s="209">
        <v>76.38</v>
      </c>
      <c r="F744" s="209">
        <v>11.53</v>
      </c>
      <c r="G744" s="209">
        <v>87.91</v>
      </c>
      <c r="H744" s="198"/>
    </row>
    <row r="745" spans="1:8" ht="15.75" hidden="1" customHeight="1" x14ac:dyDescent="0.25">
      <c r="A745" s="205" t="s">
        <v>1308</v>
      </c>
      <c r="B745" s="206">
        <v>100564</v>
      </c>
      <c r="C745" s="207" t="s">
        <v>1336</v>
      </c>
      <c r="D745" s="208" t="s">
        <v>664</v>
      </c>
      <c r="E745" s="209">
        <v>71.09</v>
      </c>
      <c r="F745" s="209">
        <v>8.77</v>
      </c>
      <c r="G745" s="209">
        <v>79.86</v>
      </c>
      <c r="H745" s="198"/>
    </row>
    <row r="746" spans="1:8" ht="15.75" hidden="1" customHeight="1" x14ac:dyDescent="0.25">
      <c r="A746" s="205" t="s">
        <v>1308</v>
      </c>
      <c r="B746" s="206">
        <v>105711</v>
      </c>
      <c r="C746" s="207" t="s">
        <v>1337</v>
      </c>
      <c r="D746" s="208" t="s">
        <v>664</v>
      </c>
      <c r="E746" s="209">
        <v>68.42</v>
      </c>
      <c r="F746" s="209">
        <v>7.39</v>
      </c>
      <c r="G746" s="209">
        <v>75.81</v>
      </c>
      <c r="H746" s="198"/>
    </row>
    <row r="747" spans="1:8" ht="15.75" hidden="1" customHeight="1" x14ac:dyDescent="0.25">
      <c r="A747" s="205" t="s">
        <v>1308</v>
      </c>
      <c r="B747" s="206">
        <v>105690</v>
      </c>
      <c r="C747" s="207" t="s">
        <v>1338</v>
      </c>
      <c r="D747" s="208" t="s">
        <v>664</v>
      </c>
      <c r="E747" s="209">
        <v>129.03</v>
      </c>
      <c r="F747" s="209">
        <v>11.52</v>
      </c>
      <c r="G747" s="209">
        <v>140.55000000000001</v>
      </c>
      <c r="H747" s="198"/>
    </row>
    <row r="748" spans="1:8" ht="15.75" hidden="1" customHeight="1" x14ac:dyDescent="0.25">
      <c r="A748" s="205" t="s">
        <v>1308</v>
      </c>
      <c r="B748" s="206">
        <v>100569</v>
      </c>
      <c r="C748" s="207" t="s">
        <v>1339</v>
      </c>
      <c r="D748" s="208" t="s">
        <v>664</v>
      </c>
      <c r="E748" s="209">
        <v>123.72</v>
      </c>
      <c r="F748" s="209">
        <v>8.7799999999999994</v>
      </c>
      <c r="G748" s="209">
        <v>132.5</v>
      </c>
      <c r="H748" s="198"/>
    </row>
    <row r="749" spans="1:8" ht="15.75" hidden="1" customHeight="1" x14ac:dyDescent="0.25">
      <c r="A749" s="205" t="s">
        <v>1308</v>
      </c>
      <c r="B749" s="206">
        <v>105699</v>
      </c>
      <c r="C749" s="207" t="s">
        <v>1340</v>
      </c>
      <c r="D749" s="208" t="s">
        <v>664</v>
      </c>
      <c r="E749" s="209">
        <v>121.06</v>
      </c>
      <c r="F749" s="209">
        <v>7.39</v>
      </c>
      <c r="G749" s="209">
        <v>128.44999999999999</v>
      </c>
      <c r="H749" s="198"/>
    </row>
    <row r="750" spans="1:8" ht="15.75" hidden="1" customHeight="1" x14ac:dyDescent="0.25">
      <c r="A750" s="205" t="s">
        <v>1308</v>
      </c>
      <c r="B750" s="206">
        <v>105691</v>
      </c>
      <c r="C750" s="207" t="s">
        <v>1341</v>
      </c>
      <c r="D750" s="208" t="s">
        <v>664</v>
      </c>
      <c r="E750" s="209">
        <v>157.83000000000001</v>
      </c>
      <c r="F750" s="209">
        <v>11.53</v>
      </c>
      <c r="G750" s="209">
        <v>169.36</v>
      </c>
      <c r="H750" s="198"/>
    </row>
    <row r="751" spans="1:8" ht="15.75" hidden="1" customHeight="1" x14ac:dyDescent="0.25">
      <c r="A751" s="205" t="s">
        <v>1308</v>
      </c>
      <c r="B751" s="206">
        <v>100570</v>
      </c>
      <c r="C751" s="207" t="s">
        <v>1342</v>
      </c>
      <c r="D751" s="208" t="s">
        <v>664</v>
      </c>
      <c r="E751" s="209">
        <v>152.54</v>
      </c>
      <c r="F751" s="209">
        <v>8.77</v>
      </c>
      <c r="G751" s="209">
        <v>161.31</v>
      </c>
      <c r="H751" s="198"/>
    </row>
    <row r="752" spans="1:8" ht="15.75" hidden="1" customHeight="1" x14ac:dyDescent="0.25">
      <c r="A752" s="205" t="s">
        <v>1308</v>
      </c>
      <c r="B752" s="206">
        <v>105700</v>
      </c>
      <c r="C752" s="207" t="s">
        <v>1343</v>
      </c>
      <c r="D752" s="208" t="s">
        <v>664</v>
      </c>
      <c r="E752" s="209">
        <v>149.86000000000001</v>
      </c>
      <c r="F752" s="209">
        <v>7.4</v>
      </c>
      <c r="G752" s="209">
        <v>157.26</v>
      </c>
      <c r="H752" s="198"/>
    </row>
    <row r="753" spans="1:8" ht="15.75" hidden="1" customHeight="1" x14ac:dyDescent="0.25">
      <c r="A753" s="205" t="s">
        <v>1308</v>
      </c>
      <c r="B753" s="206">
        <v>105692</v>
      </c>
      <c r="C753" s="207" t="s">
        <v>1344</v>
      </c>
      <c r="D753" s="208" t="s">
        <v>664</v>
      </c>
      <c r="E753" s="209">
        <v>186.24</v>
      </c>
      <c r="F753" s="209">
        <v>11.52</v>
      </c>
      <c r="G753" s="209">
        <v>197.76</v>
      </c>
      <c r="H753" s="198"/>
    </row>
    <row r="754" spans="1:8" ht="15.75" hidden="1" customHeight="1" x14ac:dyDescent="0.25">
      <c r="A754" s="205" t="s">
        <v>1308</v>
      </c>
      <c r="B754" s="206">
        <v>100571</v>
      </c>
      <c r="C754" s="207" t="s">
        <v>1345</v>
      </c>
      <c r="D754" s="208" t="s">
        <v>664</v>
      </c>
      <c r="E754" s="209">
        <v>180.93</v>
      </c>
      <c r="F754" s="209">
        <v>8.7799999999999994</v>
      </c>
      <c r="G754" s="209">
        <v>189.71</v>
      </c>
      <c r="H754" s="198"/>
    </row>
    <row r="755" spans="1:8" ht="15.75" hidden="1" customHeight="1" x14ac:dyDescent="0.25">
      <c r="A755" s="205" t="s">
        <v>1308</v>
      </c>
      <c r="B755" s="206">
        <v>105701</v>
      </c>
      <c r="C755" s="207" t="s">
        <v>1346</v>
      </c>
      <c r="D755" s="208" t="s">
        <v>664</v>
      </c>
      <c r="E755" s="209">
        <v>178.26</v>
      </c>
      <c r="F755" s="209">
        <v>7.4</v>
      </c>
      <c r="G755" s="209">
        <v>185.66</v>
      </c>
      <c r="H755" s="198"/>
    </row>
    <row r="756" spans="1:8" ht="15.75" hidden="1" customHeight="1" x14ac:dyDescent="0.25">
      <c r="A756" s="205" t="s">
        <v>1308</v>
      </c>
      <c r="B756" s="206">
        <v>105718</v>
      </c>
      <c r="C756" s="207" t="s">
        <v>1347</v>
      </c>
      <c r="D756" s="208" t="s">
        <v>664</v>
      </c>
      <c r="E756" s="209">
        <v>67.62</v>
      </c>
      <c r="F756" s="209">
        <v>11.53</v>
      </c>
      <c r="G756" s="209">
        <v>79.150000000000006</v>
      </c>
      <c r="H756" s="198"/>
    </row>
    <row r="757" spans="1:8" ht="15.75" hidden="1" customHeight="1" x14ac:dyDescent="0.25">
      <c r="A757" s="205" t="s">
        <v>1308</v>
      </c>
      <c r="B757" s="206">
        <v>100565</v>
      </c>
      <c r="C757" s="207" t="s">
        <v>1348</v>
      </c>
      <c r="D757" s="208" t="s">
        <v>664</v>
      </c>
      <c r="E757" s="209">
        <v>62.32</v>
      </c>
      <c r="F757" s="209">
        <v>8.7799999999999994</v>
      </c>
      <c r="G757" s="209">
        <v>71.099999999999994</v>
      </c>
      <c r="H757" s="198"/>
    </row>
    <row r="758" spans="1:8" ht="15.75" hidden="1" customHeight="1" x14ac:dyDescent="0.25">
      <c r="A758" s="205" t="s">
        <v>1308</v>
      </c>
      <c r="B758" s="206">
        <v>105581</v>
      </c>
      <c r="C758" s="207" t="s">
        <v>1349</v>
      </c>
      <c r="D758" s="208" t="s">
        <v>664</v>
      </c>
      <c r="E758" s="209">
        <v>59.65</v>
      </c>
      <c r="F758" s="209">
        <v>7.4</v>
      </c>
      <c r="G758" s="209">
        <v>67.05</v>
      </c>
      <c r="H758" s="198"/>
    </row>
    <row r="759" spans="1:8" ht="15.75" hidden="1" customHeight="1" x14ac:dyDescent="0.25">
      <c r="A759" s="205" t="s">
        <v>1308</v>
      </c>
      <c r="B759" s="206">
        <v>105624</v>
      </c>
      <c r="C759" s="207" t="s">
        <v>1350</v>
      </c>
      <c r="D759" s="208" t="s">
        <v>664</v>
      </c>
      <c r="E759" s="209">
        <v>108.04</v>
      </c>
      <c r="F759" s="209">
        <v>6.55</v>
      </c>
      <c r="G759" s="209">
        <v>114.59</v>
      </c>
      <c r="H759" s="198"/>
    </row>
    <row r="760" spans="1:8" ht="15.75" hidden="1" customHeight="1" x14ac:dyDescent="0.25">
      <c r="A760" s="205" t="s">
        <v>1308</v>
      </c>
      <c r="B760" s="206">
        <v>96391</v>
      </c>
      <c r="C760" s="207" t="s">
        <v>1351</v>
      </c>
      <c r="D760" s="208" t="s">
        <v>664</v>
      </c>
      <c r="E760" s="209">
        <v>103.77</v>
      </c>
      <c r="F760" s="209">
        <v>4.34</v>
      </c>
      <c r="G760" s="209">
        <v>108.11</v>
      </c>
      <c r="H760" s="198"/>
    </row>
    <row r="761" spans="1:8" ht="15.75" hidden="1" customHeight="1" x14ac:dyDescent="0.25">
      <c r="A761" s="205" t="s">
        <v>1308</v>
      </c>
      <c r="B761" s="206">
        <v>105632</v>
      </c>
      <c r="C761" s="207" t="s">
        <v>1352</v>
      </c>
      <c r="D761" s="208" t="s">
        <v>664</v>
      </c>
      <c r="E761" s="209">
        <v>102.94</v>
      </c>
      <c r="F761" s="209">
        <v>4.1500000000000004</v>
      </c>
      <c r="G761" s="209">
        <v>107.09</v>
      </c>
      <c r="H761" s="198"/>
    </row>
    <row r="762" spans="1:8" ht="15.75" hidden="1" customHeight="1" x14ac:dyDescent="0.25">
      <c r="A762" s="205" t="s">
        <v>1308</v>
      </c>
      <c r="B762" s="206">
        <v>105625</v>
      </c>
      <c r="C762" s="207" t="s">
        <v>1353</v>
      </c>
      <c r="D762" s="208" t="s">
        <v>664</v>
      </c>
      <c r="E762" s="209">
        <v>137.33000000000001</v>
      </c>
      <c r="F762" s="209">
        <v>6.54</v>
      </c>
      <c r="G762" s="209">
        <v>143.87</v>
      </c>
      <c r="H762" s="198"/>
    </row>
    <row r="763" spans="1:8" ht="15.75" hidden="1" customHeight="1" x14ac:dyDescent="0.25">
      <c r="A763" s="205" t="s">
        <v>1308</v>
      </c>
      <c r="B763" s="206">
        <v>96392</v>
      </c>
      <c r="C763" s="207" t="s">
        <v>1354</v>
      </c>
      <c r="D763" s="208" t="s">
        <v>664</v>
      </c>
      <c r="E763" s="209">
        <v>133.04</v>
      </c>
      <c r="F763" s="209">
        <v>4.3499999999999996</v>
      </c>
      <c r="G763" s="209">
        <v>137.38999999999999</v>
      </c>
      <c r="H763" s="198"/>
    </row>
    <row r="764" spans="1:8" ht="15.75" hidden="1" customHeight="1" x14ac:dyDescent="0.25">
      <c r="A764" s="205" t="s">
        <v>1308</v>
      </c>
      <c r="B764" s="206">
        <v>105633</v>
      </c>
      <c r="C764" s="207" t="s">
        <v>1355</v>
      </c>
      <c r="D764" s="208" t="s">
        <v>664</v>
      </c>
      <c r="E764" s="209">
        <v>132.22999999999999</v>
      </c>
      <c r="F764" s="209">
        <v>4.1399999999999997</v>
      </c>
      <c r="G764" s="209">
        <v>136.37</v>
      </c>
      <c r="H764" s="198"/>
    </row>
    <row r="765" spans="1:8" ht="15.75" hidden="1" customHeight="1" x14ac:dyDescent="0.25">
      <c r="A765" s="205" t="s">
        <v>1308</v>
      </c>
      <c r="B765" s="206">
        <v>105571</v>
      </c>
      <c r="C765" s="207" t="s">
        <v>1356</v>
      </c>
      <c r="D765" s="208" t="s">
        <v>664</v>
      </c>
      <c r="E765" s="209">
        <v>47.86</v>
      </c>
      <c r="F765" s="209">
        <v>6.55</v>
      </c>
      <c r="G765" s="209">
        <v>54.41</v>
      </c>
      <c r="H765" s="198"/>
    </row>
    <row r="766" spans="1:8" ht="15.75" hidden="1" customHeight="1" x14ac:dyDescent="0.25">
      <c r="A766" s="205" t="s">
        <v>1308</v>
      </c>
      <c r="B766" s="206">
        <v>96389</v>
      </c>
      <c r="C766" s="207" t="s">
        <v>1357</v>
      </c>
      <c r="D766" s="208" t="s">
        <v>664</v>
      </c>
      <c r="E766" s="209">
        <v>43.58</v>
      </c>
      <c r="F766" s="209">
        <v>4.3499999999999996</v>
      </c>
      <c r="G766" s="209">
        <v>47.93</v>
      </c>
      <c r="H766" s="198"/>
    </row>
    <row r="767" spans="1:8" ht="15.75" hidden="1" customHeight="1" x14ac:dyDescent="0.25">
      <c r="A767" s="205" t="s">
        <v>1308</v>
      </c>
      <c r="B767" s="206">
        <v>105575</v>
      </c>
      <c r="C767" s="207" t="s">
        <v>1358</v>
      </c>
      <c r="D767" s="208" t="s">
        <v>664</v>
      </c>
      <c r="E767" s="209">
        <v>42.76</v>
      </c>
      <c r="F767" s="209">
        <v>4.1500000000000004</v>
      </c>
      <c r="G767" s="209">
        <v>46.91</v>
      </c>
      <c r="H767" s="198"/>
    </row>
    <row r="768" spans="1:8" ht="15.75" hidden="1" customHeight="1" x14ac:dyDescent="0.25">
      <c r="A768" s="205" t="s">
        <v>1308</v>
      </c>
      <c r="B768" s="206">
        <v>105623</v>
      </c>
      <c r="C768" s="207" t="s">
        <v>1359</v>
      </c>
      <c r="D768" s="208" t="s">
        <v>664</v>
      </c>
      <c r="E768" s="209">
        <v>78.37</v>
      </c>
      <c r="F768" s="209">
        <v>6.54</v>
      </c>
      <c r="G768" s="209">
        <v>84.91</v>
      </c>
      <c r="H768" s="198"/>
    </row>
    <row r="769" spans="1:8" ht="15.75" hidden="1" customHeight="1" x14ac:dyDescent="0.25">
      <c r="A769" s="205" t="s">
        <v>1308</v>
      </c>
      <c r="B769" s="206">
        <v>96390</v>
      </c>
      <c r="C769" s="207" t="s">
        <v>1360</v>
      </c>
      <c r="D769" s="208" t="s">
        <v>664</v>
      </c>
      <c r="E769" s="209">
        <v>74.08</v>
      </c>
      <c r="F769" s="209">
        <v>4.3499999999999996</v>
      </c>
      <c r="G769" s="209">
        <v>78.430000000000007</v>
      </c>
      <c r="H769" s="198"/>
    </row>
    <row r="770" spans="1:8" ht="15.75" hidden="1" customHeight="1" x14ac:dyDescent="0.25">
      <c r="A770" s="205" t="s">
        <v>1308</v>
      </c>
      <c r="B770" s="206">
        <v>105631</v>
      </c>
      <c r="C770" s="207" t="s">
        <v>1361</v>
      </c>
      <c r="D770" s="208" t="s">
        <v>664</v>
      </c>
      <c r="E770" s="209">
        <v>73.27</v>
      </c>
      <c r="F770" s="209">
        <v>4.1399999999999997</v>
      </c>
      <c r="G770" s="209">
        <v>77.41</v>
      </c>
      <c r="H770" s="198"/>
    </row>
    <row r="771" spans="1:8" ht="15.75" hidden="1" customHeight="1" x14ac:dyDescent="0.25">
      <c r="A771" s="205" t="s">
        <v>1308</v>
      </c>
      <c r="B771" s="206">
        <v>105585</v>
      </c>
      <c r="C771" s="207" t="s">
        <v>1362</v>
      </c>
      <c r="D771" s="208" t="s">
        <v>664</v>
      </c>
      <c r="E771" s="209">
        <v>82.08</v>
      </c>
      <c r="F771" s="209">
        <v>14.84</v>
      </c>
      <c r="G771" s="209">
        <v>96.92</v>
      </c>
      <c r="H771" s="198"/>
    </row>
    <row r="772" spans="1:8" ht="15.75" hidden="1" customHeight="1" x14ac:dyDescent="0.25">
      <c r="A772" s="205" t="s">
        <v>1308</v>
      </c>
      <c r="B772" s="206">
        <v>100572</v>
      </c>
      <c r="C772" s="207" t="s">
        <v>1363</v>
      </c>
      <c r="D772" s="208" t="s">
        <v>664</v>
      </c>
      <c r="E772" s="209">
        <v>74.930000000000007</v>
      </c>
      <c r="F772" s="209">
        <v>10.96</v>
      </c>
      <c r="G772" s="209">
        <v>85.89</v>
      </c>
      <c r="H772" s="198"/>
    </row>
    <row r="773" spans="1:8" ht="15.75" hidden="1" customHeight="1" x14ac:dyDescent="0.25">
      <c r="A773" s="205" t="s">
        <v>1308</v>
      </c>
      <c r="B773" s="206">
        <v>105588</v>
      </c>
      <c r="C773" s="207" t="s">
        <v>1364</v>
      </c>
      <c r="D773" s="208" t="s">
        <v>664</v>
      </c>
      <c r="E773" s="209">
        <v>74.08</v>
      </c>
      <c r="F773" s="209">
        <v>10.68</v>
      </c>
      <c r="G773" s="209">
        <v>84.76</v>
      </c>
      <c r="H773" s="198"/>
    </row>
    <row r="774" spans="1:8" ht="15.75" hidden="1" customHeight="1" x14ac:dyDescent="0.25">
      <c r="A774" s="205" t="s">
        <v>1308</v>
      </c>
      <c r="B774" s="206">
        <v>105592</v>
      </c>
      <c r="C774" s="207" t="s">
        <v>1365</v>
      </c>
      <c r="D774" s="208" t="s">
        <v>664</v>
      </c>
      <c r="E774" s="209">
        <v>73.319999999999993</v>
      </c>
      <c r="F774" s="209">
        <v>14.84</v>
      </c>
      <c r="G774" s="209">
        <v>88.16</v>
      </c>
      <c r="H774" s="198"/>
    </row>
    <row r="775" spans="1:8" ht="15.75" hidden="1" customHeight="1" x14ac:dyDescent="0.25">
      <c r="A775" s="205" t="s">
        <v>1308</v>
      </c>
      <c r="B775" s="206">
        <v>100573</v>
      </c>
      <c r="C775" s="207" t="s">
        <v>1366</v>
      </c>
      <c r="D775" s="208" t="s">
        <v>664</v>
      </c>
      <c r="E775" s="209">
        <v>66.17</v>
      </c>
      <c r="F775" s="209">
        <v>10.96</v>
      </c>
      <c r="G775" s="209">
        <v>77.13</v>
      </c>
      <c r="H775" s="198"/>
    </row>
    <row r="776" spans="1:8" ht="15.75" hidden="1" customHeight="1" x14ac:dyDescent="0.25">
      <c r="A776" s="205" t="s">
        <v>1308</v>
      </c>
      <c r="B776" s="206">
        <v>105595</v>
      </c>
      <c r="C776" s="207" t="s">
        <v>1367</v>
      </c>
      <c r="D776" s="208" t="s">
        <v>664</v>
      </c>
      <c r="E776" s="209">
        <v>65.31</v>
      </c>
      <c r="F776" s="209">
        <v>10.69</v>
      </c>
      <c r="G776" s="209">
        <v>76</v>
      </c>
      <c r="H776" s="198"/>
    </row>
    <row r="777" spans="1:8" ht="15.75" hidden="1" customHeight="1" x14ac:dyDescent="0.25">
      <c r="A777" s="205" t="s">
        <v>1308</v>
      </c>
      <c r="B777" s="206">
        <v>105566</v>
      </c>
      <c r="C777" s="207" t="s">
        <v>1368</v>
      </c>
      <c r="D777" s="208" t="s">
        <v>664</v>
      </c>
      <c r="E777" s="209">
        <v>9.77</v>
      </c>
      <c r="F777" s="209">
        <v>2.8</v>
      </c>
      <c r="G777" s="209">
        <v>12.57</v>
      </c>
      <c r="H777" s="198"/>
    </row>
    <row r="778" spans="1:8" ht="15.75" hidden="1" customHeight="1" x14ac:dyDescent="0.25">
      <c r="A778" s="205" t="s">
        <v>1308</v>
      </c>
      <c r="B778" s="206">
        <v>96388</v>
      </c>
      <c r="C778" s="207" t="s">
        <v>1369</v>
      </c>
      <c r="D778" s="208" t="s">
        <v>664</v>
      </c>
      <c r="E778" s="209">
        <v>7.9</v>
      </c>
      <c r="F778" s="209">
        <v>2.16</v>
      </c>
      <c r="G778" s="209">
        <v>10.06</v>
      </c>
      <c r="H778" s="198"/>
    </row>
    <row r="779" spans="1:8" ht="15.75" hidden="1" customHeight="1" x14ac:dyDescent="0.25">
      <c r="A779" s="205" t="s">
        <v>1308</v>
      </c>
      <c r="B779" s="206">
        <v>105569</v>
      </c>
      <c r="C779" s="207" t="s">
        <v>1370</v>
      </c>
      <c r="D779" s="208" t="s">
        <v>664</v>
      </c>
      <c r="E779" s="209">
        <v>6.58</v>
      </c>
      <c r="F779" s="209">
        <v>1.76</v>
      </c>
      <c r="G779" s="209">
        <v>8.34</v>
      </c>
      <c r="H779" s="198"/>
    </row>
    <row r="780" spans="1:8" ht="15.75" hidden="1" customHeight="1" x14ac:dyDescent="0.25">
      <c r="A780" s="205" t="s">
        <v>1308</v>
      </c>
      <c r="B780" s="206">
        <v>101767</v>
      </c>
      <c r="C780" s="207" t="s">
        <v>1371</v>
      </c>
      <c r="D780" s="208" t="s">
        <v>664</v>
      </c>
      <c r="E780" s="209">
        <v>22.7</v>
      </c>
      <c r="F780" s="209">
        <v>10.96</v>
      </c>
      <c r="G780" s="209">
        <v>33.659999999999997</v>
      </c>
      <c r="H780" s="198"/>
    </row>
    <row r="781" spans="1:8" ht="15.75" hidden="1" customHeight="1" x14ac:dyDescent="0.25">
      <c r="A781" s="205" t="s">
        <v>1308</v>
      </c>
      <c r="B781" s="206">
        <v>101768</v>
      </c>
      <c r="C781" s="207" t="s">
        <v>1372</v>
      </c>
      <c r="D781" s="208" t="s">
        <v>664</v>
      </c>
      <c r="E781" s="209">
        <v>20.75</v>
      </c>
      <c r="F781" s="209">
        <v>7.89</v>
      </c>
      <c r="G781" s="209">
        <v>28.64</v>
      </c>
      <c r="H781" s="198"/>
    </row>
    <row r="782" spans="1:8" ht="15.75" hidden="1" customHeight="1" x14ac:dyDescent="0.25">
      <c r="A782" s="205" t="s">
        <v>1308</v>
      </c>
      <c r="B782" s="206">
        <v>100574</v>
      </c>
      <c r="C782" s="207" t="s">
        <v>1373</v>
      </c>
      <c r="D782" s="208" t="s">
        <v>664</v>
      </c>
      <c r="E782" s="209">
        <v>1.1399999999999999</v>
      </c>
      <c r="F782" s="209">
        <v>0.38</v>
      </c>
      <c r="G782" s="209">
        <v>1.52</v>
      </c>
      <c r="H782" s="198"/>
    </row>
    <row r="783" spans="1:8" ht="15.75" hidden="1" customHeight="1" x14ac:dyDescent="0.25">
      <c r="A783" s="205" t="s">
        <v>1308</v>
      </c>
      <c r="B783" s="206">
        <v>105562</v>
      </c>
      <c r="C783" s="207" t="s">
        <v>1374</v>
      </c>
      <c r="D783" s="208" t="s">
        <v>664</v>
      </c>
      <c r="E783" s="209">
        <v>7.3</v>
      </c>
      <c r="F783" s="209">
        <v>2</v>
      </c>
      <c r="G783" s="209">
        <v>9.3000000000000007</v>
      </c>
      <c r="H783" s="198"/>
    </row>
    <row r="784" spans="1:8" ht="15.75" hidden="1" customHeight="1" x14ac:dyDescent="0.25">
      <c r="A784" s="205" t="s">
        <v>1308</v>
      </c>
      <c r="B784" s="206">
        <v>105563</v>
      </c>
      <c r="C784" s="207" t="s">
        <v>1375</v>
      </c>
      <c r="D784" s="208" t="s">
        <v>664</v>
      </c>
      <c r="E784" s="209">
        <v>5.93</v>
      </c>
      <c r="F784" s="209">
        <v>1.56</v>
      </c>
      <c r="G784" s="209">
        <v>7.49</v>
      </c>
      <c r="H784" s="198"/>
    </row>
    <row r="785" spans="1:8" ht="15.75" hidden="1" customHeight="1" x14ac:dyDescent="0.25">
      <c r="A785" s="205" t="s">
        <v>1308</v>
      </c>
      <c r="B785" s="206">
        <v>105565</v>
      </c>
      <c r="C785" s="207" t="s">
        <v>1376</v>
      </c>
      <c r="D785" s="208" t="s">
        <v>664</v>
      </c>
      <c r="E785" s="209">
        <v>5.49</v>
      </c>
      <c r="F785" s="209">
        <v>1.46</v>
      </c>
      <c r="G785" s="209">
        <v>6.95</v>
      </c>
      <c r="H785" s="198"/>
    </row>
    <row r="786" spans="1:8" ht="15.75" hidden="1" customHeight="1" x14ac:dyDescent="0.25">
      <c r="A786" s="205" t="s">
        <v>1308</v>
      </c>
      <c r="B786" s="206">
        <v>105557</v>
      </c>
      <c r="C786" s="207" t="s">
        <v>1377</v>
      </c>
      <c r="D786" s="208" t="s">
        <v>664</v>
      </c>
      <c r="E786" s="209">
        <v>13.04</v>
      </c>
      <c r="F786" s="209">
        <v>4.82</v>
      </c>
      <c r="G786" s="209">
        <v>17.86</v>
      </c>
      <c r="H786" s="198"/>
    </row>
    <row r="787" spans="1:8" ht="15.75" hidden="1" customHeight="1" x14ac:dyDescent="0.25">
      <c r="A787" s="205" t="s">
        <v>1308</v>
      </c>
      <c r="B787" s="206">
        <v>105558</v>
      </c>
      <c r="C787" s="207" t="s">
        <v>1378</v>
      </c>
      <c r="D787" s="208" t="s">
        <v>664</v>
      </c>
      <c r="E787" s="209">
        <v>11.26</v>
      </c>
      <c r="F787" s="209">
        <v>4.13</v>
      </c>
      <c r="G787" s="209">
        <v>15.39</v>
      </c>
      <c r="H787" s="198"/>
    </row>
    <row r="788" spans="1:8" ht="15.75" hidden="1" customHeight="1" x14ac:dyDescent="0.25">
      <c r="A788" s="205" t="s">
        <v>1308</v>
      </c>
      <c r="B788" s="206">
        <v>105560</v>
      </c>
      <c r="C788" s="207" t="s">
        <v>1379</v>
      </c>
      <c r="D788" s="208" t="s">
        <v>664</v>
      </c>
      <c r="E788" s="209">
        <v>10.27</v>
      </c>
      <c r="F788" s="209">
        <v>3.76</v>
      </c>
      <c r="G788" s="209">
        <v>14.03</v>
      </c>
      <c r="H788" s="198"/>
    </row>
    <row r="789" spans="1:8" ht="15.75" hidden="1" customHeight="1" x14ac:dyDescent="0.25">
      <c r="A789" s="205" t="s">
        <v>1308</v>
      </c>
      <c r="B789" s="206">
        <v>96386</v>
      </c>
      <c r="C789" s="207" t="s">
        <v>1380</v>
      </c>
      <c r="D789" s="208" t="s">
        <v>664</v>
      </c>
      <c r="E789" s="209">
        <v>5.88</v>
      </c>
      <c r="F789" s="209">
        <v>1.56</v>
      </c>
      <c r="G789" s="209">
        <v>7.44</v>
      </c>
      <c r="H789" s="198"/>
    </row>
    <row r="790" spans="1:8" ht="15.75" hidden="1" customHeight="1" x14ac:dyDescent="0.25">
      <c r="A790" s="205" t="s">
        <v>1308</v>
      </c>
      <c r="B790" s="206">
        <v>105564</v>
      </c>
      <c r="C790" s="207" t="s">
        <v>1381</v>
      </c>
      <c r="D790" s="208" t="s">
        <v>664</v>
      </c>
      <c r="E790" s="209">
        <v>5.44</v>
      </c>
      <c r="F790" s="209">
        <v>1.46</v>
      </c>
      <c r="G790" s="209">
        <v>6.9</v>
      </c>
      <c r="H790" s="198"/>
    </row>
    <row r="791" spans="1:8" ht="15.75" hidden="1" customHeight="1" x14ac:dyDescent="0.25">
      <c r="A791" s="205" t="s">
        <v>1308</v>
      </c>
      <c r="B791" s="206">
        <v>105561</v>
      </c>
      <c r="C791" s="207" t="s">
        <v>1382</v>
      </c>
      <c r="D791" s="208" t="s">
        <v>664</v>
      </c>
      <c r="E791" s="209">
        <v>7.11</v>
      </c>
      <c r="F791" s="209">
        <v>2.0099999999999998</v>
      </c>
      <c r="G791" s="209">
        <v>9.1199999999999992</v>
      </c>
      <c r="H791" s="198"/>
    </row>
    <row r="792" spans="1:8" ht="15.75" hidden="1" customHeight="1" x14ac:dyDescent="0.25">
      <c r="A792" s="205" t="s">
        <v>1308</v>
      </c>
      <c r="B792" s="206">
        <v>96385</v>
      </c>
      <c r="C792" s="207" t="s">
        <v>1383</v>
      </c>
      <c r="D792" s="208" t="s">
        <v>664</v>
      </c>
      <c r="E792" s="209">
        <v>10.220000000000001</v>
      </c>
      <c r="F792" s="209">
        <v>3.66</v>
      </c>
      <c r="G792" s="209">
        <v>13.88</v>
      </c>
      <c r="H792" s="198"/>
    </row>
    <row r="793" spans="1:8" ht="15.75" hidden="1" customHeight="1" x14ac:dyDescent="0.25">
      <c r="A793" s="205" t="s">
        <v>1308</v>
      </c>
      <c r="B793" s="206">
        <v>105556</v>
      </c>
      <c r="C793" s="207" t="s">
        <v>1384</v>
      </c>
      <c r="D793" s="208" t="s">
        <v>664</v>
      </c>
      <c r="E793" s="209">
        <v>11.5</v>
      </c>
      <c r="F793" s="209">
        <v>4.12</v>
      </c>
      <c r="G793" s="209">
        <v>15.62</v>
      </c>
      <c r="H793" s="198"/>
    </row>
    <row r="794" spans="1:8" ht="15.75" hidden="1" customHeight="1" x14ac:dyDescent="0.25">
      <c r="A794" s="205" t="s">
        <v>1308</v>
      </c>
      <c r="B794" s="206">
        <v>105559</v>
      </c>
      <c r="C794" s="207" t="s">
        <v>1385</v>
      </c>
      <c r="D794" s="208" t="s">
        <v>664</v>
      </c>
      <c r="E794" s="209">
        <v>8.6999999999999993</v>
      </c>
      <c r="F794" s="209">
        <v>3.08</v>
      </c>
      <c r="G794" s="209">
        <v>11.78</v>
      </c>
      <c r="H794" s="198"/>
    </row>
    <row r="795" spans="1:8" ht="15.75" hidden="1" customHeight="1" x14ac:dyDescent="0.25">
      <c r="A795" s="205" t="s">
        <v>1308</v>
      </c>
      <c r="B795" s="206">
        <v>105733</v>
      </c>
      <c r="C795" s="207" t="s">
        <v>1386</v>
      </c>
      <c r="D795" s="208" t="s">
        <v>664</v>
      </c>
      <c r="E795" s="209">
        <v>183.2</v>
      </c>
      <c r="F795" s="209">
        <v>10.47</v>
      </c>
      <c r="G795" s="209">
        <v>193.67</v>
      </c>
      <c r="H795" s="198"/>
    </row>
    <row r="796" spans="1:8" ht="15.75" hidden="1" customHeight="1" x14ac:dyDescent="0.25">
      <c r="A796" s="205" t="s">
        <v>1308</v>
      </c>
      <c r="B796" s="206">
        <v>105734</v>
      </c>
      <c r="C796" s="207" t="s">
        <v>1387</v>
      </c>
      <c r="D796" s="208" t="s">
        <v>664</v>
      </c>
      <c r="E796" s="209">
        <v>178.24</v>
      </c>
      <c r="F796" s="209">
        <v>8.5500000000000007</v>
      </c>
      <c r="G796" s="209">
        <v>186.79</v>
      </c>
      <c r="H796" s="198"/>
    </row>
    <row r="797" spans="1:8" ht="15.75" hidden="1" customHeight="1" x14ac:dyDescent="0.25">
      <c r="A797" s="205" t="s">
        <v>1308</v>
      </c>
      <c r="B797" s="206">
        <v>105736</v>
      </c>
      <c r="C797" s="207" t="s">
        <v>1388</v>
      </c>
      <c r="D797" s="208" t="s">
        <v>664</v>
      </c>
      <c r="E797" s="209">
        <v>175.69</v>
      </c>
      <c r="F797" s="209">
        <v>7.62</v>
      </c>
      <c r="G797" s="209">
        <v>183.31</v>
      </c>
      <c r="H797" s="198"/>
    </row>
    <row r="798" spans="1:8" ht="15.75" hidden="1" customHeight="1" x14ac:dyDescent="0.25">
      <c r="A798" s="205" t="s">
        <v>1308</v>
      </c>
      <c r="B798" s="206">
        <v>105728</v>
      </c>
      <c r="C798" s="207" t="s">
        <v>1389</v>
      </c>
      <c r="D798" s="208" t="s">
        <v>664</v>
      </c>
      <c r="E798" s="209">
        <v>122.06</v>
      </c>
      <c r="F798" s="209">
        <v>9.0399999999999991</v>
      </c>
      <c r="G798" s="209">
        <v>131.1</v>
      </c>
      <c r="H798" s="198"/>
    </row>
    <row r="799" spans="1:8" ht="15.75" hidden="1" customHeight="1" x14ac:dyDescent="0.25">
      <c r="A799" s="205" t="s">
        <v>1308</v>
      </c>
      <c r="B799" s="206">
        <v>105729</v>
      </c>
      <c r="C799" s="207" t="s">
        <v>1390</v>
      </c>
      <c r="D799" s="208" t="s">
        <v>664</v>
      </c>
      <c r="E799" s="209">
        <v>118.2</v>
      </c>
      <c r="F799" s="209">
        <v>7.62</v>
      </c>
      <c r="G799" s="209">
        <v>125.82</v>
      </c>
      <c r="H799" s="198"/>
    </row>
    <row r="800" spans="1:8" ht="15.75" hidden="1" customHeight="1" x14ac:dyDescent="0.25">
      <c r="A800" s="205" t="s">
        <v>1308</v>
      </c>
      <c r="B800" s="206">
        <v>105731</v>
      </c>
      <c r="C800" s="207" t="s">
        <v>1391</v>
      </c>
      <c r="D800" s="208" t="s">
        <v>664</v>
      </c>
      <c r="E800" s="209">
        <v>116.25</v>
      </c>
      <c r="F800" s="209">
        <v>6.89</v>
      </c>
      <c r="G800" s="209">
        <v>123.14</v>
      </c>
      <c r="H800" s="198"/>
    </row>
    <row r="801" spans="1:8" ht="15.75" hidden="1" customHeight="1" x14ac:dyDescent="0.25">
      <c r="A801" s="205" t="s">
        <v>1308</v>
      </c>
      <c r="B801" s="206">
        <v>105738</v>
      </c>
      <c r="C801" s="207" t="s">
        <v>1392</v>
      </c>
      <c r="D801" s="208" t="s">
        <v>664</v>
      </c>
      <c r="E801" s="209">
        <v>258.12</v>
      </c>
      <c r="F801" s="209">
        <v>10.39</v>
      </c>
      <c r="G801" s="209">
        <v>268.51</v>
      </c>
      <c r="H801" s="198"/>
    </row>
    <row r="802" spans="1:8" ht="15.75" hidden="1" customHeight="1" x14ac:dyDescent="0.25">
      <c r="A802" s="205" t="s">
        <v>1308</v>
      </c>
      <c r="B802" s="206">
        <v>105739</v>
      </c>
      <c r="C802" s="207" t="s">
        <v>1393</v>
      </c>
      <c r="D802" s="208" t="s">
        <v>664</v>
      </c>
      <c r="E802" s="209">
        <v>254.38</v>
      </c>
      <c r="F802" s="209">
        <v>8.9499999999999993</v>
      </c>
      <c r="G802" s="209">
        <v>263.33</v>
      </c>
      <c r="H802" s="198"/>
    </row>
    <row r="803" spans="1:8" ht="15.75" hidden="1" customHeight="1" x14ac:dyDescent="0.25">
      <c r="A803" s="205" t="s">
        <v>1308</v>
      </c>
      <c r="B803" s="206">
        <v>105741</v>
      </c>
      <c r="C803" s="207" t="s">
        <v>1394</v>
      </c>
      <c r="D803" s="208" t="s">
        <v>664</v>
      </c>
      <c r="E803" s="209">
        <v>252.37</v>
      </c>
      <c r="F803" s="209">
        <v>8.23</v>
      </c>
      <c r="G803" s="209">
        <v>260.60000000000002</v>
      </c>
      <c r="H803" s="198"/>
    </row>
    <row r="804" spans="1:8" ht="15.75" hidden="1" customHeight="1" x14ac:dyDescent="0.25">
      <c r="A804" s="205" t="s">
        <v>1308</v>
      </c>
      <c r="B804" s="206">
        <v>105750</v>
      </c>
      <c r="C804" s="207" t="s">
        <v>1395</v>
      </c>
      <c r="D804" s="208" t="s">
        <v>664</v>
      </c>
      <c r="E804" s="209">
        <v>115.1</v>
      </c>
      <c r="F804" s="209">
        <v>11.98</v>
      </c>
      <c r="G804" s="209">
        <v>127.08</v>
      </c>
      <c r="H804" s="198"/>
    </row>
    <row r="805" spans="1:8" ht="15.75" hidden="1" customHeight="1" x14ac:dyDescent="0.25">
      <c r="A805" s="205" t="s">
        <v>1308</v>
      </c>
      <c r="B805" s="206">
        <v>105751</v>
      </c>
      <c r="C805" s="207" t="s">
        <v>1396</v>
      </c>
      <c r="D805" s="208" t="s">
        <v>664</v>
      </c>
      <c r="E805" s="209">
        <v>113.09</v>
      </c>
      <c r="F805" s="209">
        <v>11.34</v>
      </c>
      <c r="G805" s="209">
        <v>124.43</v>
      </c>
      <c r="H805" s="198"/>
    </row>
    <row r="806" spans="1:8" ht="15.75" hidden="1" customHeight="1" x14ac:dyDescent="0.25">
      <c r="A806" s="205" t="s">
        <v>1308</v>
      </c>
      <c r="B806" s="206">
        <v>105753</v>
      </c>
      <c r="C806" s="207" t="s">
        <v>1397</v>
      </c>
      <c r="D806" s="208" t="s">
        <v>664</v>
      </c>
      <c r="E806" s="209">
        <v>111.31</v>
      </c>
      <c r="F806" s="209">
        <v>10.68</v>
      </c>
      <c r="G806" s="209">
        <v>121.99</v>
      </c>
      <c r="H806" s="198"/>
    </row>
    <row r="807" spans="1:8" ht="15.75" hidden="1" customHeight="1" x14ac:dyDescent="0.25">
      <c r="A807" s="205" t="s">
        <v>1308</v>
      </c>
      <c r="B807" s="206">
        <v>105755</v>
      </c>
      <c r="C807" s="207" t="s">
        <v>1398</v>
      </c>
      <c r="D807" s="208" t="s">
        <v>664</v>
      </c>
      <c r="E807" s="209">
        <v>109.64</v>
      </c>
      <c r="F807" s="209">
        <v>10.01</v>
      </c>
      <c r="G807" s="209">
        <v>119.65</v>
      </c>
      <c r="H807" s="198"/>
    </row>
    <row r="808" spans="1:8" ht="15.75" hidden="1" customHeight="1" x14ac:dyDescent="0.25">
      <c r="A808" s="205" t="s">
        <v>1308</v>
      </c>
      <c r="B808" s="206">
        <v>105743</v>
      </c>
      <c r="C808" s="207" t="s">
        <v>1399</v>
      </c>
      <c r="D808" s="208" t="s">
        <v>664</v>
      </c>
      <c r="E808" s="209">
        <v>85.74</v>
      </c>
      <c r="F808" s="209">
        <v>8.2799999999999994</v>
      </c>
      <c r="G808" s="209">
        <v>94.02</v>
      </c>
      <c r="H808" s="198"/>
    </row>
    <row r="809" spans="1:8" ht="15.75" hidden="1" customHeight="1" x14ac:dyDescent="0.25">
      <c r="A809" s="205" t="s">
        <v>1308</v>
      </c>
      <c r="B809" s="206">
        <v>105744</v>
      </c>
      <c r="C809" s="207" t="s">
        <v>1400</v>
      </c>
      <c r="D809" s="208" t="s">
        <v>664</v>
      </c>
      <c r="E809" s="209">
        <v>84.01</v>
      </c>
      <c r="F809" s="209">
        <v>7.51</v>
      </c>
      <c r="G809" s="209">
        <v>91.52</v>
      </c>
      <c r="H809" s="198"/>
    </row>
    <row r="810" spans="1:8" ht="15.75" hidden="1" customHeight="1" x14ac:dyDescent="0.25">
      <c r="A810" s="205" t="s">
        <v>1308</v>
      </c>
      <c r="B810" s="206">
        <v>105746</v>
      </c>
      <c r="C810" s="207" t="s">
        <v>1401</v>
      </c>
      <c r="D810" s="208" t="s">
        <v>664</v>
      </c>
      <c r="E810" s="209">
        <v>82.28</v>
      </c>
      <c r="F810" s="209">
        <v>6.72</v>
      </c>
      <c r="G810" s="209">
        <v>89</v>
      </c>
      <c r="H810" s="198"/>
    </row>
    <row r="811" spans="1:8" ht="15.75" hidden="1" customHeight="1" x14ac:dyDescent="0.25">
      <c r="A811" s="205" t="s">
        <v>1308</v>
      </c>
      <c r="B811" s="206">
        <v>105748</v>
      </c>
      <c r="C811" s="207" t="s">
        <v>1402</v>
      </c>
      <c r="D811" s="208" t="s">
        <v>664</v>
      </c>
      <c r="E811" s="209">
        <v>80.52</v>
      </c>
      <c r="F811" s="209">
        <v>5.96</v>
      </c>
      <c r="G811" s="209">
        <v>86.48</v>
      </c>
      <c r="H811" s="198"/>
    </row>
    <row r="812" spans="1:8" ht="15.75" hidden="1" customHeight="1" x14ac:dyDescent="0.25">
      <c r="A812" s="205" t="s">
        <v>1308</v>
      </c>
      <c r="B812" s="206">
        <v>105660</v>
      </c>
      <c r="C812" s="207" t="s">
        <v>1403</v>
      </c>
      <c r="D812" s="208" t="s">
        <v>664</v>
      </c>
      <c r="E812" s="209">
        <v>145.76</v>
      </c>
      <c r="F812" s="209">
        <v>16.73</v>
      </c>
      <c r="G812" s="209">
        <v>162.49</v>
      </c>
      <c r="H812" s="198"/>
    </row>
    <row r="813" spans="1:8" ht="15.75" hidden="1" customHeight="1" x14ac:dyDescent="0.25">
      <c r="A813" s="205" t="s">
        <v>1308</v>
      </c>
      <c r="B813" s="206">
        <v>105663</v>
      </c>
      <c r="C813" s="207" t="s">
        <v>1404</v>
      </c>
      <c r="D813" s="208" t="s">
        <v>664</v>
      </c>
      <c r="E813" s="209">
        <v>138.5</v>
      </c>
      <c r="F813" s="209">
        <v>12.73</v>
      </c>
      <c r="G813" s="209">
        <v>151.22999999999999</v>
      </c>
      <c r="H813" s="198"/>
    </row>
    <row r="814" spans="1:8" ht="15.75" hidden="1" customHeight="1" x14ac:dyDescent="0.25">
      <c r="A814" s="205" t="s">
        <v>1308</v>
      </c>
      <c r="B814" s="206">
        <v>105669</v>
      </c>
      <c r="C814" s="207" t="s">
        <v>1405</v>
      </c>
      <c r="D814" s="208" t="s">
        <v>664</v>
      </c>
      <c r="E814" s="209">
        <v>134.83000000000001</v>
      </c>
      <c r="F814" s="209">
        <v>10.74</v>
      </c>
      <c r="G814" s="209">
        <v>145.57</v>
      </c>
      <c r="H814" s="198"/>
    </row>
    <row r="815" spans="1:8" ht="15.75" hidden="1" customHeight="1" x14ac:dyDescent="0.25">
      <c r="A815" s="205" t="s">
        <v>1308</v>
      </c>
      <c r="B815" s="206">
        <v>105661</v>
      </c>
      <c r="C815" s="207" t="s">
        <v>1406</v>
      </c>
      <c r="D815" s="208" t="s">
        <v>664</v>
      </c>
      <c r="E815" s="209">
        <v>174.37</v>
      </c>
      <c r="F815" s="209">
        <v>16.739999999999998</v>
      </c>
      <c r="G815" s="209">
        <v>191.11</v>
      </c>
      <c r="H815" s="198"/>
    </row>
    <row r="816" spans="1:8" ht="15.75" hidden="1" customHeight="1" x14ac:dyDescent="0.25">
      <c r="A816" s="205" t="s">
        <v>1308</v>
      </c>
      <c r="B816" s="206">
        <v>105664</v>
      </c>
      <c r="C816" s="207" t="s">
        <v>1407</v>
      </c>
      <c r="D816" s="208" t="s">
        <v>664</v>
      </c>
      <c r="E816" s="209">
        <v>167.12</v>
      </c>
      <c r="F816" s="209">
        <v>12.73</v>
      </c>
      <c r="G816" s="209">
        <v>179.85</v>
      </c>
      <c r="H816" s="198"/>
    </row>
    <row r="817" spans="1:8" ht="15.75" hidden="1" customHeight="1" x14ac:dyDescent="0.25">
      <c r="A817" s="205" t="s">
        <v>1308</v>
      </c>
      <c r="B817" s="206">
        <v>105670</v>
      </c>
      <c r="C817" s="207" t="s">
        <v>1408</v>
      </c>
      <c r="D817" s="208" t="s">
        <v>664</v>
      </c>
      <c r="E817" s="209">
        <v>163.44999999999999</v>
      </c>
      <c r="F817" s="209">
        <v>10.74</v>
      </c>
      <c r="G817" s="209">
        <v>174.19</v>
      </c>
      <c r="H817" s="198"/>
    </row>
    <row r="818" spans="1:8" ht="15.75" hidden="1" customHeight="1" x14ac:dyDescent="0.25">
      <c r="A818" s="205" t="s">
        <v>1308</v>
      </c>
      <c r="B818" s="206">
        <v>105662</v>
      </c>
      <c r="C818" s="207" t="s">
        <v>1409</v>
      </c>
      <c r="D818" s="208" t="s">
        <v>664</v>
      </c>
      <c r="E818" s="209">
        <v>202.61</v>
      </c>
      <c r="F818" s="209">
        <v>16.73</v>
      </c>
      <c r="G818" s="209">
        <v>219.34</v>
      </c>
      <c r="H818" s="198"/>
    </row>
    <row r="819" spans="1:8" ht="15.75" hidden="1" customHeight="1" x14ac:dyDescent="0.25">
      <c r="A819" s="205" t="s">
        <v>1308</v>
      </c>
      <c r="B819" s="206">
        <v>105665</v>
      </c>
      <c r="C819" s="207" t="s">
        <v>1410</v>
      </c>
      <c r="D819" s="208" t="s">
        <v>664</v>
      </c>
      <c r="E819" s="209">
        <v>195.35</v>
      </c>
      <c r="F819" s="209">
        <v>12.73</v>
      </c>
      <c r="G819" s="209">
        <v>208.08</v>
      </c>
      <c r="H819" s="198"/>
    </row>
    <row r="820" spans="1:8" ht="15.75" hidden="1" customHeight="1" x14ac:dyDescent="0.25">
      <c r="A820" s="205" t="s">
        <v>1308</v>
      </c>
      <c r="B820" s="206">
        <v>105671</v>
      </c>
      <c r="C820" s="207" t="s">
        <v>1411</v>
      </c>
      <c r="D820" s="208" t="s">
        <v>664</v>
      </c>
      <c r="E820" s="209">
        <v>191.68</v>
      </c>
      <c r="F820" s="209">
        <v>10.74</v>
      </c>
      <c r="G820" s="209">
        <v>202.42</v>
      </c>
      <c r="H820" s="198"/>
    </row>
    <row r="821" spans="1:8" ht="15.75" hidden="1" customHeight="1" x14ac:dyDescent="0.25">
      <c r="A821" s="205" t="s">
        <v>1308</v>
      </c>
      <c r="B821" s="206">
        <v>105577</v>
      </c>
      <c r="C821" s="207" t="s">
        <v>1412</v>
      </c>
      <c r="D821" s="208" t="s">
        <v>664</v>
      </c>
      <c r="E821" s="209">
        <v>84.7</v>
      </c>
      <c r="F821" s="209">
        <v>16.73</v>
      </c>
      <c r="G821" s="209">
        <v>101.43</v>
      </c>
      <c r="H821" s="198"/>
    </row>
    <row r="822" spans="1:8" ht="15.75" hidden="1" customHeight="1" x14ac:dyDescent="0.25">
      <c r="A822" s="205" t="s">
        <v>1308</v>
      </c>
      <c r="B822" s="206">
        <v>105578</v>
      </c>
      <c r="C822" s="207" t="s">
        <v>1413</v>
      </c>
      <c r="D822" s="208" t="s">
        <v>664</v>
      </c>
      <c r="E822" s="209">
        <v>77.44</v>
      </c>
      <c r="F822" s="209">
        <v>12.73</v>
      </c>
      <c r="G822" s="209">
        <v>90.17</v>
      </c>
      <c r="H822" s="198"/>
    </row>
    <row r="823" spans="1:8" ht="15.75" hidden="1" customHeight="1" x14ac:dyDescent="0.25">
      <c r="A823" s="205" t="s">
        <v>1308</v>
      </c>
      <c r="B823" s="206">
        <v>105712</v>
      </c>
      <c r="C823" s="207" t="s">
        <v>1414</v>
      </c>
      <c r="D823" s="208" t="s">
        <v>664</v>
      </c>
      <c r="E823" s="209">
        <v>73.77</v>
      </c>
      <c r="F823" s="209">
        <v>10.74</v>
      </c>
      <c r="G823" s="209">
        <v>84.51</v>
      </c>
      <c r="H823" s="198"/>
    </row>
    <row r="824" spans="1:8" ht="15.75" hidden="1" customHeight="1" x14ac:dyDescent="0.25">
      <c r="A824" s="205" t="s">
        <v>1308</v>
      </c>
      <c r="B824" s="206">
        <v>105693</v>
      </c>
      <c r="C824" s="207" t="s">
        <v>1415</v>
      </c>
      <c r="D824" s="208" t="s">
        <v>664</v>
      </c>
      <c r="E824" s="209">
        <v>137.33000000000001</v>
      </c>
      <c r="F824" s="209">
        <v>16.739999999999998</v>
      </c>
      <c r="G824" s="209">
        <v>154.07</v>
      </c>
      <c r="H824" s="198"/>
    </row>
    <row r="825" spans="1:8" ht="15.75" hidden="1" customHeight="1" x14ac:dyDescent="0.25">
      <c r="A825" s="205" t="s">
        <v>1308</v>
      </c>
      <c r="B825" s="206">
        <v>105696</v>
      </c>
      <c r="C825" s="207" t="s">
        <v>1416</v>
      </c>
      <c r="D825" s="208" t="s">
        <v>664</v>
      </c>
      <c r="E825" s="209">
        <v>130.09</v>
      </c>
      <c r="F825" s="209">
        <v>12.72</v>
      </c>
      <c r="G825" s="209">
        <v>142.81</v>
      </c>
      <c r="H825" s="198"/>
    </row>
    <row r="826" spans="1:8" ht="15.75" hidden="1" customHeight="1" x14ac:dyDescent="0.25">
      <c r="A826" s="205" t="s">
        <v>1308</v>
      </c>
      <c r="B826" s="206">
        <v>105702</v>
      </c>
      <c r="C826" s="207" t="s">
        <v>1417</v>
      </c>
      <c r="D826" s="208" t="s">
        <v>664</v>
      </c>
      <c r="E826" s="209">
        <v>126.4</v>
      </c>
      <c r="F826" s="209">
        <v>10.75</v>
      </c>
      <c r="G826" s="209">
        <v>137.15</v>
      </c>
      <c r="H826" s="198"/>
    </row>
    <row r="827" spans="1:8" ht="15.75" hidden="1" customHeight="1" x14ac:dyDescent="0.25">
      <c r="A827" s="205" t="s">
        <v>1308</v>
      </c>
      <c r="B827" s="206">
        <v>105694</v>
      </c>
      <c r="C827" s="207" t="s">
        <v>1418</v>
      </c>
      <c r="D827" s="208" t="s">
        <v>664</v>
      </c>
      <c r="E827" s="209">
        <v>166.15</v>
      </c>
      <c r="F827" s="209">
        <v>16.73</v>
      </c>
      <c r="G827" s="209">
        <v>182.88</v>
      </c>
      <c r="H827" s="198"/>
    </row>
    <row r="828" spans="1:8" ht="15.75" hidden="1" customHeight="1" x14ac:dyDescent="0.25">
      <c r="A828" s="205" t="s">
        <v>1308</v>
      </c>
      <c r="B828" s="206">
        <v>105697</v>
      </c>
      <c r="C828" s="207" t="s">
        <v>1419</v>
      </c>
      <c r="D828" s="208" t="s">
        <v>664</v>
      </c>
      <c r="E828" s="209">
        <v>158.88999999999999</v>
      </c>
      <c r="F828" s="209">
        <v>12.73</v>
      </c>
      <c r="G828" s="209">
        <v>171.62</v>
      </c>
      <c r="H828" s="198"/>
    </row>
    <row r="829" spans="1:8" ht="15.75" hidden="1" customHeight="1" x14ac:dyDescent="0.25">
      <c r="A829" s="205" t="s">
        <v>1308</v>
      </c>
      <c r="B829" s="206">
        <v>105703</v>
      </c>
      <c r="C829" s="207" t="s">
        <v>1420</v>
      </c>
      <c r="D829" s="208" t="s">
        <v>664</v>
      </c>
      <c r="E829" s="209">
        <v>155.21</v>
      </c>
      <c r="F829" s="209">
        <v>10.75</v>
      </c>
      <c r="G829" s="209">
        <v>165.96</v>
      </c>
      <c r="H829" s="198"/>
    </row>
    <row r="830" spans="1:8" ht="15.75" hidden="1" customHeight="1" x14ac:dyDescent="0.25">
      <c r="A830" s="205" t="s">
        <v>1308</v>
      </c>
      <c r="B830" s="206">
        <v>105695</v>
      </c>
      <c r="C830" s="207" t="s">
        <v>1421</v>
      </c>
      <c r="D830" s="208" t="s">
        <v>664</v>
      </c>
      <c r="E830" s="209">
        <v>194.55</v>
      </c>
      <c r="F830" s="209">
        <v>16.73</v>
      </c>
      <c r="G830" s="209">
        <v>211.28</v>
      </c>
      <c r="H830" s="198"/>
    </row>
    <row r="831" spans="1:8" ht="15.75" hidden="1" customHeight="1" x14ac:dyDescent="0.25">
      <c r="A831" s="205" t="s">
        <v>1308</v>
      </c>
      <c r="B831" s="206">
        <v>105698</v>
      </c>
      <c r="C831" s="207" t="s">
        <v>1422</v>
      </c>
      <c r="D831" s="208" t="s">
        <v>664</v>
      </c>
      <c r="E831" s="209">
        <v>187.3</v>
      </c>
      <c r="F831" s="209">
        <v>12.72</v>
      </c>
      <c r="G831" s="209">
        <v>200.02</v>
      </c>
      <c r="H831" s="198"/>
    </row>
    <row r="832" spans="1:8" ht="15.75" hidden="1" customHeight="1" x14ac:dyDescent="0.25">
      <c r="A832" s="205" t="s">
        <v>1308</v>
      </c>
      <c r="B832" s="206">
        <v>105704</v>
      </c>
      <c r="C832" s="207" t="s">
        <v>1423</v>
      </c>
      <c r="D832" s="208" t="s">
        <v>664</v>
      </c>
      <c r="E832" s="209">
        <v>183.62</v>
      </c>
      <c r="F832" s="209">
        <v>10.74</v>
      </c>
      <c r="G832" s="209">
        <v>194.36</v>
      </c>
      <c r="H832" s="198"/>
    </row>
    <row r="833" spans="1:8" ht="15.75" hidden="1" customHeight="1" x14ac:dyDescent="0.25">
      <c r="A833" s="205" t="s">
        <v>1308</v>
      </c>
      <c r="B833" s="206">
        <v>105579</v>
      </c>
      <c r="C833" s="207" t="s">
        <v>1424</v>
      </c>
      <c r="D833" s="208" t="s">
        <v>664</v>
      </c>
      <c r="E833" s="209">
        <v>75.94</v>
      </c>
      <c r="F833" s="209">
        <v>16.73</v>
      </c>
      <c r="G833" s="209">
        <v>92.67</v>
      </c>
      <c r="H833" s="198"/>
    </row>
    <row r="834" spans="1:8" ht="15.75" hidden="1" customHeight="1" x14ac:dyDescent="0.25">
      <c r="A834" s="205" t="s">
        <v>1308</v>
      </c>
      <c r="B834" s="206">
        <v>105580</v>
      </c>
      <c r="C834" s="207" t="s">
        <v>1425</v>
      </c>
      <c r="D834" s="208" t="s">
        <v>664</v>
      </c>
      <c r="E834" s="209">
        <v>68.680000000000007</v>
      </c>
      <c r="F834" s="209">
        <v>12.73</v>
      </c>
      <c r="G834" s="209">
        <v>81.41</v>
      </c>
      <c r="H834" s="198"/>
    </row>
    <row r="835" spans="1:8" ht="15.75" hidden="1" customHeight="1" x14ac:dyDescent="0.25">
      <c r="A835" s="205" t="s">
        <v>1308</v>
      </c>
      <c r="B835" s="206">
        <v>105582</v>
      </c>
      <c r="C835" s="207" t="s">
        <v>1426</v>
      </c>
      <c r="D835" s="208" t="s">
        <v>664</v>
      </c>
      <c r="E835" s="209">
        <v>65.010000000000005</v>
      </c>
      <c r="F835" s="209">
        <v>10.74</v>
      </c>
      <c r="G835" s="209">
        <v>75.75</v>
      </c>
      <c r="H835" s="198"/>
    </row>
    <row r="836" spans="1:8" ht="15.75" hidden="1" customHeight="1" x14ac:dyDescent="0.25">
      <c r="A836" s="205" t="s">
        <v>1308</v>
      </c>
      <c r="B836" s="206">
        <v>105626</v>
      </c>
      <c r="C836" s="207" t="s">
        <v>1427</v>
      </c>
      <c r="D836" s="208" t="s">
        <v>664</v>
      </c>
      <c r="E836" s="209">
        <v>112.78</v>
      </c>
      <c r="F836" s="209">
        <v>9.5500000000000007</v>
      </c>
      <c r="G836" s="209">
        <v>122.33</v>
      </c>
      <c r="H836" s="198"/>
    </row>
    <row r="837" spans="1:8" ht="15.75" hidden="1" customHeight="1" x14ac:dyDescent="0.25">
      <c r="A837" s="205" t="s">
        <v>1308</v>
      </c>
      <c r="B837" s="206">
        <v>105629</v>
      </c>
      <c r="C837" s="207" t="s">
        <v>1428</v>
      </c>
      <c r="D837" s="208" t="s">
        <v>664</v>
      </c>
      <c r="E837" s="209">
        <v>106.93</v>
      </c>
      <c r="F837" s="209">
        <v>6.35</v>
      </c>
      <c r="G837" s="209">
        <v>113.28</v>
      </c>
      <c r="H837" s="198"/>
    </row>
    <row r="838" spans="1:8" ht="15.75" hidden="1" customHeight="1" x14ac:dyDescent="0.25">
      <c r="A838" s="205" t="s">
        <v>1308</v>
      </c>
      <c r="B838" s="206">
        <v>105635</v>
      </c>
      <c r="C838" s="207" t="s">
        <v>1429</v>
      </c>
      <c r="D838" s="208" t="s">
        <v>664</v>
      </c>
      <c r="E838" s="209">
        <v>105.96</v>
      </c>
      <c r="F838" s="209">
        <v>6.06</v>
      </c>
      <c r="G838" s="209">
        <v>112.02</v>
      </c>
      <c r="H838" s="198"/>
    </row>
    <row r="839" spans="1:8" ht="15.75" hidden="1" customHeight="1" x14ac:dyDescent="0.25">
      <c r="A839" s="205" t="s">
        <v>1308</v>
      </c>
      <c r="B839" s="206">
        <v>105627</v>
      </c>
      <c r="C839" s="207" t="s">
        <v>1430</v>
      </c>
      <c r="D839" s="208" t="s">
        <v>664</v>
      </c>
      <c r="E839" s="209">
        <v>142.06</v>
      </c>
      <c r="F839" s="209">
        <v>9.5500000000000007</v>
      </c>
      <c r="G839" s="209">
        <v>151.61000000000001</v>
      </c>
      <c r="H839" s="198"/>
    </row>
    <row r="840" spans="1:8" ht="15.75" hidden="1" customHeight="1" x14ac:dyDescent="0.25">
      <c r="A840" s="205" t="s">
        <v>1308</v>
      </c>
      <c r="B840" s="206">
        <v>105630</v>
      </c>
      <c r="C840" s="207" t="s">
        <v>1431</v>
      </c>
      <c r="D840" s="208" t="s">
        <v>664</v>
      </c>
      <c r="E840" s="209">
        <v>136.22</v>
      </c>
      <c r="F840" s="209">
        <v>6.34</v>
      </c>
      <c r="G840" s="209">
        <v>142.56</v>
      </c>
      <c r="H840" s="198"/>
    </row>
    <row r="841" spans="1:8" ht="15.75" hidden="1" customHeight="1" x14ac:dyDescent="0.25">
      <c r="A841" s="205" t="s">
        <v>1308</v>
      </c>
      <c r="B841" s="206">
        <v>105636</v>
      </c>
      <c r="C841" s="207" t="s">
        <v>1432</v>
      </c>
      <c r="D841" s="208" t="s">
        <v>664</v>
      </c>
      <c r="E841" s="209">
        <v>135.24</v>
      </c>
      <c r="F841" s="209">
        <v>6.06</v>
      </c>
      <c r="G841" s="209">
        <v>141.30000000000001</v>
      </c>
      <c r="H841" s="198"/>
    </row>
    <row r="842" spans="1:8" ht="15.75" hidden="1" customHeight="1" x14ac:dyDescent="0.25">
      <c r="A842" s="205" t="s">
        <v>1308</v>
      </c>
      <c r="B842" s="206">
        <v>105572</v>
      </c>
      <c r="C842" s="207" t="s">
        <v>1433</v>
      </c>
      <c r="D842" s="208" t="s">
        <v>664</v>
      </c>
      <c r="E842" s="209">
        <v>52.6</v>
      </c>
      <c r="F842" s="209">
        <v>9.5500000000000007</v>
      </c>
      <c r="G842" s="209">
        <v>62.15</v>
      </c>
      <c r="H842" s="198"/>
    </row>
    <row r="843" spans="1:8" ht="15.75" hidden="1" customHeight="1" x14ac:dyDescent="0.25">
      <c r="A843" s="205" t="s">
        <v>1308</v>
      </c>
      <c r="B843" s="206">
        <v>105574</v>
      </c>
      <c r="C843" s="207" t="s">
        <v>1434</v>
      </c>
      <c r="D843" s="208" t="s">
        <v>664</v>
      </c>
      <c r="E843" s="209">
        <v>46.75</v>
      </c>
      <c r="F843" s="209">
        <v>6.35</v>
      </c>
      <c r="G843" s="209">
        <v>53.1</v>
      </c>
      <c r="H843" s="198"/>
    </row>
    <row r="844" spans="1:8" ht="15.75" hidden="1" customHeight="1" x14ac:dyDescent="0.25">
      <c r="A844" s="205" t="s">
        <v>1308</v>
      </c>
      <c r="B844" s="206">
        <v>105576</v>
      </c>
      <c r="C844" s="207" t="s">
        <v>1435</v>
      </c>
      <c r="D844" s="208" t="s">
        <v>664</v>
      </c>
      <c r="E844" s="209">
        <v>45.78</v>
      </c>
      <c r="F844" s="209">
        <v>6.06</v>
      </c>
      <c r="G844" s="209">
        <v>51.84</v>
      </c>
      <c r="H844" s="198"/>
    </row>
    <row r="845" spans="1:8" ht="15.75" hidden="1" customHeight="1" x14ac:dyDescent="0.25">
      <c r="A845" s="205" t="s">
        <v>1308</v>
      </c>
      <c r="B845" s="206">
        <v>105573</v>
      </c>
      <c r="C845" s="207" t="s">
        <v>1436</v>
      </c>
      <c r="D845" s="208" t="s">
        <v>664</v>
      </c>
      <c r="E845" s="209">
        <v>83.1</v>
      </c>
      <c r="F845" s="209">
        <v>9.5500000000000007</v>
      </c>
      <c r="G845" s="209">
        <v>92.65</v>
      </c>
      <c r="H845" s="198"/>
    </row>
    <row r="846" spans="1:8" ht="15.75" hidden="1" customHeight="1" x14ac:dyDescent="0.25">
      <c r="A846" s="205" t="s">
        <v>1308</v>
      </c>
      <c r="B846" s="206">
        <v>105628</v>
      </c>
      <c r="C846" s="207" t="s">
        <v>1437</v>
      </c>
      <c r="D846" s="208" t="s">
        <v>664</v>
      </c>
      <c r="E846" s="209">
        <v>77.25</v>
      </c>
      <c r="F846" s="209">
        <v>6.35</v>
      </c>
      <c r="G846" s="209">
        <v>83.6</v>
      </c>
      <c r="H846" s="198"/>
    </row>
    <row r="847" spans="1:8" ht="15.75" hidden="1" customHeight="1" x14ac:dyDescent="0.25">
      <c r="A847" s="205" t="s">
        <v>1308</v>
      </c>
      <c r="B847" s="206">
        <v>105634</v>
      </c>
      <c r="C847" s="207" t="s">
        <v>1438</v>
      </c>
      <c r="D847" s="208" t="s">
        <v>664</v>
      </c>
      <c r="E847" s="209">
        <v>76.28</v>
      </c>
      <c r="F847" s="209">
        <v>6.06</v>
      </c>
      <c r="G847" s="209">
        <v>82.34</v>
      </c>
      <c r="H847" s="198"/>
    </row>
    <row r="848" spans="1:8" ht="15.75" hidden="1" customHeight="1" x14ac:dyDescent="0.25">
      <c r="A848" s="205" t="s">
        <v>1308</v>
      </c>
      <c r="B848" s="206">
        <v>105586</v>
      </c>
      <c r="C848" s="207" t="s">
        <v>1439</v>
      </c>
      <c r="D848" s="208" t="s">
        <v>664</v>
      </c>
      <c r="E848" s="209">
        <v>92.82</v>
      </c>
      <c r="F848" s="209">
        <v>21.55</v>
      </c>
      <c r="G848" s="209">
        <v>114.37</v>
      </c>
      <c r="H848" s="198"/>
    </row>
    <row r="849" spans="1:8" ht="15.75" hidden="1" customHeight="1" x14ac:dyDescent="0.25">
      <c r="A849" s="205" t="s">
        <v>1308</v>
      </c>
      <c r="B849" s="206">
        <v>105587</v>
      </c>
      <c r="C849" s="207" t="s">
        <v>1440</v>
      </c>
      <c r="D849" s="208" t="s">
        <v>664</v>
      </c>
      <c r="E849" s="209">
        <v>82.88</v>
      </c>
      <c r="F849" s="209">
        <v>15.93</v>
      </c>
      <c r="G849" s="209">
        <v>98.81</v>
      </c>
      <c r="H849" s="198"/>
    </row>
    <row r="850" spans="1:8" ht="15.75" hidden="1" customHeight="1" x14ac:dyDescent="0.25">
      <c r="A850" s="205" t="s">
        <v>1308</v>
      </c>
      <c r="B850" s="206">
        <v>105589</v>
      </c>
      <c r="C850" s="207" t="s">
        <v>1441</v>
      </c>
      <c r="D850" s="208" t="s">
        <v>664</v>
      </c>
      <c r="E850" s="209">
        <v>81.83</v>
      </c>
      <c r="F850" s="209">
        <v>15.53</v>
      </c>
      <c r="G850" s="209">
        <v>97.36</v>
      </c>
      <c r="H850" s="198"/>
    </row>
    <row r="851" spans="1:8" ht="15.75" hidden="1" customHeight="1" x14ac:dyDescent="0.25">
      <c r="A851" s="205" t="s">
        <v>1308</v>
      </c>
      <c r="B851" s="206">
        <v>105593</v>
      </c>
      <c r="C851" s="207" t="s">
        <v>1442</v>
      </c>
      <c r="D851" s="208" t="s">
        <v>664</v>
      </c>
      <c r="E851" s="209">
        <v>84.06</v>
      </c>
      <c r="F851" s="209">
        <v>21.55</v>
      </c>
      <c r="G851" s="209">
        <v>105.61</v>
      </c>
      <c r="H851" s="198"/>
    </row>
    <row r="852" spans="1:8" ht="15.75" hidden="1" customHeight="1" x14ac:dyDescent="0.25">
      <c r="A852" s="205" t="s">
        <v>1308</v>
      </c>
      <c r="B852" s="206">
        <v>105594</v>
      </c>
      <c r="C852" s="207" t="s">
        <v>1443</v>
      </c>
      <c r="D852" s="208" t="s">
        <v>664</v>
      </c>
      <c r="E852" s="209">
        <v>74.12</v>
      </c>
      <c r="F852" s="209">
        <v>15.93</v>
      </c>
      <c r="G852" s="209">
        <v>90.05</v>
      </c>
      <c r="H852" s="198"/>
    </row>
    <row r="853" spans="1:8" ht="15.75" hidden="1" customHeight="1" x14ac:dyDescent="0.25">
      <c r="A853" s="205" t="s">
        <v>1308</v>
      </c>
      <c r="B853" s="206">
        <v>105596</v>
      </c>
      <c r="C853" s="207" t="s">
        <v>1444</v>
      </c>
      <c r="D853" s="208" t="s">
        <v>664</v>
      </c>
      <c r="E853" s="209">
        <v>73.06</v>
      </c>
      <c r="F853" s="209">
        <v>15.54</v>
      </c>
      <c r="G853" s="209">
        <v>88.6</v>
      </c>
      <c r="H853" s="198"/>
    </row>
    <row r="854" spans="1:8" ht="15.75" hidden="1" customHeight="1" x14ac:dyDescent="0.25">
      <c r="A854" s="205" t="s">
        <v>1308</v>
      </c>
      <c r="B854" s="206">
        <v>105567</v>
      </c>
      <c r="C854" s="207" t="s">
        <v>1445</v>
      </c>
      <c r="D854" s="208" t="s">
        <v>664</v>
      </c>
      <c r="E854" s="209">
        <v>12.62</v>
      </c>
      <c r="F854" s="209">
        <v>4.07</v>
      </c>
      <c r="G854" s="209">
        <v>16.690000000000001</v>
      </c>
      <c r="H854" s="198"/>
    </row>
    <row r="855" spans="1:8" ht="15.75" hidden="1" customHeight="1" x14ac:dyDescent="0.25">
      <c r="A855" s="205" t="s">
        <v>1308</v>
      </c>
      <c r="B855" s="206">
        <v>105568</v>
      </c>
      <c r="C855" s="207" t="s">
        <v>1446</v>
      </c>
      <c r="D855" s="208" t="s">
        <v>664</v>
      </c>
      <c r="E855" s="209">
        <v>10.119999999999999</v>
      </c>
      <c r="F855" s="209">
        <v>3.16</v>
      </c>
      <c r="G855" s="209">
        <v>13.28</v>
      </c>
      <c r="H855" s="198"/>
    </row>
    <row r="856" spans="1:8" ht="15.75" hidden="1" customHeight="1" x14ac:dyDescent="0.25">
      <c r="A856" s="205" t="s">
        <v>1308</v>
      </c>
      <c r="B856" s="206">
        <v>105570</v>
      </c>
      <c r="C856" s="207" t="s">
        <v>1447</v>
      </c>
      <c r="D856" s="208" t="s">
        <v>664</v>
      </c>
      <c r="E856" s="209">
        <v>8.39</v>
      </c>
      <c r="F856" s="209">
        <v>2.56</v>
      </c>
      <c r="G856" s="209">
        <v>10.95</v>
      </c>
      <c r="H856" s="198"/>
    </row>
    <row r="857" spans="1:8" ht="15.75" hidden="1" customHeight="1" x14ac:dyDescent="0.25">
      <c r="A857" s="205" t="s">
        <v>1308</v>
      </c>
      <c r="B857" s="206">
        <v>100575</v>
      </c>
      <c r="C857" s="207" t="s">
        <v>1448</v>
      </c>
      <c r="D857" s="208" t="s">
        <v>578</v>
      </c>
      <c r="E857" s="209">
        <v>1.61</v>
      </c>
      <c r="F857" s="209">
        <v>0.45</v>
      </c>
      <c r="G857" s="209">
        <v>2.06</v>
      </c>
      <c r="H857" s="198"/>
    </row>
    <row r="858" spans="1:8" ht="15.75" hidden="1" customHeight="1" x14ac:dyDescent="0.25">
      <c r="A858" s="205" t="s">
        <v>1308</v>
      </c>
      <c r="B858" s="206">
        <v>100577</v>
      </c>
      <c r="C858" s="207" t="s">
        <v>1449</v>
      </c>
      <c r="D858" s="208" t="s">
        <v>578</v>
      </c>
      <c r="E858" s="209">
        <v>0.41</v>
      </c>
      <c r="F858" s="209">
        <v>0.18</v>
      </c>
      <c r="G858" s="209">
        <v>0.59</v>
      </c>
      <c r="H858" s="198"/>
    </row>
    <row r="859" spans="1:8" ht="15.75" hidden="1" customHeight="1" x14ac:dyDescent="0.25">
      <c r="A859" s="205" t="s">
        <v>1308</v>
      </c>
      <c r="B859" s="206">
        <v>105598</v>
      </c>
      <c r="C859" s="207" t="s">
        <v>1450</v>
      </c>
      <c r="D859" s="208" t="s">
        <v>578</v>
      </c>
      <c r="E859" s="209">
        <v>1.66</v>
      </c>
      <c r="F859" s="209">
        <v>0.51</v>
      </c>
      <c r="G859" s="209">
        <v>2.17</v>
      </c>
      <c r="H859" s="198"/>
    </row>
    <row r="860" spans="1:8" ht="15.75" hidden="1" customHeight="1" x14ac:dyDescent="0.25">
      <c r="A860" s="205" t="s">
        <v>1308</v>
      </c>
      <c r="B860" s="206">
        <v>100576</v>
      </c>
      <c r="C860" s="207" t="s">
        <v>1451</v>
      </c>
      <c r="D860" s="208" t="s">
        <v>578</v>
      </c>
      <c r="E860" s="209">
        <v>1.75</v>
      </c>
      <c r="F860" s="209">
        <v>0.61</v>
      </c>
      <c r="G860" s="209">
        <v>2.36</v>
      </c>
      <c r="H860" s="198"/>
    </row>
    <row r="861" spans="1:8" ht="15.75" hidden="1" customHeight="1" x14ac:dyDescent="0.25">
      <c r="A861" s="205" t="s">
        <v>1308</v>
      </c>
      <c r="B861" s="206">
        <v>105597</v>
      </c>
      <c r="C861" s="207" t="s">
        <v>1452</v>
      </c>
      <c r="D861" s="208" t="s">
        <v>578</v>
      </c>
      <c r="E861" s="209">
        <v>3.14</v>
      </c>
      <c r="F861" s="209">
        <v>1.25</v>
      </c>
      <c r="G861" s="209">
        <v>4.3899999999999997</v>
      </c>
      <c r="H861" s="198"/>
    </row>
    <row r="862" spans="1:8" ht="15.75" hidden="1" customHeight="1" x14ac:dyDescent="0.25">
      <c r="A862" s="205" t="s">
        <v>1453</v>
      </c>
      <c r="B862" s="206">
        <v>102730</v>
      </c>
      <c r="C862" s="207" t="s">
        <v>1454</v>
      </c>
      <c r="D862" s="208" t="s">
        <v>823</v>
      </c>
      <c r="E862" s="209">
        <v>10.15</v>
      </c>
      <c r="F862" s="209">
        <v>2.33</v>
      </c>
      <c r="G862" s="209">
        <v>12.48</v>
      </c>
      <c r="H862" s="198"/>
    </row>
    <row r="863" spans="1:8" ht="15.75" hidden="1" customHeight="1" x14ac:dyDescent="0.25">
      <c r="A863" s="205" t="s">
        <v>1453</v>
      </c>
      <c r="B863" s="206">
        <v>102731</v>
      </c>
      <c r="C863" s="207" t="s">
        <v>1455</v>
      </c>
      <c r="D863" s="208" t="s">
        <v>823</v>
      </c>
      <c r="E863" s="209">
        <v>8.76</v>
      </c>
      <c r="F863" s="209">
        <v>1.63</v>
      </c>
      <c r="G863" s="209">
        <v>10.39</v>
      </c>
      <c r="H863" s="198"/>
    </row>
    <row r="864" spans="1:8" ht="15.75" hidden="1" customHeight="1" x14ac:dyDescent="0.25">
      <c r="A864" s="205" t="s">
        <v>1453</v>
      </c>
      <c r="B864" s="206">
        <v>102732</v>
      </c>
      <c r="C864" s="207" t="s">
        <v>1456</v>
      </c>
      <c r="D864" s="208" t="s">
        <v>823</v>
      </c>
      <c r="E864" s="209">
        <v>8.52</v>
      </c>
      <c r="F864" s="209">
        <v>1.07</v>
      </c>
      <c r="G864" s="209">
        <v>9.59</v>
      </c>
      <c r="H864" s="198"/>
    </row>
    <row r="865" spans="1:8" ht="15.75" hidden="1" customHeight="1" x14ac:dyDescent="0.25">
      <c r="A865" s="205" t="s">
        <v>1453</v>
      </c>
      <c r="B865" s="206">
        <v>102733</v>
      </c>
      <c r="C865" s="207" t="s">
        <v>1457</v>
      </c>
      <c r="D865" s="208" t="s">
        <v>823</v>
      </c>
      <c r="E865" s="209">
        <v>9.7200000000000006</v>
      </c>
      <c r="F865" s="209">
        <v>0.68</v>
      </c>
      <c r="G865" s="209">
        <v>10.4</v>
      </c>
      <c r="H865" s="198"/>
    </row>
    <row r="866" spans="1:8" ht="15.75" hidden="1" customHeight="1" x14ac:dyDescent="0.25">
      <c r="A866" s="205" t="s">
        <v>1453</v>
      </c>
      <c r="B866" s="206">
        <v>102728</v>
      </c>
      <c r="C866" s="207" t="s">
        <v>1458</v>
      </c>
      <c r="D866" s="208" t="s">
        <v>823</v>
      </c>
      <c r="E866" s="209">
        <v>11.23</v>
      </c>
      <c r="F866" s="209">
        <v>4.6399999999999997</v>
      </c>
      <c r="G866" s="209">
        <v>15.87</v>
      </c>
      <c r="H866" s="198"/>
    </row>
    <row r="867" spans="1:8" ht="15.75" hidden="1" customHeight="1" x14ac:dyDescent="0.25">
      <c r="A867" s="205" t="s">
        <v>1453</v>
      </c>
      <c r="B867" s="206">
        <v>102729</v>
      </c>
      <c r="C867" s="207" t="s">
        <v>1459</v>
      </c>
      <c r="D867" s="208" t="s">
        <v>823</v>
      </c>
      <c r="E867" s="209">
        <v>11.05</v>
      </c>
      <c r="F867" s="209">
        <v>3.25</v>
      </c>
      <c r="G867" s="209">
        <v>14.3</v>
      </c>
      <c r="H867" s="198"/>
    </row>
    <row r="868" spans="1:8" ht="15.75" hidden="1" customHeight="1" x14ac:dyDescent="0.25">
      <c r="A868" s="205" t="s">
        <v>1453</v>
      </c>
      <c r="B868" s="206">
        <v>102734</v>
      </c>
      <c r="C868" s="207" t="s">
        <v>1460</v>
      </c>
      <c r="D868" s="208" t="s">
        <v>823</v>
      </c>
      <c r="E868" s="209">
        <v>11.1</v>
      </c>
      <c r="F868" s="209">
        <v>3.46</v>
      </c>
      <c r="G868" s="209">
        <v>14.56</v>
      </c>
      <c r="H868" s="198"/>
    </row>
    <row r="869" spans="1:8" ht="15.75" hidden="1" customHeight="1" x14ac:dyDescent="0.25">
      <c r="A869" s="205" t="s">
        <v>1453</v>
      </c>
      <c r="B869" s="206">
        <v>102735</v>
      </c>
      <c r="C869" s="207" t="s">
        <v>1461</v>
      </c>
      <c r="D869" s="208" t="s">
        <v>823</v>
      </c>
      <c r="E869" s="209">
        <v>10.83</v>
      </c>
      <c r="F869" s="209">
        <v>2.34</v>
      </c>
      <c r="G869" s="209">
        <v>13.17</v>
      </c>
      <c r="H869" s="198"/>
    </row>
    <row r="870" spans="1:8" ht="15.75" hidden="1" customHeight="1" x14ac:dyDescent="0.25">
      <c r="A870" s="205" t="s">
        <v>1453</v>
      </c>
      <c r="B870" s="206">
        <v>102765</v>
      </c>
      <c r="C870" s="207" t="s">
        <v>1462</v>
      </c>
      <c r="D870" s="208" t="s">
        <v>580</v>
      </c>
      <c r="E870" s="209">
        <v>12158.76</v>
      </c>
      <c r="F870" s="209">
        <v>4517.63</v>
      </c>
      <c r="G870" s="209">
        <v>16676.39</v>
      </c>
      <c r="H870" s="198"/>
    </row>
    <row r="871" spans="1:8" ht="15.75" hidden="1" customHeight="1" x14ac:dyDescent="0.25">
      <c r="A871" s="205" t="s">
        <v>1453</v>
      </c>
      <c r="B871" s="206">
        <v>102795</v>
      </c>
      <c r="C871" s="207" t="s">
        <v>1463</v>
      </c>
      <c r="D871" s="208" t="s">
        <v>580</v>
      </c>
      <c r="E871" s="209">
        <v>27640.17</v>
      </c>
      <c r="F871" s="209">
        <v>7101.11</v>
      </c>
      <c r="G871" s="209">
        <v>34741.279999999999</v>
      </c>
      <c r="H871" s="198"/>
    </row>
    <row r="872" spans="1:8" ht="15.75" hidden="1" customHeight="1" x14ac:dyDescent="0.25">
      <c r="A872" s="205" t="s">
        <v>1453</v>
      </c>
      <c r="B872" s="206">
        <v>102766</v>
      </c>
      <c r="C872" s="207" t="s">
        <v>1464</v>
      </c>
      <c r="D872" s="208" t="s">
        <v>580</v>
      </c>
      <c r="E872" s="209">
        <v>18656.68</v>
      </c>
      <c r="F872" s="209">
        <v>6305.42</v>
      </c>
      <c r="G872" s="209">
        <v>24962.1</v>
      </c>
      <c r="H872" s="198"/>
    </row>
    <row r="873" spans="1:8" ht="15.75" hidden="1" customHeight="1" x14ac:dyDescent="0.25">
      <c r="A873" s="205" t="s">
        <v>1453</v>
      </c>
      <c r="B873" s="206">
        <v>102796</v>
      </c>
      <c r="C873" s="207" t="s">
        <v>1465</v>
      </c>
      <c r="D873" s="208" t="s">
        <v>580</v>
      </c>
      <c r="E873" s="209">
        <v>45080.84</v>
      </c>
      <c r="F873" s="209">
        <v>10788.33</v>
      </c>
      <c r="G873" s="209">
        <v>55869.17</v>
      </c>
      <c r="H873" s="198"/>
    </row>
    <row r="874" spans="1:8" ht="15.75" hidden="1" customHeight="1" x14ac:dyDescent="0.25">
      <c r="A874" s="205" t="s">
        <v>1453</v>
      </c>
      <c r="B874" s="206">
        <v>102767</v>
      </c>
      <c r="C874" s="207" t="s">
        <v>1466</v>
      </c>
      <c r="D874" s="208" t="s">
        <v>580</v>
      </c>
      <c r="E874" s="209">
        <v>26300.03</v>
      </c>
      <c r="F874" s="209">
        <v>8534.44</v>
      </c>
      <c r="G874" s="209">
        <v>34834.47</v>
      </c>
      <c r="H874" s="198"/>
    </row>
    <row r="875" spans="1:8" ht="15.75" hidden="1" customHeight="1" x14ac:dyDescent="0.25">
      <c r="A875" s="205" t="s">
        <v>1453</v>
      </c>
      <c r="B875" s="206">
        <v>102797</v>
      </c>
      <c r="C875" s="207" t="s">
        <v>1467</v>
      </c>
      <c r="D875" s="208" t="s">
        <v>580</v>
      </c>
      <c r="E875" s="209">
        <v>64312.71</v>
      </c>
      <c r="F875" s="209">
        <v>14929.16</v>
      </c>
      <c r="G875" s="209">
        <v>79241.87</v>
      </c>
      <c r="H875" s="198"/>
    </row>
    <row r="876" spans="1:8" ht="15.75" hidden="1" customHeight="1" x14ac:dyDescent="0.25">
      <c r="A876" s="205" t="s">
        <v>1453</v>
      </c>
      <c r="B876" s="206">
        <v>102768</v>
      </c>
      <c r="C876" s="207" t="s">
        <v>1468</v>
      </c>
      <c r="D876" s="208" t="s">
        <v>580</v>
      </c>
      <c r="E876" s="209">
        <v>37325.68</v>
      </c>
      <c r="F876" s="209">
        <v>11023.64</v>
      </c>
      <c r="G876" s="209">
        <v>48349.32</v>
      </c>
      <c r="H876" s="198"/>
    </row>
    <row r="877" spans="1:8" ht="15.75" hidden="1" customHeight="1" x14ac:dyDescent="0.25">
      <c r="A877" s="205" t="s">
        <v>1453</v>
      </c>
      <c r="B877" s="206">
        <v>102798</v>
      </c>
      <c r="C877" s="207" t="s">
        <v>1469</v>
      </c>
      <c r="D877" s="208" t="s">
        <v>580</v>
      </c>
      <c r="E877" s="209">
        <v>78790.559999999998</v>
      </c>
      <c r="F877" s="209">
        <v>17991.849999999999</v>
      </c>
      <c r="G877" s="209">
        <v>96782.41</v>
      </c>
      <c r="H877" s="198"/>
    </row>
    <row r="878" spans="1:8" ht="15.75" hidden="1" customHeight="1" x14ac:dyDescent="0.25">
      <c r="A878" s="205" t="s">
        <v>1453</v>
      </c>
      <c r="B878" s="206">
        <v>102744</v>
      </c>
      <c r="C878" s="207" t="s">
        <v>1470</v>
      </c>
      <c r="D878" s="208" t="s">
        <v>580</v>
      </c>
      <c r="E878" s="209">
        <v>5219.43</v>
      </c>
      <c r="F878" s="209">
        <v>1745.38</v>
      </c>
      <c r="G878" s="209">
        <v>6964.81</v>
      </c>
      <c r="H878" s="198"/>
    </row>
    <row r="879" spans="1:8" ht="15.75" hidden="1" customHeight="1" x14ac:dyDescent="0.25">
      <c r="A879" s="205" t="s">
        <v>1453</v>
      </c>
      <c r="B879" s="206">
        <v>102755</v>
      </c>
      <c r="C879" s="207" t="s">
        <v>1471</v>
      </c>
      <c r="D879" s="208" t="s">
        <v>580</v>
      </c>
      <c r="E879" s="209">
        <v>8203.18</v>
      </c>
      <c r="F879" s="209">
        <v>2532.5500000000002</v>
      </c>
      <c r="G879" s="209">
        <v>10735.73</v>
      </c>
      <c r="H879" s="198"/>
    </row>
    <row r="880" spans="1:8" ht="15.75" hidden="1" customHeight="1" x14ac:dyDescent="0.25">
      <c r="A880" s="205" t="s">
        <v>1453</v>
      </c>
      <c r="B880" s="206">
        <v>102782</v>
      </c>
      <c r="C880" s="207" t="s">
        <v>1472</v>
      </c>
      <c r="D880" s="208" t="s">
        <v>580</v>
      </c>
      <c r="E880" s="209">
        <v>13409.46</v>
      </c>
      <c r="F880" s="209">
        <v>3530.23</v>
      </c>
      <c r="G880" s="209">
        <v>16939.689999999999</v>
      </c>
      <c r="H880" s="198"/>
    </row>
    <row r="881" spans="1:8" ht="15.75" hidden="1" customHeight="1" x14ac:dyDescent="0.25">
      <c r="A881" s="205" t="s">
        <v>1453</v>
      </c>
      <c r="B881" s="206">
        <v>102745</v>
      </c>
      <c r="C881" s="207" t="s">
        <v>1473</v>
      </c>
      <c r="D881" s="208" t="s">
        <v>580</v>
      </c>
      <c r="E881" s="209">
        <v>7372.15</v>
      </c>
      <c r="F881" s="209">
        <v>2394.87</v>
      </c>
      <c r="G881" s="209">
        <v>9767.02</v>
      </c>
      <c r="H881" s="198"/>
    </row>
    <row r="882" spans="1:8" ht="15.75" hidden="1" customHeight="1" x14ac:dyDescent="0.25">
      <c r="A882" s="205" t="s">
        <v>1453</v>
      </c>
      <c r="B882" s="206">
        <v>102756</v>
      </c>
      <c r="C882" s="207" t="s">
        <v>1474</v>
      </c>
      <c r="D882" s="208" t="s">
        <v>580</v>
      </c>
      <c r="E882" s="209">
        <v>12255.43</v>
      </c>
      <c r="F882" s="209">
        <v>3644.19</v>
      </c>
      <c r="G882" s="209">
        <v>15899.62</v>
      </c>
      <c r="H882" s="198"/>
    </row>
    <row r="883" spans="1:8" ht="15.75" hidden="1" customHeight="1" x14ac:dyDescent="0.25">
      <c r="A883" s="205" t="s">
        <v>1453</v>
      </c>
      <c r="B883" s="206">
        <v>102783</v>
      </c>
      <c r="C883" s="207" t="s">
        <v>1475</v>
      </c>
      <c r="D883" s="208" t="s">
        <v>580</v>
      </c>
      <c r="E883" s="209">
        <v>17633.2</v>
      </c>
      <c r="F883" s="209">
        <v>4752.47</v>
      </c>
      <c r="G883" s="209">
        <v>22385.67</v>
      </c>
      <c r="H883" s="198"/>
    </row>
    <row r="884" spans="1:8" ht="15.75" hidden="1" customHeight="1" x14ac:dyDescent="0.25">
      <c r="A884" s="205" t="s">
        <v>1453</v>
      </c>
      <c r="B884" s="206">
        <v>102746</v>
      </c>
      <c r="C884" s="207" t="s">
        <v>1476</v>
      </c>
      <c r="D884" s="208" t="s">
        <v>580</v>
      </c>
      <c r="E884" s="209">
        <v>12852.55</v>
      </c>
      <c r="F884" s="209">
        <v>4043.13</v>
      </c>
      <c r="G884" s="209">
        <v>16895.68</v>
      </c>
      <c r="H884" s="198"/>
    </row>
    <row r="885" spans="1:8" ht="15.75" hidden="1" customHeight="1" x14ac:dyDescent="0.25">
      <c r="A885" s="205" t="s">
        <v>1453</v>
      </c>
      <c r="B885" s="206">
        <v>102757</v>
      </c>
      <c r="C885" s="207" t="s">
        <v>1477</v>
      </c>
      <c r="D885" s="208" t="s">
        <v>580</v>
      </c>
      <c r="E885" s="209">
        <v>22943.75</v>
      </c>
      <c r="F885" s="209">
        <v>6569.69</v>
      </c>
      <c r="G885" s="209">
        <v>29513.439999999999</v>
      </c>
      <c r="H885" s="198"/>
    </row>
    <row r="886" spans="1:8" ht="15.75" hidden="1" customHeight="1" x14ac:dyDescent="0.25">
      <c r="A886" s="205" t="s">
        <v>1453</v>
      </c>
      <c r="B886" s="206">
        <v>102784</v>
      </c>
      <c r="C886" s="207" t="s">
        <v>1478</v>
      </c>
      <c r="D886" s="208" t="s">
        <v>580</v>
      </c>
      <c r="E886" s="209">
        <v>29238.19</v>
      </c>
      <c r="F886" s="209">
        <v>5474.13</v>
      </c>
      <c r="G886" s="209">
        <v>34712.32</v>
      </c>
      <c r="H886" s="198"/>
    </row>
    <row r="887" spans="1:8" ht="15.75" hidden="1" customHeight="1" x14ac:dyDescent="0.25">
      <c r="A887" s="205" t="s">
        <v>1453</v>
      </c>
      <c r="B887" s="206">
        <v>102779</v>
      </c>
      <c r="C887" s="207" t="s">
        <v>1479</v>
      </c>
      <c r="D887" s="208" t="s">
        <v>580</v>
      </c>
      <c r="E887" s="209">
        <v>6993.4</v>
      </c>
      <c r="F887" s="209">
        <v>1995.54</v>
      </c>
      <c r="G887" s="209">
        <v>8988.94</v>
      </c>
      <c r="H887" s="198"/>
    </row>
    <row r="888" spans="1:8" ht="15.75" hidden="1" customHeight="1" x14ac:dyDescent="0.25">
      <c r="A888" s="205" t="s">
        <v>1453</v>
      </c>
      <c r="B888" s="206">
        <v>102780</v>
      </c>
      <c r="C888" s="207" t="s">
        <v>1480</v>
      </c>
      <c r="D888" s="208" t="s">
        <v>580</v>
      </c>
      <c r="E888" s="209">
        <v>8054.16</v>
      </c>
      <c r="F888" s="209">
        <v>2296.89</v>
      </c>
      <c r="G888" s="209">
        <v>10351.049999999999</v>
      </c>
      <c r="H888" s="198"/>
    </row>
    <row r="889" spans="1:8" ht="15.75" hidden="1" customHeight="1" x14ac:dyDescent="0.25">
      <c r="A889" s="205" t="s">
        <v>1453</v>
      </c>
      <c r="B889" s="206">
        <v>102743</v>
      </c>
      <c r="C889" s="207" t="s">
        <v>1481</v>
      </c>
      <c r="D889" s="208" t="s">
        <v>580</v>
      </c>
      <c r="E889" s="209">
        <v>3466.06</v>
      </c>
      <c r="F889" s="209">
        <v>1195.1199999999999</v>
      </c>
      <c r="G889" s="209">
        <v>4661.18</v>
      </c>
      <c r="H889" s="198"/>
    </row>
    <row r="890" spans="1:8" ht="15.75" hidden="1" customHeight="1" x14ac:dyDescent="0.25">
      <c r="A890" s="205" t="s">
        <v>1453</v>
      </c>
      <c r="B890" s="206">
        <v>102781</v>
      </c>
      <c r="C890" s="207" t="s">
        <v>1482</v>
      </c>
      <c r="D890" s="208" t="s">
        <v>580</v>
      </c>
      <c r="E890" s="209">
        <v>11855.71</v>
      </c>
      <c r="F890" s="209">
        <v>3396.71</v>
      </c>
      <c r="G890" s="209">
        <v>15252.42</v>
      </c>
      <c r="H890" s="198"/>
    </row>
    <row r="891" spans="1:8" ht="15.75" hidden="1" customHeight="1" x14ac:dyDescent="0.25">
      <c r="A891" s="205" t="s">
        <v>1453</v>
      </c>
      <c r="B891" s="206">
        <v>102761</v>
      </c>
      <c r="C891" s="207" t="s">
        <v>1483</v>
      </c>
      <c r="D891" s="208" t="s">
        <v>580</v>
      </c>
      <c r="E891" s="209">
        <v>9740.17</v>
      </c>
      <c r="F891" s="209">
        <v>3644.69</v>
      </c>
      <c r="G891" s="209">
        <v>13384.86</v>
      </c>
      <c r="H891" s="198"/>
    </row>
    <row r="892" spans="1:8" ht="15.75" hidden="1" customHeight="1" x14ac:dyDescent="0.25">
      <c r="A892" s="205" t="s">
        <v>1453</v>
      </c>
      <c r="B892" s="206">
        <v>102791</v>
      </c>
      <c r="C892" s="207" t="s">
        <v>1484</v>
      </c>
      <c r="D892" s="208" t="s">
        <v>580</v>
      </c>
      <c r="E892" s="209">
        <v>25858.43</v>
      </c>
      <c r="F892" s="209">
        <v>6639.28</v>
      </c>
      <c r="G892" s="209">
        <v>32497.71</v>
      </c>
      <c r="H892" s="198"/>
    </row>
    <row r="893" spans="1:8" ht="15.75" hidden="1" customHeight="1" x14ac:dyDescent="0.25">
      <c r="A893" s="205" t="s">
        <v>1453</v>
      </c>
      <c r="B893" s="206">
        <v>102762</v>
      </c>
      <c r="C893" s="207" t="s">
        <v>1485</v>
      </c>
      <c r="D893" s="208" t="s">
        <v>580</v>
      </c>
      <c r="E893" s="209">
        <v>15318.43</v>
      </c>
      <c r="F893" s="209">
        <v>5212.8999999999996</v>
      </c>
      <c r="G893" s="209">
        <v>20531.330000000002</v>
      </c>
      <c r="H893" s="198"/>
    </row>
    <row r="894" spans="1:8" ht="15.75" hidden="1" customHeight="1" x14ac:dyDescent="0.25">
      <c r="A894" s="205" t="s">
        <v>1453</v>
      </c>
      <c r="B894" s="206">
        <v>102792</v>
      </c>
      <c r="C894" s="207" t="s">
        <v>1486</v>
      </c>
      <c r="D894" s="208" t="s">
        <v>580</v>
      </c>
      <c r="E894" s="209">
        <v>42484.34</v>
      </c>
      <c r="F894" s="209">
        <v>10251.93</v>
      </c>
      <c r="G894" s="209">
        <v>52736.27</v>
      </c>
      <c r="H894" s="198"/>
    </row>
    <row r="895" spans="1:8" ht="15.75" hidden="1" customHeight="1" x14ac:dyDescent="0.25">
      <c r="A895" s="205" t="s">
        <v>1453</v>
      </c>
      <c r="B895" s="206">
        <v>102763</v>
      </c>
      <c r="C895" s="207" t="s">
        <v>1487</v>
      </c>
      <c r="D895" s="208" t="s">
        <v>580</v>
      </c>
      <c r="E895" s="209">
        <v>21445.24</v>
      </c>
      <c r="F895" s="209">
        <v>7030.7</v>
      </c>
      <c r="G895" s="209">
        <v>28475.94</v>
      </c>
      <c r="H895" s="198"/>
    </row>
    <row r="896" spans="1:8" ht="15.75" hidden="1" customHeight="1" x14ac:dyDescent="0.25">
      <c r="A896" s="205" t="s">
        <v>1453</v>
      </c>
      <c r="B896" s="206">
        <v>102793</v>
      </c>
      <c r="C896" s="207" t="s">
        <v>1488</v>
      </c>
      <c r="D896" s="208" t="s">
        <v>580</v>
      </c>
      <c r="E896" s="209">
        <v>57978.87</v>
      </c>
      <c r="F896" s="209">
        <v>12951.96</v>
      </c>
      <c r="G896" s="209">
        <v>70930.83</v>
      </c>
      <c r="H896" s="198"/>
    </row>
    <row r="897" spans="1:8" ht="15.75" hidden="1" customHeight="1" x14ac:dyDescent="0.25">
      <c r="A897" s="205" t="s">
        <v>1453</v>
      </c>
      <c r="B897" s="206">
        <v>102764</v>
      </c>
      <c r="C897" s="207" t="s">
        <v>1489</v>
      </c>
      <c r="D897" s="208" t="s">
        <v>580</v>
      </c>
      <c r="E897" s="209">
        <v>30707.37</v>
      </c>
      <c r="F897" s="209">
        <v>9182.68</v>
      </c>
      <c r="G897" s="209">
        <v>39890.050000000003</v>
      </c>
      <c r="H897" s="198"/>
    </row>
    <row r="898" spans="1:8" ht="15.75" hidden="1" customHeight="1" x14ac:dyDescent="0.25">
      <c r="A898" s="205" t="s">
        <v>1453</v>
      </c>
      <c r="B898" s="206">
        <v>102794</v>
      </c>
      <c r="C898" s="207" t="s">
        <v>1490</v>
      </c>
      <c r="D898" s="208" t="s">
        <v>580</v>
      </c>
      <c r="E898" s="209">
        <v>83175.850000000006</v>
      </c>
      <c r="F898" s="209">
        <v>18134.560000000001</v>
      </c>
      <c r="G898" s="209">
        <v>101310.41</v>
      </c>
      <c r="H898" s="198"/>
    </row>
    <row r="899" spans="1:8" ht="15.75" hidden="1" customHeight="1" x14ac:dyDescent="0.25">
      <c r="A899" s="205" t="s">
        <v>1453</v>
      </c>
      <c r="B899" s="206">
        <v>102740</v>
      </c>
      <c r="C899" s="207" t="s">
        <v>1491</v>
      </c>
      <c r="D899" s="208" t="s">
        <v>580</v>
      </c>
      <c r="E899" s="209">
        <v>4294.83</v>
      </c>
      <c r="F899" s="209">
        <v>1449.22</v>
      </c>
      <c r="G899" s="209">
        <v>5744.05</v>
      </c>
      <c r="H899" s="198"/>
    </row>
    <row r="900" spans="1:8" ht="15.75" hidden="1" customHeight="1" x14ac:dyDescent="0.25">
      <c r="A900" s="205" t="s">
        <v>1453</v>
      </c>
      <c r="B900" s="206">
        <v>102752</v>
      </c>
      <c r="C900" s="207" t="s">
        <v>1492</v>
      </c>
      <c r="D900" s="208" t="s">
        <v>580</v>
      </c>
      <c r="E900" s="209">
        <v>5836.4</v>
      </c>
      <c r="F900" s="209">
        <v>1858.26</v>
      </c>
      <c r="G900" s="209">
        <v>7694.66</v>
      </c>
      <c r="H900" s="198"/>
    </row>
    <row r="901" spans="1:8" ht="15.75" hidden="1" customHeight="1" x14ac:dyDescent="0.25">
      <c r="A901" s="205" t="s">
        <v>1453</v>
      </c>
      <c r="B901" s="206">
        <v>102776</v>
      </c>
      <c r="C901" s="207" t="s">
        <v>1493</v>
      </c>
      <c r="D901" s="208" t="s">
        <v>580</v>
      </c>
      <c r="E901" s="209">
        <v>10373.629999999999</v>
      </c>
      <c r="F901" s="209">
        <v>2972.09</v>
      </c>
      <c r="G901" s="209">
        <v>13345.72</v>
      </c>
      <c r="H901" s="198"/>
    </row>
    <row r="902" spans="1:8" ht="15.75" hidden="1" customHeight="1" x14ac:dyDescent="0.25">
      <c r="A902" s="205" t="s">
        <v>1453</v>
      </c>
      <c r="B902" s="206">
        <v>102741</v>
      </c>
      <c r="C902" s="207" t="s">
        <v>1494</v>
      </c>
      <c r="D902" s="208" t="s">
        <v>580</v>
      </c>
      <c r="E902" s="209">
        <v>6058.28</v>
      </c>
      <c r="F902" s="209">
        <v>1987.24</v>
      </c>
      <c r="G902" s="209">
        <v>8045.52</v>
      </c>
      <c r="H902" s="198"/>
    </row>
    <row r="903" spans="1:8" ht="15.75" hidden="1" customHeight="1" x14ac:dyDescent="0.25">
      <c r="A903" s="205" t="s">
        <v>1453</v>
      </c>
      <c r="B903" s="206">
        <v>102753</v>
      </c>
      <c r="C903" s="207" t="s">
        <v>1495</v>
      </c>
      <c r="D903" s="208" t="s">
        <v>580</v>
      </c>
      <c r="E903" s="209">
        <v>8691.98</v>
      </c>
      <c r="F903" s="209">
        <v>2668.59</v>
      </c>
      <c r="G903" s="209">
        <v>11360.57</v>
      </c>
      <c r="H903" s="198"/>
    </row>
    <row r="904" spans="1:8" ht="15.75" hidden="1" customHeight="1" x14ac:dyDescent="0.25">
      <c r="A904" s="205" t="s">
        <v>1453</v>
      </c>
      <c r="B904" s="206">
        <v>102777</v>
      </c>
      <c r="C904" s="207" t="s">
        <v>1496</v>
      </c>
      <c r="D904" s="208" t="s">
        <v>580</v>
      </c>
      <c r="E904" s="209">
        <v>15657.49</v>
      </c>
      <c r="F904" s="209">
        <v>4496.3100000000004</v>
      </c>
      <c r="G904" s="209">
        <v>20153.8</v>
      </c>
      <c r="H904" s="198"/>
    </row>
    <row r="905" spans="1:8" ht="15.75" hidden="1" customHeight="1" x14ac:dyDescent="0.25">
      <c r="A905" s="205" t="s">
        <v>1453</v>
      </c>
      <c r="B905" s="206">
        <v>102742</v>
      </c>
      <c r="C905" s="207" t="s">
        <v>1497</v>
      </c>
      <c r="D905" s="208" t="s">
        <v>580</v>
      </c>
      <c r="E905" s="209">
        <v>10545.42</v>
      </c>
      <c r="F905" s="209">
        <v>3357.57</v>
      </c>
      <c r="G905" s="209">
        <v>13902.99</v>
      </c>
      <c r="H905" s="198"/>
    </row>
    <row r="906" spans="1:8" ht="15.75" hidden="1" customHeight="1" x14ac:dyDescent="0.25">
      <c r="A906" s="205" t="s">
        <v>1453</v>
      </c>
      <c r="B906" s="206">
        <v>102754</v>
      </c>
      <c r="C906" s="207" t="s">
        <v>1498</v>
      </c>
      <c r="D906" s="208" t="s">
        <v>580</v>
      </c>
      <c r="E906" s="209">
        <v>16630.48</v>
      </c>
      <c r="F906" s="209">
        <v>4919.96</v>
      </c>
      <c r="G906" s="209">
        <v>21550.44</v>
      </c>
      <c r="H906" s="198"/>
    </row>
    <row r="907" spans="1:8" ht="15.75" hidden="1" customHeight="1" x14ac:dyDescent="0.25">
      <c r="A907" s="205" t="s">
        <v>1453</v>
      </c>
      <c r="B907" s="206">
        <v>102778</v>
      </c>
      <c r="C907" s="207" t="s">
        <v>1499</v>
      </c>
      <c r="D907" s="208" t="s">
        <v>580</v>
      </c>
      <c r="E907" s="209">
        <v>24711.71</v>
      </c>
      <c r="F907" s="209">
        <v>5147.7700000000004</v>
      </c>
      <c r="G907" s="209">
        <v>29859.48</v>
      </c>
      <c r="H907" s="198"/>
    </row>
    <row r="908" spans="1:8" ht="15.75" hidden="1" customHeight="1" x14ac:dyDescent="0.25">
      <c r="A908" s="205" t="s">
        <v>1453</v>
      </c>
      <c r="B908" s="206">
        <v>102737</v>
      </c>
      <c r="C908" s="207" t="s">
        <v>1500</v>
      </c>
      <c r="D908" s="208" t="s">
        <v>580</v>
      </c>
      <c r="E908" s="209">
        <v>817.79</v>
      </c>
      <c r="F908" s="209">
        <v>309.72000000000003</v>
      </c>
      <c r="G908" s="209">
        <v>1127.51</v>
      </c>
      <c r="H908" s="198"/>
    </row>
    <row r="909" spans="1:8" ht="15.75" hidden="1" customHeight="1" x14ac:dyDescent="0.25">
      <c r="A909" s="205" t="s">
        <v>1453</v>
      </c>
      <c r="B909" s="206">
        <v>102773</v>
      </c>
      <c r="C909" s="207" t="s">
        <v>1501</v>
      </c>
      <c r="D909" s="208" t="s">
        <v>580</v>
      </c>
      <c r="E909" s="209">
        <v>6993.4</v>
      </c>
      <c r="F909" s="209">
        <v>1995.54</v>
      </c>
      <c r="G909" s="209">
        <v>8988.94</v>
      </c>
      <c r="H909" s="198"/>
    </row>
    <row r="910" spans="1:8" ht="15.75" hidden="1" customHeight="1" x14ac:dyDescent="0.25">
      <c r="A910" s="205" t="s">
        <v>1453</v>
      </c>
      <c r="B910" s="206">
        <v>102738</v>
      </c>
      <c r="C910" s="207" t="s">
        <v>1502</v>
      </c>
      <c r="D910" s="208" t="s">
        <v>580</v>
      </c>
      <c r="E910" s="209">
        <v>1693.9</v>
      </c>
      <c r="F910" s="209">
        <v>606.02</v>
      </c>
      <c r="G910" s="209">
        <v>2299.92</v>
      </c>
      <c r="H910" s="198"/>
    </row>
    <row r="911" spans="1:8" ht="15.75" hidden="1" customHeight="1" x14ac:dyDescent="0.25">
      <c r="A911" s="205" t="s">
        <v>1453</v>
      </c>
      <c r="B911" s="206">
        <v>102750</v>
      </c>
      <c r="C911" s="207" t="s">
        <v>1503</v>
      </c>
      <c r="D911" s="208" t="s">
        <v>580</v>
      </c>
      <c r="E911" s="209">
        <v>2073.6</v>
      </c>
      <c r="F911" s="209">
        <v>726.66</v>
      </c>
      <c r="G911" s="209">
        <v>2800.26</v>
      </c>
      <c r="H911" s="198"/>
    </row>
    <row r="912" spans="1:8" ht="15.75" hidden="1" customHeight="1" x14ac:dyDescent="0.25">
      <c r="A912" s="205" t="s">
        <v>1453</v>
      </c>
      <c r="B912" s="206">
        <v>102774</v>
      </c>
      <c r="C912" s="207" t="s">
        <v>1504</v>
      </c>
      <c r="D912" s="208" t="s">
        <v>580</v>
      </c>
      <c r="E912" s="209">
        <v>6993.4</v>
      </c>
      <c r="F912" s="209">
        <v>1995.54</v>
      </c>
      <c r="G912" s="209">
        <v>8988.94</v>
      </c>
      <c r="H912" s="198"/>
    </row>
    <row r="913" spans="1:8" ht="15.75" hidden="1" customHeight="1" x14ac:dyDescent="0.25">
      <c r="A913" s="205" t="s">
        <v>1453</v>
      </c>
      <c r="B913" s="206">
        <v>102739</v>
      </c>
      <c r="C913" s="207" t="s">
        <v>1505</v>
      </c>
      <c r="D913" s="208" t="s">
        <v>580</v>
      </c>
      <c r="E913" s="209">
        <v>2850.51</v>
      </c>
      <c r="F913" s="209">
        <v>990.62</v>
      </c>
      <c r="G913" s="209">
        <v>3841.13</v>
      </c>
      <c r="H913" s="198"/>
    </row>
    <row r="914" spans="1:8" ht="15.75" hidden="1" customHeight="1" x14ac:dyDescent="0.25">
      <c r="A914" s="205" t="s">
        <v>1453</v>
      </c>
      <c r="B914" s="206">
        <v>102751</v>
      </c>
      <c r="C914" s="207" t="s">
        <v>1506</v>
      </c>
      <c r="D914" s="208" t="s">
        <v>580</v>
      </c>
      <c r="E914" s="209">
        <v>3637.32</v>
      </c>
      <c r="F914" s="209">
        <v>1207.26</v>
      </c>
      <c r="G914" s="209">
        <v>4844.58</v>
      </c>
      <c r="H914" s="198"/>
    </row>
    <row r="915" spans="1:8" ht="15.75" hidden="1" customHeight="1" x14ac:dyDescent="0.25">
      <c r="A915" s="205" t="s">
        <v>1453</v>
      </c>
      <c r="B915" s="206">
        <v>102775</v>
      </c>
      <c r="C915" s="207" t="s">
        <v>1507</v>
      </c>
      <c r="D915" s="208" t="s">
        <v>580</v>
      </c>
      <c r="E915" s="209">
        <v>10373.629999999999</v>
      </c>
      <c r="F915" s="209">
        <v>2972.09</v>
      </c>
      <c r="G915" s="209">
        <v>13345.72</v>
      </c>
      <c r="H915" s="198"/>
    </row>
    <row r="916" spans="1:8" ht="15.75" hidden="1" customHeight="1" x14ac:dyDescent="0.25">
      <c r="A916" s="205" t="s">
        <v>1453</v>
      </c>
      <c r="B916" s="206">
        <v>102769</v>
      </c>
      <c r="C916" s="207" t="s">
        <v>1508</v>
      </c>
      <c r="D916" s="208" t="s">
        <v>580</v>
      </c>
      <c r="E916" s="209">
        <v>14165.57</v>
      </c>
      <c r="F916" s="209">
        <v>5112.5600000000004</v>
      </c>
      <c r="G916" s="209">
        <v>19278.13</v>
      </c>
      <c r="H916" s="198"/>
    </row>
    <row r="917" spans="1:8" ht="15.75" hidden="1" customHeight="1" x14ac:dyDescent="0.25">
      <c r="A917" s="205" t="s">
        <v>1453</v>
      </c>
      <c r="B917" s="206">
        <v>102799</v>
      </c>
      <c r="C917" s="207" t="s">
        <v>1509</v>
      </c>
      <c r="D917" s="208" t="s">
        <v>580</v>
      </c>
      <c r="E917" s="209">
        <v>28203.69</v>
      </c>
      <c r="F917" s="209">
        <v>7263.72</v>
      </c>
      <c r="G917" s="209">
        <v>35467.410000000003</v>
      </c>
      <c r="H917" s="198"/>
    </row>
    <row r="918" spans="1:8" ht="15.75" hidden="1" customHeight="1" x14ac:dyDescent="0.25">
      <c r="A918" s="205" t="s">
        <v>1453</v>
      </c>
      <c r="B918" s="206">
        <v>102770</v>
      </c>
      <c r="C918" s="207" t="s">
        <v>1510</v>
      </c>
      <c r="D918" s="208" t="s">
        <v>580</v>
      </c>
      <c r="E918" s="209">
        <v>22042.23</v>
      </c>
      <c r="F918" s="209">
        <v>7402.36</v>
      </c>
      <c r="G918" s="209">
        <v>29444.59</v>
      </c>
      <c r="H918" s="198"/>
    </row>
    <row r="919" spans="1:8" ht="15.75" hidden="1" customHeight="1" x14ac:dyDescent="0.25">
      <c r="A919" s="205" t="s">
        <v>1453</v>
      </c>
      <c r="B919" s="206">
        <v>102800</v>
      </c>
      <c r="C919" s="207" t="s">
        <v>1511</v>
      </c>
      <c r="D919" s="208" t="s">
        <v>580</v>
      </c>
      <c r="E919" s="209">
        <v>49498.29</v>
      </c>
      <c r="F919" s="209">
        <v>11891.13</v>
      </c>
      <c r="G919" s="209">
        <v>61389.42</v>
      </c>
      <c r="H919" s="198"/>
    </row>
    <row r="920" spans="1:8" ht="15.75" hidden="1" customHeight="1" x14ac:dyDescent="0.25">
      <c r="A920" s="205" t="s">
        <v>1453</v>
      </c>
      <c r="B920" s="206">
        <v>102771</v>
      </c>
      <c r="C920" s="207" t="s">
        <v>1512</v>
      </c>
      <c r="D920" s="208" t="s">
        <v>580</v>
      </c>
      <c r="E920" s="209">
        <v>31058.26</v>
      </c>
      <c r="F920" s="209">
        <v>10013.219999999999</v>
      </c>
      <c r="G920" s="209">
        <v>41071.480000000003</v>
      </c>
      <c r="H920" s="198"/>
    </row>
    <row r="921" spans="1:8" ht="15.75" hidden="1" customHeight="1" x14ac:dyDescent="0.25">
      <c r="A921" s="205" t="s">
        <v>1453</v>
      </c>
      <c r="B921" s="206">
        <v>102801</v>
      </c>
      <c r="C921" s="207" t="s">
        <v>1513</v>
      </c>
      <c r="D921" s="208" t="s">
        <v>580</v>
      </c>
      <c r="E921" s="209">
        <v>69842.23</v>
      </c>
      <c r="F921" s="209">
        <v>16117.43</v>
      </c>
      <c r="G921" s="209">
        <v>85959.66</v>
      </c>
      <c r="H921" s="198"/>
    </row>
    <row r="922" spans="1:8" ht="15.75" hidden="1" customHeight="1" x14ac:dyDescent="0.25">
      <c r="A922" s="205" t="s">
        <v>1453</v>
      </c>
      <c r="B922" s="206">
        <v>102772</v>
      </c>
      <c r="C922" s="207" t="s">
        <v>1514</v>
      </c>
      <c r="D922" s="208" t="s">
        <v>580</v>
      </c>
      <c r="E922" s="209">
        <v>44424.43</v>
      </c>
      <c r="F922" s="209">
        <v>12941.82</v>
      </c>
      <c r="G922" s="209">
        <v>57366.25</v>
      </c>
      <c r="H922" s="198"/>
    </row>
    <row r="923" spans="1:8" ht="15.75" hidden="1" customHeight="1" x14ac:dyDescent="0.25">
      <c r="A923" s="205" t="s">
        <v>1453</v>
      </c>
      <c r="B923" s="206">
        <v>102802</v>
      </c>
      <c r="C923" s="207" t="s">
        <v>1515</v>
      </c>
      <c r="D923" s="208" t="s">
        <v>580</v>
      </c>
      <c r="E923" s="209">
        <v>83812.5</v>
      </c>
      <c r="F923" s="209">
        <v>19163.900000000001</v>
      </c>
      <c r="G923" s="209">
        <v>102976.4</v>
      </c>
      <c r="H923" s="198"/>
    </row>
    <row r="924" spans="1:8" ht="15.75" hidden="1" customHeight="1" x14ac:dyDescent="0.25">
      <c r="A924" s="205" t="s">
        <v>1453</v>
      </c>
      <c r="B924" s="206">
        <v>102747</v>
      </c>
      <c r="C924" s="207" t="s">
        <v>1516</v>
      </c>
      <c r="D924" s="208" t="s">
        <v>580</v>
      </c>
      <c r="E924" s="209">
        <v>6504.84</v>
      </c>
      <c r="F924" s="209">
        <v>2140.61</v>
      </c>
      <c r="G924" s="209">
        <v>8645.4500000000007</v>
      </c>
      <c r="H924" s="198"/>
    </row>
    <row r="925" spans="1:8" ht="15.75" hidden="1" customHeight="1" x14ac:dyDescent="0.25">
      <c r="A925" s="205" t="s">
        <v>1453</v>
      </c>
      <c r="B925" s="206">
        <v>102758</v>
      </c>
      <c r="C925" s="207" t="s">
        <v>1517</v>
      </c>
      <c r="D925" s="208" t="s">
        <v>580</v>
      </c>
      <c r="E925" s="209">
        <v>10581.16</v>
      </c>
      <c r="F925" s="209">
        <v>3210.75</v>
      </c>
      <c r="G925" s="209">
        <v>13791.91</v>
      </c>
      <c r="H925" s="198"/>
    </row>
    <row r="926" spans="1:8" ht="15.75" hidden="1" customHeight="1" x14ac:dyDescent="0.25">
      <c r="A926" s="205" t="s">
        <v>1453</v>
      </c>
      <c r="B926" s="206">
        <v>102788</v>
      </c>
      <c r="C926" s="207" t="s">
        <v>1518</v>
      </c>
      <c r="D926" s="208" t="s">
        <v>580</v>
      </c>
      <c r="E926" s="209">
        <v>14974.59</v>
      </c>
      <c r="F926" s="209">
        <v>3611.22</v>
      </c>
      <c r="G926" s="209">
        <v>18585.810000000001</v>
      </c>
      <c r="H926" s="198"/>
    </row>
    <row r="927" spans="1:8" ht="15.75" hidden="1" customHeight="1" x14ac:dyDescent="0.25">
      <c r="A927" s="205" t="s">
        <v>1453</v>
      </c>
      <c r="B927" s="206">
        <v>102748</v>
      </c>
      <c r="C927" s="207" t="s">
        <v>1519</v>
      </c>
      <c r="D927" s="208" t="s">
        <v>580</v>
      </c>
      <c r="E927" s="209">
        <v>9145.7800000000007</v>
      </c>
      <c r="F927" s="209">
        <v>2926.26</v>
      </c>
      <c r="G927" s="209">
        <v>12072.04</v>
      </c>
      <c r="H927" s="198"/>
    </row>
    <row r="928" spans="1:8" ht="15.75" hidden="1" customHeight="1" x14ac:dyDescent="0.25">
      <c r="A928" s="205" t="s">
        <v>1453</v>
      </c>
      <c r="B928" s="206">
        <v>102759</v>
      </c>
      <c r="C928" s="207" t="s">
        <v>1520</v>
      </c>
      <c r="D928" s="208" t="s">
        <v>580</v>
      </c>
      <c r="E928" s="209">
        <v>15835.21</v>
      </c>
      <c r="F928" s="209">
        <v>4626.3500000000004</v>
      </c>
      <c r="G928" s="209">
        <v>20461.560000000001</v>
      </c>
      <c r="H928" s="198"/>
    </row>
    <row r="929" spans="1:8" ht="15.75" hidden="1" customHeight="1" x14ac:dyDescent="0.25">
      <c r="A929" s="205" t="s">
        <v>1453</v>
      </c>
      <c r="B929" s="206">
        <v>102789</v>
      </c>
      <c r="C929" s="207" t="s">
        <v>1521</v>
      </c>
      <c r="D929" s="208" t="s">
        <v>580</v>
      </c>
      <c r="E929" s="209">
        <v>19686.62</v>
      </c>
      <c r="F929" s="209">
        <v>4684.04</v>
      </c>
      <c r="G929" s="209">
        <v>24370.66</v>
      </c>
      <c r="H929" s="198"/>
    </row>
    <row r="930" spans="1:8" ht="15.75" hidden="1" customHeight="1" x14ac:dyDescent="0.25">
      <c r="A930" s="205" t="s">
        <v>1453</v>
      </c>
      <c r="B930" s="206">
        <v>102749</v>
      </c>
      <c r="C930" s="207" t="s">
        <v>1522</v>
      </c>
      <c r="D930" s="208" t="s">
        <v>580</v>
      </c>
      <c r="E930" s="209">
        <v>15791.92</v>
      </c>
      <c r="F930" s="209">
        <v>4891.66</v>
      </c>
      <c r="G930" s="209">
        <v>20683.580000000002</v>
      </c>
      <c r="H930" s="198"/>
    </row>
    <row r="931" spans="1:8" ht="15.75" hidden="1" customHeight="1" x14ac:dyDescent="0.25">
      <c r="A931" s="205" t="s">
        <v>1453</v>
      </c>
      <c r="B931" s="206">
        <v>102760</v>
      </c>
      <c r="C931" s="207" t="s">
        <v>1523</v>
      </c>
      <c r="D931" s="208" t="s">
        <v>580</v>
      </c>
      <c r="E931" s="209">
        <v>29367.78</v>
      </c>
      <c r="F931" s="209">
        <v>8263.92</v>
      </c>
      <c r="G931" s="209">
        <v>37631.699999999997</v>
      </c>
      <c r="H931" s="198"/>
    </row>
    <row r="932" spans="1:8" ht="15.75" hidden="1" customHeight="1" x14ac:dyDescent="0.25">
      <c r="A932" s="205" t="s">
        <v>1453</v>
      </c>
      <c r="B932" s="206">
        <v>102790</v>
      </c>
      <c r="C932" s="207" t="s">
        <v>1524</v>
      </c>
      <c r="D932" s="208" t="s">
        <v>580</v>
      </c>
      <c r="E932" s="209">
        <v>33549.14</v>
      </c>
      <c r="F932" s="209">
        <v>6701.77</v>
      </c>
      <c r="G932" s="209">
        <v>40250.910000000003</v>
      </c>
      <c r="H932" s="198"/>
    </row>
    <row r="933" spans="1:8" ht="15.75" hidden="1" customHeight="1" x14ac:dyDescent="0.25">
      <c r="A933" s="205" t="s">
        <v>1453</v>
      </c>
      <c r="B933" s="206">
        <v>102785</v>
      </c>
      <c r="C933" s="207" t="s">
        <v>1525</v>
      </c>
      <c r="D933" s="208" t="s">
        <v>580</v>
      </c>
      <c r="E933" s="209">
        <v>8054.16</v>
      </c>
      <c r="F933" s="209">
        <v>2296.89</v>
      </c>
      <c r="G933" s="209">
        <v>10351.049999999999</v>
      </c>
      <c r="H933" s="198"/>
    </row>
    <row r="934" spans="1:8" ht="15.75" hidden="1" customHeight="1" x14ac:dyDescent="0.25">
      <c r="A934" s="205" t="s">
        <v>1453</v>
      </c>
      <c r="B934" s="206">
        <v>102786</v>
      </c>
      <c r="C934" s="207" t="s">
        <v>1526</v>
      </c>
      <c r="D934" s="208" t="s">
        <v>580</v>
      </c>
      <c r="E934" s="209">
        <v>9184.64</v>
      </c>
      <c r="F934" s="209">
        <v>2309.08</v>
      </c>
      <c r="G934" s="209">
        <v>11493.72</v>
      </c>
      <c r="H934" s="198"/>
    </row>
    <row r="935" spans="1:8" ht="15.75" hidden="1" customHeight="1" x14ac:dyDescent="0.25">
      <c r="A935" s="205" t="s">
        <v>1453</v>
      </c>
      <c r="B935" s="206">
        <v>102787</v>
      </c>
      <c r="C935" s="207" t="s">
        <v>1527</v>
      </c>
      <c r="D935" s="208" t="s">
        <v>580</v>
      </c>
      <c r="E935" s="209">
        <v>13409.46</v>
      </c>
      <c r="F935" s="209">
        <v>3530.23</v>
      </c>
      <c r="G935" s="209">
        <v>16939.689999999999</v>
      </c>
      <c r="H935" s="198"/>
    </row>
    <row r="936" spans="1:8" ht="15.75" hidden="1" customHeight="1" x14ac:dyDescent="0.25">
      <c r="A936" s="205" t="s">
        <v>1453</v>
      </c>
      <c r="B936" s="206">
        <v>102736</v>
      </c>
      <c r="C936" s="207" t="s">
        <v>1528</v>
      </c>
      <c r="D936" s="208" t="s">
        <v>664</v>
      </c>
      <c r="E936" s="209">
        <v>554.34</v>
      </c>
      <c r="F936" s="209">
        <v>43.97</v>
      </c>
      <c r="G936" s="209">
        <v>598.30999999999995</v>
      </c>
      <c r="H936" s="198"/>
    </row>
    <row r="937" spans="1:8" ht="15.75" hidden="1" customHeight="1" x14ac:dyDescent="0.25">
      <c r="A937" s="205" t="s">
        <v>1453</v>
      </c>
      <c r="B937" s="206">
        <v>102727</v>
      </c>
      <c r="C937" s="207" t="s">
        <v>1529</v>
      </c>
      <c r="D937" s="208" t="s">
        <v>578</v>
      </c>
      <c r="E937" s="209">
        <v>61.6</v>
      </c>
      <c r="F937" s="209">
        <v>44.93</v>
      </c>
      <c r="G937" s="209">
        <v>106.53</v>
      </c>
      <c r="H937" s="198"/>
    </row>
    <row r="938" spans="1:8" ht="15.75" hidden="1" customHeight="1" x14ac:dyDescent="0.25">
      <c r="A938" s="205" t="s">
        <v>1530</v>
      </c>
      <c r="B938" s="206">
        <v>102112</v>
      </c>
      <c r="C938" s="207" t="s">
        <v>1531</v>
      </c>
      <c r="D938" s="208" t="s">
        <v>580</v>
      </c>
      <c r="E938" s="209">
        <v>54.5</v>
      </c>
      <c r="F938" s="209">
        <v>130.66999999999999</v>
      </c>
      <c r="G938" s="209">
        <v>185.17</v>
      </c>
      <c r="H938" s="198"/>
    </row>
    <row r="939" spans="1:8" ht="15.75" hidden="1" customHeight="1" x14ac:dyDescent="0.25">
      <c r="A939" s="205" t="s">
        <v>1530</v>
      </c>
      <c r="B939" s="206">
        <v>102111</v>
      </c>
      <c r="C939" s="207" t="s">
        <v>1532</v>
      </c>
      <c r="D939" s="208" t="s">
        <v>580</v>
      </c>
      <c r="E939" s="209">
        <v>848.18</v>
      </c>
      <c r="F939" s="209">
        <v>130.66999999999999</v>
      </c>
      <c r="G939" s="209">
        <v>978.85</v>
      </c>
      <c r="H939" s="198"/>
    </row>
    <row r="940" spans="1:8" ht="15.75" hidden="1" customHeight="1" x14ac:dyDescent="0.25">
      <c r="A940" s="205" t="s">
        <v>1530</v>
      </c>
      <c r="B940" s="206">
        <v>102114</v>
      </c>
      <c r="C940" s="207" t="s">
        <v>1533</v>
      </c>
      <c r="D940" s="208" t="s">
        <v>580</v>
      </c>
      <c r="E940" s="209">
        <v>55.75</v>
      </c>
      <c r="F940" s="209">
        <v>134.16999999999999</v>
      </c>
      <c r="G940" s="209">
        <v>189.92</v>
      </c>
      <c r="H940" s="198"/>
    </row>
    <row r="941" spans="1:8" ht="15.75" hidden="1" customHeight="1" x14ac:dyDescent="0.25">
      <c r="A941" s="205" t="s">
        <v>1530</v>
      </c>
      <c r="B941" s="206">
        <v>102113</v>
      </c>
      <c r="C941" s="207" t="s">
        <v>1534</v>
      </c>
      <c r="D941" s="208" t="s">
        <v>580</v>
      </c>
      <c r="E941" s="209">
        <v>1393.66</v>
      </c>
      <c r="F941" s="209">
        <v>134.13999999999999</v>
      </c>
      <c r="G941" s="209">
        <v>1527.8</v>
      </c>
      <c r="H941" s="198"/>
    </row>
    <row r="942" spans="1:8" ht="15.75" hidden="1" customHeight="1" x14ac:dyDescent="0.25">
      <c r="A942" s="205" t="s">
        <v>1530</v>
      </c>
      <c r="B942" s="206">
        <v>102117</v>
      </c>
      <c r="C942" s="207" t="s">
        <v>1535</v>
      </c>
      <c r="D942" s="208" t="s">
        <v>580</v>
      </c>
      <c r="E942" s="209">
        <v>57.24</v>
      </c>
      <c r="F942" s="209">
        <v>138.44</v>
      </c>
      <c r="G942" s="209">
        <v>195.68</v>
      </c>
      <c r="H942" s="198"/>
    </row>
    <row r="943" spans="1:8" ht="15.75" hidden="1" customHeight="1" x14ac:dyDescent="0.25">
      <c r="A943" s="205" t="s">
        <v>1530</v>
      </c>
      <c r="B943" s="206">
        <v>102116</v>
      </c>
      <c r="C943" s="207" t="s">
        <v>1536</v>
      </c>
      <c r="D943" s="208" t="s">
        <v>580</v>
      </c>
      <c r="E943" s="209">
        <v>1491.52</v>
      </c>
      <c r="F943" s="209">
        <v>138.37</v>
      </c>
      <c r="G943" s="209">
        <v>1629.89</v>
      </c>
      <c r="H943" s="198"/>
    </row>
    <row r="944" spans="1:8" ht="15.75" hidden="1" customHeight="1" x14ac:dyDescent="0.25">
      <c r="A944" s="205" t="s">
        <v>1530</v>
      </c>
      <c r="B944" s="206">
        <v>102115</v>
      </c>
      <c r="C944" s="207" t="s">
        <v>1537</v>
      </c>
      <c r="D944" s="208" t="s">
        <v>580</v>
      </c>
      <c r="E944" s="209">
        <v>2455.9299999999998</v>
      </c>
      <c r="F944" s="209">
        <v>191.4</v>
      </c>
      <c r="G944" s="209">
        <v>2647.33</v>
      </c>
      <c r="H944" s="198"/>
    </row>
    <row r="945" spans="1:8" ht="15.75" hidden="1" customHeight="1" x14ac:dyDescent="0.25">
      <c r="A945" s="205" t="s">
        <v>1530</v>
      </c>
      <c r="B945" s="206">
        <v>102123</v>
      </c>
      <c r="C945" s="207" t="s">
        <v>1538</v>
      </c>
      <c r="D945" s="208" t="s">
        <v>580</v>
      </c>
      <c r="E945" s="209">
        <v>76.03</v>
      </c>
      <c r="F945" s="209">
        <v>191.27</v>
      </c>
      <c r="G945" s="209">
        <v>267.3</v>
      </c>
      <c r="H945" s="198"/>
    </row>
    <row r="946" spans="1:8" ht="15.75" hidden="1" customHeight="1" x14ac:dyDescent="0.25">
      <c r="A946" s="205" t="s">
        <v>1530</v>
      </c>
      <c r="B946" s="206">
        <v>102122</v>
      </c>
      <c r="C946" s="207" t="s">
        <v>1539</v>
      </c>
      <c r="D946" s="208" t="s">
        <v>580</v>
      </c>
      <c r="E946" s="209">
        <v>7133.96</v>
      </c>
      <c r="F946" s="209">
        <v>191.18</v>
      </c>
      <c r="G946" s="209">
        <v>7325.14</v>
      </c>
      <c r="H946" s="198"/>
    </row>
    <row r="947" spans="1:8" ht="15.75" hidden="1" customHeight="1" x14ac:dyDescent="0.25">
      <c r="A947" s="205" t="s">
        <v>1530</v>
      </c>
      <c r="B947" s="206">
        <v>102119</v>
      </c>
      <c r="C947" s="207" t="s">
        <v>1540</v>
      </c>
      <c r="D947" s="208" t="s">
        <v>580</v>
      </c>
      <c r="E947" s="209">
        <v>58.55</v>
      </c>
      <c r="F947" s="209">
        <v>142.1</v>
      </c>
      <c r="G947" s="209">
        <v>200.65</v>
      </c>
      <c r="H947" s="198"/>
    </row>
    <row r="948" spans="1:8" ht="15.75" hidden="1" customHeight="1" x14ac:dyDescent="0.25">
      <c r="A948" s="205" t="s">
        <v>1530</v>
      </c>
      <c r="B948" s="206">
        <v>102118</v>
      </c>
      <c r="C948" s="207" t="s">
        <v>1541</v>
      </c>
      <c r="D948" s="208" t="s">
        <v>580</v>
      </c>
      <c r="E948" s="209">
        <v>2059.81</v>
      </c>
      <c r="F948" s="209">
        <v>142.01</v>
      </c>
      <c r="G948" s="209">
        <v>2201.8200000000002</v>
      </c>
      <c r="H948" s="198"/>
    </row>
    <row r="949" spans="1:8" ht="15.75" hidden="1" customHeight="1" x14ac:dyDescent="0.25">
      <c r="A949" s="205" t="s">
        <v>1530</v>
      </c>
      <c r="B949" s="206">
        <v>102137</v>
      </c>
      <c r="C949" s="207" t="s">
        <v>1542</v>
      </c>
      <c r="D949" s="208" t="s">
        <v>580</v>
      </c>
      <c r="E949" s="209">
        <v>57.94</v>
      </c>
      <c r="F949" s="209">
        <v>31.36</v>
      </c>
      <c r="G949" s="209">
        <v>89.3</v>
      </c>
      <c r="H949" s="198"/>
    </row>
    <row r="950" spans="1:8" ht="15.75" hidden="1" customHeight="1" x14ac:dyDescent="0.25">
      <c r="A950" s="205" t="s">
        <v>1530</v>
      </c>
      <c r="B950" s="206">
        <v>102136</v>
      </c>
      <c r="C950" s="207" t="s">
        <v>1543</v>
      </c>
      <c r="D950" s="208" t="s">
        <v>580</v>
      </c>
      <c r="E950" s="209">
        <v>26.78</v>
      </c>
      <c r="F950" s="209">
        <v>69.540000000000006</v>
      </c>
      <c r="G950" s="209">
        <v>96.32</v>
      </c>
      <c r="H950" s="198"/>
    </row>
    <row r="951" spans="1:8" ht="15.75" hidden="1" customHeight="1" x14ac:dyDescent="0.25">
      <c r="A951" s="205" t="s">
        <v>1530</v>
      </c>
      <c r="B951" s="206">
        <v>102121</v>
      </c>
      <c r="C951" s="207" t="s">
        <v>1544</v>
      </c>
      <c r="D951" s="208" t="s">
        <v>580</v>
      </c>
      <c r="E951" s="209">
        <v>72.150000000000006</v>
      </c>
      <c r="F951" s="209">
        <v>180.38</v>
      </c>
      <c r="G951" s="209">
        <v>252.53</v>
      </c>
      <c r="H951" s="198"/>
    </row>
    <row r="952" spans="1:8" ht="15.75" hidden="1" customHeight="1" x14ac:dyDescent="0.25">
      <c r="A952" s="205" t="s">
        <v>1530</v>
      </c>
      <c r="B952" s="206">
        <v>102138</v>
      </c>
      <c r="C952" s="207" t="s">
        <v>1545</v>
      </c>
      <c r="D952" s="208" t="s">
        <v>580</v>
      </c>
      <c r="E952" s="209">
        <v>82.31</v>
      </c>
      <c r="F952" s="209">
        <v>209.04</v>
      </c>
      <c r="G952" s="209">
        <v>291.35000000000002</v>
      </c>
      <c r="H952" s="198"/>
    </row>
    <row r="953" spans="1:8" ht="15.75" hidden="1" customHeight="1" x14ac:dyDescent="0.25">
      <c r="A953" s="205" t="s">
        <v>1546</v>
      </c>
      <c r="B953" s="206">
        <v>101801</v>
      </c>
      <c r="C953" s="207" t="s">
        <v>1547</v>
      </c>
      <c r="D953" s="208" t="s">
        <v>580</v>
      </c>
      <c r="E953" s="209">
        <v>870.52</v>
      </c>
      <c r="F953" s="209">
        <v>309.52</v>
      </c>
      <c r="G953" s="209">
        <v>1180.04</v>
      </c>
      <c r="H953" s="198"/>
    </row>
    <row r="954" spans="1:8" ht="15.75" hidden="1" customHeight="1" x14ac:dyDescent="0.25">
      <c r="A954" s="205" t="s">
        <v>1546</v>
      </c>
      <c r="B954" s="206">
        <v>101800</v>
      </c>
      <c r="C954" s="207" t="s">
        <v>1548</v>
      </c>
      <c r="D954" s="208" t="s">
        <v>580</v>
      </c>
      <c r="E954" s="209">
        <v>1138.4000000000001</v>
      </c>
      <c r="F954" s="209">
        <v>498.64</v>
      </c>
      <c r="G954" s="209">
        <v>1637.04</v>
      </c>
      <c r="H954" s="198"/>
    </row>
    <row r="955" spans="1:8" ht="15.75" hidden="1" customHeight="1" x14ac:dyDescent="0.25">
      <c r="A955" s="205" t="s">
        <v>1546</v>
      </c>
      <c r="B955" s="206">
        <v>98108</v>
      </c>
      <c r="C955" s="207" t="s">
        <v>1549</v>
      </c>
      <c r="D955" s="208" t="s">
        <v>580</v>
      </c>
      <c r="E955" s="209">
        <v>286.48</v>
      </c>
      <c r="F955" s="209">
        <v>274.8</v>
      </c>
      <c r="G955" s="209">
        <v>561.28</v>
      </c>
      <c r="H955" s="198"/>
    </row>
    <row r="956" spans="1:8" ht="15.75" hidden="1" customHeight="1" x14ac:dyDescent="0.25">
      <c r="A956" s="205" t="s">
        <v>1546</v>
      </c>
      <c r="B956" s="206">
        <v>98105</v>
      </c>
      <c r="C956" s="207" t="s">
        <v>1550</v>
      </c>
      <c r="D956" s="208" t="s">
        <v>580</v>
      </c>
      <c r="E956" s="209">
        <v>372.78</v>
      </c>
      <c r="F956" s="209">
        <v>362.04</v>
      </c>
      <c r="G956" s="209">
        <v>734.82</v>
      </c>
      <c r="H956" s="198"/>
    </row>
    <row r="957" spans="1:8" ht="15.75" hidden="1" customHeight="1" x14ac:dyDescent="0.25">
      <c r="A957" s="205" t="s">
        <v>1546</v>
      </c>
      <c r="B957" s="206">
        <v>98109</v>
      </c>
      <c r="C957" s="207" t="s">
        <v>1551</v>
      </c>
      <c r="D957" s="208" t="s">
        <v>580</v>
      </c>
      <c r="E957" s="209">
        <v>466.4</v>
      </c>
      <c r="F957" s="209">
        <v>443.64</v>
      </c>
      <c r="G957" s="209">
        <v>910.04</v>
      </c>
      <c r="H957" s="198"/>
    </row>
    <row r="958" spans="1:8" ht="15.75" hidden="1" customHeight="1" x14ac:dyDescent="0.25">
      <c r="A958" s="205" t="s">
        <v>1546</v>
      </c>
      <c r="B958" s="206">
        <v>98106</v>
      </c>
      <c r="C958" s="207" t="s">
        <v>1552</v>
      </c>
      <c r="D958" s="208" t="s">
        <v>580</v>
      </c>
      <c r="E958" s="209">
        <v>616.35</v>
      </c>
      <c r="F958" s="209">
        <v>594.29999999999995</v>
      </c>
      <c r="G958" s="209">
        <v>1210.6500000000001</v>
      </c>
      <c r="H958" s="198"/>
    </row>
    <row r="959" spans="1:8" ht="15.75" hidden="1" customHeight="1" x14ac:dyDescent="0.25">
      <c r="A959" s="205" t="s">
        <v>1546</v>
      </c>
      <c r="B959" s="206">
        <v>98110</v>
      </c>
      <c r="C959" s="207" t="s">
        <v>1553</v>
      </c>
      <c r="D959" s="208" t="s">
        <v>580</v>
      </c>
      <c r="E959" s="209">
        <v>373.03</v>
      </c>
      <c r="F959" s="209">
        <v>13.85</v>
      </c>
      <c r="G959" s="209">
        <v>386.88</v>
      </c>
      <c r="H959" s="198"/>
    </row>
    <row r="960" spans="1:8" ht="15.75" hidden="1" customHeight="1" x14ac:dyDescent="0.25">
      <c r="A960" s="205" t="s">
        <v>1546</v>
      </c>
      <c r="B960" s="206">
        <v>98107</v>
      </c>
      <c r="C960" s="207" t="s">
        <v>1554</v>
      </c>
      <c r="D960" s="208" t="s">
        <v>580</v>
      </c>
      <c r="E960" s="209">
        <v>161.77000000000001</v>
      </c>
      <c r="F960" s="209">
        <v>151.37</v>
      </c>
      <c r="G960" s="209">
        <v>313.14</v>
      </c>
      <c r="H960" s="198"/>
    </row>
    <row r="961" spans="1:8" ht="15.75" hidden="1" customHeight="1" x14ac:dyDescent="0.25">
      <c r="A961" s="205" t="s">
        <v>1546</v>
      </c>
      <c r="B961" s="206">
        <v>98104</v>
      </c>
      <c r="C961" s="207" t="s">
        <v>1555</v>
      </c>
      <c r="D961" s="208" t="s">
        <v>580</v>
      </c>
      <c r="E961" s="209">
        <v>215.2</v>
      </c>
      <c r="F961" s="209">
        <v>205.43</v>
      </c>
      <c r="G961" s="209">
        <v>420.63</v>
      </c>
      <c r="H961" s="198"/>
    </row>
    <row r="962" spans="1:8" ht="15.75" hidden="1" customHeight="1" x14ac:dyDescent="0.25">
      <c r="A962" s="205" t="s">
        <v>1546</v>
      </c>
      <c r="B962" s="206">
        <v>98102</v>
      </c>
      <c r="C962" s="207" t="s">
        <v>1556</v>
      </c>
      <c r="D962" s="208" t="s">
        <v>580</v>
      </c>
      <c r="E962" s="209">
        <v>181.96</v>
      </c>
      <c r="F962" s="209">
        <v>5.35</v>
      </c>
      <c r="G962" s="209">
        <v>187.31</v>
      </c>
      <c r="H962" s="198"/>
    </row>
    <row r="963" spans="1:8" ht="15.75" hidden="1" customHeight="1" x14ac:dyDescent="0.25">
      <c r="A963" s="205" t="s">
        <v>1546</v>
      </c>
      <c r="B963" s="206">
        <v>98111</v>
      </c>
      <c r="C963" s="207" t="s">
        <v>1557</v>
      </c>
      <c r="D963" s="208" t="s">
        <v>580</v>
      </c>
      <c r="E963" s="209">
        <v>46.95</v>
      </c>
      <c r="F963" s="209">
        <v>7.6</v>
      </c>
      <c r="G963" s="209">
        <v>54.55</v>
      </c>
      <c r="H963" s="198"/>
    </row>
    <row r="964" spans="1:8" ht="15.75" customHeight="1" x14ac:dyDescent="0.25">
      <c r="A964" s="205" t="s">
        <v>1546</v>
      </c>
      <c r="B964" s="206">
        <v>97891</v>
      </c>
      <c r="C964" s="207" t="s">
        <v>1558</v>
      </c>
      <c r="D964" s="208" t="s">
        <v>580</v>
      </c>
      <c r="E964" s="209">
        <v>114.4</v>
      </c>
      <c r="F964" s="209">
        <v>118.4</v>
      </c>
      <c r="G964" s="209">
        <v>232.8</v>
      </c>
      <c r="H964" s="198"/>
    </row>
    <row r="965" spans="1:8" ht="15.75" customHeight="1" x14ac:dyDescent="0.25">
      <c r="A965" s="205" t="s">
        <v>1546</v>
      </c>
      <c r="B965" s="206">
        <v>97892</v>
      </c>
      <c r="C965" s="207" t="s">
        <v>1559</v>
      </c>
      <c r="D965" s="208" t="s">
        <v>580</v>
      </c>
      <c r="E965" s="209">
        <v>220.93</v>
      </c>
      <c r="F965" s="209">
        <v>212.52</v>
      </c>
      <c r="G965" s="209">
        <v>433.45</v>
      </c>
      <c r="H965" s="198"/>
    </row>
    <row r="966" spans="1:8" ht="15.75" customHeight="1" x14ac:dyDescent="0.25">
      <c r="A966" s="205" t="s">
        <v>1546</v>
      </c>
      <c r="B966" s="206">
        <v>97893</v>
      </c>
      <c r="C966" s="207" t="s">
        <v>1560</v>
      </c>
      <c r="D966" s="208" t="s">
        <v>580</v>
      </c>
      <c r="E966" s="209">
        <v>304.38</v>
      </c>
      <c r="F966" s="209">
        <v>295.01</v>
      </c>
      <c r="G966" s="209">
        <v>599.39</v>
      </c>
      <c r="H966" s="198"/>
    </row>
    <row r="967" spans="1:8" ht="15.75" customHeight="1" x14ac:dyDescent="0.25">
      <c r="A967" s="205" t="s">
        <v>1546</v>
      </c>
      <c r="B967" s="206">
        <v>97894</v>
      </c>
      <c r="C967" s="207" t="s">
        <v>1561</v>
      </c>
      <c r="D967" s="208" t="s">
        <v>580</v>
      </c>
      <c r="E967" s="209">
        <v>364.98</v>
      </c>
      <c r="F967" s="209">
        <v>283.63</v>
      </c>
      <c r="G967" s="209">
        <v>648.61</v>
      </c>
      <c r="H967" s="198"/>
    </row>
    <row r="968" spans="1:8" ht="15.75" customHeight="1" x14ac:dyDescent="0.25">
      <c r="A968" s="205" t="s">
        <v>1546</v>
      </c>
      <c r="B968" s="206">
        <v>97886</v>
      </c>
      <c r="C968" s="207" t="s">
        <v>1562</v>
      </c>
      <c r="D968" s="208" t="s">
        <v>580</v>
      </c>
      <c r="E968" s="209">
        <v>93.52</v>
      </c>
      <c r="F968" s="209">
        <v>96.78</v>
      </c>
      <c r="G968" s="209">
        <v>190.3</v>
      </c>
      <c r="H968" s="198"/>
    </row>
    <row r="969" spans="1:8" ht="15.75" customHeight="1" x14ac:dyDescent="0.25">
      <c r="A969" s="205" t="s">
        <v>1546</v>
      </c>
      <c r="B969" s="206">
        <v>97887</v>
      </c>
      <c r="C969" s="207" t="s">
        <v>1563</v>
      </c>
      <c r="D969" s="208" t="s">
        <v>580</v>
      </c>
      <c r="E969" s="209">
        <v>147.86000000000001</v>
      </c>
      <c r="F969" s="209">
        <v>152.05000000000001</v>
      </c>
      <c r="G969" s="209">
        <v>299.91000000000003</v>
      </c>
      <c r="H969" s="198"/>
    </row>
    <row r="970" spans="1:8" ht="15.75" customHeight="1" x14ac:dyDescent="0.25">
      <c r="A970" s="205" t="s">
        <v>1546</v>
      </c>
      <c r="B970" s="206">
        <v>97888</v>
      </c>
      <c r="C970" s="207" t="s">
        <v>1564</v>
      </c>
      <c r="D970" s="208" t="s">
        <v>580</v>
      </c>
      <c r="E970" s="209">
        <v>291.77999999999997</v>
      </c>
      <c r="F970" s="209">
        <v>283.60000000000002</v>
      </c>
      <c r="G970" s="209">
        <v>575.38</v>
      </c>
      <c r="H970" s="198"/>
    </row>
    <row r="971" spans="1:8" ht="15.75" customHeight="1" x14ac:dyDescent="0.25">
      <c r="A971" s="205" t="s">
        <v>1546</v>
      </c>
      <c r="B971" s="206">
        <v>97889</v>
      </c>
      <c r="C971" s="207" t="s">
        <v>1565</v>
      </c>
      <c r="D971" s="208" t="s">
        <v>580</v>
      </c>
      <c r="E971" s="209">
        <v>394.65</v>
      </c>
      <c r="F971" s="209">
        <v>385.74</v>
      </c>
      <c r="G971" s="209">
        <v>780.39</v>
      </c>
      <c r="H971" s="198"/>
    </row>
    <row r="972" spans="1:8" ht="15.75" customHeight="1" x14ac:dyDescent="0.25">
      <c r="A972" s="205" t="s">
        <v>1546</v>
      </c>
      <c r="B972" s="206">
        <v>97890</v>
      </c>
      <c r="C972" s="207" t="s">
        <v>1566</v>
      </c>
      <c r="D972" s="208" t="s">
        <v>580</v>
      </c>
      <c r="E972" s="209">
        <v>474.42</v>
      </c>
      <c r="F972" s="209">
        <v>393.51</v>
      </c>
      <c r="G972" s="209">
        <v>867.93</v>
      </c>
      <c r="H972" s="198"/>
    </row>
    <row r="973" spans="1:8" ht="15.75" customHeight="1" x14ac:dyDescent="0.25">
      <c r="A973" s="205" t="s">
        <v>1546</v>
      </c>
      <c r="B973" s="206">
        <v>97881</v>
      </c>
      <c r="C973" s="207" t="s">
        <v>1567</v>
      </c>
      <c r="D973" s="208" t="s">
        <v>580</v>
      </c>
      <c r="E973" s="209">
        <v>120.24</v>
      </c>
      <c r="F973" s="209">
        <v>26.05</v>
      </c>
      <c r="G973" s="209">
        <v>146.29</v>
      </c>
      <c r="H973" s="198"/>
    </row>
    <row r="974" spans="1:8" ht="15.75" customHeight="1" x14ac:dyDescent="0.25">
      <c r="A974" s="205" t="s">
        <v>1546</v>
      </c>
      <c r="B974" s="206">
        <v>97882</v>
      </c>
      <c r="C974" s="207" t="s">
        <v>1568</v>
      </c>
      <c r="D974" s="208" t="s">
        <v>580</v>
      </c>
      <c r="E974" s="209">
        <v>193.75</v>
      </c>
      <c r="F974" s="209">
        <v>37.17</v>
      </c>
      <c r="G974" s="209">
        <v>230.92</v>
      </c>
      <c r="H974" s="198"/>
    </row>
    <row r="975" spans="1:8" ht="15.75" customHeight="1" x14ac:dyDescent="0.25">
      <c r="A975" s="205" t="s">
        <v>1546</v>
      </c>
      <c r="B975" s="206">
        <v>97883</v>
      </c>
      <c r="C975" s="207" t="s">
        <v>1569</v>
      </c>
      <c r="D975" s="208" t="s">
        <v>580</v>
      </c>
      <c r="E975" s="209">
        <v>380.34</v>
      </c>
      <c r="F975" s="209">
        <v>64.34</v>
      </c>
      <c r="G975" s="209">
        <v>444.68</v>
      </c>
      <c r="H975" s="198"/>
    </row>
    <row r="976" spans="1:8" ht="15.75" customHeight="1" x14ac:dyDescent="0.25">
      <c r="A976" s="205" t="s">
        <v>1546</v>
      </c>
      <c r="B976" s="206">
        <v>97884</v>
      </c>
      <c r="C976" s="207" t="s">
        <v>1570</v>
      </c>
      <c r="D976" s="208" t="s">
        <v>580</v>
      </c>
      <c r="E976" s="209">
        <v>763.52</v>
      </c>
      <c r="F976" s="209">
        <v>107.87</v>
      </c>
      <c r="G976" s="209">
        <v>871.39</v>
      </c>
      <c r="H976" s="198"/>
    </row>
    <row r="977" spans="1:8" ht="15.75" customHeight="1" x14ac:dyDescent="0.25">
      <c r="A977" s="205" t="s">
        <v>1546</v>
      </c>
      <c r="B977" s="206">
        <v>97885</v>
      </c>
      <c r="C977" s="207" t="s">
        <v>1571</v>
      </c>
      <c r="D977" s="208" t="s">
        <v>580</v>
      </c>
      <c r="E977" s="209">
        <v>1191.98</v>
      </c>
      <c r="F977" s="209">
        <v>145.96</v>
      </c>
      <c r="G977" s="209">
        <v>1337.94</v>
      </c>
      <c r="H977" s="198"/>
    </row>
    <row r="978" spans="1:8" ht="15.75" customHeight="1" x14ac:dyDescent="0.25">
      <c r="A978" s="205" t="s">
        <v>1546</v>
      </c>
      <c r="B978" s="206">
        <v>99250</v>
      </c>
      <c r="C978" s="207" t="s">
        <v>1572</v>
      </c>
      <c r="D978" s="208" t="s">
        <v>580</v>
      </c>
      <c r="E978" s="209">
        <v>106.23</v>
      </c>
      <c r="F978" s="209">
        <v>102.42</v>
      </c>
      <c r="G978" s="209">
        <v>208.65</v>
      </c>
      <c r="H978" s="198"/>
    </row>
    <row r="979" spans="1:8" ht="15.75" customHeight="1" x14ac:dyDescent="0.25">
      <c r="A979" s="205" t="s">
        <v>1546</v>
      </c>
      <c r="B979" s="206">
        <v>97900</v>
      </c>
      <c r="C979" s="207" t="s">
        <v>1573</v>
      </c>
      <c r="D979" s="208" t="s">
        <v>580</v>
      </c>
      <c r="E979" s="209">
        <v>110.49</v>
      </c>
      <c r="F979" s="209">
        <v>102.67</v>
      </c>
      <c r="G979" s="209">
        <v>213.16</v>
      </c>
      <c r="H979" s="198"/>
    </row>
    <row r="980" spans="1:8" ht="15.75" customHeight="1" x14ac:dyDescent="0.25">
      <c r="A980" s="205" t="s">
        <v>1546</v>
      </c>
      <c r="B980" s="206">
        <v>99251</v>
      </c>
      <c r="C980" s="207" t="s">
        <v>1574</v>
      </c>
      <c r="D980" s="208" t="s">
        <v>580</v>
      </c>
      <c r="E980" s="209">
        <v>165.26</v>
      </c>
      <c r="F980" s="209">
        <v>161.72</v>
      </c>
      <c r="G980" s="209">
        <v>326.98</v>
      </c>
      <c r="H980" s="198"/>
    </row>
    <row r="981" spans="1:8" ht="15.75" customHeight="1" x14ac:dyDescent="0.25">
      <c r="A981" s="205" t="s">
        <v>1546</v>
      </c>
      <c r="B981" s="206">
        <v>97901</v>
      </c>
      <c r="C981" s="207" t="s">
        <v>1575</v>
      </c>
      <c r="D981" s="208" t="s">
        <v>580</v>
      </c>
      <c r="E981" s="209">
        <v>172.55</v>
      </c>
      <c r="F981" s="209">
        <v>162.16999999999999</v>
      </c>
      <c r="G981" s="209">
        <v>334.72</v>
      </c>
      <c r="H981" s="198"/>
    </row>
    <row r="982" spans="1:8" ht="15.75" customHeight="1" x14ac:dyDescent="0.25">
      <c r="A982" s="205" t="s">
        <v>1546</v>
      </c>
      <c r="B982" s="206">
        <v>99253</v>
      </c>
      <c r="C982" s="207" t="s">
        <v>1576</v>
      </c>
      <c r="D982" s="208" t="s">
        <v>580</v>
      </c>
      <c r="E982" s="209">
        <v>322.44</v>
      </c>
      <c r="F982" s="209">
        <v>306.33999999999997</v>
      </c>
      <c r="G982" s="209">
        <v>628.78</v>
      </c>
      <c r="H982" s="198"/>
    </row>
    <row r="983" spans="1:8" ht="15.75" customHeight="1" x14ac:dyDescent="0.25">
      <c r="A983" s="205" t="s">
        <v>1546</v>
      </c>
      <c r="B983" s="206">
        <v>97902</v>
      </c>
      <c r="C983" s="207" t="s">
        <v>1577</v>
      </c>
      <c r="D983" s="208" t="s">
        <v>580</v>
      </c>
      <c r="E983" s="209">
        <v>338.92</v>
      </c>
      <c r="F983" s="209">
        <v>307.24</v>
      </c>
      <c r="G983" s="209">
        <v>646.16</v>
      </c>
      <c r="H983" s="198"/>
    </row>
    <row r="984" spans="1:8" ht="15.75" customHeight="1" x14ac:dyDescent="0.25">
      <c r="A984" s="205" t="s">
        <v>1546</v>
      </c>
      <c r="B984" s="206">
        <v>99255</v>
      </c>
      <c r="C984" s="207" t="s">
        <v>1578</v>
      </c>
      <c r="D984" s="208" t="s">
        <v>580</v>
      </c>
      <c r="E984" s="209">
        <v>448.83</v>
      </c>
      <c r="F984" s="209">
        <v>426.75</v>
      </c>
      <c r="G984" s="209">
        <v>875.58</v>
      </c>
      <c r="H984" s="198"/>
    </row>
    <row r="985" spans="1:8" ht="15.75" customHeight="1" x14ac:dyDescent="0.25">
      <c r="A985" s="205" t="s">
        <v>1546</v>
      </c>
      <c r="B985" s="206">
        <v>97903</v>
      </c>
      <c r="C985" s="207" t="s">
        <v>1579</v>
      </c>
      <c r="D985" s="208" t="s">
        <v>580</v>
      </c>
      <c r="E985" s="209">
        <v>471.3</v>
      </c>
      <c r="F985" s="209">
        <v>428.11</v>
      </c>
      <c r="G985" s="209">
        <v>899.41</v>
      </c>
      <c r="H985" s="198"/>
    </row>
    <row r="986" spans="1:8" ht="15.75" customHeight="1" x14ac:dyDescent="0.25">
      <c r="A986" s="205" t="s">
        <v>1546</v>
      </c>
      <c r="B986" s="206">
        <v>99257</v>
      </c>
      <c r="C986" s="207" t="s">
        <v>1580</v>
      </c>
      <c r="D986" s="208" t="s">
        <v>580</v>
      </c>
      <c r="E986" s="209">
        <v>551.35</v>
      </c>
      <c r="F986" s="209">
        <v>462.15</v>
      </c>
      <c r="G986" s="209">
        <v>1013.5</v>
      </c>
      <c r="H986" s="198"/>
    </row>
    <row r="987" spans="1:8" ht="15.75" customHeight="1" x14ac:dyDescent="0.25">
      <c r="A987" s="205" t="s">
        <v>1546</v>
      </c>
      <c r="B987" s="206">
        <v>97904</v>
      </c>
      <c r="C987" s="207" t="s">
        <v>1581</v>
      </c>
      <c r="D987" s="208" t="s">
        <v>580</v>
      </c>
      <c r="E987" s="209">
        <v>580.44000000000005</v>
      </c>
      <c r="F987" s="209">
        <v>463.88</v>
      </c>
      <c r="G987" s="209">
        <v>1044.32</v>
      </c>
      <c r="H987" s="198"/>
    </row>
    <row r="988" spans="1:8" ht="15.75" customHeight="1" x14ac:dyDescent="0.25">
      <c r="A988" s="205" t="s">
        <v>1546</v>
      </c>
      <c r="B988" s="206">
        <v>99258</v>
      </c>
      <c r="C988" s="207" t="s">
        <v>1582</v>
      </c>
      <c r="D988" s="208" t="s">
        <v>580</v>
      </c>
      <c r="E988" s="209">
        <v>138.26</v>
      </c>
      <c r="F988" s="209">
        <v>131.91999999999999</v>
      </c>
      <c r="G988" s="209">
        <v>270.18</v>
      </c>
      <c r="H988" s="198"/>
    </row>
    <row r="989" spans="1:8" ht="15.75" customHeight="1" x14ac:dyDescent="0.25">
      <c r="A989" s="205" t="s">
        <v>1546</v>
      </c>
      <c r="B989" s="206">
        <v>97905</v>
      </c>
      <c r="C989" s="207" t="s">
        <v>1583</v>
      </c>
      <c r="D989" s="208" t="s">
        <v>580</v>
      </c>
      <c r="E989" s="209">
        <v>142.91</v>
      </c>
      <c r="F989" s="209">
        <v>132.18</v>
      </c>
      <c r="G989" s="209">
        <v>275.08999999999997</v>
      </c>
      <c r="H989" s="198"/>
    </row>
    <row r="990" spans="1:8" ht="15.75" customHeight="1" x14ac:dyDescent="0.25">
      <c r="A990" s="205" t="s">
        <v>1546</v>
      </c>
      <c r="B990" s="206">
        <v>99260</v>
      </c>
      <c r="C990" s="207" t="s">
        <v>1584</v>
      </c>
      <c r="D990" s="208" t="s">
        <v>580</v>
      </c>
      <c r="E990" s="209">
        <v>259.25</v>
      </c>
      <c r="F990" s="209">
        <v>237.1</v>
      </c>
      <c r="G990" s="209">
        <v>496.35</v>
      </c>
      <c r="H990" s="198"/>
    </row>
    <row r="991" spans="1:8" ht="15.75" customHeight="1" x14ac:dyDescent="0.25">
      <c r="A991" s="205" t="s">
        <v>1546</v>
      </c>
      <c r="B991" s="206">
        <v>97906</v>
      </c>
      <c r="C991" s="207" t="s">
        <v>1585</v>
      </c>
      <c r="D991" s="208" t="s">
        <v>580</v>
      </c>
      <c r="E991" s="209">
        <v>269.58</v>
      </c>
      <c r="F991" s="209">
        <v>237.71</v>
      </c>
      <c r="G991" s="209">
        <v>507.29</v>
      </c>
      <c r="H991" s="198"/>
    </row>
    <row r="992" spans="1:8" ht="15.75" customHeight="1" x14ac:dyDescent="0.25">
      <c r="A992" s="205" t="s">
        <v>1546</v>
      </c>
      <c r="B992" s="206">
        <v>99262</v>
      </c>
      <c r="C992" s="207" t="s">
        <v>1586</v>
      </c>
      <c r="D992" s="208" t="s">
        <v>580</v>
      </c>
      <c r="E992" s="209">
        <v>368.15</v>
      </c>
      <c r="F992" s="209">
        <v>338.46</v>
      </c>
      <c r="G992" s="209">
        <v>706.61</v>
      </c>
      <c r="H992" s="198"/>
    </row>
    <row r="993" spans="1:8" ht="15.75" customHeight="1" x14ac:dyDescent="0.25">
      <c r="A993" s="205" t="s">
        <v>1546</v>
      </c>
      <c r="B993" s="206">
        <v>97907</v>
      </c>
      <c r="C993" s="207" t="s">
        <v>1587</v>
      </c>
      <c r="D993" s="208" t="s">
        <v>580</v>
      </c>
      <c r="E993" s="209">
        <v>382.93</v>
      </c>
      <c r="F993" s="209">
        <v>339.3</v>
      </c>
      <c r="G993" s="209">
        <v>722.23</v>
      </c>
      <c r="H993" s="198"/>
    </row>
    <row r="994" spans="1:8" ht="15.75" customHeight="1" x14ac:dyDescent="0.25">
      <c r="A994" s="205" t="s">
        <v>1546</v>
      </c>
      <c r="B994" s="206">
        <v>99264</v>
      </c>
      <c r="C994" s="207" t="s">
        <v>1588</v>
      </c>
      <c r="D994" s="208" t="s">
        <v>580</v>
      </c>
      <c r="E994" s="209">
        <v>455.92</v>
      </c>
      <c r="F994" s="209">
        <v>357.64</v>
      </c>
      <c r="G994" s="209">
        <v>813.56</v>
      </c>
      <c r="H994" s="198"/>
    </row>
    <row r="995" spans="1:8" ht="15.75" customHeight="1" x14ac:dyDescent="0.25">
      <c r="A995" s="205" t="s">
        <v>1546</v>
      </c>
      <c r="B995" s="206">
        <v>97908</v>
      </c>
      <c r="C995" s="207" t="s">
        <v>1589</v>
      </c>
      <c r="D995" s="208" t="s">
        <v>580</v>
      </c>
      <c r="E995" s="209">
        <v>475.85</v>
      </c>
      <c r="F995" s="209">
        <v>358.82</v>
      </c>
      <c r="G995" s="209">
        <v>834.67</v>
      </c>
      <c r="H995" s="198"/>
    </row>
    <row r="996" spans="1:8" ht="15.75" customHeight="1" x14ac:dyDescent="0.25">
      <c r="A996" s="205" t="s">
        <v>1546</v>
      </c>
      <c r="B996" s="206">
        <v>97895</v>
      </c>
      <c r="C996" s="207" t="s">
        <v>1590</v>
      </c>
      <c r="D996" s="208" t="s">
        <v>580</v>
      </c>
      <c r="E996" s="209">
        <v>193.33</v>
      </c>
      <c r="F996" s="209">
        <v>3.22</v>
      </c>
      <c r="G996" s="209">
        <v>196.55</v>
      </c>
      <c r="H996" s="198"/>
    </row>
    <row r="997" spans="1:8" ht="15.75" customHeight="1" x14ac:dyDescent="0.25">
      <c r="A997" s="205" t="s">
        <v>1546</v>
      </c>
      <c r="B997" s="206">
        <v>97896</v>
      </c>
      <c r="C997" s="207" t="s">
        <v>1591</v>
      </c>
      <c r="D997" s="208" t="s">
        <v>580</v>
      </c>
      <c r="E997" s="209">
        <v>357.89</v>
      </c>
      <c r="F997" s="209">
        <v>6.56</v>
      </c>
      <c r="G997" s="209">
        <v>364.45</v>
      </c>
      <c r="H997" s="198"/>
    </row>
    <row r="998" spans="1:8" ht="15.75" customHeight="1" x14ac:dyDescent="0.25">
      <c r="A998" s="205" t="s">
        <v>1546</v>
      </c>
      <c r="B998" s="206">
        <v>97897</v>
      </c>
      <c r="C998" s="207" t="s">
        <v>1592</v>
      </c>
      <c r="D998" s="208" t="s">
        <v>580</v>
      </c>
      <c r="E998" s="209">
        <v>461.53</v>
      </c>
      <c r="F998" s="209">
        <v>12.22</v>
      </c>
      <c r="G998" s="209">
        <v>473.75</v>
      </c>
      <c r="H998" s="198"/>
    </row>
    <row r="999" spans="1:8" ht="15.75" customHeight="1" x14ac:dyDescent="0.25">
      <c r="A999" s="205" t="s">
        <v>1546</v>
      </c>
      <c r="B999" s="206">
        <v>97898</v>
      </c>
      <c r="C999" s="207" t="s">
        <v>1593</v>
      </c>
      <c r="D999" s="208" t="s">
        <v>580</v>
      </c>
      <c r="E999" s="209">
        <v>823.88</v>
      </c>
      <c r="F999" s="209">
        <v>101.93</v>
      </c>
      <c r="G999" s="209">
        <v>925.81</v>
      </c>
      <c r="H999" s="198"/>
    </row>
    <row r="1000" spans="1:8" ht="15.75" customHeight="1" x14ac:dyDescent="0.25">
      <c r="A1000" s="205" t="s">
        <v>1546</v>
      </c>
      <c r="B1000" s="206">
        <v>101795</v>
      </c>
      <c r="C1000" s="207" t="s">
        <v>1594</v>
      </c>
      <c r="D1000" s="208" t="s">
        <v>580</v>
      </c>
      <c r="E1000" s="209">
        <v>375.4</v>
      </c>
      <c r="F1000" s="209">
        <v>265.86</v>
      </c>
      <c r="G1000" s="209">
        <v>641.26</v>
      </c>
      <c r="H1000" s="198"/>
    </row>
    <row r="1001" spans="1:8" ht="15.75" customHeight="1" x14ac:dyDescent="0.25">
      <c r="A1001" s="205" t="s">
        <v>1546</v>
      </c>
      <c r="B1001" s="206">
        <v>101802</v>
      </c>
      <c r="C1001" s="207" t="s">
        <v>1595</v>
      </c>
      <c r="D1001" s="208" t="s">
        <v>580</v>
      </c>
      <c r="E1001" s="209">
        <v>1121.9000000000001</v>
      </c>
      <c r="F1001" s="209">
        <v>736.46</v>
      </c>
      <c r="G1001" s="209">
        <v>1858.36</v>
      </c>
      <c r="H1001" s="198"/>
    </row>
    <row r="1002" spans="1:8" ht="15.75" customHeight="1" x14ac:dyDescent="0.25">
      <c r="A1002" s="205" t="s">
        <v>1546</v>
      </c>
      <c r="B1002" s="206">
        <v>101803</v>
      </c>
      <c r="C1002" s="207" t="s">
        <v>1596</v>
      </c>
      <c r="D1002" s="208" t="s">
        <v>580</v>
      </c>
      <c r="E1002" s="209">
        <v>691.24</v>
      </c>
      <c r="F1002" s="209">
        <v>513.64</v>
      </c>
      <c r="G1002" s="209">
        <v>1204.8800000000001</v>
      </c>
      <c r="H1002" s="198"/>
    </row>
    <row r="1003" spans="1:8" ht="15.75" customHeight="1" x14ac:dyDescent="0.25">
      <c r="A1003" s="205" t="s">
        <v>1546</v>
      </c>
      <c r="B1003" s="206">
        <v>101804</v>
      </c>
      <c r="C1003" s="207" t="s">
        <v>1597</v>
      </c>
      <c r="D1003" s="208" t="s">
        <v>580</v>
      </c>
      <c r="E1003" s="209">
        <v>894.3</v>
      </c>
      <c r="F1003" s="209">
        <v>604.92999999999995</v>
      </c>
      <c r="G1003" s="209">
        <v>1499.23</v>
      </c>
      <c r="H1003" s="198"/>
    </row>
    <row r="1004" spans="1:8" ht="15.75" customHeight="1" x14ac:dyDescent="0.25">
      <c r="A1004" s="205" t="s">
        <v>1546</v>
      </c>
      <c r="B1004" s="206">
        <v>101805</v>
      </c>
      <c r="C1004" s="207" t="s">
        <v>1598</v>
      </c>
      <c r="D1004" s="208" t="s">
        <v>580</v>
      </c>
      <c r="E1004" s="209">
        <v>1138.3900000000001</v>
      </c>
      <c r="F1004" s="209">
        <v>771.01</v>
      </c>
      <c r="G1004" s="209">
        <v>1909.4</v>
      </c>
      <c r="H1004" s="198"/>
    </row>
    <row r="1005" spans="1:8" ht="15.75" hidden="1" customHeight="1" x14ac:dyDescent="0.25">
      <c r="A1005" s="205" t="s">
        <v>1546</v>
      </c>
      <c r="B1005" s="206">
        <v>98115</v>
      </c>
      <c r="C1005" s="207" t="s">
        <v>1599</v>
      </c>
      <c r="D1005" s="208" t="s">
        <v>580</v>
      </c>
      <c r="E1005" s="209">
        <v>54.71</v>
      </c>
      <c r="F1005" s="209">
        <v>60.2</v>
      </c>
      <c r="G1005" s="209">
        <v>114.91</v>
      </c>
      <c r="H1005" s="198"/>
    </row>
    <row r="1006" spans="1:8" ht="15.75" hidden="1" customHeight="1" x14ac:dyDescent="0.25">
      <c r="A1006" s="205" t="s">
        <v>1546</v>
      </c>
      <c r="B1006" s="206">
        <v>98114</v>
      </c>
      <c r="C1006" s="207" t="s">
        <v>1600</v>
      </c>
      <c r="D1006" s="208" t="s">
        <v>580</v>
      </c>
      <c r="E1006" s="209">
        <v>705.59</v>
      </c>
      <c r="F1006" s="209">
        <v>51.31</v>
      </c>
      <c r="G1006" s="209">
        <v>756.9</v>
      </c>
      <c r="H1006" s="198"/>
    </row>
    <row r="1007" spans="1:8" ht="15.75" hidden="1" customHeight="1" x14ac:dyDescent="0.25">
      <c r="A1007" s="205" t="s">
        <v>1546</v>
      </c>
      <c r="B1007" s="206">
        <v>98112</v>
      </c>
      <c r="C1007" s="207" t="s">
        <v>1601</v>
      </c>
      <c r="D1007" s="208" t="s">
        <v>580</v>
      </c>
      <c r="E1007" s="209">
        <v>79.03</v>
      </c>
      <c r="F1007" s="209">
        <v>21.15</v>
      </c>
      <c r="G1007" s="209">
        <v>100.18</v>
      </c>
      <c r="H1007" s="198"/>
    </row>
    <row r="1008" spans="1:8" ht="15.75" hidden="1" customHeight="1" x14ac:dyDescent="0.25">
      <c r="A1008" s="205" t="s">
        <v>1546</v>
      </c>
      <c r="B1008" s="206">
        <v>100128</v>
      </c>
      <c r="C1008" s="207" t="s">
        <v>1602</v>
      </c>
      <c r="D1008" s="208" t="s">
        <v>580</v>
      </c>
      <c r="E1008" s="209">
        <v>1490.92</v>
      </c>
      <c r="F1008" s="209">
        <v>30.27</v>
      </c>
      <c r="G1008" s="209">
        <v>1521.19</v>
      </c>
      <c r="H1008" s="198"/>
    </row>
    <row r="1009" spans="1:8" ht="15.75" hidden="1" customHeight="1" x14ac:dyDescent="0.25">
      <c r="A1009" s="205" t="s">
        <v>1603</v>
      </c>
      <c r="B1009" s="206">
        <v>102623</v>
      </c>
      <c r="C1009" s="207" t="s">
        <v>1604</v>
      </c>
      <c r="D1009" s="208" t="s">
        <v>580</v>
      </c>
      <c r="E1009" s="209">
        <v>791.82</v>
      </c>
      <c r="F1009" s="209">
        <v>102.38</v>
      </c>
      <c r="G1009" s="209">
        <v>894.2</v>
      </c>
      <c r="H1009" s="198"/>
    </row>
    <row r="1010" spans="1:8" ht="15.75" hidden="1" customHeight="1" x14ac:dyDescent="0.25">
      <c r="A1010" s="205" t="s">
        <v>1603</v>
      </c>
      <c r="B1010" s="206">
        <v>102607</v>
      </c>
      <c r="C1010" s="207" t="s">
        <v>1605</v>
      </c>
      <c r="D1010" s="208" t="s">
        <v>580</v>
      </c>
      <c r="E1010" s="209">
        <v>502.01</v>
      </c>
      <c r="F1010" s="209">
        <v>7.33</v>
      </c>
      <c r="G1010" s="209">
        <v>509.34</v>
      </c>
      <c r="H1010" s="198"/>
    </row>
    <row r="1011" spans="1:8" ht="15.75" hidden="1" customHeight="1" x14ac:dyDescent="0.25">
      <c r="A1011" s="205" t="s">
        <v>1603</v>
      </c>
      <c r="B1011" s="206">
        <v>102608</v>
      </c>
      <c r="C1011" s="207" t="s">
        <v>1606</v>
      </c>
      <c r="D1011" s="208" t="s">
        <v>580</v>
      </c>
      <c r="E1011" s="209">
        <v>1156.1300000000001</v>
      </c>
      <c r="F1011" s="209">
        <v>9.7899999999999991</v>
      </c>
      <c r="G1011" s="209">
        <v>1165.92</v>
      </c>
      <c r="H1011" s="198"/>
    </row>
    <row r="1012" spans="1:8" ht="15.75" hidden="1" customHeight="1" x14ac:dyDescent="0.25">
      <c r="A1012" s="205" t="s">
        <v>1603</v>
      </c>
      <c r="B1012" s="206">
        <v>102609</v>
      </c>
      <c r="C1012" s="207" t="s">
        <v>1607</v>
      </c>
      <c r="D1012" s="208" t="s">
        <v>580</v>
      </c>
      <c r="E1012" s="209">
        <v>1312.27</v>
      </c>
      <c r="F1012" s="209">
        <v>12.98</v>
      </c>
      <c r="G1012" s="209">
        <v>1325.25</v>
      </c>
      <c r="H1012" s="198"/>
    </row>
    <row r="1013" spans="1:8" ht="15.75" hidden="1" customHeight="1" x14ac:dyDescent="0.25">
      <c r="A1013" s="205" t="s">
        <v>1603</v>
      </c>
      <c r="B1013" s="206">
        <v>102610</v>
      </c>
      <c r="C1013" s="207" t="s">
        <v>1608</v>
      </c>
      <c r="D1013" s="208" t="s">
        <v>580</v>
      </c>
      <c r="E1013" s="209">
        <v>2259.9699999999998</v>
      </c>
      <c r="F1013" s="209">
        <v>16.38</v>
      </c>
      <c r="G1013" s="209">
        <v>2276.35</v>
      </c>
      <c r="H1013" s="198"/>
    </row>
    <row r="1014" spans="1:8" ht="15.75" hidden="1" customHeight="1" x14ac:dyDescent="0.25">
      <c r="A1014" s="205" t="s">
        <v>1603</v>
      </c>
      <c r="B1014" s="206">
        <v>102622</v>
      </c>
      <c r="C1014" s="207" t="s">
        <v>1609</v>
      </c>
      <c r="D1014" s="208" t="s">
        <v>580</v>
      </c>
      <c r="E1014" s="209">
        <v>551.71</v>
      </c>
      <c r="F1014" s="209">
        <v>92.66</v>
      </c>
      <c r="G1014" s="209">
        <v>644.37</v>
      </c>
      <c r="H1014" s="198"/>
    </row>
    <row r="1015" spans="1:8" ht="15.75" hidden="1" customHeight="1" x14ac:dyDescent="0.25">
      <c r="A1015" s="205" t="s">
        <v>1603</v>
      </c>
      <c r="B1015" s="206">
        <v>102605</v>
      </c>
      <c r="C1015" s="207" t="s">
        <v>1610</v>
      </c>
      <c r="D1015" s="208" t="s">
        <v>580</v>
      </c>
      <c r="E1015" s="209">
        <v>303.83999999999997</v>
      </c>
      <c r="F1015" s="209">
        <v>5.09</v>
      </c>
      <c r="G1015" s="209">
        <v>308.93</v>
      </c>
      <c r="H1015" s="198"/>
    </row>
    <row r="1016" spans="1:8" ht="15.75" hidden="1" customHeight="1" x14ac:dyDescent="0.25">
      <c r="A1016" s="205" t="s">
        <v>1603</v>
      </c>
      <c r="B1016" s="206">
        <v>102606</v>
      </c>
      <c r="C1016" s="207" t="s">
        <v>1611</v>
      </c>
      <c r="D1016" s="208" t="s">
        <v>580</v>
      </c>
      <c r="E1016" s="209">
        <v>469.42</v>
      </c>
      <c r="F1016" s="209">
        <v>6.27</v>
      </c>
      <c r="G1016" s="209">
        <v>475.69</v>
      </c>
      <c r="H1016" s="198"/>
    </row>
    <row r="1017" spans="1:8" ht="15.75" hidden="1" customHeight="1" x14ac:dyDescent="0.25">
      <c r="A1017" s="205" t="s">
        <v>1603</v>
      </c>
      <c r="B1017" s="206">
        <v>102613</v>
      </c>
      <c r="C1017" s="207" t="s">
        <v>1612</v>
      </c>
      <c r="D1017" s="208" t="s">
        <v>580</v>
      </c>
      <c r="E1017" s="209">
        <v>705.87</v>
      </c>
      <c r="F1017" s="209">
        <v>7.49</v>
      </c>
      <c r="G1017" s="209">
        <v>713.36</v>
      </c>
      <c r="H1017" s="198"/>
    </row>
    <row r="1018" spans="1:8" ht="15.75" hidden="1" customHeight="1" x14ac:dyDescent="0.25">
      <c r="A1018" s="205" t="s">
        <v>1603</v>
      </c>
      <c r="B1018" s="206">
        <v>102619</v>
      </c>
      <c r="C1018" s="207" t="s">
        <v>1613</v>
      </c>
      <c r="D1018" s="208" t="s">
        <v>580</v>
      </c>
      <c r="E1018" s="209">
        <v>5898.64</v>
      </c>
      <c r="F1018" s="209">
        <v>168.04</v>
      </c>
      <c r="G1018" s="209">
        <v>6066.68</v>
      </c>
      <c r="H1018" s="198"/>
    </row>
    <row r="1019" spans="1:8" ht="15.75" hidden="1" customHeight="1" x14ac:dyDescent="0.25">
      <c r="A1019" s="205" t="s">
        <v>1603</v>
      </c>
      <c r="B1019" s="206">
        <v>102614</v>
      </c>
      <c r="C1019" s="207" t="s">
        <v>1614</v>
      </c>
      <c r="D1019" s="208" t="s">
        <v>580</v>
      </c>
      <c r="E1019" s="209">
        <v>1086.94</v>
      </c>
      <c r="F1019" s="209">
        <v>9.5299999999999994</v>
      </c>
      <c r="G1019" s="209">
        <v>1096.47</v>
      </c>
      <c r="H1019" s="198"/>
    </row>
    <row r="1020" spans="1:8" ht="15.75" hidden="1" customHeight="1" x14ac:dyDescent="0.25">
      <c r="A1020" s="205" t="s">
        <v>1603</v>
      </c>
      <c r="B1020" s="206">
        <v>102620</v>
      </c>
      <c r="C1020" s="207" t="s">
        <v>1615</v>
      </c>
      <c r="D1020" s="208" t="s">
        <v>580</v>
      </c>
      <c r="E1020" s="209">
        <v>8645.7900000000009</v>
      </c>
      <c r="F1020" s="209">
        <v>167.45</v>
      </c>
      <c r="G1020" s="209">
        <v>8813.24</v>
      </c>
      <c r="H1020" s="198"/>
    </row>
    <row r="1021" spans="1:8" ht="15.75" hidden="1" customHeight="1" x14ac:dyDescent="0.25">
      <c r="A1021" s="205" t="s">
        <v>1603</v>
      </c>
      <c r="B1021" s="206">
        <v>102615</v>
      </c>
      <c r="C1021" s="207" t="s">
        <v>1616</v>
      </c>
      <c r="D1021" s="208" t="s">
        <v>580</v>
      </c>
      <c r="E1021" s="209">
        <v>1364.09</v>
      </c>
      <c r="F1021" s="209">
        <v>11.97</v>
      </c>
      <c r="G1021" s="209">
        <v>1376.06</v>
      </c>
      <c r="H1021" s="198"/>
    </row>
    <row r="1022" spans="1:8" ht="15.75" hidden="1" customHeight="1" x14ac:dyDescent="0.25">
      <c r="A1022" s="205" t="s">
        <v>1603</v>
      </c>
      <c r="B1022" s="206">
        <v>102621</v>
      </c>
      <c r="C1022" s="207" t="s">
        <v>1617</v>
      </c>
      <c r="D1022" s="208" t="s">
        <v>580</v>
      </c>
      <c r="E1022" s="209">
        <v>13378.3</v>
      </c>
      <c r="F1022" s="209">
        <v>167.97</v>
      </c>
      <c r="G1022" s="209">
        <v>13546.27</v>
      </c>
      <c r="H1022" s="198"/>
    </row>
    <row r="1023" spans="1:8" ht="15.75" hidden="1" customHeight="1" x14ac:dyDescent="0.25">
      <c r="A1023" s="205" t="s">
        <v>1603</v>
      </c>
      <c r="B1023" s="206">
        <v>102616</v>
      </c>
      <c r="C1023" s="207" t="s">
        <v>1618</v>
      </c>
      <c r="D1023" s="208" t="s">
        <v>580</v>
      </c>
      <c r="E1023" s="209">
        <v>2020.69</v>
      </c>
      <c r="F1023" s="209">
        <v>15.88</v>
      </c>
      <c r="G1023" s="209">
        <v>2036.57</v>
      </c>
      <c r="H1023" s="198"/>
    </row>
    <row r="1024" spans="1:8" ht="15.75" hidden="1" customHeight="1" x14ac:dyDescent="0.25">
      <c r="A1024" s="205" t="s">
        <v>1603</v>
      </c>
      <c r="B1024" s="206">
        <v>102611</v>
      </c>
      <c r="C1024" s="207" t="s">
        <v>1619</v>
      </c>
      <c r="D1024" s="208" t="s">
        <v>580</v>
      </c>
      <c r="E1024" s="209">
        <v>507.06</v>
      </c>
      <c r="F1024" s="209">
        <v>5.58</v>
      </c>
      <c r="G1024" s="209">
        <v>512.64</v>
      </c>
      <c r="H1024" s="198"/>
    </row>
    <row r="1025" spans="1:8" ht="15.75" hidden="1" customHeight="1" x14ac:dyDescent="0.25">
      <c r="A1025" s="205" t="s">
        <v>1603</v>
      </c>
      <c r="B1025" s="206">
        <v>102617</v>
      </c>
      <c r="C1025" s="207" t="s">
        <v>1620</v>
      </c>
      <c r="D1025" s="208" t="s">
        <v>580</v>
      </c>
      <c r="E1025" s="209">
        <v>3589</v>
      </c>
      <c r="F1025" s="209">
        <v>167.93</v>
      </c>
      <c r="G1025" s="209">
        <v>3756.93</v>
      </c>
      <c r="H1025" s="198"/>
    </row>
    <row r="1026" spans="1:8" ht="15.75" hidden="1" customHeight="1" x14ac:dyDescent="0.25">
      <c r="A1026" s="205" t="s">
        <v>1603</v>
      </c>
      <c r="B1026" s="206">
        <v>102618</v>
      </c>
      <c r="C1026" s="207" t="s">
        <v>1621</v>
      </c>
      <c r="D1026" s="208" t="s">
        <v>580</v>
      </c>
      <c r="E1026" s="209">
        <v>4351.8500000000004</v>
      </c>
      <c r="F1026" s="209">
        <v>167.67</v>
      </c>
      <c r="G1026" s="209">
        <v>4519.5200000000004</v>
      </c>
      <c r="H1026" s="198"/>
    </row>
    <row r="1027" spans="1:8" ht="15.75" hidden="1" customHeight="1" x14ac:dyDescent="0.25">
      <c r="A1027" s="205" t="s">
        <v>1603</v>
      </c>
      <c r="B1027" s="206">
        <v>102612</v>
      </c>
      <c r="C1027" s="207" t="s">
        <v>1622</v>
      </c>
      <c r="D1027" s="208" t="s">
        <v>580</v>
      </c>
      <c r="E1027" s="209">
        <v>729.41</v>
      </c>
      <c r="F1027" s="209">
        <v>6.17</v>
      </c>
      <c r="G1027" s="209">
        <v>735.58</v>
      </c>
      <c r="H1027" s="198"/>
    </row>
    <row r="1028" spans="1:8" ht="15.75" hidden="1" customHeight="1" x14ac:dyDescent="0.25">
      <c r="A1028" s="205" t="s">
        <v>1603</v>
      </c>
      <c r="B1028" s="206">
        <v>102603</v>
      </c>
      <c r="C1028" s="207" t="s">
        <v>1623</v>
      </c>
      <c r="D1028" s="208" t="s">
        <v>580</v>
      </c>
      <c r="E1028" s="209">
        <v>3.51</v>
      </c>
      <c r="F1028" s="209">
        <v>9.91</v>
      </c>
      <c r="G1028" s="209">
        <v>13.42</v>
      </c>
      <c r="H1028" s="198"/>
    </row>
    <row r="1029" spans="1:8" ht="15.75" hidden="1" customHeight="1" x14ac:dyDescent="0.25">
      <c r="A1029" s="205" t="s">
        <v>1603</v>
      </c>
      <c r="B1029" s="206">
        <v>102587</v>
      </c>
      <c r="C1029" s="207" t="s">
        <v>1624</v>
      </c>
      <c r="D1029" s="208" t="s">
        <v>580</v>
      </c>
      <c r="E1029" s="209">
        <v>1.22</v>
      </c>
      <c r="F1029" s="209">
        <v>3.39</v>
      </c>
      <c r="G1029" s="209">
        <v>4.6100000000000003</v>
      </c>
      <c r="H1029" s="198"/>
    </row>
    <row r="1030" spans="1:8" ht="15.75" hidden="1" customHeight="1" x14ac:dyDescent="0.25">
      <c r="A1030" s="205" t="s">
        <v>1603</v>
      </c>
      <c r="B1030" s="206">
        <v>102589</v>
      </c>
      <c r="C1030" s="207" t="s">
        <v>1625</v>
      </c>
      <c r="D1030" s="208" t="s">
        <v>580</v>
      </c>
      <c r="E1030" s="209">
        <v>1.34</v>
      </c>
      <c r="F1030" s="209">
        <v>3.78</v>
      </c>
      <c r="G1030" s="209">
        <v>5.12</v>
      </c>
      <c r="H1030" s="198"/>
    </row>
    <row r="1031" spans="1:8" ht="15.75" hidden="1" customHeight="1" x14ac:dyDescent="0.25">
      <c r="A1031" s="205" t="s">
        <v>1603</v>
      </c>
      <c r="B1031" s="206">
        <v>102591</v>
      </c>
      <c r="C1031" s="207" t="s">
        <v>1626</v>
      </c>
      <c r="D1031" s="208" t="s">
        <v>580</v>
      </c>
      <c r="E1031" s="209">
        <v>1.47</v>
      </c>
      <c r="F1031" s="209">
        <v>4.16</v>
      </c>
      <c r="G1031" s="209">
        <v>5.63</v>
      </c>
      <c r="H1031" s="198"/>
    </row>
    <row r="1032" spans="1:8" ht="15.75" hidden="1" customHeight="1" x14ac:dyDescent="0.25">
      <c r="A1032" s="205" t="s">
        <v>1603</v>
      </c>
      <c r="B1032" s="206">
        <v>102593</v>
      </c>
      <c r="C1032" s="207" t="s">
        <v>1627</v>
      </c>
      <c r="D1032" s="208" t="s">
        <v>580</v>
      </c>
      <c r="E1032" s="209">
        <v>1.68</v>
      </c>
      <c r="F1032" s="209">
        <v>4.68</v>
      </c>
      <c r="G1032" s="209">
        <v>6.36</v>
      </c>
      <c r="H1032" s="198"/>
    </row>
    <row r="1033" spans="1:8" ht="15.75" hidden="1" customHeight="1" x14ac:dyDescent="0.25">
      <c r="A1033" s="205" t="s">
        <v>1603</v>
      </c>
      <c r="B1033" s="206">
        <v>102595</v>
      </c>
      <c r="C1033" s="207" t="s">
        <v>1628</v>
      </c>
      <c r="D1033" s="208" t="s">
        <v>580</v>
      </c>
      <c r="E1033" s="209">
        <v>1.89</v>
      </c>
      <c r="F1033" s="209">
        <v>5.3</v>
      </c>
      <c r="G1033" s="209">
        <v>7.19</v>
      </c>
      <c r="H1033" s="198"/>
    </row>
    <row r="1034" spans="1:8" ht="15.75" hidden="1" customHeight="1" x14ac:dyDescent="0.25">
      <c r="A1034" s="205" t="s">
        <v>1603</v>
      </c>
      <c r="B1034" s="206">
        <v>102597</v>
      </c>
      <c r="C1034" s="207" t="s">
        <v>1629</v>
      </c>
      <c r="D1034" s="208" t="s">
        <v>580</v>
      </c>
      <c r="E1034" s="209">
        <v>2.17</v>
      </c>
      <c r="F1034" s="209">
        <v>6.06</v>
      </c>
      <c r="G1034" s="209">
        <v>8.23</v>
      </c>
      <c r="H1034" s="198"/>
    </row>
    <row r="1035" spans="1:8" ht="15.75" hidden="1" customHeight="1" x14ac:dyDescent="0.25">
      <c r="A1035" s="205" t="s">
        <v>1603</v>
      </c>
      <c r="B1035" s="206">
        <v>102599</v>
      </c>
      <c r="C1035" s="207" t="s">
        <v>1630</v>
      </c>
      <c r="D1035" s="208" t="s">
        <v>580</v>
      </c>
      <c r="E1035" s="209">
        <v>2.44</v>
      </c>
      <c r="F1035" s="209">
        <v>6.83</v>
      </c>
      <c r="G1035" s="209">
        <v>9.27</v>
      </c>
      <c r="H1035" s="198"/>
    </row>
    <row r="1036" spans="1:8" ht="15.75" hidden="1" customHeight="1" x14ac:dyDescent="0.25">
      <c r="A1036" s="205" t="s">
        <v>1603</v>
      </c>
      <c r="B1036" s="206">
        <v>102601</v>
      </c>
      <c r="C1036" s="207" t="s">
        <v>1631</v>
      </c>
      <c r="D1036" s="208" t="s">
        <v>580</v>
      </c>
      <c r="E1036" s="209">
        <v>2.84</v>
      </c>
      <c r="F1036" s="209">
        <v>7.98</v>
      </c>
      <c r="G1036" s="209">
        <v>10.82</v>
      </c>
      <c r="H1036" s="198"/>
    </row>
    <row r="1037" spans="1:8" ht="15.75" hidden="1" customHeight="1" x14ac:dyDescent="0.25">
      <c r="A1037" s="205" t="s">
        <v>1603</v>
      </c>
      <c r="B1037" s="206">
        <v>102604</v>
      </c>
      <c r="C1037" s="207" t="s">
        <v>1632</v>
      </c>
      <c r="D1037" s="208" t="s">
        <v>580</v>
      </c>
      <c r="E1037" s="209">
        <v>4.07</v>
      </c>
      <c r="F1037" s="209">
        <v>11.41</v>
      </c>
      <c r="G1037" s="209">
        <v>15.48</v>
      </c>
      <c r="H1037" s="198"/>
    </row>
    <row r="1038" spans="1:8" ht="15.75" hidden="1" customHeight="1" x14ac:dyDescent="0.25">
      <c r="A1038" s="205" t="s">
        <v>1603</v>
      </c>
      <c r="B1038" s="206">
        <v>102588</v>
      </c>
      <c r="C1038" s="207" t="s">
        <v>1633</v>
      </c>
      <c r="D1038" s="208" t="s">
        <v>580</v>
      </c>
      <c r="E1038" s="209">
        <v>1.76</v>
      </c>
      <c r="F1038" s="209">
        <v>4.9000000000000004</v>
      </c>
      <c r="G1038" s="209">
        <v>6.66</v>
      </c>
      <c r="H1038" s="198"/>
    </row>
    <row r="1039" spans="1:8" ht="15.75" hidden="1" customHeight="1" x14ac:dyDescent="0.25">
      <c r="A1039" s="205" t="s">
        <v>1603</v>
      </c>
      <c r="B1039" s="206">
        <v>102590</v>
      </c>
      <c r="C1039" s="207" t="s">
        <v>1634</v>
      </c>
      <c r="D1039" s="208" t="s">
        <v>580</v>
      </c>
      <c r="E1039" s="209">
        <v>1.88</v>
      </c>
      <c r="F1039" s="209">
        <v>5.3</v>
      </c>
      <c r="G1039" s="209">
        <v>7.18</v>
      </c>
      <c r="H1039" s="198"/>
    </row>
    <row r="1040" spans="1:8" ht="15.75" hidden="1" customHeight="1" x14ac:dyDescent="0.25">
      <c r="A1040" s="205" t="s">
        <v>1603</v>
      </c>
      <c r="B1040" s="206">
        <v>102592</v>
      </c>
      <c r="C1040" s="207" t="s">
        <v>1635</v>
      </c>
      <c r="D1040" s="208" t="s">
        <v>580</v>
      </c>
      <c r="E1040" s="209">
        <v>2.0299999999999998</v>
      </c>
      <c r="F1040" s="209">
        <v>5.66</v>
      </c>
      <c r="G1040" s="209">
        <v>7.69</v>
      </c>
      <c r="H1040" s="198"/>
    </row>
    <row r="1041" spans="1:8" ht="15.75" hidden="1" customHeight="1" x14ac:dyDescent="0.25">
      <c r="A1041" s="205" t="s">
        <v>1603</v>
      </c>
      <c r="B1041" s="206">
        <v>102594</v>
      </c>
      <c r="C1041" s="207" t="s">
        <v>1636</v>
      </c>
      <c r="D1041" s="208" t="s">
        <v>580</v>
      </c>
      <c r="E1041" s="209">
        <v>2.2200000000000002</v>
      </c>
      <c r="F1041" s="209">
        <v>6.2</v>
      </c>
      <c r="G1041" s="209">
        <v>8.42</v>
      </c>
      <c r="H1041" s="198"/>
    </row>
    <row r="1042" spans="1:8" ht="15.75" hidden="1" customHeight="1" x14ac:dyDescent="0.25">
      <c r="A1042" s="205" t="s">
        <v>1603</v>
      </c>
      <c r="B1042" s="206">
        <v>102596</v>
      </c>
      <c r="C1042" s="207" t="s">
        <v>1637</v>
      </c>
      <c r="D1042" s="208" t="s">
        <v>580</v>
      </c>
      <c r="E1042" s="209">
        <v>2.42</v>
      </c>
      <c r="F1042" s="209">
        <v>6.83</v>
      </c>
      <c r="G1042" s="209">
        <v>9.25</v>
      </c>
      <c r="H1042" s="198"/>
    </row>
    <row r="1043" spans="1:8" ht="15.75" hidden="1" customHeight="1" x14ac:dyDescent="0.25">
      <c r="A1043" s="205" t="s">
        <v>1603</v>
      </c>
      <c r="B1043" s="206">
        <v>102598</v>
      </c>
      <c r="C1043" s="207" t="s">
        <v>1638</v>
      </c>
      <c r="D1043" s="208" t="s">
        <v>580</v>
      </c>
      <c r="E1043" s="209">
        <v>2.71</v>
      </c>
      <c r="F1043" s="209">
        <v>7.58</v>
      </c>
      <c r="G1043" s="209">
        <v>10.29</v>
      </c>
      <c r="H1043" s="198"/>
    </row>
    <row r="1044" spans="1:8" ht="15.75" hidden="1" customHeight="1" x14ac:dyDescent="0.25">
      <c r="A1044" s="205" t="s">
        <v>1603</v>
      </c>
      <c r="B1044" s="206">
        <v>102600</v>
      </c>
      <c r="C1044" s="207" t="s">
        <v>1639</v>
      </c>
      <c r="D1044" s="208" t="s">
        <v>580</v>
      </c>
      <c r="E1044" s="209">
        <v>2.98</v>
      </c>
      <c r="F1044" s="209">
        <v>8.35</v>
      </c>
      <c r="G1044" s="209">
        <v>11.33</v>
      </c>
      <c r="H1044" s="198"/>
    </row>
    <row r="1045" spans="1:8" ht="15.75" hidden="1" customHeight="1" x14ac:dyDescent="0.25">
      <c r="A1045" s="205" t="s">
        <v>1603</v>
      </c>
      <c r="B1045" s="206">
        <v>102602</v>
      </c>
      <c r="C1045" s="207" t="s">
        <v>1640</v>
      </c>
      <c r="D1045" s="208" t="s">
        <v>580</v>
      </c>
      <c r="E1045" s="209">
        <v>3.38</v>
      </c>
      <c r="F1045" s="209">
        <v>9.5</v>
      </c>
      <c r="G1045" s="209">
        <v>12.88</v>
      </c>
      <c r="H1045" s="198"/>
    </row>
    <row r="1046" spans="1:8" ht="15.75" hidden="1" customHeight="1" x14ac:dyDescent="0.25">
      <c r="A1046" s="205" t="s">
        <v>1641</v>
      </c>
      <c r="B1046" s="206">
        <v>103005</v>
      </c>
      <c r="C1046" s="207" t="s">
        <v>1642</v>
      </c>
      <c r="D1046" s="208" t="s">
        <v>580</v>
      </c>
      <c r="E1046" s="209">
        <v>468.7</v>
      </c>
      <c r="F1046" s="209">
        <v>183.99</v>
      </c>
      <c r="G1046" s="209">
        <v>652.69000000000005</v>
      </c>
      <c r="H1046" s="198"/>
    </row>
    <row r="1047" spans="1:8" ht="15.75" hidden="1" customHeight="1" x14ac:dyDescent="0.25">
      <c r="A1047" s="205" t="s">
        <v>1641</v>
      </c>
      <c r="B1047" s="206">
        <v>103006</v>
      </c>
      <c r="C1047" s="207" t="s">
        <v>1643</v>
      </c>
      <c r="D1047" s="208" t="s">
        <v>580</v>
      </c>
      <c r="E1047" s="209">
        <v>641.05999999999995</v>
      </c>
      <c r="F1047" s="209">
        <v>252.77</v>
      </c>
      <c r="G1047" s="209">
        <v>893.83</v>
      </c>
      <c r="H1047" s="198"/>
    </row>
    <row r="1048" spans="1:8" ht="15.75" hidden="1" customHeight="1" x14ac:dyDescent="0.25">
      <c r="A1048" s="205" t="s">
        <v>1641</v>
      </c>
      <c r="B1048" s="206">
        <v>103007</v>
      </c>
      <c r="C1048" s="207" t="s">
        <v>1644</v>
      </c>
      <c r="D1048" s="208" t="s">
        <v>580</v>
      </c>
      <c r="E1048" s="209">
        <v>861.44</v>
      </c>
      <c r="F1048" s="209">
        <v>321.69</v>
      </c>
      <c r="G1048" s="209">
        <v>1183.1300000000001</v>
      </c>
      <c r="H1048" s="198"/>
    </row>
    <row r="1049" spans="1:8" ht="15.75" hidden="1" customHeight="1" x14ac:dyDescent="0.25">
      <c r="A1049" s="205" t="s">
        <v>1641</v>
      </c>
      <c r="B1049" s="206">
        <v>102989</v>
      </c>
      <c r="C1049" s="207" t="s">
        <v>1645</v>
      </c>
      <c r="D1049" s="208" t="s">
        <v>585</v>
      </c>
      <c r="E1049" s="209">
        <v>18.27</v>
      </c>
      <c r="F1049" s="209">
        <v>11.49</v>
      </c>
      <c r="G1049" s="209">
        <v>29.76</v>
      </c>
      <c r="H1049" s="198"/>
    </row>
    <row r="1050" spans="1:8" ht="15.75" hidden="1" customHeight="1" x14ac:dyDescent="0.25">
      <c r="A1050" s="205" t="s">
        <v>1641</v>
      </c>
      <c r="B1050" s="206">
        <v>102990</v>
      </c>
      <c r="C1050" s="207" t="s">
        <v>1646</v>
      </c>
      <c r="D1050" s="208" t="s">
        <v>585</v>
      </c>
      <c r="E1050" s="209">
        <v>22.33</v>
      </c>
      <c r="F1050" s="209">
        <v>13.57</v>
      </c>
      <c r="G1050" s="209">
        <v>35.9</v>
      </c>
      <c r="H1050" s="198"/>
    </row>
    <row r="1051" spans="1:8" ht="15.75" hidden="1" customHeight="1" x14ac:dyDescent="0.25">
      <c r="A1051" s="205" t="s">
        <v>1641</v>
      </c>
      <c r="B1051" s="206">
        <v>102991</v>
      </c>
      <c r="C1051" s="207" t="s">
        <v>1647</v>
      </c>
      <c r="D1051" s="208" t="s">
        <v>585</v>
      </c>
      <c r="E1051" s="209">
        <v>29.01</v>
      </c>
      <c r="F1051" s="209">
        <v>17.14</v>
      </c>
      <c r="G1051" s="209">
        <v>46.15</v>
      </c>
      <c r="H1051" s="198"/>
    </row>
    <row r="1052" spans="1:8" ht="15.75" hidden="1" customHeight="1" x14ac:dyDescent="0.25">
      <c r="A1052" s="205" t="s">
        <v>1641</v>
      </c>
      <c r="B1052" s="206">
        <v>102992</v>
      </c>
      <c r="C1052" s="207" t="s">
        <v>1648</v>
      </c>
      <c r="D1052" s="208" t="s">
        <v>585</v>
      </c>
      <c r="E1052" s="209">
        <v>43.35</v>
      </c>
      <c r="F1052" s="209">
        <v>19.32</v>
      </c>
      <c r="G1052" s="209">
        <v>62.67</v>
      </c>
      <c r="H1052" s="198"/>
    </row>
    <row r="1053" spans="1:8" ht="15.75" hidden="1" customHeight="1" x14ac:dyDescent="0.25">
      <c r="A1053" s="205" t="s">
        <v>1641</v>
      </c>
      <c r="B1053" s="206">
        <v>102993</v>
      </c>
      <c r="C1053" s="207" t="s">
        <v>1649</v>
      </c>
      <c r="D1053" s="208" t="s">
        <v>585</v>
      </c>
      <c r="E1053" s="209">
        <v>56.34</v>
      </c>
      <c r="F1053" s="209">
        <v>25.81</v>
      </c>
      <c r="G1053" s="209">
        <v>82.15</v>
      </c>
      <c r="H1053" s="198"/>
    </row>
    <row r="1054" spans="1:8" ht="15.75" hidden="1" customHeight="1" x14ac:dyDescent="0.25">
      <c r="A1054" s="205" t="s">
        <v>1641</v>
      </c>
      <c r="B1054" s="206">
        <v>102994</v>
      </c>
      <c r="C1054" s="207" t="s">
        <v>1650</v>
      </c>
      <c r="D1054" s="208" t="s">
        <v>585</v>
      </c>
      <c r="E1054" s="209">
        <v>97.79</v>
      </c>
      <c r="F1054" s="209">
        <v>30.32</v>
      </c>
      <c r="G1054" s="209">
        <v>128.11000000000001</v>
      </c>
      <c r="H1054" s="198"/>
    </row>
    <row r="1055" spans="1:8" ht="15.75" hidden="1" customHeight="1" x14ac:dyDescent="0.25">
      <c r="A1055" s="205" t="s">
        <v>1641</v>
      </c>
      <c r="B1055" s="206">
        <v>102995</v>
      </c>
      <c r="C1055" s="207" t="s">
        <v>1651</v>
      </c>
      <c r="D1055" s="208" t="s">
        <v>585</v>
      </c>
      <c r="E1055" s="209">
        <v>36.43</v>
      </c>
      <c r="F1055" s="209">
        <v>20.73</v>
      </c>
      <c r="G1055" s="209">
        <v>57.16</v>
      </c>
      <c r="H1055" s="198"/>
    </row>
    <row r="1056" spans="1:8" ht="15.75" hidden="1" customHeight="1" x14ac:dyDescent="0.25">
      <c r="A1056" s="205" t="s">
        <v>1641</v>
      </c>
      <c r="B1056" s="206">
        <v>102996</v>
      </c>
      <c r="C1056" s="207" t="s">
        <v>1652</v>
      </c>
      <c r="D1056" s="208" t="s">
        <v>585</v>
      </c>
      <c r="E1056" s="209">
        <v>51.74</v>
      </c>
      <c r="F1056" s="209">
        <v>28.89</v>
      </c>
      <c r="G1056" s="209">
        <v>80.63</v>
      </c>
      <c r="H1056" s="198"/>
    </row>
    <row r="1057" spans="1:8" ht="15.75" hidden="1" customHeight="1" x14ac:dyDescent="0.25">
      <c r="A1057" s="205" t="s">
        <v>1641</v>
      </c>
      <c r="B1057" s="206">
        <v>102998</v>
      </c>
      <c r="C1057" s="207" t="s">
        <v>1653</v>
      </c>
      <c r="D1057" s="208" t="s">
        <v>585</v>
      </c>
      <c r="E1057" s="209">
        <v>67.06</v>
      </c>
      <c r="F1057" s="209">
        <v>34.770000000000003</v>
      </c>
      <c r="G1057" s="209">
        <v>101.83</v>
      </c>
      <c r="H1057" s="198"/>
    </row>
    <row r="1058" spans="1:8" ht="15.75" hidden="1" customHeight="1" x14ac:dyDescent="0.25">
      <c r="A1058" s="205" t="s">
        <v>1641</v>
      </c>
      <c r="B1058" s="206">
        <v>102999</v>
      </c>
      <c r="C1058" s="207" t="s">
        <v>1654</v>
      </c>
      <c r="D1058" s="208" t="s">
        <v>585</v>
      </c>
      <c r="E1058" s="209">
        <v>84.99</v>
      </c>
      <c r="F1058" s="209">
        <v>43.76</v>
      </c>
      <c r="G1058" s="209">
        <v>128.75</v>
      </c>
      <c r="H1058" s="198"/>
    </row>
    <row r="1059" spans="1:8" ht="15.75" hidden="1" customHeight="1" x14ac:dyDescent="0.25">
      <c r="A1059" s="205" t="s">
        <v>1641</v>
      </c>
      <c r="B1059" s="206">
        <v>103000</v>
      </c>
      <c r="C1059" s="207" t="s">
        <v>1655</v>
      </c>
      <c r="D1059" s="208" t="s">
        <v>585</v>
      </c>
      <c r="E1059" s="209">
        <v>85.33</v>
      </c>
      <c r="F1059" s="209">
        <v>43.93</v>
      </c>
      <c r="G1059" s="209">
        <v>129.26</v>
      </c>
      <c r="H1059" s="198"/>
    </row>
    <row r="1060" spans="1:8" ht="15.75" hidden="1" customHeight="1" x14ac:dyDescent="0.25">
      <c r="A1060" s="205" t="s">
        <v>1641</v>
      </c>
      <c r="B1060" s="206">
        <v>102997</v>
      </c>
      <c r="C1060" s="207" t="s">
        <v>1656</v>
      </c>
      <c r="D1060" s="208" t="s">
        <v>585</v>
      </c>
      <c r="E1060" s="209">
        <v>70.790000000000006</v>
      </c>
      <c r="F1060" s="209">
        <v>35.28</v>
      </c>
      <c r="G1060" s="209">
        <v>106.07</v>
      </c>
      <c r="H1060" s="198"/>
    </row>
    <row r="1061" spans="1:8" ht="15.75" hidden="1" customHeight="1" x14ac:dyDescent="0.25">
      <c r="A1061" s="205" t="s">
        <v>1641</v>
      </c>
      <c r="B1061" s="206">
        <v>103001</v>
      </c>
      <c r="C1061" s="207" t="s">
        <v>1657</v>
      </c>
      <c r="D1061" s="208" t="s">
        <v>580</v>
      </c>
      <c r="E1061" s="209">
        <v>239.73</v>
      </c>
      <c r="F1061" s="209">
        <v>22.24</v>
      </c>
      <c r="G1061" s="209">
        <v>261.97000000000003</v>
      </c>
      <c r="H1061" s="198"/>
    </row>
    <row r="1062" spans="1:8" ht="15.75" hidden="1" customHeight="1" x14ac:dyDescent="0.25">
      <c r="A1062" s="205" t="s">
        <v>1641</v>
      </c>
      <c r="B1062" s="206">
        <v>103002</v>
      </c>
      <c r="C1062" s="207" t="s">
        <v>1658</v>
      </c>
      <c r="D1062" s="208" t="s">
        <v>580</v>
      </c>
      <c r="E1062" s="209">
        <v>302.06</v>
      </c>
      <c r="F1062" s="209">
        <v>23.19</v>
      </c>
      <c r="G1062" s="209">
        <v>325.25</v>
      </c>
      <c r="H1062" s="198"/>
    </row>
    <row r="1063" spans="1:8" ht="15.75" hidden="1" customHeight="1" x14ac:dyDescent="0.25">
      <c r="A1063" s="205" t="s">
        <v>1641</v>
      </c>
      <c r="B1063" s="206">
        <v>103003</v>
      </c>
      <c r="C1063" s="207" t="s">
        <v>1659</v>
      </c>
      <c r="D1063" s="208" t="s">
        <v>580</v>
      </c>
      <c r="E1063" s="209">
        <v>426.81</v>
      </c>
      <c r="F1063" s="209">
        <v>25.07</v>
      </c>
      <c r="G1063" s="209">
        <v>451.88</v>
      </c>
      <c r="H1063" s="198"/>
    </row>
    <row r="1064" spans="1:8" ht="15.75" hidden="1" customHeight="1" x14ac:dyDescent="0.25">
      <c r="A1064" s="205" t="s">
        <v>1660</v>
      </c>
      <c r="B1064" s="206">
        <v>98522</v>
      </c>
      <c r="C1064" s="207" t="s">
        <v>1661</v>
      </c>
      <c r="D1064" s="208" t="s">
        <v>585</v>
      </c>
      <c r="E1064" s="209">
        <v>133.59</v>
      </c>
      <c r="F1064" s="209">
        <v>54.69</v>
      </c>
      <c r="G1064" s="209">
        <v>188.28</v>
      </c>
      <c r="H1064" s="198"/>
    </row>
    <row r="1065" spans="1:8" ht="15.75" hidden="1" customHeight="1" x14ac:dyDescent="0.25">
      <c r="A1065" s="205" t="s">
        <v>1660</v>
      </c>
      <c r="B1065" s="206">
        <v>102364</v>
      </c>
      <c r="C1065" s="207" t="s">
        <v>1662</v>
      </c>
      <c r="D1065" s="208" t="s">
        <v>578</v>
      </c>
      <c r="E1065" s="209">
        <v>176.96</v>
      </c>
      <c r="F1065" s="209">
        <v>46.18</v>
      </c>
      <c r="G1065" s="209">
        <v>223.14</v>
      </c>
      <c r="H1065" s="198"/>
    </row>
    <row r="1066" spans="1:8" ht="15.75" hidden="1" customHeight="1" x14ac:dyDescent="0.25">
      <c r="A1066" s="205" t="s">
        <v>1660</v>
      </c>
      <c r="B1066" s="206">
        <v>102363</v>
      </c>
      <c r="C1066" s="207" t="s">
        <v>1663</v>
      </c>
      <c r="D1066" s="208" t="s">
        <v>578</v>
      </c>
      <c r="E1066" s="209">
        <v>152.08000000000001</v>
      </c>
      <c r="F1066" s="209">
        <v>46.19</v>
      </c>
      <c r="G1066" s="209">
        <v>198.27</v>
      </c>
      <c r="H1066" s="198"/>
    </row>
    <row r="1067" spans="1:8" ht="15.75" hidden="1" customHeight="1" x14ac:dyDescent="0.25">
      <c r="A1067" s="205" t="s">
        <v>1660</v>
      </c>
      <c r="B1067" s="206">
        <v>102362</v>
      </c>
      <c r="C1067" s="207" t="s">
        <v>1664</v>
      </c>
      <c r="D1067" s="208" t="s">
        <v>578</v>
      </c>
      <c r="E1067" s="209">
        <v>138.19</v>
      </c>
      <c r="F1067" s="209">
        <v>46.58</v>
      </c>
      <c r="G1067" s="209">
        <v>184.77</v>
      </c>
      <c r="H1067" s="198"/>
    </row>
    <row r="1068" spans="1:8" ht="15.75" hidden="1" customHeight="1" x14ac:dyDescent="0.25">
      <c r="A1068" s="205" t="s">
        <v>1660</v>
      </c>
      <c r="B1068" s="206">
        <v>101193</v>
      </c>
      <c r="C1068" s="207" t="s">
        <v>1665</v>
      </c>
      <c r="D1068" s="208" t="s">
        <v>585</v>
      </c>
      <c r="E1068" s="209">
        <v>43.53</v>
      </c>
      <c r="F1068" s="209">
        <v>25.62</v>
      </c>
      <c r="G1068" s="209">
        <v>69.150000000000006</v>
      </c>
      <c r="H1068" s="198"/>
    </row>
    <row r="1069" spans="1:8" ht="15.75" hidden="1" customHeight="1" x14ac:dyDescent="0.25">
      <c r="A1069" s="205" t="s">
        <v>1660</v>
      </c>
      <c r="B1069" s="206">
        <v>101192</v>
      </c>
      <c r="C1069" s="207" t="s">
        <v>1666</v>
      </c>
      <c r="D1069" s="208" t="s">
        <v>585</v>
      </c>
      <c r="E1069" s="209">
        <v>51.18</v>
      </c>
      <c r="F1069" s="209">
        <v>25.62</v>
      </c>
      <c r="G1069" s="209">
        <v>76.8</v>
      </c>
      <c r="H1069" s="198"/>
    </row>
    <row r="1070" spans="1:8" ht="15.75" hidden="1" customHeight="1" x14ac:dyDescent="0.25">
      <c r="A1070" s="205" t="s">
        <v>1660</v>
      </c>
      <c r="B1070" s="206">
        <v>101194</v>
      </c>
      <c r="C1070" s="207" t="s">
        <v>1667</v>
      </c>
      <c r="D1070" s="208" t="s">
        <v>585</v>
      </c>
      <c r="E1070" s="209">
        <v>43.93</v>
      </c>
      <c r="F1070" s="209">
        <v>25.62</v>
      </c>
      <c r="G1070" s="209">
        <v>69.55</v>
      </c>
      <c r="H1070" s="198"/>
    </row>
    <row r="1071" spans="1:8" ht="15.75" hidden="1" customHeight="1" x14ac:dyDescent="0.25">
      <c r="A1071" s="205" t="s">
        <v>1660</v>
      </c>
      <c r="B1071" s="206">
        <v>101190</v>
      </c>
      <c r="C1071" s="207" t="s">
        <v>1668</v>
      </c>
      <c r="D1071" s="208" t="s">
        <v>585</v>
      </c>
      <c r="E1071" s="209">
        <v>48.97</v>
      </c>
      <c r="F1071" s="209">
        <v>25.61</v>
      </c>
      <c r="G1071" s="209">
        <v>74.58</v>
      </c>
      <c r="H1071" s="198"/>
    </row>
    <row r="1072" spans="1:8" ht="15.75" hidden="1" customHeight="1" x14ac:dyDescent="0.25">
      <c r="A1072" s="205" t="s">
        <v>1660</v>
      </c>
      <c r="B1072" s="206">
        <v>101189</v>
      </c>
      <c r="C1072" s="207" t="s">
        <v>1669</v>
      </c>
      <c r="D1072" s="208" t="s">
        <v>585</v>
      </c>
      <c r="E1072" s="209">
        <v>49.78</v>
      </c>
      <c r="F1072" s="209">
        <v>25.61</v>
      </c>
      <c r="G1072" s="209">
        <v>75.39</v>
      </c>
      <c r="H1072" s="198"/>
    </row>
    <row r="1073" spans="1:8" ht="15.75" hidden="1" customHeight="1" x14ac:dyDescent="0.25">
      <c r="A1073" s="205" t="s">
        <v>1660</v>
      </c>
      <c r="B1073" s="206">
        <v>101191</v>
      </c>
      <c r="C1073" s="207" t="s">
        <v>1670</v>
      </c>
      <c r="D1073" s="208" t="s">
        <v>585</v>
      </c>
      <c r="E1073" s="209">
        <v>49.36</v>
      </c>
      <c r="F1073" s="209">
        <v>25.62</v>
      </c>
      <c r="G1073" s="209">
        <v>74.98</v>
      </c>
      <c r="H1073" s="198"/>
    </row>
    <row r="1074" spans="1:8" ht="15.75" hidden="1" customHeight="1" x14ac:dyDescent="0.25">
      <c r="A1074" s="205" t="s">
        <v>1660</v>
      </c>
      <c r="B1074" s="206">
        <v>101198</v>
      </c>
      <c r="C1074" s="207" t="s">
        <v>1671</v>
      </c>
      <c r="D1074" s="208" t="s">
        <v>585</v>
      </c>
      <c r="E1074" s="209">
        <v>65.430000000000007</v>
      </c>
      <c r="F1074" s="209">
        <v>40.880000000000003</v>
      </c>
      <c r="G1074" s="209">
        <v>106.31</v>
      </c>
      <c r="H1074" s="198"/>
    </row>
    <row r="1075" spans="1:8" ht="15.75" hidden="1" customHeight="1" x14ac:dyDescent="0.25">
      <c r="A1075" s="205" t="s">
        <v>1660</v>
      </c>
      <c r="B1075" s="206">
        <v>101197</v>
      </c>
      <c r="C1075" s="207" t="s">
        <v>1672</v>
      </c>
      <c r="D1075" s="208" t="s">
        <v>585</v>
      </c>
      <c r="E1075" s="209">
        <v>93.1</v>
      </c>
      <c r="F1075" s="209">
        <v>47.59</v>
      </c>
      <c r="G1075" s="209">
        <v>140.69</v>
      </c>
      <c r="H1075" s="198"/>
    </row>
    <row r="1076" spans="1:8" ht="15.75" hidden="1" customHeight="1" x14ac:dyDescent="0.25">
      <c r="A1076" s="205" t="s">
        <v>1660</v>
      </c>
      <c r="B1076" s="206">
        <v>101199</v>
      </c>
      <c r="C1076" s="207" t="s">
        <v>1673</v>
      </c>
      <c r="D1076" s="208" t="s">
        <v>585</v>
      </c>
      <c r="E1076" s="209">
        <v>66.430000000000007</v>
      </c>
      <c r="F1076" s="209">
        <v>40.880000000000003</v>
      </c>
      <c r="G1076" s="209">
        <v>107.31</v>
      </c>
      <c r="H1076" s="198"/>
    </row>
    <row r="1077" spans="1:8" ht="15.75" hidden="1" customHeight="1" x14ac:dyDescent="0.25">
      <c r="A1077" s="205" t="s">
        <v>1660</v>
      </c>
      <c r="B1077" s="206">
        <v>101203</v>
      </c>
      <c r="C1077" s="207" t="s">
        <v>1674</v>
      </c>
      <c r="D1077" s="208" t="s">
        <v>585</v>
      </c>
      <c r="E1077" s="209">
        <v>28.43</v>
      </c>
      <c r="F1077" s="209">
        <v>25.67</v>
      </c>
      <c r="G1077" s="209">
        <v>54.1</v>
      </c>
      <c r="H1077" s="198"/>
    </row>
    <row r="1078" spans="1:8" ht="15.75" hidden="1" customHeight="1" x14ac:dyDescent="0.25">
      <c r="A1078" s="205" t="s">
        <v>1660</v>
      </c>
      <c r="B1078" s="206">
        <v>101202</v>
      </c>
      <c r="C1078" s="207" t="s">
        <v>1675</v>
      </c>
      <c r="D1078" s="208" t="s">
        <v>585</v>
      </c>
      <c r="E1078" s="209">
        <v>29.44</v>
      </c>
      <c r="F1078" s="209">
        <v>25.67</v>
      </c>
      <c r="G1078" s="209">
        <v>55.11</v>
      </c>
      <c r="H1078" s="198"/>
    </row>
    <row r="1079" spans="1:8" ht="15.75" hidden="1" customHeight="1" x14ac:dyDescent="0.25">
      <c r="A1079" s="205" t="s">
        <v>1660</v>
      </c>
      <c r="B1079" s="206">
        <v>101204</v>
      </c>
      <c r="C1079" s="207" t="s">
        <v>1676</v>
      </c>
      <c r="D1079" s="208" t="s">
        <v>585</v>
      </c>
      <c r="E1079" s="209">
        <v>28.84</v>
      </c>
      <c r="F1079" s="209">
        <v>25.66</v>
      </c>
      <c r="G1079" s="209">
        <v>54.5</v>
      </c>
      <c r="H1079" s="198"/>
    </row>
    <row r="1080" spans="1:8" ht="15.75" hidden="1" customHeight="1" x14ac:dyDescent="0.25">
      <c r="A1080" s="205" t="s">
        <v>1660</v>
      </c>
      <c r="B1080" s="206">
        <v>101200</v>
      </c>
      <c r="C1080" s="207" t="s">
        <v>1677</v>
      </c>
      <c r="D1080" s="208" t="s">
        <v>585</v>
      </c>
      <c r="E1080" s="209">
        <v>45.64</v>
      </c>
      <c r="F1080" s="209">
        <v>23.88</v>
      </c>
      <c r="G1080" s="209">
        <v>69.52</v>
      </c>
      <c r="H1080" s="198"/>
    </row>
    <row r="1081" spans="1:8" ht="15.75" hidden="1" customHeight="1" x14ac:dyDescent="0.25">
      <c r="A1081" s="205" t="s">
        <v>1660</v>
      </c>
      <c r="B1081" s="206">
        <v>101201</v>
      </c>
      <c r="C1081" s="207" t="s">
        <v>1678</v>
      </c>
      <c r="D1081" s="208" t="s">
        <v>585</v>
      </c>
      <c r="E1081" s="209">
        <v>54.9</v>
      </c>
      <c r="F1081" s="209">
        <v>31.01</v>
      </c>
      <c r="G1081" s="209">
        <v>85.91</v>
      </c>
      <c r="H1081" s="198"/>
    </row>
    <row r="1082" spans="1:8" ht="15.75" hidden="1" customHeight="1" x14ac:dyDescent="0.25">
      <c r="A1082" s="205" t="s">
        <v>1660</v>
      </c>
      <c r="B1082" s="206">
        <v>101205</v>
      </c>
      <c r="C1082" s="207" t="s">
        <v>1679</v>
      </c>
      <c r="D1082" s="208" t="s">
        <v>585</v>
      </c>
      <c r="E1082" s="209">
        <v>29.44</v>
      </c>
      <c r="F1082" s="209">
        <v>25.67</v>
      </c>
      <c r="G1082" s="209">
        <v>55.11</v>
      </c>
      <c r="H1082" s="198"/>
    </row>
    <row r="1083" spans="1:8" ht="15.75" hidden="1" customHeight="1" x14ac:dyDescent="0.25">
      <c r="A1083" s="205" t="s">
        <v>1660</v>
      </c>
      <c r="B1083" s="206">
        <v>101188</v>
      </c>
      <c r="C1083" s="207" t="s">
        <v>1680</v>
      </c>
      <c r="D1083" s="208" t="s">
        <v>585</v>
      </c>
      <c r="E1083" s="209">
        <v>3.52</v>
      </c>
      <c r="F1083" s="209">
        <v>4.34</v>
      </c>
      <c r="G1083" s="209">
        <v>7.86</v>
      </c>
      <c r="H1083" s="198"/>
    </row>
    <row r="1084" spans="1:8" ht="15.75" hidden="1" customHeight="1" x14ac:dyDescent="0.25">
      <c r="A1084" s="205" t="s">
        <v>1681</v>
      </c>
      <c r="B1084" s="206">
        <v>87905</v>
      </c>
      <c r="C1084" s="207" t="s">
        <v>1682</v>
      </c>
      <c r="D1084" s="208" t="s">
        <v>578</v>
      </c>
      <c r="E1084" s="209">
        <v>3.78</v>
      </c>
      <c r="F1084" s="209">
        <v>6.26</v>
      </c>
      <c r="G1084" s="209">
        <v>10.039999999999999</v>
      </c>
      <c r="H1084" s="198"/>
    </row>
    <row r="1085" spans="1:8" ht="15.75" hidden="1" customHeight="1" x14ac:dyDescent="0.25">
      <c r="A1085" s="205" t="s">
        <v>1681</v>
      </c>
      <c r="B1085" s="206">
        <v>87904</v>
      </c>
      <c r="C1085" s="207" t="s">
        <v>1683</v>
      </c>
      <c r="D1085" s="208" t="s">
        <v>578</v>
      </c>
      <c r="E1085" s="209">
        <v>4</v>
      </c>
      <c r="F1085" s="209">
        <v>6.66</v>
      </c>
      <c r="G1085" s="209">
        <v>10.66</v>
      </c>
      <c r="H1085" s="198"/>
    </row>
    <row r="1086" spans="1:8" ht="15.75" hidden="1" customHeight="1" x14ac:dyDescent="0.25">
      <c r="A1086" s="205" t="s">
        <v>1681</v>
      </c>
      <c r="B1086" s="206">
        <v>87908</v>
      </c>
      <c r="C1086" s="207" t="s">
        <v>1684</v>
      </c>
      <c r="D1086" s="208" t="s">
        <v>578</v>
      </c>
      <c r="E1086" s="209">
        <v>3.72</v>
      </c>
      <c r="F1086" s="209">
        <v>3.64</v>
      </c>
      <c r="G1086" s="209">
        <v>7.36</v>
      </c>
      <c r="H1086" s="198"/>
    </row>
    <row r="1087" spans="1:8" ht="15.75" hidden="1" customHeight="1" x14ac:dyDescent="0.25">
      <c r="A1087" s="205" t="s">
        <v>1681</v>
      </c>
      <c r="B1087" s="206">
        <v>87907</v>
      </c>
      <c r="C1087" s="207" t="s">
        <v>1685</v>
      </c>
      <c r="D1087" s="208" t="s">
        <v>578</v>
      </c>
      <c r="E1087" s="209">
        <v>3.94</v>
      </c>
      <c r="F1087" s="209">
        <v>4.04</v>
      </c>
      <c r="G1087" s="209">
        <v>7.98</v>
      </c>
      <c r="H1087" s="198"/>
    </row>
    <row r="1088" spans="1:8" ht="15.75" hidden="1" customHeight="1" x14ac:dyDescent="0.25">
      <c r="A1088" s="205" t="s">
        <v>1681</v>
      </c>
      <c r="B1088" s="206">
        <v>87903</v>
      </c>
      <c r="C1088" s="207" t="s">
        <v>1686</v>
      </c>
      <c r="D1088" s="208" t="s">
        <v>578</v>
      </c>
      <c r="E1088" s="209">
        <v>8.7100000000000009</v>
      </c>
      <c r="F1088" s="209">
        <v>3.82</v>
      </c>
      <c r="G1088" s="209">
        <v>12.53</v>
      </c>
      <c r="H1088" s="198"/>
    </row>
    <row r="1089" spans="1:8" ht="15.75" hidden="1" customHeight="1" x14ac:dyDescent="0.25">
      <c r="A1089" s="205" t="s">
        <v>1681</v>
      </c>
      <c r="B1089" s="206">
        <v>87902</v>
      </c>
      <c r="C1089" s="207" t="s">
        <v>1687</v>
      </c>
      <c r="D1089" s="208" t="s">
        <v>578</v>
      </c>
      <c r="E1089" s="209">
        <v>8.91</v>
      </c>
      <c r="F1089" s="209">
        <v>4.1100000000000003</v>
      </c>
      <c r="G1089" s="209">
        <v>13.02</v>
      </c>
      <c r="H1089" s="198"/>
    </row>
    <row r="1090" spans="1:8" ht="15.75" hidden="1" customHeight="1" x14ac:dyDescent="0.25">
      <c r="A1090" s="205" t="s">
        <v>1681</v>
      </c>
      <c r="B1090" s="206">
        <v>87900</v>
      </c>
      <c r="C1090" s="207" t="s">
        <v>1688</v>
      </c>
      <c r="D1090" s="208" t="s">
        <v>578</v>
      </c>
      <c r="E1090" s="209">
        <v>6.08</v>
      </c>
      <c r="F1090" s="209">
        <v>3.81</v>
      </c>
      <c r="G1090" s="209">
        <v>9.89</v>
      </c>
      <c r="H1090" s="198"/>
    </row>
    <row r="1091" spans="1:8" ht="15.75" hidden="1" customHeight="1" x14ac:dyDescent="0.25">
      <c r="A1091" s="205" t="s">
        <v>1681</v>
      </c>
      <c r="B1091" s="206">
        <v>87899</v>
      </c>
      <c r="C1091" s="207" t="s">
        <v>1689</v>
      </c>
      <c r="D1091" s="208" t="s">
        <v>578</v>
      </c>
      <c r="E1091" s="209">
        <v>6.14</v>
      </c>
      <c r="F1091" s="209">
        <v>3.95</v>
      </c>
      <c r="G1091" s="209">
        <v>10.09</v>
      </c>
      <c r="H1091" s="198"/>
    </row>
    <row r="1092" spans="1:8" ht="15.75" hidden="1" customHeight="1" x14ac:dyDescent="0.25">
      <c r="A1092" s="205" t="s">
        <v>1681</v>
      </c>
      <c r="B1092" s="206">
        <v>87894</v>
      </c>
      <c r="C1092" s="207" t="s">
        <v>1690</v>
      </c>
      <c r="D1092" s="208" t="s">
        <v>578</v>
      </c>
      <c r="E1092" s="209">
        <v>3.37</v>
      </c>
      <c r="F1092" s="209">
        <v>5.13</v>
      </c>
      <c r="G1092" s="209">
        <v>8.5</v>
      </c>
      <c r="H1092" s="198"/>
    </row>
    <row r="1093" spans="1:8" ht="15.75" hidden="1" customHeight="1" x14ac:dyDescent="0.25">
      <c r="A1093" s="205" t="s">
        <v>1681</v>
      </c>
      <c r="B1093" s="206">
        <v>87893</v>
      </c>
      <c r="C1093" s="207" t="s">
        <v>1691</v>
      </c>
      <c r="D1093" s="208" t="s">
        <v>578</v>
      </c>
      <c r="E1093" s="209">
        <v>3.58</v>
      </c>
      <c r="F1093" s="209">
        <v>5.54</v>
      </c>
      <c r="G1093" s="209">
        <v>9.1199999999999992</v>
      </c>
      <c r="H1093" s="198"/>
    </row>
    <row r="1094" spans="1:8" ht="15.75" hidden="1" customHeight="1" x14ac:dyDescent="0.25">
      <c r="A1094" s="205" t="s">
        <v>1681</v>
      </c>
      <c r="B1094" s="206">
        <v>87897</v>
      </c>
      <c r="C1094" s="207" t="s">
        <v>1692</v>
      </c>
      <c r="D1094" s="208" t="s">
        <v>578</v>
      </c>
      <c r="E1094" s="209">
        <v>3.18</v>
      </c>
      <c r="F1094" s="209">
        <v>2.78</v>
      </c>
      <c r="G1094" s="209">
        <v>5.96</v>
      </c>
      <c r="H1094" s="198"/>
    </row>
    <row r="1095" spans="1:8" ht="15.75" hidden="1" customHeight="1" x14ac:dyDescent="0.25">
      <c r="A1095" s="205" t="s">
        <v>1681</v>
      </c>
      <c r="B1095" s="206">
        <v>87896</v>
      </c>
      <c r="C1095" s="207" t="s">
        <v>1693</v>
      </c>
      <c r="D1095" s="208" t="s">
        <v>578</v>
      </c>
      <c r="E1095" s="209">
        <v>3.4</v>
      </c>
      <c r="F1095" s="209">
        <v>3.18</v>
      </c>
      <c r="G1095" s="209">
        <v>6.58</v>
      </c>
      <c r="H1095" s="198"/>
    </row>
    <row r="1096" spans="1:8" ht="15.75" hidden="1" customHeight="1" x14ac:dyDescent="0.25">
      <c r="A1096" s="205" t="s">
        <v>1681</v>
      </c>
      <c r="B1096" s="206">
        <v>87892</v>
      </c>
      <c r="C1096" s="207" t="s">
        <v>1694</v>
      </c>
      <c r="D1096" s="208" t="s">
        <v>578</v>
      </c>
      <c r="E1096" s="209">
        <v>8.4499999999999993</v>
      </c>
      <c r="F1096" s="209">
        <v>3.12</v>
      </c>
      <c r="G1096" s="209">
        <v>11.57</v>
      </c>
      <c r="H1096" s="198"/>
    </row>
    <row r="1097" spans="1:8" ht="15.75" hidden="1" customHeight="1" x14ac:dyDescent="0.25">
      <c r="A1097" s="205" t="s">
        <v>1681</v>
      </c>
      <c r="B1097" s="206">
        <v>87889</v>
      </c>
      <c r="C1097" s="207" t="s">
        <v>1695</v>
      </c>
      <c r="D1097" s="208" t="s">
        <v>578</v>
      </c>
      <c r="E1097" s="209">
        <v>5.81</v>
      </c>
      <c r="F1097" s="209">
        <v>3.12</v>
      </c>
      <c r="G1097" s="209">
        <v>8.93</v>
      </c>
      <c r="H1097" s="198"/>
    </row>
    <row r="1098" spans="1:8" ht="15.75" hidden="1" customHeight="1" x14ac:dyDescent="0.25">
      <c r="A1098" s="205" t="s">
        <v>1681</v>
      </c>
      <c r="B1098" s="206">
        <v>87888</v>
      </c>
      <c r="C1098" s="207" t="s">
        <v>1696</v>
      </c>
      <c r="D1098" s="208" t="s">
        <v>578</v>
      </c>
      <c r="E1098" s="209">
        <v>5.88</v>
      </c>
      <c r="F1098" s="209">
        <v>3.25</v>
      </c>
      <c r="G1098" s="209">
        <v>9.1300000000000008</v>
      </c>
      <c r="H1098" s="198"/>
    </row>
    <row r="1099" spans="1:8" ht="15.75" hidden="1" customHeight="1" x14ac:dyDescent="0.25">
      <c r="A1099" s="205" t="s">
        <v>1681</v>
      </c>
      <c r="B1099" s="206">
        <v>87891</v>
      </c>
      <c r="C1099" s="207" t="s">
        <v>1697</v>
      </c>
      <c r="D1099" s="208" t="s">
        <v>578</v>
      </c>
      <c r="E1099" s="209">
        <v>8.65</v>
      </c>
      <c r="F1099" s="209">
        <v>3.41</v>
      </c>
      <c r="G1099" s="209">
        <v>12.06</v>
      </c>
      <c r="H1099" s="198"/>
    </row>
    <row r="1100" spans="1:8" ht="15.75" hidden="1" customHeight="1" x14ac:dyDescent="0.25">
      <c r="A1100" s="205" t="s">
        <v>1681</v>
      </c>
      <c r="B1100" s="206">
        <v>104411</v>
      </c>
      <c r="C1100" s="207" t="s">
        <v>1698</v>
      </c>
      <c r="D1100" s="208" t="s">
        <v>578</v>
      </c>
      <c r="E1100" s="209">
        <v>3.27</v>
      </c>
      <c r="F1100" s="209">
        <v>2.69</v>
      </c>
      <c r="G1100" s="209">
        <v>5.96</v>
      </c>
      <c r="H1100" s="198"/>
    </row>
    <row r="1101" spans="1:8" ht="15.75" hidden="1" customHeight="1" x14ac:dyDescent="0.25">
      <c r="A1101" s="205" t="s">
        <v>1681</v>
      </c>
      <c r="B1101" s="206">
        <v>104410</v>
      </c>
      <c r="C1101" s="207" t="s">
        <v>1699</v>
      </c>
      <c r="D1101" s="208" t="s">
        <v>578</v>
      </c>
      <c r="E1101" s="209">
        <v>3.27</v>
      </c>
      <c r="F1101" s="209">
        <v>2.69</v>
      </c>
      <c r="G1101" s="209">
        <v>5.96</v>
      </c>
      <c r="H1101" s="198"/>
    </row>
    <row r="1102" spans="1:8" ht="15.75" hidden="1" customHeight="1" x14ac:dyDescent="0.25">
      <c r="A1102" s="205" t="s">
        <v>1681</v>
      </c>
      <c r="B1102" s="206">
        <v>87879</v>
      </c>
      <c r="C1102" s="207" t="s">
        <v>1700</v>
      </c>
      <c r="D1102" s="208" t="s">
        <v>578</v>
      </c>
      <c r="E1102" s="209">
        <v>2.52</v>
      </c>
      <c r="F1102" s="209">
        <v>2.75</v>
      </c>
      <c r="G1102" s="209">
        <v>5.27</v>
      </c>
      <c r="H1102" s="198"/>
    </row>
    <row r="1103" spans="1:8" ht="15.75" hidden="1" customHeight="1" x14ac:dyDescent="0.25">
      <c r="A1103" s="205" t="s">
        <v>1681</v>
      </c>
      <c r="B1103" s="206">
        <v>87878</v>
      </c>
      <c r="C1103" s="207" t="s">
        <v>1701</v>
      </c>
      <c r="D1103" s="208" t="s">
        <v>578</v>
      </c>
      <c r="E1103" s="209">
        <v>2.74</v>
      </c>
      <c r="F1103" s="209">
        <v>3.15</v>
      </c>
      <c r="G1103" s="209">
        <v>5.89</v>
      </c>
      <c r="H1103" s="198"/>
    </row>
    <row r="1104" spans="1:8" ht="15.75" hidden="1" customHeight="1" x14ac:dyDescent="0.25">
      <c r="A1104" s="205" t="s">
        <v>1681</v>
      </c>
      <c r="B1104" s="206">
        <v>87885</v>
      </c>
      <c r="C1104" s="207" t="s">
        <v>1702</v>
      </c>
      <c r="D1104" s="208" t="s">
        <v>578</v>
      </c>
      <c r="E1104" s="209">
        <v>7.87</v>
      </c>
      <c r="F1104" s="209">
        <v>1.52</v>
      </c>
      <c r="G1104" s="209">
        <v>9.39</v>
      </c>
      <c r="H1104" s="198"/>
    </row>
    <row r="1105" spans="1:8" ht="15.75" hidden="1" customHeight="1" x14ac:dyDescent="0.25">
      <c r="A1105" s="205" t="s">
        <v>1681</v>
      </c>
      <c r="B1105" s="206">
        <v>87884</v>
      </c>
      <c r="C1105" s="207" t="s">
        <v>1703</v>
      </c>
      <c r="D1105" s="208" t="s">
        <v>578</v>
      </c>
      <c r="E1105" s="209">
        <v>8.07</v>
      </c>
      <c r="F1105" s="209">
        <v>1.81</v>
      </c>
      <c r="G1105" s="209">
        <v>9.8800000000000008</v>
      </c>
      <c r="H1105" s="198"/>
    </row>
    <row r="1106" spans="1:8" ht="15.75" hidden="1" customHeight="1" x14ac:dyDescent="0.25">
      <c r="A1106" s="205" t="s">
        <v>1681</v>
      </c>
      <c r="B1106" s="206">
        <v>87882</v>
      </c>
      <c r="C1106" s="207" t="s">
        <v>1704</v>
      </c>
      <c r="D1106" s="208" t="s">
        <v>578</v>
      </c>
      <c r="E1106" s="209">
        <v>5.23</v>
      </c>
      <c r="F1106" s="209">
        <v>1.52</v>
      </c>
      <c r="G1106" s="209">
        <v>6.75</v>
      </c>
      <c r="H1106" s="198"/>
    </row>
    <row r="1107" spans="1:8" ht="15.75" hidden="1" customHeight="1" x14ac:dyDescent="0.25">
      <c r="A1107" s="205" t="s">
        <v>1681</v>
      </c>
      <c r="B1107" s="206">
        <v>87881</v>
      </c>
      <c r="C1107" s="207" t="s">
        <v>1705</v>
      </c>
      <c r="D1107" s="208" t="s">
        <v>578</v>
      </c>
      <c r="E1107" s="209">
        <v>5.31</v>
      </c>
      <c r="F1107" s="209">
        <v>1.64</v>
      </c>
      <c r="G1107" s="209">
        <v>6.95</v>
      </c>
      <c r="H1107" s="198"/>
    </row>
    <row r="1108" spans="1:8" ht="15.75" hidden="1" customHeight="1" x14ac:dyDescent="0.25">
      <c r="A1108" s="205" t="s">
        <v>1681</v>
      </c>
      <c r="B1108" s="206">
        <v>87887</v>
      </c>
      <c r="C1108" s="207" t="s">
        <v>1706</v>
      </c>
      <c r="D1108" s="208" t="s">
        <v>578</v>
      </c>
      <c r="E1108" s="209">
        <v>12.11</v>
      </c>
      <c r="F1108" s="209">
        <v>4.91</v>
      </c>
      <c r="G1108" s="209">
        <v>17.02</v>
      </c>
      <c r="H1108" s="198"/>
    </row>
    <row r="1109" spans="1:8" ht="15.75" hidden="1" customHeight="1" x14ac:dyDescent="0.25">
      <c r="A1109" s="205" t="s">
        <v>1681</v>
      </c>
      <c r="B1109" s="206">
        <v>87886</v>
      </c>
      <c r="C1109" s="207" t="s">
        <v>1707</v>
      </c>
      <c r="D1109" s="208" t="s">
        <v>578</v>
      </c>
      <c r="E1109" s="209">
        <v>12.53</v>
      </c>
      <c r="F1109" s="209">
        <v>5.54</v>
      </c>
      <c r="G1109" s="209">
        <v>18.07</v>
      </c>
      <c r="H1109" s="198"/>
    </row>
    <row r="1110" spans="1:8" ht="15.75" hidden="1" customHeight="1" x14ac:dyDescent="0.25">
      <c r="A1110" s="205" t="s">
        <v>1681</v>
      </c>
      <c r="B1110" s="206">
        <v>87911</v>
      </c>
      <c r="C1110" s="207" t="s">
        <v>1708</v>
      </c>
      <c r="D1110" s="208" t="s">
        <v>578</v>
      </c>
      <c r="E1110" s="209">
        <v>14.03</v>
      </c>
      <c r="F1110" s="209">
        <v>10.26</v>
      </c>
      <c r="G1110" s="209">
        <v>24.29</v>
      </c>
      <c r="H1110" s="198"/>
    </row>
    <row r="1111" spans="1:8" ht="15.75" hidden="1" customHeight="1" x14ac:dyDescent="0.25">
      <c r="A1111" s="205" t="s">
        <v>1681</v>
      </c>
      <c r="B1111" s="206">
        <v>87910</v>
      </c>
      <c r="C1111" s="207" t="s">
        <v>1709</v>
      </c>
      <c r="D1111" s="208" t="s">
        <v>578</v>
      </c>
      <c r="E1111" s="209">
        <v>14.44</v>
      </c>
      <c r="F1111" s="209">
        <v>10.9</v>
      </c>
      <c r="G1111" s="209">
        <v>25.34</v>
      </c>
      <c r="H1111" s="198"/>
    </row>
    <row r="1112" spans="1:8" ht="15.75" hidden="1" customHeight="1" x14ac:dyDescent="0.25">
      <c r="A1112" s="205" t="s">
        <v>1710</v>
      </c>
      <c r="B1112" s="206">
        <v>103686</v>
      </c>
      <c r="C1112" s="207" t="s">
        <v>1711</v>
      </c>
      <c r="D1112" s="208" t="s">
        <v>664</v>
      </c>
      <c r="E1112" s="209">
        <v>591.54</v>
      </c>
      <c r="F1112" s="209">
        <v>105.45</v>
      </c>
      <c r="G1112" s="209">
        <v>696.99</v>
      </c>
      <c r="H1112" s="198"/>
    </row>
    <row r="1113" spans="1:8" ht="15.75" hidden="1" customHeight="1" x14ac:dyDescent="0.25">
      <c r="A1113" s="205" t="s">
        <v>1710</v>
      </c>
      <c r="B1113" s="206">
        <v>103685</v>
      </c>
      <c r="C1113" s="207" t="s">
        <v>1712</v>
      </c>
      <c r="D1113" s="208" t="s">
        <v>664</v>
      </c>
      <c r="E1113" s="209">
        <v>571.41</v>
      </c>
      <c r="F1113" s="209">
        <v>44.86</v>
      </c>
      <c r="G1113" s="209">
        <v>616.27</v>
      </c>
      <c r="H1113" s="198"/>
    </row>
    <row r="1114" spans="1:8" ht="15.75" hidden="1" customHeight="1" x14ac:dyDescent="0.25">
      <c r="A1114" s="205" t="s">
        <v>1710</v>
      </c>
      <c r="B1114" s="206">
        <v>103669</v>
      </c>
      <c r="C1114" s="207" t="s">
        <v>1713</v>
      </c>
      <c r="D1114" s="208" t="s">
        <v>664</v>
      </c>
      <c r="E1114" s="209">
        <v>702.62</v>
      </c>
      <c r="F1114" s="209">
        <v>279.24</v>
      </c>
      <c r="G1114" s="209">
        <v>981.86</v>
      </c>
      <c r="H1114" s="198"/>
    </row>
    <row r="1115" spans="1:8" ht="15.75" hidden="1" customHeight="1" x14ac:dyDescent="0.25">
      <c r="A1115" s="205" t="s">
        <v>1710</v>
      </c>
      <c r="B1115" s="206">
        <v>103672</v>
      </c>
      <c r="C1115" s="207" t="s">
        <v>1714</v>
      </c>
      <c r="D1115" s="208" t="s">
        <v>664</v>
      </c>
      <c r="E1115" s="209">
        <v>570.53</v>
      </c>
      <c r="F1115" s="209">
        <v>38.549999999999997</v>
      </c>
      <c r="G1115" s="209">
        <v>609.08000000000004</v>
      </c>
      <c r="H1115" s="198"/>
    </row>
    <row r="1116" spans="1:8" ht="15.75" hidden="1" customHeight="1" x14ac:dyDescent="0.25">
      <c r="A1116" s="205" t="s">
        <v>1710</v>
      </c>
      <c r="B1116" s="206">
        <v>103671</v>
      </c>
      <c r="C1116" s="207" t="s">
        <v>1715</v>
      </c>
      <c r="D1116" s="208" t="s">
        <v>664</v>
      </c>
      <c r="E1116" s="209">
        <v>606.33000000000004</v>
      </c>
      <c r="F1116" s="209">
        <v>45.28</v>
      </c>
      <c r="G1116" s="209">
        <v>651.61</v>
      </c>
      <c r="H1116" s="198"/>
    </row>
    <row r="1117" spans="1:8" ht="15.75" hidden="1" customHeight="1" x14ac:dyDescent="0.25">
      <c r="A1117" s="205" t="s">
        <v>1710</v>
      </c>
      <c r="B1117" s="206">
        <v>103688</v>
      </c>
      <c r="C1117" s="207" t="s">
        <v>1716</v>
      </c>
      <c r="D1117" s="208" t="s">
        <v>664</v>
      </c>
      <c r="E1117" s="209">
        <v>656.87</v>
      </c>
      <c r="F1117" s="209">
        <v>165.14</v>
      </c>
      <c r="G1117" s="209">
        <v>822.01</v>
      </c>
      <c r="H1117" s="198"/>
    </row>
    <row r="1118" spans="1:8" ht="15.75" hidden="1" customHeight="1" x14ac:dyDescent="0.25">
      <c r="A1118" s="205" t="s">
        <v>1710</v>
      </c>
      <c r="B1118" s="206">
        <v>103687</v>
      </c>
      <c r="C1118" s="207" t="s">
        <v>1717</v>
      </c>
      <c r="D1118" s="208" t="s">
        <v>664</v>
      </c>
      <c r="E1118" s="209">
        <v>750.98</v>
      </c>
      <c r="F1118" s="209">
        <v>394.84</v>
      </c>
      <c r="G1118" s="209">
        <v>1145.82</v>
      </c>
      <c r="H1118" s="198"/>
    </row>
    <row r="1119" spans="1:8" ht="15.75" hidden="1" customHeight="1" x14ac:dyDescent="0.25">
      <c r="A1119" s="205" t="s">
        <v>1710</v>
      </c>
      <c r="B1119" s="206">
        <v>103684</v>
      </c>
      <c r="C1119" s="207" t="s">
        <v>1718</v>
      </c>
      <c r="D1119" s="208" t="s">
        <v>664</v>
      </c>
      <c r="E1119" s="209">
        <v>576.23</v>
      </c>
      <c r="F1119" s="209">
        <v>56.71</v>
      </c>
      <c r="G1119" s="209">
        <v>632.94000000000005</v>
      </c>
      <c r="H1119" s="198"/>
    </row>
    <row r="1120" spans="1:8" ht="15.75" hidden="1" customHeight="1" x14ac:dyDescent="0.25">
      <c r="A1120" s="205" t="s">
        <v>1710</v>
      </c>
      <c r="B1120" s="206">
        <v>103681</v>
      </c>
      <c r="C1120" s="207" t="s">
        <v>1719</v>
      </c>
      <c r="D1120" s="208" t="s">
        <v>664</v>
      </c>
      <c r="E1120" s="209">
        <v>615.05999999999995</v>
      </c>
      <c r="F1120" s="209">
        <v>71.540000000000006</v>
      </c>
      <c r="G1120" s="209">
        <v>686.6</v>
      </c>
      <c r="H1120" s="198"/>
    </row>
    <row r="1121" spans="1:8" ht="15.75" hidden="1" customHeight="1" x14ac:dyDescent="0.25">
      <c r="A1121" s="205" t="s">
        <v>1710</v>
      </c>
      <c r="B1121" s="206">
        <v>103679</v>
      </c>
      <c r="C1121" s="207" t="s">
        <v>1720</v>
      </c>
      <c r="D1121" s="208" t="s">
        <v>664</v>
      </c>
      <c r="E1121" s="209">
        <v>643.64</v>
      </c>
      <c r="F1121" s="209">
        <v>130.69999999999999</v>
      </c>
      <c r="G1121" s="209">
        <v>774.34</v>
      </c>
      <c r="H1121" s="198"/>
    </row>
    <row r="1122" spans="1:8" ht="15.75" hidden="1" customHeight="1" x14ac:dyDescent="0.25">
      <c r="A1122" s="205" t="s">
        <v>1710</v>
      </c>
      <c r="B1122" s="206">
        <v>103677</v>
      </c>
      <c r="C1122" s="207" t="s">
        <v>1721</v>
      </c>
      <c r="D1122" s="208" t="s">
        <v>664</v>
      </c>
      <c r="E1122" s="209">
        <v>659.78</v>
      </c>
      <c r="F1122" s="209">
        <v>170.75</v>
      </c>
      <c r="G1122" s="209">
        <v>830.53</v>
      </c>
      <c r="H1122" s="198"/>
    </row>
    <row r="1123" spans="1:8" ht="15.75" hidden="1" customHeight="1" x14ac:dyDescent="0.25">
      <c r="A1123" s="205" t="s">
        <v>1710</v>
      </c>
      <c r="B1123" s="206">
        <v>103675</v>
      </c>
      <c r="C1123" s="207" t="s">
        <v>1722</v>
      </c>
      <c r="D1123" s="208" t="s">
        <v>664</v>
      </c>
      <c r="E1123" s="209">
        <v>569.80999999999995</v>
      </c>
      <c r="F1123" s="209">
        <v>40.32</v>
      </c>
      <c r="G1123" s="209">
        <v>610.13</v>
      </c>
      <c r="H1123" s="198"/>
    </row>
    <row r="1124" spans="1:8" ht="15.75" hidden="1" customHeight="1" x14ac:dyDescent="0.25">
      <c r="A1124" s="205" t="s">
        <v>1710</v>
      </c>
      <c r="B1124" s="206">
        <v>103680</v>
      </c>
      <c r="C1124" s="207" t="s">
        <v>1723</v>
      </c>
      <c r="D1124" s="208" t="s">
        <v>664</v>
      </c>
      <c r="E1124" s="209">
        <v>656.96</v>
      </c>
      <c r="F1124" s="209">
        <v>181.95</v>
      </c>
      <c r="G1124" s="209">
        <v>838.91</v>
      </c>
      <c r="H1124" s="198"/>
    </row>
    <row r="1125" spans="1:8" ht="15.75" hidden="1" customHeight="1" x14ac:dyDescent="0.25">
      <c r="A1125" s="205" t="s">
        <v>1710</v>
      </c>
      <c r="B1125" s="206">
        <v>103678</v>
      </c>
      <c r="C1125" s="207" t="s">
        <v>1724</v>
      </c>
      <c r="D1125" s="208" t="s">
        <v>664</v>
      </c>
      <c r="E1125" s="209">
        <v>690.13</v>
      </c>
      <c r="F1125" s="209">
        <v>239.46</v>
      </c>
      <c r="G1125" s="209">
        <v>929.59</v>
      </c>
      <c r="H1125" s="198"/>
    </row>
    <row r="1126" spans="1:8" ht="15.75" hidden="1" customHeight="1" x14ac:dyDescent="0.25">
      <c r="A1126" s="205" t="s">
        <v>1710</v>
      </c>
      <c r="B1126" s="206">
        <v>103676</v>
      </c>
      <c r="C1126" s="207" t="s">
        <v>1725</v>
      </c>
      <c r="D1126" s="208" t="s">
        <v>664</v>
      </c>
      <c r="E1126" s="209">
        <v>726.66</v>
      </c>
      <c r="F1126" s="209">
        <v>329.52</v>
      </c>
      <c r="G1126" s="209">
        <v>1056.18</v>
      </c>
      <c r="H1126" s="198"/>
    </row>
    <row r="1127" spans="1:8" ht="15.75" hidden="1" customHeight="1" x14ac:dyDescent="0.25">
      <c r="A1127" s="205" t="s">
        <v>1710</v>
      </c>
      <c r="B1127" s="206">
        <v>103674</v>
      </c>
      <c r="C1127" s="207" t="s">
        <v>1726</v>
      </c>
      <c r="D1127" s="208" t="s">
        <v>664</v>
      </c>
      <c r="E1127" s="209">
        <v>577.24</v>
      </c>
      <c r="F1127" s="209">
        <v>59.25</v>
      </c>
      <c r="G1127" s="209">
        <v>636.49</v>
      </c>
      <c r="H1127" s="198"/>
    </row>
    <row r="1128" spans="1:8" ht="15.75" hidden="1" customHeight="1" x14ac:dyDescent="0.25">
      <c r="A1128" s="205" t="s">
        <v>1710</v>
      </c>
      <c r="B1128" s="206">
        <v>103683</v>
      </c>
      <c r="C1128" s="207" t="s">
        <v>1727</v>
      </c>
      <c r="D1128" s="208" t="s">
        <v>664</v>
      </c>
      <c r="E1128" s="209">
        <v>822.26</v>
      </c>
      <c r="F1128" s="209">
        <v>565.74</v>
      </c>
      <c r="G1128" s="209">
        <v>1388</v>
      </c>
      <c r="H1128" s="198"/>
    </row>
    <row r="1129" spans="1:8" ht="15.75" hidden="1" customHeight="1" x14ac:dyDescent="0.25">
      <c r="A1129" s="205" t="s">
        <v>1710</v>
      </c>
      <c r="B1129" s="206">
        <v>103682</v>
      </c>
      <c r="C1129" s="207" t="s">
        <v>1728</v>
      </c>
      <c r="D1129" s="208" t="s">
        <v>664</v>
      </c>
      <c r="E1129" s="209">
        <v>710.18</v>
      </c>
      <c r="F1129" s="209">
        <v>295.31</v>
      </c>
      <c r="G1129" s="209">
        <v>1005.49</v>
      </c>
      <c r="H1129" s="198"/>
    </row>
    <row r="1130" spans="1:8" ht="15.75" hidden="1" customHeight="1" x14ac:dyDescent="0.25">
      <c r="A1130" s="205" t="s">
        <v>1710</v>
      </c>
      <c r="B1130" s="206">
        <v>103670</v>
      </c>
      <c r="C1130" s="207" t="s">
        <v>1729</v>
      </c>
      <c r="D1130" s="208" t="s">
        <v>664</v>
      </c>
      <c r="E1130" s="209">
        <v>114.94</v>
      </c>
      <c r="F1130" s="209">
        <v>279.20999999999998</v>
      </c>
      <c r="G1130" s="209">
        <v>394.15</v>
      </c>
      <c r="H1130" s="198"/>
    </row>
    <row r="1131" spans="1:8" ht="15.75" hidden="1" customHeight="1" x14ac:dyDescent="0.25">
      <c r="A1131" s="205" t="s">
        <v>1710</v>
      </c>
      <c r="B1131" s="206">
        <v>103673</v>
      </c>
      <c r="C1131" s="207" t="s">
        <v>1730</v>
      </c>
      <c r="D1131" s="208" t="s">
        <v>664</v>
      </c>
      <c r="E1131" s="209">
        <v>16.64</v>
      </c>
      <c r="F1131" s="209">
        <v>38.56</v>
      </c>
      <c r="G1131" s="209">
        <v>55.2</v>
      </c>
      <c r="H1131" s="198"/>
    </row>
    <row r="1132" spans="1:8" ht="15.75" hidden="1" customHeight="1" x14ac:dyDescent="0.25">
      <c r="A1132" s="205" t="s">
        <v>1731</v>
      </c>
      <c r="B1132" s="206">
        <v>91084</v>
      </c>
      <c r="C1132" s="207" t="s">
        <v>1732</v>
      </c>
      <c r="D1132" s="208" t="s">
        <v>578</v>
      </c>
      <c r="E1132" s="209">
        <v>183.71</v>
      </c>
      <c r="F1132" s="209">
        <v>113.21</v>
      </c>
      <c r="G1132" s="209">
        <v>296.92</v>
      </c>
      <c r="H1132" s="198"/>
    </row>
    <row r="1133" spans="1:8" ht="15.75" hidden="1" customHeight="1" x14ac:dyDescent="0.25">
      <c r="A1133" s="205" t="s">
        <v>1731</v>
      </c>
      <c r="B1133" s="206">
        <v>91080</v>
      </c>
      <c r="C1133" s="207" t="s">
        <v>1733</v>
      </c>
      <c r="D1133" s="208" t="s">
        <v>578</v>
      </c>
      <c r="E1133" s="209">
        <v>159.93</v>
      </c>
      <c r="F1133" s="209">
        <v>69.39</v>
      </c>
      <c r="G1133" s="209">
        <v>229.32</v>
      </c>
      <c r="H1133" s="198"/>
    </row>
    <row r="1134" spans="1:8" ht="15.75" hidden="1" customHeight="1" x14ac:dyDescent="0.25">
      <c r="A1134" s="205" t="s">
        <v>1731</v>
      </c>
      <c r="B1134" s="206">
        <v>91101</v>
      </c>
      <c r="C1134" s="207" t="s">
        <v>1734</v>
      </c>
      <c r="D1134" s="208" t="s">
        <v>578</v>
      </c>
      <c r="E1134" s="209">
        <v>175.39</v>
      </c>
      <c r="F1134" s="209">
        <v>98.91</v>
      </c>
      <c r="G1134" s="209">
        <v>274.3</v>
      </c>
      <c r="H1134" s="198"/>
    </row>
    <row r="1135" spans="1:8" ht="15.75" hidden="1" customHeight="1" x14ac:dyDescent="0.25">
      <c r="A1135" s="205" t="s">
        <v>1731</v>
      </c>
      <c r="B1135" s="206">
        <v>91097</v>
      </c>
      <c r="C1135" s="207" t="s">
        <v>1735</v>
      </c>
      <c r="D1135" s="208" t="s">
        <v>578</v>
      </c>
      <c r="E1135" s="209">
        <v>156.94</v>
      </c>
      <c r="F1135" s="209">
        <v>63.84</v>
      </c>
      <c r="G1135" s="209">
        <v>220.78</v>
      </c>
      <c r="H1135" s="198"/>
    </row>
    <row r="1136" spans="1:8" ht="15.75" hidden="1" customHeight="1" x14ac:dyDescent="0.25">
      <c r="A1136" s="205" t="s">
        <v>1731</v>
      </c>
      <c r="B1136" s="206">
        <v>91082</v>
      </c>
      <c r="C1136" s="207" t="s">
        <v>1736</v>
      </c>
      <c r="D1136" s="208" t="s">
        <v>578</v>
      </c>
      <c r="E1136" s="209">
        <v>173.32</v>
      </c>
      <c r="F1136" s="209">
        <v>91.33</v>
      </c>
      <c r="G1136" s="209">
        <v>264.64999999999998</v>
      </c>
      <c r="H1136" s="198"/>
    </row>
    <row r="1137" spans="1:8" ht="15.75" hidden="1" customHeight="1" x14ac:dyDescent="0.25">
      <c r="A1137" s="205" t="s">
        <v>1731</v>
      </c>
      <c r="B1137" s="206">
        <v>91078</v>
      </c>
      <c r="C1137" s="207" t="s">
        <v>1737</v>
      </c>
      <c r="D1137" s="208" t="s">
        <v>578</v>
      </c>
      <c r="E1137" s="209">
        <v>155.31</v>
      </c>
      <c r="F1137" s="209">
        <v>59.02</v>
      </c>
      <c r="G1137" s="209">
        <v>214.33</v>
      </c>
      <c r="H1137" s="198"/>
    </row>
    <row r="1138" spans="1:8" ht="15.75" hidden="1" customHeight="1" x14ac:dyDescent="0.25">
      <c r="A1138" s="205" t="s">
        <v>1731</v>
      </c>
      <c r="B1138" s="206">
        <v>91099</v>
      </c>
      <c r="C1138" s="207" t="s">
        <v>1738</v>
      </c>
      <c r="D1138" s="208" t="s">
        <v>578</v>
      </c>
      <c r="E1138" s="209">
        <v>167.59</v>
      </c>
      <c r="F1138" s="209">
        <v>81.13</v>
      </c>
      <c r="G1138" s="209">
        <v>248.72</v>
      </c>
      <c r="H1138" s="198"/>
    </row>
    <row r="1139" spans="1:8" ht="15.75" hidden="1" customHeight="1" x14ac:dyDescent="0.25">
      <c r="A1139" s="205" t="s">
        <v>1731</v>
      </c>
      <c r="B1139" s="206">
        <v>91095</v>
      </c>
      <c r="C1139" s="207" t="s">
        <v>1739</v>
      </c>
      <c r="D1139" s="208" t="s">
        <v>578</v>
      </c>
      <c r="E1139" s="209">
        <v>152.83000000000001</v>
      </c>
      <c r="F1139" s="209">
        <v>54.73</v>
      </c>
      <c r="G1139" s="209">
        <v>207.56</v>
      </c>
      <c r="H1139" s="198"/>
    </row>
    <row r="1140" spans="1:8" ht="15.75" hidden="1" customHeight="1" x14ac:dyDescent="0.25">
      <c r="A1140" s="205" t="s">
        <v>1731</v>
      </c>
      <c r="B1140" s="206">
        <v>91076</v>
      </c>
      <c r="C1140" s="207" t="s">
        <v>1740</v>
      </c>
      <c r="D1140" s="208" t="s">
        <v>578</v>
      </c>
      <c r="E1140" s="209">
        <v>167.27</v>
      </c>
      <c r="F1140" s="209">
        <v>259.33</v>
      </c>
      <c r="G1140" s="209">
        <v>426.6</v>
      </c>
      <c r="H1140" s="198"/>
    </row>
    <row r="1141" spans="1:8" ht="15.75" hidden="1" customHeight="1" x14ac:dyDescent="0.25">
      <c r="A1141" s="205" t="s">
        <v>1731</v>
      </c>
      <c r="B1141" s="206">
        <v>91072</v>
      </c>
      <c r="C1141" s="207" t="s">
        <v>1741</v>
      </c>
      <c r="D1141" s="208" t="s">
        <v>578</v>
      </c>
      <c r="E1141" s="209">
        <v>148.56</v>
      </c>
      <c r="F1141" s="209">
        <v>224.6</v>
      </c>
      <c r="G1141" s="209">
        <v>373.16</v>
      </c>
      <c r="H1141" s="198"/>
    </row>
    <row r="1142" spans="1:8" ht="15.75" hidden="1" customHeight="1" x14ac:dyDescent="0.25">
      <c r="A1142" s="205" t="s">
        <v>1731</v>
      </c>
      <c r="B1142" s="206">
        <v>91093</v>
      </c>
      <c r="C1142" s="207" t="s">
        <v>1742</v>
      </c>
      <c r="D1142" s="208" t="s">
        <v>578</v>
      </c>
      <c r="E1142" s="209">
        <v>167.64</v>
      </c>
      <c r="F1142" s="209">
        <v>277.61</v>
      </c>
      <c r="G1142" s="209">
        <v>445.25</v>
      </c>
      <c r="H1142" s="198"/>
    </row>
    <row r="1143" spans="1:8" ht="15.75" hidden="1" customHeight="1" x14ac:dyDescent="0.25">
      <c r="A1143" s="205" t="s">
        <v>1731</v>
      </c>
      <c r="B1143" s="206">
        <v>91089</v>
      </c>
      <c r="C1143" s="207" t="s">
        <v>1743</v>
      </c>
      <c r="D1143" s="208" t="s">
        <v>578</v>
      </c>
      <c r="E1143" s="209">
        <v>152.29</v>
      </c>
      <c r="F1143" s="209">
        <v>249.21</v>
      </c>
      <c r="G1143" s="209">
        <v>401.5</v>
      </c>
      <c r="H1143" s="198"/>
    </row>
    <row r="1144" spans="1:8" ht="15.75" hidden="1" customHeight="1" x14ac:dyDescent="0.25">
      <c r="A1144" s="205" t="s">
        <v>1731</v>
      </c>
      <c r="B1144" s="206">
        <v>91074</v>
      </c>
      <c r="C1144" s="207" t="s">
        <v>1744</v>
      </c>
      <c r="D1144" s="208" t="s">
        <v>578</v>
      </c>
      <c r="E1144" s="209">
        <v>137</v>
      </c>
      <c r="F1144" s="209">
        <v>129.74</v>
      </c>
      <c r="G1144" s="209">
        <v>266.74</v>
      </c>
      <c r="H1144" s="198"/>
    </row>
    <row r="1145" spans="1:8" ht="15.75" hidden="1" customHeight="1" x14ac:dyDescent="0.25">
      <c r="A1145" s="205" t="s">
        <v>1731</v>
      </c>
      <c r="B1145" s="206">
        <v>91070</v>
      </c>
      <c r="C1145" s="207" t="s">
        <v>1745</v>
      </c>
      <c r="D1145" s="208" t="s">
        <v>578</v>
      </c>
      <c r="E1145" s="209">
        <v>122.4</v>
      </c>
      <c r="F1145" s="209">
        <v>103.58</v>
      </c>
      <c r="G1145" s="209">
        <v>225.98</v>
      </c>
      <c r="H1145" s="198"/>
    </row>
    <row r="1146" spans="1:8" ht="15.75" hidden="1" customHeight="1" x14ac:dyDescent="0.25">
      <c r="A1146" s="205" t="s">
        <v>1731</v>
      </c>
      <c r="B1146" s="206">
        <v>91091</v>
      </c>
      <c r="C1146" s="207" t="s">
        <v>1746</v>
      </c>
      <c r="D1146" s="208" t="s">
        <v>578</v>
      </c>
      <c r="E1146" s="209">
        <v>138.01</v>
      </c>
      <c r="F1146" s="209">
        <v>148.66999999999999</v>
      </c>
      <c r="G1146" s="209">
        <v>286.68</v>
      </c>
      <c r="H1146" s="198"/>
    </row>
    <row r="1147" spans="1:8" ht="15.75" hidden="1" customHeight="1" x14ac:dyDescent="0.25">
      <c r="A1147" s="205" t="s">
        <v>1731</v>
      </c>
      <c r="B1147" s="206">
        <v>91087</v>
      </c>
      <c r="C1147" s="207" t="s">
        <v>1747</v>
      </c>
      <c r="D1147" s="208" t="s">
        <v>578</v>
      </c>
      <c r="E1147" s="209">
        <v>125.85</v>
      </c>
      <c r="F1147" s="209">
        <v>126.8</v>
      </c>
      <c r="G1147" s="209">
        <v>252.65</v>
      </c>
      <c r="H1147" s="198"/>
    </row>
    <row r="1148" spans="1:8" ht="15.75" hidden="1" customHeight="1" x14ac:dyDescent="0.25">
      <c r="A1148" s="205" t="s">
        <v>1731</v>
      </c>
      <c r="B1148" s="206">
        <v>91083</v>
      </c>
      <c r="C1148" s="207" t="s">
        <v>1748</v>
      </c>
      <c r="D1148" s="208" t="s">
        <v>578</v>
      </c>
      <c r="E1148" s="209">
        <v>199.74</v>
      </c>
      <c r="F1148" s="209">
        <v>175.42</v>
      </c>
      <c r="G1148" s="209">
        <v>375.16</v>
      </c>
      <c r="H1148" s="198"/>
    </row>
    <row r="1149" spans="1:8" ht="15.75" hidden="1" customHeight="1" x14ac:dyDescent="0.25">
      <c r="A1149" s="205" t="s">
        <v>1731</v>
      </c>
      <c r="B1149" s="206">
        <v>91079</v>
      </c>
      <c r="C1149" s="207" t="s">
        <v>1749</v>
      </c>
      <c r="D1149" s="208" t="s">
        <v>578</v>
      </c>
      <c r="E1149" s="209">
        <v>143.86000000000001</v>
      </c>
      <c r="F1149" s="209">
        <v>72.72</v>
      </c>
      <c r="G1149" s="209">
        <v>216.58</v>
      </c>
      <c r="H1149" s="198"/>
    </row>
    <row r="1150" spans="1:8" ht="15.75" hidden="1" customHeight="1" x14ac:dyDescent="0.25">
      <c r="A1150" s="205" t="s">
        <v>1731</v>
      </c>
      <c r="B1150" s="206">
        <v>91100</v>
      </c>
      <c r="C1150" s="207" t="s">
        <v>1750</v>
      </c>
      <c r="D1150" s="208" t="s">
        <v>578</v>
      </c>
      <c r="E1150" s="209">
        <v>176.23</v>
      </c>
      <c r="F1150" s="209">
        <v>132.4</v>
      </c>
      <c r="G1150" s="209">
        <v>308.63</v>
      </c>
      <c r="H1150" s="198"/>
    </row>
    <row r="1151" spans="1:8" ht="15.75" hidden="1" customHeight="1" x14ac:dyDescent="0.25">
      <c r="A1151" s="205" t="s">
        <v>1731</v>
      </c>
      <c r="B1151" s="206">
        <v>91096</v>
      </c>
      <c r="C1151" s="207" t="s">
        <v>1751</v>
      </c>
      <c r="D1151" s="208" t="s">
        <v>578</v>
      </c>
      <c r="E1151" s="209">
        <v>139.29</v>
      </c>
      <c r="F1151" s="209">
        <v>64.38</v>
      </c>
      <c r="G1151" s="209">
        <v>203.67</v>
      </c>
      <c r="H1151" s="198"/>
    </row>
    <row r="1152" spans="1:8" ht="15.75" hidden="1" customHeight="1" x14ac:dyDescent="0.25">
      <c r="A1152" s="205" t="s">
        <v>1731</v>
      </c>
      <c r="B1152" s="206">
        <v>91081</v>
      </c>
      <c r="C1152" s="207" t="s">
        <v>1752</v>
      </c>
      <c r="D1152" s="208" t="s">
        <v>578</v>
      </c>
      <c r="E1152" s="209">
        <v>172.88</v>
      </c>
      <c r="F1152" s="209">
        <v>122.23</v>
      </c>
      <c r="G1152" s="209">
        <v>295.11</v>
      </c>
      <c r="H1152" s="198"/>
    </row>
    <row r="1153" spans="1:8" ht="15.75" hidden="1" customHeight="1" x14ac:dyDescent="0.25">
      <c r="A1153" s="205" t="s">
        <v>1731</v>
      </c>
      <c r="B1153" s="206">
        <v>91077</v>
      </c>
      <c r="C1153" s="207" t="s">
        <v>1753</v>
      </c>
      <c r="D1153" s="208" t="s">
        <v>578</v>
      </c>
      <c r="E1153" s="209">
        <v>137.65</v>
      </c>
      <c r="F1153" s="209">
        <v>59.52</v>
      </c>
      <c r="G1153" s="209">
        <v>197.17</v>
      </c>
      <c r="H1153" s="198"/>
    </row>
    <row r="1154" spans="1:8" ht="15.75" hidden="1" customHeight="1" x14ac:dyDescent="0.25">
      <c r="A1154" s="205" t="s">
        <v>1731</v>
      </c>
      <c r="B1154" s="206">
        <v>91098</v>
      </c>
      <c r="C1154" s="207" t="s">
        <v>1754</v>
      </c>
      <c r="D1154" s="208" t="s">
        <v>578</v>
      </c>
      <c r="E1154" s="209">
        <v>159.4</v>
      </c>
      <c r="F1154" s="209">
        <v>98.35</v>
      </c>
      <c r="G1154" s="209">
        <v>257.75</v>
      </c>
      <c r="H1154" s="198"/>
    </row>
    <row r="1155" spans="1:8" ht="15.75" hidden="1" customHeight="1" x14ac:dyDescent="0.25">
      <c r="A1155" s="205" t="s">
        <v>1731</v>
      </c>
      <c r="B1155" s="206">
        <v>91094</v>
      </c>
      <c r="C1155" s="207" t="s">
        <v>1755</v>
      </c>
      <c r="D1155" s="208" t="s">
        <v>578</v>
      </c>
      <c r="E1155" s="209">
        <v>134.19999999999999</v>
      </c>
      <c r="F1155" s="209">
        <v>53.49</v>
      </c>
      <c r="G1155" s="209">
        <v>187.69</v>
      </c>
      <c r="H1155" s="198"/>
    </row>
    <row r="1156" spans="1:8" ht="15.75" hidden="1" customHeight="1" x14ac:dyDescent="0.25">
      <c r="A1156" s="205" t="s">
        <v>1731</v>
      </c>
      <c r="B1156" s="206">
        <v>91075</v>
      </c>
      <c r="C1156" s="207" t="s">
        <v>1756</v>
      </c>
      <c r="D1156" s="208" t="s">
        <v>578</v>
      </c>
      <c r="E1156" s="209">
        <v>176.83</v>
      </c>
      <c r="F1156" s="209">
        <v>291.82</v>
      </c>
      <c r="G1156" s="209">
        <v>468.65</v>
      </c>
      <c r="H1156" s="198"/>
    </row>
    <row r="1157" spans="1:8" ht="15.75" hidden="1" customHeight="1" x14ac:dyDescent="0.25">
      <c r="A1157" s="205" t="s">
        <v>1731</v>
      </c>
      <c r="B1157" s="206">
        <v>91071</v>
      </c>
      <c r="C1157" s="207" t="s">
        <v>1757</v>
      </c>
      <c r="D1157" s="208" t="s">
        <v>578</v>
      </c>
      <c r="E1157" s="209">
        <v>140.47</v>
      </c>
      <c r="F1157" s="209">
        <v>225.05</v>
      </c>
      <c r="G1157" s="209">
        <v>365.52</v>
      </c>
      <c r="H1157" s="198"/>
    </row>
    <row r="1158" spans="1:8" ht="15.75" hidden="1" customHeight="1" x14ac:dyDescent="0.25">
      <c r="A1158" s="205" t="s">
        <v>1731</v>
      </c>
      <c r="B1158" s="206">
        <v>91092</v>
      </c>
      <c r="C1158" s="207" t="s">
        <v>1758</v>
      </c>
      <c r="D1158" s="208" t="s">
        <v>578</v>
      </c>
      <c r="E1158" s="209">
        <v>169.26</v>
      </c>
      <c r="F1158" s="209">
        <v>295.74</v>
      </c>
      <c r="G1158" s="209">
        <v>465</v>
      </c>
      <c r="H1158" s="198"/>
    </row>
    <row r="1159" spans="1:8" ht="15.75" hidden="1" customHeight="1" x14ac:dyDescent="0.25">
      <c r="A1159" s="205" t="s">
        <v>1731</v>
      </c>
      <c r="B1159" s="206">
        <v>91088</v>
      </c>
      <c r="C1159" s="207" t="s">
        <v>1759</v>
      </c>
      <c r="D1159" s="208" t="s">
        <v>578</v>
      </c>
      <c r="E1159" s="209">
        <v>143.24</v>
      </c>
      <c r="F1159" s="209">
        <v>247.78</v>
      </c>
      <c r="G1159" s="209">
        <v>391.02</v>
      </c>
      <c r="H1159" s="198"/>
    </row>
    <row r="1160" spans="1:8" ht="15.75" hidden="1" customHeight="1" x14ac:dyDescent="0.25">
      <c r="A1160" s="205" t="s">
        <v>1731</v>
      </c>
      <c r="B1160" s="206">
        <v>91073</v>
      </c>
      <c r="C1160" s="207" t="s">
        <v>1760</v>
      </c>
      <c r="D1160" s="208" t="s">
        <v>578</v>
      </c>
      <c r="E1160" s="209">
        <v>138.22999999999999</v>
      </c>
      <c r="F1160" s="209">
        <v>146.47999999999999</v>
      </c>
      <c r="G1160" s="209">
        <v>284.70999999999998</v>
      </c>
      <c r="H1160" s="198"/>
    </row>
    <row r="1161" spans="1:8" ht="15.75" hidden="1" customHeight="1" x14ac:dyDescent="0.25">
      <c r="A1161" s="205" t="s">
        <v>1731</v>
      </c>
      <c r="B1161" s="206">
        <v>91069</v>
      </c>
      <c r="C1161" s="207" t="s">
        <v>1761</v>
      </c>
      <c r="D1161" s="208" t="s">
        <v>578</v>
      </c>
      <c r="E1161" s="209">
        <v>113.39</v>
      </c>
      <c r="F1161" s="209">
        <v>102.26</v>
      </c>
      <c r="G1161" s="209">
        <v>215.65</v>
      </c>
      <c r="H1161" s="198"/>
    </row>
    <row r="1162" spans="1:8" ht="15.75" hidden="1" customHeight="1" x14ac:dyDescent="0.25">
      <c r="A1162" s="205" t="s">
        <v>1731</v>
      </c>
      <c r="B1162" s="206">
        <v>91090</v>
      </c>
      <c r="C1162" s="207" t="s">
        <v>1762</v>
      </c>
      <c r="D1162" s="208" t="s">
        <v>578</v>
      </c>
      <c r="E1162" s="209">
        <v>134.9</v>
      </c>
      <c r="F1162" s="209">
        <v>157.72</v>
      </c>
      <c r="G1162" s="209">
        <v>292.62</v>
      </c>
      <c r="H1162" s="198"/>
    </row>
    <row r="1163" spans="1:8" ht="15.75" hidden="1" customHeight="1" x14ac:dyDescent="0.25">
      <c r="A1163" s="205" t="s">
        <v>1731</v>
      </c>
      <c r="B1163" s="206">
        <v>91086</v>
      </c>
      <c r="C1163" s="207" t="s">
        <v>1763</v>
      </c>
      <c r="D1163" s="208" t="s">
        <v>578</v>
      </c>
      <c r="E1163" s="209">
        <v>116.19</v>
      </c>
      <c r="F1163" s="209">
        <v>124.3</v>
      </c>
      <c r="G1163" s="209">
        <v>240.49</v>
      </c>
      <c r="H1163" s="198"/>
    </row>
    <row r="1164" spans="1:8" ht="15.75" hidden="1" customHeight="1" x14ac:dyDescent="0.25">
      <c r="A1164" s="205" t="s">
        <v>1764</v>
      </c>
      <c r="B1164" s="206">
        <v>90944</v>
      </c>
      <c r="C1164" s="207" t="s">
        <v>1765</v>
      </c>
      <c r="D1164" s="208" t="s">
        <v>578</v>
      </c>
      <c r="E1164" s="209">
        <v>159.52000000000001</v>
      </c>
      <c r="F1164" s="209">
        <v>36.21</v>
      </c>
      <c r="G1164" s="209">
        <v>195.73</v>
      </c>
      <c r="H1164" s="198"/>
    </row>
    <row r="1165" spans="1:8" ht="15.75" hidden="1" customHeight="1" x14ac:dyDescent="0.25">
      <c r="A1165" s="205" t="s">
        <v>1764</v>
      </c>
      <c r="B1165" s="206">
        <v>90934</v>
      </c>
      <c r="C1165" s="207" t="s">
        <v>1766</v>
      </c>
      <c r="D1165" s="208" t="s">
        <v>578</v>
      </c>
      <c r="E1165" s="209">
        <v>148.58000000000001</v>
      </c>
      <c r="F1165" s="209">
        <v>32.99</v>
      </c>
      <c r="G1165" s="209">
        <v>181.57</v>
      </c>
      <c r="H1165" s="198"/>
    </row>
    <row r="1166" spans="1:8" ht="15.75" hidden="1" customHeight="1" x14ac:dyDescent="0.25">
      <c r="A1166" s="205" t="s">
        <v>1764</v>
      </c>
      <c r="B1166" s="206">
        <v>90954</v>
      </c>
      <c r="C1166" s="207" t="s">
        <v>1767</v>
      </c>
      <c r="D1166" s="208" t="s">
        <v>578</v>
      </c>
      <c r="E1166" s="209">
        <v>179.57</v>
      </c>
      <c r="F1166" s="209">
        <v>42.09</v>
      </c>
      <c r="G1166" s="209">
        <v>221.66</v>
      </c>
      <c r="H1166" s="198"/>
    </row>
    <row r="1167" spans="1:8" ht="15.75" hidden="1" customHeight="1" x14ac:dyDescent="0.25">
      <c r="A1167" s="205" t="s">
        <v>1764</v>
      </c>
      <c r="B1167" s="206">
        <v>90933</v>
      </c>
      <c r="C1167" s="207" t="s">
        <v>1768</v>
      </c>
      <c r="D1167" s="208" t="s">
        <v>578</v>
      </c>
      <c r="E1167" s="209">
        <v>141.83000000000001</v>
      </c>
      <c r="F1167" s="209">
        <v>23.06</v>
      </c>
      <c r="G1167" s="209">
        <v>164.89</v>
      </c>
      <c r="H1167" s="198"/>
    </row>
    <row r="1168" spans="1:8" ht="15.75" hidden="1" customHeight="1" x14ac:dyDescent="0.25">
      <c r="A1168" s="205" t="s">
        <v>1764</v>
      </c>
      <c r="B1168" s="206">
        <v>90943</v>
      </c>
      <c r="C1168" s="207" t="s">
        <v>1769</v>
      </c>
      <c r="D1168" s="208" t="s">
        <v>578</v>
      </c>
      <c r="E1168" s="209">
        <v>152.18</v>
      </c>
      <c r="F1168" s="209">
        <v>25.39</v>
      </c>
      <c r="G1168" s="209">
        <v>177.57</v>
      </c>
      <c r="H1168" s="198"/>
    </row>
    <row r="1169" spans="1:8" ht="15.75" hidden="1" customHeight="1" x14ac:dyDescent="0.25">
      <c r="A1169" s="205" t="s">
        <v>1764</v>
      </c>
      <c r="B1169" s="206">
        <v>90953</v>
      </c>
      <c r="C1169" s="207" t="s">
        <v>1770</v>
      </c>
      <c r="D1169" s="208" t="s">
        <v>578</v>
      </c>
      <c r="E1169" s="209">
        <v>171.14</v>
      </c>
      <c r="F1169" s="209">
        <v>29.63</v>
      </c>
      <c r="G1169" s="209">
        <v>200.77</v>
      </c>
      <c r="H1169" s="198"/>
    </row>
    <row r="1170" spans="1:8" ht="15.75" hidden="1" customHeight="1" x14ac:dyDescent="0.25">
      <c r="A1170" s="205" t="s">
        <v>1764</v>
      </c>
      <c r="B1170" s="206">
        <v>90932</v>
      </c>
      <c r="C1170" s="207" t="s">
        <v>1771</v>
      </c>
      <c r="D1170" s="208" t="s">
        <v>578</v>
      </c>
      <c r="E1170" s="209">
        <v>67.739999999999995</v>
      </c>
      <c r="F1170" s="209">
        <v>30.01</v>
      </c>
      <c r="G1170" s="209">
        <v>97.75</v>
      </c>
      <c r="H1170" s="198"/>
    </row>
    <row r="1171" spans="1:8" ht="15.75" hidden="1" customHeight="1" x14ac:dyDescent="0.25">
      <c r="A1171" s="205" t="s">
        <v>1764</v>
      </c>
      <c r="B1171" s="206">
        <v>90942</v>
      </c>
      <c r="C1171" s="207" t="s">
        <v>1772</v>
      </c>
      <c r="D1171" s="208" t="s">
        <v>578</v>
      </c>
      <c r="E1171" s="209">
        <v>71.5</v>
      </c>
      <c r="F1171" s="209">
        <v>32.96</v>
      </c>
      <c r="G1171" s="209">
        <v>104.46</v>
      </c>
      <c r="H1171" s="198"/>
    </row>
    <row r="1172" spans="1:8" ht="15.75" hidden="1" customHeight="1" x14ac:dyDescent="0.25">
      <c r="A1172" s="205" t="s">
        <v>1764</v>
      </c>
      <c r="B1172" s="206">
        <v>90952</v>
      </c>
      <c r="C1172" s="207" t="s">
        <v>1773</v>
      </c>
      <c r="D1172" s="208" t="s">
        <v>578</v>
      </c>
      <c r="E1172" s="209">
        <v>78.349999999999994</v>
      </c>
      <c r="F1172" s="209">
        <v>38.36</v>
      </c>
      <c r="G1172" s="209">
        <v>116.71</v>
      </c>
      <c r="H1172" s="198"/>
    </row>
    <row r="1173" spans="1:8" ht="15.75" hidden="1" customHeight="1" x14ac:dyDescent="0.25">
      <c r="A1173" s="205" t="s">
        <v>1764</v>
      </c>
      <c r="B1173" s="206">
        <v>90930</v>
      </c>
      <c r="C1173" s="207" t="s">
        <v>1774</v>
      </c>
      <c r="D1173" s="208" t="s">
        <v>578</v>
      </c>
      <c r="E1173" s="209">
        <v>64.44</v>
      </c>
      <c r="F1173" s="209">
        <v>24.32</v>
      </c>
      <c r="G1173" s="209">
        <v>88.76</v>
      </c>
      <c r="H1173" s="198"/>
    </row>
    <row r="1174" spans="1:8" ht="15.75" hidden="1" customHeight="1" x14ac:dyDescent="0.25">
      <c r="A1174" s="205" t="s">
        <v>1764</v>
      </c>
      <c r="B1174" s="206">
        <v>90940</v>
      </c>
      <c r="C1174" s="207" t="s">
        <v>1775</v>
      </c>
      <c r="D1174" s="208" t="s">
        <v>578</v>
      </c>
      <c r="E1174" s="209">
        <v>67.900000000000006</v>
      </c>
      <c r="F1174" s="209">
        <v>26.76</v>
      </c>
      <c r="G1174" s="209">
        <v>94.66</v>
      </c>
      <c r="H1174" s="198"/>
    </row>
    <row r="1175" spans="1:8" ht="15.75" hidden="1" customHeight="1" x14ac:dyDescent="0.25">
      <c r="A1175" s="205" t="s">
        <v>1764</v>
      </c>
      <c r="B1175" s="206">
        <v>90950</v>
      </c>
      <c r="C1175" s="207" t="s">
        <v>1776</v>
      </c>
      <c r="D1175" s="208" t="s">
        <v>578</v>
      </c>
      <c r="E1175" s="209">
        <v>74.23</v>
      </c>
      <c r="F1175" s="209">
        <v>31.22</v>
      </c>
      <c r="G1175" s="209">
        <v>105.45</v>
      </c>
      <c r="H1175" s="198"/>
    </row>
    <row r="1176" spans="1:8" ht="15.75" hidden="1" customHeight="1" x14ac:dyDescent="0.25">
      <c r="A1176" s="205" t="s">
        <v>1764</v>
      </c>
      <c r="B1176" s="206">
        <v>88476</v>
      </c>
      <c r="C1176" s="207" t="s">
        <v>1777</v>
      </c>
      <c r="D1176" s="208" t="s">
        <v>578</v>
      </c>
      <c r="E1176" s="209">
        <v>19.12</v>
      </c>
      <c r="F1176" s="209">
        <v>1.96</v>
      </c>
      <c r="G1176" s="209">
        <v>21.08</v>
      </c>
      <c r="H1176" s="198"/>
    </row>
    <row r="1177" spans="1:8" ht="15.75" hidden="1" customHeight="1" x14ac:dyDescent="0.25">
      <c r="A1177" s="205" t="s">
        <v>1764</v>
      </c>
      <c r="B1177" s="206">
        <v>88477</v>
      </c>
      <c r="C1177" s="207" t="s">
        <v>1778</v>
      </c>
      <c r="D1177" s="208" t="s">
        <v>578</v>
      </c>
      <c r="E1177" s="209">
        <v>25.69</v>
      </c>
      <c r="F1177" s="209">
        <v>3.73</v>
      </c>
      <c r="G1177" s="209">
        <v>29.42</v>
      </c>
      <c r="H1177" s="198"/>
    </row>
    <row r="1178" spans="1:8" ht="15.75" hidden="1" customHeight="1" x14ac:dyDescent="0.25">
      <c r="A1178" s="205" t="s">
        <v>1764</v>
      </c>
      <c r="B1178" s="206">
        <v>88478</v>
      </c>
      <c r="C1178" s="207" t="s">
        <v>1779</v>
      </c>
      <c r="D1178" s="208" t="s">
        <v>578</v>
      </c>
      <c r="E1178" s="209">
        <v>31.15</v>
      </c>
      <c r="F1178" s="209">
        <v>5.14</v>
      </c>
      <c r="G1178" s="209">
        <v>36.29</v>
      </c>
      <c r="H1178" s="198"/>
    </row>
    <row r="1179" spans="1:8" ht="15.75" hidden="1" customHeight="1" x14ac:dyDescent="0.25">
      <c r="A1179" s="205" t="s">
        <v>1764</v>
      </c>
      <c r="B1179" s="206">
        <v>88470</v>
      </c>
      <c r="C1179" s="207" t="s">
        <v>1780</v>
      </c>
      <c r="D1179" s="208" t="s">
        <v>578</v>
      </c>
      <c r="E1179" s="209">
        <v>22.31</v>
      </c>
      <c r="F1179" s="209">
        <v>3.1</v>
      </c>
      <c r="G1179" s="209">
        <v>25.41</v>
      </c>
      <c r="H1179" s="198"/>
    </row>
    <row r="1180" spans="1:8" ht="15.75" hidden="1" customHeight="1" x14ac:dyDescent="0.25">
      <c r="A1180" s="205" t="s">
        <v>1764</v>
      </c>
      <c r="B1180" s="206">
        <v>88471</v>
      </c>
      <c r="C1180" s="207" t="s">
        <v>1781</v>
      </c>
      <c r="D1180" s="208" t="s">
        <v>578</v>
      </c>
      <c r="E1180" s="209">
        <v>27.68</v>
      </c>
      <c r="F1180" s="209">
        <v>4.29</v>
      </c>
      <c r="G1180" s="209">
        <v>31.97</v>
      </c>
      <c r="H1180" s="198"/>
    </row>
    <row r="1181" spans="1:8" ht="15.75" hidden="1" customHeight="1" x14ac:dyDescent="0.25">
      <c r="A1181" s="205" t="s">
        <v>1764</v>
      </c>
      <c r="B1181" s="206">
        <v>88472</v>
      </c>
      <c r="C1181" s="207" t="s">
        <v>1782</v>
      </c>
      <c r="D1181" s="208" t="s">
        <v>578</v>
      </c>
      <c r="E1181" s="209">
        <v>31.94</v>
      </c>
      <c r="F1181" s="209">
        <v>5.22</v>
      </c>
      <c r="G1181" s="209">
        <v>37.159999999999997</v>
      </c>
      <c r="H1181" s="198"/>
    </row>
    <row r="1182" spans="1:8" ht="15.75" hidden="1" customHeight="1" x14ac:dyDescent="0.25">
      <c r="A1182" s="205" t="s">
        <v>1764</v>
      </c>
      <c r="B1182" s="206">
        <v>87759</v>
      </c>
      <c r="C1182" s="207" t="s">
        <v>1783</v>
      </c>
      <c r="D1182" s="208" t="s">
        <v>578</v>
      </c>
      <c r="E1182" s="209">
        <v>90.53</v>
      </c>
      <c r="F1182" s="209">
        <v>33.380000000000003</v>
      </c>
      <c r="G1182" s="209">
        <v>123.91</v>
      </c>
      <c r="H1182" s="198"/>
    </row>
    <row r="1183" spans="1:8" ht="15.75" hidden="1" customHeight="1" x14ac:dyDescent="0.25">
      <c r="A1183" s="205" t="s">
        <v>1764</v>
      </c>
      <c r="B1183" s="206">
        <v>87769</v>
      </c>
      <c r="C1183" s="207" t="s">
        <v>1784</v>
      </c>
      <c r="D1183" s="208" t="s">
        <v>578</v>
      </c>
      <c r="E1183" s="209">
        <v>109.75</v>
      </c>
      <c r="F1183" s="209">
        <v>37.01</v>
      </c>
      <c r="G1183" s="209">
        <v>146.76</v>
      </c>
      <c r="H1183" s="198"/>
    </row>
    <row r="1184" spans="1:8" ht="15.75" hidden="1" customHeight="1" x14ac:dyDescent="0.25">
      <c r="A1184" s="205" t="s">
        <v>1764</v>
      </c>
      <c r="B1184" s="206">
        <v>87739</v>
      </c>
      <c r="C1184" s="207" t="s">
        <v>1785</v>
      </c>
      <c r="D1184" s="208" t="s">
        <v>578</v>
      </c>
      <c r="E1184" s="209">
        <v>69.84</v>
      </c>
      <c r="F1184" s="209">
        <v>27.95</v>
      </c>
      <c r="G1184" s="209">
        <v>97.79</v>
      </c>
      <c r="H1184" s="198"/>
    </row>
    <row r="1185" spans="1:8" ht="15.75" hidden="1" customHeight="1" x14ac:dyDescent="0.25">
      <c r="A1185" s="205" t="s">
        <v>1764</v>
      </c>
      <c r="B1185" s="206">
        <v>87749</v>
      </c>
      <c r="C1185" s="207" t="s">
        <v>1786</v>
      </c>
      <c r="D1185" s="208" t="s">
        <v>578</v>
      </c>
      <c r="E1185" s="209">
        <v>93.29</v>
      </c>
      <c r="F1185" s="209">
        <v>32.33</v>
      </c>
      <c r="G1185" s="209">
        <v>125.62</v>
      </c>
      <c r="H1185" s="198"/>
    </row>
    <row r="1186" spans="1:8" ht="15.75" hidden="1" customHeight="1" x14ac:dyDescent="0.25">
      <c r="A1186" s="205" t="s">
        <v>1764</v>
      </c>
      <c r="B1186" s="206">
        <v>87624</v>
      </c>
      <c r="C1186" s="207" t="s">
        <v>1787</v>
      </c>
      <c r="D1186" s="208" t="s">
        <v>578</v>
      </c>
      <c r="E1186" s="209">
        <v>65.459999999999994</v>
      </c>
      <c r="F1186" s="209">
        <v>16.170000000000002</v>
      </c>
      <c r="G1186" s="209">
        <v>81.63</v>
      </c>
      <c r="H1186" s="198"/>
    </row>
    <row r="1187" spans="1:8" ht="15.75" hidden="1" customHeight="1" x14ac:dyDescent="0.25">
      <c r="A1187" s="205" t="s">
        <v>1764</v>
      </c>
      <c r="B1187" s="206">
        <v>87634</v>
      </c>
      <c r="C1187" s="207" t="s">
        <v>1788</v>
      </c>
      <c r="D1187" s="208" t="s">
        <v>578</v>
      </c>
      <c r="E1187" s="209">
        <v>88.93</v>
      </c>
      <c r="F1187" s="209">
        <v>20.53</v>
      </c>
      <c r="G1187" s="209">
        <v>109.46</v>
      </c>
      <c r="H1187" s="198"/>
    </row>
    <row r="1188" spans="1:8" ht="15.75" hidden="1" customHeight="1" x14ac:dyDescent="0.25">
      <c r="A1188" s="205" t="s">
        <v>1764</v>
      </c>
      <c r="B1188" s="206">
        <v>87644</v>
      </c>
      <c r="C1188" s="207" t="s">
        <v>1789</v>
      </c>
      <c r="D1188" s="208" t="s">
        <v>578</v>
      </c>
      <c r="E1188" s="209">
        <v>108.12</v>
      </c>
      <c r="F1188" s="209">
        <v>24.12</v>
      </c>
      <c r="G1188" s="209">
        <v>132.24</v>
      </c>
      <c r="H1188" s="198"/>
    </row>
    <row r="1189" spans="1:8" ht="15.75" hidden="1" customHeight="1" x14ac:dyDescent="0.25">
      <c r="A1189" s="205" t="s">
        <v>1764</v>
      </c>
      <c r="B1189" s="206">
        <v>87684</v>
      </c>
      <c r="C1189" s="207" t="s">
        <v>1790</v>
      </c>
      <c r="D1189" s="208" t="s">
        <v>578</v>
      </c>
      <c r="E1189" s="209">
        <v>104.31</v>
      </c>
      <c r="F1189" s="209">
        <v>23.25</v>
      </c>
      <c r="G1189" s="209">
        <v>127.56</v>
      </c>
      <c r="H1189" s="198"/>
    </row>
    <row r="1190" spans="1:8" ht="15.75" hidden="1" customHeight="1" x14ac:dyDescent="0.25">
      <c r="A1190" s="205" t="s">
        <v>1764</v>
      </c>
      <c r="B1190" s="206">
        <v>87694</v>
      </c>
      <c r="C1190" s="207" t="s">
        <v>1791</v>
      </c>
      <c r="D1190" s="208" t="s">
        <v>578</v>
      </c>
      <c r="E1190" s="209">
        <v>119.46</v>
      </c>
      <c r="F1190" s="209">
        <v>26.66</v>
      </c>
      <c r="G1190" s="209">
        <v>146.12</v>
      </c>
      <c r="H1190" s="198"/>
    </row>
    <row r="1191" spans="1:8" ht="15.75" hidden="1" customHeight="1" x14ac:dyDescent="0.25">
      <c r="A1191" s="205" t="s">
        <v>1764</v>
      </c>
      <c r="B1191" s="206">
        <v>87704</v>
      </c>
      <c r="C1191" s="207" t="s">
        <v>1792</v>
      </c>
      <c r="D1191" s="208" t="s">
        <v>578</v>
      </c>
      <c r="E1191" s="209">
        <v>129.93</v>
      </c>
      <c r="F1191" s="209">
        <v>28.61</v>
      </c>
      <c r="G1191" s="209">
        <v>158.54</v>
      </c>
      <c r="H1191" s="198"/>
    </row>
    <row r="1192" spans="1:8" ht="15.75" hidden="1" customHeight="1" x14ac:dyDescent="0.25">
      <c r="A1192" s="205" t="s">
        <v>1764</v>
      </c>
      <c r="B1192" s="206">
        <v>87758</v>
      </c>
      <c r="C1192" s="207" t="s">
        <v>1793</v>
      </c>
      <c r="D1192" s="208" t="s">
        <v>578</v>
      </c>
      <c r="E1192" s="209">
        <v>85.74</v>
      </c>
      <c r="F1192" s="209">
        <v>26.32</v>
      </c>
      <c r="G1192" s="209">
        <v>112.06</v>
      </c>
      <c r="H1192" s="198"/>
    </row>
    <row r="1193" spans="1:8" ht="15.75" hidden="1" customHeight="1" x14ac:dyDescent="0.25">
      <c r="A1193" s="205" t="s">
        <v>1764</v>
      </c>
      <c r="B1193" s="206">
        <v>87768</v>
      </c>
      <c r="C1193" s="207" t="s">
        <v>1794</v>
      </c>
      <c r="D1193" s="208" t="s">
        <v>578</v>
      </c>
      <c r="E1193" s="209">
        <v>103.86</v>
      </c>
      <c r="F1193" s="209">
        <v>28.34</v>
      </c>
      <c r="G1193" s="209">
        <v>132.19999999999999</v>
      </c>
      <c r="H1193" s="198"/>
    </row>
    <row r="1194" spans="1:8" ht="15.75" hidden="1" customHeight="1" x14ac:dyDescent="0.25">
      <c r="A1194" s="205" t="s">
        <v>1764</v>
      </c>
      <c r="B1194" s="206">
        <v>87738</v>
      </c>
      <c r="C1194" s="207" t="s">
        <v>1795</v>
      </c>
      <c r="D1194" s="208" t="s">
        <v>578</v>
      </c>
      <c r="E1194" s="209">
        <v>66.39</v>
      </c>
      <c r="F1194" s="209">
        <v>22.88</v>
      </c>
      <c r="G1194" s="209">
        <v>89.27</v>
      </c>
      <c r="H1194" s="198"/>
    </row>
    <row r="1195" spans="1:8" ht="15.75" hidden="1" customHeight="1" x14ac:dyDescent="0.25">
      <c r="A1195" s="205" t="s">
        <v>1764</v>
      </c>
      <c r="B1195" s="206">
        <v>87748</v>
      </c>
      <c r="C1195" s="207" t="s">
        <v>1796</v>
      </c>
      <c r="D1195" s="208" t="s">
        <v>578</v>
      </c>
      <c r="E1195" s="209">
        <v>88.5</v>
      </c>
      <c r="F1195" s="209">
        <v>25.27</v>
      </c>
      <c r="G1195" s="209">
        <v>113.77</v>
      </c>
      <c r="H1195" s="198"/>
    </row>
    <row r="1196" spans="1:8" ht="15.75" hidden="1" customHeight="1" x14ac:dyDescent="0.25">
      <c r="A1196" s="205" t="s">
        <v>1764</v>
      </c>
      <c r="B1196" s="206">
        <v>87623</v>
      </c>
      <c r="C1196" s="207" t="s">
        <v>1797</v>
      </c>
      <c r="D1196" s="208" t="s">
        <v>578</v>
      </c>
      <c r="E1196" s="209">
        <v>62.02</v>
      </c>
      <c r="F1196" s="209">
        <v>11.09</v>
      </c>
      <c r="G1196" s="209">
        <v>73.11</v>
      </c>
      <c r="H1196" s="198"/>
    </row>
    <row r="1197" spans="1:8" ht="15.75" hidden="1" customHeight="1" x14ac:dyDescent="0.25">
      <c r="A1197" s="205" t="s">
        <v>1764</v>
      </c>
      <c r="B1197" s="206">
        <v>87633</v>
      </c>
      <c r="C1197" s="207" t="s">
        <v>1798</v>
      </c>
      <c r="D1197" s="208" t="s">
        <v>578</v>
      </c>
      <c r="E1197" s="209">
        <v>84.14</v>
      </c>
      <c r="F1197" s="209">
        <v>13.47</v>
      </c>
      <c r="G1197" s="209">
        <v>97.61</v>
      </c>
      <c r="H1197" s="198"/>
    </row>
    <row r="1198" spans="1:8" ht="15.75" hidden="1" customHeight="1" x14ac:dyDescent="0.25">
      <c r="A1198" s="205" t="s">
        <v>1764</v>
      </c>
      <c r="B1198" s="206">
        <v>87643</v>
      </c>
      <c r="C1198" s="207" t="s">
        <v>1799</v>
      </c>
      <c r="D1198" s="208" t="s">
        <v>578</v>
      </c>
      <c r="E1198" s="209">
        <v>102.25</v>
      </c>
      <c r="F1198" s="209">
        <v>15.43</v>
      </c>
      <c r="G1198" s="209">
        <v>117.68</v>
      </c>
      <c r="H1198" s="198"/>
    </row>
    <row r="1199" spans="1:8" ht="15.75" hidden="1" customHeight="1" x14ac:dyDescent="0.25">
      <c r="A1199" s="205" t="s">
        <v>1764</v>
      </c>
      <c r="B1199" s="206">
        <v>87683</v>
      </c>
      <c r="C1199" s="207" t="s">
        <v>1800</v>
      </c>
      <c r="D1199" s="208" t="s">
        <v>578</v>
      </c>
      <c r="E1199" s="209">
        <v>98.43</v>
      </c>
      <c r="F1199" s="209">
        <v>14.57</v>
      </c>
      <c r="G1199" s="209">
        <v>113</v>
      </c>
      <c r="H1199" s="198"/>
    </row>
    <row r="1200" spans="1:8" ht="15.75" hidden="1" customHeight="1" x14ac:dyDescent="0.25">
      <c r="A1200" s="205" t="s">
        <v>1764</v>
      </c>
      <c r="B1200" s="206">
        <v>87703</v>
      </c>
      <c r="C1200" s="207" t="s">
        <v>1801</v>
      </c>
      <c r="D1200" s="208" t="s">
        <v>578</v>
      </c>
      <c r="E1200" s="209">
        <v>122.6</v>
      </c>
      <c r="F1200" s="209">
        <v>17.78</v>
      </c>
      <c r="G1200" s="209">
        <v>140.38</v>
      </c>
      <c r="H1200" s="198"/>
    </row>
    <row r="1201" spans="1:8" ht="15.75" hidden="1" customHeight="1" x14ac:dyDescent="0.25">
      <c r="A1201" s="205" t="s">
        <v>1764</v>
      </c>
      <c r="B1201" s="206">
        <v>87693</v>
      </c>
      <c r="C1201" s="207" t="s">
        <v>1802</v>
      </c>
      <c r="D1201" s="208" t="s">
        <v>578</v>
      </c>
      <c r="E1201" s="209">
        <v>112.72</v>
      </c>
      <c r="F1201" s="209">
        <v>16.72</v>
      </c>
      <c r="G1201" s="209">
        <v>129.44</v>
      </c>
      <c r="H1201" s="198"/>
    </row>
    <row r="1202" spans="1:8" ht="15.75" hidden="1" customHeight="1" x14ac:dyDescent="0.25">
      <c r="A1202" s="205" t="s">
        <v>1764</v>
      </c>
      <c r="B1202" s="206">
        <v>87757</v>
      </c>
      <c r="C1202" s="207" t="s">
        <v>1803</v>
      </c>
      <c r="D1202" s="208" t="s">
        <v>578</v>
      </c>
      <c r="E1202" s="209">
        <v>33.130000000000003</v>
      </c>
      <c r="F1202" s="209">
        <v>31.26</v>
      </c>
      <c r="G1202" s="209">
        <v>64.39</v>
      </c>
      <c r="H1202" s="198"/>
    </row>
    <row r="1203" spans="1:8" ht="15.75" hidden="1" customHeight="1" x14ac:dyDescent="0.25">
      <c r="A1203" s="205" t="s">
        <v>1764</v>
      </c>
      <c r="B1203" s="206">
        <v>87767</v>
      </c>
      <c r="C1203" s="207" t="s">
        <v>1804</v>
      </c>
      <c r="D1203" s="208" t="s">
        <v>578</v>
      </c>
      <c r="E1203" s="209">
        <v>39.159999999999997</v>
      </c>
      <c r="F1203" s="209">
        <v>34.42</v>
      </c>
      <c r="G1203" s="209">
        <v>73.58</v>
      </c>
      <c r="H1203" s="198"/>
    </row>
    <row r="1204" spans="1:8" ht="15.75" hidden="1" customHeight="1" x14ac:dyDescent="0.25">
      <c r="A1204" s="205" t="s">
        <v>1764</v>
      </c>
      <c r="B1204" s="206">
        <v>87737</v>
      </c>
      <c r="C1204" s="207" t="s">
        <v>1805</v>
      </c>
      <c r="D1204" s="208" t="s">
        <v>578</v>
      </c>
      <c r="E1204" s="209">
        <v>28.55</v>
      </c>
      <c r="F1204" s="209">
        <v>26.43</v>
      </c>
      <c r="G1204" s="209">
        <v>54.98</v>
      </c>
      <c r="H1204" s="198"/>
    </row>
    <row r="1205" spans="1:8" ht="15.75" hidden="1" customHeight="1" x14ac:dyDescent="0.25">
      <c r="A1205" s="205" t="s">
        <v>1764</v>
      </c>
      <c r="B1205" s="206">
        <v>87747</v>
      </c>
      <c r="C1205" s="207" t="s">
        <v>1806</v>
      </c>
      <c r="D1205" s="208" t="s">
        <v>578</v>
      </c>
      <c r="E1205" s="209">
        <v>35.880000000000003</v>
      </c>
      <c r="F1205" s="209">
        <v>30.22</v>
      </c>
      <c r="G1205" s="209">
        <v>66.099999999999994</v>
      </c>
      <c r="H1205" s="198"/>
    </row>
    <row r="1206" spans="1:8" ht="15.75" hidden="1" customHeight="1" x14ac:dyDescent="0.25">
      <c r="A1206" s="205" t="s">
        <v>1764</v>
      </c>
      <c r="B1206" s="206">
        <v>87622</v>
      </c>
      <c r="C1206" s="207" t="s">
        <v>1807</v>
      </c>
      <c r="D1206" s="208" t="s">
        <v>578</v>
      </c>
      <c r="E1206" s="209">
        <v>24.17</v>
      </c>
      <c r="F1206" s="209">
        <v>14.65</v>
      </c>
      <c r="G1206" s="209">
        <v>38.82</v>
      </c>
      <c r="H1206" s="198"/>
    </row>
    <row r="1207" spans="1:8" ht="15.75" hidden="1" customHeight="1" x14ac:dyDescent="0.25">
      <c r="A1207" s="205" t="s">
        <v>1764</v>
      </c>
      <c r="B1207" s="206">
        <v>87632</v>
      </c>
      <c r="C1207" s="207" t="s">
        <v>1808</v>
      </c>
      <c r="D1207" s="208" t="s">
        <v>578</v>
      </c>
      <c r="E1207" s="209">
        <v>31.52</v>
      </c>
      <c r="F1207" s="209">
        <v>18.420000000000002</v>
      </c>
      <c r="G1207" s="209">
        <v>49.94</v>
      </c>
      <c r="H1207" s="198"/>
    </row>
    <row r="1208" spans="1:8" ht="15.75" hidden="1" customHeight="1" x14ac:dyDescent="0.25">
      <c r="A1208" s="205" t="s">
        <v>1764</v>
      </c>
      <c r="B1208" s="206">
        <v>87642</v>
      </c>
      <c r="C1208" s="207" t="s">
        <v>1809</v>
      </c>
      <c r="D1208" s="208" t="s">
        <v>578</v>
      </c>
      <c r="E1208" s="209">
        <v>37.54</v>
      </c>
      <c r="F1208" s="209">
        <v>21.52</v>
      </c>
      <c r="G1208" s="209">
        <v>59.06</v>
      </c>
      <c r="H1208" s="198"/>
    </row>
    <row r="1209" spans="1:8" ht="15.75" hidden="1" customHeight="1" x14ac:dyDescent="0.25">
      <c r="A1209" s="205" t="s">
        <v>1764</v>
      </c>
      <c r="B1209" s="206">
        <v>87682</v>
      </c>
      <c r="C1209" s="207" t="s">
        <v>1810</v>
      </c>
      <c r="D1209" s="208" t="s">
        <v>578</v>
      </c>
      <c r="E1209" s="209">
        <v>33.72</v>
      </c>
      <c r="F1209" s="209">
        <v>20.66</v>
      </c>
      <c r="G1209" s="209">
        <v>54.38</v>
      </c>
      <c r="H1209" s="198"/>
    </row>
    <row r="1210" spans="1:8" ht="15.75" hidden="1" customHeight="1" x14ac:dyDescent="0.25">
      <c r="A1210" s="205" t="s">
        <v>1764</v>
      </c>
      <c r="B1210" s="206">
        <v>87692</v>
      </c>
      <c r="C1210" s="207" t="s">
        <v>1811</v>
      </c>
      <c r="D1210" s="208" t="s">
        <v>578</v>
      </c>
      <c r="E1210" s="209">
        <v>38.61</v>
      </c>
      <c r="F1210" s="209">
        <v>23.69</v>
      </c>
      <c r="G1210" s="209">
        <v>62.3</v>
      </c>
      <c r="H1210" s="198"/>
    </row>
    <row r="1211" spans="1:8" ht="15.75" hidden="1" customHeight="1" x14ac:dyDescent="0.25">
      <c r="A1211" s="205" t="s">
        <v>1764</v>
      </c>
      <c r="B1211" s="206">
        <v>87702</v>
      </c>
      <c r="C1211" s="207" t="s">
        <v>1812</v>
      </c>
      <c r="D1211" s="208" t="s">
        <v>578</v>
      </c>
      <c r="E1211" s="209">
        <v>41.91</v>
      </c>
      <c r="F1211" s="209">
        <v>25.36</v>
      </c>
      <c r="G1211" s="209">
        <v>67.27</v>
      </c>
      <c r="H1211" s="198"/>
    </row>
    <row r="1212" spans="1:8" ht="15.75" hidden="1" customHeight="1" x14ac:dyDescent="0.25">
      <c r="A1212" s="205" t="s">
        <v>1764</v>
      </c>
      <c r="B1212" s="206">
        <v>87755</v>
      </c>
      <c r="C1212" s="207" t="s">
        <v>1813</v>
      </c>
      <c r="D1212" s="208" t="s">
        <v>578</v>
      </c>
      <c r="E1212" s="209">
        <v>30.8</v>
      </c>
      <c r="F1212" s="209">
        <v>27.21</v>
      </c>
      <c r="G1212" s="209">
        <v>58.01</v>
      </c>
      <c r="H1212" s="198"/>
    </row>
    <row r="1213" spans="1:8" ht="15.75" hidden="1" customHeight="1" x14ac:dyDescent="0.25">
      <c r="A1213" s="205" t="s">
        <v>1764</v>
      </c>
      <c r="B1213" s="206">
        <v>87765</v>
      </c>
      <c r="C1213" s="207" t="s">
        <v>1814</v>
      </c>
      <c r="D1213" s="208" t="s">
        <v>578</v>
      </c>
      <c r="E1213" s="209">
        <v>36.29</v>
      </c>
      <c r="F1213" s="209">
        <v>29.44</v>
      </c>
      <c r="G1213" s="209">
        <v>65.73</v>
      </c>
      <c r="H1213" s="198"/>
    </row>
    <row r="1214" spans="1:8" ht="15.75" hidden="1" customHeight="1" x14ac:dyDescent="0.25">
      <c r="A1214" s="205" t="s">
        <v>1764</v>
      </c>
      <c r="B1214" s="206">
        <v>87735</v>
      </c>
      <c r="C1214" s="207" t="s">
        <v>1815</v>
      </c>
      <c r="D1214" s="208" t="s">
        <v>578</v>
      </c>
      <c r="E1214" s="209">
        <v>26.86</v>
      </c>
      <c r="F1214" s="209">
        <v>23.53</v>
      </c>
      <c r="G1214" s="209">
        <v>50.39</v>
      </c>
      <c r="H1214" s="198"/>
    </row>
    <row r="1215" spans="1:8" ht="15.75" hidden="1" customHeight="1" x14ac:dyDescent="0.25">
      <c r="A1215" s="205" t="s">
        <v>1764</v>
      </c>
      <c r="B1215" s="206">
        <v>87745</v>
      </c>
      <c r="C1215" s="207" t="s">
        <v>1816</v>
      </c>
      <c r="D1215" s="208" t="s">
        <v>578</v>
      </c>
      <c r="E1215" s="209">
        <v>33.56</v>
      </c>
      <c r="F1215" s="209">
        <v>26.16</v>
      </c>
      <c r="G1215" s="209">
        <v>59.72</v>
      </c>
      <c r="H1215" s="198"/>
    </row>
    <row r="1216" spans="1:8" ht="15.75" hidden="1" customHeight="1" x14ac:dyDescent="0.25">
      <c r="A1216" s="205" t="s">
        <v>1764</v>
      </c>
      <c r="B1216" s="206">
        <v>87620</v>
      </c>
      <c r="C1216" s="207" t="s">
        <v>1817</v>
      </c>
      <c r="D1216" s="208" t="s">
        <v>578</v>
      </c>
      <c r="E1216" s="209">
        <v>22.49</v>
      </c>
      <c r="F1216" s="209">
        <v>11.74</v>
      </c>
      <c r="G1216" s="209">
        <v>34.229999999999997</v>
      </c>
      <c r="H1216" s="198"/>
    </row>
    <row r="1217" spans="1:8" ht="15.75" hidden="1" customHeight="1" x14ac:dyDescent="0.25">
      <c r="A1217" s="205" t="s">
        <v>1764</v>
      </c>
      <c r="B1217" s="206">
        <v>87630</v>
      </c>
      <c r="C1217" s="207" t="s">
        <v>1818</v>
      </c>
      <c r="D1217" s="208" t="s">
        <v>578</v>
      </c>
      <c r="E1217" s="209">
        <v>29.19</v>
      </c>
      <c r="F1217" s="209">
        <v>14.37</v>
      </c>
      <c r="G1217" s="209">
        <v>43.56</v>
      </c>
      <c r="H1217" s="198"/>
    </row>
    <row r="1218" spans="1:8" ht="15.75" hidden="1" customHeight="1" x14ac:dyDescent="0.25">
      <c r="A1218" s="205" t="s">
        <v>1764</v>
      </c>
      <c r="B1218" s="206">
        <v>87640</v>
      </c>
      <c r="C1218" s="207" t="s">
        <v>1819</v>
      </c>
      <c r="D1218" s="208" t="s">
        <v>578</v>
      </c>
      <c r="E1218" s="209">
        <v>34.67</v>
      </c>
      <c r="F1218" s="209">
        <v>16.54</v>
      </c>
      <c r="G1218" s="209">
        <v>51.21</v>
      </c>
      <c r="H1218" s="198"/>
    </row>
    <row r="1219" spans="1:8" ht="15.75" hidden="1" customHeight="1" x14ac:dyDescent="0.25">
      <c r="A1219" s="205" t="s">
        <v>1764</v>
      </c>
      <c r="B1219" s="206">
        <v>87680</v>
      </c>
      <c r="C1219" s="207" t="s">
        <v>1820</v>
      </c>
      <c r="D1219" s="208" t="s">
        <v>578</v>
      </c>
      <c r="E1219" s="209">
        <v>30.85</v>
      </c>
      <c r="F1219" s="209">
        <v>15.68</v>
      </c>
      <c r="G1219" s="209">
        <v>46.53</v>
      </c>
      <c r="H1219" s="198"/>
    </row>
    <row r="1220" spans="1:8" ht="15.75" hidden="1" customHeight="1" x14ac:dyDescent="0.25">
      <c r="A1220" s="205" t="s">
        <v>1764</v>
      </c>
      <c r="B1220" s="206">
        <v>87690</v>
      </c>
      <c r="C1220" s="207" t="s">
        <v>1821</v>
      </c>
      <c r="D1220" s="208" t="s">
        <v>578</v>
      </c>
      <c r="E1220" s="209">
        <v>35.32</v>
      </c>
      <c r="F1220" s="209">
        <v>17.989999999999998</v>
      </c>
      <c r="G1220" s="209">
        <v>53.31</v>
      </c>
      <c r="H1220" s="198"/>
    </row>
    <row r="1221" spans="1:8" ht="15.75" hidden="1" customHeight="1" x14ac:dyDescent="0.25">
      <c r="A1221" s="205" t="s">
        <v>1764</v>
      </c>
      <c r="B1221" s="206">
        <v>87700</v>
      </c>
      <c r="C1221" s="207" t="s">
        <v>1822</v>
      </c>
      <c r="D1221" s="208" t="s">
        <v>578</v>
      </c>
      <c r="E1221" s="209">
        <v>38.31</v>
      </c>
      <c r="F1221" s="209">
        <v>19.16</v>
      </c>
      <c r="G1221" s="209">
        <v>57.47</v>
      </c>
      <c r="H1221" s="198"/>
    </row>
    <row r="1222" spans="1:8" ht="15.75" hidden="1" customHeight="1" x14ac:dyDescent="0.25">
      <c r="A1222" s="205" t="s">
        <v>1764</v>
      </c>
      <c r="B1222" s="206">
        <v>102803</v>
      </c>
      <c r="C1222" s="207" t="s">
        <v>1823</v>
      </c>
      <c r="D1222" s="208" t="s">
        <v>578</v>
      </c>
      <c r="E1222" s="209">
        <v>1.06</v>
      </c>
      <c r="F1222" s="209">
        <v>1.93</v>
      </c>
      <c r="G1222" s="209">
        <v>2.99</v>
      </c>
      <c r="H1222" s="198"/>
    </row>
    <row r="1223" spans="1:8" ht="15.75" hidden="1" customHeight="1" x14ac:dyDescent="0.25">
      <c r="A1223" s="205" t="s">
        <v>1824</v>
      </c>
      <c r="B1223" s="206">
        <v>92717</v>
      </c>
      <c r="C1223" s="207" t="s">
        <v>1825</v>
      </c>
      <c r="D1223" s="208" t="s">
        <v>1826</v>
      </c>
      <c r="E1223" s="209">
        <v>0.19</v>
      </c>
      <c r="F1223" s="209">
        <v>0</v>
      </c>
      <c r="G1223" s="209">
        <v>0.19</v>
      </c>
      <c r="H1223" s="198"/>
    </row>
    <row r="1224" spans="1:8" ht="15.75" hidden="1" customHeight="1" x14ac:dyDescent="0.25">
      <c r="A1224" s="205" t="s">
        <v>1824</v>
      </c>
      <c r="B1224" s="206">
        <v>92716</v>
      </c>
      <c r="C1224" s="207" t="s">
        <v>1827</v>
      </c>
      <c r="D1224" s="208" t="s">
        <v>1828</v>
      </c>
      <c r="E1224" s="209">
        <v>104.69</v>
      </c>
      <c r="F1224" s="209">
        <v>0</v>
      </c>
      <c r="G1224" s="209">
        <v>104.69</v>
      </c>
      <c r="H1224" s="198"/>
    </row>
    <row r="1225" spans="1:8" ht="15.75" hidden="1" customHeight="1" x14ac:dyDescent="0.25">
      <c r="A1225" s="205" t="s">
        <v>1824</v>
      </c>
      <c r="B1225" s="206">
        <v>89218</v>
      </c>
      <c r="C1225" s="207" t="s">
        <v>1829</v>
      </c>
      <c r="D1225" s="208" t="s">
        <v>1826</v>
      </c>
      <c r="E1225" s="209">
        <v>55.04</v>
      </c>
      <c r="F1225" s="209">
        <v>54.86</v>
      </c>
      <c r="G1225" s="209">
        <v>109.9</v>
      </c>
      <c r="H1225" s="198"/>
    </row>
    <row r="1226" spans="1:8" ht="15.75" hidden="1" customHeight="1" x14ac:dyDescent="0.25">
      <c r="A1226" s="205" t="s">
        <v>1824</v>
      </c>
      <c r="B1226" s="206">
        <v>89843</v>
      </c>
      <c r="C1226" s="207" t="s">
        <v>1830</v>
      </c>
      <c r="D1226" s="208" t="s">
        <v>1828</v>
      </c>
      <c r="E1226" s="209">
        <v>181.17</v>
      </c>
      <c r="F1226" s="209">
        <v>54.85</v>
      </c>
      <c r="G1226" s="209">
        <v>236.02</v>
      </c>
      <c r="H1226" s="198"/>
    </row>
    <row r="1227" spans="1:8" ht="15.75" hidden="1" customHeight="1" x14ac:dyDescent="0.25">
      <c r="A1227" s="205" t="s">
        <v>1824</v>
      </c>
      <c r="B1227" s="206">
        <v>87446</v>
      </c>
      <c r="C1227" s="207" t="s">
        <v>1831</v>
      </c>
      <c r="D1227" s="208" t="s">
        <v>1826</v>
      </c>
      <c r="E1227" s="209">
        <v>0.5</v>
      </c>
      <c r="F1227" s="209">
        <v>0</v>
      </c>
      <c r="G1227" s="209">
        <v>0.5</v>
      </c>
      <c r="H1227" s="198"/>
    </row>
    <row r="1228" spans="1:8" ht="15.75" hidden="1" customHeight="1" x14ac:dyDescent="0.25">
      <c r="A1228" s="205" t="s">
        <v>1824</v>
      </c>
      <c r="B1228" s="206">
        <v>87445</v>
      </c>
      <c r="C1228" s="207" t="s">
        <v>1832</v>
      </c>
      <c r="D1228" s="208" t="s">
        <v>1828</v>
      </c>
      <c r="E1228" s="209">
        <v>5.45</v>
      </c>
      <c r="F1228" s="209">
        <v>0</v>
      </c>
      <c r="G1228" s="209">
        <v>5.45</v>
      </c>
      <c r="H1228" s="198"/>
    </row>
    <row r="1229" spans="1:8" ht="15.75" hidden="1" customHeight="1" x14ac:dyDescent="0.25">
      <c r="A1229" s="205" t="s">
        <v>1824</v>
      </c>
      <c r="B1229" s="206">
        <v>93234</v>
      </c>
      <c r="C1229" s="207" t="s">
        <v>1833</v>
      </c>
      <c r="D1229" s="208" t="s">
        <v>1826</v>
      </c>
      <c r="E1229" s="209">
        <v>0.46</v>
      </c>
      <c r="F1229" s="209">
        <v>0</v>
      </c>
      <c r="G1229" s="209">
        <v>0.46</v>
      </c>
      <c r="H1229" s="198"/>
    </row>
    <row r="1230" spans="1:8" ht="15.75" hidden="1" customHeight="1" x14ac:dyDescent="0.25">
      <c r="A1230" s="205" t="s">
        <v>1824</v>
      </c>
      <c r="B1230" s="206">
        <v>93233</v>
      </c>
      <c r="C1230" s="207" t="s">
        <v>1834</v>
      </c>
      <c r="D1230" s="208" t="s">
        <v>1828</v>
      </c>
      <c r="E1230" s="209">
        <v>6.08</v>
      </c>
      <c r="F1230" s="209">
        <v>0</v>
      </c>
      <c r="G1230" s="209">
        <v>6.08</v>
      </c>
      <c r="H1230" s="198"/>
    </row>
    <row r="1231" spans="1:8" ht="15.75" hidden="1" customHeight="1" x14ac:dyDescent="0.25">
      <c r="A1231" s="205" t="s">
        <v>1824</v>
      </c>
      <c r="B1231" s="206">
        <v>88831</v>
      </c>
      <c r="C1231" s="207" t="s">
        <v>1835</v>
      </c>
      <c r="D1231" s="208" t="s">
        <v>1826</v>
      </c>
      <c r="E1231" s="209">
        <v>0.37</v>
      </c>
      <c r="F1231" s="209">
        <v>0</v>
      </c>
      <c r="G1231" s="209">
        <v>0.37</v>
      </c>
      <c r="H1231" s="198"/>
    </row>
    <row r="1232" spans="1:8" ht="15.75" hidden="1" customHeight="1" x14ac:dyDescent="0.25">
      <c r="A1232" s="205" t="s">
        <v>1824</v>
      </c>
      <c r="B1232" s="206">
        <v>88830</v>
      </c>
      <c r="C1232" s="207" t="s">
        <v>1836</v>
      </c>
      <c r="D1232" s="208" t="s">
        <v>1828</v>
      </c>
      <c r="E1232" s="209">
        <v>1.58</v>
      </c>
      <c r="F1232" s="209">
        <v>0</v>
      </c>
      <c r="G1232" s="209">
        <v>1.58</v>
      </c>
      <c r="H1232" s="198"/>
    </row>
    <row r="1233" spans="1:8" ht="15.75" hidden="1" customHeight="1" x14ac:dyDescent="0.25">
      <c r="A1233" s="205" t="s">
        <v>1824</v>
      </c>
      <c r="B1233" s="206">
        <v>89226</v>
      </c>
      <c r="C1233" s="207" t="s">
        <v>1837</v>
      </c>
      <c r="D1233" s="208" t="s">
        <v>1826</v>
      </c>
      <c r="E1233" s="209">
        <v>1.52</v>
      </c>
      <c r="F1233" s="209">
        <v>0</v>
      </c>
      <c r="G1233" s="209">
        <v>1.52</v>
      </c>
      <c r="H1233" s="198"/>
    </row>
    <row r="1234" spans="1:8" ht="15.75" hidden="1" customHeight="1" x14ac:dyDescent="0.25">
      <c r="A1234" s="205" t="s">
        <v>1824</v>
      </c>
      <c r="B1234" s="206">
        <v>89225</v>
      </c>
      <c r="C1234" s="207" t="s">
        <v>1838</v>
      </c>
      <c r="D1234" s="208" t="s">
        <v>1828</v>
      </c>
      <c r="E1234" s="209">
        <v>4.6500000000000004</v>
      </c>
      <c r="F1234" s="209">
        <v>0</v>
      </c>
      <c r="G1234" s="209">
        <v>4.6500000000000004</v>
      </c>
      <c r="H1234" s="198"/>
    </row>
    <row r="1235" spans="1:8" ht="15.75" hidden="1" customHeight="1" x14ac:dyDescent="0.25">
      <c r="A1235" s="205" t="s">
        <v>1824</v>
      </c>
      <c r="B1235" s="206">
        <v>89279</v>
      </c>
      <c r="C1235" s="207" t="s">
        <v>1839</v>
      </c>
      <c r="D1235" s="208" t="s">
        <v>1826</v>
      </c>
      <c r="E1235" s="209">
        <v>1.86</v>
      </c>
      <c r="F1235" s="209">
        <v>0</v>
      </c>
      <c r="G1235" s="209">
        <v>1.86</v>
      </c>
      <c r="H1235" s="198"/>
    </row>
    <row r="1236" spans="1:8" ht="15.75" hidden="1" customHeight="1" x14ac:dyDescent="0.25">
      <c r="A1236" s="205" t="s">
        <v>1824</v>
      </c>
      <c r="B1236" s="206">
        <v>89278</v>
      </c>
      <c r="C1236" s="207" t="s">
        <v>1840</v>
      </c>
      <c r="D1236" s="208" t="s">
        <v>1828</v>
      </c>
      <c r="E1236" s="209">
        <v>12.61</v>
      </c>
      <c r="F1236" s="209">
        <v>0</v>
      </c>
      <c r="G1236" s="209">
        <v>12.61</v>
      </c>
      <c r="H1236" s="198"/>
    </row>
    <row r="1237" spans="1:8" ht="15.75" hidden="1" customHeight="1" x14ac:dyDescent="0.25">
      <c r="A1237" s="205" t="s">
        <v>1824</v>
      </c>
      <c r="B1237" s="206">
        <v>90651</v>
      </c>
      <c r="C1237" s="207" t="s">
        <v>1841</v>
      </c>
      <c r="D1237" s="208" t="s">
        <v>1826</v>
      </c>
      <c r="E1237" s="209">
        <v>0.92</v>
      </c>
      <c r="F1237" s="209">
        <v>0</v>
      </c>
      <c r="G1237" s="209">
        <v>0.92</v>
      </c>
      <c r="H1237" s="198"/>
    </row>
    <row r="1238" spans="1:8" ht="15.75" hidden="1" customHeight="1" x14ac:dyDescent="0.25">
      <c r="A1238" s="205" t="s">
        <v>1824</v>
      </c>
      <c r="B1238" s="206">
        <v>90650</v>
      </c>
      <c r="C1238" s="207" t="s">
        <v>1842</v>
      </c>
      <c r="D1238" s="208" t="s">
        <v>1828</v>
      </c>
      <c r="E1238" s="209">
        <v>8.68</v>
      </c>
      <c r="F1238" s="209">
        <v>0</v>
      </c>
      <c r="G1238" s="209">
        <v>8.68</v>
      </c>
      <c r="H1238" s="198"/>
    </row>
    <row r="1239" spans="1:8" ht="15.75" hidden="1" customHeight="1" x14ac:dyDescent="0.25">
      <c r="A1239" s="205" t="s">
        <v>1824</v>
      </c>
      <c r="B1239" s="206">
        <v>90657</v>
      </c>
      <c r="C1239" s="207" t="s">
        <v>1843</v>
      </c>
      <c r="D1239" s="208" t="s">
        <v>1826</v>
      </c>
      <c r="E1239" s="209">
        <v>4.5999999999999996</v>
      </c>
      <c r="F1239" s="209">
        <v>0</v>
      </c>
      <c r="G1239" s="209">
        <v>4.5999999999999996</v>
      </c>
      <c r="H1239" s="198"/>
    </row>
    <row r="1240" spans="1:8" ht="15.75" hidden="1" customHeight="1" x14ac:dyDescent="0.25">
      <c r="A1240" s="205" t="s">
        <v>1824</v>
      </c>
      <c r="B1240" s="206">
        <v>90656</v>
      </c>
      <c r="C1240" s="207" t="s">
        <v>1844</v>
      </c>
      <c r="D1240" s="208" t="s">
        <v>1828</v>
      </c>
      <c r="E1240" s="209">
        <v>13.25</v>
      </c>
      <c r="F1240" s="209">
        <v>0</v>
      </c>
      <c r="G1240" s="209">
        <v>13.25</v>
      </c>
      <c r="H1240" s="198"/>
    </row>
    <row r="1241" spans="1:8" ht="15.75" hidden="1" customHeight="1" x14ac:dyDescent="0.25">
      <c r="A1241" s="205" t="s">
        <v>1824</v>
      </c>
      <c r="B1241" s="206">
        <v>90663</v>
      </c>
      <c r="C1241" s="207" t="s">
        <v>1845</v>
      </c>
      <c r="D1241" s="208" t="s">
        <v>1826</v>
      </c>
      <c r="E1241" s="209">
        <v>4.93</v>
      </c>
      <c r="F1241" s="209">
        <v>0</v>
      </c>
      <c r="G1241" s="209">
        <v>4.93</v>
      </c>
      <c r="H1241" s="198"/>
    </row>
    <row r="1242" spans="1:8" ht="15.75" hidden="1" customHeight="1" x14ac:dyDescent="0.25">
      <c r="A1242" s="205" t="s">
        <v>1824</v>
      </c>
      <c r="B1242" s="206">
        <v>90662</v>
      </c>
      <c r="C1242" s="207" t="s">
        <v>1846</v>
      </c>
      <c r="D1242" s="208" t="s">
        <v>1828</v>
      </c>
      <c r="E1242" s="209">
        <v>13.87</v>
      </c>
      <c r="F1242" s="209">
        <v>0</v>
      </c>
      <c r="G1242" s="209">
        <v>13.87</v>
      </c>
      <c r="H1242" s="198"/>
    </row>
    <row r="1243" spans="1:8" ht="15.75" hidden="1" customHeight="1" x14ac:dyDescent="0.25">
      <c r="A1243" s="205" t="s">
        <v>1824</v>
      </c>
      <c r="B1243" s="206">
        <v>89022</v>
      </c>
      <c r="C1243" s="207" t="s">
        <v>1847</v>
      </c>
      <c r="D1243" s="208" t="s">
        <v>1826</v>
      </c>
      <c r="E1243" s="209">
        <v>0.54</v>
      </c>
      <c r="F1243" s="209">
        <v>0</v>
      </c>
      <c r="G1243" s="209">
        <v>0.54</v>
      </c>
      <c r="H1243" s="198"/>
    </row>
    <row r="1244" spans="1:8" ht="15.75" hidden="1" customHeight="1" x14ac:dyDescent="0.25">
      <c r="A1244" s="205" t="s">
        <v>1824</v>
      </c>
      <c r="B1244" s="206">
        <v>89021</v>
      </c>
      <c r="C1244" s="207" t="s">
        <v>1848</v>
      </c>
      <c r="D1244" s="208" t="s">
        <v>1828</v>
      </c>
      <c r="E1244" s="209">
        <v>2.39</v>
      </c>
      <c r="F1244" s="209">
        <v>0</v>
      </c>
      <c r="G1244" s="209">
        <v>2.39</v>
      </c>
      <c r="H1244" s="198"/>
    </row>
    <row r="1245" spans="1:8" ht="15.75" hidden="1" customHeight="1" x14ac:dyDescent="0.25">
      <c r="A1245" s="205" t="s">
        <v>1824</v>
      </c>
      <c r="B1245" s="206">
        <v>90644</v>
      </c>
      <c r="C1245" s="207" t="s">
        <v>1849</v>
      </c>
      <c r="D1245" s="208" t="s">
        <v>1826</v>
      </c>
      <c r="E1245" s="209">
        <v>7.08</v>
      </c>
      <c r="F1245" s="209">
        <v>0</v>
      </c>
      <c r="G1245" s="209">
        <v>7.08</v>
      </c>
      <c r="H1245" s="198"/>
    </row>
    <row r="1246" spans="1:8" ht="15.75" hidden="1" customHeight="1" x14ac:dyDescent="0.25">
      <c r="A1246" s="205" t="s">
        <v>1824</v>
      </c>
      <c r="B1246" s="206">
        <v>90643</v>
      </c>
      <c r="C1246" s="207" t="s">
        <v>1850</v>
      </c>
      <c r="D1246" s="208" t="s">
        <v>1828</v>
      </c>
      <c r="E1246" s="209">
        <v>26.66</v>
      </c>
      <c r="F1246" s="209">
        <v>0</v>
      </c>
      <c r="G1246" s="209">
        <v>26.66</v>
      </c>
      <c r="H1246" s="198"/>
    </row>
    <row r="1247" spans="1:8" ht="15.75" hidden="1" customHeight="1" x14ac:dyDescent="0.25">
      <c r="A1247" s="205" t="s">
        <v>1824</v>
      </c>
      <c r="B1247" s="206">
        <v>92146</v>
      </c>
      <c r="C1247" s="207" t="s">
        <v>1851</v>
      </c>
      <c r="D1247" s="208" t="s">
        <v>1826</v>
      </c>
      <c r="E1247" s="209">
        <v>14.76</v>
      </c>
      <c r="F1247" s="209">
        <v>24.82</v>
      </c>
      <c r="G1247" s="209">
        <v>39.58</v>
      </c>
      <c r="H1247" s="198"/>
    </row>
    <row r="1248" spans="1:8" ht="15.75" hidden="1" customHeight="1" x14ac:dyDescent="0.25">
      <c r="A1248" s="205" t="s">
        <v>1824</v>
      </c>
      <c r="B1248" s="206">
        <v>92145</v>
      </c>
      <c r="C1248" s="207" t="s">
        <v>1852</v>
      </c>
      <c r="D1248" s="208" t="s">
        <v>1828</v>
      </c>
      <c r="E1248" s="209">
        <v>65.28</v>
      </c>
      <c r="F1248" s="209">
        <v>24.81</v>
      </c>
      <c r="G1248" s="209">
        <v>90.09</v>
      </c>
      <c r="H1248" s="198"/>
    </row>
    <row r="1249" spans="1:8" ht="15.75" hidden="1" customHeight="1" x14ac:dyDescent="0.25">
      <c r="A1249" s="205" t="s">
        <v>1824</v>
      </c>
      <c r="B1249" s="206">
        <v>92139</v>
      </c>
      <c r="C1249" s="207" t="s">
        <v>1853</v>
      </c>
      <c r="D1249" s="208" t="s">
        <v>1826</v>
      </c>
      <c r="E1249" s="209">
        <v>26.35</v>
      </c>
      <c r="F1249" s="209">
        <v>24.81</v>
      </c>
      <c r="G1249" s="209">
        <v>51.16</v>
      </c>
      <c r="H1249" s="198"/>
    </row>
    <row r="1250" spans="1:8" ht="15.75" hidden="1" customHeight="1" x14ac:dyDescent="0.25">
      <c r="A1250" s="205" t="s">
        <v>1824</v>
      </c>
      <c r="B1250" s="206">
        <v>92138</v>
      </c>
      <c r="C1250" s="207" t="s">
        <v>1854</v>
      </c>
      <c r="D1250" s="208" t="s">
        <v>1828</v>
      </c>
      <c r="E1250" s="209">
        <v>79.55</v>
      </c>
      <c r="F1250" s="209">
        <v>24.81</v>
      </c>
      <c r="G1250" s="209">
        <v>104.36</v>
      </c>
      <c r="H1250" s="198"/>
    </row>
    <row r="1251" spans="1:8" ht="15.75" hidden="1" customHeight="1" x14ac:dyDescent="0.25">
      <c r="A1251" s="205" t="s">
        <v>1824</v>
      </c>
      <c r="B1251" s="206">
        <v>91387</v>
      </c>
      <c r="C1251" s="207" t="s">
        <v>1855</v>
      </c>
      <c r="D1251" s="208" t="s">
        <v>1826</v>
      </c>
      <c r="E1251" s="209">
        <v>53.3</v>
      </c>
      <c r="F1251" s="209">
        <v>29.04</v>
      </c>
      <c r="G1251" s="209">
        <v>82.34</v>
      </c>
      <c r="H1251" s="198"/>
    </row>
    <row r="1252" spans="1:8" ht="15.75" hidden="1" customHeight="1" x14ac:dyDescent="0.25">
      <c r="A1252" s="205" t="s">
        <v>1824</v>
      </c>
      <c r="B1252" s="206">
        <v>91386</v>
      </c>
      <c r="C1252" s="207" t="s">
        <v>1856</v>
      </c>
      <c r="D1252" s="208" t="s">
        <v>1828</v>
      </c>
      <c r="E1252" s="209">
        <v>256.26</v>
      </c>
      <c r="F1252" s="209">
        <v>29.04</v>
      </c>
      <c r="G1252" s="209">
        <v>285.3</v>
      </c>
      <c r="H1252" s="198"/>
    </row>
    <row r="1253" spans="1:8" ht="15.75" hidden="1" customHeight="1" x14ac:dyDescent="0.25">
      <c r="A1253" s="205" t="s">
        <v>1824</v>
      </c>
      <c r="B1253" s="206">
        <v>96036</v>
      </c>
      <c r="C1253" s="207" t="s">
        <v>1857</v>
      </c>
      <c r="D1253" s="208" t="s">
        <v>1826</v>
      </c>
      <c r="E1253" s="209">
        <v>61.61</v>
      </c>
      <c r="F1253" s="209">
        <v>29.04</v>
      </c>
      <c r="G1253" s="209">
        <v>90.65</v>
      </c>
      <c r="H1253" s="198"/>
    </row>
    <row r="1254" spans="1:8" ht="15.75" hidden="1" customHeight="1" x14ac:dyDescent="0.25">
      <c r="A1254" s="205" t="s">
        <v>1824</v>
      </c>
      <c r="B1254" s="206">
        <v>96035</v>
      </c>
      <c r="C1254" s="207" t="s">
        <v>1858</v>
      </c>
      <c r="D1254" s="208" t="s">
        <v>1828</v>
      </c>
      <c r="E1254" s="209">
        <v>269.97000000000003</v>
      </c>
      <c r="F1254" s="209">
        <v>29.03</v>
      </c>
      <c r="G1254" s="209">
        <v>299</v>
      </c>
      <c r="H1254" s="198"/>
    </row>
    <row r="1255" spans="1:8" ht="15.75" hidden="1" customHeight="1" x14ac:dyDescent="0.25">
      <c r="A1255" s="205" t="s">
        <v>1824</v>
      </c>
      <c r="B1255" s="206">
        <v>89877</v>
      </c>
      <c r="C1255" s="207" t="s">
        <v>1859</v>
      </c>
      <c r="D1255" s="208" t="s">
        <v>1826</v>
      </c>
      <c r="E1255" s="209">
        <v>63.45</v>
      </c>
      <c r="F1255" s="209">
        <v>29.04</v>
      </c>
      <c r="G1255" s="209">
        <v>92.49</v>
      </c>
      <c r="H1255" s="198"/>
    </row>
    <row r="1256" spans="1:8" ht="15.75" hidden="1" customHeight="1" x14ac:dyDescent="0.25">
      <c r="A1256" s="205" t="s">
        <v>1824</v>
      </c>
      <c r="B1256" s="206">
        <v>89876</v>
      </c>
      <c r="C1256" s="207" t="s">
        <v>1860</v>
      </c>
      <c r="D1256" s="208" t="s">
        <v>1828</v>
      </c>
      <c r="E1256" s="209">
        <v>313.47000000000003</v>
      </c>
      <c r="F1256" s="209">
        <v>29.04</v>
      </c>
      <c r="G1256" s="209">
        <v>342.51</v>
      </c>
      <c r="H1256" s="198"/>
    </row>
    <row r="1257" spans="1:8" ht="15.75" hidden="1" customHeight="1" x14ac:dyDescent="0.25">
      <c r="A1257" s="205" t="s">
        <v>1824</v>
      </c>
      <c r="B1257" s="206">
        <v>89884</v>
      </c>
      <c r="C1257" s="207" t="s">
        <v>1861</v>
      </c>
      <c r="D1257" s="208" t="s">
        <v>1826</v>
      </c>
      <c r="E1257" s="209">
        <v>66.930000000000007</v>
      </c>
      <c r="F1257" s="209">
        <v>29.04</v>
      </c>
      <c r="G1257" s="209">
        <v>95.97</v>
      </c>
      <c r="H1257" s="198"/>
    </row>
    <row r="1258" spans="1:8" ht="15.75" hidden="1" customHeight="1" x14ac:dyDescent="0.25">
      <c r="A1258" s="205" t="s">
        <v>1824</v>
      </c>
      <c r="B1258" s="206">
        <v>89883</v>
      </c>
      <c r="C1258" s="207" t="s">
        <v>1862</v>
      </c>
      <c r="D1258" s="208" t="s">
        <v>1828</v>
      </c>
      <c r="E1258" s="209">
        <v>349.37</v>
      </c>
      <c r="F1258" s="209">
        <v>29.02</v>
      </c>
      <c r="G1258" s="209">
        <v>378.39</v>
      </c>
      <c r="H1258" s="198"/>
    </row>
    <row r="1259" spans="1:8" ht="15.75" hidden="1" customHeight="1" x14ac:dyDescent="0.25">
      <c r="A1259" s="205" t="s">
        <v>1824</v>
      </c>
      <c r="B1259" s="206">
        <v>67827</v>
      </c>
      <c r="C1259" s="207" t="s">
        <v>1863</v>
      </c>
      <c r="D1259" s="208" t="s">
        <v>1826</v>
      </c>
      <c r="E1259" s="209">
        <v>43.69</v>
      </c>
      <c r="F1259" s="209">
        <v>29.03</v>
      </c>
      <c r="G1259" s="209">
        <v>72.72</v>
      </c>
      <c r="H1259" s="198"/>
    </row>
    <row r="1260" spans="1:8" ht="15.75" hidden="1" customHeight="1" x14ac:dyDescent="0.25">
      <c r="A1260" s="205" t="s">
        <v>1824</v>
      </c>
      <c r="B1260" s="206">
        <v>67826</v>
      </c>
      <c r="C1260" s="207" t="s">
        <v>1864</v>
      </c>
      <c r="D1260" s="208" t="s">
        <v>1828</v>
      </c>
      <c r="E1260" s="209">
        <v>171.64</v>
      </c>
      <c r="F1260" s="209">
        <v>29.03</v>
      </c>
      <c r="G1260" s="209">
        <v>200.67</v>
      </c>
      <c r="H1260" s="198"/>
    </row>
    <row r="1261" spans="1:8" ht="15.75" hidden="1" customHeight="1" x14ac:dyDescent="0.25">
      <c r="A1261" s="205" t="s">
        <v>1824</v>
      </c>
      <c r="B1261" s="206">
        <v>5961</v>
      </c>
      <c r="C1261" s="207" t="s">
        <v>1865</v>
      </c>
      <c r="D1261" s="208" t="s">
        <v>1826</v>
      </c>
      <c r="E1261" s="209">
        <v>42.46</v>
      </c>
      <c r="F1261" s="209">
        <v>29.03</v>
      </c>
      <c r="G1261" s="209">
        <v>71.489999999999995</v>
      </c>
      <c r="H1261" s="198"/>
    </row>
    <row r="1262" spans="1:8" ht="15.75" hidden="1" customHeight="1" x14ac:dyDescent="0.25">
      <c r="A1262" s="205" t="s">
        <v>1824</v>
      </c>
      <c r="B1262" s="206">
        <v>5811</v>
      </c>
      <c r="C1262" s="207" t="s">
        <v>1866</v>
      </c>
      <c r="D1262" s="208" t="s">
        <v>1828</v>
      </c>
      <c r="E1262" s="209">
        <v>189.95</v>
      </c>
      <c r="F1262" s="209">
        <v>29.03</v>
      </c>
      <c r="G1262" s="209">
        <v>218.98</v>
      </c>
      <c r="H1262" s="198"/>
    </row>
    <row r="1263" spans="1:8" ht="15.75" hidden="1" customHeight="1" x14ac:dyDescent="0.25">
      <c r="A1263" s="205" t="s">
        <v>1824</v>
      </c>
      <c r="B1263" s="206">
        <v>92243</v>
      </c>
      <c r="C1263" s="207" t="s">
        <v>1867</v>
      </c>
      <c r="D1263" s="208" t="s">
        <v>1826</v>
      </c>
      <c r="E1263" s="209">
        <v>52.54</v>
      </c>
      <c r="F1263" s="209">
        <v>34.75</v>
      </c>
      <c r="G1263" s="209">
        <v>87.29</v>
      </c>
      <c r="H1263" s="198"/>
    </row>
    <row r="1264" spans="1:8" ht="15.75" hidden="1" customHeight="1" x14ac:dyDescent="0.25">
      <c r="A1264" s="205" t="s">
        <v>1824</v>
      </c>
      <c r="B1264" s="206">
        <v>92242</v>
      </c>
      <c r="C1264" s="207" t="s">
        <v>1868</v>
      </c>
      <c r="D1264" s="208" t="s">
        <v>1828</v>
      </c>
      <c r="E1264" s="209">
        <v>395.52</v>
      </c>
      <c r="F1264" s="209">
        <v>34.76</v>
      </c>
      <c r="G1264" s="209">
        <v>430.28</v>
      </c>
      <c r="H1264" s="198"/>
    </row>
    <row r="1265" spans="1:8" ht="15.75" hidden="1" customHeight="1" x14ac:dyDescent="0.25">
      <c r="A1265" s="205" t="s">
        <v>1824</v>
      </c>
      <c r="B1265" s="206">
        <v>91646</v>
      </c>
      <c r="C1265" s="207" t="s">
        <v>1869</v>
      </c>
      <c r="D1265" s="208" t="s">
        <v>1826</v>
      </c>
      <c r="E1265" s="209">
        <v>69.13</v>
      </c>
      <c r="F1265" s="209">
        <v>34.76</v>
      </c>
      <c r="G1265" s="209">
        <v>103.89</v>
      </c>
      <c r="H1265" s="198"/>
    </row>
    <row r="1266" spans="1:8" ht="15.75" hidden="1" customHeight="1" x14ac:dyDescent="0.25">
      <c r="A1266" s="205" t="s">
        <v>1824</v>
      </c>
      <c r="B1266" s="206">
        <v>91645</v>
      </c>
      <c r="C1266" s="207" t="s">
        <v>1870</v>
      </c>
      <c r="D1266" s="208" t="s">
        <v>1828</v>
      </c>
      <c r="E1266" s="209">
        <v>457.9</v>
      </c>
      <c r="F1266" s="209">
        <v>34.78</v>
      </c>
      <c r="G1266" s="209">
        <v>492.68</v>
      </c>
      <c r="H1266" s="198"/>
    </row>
    <row r="1267" spans="1:8" ht="15.75" hidden="1" customHeight="1" x14ac:dyDescent="0.25">
      <c r="A1267" s="205" t="s">
        <v>1824</v>
      </c>
      <c r="B1267" s="206">
        <v>92107</v>
      </c>
      <c r="C1267" s="207" t="s">
        <v>1871</v>
      </c>
      <c r="D1267" s="208" t="s">
        <v>1826</v>
      </c>
      <c r="E1267" s="209">
        <v>76.44</v>
      </c>
      <c r="F1267" s="209">
        <v>27.95</v>
      </c>
      <c r="G1267" s="209">
        <v>104.39</v>
      </c>
      <c r="H1267" s="198"/>
    </row>
    <row r="1268" spans="1:8" ht="15.75" hidden="1" customHeight="1" x14ac:dyDescent="0.25">
      <c r="A1268" s="205" t="s">
        <v>1824</v>
      </c>
      <c r="B1268" s="206">
        <v>92106</v>
      </c>
      <c r="C1268" s="207" t="s">
        <v>1872</v>
      </c>
      <c r="D1268" s="208" t="s">
        <v>1828</v>
      </c>
      <c r="E1268" s="209">
        <v>354.64</v>
      </c>
      <c r="F1268" s="209">
        <v>27.96</v>
      </c>
      <c r="G1268" s="209">
        <v>382.6</v>
      </c>
      <c r="H1268" s="198"/>
    </row>
    <row r="1269" spans="1:8" ht="15.75" hidden="1" customHeight="1" x14ac:dyDescent="0.25">
      <c r="A1269" s="205" t="s">
        <v>1824</v>
      </c>
      <c r="B1269" s="206">
        <v>5903</v>
      </c>
      <c r="C1269" s="207" t="s">
        <v>1873</v>
      </c>
      <c r="D1269" s="208" t="s">
        <v>1826</v>
      </c>
      <c r="E1269" s="209">
        <v>53.94</v>
      </c>
      <c r="F1269" s="209">
        <v>27.96</v>
      </c>
      <c r="G1269" s="209">
        <v>81.900000000000006</v>
      </c>
      <c r="H1269" s="198"/>
    </row>
    <row r="1270" spans="1:8" ht="15.75" hidden="1" customHeight="1" x14ac:dyDescent="0.25">
      <c r="A1270" s="205" t="s">
        <v>1824</v>
      </c>
      <c r="B1270" s="206">
        <v>5901</v>
      </c>
      <c r="C1270" s="207" t="s">
        <v>1874</v>
      </c>
      <c r="D1270" s="208" t="s">
        <v>1828</v>
      </c>
      <c r="E1270" s="209">
        <v>310.26</v>
      </c>
      <c r="F1270" s="209">
        <v>27.97</v>
      </c>
      <c r="G1270" s="209">
        <v>338.23</v>
      </c>
      <c r="H1270" s="198"/>
    </row>
    <row r="1271" spans="1:8" ht="15.75" hidden="1" customHeight="1" x14ac:dyDescent="0.25">
      <c r="A1271" s="205" t="s">
        <v>1824</v>
      </c>
      <c r="B1271" s="206">
        <v>6260</v>
      </c>
      <c r="C1271" s="207" t="s">
        <v>1875</v>
      </c>
      <c r="D1271" s="208" t="s">
        <v>1826</v>
      </c>
      <c r="E1271" s="209">
        <v>41.01</v>
      </c>
      <c r="F1271" s="209">
        <v>27.96</v>
      </c>
      <c r="G1271" s="209">
        <v>68.97</v>
      </c>
      <c r="H1271" s="198"/>
    </row>
    <row r="1272" spans="1:8" ht="15.75" hidden="1" customHeight="1" x14ac:dyDescent="0.25">
      <c r="A1272" s="205" t="s">
        <v>1824</v>
      </c>
      <c r="B1272" s="206">
        <v>6259</v>
      </c>
      <c r="C1272" s="207" t="s">
        <v>1876</v>
      </c>
      <c r="D1272" s="208" t="s">
        <v>1828</v>
      </c>
      <c r="E1272" s="209">
        <v>245.98</v>
      </c>
      <c r="F1272" s="209">
        <v>27.97</v>
      </c>
      <c r="G1272" s="209">
        <v>273.95</v>
      </c>
      <c r="H1272" s="198"/>
    </row>
    <row r="1273" spans="1:8" ht="15.75" hidden="1" customHeight="1" x14ac:dyDescent="0.25">
      <c r="A1273" s="205" t="s">
        <v>1824</v>
      </c>
      <c r="B1273" s="206">
        <v>91395</v>
      </c>
      <c r="C1273" s="207" t="s">
        <v>1877</v>
      </c>
      <c r="D1273" s="208" t="s">
        <v>1826</v>
      </c>
      <c r="E1273" s="209">
        <v>38.57</v>
      </c>
      <c r="F1273" s="209">
        <v>27.95</v>
      </c>
      <c r="G1273" s="209">
        <v>66.52</v>
      </c>
      <c r="H1273" s="198"/>
    </row>
    <row r="1274" spans="1:8" ht="15.75" hidden="1" customHeight="1" x14ac:dyDescent="0.25">
      <c r="A1274" s="205" t="s">
        <v>1824</v>
      </c>
      <c r="B1274" s="206">
        <v>73467</v>
      </c>
      <c r="C1274" s="207" t="s">
        <v>1878</v>
      </c>
      <c r="D1274" s="208" t="s">
        <v>1828</v>
      </c>
      <c r="E1274" s="209">
        <v>238.02</v>
      </c>
      <c r="F1274" s="209">
        <v>27.95</v>
      </c>
      <c r="G1274" s="209">
        <v>265.97000000000003</v>
      </c>
      <c r="H1274" s="198"/>
    </row>
    <row r="1275" spans="1:8" ht="15.75" hidden="1" customHeight="1" x14ac:dyDescent="0.25">
      <c r="A1275" s="205" t="s">
        <v>1824</v>
      </c>
      <c r="B1275" s="206">
        <v>5826</v>
      </c>
      <c r="C1275" s="207" t="s">
        <v>1879</v>
      </c>
      <c r="D1275" s="208" t="s">
        <v>1826</v>
      </c>
      <c r="E1275" s="209">
        <v>41.49</v>
      </c>
      <c r="F1275" s="209">
        <v>27.96</v>
      </c>
      <c r="G1275" s="209">
        <v>69.45</v>
      </c>
      <c r="H1275" s="198"/>
    </row>
    <row r="1276" spans="1:8" ht="15.75" hidden="1" customHeight="1" x14ac:dyDescent="0.25">
      <c r="A1276" s="205" t="s">
        <v>1824</v>
      </c>
      <c r="B1276" s="206">
        <v>5824</v>
      </c>
      <c r="C1276" s="207" t="s">
        <v>1880</v>
      </c>
      <c r="D1276" s="208" t="s">
        <v>1828</v>
      </c>
      <c r="E1276" s="209">
        <v>203.88</v>
      </c>
      <c r="F1276" s="209">
        <v>27.95</v>
      </c>
      <c r="G1276" s="209">
        <v>231.83</v>
      </c>
      <c r="H1276" s="198"/>
    </row>
    <row r="1277" spans="1:8" ht="15.75" hidden="1" customHeight="1" x14ac:dyDescent="0.25">
      <c r="A1277" s="205" t="s">
        <v>1824</v>
      </c>
      <c r="B1277" s="206">
        <v>5892</v>
      </c>
      <c r="C1277" s="207" t="s">
        <v>1881</v>
      </c>
      <c r="D1277" s="208" t="s">
        <v>1826</v>
      </c>
      <c r="E1277" s="209">
        <v>36.56</v>
      </c>
      <c r="F1277" s="209">
        <v>27.96</v>
      </c>
      <c r="G1277" s="209">
        <v>64.52</v>
      </c>
      <c r="H1277" s="198"/>
    </row>
    <row r="1278" spans="1:8" ht="15.75" hidden="1" customHeight="1" x14ac:dyDescent="0.25">
      <c r="A1278" s="205" t="s">
        <v>1824</v>
      </c>
      <c r="B1278" s="206">
        <v>5890</v>
      </c>
      <c r="C1278" s="207" t="s">
        <v>1882</v>
      </c>
      <c r="D1278" s="208" t="s">
        <v>1828</v>
      </c>
      <c r="E1278" s="209">
        <v>191.05</v>
      </c>
      <c r="F1278" s="209">
        <v>27.96</v>
      </c>
      <c r="G1278" s="209">
        <v>219.01</v>
      </c>
      <c r="H1278" s="198"/>
    </row>
    <row r="1279" spans="1:8" ht="15.75" hidden="1" customHeight="1" x14ac:dyDescent="0.25">
      <c r="A1279" s="205" t="s">
        <v>1824</v>
      </c>
      <c r="B1279" s="206">
        <v>5896</v>
      </c>
      <c r="C1279" s="207" t="s">
        <v>1883</v>
      </c>
      <c r="D1279" s="208" t="s">
        <v>1826</v>
      </c>
      <c r="E1279" s="209">
        <v>39.340000000000003</v>
      </c>
      <c r="F1279" s="209">
        <v>27.96</v>
      </c>
      <c r="G1279" s="209">
        <v>67.3</v>
      </c>
      <c r="H1279" s="198"/>
    </row>
    <row r="1280" spans="1:8" ht="15.75" hidden="1" customHeight="1" x14ac:dyDescent="0.25">
      <c r="A1280" s="205" t="s">
        <v>1824</v>
      </c>
      <c r="B1280" s="206">
        <v>5894</v>
      </c>
      <c r="C1280" s="207" t="s">
        <v>1884</v>
      </c>
      <c r="D1280" s="208" t="s">
        <v>1828</v>
      </c>
      <c r="E1280" s="209">
        <v>199.74</v>
      </c>
      <c r="F1280" s="209">
        <v>27.96</v>
      </c>
      <c r="G1280" s="209">
        <v>227.7</v>
      </c>
      <c r="H1280" s="198"/>
    </row>
    <row r="1281" spans="1:8" ht="15.75" hidden="1" customHeight="1" x14ac:dyDescent="0.25">
      <c r="A1281" s="205" t="s">
        <v>1824</v>
      </c>
      <c r="B1281" s="206">
        <v>91032</v>
      </c>
      <c r="C1281" s="207" t="s">
        <v>1885</v>
      </c>
      <c r="D1281" s="208" t="s">
        <v>1826</v>
      </c>
      <c r="E1281" s="209">
        <v>47.45</v>
      </c>
      <c r="F1281" s="209">
        <v>27.96</v>
      </c>
      <c r="G1281" s="209">
        <v>75.41</v>
      </c>
      <c r="H1281" s="198"/>
    </row>
    <row r="1282" spans="1:8" ht="15.75" hidden="1" customHeight="1" x14ac:dyDescent="0.25">
      <c r="A1282" s="205" t="s">
        <v>1824</v>
      </c>
      <c r="B1282" s="206">
        <v>91031</v>
      </c>
      <c r="C1282" s="207" t="s">
        <v>1886</v>
      </c>
      <c r="D1282" s="208" t="s">
        <v>1828</v>
      </c>
      <c r="E1282" s="209">
        <v>248.93</v>
      </c>
      <c r="F1282" s="209">
        <v>27.96</v>
      </c>
      <c r="G1282" s="209">
        <v>276.89</v>
      </c>
      <c r="H1282" s="198"/>
    </row>
    <row r="1283" spans="1:8" ht="15.75" hidden="1" customHeight="1" x14ac:dyDescent="0.25">
      <c r="A1283" s="205" t="s">
        <v>1824</v>
      </c>
      <c r="B1283" s="206">
        <v>91534</v>
      </c>
      <c r="C1283" s="207" t="s">
        <v>1887</v>
      </c>
      <c r="D1283" s="208" t="s">
        <v>1826</v>
      </c>
      <c r="E1283" s="209">
        <v>9.15</v>
      </c>
      <c r="F1283" s="209">
        <v>26.91</v>
      </c>
      <c r="G1283" s="209">
        <v>36.06</v>
      </c>
      <c r="H1283" s="198"/>
    </row>
    <row r="1284" spans="1:8" ht="15.75" hidden="1" customHeight="1" x14ac:dyDescent="0.25">
      <c r="A1284" s="205" t="s">
        <v>1824</v>
      </c>
      <c r="B1284" s="206">
        <v>91533</v>
      </c>
      <c r="C1284" s="207" t="s">
        <v>1888</v>
      </c>
      <c r="D1284" s="208" t="s">
        <v>1828</v>
      </c>
      <c r="E1284" s="209">
        <v>17.09</v>
      </c>
      <c r="F1284" s="209">
        <v>26.9</v>
      </c>
      <c r="G1284" s="209">
        <v>43.99</v>
      </c>
      <c r="H1284" s="198"/>
    </row>
    <row r="1285" spans="1:8" ht="15.75" hidden="1" customHeight="1" x14ac:dyDescent="0.25">
      <c r="A1285" s="205" t="s">
        <v>1824</v>
      </c>
      <c r="B1285" s="206">
        <v>95265</v>
      </c>
      <c r="C1285" s="207" t="s">
        <v>1889</v>
      </c>
      <c r="D1285" s="208" t="s">
        <v>1826</v>
      </c>
      <c r="E1285" s="209">
        <v>0.86</v>
      </c>
      <c r="F1285" s="209">
        <v>0</v>
      </c>
      <c r="G1285" s="209">
        <v>0.86</v>
      </c>
      <c r="H1285" s="198"/>
    </row>
    <row r="1286" spans="1:8" ht="15.75" hidden="1" customHeight="1" x14ac:dyDescent="0.25">
      <c r="A1286" s="205" t="s">
        <v>1824</v>
      </c>
      <c r="B1286" s="206">
        <v>95264</v>
      </c>
      <c r="C1286" s="207" t="s">
        <v>1890</v>
      </c>
      <c r="D1286" s="208" t="s">
        <v>1828</v>
      </c>
      <c r="E1286" s="209">
        <v>6.92</v>
      </c>
      <c r="F1286" s="209">
        <v>0</v>
      </c>
      <c r="G1286" s="209">
        <v>6.92</v>
      </c>
      <c r="H1286" s="198"/>
    </row>
    <row r="1287" spans="1:8" ht="15.75" hidden="1" customHeight="1" x14ac:dyDescent="0.25">
      <c r="A1287" s="205" t="s">
        <v>1824</v>
      </c>
      <c r="B1287" s="206">
        <v>90973</v>
      </c>
      <c r="C1287" s="207" t="s">
        <v>1891</v>
      </c>
      <c r="D1287" s="208" t="s">
        <v>1826</v>
      </c>
      <c r="E1287" s="209">
        <v>8.91</v>
      </c>
      <c r="F1287" s="209">
        <v>0</v>
      </c>
      <c r="G1287" s="209">
        <v>8.91</v>
      </c>
      <c r="H1287" s="198"/>
    </row>
    <row r="1288" spans="1:8" ht="15.75" hidden="1" customHeight="1" x14ac:dyDescent="0.25">
      <c r="A1288" s="205" t="s">
        <v>1824</v>
      </c>
      <c r="B1288" s="206">
        <v>90972</v>
      </c>
      <c r="C1288" s="207" t="s">
        <v>1892</v>
      </c>
      <c r="D1288" s="208" t="s">
        <v>1828</v>
      </c>
      <c r="E1288" s="209">
        <v>81.83</v>
      </c>
      <c r="F1288" s="209">
        <v>0</v>
      </c>
      <c r="G1288" s="209">
        <v>81.83</v>
      </c>
      <c r="H1288" s="198"/>
    </row>
    <row r="1289" spans="1:8" ht="15.75" hidden="1" customHeight="1" x14ac:dyDescent="0.25">
      <c r="A1289" s="205" t="s">
        <v>1824</v>
      </c>
      <c r="B1289" s="206">
        <v>91001</v>
      </c>
      <c r="C1289" s="207" t="s">
        <v>1893</v>
      </c>
      <c r="D1289" s="208" t="s">
        <v>1826</v>
      </c>
      <c r="E1289" s="209">
        <v>10.57</v>
      </c>
      <c r="F1289" s="209">
        <v>0</v>
      </c>
      <c r="G1289" s="209">
        <v>10.57</v>
      </c>
      <c r="H1289" s="198"/>
    </row>
    <row r="1290" spans="1:8" ht="15.75" hidden="1" customHeight="1" x14ac:dyDescent="0.25">
      <c r="A1290" s="205" t="s">
        <v>1824</v>
      </c>
      <c r="B1290" s="206">
        <v>90999</v>
      </c>
      <c r="C1290" s="207" t="s">
        <v>1894</v>
      </c>
      <c r="D1290" s="208" t="s">
        <v>1828</v>
      </c>
      <c r="E1290" s="209">
        <v>108.11</v>
      </c>
      <c r="F1290" s="209">
        <v>0</v>
      </c>
      <c r="G1290" s="209">
        <v>108.11</v>
      </c>
      <c r="H1290" s="198"/>
    </row>
    <row r="1291" spans="1:8" ht="15.75" hidden="1" customHeight="1" x14ac:dyDescent="0.25">
      <c r="A1291" s="205" t="s">
        <v>1824</v>
      </c>
      <c r="B1291" s="206">
        <v>5954</v>
      </c>
      <c r="C1291" s="207" t="s">
        <v>1895</v>
      </c>
      <c r="D1291" s="208" t="s">
        <v>1826</v>
      </c>
      <c r="E1291" s="209">
        <v>6.65</v>
      </c>
      <c r="F1291" s="209">
        <v>0</v>
      </c>
      <c r="G1291" s="209">
        <v>6.65</v>
      </c>
      <c r="H1291" s="198"/>
    </row>
    <row r="1292" spans="1:8" ht="15.75" hidden="1" customHeight="1" x14ac:dyDescent="0.25">
      <c r="A1292" s="205" t="s">
        <v>1824</v>
      </c>
      <c r="B1292" s="206">
        <v>5953</v>
      </c>
      <c r="C1292" s="207" t="s">
        <v>1896</v>
      </c>
      <c r="D1292" s="208" t="s">
        <v>1828</v>
      </c>
      <c r="E1292" s="209">
        <v>63.1</v>
      </c>
      <c r="F1292" s="209">
        <v>0</v>
      </c>
      <c r="G1292" s="209">
        <v>63.1</v>
      </c>
      <c r="H1292" s="198"/>
    </row>
    <row r="1293" spans="1:8" ht="15.75" hidden="1" customHeight="1" x14ac:dyDescent="0.25">
      <c r="A1293" s="205" t="s">
        <v>1824</v>
      </c>
      <c r="B1293" s="206">
        <v>90982</v>
      </c>
      <c r="C1293" s="207" t="s">
        <v>1897</v>
      </c>
      <c r="D1293" s="208" t="s">
        <v>1826</v>
      </c>
      <c r="E1293" s="209">
        <v>22.65</v>
      </c>
      <c r="F1293" s="209">
        <v>0</v>
      </c>
      <c r="G1293" s="209">
        <v>22.65</v>
      </c>
      <c r="H1293" s="198"/>
    </row>
    <row r="1294" spans="1:8" ht="15.75" hidden="1" customHeight="1" x14ac:dyDescent="0.25">
      <c r="A1294" s="205" t="s">
        <v>1824</v>
      </c>
      <c r="B1294" s="206">
        <v>90979</v>
      </c>
      <c r="C1294" s="207" t="s">
        <v>1898</v>
      </c>
      <c r="D1294" s="208" t="s">
        <v>1828</v>
      </c>
      <c r="E1294" s="209">
        <v>211.35</v>
      </c>
      <c r="F1294" s="209">
        <v>0</v>
      </c>
      <c r="G1294" s="209">
        <v>211.35</v>
      </c>
      <c r="H1294" s="198"/>
    </row>
    <row r="1295" spans="1:8" ht="15.75" hidden="1" customHeight="1" x14ac:dyDescent="0.25">
      <c r="A1295" s="205" t="s">
        <v>1824</v>
      </c>
      <c r="B1295" s="206">
        <v>90965</v>
      </c>
      <c r="C1295" s="207" t="s">
        <v>1899</v>
      </c>
      <c r="D1295" s="208" t="s">
        <v>1826</v>
      </c>
      <c r="E1295" s="209">
        <v>8.89</v>
      </c>
      <c r="F1295" s="209">
        <v>0</v>
      </c>
      <c r="G1295" s="209">
        <v>8.89</v>
      </c>
      <c r="H1295" s="198"/>
    </row>
    <row r="1296" spans="1:8" ht="15.75" hidden="1" customHeight="1" x14ac:dyDescent="0.25">
      <c r="A1296" s="205" t="s">
        <v>1824</v>
      </c>
      <c r="B1296" s="206">
        <v>90964</v>
      </c>
      <c r="C1296" s="207" t="s">
        <v>1900</v>
      </c>
      <c r="D1296" s="208" t="s">
        <v>1828</v>
      </c>
      <c r="E1296" s="209">
        <v>33.49</v>
      </c>
      <c r="F1296" s="209">
        <v>0</v>
      </c>
      <c r="G1296" s="209">
        <v>33.49</v>
      </c>
      <c r="H1296" s="198"/>
    </row>
    <row r="1297" spans="1:8" ht="15.75" hidden="1" customHeight="1" x14ac:dyDescent="0.25">
      <c r="A1297" s="205" t="s">
        <v>1824</v>
      </c>
      <c r="B1297" s="206">
        <v>91285</v>
      </c>
      <c r="C1297" s="207" t="s">
        <v>1901</v>
      </c>
      <c r="D1297" s="208" t="s">
        <v>1826</v>
      </c>
      <c r="E1297" s="209">
        <v>0.97</v>
      </c>
      <c r="F1297" s="209">
        <v>0</v>
      </c>
      <c r="G1297" s="209">
        <v>0.97</v>
      </c>
      <c r="H1297" s="198"/>
    </row>
    <row r="1298" spans="1:8" ht="15.75" hidden="1" customHeight="1" x14ac:dyDescent="0.25">
      <c r="A1298" s="205" t="s">
        <v>1824</v>
      </c>
      <c r="B1298" s="206">
        <v>91283</v>
      </c>
      <c r="C1298" s="207" t="s">
        <v>1902</v>
      </c>
      <c r="D1298" s="208" t="s">
        <v>1828</v>
      </c>
      <c r="E1298" s="209">
        <v>11.64</v>
      </c>
      <c r="F1298" s="209">
        <v>0</v>
      </c>
      <c r="G1298" s="209">
        <v>11.64</v>
      </c>
      <c r="H1298" s="198"/>
    </row>
    <row r="1299" spans="1:8" ht="15.75" hidden="1" customHeight="1" x14ac:dyDescent="0.25">
      <c r="A1299" s="205" t="s">
        <v>1824</v>
      </c>
      <c r="B1299" s="206">
        <v>95283</v>
      </c>
      <c r="C1299" s="207" t="s">
        <v>1903</v>
      </c>
      <c r="D1299" s="208" t="s">
        <v>1826</v>
      </c>
      <c r="E1299" s="209">
        <v>0.8</v>
      </c>
      <c r="F1299" s="209">
        <v>0</v>
      </c>
      <c r="G1299" s="209">
        <v>0.8</v>
      </c>
      <c r="H1299" s="198"/>
    </row>
    <row r="1300" spans="1:8" ht="15.75" hidden="1" customHeight="1" x14ac:dyDescent="0.25">
      <c r="A1300" s="205" t="s">
        <v>1824</v>
      </c>
      <c r="B1300" s="206">
        <v>95282</v>
      </c>
      <c r="C1300" s="207" t="s">
        <v>1904</v>
      </c>
      <c r="D1300" s="208" t="s">
        <v>1828</v>
      </c>
      <c r="E1300" s="209">
        <v>11.06</v>
      </c>
      <c r="F1300" s="209">
        <v>0</v>
      </c>
      <c r="G1300" s="209">
        <v>11.06</v>
      </c>
      <c r="H1300" s="198"/>
    </row>
    <row r="1301" spans="1:8" ht="15.75" hidden="1" customHeight="1" x14ac:dyDescent="0.25">
      <c r="A1301" s="205" t="s">
        <v>1824</v>
      </c>
      <c r="B1301" s="206">
        <v>95128</v>
      </c>
      <c r="C1301" s="207" t="s">
        <v>1905</v>
      </c>
      <c r="D1301" s="208" t="s">
        <v>1826</v>
      </c>
      <c r="E1301" s="209">
        <v>31.48</v>
      </c>
      <c r="F1301" s="209">
        <v>26.9</v>
      </c>
      <c r="G1301" s="209">
        <v>58.38</v>
      </c>
      <c r="H1301" s="198"/>
    </row>
    <row r="1302" spans="1:8" ht="15.75" hidden="1" customHeight="1" x14ac:dyDescent="0.25">
      <c r="A1302" s="205" t="s">
        <v>1824</v>
      </c>
      <c r="B1302" s="206">
        <v>95127</v>
      </c>
      <c r="C1302" s="207" t="s">
        <v>1906</v>
      </c>
      <c r="D1302" s="208" t="s">
        <v>1828</v>
      </c>
      <c r="E1302" s="209">
        <v>206.82</v>
      </c>
      <c r="F1302" s="209">
        <v>26.9</v>
      </c>
      <c r="G1302" s="209">
        <v>233.72</v>
      </c>
      <c r="H1302" s="198"/>
    </row>
    <row r="1303" spans="1:8" ht="15.75" hidden="1" customHeight="1" x14ac:dyDescent="0.25">
      <c r="A1303" s="205" t="s">
        <v>1824</v>
      </c>
      <c r="B1303" s="206">
        <v>92044</v>
      </c>
      <c r="C1303" s="207" t="s">
        <v>1907</v>
      </c>
      <c r="D1303" s="208" t="s">
        <v>1826</v>
      </c>
      <c r="E1303" s="209">
        <v>7.8</v>
      </c>
      <c r="F1303" s="209">
        <v>0</v>
      </c>
      <c r="G1303" s="209">
        <v>7.8</v>
      </c>
      <c r="H1303" s="198"/>
    </row>
    <row r="1304" spans="1:8" ht="15.75" hidden="1" customHeight="1" x14ac:dyDescent="0.25">
      <c r="A1304" s="205" t="s">
        <v>1824</v>
      </c>
      <c r="B1304" s="206">
        <v>92043</v>
      </c>
      <c r="C1304" s="207" t="s">
        <v>1908</v>
      </c>
      <c r="D1304" s="208" t="s">
        <v>1828</v>
      </c>
      <c r="E1304" s="209">
        <v>13.19</v>
      </c>
      <c r="F1304" s="209">
        <v>0</v>
      </c>
      <c r="G1304" s="209">
        <v>13.19</v>
      </c>
      <c r="H1304" s="198"/>
    </row>
    <row r="1305" spans="1:8" ht="15.75" hidden="1" customHeight="1" x14ac:dyDescent="0.25">
      <c r="A1305" s="205" t="s">
        <v>1824</v>
      </c>
      <c r="B1305" s="206">
        <v>92119</v>
      </c>
      <c r="C1305" s="207" t="s">
        <v>1909</v>
      </c>
      <c r="D1305" s="208" t="s">
        <v>1826</v>
      </c>
      <c r="E1305" s="209">
        <v>0.26</v>
      </c>
      <c r="F1305" s="209">
        <v>0</v>
      </c>
      <c r="G1305" s="209">
        <v>0.26</v>
      </c>
      <c r="H1305" s="198"/>
    </row>
    <row r="1306" spans="1:8" ht="15.75" hidden="1" customHeight="1" x14ac:dyDescent="0.25">
      <c r="A1306" s="205" t="s">
        <v>1824</v>
      </c>
      <c r="B1306" s="206">
        <v>92118</v>
      </c>
      <c r="C1306" s="207" t="s">
        <v>1910</v>
      </c>
      <c r="D1306" s="208" t="s">
        <v>1828</v>
      </c>
      <c r="E1306" s="209">
        <v>0.41</v>
      </c>
      <c r="F1306" s="209">
        <v>0</v>
      </c>
      <c r="G1306" s="209">
        <v>0.41</v>
      </c>
      <c r="H1306" s="198"/>
    </row>
    <row r="1307" spans="1:8" ht="15.75" hidden="1" customHeight="1" x14ac:dyDescent="0.25">
      <c r="A1307" s="205" t="s">
        <v>1824</v>
      </c>
      <c r="B1307" s="206">
        <v>95721</v>
      </c>
      <c r="C1307" s="207" t="s">
        <v>1911</v>
      </c>
      <c r="D1307" s="208" t="s">
        <v>1826</v>
      </c>
      <c r="E1307" s="209">
        <v>96.32</v>
      </c>
      <c r="F1307" s="209">
        <v>28.14</v>
      </c>
      <c r="G1307" s="209">
        <v>124.46</v>
      </c>
      <c r="H1307" s="198"/>
    </row>
    <row r="1308" spans="1:8" ht="15.75" hidden="1" customHeight="1" x14ac:dyDescent="0.25">
      <c r="A1308" s="205" t="s">
        <v>1824</v>
      </c>
      <c r="B1308" s="206">
        <v>95720</v>
      </c>
      <c r="C1308" s="207" t="s">
        <v>1912</v>
      </c>
      <c r="D1308" s="208" t="s">
        <v>1828</v>
      </c>
      <c r="E1308" s="209">
        <v>278.69</v>
      </c>
      <c r="F1308" s="209">
        <v>28.13</v>
      </c>
      <c r="G1308" s="209">
        <v>306.82</v>
      </c>
      <c r="H1308" s="198"/>
    </row>
    <row r="1309" spans="1:8" ht="15.75" hidden="1" customHeight="1" x14ac:dyDescent="0.25">
      <c r="A1309" s="205" t="s">
        <v>1824</v>
      </c>
      <c r="B1309" s="206">
        <v>104716</v>
      </c>
      <c r="C1309" s="207" t="s">
        <v>1913</v>
      </c>
      <c r="D1309" s="208" t="s">
        <v>1828</v>
      </c>
      <c r="E1309" s="209">
        <v>268.13</v>
      </c>
      <c r="F1309" s="209">
        <v>28.14</v>
      </c>
      <c r="G1309" s="209">
        <v>296.27</v>
      </c>
      <c r="H1309" s="198"/>
    </row>
    <row r="1310" spans="1:8" ht="15.75" hidden="1" customHeight="1" x14ac:dyDescent="0.25">
      <c r="A1310" s="205" t="s">
        <v>1824</v>
      </c>
      <c r="B1310" s="206">
        <v>104717</v>
      </c>
      <c r="C1310" s="207" t="s">
        <v>1914</v>
      </c>
      <c r="D1310" s="208" t="s">
        <v>1826</v>
      </c>
      <c r="E1310" s="209">
        <v>91.01</v>
      </c>
      <c r="F1310" s="209">
        <v>28.14</v>
      </c>
      <c r="G1310" s="209">
        <v>119.15</v>
      </c>
      <c r="H1310" s="198"/>
    </row>
    <row r="1311" spans="1:8" ht="15.75" hidden="1" customHeight="1" x14ac:dyDescent="0.25">
      <c r="A1311" s="205" t="s">
        <v>1824</v>
      </c>
      <c r="B1311" s="206">
        <v>5632</v>
      </c>
      <c r="C1311" s="207" t="s">
        <v>1915</v>
      </c>
      <c r="D1311" s="208" t="s">
        <v>1826</v>
      </c>
      <c r="E1311" s="209">
        <v>71.819999999999993</v>
      </c>
      <c r="F1311" s="209">
        <v>28.13</v>
      </c>
      <c r="G1311" s="209">
        <v>99.95</v>
      </c>
      <c r="H1311" s="198"/>
    </row>
    <row r="1312" spans="1:8" ht="15.75" hidden="1" customHeight="1" x14ac:dyDescent="0.25">
      <c r="A1312" s="205" t="s">
        <v>1824</v>
      </c>
      <c r="B1312" s="206">
        <v>5631</v>
      </c>
      <c r="C1312" s="207" t="s">
        <v>1916</v>
      </c>
      <c r="D1312" s="208" t="s">
        <v>1828</v>
      </c>
      <c r="E1312" s="209">
        <v>202.97</v>
      </c>
      <c r="F1312" s="209">
        <v>28.15</v>
      </c>
      <c r="G1312" s="209">
        <v>231.12</v>
      </c>
      <c r="H1312" s="198"/>
    </row>
    <row r="1313" spans="1:8" ht="15.75" hidden="1" customHeight="1" x14ac:dyDescent="0.25">
      <c r="A1313" s="205" t="s">
        <v>1824</v>
      </c>
      <c r="B1313" s="206">
        <v>88908</v>
      </c>
      <c r="C1313" s="207" t="s">
        <v>1917</v>
      </c>
      <c r="D1313" s="208" t="s">
        <v>1826</v>
      </c>
      <c r="E1313" s="209">
        <v>80.180000000000007</v>
      </c>
      <c r="F1313" s="209">
        <v>28.14</v>
      </c>
      <c r="G1313" s="209">
        <v>108.32</v>
      </c>
      <c r="H1313" s="198"/>
    </row>
    <row r="1314" spans="1:8" ht="15.75" hidden="1" customHeight="1" x14ac:dyDescent="0.25">
      <c r="A1314" s="205" t="s">
        <v>1824</v>
      </c>
      <c r="B1314" s="206">
        <v>88907</v>
      </c>
      <c r="C1314" s="207" t="s">
        <v>1918</v>
      </c>
      <c r="D1314" s="208" t="s">
        <v>1828</v>
      </c>
      <c r="E1314" s="209">
        <v>246.6</v>
      </c>
      <c r="F1314" s="209">
        <v>28.13</v>
      </c>
      <c r="G1314" s="209">
        <v>274.73</v>
      </c>
      <c r="H1314" s="198"/>
    </row>
    <row r="1315" spans="1:8" ht="15.75" hidden="1" customHeight="1" x14ac:dyDescent="0.25">
      <c r="A1315" s="205" t="s">
        <v>1824</v>
      </c>
      <c r="B1315" s="206">
        <v>5911</v>
      </c>
      <c r="C1315" s="207" t="s">
        <v>1919</v>
      </c>
      <c r="D1315" s="208" t="s">
        <v>1826</v>
      </c>
      <c r="E1315" s="209">
        <v>14.19</v>
      </c>
      <c r="F1315" s="209">
        <v>19.510000000000002</v>
      </c>
      <c r="G1315" s="209">
        <v>33.700000000000003</v>
      </c>
      <c r="H1315" s="198"/>
    </row>
    <row r="1316" spans="1:8" ht="15.75" hidden="1" customHeight="1" x14ac:dyDescent="0.25">
      <c r="A1316" s="205" t="s">
        <v>1824</v>
      </c>
      <c r="B1316" s="206">
        <v>5909</v>
      </c>
      <c r="C1316" s="207" t="s">
        <v>1920</v>
      </c>
      <c r="D1316" s="208" t="s">
        <v>1828</v>
      </c>
      <c r="E1316" s="209">
        <v>22.03</v>
      </c>
      <c r="F1316" s="209">
        <v>19.510000000000002</v>
      </c>
      <c r="G1316" s="209">
        <v>41.54</v>
      </c>
      <c r="H1316" s="198"/>
    </row>
    <row r="1317" spans="1:8" ht="15.75" hidden="1" customHeight="1" x14ac:dyDescent="0.25">
      <c r="A1317" s="205" t="s">
        <v>1824</v>
      </c>
      <c r="B1317" s="206">
        <v>91486</v>
      </c>
      <c r="C1317" s="207" t="s">
        <v>1921</v>
      </c>
      <c r="D1317" s="208" t="s">
        <v>1826</v>
      </c>
      <c r="E1317" s="209">
        <v>48.27</v>
      </c>
      <c r="F1317" s="209">
        <v>27.95</v>
      </c>
      <c r="G1317" s="209">
        <v>76.22</v>
      </c>
      <c r="H1317" s="198"/>
    </row>
    <row r="1318" spans="1:8" ht="15.75" hidden="1" customHeight="1" x14ac:dyDescent="0.25">
      <c r="A1318" s="205" t="s">
        <v>1824</v>
      </c>
      <c r="B1318" s="206">
        <v>83362</v>
      </c>
      <c r="C1318" s="207" t="s">
        <v>1922</v>
      </c>
      <c r="D1318" s="208" t="s">
        <v>1828</v>
      </c>
      <c r="E1318" s="209">
        <v>255.64</v>
      </c>
      <c r="F1318" s="209">
        <v>27.96</v>
      </c>
      <c r="G1318" s="209">
        <v>283.60000000000002</v>
      </c>
      <c r="H1318" s="198"/>
    </row>
    <row r="1319" spans="1:8" ht="15.75" hidden="1" customHeight="1" x14ac:dyDescent="0.25">
      <c r="A1319" s="205" t="s">
        <v>1824</v>
      </c>
      <c r="B1319" s="206">
        <v>89235</v>
      </c>
      <c r="C1319" s="207" t="s">
        <v>1923</v>
      </c>
      <c r="D1319" s="208" t="s">
        <v>1826</v>
      </c>
      <c r="E1319" s="209">
        <v>158.72999999999999</v>
      </c>
      <c r="F1319" s="209">
        <v>26.57</v>
      </c>
      <c r="G1319" s="209">
        <v>185.3</v>
      </c>
      <c r="H1319" s="198"/>
    </row>
    <row r="1320" spans="1:8" ht="15.75" hidden="1" customHeight="1" x14ac:dyDescent="0.25">
      <c r="A1320" s="205" t="s">
        <v>1824</v>
      </c>
      <c r="B1320" s="206">
        <v>89234</v>
      </c>
      <c r="C1320" s="207" t="s">
        <v>1924</v>
      </c>
      <c r="D1320" s="208" t="s">
        <v>1828</v>
      </c>
      <c r="E1320" s="209">
        <v>541.23</v>
      </c>
      <c r="F1320" s="209">
        <v>26.57</v>
      </c>
      <c r="G1320" s="209">
        <v>567.79999999999995</v>
      </c>
      <c r="H1320" s="198"/>
    </row>
    <row r="1321" spans="1:8" ht="15.75" hidden="1" customHeight="1" x14ac:dyDescent="0.25">
      <c r="A1321" s="205" t="s">
        <v>1824</v>
      </c>
      <c r="B1321" s="206">
        <v>89243</v>
      </c>
      <c r="C1321" s="207" t="s">
        <v>1925</v>
      </c>
      <c r="D1321" s="208" t="s">
        <v>1826</v>
      </c>
      <c r="E1321" s="209">
        <v>359.97</v>
      </c>
      <c r="F1321" s="209">
        <v>26.59</v>
      </c>
      <c r="G1321" s="209">
        <v>386.56</v>
      </c>
      <c r="H1321" s="198"/>
    </row>
    <row r="1322" spans="1:8" ht="15.75" hidden="1" customHeight="1" x14ac:dyDescent="0.25">
      <c r="A1322" s="205" t="s">
        <v>1824</v>
      </c>
      <c r="B1322" s="206">
        <v>89242</v>
      </c>
      <c r="C1322" s="207" t="s">
        <v>1926</v>
      </c>
      <c r="D1322" s="208" t="s">
        <v>1828</v>
      </c>
      <c r="E1322" s="209">
        <v>1308.07</v>
      </c>
      <c r="F1322" s="209">
        <v>26.55</v>
      </c>
      <c r="G1322" s="209">
        <v>1334.62</v>
      </c>
      <c r="H1322" s="198"/>
    </row>
    <row r="1323" spans="1:8" ht="15.75" hidden="1" customHeight="1" x14ac:dyDescent="0.25">
      <c r="A1323" s="205" t="s">
        <v>1824</v>
      </c>
      <c r="B1323" s="206">
        <v>93416</v>
      </c>
      <c r="C1323" s="207" t="s">
        <v>1927</v>
      </c>
      <c r="D1323" s="208" t="s">
        <v>1826</v>
      </c>
      <c r="E1323" s="209">
        <v>0.36</v>
      </c>
      <c r="F1323" s="209">
        <v>0</v>
      </c>
      <c r="G1323" s="209">
        <v>0.36</v>
      </c>
      <c r="H1323" s="198"/>
    </row>
    <row r="1324" spans="1:8" ht="15.75" hidden="1" customHeight="1" x14ac:dyDescent="0.25">
      <c r="A1324" s="205" t="s">
        <v>1824</v>
      </c>
      <c r="B1324" s="206">
        <v>93415</v>
      </c>
      <c r="C1324" s="207" t="s">
        <v>1928</v>
      </c>
      <c r="D1324" s="208" t="s">
        <v>1828</v>
      </c>
      <c r="E1324" s="209">
        <v>12.75</v>
      </c>
      <c r="F1324" s="209">
        <v>0</v>
      </c>
      <c r="G1324" s="209">
        <v>12.75</v>
      </c>
      <c r="H1324" s="198"/>
    </row>
    <row r="1325" spans="1:8" ht="15.75" hidden="1" customHeight="1" x14ac:dyDescent="0.25">
      <c r="A1325" s="205" t="s">
        <v>1824</v>
      </c>
      <c r="B1325" s="206">
        <v>5689</v>
      </c>
      <c r="C1325" s="207" t="s">
        <v>1929</v>
      </c>
      <c r="D1325" s="208" t="s">
        <v>1828</v>
      </c>
      <c r="E1325" s="209">
        <v>6.55</v>
      </c>
      <c r="F1325" s="209">
        <v>0</v>
      </c>
      <c r="G1325" s="209">
        <v>6.55</v>
      </c>
      <c r="H1325" s="198"/>
    </row>
    <row r="1326" spans="1:8" ht="15.75" hidden="1" customHeight="1" x14ac:dyDescent="0.25">
      <c r="A1326" s="205" t="s">
        <v>1824</v>
      </c>
      <c r="B1326" s="206">
        <v>5690</v>
      </c>
      <c r="C1326" s="207" t="s">
        <v>1930</v>
      </c>
      <c r="D1326" s="208" t="s">
        <v>1826</v>
      </c>
      <c r="E1326" s="209">
        <v>4.24</v>
      </c>
      <c r="F1326" s="209">
        <v>0</v>
      </c>
      <c r="G1326" s="209">
        <v>4.24</v>
      </c>
      <c r="H1326" s="198"/>
    </row>
    <row r="1327" spans="1:8" ht="15.75" hidden="1" customHeight="1" x14ac:dyDescent="0.25">
      <c r="A1327" s="205" t="s">
        <v>1824</v>
      </c>
      <c r="B1327" s="206">
        <v>5923</v>
      </c>
      <c r="C1327" s="207" t="s">
        <v>1931</v>
      </c>
      <c r="D1327" s="208" t="s">
        <v>1826</v>
      </c>
      <c r="E1327" s="209">
        <v>3.32</v>
      </c>
      <c r="F1327" s="209">
        <v>0</v>
      </c>
      <c r="G1327" s="209">
        <v>3.32</v>
      </c>
      <c r="H1327" s="198"/>
    </row>
    <row r="1328" spans="1:8" ht="15.75" hidden="1" customHeight="1" x14ac:dyDescent="0.25">
      <c r="A1328" s="205" t="s">
        <v>1824</v>
      </c>
      <c r="B1328" s="206">
        <v>5921</v>
      </c>
      <c r="C1328" s="207" t="s">
        <v>1932</v>
      </c>
      <c r="D1328" s="208" t="s">
        <v>1828</v>
      </c>
      <c r="E1328" s="209">
        <v>5.13</v>
      </c>
      <c r="F1328" s="209">
        <v>0</v>
      </c>
      <c r="G1328" s="209">
        <v>5.13</v>
      </c>
      <c r="H1328" s="198"/>
    </row>
    <row r="1329" spans="1:8" ht="15.75" hidden="1" customHeight="1" x14ac:dyDescent="0.25">
      <c r="A1329" s="205" t="s">
        <v>1824</v>
      </c>
      <c r="B1329" s="206">
        <v>95212</v>
      </c>
      <c r="C1329" s="207" t="s">
        <v>1933</v>
      </c>
      <c r="D1329" s="208" t="s">
        <v>1828</v>
      </c>
      <c r="E1329" s="209">
        <v>139.34</v>
      </c>
      <c r="F1329" s="209">
        <v>36.5</v>
      </c>
      <c r="G1329" s="209">
        <v>175.84</v>
      </c>
      <c r="H1329" s="198"/>
    </row>
    <row r="1330" spans="1:8" ht="15.75" hidden="1" customHeight="1" x14ac:dyDescent="0.25">
      <c r="A1330" s="205" t="s">
        <v>1824</v>
      </c>
      <c r="B1330" s="206">
        <v>95213</v>
      </c>
      <c r="C1330" s="207" t="s">
        <v>1934</v>
      </c>
      <c r="D1330" s="208" t="s">
        <v>1826</v>
      </c>
      <c r="E1330" s="209">
        <v>74.09</v>
      </c>
      <c r="F1330" s="209">
        <v>36.5</v>
      </c>
      <c r="G1330" s="209">
        <v>110.59</v>
      </c>
      <c r="H1330" s="198"/>
    </row>
    <row r="1331" spans="1:8" ht="15.75" hidden="1" customHeight="1" x14ac:dyDescent="0.25">
      <c r="A1331" s="205" t="s">
        <v>1824</v>
      </c>
      <c r="B1331" s="206">
        <v>93272</v>
      </c>
      <c r="C1331" s="207" t="s">
        <v>1935</v>
      </c>
      <c r="D1331" s="208" t="s">
        <v>1828</v>
      </c>
      <c r="E1331" s="209">
        <v>77.17</v>
      </c>
      <c r="F1331" s="209">
        <v>36.51</v>
      </c>
      <c r="G1331" s="209">
        <v>113.68</v>
      </c>
      <c r="H1331" s="198"/>
    </row>
    <row r="1332" spans="1:8" ht="15.75" hidden="1" customHeight="1" x14ac:dyDescent="0.25">
      <c r="A1332" s="205" t="s">
        <v>1824</v>
      </c>
      <c r="B1332" s="206">
        <v>93274</v>
      </c>
      <c r="C1332" s="207" t="s">
        <v>1936</v>
      </c>
      <c r="D1332" s="208" t="s">
        <v>1826</v>
      </c>
      <c r="E1332" s="209">
        <v>44.68</v>
      </c>
      <c r="F1332" s="209">
        <v>36.5</v>
      </c>
      <c r="G1332" s="209">
        <v>81.180000000000007</v>
      </c>
      <c r="H1332" s="198"/>
    </row>
    <row r="1333" spans="1:8" ht="15.75" hidden="1" customHeight="1" x14ac:dyDescent="0.25">
      <c r="A1333" s="205" t="s">
        <v>1824</v>
      </c>
      <c r="B1333" s="206">
        <v>83766</v>
      </c>
      <c r="C1333" s="207" t="s">
        <v>1937</v>
      </c>
      <c r="D1333" s="208" t="s">
        <v>1826</v>
      </c>
      <c r="E1333" s="209">
        <v>20.399999999999999</v>
      </c>
      <c r="F1333" s="209">
        <v>27.75</v>
      </c>
      <c r="G1333" s="209">
        <v>48.15</v>
      </c>
      <c r="H1333" s="198"/>
    </row>
    <row r="1334" spans="1:8" ht="15.75" hidden="1" customHeight="1" x14ac:dyDescent="0.25">
      <c r="A1334" s="205" t="s">
        <v>1824</v>
      </c>
      <c r="B1334" s="206">
        <v>83765</v>
      </c>
      <c r="C1334" s="207" t="s">
        <v>1938</v>
      </c>
      <c r="D1334" s="208" t="s">
        <v>1828</v>
      </c>
      <c r="E1334" s="209">
        <v>80.209999999999994</v>
      </c>
      <c r="F1334" s="209">
        <v>27.75</v>
      </c>
      <c r="G1334" s="209">
        <v>107.96</v>
      </c>
      <c r="H1334" s="198"/>
    </row>
    <row r="1335" spans="1:8" ht="15.75" hidden="1" customHeight="1" x14ac:dyDescent="0.25">
      <c r="A1335" s="205" t="s">
        <v>1824</v>
      </c>
      <c r="B1335" s="206">
        <v>95873</v>
      </c>
      <c r="C1335" s="207" t="s">
        <v>1939</v>
      </c>
      <c r="D1335" s="208" t="s">
        <v>1826</v>
      </c>
      <c r="E1335" s="209">
        <v>10.86</v>
      </c>
      <c r="F1335" s="209">
        <v>0</v>
      </c>
      <c r="G1335" s="209">
        <v>10.86</v>
      </c>
      <c r="H1335" s="198"/>
    </row>
    <row r="1336" spans="1:8" ht="15.75" hidden="1" customHeight="1" x14ac:dyDescent="0.25">
      <c r="A1336" s="205" t="s">
        <v>1824</v>
      </c>
      <c r="B1336" s="206">
        <v>95872</v>
      </c>
      <c r="C1336" s="207" t="s">
        <v>1940</v>
      </c>
      <c r="D1336" s="208" t="s">
        <v>1828</v>
      </c>
      <c r="E1336" s="209">
        <v>306.93</v>
      </c>
      <c r="F1336" s="209">
        <v>0</v>
      </c>
      <c r="G1336" s="209">
        <v>306.93</v>
      </c>
      <c r="H1336" s="198"/>
    </row>
    <row r="1337" spans="1:8" ht="15.75" hidden="1" customHeight="1" x14ac:dyDescent="0.25">
      <c r="A1337" s="205" t="s">
        <v>1824</v>
      </c>
      <c r="B1337" s="206">
        <v>73395</v>
      </c>
      <c r="C1337" s="207" t="s">
        <v>1941</v>
      </c>
      <c r="D1337" s="208" t="s">
        <v>1826</v>
      </c>
      <c r="E1337" s="209">
        <v>7.63</v>
      </c>
      <c r="F1337" s="209">
        <v>0</v>
      </c>
      <c r="G1337" s="209">
        <v>7.63</v>
      </c>
      <c r="H1337" s="198"/>
    </row>
    <row r="1338" spans="1:8" ht="15.75" hidden="1" customHeight="1" x14ac:dyDescent="0.25">
      <c r="A1338" s="205" t="s">
        <v>1824</v>
      </c>
      <c r="B1338" s="206">
        <v>73417</v>
      </c>
      <c r="C1338" s="207" t="s">
        <v>1942</v>
      </c>
      <c r="D1338" s="208" t="s">
        <v>1828</v>
      </c>
      <c r="E1338" s="209">
        <v>199.12</v>
      </c>
      <c r="F1338" s="209">
        <v>0</v>
      </c>
      <c r="G1338" s="209">
        <v>199.12</v>
      </c>
      <c r="H1338" s="198"/>
    </row>
    <row r="1339" spans="1:8" ht="15.75" hidden="1" customHeight="1" x14ac:dyDescent="0.25">
      <c r="A1339" s="205" t="s">
        <v>1824</v>
      </c>
      <c r="B1339" s="206">
        <v>93428</v>
      </c>
      <c r="C1339" s="207" t="s">
        <v>1943</v>
      </c>
      <c r="D1339" s="208" t="s">
        <v>1826</v>
      </c>
      <c r="E1339" s="209">
        <v>6.79</v>
      </c>
      <c r="F1339" s="209">
        <v>0</v>
      </c>
      <c r="G1339" s="209">
        <v>6.79</v>
      </c>
      <c r="H1339" s="198"/>
    </row>
    <row r="1340" spans="1:8" ht="15.75" hidden="1" customHeight="1" x14ac:dyDescent="0.25">
      <c r="A1340" s="205" t="s">
        <v>1824</v>
      </c>
      <c r="B1340" s="206">
        <v>93427</v>
      </c>
      <c r="C1340" s="207" t="s">
        <v>1944</v>
      </c>
      <c r="D1340" s="208" t="s">
        <v>1828</v>
      </c>
      <c r="E1340" s="209">
        <v>180.85</v>
      </c>
      <c r="F1340" s="209">
        <v>0</v>
      </c>
      <c r="G1340" s="209">
        <v>180.85</v>
      </c>
      <c r="H1340" s="198"/>
    </row>
    <row r="1341" spans="1:8" ht="15.75" hidden="1" customHeight="1" x14ac:dyDescent="0.25">
      <c r="A1341" s="205" t="s">
        <v>1824</v>
      </c>
      <c r="B1341" s="206">
        <v>93422</v>
      </c>
      <c r="C1341" s="207" t="s">
        <v>1945</v>
      </c>
      <c r="D1341" s="208" t="s">
        <v>1826</v>
      </c>
      <c r="E1341" s="209">
        <v>4.8</v>
      </c>
      <c r="F1341" s="209">
        <v>0</v>
      </c>
      <c r="G1341" s="209">
        <v>4.8</v>
      </c>
      <c r="H1341" s="198"/>
    </row>
    <row r="1342" spans="1:8" ht="15.75" hidden="1" customHeight="1" x14ac:dyDescent="0.25">
      <c r="A1342" s="205" t="s">
        <v>1824</v>
      </c>
      <c r="B1342" s="206">
        <v>93421</v>
      </c>
      <c r="C1342" s="207" t="s">
        <v>1946</v>
      </c>
      <c r="D1342" s="208" t="s">
        <v>1828</v>
      </c>
      <c r="E1342" s="209">
        <v>78.92</v>
      </c>
      <c r="F1342" s="209">
        <v>0</v>
      </c>
      <c r="G1342" s="209">
        <v>78.92</v>
      </c>
      <c r="H1342" s="198"/>
    </row>
    <row r="1343" spans="1:8" ht="15.75" hidden="1" customHeight="1" x14ac:dyDescent="0.25">
      <c r="A1343" s="205" t="s">
        <v>1824</v>
      </c>
      <c r="B1343" s="206">
        <v>93282</v>
      </c>
      <c r="C1343" s="207" t="s">
        <v>1947</v>
      </c>
      <c r="D1343" s="208" t="s">
        <v>1826</v>
      </c>
      <c r="E1343" s="209">
        <v>8.43</v>
      </c>
      <c r="F1343" s="209">
        <v>26.28</v>
      </c>
      <c r="G1343" s="209">
        <v>34.71</v>
      </c>
      <c r="H1343" s="198"/>
    </row>
    <row r="1344" spans="1:8" ht="15.75" hidden="1" customHeight="1" x14ac:dyDescent="0.25">
      <c r="A1344" s="205" t="s">
        <v>1824</v>
      </c>
      <c r="B1344" s="206">
        <v>93281</v>
      </c>
      <c r="C1344" s="207" t="s">
        <v>1948</v>
      </c>
      <c r="D1344" s="208" t="s">
        <v>1828</v>
      </c>
      <c r="E1344" s="209">
        <v>9.24</v>
      </c>
      <c r="F1344" s="209">
        <v>26.28</v>
      </c>
      <c r="G1344" s="209">
        <v>35.520000000000003</v>
      </c>
      <c r="H1344" s="198"/>
    </row>
    <row r="1345" spans="1:8" ht="15.75" hidden="1" customHeight="1" x14ac:dyDescent="0.25">
      <c r="A1345" s="205" t="s">
        <v>1824</v>
      </c>
      <c r="B1345" s="206">
        <v>89273</v>
      </c>
      <c r="C1345" s="207" t="s">
        <v>1949</v>
      </c>
      <c r="D1345" s="208" t="s">
        <v>1826</v>
      </c>
      <c r="E1345" s="209">
        <v>85.37</v>
      </c>
      <c r="F1345" s="209">
        <v>36.51</v>
      </c>
      <c r="G1345" s="209">
        <v>121.88</v>
      </c>
      <c r="H1345" s="198"/>
    </row>
    <row r="1346" spans="1:8" ht="15.75" hidden="1" customHeight="1" x14ac:dyDescent="0.25">
      <c r="A1346" s="205" t="s">
        <v>1824</v>
      </c>
      <c r="B1346" s="206">
        <v>89272</v>
      </c>
      <c r="C1346" s="207" t="s">
        <v>1950</v>
      </c>
      <c r="D1346" s="208" t="s">
        <v>1828</v>
      </c>
      <c r="E1346" s="209">
        <v>199.19</v>
      </c>
      <c r="F1346" s="209">
        <v>36.5</v>
      </c>
      <c r="G1346" s="209">
        <v>235.69</v>
      </c>
      <c r="H1346" s="198"/>
    </row>
    <row r="1347" spans="1:8" ht="15.75" hidden="1" customHeight="1" x14ac:dyDescent="0.25">
      <c r="A1347" s="205" t="s">
        <v>1824</v>
      </c>
      <c r="B1347" s="206">
        <v>93288</v>
      </c>
      <c r="C1347" s="207" t="s">
        <v>1951</v>
      </c>
      <c r="D1347" s="208" t="s">
        <v>1826</v>
      </c>
      <c r="E1347" s="209">
        <v>156.74</v>
      </c>
      <c r="F1347" s="209">
        <v>36.5</v>
      </c>
      <c r="G1347" s="209">
        <v>193.24</v>
      </c>
      <c r="H1347" s="198"/>
    </row>
    <row r="1348" spans="1:8" ht="15.75" hidden="1" customHeight="1" x14ac:dyDescent="0.25">
      <c r="A1348" s="205" t="s">
        <v>1824</v>
      </c>
      <c r="B1348" s="206">
        <v>93287</v>
      </c>
      <c r="C1348" s="207" t="s">
        <v>1952</v>
      </c>
      <c r="D1348" s="208" t="s">
        <v>1828</v>
      </c>
      <c r="E1348" s="209">
        <v>325.79000000000002</v>
      </c>
      <c r="F1348" s="209">
        <v>36.51</v>
      </c>
      <c r="G1348" s="209">
        <v>362.3</v>
      </c>
      <c r="H1348" s="198"/>
    </row>
    <row r="1349" spans="1:8" ht="15.75" hidden="1" customHeight="1" x14ac:dyDescent="0.25">
      <c r="A1349" s="205" t="s">
        <v>1824</v>
      </c>
      <c r="B1349" s="206">
        <v>93403</v>
      </c>
      <c r="C1349" s="207" t="s">
        <v>1953</v>
      </c>
      <c r="D1349" s="208" t="s">
        <v>1826</v>
      </c>
      <c r="E1349" s="209">
        <v>47</v>
      </c>
      <c r="F1349" s="209">
        <v>31.71</v>
      </c>
      <c r="G1349" s="209">
        <v>78.709999999999994</v>
      </c>
      <c r="H1349" s="198"/>
    </row>
    <row r="1350" spans="1:8" ht="15.75" hidden="1" customHeight="1" x14ac:dyDescent="0.25">
      <c r="A1350" s="205" t="s">
        <v>1824</v>
      </c>
      <c r="B1350" s="206">
        <v>93402</v>
      </c>
      <c r="C1350" s="207" t="s">
        <v>1954</v>
      </c>
      <c r="D1350" s="208" t="s">
        <v>1828</v>
      </c>
      <c r="E1350" s="209">
        <v>258.48</v>
      </c>
      <c r="F1350" s="209">
        <v>31.71</v>
      </c>
      <c r="G1350" s="209">
        <v>290.19</v>
      </c>
      <c r="H1350" s="198"/>
    </row>
    <row r="1351" spans="1:8" ht="15.75" hidden="1" customHeight="1" x14ac:dyDescent="0.25">
      <c r="A1351" s="205" t="s">
        <v>1824</v>
      </c>
      <c r="B1351" s="206">
        <v>5930</v>
      </c>
      <c r="C1351" s="207" t="s">
        <v>1955</v>
      </c>
      <c r="D1351" s="208" t="s">
        <v>1826</v>
      </c>
      <c r="E1351" s="209">
        <v>50.13</v>
      </c>
      <c r="F1351" s="209">
        <v>31.71</v>
      </c>
      <c r="G1351" s="209">
        <v>81.84</v>
      </c>
      <c r="H1351" s="198"/>
    </row>
    <row r="1352" spans="1:8" ht="15.75" hidden="1" customHeight="1" x14ac:dyDescent="0.25">
      <c r="A1352" s="205" t="s">
        <v>1824</v>
      </c>
      <c r="B1352" s="206">
        <v>5928</v>
      </c>
      <c r="C1352" s="207" t="s">
        <v>1956</v>
      </c>
      <c r="D1352" s="208" t="s">
        <v>1828</v>
      </c>
      <c r="E1352" s="209">
        <v>264.45999999999998</v>
      </c>
      <c r="F1352" s="209">
        <v>31.72</v>
      </c>
      <c r="G1352" s="209">
        <v>296.18</v>
      </c>
      <c r="H1352" s="198"/>
    </row>
    <row r="1353" spans="1:8" ht="15.75" hidden="1" customHeight="1" x14ac:dyDescent="0.25">
      <c r="A1353" s="205" t="s">
        <v>1824</v>
      </c>
      <c r="B1353" s="206">
        <v>91635</v>
      </c>
      <c r="C1353" s="207" t="s">
        <v>1957</v>
      </c>
      <c r="D1353" s="208" t="s">
        <v>1826</v>
      </c>
      <c r="E1353" s="209">
        <v>41.55</v>
      </c>
      <c r="F1353" s="209">
        <v>31.7</v>
      </c>
      <c r="G1353" s="209">
        <v>73.25</v>
      </c>
      <c r="H1353" s="198"/>
    </row>
    <row r="1354" spans="1:8" ht="15.75" hidden="1" customHeight="1" x14ac:dyDescent="0.25">
      <c r="A1354" s="205" t="s">
        <v>1824</v>
      </c>
      <c r="B1354" s="206">
        <v>91634</v>
      </c>
      <c r="C1354" s="207" t="s">
        <v>1958</v>
      </c>
      <c r="D1354" s="208" t="s">
        <v>1828</v>
      </c>
      <c r="E1354" s="209">
        <v>220.83</v>
      </c>
      <c r="F1354" s="209">
        <v>31.71</v>
      </c>
      <c r="G1354" s="209">
        <v>252.54</v>
      </c>
      <c r="H1354" s="198"/>
    </row>
    <row r="1355" spans="1:8" ht="15.75" hidden="1" customHeight="1" x14ac:dyDescent="0.25">
      <c r="A1355" s="205" t="s">
        <v>1824</v>
      </c>
      <c r="B1355" s="206">
        <v>98765</v>
      </c>
      <c r="C1355" s="207" t="s">
        <v>1959</v>
      </c>
      <c r="D1355" s="208" t="s">
        <v>1826</v>
      </c>
      <c r="E1355" s="209">
        <v>7.0000000000000007E-2</v>
      </c>
      <c r="F1355" s="209">
        <v>0</v>
      </c>
      <c r="G1355" s="209">
        <v>7.0000000000000007E-2</v>
      </c>
      <c r="H1355" s="198"/>
    </row>
    <row r="1356" spans="1:8" ht="15.75" hidden="1" customHeight="1" x14ac:dyDescent="0.25">
      <c r="A1356" s="205" t="s">
        <v>1824</v>
      </c>
      <c r="B1356" s="206">
        <v>98764</v>
      </c>
      <c r="C1356" s="207" t="s">
        <v>1960</v>
      </c>
      <c r="D1356" s="208" t="s">
        <v>1828</v>
      </c>
      <c r="E1356" s="209">
        <v>3.39</v>
      </c>
      <c r="F1356" s="209">
        <v>0</v>
      </c>
      <c r="G1356" s="209">
        <v>3.39</v>
      </c>
      <c r="H1356" s="198"/>
    </row>
    <row r="1357" spans="1:8" ht="15.75" hidden="1" customHeight="1" x14ac:dyDescent="0.25">
      <c r="A1357" s="205" t="s">
        <v>1824</v>
      </c>
      <c r="B1357" s="206">
        <v>99834</v>
      </c>
      <c r="C1357" s="207" t="s">
        <v>1961</v>
      </c>
      <c r="D1357" s="208" t="s">
        <v>1826</v>
      </c>
      <c r="E1357" s="209">
        <v>0.21</v>
      </c>
      <c r="F1357" s="209">
        <v>0</v>
      </c>
      <c r="G1357" s="209">
        <v>0.21</v>
      </c>
      <c r="H1357" s="198"/>
    </row>
    <row r="1358" spans="1:8" ht="15.75" hidden="1" customHeight="1" x14ac:dyDescent="0.25">
      <c r="A1358" s="205" t="s">
        <v>1824</v>
      </c>
      <c r="B1358" s="206">
        <v>99833</v>
      </c>
      <c r="C1358" s="207" t="s">
        <v>1962</v>
      </c>
      <c r="D1358" s="208" t="s">
        <v>1828</v>
      </c>
      <c r="E1358" s="209">
        <v>3.46</v>
      </c>
      <c r="F1358" s="209">
        <v>0</v>
      </c>
      <c r="G1358" s="209">
        <v>3.46</v>
      </c>
      <c r="H1358" s="198"/>
    </row>
    <row r="1359" spans="1:8" ht="15.75" hidden="1" customHeight="1" x14ac:dyDescent="0.25">
      <c r="A1359" s="205" t="s">
        <v>1824</v>
      </c>
      <c r="B1359" s="206">
        <v>90687</v>
      </c>
      <c r="C1359" s="207" t="s">
        <v>1963</v>
      </c>
      <c r="D1359" s="208" t="s">
        <v>1826</v>
      </c>
      <c r="E1359" s="209">
        <v>53.83</v>
      </c>
      <c r="F1359" s="209">
        <v>26.58</v>
      </c>
      <c r="G1359" s="209">
        <v>80.41</v>
      </c>
      <c r="H1359" s="198"/>
    </row>
    <row r="1360" spans="1:8" ht="15.75" hidden="1" customHeight="1" x14ac:dyDescent="0.25">
      <c r="A1360" s="205" t="s">
        <v>1824</v>
      </c>
      <c r="B1360" s="206">
        <v>90686</v>
      </c>
      <c r="C1360" s="207" t="s">
        <v>1964</v>
      </c>
      <c r="D1360" s="208" t="s">
        <v>1828</v>
      </c>
      <c r="E1360" s="209">
        <v>154.66</v>
      </c>
      <c r="F1360" s="209">
        <v>26.58</v>
      </c>
      <c r="G1360" s="209">
        <v>181.24</v>
      </c>
      <c r="H1360" s="198"/>
    </row>
    <row r="1361" spans="1:8" ht="15.75" hidden="1" customHeight="1" x14ac:dyDescent="0.25">
      <c r="A1361" s="205" t="s">
        <v>1824</v>
      </c>
      <c r="B1361" s="206">
        <v>5952</v>
      </c>
      <c r="C1361" s="207" t="s">
        <v>1965</v>
      </c>
      <c r="D1361" s="208" t="s">
        <v>1826</v>
      </c>
      <c r="E1361" s="209">
        <v>10.039999999999999</v>
      </c>
      <c r="F1361" s="209">
        <v>23.8</v>
      </c>
      <c r="G1361" s="209">
        <v>33.840000000000003</v>
      </c>
      <c r="H1361" s="198"/>
    </row>
    <row r="1362" spans="1:8" ht="15.75" hidden="1" customHeight="1" x14ac:dyDescent="0.25">
      <c r="A1362" s="205" t="s">
        <v>1824</v>
      </c>
      <c r="B1362" s="206">
        <v>5795</v>
      </c>
      <c r="C1362" s="207" t="s">
        <v>1966</v>
      </c>
      <c r="D1362" s="208" t="s">
        <v>1828</v>
      </c>
      <c r="E1362" s="209">
        <v>12.02</v>
      </c>
      <c r="F1362" s="209">
        <v>23.8</v>
      </c>
      <c r="G1362" s="209">
        <v>35.82</v>
      </c>
      <c r="H1362" s="198"/>
    </row>
    <row r="1363" spans="1:8" ht="15.75" hidden="1" customHeight="1" x14ac:dyDescent="0.25">
      <c r="A1363" s="205" t="s">
        <v>1824</v>
      </c>
      <c r="B1363" s="206">
        <v>102274</v>
      </c>
      <c r="C1363" s="207" t="s">
        <v>1967</v>
      </c>
      <c r="D1363" s="208" t="s">
        <v>1826</v>
      </c>
      <c r="E1363" s="209">
        <v>8.9499999999999993</v>
      </c>
      <c r="F1363" s="209">
        <v>23.8</v>
      </c>
      <c r="G1363" s="209">
        <v>32.75</v>
      </c>
      <c r="H1363" s="198"/>
    </row>
    <row r="1364" spans="1:8" ht="15.75" hidden="1" customHeight="1" x14ac:dyDescent="0.25">
      <c r="A1364" s="205" t="s">
        <v>1824</v>
      </c>
      <c r="B1364" s="206">
        <v>102275</v>
      </c>
      <c r="C1364" s="207" t="s">
        <v>1968</v>
      </c>
      <c r="D1364" s="208" t="s">
        <v>1828</v>
      </c>
      <c r="E1364" s="209">
        <v>11.02</v>
      </c>
      <c r="F1364" s="209">
        <v>23.8</v>
      </c>
      <c r="G1364" s="209">
        <v>34.82</v>
      </c>
      <c r="H1364" s="198"/>
    </row>
    <row r="1365" spans="1:8" ht="15.75" hidden="1" customHeight="1" x14ac:dyDescent="0.25">
      <c r="A1365" s="205" t="s">
        <v>1824</v>
      </c>
      <c r="B1365" s="206">
        <v>95259</v>
      </c>
      <c r="C1365" s="207" t="s">
        <v>1969</v>
      </c>
      <c r="D1365" s="208" t="s">
        <v>1826</v>
      </c>
      <c r="E1365" s="209">
        <v>9.82</v>
      </c>
      <c r="F1365" s="209">
        <v>23.81</v>
      </c>
      <c r="G1365" s="209">
        <v>33.630000000000003</v>
      </c>
      <c r="H1365" s="198"/>
    </row>
    <row r="1366" spans="1:8" ht="15.75" hidden="1" customHeight="1" x14ac:dyDescent="0.25">
      <c r="A1366" s="205" t="s">
        <v>1824</v>
      </c>
      <c r="B1366" s="206">
        <v>95258</v>
      </c>
      <c r="C1366" s="207" t="s">
        <v>1970</v>
      </c>
      <c r="D1366" s="208" t="s">
        <v>1828</v>
      </c>
      <c r="E1366" s="209">
        <v>11.58</v>
      </c>
      <c r="F1366" s="209">
        <v>23.81</v>
      </c>
      <c r="G1366" s="209">
        <v>35.39</v>
      </c>
      <c r="H1366" s="198"/>
    </row>
    <row r="1367" spans="1:8" ht="15.75" hidden="1" customHeight="1" x14ac:dyDescent="0.25">
      <c r="A1367" s="205" t="s">
        <v>1824</v>
      </c>
      <c r="B1367" s="206">
        <v>92967</v>
      </c>
      <c r="C1367" s="207" t="s">
        <v>1971</v>
      </c>
      <c r="D1367" s="208" t="s">
        <v>1826</v>
      </c>
      <c r="E1367" s="209">
        <v>10.09</v>
      </c>
      <c r="F1367" s="209">
        <v>23.81</v>
      </c>
      <c r="G1367" s="209">
        <v>33.9</v>
      </c>
      <c r="H1367" s="198"/>
    </row>
    <row r="1368" spans="1:8" ht="15.75" hidden="1" customHeight="1" x14ac:dyDescent="0.25">
      <c r="A1368" s="205" t="s">
        <v>1824</v>
      </c>
      <c r="B1368" s="206">
        <v>92966</v>
      </c>
      <c r="C1368" s="207" t="s">
        <v>1972</v>
      </c>
      <c r="D1368" s="208" t="s">
        <v>1828</v>
      </c>
      <c r="E1368" s="209">
        <v>12.13</v>
      </c>
      <c r="F1368" s="209">
        <v>23.81</v>
      </c>
      <c r="G1368" s="209">
        <v>35.94</v>
      </c>
      <c r="H1368" s="198"/>
    </row>
    <row r="1369" spans="1:8" ht="15.75" hidden="1" customHeight="1" x14ac:dyDescent="0.25">
      <c r="A1369" s="205" t="s">
        <v>1824</v>
      </c>
      <c r="B1369" s="206">
        <v>96156</v>
      </c>
      <c r="C1369" s="207" t="s">
        <v>1973</v>
      </c>
      <c r="D1369" s="208" t="s">
        <v>1826</v>
      </c>
      <c r="E1369" s="209">
        <v>44.8</v>
      </c>
      <c r="F1369" s="209">
        <v>26.57</v>
      </c>
      <c r="G1369" s="209">
        <v>71.37</v>
      </c>
      <c r="H1369" s="198"/>
    </row>
    <row r="1370" spans="1:8" ht="15.75" hidden="1" customHeight="1" x14ac:dyDescent="0.25">
      <c r="A1370" s="205" t="s">
        <v>1824</v>
      </c>
      <c r="B1370" s="206">
        <v>96158</v>
      </c>
      <c r="C1370" s="207" t="s">
        <v>1974</v>
      </c>
      <c r="D1370" s="208" t="s">
        <v>1828</v>
      </c>
      <c r="E1370" s="209">
        <v>124.99</v>
      </c>
      <c r="F1370" s="209">
        <v>26.58</v>
      </c>
      <c r="G1370" s="209">
        <v>151.57</v>
      </c>
      <c r="H1370" s="198"/>
    </row>
    <row r="1371" spans="1:8" ht="15.75" hidden="1" customHeight="1" x14ac:dyDescent="0.25">
      <c r="A1371" s="205" t="s">
        <v>1824</v>
      </c>
      <c r="B1371" s="206">
        <v>90693</v>
      </c>
      <c r="C1371" s="207" t="s">
        <v>1975</v>
      </c>
      <c r="D1371" s="208" t="s">
        <v>1826</v>
      </c>
      <c r="E1371" s="209">
        <v>39.94</v>
      </c>
      <c r="F1371" s="209">
        <v>26.58</v>
      </c>
      <c r="G1371" s="209">
        <v>66.52</v>
      </c>
      <c r="H1371" s="198"/>
    </row>
    <row r="1372" spans="1:8" ht="15.75" hidden="1" customHeight="1" x14ac:dyDescent="0.25">
      <c r="A1372" s="205" t="s">
        <v>1824</v>
      </c>
      <c r="B1372" s="206">
        <v>90692</v>
      </c>
      <c r="C1372" s="207" t="s">
        <v>1976</v>
      </c>
      <c r="D1372" s="208" t="s">
        <v>1828</v>
      </c>
      <c r="E1372" s="209">
        <v>115.34</v>
      </c>
      <c r="F1372" s="209">
        <v>26.58</v>
      </c>
      <c r="G1372" s="209">
        <v>141.91999999999999</v>
      </c>
      <c r="H1372" s="198"/>
    </row>
    <row r="1373" spans="1:8" ht="15.75" hidden="1" customHeight="1" x14ac:dyDescent="0.25">
      <c r="A1373" s="205" t="s">
        <v>1824</v>
      </c>
      <c r="B1373" s="206">
        <v>96246</v>
      </c>
      <c r="C1373" s="207" t="s">
        <v>1977</v>
      </c>
      <c r="D1373" s="208" t="s">
        <v>1826</v>
      </c>
      <c r="E1373" s="209">
        <v>43.82</v>
      </c>
      <c r="F1373" s="209">
        <v>28.14</v>
      </c>
      <c r="G1373" s="209">
        <v>71.959999999999994</v>
      </c>
      <c r="H1373" s="198"/>
    </row>
    <row r="1374" spans="1:8" ht="15.75" hidden="1" customHeight="1" x14ac:dyDescent="0.25">
      <c r="A1374" s="205" t="s">
        <v>1824</v>
      </c>
      <c r="B1374" s="206">
        <v>96245</v>
      </c>
      <c r="C1374" s="207" t="s">
        <v>1978</v>
      </c>
      <c r="D1374" s="208" t="s">
        <v>1828</v>
      </c>
      <c r="E1374" s="209">
        <v>97.58</v>
      </c>
      <c r="F1374" s="209">
        <v>28.13</v>
      </c>
      <c r="G1374" s="209">
        <v>125.71</v>
      </c>
      <c r="H1374" s="198"/>
    </row>
    <row r="1375" spans="1:8" ht="15.75" hidden="1" customHeight="1" x14ac:dyDescent="0.25">
      <c r="A1375" s="205" t="s">
        <v>1824</v>
      </c>
      <c r="B1375" s="206">
        <v>88404</v>
      </c>
      <c r="C1375" s="207" t="s">
        <v>1979</v>
      </c>
      <c r="D1375" s="208" t="s">
        <v>1826</v>
      </c>
      <c r="E1375" s="209">
        <v>0.93</v>
      </c>
      <c r="F1375" s="209">
        <v>0</v>
      </c>
      <c r="G1375" s="209">
        <v>0.93</v>
      </c>
      <c r="H1375" s="198"/>
    </row>
    <row r="1376" spans="1:8" ht="15.75" hidden="1" customHeight="1" x14ac:dyDescent="0.25">
      <c r="A1376" s="205" t="s">
        <v>1824</v>
      </c>
      <c r="B1376" s="206">
        <v>88399</v>
      </c>
      <c r="C1376" s="207" t="s">
        <v>1980</v>
      </c>
      <c r="D1376" s="208" t="s">
        <v>1828</v>
      </c>
      <c r="E1376" s="209">
        <v>3.1</v>
      </c>
      <c r="F1376" s="209">
        <v>0</v>
      </c>
      <c r="G1376" s="209">
        <v>3.1</v>
      </c>
      <c r="H1376" s="198"/>
    </row>
    <row r="1377" spans="1:8" ht="15.75" hidden="1" customHeight="1" x14ac:dyDescent="0.25">
      <c r="A1377" s="205" t="s">
        <v>1824</v>
      </c>
      <c r="B1377" s="206">
        <v>88392</v>
      </c>
      <c r="C1377" s="207" t="s">
        <v>1981</v>
      </c>
      <c r="D1377" s="208" t="s">
        <v>1826</v>
      </c>
      <c r="E1377" s="209">
        <v>0.99</v>
      </c>
      <c r="F1377" s="209">
        <v>0</v>
      </c>
      <c r="G1377" s="209">
        <v>0.99</v>
      </c>
      <c r="H1377" s="198"/>
    </row>
    <row r="1378" spans="1:8" ht="15.75" hidden="1" customHeight="1" x14ac:dyDescent="0.25">
      <c r="A1378" s="205" t="s">
        <v>1824</v>
      </c>
      <c r="B1378" s="206">
        <v>88386</v>
      </c>
      <c r="C1378" s="207" t="s">
        <v>1982</v>
      </c>
      <c r="D1378" s="208" t="s">
        <v>1828</v>
      </c>
      <c r="E1378" s="209">
        <v>4.0999999999999996</v>
      </c>
      <c r="F1378" s="209">
        <v>0</v>
      </c>
      <c r="G1378" s="209">
        <v>4.0999999999999996</v>
      </c>
      <c r="H1378" s="198"/>
    </row>
    <row r="1379" spans="1:8" ht="15.75" hidden="1" customHeight="1" x14ac:dyDescent="0.25">
      <c r="A1379" s="205" t="s">
        <v>1824</v>
      </c>
      <c r="B1379" s="206">
        <v>88398</v>
      </c>
      <c r="C1379" s="207" t="s">
        <v>1983</v>
      </c>
      <c r="D1379" s="208" t="s">
        <v>1826</v>
      </c>
      <c r="E1379" s="209">
        <v>1.18</v>
      </c>
      <c r="F1379" s="209">
        <v>0</v>
      </c>
      <c r="G1379" s="209">
        <v>1.18</v>
      </c>
      <c r="H1379" s="198"/>
    </row>
    <row r="1380" spans="1:8" ht="15.75" hidden="1" customHeight="1" x14ac:dyDescent="0.25">
      <c r="A1380" s="205" t="s">
        <v>1824</v>
      </c>
      <c r="B1380" s="206">
        <v>88393</v>
      </c>
      <c r="C1380" s="207" t="s">
        <v>1984</v>
      </c>
      <c r="D1380" s="208" t="s">
        <v>1828</v>
      </c>
      <c r="E1380" s="209">
        <v>5.55</v>
      </c>
      <c r="F1380" s="209">
        <v>0</v>
      </c>
      <c r="G1380" s="209">
        <v>5.55</v>
      </c>
      <c r="H1380" s="198"/>
    </row>
    <row r="1381" spans="1:8" ht="15.75" hidden="1" customHeight="1" x14ac:dyDescent="0.25">
      <c r="A1381" s="205" t="s">
        <v>1824</v>
      </c>
      <c r="B1381" s="206">
        <v>90638</v>
      </c>
      <c r="C1381" s="207" t="s">
        <v>1985</v>
      </c>
      <c r="D1381" s="208" t="s">
        <v>1826</v>
      </c>
      <c r="E1381" s="209">
        <v>4.74</v>
      </c>
      <c r="F1381" s="209">
        <v>0</v>
      </c>
      <c r="G1381" s="209">
        <v>4.74</v>
      </c>
      <c r="H1381" s="198"/>
    </row>
    <row r="1382" spans="1:8" ht="15.75" hidden="1" customHeight="1" x14ac:dyDescent="0.25">
      <c r="A1382" s="205" t="s">
        <v>1824</v>
      </c>
      <c r="B1382" s="206">
        <v>90637</v>
      </c>
      <c r="C1382" s="207" t="s">
        <v>1986</v>
      </c>
      <c r="D1382" s="208" t="s">
        <v>1828</v>
      </c>
      <c r="E1382" s="209">
        <v>13.39</v>
      </c>
      <c r="F1382" s="209">
        <v>0</v>
      </c>
      <c r="G1382" s="209">
        <v>13.39</v>
      </c>
      <c r="H1382" s="198"/>
    </row>
    <row r="1383" spans="1:8" ht="15.75" hidden="1" customHeight="1" x14ac:dyDescent="0.25">
      <c r="A1383" s="205" t="s">
        <v>1824</v>
      </c>
      <c r="B1383" s="206">
        <v>5806</v>
      </c>
      <c r="C1383" s="207" t="s">
        <v>1987</v>
      </c>
      <c r="D1383" s="208" t="s">
        <v>1826</v>
      </c>
      <c r="E1383" s="209">
        <v>0.25</v>
      </c>
      <c r="F1383" s="209">
        <v>0</v>
      </c>
      <c r="G1383" s="209">
        <v>0.25</v>
      </c>
      <c r="H1383" s="198"/>
    </row>
    <row r="1384" spans="1:8" ht="15.75" hidden="1" customHeight="1" x14ac:dyDescent="0.25">
      <c r="A1384" s="205" t="s">
        <v>1824</v>
      </c>
      <c r="B1384" s="206">
        <v>73536</v>
      </c>
      <c r="C1384" s="207" t="s">
        <v>1988</v>
      </c>
      <c r="D1384" s="208" t="s">
        <v>1828</v>
      </c>
      <c r="E1384" s="209">
        <v>23.45</v>
      </c>
      <c r="F1384" s="209">
        <v>0</v>
      </c>
      <c r="G1384" s="209">
        <v>23.45</v>
      </c>
      <c r="H1384" s="198"/>
    </row>
    <row r="1385" spans="1:8" ht="15.75" hidden="1" customHeight="1" x14ac:dyDescent="0.25">
      <c r="A1385" s="205" t="s">
        <v>1824</v>
      </c>
      <c r="B1385" s="206">
        <v>7043</v>
      </c>
      <c r="C1385" s="207" t="s">
        <v>1989</v>
      </c>
      <c r="D1385" s="208" t="s">
        <v>1826</v>
      </c>
      <c r="E1385" s="209">
        <v>0.32</v>
      </c>
      <c r="F1385" s="209">
        <v>0</v>
      </c>
      <c r="G1385" s="209">
        <v>0.32</v>
      </c>
      <c r="H1385" s="198"/>
    </row>
    <row r="1386" spans="1:8" ht="15.75" hidden="1" customHeight="1" x14ac:dyDescent="0.25">
      <c r="A1386" s="205" t="s">
        <v>1824</v>
      </c>
      <c r="B1386" s="206">
        <v>7042</v>
      </c>
      <c r="C1386" s="207" t="s">
        <v>1990</v>
      </c>
      <c r="D1386" s="208" t="s">
        <v>1828</v>
      </c>
      <c r="E1386" s="209">
        <v>27.73</v>
      </c>
      <c r="F1386" s="209">
        <v>0</v>
      </c>
      <c r="G1386" s="209">
        <v>27.73</v>
      </c>
      <c r="H1386" s="198"/>
    </row>
    <row r="1387" spans="1:8" ht="15.75" hidden="1" customHeight="1" x14ac:dyDescent="0.25">
      <c r="A1387" s="205" t="s">
        <v>1824</v>
      </c>
      <c r="B1387" s="206">
        <v>5934</v>
      </c>
      <c r="C1387" s="207" t="s">
        <v>1991</v>
      </c>
      <c r="D1387" s="208" t="s">
        <v>1826</v>
      </c>
      <c r="E1387" s="209">
        <v>86.53</v>
      </c>
      <c r="F1387" s="209">
        <v>34.270000000000003</v>
      </c>
      <c r="G1387" s="209">
        <v>120.8</v>
      </c>
      <c r="H1387" s="198"/>
    </row>
    <row r="1388" spans="1:8" ht="15.75" hidden="1" customHeight="1" x14ac:dyDescent="0.25">
      <c r="A1388" s="205" t="s">
        <v>1824</v>
      </c>
      <c r="B1388" s="206">
        <v>5932</v>
      </c>
      <c r="C1388" s="207" t="s">
        <v>1992</v>
      </c>
      <c r="D1388" s="208" t="s">
        <v>1828</v>
      </c>
      <c r="E1388" s="209">
        <v>268.3</v>
      </c>
      <c r="F1388" s="209">
        <v>34.28</v>
      </c>
      <c r="G1388" s="209">
        <v>302.58</v>
      </c>
      <c r="H1388" s="198"/>
    </row>
    <row r="1389" spans="1:8" ht="15.75" hidden="1" customHeight="1" x14ac:dyDescent="0.25">
      <c r="A1389" s="205" t="s">
        <v>1824</v>
      </c>
      <c r="B1389" s="206">
        <v>96159</v>
      </c>
      <c r="C1389" s="207" t="s">
        <v>1993</v>
      </c>
      <c r="D1389" s="208" t="s">
        <v>1826</v>
      </c>
      <c r="E1389" s="209">
        <v>73.349999999999994</v>
      </c>
      <c r="F1389" s="209">
        <v>26.58</v>
      </c>
      <c r="G1389" s="209">
        <v>99.93</v>
      </c>
      <c r="H1389" s="198"/>
    </row>
    <row r="1390" spans="1:8" ht="15.75" hidden="1" customHeight="1" x14ac:dyDescent="0.25">
      <c r="A1390" s="205" t="s">
        <v>1824</v>
      </c>
      <c r="B1390" s="206">
        <v>95133</v>
      </c>
      <c r="C1390" s="207" t="s">
        <v>1994</v>
      </c>
      <c r="D1390" s="208" t="s">
        <v>1828</v>
      </c>
      <c r="E1390" s="209">
        <v>163.84</v>
      </c>
      <c r="F1390" s="209">
        <v>26.58</v>
      </c>
      <c r="G1390" s="209">
        <v>190.42</v>
      </c>
      <c r="H1390" s="198"/>
    </row>
    <row r="1391" spans="1:8" ht="15.75" hidden="1" customHeight="1" x14ac:dyDescent="0.25">
      <c r="A1391" s="205" t="s">
        <v>1824</v>
      </c>
      <c r="B1391" s="206">
        <v>92961</v>
      </c>
      <c r="C1391" s="207" t="s">
        <v>1995</v>
      </c>
      <c r="D1391" s="208" t="s">
        <v>1826</v>
      </c>
      <c r="E1391" s="209">
        <v>5.43</v>
      </c>
      <c r="F1391" s="209">
        <v>0</v>
      </c>
      <c r="G1391" s="209">
        <v>5.43</v>
      </c>
      <c r="H1391" s="198"/>
    </row>
    <row r="1392" spans="1:8" ht="15.75" hidden="1" customHeight="1" x14ac:dyDescent="0.25">
      <c r="A1392" s="205" t="s">
        <v>1824</v>
      </c>
      <c r="B1392" s="206">
        <v>92960</v>
      </c>
      <c r="C1392" s="207" t="s">
        <v>1996</v>
      </c>
      <c r="D1392" s="208" t="s">
        <v>1828</v>
      </c>
      <c r="E1392" s="209">
        <v>20.07</v>
      </c>
      <c r="F1392" s="209">
        <v>0</v>
      </c>
      <c r="G1392" s="209">
        <v>20.07</v>
      </c>
      <c r="H1392" s="198"/>
    </row>
    <row r="1393" spans="1:8" ht="15.75" hidden="1" customHeight="1" x14ac:dyDescent="0.25">
      <c r="A1393" s="205" t="s">
        <v>1824</v>
      </c>
      <c r="B1393" s="206">
        <v>93409</v>
      </c>
      <c r="C1393" s="207" t="s">
        <v>1997</v>
      </c>
      <c r="D1393" s="208" t="s">
        <v>1826</v>
      </c>
      <c r="E1393" s="209">
        <v>17.8</v>
      </c>
      <c r="F1393" s="209">
        <v>24.3</v>
      </c>
      <c r="G1393" s="209">
        <v>42.1</v>
      </c>
      <c r="H1393" s="198"/>
    </row>
    <row r="1394" spans="1:8" ht="15.75" hidden="1" customHeight="1" x14ac:dyDescent="0.25">
      <c r="A1394" s="205" t="s">
        <v>1824</v>
      </c>
      <c r="B1394" s="206">
        <v>93408</v>
      </c>
      <c r="C1394" s="207" t="s">
        <v>1998</v>
      </c>
      <c r="D1394" s="208" t="s">
        <v>1828</v>
      </c>
      <c r="E1394" s="209">
        <v>76.97</v>
      </c>
      <c r="F1394" s="209">
        <v>24.3</v>
      </c>
      <c r="G1394" s="209">
        <v>101.27</v>
      </c>
      <c r="H1394" s="198"/>
    </row>
    <row r="1395" spans="1:8" ht="15.75" hidden="1" customHeight="1" x14ac:dyDescent="0.25">
      <c r="A1395" s="205" t="s">
        <v>1824</v>
      </c>
      <c r="B1395" s="206">
        <v>92113</v>
      </c>
      <c r="C1395" s="207" t="s">
        <v>1999</v>
      </c>
      <c r="D1395" s="208" t="s">
        <v>1826</v>
      </c>
      <c r="E1395" s="209">
        <v>1.1000000000000001</v>
      </c>
      <c r="F1395" s="209">
        <v>0</v>
      </c>
      <c r="G1395" s="209">
        <v>1.1000000000000001</v>
      </c>
      <c r="H1395" s="198"/>
    </row>
    <row r="1396" spans="1:8" ht="15.75" hidden="1" customHeight="1" x14ac:dyDescent="0.25">
      <c r="A1396" s="205" t="s">
        <v>1824</v>
      </c>
      <c r="B1396" s="206">
        <v>92112</v>
      </c>
      <c r="C1396" s="207" t="s">
        <v>2000</v>
      </c>
      <c r="D1396" s="208" t="s">
        <v>1828</v>
      </c>
      <c r="E1396" s="209">
        <v>3.1</v>
      </c>
      <c r="F1396" s="209">
        <v>0</v>
      </c>
      <c r="G1396" s="209">
        <v>3.1</v>
      </c>
      <c r="H1396" s="198"/>
    </row>
    <row r="1397" spans="1:8" ht="15.75" hidden="1" customHeight="1" x14ac:dyDescent="0.25">
      <c r="A1397" s="205" t="s">
        <v>1824</v>
      </c>
      <c r="B1397" s="206">
        <v>90675</v>
      </c>
      <c r="C1397" s="207" t="s">
        <v>2001</v>
      </c>
      <c r="D1397" s="208" t="s">
        <v>1826</v>
      </c>
      <c r="E1397" s="209">
        <v>336.93</v>
      </c>
      <c r="F1397" s="209">
        <v>26.92</v>
      </c>
      <c r="G1397" s="209">
        <v>363.85</v>
      </c>
      <c r="H1397" s="198"/>
    </row>
    <row r="1398" spans="1:8" ht="15.75" hidden="1" customHeight="1" x14ac:dyDescent="0.25">
      <c r="A1398" s="205" t="s">
        <v>1824</v>
      </c>
      <c r="B1398" s="206">
        <v>90674</v>
      </c>
      <c r="C1398" s="207" t="s">
        <v>2002</v>
      </c>
      <c r="D1398" s="208" t="s">
        <v>1828</v>
      </c>
      <c r="E1398" s="209">
        <v>787.97</v>
      </c>
      <c r="F1398" s="209">
        <v>26.89</v>
      </c>
      <c r="G1398" s="209">
        <v>814.86</v>
      </c>
      <c r="H1398" s="198"/>
    </row>
    <row r="1399" spans="1:8" ht="15.75" hidden="1" customHeight="1" x14ac:dyDescent="0.25">
      <c r="A1399" s="205" t="s">
        <v>1824</v>
      </c>
      <c r="B1399" s="206">
        <v>93225</v>
      </c>
      <c r="C1399" s="207" t="s">
        <v>2003</v>
      </c>
      <c r="D1399" s="208" t="s">
        <v>1826</v>
      </c>
      <c r="E1399" s="209">
        <v>512.35</v>
      </c>
      <c r="F1399" s="209">
        <v>26.9</v>
      </c>
      <c r="G1399" s="209">
        <v>539.25</v>
      </c>
      <c r="H1399" s="198"/>
    </row>
    <row r="1400" spans="1:8" ht="15.75" hidden="1" customHeight="1" x14ac:dyDescent="0.25">
      <c r="A1400" s="205" t="s">
        <v>1824</v>
      </c>
      <c r="B1400" s="206">
        <v>93224</v>
      </c>
      <c r="C1400" s="207" t="s">
        <v>2004</v>
      </c>
      <c r="D1400" s="208" t="s">
        <v>1828</v>
      </c>
      <c r="E1400" s="209">
        <v>1175.1400000000001</v>
      </c>
      <c r="F1400" s="209">
        <v>26.92</v>
      </c>
      <c r="G1400" s="209">
        <v>1202.06</v>
      </c>
      <c r="H1400" s="198"/>
    </row>
    <row r="1401" spans="1:8" ht="15.75" hidden="1" customHeight="1" x14ac:dyDescent="0.25">
      <c r="A1401" s="205" t="s">
        <v>1824</v>
      </c>
      <c r="B1401" s="206">
        <v>104696</v>
      </c>
      <c r="C1401" s="207" t="s">
        <v>2005</v>
      </c>
      <c r="D1401" s="208" t="s">
        <v>1826</v>
      </c>
      <c r="E1401" s="209">
        <v>9.36</v>
      </c>
      <c r="F1401" s="209">
        <v>26.9</v>
      </c>
      <c r="G1401" s="209">
        <v>36.26</v>
      </c>
      <c r="H1401" s="198"/>
    </row>
    <row r="1402" spans="1:8" ht="15.75" hidden="1" customHeight="1" x14ac:dyDescent="0.25">
      <c r="A1402" s="205" t="s">
        <v>1824</v>
      </c>
      <c r="B1402" s="206">
        <v>104695</v>
      </c>
      <c r="C1402" s="207" t="s">
        <v>2006</v>
      </c>
      <c r="D1402" s="208" t="s">
        <v>1828</v>
      </c>
      <c r="E1402" s="209">
        <v>12.16</v>
      </c>
      <c r="F1402" s="209">
        <v>26.9</v>
      </c>
      <c r="G1402" s="209">
        <v>39.06</v>
      </c>
      <c r="H1402" s="198"/>
    </row>
    <row r="1403" spans="1:8" ht="15.75" hidden="1" customHeight="1" x14ac:dyDescent="0.25">
      <c r="A1403" s="205" t="s">
        <v>1824</v>
      </c>
      <c r="B1403" s="206">
        <v>90681</v>
      </c>
      <c r="C1403" s="207" t="s">
        <v>2007</v>
      </c>
      <c r="D1403" s="208" t="s">
        <v>1826</v>
      </c>
      <c r="E1403" s="209">
        <v>156.86000000000001</v>
      </c>
      <c r="F1403" s="209">
        <v>26.9</v>
      </c>
      <c r="G1403" s="209">
        <v>183.76</v>
      </c>
      <c r="H1403" s="198"/>
    </row>
    <row r="1404" spans="1:8" ht="15.75" hidden="1" customHeight="1" x14ac:dyDescent="0.25">
      <c r="A1404" s="205" t="s">
        <v>1824</v>
      </c>
      <c r="B1404" s="206">
        <v>90680</v>
      </c>
      <c r="C1404" s="207" t="s">
        <v>2008</v>
      </c>
      <c r="D1404" s="208" t="s">
        <v>1828</v>
      </c>
      <c r="E1404" s="209">
        <v>399.55</v>
      </c>
      <c r="F1404" s="209">
        <v>26.9</v>
      </c>
      <c r="G1404" s="209">
        <v>426.45</v>
      </c>
      <c r="H1404" s="198"/>
    </row>
    <row r="1405" spans="1:8" ht="15.75" hidden="1" customHeight="1" x14ac:dyDescent="0.25">
      <c r="A1405" s="205" t="s">
        <v>1824</v>
      </c>
      <c r="B1405" s="206">
        <v>102875</v>
      </c>
      <c r="C1405" s="207" t="s">
        <v>2009</v>
      </c>
      <c r="D1405" s="208" t="s">
        <v>1826</v>
      </c>
      <c r="E1405" s="209">
        <v>488.42</v>
      </c>
      <c r="F1405" s="209">
        <v>26.89</v>
      </c>
      <c r="G1405" s="209">
        <v>515.30999999999995</v>
      </c>
      <c r="H1405" s="198"/>
    </row>
    <row r="1406" spans="1:8" ht="15.75" hidden="1" customHeight="1" x14ac:dyDescent="0.25">
      <c r="A1406" s="205" t="s">
        <v>1824</v>
      </c>
      <c r="B1406" s="206">
        <v>102874</v>
      </c>
      <c r="C1406" s="207" t="s">
        <v>2010</v>
      </c>
      <c r="D1406" s="208" t="s">
        <v>1828</v>
      </c>
      <c r="E1406" s="209">
        <v>1088.19</v>
      </c>
      <c r="F1406" s="209">
        <v>26.87</v>
      </c>
      <c r="G1406" s="209">
        <v>1115.06</v>
      </c>
      <c r="H1406" s="198"/>
    </row>
    <row r="1407" spans="1:8" ht="15.75" hidden="1" customHeight="1" x14ac:dyDescent="0.25">
      <c r="A1407" s="205" t="s">
        <v>1824</v>
      </c>
      <c r="B1407" s="206">
        <v>102965</v>
      </c>
      <c r="C1407" s="207" t="s">
        <v>2011</v>
      </c>
      <c r="D1407" s="208" t="s">
        <v>1826</v>
      </c>
      <c r="E1407" s="209">
        <v>241.19</v>
      </c>
      <c r="F1407" s="209">
        <v>26.91</v>
      </c>
      <c r="G1407" s="209">
        <v>268.10000000000002</v>
      </c>
      <c r="H1407" s="198"/>
    </row>
    <row r="1408" spans="1:8" ht="15.75" hidden="1" customHeight="1" x14ac:dyDescent="0.25">
      <c r="A1408" s="205" t="s">
        <v>1824</v>
      </c>
      <c r="B1408" s="206">
        <v>102964</v>
      </c>
      <c r="C1408" s="207" t="s">
        <v>2012</v>
      </c>
      <c r="D1408" s="208" t="s">
        <v>1828</v>
      </c>
      <c r="E1408" s="209">
        <v>503.03</v>
      </c>
      <c r="F1408" s="209">
        <v>26.92</v>
      </c>
      <c r="G1408" s="209">
        <v>529.95000000000005</v>
      </c>
      <c r="H1408" s="198"/>
    </row>
    <row r="1409" spans="1:8" ht="15.75" hidden="1" customHeight="1" x14ac:dyDescent="0.25">
      <c r="A1409" s="205" t="s">
        <v>1824</v>
      </c>
      <c r="B1409" s="206">
        <v>95703</v>
      </c>
      <c r="C1409" s="207" t="s">
        <v>2013</v>
      </c>
      <c r="D1409" s="208" t="s">
        <v>1826</v>
      </c>
      <c r="E1409" s="209">
        <v>13.87</v>
      </c>
      <c r="F1409" s="209">
        <v>26.9</v>
      </c>
      <c r="G1409" s="209">
        <v>40.770000000000003</v>
      </c>
      <c r="H1409" s="198"/>
    </row>
    <row r="1410" spans="1:8" ht="15.75" hidden="1" customHeight="1" x14ac:dyDescent="0.25">
      <c r="A1410" s="205" t="s">
        <v>1824</v>
      </c>
      <c r="B1410" s="206">
        <v>95702</v>
      </c>
      <c r="C1410" s="207" t="s">
        <v>2014</v>
      </c>
      <c r="D1410" s="208" t="s">
        <v>1828</v>
      </c>
      <c r="E1410" s="209">
        <v>21.94</v>
      </c>
      <c r="F1410" s="209">
        <v>26.91</v>
      </c>
      <c r="G1410" s="209">
        <v>48.85</v>
      </c>
      <c r="H1410" s="198"/>
    </row>
    <row r="1411" spans="1:8" ht="15.75" hidden="1" customHeight="1" x14ac:dyDescent="0.25">
      <c r="A1411" s="205" t="s">
        <v>1824</v>
      </c>
      <c r="B1411" s="206">
        <v>90626</v>
      </c>
      <c r="C1411" s="207" t="s">
        <v>2015</v>
      </c>
      <c r="D1411" s="208" t="s">
        <v>1826</v>
      </c>
      <c r="E1411" s="209">
        <v>2.59</v>
      </c>
      <c r="F1411" s="209">
        <v>0</v>
      </c>
      <c r="G1411" s="209">
        <v>2.59</v>
      </c>
      <c r="H1411" s="198"/>
    </row>
    <row r="1412" spans="1:8" ht="15.75" hidden="1" customHeight="1" x14ac:dyDescent="0.25">
      <c r="A1412" s="205" t="s">
        <v>1824</v>
      </c>
      <c r="B1412" s="206">
        <v>90625</v>
      </c>
      <c r="C1412" s="207" t="s">
        <v>2016</v>
      </c>
      <c r="D1412" s="208" t="s">
        <v>1828</v>
      </c>
      <c r="E1412" s="209">
        <v>7.45</v>
      </c>
      <c r="F1412" s="209">
        <v>0</v>
      </c>
      <c r="G1412" s="209">
        <v>7.45</v>
      </c>
      <c r="H1412" s="198"/>
    </row>
    <row r="1413" spans="1:8" ht="15.75" hidden="1" customHeight="1" x14ac:dyDescent="0.25">
      <c r="A1413" s="205" t="s">
        <v>1824</v>
      </c>
      <c r="B1413" s="206">
        <v>102881</v>
      </c>
      <c r="C1413" s="207" t="s">
        <v>2017</v>
      </c>
      <c r="D1413" s="208" t="s">
        <v>1826</v>
      </c>
      <c r="E1413" s="209">
        <v>675.57</v>
      </c>
      <c r="F1413" s="209">
        <v>26.9</v>
      </c>
      <c r="G1413" s="209">
        <v>702.47</v>
      </c>
      <c r="H1413" s="198"/>
    </row>
    <row r="1414" spans="1:8" ht="15.75" hidden="1" customHeight="1" x14ac:dyDescent="0.25">
      <c r="A1414" s="205" t="s">
        <v>1824</v>
      </c>
      <c r="B1414" s="206">
        <v>102880</v>
      </c>
      <c r="C1414" s="207" t="s">
        <v>2018</v>
      </c>
      <c r="D1414" s="208" t="s">
        <v>1828</v>
      </c>
      <c r="E1414" s="209">
        <v>1523.03</v>
      </c>
      <c r="F1414" s="209">
        <v>26.96</v>
      </c>
      <c r="G1414" s="209">
        <v>1549.99</v>
      </c>
      <c r="H1414" s="198"/>
    </row>
    <row r="1415" spans="1:8" ht="15.75" hidden="1" customHeight="1" x14ac:dyDescent="0.25">
      <c r="A1415" s="205" t="s">
        <v>1824</v>
      </c>
      <c r="B1415" s="206">
        <v>103225</v>
      </c>
      <c r="C1415" s="207" t="s">
        <v>2019</v>
      </c>
      <c r="D1415" s="208" t="s">
        <v>1826</v>
      </c>
      <c r="E1415" s="209">
        <v>212.22</v>
      </c>
      <c r="F1415" s="209">
        <v>26.9</v>
      </c>
      <c r="G1415" s="209">
        <v>239.12</v>
      </c>
      <c r="H1415" s="198"/>
    </row>
    <row r="1416" spans="1:8" ht="15.75" hidden="1" customHeight="1" x14ac:dyDescent="0.25">
      <c r="A1416" s="205" t="s">
        <v>1824</v>
      </c>
      <c r="B1416" s="206">
        <v>103224</v>
      </c>
      <c r="C1416" s="207" t="s">
        <v>2020</v>
      </c>
      <c r="D1416" s="208" t="s">
        <v>1828</v>
      </c>
      <c r="E1416" s="209">
        <v>450.4</v>
      </c>
      <c r="F1416" s="209">
        <v>26.92</v>
      </c>
      <c r="G1416" s="209">
        <v>477.32</v>
      </c>
      <c r="H1416" s="198"/>
    </row>
    <row r="1417" spans="1:8" ht="15.75" hidden="1" customHeight="1" x14ac:dyDescent="0.25">
      <c r="A1417" s="205" t="s">
        <v>1824</v>
      </c>
      <c r="B1417" s="206">
        <v>103237</v>
      </c>
      <c r="C1417" s="207" t="s">
        <v>2021</v>
      </c>
      <c r="D1417" s="208" t="s">
        <v>1826</v>
      </c>
      <c r="E1417" s="209">
        <v>648.54999999999995</v>
      </c>
      <c r="F1417" s="209">
        <v>26.88</v>
      </c>
      <c r="G1417" s="209">
        <v>675.43</v>
      </c>
      <c r="H1417" s="198"/>
    </row>
    <row r="1418" spans="1:8" ht="15.75" hidden="1" customHeight="1" x14ac:dyDescent="0.25">
      <c r="A1418" s="205" t="s">
        <v>1824</v>
      </c>
      <c r="B1418" s="206">
        <v>103236</v>
      </c>
      <c r="C1418" s="207" t="s">
        <v>2022</v>
      </c>
      <c r="D1418" s="208" t="s">
        <v>1828</v>
      </c>
      <c r="E1418" s="209">
        <v>1419.34</v>
      </c>
      <c r="F1418" s="209">
        <v>26.89</v>
      </c>
      <c r="G1418" s="209">
        <v>1446.23</v>
      </c>
      <c r="H1418" s="198"/>
    </row>
    <row r="1419" spans="1:8" ht="15.75" hidden="1" customHeight="1" x14ac:dyDescent="0.25">
      <c r="A1419" s="205" t="s">
        <v>1824</v>
      </c>
      <c r="B1419" s="206">
        <v>103231</v>
      </c>
      <c r="C1419" s="207" t="s">
        <v>2023</v>
      </c>
      <c r="D1419" s="208" t="s">
        <v>1826</v>
      </c>
      <c r="E1419" s="209">
        <v>476.39</v>
      </c>
      <c r="F1419" s="209">
        <v>26.92</v>
      </c>
      <c r="G1419" s="209">
        <v>503.31</v>
      </c>
      <c r="H1419" s="198"/>
    </row>
    <row r="1420" spans="1:8" ht="15.75" hidden="1" customHeight="1" x14ac:dyDescent="0.25">
      <c r="A1420" s="205" t="s">
        <v>1824</v>
      </c>
      <c r="B1420" s="206">
        <v>103230</v>
      </c>
      <c r="C1420" s="207" t="s">
        <v>2024</v>
      </c>
      <c r="D1420" s="208" t="s">
        <v>1828</v>
      </c>
      <c r="E1420" s="209">
        <v>1029.8699999999999</v>
      </c>
      <c r="F1420" s="209">
        <v>26.94</v>
      </c>
      <c r="G1420" s="209">
        <v>1056.81</v>
      </c>
      <c r="H1420" s="198"/>
    </row>
    <row r="1421" spans="1:8" ht="15.75" hidden="1" customHeight="1" x14ac:dyDescent="0.25">
      <c r="A1421" s="205" t="s">
        <v>1824</v>
      </c>
      <c r="B1421" s="206">
        <v>95621</v>
      </c>
      <c r="C1421" s="207" t="s">
        <v>2025</v>
      </c>
      <c r="D1421" s="208" t="s">
        <v>1826</v>
      </c>
      <c r="E1421" s="209">
        <v>9.51</v>
      </c>
      <c r="F1421" s="209">
        <v>23.8</v>
      </c>
      <c r="G1421" s="209">
        <v>33.31</v>
      </c>
      <c r="H1421" s="198"/>
    </row>
    <row r="1422" spans="1:8" ht="15.75" hidden="1" customHeight="1" x14ac:dyDescent="0.25">
      <c r="A1422" s="205" t="s">
        <v>1824</v>
      </c>
      <c r="B1422" s="206">
        <v>95620</v>
      </c>
      <c r="C1422" s="207" t="s">
        <v>2026</v>
      </c>
      <c r="D1422" s="208" t="s">
        <v>1828</v>
      </c>
      <c r="E1422" s="209">
        <v>10.94</v>
      </c>
      <c r="F1422" s="209">
        <v>23.81</v>
      </c>
      <c r="G1422" s="209">
        <v>34.75</v>
      </c>
      <c r="H1422" s="198"/>
    </row>
    <row r="1423" spans="1:8" ht="15.75" hidden="1" customHeight="1" x14ac:dyDescent="0.25">
      <c r="A1423" s="205" t="s">
        <v>1824</v>
      </c>
      <c r="B1423" s="206">
        <v>102975</v>
      </c>
      <c r="C1423" s="207" t="s">
        <v>2027</v>
      </c>
      <c r="D1423" s="208" t="s">
        <v>1826</v>
      </c>
      <c r="E1423" s="209">
        <v>133.24</v>
      </c>
      <c r="F1423" s="209">
        <v>26.9</v>
      </c>
      <c r="G1423" s="209">
        <v>160.13999999999999</v>
      </c>
      <c r="H1423" s="198"/>
    </row>
    <row r="1424" spans="1:8" ht="15.75" hidden="1" customHeight="1" x14ac:dyDescent="0.25">
      <c r="A1424" s="205" t="s">
        <v>1824</v>
      </c>
      <c r="B1424" s="206">
        <v>102976</v>
      </c>
      <c r="C1424" s="207" t="s">
        <v>2028</v>
      </c>
      <c r="D1424" s="208" t="s">
        <v>1828</v>
      </c>
      <c r="E1424" s="209">
        <v>277.08999999999997</v>
      </c>
      <c r="F1424" s="209">
        <v>26.9</v>
      </c>
      <c r="G1424" s="209">
        <v>303.99</v>
      </c>
      <c r="H1424" s="198"/>
    </row>
    <row r="1425" spans="1:8" ht="15.75" hidden="1" customHeight="1" x14ac:dyDescent="0.25">
      <c r="A1425" s="205" t="s">
        <v>1824</v>
      </c>
      <c r="B1425" s="206">
        <v>90632</v>
      </c>
      <c r="C1425" s="207" t="s">
        <v>2029</v>
      </c>
      <c r="D1425" s="208" t="s">
        <v>1826</v>
      </c>
      <c r="E1425" s="209">
        <v>80.989999999999995</v>
      </c>
      <c r="F1425" s="209">
        <v>26.9</v>
      </c>
      <c r="G1425" s="209">
        <v>107.89</v>
      </c>
      <c r="H1425" s="198"/>
    </row>
    <row r="1426" spans="1:8" ht="15.75" hidden="1" customHeight="1" x14ac:dyDescent="0.25">
      <c r="A1426" s="205" t="s">
        <v>1824</v>
      </c>
      <c r="B1426" s="206">
        <v>90631</v>
      </c>
      <c r="C1426" s="207" t="s">
        <v>2030</v>
      </c>
      <c r="D1426" s="208" t="s">
        <v>1828</v>
      </c>
      <c r="E1426" s="209">
        <v>153.94999999999999</v>
      </c>
      <c r="F1426" s="209">
        <v>26.91</v>
      </c>
      <c r="G1426" s="209">
        <v>180.86</v>
      </c>
      <c r="H1426" s="198"/>
    </row>
    <row r="1427" spans="1:8" ht="15.75" hidden="1" customHeight="1" x14ac:dyDescent="0.25">
      <c r="A1427" s="205" t="s">
        <v>1824</v>
      </c>
      <c r="B1427" s="206">
        <v>95709</v>
      </c>
      <c r="C1427" s="207" t="s">
        <v>2031</v>
      </c>
      <c r="D1427" s="208" t="s">
        <v>1826</v>
      </c>
      <c r="E1427" s="209">
        <v>81.69</v>
      </c>
      <c r="F1427" s="209">
        <v>26.91</v>
      </c>
      <c r="G1427" s="209">
        <v>108.6</v>
      </c>
      <c r="H1427" s="198"/>
    </row>
    <row r="1428" spans="1:8" ht="15.75" hidden="1" customHeight="1" x14ac:dyDescent="0.25">
      <c r="A1428" s="205" t="s">
        <v>1824</v>
      </c>
      <c r="B1428" s="206">
        <v>95708</v>
      </c>
      <c r="C1428" s="207" t="s">
        <v>2032</v>
      </c>
      <c r="D1428" s="208" t="s">
        <v>1828</v>
      </c>
      <c r="E1428" s="209">
        <v>157.24</v>
      </c>
      <c r="F1428" s="209">
        <v>26.9</v>
      </c>
      <c r="G1428" s="209">
        <v>184.14</v>
      </c>
      <c r="H1428" s="198"/>
    </row>
    <row r="1429" spans="1:8" ht="15.75" hidden="1" customHeight="1" x14ac:dyDescent="0.25">
      <c r="A1429" s="205" t="s">
        <v>1824</v>
      </c>
      <c r="B1429" s="206">
        <v>91278</v>
      </c>
      <c r="C1429" s="207" t="s">
        <v>2033</v>
      </c>
      <c r="D1429" s="208" t="s">
        <v>1826</v>
      </c>
      <c r="E1429" s="209">
        <v>0.72</v>
      </c>
      <c r="F1429" s="209">
        <v>0</v>
      </c>
      <c r="G1429" s="209">
        <v>0.72</v>
      </c>
      <c r="H1429" s="198"/>
    </row>
    <row r="1430" spans="1:8" ht="15.75" hidden="1" customHeight="1" x14ac:dyDescent="0.25">
      <c r="A1430" s="205" t="s">
        <v>1824</v>
      </c>
      <c r="B1430" s="206">
        <v>91277</v>
      </c>
      <c r="C1430" s="207" t="s">
        <v>2034</v>
      </c>
      <c r="D1430" s="208" t="s">
        <v>1828</v>
      </c>
      <c r="E1430" s="209">
        <v>11.04</v>
      </c>
      <c r="F1430" s="209">
        <v>0</v>
      </c>
      <c r="G1430" s="209">
        <v>11.04</v>
      </c>
      <c r="H1430" s="198"/>
    </row>
    <row r="1431" spans="1:8" ht="15.75" hidden="1" customHeight="1" x14ac:dyDescent="0.25">
      <c r="A1431" s="205" t="s">
        <v>1824</v>
      </c>
      <c r="B1431" s="206">
        <v>95277</v>
      </c>
      <c r="C1431" s="207" t="s">
        <v>2035</v>
      </c>
      <c r="D1431" s="208" t="s">
        <v>1826</v>
      </c>
      <c r="E1431" s="209">
        <v>0.67</v>
      </c>
      <c r="F1431" s="209">
        <v>0</v>
      </c>
      <c r="G1431" s="209">
        <v>0.67</v>
      </c>
      <c r="H1431" s="198"/>
    </row>
    <row r="1432" spans="1:8" ht="15.75" hidden="1" customHeight="1" x14ac:dyDescent="0.25">
      <c r="A1432" s="205" t="s">
        <v>1824</v>
      </c>
      <c r="B1432" s="206">
        <v>95276</v>
      </c>
      <c r="C1432" s="207" t="s">
        <v>2036</v>
      </c>
      <c r="D1432" s="208" t="s">
        <v>1828</v>
      </c>
      <c r="E1432" s="209">
        <v>2.9</v>
      </c>
      <c r="F1432" s="209">
        <v>0</v>
      </c>
      <c r="G1432" s="209">
        <v>2.9</v>
      </c>
      <c r="H1432" s="198"/>
    </row>
    <row r="1433" spans="1:8" ht="15.75" hidden="1" customHeight="1" x14ac:dyDescent="0.25">
      <c r="A1433" s="205" t="s">
        <v>1824</v>
      </c>
      <c r="B1433" s="206">
        <v>88430</v>
      </c>
      <c r="C1433" s="207" t="s">
        <v>2037</v>
      </c>
      <c r="D1433" s="208" t="s">
        <v>1826</v>
      </c>
      <c r="E1433" s="209">
        <v>6.15</v>
      </c>
      <c r="F1433" s="209">
        <v>0</v>
      </c>
      <c r="G1433" s="209">
        <v>6.15</v>
      </c>
      <c r="H1433" s="198"/>
    </row>
    <row r="1434" spans="1:8" ht="15.75" hidden="1" customHeight="1" x14ac:dyDescent="0.25">
      <c r="A1434" s="205" t="s">
        <v>1824</v>
      </c>
      <c r="B1434" s="206">
        <v>88418</v>
      </c>
      <c r="C1434" s="207" t="s">
        <v>2038</v>
      </c>
      <c r="D1434" s="208" t="s">
        <v>1828</v>
      </c>
      <c r="E1434" s="209">
        <v>13.16</v>
      </c>
      <c r="F1434" s="209">
        <v>0</v>
      </c>
      <c r="G1434" s="209">
        <v>13.16</v>
      </c>
      <c r="H1434" s="198"/>
    </row>
    <row r="1435" spans="1:8" ht="15.75" hidden="1" customHeight="1" x14ac:dyDescent="0.25">
      <c r="A1435" s="205" t="s">
        <v>1824</v>
      </c>
      <c r="B1435" s="206">
        <v>88438</v>
      </c>
      <c r="C1435" s="207" t="s">
        <v>2039</v>
      </c>
      <c r="D1435" s="208" t="s">
        <v>1826</v>
      </c>
      <c r="E1435" s="209">
        <v>8.16</v>
      </c>
      <c r="F1435" s="209">
        <v>0</v>
      </c>
      <c r="G1435" s="209">
        <v>8.16</v>
      </c>
      <c r="H1435" s="198"/>
    </row>
    <row r="1436" spans="1:8" ht="15.75" hidden="1" customHeight="1" x14ac:dyDescent="0.25">
      <c r="A1436" s="205" t="s">
        <v>1824</v>
      </c>
      <c r="B1436" s="206">
        <v>88433</v>
      </c>
      <c r="C1436" s="207" t="s">
        <v>2040</v>
      </c>
      <c r="D1436" s="208" t="s">
        <v>1828</v>
      </c>
      <c r="E1436" s="209">
        <v>17.2</v>
      </c>
      <c r="F1436" s="209">
        <v>0</v>
      </c>
      <c r="G1436" s="209">
        <v>17.2</v>
      </c>
      <c r="H1436" s="198"/>
    </row>
    <row r="1437" spans="1:8" ht="15.75" hidden="1" customHeight="1" x14ac:dyDescent="0.25">
      <c r="A1437" s="205" t="s">
        <v>1824</v>
      </c>
      <c r="B1437" s="206">
        <v>90669</v>
      </c>
      <c r="C1437" s="207" t="s">
        <v>2041</v>
      </c>
      <c r="D1437" s="208" t="s">
        <v>1826</v>
      </c>
      <c r="E1437" s="209">
        <v>8.93</v>
      </c>
      <c r="F1437" s="209">
        <v>0</v>
      </c>
      <c r="G1437" s="209">
        <v>8.93</v>
      </c>
      <c r="H1437" s="198"/>
    </row>
    <row r="1438" spans="1:8" ht="15.75" hidden="1" customHeight="1" x14ac:dyDescent="0.25">
      <c r="A1438" s="205" t="s">
        <v>1824</v>
      </c>
      <c r="B1438" s="206">
        <v>90668</v>
      </c>
      <c r="C1438" s="207" t="s">
        <v>2042</v>
      </c>
      <c r="D1438" s="208" t="s">
        <v>1828</v>
      </c>
      <c r="E1438" s="209">
        <v>33.57</v>
      </c>
      <c r="F1438" s="209">
        <v>0</v>
      </c>
      <c r="G1438" s="209">
        <v>33.57</v>
      </c>
      <c r="H1438" s="198"/>
    </row>
    <row r="1439" spans="1:8" ht="15.75" hidden="1" customHeight="1" x14ac:dyDescent="0.25">
      <c r="A1439" s="205" t="s">
        <v>1824</v>
      </c>
      <c r="B1439" s="206">
        <v>5946</v>
      </c>
      <c r="C1439" s="207" t="s">
        <v>2043</v>
      </c>
      <c r="D1439" s="208" t="s">
        <v>1826</v>
      </c>
      <c r="E1439" s="209">
        <v>88.64</v>
      </c>
      <c r="F1439" s="209">
        <v>26.57</v>
      </c>
      <c r="G1439" s="209">
        <v>115.21</v>
      </c>
      <c r="H1439" s="198"/>
    </row>
    <row r="1440" spans="1:8" ht="15.75" hidden="1" customHeight="1" x14ac:dyDescent="0.25">
      <c r="A1440" s="205" t="s">
        <v>1824</v>
      </c>
      <c r="B1440" s="206">
        <v>5944</v>
      </c>
      <c r="C1440" s="207" t="s">
        <v>2044</v>
      </c>
      <c r="D1440" s="208" t="s">
        <v>1828</v>
      </c>
      <c r="E1440" s="209">
        <v>242.72</v>
      </c>
      <c r="F1440" s="209">
        <v>26.57</v>
      </c>
      <c r="G1440" s="209">
        <v>269.29000000000002</v>
      </c>
      <c r="H1440" s="198"/>
    </row>
    <row r="1441" spans="1:8" ht="15.75" hidden="1" customHeight="1" x14ac:dyDescent="0.25">
      <c r="A1441" s="205" t="s">
        <v>1824</v>
      </c>
      <c r="B1441" s="206">
        <v>5942</v>
      </c>
      <c r="C1441" s="207" t="s">
        <v>2045</v>
      </c>
      <c r="D1441" s="208" t="s">
        <v>1826</v>
      </c>
      <c r="E1441" s="209">
        <v>66.17</v>
      </c>
      <c r="F1441" s="209">
        <v>26.58</v>
      </c>
      <c r="G1441" s="209">
        <v>92.75</v>
      </c>
      <c r="H1441" s="198"/>
    </row>
    <row r="1442" spans="1:8" ht="15.75" hidden="1" customHeight="1" x14ac:dyDescent="0.25">
      <c r="A1442" s="205" t="s">
        <v>1824</v>
      </c>
      <c r="B1442" s="206">
        <v>5940</v>
      </c>
      <c r="C1442" s="207" t="s">
        <v>2046</v>
      </c>
      <c r="D1442" s="208" t="s">
        <v>1828</v>
      </c>
      <c r="E1442" s="209">
        <v>171.96</v>
      </c>
      <c r="F1442" s="209">
        <v>26.58</v>
      </c>
      <c r="G1442" s="209">
        <v>198.54</v>
      </c>
      <c r="H1442" s="198"/>
    </row>
    <row r="1443" spans="1:8" ht="15.75" hidden="1" customHeight="1" x14ac:dyDescent="0.25">
      <c r="A1443" s="205" t="s">
        <v>1824</v>
      </c>
      <c r="B1443" s="206">
        <v>89251</v>
      </c>
      <c r="C1443" s="207" t="s">
        <v>2047</v>
      </c>
      <c r="D1443" s="208" t="s">
        <v>1826</v>
      </c>
      <c r="E1443" s="209">
        <v>313.86</v>
      </c>
      <c r="F1443" s="209">
        <v>26.58</v>
      </c>
      <c r="G1443" s="209">
        <v>340.44</v>
      </c>
      <c r="H1443" s="198"/>
    </row>
    <row r="1444" spans="1:8" ht="15.75" hidden="1" customHeight="1" x14ac:dyDescent="0.25">
      <c r="A1444" s="205" t="s">
        <v>1824</v>
      </c>
      <c r="B1444" s="206">
        <v>89250</v>
      </c>
      <c r="C1444" s="207" t="s">
        <v>2048</v>
      </c>
      <c r="D1444" s="208" t="s">
        <v>1828</v>
      </c>
      <c r="E1444" s="209">
        <v>1129.93</v>
      </c>
      <c r="F1444" s="209">
        <v>26.59</v>
      </c>
      <c r="G1444" s="209">
        <v>1156.52</v>
      </c>
      <c r="H1444" s="198"/>
    </row>
    <row r="1445" spans="1:8" ht="15.75" hidden="1" customHeight="1" x14ac:dyDescent="0.25">
      <c r="A1445" s="205" t="s">
        <v>1824</v>
      </c>
      <c r="B1445" s="206">
        <v>5681</v>
      </c>
      <c r="C1445" s="207" t="s">
        <v>2049</v>
      </c>
      <c r="D1445" s="208" t="s">
        <v>1826</v>
      </c>
      <c r="E1445" s="209">
        <v>41.31</v>
      </c>
      <c r="F1445" s="209">
        <v>28.13</v>
      </c>
      <c r="G1445" s="209">
        <v>69.44</v>
      </c>
      <c r="H1445" s="198"/>
    </row>
    <row r="1446" spans="1:8" ht="15.75" hidden="1" customHeight="1" x14ac:dyDescent="0.25">
      <c r="A1446" s="205" t="s">
        <v>1824</v>
      </c>
      <c r="B1446" s="206">
        <v>5680</v>
      </c>
      <c r="C1446" s="207" t="s">
        <v>2050</v>
      </c>
      <c r="D1446" s="208" t="s">
        <v>1828</v>
      </c>
      <c r="E1446" s="209">
        <v>122.62</v>
      </c>
      <c r="F1446" s="209">
        <v>28.14</v>
      </c>
      <c r="G1446" s="209">
        <v>150.76</v>
      </c>
      <c r="H1446" s="198"/>
    </row>
    <row r="1447" spans="1:8" ht="15.75" hidden="1" customHeight="1" x14ac:dyDescent="0.25">
      <c r="A1447" s="205" t="s">
        <v>1824</v>
      </c>
      <c r="B1447" s="206">
        <v>5877</v>
      </c>
      <c r="C1447" s="207" t="s">
        <v>2051</v>
      </c>
      <c r="D1447" s="208" t="s">
        <v>1826</v>
      </c>
      <c r="E1447" s="209">
        <v>44.13</v>
      </c>
      <c r="F1447" s="209">
        <v>28.13</v>
      </c>
      <c r="G1447" s="209">
        <v>72.260000000000005</v>
      </c>
      <c r="H1447" s="198"/>
    </row>
    <row r="1448" spans="1:8" ht="15.75" hidden="1" customHeight="1" x14ac:dyDescent="0.25">
      <c r="A1448" s="205" t="s">
        <v>1824</v>
      </c>
      <c r="B1448" s="206">
        <v>5875</v>
      </c>
      <c r="C1448" s="207" t="s">
        <v>2052</v>
      </c>
      <c r="D1448" s="208" t="s">
        <v>1828</v>
      </c>
      <c r="E1448" s="209">
        <v>123.94</v>
      </c>
      <c r="F1448" s="209">
        <v>28.13</v>
      </c>
      <c r="G1448" s="209">
        <v>152.07</v>
      </c>
      <c r="H1448" s="198"/>
    </row>
    <row r="1449" spans="1:8" ht="15.75" hidden="1" customHeight="1" x14ac:dyDescent="0.25">
      <c r="A1449" s="205" t="s">
        <v>1824</v>
      </c>
      <c r="B1449" s="206">
        <v>5679</v>
      </c>
      <c r="C1449" s="207" t="s">
        <v>2053</v>
      </c>
      <c r="D1449" s="208" t="s">
        <v>1826</v>
      </c>
      <c r="E1449" s="209">
        <v>45.43</v>
      </c>
      <c r="F1449" s="209">
        <v>28.14</v>
      </c>
      <c r="G1449" s="209">
        <v>73.569999999999993</v>
      </c>
      <c r="H1449" s="198"/>
    </row>
    <row r="1450" spans="1:8" ht="15.75" hidden="1" customHeight="1" x14ac:dyDescent="0.25">
      <c r="A1450" s="205" t="s">
        <v>1824</v>
      </c>
      <c r="B1450" s="206">
        <v>5678</v>
      </c>
      <c r="C1450" s="207" t="s">
        <v>2054</v>
      </c>
      <c r="D1450" s="208" t="s">
        <v>1828</v>
      </c>
      <c r="E1450" s="209">
        <v>136.35</v>
      </c>
      <c r="F1450" s="209">
        <v>28.14</v>
      </c>
      <c r="G1450" s="209">
        <v>164.49</v>
      </c>
      <c r="H1450" s="198"/>
    </row>
    <row r="1451" spans="1:8" ht="15.75" hidden="1" customHeight="1" x14ac:dyDescent="0.25">
      <c r="A1451" s="205" t="s">
        <v>1824</v>
      </c>
      <c r="B1451" s="206">
        <v>6880</v>
      </c>
      <c r="C1451" s="207" t="s">
        <v>2055</v>
      </c>
      <c r="D1451" s="208" t="s">
        <v>1826</v>
      </c>
      <c r="E1451" s="209">
        <v>75.09</v>
      </c>
      <c r="F1451" s="209">
        <v>22.08</v>
      </c>
      <c r="G1451" s="209">
        <v>97.17</v>
      </c>
      <c r="H1451" s="198"/>
    </row>
    <row r="1452" spans="1:8" ht="15.75" hidden="1" customHeight="1" x14ac:dyDescent="0.25">
      <c r="A1452" s="205" t="s">
        <v>1824</v>
      </c>
      <c r="B1452" s="206">
        <v>6879</v>
      </c>
      <c r="C1452" s="207" t="s">
        <v>2056</v>
      </c>
      <c r="D1452" s="208" t="s">
        <v>1828</v>
      </c>
      <c r="E1452" s="209">
        <v>209.33</v>
      </c>
      <c r="F1452" s="209">
        <v>22.1</v>
      </c>
      <c r="G1452" s="209">
        <v>231.43</v>
      </c>
      <c r="H1452" s="198"/>
    </row>
    <row r="1453" spans="1:8" ht="15.75" hidden="1" customHeight="1" x14ac:dyDescent="0.25">
      <c r="A1453" s="205" t="s">
        <v>1824</v>
      </c>
      <c r="B1453" s="206">
        <v>96464</v>
      </c>
      <c r="C1453" s="207" t="s">
        <v>2057</v>
      </c>
      <c r="D1453" s="208" t="s">
        <v>1826</v>
      </c>
      <c r="E1453" s="209">
        <v>79.2</v>
      </c>
      <c r="F1453" s="209">
        <v>22.08</v>
      </c>
      <c r="G1453" s="209">
        <v>101.28</v>
      </c>
      <c r="H1453" s="198"/>
    </row>
    <row r="1454" spans="1:8" ht="15.75" hidden="1" customHeight="1" x14ac:dyDescent="0.25">
      <c r="A1454" s="205" t="s">
        <v>1824</v>
      </c>
      <c r="B1454" s="206">
        <v>96463</v>
      </c>
      <c r="C1454" s="207" t="s">
        <v>2058</v>
      </c>
      <c r="D1454" s="208" t="s">
        <v>1828</v>
      </c>
      <c r="E1454" s="209">
        <v>216.9</v>
      </c>
      <c r="F1454" s="209">
        <v>22.08</v>
      </c>
      <c r="G1454" s="209">
        <v>238.98</v>
      </c>
      <c r="H1454" s="198"/>
    </row>
    <row r="1455" spans="1:8" ht="15.75" hidden="1" customHeight="1" x14ac:dyDescent="0.25">
      <c r="A1455" s="205" t="s">
        <v>1824</v>
      </c>
      <c r="B1455" s="206">
        <v>7050</v>
      </c>
      <c r="C1455" s="207" t="s">
        <v>2059</v>
      </c>
      <c r="D1455" s="208" t="s">
        <v>1826</v>
      </c>
      <c r="E1455" s="209">
        <v>67.599999999999994</v>
      </c>
      <c r="F1455" s="209">
        <v>22.08</v>
      </c>
      <c r="G1455" s="209">
        <v>89.68</v>
      </c>
      <c r="H1455" s="198"/>
    </row>
    <row r="1456" spans="1:8" ht="15.75" hidden="1" customHeight="1" x14ac:dyDescent="0.25">
      <c r="A1456" s="205" t="s">
        <v>1824</v>
      </c>
      <c r="B1456" s="206">
        <v>7049</v>
      </c>
      <c r="C1456" s="207" t="s">
        <v>2060</v>
      </c>
      <c r="D1456" s="208" t="s">
        <v>1828</v>
      </c>
      <c r="E1456" s="209">
        <v>220.66</v>
      </c>
      <c r="F1456" s="209">
        <v>22.08</v>
      </c>
      <c r="G1456" s="209">
        <v>242.74</v>
      </c>
      <c r="H1456" s="198"/>
    </row>
    <row r="1457" spans="1:8" ht="15.75" hidden="1" customHeight="1" x14ac:dyDescent="0.25">
      <c r="A1457" s="205" t="s">
        <v>1824</v>
      </c>
      <c r="B1457" s="206">
        <v>95632</v>
      </c>
      <c r="C1457" s="207" t="s">
        <v>2061</v>
      </c>
      <c r="D1457" s="208" t="s">
        <v>1826</v>
      </c>
      <c r="E1457" s="209">
        <v>72.2</v>
      </c>
      <c r="F1457" s="209">
        <v>22.09</v>
      </c>
      <c r="G1457" s="209">
        <v>94.29</v>
      </c>
      <c r="H1457" s="198"/>
    </row>
    <row r="1458" spans="1:8" ht="15.75" hidden="1" customHeight="1" x14ac:dyDescent="0.25">
      <c r="A1458" s="205" t="s">
        <v>1824</v>
      </c>
      <c r="B1458" s="206">
        <v>95631</v>
      </c>
      <c r="C1458" s="207" t="s">
        <v>2062</v>
      </c>
      <c r="D1458" s="208" t="s">
        <v>1828</v>
      </c>
      <c r="E1458" s="209">
        <v>229.9</v>
      </c>
      <c r="F1458" s="209">
        <v>22.09</v>
      </c>
      <c r="G1458" s="209">
        <v>251.99</v>
      </c>
      <c r="H1458" s="198"/>
    </row>
    <row r="1459" spans="1:8" ht="15.75" hidden="1" customHeight="1" x14ac:dyDescent="0.25">
      <c r="A1459" s="205" t="s">
        <v>1824</v>
      </c>
      <c r="B1459" s="206">
        <v>5685</v>
      </c>
      <c r="C1459" s="207" t="s">
        <v>2063</v>
      </c>
      <c r="D1459" s="208" t="s">
        <v>1826</v>
      </c>
      <c r="E1459" s="209">
        <v>50.94</v>
      </c>
      <c r="F1459" s="209">
        <v>22.09</v>
      </c>
      <c r="G1459" s="209">
        <v>73.03</v>
      </c>
      <c r="H1459" s="198"/>
    </row>
    <row r="1460" spans="1:8" ht="15.75" hidden="1" customHeight="1" x14ac:dyDescent="0.25">
      <c r="A1460" s="205" t="s">
        <v>1824</v>
      </c>
      <c r="B1460" s="206">
        <v>5684</v>
      </c>
      <c r="C1460" s="207" t="s">
        <v>2064</v>
      </c>
      <c r="D1460" s="208" t="s">
        <v>1828</v>
      </c>
      <c r="E1460" s="209">
        <v>153.68</v>
      </c>
      <c r="F1460" s="209">
        <v>22.09</v>
      </c>
      <c r="G1460" s="209">
        <v>175.77</v>
      </c>
      <c r="H1460" s="198"/>
    </row>
    <row r="1461" spans="1:8" ht="15.75" hidden="1" customHeight="1" x14ac:dyDescent="0.25">
      <c r="A1461" s="205" t="s">
        <v>1824</v>
      </c>
      <c r="B1461" s="206">
        <v>93244</v>
      </c>
      <c r="C1461" s="207" t="s">
        <v>2065</v>
      </c>
      <c r="D1461" s="208" t="s">
        <v>1826</v>
      </c>
      <c r="E1461" s="209">
        <v>52.72</v>
      </c>
      <c r="F1461" s="209">
        <v>22.08</v>
      </c>
      <c r="G1461" s="209">
        <v>74.8</v>
      </c>
      <c r="H1461" s="198"/>
    </row>
    <row r="1462" spans="1:8" ht="15.75" hidden="1" customHeight="1" x14ac:dyDescent="0.25">
      <c r="A1462" s="205" t="s">
        <v>1824</v>
      </c>
      <c r="B1462" s="206">
        <v>73436</v>
      </c>
      <c r="C1462" s="207" t="s">
        <v>2066</v>
      </c>
      <c r="D1462" s="208" t="s">
        <v>1828</v>
      </c>
      <c r="E1462" s="209">
        <v>157.13</v>
      </c>
      <c r="F1462" s="209">
        <v>22.09</v>
      </c>
      <c r="G1462" s="209">
        <v>179.22</v>
      </c>
      <c r="H1462" s="198"/>
    </row>
    <row r="1463" spans="1:8" ht="15.75" hidden="1" customHeight="1" x14ac:dyDescent="0.25">
      <c r="A1463" s="205" t="s">
        <v>1824</v>
      </c>
      <c r="B1463" s="206">
        <v>5881</v>
      </c>
      <c r="C1463" s="207" t="s">
        <v>2067</v>
      </c>
      <c r="D1463" s="208" t="s">
        <v>1826</v>
      </c>
      <c r="E1463" s="209">
        <v>66.66</v>
      </c>
      <c r="F1463" s="209">
        <v>22.08</v>
      </c>
      <c r="G1463" s="209">
        <v>88.74</v>
      </c>
      <c r="H1463" s="198"/>
    </row>
    <row r="1464" spans="1:8" ht="15.75" hidden="1" customHeight="1" x14ac:dyDescent="0.25">
      <c r="A1464" s="205" t="s">
        <v>1824</v>
      </c>
      <c r="B1464" s="206">
        <v>5879</v>
      </c>
      <c r="C1464" s="207" t="s">
        <v>2068</v>
      </c>
      <c r="D1464" s="208" t="s">
        <v>1828</v>
      </c>
      <c r="E1464" s="209">
        <v>137.1</v>
      </c>
      <c r="F1464" s="209">
        <v>22.09</v>
      </c>
      <c r="G1464" s="209">
        <v>159.19</v>
      </c>
      <c r="H1464" s="198"/>
    </row>
    <row r="1465" spans="1:8" ht="15.75" hidden="1" customHeight="1" x14ac:dyDescent="0.25">
      <c r="A1465" s="205" t="s">
        <v>1824</v>
      </c>
      <c r="B1465" s="206">
        <v>5865</v>
      </c>
      <c r="C1465" s="207" t="s">
        <v>2069</v>
      </c>
      <c r="D1465" s="208" t="s">
        <v>1826</v>
      </c>
      <c r="E1465" s="209">
        <v>12.93</v>
      </c>
      <c r="F1465" s="209">
        <v>0</v>
      </c>
      <c r="G1465" s="209">
        <v>12.93</v>
      </c>
      <c r="H1465" s="198"/>
    </row>
    <row r="1466" spans="1:8" ht="15.75" hidden="1" customHeight="1" x14ac:dyDescent="0.25">
      <c r="A1466" s="205" t="s">
        <v>1824</v>
      </c>
      <c r="B1466" s="206">
        <v>5863</v>
      </c>
      <c r="C1466" s="207" t="s">
        <v>2070</v>
      </c>
      <c r="D1466" s="208" t="s">
        <v>1828</v>
      </c>
      <c r="E1466" s="209">
        <v>25.69</v>
      </c>
      <c r="F1466" s="209">
        <v>0</v>
      </c>
      <c r="G1466" s="209">
        <v>25.69</v>
      </c>
      <c r="H1466" s="198"/>
    </row>
    <row r="1467" spans="1:8" ht="15.75" hidden="1" customHeight="1" x14ac:dyDescent="0.25">
      <c r="A1467" s="205" t="s">
        <v>1824</v>
      </c>
      <c r="B1467" s="206">
        <v>5869</v>
      </c>
      <c r="C1467" s="207" t="s">
        <v>2071</v>
      </c>
      <c r="D1467" s="208" t="s">
        <v>1826</v>
      </c>
      <c r="E1467" s="209">
        <v>60.72</v>
      </c>
      <c r="F1467" s="209">
        <v>22.09</v>
      </c>
      <c r="G1467" s="209">
        <v>82.81</v>
      </c>
      <c r="H1467" s="198"/>
    </row>
    <row r="1468" spans="1:8" ht="15.75" hidden="1" customHeight="1" x14ac:dyDescent="0.25">
      <c r="A1468" s="205" t="s">
        <v>1824</v>
      </c>
      <c r="B1468" s="206">
        <v>5867</v>
      </c>
      <c r="C1468" s="207" t="s">
        <v>2072</v>
      </c>
      <c r="D1468" s="208" t="s">
        <v>1828</v>
      </c>
      <c r="E1468" s="209">
        <v>155.88999999999999</v>
      </c>
      <c r="F1468" s="209">
        <v>22.08</v>
      </c>
      <c r="G1468" s="209">
        <v>177.97</v>
      </c>
      <c r="H1468" s="198"/>
    </row>
    <row r="1469" spans="1:8" ht="15.75" hidden="1" customHeight="1" x14ac:dyDescent="0.25">
      <c r="A1469" s="205" t="s">
        <v>1824</v>
      </c>
      <c r="B1469" s="206">
        <v>95271</v>
      </c>
      <c r="C1469" s="207" t="s">
        <v>2073</v>
      </c>
      <c r="D1469" s="208" t="s">
        <v>1826</v>
      </c>
      <c r="E1469" s="209">
        <v>0.67</v>
      </c>
      <c r="F1469" s="209">
        <v>0</v>
      </c>
      <c r="G1469" s="209">
        <v>0.67</v>
      </c>
      <c r="H1469" s="198"/>
    </row>
    <row r="1470" spans="1:8" ht="15.75" hidden="1" customHeight="1" x14ac:dyDescent="0.25">
      <c r="A1470" s="205" t="s">
        <v>1824</v>
      </c>
      <c r="B1470" s="206">
        <v>95270</v>
      </c>
      <c r="C1470" s="207" t="s">
        <v>2074</v>
      </c>
      <c r="D1470" s="208" t="s">
        <v>1828</v>
      </c>
      <c r="E1470" s="209">
        <v>10.83</v>
      </c>
      <c r="F1470" s="209">
        <v>0</v>
      </c>
      <c r="G1470" s="209">
        <v>10.83</v>
      </c>
      <c r="H1470" s="198"/>
    </row>
    <row r="1471" spans="1:8" ht="15.75" hidden="1" customHeight="1" x14ac:dyDescent="0.25">
      <c r="A1471" s="205" t="s">
        <v>1824</v>
      </c>
      <c r="B1471" s="206">
        <v>91693</v>
      </c>
      <c r="C1471" s="207" t="s">
        <v>2075</v>
      </c>
      <c r="D1471" s="208" t="s">
        <v>1826</v>
      </c>
      <c r="E1471" s="209">
        <v>8.19</v>
      </c>
      <c r="F1471" s="209">
        <v>26.91</v>
      </c>
      <c r="G1471" s="209">
        <v>35.1</v>
      </c>
      <c r="H1471" s="198"/>
    </row>
    <row r="1472" spans="1:8" ht="15.75" hidden="1" customHeight="1" x14ac:dyDescent="0.25">
      <c r="A1472" s="205" t="s">
        <v>1824</v>
      </c>
      <c r="B1472" s="206">
        <v>91692</v>
      </c>
      <c r="C1472" s="207" t="s">
        <v>2076</v>
      </c>
      <c r="D1472" s="208" t="s">
        <v>1828</v>
      </c>
      <c r="E1472" s="209">
        <v>9.2200000000000006</v>
      </c>
      <c r="F1472" s="209">
        <v>26.9</v>
      </c>
      <c r="G1472" s="209">
        <v>36.119999999999997</v>
      </c>
      <c r="H1472" s="198"/>
    </row>
    <row r="1473" spans="1:8" ht="15.75" hidden="1" customHeight="1" x14ac:dyDescent="0.25">
      <c r="A1473" s="205" t="s">
        <v>1824</v>
      </c>
      <c r="B1473" s="206">
        <v>95140</v>
      </c>
      <c r="C1473" s="207" t="s">
        <v>2077</v>
      </c>
      <c r="D1473" s="208" t="s">
        <v>1826</v>
      </c>
      <c r="E1473" s="209">
        <v>0.04</v>
      </c>
      <c r="F1473" s="209">
        <v>0</v>
      </c>
      <c r="G1473" s="209">
        <v>0.04</v>
      </c>
      <c r="H1473" s="198"/>
    </row>
    <row r="1474" spans="1:8" ht="15.75" hidden="1" customHeight="1" x14ac:dyDescent="0.25">
      <c r="A1474" s="205" t="s">
        <v>1824</v>
      </c>
      <c r="B1474" s="206">
        <v>95139</v>
      </c>
      <c r="C1474" s="207" t="s">
        <v>2078</v>
      </c>
      <c r="D1474" s="208" t="s">
        <v>1828</v>
      </c>
      <c r="E1474" s="209">
        <v>0.06</v>
      </c>
      <c r="F1474" s="209">
        <v>0</v>
      </c>
      <c r="G1474" s="209">
        <v>0.06</v>
      </c>
      <c r="H1474" s="198"/>
    </row>
    <row r="1475" spans="1:8" ht="15.75" hidden="1" customHeight="1" x14ac:dyDescent="0.25">
      <c r="A1475" s="205" t="s">
        <v>1824</v>
      </c>
      <c r="B1475" s="206">
        <v>89027</v>
      </c>
      <c r="C1475" s="207" t="s">
        <v>2079</v>
      </c>
      <c r="D1475" s="208" t="s">
        <v>1826</v>
      </c>
      <c r="E1475" s="209">
        <v>5.14</v>
      </c>
      <c r="F1475" s="209">
        <v>0</v>
      </c>
      <c r="G1475" s="209">
        <v>5.14</v>
      </c>
      <c r="H1475" s="198"/>
    </row>
    <row r="1476" spans="1:8" ht="15.75" hidden="1" customHeight="1" x14ac:dyDescent="0.25">
      <c r="A1476" s="205" t="s">
        <v>1824</v>
      </c>
      <c r="B1476" s="206">
        <v>89028</v>
      </c>
      <c r="C1476" s="207" t="s">
        <v>2080</v>
      </c>
      <c r="D1476" s="208" t="s">
        <v>1828</v>
      </c>
      <c r="E1476" s="209">
        <v>190.79</v>
      </c>
      <c r="F1476" s="209">
        <v>0</v>
      </c>
      <c r="G1476" s="209">
        <v>190.79</v>
      </c>
      <c r="H1476" s="198"/>
    </row>
    <row r="1477" spans="1:8" ht="15.75" hidden="1" customHeight="1" x14ac:dyDescent="0.25">
      <c r="A1477" s="205" t="s">
        <v>1824</v>
      </c>
      <c r="B1477" s="206">
        <v>7031</v>
      </c>
      <c r="C1477" s="207" t="s">
        <v>2081</v>
      </c>
      <c r="D1477" s="208" t="s">
        <v>1826</v>
      </c>
      <c r="E1477" s="209">
        <v>6.33</v>
      </c>
      <c r="F1477" s="209">
        <v>0</v>
      </c>
      <c r="G1477" s="209">
        <v>6.33</v>
      </c>
      <c r="H1477" s="198"/>
    </row>
    <row r="1478" spans="1:8" ht="15.75" hidden="1" customHeight="1" x14ac:dyDescent="0.25">
      <c r="A1478" s="205" t="s">
        <v>1824</v>
      </c>
      <c r="B1478" s="206">
        <v>7030</v>
      </c>
      <c r="C1478" s="207" t="s">
        <v>2082</v>
      </c>
      <c r="D1478" s="208" t="s">
        <v>1828</v>
      </c>
      <c r="E1478" s="209">
        <v>283.52</v>
      </c>
      <c r="F1478" s="209">
        <v>0</v>
      </c>
      <c r="G1478" s="209">
        <v>283.52</v>
      </c>
      <c r="H1478" s="198"/>
    </row>
    <row r="1479" spans="1:8" ht="15.75" hidden="1" customHeight="1" x14ac:dyDescent="0.25">
      <c r="A1479" s="205" t="s">
        <v>1824</v>
      </c>
      <c r="B1479" s="206">
        <v>104092</v>
      </c>
      <c r="C1479" s="207" t="s">
        <v>2083</v>
      </c>
      <c r="D1479" s="208" t="s">
        <v>1826</v>
      </c>
      <c r="E1479" s="209">
        <v>7.0000000000000007E-2</v>
      </c>
      <c r="F1479" s="209">
        <v>0</v>
      </c>
      <c r="G1479" s="209">
        <v>7.0000000000000007E-2</v>
      </c>
      <c r="H1479" s="198"/>
    </row>
    <row r="1480" spans="1:8" ht="15.75" hidden="1" customHeight="1" x14ac:dyDescent="0.25">
      <c r="A1480" s="205" t="s">
        <v>1824</v>
      </c>
      <c r="B1480" s="206">
        <v>104091</v>
      </c>
      <c r="C1480" s="207" t="s">
        <v>2084</v>
      </c>
      <c r="D1480" s="208" t="s">
        <v>1828</v>
      </c>
      <c r="E1480" s="209">
        <v>0.62</v>
      </c>
      <c r="F1480" s="209">
        <v>0</v>
      </c>
      <c r="G1480" s="209">
        <v>0.62</v>
      </c>
      <c r="H1480" s="198"/>
    </row>
    <row r="1481" spans="1:8" ht="15.75" hidden="1" customHeight="1" x14ac:dyDescent="0.25">
      <c r="A1481" s="205" t="s">
        <v>1824</v>
      </c>
      <c r="B1481" s="206">
        <v>104098</v>
      </c>
      <c r="C1481" s="207" t="s">
        <v>2085</v>
      </c>
      <c r="D1481" s="208" t="s">
        <v>1826</v>
      </c>
      <c r="E1481" s="209">
        <v>0.1</v>
      </c>
      <c r="F1481" s="209">
        <v>0</v>
      </c>
      <c r="G1481" s="209">
        <v>0.1</v>
      </c>
      <c r="H1481" s="198"/>
    </row>
    <row r="1482" spans="1:8" ht="15.75" hidden="1" customHeight="1" x14ac:dyDescent="0.25">
      <c r="A1482" s="205" t="s">
        <v>1824</v>
      </c>
      <c r="B1482" s="206">
        <v>104097</v>
      </c>
      <c r="C1482" s="207" t="s">
        <v>2086</v>
      </c>
      <c r="D1482" s="208" t="s">
        <v>1828</v>
      </c>
      <c r="E1482" s="209">
        <v>0.86</v>
      </c>
      <c r="F1482" s="209">
        <v>0</v>
      </c>
      <c r="G1482" s="209">
        <v>0.86</v>
      </c>
      <c r="H1482" s="198"/>
    </row>
    <row r="1483" spans="1:8" ht="15.75" hidden="1" customHeight="1" x14ac:dyDescent="0.25">
      <c r="A1483" s="205" t="s">
        <v>1824</v>
      </c>
      <c r="B1483" s="206">
        <v>89031</v>
      </c>
      <c r="C1483" s="207" t="s">
        <v>2087</v>
      </c>
      <c r="D1483" s="208" t="s">
        <v>1826</v>
      </c>
      <c r="E1483" s="209">
        <v>56.12</v>
      </c>
      <c r="F1483" s="209">
        <v>26.9</v>
      </c>
      <c r="G1483" s="209">
        <v>83.02</v>
      </c>
      <c r="H1483" s="198"/>
    </row>
    <row r="1484" spans="1:8" ht="15.75" hidden="1" customHeight="1" x14ac:dyDescent="0.25">
      <c r="A1484" s="205" t="s">
        <v>1824</v>
      </c>
      <c r="B1484" s="206">
        <v>89032</v>
      </c>
      <c r="C1484" s="207" t="s">
        <v>2088</v>
      </c>
      <c r="D1484" s="208" t="s">
        <v>1828</v>
      </c>
      <c r="E1484" s="209">
        <v>181.81</v>
      </c>
      <c r="F1484" s="209">
        <v>26.9</v>
      </c>
      <c r="G1484" s="209">
        <v>208.71</v>
      </c>
      <c r="H1484" s="198"/>
    </row>
    <row r="1485" spans="1:8" ht="15.75" hidden="1" customHeight="1" x14ac:dyDescent="0.25">
      <c r="A1485" s="205" t="s">
        <v>1824</v>
      </c>
      <c r="B1485" s="206">
        <v>88844</v>
      </c>
      <c r="C1485" s="207" t="s">
        <v>2089</v>
      </c>
      <c r="D1485" s="208" t="s">
        <v>1826</v>
      </c>
      <c r="E1485" s="209">
        <v>58.36</v>
      </c>
      <c r="F1485" s="209">
        <v>26.91</v>
      </c>
      <c r="G1485" s="209">
        <v>85.27</v>
      </c>
      <c r="H1485" s="198"/>
    </row>
    <row r="1486" spans="1:8" ht="15.75" hidden="1" customHeight="1" x14ac:dyDescent="0.25">
      <c r="A1486" s="205" t="s">
        <v>1824</v>
      </c>
      <c r="B1486" s="206">
        <v>88843</v>
      </c>
      <c r="C1486" s="207" t="s">
        <v>2090</v>
      </c>
      <c r="D1486" s="208" t="s">
        <v>1828</v>
      </c>
      <c r="E1486" s="209">
        <v>203.42</v>
      </c>
      <c r="F1486" s="209">
        <v>26.9</v>
      </c>
      <c r="G1486" s="209">
        <v>230.32</v>
      </c>
      <c r="H1486" s="198"/>
    </row>
    <row r="1487" spans="1:8" ht="15.75" hidden="1" customHeight="1" x14ac:dyDescent="0.25">
      <c r="A1487" s="205" t="s">
        <v>1824</v>
      </c>
      <c r="B1487" s="206">
        <v>5853</v>
      </c>
      <c r="C1487" s="207" t="s">
        <v>2091</v>
      </c>
      <c r="D1487" s="208" t="s">
        <v>1826</v>
      </c>
      <c r="E1487" s="209">
        <v>70.349999999999994</v>
      </c>
      <c r="F1487" s="209">
        <v>26.91</v>
      </c>
      <c r="G1487" s="209">
        <v>97.26</v>
      </c>
      <c r="H1487" s="198"/>
    </row>
    <row r="1488" spans="1:8" ht="15.75" hidden="1" customHeight="1" x14ac:dyDescent="0.25">
      <c r="A1488" s="205" t="s">
        <v>1824</v>
      </c>
      <c r="B1488" s="206">
        <v>5851</v>
      </c>
      <c r="C1488" s="207" t="s">
        <v>2092</v>
      </c>
      <c r="D1488" s="208" t="s">
        <v>1828</v>
      </c>
      <c r="E1488" s="209">
        <v>246.83</v>
      </c>
      <c r="F1488" s="209">
        <v>26.9</v>
      </c>
      <c r="G1488" s="209">
        <v>273.73</v>
      </c>
      <c r="H1488" s="198"/>
    </row>
    <row r="1489" spans="1:8" ht="15.75" hidden="1" customHeight="1" x14ac:dyDescent="0.25">
      <c r="A1489" s="205" t="s">
        <v>1824</v>
      </c>
      <c r="B1489" s="206">
        <v>5849</v>
      </c>
      <c r="C1489" s="207" t="s">
        <v>2093</v>
      </c>
      <c r="D1489" s="208" t="s">
        <v>1826</v>
      </c>
      <c r="E1489" s="209">
        <v>69.97</v>
      </c>
      <c r="F1489" s="209">
        <v>26.91</v>
      </c>
      <c r="G1489" s="209">
        <v>96.88</v>
      </c>
      <c r="H1489" s="198"/>
    </row>
    <row r="1490" spans="1:8" ht="15.75" hidden="1" customHeight="1" x14ac:dyDescent="0.25">
      <c r="A1490" s="205" t="s">
        <v>1824</v>
      </c>
      <c r="B1490" s="206">
        <v>5847</v>
      </c>
      <c r="C1490" s="207" t="s">
        <v>2094</v>
      </c>
      <c r="D1490" s="208" t="s">
        <v>1828</v>
      </c>
      <c r="E1490" s="209">
        <v>259.19</v>
      </c>
      <c r="F1490" s="209">
        <v>26.92</v>
      </c>
      <c r="G1490" s="209">
        <v>286.11</v>
      </c>
      <c r="H1490" s="198"/>
    </row>
    <row r="1491" spans="1:8" ht="15.75" hidden="1" customHeight="1" x14ac:dyDescent="0.25">
      <c r="A1491" s="205" t="s">
        <v>1824</v>
      </c>
      <c r="B1491" s="206">
        <v>5857</v>
      </c>
      <c r="C1491" s="207" t="s">
        <v>2095</v>
      </c>
      <c r="D1491" s="208" t="s">
        <v>1826</v>
      </c>
      <c r="E1491" s="209">
        <v>212.06</v>
      </c>
      <c r="F1491" s="209">
        <v>26.9</v>
      </c>
      <c r="G1491" s="209">
        <v>238.96</v>
      </c>
      <c r="H1491" s="198"/>
    </row>
    <row r="1492" spans="1:8" ht="15.75" hidden="1" customHeight="1" x14ac:dyDescent="0.25">
      <c r="A1492" s="205" t="s">
        <v>1824</v>
      </c>
      <c r="B1492" s="206">
        <v>5855</v>
      </c>
      <c r="C1492" s="207" t="s">
        <v>2096</v>
      </c>
      <c r="D1492" s="208" t="s">
        <v>1828</v>
      </c>
      <c r="E1492" s="209">
        <v>694.58</v>
      </c>
      <c r="F1492" s="209">
        <v>26.91</v>
      </c>
      <c r="G1492" s="209">
        <v>721.49</v>
      </c>
      <c r="H1492" s="198"/>
    </row>
    <row r="1493" spans="1:8" ht="15.75" hidden="1" customHeight="1" x14ac:dyDescent="0.25">
      <c r="A1493" s="205" t="s">
        <v>1824</v>
      </c>
      <c r="B1493" s="206">
        <v>96021</v>
      </c>
      <c r="C1493" s="207" t="s">
        <v>2097</v>
      </c>
      <c r="D1493" s="208" t="s">
        <v>1826</v>
      </c>
      <c r="E1493" s="209">
        <v>36.909999999999997</v>
      </c>
      <c r="F1493" s="209">
        <v>26.9</v>
      </c>
      <c r="G1493" s="209">
        <v>63.81</v>
      </c>
      <c r="H1493" s="198"/>
    </row>
    <row r="1494" spans="1:8" ht="15.75" hidden="1" customHeight="1" x14ac:dyDescent="0.25">
      <c r="A1494" s="205" t="s">
        <v>1824</v>
      </c>
      <c r="B1494" s="206">
        <v>96020</v>
      </c>
      <c r="C1494" s="207" t="s">
        <v>2098</v>
      </c>
      <c r="D1494" s="208" t="s">
        <v>1828</v>
      </c>
      <c r="E1494" s="209">
        <v>164.05</v>
      </c>
      <c r="F1494" s="209">
        <v>26.9</v>
      </c>
      <c r="G1494" s="209">
        <v>190.95</v>
      </c>
      <c r="H1494" s="198"/>
    </row>
    <row r="1495" spans="1:8" ht="15.75" hidden="1" customHeight="1" x14ac:dyDescent="0.25">
      <c r="A1495" s="205" t="s">
        <v>1824</v>
      </c>
      <c r="B1495" s="206">
        <v>96014</v>
      </c>
      <c r="C1495" s="207" t="s">
        <v>2099</v>
      </c>
      <c r="D1495" s="208" t="s">
        <v>1826</v>
      </c>
      <c r="E1495" s="209">
        <v>37.18</v>
      </c>
      <c r="F1495" s="209">
        <v>26.9</v>
      </c>
      <c r="G1495" s="209">
        <v>64.08</v>
      </c>
      <c r="H1495" s="198"/>
    </row>
    <row r="1496" spans="1:8" ht="15.75" hidden="1" customHeight="1" x14ac:dyDescent="0.25">
      <c r="A1496" s="205" t="s">
        <v>1824</v>
      </c>
      <c r="B1496" s="206">
        <v>96013</v>
      </c>
      <c r="C1496" s="207" t="s">
        <v>2100</v>
      </c>
      <c r="D1496" s="208" t="s">
        <v>1828</v>
      </c>
      <c r="E1496" s="209">
        <v>164.54</v>
      </c>
      <c r="F1496" s="209">
        <v>26.91</v>
      </c>
      <c r="G1496" s="209">
        <v>191.45</v>
      </c>
      <c r="H1496" s="198"/>
    </row>
    <row r="1497" spans="1:8" ht="15.75" hidden="1" customHeight="1" x14ac:dyDescent="0.25">
      <c r="A1497" s="205" t="s">
        <v>1824</v>
      </c>
      <c r="B1497" s="206">
        <v>96029</v>
      </c>
      <c r="C1497" s="207" t="s">
        <v>2101</v>
      </c>
      <c r="D1497" s="208" t="s">
        <v>1826</v>
      </c>
      <c r="E1497" s="209">
        <v>30.36</v>
      </c>
      <c r="F1497" s="209">
        <v>26.91</v>
      </c>
      <c r="G1497" s="209">
        <v>57.27</v>
      </c>
      <c r="H1497" s="198"/>
    </row>
    <row r="1498" spans="1:8" ht="15.75" hidden="1" customHeight="1" x14ac:dyDescent="0.25">
      <c r="A1498" s="205" t="s">
        <v>1824</v>
      </c>
      <c r="B1498" s="206">
        <v>96028</v>
      </c>
      <c r="C1498" s="207" t="s">
        <v>2102</v>
      </c>
      <c r="D1498" s="208" t="s">
        <v>1828</v>
      </c>
      <c r="E1498" s="209">
        <v>120.85</v>
      </c>
      <c r="F1498" s="209">
        <v>26.9</v>
      </c>
      <c r="G1498" s="209">
        <v>147.75</v>
      </c>
      <c r="H1498" s="198"/>
    </row>
    <row r="1499" spans="1:8" ht="15.75" hidden="1" customHeight="1" x14ac:dyDescent="0.25">
      <c r="A1499" s="205" t="s">
        <v>1824</v>
      </c>
      <c r="B1499" s="206">
        <v>96155</v>
      </c>
      <c r="C1499" s="207" t="s">
        <v>2103</v>
      </c>
      <c r="D1499" s="208" t="s">
        <v>1826</v>
      </c>
      <c r="E1499" s="209">
        <v>30.63</v>
      </c>
      <c r="F1499" s="209">
        <v>26.91</v>
      </c>
      <c r="G1499" s="209">
        <v>57.54</v>
      </c>
      <c r="H1499" s="198"/>
    </row>
    <row r="1500" spans="1:8" ht="15.75" hidden="1" customHeight="1" x14ac:dyDescent="0.25">
      <c r="A1500" s="205" t="s">
        <v>1824</v>
      </c>
      <c r="B1500" s="206">
        <v>96157</v>
      </c>
      <c r="C1500" s="207" t="s">
        <v>2104</v>
      </c>
      <c r="D1500" s="208" t="s">
        <v>1828</v>
      </c>
      <c r="E1500" s="209">
        <v>121.35</v>
      </c>
      <c r="F1500" s="209">
        <v>26.9</v>
      </c>
      <c r="G1500" s="209">
        <v>148.25</v>
      </c>
      <c r="H1500" s="198"/>
    </row>
    <row r="1501" spans="1:8" ht="15.75" hidden="1" customHeight="1" x14ac:dyDescent="0.25">
      <c r="A1501" s="205" t="s">
        <v>1824</v>
      </c>
      <c r="B1501" s="206">
        <v>5845</v>
      </c>
      <c r="C1501" s="207" t="s">
        <v>2105</v>
      </c>
      <c r="D1501" s="208" t="s">
        <v>1826</v>
      </c>
      <c r="E1501" s="209">
        <v>32.56</v>
      </c>
      <c r="F1501" s="209">
        <v>26.91</v>
      </c>
      <c r="G1501" s="209">
        <v>59.47</v>
      </c>
      <c r="H1501" s="198"/>
    </row>
    <row r="1502" spans="1:8" ht="15.75" hidden="1" customHeight="1" x14ac:dyDescent="0.25">
      <c r="A1502" s="205" t="s">
        <v>1824</v>
      </c>
      <c r="B1502" s="206">
        <v>5843</v>
      </c>
      <c r="C1502" s="207" t="s">
        <v>2106</v>
      </c>
      <c r="D1502" s="208" t="s">
        <v>1828</v>
      </c>
      <c r="E1502" s="209">
        <v>155.93</v>
      </c>
      <c r="F1502" s="209">
        <v>26.91</v>
      </c>
      <c r="G1502" s="209">
        <v>182.84</v>
      </c>
      <c r="H1502" s="198"/>
    </row>
    <row r="1503" spans="1:8" ht="15.75" hidden="1" customHeight="1" x14ac:dyDescent="0.25">
      <c r="A1503" s="205" t="s">
        <v>1824</v>
      </c>
      <c r="B1503" s="206">
        <v>89036</v>
      </c>
      <c r="C1503" s="207" t="s">
        <v>2107</v>
      </c>
      <c r="D1503" s="208" t="s">
        <v>1826</v>
      </c>
      <c r="E1503" s="209">
        <v>25.99</v>
      </c>
      <c r="F1503" s="209">
        <v>26.91</v>
      </c>
      <c r="G1503" s="209">
        <v>52.9</v>
      </c>
      <c r="H1503" s="198"/>
    </row>
    <row r="1504" spans="1:8" ht="15.75" hidden="1" customHeight="1" x14ac:dyDescent="0.25">
      <c r="A1504" s="205" t="s">
        <v>1824</v>
      </c>
      <c r="B1504" s="206">
        <v>89035</v>
      </c>
      <c r="C1504" s="207" t="s">
        <v>2108</v>
      </c>
      <c r="D1504" s="208" t="s">
        <v>1828</v>
      </c>
      <c r="E1504" s="209">
        <v>112.7</v>
      </c>
      <c r="F1504" s="209">
        <v>26.91</v>
      </c>
      <c r="G1504" s="209">
        <v>139.61000000000001</v>
      </c>
      <c r="H1504" s="198"/>
    </row>
    <row r="1505" spans="1:8" ht="15.75" hidden="1" customHeight="1" x14ac:dyDescent="0.25">
      <c r="A1505" s="205" t="s">
        <v>1824</v>
      </c>
      <c r="B1505" s="206">
        <v>93440</v>
      </c>
      <c r="C1505" s="207" t="s">
        <v>2109</v>
      </c>
      <c r="D1505" s="208" t="s">
        <v>1826</v>
      </c>
      <c r="E1505" s="209">
        <v>56.8</v>
      </c>
      <c r="F1505" s="209">
        <v>112.34</v>
      </c>
      <c r="G1505" s="209">
        <v>169.14</v>
      </c>
      <c r="H1505" s="198"/>
    </row>
    <row r="1506" spans="1:8" ht="15.75" hidden="1" customHeight="1" x14ac:dyDescent="0.25">
      <c r="A1506" s="205" t="s">
        <v>1824</v>
      </c>
      <c r="B1506" s="206">
        <v>93439</v>
      </c>
      <c r="C1506" s="207" t="s">
        <v>2110</v>
      </c>
      <c r="D1506" s="208" t="s">
        <v>1828</v>
      </c>
      <c r="E1506" s="209">
        <v>185.59</v>
      </c>
      <c r="F1506" s="209">
        <v>112.35</v>
      </c>
      <c r="G1506" s="209">
        <v>297.94</v>
      </c>
      <c r="H1506" s="198"/>
    </row>
    <row r="1507" spans="1:8" ht="15.75" hidden="1" customHeight="1" x14ac:dyDescent="0.25">
      <c r="A1507" s="205" t="s">
        <v>1824</v>
      </c>
      <c r="B1507" s="206">
        <v>100648</v>
      </c>
      <c r="C1507" s="207" t="s">
        <v>2111</v>
      </c>
      <c r="D1507" s="208" t="s">
        <v>1826</v>
      </c>
      <c r="E1507" s="209">
        <v>561.74</v>
      </c>
      <c r="F1507" s="209">
        <v>34.270000000000003</v>
      </c>
      <c r="G1507" s="209">
        <v>596.01</v>
      </c>
      <c r="H1507" s="198"/>
    </row>
    <row r="1508" spans="1:8" ht="15.75" hidden="1" customHeight="1" x14ac:dyDescent="0.25">
      <c r="A1508" s="205" t="s">
        <v>1824</v>
      </c>
      <c r="B1508" s="206">
        <v>100647</v>
      </c>
      <c r="C1508" s="207" t="s">
        <v>2112</v>
      </c>
      <c r="D1508" s="208" t="s">
        <v>1828</v>
      </c>
      <c r="E1508" s="209">
        <v>6916.99</v>
      </c>
      <c r="F1508" s="209">
        <v>34.06</v>
      </c>
      <c r="G1508" s="209">
        <v>6951.05</v>
      </c>
      <c r="H1508" s="198"/>
    </row>
    <row r="1509" spans="1:8" ht="15.75" hidden="1" customHeight="1" x14ac:dyDescent="0.25">
      <c r="A1509" s="205" t="s">
        <v>1824</v>
      </c>
      <c r="B1509" s="206">
        <v>5829</v>
      </c>
      <c r="C1509" s="207" t="s">
        <v>2113</v>
      </c>
      <c r="D1509" s="208" t="s">
        <v>1826</v>
      </c>
      <c r="E1509" s="209">
        <v>87.45</v>
      </c>
      <c r="F1509" s="209">
        <v>112.34</v>
      </c>
      <c r="G1509" s="209">
        <v>199.79</v>
      </c>
      <c r="H1509" s="198"/>
    </row>
    <row r="1510" spans="1:8" ht="15.75" hidden="1" customHeight="1" x14ac:dyDescent="0.25">
      <c r="A1510" s="205" t="s">
        <v>1824</v>
      </c>
      <c r="B1510" s="206">
        <v>5823</v>
      </c>
      <c r="C1510" s="207" t="s">
        <v>2114</v>
      </c>
      <c r="D1510" s="208" t="s">
        <v>1828</v>
      </c>
      <c r="E1510" s="209">
        <v>139.96</v>
      </c>
      <c r="F1510" s="209">
        <v>112.34</v>
      </c>
      <c r="G1510" s="209">
        <v>252.3</v>
      </c>
      <c r="H1510" s="198"/>
    </row>
    <row r="1511" spans="1:8" ht="15.75" hidden="1" customHeight="1" x14ac:dyDescent="0.25">
      <c r="A1511" s="205" t="s">
        <v>1824</v>
      </c>
      <c r="B1511" s="206">
        <v>5884</v>
      </c>
      <c r="C1511" s="207" t="s">
        <v>2115</v>
      </c>
      <c r="D1511" s="208" t="s">
        <v>1826</v>
      </c>
      <c r="E1511" s="209">
        <v>41.39</v>
      </c>
      <c r="F1511" s="209">
        <v>19.52</v>
      </c>
      <c r="G1511" s="209">
        <v>60.91</v>
      </c>
      <c r="H1511" s="198"/>
    </row>
    <row r="1512" spans="1:8" ht="15.75" hidden="1" customHeight="1" x14ac:dyDescent="0.25">
      <c r="A1512" s="205" t="s">
        <v>1824</v>
      </c>
      <c r="B1512" s="206">
        <v>5882</v>
      </c>
      <c r="C1512" s="207" t="s">
        <v>2116</v>
      </c>
      <c r="D1512" s="208" t="s">
        <v>1828</v>
      </c>
      <c r="E1512" s="209">
        <v>113.36</v>
      </c>
      <c r="F1512" s="209">
        <v>19.510000000000002</v>
      </c>
      <c r="G1512" s="209">
        <v>132.87</v>
      </c>
      <c r="H1512" s="198"/>
    </row>
    <row r="1513" spans="1:8" ht="15.75" hidden="1" customHeight="1" x14ac:dyDescent="0.25">
      <c r="A1513" s="205" t="s">
        <v>1824</v>
      </c>
      <c r="B1513" s="206">
        <v>100642</v>
      </c>
      <c r="C1513" s="207" t="s">
        <v>2117</v>
      </c>
      <c r="D1513" s="208" t="s">
        <v>1826</v>
      </c>
      <c r="E1513" s="209">
        <v>269.27999999999997</v>
      </c>
      <c r="F1513" s="209">
        <v>34.270000000000003</v>
      </c>
      <c r="G1513" s="209">
        <v>303.55</v>
      </c>
      <c r="H1513" s="198"/>
    </row>
    <row r="1514" spans="1:8" ht="15.75" hidden="1" customHeight="1" x14ac:dyDescent="0.25">
      <c r="A1514" s="205" t="s">
        <v>1824</v>
      </c>
      <c r="B1514" s="206">
        <v>100641</v>
      </c>
      <c r="C1514" s="207" t="s">
        <v>2118</v>
      </c>
      <c r="D1514" s="208" t="s">
        <v>1828</v>
      </c>
      <c r="E1514" s="209">
        <v>5076.83</v>
      </c>
      <c r="F1514" s="209">
        <v>34.24</v>
      </c>
      <c r="G1514" s="209">
        <v>5111.07</v>
      </c>
      <c r="H1514" s="198"/>
    </row>
    <row r="1515" spans="1:8" ht="15.75" hidden="1" customHeight="1" x14ac:dyDescent="0.25">
      <c r="A1515" s="205" t="s">
        <v>1824</v>
      </c>
      <c r="B1515" s="206">
        <v>93434</v>
      </c>
      <c r="C1515" s="207" t="s">
        <v>2119</v>
      </c>
      <c r="D1515" s="208" t="s">
        <v>1826</v>
      </c>
      <c r="E1515" s="209">
        <v>257.48</v>
      </c>
      <c r="F1515" s="209">
        <v>112.35</v>
      </c>
      <c r="G1515" s="209">
        <v>369.83</v>
      </c>
      <c r="H1515" s="198"/>
    </row>
    <row r="1516" spans="1:8" ht="15.75" hidden="1" customHeight="1" x14ac:dyDescent="0.25">
      <c r="A1516" s="205" t="s">
        <v>1824</v>
      </c>
      <c r="B1516" s="206">
        <v>93433</v>
      </c>
      <c r="C1516" s="207" t="s">
        <v>2120</v>
      </c>
      <c r="D1516" s="208" t="s">
        <v>1828</v>
      </c>
      <c r="E1516" s="209">
        <v>2739.72</v>
      </c>
      <c r="F1516" s="209">
        <v>112.37</v>
      </c>
      <c r="G1516" s="209">
        <v>2852.09</v>
      </c>
      <c r="H1516" s="198"/>
    </row>
    <row r="1517" spans="1:8" ht="15.75" hidden="1" customHeight="1" x14ac:dyDescent="0.25">
      <c r="A1517" s="205" t="s">
        <v>1824</v>
      </c>
      <c r="B1517" s="206">
        <v>95122</v>
      </c>
      <c r="C1517" s="207" t="s">
        <v>2121</v>
      </c>
      <c r="D1517" s="208" t="s">
        <v>1826</v>
      </c>
      <c r="E1517" s="209">
        <v>142.46</v>
      </c>
      <c r="F1517" s="209">
        <v>112.34</v>
      </c>
      <c r="G1517" s="209">
        <v>254.8</v>
      </c>
      <c r="H1517" s="198"/>
    </row>
    <row r="1518" spans="1:8" ht="15.75" hidden="1" customHeight="1" x14ac:dyDescent="0.25">
      <c r="A1518" s="205" t="s">
        <v>1824</v>
      </c>
      <c r="B1518" s="206">
        <v>95121</v>
      </c>
      <c r="C1518" s="207" t="s">
        <v>2122</v>
      </c>
      <c r="D1518" s="208" t="s">
        <v>1828</v>
      </c>
      <c r="E1518" s="209">
        <v>269.31</v>
      </c>
      <c r="F1518" s="209">
        <v>112.36</v>
      </c>
      <c r="G1518" s="209">
        <v>381.67</v>
      </c>
      <c r="H1518" s="198"/>
    </row>
    <row r="1519" spans="1:8" ht="15.75" hidden="1" customHeight="1" x14ac:dyDescent="0.25">
      <c r="A1519" s="205" t="s">
        <v>1824</v>
      </c>
      <c r="B1519" s="206">
        <v>5841</v>
      </c>
      <c r="C1519" s="207" t="s">
        <v>2123</v>
      </c>
      <c r="D1519" s="208" t="s">
        <v>1826</v>
      </c>
      <c r="E1519" s="209">
        <v>4.8499999999999996</v>
      </c>
      <c r="F1519" s="209">
        <v>0</v>
      </c>
      <c r="G1519" s="209">
        <v>4.8499999999999996</v>
      </c>
      <c r="H1519" s="198"/>
    </row>
    <row r="1520" spans="1:8" ht="15.75" hidden="1" customHeight="1" x14ac:dyDescent="0.25">
      <c r="A1520" s="205" t="s">
        <v>1824</v>
      </c>
      <c r="B1520" s="206">
        <v>5839</v>
      </c>
      <c r="C1520" s="207" t="s">
        <v>2124</v>
      </c>
      <c r="D1520" s="208" t="s">
        <v>1828</v>
      </c>
      <c r="E1520" s="209">
        <v>9.65</v>
      </c>
      <c r="F1520" s="209">
        <v>0</v>
      </c>
      <c r="G1520" s="209">
        <v>9.65</v>
      </c>
      <c r="H1520" s="198"/>
    </row>
    <row r="1521" spans="1:8" ht="15.75" hidden="1" customHeight="1" x14ac:dyDescent="0.25">
      <c r="A1521" s="205" t="s">
        <v>1824</v>
      </c>
      <c r="B1521" s="206">
        <v>90587</v>
      </c>
      <c r="C1521" s="207" t="s">
        <v>2125</v>
      </c>
      <c r="D1521" s="208" t="s">
        <v>1826</v>
      </c>
      <c r="E1521" s="209">
        <v>0.53</v>
      </c>
      <c r="F1521" s="209">
        <v>0</v>
      </c>
      <c r="G1521" s="209">
        <v>0.53</v>
      </c>
      <c r="H1521" s="198"/>
    </row>
    <row r="1522" spans="1:8" ht="15.75" hidden="1" customHeight="1" x14ac:dyDescent="0.25">
      <c r="A1522" s="205" t="s">
        <v>1824</v>
      </c>
      <c r="B1522" s="206">
        <v>90586</v>
      </c>
      <c r="C1522" s="207" t="s">
        <v>2126</v>
      </c>
      <c r="D1522" s="208" t="s">
        <v>1828</v>
      </c>
      <c r="E1522" s="209">
        <v>1.22</v>
      </c>
      <c r="F1522" s="209">
        <v>0</v>
      </c>
      <c r="G1522" s="209">
        <v>1.22</v>
      </c>
      <c r="H1522" s="198"/>
    </row>
    <row r="1523" spans="1:8" ht="15.75" hidden="1" customHeight="1" x14ac:dyDescent="0.25">
      <c r="A1523" s="205" t="s">
        <v>1824</v>
      </c>
      <c r="B1523" s="206">
        <v>5837</v>
      </c>
      <c r="C1523" s="207" t="s">
        <v>2127</v>
      </c>
      <c r="D1523" s="208" t="s">
        <v>1826</v>
      </c>
      <c r="E1523" s="209">
        <v>119.9</v>
      </c>
      <c r="F1523" s="209">
        <v>26.58</v>
      </c>
      <c r="G1523" s="209">
        <v>146.47999999999999</v>
      </c>
      <c r="H1523" s="198"/>
    </row>
    <row r="1524" spans="1:8" ht="15.75" hidden="1" customHeight="1" x14ac:dyDescent="0.25">
      <c r="A1524" s="205" t="s">
        <v>1824</v>
      </c>
      <c r="B1524" s="206">
        <v>5835</v>
      </c>
      <c r="C1524" s="207" t="s">
        <v>2128</v>
      </c>
      <c r="D1524" s="208" t="s">
        <v>1828</v>
      </c>
      <c r="E1524" s="209">
        <v>346.98</v>
      </c>
      <c r="F1524" s="209">
        <v>26.59</v>
      </c>
      <c r="G1524" s="209">
        <v>373.57</v>
      </c>
      <c r="H1524" s="198"/>
    </row>
    <row r="1525" spans="1:8" ht="15.75" hidden="1" customHeight="1" x14ac:dyDescent="0.25">
      <c r="A1525" s="205" t="s">
        <v>1824</v>
      </c>
      <c r="B1525" s="206">
        <v>89257</v>
      </c>
      <c r="C1525" s="207" t="s">
        <v>2129</v>
      </c>
      <c r="D1525" s="208" t="s">
        <v>1828</v>
      </c>
      <c r="E1525" s="209">
        <v>298.33</v>
      </c>
      <c r="F1525" s="209">
        <v>26.57</v>
      </c>
      <c r="G1525" s="209">
        <v>324.89999999999998</v>
      </c>
      <c r="H1525" s="198"/>
    </row>
    <row r="1526" spans="1:8" ht="15.75" hidden="1" customHeight="1" x14ac:dyDescent="0.25">
      <c r="A1526" s="205" t="s">
        <v>1824</v>
      </c>
      <c r="B1526" s="206">
        <v>89258</v>
      </c>
      <c r="C1526" s="207" t="s">
        <v>2130</v>
      </c>
      <c r="D1526" s="208" t="s">
        <v>1826</v>
      </c>
      <c r="E1526" s="209">
        <v>99.72</v>
      </c>
      <c r="F1526" s="209">
        <v>26.58</v>
      </c>
      <c r="G1526" s="209">
        <v>126.3</v>
      </c>
      <c r="H1526" s="198"/>
    </row>
    <row r="1527" spans="1:8" ht="15.75" hidden="1" customHeight="1" x14ac:dyDescent="0.25">
      <c r="A1527" s="205" t="s">
        <v>2131</v>
      </c>
      <c r="B1527" s="206">
        <v>97621</v>
      </c>
      <c r="C1527" s="207" t="s">
        <v>2132</v>
      </c>
      <c r="D1527" s="208" t="s">
        <v>664</v>
      </c>
      <c r="E1527" s="209">
        <v>48.14</v>
      </c>
      <c r="F1527" s="209">
        <v>107.99</v>
      </c>
      <c r="G1527" s="209">
        <v>156.13</v>
      </c>
      <c r="H1527" s="198"/>
    </row>
    <row r="1528" spans="1:8" ht="15.75" hidden="1" customHeight="1" x14ac:dyDescent="0.25">
      <c r="A1528" s="205" t="s">
        <v>2131</v>
      </c>
      <c r="B1528" s="206">
        <v>97622</v>
      </c>
      <c r="C1528" s="207" t="s">
        <v>2133</v>
      </c>
      <c r="D1528" s="208" t="s">
        <v>664</v>
      </c>
      <c r="E1528" s="209">
        <v>23.46</v>
      </c>
      <c r="F1528" s="209">
        <v>52.63</v>
      </c>
      <c r="G1528" s="209">
        <v>76.09</v>
      </c>
      <c r="H1528" s="198"/>
    </row>
    <row r="1529" spans="1:8" ht="15.75" hidden="1" customHeight="1" x14ac:dyDescent="0.25">
      <c r="A1529" s="205" t="s">
        <v>2131</v>
      </c>
      <c r="B1529" s="206">
        <v>97623</v>
      </c>
      <c r="C1529" s="207" t="s">
        <v>2134</v>
      </c>
      <c r="D1529" s="208" t="s">
        <v>664</v>
      </c>
      <c r="E1529" s="209">
        <v>71.87</v>
      </c>
      <c r="F1529" s="209">
        <v>161.24</v>
      </c>
      <c r="G1529" s="209">
        <v>233.11</v>
      </c>
      <c r="H1529" s="198"/>
    </row>
    <row r="1530" spans="1:8" ht="15.75" hidden="1" customHeight="1" x14ac:dyDescent="0.25">
      <c r="A1530" s="205" t="s">
        <v>2131</v>
      </c>
      <c r="B1530" s="206">
        <v>97624</v>
      </c>
      <c r="C1530" s="207" t="s">
        <v>2135</v>
      </c>
      <c r="D1530" s="208" t="s">
        <v>664</v>
      </c>
      <c r="E1530" s="209">
        <v>44.11</v>
      </c>
      <c r="F1530" s="209">
        <v>98.96</v>
      </c>
      <c r="G1530" s="209">
        <v>143.07</v>
      </c>
      <c r="H1530" s="198"/>
    </row>
    <row r="1531" spans="1:8" ht="15.75" hidden="1" customHeight="1" x14ac:dyDescent="0.25">
      <c r="A1531" s="205" t="s">
        <v>2131</v>
      </c>
      <c r="B1531" s="206">
        <v>97625</v>
      </c>
      <c r="C1531" s="207" t="s">
        <v>2136</v>
      </c>
      <c r="D1531" s="208" t="s">
        <v>664</v>
      </c>
      <c r="E1531" s="209">
        <v>50.49</v>
      </c>
      <c r="F1531" s="209">
        <v>10.07</v>
      </c>
      <c r="G1531" s="209">
        <v>60.56</v>
      </c>
      <c r="H1531" s="198"/>
    </row>
    <row r="1532" spans="1:8" ht="15.75" hidden="1" customHeight="1" x14ac:dyDescent="0.25">
      <c r="A1532" s="205" t="s">
        <v>2131</v>
      </c>
      <c r="B1532" s="206">
        <v>104791</v>
      </c>
      <c r="C1532" s="207" t="s">
        <v>2137</v>
      </c>
      <c r="D1532" s="208" t="s">
        <v>578</v>
      </c>
      <c r="E1532" s="209">
        <v>2.42</v>
      </c>
      <c r="F1532" s="209">
        <v>5.59</v>
      </c>
      <c r="G1532" s="209">
        <v>8.01</v>
      </c>
      <c r="H1532" s="198"/>
    </row>
    <row r="1533" spans="1:8" ht="15.75" hidden="1" customHeight="1" x14ac:dyDescent="0.25">
      <c r="A1533" s="205" t="s">
        <v>2131</v>
      </c>
      <c r="B1533" s="206">
        <v>97631</v>
      </c>
      <c r="C1533" s="207" t="s">
        <v>2138</v>
      </c>
      <c r="D1533" s="208" t="s">
        <v>578</v>
      </c>
      <c r="E1533" s="209">
        <v>4.63</v>
      </c>
      <c r="F1533" s="209">
        <v>10.72</v>
      </c>
      <c r="G1533" s="209">
        <v>15.35</v>
      </c>
      <c r="H1533" s="198"/>
    </row>
    <row r="1534" spans="1:8" ht="15.75" hidden="1" customHeight="1" x14ac:dyDescent="0.25">
      <c r="A1534" s="205" t="s">
        <v>2131</v>
      </c>
      <c r="B1534" s="206">
        <v>104796</v>
      </c>
      <c r="C1534" s="207" t="s">
        <v>2139</v>
      </c>
      <c r="D1534" s="208" t="s">
        <v>585</v>
      </c>
      <c r="E1534" s="209">
        <v>7.6</v>
      </c>
      <c r="F1534" s="209">
        <v>10.039999999999999</v>
      </c>
      <c r="G1534" s="209">
        <v>17.64</v>
      </c>
      <c r="H1534" s="198"/>
    </row>
    <row r="1535" spans="1:8" ht="15.75" hidden="1" customHeight="1" x14ac:dyDescent="0.25">
      <c r="A1535" s="205" t="s">
        <v>2131</v>
      </c>
      <c r="B1535" s="206">
        <v>97628</v>
      </c>
      <c r="C1535" s="207" t="s">
        <v>2140</v>
      </c>
      <c r="D1535" s="208" t="s">
        <v>664</v>
      </c>
      <c r="E1535" s="209">
        <v>109.82</v>
      </c>
      <c r="F1535" s="209">
        <v>246.37</v>
      </c>
      <c r="G1535" s="209">
        <v>356.19</v>
      </c>
      <c r="H1535" s="198"/>
    </row>
    <row r="1536" spans="1:8" ht="15.75" hidden="1" customHeight="1" x14ac:dyDescent="0.25">
      <c r="A1536" s="205" t="s">
        <v>2131</v>
      </c>
      <c r="B1536" s="206">
        <v>97629</v>
      </c>
      <c r="C1536" s="207" t="s">
        <v>2141</v>
      </c>
      <c r="D1536" s="208" t="s">
        <v>664</v>
      </c>
      <c r="E1536" s="209">
        <v>33.36</v>
      </c>
      <c r="F1536" s="209">
        <v>77.83</v>
      </c>
      <c r="G1536" s="209">
        <v>111.19</v>
      </c>
      <c r="H1536" s="198"/>
    </row>
    <row r="1537" spans="1:8" ht="15.75" hidden="1" customHeight="1" x14ac:dyDescent="0.25">
      <c r="A1537" s="205" t="s">
        <v>2131</v>
      </c>
      <c r="B1537" s="206">
        <v>97626</v>
      </c>
      <c r="C1537" s="207" t="s">
        <v>2142</v>
      </c>
      <c r="D1537" s="208" t="s">
        <v>664</v>
      </c>
      <c r="E1537" s="209">
        <v>235.79</v>
      </c>
      <c r="F1537" s="209">
        <v>528.99</v>
      </c>
      <c r="G1537" s="209">
        <v>764.78</v>
      </c>
      <c r="H1537" s="198"/>
    </row>
    <row r="1538" spans="1:8" ht="15.75" hidden="1" customHeight="1" x14ac:dyDescent="0.25">
      <c r="A1538" s="205" t="s">
        <v>2131</v>
      </c>
      <c r="B1538" s="206">
        <v>97627</v>
      </c>
      <c r="C1538" s="207" t="s">
        <v>2143</v>
      </c>
      <c r="D1538" s="208" t="s">
        <v>664</v>
      </c>
      <c r="E1538" s="209">
        <v>71.61</v>
      </c>
      <c r="F1538" s="209">
        <v>167.14</v>
      </c>
      <c r="G1538" s="209">
        <v>238.75</v>
      </c>
      <c r="H1538" s="198"/>
    </row>
    <row r="1539" spans="1:8" ht="15.75" hidden="1" customHeight="1" x14ac:dyDescent="0.25">
      <c r="A1539" s="205" t="s">
        <v>2131</v>
      </c>
      <c r="B1539" s="206">
        <v>104789</v>
      </c>
      <c r="C1539" s="207" t="s">
        <v>2144</v>
      </c>
      <c r="D1539" s="208" t="s">
        <v>664</v>
      </c>
      <c r="E1539" s="209">
        <v>82.57</v>
      </c>
      <c r="F1539" s="209">
        <v>185.24</v>
      </c>
      <c r="G1539" s="209">
        <v>267.81</v>
      </c>
      <c r="H1539" s="198"/>
    </row>
    <row r="1540" spans="1:8" ht="15.75" hidden="1" customHeight="1" x14ac:dyDescent="0.25">
      <c r="A1540" s="205" t="s">
        <v>2131</v>
      </c>
      <c r="B1540" s="206">
        <v>104790</v>
      </c>
      <c r="C1540" s="207" t="s">
        <v>2145</v>
      </c>
      <c r="D1540" s="208" t="s">
        <v>664</v>
      </c>
      <c r="E1540" s="209">
        <v>72.94</v>
      </c>
      <c r="F1540" s="209">
        <v>58.5</v>
      </c>
      <c r="G1540" s="209">
        <v>131.44</v>
      </c>
      <c r="H1540" s="198"/>
    </row>
    <row r="1541" spans="1:8" ht="15.75" hidden="1" customHeight="1" x14ac:dyDescent="0.25">
      <c r="A1541" s="205" t="s">
        <v>2131</v>
      </c>
      <c r="B1541" s="206">
        <v>97633</v>
      </c>
      <c r="C1541" s="207" t="s">
        <v>2146</v>
      </c>
      <c r="D1541" s="208" t="s">
        <v>578</v>
      </c>
      <c r="E1541" s="209">
        <v>9.26</v>
      </c>
      <c r="F1541" s="209">
        <v>21.41</v>
      </c>
      <c r="G1541" s="209">
        <v>30.67</v>
      </c>
      <c r="H1541" s="198"/>
    </row>
    <row r="1542" spans="1:8" ht="15.75" hidden="1" customHeight="1" x14ac:dyDescent="0.25">
      <c r="A1542" s="205" t="s">
        <v>2131</v>
      </c>
      <c r="B1542" s="206">
        <v>97634</v>
      </c>
      <c r="C1542" s="207" t="s">
        <v>2147</v>
      </c>
      <c r="D1542" s="208" t="s">
        <v>578</v>
      </c>
      <c r="E1542" s="209">
        <v>2.71</v>
      </c>
      <c r="F1542" s="209">
        <v>6.29</v>
      </c>
      <c r="G1542" s="209">
        <v>9</v>
      </c>
      <c r="H1542" s="198"/>
    </row>
    <row r="1543" spans="1:8" ht="15.75" hidden="1" customHeight="1" x14ac:dyDescent="0.25">
      <c r="A1543" s="205" t="s">
        <v>2131</v>
      </c>
      <c r="B1543" s="206">
        <v>97632</v>
      </c>
      <c r="C1543" s="207" t="s">
        <v>2148</v>
      </c>
      <c r="D1543" s="208" t="s">
        <v>585</v>
      </c>
      <c r="E1543" s="209">
        <v>1.05</v>
      </c>
      <c r="F1543" s="209">
        <v>2.4500000000000002</v>
      </c>
      <c r="G1543" s="209">
        <v>3.5</v>
      </c>
      <c r="H1543" s="198"/>
    </row>
    <row r="1544" spans="1:8" ht="15.75" hidden="1" customHeight="1" x14ac:dyDescent="0.25">
      <c r="A1544" s="205" t="s">
        <v>2131</v>
      </c>
      <c r="B1544" s="206">
        <v>97636</v>
      </c>
      <c r="C1544" s="207" t="s">
        <v>2149</v>
      </c>
      <c r="D1544" s="208" t="s">
        <v>578</v>
      </c>
      <c r="E1544" s="209">
        <v>15.99</v>
      </c>
      <c r="F1544" s="209">
        <v>10.15</v>
      </c>
      <c r="G1544" s="209">
        <v>26.14</v>
      </c>
      <c r="H1544" s="198"/>
    </row>
    <row r="1545" spans="1:8" ht="15.75" hidden="1" customHeight="1" x14ac:dyDescent="0.25">
      <c r="A1545" s="205" t="s">
        <v>2131</v>
      </c>
      <c r="B1545" s="206">
        <v>104797</v>
      </c>
      <c r="C1545" s="207" t="s">
        <v>2150</v>
      </c>
      <c r="D1545" s="208" t="s">
        <v>585</v>
      </c>
      <c r="E1545" s="209">
        <v>9.5</v>
      </c>
      <c r="F1545" s="209">
        <v>12.55</v>
      </c>
      <c r="G1545" s="209">
        <v>22.05</v>
      </c>
      <c r="H1545" s="198"/>
    </row>
    <row r="1546" spans="1:8" ht="15.75" hidden="1" customHeight="1" x14ac:dyDescent="0.25">
      <c r="A1546" s="205" t="s">
        <v>2131</v>
      </c>
      <c r="B1546" s="206">
        <v>104803</v>
      </c>
      <c r="C1546" s="207" t="s">
        <v>2151</v>
      </c>
      <c r="D1546" s="208" t="s">
        <v>585</v>
      </c>
      <c r="E1546" s="209">
        <v>1.78</v>
      </c>
      <c r="F1546" s="209">
        <v>4.3899999999999997</v>
      </c>
      <c r="G1546" s="209">
        <v>6.17</v>
      </c>
      <c r="H1546" s="198"/>
    </row>
    <row r="1547" spans="1:8" ht="15.75" hidden="1" customHeight="1" x14ac:dyDescent="0.25">
      <c r="A1547" s="205" t="s">
        <v>2131</v>
      </c>
      <c r="B1547" s="206">
        <v>97664</v>
      </c>
      <c r="C1547" s="207" t="s">
        <v>2152</v>
      </c>
      <c r="D1547" s="208" t="s">
        <v>580</v>
      </c>
      <c r="E1547" s="209">
        <v>0.64</v>
      </c>
      <c r="F1547" s="209">
        <v>1.47</v>
      </c>
      <c r="G1547" s="209">
        <v>2.11</v>
      </c>
      <c r="H1547" s="198"/>
    </row>
    <row r="1548" spans="1:8" ht="15.75" hidden="1" customHeight="1" x14ac:dyDescent="0.25">
      <c r="A1548" s="205" t="s">
        <v>2131</v>
      </c>
      <c r="B1548" s="206">
        <v>104801</v>
      </c>
      <c r="C1548" s="207" t="s">
        <v>2153</v>
      </c>
      <c r="D1548" s="208" t="s">
        <v>578</v>
      </c>
      <c r="E1548" s="209">
        <v>5.4</v>
      </c>
      <c r="F1548" s="209">
        <v>13.7</v>
      </c>
      <c r="G1548" s="209">
        <v>19.100000000000001</v>
      </c>
      <c r="H1548" s="198"/>
    </row>
    <row r="1549" spans="1:8" ht="15.75" hidden="1" customHeight="1" x14ac:dyDescent="0.25">
      <c r="A1549" s="205" t="s">
        <v>2131</v>
      </c>
      <c r="B1549" s="206">
        <v>97661</v>
      </c>
      <c r="C1549" s="207" t="s">
        <v>2154</v>
      </c>
      <c r="D1549" s="208" t="s">
        <v>585</v>
      </c>
      <c r="E1549" s="209">
        <v>0.3</v>
      </c>
      <c r="F1549" s="209">
        <v>0.66</v>
      </c>
      <c r="G1549" s="209">
        <v>0.96</v>
      </c>
      <c r="H1549" s="198"/>
    </row>
    <row r="1550" spans="1:8" ht="15.75" hidden="1" customHeight="1" x14ac:dyDescent="0.25">
      <c r="A1550" s="205" t="s">
        <v>2131</v>
      </c>
      <c r="B1550" s="206">
        <v>104794</v>
      </c>
      <c r="C1550" s="207" t="s">
        <v>2155</v>
      </c>
      <c r="D1550" s="208" t="s">
        <v>585</v>
      </c>
      <c r="E1550" s="209">
        <v>0.41</v>
      </c>
      <c r="F1550" s="209">
        <v>0.89</v>
      </c>
      <c r="G1550" s="209">
        <v>1.3</v>
      </c>
      <c r="H1550" s="198"/>
    </row>
    <row r="1551" spans="1:8" ht="15.75" hidden="1" customHeight="1" x14ac:dyDescent="0.25">
      <c r="A1551" s="205" t="s">
        <v>2131</v>
      </c>
      <c r="B1551" s="206">
        <v>104795</v>
      </c>
      <c r="C1551" s="207" t="s">
        <v>2156</v>
      </c>
      <c r="D1551" s="208" t="s">
        <v>585</v>
      </c>
      <c r="E1551" s="209">
        <v>0.54</v>
      </c>
      <c r="F1551" s="209">
        <v>1.27</v>
      </c>
      <c r="G1551" s="209">
        <v>1.81</v>
      </c>
      <c r="H1551" s="198"/>
    </row>
    <row r="1552" spans="1:8" ht="15.75" hidden="1" customHeight="1" x14ac:dyDescent="0.25">
      <c r="A1552" s="205" t="s">
        <v>2131</v>
      </c>
      <c r="B1552" s="206">
        <v>104792</v>
      </c>
      <c r="C1552" s="207" t="s">
        <v>2157</v>
      </c>
      <c r="D1552" s="208" t="s">
        <v>585</v>
      </c>
      <c r="E1552" s="209">
        <v>0.17</v>
      </c>
      <c r="F1552" s="209">
        <v>0.35</v>
      </c>
      <c r="G1552" s="209">
        <v>0.52</v>
      </c>
      <c r="H1552" s="198"/>
    </row>
    <row r="1553" spans="1:8" ht="15.75" hidden="1" customHeight="1" x14ac:dyDescent="0.25">
      <c r="A1553" s="205" t="s">
        <v>2131</v>
      </c>
      <c r="B1553" s="206">
        <v>104793</v>
      </c>
      <c r="C1553" s="207" t="s">
        <v>2158</v>
      </c>
      <c r="D1553" s="208" t="s">
        <v>585</v>
      </c>
      <c r="E1553" s="209">
        <v>0.23</v>
      </c>
      <c r="F1553" s="209">
        <v>0.5</v>
      </c>
      <c r="G1553" s="209">
        <v>0.73</v>
      </c>
      <c r="H1553" s="198"/>
    </row>
    <row r="1554" spans="1:8" ht="15.75" hidden="1" customHeight="1" x14ac:dyDescent="0.25">
      <c r="A1554" s="205" t="s">
        <v>2131</v>
      </c>
      <c r="B1554" s="206">
        <v>104800</v>
      </c>
      <c r="C1554" s="207" t="s">
        <v>2159</v>
      </c>
      <c r="D1554" s="208" t="s">
        <v>585</v>
      </c>
      <c r="E1554" s="209">
        <v>3.54</v>
      </c>
      <c r="F1554" s="209">
        <v>9.0299999999999994</v>
      </c>
      <c r="G1554" s="209">
        <v>12.57</v>
      </c>
      <c r="H1554" s="198"/>
    </row>
    <row r="1555" spans="1:8" ht="15.75" hidden="1" customHeight="1" x14ac:dyDescent="0.25">
      <c r="A1555" s="205" t="s">
        <v>2131</v>
      </c>
      <c r="B1555" s="206">
        <v>97638</v>
      </c>
      <c r="C1555" s="207" t="s">
        <v>2160</v>
      </c>
      <c r="D1555" s="208" t="s">
        <v>578</v>
      </c>
      <c r="E1555" s="209">
        <v>3.35</v>
      </c>
      <c r="F1555" s="209">
        <v>7.74</v>
      </c>
      <c r="G1555" s="209">
        <v>11.09</v>
      </c>
      <c r="H1555" s="198"/>
    </row>
    <row r="1556" spans="1:8" ht="15.75" hidden="1" customHeight="1" x14ac:dyDescent="0.25">
      <c r="A1556" s="205" t="s">
        <v>2131</v>
      </c>
      <c r="B1556" s="206">
        <v>97641</v>
      </c>
      <c r="C1556" s="207" t="s">
        <v>2161</v>
      </c>
      <c r="D1556" s="208" t="s">
        <v>578</v>
      </c>
      <c r="E1556" s="209">
        <v>1.19</v>
      </c>
      <c r="F1556" s="209">
        <v>2.72</v>
      </c>
      <c r="G1556" s="209">
        <v>3.91</v>
      </c>
      <c r="H1556" s="198"/>
    </row>
    <row r="1557" spans="1:8" ht="15.75" hidden="1" customHeight="1" x14ac:dyDescent="0.25">
      <c r="A1557" s="205" t="s">
        <v>2131</v>
      </c>
      <c r="B1557" s="206">
        <v>97640</v>
      </c>
      <c r="C1557" s="207" t="s">
        <v>2162</v>
      </c>
      <c r="D1557" s="208" t="s">
        <v>578</v>
      </c>
      <c r="E1557" s="209">
        <v>0.77</v>
      </c>
      <c r="F1557" s="209">
        <v>1.81</v>
      </c>
      <c r="G1557" s="209">
        <v>2.58</v>
      </c>
      <c r="H1557" s="198"/>
    </row>
    <row r="1558" spans="1:8" ht="15.75" hidden="1" customHeight="1" x14ac:dyDescent="0.25">
      <c r="A1558" s="205" t="s">
        <v>2131</v>
      </c>
      <c r="B1558" s="206">
        <v>97660</v>
      </c>
      <c r="C1558" s="207" t="s">
        <v>2163</v>
      </c>
      <c r="D1558" s="208" t="s">
        <v>580</v>
      </c>
      <c r="E1558" s="209">
        <v>0.28000000000000003</v>
      </c>
      <c r="F1558" s="209">
        <v>0.61</v>
      </c>
      <c r="G1558" s="209">
        <v>0.89</v>
      </c>
      <c r="H1558" s="198"/>
    </row>
    <row r="1559" spans="1:8" ht="15.75" hidden="1" customHeight="1" x14ac:dyDescent="0.25">
      <c r="A1559" s="205" t="s">
        <v>2131</v>
      </c>
      <c r="B1559" s="206">
        <v>97645</v>
      </c>
      <c r="C1559" s="207" t="s">
        <v>2164</v>
      </c>
      <c r="D1559" s="208" t="s">
        <v>578</v>
      </c>
      <c r="E1559" s="209">
        <v>9.9</v>
      </c>
      <c r="F1559" s="209">
        <v>23.24</v>
      </c>
      <c r="G1559" s="209">
        <v>33.14</v>
      </c>
      <c r="H1559" s="198"/>
    </row>
    <row r="1560" spans="1:8" ht="15.75" hidden="1" customHeight="1" x14ac:dyDescent="0.25">
      <c r="A1560" s="205" t="s">
        <v>2131</v>
      </c>
      <c r="B1560" s="206">
        <v>97663</v>
      </c>
      <c r="C1560" s="207" t="s">
        <v>2165</v>
      </c>
      <c r="D1560" s="208" t="s">
        <v>580</v>
      </c>
      <c r="E1560" s="209">
        <v>5.0199999999999996</v>
      </c>
      <c r="F1560" s="209">
        <v>11.96</v>
      </c>
      <c r="G1560" s="209">
        <v>16.98</v>
      </c>
      <c r="H1560" s="198"/>
    </row>
    <row r="1561" spans="1:8" ht="15.75" hidden="1" customHeight="1" x14ac:dyDescent="0.25">
      <c r="A1561" s="205" t="s">
        <v>2131</v>
      </c>
      <c r="B1561" s="206">
        <v>97665</v>
      </c>
      <c r="C1561" s="207" t="s">
        <v>2166</v>
      </c>
      <c r="D1561" s="208" t="s">
        <v>580</v>
      </c>
      <c r="E1561" s="209">
        <v>0.72</v>
      </c>
      <c r="F1561" s="209">
        <v>1.7</v>
      </c>
      <c r="G1561" s="209">
        <v>2.42</v>
      </c>
      <c r="H1561" s="198"/>
    </row>
    <row r="1562" spans="1:8" ht="15.75" hidden="1" customHeight="1" x14ac:dyDescent="0.25">
      <c r="A1562" s="205" t="s">
        <v>2131</v>
      </c>
      <c r="B1562" s="206">
        <v>97666</v>
      </c>
      <c r="C1562" s="207" t="s">
        <v>2167</v>
      </c>
      <c r="D1562" s="208" t="s">
        <v>580</v>
      </c>
      <c r="E1562" s="209">
        <v>3.66</v>
      </c>
      <c r="F1562" s="209">
        <v>8.7200000000000006</v>
      </c>
      <c r="G1562" s="209">
        <v>12.38</v>
      </c>
      <c r="H1562" s="198"/>
    </row>
    <row r="1563" spans="1:8" ht="15.75" hidden="1" customHeight="1" x14ac:dyDescent="0.25">
      <c r="A1563" s="205" t="s">
        <v>2131</v>
      </c>
      <c r="B1563" s="206">
        <v>97635</v>
      </c>
      <c r="C1563" s="207" t="s">
        <v>2168</v>
      </c>
      <c r="D1563" s="208" t="s">
        <v>578</v>
      </c>
      <c r="E1563" s="209">
        <v>6.42</v>
      </c>
      <c r="F1563" s="209">
        <v>15.29</v>
      </c>
      <c r="G1563" s="209">
        <v>21.71</v>
      </c>
      <c r="H1563" s="198"/>
    </row>
    <row r="1564" spans="1:8" ht="15.75" hidden="1" customHeight="1" x14ac:dyDescent="0.25">
      <c r="A1564" s="205" t="s">
        <v>2131</v>
      </c>
      <c r="B1564" s="206">
        <v>97643</v>
      </c>
      <c r="C1564" s="207" t="s">
        <v>2169</v>
      </c>
      <c r="D1564" s="208" t="s">
        <v>578</v>
      </c>
      <c r="E1564" s="209">
        <v>10.130000000000001</v>
      </c>
      <c r="F1564" s="209">
        <v>23.85</v>
      </c>
      <c r="G1564" s="209">
        <v>33.979999999999997</v>
      </c>
      <c r="H1564" s="198"/>
    </row>
    <row r="1565" spans="1:8" ht="15.75" hidden="1" customHeight="1" x14ac:dyDescent="0.25">
      <c r="A1565" s="205" t="s">
        <v>2131</v>
      </c>
      <c r="B1565" s="206">
        <v>104799</v>
      </c>
      <c r="C1565" s="207" t="s">
        <v>2170</v>
      </c>
      <c r="D1565" s="208" t="s">
        <v>578</v>
      </c>
      <c r="E1565" s="209">
        <v>4.33</v>
      </c>
      <c r="F1565" s="209">
        <v>9.98</v>
      </c>
      <c r="G1565" s="209">
        <v>14.31</v>
      </c>
      <c r="H1565" s="198"/>
    </row>
    <row r="1566" spans="1:8" ht="15.75" hidden="1" customHeight="1" x14ac:dyDescent="0.25">
      <c r="A1566" s="205" t="s">
        <v>2131</v>
      </c>
      <c r="B1566" s="206">
        <v>97639</v>
      </c>
      <c r="C1566" s="207" t="s">
        <v>2171</v>
      </c>
      <c r="D1566" s="208" t="s">
        <v>578</v>
      </c>
      <c r="E1566" s="209">
        <v>8.2799999999999994</v>
      </c>
      <c r="F1566" s="209">
        <v>19.43</v>
      </c>
      <c r="G1566" s="209">
        <v>27.71</v>
      </c>
      <c r="H1566" s="198"/>
    </row>
    <row r="1567" spans="1:8" ht="15.75" hidden="1" customHeight="1" x14ac:dyDescent="0.25">
      <c r="A1567" s="205" t="s">
        <v>2131</v>
      </c>
      <c r="B1567" s="206">
        <v>97644</v>
      </c>
      <c r="C1567" s="207" t="s">
        <v>2172</v>
      </c>
      <c r="D1567" s="208" t="s">
        <v>578</v>
      </c>
      <c r="E1567" s="209">
        <v>3.83</v>
      </c>
      <c r="F1567" s="209">
        <v>9</v>
      </c>
      <c r="G1567" s="209">
        <v>12.83</v>
      </c>
      <c r="H1567" s="198"/>
    </row>
    <row r="1568" spans="1:8" ht="15.75" hidden="1" customHeight="1" x14ac:dyDescent="0.25">
      <c r="A1568" s="205" t="s">
        <v>2131</v>
      </c>
      <c r="B1568" s="206">
        <v>97648</v>
      </c>
      <c r="C1568" s="207" t="s">
        <v>2173</v>
      </c>
      <c r="D1568" s="208" t="s">
        <v>578</v>
      </c>
      <c r="E1568" s="209">
        <v>0.83</v>
      </c>
      <c r="F1568" s="209">
        <v>1.91</v>
      </c>
      <c r="G1568" s="209">
        <v>2.74</v>
      </c>
      <c r="H1568" s="198"/>
    </row>
    <row r="1569" spans="1:8" ht="15.75" hidden="1" customHeight="1" x14ac:dyDescent="0.25">
      <c r="A1569" s="205" t="s">
        <v>2131</v>
      </c>
      <c r="B1569" s="206">
        <v>104798</v>
      </c>
      <c r="C1569" s="207" t="s">
        <v>2174</v>
      </c>
      <c r="D1569" s="208" t="s">
        <v>580</v>
      </c>
      <c r="E1569" s="209">
        <v>5.5</v>
      </c>
      <c r="F1569" s="209">
        <v>12.73</v>
      </c>
      <c r="G1569" s="209">
        <v>18.23</v>
      </c>
      <c r="H1569" s="198"/>
    </row>
    <row r="1570" spans="1:8" ht="15.75" hidden="1" customHeight="1" x14ac:dyDescent="0.25">
      <c r="A1570" s="205" t="s">
        <v>2131</v>
      </c>
      <c r="B1570" s="206">
        <v>97637</v>
      </c>
      <c r="C1570" s="207" t="s">
        <v>2175</v>
      </c>
      <c r="D1570" s="208" t="s">
        <v>578</v>
      </c>
      <c r="E1570" s="209">
        <v>1.1499999999999999</v>
      </c>
      <c r="F1570" s="209">
        <v>2.66</v>
      </c>
      <c r="G1570" s="209">
        <v>3.81</v>
      </c>
      <c r="H1570" s="198"/>
    </row>
    <row r="1571" spans="1:8" ht="15.75" hidden="1" customHeight="1" x14ac:dyDescent="0.25">
      <c r="A1571" s="205" t="s">
        <v>2131</v>
      </c>
      <c r="B1571" s="206">
        <v>104802</v>
      </c>
      <c r="C1571" s="207" t="s">
        <v>2176</v>
      </c>
      <c r="D1571" s="208" t="s">
        <v>578</v>
      </c>
      <c r="E1571" s="209">
        <v>3.6</v>
      </c>
      <c r="F1571" s="209">
        <v>9.1</v>
      </c>
      <c r="G1571" s="209">
        <v>12.7</v>
      </c>
      <c r="H1571" s="198"/>
    </row>
    <row r="1572" spans="1:8" ht="15.75" hidden="1" customHeight="1" x14ac:dyDescent="0.25">
      <c r="A1572" s="205" t="s">
        <v>2131</v>
      </c>
      <c r="B1572" s="206">
        <v>97647</v>
      </c>
      <c r="C1572" s="207" t="s">
        <v>2177</v>
      </c>
      <c r="D1572" s="208" t="s">
        <v>578</v>
      </c>
      <c r="E1572" s="209">
        <v>1.44</v>
      </c>
      <c r="F1572" s="209">
        <v>3.34</v>
      </c>
      <c r="G1572" s="209">
        <v>4.78</v>
      </c>
      <c r="H1572" s="198"/>
    </row>
    <row r="1573" spans="1:8" ht="15.75" hidden="1" customHeight="1" x14ac:dyDescent="0.25">
      <c r="A1573" s="205" t="s">
        <v>2131</v>
      </c>
      <c r="B1573" s="206">
        <v>97649</v>
      </c>
      <c r="C1573" s="207" t="s">
        <v>2178</v>
      </c>
      <c r="D1573" s="208" t="s">
        <v>578</v>
      </c>
      <c r="E1573" s="209">
        <v>2.1800000000000002</v>
      </c>
      <c r="F1573" s="209">
        <v>3.67</v>
      </c>
      <c r="G1573" s="209">
        <v>5.85</v>
      </c>
      <c r="H1573" s="198"/>
    </row>
    <row r="1574" spans="1:8" ht="15.75" hidden="1" customHeight="1" x14ac:dyDescent="0.25">
      <c r="A1574" s="205" t="s">
        <v>2131</v>
      </c>
      <c r="B1574" s="206">
        <v>97652</v>
      </c>
      <c r="C1574" s="207" t="s">
        <v>2179</v>
      </c>
      <c r="D1574" s="208" t="s">
        <v>580</v>
      </c>
      <c r="E1574" s="209">
        <v>76.040000000000006</v>
      </c>
      <c r="F1574" s="209">
        <v>178.44</v>
      </c>
      <c r="G1574" s="209">
        <v>254.48</v>
      </c>
      <c r="H1574" s="198"/>
    </row>
    <row r="1575" spans="1:8" ht="15.75" hidden="1" customHeight="1" x14ac:dyDescent="0.25">
      <c r="A1575" s="205" t="s">
        <v>2131</v>
      </c>
      <c r="B1575" s="206">
        <v>97654</v>
      </c>
      <c r="C1575" s="207" t="s">
        <v>2180</v>
      </c>
      <c r="D1575" s="208" t="s">
        <v>580</v>
      </c>
      <c r="E1575" s="209">
        <v>127.48</v>
      </c>
      <c r="F1575" s="209">
        <v>78.89</v>
      </c>
      <c r="G1575" s="209">
        <v>206.37</v>
      </c>
      <c r="H1575" s="198"/>
    </row>
    <row r="1576" spans="1:8" ht="15.75" hidden="1" customHeight="1" x14ac:dyDescent="0.25">
      <c r="A1576" s="205" t="s">
        <v>2131</v>
      </c>
      <c r="B1576" s="206">
        <v>97651</v>
      </c>
      <c r="C1576" s="207" t="s">
        <v>2181</v>
      </c>
      <c r="D1576" s="208" t="s">
        <v>580</v>
      </c>
      <c r="E1576" s="209">
        <v>33.549999999999997</v>
      </c>
      <c r="F1576" s="209">
        <v>78.7</v>
      </c>
      <c r="G1576" s="209">
        <v>112.25</v>
      </c>
      <c r="H1576" s="198"/>
    </row>
    <row r="1577" spans="1:8" ht="15.75" hidden="1" customHeight="1" x14ac:dyDescent="0.25">
      <c r="A1577" s="205" t="s">
        <v>2131</v>
      </c>
      <c r="B1577" s="206">
        <v>97653</v>
      </c>
      <c r="C1577" s="207" t="s">
        <v>2182</v>
      </c>
      <c r="D1577" s="208" t="s">
        <v>580</v>
      </c>
      <c r="E1577" s="209">
        <v>113.59</v>
      </c>
      <c r="F1577" s="209">
        <v>46.23</v>
      </c>
      <c r="G1577" s="209">
        <v>159.82</v>
      </c>
      <c r="H1577" s="198"/>
    </row>
    <row r="1578" spans="1:8" ht="15.75" hidden="1" customHeight="1" x14ac:dyDescent="0.25">
      <c r="A1578" s="205" t="s">
        <v>2131</v>
      </c>
      <c r="B1578" s="206">
        <v>97657</v>
      </c>
      <c r="C1578" s="207" t="s">
        <v>2183</v>
      </c>
      <c r="D1578" s="208" t="s">
        <v>580</v>
      </c>
      <c r="E1578" s="209">
        <v>446.99</v>
      </c>
      <c r="F1578" s="209">
        <v>341.49</v>
      </c>
      <c r="G1578" s="209">
        <v>788.48</v>
      </c>
      <c r="H1578" s="198"/>
    </row>
    <row r="1579" spans="1:8" ht="15.75" hidden="1" customHeight="1" x14ac:dyDescent="0.25">
      <c r="A1579" s="205" t="s">
        <v>2131</v>
      </c>
      <c r="B1579" s="206">
        <v>97659</v>
      </c>
      <c r="C1579" s="207" t="s">
        <v>2184</v>
      </c>
      <c r="D1579" s="208" t="s">
        <v>580</v>
      </c>
      <c r="E1579" s="209">
        <v>221.28</v>
      </c>
      <c r="F1579" s="209">
        <v>135.33000000000001</v>
      </c>
      <c r="G1579" s="209">
        <v>356.61</v>
      </c>
      <c r="H1579" s="198"/>
    </row>
    <row r="1580" spans="1:8" ht="15.75" hidden="1" customHeight="1" x14ac:dyDescent="0.25">
      <c r="A1580" s="205" t="s">
        <v>2131</v>
      </c>
      <c r="B1580" s="206">
        <v>97656</v>
      </c>
      <c r="C1580" s="207" t="s">
        <v>2185</v>
      </c>
      <c r="D1580" s="208" t="s">
        <v>580</v>
      </c>
      <c r="E1580" s="209">
        <v>225.52</v>
      </c>
      <c r="F1580" s="209">
        <v>172.29</v>
      </c>
      <c r="G1580" s="209">
        <v>397.81</v>
      </c>
      <c r="H1580" s="198"/>
    </row>
    <row r="1581" spans="1:8" ht="15.75" hidden="1" customHeight="1" x14ac:dyDescent="0.25">
      <c r="A1581" s="205" t="s">
        <v>2131</v>
      </c>
      <c r="B1581" s="206">
        <v>97658</v>
      </c>
      <c r="C1581" s="207" t="s">
        <v>2186</v>
      </c>
      <c r="D1581" s="208" t="s">
        <v>580</v>
      </c>
      <c r="E1581" s="209">
        <v>168.4</v>
      </c>
      <c r="F1581" s="209">
        <v>83.95</v>
      </c>
      <c r="G1581" s="209">
        <v>252.35</v>
      </c>
      <c r="H1581" s="198"/>
    </row>
    <row r="1582" spans="1:8" ht="15.75" hidden="1" customHeight="1" x14ac:dyDescent="0.25">
      <c r="A1582" s="205" t="s">
        <v>2131</v>
      </c>
      <c r="B1582" s="206">
        <v>97650</v>
      </c>
      <c r="C1582" s="207" t="s">
        <v>2187</v>
      </c>
      <c r="D1582" s="208" t="s">
        <v>578</v>
      </c>
      <c r="E1582" s="209">
        <v>3.09</v>
      </c>
      <c r="F1582" s="209">
        <v>7.22</v>
      </c>
      <c r="G1582" s="209">
        <v>10.31</v>
      </c>
      <c r="H1582" s="198"/>
    </row>
    <row r="1583" spans="1:8" ht="15.75" hidden="1" customHeight="1" x14ac:dyDescent="0.25">
      <c r="A1583" s="205" t="s">
        <v>2131</v>
      </c>
      <c r="B1583" s="206">
        <v>97642</v>
      </c>
      <c r="C1583" s="207" t="s">
        <v>2188</v>
      </c>
      <c r="D1583" s="208" t="s">
        <v>578</v>
      </c>
      <c r="E1583" s="209">
        <v>1.1299999999999999</v>
      </c>
      <c r="F1583" s="209">
        <v>2.58</v>
      </c>
      <c r="G1583" s="209">
        <v>3.71</v>
      </c>
      <c r="H1583" s="198"/>
    </row>
    <row r="1584" spans="1:8" ht="15.75" hidden="1" customHeight="1" x14ac:dyDescent="0.25">
      <c r="A1584" s="205" t="s">
        <v>2131</v>
      </c>
      <c r="B1584" s="206">
        <v>97655</v>
      </c>
      <c r="C1584" s="207" t="s">
        <v>2189</v>
      </c>
      <c r="D1584" s="208" t="s">
        <v>578</v>
      </c>
      <c r="E1584" s="209">
        <v>26.35</v>
      </c>
      <c r="F1584" s="209">
        <v>16.420000000000002</v>
      </c>
      <c r="G1584" s="209">
        <v>42.77</v>
      </c>
      <c r="H1584" s="198"/>
    </row>
    <row r="1585" spans="1:8" ht="15.75" hidden="1" customHeight="1" x14ac:dyDescent="0.25">
      <c r="A1585" s="205" t="s">
        <v>2131</v>
      </c>
      <c r="B1585" s="206">
        <v>97662</v>
      </c>
      <c r="C1585" s="207" t="s">
        <v>2190</v>
      </c>
      <c r="D1585" s="208" t="s">
        <v>585</v>
      </c>
      <c r="E1585" s="209">
        <v>0.2</v>
      </c>
      <c r="F1585" s="209">
        <v>0.48</v>
      </c>
      <c r="G1585" s="209">
        <v>0.68</v>
      </c>
      <c r="H1585" s="198"/>
    </row>
    <row r="1586" spans="1:8" ht="15.75" hidden="1" customHeight="1" x14ac:dyDescent="0.25">
      <c r="A1586" s="205" t="s">
        <v>2191</v>
      </c>
      <c r="B1586" s="206">
        <v>92712</v>
      </c>
      <c r="C1586" s="207" t="s">
        <v>2192</v>
      </c>
      <c r="D1586" s="208" t="s">
        <v>2193</v>
      </c>
      <c r="E1586" s="209">
        <v>0.16</v>
      </c>
      <c r="F1586" s="209">
        <v>0</v>
      </c>
      <c r="G1586" s="209">
        <v>0.16</v>
      </c>
      <c r="H1586" s="198"/>
    </row>
    <row r="1587" spans="1:8" ht="15.75" hidden="1" customHeight="1" x14ac:dyDescent="0.25">
      <c r="A1587" s="205" t="s">
        <v>2191</v>
      </c>
      <c r="B1587" s="206">
        <v>92713</v>
      </c>
      <c r="C1587" s="207" t="s">
        <v>2194</v>
      </c>
      <c r="D1587" s="208" t="s">
        <v>2193</v>
      </c>
      <c r="E1587" s="209">
        <v>0.03</v>
      </c>
      <c r="F1587" s="209">
        <v>0</v>
      </c>
      <c r="G1587" s="209">
        <v>0.03</v>
      </c>
      <c r="H1587" s="198"/>
    </row>
    <row r="1588" spans="1:8" ht="15.75" hidden="1" customHeight="1" x14ac:dyDescent="0.25">
      <c r="A1588" s="205" t="s">
        <v>2191</v>
      </c>
      <c r="B1588" s="206">
        <v>92714</v>
      </c>
      <c r="C1588" s="207" t="s">
        <v>2195</v>
      </c>
      <c r="D1588" s="208" t="s">
        <v>2193</v>
      </c>
      <c r="E1588" s="209">
        <v>0.2</v>
      </c>
      <c r="F1588" s="209">
        <v>0</v>
      </c>
      <c r="G1588" s="209">
        <v>0.2</v>
      </c>
      <c r="H1588" s="198"/>
    </row>
    <row r="1589" spans="1:8" ht="15.75" hidden="1" customHeight="1" x14ac:dyDescent="0.25">
      <c r="A1589" s="205" t="s">
        <v>2191</v>
      </c>
      <c r="B1589" s="206">
        <v>92715</v>
      </c>
      <c r="C1589" s="207" t="s">
        <v>2196</v>
      </c>
      <c r="D1589" s="208" t="s">
        <v>2193</v>
      </c>
      <c r="E1589" s="209">
        <v>104.3</v>
      </c>
      <c r="F1589" s="209">
        <v>0</v>
      </c>
      <c r="G1589" s="209">
        <v>104.3</v>
      </c>
      <c r="H1589" s="198"/>
    </row>
    <row r="1590" spans="1:8" ht="15.75" hidden="1" customHeight="1" x14ac:dyDescent="0.25">
      <c r="A1590" s="205" t="s">
        <v>2191</v>
      </c>
      <c r="B1590" s="206">
        <v>103666</v>
      </c>
      <c r="C1590" s="207" t="s">
        <v>2197</v>
      </c>
      <c r="D1590" s="208" t="s">
        <v>2193</v>
      </c>
      <c r="E1590" s="209">
        <v>143.56</v>
      </c>
      <c r="F1590" s="209">
        <v>0</v>
      </c>
      <c r="G1590" s="209">
        <v>143.56</v>
      </c>
      <c r="H1590" s="198"/>
    </row>
    <row r="1591" spans="1:8" ht="15.75" hidden="1" customHeight="1" x14ac:dyDescent="0.25">
      <c r="A1591" s="205" t="s">
        <v>2191</v>
      </c>
      <c r="B1591" s="206">
        <v>89212</v>
      </c>
      <c r="C1591" s="207" t="s">
        <v>2198</v>
      </c>
      <c r="D1591" s="208" t="s">
        <v>2193</v>
      </c>
      <c r="E1591" s="209">
        <v>29.7</v>
      </c>
      <c r="F1591" s="209">
        <v>0</v>
      </c>
      <c r="G1591" s="209">
        <v>29.7</v>
      </c>
      <c r="H1591" s="198"/>
    </row>
    <row r="1592" spans="1:8" ht="15.75" hidden="1" customHeight="1" x14ac:dyDescent="0.25">
      <c r="A1592" s="205" t="s">
        <v>2191</v>
      </c>
      <c r="B1592" s="206">
        <v>89213</v>
      </c>
      <c r="C1592" s="207" t="s">
        <v>2199</v>
      </c>
      <c r="D1592" s="208" t="s">
        <v>2193</v>
      </c>
      <c r="E1592" s="209">
        <v>9.16</v>
      </c>
      <c r="F1592" s="209">
        <v>0</v>
      </c>
      <c r="G1592" s="209">
        <v>9.16</v>
      </c>
      <c r="H1592" s="198"/>
    </row>
    <row r="1593" spans="1:8" ht="15.75" hidden="1" customHeight="1" x14ac:dyDescent="0.25">
      <c r="A1593" s="205" t="s">
        <v>2191</v>
      </c>
      <c r="B1593" s="206">
        <v>89214</v>
      </c>
      <c r="C1593" s="207" t="s">
        <v>2200</v>
      </c>
      <c r="D1593" s="208" t="s">
        <v>2193</v>
      </c>
      <c r="E1593" s="209">
        <v>27.88</v>
      </c>
      <c r="F1593" s="209">
        <v>0</v>
      </c>
      <c r="G1593" s="209">
        <v>27.88</v>
      </c>
      <c r="H1593" s="198"/>
    </row>
    <row r="1594" spans="1:8" ht="15.75" hidden="1" customHeight="1" x14ac:dyDescent="0.25">
      <c r="A1594" s="205" t="s">
        <v>2191</v>
      </c>
      <c r="B1594" s="206">
        <v>89215</v>
      </c>
      <c r="C1594" s="207" t="s">
        <v>2201</v>
      </c>
      <c r="D1594" s="208" t="s">
        <v>2193</v>
      </c>
      <c r="E1594" s="209">
        <v>98.24</v>
      </c>
      <c r="F1594" s="209">
        <v>0</v>
      </c>
      <c r="G1594" s="209">
        <v>98.24</v>
      </c>
      <c r="H1594" s="198"/>
    </row>
    <row r="1595" spans="1:8" ht="15.75" hidden="1" customHeight="1" x14ac:dyDescent="0.25">
      <c r="A1595" s="205" t="s">
        <v>2191</v>
      </c>
      <c r="B1595" s="206">
        <v>87441</v>
      </c>
      <c r="C1595" s="207" t="s">
        <v>2202</v>
      </c>
      <c r="D1595" s="208" t="s">
        <v>2193</v>
      </c>
      <c r="E1595" s="209">
        <v>0.41</v>
      </c>
      <c r="F1595" s="209">
        <v>0</v>
      </c>
      <c r="G1595" s="209">
        <v>0.41</v>
      </c>
      <c r="H1595" s="198"/>
    </row>
    <row r="1596" spans="1:8" ht="15.75" hidden="1" customHeight="1" x14ac:dyDescent="0.25">
      <c r="A1596" s="205" t="s">
        <v>2191</v>
      </c>
      <c r="B1596" s="206">
        <v>87442</v>
      </c>
      <c r="C1596" s="207" t="s">
        <v>2203</v>
      </c>
      <c r="D1596" s="208" t="s">
        <v>2193</v>
      </c>
      <c r="E1596" s="209">
        <v>0.09</v>
      </c>
      <c r="F1596" s="209">
        <v>0</v>
      </c>
      <c r="G1596" s="209">
        <v>0.09</v>
      </c>
      <c r="H1596" s="198"/>
    </row>
    <row r="1597" spans="1:8" ht="15.75" hidden="1" customHeight="1" x14ac:dyDescent="0.25">
      <c r="A1597" s="205" t="s">
        <v>2191</v>
      </c>
      <c r="B1597" s="206">
        <v>87443</v>
      </c>
      <c r="C1597" s="207" t="s">
        <v>2204</v>
      </c>
      <c r="D1597" s="208" t="s">
        <v>2193</v>
      </c>
      <c r="E1597" s="209">
        <v>0.52</v>
      </c>
      <c r="F1597" s="209">
        <v>0</v>
      </c>
      <c r="G1597" s="209">
        <v>0.52</v>
      </c>
      <c r="H1597" s="198"/>
    </row>
    <row r="1598" spans="1:8" ht="15.75" hidden="1" customHeight="1" x14ac:dyDescent="0.25">
      <c r="A1598" s="205" t="s">
        <v>2191</v>
      </c>
      <c r="B1598" s="206">
        <v>87444</v>
      </c>
      <c r="C1598" s="207" t="s">
        <v>2205</v>
      </c>
      <c r="D1598" s="208" t="s">
        <v>2193</v>
      </c>
      <c r="E1598" s="209">
        <v>4.43</v>
      </c>
      <c r="F1598" s="209">
        <v>0</v>
      </c>
      <c r="G1598" s="209">
        <v>4.43</v>
      </c>
      <c r="H1598" s="198"/>
    </row>
    <row r="1599" spans="1:8" ht="15.75" hidden="1" customHeight="1" x14ac:dyDescent="0.25">
      <c r="A1599" s="205" t="s">
        <v>2191</v>
      </c>
      <c r="B1599" s="206">
        <v>93229</v>
      </c>
      <c r="C1599" s="207" t="s">
        <v>2206</v>
      </c>
      <c r="D1599" s="208" t="s">
        <v>2193</v>
      </c>
      <c r="E1599" s="209">
        <v>0.38</v>
      </c>
      <c r="F1599" s="209">
        <v>0</v>
      </c>
      <c r="G1599" s="209">
        <v>0.38</v>
      </c>
      <c r="H1599" s="198"/>
    </row>
    <row r="1600" spans="1:8" ht="15.75" hidden="1" customHeight="1" x14ac:dyDescent="0.25">
      <c r="A1600" s="205" t="s">
        <v>2191</v>
      </c>
      <c r="B1600" s="206">
        <v>93230</v>
      </c>
      <c r="C1600" s="207" t="s">
        <v>2207</v>
      </c>
      <c r="D1600" s="208" t="s">
        <v>2193</v>
      </c>
      <c r="E1600" s="209">
        <v>0.08</v>
      </c>
      <c r="F1600" s="209">
        <v>0</v>
      </c>
      <c r="G1600" s="209">
        <v>0.08</v>
      </c>
      <c r="H1600" s="198"/>
    </row>
    <row r="1601" spans="1:8" ht="15.75" hidden="1" customHeight="1" x14ac:dyDescent="0.25">
      <c r="A1601" s="205" t="s">
        <v>2191</v>
      </c>
      <c r="B1601" s="206">
        <v>93231</v>
      </c>
      <c r="C1601" s="207" t="s">
        <v>2208</v>
      </c>
      <c r="D1601" s="208" t="s">
        <v>2193</v>
      </c>
      <c r="E1601" s="209">
        <v>0.48</v>
      </c>
      <c r="F1601" s="209">
        <v>0</v>
      </c>
      <c r="G1601" s="209">
        <v>0.48</v>
      </c>
      <c r="H1601" s="198"/>
    </row>
    <row r="1602" spans="1:8" ht="15.75" hidden="1" customHeight="1" x14ac:dyDescent="0.25">
      <c r="A1602" s="205" t="s">
        <v>2191</v>
      </c>
      <c r="B1602" s="206">
        <v>93232</v>
      </c>
      <c r="C1602" s="207" t="s">
        <v>2209</v>
      </c>
      <c r="D1602" s="208" t="s">
        <v>2193</v>
      </c>
      <c r="E1602" s="209">
        <v>5.14</v>
      </c>
      <c r="F1602" s="209">
        <v>0</v>
      </c>
      <c r="G1602" s="209">
        <v>5.14</v>
      </c>
      <c r="H1602" s="198"/>
    </row>
    <row r="1603" spans="1:8" ht="15.75" hidden="1" customHeight="1" x14ac:dyDescent="0.25">
      <c r="A1603" s="205" t="s">
        <v>2191</v>
      </c>
      <c r="B1603" s="206">
        <v>102951</v>
      </c>
      <c r="C1603" s="207" t="s">
        <v>2210</v>
      </c>
      <c r="D1603" s="208" t="s">
        <v>2193</v>
      </c>
      <c r="E1603" s="209">
        <v>0.44</v>
      </c>
      <c r="F1603" s="209">
        <v>0</v>
      </c>
      <c r="G1603" s="209">
        <v>0.44</v>
      </c>
      <c r="H1603" s="198"/>
    </row>
    <row r="1604" spans="1:8" ht="15.75" hidden="1" customHeight="1" x14ac:dyDescent="0.25">
      <c r="A1604" s="205" t="s">
        <v>2191</v>
      </c>
      <c r="B1604" s="206">
        <v>88826</v>
      </c>
      <c r="C1604" s="207" t="s">
        <v>2211</v>
      </c>
      <c r="D1604" s="208" t="s">
        <v>2193</v>
      </c>
      <c r="E1604" s="209">
        <v>0.3</v>
      </c>
      <c r="F1604" s="209">
        <v>0</v>
      </c>
      <c r="G1604" s="209">
        <v>0.3</v>
      </c>
      <c r="H1604" s="198"/>
    </row>
    <row r="1605" spans="1:8" ht="15.75" hidden="1" customHeight="1" x14ac:dyDescent="0.25">
      <c r="A1605" s="205" t="s">
        <v>2191</v>
      </c>
      <c r="B1605" s="206">
        <v>88827</v>
      </c>
      <c r="C1605" s="207" t="s">
        <v>2212</v>
      </c>
      <c r="D1605" s="208" t="s">
        <v>2193</v>
      </c>
      <c r="E1605" s="209">
        <v>7.0000000000000007E-2</v>
      </c>
      <c r="F1605" s="209">
        <v>0</v>
      </c>
      <c r="G1605" s="209">
        <v>7.0000000000000007E-2</v>
      </c>
      <c r="H1605" s="198"/>
    </row>
    <row r="1606" spans="1:8" ht="15.75" hidden="1" customHeight="1" x14ac:dyDescent="0.25">
      <c r="A1606" s="205" t="s">
        <v>2191</v>
      </c>
      <c r="B1606" s="206">
        <v>88828</v>
      </c>
      <c r="C1606" s="207" t="s">
        <v>2213</v>
      </c>
      <c r="D1606" s="208" t="s">
        <v>2193</v>
      </c>
      <c r="E1606" s="209">
        <v>0.33</v>
      </c>
      <c r="F1606" s="209">
        <v>0</v>
      </c>
      <c r="G1606" s="209">
        <v>0.33</v>
      </c>
      <c r="H1606" s="198"/>
    </row>
    <row r="1607" spans="1:8" ht="15.75" hidden="1" customHeight="1" x14ac:dyDescent="0.25">
      <c r="A1607" s="205" t="s">
        <v>2191</v>
      </c>
      <c r="B1607" s="206">
        <v>88829</v>
      </c>
      <c r="C1607" s="207" t="s">
        <v>2214</v>
      </c>
      <c r="D1607" s="208" t="s">
        <v>2193</v>
      </c>
      <c r="E1607" s="209">
        <v>0.88</v>
      </c>
      <c r="F1607" s="209">
        <v>0</v>
      </c>
      <c r="G1607" s="209">
        <v>0.88</v>
      </c>
      <c r="H1607" s="198"/>
    </row>
    <row r="1608" spans="1:8" ht="15.75" hidden="1" customHeight="1" x14ac:dyDescent="0.25">
      <c r="A1608" s="205" t="s">
        <v>2191</v>
      </c>
      <c r="B1608" s="206">
        <v>89221</v>
      </c>
      <c r="C1608" s="207" t="s">
        <v>2215</v>
      </c>
      <c r="D1608" s="208" t="s">
        <v>2193</v>
      </c>
      <c r="E1608" s="209">
        <v>1.24</v>
      </c>
      <c r="F1608" s="209">
        <v>0</v>
      </c>
      <c r="G1608" s="209">
        <v>1.24</v>
      </c>
      <c r="H1608" s="198"/>
    </row>
    <row r="1609" spans="1:8" ht="15.75" hidden="1" customHeight="1" x14ac:dyDescent="0.25">
      <c r="A1609" s="205" t="s">
        <v>2191</v>
      </c>
      <c r="B1609" s="206">
        <v>89222</v>
      </c>
      <c r="C1609" s="207" t="s">
        <v>2216</v>
      </c>
      <c r="D1609" s="208" t="s">
        <v>2193</v>
      </c>
      <c r="E1609" s="209">
        <v>0.28000000000000003</v>
      </c>
      <c r="F1609" s="209">
        <v>0</v>
      </c>
      <c r="G1609" s="209">
        <v>0.28000000000000003</v>
      </c>
      <c r="H1609" s="198"/>
    </row>
    <row r="1610" spans="1:8" ht="15.75" hidden="1" customHeight="1" x14ac:dyDescent="0.25">
      <c r="A1610" s="205" t="s">
        <v>2191</v>
      </c>
      <c r="B1610" s="206">
        <v>89223</v>
      </c>
      <c r="C1610" s="207" t="s">
        <v>2217</v>
      </c>
      <c r="D1610" s="208" t="s">
        <v>2193</v>
      </c>
      <c r="E1610" s="209">
        <v>1.36</v>
      </c>
      <c r="F1610" s="209">
        <v>0</v>
      </c>
      <c r="G1610" s="209">
        <v>1.36</v>
      </c>
      <c r="H1610" s="198"/>
    </row>
    <row r="1611" spans="1:8" ht="15.75" hidden="1" customHeight="1" x14ac:dyDescent="0.25">
      <c r="A1611" s="205" t="s">
        <v>2191</v>
      </c>
      <c r="B1611" s="206">
        <v>89224</v>
      </c>
      <c r="C1611" s="207" t="s">
        <v>2218</v>
      </c>
      <c r="D1611" s="208" t="s">
        <v>2193</v>
      </c>
      <c r="E1611" s="209">
        <v>1.77</v>
      </c>
      <c r="F1611" s="209">
        <v>0</v>
      </c>
      <c r="G1611" s="209">
        <v>1.77</v>
      </c>
      <c r="H1611" s="198"/>
    </row>
    <row r="1612" spans="1:8" ht="15.75" hidden="1" customHeight="1" x14ac:dyDescent="0.25">
      <c r="A1612" s="205" t="s">
        <v>2191</v>
      </c>
      <c r="B1612" s="206">
        <v>89274</v>
      </c>
      <c r="C1612" s="207" t="s">
        <v>2219</v>
      </c>
      <c r="D1612" s="208" t="s">
        <v>2193</v>
      </c>
      <c r="E1612" s="209">
        <v>1.51</v>
      </c>
      <c r="F1612" s="209">
        <v>0</v>
      </c>
      <c r="G1612" s="209">
        <v>1.51</v>
      </c>
      <c r="H1612" s="198"/>
    </row>
    <row r="1613" spans="1:8" ht="15.75" hidden="1" customHeight="1" x14ac:dyDescent="0.25">
      <c r="A1613" s="205" t="s">
        <v>2191</v>
      </c>
      <c r="B1613" s="206">
        <v>89275</v>
      </c>
      <c r="C1613" s="207" t="s">
        <v>2220</v>
      </c>
      <c r="D1613" s="208" t="s">
        <v>2193</v>
      </c>
      <c r="E1613" s="209">
        <v>0.35</v>
      </c>
      <c r="F1613" s="209">
        <v>0</v>
      </c>
      <c r="G1613" s="209">
        <v>0.35</v>
      </c>
      <c r="H1613" s="198"/>
    </row>
    <row r="1614" spans="1:8" ht="15.75" hidden="1" customHeight="1" x14ac:dyDescent="0.25">
      <c r="A1614" s="205" t="s">
        <v>2191</v>
      </c>
      <c r="B1614" s="206">
        <v>89276</v>
      </c>
      <c r="C1614" s="207" t="s">
        <v>2221</v>
      </c>
      <c r="D1614" s="208" t="s">
        <v>2193</v>
      </c>
      <c r="E1614" s="209">
        <v>1.89</v>
      </c>
      <c r="F1614" s="209">
        <v>0</v>
      </c>
      <c r="G1614" s="209">
        <v>1.89</v>
      </c>
      <c r="H1614" s="198"/>
    </row>
    <row r="1615" spans="1:8" ht="15.75" hidden="1" customHeight="1" x14ac:dyDescent="0.25">
      <c r="A1615" s="205" t="s">
        <v>2191</v>
      </c>
      <c r="B1615" s="206">
        <v>89277</v>
      </c>
      <c r="C1615" s="207" t="s">
        <v>2222</v>
      </c>
      <c r="D1615" s="208" t="s">
        <v>2193</v>
      </c>
      <c r="E1615" s="209">
        <v>8.86</v>
      </c>
      <c r="F1615" s="209">
        <v>0</v>
      </c>
      <c r="G1615" s="209">
        <v>8.86</v>
      </c>
      <c r="H1615" s="198"/>
    </row>
    <row r="1616" spans="1:8" ht="15.75" hidden="1" customHeight="1" x14ac:dyDescent="0.25">
      <c r="A1616" s="205" t="s">
        <v>2191</v>
      </c>
      <c r="B1616" s="206">
        <v>90646</v>
      </c>
      <c r="C1616" s="207" t="s">
        <v>2223</v>
      </c>
      <c r="D1616" s="208" t="s">
        <v>2193</v>
      </c>
      <c r="E1616" s="209">
        <v>0.75</v>
      </c>
      <c r="F1616" s="209">
        <v>0</v>
      </c>
      <c r="G1616" s="209">
        <v>0.75</v>
      </c>
      <c r="H1616" s="198"/>
    </row>
    <row r="1617" spans="1:8" ht="15.75" hidden="1" customHeight="1" x14ac:dyDescent="0.25">
      <c r="A1617" s="205" t="s">
        <v>2191</v>
      </c>
      <c r="B1617" s="206">
        <v>90647</v>
      </c>
      <c r="C1617" s="207" t="s">
        <v>2224</v>
      </c>
      <c r="D1617" s="208" t="s">
        <v>2193</v>
      </c>
      <c r="E1617" s="209">
        <v>0.17</v>
      </c>
      <c r="F1617" s="209">
        <v>0</v>
      </c>
      <c r="G1617" s="209">
        <v>0.17</v>
      </c>
      <c r="H1617" s="198"/>
    </row>
    <row r="1618" spans="1:8" ht="15.75" hidden="1" customHeight="1" x14ac:dyDescent="0.25">
      <c r="A1618" s="205" t="s">
        <v>2191</v>
      </c>
      <c r="B1618" s="206">
        <v>90648</v>
      </c>
      <c r="C1618" s="207" t="s">
        <v>2225</v>
      </c>
      <c r="D1618" s="208" t="s">
        <v>2193</v>
      </c>
      <c r="E1618" s="209">
        <v>0.82</v>
      </c>
      <c r="F1618" s="209">
        <v>0</v>
      </c>
      <c r="G1618" s="209">
        <v>0.82</v>
      </c>
      <c r="H1618" s="198"/>
    </row>
    <row r="1619" spans="1:8" ht="15.75" hidden="1" customHeight="1" x14ac:dyDescent="0.25">
      <c r="A1619" s="205" t="s">
        <v>2191</v>
      </c>
      <c r="B1619" s="206">
        <v>90649</v>
      </c>
      <c r="C1619" s="207" t="s">
        <v>2226</v>
      </c>
      <c r="D1619" s="208" t="s">
        <v>2193</v>
      </c>
      <c r="E1619" s="209">
        <v>6.94</v>
      </c>
      <c r="F1619" s="209">
        <v>0</v>
      </c>
      <c r="G1619" s="209">
        <v>6.94</v>
      </c>
      <c r="H1619" s="198"/>
    </row>
    <row r="1620" spans="1:8" ht="15.75" hidden="1" customHeight="1" x14ac:dyDescent="0.25">
      <c r="A1620" s="205" t="s">
        <v>2191</v>
      </c>
      <c r="B1620" s="206">
        <v>90652</v>
      </c>
      <c r="C1620" s="207" t="s">
        <v>2227</v>
      </c>
      <c r="D1620" s="208" t="s">
        <v>2193</v>
      </c>
      <c r="E1620" s="209">
        <v>3.74</v>
      </c>
      <c r="F1620" s="209">
        <v>0</v>
      </c>
      <c r="G1620" s="209">
        <v>3.74</v>
      </c>
      <c r="H1620" s="198"/>
    </row>
    <row r="1621" spans="1:8" ht="15.75" hidden="1" customHeight="1" x14ac:dyDescent="0.25">
      <c r="A1621" s="205" t="s">
        <v>2191</v>
      </c>
      <c r="B1621" s="206">
        <v>90653</v>
      </c>
      <c r="C1621" s="207" t="s">
        <v>2228</v>
      </c>
      <c r="D1621" s="208" t="s">
        <v>2193</v>
      </c>
      <c r="E1621" s="209">
        <v>0.86</v>
      </c>
      <c r="F1621" s="209">
        <v>0</v>
      </c>
      <c r="G1621" s="209">
        <v>0.86</v>
      </c>
      <c r="H1621" s="198"/>
    </row>
    <row r="1622" spans="1:8" ht="15.75" hidden="1" customHeight="1" x14ac:dyDescent="0.25">
      <c r="A1622" s="205" t="s">
        <v>2191</v>
      </c>
      <c r="B1622" s="206">
        <v>90654</v>
      </c>
      <c r="C1622" s="207" t="s">
        <v>2229</v>
      </c>
      <c r="D1622" s="208" t="s">
        <v>2193</v>
      </c>
      <c r="E1622" s="209">
        <v>4.09</v>
      </c>
      <c r="F1622" s="209">
        <v>0</v>
      </c>
      <c r="G1622" s="209">
        <v>4.09</v>
      </c>
      <c r="H1622" s="198"/>
    </row>
    <row r="1623" spans="1:8" ht="15.75" hidden="1" customHeight="1" x14ac:dyDescent="0.25">
      <c r="A1623" s="205" t="s">
        <v>2191</v>
      </c>
      <c r="B1623" s="206">
        <v>90655</v>
      </c>
      <c r="C1623" s="207" t="s">
        <v>2230</v>
      </c>
      <c r="D1623" s="208" t="s">
        <v>2193</v>
      </c>
      <c r="E1623" s="209">
        <v>4.5599999999999996</v>
      </c>
      <c r="F1623" s="209">
        <v>0</v>
      </c>
      <c r="G1623" s="209">
        <v>4.5599999999999996</v>
      </c>
      <c r="H1623" s="198"/>
    </row>
    <row r="1624" spans="1:8" ht="15.75" hidden="1" customHeight="1" x14ac:dyDescent="0.25">
      <c r="A1624" s="205" t="s">
        <v>2191</v>
      </c>
      <c r="B1624" s="206">
        <v>90658</v>
      </c>
      <c r="C1624" s="207" t="s">
        <v>2231</v>
      </c>
      <c r="D1624" s="208" t="s">
        <v>2193</v>
      </c>
      <c r="E1624" s="209">
        <v>4.01</v>
      </c>
      <c r="F1624" s="209">
        <v>0</v>
      </c>
      <c r="G1624" s="209">
        <v>4.01</v>
      </c>
      <c r="H1624" s="198"/>
    </row>
    <row r="1625" spans="1:8" ht="15.75" hidden="1" customHeight="1" x14ac:dyDescent="0.25">
      <c r="A1625" s="205" t="s">
        <v>2191</v>
      </c>
      <c r="B1625" s="206">
        <v>90659</v>
      </c>
      <c r="C1625" s="207" t="s">
        <v>2232</v>
      </c>
      <c r="D1625" s="208" t="s">
        <v>2193</v>
      </c>
      <c r="E1625" s="209">
        <v>0.92</v>
      </c>
      <c r="F1625" s="209">
        <v>0</v>
      </c>
      <c r="G1625" s="209">
        <v>0.92</v>
      </c>
      <c r="H1625" s="198"/>
    </row>
    <row r="1626" spans="1:8" ht="15.75" hidden="1" customHeight="1" x14ac:dyDescent="0.25">
      <c r="A1626" s="205" t="s">
        <v>2191</v>
      </c>
      <c r="B1626" s="206">
        <v>90660</v>
      </c>
      <c r="C1626" s="207" t="s">
        <v>2233</v>
      </c>
      <c r="D1626" s="208" t="s">
        <v>2193</v>
      </c>
      <c r="E1626" s="209">
        <v>4.38</v>
      </c>
      <c r="F1626" s="209">
        <v>0</v>
      </c>
      <c r="G1626" s="209">
        <v>4.38</v>
      </c>
      <c r="H1626" s="198"/>
    </row>
    <row r="1627" spans="1:8" ht="15.75" hidden="1" customHeight="1" x14ac:dyDescent="0.25">
      <c r="A1627" s="205" t="s">
        <v>2191</v>
      </c>
      <c r="B1627" s="206">
        <v>90661</v>
      </c>
      <c r="C1627" s="207" t="s">
        <v>2234</v>
      </c>
      <c r="D1627" s="208" t="s">
        <v>2193</v>
      </c>
      <c r="E1627" s="209">
        <v>4.5599999999999996</v>
      </c>
      <c r="F1627" s="209">
        <v>0</v>
      </c>
      <c r="G1627" s="209">
        <v>4.5599999999999996</v>
      </c>
      <c r="H1627" s="198"/>
    </row>
    <row r="1628" spans="1:8" ht="15.75" hidden="1" customHeight="1" x14ac:dyDescent="0.25">
      <c r="A1628" s="205" t="s">
        <v>2191</v>
      </c>
      <c r="B1628" s="206">
        <v>89019</v>
      </c>
      <c r="C1628" s="207" t="s">
        <v>2235</v>
      </c>
      <c r="D1628" s="208" t="s">
        <v>2193</v>
      </c>
      <c r="E1628" s="209">
        <v>0.44</v>
      </c>
      <c r="F1628" s="209">
        <v>0</v>
      </c>
      <c r="G1628" s="209">
        <v>0.44</v>
      </c>
      <c r="H1628" s="198"/>
    </row>
    <row r="1629" spans="1:8" ht="15.75" hidden="1" customHeight="1" x14ac:dyDescent="0.25">
      <c r="A1629" s="205" t="s">
        <v>2191</v>
      </c>
      <c r="B1629" s="206">
        <v>89020</v>
      </c>
      <c r="C1629" s="207" t="s">
        <v>2236</v>
      </c>
      <c r="D1629" s="208" t="s">
        <v>2193</v>
      </c>
      <c r="E1629" s="209">
        <v>0.1</v>
      </c>
      <c r="F1629" s="209">
        <v>0</v>
      </c>
      <c r="G1629" s="209">
        <v>0.1</v>
      </c>
      <c r="H1629" s="198"/>
    </row>
    <row r="1630" spans="1:8" ht="15.75" hidden="1" customHeight="1" x14ac:dyDescent="0.25">
      <c r="A1630" s="205" t="s">
        <v>2191</v>
      </c>
      <c r="B1630" s="206">
        <v>5800</v>
      </c>
      <c r="C1630" s="207" t="s">
        <v>2237</v>
      </c>
      <c r="D1630" s="208" t="s">
        <v>2193</v>
      </c>
      <c r="E1630" s="209">
        <v>0.48</v>
      </c>
      <c r="F1630" s="209">
        <v>0</v>
      </c>
      <c r="G1630" s="209">
        <v>0.48</v>
      </c>
      <c r="H1630" s="198"/>
    </row>
    <row r="1631" spans="1:8" ht="15.75" hidden="1" customHeight="1" x14ac:dyDescent="0.25">
      <c r="A1631" s="205" t="s">
        <v>2191</v>
      </c>
      <c r="B1631" s="206">
        <v>53866</v>
      </c>
      <c r="C1631" s="207" t="s">
        <v>2238</v>
      </c>
      <c r="D1631" s="208" t="s">
        <v>2193</v>
      </c>
      <c r="E1631" s="209">
        <v>1.37</v>
      </c>
      <c r="F1631" s="209">
        <v>0</v>
      </c>
      <c r="G1631" s="209">
        <v>1.37</v>
      </c>
      <c r="H1631" s="198"/>
    </row>
    <row r="1632" spans="1:8" ht="15.75" hidden="1" customHeight="1" x14ac:dyDescent="0.25">
      <c r="A1632" s="205" t="s">
        <v>2191</v>
      </c>
      <c r="B1632" s="206">
        <v>90639</v>
      </c>
      <c r="C1632" s="207" t="s">
        <v>2239</v>
      </c>
      <c r="D1632" s="208" t="s">
        <v>2193</v>
      </c>
      <c r="E1632" s="209">
        <v>5.75</v>
      </c>
      <c r="F1632" s="209">
        <v>0</v>
      </c>
      <c r="G1632" s="209">
        <v>5.75</v>
      </c>
      <c r="H1632" s="198"/>
    </row>
    <row r="1633" spans="1:8" ht="15.75" hidden="1" customHeight="1" x14ac:dyDescent="0.25">
      <c r="A1633" s="205" t="s">
        <v>2191</v>
      </c>
      <c r="B1633" s="206">
        <v>90640</v>
      </c>
      <c r="C1633" s="207" t="s">
        <v>2240</v>
      </c>
      <c r="D1633" s="208" t="s">
        <v>2193</v>
      </c>
      <c r="E1633" s="209">
        <v>1.33</v>
      </c>
      <c r="F1633" s="209">
        <v>0</v>
      </c>
      <c r="G1633" s="209">
        <v>1.33</v>
      </c>
      <c r="H1633" s="198"/>
    </row>
    <row r="1634" spans="1:8" ht="15.75" hidden="1" customHeight="1" x14ac:dyDescent="0.25">
      <c r="A1634" s="205" t="s">
        <v>2191</v>
      </c>
      <c r="B1634" s="206">
        <v>90641</v>
      </c>
      <c r="C1634" s="207" t="s">
        <v>2241</v>
      </c>
      <c r="D1634" s="208" t="s">
        <v>2193</v>
      </c>
      <c r="E1634" s="209">
        <v>6.29</v>
      </c>
      <c r="F1634" s="209">
        <v>0</v>
      </c>
      <c r="G1634" s="209">
        <v>6.29</v>
      </c>
      <c r="H1634" s="198"/>
    </row>
    <row r="1635" spans="1:8" ht="15.75" hidden="1" customHeight="1" x14ac:dyDescent="0.25">
      <c r="A1635" s="205" t="s">
        <v>2191</v>
      </c>
      <c r="B1635" s="206">
        <v>90642</v>
      </c>
      <c r="C1635" s="207" t="s">
        <v>2242</v>
      </c>
      <c r="D1635" s="208" t="s">
        <v>2193</v>
      </c>
      <c r="E1635" s="209">
        <v>13.29</v>
      </c>
      <c r="F1635" s="209">
        <v>0</v>
      </c>
      <c r="G1635" s="209">
        <v>13.29</v>
      </c>
      <c r="H1635" s="198"/>
    </row>
    <row r="1636" spans="1:8" ht="15.75" hidden="1" customHeight="1" x14ac:dyDescent="0.25">
      <c r="A1636" s="205" t="s">
        <v>2191</v>
      </c>
      <c r="B1636" s="206">
        <v>102809</v>
      </c>
      <c r="C1636" s="207" t="s">
        <v>2243</v>
      </c>
      <c r="D1636" s="208" t="s">
        <v>2193</v>
      </c>
      <c r="E1636" s="209">
        <v>16.72</v>
      </c>
      <c r="F1636" s="209">
        <v>0</v>
      </c>
      <c r="G1636" s="209">
        <v>16.72</v>
      </c>
      <c r="H1636" s="198"/>
    </row>
    <row r="1637" spans="1:8" ht="15.75" hidden="1" customHeight="1" x14ac:dyDescent="0.25">
      <c r="A1637" s="205" t="s">
        <v>2191</v>
      </c>
      <c r="B1637" s="206">
        <v>92140</v>
      </c>
      <c r="C1637" s="207" t="s">
        <v>2244</v>
      </c>
      <c r="D1637" s="208" t="s">
        <v>2193</v>
      </c>
      <c r="E1637" s="209">
        <v>4.66</v>
      </c>
      <c r="F1637" s="209">
        <v>0</v>
      </c>
      <c r="G1637" s="209">
        <v>4.66</v>
      </c>
      <c r="H1637" s="198"/>
    </row>
    <row r="1638" spans="1:8" ht="15.75" hidden="1" customHeight="1" x14ac:dyDescent="0.25">
      <c r="A1638" s="205" t="s">
        <v>2191</v>
      </c>
      <c r="B1638" s="206">
        <v>92142</v>
      </c>
      <c r="C1638" s="207" t="s">
        <v>2245</v>
      </c>
      <c r="D1638" s="208" t="s">
        <v>2193</v>
      </c>
      <c r="E1638" s="209">
        <v>0.57999999999999996</v>
      </c>
      <c r="F1638" s="209">
        <v>0</v>
      </c>
      <c r="G1638" s="209">
        <v>0.57999999999999996</v>
      </c>
      <c r="H1638" s="198"/>
    </row>
    <row r="1639" spans="1:8" ht="15.75" hidden="1" customHeight="1" x14ac:dyDescent="0.25">
      <c r="A1639" s="205" t="s">
        <v>2191</v>
      </c>
      <c r="B1639" s="206">
        <v>92141</v>
      </c>
      <c r="C1639" s="207" t="s">
        <v>2246</v>
      </c>
      <c r="D1639" s="208" t="s">
        <v>2193</v>
      </c>
      <c r="E1639" s="209">
        <v>1.43</v>
      </c>
      <c r="F1639" s="209">
        <v>0</v>
      </c>
      <c r="G1639" s="209">
        <v>1.43</v>
      </c>
      <c r="H1639" s="198"/>
    </row>
    <row r="1640" spans="1:8" ht="15.75" hidden="1" customHeight="1" x14ac:dyDescent="0.25">
      <c r="A1640" s="205" t="s">
        <v>2191</v>
      </c>
      <c r="B1640" s="206">
        <v>92143</v>
      </c>
      <c r="C1640" s="207" t="s">
        <v>2247</v>
      </c>
      <c r="D1640" s="208" t="s">
        <v>2193</v>
      </c>
      <c r="E1640" s="209">
        <v>5.83</v>
      </c>
      <c r="F1640" s="209">
        <v>0</v>
      </c>
      <c r="G1640" s="209">
        <v>5.83</v>
      </c>
      <c r="H1640" s="198"/>
    </row>
    <row r="1641" spans="1:8" ht="15.75" hidden="1" customHeight="1" x14ac:dyDescent="0.25">
      <c r="A1641" s="205" t="s">
        <v>2191</v>
      </c>
      <c r="B1641" s="206">
        <v>92144</v>
      </c>
      <c r="C1641" s="207" t="s">
        <v>2248</v>
      </c>
      <c r="D1641" s="208" t="s">
        <v>2193</v>
      </c>
      <c r="E1641" s="209">
        <v>44.68</v>
      </c>
      <c r="F1641" s="209">
        <v>0</v>
      </c>
      <c r="G1641" s="209">
        <v>44.68</v>
      </c>
      <c r="H1641" s="198"/>
    </row>
    <row r="1642" spans="1:8" ht="15.75" hidden="1" customHeight="1" x14ac:dyDescent="0.25">
      <c r="A1642" s="205" t="s">
        <v>2191</v>
      </c>
      <c r="B1642" s="206">
        <v>92133</v>
      </c>
      <c r="C1642" s="207" t="s">
        <v>2249</v>
      </c>
      <c r="D1642" s="208" t="s">
        <v>2193</v>
      </c>
      <c r="E1642" s="209">
        <v>12.74</v>
      </c>
      <c r="F1642" s="209">
        <v>0</v>
      </c>
      <c r="G1642" s="209">
        <v>12.74</v>
      </c>
      <c r="H1642" s="198"/>
    </row>
    <row r="1643" spans="1:8" ht="15.75" hidden="1" customHeight="1" x14ac:dyDescent="0.25">
      <c r="A1643" s="205" t="s">
        <v>2191</v>
      </c>
      <c r="B1643" s="206">
        <v>92135</v>
      </c>
      <c r="C1643" s="207" t="s">
        <v>2250</v>
      </c>
      <c r="D1643" s="208" t="s">
        <v>2193</v>
      </c>
      <c r="E1643" s="209">
        <v>1.59</v>
      </c>
      <c r="F1643" s="209">
        <v>0</v>
      </c>
      <c r="G1643" s="209">
        <v>1.59</v>
      </c>
      <c r="H1643" s="198"/>
    </row>
    <row r="1644" spans="1:8" ht="15.75" hidden="1" customHeight="1" x14ac:dyDescent="0.25">
      <c r="A1644" s="205" t="s">
        <v>2191</v>
      </c>
      <c r="B1644" s="206">
        <v>92134</v>
      </c>
      <c r="C1644" s="207" t="s">
        <v>2251</v>
      </c>
      <c r="D1644" s="208" t="s">
        <v>2193</v>
      </c>
      <c r="E1644" s="209">
        <v>3.92</v>
      </c>
      <c r="F1644" s="209">
        <v>0</v>
      </c>
      <c r="G1644" s="209">
        <v>3.92</v>
      </c>
      <c r="H1644" s="198"/>
    </row>
    <row r="1645" spans="1:8" ht="15.75" hidden="1" customHeight="1" x14ac:dyDescent="0.25">
      <c r="A1645" s="205" t="s">
        <v>2191</v>
      </c>
      <c r="B1645" s="206">
        <v>92136</v>
      </c>
      <c r="C1645" s="207" t="s">
        <v>2252</v>
      </c>
      <c r="D1645" s="208" t="s">
        <v>2193</v>
      </c>
      <c r="E1645" s="209">
        <v>15.92</v>
      </c>
      <c r="F1645" s="209">
        <v>0</v>
      </c>
      <c r="G1645" s="209">
        <v>15.92</v>
      </c>
      <c r="H1645" s="198"/>
    </row>
    <row r="1646" spans="1:8" ht="15.75" hidden="1" customHeight="1" x14ac:dyDescent="0.25">
      <c r="A1646" s="205" t="s">
        <v>2191</v>
      </c>
      <c r="B1646" s="206">
        <v>92137</v>
      </c>
      <c r="C1646" s="207" t="s">
        <v>2253</v>
      </c>
      <c r="D1646" s="208" t="s">
        <v>2193</v>
      </c>
      <c r="E1646" s="209">
        <v>37.28</v>
      </c>
      <c r="F1646" s="209">
        <v>0</v>
      </c>
      <c r="G1646" s="209">
        <v>37.28</v>
      </c>
      <c r="H1646" s="198"/>
    </row>
    <row r="1647" spans="1:8" ht="15.75" hidden="1" customHeight="1" x14ac:dyDescent="0.25">
      <c r="A1647" s="205" t="s">
        <v>2191</v>
      </c>
      <c r="B1647" s="206">
        <v>91380</v>
      </c>
      <c r="C1647" s="207" t="s">
        <v>2254</v>
      </c>
      <c r="D1647" s="208" t="s">
        <v>2193</v>
      </c>
      <c r="E1647" s="209">
        <v>29.3</v>
      </c>
      <c r="F1647" s="209">
        <v>0</v>
      </c>
      <c r="G1647" s="209">
        <v>29.3</v>
      </c>
      <c r="H1647" s="198"/>
    </row>
    <row r="1648" spans="1:8" ht="15.75" hidden="1" customHeight="1" x14ac:dyDescent="0.25">
      <c r="A1648" s="205" t="s">
        <v>2191</v>
      </c>
      <c r="B1648" s="206">
        <v>91382</v>
      </c>
      <c r="C1648" s="207" t="s">
        <v>2255</v>
      </c>
      <c r="D1648" s="208" t="s">
        <v>2193</v>
      </c>
      <c r="E1648" s="209">
        <v>4.58</v>
      </c>
      <c r="F1648" s="209">
        <v>0</v>
      </c>
      <c r="G1648" s="209">
        <v>4.58</v>
      </c>
      <c r="H1648" s="198"/>
    </row>
    <row r="1649" spans="1:8" ht="15.75" hidden="1" customHeight="1" x14ac:dyDescent="0.25">
      <c r="A1649" s="205" t="s">
        <v>2191</v>
      </c>
      <c r="B1649" s="206">
        <v>91381</v>
      </c>
      <c r="C1649" s="207" t="s">
        <v>2256</v>
      </c>
      <c r="D1649" s="208" t="s">
        <v>2193</v>
      </c>
      <c r="E1649" s="209">
        <v>11.33</v>
      </c>
      <c r="F1649" s="209">
        <v>0</v>
      </c>
      <c r="G1649" s="209">
        <v>11.33</v>
      </c>
      <c r="H1649" s="198"/>
    </row>
    <row r="1650" spans="1:8" ht="15.75" hidden="1" customHeight="1" x14ac:dyDescent="0.25">
      <c r="A1650" s="205" t="s">
        <v>2191</v>
      </c>
      <c r="B1650" s="206">
        <v>91383</v>
      </c>
      <c r="C1650" s="207" t="s">
        <v>2257</v>
      </c>
      <c r="D1650" s="208" t="s">
        <v>2193</v>
      </c>
      <c r="E1650" s="209">
        <v>52.94</v>
      </c>
      <c r="F1650" s="209">
        <v>0</v>
      </c>
      <c r="G1650" s="209">
        <v>52.94</v>
      </c>
      <c r="H1650" s="198"/>
    </row>
    <row r="1651" spans="1:8" ht="15.75" hidden="1" customHeight="1" x14ac:dyDescent="0.25">
      <c r="A1651" s="205" t="s">
        <v>2191</v>
      </c>
      <c r="B1651" s="206">
        <v>91384</v>
      </c>
      <c r="C1651" s="207" t="s">
        <v>2258</v>
      </c>
      <c r="D1651" s="208" t="s">
        <v>2193</v>
      </c>
      <c r="E1651" s="209">
        <v>150.02000000000001</v>
      </c>
      <c r="F1651" s="209">
        <v>0</v>
      </c>
      <c r="G1651" s="209">
        <v>150.02000000000001</v>
      </c>
      <c r="H1651" s="198"/>
    </row>
    <row r="1652" spans="1:8" ht="15.75" hidden="1" customHeight="1" x14ac:dyDescent="0.25">
      <c r="A1652" s="205" t="s">
        <v>2191</v>
      </c>
      <c r="B1652" s="206">
        <v>96030</v>
      </c>
      <c r="C1652" s="207" t="s">
        <v>2259</v>
      </c>
      <c r="D1652" s="208" t="s">
        <v>2193</v>
      </c>
      <c r="E1652" s="209">
        <v>35.770000000000003</v>
      </c>
      <c r="F1652" s="209">
        <v>0</v>
      </c>
      <c r="G1652" s="209">
        <v>35.770000000000003</v>
      </c>
      <c r="H1652" s="198"/>
    </row>
    <row r="1653" spans="1:8" ht="15.75" hidden="1" customHeight="1" x14ac:dyDescent="0.25">
      <c r="A1653" s="205" t="s">
        <v>2191</v>
      </c>
      <c r="B1653" s="206">
        <v>96032</v>
      </c>
      <c r="C1653" s="207" t="s">
        <v>2260</v>
      </c>
      <c r="D1653" s="208" t="s">
        <v>2193</v>
      </c>
      <c r="E1653" s="209">
        <v>5.09</v>
      </c>
      <c r="F1653" s="209">
        <v>0</v>
      </c>
      <c r="G1653" s="209">
        <v>5.09</v>
      </c>
      <c r="H1653" s="198"/>
    </row>
    <row r="1654" spans="1:8" ht="15.75" hidden="1" customHeight="1" x14ac:dyDescent="0.25">
      <c r="A1654" s="205" t="s">
        <v>2191</v>
      </c>
      <c r="B1654" s="206">
        <v>96031</v>
      </c>
      <c r="C1654" s="207" t="s">
        <v>2261</v>
      </c>
      <c r="D1654" s="208" t="s">
        <v>2193</v>
      </c>
      <c r="E1654" s="209">
        <v>12.66</v>
      </c>
      <c r="F1654" s="209">
        <v>0</v>
      </c>
      <c r="G1654" s="209">
        <v>12.66</v>
      </c>
      <c r="H1654" s="198"/>
    </row>
    <row r="1655" spans="1:8" ht="15.75" hidden="1" customHeight="1" x14ac:dyDescent="0.25">
      <c r="A1655" s="205" t="s">
        <v>2191</v>
      </c>
      <c r="B1655" s="206">
        <v>96033</v>
      </c>
      <c r="C1655" s="207" t="s">
        <v>2262</v>
      </c>
      <c r="D1655" s="208" t="s">
        <v>2193</v>
      </c>
      <c r="E1655" s="209">
        <v>58.33</v>
      </c>
      <c r="F1655" s="209">
        <v>0</v>
      </c>
      <c r="G1655" s="209">
        <v>58.33</v>
      </c>
      <c r="H1655" s="198"/>
    </row>
    <row r="1656" spans="1:8" ht="15.75" hidden="1" customHeight="1" x14ac:dyDescent="0.25">
      <c r="A1656" s="205" t="s">
        <v>2191</v>
      </c>
      <c r="B1656" s="206">
        <v>96034</v>
      </c>
      <c r="C1656" s="207" t="s">
        <v>2263</v>
      </c>
      <c r="D1656" s="208" t="s">
        <v>2193</v>
      </c>
      <c r="E1656" s="209">
        <v>150.02000000000001</v>
      </c>
      <c r="F1656" s="209">
        <v>0</v>
      </c>
      <c r="G1656" s="209">
        <v>150.02000000000001</v>
      </c>
      <c r="H1656" s="198"/>
    </row>
    <row r="1657" spans="1:8" ht="15.75" hidden="1" customHeight="1" x14ac:dyDescent="0.25">
      <c r="A1657" s="205" t="s">
        <v>2191</v>
      </c>
      <c r="B1657" s="206">
        <v>89870</v>
      </c>
      <c r="C1657" s="207" t="s">
        <v>2264</v>
      </c>
      <c r="D1657" s="208" t="s">
        <v>2193</v>
      </c>
      <c r="E1657" s="209">
        <v>37.01</v>
      </c>
      <c r="F1657" s="209">
        <v>0</v>
      </c>
      <c r="G1657" s="209">
        <v>37.01</v>
      </c>
      <c r="H1657" s="198"/>
    </row>
    <row r="1658" spans="1:8" ht="15.75" hidden="1" customHeight="1" x14ac:dyDescent="0.25">
      <c r="A1658" s="205" t="s">
        <v>2191</v>
      </c>
      <c r="B1658" s="206">
        <v>89872</v>
      </c>
      <c r="C1658" s="207" t="s">
        <v>2265</v>
      </c>
      <c r="D1658" s="208" t="s">
        <v>2193</v>
      </c>
      <c r="E1658" s="209">
        <v>5.28</v>
      </c>
      <c r="F1658" s="209">
        <v>0</v>
      </c>
      <c r="G1658" s="209">
        <v>5.28</v>
      </c>
      <c r="H1658" s="198"/>
    </row>
    <row r="1659" spans="1:8" ht="15.75" hidden="1" customHeight="1" x14ac:dyDescent="0.25">
      <c r="A1659" s="205" t="s">
        <v>2191</v>
      </c>
      <c r="B1659" s="206">
        <v>89871</v>
      </c>
      <c r="C1659" s="207" t="s">
        <v>2266</v>
      </c>
      <c r="D1659" s="208" t="s">
        <v>2193</v>
      </c>
      <c r="E1659" s="209">
        <v>13.07</v>
      </c>
      <c r="F1659" s="209">
        <v>0</v>
      </c>
      <c r="G1659" s="209">
        <v>13.07</v>
      </c>
      <c r="H1659" s="198"/>
    </row>
    <row r="1660" spans="1:8" ht="15.75" hidden="1" customHeight="1" x14ac:dyDescent="0.25">
      <c r="A1660" s="205" t="s">
        <v>2191</v>
      </c>
      <c r="B1660" s="206">
        <v>89873</v>
      </c>
      <c r="C1660" s="207" t="s">
        <v>2267</v>
      </c>
      <c r="D1660" s="208" t="s">
        <v>2193</v>
      </c>
      <c r="E1660" s="209">
        <v>63.48</v>
      </c>
      <c r="F1660" s="209">
        <v>0</v>
      </c>
      <c r="G1660" s="209">
        <v>63.48</v>
      </c>
      <c r="H1660" s="198"/>
    </row>
    <row r="1661" spans="1:8" ht="15.75" hidden="1" customHeight="1" x14ac:dyDescent="0.25">
      <c r="A1661" s="205" t="s">
        <v>2191</v>
      </c>
      <c r="B1661" s="206">
        <v>89874</v>
      </c>
      <c r="C1661" s="207" t="s">
        <v>2268</v>
      </c>
      <c r="D1661" s="208" t="s">
        <v>2193</v>
      </c>
      <c r="E1661" s="209">
        <v>186.54</v>
      </c>
      <c r="F1661" s="209">
        <v>0</v>
      </c>
      <c r="G1661" s="209">
        <v>186.54</v>
      </c>
      <c r="H1661" s="198"/>
    </row>
    <row r="1662" spans="1:8" ht="15.75" hidden="1" customHeight="1" x14ac:dyDescent="0.25">
      <c r="A1662" s="205" t="s">
        <v>2191</v>
      </c>
      <c r="B1662" s="206">
        <v>89878</v>
      </c>
      <c r="C1662" s="207" t="s">
        <v>2269</v>
      </c>
      <c r="D1662" s="208" t="s">
        <v>2193</v>
      </c>
      <c r="E1662" s="209">
        <v>39.549999999999997</v>
      </c>
      <c r="F1662" s="209">
        <v>0</v>
      </c>
      <c r="G1662" s="209">
        <v>39.549999999999997</v>
      </c>
      <c r="H1662" s="198"/>
    </row>
    <row r="1663" spans="1:8" ht="15.75" hidden="1" customHeight="1" x14ac:dyDescent="0.25">
      <c r="A1663" s="205" t="s">
        <v>2191</v>
      </c>
      <c r="B1663" s="206">
        <v>89880</v>
      </c>
      <c r="C1663" s="207" t="s">
        <v>2270</v>
      </c>
      <c r="D1663" s="208" t="s">
        <v>2193</v>
      </c>
      <c r="E1663" s="209">
        <v>5.55</v>
      </c>
      <c r="F1663" s="209">
        <v>0</v>
      </c>
      <c r="G1663" s="209">
        <v>5.55</v>
      </c>
      <c r="H1663" s="198"/>
    </row>
    <row r="1664" spans="1:8" ht="15.75" hidden="1" customHeight="1" x14ac:dyDescent="0.25">
      <c r="A1664" s="205" t="s">
        <v>2191</v>
      </c>
      <c r="B1664" s="206">
        <v>89879</v>
      </c>
      <c r="C1664" s="207" t="s">
        <v>2271</v>
      </c>
      <c r="D1664" s="208" t="s">
        <v>2193</v>
      </c>
      <c r="E1664" s="209">
        <v>13.74</v>
      </c>
      <c r="F1664" s="209">
        <v>0</v>
      </c>
      <c r="G1664" s="209">
        <v>13.74</v>
      </c>
      <c r="H1664" s="198"/>
    </row>
    <row r="1665" spans="1:8" ht="15.75" hidden="1" customHeight="1" x14ac:dyDescent="0.25">
      <c r="A1665" s="205" t="s">
        <v>2191</v>
      </c>
      <c r="B1665" s="206">
        <v>89881</v>
      </c>
      <c r="C1665" s="207" t="s">
        <v>2272</v>
      </c>
      <c r="D1665" s="208" t="s">
        <v>2193</v>
      </c>
      <c r="E1665" s="209">
        <v>67.2</v>
      </c>
      <c r="F1665" s="209">
        <v>0</v>
      </c>
      <c r="G1665" s="209">
        <v>67.2</v>
      </c>
      <c r="H1665" s="198"/>
    </row>
    <row r="1666" spans="1:8" ht="15.75" hidden="1" customHeight="1" x14ac:dyDescent="0.25">
      <c r="A1666" s="205" t="s">
        <v>2191</v>
      </c>
      <c r="B1666" s="206">
        <v>89882</v>
      </c>
      <c r="C1666" s="207" t="s">
        <v>2273</v>
      </c>
      <c r="D1666" s="208" t="s">
        <v>2193</v>
      </c>
      <c r="E1666" s="209">
        <v>215.22</v>
      </c>
      <c r="F1666" s="209">
        <v>0</v>
      </c>
      <c r="G1666" s="209">
        <v>215.22</v>
      </c>
      <c r="H1666" s="198"/>
    </row>
    <row r="1667" spans="1:8" ht="15.75" hidden="1" customHeight="1" x14ac:dyDescent="0.25">
      <c r="A1667" s="205" t="s">
        <v>2191</v>
      </c>
      <c r="B1667" s="206">
        <v>7058</v>
      </c>
      <c r="C1667" s="207" t="s">
        <v>2274</v>
      </c>
      <c r="D1667" s="208" t="s">
        <v>2193</v>
      </c>
      <c r="E1667" s="209">
        <v>23.05</v>
      </c>
      <c r="F1667" s="209">
        <v>0</v>
      </c>
      <c r="G1667" s="209">
        <v>23.05</v>
      </c>
      <c r="H1667" s="198"/>
    </row>
    <row r="1668" spans="1:8" ht="15.75" hidden="1" customHeight="1" x14ac:dyDescent="0.25">
      <c r="A1668" s="205" t="s">
        <v>2191</v>
      </c>
      <c r="B1668" s="206">
        <v>91402</v>
      </c>
      <c r="C1668" s="207" t="s">
        <v>2275</v>
      </c>
      <c r="D1668" s="208" t="s">
        <v>2193</v>
      </c>
      <c r="E1668" s="209">
        <v>3.61</v>
      </c>
      <c r="F1668" s="209">
        <v>0</v>
      </c>
      <c r="G1668" s="209">
        <v>3.61</v>
      </c>
      <c r="H1668" s="198"/>
    </row>
    <row r="1669" spans="1:8" ht="15.75" hidden="1" customHeight="1" x14ac:dyDescent="0.25">
      <c r="A1669" s="205" t="s">
        <v>2191</v>
      </c>
      <c r="B1669" s="206">
        <v>7059</v>
      </c>
      <c r="C1669" s="207" t="s">
        <v>2276</v>
      </c>
      <c r="D1669" s="208" t="s">
        <v>2193</v>
      </c>
      <c r="E1669" s="209">
        <v>8.93</v>
      </c>
      <c r="F1669" s="209">
        <v>0</v>
      </c>
      <c r="G1669" s="209">
        <v>8.93</v>
      </c>
      <c r="H1669" s="198"/>
    </row>
    <row r="1670" spans="1:8" ht="15.75" hidden="1" customHeight="1" x14ac:dyDescent="0.25">
      <c r="A1670" s="205" t="s">
        <v>2191</v>
      </c>
      <c r="B1670" s="206">
        <v>7060</v>
      </c>
      <c r="C1670" s="207" t="s">
        <v>2277</v>
      </c>
      <c r="D1670" s="208" t="s">
        <v>2193</v>
      </c>
      <c r="E1670" s="209">
        <v>41.74</v>
      </c>
      <c r="F1670" s="209">
        <v>0</v>
      </c>
      <c r="G1670" s="209">
        <v>41.74</v>
      </c>
      <c r="H1670" s="198"/>
    </row>
    <row r="1671" spans="1:8" ht="15.75" hidden="1" customHeight="1" x14ac:dyDescent="0.25">
      <c r="A1671" s="205" t="s">
        <v>2191</v>
      </c>
      <c r="B1671" s="206">
        <v>7061</v>
      </c>
      <c r="C1671" s="207" t="s">
        <v>2278</v>
      </c>
      <c r="D1671" s="208" t="s">
        <v>2193</v>
      </c>
      <c r="E1671" s="209">
        <v>86.21</v>
      </c>
      <c r="F1671" s="209">
        <v>0</v>
      </c>
      <c r="G1671" s="209">
        <v>86.21</v>
      </c>
      <c r="H1671" s="198"/>
    </row>
    <row r="1672" spans="1:8" ht="15.75" hidden="1" customHeight="1" x14ac:dyDescent="0.25">
      <c r="A1672" s="205" t="s">
        <v>2191</v>
      </c>
      <c r="B1672" s="206">
        <v>91367</v>
      </c>
      <c r="C1672" s="207" t="s">
        <v>2279</v>
      </c>
      <c r="D1672" s="208" t="s">
        <v>2193</v>
      </c>
      <c r="E1672" s="209">
        <v>22.27</v>
      </c>
      <c r="F1672" s="209">
        <v>0</v>
      </c>
      <c r="G1672" s="209">
        <v>22.27</v>
      </c>
      <c r="H1672" s="198"/>
    </row>
    <row r="1673" spans="1:8" ht="15.75" hidden="1" customHeight="1" x14ac:dyDescent="0.25">
      <c r="A1673" s="205" t="s">
        <v>2191</v>
      </c>
      <c r="B1673" s="206">
        <v>91369</v>
      </c>
      <c r="C1673" s="207" t="s">
        <v>2280</v>
      </c>
      <c r="D1673" s="208" t="s">
        <v>2193</v>
      </c>
      <c r="E1673" s="209">
        <v>3.48</v>
      </c>
      <c r="F1673" s="209">
        <v>0</v>
      </c>
      <c r="G1673" s="209">
        <v>3.48</v>
      </c>
      <c r="H1673" s="198"/>
    </row>
    <row r="1674" spans="1:8" ht="15.75" hidden="1" customHeight="1" x14ac:dyDescent="0.25">
      <c r="A1674" s="205" t="s">
        <v>2191</v>
      </c>
      <c r="B1674" s="206">
        <v>91368</v>
      </c>
      <c r="C1674" s="207" t="s">
        <v>2281</v>
      </c>
      <c r="D1674" s="208" t="s">
        <v>2193</v>
      </c>
      <c r="E1674" s="209">
        <v>8.61</v>
      </c>
      <c r="F1674" s="209">
        <v>0</v>
      </c>
      <c r="G1674" s="209">
        <v>8.61</v>
      </c>
      <c r="H1674" s="198"/>
    </row>
    <row r="1675" spans="1:8" ht="15.75" hidden="1" customHeight="1" x14ac:dyDescent="0.25">
      <c r="A1675" s="205" t="s">
        <v>2191</v>
      </c>
      <c r="B1675" s="206">
        <v>5695</v>
      </c>
      <c r="C1675" s="207" t="s">
        <v>2282</v>
      </c>
      <c r="D1675" s="208" t="s">
        <v>2193</v>
      </c>
      <c r="E1675" s="209">
        <v>40.33</v>
      </c>
      <c r="F1675" s="209">
        <v>0</v>
      </c>
      <c r="G1675" s="209">
        <v>40.33</v>
      </c>
      <c r="H1675" s="198"/>
    </row>
    <row r="1676" spans="1:8" ht="15.75" hidden="1" customHeight="1" x14ac:dyDescent="0.25">
      <c r="A1676" s="205" t="s">
        <v>2191</v>
      </c>
      <c r="B1676" s="206">
        <v>53792</v>
      </c>
      <c r="C1676" s="207" t="s">
        <v>2283</v>
      </c>
      <c r="D1676" s="208" t="s">
        <v>2193</v>
      </c>
      <c r="E1676" s="209">
        <v>107.16</v>
      </c>
      <c r="F1676" s="209">
        <v>0</v>
      </c>
      <c r="G1676" s="209">
        <v>107.16</v>
      </c>
      <c r="H1676" s="198"/>
    </row>
    <row r="1677" spans="1:8" ht="15.75" hidden="1" customHeight="1" x14ac:dyDescent="0.25">
      <c r="A1677" s="205" t="s">
        <v>2191</v>
      </c>
      <c r="B1677" s="206">
        <v>92237</v>
      </c>
      <c r="C1677" s="207" t="s">
        <v>2284</v>
      </c>
      <c r="D1677" s="208" t="s">
        <v>2193</v>
      </c>
      <c r="E1677" s="209">
        <v>28.41</v>
      </c>
      <c r="F1677" s="209">
        <v>0</v>
      </c>
      <c r="G1677" s="209">
        <v>28.41</v>
      </c>
      <c r="H1677" s="198"/>
    </row>
    <row r="1678" spans="1:8" ht="15.75" hidden="1" customHeight="1" x14ac:dyDescent="0.25">
      <c r="A1678" s="205" t="s">
        <v>2191</v>
      </c>
      <c r="B1678" s="206">
        <v>92239</v>
      </c>
      <c r="C1678" s="207" t="s">
        <v>2285</v>
      </c>
      <c r="D1678" s="208" t="s">
        <v>2193</v>
      </c>
      <c r="E1678" s="209">
        <v>4.6100000000000003</v>
      </c>
      <c r="F1678" s="209">
        <v>0</v>
      </c>
      <c r="G1678" s="209">
        <v>4.6100000000000003</v>
      </c>
      <c r="H1678" s="198"/>
    </row>
    <row r="1679" spans="1:8" ht="15.75" hidden="1" customHeight="1" x14ac:dyDescent="0.25">
      <c r="A1679" s="205" t="s">
        <v>2191</v>
      </c>
      <c r="B1679" s="206">
        <v>92238</v>
      </c>
      <c r="C1679" s="207" t="s">
        <v>2286</v>
      </c>
      <c r="D1679" s="208" t="s">
        <v>2193</v>
      </c>
      <c r="E1679" s="209">
        <v>11.42</v>
      </c>
      <c r="F1679" s="209">
        <v>0</v>
      </c>
      <c r="G1679" s="209">
        <v>11.42</v>
      </c>
      <c r="H1679" s="198"/>
    </row>
    <row r="1680" spans="1:8" ht="15.75" hidden="1" customHeight="1" x14ac:dyDescent="0.25">
      <c r="A1680" s="205" t="s">
        <v>2191</v>
      </c>
      <c r="B1680" s="206">
        <v>92240</v>
      </c>
      <c r="C1680" s="207" t="s">
        <v>2287</v>
      </c>
      <c r="D1680" s="208" t="s">
        <v>2193</v>
      </c>
      <c r="E1680" s="209">
        <v>50.87</v>
      </c>
      <c r="F1680" s="209">
        <v>0</v>
      </c>
      <c r="G1680" s="209">
        <v>50.87</v>
      </c>
      <c r="H1680" s="198"/>
    </row>
    <row r="1681" spans="1:8" ht="15.75" hidden="1" customHeight="1" x14ac:dyDescent="0.25">
      <c r="A1681" s="205" t="s">
        <v>2191</v>
      </c>
      <c r="B1681" s="206">
        <v>92241</v>
      </c>
      <c r="C1681" s="207" t="s">
        <v>2288</v>
      </c>
      <c r="D1681" s="208" t="s">
        <v>2193</v>
      </c>
      <c r="E1681" s="209">
        <v>292.12</v>
      </c>
      <c r="F1681" s="209">
        <v>0</v>
      </c>
      <c r="G1681" s="209">
        <v>292.12</v>
      </c>
      <c r="H1681" s="198"/>
    </row>
    <row r="1682" spans="1:8" ht="15.75" hidden="1" customHeight="1" x14ac:dyDescent="0.25">
      <c r="A1682" s="205" t="s">
        <v>2191</v>
      </c>
      <c r="B1682" s="206">
        <v>91640</v>
      </c>
      <c r="C1682" s="207" t="s">
        <v>2289</v>
      </c>
      <c r="D1682" s="208" t="s">
        <v>2193</v>
      </c>
      <c r="E1682" s="209">
        <v>38.97</v>
      </c>
      <c r="F1682" s="209">
        <v>0</v>
      </c>
      <c r="G1682" s="209">
        <v>38.97</v>
      </c>
      <c r="H1682" s="198"/>
    </row>
    <row r="1683" spans="1:8" ht="15.75" hidden="1" customHeight="1" x14ac:dyDescent="0.25">
      <c r="A1683" s="205" t="s">
        <v>2191</v>
      </c>
      <c r="B1683" s="206">
        <v>91642</v>
      </c>
      <c r="C1683" s="207" t="s">
        <v>2290</v>
      </c>
      <c r="D1683" s="208" t="s">
        <v>2193</v>
      </c>
      <c r="E1683" s="209">
        <v>6.35</v>
      </c>
      <c r="F1683" s="209">
        <v>0</v>
      </c>
      <c r="G1683" s="209">
        <v>6.35</v>
      </c>
      <c r="H1683" s="198"/>
    </row>
    <row r="1684" spans="1:8" ht="15.75" hidden="1" customHeight="1" x14ac:dyDescent="0.25">
      <c r="A1684" s="205" t="s">
        <v>2191</v>
      </c>
      <c r="B1684" s="206">
        <v>91641</v>
      </c>
      <c r="C1684" s="207" t="s">
        <v>2291</v>
      </c>
      <c r="D1684" s="208" t="s">
        <v>2193</v>
      </c>
      <c r="E1684" s="209">
        <v>15.72</v>
      </c>
      <c r="F1684" s="209">
        <v>0</v>
      </c>
      <c r="G1684" s="209">
        <v>15.72</v>
      </c>
      <c r="H1684" s="198"/>
    </row>
    <row r="1685" spans="1:8" ht="15.75" hidden="1" customHeight="1" x14ac:dyDescent="0.25">
      <c r="A1685" s="205" t="s">
        <v>2191</v>
      </c>
      <c r="B1685" s="206">
        <v>91643</v>
      </c>
      <c r="C1685" s="207" t="s">
        <v>2292</v>
      </c>
      <c r="D1685" s="208" t="s">
        <v>2193</v>
      </c>
      <c r="E1685" s="209">
        <v>70.14</v>
      </c>
      <c r="F1685" s="209">
        <v>0</v>
      </c>
      <c r="G1685" s="209">
        <v>70.14</v>
      </c>
      <c r="H1685" s="198"/>
    </row>
    <row r="1686" spans="1:8" ht="15.75" hidden="1" customHeight="1" x14ac:dyDescent="0.25">
      <c r="A1686" s="205" t="s">
        <v>2191</v>
      </c>
      <c r="B1686" s="206">
        <v>91644</v>
      </c>
      <c r="C1686" s="207" t="s">
        <v>2293</v>
      </c>
      <c r="D1686" s="208" t="s">
        <v>2193</v>
      </c>
      <c r="E1686" s="209">
        <v>318.64999999999998</v>
      </c>
      <c r="F1686" s="209">
        <v>0</v>
      </c>
      <c r="G1686" s="209">
        <v>318.64999999999998</v>
      </c>
      <c r="H1686" s="198"/>
    </row>
    <row r="1687" spans="1:8" ht="15.75" hidden="1" customHeight="1" x14ac:dyDescent="0.25">
      <c r="A1687" s="205" t="s">
        <v>2191</v>
      </c>
      <c r="B1687" s="206">
        <v>92105</v>
      </c>
      <c r="C1687" s="207" t="s">
        <v>2294</v>
      </c>
      <c r="D1687" s="208" t="s">
        <v>2193</v>
      </c>
      <c r="E1687" s="209">
        <v>203.57</v>
      </c>
      <c r="F1687" s="209">
        <v>0</v>
      </c>
      <c r="G1687" s="209">
        <v>203.57</v>
      </c>
      <c r="H1687" s="198"/>
    </row>
    <row r="1688" spans="1:8" ht="15.75" hidden="1" customHeight="1" x14ac:dyDescent="0.25">
      <c r="A1688" s="205" t="s">
        <v>2191</v>
      </c>
      <c r="B1688" s="206">
        <v>92101</v>
      </c>
      <c r="C1688" s="207" t="s">
        <v>2295</v>
      </c>
      <c r="D1688" s="208" t="s">
        <v>2193</v>
      </c>
      <c r="E1688" s="209">
        <v>47.63</v>
      </c>
      <c r="F1688" s="209">
        <v>0</v>
      </c>
      <c r="G1688" s="209">
        <v>47.63</v>
      </c>
      <c r="H1688" s="198"/>
    </row>
    <row r="1689" spans="1:8" ht="15.75" hidden="1" customHeight="1" x14ac:dyDescent="0.25">
      <c r="A1689" s="205" t="s">
        <v>2191</v>
      </c>
      <c r="B1689" s="206">
        <v>92103</v>
      </c>
      <c r="C1689" s="207" t="s">
        <v>2296</v>
      </c>
      <c r="D1689" s="208" t="s">
        <v>2193</v>
      </c>
      <c r="E1689" s="209">
        <v>5.96</v>
      </c>
      <c r="F1689" s="209">
        <v>0</v>
      </c>
      <c r="G1689" s="209">
        <v>5.96</v>
      </c>
      <c r="H1689" s="198"/>
    </row>
    <row r="1690" spans="1:8" ht="15.75" hidden="1" customHeight="1" x14ac:dyDescent="0.25">
      <c r="A1690" s="205" t="s">
        <v>2191</v>
      </c>
      <c r="B1690" s="206">
        <v>92102</v>
      </c>
      <c r="C1690" s="207" t="s">
        <v>2297</v>
      </c>
      <c r="D1690" s="208" t="s">
        <v>2193</v>
      </c>
      <c r="E1690" s="209">
        <v>14.75</v>
      </c>
      <c r="F1690" s="209">
        <v>0</v>
      </c>
      <c r="G1690" s="209">
        <v>14.75</v>
      </c>
      <c r="H1690" s="198"/>
    </row>
    <row r="1691" spans="1:8" ht="15.75" hidden="1" customHeight="1" x14ac:dyDescent="0.25">
      <c r="A1691" s="205" t="s">
        <v>2191</v>
      </c>
      <c r="B1691" s="206">
        <v>92104</v>
      </c>
      <c r="C1691" s="207" t="s">
        <v>2298</v>
      </c>
      <c r="D1691" s="208" t="s">
        <v>2193</v>
      </c>
      <c r="E1691" s="209">
        <v>74.64</v>
      </c>
      <c r="F1691" s="209">
        <v>0</v>
      </c>
      <c r="G1691" s="209">
        <v>74.64</v>
      </c>
      <c r="H1691" s="198"/>
    </row>
    <row r="1692" spans="1:8" ht="15.75" hidden="1" customHeight="1" x14ac:dyDescent="0.25">
      <c r="A1692" s="205" t="s">
        <v>2191</v>
      </c>
      <c r="B1692" s="206">
        <v>91396</v>
      </c>
      <c r="C1692" s="207" t="s">
        <v>2299</v>
      </c>
      <c r="D1692" s="208" t="s">
        <v>2193</v>
      </c>
      <c r="E1692" s="209">
        <v>29.71</v>
      </c>
      <c r="F1692" s="209">
        <v>0</v>
      </c>
      <c r="G1692" s="209">
        <v>29.71</v>
      </c>
      <c r="H1692" s="198"/>
    </row>
    <row r="1693" spans="1:8" ht="15.75" hidden="1" customHeight="1" x14ac:dyDescent="0.25">
      <c r="A1693" s="205" t="s">
        <v>2191</v>
      </c>
      <c r="B1693" s="206">
        <v>91398</v>
      </c>
      <c r="C1693" s="207" t="s">
        <v>2300</v>
      </c>
      <c r="D1693" s="208" t="s">
        <v>2193</v>
      </c>
      <c r="E1693" s="209">
        <v>4.6399999999999997</v>
      </c>
      <c r="F1693" s="209">
        <v>0</v>
      </c>
      <c r="G1693" s="209">
        <v>4.6399999999999997</v>
      </c>
      <c r="H1693" s="198"/>
    </row>
    <row r="1694" spans="1:8" ht="15.75" hidden="1" customHeight="1" x14ac:dyDescent="0.25">
      <c r="A1694" s="205" t="s">
        <v>2191</v>
      </c>
      <c r="B1694" s="206">
        <v>91397</v>
      </c>
      <c r="C1694" s="207" t="s">
        <v>2301</v>
      </c>
      <c r="D1694" s="208" t="s">
        <v>2193</v>
      </c>
      <c r="E1694" s="209">
        <v>11.5</v>
      </c>
      <c r="F1694" s="209">
        <v>0</v>
      </c>
      <c r="G1694" s="209">
        <v>11.5</v>
      </c>
      <c r="H1694" s="198"/>
    </row>
    <row r="1695" spans="1:8" ht="15.75" hidden="1" customHeight="1" x14ac:dyDescent="0.25">
      <c r="A1695" s="205" t="s">
        <v>2191</v>
      </c>
      <c r="B1695" s="206">
        <v>5763</v>
      </c>
      <c r="C1695" s="207" t="s">
        <v>2302</v>
      </c>
      <c r="D1695" s="208" t="s">
        <v>2193</v>
      </c>
      <c r="E1695" s="209">
        <v>52.76</v>
      </c>
      <c r="F1695" s="209">
        <v>0</v>
      </c>
      <c r="G1695" s="209">
        <v>52.76</v>
      </c>
      <c r="H1695" s="198"/>
    </row>
    <row r="1696" spans="1:8" ht="15.75" hidden="1" customHeight="1" x14ac:dyDescent="0.25">
      <c r="A1696" s="205" t="s">
        <v>2191</v>
      </c>
      <c r="B1696" s="206">
        <v>53831</v>
      </c>
      <c r="C1696" s="207" t="s">
        <v>2303</v>
      </c>
      <c r="D1696" s="208" t="s">
        <v>2193</v>
      </c>
      <c r="E1696" s="209">
        <v>203.57</v>
      </c>
      <c r="F1696" s="209">
        <v>0</v>
      </c>
      <c r="G1696" s="209">
        <v>203.57</v>
      </c>
      <c r="H1696" s="198"/>
    </row>
    <row r="1697" spans="1:8" ht="15.75" hidden="1" customHeight="1" x14ac:dyDescent="0.25">
      <c r="A1697" s="205" t="s">
        <v>2191</v>
      </c>
      <c r="B1697" s="206">
        <v>91359</v>
      </c>
      <c r="C1697" s="207" t="s">
        <v>2304</v>
      </c>
      <c r="D1697" s="208" t="s">
        <v>2193</v>
      </c>
      <c r="E1697" s="209">
        <v>21.41</v>
      </c>
      <c r="F1697" s="209">
        <v>0</v>
      </c>
      <c r="G1697" s="209">
        <v>21.41</v>
      </c>
      <c r="H1697" s="198"/>
    </row>
    <row r="1698" spans="1:8" ht="15.75" hidden="1" customHeight="1" x14ac:dyDescent="0.25">
      <c r="A1698" s="205" t="s">
        <v>2191</v>
      </c>
      <c r="B1698" s="206">
        <v>91361</v>
      </c>
      <c r="C1698" s="207" t="s">
        <v>2305</v>
      </c>
      <c r="D1698" s="208" t="s">
        <v>2193</v>
      </c>
      <c r="E1698" s="209">
        <v>3.31</v>
      </c>
      <c r="F1698" s="209">
        <v>0</v>
      </c>
      <c r="G1698" s="209">
        <v>3.31</v>
      </c>
      <c r="H1698" s="198"/>
    </row>
    <row r="1699" spans="1:8" ht="15.75" hidden="1" customHeight="1" x14ac:dyDescent="0.25">
      <c r="A1699" s="205" t="s">
        <v>2191</v>
      </c>
      <c r="B1699" s="206">
        <v>91360</v>
      </c>
      <c r="C1699" s="207" t="s">
        <v>2306</v>
      </c>
      <c r="D1699" s="208" t="s">
        <v>2193</v>
      </c>
      <c r="E1699" s="209">
        <v>8.1999999999999993</v>
      </c>
      <c r="F1699" s="209">
        <v>0</v>
      </c>
      <c r="G1699" s="209">
        <v>8.1999999999999993</v>
      </c>
      <c r="H1699" s="198"/>
    </row>
    <row r="1700" spans="1:8" ht="15.75" hidden="1" customHeight="1" x14ac:dyDescent="0.25">
      <c r="A1700" s="205" t="s">
        <v>2191</v>
      </c>
      <c r="B1700" s="206">
        <v>53882</v>
      </c>
      <c r="C1700" s="207" t="s">
        <v>2307</v>
      </c>
      <c r="D1700" s="208" t="s">
        <v>2193</v>
      </c>
      <c r="E1700" s="209">
        <v>37.68</v>
      </c>
      <c r="F1700" s="209">
        <v>0</v>
      </c>
      <c r="G1700" s="209">
        <v>37.68</v>
      </c>
      <c r="H1700" s="198"/>
    </row>
    <row r="1701" spans="1:8" ht="15.75" hidden="1" customHeight="1" x14ac:dyDescent="0.25">
      <c r="A1701" s="205" t="s">
        <v>2191</v>
      </c>
      <c r="B1701" s="206">
        <v>5747</v>
      </c>
      <c r="C1701" s="207" t="s">
        <v>2308</v>
      </c>
      <c r="D1701" s="208" t="s">
        <v>2193</v>
      </c>
      <c r="E1701" s="209">
        <v>167.3</v>
      </c>
      <c r="F1701" s="209">
        <v>0</v>
      </c>
      <c r="G1701" s="209">
        <v>167.3</v>
      </c>
      <c r="H1701" s="198"/>
    </row>
    <row r="1702" spans="1:8" ht="15.75" hidden="1" customHeight="1" x14ac:dyDescent="0.25">
      <c r="A1702" s="205" t="s">
        <v>2191</v>
      </c>
      <c r="B1702" s="206">
        <v>104703</v>
      </c>
      <c r="C1702" s="207" t="s">
        <v>2309</v>
      </c>
      <c r="D1702" s="208" t="s">
        <v>2193</v>
      </c>
      <c r="E1702" s="209">
        <v>97.86</v>
      </c>
      <c r="F1702" s="209">
        <v>0</v>
      </c>
      <c r="G1702" s="209">
        <v>97.86</v>
      </c>
      <c r="H1702" s="198"/>
    </row>
    <row r="1703" spans="1:8" ht="15.75" hidden="1" customHeight="1" x14ac:dyDescent="0.25">
      <c r="A1703" s="205" t="s">
        <v>2191</v>
      </c>
      <c r="B1703" s="206">
        <v>91390</v>
      </c>
      <c r="C1703" s="207" t="s">
        <v>2310</v>
      </c>
      <c r="D1703" s="208" t="s">
        <v>2193</v>
      </c>
      <c r="E1703" s="209">
        <v>19.52</v>
      </c>
      <c r="F1703" s="209">
        <v>0</v>
      </c>
      <c r="G1703" s="209">
        <v>19.52</v>
      </c>
      <c r="H1703" s="198"/>
    </row>
    <row r="1704" spans="1:8" ht="15.75" hidden="1" customHeight="1" x14ac:dyDescent="0.25">
      <c r="A1704" s="205" t="s">
        <v>2191</v>
      </c>
      <c r="B1704" s="206">
        <v>91392</v>
      </c>
      <c r="C1704" s="207" t="s">
        <v>2311</v>
      </c>
      <c r="D1704" s="208" t="s">
        <v>2193</v>
      </c>
      <c r="E1704" s="209">
        <v>3.15</v>
      </c>
      <c r="F1704" s="209">
        <v>0</v>
      </c>
      <c r="G1704" s="209">
        <v>3.15</v>
      </c>
      <c r="H1704" s="198"/>
    </row>
    <row r="1705" spans="1:8" ht="15.75" hidden="1" customHeight="1" x14ac:dyDescent="0.25">
      <c r="A1705" s="205" t="s">
        <v>2191</v>
      </c>
      <c r="B1705" s="206">
        <v>91391</v>
      </c>
      <c r="C1705" s="207" t="s">
        <v>2312</v>
      </c>
      <c r="D1705" s="208" t="s">
        <v>2193</v>
      </c>
      <c r="E1705" s="209">
        <v>7.8</v>
      </c>
      <c r="F1705" s="209">
        <v>0</v>
      </c>
      <c r="G1705" s="209">
        <v>7.8</v>
      </c>
      <c r="H1705" s="198"/>
    </row>
    <row r="1706" spans="1:8" ht="15.75" hidden="1" customHeight="1" x14ac:dyDescent="0.25">
      <c r="A1706" s="205" t="s">
        <v>2191</v>
      </c>
      <c r="B1706" s="206">
        <v>73335</v>
      </c>
      <c r="C1706" s="207" t="s">
        <v>2313</v>
      </c>
      <c r="D1706" s="208" t="s">
        <v>2193</v>
      </c>
      <c r="E1706" s="209">
        <v>35.700000000000003</v>
      </c>
      <c r="F1706" s="209">
        <v>0</v>
      </c>
      <c r="G1706" s="209">
        <v>35.700000000000003</v>
      </c>
      <c r="H1706" s="198"/>
    </row>
    <row r="1707" spans="1:8" ht="15.75" hidden="1" customHeight="1" x14ac:dyDescent="0.25">
      <c r="A1707" s="205" t="s">
        <v>2191</v>
      </c>
      <c r="B1707" s="206">
        <v>73340</v>
      </c>
      <c r="C1707" s="207" t="s">
        <v>2314</v>
      </c>
      <c r="D1707" s="208" t="s">
        <v>2193</v>
      </c>
      <c r="E1707" s="209">
        <v>163.75</v>
      </c>
      <c r="F1707" s="209">
        <v>0</v>
      </c>
      <c r="G1707" s="209">
        <v>163.75</v>
      </c>
      <c r="H1707" s="198"/>
    </row>
    <row r="1708" spans="1:8" ht="15.75" hidden="1" customHeight="1" x14ac:dyDescent="0.25">
      <c r="A1708" s="205" t="s">
        <v>2191</v>
      </c>
      <c r="B1708" s="206">
        <v>89264</v>
      </c>
      <c r="C1708" s="207" t="s">
        <v>2315</v>
      </c>
      <c r="D1708" s="208" t="s">
        <v>2193</v>
      </c>
      <c r="E1708" s="209">
        <v>21.4</v>
      </c>
      <c r="F1708" s="209">
        <v>0</v>
      </c>
      <c r="G1708" s="209">
        <v>21.4</v>
      </c>
      <c r="H1708" s="198"/>
    </row>
    <row r="1709" spans="1:8" ht="15.75" hidden="1" customHeight="1" x14ac:dyDescent="0.25">
      <c r="A1709" s="205" t="s">
        <v>2191</v>
      </c>
      <c r="B1709" s="206">
        <v>89266</v>
      </c>
      <c r="C1709" s="207" t="s">
        <v>2316</v>
      </c>
      <c r="D1709" s="208" t="s">
        <v>2193</v>
      </c>
      <c r="E1709" s="209">
        <v>3.45</v>
      </c>
      <c r="F1709" s="209">
        <v>0</v>
      </c>
      <c r="G1709" s="209">
        <v>3.45</v>
      </c>
      <c r="H1709" s="198"/>
    </row>
    <row r="1710" spans="1:8" ht="15.75" hidden="1" customHeight="1" x14ac:dyDescent="0.25">
      <c r="A1710" s="205" t="s">
        <v>2191</v>
      </c>
      <c r="B1710" s="206">
        <v>89265</v>
      </c>
      <c r="C1710" s="207" t="s">
        <v>2317</v>
      </c>
      <c r="D1710" s="208" t="s">
        <v>2193</v>
      </c>
      <c r="E1710" s="209">
        <v>8.5500000000000007</v>
      </c>
      <c r="F1710" s="209">
        <v>0</v>
      </c>
      <c r="G1710" s="209">
        <v>8.5500000000000007</v>
      </c>
      <c r="H1710" s="198"/>
    </row>
    <row r="1711" spans="1:8" ht="15.75" hidden="1" customHeight="1" x14ac:dyDescent="0.25">
      <c r="A1711" s="205" t="s">
        <v>2191</v>
      </c>
      <c r="B1711" s="206">
        <v>5705</v>
      </c>
      <c r="C1711" s="207" t="s">
        <v>2318</v>
      </c>
      <c r="D1711" s="208" t="s">
        <v>2193</v>
      </c>
      <c r="E1711" s="209">
        <v>39.14</v>
      </c>
      <c r="F1711" s="209">
        <v>0</v>
      </c>
      <c r="G1711" s="209">
        <v>39.14</v>
      </c>
      <c r="H1711" s="198"/>
    </row>
    <row r="1712" spans="1:8" ht="15.75" hidden="1" customHeight="1" x14ac:dyDescent="0.25">
      <c r="A1712" s="205" t="s">
        <v>2191</v>
      </c>
      <c r="B1712" s="206">
        <v>53797</v>
      </c>
      <c r="C1712" s="207" t="s">
        <v>2319</v>
      </c>
      <c r="D1712" s="208" t="s">
        <v>2193</v>
      </c>
      <c r="E1712" s="209">
        <v>123.24</v>
      </c>
      <c r="F1712" s="209">
        <v>0</v>
      </c>
      <c r="G1712" s="209">
        <v>123.24</v>
      </c>
      <c r="H1712" s="198"/>
    </row>
    <row r="1713" spans="1:8" ht="15.75" hidden="1" customHeight="1" x14ac:dyDescent="0.25">
      <c r="A1713" s="205" t="s">
        <v>2191</v>
      </c>
      <c r="B1713" s="206">
        <v>91354</v>
      </c>
      <c r="C1713" s="207" t="s">
        <v>2320</v>
      </c>
      <c r="D1713" s="208" t="s">
        <v>2193</v>
      </c>
      <c r="E1713" s="209">
        <v>18.05</v>
      </c>
      <c r="F1713" s="209">
        <v>0</v>
      </c>
      <c r="G1713" s="209">
        <v>18.05</v>
      </c>
      <c r="H1713" s="198"/>
    </row>
    <row r="1714" spans="1:8" ht="15.75" hidden="1" customHeight="1" x14ac:dyDescent="0.25">
      <c r="A1714" s="205" t="s">
        <v>2191</v>
      </c>
      <c r="B1714" s="206">
        <v>91356</v>
      </c>
      <c r="C1714" s="207" t="s">
        <v>2321</v>
      </c>
      <c r="D1714" s="208" t="s">
        <v>2193</v>
      </c>
      <c r="E1714" s="209">
        <v>3</v>
      </c>
      <c r="F1714" s="209">
        <v>0</v>
      </c>
      <c r="G1714" s="209">
        <v>3</v>
      </c>
      <c r="H1714" s="198"/>
    </row>
    <row r="1715" spans="1:8" ht="15.75" hidden="1" customHeight="1" x14ac:dyDescent="0.25">
      <c r="A1715" s="205" t="s">
        <v>2191</v>
      </c>
      <c r="B1715" s="206">
        <v>91355</v>
      </c>
      <c r="C1715" s="207" t="s">
        <v>2322</v>
      </c>
      <c r="D1715" s="208" t="s">
        <v>2193</v>
      </c>
      <c r="E1715" s="209">
        <v>7.42</v>
      </c>
      <c r="F1715" s="209">
        <v>0</v>
      </c>
      <c r="G1715" s="209">
        <v>7.42</v>
      </c>
      <c r="H1715" s="198"/>
    </row>
    <row r="1716" spans="1:8" ht="15.75" hidden="1" customHeight="1" x14ac:dyDescent="0.25">
      <c r="A1716" s="205" t="s">
        <v>2191</v>
      </c>
      <c r="B1716" s="206">
        <v>5751</v>
      </c>
      <c r="C1716" s="207" t="s">
        <v>2323</v>
      </c>
      <c r="D1716" s="208" t="s">
        <v>2193</v>
      </c>
      <c r="E1716" s="209">
        <v>33.85</v>
      </c>
      <c r="F1716" s="209">
        <v>0</v>
      </c>
      <c r="G1716" s="209">
        <v>33.85</v>
      </c>
      <c r="H1716" s="198"/>
    </row>
    <row r="1717" spans="1:8" ht="15.75" hidden="1" customHeight="1" x14ac:dyDescent="0.25">
      <c r="A1717" s="205" t="s">
        <v>2191</v>
      </c>
      <c r="B1717" s="206">
        <v>53827</v>
      </c>
      <c r="C1717" s="207" t="s">
        <v>2324</v>
      </c>
      <c r="D1717" s="208" t="s">
        <v>2193</v>
      </c>
      <c r="E1717" s="209">
        <v>120.64</v>
      </c>
      <c r="F1717" s="209">
        <v>0</v>
      </c>
      <c r="G1717" s="209">
        <v>120.64</v>
      </c>
      <c r="H1717" s="198"/>
    </row>
    <row r="1718" spans="1:8" ht="15.75" hidden="1" customHeight="1" x14ac:dyDescent="0.25">
      <c r="A1718" s="205" t="s">
        <v>2191</v>
      </c>
      <c r="B1718" s="206">
        <v>91375</v>
      </c>
      <c r="C1718" s="207" t="s">
        <v>2325</v>
      </c>
      <c r="D1718" s="208" t="s">
        <v>2193</v>
      </c>
      <c r="E1718" s="209">
        <v>19.82</v>
      </c>
      <c r="F1718" s="209">
        <v>0</v>
      </c>
      <c r="G1718" s="209">
        <v>19.82</v>
      </c>
      <c r="H1718" s="198"/>
    </row>
    <row r="1719" spans="1:8" ht="15.75" hidden="1" customHeight="1" x14ac:dyDescent="0.25">
      <c r="A1719" s="205" t="s">
        <v>2191</v>
      </c>
      <c r="B1719" s="206">
        <v>91377</v>
      </c>
      <c r="C1719" s="207" t="s">
        <v>2326</v>
      </c>
      <c r="D1719" s="208" t="s">
        <v>2193</v>
      </c>
      <c r="E1719" s="209">
        <v>3.29</v>
      </c>
      <c r="F1719" s="209">
        <v>0</v>
      </c>
      <c r="G1719" s="209">
        <v>3.29</v>
      </c>
      <c r="H1719" s="198"/>
    </row>
    <row r="1720" spans="1:8" ht="15.75" hidden="1" customHeight="1" x14ac:dyDescent="0.25">
      <c r="A1720" s="205" t="s">
        <v>2191</v>
      </c>
      <c r="B1720" s="206">
        <v>91376</v>
      </c>
      <c r="C1720" s="207" t="s">
        <v>2327</v>
      </c>
      <c r="D1720" s="208" t="s">
        <v>2193</v>
      </c>
      <c r="E1720" s="209">
        <v>8.14</v>
      </c>
      <c r="F1720" s="209">
        <v>0</v>
      </c>
      <c r="G1720" s="209">
        <v>8.14</v>
      </c>
      <c r="H1720" s="198"/>
    </row>
    <row r="1721" spans="1:8" ht="15.75" hidden="1" customHeight="1" x14ac:dyDescent="0.25">
      <c r="A1721" s="205" t="s">
        <v>2191</v>
      </c>
      <c r="B1721" s="206">
        <v>5754</v>
      </c>
      <c r="C1721" s="207" t="s">
        <v>2328</v>
      </c>
      <c r="D1721" s="208" t="s">
        <v>2193</v>
      </c>
      <c r="E1721" s="209">
        <v>37.159999999999997</v>
      </c>
      <c r="F1721" s="209">
        <v>0</v>
      </c>
      <c r="G1721" s="209">
        <v>37.159999999999997</v>
      </c>
      <c r="H1721" s="198"/>
    </row>
    <row r="1722" spans="1:8" ht="15.75" hidden="1" customHeight="1" x14ac:dyDescent="0.25">
      <c r="A1722" s="205" t="s">
        <v>2191</v>
      </c>
      <c r="B1722" s="206">
        <v>53829</v>
      </c>
      <c r="C1722" s="207" t="s">
        <v>2329</v>
      </c>
      <c r="D1722" s="208" t="s">
        <v>2193</v>
      </c>
      <c r="E1722" s="209">
        <v>123.24</v>
      </c>
      <c r="F1722" s="209">
        <v>0</v>
      </c>
      <c r="G1722" s="209">
        <v>123.24</v>
      </c>
      <c r="H1722" s="198"/>
    </row>
    <row r="1723" spans="1:8" ht="15.75" hidden="1" customHeight="1" x14ac:dyDescent="0.25">
      <c r="A1723" s="205" t="s">
        <v>2191</v>
      </c>
      <c r="B1723" s="206">
        <v>91026</v>
      </c>
      <c r="C1723" s="207" t="s">
        <v>2330</v>
      </c>
      <c r="D1723" s="208" t="s">
        <v>2193</v>
      </c>
      <c r="E1723" s="209">
        <v>25.16</v>
      </c>
      <c r="F1723" s="209">
        <v>0</v>
      </c>
      <c r="G1723" s="209">
        <v>25.16</v>
      </c>
      <c r="H1723" s="198"/>
    </row>
    <row r="1724" spans="1:8" ht="15.75" hidden="1" customHeight="1" x14ac:dyDescent="0.25">
      <c r="A1724" s="205" t="s">
        <v>2191</v>
      </c>
      <c r="B1724" s="206">
        <v>91028</v>
      </c>
      <c r="C1724" s="207" t="s">
        <v>2331</v>
      </c>
      <c r="D1724" s="208" t="s">
        <v>2193</v>
      </c>
      <c r="E1724" s="209">
        <v>4.08</v>
      </c>
      <c r="F1724" s="209">
        <v>0</v>
      </c>
      <c r="G1724" s="209">
        <v>4.08</v>
      </c>
      <c r="H1724" s="198"/>
    </row>
    <row r="1725" spans="1:8" ht="15.75" hidden="1" customHeight="1" x14ac:dyDescent="0.25">
      <c r="A1725" s="205" t="s">
        <v>2191</v>
      </c>
      <c r="B1725" s="206">
        <v>91027</v>
      </c>
      <c r="C1725" s="207" t="s">
        <v>2332</v>
      </c>
      <c r="D1725" s="208" t="s">
        <v>2193</v>
      </c>
      <c r="E1725" s="209">
        <v>10.119999999999999</v>
      </c>
      <c r="F1725" s="209">
        <v>0</v>
      </c>
      <c r="G1725" s="209">
        <v>10.119999999999999</v>
      </c>
      <c r="H1725" s="198"/>
    </row>
    <row r="1726" spans="1:8" ht="15.75" hidden="1" customHeight="1" x14ac:dyDescent="0.25">
      <c r="A1726" s="205" t="s">
        <v>2191</v>
      </c>
      <c r="B1726" s="206">
        <v>91029</v>
      </c>
      <c r="C1726" s="207" t="s">
        <v>2333</v>
      </c>
      <c r="D1726" s="208" t="s">
        <v>2193</v>
      </c>
      <c r="E1726" s="209">
        <v>46.27</v>
      </c>
      <c r="F1726" s="209">
        <v>0</v>
      </c>
      <c r="G1726" s="209">
        <v>46.27</v>
      </c>
      <c r="H1726" s="198"/>
    </row>
    <row r="1727" spans="1:8" ht="15.75" hidden="1" customHeight="1" x14ac:dyDescent="0.25">
      <c r="A1727" s="205" t="s">
        <v>2191</v>
      </c>
      <c r="B1727" s="206">
        <v>91030</v>
      </c>
      <c r="C1727" s="207" t="s">
        <v>2334</v>
      </c>
      <c r="D1727" s="208" t="s">
        <v>2193</v>
      </c>
      <c r="E1727" s="209">
        <v>155.21</v>
      </c>
      <c r="F1727" s="209">
        <v>0</v>
      </c>
      <c r="G1727" s="209">
        <v>155.21</v>
      </c>
      <c r="H1727" s="198"/>
    </row>
    <row r="1728" spans="1:8" ht="15.75" hidden="1" customHeight="1" x14ac:dyDescent="0.25">
      <c r="A1728" s="205" t="s">
        <v>2191</v>
      </c>
      <c r="B1728" s="206">
        <v>102815</v>
      </c>
      <c r="C1728" s="207" t="s">
        <v>2335</v>
      </c>
      <c r="D1728" s="208" t="s">
        <v>2193</v>
      </c>
      <c r="E1728" s="209">
        <v>2.41</v>
      </c>
      <c r="F1728" s="209">
        <v>0</v>
      </c>
      <c r="G1728" s="209">
        <v>2.41</v>
      </c>
      <c r="H1728" s="198"/>
    </row>
    <row r="1729" spans="1:8" ht="15.75" hidden="1" customHeight="1" x14ac:dyDescent="0.25">
      <c r="A1729" s="205" t="s">
        <v>2191</v>
      </c>
      <c r="B1729" s="206">
        <v>91529</v>
      </c>
      <c r="C1729" s="207" t="s">
        <v>2336</v>
      </c>
      <c r="D1729" s="208" t="s">
        <v>2193</v>
      </c>
      <c r="E1729" s="209">
        <v>0.84</v>
      </c>
      <c r="F1729" s="209">
        <v>0</v>
      </c>
      <c r="G1729" s="209">
        <v>0.84</v>
      </c>
      <c r="H1729" s="198"/>
    </row>
    <row r="1730" spans="1:8" ht="15.75" hidden="1" customHeight="1" x14ac:dyDescent="0.25">
      <c r="A1730" s="205" t="s">
        <v>2191</v>
      </c>
      <c r="B1730" s="206">
        <v>91530</v>
      </c>
      <c r="C1730" s="207" t="s">
        <v>2337</v>
      </c>
      <c r="D1730" s="208" t="s">
        <v>2193</v>
      </c>
      <c r="E1730" s="209">
        <v>0.22</v>
      </c>
      <c r="F1730" s="209">
        <v>0</v>
      </c>
      <c r="G1730" s="209">
        <v>0.22</v>
      </c>
      <c r="H1730" s="198"/>
    </row>
    <row r="1731" spans="1:8" ht="15.75" hidden="1" customHeight="1" x14ac:dyDescent="0.25">
      <c r="A1731" s="205" t="s">
        <v>2191</v>
      </c>
      <c r="B1731" s="206">
        <v>91531</v>
      </c>
      <c r="C1731" s="207" t="s">
        <v>2338</v>
      </c>
      <c r="D1731" s="208" t="s">
        <v>2193</v>
      </c>
      <c r="E1731" s="209">
        <v>1.05</v>
      </c>
      <c r="F1731" s="209">
        <v>0</v>
      </c>
      <c r="G1731" s="209">
        <v>1.05</v>
      </c>
      <c r="H1731" s="198"/>
    </row>
    <row r="1732" spans="1:8" ht="15.75" hidden="1" customHeight="1" x14ac:dyDescent="0.25">
      <c r="A1732" s="205" t="s">
        <v>2191</v>
      </c>
      <c r="B1732" s="206">
        <v>91532</v>
      </c>
      <c r="C1732" s="207" t="s">
        <v>2339</v>
      </c>
      <c r="D1732" s="208" t="s">
        <v>2193</v>
      </c>
      <c r="E1732" s="209">
        <v>6.88</v>
      </c>
      <c r="F1732" s="209">
        <v>0</v>
      </c>
      <c r="G1732" s="209">
        <v>6.88</v>
      </c>
      <c r="H1732" s="198"/>
    </row>
    <row r="1733" spans="1:8" ht="15.75" hidden="1" customHeight="1" x14ac:dyDescent="0.25">
      <c r="A1733" s="205" t="s">
        <v>2191</v>
      </c>
      <c r="B1733" s="206">
        <v>95260</v>
      </c>
      <c r="C1733" s="207" t="s">
        <v>2340</v>
      </c>
      <c r="D1733" s="208" t="s">
        <v>2193</v>
      </c>
      <c r="E1733" s="209">
        <v>0.68</v>
      </c>
      <c r="F1733" s="209">
        <v>0</v>
      </c>
      <c r="G1733" s="209">
        <v>0.68</v>
      </c>
      <c r="H1733" s="198"/>
    </row>
    <row r="1734" spans="1:8" ht="15.75" hidden="1" customHeight="1" x14ac:dyDescent="0.25">
      <c r="A1734" s="205" t="s">
        <v>2191</v>
      </c>
      <c r="B1734" s="206">
        <v>95261</v>
      </c>
      <c r="C1734" s="207" t="s">
        <v>2341</v>
      </c>
      <c r="D1734" s="208" t="s">
        <v>2193</v>
      </c>
      <c r="E1734" s="209">
        <v>0.18</v>
      </c>
      <c r="F1734" s="209">
        <v>0</v>
      </c>
      <c r="G1734" s="209">
        <v>0.18</v>
      </c>
      <c r="H1734" s="198"/>
    </row>
    <row r="1735" spans="1:8" ht="15.75" hidden="1" customHeight="1" x14ac:dyDescent="0.25">
      <c r="A1735" s="205" t="s">
        <v>2191</v>
      </c>
      <c r="B1735" s="206">
        <v>95262</v>
      </c>
      <c r="C1735" s="207" t="s">
        <v>2342</v>
      </c>
      <c r="D1735" s="208" t="s">
        <v>2193</v>
      </c>
      <c r="E1735" s="209">
        <v>0.85</v>
      </c>
      <c r="F1735" s="209">
        <v>0</v>
      </c>
      <c r="G1735" s="209">
        <v>0.85</v>
      </c>
      <c r="H1735" s="198"/>
    </row>
    <row r="1736" spans="1:8" ht="15.75" hidden="1" customHeight="1" x14ac:dyDescent="0.25">
      <c r="A1736" s="205" t="s">
        <v>2191</v>
      </c>
      <c r="B1736" s="206">
        <v>95263</v>
      </c>
      <c r="C1736" s="207" t="s">
        <v>2343</v>
      </c>
      <c r="D1736" s="208" t="s">
        <v>2193</v>
      </c>
      <c r="E1736" s="209">
        <v>5.21</v>
      </c>
      <c r="F1736" s="209">
        <v>0</v>
      </c>
      <c r="G1736" s="209">
        <v>5.21</v>
      </c>
      <c r="H1736" s="198"/>
    </row>
    <row r="1737" spans="1:8" ht="15.75" hidden="1" customHeight="1" x14ac:dyDescent="0.25">
      <c r="A1737" s="205" t="s">
        <v>2191</v>
      </c>
      <c r="B1737" s="206">
        <v>90968</v>
      </c>
      <c r="C1737" s="207" t="s">
        <v>2344</v>
      </c>
      <c r="D1737" s="208" t="s">
        <v>2193</v>
      </c>
      <c r="E1737" s="209">
        <v>7.03</v>
      </c>
      <c r="F1737" s="209">
        <v>0</v>
      </c>
      <c r="G1737" s="209">
        <v>7.03</v>
      </c>
      <c r="H1737" s="198"/>
    </row>
    <row r="1738" spans="1:8" ht="15.75" hidden="1" customHeight="1" x14ac:dyDescent="0.25">
      <c r="A1738" s="205" t="s">
        <v>2191</v>
      </c>
      <c r="B1738" s="206">
        <v>90969</v>
      </c>
      <c r="C1738" s="207" t="s">
        <v>2345</v>
      </c>
      <c r="D1738" s="208" t="s">
        <v>2193</v>
      </c>
      <c r="E1738" s="209">
        <v>1.88</v>
      </c>
      <c r="F1738" s="209">
        <v>0</v>
      </c>
      <c r="G1738" s="209">
        <v>1.88</v>
      </c>
      <c r="H1738" s="198"/>
    </row>
    <row r="1739" spans="1:8" ht="15.75" hidden="1" customHeight="1" x14ac:dyDescent="0.25">
      <c r="A1739" s="205" t="s">
        <v>2191</v>
      </c>
      <c r="B1739" s="206">
        <v>90970</v>
      </c>
      <c r="C1739" s="207" t="s">
        <v>2346</v>
      </c>
      <c r="D1739" s="208" t="s">
        <v>2193</v>
      </c>
      <c r="E1739" s="209">
        <v>8.8000000000000007</v>
      </c>
      <c r="F1739" s="209">
        <v>0</v>
      </c>
      <c r="G1739" s="209">
        <v>8.8000000000000007</v>
      </c>
      <c r="H1739" s="198"/>
    </row>
    <row r="1740" spans="1:8" ht="15.75" hidden="1" customHeight="1" x14ac:dyDescent="0.25">
      <c r="A1740" s="205" t="s">
        <v>2191</v>
      </c>
      <c r="B1740" s="206">
        <v>90971</v>
      </c>
      <c r="C1740" s="207" t="s">
        <v>2347</v>
      </c>
      <c r="D1740" s="208" t="s">
        <v>2193</v>
      </c>
      <c r="E1740" s="209">
        <v>64.12</v>
      </c>
      <c r="F1740" s="209">
        <v>0</v>
      </c>
      <c r="G1740" s="209">
        <v>64.12</v>
      </c>
      <c r="H1740" s="198"/>
    </row>
    <row r="1741" spans="1:8" ht="15.75" hidden="1" customHeight="1" x14ac:dyDescent="0.25">
      <c r="A1741" s="205" t="s">
        <v>2191</v>
      </c>
      <c r="B1741" s="206">
        <v>90992</v>
      </c>
      <c r="C1741" s="207" t="s">
        <v>2348</v>
      </c>
      <c r="D1741" s="208" t="s">
        <v>2193</v>
      </c>
      <c r="E1741" s="209">
        <v>8.34</v>
      </c>
      <c r="F1741" s="209">
        <v>0</v>
      </c>
      <c r="G1741" s="209">
        <v>8.34</v>
      </c>
      <c r="H1741" s="198"/>
    </row>
    <row r="1742" spans="1:8" ht="15.75" hidden="1" customHeight="1" x14ac:dyDescent="0.25">
      <c r="A1742" s="205" t="s">
        <v>2191</v>
      </c>
      <c r="B1742" s="206">
        <v>90993</v>
      </c>
      <c r="C1742" s="207" t="s">
        <v>2349</v>
      </c>
      <c r="D1742" s="208" t="s">
        <v>2193</v>
      </c>
      <c r="E1742" s="209">
        <v>2.23</v>
      </c>
      <c r="F1742" s="209">
        <v>0</v>
      </c>
      <c r="G1742" s="209">
        <v>2.23</v>
      </c>
      <c r="H1742" s="198"/>
    </row>
    <row r="1743" spans="1:8" ht="15.75" hidden="1" customHeight="1" x14ac:dyDescent="0.25">
      <c r="A1743" s="205" t="s">
        <v>2191</v>
      </c>
      <c r="B1743" s="206">
        <v>90994</v>
      </c>
      <c r="C1743" s="207" t="s">
        <v>2350</v>
      </c>
      <c r="D1743" s="208" t="s">
        <v>2193</v>
      </c>
      <c r="E1743" s="209">
        <v>10.44</v>
      </c>
      <c r="F1743" s="209">
        <v>0</v>
      </c>
      <c r="G1743" s="209">
        <v>10.44</v>
      </c>
      <c r="H1743" s="198"/>
    </row>
    <row r="1744" spans="1:8" ht="15.75" hidden="1" customHeight="1" x14ac:dyDescent="0.25">
      <c r="A1744" s="205" t="s">
        <v>2191</v>
      </c>
      <c r="B1744" s="206">
        <v>90995</v>
      </c>
      <c r="C1744" s="207" t="s">
        <v>2351</v>
      </c>
      <c r="D1744" s="208" t="s">
        <v>2193</v>
      </c>
      <c r="E1744" s="209">
        <v>87.1</v>
      </c>
      <c r="F1744" s="209">
        <v>0</v>
      </c>
      <c r="G1744" s="209">
        <v>87.1</v>
      </c>
      <c r="H1744" s="198"/>
    </row>
    <row r="1745" spans="1:8" ht="15.75" hidden="1" customHeight="1" x14ac:dyDescent="0.25">
      <c r="A1745" s="205" t="s">
        <v>2191</v>
      </c>
      <c r="B1745" s="206">
        <v>90957</v>
      </c>
      <c r="C1745" s="207" t="s">
        <v>2352</v>
      </c>
      <c r="D1745" s="208" t="s">
        <v>2193</v>
      </c>
      <c r="E1745" s="209">
        <v>5.25</v>
      </c>
      <c r="F1745" s="209">
        <v>0</v>
      </c>
      <c r="G1745" s="209">
        <v>5.25</v>
      </c>
      <c r="H1745" s="198"/>
    </row>
    <row r="1746" spans="1:8" ht="15.75" hidden="1" customHeight="1" x14ac:dyDescent="0.25">
      <c r="A1746" s="205" t="s">
        <v>2191</v>
      </c>
      <c r="B1746" s="206">
        <v>90958</v>
      </c>
      <c r="C1746" s="207" t="s">
        <v>2353</v>
      </c>
      <c r="D1746" s="208" t="s">
        <v>2193</v>
      </c>
      <c r="E1746" s="209">
        <v>1.4</v>
      </c>
      <c r="F1746" s="209">
        <v>0</v>
      </c>
      <c r="G1746" s="209">
        <v>1.4</v>
      </c>
      <c r="H1746" s="198"/>
    </row>
    <row r="1747" spans="1:8" ht="15.75" hidden="1" customHeight="1" x14ac:dyDescent="0.25">
      <c r="A1747" s="205" t="s">
        <v>2191</v>
      </c>
      <c r="B1747" s="206">
        <v>5797</v>
      </c>
      <c r="C1747" s="207" t="s">
        <v>2354</v>
      </c>
      <c r="D1747" s="208" t="s">
        <v>2193</v>
      </c>
      <c r="E1747" s="209">
        <v>6.57</v>
      </c>
      <c r="F1747" s="209">
        <v>0</v>
      </c>
      <c r="G1747" s="209">
        <v>6.57</v>
      </c>
      <c r="H1747" s="198"/>
    </row>
    <row r="1748" spans="1:8" ht="15.75" hidden="1" customHeight="1" x14ac:dyDescent="0.25">
      <c r="A1748" s="205" t="s">
        <v>2191</v>
      </c>
      <c r="B1748" s="206">
        <v>53865</v>
      </c>
      <c r="C1748" s="207" t="s">
        <v>2355</v>
      </c>
      <c r="D1748" s="208" t="s">
        <v>2193</v>
      </c>
      <c r="E1748" s="209">
        <v>49.88</v>
      </c>
      <c r="F1748" s="209">
        <v>0</v>
      </c>
      <c r="G1748" s="209">
        <v>49.88</v>
      </c>
      <c r="H1748" s="198"/>
    </row>
    <row r="1749" spans="1:8" ht="15.75" hidden="1" customHeight="1" x14ac:dyDescent="0.25">
      <c r="A1749" s="205" t="s">
        <v>2191</v>
      </c>
      <c r="B1749" s="206">
        <v>90975</v>
      </c>
      <c r="C1749" s="207" t="s">
        <v>2356</v>
      </c>
      <c r="D1749" s="208" t="s">
        <v>2193</v>
      </c>
      <c r="E1749" s="209">
        <v>17.86</v>
      </c>
      <c r="F1749" s="209">
        <v>0</v>
      </c>
      <c r="G1749" s="209">
        <v>17.86</v>
      </c>
      <c r="H1749" s="198"/>
    </row>
    <row r="1750" spans="1:8" ht="15.75" hidden="1" customHeight="1" x14ac:dyDescent="0.25">
      <c r="A1750" s="205" t="s">
        <v>2191</v>
      </c>
      <c r="B1750" s="206">
        <v>90976</v>
      </c>
      <c r="C1750" s="207" t="s">
        <v>2357</v>
      </c>
      <c r="D1750" s="208" t="s">
        <v>2193</v>
      </c>
      <c r="E1750" s="209">
        <v>4.79</v>
      </c>
      <c r="F1750" s="209">
        <v>0</v>
      </c>
      <c r="G1750" s="209">
        <v>4.79</v>
      </c>
      <c r="H1750" s="198"/>
    </row>
    <row r="1751" spans="1:8" ht="15.75" hidden="1" customHeight="1" x14ac:dyDescent="0.25">
      <c r="A1751" s="205" t="s">
        <v>2191</v>
      </c>
      <c r="B1751" s="206">
        <v>90977</v>
      </c>
      <c r="C1751" s="207" t="s">
        <v>2358</v>
      </c>
      <c r="D1751" s="208" t="s">
        <v>2193</v>
      </c>
      <c r="E1751" s="209">
        <v>22.35</v>
      </c>
      <c r="F1751" s="209">
        <v>0</v>
      </c>
      <c r="G1751" s="209">
        <v>22.35</v>
      </c>
      <c r="H1751" s="198"/>
    </row>
    <row r="1752" spans="1:8" ht="15.75" hidden="1" customHeight="1" x14ac:dyDescent="0.25">
      <c r="A1752" s="205" t="s">
        <v>2191</v>
      </c>
      <c r="B1752" s="206">
        <v>90978</v>
      </c>
      <c r="C1752" s="207" t="s">
        <v>2359</v>
      </c>
      <c r="D1752" s="208" t="s">
        <v>2193</v>
      </c>
      <c r="E1752" s="209">
        <v>166.35</v>
      </c>
      <c r="F1752" s="209">
        <v>0</v>
      </c>
      <c r="G1752" s="209">
        <v>166.35</v>
      </c>
      <c r="H1752" s="198"/>
    </row>
    <row r="1753" spans="1:8" ht="15.75" hidden="1" customHeight="1" x14ac:dyDescent="0.25">
      <c r="A1753" s="205" t="s">
        <v>2191</v>
      </c>
      <c r="B1753" s="206">
        <v>90960</v>
      </c>
      <c r="C1753" s="207" t="s">
        <v>2360</v>
      </c>
      <c r="D1753" s="208" t="s">
        <v>2193</v>
      </c>
      <c r="E1753" s="209">
        <v>7.01</v>
      </c>
      <c r="F1753" s="209">
        <v>0</v>
      </c>
      <c r="G1753" s="209">
        <v>7.01</v>
      </c>
      <c r="H1753" s="198"/>
    </row>
    <row r="1754" spans="1:8" ht="15.75" hidden="1" customHeight="1" x14ac:dyDescent="0.25">
      <c r="A1754" s="205" t="s">
        <v>2191</v>
      </c>
      <c r="B1754" s="206">
        <v>90961</v>
      </c>
      <c r="C1754" s="207" t="s">
        <v>2361</v>
      </c>
      <c r="D1754" s="208" t="s">
        <v>2193</v>
      </c>
      <c r="E1754" s="209">
        <v>1.88</v>
      </c>
      <c r="F1754" s="209">
        <v>0</v>
      </c>
      <c r="G1754" s="209">
        <v>1.88</v>
      </c>
      <c r="H1754" s="198"/>
    </row>
    <row r="1755" spans="1:8" ht="15.75" hidden="1" customHeight="1" x14ac:dyDescent="0.25">
      <c r="A1755" s="205" t="s">
        <v>2191</v>
      </c>
      <c r="B1755" s="206">
        <v>90962</v>
      </c>
      <c r="C1755" s="207" t="s">
        <v>2362</v>
      </c>
      <c r="D1755" s="208" t="s">
        <v>2193</v>
      </c>
      <c r="E1755" s="209">
        <v>8.7799999999999994</v>
      </c>
      <c r="F1755" s="209">
        <v>0</v>
      </c>
      <c r="G1755" s="209">
        <v>8.7799999999999994</v>
      </c>
      <c r="H1755" s="198"/>
    </row>
    <row r="1756" spans="1:8" ht="15.75" hidden="1" customHeight="1" x14ac:dyDescent="0.25">
      <c r="A1756" s="205" t="s">
        <v>2191</v>
      </c>
      <c r="B1756" s="206">
        <v>90963</v>
      </c>
      <c r="C1756" s="207" t="s">
        <v>2363</v>
      </c>
      <c r="D1756" s="208" t="s">
        <v>2193</v>
      </c>
      <c r="E1756" s="209">
        <v>15.82</v>
      </c>
      <c r="F1756" s="209">
        <v>0</v>
      </c>
      <c r="G1756" s="209">
        <v>15.82</v>
      </c>
      <c r="H1756" s="198"/>
    </row>
    <row r="1757" spans="1:8" ht="15.75" hidden="1" customHeight="1" x14ac:dyDescent="0.25">
      <c r="A1757" s="205" t="s">
        <v>2191</v>
      </c>
      <c r="B1757" s="206">
        <v>102969</v>
      </c>
      <c r="C1757" s="207" t="s">
        <v>2364</v>
      </c>
      <c r="D1757" s="208" t="s">
        <v>2193</v>
      </c>
      <c r="E1757" s="209">
        <v>0.1</v>
      </c>
      <c r="F1757" s="209">
        <v>0</v>
      </c>
      <c r="G1757" s="209">
        <v>0.1</v>
      </c>
      <c r="H1757" s="198"/>
    </row>
    <row r="1758" spans="1:8" ht="15.75" hidden="1" customHeight="1" x14ac:dyDescent="0.25">
      <c r="A1758" s="205" t="s">
        <v>2191</v>
      </c>
      <c r="B1758" s="206">
        <v>102832</v>
      </c>
      <c r="C1758" s="207" t="s">
        <v>2365</v>
      </c>
      <c r="D1758" s="208" t="s">
        <v>2193</v>
      </c>
      <c r="E1758" s="209">
        <v>6.03</v>
      </c>
      <c r="F1758" s="209">
        <v>0</v>
      </c>
      <c r="G1758" s="209">
        <v>6.03</v>
      </c>
      <c r="H1758" s="198"/>
    </row>
    <row r="1759" spans="1:8" ht="15.75" hidden="1" customHeight="1" x14ac:dyDescent="0.25">
      <c r="A1759" s="205" t="s">
        <v>2191</v>
      </c>
      <c r="B1759" s="206">
        <v>102826</v>
      </c>
      <c r="C1759" s="207" t="s">
        <v>2366</v>
      </c>
      <c r="D1759" s="208" t="s">
        <v>2193</v>
      </c>
      <c r="E1759" s="209">
        <v>4.5199999999999996</v>
      </c>
      <c r="F1759" s="209">
        <v>0</v>
      </c>
      <c r="G1759" s="209">
        <v>4.5199999999999996</v>
      </c>
      <c r="H1759" s="198"/>
    </row>
    <row r="1760" spans="1:8" ht="15.75" hidden="1" customHeight="1" x14ac:dyDescent="0.25">
      <c r="A1760" s="205" t="s">
        <v>2191</v>
      </c>
      <c r="B1760" s="206">
        <v>103937</v>
      </c>
      <c r="C1760" s="207" t="s">
        <v>2367</v>
      </c>
      <c r="D1760" s="208" t="s">
        <v>2193</v>
      </c>
      <c r="E1760" s="209">
        <v>1.08</v>
      </c>
      <c r="F1760" s="209">
        <v>0</v>
      </c>
      <c r="G1760" s="209">
        <v>1.08</v>
      </c>
      <c r="H1760" s="198"/>
    </row>
    <row r="1761" spans="1:8" ht="15.75" hidden="1" customHeight="1" x14ac:dyDescent="0.25">
      <c r="A1761" s="205" t="s">
        <v>2191</v>
      </c>
      <c r="B1761" s="206">
        <v>103943</v>
      </c>
      <c r="C1761" s="207" t="s">
        <v>2368</v>
      </c>
      <c r="D1761" s="208" t="s">
        <v>2193</v>
      </c>
      <c r="E1761" s="209">
        <v>1.08</v>
      </c>
      <c r="F1761" s="209">
        <v>0</v>
      </c>
      <c r="G1761" s="209">
        <v>1.08</v>
      </c>
      <c r="H1761" s="198"/>
    </row>
    <row r="1762" spans="1:8" ht="15.75" hidden="1" customHeight="1" x14ac:dyDescent="0.25">
      <c r="A1762" s="205" t="s">
        <v>2191</v>
      </c>
      <c r="B1762" s="206">
        <v>91279</v>
      </c>
      <c r="C1762" s="207" t="s">
        <v>2369</v>
      </c>
      <c r="D1762" s="208" t="s">
        <v>2193</v>
      </c>
      <c r="E1762" s="209">
        <v>0.8</v>
      </c>
      <c r="F1762" s="209">
        <v>0</v>
      </c>
      <c r="G1762" s="209">
        <v>0.8</v>
      </c>
      <c r="H1762" s="198"/>
    </row>
    <row r="1763" spans="1:8" ht="15.75" hidden="1" customHeight="1" x14ac:dyDescent="0.25">
      <c r="A1763" s="205" t="s">
        <v>2191</v>
      </c>
      <c r="B1763" s="206">
        <v>91280</v>
      </c>
      <c r="C1763" s="207" t="s">
        <v>2370</v>
      </c>
      <c r="D1763" s="208" t="s">
        <v>2193</v>
      </c>
      <c r="E1763" s="209">
        <v>0.17</v>
      </c>
      <c r="F1763" s="209">
        <v>0</v>
      </c>
      <c r="G1763" s="209">
        <v>0.17</v>
      </c>
      <c r="H1763" s="198"/>
    </row>
    <row r="1764" spans="1:8" ht="15.75" hidden="1" customHeight="1" x14ac:dyDescent="0.25">
      <c r="A1764" s="205" t="s">
        <v>2191</v>
      </c>
      <c r="B1764" s="206">
        <v>91281</v>
      </c>
      <c r="C1764" s="207" t="s">
        <v>2371</v>
      </c>
      <c r="D1764" s="208" t="s">
        <v>2193</v>
      </c>
      <c r="E1764" s="209">
        <v>0.99</v>
      </c>
      <c r="F1764" s="209">
        <v>0</v>
      </c>
      <c r="G1764" s="209">
        <v>0.99</v>
      </c>
      <c r="H1764" s="198"/>
    </row>
    <row r="1765" spans="1:8" ht="15.75" hidden="1" customHeight="1" x14ac:dyDescent="0.25">
      <c r="A1765" s="205" t="s">
        <v>2191</v>
      </c>
      <c r="B1765" s="206">
        <v>91282</v>
      </c>
      <c r="C1765" s="207" t="s">
        <v>2372</v>
      </c>
      <c r="D1765" s="208" t="s">
        <v>2193</v>
      </c>
      <c r="E1765" s="209">
        <v>9.68</v>
      </c>
      <c r="F1765" s="209">
        <v>0</v>
      </c>
      <c r="G1765" s="209">
        <v>9.68</v>
      </c>
      <c r="H1765" s="198"/>
    </row>
    <row r="1766" spans="1:8" ht="15.75" hidden="1" customHeight="1" x14ac:dyDescent="0.25">
      <c r="A1766" s="205" t="s">
        <v>2191</v>
      </c>
      <c r="B1766" s="206">
        <v>95281</v>
      </c>
      <c r="C1766" s="207" t="s">
        <v>2373</v>
      </c>
      <c r="D1766" s="208" t="s">
        <v>2193</v>
      </c>
      <c r="E1766" s="209">
        <v>9.61</v>
      </c>
      <c r="F1766" s="209">
        <v>0</v>
      </c>
      <c r="G1766" s="209">
        <v>9.61</v>
      </c>
      <c r="H1766" s="198"/>
    </row>
    <row r="1767" spans="1:8" ht="15.75" hidden="1" customHeight="1" x14ac:dyDescent="0.25">
      <c r="A1767" s="205" t="s">
        <v>2191</v>
      </c>
      <c r="B1767" s="206">
        <v>95278</v>
      </c>
      <c r="C1767" s="207" t="s">
        <v>2374</v>
      </c>
      <c r="D1767" s="208" t="s">
        <v>2193</v>
      </c>
      <c r="E1767" s="209">
        <v>0.67</v>
      </c>
      <c r="F1767" s="209">
        <v>0</v>
      </c>
      <c r="G1767" s="209">
        <v>0.67</v>
      </c>
      <c r="H1767" s="198"/>
    </row>
    <row r="1768" spans="1:8" ht="15.75" hidden="1" customHeight="1" x14ac:dyDescent="0.25">
      <c r="A1768" s="205" t="s">
        <v>2191</v>
      </c>
      <c r="B1768" s="206">
        <v>95279</v>
      </c>
      <c r="C1768" s="207" t="s">
        <v>2375</v>
      </c>
      <c r="D1768" s="208" t="s">
        <v>2193</v>
      </c>
      <c r="E1768" s="209">
        <v>0.13</v>
      </c>
      <c r="F1768" s="209">
        <v>0</v>
      </c>
      <c r="G1768" s="209">
        <v>0.13</v>
      </c>
      <c r="H1768" s="198"/>
    </row>
    <row r="1769" spans="1:8" ht="15.75" hidden="1" customHeight="1" x14ac:dyDescent="0.25">
      <c r="A1769" s="205" t="s">
        <v>2191</v>
      </c>
      <c r="B1769" s="206">
        <v>95280</v>
      </c>
      <c r="C1769" s="207" t="s">
        <v>2376</v>
      </c>
      <c r="D1769" s="208" t="s">
        <v>2193</v>
      </c>
      <c r="E1769" s="209">
        <v>0.65</v>
      </c>
      <c r="F1769" s="209">
        <v>0</v>
      </c>
      <c r="G1769" s="209">
        <v>0.65</v>
      </c>
      <c r="H1769" s="198"/>
    </row>
    <row r="1770" spans="1:8" ht="15.75" hidden="1" customHeight="1" x14ac:dyDescent="0.25">
      <c r="A1770" s="205" t="s">
        <v>2191</v>
      </c>
      <c r="B1770" s="206">
        <v>95124</v>
      </c>
      <c r="C1770" s="207" t="s">
        <v>2377</v>
      </c>
      <c r="D1770" s="208" t="s">
        <v>2193</v>
      </c>
      <c r="E1770" s="209">
        <v>5.51</v>
      </c>
      <c r="F1770" s="209">
        <v>0</v>
      </c>
      <c r="G1770" s="209">
        <v>5.51</v>
      </c>
      <c r="H1770" s="198"/>
    </row>
    <row r="1771" spans="1:8" ht="15.75" hidden="1" customHeight="1" x14ac:dyDescent="0.25">
      <c r="A1771" s="205" t="s">
        <v>2191</v>
      </c>
      <c r="B1771" s="206">
        <v>95123</v>
      </c>
      <c r="C1771" s="207" t="s">
        <v>2378</v>
      </c>
      <c r="D1771" s="208" t="s">
        <v>2193</v>
      </c>
      <c r="E1771" s="209">
        <v>17.87</v>
      </c>
      <c r="F1771" s="209">
        <v>0</v>
      </c>
      <c r="G1771" s="209">
        <v>17.87</v>
      </c>
      <c r="H1771" s="198"/>
    </row>
    <row r="1772" spans="1:8" ht="15.75" hidden="1" customHeight="1" x14ac:dyDescent="0.25">
      <c r="A1772" s="205" t="s">
        <v>2191</v>
      </c>
      <c r="B1772" s="206">
        <v>95125</v>
      </c>
      <c r="C1772" s="207" t="s">
        <v>2379</v>
      </c>
      <c r="D1772" s="208" t="s">
        <v>2193</v>
      </c>
      <c r="E1772" s="209">
        <v>19.559999999999999</v>
      </c>
      <c r="F1772" s="209">
        <v>0</v>
      </c>
      <c r="G1772" s="209">
        <v>19.559999999999999</v>
      </c>
      <c r="H1772" s="198"/>
    </row>
    <row r="1773" spans="1:8" ht="15.75" hidden="1" customHeight="1" x14ac:dyDescent="0.25">
      <c r="A1773" s="205" t="s">
        <v>2191</v>
      </c>
      <c r="B1773" s="206">
        <v>95126</v>
      </c>
      <c r="C1773" s="207" t="s">
        <v>2380</v>
      </c>
      <c r="D1773" s="208" t="s">
        <v>2193</v>
      </c>
      <c r="E1773" s="209">
        <v>155.78</v>
      </c>
      <c r="F1773" s="209">
        <v>0</v>
      </c>
      <c r="G1773" s="209">
        <v>155.78</v>
      </c>
      <c r="H1773" s="198"/>
    </row>
    <row r="1774" spans="1:8" ht="15.75" hidden="1" customHeight="1" x14ac:dyDescent="0.25">
      <c r="A1774" s="205" t="s">
        <v>2191</v>
      </c>
      <c r="B1774" s="206">
        <v>92040</v>
      </c>
      <c r="C1774" s="207" t="s">
        <v>2381</v>
      </c>
      <c r="D1774" s="208" t="s">
        <v>2193</v>
      </c>
      <c r="E1774" s="209">
        <v>6.47</v>
      </c>
      <c r="F1774" s="209">
        <v>0</v>
      </c>
      <c r="G1774" s="209">
        <v>6.47</v>
      </c>
      <c r="H1774" s="198"/>
    </row>
    <row r="1775" spans="1:8" ht="15.75" hidden="1" customHeight="1" x14ac:dyDescent="0.25">
      <c r="A1775" s="205" t="s">
        <v>2191</v>
      </c>
      <c r="B1775" s="206">
        <v>92041</v>
      </c>
      <c r="C1775" s="207" t="s">
        <v>2382</v>
      </c>
      <c r="D1775" s="208" t="s">
        <v>2193</v>
      </c>
      <c r="E1775" s="209">
        <v>1.33</v>
      </c>
      <c r="F1775" s="209">
        <v>0</v>
      </c>
      <c r="G1775" s="209">
        <v>1.33</v>
      </c>
      <c r="H1775" s="198"/>
    </row>
    <row r="1776" spans="1:8" ht="15.75" hidden="1" customHeight="1" x14ac:dyDescent="0.25">
      <c r="A1776" s="205" t="s">
        <v>2191</v>
      </c>
      <c r="B1776" s="206">
        <v>92042</v>
      </c>
      <c r="C1776" s="207" t="s">
        <v>2383</v>
      </c>
      <c r="D1776" s="208" t="s">
        <v>2193</v>
      </c>
      <c r="E1776" s="209">
        <v>5.39</v>
      </c>
      <c r="F1776" s="209">
        <v>0</v>
      </c>
      <c r="G1776" s="209">
        <v>5.39</v>
      </c>
      <c r="H1776" s="198"/>
    </row>
    <row r="1777" spans="1:8" ht="15.75" hidden="1" customHeight="1" x14ac:dyDescent="0.25">
      <c r="A1777" s="205" t="s">
        <v>2191</v>
      </c>
      <c r="B1777" s="206">
        <v>92114</v>
      </c>
      <c r="C1777" s="207" t="s">
        <v>2384</v>
      </c>
      <c r="D1777" s="208" t="s">
        <v>2193</v>
      </c>
      <c r="E1777" s="209">
        <v>0.22</v>
      </c>
      <c r="F1777" s="209">
        <v>0</v>
      </c>
      <c r="G1777" s="209">
        <v>0.22</v>
      </c>
      <c r="H1777" s="198"/>
    </row>
    <row r="1778" spans="1:8" ht="15.75" hidden="1" customHeight="1" x14ac:dyDescent="0.25">
      <c r="A1778" s="205" t="s">
        <v>2191</v>
      </c>
      <c r="B1778" s="206">
        <v>92115</v>
      </c>
      <c r="C1778" s="207" t="s">
        <v>2385</v>
      </c>
      <c r="D1778" s="208" t="s">
        <v>2193</v>
      </c>
      <c r="E1778" s="209">
        <v>0.04</v>
      </c>
      <c r="F1778" s="209">
        <v>0</v>
      </c>
      <c r="G1778" s="209">
        <v>0.04</v>
      </c>
      <c r="H1778" s="198"/>
    </row>
    <row r="1779" spans="1:8" ht="15.75" hidden="1" customHeight="1" x14ac:dyDescent="0.25">
      <c r="A1779" s="205" t="s">
        <v>2191</v>
      </c>
      <c r="B1779" s="206">
        <v>92116</v>
      </c>
      <c r="C1779" s="207" t="s">
        <v>2386</v>
      </c>
      <c r="D1779" s="208" t="s">
        <v>2193</v>
      </c>
      <c r="E1779" s="209">
        <v>0.15</v>
      </c>
      <c r="F1779" s="209">
        <v>0</v>
      </c>
      <c r="G1779" s="209">
        <v>0.15</v>
      </c>
      <c r="H1779" s="198"/>
    </row>
    <row r="1780" spans="1:8" ht="15.75" hidden="1" customHeight="1" x14ac:dyDescent="0.25">
      <c r="A1780" s="205" t="s">
        <v>2191</v>
      </c>
      <c r="B1780" s="206">
        <v>102915</v>
      </c>
      <c r="C1780" s="207" t="s">
        <v>2387</v>
      </c>
      <c r="D1780" s="208" t="s">
        <v>2193</v>
      </c>
      <c r="E1780" s="209">
        <v>0.44</v>
      </c>
      <c r="F1780" s="209">
        <v>0</v>
      </c>
      <c r="G1780" s="209">
        <v>0.44</v>
      </c>
      <c r="H1780" s="198"/>
    </row>
    <row r="1781" spans="1:8" ht="15.75" hidden="1" customHeight="1" x14ac:dyDescent="0.25">
      <c r="A1781" s="205" t="s">
        <v>2191</v>
      </c>
      <c r="B1781" s="206">
        <v>95716</v>
      </c>
      <c r="C1781" s="207" t="s">
        <v>2388</v>
      </c>
      <c r="D1781" s="208" t="s">
        <v>2193</v>
      </c>
      <c r="E1781" s="209">
        <v>69.790000000000006</v>
      </c>
      <c r="F1781" s="209">
        <v>0</v>
      </c>
      <c r="G1781" s="209">
        <v>69.790000000000006</v>
      </c>
      <c r="H1781" s="198"/>
    </row>
    <row r="1782" spans="1:8" ht="15.75" hidden="1" customHeight="1" x14ac:dyDescent="0.25">
      <c r="A1782" s="205" t="s">
        <v>2191</v>
      </c>
      <c r="B1782" s="206">
        <v>95717</v>
      </c>
      <c r="C1782" s="207" t="s">
        <v>2389</v>
      </c>
      <c r="D1782" s="208" t="s">
        <v>2193</v>
      </c>
      <c r="E1782" s="209">
        <v>18.440000000000001</v>
      </c>
      <c r="F1782" s="209">
        <v>0</v>
      </c>
      <c r="G1782" s="209">
        <v>18.440000000000001</v>
      </c>
      <c r="H1782" s="198"/>
    </row>
    <row r="1783" spans="1:8" ht="15.75" hidden="1" customHeight="1" x14ac:dyDescent="0.25">
      <c r="A1783" s="205" t="s">
        <v>2191</v>
      </c>
      <c r="B1783" s="206">
        <v>95718</v>
      </c>
      <c r="C1783" s="207" t="s">
        <v>2390</v>
      </c>
      <c r="D1783" s="208" t="s">
        <v>2193</v>
      </c>
      <c r="E1783" s="209">
        <v>87.23</v>
      </c>
      <c r="F1783" s="209">
        <v>0</v>
      </c>
      <c r="G1783" s="209">
        <v>87.23</v>
      </c>
      <c r="H1783" s="198"/>
    </row>
    <row r="1784" spans="1:8" ht="15.75" hidden="1" customHeight="1" x14ac:dyDescent="0.25">
      <c r="A1784" s="205" t="s">
        <v>2191</v>
      </c>
      <c r="B1784" s="206">
        <v>95719</v>
      </c>
      <c r="C1784" s="207" t="s">
        <v>2391</v>
      </c>
      <c r="D1784" s="208" t="s">
        <v>2193</v>
      </c>
      <c r="E1784" s="209">
        <v>95.13</v>
      </c>
      <c r="F1784" s="209">
        <v>0</v>
      </c>
      <c r="G1784" s="209">
        <v>95.13</v>
      </c>
      <c r="H1784" s="198"/>
    </row>
    <row r="1785" spans="1:8" ht="15.75" hidden="1" customHeight="1" x14ac:dyDescent="0.25">
      <c r="A1785" s="205" t="s">
        <v>2191</v>
      </c>
      <c r="B1785" s="206">
        <v>104715</v>
      </c>
      <c r="C1785" s="207" t="s">
        <v>2392</v>
      </c>
      <c r="D1785" s="208" t="s">
        <v>2193</v>
      </c>
      <c r="E1785" s="209">
        <v>95.13</v>
      </c>
      <c r="F1785" s="209">
        <v>0</v>
      </c>
      <c r="G1785" s="209">
        <v>95.13</v>
      </c>
      <c r="H1785" s="198"/>
    </row>
    <row r="1786" spans="1:8" ht="15.75" hidden="1" customHeight="1" x14ac:dyDescent="0.25">
      <c r="A1786" s="205" t="s">
        <v>2191</v>
      </c>
      <c r="B1786" s="206">
        <v>104712</v>
      </c>
      <c r="C1786" s="207" t="s">
        <v>2393</v>
      </c>
      <c r="D1786" s="208" t="s">
        <v>2193</v>
      </c>
      <c r="E1786" s="209">
        <v>65.59</v>
      </c>
      <c r="F1786" s="209">
        <v>0</v>
      </c>
      <c r="G1786" s="209">
        <v>65.59</v>
      </c>
      <c r="H1786" s="198"/>
    </row>
    <row r="1787" spans="1:8" ht="15.75" hidden="1" customHeight="1" x14ac:dyDescent="0.25">
      <c r="A1787" s="205" t="s">
        <v>2191</v>
      </c>
      <c r="B1787" s="206">
        <v>104713</v>
      </c>
      <c r="C1787" s="207" t="s">
        <v>2394</v>
      </c>
      <c r="D1787" s="208" t="s">
        <v>2193</v>
      </c>
      <c r="E1787" s="209">
        <v>17.329999999999998</v>
      </c>
      <c r="F1787" s="209">
        <v>0</v>
      </c>
      <c r="G1787" s="209">
        <v>17.329999999999998</v>
      </c>
      <c r="H1787" s="198"/>
    </row>
    <row r="1788" spans="1:8" ht="15.75" hidden="1" customHeight="1" x14ac:dyDescent="0.25">
      <c r="A1788" s="205" t="s">
        <v>2191</v>
      </c>
      <c r="B1788" s="206">
        <v>104714</v>
      </c>
      <c r="C1788" s="207" t="s">
        <v>2395</v>
      </c>
      <c r="D1788" s="208" t="s">
        <v>2193</v>
      </c>
      <c r="E1788" s="209">
        <v>81.99</v>
      </c>
      <c r="F1788" s="209">
        <v>0</v>
      </c>
      <c r="G1788" s="209">
        <v>81.99</v>
      </c>
      <c r="H1788" s="198"/>
    </row>
    <row r="1789" spans="1:8" ht="15.75" hidden="1" customHeight="1" x14ac:dyDescent="0.25">
      <c r="A1789" s="205" t="s">
        <v>2191</v>
      </c>
      <c r="B1789" s="206">
        <v>102897</v>
      </c>
      <c r="C1789" s="207" t="s">
        <v>2396</v>
      </c>
      <c r="D1789" s="208" t="s">
        <v>2193</v>
      </c>
      <c r="E1789" s="209">
        <v>95.13</v>
      </c>
      <c r="F1789" s="209">
        <v>0</v>
      </c>
      <c r="G1789" s="209">
        <v>95.13</v>
      </c>
      <c r="H1789" s="198"/>
    </row>
    <row r="1790" spans="1:8" ht="15.75" hidden="1" customHeight="1" x14ac:dyDescent="0.25">
      <c r="A1790" s="205" t="s">
        <v>2191</v>
      </c>
      <c r="B1790" s="206">
        <v>5627</v>
      </c>
      <c r="C1790" s="207" t="s">
        <v>2397</v>
      </c>
      <c r="D1790" s="208" t="s">
        <v>2193</v>
      </c>
      <c r="E1790" s="209">
        <v>50.4</v>
      </c>
      <c r="F1790" s="209">
        <v>0</v>
      </c>
      <c r="G1790" s="209">
        <v>50.4</v>
      </c>
      <c r="H1790" s="198"/>
    </row>
    <row r="1791" spans="1:8" ht="15.75" hidden="1" customHeight="1" x14ac:dyDescent="0.25">
      <c r="A1791" s="205" t="s">
        <v>2191</v>
      </c>
      <c r="B1791" s="206">
        <v>5628</v>
      </c>
      <c r="C1791" s="207" t="s">
        <v>2398</v>
      </c>
      <c r="D1791" s="208" t="s">
        <v>2193</v>
      </c>
      <c r="E1791" s="209">
        <v>13.32</v>
      </c>
      <c r="F1791" s="209">
        <v>0</v>
      </c>
      <c r="G1791" s="209">
        <v>13.32</v>
      </c>
      <c r="H1791" s="198"/>
    </row>
    <row r="1792" spans="1:8" ht="15.75" hidden="1" customHeight="1" x14ac:dyDescent="0.25">
      <c r="A1792" s="205" t="s">
        <v>2191</v>
      </c>
      <c r="B1792" s="206">
        <v>5629</v>
      </c>
      <c r="C1792" s="207" t="s">
        <v>2399</v>
      </c>
      <c r="D1792" s="208" t="s">
        <v>2193</v>
      </c>
      <c r="E1792" s="209">
        <v>63</v>
      </c>
      <c r="F1792" s="209">
        <v>0</v>
      </c>
      <c r="G1792" s="209">
        <v>63</v>
      </c>
      <c r="H1792" s="198"/>
    </row>
    <row r="1793" spans="1:8" ht="15.75" hidden="1" customHeight="1" x14ac:dyDescent="0.25">
      <c r="A1793" s="205" t="s">
        <v>2191</v>
      </c>
      <c r="B1793" s="206">
        <v>5630</v>
      </c>
      <c r="C1793" s="207" t="s">
        <v>2400</v>
      </c>
      <c r="D1793" s="208" t="s">
        <v>2193</v>
      </c>
      <c r="E1793" s="209">
        <v>68.17</v>
      </c>
      <c r="F1793" s="209">
        <v>0</v>
      </c>
      <c r="G1793" s="209">
        <v>68.17</v>
      </c>
      <c r="H1793" s="198"/>
    </row>
    <row r="1794" spans="1:8" ht="15.75" hidden="1" customHeight="1" x14ac:dyDescent="0.25">
      <c r="A1794" s="205" t="s">
        <v>2191</v>
      </c>
      <c r="B1794" s="206">
        <v>88900</v>
      </c>
      <c r="C1794" s="207" t="s">
        <v>2401</v>
      </c>
      <c r="D1794" s="208" t="s">
        <v>2193</v>
      </c>
      <c r="E1794" s="209">
        <v>57.02</v>
      </c>
      <c r="F1794" s="209">
        <v>0</v>
      </c>
      <c r="G1794" s="209">
        <v>57.02</v>
      </c>
      <c r="H1794" s="198"/>
    </row>
    <row r="1795" spans="1:8" ht="15.75" hidden="1" customHeight="1" x14ac:dyDescent="0.25">
      <c r="A1795" s="205" t="s">
        <v>2191</v>
      </c>
      <c r="B1795" s="206">
        <v>88902</v>
      </c>
      <c r="C1795" s="207" t="s">
        <v>2402</v>
      </c>
      <c r="D1795" s="208" t="s">
        <v>2193</v>
      </c>
      <c r="E1795" s="209">
        <v>15.07</v>
      </c>
      <c r="F1795" s="209">
        <v>0</v>
      </c>
      <c r="G1795" s="209">
        <v>15.07</v>
      </c>
      <c r="H1795" s="198"/>
    </row>
    <row r="1796" spans="1:8" ht="15.75" hidden="1" customHeight="1" x14ac:dyDescent="0.25">
      <c r="A1796" s="205" t="s">
        <v>2191</v>
      </c>
      <c r="B1796" s="206">
        <v>88903</v>
      </c>
      <c r="C1796" s="207" t="s">
        <v>2403</v>
      </c>
      <c r="D1796" s="208" t="s">
        <v>2193</v>
      </c>
      <c r="E1796" s="209">
        <v>71.28</v>
      </c>
      <c r="F1796" s="209">
        <v>0</v>
      </c>
      <c r="G1796" s="209">
        <v>71.28</v>
      </c>
      <c r="H1796" s="198"/>
    </row>
    <row r="1797" spans="1:8" ht="15.75" hidden="1" customHeight="1" x14ac:dyDescent="0.25">
      <c r="A1797" s="205" t="s">
        <v>2191</v>
      </c>
      <c r="B1797" s="206">
        <v>88904</v>
      </c>
      <c r="C1797" s="207" t="s">
        <v>2404</v>
      </c>
      <c r="D1797" s="208" t="s">
        <v>2193</v>
      </c>
      <c r="E1797" s="209">
        <v>95.13</v>
      </c>
      <c r="F1797" s="209">
        <v>0</v>
      </c>
      <c r="G1797" s="209">
        <v>95.13</v>
      </c>
      <c r="H1797" s="198"/>
    </row>
    <row r="1798" spans="1:8" ht="15.75" hidden="1" customHeight="1" x14ac:dyDescent="0.25">
      <c r="A1798" s="205" t="s">
        <v>2191</v>
      </c>
      <c r="B1798" s="206">
        <v>88569</v>
      </c>
      <c r="C1798" s="207" t="s">
        <v>2405</v>
      </c>
      <c r="D1798" s="208" t="s">
        <v>2193</v>
      </c>
      <c r="E1798" s="209">
        <v>3.71</v>
      </c>
      <c r="F1798" s="209">
        <v>0</v>
      </c>
      <c r="G1798" s="209">
        <v>3.71</v>
      </c>
      <c r="H1798" s="198"/>
    </row>
    <row r="1799" spans="1:8" ht="15.75" hidden="1" customHeight="1" x14ac:dyDescent="0.25">
      <c r="A1799" s="205" t="s">
        <v>2191</v>
      </c>
      <c r="B1799" s="206">
        <v>88570</v>
      </c>
      <c r="C1799" s="207" t="s">
        <v>2406</v>
      </c>
      <c r="D1799" s="208" t="s">
        <v>2193</v>
      </c>
      <c r="E1799" s="209">
        <v>1.28</v>
      </c>
      <c r="F1799" s="209">
        <v>0</v>
      </c>
      <c r="G1799" s="209">
        <v>1.28</v>
      </c>
      <c r="H1799" s="198"/>
    </row>
    <row r="1800" spans="1:8" ht="15.75" hidden="1" customHeight="1" x14ac:dyDescent="0.25">
      <c r="A1800" s="205" t="s">
        <v>2191</v>
      </c>
      <c r="B1800" s="206">
        <v>5765</v>
      </c>
      <c r="C1800" s="207" t="s">
        <v>2407</v>
      </c>
      <c r="D1800" s="208" t="s">
        <v>2193</v>
      </c>
      <c r="E1800" s="209">
        <v>4.6399999999999997</v>
      </c>
      <c r="F1800" s="209">
        <v>0</v>
      </c>
      <c r="G1800" s="209">
        <v>4.6399999999999997</v>
      </c>
      <c r="H1800" s="198"/>
    </row>
    <row r="1801" spans="1:8" ht="15.75" hidden="1" customHeight="1" x14ac:dyDescent="0.25">
      <c r="A1801" s="205" t="s">
        <v>2191</v>
      </c>
      <c r="B1801" s="206">
        <v>5766</v>
      </c>
      <c r="C1801" s="207" t="s">
        <v>2408</v>
      </c>
      <c r="D1801" s="208" t="s">
        <v>2193</v>
      </c>
      <c r="E1801" s="209">
        <v>3.2</v>
      </c>
      <c r="F1801" s="209">
        <v>0</v>
      </c>
      <c r="G1801" s="209">
        <v>3.2</v>
      </c>
      <c r="H1801" s="198"/>
    </row>
    <row r="1802" spans="1:8" ht="15.75" hidden="1" customHeight="1" x14ac:dyDescent="0.25">
      <c r="A1802" s="205" t="s">
        <v>2191</v>
      </c>
      <c r="B1802" s="206">
        <v>91468</v>
      </c>
      <c r="C1802" s="207" t="s">
        <v>2409</v>
      </c>
      <c r="D1802" s="208" t="s">
        <v>2193</v>
      </c>
      <c r="E1802" s="209">
        <v>25.92</v>
      </c>
      <c r="F1802" s="209">
        <v>0</v>
      </c>
      <c r="G1802" s="209">
        <v>25.92</v>
      </c>
      <c r="H1802" s="198"/>
    </row>
    <row r="1803" spans="1:8" ht="15.75" hidden="1" customHeight="1" x14ac:dyDescent="0.25">
      <c r="A1803" s="205" t="s">
        <v>2191</v>
      </c>
      <c r="B1803" s="206">
        <v>91484</v>
      </c>
      <c r="C1803" s="207" t="s">
        <v>2410</v>
      </c>
      <c r="D1803" s="208" t="s">
        <v>2193</v>
      </c>
      <c r="E1803" s="209">
        <v>4.0999999999999996</v>
      </c>
      <c r="F1803" s="209">
        <v>0</v>
      </c>
      <c r="G1803" s="209">
        <v>4.0999999999999996</v>
      </c>
      <c r="H1803" s="198"/>
    </row>
    <row r="1804" spans="1:8" ht="15.75" hidden="1" customHeight="1" x14ac:dyDescent="0.25">
      <c r="A1804" s="205" t="s">
        <v>2191</v>
      </c>
      <c r="B1804" s="206">
        <v>91469</v>
      </c>
      <c r="C1804" s="207" t="s">
        <v>2411</v>
      </c>
      <c r="D1804" s="208" t="s">
        <v>2193</v>
      </c>
      <c r="E1804" s="209">
        <v>10.15</v>
      </c>
      <c r="F1804" s="209">
        <v>0</v>
      </c>
      <c r="G1804" s="209">
        <v>10.15</v>
      </c>
      <c r="H1804" s="198"/>
    </row>
    <row r="1805" spans="1:8" ht="15.75" hidden="1" customHeight="1" x14ac:dyDescent="0.25">
      <c r="A1805" s="205" t="s">
        <v>2191</v>
      </c>
      <c r="B1805" s="206">
        <v>83361</v>
      </c>
      <c r="C1805" s="207" t="s">
        <v>2412</v>
      </c>
      <c r="D1805" s="208" t="s">
        <v>2193</v>
      </c>
      <c r="E1805" s="209">
        <v>43.63</v>
      </c>
      <c r="F1805" s="209">
        <v>0</v>
      </c>
      <c r="G1805" s="209">
        <v>43.63</v>
      </c>
      <c r="H1805" s="198"/>
    </row>
    <row r="1806" spans="1:8" ht="15.75" hidden="1" customHeight="1" x14ac:dyDescent="0.25">
      <c r="A1806" s="205" t="s">
        <v>2191</v>
      </c>
      <c r="B1806" s="206">
        <v>91485</v>
      </c>
      <c r="C1806" s="207" t="s">
        <v>2413</v>
      </c>
      <c r="D1806" s="208" t="s">
        <v>2193</v>
      </c>
      <c r="E1806" s="209">
        <v>163.75</v>
      </c>
      <c r="F1806" s="209">
        <v>0</v>
      </c>
      <c r="G1806" s="209">
        <v>163.75</v>
      </c>
      <c r="H1806" s="198"/>
    </row>
    <row r="1807" spans="1:8" ht="15.75" hidden="1" customHeight="1" x14ac:dyDescent="0.25">
      <c r="A1807" s="205" t="s">
        <v>2191</v>
      </c>
      <c r="B1807" s="206">
        <v>89230</v>
      </c>
      <c r="C1807" s="207" t="s">
        <v>2414</v>
      </c>
      <c r="D1807" s="208" t="s">
        <v>2193</v>
      </c>
      <c r="E1807" s="209">
        <v>115.32</v>
      </c>
      <c r="F1807" s="209">
        <v>0</v>
      </c>
      <c r="G1807" s="209">
        <v>115.32</v>
      </c>
      <c r="H1807" s="198"/>
    </row>
    <row r="1808" spans="1:8" ht="15.75" hidden="1" customHeight="1" x14ac:dyDescent="0.25">
      <c r="A1808" s="205" t="s">
        <v>2191</v>
      </c>
      <c r="B1808" s="206">
        <v>89231</v>
      </c>
      <c r="C1808" s="207" t="s">
        <v>2415</v>
      </c>
      <c r="D1808" s="208" t="s">
        <v>2193</v>
      </c>
      <c r="E1808" s="209">
        <v>35.31</v>
      </c>
      <c r="F1808" s="209">
        <v>0</v>
      </c>
      <c r="G1808" s="209">
        <v>35.31</v>
      </c>
      <c r="H1808" s="198"/>
    </row>
    <row r="1809" spans="1:8" ht="15.75" hidden="1" customHeight="1" x14ac:dyDescent="0.25">
      <c r="A1809" s="205" t="s">
        <v>2191</v>
      </c>
      <c r="B1809" s="206">
        <v>89232</v>
      </c>
      <c r="C1809" s="207" t="s">
        <v>2416</v>
      </c>
      <c r="D1809" s="208" t="s">
        <v>2193</v>
      </c>
      <c r="E1809" s="209">
        <v>205.71</v>
      </c>
      <c r="F1809" s="209">
        <v>0</v>
      </c>
      <c r="G1809" s="209">
        <v>205.71</v>
      </c>
      <c r="H1809" s="198"/>
    </row>
    <row r="1810" spans="1:8" ht="15.75" hidden="1" customHeight="1" x14ac:dyDescent="0.25">
      <c r="A1810" s="205" t="s">
        <v>2191</v>
      </c>
      <c r="B1810" s="206">
        <v>89233</v>
      </c>
      <c r="C1810" s="207" t="s">
        <v>2417</v>
      </c>
      <c r="D1810" s="208" t="s">
        <v>2193</v>
      </c>
      <c r="E1810" s="209">
        <v>176.79</v>
      </c>
      <c r="F1810" s="209">
        <v>0</v>
      </c>
      <c r="G1810" s="209">
        <v>176.79</v>
      </c>
      <c r="H1810" s="198"/>
    </row>
    <row r="1811" spans="1:8" ht="15.75" hidden="1" customHeight="1" x14ac:dyDescent="0.25">
      <c r="A1811" s="205" t="s">
        <v>2191</v>
      </c>
      <c r="B1811" s="206">
        <v>89236</v>
      </c>
      <c r="C1811" s="207" t="s">
        <v>2418</v>
      </c>
      <c r="D1811" s="208" t="s">
        <v>2193</v>
      </c>
      <c r="E1811" s="209">
        <v>269.39999999999998</v>
      </c>
      <c r="F1811" s="209">
        <v>0</v>
      </c>
      <c r="G1811" s="209">
        <v>269.39999999999998</v>
      </c>
      <c r="H1811" s="198"/>
    </row>
    <row r="1812" spans="1:8" ht="15.75" hidden="1" customHeight="1" x14ac:dyDescent="0.25">
      <c r="A1812" s="205" t="s">
        <v>2191</v>
      </c>
      <c r="B1812" s="206">
        <v>89237</v>
      </c>
      <c r="C1812" s="207" t="s">
        <v>2419</v>
      </c>
      <c r="D1812" s="208" t="s">
        <v>2193</v>
      </c>
      <c r="E1812" s="209">
        <v>82.49</v>
      </c>
      <c r="F1812" s="209">
        <v>0</v>
      </c>
      <c r="G1812" s="209">
        <v>82.49</v>
      </c>
      <c r="H1812" s="198"/>
    </row>
    <row r="1813" spans="1:8" ht="15.75" hidden="1" customHeight="1" x14ac:dyDescent="0.25">
      <c r="A1813" s="205" t="s">
        <v>2191</v>
      </c>
      <c r="B1813" s="206">
        <v>89238</v>
      </c>
      <c r="C1813" s="207" t="s">
        <v>2420</v>
      </c>
      <c r="D1813" s="208" t="s">
        <v>2193</v>
      </c>
      <c r="E1813" s="209">
        <v>480.53</v>
      </c>
      <c r="F1813" s="209">
        <v>0</v>
      </c>
      <c r="G1813" s="209">
        <v>480.53</v>
      </c>
      <c r="H1813" s="198"/>
    </row>
    <row r="1814" spans="1:8" ht="15.75" hidden="1" customHeight="1" x14ac:dyDescent="0.25">
      <c r="A1814" s="205" t="s">
        <v>2191</v>
      </c>
      <c r="B1814" s="206">
        <v>89239</v>
      </c>
      <c r="C1814" s="207" t="s">
        <v>2421</v>
      </c>
      <c r="D1814" s="208" t="s">
        <v>2193</v>
      </c>
      <c r="E1814" s="209">
        <v>467.53</v>
      </c>
      <c r="F1814" s="209">
        <v>0</v>
      </c>
      <c r="G1814" s="209">
        <v>467.53</v>
      </c>
      <c r="H1814" s="198"/>
    </row>
    <row r="1815" spans="1:8" ht="15.75" hidden="1" customHeight="1" x14ac:dyDescent="0.25">
      <c r="A1815" s="205" t="s">
        <v>2191</v>
      </c>
      <c r="B1815" s="206">
        <v>102933</v>
      </c>
      <c r="C1815" s="207" t="s">
        <v>2422</v>
      </c>
      <c r="D1815" s="208" t="s">
        <v>2193</v>
      </c>
      <c r="E1815" s="209">
        <v>0.66</v>
      </c>
      <c r="F1815" s="209">
        <v>0</v>
      </c>
      <c r="G1815" s="209">
        <v>0.66</v>
      </c>
      <c r="H1815" s="198"/>
    </row>
    <row r="1816" spans="1:8" ht="15.75" hidden="1" customHeight="1" x14ac:dyDescent="0.25">
      <c r="A1816" s="205" t="s">
        <v>2191</v>
      </c>
      <c r="B1816" s="206">
        <v>93411</v>
      </c>
      <c r="C1816" s="207" t="s">
        <v>2423</v>
      </c>
      <c r="D1816" s="208" t="s">
        <v>2193</v>
      </c>
      <c r="E1816" s="209">
        <v>0.27</v>
      </c>
      <c r="F1816" s="209">
        <v>0</v>
      </c>
      <c r="G1816" s="209">
        <v>0.27</v>
      </c>
      <c r="H1816" s="198"/>
    </row>
    <row r="1817" spans="1:8" ht="15.75" hidden="1" customHeight="1" x14ac:dyDescent="0.25">
      <c r="A1817" s="205" t="s">
        <v>2191</v>
      </c>
      <c r="B1817" s="206">
        <v>93412</v>
      </c>
      <c r="C1817" s="207" t="s">
        <v>2424</v>
      </c>
      <c r="D1817" s="208" t="s">
        <v>2193</v>
      </c>
      <c r="E1817" s="209">
        <v>0.09</v>
      </c>
      <c r="F1817" s="209">
        <v>0</v>
      </c>
      <c r="G1817" s="209">
        <v>0.09</v>
      </c>
      <c r="H1817" s="198"/>
    </row>
    <row r="1818" spans="1:8" ht="15.75" hidden="1" customHeight="1" x14ac:dyDescent="0.25">
      <c r="A1818" s="205" t="s">
        <v>2191</v>
      </c>
      <c r="B1818" s="206">
        <v>93413</v>
      </c>
      <c r="C1818" s="207" t="s">
        <v>2425</v>
      </c>
      <c r="D1818" s="208" t="s">
        <v>2193</v>
      </c>
      <c r="E1818" s="209">
        <v>0.24</v>
      </c>
      <c r="F1818" s="209">
        <v>0</v>
      </c>
      <c r="G1818" s="209">
        <v>0.24</v>
      </c>
      <c r="H1818" s="198"/>
    </row>
    <row r="1819" spans="1:8" ht="15.75" hidden="1" customHeight="1" x14ac:dyDescent="0.25">
      <c r="A1819" s="205" t="s">
        <v>2191</v>
      </c>
      <c r="B1819" s="206">
        <v>93414</v>
      </c>
      <c r="C1819" s="207" t="s">
        <v>2426</v>
      </c>
      <c r="D1819" s="208" t="s">
        <v>2193</v>
      </c>
      <c r="E1819" s="209">
        <v>12.15</v>
      </c>
      <c r="F1819" s="209">
        <v>0</v>
      </c>
      <c r="G1819" s="209">
        <v>12.15</v>
      </c>
      <c r="H1819" s="198"/>
    </row>
    <row r="1820" spans="1:8" ht="15.75" hidden="1" customHeight="1" x14ac:dyDescent="0.25">
      <c r="A1820" s="205" t="s">
        <v>2191</v>
      </c>
      <c r="B1820" s="206">
        <v>88855</v>
      </c>
      <c r="C1820" s="207" t="s">
        <v>2427</v>
      </c>
      <c r="D1820" s="208" t="s">
        <v>2193</v>
      </c>
      <c r="E1820" s="209">
        <v>3.33</v>
      </c>
      <c r="F1820" s="209">
        <v>0</v>
      </c>
      <c r="G1820" s="209">
        <v>3.33</v>
      </c>
      <c r="H1820" s="198"/>
    </row>
    <row r="1821" spans="1:8" ht="15.75" hidden="1" customHeight="1" x14ac:dyDescent="0.25">
      <c r="A1821" s="205" t="s">
        <v>2191</v>
      </c>
      <c r="B1821" s="206">
        <v>88856</v>
      </c>
      <c r="C1821" s="207" t="s">
        <v>2428</v>
      </c>
      <c r="D1821" s="208" t="s">
        <v>2193</v>
      </c>
      <c r="E1821" s="209">
        <v>0.91</v>
      </c>
      <c r="F1821" s="209">
        <v>0</v>
      </c>
      <c r="G1821" s="209">
        <v>0.91</v>
      </c>
      <c r="H1821" s="198"/>
    </row>
    <row r="1822" spans="1:8" ht="15.75" hidden="1" customHeight="1" x14ac:dyDescent="0.25">
      <c r="A1822" s="205" t="s">
        <v>2191</v>
      </c>
      <c r="B1822" s="206">
        <v>5658</v>
      </c>
      <c r="C1822" s="207" t="s">
        <v>2429</v>
      </c>
      <c r="D1822" s="208" t="s">
        <v>2193</v>
      </c>
      <c r="E1822" s="209">
        <v>2.31</v>
      </c>
      <c r="F1822" s="209">
        <v>0</v>
      </c>
      <c r="G1822" s="209">
        <v>2.31</v>
      </c>
      <c r="H1822" s="198"/>
    </row>
    <row r="1823" spans="1:8" ht="15.75" hidden="1" customHeight="1" x14ac:dyDescent="0.25">
      <c r="A1823" s="205" t="s">
        <v>2191</v>
      </c>
      <c r="B1823" s="206">
        <v>53840</v>
      </c>
      <c r="C1823" s="207" t="s">
        <v>2430</v>
      </c>
      <c r="D1823" s="208" t="s">
        <v>2193</v>
      </c>
      <c r="E1823" s="209">
        <v>2.61</v>
      </c>
      <c r="F1823" s="209">
        <v>0</v>
      </c>
      <c r="G1823" s="209">
        <v>2.61</v>
      </c>
      <c r="H1823" s="198"/>
    </row>
    <row r="1824" spans="1:8" ht="15.75" hidden="1" customHeight="1" x14ac:dyDescent="0.25">
      <c r="A1824" s="205" t="s">
        <v>2191</v>
      </c>
      <c r="B1824" s="206">
        <v>87026</v>
      </c>
      <c r="C1824" s="207" t="s">
        <v>2431</v>
      </c>
      <c r="D1824" s="208" t="s">
        <v>2193</v>
      </c>
      <c r="E1824" s="209">
        <v>0.71</v>
      </c>
      <c r="F1824" s="209">
        <v>0</v>
      </c>
      <c r="G1824" s="209">
        <v>0.71</v>
      </c>
      <c r="H1824" s="198"/>
    </row>
    <row r="1825" spans="1:8" ht="15.75" hidden="1" customHeight="1" x14ac:dyDescent="0.25">
      <c r="A1825" s="205" t="s">
        <v>2191</v>
      </c>
      <c r="B1825" s="206">
        <v>53841</v>
      </c>
      <c r="C1825" s="207" t="s">
        <v>2432</v>
      </c>
      <c r="D1825" s="208" t="s">
        <v>2193</v>
      </c>
      <c r="E1825" s="209">
        <v>1.81</v>
      </c>
      <c r="F1825" s="209">
        <v>0</v>
      </c>
      <c r="G1825" s="209">
        <v>1.81</v>
      </c>
      <c r="H1825" s="198"/>
    </row>
    <row r="1826" spans="1:8" ht="15.75" hidden="1" customHeight="1" x14ac:dyDescent="0.25">
      <c r="A1826" s="205" t="s">
        <v>2191</v>
      </c>
      <c r="B1826" s="206">
        <v>95209</v>
      </c>
      <c r="C1826" s="207" t="s">
        <v>2433</v>
      </c>
      <c r="D1826" s="208" t="s">
        <v>2193</v>
      </c>
      <c r="E1826" s="209">
        <v>12.39</v>
      </c>
      <c r="F1826" s="209">
        <v>0</v>
      </c>
      <c r="G1826" s="209">
        <v>12.39</v>
      </c>
      <c r="H1826" s="198"/>
    </row>
    <row r="1827" spans="1:8" ht="15.75" hidden="1" customHeight="1" x14ac:dyDescent="0.25">
      <c r="A1827" s="205" t="s">
        <v>2191</v>
      </c>
      <c r="B1827" s="206">
        <v>95210</v>
      </c>
      <c r="C1827" s="207" t="s">
        <v>2434</v>
      </c>
      <c r="D1827" s="208" t="s">
        <v>2193</v>
      </c>
      <c r="E1827" s="209">
        <v>58.62</v>
      </c>
      <c r="F1827" s="209">
        <v>0</v>
      </c>
      <c r="G1827" s="209">
        <v>58.62</v>
      </c>
      <c r="H1827" s="198"/>
    </row>
    <row r="1828" spans="1:8" ht="15.75" hidden="1" customHeight="1" x14ac:dyDescent="0.25">
      <c r="A1828" s="205" t="s">
        <v>2191</v>
      </c>
      <c r="B1828" s="206">
        <v>95211</v>
      </c>
      <c r="C1828" s="207" t="s">
        <v>2435</v>
      </c>
      <c r="D1828" s="208" t="s">
        <v>2193</v>
      </c>
      <c r="E1828" s="209">
        <v>6.63</v>
      </c>
      <c r="F1828" s="209">
        <v>0</v>
      </c>
      <c r="G1828" s="209">
        <v>6.63</v>
      </c>
      <c r="H1828" s="198"/>
    </row>
    <row r="1829" spans="1:8" ht="15.75" hidden="1" customHeight="1" x14ac:dyDescent="0.25">
      <c r="A1829" s="205" t="s">
        <v>2191</v>
      </c>
      <c r="B1829" s="206">
        <v>93267</v>
      </c>
      <c r="C1829" s="207" t="s">
        <v>2436</v>
      </c>
      <c r="D1829" s="208" t="s">
        <v>2193</v>
      </c>
      <c r="E1829" s="209">
        <v>26.61</v>
      </c>
      <c r="F1829" s="209">
        <v>0</v>
      </c>
      <c r="G1829" s="209">
        <v>26.61</v>
      </c>
      <c r="H1829" s="198"/>
    </row>
    <row r="1830" spans="1:8" ht="15.75" hidden="1" customHeight="1" x14ac:dyDescent="0.25">
      <c r="A1830" s="205" t="s">
        <v>2191</v>
      </c>
      <c r="B1830" s="206">
        <v>93269</v>
      </c>
      <c r="C1830" s="207" t="s">
        <v>2437</v>
      </c>
      <c r="D1830" s="208" t="s">
        <v>2193</v>
      </c>
      <c r="E1830" s="209">
        <v>9.9700000000000006</v>
      </c>
      <c r="F1830" s="209">
        <v>0</v>
      </c>
      <c r="G1830" s="209">
        <v>9.9700000000000006</v>
      </c>
      <c r="H1830" s="198"/>
    </row>
    <row r="1831" spans="1:8" ht="15.75" hidden="1" customHeight="1" x14ac:dyDescent="0.25">
      <c r="A1831" s="205" t="s">
        <v>2191</v>
      </c>
      <c r="B1831" s="206">
        <v>93270</v>
      </c>
      <c r="C1831" s="207" t="s">
        <v>2438</v>
      </c>
      <c r="D1831" s="208" t="s">
        <v>2193</v>
      </c>
      <c r="E1831" s="209">
        <v>25.87</v>
      </c>
      <c r="F1831" s="209">
        <v>0</v>
      </c>
      <c r="G1831" s="209">
        <v>25.87</v>
      </c>
      <c r="H1831" s="198"/>
    </row>
    <row r="1832" spans="1:8" ht="15.75" hidden="1" customHeight="1" x14ac:dyDescent="0.25">
      <c r="A1832" s="205" t="s">
        <v>2191</v>
      </c>
      <c r="B1832" s="206">
        <v>93271</v>
      </c>
      <c r="C1832" s="207" t="s">
        <v>2439</v>
      </c>
      <c r="D1832" s="208" t="s">
        <v>2193</v>
      </c>
      <c r="E1832" s="209">
        <v>6.63</v>
      </c>
      <c r="F1832" s="209">
        <v>0</v>
      </c>
      <c r="G1832" s="209">
        <v>6.63</v>
      </c>
      <c r="H1832" s="198"/>
    </row>
    <row r="1833" spans="1:8" ht="15.75" hidden="1" customHeight="1" x14ac:dyDescent="0.25">
      <c r="A1833" s="205" t="s">
        <v>2191</v>
      </c>
      <c r="B1833" s="206">
        <v>95208</v>
      </c>
      <c r="C1833" s="207" t="s">
        <v>2440</v>
      </c>
      <c r="D1833" s="208" t="s">
        <v>2193</v>
      </c>
      <c r="E1833" s="209">
        <v>53.6</v>
      </c>
      <c r="F1833" s="209">
        <v>0</v>
      </c>
      <c r="G1833" s="209">
        <v>53.6</v>
      </c>
      <c r="H1833" s="198"/>
    </row>
    <row r="1834" spans="1:8" ht="15.75" hidden="1" customHeight="1" x14ac:dyDescent="0.25">
      <c r="A1834" s="205" t="s">
        <v>2191</v>
      </c>
      <c r="B1834" s="206">
        <v>83761</v>
      </c>
      <c r="C1834" s="207" t="s">
        <v>2441</v>
      </c>
      <c r="D1834" s="208" t="s">
        <v>2193</v>
      </c>
      <c r="E1834" s="209">
        <v>7.52</v>
      </c>
      <c r="F1834" s="209">
        <v>0</v>
      </c>
      <c r="G1834" s="209">
        <v>7.52</v>
      </c>
      <c r="H1834" s="198"/>
    </row>
    <row r="1835" spans="1:8" ht="15.75" hidden="1" customHeight="1" x14ac:dyDescent="0.25">
      <c r="A1835" s="205" t="s">
        <v>2191</v>
      </c>
      <c r="B1835" s="206">
        <v>83764</v>
      </c>
      <c r="C1835" s="207" t="s">
        <v>2442</v>
      </c>
      <c r="D1835" s="208" t="s">
        <v>2193</v>
      </c>
      <c r="E1835" s="209">
        <v>2.65</v>
      </c>
      <c r="F1835" s="209">
        <v>0</v>
      </c>
      <c r="G1835" s="209">
        <v>2.65</v>
      </c>
      <c r="H1835" s="198"/>
    </row>
    <row r="1836" spans="1:8" ht="15.75" hidden="1" customHeight="1" x14ac:dyDescent="0.25">
      <c r="A1836" s="205" t="s">
        <v>2191</v>
      </c>
      <c r="B1836" s="206">
        <v>83762</v>
      </c>
      <c r="C1836" s="207" t="s">
        <v>2443</v>
      </c>
      <c r="D1836" s="208" t="s">
        <v>2193</v>
      </c>
      <c r="E1836" s="209">
        <v>6.71</v>
      </c>
      <c r="F1836" s="209">
        <v>0</v>
      </c>
      <c r="G1836" s="209">
        <v>6.71</v>
      </c>
      <c r="H1836" s="198"/>
    </row>
    <row r="1837" spans="1:8" ht="15.75" hidden="1" customHeight="1" x14ac:dyDescent="0.25">
      <c r="A1837" s="205" t="s">
        <v>2191</v>
      </c>
      <c r="B1837" s="206">
        <v>83763</v>
      </c>
      <c r="C1837" s="207" t="s">
        <v>2444</v>
      </c>
      <c r="D1837" s="208" t="s">
        <v>2193</v>
      </c>
      <c r="E1837" s="209">
        <v>53.1</v>
      </c>
      <c r="F1837" s="209">
        <v>0</v>
      </c>
      <c r="G1837" s="209">
        <v>53.1</v>
      </c>
      <c r="H1837" s="198"/>
    </row>
    <row r="1838" spans="1:8" ht="15.75" hidden="1" customHeight="1" x14ac:dyDescent="0.25">
      <c r="A1838" s="205" t="s">
        <v>2191</v>
      </c>
      <c r="B1838" s="206">
        <v>95874</v>
      </c>
      <c r="C1838" s="207" t="s">
        <v>2445</v>
      </c>
      <c r="D1838" s="208" t="s">
        <v>2193</v>
      </c>
      <c r="E1838" s="209">
        <v>8.0299999999999994</v>
      </c>
      <c r="F1838" s="209">
        <v>0</v>
      </c>
      <c r="G1838" s="209">
        <v>8.0299999999999994</v>
      </c>
      <c r="H1838" s="198"/>
    </row>
    <row r="1839" spans="1:8" ht="15.75" hidden="1" customHeight="1" x14ac:dyDescent="0.25">
      <c r="A1839" s="205" t="s">
        <v>2191</v>
      </c>
      <c r="B1839" s="206">
        <v>95869</v>
      </c>
      <c r="C1839" s="207" t="s">
        <v>2446</v>
      </c>
      <c r="D1839" s="208" t="s">
        <v>2193</v>
      </c>
      <c r="E1839" s="209">
        <v>2.83</v>
      </c>
      <c r="F1839" s="209">
        <v>0</v>
      </c>
      <c r="G1839" s="209">
        <v>2.83</v>
      </c>
      <c r="H1839" s="198"/>
    </row>
    <row r="1840" spans="1:8" ht="15.75" hidden="1" customHeight="1" x14ac:dyDescent="0.25">
      <c r="A1840" s="205" t="s">
        <v>2191</v>
      </c>
      <c r="B1840" s="206">
        <v>95870</v>
      </c>
      <c r="C1840" s="207" t="s">
        <v>2447</v>
      </c>
      <c r="D1840" s="208" t="s">
        <v>2193</v>
      </c>
      <c r="E1840" s="209">
        <v>7.17</v>
      </c>
      <c r="F1840" s="209">
        <v>0</v>
      </c>
      <c r="G1840" s="209">
        <v>7.17</v>
      </c>
      <c r="H1840" s="198"/>
    </row>
    <row r="1841" spans="1:8" ht="15.75" hidden="1" customHeight="1" x14ac:dyDescent="0.25">
      <c r="A1841" s="205" t="s">
        <v>2191</v>
      </c>
      <c r="B1841" s="206">
        <v>95871</v>
      </c>
      <c r="C1841" s="207" t="s">
        <v>2448</v>
      </c>
      <c r="D1841" s="208" t="s">
        <v>2193</v>
      </c>
      <c r="E1841" s="209">
        <v>288.89999999999998</v>
      </c>
      <c r="F1841" s="209">
        <v>0</v>
      </c>
      <c r="G1841" s="209">
        <v>288.89999999999998</v>
      </c>
      <c r="H1841" s="198"/>
    </row>
    <row r="1842" spans="1:8" ht="15.75" hidden="1" customHeight="1" x14ac:dyDescent="0.25">
      <c r="A1842" s="205" t="s">
        <v>2191</v>
      </c>
      <c r="B1842" s="206">
        <v>104687</v>
      </c>
      <c r="C1842" s="207" t="s">
        <v>2449</v>
      </c>
      <c r="D1842" s="208" t="s">
        <v>2193</v>
      </c>
      <c r="E1842" s="209">
        <v>475.5</v>
      </c>
      <c r="F1842" s="209">
        <v>0</v>
      </c>
      <c r="G1842" s="209">
        <v>475.5</v>
      </c>
      <c r="H1842" s="198"/>
    </row>
    <row r="1843" spans="1:8" ht="15.75" hidden="1" customHeight="1" x14ac:dyDescent="0.25">
      <c r="A1843" s="205" t="s">
        <v>2191</v>
      </c>
      <c r="B1843" s="206">
        <v>73303</v>
      </c>
      <c r="C1843" s="207" t="s">
        <v>2450</v>
      </c>
      <c r="D1843" s="208" t="s">
        <v>2193</v>
      </c>
      <c r="E1843" s="209">
        <v>5.64</v>
      </c>
      <c r="F1843" s="209">
        <v>0</v>
      </c>
      <c r="G1843" s="209">
        <v>5.64</v>
      </c>
      <c r="H1843" s="198"/>
    </row>
    <row r="1844" spans="1:8" ht="15.75" hidden="1" customHeight="1" x14ac:dyDescent="0.25">
      <c r="A1844" s="205" t="s">
        <v>2191</v>
      </c>
      <c r="B1844" s="206">
        <v>93235</v>
      </c>
      <c r="C1844" s="207" t="s">
        <v>2451</v>
      </c>
      <c r="D1844" s="208" t="s">
        <v>2193</v>
      </c>
      <c r="E1844" s="209">
        <v>1.99</v>
      </c>
      <c r="F1844" s="209">
        <v>0</v>
      </c>
      <c r="G1844" s="209">
        <v>1.99</v>
      </c>
      <c r="H1844" s="198"/>
    </row>
    <row r="1845" spans="1:8" ht="15.75" hidden="1" customHeight="1" x14ac:dyDescent="0.25">
      <c r="A1845" s="205" t="s">
        <v>2191</v>
      </c>
      <c r="B1845" s="206">
        <v>73307</v>
      </c>
      <c r="C1845" s="207" t="s">
        <v>2452</v>
      </c>
      <c r="D1845" s="208" t="s">
        <v>2193</v>
      </c>
      <c r="E1845" s="209">
        <v>5.04</v>
      </c>
      <c r="F1845" s="209">
        <v>0</v>
      </c>
      <c r="G1845" s="209">
        <v>5.04</v>
      </c>
      <c r="H1845" s="198"/>
    </row>
    <row r="1846" spans="1:8" ht="15.75" hidden="1" customHeight="1" x14ac:dyDescent="0.25">
      <c r="A1846" s="205" t="s">
        <v>2191</v>
      </c>
      <c r="B1846" s="206">
        <v>73311</v>
      </c>
      <c r="C1846" s="207" t="s">
        <v>2453</v>
      </c>
      <c r="D1846" s="208" t="s">
        <v>2193</v>
      </c>
      <c r="E1846" s="209">
        <v>188.44</v>
      </c>
      <c r="F1846" s="209">
        <v>0</v>
      </c>
      <c r="G1846" s="209">
        <v>188.44</v>
      </c>
      <c r="H1846" s="198"/>
    </row>
    <row r="1847" spans="1:8" ht="15.75" hidden="1" customHeight="1" x14ac:dyDescent="0.25">
      <c r="A1847" s="205" t="s">
        <v>2191</v>
      </c>
      <c r="B1847" s="206">
        <v>93423</v>
      </c>
      <c r="C1847" s="207" t="s">
        <v>2454</v>
      </c>
      <c r="D1847" s="208" t="s">
        <v>2193</v>
      </c>
      <c r="E1847" s="209">
        <v>5.0199999999999996</v>
      </c>
      <c r="F1847" s="209">
        <v>0</v>
      </c>
      <c r="G1847" s="209">
        <v>5.0199999999999996</v>
      </c>
      <c r="H1847" s="198"/>
    </row>
    <row r="1848" spans="1:8" ht="15.75" hidden="1" customHeight="1" x14ac:dyDescent="0.25">
      <c r="A1848" s="205" t="s">
        <v>2191</v>
      </c>
      <c r="B1848" s="206">
        <v>93424</v>
      </c>
      <c r="C1848" s="207" t="s">
        <v>2455</v>
      </c>
      <c r="D1848" s="208" t="s">
        <v>2193</v>
      </c>
      <c r="E1848" s="209">
        <v>1.77</v>
      </c>
      <c r="F1848" s="209">
        <v>0</v>
      </c>
      <c r="G1848" s="209">
        <v>1.77</v>
      </c>
      <c r="H1848" s="198"/>
    </row>
    <row r="1849" spans="1:8" ht="15.75" hidden="1" customHeight="1" x14ac:dyDescent="0.25">
      <c r="A1849" s="205" t="s">
        <v>2191</v>
      </c>
      <c r="B1849" s="206">
        <v>93425</v>
      </c>
      <c r="C1849" s="207" t="s">
        <v>2456</v>
      </c>
      <c r="D1849" s="208" t="s">
        <v>2193</v>
      </c>
      <c r="E1849" s="209">
        <v>4.4800000000000004</v>
      </c>
      <c r="F1849" s="209">
        <v>0</v>
      </c>
      <c r="G1849" s="209">
        <v>4.4800000000000004</v>
      </c>
      <c r="H1849" s="198"/>
    </row>
    <row r="1850" spans="1:8" ht="15.75" hidden="1" customHeight="1" x14ac:dyDescent="0.25">
      <c r="A1850" s="205" t="s">
        <v>2191</v>
      </c>
      <c r="B1850" s="206">
        <v>93426</v>
      </c>
      <c r="C1850" s="207" t="s">
        <v>2457</v>
      </c>
      <c r="D1850" s="208" t="s">
        <v>2193</v>
      </c>
      <c r="E1850" s="209">
        <v>169.58</v>
      </c>
      <c r="F1850" s="209">
        <v>0</v>
      </c>
      <c r="G1850" s="209">
        <v>169.58</v>
      </c>
      <c r="H1850" s="198"/>
    </row>
    <row r="1851" spans="1:8" ht="15.75" hidden="1" customHeight="1" x14ac:dyDescent="0.25">
      <c r="A1851" s="205" t="s">
        <v>2191</v>
      </c>
      <c r="B1851" s="206">
        <v>93417</v>
      </c>
      <c r="C1851" s="207" t="s">
        <v>2458</v>
      </c>
      <c r="D1851" s="208" t="s">
        <v>2193</v>
      </c>
      <c r="E1851" s="209">
        <v>3.55</v>
      </c>
      <c r="F1851" s="209">
        <v>0</v>
      </c>
      <c r="G1851" s="209">
        <v>3.55</v>
      </c>
      <c r="H1851" s="198"/>
    </row>
    <row r="1852" spans="1:8" ht="15.75" hidden="1" customHeight="1" x14ac:dyDescent="0.25">
      <c r="A1852" s="205" t="s">
        <v>2191</v>
      </c>
      <c r="B1852" s="206">
        <v>93418</v>
      </c>
      <c r="C1852" s="207" t="s">
        <v>2459</v>
      </c>
      <c r="D1852" s="208" t="s">
        <v>2193</v>
      </c>
      <c r="E1852" s="209">
        <v>1.25</v>
      </c>
      <c r="F1852" s="209">
        <v>0</v>
      </c>
      <c r="G1852" s="209">
        <v>1.25</v>
      </c>
      <c r="H1852" s="198"/>
    </row>
    <row r="1853" spans="1:8" ht="15.75" hidden="1" customHeight="1" x14ac:dyDescent="0.25">
      <c r="A1853" s="205" t="s">
        <v>2191</v>
      </c>
      <c r="B1853" s="206">
        <v>93419</v>
      </c>
      <c r="C1853" s="207" t="s">
        <v>2460</v>
      </c>
      <c r="D1853" s="208" t="s">
        <v>2193</v>
      </c>
      <c r="E1853" s="209">
        <v>3.17</v>
      </c>
      <c r="F1853" s="209">
        <v>0</v>
      </c>
      <c r="G1853" s="209">
        <v>3.17</v>
      </c>
      <c r="H1853" s="198"/>
    </row>
    <row r="1854" spans="1:8" ht="15.75" hidden="1" customHeight="1" x14ac:dyDescent="0.25">
      <c r="A1854" s="205" t="s">
        <v>2191</v>
      </c>
      <c r="B1854" s="206">
        <v>93420</v>
      </c>
      <c r="C1854" s="207" t="s">
        <v>2461</v>
      </c>
      <c r="D1854" s="208" t="s">
        <v>2193</v>
      </c>
      <c r="E1854" s="209">
        <v>70.95</v>
      </c>
      <c r="F1854" s="209">
        <v>0</v>
      </c>
      <c r="G1854" s="209">
        <v>70.95</v>
      </c>
      <c r="H1854" s="198"/>
    </row>
    <row r="1855" spans="1:8" ht="15.75" hidden="1" customHeight="1" x14ac:dyDescent="0.25">
      <c r="A1855" s="205" t="s">
        <v>2191</v>
      </c>
      <c r="B1855" s="206">
        <v>93277</v>
      </c>
      <c r="C1855" s="207" t="s">
        <v>2462</v>
      </c>
      <c r="D1855" s="208" t="s">
        <v>2193</v>
      </c>
      <c r="E1855" s="209">
        <v>0.27</v>
      </c>
      <c r="F1855" s="209">
        <v>0</v>
      </c>
      <c r="G1855" s="209">
        <v>0.27</v>
      </c>
      <c r="H1855" s="198"/>
    </row>
    <row r="1856" spans="1:8" ht="15.75" hidden="1" customHeight="1" x14ac:dyDescent="0.25">
      <c r="A1856" s="205" t="s">
        <v>2191</v>
      </c>
      <c r="B1856" s="206">
        <v>93278</v>
      </c>
      <c r="C1856" s="207" t="s">
        <v>2463</v>
      </c>
      <c r="D1856" s="208" t="s">
        <v>2193</v>
      </c>
      <c r="E1856" s="209">
        <v>0.06</v>
      </c>
      <c r="F1856" s="209">
        <v>0</v>
      </c>
      <c r="G1856" s="209">
        <v>0.06</v>
      </c>
      <c r="H1856" s="198"/>
    </row>
    <row r="1857" spans="1:8" ht="15.75" hidden="1" customHeight="1" x14ac:dyDescent="0.25">
      <c r="A1857" s="205" t="s">
        <v>2191</v>
      </c>
      <c r="B1857" s="206">
        <v>93279</v>
      </c>
      <c r="C1857" s="207" t="s">
        <v>2464</v>
      </c>
      <c r="D1857" s="208" t="s">
        <v>2193</v>
      </c>
      <c r="E1857" s="209">
        <v>0.26</v>
      </c>
      <c r="F1857" s="209">
        <v>0</v>
      </c>
      <c r="G1857" s="209">
        <v>0.26</v>
      </c>
      <c r="H1857" s="198"/>
    </row>
    <row r="1858" spans="1:8" ht="15.75" hidden="1" customHeight="1" x14ac:dyDescent="0.25">
      <c r="A1858" s="205" t="s">
        <v>2191</v>
      </c>
      <c r="B1858" s="206">
        <v>93280</v>
      </c>
      <c r="C1858" s="207" t="s">
        <v>2465</v>
      </c>
      <c r="D1858" s="208" t="s">
        <v>2193</v>
      </c>
      <c r="E1858" s="209">
        <v>0.55000000000000004</v>
      </c>
      <c r="F1858" s="209">
        <v>0</v>
      </c>
      <c r="G1858" s="209">
        <v>0.55000000000000004</v>
      </c>
      <c r="H1858" s="198"/>
    </row>
    <row r="1859" spans="1:8" ht="15.75" hidden="1" customHeight="1" x14ac:dyDescent="0.25">
      <c r="A1859" s="205" t="s">
        <v>2191</v>
      </c>
      <c r="B1859" s="206">
        <v>104912</v>
      </c>
      <c r="C1859" s="207" t="s">
        <v>2466</v>
      </c>
      <c r="D1859" s="208" t="s">
        <v>2193</v>
      </c>
      <c r="E1859" s="209">
        <v>27.15</v>
      </c>
      <c r="F1859" s="209">
        <v>0</v>
      </c>
      <c r="G1859" s="209">
        <v>27.15</v>
      </c>
      <c r="H1859" s="198"/>
    </row>
    <row r="1860" spans="1:8" ht="15.75" hidden="1" customHeight="1" x14ac:dyDescent="0.25">
      <c r="A1860" s="205" t="s">
        <v>2191</v>
      </c>
      <c r="B1860" s="206">
        <v>102843</v>
      </c>
      <c r="C1860" s="207" t="s">
        <v>2467</v>
      </c>
      <c r="D1860" s="208" t="s">
        <v>2193</v>
      </c>
      <c r="E1860" s="209">
        <v>142.41999999999999</v>
      </c>
      <c r="F1860" s="209">
        <v>0</v>
      </c>
      <c r="G1860" s="209">
        <v>142.41999999999999</v>
      </c>
      <c r="H1860" s="198"/>
    </row>
    <row r="1861" spans="1:8" ht="15.75" hidden="1" customHeight="1" x14ac:dyDescent="0.25">
      <c r="A1861" s="205" t="s">
        <v>2191</v>
      </c>
      <c r="B1861" s="206">
        <v>89267</v>
      </c>
      <c r="C1861" s="207" t="s">
        <v>2468</v>
      </c>
      <c r="D1861" s="208" t="s">
        <v>2193</v>
      </c>
      <c r="E1861" s="209">
        <v>51.7</v>
      </c>
      <c r="F1861" s="209">
        <v>0</v>
      </c>
      <c r="G1861" s="209">
        <v>51.7</v>
      </c>
      <c r="H1861" s="198"/>
    </row>
    <row r="1862" spans="1:8" ht="15.75" hidden="1" customHeight="1" x14ac:dyDescent="0.25">
      <c r="A1862" s="205" t="s">
        <v>2191</v>
      </c>
      <c r="B1862" s="206">
        <v>89269</v>
      </c>
      <c r="C1862" s="207" t="s">
        <v>2469</v>
      </c>
      <c r="D1862" s="208" t="s">
        <v>2193</v>
      </c>
      <c r="E1862" s="209">
        <v>7.36</v>
      </c>
      <c r="F1862" s="209">
        <v>0</v>
      </c>
      <c r="G1862" s="209">
        <v>7.36</v>
      </c>
      <c r="H1862" s="198"/>
    </row>
    <row r="1863" spans="1:8" ht="15.75" hidden="1" customHeight="1" x14ac:dyDescent="0.25">
      <c r="A1863" s="205" t="s">
        <v>2191</v>
      </c>
      <c r="B1863" s="206">
        <v>89268</v>
      </c>
      <c r="C1863" s="207" t="s">
        <v>2470</v>
      </c>
      <c r="D1863" s="208" t="s">
        <v>2193</v>
      </c>
      <c r="E1863" s="209">
        <v>18.22</v>
      </c>
      <c r="F1863" s="209">
        <v>0</v>
      </c>
      <c r="G1863" s="209">
        <v>18.22</v>
      </c>
      <c r="H1863" s="198"/>
    </row>
    <row r="1864" spans="1:8" ht="15.75" hidden="1" customHeight="1" x14ac:dyDescent="0.25">
      <c r="A1864" s="205" t="s">
        <v>2191</v>
      </c>
      <c r="B1864" s="206">
        <v>89270</v>
      </c>
      <c r="C1864" s="207" t="s">
        <v>2471</v>
      </c>
      <c r="D1864" s="208" t="s">
        <v>2193</v>
      </c>
      <c r="E1864" s="209">
        <v>83.11</v>
      </c>
      <c r="F1864" s="209">
        <v>0</v>
      </c>
      <c r="G1864" s="209">
        <v>83.11</v>
      </c>
      <c r="H1864" s="198"/>
    </row>
    <row r="1865" spans="1:8" ht="15.75" hidden="1" customHeight="1" x14ac:dyDescent="0.25">
      <c r="A1865" s="205" t="s">
        <v>2191</v>
      </c>
      <c r="B1865" s="206">
        <v>89271</v>
      </c>
      <c r="C1865" s="207" t="s">
        <v>2472</v>
      </c>
      <c r="D1865" s="208" t="s">
        <v>2193</v>
      </c>
      <c r="E1865" s="209">
        <v>30.7</v>
      </c>
      <c r="F1865" s="209">
        <v>0</v>
      </c>
      <c r="G1865" s="209">
        <v>30.7</v>
      </c>
      <c r="H1865" s="198"/>
    </row>
    <row r="1866" spans="1:8" ht="15.75" hidden="1" customHeight="1" x14ac:dyDescent="0.25">
      <c r="A1866" s="205" t="s">
        <v>2191</v>
      </c>
      <c r="B1866" s="206">
        <v>93283</v>
      </c>
      <c r="C1866" s="207" t="s">
        <v>2473</v>
      </c>
      <c r="D1866" s="208" t="s">
        <v>2193</v>
      </c>
      <c r="E1866" s="209">
        <v>99.43</v>
      </c>
      <c r="F1866" s="209">
        <v>0</v>
      </c>
      <c r="G1866" s="209">
        <v>99.43</v>
      </c>
      <c r="H1866" s="198"/>
    </row>
    <row r="1867" spans="1:8" ht="15.75" hidden="1" customHeight="1" x14ac:dyDescent="0.25">
      <c r="A1867" s="205" t="s">
        <v>2191</v>
      </c>
      <c r="B1867" s="206">
        <v>93296</v>
      </c>
      <c r="C1867" s="207" t="s">
        <v>2474</v>
      </c>
      <c r="D1867" s="208" t="s">
        <v>2193</v>
      </c>
      <c r="E1867" s="209">
        <v>14.16</v>
      </c>
      <c r="F1867" s="209">
        <v>0</v>
      </c>
      <c r="G1867" s="209">
        <v>14.16</v>
      </c>
      <c r="H1867" s="198"/>
    </row>
    <row r="1868" spans="1:8" ht="15.75" hidden="1" customHeight="1" x14ac:dyDescent="0.25">
      <c r="A1868" s="205" t="s">
        <v>2191</v>
      </c>
      <c r="B1868" s="206">
        <v>93284</v>
      </c>
      <c r="C1868" s="207" t="s">
        <v>2475</v>
      </c>
      <c r="D1868" s="208" t="s">
        <v>2193</v>
      </c>
      <c r="E1868" s="209">
        <v>35.049999999999997</v>
      </c>
      <c r="F1868" s="209">
        <v>0</v>
      </c>
      <c r="G1868" s="209">
        <v>35.049999999999997</v>
      </c>
      <c r="H1868" s="198"/>
    </row>
    <row r="1869" spans="1:8" ht="15.75" hidden="1" customHeight="1" x14ac:dyDescent="0.25">
      <c r="A1869" s="205" t="s">
        <v>2191</v>
      </c>
      <c r="B1869" s="206">
        <v>93285</v>
      </c>
      <c r="C1869" s="207" t="s">
        <v>2476</v>
      </c>
      <c r="D1869" s="208" t="s">
        <v>2193</v>
      </c>
      <c r="E1869" s="209">
        <v>159.83000000000001</v>
      </c>
      <c r="F1869" s="209">
        <v>0</v>
      </c>
      <c r="G1869" s="209">
        <v>159.83000000000001</v>
      </c>
      <c r="H1869" s="198"/>
    </row>
    <row r="1870" spans="1:8" ht="15.75" hidden="1" customHeight="1" x14ac:dyDescent="0.25">
      <c r="A1870" s="205" t="s">
        <v>2191</v>
      </c>
      <c r="B1870" s="206">
        <v>93286</v>
      </c>
      <c r="C1870" s="207" t="s">
        <v>2477</v>
      </c>
      <c r="D1870" s="208" t="s">
        <v>2193</v>
      </c>
      <c r="E1870" s="209">
        <v>9.23</v>
      </c>
      <c r="F1870" s="209">
        <v>0</v>
      </c>
      <c r="G1870" s="209">
        <v>9.23</v>
      </c>
      <c r="H1870" s="198"/>
    </row>
    <row r="1871" spans="1:8" ht="15.75" hidden="1" customHeight="1" x14ac:dyDescent="0.25">
      <c r="A1871" s="205" t="s">
        <v>2191</v>
      </c>
      <c r="B1871" s="206">
        <v>104709</v>
      </c>
      <c r="C1871" s="207" t="s">
        <v>2478</v>
      </c>
      <c r="D1871" s="208" t="s">
        <v>2193</v>
      </c>
      <c r="E1871" s="209">
        <v>1237.51</v>
      </c>
      <c r="F1871" s="209">
        <v>0</v>
      </c>
      <c r="G1871" s="209">
        <v>1237.51</v>
      </c>
      <c r="H1871" s="198"/>
    </row>
    <row r="1872" spans="1:8" ht="15.75" hidden="1" customHeight="1" x14ac:dyDescent="0.25">
      <c r="A1872" s="205" t="s">
        <v>2191</v>
      </c>
      <c r="B1872" s="206">
        <v>104906</v>
      </c>
      <c r="C1872" s="207" t="s">
        <v>2479</v>
      </c>
      <c r="D1872" s="208" t="s">
        <v>2193</v>
      </c>
      <c r="E1872" s="209">
        <v>104.44</v>
      </c>
      <c r="F1872" s="209">
        <v>0</v>
      </c>
      <c r="G1872" s="209">
        <v>104.44</v>
      </c>
      <c r="H1872" s="198"/>
    </row>
    <row r="1873" spans="1:8" ht="15.75" hidden="1" customHeight="1" x14ac:dyDescent="0.25">
      <c r="A1873" s="205" t="s">
        <v>2191</v>
      </c>
      <c r="B1873" s="206">
        <v>102849</v>
      </c>
      <c r="C1873" s="207" t="s">
        <v>2480</v>
      </c>
      <c r="D1873" s="208" t="s">
        <v>2193</v>
      </c>
      <c r="E1873" s="209">
        <v>69.63</v>
      </c>
      <c r="F1873" s="209">
        <v>0</v>
      </c>
      <c r="G1873" s="209">
        <v>69.63</v>
      </c>
      <c r="H1873" s="198"/>
    </row>
    <row r="1874" spans="1:8" ht="15.75" hidden="1" customHeight="1" x14ac:dyDescent="0.25">
      <c r="A1874" s="205" t="s">
        <v>2191</v>
      </c>
      <c r="B1874" s="206">
        <v>102855</v>
      </c>
      <c r="C1874" s="207" t="s">
        <v>2481</v>
      </c>
      <c r="D1874" s="208" t="s">
        <v>2193</v>
      </c>
      <c r="E1874" s="209">
        <v>69.63</v>
      </c>
      <c r="F1874" s="209">
        <v>0</v>
      </c>
      <c r="G1874" s="209">
        <v>69.63</v>
      </c>
      <c r="H1874" s="198"/>
    </row>
    <row r="1875" spans="1:8" ht="15.75" hidden="1" customHeight="1" x14ac:dyDescent="0.25">
      <c r="A1875" s="205" t="s">
        <v>2191</v>
      </c>
      <c r="B1875" s="206">
        <v>93397</v>
      </c>
      <c r="C1875" s="207" t="s">
        <v>2482</v>
      </c>
      <c r="D1875" s="208" t="s">
        <v>2193</v>
      </c>
      <c r="E1875" s="209">
        <v>25.43</v>
      </c>
      <c r="F1875" s="209">
        <v>0</v>
      </c>
      <c r="G1875" s="209">
        <v>25.43</v>
      </c>
      <c r="H1875" s="198"/>
    </row>
    <row r="1876" spans="1:8" ht="15.75" hidden="1" customHeight="1" x14ac:dyDescent="0.25">
      <c r="A1876" s="205" t="s">
        <v>2191</v>
      </c>
      <c r="B1876" s="206">
        <v>93399</v>
      </c>
      <c r="C1876" s="207" t="s">
        <v>2483</v>
      </c>
      <c r="D1876" s="208" t="s">
        <v>2193</v>
      </c>
      <c r="E1876" s="209">
        <v>3.88</v>
      </c>
      <c r="F1876" s="209">
        <v>0</v>
      </c>
      <c r="G1876" s="209">
        <v>3.88</v>
      </c>
      <c r="H1876" s="198"/>
    </row>
    <row r="1877" spans="1:8" ht="15.75" hidden="1" customHeight="1" x14ac:dyDescent="0.25">
      <c r="A1877" s="205" t="s">
        <v>2191</v>
      </c>
      <c r="B1877" s="206">
        <v>93398</v>
      </c>
      <c r="C1877" s="207" t="s">
        <v>2484</v>
      </c>
      <c r="D1877" s="208" t="s">
        <v>2193</v>
      </c>
      <c r="E1877" s="209">
        <v>9.6</v>
      </c>
      <c r="F1877" s="209">
        <v>0</v>
      </c>
      <c r="G1877" s="209">
        <v>9.6</v>
      </c>
      <c r="H1877" s="198"/>
    </row>
    <row r="1878" spans="1:8" ht="15.75" hidden="1" customHeight="1" x14ac:dyDescent="0.25">
      <c r="A1878" s="205" t="s">
        <v>2191</v>
      </c>
      <c r="B1878" s="206">
        <v>93400</v>
      </c>
      <c r="C1878" s="207" t="s">
        <v>2485</v>
      </c>
      <c r="D1878" s="208" t="s">
        <v>2193</v>
      </c>
      <c r="E1878" s="209">
        <v>44.18</v>
      </c>
      <c r="F1878" s="209">
        <v>0</v>
      </c>
      <c r="G1878" s="209">
        <v>44.18</v>
      </c>
      <c r="H1878" s="198"/>
    </row>
    <row r="1879" spans="1:8" ht="15.75" hidden="1" customHeight="1" x14ac:dyDescent="0.25">
      <c r="A1879" s="205" t="s">
        <v>2191</v>
      </c>
      <c r="B1879" s="206">
        <v>93401</v>
      </c>
      <c r="C1879" s="207" t="s">
        <v>2486</v>
      </c>
      <c r="D1879" s="208" t="s">
        <v>2193</v>
      </c>
      <c r="E1879" s="209">
        <v>167.3</v>
      </c>
      <c r="F1879" s="209">
        <v>0</v>
      </c>
      <c r="G1879" s="209">
        <v>167.3</v>
      </c>
      <c r="H1879" s="198"/>
    </row>
    <row r="1880" spans="1:8" ht="15.75" hidden="1" customHeight="1" x14ac:dyDescent="0.25">
      <c r="A1880" s="205" t="s">
        <v>2191</v>
      </c>
      <c r="B1880" s="206">
        <v>89259</v>
      </c>
      <c r="C1880" s="207" t="s">
        <v>2487</v>
      </c>
      <c r="D1880" s="208" t="s">
        <v>2193</v>
      </c>
      <c r="E1880" s="209">
        <v>27.72</v>
      </c>
      <c r="F1880" s="209">
        <v>0</v>
      </c>
      <c r="G1880" s="209">
        <v>27.72</v>
      </c>
      <c r="H1880" s="198"/>
    </row>
    <row r="1881" spans="1:8" ht="15.75" hidden="1" customHeight="1" x14ac:dyDescent="0.25">
      <c r="A1881" s="205" t="s">
        <v>2191</v>
      </c>
      <c r="B1881" s="206">
        <v>91466</v>
      </c>
      <c r="C1881" s="207" t="s">
        <v>2488</v>
      </c>
      <c r="D1881" s="208" t="s">
        <v>2193</v>
      </c>
      <c r="E1881" s="209">
        <v>4.12</v>
      </c>
      <c r="F1881" s="209">
        <v>0</v>
      </c>
      <c r="G1881" s="209">
        <v>4.12</v>
      </c>
      <c r="H1881" s="198"/>
    </row>
    <row r="1882" spans="1:8" ht="15.75" hidden="1" customHeight="1" x14ac:dyDescent="0.25">
      <c r="A1882" s="205" t="s">
        <v>2191</v>
      </c>
      <c r="B1882" s="206">
        <v>89260</v>
      </c>
      <c r="C1882" s="207" t="s">
        <v>2489</v>
      </c>
      <c r="D1882" s="208" t="s">
        <v>2193</v>
      </c>
      <c r="E1882" s="209">
        <v>10.199999999999999</v>
      </c>
      <c r="F1882" s="209">
        <v>0</v>
      </c>
      <c r="G1882" s="209">
        <v>10.199999999999999</v>
      </c>
      <c r="H1882" s="198"/>
    </row>
    <row r="1883" spans="1:8" ht="15.75" hidden="1" customHeight="1" x14ac:dyDescent="0.25">
      <c r="A1883" s="205" t="s">
        <v>2191</v>
      </c>
      <c r="B1883" s="206">
        <v>89262</v>
      </c>
      <c r="C1883" s="207" t="s">
        <v>2490</v>
      </c>
      <c r="D1883" s="208" t="s">
        <v>2193</v>
      </c>
      <c r="E1883" s="209">
        <v>47.04</v>
      </c>
      <c r="F1883" s="209">
        <v>0</v>
      </c>
      <c r="G1883" s="209">
        <v>47.04</v>
      </c>
      <c r="H1883" s="198"/>
    </row>
    <row r="1884" spans="1:8" ht="15.75" hidden="1" customHeight="1" x14ac:dyDescent="0.25">
      <c r="A1884" s="205" t="s">
        <v>2191</v>
      </c>
      <c r="B1884" s="206">
        <v>91467</v>
      </c>
      <c r="C1884" s="207" t="s">
        <v>2491</v>
      </c>
      <c r="D1884" s="208" t="s">
        <v>2193</v>
      </c>
      <c r="E1884" s="209">
        <v>167.3</v>
      </c>
      <c r="F1884" s="209">
        <v>0</v>
      </c>
      <c r="G1884" s="209">
        <v>167.3</v>
      </c>
      <c r="H1884" s="198"/>
    </row>
    <row r="1885" spans="1:8" ht="15.75" hidden="1" customHeight="1" x14ac:dyDescent="0.25">
      <c r="A1885" s="205" t="s">
        <v>2191</v>
      </c>
      <c r="B1885" s="206">
        <v>105843</v>
      </c>
      <c r="C1885" s="207" t="s">
        <v>2492</v>
      </c>
      <c r="D1885" s="208" t="s">
        <v>2193</v>
      </c>
      <c r="E1885" s="209">
        <v>88.05</v>
      </c>
      <c r="F1885" s="209">
        <v>0</v>
      </c>
      <c r="G1885" s="209">
        <v>88.05</v>
      </c>
      <c r="H1885" s="198"/>
    </row>
    <row r="1886" spans="1:8" ht="15.75" hidden="1" customHeight="1" x14ac:dyDescent="0.25">
      <c r="A1886" s="205" t="s">
        <v>2191</v>
      </c>
      <c r="B1886" s="206">
        <v>91629</v>
      </c>
      <c r="C1886" s="207" t="s">
        <v>2493</v>
      </c>
      <c r="D1886" s="208" t="s">
        <v>2193</v>
      </c>
      <c r="E1886" s="209">
        <v>21.97</v>
      </c>
      <c r="F1886" s="209">
        <v>0</v>
      </c>
      <c r="G1886" s="209">
        <v>21.97</v>
      </c>
      <c r="H1886" s="198"/>
    </row>
    <row r="1887" spans="1:8" ht="15.75" hidden="1" customHeight="1" x14ac:dyDescent="0.25">
      <c r="A1887" s="205" t="s">
        <v>2191</v>
      </c>
      <c r="B1887" s="206">
        <v>91631</v>
      </c>
      <c r="C1887" s="207" t="s">
        <v>2494</v>
      </c>
      <c r="D1887" s="208" t="s">
        <v>2193</v>
      </c>
      <c r="E1887" s="209">
        <v>3.3</v>
      </c>
      <c r="F1887" s="209">
        <v>0</v>
      </c>
      <c r="G1887" s="209">
        <v>3.3</v>
      </c>
      <c r="H1887" s="198"/>
    </row>
    <row r="1888" spans="1:8" ht="15.75" hidden="1" customHeight="1" x14ac:dyDescent="0.25">
      <c r="A1888" s="205" t="s">
        <v>2191</v>
      </c>
      <c r="B1888" s="206">
        <v>91630</v>
      </c>
      <c r="C1888" s="207" t="s">
        <v>2495</v>
      </c>
      <c r="D1888" s="208" t="s">
        <v>2193</v>
      </c>
      <c r="E1888" s="209">
        <v>8.18</v>
      </c>
      <c r="F1888" s="209">
        <v>0</v>
      </c>
      <c r="G1888" s="209">
        <v>8.18</v>
      </c>
      <c r="H1888" s="198"/>
    </row>
    <row r="1889" spans="1:8" ht="15.75" hidden="1" customHeight="1" x14ac:dyDescent="0.25">
      <c r="A1889" s="205" t="s">
        <v>2191</v>
      </c>
      <c r="B1889" s="206">
        <v>91632</v>
      </c>
      <c r="C1889" s="207" t="s">
        <v>2496</v>
      </c>
      <c r="D1889" s="208" t="s">
        <v>2193</v>
      </c>
      <c r="E1889" s="209">
        <v>37.69</v>
      </c>
      <c r="F1889" s="209">
        <v>0</v>
      </c>
      <c r="G1889" s="209">
        <v>37.69</v>
      </c>
      <c r="H1889" s="198"/>
    </row>
    <row r="1890" spans="1:8" ht="15.75" hidden="1" customHeight="1" x14ac:dyDescent="0.25">
      <c r="A1890" s="205" t="s">
        <v>2191</v>
      </c>
      <c r="B1890" s="206">
        <v>91633</v>
      </c>
      <c r="C1890" s="207" t="s">
        <v>2497</v>
      </c>
      <c r="D1890" s="208" t="s">
        <v>2193</v>
      </c>
      <c r="E1890" s="209">
        <v>141.6</v>
      </c>
      <c r="F1890" s="209">
        <v>0</v>
      </c>
      <c r="G1890" s="209">
        <v>141.6</v>
      </c>
      <c r="H1890" s="198"/>
    </row>
    <row r="1891" spans="1:8" ht="15.75" hidden="1" customHeight="1" x14ac:dyDescent="0.25">
      <c r="A1891" s="205" t="s">
        <v>2191</v>
      </c>
      <c r="B1891" s="206">
        <v>98760</v>
      </c>
      <c r="C1891" s="207" t="s">
        <v>2498</v>
      </c>
      <c r="D1891" s="208" t="s">
        <v>2193</v>
      </c>
      <c r="E1891" s="209">
        <v>0.06</v>
      </c>
      <c r="F1891" s="209">
        <v>0</v>
      </c>
      <c r="G1891" s="209">
        <v>0.06</v>
      </c>
      <c r="H1891" s="198"/>
    </row>
    <row r="1892" spans="1:8" ht="15.75" hidden="1" customHeight="1" x14ac:dyDescent="0.25">
      <c r="A1892" s="205" t="s">
        <v>2191</v>
      </c>
      <c r="B1892" s="206">
        <v>98761</v>
      </c>
      <c r="C1892" s="207" t="s">
        <v>2499</v>
      </c>
      <c r="D1892" s="208" t="s">
        <v>2193</v>
      </c>
      <c r="E1892" s="209">
        <v>0.01</v>
      </c>
      <c r="F1892" s="209">
        <v>0</v>
      </c>
      <c r="G1892" s="209">
        <v>0.01</v>
      </c>
      <c r="H1892" s="198"/>
    </row>
    <row r="1893" spans="1:8" ht="15.75" hidden="1" customHeight="1" x14ac:dyDescent="0.25">
      <c r="A1893" s="205" t="s">
        <v>2191</v>
      </c>
      <c r="B1893" s="206">
        <v>98762</v>
      </c>
      <c r="C1893" s="207" t="s">
        <v>2500</v>
      </c>
      <c r="D1893" s="208" t="s">
        <v>2193</v>
      </c>
      <c r="E1893" s="209">
        <v>7.0000000000000007E-2</v>
      </c>
      <c r="F1893" s="209">
        <v>0</v>
      </c>
      <c r="G1893" s="209">
        <v>7.0000000000000007E-2</v>
      </c>
      <c r="H1893" s="198"/>
    </row>
    <row r="1894" spans="1:8" ht="15.75" hidden="1" customHeight="1" x14ac:dyDescent="0.25">
      <c r="A1894" s="205" t="s">
        <v>2191</v>
      </c>
      <c r="B1894" s="206">
        <v>98763</v>
      </c>
      <c r="C1894" s="207" t="s">
        <v>2501</v>
      </c>
      <c r="D1894" s="208" t="s">
        <v>2193</v>
      </c>
      <c r="E1894" s="209">
        <v>3.25</v>
      </c>
      <c r="F1894" s="209">
        <v>0</v>
      </c>
      <c r="G1894" s="209">
        <v>3.25</v>
      </c>
      <c r="H1894" s="198"/>
    </row>
    <row r="1895" spans="1:8" ht="15.75" hidden="1" customHeight="1" x14ac:dyDescent="0.25">
      <c r="A1895" s="205" t="s">
        <v>2191</v>
      </c>
      <c r="B1895" s="206">
        <v>99829</v>
      </c>
      <c r="C1895" s="207" t="s">
        <v>2502</v>
      </c>
      <c r="D1895" s="208" t="s">
        <v>2193</v>
      </c>
      <c r="E1895" s="209">
        <v>0.18</v>
      </c>
      <c r="F1895" s="209">
        <v>0</v>
      </c>
      <c r="G1895" s="209">
        <v>0.18</v>
      </c>
      <c r="H1895" s="198"/>
    </row>
    <row r="1896" spans="1:8" ht="15.75" hidden="1" customHeight="1" x14ac:dyDescent="0.25">
      <c r="A1896" s="205" t="s">
        <v>2191</v>
      </c>
      <c r="B1896" s="206">
        <v>99830</v>
      </c>
      <c r="C1896" s="207" t="s">
        <v>2503</v>
      </c>
      <c r="D1896" s="208" t="s">
        <v>2193</v>
      </c>
      <c r="E1896" s="209">
        <v>0.03</v>
      </c>
      <c r="F1896" s="209">
        <v>0</v>
      </c>
      <c r="G1896" s="209">
        <v>0.03</v>
      </c>
      <c r="H1896" s="198"/>
    </row>
    <row r="1897" spans="1:8" ht="15.75" hidden="1" customHeight="1" x14ac:dyDescent="0.25">
      <c r="A1897" s="205" t="s">
        <v>2191</v>
      </c>
      <c r="B1897" s="206">
        <v>99831</v>
      </c>
      <c r="C1897" s="207" t="s">
        <v>2504</v>
      </c>
      <c r="D1897" s="208" t="s">
        <v>2193</v>
      </c>
      <c r="E1897" s="209">
        <v>0.12</v>
      </c>
      <c r="F1897" s="209">
        <v>0</v>
      </c>
      <c r="G1897" s="209">
        <v>0.12</v>
      </c>
      <c r="H1897" s="198"/>
    </row>
    <row r="1898" spans="1:8" ht="15.75" hidden="1" customHeight="1" x14ac:dyDescent="0.25">
      <c r="A1898" s="205" t="s">
        <v>2191</v>
      </c>
      <c r="B1898" s="206">
        <v>99832</v>
      </c>
      <c r="C1898" s="207" t="s">
        <v>2505</v>
      </c>
      <c r="D1898" s="208" t="s">
        <v>2193</v>
      </c>
      <c r="E1898" s="209">
        <v>3.13</v>
      </c>
      <c r="F1898" s="209">
        <v>0</v>
      </c>
      <c r="G1898" s="209">
        <v>3.13</v>
      </c>
      <c r="H1898" s="198"/>
    </row>
    <row r="1899" spans="1:8" ht="15.75" hidden="1" customHeight="1" x14ac:dyDescent="0.25">
      <c r="A1899" s="205" t="s">
        <v>2191</v>
      </c>
      <c r="B1899" s="206">
        <v>104519</v>
      </c>
      <c r="C1899" s="207" t="s">
        <v>2506</v>
      </c>
      <c r="D1899" s="208" t="s">
        <v>2193</v>
      </c>
      <c r="E1899" s="209">
        <v>0.45</v>
      </c>
      <c r="F1899" s="209">
        <v>0</v>
      </c>
      <c r="G1899" s="209">
        <v>0.45</v>
      </c>
      <c r="H1899" s="198"/>
    </row>
    <row r="1900" spans="1:8" ht="15.75" hidden="1" customHeight="1" x14ac:dyDescent="0.25">
      <c r="A1900" s="205" t="s">
        <v>2191</v>
      </c>
      <c r="B1900" s="206">
        <v>90682</v>
      </c>
      <c r="C1900" s="207" t="s">
        <v>2507</v>
      </c>
      <c r="D1900" s="208" t="s">
        <v>2193</v>
      </c>
      <c r="E1900" s="209">
        <v>37.15</v>
      </c>
      <c r="F1900" s="209">
        <v>0</v>
      </c>
      <c r="G1900" s="209">
        <v>37.15</v>
      </c>
      <c r="H1900" s="198"/>
    </row>
    <row r="1901" spans="1:8" ht="15.75" hidden="1" customHeight="1" x14ac:dyDescent="0.25">
      <c r="A1901" s="205" t="s">
        <v>2191</v>
      </c>
      <c r="B1901" s="206">
        <v>90683</v>
      </c>
      <c r="C1901" s="207" t="s">
        <v>2508</v>
      </c>
      <c r="D1901" s="208" t="s">
        <v>2193</v>
      </c>
      <c r="E1901" s="209">
        <v>8.59</v>
      </c>
      <c r="F1901" s="209">
        <v>0</v>
      </c>
      <c r="G1901" s="209">
        <v>8.59</v>
      </c>
      <c r="H1901" s="198"/>
    </row>
    <row r="1902" spans="1:8" ht="15.75" hidden="1" customHeight="1" x14ac:dyDescent="0.25">
      <c r="A1902" s="205" t="s">
        <v>2191</v>
      </c>
      <c r="B1902" s="206">
        <v>90684</v>
      </c>
      <c r="C1902" s="207" t="s">
        <v>2509</v>
      </c>
      <c r="D1902" s="208" t="s">
        <v>2193</v>
      </c>
      <c r="E1902" s="209">
        <v>40.64</v>
      </c>
      <c r="F1902" s="209">
        <v>0</v>
      </c>
      <c r="G1902" s="209">
        <v>40.64</v>
      </c>
      <c r="H1902" s="198"/>
    </row>
    <row r="1903" spans="1:8" ht="15.75" hidden="1" customHeight="1" x14ac:dyDescent="0.25">
      <c r="A1903" s="205" t="s">
        <v>2191</v>
      </c>
      <c r="B1903" s="206">
        <v>90685</v>
      </c>
      <c r="C1903" s="207" t="s">
        <v>2510</v>
      </c>
      <c r="D1903" s="208" t="s">
        <v>2193</v>
      </c>
      <c r="E1903" s="209">
        <v>60.19</v>
      </c>
      <c r="F1903" s="209">
        <v>0</v>
      </c>
      <c r="G1903" s="209">
        <v>60.19</v>
      </c>
      <c r="H1903" s="198"/>
    </row>
    <row r="1904" spans="1:8" ht="15.75" hidden="1" customHeight="1" x14ac:dyDescent="0.25">
      <c r="A1904" s="205" t="s">
        <v>2191</v>
      </c>
      <c r="B1904" s="206">
        <v>95114</v>
      </c>
      <c r="C1904" s="207" t="s">
        <v>2511</v>
      </c>
      <c r="D1904" s="208" t="s">
        <v>2193</v>
      </c>
      <c r="E1904" s="209">
        <v>1.58</v>
      </c>
      <c r="F1904" s="209">
        <v>0</v>
      </c>
      <c r="G1904" s="209">
        <v>1.58</v>
      </c>
      <c r="H1904" s="198"/>
    </row>
    <row r="1905" spans="1:8" ht="15.75" hidden="1" customHeight="1" x14ac:dyDescent="0.25">
      <c r="A1905" s="205" t="s">
        <v>2191</v>
      </c>
      <c r="B1905" s="206">
        <v>95115</v>
      </c>
      <c r="C1905" s="207" t="s">
        <v>2512</v>
      </c>
      <c r="D1905" s="208" t="s">
        <v>2193</v>
      </c>
      <c r="E1905" s="209">
        <v>0.36</v>
      </c>
      <c r="F1905" s="209">
        <v>0</v>
      </c>
      <c r="G1905" s="209">
        <v>0.36</v>
      </c>
      <c r="H1905" s="198"/>
    </row>
    <row r="1906" spans="1:8" ht="15.75" hidden="1" customHeight="1" x14ac:dyDescent="0.25">
      <c r="A1906" s="205" t="s">
        <v>2191</v>
      </c>
      <c r="B1906" s="206">
        <v>53863</v>
      </c>
      <c r="C1906" s="207" t="s">
        <v>2513</v>
      </c>
      <c r="D1906" s="208" t="s">
        <v>2193</v>
      </c>
      <c r="E1906" s="209">
        <v>1.98</v>
      </c>
      <c r="F1906" s="209">
        <v>0</v>
      </c>
      <c r="G1906" s="209">
        <v>1.98</v>
      </c>
      <c r="H1906" s="198"/>
    </row>
    <row r="1907" spans="1:8" ht="15.75" hidden="1" customHeight="1" x14ac:dyDescent="0.25">
      <c r="A1907" s="205" t="s">
        <v>2191</v>
      </c>
      <c r="B1907" s="206">
        <v>104655</v>
      </c>
      <c r="C1907" s="207" t="s">
        <v>2514</v>
      </c>
      <c r="D1907" s="208" t="s">
        <v>2193</v>
      </c>
      <c r="E1907" s="209">
        <v>0.48</v>
      </c>
      <c r="F1907" s="209">
        <v>0</v>
      </c>
      <c r="G1907" s="209">
        <v>0.48</v>
      </c>
      <c r="H1907" s="198"/>
    </row>
    <row r="1908" spans="1:8" ht="15.75" hidden="1" customHeight="1" x14ac:dyDescent="0.25">
      <c r="A1908" s="205" t="s">
        <v>2191</v>
      </c>
      <c r="B1908" s="206">
        <v>102270</v>
      </c>
      <c r="C1908" s="207" t="s">
        <v>2515</v>
      </c>
      <c r="D1908" s="208" t="s">
        <v>2193</v>
      </c>
      <c r="E1908" s="209">
        <v>0.69</v>
      </c>
      <c r="F1908" s="209">
        <v>0</v>
      </c>
      <c r="G1908" s="209">
        <v>0.69</v>
      </c>
      <c r="H1908" s="198"/>
    </row>
    <row r="1909" spans="1:8" ht="15.75" hidden="1" customHeight="1" x14ac:dyDescent="0.25">
      <c r="A1909" s="205" t="s">
        <v>2191</v>
      </c>
      <c r="B1909" s="206">
        <v>102271</v>
      </c>
      <c r="C1909" s="207" t="s">
        <v>2516</v>
      </c>
      <c r="D1909" s="208" t="s">
        <v>2193</v>
      </c>
      <c r="E1909" s="209">
        <v>0.16</v>
      </c>
      <c r="F1909" s="209">
        <v>0</v>
      </c>
      <c r="G1909" s="209">
        <v>0.16</v>
      </c>
      <c r="H1909" s="198"/>
    </row>
    <row r="1910" spans="1:8" ht="15.75" hidden="1" customHeight="1" x14ac:dyDescent="0.25">
      <c r="A1910" s="205" t="s">
        <v>2191</v>
      </c>
      <c r="B1910" s="206">
        <v>102272</v>
      </c>
      <c r="C1910" s="207" t="s">
        <v>2517</v>
      </c>
      <c r="D1910" s="208" t="s">
        <v>2193</v>
      </c>
      <c r="E1910" s="209">
        <v>0.87</v>
      </c>
      <c r="F1910" s="209">
        <v>0</v>
      </c>
      <c r="G1910" s="209">
        <v>0.87</v>
      </c>
      <c r="H1910" s="198"/>
    </row>
    <row r="1911" spans="1:8" ht="15.75" hidden="1" customHeight="1" x14ac:dyDescent="0.25">
      <c r="A1911" s="205" t="s">
        <v>2191</v>
      </c>
      <c r="B1911" s="206">
        <v>102273</v>
      </c>
      <c r="C1911" s="207" t="s">
        <v>2518</v>
      </c>
      <c r="D1911" s="208" t="s">
        <v>2193</v>
      </c>
      <c r="E1911" s="209">
        <v>1.2</v>
      </c>
      <c r="F1911" s="209">
        <v>0</v>
      </c>
      <c r="G1911" s="209">
        <v>1.2</v>
      </c>
      <c r="H1911" s="198"/>
    </row>
    <row r="1912" spans="1:8" ht="15.75" hidden="1" customHeight="1" x14ac:dyDescent="0.25">
      <c r="A1912" s="205" t="s">
        <v>2191</v>
      </c>
      <c r="B1912" s="206">
        <v>95255</v>
      </c>
      <c r="C1912" s="207" t="s">
        <v>2519</v>
      </c>
      <c r="D1912" s="208" t="s">
        <v>2193</v>
      </c>
      <c r="E1912" s="209">
        <v>1.41</v>
      </c>
      <c r="F1912" s="209">
        <v>0</v>
      </c>
      <c r="G1912" s="209">
        <v>1.41</v>
      </c>
      <c r="H1912" s="198"/>
    </row>
    <row r="1913" spans="1:8" ht="15.75" hidden="1" customHeight="1" x14ac:dyDescent="0.25">
      <c r="A1913" s="205" t="s">
        <v>2191</v>
      </c>
      <c r="B1913" s="206">
        <v>95256</v>
      </c>
      <c r="C1913" s="207" t="s">
        <v>2520</v>
      </c>
      <c r="D1913" s="208" t="s">
        <v>2193</v>
      </c>
      <c r="E1913" s="209">
        <v>0.32</v>
      </c>
      <c r="F1913" s="209">
        <v>0</v>
      </c>
      <c r="G1913" s="209">
        <v>0.32</v>
      </c>
      <c r="H1913" s="198"/>
    </row>
    <row r="1914" spans="1:8" ht="15.75" hidden="1" customHeight="1" x14ac:dyDescent="0.25">
      <c r="A1914" s="205" t="s">
        <v>2191</v>
      </c>
      <c r="B1914" s="206">
        <v>95257</v>
      </c>
      <c r="C1914" s="207" t="s">
        <v>2521</v>
      </c>
      <c r="D1914" s="208" t="s">
        <v>2193</v>
      </c>
      <c r="E1914" s="209">
        <v>1.76</v>
      </c>
      <c r="F1914" s="209">
        <v>0</v>
      </c>
      <c r="G1914" s="209">
        <v>1.76</v>
      </c>
      <c r="H1914" s="198"/>
    </row>
    <row r="1915" spans="1:8" ht="15.75" hidden="1" customHeight="1" x14ac:dyDescent="0.25">
      <c r="A1915" s="205" t="s">
        <v>2191</v>
      </c>
      <c r="B1915" s="206">
        <v>92963</v>
      </c>
      <c r="C1915" s="207" t="s">
        <v>2522</v>
      </c>
      <c r="D1915" s="208" t="s">
        <v>2193</v>
      </c>
      <c r="E1915" s="209">
        <v>1.63</v>
      </c>
      <c r="F1915" s="209">
        <v>0</v>
      </c>
      <c r="G1915" s="209">
        <v>1.63</v>
      </c>
      <c r="H1915" s="198"/>
    </row>
    <row r="1916" spans="1:8" ht="15.75" hidden="1" customHeight="1" x14ac:dyDescent="0.25">
      <c r="A1916" s="205" t="s">
        <v>2191</v>
      </c>
      <c r="B1916" s="206">
        <v>92964</v>
      </c>
      <c r="C1916" s="207" t="s">
        <v>2523</v>
      </c>
      <c r="D1916" s="208" t="s">
        <v>2193</v>
      </c>
      <c r="E1916" s="209">
        <v>0.37</v>
      </c>
      <c r="F1916" s="209">
        <v>0</v>
      </c>
      <c r="G1916" s="209">
        <v>0.37</v>
      </c>
      <c r="H1916" s="198"/>
    </row>
    <row r="1917" spans="1:8" ht="15.75" hidden="1" customHeight="1" x14ac:dyDescent="0.25">
      <c r="A1917" s="205" t="s">
        <v>2191</v>
      </c>
      <c r="B1917" s="206">
        <v>92965</v>
      </c>
      <c r="C1917" s="207" t="s">
        <v>2524</v>
      </c>
      <c r="D1917" s="208" t="s">
        <v>2193</v>
      </c>
      <c r="E1917" s="209">
        <v>2.04</v>
      </c>
      <c r="F1917" s="209">
        <v>0</v>
      </c>
      <c r="G1917" s="209">
        <v>2.04</v>
      </c>
      <c r="H1917" s="198"/>
    </row>
    <row r="1918" spans="1:8" ht="15.75" hidden="1" customHeight="1" x14ac:dyDescent="0.25">
      <c r="A1918" s="205" t="s">
        <v>2191</v>
      </c>
      <c r="B1918" s="206">
        <v>103792</v>
      </c>
      <c r="C1918" s="207" t="s">
        <v>2525</v>
      </c>
      <c r="D1918" s="208" t="s">
        <v>2193</v>
      </c>
      <c r="E1918" s="209">
        <v>3.32</v>
      </c>
      <c r="F1918" s="209">
        <v>0</v>
      </c>
      <c r="G1918" s="209">
        <v>3.32</v>
      </c>
      <c r="H1918" s="198"/>
    </row>
    <row r="1919" spans="1:8" ht="15.75" hidden="1" customHeight="1" x14ac:dyDescent="0.25">
      <c r="A1919" s="205" t="s">
        <v>2191</v>
      </c>
      <c r="B1919" s="206">
        <v>96054</v>
      </c>
      <c r="C1919" s="207" t="s">
        <v>2526</v>
      </c>
      <c r="D1919" s="208" t="s">
        <v>2193</v>
      </c>
      <c r="E1919" s="209">
        <v>30.44</v>
      </c>
      <c r="F1919" s="209">
        <v>0</v>
      </c>
      <c r="G1919" s="209">
        <v>30.44</v>
      </c>
      <c r="H1919" s="198"/>
    </row>
    <row r="1920" spans="1:8" ht="15.75" hidden="1" customHeight="1" x14ac:dyDescent="0.25">
      <c r="A1920" s="205" t="s">
        <v>2191</v>
      </c>
      <c r="B1920" s="206">
        <v>96060</v>
      </c>
      <c r="C1920" s="207" t="s">
        <v>2527</v>
      </c>
      <c r="D1920" s="208" t="s">
        <v>2193</v>
      </c>
      <c r="E1920" s="209">
        <v>6.26</v>
      </c>
      <c r="F1920" s="209">
        <v>0</v>
      </c>
      <c r="G1920" s="209">
        <v>6.26</v>
      </c>
      <c r="H1920" s="198"/>
    </row>
    <row r="1921" spans="1:8" ht="15.75" hidden="1" customHeight="1" x14ac:dyDescent="0.25">
      <c r="A1921" s="205" t="s">
        <v>2191</v>
      </c>
      <c r="B1921" s="206">
        <v>96061</v>
      </c>
      <c r="C1921" s="207" t="s">
        <v>2528</v>
      </c>
      <c r="D1921" s="208" t="s">
        <v>2193</v>
      </c>
      <c r="E1921" s="209">
        <v>38.049999999999997</v>
      </c>
      <c r="F1921" s="209">
        <v>0</v>
      </c>
      <c r="G1921" s="209">
        <v>38.049999999999997</v>
      </c>
      <c r="H1921" s="198"/>
    </row>
    <row r="1922" spans="1:8" ht="15.75" hidden="1" customHeight="1" x14ac:dyDescent="0.25">
      <c r="A1922" s="205" t="s">
        <v>2191</v>
      </c>
      <c r="B1922" s="206">
        <v>96062</v>
      </c>
      <c r="C1922" s="207" t="s">
        <v>2529</v>
      </c>
      <c r="D1922" s="208" t="s">
        <v>2193</v>
      </c>
      <c r="E1922" s="209">
        <v>42.15</v>
      </c>
      <c r="F1922" s="209">
        <v>0</v>
      </c>
      <c r="G1922" s="209">
        <v>42.15</v>
      </c>
      <c r="H1922" s="198"/>
    </row>
    <row r="1923" spans="1:8" ht="15.75" hidden="1" customHeight="1" x14ac:dyDescent="0.25">
      <c r="A1923" s="205" t="s">
        <v>2191</v>
      </c>
      <c r="B1923" s="206">
        <v>90688</v>
      </c>
      <c r="C1923" s="207" t="s">
        <v>2530</v>
      </c>
      <c r="D1923" s="208" t="s">
        <v>2193</v>
      </c>
      <c r="E1923" s="209">
        <v>26.6</v>
      </c>
      <c r="F1923" s="209">
        <v>0</v>
      </c>
      <c r="G1923" s="209">
        <v>26.6</v>
      </c>
      <c r="H1923" s="198"/>
    </row>
    <row r="1924" spans="1:8" ht="15.75" hidden="1" customHeight="1" x14ac:dyDescent="0.25">
      <c r="A1924" s="205" t="s">
        <v>2191</v>
      </c>
      <c r="B1924" s="206">
        <v>90689</v>
      </c>
      <c r="C1924" s="207" t="s">
        <v>2531</v>
      </c>
      <c r="D1924" s="208" t="s">
        <v>2193</v>
      </c>
      <c r="E1924" s="209">
        <v>5.25</v>
      </c>
      <c r="F1924" s="209">
        <v>0</v>
      </c>
      <c r="G1924" s="209">
        <v>5.25</v>
      </c>
      <c r="H1924" s="198"/>
    </row>
    <row r="1925" spans="1:8" ht="15.75" hidden="1" customHeight="1" x14ac:dyDescent="0.25">
      <c r="A1925" s="205" t="s">
        <v>2191</v>
      </c>
      <c r="B1925" s="206">
        <v>90690</v>
      </c>
      <c r="C1925" s="207" t="s">
        <v>2532</v>
      </c>
      <c r="D1925" s="208" t="s">
        <v>2193</v>
      </c>
      <c r="E1925" s="209">
        <v>33.25</v>
      </c>
      <c r="F1925" s="209">
        <v>0</v>
      </c>
      <c r="G1925" s="209">
        <v>33.25</v>
      </c>
      <c r="H1925" s="198"/>
    </row>
    <row r="1926" spans="1:8" ht="15.75" hidden="1" customHeight="1" x14ac:dyDescent="0.25">
      <c r="A1926" s="205" t="s">
        <v>2191</v>
      </c>
      <c r="B1926" s="206">
        <v>90691</v>
      </c>
      <c r="C1926" s="207" t="s">
        <v>2533</v>
      </c>
      <c r="D1926" s="208" t="s">
        <v>2193</v>
      </c>
      <c r="E1926" s="209">
        <v>42.15</v>
      </c>
      <c r="F1926" s="209">
        <v>0</v>
      </c>
      <c r="G1926" s="209">
        <v>42.15</v>
      </c>
      <c r="H1926" s="198"/>
    </row>
    <row r="1927" spans="1:8" ht="15.75" hidden="1" customHeight="1" x14ac:dyDescent="0.25">
      <c r="A1927" s="205" t="s">
        <v>2191</v>
      </c>
      <c r="B1927" s="206">
        <v>96241</v>
      </c>
      <c r="C1927" s="207" t="s">
        <v>2534</v>
      </c>
      <c r="D1927" s="208" t="s">
        <v>2193</v>
      </c>
      <c r="E1927" s="209">
        <v>28.26</v>
      </c>
      <c r="F1927" s="209">
        <v>0</v>
      </c>
      <c r="G1927" s="209">
        <v>28.26</v>
      </c>
      <c r="H1927" s="198"/>
    </row>
    <row r="1928" spans="1:8" ht="15.75" hidden="1" customHeight="1" x14ac:dyDescent="0.25">
      <c r="A1928" s="205" t="s">
        <v>2191</v>
      </c>
      <c r="B1928" s="206">
        <v>96242</v>
      </c>
      <c r="C1928" s="207" t="s">
        <v>2535</v>
      </c>
      <c r="D1928" s="208" t="s">
        <v>2193</v>
      </c>
      <c r="E1928" s="209">
        <v>7.47</v>
      </c>
      <c r="F1928" s="209">
        <v>0</v>
      </c>
      <c r="G1928" s="209">
        <v>7.47</v>
      </c>
      <c r="H1928" s="198"/>
    </row>
    <row r="1929" spans="1:8" ht="15.75" hidden="1" customHeight="1" x14ac:dyDescent="0.25">
      <c r="A1929" s="205" t="s">
        <v>2191</v>
      </c>
      <c r="B1929" s="206">
        <v>96243</v>
      </c>
      <c r="C1929" s="207" t="s">
        <v>2536</v>
      </c>
      <c r="D1929" s="208" t="s">
        <v>2193</v>
      </c>
      <c r="E1929" s="209">
        <v>35.33</v>
      </c>
      <c r="F1929" s="209">
        <v>0</v>
      </c>
      <c r="G1929" s="209">
        <v>35.33</v>
      </c>
      <c r="H1929" s="198"/>
    </row>
    <row r="1930" spans="1:8" ht="15.75" hidden="1" customHeight="1" x14ac:dyDescent="0.25">
      <c r="A1930" s="205" t="s">
        <v>2191</v>
      </c>
      <c r="B1930" s="206">
        <v>96244</v>
      </c>
      <c r="C1930" s="207" t="s">
        <v>2537</v>
      </c>
      <c r="D1930" s="208" t="s">
        <v>2193</v>
      </c>
      <c r="E1930" s="209">
        <v>18.420000000000002</v>
      </c>
      <c r="F1930" s="209">
        <v>0</v>
      </c>
      <c r="G1930" s="209">
        <v>18.420000000000002</v>
      </c>
      <c r="H1930" s="198"/>
    </row>
    <row r="1931" spans="1:8" ht="15.75" hidden="1" customHeight="1" x14ac:dyDescent="0.25">
      <c r="A1931" s="205" t="s">
        <v>2191</v>
      </c>
      <c r="B1931" s="206">
        <v>88400</v>
      </c>
      <c r="C1931" s="207" t="s">
        <v>2538</v>
      </c>
      <c r="D1931" s="208" t="s">
        <v>2193</v>
      </c>
      <c r="E1931" s="209">
        <v>0.76</v>
      </c>
      <c r="F1931" s="209">
        <v>0</v>
      </c>
      <c r="G1931" s="209">
        <v>0.76</v>
      </c>
      <c r="H1931" s="198"/>
    </row>
    <row r="1932" spans="1:8" ht="15.75" hidden="1" customHeight="1" x14ac:dyDescent="0.25">
      <c r="A1932" s="205" t="s">
        <v>2191</v>
      </c>
      <c r="B1932" s="206">
        <v>88401</v>
      </c>
      <c r="C1932" s="207" t="s">
        <v>2539</v>
      </c>
      <c r="D1932" s="208" t="s">
        <v>2193</v>
      </c>
      <c r="E1932" s="209">
        <v>0.17</v>
      </c>
      <c r="F1932" s="209">
        <v>0</v>
      </c>
      <c r="G1932" s="209">
        <v>0.17</v>
      </c>
      <c r="H1932" s="198"/>
    </row>
    <row r="1933" spans="1:8" ht="15.75" hidden="1" customHeight="1" x14ac:dyDescent="0.25">
      <c r="A1933" s="205" t="s">
        <v>2191</v>
      </c>
      <c r="B1933" s="206">
        <v>88402</v>
      </c>
      <c r="C1933" s="207" t="s">
        <v>2540</v>
      </c>
      <c r="D1933" s="208" t="s">
        <v>2193</v>
      </c>
      <c r="E1933" s="209">
        <v>0.84</v>
      </c>
      <c r="F1933" s="209">
        <v>0</v>
      </c>
      <c r="G1933" s="209">
        <v>0.84</v>
      </c>
      <c r="H1933" s="198"/>
    </row>
    <row r="1934" spans="1:8" ht="15.75" hidden="1" customHeight="1" x14ac:dyDescent="0.25">
      <c r="A1934" s="205" t="s">
        <v>2191</v>
      </c>
      <c r="B1934" s="206">
        <v>88403</v>
      </c>
      <c r="C1934" s="207" t="s">
        <v>2541</v>
      </c>
      <c r="D1934" s="208" t="s">
        <v>2193</v>
      </c>
      <c r="E1934" s="209">
        <v>1.33</v>
      </c>
      <c r="F1934" s="209">
        <v>0</v>
      </c>
      <c r="G1934" s="209">
        <v>1.33</v>
      </c>
      <c r="H1934" s="198"/>
    </row>
    <row r="1935" spans="1:8" ht="15.75" hidden="1" customHeight="1" x14ac:dyDescent="0.25">
      <c r="A1935" s="205" t="s">
        <v>2191</v>
      </c>
      <c r="B1935" s="206">
        <v>88387</v>
      </c>
      <c r="C1935" s="207" t="s">
        <v>2542</v>
      </c>
      <c r="D1935" s="208" t="s">
        <v>2193</v>
      </c>
      <c r="E1935" s="209">
        <v>0.81</v>
      </c>
      <c r="F1935" s="209">
        <v>0</v>
      </c>
      <c r="G1935" s="209">
        <v>0.81</v>
      </c>
      <c r="H1935" s="198"/>
    </row>
    <row r="1936" spans="1:8" ht="15.75" hidden="1" customHeight="1" x14ac:dyDescent="0.25">
      <c r="A1936" s="205" t="s">
        <v>2191</v>
      </c>
      <c r="B1936" s="206">
        <v>88389</v>
      </c>
      <c r="C1936" s="207" t="s">
        <v>2543</v>
      </c>
      <c r="D1936" s="208" t="s">
        <v>2193</v>
      </c>
      <c r="E1936" s="209">
        <v>0.18</v>
      </c>
      <c r="F1936" s="209">
        <v>0</v>
      </c>
      <c r="G1936" s="209">
        <v>0.18</v>
      </c>
      <c r="H1936" s="198"/>
    </row>
    <row r="1937" spans="1:8" ht="15.75" hidden="1" customHeight="1" x14ac:dyDescent="0.25">
      <c r="A1937" s="205" t="s">
        <v>2191</v>
      </c>
      <c r="B1937" s="206">
        <v>88390</v>
      </c>
      <c r="C1937" s="207" t="s">
        <v>2544</v>
      </c>
      <c r="D1937" s="208" t="s">
        <v>2193</v>
      </c>
      <c r="E1937" s="209">
        <v>0.89</v>
      </c>
      <c r="F1937" s="209">
        <v>0</v>
      </c>
      <c r="G1937" s="209">
        <v>0.89</v>
      </c>
      <c r="H1937" s="198"/>
    </row>
    <row r="1938" spans="1:8" ht="15.75" hidden="1" customHeight="1" x14ac:dyDescent="0.25">
      <c r="A1938" s="205" t="s">
        <v>2191</v>
      </c>
      <c r="B1938" s="206">
        <v>88391</v>
      </c>
      <c r="C1938" s="207" t="s">
        <v>2545</v>
      </c>
      <c r="D1938" s="208" t="s">
        <v>2193</v>
      </c>
      <c r="E1938" s="209">
        <v>2.2200000000000002</v>
      </c>
      <c r="F1938" s="209">
        <v>0</v>
      </c>
      <c r="G1938" s="209">
        <v>2.2200000000000002</v>
      </c>
      <c r="H1938" s="198"/>
    </row>
    <row r="1939" spans="1:8" ht="15.75" hidden="1" customHeight="1" x14ac:dyDescent="0.25">
      <c r="A1939" s="205" t="s">
        <v>2191</v>
      </c>
      <c r="B1939" s="206">
        <v>88394</v>
      </c>
      <c r="C1939" s="207" t="s">
        <v>2546</v>
      </c>
      <c r="D1939" s="208" t="s">
        <v>2193</v>
      </c>
      <c r="E1939" s="209">
        <v>0.96</v>
      </c>
      <c r="F1939" s="209">
        <v>0</v>
      </c>
      <c r="G1939" s="209">
        <v>0.96</v>
      </c>
      <c r="H1939" s="198"/>
    </row>
    <row r="1940" spans="1:8" ht="15.75" hidden="1" customHeight="1" x14ac:dyDescent="0.25">
      <c r="A1940" s="205" t="s">
        <v>2191</v>
      </c>
      <c r="B1940" s="206">
        <v>88395</v>
      </c>
      <c r="C1940" s="207" t="s">
        <v>2547</v>
      </c>
      <c r="D1940" s="208" t="s">
        <v>2193</v>
      </c>
      <c r="E1940" s="209">
        <v>0.22</v>
      </c>
      <c r="F1940" s="209">
        <v>0</v>
      </c>
      <c r="G1940" s="209">
        <v>0.22</v>
      </c>
      <c r="H1940" s="198"/>
    </row>
    <row r="1941" spans="1:8" ht="15.75" hidden="1" customHeight="1" x14ac:dyDescent="0.25">
      <c r="A1941" s="205" t="s">
        <v>2191</v>
      </c>
      <c r="B1941" s="206">
        <v>88396</v>
      </c>
      <c r="C1941" s="207" t="s">
        <v>2548</v>
      </c>
      <c r="D1941" s="208" t="s">
        <v>2193</v>
      </c>
      <c r="E1941" s="209">
        <v>1.05</v>
      </c>
      <c r="F1941" s="209">
        <v>0</v>
      </c>
      <c r="G1941" s="209">
        <v>1.05</v>
      </c>
      <c r="H1941" s="198"/>
    </row>
    <row r="1942" spans="1:8" ht="15.75" hidden="1" customHeight="1" x14ac:dyDescent="0.25">
      <c r="A1942" s="205" t="s">
        <v>2191</v>
      </c>
      <c r="B1942" s="206">
        <v>88397</v>
      </c>
      <c r="C1942" s="207" t="s">
        <v>2549</v>
      </c>
      <c r="D1942" s="208" t="s">
        <v>2193</v>
      </c>
      <c r="E1942" s="209">
        <v>3.32</v>
      </c>
      <c r="F1942" s="209">
        <v>0</v>
      </c>
      <c r="G1942" s="209">
        <v>3.32</v>
      </c>
      <c r="H1942" s="198"/>
    </row>
    <row r="1943" spans="1:8" ht="15.75" hidden="1" customHeight="1" x14ac:dyDescent="0.25">
      <c r="A1943" s="205" t="s">
        <v>2191</v>
      </c>
      <c r="B1943" s="206">
        <v>90633</v>
      </c>
      <c r="C1943" s="207" t="s">
        <v>2550</v>
      </c>
      <c r="D1943" s="208" t="s">
        <v>2193</v>
      </c>
      <c r="E1943" s="209">
        <v>3.85</v>
      </c>
      <c r="F1943" s="209">
        <v>0</v>
      </c>
      <c r="G1943" s="209">
        <v>3.85</v>
      </c>
      <c r="H1943" s="198"/>
    </row>
    <row r="1944" spans="1:8" ht="15.75" hidden="1" customHeight="1" x14ac:dyDescent="0.25">
      <c r="A1944" s="205" t="s">
        <v>2191</v>
      </c>
      <c r="B1944" s="206">
        <v>90634</v>
      </c>
      <c r="C1944" s="207" t="s">
        <v>2551</v>
      </c>
      <c r="D1944" s="208" t="s">
        <v>2193</v>
      </c>
      <c r="E1944" s="209">
        <v>0.89</v>
      </c>
      <c r="F1944" s="209">
        <v>0</v>
      </c>
      <c r="G1944" s="209">
        <v>0.89</v>
      </c>
      <c r="H1944" s="198"/>
    </row>
    <row r="1945" spans="1:8" ht="15.75" hidden="1" customHeight="1" x14ac:dyDescent="0.25">
      <c r="A1945" s="205" t="s">
        <v>2191</v>
      </c>
      <c r="B1945" s="206">
        <v>90635</v>
      </c>
      <c r="C1945" s="207" t="s">
        <v>2552</v>
      </c>
      <c r="D1945" s="208" t="s">
        <v>2193</v>
      </c>
      <c r="E1945" s="209">
        <v>4.21</v>
      </c>
      <c r="F1945" s="209">
        <v>0</v>
      </c>
      <c r="G1945" s="209">
        <v>4.21</v>
      </c>
      <c r="H1945" s="198"/>
    </row>
    <row r="1946" spans="1:8" ht="15.75" hidden="1" customHeight="1" x14ac:dyDescent="0.25">
      <c r="A1946" s="205" t="s">
        <v>2191</v>
      </c>
      <c r="B1946" s="206">
        <v>90636</v>
      </c>
      <c r="C1946" s="207" t="s">
        <v>2553</v>
      </c>
      <c r="D1946" s="208" t="s">
        <v>2193</v>
      </c>
      <c r="E1946" s="209">
        <v>4.4400000000000004</v>
      </c>
      <c r="F1946" s="209">
        <v>0</v>
      </c>
      <c r="G1946" s="209">
        <v>4.4400000000000004</v>
      </c>
      <c r="H1946" s="198"/>
    </row>
    <row r="1947" spans="1:8" ht="15.75" hidden="1" customHeight="1" x14ac:dyDescent="0.25">
      <c r="A1947" s="205" t="s">
        <v>2191</v>
      </c>
      <c r="B1947" s="206">
        <v>103241</v>
      </c>
      <c r="C1947" s="207" t="s">
        <v>2554</v>
      </c>
      <c r="D1947" s="208" t="s">
        <v>2193</v>
      </c>
      <c r="E1947" s="209">
        <v>8.32</v>
      </c>
      <c r="F1947" s="209">
        <v>0</v>
      </c>
      <c r="G1947" s="209">
        <v>8.32</v>
      </c>
      <c r="H1947" s="198"/>
    </row>
    <row r="1948" spans="1:8" ht="15.75" hidden="1" customHeight="1" x14ac:dyDescent="0.25">
      <c r="A1948" s="205" t="s">
        <v>2191</v>
      </c>
      <c r="B1948" s="206">
        <v>88853</v>
      </c>
      <c r="C1948" s="207" t="s">
        <v>2555</v>
      </c>
      <c r="D1948" s="208" t="s">
        <v>2193</v>
      </c>
      <c r="E1948" s="209">
        <v>0.21</v>
      </c>
      <c r="F1948" s="209">
        <v>0</v>
      </c>
      <c r="G1948" s="209">
        <v>0.21</v>
      </c>
      <c r="H1948" s="198"/>
    </row>
    <row r="1949" spans="1:8" ht="15.75" hidden="1" customHeight="1" x14ac:dyDescent="0.25">
      <c r="A1949" s="205" t="s">
        <v>2191</v>
      </c>
      <c r="B1949" s="206">
        <v>88854</v>
      </c>
      <c r="C1949" s="207" t="s">
        <v>2556</v>
      </c>
      <c r="D1949" s="208" t="s">
        <v>2193</v>
      </c>
      <c r="E1949" s="209">
        <v>0.04</v>
      </c>
      <c r="F1949" s="209">
        <v>0</v>
      </c>
      <c r="G1949" s="209">
        <v>0.04</v>
      </c>
      <c r="H1949" s="198"/>
    </row>
    <row r="1950" spans="1:8" ht="15.75" hidden="1" customHeight="1" x14ac:dyDescent="0.25">
      <c r="A1950" s="205" t="s">
        <v>2191</v>
      </c>
      <c r="B1950" s="206">
        <v>5692</v>
      </c>
      <c r="C1950" s="207" t="s">
        <v>2557</v>
      </c>
      <c r="D1950" s="208" t="s">
        <v>2193</v>
      </c>
      <c r="E1950" s="209">
        <v>0.23</v>
      </c>
      <c r="F1950" s="209">
        <v>0</v>
      </c>
      <c r="G1950" s="209">
        <v>0.23</v>
      </c>
      <c r="H1950" s="198"/>
    </row>
    <row r="1951" spans="1:8" ht="15.75" hidden="1" customHeight="1" x14ac:dyDescent="0.25">
      <c r="A1951" s="205" t="s">
        <v>2191</v>
      </c>
      <c r="B1951" s="206">
        <v>5693</v>
      </c>
      <c r="C1951" s="207" t="s">
        <v>2558</v>
      </c>
      <c r="D1951" s="208" t="s">
        <v>2193</v>
      </c>
      <c r="E1951" s="209">
        <v>22.97</v>
      </c>
      <c r="F1951" s="209">
        <v>0</v>
      </c>
      <c r="G1951" s="209">
        <v>22.97</v>
      </c>
      <c r="H1951" s="198"/>
    </row>
    <row r="1952" spans="1:8" ht="15.75" hidden="1" customHeight="1" x14ac:dyDescent="0.25">
      <c r="A1952" s="205" t="s">
        <v>2191</v>
      </c>
      <c r="B1952" s="206">
        <v>7044</v>
      </c>
      <c r="C1952" s="207" t="s">
        <v>2559</v>
      </c>
      <c r="D1952" s="208" t="s">
        <v>2193</v>
      </c>
      <c r="E1952" s="209">
        <v>0.26</v>
      </c>
      <c r="F1952" s="209">
        <v>0</v>
      </c>
      <c r="G1952" s="209">
        <v>0.26</v>
      </c>
      <c r="H1952" s="198"/>
    </row>
    <row r="1953" spans="1:8" ht="15.75" hidden="1" customHeight="1" x14ac:dyDescent="0.25">
      <c r="A1953" s="205" t="s">
        <v>2191</v>
      </c>
      <c r="B1953" s="206">
        <v>7045</v>
      </c>
      <c r="C1953" s="207" t="s">
        <v>2560</v>
      </c>
      <c r="D1953" s="208" t="s">
        <v>2193</v>
      </c>
      <c r="E1953" s="209">
        <v>0.06</v>
      </c>
      <c r="F1953" s="209">
        <v>0</v>
      </c>
      <c r="G1953" s="209">
        <v>0.06</v>
      </c>
      <c r="H1953" s="198"/>
    </row>
    <row r="1954" spans="1:8" ht="15.75" hidden="1" customHeight="1" x14ac:dyDescent="0.25">
      <c r="A1954" s="205" t="s">
        <v>2191</v>
      </c>
      <c r="B1954" s="206">
        <v>7046</v>
      </c>
      <c r="C1954" s="207" t="s">
        <v>2561</v>
      </c>
      <c r="D1954" s="208" t="s">
        <v>2193</v>
      </c>
      <c r="E1954" s="209">
        <v>0.28999999999999998</v>
      </c>
      <c r="F1954" s="209">
        <v>0</v>
      </c>
      <c r="G1954" s="209">
        <v>0.28999999999999998</v>
      </c>
      <c r="H1954" s="198"/>
    </row>
    <row r="1955" spans="1:8" ht="15.75" hidden="1" customHeight="1" x14ac:dyDescent="0.25">
      <c r="A1955" s="205" t="s">
        <v>2191</v>
      </c>
      <c r="B1955" s="206">
        <v>7047</v>
      </c>
      <c r="C1955" s="207" t="s">
        <v>2562</v>
      </c>
      <c r="D1955" s="208" t="s">
        <v>2193</v>
      </c>
      <c r="E1955" s="209">
        <v>27.12</v>
      </c>
      <c r="F1955" s="209">
        <v>0</v>
      </c>
      <c r="G1955" s="209">
        <v>27.12</v>
      </c>
      <c r="H1955" s="198"/>
    </row>
    <row r="1956" spans="1:8" ht="15.75" hidden="1" customHeight="1" x14ac:dyDescent="0.25">
      <c r="A1956" s="205" t="s">
        <v>2191</v>
      </c>
      <c r="B1956" s="206">
        <v>89228</v>
      </c>
      <c r="C1956" s="207" t="s">
        <v>2563</v>
      </c>
      <c r="D1956" s="208" t="s">
        <v>2193</v>
      </c>
      <c r="E1956" s="209">
        <v>58</v>
      </c>
      <c r="F1956" s="209">
        <v>0</v>
      </c>
      <c r="G1956" s="209">
        <v>58</v>
      </c>
      <c r="H1956" s="198"/>
    </row>
    <row r="1957" spans="1:8" ht="15.75" hidden="1" customHeight="1" x14ac:dyDescent="0.25">
      <c r="A1957" s="205" t="s">
        <v>2191</v>
      </c>
      <c r="B1957" s="206">
        <v>89229</v>
      </c>
      <c r="C1957" s="207" t="s">
        <v>2564</v>
      </c>
      <c r="D1957" s="208" t="s">
        <v>2193</v>
      </c>
      <c r="E1957" s="209">
        <v>20.440000000000001</v>
      </c>
      <c r="F1957" s="209">
        <v>0</v>
      </c>
      <c r="G1957" s="209">
        <v>20.440000000000001</v>
      </c>
      <c r="H1957" s="198"/>
    </row>
    <row r="1958" spans="1:8" ht="15.75" hidden="1" customHeight="1" x14ac:dyDescent="0.25">
      <c r="A1958" s="205" t="s">
        <v>2191</v>
      </c>
      <c r="B1958" s="206">
        <v>5779</v>
      </c>
      <c r="C1958" s="207" t="s">
        <v>2565</v>
      </c>
      <c r="D1958" s="208" t="s">
        <v>2193</v>
      </c>
      <c r="E1958" s="209">
        <v>93.23</v>
      </c>
      <c r="F1958" s="209">
        <v>0</v>
      </c>
      <c r="G1958" s="209">
        <v>93.23</v>
      </c>
      <c r="H1958" s="198"/>
    </row>
    <row r="1959" spans="1:8" ht="15.75" hidden="1" customHeight="1" x14ac:dyDescent="0.25">
      <c r="A1959" s="205" t="s">
        <v>2191</v>
      </c>
      <c r="B1959" s="206">
        <v>53849</v>
      </c>
      <c r="C1959" s="207" t="s">
        <v>2566</v>
      </c>
      <c r="D1959" s="208" t="s">
        <v>2193</v>
      </c>
      <c r="E1959" s="209">
        <v>88.55</v>
      </c>
      <c r="F1959" s="209">
        <v>0</v>
      </c>
      <c r="G1959" s="209">
        <v>88.55</v>
      </c>
      <c r="H1959" s="198"/>
    </row>
    <row r="1960" spans="1:8" ht="15.75" hidden="1" customHeight="1" x14ac:dyDescent="0.25">
      <c r="A1960" s="205" t="s">
        <v>2191</v>
      </c>
      <c r="B1960" s="206">
        <v>95129</v>
      </c>
      <c r="C1960" s="207" t="s">
        <v>2567</v>
      </c>
      <c r="D1960" s="208" t="s">
        <v>2193</v>
      </c>
      <c r="E1960" s="209">
        <v>47.9</v>
      </c>
      <c r="F1960" s="209">
        <v>0</v>
      </c>
      <c r="G1960" s="209">
        <v>47.9</v>
      </c>
      <c r="H1960" s="198"/>
    </row>
    <row r="1961" spans="1:8" ht="15.75" hidden="1" customHeight="1" x14ac:dyDescent="0.25">
      <c r="A1961" s="205" t="s">
        <v>2191</v>
      </c>
      <c r="B1961" s="206">
        <v>95130</v>
      </c>
      <c r="C1961" s="207" t="s">
        <v>2568</v>
      </c>
      <c r="D1961" s="208" t="s">
        <v>2193</v>
      </c>
      <c r="E1961" s="209">
        <v>17.36</v>
      </c>
      <c r="F1961" s="209">
        <v>0</v>
      </c>
      <c r="G1961" s="209">
        <v>17.36</v>
      </c>
      <c r="H1961" s="198"/>
    </row>
    <row r="1962" spans="1:8" ht="15.75" hidden="1" customHeight="1" x14ac:dyDescent="0.25">
      <c r="A1962" s="205" t="s">
        <v>2191</v>
      </c>
      <c r="B1962" s="206">
        <v>95131</v>
      </c>
      <c r="C1962" s="207" t="s">
        <v>2569</v>
      </c>
      <c r="D1962" s="208" t="s">
        <v>2193</v>
      </c>
      <c r="E1962" s="209">
        <v>56.38</v>
      </c>
      <c r="F1962" s="209">
        <v>0</v>
      </c>
      <c r="G1962" s="209">
        <v>56.38</v>
      </c>
      <c r="H1962" s="198"/>
    </row>
    <row r="1963" spans="1:8" ht="15.75" hidden="1" customHeight="1" x14ac:dyDescent="0.25">
      <c r="A1963" s="205" t="s">
        <v>2191</v>
      </c>
      <c r="B1963" s="206">
        <v>95132</v>
      </c>
      <c r="C1963" s="207" t="s">
        <v>2570</v>
      </c>
      <c r="D1963" s="208" t="s">
        <v>2193</v>
      </c>
      <c r="E1963" s="209">
        <v>34.11</v>
      </c>
      <c r="F1963" s="209">
        <v>0</v>
      </c>
      <c r="G1963" s="209">
        <v>34.11</v>
      </c>
      <c r="H1963" s="198"/>
    </row>
    <row r="1964" spans="1:8" ht="15.75" hidden="1" customHeight="1" x14ac:dyDescent="0.25">
      <c r="A1964" s="205" t="s">
        <v>2191</v>
      </c>
      <c r="B1964" s="206">
        <v>102985</v>
      </c>
      <c r="C1964" s="207" t="s">
        <v>2571</v>
      </c>
      <c r="D1964" s="208" t="s">
        <v>2193</v>
      </c>
      <c r="E1964" s="209">
        <v>15.82</v>
      </c>
      <c r="F1964" s="209">
        <v>0</v>
      </c>
      <c r="G1964" s="209">
        <v>15.82</v>
      </c>
      <c r="H1964" s="198"/>
    </row>
    <row r="1965" spans="1:8" ht="15.75" hidden="1" customHeight="1" x14ac:dyDescent="0.25">
      <c r="A1965" s="205" t="s">
        <v>2191</v>
      </c>
      <c r="B1965" s="206">
        <v>92956</v>
      </c>
      <c r="C1965" s="207" t="s">
        <v>2572</v>
      </c>
      <c r="D1965" s="208" t="s">
        <v>2193</v>
      </c>
      <c r="E1965" s="209">
        <v>4.41</v>
      </c>
      <c r="F1965" s="209">
        <v>0</v>
      </c>
      <c r="G1965" s="209">
        <v>4.41</v>
      </c>
      <c r="H1965" s="198"/>
    </row>
    <row r="1966" spans="1:8" ht="15.75" hidden="1" customHeight="1" x14ac:dyDescent="0.25">
      <c r="A1966" s="205" t="s">
        <v>2191</v>
      </c>
      <c r="B1966" s="206">
        <v>92957</v>
      </c>
      <c r="C1966" s="207" t="s">
        <v>2573</v>
      </c>
      <c r="D1966" s="208" t="s">
        <v>2193</v>
      </c>
      <c r="E1966" s="209">
        <v>1.02</v>
      </c>
      <c r="F1966" s="209">
        <v>0</v>
      </c>
      <c r="G1966" s="209">
        <v>1.02</v>
      </c>
      <c r="H1966" s="198"/>
    </row>
    <row r="1967" spans="1:8" ht="15.75" hidden="1" customHeight="1" x14ac:dyDescent="0.25">
      <c r="A1967" s="205" t="s">
        <v>2191</v>
      </c>
      <c r="B1967" s="206">
        <v>92958</v>
      </c>
      <c r="C1967" s="207" t="s">
        <v>2574</v>
      </c>
      <c r="D1967" s="208" t="s">
        <v>2193</v>
      </c>
      <c r="E1967" s="209">
        <v>4.83</v>
      </c>
      <c r="F1967" s="209">
        <v>0</v>
      </c>
      <c r="G1967" s="209">
        <v>4.83</v>
      </c>
      <c r="H1967" s="198"/>
    </row>
    <row r="1968" spans="1:8" ht="15.75" hidden="1" customHeight="1" x14ac:dyDescent="0.25">
      <c r="A1968" s="205" t="s">
        <v>2191</v>
      </c>
      <c r="B1968" s="206">
        <v>92959</v>
      </c>
      <c r="C1968" s="207" t="s">
        <v>2575</v>
      </c>
      <c r="D1968" s="208" t="s">
        <v>2193</v>
      </c>
      <c r="E1968" s="209">
        <v>9.81</v>
      </c>
      <c r="F1968" s="209">
        <v>0</v>
      </c>
      <c r="G1968" s="209">
        <v>9.81</v>
      </c>
      <c r="H1968" s="198"/>
    </row>
    <row r="1969" spans="1:8" ht="15.75" hidden="1" customHeight="1" x14ac:dyDescent="0.25">
      <c r="A1969" s="205" t="s">
        <v>2191</v>
      </c>
      <c r="B1969" s="206">
        <v>102861</v>
      </c>
      <c r="C1969" s="207" t="s">
        <v>2576</v>
      </c>
      <c r="D1969" s="208" t="s">
        <v>2193</v>
      </c>
      <c r="E1969" s="209">
        <v>0.88</v>
      </c>
      <c r="F1969" s="209">
        <v>0</v>
      </c>
      <c r="G1969" s="209">
        <v>0.88</v>
      </c>
      <c r="H1969" s="198"/>
    </row>
    <row r="1970" spans="1:8" ht="15.75" hidden="1" customHeight="1" x14ac:dyDescent="0.25">
      <c r="A1970" s="205" t="s">
        <v>2191</v>
      </c>
      <c r="B1970" s="206">
        <v>93404</v>
      </c>
      <c r="C1970" s="207" t="s">
        <v>2577</v>
      </c>
      <c r="D1970" s="208" t="s">
        <v>2193</v>
      </c>
      <c r="E1970" s="209">
        <v>7.74</v>
      </c>
      <c r="F1970" s="209">
        <v>0</v>
      </c>
      <c r="G1970" s="209">
        <v>7.74</v>
      </c>
      <c r="H1970" s="198"/>
    </row>
    <row r="1971" spans="1:8" ht="15.75" hidden="1" customHeight="1" x14ac:dyDescent="0.25">
      <c r="A1971" s="205" t="s">
        <v>2191</v>
      </c>
      <c r="B1971" s="206">
        <v>93405</v>
      </c>
      <c r="C1971" s="207" t="s">
        <v>2578</v>
      </c>
      <c r="D1971" s="208" t="s">
        <v>2193</v>
      </c>
      <c r="E1971" s="209">
        <v>1.97</v>
      </c>
      <c r="F1971" s="209">
        <v>0</v>
      </c>
      <c r="G1971" s="209">
        <v>1.97</v>
      </c>
      <c r="H1971" s="198"/>
    </row>
    <row r="1972" spans="1:8" ht="15.75" hidden="1" customHeight="1" x14ac:dyDescent="0.25">
      <c r="A1972" s="205" t="s">
        <v>2191</v>
      </c>
      <c r="B1972" s="206">
        <v>93406</v>
      </c>
      <c r="C1972" s="207" t="s">
        <v>2579</v>
      </c>
      <c r="D1972" s="208" t="s">
        <v>2193</v>
      </c>
      <c r="E1972" s="209">
        <v>9.2899999999999991</v>
      </c>
      <c r="F1972" s="209">
        <v>0</v>
      </c>
      <c r="G1972" s="209">
        <v>9.2899999999999991</v>
      </c>
      <c r="H1972" s="198"/>
    </row>
    <row r="1973" spans="1:8" ht="15.75" hidden="1" customHeight="1" x14ac:dyDescent="0.25">
      <c r="A1973" s="205" t="s">
        <v>2191</v>
      </c>
      <c r="B1973" s="206">
        <v>93407</v>
      </c>
      <c r="C1973" s="207" t="s">
        <v>2580</v>
      </c>
      <c r="D1973" s="208" t="s">
        <v>2193</v>
      </c>
      <c r="E1973" s="209">
        <v>49.88</v>
      </c>
      <c r="F1973" s="209">
        <v>0</v>
      </c>
      <c r="G1973" s="209">
        <v>49.88</v>
      </c>
      <c r="H1973" s="198"/>
    </row>
    <row r="1974" spans="1:8" ht="15.75" hidden="1" customHeight="1" x14ac:dyDescent="0.25">
      <c r="A1974" s="205" t="s">
        <v>2191</v>
      </c>
      <c r="B1974" s="206">
        <v>102939</v>
      </c>
      <c r="C1974" s="207" t="s">
        <v>2581</v>
      </c>
      <c r="D1974" s="208" t="s">
        <v>2193</v>
      </c>
      <c r="E1974" s="209">
        <v>6.63</v>
      </c>
      <c r="F1974" s="209">
        <v>0</v>
      </c>
      <c r="G1974" s="209">
        <v>6.63</v>
      </c>
      <c r="H1974" s="198"/>
    </row>
    <row r="1975" spans="1:8" ht="15.75" hidden="1" customHeight="1" x14ac:dyDescent="0.25">
      <c r="A1975" s="205" t="s">
        <v>2191</v>
      </c>
      <c r="B1975" s="206">
        <v>103162</v>
      </c>
      <c r="C1975" s="207" t="s">
        <v>2582</v>
      </c>
      <c r="D1975" s="208" t="s">
        <v>2193</v>
      </c>
      <c r="E1975" s="209">
        <v>0.47</v>
      </c>
      <c r="F1975" s="209">
        <v>0</v>
      </c>
      <c r="G1975" s="209">
        <v>0.47</v>
      </c>
      <c r="H1975" s="198"/>
    </row>
    <row r="1976" spans="1:8" ht="15.75" hidden="1" customHeight="1" x14ac:dyDescent="0.25">
      <c r="A1976" s="205" t="s">
        <v>2191</v>
      </c>
      <c r="B1976" s="206">
        <v>103156</v>
      </c>
      <c r="C1976" s="207" t="s">
        <v>2583</v>
      </c>
      <c r="D1976" s="208" t="s">
        <v>2193</v>
      </c>
      <c r="E1976" s="209">
        <v>1.68</v>
      </c>
      <c r="F1976" s="209">
        <v>0</v>
      </c>
      <c r="G1976" s="209">
        <v>1.68</v>
      </c>
      <c r="H1976" s="198"/>
    </row>
    <row r="1977" spans="1:8" ht="15.75" hidden="1" customHeight="1" x14ac:dyDescent="0.25">
      <c r="A1977" s="205" t="s">
        <v>2191</v>
      </c>
      <c r="B1977" s="206">
        <v>103174</v>
      </c>
      <c r="C1977" s="207" t="s">
        <v>2584</v>
      </c>
      <c r="D1977" s="208" t="s">
        <v>2193</v>
      </c>
      <c r="E1977" s="209">
        <v>1.34</v>
      </c>
      <c r="F1977" s="209">
        <v>0</v>
      </c>
      <c r="G1977" s="209">
        <v>1.34</v>
      </c>
      <c r="H1977" s="198"/>
    </row>
    <row r="1978" spans="1:8" ht="15.75" hidden="1" customHeight="1" x14ac:dyDescent="0.25">
      <c r="A1978" s="205" t="s">
        <v>2191</v>
      </c>
      <c r="B1978" s="206">
        <v>103180</v>
      </c>
      <c r="C1978" s="207" t="s">
        <v>2585</v>
      </c>
      <c r="D1978" s="208" t="s">
        <v>2193</v>
      </c>
      <c r="E1978" s="209">
        <v>3.1</v>
      </c>
      <c r="F1978" s="209">
        <v>0</v>
      </c>
      <c r="G1978" s="209">
        <v>3.1</v>
      </c>
      <c r="H1978" s="198"/>
    </row>
    <row r="1979" spans="1:8" ht="15.75" hidden="1" customHeight="1" x14ac:dyDescent="0.25">
      <c r="A1979" s="205" t="s">
        <v>2191</v>
      </c>
      <c r="B1979" s="206">
        <v>103168</v>
      </c>
      <c r="C1979" s="207" t="s">
        <v>2586</v>
      </c>
      <c r="D1979" s="208" t="s">
        <v>2193</v>
      </c>
      <c r="E1979" s="209">
        <v>0.53</v>
      </c>
      <c r="F1979" s="209">
        <v>0</v>
      </c>
      <c r="G1979" s="209">
        <v>0.53</v>
      </c>
      <c r="H1979" s="198"/>
    </row>
    <row r="1980" spans="1:8" ht="15.75" hidden="1" customHeight="1" x14ac:dyDescent="0.25">
      <c r="A1980" s="205" t="s">
        <v>2191</v>
      </c>
      <c r="B1980" s="206">
        <v>102867</v>
      </c>
      <c r="C1980" s="207" t="s">
        <v>2587</v>
      </c>
      <c r="D1980" s="208" t="s">
        <v>2193</v>
      </c>
      <c r="E1980" s="209">
        <v>0.48</v>
      </c>
      <c r="F1980" s="209">
        <v>0</v>
      </c>
      <c r="G1980" s="209">
        <v>0.48</v>
      </c>
      <c r="H1980" s="198"/>
    </row>
    <row r="1981" spans="1:8" ht="15.75" hidden="1" customHeight="1" x14ac:dyDescent="0.25">
      <c r="A1981" s="205" t="s">
        <v>2191</v>
      </c>
      <c r="B1981" s="206">
        <v>92108</v>
      </c>
      <c r="C1981" s="207" t="s">
        <v>2588</v>
      </c>
      <c r="D1981" s="208" t="s">
        <v>2193</v>
      </c>
      <c r="E1981" s="209">
        <v>0.9</v>
      </c>
      <c r="F1981" s="209">
        <v>0</v>
      </c>
      <c r="G1981" s="209">
        <v>0.9</v>
      </c>
      <c r="H1981" s="198"/>
    </row>
    <row r="1982" spans="1:8" ht="15.75" hidden="1" customHeight="1" x14ac:dyDescent="0.25">
      <c r="A1982" s="205" t="s">
        <v>2191</v>
      </c>
      <c r="B1982" s="206">
        <v>92109</v>
      </c>
      <c r="C1982" s="207" t="s">
        <v>2589</v>
      </c>
      <c r="D1982" s="208" t="s">
        <v>2193</v>
      </c>
      <c r="E1982" s="209">
        <v>0.2</v>
      </c>
      <c r="F1982" s="209">
        <v>0</v>
      </c>
      <c r="G1982" s="209">
        <v>0.2</v>
      </c>
      <c r="H1982" s="198"/>
    </row>
    <row r="1983" spans="1:8" ht="15.75" hidden="1" customHeight="1" x14ac:dyDescent="0.25">
      <c r="A1983" s="205" t="s">
        <v>2191</v>
      </c>
      <c r="B1983" s="206">
        <v>92110</v>
      </c>
      <c r="C1983" s="207" t="s">
        <v>2590</v>
      </c>
      <c r="D1983" s="208" t="s">
        <v>2193</v>
      </c>
      <c r="E1983" s="209">
        <v>1.1200000000000001</v>
      </c>
      <c r="F1983" s="209">
        <v>0</v>
      </c>
      <c r="G1983" s="209">
        <v>1.1200000000000001</v>
      </c>
      <c r="H1983" s="198"/>
    </row>
    <row r="1984" spans="1:8" ht="15.75" hidden="1" customHeight="1" x14ac:dyDescent="0.25">
      <c r="A1984" s="205" t="s">
        <v>2191</v>
      </c>
      <c r="B1984" s="206">
        <v>92111</v>
      </c>
      <c r="C1984" s="207" t="s">
        <v>2591</v>
      </c>
      <c r="D1984" s="208" t="s">
        <v>2193</v>
      </c>
      <c r="E1984" s="209">
        <v>0.88</v>
      </c>
      <c r="F1984" s="209">
        <v>0</v>
      </c>
      <c r="G1984" s="209">
        <v>0.88</v>
      </c>
      <c r="H1984" s="198"/>
    </row>
    <row r="1985" spans="1:8" ht="15.75" hidden="1" customHeight="1" x14ac:dyDescent="0.25">
      <c r="A1985" s="205" t="s">
        <v>2191</v>
      </c>
      <c r="B1985" s="206">
        <v>90670</v>
      </c>
      <c r="C1985" s="207" t="s">
        <v>2592</v>
      </c>
      <c r="D1985" s="208" t="s">
        <v>2193</v>
      </c>
      <c r="E1985" s="209">
        <v>259.29000000000002</v>
      </c>
      <c r="F1985" s="209">
        <v>0</v>
      </c>
      <c r="G1985" s="209">
        <v>259.29000000000002</v>
      </c>
      <c r="H1985" s="198"/>
    </row>
    <row r="1986" spans="1:8" ht="15.75" hidden="1" customHeight="1" x14ac:dyDescent="0.25">
      <c r="A1986" s="205" t="s">
        <v>2191</v>
      </c>
      <c r="B1986" s="206">
        <v>90671</v>
      </c>
      <c r="C1986" s="207" t="s">
        <v>2593</v>
      </c>
      <c r="D1986" s="208" t="s">
        <v>2193</v>
      </c>
      <c r="E1986" s="209">
        <v>69.56</v>
      </c>
      <c r="F1986" s="209">
        <v>0</v>
      </c>
      <c r="G1986" s="209">
        <v>69.56</v>
      </c>
      <c r="H1986" s="198"/>
    </row>
    <row r="1987" spans="1:8" ht="15.75" hidden="1" customHeight="1" x14ac:dyDescent="0.25">
      <c r="A1987" s="205" t="s">
        <v>2191</v>
      </c>
      <c r="B1987" s="206">
        <v>90672</v>
      </c>
      <c r="C1987" s="207" t="s">
        <v>2594</v>
      </c>
      <c r="D1987" s="208" t="s">
        <v>2193</v>
      </c>
      <c r="E1987" s="209">
        <v>324.48</v>
      </c>
      <c r="F1987" s="209">
        <v>0</v>
      </c>
      <c r="G1987" s="209">
        <v>324.48</v>
      </c>
      <c r="H1987" s="198"/>
    </row>
    <row r="1988" spans="1:8" ht="15.75" hidden="1" customHeight="1" x14ac:dyDescent="0.25">
      <c r="A1988" s="205" t="s">
        <v>2191</v>
      </c>
      <c r="B1988" s="206">
        <v>90673</v>
      </c>
      <c r="C1988" s="207" t="s">
        <v>2595</v>
      </c>
      <c r="D1988" s="208" t="s">
        <v>2193</v>
      </c>
      <c r="E1988" s="209">
        <v>126.53</v>
      </c>
      <c r="F1988" s="209">
        <v>0</v>
      </c>
      <c r="G1988" s="209">
        <v>126.53</v>
      </c>
      <c r="H1988" s="198"/>
    </row>
    <row r="1989" spans="1:8" ht="15.75" hidden="1" customHeight="1" x14ac:dyDescent="0.25">
      <c r="A1989" s="205" t="s">
        <v>2191</v>
      </c>
      <c r="B1989" s="206">
        <v>93220</v>
      </c>
      <c r="C1989" s="207" t="s">
        <v>2596</v>
      </c>
      <c r="D1989" s="208" t="s">
        <v>2193</v>
      </c>
      <c r="E1989" s="209">
        <v>397.58</v>
      </c>
      <c r="F1989" s="209">
        <v>0</v>
      </c>
      <c r="G1989" s="209">
        <v>397.58</v>
      </c>
      <c r="H1989" s="198"/>
    </row>
    <row r="1990" spans="1:8" ht="15.75" hidden="1" customHeight="1" x14ac:dyDescent="0.25">
      <c r="A1990" s="205" t="s">
        <v>2191</v>
      </c>
      <c r="B1990" s="206">
        <v>93221</v>
      </c>
      <c r="C1990" s="207" t="s">
        <v>2597</v>
      </c>
      <c r="D1990" s="208" t="s">
        <v>2193</v>
      </c>
      <c r="E1990" s="209">
        <v>106.67</v>
      </c>
      <c r="F1990" s="209">
        <v>0</v>
      </c>
      <c r="G1990" s="209">
        <v>106.67</v>
      </c>
      <c r="H1990" s="198"/>
    </row>
    <row r="1991" spans="1:8" ht="15.75" hidden="1" customHeight="1" x14ac:dyDescent="0.25">
      <c r="A1991" s="205" t="s">
        <v>2191</v>
      </c>
      <c r="B1991" s="206">
        <v>93222</v>
      </c>
      <c r="C1991" s="207" t="s">
        <v>2598</v>
      </c>
      <c r="D1991" s="208" t="s">
        <v>2193</v>
      </c>
      <c r="E1991" s="209">
        <v>497.54</v>
      </c>
      <c r="F1991" s="209">
        <v>0</v>
      </c>
      <c r="G1991" s="209">
        <v>497.54</v>
      </c>
      <c r="H1991" s="198"/>
    </row>
    <row r="1992" spans="1:8" ht="15.75" hidden="1" customHeight="1" x14ac:dyDescent="0.25">
      <c r="A1992" s="205" t="s">
        <v>2191</v>
      </c>
      <c r="B1992" s="206">
        <v>93223</v>
      </c>
      <c r="C1992" s="207" t="s">
        <v>2599</v>
      </c>
      <c r="D1992" s="208" t="s">
        <v>2193</v>
      </c>
      <c r="E1992" s="209">
        <v>165.27</v>
      </c>
      <c r="F1992" s="209">
        <v>0</v>
      </c>
      <c r="G1992" s="209">
        <v>165.27</v>
      </c>
      <c r="H1992" s="198"/>
    </row>
    <row r="1993" spans="1:8" ht="15.75" hidden="1" customHeight="1" x14ac:dyDescent="0.25">
      <c r="A1993" s="205" t="s">
        <v>2191</v>
      </c>
      <c r="B1993" s="206">
        <v>104691</v>
      </c>
      <c r="C1993" s="207" t="s">
        <v>2600</v>
      </c>
      <c r="D1993" s="208" t="s">
        <v>2193</v>
      </c>
      <c r="E1993" s="209">
        <v>1.03</v>
      </c>
      <c r="F1993" s="209">
        <v>0</v>
      </c>
      <c r="G1993" s="209">
        <v>1.03</v>
      </c>
      <c r="H1993" s="198"/>
    </row>
    <row r="1994" spans="1:8" ht="15.75" hidden="1" customHeight="1" x14ac:dyDescent="0.25">
      <c r="A1994" s="205" t="s">
        <v>2191</v>
      </c>
      <c r="B1994" s="206">
        <v>104692</v>
      </c>
      <c r="C1994" s="207" t="s">
        <v>2601</v>
      </c>
      <c r="D1994" s="208" t="s">
        <v>2193</v>
      </c>
      <c r="E1994" s="209">
        <v>0.23</v>
      </c>
      <c r="F1994" s="209">
        <v>0</v>
      </c>
      <c r="G1994" s="209">
        <v>0.23</v>
      </c>
      <c r="H1994" s="198"/>
    </row>
    <row r="1995" spans="1:8" ht="15.75" hidden="1" customHeight="1" x14ac:dyDescent="0.25">
      <c r="A1995" s="205" t="s">
        <v>2191</v>
      </c>
      <c r="B1995" s="206">
        <v>104693</v>
      </c>
      <c r="C1995" s="207" t="s">
        <v>2602</v>
      </c>
      <c r="D1995" s="208" t="s">
        <v>2193</v>
      </c>
      <c r="E1995" s="209">
        <v>1.29</v>
      </c>
      <c r="F1995" s="209">
        <v>0</v>
      </c>
      <c r="G1995" s="209">
        <v>1.29</v>
      </c>
      <c r="H1995" s="198"/>
    </row>
    <row r="1996" spans="1:8" ht="15.75" hidden="1" customHeight="1" x14ac:dyDescent="0.25">
      <c r="A1996" s="205" t="s">
        <v>2191</v>
      </c>
      <c r="B1996" s="206">
        <v>104694</v>
      </c>
      <c r="C1996" s="207" t="s">
        <v>2603</v>
      </c>
      <c r="D1996" s="208" t="s">
        <v>2193</v>
      </c>
      <c r="E1996" s="209">
        <v>1.51</v>
      </c>
      <c r="F1996" s="209">
        <v>0</v>
      </c>
      <c r="G1996" s="209">
        <v>1.51</v>
      </c>
      <c r="H1996" s="198"/>
    </row>
    <row r="1997" spans="1:8" ht="15.75" hidden="1" customHeight="1" x14ac:dyDescent="0.25">
      <c r="A1997" s="205" t="s">
        <v>2191</v>
      </c>
      <c r="B1997" s="206">
        <v>90676</v>
      </c>
      <c r="C1997" s="207" t="s">
        <v>2604</v>
      </c>
      <c r="D1997" s="208" t="s">
        <v>2193</v>
      </c>
      <c r="E1997" s="209">
        <v>104.57</v>
      </c>
      <c r="F1997" s="209">
        <v>0</v>
      </c>
      <c r="G1997" s="209">
        <v>104.57</v>
      </c>
      <c r="H1997" s="198"/>
    </row>
    <row r="1998" spans="1:8" ht="15.75" hidden="1" customHeight="1" x14ac:dyDescent="0.25">
      <c r="A1998" s="205" t="s">
        <v>2191</v>
      </c>
      <c r="B1998" s="206">
        <v>91021</v>
      </c>
      <c r="C1998" s="207" t="s">
        <v>2605</v>
      </c>
      <c r="D1998" s="208" t="s">
        <v>2193</v>
      </c>
      <c r="E1998" s="209">
        <v>12.73</v>
      </c>
      <c r="F1998" s="209">
        <v>0</v>
      </c>
      <c r="G1998" s="209">
        <v>12.73</v>
      </c>
      <c r="H1998" s="198"/>
    </row>
    <row r="1999" spans="1:8" ht="15.75" hidden="1" customHeight="1" x14ac:dyDescent="0.25">
      <c r="A1999" s="205" t="s">
        <v>2191</v>
      </c>
      <c r="B1999" s="206">
        <v>90677</v>
      </c>
      <c r="C1999" s="207" t="s">
        <v>2606</v>
      </c>
      <c r="D1999" s="208" t="s">
        <v>2193</v>
      </c>
      <c r="E1999" s="209">
        <v>31.46</v>
      </c>
      <c r="F1999" s="209">
        <v>0</v>
      </c>
      <c r="G1999" s="209">
        <v>31.46</v>
      </c>
      <c r="H1999" s="198"/>
    </row>
    <row r="2000" spans="1:8" ht="15.75" hidden="1" customHeight="1" x14ac:dyDescent="0.25">
      <c r="A2000" s="205" t="s">
        <v>2191</v>
      </c>
      <c r="B2000" s="206">
        <v>90678</v>
      </c>
      <c r="C2000" s="207" t="s">
        <v>2607</v>
      </c>
      <c r="D2000" s="208" t="s">
        <v>2193</v>
      </c>
      <c r="E2000" s="209">
        <v>145.66</v>
      </c>
      <c r="F2000" s="209">
        <v>0</v>
      </c>
      <c r="G2000" s="209">
        <v>145.66</v>
      </c>
      <c r="H2000" s="198"/>
    </row>
    <row r="2001" spans="1:8" ht="15.75" hidden="1" customHeight="1" x14ac:dyDescent="0.25">
      <c r="A2001" s="205" t="s">
        <v>2191</v>
      </c>
      <c r="B2001" s="206">
        <v>90679</v>
      </c>
      <c r="C2001" s="207" t="s">
        <v>2608</v>
      </c>
      <c r="D2001" s="208" t="s">
        <v>2193</v>
      </c>
      <c r="E2001" s="209">
        <v>97.03</v>
      </c>
      <c r="F2001" s="209">
        <v>0</v>
      </c>
      <c r="G2001" s="209">
        <v>97.03</v>
      </c>
      <c r="H2001" s="198"/>
    </row>
    <row r="2002" spans="1:8" ht="15.75" hidden="1" customHeight="1" x14ac:dyDescent="0.25">
      <c r="A2002" s="205" t="s">
        <v>2191</v>
      </c>
      <c r="B2002" s="206">
        <v>102870</v>
      </c>
      <c r="C2002" s="207" t="s">
        <v>2609</v>
      </c>
      <c r="D2002" s="208" t="s">
        <v>2193</v>
      </c>
      <c r="E2002" s="209">
        <v>378.15</v>
      </c>
      <c r="F2002" s="209">
        <v>0</v>
      </c>
      <c r="G2002" s="209">
        <v>378.15</v>
      </c>
      <c r="H2002" s="198"/>
    </row>
    <row r="2003" spans="1:8" ht="15.75" hidden="1" customHeight="1" x14ac:dyDescent="0.25">
      <c r="A2003" s="205" t="s">
        <v>2191</v>
      </c>
      <c r="B2003" s="206">
        <v>102871</v>
      </c>
      <c r="C2003" s="207" t="s">
        <v>2610</v>
      </c>
      <c r="D2003" s="208" t="s">
        <v>2193</v>
      </c>
      <c r="E2003" s="209">
        <v>102.16</v>
      </c>
      <c r="F2003" s="209">
        <v>0</v>
      </c>
      <c r="G2003" s="209">
        <v>102.16</v>
      </c>
      <c r="H2003" s="198"/>
    </row>
    <row r="2004" spans="1:8" ht="15.75" hidden="1" customHeight="1" x14ac:dyDescent="0.25">
      <c r="A2004" s="205" t="s">
        <v>2191</v>
      </c>
      <c r="B2004" s="206">
        <v>102872</v>
      </c>
      <c r="C2004" s="207" t="s">
        <v>2611</v>
      </c>
      <c r="D2004" s="208" t="s">
        <v>2193</v>
      </c>
      <c r="E2004" s="209">
        <v>473.22</v>
      </c>
      <c r="F2004" s="209">
        <v>0</v>
      </c>
      <c r="G2004" s="209">
        <v>473.22</v>
      </c>
      <c r="H2004" s="198"/>
    </row>
    <row r="2005" spans="1:8" ht="15.75" hidden="1" customHeight="1" x14ac:dyDescent="0.25">
      <c r="A2005" s="205" t="s">
        <v>2191</v>
      </c>
      <c r="B2005" s="206">
        <v>102873</v>
      </c>
      <c r="C2005" s="207" t="s">
        <v>2612</v>
      </c>
      <c r="D2005" s="208" t="s">
        <v>2193</v>
      </c>
      <c r="E2005" s="209">
        <v>126.53</v>
      </c>
      <c r="F2005" s="209">
        <v>0</v>
      </c>
      <c r="G2005" s="209">
        <v>126.53</v>
      </c>
      <c r="H2005" s="198"/>
    </row>
    <row r="2006" spans="1:8" ht="15.75" hidden="1" customHeight="1" x14ac:dyDescent="0.25">
      <c r="A2006" s="205" t="s">
        <v>2191</v>
      </c>
      <c r="B2006" s="206">
        <v>102960</v>
      </c>
      <c r="C2006" s="207" t="s">
        <v>2613</v>
      </c>
      <c r="D2006" s="208" t="s">
        <v>2193</v>
      </c>
      <c r="E2006" s="209">
        <v>183.52</v>
      </c>
      <c r="F2006" s="209">
        <v>0</v>
      </c>
      <c r="G2006" s="209">
        <v>183.52</v>
      </c>
      <c r="H2006" s="198"/>
    </row>
    <row r="2007" spans="1:8" ht="15.75" hidden="1" customHeight="1" x14ac:dyDescent="0.25">
      <c r="A2007" s="205" t="s">
        <v>2191</v>
      </c>
      <c r="B2007" s="206">
        <v>102961</v>
      </c>
      <c r="C2007" s="207" t="s">
        <v>2614</v>
      </c>
      <c r="D2007" s="208" t="s">
        <v>2193</v>
      </c>
      <c r="E2007" s="209">
        <v>49.58</v>
      </c>
      <c r="F2007" s="209">
        <v>0</v>
      </c>
      <c r="G2007" s="209">
        <v>49.58</v>
      </c>
      <c r="H2007" s="198"/>
    </row>
    <row r="2008" spans="1:8" ht="15.75" hidden="1" customHeight="1" x14ac:dyDescent="0.25">
      <c r="A2008" s="205" t="s">
        <v>2191</v>
      </c>
      <c r="B2008" s="206">
        <v>102962</v>
      </c>
      <c r="C2008" s="207" t="s">
        <v>2615</v>
      </c>
      <c r="D2008" s="208" t="s">
        <v>2193</v>
      </c>
      <c r="E2008" s="209">
        <v>172.16</v>
      </c>
      <c r="F2008" s="209">
        <v>0</v>
      </c>
      <c r="G2008" s="209">
        <v>172.16</v>
      </c>
      <c r="H2008" s="198"/>
    </row>
    <row r="2009" spans="1:8" ht="15.75" hidden="1" customHeight="1" x14ac:dyDescent="0.25">
      <c r="A2009" s="205" t="s">
        <v>2191</v>
      </c>
      <c r="B2009" s="206">
        <v>102963</v>
      </c>
      <c r="C2009" s="207" t="s">
        <v>2616</v>
      </c>
      <c r="D2009" s="208" t="s">
        <v>2193</v>
      </c>
      <c r="E2009" s="209">
        <v>89.69</v>
      </c>
      <c r="F2009" s="209">
        <v>0</v>
      </c>
      <c r="G2009" s="209">
        <v>89.69</v>
      </c>
      <c r="H2009" s="198"/>
    </row>
    <row r="2010" spans="1:8" ht="15.75" hidden="1" customHeight="1" x14ac:dyDescent="0.25">
      <c r="A2010" s="205" t="s">
        <v>2191</v>
      </c>
      <c r="B2010" s="206">
        <v>95698</v>
      </c>
      <c r="C2010" s="207" t="s">
        <v>2617</v>
      </c>
      <c r="D2010" s="208" t="s">
        <v>2193</v>
      </c>
      <c r="E2010" s="209">
        <v>4.6900000000000004</v>
      </c>
      <c r="F2010" s="209">
        <v>0</v>
      </c>
      <c r="G2010" s="209">
        <v>4.6900000000000004</v>
      </c>
      <c r="H2010" s="198"/>
    </row>
    <row r="2011" spans="1:8" ht="15.75" hidden="1" customHeight="1" x14ac:dyDescent="0.25">
      <c r="A2011" s="205" t="s">
        <v>2191</v>
      </c>
      <c r="B2011" s="206">
        <v>95699</v>
      </c>
      <c r="C2011" s="207" t="s">
        <v>2618</v>
      </c>
      <c r="D2011" s="208" t="s">
        <v>2193</v>
      </c>
      <c r="E2011" s="209">
        <v>1.08</v>
      </c>
      <c r="F2011" s="209">
        <v>0</v>
      </c>
      <c r="G2011" s="209">
        <v>1.08</v>
      </c>
      <c r="H2011" s="198"/>
    </row>
    <row r="2012" spans="1:8" ht="15.75" hidden="1" customHeight="1" x14ac:dyDescent="0.25">
      <c r="A2012" s="205" t="s">
        <v>2191</v>
      </c>
      <c r="B2012" s="206">
        <v>95700</v>
      </c>
      <c r="C2012" s="207" t="s">
        <v>2619</v>
      </c>
      <c r="D2012" s="208" t="s">
        <v>2193</v>
      </c>
      <c r="E2012" s="209">
        <v>5.86</v>
      </c>
      <c r="F2012" s="209">
        <v>0</v>
      </c>
      <c r="G2012" s="209">
        <v>5.86</v>
      </c>
      <c r="H2012" s="198"/>
    </row>
    <row r="2013" spans="1:8" ht="15.75" hidden="1" customHeight="1" x14ac:dyDescent="0.25">
      <c r="A2013" s="205" t="s">
        <v>2191</v>
      </c>
      <c r="B2013" s="206">
        <v>95701</v>
      </c>
      <c r="C2013" s="207" t="s">
        <v>2620</v>
      </c>
      <c r="D2013" s="208" t="s">
        <v>2193</v>
      </c>
      <c r="E2013" s="209">
        <v>2.2200000000000002</v>
      </c>
      <c r="F2013" s="209">
        <v>0</v>
      </c>
      <c r="G2013" s="209">
        <v>2.2200000000000002</v>
      </c>
      <c r="H2013" s="198"/>
    </row>
    <row r="2014" spans="1:8" ht="15.75" hidden="1" customHeight="1" x14ac:dyDescent="0.25">
      <c r="A2014" s="205" t="s">
        <v>2191</v>
      </c>
      <c r="B2014" s="206">
        <v>90621</v>
      </c>
      <c r="C2014" s="207" t="s">
        <v>2621</v>
      </c>
      <c r="D2014" s="208" t="s">
        <v>2193</v>
      </c>
      <c r="E2014" s="209">
        <v>2.11</v>
      </c>
      <c r="F2014" s="209">
        <v>0</v>
      </c>
      <c r="G2014" s="209">
        <v>2.11</v>
      </c>
      <c r="H2014" s="198"/>
    </row>
    <row r="2015" spans="1:8" ht="15.75" hidden="1" customHeight="1" x14ac:dyDescent="0.25">
      <c r="A2015" s="205" t="s">
        <v>2191</v>
      </c>
      <c r="B2015" s="206">
        <v>90622</v>
      </c>
      <c r="C2015" s="207" t="s">
        <v>2622</v>
      </c>
      <c r="D2015" s="208" t="s">
        <v>2193</v>
      </c>
      <c r="E2015" s="209">
        <v>0.48</v>
      </c>
      <c r="F2015" s="209">
        <v>0</v>
      </c>
      <c r="G2015" s="209">
        <v>0.48</v>
      </c>
      <c r="H2015" s="198"/>
    </row>
    <row r="2016" spans="1:8" ht="15.75" hidden="1" customHeight="1" x14ac:dyDescent="0.25">
      <c r="A2016" s="205" t="s">
        <v>2191</v>
      </c>
      <c r="B2016" s="206">
        <v>90623</v>
      </c>
      <c r="C2016" s="207" t="s">
        <v>2623</v>
      </c>
      <c r="D2016" s="208" t="s">
        <v>2193</v>
      </c>
      <c r="E2016" s="209">
        <v>2.64</v>
      </c>
      <c r="F2016" s="209">
        <v>0</v>
      </c>
      <c r="G2016" s="209">
        <v>2.64</v>
      </c>
      <c r="H2016" s="198"/>
    </row>
    <row r="2017" spans="1:8" ht="15.75" hidden="1" customHeight="1" x14ac:dyDescent="0.25">
      <c r="A2017" s="205" t="s">
        <v>2191</v>
      </c>
      <c r="B2017" s="206">
        <v>90624</v>
      </c>
      <c r="C2017" s="207" t="s">
        <v>2624</v>
      </c>
      <c r="D2017" s="208" t="s">
        <v>2193</v>
      </c>
      <c r="E2017" s="209">
        <v>2.2200000000000002</v>
      </c>
      <c r="F2017" s="209">
        <v>0</v>
      </c>
      <c r="G2017" s="209">
        <v>2.2200000000000002</v>
      </c>
      <c r="H2017" s="198"/>
    </row>
    <row r="2018" spans="1:8" ht="15.75" hidden="1" customHeight="1" x14ac:dyDescent="0.25">
      <c r="A2018" s="205" t="s">
        <v>2191</v>
      </c>
      <c r="B2018" s="206">
        <v>102876</v>
      </c>
      <c r="C2018" s="207" t="s">
        <v>2625</v>
      </c>
      <c r="D2018" s="208" t="s">
        <v>2193</v>
      </c>
      <c r="E2018" s="209">
        <v>525.5</v>
      </c>
      <c r="F2018" s="209">
        <v>0</v>
      </c>
      <c r="G2018" s="209">
        <v>525.5</v>
      </c>
      <c r="H2018" s="198"/>
    </row>
    <row r="2019" spans="1:8" ht="15.75" hidden="1" customHeight="1" x14ac:dyDescent="0.25">
      <c r="A2019" s="205" t="s">
        <v>2191</v>
      </c>
      <c r="B2019" s="206">
        <v>102877</v>
      </c>
      <c r="C2019" s="207" t="s">
        <v>2626</v>
      </c>
      <c r="D2019" s="208" t="s">
        <v>2193</v>
      </c>
      <c r="E2019" s="209">
        <v>141.97</v>
      </c>
      <c r="F2019" s="209">
        <v>0</v>
      </c>
      <c r="G2019" s="209">
        <v>141.97</v>
      </c>
      <c r="H2019" s="198"/>
    </row>
    <row r="2020" spans="1:8" ht="15.75" hidden="1" customHeight="1" x14ac:dyDescent="0.25">
      <c r="A2020" s="205" t="s">
        <v>2191</v>
      </c>
      <c r="B2020" s="206">
        <v>102878</v>
      </c>
      <c r="C2020" s="207" t="s">
        <v>2627</v>
      </c>
      <c r="D2020" s="208" t="s">
        <v>2193</v>
      </c>
      <c r="E2020" s="209">
        <v>657.62</v>
      </c>
      <c r="F2020" s="209">
        <v>0</v>
      </c>
      <c r="G2020" s="209">
        <v>657.62</v>
      </c>
      <c r="H2020" s="198"/>
    </row>
    <row r="2021" spans="1:8" ht="15.75" hidden="1" customHeight="1" x14ac:dyDescent="0.25">
      <c r="A2021" s="205" t="s">
        <v>2191</v>
      </c>
      <c r="B2021" s="206">
        <v>102879</v>
      </c>
      <c r="C2021" s="207" t="s">
        <v>2628</v>
      </c>
      <c r="D2021" s="208" t="s">
        <v>2193</v>
      </c>
      <c r="E2021" s="209">
        <v>189.9</v>
      </c>
      <c r="F2021" s="209">
        <v>0</v>
      </c>
      <c r="G2021" s="209">
        <v>189.9</v>
      </c>
      <c r="H2021" s="198"/>
    </row>
    <row r="2022" spans="1:8" ht="15.75" hidden="1" customHeight="1" x14ac:dyDescent="0.25">
      <c r="A2022" s="205" t="s">
        <v>2191</v>
      </c>
      <c r="B2022" s="206">
        <v>103220</v>
      </c>
      <c r="C2022" s="207" t="s">
        <v>2629</v>
      </c>
      <c r="D2022" s="208" t="s">
        <v>2193</v>
      </c>
      <c r="E2022" s="209">
        <v>160.71</v>
      </c>
      <c r="F2022" s="209">
        <v>0</v>
      </c>
      <c r="G2022" s="209">
        <v>160.71</v>
      </c>
      <c r="H2022" s="198"/>
    </row>
    <row r="2023" spans="1:8" ht="15.75" hidden="1" customHeight="1" x14ac:dyDescent="0.25">
      <c r="A2023" s="205" t="s">
        <v>2191</v>
      </c>
      <c r="B2023" s="206">
        <v>103221</v>
      </c>
      <c r="C2023" s="207" t="s">
        <v>2630</v>
      </c>
      <c r="D2023" s="208" t="s">
        <v>2193</v>
      </c>
      <c r="E2023" s="209">
        <v>43.41</v>
      </c>
      <c r="F2023" s="209">
        <v>0</v>
      </c>
      <c r="G2023" s="209">
        <v>43.41</v>
      </c>
      <c r="H2023" s="198"/>
    </row>
    <row r="2024" spans="1:8" ht="15.75" hidden="1" customHeight="1" x14ac:dyDescent="0.25">
      <c r="A2024" s="205" t="s">
        <v>2191</v>
      </c>
      <c r="B2024" s="206">
        <v>103222</v>
      </c>
      <c r="C2024" s="207" t="s">
        <v>2631</v>
      </c>
      <c r="D2024" s="208" t="s">
        <v>2193</v>
      </c>
      <c r="E2024" s="209">
        <v>201.11</v>
      </c>
      <c r="F2024" s="209">
        <v>0</v>
      </c>
      <c r="G2024" s="209">
        <v>201.11</v>
      </c>
      <c r="H2024" s="198"/>
    </row>
    <row r="2025" spans="1:8" ht="15.75" hidden="1" customHeight="1" x14ac:dyDescent="0.25">
      <c r="A2025" s="205" t="s">
        <v>2191</v>
      </c>
      <c r="B2025" s="206">
        <v>103223</v>
      </c>
      <c r="C2025" s="207" t="s">
        <v>2632</v>
      </c>
      <c r="D2025" s="208" t="s">
        <v>2193</v>
      </c>
      <c r="E2025" s="209">
        <v>37.090000000000003</v>
      </c>
      <c r="F2025" s="209">
        <v>0</v>
      </c>
      <c r="G2025" s="209">
        <v>37.090000000000003</v>
      </c>
      <c r="H2025" s="198"/>
    </row>
    <row r="2026" spans="1:8" ht="15.75" hidden="1" customHeight="1" x14ac:dyDescent="0.25">
      <c r="A2026" s="205" t="s">
        <v>2191</v>
      </c>
      <c r="B2026" s="206">
        <v>103232</v>
      </c>
      <c r="C2026" s="207" t="s">
        <v>2633</v>
      </c>
      <c r="D2026" s="208" t="s">
        <v>2193</v>
      </c>
      <c r="E2026" s="209">
        <v>504.21</v>
      </c>
      <c r="F2026" s="209">
        <v>0</v>
      </c>
      <c r="G2026" s="209">
        <v>504.21</v>
      </c>
      <c r="H2026" s="198"/>
    </row>
    <row r="2027" spans="1:8" ht="15.75" hidden="1" customHeight="1" x14ac:dyDescent="0.25">
      <c r="A2027" s="205" t="s">
        <v>2191</v>
      </c>
      <c r="B2027" s="206">
        <v>103233</v>
      </c>
      <c r="C2027" s="207" t="s">
        <v>2634</v>
      </c>
      <c r="D2027" s="208" t="s">
        <v>2193</v>
      </c>
      <c r="E2027" s="209">
        <v>136.22</v>
      </c>
      <c r="F2027" s="209">
        <v>0</v>
      </c>
      <c r="G2027" s="209">
        <v>136.22</v>
      </c>
      <c r="H2027" s="198"/>
    </row>
    <row r="2028" spans="1:8" ht="15.75" hidden="1" customHeight="1" x14ac:dyDescent="0.25">
      <c r="A2028" s="205" t="s">
        <v>2191</v>
      </c>
      <c r="B2028" s="206">
        <v>103234</v>
      </c>
      <c r="C2028" s="207" t="s">
        <v>2635</v>
      </c>
      <c r="D2028" s="208" t="s">
        <v>2193</v>
      </c>
      <c r="E2028" s="209">
        <v>662.19</v>
      </c>
      <c r="F2028" s="209">
        <v>0</v>
      </c>
      <c r="G2028" s="209">
        <v>662.19</v>
      </c>
      <c r="H2028" s="198"/>
    </row>
    <row r="2029" spans="1:8" ht="15.75" hidden="1" customHeight="1" x14ac:dyDescent="0.25">
      <c r="A2029" s="205" t="s">
        <v>2191</v>
      </c>
      <c r="B2029" s="206">
        <v>103235</v>
      </c>
      <c r="C2029" s="207" t="s">
        <v>2636</v>
      </c>
      <c r="D2029" s="208" t="s">
        <v>2193</v>
      </c>
      <c r="E2029" s="209">
        <v>108.61</v>
      </c>
      <c r="F2029" s="209">
        <v>0</v>
      </c>
      <c r="G2029" s="209">
        <v>108.61</v>
      </c>
      <c r="H2029" s="198"/>
    </row>
    <row r="2030" spans="1:8" ht="15.75" hidden="1" customHeight="1" x14ac:dyDescent="0.25">
      <c r="A2030" s="205" t="s">
        <v>2191</v>
      </c>
      <c r="B2030" s="206">
        <v>103228</v>
      </c>
      <c r="C2030" s="207" t="s">
        <v>2637</v>
      </c>
      <c r="D2030" s="208" t="s">
        <v>2193</v>
      </c>
      <c r="E2030" s="209">
        <v>461.4</v>
      </c>
      <c r="F2030" s="209">
        <v>0</v>
      </c>
      <c r="G2030" s="209">
        <v>461.4</v>
      </c>
      <c r="H2030" s="198"/>
    </row>
    <row r="2031" spans="1:8" ht="15.75" hidden="1" customHeight="1" x14ac:dyDescent="0.25">
      <c r="A2031" s="205" t="s">
        <v>2191</v>
      </c>
      <c r="B2031" s="206">
        <v>103226</v>
      </c>
      <c r="C2031" s="207" t="s">
        <v>2638</v>
      </c>
      <c r="D2031" s="208" t="s">
        <v>2193</v>
      </c>
      <c r="E2031" s="209">
        <v>368.7</v>
      </c>
      <c r="F2031" s="209">
        <v>0</v>
      </c>
      <c r="G2031" s="209">
        <v>368.7</v>
      </c>
      <c r="H2031" s="198"/>
    </row>
    <row r="2032" spans="1:8" ht="15.75" hidden="1" customHeight="1" x14ac:dyDescent="0.25">
      <c r="A2032" s="205" t="s">
        <v>2191</v>
      </c>
      <c r="B2032" s="206">
        <v>103227</v>
      </c>
      <c r="C2032" s="207" t="s">
        <v>2639</v>
      </c>
      <c r="D2032" s="208" t="s">
        <v>2193</v>
      </c>
      <c r="E2032" s="209">
        <v>99.61</v>
      </c>
      <c r="F2032" s="209">
        <v>0</v>
      </c>
      <c r="G2032" s="209">
        <v>99.61</v>
      </c>
      <c r="H2032" s="198"/>
    </row>
    <row r="2033" spans="1:8" ht="15.75" hidden="1" customHeight="1" x14ac:dyDescent="0.25">
      <c r="A2033" s="205" t="s">
        <v>2191</v>
      </c>
      <c r="B2033" s="206">
        <v>103229</v>
      </c>
      <c r="C2033" s="207" t="s">
        <v>2640</v>
      </c>
      <c r="D2033" s="208" t="s">
        <v>2193</v>
      </c>
      <c r="E2033" s="209">
        <v>92.1</v>
      </c>
      <c r="F2033" s="209">
        <v>0</v>
      </c>
      <c r="G2033" s="209">
        <v>92.1</v>
      </c>
      <c r="H2033" s="198"/>
    </row>
    <row r="2034" spans="1:8" ht="15.75" hidden="1" customHeight="1" x14ac:dyDescent="0.25">
      <c r="A2034" s="205" t="s">
        <v>2191</v>
      </c>
      <c r="B2034" s="206">
        <v>95617</v>
      </c>
      <c r="C2034" s="207" t="s">
        <v>2641</v>
      </c>
      <c r="D2034" s="208" t="s">
        <v>2193</v>
      </c>
      <c r="E2034" s="209">
        <v>1.1499999999999999</v>
      </c>
      <c r="F2034" s="209">
        <v>0</v>
      </c>
      <c r="G2034" s="209">
        <v>1.1499999999999999</v>
      </c>
      <c r="H2034" s="198"/>
    </row>
    <row r="2035" spans="1:8" ht="15.75" hidden="1" customHeight="1" x14ac:dyDescent="0.25">
      <c r="A2035" s="205" t="s">
        <v>2191</v>
      </c>
      <c r="B2035" s="206">
        <v>95618</v>
      </c>
      <c r="C2035" s="207" t="s">
        <v>2642</v>
      </c>
      <c r="D2035" s="208" t="s">
        <v>2193</v>
      </c>
      <c r="E2035" s="209">
        <v>0.26</v>
      </c>
      <c r="F2035" s="209">
        <v>0</v>
      </c>
      <c r="G2035" s="209">
        <v>0.26</v>
      </c>
      <c r="H2035" s="198"/>
    </row>
    <row r="2036" spans="1:8" ht="15.75" hidden="1" customHeight="1" x14ac:dyDescent="0.25">
      <c r="A2036" s="205" t="s">
        <v>2191</v>
      </c>
      <c r="B2036" s="206">
        <v>95619</v>
      </c>
      <c r="C2036" s="207" t="s">
        <v>2643</v>
      </c>
      <c r="D2036" s="208" t="s">
        <v>2193</v>
      </c>
      <c r="E2036" s="209">
        <v>1.44</v>
      </c>
      <c r="F2036" s="209">
        <v>0</v>
      </c>
      <c r="G2036" s="209">
        <v>1.44</v>
      </c>
      <c r="H2036" s="198"/>
    </row>
    <row r="2037" spans="1:8" ht="15.75" hidden="1" customHeight="1" x14ac:dyDescent="0.25">
      <c r="A2037" s="205" t="s">
        <v>2191</v>
      </c>
      <c r="B2037" s="206">
        <v>102972</v>
      </c>
      <c r="C2037" s="207" t="s">
        <v>2644</v>
      </c>
      <c r="D2037" s="208" t="s">
        <v>2193</v>
      </c>
      <c r="E2037" s="209">
        <v>97.95</v>
      </c>
      <c r="F2037" s="209">
        <v>0</v>
      </c>
      <c r="G2037" s="209">
        <v>97.95</v>
      </c>
      <c r="H2037" s="198"/>
    </row>
    <row r="2038" spans="1:8" ht="15.75" hidden="1" customHeight="1" x14ac:dyDescent="0.25">
      <c r="A2038" s="205" t="s">
        <v>2191</v>
      </c>
      <c r="B2038" s="206">
        <v>102973</v>
      </c>
      <c r="C2038" s="207" t="s">
        <v>2645</v>
      </c>
      <c r="D2038" s="208" t="s">
        <v>2193</v>
      </c>
      <c r="E2038" s="209">
        <v>27.19</v>
      </c>
      <c r="F2038" s="209">
        <v>0</v>
      </c>
      <c r="G2038" s="209">
        <v>27.19</v>
      </c>
      <c r="H2038" s="198"/>
    </row>
    <row r="2039" spans="1:8" ht="15.75" hidden="1" customHeight="1" x14ac:dyDescent="0.25">
      <c r="A2039" s="205" t="s">
        <v>2191</v>
      </c>
      <c r="B2039" s="206">
        <v>102974</v>
      </c>
      <c r="C2039" s="207" t="s">
        <v>2646</v>
      </c>
      <c r="D2039" s="208" t="s">
        <v>2193</v>
      </c>
      <c r="E2039" s="209">
        <v>91.89</v>
      </c>
      <c r="F2039" s="209">
        <v>0</v>
      </c>
      <c r="G2039" s="209">
        <v>91.89</v>
      </c>
      <c r="H2039" s="198"/>
    </row>
    <row r="2040" spans="1:8" ht="15.75" hidden="1" customHeight="1" x14ac:dyDescent="0.25">
      <c r="A2040" s="205" t="s">
        <v>2191</v>
      </c>
      <c r="B2040" s="206">
        <v>96301</v>
      </c>
      <c r="C2040" s="207" t="s">
        <v>2647</v>
      </c>
      <c r="D2040" s="208" t="s">
        <v>2193</v>
      </c>
      <c r="E2040" s="209">
        <v>51.96</v>
      </c>
      <c r="F2040" s="209">
        <v>0</v>
      </c>
      <c r="G2040" s="209">
        <v>51.96</v>
      </c>
      <c r="H2040" s="198"/>
    </row>
    <row r="2041" spans="1:8" ht="15.75" hidden="1" customHeight="1" x14ac:dyDescent="0.25">
      <c r="A2041" s="205" t="s">
        <v>2191</v>
      </c>
      <c r="B2041" s="206">
        <v>90627</v>
      </c>
      <c r="C2041" s="207" t="s">
        <v>2648</v>
      </c>
      <c r="D2041" s="208" t="s">
        <v>2193</v>
      </c>
      <c r="E2041" s="209">
        <v>57.47</v>
      </c>
      <c r="F2041" s="209">
        <v>0</v>
      </c>
      <c r="G2041" s="209">
        <v>57.47</v>
      </c>
      <c r="H2041" s="198"/>
    </row>
    <row r="2042" spans="1:8" ht="15.75" hidden="1" customHeight="1" x14ac:dyDescent="0.25">
      <c r="A2042" s="205" t="s">
        <v>2191</v>
      </c>
      <c r="B2042" s="206">
        <v>90628</v>
      </c>
      <c r="C2042" s="207" t="s">
        <v>2649</v>
      </c>
      <c r="D2042" s="208" t="s">
        <v>2193</v>
      </c>
      <c r="E2042" s="209">
        <v>15.42</v>
      </c>
      <c r="F2042" s="209">
        <v>0</v>
      </c>
      <c r="G2042" s="209">
        <v>15.42</v>
      </c>
      <c r="H2042" s="198"/>
    </row>
    <row r="2043" spans="1:8" ht="15.75" hidden="1" customHeight="1" x14ac:dyDescent="0.25">
      <c r="A2043" s="205" t="s">
        <v>2191</v>
      </c>
      <c r="B2043" s="206">
        <v>90629</v>
      </c>
      <c r="C2043" s="207" t="s">
        <v>2650</v>
      </c>
      <c r="D2043" s="208" t="s">
        <v>2193</v>
      </c>
      <c r="E2043" s="209">
        <v>71.92</v>
      </c>
      <c r="F2043" s="209">
        <v>0</v>
      </c>
      <c r="G2043" s="209">
        <v>71.92</v>
      </c>
      <c r="H2043" s="198"/>
    </row>
    <row r="2044" spans="1:8" ht="15.75" hidden="1" customHeight="1" x14ac:dyDescent="0.25">
      <c r="A2044" s="205" t="s">
        <v>2191</v>
      </c>
      <c r="B2044" s="206">
        <v>90630</v>
      </c>
      <c r="C2044" s="207" t="s">
        <v>2651</v>
      </c>
      <c r="D2044" s="208" t="s">
        <v>2193</v>
      </c>
      <c r="E2044" s="209">
        <v>1.05</v>
      </c>
      <c r="F2044" s="209">
        <v>0</v>
      </c>
      <c r="G2044" s="209">
        <v>1.05</v>
      </c>
      <c r="H2044" s="198"/>
    </row>
    <row r="2045" spans="1:8" ht="15.75" hidden="1" customHeight="1" x14ac:dyDescent="0.25">
      <c r="A2045" s="205" t="s">
        <v>2191</v>
      </c>
      <c r="B2045" s="206">
        <v>95704</v>
      </c>
      <c r="C2045" s="207" t="s">
        <v>2652</v>
      </c>
      <c r="D2045" s="208" t="s">
        <v>2193</v>
      </c>
      <c r="E2045" s="209">
        <v>58.03</v>
      </c>
      <c r="F2045" s="209">
        <v>0</v>
      </c>
      <c r="G2045" s="209">
        <v>58.03</v>
      </c>
      <c r="H2045" s="198"/>
    </row>
    <row r="2046" spans="1:8" ht="15.75" hidden="1" customHeight="1" x14ac:dyDescent="0.25">
      <c r="A2046" s="205" t="s">
        <v>2191</v>
      </c>
      <c r="B2046" s="206">
        <v>95705</v>
      </c>
      <c r="C2046" s="207" t="s">
        <v>2653</v>
      </c>
      <c r="D2046" s="208" t="s">
        <v>2193</v>
      </c>
      <c r="E2046" s="209">
        <v>15.57</v>
      </c>
      <c r="F2046" s="209">
        <v>0</v>
      </c>
      <c r="G2046" s="209">
        <v>15.57</v>
      </c>
      <c r="H2046" s="198"/>
    </row>
    <row r="2047" spans="1:8" ht="15.75" hidden="1" customHeight="1" x14ac:dyDescent="0.25">
      <c r="A2047" s="205" t="s">
        <v>2191</v>
      </c>
      <c r="B2047" s="206">
        <v>95706</v>
      </c>
      <c r="C2047" s="207" t="s">
        <v>2654</v>
      </c>
      <c r="D2047" s="208" t="s">
        <v>2193</v>
      </c>
      <c r="E2047" s="209">
        <v>72.63</v>
      </c>
      <c r="F2047" s="209">
        <v>0</v>
      </c>
      <c r="G2047" s="209">
        <v>72.63</v>
      </c>
      <c r="H2047" s="198"/>
    </row>
    <row r="2048" spans="1:8" ht="15.75" hidden="1" customHeight="1" x14ac:dyDescent="0.25">
      <c r="A2048" s="205" t="s">
        <v>2191</v>
      </c>
      <c r="B2048" s="206">
        <v>95707</v>
      </c>
      <c r="C2048" s="207" t="s">
        <v>2655</v>
      </c>
      <c r="D2048" s="208" t="s">
        <v>2193</v>
      </c>
      <c r="E2048" s="209">
        <v>2.91</v>
      </c>
      <c r="F2048" s="209">
        <v>0</v>
      </c>
      <c r="G2048" s="209">
        <v>2.91</v>
      </c>
      <c r="H2048" s="198"/>
    </row>
    <row r="2049" spans="1:8" ht="15.75" hidden="1" customHeight="1" x14ac:dyDescent="0.25">
      <c r="A2049" s="205" t="s">
        <v>2191</v>
      </c>
      <c r="B2049" s="206">
        <v>91273</v>
      </c>
      <c r="C2049" s="207" t="s">
        <v>2656</v>
      </c>
      <c r="D2049" s="208" t="s">
        <v>2193</v>
      </c>
      <c r="E2049" s="209">
        <v>0.56999999999999995</v>
      </c>
      <c r="F2049" s="209">
        <v>0</v>
      </c>
      <c r="G2049" s="209">
        <v>0.56999999999999995</v>
      </c>
      <c r="H2049" s="198"/>
    </row>
    <row r="2050" spans="1:8" ht="15.75" hidden="1" customHeight="1" x14ac:dyDescent="0.25">
      <c r="A2050" s="205" t="s">
        <v>2191</v>
      </c>
      <c r="B2050" s="206">
        <v>91274</v>
      </c>
      <c r="C2050" s="207" t="s">
        <v>2657</v>
      </c>
      <c r="D2050" s="208" t="s">
        <v>2193</v>
      </c>
      <c r="E2050" s="209">
        <v>0.15</v>
      </c>
      <c r="F2050" s="209">
        <v>0</v>
      </c>
      <c r="G2050" s="209">
        <v>0.15</v>
      </c>
      <c r="H2050" s="198"/>
    </row>
    <row r="2051" spans="1:8" ht="15.75" hidden="1" customHeight="1" x14ac:dyDescent="0.25">
      <c r="A2051" s="205" t="s">
        <v>2191</v>
      </c>
      <c r="B2051" s="206">
        <v>91275</v>
      </c>
      <c r="C2051" s="207" t="s">
        <v>2658</v>
      </c>
      <c r="D2051" s="208" t="s">
        <v>2193</v>
      </c>
      <c r="E2051" s="209">
        <v>0.71</v>
      </c>
      <c r="F2051" s="209">
        <v>0</v>
      </c>
      <c r="G2051" s="209">
        <v>0.71</v>
      </c>
      <c r="H2051" s="198"/>
    </row>
    <row r="2052" spans="1:8" ht="15.75" hidden="1" customHeight="1" x14ac:dyDescent="0.25">
      <c r="A2052" s="205" t="s">
        <v>2191</v>
      </c>
      <c r="B2052" s="206">
        <v>91276</v>
      </c>
      <c r="C2052" s="207" t="s">
        <v>2659</v>
      </c>
      <c r="D2052" s="208" t="s">
        <v>2193</v>
      </c>
      <c r="E2052" s="209">
        <v>9.61</v>
      </c>
      <c r="F2052" s="209">
        <v>0</v>
      </c>
      <c r="G2052" s="209">
        <v>9.61</v>
      </c>
      <c r="H2052" s="198"/>
    </row>
    <row r="2053" spans="1:8" ht="15.75" hidden="1" customHeight="1" x14ac:dyDescent="0.25">
      <c r="A2053" s="205" t="s">
        <v>2191</v>
      </c>
      <c r="B2053" s="206">
        <v>102885</v>
      </c>
      <c r="C2053" s="207" t="s">
        <v>2660</v>
      </c>
      <c r="D2053" s="208" t="s">
        <v>2193</v>
      </c>
      <c r="E2053" s="209">
        <v>0.9</v>
      </c>
      <c r="F2053" s="209">
        <v>0</v>
      </c>
      <c r="G2053" s="209">
        <v>0.9</v>
      </c>
      <c r="H2053" s="198"/>
    </row>
    <row r="2054" spans="1:8" ht="15.75" hidden="1" customHeight="1" x14ac:dyDescent="0.25">
      <c r="A2054" s="205" t="s">
        <v>2191</v>
      </c>
      <c r="B2054" s="206">
        <v>95272</v>
      </c>
      <c r="C2054" s="207" t="s">
        <v>2661</v>
      </c>
      <c r="D2054" s="208" t="s">
        <v>2193</v>
      </c>
      <c r="E2054" s="209">
        <v>0.55000000000000004</v>
      </c>
      <c r="F2054" s="209">
        <v>0</v>
      </c>
      <c r="G2054" s="209">
        <v>0.55000000000000004</v>
      </c>
      <c r="H2054" s="198"/>
    </row>
    <row r="2055" spans="1:8" ht="15.75" hidden="1" customHeight="1" x14ac:dyDescent="0.25">
      <c r="A2055" s="205" t="s">
        <v>2191</v>
      </c>
      <c r="B2055" s="206">
        <v>95273</v>
      </c>
      <c r="C2055" s="207" t="s">
        <v>2662</v>
      </c>
      <c r="D2055" s="208" t="s">
        <v>2193</v>
      </c>
      <c r="E2055" s="209">
        <v>0.12</v>
      </c>
      <c r="F2055" s="209">
        <v>0</v>
      </c>
      <c r="G2055" s="209">
        <v>0.12</v>
      </c>
      <c r="H2055" s="198"/>
    </row>
    <row r="2056" spans="1:8" ht="15.75" hidden="1" customHeight="1" x14ac:dyDescent="0.25">
      <c r="A2056" s="205" t="s">
        <v>2191</v>
      </c>
      <c r="B2056" s="206">
        <v>95274</v>
      </c>
      <c r="C2056" s="207" t="s">
        <v>2663</v>
      </c>
      <c r="D2056" s="208" t="s">
        <v>2193</v>
      </c>
      <c r="E2056" s="209">
        <v>0.43</v>
      </c>
      <c r="F2056" s="209">
        <v>0</v>
      </c>
      <c r="G2056" s="209">
        <v>0.43</v>
      </c>
      <c r="H2056" s="198"/>
    </row>
    <row r="2057" spans="1:8" ht="15.75" hidden="1" customHeight="1" x14ac:dyDescent="0.25">
      <c r="A2057" s="205" t="s">
        <v>2191</v>
      </c>
      <c r="B2057" s="206">
        <v>95275</v>
      </c>
      <c r="C2057" s="207" t="s">
        <v>2664</v>
      </c>
      <c r="D2057" s="208" t="s">
        <v>2193</v>
      </c>
      <c r="E2057" s="209">
        <v>1.8</v>
      </c>
      <c r="F2057" s="209">
        <v>0</v>
      </c>
      <c r="G2057" s="209">
        <v>1.8</v>
      </c>
      <c r="H2057" s="198"/>
    </row>
    <row r="2058" spans="1:8" ht="15.75" hidden="1" customHeight="1" x14ac:dyDescent="0.25">
      <c r="A2058" s="205" t="s">
        <v>2191</v>
      </c>
      <c r="B2058" s="206">
        <v>88419</v>
      </c>
      <c r="C2058" s="207" t="s">
        <v>2665</v>
      </c>
      <c r="D2058" s="208" t="s">
        <v>2193</v>
      </c>
      <c r="E2058" s="209">
        <v>5</v>
      </c>
      <c r="F2058" s="209">
        <v>0</v>
      </c>
      <c r="G2058" s="209">
        <v>5</v>
      </c>
      <c r="H2058" s="198"/>
    </row>
    <row r="2059" spans="1:8" ht="15.75" hidden="1" customHeight="1" x14ac:dyDescent="0.25">
      <c r="A2059" s="205" t="s">
        <v>2191</v>
      </c>
      <c r="B2059" s="206">
        <v>88422</v>
      </c>
      <c r="C2059" s="207" t="s">
        <v>2666</v>
      </c>
      <c r="D2059" s="208" t="s">
        <v>2193</v>
      </c>
      <c r="E2059" s="209">
        <v>1.1499999999999999</v>
      </c>
      <c r="F2059" s="209">
        <v>0</v>
      </c>
      <c r="G2059" s="209">
        <v>1.1499999999999999</v>
      </c>
      <c r="H2059" s="198"/>
    </row>
    <row r="2060" spans="1:8" ht="15.75" hidden="1" customHeight="1" x14ac:dyDescent="0.25">
      <c r="A2060" s="205" t="s">
        <v>2191</v>
      </c>
      <c r="B2060" s="206">
        <v>88425</v>
      </c>
      <c r="C2060" s="207" t="s">
        <v>2667</v>
      </c>
      <c r="D2060" s="208" t="s">
        <v>2193</v>
      </c>
      <c r="E2060" s="209">
        <v>6.26</v>
      </c>
      <c r="F2060" s="209">
        <v>0</v>
      </c>
      <c r="G2060" s="209">
        <v>6.26</v>
      </c>
      <c r="H2060" s="198"/>
    </row>
    <row r="2061" spans="1:8" ht="15.75" hidden="1" customHeight="1" x14ac:dyDescent="0.25">
      <c r="A2061" s="205" t="s">
        <v>2191</v>
      </c>
      <c r="B2061" s="206">
        <v>88427</v>
      </c>
      <c r="C2061" s="207" t="s">
        <v>2668</v>
      </c>
      <c r="D2061" s="208" t="s">
        <v>2193</v>
      </c>
      <c r="E2061" s="209">
        <v>0.75</v>
      </c>
      <c r="F2061" s="209">
        <v>0</v>
      </c>
      <c r="G2061" s="209">
        <v>0.75</v>
      </c>
      <c r="H2061" s="198"/>
    </row>
    <row r="2062" spans="1:8" ht="15.75" hidden="1" customHeight="1" x14ac:dyDescent="0.25">
      <c r="A2062" s="205" t="s">
        <v>2191</v>
      </c>
      <c r="B2062" s="206">
        <v>88434</v>
      </c>
      <c r="C2062" s="207" t="s">
        <v>2669</v>
      </c>
      <c r="D2062" s="208" t="s">
        <v>2193</v>
      </c>
      <c r="E2062" s="209">
        <v>6.63</v>
      </c>
      <c r="F2062" s="209">
        <v>0</v>
      </c>
      <c r="G2062" s="209">
        <v>6.63</v>
      </c>
      <c r="H2062" s="198"/>
    </row>
    <row r="2063" spans="1:8" ht="15.75" hidden="1" customHeight="1" x14ac:dyDescent="0.25">
      <c r="A2063" s="205" t="s">
        <v>2191</v>
      </c>
      <c r="B2063" s="206">
        <v>88435</v>
      </c>
      <c r="C2063" s="207" t="s">
        <v>2670</v>
      </c>
      <c r="D2063" s="208" t="s">
        <v>2193</v>
      </c>
      <c r="E2063" s="209">
        <v>1.53</v>
      </c>
      <c r="F2063" s="209">
        <v>0</v>
      </c>
      <c r="G2063" s="209">
        <v>1.53</v>
      </c>
      <c r="H2063" s="198"/>
    </row>
    <row r="2064" spans="1:8" ht="15.75" hidden="1" customHeight="1" x14ac:dyDescent="0.25">
      <c r="A2064" s="205" t="s">
        <v>2191</v>
      </c>
      <c r="B2064" s="206">
        <v>88436</v>
      </c>
      <c r="C2064" s="207" t="s">
        <v>2671</v>
      </c>
      <c r="D2064" s="208" t="s">
        <v>2193</v>
      </c>
      <c r="E2064" s="209">
        <v>8.2899999999999991</v>
      </c>
      <c r="F2064" s="209">
        <v>0</v>
      </c>
      <c r="G2064" s="209">
        <v>8.2899999999999991</v>
      </c>
      <c r="H2064" s="198"/>
    </row>
    <row r="2065" spans="1:8" ht="15.75" hidden="1" customHeight="1" x14ac:dyDescent="0.25">
      <c r="A2065" s="205" t="s">
        <v>2191</v>
      </c>
      <c r="B2065" s="206">
        <v>88437</v>
      </c>
      <c r="C2065" s="207" t="s">
        <v>2672</v>
      </c>
      <c r="D2065" s="208" t="s">
        <v>2193</v>
      </c>
      <c r="E2065" s="209">
        <v>0.75</v>
      </c>
      <c r="F2065" s="209">
        <v>0</v>
      </c>
      <c r="G2065" s="209">
        <v>0.75</v>
      </c>
      <c r="H2065" s="198"/>
    </row>
    <row r="2066" spans="1:8" ht="15.75" hidden="1" customHeight="1" x14ac:dyDescent="0.25">
      <c r="A2066" s="205" t="s">
        <v>2191</v>
      </c>
      <c r="B2066" s="206">
        <v>90664</v>
      </c>
      <c r="C2066" s="207" t="s">
        <v>2673</v>
      </c>
      <c r="D2066" s="208" t="s">
        <v>2193</v>
      </c>
      <c r="E2066" s="209">
        <v>7.05</v>
      </c>
      <c r="F2066" s="209">
        <v>0</v>
      </c>
      <c r="G2066" s="209">
        <v>7.05</v>
      </c>
      <c r="H2066" s="198"/>
    </row>
    <row r="2067" spans="1:8" ht="15.75" hidden="1" customHeight="1" x14ac:dyDescent="0.25">
      <c r="A2067" s="205" t="s">
        <v>2191</v>
      </c>
      <c r="B2067" s="206">
        <v>90665</v>
      </c>
      <c r="C2067" s="207" t="s">
        <v>2674</v>
      </c>
      <c r="D2067" s="208" t="s">
        <v>2193</v>
      </c>
      <c r="E2067" s="209">
        <v>1.88</v>
      </c>
      <c r="F2067" s="209">
        <v>0</v>
      </c>
      <c r="G2067" s="209">
        <v>1.88</v>
      </c>
      <c r="H2067" s="198"/>
    </row>
    <row r="2068" spans="1:8" ht="15.75" hidden="1" customHeight="1" x14ac:dyDescent="0.25">
      <c r="A2068" s="205" t="s">
        <v>2191</v>
      </c>
      <c r="B2068" s="206">
        <v>90666</v>
      </c>
      <c r="C2068" s="207" t="s">
        <v>2675</v>
      </c>
      <c r="D2068" s="208" t="s">
        <v>2193</v>
      </c>
      <c r="E2068" s="209">
        <v>8.82</v>
      </c>
      <c r="F2068" s="209">
        <v>0</v>
      </c>
      <c r="G2068" s="209">
        <v>8.82</v>
      </c>
      <c r="H2068" s="198"/>
    </row>
    <row r="2069" spans="1:8" ht="15.75" hidden="1" customHeight="1" x14ac:dyDescent="0.25">
      <c r="A2069" s="205" t="s">
        <v>2191</v>
      </c>
      <c r="B2069" s="206">
        <v>90667</v>
      </c>
      <c r="C2069" s="207" t="s">
        <v>2676</v>
      </c>
      <c r="D2069" s="208" t="s">
        <v>2193</v>
      </c>
      <c r="E2069" s="209">
        <v>15.82</v>
      </c>
      <c r="F2069" s="209">
        <v>0</v>
      </c>
      <c r="G2069" s="209">
        <v>15.82</v>
      </c>
      <c r="H2069" s="198"/>
    </row>
    <row r="2070" spans="1:8" ht="15.75" hidden="1" customHeight="1" x14ac:dyDescent="0.25">
      <c r="A2070" s="205" t="s">
        <v>2191</v>
      </c>
      <c r="B2070" s="206">
        <v>95217</v>
      </c>
      <c r="C2070" s="207" t="s">
        <v>2677</v>
      </c>
      <c r="D2070" s="208" t="s">
        <v>2193</v>
      </c>
      <c r="E2070" s="209">
        <v>0.44</v>
      </c>
      <c r="F2070" s="209">
        <v>0</v>
      </c>
      <c r="G2070" s="209">
        <v>0.44</v>
      </c>
      <c r="H2070" s="198"/>
    </row>
    <row r="2071" spans="1:8" ht="15.75" hidden="1" customHeight="1" x14ac:dyDescent="0.25">
      <c r="A2071" s="205" t="s">
        <v>2191</v>
      </c>
      <c r="B2071" s="206">
        <v>89130</v>
      </c>
      <c r="C2071" s="207" t="s">
        <v>2678</v>
      </c>
      <c r="D2071" s="208" t="s">
        <v>2193</v>
      </c>
      <c r="E2071" s="209">
        <v>63.71</v>
      </c>
      <c r="F2071" s="209">
        <v>0</v>
      </c>
      <c r="G2071" s="209">
        <v>63.71</v>
      </c>
      <c r="H2071" s="198"/>
    </row>
    <row r="2072" spans="1:8" ht="15.75" hidden="1" customHeight="1" x14ac:dyDescent="0.25">
      <c r="A2072" s="205" t="s">
        <v>2191</v>
      </c>
      <c r="B2072" s="206">
        <v>89131</v>
      </c>
      <c r="C2072" s="207" t="s">
        <v>2679</v>
      </c>
      <c r="D2072" s="208" t="s">
        <v>2193</v>
      </c>
      <c r="E2072" s="209">
        <v>16.829999999999998</v>
      </c>
      <c r="F2072" s="209">
        <v>0</v>
      </c>
      <c r="G2072" s="209">
        <v>16.829999999999998</v>
      </c>
      <c r="H2072" s="198"/>
    </row>
    <row r="2073" spans="1:8" ht="15.75" hidden="1" customHeight="1" x14ac:dyDescent="0.25">
      <c r="A2073" s="205" t="s">
        <v>2191</v>
      </c>
      <c r="B2073" s="206">
        <v>53861</v>
      </c>
      <c r="C2073" s="207" t="s">
        <v>2680</v>
      </c>
      <c r="D2073" s="208" t="s">
        <v>2193</v>
      </c>
      <c r="E2073" s="209">
        <v>79.64</v>
      </c>
      <c r="F2073" s="209">
        <v>0</v>
      </c>
      <c r="G2073" s="209">
        <v>79.64</v>
      </c>
      <c r="H2073" s="198"/>
    </row>
    <row r="2074" spans="1:8" ht="15.75" hidden="1" customHeight="1" x14ac:dyDescent="0.25">
      <c r="A2074" s="205" t="s">
        <v>2191</v>
      </c>
      <c r="B2074" s="206">
        <v>5787</v>
      </c>
      <c r="C2074" s="207" t="s">
        <v>2681</v>
      </c>
      <c r="D2074" s="208" t="s">
        <v>2193</v>
      </c>
      <c r="E2074" s="209">
        <v>74.44</v>
      </c>
      <c r="F2074" s="209">
        <v>0</v>
      </c>
      <c r="G2074" s="209">
        <v>74.44</v>
      </c>
      <c r="H2074" s="198"/>
    </row>
    <row r="2075" spans="1:8" ht="15.75" hidden="1" customHeight="1" x14ac:dyDescent="0.25">
      <c r="A2075" s="205" t="s">
        <v>2191</v>
      </c>
      <c r="B2075" s="206">
        <v>89128</v>
      </c>
      <c r="C2075" s="207" t="s">
        <v>2682</v>
      </c>
      <c r="D2075" s="208" t="s">
        <v>2193</v>
      </c>
      <c r="E2075" s="209">
        <v>45.94</v>
      </c>
      <c r="F2075" s="209">
        <v>0</v>
      </c>
      <c r="G2075" s="209">
        <v>45.94</v>
      </c>
      <c r="H2075" s="198"/>
    </row>
    <row r="2076" spans="1:8" ht="15.75" hidden="1" customHeight="1" x14ac:dyDescent="0.25">
      <c r="A2076" s="205" t="s">
        <v>2191</v>
      </c>
      <c r="B2076" s="206">
        <v>89129</v>
      </c>
      <c r="C2076" s="207" t="s">
        <v>2683</v>
      </c>
      <c r="D2076" s="208" t="s">
        <v>2193</v>
      </c>
      <c r="E2076" s="209">
        <v>12.14</v>
      </c>
      <c r="F2076" s="209">
        <v>0</v>
      </c>
      <c r="G2076" s="209">
        <v>12.14</v>
      </c>
      <c r="H2076" s="198"/>
    </row>
    <row r="2077" spans="1:8" ht="15.75" hidden="1" customHeight="1" x14ac:dyDescent="0.25">
      <c r="A2077" s="205" t="s">
        <v>2191</v>
      </c>
      <c r="B2077" s="206">
        <v>53857</v>
      </c>
      <c r="C2077" s="207" t="s">
        <v>2684</v>
      </c>
      <c r="D2077" s="208" t="s">
        <v>2193</v>
      </c>
      <c r="E2077" s="209">
        <v>57.43</v>
      </c>
      <c r="F2077" s="209">
        <v>0</v>
      </c>
      <c r="G2077" s="209">
        <v>57.43</v>
      </c>
      <c r="H2077" s="198"/>
    </row>
    <row r="2078" spans="1:8" ht="15.75" hidden="1" customHeight="1" x14ac:dyDescent="0.25">
      <c r="A2078" s="205" t="s">
        <v>2191</v>
      </c>
      <c r="B2078" s="206">
        <v>53858</v>
      </c>
      <c r="C2078" s="207" t="s">
        <v>2685</v>
      </c>
      <c r="D2078" s="208" t="s">
        <v>2193</v>
      </c>
      <c r="E2078" s="209">
        <v>48.36</v>
      </c>
      <c r="F2078" s="209">
        <v>0</v>
      </c>
      <c r="G2078" s="209">
        <v>48.36</v>
      </c>
      <c r="H2078" s="198"/>
    </row>
    <row r="2079" spans="1:8" ht="15.75" hidden="1" customHeight="1" x14ac:dyDescent="0.25">
      <c r="A2079" s="205" t="s">
        <v>2191</v>
      </c>
      <c r="B2079" s="206">
        <v>102891</v>
      </c>
      <c r="C2079" s="207" t="s">
        <v>2686</v>
      </c>
      <c r="D2079" s="208" t="s">
        <v>2193</v>
      </c>
      <c r="E2079" s="209">
        <v>0.9</v>
      </c>
      <c r="F2079" s="209">
        <v>0</v>
      </c>
      <c r="G2079" s="209">
        <v>0.9</v>
      </c>
      <c r="H2079" s="198"/>
    </row>
    <row r="2080" spans="1:8" ht="15.75" hidden="1" customHeight="1" x14ac:dyDescent="0.25">
      <c r="A2080" s="205" t="s">
        <v>2191</v>
      </c>
      <c r="B2080" s="206">
        <v>89246</v>
      </c>
      <c r="C2080" s="207" t="s">
        <v>2687</v>
      </c>
      <c r="D2080" s="208" t="s">
        <v>2193</v>
      </c>
      <c r="E2080" s="209">
        <v>234.09</v>
      </c>
      <c r="F2080" s="209">
        <v>0</v>
      </c>
      <c r="G2080" s="209">
        <v>234.09</v>
      </c>
      <c r="H2080" s="198"/>
    </row>
    <row r="2081" spans="1:8" ht="15.75" hidden="1" customHeight="1" x14ac:dyDescent="0.25">
      <c r="A2081" s="205" t="s">
        <v>2191</v>
      </c>
      <c r="B2081" s="206">
        <v>89247</v>
      </c>
      <c r="C2081" s="207" t="s">
        <v>2688</v>
      </c>
      <c r="D2081" s="208" t="s">
        <v>2193</v>
      </c>
      <c r="E2081" s="209">
        <v>71.680000000000007</v>
      </c>
      <c r="F2081" s="209">
        <v>0</v>
      </c>
      <c r="G2081" s="209">
        <v>71.680000000000007</v>
      </c>
      <c r="H2081" s="198"/>
    </row>
    <row r="2082" spans="1:8" ht="15.75" hidden="1" customHeight="1" x14ac:dyDescent="0.25">
      <c r="A2082" s="205" t="s">
        <v>2191</v>
      </c>
      <c r="B2082" s="206">
        <v>89248</v>
      </c>
      <c r="C2082" s="207" t="s">
        <v>2689</v>
      </c>
      <c r="D2082" s="208" t="s">
        <v>2193</v>
      </c>
      <c r="E2082" s="209">
        <v>417.55</v>
      </c>
      <c r="F2082" s="209">
        <v>0</v>
      </c>
      <c r="G2082" s="209">
        <v>417.55</v>
      </c>
      <c r="H2082" s="198"/>
    </row>
    <row r="2083" spans="1:8" ht="15.75" hidden="1" customHeight="1" x14ac:dyDescent="0.25">
      <c r="A2083" s="205" t="s">
        <v>2191</v>
      </c>
      <c r="B2083" s="206">
        <v>89249</v>
      </c>
      <c r="C2083" s="207" t="s">
        <v>2690</v>
      </c>
      <c r="D2083" s="208" t="s">
        <v>2193</v>
      </c>
      <c r="E2083" s="209">
        <v>398.53</v>
      </c>
      <c r="F2083" s="209">
        <v>0</v>
      </c>
      <c r="G2083" s="209">
        <v>398.53</v>
      </c>
      <c r="H2083" s="198"/>
    </row>
    <row r="2084" spans="1:8" ht="15.75" hidden="1" customHeight="1" x14ac:dyDescent="0.25">
      <c r="A2084" s="205" t="s">
        <v>2191</v>
      </c>
      <c r="B2084" s="206">
        <v>102957</v>
      </c>
      <c r="C2084" s="207" t="s">
        <v>2691</v>
      </c>
      <c r="D2084" s="208" t="s">
        <v>2193</v>
      </c>
      <c r="E2084" s="209">
        <v>41.58</v>
      </c>
      <c r="F2084" s="209">
        <v>0</v>
      </c>
      <c r="G2084" s="209">
        <v>41.58</v>
      </c>
      <c r="H2084" s="198"/>
    </row>
    <row r="2085" spans="1:8" ht="15.75" hidden="1" customHeight="1" x14ac:dyDescent="0.25">
      <c r="A2085" s="205" t="s">
        <v>2191</v>
      </c>
      <c r="B2085" s="206">
        <v>88859</v>
      </c>
      <c r="C2085" s="207" t="s">
        <v>2692</v>
      </c>
      <c r="D2085" s="208" t="s">
        <v>2193</v>
      </c>
      <c r="E2085" s="209">
        <v>26.27</v>
      </c>
      <c r="F2085" s="209">
        <v>0</v>
      </c>
      <c r="G2085" s="209">
        <v>26.27</v>
      </c>
      <c r="H2085" s="198"/>
    </row>
    <row r="2086" spans="1:8" ht="15.75" hidden="1" customHeight="1" x14ac:dyDescent="0.25">
      <c r="A2086" s="205" t="s">
        <v>2191</v>
      </c>
      <c r="B2086" s="206">
        <v>88860</v>
      </c>
      <c r="C2086" s="207" t="s">
        <v>2693</v>
      </c>
      <c r="D2086" s="208" t="s">
        <v>2193</v>
      </c>
      <c r="E2086" s="209">
        <v>6.94</v>
      </c>
      <c r="F2086" s="209">
        <v>0</v>
      </c>
      <c r="G2086" s="209">
        <v>6.94</v>
      </c>
      <c r="H2086" s="198"/>
    </row>
    <row r="2087" spans="1:8" ht="15.75" hidden="1" customHeight="1" x14ac:dyDescent="0.25">
      <c r="A2087" s="205" t="s">
        <v>2191</v>
      </c>
      <c r="B2087" s="206">
        <v>5667</v>
      </c>
      <c r="C2087" s="207" t="s">
        <v>2694</v>
      </c>
      <c r="D2087" s="208" t="s">
        <v>2193</v>
      </c>
      <c r="E2087" s="209">
        <v>32.840000000000003</v>
      </c>
      <c r="F2087" s="209">
        <v>0</v>
      </c>
      <c r="G2087" s="209">
        <v>32.840000000000003</v>
      </c>
      <c r="H2087" s="198"/>
    </row>
    <row r="2088" spans="1:8" ht="15.75" hidden="1" customHeight="1" x14ac:dyDescent="0.25">
      <c r="A2088" s="205" t="s">
        <v>2191</v>
      </c>
      <c r="B2088" s="206">
        <v>5668</v>
      </c>
      <c r="C2088" s="207" t="s">
        <v>2695</v>
      </c>
      <c r="D2088" s="208" t="s">
        <v>2193</v>
      </c>
      <c r="E2088" s="209">
        <v>48.48</v>
      </c>
      <c r="F2088" s="209">
        <v>0</v>
      </c>
      <c r="G2088" s="209">
        <v>48.48</v>
      </c>
      <c r="H2088" s="198"/>
    </row>
    <row r="2089" spans="1:8" ht="15.75" hidden="1" customHeight="1" x14ac:dyDescent="0.25">
      <c r="A2089" s="205" t="s">
        <v>2191</v>
      </c>
      <c r="B2089" s="206">
        <v>89011</v>
      </c>
      <c r="C2089" s="207" t="s">
        <v>2696</v>
      </c>
      <c r="D2089" s="208" t="s">
        <v>2193</v>
      </c>
      <c r="E2089" s="209">
        <v>28.5</v>
      </c>
      <c r="F2089" s="209">
        <v>0</v>
      </c>
      <c r="G2089" s="209">
        <v>28.5</v>
      </c>
      <c r="H2089" s="198"/>
    </row>
    <row r="2090" spans="1:8" ht="15.75" hidden="1" customHeight="1" x14ac:dyDescent="0.25">
      <c r="A2090" s="205" t="s">
        <v>2191</v>
      </c>
      <c r="B2090" s="206">
        <v>89012</v>
      </c>
      <c r="C2090" s="207" t="s">
        <v>2697</v>
      </c>
      <c r="D2090" s="208" t="s">
        <v>2193</v>
      </c>
      <c r="E2090" s="209">
        <v>7.53</v>
      </c>
      <c r="F2090" s="209">
        <v>0</v>
      </c>
      <c r="G2090" s="209">
        <v>7.53</v>
      </c>
      <c r="H2090" s="198"/>
    </row>
    <row r="2091" spans="1:8" ht="15.75" hidden="1" customHeight="1" x14ac:dyDescent="0.25">
      <c r="A2091" s="205" t="s">
        <v>2191</v>
      </c>
      <c r="B2091" s="206">
        <v>5735</v>
      </c>
      <c r="C2091" s="207" t="s">
        <v>2698</v>
      </c>
      <c r="D2091" s="208" t="s">
        <v>2193</v>
      </c>
      <c r="E2091" s="209">
        <v>35.630000000000003</v>
      </c>
      <c r="F2091" s="209">
        <v>0</v>
      </c>
      <c r="G2091" s="209">
        <v>35.630000000000003</v>
      </c>
      <c r="H2091" s="198"/>
    </row>
    <row r="2092" spans="1:8" ht="15.75" hidden="1" customHeight="1" x14ac:dyDescent="0.25">
      <c r="A2092" s="205" t="s">
        <v>2191</v>
      </c>
      <c r="B2092" s="206">
        <v>5736</v>
      </c>
      <c r="C2092" s="207" t="s">
        <v>2699</v>
      </c>
      <c r="D2092" s="208" t="s">
        <v>2193</v>
      </c>
      <c r="E2092" s="209">
        <v>44.18</v>
      </c>
      <c r="F2092" s="209">
        <v>0</v>
      </c>
      <c r="G2092" s="209">
        <v>44.18</v>
      </c>
      <c r="H2092" s="198"/>
    </row>
    <row r="2093" spans="1:8" ht="15.75" hidden="1" customHeight="1" x14ac:dyDescent="0.25">
      <c r="A2093" s="205" t="s">
        <v>2191</v>
      </c>
      <c r="B2093" s="206">
        <v>88857</v>
      </c>
      <c r="C2093" s="207" t="s">
        <v>2700</v>
      </c>
      <c r="D2093" s="208" t="s">
        <v>2193</v>
      </c>
      <c r="E2093" s="209">
        <v>29.54</v>
      </c>
      <c r="F2093" s="209">
        <v>0</v>
      </c>
      <c r="G2093" s="209">
        <v>29.54</v>
      </c>
      <c r="H2093" s="198"/>
    </row>
    <row r="2094" spans="1:8" ht="15.75" hidden="1" customHeight="1" x14ac:dyDescent="0.25">
      <c r="A2094" s="205" t="s">
        <v>2191</v>
      </c>
      <c r="B2094" s="206">
        <v>88858</v>
      </c>
      <c r="C2094" s="207" t="s">
        <v>2701</v>
      </c>
      <c r="D2094" s="208" t="s">
        <v>2193</v>
      </c>
      <c r="E2094" s="209">
        <v>7.8</v>
      </c>
      <c r="F2094" s="209">
        <v>0</v>
      </c>
      <c r="G2094" s="209">
        <v>7.8</v>
      </c>
      <c r="H2094" s="198"/>
    </row>
    <row r="2095" spans="1:8" ht="15.75" hidden="1" customHeight="1" x14ac:dyDescent="0.25">
      <c r="A2095" s="205" t="s">
        <v>2191</v>
      </c>
      <c r="B2095" s="206">
        <v>5664</v>
      </c>
      <c r="C2095" s="207" t="s">
        <v>2702</v>
      </c>
      <c r="D2095" s="208" t="s">
        <v>2193</v>
      </c>
      <c r="E2095" s="209">
        <v>36.93</v>
      </c>
      <c r="F2095" s="209">
        <v>0</v>
      </c>
      <c r="G2095" s="209">
        <v>36.93</v>
      </c>
      <c r="H2095" s="198"/>
    </row>
    <row r="2096" spans="1:8" ht="15.75" hidden="1" customHeight="1" x14ac:dyDescent="0.25">
      <c r="A2096" s="205" t="s">
        <v>2191</v>
      </c>
      <c r="B2096" s="206">
        <v>53786</v>
      </c>
      <c r="C2096" s="207" t="s">
        <v>2703</v>
      </c>
      <c r="D2096" s="208" t="s">
        <v>2193</v>
      </c>
      <c r="E2096" s="209">
        <v>53.99</v>
      </c>
      <c r="F2096" s="209">
        <v>0</v>
      </c>
      <c r="G2096" s="209">
        <v>53.99</v>
      </c>
      <c r="H2096" s="198"/>
    </row>
    <row r="2097" spans="1:8" ht="15.75" hidden="1" customHeight="1" x14ac:dyDescent="0.25">
      <c r="A2097" s="205" t="s">
        <v>2191</v>
      </c>
      <c r="B2097" s="206">
        <v>7038</v>
      </c>
      <c r="C2097" s="207" t="s">
        <v>2704</v>
      </c>
      <c r="D2097" s="208" t="s">
        <v>2193</v>
      </c>
      <c r="E2097" s="209">
        <v>52.82</v>
      </c>
      <c r="F2097" s="209">
        <v>0</v>
      </c>
      <c r="G2097" s="209">
        <v>52.82</v>
      </c>
      <c r="H2097" s="198"/>
    </row>
    <row r="2098" spans="1:8" ht="15.75" hidden="1" customHeight="1" x14ac:dyDescent="0.25">
      <c r="A2098" s="205" t="s">
        <v>2191</v>
      </c>
      <c r="B2098" s="206">
        <v>7039</v>
      </c>
      <c r="C2098" s="207" t="s">
        <v>2705</v>
      </c>
      <c r="D2098" s="208" t="s">
        <v>2193</v>
      </c>
      <c r="E2098" s="209">
        <v>14.17</v>
      </c>
      <c r="F2098" s="209">
        <v>0</v>
      </c>
      <c r="G2098" s="209">
        <v>14.17</v>
      </c>
      <c r="H2098" s="198"/>
    </row>
    <row r="2099" spans="1:8" ht="15.75" hidden="1" customHeight="1" x14ac:dyDescent="0.25">
      <c r="A2099" s="205" t="s">
        <v>2191</v>
      </c>
      <c r="B2099" s="206">
        <v>7040</v>
      </c>
      <c r="C2099" s="207" t="s">
        <v>2706</v>
      </c>
      <c r="D2099" s="208" t="s">
        <v>2193</v>
      </c>
      <c r="E2099" s="209">
        <v>66.09</v>
      </c>
      <c r="F2099" s="209">
        <v>0</v>
      </c>
      <c r="G2099" s="209">
        <v>66.09</v>
      </c>
      <c r="H2099" s="198"/>
    </row>
    <row r="2100" spans="1:8" ht="15.75" hidden="1" customHeight="1" x14ac:dyDescent="0.25">
      <c r="A2100" s="205" t="s">
        <v>2191</v>
      </c>
      <c r="B2100" s="206">
        <v>55263</v>
      </c>
      <c r="C2100" s="207" t="s">
        <v>2707</v>
      </c>
      <c r="D2100" s="208" t="s">
        <v>2193</v>
      </c>
      <c r="E2100" s="209">
        <v>68.17</v>
      </c>
      <c r="F2100" s="209">
        <v>0</v>
      </c>
      <c r="G2100" s="209">
        <v>68.17</v>
      </c>
      <c r="H2100" s="198"/>
    </row>
    <row r="2101" spans="1:8" ht="15.75" hidden="1" customHeight="1" x14ac:dyDescent="0.25">
      <c r="A2101" s="205" t="s">
        <v>2191</v>
      </c>
      <c r="B2101" s="206">
        <v>96460</v>
      </c>
      <c r="C2101" s="207" t="s">
        <v>2708</v>
      </c>
      <c r="D2101" s="208" t="s">
        <v>2193</v>
      </c>
      <c r="E2101" s="209">
        <v>56.06</v>
      </c>
      <c r="F2101" s="209">
        <v>0</v>
      </c>
      <c r="G2101" s="209">
        <v>56.06</v>
      </c>
      <c r="H2101" s="198"/>
    </row>
    <row r="2102" spans="1:8" ht="15.75" hidden="1" customHeight="1" x14ac:dyDescent="0.25">
      <c r="A2102" s="205" t="s">
        <v>2191</v>
      </c>
      <c r="B2102" s="206">
        <v>96459</v>
      </c>
      <c r="C2102" s="207" t="s">
        <v>2709</v>
      </c>
      <c r="D2102" s="208" t="s">
        <v>2193</v>
      </c>
      <c r="E2102" s="209">
        <v>15.04</v>
      </c>
      <c r="F2102" s="209">
        <v>0</v>
      </c>
      <c r="G2102" s="209">
        <v>15.04</v>
      </c>
      <c r="H2102" s="198"/>
    </row>
    <row r="2103" spans="1:8" ht="15.75" hidden="1" customHeight="1" x14ac:dyDescent="0.25">
      <c r="A2103" s="205" t="s">
        <v>2191</v>
      </c>
      <c r="B2103" s="206">
        <v>96458</v>
      </c>
      <c r="C2103" s="207" t="s">
        <v>2710</v>
      </c>
      <c r="D2103" s="208" t="s">
        <v>2193</v>
      </c>
      <c r="E2103" s="209">
        <v>70.16</v>
      </c>
      <c r="F2103" s="209">
        <v>0</v>
      </c>
      <c r="G2103" s="209">
        <v>70.16</v>
      </c>
      <c r="H2103" s="198"/>
    </row>
    <row r="2104" spans="1:8" ht="15.75" hidden="1" customHeight="1" x14ac:dyDescent="0.25">
      <c r="A2104" s="205" t="s">
        <v>2191</v>
      </c>
      <c r="B2104" s="206">
        <v>96457</v>
      </c>
      <c r="C2104" s="207" t="s">
        <v>2711</v>
      </c>
      <c r="D2104" s="208" t="s">
        <v>2193</v>
      </c>
      <c r="E2104" s="209">
        <v>67.540000000000006</v>
      </c>
      <c r="F2104" s="209">
        <v>0</v>
      </c>
      <c r="G2104" s="209">
        <v>67.540000000000006</v>
      </c>
      <c r="H2104" s="198"/>
    </row>
    <row r="2105" spans="1:8" ht="15.75" hidden="1" customHeight="1" x14ac:dyDescent="0.25">
      <c r="A2105" s="205" t="s">
        <v>2191</v>
      </c>
      <c r="B2105" s="206">
        <v>7051</v>
      </c>
      <c r="C2105" s="207" t="s">
        <v>2712</v>
      </c>
      <c r="D2105" s="208" t="s">
        <v>2193</v>
      </c>
      <c r="E2105" s="209">
        <v>46.85</v>
      </c>
      <c r="F2105" s="209">
        <v>0</v>
      </c>
      <c r="G2105" s="209">
        <v>46.85</v>
      </c>
      <c r="H2105" s="198"/>
    </row>
    <row r="2106" spans="1:8" ht="15.75" hidden="1" customHeight="1" x14ac:dyDescent="0.25">
      <c r="A2106" s="205" t="s">
        <v>2191</v>
      </c>
      <c r="B2106" s="206">
        <v>7052</v>
      </c>
      <c r="C2106" s="207" t="s">
        <v>2713</v>
      </c>
      <c r="D2106" s="208" t="s">
        <v>2193</v>
      </c>
      <c r="E2106" s="209">
        <v>12.65</v>
      </c>
      <c r="F2106" s="209">
        <v>0</v>
      </c>
      <c r="G2106" s="209">
        <v>12.65</v>
      </c>
      <c r="H2106" s="198"/>
    </row>
    <row r="2107" spans="1:8" ht="15.75" hidden="1" customHeight="1" x14ac:dyDescent="0.25">
      <c r="A2107" s="205" t="s">
        <v>2191</v>
      </c>
      <c r="B2107" s="206">
        <v>7053</v>
      </c>
      <c r="C2107" s="207" t="s">
        <v>2714</v>
      </c>
      <c r="D2107" s="208" t="s">
        <v>2193</v>
      </c>
      <c r="E2107" s="209">
        <v>58.62</v>
      </c>
      <c r="F2107" s="209">
        <v>0</v>
      </c>
      <c r="G2107" s="209">
        <v>58.62</v>
      </c>
      <c r="H2107" s="198"/>
    </row>
    <row r="2108" spans="1:8" ht="15.75" hidden="1" customHeight="1" x14ac:dyDescent="0.25">
      <c r="A2108" s="205" t="s">
        <v>2191</v>
      </c>
      <c r="B2108" s="206">
        <v>7054</v>
      </c>
      <c r="C2108" s="207" t="s">
        <v>2715</v>
      </c>
      <c r="D2108" s="208" t="s">
        <v>2193</v>
      </c>
      <c r="E2108" s="209">
        <v>94.44</v>
      </c>
      <c r="F2108" s="209">
        <v>0</v>
      </c>
      <c r="G2108" s="209">
        <v>94.44</v>
      </c>
      <c r="H2108" s="198"/>
    </row>
    <row r="2109" spans="1:8" ht="15.75" hidden="1" customHeight="1" x14ac:dyDescent="0.25">
      <c r="A2109" s="205" t="s">
        <v>2191</v>
      </c>
      <c r="B2109" s="206">
        <v>95627</v>
      </c>
      <c r="C2109" s="207" t="s">
        <v>2716</v>
      </c>
      <c r="D2109" s="208" t="s">
        <v>2193</v>
      </c>
      <c r="E2109" s="209">
        <v>50.55</v>
      </c>
      <c r="F2109" s="209">
        <v>0</v>
      </c>
      <c r="G2109" s="209">
        <v>50.55</v>
      </c>
      <c r="H2109" s="198"/>
    </row>
    <row r="2110" spans="1:8" ht="15.75" hidden="1" customHeight="1" x14ac:dyDescent="0.25">
      <c r="A2110" s="205" t="s">
        <v>2191</v>
      </c>
      <c r="B2110" s="206">
        <v>95628</v>
      </c>
      <c r="C2110" s="207" t="s">
        <v>2717</v>
      </c>
      <c r="D2110" s="208" t="s">
        <v>2193</v>
      </c>
      <c r="E2110" s="209">
        <v>13.56</v>
      </c>
      <c r="F2110" s="209">
        <v>0</v>
      </c>
      <c r="G2110" s="209">
        <v>13.56</v>
      </c>
      <c r="H2110" s="198"/>
    </row>
    <row r="2111" spans="1:8" ht="15.75" hidden="1" customHeight="1" x14ac:dyDescent="0.25">
      <c r="A2111" s="205" t="s">
        <v>2191</v>
      </c>
      <c r="B2111" s="206">
        <v>95629</v>
      </c>
      <c r="C2111" s="207" t="s">
        <v>2718</v>
      </c>
      <c r="D2111" s="208" t="s">
        <v>2193</v>
      </c>
      <c r="E2111" s="209">
        <v>63.26</v>
      </c>
      <c r="F2111" s="209">
        <v>0</v>
      </c>
      <c r="G2111" s="209">
        <v>63.26</v>
      </c>
      <c r="H2111" s="198"/>
    </row>
    <row r="2112" spans="1:8" ht="15.75" hidden="1" customHeight="1" x14ac:dyDescent="0.25">
      <c r="A2112" s="205" t="s">
        <v>2191</v>
      </c>
      <c r="B2112" s="206">
        <v>95630</v>
      </c>
      <c r="C2112" s="207" t="s">
        <v>2719</v>
      </c>
      <c r="D2112" s="208" t="s">
        <v>2193</v>
      </c>
      <c r="E2112" s="209">
        <v>94.44</v>
      </c>
      <c r="F2112" s="209">
        <v>0</v>
      </c>
      <c r="G2112" s="209">
        <v>94.44</v>
      </c>
      <c r="H2112" s="198"/>
    </row>
    <row r="2113" spans="1:8" ht="15.75" hidden="1" customHeight="1" x14ac:dyDescent="0.25">
      <c r="A2113" s="205" t="s">
        <v>2191</v>
      </c>
      <c r="B2113" s="206">
        <v>89210</v>
      </c>
      <c r="C2113" s="207" t="s">
        <v>2720</v>
      </c>
      <c r="D2113" s="208" t="s">
        <v>2193</v>
      </c>
      <c r="E2113" s="209">
        <v>33.79</v>
      </c>
      <c r="F2113" s="209">
        <v>0</v>
      </c>
      <c r="G2113" s="209">
        <v>33.79</v>
      </c>
      <c r="H2113" s="198"/>
    </row>
    <row r="2114" spans="1:8" ht="15.75" hidden="1" customHeight="1" x14ac:dyDescent="0.25">
      <c r="A2114" s="205" t="s">
        <v>2191</v>
      </c>
      <c r="B2114" s="206">
        <v>89211</v>
      </c>
      <c r="C2114" s="207" t="s">
        <v>2721</v>
      </c>
      <c r="D2114" s="208" t="s">
        <v>2193</v>
      </c>
      <c r="E2114" s="209">
        <v>9.06</v>
      </c>
      <c r="F2114" s="209">
        <v>0</v>
      </c>
      <c r="G2114" s="209">
        <v>9.06</v>
      </c>
      <c r="H2114" s="198"/>
    </row>
    <row r="2115" spans="1:8" ht="15.75" hidden="1" customHeight="1" x14ac:dyDescent="0.25">
      <c r="A2115" s="205" t="s">
        <v>2191</v>
      </c>
      <c r="B2115" s="206">
        <v>5674</v>
      </c>
      <c r="C2115" s="207" t="s">
        <v>2722</v>
      </c>
      <c r="D2115" s="208" t="s">
        <v>2193</v>
      </c>
      <c r="E2115" s="209">
        <v>42.29</v>
      </c>
      <c r="F2115" s="209">
        <v>0</v>
      </c>
      <c r="G2115" s="209">
        <v>42.29</v>
      </c>
      <c r="H2115" s="198"/>
    </row>
    <row r="2116" spans="1:8" ht="15.75" hidden="1" customHeight="1" x14ac:dyDescent="0.25">
      <c r="A2116" s="205" t="s">
        <v>2191</v>
      </c>
      <c r="B2116" s="206">
        <v>53788</v>
      </c>
      <c r="C2116" s="207" t="s">
        <v>2723</v>
      </c>
      <c r="D2116" s="208" t="s">
        <v>2193</v>
      </c>
      <c r="E2116" s="209">
        <v>60.45</v>
      </c>
      <c r="F2116" s="209">
        <v>0</v>
      </c>
      <c r="G2116" s="209">
        <v>60.45</v>
      </c>
      <c r="H2116" s="198"/>
    </row>
    <row r="2117" spans="1:8" ht="15.75" hidden="1" customHeight="1" x14ac:dyDescent="0.25">
      <c r="A2117" s="205" t="s">
        <v>2191</v>
      </c>
      <c r="B2117" s="206">
        <v>73309</v>
      </c>
      <c r="C2117" s="207" t="s">
        <v>2724</v>
      </c>
      <c r="D2117" s="208" t="s">
        <v>2193</v>
      </c>
      <c r="E2117" s="209">
        <v>35.130000000000003</v>
      </c>
      <c r="F2117" s="209">
        <v>0</v>
      </c>
      <c r="G2117" s="209">
        <v>35.130000000000003</v>
      </c>
      <c r="H2117" s="198"/>
    </row>
    <row r="2118" spans="1:8" ht="15.75" hidden="1" customHeight="1" x14ac:dyDescent="0.25">
      <c r="A2118" s="205" t="s">
        <v>2191</v>
      </c>
      <c r="B2118" s="206">
        <v>73313</v>
      </c>
      <c r="C2118" s="207" t="s">
        <v>2725</v>
      </c>
      <c r="D2118" s="208" t="s">
        <v>2193</v>
      </c>
      <c r="E2118" s="209">
        <v>9.49</v>
      </c>
      <c r="F2118" s="209">
        <v>0</v>
      </c>
      <c r="G2118" s="209">
        <v>9.49</v>
      </c>
      <c r="H2118" s="198"/>
    </row>
    <row r="2119" spans="1:8" ht="15.75" hidden="1" customHeight="1" x14ac:dyDescent="0.25">
      <c r="A2119" s="205" t="s">
        <v>2191</v>
      </c>
      <c r="B2119" s="206">
        <v>5089</v>
      </c>
      <c r="C2119" s="207" t="s">
        <v>2726</v>
      </c>
      <c r="D2119" s="208" t="s">
        <v>2193</v>
      </c>
      <c r="E2119" s="209">
        <v>43.97</v>
      </c>
      <c r="F2119" s="209">
        <v>0</v>
      </c>
      <c r="G2119" s="209">
        <v>43.97</v>
      </c>
      <c r="H2119" s="198"/>
    </row>
    <row r="2120" spans="1:8" ht="15.75" hidden="1" customHeight="1" x14ac:dyDescent="0.25">
      <c r="A2120" s="205" t="s">
        <v>2191</v>
      </c>
      <c r="B2120" s="206">
        <v>73315</v>
      </c>
      <c r="C2120" s="207" t="s">
        <v>2727</v>
      </c>
      <c r="D2120" s="208" t="s">
        <v>2193</v>
      </c>
      <c r="E2120" s="209">
        <v>60.45</v>
      </c>
      <c r="F2120" s="209">
        <v>0</v>
      </c>
      <c r="G2120" s="209">
        <v>60.45</v>
      </c>
      <c r="H2120" s="198"/>
    </row>
    <row r="2121" spans="1:8" ht="15.75" hidden="1" customHeight="1" x14ac:dyDescent="0.25">
      <c r="A2121" s="205" t="s">
        <v>2191</v>
      </c>
      <c r="B2121" s="206">
        <v>5738</v>
      </c>
      <c r="C2121" s="207" t="s">
        <v>2728</v>
      </c>
      <c r="D2121" s="208" t="s">
        <v>2193</v>
      </c>
      <c r="E2121" s="209">
        <v>46.18</v>
      </c>
      <c r="F2121" s="209">
        <v>0</v>
      </c>
      <c r="G2121" s="209">
        <v>46.18</v>
      </c>
      <c r="H2121" s="198"/>
    </row>
    <row r="2122" spans="1:8" ht="15.75" hidden="1" customHeight="1" x14ac:dyDescent="0.25">
      <c r="A2122" s="205" t="s">
        <v>2191</v>
      </c>
      <c r="B2122" s="206">
        <v>93239</v>
      </c>
      <c r="C2122" s="207" t="s">
        <v>2729</v>
      </c>
      <c r="D2122" s="208" t="s">
        <v>2193</v>
      </c>
      <c r="E2122" s="209">
        <v>12.38</v>
      </c>
      <c r="F2122" s="209">
        <v>0</v>
      </c>
      <c r="G2122" s="209">
        <v>12.38</v>
      </c>
      <c r="H2122" s="198"/>
    </row>
    <row r="2123" spans="1:8" ht="15.75" hidden="1" customHeight="1" x14ac:dyDescent="0.25">
      <c r="A2123" s="205" t="s">
        <v>2191</v>
      </c>
      <c r="B2123" s="206">
        <v>5739</v>
      </c>
      <c r="C2123" s="207" t="s">
        <v>2730</v>
      </c>
      <c r="D2123" s="208" t="s">
        <v>2193</v>
      </c>
      <c r="E2123" s="209">
        <v>57.79</v>
      </c>
      <c r="F2123" s="209">
        <v>0</v>
      </c>
      <c r="G2123" s="209">
        <v>57.79</v>
      </c>
      <c r="H2123" s="198"/>
    </row>
    <row r="2124" spans="1:8" ht="15.75" hidden="1" customHeight="1" x14ac:dyDescent="0.25">
      <c r="A2124" s="205" t="s">
        <v>2191</v>
      </c>
      <c r="B2124" s="206">
        <v>93240</v>
      </c>
      <c r="C2124" s="207" t="s">
        <v>2731</v>
      </c>
      <c r="D2124" s="208" t="s">
        <v>2193</v>
      </c>
      <c r="E2124" s="209">
        <v>12.66</v>
      </c>
      <c r="F2124" s="209">
        <v>0</v>
      </c>
      <c r="G2124" s="209">
        <v>12.66</v>
      </c>
      <c r="H2124" s="198"/>
    </row>
    <row r="2125" spans="1:8" ht="15.75" hidden="1" customHeight="1" x14ac:dyDescent="0.25">
      <c r="A2125" s="205" t="s">
        <v>2191</v>
      </c>
      <c r="B2125" s="206">
        <v>53818</v>
      </c>
      <c r="C2125" s="207" t="s">
        <v>2732</v>
      </c>
      <c r="D2125" s="208" t="s">
        <v>2193</v>
      </c>
      <c r="E2125" s="209">
        <v>10.199999999999999</v>
      </c>
      <c r="F2125" s="209">
        <v>0</v>
      </c>
      <c r="G2125" s="209">
        <v>10.199999999999999</v>
      </c>
      <c r="H2125" s="198"/>
    </row>
    <row r="2126" spans="1:8" ht="15.75" hidden="1" customHeight="1" x14ac:dyDescent="0.25">
      <c r="A2126" s="205" t="s">
        <v>2191</v>
      </c>
      <c r="B2126" s="206">
        <v>93238</v>
      </c>
      <c r="C2126" s="207" t="s">
        <v>2733</v>
      </c>
      <c r="D2126" s="208" t="s">
        <v>2193</v>
      </c>
      <c r="E2126" s="209">
        <v>2.73</v>
      </c>
      <c r="F2126" s="209">
        <v>0</v>
      </c>
      <c r="G2126" s="209">
        <v>2.73</v>
      </c>
      <c r="H2126" s="198"/>
    </row>
    <row r="2127" spans="1:8" ht="15.75" hidden="1" customHeight="1" x14ac:dyDescent="0.25">
      <c r="A2127" s="205" t="s">
        <v>2191</v>
      </c>
      <c r="B2127" s="206">
        <v>5727</v>
      </c>
      <c r="C2127" s="207" t="s">
        <v>2734</v>
      </c>
      <c r="D2127" s="208" t="s">
        <v>2193</v>
      </c>
      <c r="E2127" s="209">
        <v>12.76</v>
      </c>
      <c r="F2127" s="209">
        <v>0</v>
      </c>
      <c r="G2127" s="209">
        <v>12.76</v>
      </c>
      <c r="H2127" s="198"/>
    </row>
    <row r="2128" spans="1:8" ht="15.75" hidden="1" customHeight="1" x14ac:dyDescent="0.25">
      <c r="A2128" s="205" t="s">
        <v>2191</v>
      </c>
      <c r="B2128" s="206">
        <v>89280</v>
      </c>
      <c r="C2128" s="207" t="s">
        <v>2735</v>
      </c>
      <c r="D2128" s="208" t="s">
        <v>2193</v>
      </c>
      <c r="E2128" s="209">
        <v>41.5</v>
      </c>
      <c r="F2128" s="209">
        <v>0</v>
      </c>
      <c r="G2128" s="209">
        <v>41.5</v>
      </c>
      <c r="H2128" s="198"/>
    </row>
    <row r="2129" spans="1:8" ht="15.75" hidden="1" customHeight="1" x14ac:dyDescent="0.25">
      <c r="A2129" s="205" t="s">
        <v>2191</v>
      </c>
      <c r="B2129" s="206">
        <v>89281</v>
      </c>
      <c r="C2129" s="207" t="s">
        <v>2736</v>
      </c>
      <c r="D2129" s="208" t="s">
        <v>2193</v>
      </c>
      <c r="E2129" s="209">
        <v>11.13</v>
      </c>
      <c r="F2129" s="209">
        <v>0</v>
      </c>
      <c r="G2129" s="209">
        <v>11.13</v>
      </c>
      <c r="H2129" s="198"/>
    </row>
    <row r="2130" spans="1:8" ht="15.75" hidden="1" customHeight="1" x14ac:dyDescent="0.25">
      <c r="A2130" s="205" t="s">
        <v>2191</v>
      </c>
      <c r="B2130" s="206">
        <v>5729</v>
      </c>
      <c r="C2130" s="207" t="s">
        <v>2737</v>
      </c>
      <c r="D2130" s="208" t="s">
        <v>2193</v>
      </c>
      <c r="E2130" s="209">
        <v>51.93</v>
      </c>
      <c r="F2130" s="209">
        <v>0</v>
      </c>
      <c r="G2130" s="209">
        <v>51.93</v>
      </c>
      <c r="H2130" s="198"/>
    </row>
    <row r="2131" spans="1:8" ht="15.75" hidden="1" customHeight="1" x14ac:dyDescent="0.25">
      <c r="A2131" s="205" t="s">
        <v>2191</v>
      </c>
      <c r="B2131" s="206">
        <v>5730</v>
      </c>
      <c r="C2131" s="207" t="s">
        <v>2738</v>
      </c>
      <c r="D2131" s="208" t="s">
        <v>2193</v>
      </c>
      <c r="E2131" s="209">
        <v>43.23</v>
      </c>
      <c r="F2131" s="209">
        <v>0</v>
      </c>
      <c r="G2131" s="209">
        <v>43.23</v>
      </c>
      <c r="H2131" s="198"/>
    </row>
    <row r="2132" spans="1:8" ht="15.75" hidden="1" customHeight="1" x14ac:dyDescent="0.25">
      <c r="A2132" s="205" t="s">
        <v>2191</v>
      </c>
      <c r="B2132" s="206">
        <v>95266</v>
      </c>
      <c r="C2132" s="207" t="s">
        <v>2739</v>
      </c>
      <c r="D2132" s="208" t="s">
        <v>2193</v>
      </c>
      <c r="E2132" s="209">
        <v>0.56000000000000005</v>
      </c>
      <c r="F2132" s="209">
        <v>0</v>
      </c>
      <c r="G2132" s="209">
        <v>0.56000000000000005</v>
      </c>
      <c r="H2132" s="198"/>
    </row>
    <row r="2133" spans="1:8" ht="15.75" hidden="1" customHeight="1" x14ac:dyDescent="0.25">
      <c r="A2133" s="205" t="s">
        <v>2191</v>
      </c>
      <c r="B2133" s="206">
        <v>95267</v>
      </c>
      <c r="C2133" s="207" t="s">
        <v>2740</v>
      </c>
      <c r="D2133" s="208" t="s">
        <v>2193</v>
      </c>
      <c r="E2133" s="209">
        <v>0.11</v>
      </c>
      <c r="F2133" s="209">
        <v>0</v>
      </c>
      <c r="G2133" s="209">
        <v>0.11</v>
      </c>
      <c r="H2133" s="198"/>
    </row>
    <row r="2134" spans="1:8" ht="15.75" hidden="1" customHeight="1" x14ac:dyDescent="0.25">
      <c r="A2134" s="205" t="s">
        <v>2191</v>
      </c>
      <c r="B2134" s="206">
        <v>95268</v>
      </c>
      <c r="C2134" s="207" t="s">
        <v>2741</v>
      </c>
      <c r="D2134" s="208" t="s">
        <v>2193</v>
      </c>
      <c r="E2134" s="209">
        <v>0.55000000000000004</v>
      </c>
      <c r="F2134" s="209">
        <v>0</v>
      </c>
      <c r="G2134" s="209">
        <v>0.55000000000000004</v>
      </c>
      <c r="H2134" s="198"/>
    </row>
    <row r="2135" spans="1:8" ht="15.75" hidden="1" customHeight="1" x14ac:dyDescent="0.25">
      <c r="A2135" s="205" t="s">
        <v>2191</v>
      </c>
      <c r="B2135" s="206">
        <v>95269</v>
      </c>
      <c r="C2135" s="207" t="s">
        <v>2742</v>
      </c>
      <c r="D2135" s="208" t="s">
        <v>2193</v>
      </c>
      <c r="E2135" s="209">
        <v>9.61</v>
      </c>
      <c r="F2135" s="209">
        <v>0</v>
      </c>
      <c r="G2135" s="209">
        <v>9.61</v>
      </c>
      <c r="H2135" s="198"/>
    </row>
    <row r="2136" spans="1:8" ht="15.75" hidden="1" customHeight="1" x14ac:dyDescent="0.25">
      <c r="A2136" s="205" t="s">
        <v>2191</v>
      </c>
      <c r="B2136" s="206">
        <v>91688</v>
      </c>
      <c r="C2136" s="207" t="s">
        <v>2743</v>
      </c>
      <c r="D2136" s="208" t="s">
        <v>2193</v>
      </c>
      <c r="E2136" s="209">
        <v>0.09</v>
      </c>
      <c r="F2136" s="209">
        <v>0</v>
      </c>
      <c r="G2136" s="209">
        <v>0.09</v>
      </c>
      <c r="H2136" s="198"/>
    </row>
    <row r="2137" spans="1:8" ht="15.75" hidden="1" customHeight="1" x14ac:dyDescent="0.25">
      <c r="A2137" s="205" t="s">
        <v>2191</v>
      </c>
      <c r="B2137" s="206">
        <v>91689</v>
      </c>
      <c r="C2137" s="207" t="s">
        <v>2744</v>
      </c>
      <c r="D2137" s="208" t="s">
        <v>2193</v>
      </c>
      <c r="E2137" s="209">
        <v>0.01</v>
      </c>
      <c r="F2137" s="209">
        <v>0</v>
      </c>
      <c r="G2137" s="209">
        <v>0.01</v>
      </c>
      <c r="H2137" s="198"/>
    </row>
    <row r="2138" spans="1:8" ht="15.75" hidden="1" customHeight="1" x14ac:dyDescent="0.25">
      <c r="A2138" s="205" t="s">
        <v>2191</v>
      </c>
      <c r="B2138" s="206">
        <v>91690</v>
      </c>
      <c r="C2138" s="207" t="s">
        <v>2745</v>
      </c>
      <c r="D2138" s="208" t="s">
        <v>2193</v>
      </c>
      <c r="E2138" s="209">
        <v>0.06</v>
      </c>
      <c r="F2138" s="209">
        <v>0</v>
      </c>
      <c r="G2138" s="209">
        <v>0.06</v>
      </c>
      <c r="H2138" s="198"/>
    </row>
    <row r="2139" spans="1:8" ht="15.75" hidden="1" customHeight="1" x14ac:dyDescent="0.25">
      <c r="A2139" s="205" t="s">
        <v>2191</v>
      </c>
      <c r="B2139" s="206">
        <v>91691</v>
      </c>
      <c r="C2139" s="207" t="s">
        <v>2746</v>
      </c>
      <c r="D2139" s="208" t="s">
        <v>2193</v>
      </c>
      <c r="E2139" s="209">
        <v>0.96</v>
      </c>
      <c r="F2139" s="209">
        <v>0</v>
      </c>
      <c r="G2139" s="209">
        <v>0.96</v>
      </c>
      <c r="H2139" s="198"/>
    </row>
    <row r="2140" spans="1:8" ht="15.75" hidden="1" customHeight="1" x14ac:dyDescent="0.25">
      <c r="A2140" s="205" t="s">
        <v>2191</v>
      </c>
      <c r="B2140" s="206">
        <v>102927</v>
      </c>
      <c r="C2140" s="207" t="s">
        <v>2747</v>
      </c>
      <c r="D2140" s="208" t="s">
        <v>2193</v>
      </c>
      <c r="E2140" s="209">
        <v>0.66</v>
      </c>
      <c r="F2140" s="209">
        <v>0</v>
      </c>
      <c r="G2140" s="209">
        <v>0.66</v>
      </c>
      <c r="H2140" s="198"/>
    </row>
    <row r="2141" spans="1:8" ht="15.75" hidden="1" customHeight="1" x14ac:dyDescent="0.25">
      <c r="A2141" s="205" t="s">
        <v>2191</v>
      </c>
      <c r="B2141" s="206">
        <v>95136</v>
      </c>
      <c r="C2141" s="207" t="s">
        <v>2748</v>
      </c>
      <c r="D2141" s="208" t="s">
        <v>2193</v>
      </c>
      <c r="E2141" s="209">
        <v>0.03</v>
      </c>
      <c r="F2141" s="209">
        <v>0</v>
      </c>
      <c r="G2141" s="209">
        <v>0.03</v>
      </c>
      <c r="H2141" s="198"/>
    </row>
    <row r="2142" spans="1:8" ht="15.75" hidden="1" customHeight="1" x14ac:dyDescent="0.25">
      <c r="A2142" s="205" t="s">
        <v>2191</v>
      </c>
      <c r="B2142" s="206">
        <v>95137</v>
      </c>
      <c r="C2142" s="207" t="s">
        <v>2749</v>
      </c>
      <c r="D2142" s="208" t="s">
        <v>2193</v>
      </c>
      <c r="E2142" s="209">
        <v>0.01</v>
      </c>
      <c r="F2142" s="209">
        <v>0</v>
      </c>
      <c r="G2142" s="209">
        <v>0.01</v>
      </c>
      <c r="H2142" s="198"/>
    </row>
    <row r="2143" spans="1:8" ht="15.75" hidden="1" customHeight="1" x14ac:dyDescent="0.25">
      <c r="A2143" s="205" t="s">
        <v>2191</v>
      </c>
      <c r="B2143" s="206">
        <v>95138</v>
      </c>
      <c r="C2143" s="207" t="s">
        <v>2750</v>
      </c>
      <c r="D2143" s="208" t="s">
        <v>2193</v>
      </c>
      <c r="E2143" s="209">
        <v>0.02</v>
      </c>
      <c r="F2143" s="209">
        <v>0</v>
      </c>
      <c r="G2143" s="209">
        <v>0.02</v>
      </c>
      <c r="H2143" s="198"/>
    </row>
    <row r="2144" spans="1:8" ht="15.75" hidden="1" customHeight="1" x14ac:dyDescent="0.25">
      <c r="A2144" s="205" t="s">
        <v>2191</v>
      </c>
      <c r="B2144" s="206">
        <v>89023</v>
      </c>
      <c r="C2144" s="207" t="s">
        <v>2751</v>
      </c>
      <c r="D2144" s="208" t="s">
        <v>2193</v>
      </c>
      <c r="E2144" s="209">
        <v>3.82</v>
      </c>
      <c r="F2144" s="209">
        <v>0</v>
      </c>
      <c r="G2144" s="209">
        <v>3.82</v>
      </c>
      <c r="H2144" s="198"/>
    </row>
    <row r="2145" spans="1:8" ht="15.75" hidden="1" customHeight="1" x14ac:dyDescent="0.25">
      <c r="A2145" s="205" t="s">
        <v>2191</v>
      </c>
      <c r="B2145" s="206">
        <v>89024</v>
      </c>
      <c r="C2145" s="207" t="s">
        <v>2752</v>
      </c>
      <c r="D2145" s="208" t="s">
        <v>2193</v>
      </c>
      <c r="E2145" s="209">
        <v>1.32</v>
      </c>
      <c r="F2145" s="209">
        <v>0</v>
      </c>
      <c r="G2145" s="209">
        <v>1.32</v>
      </c>
      <c r="H2145" s="198"/>
    </row>
    <row r="2146" spans="1:8" ht="15.75" hidden="1" customHeight="1" x14ac:dyDescent="0.25">
      <c r="A2146" s="205" t="s">
        <v>2191</v>
      </c>
      <c r="B2146" s="206">
        <v>89025</v>
      </c>
      <c r="C2146" s="207" t="s">
        <v>2753</v>
      </c>
      <c r="D2146" s="208" t="s">
        <v>2193</v>
      </c>
      <c r="E2146" s="209">
        <v>4.78</v>
      </c>
      <c r="F2146" s="209">
        <v>0</v>
      </c>
      <c r="G2146" s="209">
        <v>4.78</v>
      </c>
      <c r="H2146" s="198"/>
    </row>
    <row r="2147" spans="1:8" ht="15.75" hidden="1" customHeight="1" x14ac:dyDescent="0.25">
      <c r="A2147" s="205" t="s">
        <v>2191</v>
      </c>
      <c r="B2147" s="206">
        <v>89026</v>
      </c>
      <c r="C2147" s="207" t="s">
        <v>2754</v>
      </c>
      <c r="D2147" s="208" t="s">
        <v>2193</v>
      </c>
      <c r="E2147" s="209">
        <v>180.87</v>
      </c>
      <c r="F2147" s="209">
        <v>0</v>
      </c>
      <c r="G2147" s="209">
        <v>180.87</v>
      </c>
      <c r="H2147" s="198"/>
    </row>
    <row r="2148" spans="1:8" ht="15.75" hidden="1" customHeight="1" x14ac:dyDescent="0.25">
      <c r="A2148" s="205" t="s">
        <v>2191</v>
      </c>
      <c r="B2148" s="206">
        <v>7032</v>
      </c>
      <c r="C2148" s="207" t="s">
        <v>2755</v>
      </c>
      <c r="D2148" s="208" t="s">
        <v>2193</v>
      </c>
      <c r="E2148" s="209">
        <v>4.7</v>
      </c>
      <c r="F2148" s="209">
        <v>0</v>
      </c>
      <c r="G2148" s="209">
        <v>4.7</v>
      </c>
      <c r="H2148" s="198"/>
    </row>
    <row r="2149" spans="1:8" ht="15.75" hidden="1" customHeight="1" x14ac:dyDescent="0.25">
      <c r="A2149" s="205" t="s">
        <v>2191</v>
      </c>
      <c r="B2149" s="206">
        <v>7033</v>
      </c>
      <c r="C2149" s="207" t="s">
        <v>2756</v>
      </c>
      <c r="D2149" s="208" t="s">
        <v>2193</v>
      </c>
      <c r="E2149" s="209">
        <v>1.63</v>
      </c>
      <c r="F2149" s="209">
        <v>0</v>
      </c>
      <c r="G2149" s="209">
        <v>1.63</v>
      </c>
      <c r="H2149" s="198"/>
    </row>
    <row r="2150" spans="1:8" ht="15.75" hidden="1" customHeight="1" x14ac:dyDescent="0.25">
      <c r="A2150" s="205" t="s">
        <v>2191</v>
      </c>
      <c r="B2150" s="206">
        <v>7034</v>
      </c>
      <c r="C2150" s="207" t="s">
        <v>2757</v>
      </c>
      <c r="D2150" s="208" t="s">
        <v>2193</v>
      </c>
      <c r="E2150" s="209">
        <v>5.88</v>
      </c>
      <c r="F2150" s="209">
        <v>0</v>
      </c>
      <c r="G2150" s="209">
        <v>5.88</v>
      </c>
      <c r="H2150" s="198"/>
    </row>
    <row r="2151" spans="1:8" ht="15.75" hidden="1" customHeight="1" x14ac:dyDescent="0.25">
      <c r="A2151" s="205" t="s">
        <v>2191</v>
      </c>
      <c r="B2151" s="206">
        <v>7035</v>
      </c>
      <c r="C2151" s="207" t="s">
        <v>2758</v>
      </c>
      <c r="D2151" s="208" t="s">
        <v>2193</v>
      </c>
      <c r="E2151" s="209">
        <v>271.31</v>
      </c>
      <c r="F2151" s="209">
        <v>0</v>
      </c>
      <c r="G2151" s="209">
        <v>271.31</v>
      </c>
      <c r="H2151" s="198"/>
    </row>
    <row r="2152" spans="1:8" ht="15.75" hidden="1" customHeight="1" x14ac:dyDescent="0.25">
      <c r="A2152" s="205" t="s">
        <v>2191</v>
      </c>
      <c r="B2152" s="206">
        <v>102945</v>
      </c>
      <c r="C2152" s="207" t="s">
        <v>2759</v>
      </c>
      <c r="D2152" s="208" t="s">
        <v>2193</v>
      </c>
      <c r="E2152" s="209">
        <v>0.01</v>
      </c>
      <c r="F2152" s="209">
        <v>0</v>
      </c>
      <c r="G2152" s="209">
        <v>0.01</v>
      </c>
      <c r="H2152" s="198"/>
    </row>
    <row r="2153" spans="1:8" ht="15.75" hidden="1" customHeight="1" x14ac:dyDescent="0.25">
      <c r="A2153" s="205" t="s">
        <v>2191</v>
      </c>
      <c r="B2153" s="206">
        <v>104087</v>
      </c>
      <c r="C2153" s="207" t="s">
        <v>2760</v>
      </c>
      <c r="D2153" s="208" t="s">
        <v>2193</v>
      </c>
      <c r="E2153" s="209">
        <v>0.06</v>
      </c>
      <c r="F2153" s="209">
        <v>0</v>
      </c>
      <c r="G2153" s="209">
        <v>0.06</v>
      </c>
      <c r="H2153" s="198"/>
    </row>
    <row r="2154" spans="1:8" ht="15.75" hidden="1" customHeight="1" x14ac:dyDescent="0.25">
      <c r="A2154" s="205" t="s">
        <v>2191</v>
      </c>
      <c r="B2154" s="206">
        <v>104088</v>
      </c>
      <c r="C2154" s="207" t="s">
        <v>2761</v>
      </c>
      <c r="D2154" s="208" t="s">
        <v>2193</v>
      </c>
      <c r="E2154" s="209">
        <v>0.01</v>
      </c>
      <c r="F2154" s="209">
        <v>0</v>
      </c>
      <c r="G2154" s="209">
        <v>0.01</v>
      </c>
      <c r="H2154" s="198"/>
    </row>
    <row r="2155" spans="1:8" ht="15.75" hidden="1" customHeight="1" x14ac:dyDescent="0.25">
      <c r="A2155" s="205" t="s">
        <v>2191</v>
      </c>
      <c r="B2155" s="206">
        <v>104089</v>
      </c>
      <c r="C2155" s="207" t="s">
        <v>2762</v>
      </c>
      <c r="D2155" s="208" t="s">
        <v>2193</v>
      </c>
      <c r="E2155" s="209">
        <v>7.0000000000000007E-2</v>
      </c>
      <c r="F2155" s="209">
        <v>0</v>
      </c>
      <c r="G2155" s="209">
        <v>7.0000000000000007E-2</v>
      </c>
      <c r="H2155" s="198"/>
    </row>
    <row r="2156" spans="1:8" ht="15.75" hidden="1" customHeight="1" x14ac:dyDescent="0.25">
      <c r="A2156" s="205" t="s">
        <v>2191</v>
      </c>
      <c r="B2156" s="206">
        <v>104090</v>
      </c>
      <c r="C2156" s="207" t="s">
        <v>2763</v>
      </c>
      <c r="D2156" s="208" t="s">
        <v>2193</v>
      </c>
      <c r="E2156" s="209">
        <v>0.48</v>
      </c>
      <c r="F2156" s="209">
        <v>0</v>
      </c>
      <c r="G2156" s="209">
        <v>0.48</v>
      </c>
      <c r="H2156" s="198"/>
    </row>
    <row r="2157" spans="1:8" ht="15.75" hidden="1" customHeight="1" x14ac:dyDescent="0.25">
      <c r="A2157" s="205" t="s">
        <v>2191</v>
      </c>
      <c r="B2157" s="206">
        <v>104093</v>
      </c>
      <c r="C2157" s="207" t="s">
        <v>2764</v>
      </c>
      <c r="D2157" s="208" t="s">
        <v>2193</v>
      </c>
      <c r="E2157" s="209">
        <v>0.08</v>
      </c>
      <c r="F2157" s="209">
        <v>0</v>
      </c>
      <c r="G2157" s="209">
        <v>0.08</v>
      </c>
      <c r="H2157" s="198"/>
    </row>
    <row r="2158" spans="1:8" ht="15.75" hidden="1" customHeight="1" x14ac:dyDescent="0.25">
      <c r="A2158" s="205" t="s">
        <v>2191</v>
      </c>
      <c r="B2158" s="206">
        <v>104094</v>
      </c>
      <c r="C2158" s="207" t="s">
        <v>2765</v>
      </c>
      <c r="D2158" s="208" t="s">
        <v>2193</v>
      </c>
      <c r="E2158" s="209">
        <v>0.02</v>
      </c>
      <c r="F2158" s="209">
        <v>0</v>
      </c>
      <c r="G2158" s="209">
        <v>0.02</v>
      </c>
      <c r="H2158" s="198"/>
    </row>
    <row r="2159" spans="1:8" ht="15.75" hidden="1" customHeight="1" x14ac:dyDescent="0.25">
      <c r="A2159" s="205" t="s">
        <v>2191</v>
      </c>
      <c r="B2159" s="206">
        <v>104095</v>
      </c>
      <c r="C2159" s="207" t="s">
        <v>2766</v>
      </c>
      <c r="D2159" s="208" t="s">
        <v>2193</v>
      </c>
      <c r="E2159" s="209">
        <v>0.1</v>
      </c>
      <c r="F2159" s="209">
        <v>0</v>
      </c>
      <c r="G2159" s="209">
        <v>0.1</v>
      </c>
      <c r="H2159" s="198"/>
    </row>
    <row r="2160" spans="1:8" ht="15.75" hidden="1" customHeight="1" x14ac:dyDescent="0.25">
      <c r="A2160" s="205" t="s">
        <v>2191</v>
      </c>
      <c r="B2160" s="206">
        <v>104096</v>
      </c>
      <c r="C2160" s="207" t="s">
        <v>2767</v>
      </c>
      <c r="D2160" s="208" t="s">
        <v>2193</v>
      </c>
      <c r="E2160" s="209">
        <v>0.66</v>
      </c>
      <c r="F2160" s="209">
        <v>0</v>
      </c>
      <c r="G2160" s="209">
        <v>0.66</v>
      </c>
      <c r="H2160" s="198"/>
    </row>
    <row r="2161" spans="1:8" ht="15.75" hidden="1" customHeight="1" x14ac:dyDescent="0.25">
      <c r="A2161" s="205" t="s">
        <v>2191</v>
      </c>
      <c r="B2161" s="206">
        <v>102903</v>
      </c>
      <c r="C2161" s="207" t="s">
        <v>2768</v>
      </c>
      <c r="D2161" s="208" t="s">
        <v>2193</v>
      </c>
      <c r="E2161" s="209">
        <v>12.34</v>
      </c>
      <c r="F2161" s="209">
        <v>0</v>
      </c>
      <c r="G2161" s="209">
        <v>12.34</v>
      </c>
      <c r="H2161" s="198"/>
    </row>
    <row r="2162" spans="1:8" ht="15.75" hidden="1" customHeight="1" x14ac:dyDescent="0.25">
      <c r="A2162" s="205" t="s">
        <v>2191</v>
      </c>
      <c r="B2162" s="206">
        <v>89029</v>
      </c>
      <c r="C2162" s="207" t="s">
        <v>2769</v>
      </c>
      <c r="D2162" s="208" t="s">
        <v>2193</v>
      </c>
      <c r="E2162" s="209">
        <v>33.340000000000003</v>
      </c>
      <c r="F2162" s="209">
        <v>0</v>
      </c>
      <c r="G2162" s="209">
        <v>33.340000000000003</v>
      </c>
      <c r="H2162" s="198"/>
    </row>
    <row r="2163" spans="1:8" ht="15.75" hidden="1" customHeight="1" x14ac:dyDescent="0.25">
      <c r="A2163" s="205" t="s">
        <v>2191</v>
      </c>
      <c r="B2163" s="206">
        <v>89030</v>
      </c>
      <c r="C2163" s="207" t="s">
        <v>2770</v>
      </c>
      <c r="D2163" s="208" t="s">
        <v>2193</v>
      </c>
      <c r="E2163" s="209">
        <v>14.68</v>
      </c>
      <c r="F2163" s="209">
        <v>0</v>
      </c>
      <c r="G2163" s="209">
        <v>14.68</v>
      </c>
      <c r="H2163" s="198"/>
    </row>
    <row r="2164" spans="1:8" ht="15.75" hidden="1" customHeight="1" x14ac:dyDescent="0.25">
      <c r="A2164" s="205" t="s">
        <v>2191</v>
      </c>
      <c r="B2164" s="206">
        <v>5724</v>
      </c>
      <c r="C2164" s="207" t="s">
        <v>2771</v>
      </c>
      <c r="D2164" s="208" t="s">
        <v>2193</v>
      </c>
      <c r="E2164" s="209">
        <v>59.61</v>
      </c>
      <c r="F2164" s="209">
        <v>0</v>
      </c>
      <c r="G2164" s="209">
        <v>59.61</v>
      </c>
      <c r="H2164" s="198"/>
    </row>
    <row r="2165" spans="1:8" ht="15.75" hidden="1" customHeight="1" x14ac:dyDescent="0.25">
      <c r="A2165" s="205" t="s">
        <v>2191</v>
      </c>
      <c r="B2165" s="206">
        <v>53817</v>
      </c>
      <c r="C2165" s="207" t="s">
        <v>2772</v>
      </c>
      <c r="D2165" s="208" t="s">
        <v>2193</v>
      </c>
      <c r="E2165" s="209">
        <v>66.08</v>
      </c>
      <c r="F2165" s="209">
        <v>0</v>
      </c>
      <c r="G2165" s="209">
        <v>66.08</v>
      </c>
      <c r="H2165" s="198"/>
    </row>
    <row r="2166" spans="1:8" ht="15.75" hidden="1" customHeight="1" x14ac:dyDescent="0.25">
      <c r="A2166" s="205" t="s">
        <v>2191</v>
      </c>
      <c r="B2166" s="206">
        <v>88839</v>
      </c>
      <c r="C2166" s="207" t="s">
        <v>2773</v>
      </c>
      <c r="D2166" s="208" t="s">
        <v>2193</v>
      </c>
      <c r="E2166" s="209">
        <v>34.9</v>
      </c>
      <c r="F2166" s="209">
        <v>0</v>
      </c>
      <c r="G2166" s="209">
        <v>34.9</v>
      </c>
      <c r="H2166" s="198"/>
    </row>
    <row r="2167" spans="1:8" ht="15.75" hidden="1" customHeight="1" x14ac:dyDescent="0.25">
      <c r="A2167" s="205" t="s">
        <v>2191</v>
      </c>
      <c r="B2167" s="206">
        <v>88840</v>
      </c>
      <c r="C2167" s="207" t="s">
        <v>2774</v>
      </c>
      <c r="D2167" s="208" t="s">
        <v>2193</v>
      </c>
      <c r="E2167" s="209">
        <v>15.37</v>
      </c>
      <c r="F2167" s="209">
        <v>0</v>
      </c>
      <c r="G2167" s="209">
        <v>15.37</v>
      </c>
      <c r="H2167" s="198"/>
    </row>
    <row r="2168" spans="1:8" ht="15.75" hidden="1" customHeight="1" x14ac:dyDescent="0.25">
      <c r="A2168" s="205" t="s">
        <v>2191</v>
      </c>
      <c r="B2168" s="206">
        <v>88841</v>
      </c>
      <c r="C2168" s="207" t="s">
        <v>2775</v>
      </c>
      <c r="D2168" s="208" t="s">
        <v>2193</v>
      </c>
      <c r="E2168" s="209">
        <v>62.39</v>
      </c>
      <c r="F2168" s="209">
        <v>0</v>
      </c>
      <c r="G2168" s="209">
        <v>62.39</v>
      </c>
      <c r="H2168" s="198"/>
    </row>
    <row r="2169" spans="1:8" ht="15.75" hidden="1" customHeight="1" x14ac:dyDescent="0.25">
      <c r="A2169" s="205" t="s">
        <v>2191</v>
      </c>
      <c r="B2169" s="206">
        <v>88842</v>
      </c>
      <c r="C2169" s="207" t="s">
        <v>2776</v>
      </c>
      <c r="D2169" s="208" t="s">
        <v>2193</v>
      </c>
      <c r="E2169" s="209">
        <v>82.66</v>
      </c>
      <c r="F2169" s="209">
        <v>0</v>
      </c>
      <c r="G2169" s="209">
        <v>82.66</v>
      </c>
      <c r="H2169" s="198"/>
    </row>
    <row r="2170" spans="1:8" ht="15.75" hidden="1" customHeight="1" x14ac:dyDescent="0.25">
      <c r="A2170" s="205" t="s">
        <v>2191</v>
      </c>
      <c r="B2170" s="206">
        <v>89009</v>
      </c>
      <c r="C2170" s="207" t="s">
        <v>2777</v>
      </c>
      <c r="D2170" s="208" t="s">
        <v>2193</v>
      </c>
      <c r="E2170" s="209">
        <v>43.22</v>
      </c>
      <c r="F2170" s="209">
        <v>0</v>
      </c>
      <c r="G2170" s="209">
        <v>43.22</v>
      </c>
      <c r="H2170" s="198"/>
    </row>
    <row r="2171" spans="1:8" ht="15.75" hidden="1" customHeight="1" x14ac:dyDescent="0.25">
      <c r="A2171" s="205" t="s">
        <v>2191</v>
      </c>
      <c r="B2171" s="206">
        <v>89010</v>
      </c>
      <c r="C2171" s="207" t="s">
        <v>2778</v>
      </c>
      <c r="D2171" s="208" t="s">
        <v>2193</v>
      </c>
      <c r="E2171" s="209">
        <v>19.04</v>
      </c>
      <c r="F2171" s="209">
        <v>0</v>
      </c>
      <c r="G2171" s="209">
        <v>19.04</v>
      </c>
      <c r="H2171" s="198"/>
    </row>
    <row r="2172" spans="1:8" ht="15.75" hidden="1" customHeight="1" x14ac:dyDescent="0.25">
      <c r="A2172" s="205" t="s">
        <v>2191</v>
      </c>
      <c r="B2172" s="206">
        <v>53810</v>
      </c>
      <c r="C2172" s="207" t="s">
        <v>2779</v>
      </c>
      <c r="D2172" s="208" t="s">
        <v>2193</v>
      </c>
      <c r="E2172" s="209">
        <v>77.28</v>
      </c>
      <c r="F2172" s="209">
        <v>0</v>
      </c>
      <c r="G2172" s="209">
        <v>77.28</v>
      </c>
      <c r="H2172" s="198"/>
    </row>
    <row r="2173" spans="1:8" ht="15.75" hidden="1" customHeight="1" x14ac:dyDescent="0.25">
      <c r="A2173" s="205" t="s">
        <v>2191</v>
      </c>
      <c r="B2173" s="206">
        <v>5721</v>
      </c>
      <c r="C2173" s="207" t="s">
        <v>2780</v>
      </c>
      <c r="D2173" s="208" t="s">
        <v>2193</v>
      </c>
      <c r="E2173" s="209">
        <v>99.19</v>
      </c>
      <c r="F2173" s="209">
        <v>0</v>
      </c>
      <c r="G2173" s="209">
        <v>99.19</v>
      </c>
      <c r="H2173" s="198"/>
    </row>
    <row r="2174" spans="1:8" ht="15.75" hidden="1" customHeight="1" x14ac:dyDescent="0.25">
      <c r="A2174" s="205" t="s">
        <v>2191</v>
      </c>
      <c r="B2174" s="206">
        <v>89017</v>
      </c>
      <c r="C2174" s="207" t="s">
        <v>2781</v>
      </c>
      <c r="D2174" s="208" t="s">
        <v>2193</v>
      </c>
      <c r="E2174" s="209">
        <v>42.96</v>
      </c>
      <c r="F2174" s="209">
        <v>0</v>
      </c>
      <c r="G2174" s="209">
        <v>42.96</v>
      </c>
      <c r="H2174" s="198"/>
    </row>
    <row r="2175" spans="1:8" ht="15.75" hidden="1" customHeight="1" x14ac:dyDescent="0.25">
      <c r="A2175" s="205" t="s">
        <v>2191</v>
      </c>
      <c r="B2175" s="206">
        <v>89018</v>
      </c>
      <c r="C2175" s="207" t="s">
        <v>2782</v>
      </c>
      <c r="D2175" s="208" t="s">
        <v>2193</v>
      </c>
      <c r="E2175" s="209">
        <v>18.920000000000002</v>
      </c>
      <c r="F2175" s="209">
        <v>0</v>
      </c>
      <c r="G2175" s="209">
        <v>18.920000000000002</v>
      </c>
      <c r="H2175" s="198"/>
    </row>
    <row r="2176" spans="1:8" ht="15.75" hidden="1" customHeight="1" x14ac:dyDescent="0.25">
      <c r="A2176" s="205" t="s">
        <v>2191</v>
      </c>
      <c r="B2176" s="206">
        <v>53806</v>
      </c>
      <c r="C2176" s="207" t="s">
        <v>2783</v>
      </c>
      <c r="D2176" s="208" t="s">
        <v>2193</v>
      </c>
      <c r="E2176" s="209">
        <v>76.81</v>
      </c>
      <c r="F2176" s="209">
        <v>0</v>
      </c>
      <c r="G2176" s="209">
        <v>76.81</v>
      </c>
      <c r="H2176" s="198"/>
    </row>
    <row r="2177" spans="1:8" ht="15.75" hidden="1" customHeight="1" x14ac:dyDescent="0.25">
      <c r="A2177" s="205" t="s">
        <v>2191</v>
      </c>
      <c r="B2177" s="206">
        <v>5718</v>
      </c>
      <c r="C2177" s="207" t="s">
        <v>2784</v>
      </c>
      <c r="D2177" s="208" t="s">
        <v>2193</v>
      </c>
      <c r="E2177" s="209">
        <v>112.42</v>
      </c>
      <c r="F2177" s="209">
        <v>0</v>
      </c>
      <c r="G2177" s="209">
        <v>112.42</v>
      </c>
      <c r="H2177" s="198"/>
    </row>
    <row r="2178" spans="1:8" ht="15.75" hidden="1" customHeight="1" x14ac:dyDescent="0.25">
      <c r="A2178" s="205" t="s">
        <v>2191</v>
      </c>
      <c r="B2178" s="206">
        <v>89013</v>
      </c>
      <c r="C2178" s="207" t="s">
        <v>2785</v>
      </c>
      <c r="D2178" s="208" t="s">
        <v>2193</v>
      </c>
      <c r="E2178" s="209">
        <v>141.59</v>
      </c>
      <c r="F2178" s="209">
        <v>0</v>
      </c>
      <c r="G2178" s="209">
        <v>141.59</v>
      </c>
      <c r="H2178" s="198"/>
    </row>
    <row r="2179" spans="1:8" ht="15.75" hidden="1" customHeight="1" x14ac:dyDescent="0.25">
      <c r="A2179" s="205" t="s">
        <v>2191</v>
      </c>
      <c r="B2179" s="206">
        <v>89014</v>
      </c>
      <c r="C2179" s="207" t="s">
        <v>2786</v>
      </c>
      <c r="D2179" s="208" t="s">
        <v>2193</v>
      </c>
      <c r="E2179" s="209">
        <v>62.37</v>
      </c>
      <c r="F2179" s="209">
        <v>0</v>
      </c>
      <c r="G2179" s="209">
        <v>62.37</v>
      </c>
      <c r="H2179" s="198"/>
    </row>
    <row r="2180" spans="1:8" ht="15.75" hidden="1" customHeight="1" x14ac:dyDescent="0.25">
      <c r="A2180" s="205" t="s">
        <v>2191</v>
      </c>
      <c r="B2180" s="206">
        <v>53814</v>
      </c>
      <c r="C2180" s="207" t="s">
        <v>2787</v>
      </c>
      <c r="D2180" s="208" t="s">
        <v>2193</v>
      </c>
      <c r="E2180" s="209">
        <v>253.14</v>
      </c>
      <c r="F2180" s="209">
        <v>0</v>
      </c>
      <c r="G2180" s="209">
        <v>253.14</v>
      </c>
      <c r="H2180" s="198"/>
    </row>
    <row r="2181" spans="1:8" ht="15.75" hidden="1" customHeight="1" x14ac:dyDescent="0.25">
      <c r="A2181" s="205" t="s">
        <v>2191</v>
      </c>
      <c r="B2181" s="206">
        <v>5722</v>
      </c>
      <c r="C2181" s="207" t="s">
        <v>2788</v>
      </c>
      <c r="D2181" s="208" t="s">
        <v>2193</v>
      </c>
      <c r="E2181" s="209">
        <v>229.39</v>
      </c>
      <c r="F2181" s="209">
        <v>0</v>
      </c>
      <c r="G2181" s="209">
        <v>229.39</v>
      </c>
      <c r="H2181" s="198"/>
    </row>
    <row r="2182" spans="1:8" ht="15.75" hidden="1" customHeight="1" x14ac:dyDescent="0.25">
      <c r="A2182" s="205" t="s">
        <v>2191</v>
      </c>
      <c r="B2182" s="206">
        <v>96015</v>
      </c>
      <c r="C2182" s="207" t="s">
        <v>2789</v>
      </c>
      <c r="D2182" s="208" t="s">
        <v>2193</v>
      </c>
      <c r="E2182" s="209">
        <v>22.72</v>
      </c>
      <c r="F2182" s="209">
        <v>0</v>
      </c>
      <c r="G2182" s="209">
        <v>22.72</v>
      </c>
      <c r="H2182" s="198"/>
    </row>
    <row r="2183" spans="1:8" ht="15.75" hidden="1" customHeight="1" x14ac:dyDescent="0.25">
      <c r="A2183" s="205" t="s">
        <v>2191</v>
      </c>
      <c r="B2183" s="206">
        <v>96016</v>
      </c>
      <c r="C2183" s="207" t="s">
        <v>2790</v>
      </c>
      <c r="D2183" s="208" t="s">
        <v>2193</v>
      </c>
      <c r="E2183" s="209">
        <v>6.09</v>
      </c>
      <c r="F2183" s="209">
        <v>0</v>
      </c>
      <c r="G2183" s="209">
        <v>6.09</v>
      </c>
      <c r="H2183" s="198"/>
    </row>
    <row r="2184" spans="1:8" ht="15.75" hidden="1" customHeight="1" x14ac:dyDescent="0.25">
      <c r="A2184" s="205" t="s">
        <v>2191</v>
      </c>
      <c r="B2184" s="206">
        <v>96018</v>
      </c>
      <c r="C2184" s="207" t="s">
        <v>2791</v>
      </c>
      <c r="D2184" s="208" t="s">
        <v>2193</v>
      </c>
      <c r="E2184" s="209">
        <v>24.85</v>
      </c>
      <c r="F2184" s="209">
        <v>0</v>
      </c>
      <c r="G2184" s="209">
        <v>24.85</v>
      </c>
      <c r="H2184" s="198"/>
    </row>
    <row r="2185" spans="1:8" ht="15.75" hidden="1" customHeight="1" x14ac:dyDescent="0.25">
      <c r="A2185" s="205" t="s">
        <v>2191</v>
      </c>
      <c r="B2185" s="206">
        <v>96019</v>
      </c>
      <c r="C2185" s="207" t="s">
        <v>2792</v>
      </c>
      <c r="D2185" s="208" t="s">
        <v>2193</v>
      </c>
      <c r="E2185" s="209">
        <v>102.29</v>
      </c>
      <c r="F2185" s="209">
        <v>0</v>
      </c>
      <c r="G2185" s="209">
        <v>102.29</v>
      </c>
      <c r="H2185" s="198"/>
    </row>
    <row r="2186" spans="1:8" ht="15.75" hidden="1" customHeight="1" x14ac:dyDescent="0.25">
      <c r="A2186" s="205" t="s">
        <v>2191</v>
      </c>
      <c r="B2186" s="206">
        <v>96008</v>
      </c>
      <c r="C2186" s="207" t="s">
        <v>2793</v>
      </c>
      <c r="D2186" s="208" t="s">
        <v>2193</v>
      </c>
      <c r="E2186" s="209">
        <v>22.93</v>
      </c>
      <c r="F2186" s="209">
        <v>0</v>
      </c>
      <c r="G2186" s="209">
        <v>22.93</v>
      </c>
      <c r="H2186" s="198"/>
    </row>
    <row r="2187" spans="1:8" ht="15.75" hidden="1" customHeight="1" x14ac:dyDescent="0.25">
      <c r="A2187" s="205" t="s">
        <v>2191</v>
      </c>
      <c r="B2187" s="206">
        <v>96009</v>
      </c>
      <c r="C2187" s="207" t="s">
        <v>2794</v>
      </c>
      <c r="D2187" s="208" t="s">
        <v>2193</v>
      </c>
      <c r="E2187" s="209">
        <v>6.15</v>
      </c>
      <c r="F2187" s="209">
        <v>0</v>
      </c>
      <c r="G2187" s="209">
        <v>6.15</v>
      </c>
      <c r="H2187" s="198"/>
    </row>
    <row r="2188" spans="1:8" ht="15.75" hidden="1" customHeight="1" x14ac:dyDescent="0.25">
      <c r="A2188" s="205" t="s">
        <v>2191</v>
      </c>
      <c r="B2188" s="206">
        <v>96011</v>
      </c>
      <c r="C2188" s="207" t="s">
        <v>2795</v>
      </c>
      <c r="D2188" s="208" t="s">
        <v>2193</v>
      </c>
      <c r="E2188" s="209">
        <v>25.08</v>
      </c>
      <c r="F2188" s="209">
        <v>0</v>
      </c>
      <c r="G2188" s="209">
        <v>25.08</v>
      </c>
      <c r="H2188" s="198"/>
    </row>
    <row r="2189" spans="1:8" ht="15.75" hidden="1" customHeight="1" x14ac:dyDescent="0.25">
      <c r="A2189" s="205" t="s">
        <v>2191</v>
      </c>
      <c r="B2189" s="206">
        <v>96012</v>
      </c>
      <c r="C2189" s="207" t="s">
        <v>2796</v>
      </c>
      <c r="D2189" s="208" t="s">
        <v>2193</v>
      </c>
      <c r="E2189" s="209">
        <v>102.29</v>
      </c>
      <c r="F2189" s="209">
        <v>0</v>
      </c>
      <c r="G2189" s="209">
        <v>102.29</v>
      </c>
      <c r="H2189" s="198"/>
    </row>
    <row r="2190" spans="1:8" ht="15.75" hidden="1" customHeight="1" x14ac:dyDescent="0.25">
      <c r="A2190" s="205" t="s">
        <v>2191</v>
      </c>
      <c r="B2190" s="206">
        <v>96023</v>
      </c>
      <c r="C2190" s="207" t="s">
        <v>2797</v>
      </c>
      <c r="D2190" s="208" t="s">
        <v>2193</v>
      </c>
      <c r="E2190" s="209">
        <v>17.57</v>
      </c>
      <c r="F2190" s="209">
        <v>0</v>
      </c>
      <c r="G2190" s="209">
        <v>17.57</v>
      </c>
      <c r="H2190" s="198"/>
    </row>
    <row r="2191" spans="1:8" ht="15.75" hidden="1" customHeight="1" x14ac:dyDescent="0.25">
      <c r="A2191" s="205" t="s">
        <v>2191</v>
      </c>
      <c r="B2191" s="206">
        <v>96024</v>
      </c>
      <c r="C2191" s="207" t="s">
        <v>2798</v>
      </c>
      <c r="D2191" s="208" t="s">
        <v>2193</v>
      </c>
      <c r="E2191" s="209">
        <v>4.7</v>
      </c>
      <c r="F2191" s="209">
        <v>0</v>
      </c>
      <c r="G2191" s="209">
        <v>4.7</v>
      </c>
      <c r="H2191" s="198"/>
    </row>
    <row r="2192" spans="1:8" ht="15.75" hidden="1" customHeight="1" x14ac:dyDescent="0.25">
      <c r="A2192" s="205" t="s">
        <v>2191</v>
      </c>
      <c r="B2192" s="206">
        <v>96026</v>
      </c>
      <c r="C2192" s="207" t="s">
        <v>2799</v>
      </c>
      <c r="D2192" s="208" t="s">
        <v>2193</v>
      </c>
      <c r="E2192" s="209">
        <v>19.21</v>
      </c>
      <c r="F2192" s="209">
        <v>0</v>
      </c>
      <c r="G2192" s="209">
        <v>19.21</v>
      </c>
      <c r="H2192" s="198"/>
    </row>
    <row r="2193" spans="1:8" ht="15.75" hidden="1" customHeight="1" x14ac:dyDescent="0.25">
      <c r="A2193" s="205" t="s">
        <v>2191</v>
      </c>
      <c r="B2193" s="206">
        <v>96027</v>
      </c>
      <c r="C2193" s="207" t="s">
        <v>2800</v>
      </c>
      <c r="D2193" s="208" t="s">
        <v>2193</v>
      </c>
      <c r="E2193" s="209">
        <v>71.27</v>
      </c>
      <c r="F2193" s="209">
        <v>0</v>
      </c>
      <c r="G2193" s="209">
        <v>71.27</v>
      </c>
      <c r="H2193" s="198"/>
    </row>
    <row r="2194" spans="1:8" ht="15.75" hidden="1" customHeight="1" x14ac:dyDescent="0.25">
      <c r="A2194" s="205" t="s">
        <v>2191</v>
      </c>
      <c r="B2194" s="206">
        <v>96053</v>
      </c>
      <c r="C2194" s="207" t="s">
        <v>2801</v>
      </c>
      <c r="D2194" s="208" t="s">
        <v>2193</v>
      </c>
      <c r="E2194" s="209">
        <v>17.78</v>
      </c>
      <c r="F2194" s="209">
        <v>0</v>
      </c>
      <c r="G2194" s="209">
        <v>17.78</v>
      </c>
      <c r="H2194" s="198"/>
    </row>
    <row r="2195" spans="1:8" ht="15.75" hidden="1" customHeight="1" x14ac:dyDescent="0.25">
      <c r="A2195" s="205" t="s">
        <v>2191</v>
      </c>
      <c r="B2195" s="206">
        <v>96055</v>
      </c>
      <c r="C2195" s="207" t="s">
        <v>2802</v>
      </c>
      <c r="D2195" s="208" t="s">
        <v>2193</v>
      </c>
      <c r="E2195" s="209">
        <v>4.76</v>
      </c>
      <c r="F2195" s="209">
        <v>0</v>
      </c>
      <c r="G2195" s="209">
        <v>4.76</v>
      </c>
      <c r="H2195" s="198"/>
    </row>
    <row r="2196" spans="1:8" ht="15.75" hidden="1" customHeight="1" x14ac:dyDescent="0.25">
      <c r="A2196" s="205" t="s">
        <v>2191</v>
      </c>
      <c r="B2196" s="206">
        <v>96056</v>
      </c>
      <c r="C2196" s="207" t="s">
        <v>2803</v>
      </c>
      <c r="D2196" s="208" t="s">
        <v>2193</v>
      </c>
      <c r="E2196" s="209">
        <v>19.440000000000001</v>
      </c>
      <c r="F2196" s="209">
        <v>0</v>
      </c>
      <c r="G2196" s="209">
        <v>19.440000000000001</v>
      </c>
      <c r="H2196" s="198"/>
    </row>
    <row r="2197" spans="1:8" ht="15.75" hidden="1" customHeight="1" x14ac:dyDescent="0.25">
      <c r="A2197" s="205" t="s">
        <v>2191</v>
      </c>
      <c r="B2197" s="206">
        <v>96057</v>
      </c>
      <c r="C2197" s="207" t="s">
        <v>2804</v>
      </c>
      <c r="D2197" s="208" t="s">
        <v>2193</v>
      </c>
      <c r="E2197" s="209">
        <v>71.27</v>
      </c>
      <c r="F2197" s="209">
        <v>0</v>
      </c>
      <c r="G2197" s="209">
        <v>71.27</v>
      </c>
      <c r="H2197" s="198"/>
    </row>
    <row r="2198" spans="1:8" ht="15.75" hidden="1" customHeight="1" x14ac:dyDescent="0.25">
      <c r="A2198" s="205" t="s">
        <v>2191</v>
      </c>
      <c r="B2198" s="206">
        <v>7063</v>
      </c>
      <c r="C2198" s="207" t="s">
        <v>2805</v>
      </c>
      <c r="D2198" s="208" t="s">
        <v>2193</v>
      </c>
      <c r="E2198" s="209">
        <v>19.27</v>
      </c>
      <c r="F2198" s="209">
        <v>0</v>
      </c>
      <c r="G2198" s="209">
        <v>19.27</v>
      </c>
      <c r="H2198" s="198"/>
    </row>
    <row r="2199" spans="1:8" ht="15.75" hidden="1" customHeight="1" x14ac:dyDescent="0.25">
      <c r="A2199" s="205" t="s">
        <v>2191</v>
      </c>
      <c r="B2199" s="206">
        <v>7064</v>
      </c>
      <c r="C2199" s="207" t="s">
        <v>2806</v>
      </c>
      <c r="D2199" s="208" t="s">
        <v>2193</v>
      </c>
      <c r="E2199" s="209">
        <v>5.2</v>
      </c>
      <c r="F2199" s="209">
        <v>0</v>
      </c>
      <c r="G2199" s="209">
        <v>5.2</v>
      </c>
      <c r="H2199" s="198"/>
    </row>
    <row r="2200" spans="1:8" ht="15.75" hidden="1" customHeight="1" x14ac:dyDescent="0.25">
      <c r="A2200" s="205" t="s">
        <v>2191</v>
      </c>
      <c r="B2200" s="206">
        <v>7065</v>
      </c>
      <c r="C2200" s="207" t="s">
        <v>2807</v>
      </c>
      <c r="D2200" s="208" t="s">
        <v>2193</v>
      </c>
      <c r="E2200" s="209">
        <v>21.08</v>
      </c>
      <c r="F2200" s="209">
        <v>0</v>
      </c>
      <c r="G2200" s="209">
        <v>21.08</v>
      </c>
      <c r="H2200" s="198"/>
    </row>
    <row r="2201" spans="1:8" ht="15.75" hidden="1" customHeight="1" x14ac:dyDescent="0.25">
      <c r="A2201" s="205" t="s">
        <v>2191</v>
      </c>
      <c r="B2201" s="206">
        <v>7066</v>
      </c>
      <c r="C2201" s="207" t="s">
        <v>2808</v>
      </c>
      <c r="D2201" s="208" t="s">
        <v>2193</v>
      </c>
      <c r="E2201" s="209">
        <v>102.29</v>
      </c>
      <c r="F2201" s="209">
        <v>0</v>
      </c>
      <c r="G2201" s="209">
        <v>102.29</v>
      </c>
      <c r="H2201" s="198"/>
    </row>
    <row r="2202" spans="1:8" ht="15.75" hidden="1" customHeight="1" x14ac:dyDescent="0.25">
      <c r="A2202" s="205" t="s">
        <v>2191</v>
      </c>
      <c r="B2202" s="206">
        <v>89033</v>
      </c>
      <c r="C2202" s="207" t="s">
        <v>2809</v>
      </c>
      <c r="D2202" s="208" t="s">
        <v>2193</v>
      </c>
      <c r="E2202" s="209">
        <v>14.12</v>
      </c>
      <c r="F2202" s="209">
        <v>0</v>
      </c>
      <c r="G2202" s="209">
        <v>14.12</v>
      </c>
      <c r="H2202" s="198"/>
    </row>
    <row r="2203" spans="1:8" ht="15.75" hidden="1" customHeight="1" x14ac:dyDescent="0.25">
      <c r="A2203" s="205" t="s">
        <v>2191</v>
      </c>
      <c r="B2203" s="206">
        <v>89034</v>
      </c>
      <c r="C2203" s="207" t="s">
        <v>2810</v>
      </c>
      <c r="D2203" s="208" t="s">
        <v>2193</v>
      </c>
      <c r="E2203" s="209">
        <v>3.78</v>
      </c>
      <c r="F2203" s="209">
        <v>0</v>
      </c>
      <c r="G2203" s="209">
        <v>3.78</v>
      </c>
      <c r="H2203" s="198"/>
    </row>
    <row r="2204" spans="1:8" ht="15.75" hidden="1" customHeight="1" x14ac:dyDescent="0.25">
      <c r="A2204" s="205" t="s">
        <v>2191</v>
      </c>
      <c r="B2204" s="206">
        <v>5714</v>
      </c>
      <c r="C2204" s="207" t="s">
        <v>2811</v>
      </c>
      <c r="D2204" s="208" t="s">
        <v>2193</v>
      </c>
      <c r="E2204" s="209">
        <v>15.44</v>
      </c>
      <c r="F2204" s="209">
        <v>0</v>
      </c>
      <c r="G2204" s="209">
        <v>15.44</v>
      </c>
      <c r="H2204" s="198"/>
    </row>
    <row r="2205" spans="1:8" ht="15.75" hidden="1" customHeight="1" x14ac:dyDescent="0.25">
      <c r="A2205" s="205" t="s">
        <v>2191</v>
      </c>
      <c r="B2205" s="206">
        <v>5715</v>
      </c>
      <c r="C2205" s="207" t="s">
        <v>2812</v>
      </c>
      <c r="D2205" s="208" t="s">
        <v>2193</v>
      </c>
      <c r="E2205" s="209">
        <v>71.27</v>
      </c>
      <c r="F2205" s="209">
        <v>0</v>
      </c>
      <c r="G2205" s="209">
        <v>71.27</v>
      </c>
      <c r="H2205" s="198"/>
    </row>
    <row r="2206" spans="1:8" ht="15.75" hidden="1" customHeight="1" x14ac:dyDescent="0.25">
      <c r="A2206" s="205" t="s">
        <v>2191</v>
      </c>
      <c r="B2206" s="206">
        <v>102909</v>
      </c>
      <c r="C2206" s="207" t="s">
        <v>2813</v>
      </c>
      <c r="D2206" s="208" t="s">
        <v>2193</v>
      </c>
      <c r="E2206" s="209">
        <v>2.89</v>
      </c>
      <c r="F2206" s="209">
        <v>0</v>
      </c>
      <c r="G2206" s="209">
        <v>2.89</v>
      </c>
      <c r="H2206" s="198"/>
    </row>
    <row r="2207" spans="1:8" ht="15.75" hidden="1" customHeight="1" x14ac:dyDescent="0.25">
      <c r="A2207" s="205" t="s">
        <v>2191</v>
      </c>
      <c r="B2207" s="206">
        <v>93435</v>
      </c>
      <c r="C2207" s="207" t="s">
        <v>2814</v>
      </c>
      <c r="D2207" s="208" t="s">
        <v>2193</v>
      </c>
      <c r="E2207" s="209">
        <v>9.1300000000000008</v>
      </c>
      <c r="F2207" s="209">
        <v>0</v>
      </c>
      <c r="G2207" s="209">
        <v>9.1300000000000008</v>
      </c>
      <c r="H2207" s="198"/>
    </row>
    <row r="2208" spans="1:8" ht="15.75" hidden="1" customHeight="1" x14ac:dyDescent="0.25">
      <c r="A2208" s="205" t="s">
        <v>2191</v>
      </c>
      <c r="B2208" s="206">
        <v>93436</v>
      </c>
      <c r="C2208" s="207" t="s">
        <v>2815</v>
      </c>
      <c r="D2208" s="208" t="s">
        <v>2193</v>
      </c>
      <c r="E2208" s="209">
        <v>2.81</v>
      </c>
      <c r="F2208" s="209">
        <v>0</v>
      </c>
      <c r="G2208" s="209">
        <v>2.81</v>
      </c>
      <c r="H2208" s="198"/>
    </row>
    <row r="2209" spans="1:8" ht="15.75" hidden="1" customHeight="1" x14ac:dyDescent="0.25">
      <c r="A2209" s="205" t="s">
        <v>2191</v>
      </c>
      <c r="B2209" s="206">
        <v>93437</v>
      </c>
      <c r="C2209" s="207" t="s">
        <v>2816</v>
      </c>
      <c r="D2209" s="208" t="s">
        <v>2193</v>
      </c>
      <c r="E2209" s="209">
        <v>9.99</v>
      </c>
      <c r="F2209" s="209">
        <v>0</v>
      </c>
      <c r="G2209" s="209">
        <v>9.99</v>
      </c>
      <c r="H2209" s="198"/>
    </row>
    <row r="2210" spans="1:8" ht="15.75" hidden="1" customHeight="1" x14ac:dyDescent="0.25">
      <c r="A2210" s="205" t="s">
        <v>2191</v>
      </c>
      <c r="B2210" s="206">
        <v>93438</v>
      </c>
      <c r="C2210" s="207" t="s">
        <v>2817</v>
      </c>
      <c r="D2210" s="208" t="s">
        <v>2193</v>
      </c>
      <c r="E2210" s="209">
        <v>118.81</v>
      </c>
      <c r="F2210" s="209">
        <v>0</v>
      </c>
      <c r="G2210" s="209">
        <v>118.81</v>
      </c>
      <c r="H2210" s="198"/>
    </row>
    <row r="2211" spans="1:8" ht="15.75" hidden="1" customHeight="1" x14ac:dyDescent="0.25">
      <c r="A2211" s="205" t="s">
        <v>2191</v>
      </c>
      <c r="B2211" s="206">
        <v>100643</v>
      </c>
      <c r="C2211" s="207" t="s">
        <v>2818</v>
      </c>
      <c r="D2211" s="208" t="s">
        <v>2193</v>
      </c>
      <c r="E2211" s="209">
        <v>409.36</v>
      </c>
      <c r="F2211" s="209">
        <v>0</v>
      </c>
      <c r="G2211" s="209">
        <v>409.36</v>
      </c>
      <c r="H2211" s="198"/>
    </row>
    <row r="2212" spans="1:8" ht="15.75" hidden="1" customHeight="1" x14ac:dyDescent="0.25">
      <c r="A2212" s="205" t="s">
        <v>2191</v>
      </c>
      <c r="B2212" s="206">
        <v>100644</v>
      </c>
      <c r="C2212" s="207" t="s">
        <v>2819</v>
      </c>
      <c r="D2212" s="208" t="s">
        <v>2193</v>
      </c>
      <c r="E2212" s="209">
        <v>144.29</v>
      </c>
      <c r="F2212" s="209">
        <v>0</v>
      </c>
      <c r="G2212" s="209">
        <v>144.29</v>
      </c>
      <c r="H2212" s="198"/>
    </row>
    <row r="2213" spans="1:8" ht="15.75" hidden="1" customHeight="1" x14ac:dyDescent="0.25">
      <c r="A2213" s="205" t="s">
        <v>2191</v>
      </c>
      <c r="B2213" s="206">
        <v>100645</v>
      </c>
      <c r="C2213" s="207" t="s">
        <v>2820</v>
      </c>
      <c r="D2213" s="208" t="s">
        <v>2193</v>
      </c>
      <c r="E2213" s="209">
        <v>658.04</v>
      </c>
      <c r="F2213" s="209">
        <v>0</v>
      </c>
      <c r="G2213" s="209">
        <v>658.04</v>
      </c>
      <c r="H2213" s="198"/>
    </row>
    <row r="2214" spans="1:8" ht="15.75" hidden="1" customHeight="1" x14ac:dyDescent="0.25">
      <c r="A2214" s="205" t="s">
        <v>2191</v>
      </c>
      <c r="B2214" s="206">
        <v>100646</v>
      </c>
      <c r="C2214" s="207" t="s">
        <v>2821</v>
      </c>
      <c r="D2214" s="208" t="s">
        <v>2193</v>
      </c>
      <c r="E2214" s="209">
        <v>5697</v>
      </c>
      <c r="F2214" s="209">
        <v>0</v>
      </c>
      <c r="G2214" s="209">
        <v>5697</v>
      </c>
      <c r="H2214" s="198"/>
    </row>
    <row r="2215" spans="1:8" ht="15.75" hidden="1" customHeight="1" x14ac:dyDescent="0.25">
      <c r="A2215" s="205" t="s">
        <v>2191</v>
      </c>
      <c r="B2215" s="206">
        <v>95116</v>
      </c>
      <c r="C2215" s="207" t="s">
        <v>2822</v>
      </c>
      <c r="D2215" s="208" t="s">
        <v>2193</v>
      </c>
      <c r="E2215" s="209">
        <v>32.549999999999997</v>
      </c>
      <c r="F2215" s="209">
        <v>0</v>
      </c>
      <c r="G2215" s="209">
        <v>32.549999999999997</v>
      </c>
      <c r="H2215" s="198"/>
    </row>
    <row r="2216" spans="1:8" ht="15.75" hidden="1" customHeight="1" x14ac:dyDescent="0.25">
      <c r="A2216" s="205" t="s">
        <v>2191</v>
      </c>
      <c r="B2216" s="206">
        <v>95117</v>
      </c>
      <c r="C2216" s="207" t="s">
        <v>2823</v>
      </c>
      <c r="D2216" s="208" t="s">
        <v>2193</v>
      </c>
      <c r="E2216" s="209">
        <v>10.039999999999999</v>
      </c>
      <c r="F2216" s="209">
        <v>0</v>
      </c>
      <c r="G2216" s="209">
        <v>10.039999999999999</v>
      </c>
      <c r="H2216" s="198"/>
    </row>
    <row r="2217" spans="1:8" ht="15.75" hidden="1" customHeight="1" x14ac:dyDescent="0.25">
      <c r="A2217" s="205" t="s">
        <v>2191</v>
      </c>
      <c r="B2217" s="206">
        <v>53794</v>
      </c>
      <c r="C2217" s="207" t="s">
        <v>2824</v>
      </c>
      <c r="D2217" s="208" t="s">
        <v>2193</v>
      </c>
      <c r="E2217" s="209">
        <v>35.619999999999997</v>
      </c>
      <c r="F2217" s="209">
        <v>0</v>
      </c>
      <c r="G2217" s="209">
        <v>35.619999999999997</v>
      </c>
      <c r="H2217" s="198"/>
    </row>
    <row r="2218" spans="1:8" ht="15.75" hidden="1" customHeight="1" x14ac:dyDescent="0.25">
      <c r="A2218" s="205" t="s">
        <v>2191</v>
      </c>
      <c r="B2218" s="206">
        <v>5703</v>
      </c>
      <c r="C2218" s="207" t="s">
        <v>2825</v>
      </c>
      <c r="D2218" s="208" t="s">
        <v>2193</v>
      </c>
      <c r="E2218" s="209">
        <v>16.89</v>
      </c>
      <c r="F2218" s="209">
        <v>0</v>
      </c>
      <c r="G2218" s="209">
        <v>16.89</v>
      </c>
      <c r="H2218" s="198"/>
    </row>
    <row r="2219" spans="1:8" ht="15.75" hidden="1" customHeight="1" x14ac:dyDescent="0.25">
      <c r="A2219" s="205" t="s">
        <v>2191</v>
      </c>
      <c r="B2219" s="206">
        <v>88847</v>
      </c>
      <c r="C2219" s="207" t="s">
        <v>2826</v>
      </c>
      <c r="D2219" s="208" t="s">
        <v>2193</v>
      </c>
      <c r="E2219" s="209">
        <v>22.82</v>
      </c>
      <c r="F2219" s="209">
        <v>0</v>
      </c>
      <c r="G2219" s="209">
        <v>22.82</v>
      </c>
      <c r="H2219" s="198"/>
    </row>
    <row r="2220" spans="1:8" ht="15.75" hidden="1" customHeight="1" x14ac:dyDescent="0.25">
      <c r="A2220" s="205" t="s">
        <v>2191</v>
      </c>
      <c r="B2220" s="206">
        <v>88848</v>
      </c>
      <c r="C2220" s="207" t="s">
        <v>2827</v>
      </c>
      <c r="D2220" s="208" t="s">
        <v>2193</v>
      </c>
      <c r="E2220" s="209">
        <v>9.3800000000000008</v>
      </c>
      <c r="F2220" s="209">
        <v>0</v>
      </c>
      <c r="G2220" s="209">
        <v>9.3800000000000008</v>
      </c>
      <c r="H2220" s="198"/>
    </row>
    <row r="2221" spans="1:8" ht="15.75" hidden="1" customHeight="1" x14ac:dyDescent="0.25">
      <c r="A2221" s="205" t="s">
        <v>2191</v>
      </c>
      <c r="B2221" s="206">
        <v>5741</v>
      </c>
      <c r="C2221" s="207" t="s">
        <v>2828</v>
      </c>
      <c r="D2221" s="208" t="s">
        <v>2193</v>
      </c>
      <c r="E2221" s="209">
        <v>42.78</v>
      </c>
      <c r="F2221" s="209">
        <v>0</v>
      </c>
      <c r="G2221" s="209">
        <v>42.78</v>
      </c>
      <c r="H2221" s="198"/>
    </row>
    <row r="2222" spans="1:8" ht="15.75" hidden="1" customHeight="1" x14ac:dyDescent="0.25">
      <c r="A2222" s="205" t="s">
        <v>2191</v>
      </c>
      <c r="B2222" s="206">
        <v>5742</v>
      </c>
      <c r="C2222" s="207" t="s">
        <v>2829</v>
      </c>
      <c r="D2222" s="208" t="s">
        <v>2193</v>
      </c>
      <c r="E2222" s="209">
        <v>29.18</v>
      </c>
      <c r="F2222" s="209">
        <v>0</v>
      </c>
      <c r="G2222" s="209">
        <v>29.18</v>
      </c>
      <c r="H2222" s="198"/>
    </row>
    <row r="2223" spans="1:8" ht="15.75" hidden="1" customHeight="1" x14ac:dyDescent="0.25">
      <c r="A2223" s="205" t="s">
        <v>2191</v>
      </c>
      <c r="B2223" s="206">
        <v>100637</v>
      </c>
      <c r="C2223" s="207" t="s">
        <v>2830</v>
      </c>
      <c r="D2223" s="208" t="s">
        <v>2193</v>
      </c>
      <c r="E2223" s="209">
        <v>199.78</v>
      </c>
      <c r="F2223" s="209">
        <v>0</v>
      </c>
      <c r="G2223" s="209">
        <v>199.78</v>
      </c>
      <c r="H2223" s="198"/>
    </row>
    <row r="2224" spans="1:8" ht="15.75" hidden="1" customHeight="1" x14ac:dyDescent="0.25">
      <c r="A2224" s="205" t="s">
        <v>2191</v>
      </c>
      <c r="B2224" s="206">
        <v>100638</v>
      </c>
      <c r="C2224" s="207" t="s">
        <v>2831</v>
      </c>
      <c r="D2224" s="208" t="s">
        <v>2193</v>
      </c>
      <c r="E2224" s="209">
        <v>61.41</v>
      </c>
      <c r="F2224" s="209">
        <v>0</v>
      </c>
      <c r="G2224" s="209">
        <v>61.41</v>
      </c>
      <c r="H2224" s="198"/>
    </row>
    <row r="2225" spans="1:8" ht="15.75" hidden="1" customHeight="1" x14ac:dyDescent="0.25">
      <c r="A2225" s="205" t="s">
        <v>2191</v>
      </c>
      <c r="B2225" s="206">
        <v>100639</v>
      </c>
      <c r="C2225" s="207" t="s">
        <v>2832</v>
      </c>
      <c r="D2225" s="208" t="s">
        <v>2193</v>
      </c>
      <c r="E2225" s="209">
        <v>249.92</v>
      </c>
      <c r="F2225" s="209">
        <v>0</v>
      </c>
      <c r="G2225" s="209">
        <v>249.92</v>
      </c>
      <c r="H2225" s="198"/>
    </row>
    <row r="2226" spans="1:8" ht="15.75" hidden="1" customHeight="1" x14ac:dyDescent="0.25">
      <c r="A2226" s="205" t="s">
        <v>2191</v>
      </c>
      <c r="B2226" s="206">
        <v>100640</v>
      </c>
      <c r="C2226" s="207" t="s">
        <v>2833</v>
      </c>
      <c r="D2226" s="208" t="s">
        <v>2193</v>
      </c>
      <c r="E2226" s="209">
        <v>4557.6000000000004</v>
      </c>
      <c r="F2226" s="209">
        <v>0</v>
      </c>
      <c r="G2226" s="209">
        <v>4557.6000000000004</v>
      </c>
      <c r="H2226" s="198"/>
    </row>
    <row r="2227" spans="1:8" ht="15.75" hidden="1" customHeight="1" x14ac:dyDescent="0.25">
      <c r="A2227" s="205" t="s">
        <v>2191</v>
      </c>
      <c r="B2227" s="206">
        <v>93429</v>
      </c>
      <c r="C2227" s="207" t="s">
        <v>2834</v>
      </c>
      <c r="D2227" s="208" t="s">
        <v>2193</v>
      </c>
      <c r="E2227" s="209">
        <v>162.63999999999999</v>
      </c>
      <c r="F2227" s="209">
        <v>0</v>
      </c>
      <c r="G2227" s="209">
        <v>162.63999999999999</v>
      </c>
      <c r="H2227" s="198"/>
    </row>
    <row r="2228" spans="1:8" ht="15.75" hidden="1" customHeight="1" x14ac:dyDescent="0.25">
      <c r="A2228" s="205" t="s">
        <v>2191</v>
      </c>
      <c r="B2228" s="206">
        <v>93430</v>
      </c>
      <c r="C2228" s="207" t="s">
        <v>2835</v>
      </c>
      <c r="D2228" s="208" t="s">
        <v>2193</v>
      </c>
      <c r="E2228" s="209">
        <v>49.99</v>
      </c>
      <c r="F2228" s="209">
        <v>0</v>
      </c>
      <c r="G2228" s="209">
        <v>49.99</v>
      </c>
      <c r="H2228" s="198"/>
    </row>
    <row r="2229" spans="1:8" ht="15.75" hidden="1" customHeight="1" x14ac:dyDescent="0.25">
      <c r="A2229" s="205" t="s">
        <v>2191</v>
      </c>
      <c r="B2229" s="206">
        <v>93431</v>
      </c>
      <c r="C2229" s="207" t="s">
        <v>2836</v>
      </c>
      <c r="D2229" s="208" t="s">
        <v>2193</v>
      </c>
      <c r="E2229" s="209">
        <v>203.46</v>
      </c>
      <c r="F2229" s="209">
        <v>0</v>
      </c>
      <c r="G2229" s="209">
        <v>203.46</v>
      </c>
      <c r="H2229" s="198"/>
    </row>
    <row r="2230" spans="1:8" ht="15.75" hidden="1" customHeight="1" x14ac:dyDescent="0.25">
      <c r="A2230" s="205" t="s">
        <v>2191</v>
      </c>
      <c r="B2230" s="206">
        <v>93432</v>
      </c>
      <c r="C2230" s="207" t="s">
        <v>2837</v>
      </c>
      <c r="D2230" s="208" t="s">
        <v>2193</v>
      </c>
      <c r="E2230" s="209">
        <v>2278.8000000000002</v>
      </c>
      <c r="F2230" s="209">
        <v>0</v>
      </c>
      <c r="G2230" s="209">
        <v>2278.8000000000002</v>
      </c>
      <c r="H2230" s="198"/>
    </row>
    <row r="2231" spans="1:8" ht="15.75" hidden="1" customHeight="1" x14ac:dyDescent="0.25">
      <c r="A2231" s="205" t="s">
        <v>2191</v>
      </c>
      <c r="B2231" s="206">
        <v>95118</v>
      </c>
      <c r="C2231" s="207" t="s">
        <v>2838</v>
      </c>
      <c r="D2231" s="208" t="s">
        <v>2193</v>
      </c>
      <c r="E2231" s="209">
        <v>74.59</v>
      </c>
      <c r="F2231" s="209">
        <v>0</v>
      </c>
      <c r="G2231" s="209">
        <v>74.59</v>
      </c>
      <c r="H2231" s="198"/>
    </row>
    <row r="2232" spans="1:8" ht="15.75" hidden="1" customHeight="1" x14ac:dyDescent="0.25">
      <c r="A2232" s="205" t="s">
        <v>2191</v>
      </c>
      <c r="B2232" s="206">
        <v>95119</v>
      </c>
      <c r="C2232" s="207" t="s">
        <v>2839</v>
      </c>
      <c r="D2232" s="208" t="s">
        <v>2193</v>
      </c>
      <c r="E2232" s="209">
        <v>23.01</v>
      </c>
      <c r="F2232" s="209">
        <v>0</v>
      </c>
      <c r="G2232" s="209">
        <v>23.01</v>
      </c>
      <c r="H2232" s="198"/>
    </row>
    <row r="2233" spans="1:8" ht="15.75" hidden="1" customHeight="1" x14ac:dyDescent="0.25">
      <c r="A2233" s="205" t="s">
        <v>2191</v>
      </c>
      <c r="B2233" s="206">
        <v>5707</v>
      </c>
      <c r="C2233" s="207" t="s">
        <v>2840</v>
      </c>
      <c r="D2233" s="208" t="s">
        <v>2193</v>
      </c>
      <c r="E2233" s="209">
        <v>81.61</v>
      </c>
      <c r="F2233" s="209">
        <v>0</v>
      </c>
      <c r="G2233" s="209">
        <v>81.61</v>
      </c>
      <c r="H2233" s="198"/>
    </row>
    <row r="2234" spans="1:8" ht="15.75" hidden="1" customHeight="1" x14ac:dyDescent="0.25">
      <c r="A2234" s="205" t="s">
        <v>2191</v>
      </c>
      <c r="B2234" s="206">
        <v>95120</v>
      </c>
      <c r="C2234" s="207" t="s">
        <v>2841</v>
      </c>
      <c r="D2234" s="208" t="s">
        <v>2193</v>
      </c>
      <c r="E2234" s="209">
        <v>45.26</v>
      </c>
      <c r="F2234" s="209">
        <v>0</v>
      </c>
      <c r="G2234" s="209">
        <v>45.26</v>
      </c>
      <c r="H2234" s="198"/>
    </row>
    <row r="2235" spans="1:8" ht="15.75" hidden="1" customHeight="1" x14ac:dyDescent="0.25">
      <c r="A2235" s="205" t="s">
        <v>2191</v>
      </c>
      <c r="B2235" s="206">
        <v>103660</v>
      </c>
      <c r="C2235" s="207" t="s">
        <v>2842</v>
      </c>
      <c r="D2235" s="208" t="s">
        <v>2193</v>
      </c>
      <c r="E2235" s="209">
        <v>12.95</v>
      </c>
      <c r="F2235" s="209">
        <v>0</v>
      </c>
      <c r="G2235" s="209">
        <v>12.95</v>
      </c>
      <c r="H2235" s="198"/>
    </row>
    <row r="2236" spans="1:8" ht="15.75" hidden="1" customHeight="1" x14ac:dyDescent="0.25">
      <c r="A2236" s="205" t="s">
        <v>2191</v>
      </c>
      <c r="B2236" s="206">
        <v>89015</v>
      </c>
      <c r="C2236" s="207" t="s">
        <v>2843</v>
      </c>
      <c r="D2236" s="208" t="s">
        <v>2193</v>
      </c>
      <c r="E2236" s="209">
        <v>3.84</v>
      </c>
      <c r="F2236" s="209">
        <v>0</v>
      </c>
      <c r="G2236" s="209">
        <v>3.84</v>
      </c>
      <c r="H2236" s="198"/>
    </row>
    <row r="2237" spans="1:8" ht="15.75" hidden="1" customHeight="1" x14ac:dyDescent="0.25">
      <c r="A2237" s="205" t="s">
        <v>2191</v>
      </c>
      <c r="B2237" s="206">
        <v>89016</v>
      </c>
      <c r="C2237" s="207" t="s">
        <v>2844</v>
      </c>
      <c r="D2237" s="208" t="s">
        <v>2193</v>
      </c>
      <c r="E2237" s="209">
        <v>1.01</v>
      </c>
      <c r="F2237" s="209">
        <v>0</v>
      </c>
      <c r="G2237" s="209">
        <v>1.01</v>
      </c>
      <c r="H2237" s="198"/>
    </row>
    <row r="2238" spans="1:8" ht="15.75" hidden="1" customHeight="1" x14ac:dyDescent="0.25">
      <c r="A2238" s="205" t="s">
        <v>2191</v>
      </c>
      <c r="B2238" s="206">
        <v>53804</v>
      </c>
      <c r="C2238" s="207" t="s">
        <v>2845</v>
      </c>
      <c r="D2238" s="208" t="s">
        <v>2193</v>
      </c>
      <c r="E2238" s="209">
        <v>4.8</v>
      </c>
      <c r="F2238" s="209">
        <v>0</v>
      </c>
      <c r="G2238" s="209">
        <v>4.8</v>
      </c>
      <c r="H2238" s="198"/>
    </row>
    <row r="2239" spans="1:8" ht="15.75" hidden="1" customHeight="1" x14ac:dyDescent="0.25">
      <c r="A2239" s="205" t="s">
        <v>2191</v>
      </c>
      <c r="B2239" s="206">
        <v>90582</v>
      </c>
      <c r="C2239" s="207" t="s">
        <v>2846</v>
      </c>
      <c r="D2239" s="208" t="s">
        <v>2193</v>
      </c>
      <c r="E2239" s="209">
        <v>0.43</v>
      </c>
      <c r="F2239" s="209">
        <v>0</v>
      </c>
      <c r="G2239" s="209">
        <v>0.43</v>
      </c>
      <c r="H2239" s="198"/>
    </row>
    <row r="2240" spans="1:8" ht="15.75" hidden="1" customHeight="1" x14ac:dyDescent="0.25">
      <c r="A2240" s="205" t="s">
        <v>2191</v>
      </c>
      <c r="B2240" s="206">
        <v>90583</v>
      </c>
      <c r="C2240" s="207" t="s">
        <v>2847</v>
      </c>
      <c r="D2240" s="208" t="s">
        <v>2193</v>
      </c>
      <c r="E2240" s="209">
        <v>0.1</v>
      </c>
      <c r="F2240" s="209">
        <v>0</v>
      </c>
      <c r="G2240" s="209">
        <v>0.1</v>
      </c>
      <c r="H2240" s="198"/>
    </row>
    <row r="2241" spans="1:8" ht="15.75" hidden="1" customHeight="1" x14ac:dyDescent="0.25">
      <c r="A2241" s="205" t="s">
        <v>2191</v>
      </c>
      <c r="B2241" s="206">
        <v>90584</v>
      </c>
      <c r="C2241" s="207" t="s">
        <v>2848</v>
      </c>
      <c r="D2241" s="208" t="s">
        <v>2193</v>
      </c>
      <c r="E2241" s="209">
        <v>0.33</v>
      </c>
      <c r="F2241" s="209">
        <v>0</v>
      </c>
      <c r="G2241" s="209">
        <v>0.33</v>
      </c>
      <c r="H2241" s="198"/>
    </row>
    <row r="2242" spans="1:8" ht="15.75" hidden="1" customHeight="1" x14ac:dyDescent="0.25">
      <c r="A2242" s="205" t="s">
        <v>2191</v>
      </c>
      <c r="B2242" s="206">
        <v>90585</v>
      </c>
      <c r="C2242" s="207" t="s">
        <v>2849</v>
      </c>
      <c r="D2242" s="208" t="s">
        <v>2193</v>
      </c>
      <c r="E2242" s="209">
        <v>0.36</v>
      </c>
      <c r="F2242" s="209">
        <v>0</v>
      </c>
      <c r="G2242" s="209">
        <v>0.36</v>
      </c>
      <c r="H2242" s="198"/>
    </row>
    <row r="2243" spans="1:8" ht="15.75" hidden="1" customHeight="1" x14ac:dyDescent="0.25">
      <c r="A2243" s="205" t="s">
        <v>2191</v>
      </c>
      <c r="B2243" s="206">
        <v>89240</v>
      </c>
      <c r="C2243" s="207" t="s">
        <v>2850</v>
      </c>
      <c r="D2243" s="208" t="s">
        <v>2193</v>
      </c>
      <c r="E2243" s="209">
        <v>82.67</v>
      </c>
      <c r="F2243" s="209">
        <v>0</v>
      </c>
      <c r="G2243" s="209">
        <v>82.67</v>
      </c>
      <c r="H2243" s="198"/>
    </row>
    <row r="2244" spans="1:8" ht="15.75" hidden="1" customHeight="1" x14ac:dyDescent="0.25">
      <c r="A2244" s="205" t="s">
        <v>2191</v>
      </c>
      <c r="B2244" s="206">
        <v>89241</v>
      </c>
      <c r="C2244" s="207" t="s">
        <v>2851</v>
      </c>
      <c r="D2244" s="208" t="s">
        <v>2193</v>
      </c>
      <c r="E2244" s="209">
        <v>29.14</v>
      </c>
      <c r="F2244" s="209">
        <v>0</v>
      </c>
      <c r="G2244" s="209">
        <v>29.14</v>
      </c>
      <c r="H2244" s="198"/>
    </row>
    <row r="2245" spans="1:8" ht="15.75" hidden="1" customHeight="1" x14ac:dyDescent="0.25">
      <c r="A2245" s="205" t="s">
        <v>2191</v>
      </c>
      <c r="B2245" s="206">
        <v>5710</v>
      </c>
      <c r="C2245" s="207" t="s">
        <v>2852</v>
      </c>
      <c r="D2245" s="208" t="s">
        <v>2193</v>
      </c>
      <c r="E2245" s="209">
        <v>132.9</v>
      </c>
      <c r="F2245" s="209">
        <v>0</v>
      </c>
      <c r="G2245" s="209">
        <v>132.9</v>
      </c>
      <c r="H2245" s="198"/>
    </row>
    <row r="2246" spans="1:8" ht="15.75" hidden="1" customHeight="1" x14ac:dyDescent="0.25">
      <c r="A2246" s="205" t="s">
        <v>2191</v>
      </c>
      <c r="B2246" s="206">
        <v>5711</v>
      </c>
      <c r="C2246" s="207" t="s">
        <v>2853</v>
      </c>
      <c r="D2246" s="208" t="s">
        <v>2193</v>
      </c>
      <c r="E2246" s="209">
        <v>94.19</v>
      </c>
      <c r="F2246" s="209">
        <v>0</v>
      </c>
      <c r="G2246" s="209">
        <v>94.19</v>
      </c>
      <c r="H2246" s="198"/>
    </row>
    <row r="2247" spans="1:8" ht="15.75" hidden="1" customHeight="1" x14ac:dyDescent="0.25">
      <c r="A2247" s="205" t="s">
        <v>2191</v>
      </c>
      <c r="B2247" s="206">
        <v>89253</v>
      </c>
      <c r="C2247" s="207" t="s">
        <v>2854</v>
      </c>
      <c r="D2247" s="208" t="s">
        <v>2193</v>
      </c>
      <c r="E2247" s="209">
        <v>67.75</v>
      </c>
      <c r="F2247" s="209">
        <v>0</v>
      </c>
      <c r="G2247" s="209">
        <v>67.75</v>
      </c>
      <c r="H2247" s="198"/>
    </row>
    <row r="2248" spans="1:8" ht="15.75" hidden="1" customHeight="1" x14ac:dyDescent="0.25">
      <c r="A2248" s="205" t="s">
        <v>2191</v>
      </c>
      <c r="B2248" s="206">
        <v>89254</v>
      </c>
      <c r="C2248" s="207" t="s">
        <v>2855</v>
      </c>
      <c r="D2248" s="208" t="s">
        <v>2193</v>
      </c>
      <c r="E2248" s="209">
        <v>23.88</v>
      </c>
      <c r="F2248" s="209">
        <v>0</v>
      </c>
      <c r="G2248" s="209">
        <v>23.88</v>
      </c>
      <c r="H2248" s="198"/>
    </row>
    <row r="2249" spans="1:8" ht="15.75" hidden="1" customHeight="1" x14ac:dyDescent="0.25">
      <c r="A2249" s="205" t="s">
        <v>2191</v>
      </c>
      <c r="B2249" s="206">
        <v>89255</v>
      </c>
      <c r="C2249" s="207" t="s">
        <v>2856</v>
      </c>
      <c r="D2249" s="208" t="s">
        <v>2193</v>
      </c>
      <c r="E2249" s="209">
        <v>108.91</v>
      </c>
      <c r="F2249" s="209">
        <v>0</v>
      </c>
      <c r="G2249" s="209">
        <v>108.91</v>
      </c>
      <c r="H2249" s="198"/>
    </row>
    <row r="2250" spans="1:8" ht="15.75" hidden="1" customHeight="1" x14ac:dyDescent="0.25">
      <c r="A2250" s="205" t="s">
        <v>2191</v>
      </c>
      <c r="B2250" s="206">
        <v>89256</v>
      </c>
      <c r="C2250" s="207" t="s">
        <v>2857</v>
      </c>
      <c r="D2250" s="208" t="s">
        <v>2193</v>
      </c>
      <c r="E2250" s="209">
        <v>89.69</v>
      </c>
      <c r="F2250" s="209">
        <v>0</v>
      </c>
      <c r="G2250" s="209">
        <v>89.69</v>
      </c>
      <c r="H2250" s="198"/>
    </row>
    <row r="2251" spans="1:8" ht="15.75" hidden="1" customHeight="1" x14ac:dyDescent="0.25">
      <c r="A2251" s="205" t="s">
        <v>2858</v>
      </c>
      <c r="B2251" s="206">
        <v>103797</v>
      </c>
      <c r="C2251" s="207" t="s">
        <v>2859</v>
      </c>
      <c r="D2251" s="208" t="s">
        <v>823</v>
      </c>
      <c r="E2251" s="209">
        <v>11.13</v>
      </c>
      <c r="F2251" s="209">
        <v>7.3</v>
      </c>
      <c r="G2251" s="209">
        <v>18.43</v>
      </c>
      <c r="H2251" s="198"/>
    </row>
    <row r="2252" spans="1:8" ht="15.75" hidden="1" customHeight="1" x14ac:dyDescent="0.25">
      <c r="A2252" s="205" t="s">
        <v>2858</v>
      </c>
      <c r="B2252" s="206">
        <v>103930</v>
      </c>
      <c r="C2252" s="207" t="s">
        <v>2860</v>
      </c>
      <c r="D2252" s="208" t="s">
        <v>664</v>
      </c>
      <c r="E2252" s="209">
        <v>534.41</v>
      </c>
      <c r="F2252" s="209">
        <v>237.96</v>
      </c>
      <c r="G2252" s="209">
        <v>772.37</v>
      </c>
      <c r="H2252" s="198"/>
    </row>
    <row r="2253" spans="1:8" ht="15.75" hidden="1" customHeight="1" x14ac:dyDescent="0.25">
      <c r="A2253" s="205" t="s">
        <v>2858</v>
      </c>
      <c r="B2253" s="206">
        <v>103931</v>
      </c>
      <c r="C2253" s="207" t="s">
        <v>2861</v>
      </c>
      <c r="D2253" s="208" t="s">
        <v>664</v>
      </c>
      <c r="E2253" s="209">
        <v>388.86</v>
      </c>
      <c r="F2253" s="209">
        <v>187.57</v>
      </c>
      <c r="G2253" s="209">
        <v>576.42999999999995</v>
      </c>
      <c r="H2253" s="198"/>
    </row>
    <row r="2254" spans="1:8" ht="15.75" hidden="1" customHeight="1" x14ac:dyDescent="0.25">
      <c r="A2254" s="205" t="s">
        <v>2858</v>
      </c>
      <c r="B2254" s="206">
        <v>103932</v>
      </c>
      <c r="C2254" s="207" t="s">
        <v>2862</v>
      </c>
      <c r="D2254" s="208" t="s">
        <v>664</v>
      </c>
      <c r="E2254" s="209">
        <v>367.58</v>
      </c>
      <c r="F2254" s="209">
        <v>180.14</v>
      </c>
      <c r="G2254" s="209">
        <v>547.72</v>
      </c>
      <c r="H2254" s="198"/>
    </row>
    <row r="2255" spans="1:8" ht="15.75" hidden="1" customHeight="1" x14ac:dyDescent="0.25">
      <c r="A2255" s="205" t="s">
        <v>2858</v>
      </c>
      <c r="B2255" s="206">
        <v>103929</v>
      </c>
      <c r="C2255" s="207" t="s">
        <v>2863</v>
      </c>
      <c r="D2255" s="208" t="s">
        <v>664</v>
      </c>
      <c r="E2255" s="209">
        <v>884.26</v>
      </c>
      <c r="F2255" s="209">
        <v>352.98</v>
      </c>
      <c r="G2255" s="209">
        <v>1237.24</v>
      </c>
      <c r="H2255" s="198"/>
    </row>
    <row r="2256" spans="1:8" ht="15.75" hidden="1" customHeight="1" x14ac:dyDescent="0.25">
      <c r="A2256" s="205" t="s">
        <v>2858</v>
      </c>
      <c r="B2256" s="206">
        <v>103928</v>
      </c>
      <c r="C2256" s="207" t="s">
        <v>2864</v>
      </c>
      <c r="D2256" s="208" t="s">
        <v>664</v>
      </c>
      <c r="E2256" s="209">
        <v>339.35</v>
      </c>
      <c r="F2256" s="209">
        <v>195.55</v>
      </c>
      <c r="G2256" s="209">
        <v>534.9</v>
      </c>
      <c r="H2256" s="198"/>
    </row>
    <row r="2257" spans="1:8" ht="15.75" hidden="1" customHeight="1" x14ac:dyDescent="0.25">
      <c r="A2257" s="205" t="s">
        <v>2858</v>
      </c>
      <c r="B2257" s="206">
        <v>103798</v>
      </c>
      <c r="C2257" s="207" t="s">
        <v>2865</v>
      </c>
      <c r="D2257" s="208" t="s">
        <v>664</v>
      </c>
      <c r="E2257" s="209">
        <v>561.74</v>
      </c>
      <c r="F2257" s="209">
        <v>59.51</v>
      </c>
      <c r="G2257" s="209">
        <v>621.25</v>
      </c>
      <c r="H2257" s="198"/>
    </row>
    <row r="2258" spans="1:8" ht="15.75" hidden="1" customHeight="1" x14ac:dyDescent="0.25">
      <c r="A2258" s="205" t="s">
        <v>2858</v>
      </c>
      <c r="B2258" s="206">
        <v>103801</v>
      </c>
      <c r="C2258" s="207" t="s">
        <v>2866</v>
      </c>
      <c r="D2258" s="208" t="s">
        <v>664</v>
      </c>
      <c r="E2258" s="209">
        <v>473.58</v>
      </c>
      <c r="F2258" s="209">
        <v>201.6</v>
      </c>
      <c r="G2258" s="209">
        <v>675.18</v>
      </c>
      <c r="H2258" s="198"/>
    </row>
    <row r="2259" spans="1:8" ht="15.75" hidden="1" customHeight="1" x14ac:dyDescent="0.25">
      <c r="A2259" s="205" t="s">
        <v>2858</v>
      </c>
      <c r="B2259" s="206">
        <v>103933</v>
      </c>
      <c r="C2259" s="207" t="s">
        <v>2867</v>
      </c>
      <c r="D2259" s="208" t="s">
        <v>664</v>
      </c>
      <c r="E2259" s="209">
        <v>1178.3800000000001</v>
      </c>
      <c r="F2259" s="209">
        <v>364</v>
      </c>
      <c r="G2259" s="209">
        <v>1542.38</v>
      </c>
      <c r="H2259" s="198"/>
    </row>
    <row r="2260" spans="1:8" ht="15.75" hidden="1" customHeight="1" x14ac:dyDescent="0.25">
      <c r="A2260" s="205" t="s">
        <v>2858</v>
      </c>
      <c r="B2260" s="206">
        <v>103925</v>
      </c>
      <c r="C2260" s="207" t="s">
        <v>2868</v>
      </c>
      <c r="D2260" s="208" t="s">
        <v>664</v>
      </c>
      <c r="E2260" s="209">
        <v>1221.3699999999999</v>
      </c>
      <c r="F2260" s="209">
        <v>549.75</v>
      </c>
      <c r="G2260" s="209">
        <v>1771.12</v>
      </c>
      <c r="H2260" s="198"/>
    </row>
    <row r="2261" spans="1:8" ht="15.75" hidden="1" customHeight="1" x14ac:dyDescent="0.25">
      <c r="A2261" s="205" t="s">
        <v>2858</v>
      </c>
      <c r="B2261" s="206">
        <v>103926</v>
      </c>
      <c r="C2261" s="207" t="s">
        <v>2869</v>
      </c>
      <c r="D2261" s="208" t="s">
        <v>664</v>
      </c>
      <c r="E2261" s="209">
        <v>1017.53</v>
      </c>
      <c r="F2261" s="209">
        <v>396.09</v>
      </c>
      <c r="G2261" s="209">
        <v>1413.62</v>
      </c>
      <c r="H2261" s="198"/>
    </row>
    <row r="2262" spans="1:8" ht="15.75" hidden="1" customHeight="1" x14ac:dyDescent="0.25">
      <c r="A2262" s="205" t="s">
        <v>2858</v>
      </c>
      <c r="B2262" s="206">
        <v>103796</v>
      </c>
      <c r="C2262" s="207" t="s">
        <v>2870</v>
      </c>
      <c r="D2262" s="208" t="s">
        <v>578</v>
      </c>
      <c r="E2262" s="209">
        <v>41.06</v>
      </c>
      <c r="F2262" s="209">
        <v>15.14</v>
      </c>
      <c r="G2262" s="209">
        <v>56.2</v>
      </c>
      <c r="H2262" s="198"/>
    </row>
    <row r="2263" spans="1:8" ht="15.75" hidden="1" customHeight="1" x14ac:dyDescent="0.25">
      <c r="A2263" s="205" t="s">
        <v>2858</v>
      </c>
      <c r="B2263" s="206">
        <v>103795</v>
      </c>
      <c r="C2263" s="207" t="s">
        <v>2871</v>
      </c>
      <c r="D2263" s="208" t="s">
        <v>578</v>
      </c>
      <c r="E2263" s="209">
        <v>50.41</v>
      </c>
      <c r="F2263" s="209">
        <v>41.69</v>
      </c>
      <c r="G2263" s="209">
        <v>92.1</v>
      </c>
      <c r="H2263" s="198"/>
    </row>
    <row r="2264" spans="1:8" ht="15.75" hidden="1" customHeight="1" x14ac:dyDescent="0.25">
      <c r="A2264" s="205" t="s">
        <v>2858</v>
      </c>
      <c r="B2264" s="206">
        <v>103800</v>
      </c>
      <c r="C2264" s="207" t="s">
        <v>2872</v>
      </c>
      <c r="D2264" s="208" t="s">
        <v>664</v>
      </c>
      <c r="E2264" s="209">
        <v>339.35</v>
      </c>
      <c r="F2264" s="209">
        <v>195.55</v>
      </c>
      <c r="G2264" s="209">
        <v>534.9</v>
      </c>
      <c r="H2264" s="198"/>
    </row>
    <row r="2265" spans="1:8" ht="15.75" hidden="1" customHeight="1" x14ac:dyDescent="0.25">
      <c r="A2265" s="205" t="s">
        <v>2858</v>
      </c>
      <c r="B2265" s="206">
        <v>103799</v>
      </c>
      <c r="C2265" s="207" t="s">
        <v>2873</v>
      </c>
      <c r="D2265" s="208" t="s">
        <v>664</v>
      </c>
      <c r="E2265" s="209">
        <v>272.14999999999998</v>
      </c>
      <c r="F2265" s="209">
        <v>153.28</v>
      </c>
      <c r="G2265" s="209">
        <v>425.43</v>
      </c>
      <c r="H2265" s="198"/>
    </row>
    <row r="2266" spans="1:8" ht="15.75" hidden="1" customHeight="1" x14ac:dyDescent="0.25">
      <c r="A2266" s="205" t="s">
        <v>2874</v>
      </c>
      <c r="B2266" s="206">
        <v>104948</v>
      </c>
      <c r="C2266" s="207" t="s">
        <v>2875</v>
      </c>
      <c r="D2266" s="208" t="s">
        <v>664</v>
      </c>
      <c r="E2266" s="209">
        <v>4.2699999999999996</v>
      </c>
      <c r="F2266" s="209">
        <v>1.54</v>
      </c>
      <c r="G2266" s="209">
        <v>5.81</v>
      </c>
      <c r="H2266" s="198"/>
    </row>
    <row r="2267" spans="1:8" ht="15.75" hidden="1" customHeight="1" x14ac:dyDescent="0.25">
      <c r="A2267" s="205" t="s">
        <v>2874</v>
      </c>
      <c r="B2267" s="206">
        <v>104949</v>
      </c>
      <c r="C2267" s="207" t="s">
        <v>2876</v>
      </c>
      <c r="D2267" s="208" t="s">
        <v>664</v>
      </c>
      <c r="E2267" s="209">
        <v>8.4600000000000009</v>
      </c>
      <c r="F2267" s="209">
        <v>2.36</v>
      </c>
      <c r="G2267" s="209">
        <v>10.82</v>
      </c>
      <c r="H2267" s="198"/>
    </row>
    <row r="2268" spans="1:8" ht="15.75" hidden="1" customHeight="1" x14ac:dyDescent="0.25">
      <c r="A2268" s="205" t="s">
        <v>2874</v>
      </c>
      <c r="B2268" s="206">
        <v>104947</v>
      </c>
      <c r="C2268" s="207" t="s">
        <v>2877</v>
      </c>
      <c r="D2268" s="208" t="s">
        <v>664</v>
      </c>
      <c r="E2268" s="209">
        <v>8.99</v>
      </c>
      <c r="F2268" s="209">
        <v>4.75</v>
      </c>
      <c r="G2268" s="209">
        <v>13.74</v>
      </c>
      <c r="H2268" s="198"/>
    </row>
    <row r="2269" spans="1:8" ht="15.75" hidden="1" customHeight="1" x14ac:dyDescent="0.25">
      <c r="A2269" s="205" t="s">
        <v>2878</v>
      </c>
      <c r="B2269" s="206">
        <v>104318</v>
      </c>
      <c r="C2269" s="207" t="s">
        <v>2879</v>
      </c>
      <c r="D2269" s="208" t="s">
        <v>580</v>
      </c>
      <c r="E2269" s="209">
        <v>3.71</v>
      </c>
      <c r="F2269" s="209">
        <v>5.0999999999999996</v>
      </c>
      <c r="G2269" s="209">
        <v>8.81</v>
      </c>
      <c r="H2269" s="198"/>
    </row>
    <row r="2270" spans="1:8" ht="15.75" hidden="1" customHeight="1" x14ac:dyDescent="0.25">
      <c r="A2270" s="205" t="s">
        <v>2878</v>
      </c>
      <c r="B2270" s="206">
        <v>89867</v>
      </c>
      <c r="C2270" s="207" t="s">
        <v>2880</v>
      </c>
      <c r="D2270" s="208" t="s">
        <v>580</v>
      </c>
      <c r="E2270" s="209">
        <v>4.37</v>
      </c>
      <c r="F2270" s="209">
        <v>5.36</v>
      </c>
      <c r="G2270" s="209">
        <v>9.73</v>
      </c>
      <c r="H2270" s="198"/>
    </row>
    <row r="2271" spans="1:8" ht="15.75" hidden="1" customHeight="1" x14ac:dyDescent="0.25">
      <c r="A2271" s="205" t="s">
        <v>2878</v>
      </c>
      <c r="B2271" s="206">
        <v>104320</v>
      </c>
      <c r="C2271" s="207" t="s">
        <v>2881</v>
      </c>
      <c r="D2271" s="208" t="s">
        <v>580</v>
      </c>
      <c r="E2271" s="209">
        <v>7.16</v>
      </c>
      <c r="F2271" s="209">
        <v>5.73</v>
      </c>
      <c r="G2271" s="209">
        <v>12.89</v>
      </c>
      <c r="H2271" s="198"/>
    </row>
    <row r="2272" spans="1:8" ht="15.75" hidden="1" customHeight="1" x14ac:dyDescent="0.25">
      <c r="A2272" s="205" t="s">
        <v>2878</v>
      </c>
      <c r="B2272" s="206">
        <v>104317</v>
      </c>
      <c r="C2272" s="207" t="s">
        <v>2882</v>
      </c>
      <c r="D2272" s="208" t="s">
        <v>580</v>
      </c>
      <c r="E2272" s="209">
        <v>3.27</v>
      </c>
      <c r="F2272" s="209">
        <v>5.09</v>
      </c>
      <c r="G2272" s="209">
        <v>8.36</v>
      </c>
      <c r="H2272" s="198"/>
    </row>
    <row r="2273" spans="1:8" ht="15.75" hidden="1" customHeight="1" x14ac:dyDescent="0.25">
      <c r="A2273" s="205" t="s">
        <v>2878</v>
      </c>
      <c r="B2273" s="206">
        <v>89866</v>
      </c>
      <c r="C2273" s="207" t="s">
        <v>2883</v>
      </c>
      <c r="D2273" s="208" t="s">
        <v>580</v>
      </c>
      <c r="E2273" s="209">
        <v>3.72</v>
      </c>
      <c r="F2273" s="209">
        <v>5.36</v>
      </c>
      <c r="G2273" s="209">
        <v>9.08</v>
      </c>
      <c r="H2273" s="198"/>
    </row>
    <row r="2274" spans="1:8" ht="15.75" hidden="1" customHeight="1" x14ac:dyDescent="0.25">
      <c r="A2274" s="205" t="s">
        <v>2878</v>
      </c>
      <c r="B2274" s="206">
        <v>104319</v>
      </c>
      <c r="C2274" s="207" t="s">
        <v>2884</v>
      </c>
      <c r="D2274" s="208" t="s">
        <v>580</v>
      </c>
      <c r="E2274" s="209">
        <v>5.71</v>
      </c>
      <c r="F2274" s="209">
        <v>5.73</v>
      </c>
      <c r="G2274" s="209">
        <v>11.44</v>
      </c>
      <c r="H2274" s="198"/>
    </row>
    <row r="2275" spans="1:8" ht="15.75" hidden="1" customHeight="1" x14ac:dyDescent="0.25">
      <c r="A2275" s="205" t="s">
        <v>2878</v>
      </c>
      <c r="B2275" s="206">
        <v>104321</v>
      </c>
      <c r="C2275" s="207" t="s">
        <v>2885</v>
      </c>
      <c r="D2275" s="208" t="s">
        <v>580</v>
      </c>
      <c r="E2275" s="209">
        <v>2.8</v>
      </c>
      <c r="F2275" s="209">
        <v>3.4</v>
      </c>
      <c r="G2275" s="209">
        <v>6.2</v>
      </c>
      <c r="H2275" s="198"/>
    </row>
    <row r="2276" spans="1:8" ht="15.75" hidden="1" customHeight="1" x14ac:dyDescent="0.25">
      <c r="A2276" s="205" t="s">
        <v>2878</v>
      </c>
      <c r="B2276" s="206">
        <v>89868</v>
      </c>
      <c r="C2276" s="207" t="s">
        <v>2886</v>
      </c>
      <c r="D2276" s="208" t="s">
        <v>580</v>
      </c>
      <c r="E2276" s="209">
        <v>3.16</v>
      </c>
      <c r="F2276" s="209">
        <v>3.57</v>
      </c>
      <c r="G2276" s="209">
        <v>6.73</v>
      </c>
      <c r="H2276" s="198"/>
    </row>
    <row r="2277" spans="1:8" ht="15.75" hidden="1" customHeight="1" x14ac:dyDescent="0.25">
      <c r="A2277" s="205" t="s">
        <v>2878</v>
      </c>
      <c r="B2277" s="206">
        <v>104322</v>
      </c>
      <c r="C2277" s="207" t="s">
        <v>2887</v>
      </c>
      <c r="D2277" s="208" t="s">
        <v>580</v>
      </c>
      <c r="E2277" s="209">
        <v>4.67</v>
      </c>
      <c r="F2277" s="209">
        <v>3.82</v>
      </c>
      <c r="G2277" s="209">
        <v>8.49</v>
      </c>
      <c r="H2277" s="198"/>
    </row>
    <row r="2278" spans="1:8" ht="15.75" hidden="1" customHeight="1" x14ac:dyDescent="0.25">
      <c r="A2278" s="205" t="s">
        <v>2878</v>
      </c>
      <c r="B2278" s="206">
        <v>104323</v>
      </c>
      <c r="C2278" s="207" t="s">
        <v>2888</v>
      </c>
      <c r="D2278" s="208" t="s">
        <v>580</v>
      </c>
      <c r="E2278" s="209">
        <v>4.71</v>
      </c>
      <c r="F2278" s="209">
        <v>6.8</v>
      </c>
      <c r="G2278" s="209">
        <v>11.51</v>
      </c>
      <c r="H2278" s="198"/>
    </row>
    <row r="2279" spans="1:8" ht="15.75" hidden="1" customHeight="1" x14ac:dyDescent="0.25">
      <c r="A2279" s="205" t="s">
        <v>2878</v>
      </c>
      <c r="B2279" s="206">
        <v>89869</v>
      </c>
      <c r="C2279" s="207" t="s">
        <v>2889</v>
      </c>
      <c r="D2279" s="208" t="s">
        <v>580</v>
      </c>
      <c r="E2279" s="209">
        <v>5.37</v>
      </c>
      <c r="F2279" s="209">
        <v>7.14</v>
      </c>
      <c r="G2279" s="209">
        <v>12.51</v>
      </c>
      <c r="H2279" s="198"/>
    </row>
    <row r="2280" spans="1:8" ht="15.75" hidden="1" customHeight="1" x14ac:dyDescent="0.25">
      <c r="A2280" s="205" t="s">
        <v>2878</v>
      </c>
      <c r="B2280" s="206">
        <v>104324</v>
      </c>
      <c r="C2280" s="207" t="s">
        <v>2890</v>
      </c>
      <c r="D2280" s="208" t="s">
        <v>580</v>
      </c>
      <c r="E2280" s="209">
        <v>8.34</v>
      </c>
      <c r="F2280" s="209">
        <v>7.65</v>
      </c>
      <c r="G2280" s="209">
        <v>15.99</v>
      </c>
      <c r="H2280" s="198"/>
    </row>
    <row r="2281" spans="1:8" ht="15.75" hidden="1" customHeight="1" x14ac:dyDescent="0.25">
      <c r="A2281" s="205" t="s">
        <v>2878</v>
      </c>
      <c r="B2281" s="206">
        <v>104315</v>
      </c>
      <c r="C2281" s="207" t="s">
        <v>2891</v>
      </c>
      <c r="D2281" s="208" t="s">
        <v>585</v>
      </c>
      <c r="E2281" s="209">
        <v>7.49</v>
      </c>
      <c r="F2281" s="209">
        <v>11.77</v>
      </c>
      <c r="G2281" s="209">
        <v>19.260000000000002</v>
      </c>
      <c r="H2281" s="198"/>
    </row>
    <row r="2282" spans="1:8" ht="15.75" hidden="1" customHeight="1" x14ac:dyDescent="0.25">
      <c r="A2282" s="205" t="s">
        <v>2878</v>
      </c>
      <c r="B2282" s="206">
        <v>89865</v>
      </c>
      <c r="C2282" s="207" t="s">
        <v>2892</v>
      </c>
      <c r="D2282" s="208" t="s">
        <v>585</v>
      </c>
      <c r="E2282" s="209">
        <v>8.1199999999999992</v>
      </c>
      <c r="F2282" s="209">
        <v>12.4</v>
      </c>
      <c r="G2282" s="209">
        <v>20.52</v>
      </c>
      <c r="H2282" s="198"/>
    </row>
    <row r="2283" spans="1:8" ht="15.75" hidden="1" customHeight="1" x14ac:dyDescent="0.25">
      <c r="A2283" s="205" t="s">
        <v>2878</v>
      </c>
      <c r="B2283" s="206">
        <v>104316</v>
      </c>
      <c r="C2283" s="207" t="s">
        <v>2893</v>
      </c>
      <c r="D2283" s="208" t="s">
        <v>585</v>
      </c>
      <c r="E2283" s="209">
        <v>12.69</v>
      </c>
      <c r="F2283" s="209">
        <v>13.26</v>
      </c>
      <c r="G2283" s="209">
        <v>25.95</v>
      </c>
      <c r="H2283" s="198"/>
    </row>
    <row r="2284" spans="1:8" ht="15.75" hidden="1" customHeight="1" x14ac:dyDescent="0.25">
      <c r="A2284" s="205" t="s">
        <v>2894</v>
      </c>
      <c r="B2284" s="206">
        <v>102724</v>
      </c>
      <c r="C2284" s="207" t="s">
        <v>2895</v>
      </c>
      <c r="D2284" s="208" t="s">
        <v>580</v>
      </c>
      <c r="E2284" s="209">
        <v>22.38</v>
      </c>
      <c r="F2284" s="209">
        <v>9.9700000000000006</v>
      </c>
      <c r="G2284" s="209">
        <v>32.35</v>
      </c>
      <c r="H2284" s="198"/>
    </row>
    <row r="2285" spans="1:8" ht="15.75" hidden="1" customHeight="1" x14ac:dyDescent="0.25">
      <c r="A2285" s="205" t="s">
        <v>2894</v>
      </c>
      <c r="B2285" s="206">
        <v>102726</v>
      </c>
      <c r="C2285" s="207" t="s">
        <v>2896</v>
      </c>
      <c r="D2285" s="208" t="s">
        <v>580</v>
      </c>
      <c r="E2285" s="209">
        <v>19.79</v>
      </c>
      <c r="F2285" s="209">
        <v>9.9700000000000006</v>
      </c>
      <c r="G2285" s="209">
        <v>29.76</v>
      </c>
      <c r="H2285" s="198"/>
    </row>
    <row r="2286" spans="1:8" ht="15.75" hidden="1" customHeight="1" x14ac:dyDescent="0.25">
      <c r="A2286" s="205" t="s">
        <v>2894</v>
      </c>
      <c r="B2286" s="206">
        <v>102725</v>
      </c>
      <c r="C2286" s="207" t="s">
        <v>2897</v>
      </c>
      <c r="D2286" s="208" t="s">
        <v>580</v>
      </c>
      <c r="E2286" s="209">
        <v>21.69</v>
      </c>
      <c r="F2286" s="209">
        <v>9.9700000000000006</v>
      </c>
      <c r="G2286" s="209">
        <v>31.66</v>
      </c>
      <c r="H2286" s="198"/>
    </row>
    <row r="2287" spans="1:8" ht="15.75" hidden="1" customHeight="1" x14ac:dyDescent="0.25">
      <c r="A2287" s="205" t="s">
        <v>2894</v>
      </c>
      <c r="B2287" s="206">
        <v>102722</v>
      </c>
      <c r="C2287" s="207" t="s">
        <v>2898</v>
      </c>
      <c r="D2287" s="208" t="s">
        <v>585</v>
      </c>
      <c r="E2287" s="209">
        <v>45.95</v>
      </c>
      <c r="F2287" s="209">
        <v>10.4</v>
      </c>
      <c r="G2287" s="209">
        <v>56.35</v>
      </c>
      <c r="H2287" s="198"/>
    </row>
    <row r="2288" spans="1:8" ht="15.75" hidden="1" customHeight="1" x14ac:dyDescent="0.25">
      <c r="A2288" s="205" t="s">
        <v>2894</v>
      </c>
      <c r="B2288" s="206">
        <v>102723</v>
      </c>
      <c r="C2288" s="207" t="s">
        <v>2899</v>
      </c>
      <c r="D2288" s="208" t="s">
        <v>585</v>
      </c>
      <c r="E2288" s="209">
        <v>93.27</v>
      </c>
      <c r="F2288" s="209">
        <v>10.4</v>
      </c>
      <c r="G2288" s="209">
        <v>103.67</v>
      </c>
      <c r="H2288" s="198"/>
    </row>
    <row r="2289" spans="1:8" ht="15.75" hidden="1" customHeight="1" x14ac:dyDescent="0.25">
      <c r="A2289" s="205" t="s">
        <v>2894</v>
      </c>
      <c r="B2289" s="206">
        <v>102690</v>
      </c>
      <c r="C2289" s="207" t="s">
        <v>2900</v>
      </c>
      <c r="D2289" s="208" t="s">
        <v>585</v>
      </c>
      <c r="E2289" s="209">
        <v>54.11</v>
      </c>
      <c r="F2289" s="209">
        <v>9.7200000000000006</v>
      </c>
      <c r="G2289" s="209">
        <v>63.83</v>
      </c>
      <c r="H2289" s="198"/>
    </row>
    <row r="2290" spans="1:8" ht="15.75" hidden="1" customHeight="1" x14ac:dyDescent="0.25">
      <c r="A2290" s="205" t="s">
        <v>2894</v>
      </c>
      <c r="B2290" s="206">
        <v>102688</v>
      </c>
      <c r="C2290" s="207" t="s">
        <v>2901</v>
      </c>
      <c r="D2290" s="208" t="s">
        <v>585</v>
      </c>
      <c r="E2290" s="209">
        <v>39.22</v>
      </c>
      <c r="F2290" s="209">
        <v>9.2899999999999991</v>
      </c>
      <c r="G2290" s="209">
        <v>48.51</v>
      </c>
      <c r="H2290" s="198"/>
    </row>
    <row r="2291" spans="1:8" ht="15.75" hidden="1" customHeight="1" x14ac:dyDescent="0.25">
      <c r="A2291" s="205" t="s">
        <v>2894</v>
      </c>
      <c r="B2291" s="206">
        <v>102689</v>
      </c>
      <c r="C2291" s="207" t="s">
        <v>2902</v>
      </c>
      <c r="D2291" s="208" t="s">
        <v>585</v>
      </c>
      <c r="E2291" s="209">
        <v>87.18</v>
      </c>
      <c r="F2291" s="209">
        <v>10.08</v>
      </c>
      <c r="G2291" s="209">
        <v>97.26</v>
      </c>
      <c r="H2291" s="198"/>
    </row>
    <row r="2292" spans="1:8" ht="15.75" hidden="1" customHeight="1" x14ac:dyDescent="0.25">
      <c r="A2292" s="205" t="s">
        <v>2894</v>
      </c>
      <c r="B2292" s="206">
        <v>102693</v>
      </c>
      <c r="C2292" s="207" t="s">
        <v>2903</v>
      </c>
      <c r="D2292" s="208" t="s">
        <v>585</v>
      </c>
      <c r="E2292" s="209">
        <v>102.05</v>
      </c>
      <c r="F2292" s="209">
        <v>10.51</v>
      </c>
      <c r="G2292" s="209">
        <v>112.56</v>
      </c>
      <c r="H2292" s="198"/>
    </row>
    <row r="2293" spans="1:8" ht="15.75" hidden="1" customHeight="1" x14ac:dyDescent="0.25">
      <c r="A2293" s="205" t="s">
        <v>2894</v>
      </c>
      <c r="B2293" s="206">
        <v>102694</v>
      </c>
      <c r="C2293" s="207" t="s">
        <v>2904</v>
      </c>
      <c r="D2293" s="208" t="s">
        <v>585</v>
      </c>
      <c r="E2293" s="209">
        <v>79.67</v>
      </c>
      <c r="F2293" s="209">
        <v>11.59</v>
      </c>
      <c r="G2293" s="209">
        <v>91.26</v>
      </c>
      <c r="H2293" s="198"/>
    </row>
    <row r="2294" spans="1:8" ht="15.75" hidden="1" customHeight="1" x14ac:dyDescent="0.25">
      <c r="A2294" s="205" t="s">
        <v>2894</v>
      </c>
      <c r="B2294" s="206">
        <v>102697</v>
      </c>
      <c r="C2294" s="207" t="s">
        <v>2905</v>
      </c>
      <c r="D2294" s="208" t="s">
        <v>585</v>
      </c>
      <c r="E2294" s="209">
        <v>88.58</v>
      </c>
      <c r="F2294" s="209">
        <v>12.29</v>
      </c>
      <c r="G2294" s="209">
        <v>100.87</v>
      </c>
      <c r="H2294" s="198"/>
    </row>
    <row r="2295" spans="1:8" ht="15.75" hidden="1" customHeight="1" x14ac:dyDescent="0.25">
      <c r="A2295" s="205" t="s">
        <v>2894</v>
      </c>
      <c r="B2295" s="206">
        <v>102696</v>
      </c>
      <c r="C2295" s="207" t="s">
        <v>2906</v>
      </c>
      <c r="D2295" s="208" t="s">
        <v>585</v>
      </c>
      <c r="E2295" s="209">
        <v>127.33</v>
      </c>
      <c r="F2295" s="209">
        <v>12.88</v>
      </c>
      <c r="G2295" s="209">
        <v>140.21</v>
      </c>
      <c r="H2295" s="198"/>
    </row>
    <row r="2296" spans="1:8" ht="15.75" hidden="1" customHeight="1" x14ac:dyDescent="0.25">
      <c r="A2296" s="205" t="s">
        <v>2894</v>
      </c>
      <c r="B2296" s="206">
        <v>102703</v>
      </c>
      <c r="C2296" s="207" t="s">
        <v>2907</v>
      </c>
      <c r="D2296" s="208" t="s">
        <v>585</v>
      </c>
      <c r="E2296" s="209">
        <v>136.24</v>
      </c>
      <c r="F2296" s="209">
        <v>13.58</v>
      </c>
      <c r="G2296" s="209">
        <v>149.82</v>
      </c>
      <c r="H2296" s="198"/>
    </row>
    <row r="2297" spans="1:8" ht="15.75" hidden="1" customHeight="1" x14ac:dyDescent="0.25">
      <c r="A2297" s="205" t="s">
        <v>2894</v>
      </c>
      <c r="B2297" s="206">
        <v>102678</v>
      </c>
      <c r="C2297" s="207" t="s">
        <v>2908</v>
      </c>
      <c r="D2297" s="208" t="s">
        <v>585</v>
      </c>
      <c r="E2297" s="209">
        <v>107.26</v>
      </c>
      <c r="F2297" s="209">
        <v>11.7</v>
      </c>
      <c r="G2297" s="209">
        <v>118.96</v>
      </c>
      <c r="H2297" s="198"/>
    </row>
    <row r="2298" spans="1:8" ht="15.75" hidden="1" customHeight="1" x14ac:dyDescent="0.25">
      <c r="A2298" s="205" t="s">
        <v>2894</v>
      </c>
      <c r="B2298" s="206">
        <v>102679</v>
      </c>
      <c r="C2298" s="207" t="s">
        <v>2909</v>
      </c>
      <c r="D2298" s="208" t="s">
        <v>585</v>
      </c>
      <c r="E2298" s="209">
        <v>116.13</v>
      </c>
      <c r="F2298" s="209">
        <v>10.34</v>
      </c>
      <c r="G2298" s="209">
        <v>126.47</v>
      </c>
      <c r="H2298" s="198"/>
    </row>
    <row r="2299" spans="1:8" ht="15.75" hidden="1" customHeight="1" x14ac:dyDescent="0.25">
      <c r="A2299" s="205" t="s">
        <v>2894</v>
      </c>
      <c r="B2299" s="206">
        <v>102673</v>
      </c>
      <c r="C2299" s="207" t="s">
        <v>2910</v>
      </c>
      <c r="D2299" s="208" t="s">
        <v>585</v>
      </c>
      <c r="E2299" s="209">
        <v>137.66</v>
      </c>
      <c r="F2299" s="209">
        <v>29.17</v>
      </c>
      <c r="G2299" s="209">
        <v>166.83</v>
      </c>
      <c r="H2299" s="198"/>
    </row>
    <row r="2300" spans="1:8" ht="15.75" hidden="1" customHeight="1" x14ac:dyDescent="0.25">
      <c r="A2300" s="205" t="s">
        <v>2894</v>
      </c>
      <c r="B2300" s="206">
        <v>102677</v>
      </c>
      <c r="C2300" s="207" t="s">
        <v>2911</v>
      </c>
      <c r="D2300" s="208" t="s">
        <v>585</v>
      </c>
      <c r="E2300" s="209">
        <v>136.78</v>
      </c>
      <c r="F2300" s="209">
        <v>17.16</v>
      </c>
      <c r="G2300" s="209">
        <v>153.94</v>
      </c>
      <c r="H2300" s="198"/>
    </row>
    <row r="2301" spans="1:8" ht="15.75" hidden="1" customHeight="1" x14ac:dyDescent="0.25">
      <c r="A2301" s="205" t="s">
        <v>2894</v>
      </c>
      <c r="B2301" s="206">
        <v>102683</v>
      </c>
      <c r="C2301" s="207" t="s">
        <v>2912</v>
      </c>
      <c r="D2301" s="208" t="s">
        <v>585</v>
      </c>
      <c r="E2301" s="209">
        <v>136</v>
      </c>
      <c r="F2301" s="209">
        <v>20.440000000000001</v>
      </c>
      <c r="G2301" s="209">
        <v>156.44</v>
      </c>
      <c r="H2301" s="198"/>
    </row>
    <row r="2302" spans="1:8" ht="15.75" hidden="1" customHeight="1" x14ac:dyDescent="0.25">
      <c r="A2302" s="205" t="s">
        <v>2894</v>
      </c>
      <c r="B2302" s="206">
        <v>102687</v>
      </c>
      <c r="C2302" s="207" t="s">
        <v>2913</v>
      </c>
      <c r="D2302" s="208" t="s">
        <v>585</v>
      </c>
      <c r="E2302" s="209">
        <v>141.01</v>
      </c>
      <c r="F2302" s="209">
        <v>17.87</v>
      </c>
      <c r="G2302" s="209">
        <v>158.88</v>
      </c>
      <c r="H2302" s="198"/>
    </row>
    <row r="2303" spans="1:8" ht="15.75" hidden="1" customHeight="1" x14ac:dyDescent="0.25">
      <c r="A2303" s="205" t="s">
        <v>2894</v>
      </c>
      <c r="B2303" s="206">
        <v>102670</v>
      </c>
      <c r="C2303" s="207" t="s">
        <v>2914</v>
      </c>
      <c r="D2303" s="208" t="s">
        <v>585</v>
      </c>
      <c r="E2303" s="209">
        <v>112.25</v>
      </c>
      <c r="F2303" s="209">
        <v>11.9</v>
      </c>
      <c r="G2303" s="209">
        <v>124.15</v>
      </c>
      <c r="H2303" s="198"/>
    </row>
    <row r="2304" spans="1:8" ht="15.75" hidden="1" customHeight="1" x14ac:dyDescent="0.25">
      <c r="A2304" s="205" t="s">
        <v>2894</v>
      </c>
      <c r="B2304" s="206">
        <v>102674</v>
      </c>
      <c r="C2304" s="207" t="s">
        <v>2915</v>
      </c>
      <c r="D2304" s="208" t="s">
        <v>585</v>
      </c>
      <c r="E2304" s="209">
        <v>125.58</v>
      </c>
      <c r="F2304" s="209">
        <v>10.8</v>
      </c>
      <c r="G2304" s="209">
        <v>136.38</v>
      </c>
      <c r="H2304" s="198"/>
    </row>
    <row r="2305" spans="1:8" ht="15.75" hidden="1" customHeight="1" x14ac:dyDescent="0.25">
      <c r="A2305" s="205" t="s">
        <v>2894</v>
      </c>
      <c r="B2305" s="206">
        <v>102680</v>
      </c>
      <c r="C2305" s="207" t="s">
        <v>2916</v>
      </c>
      <c r="D2305" s="208" t="s">
        <v>585</v>
      </c>
      <c r="E2305" s="209">
        <v>119.5</v>
      </c>
      <c r="F2305" s="209">
        <v>12.87</v>
      </c>
      <c r="G2305" s="209">
        <v>132.37</v>
      </c>
      <c r="H2305" s="198"/>
    </row>
    <row r="2306" spans="1:8" ht="15.75" hidden="1" customHeight="1" x14ac:dyDescent="0.25">
      <c r="A2306" s="205" t="s">
        <v>2894</v>
      </c>
      <c r="B2306" s="206">
        <v>102684</v>
      </c>
      <c r="C2306" s="207" t="s">
        <v>2917</v>
      </c>
      <c r="D2306" s="208" t="s">
        <v>585</v>
      </c>
      <c r="E2306" s="209">
        <v>128.35</v>
      </c>
      <c r="F2306" s="209">
        <v>11.51</v>
      </c>
      <c r="G2306" s="209">
        <v>139.86000000000001</v>
      </c>
      <c r="H2306" s="198"/>
    </row>
    <row r="2307" spans="1:8" ht="15.75" hidden="1" customHeight="1" x14ac:dyDescent="0.25">
      <c r="A2307" s="205" t="s">
        <v>2894</v>
      </c>
      <c r="B2307" s="206">
        <v>102672</v>
      </c>
      <c r="C2307" s="207" t="s">
        <v>2918</v>
      </c>
      <c r="D2307" s="208" t="s">
        <v>585</v>
      </c>
      <c r="E2307" s="209">
        <v>170.66</v>
      </c>
      <c r="F2307" s="209">
        <v>21.93</v>
      </c>
      <c r="G2307" s="209">
        <v>192.59</v>
      </c>
      <c r="H2307" s="198"/>
    </row>
    <row r="2308" spans="1:8" ht="15.75" hidden="1" customHeight="1" x14ac:dyDescent="0.25">
      <c r="A2308" s="205" t="s">
        <v>2894</v>
      </c>
      <c r="B2308" s="206">
        <v>102676</v>
      </c>
      <c r="C2308" s="207" t="s">
        <v>2919</v>
      </c>
      <c r="D2308" s="208" t="s">
        <v>585</v>
      </c>
      <c r="E2308" s="209">
        <v>177.52</v>
      </c>
      <c r="F2308" s="209">
        <v>14.8</v>
      </c>
      <c r="G2308" s="209">
        <v>192.32</v>
      </c>
      <c r="H2308" s="198"/>
    </row>
    <row r="2309" spans="1:8" ht="15.75" hidden="1" customHeight="1" x14ac:dyDescent="0.25">
      <c r="A2309" s="205" t="s">
        <v>2894</v>
      </c>
      <c r="B2309" s="206">
        <v>102681</v>
      </c>
      <c r="C2309" s="207" t="s">
        <v>2920</v>
      </c>
      <c r="D2309" s="208" t="s">
        <v>585</v>
      </c>
      <c r="E2309" s="209">
        <v>171.44</v>
      </c>
      <c r="F2309" s="209">
        <v>16.87</v>
      </c>
      <c r="G2309" s="209">
        <v>188.31</v>
      </c>
      <c r="H2309" s="198"/>
    </row>
    <row r="2310" spans="1:8" ht="15.75" hidden="1" customHeight="1" x14ac:dyDescent="0.25">
      <c r="A2310" s="205" t="s">
        <v>2894</v>
      </c>
      <c r="B2310" s="206">
        <v>102685</v>
      </c>
      <c r="C2310" s="207" t="s">
        <v>2921</v>
      </c>
      <c r="D2310" s="208" t="s">
        <v>585</v>
      </c>
      <c r="E2310" s="209">
        <v>180.31</v>
      </c>
      <c r="F2310" s="209">
        <v>15.5</v>
      </c>
      <c r="G2310" s="209">
        <v>195.81</v>
      </c>
      <c r="H2310" s="198"/>
    </row>
    <row r="2311" spans="1:8" ht="15.75" hidden="1" customHeight="1" x14ac:dyDescent="0.25">
      <c r="A2311" s="205" t="s">
        <v>2894</v>
      </c>
      <c r="B2311" s="206">
        <v>102664</v>
      </c>
      <c r="C2311" s="207" t="s">
        <v>2922</v>
      </c>
      <c r="D2311" s="208" t="s">
        <v>585</v>
      </c>
      <c r="E2311" s="209">
        <v>38.840000000000003</v>
      </c>
      <c r="F2311" s="209">
        <v>6.02</v>
      </c>
      <c r="G2311" s="209">
        <v>44.86</v>
      </c>
      <c r="H2311" s="198"/>
    </row>
    <row r="2312" spans="1:8" ht="15.75" hidden="1" customHeight="1" x14ac:dyDescent="0.25">
      <c r="A2312" s="205" t="s">
        <v>2894</v>
      </c>
      <c r="B2312" s="206">
        <v>102665</v>
      </c>
      <c r="C2312" s="207" t="s">
        <v>2923</v>
      </c>
      <c r="D2312" s="208" t="s">
        <v>585</v>
      </c>
      <c r="E2312" s="209">
        <v>14.48</v>
      </c>
      <c r="F2312" s="209">
        <v>5.6</v>
      </c>
      <c r="G2312" s="209">
        <v>20.079999999999998</v>
      </c>
      <c r="H2312" s="198"/>
    </row>
    <row r="2313" spans="1:8" ht="15.75" hidden="1" customHeight="1" x14ac:dyDescent="0.25">
      <c r="A2313" s="205" t="s">
        <v>2894</v>
      </c>
      <c r="B2313" s="206">
        <v>102663</v>
      </c>
      <c r="C2313" s="207" t="s">
        <v>2924</v>
      </c>
      <c r="D2313" s="208" t="s">
        <v>585</v>
      </c>
      <c r="E2313" s="209">
        <v>42.43</v>
      </c>
      <c r="F2313" s="209">
        <v>9.3800000000000008</v>
      </c>
      <c r="G2313" s="209">
        <v>51.81</v>
      </c>
      <c r="H2313" s="198"/>
    </row>
    <row r="2314" spans="1:8" ht="15.75" hidden="1" customHeight="1" x14ac:dyDescent="0.25">
      <c r="A2314" s="205" t="s">
        <v>2894</v>
      </c>
      <c r="B2314" s="206">
        <v>102669</v>
      </c>
      <c r="C2314" s="207" t="s">
        <v>2925</v>
      </c>
      <c r="D2314" s="208" t="s">
        <v>585</v>
      </c>
      <c r="E2314" s="209">
        <v>58.77</v>
      </c>
      <c r="F2314" s="209">
        <v>9.82</v>
      </c>
      <c r="G2314" s="209">
        <v>68.59</v>
      </c>
      <c r="H2314" s="198"/>
    </row>
    <row r="2315" spans="1:8" ht="15.75" hidden="1" customHeight="1" x14ac:dyDescent="0.25">
      <c r="A2315" s="205" t="s">
        <v>2894</v>
      </c>
      <c r="B2315" s="206">
        <v>102661</v>
      </c>
      <c r="C2315" s="207" t="s">
        <v>2926</v>
      </c>
      <c r="D2315" s="208" t="s">
        <v>585</v>
      </c>
      <c r="E2315" s="209">
        <v>35.35</v>
      </c>
      <c r="F2315" s="209">
        <v>6.11</v>
      </c>
      <c r="G2315" s="209">
        <v>41.46</v>
      </c>
      <c r="H2315" s="198"/>
    </row>
    <row r="2316" spans="1:8" ht="15.75" hidden="1" customHeight="1" x14ac:dyDescent="0.25">
      <c r="A2316" s="205" t="s">
        <v>2894</v>
      </c>
      <c r="B2316" s="206">
        <v>102666</v>
      </c>
      <c r="C2316" s="207" t="s">
        <v>2927</v>
      </c>
      <c r="D2316" s="208" t="s">
        <v>585</v>
      </c>
      <c r="E2316" s="209">
        <v>50.27</v>
      </c>
      <c r="F2316" s="209">
        <v>6.51</v>
      </c>
      <c r="G2316" s="209">
        <v>56.78</v>
      </c>
      <c r="H2316" s="198"/>
    </row>
    <row r="2317" spans="1:8" ht="15.75" hidden="1" customHeight="1" x14ac:dyDescent="0.25">
      <c r="A2317" s="205" t="s">
        <v>2894</v>
      </c>
      <c r="B2317" s="206">
        <v>102662</v>
      </c>
      <c r="C2317" s="207" t="s">
        <v>2928</v>
      </c>
      <c r="D2317" s="208" t="s">
        <v>585</v>
      </c>
      <c r="E2317" s="209">
        <v>84.78</v>
      </c>
      <c r="F2317" s="209">
        <v>8.51</v>
      </c>
      <c r="G2317" s="209">
        <v>93.29</v>
      </c>
      <c r="H2317" s="198"/>
    </row>
    <row r="2318" spans="1:8" ht="15.75" hidden="1" customHeight="1" x14ac:dyDescent="0.25">
      <c r="A2318" s="205" t="s">
        <v>2894</v>
      </c>
      <c r="B2318" s="206">
        <v>102668</v>
      </c>
      <c r="C2318" s="207" t="s">
        <v>2929</v>
      </c>
      <c r="D2318" s="208" t="s">
        <v>585</v>
      </c>
      <c r="E2318" s="209">
        <v>99.65</v>
      </c>
      <c r="F2318" s="209">
        <v>8.94</v>
      </c>
      <c r="G2318" s="209">
        <v>108.59</v>
      </c>
      <c r="H2318" s="198"/>
    </row>
    <row r="2319" spans="1:8" ht="15.75" hidden="1" customHeight="1" x14ac:dyDescent="0.25">
      <c r="A2319" s="205" t="s">
        <v>2894</v>
      </c>
      <c r="B2319" s="206">
        <v>102718</v>
      </c>
      <c r="C2319" s="207" t="s">
        <v>2930</v>
      </c>
      <c r="D2319" s="208" t="s">
        <v>664</v>
      </c>
      <c r="E2319" s="209">
        <v>146.37</v>
      </c>
      <c r="F2319" s="209">
        <v>31.97</v>
      </c>
      <c r="G2319" s="209">
        <v>178.34</v>
      </c>
      <c r="H2319" s="198"/>
    </row>
    <row r="2320" spans="1:8" ht="15.75" hidden="1" customHeight="1" x14ac:dyDescent="0.25">
      <c r="A2320" s="205" t="s">
        <v>2894</v>
      </c>
      <c r="B2320" s="206">
        <v>102716</v>
      </c>
      <c r="C2320" s="207" t="s">
        <v>2931</v>
      </c>
      <c r="D2320" s="208" t="s">
        <v>664</v>
      </c>
      <c r="E2320" s="209">
        <v>149.85</v>
      </c>
      <c r="F2320" s="209">
        <v>12.46</v>
      </c>
      <c r="G2320" s="209">
        <v>162.31</v>
      </c>
      <c r="H2320" s="198"/>
    </row>
    <row r="2321" spans="1:8" ht="15.75" hidden="1" customHeight="1" x14ac:dyDescent="0.25">
      <c r="A2321" s="205" t="s">
        <v>2894</v>
      </c>
      <c r="B2321" s="206">
        <v>102719</v>
      </c>
      <c r="C2321" s="207" t="s">
        <v>2932</v>
      </c>
      <c r="D2321" s="208" t="s">
        <v>664</v>
      </c>
      <c r="E2321" s="209">
        <v>84.12</v>
      </c>
      <c r="F2321" s="209">
        <v>31.98</v>
      </c>
      <c r="G2321" s="209">
        <v>116.1</v>
      </c>
      <c r="H2321" s="198"/>
    </row>
    <row r="2322" spans="1:8" ht="15.75" hidden="1" customHeight="1" x14ac:dyDescent="0.25">
      <c r="A2322" s="205" t="s">
        <v>2894</v>
      </c>
      <c r="B2322" s="206">
        <v>102717</v>
      </c>
      <c r="C2322" s="207" t="s">
        <v>2933</v>
      </c>
      <c r="D2322" s="208" t="s">
        <v>664</v>
      </c>
      <c r="E2322" s="209">
        <v>87.61</v>
      </c>
      <c r="F2322" s="209">
        <v>12.46</v>
      </c>
      <c r="G2322" s="209">
        <v>100.07</v>
      </c>
      <c r="H2322" s="198"/>
    </row>
    <row r="2323" spans="1:8" ht="15.75" hidden="1" customHeight="1" x14ac:dyDescent="0.25">
      <c r="A2323" s="205" t="s">
        <v>2894</v>
      </c>
      <c r="B2323" s="206">
        <v>102713</v>
      </c>
      <c r="C2323" s="207" t="s">
        <v>2934</v>
      </c>
      <c r="D2323" s="208" t="s">
        <v>578</v>
      </c>
      <c r="E2323" s="209">
        <v>12.91</v>
      </c>
      <c r="F2323" s="209">
        <v>0.41</v>
      </c>
      <c r="G2323" s="209">
        <v>13.32</v>
      </c>
      <c r="H2323" s="198"/>
    </row>
    <row r="2324" spans="1:8" ht="15.75" hidden="1" customHeight="1" x14ac:dyDescent="0.25">
      <c r="A2324" s="205" t="s">
        <v>2894</v>
      </c>
      <c r="B2324" s="206">
        <v>102715</v>
      </c>
      <c r="C2324" s="207" t="s">
        <v>2935</v>
      </c>
      <c r="D2324" s="208" t="s">
        <v>578</v>
      </c>
      <c r="E2324" s="209">
        <v>25.82</v>
      </c>
      <c r="F2324" s="209">
        <v>0.4</v>
      </c>
      <c r="G2324" s="209">
        <v>26.22</v>
      </c>
      <c r="H2324" s="198"/>
    </row>
    <row r="2325" spans="1:8" ht="15.75" hidden="1" customHeight="1" x14ac:dyDescent="0.25">
      <c r="A2325" s="205" t="s">
        <v>2894</v>
      </c>
      <c r="B2325" s="206">
        <v>103653</v>
      </c>
      <c r="C2325" s="207" t="s">
        <v>2936</v>
      </c>
      <c r="D2325" s="208" t="s">
        <v>578</v>
      </c>
      <c r="E2325" s="209">
        <v>30.89</v>
      </c>
      <c r="F2325" s="209">
        <v>0.4</v>
      </c>
      <c r="G2325" s="209">
        <v>31.29</v>
      </c>
      <c r="H2325" s="198"/>
    </row>
    <row r="2326" spans="1:8" ht="15.75" hidden="1" customHeight="1" x14ac:dyDescent="0.25">
      <c r="A2326" s="205" t="s">
        <v>2894</v>
      </c>
      <c r="B2326" s="206">
        <v>102712</v>
      </c>
      <c r="C2326" s="207" t="s">
        <v>2937</v>
      </c>
      <c r="D2326" s="208" t="s">
        <v>578</v>
      </c>
      <c r="E2326" s="209">
        <v>9.31</v>
      </c>
      <c r="F2326" s="209">
        <v>0.41</v>
      </c>
      <c r="G2326" s="209">
        <v>9.7200000000000006</v>
      </c>
      <c r="H2326" s="198"/>
    </row>
    <row r="2327" spans="1:8" ht="15.75" hidden="1" customHeight="1" x14ac:dyDescent="0.25">
      <c r="A2327" s="205" t="s">
        <v>2894</v>
      </c>
      <c r="B2327" s="206">
        <v>102711</v>
      </c>
      <c r="C2327" s="207" t="s">
        <v>2938</v>
      </c>
      <c r="D2327" s="208" t="s">
        <v>580</v>
      </c>
      <c r="E2327" s="209">
        <v>54.46</v>
      </c>
      <c r="F2327" s="209">
        <v>32.93</v>
      </c>
      <c r="G2327" s="209">
        <v>87.39</v>
      </c>
      <c r="H2327" s="198"/>
    </row>
    <row r="2328" spans="1:8" ht="15.75" hidden="1" customHeight="1" x14ac:dyDescent="0.25">
      <c r="A2328" s="205" t="s">
        <v>2894</v>
      </c>
      <c r="B2328" s="206">
        <v>102710</v>
      </c>
      <c r="C2328" s="207" t="s">
        <v>2939</v>
      </c>
      <c r="D2328" s="208" t="s">
        <v>580</v>
      </c>
      <c r="E2328" s="209">
        <v>37.24</v>
      </c>
      <c r="F2328" s="209">
        <v>32.93</v>
      </c>
      <c r="G2328" s="209">
        <v>70.17</v>
      </c>
      <c r="H2328" s="198"/>
    </row>
    <row r="2329" spans="1:8" ht="15.75" hidden="1" customHeight="1" x14ac:dyDescent="0.25">
      <c r="A2329" s="205" t="s">
        <v>2894</v>
      </c>
      <c r="B2329" s="206">
        <v>102708</v>
      </c>
      <c r="C2329" s="207" t="s">
        <v>2940</v>
      </c>
      <c r="D2329" s="208" t="s">
        <v>580</v>
      </c>
      <c r="E2329" s="209">
        <v>13.36</v>
      </c>
      <c r="F2329" s="209">
        <v>16.46</v>
      </c>
      <c r="G2329" s="209">
        <v>29.82</v>
      </c>
      <c r="H2329" s="198"/>
    </row>
    <row r="2330" spans="1:8" ht="15.75" hidden="1" customHeight="1" x14ac:dyDescent="0.25">
      <c r="A2330" s="205" t="s">
        <v>2894</v>
      </c>
      <c r="B2330" s="206">
        <v>102707</v>
      </c>
      <c r="C2330" s="207" t="s">
        <v>2941</v>
      </c>
      <c r="D2330" s="208" t="s">
        <v>585</v>
      </c>
      <c r="E2330" s="209">
        <v>22.6</v>
      </c>
      <c r="F2330" s="209">
        <v>4.78</v>
      </c>
      <c r="G2330" s="209">
        <v>27.38</v>
      </c>
      <c r="H2330" s="198"/>
    </row>
    <row r="2331" spans="1:8" ht="15.75" hidden="1" customHeight="1" x14ac:dyDescent="0.25">
      <c r="A2331" s="205" t="s">
        <v>2894</v>
      </c>
      <c r="B2331" s="206">
        <v>102704</v>
      </c>
      <c r="C2331" s="207" t="s">
        <v>2942</v>
      </c>
      <c r="D2331" s="208" t="s">
        <v>585</v>
      </c>
      <c r="E2331" s="209">
        <v>11.94</v>
      </c>
      <c r="F2331" s="209">
        <v>0.41</v>
      </c>
      <c r="G2331" s="209">
        <v>12.35</v>
      </c>
      <c r="H2331" s="198"/>
    </row>
    <row r="2332" spans="1:8" ht="15.75" hidden="1" customHeight="1" x14ac:dyDescent="0.25">
      <c r="A2332" s="205" t="s">
        <v>2894</v>
      </c>
      <c r="B2332" s="206">
        <v>102705</v>
      </c>
      <c r="C2332" s="207" t="s">
        <v>2943</v>
      </c>
      <c r="D2332" s="208" t="s">
        <v>585</v>
      </c>
      <c r="E2332" s="209">
        <v>59.26</v>
      </c>
      <c r="F2332" s="209">
        <v>0.41</v>
      </c>
      <c r="G2332" s="209">
        <v>59.67</v>
      </c>
      <c r="H2332" s="198"/>
    </row>
    <row r="2333" spans="1:8" ht="15.75" hidden="1" customHeight="1" x14ac:dyDescent="0.25">
      <c r="A2333" s="205" t="s">
        <v>2944</v>
      </c>
      <c r="B2333" s="206">
        <v>98397</v>
      </c>
      <c r="C2333" s="207" t="s">
        <v>2945</v>
      </c>
      <c r="D2333" s="208" t="s">
        <v>578</v>
      </c>
      <c r="E2333" s="209">
        <v>7.15</v>
      </c>
      <c r="F2333" s="209">
        <v>6.79</v>
      </c>
      <c r="G2333" s="209">
        <v>13.94</v>
      </c>
      <c r="H2333" s="198"/>
    </row>
    <row r="2334" spans="1:8" ht="15.75" hidden="1" customHeight="1" x14ac:dyDescent="0.25">
      <c r="A2334" s="205" t="s">
        <v>2946</v>
      </c>
      <c r="B2334" s="206">
        <v>103517</v>
      </c>
      <c r="C2334" s="207" t="s">
        <v>2947</v>
      </c>
      <c r="D2334" s="208" t="s">
        <v>580</v>
      </c>
      <c r="E2334" s="209">
        <v>3518.8</v>
      </c>
      <c r="F2334" s="209">
        <v>109.95</v>
      </c>
      <c r="G2334" s="209">
        <v>3628.75</v>
      </c>
      <c r="H2334" s="198"/>
    </row>
    <row r="2335" spans="1:8" ht="15.75" hidden="1" customHeight="1" x14ac:dyDescent="0.25">
      <c r="A2335" s="205" t="s">
        <v>2946</v>
      </c>
      <c r="B2335" s="206">
        <v>103519</v>
      </c>
      <c r="C2335" s="207" t="s">
        <v>2948</v>
      </c>
      <c r="D2335" s="208" t="s">
        <v>580</v>
      </c>
      <c r="E2335" s="209">
        <v>7.55</v>
      </c>
      <c r="F2335" s="209">
        <v>4.76</v>
      </c>
      <c r="G2335" s="209">
        <v>12.31</v>
      </c>
      <c r="H2335" s="198"/>
    </row>
    <row r="2336" spans="1:8" ht="15.75" hidden="1" customHeight="1" x14ac:dyDescent="0.25">
      <c r="A2336" s="205" t="s">
        <v>2946</v>
      </c>
      <c r="B2336" s="206">
        <v>103523</v>
      </c>
      <c r="C2336" s="207" t="s">
        <v>2949</v>
      </c>
      <c r="D2336" s="208" t="s">
        <v>580</v>
      </c>
      <c r="E2336" s="209">
        <v>11812.34</v>
      </c>
      <c r="F2336" s="209">
        <v>223.87</v>
      </c>
      <c r="G2336" s="209">
        <v>12036.21</v>
      </c>
      <c r="H2336" s="198"/>
    </row>
    <row r="2337" spans="1:8" ht="15.75" hidden="1" customHeight="1" x14ac:dyDescent="0.25">
      <c r="A2337" s="205" t="s">
        <v>2946</v>
      </c>
      <c r="B2337" s="206">
        <v>103520</v>
      </c>
      <c r="C2337" s="207" t="s">
        <v>2950</v>
      </c>
      <c r="D2337" s="208" t="s">
        <v>580</v>
      </c>
      <c r="E2337" s="209">
        <v>5909.66</v>
      </c>
      <c r="F2337" s="209">
        <v>30.29</v>
      </c>
      <c r="G2337" s="209">
        <v>5939.95</v>
      </c>
      <c r="H2337" s="198"/>
    </row>
    <row r="2338" spans="1:8" ht="15.75" hidden="1" customHeight="1" x14ac:dyDescent="0.25">
      <c r="A2338" s="205" t="s">
        <v>2946</v>
      </c>
      <c r="B2338" s="206">
        <v>103521</v>
      </c>
      <c r="C2338" s="207" t="s">
        <v>2951</v>
      </c>
      <c r="D2338" s="208" t="s">
        <v>580</v>
      </c>
      <c r="E2338" s="209">
        <v>7844.62</v>
      </c>
      <c r="F2338" s="209">
        <v>43.38</v>
      </c>
      <c r="G2338" s="209">
        <v>7888</v>
      </c>
      <c r="H2338" s="198"/>
    </row>
    <row r="2339" spans="1:8" ht="15.75" hidden="1" customHeight="1" x14ac:dyDescent="0.25">
      <c r="A2339" s="205" t="s">
        <v>2946</v>
      </c>
      <c r="B2339" s="206">
        <v>103522</v>
      </c>
      <c r="C2339" s="207" t="s">
        <v>2952</v>
      </c>
      <c r="D2339" s="208" t="s">
        <v>580</v>
      </c>
      <c r="E2339" s="209">
        <v>7810.18</v>
      </c>
      <c r="F2339" s="209">
        <v>215.9</v>
      </c>
      <c r="G2339" s="209">
        <v>8026.08</v>
      </c>
      <c r="H2339" s="198"/>
    </row>
    <row r="2340" spans="1:8" ht="15.75" hidden="1" customHeight="1" x14ac:dyDescent="0.25">
      <c r="A2340" s="205" t="s">
        <v>2953</v>
      </c>
      <c r="B2340" s="206">
        <v>97062</v>
      </c>
      <c r="C2340" s="207" t="s">
        <v>2954</v>
      </c>
      <c r="D2340" s="208" t="s">
        <v>578</v>
      </c>
      <c r="E2340" s="209">
        <v>3.93</v>
      </c>
      <c r="F2340" s="209">
        <v>3.24</v>
      </c>
      <c r="G2340" s="209">
        <v>7.17</v>
      </c>
      <c r="H2340" s="198"/>
    </row>
    <row r="2341" spans="1:8" ht="15.75" hidden="1" customHeight="1" x14ac:dyDescent="0.25">
      <c r="A2341" s="205" t="s">
        <v>2953</v>
      </c>
      <c r="B2341" s="206">
        <v>97040</v>
      </c>
      <c r="C2341" s="207" t="s">
        <v>2955</v>
      </c>
      <c r="D2341" s="208" t="s">
        <v>578</v>
      </c>
      <c r="E2341" s="209">
        <v>8.9499999999999993</v>
      </c>
      <c r="F2341" s="209">
        <v>11.53</v>
      </c>
      <c r="G2341" s="209">
        <v>20.48</v>
      </c>
      <c r="H2341" s="198"/>
    </row>
    <row r="2342" spans="1:8" ht="15.75" hidden="1" customHeight="1" x14ac:dyDescent="0.25">
      <c r="A2342" s="205" t="s">
        <v>2953</v>
      </c>
      <c r="B2342" s="206">
        <v>97041</v>
      </c>
      <c r="C2342" s="207" t="s">
        <v>2956</v>
      </c>
      <c r="D2342" s="208" t="s">
        <v>578</v>
      </c>
      <c r="E2342" s="209">
        <v>105.82</v>
      </c>
      <c r="F2342" s="209">
        <v>30.78</v>
      </c>
      <c r="G2342" s="209">
        <v>136.6</v>
      </c>
      <c r="H2342" s="198"/>
    </row>
    <row r="2343" spans="1:8" ht="15.75" hidden="1" customHeight="1" x14ac:dyDescent="0.25">
      <c r="A2343" s="205" t="s">
        <v>2953</v>
      </c>
      <c r="B2343" s="206">
        <v>97039</v>
      </c>
      <c r="C2343" s="207" t="s">
        <v>2957</v>
      </c>
      <c r="D2343" s="208" t="s">
        <v>578</v>
      </c>
      <c r="E2343" s="209">
        <v>57.65</v>
      </c>
      <c r="F2343" s="209">
        <v>22.35</v>
      </c>
      <c r="G2343" s="209">
        <v>80</v>
      </c>
      <c r="H2343" s="198"/>
    </row>
    <row r="2344" spans="1:8" ht="15.75" hidden="1" customHeight="1" x14ac:dyDescent="0.25">
      <c r="A2344" s="205" t="s">
        <v>2953</v>
      </c>
      <c r="B2344" s="206">
        <v>97032</v>
      </c>
      <c r="C2344" s="207" t="s">
        <v>2958</v>
      </c>
      <c r="D2344" s="208" t="s">
        <v>585</v>
      </c>
      <c r="E2344" s="209">
        <v>48.49</v>
      </c>
      <c r="F2344" s="209">
        <v>16.489999999999998</v>
      </c>
      <c r="G2344" s="209">
        <v>64.98</v>
      </c>
      <c r="H2344" s="198"/>
    </row>
    <row r="2345" spans="1:8" ht="15.75" hidden="1" customHeight="1" x14ac:dyDescent="0.25">
      <c r="A2345" s="205" t="s">
        <v>2953</v>
      </c>
      <c r="B2345" s="206">
        <v>97031</v>
      </c>
      <c r="C2345" s="207" t="s">
        <v>2959</v>
      </c>
      <c r="D2345" s="208" t="s">
        <v>585</v>
      </c>
      <c r="E2345" s="209">
        <v>87.38</v>
      </c>
      <c r="F2345" s="209">
        <v>16.489999999999998</v>
      </c>
      <c r="G2345" s="209">
        <v>103.87</v>
      </c>
      <c r="H2345" s="198"/>
    </row>
    <row r="2346" spans="1:8" ht="15.75" hidden="1" customHeight="1" x14ac:dyDescent="0.25">
      <c r="A2346" s="205" t="s">
        <v>2953</v>
      </c>
      <c r="B2346" s="206">
        <v>97034</v>
      </c>
      <c r="C2346" s="207" t="s">
        <v>2960</v>
      </c>
      <c r="D2346" s="208" t="s">
        <v>585</v>
      </c>
      <c r="E2346" s="209">
        <v>45.16</v>
      </c>
      <c r="F2346" s="209">
        <v>22.77</v>
      </c>
      <c r="G2346" s="209">
        <v>67.930000000000007</v>
      </c>
      <c r="H2346" s="198"/>
    </row>
    <row r="2347" spans="1:8" ht="15.75" hidden="1" customHeight="1" x14ac:dyDescent="0.25">
      <c r="A2347" s="205" t="s">
        <v>2953</v>
      </c>
      <c r="B2347" s="206">
        <v>97033</v>
      </c>
      <c r="C2347" s="207" t="s">
        <v>2961</v>
      </c>
      <c r="D2347" s="208" t="s">
        <v>585</v>
      </c>
      <c r="E2347" s="209">
        <v>79.510000000000005</v>
      </c>
      <c r="F2347" s="209">
        <v>22.77</v>
      </c>
      <c r="G2347" s="209">
        <v>102.28</v>
      </c>
      <c r="H2347" s="198"/>
    </row>
    <row r="2348" spans="1:8" ht="15.75" hidden="1" customHeight="1" x14ac:dyDescent="0.25">
      <c r="A2348" s="205" t="s">
        <v>2953</v>
      </c>
      <c r="B2348" s="206">
        <v>97014</v>
      </c>
      <c r="C2348" s="207" t="s">
        <v>2962</v>
      </c>
      <c r="D2348" s="208" t="s">
        <v>585</v>
      </c>
      <c r="E2348" s="209">
        <v>53.8</v>
      </c>
      <c r="F2348" s="209">
        <v>15.77</v>
      </c>
      <c r="G2348" s="209">
        <v>69.569999999999993</v>
      </c>
      <c r="H2348" s="198"/>
    </row>
    <row r="2349" spans="1:8" ht="15.75" hidden="1" customHeight="1" x14ac:dyDescent="0.25">
      <c r="A2349" s="205" t="s">
        <v>2953</v>
      </c>
      <c r="B2349" s="206">
        <v>97015</v>
      </c>
      <c r="C2349" s="207" t="s">
        <v>2963</v>
      </c>
      <c r="D2349" s="208" t="s">
        <v>585</v>
      </c>
      <c r="E2349" s="209">
        <v>42.58</v>
      </c>
      <c r="F2349" s="209">
        <v>15.76</v>
      </c>
      <c r="G2349" s="209">
        <v>58.34</v>
      </c>
      <c r="H2349" s="198"/>
    </row>
    <row r="2350" spans="1:8" ht="15.75" hidden="1" customHeight="1" x14ac:dyDescent="0.25">
      <c r="A2350" s="205" t="s">
        <v>2953</v>
      </c>
      <c r="B2350" s="206">
        <v>97013</v>
      </c>
      <c r="C2350" s="207" t="s">
        <v>2964</v>
      </c>
      <c r="D2350" s="208" t="s">
        <v>585</v>
      </c>
      <c r="E2350" s="209">
        <v>76.3</v>
      </c>
      <c r="F2350" s="209">
        <v>15.77</v>
      </c>
      <c r="G2350" s="209">
        <v>92.07</v>
      </c>
      <c r="H2350" s="198"/>
    </row>
    <row r="2351" spans="1:8" ht="15.75" hidden="1" customHeight="1" x14ac:dyDescent="0.25">
      <c r="A2351" s="205" t="s">
        <v>2953</v>
      </c>
      <c r="B2351" s="206">
        <v>97017</v>
      </c>
      <c r="C2351" s="207" t="s">
        <v>2965</v>
      </c>
      <c r="D2351" s="208" t="s">
        <v>585</v>
      </c>
      <c r="E2351" s="209">
        <v>42.1</v>
      </c>
      <c r="F2351" s="209">
        <v>12.58</v>
      </c>
      <c r="G2351" s="209">
        <v>54.68</v>
      </c>
      <c r="H2351" s="198"/>
    </row>
    <row r="2352" spans="1:8" ht="15.75" hidden="1" customHeight="1" x14ac:dyDescent="0.25">
      <c r="A2352" s="205" t="s">
        <v>2953</v>
      </c>
      <c r="B2352" s="206">
        <v>97018</v>
      </c>
      <c r="C2352" s="207" t="s">
        <v>2966</v>
      </c>
      <c r="D2352" s="208" t="s">
        <v>585</v>
      </c>
      <c r="E2352" s="209">
        <v>33.25</v>
      </c>
      <c r="F2352" s="209">
        <v>12.59</v>
      </c>
      <c r="G2352" s="209">
        <v>45.84</v>
      </c>
      <c r="H2352" s="198"/>
    </row>
    <row r="2353" spans="1:8" ht="15.75" hidden="1" customHeight="1" x14ac:dyDescent="0.25">
      <c r="A2353" s="205" t="s">
        <v>2953</v>
      </c>
      <c r="B2353" s="206">
        <v>97016</v>
      </c>
      <c r="C2353" s="207" t="s">
        <v>2967</v>
      </c>
      <c r="D2353" s="208" t="s">
        <v>585</v>
      </c>
      <c r="E2353" s="209">
        <v>59.9</v>
      </c>
      <c r="F2353" s="209">
        <v>12.59</v>
      </c>
      <c r="G2353" s="209">
        <v>72.489999999999995</v>
      </c>
      <c r="H2353" s="198"/>
    </row>
    <row r="2354" spans="1:8" ht="15.75" hidden="1" customHeight="1" x14ac:dyDescent="0.25">
      <c r="A2354" s="205" t="s">
        <v>2953</v>
      </c>
      <c r="B2354" s="206">
        <v>104990</v>
      </c>
      <c r="C2354" s="207" t="s">
        <v>2968</v>
      </c>
      <c r="D2354" s="208" t="s">
        <v>585</v>
      </c>
      <c r="E2354" s="209">
        <v>6.65</v>
      </c>
      <c r="F2354" s="209">
        <v>5.41</v>
      </c>
      <c r="G2354" s="209">
        <v>12.06</v>
      </c>
      <c r="H2354" s="198"/>
    </row>
    <row r="2355" spans="1:8" ht="15.75" hidden="1" customHeight="1" x14ac:dyDescent="0.25">
      <c r="A2355" s="205" t="s">
        <v>2953</v>
      </c>
      <c r="B2355" s="206">
        <v>97054</v>
      </c>
      <c r="C2355" s="207" t="s">
        <v>2969</v>
      </c>
      <c r="D2355" s="208" t="s">
        <v>580</v>
      </c>
      <c r="E2355" s="209">
        <v>21.72</v>
      </c>
      <c r="F2355" s="209">
        <v>10.37</v>
      </c>
      <c r="G2355" s="209">
        <v>32.090000000000003</v>
      </c>
      <c r="H2355" s="198"/>
    </row>
    <row r="2356" spans="1:8" ht="15.75" hidden="1" customHeight="1" x14ac:dyDescent="0.25">
      <c r="A2356" s="205" t="s">
        <v>2953</v>
      </c>
      <c r="B2356" s="206">
        <v>97063</v>
      </c>
      <c r="C2356" s="207" t="s">
        <v>2970</v>
      </c>
      <c r="D2356" s="208" t="s">
        <v>578</v>
      </c>
      <c r="E2356" s="209">
        <v>6.4</v>
      </c>
      <c r="F2356" s="209">
        <v>17.420000000000002</v>
      </c>
      <c r="G2356" s="209">
        <v>23.82</v>
      </c>
      <c r="H2356" s="198"/>
    </row>
    <row r="2357" spans="1:8" ht="15.75" hidden="1" customHeight="1" x14ac:dyDescent="0.25">
      <c r="A2357" s="205" t="s">
        <v>2953</v>
      </c>
      <c r="B2357" s="206">
        <v>97065</v>
      </c>
      <c r="C2357" s="207" t="s">
        <v>2971</v>
      </c>
      <c r="D2357" s="208" t="s">
        <v>664</v>
      </c>
      <c r="E2357" s="209">
        <v>4.4400000000000004</v>
      </c>
      <c r="F2357" s="209">
        <v>11.56</v>
      </c>
      <c r="G2357" s="209">
        <v>16</v>
      </c>
      <c r="H2357" s="198"/>
    </row>
    <row r="2358" spans="1:8" ht="15.75" hidden="1" customHeight="1" x14ac:dyDescent="0.25">
      <c r="A2358" s="205" t="s">
        <v>2953</v>
      </c>
      <c r="B2358" s="206">
        <v>97064</v>
      </c>
      <c r="C2358" s="207" t="s">
        <v>2972</v>
      </c>
      <c r="D2358" s="208" t="s">
        <v>585</v>
      </c>
      <c r="E2358" s="209">
        <v>9.1300000000000008</v>
      </c>
      <c r="F2358" s="209">
        <v>24.21</v>
      </c>
      <c r="G2358" s="209">
        <v>33.340000000000003</v>
      </c>
      <c r="H2358" s="198"/>
    </row>
    <row r="2359" spans="1:8" ht="15.75" hidden="1" customHeight="1" x14ac:dyDescent="0.25">
      <c r="A2359" s="205" t="s">
        <v>2953</v>
      </c>
      <c r="B2359" s="206">
        <v>97067</v>
      </c>
      <c r="C2359" s="207" t="s">
        <v>2973</v>
      </c>
      <c r="D2359" s="208" t="s">
        <v>585</v>
      </c>
      <c r="E2359" s="209">
        <v>585.15</v>
      </c>
      <c r="F2359" s="209">
        <v>168.32</v>
      </c>
      <c r="G2359" s="209">
        <v>753.47</v>
      </c>
      <c r="H2359" s="198"/>
    </row>
    <row r="2360" spans="1:8" ht="15.75" hidden="1" customHeight="1" x14ac:dyDescent="0.25">
      <c r="A2360" s="205" t="s">
        <v>2953</v>
      </c>
      <c r="B2360" s="206">
        <v>97048</v>
      </c>
      <c r="C2360" s="207" t="s">
        <v>2974</v>
      </c>
      <c r="D2360" s="208" t="s">
        <v>578</v>
      </c>
      <c r="E2360" s="209">
        <v>0.08</v>
      </c>
      <c r="F2360" s="209">
        <v>0.02</v>
      </c>
      <c r="G2360" s="209">
        <v>0.1</v>
      </c>
      <c r="H2360" s="198"/>
    </row>
    <row r="2361" spans="1:8" ht="15.75" hidden="1" customHeight="1" x14ac:dyDescent="0.25">
      <c r="A2361" s="205" t="s">
        <v>2953</v>
      </c>
      <c r="B2361" s="206">
        <v>97047</v>
      </c>
      <c r="C2361" s="207" t="s">
        <v>2975</v>
      </c>
      <c r="D2361" s="208" t="s">
        <v>578</v>
      </c>
      <c r="E2361" s="209">
        <v>0.11</v>
      </c>
      <c r="F2361" s="209">
        <v>0.03</v>
      </c>
      <c r="G2361" s="209">
        <v>0.14000000000000001</v>
      </c>
      <c r="H2361" s="198"/>
    </row>
    <row r="2362" spans="1:8" ht="15.75" hidden="1" customHeight="1" x14ac:dyDescent="0.25">
      <c r="A2362" s="205" t="s">
        <v>2953</v>
      </c>
      <c r="B2362" s="206">
        <v>97046</v>
      </c>
      <c r="C2362" s="207" t="s">
        <v>2976</v>
      </c>
      <c r="D2362" s="208" t="s">
        <v>578</v>
      </c>
      <c r="E2362" s="209">
        <v>0.3</v>
      </c>
      <c r="F2362" s="209">
        <v>7.0000000000000007E-2</v>
      </c>
      <c r="G2362" s="209">
        <v>0.37</v>
      </c>
      <c r="H2362" s="198"/>
    </row>
    <row r="2363" spans="1:8" ht="15.75" hidden="1" customHeight="1" x14ac:dyDescent="0.25">
      <c r="A2363" s="205" t="s">
        <v>2953</v>
      </c>
      <c r="B2363" s="206">
        <v>104989</v>
      </c>
      <c r="C2363" s="207" t="s">
        <v>2977</v>
      </c>
      <c r="D2363" s="208" t="s">
        <v>580</v>
      </c>
      <c r="E2363" s="209">
        <v>19.11</v>
      </c>
      <c r="F2363" s="209">
        <v>27.43</v>
      </c>
      <c r="G2363" s="209">
        <v>46.54</v>
      </c>
      <c r="H2363" s="198"/>
    </row>
    <row r="2364" spans="1:8" ht="15.75" hidden="1" customHeight="1" x14ac:dyDescent="0.25">
      <c r="A2364" s="205" t="s">
        <v>2953</v>
      </c>
      <c r="B2364" s="206">
        <v>97066</v>
      </c>
      <c r="C2364" s="207" t="s">
        <v>2978</v>
      </c>
      <c r="D2364" s="208" t="s">
        <v>578</v>
      </c>
      <c r="E2364" s="209">
        <v>234.81</v>
      </c>
      <c r="F2364" s="209">
        <v>136.07</v>
      </c>
      <c r="G2364" s="209">
        <v>370.88</v>
      </c>
      <c r="H2364" s="198"/>
    </row>
    <row r="2365" spans="1:8" ht="15.75" hidden="1" customHeight="1" x14ac:dyDescent="0.25">
      <c r="A2365" s="205" t="s">
        <v>2979</v>
      </c>
      <c r="B2365" s="206">
        <v>95946</v>
      </c>
      <c r="C2365" s="207" t="s">
        <v>2980</v>
      </c>
      <c r="D2365" s="208" t="s">
        <v>823</v>
      </c>
      <c r="E2365" s="209">
        <v>10.42</v>
      </c>
      <c r="F2365" s="209">
        <v>3.14</v>
      </c>
      <c r="G2365" s="209">
        <v>13.56</v>
      </c>
      <c r="H2365" s="198"/>
    </row>
    <row r="2366" spans="1:8" ht="15.75" hidden="1" customHeight="1" x14ac:dyDescent="0.25">
      <c r="A2366" s="205" t="s">
        <v>2979</v>
      </c>
      <c r="B2366" s="206">
        <v>95947</v>
      </c>
      <c r="C2366" s="207" t="s">
        <v>2981</v>
      </c>
      <c r="D2366" s="208" t="s">
        <v>823</v>
      </c>
      <c r="E2366" s="209">
        <v>8.66</v>
      </c>
      <c r="F2366" s="209">
        <v>1.41</v>
      </c>
      <c r="G2366" s="209">
        <v>10.07</v>
      </c>
      <c r="H2366" s="198"/>
    </row>
    <row r="2367" spans="1:8" ht="15.75" hidden="1" customHeight="1" x14ac:dyDescent="0.25">
      <c r="A2367" s="205" t="s">
        <v>2979</v>
      </c>
      <c r="B2367" s="206">
        <v>95948</v>
      </c>
      <c r="C2367" s="207" t="s">
        <v>2982</v>
      </c>
      <c r="D2367" s="208" t="s">
        <v>823</v>
      </c>
      <c r="E2367" s="209">
        <v>8.2200000000000006</v>
      </c>
      <c r="F2367" s="209">
        <v>0.26</v>
      </c>
      <c r="G2367" s="209">
        <v>8.48</v>
      </c>
      <c r="H2367" s="198"/>
    </row>
    <row r="2368" spans="1:8" ht="15.75" hidden="1" customHeight="1" x14ac:dyDescent="0.25">
      <c r="A2368" s="205" t="s">
        <v>2979</v>
      </c>
      <c r="B2368" s="206">
        <v>95944</v>
      </c>
      <c r="C2368" s="207" t="s">
        <v>2983</v>
      </c>
      <c r="D2368" s="208" t="s">
        <v>823</v>
      </c>
      <c r="E2368" s="209">
        <v>13.1</v>
      </c>
      <c r="F2368" s="209">
        <v>10.039999999999999</v>
      </c>
      <c r="G2368" s="209">
        <v>23.14</v>
      </c>
      <c r="H2368" s="198"/>
    </row>
    <row r="2369" spans="1:8" ht="15.75" hidden="1" customHeight="1" x14ac:dyDescent="0.25">
      <c r="A2369" s="205" t="s">
        <v>2979</v>
      </c>
      <c r="B2369" s="206">
        <v>95945</v>
      </c>
      <c r="C2369" s="207" t="s">
        <v>2984</v>
      </c>
      <c r="D2369" s="208" t="s">
        <v>823</v>
      </c>
      <c r="E2369" s="209">
        <v>11.95</v>
      </c>
      <c r="F2369" s="209">
        <v>5.84</v>
      </c>
      <c r="G2369" s="209">
        <v>17.79</v>
      </c>
      <c r="H2369" s="198"/>
    </row>
    <row r="2370" spans="1:8" ht="15.75" hidden="1" customHeight="1" x14ac:dyDescent="0.25">
      <c r="A2370" s="205" t="s">
        <v>2979</v>
      </c>
      <c r="B2370" s="206">
        <v>95943</v>
      </c>
      <c r="C2370" s="207" t="s">
        <v>2985</v>
      </c>
      <c r="D2370" s="208" t="s">
        <v>823</v>
      </c>
      <c r="E2370" s="209">
        <v>13.27</v>
      </c>
      <c r="F2370" s="209">
        <v>12.99</v>
      </c>
      <c r="G2370" s="209">
        <v>26.26</v>
      </c>
      <c r="H2370" s="198"/>
    </row>
    <row r="2371" spans="1:8" ht="15.75" hidden="1" customHeight="1" x14ac:dyDescent="0.25">
      <c r="A2371" s="205" t="s">
        <v>2979</v>
      </c>
      <c r="B2371" s="206">
        <v>102077</v>
      </c>
      <c r="C2371" s="207" t="s">
        <v>2986</v>
      </c>
      <c r="D2371" s="208" t="s">
        <v>664</v>
      </c>
      <c r="E2371" s="209">
        <v>3525.48</v>
      </c>
      <c r="F2371" s="209">
        <v>2036.09</v>
      </c>
      <c r="G2371" s="209">
        <v>5561.57</v>
      </c>
      <c r="H2371" s="198"/>
    </row>
    <row r="2372" spans="1:8" ht="15.75" hidden="1" customHeight="1" x14ac:dyDescent="0.25">
      <c r="A2372" s="205" t="s">
        <v>2979</v>
      </c>
      <c r="B2372" s="206">
        <v>102073</v>
      </c>
      <c r="C2372" s="207" t="s">
        <v>2987</v>
      </c>
      <c r="D2372" s="208" t="s">
        <v>664</v>
      </c>
      <c r="E2372" s="209">
        <v>2623.86</v>
      </c>
      <c r="F2372" s="209">
        <v>1355.29</v>
      </c>
      <c r="G2372" s="209">
        <v>3979.15</v>
      </c>
      <c r="H2372" s="198"/>
    </row>
    <row r="2373" spans="1:8" ht="15.75" hidden="1" customHeight="1" x14ac:dyDescent="0.25">
      <c r="A2373" s="205" t="s">
        <v>2979</v>
      </c>
      <c r="B2373" s="206">
        <v>102079</v>
      </c>
      <c r="C2373" s="207" t="s">
        <v>2988</v>
      </c>
      <c r="D2373" s="208" t="s">
        <v>664</v>
      </c>
      <c r="E2373" s="209">
        <v>3528.76</v>
      </c>
      <c r="F2373" s="209">
        <v>1918.53</v>
      </c>
      <c r="G2373" s="209">
        <v>5447.29</v>
      </c>
      <c r="H2373" s="198"/>
    </row>
    <row r="2374" spans="1:8" ht="15.75" hidden="1" customHeight="1" x14ac:dyDescent="0.25">
      <c r="A2374" s="205" t="s">
        <v>2979</v>
      </c>
      <c r="B2374" s="206">
        <v>102075</v>
      </c>
      <c r="C2374" s="207" t="s">
        <v>2989</v>
      </c>
      <c r="D2374" s="208" t="s">
        <v>664</v>
      </c>
      <c r="E2374" s="209">
        <v>3346.65</v>
      </c>
      <c r="F2374" s="209">
        <v>1575.61</v>
      </c>
      <c r="G2374" s="209">
        <v>4922.26</v>
      </c>
      <c r="H2374" s="198"/>
    </row>
    <row r="2375" spans="1:8" ht="15.75" hidden="1" customHeight="1" x14ac:dyDescent="0.25">
      <c r="A2375" s="205" t="s">
        <v>2979</v>
      </c>
      <c r="B2375" s="206">
        <v>102078</v>
      </c>
      <c r="C2375" s="207" t="s">
        <v>2990</v>
      </c>
      <c r="D2375" s="208" t="s">
        <v>664</v>
      </c>
      <c r="E2375" s="209">
        <v>3677.58</v>
      </c>
      <c r="F2375" s="209">
        <v>2005.59</v>
      </c>
      <c r="G2375" s="209">
        <v>5683.17</v>
      </c>
      <c r="H2375" s="198"/>
    </row>
    <row r="2376" spans="1:8" ht="15.75" hidden="1" customHeight="1" x14ac:dyDescent="0.25">
      <c r="A2376" s="205" t="s">
        <v>2979</v>
      </c>
      <c r="B2376" s="206">
        <v>102074</v>
      </c>
      <c r="C2376" s="207" t="s">
        <v>2991</v>
      </c>
      <c r="D2376" s="208" t="s">
        <v>664</v>
      </c>
      <c r="E2376" s="209">
        <v>3226.14</v>
      </c>
      <c r="F2376" s="209">
        <v>1518.18</v>
      </c>
      <c r="G2376" s="209">
        <v>4744.32</v>
      </c>
      <c r="H2376" s="198"/>
    </row>
    <row r="2377" spans="1:8" ht="15.75" hidden="1" customHeight="1" x14ac:dyDescent="0.25">
      <c r="A2377" s="205" t="s">
        <v>2979</v>
      </c>
      <c r="B2377" s="206">
        <v>102080</v>
      </c>
      <c r="C2377" s="207" t="s">
        <v>2992</v>
      </c>
      <c r="D2377" s="208" t="s">
        <v>664</v>
      </c>
      <c r="E2377" s="209">
        <v>3186.65</v>
      </c>
      <c r="F2377" s="209">
        <v>1533.6</v>
      </c>
      <c r="G2377" s="209">
        <v>4720.25</v>
      </c>
      <c r="H2377" s="198"/>
    </row>
    <row r="2378" spans="1:8" ht="15.75" hidden="1" customHeight="1" x14ac:dyDescent="0.25">
      <c r="A2378" s="205" t="s">
        <v>2979</v>
      </c>
      <c r="B2378" s="206">
        <v>102076</v>
      </c>
      <c r="C2378" s="207" t="s">
        <v>2993</v>
      </c>
      <c r="D2378" s="208" t="s">
        <v>664</v>
      </c>
      <c r="E2378" s="209">
        <v>3483.75</v>
      </c>
      <c r="F2378" s="209">
        <v>1538.22</v>
      </c>
      <c r="G2378" s="209">
        <v>5021.97</v>
      </c>
      <c r="H2378" s="198"/>
    </row>
    <row r="2379" spans="1:8" ht="15.75" hidden="1" customHeight="1" x14ac:dyDescent="0.25">
      <c r="A2379" s="205" t="s">
        <v>2979</v>
      </c>
      <c r="B2379" s="206">
        <v>102089</v>
      </c>
      <c r="C2379" s="207" t="s">
        <v>2994</v>
      </c>
      <c r="D2379" s="208" t="s">
        <v>578</v>
      </c>
      <c r="E2379" s="209">
        <v>146.61000000000001</v>
      </c>
      <c r="F2379" s="209">
        <v>34.92</v>
      </c>
      <c r="G2379" s="209">
        <v>181.53</v>
      </c>
      <c r="H2379" s="198"/>
    </row>
    <row r="2380" spans="1:8" ht="15.75" hidden="1" customHeight="1" x14ac:dyDescent="0.25">
      <c r="A2380" s="205" t="s">
        <v>2979</v>
      </c>
      <c r="B2380" s="206">
        <v>102090</v>
      </c>
      <c r="C2380" s="207" t="s">
        <v>2995</v>
      </c>
      <c r="D2380" s="208" t="s">
        <v>578</v>
      </c>
      <c r="E2380" s="209">
        <v>103.36</v>
      </c>
      <c r="F2380" s="209">
        <v>34.92</v>
      </c>
      <c r="G2380" s="209">
        <v>138.28</v>
      </c>
      <c r="H2380" s="198"/>
    </row>
    <row r="2381" spans="1:8" ht="15.75" hidden="1" customHeight="1" x14ac:dyDescent="0.25">
      <c r="A2381" s="205" t="s">
        <v>2979</v>
      </c>
      <c r="B2381" s="206">
        <v>102086</v>
      </c>
      <c r="C2381" s="207" t="s">
        <v>2996</v>
      </c>
      <c r="D2381" s="208" t="s">
        <v>578</v>
      </c>
      <c r="E2381" s="209">
        <v>158.01</v>
      </c>
      <c r="F2381" s="209">
        <v>32.29</v>
      </c>
      <c r="G2381" s="209">
        <v>190.3</v>
      </c>
      <c r="H2381" s="198"/>
    </row>
    <row r="2382" spans="1:8" ht="15.75" hidden="1" customHeight="1" x14ac:dyDescent="0.25">
      <c r="A2382" s="205" t="s">
        <v>2979</v>
      </c>
      <c r="B2382" s="206">
        <v>102087</v>
      </c>
      <c r="C2382" s="207" t="s">
        <v>2997</v>
      </c>
      <c r="D2382" s="208" t="s">
        <v>578</v>
      </c>
      <c r="E2382" s="209">
        <v>119.88</v>
      </c>
      <c r="F2382" s="209">
        <v>32.29</v>
      </c>
      <c r="G2382" s="209">
        <v>152.16999999999999</v>
      </c>
      <c r="H2382" s="198"/>
    </row>
    <row r="2383" spans="1:8" ht="15.75" hidden="1" customHeight="1" x14ac:dyDescent="0.25">
      <c r="A2383" s="205" t="s">
        <v>2979</v>
      </c>
      <c r="B2383" s="206">
        <v>102091</v>
      </c>
      <c r="C2383" s="207" t="s">
        <v>2998</v>
      </c>
      <c r="D2383" s="208" t="s">
        <v>578</v>
      </c>
      <c r="E2383" s="209">
        <v>265.33999999999997</v>
      </c>
      <c r="F2383" s="209">
        <v>35.29</v>
      </c>
      <c r="G2383" s="209">
        <v>300.63</v>
      </c>
      <c r="H2383" s="198"/>
    </row>
    <row r="2384" spans="1:8" ht="15.75" hidden="1" customHeight="1" x14ac:dyDescent="0.25">
      <c r="A2384" s="205" t="s">
        <v>2979</v>
      </c>
      <c r="B2384" s="206">
        <v>102088</v>
      </c>
      <c r="C2384" s="207" t="s">
        <v>2999</v>
      </c>
      <c r="D2384" s="208" t="s">
        <v>578</v>
      </c>
      <c r="E2384" s="209">
        <v>223.06</v>
      </c>
      <c r="F2384" s="209">
        <v>33.83</v>
      </c>
      <c r="G2384" s="209">
        <v>256.89</v>
      </c>
      <c r="H2384" s="198"/>
    </row>
    <row r="2385" spans="1:8" ht="15.75" hidden="1" customHeight="1" x14ac:dyDescent="0.25">
      <c r="A2385" s="205" t="s">
        <v>2979</v>
      </c>
      <c r="B2385" s="206">
        <v>101997</v>
      </c>
      <c r="C2385" s="207" t="s">
        <v>3000</v>
      </c>
      <c r="D2385" s="208" t="s">
        <v>578</v>
      </c>
      <c r="E2385" s="209">
        <v>153.61000000000001</v>
      </c>
      <c r="F2385" s="209">
        <v>38.369999999999997</v>
      </c>
      <c r="G2385" s="209">
        <v>191.98</v>
      </c>
      <c r="H2385" s="198"/>
    </row>
    <row r="2386" spans="1:8" ht="15.75" hidden="1" customHeight="1" x14ac:dyDescent="0.25">
      <c r="A2386" s="205" t="s">
        <v>2979</v>
      </c>
      <c r="B2386" s="206">
        <v>101998</v>
      </c>
      <c r="C2386" s="207" t="s">
        <v>3001</v>
      </c>
      <c r="D2386" s="208" t="s">
        <v>578</v>
      </c>
      <c r="E2386" s="209">
        <v>107.89</v>
      </c>
      <c r="F2386" s="209">
        <v>38.380000000000003</v>
      </c>
      <c r="G2386" s="209">
        <v>146.27000000000001</v>
      </c>
      <c r="H2386" s="198"/>
    </row>
    <row r="2387" spans="1:8" ht="15.75" hidden="1" customHeight="1" x14ac:dyDescent="0.25">
      <c r="A2387" s="205" t="s">
        <v>2979</v>
      </c>
      <c r="B2387" s="206">
        <v>101999</v>
      </c>
      <c r="C2387" s="207" t="s">
        <v>3002</v>
      </c>
      <c r="D2387" s="208" t="s">
        <v>578</v>
      </c>
      <c r="E2387" s="209">
        <v>318.48</v>
      </c>
      <c r="F2387" s="209">
        <v>36.369999999999997</v>
      </c>
      <c r="G2387" s="209">
        <v>354.85</v>
      </c>
      <c r="H2387" s="198"/>
    </row>
    <row r="2388" spans="1:8" ht="15.75" hidden="1" customHeight="1" x14ac:dyDescent="0.25">
      <c r="A2388" s="205" t="s">
        <v>2979</v>
      </c>
      <c r="B2388" s="206">
        <v>101994</v>
      </c>
      <c r="C2388" s="207" t="s">
        <v>3003</v>
      </c>
      <c r="D2388" s="208" t="s">
        <v>578</v>
      </c>
      <c r="E2388" s="209">
        <v>165.62</v>
      </c>
      <c r="F2388" s="209">
        <v>32.18</v>
      </c>
      <c r="G2388" s="209">
        <v>197.8</v>
      </c>
      <c r="H2388" s="198"/>
    </row>
    <row r="2389" spans="1:8" ht="15.75" hidden="1" customHeight="1" x14ac:dyDescent="0.25">
      <c r="A2389" s="205" t="s">
        <v>2979</v>
      </c>
      <c r="B2389" s="206">
        <v>101995</v>
      </c>
      <c r="C2389" s="207" t="s">
        <v>3004</v>
      </c>
      <c r="D2389" s="208" t="s">
        <v>578</v>
      </c>
      <c r="E2389" s="209">
        <v>124.86</v>
      </c>
      <c r="F2389" s="209">
        <v>32.17</v>
      </c>
      <c r="G2389" s="209">
        <v>157.03</v>
      </c>
      <c r="H2389" s="198"/>
    </row>
    <row r="2390" spans="1:8" ht="15.75" hidden="1" customHeight="1" x14ac:dyDescent="0.25">
      <c r="A2390" s="205" t="s">
        <v>2979</v>
      </c>
      <c r="B2390" s="206">
        <v>101996</v>
      </c>
      <c r="C2390" s="207" t="s">
        <v>3005</v>
      </c>
      <c r="D2390" s="208" t="s">
        <v>578</v>
      </c>
      <c r="E2390" s="209">
        <v>241.78</v>
      </c>
      <c r="F2390" s="209">
        <v>33.94</v>
      </c>
      <c r="G2390" s="209">
        <v>275.72000000000003</v>
      </c>
      <c r="H2390" s="198"/>
    </row>
    <row r="2391" spans="1:8" ht="15.75" hidden="1" customHeight="1" x14ac:dyDescent="0.25">
      <c r="A2391" s="205" t="s">
        <v>2979</v>
      </c>
      <c r="B2391" s="206">
        <v>101991</v>
      </c>
      <c r="C2391" s="207" t="s">
        <v>3006</v>
      </c>
      <c r="D2391" s="208" t="s">
        <v>578</v>
      </c>
      <c r="E2391" s="209">
        <v>153.58000000000001</v>
      </c>
      <c r="F2391" s="209">
        <v>38.770000000000003</v>
      </c>
      <c r="G2391" s="209">
        <v>192.35</v>
      </c>
      <c r="H2391" s="198"/>
    </row>
    <row r="2392" spans="1:8" ht="15.75" hidden="1" customHeight="1" x14ac:dyDescent="0.25">
      <c r="A2392" s="205" t="s">
        <v>2979</v>
      </c>
      <c r="B2392" s="206">
        <v>101992</v>
      </c>
      <c r="C2392" s="207" t="s">
        <v>3007</v>
      </c>
      <c r="D2392" s="208" t="s">
        <v>578</v>
      </c>
      <c r="E2392" s="209">
        <v>108.88</v>
      </c>
      <c r="F2392" s="209">
        <v>38.770000000000003</v>
      </c>
      <c r="G2392" s="209">
        <v>147.65</v>
      </c>
      <c r="H2392" s="198"/>
    </row>
    <row r="2393" spans="1:8" ht="15.75" hidden="1" customHeight="1" x14ac:dyDescent="0.25">
      <c r="A2393" s="205" t="s">
        <v>2979</v>
      </c>
      <c r="B2393" s="206">
        <v>101993</v>
      </c>
      <c r="C2393" s="207" t="s">
        <v>3008</v>
      </c>
      <c r="D2393" s="208" t="s">
        <v>578</v>
      </c>
      <c r="E2393" s="209">
        <v>295.72000000000003</v>
      </c>
      <c r="F2393" s="209">
        <v>35.54</v>
      </c>
      <c r="G2393" s="209">
        <v>331.26</v>
      </c>
      <c r="H2393" s="198"/>
    </row>
    <row r="2394" spans="1:8" ht="15.75" hidden="1" customHeight="1" x14ac:dyDescent="0.25">
      <c r="A2394" s="205" t="s">
        <v>2979</v>
      </c>
      <c r="B2394" s="206">
        <v>101988</v>
      </c>
      <c r="C2394" s="207" t="s">
        <v>3009</v>
      </c>
      <c r="D2394" s="208" t="s">
        <v>578</v>
      </c>
      <c r="E2394" s="209">
        <v>153.76</v>
      </c>
      <c r="F2394" s="209">
        <v>34.57</v>
      </c>
      <c r="G2394" s="209">
        <v>188.33</v>
      </c>
      <c r="H2394" s="198"/>
    </row>
    <row r="2395" spans="1:8" ht="15.75" hidden="1" customHeight="1" x14ac:dyDescent="0.25">
      <c r="A2395" s="205" t="s">
        <v>2979</v>
      </c>
      <c r="B2395" s="206">
        <v>101989</v>
      </c>
      <c r="C2395" s="207" t="s">
        <v>3010</v>
      </c>
      <c r="D2395" s="208" t="s">
        <v>578</v>
      </c>
      <c r="E2395" s="209">
        <v>117.43</v>
      </c>
      <c r="F2395" s="209">
        <v>34.58</v>
      </c>
      <c r="G2395" s="209">
        <v>152.01</v>
      </c>
      <c r="H2395" s="198"/>
    </row>
    <row r="2396" spans="1:8" ht="15.75" hidden="1" customHeight="1" x14ac:dyDescent="0.25">
      <c r="A2396" s="205" t="s">
        <v>2979</v>
      </c>
      <c r="B2396" s="206">
        <v>101990</v>
      </c>
      <c r="C2396" s="207" t="s">
        <v>3011</v>
      </c>
      <c r="D2396" s="208" t="s">
        <v>578</v>
      </c>
      <c r="E2396" s="209">
        <v>222.76</v>
      </c>
      <c r="F2396" s="209">
        <v>34.08</v>
      </c>
      <c r="G2396" s="209">
        <v>256.83999999999997</v>
      </c>
      <c r="H2396" s="198"/>
    </row>
    <row r="2397" spans="1:8" ht="15.75" hidden="1" customHeight="1" x14ac:dyDescent="0.25">
      <c r="A2397" s="205" t="s">
        <v>2979</v>
      </c>
      <c r="B2397" s="206">
        <v>101985</v>
      </c>
      <c r="C2397" s="207" t="s">
        <v>3012</v>
      </c>
      <c r="D2397" s="208" t="s">
        <v>578</v>
      </c>
      <c r="E2397" s="209">
        <v>156.01</v>
      </c>
      <c r="F2397" s="209">
        <v>33.799999999999997</v>
      </c>
      <c r="G2397" s="209">
        <v>189.81</v>
      </c>
      <c r="H2397" s="198"/>
    </row>
    <row r="2398" spans="1:8" ht="15.75" hidden="1" customHeight="1" x14ac:dyDescent="0.25">
      <c r="A2398" s="205" t="s">
        <v>2979</v>
      </c>
      <c r="B2398" s="206">
        <v>101986</v>
      </c>
      <c r="C2398" s="207" t="s">
        <v>3013</v>
      </c>
      <c r="D2398" s="208" t="s">
        <v>578</v>
      </c>
      <c r="E2398" s="209">
        <v>109.25</v>
      </c>
      <c r="F2398" s="209">
        <v>33.799999999999997</v>
      </c>
      <c r="G2398" s="209">
        <v>143.05000000000001</v>
      </c>
      <c r="H2398" s="198"/>
    </row>
    <row r="2399" spans="1:8" ht="15.75" hidden="1" customHeight="1" x14ac:dyDescent="0.25">
      <c r="A2399" s="205" t="s">
        <v>2979</v>
      </c>
      <c r="B2399" s="206">
        <v>101987</v>
      </c>
      <c r="C2399" s="207" t="s">
        <v>3014</v>
      </c>
      <c r="D2399" s="208" t="s">
        <v>578</v>
      </c>
      <c r="E2399" s="209">
        <v>249.28</v>
      </c>
      <c r="F2399" s="209">
        <v>32.96</v>
      </c>
      <c r="G2399" s="209">
        <v>282.24</v>
      </c>
      <c r="H2399" s="198"/>
    </row>
    <row r="2400" spans="1:8" ht="15.75" hidden="1" customHeight="1" x14ac:dyDescent="0.25">
      <c r="A2400" s="205" t="s">
        <v>2979</v>
      </c>
      <c r="B2400" s="206">
        <v>101969</v>
      </c>
      <c r="C2400" s="207" t="s">
        <v>3015</v>
      </c>
      <c r="D2400" s="208" t="s">
        <v>578</v>
      </c>
      <c r="E2400" s="209">
        <v>150.44</v>
      </c>
      <c r="F2400" s="209">
        <v>28.8</v>
      </c>
      <c r="G2400" s="209">
        <v>179.24</v>
      </c>
      <c r="H2400" s="198"/>
    </row>
    <row r="2401" spans="1:8" ht="15.75" hidden="1" customHeight="1" x14ac:dyDescent="0.25">
      <c r="A2401" s="205" t="s">
        <v>2979</v>
      </c>
      <c r="B2401" s="206">
        <v>101971</v>
      </c>
      <c r="C2401" s="207" t="s">
        <v>3016</v>
      </c>
      <c r="D2401" s="208" t="s">
        <v>578</v>
      </c>
      <c r="E2401" s="209">
        <v>113.66</v>
      </c>
      <c r="F2401" s="209">
        <v>28.8</v>
      </c>
      <c r="G2401" s="209">
        <v>142.46</v>
      </c>
      <c r="H2401" s="198"/>
    </row>
    <row r="2402" spans="1:8" ht="15.75" hidden="1" customHeight="1" x14ac:dyDescent="0.25">
      <c r="A2402" s="205" t="s">
        <v>2979</v>
      </c>
      <c r="B2402" s="206">
        <v>101973</v>
      </c>
      <c r="C2402" s="207" t="s">
        <v>3017</v>
      </c>
      <c r="D2402" s="208" t="s">
        <v>578</v>
      </c>
      <c r="E2402" s="209">
        <v>207.13</v>
      </c>
      <c r="F2402" s="209">
        <v>31.33</v>
      </c>
      <c r="G2402" s="209">
        <v>238.46</v>
      </c>
      <c r="H2402" s="198"/>
    </row>
    <row r="2403" spans="1:8" ht="15.75" hidden="1" customHeight="1" x14ac:dyDescent="0.25">
      <c r="A2403" s="205" t="s">
        <v>2979</v>
      </c>
      <c r="B2403" s="206">
        <v>102072</v>
      </c>
      <c r="C2403" s="207" t="s">
        <v>3018</v>
      </c>
      <c r="D2403" s="208" t="s">
        <v>578</v>
      </c>
      <c r="E2403" s="209">
        <v>116.56</v>
      </c>
      <c r="F2403" s="209">
        <v>86.18</v>
      </c>
      <c r="G2403" s="209">
        <v>202.74</v>
      </c>
      <c r="H2403" s="198"/>
    </row>
    <row r="2404" spans="1:8" ht="15.75" hidden="1" customHeight="1" x14ac:dyDescent="0.25">
      <c r="A2404" s="205" t="s">
        <v>2979</v>
      </c>
      <c r="B2404" s="206">
        <v>102070</v>
      </c>
      <c r="C2404" s="207" t="s">
        <v>3019</v>
      </c>
      <c r="D2404" s="208" t="s">
        <v>578</v>
      </c>
      <c r="E2404" s="209">
        <v>139.63</v>
      </c>
      <c r="F2404" s="209">
        <v>100.65</v>
      </c>
      <c r="G2404" s="209">
        <v>240.28</v>
      </c>
      <c r="H2404" s="198"/>
    </row>
    <row r="2405" spans="1:8" ht="15.75" hidden="1" customHeight="1" x14ac:dyDescent="0.25">
      <c r="A2405" s="205" t="s">
        <v>2979</v>
      </c>
      <c r="B2405" s="206">
        <v>102071</v>
      </c>
      <c r="C2405" s="207" t="s">
        <v>3020</v>
      </c>
      <c r="D2405" s="208" t="s">
        <v>578</v>
      </c>
      <c r="E2405" s="209">
        <v>121.95</v>
      </c>
      <c r="F2405" s="209">
        <v>92.25</v>
      </c>
      <c r="G2405" s="209">
        <v>214.2</v>
      </c>
      <c r="H2405" s="198"/>
    </row>
    <row r="2406" spans="1:8" ht="15.75" hidden="1" customHeight="1" x14ac:dyDescent="0.25">
      <c r="A2406" s="205" t="s">
        <v>2979</v>
      </c>
      <c r="B2406" s="206">
        <v>102068</v>
      </c>
      <c r="C2406" s="207" t="s">
        <v>3021</v>
      </c>
      <c r="D2406" s="208" t="s">
        <v>578</v>
      </c>
      <c r="E2406" s="209">
        <v>155.69</v>
      </c>
      <c r="F2406" s="209">
        <v>149.21</v>
      </c>
      <c r="G2406" s="209">
        <v>304.89999999999998</v>
      </c>
      <c r="H2406" s="198"/>
    </row>
    <row r="2407" spans="1:8" ht="15.75" hidden="1" customHeight="1" x14ac:dyDescent="0.25">
      <c r="A2407" s="205" t="s">
        <v>2979</v>
      </c>
      <c r="B2407" s="206">
        <v>102069</v>
      </c>
      <c r="C2407" s="207" t="s">
        <v>3022</v>
      </c>
      <c r="D2407" s="208" t="s">
        <v>578</v>
      </c>
      <c r="E2407" s="209">
        <v>154.72</v>
      </c>
      <c r="F2407" s="209">
        <v>121.96</v>
      </c>
      <c r="G2407" s="209">
        <v>276.68</v>
      </c>
      <c r="H2407" s="198"/>
    </row>
    <row r="2408" spans="1:8" ht="15.75" hidden="1" customHeight="1" x14ac:dyDescent="0.25">
      <c r="A2408" s="205" t="s">
        <v>2979</v>
      </c>
      <c r="B2408" s="206">
        <v>102066</v>
      </c>
      <c r="C2408" s="207" t="s">
        <v>3023</v>
      </c>
      <c r="D2408" s="208" t="s">
        <v>578</v>
      </c>
      <c r="E2408" s="209">
        <v>368.07</v>
      </c>
      <c r="F2408" s="209">
        <v>215.61</v>
      </c>
      <c r="G2408" s="209">
        <v>583.67999999999995</v>
      </c>
      <c r="H2408" s="198"/>
    </row>
    <row r="2409" spans="1:8" ht="15.75" hidden="1" customHeight="1" x14ac:dyDescent="0.25">
      <c r="A2409" s="205" t="s">
        <v>2979</v>
      </c>
      <c r="B2409" s="206">
        <v>102067</v>
      </c>
      <c r="C2409" s="207" t="s">
        <v>3024</v>
      </c>
      <c r="D2409" s="208" t="s">
        <v>578</v>
      </c>
      <c r="E2409" s="209">
        <v>324.64</v>
      </c>
      <c r="F2409" s="209">
        <v>171.67</v>
      </c>
      <c r="G2409" s="209">
        <v>496.31</v>
      </c>
      <c r="H2409" s="198"/>
    </row>
    <row r="2410" spans="1:8" ht="15.75" hidden="1" customHeight="1" x14ac:dyDescent="0.25">
      <c r="A2410" s="205" t="s">
        <v>2979</v>
      </c>
      <c r="B2410" s="206">
        <v>102065</v>
      </c>
      <c r="C2410" s="207" t="s">
        <v>3025</v>
      </c>
      <c r="D2410" s="208" t="s">
        <v>578</v>
      </c>
      <c r="E2410" s="209">
        <v>126.91</v>
      </c>
      <c r="F2410" s="209">
        <v>85.76</v>
      </c>
      <c r="G2410" s="209">
        <v>212.67</v>
      </c>
      <c r="H2410" s="198"/>
    </row>
    <row r="2411" spans="1:8" ht="15.75" hidden="1" customHeight="1" x14ac:dyDescent="0.25">
      <c r="A2411" s="205" t="s">
        <v>2979</v>
      </c>
      <c r="B2411" s="206">
        <v>102063</v>
      </c>
      <c r="C2411" s="207" t="s">
        <v>3026</v>
      </c>
      <c r="D2411" s="208" t="s">
        <v>578</v>
      </c>
      <c r="E2411" s="209">
        <v>156.27000000000001</v>
      </c>
      <c r="F2411" s="209">
        <v>98.52</v>
      </c>
      <c r="G2411" s="209">
        <v>254.79</v>
      </c>
      <c r="H2411" s="198"/>
    </row>
    <row r="2412" spans="1:8" ht="15.75" hidden="1" customHeight="1" x14ac:dyDescent="0.25">
      <c r="A2412" s="205" t="s">
        <v>2979</v>
      </c>
      <c r="B2412" s="206">
        <v>102064</v>
      </c>
      <c r="C2412" s="207" t="s">
        <v>3027</v>
      </c>
      <c r="D2412" s="208" t="s">
        <v>578</v>
      </c>
      <c r="E2412" s="209">
        <v>137.31</v>
      </c>
      <c r="F2412" s="209">
        <v>90.43</v>
      </c>
      <c r="G2412" s="209">
        <v>227.74</v>
      </c>
      <c r="H2412" s="198"/>
    </row>
    <row r="2413" spans="1:8" ht="15.75" hidden="1" customHeight="1" x14ac:dyDescent="0.25">
      <c r="A2413" s="205" t="s">
        <v>2979</v>
      </c>
      <c r="B2413" s="206">
        <v>102061</v>
      </c>
      <c r="C2413" s="207" t="s">
        <v>3028</v>
      </c>
      <c r="D2413" s="208" t="s">
        <v>578</v>
      </c>
      <c r="E2413" s="209">
        <v>177.65</v>
      </c>
      <c r="F2413" s="209">
        <v>146.16999999999999</v>
      </c>
      <c r="G2413" s="209">
        <v>323.82</v>
      </c>
      <c r="H2413" s="198"/>
    </row>
    <row r="2414" spans="1:8" ht="15.75" hidden="1" customHeight="1" x14ac:dyDescent="0.25">
      <c r="A2414" s="205" t="s">
        <v>2979</v>
      </c>
      <c r="B2414" s="206">
        <v>102062</v>
      </c>
      <c r="C2414" s="207" t="s">
        <v>3029</v>
      </c>
      <c r="D2414" s="208" t="s">
        <v>578</v>
      </c>
      <c r="E2414" s="209">
        <v>178.37</v>
      </c>
      <c r="F2414" s="209">
        <v>118.26</v>
      </c>
      <c r="G2414" s="209">
        <v>296.63</v>
      </c>
      <c r="H2414" s="198"/>
    </row>
    <row r="2415" spans="1:8" ht="15.75" hidden="1" customHeight="1" x14ac:dyDescent="0.25">
      <c r="A2415" s="205" t="s">
        <v>2979</v>
      </c>
      <c r="B2415" s="206">
        <v>102059</v>
      </c>
      <c r="C2415" s="207" t="s">
        <v>3030</v>
      </c>
      <c r="D2415" s="208" t="s">
        <v>578</v>
      </c>
      <c r="E2415" s="209">
        <v>334.56</v>
      </c>
      <c r="F2415" s="209">
        <v>219.34</v>
      </c>
      <c r="G2415" s="209">
        <v>553.9</v>
      </c>
      <c r="H2415" s="198"/>
    </row>
    <row r="2416" spans="1:8" ht="15.75" hidden="1" customHeight="1" x14ac:dyDescent="0.25">
      <c r="A2416" s="205" t="s">
        <v>2979</v>
      </c>
      <c r="B2416" s="206">
        <v>102060</v>
      </c>
      <c r="C2416" s="207" t="s">
        <v>3031</v>
      </c>
      <c r="D2416" s="208" t="s">
        <v>578</v>
      </c>
      <c r="E2416" s="209">
        <v>287.77999999999997</v>
      </c>
      <c r="F2416" s="209">
        <v>174.06</v>
      </c>
      <c r="G2416" s="209">
        <v>461.84</v>
      </c>
      <c r="H2416" s="198"/>
    </row>
    <row r="2417" spans="1:8" ht="15.75" hidden="1" customHeight="1" x14ac:dyDescent="0.25">
      <c r="A2417" s="205" t="s">
        <v>2979</v>
      </c>
      <c r="B2417" s="206">
        <v>102052</v>
      </c>
      <c r="C2417" s="207" t="s">
        <v>3032</v>
      </c>
      <c r="D2417" s="208" t="s">
        <v>578</v>
      </c>
      <c r="E2417" s="209">
        <v>109.6</v>
      </c>
      <c r="F2417" s="209">
        <v>102.71</v>
      </c>
      <c r="G2417" s="209">
        <v>212.31</v>
      </c>
      <c r="H2417" s="198"/>
    </row>
    <row r="2418" spans="1:8" ht="15.75" hidden="1" customHeight="1" x14ac:dyDescent="0.25">
      <c r="A2418" s="205" t="s">
        <v>2979</v>
      </c>
      <c r="B2418" s="206">
        <v>102050</v>
      </c>
      <c r="C2418" s="207" t="s">
        <v>3033</v>
      </c>
      <c r="D2418" s="208" t="s">
        <v>578</v>
      </c>
      <c r="E2418" s="209">
        <v>138.69999999999999</v>
      </c>
      <c r="F2418" s="209">
        <v>117.9</v>
      </c>
      <c r="G2418" s="209">
        <v>256.60000000000002</v>
      </c>
      <c r="H2418" s="198"/>
    </row>
    <row r="2419" spans="1:8" ht="15.75" hidden="1" customHeight="1" x14ac:dyDescent="0.25">
      <c r="A2419" s="205" t="s">
        <v>2979</v>
      </c>
      <c r="B2419" s="206">
        <v>102051</v>
      </c>
      <c r="C2419" s="207" t="s">
        <v>3034</v>
      </c>
      <c r="D2419" s="208" t="s">
        <v>578</v>
      </c>
      <c r="E2419" s="209">
        <v>119.92</v>
      </c>
      <c r="F2419" s="209">
        <v>108.28</v>
      </c>
      <c r="G2419" s="209">
        <v>228.2</v>
      </c>
      <c r="H2419" s="198"/>
    </row>
    <row r="2420" spans="1:8" ht="15.75" hidden="1" customHeight="1" x14ac:dyDescent="0.25">
      <c r="A2420" s="205" t="s">
        <v>2979</v>
      </c>
      <c r="B2420" s="206">
        <v>102048</v>
      </c>
      <c r="C2420" s="207" t="s">
        <v>3035</v>
      </c>
      <c r="D2420" s="208" t="s">
        <v>578</v>
      </c>
      <c r="E2420" s="209">
        <v>160.49</v>
      </c>
      <c r="F2420" s="209">
        <v>174.77</v>
      </c>
      <c r="G2420" s="209">
        <v>335.26</v>
      </c>
      <c r="H2420" s="198"/>
    </row>
    <row r="2421" spans="1:8" ht="15.75" hidden="1" customHeight="1" x14ac:dyDescent="0.25">
      <c r="A2421" s="205" t="s">
        <v>2979</v>
      </c>
      <c r="B2421" s="206">
        <v>102049</v>
      </c>
      <c r="C2421" s="207" t="s">
        <v>3036</v>
      </c>
      <c r="D2421" s="208" t="s">
        <v>578</v>
      </c>
      <c r="E2421" s="209">
        <v>154</v>
      </c>
      <c r="F2421" s="209">
        <v>141.80000000000001</v>
      </c>
      <c r="G2421" s="209">
        <v>295.8</v>
      </c>
      <c r="H2421" s="198"/>
    </row>
    <row r="2422" spans="1:8" ht="15.75" hidden="1" customHeight="1" x14ac:dyDescent="0.25">
      <c r="A2422" s="205" t="s">
        <v>2979</v>
      </c>
      <c r="B2422" s="206">
        <v>102046</v>
      </c>
      <c r="C2422" s="207" t="s">
        <v>3037</v>
      </c>
      <c r="D2422" s="208" t="s">
        <v>578</v>
      </c>
      <c r="E2422" s="209">
        <v>421.86</v>
      </c>
      <c r="F2422" s="209">
        <v>237.09</v>
      </c>
      <c r="G2422" s="209">
        <v>658.95</v>
      </c>
      <c r="H2422" s="198"/>
    </row>
    <row r="2423" spans="1:8" ht="15.75" hidden="1" customHeight="1" x14ac:dyDescent="0.25">
      <c r="A2423" s="205" t="s">
        <v>2979</v>
      </c>
      <c r="B2423" s="206">
        <v>102047</v>
      </c>
      <c r="C2423" s="207" t="s">
        <v>3038</v>
      </c>
      <c r="D2423" s="208" t="s">
        <v>578</v>
      </c>
      <c r="E2423" s="209">
        <v>370.14</v>
      </c>
      <c r="F2423" s="209">
        <v>187.63</v>
      </c>
      <c r="G2423" s="209">
        <v>557.77</v>
      </c>
      <c r="H2423" s="198"/>
    </row>
    <row r="2424" spans="1:8" ht="15.75" hidden="1" customHeight="1" x14ac:dyDescent="0.25">
      <c r="A2424" s="205" t="s">
        <v>2979</v>
      </c>
      <c r="B2424" s="206">
        <v>102045</v>
      </c>
      <c r="C2424" s="207" t="s">
        <v>3039</v>
      </c>
      <c r="D2424" s="208" t="s">
        <v>578</v>
      </c>
      <c r="E2424" s="209">
        <v>128.49</v>
      </c>
      <c r="F2424" s="209">
        <v>99.72</v>
      </c>
      <c r="G2424" s="209">
        <v>228.21</v>
      </c>
      <c r="H2424" s="198"/>
    </row>
    <row r="2425" spans="1:8" ht="15.75" hidden="1" customHeight="1" x14ac:dyDescent="0.25">
      <c r="A2425" s="205" t="s">
        <v>2979</v>
      </c>
      <c r="B2425" s="206">
        <v>102043</v>
      </c>
      <c r="C2425" s="207" t="s">
        <v>3040</v>
      </c>
      <c r="D2425" s="208" t="s">
        <v>578</v>
      </c>
      <c r="E2425" s="209">
        <v>157.97999999999999</v>
      </c>
      <c r="F2425" s="209">
        <v>113.54</v>
      </c>
      <c r="G2425" s="209">
        <v>271.52</v>
      </c>
      <c r="H2425" s="198"/>
    </row>
    <row r="2426" spans="1:8" ht="15.75" hidden="1" customHeight="1" x14ac:dyDescent="0.25">
      <c r="A2426" s="205" t="s">
        <v>2979</v>
      </c>
      <c r="B2426" s="206">
        <v>102044</v>
      </c>
      <c r="C2426" s="207" t="s">
        <v>3041</v>
      </c>
      <c r="D2426" s="208" t="s">
        <v>578</v>
      </c>
      <c r="E2426" s="209">
        <v>139.54</v>
      </c>
      <c r="F2426" s="209">
        <v>104.91</v>
      </c>
      <c r="G2426" s="209">
        <v>244.45</v>
      </c>
      <c r="H2426" s="198"/>
    </row>
    <row r="2427" spans="1:8" ht="15.75" hidden="1" customHeight="1" x14ac:dyDescent="0.25">
      <c r="A2427" s="205" t="s">
        <v>2979</v>
      </c>
      <c r="B2427" s="206">
        <v>102041</v>
      </c>
      <c r="C2427" s="207" t="s">
        <v>3042</v>
      </c>
      <c r="D2427" s="208" t="s">
        <v>578</v>
      </c>
      <c r="E2427" s="209">
        <v>184.3</v>
      </c>
      <c r="F2427" s="209">
        <v>168.22</v>
      </c>
      <c r="G2427" s="209">
        <v>352.52</v>
      </c>
      <c r="H2427" s="198"/>
    </row>
    <row r="2428" spans="1:8" ht="15.75" hidden="1" customHeight="1" x14ac:dyDescent="0.25">
      <c r="A2428" s="205" t="s">
        <v>2979</v>
      </c>
      <c r="B2428" s="206">
        <v>102042</v>
      </c>
      <c r="C2428" s="207" t="s">
        <v>3043</v>
      </c>
      <c r="D2428" s="208" t="s">
        <v>578</v>
      </c>
      <c r="E2428" s="209">
        <v>180.47</v>
      </c>
      <c r="F2428" s="209">
        <v>134.69999999999999</v>
      </c>
      <c r="G2428" s="209">
        <v>315.17</v>
      </c>
      <c r="H2428" s="198"/>
    </row>
    <row r="2429" spans="1:8" ht="15.75" hidden="1" customHeight="1" x14ac:dyDescent="0.25">
      <c r="A2429" s="205" t="s">
        <v>2979</v>
      </c>
      <c r="B2429" s="206">
        <v>102039</v>
      </c>
      <c r="C2429" s="207" t="s">
        <v>3044</v>
      </c>
      <c r="D2429" s="208" t="s">
        <v>578</v>
      </c>
      <c r="E2429" s="209">
        <v>357.78</v>
      </c>
      <c r="F2429" s="209">
        <v>241.01</v>
      </c>
      <c r="G2429" s="209">
        <v>598.79</v>
      </c>
      <c r="H2429" s="198"/>
    </row>
    <row r="2430" spans="1:8" ht="15.75" hidden="1" customHeight="1" x14ac:dyDescent="0.25">
      <c r="A2430" s="205" t="s">
        <v>2979</v>
      </c>
      <c r="B2430" s="206">
        <v>102040</v>
      </c>
      <c r="C2430" s="207" t="s">
        <v>3045</v>
      </c>
      <c r="D2430" s="208" t="s">
        <v>578</v>
      </c>
      <c r="E2430" s="209">
        <v>304.83</v>
      </c>
      <c r="F2430" s="209">
        <v>190.26</v>
      </c>
      <c r="G2430" s="209">
        <v>495.09</v>
      </c>
      <c r="H2430" s="198"/>
    </row>
    <row r="2431" spans="1:8" ht="15.75" hidden="1" customHeight="1" x14ac:dyDescent="0.25">
      <c r="A2431" s="205" t="s">
        <v>2979</v>
      </c>
      <c r="B2431" s="206">
        <v>102038</v>
      </c>
      <c r="C2431" s="207" t="s">
        <v>3046</v>
      </c>
      <c r="D2431" s="208" t="s">
        <v>578</v>
      </c>
      <c r="E2431" s="209">
        <v>119.77</v>
      </c>
      <c r="F2431" s="209">
        <v>103.26</v>
      </c>
      <c r="G2431" s="209">
        <v>223.03</v>
      </c>
      <c r="H2431" s="198"/>
    </row>
    <row r="2432" spans="1:8" ht="15.75" hidden="1" customHeight="1" x14ac:dyDescent="0.25">
      <c r="A2432" s="205" t="s">
        <v>2979</v>
      </c>
      <c r="B2432" s="206">
        <v>102036</v>
      </c>
      <c r="C2432" s="207" t="s">
        <v>3047</v>
      </c>
      <c r="D2432" s="208" t="s">
        <v>578</v>
      </c>
      <c r="E2432" s="209">
        <v>148.86000000000001</v>
      </c>
      <c r="F2432" s="209">
        <v>118.53</v>
      </c>
      <c r="G2432" s="209">
        <v>267.39</v>
      </c>
      <c r="H2432" s="198"/>
    </row>
    <row r="2433" spans="1:8" ht="15.75" hidden="1" customHeight="1" x14ac:dyDescent="0.25">
      <c r="A2433" s="205" t="s">
        <v>2979</v>
      </c>
      <c r="B2433" s="206">
        <v>102037</v>
      </c>
      <c r="C2433" s="207" t="s">
        <v>3048</v>
      </c>
      <c r="D2433" s="208" t="s">
        <v>578</v>
      </c>
      <c r="E2433" s="209">
        <v>130.08000000000001</v>
      </c>
      <c r="F2433" s="209">
        <v>108.86</v>
      </c>
      <c r="G2433" s="209">
        <v>238.94</v>
      </c>
      <c r="H2433" s="198"/>
    </row>
    <row r="2434" spans="1:8" ht="15.75" hidden="1" customHeight="1" x14ac:dyDescent="0.25">
      <c r="A2434" s="205" t="s">
        <v>2979</v>
      </c>
      <c r="B2434" s="206">
        <v>102016</v>
      </c>
      <c r="C2434" s="207" t="s">
        <v>3049</v>
      </c>
      <c r="D2434" s="208" t="s">
        <v>578</v>
      </c>
      <c r="E2434" s="209">
        <v>168.48</v>
      </c>
      <c r="F2434" s="209">
        <v>175.49</v>
      </c>
      <c r="G2434" s="209">
        <v>343.97</v>
      </c>
      <c r="H2434" s="198"/>
    </row>
    <row r="2435" spans="1:8" ht="15.75" hidden="1" customHeight="1" x14ac:dyDescent="0.25">
      <c r="A2435" s="205" t="s">
        <v>2979</v>
      </c>
      <c r="B2435" s="206">
        <v>102017</v>
      </c>
      <c r="C2435" s="207" t="s">
        <v>3050</v>
      </c>
      <c r="D2435" s="208" t="s">
        <v>578</v>
      </c>
      <c r="E2435" s="209">
        <v>165.68</v>
      </c>
      <c r="F2435" s="209">
        <v>142.96</v>
      </c>
      <c r="G2435" s="209">
        <v>308.64</v>
      </c>
      <c r="H2435" s="198"/>
    </row>
    <row r="2436" spans="1:8" ht="15.75" hidden="1" customHeight="1" x14ac:dyDescent="0.25">
      <c r="A2436" s="205" t="s">
        <v>2979</v>
      </c>
      <c r="B2436" s="206">
        <v>102014</v>
      </c>
      <c r="C2436" s="207" t="s">
        <v>3051</v>
      </c>
      <c r="D2436" s="208" t="s">
        <v>578</v>
      </c>
      <c r="E2436" s="209">
        <v>406.96</v>
      </c>
      <c r="F2436" s="209">
        <v>238.59</v>
      </c>
      <c r="G2436" s="209">
        <v>645.54999999999995</v>
      </c>
      <c r="H2436" s="198"/>
    </row>
    <row r="2437" spans="1:8" ht="15.75" hidden="1" customHeight="1" x14ac:dyDescent="0.25">
      <c r="A2437" s="205" t="s">
        <v>2979</v>
      </c>
      <c r="B2437" s="206">
        <v>102015</v>
      </c>
      <c r="C2437" s="207" t="s">
        <v>3052</v>
      </c>
      <c r="D2437" s="208" t="s">
        <v>578</v>
      </c>
      <c r="E2437" s="209">
        <v>348.08</v>
      </c>
      <c r="F2437" s="209">
        <v>189.41</v>
      </c>
      <c r="G2437" s="209">
        <v>537.49</v>
      </c>
      <c r="H2437" s="198"/>
    </row>
    <row r="2438" spans="1:8" ht="15.75" hidden="1" customHeight="1" x14ac:dyDescent="0.25">
      <c r="A2438" s="205" t="s">
        <v>2979</v>
      </c>
      <c r="B2438" s="206">
        <v>102013</v>
      </c>
      <c r="C2438" s="207" t="s">
        <v>3053</v>
      </c>
      <c r="D2438" s="208" t="s">
        <v>578</v>
      </c>
      <c r="E2438" s="209">
        <v>130.15</v>
      </c>
      <c r="F2438" s="209">
        <v>100.93</v>
      </c>
      <c r="G2438" s="209">
        <v>231.08</v>
      </c>
      <c r="H2438" s="198"/>
    </row>
    <row r="2439" spans="1:8" ht="15.75" hidden="1" customHeight="1" x14ac:dyDescent="0.25">
      <c r="A2439" s="205" t="s">
        <v>2979</v>
      </c>
      <c r="B2439" s="206">
        <v>102011</v>
      </c>
      <c r="C2439" s="207" t="s">
        <v>3054</v>
      </c>
      <c r="D2439" s="208" t="s">
        <v>578</v>
      </c>
      <c r="E2439" s="209">
        <v>159.28</v>
      </c>
      <c r="F2439" s="209">
        <v>115.47</v>
      </c>
      <c r="G2439" s="209">
        <v>274.75</v>
      </c>
      <c r="H2439" s="198"/>
    </row>
    <row r="2440" spans="1:8" ht="15.75" hidden="1" customHeight="1" x14ac:dyDescent="0.25">
      <c r="A2440" s="205" t="s">
        <v>2979</v>
      </c>
      <c r="B2440" s="206">
        <v>102012</v>
      </c>
      <c r="C2440" s="207" t="s">
        <v>3055</v>
      </c>
      <c r="D2440" s="208" t="s">
        <v>578</v>
      </c>
      <c r="E2440" s="209">
        <v>140.5</v>
      </c>
      <c r="F2440" s="209">
        <v>106.25</v>
      </c>
      <c r="G2440" s="209">
        <v>246.75</v>
      </c>
      <c r="H2440" s="198"/>
    </row>
    <row r="2441" spans="1:8" ht="15.75" hidden="1" customHeight="1" x14ac:dyDescent="0.25">
      <c r="A2441" s="205" t="s">
        <v>2979</v>
      </c>
      <c r="B2441" s="206">
        <v>102009</v>
      </c>
      <c r="C2441" s="207" t="s">
        <v>3056</v>
      </c>
      <c r="D2441" s="208" t="s">
        <v>578</v>
      </c>
      <c r="E2441" s="209">
        <v>183.19</v>
      </c>
      <c r="F2441" s="209">
        <v>171</v>
      </c>
      <c r="G2441" s="209">
        <v>354.19</v>
      </c>
      <c r="H2441" s="198"/>
    </row>
    <row r="2442" spans="1:8" ht="15.75" hidden="1" customHeight="1" x14ac:dyDescent="0.25">
      <c r="A2442" s="205" t="s">
        <v>2979</v>
      </c>
      <c r="B2442" s="206">
        <v>102010</v>
      </c>
      <c r="C2442" s="207" t="s">
        <v>3057</v>
      </c>
      <c r="D2442" s="208" t="s">
        <v>578</v>
      </c>
      <c r="E2442" s="209">
        <v>182.16</v>
      </c>
      <c r="F2442" s="209">
        <v>137.74</v>
      </c>
      <c r="G2442" s="209">
        <v>319.89999999999998</v>
      </c>
      <c r="H2442" s="198"/>
    </row>
    <row r="2443" spans="1:8" ht="15.75" hidden="1" customHeight="1" x14ac:dyDescent="0.25">
      <c r="A2443" s="205" t="s">
        <v>2979</v>
      </c>
      <c r="B2443" s="206">
        <v>102007</v>
      </c>
      <c r="C2443" s="207" t="s">
        <v>3058</v>
      </c>
      <c r="D2443" s="208" t="s">
        <v>578</v>
      </c>
      <c r="E2443" s="209">
        <v>332.32</v>
      </c>
      <c r="F2443" s="209">
        <v>241.33</v>
      </c>
      <c r="G2443" s="209">
        <v>573.65</v>
      </c>
      <c r="H2443" s="198"/>
    </row>
    <row r="2444" spans="1:8" ht="15.75" hidden="1" customHeight="1" x14ac:dyDescent="0.25">
      <c r="A2444" s="205" t="s">
        <v>2979</v>
      </c>
      <c r="B2444" s="206">
        <v>102008</v>
      </c>
      <c r="C2444" s="207" t="s">
        <v>3059</v>
      </c>
      <c r="D2444" s="208" t="s">
        <v>578</v>
      </c>
      <c r="E2444" s="209">
        <v>284.64999999999998</v>
      </c>
      <c r="F2444" s="209">
        <v>190.87</v>
      </c>
      <c r="G2444" s="209">
        <v>475.52</v>
      </c>
      <c r="H2444" s="198"/>
    </row>
    <row r="2445" spans="1:8" ht="15.75" hidden="1" customHeight="1" x14ac:dyDescent="0.25">
      <c r="A2445" s="205" t="s">
        <v>2979</v>
      </c>
      <c r="B2445" s="206">
        <v>101975</v>
      </c>
      <c r="C2445" s="207" t="s">
        <v>3060</v>
      </c>
      <c r="D2445" s="208" t="s">
        <v>578</v>
      </c>
      <c r="E2445" s="209">
        <v>294.14</v>
      </c>
      <c r="F2445" s="209">
        <v>192.68</v>
      </c>
      <c r="G2445" s="209">
        <v>486.82</v>
      </c>
      <c r="H2445" s="198"/>
    </row>
    <row r="2446" spans="1:8" ht="15.75" hidden="1" customHeight="1" x14ac:dyDescent="0.25">
      <c r="A2446" s="205" t="s">
        <v>2979</v>
      </c>
      <c r="B2446" s="206">
        <v>102006</v>
      </c>
      <c r="C2446" s="207" t="s">
        <v>3061</v>
      </c>
      <c r="D2446" s="208" t="s">
        <v>578</v>
      </c>
      <c r="E2446" s="209">
        <v>124.81</v>
      </c>
      <c r="F2446" s="209">
        <v>101.65</v>
      </c>
      <c r="G2446" s="209">
        <v>226.46</v>
      </c>
      <c r="H2446" s="198"/>
    </row>
    <row r="2447" spans="1:8" ht="15.75" hidden="1" customHeight="1" x14ac:dyDescent="0.25">
      <c r="A2447" s="205" t="s">
        <v>2979</v>
      </c>
      <c r="B2447" s="206">
        <v>102004</v>
      </c>
      <c r="C2447" s="207" t="s">
        <v>3062</v>
      </c>
      <c r="D2447" s="208" t="s">
        <v>578</v>
      </c>
      <c r="E2447" s="209">
        <v>155.86000000000001</v>
      </c>
      <c r="F2447" s="209">
        <v>116.42</v>
      </c>
      <c r="G2447" s="209">
        <v>272.27999999999997</v>
      </c>
      <c r="H2447" s="198"/>
    </row>
    <row r="2448" spans="1:8" ht="15.75" hidden="1" customHeight="1" x14ac:dyDescent="0.25">
      <c r="A2448" s="205" t="s">
        <v>2979</v>
      </c>
      <c r="B2448" s="206">
        <v>102005</v>
      </c>
      <c r="C2448" s="207" t="s">
        <v>3063</v>
      </c>
      <c r="D2448" s="208" t="s">
        <v>578</v>
      </c>
      <c r="E2448" s="209">
        <v>136.83000000000001</v>
      </c>
      <c r="F2448" s="209">
        <v>107.29</v>
      </c>
      <c r="G2448" s="209">
        <v>244.12</v>
      </c>
      <c r="H2448" s="198"/>
    </row>
    <row r="2449" spans="1:8" ht="15.75" hidden="1" customHeight="1" x14ac:dyDescent="0.25">
      <c r="A2449" s="205" t="s">
        <v>2979</v>
      </c>
      <c r="B2449" s="206">
        <v>102002</v>
      </c>
      <c r="C2449" s="207" t="s">
        <v>3064</v>
      </c>
      <c r="D2449" s="208" t="s">
        <v>578</v>
      </c>
      <c r="E2449" s="209">
        <v>172.7</v>
      </c>
      <c r="F2449" s="209">
        <v>171.66</v>
      </c>
      <c r="G2449" s="209">
        <v>344.36</v>
      </c>
      <c r="H2449" s="198"/>
    </row>
    <row r="2450" spans="1:8" ht="15.75" hidden="1" customHeight="1" x14ac:dyDescent="0.25">
      <c r="A2450" s="205" t="s">
        <v>2979</v>
      </c>
      <c r="B2450" s="206">
        <v>102003</v>
      </c>
      <c r="C2450" s="207" t="s">
        <v>3065</v>
      </c>
      <c r="D2450" s="208" t="s">
        <v>578</v>
      </c>
      <c r="E2450" s="209">
        <v>171.82</v>
      </c>
      <c r="F2450" s="209">
        <v>139.44</v>
      </c>
      <c r="G2450" s="209">
        <v>311.26</v>
      </c>
      <c r="H2450" s="198"/>
    </row>
    <row r="2451" spans="1:8" ht="15.75" hidden="1" customHeight="1" x14ac:dyDescent="0.25">
      <c r="A2451" s="205" t="s">
        <v>2979</v>
      </c>
      <c r="B2451" s="206">
        <v>102000</v>
      </c>
      <c r="C2451" s="207" t="s">
        <v>3066</v>
      </c>
      <c r="D2451" s="208" t="s">
        <v>578</v>
      </c>
      <c r="E2451" s="209">
        <v>360.11</v>
      </c>
      <c r="F2451" s="209">
        <v>236.28</v>
      </c>
      <c r="G2451" s="209">
        <v>596.39</v>
      </c>
      <c r="H2451" s="198"/>
    </row>
    <row r="2452" spans="1:8" ht="15.75" hidden="1" customHeight="1" x14ac:dyDescent="0.25">
      <c r="A2452" s="205" t="s">
        <v>2979</v>
      </c>
      <c r="B2452" s="206">
        <v>102001</v>
      </c>
      <c r="C2452" s="207" t="s">
        <v>3067</v>
      </c>
      <c r="D2452" s="208" t="s">
        <v>578</v>
      </c>
      <c r="E2452" s="209">
        <v>321.36</v>
      </c>
      <c r="F2452" s="209">
        <v>188</v>
      </c>
      <c r="G2452" s="209">
        <v>509.36</v>
      </c>
      <c r="H2452" s="198"/>
    </row>
    <row r="2453" spans="1:8" ht="15.75" hidden="1" customHeight="1" x14ac:dyDescent="0.25">
      <c r="A2453" s="205" t="s">
        <v>2979</v>
      </c>
      <c r="B2453" s="206">
        <v>101983</v>
      </c>
      <c r="C2453" s="207" t="s">
        <v>3068</v>
      </c>
      <c r="D2453" s="208" t="s">
        <v>578</v>
      </c>
      <c r="E2453" s="209">
        <v>135.06</v>
      </c>
      <c r="F2453" s="209">
        <v>99.08</v>
      </c>
      <c r="G2453" s="209">
        <v>234.14</v>
      </c>
      <c r="H2453" s="198"/>
    </row>
    <row r="2454" spans="1:8" ht="15.75" hidden="1" customHeight="1" x14ac:dyDescent="0.25">
      <c r="A2454" s="205" t="s">
        <v>2979</v>
      </c>
      <c r="B2454" s="206">
        <v>101981</v>
      </c>
      <c r="C2454" s="207" t="s">
        <v>3069</v>
      </c>
      <c r="D2454" s="208" t="s">
        <v>578</v>
      </c>
      <c r="E2454" s="209">
        <v>165.12</v>
      </c>
      <c r="F2454" s="209">
        <v>112.94</v>
      </c>
      <c r="G2454" s="209">
        <v>278.06</v>
      </c>
      <c r="H2454" s="198"/>
    </row>
    <row r="2455" spans="1:8" ht="15.75" hidden="1" customHeight="1" x14ac:dyDescent="0.25">
      <c r="A2455" s="205" t="s">
        <v>2979</v>
      </c>
      <c r="B2455" s="206">
        <v>101982</v>
      </c>
      <c r="C2455" s="207" t="s">
        <v>3070</v>
      </c>
      <c r="D2455" s="208" t="s">
        <v>578</v>
      </c>
      <c r="E2455" s="209">
        <v>146.69</v>
      </c>
      <c r="F2455" s="209">
        <v>104.36</v>
      </c>
      <c r="G2455" s="209">
        <v>251.05</v>
      </c>
      <c r="H2455" s="198"/>
    </row>
    <row r="2456" spans="1:8" ht="15.75" hidden="1" customHeight="1" x14ac:dyDescent="0.25">
      <c r="A2456" s="205" t="s">
        <v>2979</v>
      </c>
      <c r="B2456" s="206">
        <v>101977</v>
      </c>
      <c r="C2456" s="207" t="s">
        <v>3071</v>
      </c>
      <c r="D2456" s="208" t="s">
        <v>578</v>
      </c>
      <c r="E2456" s="209">
        <v>185.29</v>
      </c>
      <c r="F2456" s="209">
        <v>166.43</v>
      </c>
      <c r="G2456" s="209">
        <v>351.72</v>
      </c>
      <c r="H2456" s="198"/>
    </row>
    <row r="2457" spans="1:8" ht="15.75" hidden="1" customHeight="1" x14ac:dyDescent="0.25">
      <c r="A2457" s="205" t="s">
        <v>2979</v>
      </c>
      <c r="B2457" s="206">
        <v>101980</v>
      </c>
      <c r="C2457" s="207" t="s">
        <v>3072</v>
      </c>
      <c r="D2457" s="208" t="s">
        <v>578</v>
      </c>
      <c r="E2457" s="209">
        <v>186.92</v>
      </c>
      <c r="F2457" s="209">
        <v>133.58000000000001</v>
      </c>
      <c r="G2457" s="209">
        <v>320.5</v>
      </c>
      <c r="H2457" s="198"/>
    </row>
    <row r="2458" spans="1:8" ht="15.75" hidden="1" customHeight="1" x14ac:dyDescent="0.25">
      <c r="A2458" s="205" t="s">
        <v>2979</v>
      </c>
      <c r="B2458" s="206">
        <v>101974</v>
      </c>
      <c r="C2458" s="207" t="s">
        <v>3073</v>
      </c>
      <c r="D2458" s="208" t="s">
        <v>578</v>
      </c>
      <c r="E2458" s="209">
        <v>335.29</v>
      </c>
      <c r="F2458" s="209">
        <v>242.19</v>
      </c>
      <c r="G2458" s="209">
        <v>577.48</v>
      </c>
      <c r="H2458" s="198"/>
    </row>
    <row r="2459" spans="1:8" ht="15.75" hidden="1" customHeight="1" x14ac:dyDescent="0.25">
      <c r="A2459" s="205" t="s">
        <v>3074</v>
      </c>
      <c r="B2459" s="206">
        <v>101114</v>
      </c>
      <c r="C2459" s="207" t="s">
        <v>3075</v>
      </c>
      <c r="D2459" s="208" t="s">
        <v>664</v>
      </c>
      <c r="E2459" s="209">
        <v>3.48</v>
      </c>
      <c r="F2459" s="209">
        <v>1.42</v>
      </c>
      <c r="G2459" s="209">
        <v>4.9000000000000004</v>
      </c>
      <c r="H2459" s="198"/>
    </row>
    <row r="2460" spans="1:8" ht="15.75" hidden="1" customHeight="1" x14ac:dyDescent="0.25">
      <c r="A2460" s="205" t="s">
        <v>3074</v>
      </c>
      <c r="B2460" s="206">
        <v>101118</v>
      </c>
      <c r="C2460" s="207" t="s">
        <v>3076</v>
      </c>
      <c r="D2460" s="208" t="s">
        <v>664</v>
      </c>
      <c r="E2460" s="209">
        <v>3.06</v>
      </c>
      <c r="F2460" s="209">
        <v>1.1399999999999999</v>
      </c>
      <c r="G2460" s="209">
        <v>4.2</v>
      </c>
      <c r="H2460" s="198"/>
    </row>
    <row r="2461" spans="1:8" ht="15.75" hidden="1" customHeight="1" x14ac:dyDescent="0.25">
      <c r="A2461" s="205" t="s">
        <v>3074</v>
      </c>
      <c r="B2461" s="206">
        <v>101115</v>
      </c>
      <c r="C2461" s="207" t="s">
        <v>3077</v>
      </c>
      <c r="D2461" s="208" t="s">
        <v>664</v>
      </c>
      <c r="E2461" s="209">
        <v>3.09</v>
      </c>
      <c r="F2461" s="209">
        <v>0.98</v>
      </c>
      <c r="G2461" s="209">
        <v>4.07</v>
      </c>
      <c r="H2461" s="198"/>
    </row>
    <row r="2462" spans="1:8" ht="15.75" hidden="1" customHeight="1" x14ac:dyDescent="0.25">
      <c r="A2462" s="205" t="s">
        <v>3074</v>
      </c>
      <c r="B2462" s="206">
        <v>101116</v>
      </c>
      <c r="C2462" s="207" t="s">
        <v>3078</v>
      </c>
      <c r="D2462" s="208" t="s">
        <v>664</v>
      </c>
      <c r="E2462" s="209">
        <v>1.95</v>
      </c>
      <c r="F2462" s="209">
        <v>0.57999999999999996</v>
      </c>
      <c r="G2462" s="209">
        <v>2.5299999999999998</v>
      </c>
      <c r="H2462" s="198"/>
    </row>
    <row r="2463" spans="1:8" ht="15.75" hidden="1" customHeight="1" x14ac:dyDescent="0.25">
      <c r="A2463" s="205" t="s">
        <v>3074</v>
      </c>
      <c r="B2463" s="206">
        <v>101117</v>
      </c>
      <c r="C2463" s="207" t="s">
        <v>3079</v>
      </c>
      <c r="D2463" s="208" t="s">
        <v>664</v>
      </c>
      <c r="E2463" s="209">
        <v>3.13</v>
      </c>
      <c r="F2463" s="209">
        <v>0.35</v>
      </c>
      <c r="G2463" s="209">
        <v>3.48</v>
      </c>
      <c r="H2463" s="198"/>
    </row>
    <row r="2464" spans="1:8" ht="15.75" hidden="1" customHeight="1" x14ac:dyDescent="0.25">
      <c r="A2464" s="205" t="s">
        <v>3074</v>
      </c>
      <c r="B2464" s="206">
        <v>101139</v>
      </c>
      <c r="C2464" s="207" t="s">
        <v>3080</v>
      </c>
      <c r="D2464" s="208" t="s">
        <v>664</v>
      </c>
      <c r="E2464" s="209">
        <v>17.559999999999999</v>
      </c>
      <c r="F2464" s="209">
        <v>4.71</v>
      </c>
      <c r="G2464" s="209">
        <v>22.27</v>
      </c>
      <c r="H2464" s="198"/>
    </row>
    <row r="2465" spans="1:8" ht="15.75" hidden="1" customHeight="1" x14ac:dyDescent="0.25">
      <c r="A2465" s="205" t="s">
        <v>3074</v>
      </c>
      <c r="B2465" s="206">
        <v>101124</v>
      </c>
      <c r="C2465" s="207" t="s">
        <v>3081</v>
      </c>
      <c r="D2465" s="208" t="s">
        <v>664</v>
      </c>
      <c r="E2465" s="209">
        <v>13.39</v>
      </c>
      <c r="F2465" s="209">
        <v>3.23</v>
      </c>
      <c r="G2465" s="209">
        <v>16.62</v>
      </c>
      <c r="H2465" s="198"/>
    </row>
    <row r="2466" spans="1:8" ht="15.75" hidden="1" customHeight="1" x14ac:dyDescent="0.25">
      <c r="A2466" s="205" t="s">
        <v>3074</v>
      </c>
      <c r="B2466" s="206">
        <v>101128</v>
      </c>
      <c r="C2466" s="207" t="s">
        <v>3082</v>
      </c>
      <c r="D2466" s="208" t="s">
        <v>664</v>
      </c>
      <c r="E2466" s="209">
        <v>12.95</v>
      </c>
      <c r="F2466" s="209">
        <v>2.97</v>
      </c>
      <c r="G2466" s="209">
        <v>15.92</v>
      </c>
      <c r="H2466" s="198"/>
    </row>
    <row r="2467" spans="1:8" ht="15.75" hidden="1" customHeight="1" x14ac:dyDescent="0.25">
      <c r="A2467" s="205" t="s">
        <v>3074</v>
      </c>
      <c r="B2467" s="206">
        <v>101125</v>
      </c>
      <c r="C2467" s="207" t="s">
        <v>3083</v>
      </c>
      <c r="D2467" s="208" t="s">
        <v>664</v>
      </c>
      <c r="E2467" s="209">
        <v>13</v>
      </c>
      <c r="F2467" s="209">
        <v>2.79</v>
      </c>
      <c r="G2467" s="209">
        <v>15.79</v>
      </c>
      <c r="H2467" s="198"/>
    </row>
    <row r="2468" spans="1:8" ht="15.75" hidden="1" customHeight="1" x14ac:dyDescent="0.25">
      <c r="A2468" s="205" t="s">
        <v>3074</v>
      </c>
      <c r="B2468" s="206">
        <v>101126</v>
      </c>
      <c r="C2468" s="207" t="s">
        <v>3084</v>
      </c>
      <c r="D2468" s="208" t="s">
        <v>664</v>
      </c>
      <c r="E2468" s="209">
        <v>11.85</v>
      </c>
      <c r="F2468" s="209">
        <v>2.4</v>
      </c>
      <c r="G2468" s="209">
        <v>14.25</v>
      </c>
      <c r="H2468" s="198"/>
    </row>
    <row r="2469" spans="1:8" ht="15.75" hidden="1" customHeight="1" x14ac:dyDescent="0.25">
      <c r="A2469" s="205" t="s">
        <v>3074</v>
      </c>
      <c r="B2469" s="206">
        <v>101127</v>
      </c>
      <c r="C2469" s="207" t="s">
        <v>3085</v>
      </c>
      <c r="D2469" s="208" t="s">
        <v>664</v>
      </c>
      <c r="E2469" s="209">
        <v>13.03</v>
      </c>
      <c r="F2469" s="209">
        <v>2.17</v>
      </c>
      <c r="G2469" s="209">
        <v>15.2</v>
      </c>
      <c r="H2469" s="198"/>
    </row>
    <row r="2470" spans="1:8" ht="15.75" hidden="1" customHeight="1" x14ac:dyDescent="0.25">
      <c r="A2470" s="205" t="s">
        <v>3074</v>
      </c>
      <c r="B2470" s="206">
        <v>101134</v>
      </c>
      <c r="C2470" s="207" t="s">
        <v>3086</v>
      </c>
      <c r="D2470" s="208" t="s">
        <v>664</v>
      </c>
      <c r="E2470" s="209">
        <v>14.02</v>
      </c>
      <c r="F2470" s="209">
        <v>3.32</v>
      </c>
      <c r="G2470" s="209">
        <v>17.34</v>
      </c>
      <c r="H2470" s="198"/>
    </row>
    <row r="2471" spans="1:8" ht="15.75" hidden="1" customHeight="1" x14ac:dyDescent="0.25">
      <c r="A2471" s="205" t="s">
        <v>3074</v>
      </c>
      <c r="B2471" s="206">
        <v>101144</v>
      </c>
      <c r="C2471" s="207" t="s">
        <v>3087</v>
      </c>
      <c r="D2471" s="208" t="s">
        <v>664</v>
      </c>
      <c r="E2471" s="209">
        <v>14</v>
      </c>
      <c r="F2471" s="209">
        <v>3.02</v>
      </c>
      <c r="G2471" s="209">
        <v>17.02</v>
      </c>
      <c r="H2471" s="198"/>
    </row>
    <row r="2472" spans="1:8" ht="15.75" hidden="1" customHeight="1" x14ac:dyDescent="0.25">
      <c r="A2472" s="205" t="s">
        <v>3074</v>
      </c>
      <c r="B2472" s="206">
        <v>101138</v>
      </c>
      <c r="C2472" s="207" t="s">
        <v>3088</v>
      </c>
      <c r="D2472" s="208" t="s">
        <v>664</v>
      </c>
      <c r="E2472" s="209">
        <v>13.58</v>
      </c>
      <c r="F2472" s="209">
        <v>3.06</v>
      </c>
      <c r="G2472" s="209">
        <v>16.64</v>
      </c>
      <c r="H2472" s="198"/>
    </row>
    <row r="2473" spans="1:8" ht="15.75" hidden="1" customHeight="1" x14ac:dyDescent="0.25">
      <c r="A2473" s="205" t="s">
        <v>3074</v>
      </c>
      <c r="B2473" s="206">
        <v>101148</v>
      </c>
      <c r="C2473" s="207" t="s">
        <v>3089</v>
      </c>
      <c r="D2473" s="208" t="s">
        <v>664</v>
      </c>
      <c r="E2473" s="209">
        <v>13.57</v>
      </c>
      <c r="F2473" s="209">
        <v>2.75</v>
      </c>
      <c r="G2473" s="209">
        <v>16.32</v>
      </c>
      <c r="H2473" s="198"/>
    </row>
    <row r="2474" spans="1:8" ht="15.75" hidden="1" customHeight="1" x14ac:dyDescent="0.25">
      <c r="A2474" s="205" t="s">
        <v>3074</v>
      </c>
      <c r="B2474" s="206">
        <v>101135</v>
      </c>
      <c r="C2474" s="207" t="s">
        <v>3090</v>
      </c>
      <c r="D2474" s="208" t="s">
        <v>664</v>
      </c>
      <c r="E2474" s="209">
        <v>13.63</v>
      </c>
      <c r="F2474" s="209">
        <v>2.88</v>
      </c>
      <c r="G2474" s="209">
        <v>16.510000000000002</v>
      </c>
      <c r="H2474" s="198"/>
    </row>
    <row r="2475" spans="1:8" ht="15.75" hidden="1" customHeight="1" x14ac:dyDescent="0.25">
      <c r="A2475" s="205" t="s">
        <v>3074</v>
      </c>
      <c r="B2475" s="206">
        <v>101145</v>
      </c>
      <c r="C2475" s="207" t="s">
        <v>3091</v>
      </c>
      <c r="D2475" s="208" t="s">
        <v>664</v>
      </c>
      <c r="E2475" s="209">
        <v>13.6</v>
      </c>
      <c r="F2475" s="209">
        <v>2.59</v>
      </c>
      <c r="G2475" s="209">
        <v>16.190000000000001</v>
      </c>
      <c r="H2475" s="198"/>
    </row>
    <row r="2476" spans="1:8" ht="15.75" hidden="1" customHeight="1" x14ac:dyDescent="0.25">
      <c r="A2476" s="205" t="s">
        <v>3074</v>
      </c>
      <c r="B2476" s="206">
        <v>101136</v>
      </c>
      <c r="C2476" s="207" t="s">
        <v>3092</v>
      </c>
      <c r="D2476" s="208" t="s">
        <v>664</v>
      </c>
      <c r="E2476" s="209">
        <v>12.48</v>
      </c>
      <c r="F2476" s="209">
        <v>2.4900000000000002</v>
      </c>
      <c r="G2476" s="209">
        <v>14.97</v>
      </c>
      <c r="H2476" s="198"/>
    </row>
    <row r="2477" spans="1:8" ht="15.75" hidden="1" customHeight="1" x14ac:dyDescent="0.25">
      <c r="A2477" s="205" t="s">
        <v>3074</v>
      </c>
      <c r="B2477" s="206">
        <v>101146</v>
      </c>
      <c r="C2477" s="207" t="s">
        <v>3093</v>
      </c>
      <c r="D2477" s="208" t="s">
        <v>664</v>
      </c>
      <c r="E2477" s="209">
        <v>12.45</v>
      </c>
      <c r="F2477" s="209">
        <v>2.2000000000000002</v>
      </c>
      <c r="G2477" s="209">
        <v>14.65</v>
      </c>
      <c r="H2477" s="198"/>
    </row>
    <row r="2478" spans="1:8" ht="15.75" hidden="1" customHeight="1" x14ac:dyDescent="0.25">
      <c r="A2478" s="205" t="s">
        <v>3074</v>
      </c>
      <c r="B2478" s="206">
        <v>101137</v>
      </c>
      <c r="C2478" s="207" t="s">
        <v>3094</v>
      </c>
      <c r="D2478" s="208" t="s">
        <v>664</v>
      </c>
      <c r="E2478" s="209">
        <v>13.66</v>
      </c>
      <c r="F2478" s="209">
        <v>2.2599999999999998</v>
      </c>
      <c r="G2478" s="209">
        <v>15.92</v>
      </c>
      <c r="H2478" s="198"/>
    </row>
    <row r="2479" spans="1:8" ht="15.75" hidden="1" customHeight="1" x14ac:dyDescent="0.25">
      <c r="A2479" s="205" t="s">
        <v>3074</v>
      </c>
      <c r="B2479" s="206">
        <v>101147</v>
      </c>
      <c r="C2479" s="207" t="s">
        <v>3095</v>
      </c>
      <c r="D2479" s="208" t="s">
        <v>664</v>
      </c>
      <c r="E2479" s="209">
        <v>13.65</v>
      </c>
      <c r="F2479" s="209">
        <v>1.95</v>
      </c>
      <c r="G2479" s="209">
        <v>15.6</v>
      </c>
      <c r="H2479" s="198"/>
    </row>
    <row r="2480" spans="1:8" ht="15.75" hidden="1" customHeight="1" x14ac:dyDescent="0.25">
      <c r="A2480" s="205" t="s">
        <v>3074</v>
      </c>
      <c r="B2480" s="206">
        <v>101119</v>
      </c>
      <c r="C2480" s="207" t="s">
        <v>3096</v>
      </c>
      <c r="D2480" s="208" t="s">
        <v>664</v>
      </c>
      <c r="E2480" s="209">
        <v>6.61</v>
      </c>
      <c r="F2480" s="209">
        <v>2.73</v>
      </c>
      <c r="G2480" s="209">
        <v>9.34</v>
      </c>
      <c r="H2480" s="198"/>
    </row>
    <row r="2481" spans="1:8" ht="15.75" hidden="1" customHeight="1" x14ac:dyDescent="0.25">
      <c r="A2481" s="205" t="s">
        <v>3074</v>
      </c>
      <c r="B2481" s="206">
        <v>101123</v>
      </c>
      <c r="C2481" s="207" t="s">
        <v>3097</v>
      </c>
      <c r="D2481" s="208" t="s">
        <v>664</v>
      </c>
      <c r="E2481" s="209">
        <v>5.81</v>
      </c>
      <c r="F2481" s="209">
        <v>2.2000000000000002</v>
      </c>
      <c r="G2481" s="209">
        <v>8.01</v>
      </c>
      <c r="H2481" s="198"/>
    </row>
    <row r="2482" spans="1:8" ht="15.75" hidden="1" customHeight="1" x14ac:dyDescent="0.25">
      <c r="A2482" s="205" t="s">
        <v>3074</v>
      </c>
      <c r="B2482" s="206">
        <v>101120</v>
      </c>
      <c r="C2482" s="207" t="s">
        <v>3098</v>
      </c>
      <c r="D2482" s="208" t="s">
        <v>664</v>
      </c>
      <c r="E2482" s="209">
        <v>5.9</v>
      </c>
      <c r="F2482" s="209">
        <v>1.87</v>
      </c>
      <c r="G2482" s="209">
        <v>7.77</v>
      </c>
      <c r="H2482" s="198"/>
    </row>
    <row r="2483" spans="1:8" ht="15.75" hidden="1" customHeight="1" x14ac:dyDescent="0.25">
      <c r="A2483" s="205" t="s">
        <v>3074</v>
      </c>
      <c r="B2483" s="206">
        <v>101121</v>
      </c>
      <c r="C2483" s="207" t="s">
        <v>3099</v>
      </c>
      <c r="D2483" s="208" t="s">
        <v>664</v>
      </c>
      <c r="E2483" s="209">
        <v>3.72</v>
      </c>
      <c r="F2483" s="209">
        <v>1.1399999999999999</v>
      </c>
      <c r="G2483" s="209">
        <v>4.8600000000000003</v>
      </c>
      <c r="H2483" s="198"/>
    </row>
    <row r="2484" spans="1:8" ht="15.75" hidden="1" customHeight="1" x14ac:dyDescent="0.25">
      <c r="A2484" s="205" t="s">
        <v>3074</v>
      </c>
      <c r="B2484" s="206">
        <v>101122</v>
      </c>
      <c r="C2484" s="207" t="s">
        <v>3100</v>
      </c>
      <c r="D2484" s="208" t="s">
        <v>664</v>
      </c>
      <c r="E2484" s="209">
        <v>5.95</v>
      </c>
      <c r="F2484" s="209">
        <v>0.67</v>
      </c>
      <c r="G2484" s="209">
        <v>6.62</v>
      </c>
      <c r="H2484" s="198"/>
    </row>
    <row r="2485" spans="1:8" ht="15.75" hidden="1" customHeight="1" x14ac:dyDescent="0.25">
      <c r="A2485" s="205" t="s">
        <v>3074</v>
      </c>
      <c r="B2485" s="206">
        <v>101129</v>
      </c>
      <c r="C2485" s="207" t="s">
        <v>3101</v>
      </c>
      <c r="D2485" s="208" t="s">
        <v>664</v>
      </c>
      <c r="E2485" s="209">
        <v>16.91</v>
      </c>
      <c r="F2485" s="209">
        <v>4.62</v>
      </c>
      <c r="G2485" s="209">
        <v>21.53</v>
      </c>
      <c r="H2485" s="198"/>
    </row>
    <row r="2486" spans="1:8" ht="15.75" hidden="1" customHeight="1" x14ac:dyDescent="0.25">
      <c r="A2486" s="205" t="s">
        <v>3074</v>
      </c>
      <c r="B2486" s="206">
        <v>101133</v>
      </c>
      <c r="C2486" s="207" t="s">
        <v>3102</v>
      </c>
      <c r="D2486" s="208" t="s">
        <v>664</v>
      </c>
      <c r="E2486" s="209">
        <v>16.100000000000001</v>
      </c>
      <c r="F2486" s="209">
        <v>4.0999999999999996</v>
      </c>
      <c r="G2486" s="209">
        <v>20.2</v>
      </c>
      <c r="H2486" s="198"/>
    </row>
    <row r="2487" spans="1:8" ht="15.75" hidden="1" customHeight="1" x14ac:dyDescent="0.25">
      <c r="A2487" s="205" t="s">
        <v>3074</v>
      </c>
      <c r="B2487" s="206">
        <v>101130</v>
      </c>
      <c r="C2487" s="207" t="s">
        <v>3103</v>
      </c>
      <c r="D2487" s="208" t="s">
        <v>664</v>
      </c>
      <c r="E2487" s="209">
        <v>16.2</v>
      </c>
      <c r="F2487" s="209">
        <v>3.76</v>
      </c>
      <c r="G2487" s="209">
        <v>19.96</v>
      </c>
      <c r="H2487" s="198"/>
    </row>
    <row r="2488" spans="1:8" ht="15.75" hidden="1" customHeight="1" x14ac:dyDescent="0.25">
      <c r="A2488" s="205" t="s">
        <v>3074</v>
      </c>
      <c r="B2488" s="206">
        <v>101131</v>
      </c>
      <c r="C2488" s="207" t="s">
        <v>3104</v>
      </c>
      <c r="D2488" s="208" t="s">
        <v>664</v>
      </c>
      <c r="E2488" s="209">
        <v>14.03</v>
      </c>
      <c r="F2488" s="209">
        <v>3.02</v>
      </c>
      <c r="G2488" s="209">
        <v>17.05</v>
      </c>
      <c r="H2488" s="198"/>
    </row>
    <row r="2489" spans="1:8" ht="15.75" hidden="1" customHeight="1" x14ac:dyDescent="0.25">
      <c r="A2489" s="205" t="s">
        <v>3074</v>
      </c>
      <c r="B2489" s="206">
        <v>101132</v>
      </c>
      <c r="C2489" s="207" t="s">
        <v>3105</v>
      </c>
      <c r="D2489" s="208" t="s">
        <v>664</v>
      </c>
      <c r="E2489" s="209">
        <v>16.25</v>
      </c>
      <c r="F2489" s="209">
        <v>2.56</v>
      </c>
      <c r="G2489" s="209">
        <v>18.809999999999999</v>
      </c>
      <c r="H2489" s="198"/>
    </row>
    <row r="2490" spans="1:8" ht="15.75" hidden="1" customHeight="1" x14ac:dyDescent="0.25">
      <c r="A2490" s="205" t="s">
        <v>3074</v>
      </c>
      <c r="B2490" s="206">
        <v>101149</v>
      </c>
      <c r="C2490" s="207" t="s">
        <v>3106</v>
      </c>
      <c r="D2490" s="208" t="s">
        <v>664</v>
      </c>
      <c r="E2490" s="209">
        <v>17.55</v>
      </c>
      <c r="F2490" s="209">
        <v>4.4000000000000004</v>
      </c>
      <c r="G2490" s="209">
        <v>21.95</v>
      </c>
      <c r="H2490" s="198"/>
    </row>
    <row r="2491" spans="1:8" ht="15.75" hidden="1" customHeight="1" x14ac:dyDescent="0.25">
      <c r="A2491" s="205" t="s">
        <v>3074</v>
      </c>
      <c r="B2491" s="206">
        <v>101143</v>
      </c>
      <c r="C2491" s="207" t="s">
        <v>3107</v>
      </c>
      <c r="D2491" s="208" t="s">
        <v>664</v>
      </c>
      <c r="E2491" s="209">
        <v>16.75</v>
      </c>
      <c r="F2491" s="209">
        <v>4.1900000000000004</v>
      </c>
      <c r="G2491" s="209">
        <v>20.94</v>
      </c>
      <c r="H2491" s="198"/>
    </row>
    <row r="2492" spans="1:8" ht="15.75" hidden="1" customHeight="1" x14ac:dyDescent="0.25">
      <c r="A2492" s="205" t="s">
        <v>3074</v>
      </c>
      <c r="B2492" s="206">
        <v>101153</v>
      </c>
      <c r="C2492" s="207" t="s">
        <v>3108</v>
      </c>
      <c r="D2492" s="208" t="s">
        <v>664</v>
      </c>
      <c r="E2492" s="209">
        <v>16.739999999999998</v>
      </c>
      <c r="F2492" s="209">
        <v>3.88</v>
      </c>
      <c r="G2492" s="209">
        <v>20.62</v>
      </c>
      <c r="H2492" s="198"/>
    </row>
    <row r="2493" spans="1:8" ht="15.75" hidden="1" customHeight="1" x14ac:dyDescent="0.25">
      <c r="A2493" s="205" t="s">
        <v>3074</v>
      </c>
      <c r="B2493" s="206">
        <v>101140</v>
      </c>
      <c r="C2493" s="207" t="s">
        <v>3109</v>
      </c>
      <c r="D2493" s="208" t="s">
        <v>664</v>
      </c>
      <c r="E2493" s="209">
        <v>16.850000000000001</v>
      </c>
      <c r="F2493" s="209">
        <v>3.85</v>
      </c>
      <c r="G2493" s="209">
        <v>20.7</v>
      </c>
      <c r="H2493" s="198"/>
    </row>
    <row r="2494" spans="1:8" ht="15.75" hidden="1" customHeight="1" x14ac:dyDescent="0.25">
      <c r="A2494" s="205" t="s">
        <v>3074</v>
      </c>
      <c r="B2494" s="206">
        <v>101150</v>
      </c>
      <c r="C2494" s="207" t="s">
        <v>3110</v>
      </c>
      <c r="D2494" s="208" t="s">
        <v>664</v>
      </c>
      <c r="E2494" s="209">
        <v>16.84</v>
      </c>
      <c r="F2494" s="209">
        <v>3.54</v>
      </c>
      <c r="G2494" s="209">
        <v>20.38</v>
      </c>
      <c r="H2494" s="198"/>
    </row>
    <row r="2495" spans="1:8" ht="15.75" hidden="1" customHeight="1" x14ac:dyDescent="0.25">
      <c r="A2495" s="205" t="s">
        <v>3074</v>
      </c>
      <c r="B2495" s="206">
        <v>101141</v>
      </c>
      <c r="C2495" s="207" t="s">
        <v>3111</v>
      </c>
      <c r="D2495" s="208" t="s">
        <v>664</v>
      </c>
      <c r="E2495" s="209">
        <v>14.67</v>
      </c>
      <c r="F2495" s="209">
        <v>3.12</v>
      </c>
      <c r="G2495" s="209">
        <v>17.79</v>
      </c>
      <c r="H2495" s="198"/>
    </row>
    <row r="2496" spans="1:8" ht="15.75" hidden="1" customHeight="1" x14ac:dyDescent="0.25">
      <c r="A2496" s="205" t="s">
        <v>3074</v>
      </c>
      <c r="B2496" s="206">
        <v>101151</v>
      </c>
      <c r="C2496" s="207" t="s">
        <v>3112</v>
      </c>
      <c r="D2496" s="208" t="s">
        <v>664</v>
      </c>
      <c r="E2496" s="209">
        <v>14.67</v>
      </c>
      <c r="F2496" s="209">
        <v>2.8</v>
      </c>
      <c r="G2496" s="209">
        <v>17.47</v>
      </c>
      <c r="H2496" s="198"/>
    </row>
    <row r="2497" spans="1:8" ht="15.75" hidden="1" customHeight="1" x14ac:dyDescent="0.25">
      <c r="A2497" s="205" t="s">
        <v>3074</v>
      </c>
      <c r="B2497" s="206">
        <v>101142</v>
      </c>
      <c r="C2497" s="207" t="s">
        <v>3113</v>
      </c>
      <c r="D2497" s="208" t="s">
        <v>664</v>
      </c>
      <c r="E2497" s="209">
        <v>16.89</v>
      </c>
      <c r="F2497" s="209">
        <v>2.66</v>
      </c>
      <c r="G2497" s="209">
        <v>19.55</v>
      </c>
      <c r="H2497" s="198"/>
    </row>
    <row r="2498" spans="1:8" ht="15.75" hidden="1" customHeight="1" x14ac:dyDescent="0.25">
      <c r="A2498" s="205" t="s">
        <v>3074</v>
      </c>
      <c r="B2498" s="206">
        <v>101152</v>
      </c>
      <c r="C2498" s="207" t="s">
        <v>3114</v>
      </c>
      <c r="D2498" s="208" t="s">
        <v>664</v>
      </c>
      <c r="E2498" s="209">
        <v>16.89</v>
      </c>
      <c r="F2498" s="209">
        <v>2.34</v>
      </c>
      <c r="G2498" s="209">
        <v>19.23</v>
      </c>
      <c r="H2498" s="198"/>
    </row>
    <row r="2499" spans="1:8" ht="15.75" hidden="1" customHeight="1" x14ac:dyDescent="0.25">
      <c r="A2499" s="205" t="s">
        <v>3115</v>
      </c>
      <c r="B2499" s="206">
        <v>101206</v>
      </c>
      <c r="C2499" s="207" t="s">
        <v>3116</v>
      </c>
      <c r="D2499" s="208" t="s">
        <v>664</v>
      </c>
      <c r="E2499" s="209">
        <v>11.52</v>
      </c>
      <c r="F2499" s="209">
        <v>1.9</v>
      </c>
      <c r="G2499" s="209">
        <v>13.42</v>
      </c>
      <c r="H2499" s="198"/>
    </row>
    <row r="2500" spans="1:8" ht="15.75" hidden="1" customHeight="1" x14ac:dyDescent="0.25">
      <c r="A2500" s="205" t="s">
        <v>3115</v>
      </c>
      <c r="B2500" s="206">
        <v>101210</v>
      </c>
      <c r="C2500" s="207" t="s">
        <v>3117</v>
      </c>
      <c r="D2500" s="208" t="s">
        <v>664</v>
      </c>
      <c r="E2500" s="209">
        <v>16.420000000000002</v>
      </c>
      <c r="F2500" s="209">
        <v>2.2000000000000002</v>
      </c>
      <c r="G2500" s="209">
        <v>18.62</v>
      </c>
      <c r="H2500" s="198"/>
    </row>
    <row r="2501" spans="1:8" ht="15.75" hidden="1" customHeight="1" x14ac:dyDescent="0.25">
      <c r="A2501" s="205" t="s">
        <v>3115</v>
      </c>
      <c r="B2501" s="206">
        <v>101211</v>
      </c>
      <c r="C2501" s="207" t="s">
        <v>3118</v>
      </c>
      <c r="D2501" s="208" t="s">
        <v>664</v>
      </c>
      <c r="E2501" s="209">
        <v>17.649999999999999</v>
      </c>
      <c r="F2501" s="209">
        <v>2.3199999999999998</v>
      </c>
      <c r="G2501" s="209">
        <v>19.97</v>
      </c>
      <c r="H2501" s="198"/>
    </row>
    <row r="2502" spans="1:8" ht="15.75" hidden="1" customHeight="1" x14ac:dyDescent="0.25">
      <c r="A2502" s="205" t="s">
        <v>3115</v>
      </c>
      <c r="B2502" s="206">
        <v>101215</v>
      </c>
      <c r="C2502" s="207" t="s">
        <v>3119</v>
      </c>
      <c r="D2502" s="208" t="s">
        <v>664</v>
      </c>
      <c r="E2502" s="209">
        <v>15.72</v>
      </c>
      <c r="F2502" s="209">
        <v>2.1800000000000002</v>
      </c>
      <c r="G2502" s="209">
        <v>17.899999999999999</v>
      </c>
      <c r="H2502" s="198"/>
    </row>
    <row r="2503" spans="1:8" ht="15.75" hidden="1" customHeight="1" x14ac:dyDescent="0.25">
      <c r="A2503" s="205" t="s">
        <v>3115</v>
      </c>
      <c r="B2503" s="206">
        <v>101216</v>
      </c>
      <c r="C2503" s="207" t="s">
        <v>3120</v>
      </c>
      <c r="D2503" s="208" t="s">
        <v>664</v>
      </c>
      <c r="E2503" s="209">
        <v>16.57</v>
      </c>
      <c r="F2503" s="209">
        <v>2.17</v>
      </c>
      <c r="G2503" s="209">
        <v>18.739999999999998</v>
      </c>
      <c r="H2503" s="198"/>
    </row>
    <row r="2504" spans="1:8" ht="15.75" hidden="1" customHeight="1" x14ac:dyDescent="0.25">
      <c r="A2504" s="205" t="s">
        <v>3115</v>
      </c>
      <c r="B2504" s="206">
        <v>101212</v>
      </c>
      <c r="C2504" s="207" t="s">
        <v>3121</v>
      </c>
      <c r="D2504" s="208" t="s">
        <v>664</v>
      </c>
      <c r="E2504" s="209">
        <v>20.55</v>
      </c>
      <c r="F2504" s="209">
        <v>2.73</v>
      </c>
      <c r="G2504" s="209">
        <v>23.28</v>
      </c>
      <c r="H2504" s="198"/>
    </row>
    <row r="2505" spans="1:8" ht="15.75" hidden="1" customHeight="1" x14ac:dyDescent="0.25">
      <c r="A2505" s="205" t="s">
        <v>3115</v>
      </c>
      <c r="B2505" s="206">
        <v>101217</v>
      </c>
      <c r="C2505" s="207" t="s">
        <v>3122</v>
      </c>
      <c r="D2505" s="208" t="s">
        <v>664</v>
      </c>
      <c r="E2505" s="209">
        <v>19.25</v>
      </c>
      <c r="F2505" s="209">
        <v>2.5499999999999998</v>
      </c>
      <c r="G2505" s="209">
        <v>21.8</v>
      </c>
      <c r="H2505" s="198"/>
    </row>
    <row r="2506" spans="1:8" ht="15.75" hidden="1" customHeight="1" x14ac:dyDescent="0.25">
      <c r="A2506" s="205" t="s">
        <v>3115</v>
      </c>
      <c r="B2506" s="206">
        <v>101218</v>
      </c>
      <c r="C2506" s="207" t="s">
        <v>3123</v>
      </c>
      <c r="D2506" s="208" t="s">
        <v>664</v>
      </c>
      <c r="E2506" s="209">
        <v>20.48</v>
      </c>
      <c r="F2506" s="209">
        <v>2.57</v>
      </c>
      <c r="G2506" s="209">
        <v>23.05</v>
      </c>
      <c r="H2506" s="198"/>
    </row>
    <row r="2507" spans="1:8" ht="15.75" hidden="1" customHeight="1" x14ac:dyDescent="0.25">
      <c r="A2507" s="205" t="s">
        <v>3115</v>
      </c>
      <c r="B2507" s="206">
        <v>101213</v>
      </c>
      <c r="C2507" s="207" t="s">
        <v>3124</v>
      </c>
      <c r="D2507" s="208" t="s">
        <v>664</v>
      </c>
      <c r="E2507" s="209">
        <v>22.9</v>
      </c>
      <c r="F2507" s="209">
        <v>3.13</v>
      </c>
      <c r="G2507" s="209">
        <v>26.03</v>
      </c>
      <c r="H2507" s="198"/>
    </row>
    <row r="2508" spans="1:8" ht="15.75" hidden="1" customHeight="1" x14ac:dyDescent="0.25">
      <c r="A2508" s="205" t="s">
        <v>3115</v>
      </c>
      <c r="B2508" s="206">
        <v>101219</v>
      </c>
      <c r="C2508" s="207" t="s">
        <v>3125</v>
      </c>
      <c r="D2508" s="208" t="s">
        <v>664</v>
      </c>
      <c r="E2508" s="209">
        <v>24.96</v>
      </c>
      <c r="F2508" s="209">
        <v>2.94</v>
      </c>
      <c r="G2508" s="209">
        <v>27.9</v>
      </c>
      <c r="H2508" s="198"/>
    </row>
    <row r="2509" spans="1:8" ht="15.75" hidden="1" customHeight="1" x14ac:dyDescent="0.25">
      <c r="A2509" s="205" t="s">
        <v>3115</v>
      </c>
      <c r="B2509" s="206">
        <v>101214</v>
      </c>
      <c r="C2509" s="207" t="s">
        <v>3126</v>
      </c>
      <c r="D2509" s="208" t="s">
        <v>664</v>
      </c>
      <c r="E2509" s="209">
        <v>27.84</v>
      </c>
      <c r="F2509" s="209">
        <v>3.55</v>
      </c>
      <c r="G2509" s="209">
        <v>31.39</v>
      </c>
      <c r="H2509" s="198"/>
    </row>
    <row r="2510" spans="1:8" ht="15.75" hidden="1" customHeight="1" x14ac:dyDescent="0.25">
      <c r="A2510" s="205" t="s">
        <v>3115</v>
      </c>
      <c r="B2510" s="206">
        <v>101254</v>
      </c>
      <c r="C2510" s="207" t="s">
        <v>3127</v>
      </c>
      <c r="D2510" s="208" t="s">
        <v>664</v>
      </c>
      <c r="E2510" s="209">
        <v>11.8</v>
      </c>
      <c r="F2510" s="209">
        <v>2.11</v>
      </c>
      <c r="G2510" s="209">
        <v>13.91</v>
      </c>
      <c r="H2510" s="198"/>
    </row>
    <row r="2511" spans="1:8" ht="15.75" hidden="1" customHeight="1" x14ac:dyDescent="0.25">
      <c r="A2511" s="205" t="s">
        <v>3115</v>
      </c>
      <c r="B2511" s="206">
        <v>101256</v>
      </c>
      <c r="C2511" s="207" t="s">
        <v>3128</v>
      </c>
      <c r="D2511" s="208" t="s">
        <v>664</v>
      </c>
      <c r="E2511" s="209">
        <v>18.34</v>
      </c>
      <c r="F2511" s="209">
        <v>3.04</v>
      </c>
      <c r="G2511" s="209">
        <v>21.38</v>
      </c>
      <c r="H2511" s="198"/>
    </row>
    <row r="2512" spans="1:8" ht="15.75" hidden="1" customHeight="1" x14ac:dyDescent="0.25">
      <c r="A2512" s="205" t="s">
        <v>3115</v>
      </c>
      <c r="B2512" s="206">
        <v>101257</v>
      </c>
      <c r="C2512" s="207" t="s">
        <v>3129</v>
      </c>
      <c r="D2512" s="208" t="s">
        <v>664</v>
      </c>
      <c r="E2512" s="209">
        <v>19.47</v>
      </c>
      <c r="F2512" s="209">
        <v>3.03</v>
      </c>
      <c r="G2512" s="209">
        <v>22.5</v>
      </c>
      <c r="H2512" s="198"/>
    </row>
    <row r="2513" spans="1:8" ht="15.75" hidden="1" customHeight="1" x14ac:dyDescent="0.25">
      <c r="A2513" s="205" t="s">
        <v>3115</v>
      </c>
      <c r="B2513" s="206">
        <v>101258</v>
      </c>
      <c r="C2513" s="207" t="s">
        <v>3130</v>
      </c>
      <c r="D2513" s="208" t="s">
        <v>664</v>
      </c>
      <c r="E2513" s="209">
        <v>22.57</v>
      </c>
      <c r="F2513" s="209">
        <v>3.51</v>
      </c>
      <c r="G2513" s="209">
        <v>26.08</v>
      </c>
      <c r="H2513" s="198"/>
    </row>
    <row r="2514" spans="1:8" ht="15.75" hidden="1" customHeight="1" x14ac:dyDescent="0.25">
      <c r="A2514" s="205" t="s">
        <v>3115</v>
      </c>
      <c r="B2514" s="206">
        <v>101259</v>
      </c>
      <c r="C2514" s="207" t="s">
        <v>3131</v>
      </c>
      <c r="D2514" s="208" t="s">
        <v>664</v>
      </c>
      <c r="E2514" s="209">
        <v>25.01</v>
      </c>
      <c r="F2514" s="209">
        <v>3.97</v>
      </c>
      <c r="G2514" s="209">
        <v>28.98</v>
      </c>
      <c r="H2514" s="198"/>
    </row>
    <row r="2515" spans="1:8" ht="15.75" hidden="1" customHeight="1" x14ac:dyDescent="0.25">
      <c r="A2515" s="205" t="s">
        <v>3115</v>
      </c>
      <c r="B2515" s="206">
        <v>101260</v>
      </c>
      <c r="C2515" s="207" t="s">
        <v>3132</v>
      </c>
      <c r="D2515" s="208" t="s">
        <v>664</v>
      </c>
      <c r="E2515" s="209">
        <v>31.31</v>
      </c>
      <c r="F2515" s="209">
        <v>4.8899999999999997</v>
      </c>
      <c r="G2515" s="209">
        <v>36.200000000000003</v>
      </c>
      <c r="H2515" s="198"/>
    </row>
    <row r="2516" spans="1:8" ht="15.75" hidden="1" customHeight="1" x14ac:dyDescent="0.25">
      <c r="A2516" s="205" t="s">
        <v>3115</v>
      </c>
      <c r="B2516" s="206">
        <v>101208</v>
      </c>
      <c r="C2516" s="207" t="s">
        <v>3133</v>
      </c>
      <c r="D2516" s="208" t="s">
        <v>664</v>
      </c>
      <c r="E2516" s="209">
        <v>9.89</v>
      </c>
      <c r="F2516" s="209">
        <v>1.44</v>
      </c>
      <c r="G2516" s="209">
        <v>11.33</v>
      </c>
      <c r="H2516" s="198"/>
    </row>
    <row r="2517" spans="1:8" ht="15.75" hidden="1" customHeight="1" x14ac:dyDescent="0.25">
      <c r="A2517" s="205" t="s">
        <v>3115</v>
      </c>
      <c r="B2517" s="206">
        <v>101209</v>
      </c>
      <c r="C2517" s="207" t="s">
        <v>3134</v>
      </c>
      <c r="D2517" s="208" t="s">
        <v>664</v>
      </c>
      <c r="E2517" s="209">
        <v>9.23</v>
      </c>
      <c r="F2517" s="209">
        <v>1.27</v>
      </c>
      <c r="G2517" s="209">
        <v>10.5</v>
      </c>
      <c r="H2517" s="198"/>
    </row>
    <row r="2518" spans="1:8" ht="15.75" hidden="1" customHeight="1" x14ac:dyDescent="0.25">
      <c r="A2518" s="205" t="s">
        <v>3115</v>
      </c>
      <c r="B2518" s="206">
        <v>101220</v>
      </c>
      <c r="C2518" s="207" t="s">
        <v>3135</v>
      </c>
      <c r="D2518" s="208" t="s">
        <v>664</v>
      </c>
      <c r="E2518" s="209">
        <v>15.51</v>
      </c>
      <c r="F2518" s="209">
        <v>2.0499999999999998</v>
      </c>
      <c r="G2518" s="209">
        <v>17.559999999999999</v>
      </c>
      <c r="H2518" s="198"/>
    </row>
    <row r="2519" spans="1:8" ht="15.75" hidden="1" customHeight="1" x14ac:dyDescent="0.25">
      <c r="A2519" s="205" t="s">
        <v>3115</v>
      </c>
      <c r="B2519" s="206">
        <v>101221</v>
      </c>
      <c r="C2519" s="207" t="s">
        <v>3136</v>
      </c>
      <c r="D2519" s="208" t="s">
        <v>664</v>
      </c>
      <c r="E2519" s="209">
        <v>16.47</v>
      </c>
      <c r="F2519" s="209">
        <v>2.0699999999999998</v>
      </c>
      <c r="G2519" s="209">
        <v>18.54</v>
      </c>
      <c r="H2519" s="198"/>
    </row>
    <row r="2520" spans="1:8" ht="15.75" hidden="1" customHeight="1" x14ac:dyDescent="0.25">
      <c r="A2520" s="205" t="s">
        <v>3115</v>
      </c>
      <c r="B2520" s="206">
        <v>101225</v>
      </c>
      <c r="C2520" s="207" t="s">
        <v>3137</v>
      </c>
      <c r="D2520" s="208" t="s">
        <v>664</v>
      </c>
      <c r="E2520" s="209">
        <v>14.28</v>
      </c>
      <c r="F2520" s="209">
        <v>1.83</v>
      </c>
      <c r="G2520" s="209">
        <v>16.11</v>
      </c>
      <c r="H2520" s="198"/>
    </row>
    <row r="2521" spans="1:8" ht="15.75" hidden="1" customHeight="1" x14ac:dyDescent="0.25">
      <c r="A2521" s="205" t="s">
        <v>3115</v>
      </c>
      <c r="B2521" s="206">
        <v>101226</v>
      </c>
      <c r="C2521" s="207" t="s">
        <v>3138</v>
      </c>
      <c r="D2521" s="208" t="s">
        <v>664</v>
      </c>
      <c r="E2521" s="209">
        <v>15.12</v>
      </c>
      <c r="F2521" s="209">
        <v>1.84</v>
      </c>
      <c r="G2521" s="209">
        <v>16.96</v>
      </c>
      <c r="H2521" s="198"/>
    </row>
    <row r="2522" spans="1:8" ht="15.75" hidden="1" customHeight="1" x14ac:dyDescent="0.25">
      <c r="A2522" s="205" t="s">
        <v>3115</v>
      </c>
      <c r="B2522" s="206">
        <v>101222</v>
      </c>
      <c r="C2522" s="207" t="s">
        <v>3139</v>
      </c>
      <c r="D2522" s="208" t="s">
        <v>664</v>
      </c>
      <c r="E2522" s="209">
        <v>19.16</v>
      </c>
      <c r="F2522" s="209">
        <v>2.37</v>
      </c>
      <c r="G2522" s="209">
        <v>21.53</v>
      </c>
      <c r="H2522" s="198"/>
    </row>
    <row r="2523" spans="1:8" ht="15.75" hidden="1" customHeight="1" x14ac:dyDescent="0.25">
      <c r="A2523" s="205" t="s">
        <v>3115</v>
      </c>
      <c r="B2523" s="206">
        <v>101227</v>
      </c>
      <c r="C2523" s="207" t="s">
        <v>3140</v>
      </c>
      <c r="D2523" s="208" t="s">
        <v>664</v>
      </c>
      <c r="E2523" s="209">
        <v>17.53</v>
      </c>
      <c r="F2523" s="209">
        <v>2.11</v>
      </c>
      <c r="G2523" s="209">
        <v>19.64</v>
      </c>
      <c r="H2523" s="198"/>
    </row>
    <row r="2524" spans="1:8" ht="15.75" hidden="1" customHeight="1" x14ac:dyDescent="0.25">
      <c r="A2524" s="205" t="s">
        <v>3115</v>
      </c>
      <c r="B2524" s="206">
        <v>101228</v>
      </c>
      <c r="C2524" s="207" t="s">
        <v>3141</v>
      </c>
      <c r="D2524" s="208" t="s">
        <v>664</v>
      </c>
      <c r="E2524" s="209">
        <v>18.809999999999999</v>
      </c>
      <c r="F2524" s="209">
        <v>2.11</v>
      </c>
      <c r="G2524" s="209">
        <v>20.92</v>
      </c>
      <c r="H2524" s="198"/>
    </row>
    <row r="2525" spans="1:8" ht="15.75" hidden="1" customHeight="1" x14ac:dyDescent="0.25">
      <c r="A2525" s="205" t="s">
        <v>3115</v>
      </c>
      <c r="B2525" s="206">
        <v>101223</v>
      </c>
      <c r="C2525" s="207" t="s">
        <v>3142</v>
      </c>
      <c r="D2525" s="208" t="s">
        <v>664</v>
      </c>
      <c r="E2525" s="209">
        <v>21.27</v>
      </c>
      <c r="F2525" s="209">
        <v>2.68</v>
      </c>
      <c r="G2525" s="209">
        <v>23.95</v>
      </c>
      <c r="H2525" s="198"/>
    </row>
    <row r="2526" spans="1:8" ht="15.75" hidden="1" customHeight="1" x14ac:dyDescent="0.25">
      <c r="A2526" s="205" t="s">
        <v>3115</v>
      </c>
      <c r="B2526" s="206">
        <v>101229</v>
      </c>
      <c r="C2526" s="207" t="s">
        <v>3143</v>
      </c>
      <c r="D2526" s="208" t="s">
        <v>664</v>
      </c>
      <c r="E2526" s="209">
        <v>23.66</v>
      </c>
      <c r="F2526" s="209">
        <v>2.69</v>
      </c>
      <c r="G2526" s="209">
        <v>26.35</v>
      </c>
      <c r="H2526" s="198"/>
    </row>
    <row r="2527" spans="1:8" ht="15.75" hidden="1" customHeight="1" x14ac:dyDescent="0.25">
      <c r="A2527" s="205" t="s">
        <v>3115</v>
      </c>
      <c r="B2527" s="206">
        <v>101224</v>
      </c>
      <c r="C2527" s="207" t="s">
        <v>3144</v>
      </c>
      <c r="D2527" s="208" t="s">
        <v>664</v>
      </c>
      <c r="E2527" s="209">
        <v>26.68</v>
      </c>
      <c r="F2527" s="209">
        <v>3.31</v>
      </c>
      <c r="G2527" s="209">
        <v>29.99</v>
      </c>
      <c r="H2527" s="198"/>
    </row>
    <row r="2528" spans="1:8" ht="15.75" hidden="1" customHeight="1" x14ac:dyDescent="0.25">
      <c r="A2528" s="205" t="s">
        <v>3115</v>
      </c>
      <c r="B2528" s="206">
        <v>101265</v>
      </c>
      <c r="C2528" s="207" t="s">
        <v>3145</v>
      </c>
      <c r="D2528" s="208" t="s">
        <v>664</v>
      </c>
      <c r="E2528" s="209">
        <v>29.76</v>
      </c>
      <c r="F2528" s="209">
        <v>4.2300000000000004</v>
      </c>
      <c r="G2528" s="209">
        <v>33.99</v>
      </c>
      <c r="H2528" s="198"/>
    </row>
    <row r="2529" spans="1:8" ht="15.75" hidden="1" customHeight="1" x14ac:dyDescent="0.25">
      <c r="A2529" s="205" t="s">
        <v>3115</v>
      </c>
      <c r="B2529" s="206">
        <v>101255</v>
      </c>
      <c r="C2529" s="207" t="s">
        <v>3146</v>
      </c>
      <c r="D2529" s="208" t="s">
        <v>664</v>
      </c>
      <c r="E2529" s="209">
        <v>10.61</v>
      </c>
      <c r="F2529" s="209">
        <v>1.68</v>
      </c>
      <c r="G2529" s="209">
        <v>12.29</v>
      </c>
      <c r="H2529" s="198"/>
    </row>
    <row r="2530" spans="1:8" ht="15.75" hidden="1" customHeight="1" x14ac:dyDescent="0.25">
      <c r="A2530" s="205" t="s">
        <v>3115</v>
      </c>
      <c r="B2530" s="206">
        <v>101261</v>
      </c>
      <c r="C2530" s="207" t="s">
        <v>3147</v>
      </c>
      <c r="D2530" s="208" t="s">
        <v>664</v>
      </c>
      <c r="E2530" s="209">
        <v>17.47</v>
      </c>
      <c r="F2530" s="209">
        <v>2.78</v>
      </c>
      <c r="G2530" s="209">
        <v>20.25</v>
      </c>
      <c r="H2530" s="198"/>
    </row>
    <row r="2531" spans="1:8" ht="15.75" hidden="1" customHeight="1" x14ac:dyDescent="0.25">
      <c r="A2531" s="205" t="s">
        <v>3115</v>
      </c>
      <c r="B2531" s="206">
        <v>101262</v>
      </c>
      <c r="C2531" s="207" t="s">
        <v>3148</v>
      </c>
      <c r="D2531" s="208" t="s">
        <v>664</v>
      </c>
      <c r="E2531" s="209">
        <v>18.579999999999998</v>
      </c>
      <c r="F2531" s="209">
        <v>2.76</v>
      </c>
      <c r="G2531" s="209">
        <v>21.34</v>
      </c>
      <c r="H2531" s="198"/>
    </row>
    <row r="2532" spans="1:8" ht="15.75" hidden="1" customHeight="1" x14ac:dyDescent="0.25">
      <c r="A2532" s="205" t="s">
        <v>3115</v>
      </c>
      <c r="B2532" s="206">
        <v>101263</v>
      </c>
      <c r="C2532" s="207" t="s">
        <v>3149</v>
      </c>
      <c r="D2532" s="208" t="s">
        <v>664</v>
      </c>
      <c r="E2532" s="209">
        <v>21.51</v>
      </c>
      <c r="F2532" s="209">
        <v>3.14</v>
      </c>
      <c r="G2532" s="209">
        <v>24.65</v>
      </c>
      <c r="H2532" s="198"/>
    </row>
    <row r="2533" spans="1:8" ht="15.75" hidden="1" customHeight="1" x14ac:dyDescent="0.25">
      <c r="A2533" s="205" t="s">
        <v>3115</v>
      </c>
      <c r="B2533" s="206">
        <v>101264</v>
      </c>
      <c r="C2533" s="207" t="s">
        <v>3150</v>
      </c>
      <c r="D2533" s="208" t="s">
        <v>664</v>
      </c>
      <c r="E2533" s="209">
        <v>23.81</v>
      </c>
      <c r="F2533" s="209">
        <v>3.5</v>
      </c>
      <c r="G2533" s="209">
        <v>27.31</v>
      </c>
      <c r="H2533" s="198"/>
    </row>
    <row r="2534" spans="1:8" ht="15.75" hidden="1" customHeight="1" x14ac:dyDescent="0.25">
      <c r="A2534" s="205" t="s">
        <v>3115</v>
      </c>
      <c r="B2534" s="206">
        <v>101207</v>
      </c>
      <c r="C2534" s="207" t="s">
        <v>3151</v>
      </c>
      <c r="D2534" s="208" t="s">
        <v>664</v>
      </c>
      <c r="E2534" s="209">
        <v>10.18</v>
      </c>
      <c r="F2534" s="209">
        <v>1.38</v>
      </c>
      <c r="G2534" s="209">
        <v>11.56</v>
      </c>
      <c r="H2534" s="198"/>
    </row>
    <row r="2535" spans="1:8" ht="15.75" hidden="1" customHeight="1" x14ac:dyDescent="0.25">
      <c r="A2535" s="205" t="s">
        <v>3115</v>
      </c>
      <c r="B2535" s="206">
        <v>101230</v>
      </c>
      <c r="C2535" s="207" t="s">
        <v>3152</v>
      </c>
      <c r="D2535" s="208" t="s">
        <v>664</v>
      </c>
      <c r="E2535" s="209">
        <v>10.199999999999999</v>
      </c>
      <c r="F2535" s="209">
        <v>1.6</v>
      </c>
      <c r="G2535" s="209">
        <v>11.8</v>
      </c>
      <c r="H2535" s="198"/>
    </row>
    <row r="2536" spans="1:8" ht="15.75" hidden="1" customHeight="1" x14ac:dyDescent="0.25">
      <c r="A2536" s="205" t="s">
        <v>3115</v>
      </c>
      <c r="B2536" s="206">
        <v>101231</v>
      </c>
      <c r="C2536" s="207" t="s">
        <v>3153</v>
      </c>
      <c r="D2536" s="208" t="s">
        <v>664</v>
      </c>
      <c r="E2536" s="209">
        <v>9.75</v>
      </c>
      <c r="F2536" s="209">
        <v>1.47</v>
      </c>
      <c r="G2536" s="209">
        <v>11.22</v>
      </c>
      <c r="H2536" s="198"/>
    </row>
    <row r="2537" spans="1:8" ht="15.75" hidden="1" customHeight="1" x14ac:dyDescent="0.25">
      <c r="A2537" s="205" t="s">
        <v>3115</v>
      </c>
      <c r="B2537" s="206">
        <v>101272</v>
      </c>
      <c r="C2537" s="207" t="s">
        <v>3154</v>
      </c>
      <c r="D2537" s="208" t="s">
        <v>664</v>
      </c>
      <c r="E2537" s="209">
        <v>30.02</v>
      </c>
      <c r="F2537" s="209">
        <v>4.5199999999999996</v>
      </c>
      <c r="G2537" s="209">
        <v>34.54</v>
      </c>
      <c r="H2537" s="198"/>
    </row>
    <row r="2538" spans="1:8" ht="15.75" hidden="1" customHeight="1" x14ac:dyDescent="0.25">
      <c r="A2538" s="205" t="s">
        <v>3115</v>
      </c>
      <c r="B2538" s="206">
        <v>101266</v>
      </c>
      <c r="C2538" s="207" t="s">
        <v>3155</v>
      </c>
      <c r="D2538" s="208" t="s">
        <v>664</v>
      </c>
      <c r="E2538" s="209">
        <v>10.57</v>
      </c>
      <c r="F2538" s="209">
        <v>1.78</v>
      </c>
      <c r="G2538" s="209">
        <v>12.35</v>
      </c>
      <c r="H2538" s="198"/>
    </row>
    <row r="2539" spans="1:8" ht="15.75" hidden="1" customHeight="1" x14ac:dyDescent="0.25">
      <c r="A2539" s="205" t="s">
        <v>3115</v>
      </c>
      <c r="B2539" s="206">
        <v>101239</v>
      </c>
      <c r="C2539" s="207" t="s">
        <v>3156</v>
      </c>
      <c r="D2539" s="208" t="s">
        <v>664</v>
      </c>
      <c r="E2539" s="209">
        <v>14.2</v>
      </c>
      <c r="F2539" s="209">
        <v>1.81</v>
      </c>
      <c r="G2539" s="209">
        <v>16.010000000000002</v>
      </c>
      <c r="H2539" s="198"/>
    </row>
    <row r="2540" spans="1:8" ht="15.75" hidden="1" customHeight="1" x14ac:dyDescent="0.25">
      <c r="A2540" s="205" t="s">
        <v>3115</v>
      </c>
      <c r="B2540" s="206">
        <v>101240</v>
      </c>
      <c r="C2540" s="207" t="s">
        <v>3157</v>
      </c>
      <c r="D2540" s="208" t="s">
        <v>664</v>
      </c>
      <c r="E2540" s="209">
        <v>15.08</v>
      </c>
      <c r="F2540" s="209">
        <v>1.8</v>
      </c>
      <c r="G2540" s="209">
        <v>16.88</v>
      </c>
      <c r="H2540" s="198"/>
    </row>
    <row r="2541" spans="1:8" ht="15.75" hidden="1" customHeight="1" x14ac:dyDescent="0.25">
      <c r="A2541" s="205" t="s">
        <v>3115</v>
      </c>
      <c r="B2541" s="206">
        <v>101268</v>
      </c>
      <c r="C2541" s="207" t="s">
        <v>3158</v>
      </c>
      <c r="D2541" s="208" t="s">
        <v>664</v>
      </c>
      <c r="E2541" s="209">
        <v>16.84</v>
      </c>
      <c r="F2541" s="209">
        <v>2.5499999999999998</v>
      </c>
      <c r="G2541" s="209">
        <v>19.39</v>
      </c>
      <c r="H2541" s="198"/>
    </row>
    <row r="2542" spans="1:8" ht="15.75" hidden="1" customHeight="1" x14ac:dyDescent="0.25">
      <c r="A2542" s="205" t="s">
        <v>3115</v>
      </c>
      <c r="B2542" s="206">
        <v>101234</v>
      </c>
      <c r="C2542" s="207" t="s">
        <v>3159</v>
      </c>
      <c r="D2542" s="208" t="s">
        <v>664</v>
      </c>
      <c r="E2542" s="209">
        <v>15.98</v>
      </c>
      <c r="F2542" s="209">
        <v>2.2799999999999998</v>
      </c>
      <c r="G2542" s="209">
        <v>18.260000000000002</v>
      </c>
      <c r="H2542" s="198"/>
    </row>
    <row r="2543" spans="1:8" ht="15.75" hidden="1" customHeight="1" x14ac:dyDescent="0.25">
      <c r="A2543" s="205" t="s">
        <v>3115</v>
      </c>
      <c r="B2543" s="206">
        <v>101235</v>
      </c>
      <c r="C2543" s="207" t="s">
        <v>3160</v>
      </c>
      <c r="D2543" s="208" t="s">
        <v>664</v>
      </c>
      <c r="E2543" s="209">
        <v>16.940000000000001</v>
      </c>
      <c r="F2543" s="209">
        <v>2.2599999999999998</v>
      </c>
      <c r="G2543" s="209">
        <v>19.2</v>
      </c>
      <c r="H2543" s="198"/>
    </row>
    <row r="2544" spans="1:8" ht="15.75" hidden="1" customHeight="1" x14ac:dyDescent="0.25">
      <c r="A2544" s="205" t="s">
        <v>3115</v>
      </c>
      <c r="B2544" s="206">
        <v>101241</v>
      </c>
      <c r="C2544" s="207" t="s">
        <v>3161</v>
      </c>
      <c r="D2544" s="208" t="s">
        <v>664</v>
      </c>
      <c r="E2544" s="209">
        <v>17.57</v>
      </c>
      <c r="F2544" s="209">
        <v>2.14</v>
      </c>
      <c r="G2544" s="209">
        <v>19.71</v>
      </c>
      <c r="H2544" s="198"/>
    </row>
    <row r="2545" spans="1:8" ht="15.75" hidden="1" customHeight="1" x14ac:dyDescent="0.25">
      <c r="A2545" s="205" t="s">
        <v>3115</v>
      </c>
      <c r="B2545" s="206">
        <v>101269</v>
      </c>
      <c r="C2545" s="207" t="s">
        <v>3162</v>
      </c>
      <c r="D2545" s="208" t="s">
        <v>664</v>
      </c>
      <c r="E2545" s="209">
        <v>18.649999999999999</v>
      </c>
      <c r="F2545" s="209">
        <v>2.95</v>
      </c>
      <c r="G2545" s="209">
        <v>21.6</v>
      </c>
      <c r="H2545" s="198"/>
    </row>
    <row r="2546" spans="1:8" ht="15.75" hidden="1" customHeight="1" x14ac:dyDescent="0.25">
      <c r="A2546" s="205" t="s">
        <v>3115</v>
      </c>
      <c r="B2546" s="206">
        <v>101236</v>
      </c>
      <c r="C2546" s="207" t="s">
        <v>3163</v>
      </c>
      <c r="D2546" s="208" t="s">
        <v>664</v>
      </c>
      <c r="E2546" s="209">
        <v>19.7</v>
      </c>
      <c r="F2546" s="209">
        <v>2.64</v>
      </c>
      <c r="G2546" s="209">
        <v>22.34</v>
      </c>
      <c r="H2546" s="198"/>
    </row>
    <row r="2547" spans="1:8" ht="15.75" hidden="1" customHeight="1" x14ac:dyDescent="0.25">
      <c r="A2547" s="205" t="s">
        <v>3115</v>
      </c>
      <c r="B2547" s="206">
        <v>101237</v>
      </c>
      <c r="C2547" s="207" t="s">
        <v>3164</v>
      </c>
      <c r="D2547" s="208" t="s">
        <v>664</v>
      </c>
      <c r="E2547" s="209">
        <v>21.15</v>
      </c>
      <c r="F2547" s="209">
        <v>2.63</v>
      </c>
      <c r="G2547" s="209">
        <v>23.78</v>
      </c>
      <c r="H2547" s="198"/>
    </row>
    <row r="2548" spans="1:8" ht="15.75" hidden="1" customHeight="1" x14ac:dyDescent="0.25">
      <c r="A2548" s="205" t="s">
        <v>3115</v>
      </c>
      <c r="B2548" s="206">
        <v>101242</v>
      </c>
      <c r="C2548" s="207" t="s">
        <v>3165</v>
      </c>
      <c r="D2548" s="208" t="s">
        <v>664</v>
      </c>
      <c r="E2548" s="209">
        <v>19.59</v>
      </c>
      <c r="F2548" s="209">
        <v>2.44</v>
      </c>
      <c r="G2548" s="209">
        <v>22.03</v>
      </c>
      <c r="H2548" s="198"/>
    </row>
    <row r="2549" spans="1:8" ht="15.75" hidden="1" customHeight="1" x14ac:dyDescent="0.25">
      <c r="A2549" s="205" t="s">
        <v>3115</v>
      </c>
      <c r="B2549" s="206">
        <v>101270</v>
      </c>
      <c r="C2549" s="207" t="s">
        <v>3166</v>
      </c>
      <c r="D2549" s="208" t="s">
        <v>664</v>
      </c>
      <c r="E2549" s="209">
        <v>21.64</v>
      </c>
      <c r="F2549" s="209">
        <v>3.35</v>
      </c>
      <c r="G2549" s="209">
        <v>24.99</v>
      </c>
      <c r="H2549" s="198"/>
    </row>
    <row r="2550" spans="1:8" ht="15.75" hidden="1" customHeight="1" x14ac:dyDescent="0.25">
      <c r="A2550" s="205" t="s">
        <v>3115</v>
      </c>
      <c r="B2550" s="206">
        <v>101243</v>
      </c>
      <c r="C2550" s="207" t="s">
        <v>3167</v>
      </c>
      <c r="D2550" s="208" t="s">
        <v>664</v>
      </c>
      <c r="E2550" s="209">
        <v>23.88</v>
      </c>
      <c r="F2550" s="209">
        <v>2.78</v>
      </c>
      <c r="G2550" s="209">
        <v>26.66</v>
      </c>
      <c r="H2550" s="198"/>
    </row>
    <row r="2551" spans="1:8" ht="15.75" hidden="1" customHeight="1" x14ac:dyDescent="0.25">
      <c r="A2551" s="205" t="s">
        <v>3115</v>
      </c>
      <c r="B2551" s="206">
        <v>101271</v>
      </c>
      <c r="C2551" s="207" t="s">
        <v>3168</v>
      </c>
      <c r="D2551" s="208" t="s">
        <v>664</v>
      </c>
      <c r="E2551" s="209">
        <v>23.97</v>
      </c>
      <c r="F2551" s="209">
        <v>3.74</v>
      </c>
      <c r="G2551" s="209">
        <v>27.71</v>
      </c>
      <c r="H2551" s="198"/>
    </row>
    <row r="2552" spans="1:8" ht="15.75" hidden="1" customHeight="1" x14ac:dyDescent="0.25">
      <c r="A2552" s="205" t="s">
        <v>3115</v>
      </c>
      <c r="B2552" s="206">
        <v>101238</v>
      </c>
      <c r="C2552" s="207" t="s">
        <v>3169</v>
      </c>
      <c r="D2552" s="208" t="s">
        <v>664</v>
      </c>
      <c r="E2552" s="209">
        <v>26.71</v>
      </c>
      <c r="F2552" s="209">
        <v>3.33</v>
      </c>
      <c r="G2552" s="209">
        <v>30.04</v>
      </c>
      <c r="H2552" s="198"/>
    </row>
    <row r="2553" spans="1:8" ht="15.75" hidden="1" customHeight="1" x14ac:dyDescent="0.25">
      <c r="A2553" s="205" t="s">
        <v>3115</v>
      </c>
      <c r="B2553" s="206">
        <v>101232</v>
      </c>
      <c r="C2553" s="207" t="s">
        <v>3170</v>
      </c>
      <c r="D2553" s="208" t="s">
        <v>664</v>
      </c>
      <c r="E2553" s="209">
        <v>8.9</v>
      </c>
      <c r="F2553" s="209">
        <v>1.2</v>
      </c>
      <c r="G2553" s="209">
        <v>10.1</v>
      </c>
      <c r="H2553" s="198"/>
    </row>
    <row r="2554" spans="1:8" ht="15.75" hidden="1" customHeight="1" x14ac:dyDescent="0.25">
      <c r="A2554" s="205" t="s">
        <v>3115</v>
      </c>
      <c r="B2554" s="206">
        <v>101233</v>
      </c>
      <c r="C2554" s="207" t="s">
        <v>3171</v>
      </c>
      <c r="D2554" s="208" t="s">
        <v>664</v>
      </c>
      <c r="E2554" s="209">
        <v>8.23</v>
      </c>
      <c r="F2554" s="209">
        <v>1.07</v>
      </c>
      <c r="G2554" s="209">
        <v>9.3000000000000007</v>
      </c>
      <c r="H2554" s="198"/>
    </row>
    <row r="2555" spans="1:8" ht="15.75" hidden="1" customHeight="1" x14ac:dyDescent="0.25">
      <c r="A2555" s="205" t="s">
        <v>3115</v>
      </c>
      <c r="B2555" s="206">
        <v>101248</v>
      </c>
      <c r="C2555" s="207" t="s">
        <v>3172</v>
      </c>
      <c r="D2555" s="208" t="s">
        <v>664</v>
      </c>
      <c r="E2555" s="209">
        <v>25.65</v>
      </c>
      <c r="F2555" s="209">
        <v>3.05</v>
      </c>
      <c r="G2555" s="209">
        <v>28.7</v>
      </c>
      <c r="H2555" s="198"/>
    </row>
    <row r="2556" spans="1:8" ht="15.75" hidden="1" customHeight="1" x14ac:dyDescent="0.25">
      <c r="A2556" s="205" t="s">
        <v>3115</v>
      </c>
      <c r="B2556" s="206">
        <v>101277</v>
      </c>
      <c r="C2556" s="207" t="s">
        <v>3173</v>
      </c>
      <c r="D2556" s="208" t="s">
        <v>664</v>
      </c>
      <c r="E2556" s="209">
        <v>29.18</v>
      </c>
      <c r="F2556" s="209">
        <v>4.24</v>
      </c>
      <c r="G2556" s="209">
        <v>33.42</v>
      </c>
      <c r="H2556" s="198"/>
    </row>
    <row r="2557" spans="1:8" ht="15.75" hidden="1" customHeight="1" x14ac:dyDescent="0.25">
      <c r="A2557" s="205" t="s">
        <v>3115</v>
      </c>
      <c r="B2557" s="206">
        <v>101267</v>
      </c>
      <c r="C2557" s="207" t="s">
        <v>3174</v>
      </c>
      <c r="D2557" s="208" t="s">
        <v>664</v>
      </c>
      <c r="E2557" s="209">
        <v>10.16</v>
      </c>
      <c r="F2557" s="209">
        <v>1.73</v>
      </c>
      <c r="G2557" s="209">
        <v>11.89</v>
      </c>
      <c r="H2557" s="198"/>
    </row>
    <row r="2558" spans="1:8" ht="15.75" hidden="1" customHeight="1" x14ac:dyDescent="0.25">
      <c r="A2558" s="205" t="s">
        <v>3115</v>
      </c>
      <c r="B2558" s="206">
        <v>101249</v>
      </c>
      <c r="C2558" s="207" t="s">
        <v>3175</v>
      </c>
      <c r="D2558" s="208" t="s">
        <v>664</v>
      </c>
      <c r="E2558" s="209">
        <v>13.08</v>
      </c>
      <c r="F2558" s="209">
        <v>1.56</v>
      </c>
      <c r="G2558" s="209">
        <v>14.64</v>
      </c>
      <c r="H2558" s="198"/>
    </row>
    <row r="2559" spans="1:8" ht="15.75" hidden="1" customHeight="1" x14ac:dyDescent="0.25">
      <c r="A2559" s="205" t="s">
        <v>3115</v>
      </c>
      <c r="B2559" s="206">
        <v>101273</v>
      </c>
      <c r="C2559" s="207" t="s">
        <v>3176</v>
      </c>
      <c r="D2559" s="208" t="s">
        <v>664</v>
      </c>
      <c r="E2559" s="209">
        <v>16.170000000000002</v>
      </c>
      <c r="F2559" s="209">
        <v>2.35</v>
      </c>
      <c r="G2559" s="209">
        <v>18.52</v>
      </c>
      <c r="H2559" s="198"/>
    </row>
    <row r="2560" spans="1:8" ht="15.75" hidden="1" customHeight="1" x14ac:dyDescent="0.25">
      <c r="A2560" s="205" t="s">
        <v>3115</v>
      </c>
      <c r="B2560" s="206">
        <v>101245</v>
      </c>
      <c r="C2560" s="207" t="s">
        <v>3177</v>
      </c>
      <c r="D2560" s="208" t="s">
        <v>664</v>
      </c>
      <c r="E2560" s="209">
        <v>15.83</v>
      </c>
      <c r="F2560" s="209">
        <v>2</v>
      </c>
      <c r="G2560" s="209">
        <v>17.829999999999998</v>
      </c>
      <c r="H2560" s="198"/>
    </row>
    <row r="2561" spans="1:8" ht="15.75" hidden="1" customHeight="1" x14ac:dyDescent="0.25">
      <c r="A2561" s="205" t="s">
        <v>3115</v>
      </c>
      <c r="B2561" s="206">
        <v>101250</v>
      </c>
      <c r="C2561" s="207" t="s">
        <v>3178</v>
      </c>
      <c r="D2561" s="208" t="s">
        <v>664</v>
      </c>
      <c r="E2561" s="209">
        <v>14.47</v>
      </c>
      <c r="F2561" s="209">
        <v>1.79</v>
      </c>
      <c r="G2561" s="209">
        <v>16.260000000000002</v>
      </c>
      <c r="H2561" s="198"/>
    </row>
    <row r="2562" spans="1:8" ht="15.75" hidden="1" customHeight="1" x14ac:dyDescent="0.25">
      <c r="A2562" s="205" t="s">
        <v>3115</v>
      </c>
      <c r="B2562" s="206">
        <v>101251</v>
      </c>
      <c r="C2562" s="207" t="s">
        <v>3179</v>
      </c>
      <c r="D2562" s="208" t="s">
        <v>664</v>
      </c>
      <c r="E2562" s="209">
        <v>16.579999999999998</v>
      </c>
      <c r="F2562" s="209">
        <v>1.92</v>
      </c>
      <c r="G2562" s="209">
        <v>18.5</v>
      </c>
      <c r="H2562" s="198"/>
    </row>
    <row r="2563" spans="1:8" ht="15.75" hidden="1" customHeight="1" x14ac:dyDescent="0.25">
      <c r="A2563" s="205" t="s">
        <v>3115</v>
      </c>
      <c r="B2563" s="206">
        <v>101274</v>
      </c>
      <c r="C2563" s="207" t="s">
        <v>3180</v>
      </c>
      <c r="D2563" s="208" t="s">
        <v>664</v>
      </c>
      <c r="E2563" s="209">
        <v>17.809999999999999</v>
      </c>
      <c r="F2563" s="209">
        <v>2.67</v>
      </c>
      <c r="G2563" s="209">
        <v>20.48</v>
      </c>
      <c r="H2563" s="198"/>
    </row>
    <row r="2564" spans="1:8" ht="15.75" hidden="1" customHeight="1" x14ac:dyDescent="0.25">
      <c r="A2564" s="205" t="s">
        <v>3115</v>
      </c>
      <c r="B2564" s="206">
        <v>101246</v>
      </c>
      <c r="C2564" s="207" t="s">
        <v>3181</v>
      </c>
      <c r="D2564" s="208" t="s">
        <v>664</v>
      </c>
      <c r="E2564" s="209">
        <v>18.440000000000001</v>
      </c>
      <c r="F2564" s="209">
        <v>2.25</v>
      </c>
      <c r="G2564" s="209">
        <v>20.69</v>
      </c>
      <c r="H2564" s="198"/>
    </row>
    <row r="2565" spans="1:8" ht="15.75" hidden="1" customHeight="1" x14ac:dyDescent="0.25">
      <c r="A2565" s="205" t="s">
        <v>3115</v>
      </c>
      <c r="B2565" s="206">
        <v>101252</v>
      </c>
      <c r="C2565" s="207" t="s">
        <v>3182</v>
      </c>
      <c r="D2565" s="208" t="s">
        <v>664</v>
      </c>
      <c r="E2565" s="209">
        <v>18.03</v>
      </c>
      <c r="F2565" s="209">
        <v>2.02</v>
      </c>
      <c r="G2565" s="209">
        <v>20.05</v>
      </c>
      <c r="H2565" s="198"/>
    </row>
    <row r="2566" spans="1:8" ht="15.75" hidden="1" customHeight="1" x14ac:dyDescent="0.25">
      <c r="A2566" s="205" t="s">
        <v>3115</v>
      </c>
      <c r="B2566" s="206">
        <v>101275</v>
      </c>
      <c r="C2566" s="207" t="s">
        <v>3183</v>
      </c>
      <c r="D2566" s="208" t="s">
        <v>664</v>
      </c>
      <c r="E2566" s="209">
        <v>20.69</v>
      </c>
      <c r="F2566" s="209">
        <v>2.99</v>
      </c>
      <c r="G2566" s="209">
        <v>23.68</v>
      </c>
      <c r="H2566" s="198"/>
    </row>
    <row r="2567" spans="1:8" ht="15.75" hidden="1" customHeight="1" x14ac:dyDescent="0.25">
      <c r="A2567" s="205" t="s">
        <v>3115</v>
      </c>
      <c r="B2567" s="206">
        <v>101247</v>
      </c>
      <c r="C2567" s="207" t="s">
        <v>3184</v>
      </c>
      <c r="D2567" s="208" t="s">
        <v>664</v>
      </c>
      <c r="E2567" s="209">
        <v>20.43</v>
      </c>
      <c r="F2567" s="209">
        <v>2.5299999999999998</v>
      </c>
      <c r="G2567" s="209">
        <v>22.96</v>
      </c>
      <c r="H2567" s="198"/>
    </row>
    <row r="2568" spans="1:8" ht="15.75" hidden="1" customHeight="1" x14ac:dyDescent="0.25">
      <c r="A2568" s="205" t="s">
        <v>3115</v>
      </c>
      <c r="B2568" s="206">
        <v>101276</v>
      </c>
      <c r="C2568" s="207" t="s">
        <v>3185</v>
      </c>
      <c r="D2568" s="208" t="s">
        <v>664</v>
      </c>
      <c r="E2568" s="209">
        <v>22.87</v>
      </c>
      <c r="F2568" s="209">
        <v>3.3</v>
      </c>
      <c r="G2568" s="209">
        <v>26.17</v>
      </c>
      <c r="H2568" s="198"/>
    </row>
    <row r="2569" spans="1:8" ht="15.75" hidden="1" customHeight="1" x14ac:dyDescent="0.25">
      <c r="A2569" s="205" t="s">
        <v>3115</v>
      </c>
      <c r="B2569" s="206">
        <v>101253</v>
      </c>
      <c r="C2569" s="207" t="s">
        <v>3186</v>
      </c>
      <c r="D2569" s="208" t="s">
        <v>664</v>
      </c>
      <c r="E2569" s="209">
        <v>22.72</v>
      </c>
      <c r="F2569" s="209">
        <v>2.5</v>
      </c>
      <c r="G2569" s="209">
        <v>25.22</v>
      </c>
      <c r="H2569" s="198"/>
    </row>
    <row r="2570" spans="1:8" ht="15.75" hidden="1" customHeight="1" x14ac:dyDescent="0.25">
      <c r="A2570" s="205" t="s">
        <v>3115</v>
      </c>
      <c r="B2570" s="206">
        <v>101244</v>
      </c>
      <c r="C2570" s="207" t="s">
        <v>3187</v>
      </c>
      <c r="D2570" s="208" t="s">
        <v>664</v>
      </c>
      <c r="E2570" s="209">
        <v>14.89</v>
      </c>
      <c r="F2570" s="209">
        <v>1.99</v>
      </c>
      <c r="G2570" s="209">
        <v>16.88</v>
      </c>
      <c r="H2570" s="198"/>
    </row>
    <row r="2571" spans="1:8" ht="15.75" hidden="1" customHeight="1" x14ac:dyDescent="0.25">
      <c r="A2571" s="205" t="s">
        <v>3188</v>
      </c>
      <c r="B2571" s="206">
        <v>93358</v>
      </c>
      <c r="C2571" s="207" t="s">
        <v>3189</v>
      </c>
      <c r="D2571" s="208" t="s">
        <v>664</v>
      </c>
      <c r="E2571" s="209">
        <v>36.369999999999997</v>
      </c>
      <c r="F2571" s="209">
        <v>77.2</v>
      </c>
      <c r="G2571" s="209">
        <v>113.57</v>
      </c>
      <c r="H2571" s="198"/>
    </row>
    <row r="2572" spans="1:8" ht="15.75" hidden="1" customHeight="1" x14ac:dyDescent="0.25">
      <c r="A2572" s="205" t="s">
        <v>3188</v>
      </c>
      <c r="B2572" s="206">
        <v>90082</v>
      </c>
      <c r="C2572" s="207" t="s">
        <v>3190</v>
      </c>
      <c r="D2572" s="208" t="s">
        <v>664</v>
      </c>
      <c r="E2572" s="209">
        <v>8.14</v>
      </c>
      <c r="F2572" s="209">
        <v>2.5099999999999998</v>
      </c>
      <c r="G2572" s="209">
        <v>10.65</v>
      </c>
      <c r="H2572" s="198"/>
    </row>
    <row r="2573" spans="1:8" ht="15.75" hidden="1" customHeight="1" x14ac:dyDescent="0.25">
      <c r="A2573" s="205" t="s">
        <v>3188</v>
      </c>
      <c r="B2573" s="206">
        <v>90091</v>
      </c>
      <c r="C2573" s="207" t="s">
        <v>3191</v>
      </c>
      <c r="D2573" s="208" t="s">
        <v>664</v>
      </c>
      <c r="E2573" s="209">
        <v>5.14</v>
      </c>
      <c r="F2573" s="209">
        <v>1.57</v>
      </c>
      <c r="G2573" s="209">
        <v>6.71</v>
      </c>
      <c r="H2573" s="198"/>
    </row>
    <row r="2574" spans="1:8" ht="15.75" hidden="1" customHeight="1" x14ac:dyDescent="0.25">
      <c r="A2574" s="205" t="s">
        <v>3188</v>
      </c>
      <c r="B2574" s="206">
        <v>102307</v>
      </c>
      <c r="C2574" s="207" t="s">
        <v>3192</v>
      </c>
      <c r="D2574" s="208" t="s">
        <v>664</v>
      </c>
      <c r="E2574" s="209">
        <v>10.210000000000001</v>
      </c>
      <c r="F2574" s="209">
        <v>3.11</v>
      </c>
      <c r="G2574" s="209">
        <v>13.32</v>
      </c>
      <c r="H2574" s="198"/>
    </row>
    <row r="2575" spans="1:8" ht="15.75" hidden="1" customHeight="1" x14ac:dyDescent="0.25">
      <c r="A2575" s="205" t="s">
        <v>3188</v>
      </c>
      <c r="B2575" s="206">
        <v>102315</v>
      </c>
      <c r="C2575" s="207" t="s">
        <v>3193</v>
      </c>
      <c r="D2575" s="208" t="s">
        <v>664</v>
      </c>
      <c r="E2575" s="209">
        <v>6.43</v>
      </c>
      <c r="F2575" s="209">
        <v>1.96</v>
      </c>
      <c r="G2575" s="209">
        <v>8.39</v>
      </c>
      <c r="H2575" s="198"/>
    </row>
    <row r="2576" spans="1:8" ht="15.75" hidden="1" customHeight="1" x14ac:dyDescent="0.25">
      <c r="A2576" s="205" t="s">
        <v>3188</v>
      </c>
      <c r="B2576" s="206">
        <v>102283</v>
      </c>
      <c r="C2576" s="207" t="s">
        <v>3194</v>
      </c>
      <c r="D2576" s="208" t="s">
        <v>664</v>
      </c>
      <c r="E2576" s="209">
        <v>10.67</v>
      </c>
      <c r="F2576" s="209">
        <v>3.27</v>
      </c>
      <c r="G2576" s="209">
        <v>13.94</v>
      </c>
      <c r="H2576" s="198"/>
    </row>
    <row r="2577" spans="1:8" ht="15.75" hidden="1" customHeight="1" x14ac:dyDescent="0.25">
      <c r="A2577" s="205" t="s">
        <v>3188</v>
      </c>
      <c r="B2577" s="206">
        <v>102291</v>
      </c>
      <c r="C2577" s="207" t="s">
        <v>3195</v>
      </c>
      <c r="D2577" s="208" t="s">
        <v>664</v>
      </c>
      <c r="E2577" s="209">
        <v>6.72</v>
      </c>
      <c r="F2577" s="209">
        <v>2.0499999999999998</v>
      </c>
      <c r="G2577" s="209">
        <v>8.77</v>
      </c>
      <c r="H2577" s="198"/>
    </row>
    <row r="2578" spans="1:8" ht="15.75" hidden="1" customHeight="1" x14ac:dyDescent="0.25">
      <c r="A2578" s="205" t="s">
        <v>3188</v>
      </c>
      <c r="B2578" s="206">
        <v>102276</v>
      </c>
      <c r="C2578" s="207" t="s">
        <v>3196</v>
      </c>
      <c r="D2578" s="208" t="s">
        <v>664</v>
      </c>
      <c r="E2578" s="209">
        <v>9.18</v>
      </c>
      <c r="F2578" s="209">
        <v>2.81</v>
      </c>
      <c r="G2578" s="209">
        <v>11.99</v>
      </c>
      <c r="H2578" s="198"/>
    </row>
    <row r="2579" spans="1:8" ht="15.75" hidden="1" customHeight="1" x14ac:dyDescent="0.25">
      <c r="A2579" s="205" t="s">
        <v>3188</v>
      </c>
      <c r="B2579" s="206">
        <v>102306</v>
      </c>
      <c r="C2579" s="207" t="s">
        <v>3197</v>
      </c>
      <c r="D2579" s="208" t="s">
        <v>664</v>
      </c>
      <c r="E2579" s="209">
        <v>11.48</v>
      </c>
      <c r="F2579" s="209">
        <v>3.52</v>
      </c>
      <c r="G2579" s="209">
        <v>15</v>
      </c>
      <c r="H2579" s="198"/>
    </row>
    <row r="2580" spans="1:8" ht="15.75" hidden="1" customHeight="1" x14ac:dyDescent="0.25">
      <c r="A2580" s="205" t="s">
        <v>3188</v>
      </c>
      <c r="B2580" s="206">
        <v>102279</v>
      </c>
      <c r="C2580" s="207" t="s">
        <v>3198</v>
      </c>
      <c r="D2580" s="208" t="s">
        <v>664</v>
      </c>
      <c r="E2580" s="209">
        <v>5.79</v>
      </c>
      <c r="F2580" s="209">
        <v>1.76</v>
      </c>
      <c r="G2580" s="209">
        <v>7.55</v>
      </c>
      <c r="H2580" s="198"/>
    </row>
    <row r="2581" spans="1:8" ht="15.75" hidden="1" customHeight="1" x14ac:dyDescent="0.25">
      <c r="A2581" s="205" t="s">
        <v>3188</v>
      </c>
      <c r="B2581" s="206">
        <v>102282</v>
      </c>
      <c r="C2581" s="207" t="s">
        <v>3199</v>
      </c>
      <c r="D2581" s="208" t="s">
        <v>664</v>
      </c>
      <c r="E2581" s="209">
        <v>12.02</v>
      </c>
      <c r="F2581" s="209">
        <v>3.68</v>
      </c>
      <c r="G2581" s="209">
        <v>15.7</v>
      </c>
      <c r="H2581" s="198"/>
    </row>
    <row r="2582" spans="1:8" ht="15.75" hidden="1" customHeight="1" x14ac:dyDescent="0.25">
      <c r="A2582" s="205" t="s">
        <v>3188</v>
      </c>
      <c r="B2582" s="206">
        <v>102290</v>
      </c>
      <c r="C2582" s="207" t="s">
        <v>3200</v>
      </c>
      <c r="D2582" s="208" t="s">
        <v>664</v>
      </c>
      <c r="E2582" s="209">
        <v>7.57</v>
      </c>
      <c r="F2582" s="209">
        <v>2.31</v>
      </c>
      <c r="G2582" s="209">
        <v>9.8800000000000008</v>
      </c>
      <c r="H2582" s="198"/>
    </row>
    <row r="2583" spans="1:8" ht="15.75" hidden="1" customHeight="1" x14ac:dyDescent="0.25">
      <c r="A2583" s="205" t="s">
        <v>3188</v>
      </c>
      <c r="B2583" s="206">
        <v>90100</v>
      </c>
      <c r="C2583" s="207" t="s">
        <v>3201</v>
      </c>
      <c r="D2583" s="208" t="s">
        <v>664</v>
      </c>
      <c r="E2583" s="209">
        <v>10.09</v>
      </c>
      <c r="F2583" s="209">
        <v>4.92</v>
      </c>
      <c r="G2583" s="209">
        <v>15.01</v>
      </c>
      <c r="H2583" s="198"/>
    </row>
    <row r="2584" spans="1:8" ht="15.75" hidden="1" customHeight="1" x14ac:dyDescent="0.25">
      <c r="A2584" s="205" t="s">
        <v>3188</v>
      </c>
      <c r="B2584" s="206">
        <v>102323</v>
      </c>
      <c r="C2584" s="207" t="s">
        <v>3202</v>
      </c>
      <c r="D2584" s="208" t="s">
        <v>664</v>
      </c>
      <c r="E2584" s="209">
        <v>12.61</v>
      </c>
      <c r="F2584" s="209">
        <v>6.16</v>
      </c>
      <c r="G2584" s="209">
        <v>18.77</v>
      </c>
      <c r="H2584" s="198"/>
    </row>
    <row r="2585" spans="1:8" ht="15.75" hidden="1" customHeight="1" x14ac:dyDescent="0.25">
      <c r="A2585" s="205" t="s">
        <v>3188</v>
      </c>
      <c r="B2585" s="206">
        <v>102327</v>
      </c>
      <c r="C2585" s="207" t="s">
        <v>3203</v>
      </c>
      <c r="D2585" s="208" t="s">
        <v>664</v>
      </c>
      <c r="E2585" s="209">
        <v>7.97</v>
      </c>
      <c r="F2585" s="209">
        <v>3.86</v>
      </c>
      <c r="G2585" s="209">
        <v>11.83</v>
      </c>
      <c r="H2585" s="198"/>
    </row>
    <row r="2586" spans="1:8" ht="15.75" hidden="1" customHeight="1" x14ac:dyDescent="0.25">
      <c r="A2586" s="205" t="s">
        <v>3188</v>
      </c>
      <c r="B2586" s="206">
        <v>102299</v>
      </c>
      <c r="C2586" s="207" t="s">
        <v>3204</v>
      </c>
      <c r="D2586" s="208" t="s">
        <v>664</v>
      </c>
      <c r="E2586" s="209">
        <v>13.2</v>
      </c>
      <c r="F2586" s="209">
        <v>6.44</v>
      </c>
      <c r="G2586" s="209">
        <v>19.64</v>
      </c>
      <c r="H2586" s="198"/>
    </row>
    <row r="2587" spans="1:8" ht="15.75" hidden="1" customHeight="1" x14ac:dyDescent="0.25">
      <c r="A2587" s="205" t="s">
        <v>3188</v>
      </c>
      <c r="B2587" s="206">
        <v>102303</v>
      </c>
      <c r="C2587" s="207" t="s">
        <v>3205</v>
      </c>
      <c r="D2587" s="208" t="s">
        <v>664</v>
      </c>
      <c r="E2587" s="209">
        <v>8.34</v>
      </c>
      <c r="F2587" s="209">
        <v>4.04</v>
      </c>
      <c r="G2587" s="209">
        <v>12.38</v>
      </c>
      <c r="H2587" s="198"/>
    </row>
    <row r="2588" spans="1:8" ht="15.75" hidden="1" customHeight="1" x14ac:dyDescent="0.25">
      <c r="A2588" s="205" t="s">
        <v>3188</v>
      </c>
      <c r="B2588" s="206">
        <v>90099</v>
      </c>
      <c r="C2588" s="207" t="s">
        <v>3206</v>
      </c>
      <c r="D2588" s="208" t="s">
        <v>664</v>
      </c>
      <c r="E2588" s="209">
        <v>11.77</v>
      </c>
      <c r="F2588" s="209">
        <v>5.75</v>
      </c>
      <c r="G2588" s="209">
        <v>17.52</v>
      </c>
      <c r="H2588" s="198"/>
    </row>
    <row r="2589" spans="1:8" ht="15.75" hidden="1" customHeight="1" x14ac:dyDescent="0.25">
      <c r="A2589" s="205" t="s">
        <v>3188</v>
      </c>
      <c r="B2589" s="206">
        <v>102322</v>
      </c>
      <c r="C2589" s="207" t="s">
        <v>3207</v>
      </c>
      <c r="D2589" s="208" t="s">
        <v>664</v>
      </c>
      <c r="E2589" s="209">
        <v>14.72</v>
      </c>
      <c r="F2589" s="209">
        <v>7.18</v>
      </c>
      <c r="G2589" s="209">
        <v>21.9</v>
      </c>
      <c r="H2589" s="198"/>
    </row>
    <row r="2590" spans="1:8" ht="15.75" hidden="1" customHeight="1" x14ac:dyDescent="0.25">
      <c r="A2590" s="205" t="s">
        <v>3188</v>
      </c>
      <c r="B2590" s="206">
        <v>102298</v>
      </c>
      <c r="C2590" s="207" t="s">
        <v>3208</v>
      </c>
      <c r="D2590" s="208" t="s">
        <v>664</v>
      </c>
      <c r="E2590" s="209">
        <v>15.4</v>
      </c>
      <c r="F2590" s="209">
        <v>7.52</v>
      </c>
      <c r="G2590" s="209">
        <v>22.92</v>
      </c>
      <c r="H2590" s="198"/>
    </row>
    <row r="2591" spans="1:8" ht="15.75" hidden="1" customHeight="1" x14ac:dyDescent="0.25">
      <c r="A2591" s="205" t="s">
        <v>3188</v>
      </c>
      <c r="B2591" s="206">
        <v>102302</v>
      </c>
      <c r="C2591" s="207" t="s">
        <v>3209</v>
      </c>
      <c r="D2591" s="208" t="s">
        <v>664</v>
      </c>
      <c r="E2591" s="209">
        <v>9.7100000000000009</v>
      </c>
      <c r="F2591" s="209">
        <v>4.7300000000000004</v>
      </c>
      <c r="G2591" s="209">
        <v>14.44</v>
      </c>
      <c r="H2591" s="198"/>
    </row>
    <row r="2592" spans="1:8" ht="15.75" hidden="1" customHeight="1" x14ac:dyDescent="0.25">
      <c r="A2592" s="205" t="s">
        <v>3188</v>
      </c>
      <c r="B2592" s="206">
        <v>102326</v>
      </c>
      <c r="C2592" s="207" t="s">
        <v>3210</v>
      </c>
      <c r="D2592" s="208" t="s">
        <v>664</v>
      </c>
      <c r="E2592" s="209">
        <v>9.2899999999999991</v>
      </c>
      <c r="F2592" s="209">
        <v>4.51</v>
      </c>
      <c r="G2592" s="209">
        <v>13.8</v>
      </c>
      <c r="H2592" s="198"/>
    </row>
    <row r="2593" spans="1:8" ht="15.75" hidden="1" customHeight="1" x14ac:dyDescent="0.25">
      <c r="A2593" s="205" t="s">
        <v>3188</v>
      </c>
      <c r="B2593" s="206">
        <v>102314</v>
      </c>
      <c r="C2593" s="207" t="s">
        <v>3211</v>
      </c>
      <c r="D2593" s="208" t="s">
        <v>664</v>
      </c>
      <c r="E2593" s="209">
        <v>7.24</v>
      </c>
      <c r="F2593" s="209">
        <v>2.21</v>
      </c>
      <c r="G2593" s="209">
        <v>9.4499999999999993</v>
      </c>
      <c r="H2593" s="198"/>
    </row>
    <row r="2594" spans="1:8" ht="15.75" hidden="1" customHeight="1" x14ac:dyDescent="0.25">
      <c r="A2594" s="205" t="s">
        <v>3188</v>
      </c>
      <c r="B2594" s="206">
        <v>102312</v>
      </c>
      <c r="C2594" s="207" t="s">
        <v>3212</v>
      </c>
      <c r="D2594" s="208" t="s">
        <v>664</v>
      </c>
      <c r="E2594" s="209">
        <v>9.5</v>
      </c>
      <c r="F2594" s="209">
        <v>2.46</v>
      </c>
      <c r="G2594" s="209">
        <v>11.96</v>
      </c>
      <c r="H2594" s="198"/>
    </row>
    <row r="2595" spans="1:8" ht="15.75" hidden="1" customHeight="1" x14ac:dyDescent="0.25">
      <c r="A2595" s="205" t="s">
        <v>3188</v>
      </c>
      <c r="B2595" s="206">
        <v>102288</v>
      </c>
      <c r="C2595" s="207" t="s">
        <v>3213</v>
      </c>
      <c r="D2595" s="208" t="s">
        <v>664</v>
      </c>
      <c r="E2595" s="209">
        <v>9.94</v>
      </c>
      <c r="F2595" s="209">
        <v>2.57</v>
      </c>
      <c r="G2595" s="209">
        <v>12.51</v>
      </c>
      <c r="H2595" s="198"/>
    </row>
    <row r="2596" spans="1:8" ht="15.75" hidden="1" customHeight="1" x14ac:dyDescent="0.25">
      <c r="A2596" s="205" t="s">
        <v>3188</v>
      </c>
      <c r="B2596" s="206">
        <v>90087</v>
      </c>
      <c r="C2596" s="207" t="s">
        <v>3214</v>
      </c>
      <c r="D2596" s="208" t="s">
        <v>664</v>
      </c>
      <c r="E2596" s="209">
        <v>7.59</v>
      </c>
      <c r="F2596" s="209">
        <v>1.97</v>
      </c>
      <c r="G2596" s="209">
        <v>9.56</v>
      </c>
      <c r="H2596" s="198"/>
    </row>
    <row r="2597" spans="1:8" ht="15.75" hidden="1" customHeight="1" x14ac:dyDescent="0.25">
      <c r="A2597" s="205" t="s">
        <v>3188</v>
      </c>
      <c r="B2597" s="206">
        <v>102308</v>
      </c>
      <c r="C2597" s="207" t="s">
        <v>3215</v>
      </c>
      <c r="D2597" s="208" t="s">
        <v>664</v>
      </c>
      <c r="E2597" s="209">
        <v>9.8699999999999992</v>
      </c>
      <c r="F2597" s="209">
        <v>3.03</v>
      </c>
      <c r="G2597" s="209">
        <v>12.9</v>
      </c>
      <c r="H2597" s="198"/>
    </row>
    <row r="2598" spans="1:8" ht="15.75" hidden="1" customHeight="1" x14ac:dyDescent="0.25">
      <c r="A2598" s="205" t="s">
        <v>3188</v>
      </c>
      <c r="B2598" s="206">
        <v>90084</v>
      </c>
      <c r="C2598" s="207" t="s">
        <v>3216</v>
      </c>
      <c r="D2598" s="208" t="s">
        <v>664</v>
      </c>
      <c r="E2598" s="209">
        <v>7.9</v>
      </c>
      <c r="F2598" s="209">
        <v>2.41</v>
      </c>
      <c r="G2598" s="209">
        <v>10.31</v>
      </c>
      <c r="H2598" s="198"/>
    </row>
    <row r="2599" spans="1:8" ht="15.75" hidden="1" customHeight="1" x14ac:dyDescent="0.25">
      <c r="A2599" s="205" t="s">
        <v>3188</v>
      </c>
      <c r="B2599" s="206">
        <v>102284</v>
      </c>
      <c r="C2599" s="207" t="s">
        <v>3217</v>
      </c>
      <c r="D2599" s="208" t="s">
        <v>664</v>
      </c>
      <c r="E2599" s="209">
        <v>10.34</v>
      </c>
      <c r="F2599" s="209">
        <v>3.16</v>
      </c>
      <c r="G2599" s="209">
        <v>13.5</v>
      </c>
      <c r="H2599" s="198"/>
    </row>
    <row r="2600" spans="1:8" ht="15.75" hidden="1" customHeight="1" x14ac:dyDescent="0.25">
      <c r="A2600" s="205" t="s">
        <v>3188</v>
      </c>
      <c r="B2600" s="206">
        <v>102325</v>
      </c>
      <c r="C2600" s="207" t="s">
        <v>3218</v>
      </c>
      <c r="D2600" s="208" t="s">
        <v>664</v>
      </c>
      <c r="E2600" s="209">
        <v>11.42</v>
      </c>
      <c r="F2600" s="209">
        <v>5.55</v>
      </c>
      <c r="G2600" s="209">
        <v>16.97</v>
      </c>
      <c r="H2600" s="198"/>
    </row>
    <row r="2601" spans="1:8" ht="15.75" hidden="1" customHeight="1" x14ac:dyDescent="0.25">
      <c r="A2601" s="205" t="s">
        <v>3188</v>
      </c>
      <c r="B2601" s="206">
        <v>102329</v>
      </c>
      <c r="C2601" s="207" t="s">
        <v>3219</v>
      </c>
      <c r="D2601" s="208" t="s">
        <v>664</v>
      </c>
      <c r="E2601" s="209">
        <v>7.2</v>
      </c>
      <c r="F2601" s="209">
        <v>3.5</v>
      </c>
      <c r="G2601" s="209">
        <v>10.7</v>
      </c>
      <c r="H2601" s="198"/>
    </row>
    <row r="2602" spans="1:8" ht="15.75" hidden="1" customHeight="1" x14ac:dyDescent="0.25">
      <c r="A2602" s="205" t="s">
        <v>3188</v>
      </c>
      <c r="B2602" s="206">
        <v>102301</v>
      </c>
      <c r="C2602" s="207" t="s">
        <v>3220</v>
      </c>
      <c r="D2602" s="208" t="s">
        <v>664</v>
      </c>
      <c r="E2602" s="209">
        <v>11.94</v>
      </c>
      <c r="F2602" s="209">
        <v>5.83</v>
      </c>
      <c r="G2602" s="209">
        <v>17.77</v>
      </c>
      <c r="H2602" s="198"/>
    </row>
    <row r="2603" spans="1:8" ht="15.75" hidden="1" customHeight="1" x14ac:dyDescent="0.25">
      <c r="A2603" s="205" t="s">
        <v>3188</v>
      </c>
      <c r="B2603" s="206">
        <v>102305</v>
      </c>
      <c r="C2603" s="207" t="s">
        <v>3221</v>
      </c>
      <c r="D2603" s="208" t="s">
        <v>664</v>
      </c>
      <c r="E2603" s="209">
        <v>7.52</v>
      </c>
      <c r="F2603" s="209">
        <v>3.67</v>
      </c>
      <c r="G2603" s="209">
        <v>11.19</v>
      </c>
      <c r="H2603" s="198"/>
    </row>
    <row r="2604" spans="1:8" ht="15.75" hidden="1" customHeight="1" x14ac:dyDescent="0.25">
      <c r="A2604" s="205" t="s">
        <v>3188</v>
      </c>
      <c r="B2604" s="206">
        <v>90101</v>
      </c>
      <c r="C2604" s="207" t="s">
        <v>3222</v>
      </c>
      <c r="D2604" s="208" t="s">
        <v>664</v>
      </c>
      <c r="E2604" s="209">
        <v>9.98</v>
      </c>
      <c r="F2604" s="209">
        <v>4.8499999999999996</v>
      </c>
      <c r="G2604" s="209">
        <v>14.83</v>
      </c>
      <c r="H2604" s="198"/>
    </row>
    <row r="2605" spans="1:8" ht="15.75" hidden="1" customHeight="1" x14ac:dyDescent="0.25">
      <c r="A2605" s="205" t="s">
        <v>3188</v>
      </c>
      <c r="B2605" s="206">
        <v>102324</v>
      </c>
      <c r="C2605" s="207" t="s">
        <v>3223</v>
      </c>
      <c r="D2605" s="208" t="s">
        <v>664</v>
      </c>
      <c r="E2605" s="209">
        <v>12.47</v>
      </c>
      <c r="F2605" s="209">
        <v>6.08</v>
      </c>
      <c r="G2605" s="209">
        <v>18.55</v>
      </c>
      <c r="H2605" s="198"/>
    </row>
    <row r="2606" spans="1:8" ht="15.75" hidden="1" customHeight="1" x14ac:dyDescent="0.25">
      <c r="A2606" s="205" t="s">
        <v>3188</v>
      </c>
      <c r="B2606" s="206">
        <v>102300</v>
      </c>
      <c r="C2606" s="207" t="s">
        <v>3224</v>
      </c>
      <c r="D2606" s="208" t="s">
        <v>664</v>
      </c>
      <c r="E2606" s="209">
        <v>13.04</v>
      </c>
      <c r="F2606" s="209">
        <v>6.37</v>
      </c>
      <c r="G2606" s="209">
        <v>19.41</v>
      </c>
      <c r="H2606" s="198"/>
    </row>
    <row r="2607" spans="1:8" ht="15.75" hidden="1" customHeight="1" x14ac:dyDescent="0.25">
      <c r="A2607" s="205" t="s">
        <v>3188</v>
      </c>
      <c r="B2607" s="206">
        <v>90102</v>
      </c>
      <c r="C2607" s="207" t="s">
        <v>3225</v>
      </c>
      <c r="D2607" s="208" t="s">
        <v>664</v>
      </c>
      <c r="E2607" s="209">
        <v>9.14</v>
      </c>
      <c r="F2607" s="209">
        <v>4.4400000000000004</v>
      </c>
      <c r="G2607" s="209">
        <v>13.58</v>
      </c>
      <c r="H2607" s="198"/>
    </row>
    <row r="2608" spans="1:8" ht="15.75" hidden="1" customHeight="1" x14ac:dyDescent="0.25">
      <c r="A2608" s="205" t="s">
        <v>3188</v>
      </c>
      <c r="B2608" s="206">
        <v>102328</v>
      </c>
      <c r="C2608" s="207" t="s">
        <v>3226</v>
      </c>
      <c r="D2608" s="208" t="s">
        <v>664</v>
      </c>
      <c r="E2608" s="209">
        <v>7.86</v>
      </c>
      <c r="F2608" s="209">
        <v>3.82</v>
      </c>
      <c r="G2608" s="209">
        <v>11.68</v>
      </c>
      <c r="H2608" s="198"/>
    </row>
    <row r="2609" spans="1:8" ht="15.75" hidden="1" customHeight="1" x14ac:dyDescent="0.25">
      <c r="A2609" s="205" t="s">
        <v>3188</v>
      </c>
      <c r="B2609" s="206">
        <v>102304</v>
      </c>
      <c r="C2609" s="207" t="s">
        <v>3227</v>
      </c>
      <c r="D2609" s="208" t="s">
        <v>664</v>
      </c>
      <c r="E2609" s="209">
        <v>8.23</v>
      </c>
      <c r="F2609" s="209">
        <v>4</v>
      </c>
      <c r="G2609" s="209">
        <v>12.23</v>
      </c>
      <c r="H2609" s="198"/>
    </row>
    <row r="2610" spans="1:8" ht="15.75" hidden="1" customHeight="1" x14ac:dyDescent="0.25">
      <c r="A2610" s="205" t="s">
        <v>3188</v>
      </c>
      <c r="B2610" s="206">
        <v>102295</v>
      </c>
      <c r="C2610" s="207" t="s">
        <v>3228</v>
      </c>
      <c r="D2610" s="208" t="s">
        <v>664</v>
      </c>
      <c r="E2610" s="209">
        <v>6.51</v>
      </c>
      <c r="F2610" s="209">
        <v>1.69</v>
      </c>
      <c r="G2610" s="209">
        <v>8.1999999999999993</v>
      </c>
      <c r="H2610" s="198"/>
    </row>
    <row r="2611" spans="1:8" ht="15.75" hidden="1" customHeight="1" x14ac:dyDescent="0.25">
      <c r="A2611" s="205" t="s">
        <v>3188</v>
      </c>
      <c r="B2611" s="206">
        <v>102281</v>
      </c>
      <c r="C2611" s="207" t="s">
        <v>3229</v>
      </c>
      <c r="D2611" s="208" t="s">
        <v>664</v>
      </c>
      <c r="E2611" s="209">
        <v>5</v>
      </c>
      <c r="F2611" s="209">
        <v>1.27</v>
      </c>
      <c r="G2611" s="209">
        <v>6.27</v>
      </c>
      <c r="H2611" s="198"/>
    </row>
    <row r="2612" spans="1:8" ht="15.75" hidden="1" customHeight="1" x14ac:dyDescent="0.25">
      <c r="A2612" s="205" t="s">
        <v>3188</v>
      </c>
      <c r="B2612" s="206">
        <v>102311</v>
      </c>
      <c r="C2612" s="207" t="s">
        <v>3230</v>
      </c>
      <c r="D2612" s="208" t="s">
        <v>664</v>
      </c>
      <c r="E2612" s="209">
        <v>9.86</v>
      </c>
      <c r="F2612" s="209">
        <v>2.57</v>
      </c>
      <c r="G2612" s="209">
        <v>12.43</v>
      </c>
      <c r="H2612" s="198"/>
    </row>
    <row r="2613" spans="1:8" ht="15.75" hidden="1" customHeight="1" x14ac:dyDescent="0.25">
      <c r="A2613" s="205" t="s">
        <v>3188</v>
      </c>
      <c r="B2613" s="206">
        <v>102319</v>
      </c>
      <c r="C2613" s="207" t="s">
        <v>3231</v>
      </c>
      <c r="D2613" s="208" t="s">
        <v>664</v>
      </c>
      <c r="E2613" s="209">
        <v>6.21</v>
      </c>
      <c r="F2613" s="209">
        <v>1.61</v>
      </c>
      <c r="G2613" s="209">
        <v>7.82</v>
      </c>
      <c r="H2613" s="198"/>
    </row>
    <row r="2614" spans="1:8" ht="15.75" hidden="1" customHeight="1" x14ac:dyDescent="0.25">
      <c r="A2614" s="205" t="s">
        <v>3188</v>
      </c>
      <c r="B2614" s="206">
        <v>102287</v>
      </c>
      <c r="C2614" s="207" t="s">
        <v>3232</v>
      </c>
      <c r="D2614" s="208" t="s">
        <v>664</v>
      </c>
      <c r="E2614" s="209">
        <v>10.32</v>
      </c>
      <c r="F2614" s="209">
        <v>2.69</v>
      </c>
      <c r="G2614" s="209">
        <v>13.01</v>
      </c>
      <c r="H2614" s="198"/>
    </row>
    <row r="2615" spans="1:8" ht="15.75" hidden="1" customHeight="1" x14ac:dyDescent="0.25">
      <c r="A2615" s="205" t="s">
        <v>3188</v>
      </c>
      <c r="B2615" s="206">
        <v>102316</v>
      </c>
      <c r="C2615" s="207" t="s">
        <v>3233</v>
      </c>
      <c r="D2615" s="208" t="s">
        <v>664</v>
      </c>
      <c r="E2615" s="209">
        <v>6.22</v>
      </c>
      <c r="F2615" s="209">
        <v>1.9</v>
      </c>
      <c r="G2615" s="209">
        <v>8.1199999999999992</v>
      </c>
      <c r="H2615" s="198"/>
    </row>
    <row r="2616" spans="1:8" ht="15.75" hidden="1" customHeight="1" x14ac:dyDescent="0.25">
      <c r="A2616" s="205" t="s">
        <v>3188</v>
      </c>
      <c r="B2616" s="206">
        <v>102292</v>
      </c>
      <c r="C2616" s="207" t="s">
        <v>3234</v>
      </c>
      <c r="D2616" s="208" t="s">
        <v>664</v>
      </c>
      <c r="E2616" s="209">
        <v>6.5</v>
      </c>
      <c r="F2616" s="209">
        <v>2</v>
      </c>
      <c r="G2616" s="209">
        <v>8.5</v>
      </c>
      <c r="H2616" s="198"/>
    </row>
    <row r="2617" spans="1:8" ht="15.75" hidden="1" customHeight="1" x14ac:dyDescent="0.25">
      <c r="A2617" s="205" t="s">
        <v>3188</v>
      </c>
      <c r="B2617" s="206">
        <v>90092</v>
      </c>
      <c r="C2617" s="207" t="s">
        <v>3235</v>
      </c>
      <c r="D2617" s="208" t="s">
        <v>664</v>
      </c>
      <c r="E2617" s="209">
        <v>4.9800000000000004</v>
      </c>
      <c r="F2617" s="209">
        <v>1.51</v>
      </c>
      <c r="G2617" s="209">
        <v>6.49</v>
      </c>
      <c r="H2617" s="198"/>
    </row>
    <row r="2618" spans="1:8" ht="15.75" hidden="1" customHeight="1" x14ac:dyDescent="0.25">
      <c r="A2618" s="205" t="s">
        <v>3188</v>
      </c>
      <c r="B2618" s="206">
        <v>102278</v>
      </c>
      <c r="C2618" s="207" t="s">
        <v>3236</v>
      </c>
      <c r="D2618" s="208" t="s">
        <v>664</v>
      </c>
      <c r="E2618" s="209">
        <v>7.9</v>
      </c>
      <c r="F2618" s="209">
        <v>2.04</v>
      </c>
      <c r="G2618" s="209">
        <v>9.94</v>
      </c>
      <c r="H2618" s="198"/>
    </row>
    <row r="2619" spans="1:8" ht="15.75" hidden="1" customHeight="1" x14ac:dyDescent="0.25">
      <c r="A2619" s="205" t="s">
        <v>3188</v>
      </c>
      <c r="B2619" s="206">
        <v>90094</v>
      </c>
      <c r="C2619" s="207" t="s">
        <v>3237</v>
      </c>
      <c r="D2619" s="208" t="s">
        <v>664</v>
      </c>
      <c r="E2619" s="209">
        <v>4.7300000000000004</v>
      </c>
      <c r="F2619" s="209">
        <v>1.42</v>
      </c>
      <c r="G2619" s="209">
        <v>6.15</v>
      </c>
      <c r="H2619" s="198"/>
    </row>
    <row r="2620" spans="1:8" ht="15.75" hidden="1" customHeight="1" x14ac:dyDescent="0.25">
      <c r="A2620" s="205" t="s">
        <v>3188</v>
      </c>
      <c r="B2620" s="206">
        <v>102309</v>
      </c>
      <c r="C2620" s="207" t="s">
        <v>3238</v>
      </c>
      <c r="D2620" s="208" t="s">
        <v>664</v>
      </c>
      <c r="E2620" s="209">
        <v>9.35</v>
      </c>
      <c r="F2620" s="209">
        <v>2.85</v>
      </c>
      <c r="G2620" s="209">
        <v>12.2</v>
      </c>
      <c r="H2620" s="198"/>
    </row>
    <row r="2621" spans="1:8" ht="15.75" hidden="1" customHeight="1" x14ac:dyDescent="0.25">
      <c r="A2621" s="205" t="s">
        <v>3188</v>
      </c>
      <c r="B2621" s="206">
        <v>102285</v>
      </c>
      <c r="C2621" s="207" t="s">
        <v>3239</v>
      </c>
      <c r="D2621" s="208" t="s">
        <v>664</v>
      </c>
      <c r="E2621" s="209">
        <v>9.77</v>
      </c>
      <c r="F2621" s="209">
        <v>2.99</v>
      </c>
      <c r="G2621" s="209">
        <v>12.76</v>
      </c>
      <c r="H2621" s="198"/>
    </row>
    <row r="2622" spans="1:8" ht="15.75" hidden="1" customHeight="1" x14ac:dyDescent="0.25">
      <c r="A2622" s="205" t="s">
        <v>3188</v>
      </c>
      <c r="B2622" s="206">
        <v>90095</v>
      </c>
      <c r="C2622" s="207" t="s">
        <v>3240</v>
      </c>
      <c r="D2622" s="208" t="s">
        <v>664</v>
      </c>
      <c r="E2622" s="209">
        <v>4.78</v>
      </c>
      <c r="F2622" s="209">
        <v>1.24</v>
      </c>
      <c r="G2622" s="209">
        <v>6.02</v>
      </c>
      <c r="H2622" s="198"/>
    </row>
    <row r="2623" spans="1:8" ht="15.75" hidden="1" customHeight="1" x14ac:dyDescent="0.25">
      <c r="A2623" s="205" t="s">
        <v>3188</v>
      </c>
      <c r="B2623" s="206">
        <v>102320</v>
      </c>
      <c r="C2623" s="207" t="s">
        <v>3241</v>
      </c>
      <c r="D2623" s="208" t="s">
        <v>664</v>
      </c>
      <c r="E2623" s="209">
        <v>6</v>
      </c>
      <c r="F2623" s="209">
        <v>1.53</v>
      </c>
      <c r="G2623" s="209">
        <v>7.53</v>
      </c>
      <c r="H2623" s="198"/>
    </row>
    <row r="2624" spans="1:8" ht="15.75" hidden="1" customHeight="1" x14ac:dyDescent="0.25">
      <c r="A2624" s="205" t="s">
        <v>3188</v>
      </c>
      <c r="B2624" s="206">
        <v>102296</v>
      </c>
      <c r="C2624" s="207" t="s">
        <v>3242</v>
      </c>
      <c r="D2624" s="208" t="s">
        <v>664</v>
      </c>
      <c r="E2624" s="209">
        <v>6.28</v>
      </c>
      <c r="F2624" s="209">
        <v>1.6</v>
      </c>
      <c r="G2624" s="209">
        <v>7.88</v>
      </c>
      <c r="H2624" s="198"/>
    </row>
    <row r="2625" spans="1:8" ht="15.75" hidden="1" customHeight="1" x14ac:dyDescent="0.25">
      <c r="A2625" s="205" t="s">
        <v>3188</v>
      </c>
      <c r="B2625" s="206">
        <v>90086</v>
      </c>
      <c r="C2625" s="207" t="s">
        <v>3243</v>
      </c>
      <c r="D2625" s="208" t="s">
        <v>664</v>
      </c>
      <c r="E2625" s="209">
        <v>7.46</v>
      </c>
      <c r="F2625" s="209">
        <v>2.29</v>
      </c>
      <c r="G2625" s="209">
        <v>9.75</v>
      </c>
      <c r="H2625" s="198"/>
    </row>
    <row r="2626" spans="1:8" ht="15.75" hidden="1" customHeight="1" x14ac:dyDescent="0.25">
      <c r="A2626" s="205" t="s">
        <v>3188</v>
      </c>
      <c r="B2626" s="206">
        <v>102277</v>
      </c>
      <c r="C2626" s="207" t="s">
        <v>3244</v>
      </c>
      <c r="D2626" s="208" t="s">
        <v>664</v>
      </c>
      <c r="E2626" s="209">
        <v>7.26</v>
      </c>
      <c r="F2626" s="209">
        <v>2.21</v>
      </c>
      <c r="G2626" s="209">
        <v>9.4700000000000006</v>
      </c>
      <c r="H2626" s="198"/>
    </row>
    <row r="2627" spans="1:8" ht="15.75" hidden="1" customHeight="1" x14ac:dyDescent="0.25">
      <c r="A2627" s="205" t="s">
        <v>3188</v>
      </c>
      <c r="B2627" s="206">
        <v>102286</v>
      </c>
      <c r="C2627" s="207" t="s">
        <v>3245</v>
      </c>
      <c r="D2627" s="208" t="s">
        <v>664</v>
      </c>
      <c r="E2627" s="209">
        <v>9.49</v>
      </c>
      <c r="F2627" s="209">
        <v>2.91</v>
      </c>
      <c r="G2627" s="209">
        <v>12.4</v>
      </c>
      <c r="H2627" s="198"/>
    </row>
    <row r="2628" spans="1:8" ht="15.75" hidden="1" customHeight="1" x14ac:dyDescent="0.25">
      <c r="A2628" s="205" t="s">
        <v>3188</v>
      </c>
      <c r="B2628" s="206">
        <v>90098</v>
      </c>
      <c r="C2628" s="207" t="s">
        <v>3246</v>
      </c>
      <c r="D2628" s="208" t="s">
        <v>664</v>
      </c>
      <c r="E2628" s="209">
        <v>4.6900000000000004</v>
      </c>
      <c r="F2628" s="209">
        <v>1.2</v>
      </c>
      <c r="G2628" s="209">
        <v>5.89</v>
      </c>
      <c r="H2628" s="198"/>
    </row>
    <row r="2629" spans="1:8" ht="15.75" hidden="1" customHeight="1" x14ac:dyDescent="0.25">
      <c r="A2629" s="205" t="s">
        <v>3188</v>
      </c>
      <c r="B2629" s="206">
        <v>102313</v>
      </c>
      <c r="C2629" s="207" t="s">
        <v>3247</v>
      </c>
      <c r="D2629" s="208" t="s">
        <v>664</v>
      </c>
      <c r="E2629" s="209">
        <v>9.3000000000000007</v>
      </c>
      <c r="F2629" s="209">
        <v>2.42</v>
      </c>
      <c r="G2629" s="209">
        <v>11.72</v>
      </c>
      <c r="H2629" s="198"/>
    </row>
    <row r="2630" spans="1:8" ht="15.75" hidden="1" customHeight="1" x14ac:dyDescent="0.25">
      <c r="A2630" s="205" t="s">
        <v>3188</v>
      </c>
      <c r="B2630" s="206">
        <v>102321</v>
      </c>
      <c r="C2630" s="207" t="s">
        <v>3248</v>
      </c>
      <c r="D2630" s="208" t="s">
        <v>664</v>
      </c>
      <c r="E2630" s="209">
        <v>5.88</v>
      </c>
      <c r="F2630" s="209">
        <v>1.5</v>
      </c>
      <c r="G2630" s="209">
        <v>7.38</v>
      </c>
      <c r="H2630" s="198"/>
    </row>
    <row r="2631" spans="1:8" ht="15.75" hidden="1" customHeight="1" x14ac:dyDescent="0.25">
      <c r="A2631" s="205" t="s">
        <v>3188</v>
      </c>
      <c r="B2631" s="206">
        <v>102289</v>
      </c>
      <c r="C2631" s="207" t="s">
        <v>3249</v>
      </c>
      <c r="D2631" s="208" t="s">
        <v>664</v>
      </c>
      <c r="E2631" s="209">
        <v>9.73</v>
      </c>
      <c r="F2631" s="209">
        <v>2.5299999999999998</v>
      </c>
      <c r="G2631" s="209">
        <v>12.26</v>
      </c>
      <c r="H2631" s="198"/>
    </row>
    <row r="2632" spans="1:8" ht="15.75" hidden="1" customHeight="1" x14ac:dyDescent="0.25">
      <c r="A2632" s="205" t="s">
        <v>3188</v>
      </c>
      <c r="B2632" s="206">
        <v>102297</v>
      </c>
      <c r="C2632" s="207" t="s">
        <v>3250</v>
      </c>
      <c r="D2632" s="208" t="s">
        <v>664</v>
      </c>
      <c r="E2632" s="209">
        <v>6.14</v>
      </c>
      <c r="F2632" s="209">
        <v>1.58</v>
      </c>
      <c r="G2632" s="209">
        <v>7.72</v>
      </c>
      <c r="H2632" s="198"/>
    </row>
    <row r="2633" spans="1:8" ht="15.75" hidden="1" customHeight="1" x14ac:dyDescent="0.25">
      <c r="A2633" s="205" t="s">
        <v>3188</v>
      </c>
      <c r="B2633" s="206">
        <v>102280</v>
      </c>
      <c r="C2633" s="207" t="s">
        <v>3251</v>
      </c>
      <c r="D2633" s="208" t="s">
        <v>664</v>
      </c>
      <c r="E2633" s="209">
        <v>4.59</v>
      </c>
      <c r="F2633" s="209">
        <v>1.38</v>
      </c>
      <c r="G2633" s="209">
        <v>5.97</v>
      </c>
      <c r="H2633" s="198"/>
    </row>
    <row r="2634" spans="1:8" ht="15.75" hidden="1" customHeight="1" x14ac:dyDescent="0.25">
      <c r="A2634" s="205" t="s">
        <v>3188</v>
      </c>
      <c r="B2634" s="206">
        <v>102294</v>
      </c>
      <c r="C2634" s="207" t="s">
        <v>3252</v>
      </c>
      <c r="D2634" s="208" t="s">
        <v>664</v>
      </c>
      <c r="E2634" s="209">
        <v>5.99</v>
      </c>
      <c r="F2634" s="209">
        <v>1.82</v>
      </c>
      <c r="G2634" s="209">
        <v>7.81</v>
      </c>
      <c r="H2634" s="198"/>
    </row>
    <row r="2635" spans="1:8" ht="15.75" hidden="1" customHeight="1" x14ac:dyDescent="0.25">
      <c r="A2635" s="205" t="s">
        <v>3188</v>
      </c>
      <c r="B2635" s="206">
        <v>90090</v>
      </c>
      <c r="C2635" s="207" t="s">
        <v>3253</v>
      </c>
      <c r="D2635" s="208" t="s">
        <v>664</v>
      </c>
      <c r="E2635" s="209">
        <v>7.44</v>
      </c>
      <c r="F2635" s="209">
        <v>1.93</v>
      </c>
      <c r="G2635" s="209">
        <v>9.3699999999999992</v>
      </c>
      <c r="H2635" s="198"/>
    </row>
    <row r="2636" spans="1:8" ht="15.75" hidden="1" customHeight="1" x14ac:dyDescent="0.25">
      <c r="A2636" s="205" t="s">
        <v>3188</v>
      </c>
      <c r="B2636" s="206">
        <v>102317</v>
      </c>
      <c r="C2636" s="207" t="s">
        <v>3254</v>
      </c>
      <c r="D2636" s="208" t="s">
        <v>664</v>
      </c>
      <c r="E2636" s="209">
        <v>5.88</v>
      </c>
      <c r="F2636" s="209">
        <v>1.8</v>
      </c>
      <c r="G2636" s="209">
        <v>7.68</v>
      </c>
      <c r="H2636" s="198"/>
    </row>
    <row r="2637" spans="1:8" ht="15.75" hidden="1" customHeight="1" x14ac:dyDescent="0.25">
      <c r="A2637" s="205" t="s">
        <v>3188</v>
      </c>
      <c r="B2637" s="206">
        <v>102293</v>
      </c>
      <c r="C2637" s="207" t="s">
        <v>3255</v>
      </c>
      <c r="D2637" s="208" t="s">
        <v>664</v>
      </c>
      <c r="E2637" s="209">
        <v>6.17</v>
      </c>
      <c r="F2637" s="209">
        <v>1.87</v>
      </c>
      <c r="G2637" s="209">
        <v>8.0399999999999991</v>
      </c>
      <c r="H2637" s="198"/>
    </row>
    <row r="2638" spans="1:8" ht="15.75" hidden="1" customHeight="1" x14ac:dyDescent="0.25">
      <c r="A2638" s="205" t="s">
        <v>3188</v>
      </c>
      <c r="B2638" s="206">
        <v>102310</v>
      </c>
      <c r="C2638" s="207" t="s">
        <v>3256</v>
      </c>
      <c r="D2638" s="208" t="s">
        <v>664</v>
      </c>
      <c r="E2638" s="209">
        <v>9.07</v>
      </c>
      <c r="F2638" s="209">
        <v>2.78</v>
      </c>
      <c r="G2638" s="209">
        <v>11.85</v>
      </c>
      <c r="H2638" s="198"/>
    </row>
    <row r="2639" spans="1:8" ht="15.75" hidden="1" customHeight="1" x14ac:dyDescent="0.25">
      <c r="A2639" s="205" t="s">
        <v>3188</v>
      </c>
      <c r="B2639" s="206">
        <v>102318</v>
      </c>
      <c r="C2639" s="207" t="s">
        <v>3257</v>
      </c>
      <c r="D2639" s="208" t="s">
        <v>664</v>
      </c>
      <c r="E2639" s="209">
        <v>5.71</v>
      </c>
      <c r="F2639" s="209">
        <v>1.75</v>
      </c>
      <c r="G2639" s="209">
        <v>7.46</v>
      </c>
      <c r="H2639" s="198"/>
    </row>
    <row r="2640" spans="1:8" ht="15.75" hidden="1" customHeight="1" x14ac:dyDescent="0.25">
      <c r="A2640" s="205" t="s">
        <v>3188</v>
      </c>
      <c r="B2640" s="206">
        <v>90106</v>
      </c>
      <c r="C2640" s="207" t="s">
        <v>3258</v>
      </c>
      <c r="D2640" s="208" t="s">
        <v>664</v>
      </c>
      <c r="E2640" s="209">
        <v>6.36</v>
      </c>
      <c r="F2640" s="209">
        <v>3.09</v>
      </c>
      <c r="G2640" s="209">
        <v>9.4499999999999993</v>
      </c>
      <c r="H2640" s="198"/>
    </row>
    <row r="2641" spans="1:8" ht="15.75" hidden="1" customHeight="1" x14ac:dyDescent="0.25">
      <c r="A2641" s="205" t="s">
        <v>3188</v>
      </c>
      <c r="B2641" s="206">
        <v>90105</v>
      </c>
      <c r="C2641" s="207" t="s">
        <v>3259</v>
      </c>
      <c r="D2641" s="208" t="s">
        <v>664</v>
      </c>
      <c r="E2641" s="209">
        <v>6.94</v>
      </c>
      <c r="F2641" s="209">
        <v>3.46</v>
      </c>
      <c r="G2641" s="209">
        <v>10.4</v>
      </c>
      <c r="H2641" s="198"/>
    </row>
    <row r="2642" spans="1:8" ht="15.75" hidden="1" customHeight="1" x14ac:dyDescent="0.25">
      <c r="A2642" s="205" t="s">
        <v>3188</v>
      </c>
      <c r="B2642" s="206">
        <v>90108</v>
      </c>
      <c r="C2642" s="207" t="s">
        <v>3260</v>
      </c>
      <c r="D2642" s="208" t="s">
        <v>664</v>
      </c>
      <c r="E2642" s="209">
        <v>5.74</v>
      </c>
      <c r="F2642" s="209">
        <v>2.81</v>
      </c>
      <c r="G2642" s="209">
        <v>8.5500000000000007</v>
      </c>
      <c r="H2642" s="198"/>
    </row>
    <row r="2643" spans="1:8" ht="15.75" hidden="1" customHeight="1" x14ac:dyDescent="0.25">
      <c r="A2643" s="205" t="s">
        <v>3188</v>
      </c>
      <c r="B2643" s="206">
        <v>90107</v>
      </c>
      <c r="C2643" s="207" t="s">
        <v>3261</v>
      </c>
      <c r="D2643" s="208" t="s">
        <v>664</v>
      </c>
      <c r="E2643" s="209">
        <v>6.29</v>
      </c>
      <c r="F2643" s="209">
        <v>3.05</v>
      </c>
      <c r="G2643" s="209">
        <v>9.34</v>
      </c>
      <c r="H2643" s="198"/>
    </row>
    <row r="2644" spans="1:8" ht="15.75" hidden="1" customHeight="1" x14ac:dyDescent="0.25">
      <c r="A2644" s="205" t="s">
        <v>3262</v>
      </c>
      <c r="B2644" s="206">
        <v>102354</v>
      </c>
      <c r="C2644" s="207" t="s">
        <v>3263</v>
      </c>
      <c r="D2644" s="208" t="s">
        <v>664</v>
      </c>
      <c r="E2644" s="209">
        <v>120.32</v>
      </c>
      <c r="F2644" s="209">
        <v>59.79</v>
      </c>
      <c r="G2644" s="209">
        <v>180.11</v>
      </c>
      <c r="H2644" s="198"/>
    </row>
    <row r="2645" spans="1:8" ht="15.75" hidden="1" customHeight="1" x14ac:dyDescent="0.25">
      <c r="A2645" s="205" t="s">
        <v>3262</v>
      </c>
      <c r="B2645" s="206">
        <v>102355</v>
      </c>
      <c r="C2645" s="207" t="s">
        <v>3264</v>
      </c>
      <c r="D2645" s="208" t="s">
        <v>664</v>
      </c>
      <c r="E2645" s="209">
        <v>134.35</v>
      </c>
      <c r="F2645" s="209">
        <v>79.819999999999993</v>
      </c>
      <c r="G2645" s="209">
        <v>214.17</v>
      </c>
      <c r="H2645" s="198"/>
    </row>
    <row r="2646" spans="1:8" ht="15.75" hidden="1" customHeight="1" x14ac:dyDescent="0.25">
      <c r="A2646" s="205" t="s">
        <v>3262</v>
      </c>
      <c r="B2646" s="206">
        <v>102360</v>
      </c>
      <c r="C2646" s="207" t="s">
        <v>3265</v>
      </c>
      <c r="D2646" s="208" t="s">
        <v>664</v>
      </c>
      <c r="E2646" s="209">
        <v>20.45</v>
      </c>
      <c r="F2646" s="209">
        <v>6.75</v>
      </c>
      <c r="G2646" s="209">
        <v>27.2</v>
      </c>
      <c r="H2646" s="198"/>
    </row>
    <row r="2647" spans="1:8" ht="15.75" hidden="1" customHeight="1" x14ac:dyDescent="0.25">
      <c r="A2647" s="205" t="s">
        <v>3262</v>
      </c>
      <c r="B2647" s="206">
        <v>102361</v>
      </c>
      <c r="C2647" s="207" t="s">
        <v>3266</v>
      </c>
      <c r="D2647" s="208" t="s">
        <v>664</v>
      </c>
      <c r="E2647" s="209">
        <v>27.96</v>
      </c>
      <c r="F2647" s="209">
        <v>14.42</v>
      </c>
      <c r="G2647" s="209">
        <v>42.38</v>
      </c>
      <c r="H2647" s="198"/>
    </row>
    <row r="2648" spans="1:8" ht="15.75" hidden="1" customHeight="1" x14ac:dyDescent="0.25">
      <c r="A2648" s="205" t="s">
        <v>3267</v>
      </c>
      <c r="B2648" s="206">
        <v>101601</v>
      </c>
      <c r="C2648" s="207" t="s">
        <v>3268</v>
      </c>
      <c r="D2648" s="208" t="s">
        <v>578</v>
      </c>
      <c r="E2648" s="209">
        <v>19.07</v>
      </c>
      <c r="F2648" s="209">
        <v>11.5</v>
      </c>
      <c r="G2648" s="209">
        <v>30.57</v>
      </c>
      <c r="H2648" s="198"/>
    </row>
    <row r="2649" spans="1:8" ht="15.75" hidden="1" customHeight="1" x14ac:dyDescent="0.25">
      <c r="A2649" s="205" t="s">
        <v>3267</v>
      </c>
      <c r="B2649" s="206">
        <v>101600</v>
      </c>
      <c r="C2649" s="207" t="s">
        <v>3269</v>
      </c>
      <c r="D2649" s="208" t="s">
        <v>578</v>
      </c>
      <c r="E2649" s="209">
        <v>12.87</v>
      </c>
      <c r="F2649" s="209">
        <v>7.78</v>
      </c>
      <c r="G2649" s="209">
        <v>20.65</v>
      </c>
      <c r="H2649" s="198"/>
    </row>
    <row r="2650" spans="1:8" ht="15.75" hidden="1" customHeight="1" x14ac:dyDescent="0.25">
      <c r="A2650" s="205" t="s">
        <v>3267</v>
      </c>
      <c r="B2650" s="206">
        <v>101603</v>
      </c>
      <c r="C2650" s="207" t="s">
        <v>3270</v>
      </c>
      <c r="D2650" s="208" t="s">
        <v>578</v>
      </c>
      <c r="E2650" s="209">
        <v>15.73</v>
      </c>
      <c r="F2650" s="209">
        <v>9.5</v>
      </c>
      <c r="G2650" s="209">
        <v>25.23</v>
      </c>
      <c r="H2650" s="198"/>
    </row>
    <row r="2651" spans="1:8" ht="15.75" hidden="1" customHeight="1" x14ac:dyDescent="0.25">
      <c r="A2651" s="205" t="s">
        <v>3267</v>
      </c>
      <c r="B2651" s="206">
        <v>101602</v>
      </c>
      <c r="C2651" s="207" t="s">
        <v>3271</v>
      </c>
      <c r="D2651" s="208" t="s">
        <v>578</v>
      </c>
      <c r="E2651" s="209">
        <v>9.5399999999999991</v>
      </c>
      <c r="F2651" s="209">
        <v>5.77</v>
      </c>
      <c r="G2651" s="209">
        <v>15.31</v>
      </c>
      <c r="H2651" s="198"/>
    </row>
    <row r="2652" spans="1:8" ht="15.75" hidden="1" customHeight="1" x14ac:dyDescent="0.25">
      <c r="A2652" s="205" t="s">
        <v>3267</v>
      </c>
      <c r="B2652" s="206">
        <v>101605</v>
      </c>
      <c r="C2652" s="207" t="s">
        <v>3272</v>
      </c>
      <c r="D2652" s="208" t="s">
        <v>578</v>
      </c>
      <c r="E2652" s="209">
        <v>12.45</v>
      </c>
      <c r="F2652" s="209">
        <v>7.49</v>
      </c>
      <c r="G2652" s="209">
        <v>19.940000000000001</v>
      </c>
      <c r="H2652" s="198"/>
    </row>
    <row r="2653" spans="1:8" ht="15.75" hidden="1" customHeight="1" x14ac:dyDescent="0.25">
      <c r="A2653" s="205" t="s">
        <v>3267</v>
      </c>
      <c r="B2653" s="206">
        <v>101604</v>
      </c>
      <c r="C2653" s="207" t="s">
        <v>3273</v>
      </c>
      <c r="D2653" s="208" t="s">
        <v>578</v>
      </c>
      <c r="E2653" s="209">
        <v>6.26</v>
      </c>
      <c r="F2653" s="209">
        <v>3.76</v>
      </c>
      <c r="G2653" s="209">
        <v>10.02</v>
      </c>
      <c r="H2653" s="198"/>
    </row>
    <row r="2654" spans="1:8" ht="15.75" hidden="1" customHeight="1" x14ac:dyDescent="0.25">
      <c r="A2654" s="205" t="s">
        <v>3267</v>
      </c>
      <c r="B2654" s="206">
        <v>101588</v>
      </c>
      <c r="C2654" s="207" t="s">
        <v>3274</v>
      </c>
      <c r="D2654" s="208" t="s">
        <v>578</v>
      </c>
      <c r="E2654" s="209">
        <v>70.75</v>
      </c>
      <c r="F2654" s="209">
        <v>39.090000000000003</v>
      </c>
      <c r="G2654" s="209">
        <v>109.84</v>
      </c>
      <c r="H2654" s="198"/>
    </row>
    <row r="2655" spans="1:8" ht="15.75" hidden="1" customHeight="1" x14ac:dyDescent="0.25">
      <c r="A2655" s="205" t="s">
        <v>3267</v>
      </c>
      <c r="B2655" s="206">
        <v>101591</v>
      </c>
      <c r="C2655" s="207" t="s">
        <v>3275</v>
      </c>
      <c r="D2655" s="208" t="s">
        <v>578</v>
      </c>
      <c r="E2655" s="209">
        <v>85.79</v>
      </c>
      <c r="F2655" s="209">
        <v>47.81</v>
      </c>
      <c r="G2655" s="209">
        <v>133.6</v>
      </c>
      <c r="H2655" s="198"/>
    </row>
    <row r="2656" spans="1:8" ht="15.75" hidden="1" customHeight="1" x14ac:dyDescent="0.25">
      <c r="A2656" s="205" t="s">
        <v>3267</v>
      </c>
      <c r="B2656" s="206">
        <v>101590</v>
      </c>
      <c r="C2656" s="207" t="s">
        <v>3276</v>
      </c>
      <c r="D2656" s="208" t="s">
        <v>578</v>
      </c>
      <c r="E2656" s="209">
        <v>54.07</v>
      </c>
      <c r="F2656" s="209">
        <v>29.02</v>
      </c>
      <c r="G2656" s="209">
        <v>83.09</v>
      </c>
      <c r="H2656" s="198"/>
    </row>
    <row r="2657" spans="1:8" ht="15.75" hidden="1" customHeight="1" x14ac:dyDescent="0.25">
      <c r="A2657" s="205" t="s">
        <v>3267</v>
      </c>
      <c r="B2657" s="206">
        <v>101593</v>
      </c>
      <c r="C2657" s="207" t="s">
        <v>3277</v>
      </c>
      <c r="D2657" s="208" t="s">
        <v>578</v>
      </c>
      <c r="E2657" s="209">
        <v>71.22</v>
      </c>
      <c r="F2657" s="209">
        <v>37.74</v>
      </c>
      <c r="G2657" s="209">
        <v>108.96</v>
      </c>
      <c r="H2657" s="198"/>
    </row>
    <row r="2658" spans="1:8" ht="15.75" hidden="1" customHeight="1" x14ac:dyDescent="0.25">
      <c r="A2658" s="205" t="s">
        <v>3267</v>
      </c>
      <c r="B2658" s="206">
        <v>101592</v>
      </c>
      <c r="C2658" s="207" t="s">
        <v>3278</v>
      </c>
      <c r="D2658" s="208" t="s">
        <v>578</v>
      </c>
      <c r="E2658" s="209">
        <v>39.26</v>
      </c>
      <c r="F2658" s="209">
        <v>18.97</v>
      </c>
      <c r="G2658" s="209">
        <v>58.23</v>
      </c>
      <c r="H2658" s="198"/>
    </row>
    <row r="2659" spans="1:8" ht="15.75" hidden="1" customHeight="1" x14ac:dyDescent="0.25">
      <c r="A2659" s="205" t="s">
        <v>3267</v>
      </c>
      <c r="B2659" s="206">
        <v>101583</v>
      </c>
      <c r="C2659" s="207" t="s">
        <v>3279</v>
      </c>
      <c r="D2659" s="208" t="s">
        <v>578</v>
      </c>
      <c r="E2659" s="209">
        <v>57.22</v>
      </c>
      <c r="F2659" s="209">
        <v>49.84</v>
      </c>
      <c r="G2659" s="209">
        <v>107.06</v>
      </c>
      <c r="H2659" s="198"/>
    </row>
    <row r="2660" spans="1:8" ht="15.75" hidden="1" customHeight="1" x14ac:dyDescent="0.25">
      <c r="A2660" s="205" t="s">
        <v>3267</v>
      </c>
      <c r="B2660" s="206">
        <v>101582</v>
      </c>
      <c r="C2660" s="207" t="s">
        <v>3280</v>
      </c>
      <c r="D2660" s="208" t="s">
        <v>578</v>
      </c>
      <c r="E2660" s="209">
        <v>50.63</v>
      </c>
      <c r="F2660" s="209">
        <v>33.67</v>
      </c>
      <c r="G2660" s="209">
        <v>84.3</v>
      </c>
      <c r="H2660" s="198"/>
    </row>
    <row r="2661" spans="1:8" ht="15.75" hidden="1" customHeight="1" x14ac:dyDescent="0.25">
      <c r="A2661" s="205" t="s">
        <v>3267</v>
      </c>
      <c r="B2661" s="206">
        <v>101585</v>
      </c>
      <c r="C2661" s="207" t="s">
        <v>3281</v>
      </c>
      <c r="D2661" s="208" t="s">
        <v>578</v>
      </c>
      <c r="E2661" s="209">
        <v>50.19</v>
      </c>
      <c r="F2661" s="209">
        <v>41.17</v>
      </c>
      <c r="G2661" s="209">
        <v>91.36</v>
      </c>
      <c r="H2661" s="198"/>
    </row>
    <row r="2662" spans="1:8" ht="15.75" hidden="1" customHeight="1" x14ac:dyDescent="0.25">
      <c r="A2662" s="205" t="s">
        <v>3267</v>
      </c>
      <c r="B2662" s="206">
        <v>101584</v>
      </c>
      <c r="C2662" s="207" t="s">
        <v>3282</v>
      </c>
      <c r="D2662" s="208" t="s">
        <v>578</v>
      </c>
      <c r="E2662" s="209">
        <v>43.59</v>
      </c>
      <c r="F2662" s="209">
        <v>25</v>
      </c>
      <c r="G2662" s="209">
        <v>68.59</v>
      </c>
      <c r="H2662" s="198"/>
    </row>
    <row r="2663" spans="1:8" ht="15.75" hidden="1" customHeight="1" x14ac:dyDescent="0.25">
      <c r="A2663" s="205" t="s">
        <v>3267</v>
      </c>
      <c r="B2663" s="206">
        <v>101587</v>
      </c>
      <c r="C2663" s="207" t="s">
        <v>3283</v>
      </c>
      <c r="D2663" s="208" t="s">
        <v>578</v>
      </c>
      <c r="E2663" s="209">
        <v>48.42</v>
      </c>
      <c r="F2663" s="209">
        <v>32.51</v>
      </c>
      <c r="G2663" s="209">
        <v>80.930000000000007</v>
      </c>
      <c r="H2663" s="198"/>
    </row>
    <row r="2664" spans="1:8" ht="15.75" hidden="1" customHeight="1" x14ac:dyDescent="0.25">
      <c r="A2664" s="205" t="s">
        <v>3267</v>
      </c>
      <c r="B2664" s="206">
        <v>101586</v>
      </c>
      <c r="C2664" s="207" t="s">
        <v>3284</v>
      </c>
      <c r="D2664" s="208" t="s">
        <v>578</v>
      </c>
      <c r="E2664" s="209">
        <v>41.61</v>
      </c>
      <c r="F2664" s="209">
        <v>16.329999999999998</v>
      </c>
      <c r="G2664" s="209">
        <v>57.94</v>
      </c>
      <c r="H2664" s="198"/>
    </row>
    <row r="2665" spans="1:8" ht="15.75" hidden="1" customHeight="1" x14ac:dyDescent="0.25">
      <c r="A2665" s="205" t="s">
        <v>3267</v>
      </c>
      <c r="B2665" s="206">
        <v>101577</v>
      </c>
      <c r="C2665" s="207" t="s">
        <v>3285</v>
      </c>
      <c r="D2665" s="208" t="s">
        <v>578</v>
      </c>
      <c r="E2665" s="209">
        <v>34.74</v>
      </c>
      <c r="F2665" s="209">
        <v>31.49</v>
      </c>
      <c r="G2665" s="209">
        <v>66.23</v>
      </c>
      <c r="H2665" s="198"/>
    </row>
    <row r="2666" spans="1:8" ht="15.75" hidden="1" customHeight="1" x14ac:dyDescent="0.25">
      <c r="A2666" s="205" t="s">
        <v>3267</v>
      </c>
      <c r="B2666" s="206">
        <v>101576</v>
      </c>
      <c r="C2666" s="207" t="s">
        <v>3286</v>
      </c>
      <c r="D2666" s="208" t="s">
        <v>578</v>
      </c>
      <c r="E2666" s="209">
        <v>30.32</v>
      </c>
      <c r="F2666" s="209">
        <v>21.27</v>
      </c>
      <c r="G2666" s="209">
        <v>51.59</v>
      </c>
      <c r="H2666" s="198"/>
    </row>
    <row r="2667" spans="1:8" ht="15.75" hidden="1" customHeight="1" x14ac:dyDescent="0.25">
      <c r="A2667" s="205" t="s">
        <v>3267</v>
      </c>
      <c r="B2667" s="206">
        <v>101579</v>
      </c>
      <c r="C2667" s="207" t="s">
        <v>3287</v>
      </c>
      <c r="D2667" s="208" t="s">
        <v>578</v>
      </c>
      <c r="E2667" s="209">
        <v>30.82</v>
      </c>
      <c r="F2667" s="209">
        <v>26.01</v>
      </c>
      <c r="G2667" s="209">
        <v>56.83</v>
      </c>
      <c r="H2667" s="198"/>
    </row>
    <row r="2668" spans="1:8" ht="15.75" hidden="1" customHeight="1" x14ac:dyDescent="0.25">
      <c r="A2668" s="205" t="s">
        <v>3267</v>
      </c>
      <c r="B2668" s="206">
        <v>101578</v>
      </c>
      <c r="C2668" s="207" t="s">
        <v>3288</v>
      </c>
      <c r="D2668" s="208" t="s">
        <v>578</v>
      </c>
      <c r="E2668" s="209">
        <v>26.39</v>
      </c>
      <c r="F2668" s="209">
        <v>15.8</v>
      </c>
      <c r="G2668" s="209">
        <v>42.19</v>
      </c>
      <c r="H2668" s="198"/>
    </row>
    <row r="2669" spans="1:8" ht="15.75" hidden="1" customHeight="1" x14ac:dyDescent="0.25">
      <c r="A2669" s="205" t="s">
        <v>3267</v>
      </c>
      <c r="B2669" s="206">
        <v>101581</v>
      </c>
      <c r="C2669" s="207" t="s">
        <v>3289</v>
      </c>
      <c r="D2669" s="208" t="s">
        <v>578</v>
      </c>
      <c r="E2669" s="209">
        <v>30.8</v>
      </c>
      <c r="F2669" s="209">
        <v>20.53</v>
      </c>
      <c r="G2669" s="209">
        <v>51.33</v>
      </c>
      <c r="H2669" s="198"/>
    </row>
    <row r="2670" spans="1:8" ht="15.75" hidden="1" customHeight="1" x14ac:dyDescent="0.25">
      <c r="A2670" s="205" t="s">
        <v>3267</v>
      </c>
      <c r="B2670" s="206">
        <v>101580</v>
      </c>
      <c r="C2670" s="207" t="s">
        <v>3290</v>
      </c>
      <c r="D2670" s="208" t="s">
        <v>578</v>
      </c>
      <c r="E2670" s="209">
        <v>26.14</v>
      </c>
      <c r="F2670" s="209">
        <v>10.31</v>
      </c>
      <c r="G2670" s="209">
        <v>36.450000000000003</v>
      </c>
      <c r="H2670" s="198"/>
    </row>
    <row r="2671" spans="1:8" ht="15.75" hidden="1" customHeight="1" x14ac:dyDescent="0.25">
      <c r="A2671" s="205" t="s">
        <v>3267</v>
      </c>
      <c r="B2671" s="206">
        <v>101571</v>
      </c>
      <c r="C2671" s="207" t="s">
        <v>3291</v>
      </c>
      <c r="D2671" s="208" t="s">
        <v>578</v>
      </c>
      <c r="E2671" s="209">
        <v>17.309999999999999</v>
      </c>
      <c r="F2671" s="209">
        <v>24.26</v>
      </c>
      <c r="G2671" s="209">
        <v>41.57</v>
      </c>
      <c r="H2671" s="198"/>
    </row>
    <row r="2672" spans="1:8" ht="15.75" hidden="1" customHeight="1" x14ac:dyDescent="0.25">
      <c r="A2672" s="205" t="s">
        <v>3267</v>
      </c>
      <c r="B2672" s="206">
        <v>101570</v>
      </c>
      <c r="C2672" s="207" t="s">
        <v>3292</v>
      </c>
      <c r="D2672" s="208" t="s">
        <v>578</v>
      </c>
      <c r="E2672" s="209">
        <v>13.73</v>
      </c>
      <c r="F2672" s="209">
        <v>16.38</v>
      </c>
      <c r="G2672" s="209">
        <v>30.11</v>
      </c>
      <c r="H2672" s="198"/>
    </row>
    <row r="2673" spans="1:8" ht="15.75" hidden="1" customHeight="1" x14ac:dyDescent="0.25">
      <c r="A2673" s="205" t="s">
        <v>3267</v>
      </c>
      <c r="B2673" s="206">
        <v>101573</v>
      </c>
      <c r="C2673" s="207" t="s">
        <v>3293</v>
      </c>
      <c r="D2673" s="208" t="s">
        <v>578</v>
      </c>
      <c r="E2673" s="209">
        <v>14.9</v>
      </c>
      <c r="F2673" s="209">
        <v>20.04</v>
      </c>
      <c r="G2673" s="209">
        <v>34.94</v>
      </c>
      <c r="H2673" s="198"/>
    </row>
    <row r="2674" spans="1:8" ht="15.75" hidden="1" customHeight="1" x14ac:dyDescent="0.25">
      <c r="A2674" s="205" t="s">
        <v>3267</v>
      </c>
      <c r="B2674" s="206">
        <v>101572</v>
      </c>
      <c r="C2674" s="207" t="s">
        <v>3294</v>
      </c>
      <c r="D2674" s="208" t="s">
        <v>578</v>
      </c>
      <c r="E2674" s="209">
        <v>11.32</v>
      </c>
      <c r="F2674" s="209">
        <v>12.18</v>
      </c>
      <c r="G2674" s="209">
        <v>23.5</v>
      </c>
      <c r="H2674" s="198"/>
    </row>
    <row r="2675" spans="1:8" ht="15.75" hidden="1" customHeight="1" x14ac:dyDescent="0.25">
      <c r="A2675" s="205" t="s">
        <v>3267</v>
      </c>
      <c r="B2675" s="206">
        <v>101575</v>
      </c>
      <c r="C2675" s="207" t="s">
        <v>3295</v>
      </c>
      <c r="D2675" s="208" t="s">
        <v>578</v>
      </c>
      <c r="E2675" s="209">
        <v>13.6</v>
      </c>
      <c r="F2675" s="209">
        <v>15.83</v>
      </c>
      <c r="G2675" s="209">
        <v>29.43</v>
      </c>
      <c r="H2675" s="198"/>
    </row>
    <row r="2676" spans="1:8" ht="15.75" hidden="1" customHeight="1" x14ac:dyDescent="0.25">
      <c r="A2676" s="205" t="s">
        <v>3267</v>
      </c>
      <c r="B2676" s="206">
        <v>101574</v>
      </c>
      <c r="C2676" s="207" t="s">
        <v>3296</v>
      </c>
      <c r="D2676" s="208" t="s">
        <v>578</v>
      </c>
      <c r="E2676" s="209">
        <v>9.8000000000000007</v>
      </c>
      <c r="F2676" s="209">
        <v>7.94</v>
      </c>
      <c r="G2676" s="209">
        <v>17.739999999999998</v>
      </c>
      <c r="H2676" s="198"/>
    </row>
    <row r="2677" spans="1:8" ht="15.75" hidden="1" customHeight="1" x14ac:dyDescent="0.25">
      <c r="A2677" s="205" t="s">
        <v>3267</v>
      </c>
      <c r="B2677" s="206">
        <v>101589</v>
      </c>
      <c r="C2677" s="207" t="s">
        <v>3297</v>
      </c>
      <c r="D2677" s="208" t="s">
        <v>578</v>
      </c>
      <c r="E2677" s="209">
        <v>102.49</v>
      </c>
      <c r="F2677" s="209">
        <v>57.87</v>
      </c>
      <c r="G2677" s="209">
        <v>160.36000000000001</v>
      </c>
      <c r="H2677" s="198"/>
    </row>
    <row r="2678" spans="1:8" ht="15.75" hidden="1" customHeight="1" x14ac:dyDescent="0.25">
      <c r="A2678" s="205" t="s">
        <v>3267</v>
      </c>
      <c r="B2678" s="206">
        <v>101617</v>
      </c>
      <c r="C2678" s="207" t="s">
        <v>3298</v>
      </c>
      <c r="D2678" s="208" t="s">
        <v>578</v>
      </c>
      <c r="E2678" s="209">
        <v>1.22</v>
      </c>
      <c r="F2678" s="209">
        <v>2.95</v>
      </c>
      <c r="G2678" s="209">
        <v>4.17</v>
      </c>
      <c r="H2678" s="198"/>
    </row>
    <row r="2679" spans="1:8" ht="15.75" hidden="1" customHeight="1" x14ac:dyDescent="0.25">
      <c r="A2679" s="205" t="s">
        <v>3267</v>
      </c>
      <c r="B2679" s="206">
        <v>101620</v>
      </c>
      <c r="C2679" s="207" t="s">
        <v>3299</v>
      </c>
      <c r="D2679" s="208" t="s">
        <v>664</v>
      </c>
      <c r="E2679" s="209">
        <v>169.58</v>
      </c>
      <c r="F2679" s="209">
        <v>94.84</v>
      </c>
      <c r="G2679" s="209">
        <v>264.42</v>
      </c>
      <c r="H2679" s="198"/>
    </row>
    <row r="2680" spans="1:8" ht="15.75" hidden="1" customHeight="1" x14ac:dyDescent="0.25">
      <c r="A2680" s="205" t="s">
        <v>3267</v>
      </c>
      <c r="B2680" s="206">
        <v>101625</v>
      </c>
      <c r="C2680" s="207" t="s">
        <v>3300</v>
      </c>
      <c r="D2680" s="208" t="s">
        <v>664</v>
      </c>
      <c r="E2680" s="209">
        <v>164.47</v>
      </c>
      <c r="F2680" s="209">
        <v>37.33</v>
      </c>
      <c r="G2680" s="209">
        <v>201.8</v>
      </c>
      <c r="H2680" s="198"/>
    </row>
    <row r="2681" spans="1:8" ht="15.75" hidden="1" customHeight="1" x14ac:dyDescent="0.25">
      <c r="A2681" s="205" t="s">
        <v>3267</v>
      </c>
      <c r="B2681" s="206">
        <v>101621</v>
      </c>
      <c r="C2681" s="207" t="s">
        <v>3301</v>
      </c>
      <c r="D2681" s="208" t="s">
        <v>664</v>
      </c>
      <c r="E2681" s="209">
        <v>130.38</v>
      </c>
      <c r="F2681" s="209">
        <v>121.7</v>
      </c>
      <c r="G2681" s="209">
        <v>252.08</v>
      </c>
      <c r="H2681" s="198"/>
    </row>
    <row r="2682" spans="1:8" ht="15.75" hidden="1" customHeight="1" x14ac:dyDescent="0.25">
      <c r="A2682" s="205" t="s">
        <v>3267</v>
      </c>
      <c r="B2682" s="206">
        <v>101624</v>
      </c>
      <c r="C2682" s="207" t="s">
        <v>3302</v>
      </c>
      <c r="D2682" s="208" t="s">
        <v>664</v>
      </c>
      <c r="E2682" s="209">
        <v>123.81</v>
      </c>
      <c r="F2682" s="209">
        <v>47.62</v>
      </c>
      <c r="G2682" s="209">
        <v>171.43</v>
      </c>
      <c r="H2682" s="198"/>
    </row>
    <row r="2683" spans="1:8" ht="15.75" hidden="1" customHeight="1" x14ac:dyDescent="0.25">
      <c r="A2683" s="205" t="s">
        <v>3267</v>
      </c>
      <c r="B2683" s="206">
        <v>101616</v>
      </c>
      <c r="C2683" s="207" t="s">
        <v>3303</v>
      </c>
      <c r="D2683" s="208" t="s">
        <v>578</v>
      </c>
      <c r="E2683" s="209">
        <v>2.46</v>
      </c>
      <c r="F2683" s="209">
        <v>5.96</v>
      </c>
      <c r="G2683" s="209">
        <v>8.42</v>
      </c>
      <c r="H2683" s="198"/>
    </row>
    <row r="2684" spans="1:8" ht="15.75" hidden="1" customHeight="1" x14ac:dyDescent="0.25">
      <c r="A2684" s="205" t="s">
        <v>3267</v>
      </c>
      <c r="B2684" s="206">
        <v>101618</v>
      </c>
      <c r="C2684" s="207" t="s">
        <v>3304</v>
      </c>
      <c r="D2684" s="208" t="s">
        <v>664</v>
      </c>
      <c r="E2684" s="209">
        <v>179.44</v>
      </c>
      <c r="F2684" s="209">
        <v>118.78</v>
      </c>
      <c r="G2684" s="209">
        <v>298.22000000000003</v>
      </c>
      <c r="H2684" s="198"/>
    </row>
    <row r="2685" spans="1:8" ht="15.75" hidden="1" customHeight="1" x14ac:dyDescent="0.25">
      <c r="A2685" s="205" t="s">
        <v>3267</v>
      </c>
      <c r="B2685" s="206">
        <v>101622</v>
      </c>
      <c r="C2685" s="207" t="s">
        <v>3305</v>
      </c>
      <c r="D2685" s="208" t="s">
        <v>664</v>
      </c>
      <c r="E2685" s="209">
        <v>187.75</v>
      </c>
      <c r="F2685" s="209">
        <v>63.72</v>
      </c>
      <c r="G2685" s="209">
        <v>251.47</v>
      </c>
      <c r="H2685" s="198"/>
    </row>
    <row r="2686" spans="1:8" ht="15.75" hidden="1" customHeight="1" x14ac:dyDescent="0.25">
      <c r="A2686" s="205" t="s">
        <v>3267</v>
      </c>
      <c r="B2686" s="206">
        <v>101619</v>
      </c>
      <c r="C2686" s="207" t="s">
        <v>3306</v>
      </c>
      <c r="D2686" s="208" t="s">
        <v>664</v>
      </c>
      <c r="E2686" s="209">
        <v>140.26</v>
      </c>
      <c r="F2686" s="209">
        <v>145.63</v>
      </c>
      <c r="G2686" s="209">
        <v>285.89</v>
      </c>
      <c r="H2686" s="198"/>
    </row>
    <row r="2687" spans="1:8" ht="15.75" hidden="1" customHeight="1" x14ac:dyDescent="0.25">
      <c r="A2687" s="205" t="s">
        <v>3267</v>
      </c>
      <c r="B2687" s="206">
        <v>101623</v>
      </c>
      <c r="C2687" s="207" t="s">
        <v>3307</v>
      </c>
      <c r="D2687" s="208" t="s">
        <v>664</v>
      </c>
      <c r="E2687" s="209">
        <v>150.51</v>
      </c>
      <c r="F2687" s="209">
        <v>77.739999999999995</v>
      </c>
      <c r="G2687" s="209">
        <v>228.25</v>
      </c>
      <c r="H2687" s="198"/>
    </row>
    <row r="2688" spans="1:8" ht="15.75" hidden="1" customHeight="1" x14ac:dyDescent="0.25">
      <c r="A2688" s="205" t="s">
        <v>3308</v>
      </c>
      <c r="B2688" s="206">
        <v>104482</v>
      </c>
      <c r="C2688" s="207" t="s">
        <v>3309</v>
      </c>
      <c r="D2688" s="208" t="s">
        <v>2193</v>
      </c>
      <c r="E2688" s="209">
        <v>10.3</v>
      </c>
      <c r="F2688" s="209">
        <v>28.06</v>
      </c>
      <c r="G2688" s="209">
        <v>38.36</v>
      </c>
      <c r="H2688" s="198"/>
    </row>
    <row r="2689" spans="1:8" ht="15.75" hidden="1" customHeight="1" x14ac:dyDescent="0.25">
      <c r="A2689" s="205" t="s">
        <v>3308</v>
      </c>
      <c r="B2689" s="206">
        <v>104189</v>
      </c>
      <c r="C2689" s="207" t="s">
        <v>3310</v>
      </c>
      <c r="D2689" s="208" t="s">
        <v>664</v>
      </c>
      <c r="E2689" s="209">
        <v>146.31</v>
      </c>
      <c r="F2689" s="209">
        <v>38.28</v>
      </c>
      <c r="G2689" s="209">
        <v>184.59</v>
      </c>
      <c r="H2689" s="198"/>
    </row>
    <row r="2690" spans="1:8" ht="15.75" hidden="1" customHeight="1" x14ac:dyDescent="0.25">
      <c r="A2690" s="205" t="s">
        <v>3308</v>
      </c>
      <c r="B2690" s="206">
        <v>104185</v>
      </c>
      <c r="C2690" s="207" t="s">
        <v>3311</v>
      </c>
      <c r="D2690" s="208" t="s">
        <v>580</v>
      </c>
      <c r="E2690" s="209">
        <v>8.3800000000000008</v>
      </c>
      <c r="F2690" s="209">
        <v>24.27</v>
      </c>
      <c r="G2690" s="209">
        <v>32.65</v>
      </c>
      <c r="H2690" s="198"/>
    </row>
    <row r="2691" spans="1:8" ht="15.75" hidden="1" customHeight="1" x14ac:dyDescent="0.25">
      <c r="A2691" s="205" t="s">
        <v>3308</v>
      </c>
      <c r="B2691" s="206">
        <v>104184</v>
      </c>
      <c r="C2691" s="207" t="s">
        <v>3312</v>
      </c>
      <c r="D2691" s="208" t="s">
        <v>580</v>
      </c>
      <c r="E2691" s="209">
        <v>19.22</v>
      </c>
      <c r="F2691" s="209">
        <v>22.13</v>
      </c>
      <c r="G2691" s="209">
        <v>41.35</v>
      </c>
      <c r="H2691" s="198"/>
    </row>
    <row r="2692" spans="1:8" ht="15.75" hidden="1" customHeight="1" x14ac:dyDescent="0.25">
      <c r="A2692" s="205" t="s">
        <v>3308</v>
      </c>
      <c r="B2692" s="206">
        <v>104190</v>
      </c>
      <c r="C2692" s="207" t="s">
        <v>3313</v>
      </c>
      <c r="D2692" s="208" t="s">
        <v>580</v>
      </c>
      <c r="E2692" s="209">
        <v>242.71</v>
      </c>
      <c r="F2692" s="209">
        <v>633.80999999999995</v>
      </c>
      <c r="G2692" s="209">
        <v>876.52</v>
      </c>
      <c r="H2692" s="198"/>
    </row>
    <row r="2693" spans="1:8" ht="15.75" hidden="1" customHeight="1" x14ac:dyDescent="0.25">
      <c r="A2693" s="205" t="s">
        <v>3308</v>
      </c>
      <c r="B2693" s="206">
        <v>104187</v>
      </c>
      <c r="C2693" s="207" t="s">
        <v>3314</v>
      </c>
      <c r="D2693" s="208" t="s">
        <v>585</v>
      </c>
      <c r="E2693" s="209">
        <v>1382.5</v>
      </c>
      <c r="F2693" s="209">
        <v>40.549999999999997</v>
      </c>
      <c r="G2693" s="209">
        <v>1423.05</v>
      </c>
      <c r="H2693" s="198"/>
    </row>
    <row r="2694" spans="1:8" ht="15.75" hidden="1" customHeight="1" x14ac:dyDescent="0.25">
      <c r="A2694" s="205" t="s">
        <v>3308</v>
      </c>
      <c r="B2694" s="206">
        <v>104186</v>
      </c>
      <c r="C2694" s="207" t="s">
        <v>3315</v>
      </c>
      <c r="D2694" s="208" t="s">
        <v>585</v>
      </c>
      <c r="E2694" s="209">
        <v>256.33999999999997</v>
      </c>
      <c r="F2694" s="209">
        <v>45.37</v>
      </c>
      <c r="G2694" s="209">
        <v>301.70999999999998</v>
      </c>
      <c r="H2694" s="198"/>
    </row>
    <row r="2695" spans="1:8" ht="15.75" hidden="1" customHeight="1" x14ac:dyDescent="0.25">
      <c r="A2695" s="205" t="s">
        <v>3316</v>
      </c>
      <c r="B2695" s="206">
        <v>100674</v>
      </c>
      <c r="C2695" s="207" t="s">
        <v>3317</v>
      </c>
      <c r="D2695" s="208" t="s">
        <v>578</v>
      </c>
      <c r="E2695" s="209">
        <v>1401.22</v>
      </c>
      <c r="F2695" s="209">
        <v>27.72</v>
      </c>
      <c r="G2695" s="209">
        <v>1428.94</v>
      </c>
      <c r="H2695" s="198"/>
    </row>
    <row r="2696" spans="1:8" ht="15.75" hidden="1" customHeight="1" x14ac:dyDescent="0.25">
      <c r="A2696" s="205" t="s">
        <v>3316</v>
      </c>
      <c r="B2696" s="206">
        <v>94589</v>
      </c>
      <c r="C2696" s="207" t="s">
        <v>3318</v>
      </c>
      <c r="D2696" s="208" t="s">
        <v>585</v>
      </c>
      <c r="E2696" s="209">
        <v>19.59</v>
      </c>
      <c r="F2696" s="209">
        <v>11.52</v>
      </c>
      <c r="G2696" s="209">
        <v>31.11</v>
      </c>
      <c r="H2696" s="198"/>
    </row>
    <row r="2697" spans="1:8" ht="15.75" hidden="1" customHeight="1" x14ac:dyDescent="0.25">
      <c r="A2697" s="205" t="s">
        <v>3316</v>
      </c>
      <c r="B2697" s="206">
        <v>94590</v>
      </c>
      <c r="C2697" s="207" t="s">
        <v>3319</v>
      </c>
      <c r="D2697" s="208" t="s">
        <v>585</v>
      </c>
      <c r="E2697" s="209">
        <v>24.58</v>
      </c>
      <c r="F2697" s="209">
        <v>14.33</v>
      </c>
      <c r="G2697" s="209">
        <v>38.909999999999997</v>
      </c>
      <c r="H2697" s="198"/>
    </row>
    <row r="2698" spans="1:8" ht="15.75" hidden="1" customHeight="1" x14ac:dyDescent="0.25">
      <c r="A2698" s="205" t="s">
        <v>3316</v>
      </c>
      <c r="B2698" s="206">
        <v>94587</v>
      </c>
      <c r="C2698" s="207" t="s">
        <v>3320</v>
      </c>
      <c r="D2698" s="208" t="s">
        <v>585</v>
      </c>
      <c r="E2698" s="209">
        <v>47.3</v>
      </c>
      <c r="F2698" s="209">
        <v>26.08</v>
      </c>
      <c r="G2698" s="209">
        <v>73.38</v>
      </c>
      <c r="H2698" s="198"/>
    </row>
    <row r="2699" spans="1:8" ht="15.75" hidden="1" customHeight="1" x14ac:dyDescent="0.25">
      <c r="A2699" s="205" t="s">
        <v>3316</v>
      </c>
      <c r="B2699" s="206">
        <v>94588</v>
      </c>
      <c r="C2699" s="207" t="s">
        <v>3321</v>
      </c>
      <c r="D2699" s="208" t="s">
        <v>585</v>
      </c>
      <c r="E2699" s="209">
        <v>53.8</v>
      </c>
      <c r="F2699" s="209">
        <v>33.020000000000003</v>
      </c>
      <c r="G2699" s="209">
        <v>86.82</v>
      </c>
      <c r="H2699" s="198"/>
    </row>
    <row r="2700" spans="1:8" ht="15.75" hidden="1" customHeight="1" x14ac:dyDescent="0.25">
      <c r="A2700" s="205" t="s">
        <v>3316</v>
      </c>
      <c r="B2700" s="206">
        <v>105812</v>
      </c>
      <c r="C2700" s="207" t="s">
        <v>3322</v>
      </c>
      <c r="D2700" s="208" t="s">
        <v>585</v>
      </c>
      <c r="E2700" s="209">
        <v>55.67</v>
      </c>
      <c r="F2700" s="209">
        <v>2.39</v>
      </c>
      <c r="G2700" s="209">
        <v>58.06</v>
      </c>
      <c r="H2700" s="198"/>
    </row>
    <row r="2701" spans="1:8" ht="15.75" hidden="1" customHeight="1" x14ac:dyDescent="0.25">
      <c r="A2701" s="205" t="s">
        <v>3316</v>
      </c>
      <c r="B2701" s="206">
        <v>94570</v>
      </c>
      <c r="C2701" s="207" t="s">
        <v>3323</v>
      </c>
      <c r="D2701" s="208" t="s">
        <v>578</v>
      </c>
      <c r="E2701" s="209">
        <v>643.01</v>
      </c>
      <c r="F2701" s="209">
        <v>11.71</v>
      </c>
      <c r="G2701" s="209">
        <v>654.72</v>
      </c>
      <c r="H2701" s="198"/>
    </row>
    <row r="2702" spans="1:8" ht="15.75" hidden="1" customHeight="1" x14ac:dyDescent="0.25">
      <c r="A2702" s="205" t="s">
        <v>3316</v>
      </c>
      <c r="B2702" s="206">
        <v>94572</v>
      </c>
      <c r="C2702" s="207" t="s">
        <v>3324</v>
      </c>
      <c r="D2702" s="208" t="s">
        <v>578</v>
      </c>
      <c r="E2702" s="209">
        <v>926.01</v>
      </c>
      <c r="F2702" s="209">
        <v>17.350000000000001</v>
      </c>
      <c r="G2702" s="209">
        <v>943.36</v>
      </c>
      <c r="H2702" s="198"/>
    </row>
    <row r="2703" spans="1:8" ht="15.75" hidden="1" customHeight="1" x14ac:dyDescent="0.25">
      <c r="A2703" s="205" t="s">
        <v>3316</v>
      </c>
      <c r="B2703" s="206">
        <v>94573</v>
      </c>
      <c r="C2703" s="207" t="s">
        <v>3325</v>
      </c>
      <c r="D2703" s="208" t="s">
        <v>578</v>
      </c>
      <c r="E2703" s="209">
        <v>722.34</v>
      </c>
      <c r="F2703" s="209">
        <v>11.67</v>
      </c>
      <c r="G2703" s="209">
        <v>734.01</v>
      </c>
      <c r="H2703" s="198"/>
    </row>
    <row r="2704" spans="1:8" ht="15.75" hidden="1" customHeight="1" x14ac:dyDescent="0.25">
      <c r="A2704" s="205" t="s">
        <v>3316</v>
      </c>
      <c r="B2704" s="206">
        <v>94569</v>
      </c>
      <c r="C2704" s="207" t="s">
        <v>3326</v>
      </c>
      <c r="D2704" s="208" t="s">
        <v>578</v>
      </c>
      <c r="E2704" s="209">
        <v>1189.69</v>
      </c>
      <c r="F2704" s="209">
        <v>37.799999999999997</v>
      </c>
      <c r="G2704" s="209">
        <v>1227.49</v>
      </c>
      <c r="H2704" s="198"/>
    </row>
    <row r="2705" spans="1:8" ht="15.75" hidden="1" customHeight="1" x14ac:dyDescent="0.25">
      <c r="A2705" s="205" t="s">
        <v>3316</v>
      </c>
      <c r="B2705" s="206">
        <v>94562</v>
      </c>
      <c r="C2705" s="207" t="s">
        <v>3327</v>
      </c>
      <c r="D2705" s="208" t="s">
        <v>578</v>
      </c>
      <c r="E2705" s="209">
        <v>590.98</v>
      </c>
      <c r="F2705" s="209">
        <v>52.71</v>
      </c>
      <c r="G2705" s="209">
        <v>643.69000000000005</v>
      </c>
      <c r="H2705" s="198"/>
    </row>
    <row r="2706" spans="1:8" ht="15.75" hidden="1" customHeight="1" x14ac:dyDescent="0.25">
      <c r="A2706" s="205" t="s">
        <v>3316</v>
      </c>
      <c r="B2706" s="206">
        <v>105813</v>
      </c>
      <c r="C2706" s="207" t="s">
        <v>3328</v>
      </c>
      <c r="D2706" s="208" t="s">
        <v>578</v>
      </c>
      <c r="E2706" s="209">
        <v>919.63</v>
      </c>
      <c r="F2706" s="209">
        <v>193.58</v>
      </c>
      <c r="G2706" s="209">
        <v>1113.21</v>
      </c>
      <c r="H2706" s="198"/>
    </row>
    <row r="2707" spans="1:8" ht="15.75" hidden="1" customHeight="1" x14ac:dyDescent="0.25">
      <c r="A2707" s="205" t="s">
        <v>3316</v>
      </c>
      <c r="B2707" s="206">
        <v>94559</v>
      </c>
      <c r="C2707" s="207" t="s">
        <v>3329</v>
      </c>
      <c r="D2707" s="208" t="s">
        <v>578</v>
      </c>
      <c r="E2707" s="209">
        <v>595.66</v>
      </c>
      <c r="F2707" s="209">
        <v>194.13</v>
      </c>
      <c r="G2707" s="209">
        <v>789.79</v>
      </c>
      <c r="H2707" s="198"/>
    </row>
    <row r="2708" spans="1:8" ht="15.75" hidden="1" customHeight="1" x14ac:dyDescent="0.25">
      <c r="A2708" s="205" t="s">
        <v>3316</v>
      </c>
      <c r="B2708" s="206">
        <v>100668</v>
      </c>
      <c r="C2708" s="207" t="s">
        <v>3330</v>
      </c>
      <c r="D2708" s="208" t="s">
        <v>578</v>
      </c>
      <c r="E2708" s="209">
        <v>1224.8</v>
      </c>
      <c r="F2708" s="209">
        <v>150.76</v>
      </c>
      <c r="G2708" s="209">
        <v>1375.56</v>
      </c>
      <c r="H2708" s="198"/>
    </row>
    <row r="2709" spans="1:8" ht="15.75" hidden="1" customHeight="1" x14ac:dyDescent="0.25">
      <c r="A2709" s="205" t="s">
        <v>3316</v>
      </c>
      <c r="B2709" s="206">
        <v>100670</v>
      </c>
      <c r="C2709" s="207" t="s">
        <v>3331</v>
      </c>
      <c r="D2709" s="208" t="s">
        <v>578</v>
      </c>
      <c r="E2709" s="209">
        <v>965.2</v>
      </c>
      <c r="F2709" s="209">
        <v>57.36</v>
      </c>
      <c r="G2709" s="209">
        <v>1022.56</v>
      </c>
      <c r="H2709" s="198"/>
    </row>
    <row r="2710" spans="1:8" ht="15.75" hidden="1" customHeight="1" x14ac:dyDescent="0.25">
      <c r="A2710" s="205" t="s">
        <v>3316</v>
      </c>
      <c r="B2710" s="206">
        <v>100665</v>
      </c>
      <c r="C2710" s="207" t="s">
        <v>3332</v>
      </c>
      <c r="D2710" s="208" t="s">
        <v>578</v>
      </c>
      <c r="E2710" s="209">
        <v>794.58</v>
      </c>
      <c r="F2710" s="209">
        <v>65.63</v>
      </c>
      <c r="G2710" s="209">
        <v>860.21</v>
      </c>
      <c r="H2710" s="198"/>
    </row>
    <row r="2711" spans="1:8" ht="15.75" hidden="1" customHeight="1" x14ac:dyDescent="0.25">
      <c r="A2711" s="205" t="s">
        <v>3316</v>
      </c>
      <c r="B2711" s="206">
        <v>100671</v>
      </c>
      <c r="C2711" s="207" t="s">
        <v>3333</v>
      </c>
      <c r="D2711" s="208" t="s">
        <v>578</v>
      </c>
      <c r="E2711" s="209">
        <v>1198.0899999999999</v>
      </c>
      <c r="F2711" s="209">
        <v>57.37</v>
      </c>
      <c r="G2711" s="209">
        <v>1255.46</v>
      </c>
      <c r="H2711" s="198"/>
    </row>
    <row r="2712" spans="1:8" ht="15.75" hidden="1" customHeight="1" x14ac:dyDescent="0.25">
      <c r="A2712" s="205" t="s">
        <v>3316</v>
      </c>
      <c r="B2712" s="206">
        <v>100667</v>
      </c>
      <c r="C2712" s="207" t="s">
        <v>3334</v>
      </c>
      <c r="D2712" s="208" t="s">
        <v>578</v>
      </c>
      <c r="E2712" s="209">
        <v>1023.79</v>
      </c>
      <c r="F2712" s="209">
        <v>65.69</v>
      </c>
      <c r="G2712" s="209">
        <v>1089.48</v>
      </c>
      <c r="H2712" s="198"/>
    </row>
    <row r="2713" spans="1:8" ht="15.75" hidden="1" customHeight="1" x14ac:dyDescent="0.25">
      <c r="A2713" s="205" t="s">
        <v>3316</v>
      </c>
      <c r="B2713" s="206">
        <v>100669</v>
      </c>
      <c r="C2713" s="207" t="s">
        <v>3335</v>
      </c>
      <c r="D2713" s="208" t="s">
        <v>578</v>
      </c>
      <c r="E2713" s="209">
        <v>875.88</v>
      </c>
      <c r="F2713" s="209">
        <v>150.82</v>
      </c>
      <c r="G2713" s="209">
        <v>1026.7</v>
      </c>
      <c r="H2713" s="198"/>
    </row>
    <row r="2714" spans="1:8" ht="15.75" hidden="1" customHeight="1" x14ac:dyDescent="0.25">
      <c r="A2714" s="205" t="s">
        <v>3316</v>
      </c>
      <c r="B2714" s="206">
        <v>100672</v>
      </c>
      <c r="C2714" s="207" t="s">
        <v>3336</v>
      </c>
      <c r="D2714" s="208" t="s">
        <v>578</v>
      </c>
      <c r="E2714" s="209">
        <v>772.89</v>
      </c>
      <c r="F2714" s="209">
        <v>57.37</v>
      </c>
      <c r="G2714" s="209">
        <v>830.26</v>
      </c>
      <c r="H2714" s="198"/>
    </row>
    <row r="2715" spans="1:8" ht="15.75" hidden="1" customHeight="1" x14ac:dyDescent="0.25">
      <c r="A2715" s="205" t="s">
        <v>3316</v>
      </c>
      <c r="B2715" s="206">
        <v>100666</v>
      </c>
      <c r="C2715" s="207" t="s">
        <v>3337</v>
      </c>
      <c r="D2715" s="208" t="s">
        <v>578</v>
      </c>
      <c r="E2715" s="209">
        <v>632.35</v>
      </c>
      <c r="F2715" s="209">
        <v>65.680000000000007</v>
      </c>
      <c r="G2715" s="209">
        <v>698.03</v>
      </c>
      <c r="H2715" s="198"/>
    </row>
    <row r="2716" spans="1:8" ht="15.75" hidden="1" customHeight="1" x14ac:dyDescent="0.25">
      <c r="A2716" s="205" t="s">
        <v>3338</v>
      </c>
      <c r="B2716" s="206">
        <v>100659</v>
      </c>
      <c r="C2716" s="207" t="s">
        <v>3339</v>
      </c>
      <c r="D2716" s="208" t="s">
        <v>585</v>
      </c>
      <c r="E2716" s="209">
        <v>12.87</v>
      </c>
      <c r="F2716" s="209">
        <v>2.4</v>
      </c>
      <c r="G2716" s="209">
        <v>15.27</v>
      </c>
      <c r="H2716" s="198"/>
    </row>
    <row r="2717" spans="1:8" ht="15.75" hidden="1" customHeight="1" x14ac:dyDescent="0.25">
      <c r="A2717" s="205" t="s">
        <v>3338</v>
      </c>
      <c r="B2717" s="206">
        <v>100660</v>
      </c>
      <c r="C2717" s="207" t="s">
        <v>3340</v>
      </c>
      <c r="D2717" s="208" t="s">
        <v>585</v>
      </c>
      <c r="E2717" s="209">
        <v>8.09</v>
      </c>
      <c r="F2717" s="209">
        <v>2.4</v>
      </c>
      <c r="G2717" s="209">
        <v>10.49</v>
      </c>
      <c r="H2717" s="198"/>
    </row>
    <row r="2718" spans="1:8" ht="15.75" hidden="1" customHeight="1" x14ac:dyDescent="0.25">
      <c r="A2718" s="205" t="s">
        <v>3338</v>
      </c>
      <c r="B2718" s="206">
        <v>100676</v>
      </c>
      <c r="C2718" s="207" t="s">
        <v>3341</v>
      </c>
      <c r="D2718" s="208" t="s">
        <v>580</v>
      </c>
      <c r="E2718" s="209">
        <v>176.89</v>
      </c>
      <c r="F2718" s="209">
        <v>77.510000000000005</v>
      </c>
      <c r="G2718" s="209">
        <v>254.4</v>
      </c>
      <c r="H2718" s="198"/>
    </row>
    <row r="2719" spans="1:8" ht="15.75" hidden="1" customHeight="1" x14ac:dyDescent="0.25">
      <c r="A2719" s="205" t="s">
        <v>3338</v>
      </c>
      <c r="B2719" s="206">
        <v>90806</v>
      </c>
      <c r="C2719" s="207" t="s">
        <v>3342</v>
      </c>
      <c r="D2719" s="208" t="s">
        <v>580</v>
      </c>
      <c r="E2719" s="209">
        <v>361.37</v>
      </c>
      <c r="F2719" s="209">
        <v>171.61</v>
      </c>
      <c r="G2719" s="209">
        <v>532.98</v>
      </c>
      <c r="H2719" s="198"/>
    </row>
    <row r="2720" spans="1:8" ht="15.75" hidden="1" customHeight="1" x14ac:dyDescent="0.25">
      <c r="A2720" s="205" t="s">
        <v>3338</v>
      </c>
      <c r="B2720" s="206">
        <v>91292</v>
      </c>
      <c r="C2720" s="207" t="s">
        <v>3343</v>
      </c>
      <c r="D2720" s="208" t="s">
        <v>580</v>
      </c>
      <c r="E2720" s="209">
        <v>254.98</v>
      </c>
      <c r="F2720" s="209">
        <v>171.97</v>
      </c>
      <c r="G2720" s="209">
        <v>426.95</v>
      </c>
      <c r="H2720" s="198"/>
    </row>
    <row r="2721" spans="1:8" ht="15.75" hidden="1" customHeight="1" x14ac:dyDescent="0.25">
      <c r="A2721" s="205" t="s">
        <v>3338</v>
      </c>
      <c r="B2721" s="206">
        <v>90801</v>
      </c>
      <c r="C2721" s="207" t="s">
        <v>3344</v>
      </c>
      <c r="D2721" s="208" t="s">
        <v>580</v>
      </c>
      <c r="E2721" s="209">
        <v>317.79000000000002</v>
      </c>
      <c r="F2721" s="209">
        <v>97.35</v>
      </c>
      <c r="G2721" s="209">
        <v>415.14</v>
      </c>
      <c r="H2721" s="198"/>
    </row>
    <row r="2722" spans="1:8" ht="15.75" hidden="1" customHeight="1" x14ac:dyDescent="0.25">
      <c r="A2722" s="205" t="s">
        <v>3338</v>
      </c>
      <c r="B2722" s="206">
        <v>91287</v>
      </c>
      <c r="C2722" s="207" t="s">
        <v>3345</v>
      </c>
      <c r="D2722" s="208" t="s">
        <v>580</v>
      </c>
      <c r="E2722" s="209">
        <v>211.44</v>
      </c>
      <c r="F2722" s="209">
        <v>97.67</v>
      </c>
      <c r="G2722" s="209">
        <v>309.11</v>
      </c>
      <c r="H2722" s="198"/>
    </row>
    <row r="2723" spans="1:8" ht="15.75" hidden="1" customHeight="1" x14ac:dyDescent="0.25">
      <c r="A2723" s="205" t="s">
        <v>3338</v>
      </c>
      <c r="B2723" s="206">
        <v>100706</v>
      </c>
      <c r="C2723" s="207" t="s">
        <v>3346</v>
      </c>
      <c r="D2723" s="208" t="s">
        <v>580</v>
      </c>
      <c r="E2723" s="209">
        <v>43.02</v>
      </c>
      <c r="F2723" s="209">
        <v>42.19</v>
      </c>
      <c r="G2723" s="209">
        <v>85.21</v>
      </c>
      <c r="H2723" s="198"/>
    </row>
    <row r="2724" spans="1:8" ht="15.75" hidden="1" customHeight="1" x14ac:dyDescent="0.25">
      <c r="A2724" s="205" t="s">
        <v>3338</v>
      </c>
      <c r="B2724" s="206">
        <v>100709</v>
      </c>
      <c r="C2724" s="207" t="s">
        <v>3347</v>
      </c>
      <c r="D2724" s="208" t="s">
        <v>580</v>
      </c>
      <c r="E2724" s="209">
        <v>29.18</v>
      </c>
      <c r="F2724" s="209">
        <v>32.61</v>
      </c>
      <c r="G2724" s="209">
        <v>61.79</v>
      </c>
      <c r="H2724" s="198"/>
    </row>
    <row r="2725" spans="1:8" ht="15.75" hidden="1" customHeight="1" x14ac:dyDescent="0.25">
      <c r="A2725" s="205" t="s">
        <v>3338</v>
      </c>
      <c r="B2725" s="206">
        <v>100710</v>
      </c>
      <c r="C2725" s="207" t="s">
        <v>3348</v>
      </c>
      <c r="D2725" s="208" t="s">
        <v>580</v>
      </c>
      <c r="E2725" s="209">
        <v>105.08</v>
      </c>
      <c r="F2725" s="209">
        <v>43.5</v>
      </c>
      <c r="G2725" s="209">
        <v>148.58000000000001</v>
      </c>
      <c r="H2725" s="198"/>
    </row>
    <row r="2726" spans="1:8" ht="15.75" hidden="1" customHeight="1" x14ac:dyDescent="0.25">
      <c r="A2726" s="205" t="s">
        <v>3338</v>
      </c>
      <c r="B2726" s="206">
        <v>90830</v>
      </c>
      <c r="C2726" s="207" t="s">
        <v>3349</v>
      </c>
      <c r="D2726" s="208" t="s">
        <v>580</v>
      </c>
      <c r="E2726" s="209">
        <v>148.69</v>
      </c>
      <c r="F2726" s="209">
        <v>35.67</v>
      </c>
      <c r="G2726" s="209">
        <v>184.36</v>
      </c>
      <c r="H2726" s="198"/>
    </row>
    <row r="2727" spans="1:8" ht="15.75" hidden="1" customHeight="1" x14ac:dyDescent="0.25">
      <c r="A2727" s="205" t="s">
        <v>3338</v>
      </c>
      <c r="B2727" s="206">
        <v>91304</v>
      </c>
      <c r="C2727" s="207" t="s">
        <v>3350</v>
      </c>
      <c r="D2727" s="208" t="s">
        <v>580</v>
      </c>
      <c r="E2727" s="209">
        <v>81.93</v>
      </c>
      <c r="F2727" s="209">
        <v>35.659999999999997</v>
      </c>
      <c r="G2727" s="209">
        <v>117.59</v>
      </c>
      <c r="H2727" s="198"/>
    </row>
    <row r="2728" spans="1:8" ht="15.75" hidden="1" customHeight="1" x14ac:dyDescent="0.25">
      <c r="A2728" s="205" t="s">
        <v>3338</v>
      </c>
      <c r="B2728" s="206">
        <v>90831</v>
      </c>
      <c r="C2728" s="207" t="s">
        <v>3351</v>
      </c>
      <c r="D2728" s="208" t="s">
        <v>580</v>
      </c>
      <c r="E2728" s="209">
        <v>132.83000000000001</v>
      </c>
      <c r="F2728" s="209">
        <v>27.3</v>
      </c>
      <c r="G2728" s="209">
        <v>160.13</v>
      </c>
      <c r="H2728" s="198"/>
    </row>
    <row r="2729" spans="1:8" ht="15.75" hidden="1" customHeight="1" x14ac:dyDescent="0.25">
      <c r="A2729" s="205" t="s">
        <v>3338</v>
      </c>
      <c r="B2729" s="206">
        <v>91305</v>
      </c>
      <c r="C2729" s="207" t="s">
        <v>3352</v>
      </c>
      <c r="D2729" s="208" t="s">
        <v>580</v>
      </c>
      <c r="E2729" s="209">
        <v>86.88</v>
      </c>
      <c r="F2729" s="209">
        <v>27.31</v>
      </c>
      <c r="G2729" s="209">
        <v>114.19</v>
      </c>
      <c r="H2729" s="198"/>
    </row>
    <row r="2730" spans="1:8" ht="15.75" hidden="1" customHeight="1" x14ac:dyDescent="0.25">
      <c r="A2730" s="205" t="s">
        <v>3338</v>
      </c>
      <c r="B2730" s="206">
        <v>91306</v>
      </c>
      <c r="C2730" s="207" t="s">
        <v>3353</v>
      </c>
      <c r="D2730" s="208" t="s">
        <v>580</v>
      </c>
      <c r="E2730" s="209">
        <v>132.83000000000001</v>
      </c>
      <c r="F2730" s="209">
        <v>27.3</v>
      </c>
      <c r="G2730" s="209">
        <v>160.13</v>
      </c>
      <c r="H2730" s="198"/>
    </row>
    <row r="2731" spans="1:8" ht="15.75" hidden="1" customHeight="1" x14ac:dyDescent="0.25">
      <c r="A2731" s="205" t="s">
        <v>3338</v>
      </c>
      <c r="B2731" s="206">
        <v>91307</v>
      </c>
      <c r="C2731" s="207" t="s">
        <v>3354</v>
      </c>
      <c r="D2731" s="208" t="s">
        <v>580</v>
      </c>
      <c r="E2731" s="209">
        <v>71.39</v>
      </c>
      <c r="F2731" s="209">
        <v>27.31</v>
      </c>
      <c r="G2731" s="209">
        <v>98.7</v>
      </c>
      <c r="H2731" s="198"/>
    </row>
    <row r="2732" spans="1:8" ht="15.75" hidden="1" customHeight="1" x14ac:dyDescent="0.25">
      <c r="A2732" s="205" t="s">
        <v>3338</v>
      </c>
      <c r="B2732" s="206">
        <v>100707</v>
      </c>
      <c r="C2732" s="207" t="s">
        <v>3355</v>
      </c>
      <c r="D2732" s="208" t="s">
        <v>580</v>
      </c>
      <c r="E2732" s="209">
        <v>116.79</v>
      </c>
      <c r="F2732" s="209">
        <v>40.08</v>
      </c>
      <c r="G2732" s="209">
        <v>156.87</v>
      </c>
      <c r="H2732" s="198"/>
    </row>
    <row r="2733" spans="1:8" ht="15.75" hidden="1" customHeight="1" x14ac:dyDescent="0.25">
      <c r="A2733" s="205" t="s">
        <v>3338</v>
      </c>
      <c r="B2733" s="206">
        <v>100708</v>
      </c>
      <c r="C2733" s="207" t="s">
        <v>3356</v>
      </c>
      <c r="D2733" s="208" t="s">
        <v>580</v>
      </c>
      <c r="E2733" s="209">
        <v>149.69</v>
      </c>
      <c r="F2733" s="209">
        <v>44.46</v>
      </c>
      <c r="G2733" s="209">
        <v>194.15</v>
      </c>
      <c r="H2733" s="198"/>
    </row>
    <row r="2734" spans="1:8" ht="15.75" hidden="1" customHeight="1" x14ac:dyDescent="0.25">
      <c r="A2734" s="205" t="s">
        <v>3338</v>
      </c>
      <c r="B2734" s="206">
        <v>91328</v>
      </c>
      <c r="C2734" s="207" t="s">
        <v>3357</v>
      </c>
      <c r="D2734" s="208" t="s">
        <v>580</v>
      </c>
      <c r="E2734" s="209">
        <v>847.71</v>
      </c>
      <c r="F2734" s="209">
        <v>240.35</v>
      </c>
      <c r="G2734" s="209">
        <v>1088.06</v>
      </c>
      <c r="H2734" s="198"/>
    </row>
    <row r="2735" spans="1:8" ht="15.75" hidden="1" customHeight="1" x14ac:dyDescent="0.25">
      <c r="A2735" s="205" t="s">
        <v>3338</v>
      </c>
      <c r="B2735" s="206">
        <v>100687</v>
      </c>
      <c r="C2735" s="207" t="s">
        <v>3358</v>
      </c>
      <c r="D2735" s="208" t="s">
        <v>580</v>
      </c>
      <c r="E2735" s="209">
        <v>980.46</v>
      </c>
      <c r="F2735" s="209">
        <v>267.73</v>
      </c>
      <c r="G2735" s="209">
        <v>1248.19</v>
      </c>
      <c r="H2735" s="198"/>
    </row>
    <row r="2736" spans="1:8" ht="15.75" hidden="1" customHeight="1" x14ac:dyDescent="0.25">
      <c r="A2736" s="205" t="s">
        <v>3338</v>
      </c>
      <c r="B2736" s="206">
        <v>100681</v>
      </c>
      <c r="C2736" s="207" t="s">
        <v>3359</v>
      </c>
      <c r="D2736" s="208" t="s">
        <v>580</v>
      </c>
      <c r="E2736" s="209">
        <v>1007.28</v>
      </c>
      <c r="F2736" s="209">
        <v>272.94</v>
      </c>
      <c r="G2736" s="209">
        <v>1280.22</v>
      </c>
      <c r="H2736" s="198"/>
    </row>
    <row r="2737" spans="1:8" ht="15.75" hidden="1" customHeight="1" x14ac:dyDescent="0.25">
      <c r="A2737" s="205" t="s">
        <v>3338</v>
      </c>
      <c r="B2737" s="206">
        <v>91330</v>
      </c>
      <c r="C2737" s="207" t="s">
        <v>3360</v>
      </c>
      <c r="D2737" s="208" t="s">
        <v>580</v>
      </c>
      <c r="E2737" s="209">
        <v>874.46</v>
      </c>
      <c r="F2737" s="209">
        <v>245.63</v>
      </c>
      <c r="G2737" s="209">
        <v>1120.0899999999999</v>
      </c>
      <c r="H2737" s="198"/>
    </row>
    <row r="2738" spans="1:8" ht="15.75" hidden="1" customHeight="1" x14ac:dyDescent="0.25">
      <c r="A2738" s="205" t="s">
        <v>3338</v>
      </c>
      <c r="B2738" s="206">
        <v>100689</v>
      </c>
      <c r="C2738" s="207" t="s">
        <v>3361</v>
      </c>
      <c r="D2738" s="208" t="s">
        <v>580</v>
      </c>
      <c r="E2738" s="209">
        <v>1063.95</v>
      </c>
      <c r="F2738" s="209">
        <v>286.41000000000003</v>
      </c>
      <c r="G2738" s="209">
        <v>1350.36</v>
      </c>
      <c r="H2738" s="198"/>
    </row>
    <row r="2739" spans="1:8" ht="15.75" hidden="1" customHeight="1" x14ac:dyDescent="0.25">
      <c r="A2739" s="205" t="s">
        <v>3338</v>
      </c>
      <c r="B2739" s="206">
        <v>91332</v>
      </c>
      <c r="C2739" s="207" t="s">
        <v>3362</v>
      </c>
      <c r="D2739" s="208" t="s">
        <v>580</v>
      </c>
      <c r="E2739" s="209">
        <v>915.2</v>
      </c>
      <c r="F2739" s="209">
        <v>250.8</v>
      </c>
      <c r="G2739" s="209">
        <v>1166</v>
      </c>
      <c r="H2739" s="198"/>
    </row>
    <row r="2740" spans="1:8" ht="15.75" hidden="1" customHeight="1" x14ac:dyDescent="0.25">
      <c r="A2740" s="205" t="s">
        <v>3338</v>
      </c>
      <c r="B2740" s="206">
        <v>100688</v>
      </c>
      <c r="C2740" s="207" t="s">
        <v>3363</v>
      </c>
      <c r="D2740" s="208" t="s">
        <v>580</v>
      </c>
      <c r="E2740" s="209">
        <v>782.29</v>
      </c>
      <c r="F2740" s="209">
        <v>268.04000000000002</v>
      </c>
      <c r="G2740" s="209">
        <v>1050.33</v>
      </c>
      <c r="H2740" s="198"/>
    </row>
    <row r="2741" spans="1:8" ht="15.75" hidden="1" customHeight="1" x14ac:dyDescent="0.25">
      <c r="A2741" s="205" t="s">
        <v>3338</v>
      </c>
      <c r="B2741" s="206">
        <v>91329</v>
      </c>
      <c r="C2741" s="207" t="s">
        <v>3364</v>
      </c>
      <c r="D2741" s="208" t="s">
        <v>580</v>
      </c>
      <c r="E2741" s="209">
        <v>695.37</v>
      </c>
      <c r="F2741" s="209">
        <v>240.77</v>
      </c>
      <c r="G2741" s="209">
        <v>936.14</v>
      </c>
      <c r="H2741" s="198"/>
    </row>
    <row r="2742" spans="1:8" ht="15.75" hidden="1" customHeight="1" x14ac:dyDescent="0.25">
      <c r="A2742" s="205" t="s">
        <v>3338</v>
      </c>
      <c r="B2742" s="206">
        <v>100682</v>
      </c>
      <c r="C2742" s="207" t="s">
        <v>3365</v>
      </c>
      <c r="D2742" s="208" t="s">
        <v>580</v>
      </c>
      <c r="E2742" s="209">
        <v>792.62</v>
      </c>
      <c r="F2742" s="209">
        <v>273.3</v>
      </c>
      <c r="G2742" s="209">
        <v>1065.92</v>
      </c>
      <c r="H2742" s="198"/>
    </row>
    <row r="2743" spans="1:8" ht="15.75" hidden="1" customHeight="1" x14ac:dyDescent="0.25">
      <c r="A2743" s="205" t="s">
        <v>3338</v>
      </c>
      <c r="B2743" s="206">
        <v>91331</v>
      </c>
      <c r="C2743" s="207" t="s">
        <v>3366</v>
      </c>
      <c r="D2743" s="208" t="s">
        <v>580</v>
      </c>
      <c r="E2743" s="209">
        <v>721.26</v>
      </c>
      <c r="F2743" s="209">
        <v>245.96</v>
      </c>
      <c r="G2743" s="209">
        <v>967.22</v>
      </c>
      <c r="H2743" s="198"/>
    </row>
    <row r="2744" spans="1:8" ht="15.75" hidden="1" customHeight="1" x14ac:dyDescent="0.25">
      <c r="A2744" s="205" t="s">
        <v>3338</v>
      </c>
      <c r="B2744" s="206">
        <v>100690</v>
      </c>
      <c r="C2744" s="207" t="s">
        <v>3367</v>
      </c>
      <c r="D2744" s="208" t="s">
        <v>580</v>
      </c>
      <c r="E2744" s="209">
        <v>842.92</v>
      </c>
      <c r="F2744" s="209">
        <v>286.83999999999997</v>
      </c>
      <c r="G2744" s="209">
        <v>1129.76</v>
      </c>
      <c r="H2744" s="198"/>
    </row>
    <row r="2745" spans="1:8" ht="15.75" hidden="1" customHeight="1" x14ac:dyDescent="0.25">
      <c r="A2745" s="205" t="s">
        <v>3338</v>
      </c>
      <c r="B2745" s="206">
        <v>91333</v>
      </c>
      <c r="C2745" s="207" t="s">
        <v>3368</v>
      </c>
      <c r="D2745" s="208" t="s">
        <v>580</v>
      </c>
      <c r="E2745" s="209">
        <v>761.06</v>
      </c>
      <c r="F2745" s="209">
        <v>251.11</v>
      </c>
      <c r="G2745" s="209">
        <v>1012.17</v>
      </c>
      <c r="H2745" s="198"/>
    </row>
    <row r="2746" spans="1:8" ht="15.75" hidden="1" customHeight="1" x14ac:dyDescent="0.25">
      <c r="A2746" s="205" t="s">
        <v>3338</v>
      </c>
      <c r="B2746" s="206">
        <v>90841</v>
      </c>
      <c r="C2746" s="207" t="s">
        <v>3369</v>
      </c>
      <c r="D2746" s="208" t="s">
        <v>580</v>
      </c>
      <c r="E2746" s="209">
        <v>956.77</v>
      </c>
      <c r="F2746" s="209">
        <v>267.66000000000003</v>
      </c>
      <c r="G2746" s="209">
        <v>1224.43</v>
      </c>
      <c r="H2746" s="198"/>
    </row>
    <row r="2747" spans="1:8" ht="15.75" hidden="1" customHeight="1" x14ac:dyDescent="0.25">
      <c r="A2747" s="205" t="s">
        <v>3338</v>
      </c>
      <c r="B2747" s="206">
        <v>90847</v>
      </c>
      <c r="C2747" s="207" t="s">
        <v>3370</v>
      </c>
      <c r="D2747" s="208" t="s">
        <v>580</v>
      </c>
      <c r="E2747" s="209">
        <v>823.88</v>
      </c>
      <c r="F2747" s="209">
        <v>240.42</v>
      </c>
      <c r="G2747" s="209">
        <v>1064.3</v>
      </c>
      <c r="H2747" s="198"/>
    </row>
    <row r="2748" spans="1:8" ht="15.75" hidden="1" customHeight="1" x14ac:dyDescent="0.25">
      <c r="A2748" s="205" t="s">
        <v>3338</v>
      </c>
      <c r="B2748" s="206">
        <v>90842</v>
      </c>
      <c r="C2748" s="207" t="s">
        <v>3371</v>
      </c>
      <c r="D2748" s="208" t="s">
        <v>580</v>
      </c>
      <c r="E2748" s="209">
        <v>963.14</v>
      </c>
      <c r="F2748" s="209">
        <v>272.92</v>
      </c>
      <c r="G2748" s="209">
        <v>1236.06</v>
      </c>
      <c r="H2748" s="198"/>
    </row>
    <row r="2749" spans="1:8" ht="15.75" hidden="1" customHeight="1" x14ac:dyDescent="0.25">
      <c r="A2749" s="205" t="s">
        <v>3338</v>
      </c>
      <c r="B2749" s="206">
        <v>90848</v>
      </c>
      <c r="C2749" s="207" t="s">
        <v>3372</v>
      </c>
      <c r="D2749" s="208" t="s">
        <v>580</v>
      </c>
      <c r="E2749" s="209">
        <v>830.3</v>
      </c>
      <c r="F2749" s="209">
        <v>245.63</v>
      </c>
      <c r="G2749" s="209">
        <v>1075.93</v>
      </c>
      <c r="H2749" s="198"/>
    </row>
    <row r="2750" spans="1:8" ht="15.75" hidden="1" customHeight="1" x14ac:dyDescent="0.25">
      <c r="A2750" s="205" t="s">
        <v>3338</v>
      </c>
      <c r="B2750" s="206">
        <v>90843</v>
      </c>
      <c r="C2750" s="207" t="s">
        <v>3373</v>
      </c>
      <c r="D2750" s="208" t="s">
        <v>580</v>
      </c>
      <c r="E2750" s="209">
        <v>1004.88</v>
      </c>
      <c r="F2750" s="209">
        <v>286.39999999999998</v>
      </c>
      <c r="G2750" s="209">
        <v>1291.28</v>
      </c>
      <c r="H2750" s="198"/>
    </row>
    <row r="2751" spans="1:8" ht="15.75" hidden="1" customHeight="1" x14ac:dyDescent="0.25">
      <c r="A2751" s="205" t="s">
        <v>3338</v>
      </c>
      <c r="B2751" s="206">
        <v>90849</v>
      </c>
      <c r="C2751" s="207" t="s">
        <v>3374</v>
      </c>
      <c r="D2751" s="208" t="s">
        <v>580</v>
      </c>
      <c r="E2751" s="209">
        <v>856.21</v>
      </c>
      <c r="F2751" s="209">
        <v>250.71</v>
      </c>
      <c r="G2751" s="209">
        <v>1106.92</v>
      </c>
      <c r="H2751" s="198"/>
    </row>
    <row r="2752" spans="1:8" ht="15.75" hidden="1" customHeight="1" x14ac:dyDescent="0.25">
      <c r="A2752" s="205" t="s">
        <v>3338</v>
      </c>
      <c r="B2752" s="206">
        <v>90844</v>
      </c>
      <c r="C2752" s="207" t="s">
        <v>3375</v>
      </c>
      <c r="D2752" s="208" t="s">
        <v>580</v>
      </c>
      <c r="E2752" s="209">
        <v>1094.3</v>
      </c>
      <c r="F2752" s="209">
        <v>291.58999999999997</v>
      </c>
      <c r="G2752" s="209">
        <v>1385.89</v>
      </c>
      <c r="H2752" s="198"/>
    </row>
    <row r="2753" spans="1:8" ht="15.75" hidden="1" customHeight="1" x14ac:dyDescent="0.25">
      <c r="A2753" s="205" t="s">
        <v>3338</v>
      </c>
      <c r="B2753" s="206">
        <v>90850</v>
      </c>
      <c r="C2753" s="207" t="s">
        <v>3376</v>
      </c>
      <c r="D2753" s="208" t="s">
        <v>580</v>
      </c>
      <c r="E2753" s="209">
        <v>945.61</v>
      </c>
      <c r="F2753" s="209">
        <v>255.92</v>
      </c>
      <c r="G2753" s="209">
        <v>1201.53</v>
      </c>
      <c r="H2753" s="198"/>
    </row>
    <row r="2754" spans="1:8" ht="15.75" hidden="1" customHeight="1" x14ac:dyDescent="0.25">
      <c r="A2754" s="205" t="s">
        <v>3338</v>
      </c>
      <c r="B2754" s="206">
        <v>91312</v>
      </c>
      <c r="C2754" s="207" t="s">
        <v>3377</v>
      </c>
      <c r="D2754" s="208" t="s">
        <v>580</v>
      </c>
      <c r="E2754" s="209">
        <v>758.54</v>
      </c>
      <c r="F2754" s="209">
        <v>268.02999999999997</v>
      </c>
      <c r="G2754" s="209">
        <v>1026.57</v>
      </c>
      <c r="H2754" s="198"/>
    </row>
    <row r="2755" spans="1:8" ht="15.75" hidden="1" customHeight="1" x14ac:dyDescent="0.25">
      <c r="A2755" s="205" t="s">
        <v>3338</v>
      </c>
      <c r="B2755" s="206">
        <v>91318</v>
      </c>
      <c r="C2755" s="207" t="s">
        <v>3378</v>
      </c>
      <c r="D2755" s="208" t="s">
        <v>580</v>
      </c>
      <c r="E2755" s="209">
        <v>671.61</v>
      </c>
      <c r="F2755" s="209">
        <v>240.77</v>
      </c>
      <c r="G2755" s="209">
        <v>912.38</v>
      </c>
      <c r="H2755" s="198"/>
    </row>
    <row r="2756" spans="1:8" ht="15.75" hidden="1" customHeight="1" x14ac:dyDescent="0.25">
      <c r="A2756" s="205" t="s">
        <v>3338</v>
      </c>
      <c r="B2756" s="206">
        <v>91313</v>
      </c>
      <c r="C2756" s="207" t="s">
        <v>3379</v>
      </c>
      <c r="D2756" s="208" t="s">
        <v>580</v>
      </c>
      <c r="E2756" s="209">
        <v>748.55</v>
      </c>
      <c r="F2756" s="209">
        <v>273.20999999999998</v>
      </c>
      <c r="G2756" s="209">
        <v>1021.76</v>
      </c>
      <c r="H2756" s="198"/>
    </row>
    <row r="2757" spans="1:8" ht="15.75" hidden="1" customHeight="1" x14ac:dyDescent="0.25">
      <c r="A2757" s="205" t="s">
        <v>3338</v>
      </c>
      <c r="B2757" s="206">
        <v>91319</v>
      </c>
      <c r="C2757" s="207" t="s">
        <v>3380</v>
      </c>
      <c r="D2757" s="208" t="s">
        <v>580</v>
      </c>
      <c r="E2757" s="209">
        <v>677.07</v>
      </c>
      <c r="F2757" s="209">
        <v>245.99</v>
      </c>
      <c r="G2757" s="209">
        <v>923.06</v>
      </c>
      <c r="H2757" s="198"/>
    </row>
    <row r="2758" spans="1:8" ht="15.75" hidden="1" customHeight="1" x14ac:dyDescent="0.25">
      <c r="A2758" s="205" t="s">
        <v>3338</v>
      </c>
      <c r="B2758" s="206">
        <v>91314</v>
      </c>
      <c r="C2758" s="207" t="s">
        <v>3381</v>
      </c>
      <c r="D2758" s="208" t="s">
        <v>580</v>
      </c>
      <c r="E2758" s="209">
        <v>783.85</v>
      </c>
      <c r="F2758" s="209">
        <v>286.83</v>
      </c>
      <c r="G2758" s="209">
        <v>1070.68</v>
      </c>
      <c r="H2758" s="198"/>
    </row>
    <row r="2759" spans="1:8" ht="15.75" hidden="1" customHeight="1" x14ac:dyDescent="0.25">
      <c r="A2759" s="205" t="s">
        <v>3338</v>
      </c>
      <c r="B2759" s="206">
        <v>91320</v>
      </c>
      <c r="C2759" s="207" t="s">
        <v>3382</v>
      </c>
      <c r="D2759" s="208" t="s">
        <v>580</v>
      </c>
      <c r="E2759" s="209">
        <v>701.96</v>
      </c>
      <c r="F2759" s="209">
        <v>251.13</v>
      </c>
      <c r="G2759" s="209">
        <v>953.09</v>
      </c>
      <c r="H2759" s="198"/>
    </row>
    <row r="2760" spans="1:8" ht="15.75" hidden="1" customHeight="1" x14ac:dyDescent="0.25">
      <c r="A2760" s="205" t="s">
        <v>3338</v>
      </c>
      <c r="B2760" s="206">
        <v>91315</v>
      </c>
      <c r="C2760" s="207" t="s">
        <v>3383</v>
      </c>
      <c r="D2760" s="208" t="s">
        <v>580</v>
      </c>
      <c r="E2760" s="209">
        <v>872.32</v>
      </c>
      <c r="F2760" s="209">
        <v>292.01</v>
      </c>
      <c r="G2760" s="209">
        <v>1164.33</v>
      </c>
      <c r="H2760" s="198"/>
    </row>
    <row r="2761" spans="1:8" ht="15.75" hidden="1" customHeight="1" x14ac:dyDescent="0.25">
      <c r="A2761" s="205" t="s">
        <v>3338</v>
      </c>
      <c r="B2761" s="206">
        <v>91321</v>
      </c>
      <c r="C2761" s="207" t="s">
        <v>3384</v>
      </c>
      <c r="D2761" s="208" t="s">
        <v>580</v>
      </c>
      <c r="E2761" s="209">
        <v>790.4</v>
      </c>
      <c r="F2761" s="209">
        <v>256.33999999999997</v>
      </c>
      <c r="G2761" s="209">
        <v>1046.74</v>
      </c>
      <c r="H2761" s="198"/>
    </row>
    <row r="2762" spans="1:8" ht="15.75" hidden="1" customHeight="1" x14ac:dyDescent="0.25">
      <c r="A2762" s="205" t="s">
        <v>3338</v>
      </c>
      <c r="B2762" s="206">
        <v>90845</v>
      </c>
      <c r="C2762" s="207" t="s">
        <v>3385</v>
      </c>
      <c r="D2762" s="208" t="s">
        <v>580</v>
      </c>
      <c r="E2762" s="209">
        <v>1287.79</v>
      </c>
      <c r="F2762" s="209">
        <v>307.77999999999997</v>
      </c>
      <c r="G2762" s="209">
        <v>1595.57</v>
      </c>
      <c r="H2762" s="198"/>
    </row>
    <row r="2763" spans="1:8" ht="15.75" hidden="1" customHeight="1" x14ac:dyDescent="0.25">
      <c r="A2763" s="205" t="s">
        <v>3338</v>
      </c>
      <c r="B2763" s="206">
        <v>90851</v>
      </c>
      <c r="C2763" s="207" t="s">
        <v>3386</v>
      </c>
      <c r="D2763" s="208" t="s">
        <v>580</v>
      </c>
      <c r="E2763" s="209">
        <v>1139.1300000000001</v>
      </c>
      <c r="F2763" s="209">
        <v>272.08</v>
      </c>
      <c r="G2763" s="209">
        <v>1411.21</v>
      </c>
      <c r="H2763" s="198"/>
    </row>
    <row r="2764" spans="1:8" ht="15.75" hidden="1" customHeight="1" x14ac:dyDescent="0.25">
      <c r="A2764" s="205" t="s">
        <v>3338</v>
      </c>
      <c r="B2764" s="206">
        <v>90846</v>
      </c>
      <c r="C2764" s="207" t="s">
        <v>3387</v>
      </c>
      <c r="D2764" s="208" t="s">
        <v>580</v>
      </c>
      <c r="E2764" s="209">
        <v>1364.28</v>
      </c>
      <c r="F2764" s="209">
        <v>314.83</v>
      </c>
      <c r="G2764" s="209">
        <v>1679.11</v>
      </c>
      <c r="H2764" s="198"/>
    </row>
    <row r="2765" spans="1:8" ht="15.75" hidden="1" customHeight="1" x14ac:dyDescent="0.25">
      <c r="A2765" s="205" t="s">
        <v>3338</v>
      </c>
      <c r="B2765" s="206">
        <v>90852</v>
      </c>
      <c r="C2765" s="207" t="s">
        <v>3388</v>
      </c>
      <c r="D2765" s="208" t="s">
        <v>580</v>
      </c>
      <c r="E2765" s="209">
        <v>1215.69</v>
      </c>
      <c r="F2765" s="209">
        <v>279.06</v>
      </c>
      <c r="G2765" s="209">
        <v>1494.75</v>
      </c>
      <c r="H2765" s="198"/>
    </row>
    <row r="2766" spans="1:8" ht="15.75" hidden="1" customHeight="1" x14ac:dyDescent="0.25">
      <c r="A2766" s="205" t="s">
        <v>3338</v>
      </c>
      <c r="B2766" s="206">
        <v>91316</v>
      </c>
      <c r="C2766" s="207" t="s">
        <v>3389</v>
      </c>
      <c r="D2766" s="208" t="s">
        <v>580</v>
      </c>
      <c r="E2766" s="209">
        <v>1066.8399999999999</v>
      </c>
      <c r="F2766" s="209">
        <v>308.13</v>
      </c>
      <c r="G2766" s="209">
        <v>1374.97</v>
      </c>
      <c r="H2766" s="198"/>
    </row>
    <row r="2767" spans="1:8" ht="15.75" hidden="1" customHeight="1" x14ac:dyDescent="0.25">
      <c r="A2767" s="205" t="s">
        <v>3338</v>
      </c>
      <c r="B2767" s="206">
        <v>91322</v>
      </c>
      <c r="C2767" s="207" t="s">
        <v>3390</v>
      </c>
      <c r="D2767" s="208" t="s">
        <v>580</v>
      </c>
      <c r="E2767" s="209">
        <v>984.91</v>
      </c>
      <c r="F2767" s="209">
        <v>272.47000000000003</v>
      </c>
      <c r="G2767" s="209">
        <v>1257.3800000000001</v>
      </c>
      <c r="H2767" s="198"/>
    </row>
    <row r="2768" spans="1:8" ht="15.75" hidden="1" customHeight="1" x14ac:dyDescent="0.25">
      <c r="A2768" s="205" t="s">
        <v>3338</v>
      </c>
      <c r="B2768" s="206">
        <v>91317</v>
      </c>
      <c r="C2768" s="207" t="s">
        <v>3391</v>
      </c>
      <c r="D2768" s="208" t="s">
        <v>580</v>
      </c>
      <c r="E2768" s="209">
        <v>1142.43</v>
      </c>
      <c r="F2768" s="209">
        <v>315.12</v>
      </c>
      <c r="G2768" s="209">
        <v>1457.55</v>
      </c>
      <c r="H2768" s="198"/>
    </row>
    <row r="2769" spans="1:8" ht="15.75" hidden="1" customHeight="1" x14ac:dyDescent="0.25">
      <c r="A2769" s="205" t="s">
        <v>3338</v>
      </c>
      <c r="B2769" s="206">
        <v>91323</v>
      </c>
      <c r="C2769" s="207" t="s">
        <v>3392</v>
      </c>
      <c r="D2769" s="208" t="s">
        <v>580</v>
      </c>
      <c r="E2769" s="209">
        <v>1060.45</v>
      </c>
      <c r="F2769" s="209">
        <v>279.51</v>
      </c>
      <c r="G2769" s="209">
        <v>1339.96</v>
      </c>
      <c r="H2769" s="198"/>
    </row>
    <row r="2770" spans="1:8" ht="15.75" hidden="1" customHeight="1" x14ac:dyDescent="0.25">
      <c r="A2770" s="205" t="s">
        <v>3338</v>
      </c>
      <c r="B2770" s="206">
        <v>100678</v>
      </c>
      <c r="C2770" s="207" t="s">
        <v>3393</v>
      </c>
      <c r="D2770" s="208" t="s">
        <v>580</v>
      </c>
      <c r="E2770" s="209">
        <v>969.45</v>
      </c>
      <c r="F2770" s="209">
        <v>267.72000000000003</v>
      </c>
      <c r="G2770" s="209">
        <v>1237.17</v>
      </c>
      <c r="H2770" s="198"/>
    </row>
    <row r="2771" spans="1:8" ht="15.75" hidden="1" customHeight="1" x14ac:dyDescent="0.25">
      <c r="A2771" s="205" t="s">
        <v>3338</v>
      </c>
      <c r="B2771" s="206">
        <v>91013</v>
      </c>
      <c r="C2771" s="207" t="s">
        <v>3394</v>
      </c>
      <c r="D2771" s="208" t="s">
        <v>580</v>
      </c>
      <c r="E2771" s="209">
        <v>836.65</v>
      </c>
      <c r="F2771" s="209">
        <v>240.39</v>
      </c>
      <c r="G2771" s="209">
        <v>1077.04</v>
      </c>
      <c r="H2771" s="198"/>
    </row>
    <row r="2772" spans="1:8" ht="15.75" hidden="1" customHeight="1" x14ac:dyDescent="0.25">
      <c r="A2772" s="205" t="s">
        <v>3338</v>
      </c>
      <c r="B2772" s="206">
        <v>100680</v>
      </c>
      <c r="C2772" s="207" t="s">
        <v>3395</v>
      </c>
      <c r="D2772" s="208" t="s">
        <v>580</v>
      </c>
      <c r="E2772" s="209">
        <v>976.54</v>
      </c>
      <c r="F2772" s="209">
        <v>272.86</v>
      </c>
      <c r="G2772" s="209">
        <v>1249.4000000000001</v>
      </c>
      <c r="H2772" s="198"/>
    </row>
    <row r="2773" spans="1:8" ht="15.75" hidden="1" customHeight="1" x14ac:dyDescent="0.25">
      <c r="A2773" s="205" t="s">
        <v>3338</v>
      </c>
      <c r="B2773" s="206">
        <v>91014</v>
      </c>
      <c r="C2773" s="207" t="s">
        <v>3396</v>
      </c>
      <c r="D2773" s="208" t="s">
        <v>580</v>
      </c>
      <c r="E2773" s="209">
        <v>843.64</v>
      </c>
      <c r="F2773" s="209">
        <v>245.63</v>
      </c>
      <c r="G2773" s="209">
        <v>1089.27</v>
      </c>
      <c r="H2773" s="198"/>
    </row>
    <row r="2774" spans="1:8" ht="15.75" hidden="1" customHeight="1" x14ac:dyDescent="0.25">
      <c r="A2774" s="205" t="s">
        <v>3338</v>
      </c>
      <c r="B2774" s="206">
        <v>100683</v>
      </c>
      <c r="C2774" s="207" t="s">
        <v>3397</v>
      </c>
      <c r="D2774" s="208" t="s">
        <v>580</v>
      </c>
      <c r="E2774" s="209">
        <v>1056.54</v>
      </c>
      <c r="F2774" s="209">
        <v>286.45999999999998</v>
      </c>
      <c r="G2774" s="209">
        <v>1343</v>
      </c>
      <c r="H2774" s="198"/>
    </row>
    <row r="2775" spans="1:8" ht="15.75" hidden="1" customHeight="1" x14ac:dyDescent="0.25">
      <c r="A2775" s="205" t="s">
        <v>3338</v>
      </c>
      <c r="B2775" s="206">
        <v>91015</v>
      </c>
      <c r="C2775" s="207" t="s">
        <v>3398</v>
      </c>
      <c r="D2775" s="208" t="s">
        <v>580</v>
      </c>
      <c r="E2775" s="209">
        <v>907.92</v>
      </c>
      <c r="F2775" s="209">
        <v>250.72</v>
      </c>
      <c r="G2775" s="209">
        <v>1158.6400000000001</v>
      </c>
      <c r="H2775" s="198"/>
    </row>
    <row r="2776" spans="1:8" ht="15.75" hidden="1" customHeight="1" x14ac:dyDescent="0.25">
      <c r="A2776" s="205" t="s">
        <v>3338</v>
      </c>
      <c r="B2776" s="206">
        <v>100685</v>
      </c>
      <c r="C2776" s="207" t="s">
        <v>3399</v>
      </c>
      <c r="D2776" s="208" t="s">
        <v>580</v>
      </c>
      <c r="E2776" s="209">
        <v>1105.5899999999999</v>
      </c>
      <c r="F2776" s="209">
        <v>291.58999999999997</v>
      </c>
      <c r="G2776" s="209">
        <v>1397.18</v>
      </c>
      <c r="H2776" s="198"/>
    </row>
    <row r="2777" spans="1:8" ht="15.75" hidden="1" customHeight="1" x14ac:dyDescent="0.25">
      <c r="A2777" s="205" t="s">
        <v>3338</v>
      </c>
      <c r="B2777" s="206">
        <v>91016</v>
      </c>
      <c r="C2777" s="207" t="s">
        <v>3400</v>
      </c>
      <c r="D2777" s="208" t="s">
        <v>580</v>
      </c>
      <c r="E2777" s="209">
        <v>956.92</v>
      </c>
      <c r="F2777" s="209">
        <v>255.9</v>
      </c>
      <c r="G2777" s="209">
        <v>1212.82</v>
      </c>
      <c r="H2777" s="198"/>
    </row>
    <row r="2778" spans="1:8" ht="15.75" hidden="1" customHeight="1" x14ac:dyDescent="0.25">
      <c r="A2778" s="205" t="s">
        <v>3338</v>
      </c>
      <c r="B2778" s="206">
        <v>100679</v>
      </c>
      <c r="C2778" s="207" t="s">
        <v>3401</v>
      </c>
      <c r="D2778" s="208" t="s">
        <v>580</v>
      </c>
      <c r="E2778" s="209">
        <v>771.28</v>
      </c>
      <c r="F2778" s="209">
        <v>268.02999999999997</v>
      </c>
      <c r="G2778" s="209">
        <v>1039.31</v>
      </c>
      <c r="H2778" s="198"/>
    </row>
    <row r="2779" spans="1:8" ht="15.75" hidden="1" customHeight="1" x14ac:dyDescent="0.25">
      <c r="A2779" s="205" t="s">
        <v>3338</v>
      </c>
      <c r="B2779" s="206">
        <v>91324</v>
      </c>
      <c r="C2779" s="207" t="s">
        <v>3402</v>
      </c>
      <c r="D2779" s="208" t="s">
        <v>580</v>
      </c>
      <c r="E2779" s="209">
        <v>684.41</v>
      </c>
      <c r="F2779" s="209">
        <v>240.71</v>
      </c>
      <c r="G2779" s="209">
        <v>925.12</v>
      </c>
      <c r="H2779" s="198"/>
    </row>
    <row r="2780" spans="1:8" ht="15.75" hidden="1" customHeight="1" x14ac:dyDescent="0.25">
      <c r="A2780" s="205" t="s">
        <v>3338</v>
      </c>
      <c r="B2780" s="206">
        <v>100712</v>
      </c>
      <c r="C2780" s="207" t="s">
        <v>3403</v>
      </c>
      <c r="D2780" s="208" t="s">
        <v>580</v>
      </c>
      <c r="E2780" s="209">
        <v>761.84</v>
      </c>
      <c r="F2780" s="209">
        <v>273.26</v>
      </c>
      <c r="G2780" s="209">
        <v>1035.0999999999999</v>
      </c>
      <c r="H2780" s="198"/>
    </row>
    <row r="2781" spans="1:8" ht="15.75" hidden="1" customHeight="1" x14ac:dyDescent="0.25">
      <c r="A2781" s="205" t="s">
        <v>3338</v>
      </c>
      <c r="B2781" s="206">
        <v>91325</v>
      </c>
      <c r="C2781" s="207" t="s">
        <v>3404</v>
      </c>
      <c r="D2781" s="208" t="s">
        <v>580</v>
      </c>
      <c r="E2781" s="209">
        <v>690.41</v>
      </c>
      <c r="F2781" s="209">
        <v>245.99</v>
      </c>
      <c r="G2781" s="209">
        <v>936.4</v>
      </c>
      <c r="H2781" s="198"/>
    </row>
    <row r="2782" spans="1:8" ht="15.75" hidden="1" customHeight="1" x14ac:dyDescent="0.25">
      <c r="A2782" s="205" t="s">
        <v>3338</v>
      </c>
      <c r="B2782" s="206">
        <v>100684</v>
      </c>
      <c r="C2782" s="207" t="s">
        <v>3405</v>
      </c>
      <c r="D2782" s="208" t="s">
        <v>580</v>
      </c>
      <c r="E2782" s="209">
        <v>835.63</v>
      </c>
      <c r="F2782" s="209">
        <v>286.77</v>
      </c>
      <c r="G2782" s="209">
        <v>1122.4000000000001</v>
      </c>
      <c r="H2782" s="198"/>
    </row>
    <row r="2783" spans="1:8" ht="15.75" hidden="1" customHeight="1" x14ac:dyDescent="0.25">
      <c r="A2783" s="205" t="s">
        <v>3338</v>
      </c>
      <c r="B2783" s="206">
        <v>91326</v>
      </c>
      <c r="C2783" s="207" t="s">
        <v>3406</v>
      </c>
      <c r="D2783" s="208" t="s">
        <v>580</v>
      </c>
      <c r="E2783" s="209">
        <v>753.71</v>
      </c>
      <c r="F2783" s="209">
        <v>251.1</v>
      </c>
      <c r="G2783" s="209">
        <v>1004.81</v>
      </c>
      <c r="H2783" s="198"/>
    </row>
    <row r="2784" spans="1:8" ht="15.75" hidden="1" customHeight="1" x14ac:dyDescent="0.25">
      <c r="A2784" s="205" t="s">
        <v>3338</v>
      </c>
      <c r="B2784" s="206">
        <v>91327</v>
      </c>
      <c r="C2784" s="207" t="s">
        <v>3407</v>
      </c>
      <c r="D2784" s="208" t="s">
        <v>580</v>
      </c>
      <c r="E2784" s="209">
        <v>801.67</v>
      </c>
      <c r="F2784" s="209">
        <v>256.36</v>
      </c>
      <c r="G2784" s="209">
        <v>1058.03</v>
      </c>
      <c r="H2784" s="198"/>
    </row>
    <row r="2785" spans="1:8" ht="15.75" hidden="1" customHeight="1" x14ac:dyDescent="0.25">
      <c r="A2785" s="205" t="s">
        <v>3338</v>
      </c>
      <c r="B2785" s="206">
        <v>100686</v>
      </c>
      <c r="C2785" s="207" t="s">
        <v>3408</v>
      </c>
      <c r="D2785" s="208" t="s">
        <v>580</v>
      </c>
      <c r="E2785" s="209">
        <v>883.6</v>
      </c>
      <c r="F2785" s="209">
        <v>292.02</v>
      </c>
      <c r="G2785" s="209">
        <v>1175.6199999999999</v>
      </c>
      <c r="H2785" s="198"/>
    </row>
    <row r="2786" spans="1:8" ht="15.75" hidden="1" customHeight="1" x14ac:dyDescent="0.25">
      <c r="A2786" s="205" t="s">
        <v>3338</v>
      </c>
      <c r="B2786" s="206">
        <v>100693</v>
      </c>
      <c r="C2786" s="207" t="s">
        <v>3409</v>
      </c>
      <c r="D2786" s="208" t="s">
        <v>580</v>
      </c>
      <c r="E2786" s="209">
        <v>1996.38</v>
      </c>
      <c r="F2786" s="209">
        <v>307.83999999999997</v>
      </c>
      <c r="G2786" s="209">
        <v>2304.2199999999998</v>
      </c>
      <c r="H2786" s="198"/>
    </row>
    <row r="2787" spans="1:8" ht="15.75" hidden="1" customHeight="1" x14ac:dyDescent="0.25">
      <c r="A2787" s="205" t="s">
        <v>3338</v>
      </c>
      <c r="B2787" s="206">
        <v>91336</v>
      </c>
      <c r="C2787" s="207" t="s">
        <v>3410</v>
      </c>
      <c r="D2787" s="208" t="s">
        <v>580</v>
      </c>
      <c r="E2787" s="209">
        <v>1847.67</v>
      </c>
      <c r="F2787" s="209">
        <v>272.19</v>
      </c>
      <c r="G2787" s="209">
        <v>2119.86</v>
      </c>
      <c r="H2787" s="198"/>
    </row>
    <row r="2788" spans="1:8" ht="15.75" hidden="1" customHeight="1" x14ac:dyDescent="0.25">
      <c r="A2788" s="205" t="s">
        <v>3338</v>
      </c>
      <c r="B2788" s="206">
        <v>100694</v>
      </c>
      <c r="C2788" s="207" t="s">
        <v>3411</v>
      </c>
      <c r="D2788" s="208" t="s">
        <v>580</v>
      </c>
      <c r="E2788" s="209">
        <v>1775.46</v>
      </c>
      <c r="F2788" s="209">
        <v>308.16000000000003</v>
      </c>
      <c r="G2788" s="209">
        <v>2083.62</v>
      </c>
      <c r="H2788" s="198"/>
    </row>
    <row r="2789" spans="1:8" ht="15.75" hidden="1" customHeight="1" x14ac:dyDescent="0.25">
      <c r="A2789" s="205" t="s">
        <v>3338</v>
      </c>
      <c r="B2789" s="206">
        <v>91337</v>
      </c>
      <c r="C2789" s="207" t="s">
        <v>3412</v>
      </c>
      <c r="D2789" s="208" t="s">
        <v>580</v>
      </c>
      <c r="E2789" s="209">
        <v>1693.54</v>
      </c>
      <c r="F2789" s="209">
        <v>272.49</v>
      </c>
      <c r="G2789" s="209">
        <v>1966.03</v>
      </c>
      <c r="H2789" s="198"/>
    </row>
    <row r="2790" spans="1:8" ht="15.75" hidden="1" customHeight="1" x14ac:dyDescent="0.25">
      <c r="A2790" s="205" t="s">
        <v>3338</v>
      </c>
      <c r="B2790" s="206">
        <v>100691</v>
      </c>
      <c r="C2790" s="207" t="s">
        <v>3413</v>
      </c>
      <c r="D2790" s="208" t="s">
        <v>580</v>
      </c>
      <c r="E2790" s="209">
        <v>1610.76</v>
      </c>
      <c r="F2790" s="209">
        <v>286.48</v>
      </c>
      <c r="G2790" s="209">
        <v>1897.24</v>
      </c>
      <c r="H2790" s="198"/>
    </row>
    <row r="2791" spans="1:8" ht="15.75" hidden="1" customHeight="1" x14ac:dyDescent="0.25">
      <c r="A2791" s="205" t="s">
        <v>3338</v>
      </c>
      <c r="B2791" s="206">
        <v>100692</v>
      </c>
      <c r="C2791" s="207" t="s">
        <v>3414</v>
      </c>
      <c r="D2791" s="208" t="s">
        <v>580</v>
      </c>
      <c r="E2791" s="209">
        <v>1389.77</v>
      </c>
      <c r="F2791" s="209">
        <v>286.87</v>
      </c>
      <c r="G2791" s="209">
        <v>1676.64</v>
      </c>
      <c r="H2791" s="198"/>
    </row>
    <row r="2792" spans="1:8" ht="15.75" hidden="1" customHeight="1" x14ac:dyDescent="0.25">
      <c r="A2792" s="205" t="s">
        <v>3338</v>
      </c>
      <c r="B2792" s="206">
        <v>91334</v>
      </c>
      <c r="C2792" s="207" t="s">
        <v>3415</v>
      </c>
      <c r="D2792" s="208" t="s">
        <v>580</v>
      </c>
      <c r="E2792" s="209">
        <v>1462.12</v>
      </c>
      <c r="F2792" s="209">
        <v>250.76</v>
      </c>
      <c r="G2792" s="209">
        <v>1712.88</v>
      </c>
      <c r="H2792" s="198"/>
    </row>
    <row r="2793" spans="1:8" ht="15.75" hidden="1" customHeight="1" x14ac:dyDescent="0.25">
      <c r="A2793" s="205" t="s">
        <v>3338</v>
      </c>
      <c r="B2793" s="206">
        <v>91335</v>
      </c>
      <c r="C2793" s="207" t="s">
        <v>3416</v>
      </c>
      <c r="D2793" s="208" t="s">
        <v>580</v>
      </c>
      <c r="E2793" s="209">
        <v>1307.8900000000001</v>
      </c>
      <c r="F2793" s="209">
        <v>251.16</v>
      </c>
      <c r="G2793" s="209">
        <v>1559.05</v>
      </c>
      <c r="H2793" s="198"/>
    </row>
    <row r="2794" spans="1:8" ht="15.75" hidden="1" customHeight="1" x14ac:dyDescent="0.25">
      <c r="A2794" s="205" t="s">
        <v>3338</v>
      </c>
      <c r="B2794" s="206">
        <v>90788</v>
      </c>
      <c r="C2794" s="207" t="s">
        <v>3417</v>
      </c>
      <c r="D2794" s="208" t="s">
        <v>580</v>
      </c>
      <c r="E2794" s="209">
        <v>919.84</v>
      </c>
      <c r="F2794" s="209">
        <v>16.38</v>
      </c>
      <c r="G2794" s="209">
        <v>936.22</v>
      </c>
      <c r="H2794" s="198"/>
    </row>
    <row r="2795" spans="1:8" ht="15.75" hidden="1" customHeight="1" x14ac:dyDescent="0.25">
      <c r="A2795" s="205" t="s">
        <v>3338</v>
      </c>
      <c r="B2795" s="206">
        <v>90789</v>
      </c>
      <c r="C2795" s="207" t="s">
        <v>3418</v>
      </c>
      <c r="D2795" s="208" t="s">
        <v>580</v>
      </c>
      <c r="E2795" s="209">
        <v>920.48</v>
      </c>
      <c r="F2795" s="209">
        <v>18.11</v>
      </c>
      <c r="G2795" s="209">
        <v>938.59</v>
      </c>
      <c r="H2795" s="198"/>
    </row>
    <row r="2796" spans="1:8" ht="15.75" hidden="1" customHeight="1" x14ac:dyDescent="0.25">
      <c r="A2796" s="205" t="s">
        <v>3338</v>
      </c>
      <c r="B2796" s="206">
        <v>90790</v>
      </c>
      <c r="C2796" s="207" t="s">
        <v>3419</v>
      </c>
      <c r="D2796" s="208" t="s">
        <v>580</v>
      </c>
      <c r="E2796" s="209">
        <v>948.7</v>
      </c>
      <c r="F2796" s="209">
        <v>19.75</v>
      </c>
      <c r="G2796" s="209">
        <v>968.45</v>
      </c>
      <c r="H2796" s="198"/>
    </row>
    <row r="2797" spans="1:8" ht="15.75" hidden="1" customHeight="1" x14ac:dyDescent="0.25">
      <c r="A2797" s="205" t="s">
        <v>3338</v>
      </c>
      <c r="B2797" s="206">
        <v>100675</v>
      </c>
      <c r="C2797" s="207" t="s">
        <v>3420</v>
      </c>
      <c r="D2797" s="208" t="s">
        <v>580</v>
      </c>
      <c r="E2797" s="209">
        <v>1039.31</v>
      </c>
      <c r="F2797" s="209">
        <v>24.24</v>
      </c>
      <c r="G2797" s="209">
        <v>1063.55</v>
      </c>
      <c r="H2797" s="198"/>
    </row>
    <row r="2798" spans="1:8" ht="15.75" hidden="1" customHeight="1" x14ac:dyDescent="0.25">
      <c r="A2798" s="205" t="s">
        <v>3338</v>
      </c>
      <c r="B2798" s="206">
        <v>90794</v>
      </c>
      <c r="C2798" s="207" t="s">
        <v>3421</v>
      </c>
      <c r="D2798" s="208" t="s">
        <v>580</v>
      </c>
      <c r="E2798" s="209">
        <v>754.65</v>
      </c>
      <c r="F2798" s="209">
        <v>69.56</v>
      </c>
      <c r="G2798" s="209">
        <v>824.21</v>
      </c>
      <c r="H2798" s="198"/>
    </row>
    <row r="2799" spans="1:8" ht="15.75" hidden="1" customHeight="1" x14ac:dyDescent="0.25">
      <c r="A2799" s="205" t="s">
        <v>3338</v>
      </c>
      <c r="B2799" s="206">
        <v>90795</v>
      </c>
      <c r="C2799" s="207" t="s">
        <v>3422</v>
      </c>
      <c r="D2799" s="208" t="s">
        <v>580</v>
      </c>
      <c r="E2799" s="209">
        <v>757.49</v>
      </c>
      <c r="F2799" s="209">
        <v>76.739999999999995</v>
      </c>
      <c r="G2799" s="209">
        <v>834.23</v>
      </c>
      <c r="H2799" s="198"/>
    </row>
    <row r="2800" spans="1:8" ht="15.75" hidden="1" customHeight="1" x14ac:dyDescent="0.25">
      <c r="A2800" s="205" t="s">
        <v>3338</v>
      </c>
      <c r="B2800" s="206">
        <v>90796</v>
      </c>
      <c r="C2800" s="207" t="s">
        <v>3423</v>
      </c>
      <c r="D2800" s="208" t="s">
        <v>580</v>
      </c>
      <c r="E2800" s="209">
        <v>760.34</v>
      </c>
      <c r="F2800" s="209">
        <v>83.91</v>
      </c>
      <c r="G2800" s="209">
        <v>844.25</v>
      </c>
      <c r="H2800" s="198"/>
    </row>
    <row r="2801" spans="1:8" ht="15.75" hidden="1" customHeight="1" x14ac:dyDescent="0.25">
      <c r="A2801" s="205" t="s">
        <v>3338</v>
      </c>
      <c r="B2801" s="206">
        <v>90797</v>
      </c>
      <c r="C2801" s="207" t="s">
        <v>3424</v>
      </c>
      <c r="D2801" s="208" t="s">
        <v>580</v>
      </c>
      <c r="E2801" s="209">
        <v>763.12</v>
      </c>
      <c r="F2801" s="209">
        <v>91.15</v>
      </c>
      <c r="G2801" s="209">
        <v>854.27</v>
      </c>
      <c r="H2801" s="198"/>
    </row>
    <row r="2802" spans="1:8" ht="15.75" hidden="1" customHeight="1" x14ac:dyDescent="0.25">
      <c r="A2802" s="205" t="s">
        <v>3338</v>
      </c>
      <c r="B2802" s="206">
        <v>90791</v>
      </c>
      <c r="C2802" s="207" t="s">
        <v>3425</v>
      </c>
      <c r="D2802" s="208" t="s">
        <v>580</v>
      </c>
      <c r="E2802" s="209">
        <v>1109.83</v>
      </c>
      <c r="F2802" s="209">
        <v>26.7</v>
      </c>
      <c r="G2802" s="209">
        <v>1136.53</v>
      </c>
      <c r="H2802" s="198"/>
    </row>
    <row r="2803" spans="1:8" ht="15.75" hidden="1" customHeight="1" x14ac:dyDescent="0.25">
      <c r="A2803" s="205" t="s">
        <v>3338</v>
      </c>
      <c r="B2803" s="206">
        <v>90793</v>
      </c>
      <c r="C2803" s="207" t="s">
        <v>3426</v>
      </c>
      <c r="D2803" s="208" t="s">
        <v>580</v>
      </c>
      <c r="E2803" s="209">
        <v>1163.04</v>
      </c>
      <c r="F2803" s="209">
        <v>33.130000000000003</v>
      </c>
      <c r="G2803" s="209">
        <v>1196.17</v>
      </c>
      <c r="H2803" s="198"/>
    </row>
    <row r="2804" spans="1:8" ht="15.75" hidden="1" customHeight="1" x14ac:dyDescent="0.25">
      <c r="A2804" s="205" t="s">
        <v>3338</v>
      </c>
      <c r="B2804" s="206">
        <v>90798</v>
      </c>
      <c r="C2804" s="207" t="s">
        <v>3427</v>
      </c>
      <c r="D2804" s="208" t="s">
        <v>580</v>
      </c>
      <c r="E2804" s="209">
        <v>1134.8399999999999</v>
      </c>
      <c r="F2804" s="209">
        <v>94.53</v>
      </c>
      <c r="G2804" s="209">
        <v>1229.3699999999999</v>
      </c>
      <c r="H2804" s="198"/>
    </row>
    <row r="2805" spans="1:8" ht="15.75" hidden="1" customHeight="1" x14ac:dyDescent="0.25">
      <c r="A2805" s="205" t="s">
        <v>3338</v>
      </c>
      <c r="B2805" s="206">
        <v>90799</v>
      </c>
      <c r="C2805" s="207" t="s">
        <v>3428</v>
      </c>
      <c r="D2805" s="208" t="s">
        <v>580</v>
      </c>
      <c r="E2805" s="209">
        <v>1167.49</v>
      </c>
      <c r="F2805" s="209">
        <v>102.62</v>
      </c>
      <c r="G2805" s="209">
        <v>1270.1099999999999</v>
      </c>
      <c r="H2805" s="198"/>
    </row>
    <row r="2806" spans="1:8" ht="15.75" hidden="1" customHeight="1" x14ac:dyDescent="0.25">
      <c r="A2806" s="205" t="s">
        <v>3338</v>
      </c>
      <c r="B2806" s="206">
        <v>100704</v>
      </c>
      <c r="C2806" s="207" t="s">
        <v>3429</v>
      </c>
      <c r="D2806" s="208" t="s">
        <v>580</v>
      </c>
      <c r="E2806" s="209">
        <v>55.25</v>
      </c>
      <c r="F2806" s="209">
        <v>18.88</v>
      </c>
      <c r="G2806" s="209">
        <v>74.13</v>
      </c>
      <c r="H2806" s="198"/>
    </row>
    <row r="2807" spans="1:8" ht="15.75" hidden="1" customHeight="1" x14ac:dyDescent="0.25">
      <c r="A2807" s="205" t="s">
        <v>3338</v>
      </c>
      <c r="B2807" s="206">
        <v>90838</v>
      </c>
      <c r="C2807" s="207" t="s">
        <v>3430</v>
      </c>
      <c r="D2807" s="208" t="s">
        <v>580</v>
      </c>
      <c r="E2807" s="209">
        <v>2788.63</v>
      </c>
      <c r="F2807" s="209">
        <v>136.6</v>
      </c>
      <c r="G2807" s="209">
        <v>2925.23</v>
      </c>
      <c r="H2807" s="198"/>
    </row>
    <row r="2808" spans="1:8" ht="15.75" hidden="1" customHeight="1" x14ac:dyDescent="0.25">
      <c r="A2808" s="205" t="s">
        <v>3338</v>
      </c>
      <c r="B2808" s="206">
        <v>91338</v>
      </c>
      <c r="C2808" s="207" t="s">
        <v>3431</v>
      </c>
      <c r="D2808" s="208" t="s">
        <v>578</v>
      </c>
      <c r="E2808" s="209">
        <v>1382.11</v>
      </c>
      <c r="F2808" s="209">
        <v>13.25</v>
      </c>
      <c r="G2808" s="209">
        <v>1395.36</v>
      </c>
      <c r="H2808" s="198"/>
    </row>
    <row r="2809" spans="1:8" ht="15.75" hidden="1" customHeight="1" x14ac:dyDescent="0.25">
      <c r="A2809" s="205" t="s">
        <v>3338</v>
      </c>
      <c r="B2809" s="206">
        <v>94805</v>
      </c>
      <c r="C2809" s="207" t="s">
        <v>3432</v>
      </c>
      <c r="D2809" s="208" t="s">
        <v>580</v>
      </c>
      <c r="E2809" s="209">
        <v>1263.74</v>
      </c>
      <c r="F2809" s="209">
        <v>24.34</v>
      </c>
      <c r="G2809" s="209">
        <v>1288.08</v>
      </c>
      <c r="H2809" s="198"/>
    </row>
    <row r="2810" spans="1:8" ht="15.75" hidden="1" customHeight="1" x14ac:dyDescent="0.25">
      <c r="A2810" s="205" t="s">
        <v>3338</v>
      </c>
      <c r="B2810" s="206">
        <v>100702</v>
      </c>
      <c r="C2810" s="207" t="s">
        <v>3433</v>
      </c>
      <c r="D2810" s="208" t="s">
        <v>578</v>
      </c>
      <c r="E2810" s="209">
        <v>750.21</v>
      </c>
      <c r="F2810" s="209">
        <v>10.57</v>
      </c>
      <c r="G2810" s="209">
        <v>760.78</v>
      </c>
      <c r="H2810" s="198"/>
    </row>
    <row r="2811" spans="1:8" ht="15.75" hidden="1" customHeight="1" x14ac:dyDescent="0.25">
      <c r="A2811" s="205" t="s">
        <v>3338</v>
      </c>
      <c r="B2811" s="206">
        <v>100701</v>
      </c>
      <c r="C2811" s="207" t="s">
        <v>3434</v>
      </c>
      <c r="D2811" s="208" t="s">
        <v>578</v>
      </c>
      <c r="E2811" s="209">
        <v>1163.69</v>
      </c>
      <c r="F2811" s="209">
        <v>19.16</v>
      </c>
      <c r="G2811" s="209">
        <v>1182.8499999999999</v>
      </c>
      <c r="H2811" s="198"/>
    </row>
    <row r="2812" spans="1:8" ht="15.75" hidden="1" customHeight="1" x14ac:dyDescent="0.25">
      <c r="A2812" s="205" t="s">
        <v>3338</v>
      </c>
      <c r="B2812" s="206">
        <v>100700</v>
      </c>
      <c r="C2812" s="207" t="s">
        <v>3435</v>
      </c>
      <c r="D2812" s="208" t="s">
        <v>580</v>
      </c>
      <c r="E2812" s="209">
        <v>850.24</v>
      </c>
      <c r="F2812" s="209">
        <v>179.35</v>
      </c>
      <c r="G2812" s="209">
        <v>1029.5899999999999</v>
      </c>
      <c r="H2812" s="198"/>
    </row>
    <row r="2813" spans="1:8" ht="15.75" hidden="1" customHeight="1" x14ac:dyDescent="0.25">
      <c r="A2813" s="205" t="s">
        <v>3338</v>
      </c>
      <c r="B2813" s="206">
        <v>91295</v>
      </c>
      <c r="C2813" s="207" t="s">
        <v>3436</v>
      </c>
      <c r="D2813" s="208" t="s">
        <v>580</v>
      </c>
      <c r="E2813" s="209">
        <v>362.87</v>
      </c>
      <c r="F2813" s="209">
        <v>45.62</v>
      </c>
      <c r="G2813" s="209">
        <v>408.49</v>
      </c>
      <c r="H2813" s="198"/>
    </row>
    <row r="2814" spans="1:8" ht="15.75" hidden="1" customHeight="1" x14ac:dyDescent="0.25">
      <c r="A2814" s="205" t="s">
        <v>3338</v>
      </c>
      <c r="B2814" s="206">
        <v>91296</v>
      </c>
      <c r="C2814" s="207" t="s">
        <v>3437</v>
      </c>
      <c r="D2814" s="208" t="s">
        <v>580</v>
      </c>
      <c r="E2814" s="209">
        <v>387.12</v>
      </c>
      <c r="F2814" s="209">
        <v>50.35</v>
      </c>
      <c r="G2814" s="209">
        <v>437.47</v>
      </c>
      <c r="H2814" s="198"/>
    </row>
    <row r="2815" spans="1:8" ht="15.75" hidden="1" customHeight="1" x14ac:dyDescent="0.25">
      <c r="A2815" s="205" t="s">
        <v>3338</v>
      </c>
      <c r="B2815" s="206">
        <v>91297</v>
      </c>
      <c r="C2815" s="207" t="s">
        <v>3438</v>
      </c>
      <c r="D2815" s="208" t="s">
        <v>580</v>
      </c>
      <c r="E2815" s="209">
        <v>425.28</v>
      </c>
      <c r="F2815" s="209">
        <v>55.04</v>
      </c>
      <c r="G2815" s="209">
        <v>480.32</v>
      </c>
      <c r="H2815" s="198"/>
    </row>
    <row r="2816" spans="1:8" ht="15.75" hidden="1" customHeight="1" x14ac:dyDescent="0.25">
      <c r="A2816" s="205" t="s">
        <v>3338</v>
      </c>
      <c r="B2816" s="206">
        <v>90820</v>
      </c>
      <c r="C2816" s="207" t="s">
        <v>3439</v>
      </c>
      <c r="D2816" s="208" t="s">
        <v>580</v>
      </c>
      <c r="E2816" s="209">
        <v>339.11</v>
      </c>
      <c r="F2816" s="209">
        <v>45.62</v>
      </c>
      <c r="G2816" s="209">
        <v>384.73</v>
      </c>
      <c r="H2816" s="198"/>
    </row>
    <row r="2817" spans="1:8" ht="15.75" hidden="1" customHeight="1" x14ac:dyDescent="0.25">
      <c r="A2817" s="205" t="s">
        <v>3338</v>
      </c>
      <c r="B2817" s="206">
        <v>90821</v>
      </c>
      <c r="C2817" s="207" t="s">
        <v>3440</v>
      </c>
      <c r="D2817" s="208" t="s">
        <v>580</v>
      </c>
      <c r="E2817" s="209">
        <v>342.97</v>
      </c>
      <c r="F2817" s="209">
        <v>50.34</v>
      </c>
      <c r="G2817" s="209">
        <v>393.31</v>
      </c>
      <c r="H2817" s="198"/>
    </row>
    <row r="2818" spans="1:8" ht="15.75" hidden="1" customHeight="1" x14ac:dyDescent="0.25">
      <c r="A2818" s="205" t="s">
        <v>3338</v>
      </c>
      <c r="B2818" s="206">
        <v>90822</v>
      </c>
      <c r="C2818" s="207" t="s">
        <v>3441</v>
      </c>
      <c r="D2818" s="208" t="s">
        <v>580</v>
      </c>
      <c r="E2818" s="209">
        <v>366.19</v>
      </c>
      <c r="F2818" s="209">
        <v>55.05</v>
      </c>
      <c r="G2818" s="209">
        <v>421.24</v>
      </c>
      <c r="H2818" s="198"/>
    </row>
    <row r="2819" spans="1:8" ht="15.75" hidden="1" customHeight="1" x14ac:dyDescent="0.25">
      <c r="A2819" s="205" t="s">
        <v>3338</v>
      </c>
      <c r="B2819" s="206">
        <v>90823</v>
      </c>
      <c r="C2819" s="207" t="s">
        <v>3442</v>
      </c>
      <c r="D2819" s="208" t="s">
        <v>580</v>
      </c>
      <c r="E2819" s="209">
        <v>453.06</v>
      </c>
      <c r="F2819" s="209">
        <v>59.74</v>
      </c>
      <c r="G2819" s="209">
        <v>512.79999999999995</v>
      </c>
      <c r="H2819" s="198"/>
    </row>
    <row r="2820" spans="1:8" ht="15.75" hidden="1" customHeight="1" x14ac:dyDescent="0.25">
      <c r="A2820" s="205" t="s">
        <v>3338</v>
      </c>
      <c r="B2820" s="206">
        <v>90824</v>
      </c>
      <c r="C2820" s="207" t="s">
        <v>3443</v>
      </c>
      <c r="D2820" s="208" t="s">
        <v>580</v>
      </c>
      <c r="E2820" s="209">
        <v>649.14</v>
      </c>
      <c r="F2820" s="209">
        <v>76.39</v>
      </c>
      <c r="G2820" s="209">
        <v>725.53</v>
      </c>
      <c r="H2820" s="198"/>
    </row>
    <row r="2821" spans="1:8" ht="15.75" hidden="1" customHeight="1" x14ac:dyDescent="0.25">
      <c r="A2821" s="205" t="s">
        <v>3338</v>
      </c>
      <c r="B2821" s="206">
        <v>91009</v>
      </c>
      <c r="C2821" s="207" t="s">
        <v>3444</v>
      </c>
      <c r="D2821" s="208" t="s">
        <v>580</v>
      </c>
      <c r="E2821" s="209">
        <v>351.85</v>
      </c>
      <c r="F2821" s="209">
        <v>45.62</v>
      </c>
      <c r="G2821" s="209">
        <v>397.47</v>
      </c>
      <c r="H2821" s="198"/>
    </row>
    <row r="2822" spans="1:8" ht="15.75" hidden="1" customHeight="1" x14ac:dyDescent="0.25">
      <c r="A2822" s="205" t="s">
        <v>3338</v>
      </c>
      <c r="B2822" s="206">
        <v>91010</v>
      </c>
      <c r="C2822" s="207" t="s">
        <v>3445</v>
      </c>
      <c r="D2822" s="208" t="s">
        <v>580</v>
      </c>
      <c r="E2822" s="209">
        <v>356.31</v>
      </c>
      <c r="F2822" s="209">
        <v>50.34</v>
      </c>
      <c r="G2822" s="209">
        <v>406.65</v>
      </c>
      <c r="H2822" s="198"/>
    </row>
    <row r="2823" spans="1:8" ht="15.75" hidden="1" customHeight="1" x14ac:dyDescent="0.25">
      <c r="A2823" s="205" t="s">
        <v>3338</v>
      </c>
      <c r="B2823" s="206">
        <v>91011</v>
      </c>
      <c r="C2823" s="207" t="s">
        <v>3446</v>
      </c>
      <c r="D2823" s="208" t="s">
        <v>580</v>
      </c>
      <c r="E2823" s="209">
        <v>417.91</v>
      </c>
      <c r="F2823" s="209">
        <v>55.05</v>
      </c>
      <c r="G2823" s="209">
        <v>472.96</v>
      </c>
      <c r="H2823" s="198"/>
    </row>
    <row r="2824" spans="1:8" ht="15.75" hidden="1" customHeight="1" x14ac:dyDescent="0.25">
      <c r="A2824" s="205" t="s">
        <v>3338</v>
      </c>
      <c r="B2824" s="206">
        <v>91012</v>
      </c>
      <c r="C2824" s="207" t="s">
        <v>3447</v>
      </c>
      <c r="D2824" s="208" t="s">
        <v>580</v>
      </c>
      <c r="E2824" s="209">
        <v>464.35</v>
      </c>
      <c r="F2824" s="209">
        <v>59.74</v>
      </c>
      <c r="G2824" s="209">
        <v>524.09</v>
      </c>
      <c r="H2824" s="198"/>
    </row>
    <row r="2825" spans="1:8" ht="15.75" hidden="1" customHeight="1" x14ac:dyDescent="0.25">
      <c r="A2825" s="205" t="s">
        <v>3338</v>
      </c>
      <c r="B2825" s="206">
        <v>91298</v>
      </c>
      <c r="C2825" s="207" t="s">
        <v>3448</v>
      </c>
      <c r="D2825" s="208" t="s">
        <v>580</v>
      </c>
      <c r="E2825" s="209">
        <v>972.15</v>
      </c>
      <c r="F2825" s="209">
        <v>55.05</v>
      </c>
      <c r="G2825" s="209">
        <v>1027.2</v>
      </c>
      <c r="H2825" s="198"/>
    </row>
    <row r="2826" spans="1:8" ht="15.75" hidden="1" customHeight="1" x14ac:dyDescent="0.25">
      <c r="A2826" s="205" t="s">
        <v>3338</v>
      </c>
      <c r="B2826" s="206">
        <v>90825</v>
      </c>
      <c r="C2826" s="207" t="s">
        <v>3449</v>
      </c>
      <c r="D2826" s="208" t="s">
        <v>580</v>
      </c>
      <c r="E2826" s="209">
        <v>723.17</v>
      </c>
      <c r="F2826" s="209">
        <v>82.85</v>
      </c>
      <c r="G2826" s="209">
        <v>806.02</v>
      </c>
      <c r="H2826" s="198"/>
    </row>
    <row r="2827" spans="1:8" ht="15.75" hidden="1" customHeight="1" x14ac:dyDescent="0.25">
      <c r="A2827" s="205" t="s">
        <v>3338</v>
      </c>
      <c r="B2827" s="206">
        <v>91299</v>
      </c>
      <c r="C2827" s="207" t="s">
        <v>3450</v>
      </c>
      <c r="D2827" s="208" t="s">
        <v>580</v>
      </c>
      <c r="E2827" s="209">
        <v>1357.74</v>
      </c>
      <c r="F2827" s="209">
        <v>76.44</v>
      </c>
      <c r="G2827" s="209">
        <v>1434.18</v>
      </c>
      <c r="H2827" s="198"/>
    </row>
    <row r="2828" spans="1:8" ht="15.75" hidden="1" customHeight="1" x14ac:dyDescent="0.25">
      <c r="A2828" s="205" t="s">
        <v>3338</v>
      </c>
      <c r="B2828" s="206">
        <v>91341</v>
      </c>
      <c r="C2828" s="207" t="s">
        <v>3451</v>
      </c>
      <c r="D2828" s="208" t="s">
        <v>578</v>
      </c>
      <c r="E2828" s="209">
        <v>1083.8499999999999</v>
      </c>
      <c r="F2828" s="209">
        <v>14.27</v>
      </c>
      <c r="G2828" s="209">
        <v>1098.1199999999999</v>
      </c>
      <c r="H2828" s="198"/>
    </row>
    <row r="2829" spans="1:8" ht="15.75" hidden="1" customHeight="1" x14ac:dyDescent="0.25">
      <c r="A2829" s="205" t="s">
        <v>3338</v>
      </c>
      <c r="B2829" s="206">
        <v>94806</v>
      </c>
      <c r="C2829" s="207" t="s">
        <v>3452</v>
      </c>
      <c r="D2829" s="208" t="s">
        <v>580</v>
      </c>
      <c r="E2829" s="209">
        <v>1295.51</v>
      </c>
      <c r="F2829" s="209">
        <v>34.299999999999997</v>
      </c>
      <c r="G2829" s="209">
        <v>1329.81</v>
      </c>
      <c r="H2829" s="198"/>
    </row>
    <row r="2830" spans="1:8" ht="15.75" hidden="1" customHeight="1" x14ac:dyDescent="0.25">
      <c r="A2830" s="205" t="s">
        <v>3338</v>
      </c>
      <c r="B2830" s="206">
        <v>94807</v>
      </c>
      <c r="C2830" s="207" t="s">
        <v>3453</v>
      </c>
      <c r="D2830" s="208" t="s">
        <v>580</v>
      </c>
      <c r="E2830" s="209">
        <v>1168.53</v>
      </c>
      <c r="F2830" s="209">
        <v>36.130000000000003</v>
      </c>
      <c r="G2830" s="209">
        <v>1204.6600000000001</v>
      </c>
      <c r="H2830" s="198"/>
    </row>
    <row r="2831" spans="1:8" ht="15.75" hidden="1" customHeight="1" x14ac:dyDescent="0.25">
      <c r="A2831" s="205" t="s">
        <v>3338</v>
      </c>
      <c r="B2831" s="206">
        <v>100703</v>
      </c>
      <c r="C2831" s="207" t="s">
        <v>3454</v>
      </c>
      <c r="D2831" s="208" t="s">
        <v>580</v>
      </c>
      <c r="E2831" s="209">
        <v>24.31</v>
      </c>
      <c r="F2831" s="209">
        <v>11.82</v>
      </c>
      <c r="G2831" s="209">
        <v>36.130000000000003</v>
      </c>
      <c r="H2831" s="198"/>
    </row>
    <row r="2832" spans="1:8" ht="15.75" hidden="1" customHeight="1" x14ac:dyDescent="0.25">
      <c r="A2832" s="205" t="s">
        <v>3338</v>
      </c>
      <c r="B2832" s="206">
        <v>100695</v>
      </c>
      <c r="C2832" s="207" t="s">
        <v>3455</v>
      </c>
      <c r="D2832" s="208" t="s">
        <v>580</v>
      </c>
      <c r="E2832" s="209">
        <v>23.04</v>
      </c>
      <c r="F2832" s="209">
        <v>56.55</v>
      </c>
      <c r="G2832" s="209">
        <v>79.59</v>
      </c>
      <c r="H2832" s="198"/>
    </row>
    <row r="2833" spans="1:8" ht="15.75" hidden="1" customHeight="1" x14ac:dyDescent="0.25">
      <c r="A2833" s="205" t="s">
        <v>3338</v>
      </c>
      <c r="B2833" s="206">
        <v>100696</v>
      </c>
      <c r="C2833" s="207" t="s">
        <v>3456</v>
      </c>
      <c r="D2833" s="208" t="s">
        <v>580</v>
      </c>
      <c r="E2833" s="209">
        <v>25.58</v>
      </c>
      <c r="F2833" s="209">
        <v>63.06</v>
      </c>
      <c r="G2833" s="209">
        <v>88.64</v>
      </c>
      <c r="H2833" s="198"/>
    </row>
    <row r="2834" spans="1:8" ht="15.75" hidden="1" customHeight="1" x14ac:dyDescent="0.25">
      <c r="A2834" s="205" t="s">
        <v>3338</v>
      </c>
      <c r="B2834" s="206">
        <v>100697</v>
      </c>
      <c r="C2834" s="207" t="s">
        <v>3457</v>
      </c>
      <c r="D2834" s="208" t="s">
        <v>580</v>
      </c>
      <c r="E2834" s="209">
        <v>28.14</v>
      </c>
      <c r="F2834" s="209">
        <v>69.62</v>
      </c>
      <c r="G2834" s="209">
        <v>97.76</v>
      </c>
      <c r="H2834" s="198"/>
    </row>
    <row r="2835" spans="1:8" ht="15.75" hidden="1" customHeight="1" x14ac:dyDescent="0.25">
      <c r="A2835" s="205" t="s">
        <v>3338</v>
      </c>
      <c r="B2835" s="206">
        <v>100698</v>
      </c>
      <c r="C2835" s="207" t="s">
        <v>3458</v>
      </c>
      <c r="D2835" s="208" t="s">
        <v>580</v>
      </c>
      <c r="E2835" s="209">
        <v>30.7</v>
      </c>
      <c r="F2835" s="209">
        <v>76.14</v>
      </c>
      <c r="G2835" s="209">
        <v>106.84</v>
      </c>
      <c r="H2835" s="198"/>
    </row>
    <row r="2836" spans="1:8" ht="15.75" hidden="1" customHeight="1" x14ac:dyDescent="0.25">
      <c r="A2836" s="205" t="s">
        <v>3338</v>
      </c>
      <c r="B2836" s="206">
        <v>100699</v>
      </c>
      <c r="C2836" s="207" t="s">
        <v>3459</v>
      </c>
      <c r="D2836" s="208" t="s">
        <v>580</v>
      </c>
      <c r="E2836" s="209">
        <v>36.32</v>
      </c>
      <c r="F2836" s="209">
        <v>90.93</v>
      </c>
      <c r="G2836" s="209">
        <v>127.25</v>
      </c>
      <c r="H2836" s="198"/>
    </row>
    <row r="2837" spans="1:8" ht="15.75" hidden="1" customHeight="1" x14ac:dyDescent="0.25">
      <c r="A2837" s="205" t="s">
        <v>3338</v>
      </c>
      <c r="B2837" s="206">
        <v>100705</v>
      </c>
      <c r="C2837" s="207" t="s">
        <v>3460</v>
      </c>
      <c r="D2837" s="208" t="s">
        <v>580</v>
      </c>
      <c r="E2837" s="209">
        <v>57.13</v>
      </c>
      <c r="F2837" s="209">
        <v>32.54</v>
      </c>
      <c r="G2837" s="209">
        <v>89.67</v>
      </c>
      <c r="H2837" s="198"/>
    </row>
    <row r="2838" spans="1:8" ht="15.75" hidden="1" customHeight="1" x14ac:dyDescent="0.25">
      <c r="A2838" s="205" t="s">
        <v>3461</v>
      </c>
      <c r="B2838" s="206">
        <v>101173</v>
      </c>
      <c r="C2838" s="207" t="s">
        <v>3462</v>
      </c>
      <c r="D2838" s="208" t="s">
        <v>585</v>
      </c>
      <c r="E2838" s="209">
        <v>38.85</v>
      </c>
      <c r="F2838" s="209">
        <v>29.81</v>
      </c>
      <c r="G2838" s="209">
        <v>68.66</v>
      </c>
      <c r="H2838" s="198"/>
    </row>
    <row r="2839" spans="1:8" ht="15.75" hidden="1" customHeight="1" x14ac:dyDescent="0.25">
      <c r="A2839" s="205" t="s">
        <v>3461</v>
      </c>
      <c r="B2839" s="206">
        <v>101174</v>
      </c>
      <c r="C2839" s="207" t="s">
        <v>3463</v>
      </c>
      <c r="D2839" s="208" t="s">
        <v>585</v>
      </c>
      <c r="E2839" s="209">
        <v>52.05</v>
      </c>
      <c r="F2839" s="209">
        <v>46.2</v>
      </c>
      <c r="G2839" s="209">
        <v>98.25</v>
      </c>
      <c r="H2839" s="198"/>
    </row>
    <row r="2840" spans="1:8" ht="15.75" hidden="1" customHeight="1" x14ac:dyDescent="0.25">
      <c r="A2840" s="205" t="s">
        <v>3461</v>
      </c>
      <c r="B2840" s="206">
        <v>101175</v>
      </c>
      <c r="C2840" s="207" t="s">
        <v>3464</v>
      </c>
      <c r="D2840" s="208" t="s">
        <v>585</v>
      </c>
      <c r="E2840" s="209">
        <v>71.2</v>
      </c>
      <c r="F2840" s="209">
        <v>62.86</v>
      </c>
      <c r="G2840" s="209">
        <v>134.06</v>
      </c>
      <c r="H2840" s="198"/>
    </row>
    <row r="2841" spans="1:8" ht="15.75" hidden="1" customHeight="1" x14ac:dyDescent="0.25">
      <c r="A2841" s="205" t="s">
        <v>3461</v>
      </c>
      <c r="B2841" s="206">
        <v>101176</v>
      </c>
      <c r="C2841" s="207" t="s">
        <v>3465</v>
      </c>
      <c r="D2841" s="208" t="s">
        <v>585</v>
      </c>
      <c r="E2841" s="209">
        <v>94.15</v>
      </c>
      <c r="F2841" s="209">
        <v>69.489999999999995</v>
      </c>
      <c r="G2841" s="209">
        <v>163.63999999999999</v>
      </c>
      <c r="H2841" s="198"/>
    </row>
    <row r="2842" spans="1:8" ht="15.75" hidden="1" customHeight="1" x14ac:dyDescent="0.25">
      <c r="A2842" s="205" t="s">
        <v>3466</v>
      </c>
      <c r="B2842" s="206">
        <v>100899</v>
      </c>
      <c r="C2842" s="207" t="s">
        <v>3467</v>
      </c>
      <c r="D2842" s="208" t="s">
        <v>585</v>
      </c>
      <c r="E2842" s="209">
        <v>64.27</v>
      </c>
      <c r="F2842" s="209">
        <v>30.45</v>
      </c>
      <c r="G2842" s="209">
        <v>94.72</v>
      </c>
      <c r="H2842" s="198"/>
    </row>
    <row r="2843" spans="1:8" ht="15.75" hidden="1" customHeight="1" x14ac:dyDescent="0.25">
      <c r="A2843" s="205" t="s">
        <v>3466</v>
      </c>
      <c r="B2843" s="206">
        <v>100896</v>
      </c>
      <c r="C2843" s="207" t="s">
        <v>3468</v>
      </c>
      <c r="D2843" s="208" t="s">
        <v>585</v>
      </c>
      <c r="E2843" s="209">
        <v>54.01</v>
      </c>
      <c r="F2843" s="209">
        <v>7.79</v>
      </c>
      <c r="G2843" s="209">
        <v>61.8</v>
      </c>
      <c r="H2843" s="198"/>
    </row>
    <row r="2844" spans="1:8" ht="15.75" hidden="1" customHeight="1" x14ac:dyDescent="0.25">
      <c r="A2844" s="205" t="s">
        <v>3466</v>
      </c>
      <c r="B2844" s="206">
        <v>100897</v>
      </c>
      <c r="C2844" s="207" t="s">
        <v>3469</v>
      </c>
      <c r="D2844" s="208" t="s">
        <v>585</v>
      </c>
      <c r="E2844" s="209">
        <v>107.18</v>
      </c>
      <c r="F2844" s="209">
        <v>9.7799999999999994</v>
      </c>
      <c r="G2844" s="209">
        <v>116.96</v>
      </c>
      <c r="H2844" s="198"/>
    </row>
    <row r="2845" spans="1:8" ht="15.75" hidden="1" customHeight="1" x14ac:dyDescent="0.25">
      <c r="A2845" s="205" t="s">
        <v>3466</v>
      </c>
      <c r="B2845" s="206">
        <v>100900</v>
      </c>
      <c r="C2845" s="207" t="s">
        <v>3470</v>
      </c>
      <c r="D2845" s="208" t="s">
        <v>585</v>
      </c>
      <c r="E2845" s="209">
        <v>238.08</v>
      </c>
      <c r="F2845" s="209">
        <v>16.25</v>
      </c>
      <c r="G2845" s="209">
        <v>254.33</v>
      </c>
      <c r="H2845" s="198"/>
    </row>
    <row r="2846" spans="1:8" ht="15.75" hidden="1" customHeight="1" x14ac:dyDescent="0.25">
      <c r="A2846" s="205" t="s">
        <v>3466</v>
      </c>
      <c r="B2846" s="206">
        <v>100898</v>
      </c>
      <c r="C2846" s="207" t="s">
        <v>3471</v>
      </c>
      <c r="D2846" s="208" t="s">
        <v>585</v>
      </c>
      <c r="E2846" s="209">
        <v>208.7</v>
      </c>
      <c r="F2846" s="209">
        <v>12.09</v>
      </c>
      <c r="G2846" s="209">
        <v>220.79</v>
      </c>
      <c r="H2846" s="198"/>
    </row>
    <row r="2847" spans="1:8" ht="15.75" hidden="1" customHeight="1" x14ac:dyDescent="0.25">
      <c r="A2847" s="205" t="s">
        <v>3472</v>
      </c>
      <c r="B2847" s="206">
        <v>100892</v>
      </c>
      <c r="C2847" s="207" t="s">
        <v>3473</v>
      </c>
      <c r="D2847" s="208" t="s">
        <v>823</v>
      </c>
      <c r="E2847" s="209">
        <v>11.95</v>
      </c>
      <c r="F2847" s="209">
        <v>0.77</v>
      </c>
      <c r="G2847" s="209">
        <v>12.72</v>
      </c>
      <c r="H2847" s="198"/>
    </row>
    <row r="2848" spans="1:8" ht="15.75" hidden="1" customHeight="1" x14ac:dyDescent="0.25">
      <c r="A2848" s="205" t="s">
        <v>3472</v>
      </c>
      <c r="B2848" s="206">
        <v>100893</v>
      </c>
      <c r="C2848" s="207" t="s">
        <v>3474</v>
      </c>
      <c r="D2848" s="208" t="s">
        <v>823</v>
      </c>
      <c r="E2848" s="209">
        <v>11.8</v>
      </c>
      <c r="F2848" s="209">
        <v>0.67</v>
      </c>
      <c r="G2848" s="209">
        <v>12.47</v>
      </c>
      <c r="H2848" s="198"/>
    </row>
    <row r="2849" spans="1:8" ht="15.75" hidden="1" customHeight="1" x14ac:dyDescent="0.25">
      <c r="A2849" s="205" t="s">
        <v>3472</v>
      </c>
      <c r="B2849" s="206">
        <v>100894</v>
      </c>
      <c r="C2849" s="207" t="s">
        <v>3475</v>
      </c>
      <c r="D2849" s="208" t="s">
        <v>823</v>
      </c>
      <c r="E2849" s="209">
        <v>11.75</v>
      </c>
      <c r="F2849" s="209">
        <v>0.56999999999999995</v>
      </c>
      <c r="G2849" s="209">
        <v>12.32</v>
      </c>
      <c r="H2849" s="198"/>
    </row>
    <row r="2850" spans="1:8" ht="15.75" hidden="1" customHeight="1" x14ac:dyDescent="0.25">
      <c r="A2850" s="205" t="s">
        <v>3472</v>
      </c>
      <c r="B2850" s="206">
        <v>100889</v>
      </c>
      <c r="C2850" s="207" t="s">
        <v>3476</v>
      </c>
      <c r="D2850" s="208" t="s">
        <v>823</v>
      </c>
      <c r="E2850" s="209">
        <v>11.64</v>
      </c>
      <c r="F2850" s="209">
        <v>0.5</v>
      </c>
      <c r="G2850" s="209">
        <v>12.14</v>
      </c>
      <c r="H2850" s="198"/>
    </row>
    <row r="2851" spans="1:8" ht="15.75" hidden="1" customHeight="1" x14ac:dyDescent="0.25">
      <c r="A2851" s="205" t="s">
        <v>3472</v>
      </c>
      <c r="B2851" s="206">
        <v>100890</v>
      </c>
      <c r="C2851" s="207" t="s">
        <v>3477</v>
      </c>
      <c r="D2851" s="208" t="s">
        <v>823</v>
      </c>
      <c r="E2851" s="209">
        <v>11.54</v>
      </c>
      <c r="F2851" s="209">
        <v>0.39</v>
      </c>
      <c r="G2851" s="209">
        <v>11.93</v>
      </c>
      <c r="H2851" s="198"/>
    </row>
    <row r="2852" spans="1:8" ht="15.75" hidden="1" customHeight="1" x14ac:dyDescent="0.25">
      <c r="A2852" s="205" t="s">
        <v>3478</v>
      </c>
      <c r="B2852" s="206">
        <v>100658</v>
      </c>
      <c r="C2852" s="207" t="s">
        <v>3479</v>
      </c>
      <c r="D2852" s="208" t="s">
        <v>585</v>
      </c>
      <c r="E2852" s="209">
        <v>330.13</v>
      </c>
      <c r="F2852" s="209">
        <v>22.15</v>
      </c>
      <c r="G2852" s="209">
        <v>352.28</v>
      </c>
      <c r="H2852" s="198"/>
    </row>
    <row r="2853" spans="1:8" ht="15.75" hidden="1" customHeight="1" x14ac:dyDescent="0.25">
      <c r="A2853" s="205" t="s">
        <v>3478</v>
      </c>
      <c r="B2853" s="206">
        <v>100657</v>
      </c>
      <c r="C2853" s="207" t="s">
        <v>3480</v>
      </c>
      <c r="D2853" s="208" t="s">
        <v>585</v>
      </c>
      <c r="E2853" s="209">
        <v>138.24</v>
      </c>
      <c r="F2853" s="209">
        <v>16.399999999999999</v>
      </c>
      <c r="G2853" s="209">
        <v>154.63999999999999</v>
      </c>
      <c r="H2853" s="198"/>
    </row>
    <row r="2854" spans="1:8" ht="15.75" hidden="1" customHeight="1" x14ac:dyDescent="0.25">
      <c r="A2854" s="205" t="s">
        <v>3478</v>
      </c>
      <c r="B2854" s="206">
        <v>100656</v>
      </c>
      <c r="C2854" s="207" t="s">
        <v>3481</v>
      </c>
      <c r="D2854" s="208" t="s">
        <v>585</v>
      </c>
      <c r="E2854" s="209">
        <v>105.02</v>
      </c>
      <c r="F2854" s="209">
        <v>15.59</v>
      </c>
      <c r="G2854" s="209">
        <v>120.61</v>
      </c>
      <c r="H2854" s="198"/>
    </row>
    <row r="2855" spans="1:8" ht="15.75" hidden="1" customHeight="1" x14ac:dyDescent="0.25">
      <c r="A2855" s="205" t="s">
        <v>3482</v>
      </c>
      <c r="B2855" s="206">
        <v>100652</v>
      </c>
      <c r="C2855" s="207" t="s">
        <v>3483</v>
      </c>
      <c r="D2855" s="208" t="s">
        <v>585</v>
      </c>
      <c r="E2855" s="209">
        <v>241.22</v>
      </c>
      <c r="F2855" s="209">
        <v>19.38</v>
      </c>
      <c r="G2855" s="209">
        <v>260.60000000000002</v>
      </c>
      <c r="H2855" s="198"/>
    </row>
    <row r="2856" spans="1:8" ht="15.75" hidden="1" customHeight="1" x14ac:dyDescent="0.25">
      <c r="A2856" s="205" t="s">
        <v>3482</v>
      </c>
      <c r="B2856" s="206">
        <v>100651</v>
      </c>
      <c r="C2856" s="207" t="s">
        <v>3484</v>
      </c>
      <c r="D2856" s="208" t="s">
        <v>585</v>
      </c>
      <c r="E2856" s="209">
        <v>126.5</v>
      </c>
      <c r="F2856" s="209">
        <v>14.62</v>
      </c>
      <c r="G2856" s="209">
        <v>141.12</v>
      </c>
      <c r="H2856" s="198"/>
    </row>
    <row r="2857" spans="1:8" ht="15.75" hidden="1" customHeight="1" x14ac:dyDescent="0.25">
      <c r="A2857" s="205" t="s">
        <v>3482</v>
      </c>
      <c r="B2857" s="206">
        <v>100653</v>
      </c>
      <c r="C2857" s="207" t="s">
        <v>3485</v>
      </c>
      <c r="D2857" s="208" t="s">
        <v>585</v>
      </c>
      <c r="E2857" s="209">
        <v>400.89</v>
      </c>
      <c r="F2857" s="209">
        <v>24.41</v>
      </c>
      <c r="G2857" s="209">
        <v>425.3</v>
      </c>
      <c r="H2857" s="198"/>
    </row>
    <row r="2858" spans="1:8" ht="15.75" hidden="1" customHeight="1" x14ac:dyDescent="0.25">
      <c r="A2858" s="205" t="s">
        <v>3482</v>
      </c>
      <c r="B2858" s="206">
        <v>100654</v>
      </c>
      <c r="C2858" s="207" t="s">
        <v>3486</v>
      </c>
      <c r="D2858" s="208" t="s">
        <v>585</v>
      </c>
      <c r="E2858" s="209">
        <v>538.25</v>
      </c>
      <c r="F2858" s="209">
        <v>27.91</v>
      </c>
      <c r="G2858" s="209">
        <v>566.16</v>
      </c>
      <c r="H2858" s="198"/>
    </row>
    <row r="2859" spans="1:8" ht="15.75" hidden="1" customHeight="1" x14ac:dyDescent="0.25">
      <c r="A2859" s="205" t="s">
        <v>3482</v>
      </c>
      <c r="B2859" s="206">
        <v>100655</v>
      </c>
      <c r="C2859" s="207" t="s">
        <v>3487</v>
      </c>
      <c r="D2859" s="208" t="s">
        <v>585</v>
      </c>
      <c r="E2859" s="209">
        <v>629.74</v>
      </c>
      <c r="F2859" s="209">
        <v>24.12</v>
      </c>
      <c r="G2859" s="209">
        <v>653.86</v>
      </c>
      <c r="H2859" s="198"/>
    </row>
    <row r="2860" spans="1:8" ht="15.75" hidden="1" customHeight="1" x14ac:dyDescent="0.25">
      <c r="A2860" s="205" t="s">
        <v>3488</v>
      </c>
      <c r="B2860" s="206">
        <v>100364</v>
      </c>
      <c r="C2860" s="207" t="s">
        <v>3489</v>
      </c>
      <c r="D2860" s="208" t="s">
        <v>580</v>
      </c>
      <c r="E2860" s="209">
        <v>2539.6799999999998</v>
      </c>
      <c r="F2860" s="209">
        <v>1086.3599999999999</v>
      </c>
      <c r="G2860" s="209">
        <v>3626.04</v>
      </c>
      <c r="H2860" s="198"/>
    </row>
    <row r="2861" spans="1:8" ht="15.75" hidden="1" customHeight="1" x14ac:dyDescent="0.25">
      <c r="A2861" s="205" t="s">
        <v>3488</v>
      </c>
      <c r="B2861" s="206">
        <v>100374</v>
      </c>
      <c r="C2861" s="207" t="s">
        <v>3490</v>
      </c>
      <c r="D2861" s="208" t="s">
        <v>580</v>
      </c>
      <c r="E2861" s="209">
        <v>2299.1999999999998</v>
      </c>
      <c r="F2861" s="209">
        <v>1086.45</v>
      </c>
      <c r="G2861" s="209">
        <v>3385.65</v>
      </c>
      <c r="H2861" s="198"/>
    </row>
    <row r="2862" spans="1:8" ht="15.75" hidden="1" customHeight="1" x14ac:dyDescent="0.25">
      <c r="A2862" s="205" t="s">
        <v>3488</v>
      </c>
      <c r="B2862" s="206">
        <v>100365</v>
      </c>
      <c r="C2862" s="207" t="s">
        <v>3491</v>
      </c>
      <c r="D2862" s="208" t="s">
        <v>580</v>
      </c>
      <c r="E2862" s="209">
        <v>2877.94</v>
      </c>
      <c r="F2862" s="209">
        <v>1327.72</v>
      </c>
      <c r="G2862" s="209">
        <v>4205.66</v>
      </c>
      <c r="H2862" s="198"/>
    </row>
    <row r="2863" spans="1:8" ht="15.75" hidden="1" customHeight="1" x14ac:dyDescent="0.25">
      <c r="A2863" s="205" t="s">
        <v>3488</v>
      </c>
      <c r="B2863" s="206">
        <v>100375</v>
      </c>
      <c r="C2863" s="207" t="s">
        <v>3492</v>
      </c>
      <c r="D2863" s="208" t="s">
        <v>580</v>
      </c>
      <c r="E2863" s="209">
        <v>2518.6999999999998</v>
      </c>
      <c r="F2863" s="209">
        <v>1327.81</v>
      </c>
      <c r="G2863" s="209">
        <v>3846.51</v>
      </c>
      <c r="H2863" s="198"/>
    </row>
    <row r="2864" spans="1:8" ht="15.75" hidden="1" customHeight="1" x14ac:dyDescent="0.25">
      <c r="A2864" s="205" t="s">
        <v>3488</v>
      </c>
      <c r="B2864" s="206">
        <v>100366</v>
      </c>
      <c r="C2864" s="207" t="s">
        <v>3493</v>
      </c>
      <c r="D2864" s="208" t="s">
        <v>580</v>
      </c>
      <c r="E2864" s="209">
        <v>3153.76</v>
      </c>
      <c r="F2864" s="209">
        <v>1327.91</v>
      </c>
      <c r="G2864" s="209">
        <v>4481.67</v>
      </c>
      <c r="H2864" s="198"/>
    </row>
    <row r="2865" spans="1:8" ht="15.75" hidden="1" customHeight="1" x14ac:dyDescent="0.25">
      <c r="A2865" s="205" t="s">
        <v>3488</v>
      </c>
      <c r="B2865" s="206">
        <v>100376</v>
      </c>
      <c r="C2865" s="207" t="s">
        <v>3494</v>
      </c>
      <c r="D2865" s="208" t="s">
        <v>580</v>
      </c>
      <c r="E2865" s="209">
        <v>2438.33</v>
      </c>
      <c r="F2865" s="209">
        <v>1328.01</v>
      </c>
      <c r="G2865" s="209">
        <v>3766.34</v>
      </c>
      <c r="H2865" s="198"/>
    </row>
    <row r="2866" spans="1:8" ht="15.75" hidden="1" customHeight="1" x14ac:dyDescent="0.25">
      <c r="A2866" s="205" t="s">
        <v>3488</v>
      </c>
      <c r="B2866" s="206">
        <v>100357</v>
      </c>
      <c r="C2866" s="207" t="s">
        <v>3495</v>
      </c>
      <c r="D2866" s="208" t="s">
        <v>580</v>
      </c>
      <c r="E2866" s="209">
        <v>895.23</v>
      </c>
      <c r="F2866" s="209">
        <v>376.03</v>
      </c>
      <c r="G2866" s="209">
        <v>1271.26</v>
      </c>
      <c r="H2866" s="198"/>
    </row>
    <row r="2867" spans="1:8" ht="15.75" hidden="1" customHeight="1" x14ac:dyDescent="0.25">
      <c r="A2867" s="205" t="s">
        <v>3488</v>
      </c>
      <c r="B2867" s="206">
        <v>100367</v>
      </c>
      <c r="C2867" s="207" t="s">
        <v>3496</v>
      </c>
      <c r="D2867" s="208" t="s">
        <v>580</v>
      </c>
      <c r="E2867" s="209">
        <v>862.64</v>
      </c>
      <c r="F2867" s="209">
        <v>376.07</v>
      </c>
      <c r="G2867" s="209">
        <v>1238.71</v>
      </c>
      <c r="H2867" s="198"/>
    </row>
    <row r="2868" spans="1:8" ht="15.75" hidden="1" customHeight="1" x14ac:dyDescent="0.25">
      <c r="A2868" s="205" t="s">
        <v>3488</v>
      </c>
      <c r="B2868" s="206">
        <v>100358</v>
      </c>
      <c r="C2868" s="207" t="s">
        <v>3497</v>
      </c>
      <c r="D2868" s="208" t="s">
        <v>580</v>
      </c>
      <c r="E2868" s="209">
        <v>1135.94</v>
      </c>
      <c r="F2868" s="209">
        <v>617.58000000000004</v>
      </c>
      <c r="G2868" s="209">
        <v>1753.52</v>
      </c>
      <c r="H2868" s="198"/>
    </row>
    <row r="2869" spans="1:8" ht="15.75" hidden="1" customHeight="1" x14ac:dyDescent="0.25">
      <c r="A2869" s="205" t="s">
        <v>3488</v>
      </c>
      <c r="B2869" s="206">
        <v>100368</v>
      </c>
      <c r="C2869" s="207" t="s">
        <v>3498</v>
      </c>
      <c r="D2869" s="208" t="s">
        <v>580</v>
      </c>
      <c r="E2869" s="209">
        <v>1095.8800000000001</v>
      </c>
      <c r="F2869" s="209">
        <v>617.49</v>
      </c>
      <c r="G2869" s="209">
        <v>1713.37</v>
      </c>
      <c r="H2869" s="198"/>
    </row>
    <row r="2870" spans="1:8" ht="15.75" hidden="1" customHeight="1" x14ac:dyDescent="0.25">
      <c r="A2870" s="205" t="s">
        <v>3488</v>
      </c>
      <c r="B2870" s="206">
        <v>100359</v>
      </c>
      <c r="C2870" s="207" t="s">
        <v>3499</v>
      </c>
      <c r="D2870" s="208" t="s">
        <v>580</v>
      </c>
      <c r="E2870" s="209">
        <v>1219.83</v>
      </c>
      <c r="F2870" s="209">
        <v>617.54</v>
      </c>
      <c r="G2870" s="209">
        <v>1837.37</v>
      </c>
      <c r="H2870" s="198"/>
    </row>
    <row r="2871" spans="1:8" ht="15.75" hidden="1" customHeight="1" x14ac:dyDescent="0.25">
      <c r="A2871" s="205" t="s">
        <v>3488</v>
      </c>
      <c r="B2871" s="206">
        <v>100369</v>
      </c>
      <c r="C2871" s="207" t="s">
        <v>3500</v>
      </c>
      <c r="D2871" s="208" t="s">
        <v>580</v>
      </c>
      <c r="E2871" s="209">
        <v>1179.71</v>
      </c>
      <c r="F2871" s="209">
        <v>617.52</v>
      </c>
      <c r="G2871" s="209">
        <v>1797.23</v>
      </c>
      <c r="H2871" s="198"/>
    </row>
    <row r="2872" spans="1:8" ht="15.75" hidden="1" customHeight="1" x14ac:dyDescent="0.25">
      <c r="A2872" s="205" t="s">
        <v>3488</v>
      </c>
      <c r="B2872" s="206">
        <v>100360</v>
      </c>
      <c r="C2872" s="207" t="s">
        <v>3501</v>
      </c>
      <c r="D2872" s="208" t="s">
        <v>580</v>
      </c>
      <c r="E2872" s="209">
        <v>1357.4</v>
      </c>
      <c r="F2872" s="209">
        <v>681.95</v>
      </c>
      <c r="G2872" s="209">
        <v>2039.35</v>
      </c>
      <c r="H2872" s="198"/>
    </row>
    <row r="2873" spans="1:8" ht="15.75" hidden="1" customHeight="1" x14ac:dyDescent="0.25">
      <c r="A2873" s="205" t="s">
        <v>3488</v>
      </c>
      <c r="B2873" s="206">
        <v>100370</v>
      </c>
      <c r="C2873" s="207" t="s">
        <v>3502</v>
      </c>
      <c r="D2873" s="208" t="s">
        <v>580</v>
      </c>
      <c r="E2873" s="209">
        <v>1441.72</v>
      </c>
      <c r="F2873" s="209">
        <v>681.89</v>
      </c>
      <c r="G2873" s="209">
        <v>2123.61</v>
      </c>
      <c r="H2873" s="198"/>
    </row>
    <row r="2874" spans="1:8" ht="15.75" hidden="1" customHeight="1" x14ac:dyDescent="0.25">
      <c r="A2874" s="205" t="s">
        <v>3488</v>
      </c>
      <c r="B2874" s="206">
        <v>100361</v>
      </c>
      <c r="C2874" s="207" t="s">
        <v>3503</v>
      </c>
      <c r="D2874" s="208" t="s">
        <v>580</v>
      </c>
      <c r="E2874" s="209">
        <v>1634.36</v>
      </c>
      <c r="F2874" s="209">
        <v>923.32</v>
      </c>
      <c r="G2874" s="209">
        <v>2557.6799999999998</v>
      </c>
      <c r="H2874" s="198"/>
    </row>
    <row r="2875" spans="1:8" ht="15.75" hidden="1" customHeight="1" x14ac:dyDescent="0.25">
      <c r="A2875" s="205" t="s">
        <v>3488</v>
      </c>
      <c r="B2875" s="206">
        <v>100371</v>
      </c>
      <c r="C2875" s="207" t="s">
        <v>3504</v>
      </c>
      <c r="D2875" s="208" t="s">
        <v>580</v>
      </c>
      <c r="E2875" s="209">
        <v>1527.24</v>
      </c>
      <c r="F2875" s="209">
        <v>923.4</v>
      </c>
      <c r="G2875" s="209">
        <v>2450.64</v>
      </c>
      <c r="H2875" s="198"/>
    </row>
    <row r="2876" spans="1:8" ht="15.75" hidden="1" customHeight="1" x14ac:dyDescent="0.25">
      <c r="A2876" s="205" t="s">
        <v>3488</v>
      </c>
      <c r="B2876" s="206">
        <v>100362</v>
      </c>
      <c r="C2876" s="207" t="s">
        <v>3505</v>
      </c>
      <c r="D2876" s="208" t="s">
        <v>580</v>
      </c>
      <c r="E2876" s="209">
        <v>2238.79</v>
      </c>
      <c r="F2876" s="209">
        <v>985.73</v>
      </c>
      <c r="G2876" s="209">
        <v>3224.52</v>
      </c>
      <c r="H2876" s="198"/>
    </row>
    <row r="2877" spans="1:8" ht="15.75" hidden="1" customHeight="1" x14ac:dyDescent="0.25">
      <c r="A2877" s="205" t="s">
        <v>3488</v>
      </c>
      <c r="B2877" s="206">
        <v>100372</v>
      </c>
      <c r="C2877" s="207" t="s">
        <v>3506</v>
      </c>
      <c r="D2877" s="208" t="s">
        <v>580</v>
      </c>
      <c r="E2877" s="209">
        <v>2055.17</v>
      </c>
      <c r="F2877" s="209">
        <v>985.92</v>
      </c>
      <c r="G2877" s="209">
        <v>3041.09</v>
      </c>
      <c r="H2877" s="198"/>
    </row>
    <row r="2878" spans="1:8" ht="15.75" hidden="1" customHeight="1" x14ac:dyDescent="0.25">
      <c r="A2878" s="205" t="s">
        <v>3488</v>
      </c>
      <c r="B2878" s="206">
        <v>100363</v>
      </c>
      <c r="C2878" s="207" t="s">
        <v>3507</v>
      </c>
      <c r="D2878" s="208" t="s">
        <v>580</v>
      </c>
      <c r="E2878" s="209">
        <v>2340.14</v>
      </c>
      <c r="F2878" s="209">
        <v>985.81</v>
      </c>
      <c r="G2878" s="209">
        <v>3325.95</v>
      </c>
      <c r="H2878" s="198"/>
    </row>
    <row r="2879" spans="1:8" ht="15.75" hidden="1" customHeight="1" x14ac:dyDescent="0.25">
      <c r="A2879" s="205" t="s">
        <v>3488</v>
      </c>
      <c r="B2879" s="206">
        <v>100373</v>
      </c>
      <c r="C2879" s="207" t="s">
        <v>3508</v>
      </c>
      <c r="D2879" s="208" t="s">
        <v>580</v>
      </c>
      <c r="E2879" s="209">
        <v>2156.91</v>
      </c>
      <c r="F2879" s="209">
        <v>985.89</v>
      </c>
      <c r="G2879" s="209">
        <v>3142.8</v>
      </c>
      <c r="H2879" s="198"/>
    </row>
    <row r="2880" spans="1:8" ht="15.75" hidden="1" customHeight="1" x14ac:dyDescent="0.25">
      <c r="A2880" s="205" t="s">
        <v>3488</v>
      </c>
      <c r="B2880" s="206">
        <v>100381</v>
      </c>
      <c r="C2880" s="207" t="s">
        <v>3509</v>
      </c>
      <c r="D2880" s="208" t="s">
        <v>578</v>
      </c>
      <c r="E2880" s="209">
        <v>42.5</v>
      </c>
      <c r="F2880" s="209">
        <v>26.91</v>
      </c>
      <c r="G2880" s="209">
        <v>69.41</v>
      </c>
      <c r="H2880" s="198"/>
    </row>
    <row r="2881" spans="1:8" ht="15.75" hidden="1" customHeight="1" x14ac:dyDescent="0.25">
      <c r="A2881" s="205" t="s">
        <v>3488</v>
      </c>
      <c r="B2881" s="206">
        <v>100380</v>
      </c>
      <c r="C2881" s="207" t="s">
        <v>3510</v>
      </c>
      <c r="D2881" s="208" t="s">
        <v>578</v>
      </c>
      <c r="E2881" s="209">
        <v>39.64</v>
      </c>
      <c r="F2881" s="209">
        <v>21.48</v>
      </c>
      <c r="G2881" s="209">
        <v>61.12</v>
      </c>
      <c r="H2881" s="198"/>
    </row>
    <row r="2882" spans="1:8" ht="15.75" hidden="1" customHeight="1" x14ac:dyDescent="0.25">
      <c r="A2882" s="205" t="s">
        <v>3488</v>
      </c>
      <c r="B2882" s="206">
        <v>100379</v>
      </c>
      <c r="C2882" s="207" t="s">
        <v>3511</v>
      </c>
      <c r="D2882" s="208" t="s">
        <v>578</v>
      </c>
      <c r="E2882" s="209">
        <v>31.91</v>
      </c>
      <c r="F2882" s="209">
        <v>13.55</v>
      </c>
      <c r="G2882" s="209">
        <v>45.46</v>
      </c>
      <c r="H2882" s="198"/>
    </row>
    <row r="2883" spans="1:8" ht="15.75" hidden="1" customHeight="1" x14ac:dyDescent="0.25">
      <c r="A2883" s="205" t="s">
        <v>3488</v>
      </c>
      <c r="B2883" s="206">
        <v>100384</v>
      </c>
      <c r="C2883" s="207" t="s">
        <v>3512</v>
      </c>
      <c r="D2883" s="208" t="s">
        <v>578</v>
      </c>
      <c r="E2883" s="209">
        <v>24.48</v>
      </c>
      <c r="F2883" s="209">
        <v>7.45</v>
      </c>
      <c r="G2883" s="209">
        <v>31.93</v>
      </c>
      <c r="H2883" s="198"/>
    </row>
    <row r="2884" spans="1:8" ht="15.75" hidden="1" customHeight="1" x14ac:dyDescent="0.25">
      <c r="A2884" s="205" t="s">
        <v>3488</v>
      </c>
      <c r="B2884" s="206">
        <v>100383</v>
      </c>
      <c r="C2884" s="207" t="s">
        <v>3513</v>
      </c>
      <c r="D2884" s="208" t="s">
        <v>578</v>
      </c>
      <c r="E2884" s="209">
        <v>24.12</v>
      </c>
      <c r="F2884" s="209">
        <v>5.86</v>
      </c>
      <c r="G2884" s="209">
        <v>29.98</v>
      </c>
      <c r="H2884" s="198"/>
    </row>
    <row r="2885" spans="1:8" ht="15.75" hidden="1" customHeight="1" x14ac:dyDescent="0.25">
      <c r="A2885" s="205" t="s">
        <v>3488</v>
      </c>
      <c r="B2885" s="206">
        <v>100382</v>
      </c>
      <c r="C2885" s="207" t="s">
        <v>3514</v>
      </c>
      <c r="D2885" s="208" t="s">
        <v>578</v>
      </c>
      <c r="E2885" s="209">
        <v>22.55</v>
      </c>
      <c r="F2885" s="209">
        <v>5.08</v>
      </c>
      <c r="G2885" s="209">
        <v>27.63</v>
      </c>
      <c r="H2885" s="198"/>
    </row>
    <row r="2886" spans="1:8" ht="15.75" hidden="1" customHeight="1" x14ac:dyDescent="0.25">
      <c r="A2886" s="205" t="s">
        <v>3488</v>
      </c>
      <c r="B2886" s="206">
        <v>100387</v>
      </c>
      <c r="C2886" s="207" t="s">
        <v>3515</v>
      </c>
      <c r="D2886" s="208" t="s">
        <v>578</v>
      </c>
      <c r="E2886" s="209">
        <v>45.14</v>
      </c>
      <c r="F2886" s="209">
        <v>19.510000000000002</v>
      </c>
      <c r="G2886" s="209">
        <v>64.650000000000006</v>
      </c>
      <c r="H2886" s="198"/>
    </row>
    <row r="2887" spans="1:8" ht="15.75" hidden="1" customHeight="1" x14ac:dyDescent="0.25">
      <c r="A2887" s="205" t="s">
        <v>3488</v>
      </c>
      <c r="B2887" s="206">
        <v>100386</v>
      </c>
      <c r="C2887" s="207" t="s">
        <v>3516</v>
      </c>
      <c r="D2887" s="208" t="s">
        <v>578</v>
      </c>
      <c r="E2887" s="209">
        <v>37.11</v>
      </c>
      <c r="F2887" s="209">
        <v>15.21</v>
      </c>
      <c r="G2887" s="209">
        <v>52.32</v>
      </c>
      <c r="H2887" s="198"/>
    </row>
    <row r="2888" spans="1:8" ht="15.75" hidden="1" customHeight="1" x14ac:dyDescent="0.25">
      <c r="A2888" s="205" t="s">
        <v>3488</v>
      </c>
      <c r="B2888" s="206">
        <v>100385</v>
      </c>
      <c r="C2888" s="207" t="s">
        <v>3517</v>
      </c>
      <c r="D2888" s="208" t="s">
        <v>578</v>
      </c>
      <c r="E2888" s="209">
        <v>30.13</v>
      </c>
      <c r="F2888" s="209">
        <v>10.1</v>
      </c>
      <c r="G2888" s="209">
        <v>40.229999999999997</v>
      </c>
      <c r="H2888" s="198"/>
    </row>
    <row r="2889" spans="1:8" ht="15.75" hidden="1" customHeight="1" x14ac:dyDescent="0.25">
      <c r="A2889" s="205" t="s">
        <v>3488</v>
      </c>
      <c r="B2889" s="206">
        <v>100377</v>
      </c>
      <c r="C2889" s="207" t="s">
        <v>3518</v>
      </c>
      <c r="D2889" s="208" t="s">
        <v>823</v>
      </c>
      <c r="E2889" s="209">
        <v>10.210000000000001</v>
      </c>
      <c r="F2889" s="209">
        <v>1.79</v>
      </c>
      <c r="G2889" s="209">
        <v>12</v>
      </c>
      <c r="H2889" s="198"/>
    </row>
    <row r="2890" spans="1:8" ht="15.75" hidden="1" customHeight="1" x14ac:dyDescent="0.25">
      <c r="A2890" s="205" t="s">
        <v>3488</v>
      </c>
      <c r="B2890" s="206">
        <v>100378</v>
      </c>
      <c r="C2890" s="207" t="s">
        <v>3519</v>
      </c>
      <c r="D2890" s="208" t="s">
        <v>823</v>
      </c>
      <c r="E2890" s="209">
        <v>9.51</v>
      </c>
      <c r="F2890" s="209">
        <v>1.62</v>
      </c>
      <c r="G2890" s="209">
        <v>11.13</v>
      </c>
      <c r="H2890" s="198"/>
    </row>
    <row r="2891" spans="1:8" ht="15.75" hidden="1" customHeight="1" x14ac:dyDescent="0.25">
      <c r="A2891" s="205" t="s">
        <v>3488</v>
      </c>
      <c r="B2891" s="206">
        <v>92596</v>
      </c>
      <c r="C2891" s="207" t="s">
        <v>3520</v>
      </c>
      <c r="D2891" s="208" t="s">
        <v>580</v>
      </c>
      <c r="E2891" s="209">
        <v>1640.64</v>
      </c>
      <c r="F2891" s="209">
        <v>334.36</v>
      </c>
      <c r="G2891" s="209">
        <v>1975</v>
      </c>
      <c r="H2891" s="198"/>
    </row>
    <row r="2892" spans="1:8" ht="15.75" hidden="1" customHeight="1" x14ac:dyDescent="0.25">
      <c r="A2892" s="205" t="s">
        <v>3488</v>
      </c>
      <c r="B2892" s="206">
        <v>92616</v>
      </c>
      <c r="C2892" s="207" t="s">
        <v>3521</v>
      </c>
      <c r="D2892" s="208" t="s">
        <v>580</v>
      </c>
      <c r="E2892" s="209">
        <v>1552.58</v>
      </c>
      <c r="F2892" s="209">
        <v>334.36</v>
      </c>
      <c r="G2892" s="209">
        <v>1886.94</v>
      </c>
      <c r="H2892" s="198"/>
    </row>
    <row r="2893" spans="1:8" ht="15.75" hidden="1" customHeight="1" x14ac:dyDescent="0.25">
      <c r="A2893" s="205" t="s">
        <v>3488</v>
      </c>
      <c r="B2893" s="206">
        <v>92598</v>
      </c>
      <c r="C2893" s="207" t="s">
        <v>3522</v>
      </c>
      <c r="D2893" s="208" t="s">
        <v>580</v>
      </c>
      <c r="E2893" s="209">
        <v>1756.7</v>
      </c>
      <c r="F2893" s="209">
        <v>334.35</v>
      </c>
      <c r="G2893" s="209">
        <v>2091.0500000000002</v>
      </c>
      <c r="H2893" s="198"/>
    </row>
    <row r="2894" spans="1:8" ht="15.75" hidden="1" customHeight="1" x14ac:dyDescent="0.25">
      <c r="A2894" s="205" t="s">
        <v>3488</v>
      </c>
      <c r="B2894" s="206">
        <v>92618</v>
      </c>
      <c r="C2894" s="207" t="s">
        <v>3523</v>
      </c>
      <c r="D2894" s="208" t="s">
        <v>580</v>
      </c>
      <c r="E2894" s="209">
        <v>1668.5</v>
      </c>
      <c r="F2894" s="209">
        <v>334.49</v>
      </c>
      <c r="G2894" s="209">
        <v>2002.99</v>
      </c>
      <c r="H2894" s="198"/>
    </row>
    <row r="2895" spans="1:8" ht="15.75" hidden="1" customHeight="1" x14ac:dyDescent="0.25">
      <c r="A2895" s="205" t="s">
        <v>3488</v>
      </c>
      <c r="B2895" s="206">
        <v>92600</v>
      </c>
      <c r="C2895" s="207" t="s">
        <v>3524</v>
      </c>
      <c r="D2895" s="208" t="s">
        <v>580</v>
      </c>
      <c r="E2895" s="209">
        <v>1902.11</v>
      </c>
      <c r="F2895" s="209">
        <v>334.35</v>
      </c>
      <c r="G2895" s="209">
        <v>2236.46</v>
      </c>
      <c r="H2895" s="198"/>
    </row>
    <row r="2896" spans="1:8" ht="15.75" hidden="1" customHeight="1" x14ac:dyDescent="0.25">
      <c r="A2896" s="205" t="s">
        <v>3488</v>
      </c>
      <c r="B2896" s="206">
        <v>92620</v>
      </c>
      <c r="C2896" s="207" t="s">
        <v>3525</v>
      </c>
      <c r="D2896" s="208" t="s">
        <v>580</v>
      </c>
      <c r="E2896" s="209">
        <v>1784.66</v>
      </c>
      <c r="F2896" s="209">
        <v>334.38</v>
      </c>
      <c r="G2896" s="209">
        <v>2119.04</v>
      </c>
      <c r="H2896" s="198"/>
    </row>
    <row r="2897" spans="1:8" ht="15.75" hidden="1" customHeight="1" x14ac:dyDescent="0.25">
      <c r="A2897" s="205" t="s">
        <v>3488</v>
      </c>
      <c r="B2897" s="206">
        <v>92582</v>
      </c>
      <c r="C2897" s="207" t="s">
        <v>3526</v>
      </c>
      <c r="D2897" s="208" t="s">
        <v>580</v>
      </c>
      <c r="E2897" s="209">
        <v>595.83000000000004</v>
      </c>
      <c r="F2897" s="209">
        <v>140.30000000000001</v>
      </c>
      <c r="G2897" s="209">
        <v>736.13</v>
      </c>
      <c r="H2897" s="198"/>
    </row>
    <row r="2898" spans="1:8" ht="15.75" hidden="1" customHeight="1" x14ac:dyDescent="0.25">
      <c r="A2898" s="205" t="s">
        <v>3488</v>
      </c>
      <c r="B2898" s="206">
        <v>92602</v>
      </c>
      <c r="C2898" s="207" t="s">
        <v>3527</v>
      </c>
      <c r="D2898" s="208" t="s">
        <v>580</v>
      </c>
      <c r="E2898" s="209">
        <v>595.83000000000004</v>
      </c>
      <c r="F2898" s="209">
        <v>140.30000000000001</v>
      </c>
      <c r="G2898" s="209">
        <v>736.13</v>
      </c>
      <c r="H2898" s="198"/>
    </row>
    <row r="2899" spans="1:8" ht="15.75" hidden="1" customHeight="1" x14ac:dyDescent="0.25">
      <c r="A2899" s="205" t="s">
        <v>3488</v>
      </c>
      <c r="B2899" s="206">
        <v>92584</v>
      </c>
      <c r="C2899" s="207" t="s">
        <v>3528</v>
      </c>
      <c r="D2899" s="208" t="s">
        <v>580</v>
      </c>
      <c r="E2899" s="209">
        <v>711.92</v>
      </c>
      <c r="F2899" s="209">
        <v>140.27000000000001</v>
      </c>
      <c r="G2899" s="209">
        <v>852.19</v>
      </c>
      <c r="H2899" s="198"/>
    </row>
    <row r="2900" spans="1:8" ht="15.75" hidden="1" customHeight="1" x14ac:dyDescent="0.25">
      <c r="A2900" s="205" t="s">
        <v>3488</v>
      </c>
      <c r="B2900" s="206">
        <v>92604</v>
      </c>
      <c r="C2900" s="207" t="s">
        <v>3529</v>
      </c>
      <c r="D2900" s="208" t="s">
        <v>580</v>
      </c>
      <c r="E2900" s="209">
        <v>682.54</v>
      </c>
      <c r="F2900" s="209">
        <v>140.29</v>
      </c>
      <c r="G2900" s="209">
        <v>822.83</v>
      </c>
      <c r="H2900" s="198"/>
    </row>
    <row r="2901" spans="1:8" ht="15.75" hidden="1" customHeight="1" x14ac:dyDescent="0.25">
      <c r="A2901" s="205" t="s">
        <v>3488</v>
      </c>
      <c r="B2901" s="206">
        <v>92586</v>
      </c>
      <c r="C2901" s="207" t="s">
        <v>3530</v>
      </c>
      <c r="D2901" s="208" t="s">
        <v>580</v>
      </c>
      <c r="E2901" s="209">
        <v>827.95</v>
      </c>
      <c r="F2901" s="209">
        <v>140.29</v>
      </c>
      <c r="G2901" s="209">
        <v>968.24</v>
      </c>
      <c r="H2901" s="198"/>
    </row>
    <row r="2902" spans="1:8" ht="15.75" hidden="1" customHeight="1" x14ac:dyDescent="0.25">
      <c r="A2902" s="205" t="s">
        <v>3488</v>
      </c>
      <c r="B2902" s="206">
        <v>92606</v>
      </c>
      <c r="C2902" s="207" t="s">
        <v>3531</v>
      </c>
      <c r="D2902" s="208" t="s">
        <v>580</v>
      </c>
      <c r="E2902" s="209">
        <v>798.62</v>
      </c>
      <c r="F2902" s="209">
        <v>140.27000000000001</v>
      </c>
      <c r="G2902" s="209">
        <v>938.89</v>
      </c>
      <c r="H2902" s="198"/>
    </row>
    <row r="2903" spans="1:8" ht="15.75" hidden="1" customHeight="1" x14ac:dyDescent="0.25">
      <c r="A2903" s="205" t="s">
        <v>3488</v>
      </c>
      <c r="B2903" s="206">
        <v>92588</v>
      </c>
      <c r="C2903" s="207" t="s">
        <v>3532</v>
      </c>
      <c r="D2903" s="208" t="s">
        <v>580</v>
      </c>
      <c r="E2903" s="209">
        <v>1030.8900000000001</v>
      </c>
      <c r="F2903" s="209">
        <v>203.55</v>
      </c>
      <c r="G2903" s="209">
        <v>1234.44</v>
      </c>
      <c r="H2903" s="198"/>
    </row>
    <row r="2904" spans="1:8" ht="15.75" hidden="1" customHeight="1" x14ac:dyDescent="0.25">
      <c r="A2904" s="205" t="s">
        <v>3488</v>
      </c>
      <c r="B2904" s="206">
        <v>92608</v>
      </c>
      <c r="C2904" s="207" t="s">
        <v>3533</v>
      </c>
      <c r="D2904" s="208" t="s">
        <v>580</v>
      </c>
      <c r="E2904" s="209">
        <v>972.22</v>
      </c>
      <c r="F2904" s="209">
        <v>203.51</v>
      </c>
      <c r="G2904" s="209">
        <v>1175.73</v>
      </c>
      <c r="H2904" s="198"/>
    </row>
    <row r="2905" spans="1:8" ht="15.75" hidden="1" customHeight="1" x14ac:dyDescent="0.25">
      <c r="A2905" s="205" t="s">
        <v>3488</v>
      </c>
      <c r="B2905" s="206">
        <v>92590</v>
      </c>
      <c r="C2905" s="207" t="s">
        <v>3534</v>
      </c>
      <c r="D2905" s="208" t="s">
        <v>580</v>
      </c>
      <c r="E2905" s="209">
        <v>1146.98</v>
      </c>
      <c r="F2905" s="209">
        <v>203.51</v>
      </c>
      <c r="G2905" s="209">
        <v>1350.49</v>
      </c>
      <c r="H2905" s="198"/>
    </row>
    <row r="2906" spans="1:8" ht="15.75" hidden="1" customHeight="1" x14ac:dyDescent="0.25">
      <c r="A2906" s="205" t="s">
        <v>3488</v>
      </c>
      <c r="B2906" s="206">
        <v>92610</v>
      </c>
      <c r="C2906" s="207" t="s">
        <v>3535</v>
      </c>
      <c r="D2906" s="208" t="s">
        <v>580</v>
      </c>
      <c r="E2906" s="209">
        <v>1088.21</v>
      </c>
      <c r="F2906" s="209">
        <v>203.58</v>
      </c>
      <c r="G2906" s="209">
        <v>1291.79</v>
      </c>
      <c r="H2906" s="198"/>
    </row>
    <row r="2907" spans="1:8" ht="15.75" hidden="1" customHeight="1" x14ac:dyDescent="0.25">
      <c r="A2907" s="205" t="s">
        <v>3488</v>
      </c>
      <c r="B2907" s="206">
        <v>92592</v>
      </c>
      <c r="C2907" s="207" t="s">
        <v>3536</v>
      </c>
      <c r="D2907" s="208" t="s">
        <v>580</v>
      </c>
      <c r="E2907" s="209">
        <v>1278.08</v>
      </c>
      <c r="F2907" s="209">
        <v>245.98</v>
      </c>
      <c r="G2907" s="209">
        <v>1524.06</v>
      </c>
      <c r="H2907" s="198"/>
    </row>
    <row r="2908" spans="1:8" ht="15.75" hidden="1" customHeight="1" x14ac:dyDescent="0.25">
      <c r="A2908" s="205" t="s">
        <v>3488</v>
      </c>
      <c r="B2908" s="206">
        <v>92612</v>
      </c>
      <c r="C2908" s="207" t="s">
        <v>3537</v>
      </c>
      <c r="D2908" s="208" t="s">
        <v>580</v>
      </c>
      <c r="E2908" s="209">
        <v>1219.47</v>
      </c>
      <c r="F2908" s="209">
        <v>245.88</v>
      </c>
      <c r="G2908" s="209">
        <v>1465.35</v>
      </c>
      <c r="H2908" s="198"/>
    </row>
    <row r="2909" spans="1:8" ht="15.75" hidden="1" customHeight="1" x14ac:dyDescent="0.25">
      <c r="A2909" s="205" t="s">
        <v>3488</v>
      </c>
      <c r="B2909" s="206">
        <v>92594</v>
      </c>
      <c r="C2909" s="207" t="s">
        <v>3538</v>
      </c>
      <c r="D2909" s="208" t="s">
        <v>580</v>
      </c>
      <c r="E2909" s="209">
        <v>1495.17</v>
      </c>
      <c r="F2909" s="209">
        <v>266.33</v>
      </c>
      <c r="G2909" s="209">
        <v>1761.5</v>
      </c>
      <c r="H2909" s="198"/>
    </row>
    <row r="2910" spans="1:8" ht="15.75" hidden="1" customHeight="1" x14ac:dyDescent="0.25">
      <c r="A2910" s="205" t="s">
        <v>3488</v>
      </c>
      <c r="B2910" s="206">
        <v>92614</v>
      </c>
      <c r="C2910" s="207" t="s">
        <v>3539</v>
      </c>
      <c r="D2910" s="208" t="s">
        <v>580</v>
      </c>
      <c r="E2910" s="209">
        <v>1377.75</v>
      </c>
      <c r="F2910" s="209">
        <v>266.33999999999997</v>
      </c>
      <c r="G2910" s="209">
        <v>1644.09</v>
      </c>
      <c r="H2910" s="198"/>
    </row>
    <row r="2911" spans="1:8" ht="15.75" hidden="1" customHeight="1" x14ac:dyDescent="0.25">
      <c r="A2911" s="205" t="s">
        <v>3488</v>
      </c>
      <c r="B2911" s="206">
        <v>92552</v>
      </c>
      <c r="C2911" s="207" t="s">
        <v>3540</v>
      </c>
      <c r="D2911" s="208" t="s">
        <v>580</v>
      </c>
      <c r="E2911" s="209">
        <v>2088.19</v>
      </c>
      <c r="F2911" s="209">
        <v>965.61</v>
      </c>
      <c r="G2911" s="209">
        <v>3053.8</v>
      </c>
      <c r="H2911" s="198"/>
    </row>
    <row r="2912" spans="1:8" ht="15.75" hidden="1" customHeight="1" x14ac:dyDescent="0.25">
      <c r="A2912" s="205" t="s">
        <v>3488</v>
      </c>
      <c r="B2912" s="206">
        <v>92562</v>
      </c>
      <c r="C2912" s="207" t="s">
        <v>3541</v>
      </c>
      <c r="D2912" s="208" t="s">
        <v>580</v>
      </c>
      <c r="E2912" s="209">
        <v>2019.45</v>
      </c>
      <c r="F2912" s="209">
        <v>965.69</v>
      </c>
      <c r="G2912" s="209">
        <v>2985.14</v>
      </c>
      <c r="H2912" s="198"/>
    </row>
    <row r="2913" spans="1:8" ht="15.75" hidden="1" customHeight="1" x14ac:dyDescent="0.25">
      <c r="A2913" s="205" t="s">
        <v>3488</v>
      </c>
      <c r="B2913" s="206">
        <v>92553</v>
      </c>
      <c r="C2913" s="207" t="s">
        <v>3542</v>
      </c>
      <c r="D2913" s="208" t="s">
        <v>580</v>
      </c>
      <c r="E2913" s="209">
        <v>2332.06</v>
      </c>
      <c r="F2913" s="209">
        <v>1207.26</v>
      </c>
      <c r="G2913" s="209">
        <v>3539.32</v>
      </c>
      <c r="H2913" s="198"/>
    </row>
    <row r="2914" spans="1:8" ht="15.75" hidden="1" customHeight="1" x14ac:dyDescent="0.25">
      <c r="A2914" s="205" t="s">
        <v>3488</v>
      </c>
      <c r="B2914" s="206">
        <v>92563</v>
      </c>
      <c r="C2914" s="207" t="s">
        <v>3543</v>
      </c>
      <c r="D2914" s="208" t="s">
        <v>580</v>
      </c>
      <c r="E2914" s="209">
        <v>2251.84</v>
      </c>
      <c r="F2914" s="209">
        <v>1207.2</v>
      </c>
      <c r="G2914" s="209">
        <v>3459.04</v>
      </c>
      <c r="H2914" s="198"/>
    </row>
    <row r="2915" spans="1:8" ht="15.75" hidden="1" customHeight="1" x14ac:dyDescent="0.25">
      <c r="A2915" s="205" t="s">
        <v>3488</v>
      </c>
      <c r="B2915" s="206">
        <v>92554</v>
      </c>
      <c r="C2915" s="207" t="s">
        <v>3544</v>
      </c>
      <c r="D2915" s="208" t="s">
        <v>580</v>
      </c>
      <c r="E2915" s="209">
        <v>2453.13</v>
      </c>
      <c r="F2915" s="209">
        <v>1207.1600000000001</v>
      </c>
      <c r="G2915" s="209">
        <v>3660.29</v>
      </c>
      <c r="H2915" s="198"/>
    </row>
    <row r="2916" spans="1:8" ht="15.75" hidden="1" customHeight="1" x14ac:dyDescent="0.25">
      <c r="A2916" s="205" t="s">
        <v>3488</v>
      </c>
      <c r="B2916" s="206">
        <v>92564</v>
      </c>
      <c r="C2916" s="207" t="s">
        <v>3545</v>
      </c>
      <c r="D2916" s="208" t="s">
        <v>580</v>
      </c>
      <c r="E2916" s="209">
        <v>2354.8200000000002</v>
      </c>
      <c r="F2916" s="209">
        <v>1207.1400000000001</v>
      </c>
      <c r="G2916" s="209">
        <v>3561.96</v>
      </c>
      <c r="H2916" s="198"/>
    </row>
    <row r="2917" spans="1:8" ht="15.75" hidden="1" customHeight="1" x14ac:dyDescent="0.25">
      <c r="A2917" s="205" t="s">
        <v>3488</v>
      </c>
      <c r="B2917" s="206">
        <v>92545</v>
      </c>
      <c r="C2917" s="207" t="s">
        <v>3546</v>
      </c>
      <c r="D2917" s="208" t="s">
        <v>580</v>
      </c>
      <c r="E2917" s="209">
        <v>848.59</v>
      </c>
      <c r="F2917" s="209">
        <v>376.09</v>
      </c>
      <c r="G2917" s="209">
        <v>1224.68</v>
      </c>
      <c r="H2917" s="198"/>
    </row>
    <row r="2918" spans="1:8" ht="15.75" hidden="1" customHeight="1" x14ac:dyDescent="0.25">
      <c r="A2918" s="205" t="s">
        <v>3488</v>
      </c>
      <c r="B2918" s="206">
        <v>92555</v>
      </c>
      <c r="C2918" s="207" t="s">
        <v>3547</v>
      </c>
      <c r="D2918" s="208" t="s">
        <v>580</v>
      </c>
      <c r="E2918" s="209">
        <v>832.36</v>
      </c>
      <c r="F2918" s="209">
        <v>376.05</v>
      </c>
      <c r="G2918" s="209">
        <v>1208.4100000000001</v>
      </c>
      <c r="H2918" s="198"/>
    </row>
    <row r="2919" spans="1:8" ht="15.75" hidden="1" customHeight="1" x14ac:dyDescent="0.25">
      <c r="A2919" s="205" t="s">
        <v>3488</v>
      </c>
      <c r="B2919" s="206">
        <v>92546</v>
      </c>
      <c r="C2919" s="207" t="s">
        <v>3548</v>
      </c>
      <c r="D2919" s="208" t="s">
        <v>580</v>
      </c>
      <c r="E2919" s="209">
        <v>1021.12</v>
      </c>
      <c r="F2919" s="209">
        <v>496.82</v>
      </c>
      <c r="G2919" s="209">
        <v>1517.94</v>
      </c>
      <c r="H2919" s="198"/>
    </row>
    <row r="2920" spans="1:8" ht="15.75" hidden="1" customHeight="1" x14ac:dyDescent="0.25">
      <c r="A2920" s="205" t="s">
        <v>3488</v>
      </c>
      <c r="B2920" s="206">
        <v>92556</v>
      </c>
      <c r="C2920" s="207" t="s">
        <v>3549</v>
      </c>
      <c r="D2920" s="208" t="s">
        <v>580</v>
      </c>
      <c r="E2920" s="209">
        <v>992.56</v>
      </c>
      <c r="F2920" s="209">
        <v>496.87</v>
      </c>
      <c r="G2920" s="209">
        <v>1489.43</v>
      </c>
      <c r="H2920" s="198"/>
    </row>
    <row r="2921" spans="1:8" ht="15.75" hidden="1" customHeight="1" x14ac:dyDescent="0.25">
      <c r="A2921" s="205" t="s">
        <v>3488</v>
      </c>
      <c r="B2921" s="206">
        <v>92547</v>
      </c>
      <c r="C2921" s="207" t="s">
        <v>3550</v>
      </c>
      <c r="D2921" s="208" t="s">
        <v>580</v>
      </c>
      <c r="E2921" s="209">
        <v>1102.8499999999999</v>
      </c>
      <c r="F2921" s="209">
        <v>496.86</v>
      </c>
      <c r="G2921" s="209">
        <v>1599.71</v>
      </c>
      <c r="H2921" s="198"/>
    </row>
    <row r="2922" spans="1:8" ht="15.75" hidden="1" customHeight="1" x14ac:dyDescent="0.25">
      <c r="A2922" s="205" t="s">
        <v>3488</v>
      </c>
      <c r="B2922" s="206">
        <v>92557</v>
      </c>
      <c r="C2922" s="207" t="s">
        <v>3551</v>
      </c>
      <c r="D2922" s="208" t="s">
        <v>580</v>
      </c>
      <c r="E2922" s="209">
        <v>1074.3800000000001</v>
      </c>
      <c r="F2922" s="209">
        <v>496.81</v>
      </c>
      <c r="G2922" s="209">
        <v>1571.19</v>
      </c>
      <c r="H2922" s="198"/>
    </row>
    <row r="2923" spans="1:8" ht="15.75" hidden="1" customHeight="1" x14ac:dyDescent="0.25">
      <c r="A2923" s="205" t="s">
        <v>3488</v>
      </c>
      <c r="B2923" s="206">
        <v>92548</v>
      </c>
      <c r="C2923" s="207" t="s">
        <v>3552</v>
      </c>
      <c r="D2923" s="208" t="s">
        <v>580</v>
      </c>
      <c r="E2923" s="209">
        <v>1223.23</v>
      </c>
      <c r="F2923" s="209">
        <v>561.20000000000005</v>
      </c>
      <c r="G2923" s="209">
        <v>1784.43</v>
      </c>
      <c r="H2923" s="198"/>
    </row>
    <row r="2924" spans="1:8" ht="15.75" hidden="1" customHeight="1" x14ac:dyDescent="0.25">
      <c r="A2924" s="205" t="s">
        <v>3488</v>
      </c>
      <c r="B2924" s="206">
        <v>92558</v>
      </c>
      <c r="C2924" s="207" t="s">
        <v>3553</v>
      </c>
      <c r="D2924" s="208" t="s">
        <v>580</v>
      </c>
      <c r="E2924" s="209">
        <v>1206.94</v>
      </c>
      <c r="F2924" s="209">
        <v>561.21</v>
      </c>
      <c r="G2924" s="209">
        <v>1768.15</v>
      </c>
      <c r="H2924" s="198"/>
    </row>
    <row r="2925" spans="1:8" ht="15.75" hidden="1" customHeight="1" x14ac:dyDescent="0.25">
      <c r="A2925" s="205" t="s">
        <v>3488</v>
      </c>
      <c r="B2925" s="206">
        <v>92549</v>
      </c>
      <c r="C2925" s="207" t="s">
        <v>3554</v>
      </c>
      <c r="D2925" s="208" t="s">
        <v>580</v>
      </c>
      <c r="E2925" s="209">
        <v>1457.82</v>
      </c>
      <c r="F2925" s="209">
        <v>802.71</v>
      </c>
      <c r="G2925" s="209">
        <v>2260.5300000000002</v>
      </c>
      <c r="H2925" s="198"/>
    </row>
    <row r="2926" spans="1:8" ht="15.75" hidden="1" customHeight="1" x14ac:dyDescent="0.25">
      <c r="A2926" s="205" t="s">
        <v>3488</v>
      </c>
      <c r="B2926" s="206">
        <v>92559</v>
      </c>
      <c r="C2926" s="207" t="s">
        <v>3555</v>
      </c>
      <c r="D2926" s="208" t="s">
        <v>580</v>
      </c>
      <c r="E2926" s="209">
        <v>1427.58</v>
      </c>
      <c r="F2926" s="209">
        <v>802.65</v>
      </c>
      <c r="G2926" s="209">
        <v>2230.23</v>
      </c>
      <c r="H2926" s="198"/>
    </row>
    <row r="2927" spans="1:8" ht="15.75" hidden="1" customHeight="1" x14ac:dyDescent="0.25">
      <c r="A2927" s="205" t="s">
        <v>3488</v>
      </c>
      <c r="B2927" s="206">
        <v>92550</v>
      </c>
      <c r="C2927" s="207" t="s">
        <v>3556</v>
      </c>
      <c r="D2927" s="208" t="s">
        <v>580</v>
      </c>
      <c r="E2927" s="209">
        <v>1826.36</v>
      </c>
      <c r="F2927" s="209">
        <v>865</v>
      </c>
      <c r="G2927" s="209">
        <v>2691.36</v>
      </c>
      <c r="H2927" s="198"/>
    </row>
    <row r="2928" spans="1:8" ht="15.75" hidden="1" customHeight="1" x14ac:dyDescent="0.25">
      <c r="A2928" s="205" t="s">
        <v>3488</v>
      </c>
      <c r="B2928" s="206">
        <v>92560</v>
      </c>
      <c r="C2928" s="207" t="s">
        <v>3557</v>
      </c>
      <c r="D2928" s="208" t="s">
        <v>580</v>
      </c>
      <c r="E2928" s="209">
        <v>1784.84</v>
      </c>
      <c r="F2928" s="209">
        <v>865.25</v>
      </c>
      <c r="G2928" s="209">
        <v>2650.09</v>
      </c>
      <c r="H2928" s="198"/>
    </row>
    <row r="2929" spans="1:8" ht="15.75" hidden="1" customHeight="1" x14ac:dyDescent="0.25">
      <c r="A2929" s="205" t="s">
        <v>3488</v>
      </c>
      <c r="B2929" s="206">
        <v>92551</v>
      </c>
      <c r="C2929" s="207" t="s">
        <v>3558</v>
      </c>
      <c r="D2929" s="208" t="s">
        <v>580</v>
      </c>
      <c r="E2929" s="209">
        <v>1931.74</v>
      </c>
      <c r="F2929" s="209">
        <v>865.04</v>
      </c>
      <c r="G2929" s="209">
        <v>2796.78</v>
      </c>
      <c r="H2929" s="198"/>
    </row>
    <row r="2930" spans="1:8" ht="15.75" hidden="1" customHeight="1" x14ac:dyDescent="0.25">
      <c r="A2930" s="205" t="s">
        <v>3488</v>
      </c>
      <c r="B2930" s="206">
        <v>92561</v>
      </c>
      <c r="C2930" s="207" t="s">
        <v>3559</v>
      </c>
      <c r="D2930" s="208" t="s">
        <v>580</v>
      </c>
      <c r="E2930" s="209">
        <v>1891.6</v>
      </c>
      <c r="F2930" s="209">
        <v>865.03</v>
      </c>
      <c r="G2930" s="209">
        <v>2756.63</v>
      </c>
      <c r="H2930" s="198"/>
    </row>
    <row r="2931" spans="1:8" ht="15.75" hidden="1" customHeight="1" x14ac:dyDescent="0.25">
      <c r="A2931" s="205" t="s">
        <v>3488</v>
      </c>
      <c r="B2931" s="206">
        <v>92262</v>
      </c>
      <c r="C2931" s="207" t="s">
        <v>3560</v>
      </c>
      <c r="D2931" s="208" t="s">
        <v>580</v>
      </c>
      <c r="E2931" s="209">
        <v>497.51</v>
      </c>
      <c r="F2931" s="209">
        <v>362.04</v>
      </c>
      <c r="G2931" s="209">
        <v>859.55</v>
      </c>
      <c r="H2931" s="198"/>
    </row>
    <row r="2932" spans="1:8" ht="15.75" hidden="1" customHeight="1" x14ac:dyDescent="0.25">
      <c r="A2932" s="205" t="s">
        <v>3488</v>
      </c>
      <c r="B2932" s="206">
        <v>92259</v>
      </c>
      <c r="C2932" s="207" t="s">
        <v>3561</v>
      </c>
      <c r="D2932" s="208" t="s">
        <v>580</v>
      </c>
      <c r="E2932" s="209">
        <v>418.84</v>
      </c>
      <c r="F2932" s="209">
        <v>134.66</v>
      </c>
      <c r="G2932" s="209">
        <v>553.5</v>
      </c>
      <c r="H2932" s="198"/>
    </row>
    <row r="2933" spans="1:8" ht="15.75" hidden="1" customHeight="1" x14ac:dyDescent="0.25">
      <c r="A2933" s="205" t="s">
        <v>3488</v>
      </c>
      <c r="B2933" s="206">
        <v>92260</v>
      </c>
      <c r="C2933" s="207" t="s">
        <v>3562</v>
      </c>
      <c r="D2933" s="208" t="s">
        <v>580</v>
      </c>
      <c r="E2933" s="209">
        <v>441.16</v>
      </c>
      <c r="F2933" s="209">
        <v>199.03</v>
      </c>
      <c r="G2933" s="209">
        <v>640.19000000000005</v>
      </c>
      <c r="H2933" s="198"/>
    </row>
    <row r="2934" spans="1:8" ht="15.75" hidden="1" customHeight="1" x14ac:dyDescent="0.25">
      <c r="A2934" s="205" t="s">
        <v>3488</v>
      </c>
      <c r="B2934" s="206">
        <v>92261</v>
      </c>
      <c r="C2934" s="207" t="s">
        <v>3563</v>
      </c>
      <c r="D2934" s="208" t="s">
        <v>580</v>
      </c>
      <c r="E2934" s="209">
        <v>462.72</v>
      </c>
      <c r="F2934" s="209">
        <v>261.51</v>
      </c>
      <c r="G2934" s="209">
        <v>724.23</v>
      </c>
      <c r="H2934" s="198"/>
    </row>
    <row r="2935" spans="1:8" ht="15.75" hidden="1" customHeight="1" x14ac:dyDescent="0.25">
      <c r="A2935" s="205" t="s">
        <v>3488</v>
      </c>
      <c r="B2935" s="206">
        <v>92258</v>
      </c>
      <c r="C2935" s="207" t="s">
        <v>3564</v>
      </c>
      <c r="D2935" s="208" t="s">
        <v>580</v>
      </c>
      <c r="E2935" s="209">
        <v>175.84</v>
      </c>
      <c r="F2935" s="209">
        <v>253.03</v>
      </c>
      <c r="G2935" s="209">
        <v>428.87</v>
      </c>
      <c r="H2935" s="198"/>
    </row>
    <row r="2936" spans="1:8" ht="15.75" hidden="1" customHeight="1" x14ac:dyDescent="0.25">
      <c r="A2936" s="205" t="s">
        <v>3488</v>
      </c>
      <c r="B2936" s="206">
        <v>92255</v>
      </c>
      <c r="C2936" s="207" t="s">
        <v>3565</v>
      </c>
      <c r="D2936" s="208" t="s">
        <v>580</v>
      </c>
      <c r="E2936" s="209">
        <v>121.2</v>
      </c>
      <c r="F2936" s="209">
        <v>99.56</v>
      </c>
      <c r="G2936" s="209">
        <v>220.76</v>
      </c>
      <c r="H2936" s="198"/>
    </row>
    <row r="2937" spans="1:8" ht="15.75" hidden="1" customHeight="1" x14ac:dyDescent="0.25">
      <c r="A2937" s="205" t="s">
        <v>3488</v>
      </c>
      <c r="B2937" s="206">
        <v>92256</v>
      </c>
      <c r="C2937" s="207" t="s">
        <v>3566</v>
      </c>
      <c r="D2937" s="208" t="s">
        <v>580</v>
      </c>
      <c r="E2937" s="209">
        <v>136.41</v>
      </c>
      <c r="F2937" s="209">
        <v>142.47</v>
      </c>
      <c r="G2937" s="209">
        <v>278.88</v>
      </c>
      <c r="H2937" s="198"/>
    </row>
    <row r="2938" spans="1:8" ht="15.75" hidden="1" customHeight="1" x14ac:dyDescent="0.25">
      <c r="A2938" s="205" t="s">
        <v>3488</v>
      </c>
      <c r="B2938" s="206">
        <v>92257</v>
      </c>
      <c r="C2938" s="207" t="s">
        <v>3567</v>
      </c>
      <c r="D2938" s="208" t="s">
        <v>580</v>
      </c>
      <c r="E2938" s="209">
        <v>151.55000000000001</v>
      </c>
      <c r="F2938" s="209">
        <v>184.84</v>
      </c>
      <c r="G2938" s="209">
        <v>336.39</v>
      </c>
      <c r="H2938" s="198"/>
    </row>
    <row r="2939" spans="1:8" ht="15.75" hidden="1" customHeight="1" x14ac:dyDescent="0.25">
      <c r="A2939" s="205" t="s">
        <v>3488</v>
      </c>
      <c r="B2939" s="206">
        <v>100393</v>
      </c>
      <c r="C2939" s="207" t="s">
        <v>3568</v>
      </c>
      <c r="D2939" s="208" t="s">
        <v>578</v>
      </c>
      <c r="E2939" s="209">
        <v>12.66</v>
      </c>
      <c r="F2939" s="209">
        <v>12.6</v>
      </c>
      <c r="G2939" s="209">
        <v>25.26</v>
      </c>
      <c r="H2939" s="198"/>
    </row>
    <row r="2940" spans="1:8" ht="15.75" hidden="1" customHeight="1" x14ac:dyDescent="0.25">
      <c r="A2940" s="205" t="s">
        <v>3488</v>
      </c>
      <c r="B2940" s="206">
        <v>100389</v>
      </c>
      <c r="C2940" s="207" t="s">
        <v>3569</v>
      </c>
      <c r="D2940" s="208" t="s">
        <v>578</v>
      </c>
      <c r="E2940" s="209">
        <v>10.91</v>
      </c>
      <c r="F2940" s="209">
        <v>11.13</v>
      </c>
      <c r="G2940" s="209">
        <v>22.04</v>
      </c>
      <c r="H2940" s="198"/>
    </row>
    <row r="2941" spans="1:8" ht="15.75" hidden="1" customHeight="1" x14ac:dyDescent="0.25">
      <c r="A2941" s="205" t="s">
        <v>3488</v>
      </c>
      <c r="B2941" s="206">
        <v>100395</v>
      </c>
      <c r="C2941" s="207" t="s">
        <v>3570</v>
      </c>
      <c r="D2941" s="208" t="s">
        <v>578</v>
      </c>
      <c r="E2941" s="209">
        <v>14.05</v>
      </c>
      <c r="F2941" s="209">
        <v>16.34</v>
      </c>
      <c r="G2941" s="209">
        <v>30.39</v>
      </c>
      <c r="H2941" s="198"/>
    </row>
    <row r="2942" spans="1:8" ht="15.75" hidden="1" customHeight="1" x14ac:dyDescent="0.25">
      <c r="A2942" s="205" t="s">
        <v>3488</v>
      </c>
      <c r="B2942" s="206">
        <v>100391</v>
      </c>
      <c r="C2942" s="207" t="s">
        <v>3571</v>
      </c>
      <c r="D2942" s="208" t="s">
        <v>578</v>
      </c>
      <c r="E2942" s="209">
        <v>11.84</v>
      </c>
      <c r="F2942" s="209">
        <v>13.57</v>
      </c>
      <c r="G2942" s="209">
        <v>25.41</v>
      </c>
      <c r="H2942" s="198"/>
    </row>
    <row r="2943" spans="1:8" ht="15.75" hidden="1" customHeight="1" x14ac:dyDescent="0.25">
      <c r="A2943" s="205" t="s">
        <v>3488</v>
      </c>
      <c r="B2943" s="206">
        <v>100392</v>
      </c>
      <c r="C2943" s="207" t="s">
        <v>3572</v>
      </c>
      <c r="D2943" s="208" t="s">
        <v>578</v>
      </c>
      <c r="E2943" s="209">
        <v>11.17</v>
      </c>
      <c r="F2943" s="209">
        <v>8.02</v>
      </c>
      <c r="G2943" s="209">
        <v>19.190000000000001</v>
      </c>
      <c r="H2943" s="198"/>
    </row>
    <row r="2944" spans="1:8" ht="15.75" hidden="1" customHeight="1" x14ac:dyDescent="0.25">
      <c r="A2944" s="205" t="s">
        <v>3488</v>
      </c>
      <c r="B2944" s="206">
        <v>100388</v>
      </c>
      <c r="C2944" s="207" t="s">
        <v>3573</v>
      </c>
      <c r="D2944" s="208" t="s">
        <v>578</v>
      </c>
      <c r="E2944" s="209">
        <v>14.15</v>
      </c>
      <c r="F2944" s="209">
        <v>10.28</v>
      </c>
      <c r="G2944" s="209">
        <v>24.43</v>
      </c>
      <c r="H2944" s="198"/>
    </row>
    <row r="2945" spans="1:8" ht="15.75" hidden="1" customHeight="1" x14ac:dyDescent="0.25">
      <c r="A2945" s="205" t="s">
        <v>3488</v>
      </c>
      <c r="B2945" s="206">
        <v>100394</v>
      </c>
      <c r="C2945" s="207" t="s">
        <v>3574</v>
      </c>
      <c r="D2945" s="208" t="s">
        <v>578</v>
      </c>
      <c r="E2945" s="209">
        <v>12.25</v>
      </c>
      <c r="F2945" s="209">
        <v>10.95</v>
      </c>
      <c r="G2945" s="209">
        <v>23.2</v>
      </c>
      <c r="H2945" s="198"/>
    </row>
    <row r="2946" spans="1:8" ht="15.75" hidden="1" customHeight="1" x14ac:dyDescent="0.25">
      <c r="A2946" s="205" t="s">
        <v>3488</v>
      </c>
      <c r="B2946" s="206">
        <v>100390</v>
      </c>
      <c r="C2946" s="207" t="s">
        <v>3575</v>
      </c>
      <c r="D2946" s="208" t="s">
        <v>578</v>
      </c>
      <c r="E2946" s="209">
        <v>15.51</v>
      </c>
      <c r="F2946" s="209">
        <v>14.02</v>
      </c>
      <c r="G2946" s="209">
        <v>29.53</v>
      </c>
      <c r="H2946" s="198"/>
    </row>
    <row r="2947" spans="1:8" ht="15.75" hidden="1" customHeight="1" x14ac:dyDescent="0.25">
      <c r="A2947" s="205" t="s">
        <v>3488</v>
      </c>
      <c r="B2947" s="206">
        <v>92575</v>
      </c>
      <c r="C2947" s="207" t="s">
        <v>3576</v>
      </c>
      <c r="D2947" s="208" t="s">
        <v>578</v>
      </c>
      <c r="E2947" s="209">
        <v>58.9</v>
      </c>
      <c r="F2947" s="209">
        <v>5.49</v>
      </c>
      <c r="G2947" s="209">
        <v>64.39</v>
      </c>
      <c r="H2947" s="198"/>
    </row>
    <row r="2948" spans="1:8" ht="15.75" hidden="1" customHeight="1" x14ac:dyDescent="0.25">
      <c r="A2948" s="205" t="s">
        <v>3488</v>
      </c>
      <c r="B2948" s="206">
        <v>92569</v>
      </c>
      <c r="C2948" s="207" t="s">
        <v>3577</v>
      </c>
      <c r="D2948" s="208" t="s">
        <v>578</v>
      </c>
      <c r="E2948" s="209">
        <v>64.61</v>
      </c>
      <c r="F2948" s="209">
        <v>5.6</v>
      </c>
      <c r="G2948" s="209">
        <v>70.209999999999994</v>
      </c>
      <c r="H2948" s="198"/>
    </row>
    <row r="2949" spans="1:8" ht="15.75" hidden="1" customHeight="1" x14ac:dyDescent="0.25">
      <c r="A2949" s="205" t="s">
        <v>3488</v>
      </c>
      <c r="B2949" s="206">
        <v>92578</v>
      </c>
      <c r="C2949" s="207" t="s">
        <v>3578</v>
      </c>
      <c r="D2949" s="208" t="s">
        <v>578</v>
      </c>
      <c r="E2949" s="209">
        <v>61.05</v>
      </c>
      <c r="F2949" s="209">
        <v>9.68</v>
      </c>
      <c r="G2949" s="209">
        <v>70.73</v>
      </c>
      <c r="H2949" s="198"/>
    </row>
    <row r="2950" spans="1:8" ht="15.75" hidden="1" customHeight="1" x14ac:dyDescent="0.25">
      <c r="A2950" s="205" t="s">
        <v>3488</v>
      </c>
      <c r="B2950" s="206">
        <v>92572</v>
      </c>
      <c r="C2950" s="207" t="s">
        <v>3579</v>
      </c>
      <c r="D2950" s="208" t="s">
        <v>578</v>
      </c>
      <c r="E2950" s="209">
        <v>71.83</v>
      </c>
      <c r="F2950" s="209">
        <v>10.28</v>
      </c>
      <c r="G2950" s="209">
        <v>82.11</v>
      </c>
      <c r="H2950" s="198"/>
    </row>
    <row r="2951" spans="1:8" ht="15.75" hidden="1" customHeight="1" x14ac:dyDescent="0.25">
      <c r="A2951" s="205" t="s">
        <v>3488</v>
      </c>
      <c r="B2951" s="206">
        <v>92576</v>
      </c>
      <c r="C2951" s="207" t="s">
        <v>3580</v>
      </c>
      <c r="D2951" s="208" t="s">
        <v>578</v>
      </c>
      <c r="E2951" s="209">
        <v>32.85</v>
      </c>
      <c r="F2951" s="209">
        <v>2.08</v>
      </c>
      <c r="G2951" s="209">
        <v>34.93</v>
      </c>
      <c r="H2951" s="198"/>
    </row>
    <row r="2952" spans="1:8" ht="15.75" hidden="1" customHeight="1" x14ac:dyDescent="0.25">
      <c r="A2952" s="205" t="s">
        <v>3488</v>
      </c>
      <c r="B2952" s="206">
        <v>92570</v>
      </c>
      <c r="C2952" s="207" t="s">
        <v>3581</v>
      </c>
      <c r="D2952" s="208" t="s">
        <v>578</v>
      </c>
      <c r="E2952" s="209">
        <v>41.61</v>
      </c>
      <c r="F2952" s="209">
        <v>2.64</v>
      </c>
      <c r="G2952" s="209">
        <v>44.25</v>
      </c>
      <c r="H2952" s="198"/>
    </row>
    <row r="2953" spans="1:8" ht="15.75" hidden="1" customHeight="1" x14ac:dyDescent="0.25">
      <c r="A2953" s="205" t="s">
        <v>3488</v>
      </c>
      <c r="B2953" s="206">
        <v>92579</v>
      </c>
      <c r="C2953" s="207" t="s">
        <v>3582</v>
      </c>
      <c r="D2953" s="208" t="s">
        <v>578</v>
      </c>
      <c r="E2953" s="209">
        <v>33.96</v>
      </c>
      <c r="F2953" s="209">
        <v>4.7300000000000004</v>
      </c>
      <c r="G2953" s="209">
        <v>38.69</v>
      </c>
      <c r="H2953" s="198"/>
    </row>
    <row r="2954" spans="1:8" ht="15.75" hidden="1" customHeight="1" x14ac:dyDescent="0.25">
      <c r="A2954" s="205" t="s">
        <v>3488</v>
      </c>
      <c r="B2954" s="206">
        <v>92573</v>
      </c>
      <c r="C2954" s="207" t="s">
        <v>3583</v>
      </c>
      <c r="D2954" s="208" t="s">
        <v>578</v>
      </c>
      <c r="E2954" s="209">
        <v>43.03</v>
      </c>
      <c r="F2954" s="209">
        <v>5.93</v>
      </c>
      <c r="G2954" s="209">
        <v>48.96</v>
      </c>
      <c r="H2954" s="198"/>
    </row>
    <row r="2955" spans="1:8" ht="15.75" hidden="1" customHeight="1" x14ac:dyDescent="0.25">
      <c r="A2955" s="205" t="s">
        <v>3488</v>
      </c>
      <c r="B2955" s="206">
        <v>92574</v>
      </c>
      <c r="C2955" s="207" t="s">
        <v>3584</v>
      </c>
      <c r="D2955" s="208" t="s">
        <v>578</v>
      </c>
      <c r="E2955" s="209">
        <v>115.43</v>
      </c>
      <c r="F2955" s="209">
        <v>13.97</v>
      </c>
      <c r="G2955" s="209">
        <v>129.4</v>
      </c>
      <c r="H2955" s="198"/>
    </row>
    <row r="2956" spans="1:8" ht="15.75" hidden="1" customHeight="1" x14ac:dyDescent="0.25">
      <c r="A2956" s="205" t="s">
        <v>3488</v>
      </c>
      <c r="B2956" s="206">
        <v>92568</v>
      </c>
      <c r="C2956" s="207" t="s">
        <v>3585</v>
      </c>
      <c r="D2956" s="208" t="s">
        <v>578</v>
      </c>
      <c r="E2956" s="209">
        <v>114.02</v>
      </c>
      <c r="F2956" s="209">
        <v>12.88</v>
      </c>
      <c r="G2956" s="209">
        <v>126.9</v>
      </c>
      <c r="H2956" s="198"/>
    </row>
    <row r="2957" spans="1:8" ht="15.75" hidden="1" customHeight="1" x14ac:dyDescent="0.25">
      <c r="A2957" s="205" t="s">
        <v>3488</v>
      </c>
      <c r="B2957" s="206">
        <v>92577</v>
      </c>
      <c r="C2957" s="207" t="s">
        <v>3586</v>
      </c>
      <c r="D2957" s="208" t="s">
        <v>578</v>
      </c>
      <c r="E2957" s="209">
        <v>119.46</v>
      </c>
      <c r="F2957" s="209">
        <v>21.22</v>
      </c>
      <c r="G2957" s="209">
        <v>140.68</v>
      </c>
      <c r="H2957" s="198"/>
    </row>
    <row r="2958" spans="1:8" ht="15.75" hidden="1" customHeight="1" x14ac:dyDescent="0.25">
      <c r="A2958" s="205" t="s">
        <v>3488</v>
      </c>
      <c r="B2958" s="206">
        <v>92571</v>
      </c>
      <c r="C2958" s="207" t="s">
        <v>3587</v>
      </c>
      <c r="D2958" s="208" t="s">
        <v>578</v>
      </c>
      <c r="E2958" s="209">
        <v>117.62</v>
      </c>
      <c r="F2958" s="209">
        <v>20.21</v>
      </c>
      <c r="G2958" s="209">
        <v>137.83000000000001</v>
      </c>
      <c r="H2958" s="198"/>
    </row>
    <row r="2959" spans="1:8" ht="15.75" hidden="1" customHeight="1" x14ac:dyDescent="0.25">
      <c r="A2959" s="205" t="s">
        <v>3488</v>
      </c>
      <c r="B2959" s="206">
        <v>92581</v>
      </c>
      <c r="C2959" s="207" t="s">
        <v>3588</v>
      </c>
      <c r="D2959" s="208" t="s">
        <v>578</v>
      </c>
      <c r="E2959" s="209">
        <v>43.85</v>
      </c>
      <c r="F2959" s="209">
        <v>6.98</v>
      </c>
      <c r="G2959" s="209">
        <v>50.83</v>
      </c>
      <c r="H2959" s="198"/>
    </row>
    <row r="2960" spans="1:8" ht="15.75" hidden="1" customHeight="1" x14ac:dyDescent="0.25">
      <c r="A2960" s="205" t="s">
        <v>3488</v>
      </c>
      <c r="B2960" s="206">
        <v>104314</v>
      </c>
      <c r="C2960" s="207" t="s">
        <v>3589</v>
      </c>
      <c r="D2960" s="208" t="s">
        <v>823</v>
      </c>
      <c r="E2960" s="209">
        <v>9.59</v>
      </c>
      <c r="F2960" s="209">
        <v>1.73</v>
      </c>
      <c r="G2960" s="209">
        <v>11.32</v>
      </c>
      <c r="H2960" s="198"/>
    </row>
    <row r="2961" spans="1:8" ht="15.75" hidden="1" customHeight="1" x14ac:dyDescent="0.25">
      <c r="A2961" s="205" t="s">
        <v>3488</v>
      </c>
      <c r="B2961" s="206">
        <v>92580</v>
      </c>
      <c r="C2961" s="207" t="s">
        <v>3590</v>
      </c>
      <c r="D2961" s="208" t="s">
        <v>578</v>
      </c>
      <c r="E2961" s="209">
        <v>41.54</v>
      </c>
      <c r="F2961" s="209">
        <v>7.6</v>
      </c>
      <c r="G2961" s="209">
        <v>49.14</v>
      </c>
      <c r="H2961" s="198"/>
    </row>
    <row r="2962" spans="1:8" ht="15.75" hidden="1" customHeight="1" x14ac:dyDescent="0.25">
      <c r="A2962" s="205" t="s">
        <v>3488</v>
      </c>
      <c r="B2962" s="206">
        <v>92541</v>
      </c>
      <c r="C2962" s="207" t="s">
        <v>3591</v>
      </c>
      <c r="D2962" s="208" t="s">
        <v>578</v>
      </c>
      <c r="E2962" s="209">
        <v>78.05</v>
      </c>
      <c r="F2962" s="209">
        <v>21.97</v>
      </c>
      <c r="G2962" s="209">
        <v>100.02</v>
      </c>
      <c r="H2962" s="198"/>
    </row>
    <row r="2963" spans="1:8" ht="15.75" hidden="1" customHeight="1" x14ac:dyDescent="0.25">
      <c r="A2963" s="205" t="s">
        <v>3488</v>
      </c>
      <c r="B2963" s="206">
        <v>92539</v>
      </c>
      <c r="C2963" s="207" t="s">
        <v>3592</v>
      </c>
      <c r="D2963" s="208" t="s">
        <v>578</v>
      </c>
      <c r="E2963" s="209">
        <v>71.59</v>
      </c>
      <c r="F2963" s="209">
        <v>21.28</v>
      </c>
      <c r="G2963" s="209">
        <v>92.87</v>
      </c>
      <c r="H2963" s="198"/>
    </row>
    <row r="2964" spans="1:8" ht="15.75" hidden="1" customHeight="1" x14ac:dyDescent="0.25">
      <c r="A2964" s="205" t="s">
        <v>3488</v>
      </c>
      <c r="B2964" s="206">
        <v>92542</v>
      </c>
      <c r="C2964" s="207" t="s">
        <v>3593</v>
      </c>
      <c r="D2964" s="208" t="s">
        <v>578</v>
      </c>
      <c r="E2964" s="209">
        <v>91.03</v>
      </c>
      <c r="F2964" s="209">
        <v>31.59</v>
      </c>
      <c r="G2964" s="209">
        <v>122.62</v>
      </c>
      <c r="H2964" s="198"/>
    </row>
    <row r="2965" spans="1:8" ht="15.75" hidden="1" customHeight="1" x14ac:dyDescent="0.25">
      <c r="A2965" s="205" t="s">
        <v>3488</v>
      </c>
      <c r="B2965" s="206">
        <v>92540</v>
      </c>
      <c r="C2965" s="207" t="s">
        <v>3594</v>
      </c>
      <c r="D2965" s="208" t="s">
        <v>578</v>
      </c>
      <c r="E2965" s="209">
        <v>75.31</v>
      </c>
      <c r="F2965" s="209">
        <v>30.42</v>
      </c>
      <c r="G2965" s="209">
        <v>105.73</v>
      </c>
      <c r="H2965" s="198"/>
    </row>
    <row r="2966" spans="1:8" ht="15.75" hidden="1" customHeight="1" x14ac:dyDescent="0.25">
      <c r="A2966" s="205" t="s">
        <v>3488</v>
      </c>
      <c r="B2966" s="206">
        <v>92544</v>
      </c>
      <c r="C2966" s="207" t="s">
        <v>3595</v>
      </c>
      <c r="D2966" s="208" t="s">
        <v>578</v>
      </c>
      <c r="E2966" s="209">
        <v>18.239999999999998</v>
      </c>
      <c r="F2966" s="209">
        <v>3.86</v>
      </c>
      <c r="G2966" s="209">
        <v>22.1</v>
      </c>
      <c r="H2966" s="198"/>
    </row>
    <row r="2967" spans="1:8" ht="15.75" hidden="1" customHeight="1" x14ac:dyDescent="0.25">
      <c r="A2967" s="205" t="s">
        <v>3488</v>
      </c>
      <c r="B2967" s="206">
        <v>92543</v>
      </c>
      <c r="C2967" s="207" t="s">
        <v>3596</v>
      </c>
      <c r="D2967" s="208" t="s">
        <v>578</v>
      </c>
      <c r="E2967" s="209">
        <v>22.87</v>
      </c>
      <c r="F2967" s="209">
        <v>4.8600000000000003</v>
      </c>
      <c r="G2967" s="209">
        <v>27.73</v>
      </c>
      <c r="H2967" s="198"/>
    </row>
    <row r="2968" spans="1:8" ht="15.75" hidden="1" customHeight="1" x14ac:dyDescent="0.25">
      <c r="A2968" s="205" t="s">
        <v>3597</v>
      </c>
      <c r="B2968" s="206">
        <v>97740</v>
      </c>
      <c r="C2968" s="207" t="s">
        <v>3598</v>
      </c>
      <c r="D2968" s="208" t="s">
        <v>664</v>
      </c>
      <c r="E2968" s="209">
        <v>1446.24</v>
      </c>
      <c r="F2968" s="209">
        <v>718.78</v>
      </c>
      <c r="G2968" s="209">
        <v>2165.02</v>
      </c>
      <c r="H2968" s="198"/>
    </row>
    <row r="2969" spans="1:8" ht="15.75" hidden="1" customHeight="1" x14ac:dyDescent="0.25">
      <c r="A2969" s="205" t="s">
        <v>3597</v>
      </c>
      <c r="B2969" s="206">
        <v>97738</v>
      </c>
      <c r="C2969" s="207" t="s">
        <v>3599</v>
      </c>
      <c r="D2969" s="208" t="s">
        <v>664</v>
      </c>
      <c r="E2969" s="209">
        <v>2189.9499999999998</v>
      </c>
      <c r="F2969" s="209">
        <v>2344.1</v>
      </c>
      <c r="G2969" s="209">
        <v>4534.05</v>
      </c>
      <c r="H2969" s="198"/>
    </row>
    <row r="2970" spans="1:8" ht="15.75" hidden="1" customHeight="1" x14ac:dyDescent="0.25">
      <c r="A2970" s="205" t="s">
        <v>3597</v>
      </c>
      <c r="B2970" s="206">
        <v>97739</v>
      </c>
      <c r="C2970" s="207" t="s">
        <v>3600</v>
      </c>
      <c r="D2970" s="208" t="s">
        <v>664</v>
      </c>
      <c r="E2970" s="209">
        <v>1705.95</v>
      </c>
      <c r="F2970" s="209">
        <v>1532.36</v>
      </c>
      <c r="G2970" s="209">
        <v>3238.31</v>
      </c>
      <c r="H2970" s="198"/>
    </row>
    <row r="2971" spans="1:8" ht="15.75" hidden="1" customHeight="1" x14ac:dyDescent="0.25">
      <c r="A2971" s="205" t="s">
        <v>3597</v>
      </c>
      <c r="B2971" s="206">
        <v>97736</v>
      </c>
      <c r="C2971" s="207" t="s">
        <v>3601</v>
      </c>
      <c r="D2971" s="208" t="s">
        <v>664</v>
      </c>
      <c r="E2971" s="209">
        <v>1049.81</v>
      </c>
      <c r="F2971" s="209">
        <v>544.91</v>
      </c>
      <c r="G2971" s="209">
        <v>1594.72</v>
      </c>
      <c r="H2971" s="198"/>
    </row>
    <row r="2972" spans="1:8" ht="15.75" hidden="1" customHeight="1" x14ac:dyDescent="0.25">
      <c r="A2972" s="205" t="s">
        <v>3597</v>
      </c>
      <c r="B2972" s="206">
        <v>97734</v>
      </c>
      <c r="C2972" s="207" t="s">
        <v>3602</v>
      </c>
      <c r="D2972" s="208" t="s">
        <v>664</v>
      </c>
      <c r="E2972" s="209">
        <v>1578.59</v>
      </c>
      <c r="F2972" s="209">
        <v>1943.47</v>
      </c>
      <c r="G2972" s="209">
        <v>3522.06</v>
      </c>
      <c r="H2972" s="198"/>
    </row>
    <row r="2973" spans="1:8" ht="15.75" hidden="1" customHeight="1" x14ac:dyDescent="0.25">
      <c r="A2973" s="205" t="s">
        <v>3597</v>
      </c>
      <c r="B2973" s="206">
        <v>97735</v>
      </c>
      <c r="C2973" s="207" t="s">
        <v>3603</v>
      </c>
      <c r="D2973" s="208" t="s">
        <v>664</v>
      </c>
      <c r="E2973" s="209">
        <v>1377.64</v>
      </c>
      <c r="F2973" s="209">
        <v>1450.59</v>
      </c>
      <c r="G2973" s="209">
        <v>2828.23</v>
      </c>
      <c r="H2973" s="198"/>
    </row>
    <row r="2974" spans="1:8" ht="15.75" hidden="1" customHeight="1" x14ac:dyDescent="0.25">
      <c r="A2974" s="205" t="s">
        <v>3597</v>
      </c>
      <c r="B2974" s="206">
        <v>97737</v>
      </c>
      <c r="C2974" s="207" t="s">
        <v>3604</v>
      </c>
      <c r="D2974" s="208" t="s">
        <v>664</v>
      </c>
      <c r="E2974" s="209">
        <v>1931.47</v>
      </c>
      <c r="F2974" s="209">
        <v>1730.08</v>
      </c>
      <c r="G2974" s="209">
        <v>3661.55</v>
      </c>
      <c r="H2974" s="198"/>
    </row>
    <row r="2975" spans="1:8" ht="15.75" hidden="1" customHeight="1" x14ac:dyDescent="0.25">
      <c r="A2975" s="205" t="s">
        <v>3597</v>
      </c>
      <c r="B2975" s="206">
        <v>97733</v>
      </c>
      <c r="C2975" s="207" t="s">
        <v>3605</v>
      </c>
      <c r="D2975" s="208" t="s">
        <v>664</v>
      </c>
      <c r="E2975" s="209">
        <v>1831.58</v>
      </c>
      <c r="F2975" s="209">
        <v>2173.62</v>
      </c>
      <c r="G2975" s="209">
        <v>4005.2</v>
      </c>
      <c r="H2975" s="198"/>
    </row>
    <row r="2976" spans="1:8" ht="15.75" hidden="1" customHeight="1" x14ac:dyDescent="0.25">
      <c r="A2976" s="205" t="s">
        <v>3606</v>
      </c>
      <c r="B2976" s="206">
        <v>98616</v>
      </c>
      <c r="C2976" s="207" t="s">
        <v>3607</v>
      </c>
      <c r="D2976" s="208" t="s">
        <v>578</v>
      </c>
      <c r="E2976" s="209">
        <v>227.55</v>
      </c>
      <c r="F2976" s="209">
        <v>34.090000000000003</v>
      </c>
      <c r="G2976" s="209">
        <v>261.64</v>
      </c>
      <c r="H2976" s="198"/>
    </row>
    <row r="2977" spans="1:8" ht="15.75" hidden="1" customHeight="1" x14ac:dyDescent="0.25">
      <c r="A2977" s="205" t="s">
        <v>3606</v>
      </c>
      <c r="B2977" s="206">
        <v>98619</v>
      </c>
      <c r="C2977" s="207" t="s">
        <v>3608</v>
      </c>
      <c r="D2977" s="208" t="s">
        <v>578</v>
      </c>
      <c r="E2977" s="209">
        <v>252.38</v>
      </c>
      <c r="F2977" s="209">
        <v>28.19</v>
      </c>
      <c r="G2977" s="209">
        <v>280.57</v>
      </c>
      <c r="H2977" s="198"/>
    </row>
    <row r="2978" spans="1:8" ht="15.75" hidden="1" customHeight="1" x14ac:dyDescent="0.25">
      <c r="A2978" s="205" t="s">
        <v>3606</v>
      </c>
      <c r="B2978" s="206">
        <v>98622</v>
      </c>
      <c r="C2978" s="207" t="s">
        <v>3609</v>
      </c>
      <c r="D2978" s="208" t="s">
        <v>578</v>
      </c>
      <c r="E2978" s="209">
        <v>393.86</v>
      </c>
      <c r="F2978" s="209">
        <v>45.22</v>
      </c>
      <c r="G2978" s="209">
        <v>439.08</v>
      </c>
      <c r="H2978" s="198"/>
    </row>
    <row r="2979" spans="1:8" ht="15.75" hidden="1" customHeight="1" x14ac:dyDescent="0.25">
      <c r="A2979" s="205" t="s">
        <v>3606</v>
      </c>
      <c r="B2979" s="206">
        <v>98625</v>
      </c>
      <c r="C2979" s="207" t="s">
        <v>3610</v>
      </c>
      <c r="D2979" s="208" t="s">
        <v>578</v>
      </c>
      <c r="E2979" s="209">
        <v>421.13</v>
      </c>
      <c r="F2979" s="209">
        <v>34.090000000000003</v>
      </c>
      <c r="G2979" s="209">
        <v>455.22</v>
      </c>
      <c r="H2979" s="198"/>
    </row>
    <row r="2980" spans="1:8" ht="15.75" hidden="1" customHeight="1" x14ac:dyDescent="0.25">
      <c r="A2980" s="205" t="s">
        <v>3606</v>
      </c>
      <c r="B2980" s="206">
        <v>98657</v>
      </c>
      <c r="C2980" s="207" t="s">
        <v>3611</v>
      </c>
      <c r="D2980" s="208" t="s">
        <v>585</v>
      </c>
      <c r="E2980" s="209">
        <v>509.31</v>
      </c>
      <c r="F2980" s="209">
        <v>232.57</v>
      </c>
      <c r="G2980" s="209">
        <v>741.88</v>
      </c>
      <c r="H2980" s="198"/>
    </row>
    <row r="2981" spans="1:8" ht="15.75" hidden="1" customHeight="1" x14ac:dyDescent="0.25">
      <c r="A2981" s="205" t="s">
        <v>3612</v>
      </c>
      <c r="B2981" s="206">
        <v>100344</v>
      </c>
      <c r="C2981" s="207" t="s">
        <v>3613</v>
      </c>
      <c r="D2981" s="208" t="s">
        <v>823</v>
      </c>
      <c r="E2981" s="209">
        <v>10.3</v>
      </c>
      <c r="F2981" s="209">
        <v>2.79</v>
      </c>
      <c r="G2981" s="209">
        <v>13.09</v>
      </c>
      <c r="H2981" s="198"/>
    </row>
    <row r="2982" spans="1:8" ht="15.75" hidden="1" customHeight="1" x14ac:dyDescent="0.25">
      <c r="A2982" s="205" t="s">
        <v>3612</v>
      </c>
      <c r="B2982" s="206">
        <v>100345</v>
      </c>
      <c r="C2982" s="207" t="s">
        <v>3614</v>
      </c>
      <c r="D2982" s="208" t="s">
        <v>823</v>
      </c>
      <c r="E2982" s="209">
        <v>8.6300000000000008</v>
      </c>
      <c r="F2982" s="209">
        <v>1.35</v>
      </c>
      <c r="G2982" s="209">
        <v>9.98</v>
      </c>
      <c r="H2982" s="198"/>
    </row>
    <row r="2983" spans="1:8" ht="15.75" hidden="1" customHeight="1" x14ac:dyDescent="0.25">
      <c r="A2983" s="205" t="s">
        <v>3612</v>
      </c>
      <c r="B2983" s="206">
        <v>100346</v>
      </c>
      <c r="C2983" s="207" t="s">
        <v>3615</v>
      </c>
      <c r="D2983" s="208" t="s">
        <v>823</v>
      </c>
      <c r="E2983" s="209">
        <v>8.4700000000000006</v>
      </c>
      <c r="F2983" s="209">
        <v>0.97</v>
      </c>
      <c r="G2983" s="209">
        <v>9.44</v>
      </c>
      <c r="H2983" s="198"/>
    </row>
    <row r="2984" spans="1:8" ht="15.75" hidden="1" customHeight="1" x14ac:dyDescent="0.25">
      <c r="A2984" s="205" t="s">
        <v>3612</v>
      </c>
      <c r="B2984" s="206">
        <v>100347</v>
      </c>
      <c r="C2984" s="207" t="s">
        <v>3616</v>
      </c>
      <c r="D2984" s="208" t="s">
        <v>823</v>
      </c>
      <c r="E2984" s="209">
        <v>9.7200000000000006</v>
      </c>
      <c r="F2984" s="209">
        <v>0.74</v>
      </c>
      <c r="G2984" s="209">
        <v>10.46</v>
      </c>
      <c r="H2984" s="198"/>
    </row>
    <row r="2985" spans="1:8" ht="15.75" hidden="1" customHeight="1" x14ac:dyDescent="0.25">
      <c r="A2985" s="205" t="s">
        <v>3612</v>
      </c>
      <c r="B2985" s="206">
        <v>100348</v>
      </c>
      <c r="C2985" s="207" t="s">
        <v>3617</v>
      </c>
      <c r="D2985" s="208" t="s">
        <v>823</v>
      </c>
      <c r="E2985" s="209">
        <v>9.66</v>
      </c>
      <c r="F2985" s="209">
        <v>0.59</v>
      </c>
      <c r="G2985" s="209">
        <v>10.25</v>
      </c>
      <c r="H2985" s="198"/>
    </row>
    <row r="2986" spans="1:8" ht="15.75" hidden="1" customHeight="1" x14ac:dyDescent="0.25">
      <c r="A2986" s="205" t="s">
        <v>3612</v>
      </c>
      <c r="B2986" s="206">
        <v>100342</v>
      </c>
      <c r="C2986" s="207" t="s">
        <v>3618</v>
      </c>
      <c r="D2986" s="208" t="s">
        <v>823</v>
      </c>
      <c r="E2986" s="209">
        <v>11.99</v>
      </c>
      <c r="F2986" s="209">
        <v>7.02</v>
      </c>
      <c r="G2986" s="209">
        <v>19.010000000000002</v>
      </c>
      <c r="H2986" s="198"/>
    </row>
    <row r="2987" spans="1:8" ht="15.75" hidden="1" customHeight="1" x14ac:dyDescent="0.25">
      <c r="A2987" s="205" t="s">
        <v>3612</v>
      </c>
      <c r="B2987" s="206">
        <v>100343</v>
      </c>
      <c r="C2987" s="207" t="s">
        <v>3619</v>
      </c>
      <c r="D2987" s="208" t="s">
        <v>823</v>
      </c>
      <c r="E2987" s="209">
        <v>11.54</v>
      </c>
      <c r="F2987" s="209">
        <v>4.8099999999999996</v>
      </c>
      <c r="G2987" s="209">
        <v>16.350000000000001</v>
      </c>
      <c r="H2987" s="198"/>
    </row>
    <row r="2988" spans="1:8" ht="15.75" hidden="1" customHeight="1" x14ac:dyDescent="0.25">
      <c r="A2988" s="205" t="s">
        <v>3612</v>
      </c>
      <c r="B2988" s="206">
        <v>100349</v>
      </c>
      <c r="C2988" s="207" t="s">
        <v>3620</v>
      </c>
      <c r="D2988" s="208" t="s">
        <v>664</v>
      </c>
      <c r="E2988" s="209">
        <v>580.98</v>
      </c>
      <c r="F2988" s="209">
        <v>29.35</v>
      </c>
      <c r="G2988" s="209">
        <v>610.33000000000004</v>
      </c>
      <c r="H2988" s="198"/>
    </row>
    <row r="2989" spans="1:8" ht="15.75" hidden="1" customHeight="1" x14ac:dyDescent="0.25">
      <c r="A2989" s="205" t="s">
        <v>3612</v>
      </c>
      <c r="B2989" s="206">
        <v>100341</v>
      </c>
      <c r="C2989" s="207" t="s">
        <v>3621</v>
      </c>
      <c r="D2989" s="208" t="s">
        <v>578</v>
      </c>
      <c r="E2989" s="209">
        <v>25.79</v>
      </c>
      <c r="F2989" s="209">
        <v>19.95</v>
      </c>
      <c r="G2989" s="209">
        <v>45.74</v>
      </c>
      <c r="H2989" s="198"/>
    </row>
    <row r="2990" spans="1:8" ht="15.75" hidden="1" customHeight="1" x14ac:dyDescent="0.25">
      <c r="A2990" s="205" t="s">
        <v>3622</v>
      </c>
      <c r="B2990" s="206">
        <v>105042</v>
      </c>
      <c r="C2990" s="207" t="s">
        <v>3623</v>
      </c>
      <c r="D2990" s="208" t="s">
        <v>585</v>
      </c>
      <c r="E2990" s="209">
        <v>59.98</v>
      </c>
      <c r="F2990" s="209">
        <v>22.24</v>
      </c>
      <c r="G2990" s="209">
        <v>82.22</v>
      </c>
      <c r="H2990" s="198"/>
    </row>
    <row r="2991" spans="1:8" ht="15.75" hidden="1" customHeight="1" x14ac:dyDescent="0.25">
      <c r="A2991" s="205" t="s">
        <v>3622</v>
      </c>
      <c r="B2991" s="206">
        <v>105046</v>
      </c>
      <c r="C2991" s="207" t="s">
        <v>3624</v>
      </c>
      <c r="D2991" s="208" t="s">
        <v>585</v>
      </c>
      <c r="E2991" s="209">
        <v>55.56</v>
      </c>
      <c r="F2991" s="209">
        <v>13.74</v>
      </c>
      <c r="G2991" s="209">
        <v>69.3</v>
      </c>
      <c r="H2991" s="198"/>
    </row>
    <row r="2992" spans="1:8" ht="15.75" hidden="1" customHeight="1" x14ac:dyDescent="0.25">
      <c r="A2992" s="205" t="s">
        <v>3622</v>
      </c>
      <c r="B2992" s="206">
        <v>105095</v>
      </c>
      <c r="C2992" s="207" t="s">
        <v>3625</v>
      </c>
      <c r="D2992" s="208" t="s">
        <v>585</v>
      </c>
      <c r="E2992" s="209">
        <v>100.78</v>
      </c>
      <c r="F2992" s="209">
        <v>22.33</v>
      </c>
      <c r="G2992" s="209">
        <v>123.11</v>
      </c>
      <c r="H2992" s="198"/>
    </row>
    <row r="2993" spans="1:8" ht="15.75" hidden="1" customHeight="1" x14ac:dyDescent="0.25">
      <c r="A2993" s="205" t="s">
        <v>3622</v>
      </c>
      <c r="B2993" s="206">
        <v>105098</v>
      </c>
      <c r="C2993" s="207" t="s">
        <v>3626</v>
      </c>
      <c r="D2993" s="208" t="s">
        <v>585</v>
      </c>
      <c r="E2993" s="209">
        <v>96.37</v>
      </c>
      <c r="F2993" s="209">
        <v>13.85</v>
      </c>
      <c r="G2993" s="209">
        <v>110.22</v>
      </c>
      <c r="H2993" s="198"/>
    </row>
    <row r="2994" spans="1:8" ht="15.75" hidden="1" customHeight="1" x14ac:dyDescent="0.25">
      <c r="A2994" s="205" t="s">
        <v>3622</v>
      </c>
      <c r="B2994" s="206">
        <v>105050</v>
      </c>
      <c r="C2994" s="207" t="s">
        <v>3627</v>
      </c>
      <c r="D2994" s="208" t="s">
        <v>585</v>
      </c>
      <c r="E2994" s="209">
        <v>234.34</v>
      </c>
      <c r="F2994" s="209">
        <v>22.55</v>
      </c>
      <c r="G2994" s="209">
        <v>256.89</v>
      </c>
      <c r="H2994" s="198"/>
    </row>
    <row r="2995" spans="1:8" ht="15.75" hidden="1" customHeight="1" x14ac:dyDescent="0.25">
      <c r="A2995" s="205" t="s">
        <v>3622</v>
      </c>
      <c r="B2995" s="206">
        <v>105053</v>
      </c>
      <c r="C2995" s="207" t="s">
        <v>3628</v>
      </c>
      <c r="D2995" s="208" t="s">
        <v>585</v>
      </c>
      <c r="E2995" s="209">
        <v>229.96</v>
      </c>
      <c r="F2995" s="209">
        <v>14.21</v>
      </c>
      <c r="G2995" s="209">
        <v>244.17</v>
      </c>
      <c r="H2995" s="198"/>
    </row>
    <row r="2996" spans="1:8" ht="15.75" hidden="1" customHeight="1" x14ac:dyDescent="0.25">
      <c r="A2996" s="205" t="s">
        <v>3622</v>
      </c>
      <c r="B2996" s="206">
        <v>105056</v>
      </c>
      <c r="C2996" s="207" t="s">
        <v>3629</v>
      </c>
      <c r="D2996" s="208" t="s">
        <v>585</v>
      </c>
      <c r="E2996" s="209">
        <v>332.34</v>
      </c>
      <c r="F2996" s="209">
        <v>22.95</v>
      </c>
      <c r="G2996" s="209">
        <v>355.29</v>
      </c>
      <c r="H2996" s="198"/>
    </row>
    <row r="2997" spans="1:8" ht="15.75" hidden="1" customHeight="1" x14ac:dyDescent="0.25">
      <c r="A2997" s="205" t="s">
        <v>3622</v>
      </c>
      <c r="B2997" s="206">
        <v>105058</v>
      </c>
      <c r="C2997" s="207" t="s">
        <v>3630</v>
      </c>
      <c r="D2997" s="208" t="s">
        <v>585</v>
      </c>
      <c r="E2997" s="209">
        <v>328.2</v>
      </c>
      <c r="F2997" s="209">
        <v>15.28</v>
      </c>
      <c r="G2997" s="209">
        <v>343.48</v>
      </c>
      <c r="H2997" s="198"/>
    </row>
    <row r="2998" spans="1:8" ht="15.75" hidden="1" customHeight="1" x14ac:dyDescent="0.25">
      <c r="A2998" s="205" t="s">
        <v>3622</v>
      </c>
      <c r="B2998" s="206">
        <v>105061</v>
      </c>
      <c r="C2998" s="207" t="s">
        <v>3631</v>
      </c>
      <c r="D2998" s="208" t="s">
        <v>585</v>
      </c>
      <c r="E2998" s="209">
        <v>85.89</v>
      </c>
      <c r="F2998" s="209">
        <v>27.61</v>
      </c>
      <c r="G2998" s="209">
        <v>113.5</v>
      </c>
      <c r="H2998" s="198"/>
    </row>
    <row r="2999" spans="1:8" ht="15.75" hidden="1" customHeight="1" x14ac:dyDescent="0.25">
      <c r="A2999" s="205" t="s">
        <v>3622</v>
      </c>
      <c r="B2999" s="206">
        <v>105064</v>
      </c>
      <c r="C2999" s="207" t="s">
        <v>3632</v>
      </c>
      <c r="D2999" s="208" t="s">
        <v>585</v>
      </c>
      <c r="E2999" s="209">
        <v>80.510000000000005</v>
      </c>
      <c r="F2999" s="209">
        <v>16.39</v>
      </c>
      <c r="G2999" s="209">
        <v>96.9</v>
      </c>
      <c r="H2999" s="198"/>
    </row>
    <row r="3000" spans="1:8" ht="15.75" hidden="1" customHeight="1" x14ac:dyDescent="0.25">
      <c r="A3000" s="205" t="s">
        <v>3622</v>
      </c>
      <c r="B3000" s="206">
        <v>105068</v>
      </c>
      <c r="C3000" s="207" t="s">
        <v>3633</v>
      </c>
      <c r="D3000" s="208" t="s">
        <v>585</v>
      </c>
      <c r="E3000" s="209">
        <v>157.72999999999999</v>
      </c>
      <c r="F3000" s="209">
        <v>27.7</v>
      </c>
      <c r="G3000" s="209">
        <v>185.43</v>
      </c>
      <c r="H3000" s="198"/>
    </row>
    <row r="3001" spans="1:8" ht="15.75" hidden="1" customHeight="1" x14ac:dyDescent="0.25">
      <c r="A3001" s="205" t="s">
        <v>3622</v>
      </c>
      <c r="B3001" s="206">
        <v>105071</v>
      </c>
      <c r="C3001" s="207" t="s">
        <v>3634</v>
      </c>
      <c r="D3001" s="208" t="s">
        <v>585</v>
      </c>
      <c r="E3001" s="209">
        <v>152.32</v>
      </c>
      <c r="F3001" s="209">
        <v>16.510000000000002</v>
      </c>
      <c r="G3001" s="209">
        <v>168.83</v>
      </c>
      <c r="H3001" s="198"/>
    </row>
    <row r="3002" spans="1:8" ht="15.75" hidden="1" customHeight="1" x14ac:dyDescent="0.25">
      <c r="A3002" s="205" t="s">
        <v>3622</v>
      </c>
      <c r="B3002" s="206">
        <v>105074</v>
      </c>
      <c r="C3002" s="207" t="s">
        <v>3635</v>
      </c>
      <c r="D3002" s="208" t="s">
        <v>585</v>
      </c>
      <c r="E3002" s="209">
        <v>258.22000000000003</v>
      </c>
      <c r="F3002" s="209">
        <v>27.86</v>
      </c>
      <c r="G3002" s="209">
        <v>286.08</v>
      </c>
      <c r="H3002" s="198"/>
    </row>
    <row r="3003" spans="1:8" ht="15.75" hidden="1" customHeight="1" x14ac:dyDescent="0.25">
      <c r="A3003" s="205" t="s">
        <v>3622</v>
      </c>
      <c r="B3003" s="206">
        <v>105077</v>
      </c>
      <c r="C3003" s="207" t="s">
        <v>3636</v>
      </c>
      <c r="D3003" s="208" t="s">
        <v>585</v>
      </c>
      <c r="E3003" s="209">
        <v>252.83</v>
      </c>
      <c r="F3003" s="209">
        <v>16.739999999999998</v>
      </c>
      <c r="G3003" s="209">
        <v>269.57</v>
      </c>
      <c r="H3003" s="198"/>
    </row>
    <row r="3004" spans="1:8" ht="15.75" hidden="1" customHeight="1" x14ac:dyDescent="0.25">
      <c r="A3004" s="205" t="s">
        <v>3622</v>
      </c>
      <c r="B3004" s="206">
        <v>105090</v>
      </c>
      <c r="C3004" s="207" t="s">
        <v>3637</v>
      </c>
      <c r="D3004" s="208" t="s">
        <v>578</v>
      </c>
      <c r="E3004" s="209">
        <v>326.02999999999997</v>
      </c>
      <c r="F3004" s="209">
        <v>26.7</v>
      </c>
      <c r="G3004" s="209">
        <v>352.73</v>
      </c>
      <c r="H3004" s="198"/>
    </row>
    <row r="3005" spans="1:8" ht="15.75" hidden="1" customHeight="1" x14ac:dyDescent="0.25">
      <c r="A3005" s="205" t="s">
        <v>3622</v>
      </c>
      <c r="B3005" s="206">
        <v>105099</v>
      </c>
      <c r="C3005" s="207" t="s">
        <v>3638</v>
      </c>
      <c r="D3005" s="208" t="s">
        <v>585</v>
      </c>
      <c r="E3005" s="209">
        <v>64.89</v>
      </c>
      <c r="F3005" s="209">
        <v>30.63</v>
      </c>
      <c r="G3005" s="209">
        <v>95.52</v>
      </c>
      <c r="H3005" s="198"/>
    </row>
    <row r="3006" spans="1:8" ht="15.75" hidden="1" customHeight="1" x14ac:dyDescent="0.25">
      <c r="A3006" s="205" t="s">
        <v>3622</v>
      </c>
      <c r="B3006" s="206">
        <v>105100</v>
      </c>
      <c r="C3006" s="207" t="s">
        <v>3639</v>
      </c>
      <c r="D3006" s="208" t="s">
        <v>585</v>
      </c>
      <c r="E3006" s="209">
        <v>106.64</v>
      </c>
      <c r="F3006" s="209">
        <v>33.340000000000003</v>
      </c>
      <c r="G3006" s="209">
        <v>139.97999999999999</v>
      </c>
      <c r="H3006" s="198"/>
    </row>
    <row r="3007" spans="1:8" ht="15.75" hidden="1" customHeight="1" x14ac:dyDescent="0.25">
      <c r="A3007" s="205" t="s">
        <v>3622</v>
      </c>
      <c r="B3007" s="206">
        <v>105101</v>
      </c>
      <c r="C3007" s="207" t="s">
        <v>3640</v>
      </c>
      <c r="D3007" s="208" t="s">
        <v>585</v>
      </c>
      <c r="E3007" s="209">
        <v>242.22</v>
      </c>
      <c r="F3007" s="209">
        <v>39.03</v>
      </c>
      <c r="G3007" s="209">
        <v>281.25</v>
      </c>
      <c r="H3007" s="198"/>
    </row>
    <row r="3008" spans="1:8" ht="15.75" hidden="1" customHeight="1" x14ac:dyDescent="0.25">
      <c r="A3008" s="205" t="s">
        <v>3622</v>
      </c>
      <c r="B3008" s="206">
        <v>105102</v>
      </c>
      <c r="C3008" s="207" t="s">
        <v>3641</v>
      </c>
      <c r="D3008" s="208" t="s">
        <v>585</v>
      </c>
      <c r="E3008" s="209">
        <v>342.85</v>
      </c>
      <c r="F3008" s="209">
        <v>46.53</v>
      </c>
      <c r="G3008" s="209">
        <v>389.38</v>
      </c>
      <c r="H3008" s="198"/>
    </row>
    <row r="3009" spans="1:8" ht="15.75" hidden="1" customHeight="1" x14ac:dyDescent="0.25">
      <c r="A3009" s="205" t="s">
        <v>3622</v>
      </c>
      <c r="B3009" s="206">
        <v>105080</v>
      </c>
      <c r="C3009" s="207" t="s">
        <v>3642</v>
      </c>
      <c r="D3009" s="208" t="s">
        <v>585</v>
      </c>
      <c r="E3009" s="209">
        <v>52.74</v>
      </c>
      <c r="F3009" s="209">
        <v>18.02</v>
      </c>
      <c r="G3009" s="209">
        <v>70.760000000000005</v>
      </c>
      <c r="H3009" s="198"/>
    </row>
    <row r="3010" spans="1:8" ht="15.75" hidden="1" customHeight="1" x14ac:dyDescent="0.25">
      <c r="A3010" s="205" t="s">
        <v>3622</v>
      </c>
      <c r="B3010" s="206">
        <v>105081</v>
      </c>
      <c r="C3010" s="207" t="s">
        <v>3643</v>
      </c>
      <c r="D3010" s="208" t="s">
        <v>585</v>
      </c>
      <c r="E3010" s="209">
        <v>63.53</v>
      </c>
      <c r="F3010" s="209">
        <v>18.71</v>
      </c>
      <c r="G3010" s="209">
        <v>82.24</v>
      </c>
      <c r="H3010" s="198"/>
    </row>
    <row r="3011" spans="1:8" ht="15.75" hidden="1" customHeight="1" x14ac:dyDescent="0.25">
      <c r="A3011" s="205" t="s">
        <v>3622</v>
      </c>
      <c r="B3011" s="206">
        <v>105091</v>
      </c>
      <c r="C3011" s="207" t="s">
        <v>3644</v>
      </c>
      <c r="D3011" s="208" t="s">
        <v>585</v>
      </c>
      <c r="E3011" s="209">
        <v>124.02</v>
      </c>
      <c r="F3011" s="209">
        <v>20.89</v>
      </c>
      <c r="G3011" s="209">
        <v>144.91</v>
      </c>
      <c r="H3011" s="198"/>
    </row>
    <row r="3012" spans="1:8" ht="15.75" hidden="1" customHeight="1" x14ac:dyDescent="0.25">
      <c r="A3012" s="205" t="s">
        <v>3622</v>
      </c>
      <c r="B3012" s="206">
        <v>105089</v>
      </c>
      <c r="C3012" s="207" t="s">
        <v>3645</v>
      </c>
      <c r="D3012" s="208" t="s">
        <v>585</v>
      </c>
      <c r="E3012" s="209">
        <v>160.62</v>
      </c>
      <c r="F3012" s="209">
        <v>22.81</v>
      </c>
      <c r="G3012" s="209">
        <v>183.43</v>
      </c>
      <c r="H3012" s="198"/>
    </row>
    <row r="3013" spans="1:8" ht="15.75" hidden="1" customHeight="1" x14ac:dyDescent="0.25">
      <c r="A3013" s="205" t="s">
        <v>3622</v>
      </c>
      <c r="B3013" s="206">
        <v>105082</v>
      </c>
      <c r="C3013" s="207" t="s">
        <v>3646</v>
      </c>
      <c r="D3013" s="208" t="s">
        <v>585</v>
      </c>
      <c r="E3013" s="209">
        <v>55.81</v>
      </c>
      <c r="F3013" s="209">
        <v>18.02</v>
      </c>
      <c r="G3013" s="209">
        <v>73.83</v>
      </c>
      <c r="H3013" s="198"/>
    </row>
    <row r="3014" spans="1:8" ht="15.75" hidden="1" customHeight="1" x14ac:dyDescent="0.25">
      <c r="A3014" s="205" t="s">
        <v>3622</v>
      </c>
      <c r="B3014" s="206">
        <v>105083</v>
      </c>
      <c r="C3014" s="207" t="s">
        <v>3647</v>
      </c>
      <c r="D3014" s="208" t="s">
        <v>585</v>
      </c>
      <c r="E3014" s="209">
        <v>64.930000000000007</v>
      </c>
      <c r="F3014" s="209">
        <v>18.71</v>
      </c>
      <c r="G3014" s="209">
        <v>83.64</v>
      </c>
      <c r="H3014" s="198"/>
    </row>
    <row r="3015" spans="1:8" ht="15.75" hidden="1" customHeight="1" x14ac:dyDescent="0.25">
      <c r="A3015" s="205" t="s">
        <v>3622</v>
      </c>
      <c r="B3015" s="206">
        <v>105084</v>
      </c>
      <c r="C3015" s="207" t="s">
        <v>3648</v>
      </c>
      <c r="D3015" s="208" t="s">
        <v>585</v>
      </c>
      <c r="E3015" s="209">
        <v>84.96</v>
      </c>
      <c r="F3015" s="209">
        <v>19.41</v>
      </c>
      <c r="G3015" s="209">
        <v>104.37</v>
      </c>
      <c r="H3015" s="198"/>
    </row>
    <row r="3016" spans="1:8" ht="15.75" hidden="1" customHeight="1" x14ac:dyDescent="0.25">
      <c r="A3016" s="205" t="s">
        <v>3622</v>
      </c>
      <c r="B3016" s="206">
        <v>105086</v>
      </c>
      <c r="C3016" s="207" t="s">
        <v>3649</v>
      </c>
      <c r="D3016" s="208" t="s">
        <v>585</v>
      </c>
      <c r="E3016" s="209">
        <v>76.73</v>
      </c>
      <c r="F3016" s="209">
        <v>20.27</v>
      </c>
      <c r="G3016" s="209">
        <v>97</v>
      </c>
      <c r="H3016" s="198"/>
    </row>
    <row r="3017" spans="1:8" ht="15.75" hidden="1" customHeight="1" x14ac:dyDescent="0.25">
      <c r="A3017" s="205" t="s">
        <v>3622</v>
      </c>
      <c r="B3017" s="206">
        <v>105087</v>
      </c>
      <c r="C3017" s="207" t="s">
        <v>3650</v>
      </c>
      <c r="D3017" s="208" t="s">
        <v>585</v>
      </c>
      <c r="E3017" s="209">
        <v>88.14</v>
      </c>
      <c r="F3017" s="209">
        <v>21.11</v>
      </c>
      <c r="G3017" s="209">
        <v>109.25</v>
      </c>
      <c r="H3017" s="198"/>
    </row>
    <row r="3018" spans="1:8" ht="15.75" hidden="1" customHeight="1" x14ac:dyDescent="0.25">
      <c r="A3018" s="205" t="s">
        <v>3622</v>
      </c>
      <c r="B3018" s="206">
        <v>105088</v>
      </c>
      <c r="C3018" s="207" t="s">
        <v>3651</v>
      </c>
      <c r="D3018" s="208" t="s">
        <v>585</v>
      </c>
      <c r="E3018" s="209">
        <v>176.04</v>
      </c>
      <c r="F3018" s="209">
        <v>22.8</v>
      </c>
      <c r="G3018" s="209">
        <v>198.84</v>
      </c>
      <c r="H3018" s="198"/>
    </row>
    <row r="3019" spans="1:8" ht="15.75" hidden="1" customHeight="1" x14ac:dyDescent="0.25">
      <c r="A3019" s="205" t="s">
        <v>3622</v>
      </c>
      <c r="B3019" s="206">
        <v>105092</v>
      </c>
      <c r="C3019" s="207" t="s">
        <v>3652</v>
      </c>
      <c r="D3019" s="208" t="s">
        <v>585</v>
      </c>
      <c r="E3019" s="209">
        <v>136.85</v>
      </c>
      <c r="F3019" s="209">
        <v>20.9</v>
      </c>
      <c r="G3019" s="209">
        <v>157.75</v>
      </c>
      <c r="H3019" s="198"/>
    </row>
    <row r="3020" spans="1:8" ht="15.75" hidden="1" customHeight="1" x14ac:dyDescent="0.25">
      <c r="A3020" s="205" t="s">
        <v>3622</v>
      </c>
      <c r="B3020" s="206">
        <v>105085</v>
      </c>
      <c r="C3020" s="207" t="s">
        <v>3653</v>
      </c>
      <c r="D3020" s="208" t="s">
        <v>585</v>
      </c>
      <c r="E3020" s="209">
        <v>89.56</v>
      </c>
      <c r="F3020" s="209">
        <v>19.64</v>
      </c>
      <c r="G3020" s="209">
        <v>109.2</v>
      </c>
      <c r="H3020" s="198"/>
    </row>
    <row r="3021" spans="1:8" ht="15.75" hidden="1" customHeight="1" x14ac:dyDescent="0.25">
      <c r="A3021" s="205" t="s">
        <v>3622</v>
      </c>
      <c r="B3021" s="206">
        <v>105093</v>
      </c>
      <c r="C3021" s="207" t="s">
        <v>3654</v>
      </c>
      <c r="D3021" s="208" t="s">
        <v>585</v>
      </c>
      <c r="E3021" s="209">
        <v>137.53</v>
      </c>
      <c r="F3021" s="209">
        <v>22.81</v>
      </c>
      <c r="G3021" s="209">
        <v>160.34</v>
      </c>
      <c r="H3021" s="198"/>
    </row>
    <row r="3022" spans="1:8" ht="15.75" hidden="1" customHeight="1" x14ac:dyDescent="0.25">
      <c r="A3022" s="205" t="s">
        <v>3622</v>
      </c>
      <c r="B3022" s="206">
        <v>105041</v>
      </c>
      <c r="C3022" s="207" t="s">
        <v>3655</v>
      </c>
      <c r="D3022" s="208" t="s">
        <v>585</v>
      </c>
      <c r="E3022" s="209">
        <v>35.03</v>
      </c>
      <c r="F3022" s="209">
        <v>18.11</v>
      </c>
      <c r="G3022" s="209">
        <v>53.14</v>
      </c>
      <c r="H3022" s="198"/>
    </row>
    <row r="3023" spans="1:8" ht="15.75" hidden="1" customHeight="1" x14ac:dyDescent="0.25">
      <c r="A3023" s="205" t="s">
        <v>3622</v>
      </c>
      <c r="B3023" s="206">
        <v>105045</v>
      </c>
      <c r="C3023" s="207" t="s">
        <v>3656</v>
      </c>
      <c r="D3023" s="208" t="s">
        <v>585</v>
      </c>
      <c r="E3023" s="209">
        <v>40.92</v>
      </c>
      <c r="F3023" s="209">
        <v>19.2</v>
      </c>
      <c r="G3023" s="209">
        <v>60.12</v>
      </c>
      <c r="H3023" s="198"/>
    </row>
    <row r="3024" spans="1:8" ht="15.75" hidden="1" customHeight="1" x14ac:dyDescent="0.25">
      <c r="A3024" s="205" t="s">
        <v>3657</v>
      </c>
      <c r="B3024" s="206">
        <v>93961</v>
      </c>
      <c r="C3024" s="207" t="s">
        <v>3658</v>
      </c>
      <c r="D3024" s="208" t="s">
        <v>585</v>
      </c>
      <c r="E3024" s="209">
        <v>112.09</v>
      </c>
      <c r="F3024" s="209">
        <v>167.56</v>
      </c>
      <c r="G3024" s="209">
        <v>279.64999999999998</v>
      </c>
      <c r="H3024" s="198"/>
    </row>
    <row r="3025" spans="1:8" ht="15.75" hidden="1" customHeight="1" x14ac:dyDescent="0.25">
      <c r="A3025" s="205" t="s">
        <v>3657</v>
      </c>
      <c r="B3025" s="206">
        <v>93971</v>
      </c>
      <c r="C3025" s="207" t="s">
        <v>3659</v>
      </c>
      <c r="D3025" s="208" t="s">
        <v>585</v>
      </c>
      <c r="E3025" s="209">
        <v>97.49</v>
      </c>
      <c r="F3025" s="209">
        <v>134.13</v>
      </c>
      <c r="G3025" s="209">
        <v>231.62</v>
      </c>
      <c r="H3025" s="198"/>
    </row>
    <row r="3026" spans="1:8" ht="15.75" hidden="1" customHeight="1" x14ac:dyDescent="0.25">
      <c r="A3026" s="205" t="s">
        <v>3657</v>
      </c>
      <c r="B3026" s="206">
        <v>93959</v>
      </c>
      <c r="C3026" s="207" t="s">
        <v>3660</v>
      </c>
      <c r="D3026" s="208" t="s">
        <v>585</v>
      </c>
      <c r="E3026" s="209">
        <v>124.26</v>
      </c>
      <c r="F3026" s="209">
        <v>188.18</v>
      </c>
      <c r="G3026" s="209">
        <v>312.44</v>
      </c>
      <c r="H3026" s="198"/>
    </row>
    <row r="3027" spans="1:8" ht="15.75" hidden="1" customHeight="1" x14ac:dyDescent="0.25">
      <c r="A3027" s="205" t="s">
        <v>3657</v>
      </c>
      <c r="B3027" s="206">
        <v>93969</v>
      </c>
      <c r="C3027" s="207" t="s">
        <v>3661</v>
      </c>
      <c r="D3027" s="208" t="s">
        <v>585</v>
      </c>
      <c r="E3027" s="209">
        <v>107.27</v>
      </c>
      <c r="F3027" s="209">
        <v>150.77000000000001</v>
      </c>
      <c r="G3027" s="209">
        <v>258.04000000000002</v>
      </c>
      <c r="H3027" s="198"/>
    </row>
    <row r="3028" spans="1:8" ht="15.75" hidden="1" customHeight="1" x14ac:dyDescent="0.25">
      <c r="A3028" s="205" t="s">
        <v>3657</v>
      </c>
      <c r="B3028" s="206">
        <v>93957</v>
      </c>
      <c r="C3028" s="207" t="s">
        <v>3662</v>
      </c>
      <c r="D3028" s="208" t="s">
        <v>585</v>
      </c>
      <c r="E3028" s="209">
        <v>153.16999999999999</v>
      </c>
      <c r="F3028" s="209">
        <v>237.27</v>
      </c>
      <c r="G3028" s="209">
        <v>390.44</v>
      </c>
      <c r="H3028" s="198"/>
    </row>
    <row r="3029" spans="1:8" ht="15.75" hidden="1" customHeight="1" x14ac:dyDescent="0.25">
      <c r="A3029" s="205" t="s">
        <v>3657</v>
      </c>
      <c r="B3029" s="206">
        <v>93967</v>
      </c>
      <c r="C3029" s="207" t="s">
        <v>3663</v>
      </c>
      <c r="D3029" s="208" t="s">
        <v>585</v>
      </c>
      <c r="E3029" s="209">
        <v>131.30000000000001</v>
      </c>
      <c r="F3029" s="209">
        <v>191.84</v>
      </c>
      <c r="G3029" s="209">
        <v>323.14</v>
      </c>
      <c r="H3029" s="198"/>
    </row>
    <row r="3030" spans="1:8" ht="15.75" hidden="1" customHeight="1" x14ac:dyDescent="0.25">
      <c r="A3030" s="205" t="s">
        <v>3664</v>
      </c>
      <c r="B3030" s="206">
        <v>104878</v>
      </c>
      <c r="C3030" s="207" t="s">
        <v>3665</v>
      </c>
      <c r="D3030" s="208" t="s">
        <v>580</v>
      </c>
      <c r="E3030" s="209">
        <v>2250.84</v>
      </c>
      <c r="F3030" s="209">
        <v>99.17</v>
      </c>
      <c r="G3030" s="209">
        <v>2350.0100000000002</v>
      </c>
      <c r="H3030" s="198"/>
    </row>
    <row r="3031" spans="1:8" ht="15.75" hidden="1" customHeight="1" x14ac:dyDescent="0.25">
      <c r="A3031" s="205" t="s">
        <v>3664</v>
      </c>
      <c r="B3031" s="206">
        <v>104877</v>
      </c>
      <c r="C3031" s="207" t="s">
        <v>3666</v>
      </c>
      <c r="D3031" s="208" t="s">
        <v>580</v>
      </c>
      <c r="E3031" s="209">
        <v>548.4</v>
      </c>
      <c r="F3031" s="209">
        <v>99.21</v>
      </c>
      <c r="G3031" s="209">
        <v>647.61</v>
      </c>
      <c r="H3031" s="198"/>
    </row>
    <row r="3032" spans="1:8" ht="15.75" hidden="1" customHeight="1" x14ac:dyDescent="0.25">
      <c r="A3032" s="205" t="s">
        <v>3664</v>
      </c>
      <c r="B3032" s="206">
        <v>104841</v>
      </c>
      <c r="C3032" s="207" t="s">
        <v>3667</v>
      </c>
      <c r="D3032" s="208" t="s">
        <v>585</v>
      </c>
      <c r="E3032" s="209">
        <v>63.82</v>
      </c>
      <c r="F3032" s="209">
        <v>24.1</v>
      </c>
      <c r="G3032" s="209">
        <v>87.92</v>
      </c>
      <c r="H3032" s="198"/>
    </row>
    <row r="3033" spans="1:8" ht="15.75" hidden="1" customHeight="1" x14ac:dyDescent="0.25">
      <c r="A3033" s="205" t="s">
        <v>3664</v>
      </c>
      <c r="B3033" s="206">
        <v>104849</v>
      </c>
      <c r="C3033" s="207" t="s">
        <v>3668</v>
      </c>
      <c r="D3033" s="208" t="s">
        <v>585</v>
      </c>
      <c r="E3033" s="209">
        <v>41.45</v>
      </c>
      <c r="F3033" s="209">
        <v>16.559999999999999</v>
      </c>
      <c r="G3033" s="209">
        <v>58.01</v>
      </c>
      <c r="H3033" s="198"/>
    </row>
    <row r="3034" spans="1:8" ht="15.75" hidden="1" customHeight="1" x14ac:dyDescent="0.25">
      <c r="A3034" s="205" t="s">
        <v>3664</v>
      </c>
      <c r="B3034" s="206">
        <v>104887</v>
      </c>
      <c r="C3034" s="207" t="s">
        <v>3669</v>
      </c>
      <c r="D3034" s="208" t="s">
        <v>585</v>
      </c>
      <c r="E3034" s="209">
        <v>34</v>
      </c>
      <c r="F3034" s="209">
        <v>9.4499999999999993</v>
      </c>
      <c r="G3034" s="209">
        <v>43.45</v>
      </c>
      <c r="H3034" s="198"/>
    </row>
    <row r="3035" spans="1:8" ht="15.75" hidden="1" customHeight="1" x14ac:dyDescent="0.25">
      <c r="A3035" s="205" t="s">
        <v>3664</v>
      </c>
      <c r="B3035" s="206">
        <v>104844</v>
      </c>
      <c r="C3035" s="207" t="s">
        <v>3670</v>
      </c>
      <c r="D3035" s="208" t="s">
        <v>585</v>
      </c>
      <c r="E3035" s="209">
        <v>70.430000000000007</v>
      </c>
      <c r="F3035" s="209">
        <v>27.34</v>
      </c>
      <c r="G3035" s="209">
        <v>97.77</v>
      </c>
      <c r="H3035" s="198"/>
    </row>
    <row r="3036" spans="1:8" ht="15.75" hidden="1" customHeight="1" x14ac:dyDescent="0.25">
      <c r="A3036" s="205" t="s">
        <v>3664</v>
      </c>
      <c r="B3036" s="206">
        <v>104852</v>
      </c>
      <c r="C3036" s="207" t="s">
        <v>3671</v>
      </c>
      <c r="D3036" s="208" t="s">
        <v>585</v>
      </c>
      <c r="E3036" s="209">
        <v>45.51</v>
      </c>
      <c r="F3036" s="209">
        <v>19.07</v>
      </c>
      <c r="G3036" s="209">
        <v>64.58</v>
      </c>
      <c r="H3036" s="198"/>
    </row>
    <row r="3037" spans="1:8" ht="15.75" hidden="1" customHeight="1" x14ac:dyDescent="0.25">
      <c r="A3037" s="205" t="s">
        <v>3664</v>
      </c>
      <c r="B3037" s="206">
        <v>104846</v>
      </c>
      <c r="C3037" s="207" t="s">
        <v>3672</v>
      </c>
      <c r="D3037" s="208" t="s">
        <v>585</v>
      </c>
      <c r="E3037" s="209">
        <v>80.239999999999995</v>
      </c>
      <c r="F3037" s="209">
        <v>32.159999999999997</v>
      </c>
      <c r="G3037" s="209">
        <v>112.4</v>
      </c>
      <c r="H3037" s="198"/>
    </row>
    <row r="3038" spans="1:8" ht="15.75" hidden="1" customHeight="1" x14ac:dyDescent="0.25">
      <c r="A3038" s="205" t="s">
        <v>3664</v>
      </c>
      <c r="B3038" s="206">
        <v>104854</v>
      </c>
      <c r="C3038" s="207" t="s">
        <v>3673</v>
      </c>
      <c r="D3038" s="208" t="s">
        <v>585</v>
      </c>
      <c r="E3038" s="209">
        <v>51.57</v>
      </c>
      <c r="F3038" s="209">
        <v>22.77</v>
      </c>
      <c r="G3038" s="209">
        <v>74.34</v>
      </c>
      <c r="H3038" s="198"/>
    </row>
    <row r="3039" spans="1:8" ht="15.75" hidden="1" customHeight="1" x14ac:dyDescent="0.25">
      <c r="A3039" s="205" t="s">
        <v>3664</v>
      </c>
      <c r="B3039" s="206">
        <v>104890</v>
      </c>
      <c r="C3039" s="207" t="s">
        <v>3674</v>
      </c>
      <c r="D3039" s="208" t="s">
        <v>585</v>
      </c>
      <c r="E3039" s="209">
        <v>38.97</v>
      </c>
      <c r="F3039" s="209">
        <v>11.87</v>
      </c>
      <c r="G3039" s="209">
        <v>50.84</v>
      </c>
      <c r="H3039" s="198"/>
    </row>
    <row r="3040" spans="1:8" ht="15.75" hidden="1" customHeight="1" x14ac:dyDescent="0.25">
      <c r="A3040" s="205" t="s">
        <v>3664</v>
      </c>
      <c r="B3040" s="206">
        <v>104842</v>
      </c>
      <c r="C3040" s="207" t="s">
        <v>3675</v>
      </c>
      <c r="D3040" s="208" t="s">
        <v>585</v>
      </c>
      <c r="E3040" s="209">
        <v>54.56</v>
      </c>
      <c r="F3040" s="209">
        <v>19.53</v>
      </c>
      <c r="G3040" s="209">
        <v>74.09</v>
      </c>
      <c r="H3040" s="198"/>
    </row>
    <row r="3041" spans="1:8" ht="15.75" hidden="1" customHeight="1" x14ac:dyDescent="0.25">
      <c r="A3041" s="205" t="s">
        <v>3664</v>
      </c>
      <c r="B3041" s="206">
        <v>104850</v>
      </c>
      <c r="C3041" s="207" t="s">
        <v>3676</v>
      </c>
      <c r="D3041" s="208" t="s">
        <v>585</v>
      </c>
      <c r="E3041" s="209">
        <v>37.090000000000003</v>
      </c>
      <c r="F3041" s="209">
        <v>13.81</v>
      </c>
      <c r="G3041" s="209">
        <v>50.9</v>
      </c>
      <c r="H3041" s="198"/>
    </row>
    <row r="3042" spans="1:8" ht="15.75" hidden="1" customHeight="1" x14ac:dyDescent="0.25">
      <c r="A3042" s="205" t="s">
        <v>3664</v>
      </c>
      <c r="B3042" s="206">
        <v>104888</v>
      </c>
      <c r="C3042" s="207" t="s">
        <v>3677</v>
      </c>
      <c r="D3042" s="208" t="s">
        <v>585</v>
      </c>
      <c r="E3042" s="209">
        <v>30.89</v>
      </c>
      <c r="F3042" s="209">
        <v>7.9</v>
      </c>
      <c r="G3042" s="209">
        <v>38.79</v>
      </c>
      <c r="H3042" s="198"/>
    </row>
    <row r="3043" spans="1:8" ht="15.75" hidden="1" customHeight="1" x14ac:dyDescent="0.25">
      <c r="A3043" s="205" t="s">
        <v>3664</v>
      </c>
      <c r="B3043" s="206">
        <v>104879</v>
      </c>
      <c r="C3043" s="207" t="s">
        <v>3678</v>
      </c>
      <c r="D3043" s="208" t="s">
        <v>585</v>
      </c>
      <c r="E3043" s="209">
        <v>60.07</v>
      </c>
      <c r="F3043" s="209">
        <v>22.25</v>
      </c>
      <c r="G3043" s="209">
        <v>82.32</v>
      </c>
      <c r="H3043" s="198"/>
    </row>
    <row r="3044" spans="1:8" ht="15.75" hidden="1" customHeight="1" x14ac:dyDescent="0.25">
      <c r="A3044" s="205" t="s">
        <v>3664</v>
      </c>
      <c r="B3044" s="206">
        <v>104853</v>
      </c>
      <c r="C3044" s="207" t="s">
        <v>3679</v>
      </c>
      <c r="D3044" s="208" t="s">
        <v>585</v>
      </c>
      <c r="E3044" s="209">
        <v>40.479999999999997</v>
      </c>
      <c r="F3044" s="209">
        <v>15.92</v>
      </c>
      <c r="G3044" s="209">
        <v>56.4</v>
      </c>
      <c r="H3044" s="198"/>
    </row>
    <row r="3045" spans="1:8" ht="15.75" hidden="1" customHeight="1" x14ac:dyDescent="0.25">
      <c r="A3045" s="205" t="s">
        <v>3664</v>
      </c>
      <c r="B3045" s="206">
        <v>104847</v>
      </c>
      <c r="C3045" s="207" t="s">
        <v>3680</v>
      </c>
      <c r="D3045" s="208" t="s">
        <v>585</v>
      </c>
      <c r="E3045" s="209">
        <v>68.28</v>
      </c>
      <c r="F3045" s="209">
        <v>26.23</v>
      </c>
      <c r="G3045" s="209">
        <v>94.51</v>
      </c>
      <c r="H3045" s="198"/>
    </row>
    <row r="3046" spans="1:8" ht="15.75" hidden="1" customHeight="1" x14ac:dyDescent="0.25">
      <c r="A3046" s="205" t="s">
        <v>3664</v>
      </c>
      <c r="B3046" s="206">
        <v>104855</v>
      </c>
      <c r="C3046" s="207" t="s">
        <v>3681</v>
      </c>
      <c r="D3046" s="208" t="s">
        <v>585</v>
      </c>
      <c r="E3046" s="209">
        <v>45.52</v>
      </c>
      <c r="F3046" s="209">
        <v>19.010000000000002</v>
      </c>
      <c r="G3046" s="209">
        <v>64.53</v>
      </c>
      <c r="H3046" s="198"/>
    </row>
    <row r="3047" spans="1:8" ht="15.75" hidden="1" customHeight="1" x14ac:dyDescent="0.25">
      <c r="A3047" s="205" t="s">
        <v>3664</v>
      </c>
      <c r="B3047" s="206">
        <v>104891</v>
      </c>
      <c r="C3047" s="207" t="s">
        <v>3682</v>
      </c>
      <c r="D3047" s="208" t="s">
        <v>585</v>
      </c>
      <c r="E3047" s="209">
        <v>35.1</v>
      </c>
      <c r="F3047" s="209">
        <v>9.93</v>
      </c>
      <c r="G3047" s="209">
        <v>45.03</v>
      </c>
      <c r="H3047" s="198"/>
    </row>
    <row r="3048" spans="1:8" ht="15.75" hidden="1" customHeight="1" x14ac:dyDescent="0.25">
      <c r="A3048" s="205" t="s">
        <v>3664</v>
      </c>
      <c r="B3048" s="206">
        <v>104892</v>
      </c>
      <c r="C3048" s="207" t="s">
        <v>3683</v>
      </c>
      <c r="D3048" s="208" t="s">
        <v>585</v>
      </c>
      <c r="E3048" s="209">
        <v>79.27</v>
      </c>
      <c r="F3048" s="209">
        <v>31.71</v>
      </c>
      <c r="G3048" s="209">
        <v>110.98</v>
      </c>
      <c r="H3048" s="198"/>
    </row>
    <row r="3049" spans="1:8" ht="15.75" hidden="1" customHeight="1" x14ac:dyDescent="0.25">
      <c r="A3049" s="205" t="s">
        <v>3664</v>
      </c>
      <c r="B3049" s="206">
        <v>104848</v>
      </c>
      <c r="C3049" s="207" t="s">
        <v>3684</v>
      </c>
      <c r="D3049" s="208" t="s">
        <v>585</v>
      </c>
      <c r="E3049" s="209">
        <v>47.98</v>
      </c>
      <c r="F3049" s="209">
        <v>20.64</v>
      </c>
      <c r="G3049" s="209">
        <v>68.62</v>
      </c>
      <c r="H3049" s="198"/>
    </row>
    <row r="3050" spans="1:8" ht="15.75" hidden="1" customHeight="1" x14ac:dyDescent="0.25">
      <c r="A3050" s="205" t="s">
        <v>3664</v>
      </c>
      <c r="B3050" s="206">
        <v>104886</v>
      </c>
      <c r="C3050" s="207" t="s">
        <v>3685</v>
      </c>
      <c r="D3050" s="208" t="s">
        <v>585</v>
      </c>
      <c r="E3050" s="209">
        <v>38.61</v>
      </c>
      <c r="F3050" s="209">
        <v>11.72</v>
      </c>
      <c r="G3050" s="209">
        <v>50.33</v>
      </c>
      <c r="H3050" s="198"/>
    </row>
    <row r="3051" spans="1:8" ht="15.75" hidden="1" customHeight="1" x14ac:dyDescent="0.25">
      <c r="A3051" s="205" t="s">
        <v>3664</v>
      </c>
      <c r="B3051" s="206">
        <v>104843</v>
      </c>
      <c r="C3051" s="207" t="s">
        <v>3686</v>
      </c>
      <c r="D3051" s="208" t="s">
        <v>585</v>
      </c>
      <c r="E3051" s="209">
        <v>87.47</v>
      </c>
      <c r="F3051" s="209">
        <v>35.79</v>
      </c>
      <c r="G3051" s="209">
        <v>123.26</v>
      </c>
      <c r="H3051" s="198"/>
    </row>
    <row r="3052" spans="1:8" ht="15.75" hidden="1" customHeight="1" x14ac:dyDescent="0.25">
      <c r="A3052" s="205" t="s">
        <v>3664</v>
      </c>
      <c r="B3052" s="206">
        <v>104851</v>
      </c>
      <c r="C3052" s="207" t="s">
        <v>3687</v>
      </c>
      <c r="D3052" s="208" t="s">
        <v>585</v>
      </c>
      <c r="E3052" s="209">
        <v>53.06</v>
      </c>
      <c r="F3052" s="209">
        <v>23.74</v>
      </c>
      <c r="G3052" s="209">
        <v>76.8</v>
      </c>
      <c r="H3052" s="198"/>
    </row>
    <row r="3053" spans="1:8" ht="15.75" hidden="1" customHeight="1" x14ac:dyDescent="0.25">
      <c r="A3053" s="205" t="s">
        <v>3664</v>
      </c>
      <c r="B3053" s="206">
        <v>104845</v>
      </c>
      <c r="C3053" s="207" t="s">
        <v>3688</v>
      </c>
      <c r="D3053" s="208" t="s">
        <v>585</v>
      </c>
      <c r="E3053" s="209">
        <v>99.7</v>
      </c>
      <c r="F3053" s="209">
        <v>41.79</v>
      </c>
      <c r="G3053" s="209">
        <v>141.49</v>
      </c>
      <c r="H3053" s="198"/>
    </row>
    <row r="3054" spans="1:8" ht="15.75" hidden="1" customHeight="1" x14ac:dyDescent="0.25">
      <c r="A3054" s="205" t="s">
        <v>3664</v>
      </c>
      <c r="B3054" s="206">
        <v>104880</v>
      </c>
      <c r="C3054" s="207" t="s">
        <v>3689</v>
      </c>
      <c r="D3054" s="208" t="s">
        <v>585</v>
      </c>
      <c r="E3054" s="209">
        <v>60.58</v>
      </c>
      <c r="F3054" s="209">
        <v>28.4</v>
      </c>
      <c r="G3054" s="209">
        <v>88.98</v>
      </c>
      <c r="H3054" s="198"/>
    </row>
    <row r="3055" spans="1:8" ht="15.75" hidden="1" customHeight="1" x14ac:dyDescent="0.25">
      <c r="A3055" s="205" t="s">
        <v>3664</v>
      </c>
      <c r="B3055" s="206">
        <v>104889</v>
      </c>
      <c r="C3055" s="207" t="s">
        <v>3690</v>
      </c>
      <c r="D3055" s="208" t="s">
        <v>585</v>
      </c>
      <c r="E3055" s="209">
        <v>44.78</v>
      </c>
      <c r="F3055" s="209">
        <v>14.75</v>
      </c>
      <c r="G3055" s="209">
        <v>59.53</v>
      </c>
      <c r="H3055" s="198"/>
    </row>
    <row r="3056" spans="1:8" ht="15.75" hidden="1" customHeight="1" x14ac:dyDescent="0.25">
      <c r="A3056" s="205" t="s">
        <v>3664</v>
      </c>
      <c r="B3056" s="206">
        <v>95108</v>
      </c>
      <c r="C3056" s="207" t="s">
        <v>3691</v>
      </c>
      <c r="D3056" s="208" t="s">
        <v>580</v>
      </c>
      <c r="E3056" s="209">
        <v>19.41</v>
      </c>
      <c r="F3056" s="209">
        <v>26.54</v>
      </c>
      <c r="G3056" s="209">
        <v>45.95</v>
      </c>
      <c r="H3056" s="198"/>
    </row>
    <row r="3057" spans="1:8" ht="15.75" hidden="1" customHeight="1" x14ac:dyDescent="0.25">
      <c r="A3057" s="205" t="s">
        <v>3664</v>
      </c>
      <c r="B3057" s="206">
        <v>104876</v>
      </c>
      <c r="C3057" s="207" t="s">
        <v>3692</v>
      </c>
      <c r="D3057" s="208" t="s">
        <v>580</v>
      </c>
      <c r="E3057" s="209">
        <v>8.7899999999999991</v>
      </c>
      <c r="F3057" s="209">
        <v>22.5</v>
      </c>
      <c r="G3057" s="209">
        <v>31.29</v>
      </c>
      <c r="H3057" s="198"/>
    </row>
    <row r="3058" spans="1:8" ht="15.75" hidden="1" customHeight="1" x14ac:dyDescent="0.25">
      <c r="A3058" s="205" t="s">
        <v>3664</v>
      </c>
      <c r="B3058" s="206">
        <v>104875</v>
      </c>
      <c r="C3058" s="207" t="s">
        <v>3693</v>
      </c>
      <c r="D3058" s="208" t="s">
        <v>585</v>
      </c>
      <c r="E3058" s="209">
        <v>43.24</v>
      </c>
      <c r="F3058" s="209">
        <v>113.52</v>
      </c>
      <c r="G3058" s="209">
        <v>156.76</v>
      </c>
      <c r="H3058" s="198"/>
    </row>
    <row r="3059" spans="1:8" ht="15.75" hidden="1" customHeight="1" x14ac:dyDescent="0.25">
      <c r="A3059" s="205" t="s">
        <v>3694</v>
      </c>
      <c r="B3059" s="206">
        <v>96120</v>
      </c>
      <c r="C3059" s="207" t="s">
        <v>3695</v>
      </c>
      <c r="D3059" s="208" t="s">
        <v>585</v>
      </c>
      <c r="E3059" s="209">
        <v>1.9</v>
      </c>
      <c r="F3059" s="209">
        <v>1.68</v>
      </c>
      <c r="G3059" s="209">
        <v>3.58</v>
      </c>
      <c r="H3059" s="198"/>
    </row>
    <row r="3060" spans="1:8" ht="15.75" hidden="1" customHeight="1" x14ac:dyDescent="0.25">
      <c r="A3060" s="205" t="s">
        <v>3694</v>
      </c>
      <c r="B3060" s="206">
        <v>96123</v>
      </c>
      <c r="C3060" s="207" t="s">
        <v>3696</v>
      </c>
      <c r="D3060" s="208" t="s">
        <v>585</v>
      </c>
      <c r="E3060" s="209">
        <v>22.4</v>
      </c>
      <c r="F3060" s="209">
        <v>9.4600000000000009</v>
      </c>
      <c r="G3060" s="209">
        <v>31.86</v>
      </c>
      <c r="H3060" s="198"/>
    </row>
    <row r="3061" spans="1:8" ht="15.75" hidden="1" customHeight="1" x14ac:dyDescent="0.25">
      <c r="A3061" s="205" t="s">
        <v>3694</v>
      </c>
      <c r="B3061" s="206">
        <v>96122</v>
      </c>
      <c r="C3061" s="207" t="s">
        <v>3697</v>
      </c>
      <c r="D3061" s="208" t="s">
        <v>585</v>
      </c>
      <c r="E3061" s="209">
        <v>39.83</v>
      </c>
      <c r="F3061" s="209">
        <v>12.54</v>
      </c>
      <c r="G3061" s="209">
        <v>52.37</v>
      </c>
      <c r="H3061" s="198"/>
    </row>
    <row r="3062" spans="1:8" ht="15.75" hidden="1" customHeight="1" x14ac:dyDescent="0.25">
      <c r="A3062" s="205" t="s">
        <v>3694</v>
      </c>
      <c r="B3062" s="206">
        <v>96121</v>
      </c>
      <c r="C3062" s="207" t="s">
        <v>3698</v>
      </c>
      <c r="D3062" s="208" t="s">
        <v>585</v>
      </c>
      <c r="E3062" s="209">
        <v>8.84</v>
      </c>
      <c r="F3062" s="209">
        <v>5.09</v>
      </c>
      <c r="G3062" s="209">
        <v>13.93</v>
      </c>
      <c r="H3062" s="198"/>
    </row>
    <row r="3063" spans="1:8" ht="15.75" hidden="1" customHeight="1" x14ac:dyDescent="0.25">
      <c r="A3063" s="205" t="s">
        <v>3694</v>
      </c>
      <c r="B3063" s="206">
        <v>99054</v>
      </c>
      <c r="C3063" s="207" t="s">
        <v>3699</v>
      </c>
      <c r="D3063" s="208" t="s">
        <v>578</v>
      </c>
      <c r="E3063" s="209">
        <v>31.61</v>
      </c>
      <c r="F3063" s="209">
        <v>40.840000000000003</v>
      </c>
      <c r="G3063" s="209">
        <v>72.45</v>
      </c>
      <c r="H3063" s="198"/>
    </row>
    <row r="3064" spans="1:8" ht="15.75" hidden="1" customHeight="1" x14ac:dyDescent="0.25">
      <c r="A3064" s="205" t="s">
        <v>3694</v>
      </c>
      <c r="B3064" s="206">
        <v>96110</v>
      </c>
      <c r="C3064" s="207" t="s">
        <v>3700</v>
      </c>
      <c r="D3064" s="208" t="s">
        <v>578</v>
      </c>
      <c r="E3064" s="209">
        <v>58.87</v>
      </c>
      <c r="F3064" s="209">
        <v>23.81</v>
      </c>
      <c r="G3064" s="209">
        <v>82.68</v>
      </c>
      <c r="H3064" s="198"/>
    </row>
    <row r="3065" spans="1:8" ht="15.75" hidden="1" customHeight="1" x14ac:dyDescent="0.25">
      <c r="A3065" s="205" t="s">
        <v>3694</v>
      </c>
      <c r="B3065" s="206">
        <v>96114</v>
      </c>
      <c r="C3065" s="207" t="s">
        <v>3701</v>
      </c>
      <c r="D3065" s="208" t="s">
        <v>578</v>
      </c>
      <c r="E3065" s="209">
        <v>61.95</v>
      </c>
      <c r="F3065" s="209">
        <v>20.88</v>
      </c>
      <c r="G3065" s="209">
        <v>82.83</v>
      </c>
      <c r="H3065" s="198"/>
    </row>
    <row r="3066" spans="1:8" ht="15.75" hidden="1" customHeight="1" x14ac:dyDescent="0.25">
      <c r="A3066" s="205" t="s">
        <v>3694</v>
      </c>
      <c r="B3066" s="206">
        <v>104756</v>
      </c>
      <c r="C3066" s="207" t="s">
        <v>3702</v>
      </c>
      <c r="D3066" s="208" t="s">
        <v>578</v>
      </c>
      <c r="E3066" s="209">
        <v>164.87</v>
      </c>
      <c r="F3066" s="209">
        <v>52.72</v>
      </c>
      <c r="G3066" s="209">
        <v>217.59</v>
      </c>
      <c r="H3066" s="198"/>
    </row>
    <row r="3067" spans="1:8" ht="15.75" hidden="1" customHeight="1" x14ac:dyDescent="0.25">
      <c r="A3067" s="205" t="s">
        <v>3694</v>
      </c>
      <c r="B3067" s="206">
        <v>96112</v>
      </c>
      <c r="C3067" s="207" t="s">
        <v>3703</v>
      </c>
      <c r="D3067" s="208" t="s">
        <v>578</v>
      </c>
      <c r="E3067" s="209">
        <v>106.48</v>
      </c>
      <c r="F3067" s="209">
        <v>57</v>
      </c>
      <c r="G3067" s="209">
        <v>163.47999999999999</v>
      </c>
      <c r="H3067" s="198"/>
    </row>
    <row r="3068" spans="1:8" ht="15.75" hidden="1" customHeight="1" x14ac:dyDescent="0.25">
      <c r="A3068" s="205" t="s">
        <v>3694</v>
      </c>
      <c r="B3068" s="206">
        <v>96113</v>
      </c>
      <c r="C3068" s="207" t="s">
        <v>3704</v>
      </c>
      <c r="D3068" s="208" t="s">
        <v>578</v>
      </c>
      <c r="E3068" s="209">
        <v>27.05</v>
      </c>
      <c r="F3068" s="209">
        <v>29.32</v>
      </c>
      <c r="G3068" s="209">
        <v>56.37</v>
      </c>
      <c r="H3068" s="198"/>
    </row>
    <row r="3069" spans="1:8" ht="15.75" hidden="1" customHeight="1" x14ac:dyDescent="0.25">
      <c r="A3069" s="205" t="s">
        <v>3694</v>
      </c>
      <c r="B3069" s="206">
        <v>96109</v>
      </c>
      <c r="C3069" s="207" t="s">
        <v>3705</v>
      </c>
      <c r="D3069" s="208" t="s">
        <v>578</v>
      </c>
      <c r="E3069" s="209">
        <v>28.87</v>
      </c>
      <c r="F3069" s="209">
        <v>34.01</v>
      </c>
      <c r="G3069" s="209">
        <v>62.88</v>
      </c>
      <c r="H3069" s="198"/>
    </row>
    <row r="3070" spans="1:8" ht="15.75" hidden="1" customHeight="1" x14ac:dyDescent="0.25">
      <c r="A3070" s="205" t="s">
        <v>3694</v>
      </c>
      <c r="B3070" s="206">
        <v>96116</v>
      </c>
      <c r="C3070" s="207" t="s">
        <v>3706</v>
      </c>
      <c r="D3070" s="208" t="s">
        <v>578</v>
      </c>
      <c r="E3070" s="209">
        <v>59.51</v>
      </c>
      <c r="F3070" s="209">
        <v>14.47</v>
      </c>
      <c r="G3070" s="209">
        <v>73.98</v>
      </c>
      <c r="H3070" s="198"/>
    </row>
    <row r="3071" spans="1:8" ht="15.75" hidden="1" customHeight="1" x14ac:dyDescent="0.25">
      <c r="A3071" s="205" t="s">
        <v>3694</v>
      </c>
      <c r="B3071" s="206">
        <v>96111</v>
      </c>
      <c r="C3071" s="207" t="s">
        <v>3707</v>
      </c>
      <c r="D3071" s="208" t="s">
        <v>578</v>
      </c>
      <c r="E3071" s="209">
        <v>55.44</v>
      </c>
      <c r="F3071" s="209">
        <v>16.809999999999999</v>
      </c>
      <c r="G3071" s="209">
        <v>72.25</v>
      </c>
      <c r="H3071" s="198"/>
    </row>
    <row r="3072" spans="1:8" ht="15.75" hidden="1" customHeight="1" x14ac:dyDescent="0.25">
      <c r="A3072" s="205" t="s">
        <v>3694</v>
      </c>
      <c r="B3072" s="206">
        <v>96486</v>
      </c>
      <c r="C3072" s="207" t="s">
        <v>3708</v>
      </c>
      <c r="D3072" s="208" t="s">
        <v>578</v>
      </c>
      <c r="E3072" s="209">
        <v>71.41</v>
      </c>
      <c r="F3072" s="209">
        <v>14.46</v>
      </c>
      <c r="G3072" s="209">
        <v>85.87</v>
      </c>
      <c r="H3072" s="198"/>
    </row>
    <row r="3073" spans="1:8" ht="15.75" hidden="1" customHeight="1" x14ac:dyDescent="0.25">
      <c r="A3073" s="205" t="s">
        <v>3694</v>
      </c>
      <c r="B3073" s="206">
        <v>96485</v>
      </c>
      <c r="C3073" s="207" t="s">
        <v>3709</v>
      </c>
      <c r="D3073" s="208" t="s">
        <v>578</v>
      </c>
      <c r="E3073" s="209">
        <v>67.33</v>
      </c>
      <c r="F3073" s="209">
        <v>16.809999999999999</v>
      </c>
      <c r="G3073" s="209">
        <v>84.14</v>
      </c>
      <c r="H3073" s="198"/>
    </row>
    <row r="3074" spans="1:8" ht="15.75" customHeight="1" x14ac:dyDescent="0.25">
      <c r="A3074" s="205" t="s">
        <v>3710</v>
      </c>
      <c r="B3074" s="206">
        <v>101807</v>
      </c>
      <c r="C3074" s="207" t="s">
        <v>3711</v>
      </c>
      <c r="D3074" s="208" t="s">
        <v>580</v>
      </c>
      <c r="E3074" s="209">
        <v>293.3</v>
      </c>
      <c r="F3074" s="209">
        <v>283.02999999999997</v>
      </c>
      <c r="G3074" s="209">
        <v>576.33000000000004</v>
      </c>
      <c r="H3074" s="198"/>
    </row>
    <row r="3075" spans="1:8" ht="15.75" customHeight="1" x14ac:dyDescent="0.25">
      <c r="A3075" s="205" t="s">
        <v>3710</v>
      </c>
      <c r="B3075" s="206">
        <v>101806</v>
      </c>
      <c r="C3075" s="207" t="s">
        <v>3712</v>
      </c>
      <c r="D3075" s="208" t="s">
        <v>580</v>
      </c>
      <c r="E3075" s="209">
        <v>318.35000000000002</v>
      </c>
      <c r="F3075" s="209">
        <v>311.92</v>
      </c>
      <c r="G3075" s="209">
        <v>630.27</v>
      </c>
      <c r="H3075" s="198"/>
    </row>
    <row r="3076" spans="1:8" ht="15.75" customHeight="1" x14ac:dyDescent="0.25">
      <c r="A3076" s="205" t="s">
        <v>3710</v>
      </c>
      <c r="B3076" s="206">
        <v>101808</v>
      </c>
      <c r="C3076" s="207" t="s">
        <v>3713</v>
      </c>
      <c r="D3076" s="208" t="s">
        <v>580</v>
      </c>
      <c r="E3076" s="209">
        <v>514.16</v>
      </c>
      <c r="F3076" s="209">
        <v>68.72</v>
      </c>
      <c r="G3076" s="209">
        <v>582.88</v>
      </c>
      <c r="H3076" s="198"/>
    </row>
    <row r="3077" spans="1:8" ht="15.75" hidden="1" customHeight="1" x14ac:dyDescent="0.25">
      <c r="A3077" s="205" t="s">
        <v>3710</v>
      </c>
      <c r="B3077" s="206">
        <v>98058</v>
      </c>
      <c r="C3077" s="207" t="s">
        <v>3714</v>
      </c>
      <c r="D3077" s="208" t="s">
        <v>580</v>
      </c>
      <c r="E3077" s="209">
        <v>1526.69</v>
      </c>
      <c r="F3077" s="209">
        <v>316.45999999999998</v>
      </c>
      <c r="G3077" s="209">
        <v>1843.15</v>
      </c>
      <c r="H3077" s="198"/>
    </row>
    <row r="3078" spans="1:8" ht="15.75" hidden="1" customHeight="1" x14ac:dyDescent="0.25">
      <c r="A3078" s="205" t="s">
        <v>3710</v>
      </c>
      <c r="B3078" s="206">
        <v>98059</v>
      </c>
      <c r="C3078" s="207" t="s">
        <v>3715</v>
      </c>
      <c r="D3078" s="208" t="s">
        <v>580</v>
      </c>
      <c r="E3078" s="209">
        <v>3410.25</v>
      </c>
      <c r="F3078" s="209">
        <v>463.71</v>
      </c>
      <c r="G3078" s="209">
        <v>3873.96</v>
      </c>
      <c r="H3078" s="198"/>
    </row>
    <row r="3079" spans="1:8" ht="15.75" hidden="1" customHeight="1" x14ac:dyDescent="0.25">
      <c r="A3079" s="205" t="s">
        <v>3710</v>
      </c>
      <c r="B3079" s="206">
        <v>98060</v>
      </c>
      <c r="C3079" s="207" t="s">
        <v>3716</v>
      </c>
      <c r="D3079" s="208" t="s">
        <v>580</v>
      </c>
      <c r="E3079" s="209">
        <v>4706.62</v>
      </c>
      <c r="F3079" s="209">
        <v>674.83</v>
      </c>
      <c r="G3079" s="209">
        <v>5381.45</v>
      </c>
      <c r="H3079" s="198"/>
    </row>
    <row r="3080" spans="1:8" ht="15.75" hidden="1" customHeight="1" x14ac:dyDescent="0.25">
      <c r="A3080" s="205" t="s">
        <v>3710</v>
      </c>
      <c r="B3080" s="206">
        <v>98061</v>
      </c>
      <c r="C3080" s="207" t="s">
        <v>3717</v>
      </c>
      <c r="D3080" s="208" t="s">
        <v>580</v>
      </c>
      <c r="E3080" s="209">
        <v>6559.24</v>
      </c>
      <c r="F3080" s="209">
        <v>929.33</v>
      </c>
      <c r="G3080" s="209">
        <v>7488.57</v>
      </c>
      <c r="H3080" s="198"/>
    </row>
    <row r="3081" spans="1:8" ht="15.75" hidden="1" customHeight="1" x14ac:dyDescent="0.25">
      <c r="A3081" s="205" t="s">
        <v>3710</v>
      </c>
      <c r="B3081" s="206">
        <v>98088</v>
      </c>
      <c r="C3081" s="207" t="s">
        <v>3718</v>
      </c>
      <c r="D3081" s="208" t="s">
        <v>580</v>
      </c>
      <c r="E3081" s="209">
        <v>2039.22</v>
      </c>
      <c r="F3081" s="209">
        <v>1401.92</v>
      </c>
      <c r="G3081" s="209">
        <v>3441.14</v>
      </c>
      <c r="H3081" s="198"/>
    </row>
    <row r="3082" spans="1:8" ht="15.75" hidden="1" customHeight="1" x14ac:dyDescent="0.25">
      <c r="A3082" s="205" t="s">
        <v>3710</v>
      </c>
      <c r="B3082" s="206">
        <v>98089</v>
      </c>
      <c r="C3082" s="207" t="s">
        <v>3719</v>
      </c>
      <c r="D3082" s="208" t="s">
        <v>580</v>
      </c>
      <c r="E3082" s="209">
        <v>3204.39</v>
      </c>
      <c r="F3082" s="209">
        <v>2235.9899999999998</v>
      </c>
      <c r="G3082" s="209">
        <v>5440.38</v>
      </c>
      <c r="H3082" s="198"/>
    </row>
    <row r="3083" spans="1:8" ht="15.75" hidden="1" customHeight="1" x14ac:dyDescent="0.25">
      <c r="A3083" s="205" t="s">
        <v>3710</v>
      </c>
      <c r="B3083" s="206">
        <v>98090</v>
      </c>
      <c r="C3083" s="207" t="s">
        <v>3720</v>
      </c>
      <c r="D3083" s="208" t="s">
        <v>580</v>
      </c>
      <c r="E3083" s="209">
        <v>5015.12</v>
      </c>
      <c r="F3083" s="209">
        <v>3524.15</v>
      </c>
      <c r="G3083" s="209">
        <v>8539.27</v>
      </c>
      <c r="H3083" s="198"/>
    </row>
    <row r="3084" spans="1:8" ht="15.75" hidden="1" customHeight="1" x14ac:dyDescent="0.25">
      <c r="A3084" s="205" t="s">
        <v>3710</v>
      </c>
      <c r="B3084" s="206">
        <v>98091</v>
      </c>
      <c r="C3084" s="207" t="s">
        <v>3721</v>
      </c>
      <c r="D3084" s="208" t="s">
        <v>580</v>
      </c>
      <c r="E3084" s="209">
        <v>6542.14</v>
      </c>
      <c r="F3084" s="209">
        <v>4606.7</v>
      </c>
      <c r="G3084" s="209">
        <v>11148.84</v>
      </c>
      <c r="H3084" s="198"/>
    </row>
    <row r="3085" spans="1:8" ht="15.75" hidden="1" customHeight="1" x14ac:dyDescent="0.25">
      <c r="A3085" s="205" t="s">
        <v>3710</v>
      </c>
      <c r="B3085" s="206">
        <v>98092</v>
      </c>
      <c r="C3085" s="207" t="s">
        <v>3722</v>
      </c>
      <c r="D3085" s="208" t="s">
        <v>580</v>
      </c>
      <c r="E3085" s="209">
        <v>7590.26</v>
      </c>
      <c r="F3085" s="209">
        <v>5355.76</v>
      </c>
      <c r="G3085" s="209">
        <v>12946.02</v>
      </c>
      <c r="H3085" s="198"/>
    </row>
    <row r="3086" spans="1:8" ht="15.75" hidden="1" customHeight="1" x14ac:dyDescent="0.25">
      <c r="A3086" s="205" t="s">
        <v>3710</v>
      </c>
      <c r="B3086" s="206">
        <v>98093</v>
      </c>
      <c r="C3086" s="207" t="s">
        <v>3723</v>
      </c>
      <c r="D3086" s="208" t="s">
        <v>580</v>
      </c>
      <c r="E3086" s="209">
        <v>8954.1200000000008</v>
      </c>
      <c r="F3086" s="209">
        <v>6323.34</v>
      </c>
      <c r="G3086" s="209">
        <v>15277.46</v>
      </c>
      <c r="H3086" s="198"/>
    </row>
    <row r="3087" spans="1:8" ht="15.75" hidden="1" customHeight="1" x14ac:dyDescent="0.25">
      <c r="A3087" s="205" t="s">
        <v>3710</v>
      </c>
      <c r="B3087" s="206">
        <v>98072</v>
      </c>
      <c r="C3087" s="207" t="s">
        <v>3724</v>
      </c>
      <c r="D3087" s="208" t="s">
        <v>580</v>
      </c>
      <c r="E3087" s="209">
        <v>2475.8000000000002</v>
      </c>
      <c r="F3087" s="209">
        <v>1755.6</v>
      </c>
      <c r="G3087" s="209">
        <v>4231.3999999999996</v>
      </c>
      <c r="H3087" s="198"/>
    </row>
    <row r="3088" spans="1:8" ht="15.75" hidden="1" customHeight="1" x14ac:dyDescent="0.25">
      <c r="A3088" s="205" t="s">
        <v>3710</v>
      </c>
      <c r="B3088" s="206">
        <v>98073</v>
      </c>
      <c r="C3088" s="207" t="s">
        <v>3725</v>
      </c>
      <c r="D3088" s="208" t="s">
        <v>580</v>
      </c>
      <c r="E3088" s="209">
        <v>3873.57</v>
      </c>
      <c r="F3088" s="209">
        <v>2764.93</v>
      </c>
      <c r="G3088" s="209">
        <v>6638.5</v>
      </c>
      <c r="H3088" s="198"/>
    </row>
    <row r="3089" spans="1:8" ht="15.75" hidden="1" customHeight="1" x14ac:dyDescent="0.25">
      <c r="A3089" s="205" t="s">
        <v>3710</v>
      </c>
      <c r="B3089" s="206">
        <v>98074</v>
      </c>
      <c r="C3089" s="207" t="s">
        <v>3726</v>
      </c>
      <c r="D3089" s="208" t="s">
        <v>580</v>
      </c>
      <c r="E3089" s="209">
        <v>6021.13</v>
      </c>
      <c r="F3089" s="209">
        <v>4306.7</v>
      </c>
      <c r="G3089" s="209">
        <v>10327.83</v>
      </c>
      <c r="H3089" s="198"/>
    </row>
    <row r="3090" spans="1:8" ht="15.75" hidden="1" customHeight="1" x14ac:dyDescent="0.25">
      <c r="A3090" s="205" t="s">
        <v>3710</v>
      </c>
      <c r="B3090" s="206">
        <v>98075</v>
      </c>
      <c r="C3090" s="207" t="s">
        <v>3727</v>
      </c>
      <c r="D3090" s="208" t="s">
        <v>580</v>
      </c>
      <c r="E3090" s="209">
        <v>7833.68</v>
      </c>
      <c r="F3090" s="209">
        <v>5603.15</v>
      </c>
      <c r="G3090" s="209">
        <v>13436.83</v>
      </c>
      <c r="H3090" s="198"/>
    </row>
    <row r="3091" spans="1:8" ht="15.75" hidden="1" customHeight="1" x14ac:dyDescent="0.25">
      <c r="A3091" s="205" t="s">
        <v>3710</v>
      </c>
      <c r="B3091" s="206">
        <v>98076</v>
      </c>
      <c r="C3091" s="207" t="s">
        <v>3728</v>
      </c>
      <c r="D3091" s="208" t="s">
        <v>580</v>
      </c>
      <c r="E3091" s="209">
        <v>9032.86</v>
      </c>
      <c r="F3091" s="209">
        <v>6466.21</v>
      </c>
      <c r="G3091" s="209">
        <v>15499.07</v>
      </c>
      <c r="H3091" s="198"/>
    </row>
    <row r="3092" spans="1:8" ht="15.75" hidden="1" customHeight="1" x14ac:dyDescent="0.25">
      <c r="A3092" s="205" t="s">
        <v>3710</v>
      </c>
      <c r="B3092" s="206">
        <v>98077</v>
      </c>
      <c r="C3092" s="207" t="s">
        <v>3729</v>
      </c>
      <c r="D3092" s="208" t="s">
        <v>580</v>
      </c>
      <c r="E3092" s="209">
        <v>10637.18</v>
      </c>
      <c r="F3092" s="209">
        <v>7614.67</v>
      </c>
      <c r="G3092" s="209">
        <v>18251.849999999999</v>
      </c>
      <c r="H3092" s="198"/>
    </row>
    <row r="3093" spans="1:8" ht="15.75" hidden="1" customHeight="1" x14ac:dyDescent="0.25">
      <c r="A3093" s="205" t="s">
        <v>3710</v>
      </c>
      <c r="B3093" s="206">
        <v>98062</v>
      </c>
      <c r="C3093" s="207" t="s">
        <v>3730</v>
      </c>
      <c r="D3093" s="208" t="s">
        <v>580</v>
      </c>
      <c r="E3093" s="209">
        <v>2879</v>
      </c>
      <c r="F3093" s="209">
        <v>305.02</v>
      </c>
      <c r="G3093" s="209">
        <v>3184.02</v>
      </c>
      <c r="H3093" s="198"/>
    </row>
    <row r="3094" spans="1:8" ht="15.75" hidden="1" customHeight="1" x14ac:dyDescent="0.25">
      <c r="A3094" s="205" t="s">
        <v>3710</v>
      </c>
      <c r="B3094" s="206">
        <v>98063</v>
      </c>
      <c r="C3094" s="207" t="s">
        <v>3731</v>
      </c>
      <c r="D3094" s="208" t="s">
        <v>580</v>
      </c>
      <c r="E3094" s="209">
        <v>4411.05</v>
      </c>
      <c r="F3094" s="209">
        <v>451.21</v>
      </c>
      <c r="G3094" s="209">
        <v>4862.26</v>
      </c>
      <c r="H3094" s="198"/>
    </row>
    <row r="3095" spans="1:8" ht="15.75" hidden="1" customHeight="1" x14ac:dyDescent="0.25">
      <c r="A3095" s="205" t="s">
        <v>3710</v>
      </c>
      <c r="B3095" s="206">
        <v>98064</v>
      </c>
      <c r="C3095" s="207" t="s">
        <v>3732</v>
      </c>
      <c r="D3095" s="208" t="s">
        <v>580</v>
      </c>
      <c r="E3095" s="209">
        <v>5161.42</v>
      </c>
      <c r="F3095" s="209">
        <v>472.7</v>
      </c>
      <c r="G3095" s="209">
        <v>5634.12</v>
      </c>
      <c r="H3095" s="198"/>
    </row>
    <row r="3096" spans="1:8" ht="15.75" hidden="1" customHeight="1" x14ac:dyDescent="0.25">
      <c r="A3096" s="205" t="s">
        <v>3710</v>
      </c>
      <c r="B3096" s="206">
        <v>98065</v>
      </c>
      <c r="C3096" s="207" t="s">
        <v>3733</v>
      </c>
      <c r="D3096" s="208" t="s">
        <v>580</v>
      </c>
      <c r="E3096" s="209">
        <v>7192.02</v>
      </c>
      <c r="F3096" s="209">
        <v>628.79</v>
      </c>
      <c r="G3096" s="209">
        <v>7820.81</v>
      </c>
      <c r="H3096" s="198"/>
    </row>
    <row r="3097" spans="1:8" ht="15.75" hidden="1" customHeight="1" x14ac:dyDescent="0.25">
      <c r="A3097" s="205" t="s">
        <v>3710</v>
      </c>
      <c r="B3097" s="206">
        <v>98094</v>
      </c>
      <c r="C3097" s="207" t="s">
        <v>3734</v>
      </c>
      <c r="D3097" s="208" t="s">
        <v>580</v>
      </c>
      <c r="E3097" s="209">
        <v>1714.72</v>
      </c>
      <c r="F3097" s="209">
        <v>1115.78</v>
      </c>
      <c r="G3097" s="209">
        <v>2830.5</v>
      </c>
      <c r="H3097" s="198"/>
    </row>
    <row r="3098" spans="1:8" ht="15.75" hidden="1" customHeight="1" x14ac:dyDescent="0.25">
      <c r="A3098" s="205" t="s">
        <v>3710</v>
      </c>
      <c r="B3098" s="206">
        <v>98099</v>
      </c>
      <c r="C3098" s="207" t="s">
        <v>3735</v>
      </c>
      <c r="D3098" s="208" t="s">
        <v>580</v>
      </c>
      <c r="E3098" s="209">
        <v>2917.98</v>
      </c>
      <c r="F3098" s="209">
        <v>1913.1</v>
      </c>
      <c r="G3098" s="209">
        <v>4831.08</v>
      </c>
      <c r="H3098" s="198"/>
    </row>
    <row r="3099" spans="1:8" ht="15.75" hidden="1" customHeight="1" x14ac:dyDescent="0.25">
      <c r="A3099" s="205" t="s">
        <v>3710</v>
      </c>
      <c r="B3099" s="206">
        <v>98100</v>
      </c>
      <c r="C3099" s="207" t="s">
        <v>3736</v>
      </c>
      <c r="D3099" s="208" t="s">
        <v>580</v>
      </c>
      <c r="E3099" s="209">
        <v>3807.84</v>
      </c>
      <c r="F3099" s="209">
        <v>2522.7199999999998</v>
      </c>
      <c r="G3099" s="209">
        <v>6330.56</v>
      </c>
      <c r="H3099" s="198"/>
    </row>
    <row r="3100" spans="1:8" ht="15.75" hidden="1" customHeight="1" x14ac:dyDescent="0.25">
      <c r="A3100" s="205" t="s">
        <v>3710</v>
      </c>
      <c r="B3100" s="206">
        <v>98101</v>
      </c>
      <c r="C3100" s="207" t="s">
        <v>3737</v>
      </c>
      <c r="D3100" s="208" t="s">
        <v>580</v>
      </c>
      <c r="E3100" s="209">
        <v>5611.37</v>
      </c>
      <c r="F3100" s="209">
        <v>3748.71</v>
      </c>
      <c r="G3100" s="209">
        <v>9360.08</v>
      </c>
      <c r="H3100" s="198"/>
    </row>
    <row r="3101" spans="1:8" ht="15.75" hidden="1" customHeight="1" x14ac:dyDescent="0.25">
      <c r="A3101" s="205" t="s">
        <v>3710</v>
      </c>
      <c r="B3101" s="206">
        <v>98078</v>
      </c>
      <c r="C3101" s="207" t="s">
        <v>3738</v>
      </c>
      <c r="D3101" s="208" t="s">
        <v>580</v>
      </c>
      <c r="E3101" s="209">
        <v>2772.8</v>
      </c>
      <c r="F3101" s="209">
        <v>1775</v>
      </c>
      <c r="G3101" s="209">
        <v>4547.8</v>
      </c>
      <c r="H3101" s="198"/>
    </row>
    <row r="3102" spans="1:8" ht="15.75" hidden="1" customHeight="1" x14ac:dyDescent="0.25">
      <c r="A3102" s="205" t="s">
        <v>3710</v>
      </c>
      <c r="B3102" s="206">
        <v>98079</v>
      </c>
      <c r="C3102" s="207" t="s">
        <v>3739</v>
      </c>
      <c r="D3102" s="208" t="s">
        <v>580</v>
      </c>
      <c r="E3102" s="209">
        <v>4858.66</v>
      </c>
      <c r="F3102" s="209">
        <v>3110.27</v>
      </c>
      <c r="G3102" s="209">
        <v>7968.93</v>
      </c>
      <c r="H3102" s="198"/>
    </row>
    <row r="3103" spans="1:8" ht="15.75" hidden="1" customHeight="1" x14ac:dyDescent="0.25">
      <c r="A3103" s="205" t="s">
        <v>3710</v>
      </c>
      <c r="B3103" s="206">
        <v>98080</v>
      </c>
      <c r="C3103" s="207" t="s">
        <v>3740</v>
      </c>
      <c r="D3103" s="208" t="s">
        <v>580</v>
      </c>
      <c r="E3103" s="209">
        <v>6238.74</v>
      </c>
      <c r="F3103" s="209">
        <v>4018.97</v>
      </c>
      <c r="G3103" s="209">
        <v>10257.709999999999</v>
      </c>
      <c r="H3103" s="198"/>
    </row>
    <row r="3104" spans="1:8" ht="15.75" hidden="1" customHeight="1" x14ac:dyDescent="0.25">
      <c r="A3104" s="205" t="s">
        <v>3710</v>
      </c>
      <c r="B3104" s="206">
        <v>98081</v>
      </c>
      <c r="C3104" s="207" t="s">
        <v>3741</v>
      </c>
      <c r="D3104" s="208" t="s">
        <v>580</v>
      </c>
      <c r="E3104" s="209">
        <v>9235.4</v>
      </c>
      <c r="F3104" s="209">
        <v>5969.4</v>
      </c>
      <c r="G3104" s="209">
        <v>15204.8</v>
      </c>
      <c r="H3104" s="198"/>
    </row>
    <row r="3105" spans="1:8" ht="15.75" hidden="1" customHeight="1" x14ac:dyDescent="0.25">
      <c r="A3105" s="205" t="s">
        <v>3710</v>
      </c>
      <c r="B3105" s="206">
        <v>98052</v>
      </c>
      <c r="C3105" s="207" t="s">
        <v>3742</v>
      </c>
      <c r="D3105" s="208" t="s">
        <v>580</v>
      </c>
      <c r="E3105" s="209">
        <v>1913.07</v>
      </c>
      <c r="F3105" s="209">
        <v>270.54000000000002</v>
      </c>
      <c r="G3105" s="209">
        <v>2183.61</v>
      </c>
      <c r="H3105" s="198"/>
    </row>
    <row r="3106" spans="1:8" ht="15.75" hidden="1" customHeight="1" x14ac:dyDescent="0.25">
      <c r="A3106" s="205" t="s">
        <v>3710</v>
      </c>
      <c r="B3106" s="206">
        <v>98053</v>
      </c>
      <c r="C3106" s="207" t="s">
        <v>3743</v>
      </c>
      <c r="D3106" s="208" t="s">
        <v>580</v>
      </c>
      <c r="E3106" s="209">
        <v>2635.4</v>
      </c>
      <c r="F3106" s="209">
        <v>365.51</v>
      </c>
      <c r="G3106" s="209">
        <v>3000.91</v>
      </c>
      <c r="H3106" s="198"/>
    </row>
    <row r="3107" spans="1:8" ht="15.75" hidden="1" customHeight="1" x14ac:dyDescent="0.25">
      <c r="A3107" s="205" t="s">
        <v>3710</v>
      </c>
      <c r="B3107" s="206">
        <v>98054</v>
      </c>
      <c r="C3107" s="207" t="s">
        <v>3744</v>
      </c>
      <c r="D3107" s="208" t="s">
        <v>580</v>
      </c>
      <c r="E3107" s="209">
        <v>4441.8999999999996</v>
      </c>
      <c r="F3107" s="209">
        <v>382.58</v>
      </c>
      <c r="G3107" s="209">
        <v>4824.4799999999996</v>
      </c>
      <c r="H3107" s="198"/>
    </row>
    <row r="3108" spans="1:8" ht="15.75" hidden="1" customHeight="1" x14ac:dyDescent="0.25">
      <c r="A3108" s="205" t="s">
        <v>3710</v>
      </c>
      <c r="B3108" s="206">
        <v>98055</v>
      </c>
      <c r="C3108" s="207" t="s">
        <v>3745</v>
      </c>
      <c r="D3108" s="208" t="s">
        <v>580</v>
      </c>
      <c r="E3108" s="209">
        <v>6021.04</v>
      </c>
      <c r="F3108" s="209">
        <v>527.83000000000004</v>
      </c>
      <c r="G3108" s="209">
        <v>6548.87</v>
      </c>
      <c r="H3108" s="198"/>
    </row>
    <row r="3109" spans="1:8" ht="15.75" hidden="1" customHeight="1" x14ac:dyDescent="0.25">
      <c r="A3109" s="205" t="s">
        <v>3710</v>
      </c>
      <c r="B3109" s="206">
        <v>98056</v>
      </c>
      <c r="C3109" s="207" t="s">
        <v>3746</v>
      </c>
      <c r="D3109" s="208" t="s">
        <v>580</v>
      </c>
      <c r="E3109" s="209">
        <v>7093.46</v>
      </c>
      <c r="F3109" s="209">
        <v>563.54999999999995</v>
      </c>
      <c r="G3109" s="209">
        <v>7657.01</v>
      </c>
      <c r="H3109" s="198"/>
    </row>
    <row r="3110" spans="1:8" ht="15.75" hidden="1" customHeight="1" x14ac:dyDescent="0.25">
      <c r="A3110" s="205" t="s">
        <v>3710</v>
      </c>
      <c r="B3110" s="206">
        <v>98057</v>
      </c>
      <c r="C3110" s="207" t="s">
        <v>3747</v>
      </c>
      <c r="D3110" s="208" t="s">
        <v>580</v>
      </c>
      <c r="E3110" s="209">
        <v>8393.7099999999991</v>
      </c>
      <c r="F3110" s="209">
        <v>698.26</v>
      </c>
      <c r="G3110" s="209">
        <v>9091.9699999999993</v>
      </c>
      <c r="H3110" s="198"/>
    </row>
    <row r="3111" spans="1:8" ht="15.75" hidden="1" customHeight="1" x14ac:dyDescent="0.25">
      <c r="A3111" s="205" t="s">
        <v>3710</v>
      </c>
      <c r="B3111" s="206">
        <v>98082</v>
      </c>
      <c r="C3111" s="207" t="s">
        <v>3748</v>
      </c>
      <c r="D3111" s="208" t="s">
        <v>580</v>
      </c>
      <c r="E3111" s="209">
        <v>2362.3000000000002</v>
      </c>
      <c r="F3111" s="209">
        <v>1639.56</v>
      </c>
      <c r="G3111" s="209">
        <v>4001.86</v>
      </c>
      <c r="H3111" s="198"/>
    </row>
    <row r="3112" spans="1:8" ht="15.75" hidden="1" customHeight="1" x14ac:dyDescent="0.25">
      <c r="A3112" s="205" t="s">
        <v>3710</v>
      </c>
      <c r="B3112" s="206">
        <v>98083</v>
      </c>
      <c r="C3112" s="207" t="s">
        <v>3749</v>
      </c>
      <c r="D3112" s="208" t="s">
        <v>580</v>
      </c>
      <c r="E3112" s="209">
        <v>3101.95</v>
      </c>
      <c r="F3112" s="209">
        <v>2179.7600000000002</v>
      </c>
      <c r="G3112" s="209">
        <v>5281.71</v>
      </c>
      <c r="H3112" s="198"/>
    </row>
    <row r="3113" spans="1:8" ht="15.75" hidden="1" customHeight="1" x14ac:dyDescent="0.25">
      <c r="A3113" s="205" t="s">
        <v>3710</v>
      </c>
      <c r="B3113" s="206">
        <v>98084</v>
      </c>
      <c r="C3113" s="207" t="s">
        <v>3750</v>
      </c>
      <c r="D3113" s="208" t="s">
        <v>580</v>
      </c>
      <c r="E3113" s="209">
        <v>4330.93</v>
      </c>
      <c r="F3113" s="209">
        <v>3082.5</v>
      </c>
      <c r="G3113" s="209">
        <v>7413.43</v>
      </c>
      <c r="H3113" s="198"/>
    </row>
    <row r="3114" spans="1:8" ht="15.75" hidden="1" customHeight="1" x14ac:dyDescent="0.25">
      <c r="A3114" s="205" t="s">
        <v>3710</v>
      </c>
      <c r="B3114" s="206">
        <v>98085</v>
      </c>
      <c r="C3114" s="207" t="s">
        <v>3751</v>
      </c>
      <c r="D3114" s="208" t="s">
        <v>580</v>
      </c>
      <c r="E3114" s="209">
        <v>5855.47</v>
      </c>
      <c r="F3114" s="209">
        <v>4214.12</v>
      </c>
      <c r="G3114" s="209">
        <v>10069.59</v>
      </c>
      <c r="H3114" s="198"/>
    </row>
    <row r="3115" spans="1:8" ht="15.75" hidden="1" customHeight="1" x14ac:dyDescent="0.25">
      <c r="A3115" s="205" t="s">
        <v>3710</v>
      </c>
      <c r="B3115" s="206">
        <v>98087</v>
      </c>
      <c r="C3115" s="207" t="s">
        <v>3752</v>
      </c>
      <c r="D3115" s="208" t="s">
        <v>580</v>
      </c>
      <c r="E3115" s="209">
        <v>7034.56</v>
      </c>
      <c r="F3115" s="209">
        <v>5075.2</v>
      </c>
      <c r="G3115" s="209">
        <v>12109.76</v>
      </c>
      <c r="H3115" s="198"/>
    </row>
    <row r="3116" spans="1:8" ht="15.75" hidden="1" customHeight="1" x14ac:dyDescent="0.25">
      <c r="A3116" s="205" t="s">
        <v>3710</v>
      </c>
      <c r="B3116" s="206">
        <v>98086</v>
      </c>
      <c r="C3116" s="207" t="s">
        <v>3753</v>
      </c>
      <c r="D3116" s="208" t="s">
        <v>580</v>
      </c>
      <c r="E3116" s="209">
        <v>6600.91</v>
      </c>
      <c r="F3116" s="209">
        <v>4760.38</v>
      </c>
      <c r="G3116" s="209">
        <v>11361.29</v>
      </c>
      <c r="H3116" s="198"/>
    </row>
    <row r="3117" spans="1:8" ht="15.75" hidden="1" customHeight="1" x14ac:dyDescent="0.25">
      <c r="A3117" s="205" t="s">
        <v>3710</v>
      </c>
      <c r="B3117" s="206">
        <v>98066</v>
      </c>
      <c r="C3117" s="207" t="s">
        <v>3754</v>
      </c>
      <c r="D3117" s="208" t="s">
        <v>580</v>
      </c>
      <c r="E3117" s="209">
        <v>2961.26</v>
      </c>
      <c r="F3117" s="209">
        <v>2076.6</v>
      </c>
      <c r="G3117" s="209">
        <v>5037.8599999999997</v>
      </c>
      <c r="H3117" s="198"/>
    </row>
    <row r="3118" spans="1:8" ht="15.75" hidden="1" customHeight="1" x14ac:dyDescent="0.25">
      <c r="A3118" s="205" t="s">
        <v>3710</v>
      </c>
      <c r="B3118" s="206">
        <v>98067</v>
      </c>
      <c r="C3118" s="207" t="s">
        <v>3755</v>
      </c>
      <c r="D3118" s="208" t="s">
        <v>580</v>
      </c>
      <c r="E3118" s="209">
        <v>3939.04</v>
      </c>
      <c r="F3118" s="209">
        <v>2778.28</v>
      </c>
      <c r="G3118" s="209">
        <v>6717.32</v>
      </c>
      <c r="H3118" s="198"/>
    </row>
    <row r="3119" spans="1:8" ht="15.75" hidden="1" customHeight="1" x14ac:dyDescent="0.25">
      <c r="A3119" s="205" t="s">
        <v>3710</v>
      </c>
      <c r="B3119" s="206">
        <v>98068</v>
      </c>
      <c r="C3119" s="207" t="s">
        <v>3756</v>
      </c>
      <c r="D3119" s="208" t="s">
        <v>580</v>
      </c>
      <c r="E3119" s="209">
        <v>5553.68</v>
      </c>
      <c r="F3119" s="209">
        <v>3941.41</v>
      </c>
      <c r="G3119" s="209">
        <v>9495.09</v>
      </c>
      <c r="H3119" s="198"/>
    </row>
    <row r="3120" spans="1:8" ht="15.75" hidden="1" customHeight="1" x14ac:dyDescent="0.25">
      <c r="A3120" s="205" t="s">
        <v>3710</v>
      </c>
      <c r="B3120" s="206">
        <v>98069</v>
      </c>
      <c r="C3120" s="207" t="s">
        <v>3757</v>
      </c>
      <c r="D3120" s="208" t="s">
        <v>580</v>
      </c>
      <c r="E3120" s="209">
        <v>7456.99</v>
      </c>
      <c r="F3120" s="209">
        <v>5333.73</v>
      </c>
      <c r="G3120" s="209">
        <v>12790.72</v>
      </c>
      <c r="H3120" s="198"/>
    </row>
    <row r="3121" spans="1:8" ht="15.75" hidden="1" customHeight="1" x14ac:dyDescent="0.25">
      <c r="A3121" s="205" t="s">
        <v>3710</v>
      </c>
      <c r="B3121" s="206">
        <v>98071</v>
      </c>
      <c r="C3121" s="207" t="s">
        <v>3758</v>
      </c>
      <c r="D3121" s="208" t="s">
        <v>580</v>
      </c>
      <c r="E3121" s="209">
        <v>9286.4699999999993</v>
      </c>
      <c r="F3121" s="209">
        <v>6615.01</v>
      </c>
      <c r="G3121" s="209">
        <v>15901.48</v>
      </c>
      <c r="H3121" s="198"/>
    </row>
    <row r="3122" spans="1:8" ht="15.75" hidden="1" customHeight="1" x14ac:dyDescent="0.25">
      <c r="A3122" s="205" t="s">
        <v>3710</v>
      </c>
      <c r="B3122" s="206">
        <v>98070</v>
      </c>
      <c r="C3122" s="207" t="s">
        <v>3759</v>
      </c>
      <c r="D3122" s="208" t="s">
        <v>580</v>
      </c>
      <c r="E3122" s="209">
        <v>8515.94</v>
      </c>
      <c r="F3122" s="209">
        <v>6086.14</v>
      </c>
      <c r="G3122" s="209">
        <v>14602.08</v>
      </c>
      <c r="H3122" s="198"/>
    </row>
    <row r="3123" spans="1:8" ht="15.75" hidden="1" customHeight="1" x14ac:dyDescent="0.25">
      <c r="A3123" s="205" t="s">
        <v>3760</v>
      </c>
      <c r="B3123" s="206">
        <v>104915</v>
      </c>
      <c r="C3123" s="207" t="s">
        <v>3761</v>
      </c>
      <c r="D3123" s="208" t="s">
        <v>823</v>
      </c>
      <c r="E3123" s="209">
        <v>9.6199999999999992</v>
      </c>
      <c r="F3123" s="209">
        <v>0.45</v>
      </c>
      <c r="G3123" s="209">
        <v>10.07</v>
      </c>
      <c r="H3123" s="198"/>
    </row>
    <row r="3124" spans="1:8" ht="15.75" hidden="1" customHeight="1" x14ac:dyDescent="0.25">
      <c r="A3124" s="205" t="s">
        <v>3760</v>
      </c>
      <c r="B3124" s="206">
        <v>96546</v>
      </c>
      <c r="C3124" s="207" t="s">
        <v>3762</v>
      </c>
      <c r="D3124" s="208" t="s">
        <v>823</v>
      </c>
      <c r="E3124" s="209">
        <v>10.91</v>
      </c>
      <c r="F3124" s="209">
        <v>4.3499999999999996</v>
      </c>
      <c r="G3124" s="209">
        <v>15.26</v>
      </c>
      <c r="H3124" s="198"/>
    </row>
    <row r="3125" spans="1:8" ht="15.75" hidden="1" customHeight="1" x14ac:dyDescent="0.25">
      <c r="A3125" s="205" t="s">
        <v>3760</v>
      </c>
      <c r="B3125" s="206">
        <v>96544</v>
      </c>
      <c r="C3125" s="207" t="s">
        <v>3763</v>
      </c>
      <c r="D3125" s="208" t="s">
        <v>823</v>
      </c>
      <c r="E3125" s="209">
        <v>12.41</v>
      </c>
      <c r="F3125" s="209">
        <v>7.87</v>
      </c>
      <c r="G3125" s="209">
        <v>20.28</v>
      </c>
      <c r="H3125" s="198"/>
    </row>
    <row r="3126" spans="1:8" ht="15.75" hidden="1" customHeight="1" x14ac:dyDescent="0.25">
      <c r="A3126" s="205" t="s">
        <v>3760</v>
      </c>
      <c r="B3126" s="206">
        <v>96545</v>
      </c>
      <c r="C3126" s="207" t="s">
        <v>3764</v>
      </c>
      <c r="D3126" s="208" t="s">
        <v>823</v>
      </c>
      <c r="E3126" s="209">
        <v>11.98</v>
      </c>
      <c r="F3126" s="209">
        <v>5.77</v>
      </c>
      <c r="G3126" s="209">
        <v>17.75</v>
      </c>
      <c r="H3126" s="198"/>
    </row>
    <row r="3127" spans="1:8" ht="15.75" hidden="1" customHeight="1" x14ac:dyDescent="0.25">
      <c r="A3127" s="205" t="s">
        <v>3760</v>
      </c>
      <c r="B3127" s="206">
        <v>96543</v>
      </c>
      <c r="C3127" s="207" t="s">
        <v>3765</v>
      </c>
      <c r="D3127" s="208" t="s">
        <v>823</v>
      </c>
      <c r="E3127" s="209">
        <v>12.6</v>
      </c>
      <c r="F3127" s="209">
        <v>10.69</v>
      </c>
      <c r="G3127" s="209">
        <v>23.29</v>
      </c>
      <c r="H3127" s="198"/>
    </row>
    <row r="3128" spans="1:8" ht="15.75" hidden="1" customHeight="1" x14ac:dyDescent="0.25">
      <c r="A3128" s="205" t="s">
        <v>3760</v>
      </c>
      <c r="B3128" s="206">
        <v>104922</v>
      </c>
      <c r="C3128" s="207" t="s">
        <v>3766</v>
      </c>
      <c r="D3128" s="208" t="s">
        <v>823</v>
      </c>
      <c r="E3128" s="209">
        <v>10</v>
      </c>
      <c r="F3128" s="209">
        <v>1.39</v>
      </c>
      <c r="G3128" s="209">
        <v>11.39</v>
      </c>
      <c r="H3128" s="198"/>
    </row>
    <row r="3129" spans="1:8" ht="15.75" hidden="1" customHeight="1" x14ac:dyDescent="0.25">
      <c r="A3129" s="205" t="s">
        <v>3760</v>
      </c>
      <c r="B3129" s="206">
        <v>104920</v>
      </c>
      <c r="C3129" s="207" t="s">
        <v>3767</v>
      </c>
      <c r="D3129" s="208" t="s">
        <v>823</v>
      </c>
      <c r="E3129" s="209">
        <v>9.02</v>
      </c>
      <c r="F3129" s="209">
        <v>2.4</v>
      </c>
      <c r="G3129" s="209">
        <v>11.42</v>
      </c>
      <c r="H3129" s="198"/>
    </row>
    <row r="3130" spans="1:8" ht="15.75" hidden="1" customHeight="1" x14ac:dyDescent="0.25">
      <c r="A3130" s="205" t="s">
        <v>3760</v>
      </c>
      <c r="B3130" s="206">
        <v>104921</v>
      </c>
      <c r="C3130" s="207" t="s">
        <v>3768</v>
      </c>
      <c r="D3130" s="208" t="s">
        <v>823</v>
      </c>
      <c r="E3130" s="209">
        <v>8.7899999999999991</v>
      </c>
      <c r="F3130" s="209">
        <v>1.79</v>
      </c>
      <c r="G3130" s="209">
        <v>10.58</v>
      </c>
      <c r="H3130" s="198"/>
    </row>
    <row r="3131" spans="1:8" ht="15.75" hidden="1" customHeight="1" x14ac:dyDescent="0.25">
      <c r="A3131" s="205" t="s">
        <v>3760</v>
      </c>
      <c r="B3131" s="206">
        <v>104919</v>
      </c>
      <c r="C3131" s="207" t="s">
        <v>3769</v>
      </c>
      <c r="D3131" s="208" t="s">
        <v>823</v>
      </c>
      <c r="E3131" s="209">
        <v>10.45</v>
      </c>
      <c r="F3131" s="209">
        <v>3.1</v>
      </c>
      <c r="G3131" s="209">
        <v>13.55</v>
      </c>
      <c r="H3131" s="198"/>
    </row>
    <row r="3132" spans="1:8" ht="15.75" hidden="1" customHeight="1" x14ac:dyDescent="0.25">
      <c r="A3132" s="205" t="s">
        <v>3760</v>
      </c>
      <c r="B3132" s="206">
        <v>104917</v>
      </c>
      <c r="C3132" s="207" t="s">
        <v>3770</v>
      </c>
      <c r="D3132" s="208" t="s">
        <v>823</v>
      </c>
      <c r="E3132" s="209">
        <v>11.55</v>
      </c>
      <c r="F3132" s="209">
        <v>5.56</v>
      </c>
      <c r="G3132" s="209">
        <v>17.11</v>
      </c>
      <c r="H3132" s="198"/>
    </row>
    <row r="3133" spans="1:8" ht="15.75" hidden="1" customHeight="1" x14ac:dyDescent="0.25">
      <c r="A3133" s="205" t="s">
        <v>3760</v>
      </c>
      <c r="B3133" s="206">
        <v>104918</v>
      </c>
      <c r="C3133" s="207" t="s">
        <v>3771</v>
      </c>
      <c r="D3133" s="208" t="s">
        <v>823</v>
      </c>
      <c r="E3133" s="209">
        <v>11.34</v>
      </c>
      <c r="F3133" s="209">
        <v>4.08</v>
      </c>
      <c r="G3133" s="209">
        <v>15.42</v>
      </c>
      <c r="H3133" s="198"/>
    </row>
    <row r="3134" spans="1:8" ht="15.75" hidden="1" customHeight="1" x14ac:dyDescent="0.25">
      <c r="A3134" s="205" t="s">
        <v>3760</v>
      </c>
      <c r="B3134" s="206">
        <v>104916</v>
      </c>
      <c r="C3134" s="207" t="s">
        <v>3772</v>
      </c>
      <c r="D3134" s="208" t="s">
        <v>823</v>
      </c>
      <c r="E3134" s="209">
        <v>11.41</v>
      </c>
      <c r="F3134" s="209">
        <v>7.66</v>
      </c>
      <c r="G3134" s="209">
        <v>19.07</v>
      </c>
      <c r="H3134" s="198"/>
    </row>
    <row r="3135" spans="1:8" ht="15.75" hidden="1" customHeight="1" x14ac:dyDescent="0.25">
      <c r="A3135" s="205" t="s">
        <v>3760</v>
      </c>
      <c r="B3135" s="206">
        <v>96557</v>
      </c>
      <c r="C3135" s="207" t="s">
        <v>3773</v>
      </c>
      <c r="D3135" s="208" t="s">
        <v>664</v>
      </c>
      <c r="E3135" s="209">
        <v>644.53</v>
      </c>
      <c r="F3135" s="209">
        <v>18.97</v>
      </c>
      <c r="G3135" s="209">
        <v>663.5</v>
      </c>
      <c r="H3135" s="198"/>
    </row>
    <row r="3136" spans="1:8" ht="15.75" hidden="1" customHeight="1" x14ac:dyDescent="0.25">
      <c r="A3136" s="205" t="s">
        <v>3760</v>
      </c>
      <c r="B3136" s="206">
        <v>96555</v>
      </c>
      <c r="C3136" s="207" t="s">
        <v>3774</v>
      </c>
      <c r="D3136" s="208" t="s">
        <v>664</v>
      </c>
      <c r="E3136" s="209">
        <v>537.67999999999995</v>
      </c>
      <c r="F3136" s="209">
        <v>203.64</v>
      </c>
      <c r="G3136" s="209">
        <v>741.32</v>
      </c>
      <c r="H3136" s="198"/>
    </row>
    <row r="3137" spans="1:8" ht="15.75" hidden="1" customHeight="1" x14ac:dyDescent="0.25">
      <c r="A3137" s="205" t="s">
        <v>3760</v>
      </c>
      <c r="B3137" s="206">
        <v>104924</v>
      </c>
      <c r="C3137" s="207" t="s">
        <v>3775</v>
      </c>
      <c r="D3137" s="208" t="s">
        <v>664</v>
      </c>
      <c r="E3137" s="209">
        <v>662.53</v>
      </c>
      <c r="F3137" s="209">
        <v>25.02</v>
      </c>
      <c r="G3137" s="209">
        <v>687.55</v>
      </c>
      <c r="H3137" s="198"/>
    </row>
    <row r="3138" spans="1:8" ht="15.75" hidden="1" customHeight="1" x14ac:dyDescent="0.25">
      <c r="A3138" s="205" t="s">
        <v>3760</v>
      </c>
      <c r="B3138" s="206">
        <v>104923</v>
      </c>
      <c r="C3138" s="207" t="s">
        <v>3776</v>
      </c>
      <c r="D3138" s="208" t="s">
        <v>664</v>
      </c>
      <c r="E3138" s="209">
        <v>565.61</v>
      </c>
      <c r="F3138" s="209">
        <v>242.98</v>
      </c>
      <c r="G3138" s="209">
        <v>808.59</v>
      </c>
      <c r="H3138" s="198"/>
    </row>
    <row r="3139" spans="1:8" ht="15.75" hidden="1" customHeight="1" x14ac:dyDescent="0.25">
      <c r="A3139" s="205" t="s">
        <v>3760</v>
      </c>
      <c r="B3139" s="206">
        <v>96558</v>
      </c>
      <c r="C3139" s="207" t="s">
        <v>3777</v>
      </c>
      <c r="D3139" s="208" t="s">
        <v>664</v>
      </c>
      <c r="E3139" s="209">
        <v>665.96</v>
      </c>
      <c r="F3139" s="209">
        <v>33.43</v>
      </c>
      <c r="G3139" s="209">
        <v>699.39</v>
      </c>
      <c r="H3139" s="198"/>
    </row>
    <row r="3140" spans="1:8" ht="15.75" hidden="1" customHeight="1" x14ac:dyDescent="0.25">
      <c r="A3140" s="205" t="s">
        <v>3760</v>
      </c>
      <c r="B3140" s="206">
        <v>96556</v>
      </c>
      <c r="C3140" s="207" t="s">
        <v>3778</v>
      </c>
      <c r="D3140" s="208" t="s">
        <v>664</v>
      </c>
      <c r="E3140" s="209">
        <v>600.64</v>
      </c>
      <c r="F3140" s="209">
        <v>336.09</v>
      </c>
      <c r="G3140" s="209">
        <v>936.73</v>
      </c>
      <c r="H3140" s="198"/>
    </row>
    <row r="3141" spans="1:8" ht="15.75" hidden="1" customHeight="1" x14ac:dyDescent="0.25">
      <c r="A3141" s="205" t="s">
        <v>3760</v>
      </c>
      <c r="B3141" s="206">
        <v>96523</v>
      </c>
      <c r="C3141" s="207" t="s">
        <v>3779</v>
      </c>
      <c r="D3141" s="208" t="s">
        <v>664</v>
      </c>
      <c r="E3141" s="209">
        <v>37.700000000000003</v>
      </c>
      <c r="F3141" s="209">
        <v>87.69</v>
      </c>
      <c r="G3141" s="209">
        <v>125.39</v>
      </c>
      <c r="H3141" s="198"/>
    </row>
    <row r="3142" spans="1:8" ht="15.75" hidden="1" customHeight="1" x14ac:dyDescent="0.25">
      <c r="A3142" s="205" t="s">
        <v>3760</v>
      </c>
      <c r="B3142" s="206">
        <v>96522</v>
      </c>
      <c r="C3142" s="207" t="s">
        <v>3780</v>
      </c>
      <c r="D3142" s="208" t="s">
        <v>664</v>
      </c>
      <c r="E3142" s="209">
        <v>56.43</v>
      </c>
      <c r="F3142" s="209">
        <v>133.18</v>
      </c>
      <c r="G3142" s="209">
        <v>189.61</v>
      </c>
      <c r="H3142" s="198"/>
    </row>
    <row r="3143" spans="1:8" ht="15.75" hidden="1" customHeight="1" x14ac:dyDescent="0.25">
      <c r="A3143" s="205" t="s">
        <v>3760</v>
      </c>
      <c r="B3143" s="206">
        <v>96527</v>
      </c>
      <c r="C3143" s="207" t="s">
        <v>3781</v>
      </c>
      <c r="D3143" s="208" t="s">
        <v>664</v>
      </c>
      <c r="E3143" s="209">
        <v>41.61</v>
      </c>
      <c r="F3143" s="209">
        <v>96.35</v>
      </c>
      <c r="G3143" s="209">
        <v>137.96</v>
      </c>
      <c r="H3143" s="198"/>
    </row>
    <row r="3144" spans="1:8" ht="15.75" hidden="1" customHeight="1" x14ac:dyDescent="0.25">
      <c r="A3144" s="205" t="s">
        <v>3760</v>
      </c>
      <c r="B3144" s="206">
        <v>96526</v>
      </c>
      <c r="C3144" s="207" t="s">
        <v>3782</v>
      </c>
      <c r="D3144" s="208" t="s">
        <v>664</v>
      </c>
      <c r="E3144" s="209">
        <v>80.010000000000005</v>
      </c>
      <c r="F3144" s="209">
        <v>191.29</v>
      </c>
      <c r="G3144" s="209">
        <v>271.3</v>
      </c>
      <c r="H3144" s="198"/>
    </row>
    <row r="3145" spans="1:8" ht="15.75" hidden="1" customHeight="1" x14ac:dyDescent="0.25">
      <c r="A3145" s="205" t="s">
        <v>3760</v>
      </c>
      <c r="B3145" s="206">
        <v>96521</v>
      </c>
      <c r="C3145" s="207" t="s">
        <v>3783</v>
      </c>
      <c r="D3145" s="208" t="s">
        <v>664</v>
      </c>
      <c r="E3145" s="209">
        <v>33.04</v>
      </c>
      <c r="F3145" s="209">
        <v>14.23</v>
      </c>
      <c r="G3145" s="209">
        <v>47.27</v>
      </c>
      <c r="H3145" s="198"/>
    </row>
    <row r="3146" spans="1:8" ht="15.75" hidden="1" customHeight="1" x14ac:dyDescent="0.25">
      <c r="A3146" s="205" t="s">
        <v>3760</v>
      </c>
      <c r="B3146" s="206">
        <v>96520</v>
      </c>
      <c r="C3146" s="207" t="s">
        <v>3784</v>
      </c>
      <c r="D3146" s="208" t="s">
        <v>664</v>
      </c>
      <c r="E3146" s="209">
        <v>57.57</v>
      </c>
      <c r="F3146" s="209">
        <v>53.58</v>
      </c>
      <c r="G3146" s="209">
        <v>111.15</v>
      </c>
      <c r="H3146" s="198"/>
    </row>
    <row r="3147" spans="1:8" ht="15.75" hidden="1" customHeight="1" x14ac:dyDescent="0.25">
      <c r="A3147" s="205" t="s">
        <v>3760</v>
      </c>
      <c r="B3147" s="206">
        <v>96525</v>
      </c>
      <c r="C3147" s="207" t="s">
        <v>3785</v>
      </c>
      <c r="D3147" s="208" t="s">
        <v>664</v>
      </c>
      <c r="E3147" s="209">
        <v>41.26</v>
      </c>
      <c r="F3147" s="209">
        <v>18.84</v>
      </c>
      <c r="G3147" s="209">
        <v>60.1</v>
      </c>
      <c r="H3147" s="198"/>
    </row>
    <row r="3148" spans="1:8" ht="15.75" hidden="1" customHeight="1" x14ac:dyDescent="0.25">
      <c r="A3148" s="205" t="s">
        <v>3760</v>
      </c>
      <c r="B3148" s="206">
        <v>96524</v>
      </c>
      <c r="C3148" s="207" t="s">
        <v>3786</v>
      </c>
      <c r="D3148" s="208" t="s">
        <v>664</v>
      </c>
      <c r="E3148" s="209">
        <v>85</v>
      </c>
      <c r="F3148" s="209">
        <v>99.54</v>
      </c>
      <c r="G3148" s="209">
        <v>184.54</v>
      </c>
      <c r="H3148" s="198"/>
    </row>
    <row r="3149" spans="1:8" ht="15.75" hidden="1" customHeight="1" x14ac:dyDescent="0.25">
      <c r="A3149" s="205" t="s">
        <v>3760</v>
      </c>
      <c r="B3149" s="206">
        <v>96537</v>
      </c>
      <c r="C3149" s="207" t="s">
        <v>3787</v>
      </c>
      <c r="D3149" s="208" t="s">
        <v>578</v>
      </c>
      <c r="E3149" s="209">
        <v>104.98</v>
      </c>
      <c r="F3149" s="209">
        <v>94.36</v>
      </c>
      <c r="G3149" s="209">
        <v>199.34</v>
      </c>
      <c r="H3149" s="198"/>
    </row>
    <row r="3150" spans="1:8" ht="15.75" hidden="1" customHeight="1" x14ac:dyDescent="0.25">
      <c r="A3150" s="205" t="s">
        <v>3760</v>
      </c>
      <c r="B3150" s="206">
        <v>96540</v>
      </c>
      <c r="C3150" s="207" t="s">
        <v>3788</v>
      </c>
      <c r="D3150" s="208" t="s">
        <v>578</v>
      </c>
      <c r="E3150" s="209">
        <v>66.88</v>
      </c>
      <c r="F3150" s="209">
        <v>80.42</v>
      </c>
      <c r="G3150" s="209">
        <v>147.30000000000001</v>
      </c>
      <c r="H3150" s="198"/>
    </row>
    <row r="3151" spans="1:8" ht="15.75" hidden="1" customHeight="1" x14ac:dyDescent="0.25">
      <c r="A3151" s="205" t="s">
        <v>3760</v>
      </c>
      <c r="B3151" s="206">
        <v>96528</v>
      </c>
      <c r="C3151" s="207" t="s">
        <v>3789</v>
      </c>
      <c r="D3151" s="208" t="s">
        <v>578</v>
      </c>
      <c r="E3151" s="209">
        <v>99.11</v>
      </c>
      <c r="F3151" s="209">
        <v>62.93</v>
      </c>
      <c r="G3151" s="209">
        <v>162.04</v>
      </c>
      <c r="H3151" s="198"/>
    </row>
    <row r="3152" spans="1:8" ht="15.75" hidden="1" customHeight="1" x14ac:dyDescent="0.25">
      <c r="A3152" s="205" t="s">
        <v>3760</v>
      </c>
      <c r="B3152" s="206">
        <v>96531</v>
      </c>
      <c r="C3152" s="207" t="s">
        <v>3790</v>
      </c>
      <c r="D3152" s="208" t="s">
        <v>578</v>
      </c>
      <c r="E3152" s="209">
        <v>59.64</v>
      </c>
      <c r="F3152" s="209">
        <v>54.65</v>
      </c>
      <c r="G3152" s="209">
        <v>114.29</v>
      </c>
      <c r="H3152" s="198"/>
    </row>
    <row r="3153" spans="1:8" ht="15.75" hidden="1" customHeight="1" x14ac:dyDescent="0.25">
      <c r="A3153" s="205" t="s">
        <v>3760</v>
      </c>
      <c r="B3153" s="206">
        <v>96534</v>
      </c>
      <c r="C3153" s="207" t="s">
        <v>3791</v>
      </c>
      <c r="D3153" s="208" t="s">
        <v>578</v>
      </c>
      <c r="E3153" s="209">
        <v>39.1</v>
      </c>
      <c r="F3153" s="209">
        <v>50.32</v>
      </c>
      <c r="G3153" s="209">
        <v>89.42</v>
      </c>
      <c r="H3153" s="198"/>
    </row>
    <row r="3154" spans="1:8" ht="15.75" hidden="1" customHeight="1" x14ac:dyDescent="0.25">
      <c r="A3154" s="205" t="s">
        <v>3760</v>
      </c>
      <c r="B3154" s="206">
        <v>104928</v>
      </c>
      <c r="C3154" s="207" t="s">
        <v>3792</v>
      </c>
      <c r="D3154" s="208" t="s">
        <v>578</v>
      </c>
      <c r="E3154" s="209">
        <v>81.06</v>
      </c>
      <c r="F3154" s="209">
        <v>83.99</v>
      </c>
      <c r="G3154" s="209">
        <v>165.05</v>
      </c>
      <c r="H3154" s="198"/>
    </row>
    <row r="3155" spans="1:8" ht="15.75" hidden="1" customHeight="1" x14ac:dyDescent="0.25">
      <c r="A3155" s="205" t="s">
        <v>3760</v>
      </c>
      <c r="B3155" s="206">
        <v>104929</v>
      </c>
      <c r="C3155" s="207" t="s">
        <v>3793</v>
      </c>
      <c r="D3155" s="208" t="s">
        <v>578</v>
      </c>
      <c r="E3155" s="209">
        <v>46.82</v>
      </c>
      <c r="F3155" s="209">
        <v>56.12</v>
      </c>
      <c r="G3155" s="209">
        <v>102.94</v>
      </c>
      <c r="H3155" s="198"/>
    </row>
    <row r="3156" spans="1:8" ht="15.75" hidden="1" customHeight="1" x14ac:dyDescent="0.25">
      <c r="A3156" s="205" t="s">
        <v>3760</v>
      </c>
      <c r="B3156" s="206">
        <v>104925</v>
      </c>
      <c r="C3156" s="207" t="s">
        <v>3794</v>
      </c>
      <c r="D3156" s="208" t="s">
        <v>578</v>
      </c>
      <c r="E3156" s="209">
        <v>104.01</v>
      </c>
      <c r="F3156" s="209">
        <v>59.13</v>
      </c>
      <c r="G3156" s="209">
        <v>163.13999999999999</v>
      </c>
      <c r="H3156" s="198"/>
    </row>
    <row r="3157" spans="1:8" ht="15.75" hidden="1" customHeight="1" x14ac:dyDescent="0.25">
      <c r="A3157" s="205" t="s">
        <v>3760</v>
      </c>
      <c r="B3157" s="206">
        <v>104926</v>
      </c>
      <c r="C3157" s="207" t="s">
        <v>3795</v>
      </c>
      <c r="D3157" s="208" t="s">
        <v>578</v>
      </c>
      <c r="E3157" s="209">
        <v>61.16</v>
      </c>
      <c r="F3157" s="209">
        <v>48.24</v>
      </c>
      <c r="G3157" s="209">
        <v>109.4</v>
      </c>
      <c r="H3157" s="198"/>
    </row>
    <row r="3158" spans="1:8" ht="15.75" hidden="1" customHeight="1" x14ac:dyDescent="0.25">
      <c r="A3158" s="205" t="s">
        <v>3760</v>
      </c>
      <c r="B3158" s="206">
        <v>104927</v>
      </c>
      <c r="C3158" s="207" t="s">
        <v>3796</v>
      </c>
      <c r="D3158" s="208" t="s">
        <v>578</v>
      </c>
      <c r="E3158" s="209">
        <v>38.82</v>
      </c>
      <c r="F3158" s="209">
        <v>42.61</v>
      </c>
      <c r="G3158" s="209">
        <v>81.430000000000007</v>
      </c>
      <c r="H3158" s="198"/>
    </row>
    <row r="3159" spans="1:8" ht="15.75" hidden="1" customHeight="1" x14ac:dyDescent="0.25">
      <c r="A3159" s="205" t="s">
        <v>3760</v>
      </c>
      <c r="B3159" s="206">
        <v>96538</v>
      </c>
      <c r="C3159" s="207" t="s">
        <v>3797</v>
      </c>
      <c r="D3159" s="208" t="s">
        <v>578</v>
      </c>
      <c r="E3159" s="209">
        <v>122.61</v>
      </c>
      <c r="F3159" s="209">
        <v>157.57</v>
      </c>
      <c r="G3159" s="209">
        <v>280.18</v>
      </c>
      <c r="H3159" s="198"/>
    </row>
    <row r="3160" spans="1:8" ht="15.75" hidden="1" customHeight="1" x14ac:dyDescent="0.25">
      <c r="A3160" s="205" t="s">
        <v>3760</v>
      </c>
      <c r="B3160" s="206">
        <v>96541</v>
      </c>
      <c r="C3160" s="207" t="s">
        <v>3798</v>
      </c>
      <c r="D3160" s="208" t="s">
        <v>578</v>
      </c>
      <c r="E3160" s="209">
        <v>82.78</v>
      </c>
      <c r="F3160" s="209">
        <v>130.11000000000001</v>
      </c>
      <c r="G3160" s="209">
        <v>212.89</v>
      </c>
      <c r="H3160" s="198"/>
    </row>
    <row r="3161" spans="1:8" ht="15.75" hidden="1" customHeight="1" x14ac:dyDescent="0.25">
      <c r="A3161" s="205" t="s">
        <v>3760</v>
      </c>
      <c r="B3161" s="206">
        <v>96529</v>
      </c>
      <c r="C3161" s="207" t="s">
        <v>3799</v>
      </c>
      <c r="D3161" s="208" t="s">
        <v>578</v>
      </c>
      <c r="E3161" s="209">
        <v>139.34</v>
      </c>
      <c r="F3161" s="209">
        <v>145.37</v>
      </c>
      <c r="G3161" s="209">
        <v>284.70999999999998</v>
      </c>
      <c r="H3161" s="198"/>
    </row>
    <row r="3162" spans="1:8" ht="15.75" hidden="1" customHeight="1" x14ac:dyDescent="0.25">
      <c r="A3162" s="205" t="s">
        <v>3760</v>
      </c>
      <c r="B3162" s="206">
        <v>96532</v>
      </c>
      <c r="C3162" s="207" t="s">
        <v>3800</v>
      </c>
      <c r="D3162" s="208" t="s">
        <v>578</v>
      </c>
      <c r="E3162" s="209">
        <v>86.62</v>
      </c>
      <c r="F3162" s="209">
        <v>113.98</v>
      </c>
      <c r="G3162" s="209">
        <v>200.6</v>
      </c>
      <c r="H3162" s="198"/>
    </row>
    <row r="3163" spans="1:8" ht="15.75" hidden="1" customHeight="1" x14ac:dyDescent="0.25">
      <c r="A3163" s="205" t="s">
        <v>3760</v>
      </c>
      <c r="B3163" s="206">
        <v>96535</v>
      </c>
      <c r="C3163" s="207" t="s">
        <v>3801</v>
      </c>
      <c r="D3163" s="208" t="s">
        <v>578</v>
      </c>
      <c r="E3163" s="209">
        <v>59.21</v>
      </c>
      <c r="F3163" s="209">
        <v>97.63</v>
      </c>
      <c r="G3163" s="209">
        <v>156.84</v>
      </c>
      <c r="H3163" s="198"/>
    </row>
    <row r="3164" spans="1:8" ht="15.75" hidden="1" customHeight="1" x14ac:dyDescent="0.25">
      <c r="A3164" s="205" t="s">
        <v>3760</v>
      </c>
      <c r="B3164" s="206">
        <v>96539</v>
      </c>
      <c r="C3164" s="207" t="s">
        <v>3802</v>
      </c>
      <c r="D3164" s="208" t="s">
        <v>578</v>
      </c>
      <c r="E3164" s="209">
        <v>71.89</v>
      </c>
      <c r="F3164" s="209">
        <v>72.02</v>
      </c>
      <c r="G3164" s="209">
        <v>143.91</v>
      </c>
      <c r="H3164" s="198"/>
    </row>
    <row r="3165" spans="1:8" ht="15.75" hidden="1" customHeight="1" x14ac:dyDescent="0.25">
      <c r="A3165" s="205" t="s">
        <v>3760</v>
      </c>
      <c r="B3165" s="206">
        <v>96542</v>
      </c>
      <c r="C3165" s="207" t="s">
        <v>3803</v>
      </c>
      <c r="D3165" s="208" t="s">
        <v>578</v>
      </c>
      <c r="E3165" s="209">
        <v>47.63</v>
      </c>
      <c r="F3165" s="209">
        <v>64.239999999999995</v>
      </c>
      <c r="G3165" s="209">
        <v>111.87</v>
      </c>
      <c r="H3165" s="198"/>
    </row>
    <row r="3166" spans="1:8" ht="15.75" hidden="1" customHeight="1" x14ac:dyDescent="0.25">
      <c r="A3166" s="205" t="s">
        <v>3760</v>
      </c>
      <c r="B3166" s="206">
        <v>96530</v>
      </c>
      <c r="C3166" s="207" t="s">
        <v>3804</v>
      </c>
      <c r="D3166" s="208" t="s">
        <v>578</v>
      </c>
      <c r="E3166" s="209">
        <v>91.49</v>
      </c>
      <c r="F3166" s="209">
        <v>55.31</v>
      </c>
      <c r="G3166" s="209">
        <v>146.80000000000001</v>
      </c>
      <c r="H3166" s="198"/>
    </row>
    <row r="3167" spans="1:8" ht="15.75" hidden="1" customHeight="1" x14ac:dyDescent="0.25">
      <c r="A3167" s="205" t="s">
        <v>3760</v>
      </c>
      <c r="B3167" s="206">
        <v>96533</v>
      </c>
      <c r="C3167" s="207" t="s">
        <v>3805</v>
      </c>
      <c r="D3167" s="208" t="s">
        <v>578</v>
      </c>
      <c r="E3167" s="209">
        <v>54.35</v>
      </c>
      <c r="F3167" s="209">
        <v>46.29</v>
      </c>
      <c r="G3167" s="209">
        <v>100.64</v>
      </c>
      <c r="H3167" s="198"/>
    </row>
    <row r="3168" spans="1:8" ht="15.75" hidden="1" customHeight="1" x14ac:dyDescent="0.25">
      <c r="A3168" s="205" t="s">
        <v>3760</v>
      </c>
      <c r="B3168" s="206">
        <v>96536</v>
      </c>
      <c r="C3168" s="207" t="s">
        <v>3806</v>
      </c>
      <c r="D3168" s="208" t="s">
        <v>578</v>
      </c>
      <c r="E3168" s="209">
        <v>35.03</v>
      </c>
      <c r="F3168" s="209">
        <v>41.54</v>
      </c>
      <c r="G3168" s="209">
        <v>76.569999999999993</v>
      </c>
      <c r="H3168" s="198"/>
    </row>
    <row r="3169" spans="1:8" ht="15.75" hidden="1" customHeight="1" x14ac:dyDescent="0.25">
      <c r="A3169" s="205" t="s">
        <v>3807</v>
      </c>
      <c r="B3169" s="206">
        <v>101793</v>
      </c>
      <c r="C3169" s="207" t="s">
        <v>3808</v>
      </c>
      <c r="D3169" s="208" t="s">
        <v>664</v>
      </c>
      <c r="E3169" s="209">
        <v>17.23</v>
      </c>
      <c r="F3169" s="209">
        <v>10.130000000000001</v>
      </c>
      <c r="G3169" s="209">
        <v>27.36</v>
      </c>
      <c r="H3169" s="198"/>
    </row>
    <row r="3170" spans="1:8" ht="15.75" hidden="1" customHeight="1" x14ac:dyDescent="0.25">
      <c r="A3170" s="205" t="s">
        <v>3807</v>
      </c>
      <c r="B3170" s="206">
        <v>101792</v>
      </c>
      <c r="C3170" s="207" t="s">
        <v>3809</v>
      </c>
      <c r="D3170" s="208" t="s">
        <v>664</v>
      </c>
      <c r="E3170" s="209">
        <v>11.18</v>
      </c>
      <c r="F3170" s="209">
        <v>7.49</v>
      </c>
      <c r="G3170" s="209">
        <v>18.670000000000002</v>
      </c>
      <c r="H3170" s="198"/>
    </row>
    <row r="3171" spans="1:8" ht="15.75" hidden="1" customHeight="1" x14ac:dyDescent="0.25">
      <c r="A3171" s="205" t="s">
        <v>3807</v>
      </c>
      <c r="B3171" s="206">
        <v>92272</v>
      </c>
      <c r="C3171" s="207" t="s">
        <v>3810</v>
      </c>
      <c r="D3171" s="208" t="s">
        <v>585</v>
      </c>
      <c r="E3171" s="209">
        <v>28.72</v>
      </c>
      <c r="F3171" s="209">
        <v>5.88</v>
      </c>
      <c r="G3171" s="209">
        <v>34.6</v>
      </c>
      <c r="H3171" s="198"/>
    </row>
    <row r="3172" spans="1:8" ht="15.75" hidden="1" customHeight="1" x14ac:dyDescent="0.25">
      <c r="A3172" s="205" t="s">
        <v>3807</v>
      </c>
      <c r="B3172" s="206">
        <v>101791</v>
      </c>
      <c r="C3172" s="207" t="s">
        <v>3811</v>
      </c>
      <c r="D3172" s="208" t="s">
        <v>585</v>
      </c>
      <c r="E3172" s="209">
        <v>20.97</v>
      </c>
      <c r="F3172" s="209">
        <v>2.1800000000000002</v>
      </c>
      <c r="G3172" s="209">
        <v>23.15</v>
      </c>
      <c r="H3172" s="198"/>
    </row>
    <row r="3173" spans="1:8" ht="15.75" hidden="1" customHeight="1" x14ac:dyDescent="0.25">
      <c r="A3173" s="205" t="s">
        <v>3807</v>
      </c>
      <c r="B3173" s="206">
        <v>92273</v>
      </c>
      <c r="C3173" s="207" t="s">
        <v>3812</v>
      </c>
      <c r="D3173" s="208" t="s">
        <v>585</v>
      </c>
      <c r="E3173" s="209">
        <v>10.84</v>
      </c>
      <c r="F3173" s="209">
        <v>3.91</v>
      </c>
      <c r="G3173" s="209">
        <v>14.75</v>
      </c>
      <c r="H3173" s="198"/>
    </row>
    <row r="3174" spans="1:8" ht="15.75" hidden="1" customHeight="1" x14ac:dyDescent="0.25">
      <c r="A3174" s="205" t="s">
        <v>3807</v>
      </c>
      <c r="B3174" s="206">
        <v>92268</v>
      </c>
      <c r="C3174" s="207" t="s">
        <v>3813</v>
      </c>
      <c r="D3174" s="208" t="s">
        <v>578</v>
      </c>
      <c r="E3174" s="209">
        <v>79.03</v>
      </c>
      <c r="F3174" s="209">
        <v>0.95</v>
      </c>
      <c r="G3174" s="209">
        <v>79.98</v>
      </c>
      <c r="H3174" s="198"/>
    </row>
    <row r="3175" spans="1:8" ht="15.75" hidden="1" customHeight="1" x14ac:dyDescent="0.25">
      <c r="A3175" s="205" t="s">
        <v>3807</v>
      </c>
      <c r="B3175" s="206">
        <v>92267</v>
      </c>
      <c r="C3175" s="207" t="s">
        <v>3814</v>
      </c>
      <c r="D3175" s="208" t="s">
        <v>578</v>
      </c>
      <c r="E3175" s="209">
        <v>46.8</v>
      </c>
      <c r="F3175" s="209">
        <v>0.95</v>
      </c>
      <c r="G3175" s="209">
        <v>47.75</v>
      </c>
      <c r="H3175" s="198"/>
    </row>
    <row r="3176" spans="1:8" ht="15.75" hidden="1" customHeight="1" x14ac:dyDescent="0.25">
      <c r="A3176" s="205" t="s">
        <v>3807</v>
      </c>
      <c r="B3176" s="206">
        <v>92271</v>
      </c>
      <c r="C3176" s="207" t="s">
        <v>3815</v>
      </c>
      <c r="D3176" s="208" t="s">
        <v>578</v>
      </c>
      <c r="E3176" s="209">
        <v>122.51</v>
      </c>
      <c r="F3176" s="209">
        <v>0.49</v>
      </c>
      <c r="G3176" s="209">
        <v>123</v>
      </c>
      <c r="H3176" s="198"/>
    </row>
    <row r="3177" spans="1:8" ht="15.75" hidden="1" customHeight="1" x14ac:dyDescent="0.25">
      <c r="A3177" s="205" t="s">
        <v>3807</v>
      </c>
      <c r="B3177" s="206">
        <v>92264</v>
      </c>
      <c r="C3177" s="207" t="s">
        <v>3816</v>
      </c>
      <c r="D3177" s="208" t="s">
        <v>578</v>
      </c>
      <c r="E3177" s="209">
        <v>157.77000000000001</v>
      </c>
      <c r="F3177" s="209">
        <v>46.09</v>
      </c>
      <c r="G3177" s="209">
        <v>203.86</v>
      </c>
      <c r="H3177" s="198"/>
    </row>
    <row r="3178" spans="1:8" ht="15.75" hidden="1" customHeight="1" x14ac:dyDescent="0.25">
      <c r="A3178" s="205" t="s">
        <v>3807</v>
      </c>
      <c r="B3178" s="206">
        <v>92263</v>
      </c>
      <c r="C3178" s="207" t="s">
        <v>3817</v>
      </c>
      <c r="D3178" s="208" t="s">
        <v>578</v>
      </c>
      <c r="E3178" s="209">
        <v>116.77</v>
      </c>
      <c r="F3178" s="209">
        <v>46.08</v>
      </c>
      <c r="G3178" s="209">
        <v>162.85</v>
      </c>
      <c r="H3178" s="198"/>
    </row>
    <row r="3179" spans="1:8" ht="15.75" hidden="1" customHeight="1" x14ac:dyDescent="0.25">
      <c r="A3179" s="205" t="s">
        <v>3807</v>
      </c>
      <c r="B3179" s="206">
        <v>92269</v>
      </c>
      <c r="C3179" s="207" t="s">
        <v>3818</v>
      </c>
      <c r="D3179" s="208" t="s">
        <v>578</v>
      </c>
      <c r="E3179" s="209">
        <v>96.84</v>
      </c>
      <c r="F3179" s="209">
        <v>26.35</v>
      </c>
      <c r="G3179" s="209">
        <v>123.19</v>
      </c>
      <c r="H3179" s="198"/>
    </row>
    <row r="3180" spans="1:8" ht="15.75" hidden="1" customHeight="1" x14ac:dyDescent="0.25">
      <c r="A3180" s="205" t="s">
        <v>3807</v>
      </c>
      <c r="B3180" s="206">
        <v>92270</v>
      </c>
      <c r="C3180" s="207" t="s">
        <v>3819</v>
      </c>
      <c r="D3180" s="208" t="s">
        <v>578</v>
      </c>
      <c r="E3180" s="209">
        <v>164.7</v>
      </c>
      <c r="F3180" s="209">
        <v>32.94</v>
      </c>
      <c r="G3180" s="209">
        <v>197.64</v>
      </c>
      <c r="H3180" s="198"/>
    </row>
    <row r="3181" spans="1:8" ht="15.75" hidden="1" customHeight="1" x14ac:dyDescent="0.25">
      <c r="A3181" s="205" t="s">
        <v>3807</v>
      </c>
      <c r="B3181" s="206">
        <v>92266</v>
      </c>
      <c r="C3181" s="207" t="s">
        <v>3820</v>
      </c>
      <c r="D3181" s="208" t="s">
        <v>578</v>
      </c>
      <c r="E3181" s="209">
        <v>119.06</v>
      </c>
      <c r="F3181" s="209">
        <v>36.869999999999997</v>
      </c>
      <c r="G3181" s="209">
        <v>155.93</v>
      </c>
      <c r="H3181" s="198"/>
    </row>
    <row r="3182" spans="1:8" ht="15.75" hidden="1" customHeight="1" x14ac:dyDescent="0.25">
      <c r="A3182" s="205" t="s">
        <v>3807</v>
      </c>
      <c r="B3182" s="206">
        <v>92265</v>
      </c>
      <c r="C3182" s="207" t="s">
        <v>3821</v>
      </c>
      <c r="D3182" s="208" t="s">
        <v>578</v>
      </c>
      <c r="E3182" s="209">
        <v>83.88</v>
      </c>
      <c r="F3182" s="209">
        <v>36.869999999999997</v>
      </c>
      <c r="G3182" s="209">
        <v>120.75</v>
      </c>
      <c r="H3182" s="198"/>
    </row>
    <row r="3183" spans="1:8" ht="15.75" hidden="1" customHeight="1" x14ac:dyDescent="0.25">
      <c r="A3183" s="205" t="s">
        <v>3807</v>
      </c>
      <c r="B3183" s="206">
        <v>92524</v>
      </c>
      <c r="C3183" s="207" t="s">
        <v>3822</v>
      </c>
      <c r="D3183" s="208" t="s">
        <v>578</v>
      </c>
      <c r="E3183" s="209">
        <v>59.87</v>
      </c>
      <c r="F3183" s="209">
        <v>27.2</v>
      </c>
      <c r="G3183" s="209">
        <v>87.07</v>
      </c>
      <c r="H3183" s="198"/>
    </row>
    <row r="3184" spans="1:8" ht="15.75" hidden="1" customHeight="1" x14ac:dyDescent="0.25">
      <c r="A3184" s="205" t="s">
        <v>3807</v>
      </c>
      <c r="B3184" s="206">
        <v>92528</v>
      </c>
      <c r="C3184" s="207" t="s">
        <v>3823</v>
      </c>
      <c r="D3184" s="208" t="s">
        <v>578</v>
      </c>
      <c r="E3184" s="209">
        <v>58.05</v>
      </c>
      <c r="F3184" s="209">
        <v>25.13</v>
      </c>
      <c r="G3184" s="209">
        <v>83.18</v>
      </c>
      <c r="H3184" s="198"/>
    </row>
    <row r="3185" spans="1:8" ht="15.75" hidden="1" customHeight="1" x14ac:dyDescent="0.25">
      <c r="A3185" s="205" t="s">
        <v>3807</v>
      </c>
      <c r="B3185" s="206">
        <v>92532</v>
      </c>
      <c r="C3185" s="207" t="s">
        <v>3824</v>
      </c>
      <c r="D3185" s="208" t="s">
        <v>578</v>
      </c>
      <c r="E3185" s="209">
        <v>56.54</v>
      </c>
      <c r="F3185" s="209">
        <v>23.25</v>
      </c>
      <c r="G3185" s="209">
        <v>79.790000000000006</v>
      </c>
      <c r="H3185" s="198"/>
    </row>
    <row r="3186" spans="1:8" ht="15.75" hidden="1" customHeight="1" x14ac:dyDescent="0.25">
      <c r="A3186" s="205" t="s">
        <v>3807</v>
      </c>
      <c r="B3186" s="206">
        <v>92536</v>
      </c>
      <c r="C3186" s="207" t="s">
        <v>3825</v>
      </c>
      <c r="D3186" s="208" t="s">
        <v>578</v>
      </c>
      <c r="E3186" s="209">
        <v>53.46</v>
      </c>
      <c r="F3186" s="209">
        <v>19.86</v>
      </c>
      <c r="G3186" s="209">
        <v>73.319999999999993</v>
      </c>
      <c r="H3186" s="198"/>
    </row>
    <row r="3187" spans="1:8" ht="15.75" hidden="1" customHeight="1" x14ac:dyDescent="0.25">
      <c r="A3187" s="205" t="s">
        <v>3807</v>
      </c>
      <c r="B3187" s="206">
        <v>92508</v>
      </c>
      <c r="C3187" s="207" t="s">
        <v>3826</v>
      </c>
      <c r="D3187" s="208" t="s">
        <v>578</v>
      </c>
      <c r="E3187" s="209">
        <v>79.59</v>
      </c>
      <c r="F3187" s="209">
        <v>37.619999999999997</v>
      </c>
      <c r="G3187" s="209">
        <v>117.21</v>
      </c>
      <c r="H3187" s="198"/>
    </row>
    <row r="3188" spans="1:8" ht="15.75" hidden="1" customHeight="1" x14ac:dyDescent="0.25">
      <c r="A3188" s="205" t="s">
        <v>3807</v>
      </c>
      <c r="B3188" s="206">
        <v>92512</v>
      </c>
      <c r="C3188" s="207" t="s">
        <v>3827</v>
      </c>
      <c r="D3188" s="208" t="s">
        <v>578</v>
      </c>
      <c r="E3188" s="209">
        <v>67.58</v>
      </c>
      <c r="F3188" s="209">
        <v>34.61</v>
      </c>
      <c r="G3188" s="209">
        <v>102.19</v>
      </c>
      <c r="H3188" s="198"/>
    </row>
    <row r="3189" spans="1:8" ht="15.75" hidden="1" customHeight="1" x14ac:dyDescent="0.25">
      <c r="A3189" s="205" t="s">
        <v>3807</v>
      </c>
      <c r="B3189" s="206">
        <v>92515</v>
      </c>
      <c r="C3189" s="207" t="s">
        <v>3828</v>
      </c>
      <c r="D3189" s="208" t="s">
        <v>578</v>
      </c>
      <c r="E3189" s="209">
        <v>62.21</v>
      </c>
      <c r="F3189" s="209">
        <v>31.92</v>
      </c>
      <c r="G3189" s="209">
        <v>94.13</v>
      </c>
      <c r="H3189" s="198"/>
    </row>
    <row r="3190" spans="1:8" ht="15.75" hidden="1" customHeight="1" x14ac:dyDescent="0.25">
      <c r="A3190" s="205" t="s">
        <v>3807</v>
      </c>
      <c r="B3190" s="206">
        <v>92520</v>
      </c>
      <c r="C3190" s="207" t="s">
        <v>3829</v>
      </c>
      <c r="D3190" s="208" t="s">
        <v>578</v>
      </c>
      <c r="E3190" s="209">
        <v>59.04</v>
      </c>
      <c r="F3190" s="209">
        <v>29.48</v>
      </c>
      <c r="G3190" s="209">
        <v>88.52</v>
      </c>
      <c r="H3190" s="198"/>
    </row>
    <row r="3191" spans="1:8" ht="15.75" hidden="1" customHeight="1" x14ac:dyDescent="0.25">
      <c r="A3191" s="205" t="s">
        <v>3807</v>
      </c>
      <c r="B3191" s="206">
        <v>92526</v>
      </c>
      <c r="C3191" s="207" t="s">
        <v>3830</v>
      </c>
      <c r="D3191" s="208" t="s">
        <v>578</v>
      </c>
      <c r="E3191" s="209">
        <v>30.8</v>
      </c>
      <c r="F3191" s="209">
        <v>15.77</v>
      </c>
      <c r="G3191" s="209">
        <v>46.57</v>
      </c>
      <c r="H3191" s="198"/>
    </row>
    <row r="3192" spans="1:8" ht="15.75" hidden="1" customHeight="1" x14ac:dyDescent="0.25">
      <c r="A3192" s="205" t="s">
        <v>3807</v>
      </c>
      <c r="B3192" s="206">
        <v>92530</v>
      </c>
      <c r="C3192" s="207" t="s">
        <v>3831</v>
      </c>
      <c r="D3192" s="208" t="s">
        <v>578</v>
      </c>
      <c r="E3192" s="209">
        <v>29.29</v>
      </c>
      <c r="F3192" s="209">
        <v>14.57</v>
      </c>
      <c r="G3192" s="209">
        <v>43.86</v>
      </c>
      <c r="H3192" s="198"/>
    </row>
    <row r="3193" spans="1:8" ht="15.75" hidden="1" customHeight="1" x14ac:dyDescent="0.25">
      <c r="A3193" s="205" t="s">
        <v>3807</v>
      </c>
      <c r="B3193" s="206">
        <v>92534</v>
      </c>
      <c r="C3193" s="207" t="s">
        <v>3832</v>
      </c>
      <c r="D3193" s="208" t="s">
        <v>578</v>
      </c>
      <c r="E3193" s="209">
        <v>28.03</v>
      </c>
      <c r="F3193" s="209">
        <v>13.49</v>
      </c>
      <c r="G3193" s="209">
        <v>41.52</v>
      </c>
      <c r="H3193" s="198"/>
    </row>
    <row r="3194" spans="1:8" ht="15.75" hidden="1" customHeight="1" x14ac:dyDescent="0.25">
      <c r="A3194" s="205" t="s">
        <v>3807</v>
      </c>
      <c r="B3194" s="206">
        <v>92538</v>
      </c>
      <c r="C3194" s="207" t="s">
        <v>3833</v>
      </c>
      <c r="D3194" s="208" t="s">
        <v>578</v>
      </c>
      <c r="E3194" s="209">
        <v>25.46</v>
      </c>
      <c r="F3194" s="209">
        <v>11.49</v>
      </c>
      <c r="G3194" s="209">
        <v>36.950000000000003</v>
      </c>
      <c r="H3194" s="198"/>
    </row>
    <row r="3195" spans="1:8" ht="15.75" hidden="1" customHeight="1" x14ac:dyDescent="0.25">
      <c r="A3195" s="205" t="s">
        <v>3807</v>
      </c>
      <c r="B3195" s="206">
        <v>103760</v>
      </c>
      <c r="C3195" s="207" t="s">
        <v>3834</v>
      </c>
      <c r="D3195" s="208" t="s">
        <v>578</v>
      </c>
      <c r="E3195" s="209">
        <v>93.07</v>
      </c>
      <c r="F3195" s="209">
        <v>35.65</v>
      </c>
      <c r="G3195" s="209">
        <v>128.72</v>
      </c>
      <c r="H3195" s="198"/>
    </row>
    <row r="3196" spans="1:8" ht="15.75" hidden="1" customHeight="1" x14ac:dyDescent="0.25">
      <c r="A3196" s="205" t="s">
        <v>3807</v>
      </c>
      <c r="B3196" s="206">
        <v>103761</v>
      </c>
      <c r="C3196" s="207" t="s">
        <v>3835</v>
      </c>
      <c r="D3196" s="208" t="s">
        <v>578</v>
      </c>
      <c r="E3196" s="209">
        <v>55.94</v>
      </c>
      <c r="F3196" s="209">
        <v>32.880000000000003</v>
      </c>
      <c r="G3196" s="209">
        <v>88.82</v>
      </c>
      <c r="H3196" s="198"/>
    </row>
    <row r="3197" spans="1:8" ht="15.75" hidden="1" customHeight="1" x14ac:dyDescent="0.25">
      <c r="A3197" s="205" t="s">
        <v>3807</v>
      </c>
      <c r="B3197" s="206">
        <v>103762</v>
      </c>
      <c r="C3197" s="207" t="s">
        <v>3836</v>
      </c>
      <c r="D3197" s="208" t="s">
        <v>578</v>
      </c>
      <c r="E3197" s="209">
        <v>46.44</v>
      </c>
      <c r="F3197" s="209">
        <v>30.22</v>
      </c>
      <c r="G3197" s="209">
        <v>76.66</v>
      </c>
      <c r="H3197" s="198"/>
    </row>
    <row r="3198" spans="1:8" ht="15.75" hidden="1" customHeight="1" x14ac:dyDescent="0.25">
      <c r="A3198" s="205" t="s">
        <v>3807</v>
      </c>
      <c r="B3198" s="206">
        <v>103763</v>
      </c>
      <c r="C3198" s="207" t="s">
        <v>3837</v>
      </c>
      <c r="D3198" s="208" t="s">
        <v>578</v>
      </c>
      <c r="E3198" s="209">
        <v>39.869999999999997</v>
      </c>
      <c r="F3198" s="209">
        <v>27.99</v>
      </c>
      <c r="G3198" s="209">
        <v>67.86</v>
      </c>
      <c r="H3198" s="198"/>
    </row>
    <row r="3199" spans="1:8" ht="15.75" hidden="1" customHeight="1" x14ac:dyDescent="0.25">
      <c r="A3199" s="205" t="s">
        <v>3807</v>
      </c>
      <c r="B3199" s="206">
        <v>92510</v>
      </c>
      <c r="C3199" s="207" t="s">
        <v>3838</v>
      </c>
      <c r="D3199" s="208" t="s">
        <v>578</v>
      </c>
      <c r="E3199" s="209">
        <v>49.09</v>
      </c>
      <c r="F3199" s="209">
        <v>21.97</v>
      </c>
      <c r="G3199" s="209">
        <v>71.06</v>
      </c>
      <c r="H3199" s="198"/>
    </row>
    <row r="3200" spans="1:8" ht="15.75" hidden="1" customHeight="1" x14ac:dyDescent="0.25">
      <c r="A3200" s="205" t="s">
        <v>3807</v>
      </c>
      <c r="B3200" s="206">
        <v>92514</v>
      </c>
      <c r="C3200" s="207" t="s">
        <v>3839</v>
      </c>
      <c r="D3200" s="208" t="s">
        <v>578</v>
      </c>
      <c r="E3200" s="209">
        <v>37.47</v>
      </c>
      <c r="F3200" s="209">
        <v>20.12</v>
      </c>
      <c r="G3200" s="209">
        <v>57.59</v>
      </c>
      <c r="H3200" s="198"/>
    </row>
    <row r="3201" spans="1:8" ht="15.75" hidden="1" customHeight="1" x14ac:dyDescent="0.25">
      <c r="A3201" s="205" t="s">
        <v>3807</v>
      </c>
      <c r="B3201" s="206">
        <v>92518</v>
      </c>
      <c r="C3201" s="207" t="s">
        <v>3840</v>
      </c>
      <c r="D3201" s="208" t="s">
        <v>578</v>
      </c>
      <c r="E3201" s="209">
        <v>32.450000000000003</v>
      </c>
      <c r="F3201" s="209">
        <v>18.559999999999999</v>
      </c>
      <c r="G3201" s="209">
        <v>51.01</v>
      </c>
      <c r="H3201" s="198"/>
    </row>
    <row r="3202" spans="1:8" ht="15.75" hidden="1" customHeight="1" x14ac:dyDescent="0.25">
      <c r="A3202" s="205" t="s">
        <v>3807</v>
      </c>
      <c r="B3202" s="206">
        <v>92522</v>
      </c>
      <c r="C3202" s="207" t="s">
        <v>3841</v>
      </c>
      <c r="D3202" s="208" t="s">
        <v>578</v>
      </c>
      <c r="E3202" s="209">
        <v>29.65</v>
      </c>
      <c r="F3202" s="209">
        <v>17.11</v>
      </c>
      <c r="G3202" s="209">
        <v>46.76</v>
      </c>
      <c r="H3202" s="198"/>
    </row>
    <row r="3203" spans="1:8" ht="15.75" hidden="1" customHeight="1" x14ac:dyDescent="0.25">
      <c r="A3203" s="205" t="s">
        <v>3807</v>
      </c>
      <c r="B3203" s="206">
        <v>92482</v>
      </c>
      <c r="C3203" s="207" t="s">
        <v>3842</v>
      </c>
      <c r="D3203" s="208" t="s">
        <v>578</v>
      </c>
      <c r="E3203" s="209">
        <v>267.17</v>
      </c>
      <c r="F3203" s="209">
        <v>129.99</v>
      </c>
      <c r="G3203" s="209">
        <v>397.16</v>
      </c>
      <c r="H3203" s="198"/>
    </row>
    <row r="3204" spans="1:8" ht="15.75" hidden="1" customHeight="1" x14ac:dyDescent="0.25">
      <c r="A3204" s="205" t="s">
        <v>3807</v>
      </c>
      <c r="B3204" s="206">
        <v>92484</v>
      </c>
      <c r="C3204" s="207" t="s">
        <v>3843</v>
      </c>
      <c r="D3204" s="208" t="s">
        <v>578</v>
      </c>
      <c r="E3204" s="209">
        <v>169.09</v>
      </c>
      <c r="F3204" s="209">
        <v>107.46</v>
      </c>
      <c r="G3204" s="209">
        <v>276.55</v>
      </c>
      <c r="H3204" s="198"/>
    </row>
    <row r="3205" spans="1:8" ht="15.75" hidden="1" customHeight="1" x14ac:dyDescent="0.25">
      <c r="A3205" s="205" t="s">
        <v>3807</v>
      </c>
      <c r="B3205" s="206">
        <v>92486</v>
      </c>
      <c r="C3205" s="207" t="s">
        <v>3844</v>
      </c>
      <c r="D3205" s="208" t="s">
        <v>578</v>
      </c>
      <c r="E3205" s="209">
        <v>110.14</v>
      </c>
      <c r="F3205" s="209">
        <v>88.8</v>
      </c>
      <c r="G3205" s="209">
        <v>198.94</v>
      </c>
      <c r="H3205" s="198"/>
    </row>
    <row r="3206" spans="1:8" ht="15.75" hidden="1" customHeight="1" x14ac:dyDescent="0.25">
      <c r="A3206" s="205" t="s">
        <v>3807</v>
      </c>
      <c r="B3206" s="206">
        <v>92492</v>
      </c>
      <c r="C3206" s="207" t="s">
        <v>3845</v>
      </c>
      <c r="D3206" s="208" t="s">
        <v>578</v>
      </c>
      <c r="E3206" s="209">
        <v>75.83</v>
      </c>
      <c r="F3206" s="209">
        <v>44.61</v>
      </c>
      <c r="G3206" s="209">
        <v>120.44</v>
      </c>
      <c r="H3206" s="198"/>
    </row>
    <row r="3207" spans="1:8" ht="15.75" hidden="1" customHeight="1" x14ac:dyDescent="0.25">
      <c r="A3207" s="205" t="s">
        <v>3807</v>
      </c>
      <c r="B3207" s="206">
        <v>92496</v>
      </c>
      <c r="C3207" s="207" t="s">
        <v>3846</v>
      </c>
      <c r="D3207" s="208" t="s">
        <v>578</v>
      </c>
      <c r="E3207" s="209">
        <v>73.52</v>
      </c>
      <c r="F3207" s="209">
        <v>41.25</v>
      </c>
      <c r="G3207" s="209">
        <v>114.77</v>
      </c>
      <c r="H3207" s="198"/>
    </row>
    <row r="3208" spans="1:8" ht="15.75" hidden="1" customHeight="1" x14ac:dyDescent="0.25">
      <c r="A3208" s="205" t="s">
        <v>3807</v>
      </c>
      <c r="B3208" s="206">
        <v>92500</v>
      </c>
      <c r="C3208" s="207" t="s">
        <v>3847</v>
      </c>
      <c r="D3208" s="208" t="s">
        <v>578</v>
      </c>
      <c r="E3208" s="209">
        <v>71.94</v>
      </c>
      <c r="F3208" s="209">
        <v>38.1</v>
      </c>
      <c r="G3208" s="209">
        <v>110.04</v>
      </c>
      <c r="H3208" s="198"/>
    </row>
    <row r="3209" spans="1:8" ht="15.75" hidden="1" customHeight="1" x14ac:dyDescent="0.25">
      <c r="A3209" s="205" t="s">
        <v>3807</v>
      </c>
      <c r="B3209" s="206">
        <v>92504</v>
      </c>
      <c r="C3209" s="207" t="s">
        <v>3848</v>
      </c>
      <c r="D3209" s="208" t="s">
        <v>578</v>
      </c>
      <c r="E3209" s="209">
        <v>68.91</v>
      </c>
      <c r="F3209" s="209">
        <v>32.57</v>
      </c>
      <c r="G3209" s="209">
        <v>101.48</v>
      </c>
      <c r="H3209" s="198"/>
    </row>
    <row r="3210" spans="1:8" ht="15.75" hidden="1" customHeight="1" x14ac:dyDescent="0.25">
      <c r="A3210" s="205" t="s">
        <v>3807</v>
      </c>
      <c r="B3210" s="206">
        <v>92488</v>
      </c>
      <c r="C3210" s="207" t="s">
        <v>3849</v>
      </c>
      <c r="D3210" s="208" t="s">
        <v>578</v>
      </c>
      <c r="E3210" s="209">
        <v>78.77</v>
      </c>
      <c r="F3210" s="209">
        <v>48.31</v>
      </c>
      <c r="G3210" s="209">
        <v>127.08</v>
      </c>
      <c r="H3210" s="198"/>
    </row>
    <row r="3211" spans="1:8" ht="15.75" hidden="1" customHeight="1" x14ac:dyDescent="0.25">
      <c r="A3211" s="205" t="s">
        <v>3807</v>
      </c>
      <c r="B3211" s="206">
        <v>92494</v>
      </c>
      <c r="C3211" s="207" t="s">
        <v>3850</v>
      </c>
      <c r="D3211" s="208" t="s">
        <v>578</v>
      </c>
      <c r="E3211" s="209">
        <v>46.32</v>
      </c>
      <c r="F3211" s="209">
        <v>31.92</v>
      </c>
      <c r="G3211" s="209">
        <v>78.239999999999995</v>
      </c>
      <c r="H3211" s="198"/>
    </row>
    <row r="3212" spans="1:8" ht="15.75" hidden="1" customHeight="1" x14ac:dyDescent="0.25">
      <c r="A3212" s="205" t="s">
        <v>3807</v>
      </c>
      <c r="B3212" s="206">
        <v>92498</v>
      </c>
      <c r="C3212" s="207" t="s">
        <v>3851</v>
      </c>
      <c r="D3212" s="208" t="s">
        <v>578</v>
      </c>
      <c r="E3212" s="209">
        <v>44.35</v>
      </c>
      <c r="F3212" s="209">
        <v>29.48</v>
      </c>
      <c r="G3212" s="209">
        <v>73.83</v>
      </c>
      <c r="H3212" s="198"/>
    </row>
    <row r="3213" spans="1:8" ht="15.75" hidden="1" customHeight="1" x14ac:dyDescent="0.25">
      <c r="A3213" s="205" t="s">
        <v>3807</v>
      </c>
      <c r="B3213" s="206">
        <v>92502</v>
      </c>
      <c r="C3213" s="207" t="s">
        <v>3852</v>
      </c>
      <c r="D3213" s="208" t="s">
        <v>578</v>
      </c>
      <c r="E3213" s="209">
        <v>43.06</v>
      </c>
      <c r="F3213" s="209">
        <v>27.24</v>
      </c>
      <c r="G3213" s="209">
        <v>70.3</v>
      </c>
      <c r="H3213" s="198"/>
    </row>
    <row r="3214" spans="1:8" ht="15.75" hidden="1" customHeight="1" x14ac:dyDescent="0.25">
      <c r="A3214" s="205" t="s">
        <v>3807</v>
      </c>
      <c r="B3214" s="206">
        <v>92506</v>
      </c>
      <c r="C3214" s="207" t="s">
        <v>3853</v>
      </c>
      <c r="D3214" s="208" t="s">
        <v>578</v>
      </c>
      <c r="E3214" s="209">
        <v>40.58</v>
      </c>
      <c r="F3214" s="209">
        <v>23.25</v>
      </c>
      <c r="G3214" s="209">
        <v>63.83</v>
      </c>
      <c r="H3214" s="198"/>
    </row>
    <row r="3215" spans="1:8" ht="15.75" hidden="1" customHeight="1" x14ac:dyDescent="0.25">
      <c r="A3215" s="205" t="s">
        <v>3807</v>
      </c>
      <c r="B3215" s="206">
        <v>92490</v>
      </c>
      <c r="C3215" s="207" t="s">
        <v>3854</v>
      </c>
      <c r="D3215" s="208" t="s">
        <v>578</v>
      </c>
      <c r="E3215" s="209">
        <v>48.89</v>
      </c>
      <c r="F3215" s="209">
        <v>34.54</v>
      </c>
      <c r="G3215" s="209">
        <v>83.43</v>
      </c>
      <c r="H3215" s="198"/>
    </row>
    <row r="3216" spans="1:8" ht="15.75" hidden="1" customHeight="1" x14ac:dyDescent="0.25">
      <c r="A3216" s="205" t="s">
        <v>3807</v>
      </c>
      <c r="B3216" s="206">
        <v>92433</v>
      </c>
      <c r="C3216" s="207" t="s">
        <v>3855</v>
      </c>
      <c r="D3216" s="208" t="s">
        <v>578</v>
      </c>
      <c r="E3216" s="209">
        <v>48.1</v>
      </c>
      <c r="F3216" s="209">
        <v>38.770000000000003</v>
      </c>
      <c r="G3216" s="209">
        <v>86.87</v>
      </c>
      <c r="H3216" s="198"/>
    </row>
    <row r="3217" spans="1:8" ht="15.75" hidden="1" customHeight="1" x14ac:dyDescent="0.25">
      <c r="A3217" s="205" t="s">
        <v>3807</v>
      </c>
      <c r="B3217" s="206">
        <v>92437</v>
      </c>
      <c r="C3217" s="207" t="s">
        <v>3856</v>
      </c>
      <c r="D3217" s="208" t="s">
        <v>578</v>
      </c>
      <c r="E3217" s="209">
        <v>45.97</v>
      </c>
      <c r="F3217" s="209">
        <v>37.1</v>
      </c>
      <c r="G3217" s="209">
        <v>83.07</v>
      </c>
      <c r="H3217" s="198"/>
    </row>
    <row r="3218" spans="1:8" ht="15.75" hidden="1" customHeight="1" x14ac:dyDescent="0.25">
      <c r="A3218" s="205" t="s">
        <v>3807</v>
      </c>
      <c r="B3218" s="206">
        <v>92441</v>
      </c>
      <c r="C3218" s="207" t="s">
        <v>3857</v>
      </c>
      <c r="D3218" s="208" t="s">
        <v>578</v>
      </c>
      <c r="E3218" s="209">
        <v>44.42</v>
      </c>
      <c r="F3218" s="209">
        <v>35.92</v>
      </c>
      <c r="G3218" s="209">
        <v>80.34</v>
      </c>
      <c r="H3218" s="198"/>
    </row>
    <row r="3219" spans="1:8" ht="15.75" hidden="1" customHeight="1" x14ac:dyDescent="0.25">
      <c r="A3219" s="205" t="s">
        <v>3807</v>
      </c>
      <c r="B3219" s="206">
        <v>92445</v>
      </c>
      <c r="C3219" s="207" t="s">
        <v>3858</v>
      </c>
      <c r="D3219" s="208" t="s">
        <v>578</v>
      </c>
      <c r="E3219" s="209">
        <v>41.03</v>
      </c>
      <c r="F3219" s="209">
        <v>33.909999999999997</v>
      </c>
      <c r="G3219" s="209">
        <v>74.94</v>
      </c>
      <c r="H3219" s="198"/>
    </row>
    <row r="3220" spans="1:8" ht="15.75" hidden="1" customHeight="1" x14ac:dyDescent="0.25">
      <c r="A3220" s="205" t="s">
        <v>3807</v>
      </c>
      <c r="B3220" s="206">
        <v>92417</v>
      </c>
      <c r="C3220" s="207" t="s">
        <v>3859</v>
      </c>
      <c r="D3220" s="208" t="s">
        <v>578</v>
      </c>
      <c r="E3220" s="209">
        <v>101.06</v>
      </c>
      <c r="F3220" s="209">
        <v>82.01</v>
      </c>
      <c r="G3220" s="209">
        <v>183.07</v>
      </c>
      <c r="H3220" s="198"/>
    </row>
    <row r="3221" spans="1:8" ht="15.75" hidden="1" customHeight="1" x14ac:dyDescent="0.25">
      <c r="A3221" s="205" t="s">
        <v>3807</v>
      </c>
      <c r="B3221" s="206">
        <v>92421</v>
      </c>
      <c r="C3221" s="207" t="s">
        <v>3860</v>
      </c>
      <c r="D3221" s="208" t="s">
        <v>578</v>
      </c>
      <c r="E3221" s="209">
        <v>65.88</v>
      </c>
      <c r="F3221" s="209">
        <v>56.56</v>
      </c>
      <c r="G3221" s="209">
        <v>122.44</v>
      </c>
      <c r="H3221" s="198"/>
    </row>
    <row r="3222" spans="1:8" ht="15.75" hidden="1" customHeight="1" x14ac:dyDescent="0.25">
      <c r="A3222" s="205" t="s">
        <v>3807</v>
      </c>
      <c r="B3222" s="206">
        <v>92425</v>
      </c>
      <c r="C3222" s="207" t="s">
        <v>3861</v>
      </c>
      <c r="D3222" s="208" t="s">
        <v>578</v>
      </c>
      <c r="E3222" s="209">
        <v>55.11</v>
      </c>
      <c r="F3222" s="209">
        <v>47.28</v>
      </c>
      <c r="G3222" s="209">
        <v>102.39</v>
      </c>
      <c r="H3222" s="198"/>
    </row>
    <row r="3223" spans="1:8" ht="15.75" hidden="1" customHeight="1" x14ac:dyDescent="0.25">
      <c r="A3223" s="205" t="s">
        <v>3807</v>
      </c>
      <c r="B3223" s="206">
        <v>92429</v>
      </c>
      <c r="C3223" s="207" t="s">
        <v>3862</v>
      </c>
      <c r="D3223" s="208" t="s">
        <v>578</v>
      </c>
      <c r="E3223" s="209">
        <v>49.67</v>
      </c>
      <c r="F3223" s="209">
        <v>42.63</v>
      </c>
      <c r="G3223" s="209">
        <v>92.3</v>
      </c>
      <c r="H3223" s="198"/>
    </row>
    <row r="3224" spans="1:8" ht="15.75" hidden="1" customHeight="1" x14ac:dyDescent="0.25">
      <c r="A3224" s="205" t="s">
        <v>3807</v>
      </c>
      <c r="B3224" s="206">
        <v>92431</v>
      </c>
      <c r="C3224" s="207" t="s">
        <v>3863</v>
      </c>
      <c r="D3224" s="208" t="s">
        <v>578</v>
      </c>
      <c r="E3224" s="209">
        <v>43.52</v>
      </c>
      <c r="F3224" s="209">
        <v>25.45</v>
      </c>
      <c r="G3224" s="209">
        <v>68.97</v>
      </c>
      <c r="H3224" s="198"/>
    </row>
    <row r="3225" spans="1:8" ht="15.75" hidden="1" customHeight="1" x14ac:dyDescent="0.25">
      <c r="A3225" s="205" t="s">
        <v>3807</v>
      </c>
      <c r="B3225" s="206">
        <v>92435</v>
      </c>
      <c r="C3225" s="207" t="s">
        <v>3864</v>
      </c>
      <c r="D3225" s="208" t="s">
        <v>578</v>
      </c>
      <c r="E3225" s="209">
        <v>41.53</v>
      </c>
      <c r="F3225" s="209">
        <v>24.24</v>
      </c>
      <c r="G3225" s="209">
        <v>65.77</v>
      </c>
      <c r="H3225" s="198"/>
    </row>
    <row r="3226" spans="1:8" ht="15.75" hidden="1" customHeight="1" x14ac:dyDescent="0.25">
      <c r="A3226" s="205" t="s">
        <v>3807</v>
      </c>
      <c r="B3226" s="206">
        <v>92439</v>
      </c>
      <c r="C3226" s="207" t="s">
        <v>3865</v>
      </c>
      <c r="D3226" s="208" t="s">
        <v>578</v>
      </c>
      <c r="E3226" s="209">
        <v>40.090000000000003</v>
      </c>
      <c r="F3226" s="209">
        <v>23.37</v>
      </c>
      <c r="G3226" s="209">
        <v>63.46</v>
      </c>
      <c r="H3226" s="198"/>
    </row>
    <row r="3227" spans="1:8" ht="15.75" hidden="1" customHeight="1" x14ac:dyDescent="0.25">
      <c r="A3227" s="205" t="s">
        <v>3807</v>
      </c>
      <c r="B3227" s="206">
        <v>92443</v>
      </c>
      <c r="C3227" s="207" t="s">
        <v>3866</v>
      </c>
      <c r="D3227" s="208" t="s">
        <v>578</v>
      </c>
      <c r="E3227" s="209">
        <v>36.86</v>
      </c>
      <c r="F3227" s="209">
        <v>21.8</v>
      </c>
      <c r="G3227" s="209">
        <v>58.66</v>
      </c>
      <c r="H3227" s="198"/>
    </row>
    <row r="3228" spans="1:8" ht="15.75" hidden="1" customHeight="1" x14ac:dyDescent="0.25">
      <c r="A3228" s="205" t="s">
        <v>3807</v>
      </c>
      <c r="B3228" s="206">
        <v>92415</v>
      </c>
      <c r="C3228" s="207" t="s">
        <v>3867</v>
      </c>
      <c r="D3228" s="208" t="s">
        <v>578</v>
      </c>
      <c r="E3228" s="209">
        <v>93.25</v>
      </c>
      <c r="F3228" s="209">
        <v>59.31</v>
      </c>
      <c r="G3228" s="209">
        <v>152.56</v>
      </c>
      <c r="H3228" s="198"/>
    </row>
    <row r="3229" spans="1:8" ht="15.75" hidden="1" customHeight="1" x14ac:dyDescent="0.25">
      <c r="A3229" s="205" t="s">
        <v>3807</v>
      </c>
      <c r="B3229" s="206">
        <v>92419</v>
      </c>
      <c r="C3229" s="207" t="s">
        <v>3868</v>
      </c>
      <c r="D3229" s="208" t="s">
        <v>578</v>
      </c>
      <c r="E3229" s="209">
        <v>59.88</v>
      </c>
      <c r="F3229" s="209">
        <v>39.159999999999997</v>
      </c>
      <c r="G3229" s="209">
        <v>99.04</v>
      </c>
      <c r="H3229" s="198"/>
    </row>
    <row r="3230" spans="1:8" ht="15.75" hidden="1" customHeight="1" x14ac:dyDescent="0.25">
      <c r="A3230" s="205" t="s">
        <v>3807</v>
      </c>
      <c r="B3230" s="206">
        <v>92423</v>
      </c>
      <c r="C3230" s="207" t="s">
        <v>3869</v>
      </c>
      <c r="D3230" s="208" t="s">
        <v>578</v>
      </c>
      <c r="E3230" s="209">
        <v>49.92</v>
      </c>
      <c r="F3230" s="209">
        <v>32.130000000000003</v>
      </c>
      <c r="G3230" s="209">
        <v>82.05</v>
      </c>
      <c r="H3230" s="198"/>
    </row>
    <row r="3231" spans="1:8" ht="15.75" hidden="1" customHeight="1" x14ac:dyDescent="0.25">
      <c r="A3231" s="205" t="s">
        <v>3807</v>
      </c>
      <c r="B3231" s="206">
        <v>92427</v>
      </c>
      <c r="C3231" s="207" t="s">
        <v>3870</v>
      </c>
      <c r="D3231" s="208" t="s">
        <v>578</v>
      </c>
      <c r="E3231" s="209">
        <v>44.87</v>
      </c>
      <c r="F3231" s="209">
        <v>28.58</v>
      </c>
      <c r="G3231" s="209">
        <v>73.45</v>
      </c>
      <c r="H3231" s="198"/>
    </row>
    <row r="3232" spans="1:8" ht="15.75" hidden="1" customHeight="1" x14ac:dyDescent="0.25">
      <c r="A3232" s="205" t="s">
        <v>3807</v>
      </c>
      <c r="B3232" s="206">
        <v>92409</v>
      </c>
      <c r="C3232" s="207" t="s">
        <v>3871</v>
      </c>
      <c r="D3232" s="208" t="s">
        <v>578</v>
      </c>
      <c r="E3232" s="209">
        <v>131.83000000000001</v>
      </c>
      <c r="F3232" s="209">
        <v>121.24</v>
      </c>
      <c r="G3232" s="209">
        <v>253.07</v>
      </c>
      <c r="H3232" s="198"/>
    </row>
    <row r="3233" spans="1:8" ht="15.75" hidden="1" customHeight="1" x14ac:dyDescent="0.25">
      <c r="A3233" s="205" t="s">
        <v>3807</v>
      </c>
      <c r="B3233" s="206">
        <v>92411</v>
      </c>
      <c r="C3233" s="207" t="s">
        <v>3872</v>
      </c>
      <c r="D3233" s="208" t="s">
        <v>578</v>
      </c>
      <c r="E3233" s="209">
        <v>80.58</v>
      </c>
      <c r="F3233" s="209">
        <v>97.24</v>
      </c>
      <c r="G3233" s="209">
        <v>177.82</v>
      </c>
      <c r="H3233" s="198"/>
    </row>
    <row r="3234" spans="1:8" ht="15.75" hidden="1" customHeight="1" x14ac:dyDescent="0.25">
      <c r="A3234" s="205" t="s">
        <v>3807</v>
      </c>
      <c r="B3234" s="206">
        <v>92413</v>
      </c>
      <c r="C3234" s="207" t="s">
        <v>3873</v>
      </c>
      <c r="D3234" s="208" t="s">
        <v>578</v>
      </c>
      <c r="E3234" s="209">
        <v>49.27</v>
      </c>
      <c r="F3234" s="209">
        <v>71.3</v>
      </c>
      <c r="G3234" s="209">
        <v>120.57</v>
      </c>
      <c r="H3234" s="198"/>
    </row>
    <row r="3235" spans="1:8" ht="15.75" hidden="1" customHeight="1" x14ac:dyDescent="0.25">
      <c r="A3235" s="205" t="s">
        <v>3807</v>
      </c>
      <c r="B3235" s="206">
        <v>92465</v>
      </c>
      <c r="C3235" s="207" t="s">
        <v>3874</v>
      </c>
      <c r="D3235" s="208" t="s">
        <v>578</v>
      </c>
      <c r="E3235" s="209">
        <v>103.7</v>
      </c>
      <c r="F3235" s="209">
        <v>56.05</v>
      </c>
      <c r="G3235" s="209">
        <v>159.75</v>
      </c>
      <c r="H3235" s="198"/>
    </row>
    <row r="3236" spans="1:8" ht="15.75" hidden="1" customHeight="1" x14ac:dyDescent="0.25">
      <c r="A3236" s="205" t="s">
        <v>3807</v>
      </c>
      <c r="B3236" s="206">
        <v>92469</v>
      </c>
      <c r="C3236" s="207" t="s">
        <v>3875</v>
      </c>
      <c r="D3236" s="208" t="s">
        <v>578</v>
      </c>
      <c r="E3236" s="209">
        <v>94.57</v>
      </c>
      <c r="F3236" s="209">
        <v>51.27</v>
      </c>
      <c r="G3236" s="209">
        <v>145.84</v>
      </c>
      <c r="H3236" s="198"/>
    </row>
    <row r="3237" spans="1:8" ht="15.75" hidden="1" customHeight="1" x14ac:dyDescent="0.25">
      <c r="A3237" s="205" t="s">
        <v>3807</v>
      </c>
      <c r="B3237" s="206">
        <v>92473</v>
      </c>
      <c r="C3237" s="207" t="s">
        <v>3876</v>
      </c>
      <c r="D3237" s="208" t="s">
        <v>578</v>
      </c>
      <c r="E3237" s="209">
        <v>87.31</v>
      </c>
      <c r="F3237" s="209">
        <v>47.15</v>
      </c>
      <c r="G3237" s="209">
        <v>134.46</v>
      </c>
      <c r="H3237" s="198"/>
    </row>
    <row r="3238" spans="1:8" ht="15.75" hidden="1" customHeight="1" x14ac:dyDescent="0.25">
      <c r="A3238" s="205" t="s">
        <v>3807</v>
      </c>
      <c r="B3238" s="206">
        <v>92477</v>
      </c>
      <c r="C3238" s="207" t="s">
        <v>3877</v>
      </c>
      <c r="D3238" s="208" t="s">
        <v>578</v>
      </c>
      <c r="E3238" s="209">
        <v>71.33</v>
      </c>
      <c r="F3238" s="209">
        <v>39.17</v>
      </c>
      <c r="G3238" s="209">
        <v>110.5</v>
      </c>
      <c r="H3238" s="198"/>
    </row>
    <row r="3239" spans="1:8" ht="15.75" hidden="1" customHeight="1" x14ac:dyDescent="0.25">
      <c r="A3239" s="205" t="s">
        <v>3807</v>
      </c>
      <c r="B3239" s="206">
        <v>92449</v>
      </c>
      <c r="C3239" s="207" t="s">
        <v>3878</v>
      </c>
      <c r="D3239" s="208" t="s">
        <v>578</v>
      </c>
      <c r="E3239" s="209">
        <v>190.76</v>
      </c>
      <c r="F3239" s="209">
        <v>96.18</v>
      </c>
      <c r="G3239" s="209">
        <v>286.94</v>
      </c>
      <c r="H3239" s="198"/>
    </row>
    <row r="3240" spans="1:8" ht="15.75" hidden="1" customHeight="1" x14ac:dyDescent="0.25">
      <c r="A3240" s="205" t="s">
        <v>3807</v>
      </c>
      <c r="B3240" s="206">
        <v>92453</v>
      </c>
      <c r="C3240" s="207" t="s">
        <v>3879</v>
      </c>
      <c r="D3240" s="208" t="s">
        <v>578</v>
      </c>
      <c r="E3240" s="209">
        <v>162.01</v>
      </c>
      <c r="F3240" s="209">
        <v>83.41</v>
      </c>
      <c r="G3240" s="209">
        <v>245.42</v>
      </c>
      <c r="H3240" s="198"/>
    </row>
    <row r="3241" spans="1:8" ht="15.75" hidden="1" customHeight="1" x14ac:dyDescent="0.25">
      <c r="A3241" s="205" t="s">
        <v>3807</v>
      </c>
      <c r="B3241" s="206">
        <v>92457</v>
      </c>
      <c r="C3241" s="207" t="s">
        <v>3880</v>
      </c>
      <c r="D3241" s="208" t="s">
        <v>578</v>
      </c>
      <c r="E3241" s="209">
        <v>140.69999999999999</v>
      </c>
      <c r="F3241" s="209">
        <v>73.38</v>
      </c>
      <c r="G3241" s="209">
        <v>214.08</v>
      </c>
      <c r="H3241" s="198"/>
    </row>
    <row r="3242" spans="1:8" ht="15.75" hidden="1" customHeight="1" x14ac:dyDescent="0.25">
      <c r="A3242" s="205" t="s">
        <v>3807</v>
      </c>
      <c r="B3242" s="206">
        <v>92461</v>
      </c>
      <c r="C3242" s="207" t="s">
        <v>3881</v>
      </c>
      <c r="D3242" s="208" t="s">
        <v>578</v>
      </c>
      <c r="E3242" s="209">
        <v>130.49</v>
      </c>
      <c r="F3242" s="209">
        <v>66.98</v>
      </c>
      <c r="G3242" s="209">
        <v>197.47</v>
      </c>
      <c r="H3242" s="198"/>
    </row>
    <row r="3243" spans="1:8" ht="15.75" hidden="1" customHeight="1" x14ac:dyDescent="0.25">
      <c r="A3243" s="205" t="s">
        <v>3807</v>
      </c>
      <c r="B3243" s="206">
        <v>92467</v>
      </c>
      <c r="C3243" s="207" t="s">
        <v>3882</v>
      </c>
      <c r="D3243" s="208" t="s">
        <v>578</v>
      </c>
      <c r="E3243" s="209">
        <v>66.33</v>
      </c>
      <c r="F3243" s="209">
        <v>37.69</v>
      </c>
      <c r="G3243" s="209">
        <v>104.02</v>
      </c>
      <c r="H3243" s="198"/>
    </row>
    <row r="3244" spans="1:8" ht="15.75" hidden="1" customHeight="1" x14ac:dyDescent="0.25">
      <c r="A3244" s="205" t="s">
        <v>3807</v>
      </c>
      <c r="B3244" s="206">
        <v>92471</v>
      </c>
      <c r="C3244" s="207" t="s">
        <v>3883</v>
      </c>
      <c r="D3244" s="208" t="s">
        <v>578</v>
      </c>
      <c r="E3244" s="209">
        <v>60.57</v>
      </c>
      <c r="F3244" s="209">
        <v>34.51</v>
      </c>
      <c r="G3244" s="209">
        <v>95.08</v>
      </c>
      <c r="H3244" s="198"/>
    </row>
    <row r="3245" spans="1:8" ht="15.75" hidden="1" customHeight="1" x14ac:dyDescent="0.25">
      <c r="A3245" s="205" t="s">
        <v>3807</v>
      </c>
      <c r="B3245" s="206">
        <v>92475</v>
      </c>
      <c r="C3245" s="207" t="s">
        <v>3884</v>
      </c>
      <c r="D3245" s="208" t="s">
        <v>578</v>
      </c>
      <c r="E3245" s="209">
        <v>56</v>
      </c>
      <c r="F3245" s="209">
        <v>31.74</v>
      </c>
      <c r="G3245" s="209">
        <v>87.74</v>
      </c>
      <c r="H3245" s="198"/>
    </row>
    <row r="3246" spans="1:8" ht="15.75" hidden="1" customHeight="1" x14ac:dyDescent="0.25">
      <c r="A3246" s="205" t="s">
        <v>3807</v>
      </c>
      <c r="B3246" s="206">
        <v>92479</v>
      </c>
      <c r="C3246" s="207" t="s">
        <v>3885</v>
      </c>
      <c r="D3246" s="208" t="s">
        <v>578</v>
      </c>
      <c r="E3246" s="209">
        <v>45.93</v>
      </c>
      <c r="F3246" s="209">
        <v>26.34</v>
      </c>
      <c r="G3246" s="209">
        <v>72.27</v>
      </c>
      <c r="H3246" s="198"/>
    </row>
    <row r="3247" spans="1:8" ht="15.75" hidden="1" customHeight="1" x14ac:dyDescent="0.25">
      <c r="A3247" s="205" t="s">
        <v>3807</v>
      </c>
      <c r="B3247" s="206">
        <v>92451</v>
      </c>
      <c r="C3247" s="207" t="s">
        <v>3886</v>
      </c>
      <c r="D3247" s="208" t="s">
        <v>578</v>
      </c>
      <c r="E3247" s="209">
        <v>127.98</v>
      </c>
      <c r="F3247" s="209">
        <v>68.72</v>
      </c>
      <c r="G3247" s="209">
        <v>196.7</v>
      </c>
      <c r="H3247" s="198"/>
    </row>
    <row r="3248" spans="1:8" ht="15.75" hidden="1" customHeight="1" x14ac:dyDescent="0.25">
      <c r="A3248" s="205" t="s">
        <v>3807</v>
      </c>
      <c r="B3248" s="206">
        <v>92455</v>
      </c>
      <c r="C3248" s="207" t="s">
        <v>3887</v>
      </c>
      <c r="D3248" s="208" t="s">
        <v>578</v>
      </c>
      <c r="E3248" s="209">
        <v>103.63</v>
      </c>
      <c r="F3248" s="209">
        <v>57.75</v>
      </c>
      <c r="G3248" s="209">
        <v>161.38</v>
      </c>
      <c r="H3248" s="198"/>
    </row>
    <row r="3249" spans="1:8" ht="15.75" hidden="1" customHeight="1" x14ac:dyDescent="0.25">
      <c r="A3249" s="205" t="s">
        <v>3807</v>
      </c>
      <c r="B3249" s="206">
        <v>92459</v>
      </c>
      <c r="C3249" s="207" t="s">
        <v>3888</v>
      </c>
      <c r="D3249" s="208" t="s">
        <v>578</v>
      </c>
      <c r="E3249" s="209">
        <v>87.87</v>
      </c>
      <c r="F3249" s="209">
        <v>49.93</v>
      </c>
      <c r="G3249" s="209">
        <v>137.80000000000001</v>
      </c>
      <c r="H3249" s="198"/>
    </row>
    <row r="3250" spans="1:8" ht="15.75" hidden="1" customHeight="1" x14ac:dyDescent="0.25">
      <c r="A3250" s="205" t="s">
        <v>3807</v>
      </c>
      <c r="B3250" s="206">
        <v>92463</v>
      </c>
      <c r="C3250" s="207" t="s">
        <v>3889</v>
      </c>
      <c r="D3250" s="208" t="s">
        <v>578</v>
      </c>
      <c r="E3250" s="209">
        <v>79.989999999999995</v>
      </c>
      <c r="F3250" s="209">
        <v>45</v>
      </c>
      <c r="G3250" s="209">
        <v>124.99</v>
      </c>
      <c r="H3250" s="198"/>
    </row>
    <row r="3251" spans="1:8" ht="15.75" hidden="1" customHeight="1" x14ac:dyDescent="0.25">
      <c r="A3251" s="205" t="s">
        <v>3807</v>
      </c>
      <c r="B3251" s="206">
        <v>92446</v>
      </c>
      <c r="C3251" s="207" t="s">
        <v>3890</v>
      </c>
      <c r="D3251" s="208" t="s">
        <v>578</v>
      </c>
      <c r="E3251" s="209">
        <v>234.07</v>
      </c>
      <c r="F3251" s="209">
        <v>117.65</v>
      </c>
      <c r="G3251" s="209">
        <v>351.72</v>
      </c>
      <c r="H3251" s="198"/>
    </row>
    <row r="3252" spans="1:8" ht="15.75" hidden="1" customHeight="1" x14ac:dyDescent="0.25">
      <c r="A3252" s="205" t="s">
        <v>3807</v>
      </c>
      <c r="B3252" s="206">
        <v>92447</v>
      </c>
      <c r="C3252" s="207" t="s">
        <v>3891</v>
      </c>
      <c r="D3252" s="208" t="s">
        <v>578</v>
      </c>
      <c r="E3252" s="209">
        <v>154.30000000000001</v>
      </c>
      <c r="F3252" s="209">
        <v>90.65</v>
      </c>
      <c r="G3252" s="209">
        <v>244.95</v>
      </c>
      <c r="H3252" s="198"/>
    </row>
    <row r="3253" spans="1:8" ht="15.75" hidden="1" customHeight="1" x14ac:dyDescent="0.25">
      <c r="A3253" s="205" t="s">
        <v>3807</v>
      </c>
      <c r="B3253" s="206">
        <v>92448</v>
      </c>
      <c r="C3253" s="207" t="s">
        <v>3892</v>
      </c>
      <c r="D3253" s="208" t="s">
        <v>578</v>
      </c>
      <c r="E3253" s="209">
        <v>116.01</v>
      </c>
      <c r="F3253" s="209">
        <v>73.760000000000005</v>
      </c>
      <c r="G3253" s="209">
        <v>189.77</v>
      </c>
      <c r="H3253" s="198"/>
    </row>
    <row r="3254" spans="1:8" ht="15.75" hidden="1" customHeight="1" x14ac:dyDescent="0.25">
      <c r="A3254" s="205" t="s">
        <v>3807</v>
      </c>
      <c r="B3254" s="206">
        <v>92466</v>
      </c>
      <c r="C3254" s="207" t="s">
        <v>3893</v>
      </c>
      <c r="D3254" s="208" t="s">
        <v>578</v>
      </c>
      <c r="E3254" s="209">
        <v>220.22</v>
      </c>
      <c r="F3254" s="209">
        <v>59.78</v>
      </c>
      <c r="G3254" s="209">
        <v>280</v>
      </c>
      <c r="H3254" s="198"/>
    </row>
    <row r="3255" spans="1:8" ht="15.75" hidden="1" customHeight="1" x14ac:dyDescent="0.25">
      <c r="A3255" s="205" t="s">
        <v>3807</v>
      </c>
      <c r="B3255" s="206">
        <v>92470</v>
      </c>
      <c r="C3255" s="207" t="s">
        <v>3894</v>
      </c>
      <c r="D3255" s="208" t="s">
        <v>578</v>
      </c>
      <c r="E3255" s="209">
        <v>216.82</v>
      </c>
      <c r="F3255" s="209">
        <v>55.08</v>
      </c>
      <c r="G3255" s="209">
        <v>271.89999999999998</v>
      </c>
      <c r="H3255" s="198"/>
    </row>
    <row r="3256" spans="1:8" ht="15.75" hidden="1" customHeight="1" x14ac:dyDescent="0.25">
      <c r="A3256" s="205" t="s">
        <v>3807</v>
      </c>
      <c r="B3256" s="206">
        <v>92474</v>
      </c>
      <c r="C3256" s="207" t="s">
        <v>3895</v>
      </c>
      <c r="D3256" s="208" t="s">
        <v>578</v>
      </c>
      <c r="E3256" s="209">
        <v>213.98</v>
      </c>
      <c r="F3256" s="209">
        <v>50.87</v>
      </c>
      <c r="G3256" s="209">
        <v>264.85000000000002</v>
      </c>
      <c r="H3256" s="198"/>
    </row>
    <row r="3257" spans="1:8" ht="15.75" hidden="1" customHeight="1" x14ac:dyDescent="0.25">
      <c r="A3257" s="205" t="s">
        <v>3807</v>
      </c>
      <c r="B3257" s="206">
        <v>92478</v>
      </c>
      <c r="C3257" s="207" t="s">
        <v>3896</v>
      </c>
      <c r="D3257" s="208" t="s">
        <v>578</v>
      </c>
      <c r="E3257" s="209">
        <v>208.08</v>
      </c>
      <c r="F3257" s="209">
        <v>43.04</v>
      </c>
      <c r="G3257" s="209">
        <v>251.12</v>
      </c>
      <c r="H3257" s="198"/>
    </row>
    <row r="3258" spans="1:8" ht="15.75" hidden="1" customHeight="1" x14ac:dyDescent="0.25">
      <c r="A3258" s="205" t="s">
        <v>3807</v>
      </c>
      <c r="B3258" s="206">
        <v>92450</v>
      </c>
      <c r="C3258" s="207" t="s">
        <v>3897</v>
      </c>
      <c r="D3258" s="208" t="s">
        <v>578</v>
      </c>
      <c r="E3258" s="209">
        <v>259.93</v>
      </c>
      <c r="F3258" s="209">
        <v>96.67</v>
      </c>
      <c r="G3258" s="209">
        <v>356.6</v>
      </c>
      <c r="H3258" s="198"/>
    </row>
    <row r="3259" spans="1:8" ht="15.75" hidden="1" customHeight="1" x14ac:dyDescent="0.25">
      <c r="A3259" s="205" t="s">
        <v>3807</v>
      </c>
      <c r="B3259" s="206">
        <v>92454</v>
      </c>
      <c r="C3259" s="207" t="s">
        <v>3898</v>
      </c>
      <c r="D3259" s="208" t="s">
        <v>578</v>
      </c>
      <c r="E3259" s="209">
        <v>240.29</v>
      </c>
      <c r="F3259" s="209">
        <v>83.28</v>
      </c>
      <c r="G3259" s="209">
        <v>323.57</v>
      </c>
      <c r="H3259" s="198"/>
    </row>
    <row r="3260" spans="1:8" ht="15.75" hidden="1" customHeight="1" x14ac:dyDescent="0.25">
      <c r="A3260" s="205" t="s">
        <v>3807</v>
      </c>
      <c r="B3260" s="206">
        <v>92458</v>
      </c>
      <c r="C3260" s="207" t="s">
        <v>3899</v>
      </c>
      <c r="D3260" s="208" t="s">
        <v>578</v>
      </c>
      <c r="E3260" s="209">
        <v>228.69</v>
      </c>
      <c r="F3260" s="209">
        <v>73.8</v>
      </c>
      <c r="G3260" s="209">
        <v>302.49</v>
      </c>
      <c r="H3260" s="198"/>
    </row>
    <row r="3261" spans="1:8" ht="15.75" hidden="1" customHeight="1" x14ac:dyDescent="0.25">
      <c r="A3261" s="205" t="s">
        <v>3807</v>
      </c>
      <c r="B3261" s="206">
        <v>92462</v>
      </c>
      <c r="C3261" s="207" t="s">
        <v>3900</v>
      </c>
      <c r="D3261" s="208" t="s">
        <v>578</v>
      </c>
      <c r="E3261" s="209">
        <v>221.93</v>
      </c>
      <c r="F3261" s="209">
        <v>66.77</v>
      </c>
      <c r="G3261" s="209">
        <v>288.7</v>
      </c>
      <c r="H3261" s="198"/>
    </row>
    <row r="3262" spans="1:8" ht="15.75" hidden="1" customHeight="1" x14ac:dyDescent="0.25">
      <c r="A3262" s="205" t="s">
        <v>3807</v>
      </c>
      <c r="B3262" s="206">
        <v>92468</v>
      </c>
      <c r="C3262" s="207" t="s">
        <v>3901</v>
      </c>
      <c r="D3262" s="208" t="s">
        <v>578</v>
      </c>
      <c r="E3262" s="209">
        <v>85.86</v>
      </c>
      <c r="F3262" s="209">
        <v>46.38</v>
      </c>
      <c r="G3262" s="209">
        <v>132.24</v>
      </c>
      <c r="H3262" s="198"/>
    </row>
    <row r="3263" spans="1:8" ht="15.75" hidden="1" customHeight="1" x14ac:dyDescent="0.25">
      <c r="A3263" s="205" t="s">
        <v>3807</v>
      </c>
      <c r="B3263" s="206">
        <v>92472</v>
      </c>
      <c r="C3263" s="207" t="s">
        <v>3902</v>
      </c>
      <c r="D3263" s="208" t="s">
        <v>578</v>
      </c>
      <c r="E3263" s="209">
        <v>82.64</v>
      </c>
      <c r="F3263" s="209">
        <v>42.69</v>
      </c>
      <c r="G3263" s="209">
        <v>125.33</v>
      </c>
      <c r="H3263" s="198"/>
    </row>
    <row r="3264" spans="1:8" ht="15.75" hidden="1" customHeight="1" x14ac:dyDescent="0.25">
      <c r="A3264" s="205" t="s">
        <v>3807</v>
      </c>
      <c r="B3264" s="206">
        <v>92476</v>
      </c>
      <c r="C3264" s="207" t="s">
        <v>3903</v>
      </c>
      <c r="D3264" s="208" t="s">
        <v>578</v>
      </c>
      <c r="E3264" s="209">
        <v>80.010000000000005</v>
      </c>
      <c r="F3264" s="209">
        <v>39.39</v>
      </c>
      <c r="G3264" s="209">
        <v>119.4</v>
      </c>
      <c r="H3264" s="198"/>
    </row>
    <row r="3265" spans="1:8" ht="15.75" hidden="1" customHeight="1" x14ac:dyDescent="0.25">
      <c r="A3265" s="205" t="s">
        <v>3807</v>
      </c>
      <c r="B3265" s="206">
        <v>92480</v>
      </c>
      <c r="C3265" s="207" t="s">
        <v>3904</v>
      </c>
      <c r="D3265" s="208" t="s">
        <v>578</v>
      </c>
      <c r="E3265" s="209">
        <v>74.45</v>
      </c>
      <c r="F3265" s="209">
        <v>33.270000000000003</v>
      </c>
      <c r="G3265" s="209">
        <v>107.72</v>
      </c>
      <c r="H3265" s="198"/>
    </row>
    <row r="3266" spans="1:8" ht="15.75" hidden="1" customHeight="1" x14ac:dyDescent="0.25">
      <c r="A3266" s="205" t="s">
        <v>3807</v>
      </c>
      <c r="B3266" s="206">
        <v>92452</v>
      </c>
      <c r="C3266" s="207" t="s">
        <v>3905</v>
      </c>
      <c r="D3266" s="208" t="s">
        <v>578</v>
      </c>
      <c r="E3266" s="209">
        <v>127.49</v>
      </c>
      <c r="F3266" s="209">
        <v>78.3</v>
      </c>
      <c r="G3266" s="209">
        <v>205.79</v>
      </c>
      <c r="H3266" s="198"/>
    </row>
    <row r="3267" spans="1:8" ht="15.75" hidden="1" customHeight="1" x14ac:dyDescent="0.25">
      <c r="A3267" s="205" t="s">
        <v>3807</v>
      </c>
      <c r="B3267" s="206">
        <v>92456</v>
      </c>
      <c r="C3267" s="207" t="s">
        <v>3906</v>
      </c>
      <c r="D3267" s="208" t="s">
        <v>578</v>
      </c>
      <c r="E3267" s="209">
        <v>106.86</v>
      </c>
      <c r="F3267" s="209">
        <v>66.290000000000006</v>
      </c>
      <c r="G3267" s="209">
        <v>173.15</v>
      </c>
      <c r="H3267" s="198"/>
    </row>
    <row r="3268" spans="1:8" ht="15.75" hidden="1" customHeight="1" x14ac:dyDescent="0.25">
      <c r="A3268" s="205" t="s">
        <v>3807</v>
      </c>
      <c r="B3268" s="206">
        <v>92460</v>
      </c>
      <c r="C3268" s="207" t="s">
        <v>3907</v>
      </c>
      <c r="D3268" s="208" t="s">
        <v>578</v>
      </c>
      <c r="E3268" s="209">
        <v>88.73</v>
      </c>
      <c r="F3268" s="209">
        <v>58.11</v>
      </c>
      <c r="G3268" s="209">
        <v>146.84</v>
      </c>
      <c r="H3268" s="198"/>
    </row>
    <row r="3269" spans="1:8" ht="15.75" hidden="1" customHeight="1" x14ac:dyDescent="0.25">
      <c r="A3269" s="205" t="s">
        <v>3807</v>
      </c>
      <c r="B3269" s="206">
        <v>92464</v>
      </c>
      <c r="C3269" s="207" t="s">
        <v>3908</v>
      </c>
      <c r="D3269" s="208" t="s">
        <v>578</v>
      </c>
      <c r="E3269" s="209">
        <v>87.79</v>
      </c>
      <c r="F3269" s="209">
        <v>52.31</v>
      </c>
      <c r="G3269" s="209">
        <v>140.1</v>
      </c>
      <c r="H3269" s="198"/>
    </row>
    <row r="3270" spans="1:8" ht="15.75" hidden="1" customHeight="1" x14ac:dyDescent="0.25">
      <c r="A3270" s="205" t="s">
        <v>3909</v>
      </c>
      <c r="B3270" s="206">
        <v>105403</v>
      </c>
      <c r="C3270" s="207" t="s">
        <v>3910</v>
      </c>
      <c r="D3270" s="208" t="s">
        <v>578</v>
      </c>
      <c r="E3270" s="209">
        <v>146.26</v>
      </c>
      <c r="F3270" s="209">
        <v>26.47</v>
      </c>
      <c r="G3270" s="209">
        <v>172.73</v>
      </c>
      <c r="H3270" s="198"/>
    </row>
    <row r="3271" spans="1:8" ht="15.75" hidden="1" customHeight="1" x14ac:dyDescent="0.25">
      <c r="A3271" s="205" t="s">
        <v>3909</v>
      </c>
      <c r="B3271" s="206">
        <v>96252</v>
      </c>
      <c r="C3271" s="207" t="s">
        <v>3911</v>
      </c>
      <c r="D3271" s="208" t="s">
        <v>578</v>
      </c>
      <c r="E3271" s="209">
        <v>118.85</v>
      </c>
      <c r="F3271" s="209">
        <v>24.01</v>
      </c>
      <c r="G3271" s="209">
        <v>142.86000000000001</v>
      </c>
      <c r="H3271" s="198"/>
    </row>
    <row r="3272" spans="1:8" ht="15.75" hidden="1" customHeight="1" x14ac:dyDescent="0.25">
      <c r="A3272" s="205" t="s">
        <v>3909</v>
      </c>
      <c r="B3272" s="206">
        <v>105406</v>
      </c>
      <c r="C3272" s="207" t="s">
        <v>3912</v>
      </c>
      <c r="D3272" s="208" t="s">
        <v>578</v>
      </c>
      <c r="E3272" s="209">
        <v>123.41</v>
      </c>
      <c r="F3272" s="209">
        <v>90.35</v>
      </c>
      <c r="G3272" s="209">
        <v>213.76</v>
      </c>
      <c r="H3272" s="198"/>
    </row>
    <row r="3273" spans="1:8" ht="15.75" hidden="1" customHeight="1" x14ac:dyDescent="0.25">
      <c r="A3273" s="205" t="s">
        <v>3909</v>
      </c>
      <c r="B3273" s="206">
        <v>96258</v>
      </c>
      <c r="C3273" s="207" t="s">
        <v>3913</v>
      </c>
      <c r="D3273" s="208" t="s">
        <v>578</v>
      </c>
      <c r="E3273" s="209">
        <v>86.94</v>
      </c>
      <c r="F3273" s="209">
        <v>66.849999999999994</v>
      </c>
      <c r="G3273" s="209">
        <v>153.79</v>
      </c>
      <c r="H3273" s="198"/>
    </row>
    <row r="3274" spans="1:8" ht="15.75" hidden="1" customHeight="1" x14ac:dyDescent="0.25">
      <c r="A3274" s="205" t="s">
        <v>3914</v>
      </c>
      <c r="B3274" s="206">
        <v>92751</v>
      </c>
      <c r="C3274" s="207" t="s">
        <v>3915</v>
      </c>
      <c r="D3274" s="208" t="s">
        <v>664</v>
      </c>
      <c r="E3274" s="209">
        <v>1954.25</v>
      </c>
      <c r="F3274" s="209">
        <v>304.99</v>
      </c>
      <c r="G3274" s="209">
        <v>2259.2399999999998</v>
      </c>
      <c r="H3274" s="198"/>
    </row>
    <row r="3275" spans="1:8" ht="15.75" hidden="1" customHeight="1" x14ac:dyDescent="0.25">
      <c r="A3275" s="205" t="s">
        <v>3914</v>
      </c>
      <c r="B3275" s="206">
        <v>92752</v>
      </c>
      <c r="C3275" s="207" t="s">
        <v>3916</v>
      </c>
      <c r="D3275" s="208" t="s">
        <v>664</v>
      </c>
      <c r="E3275" s="209">
        <v>2350.63</v>
      </c>
      <c r="F3275" s="209">
        <v>347.21</v>
      </c>
      <c r="G3275" s="209">
        <v>2697.84</v>
      </c>
      <c r="H3275" s="198"/>
    </row>
    <row r="3276" spans="1:8" ht="15.75" hidden="1" customHeight="1" x14ac:dyDescent="0.25">
      <c r="A3276" s="205" t="s">
        <v>3914</v>
      </c>
      <c r="B3276" s="206">
        <v>92750</v>
      </c>
      <c r="C3276" s="207" t="s">
        <v>3917</v>
      </c>
      <c r="D3276" s="208" t="s">
        <v>664</v>
      </c>
      <c r="E3276" s="209">
        <v>1556.29</v>
      </c>
      <c r="F3276" s="209">
        <v>261.37</v>
      </c>
      <c r="G3276" s="209">
        <v>1817.66</v>
      </c>
      <c r="H3276" s="198"/>
    </row>
    <row r="3277" spans="1:8" ht="15.75" hidden="1" customHeight="1" x14ac:dyDescent="0.25">
      <c r="A3277" s="205" t="s">
        <v>3914</v>
      </c>
      <c r="B3277" s="206">
        <v>92749</v>
      </c>
      <c r="C3277" s="207" t="s">
        <v>3918</v>
      </c>
      <c r="D3277" s="208" t="s">
        <v>664</v>
      </c>
      <c r="E3277" s="209">
        <v>875.38</v>
      </c>
      <c r="F3277" s="209">
        <v>187.48</v>
      </c>
      <c r="G3277" s="209">
        <v>1062.8599999999999</v>
      </c>
      <c r="H3277" s="198"/>
    </row>
    <row r="3278" spans="1:8" ht="15.75" hidden="1" customHeight="1" x14ac:dyDescent="0.25">
      <c r="A3278" s="205" t="s">
        <v>3914</v>
      </c>
      <c r="B3278" s="206">
        <v>92745</v>
      </c>
      <c r="C3278" s="207" t="s">
        <v>3919</v>
      </c>
      <c r="D3278" s="208" t="s">
        <v>664</v>
      </c>
      <c r="E3278" s="209">
        <v>707.08</v>
      </c>
      <c r="F3278" s="209">
        <v>189.66</v>
      </c>
      <c r="G3278" s="209">
        <v>896.74</v>
      </c>
      <c r="H3278" s="198"/>
    </row>
    <row r="3279" spans="1:8" ht="15.75" hidden="1" customHeight="1" x14ac:dyDescent="0.25">
      <c r="A3279" s="205" t="s">
        <v>3914</v>
      </c>
      <c r="B3279" s="206">
        <v>92747</v>
      </c>
      <c r="C3279" s="207" t="s">
        <v>3920</v>
      </c>
      <c r="D3279" s="208" t="s">
        <v>664</v>
      </c>
      <c r="E3279" s="209">
        <v>792.78</v>
      </c>
      <c r="F3279" s="209">
        <v>210.23</v>
      </c>
      <c r="G3279" s="209">
        <v>1003.01</v>
      </c>
      <c r="H3279" s="198"/>
    </row>
    <row r="3280" spans="1:8" ht="15.75" hidden="1" customHeight="1" x14ac:dyDescent="0.25">
      <c r="A3280" s="205" t="s">
        <v>3914</v>
      </c>
      <c r="B3280" s="206">
        <v>92743</v>
      </c>
      <c r="C3280" s="207" t="s">
        <v>3921</v>
      </c>
      <c r="D3280" s="208" t="s">
        <v>664</v>
      </c>
      <c r="E3280" s="209">
        <v>563.26</v>
      </c>
      <c r="F3280" s="209">
        <v>162.87</v>
      </c>
      <c r="G3280" s="209">
        <v>726.13</v>
      </c>
      <c r="H3280" s="198"/>
    </row>
    <row r="3281" spans="1:8" ht="15.75" hidden="1" customHeight="1" x14ac:dyDescent="0.25">
      <c r="A3281" s="205" t="s">
        <v>3914</v>
      </c>
      <c r="B3281" s="206">
        <v>92746</v>
      </c>
      <c r="C3281" s="207" t="s">
        <v>3922</v>
      </c>
      <c r="D3281" s="208" t="s">
        <v>664</v>
      </c>
      <c r="E3281" s="209">
        <v>686.91</v>
      </c>
      <c r="F3281" s="209">
        <v>122.17</v>
      </c>
      <c r="G3281" s="209">
        <v>809.08</v>
      </c>
      <c r="H3281" s="198"/>
    </row>
    <row r="3282" spans="1:8" ht="15.75" hidden="1" customHeight="1" x14ac:dyDescent="0.25">
      <c r="A3282" s="205" t="s">
        <v>3914</v>
      </c>
      <c r="B3282" s="206">
        <v>92748</v>
      </c>
      <c r="C3282" s="207" t="s">
        <v>3923</v>
      </c>
      <c r="D3282" s="208" t="s">
        <v>664</v>
      </c>
      <c r="E3282" s="209">
        <v>749.3</v>
      </c>
      <c r="F3282" s="209">
        <v>143.04</v>
      </c>
      <c r="G3282" s="209">
        <v>892.34</v>
      </c>
      <c r="H3282" s="198"/>
    </row>
    <row r="3283" spans="1:8" ht="15.75" hidden="1" customHeight="1" x14ac:dyDescent="0.25">
      <c r="A3283" s="205" t="s">
        <v>3914</v>
      </c>
      <c r="B3283" s="206">
        <v>92744</v>
      </c>
      <c r="C3283" s="207" t="s">
        <v>3924</v>
      </c>
      <c r="D3283" s="208" t="s">
        <v>664</v>
      </c>
      <c r="E3283" s="209">
        <v>580.72</v>
      </c>
      <c r="F3283" s="209">
        <v>90.55</v>
      </c>
      <c r="G3283" s="209">
        <v>671.27</v>
      </c>
      <c r="H3283" s="198"/>
    </row>
    <row r="3284" spans="1:8" ht="15.75" hidden="1" customHeight="1" x14ac:dyDescent="0.25">
      <c r="A3284" s="205" t="s">
        <v>3914</v>
      </c>
      <c r="B3284" s="206">
        <v>92754</v>
      </c>
      <c r="C3284" s="207" t="s">
        <v>3925</v>
      </c>
      <c r="D3284" s="208" t="s">
        <v>664</v>
      </c>
      <c r="E3284" s="209">
        <v>552.86</v>
      </c>
      <c r="F3284" s="209">
        <v>145.46</v>
      </c>
      <c r="G3284" s="209">
        <v>698.32</v>
      </c>
      <c r="H3284" s="198"/>
    </row>
    <row r="3285" spans="1:8" ht="15.75" hidden="1" customHeight="1" x14ac:dyDescent="0.25">
      <c r="A3285" s="205" t="s">
        <v>3914</v>
      </c>
      <c r="B3285" s="206">
        <v>92753</v>
      </c>
      <c r="C3285" s="207" t="s">
        <v>3926</v>
      </c>
      <c r="D3285" s="208" t="s">
        <v>664</v>
      </c>
      <c r="E3285" s="209">
        <v>581.9</v>
      </c>
      <c r="F3285" s="209">
        <v>132.34</v>
      </c>
      <c r="G3285" s="209">
        <v>714.24</v>
      </c>
      <c r="H3285" s="198"/>
    </row>
    <row r="3286" spans="1:8" ht="15.75" hidden="1" customHeight="1" x14ac:dyDescent="0.25">
      <c r="A3286" s="205" t="s">
        <v>3914</v>
      </c>
      <c r="B3286" s="206">
        <v>92755</v>
      </c>
      <c r="C3286" s="207" t="s">
        <v>3927</v>
      </c>
      <c r="D3286" s="208" t="s">
        <v>578</v>
      </c>
      <c r="E3286" s="209">
        <v>221.16</v>
      </c>
      <c r="F3286" s="209">
        <v>58.01</v>
      </c>
      <c r="G3286" s="209">
        <v>279.17</v>
      </c>
      <c r="H3286" s="198"/>
    </row>
    <row r="3287" spans="1:8" ht="15.75" hidden="1" customHeight="1" x14ac:dyDescent="0.25">
      <c r="A3287" s="205" t="s">
        <v>3914</v>
      </c>
      <c r="B3287" s="206">
        <v>92756</v>
      </c>
      <c r="C3287" s="207" t="s">
        <v>3928</v>
      </c>
      <c r="D3287" s="208" t="s">
        <v>578</v>
      </c>
      <c r="E3287" s="209">
        <v>248.77</v>
      </c>
      <c r="F3287" s="209">
        <v>69.22</v>
      </c>
      <c r="G3287" s="209">
        <v>317.99</v>
      </c>
      <c r="H3287" s="198"/>
    </row>
    <row r="3288" spans="1:8" ht="15.75" hidden="1" customHeight="1" x14ac:dyDescent="0.25">
      <c r="A3288" s="205" t="s">
        <v>3914</v>
      </c>
      <c r="B3288" s="206">
        <v>92757</v>
      </c>
      <c r="C3288" s="207" t="s">
        <v>3929</v>
      </c>
      <c r="D3288" s="208" t="s">
        <v>578</v>
      </c>
      <c r="E3288" s="209">
        <v>282.35000000000002</v>
      </c>
      <c r="F3288" s="209">
        <v>82.3</v>
      </c>
      <c r="G3288" s="209">
        <v>364.65</v>
      </c>
      <c r="H3288" s="198"/>
    </row>
    <row r="3289" spans="1:8" ht="15.75" hidden="1" customHeight="1" x14ac:dyDescent="0.25">
      <c r="A3289" s="205" t="s">
        <v>3914</v>
      </c>
      <c r="B3289" s="206">
        <v>92758</v>
      </c>
      <c r="C3289" s="207" t="s">
        <v>3930</v>
      </c>
      <c r="D3289" s="208" t="s">
        <v>664</v>
      </c>
      <c r="E3289" s="209">
        <v>669.33</v>
      </c>
      <c r="F3289" s="209">
        <v>79.78</v>
      </c>
      <c r="G3289" s="209">
        <v>749.11</v>
      </c>
      <c r="H3289" s="198"/>
    </row>
    <row r="3290" spans="1:8" ht="15.75" hidden="1" customHeight="1" x14ac:dyDescent="0.25">
      <c r="A3290" s="205" t="s">
        <v>3931</v>
      </c>
      <c r="B3290" s="206">
        <v>104491</v>
      </c>
      <c r="C3290" s="207" t="s">
        <v>3932</v>
      </c>
      <c r="D3290" s="208" t="s">
        <v>585</v>
      </c>
      <c r="E3290" s="209">
        <v>4139.91</v>
      </c>
      <c r="F3290" s="209">
        <v>66.459999999999994</v>
      </c>
      <c r="G3290" s="209">
        <v>4206.37</v>
      </c>
      <c r="H3290" s="198"/>
    </row>
    <row r="3291" spans="1:8" ht="15.75" hidden="1" customHeight="1" x14ac:dyDescent="0.25">
      <c r="A3291" s="205" t="s">
        <v>3931</v>
      </c>
      <c r="B3291" s="206">
        <v>104492</v>
      </c>
      <c r="C3291" s="207" t="s">
        <v>3933</v>
      </c>
      <c r="D3291" s="208" t="s">
        <v>585</v>
      </c>
      <c r="E3291" s="209">
        <v>5176.88</v>
      </c>
      <c r="F3291" s="209">
        <v>82.03</v>
      </c>
      <c r="G3291" s="209">
        <v>5258.91</v>
      </c>
      <c r="H3291" s="198"/>
    </row>
    <row r="3292" spans="1:8" ht="15.75" hidden="1" customHeight="1" x14ac:dyDescent="0.25">
      <c r="A3292" s="205" t="s">
        <v>3931</v>
      </c>
      <c r="B3292" s="206">
        <v>104494</v>
      </c>
      <c r="C3292" s="207" t="s">
        <v>3934</v>
      </c>
      <c r="D3292" s="208" t="s">
        <v>585</v>
      </c>
      <c r="E3292" s="209">
        <v>7004.2</v>
      </c>
      <c r="F3292" s="209">
        <v>96.57</v>
      </c>
      <c r="G3292" s="209">
        <v>7100.77</v>
      </c>
      <c r="H3292" s="198"/>
    </row>
    <row r="3293" spans="1:8" ht="15.75" hidden="1" customHeight="1" x14ac:dyDescent="0.25">
      <c r="A3293" s="205" t="s">
        <v>3931</v>
      </c>
      <c r="B3293" s="206">
        <v>104497</v>
      </c>
      <c r="C3293" s="207" t="s">
        <v>3935</v>
      </c>
      <c r="D3293" s="208" t="s">
        <v>585</v>
      </c>
      <c r="E3293" s="209">
        <v>8382.7800000000007</v>
      </c>
      <c r="F3293" s="209">
        <v>129.38</v>
      </c>
      <c r="G3293" s="209">
        <v>8512.16</v>
      </c>
      <c r="H3293" s="198"/>
    </row>
    <row r="3294" spans="1:8" ht="15.75" hidden="1" customHeight="1" x14ac:dyDescent="0.25">
      <c r="A3294" s="205" t="s">
        <v>3931</v>
      </c>
      <c r="B3294" s="206">
        <v>104515</v>
      </c>
      <c r="C3294" s="207" t="s">
        <v>3936</v>
      </c>
      <c r="D3294" s="208" t="s">
        <v>578</v>
      </c>
      <c r="E3294" s="209">
        <v>26.64</v>
      </c>
      <c r="F3294" s="209">
        <v>0.4</v>
      </c>
      <c r="G3294" s="209">
        <v>27.04</v>
      </c>
      <c r="H3294" s="198"/>
    </row>
    <row r="3295" spans="1:8" ht="15.75" hidden="1" customHeight="1" x14ac:dyDescent="0.25">
      <c r="A3295" s="205" t="s">
        <v>3937</v>
      </c>
      <c r="B3295" s="206">
        <v>87430</v>
      </c>
      <c r="C3295" s="207" t="s">
        <v>3938</v>
      </c>
      <c r="D3295" s="208" t="s">
        <v>578</v>
      </c>
      <c r="E3295" s="209">
        <v>11.64</v>
      </c>
      <c r="F3295" s="209">
        <v>11.39</v>
      </c>
      <c r="G3295" s="209">
        <v>23.03</v>
      </c>
      <c r="H3295" s="198"/>
    </row>
    <row r="3296" spans="1:8" ht="15.75" hidden="1" customHeight="1" x14ac:dyDescent="0.25">
      <c r="A3296" s="205" t="s">
        <v>3937</v>
      </c>
      <c r="B3296" s="206">
        <v>87433</v>
      </c>
      <c r="C3296" s="207" t="s">
        <v>3939</v>
      </c>
      <c r="D3296" s="208" t="s">
        <v>578</v>
      </c>
      <c r="E3296" s="209">
        <v>18.41</v>
      </c>
      <c r="F3296" s="209">
        <v>14.45</v>
      </c>
      <c r="G3296" s="209">
        <v>32.86</v>
      </c>
      <c r="H3296" s="198"/>
    </row>
    <row r="3297" spans="1:8" ht="15.75" hidden="1" customHeight="1" x14ac:dyDescent="0.25">
      <c r="A3297" s="205" t="s">
        <v>3937</v>
      </c>
      <c r="B3297" s="206">
        <v>87436</v>
      </c>
      <c r="C3297" s="207" t="s">
        <v>3940</v>
      </c>
      <c r="D3297" s="208" t="s">
        <v>578</v>
      </c>
      <c r="E3297" s="209">
        <v>19.72</v>
      </c>
      <c r="F3297" s="209">
        <v>17.97</v>
      </c>
      <c r="G3297" s="209">
        <v>37.69</v>
      </c>
      <c r="H3297" s="198"/>
    </row>
    <row r="3298" spans="1:8" ht="15.75" hidden="1" customHeight="1" x14ac:dyDescent="0.25">
      <c r="A3298" s="205" t="s">
        <v>3937</v>
      </c>
      <c r="B3298" s="206">
        <v>87439</v>
      </c>
      <c r="C3298" s="207" t="s">
        <v>3941</v>
      </c>
      <c r="D3298" s="208" t="s">
        <v>578</v>
      </c>
      <c r="E3298" s="209">
        <v>24.84</v>
      </c>
      <c r="F3298" s="209">
        <v>21.15</v>
      </c>
      <c r="G3298" s="209">
        <v>45.99</v>
      </c>
      <c r="H3298" s="198"/>
    </row>
    <row r="3299" spans="1:8" ht="15.75" hidden="1" customHeight="1" x14ac:dyDescent="0.25">
      <c r="A3299" s="205" t="s">
        <v>3937</v>
      </c>
      <c r="B3299" s="206">
        <v>104633</v>
      </c>
      <c r="C3299" s="207" t="s">
        <v>3942</v>
      </c>
      <c r="D3299" s="208" t="s">
        <v>578</v>
      </c>
      <c r="E3299" s="209">
        <v>14.78</v>
      </c>
      <c r="F3299" s="209">
        <v>17.350000000000001</v>
      </c>
      <c r="G3299" s="209">
        <v>32.130000000000003</v>
      </c>
      <c r="H3299" s="198"/>
    </row>
    <row r="3300" spans="1:8" ht="15.75" hidden="1" customHeight="1" x14ac:dyDescent="0.25">
      <c r="A3300" s="205" t="s">
        <v>3937</v>
      </c>
      <c r="B3300" s="206">
        <v>104634</v>
      </c>
      <c r="C3300" s="207" t="s">
        <v>3943</v>
      </c>
      <c r="D3300" s="208" t="s">
        <v>578</v>
      </c>
      <c r="E3300" s="209">
        <v>23.39</v>
      </c>
      <c r="F3300" s="209">
        <v>23.49</v>
      </c>
      <c r="G3300" s="209">
        <v>46.88</v>
      </c>
      <c r="H3300" s="198"/>
    </row>
    <row r="3301" spans="1:8" ht="15.75" hidden="1" customHeight="1" x14ac:dyDescent="0.25">
      <c r="A3301" s="205" t="s">
        <v>3937</v>
      </c>
      <c r="B3301" s="206">
        <v>87418</v>
      </c>
      <c r="C3301" s="207" t="s">
        <v>3944</v>
      </c>
      <c r="D3301" s="208" t="s">
        <v>578</v>
      </c>
      <c r="E3301" s="209">
        <v>12.24</v>
      </c>
      <c r="F3301" s="209">
        <v>10.62</v>
      </c>
      <c r="G3301" s="209">
        <v>22.86</v>
      </c>
      <c r="H3301" s="198"/>
    </row>
    <row r="3302" spans="1:8" ht="15.75" hidden="1" customHeight="1" x14ac:dyDescent="0.25">
      <c r="A3302" s="205" t="s">
        <v>3937</v>
      </c>
      <c r="B3302" s="206">
        <v>87421</v>
      </c>
      <c r="C3302" s="207" t="s">
        <v>3945</v>
      </c>
      <c r="D3302" s="208" t="s">
        <v>578</v>
      </c>
      <c r="E3302" s="209">
        <v>20.02</v>
      </c>
      <c r="F3302" s="209">
        <v>14.53</v>
      </c>
      <c r="G3302" s="209">
        <v>34.549999999999997</v>
      </c>
      <c r="H3302" s="198"/>
    </row>
    <row r="3303" spans="1:8" ht="15.75" hidden="1" customHeight="1" x14ac:dyDescent="0.25">
      <c r="A3303" s="205" t="s">
        <v>3937</v>
      </c>
      <c r="B3303" s="206">
        <v>104628</v>
      </c>
      <c r="C3303" s="207" t="s">
        <v>3946</v>
      </c>
      <c r="D3303" s="208" t="s">
        <v>578</v>
      </c>
      <c r="E3303" s="209">
        <v>16.03</v>
      </c>
      <c r="F3303" s="209">
        <v>20.64</v>
      </c>
      <c r="G3303" s="209">
        <v>36.67</v>
      </c>
      <c r="H3303" s="198"/>
    </row>
    <row r="3304" spans="1:8" ht="15.75" hidden="1" customHeight="1" x14ac:dyDescent="0.25">
      <c r="A3304" s="205" t="s">
        <v>3937</v>
      </c>
      <c r="B3304" s="206">
        <v>104631</v>
      </c>
      <c r="C3304" s="207" t="s">
        <v>3947</v>
      </c>
      <c r="D3304" s="208" t="s">
        <v>578</v>
      </c>
      <c r="E3304" s="209">
        <v>24.05</v>
      </c>
      <c r="F3304" s="209">
        <v>25.27</v>
      </c>
      <c r="G3304" s="209">
        <v>49.32</v>
      </c>
      <c r="H3304" s="198"/>
    </row>
    <row r="3305" spans="1:8" ht="15.75" hidden="1" customHeight="1" x14ac:dyDescent="0.25">
      <c r="A3305" s="205" t="s">
        <v>3937</v>
      </c>
      <c r="B3305" s="206">
        <v>104627</v>
      </c>
      <c r="C3305" s="207" t="s">
        <v>3948</v>
      </c>
      <c r="D3305" s="208" t="s">
        <v>578</v>
      </c>
      <c r="E3305" s="209">
        <v>12.22</v>
      </c>
      <c r="F3305" s="209">
        <v>10.62</v>
      </c>
      <c r="G3305" s="209">
        <v>22.84</v>
      </c>
      <c r="H3305" s="198"/>
    </row>
    <row r="3306" spans="1:8" ht="15.75" hidden="1" customHeight="1" x14ac:dyDescent="0.25">
      <c r="A3306" s="205" t="s">
        <v>3937</v>
      </c>
      <c r="B3306" s="206">
        <v>104630</v>
      </c>
      <c r="C3306" s="207" t="s">
        <v>3949</v>
      </c>
      <c r="D3306" s="208" t="s">
        <v>578</v>
      </c>
      <c r="E3306" s="209">
        <v>20.260000000000002</v>
      </c>
      <c r="F3306" s="209">
        <v>15.24</v>
      </c>
      <c r="G3306" s="209">
        <v>35.5</v>
      </c>
      <c r="H3306" s="198"/>
    </row>
    <row r="3307" spans="1:8" ht="15.75" hidden="1" customHeight="1" x14ac:dyDescent="0.25">
      <c r="A3307" s="205" t="s">
        <v>3937</v>
      </c>
      <c r="B3307" s="206">
        <v>104629</v>
      </c>
      <c r="C3307" s="207" t="s">
        <v>3950</v>
      </c>
      <c r="D3307" s="208" t="s">
        <v>578</v>
      </c>
      <c r="E3307" s="209">
        <v>18.190000000000001</v>
      </c>
      <c r="F3307" s="209">
        <v>26.41</v>
      </c>
      <c r="G3307" s="209">
        <v>44.6</v>
      </c>
      <c r="H3307" s="198"/>
    </row>
    <row r="3308" spans="1:8" ht="15.75" hidden="1" customHeight="1" x14ac:dyDescent="0.25">
      <c r="A3308" s="205" t="s">
        <v>3937</v>
      </c>
      <c r="B3308" s="206">
        <v>104632</v>
      </c>
      <c r="C3308" s="207" t="s">
        <v>3951</v>
      </c>
      <c r="D3308" s="208" t="s">
        <v>578</v>
      </c>
      <c r="E3308" s="209">
        <v>26.25</v>
      </c>
      <c r="F3308" s="209">
        <v>31.01</v>
      </c>
      <c r="G3308" s="209">
        <v>57.26</v>
      </c>
      <c r="H3308" s="198"/>
    </row>
    <row r="3309" spans="1:8" ht="15.75" hidden="1" customHeight="1" x14ac:dyDescent="0.25">
      <c r="A3309" s="205" t="s">
        <v>3937</v>
      </c>
      <c r="B3309" s="206">
        <v>87412</v>
      </c>
      <c r="C3309" s="207" t="s">
        <v>3952</v>
      </c>
      <c r="D3309" s="208" t="s">
        <v>578</v>
      </c>
      <c r="E3309" s="209">
        <v>14.23</v>
      </c>
      <c r="F3309" s="209">
        <v>15.9</v>
      </c>
      <c r="G3309" s="209">
        <v>30.13</v>
      </c>
      <c r="H3309" s="198"/>
    </row>
    <row r="3310" spans="1:8" ht="15.75" hidden="1" customHeight="1" x14ac:dyDescent="0.25">
      <c r="A3310" s="205" t="s">
        <v>3937</v>
      </c>
      <c r="B3310" s="206">
        <v>87415</v>
      </c>
      <c r="C3310" s="207" t="s">
        <v>3953</v>
      </c>
      <c r="D3310" s="208" t="s">
        <v>578</v>
      </c>
      <c r="E3310" s="209">
        <v>21.86</v>
      </c>
      <c r="F3310" s="209">
        <v>19.47</v>
      </c>
      <c r="G3310" s="209">
        <v>41.33</v>
      </c>
      <c r="H3310" s="198"/>
    </row>
    <row r="3311" spans="1:8" ht="15.75" hidden="1" customHeight="1" x14ac:dyDescent="0.25">
      <c r="A3311" s="205" t="s">
        <v>3937</v>
      </c>
      <c r="B3311" s="206">
        <v>87411</v>
      </c>
      <c r="C3311" s="207" t="s">
        <v>3954</v>
      </c>
      <c r="D3311" s="208" t="s">
        <v>578</v>
      </c>
      <c r="E3311" s="209">
        <v>11.31</v>
      </c>
      <c r="F3311" s="209">
        <v>8.17</v>
      </c>
      <c r="G3311" s="209">
        <v>19.48</v>
      </c>
      <c r="H3311" s="198"/>
    </row>
    <row r="3312" spans="1:8" ht="15.75" hidden="1" customHeight="1" x14ac:dyDescent="0.25">
      <c r="A3312" s="205" t="s">
        <v>3937</v>
      </c>
      <c r="B3312" s="206">
        <v>87414</v>
      </c>
      <c r="C3312" s="207" t="s">
        <v>3955</v>
      </c>
      <c r="D3312" s="208" t="s">
        <v>578</v>
      </c>
      <c r="E3312" s="209">
        <v>18.940000000000001</v>
      </c>
      <c r="F3312" s="209">
        <v>11.74</v>
      </c>
      <c r="G3312" s="209">
        <v>30.68</v>
      </c>
      <c r="H3312" s="198"/>
    </row>
    <row r="3313" spans="1:8" ht="15.75" hidden="1" customHeight="1" x14ac:dyDescent="0.25">
      <c r="A3313" s="205" t="s">
        <v>3937</v>
      </c>
      <c r="B3313" s="206">
        <v>87413</v>
      </c>
      <c r="C3313" s="207" t="s">
        <v>3956</v>
      </c>
      <c r="D3313" s="208" t="s">
        <v>578</v>
      </c>
      <c r="E3313" s="209">
        <v>15.89</v>
      </c>
      <c r="F3313" s="209">
        <v>20.36</v>
      </c>
      <c r="G3313" s="209">
        <v>36.25</v>
      </c>
      <c r="H3313" s="198"/>
    </row>
    <row r="3314" spans="1:8" ht="15.75" hidden="1" customHeight="1" x14ac:dyDescent="0.25">
      <c r="A3314" s="205" t="s">
        <v>3937</v>
      </c>
      <c r="B3314" s="206">
        <v>87416</v>
      </c>
      <c r="C3314" s="207" t="s">
        <v>3957</v>
      </c>
      <c r="D3314" s="208" t="s">
        <v>578</v>
      </c>
      <c r="E3314" s="209">
        <v>23.55</v>
      </c>
      <c r="F3314" s="209">
        <v>23.91</v>
      </c>
      <c r="G3314" s="209">
        <v>47.46</v>
      </c>
      <c r="H3314" s="198"/>
    </row>
    <row r="3315" spans="1:8" ht="15.75" hidden="1" customHeight="1" x14ac:dyDescent="0.25">
      <c r="A3315" s="205" t="s">
        <v>3937</v>
      </c>
      <c r="B3315" s="206">
        <v>104635</v>
      </c>
      <c r="C3315" s="207" t="s">
        <v>3958</v>
      </c>
      <c r="D3315" s="208" t="s">
        <v>578</v>
      </c>
      <c r="E3315" s="209">
        <v>28.67</v>
      </c>
      <c r="F3315" s="209">
        <v>37.450000000000003</v>
      </c>
      <c r="G3315" s="209">
        <v>66.12</v>
      </c>
      <c r="H3315" s="198"/>
    </row>
    <row r="3316" spans="1:8" ht="15.75" hidden="1" customHeight="1" x14ac:dyDescent="0.25">
      <c r="A3316" s="205" t="s">
        <v>3937</v>
      </c>
      <c r="B3316" s="206">
        <v>104636</v>
      </c>
      <c r="C3316" s="207" t="s">
        <v>3959</v>
      </c>
      <c r="D3316" s="208" t="s">
        <v>578</v>
      </c>
      <c r="E3316" s="209">
        <v>34.68</v>
      </c>
      <c r="F3316" s="209">
        <v>41.72</v>
      </c>
      <c r="G3316" s="209">
        <v>76.400000000000006</v>
      </c>
      <c r="H3316" s="198"/>
    </row>
    <row r="3317" spans="1:8" ht="15.75" hidden="1" customHeight="1" x14ac:dyDescent="0.25">
      <c r="A3317" s="205" t="s">
        <v>3937</v>
      </c>
      <c r="B3317" s="206">
        <v>87424</v>
      </c>
      <c r="C3317" s="207" t="s">
        <v>3960</v>
      </c>
      <c r="D3317" s="208" t="s">
        <v>578</v>
      </c>
      <c r="E3317" s="209">
        <v>23.28</v>
      </c>
      <c r="F3317" s="209">
        <v>23.17</v>
      </c>
      <c r="G3317" s="209">
        <v>46.45</v>
      </c>
      <c r="H3317" s="198"/>
    </row>
    <row r="3318" spans="1:8" ht="15.75" hidden="1" customHeight="1" x14ac:dyDescent="0.25">
      <c r="A3318" s="205" t="s">
        <v>3937</v>
      </c>
      <c r="B3318" s="206">
        <v>87427</v>
      </c>
      <c r="C3318" s="207" t="s">
        <v>3961</v>
      </c>
      <c r="D3318" s="208" t="s">
        <v>578</v>
      </c>
      <c r="E3318" s="209">
        <v>28.69</v>
      </c>
      <c r="F3318" s="209">
        <v>25.89</v>
      </c>
      <c r="G3318" s="209">
        <v>54.58</v>
      </c>
      <c r="H3318" s="198"/>
    </row>
    <row r="3319" spans="1:8" ht="15.75" hidden="1" customHeight="1" x14ac:dyDescent="0.25">
      <c r="A3319" s="205" t="s">
        <v>3962</v>
      </c>
      <c r="B3319" s="206">
        <v>89998</v>
      </c>
      <c r="C3319" s="207" t="s">
        <v>3963</v>
      </c>
      <c r="D3319" s="208" t="s">
        <v>823</v>
      </c>
      <c r="E3319" s="209">
        <v>8.4700000000000006</v>
      </c>
      <c r="F3319" s="209">
        <v>2.0099999999999998</v>
      </c>
      <c r="G3319" s="209">
        <v>10.48</v>
      </c>
      <c r="H3319" s="198"/>
    </row>
    <row r="3320" spans="1:8" ht="15.75" hidden="1" customHeight="1" x14ac:dyDescent="0.25">
      <c r="A3320" s="205" t="s">
        <v>3962</v>
      </c>
      <c r="B3320" s="206">
        <v>102920</v>
      </c>
      <c r="C3320" s="207" t="s">
        <v>3964</v>
      </c>
      <c r="D3320" s="208" t="s">
        <v>823</v>
      </c>
      <c r="E3320" s="209">
        <v>7.19</v>
      </c>
      <c r="F3320" s="209">
        <v>1.27</v>
      </c>
      <c r="G3320" s="209">
        <v>8.4600000000000009</v>
      </c>
      <c r="H3320" s="198"/>
    </row>
    <row r="3321" spans="1:8" ht="15.75" hidden="1" customHeight="1" x14ac:dyDescent="0.25">
      <c r="A3321" s="205" t="s">
        <v>3962</v>
      </c>
      <c r="B3321" s="206">
        <v>102923</v>
      </c>
      <c r="C3321" s="207" t="s">
        <v>3965</v>
      </c>
      <c r="D3321" s="208" t="s">
        <v>823</v>
      </c>
      <c r="E3321" s="209">
        <v>6.99</v>
      </c>
      <c r="F3321" s="209">
        <v>0.78</v>
      </c>
      <c r="G3321" s="209">
        <v>7.77</v>
      </c>
      <c r="H3321" s="198"/>
    </row>
    <row r="3322" spans="1:8" ht="15.75" hidden="1" customHeight="1" x14ac:dyDescent="0.25">
      <c r="A3322" s="205" t="s">
        <v>3962</v>
      </c>
      <c r="B3322" s="206">
        <v>90000</v>
      </c>
      <c r="C3322" s="207" t="s">
        <v>3966</v>
      </c>
      <c r="D3322" s="208" t="s">
        <v>823</v>
      </c>
      <c r="E3322" s="209">
        <v>9.5</v>
      </c>
      <c r="F3322" s="209">
        <v>4.7300000000000004</v>
      </c>
      <c r="G3322" s="209">
        <v>14.23</v>
      </c>
      <c r="H3322" s="198"/>
    </row>
    <row r="3323" spans="1:8" ht="15.75" hidden="1" customHeight="1" x14ac:dyDescent="0.25">
      <c r="A3323" s="205" t="s">
        <v>3962</v>
      </c>
      <c r="B3323" s="206">
        <v>103088</v>
      </c>
      <c r="C3323" s="207" t="s">
        <v>3967</v>
      </c>
      <c r="D3323" s="208" t="s">
        <v>823</v>
      </c>
      <c r="E3323" s="209">
        <v>7.84</v>
      </c>
      <c r="F3323" s="209">
        <v>3.02</v>
      </c>
      <c r="G3323" s="209">
        <v>10.86</v>
      </c>
      <c r="H3323" s="198"/>
    </row>
    <row r="3324" spans="1:8" ht="15.75" hidden="1" customHeight="1" x14ac:dyDescent="0.25">
      <c r="A3324" s="205" t="s">
        <v>3962</v>
      </c>
      <c r="B3324" s="206">
        <v>102922</v>
      </c>
      <c r="C3324" s="207" t="s">
        <v>3968</v>
      </c>
      <c r="D3324" s="208" t="s">
        <v>823</v>
      </c>
      <c r="E3324" s="209">
        <v>7.4</v>
      </c>
      <c r="F3324" s="209">
        <v>1.83</v>
      </c>
      <c r="G3324" s="209">
        <v>9.23</v>
      </c>
      <c r="H3324" s="198"/>
    </row>
    <row r="3325" spans="1:8" ht="15.75" hidden="1" customHeight="1" x14ac:dyDescent="0.25">
      <c r="A3325" s="205" t="s">
        <v>3962</v>
      </c>
      <c r="B3325" s="206">
        <v>89999</v>
      </c>
      <c r="C3325" s="207" t="s">
        <v>3969</v>
      </c>
      <c r="D3325" s="208" t="s">
        <v>823</v>
      </c>
      <c r="E3325" s="209">
        <v>10.96</v>
      </c>
      <c r="F3325" s="209">
        <v>7.4</v>
      </c>
      <c r="G3325" s="209">
        <v>18.36</v>
      </c>
      <c r="H3325" s="198"/>
    </row>
    <row r="3326" spans="1:8" ht="15.75" hidden="1" customHeight="1" x14ac:dyDescent="0.25">
      <c r="A3326" s="205" t="s">
        <v>3962</v>
      </c>
      <c r="B3326" s="206">
        <v>89996</v>
      </c>
      <c r="C3326" s="207" t="s">
        <v>3970</v>
      </c>
      <c r="D3326" s="208" t="s">
        <v>823</v>
      </c>
      <c r="E3326" s="209">
        <v>8.67</v>
      </c>
      <c r="F3326" s="209">
        <v>2.5299999999999998</v>
      </c>
      <c r="G3326" s="209">
        <v>11.2</v>
      </c>
      <c r="H3326" s="198"/>
    </row>
    <row r="3327" spans="1:8" ht="15.75" hidden="1" customHeight="1" x14ac:dyDescent="0.25">
      <c r="A3327" s="205" t="s">
        <v>3962</v>
      </c>
      <c r="B3327" s="206">
        <v>89997</v>
      </c>
      <c r="C3327" s="207" t="s">
        <v>3971</v>
      </c>
      <c r="D3327" s="208" t="s">
        <v>823</v>
      </c>
      <c r="E3327" s="209">
        <v>7.31</v>
      </c>
      <c r="F3327" s="209">
        <v>1.61</v>
      </c>
      <c r="G3327" s="209">
        <v>8.92</v>
      </c>
      <c r="H3327" s="198"/>
    </row>
    <row r="3328" spans="1:8" ht="15.75" hidden="1" customHeight="1" x14ac:dyDescent="0.25">
      <c r="A3328" s="205" t="s">
        <v>3962</v>
      </c>
      <c r="B3328" s="206">
        <v>102921</v>
      </c>
      <c r="C3328" s="207" t="s">
        <v>3972</v>
      </c>
      <c r="D3328" s="208" t="s">
        <v>823</v>
      </c>
      <c r="E3328" s="209">
        <v>7.08</v>
      </c>
      <c r="F3328" s="209">
        <v>0.97</v>
      </c>
      <c r="G3328" s="209">
        <v>8.0500000000000007</v>
      </c>
      <c r="H3328" s="198"/>
    </row>
    <row r="3329" spans="1:8" ht="15.75" hidden="1" customHeight="1" x14ac:dyDescent="0.25">
      <c r="A3329" s="205" t="s">
        <v>3962</v>
      </c>
      <c r="B3329" s="206">
        <v>90278</v>
      </c>
      <c r="C3329" s="207" t="s">
        <v>3973</v>
      </c>
      <c r="D3329" s="208" t="s">
        <v>664</v>
      </c>
      <c r="E3329" s="209">
        <v>412.52</v>
      </c>
      <c r="F3329" s="209">
        <v>82.04</v>
      </c>
      <c r="G3329" s="209">
        <v>494.56</v>
      </c>
      <c r="H3329" s="198"/>
    </row>
    <row r="3330" spans="1:8" ht="15.75" hidden="1" customHeight="1" x14ac:dyDescent="0.25">
      <c r="A3330" s="205" t="s">
        <v>3962</v>
      </c>
      <c r="B3330" s="206">
        <v>90282</v>
      </c>
      <c r="C3330" s="207" t="s">
        <v>3974</v>
      </c>
      <c r="D3330" s="208" t="s">
        <v>664</v>
      </c>
      <c r="E3330" s="209">
        <v>406.34</v>
      </c>
      <c r="F3330" s="209">
        <v>79.3</v>
      </c>
      <c r="G3330" s="209">
        <v>485.64</v>
      </c>
      <c r="H3330" s="198"/>
    </row>
    <row r="3331" spans="1:8" ht="15.75" hidden="1" customHeight="1" x14ac:dyDescent="0.25">
      <c r="A3331" s="205" t="s">
        <v>3962</v>
      </c>
      <c r="B3331" s="206">
        <v>90279</v>
      </c>
      <c r="C3331" s="207" t="s">
        <v>3975</v>
      </c>
      <c r="D3331" s="208" t="s">
        <v>664</v>
      </c>
      <c r="E3331" s="209">
        <v>455.75</v>
      </c>
      <c r="F3331" s="209">
        <v>89.86</v>
      </c>
      <c r="G3331" s="209">
        <v>545.61</v>
      </c>
      <c r="H3331" s="198"/>
    </row>
    <row r="3332" spans="1:8" ht="15.75" hidden="1" customHeight="1" x14ac:dyDescent="0.25">
      <c r="A3332" s="205" t="s">
        <v>3962</v>
      </c>
      <c r="B3332" s="206">
        <v>90283</v>
      </c>
      <c r="C3332" s="207" t="s">
        <v>3976</v>
      </c>
      <c r="D3332" s="208" t="s">
        <v>664</v>
      </c>
      <c r="E3332" s="209">
        <v>450.38</v>
      </c>
      <c r="F3332" s="209">
        <v>86.67</v>
      </c>
      <c r="G3332" s="209">
        <v>537.04999999999995</v>
      </c>
      <c r="H3332" s="198"/>
    </row>
    <row r="3333" spans="1:8" ht="15.75" hidden="1" customHeight="1" x14ac:dyDescent="0.25">
      <c r="A3333" s="205" t="s">
        <v>3962</v>
      </c>
      <c r="B3333" s="206">
        <v>90280</v>
      </c>
      <c r="C3333" s="207" t="s">
        <v>3977</v>
      </c>
      <c r="D3333" s="208" t="s">
        <v>664</v>
      </c>
      <c r="E3333" s="209">
        <v>510.62</v>
      </c>
      <c r="F3333" s="209">
        <v>89.89</v>
      </c>
      <c r="G3333" s="209">
        <v>600.51</v>
      </c>
      <c r="H3333" s="198"/>
    </row>
    <row r="3334" spans="1:8" ht="15.75" hidden="1" customHeight="1" x14ac:dyDescent="0.25">
      <c r="A3334" s="205" t="s">
        <v>3962</v>
      </c>
      <c r="B3334" s="206">
        <v>90284</v>
      </c>
      <c r="C3334" s="207" t="s">
        <v>3978</v>
      </c>
      <c r="D3334" s="208" t="s">
        <v>664</v>
      </c>
      <c r="E3334" s="209">
        <v>508.73</v>
      </c>
      <c r="F3334" s="209">
        <v>86.69</v>
      </c>
      <c r="G3334" s="209">
        <v>595.41999999999996</v>
      </c>
      <c r="H3334" s="198"/>
    </row>
    <row r="3335" spans="1:8" ht="15.75" hidden="1" customHeight="1" x14ac:dyDescent="0.25">
      <c r="A3335" s="205" t="s">
        <v>3962</v>
      </c>
      <c r="B3335" s="206">
        <v>90281</v>
      </c>
      <c r="C3335" s="207" t="s">
        <v>3979</v>
      </c>
      <c r="D3335" s="208" t="s">
        <v>664</v>
      </c>
      <c r="E3335" s="209">
        <v>601.87</v>
      </c>
      <c r="F3335" s="209">
        <v>87.63</v>
      </c>
      <c r="G3335" s="209">
        <v>689.5</v>
      </c>
      <c r="H3335" s="198"/>
    </row>
    <row r="3336" spans="1:8" ht="15.75" hidden="1" customHeight="1" x14ac:dyDescent="0.25">
      <c r="A3336" s="205" t="s">
        <v>3962</v>
      </c>
      <c r="B3336" s="206">
        <v>90285</v>
      </c>
      <c r="C3336" s="207" t="s">
        <v>3980</v>
      </c>
      <c r="D3336" s="208" t="s">
        <v>664</v>
      </c>
      <c r="E3336" s="209">
        <v>605.89</v>
      </c>
      <c r="F3336" s="209">
        <v>85.37</v>
      </c>
      <c r="G3336" s="209">
        <v>691.26</v>
      </c>
      <c r="H3336" s="198"/>
    </row>
    <row r="3337" spans="1:8" ht="15.75" hidden="1" customHeight="1" x14ac:dyDescent="0.25">
      <c r="A3337" s="205" t="s">
        <v>3962</v>
      </c>
      <c r="B3337" s="206">
        <v>89994</v>
      </c>
      <c r="C3337" s="207" t="s">
        <v>3981</v>
      </c>
      <c r="D3337" s="208" t="s">
        <v>664</v>
      </c>
      <c r="E3337" s="209">
        <v>622.89</v>
      </c>
      <c r="F3337" s="209">
        <v>305.13</v>
      </c>
      <c r="G3337" s="209">
        <v>928.02</v>
      </c>
      <c r="H3337" s="198"/>
    </row>
    <row r="3338" spans="1:8" ht="15.75" hidden="1" customHeight="1" x14ac:dyDescent="0.25">
      <c r="A3338" s="205" t="s">
        <v>3962</v>
      </c>
      <c r="B3338" s="206">
        <v>89995</v>
      </c>
      <c r="C3338" s="207" t="s">
        <v>3982</v>
      </c>
      <c r="D3338" s="208" t="s">
        <v>664</v>
      </c>
      <c r="E3338" s="209">
        <v>662.47</v>
      </c>
      <c r="F3338" s="209">
        <v>409.48</v>
      </c>
      <c r="G3338" s="209">
        <v>1071.95</v>
      </c>
      <c r="H3338" s="198"/>
    </row>
    <row r="3339" spans="1:8" ht="15.75" hidden="1" customHeight="1" x14ac:dyDescent="0.25">
      <c r="A3339" s="205" t="s">
        <v>3962</v>
      </c>
      <c r="B3339" s="206">
        <v>89993</v>
      </c>
      <c r="C3339" s="207" t="s">
        <v>3983</v>
      </c>
      <c r="D3339" s="208" t="s">
        <v>664</v>
      </c>
      <c r="E3339" s="209">
        <v>676.1</v>
      </c>
      <c r="F3339" s="209">
        <v>445.31</v>
      </c>
      <c r="G3339" s="209">
        <v>1121.4100000000001</v>
      </c>
      <c r="H3339" s="198"/>
    </row>
    <row r="3340" spans="1:8" ht="15.75" hidden="1" customHeight="1" x14ac:dyDescent="0.25">
      <c r="A3340" s="205" t="s">
        <v>3984</v>
      </c>
      <c r="B3340" s="206">
        <v>99857</v>
      </c>
      <c r="C3340" s="207" t="s">
        <v>3985</v>
      </c>
      <c r="D3340" s="208" t="s">
        <v>585</v>
      </c>
      <c r="E3340" s="209">
        <v>56.92</v>
      </c>
      <c r="F3340" s="209">
        <v>59.28</v>
      </c>
      <c r="G3340" s="209">
        <v>116.2</v>
      </c>
      <c r="H3340" s="198"/>
    </row>
    <row r="3341" spans="1:8" ht="15.75" hidden="1" customHeight="1" x14ac:dyDescent="0.25">
      <c r="A3341" s="205" t="s">
        <v>3984</v>
      </c>
      <c r="B3341" s="206">
        <v>99855</v>
      </c>
      <c r="C3341" s="207" t="s">
        <v>3986</v>
      </c>
      <c r="D3341" s="208" t="s">
        <v>585</v>
      </c>
      <c r="E3341" s="209">
        <v>77.989999999999995</v>
      </c>
      <c r="F3341" s="209">
        <v>42.23</v>
      </c>
      <c r="G3341" s="209">
        <v>120.22</v>
      </c>
      <c r="H3341" s="198"/>
    </row>
    <row r="3342" spans="1:8" ht="15.75" hidden="1" customHeight="1" x14ac:dyDescent="0.25">
      <c r="A3342" s="205" t="s">
        <v>3984</v>
      </c>
      <c r="B3342" s="206">
        <v>99862</v>
      </c>
      <c r="C3342" s="207" t="s">
        <v>3987</v>
      </c>
      <c r="D3342" s="208" t="s">
        <v>578</v>
      </c>
      <c r="E3342" s="209">
        <v>405.64</v>
      </c>
      <c r="F3342" s="209">
        <v>393.96</v>
      </c>
      <c r="G3342" s="209">
        <v>799.6</v>
      </c>
      <c r="H3342" s="198"/>
    </row>
    <row r="3343" spans="1:8" ht="15.75" hidden="1" customHeight="1" x14ac:dyDescent="0.25">
      <c r="A3343" s="205" t="s">
        <v>3984</v>
      </c>
      <c r="B3343" s="206">
        <v>99861</v>
      </c>
      <c r="C3343" s="207" t="s">
        <v>3988</v>
      </c>
      <c r="D3343" s="208" t="s">
        <v>578</v>
      </c>
      <c r="E3343" s="209">
        <v>366.79</v>
      </c>
      <c r="F3343" s="209">
        <v>379.32</v>
      </c>
      <c r="G3343" s="209">
        <v>746.11</v>
      </c>
      <c r="H3343" s="198"/>
    </row>
    <row r="3344" spans="1:8" ht="15.75" hidden="1" customHeight="1" x14ac:dyDescent="0.25">
      <c r="A3344" s="205" t="s">
        <v>3984</v>
      </c>
      <c r="B3344" s="206">
        <v>99839</v>
      </c>
      <c r="C3344" s="207" t="s">
        <v>3989</v>
      </c>
      <c r="D3344" s="208" t="s">
        <v>585</v>
      </c>
      <c r="E3344" s="209">
        <v>323.61</v>
      </c>
      <c r="F3344" s="209">
        <v>257.68</v>
      </c>
      <c r="G3344" s="209">
        <v>581.29</v>
      </c>
      <c r="H3344" s="198"/>
    </row>
    <row r="3345" spans="1:8" ht="15.75" hidden="1" customHeight="1" x14ac:dyDescent="0.25">
      <c r="A3345" s="205" t="s">
        <v>3984</v>
      </c>
      <c r="B3345" s="206">
        <v>99837</v>
      </c>
      <c r="C3345" s="207" t="s">
        <v>3990</v>
      </c>
      <c r="D3345" s="208" t="s">
        <v>585</v>
      </c>
      <c r="E3345" s="209">
        <v>428.83</v>
      </c>
      <c r="F3345" s="209">
        <v>245.64</v>
      </c>
      <c r="G3345" s="209">
        <v>674.47</v>
      </c>
      <c r="H3345" s="198"/>
    </row>
    <row r="3346" spans="1:8" ht="15.75" hidden="1" customHeight="1" x14ac:dyDescent="0.25">
      <c r="A3346" s="205" t="s">
        <v>3984</v>
      </c>
      <c r="B3346" s="206">
        <v>99841</v>
      </c>
      <c r="C3346" s="207" t="s">
        <v>3991</v>
      </c>
      <c r="D3346" s="208" t="s">
        <v>585</v>
      </c>
      <c r="E3346" s="209">
        <v>1027.71</v>
      </c>
      <c r="F3346" s="209">
        <v>149.5</v>
      </c>
      <c r="G3346" s="209">
        <v>1177.21</v>
      </c>
      <c r="H3346" s="198"/>
    </row>
    <row r="3347" spans="1:8" ht="15.75" hidden="1" customHeight="1" x14ac:dyDescent="0.25">
      <c r="A3347" s="205" t="s">
        <v>3992</v>
      </c>
      <c r="B3347" s="206">
        <v>94276</v>
      </c>
      <c r="C3347" s="207" t="s">
        <v>3993</v>
      </c>
      <c r="D3347" s="208" t="s">
        <v>585</v>
      </c>
      <c r="E3347" s="209">
        <v>35.5</v>
      </c>
      <c r="F3347" s="209">
        <v>12.98</v>
      </c>
      <c r="G3347" s="209">
        <v>48.48</v>
      </c>
      <c r="H3347" s="198"/>
    </row>
    <row r="3348" spans="1:8" ht="15.75" hidden="1" customHeight="1" x14ac:dyDescent="0.25">
      <c r="A3348" s="205" t="s">
        <v>3992</v>
      </c>
      <c r="B3348" s="206">
        <v>94274</v>
      </c>
      <c r="C3348" s="207" t="s">
        <v>3994</v>
      </c>
      <c r="D3348" s="208" t="s">
        <v>585</v>
      </c>
      <c r="E3348" s="209">
        <v>39.1</v>
      </c>
      <c r="F3348" s="209">
        <v>13.78</v>
      </c>
      <c r="G3348" s="209">
        <v>52.88</v>
      </c>
      <c r="H3348" s="198"/>
    </row>
    <row r="3349" spans="1:8" ht="15.75" hidden="1" customHeight="1" x14ac:dyDescent="0.25">
      <c r="A3349" s="205" t="s">
        <v>3992</v>
      </c>
      <c r="B3349" s="206">
        <v>94280</v>
      </c>
      <c r="C3349" s="207" t="s">
        <v>3995</v>
      </c>
      <c r="D3349" s="208" t="s">
        <v>585</v>
      </c>
      <c r="E3349" s="209">
        <v>38.700000000000003</v>
      </c>
      <c r="F3349" s="209">
        <v>11.9</v>
      </c>
      <c r="G3349" s="209">
        <v>50.6</v>
      </c>
      <c r="H3349" s="198"/>
    </row>
    <row r="3350" spans="1:8" ht="15.75" hidden="1" customHeight="1" x14ac:dyDescent="0.25">
      <c r="A3350" s="205" t="s">
        <v>3992</v>
      </c>
      <c r="B3350" s="206">
        <v>94278</v>
      </c>
      <c r="C3350" s="207" t="s">
        <v>3996</v>
      </c>
      <c r="D3350" s="208" t="s">
        <v>585</v>
      </c>
      <c r="E3350" s="209">
        <v>30.99</v>
      </c>
      <c r="F3350" s="209">
        <v>12.38</v>
      </c>
      <c r="G3350" s="209">
        <v>43.37</v>
      </c>
      <c r="H3350" s="198"/>
    </row>
    <row r="3351" spans="1:8" ht="15.75" hidden="1" customHeight="1" x14ac:dyDescent="0.25">
      <c r="A3351" s="205" t="s">
        <v>3992</v>
      </c>
      <c r="B3351" s="206">
        <v>94275</v>
      </c>
      <c r="C3351" s="207" t="s">
        <v>3997</v>
      </c>
      <c r="D3351" s="208" t="s">
        <v>585</v>
      </c>
      <c r="E3351" s="209">
        <v>34.450000000000003</v>
      </c>
      <c r="F3351" s="209">
        <v>10.32</v>
      </c>
      <c r="G3351" s="209">
        <v>44.77</v>
      </c>
      <c r="H3351" s="198"/>
    </row>
    <row r="3352" spans="1:8" ht="15.75" hidden="1" customHeight="1" x14ac:dyDescent="0.25">
      <c r="A3352" s="205" t="s">
        <v>3992</v>
      </c>
      <c r="B3352" s="206">
        <v>94273</v>
      </c>
      <c r="C3352" s="207" t="s">
        <v>3998</v>
      </c>
      <c r="D3352" s="208" t="s">
        <v>585</v>
      </c>
      <c r="E3352" s="209">
        <v>38.07</v>
      </c>
      <c r="F3352" s="209">
        <v>11.11</v>
      </c>
      <c r="G3352" s="209">
        <v>49.18</v>
      </c>
      <c r="H3352" s="198"/>
    </row>
    <row r="3353" spans="1:8" ht="15.75" hidden="1" customHeight="1" x14ac:dyDescent="0.25">
      <c r="A3353" s="205" t="s">
        <v>3992</v>
      </c>
      <c r="B3353" s="206">
        <v>94279</v>
      </c>
      <c r="C3353" s="207" t="s">
        <v>3999</v>
      </c>
      <c r="D3353" s="208" t="s">
        <v>585</v>
      </c>
      <c r="E3353" s="209">
        <v>37.67</v>
      </c>
      <c r="F3353" s="209">
        <v>9.23</v>
      </c>
      <c r="G3353" s="209">
        <v>46.9</v>
      </c>
      <c r="H3353" s="198"/>
    </row>
    <row r="3354" spans="1:8" ht="15.75" hidden="1" customHeight="1" x14ac:dyDescent="0.25">
      <c r="A3354" s="205" t="s">
        <v>3992</v>
      </c>
      <c r="B3354" s="206">
        <v>94277</v>
      </c>
      <c r="C3354" s="207" t="s">
        <v>4000</v>
      </c>
      <c r="D3354" s="208" t="s">
        <v>585</v>
      </c>
      <c r="E3354" s="209">
        <v>29.96</v>
      </c>
      <c r="F3354" s="209">
        <v>9.7200000000000006</v>
      </c>
      <c r="G3354" s="209">
        <v>39.68</v>
      </c>
      <c r="H3354" s="198"/>
    </row>
    <row r="3355" spans="1:8" ht="15.75" hidden="1" customHeight="1" x14ac:dyDescent="0.25">
      <c r="A3355" s="205" t="s">
        <v>3992</v>
      </c>
      <c r="B3355" s="206">
        <v>94294</v>
      </c>
      <c r="C3355" s="207" t="s">
        <v>4001</v>
      </c>
      <c r="D3355" s="208" t="s">
        <v>585</v>
      </c>
      <c r="E3355" s="209">
        <v>5.98</v>
      </c>
      <c r="F3355" s="209">
        <v>2.2999999999999998</v>
      </c>
      <c r="G3355" s="209">
        <v>8.2799999999999994</v>
      </c>
      <c r="H3355" s="198"/>
    </row>
    <row r="3356" spans="1:8" ht="15.75" hidden="1" customHeight="1" x14ac:dyDescent="0.25">
      <c r="A3356" s="205" t="s">
        <v>3992</v>
      </c>
      <c r="B3356" s="206">
        <v>94288</v>
      </c>
      <c r="C3356" s="207" t="s">
        <v>4002</v>
      </c>
      <c r="D3356" s="208" t="s">
        <v>585</v>
      </c>
      <c r="E3356" s="209">
        <v>26.31</v>
      </c>
      <c r="F3356" s="209">
        <v>17.190000000000001</v>
      </c>
      <c r="G3356" s="209">
        <v>43.5</v>
      </c>
      <c r="H3356" s="198"/>
    </row>
    <row r="3357" spans="1:8" ht="15.75" hidden="1" customHeight="1" x14ac:dyDescent="0.25">
      <c r="A3357" s="205" t="s">
        <v>3992</v>
      </c>
      <c r="B3357" s="206">
        <v>94282</v>
      </c>
      <c r="C3357" s="207" t="s">
        <v>4003</v>
      </c>
      <c r="D3357" s="208" t="s">
        <v>585</v>
      </c>
      <c r="E3357" s="209">
        <v>35.86</v>
      </c>
      <c r="F3357" s="209">
        <v>18.8</v>
      </c>
      <c r="G3357" s="209">
        <v>54.66</v>
      </c>
      <c r="H3357" s="198"/>
    </row>
    <row r="3358" spans="1:8" ht="15.75" hidden="1" customHeight="1" x14ac:dyDescent="0.25">
      <c r="A3358" s="205" t="s">
        <v>3992</v>
      </c>
      <c r="B3358" s="206">
        <v>94290</v>
      </c>
      <c r="C3358" s="207" t="s">
        <v>4004</v>
      </c>
      <c r="D3358" s="208" t="s">
        <v>585</v>
      </c>
      <c r="E3358" s="209">
        <v>35.44</v>
      </c>
      <c r="F3358" s="209">
        <v>17.45</v>
      </c>
      <c r="G3358" s="209">
        <v>52.89</v>
      </c>
      <c r="H3358" s="198"/>
    </row>
    <row r="3359" spans="1:8" ht="15.75" hidden="1" customHeight="1" x14ac:dyDescent="0.25">
      <c r="A3359" s="205" t="s">
        <v>3992</v>
      </c>
      <c r="B3359" s="206">
        <v>94284</v>
      </c>
      <c r="C3359" s="207" t="s">
        <v>4005</v>
      </c>
      <c r="D3359" s="208" t="s">
        <v>585</v>
      </c>
      <c r="E3359" s="209">
        <v>49.67</v>
      </c>
      <c r="F3359" s="209">
        <v>20.100000000000001</v>
      </c>
      <c r="G3359" s="209">
        <v>69.77</v>
      </c>
      <c r="H3359" s="198"/>
    </row>
    <row r="3360" spans="1:8" ht="15.75" hidden="1" customHeight="1" x14ac:dyDescent="0.25">
      <c r="A3360" s="205" t="s">
        <v>3992</v>
      </c>
      <c r="B3360" s="206">
        <v>94292</v>
      </c>
      <c r="C3360" s="207" t="s">
        <v>4006</v>
      </c>
      <c r="D3360" s="208" t="s">
        <v>585</v>
      </c>
      <c r="E3360" s="209">
        <v>44.75</v>
      </c>
      <c r="F3360" s="209">
        <v>18.149999999999999</v>
      </c>
      <c r="G3360" s="209">
        <v>62.9</v>
      </c>
      <c r="H3360" s="198"/>
    </row>
    <row r="3361" spans="1:8" ht="15.75" hidden="1" customHeight="1" x14ac:dyDescent="0.25">
      <c r="A3361" s="205" t="s">
        <v>3992</v>
      </c>
      <c r="B3361" s="206">
        <v>94286</v>
      </c>
      <c r="C3361" s="207" t="s">
        <v>4007</v>
      </c>
      <c r="D3361" s="208" t="s">
        <v>585</v>
      </c>
      <c r="E3361" s="209">
        <v>64.34</v>
      </c>
      <c r="F3361" s="209">
        <v>23.57</v>
      </c>
      <c r="G3361" s="209">
        <v>87.91</v>
      </c>
      <c r="H3361" s="198"/>
    </row>
    <row r="3362" spans="1:8" ht="15.75" hidden="1" customHeight="1" x14ac:dyDescent="0.25">
      <c r="A3362" s="205" t="s">
        <v>3992</v>
      </c>
      <c r="B3362" s="206">
        <v>94287</v>
      </c>
      <c r="C3362" s="207" t="s">
        <v>4008</v>
      </c>
      <c r="D3362" s="208" t="s">
        <v>585</v>
      </c>
      <c r="E3362" s="209">
        <v>23.85</v>
      </c>
      <c r="F3362" s="209">
        <v>10.96</v>
      </c>
      <c r="G3362" s="209">
        <v>34.81</v>
      </c>
      <c r="H3362" s="198"/>
    </row>
    <row r="3363" spans="1:8" ht="15.75" hidden="1" customHeight="1" x14ac:dyDescent="0.25">
      <c r="A3363" s="205" t="s">
        <v>3992</v>
      </c>
      <c r="B3363" s="206">
        <v>94281</v>
      </c>
      <c r="C3363" s="207" t="s">
        <v>4009</v>
      </c>
      <c r="D3363" s="208" t="s">
        <v>585</v>
      </c>
      <c r="E3363" s="209">
        <v>33.11</v>
      </c>
      <c r="F3363" s="209">
        <v>11.78</v>
      </c>
      <c r="G3363" s="209">
        <v>44.89</v>
      </c>
      <c r="H3363" s="198"/>
    </row>
    <row r="3364" spans="1:8" ht="15.75" hidden="1" customHeight="1" x14ac:dyDescent="0.25">
      <c r="A3364" s="205" t="s">
        <v>3992</v>
      </c>
      <c r="B3364" s="206">
        <v>94289</v>
      </c>
      <c r="C3364" s="207" t="s">
        <v>4010</v>
      </c>
      <c r="D3364" s="208" t="s">
        <v>585</v>
      </c>
      <c r="E3364" s="209">
        <v>33</v>
      </c>
      <c r="F3364" s="209">
        <v>11.2</v>
      </c>
      <c r="G3364" s="209">
        <v>44.2</v>
      </c>
      <c r="H3364" s="198"/>
    </row>
    <row r="3365" spans="1:8" ht="15.75" hidden="1" customHeight="1" x14ac:dyDescent="0.25">
      <c r="A3365" s="205" t="s">
        <v>3992</v>
      </c>
      <c r="B3365" s="206">
        <v>94283</v>
      </c>
      <c r="C3365" s="207" t="s">
        <v>4011</v>
      </c>
      <c r="D3365" s="208" t="s">
        <v>585</v>
      </c>
      <c r="E3365" s="209">
        <v>46.92</v>
      </c>
      <c r="F3365" s="209">
        <v>13.07</v>
      </c>
      <c r="G3365" s="209">
        <v>59.99</v>
      </c>
      <c r="H3365" s="198"/>
    </row>
    <row r="3366" spans="1:8" ht="15.75" hidden="1" customHeight="1" x14ac:dyDescent="0.25">
      <c r="A3366" s="205" t="s">
        <v>3992</v>
      </c>
      <c r="B3366" s="206">
        <v>94291</v>
      </c>
      <c r="C3366" s="207" t="s">
        <v>4012</v>
      </c>
      <c r="D3366" s="208" t="s">
        <v>585</v>
      </c>
      <c r="E3366" s="209">
        <v>42.32</v>
      </c>
      <c r="F3366" s="209">
        <v>11.89</v>
      </c>
      <c r="G3366" s="209">
        <v>54.21</v>
      </c>
      <c r="H3366" s="198"/>
    </row>
    <row r="3367" spans="1:8" ht="15.75" hidden="1" customHeight="1" x14ac:dyDescent="0.25">
      <c r="A3367" s="205" t="s">
        <v>3992</v>
      </c>
      <c r="B3367" s="206">
        <v>94285</v>
      </c>
      <c r="C3367" s="207" t="s">
        <v>4013</v>
      </c>
      <c r="D3367" s="208" t="s">
        <v>585</v>
      </c>
      <c r="E3367" s="209">
        <v>61.57</v>
      </c>
      <c r="F3367" s="209">
        <v>16.57</v>
      </c>
      <c r="G3367" s="209">
        <v>78.14</v>
      </c>
      <c r="H3367" s="198"/>
    </row>
    <row r="3368" spans="1:8" ht="15.75" hidden="1" customHeight="1" x14ac:dyDescent="0.25">
      <c r="A3368" s="205" t="s">
        <v>3992</v>
      </c>
      <c r="B3368" s="206">
        <v>94293</v>
      </c>
      <c r="C3368" s="207" t="s">
        <v>4014</v>
      </c>
      <c r="D3368" s="208" t="s">
        <v>585</v>
      </c>
      <c r="E3368" s="209">
        <v>137.87</v>
      </c>
      <c r="F3368" s="209">
        <v>36.47</v>
      </c>
      <c r="G3368" s="209">
        <v>174.34</v>
      </c>
      <c r="H3368" s="198"/>
    </row>
    <row r="3369" spans="1:8" ht="15.75" hidden="1" customHeight="1" x14ac:dyDescent="0.25">
      <c r="A3369" s="205" t="s">
        <v>3992</v>
      </c>
      <c r="B3369" s="206">
        <v>94264</v>
      </c>
      <c r="C3369" s="207" t="s">
        <v>4015</v>
      </c>
      <c r="D3369" s="208" t="s">
        <v>585</v>
      </c>
      <c r="E3369" s="209">
        <v>24.81</v>
      </c>
      <c r="F3369" s="209">
        <v>19.53</v>
      </c>
      <c r="G3369" s="209">
        <v>44.34</v>
      </c>
      <c r="H3369" s="198"/>
    </row>
    <row r="3370" spans="1:8" ht="15.75" hidden="1" customHeight="1" x14ac:dyDescent="0.25">
      <c r="A3370" s="205" t="s">
        <v>3992</v>
      </c>
      <c r="B3370" s="206">
        <v>94266</v>
      </c>
      <c r="C3370" s="207" t="s">
        <v>4016</v>
      </c>
      <c r="D3370" s="208" t="s">
        <v>585</v>
      </c>
      <c r="E3370" s="209">
        <v>35.82</v>
      </c>
      <c r="F3370" s="209">
        <v>21.3</v>
      </c>
      <c r="G3370" s="209">
        <v>57.12</v>
      </c>
      <c r="H3370" s="198"/>
    </row>
    <row r="3371" spans="1:8" ht="15.75" hidden="1" customHeight="1" x14ac:dyDescent="0.25">
      <c r="A3371" s="205" t="s">
        <v>3992</v>
      </c>
      <c r="B3371" s="206">
        <v>94263</v>
      </c>
      <c r="C3371" s="207" t="s">
        <v>4017</v>
      </c>
      <c r="D3371" s="208" t="s">
        <v>585</v>
      </c>
      <c r="E3371" s="209">
        <v>22.8</v>
      </c>
      <c r="F3371" s="209">
        <v>15.62</v>
      </c>
      <c r="G3371" s="209">
        <v>38.42</v>
      </c>
      <c r="H3371" s="198"/>
    </row>
    <row r="3372" spans="1:8" ht="15.75" hidden="1" customHeight="1" x14ac:dyDescent="0.25">
      <c r="A3372" s="205" t="s">
        <v>3992</v>
      </c>
      <c r="B3372" s="206">
        <v>94265</v>
      </c>
      <c r="C3372" s="207" t="s">
        <v>4018</v>
      </c>
      <c r="D3372" s="208" t="s">
        <v>585</v>
      </c>
      <c r="E3372" s="209">
        <v>33.520000000000003</v>
      </c>
      <c r="F3372" s="209">
        <v>16.8</v>
      </c>
      <c r="G3372" s="209">
        <v>50.32</v>
      </c>
      <c r="H3372" s="198"/>
    </row>
    <row r="3373" spans="1:8" ht="15.75" hidden="1" customHeight="1" x14ac:dyDescent="0.25">
      <c r="A3373" s="205" t="s">
        <v>3992</v>
      </c>
      <c r="B3373" s="206">
        <v>94268</v>
      </c>
      <c r="C3373" s="207" t="s">
        <v>4019</v>
      </c>
      <c r="D3373" s="208" t="s">
        <v>585</v>
      </c>
      <c r="E3373" s="209">
        <v>44.36</v>
      </c>
      <c r="F3373" s="209">
        <v>22.81</v>
      </c>
      <c r="G3373" s="209">
        <v>67.17</v>
      </c>
      <c r="H3373" s="198"/>
    </row>
    <row r="3374" spans="1:8" ht="15.75" hidden="1" customHeight="1" x14ac:dyDescent="0.25">
      <c r="A3374" s="205" t="s">
        <v>3992</v>
      </c>
      <c r="B3374" s="206">
        <v>94272</v>
      </c>
      <c r="C3374" s="207" t="s">
        <v>4020</v>
      </c>
      <c r="D3374" s="208" t="s">
        <v>585</v>
      </c>
      <c r="E3374" s="209">
        <v>80.849999999999994</v>
      </c>
      <c r="F3374" s="209">
        <v>35.49</v>
      </c>
      <c r="G3374" s="209">
        <v>116.34</v>
      </c>
      <c r="H3374" s="198"/>
    </row>
    <row r="3375" spans="1:8" ht="15.75" hidden="1" customHeight="1" x14ac:dyDescent="0.25">
      <c r="A3375" s="205" t="s">
        <v>3992</v>
      </c>
      <c r="B3375" s="206">
        <v>94267</v>
      </c>
      <c r="C3375" s="207" t="s">
        <v>4021</v>
      </c>
      <c r="D3375" s="208" t="s">
        <v>585</v>
      </c>
      <c r="E3375" s="209">
        <v>41.82</v>
      </c>
      <c r="F3375" s="209">
        <v>17.86</v>
      </c>
      <c r="G3375" s="209">
        <v>59.68</v>
      </c>
      <c r="H3375" s="198"/>
    </row>
    <row r="3376" spans="1:8" ht="15.75" hidden="1" customHeight="1" x14ac:dyDescent="0.25">
      <c r="A3376" s="205" t="s">
        <v>3992</v>
      </c>
      <c r="B3376" s="206">
        <v>94269</v>
      </c>
      <c r="C3376" s="207" t="s">
        <v>4022</v>
      </c>
      <c r="D3376" s="208" t="s">
        <v>585</v>
      </c>
      <c r="E3376" s="209">
        <v>62.21</v>
      </c>
      <c r="F3376" s="209">
        <v>21.78</v>
      </c>
      <c r="G3376" s="209">
        <v>83.99</v>
      </c>
      <c r="H3376" s="198"/>
    </row>
    <row r="3377" spans="1:8" ht="15.75" hidden="1" customHeight="1" x14ac:dyDescent="0.25">
      <c r="A3377" s="205" t="s">
        <v>3992</v>
      </c>
      <c r="B3377" s="206">
        <v>94271</v>
      </c>
      <c r="C3377" s="207" t="s">
        <v>4023</v>
      </c>
      <c r="D3377" s="208" t="s">
        <v>585</v>
      </c>
      <c r="E3377" s="209">
        <v>76.12</v>
      </c>
      <c r="F3377" s="209">
        <v>26.3</v>
      </c>
      <c r="G3377" s="209">
        <v>102.42</v>
      </c>
      <c r="H3377" s="198"/>
    </row>
    <row r="3378" spans="1:8" ht="15.75" hidden="1" customHeight="1" x14ac:dyDescent="0.25">
      <c r="A3378" s="205" t="s">
        <v>3992</v>
      </c>
      <c r="B3378" s="206">
        <v>94270</v>
      </c>
      <c r="C3378" s="207" t="s">
        <v>4024</v>
      </c>
      <c r="D3378" s="208" t="s">
        <v>585</v>
      </c>
      <c r="E3378" s="209">
        <v>65.760000000000005</v>
      </c>
      <c r="F3378" s="209">
        <v>28.66</v>
      </c>
      <c r="G3378" s="209">
        <v>94.42</v>
      </c>
      <c r="H3378" s="198"/>
    </row>
    <row r="3379" spans="1:8" ht="15.75" hidden="1" customHeight="1" x14ac:dyDescent="0.25">
      <c r="A3379" s="205" t="s">
        <v>4025</v>
      </c>
      <c r="B3379" s="206">
        <v>97605</v>
      </c>
      <c r="C3379" s="207" t="s">
        <v>4026</v>
      </c>
      <c r="D3379" s="208" t="s">
        <v>580</v>
      </c>
      <c r="E3379" s="209">
        <v>74.66</v>
      </c>
      <c r="F3379" s="209">
        <v>13.32</v>
      </c>
      <c r="G3379" s="209">
        <v>87.98</v>
      </c>
      <c r="H3379" s="198"/>
    </row>
    <row r="3380" spans="1:8" ht="15.75" hidden="1" customHeight="1" x14ac:dyDescent="0.25">
      <c r="A3380" s="205" t="s">
        <v>4025</v>
      </c>
      <c r="B3380" s="206">
        <v>97607</v>
      </c>
      <c r="C3380" s="207" t="s">
        <v>4027</v>
      </c>
      <c r="D3380" s="208" t="s">
        <v>580</v>
      </c>
      <c r="E3380" s="209">
        <v>92.54</v>
      </c>
      <c r="F3380" s="209">
        <v>20.03</v>
      </c>
      <c r="G3380" s="209">
        <v>112.57</v>
      </c>
      <c r="H3380" s="198"/>
    </row>
    <row r="3381" spans="1:8" ht="15.75" hidden="1" customHeight="1" x14ac:dyDescent="0.25">
      <c r="A3381" s="205" t="s">
        <v>4025</v>
      </c>
      <c r="B3381" s="206">
        <v>97599</v>
      </c>
      <c r="C3381" s="207" t="s">
        <v>4028</v>
      </c>
      <c r="D3381" s="208" t="s">
        <v>580</v>
      </c>
      <c r="E3381" s="209">
        <v>15.74</v>
      </c>
      <c r="F3381" s="209">
        <v>6.13</v>
      </c>
      <c r="G3381" s="209">
        <v>21.87</v>
      </c>
      <c r="H3381" s="198"/>
    </row>
    <row r="3382" spans="1:8" ht="15.75" hidden="1" customHeight="1" x14ac:dyDescent="0.25">
      <c r="A3382" s="205" t="s">
        <v>4025</v>
      </c>
      <c r="B3382" s="206">
        <v>103782</v>
      </c>
      <c r="C3382" s="207" t="s">
        <v>4029</v>
      </c>
      <c r="D3382" s="208" t="s">
        <v>580</v>
      </c>
      <c r="E3382" s="209">
        <v>18.329999999999998</v>
      </c>
      <c r="F3382" s="209">
        <v>16.78</v>
      </c>
      <c r="G3382" s="209">
        <v>35.11</v>
      </c>
      <c r="H3382" s="198"/>
    </row>
    <row r="3383" spans="1:8" ht="15.75" hidden="1" customHeight="1" x14ac:dyDescent="0.25">
      <c r="A3383" s="205" t="s">
        <v>4025</v>
      </c>
      <c r="B3383" s="206">
        <v>97610</v>
      </c>
      <c r="C3383" s="207" t="s">
        <v>4030</v>
      </c>
      <c r="D3383" s="208" t="s">
        <v>580</v>
      </c>
      <c r="E3383" s="209">
        <v>10.86</v>
      </c>
      <c r="F3383" s="209">
        <v>5.64</v>
      </c>
      <c r="G3383" s="209">
        <v>16.5</v>
      </c>
      <c r="H3383" s="198"/>
    </row>
    <row r="3384" spans="1:8" ht="15.75" hidden="1" customHeight="1" x14ac:dyDescent="0.25">
      <c r="A3384" s="205" t="s">
        <v>4025</v>
      </c>
      <c r="B3384" s="206">
        <v>97609</v>
      </c>
      <c r="C3384" s="207" t="s">
        <v>4031</v>
      </c>
      <c r="D3384" s="208" t="s">
        <v>580</v>
      </c>
      <c r="E3384" s="209">
        <v>10.15</v>
      </c>
      <c r="F3384" s="209">
        <v>5.64</v>
      </c>
      <c r="G3384" s="209">
        <v>15.79</v>
      </c>
      <c r="H3384" s="198"/>
    </row>
    <row r="3385" spans="1:8" ht="15.75" hidden="1" customHeight="1" x14ac:dyDescent="0.25">
      <c r="A3385" s="205" t="s">
        <v>4025</v>
      </c>
      <c r="B3385" s="206">
        <v>105554</v>
      </c>
      <c r="C3385" s="207" t="s">
        <v>4032</v>
      </c>
      <c r="D3385" s="208" t="s">
        <v>580</v>
      </c>
      <c r="E3385" s="209">
        <v>10.17</v>
      </c>
      <c r="F3385" s="209">
        <v>8.3000000000000007</v>
      </c>
      <c r="G3385" s="209">
        <v>18.47</v>
      </c>
      <c r="H3385" s="198"/>
    </row>
    <row r="3386" spans="1:8" ht="15.75" hidden="1" customHeight="1" x14ac:dyDescent="0.25">
      <c r="A3386" s="205" t="s">
        <v>4025</v>
      </c>
      <c r="B3386" s="206">
        <v>100903</v>
      </c>
      <c r="C3386" s="207" t="s">
        <v>4033</v>
      </c>
      <c r="D3386" s="208" t="s">
        <v>580</v>
      </c>
      <c r="E3386" s="209">
        <v>22.17</v>
      </c>
      <c r="F3386" s="209">
        <v>13.9</v>
      </c>
      <c r="G3386" s="209">
        <v>36.07</v>
      </c>
      <c r="H3386" s="198"/>
    </row>
    <row r="3387" spans="1:8" ht="15.75" hidden="1" customHeight="1" x14ac:dyDescent="0.25">
      <c r="A3387" s="205" t="s">
        <v>4025</v>
      </c>
      <c r="B3387" s="206">
        <v>100902</v>
      </c>
      <c r="C3387" s="207" t="s">
        <v>4034</v>
      </c>
      <c r="D3387" s="208" t="s">
        <v>580</v>
      </c>
      <c r="E3387" s="209">
        <v>19.04</v>
      </c>
      <c r="F3387" s="209">
        <v>13.89</v>
      </c>
      <c r="G3387" s="209">
        <v>32.93</v>
      </c>
      <c r="H3387" s="198"/>
    </row>
    <row r="3388" spans="1:8" ht="15.75" hidden="1" customHeight="1" x14ac:dyDescent="0.25">
      <c r="A3388" s="205" t="s">
        <v>4025</v>
      </c>
      <c r="B3388" s="206">
        <v>97595</v>
      </c>
      <c r="C3388" s="207" t="s">
        <v>4035</v>
      </c>
      <c r="D3388" s="208" t="s">
        <v>580</v>
      </c>
      <c r="E3388" s="209">
        <v>86.02</v>
      </c>
      <c r="F3388" s="209">
        <v>21.82</v>
      </c>
      <c r="G3388" s="209">
        <v>107.84</v>
      </c>
      <c r="H3388" s="198"/>
    </row>
    <row r="3389" spans="1:8" ht="15.75" hidden="1" customHeight="1" x14ac:dyDescent="0.25">
      <c r="A3389" s="205" t="s">
        <v>4025</v>
      </c>
      <c r="B3389" s="206">
        <v>97597</v>
      </c>
      <c r="C3389" s="207" t="s">
        <v>4036</v>
      </c>
      <c r="D3389" s="208" t="s">
        <v>580</v>
      </c>
      <c r="E3389" s="209">
        <v>60.16</v>
      </c>
      <c r="F3389" s="209">
        <v>16.010000000000002</v>
      </c>
      <c r="G3389" s="209">
        <v>76.17</v>
      </c>
      <c r="H3389" s="198"/>
    </row>
    <row r="3390" spans="1:8" ht="15.75" hidden="1" customHeight="1" x14ac:dyDescent="0.25">
      <c r="A3390" s="205" t="s">
        <v>4025</v>
      </c>
      <c r="B3390" s="206">
        <v>97596</v>
      </c>
      <c r="C3390" s="207" t="s">
        <v>4037</v>
      </c>
      <c r="D3390" s="208" t="s">
        <v>580</v>
      </c>
      <c r="E3390" s="209">
        <v>56.12</v>
      </c>
      <c r="F3390" s="209">
        <v>21.83</v>
      </c>
      <c r="G3390" s="209">
        <v>77.95</v>
      </c>
      <c r="H3390" s="198"/>
    </row>
    <row r="3391" spans="1:8" ht="15.75" hidden="1" customHeight="1" x14ac:dyDescent="0.25">
      <c r="A3391" s="205" t="s">
        <v>4025</v>
      </c>
      <c r="B3391" s="206">
        <v>97598</v>
      </c>
      <c r="C3391" s="207" t="s">
        <v>4038</v>
      </c>
      <c r="D3391" s="208" t="s">
        <v>580</v>
      </c>
      <c r="E3391" s="209">
        <v>56.34</v>
      </c>
      <c r="F3391" s="209">
        <v>16.010000000000002</v>
      </c>
      <c r="G3391" s="209">
        <v>72.349999999999994</v>
      </c>
      <c r="H3391" s="198"/>
    </row>
    <row r="3392" spans="1:8" ht="15.75" hidden="1" customHeight="1" x14ac:dyDescent="0.25">
      <c r="A3392" s="205" t="s">
        <v>4039</v>
      </c>
      <c r="B3392" s="206">
        <v>98562</v>
      </c>
      <c r="C3392" s="207" t="s">
        <v>4040</v>
      </c>
      <c r="D3392" s="208" t="s">
        <v>578</v>
      </c>
      <c r="E3392" s="209">
        <v>25.93</v>
      </c>
      <c r="F3392" s="209">
        <v>33.880000000000003</v>
      </c>
      <c r="G3392" s="209">
        <v>59.81</v>
      </c>
      <c r="H3392" s="198"/>
    </row>
    <row r="3393" spans="1:8" ht="15.75" hidden="1" customHeight="1" x14ac:dyDescent="0.25">
      <c r="A3393" s="205" t="s">
        <v>4039</v>
      </c>
      <c r="B3393" s="206">
        <v>98555</v>
      </c>
      <c r="C3393" s="207" t="s">
        <v>4041</v>
      </c>
      <c r="D3393" s="208" t="s">
        <v>578</v>
      </c>
      <c r="E3393" s="209">
        <v>17.989999999999998</v>
      </c>
      <c r="F3393" s="209">
        <v>19.48</v>
      </c>
      <c r="G3393" s="209">
        <v>37.47</v>
      </c>
      <c r="H3393" s="198"/>
    </row>
    <row r="3394" spans="1:8" ht="15.75" hidden="1" customHeight="1" x14ac:dyDescent="0.25">
      <c r="A3394" s="205" t="s">
        <v>4039</v>
      </c>
      <c r="B3394" s="206">
        <v>98556</v>
      </c>
      <c r="C3394" s="207" t="s">
        <v>4042</v>
      </c>
      <c r="D3394" s="208" t="s">
        <v>578</v>
      </c>
      <c r="E3394" s="209">
        <v>36.64</v>
      </c>
      <c r="F3394" s="209">
        <v>31.88</v>
      </c>
      <c r="G3394" s="209">
        <v>68.52</v>
      </c>
      <c r="H3394" s="198"/>
    </row>
    <row r="3395" spans="1:8" ht="15.75" hidden="1" customHeight="1" x14ac:dyDescent="0.25">
      <c r="A3395" s="205" t="s">
        <v>4039</v>
      </c>
      <c r="B3395" s="206">
        <v>98557</v>
      </c>
      <c r="C3395" s="207" t="s">
        <v>4043</v>
      </c>
      <c r="D3395" s="208" t="s">
        <v>578</v>
      </c>
      <c r="E3395" s="209">
        <v>32.700000000000003</v>
      </c>
      <c r="F3395" s="209">
        <v>13.85</v>
      </c>
      <c r="G3395" s="209">
        <v>46.55</v>
      </c>
      <c r="H3395" s="198"/>
    </row>
    <row r="3396" spans="1:8" ht="15.75" hidden="1" customHeight="1" x14ac:dyDescent="0.25">
      <c r="A3396" s="205" t="s">
        <v>4039</v>
      </c>
      <c r="B3396" s="206">
        <v>98547</v>
      </c>
      <c r="C3396" s="207" t="s">
        <v>4044</v>
      </c>
      <c r="D3396" s="208" t="s">
        <v>578</v>
      </c>
      <c r="E3396" s="209">
        <v>182.86</v>
      </c>
      <c r="F3396" s="209">
        <v>47.9</v>
      </c>
      <c r="G3396" s="209">
        <v>230.76</v>
      </c>
      <c r="H3396" s="198"/>
    </row>
    <row r="3397" spans="1:8" ht="15.75" hidden="1" customHeight="1" x14ac:dyDescent="0.25">
      <c r="A3397" s="205" t="s">
        <v>4039</v>
      </c>
      <c r="B3397" s="206">
        <v>98546</v>
      </c>
      <c r="C3397" s="207" t="s">
        <v>4045</v>
      </c>
      <c r="D3397" s="208" t="s">
        <v>578</v>
      </c>
      <c r="E3397" s="209">
        <v>106.98</v>
      </c>
      <c r="F3397" s="209">
        <v>30.08</v>
      </c>
      <c r="G3397" s="209">
        <v>137.06</v>
      </c>
      <c r="H3397" s="198"/>
    </row>
    <row r="3398" spans="1:8" ht="15.75" hidden="1" customHeight="1" x14ac:dyDescent="0.25">
      <c r="A3398" s="205" t="s">
        <v>4039</v>
      </c>
      <c r="B3398" s="206">
        <v>98553</v>
      </c>
      <c r="C3398" s="207" t="s">
        <v>4046</v>
      </c>
      <c r="D3398" s="208" t="s">
        <v>578</v>
      </c>
      <c r="E3398" s="209">
        <v>157.38999999999999</v>
      </c>
      <c r="F3398" s="209">
        <v>16.059999999999999</v>
      </c>
      <c r="G3398" s="209">
        <v>173.45</v>
      </c>
      <c r="H3398" s="198"/>
    </row>
    <row r="3399" spans="1:8" ht="15.75" hidden="1" customHeight="1" x14ac:dyDescent="0.25">
      <c r="A3399" s="205" t="s">
        <v>4039</v>
      </c>
      <c r="B3399" s="206">
        <v>98554</v>
      </c>
      <c r="C3399" s="207" t="s">
        <v>4047</v>
      </c>
      <c r="D3399" s="208" t="s">
        <v>578</v>
      </c>
      <c r="E3399" s="209">
        <v>33.61</v>
      </c>
      <c r="F3399" s="209">
        <v>18.38</v>
      </c>
      <c r="G3399" s="209">
        <v>51.99</v>
      </c>
      <c r="H3399" s="198"/>
    </row>
    <row r="3400" spans="1:8" ht="15.75" hidden="1" customHeight="1" x14ac:dyDescent="0.25">
      <c r="A3400" s="205" t="s">
        <v>4039</v>
      </c>
      <c r="B3400" s="206">
        <v>98565</v>
      </c>
      <c r="C3400" s="207" t="s">
        <v>4048</v>
      </c>
      <c r="D3400" s="208" t="s">
        <v>578</v>
      </c>
      <c r="E3400" s="209">
        <v>32.630000000000003</v>
      </c>
      <c r="F3400" s="209">
        <v>30.07</v>
      </c>
      <c r="G3400" s="209">
        <v>62.7</v>
      </c>
      <c r="H3400" s="198"/>
    </row>
    <row r="3401" spans="1:8" ht="15.75" hidden="1" customHeight="1" x14ac:dyDescent="0.25">
      <c r="A3401" s="205" t="s">
        <v>4039</v>
      </c>
      <c r="B3401" s="206">
        <v>98567</v>
      </c>
      <c r="C3401" s="207" t="s">
        <v>4049</v>
      </c>
      <c r="D3401" s="208" t="s">
        <v>578</v>
      </c>
      <c r="E3401" s="209">
        <v>41.05</v>
      </c>
      <c r="F3401" s="209">
        <v>39.72</v>
      </c>
      <c r="G3401" s="209">
        <v>80.77</v>
      </c>
      <c r="H3401" s="198"/>
    </row>
    <row r="3402" spans="1:8" ht="15.75" hidden="1" customHeight="1" x14ac:dyDescent="0.25">
      <c r="A3402" s="205" t="s">
        <v>4039</v>
      </c>
      <c r="B3402" s="206">
        <v>98569</v>
      </c>
      <c r="C3402" s="207" t="s">
        <v>4050</v>
      </c>
      <c r="D3402" s="208" t="s">
        <v>578</v>
      </c>
      <c r="E3402" s="209">
        <v>50.16</v>
      </c>
      <c r="F3402" s="209">
        <v>49.58</v>
      </c>
      <c r="G3402" s="209">
        <v>99.74</v>
      </c>
      <c r="H3402" s="198"/>
    </row>
    <row r="3403" spans="1:8" ht="15.75" hidden="1" customHeight="1" x14ac:dyDescent="0.25">
      <c r="A3403" s="205" t="s">
        <v>4039</v>
      </c>
      <c r="B3403" s="206">
        <v>98571</v>
      </c>
      <c r="C3403" s="207" t="s">
        <v>4051</v>
      </c>
      <c r="D3403" s="208" t="s">
        <v>578</v>
      </c>
      <c r="E3403" s="209">
        <v>28.99</v>
      </c>
      <c r="F3403" s="209">
        <v>21.33</v>
      </c>
      <c r="G3403" s="209">
        <v>50.32</v>
      </c>
      <c r="H3403" s="198"/>
    </row>
    <row r="3404" spans="1:8" ht="15.75" hidden="1" customHeight="1" x14ac:dyDescent="0.25">
      <c r="A3404" s="205" t="s">
        <v>4039</v>
      </c>
      <c r="B3404" s="206">
        <v>98572</v>
      </c>
      <c r="C3404" s="207" t="s">
        <v>4052</v>
      </c>
      <c r="D3404" s="208" t="s">
        <v>578</v>
      </c>
      <c r="E3404" s="209">
        <v>35.200000000000003</v>
      </c>
      <c r="F3404" s="209">
        <v>26.65</v>
      </c>
      <c r="G3404" s="209">
        <v>61.85</v>
      </c>
      <c r="H3404" s="198"/>
    </row>
    <row r="3405" spans="1:8" ht="15.75" hidden="1" customHeight="1" x14ac:dyDescent="0.25">
      <c r="A3405" s="205" t="s">
        <v>4039</v>
      </c>
      <c r="B3405" s="206">
        <v>98563</v>
      </c>
      <c r="C3405" s="207" t="s">
        <v>4053</v>
      </c>
      <c r="D3405" s="208" t="s">
        <v>578</v>
      </c>
      <c r="E3405" s="209">
        <v>23.55</v>
      </c>
      <c r="F3405" s="209">
        <v>20.2</v>
      </c>
      <c r="G3405" s="209">
        <v>43.75</v>
      </c>
      <c r="H3405" s="198"/>
    </row>
    <row r="3406" spans="1:8" ht="15.75" hidden="1" customHeight="1" x14ac:dyDescent="0.25">
      <c r="A3406" s="205" t="s">
        <v>4039</v>
      </c>
      <c r="B3406" s="206">
        <v>98564</v>
      </c>
      <c r="C3406" s="207" t="s">
        <v>4054</v>
      </c>
      <c r="D3406" s="208" t="s">
        <v>578</v>
      </c>
      <c r="E3406" s="209">
        <v>37.29</v>
      </c>
      <c r="F3406" s="209">
        <v>22.17</v>
      </c>
      <c r="G3406" s="209">
        <v>59.46</v>
      </c>
      <c r="H3406" s="198"/>
    </row>
    <row r="3407" spans="1:8" ht="15.75" hidden="1" customHeight="1" x14ac:dyDescent="0.25">
      <c r="A3407" s="205" t="s">
        <v>4039</v>
      </c>
      <c r="B3407" s="206">
        <v>98566</v>
      </c>
      <c r="C3407" s="207" t="s">
        <v>4055</v>
      </c>
      <c r="D3407" s="208" t="s">
        <v>578</v>
      </c>
      <c r="E3407" s="209">
        <v>46.37</v>
      </c>
      <c r="F3407" s="209">
        <v>32.04</v>
      </c>
      <c r="G3407" s="209">
        <v>78.41</v>
      </c>
      <c r="H3407" s="198"/>
    </row>
    <row r="3408" spans="1:8" ht="15.75" hidden="1" customHeight="1" x14ac:dyDescent="0.25">
      <c r="A3408" s="205" t="s">
        <v>4039</v>
      </c>
      <c r="B3408" s="206">
        <v>98568</v>
      </c>
      <c r="C3408" s="207" t="s">
        <v>4056</v>
      </c>
      <c r="D3408" s="208" t="s">
        <v>578</v>
      </c>
      <c r="E3408" s="209">
        <v>54.8</v>
      </c>
      <c r="F3408" s="209">
        <v>41.69</v>
      </c>
      <c r="G3408" s="209">
        <v>96.49</v>
      </c>
      <c r="H3408" s="198"/>
    </row>
    <row r="3409" spans="1:8" ht="15.75" hidden="1" customHeight="1" x14ac:dyDescent="0.25">
      <c r="A3409" s="205" t="s">
        <v>4039</v>
      </c>
      <c r="B3409" s="206">
        <v>98570</v>
      </c>
      <c r="C3409" s="207" t="s">
        <v>4057</v>
      </c>
      <c r="D3409" s="208" t="s">
        <v>578</v>
      </c>
      <c r="E3409" s="209">
        <v>63.91</v>
      </c>
      <c r="F3409" s="209">
        <v>51.54</v>
      </c>
      <c r="G3409" s="209">
        <v>115.45</v>
      </c>
      <c r="H3409" s="198"/>
    </row>
    <row r="3410" spans="1:8" ht="15.75" hidden="1" customHeight="1" x14ac:dyDescent="0.25">
      <c r="A3410" s="205" t="s">
        <v>4039</v>
      </c>
      <c r="B3410" s="206">
        <v>98573</v>
      </c>
      <c r="C3410" s="207" t="s">
        <v>4058</v>
      </c>
      <c r="D3410" s="208" t="s">
        <v>578</v>
      </c>
      <c r="E3410" s="209">
        <v>48.78</v>
      </c>
      <c r="F3410" s="209">
        <v>28.04</v>
      </c>
      <c r="G3410" s="209">
        <v>76.819999999999993</v>
      </c>
      <c r="H3410" s="198"/>
    </row>
    <row r="3411" spans="1:8" ht="15.75" hidden="1" customHeight="1" x14ac:dyDescent="0.25">
      <c r="A3411" s="205" t="s">
        <v>4039</v>
      </c>
      <c r="B3411" s="206">
        <v>98576</v>
      </c>
      <c r="C3411" s="207" t="s">
        <v>4059</v>
      </c>
      <c r="D3411" s="208" t="s">
        <v>585</v>
      </c>
      <c r="E3411" s="209">
        <v>23.95</v>
      </c>
      <c r="F3411" s="209">
        <v>0.91</v>
      </c>
      <c r="G3411" s="209">
        <v>24.86</v>
      </c>
      <c r="H3411" s="198"/>
    </row>
    <row r="3412" spans="1:8" ht="15.75" hidden="1" customHeight="1" x14ac:dyDescent="0.25">
      <c r="A3412" s="205" t="s">
        <v>4039</v>
      </c>
      <c r="B3412" s="206">
        <v>98575</v>
      </c>
      <c r="C3412" s="207" t="s">
        <v>4060</v>
      </c>
      <c r="D3412" s="208" t="s">
        <v>585</v>
      </c>
      <c r="E3412" s="209">
        <v>40.46</v>
      </c>
      <c r="F3412" s="209">
        <v>41.91</v>
      </c>
      <c r="G3412" s="209">
        <v>82.37</v>
      </c>
      <c r="H3412" s="198"/>
    </row>
    <row r="3413" spans="1:8" ht="15.75" hidden="1" customHeight="1" x14ac:dyDescent="0.25">
      <c r="A3413" s="205" t="s">
        <v>4039</v>
      </c>
      <c r="B3413" s="206">
        <v>98577</v>
      </c>
      <c r="C3413" s="207" t="s">
        <v>4061</v>
      </c>
      <c r="D3413" s="208" t="s">
        <v>585</v>
      </c>
      <c r="E3413" s="209">
        <v>21.92</v>
      </c>
      <c r="F3413" s="209">
        <v>36.79</v>
      </c>
      <c r="G3413" s="209">
        <v>58.71</v>
      </c>
      <c r="H3413" s="198"/>
    </row>
    <row r="3414" spans="1:8" ht="15.75" hidden="1" customHeight="1" x14ac:dyDescent="0.25">
      <c r="A3414" s="205" t="s">
        <v>4039</v>
      </c>
      <c r="B3414" s="206">
        <v>98558</v>
      </c>
      <c r="C3414" s="207" t="s">
        <v>4062</v>
      </c>
      <c r="D3414" s="208" t="s">
        <v>580</v>
      </c>
      <c r="E3414" s="209">
        <v>6.7</v>
      </c>
      <c r="F3414" s="209">
        <v>4.3899999999999997</v>
      </c>
      <c r="G3414" s="209">
        <v>11.09</v>
      </c>
      <c r="H3414" s="198"/>
    </row>
    <row r="3415" spans="1:8" ht="15.75" hidden="1" customHeight="1" x14ac:dyDescent="0.25">
      <c r="A3415" s="205" t="s">
        <v>4039</v>
      </c>
      <c r="B3415" s="206">
        <v>98559</v>
      </c>
      <c r="C3415" s="207" t="s">
        <v>4063</v>
      </c>
      <c r="D3415" s="208" t="s">
        <v>585</v>
      </c>
      <c r="E3415" s="209">
        <v>3.85</v>
      </c>
      <c r="F3415" s="209">
        <v>1.94</v>
      </c>
      <c r="G3415" s="209">
        <v>5.79</v>
      </c>
      <c r="H3415" s="198"/>
    </row>
    <row r="3416" spans="1:8" ht="15.75" hidden="1" customHeight="1" x14ac:dyDescent="0.25">
      <c r="A3416" s="205" t="s">
        <v>4064</v>
      </c>
      <c r="B3416" s="206">
        <v>91925</v>
      </c>
      <c r="C3416" s="207" t="s">
        <v>4065</v>
      </c>
      <c r="D3416" s="208" t="s">
        <v>585</v>
      </c>
      <c r="E3416" s="209">
        <v>2.82</v>
      </c>
      <c r="F3416" s="209">
        <v>1.1299999999999999</v>
      </c>
      <c r="G3416" s="209">
        <v>3.95</v>
      </c>
      <c r="H3416" s="198"/>
    </row>
    <row r="3417" spans="1:8" ht="15.75" hidden="1" customHeight="1" x14ac:dyDescent="0.25">
      <c r="A3417" s="205" t="s">
        <v>4064</v>
      </c>
      <c r="B3417" s="206">
        <v>91924</v>
      </c>
      <c r="C3417" s="207" t="s">
        <v>4066</v>
      </c>
      <c r="D3417" s="208" t="s">
        <v>585</v>
      </c>
      <c r="E3417" s="209">
        <v>2.2200000000000002</v>
      </c>
      <c r="F3417" s="209">
        <v>1.1200000000000001</v>
      </c>
      <c r="G3417" s="209">
        <v>3.34</v>
      </c>
      <c r="H3417" s="198"/>
    </row>
    <row r="3418" spans="1:8" ht="15.75" hidden="1" customHeight="1" x14ac:dyDescent="0.25">
      <c r="A3418" s="205" t="s">
        <v>4064</v>
      </c>
      <c r="B3418" s="206">
        <v>91933</v>
      </c>
      <c r="C3418" s="207" t="s">
        <v>4067</v>
      </c>
      <c r="D3418" s="208" t="s">
        <v>585</v>
      </c>
      <c r="E3418" s="209">
        <v>13.51</v>
      </c>
      <c r="F3418" s="209">
        <v>3.75</v>
      </c>
      <c r="G3418" s="209">
        <v>17.260000000000002</v>
      </c>
      <c r="H3418" s="198"/>
    </row>
    <row r="3419" spans="1:8" ht="15.75" hidden="1" customHeight="1" x14ac:dyDescent="0.25">
      <c r="A3419" s="205" t="s">
        <v>4064</v>
      </c>
      <c r="B3419" s="206">
        <v>91932</v>
      </c>
      <c r="C3419" s="207" t="s">
        <v>4068</v>
      </c>
      <c r="D3419" s="208" t="s">
        <v>585</v>
      </c>
      <c r="E3419" s="209">
        <v>14.1</v>
      </c>
      <c r="F3419" s="209">
        <v>3.75</v>
      </c>
      <c r="G3419" s="209">
        <v>17.850000000000001</v>
      </c>
      <c r="H3419" s="198"/>
    </row>
    <row r="3420" spans="1:8" ht="15.75" hidden="1" customHeight="1" x14ac:dyDescent="0.25">
      <c r="A3420" s="205" t="s">
        <v>4064</v>
      </c>
      <c r="B3420" s="206">
        <v>91935</v>
      </c>
      <c r="C3420" s="207" t="s">
        <v>4069</v>
      </c>
      <c r="D3420" s="208" t="s">
        <v>585</v>
      </c>
      <c r="E3420" s="209">
        <v>21.36</v>
      </c>
      <c r="F3420" s="209">
        <v>5.63</v>
      </c>
      <c r="G3420" s="209">
        <v>26.99</v>
      </c>
      <c r="H3420" s="198"/>
    </row>
    <row r="3421" spans="1:8" ht="15.75" hidden="1" customHeight="1" x14ac:dyDescent="0.25">
      <c r="A3421" s="205" t="s">
        <v>4064</v>
      </c>
      <c r="B3421" s="206">
        <v>91934</v>
      </c>
      <c r="C3421" s="207" t="s">
        <v>4070</v>
      </c>
      <c r="D3421" s="208" t="s">
        <v>585</v>
      </c>
      <c r="E3421" s="209">
        <v>20.239999999999998</v>
      </c>
      <c r="F3421" s="209">
        <v>5.62</v>
      </c>
      <c r="G3421" s="209">
        <v>25.86</v>
      </c>
      <c r="H3421" s="198"/>
    </row>
    <row r="3422" spans="1:8" ht="15.75" hidden="1" customHeight="1" x14ac:dyDescent="0.25">
      <c r="A3422" s="205" t="s">
        <v>4064</v>
      </c>
      <c r="B3422" s="206">
        <v>91927</v>
      </c>
      <c r="C3422" s="207" t="s">
        <v>4071</v>
      </c>
      <c r="D3422" s="208" t="s">
        <v>585</v>
      </c>
      <c r="E3422" s="209">
        <v>3.88</v>
      </c>
      <c r="F3422" s="209">
        <v>1.42</v>
      </c>
      <c r="G3422" s="209">
        <v>5.3</v>
      </c>
      <c r="H3422" s="198"/>
    </row>
    <row r="3423" spans="1:8" ht="15.75" hidden="1" customHeight="1" x14ac:dyDescent="0.25">
      <c r="A3423" s="205" t="s">
        <v>4064</v>
      </c>
      <c r="B3423" s="206">
        <v>91926</v>
      </c>
      <c r="C3423" s="207" t="s">
        <v>4072</v>
      </c>
      <c r="D3423" s="208" t="s">
        <v>585</v>
      </c>
      <c r="E3423" s="209">
        <v>3.35</v>
      </c>
      <c r="F3423" s="209">
        <v>1.43</v>
      </c>
      <c r="G3423" s="209">
        <v>4.78</v>
      </c>
      <c r="H3423" s="198"/>
    </row>
    <row r="3424" spans="1:8" ht="15.75" hidden="1" customHeight="1" x14ac:dyDescent="0.25">
      <c r="A3424" s="205" t="s">
        <v>4064</v>
      </c>
      <c r="B3424" s="206">
        <v>91929</v>
      </c>
      <c r="C3424" s="207" t="s">
        <v>4073</v>
      </c>
      <c r="D3424" s="208" t="s">
        <v>585</v>
      </c>
      <c r="E3424" s="209">
        <v>5.81</v>
      </c>
      <c r="F3424" s="209">
        <v>1.92</v>
      </c>
      <c r="G3424" s="209">
        <v>7.73</v>
      </c>
      <c r="H3424" s="198"/>
    </row>
    <row r="3425" spans="1:8" ht="15.75" hidden="1" customHeight="1" x14ac:dyDescent="0.25">
      <c r="A3425" s="205" t="s">
        <v>4064</v>
      </c>
      <c r="B3425" s="206">
        <v>91928</v>
      </c>
      <c r="C3425" s="207" t="s">
        <v>4074</v>
      </c>
      <c r="D3425" s="208" t="s">
        <v>585</v>
      </c>
      <c r="E3425" s="209">
        <v>5.37</v>
      </c>
      <c r="F3425" s="209">
        <v>1.92</v>
      </c>
      <c r="G3425" s="209">
        <v>7.29</v>
      </c>
      <c r="H3425" s="198"/>
    </row>
    <row r="3426" spans="1:8" ht="15.75" hidden="1" customHeight="1" x14ac:dyDescent="0.25">
      <c r="A3426" s="205" t="s">
        <v>4064</v>
      </c>
      <c r="B3426" s="206">
        <v>91931</v>
      </c>
      <c r="C3426" s="207" t="s">
        <v>4075</v>
      </c>
      <c r="D3426" s="208" t="s">
        <v>585</v>
      </c>
      <c r="E3426" s="209">
        <v>8.33</v>
      </c>
      <c r="F3426" s="209">
        <v>2.52</v>
      </c>
      <c r="G3426" s="209">
        <v>10.85</v>
      </c>
      <c r="H3426" s="198"/>
    </row>
    <row r="3427" spans="1:8" ht="15.75" hidden="1" customHeight="1" x14ac:dyDescent="0.25">
      <c r="A3427" s="205" t="s">
        <v>4064</v>
      </c>
      <c r="B3427" s="206">
        <v>91930</v>
      </c>
      <c r="C3427" s="207" t="s">
        <v>4076</v>
      </c>
      <c r="D3427" s="208" t="s">
        <v>585</v>
      </c>
      <c r="E3427" s="209">
        <v>7.61</v>
      </c>
      <c r="F3427" s="209">
        <v>2.5099999999999998</v>
      </c>
      <c r="G3427" s="209">
        <v>10.119999999999999</v>
      </c>
      <c r="H3427" s="198"/>
    </row>
    <row r="3428" spans="1:8" ht="15.75" hidden="1" customHeight="1" x14ac:dyDescent="0.25">
      <c r="A3428" s="205" t="s">
        <v>4064</v>
      </c>
      <c r="B3428" s="206">
        <v>91937</v>
      </c>
      <c r="C3428" s="207" t="s">
        <v>4077</v>
      </c>
      <c r="D3428" s="208" t="s">
        <v>580</v>
      </c>
      <c r="E3428" s="209">
        <v>11.07</v>
      </c>
      <c r="F3428" s="209">
        <v>10.99</v>
      </c>
      <c r="G3428" s="209">
        <v>22.06</v>
      </c>
      <c r="H3428" s="198"/>
    </row>
    <row r="3429" spans="1:8" ht="15.75" hidden="1" customHeight="1" x14ac:dyDescent="0.25">
      <c r="A3429" s="205" t="s">
        <v>4064</v>
      </c>
      <c r="B3429" s="206">
        <v>92865</v>
      </c>
      <c r="C3429" s="207" t="s">
        <v>4078</v>
      </c>
      <c r="D3429" s="208" t="s">
        <v>580</v>
      </c>
      <c r="E3429" s="209">
        <v>7.06</v>
      </c>
      <c r="F3429" s="209">
        <v>10.99</v>
      </c>
      <c r="G3429" s="209">
        <v>18.05</v>
      </c>
      <c r="H3429" s="198"/>
    </row>
    <row r="3430" spans="1:8" ht="15.75" hidden="1" customHeight="1" x14ac:dyDescent="0.25">
      <c r="A3430" s="205" t="s">
        <v>4064</v>
      </c>
      <c r="B3430" s="206">
        <v>91936</v>
      </c>
      <c r="C3430" s="207" t="s">
        <v>4079</v>
      </c>
      <c r="D3430" s="208" t="s">
        <v>580</v>
      </c>
      <c r="E3430" s="209">
        <v>14.16</v>
      </c>
      <c r="F3430" s="209">
        <v>10.99</v>
      </c>
      <c r="G3430" s="209">
        <v>25.15</v>
      </c>
      <c r="H3430" s="198"/>
    </row>
    <row r="3431" spans="1:8" ht="15.75" hidden="1" customHeight="1" x14ac:dyDescent="0.25">
      <c r="A3431" s="205" t="s">
        <v>4064</v>
      </c>
      <c r="B3431" s="206">
        <v>92867</v>
      </c>
      <c r="C3431" s="207" t="s">
        <v>4080</v>
      </c>
      <c r="D3431" s="208" t="s">
        <v>580</v>
      </c>
      <c r="E3431" s="209">
        <v>12.12</v>
      </c>
      <c r="F3431" s="209">
        <v>27.38</v>
      </c>
      <c r="G3431" s="209">
        <v>39.5</v>
      </c>
      <c r="H3431" s="198"/>
    </row>
    <row r="3432" spans="1:8" ht="15.75" hidden="1" customHeight="1" x14ac:dyDescent="0.25">
      <c r="A3432" s="205" t="s">
        <v>4064</v>
      </c>
      <c r="B3432" s="206">
        <v>91939</v>
      </c>
      <c r="C3432" s="207" t="s">
        <v>4081</v>
      </c>
      <c r="D3432" s="208" t="s">
        <v>580</v>
      </c>
      <c r="E3432" s="209">
        <v>14.62</v>
      </c>
      <c r="F3432" s="209">
        <v>27.38</v>
      </c>
      <c r="G3432" s="209">
        <v>42</v>
      </c>
      <c r="H3432" s="198"/>
    </row>
    <row r="3433" spans="1:8" ht="15.75" hidden="1" customHeight="1" x14ac:dyDescent="0.25">
      <c r="A3433" s="205" t="s">
        <v>4064</v>
      </c>
      <c r="B3433" s="206">
        <v>92869</v>
      </c>
      <c r="C3433" s="207" t="s">
        <v>4082</v>
      </c>
      <c r="D3433" s="208" t="s">
        <v>580</v>
      </c>
      <c r="E3433" s="209">
        <v>4.91</v>
      </c>
      <c r="F3433" s="209">
        <v>8.27</v>
      </c>
      <c r="G3433" s="209">
        <v>13.18</v>
      </c>
      <c r="H3433" s="198"/>
    </row>
    <row r="3434" spans="1:8" ht="15.75" hidden="1" customHeight="1" x14ac:dyDescent="0.25">
      <c r="A3434" s="205" t="s">
        <v>4064</v>
      </c>
      <c r="B3434" s="206">
        <v>91941</v>
      </c>
      <c r="C3434" s="207" t="s">
        <v>4083</v>
      </c>
      <c r="D3434" s="208" t="s">
        <v>580</v>
      </c>
      <c r="E3434" s="209">
        <v>7.42</v>
      </c>
      <c r="F3434" s="209">
        <v>8.26</v>
      </c>
      <c r="G3434" s="209">
        <v>15.68</v>
      </c>
      <c r="H3434" s="198"/>
    </row>
    <row r="3435" spans="1:8" ht="15.75" hidden="1" customHeight="1" x14ac:dyDescent="0.25">
      <c r="A3435" s="205" t="s">
        <v>4064</v>
      </c>
      <c r="B3435" s="206">
        <v>92868</v>
      </c>
      <c r="C3435" s="207" t="s">
        <v>4084</v>
      </c>
      <c r="D3435" s="208" t="s">
        <v>580</v>
      </c>
      <c r="E3435" s="209">
        <v>7.28</v>
      </c>
      <c r="F3435" s="209">
        <v>14.56</v>
      </c>
      <c r="G3435" s="209">
        <v>21.84</v>
      </c>
      <c r="H3435" s="198"/>
    </row>
    <row r="3436" spans="1:8" ht="15.75" hidden="1" customHeight="1" x14ac:dyDescent="0.25">
      <c r="A3436" s="205" t="s">
        <v>4064</v>
      </c>
      <c r="B3436" s="206">
        <v>91940</v>
      </c>
      <c r="C3436" s="207" t="s">
        <v>4085</v>
      </c>
      <c r="D3436" s="208" t="s">
        <v>580</v>
      </c>
      <c r="E3436" s="209">
        <v>9.7799999999999994</v>
      </c>
      <c r="F3436" s="209">
        <v>14.56</v>
      </c>
      <c r="G3436" s="209">
        <v>24.34</v>
      </c>
      <c r="H3436" s="198"/>
    </row>
    <row r="3437" spans="1:8" ht="15.75" hidden="1" customHeight="1" x14ac:dyDescent="0.25">
      <c r="A3437" s="205" t="s">
        <v>4064</v>
      </c>
      <c r="B3437" s="206">
        <v>92870</v>
      </c>
      <c r="C3437" s="207" t="s">
        <v>4086</v>
      </c>
      <c r="D3437" s="208" t="s">
        <v>580</v>
      </c>
      <c r="E3437" s="209">
        <v>14.17</v>
      </c>
      <c r="F3437" s="209">
        <v>28.38</v>
      </c>
      <c r="G3437" s="209">
        <v>42.55</v>
      </c>
      <c r="H3437" s="198"/>
    </row>
    <row r="3438" spans="1:8" ht="15.75" hidden="1" customHeight="1" x14ac:dyDescent="0.25">
      <c r="A3438" s="205" t="s">
        <v>4064</v>
      </c>
      <c r="B3438" s="206">
        <v>91942</v>
      </c>
      <c r="C3438" s="207" t="s">
        <v>4087</v>
      </c>
      <c r="D3438" s="208" t="s">
        <v>580</v>
      </c>
      <c r="E3438" s="209">
        <v>18.96</v>
      </c>
      <c r="F3438" s="209">
        <v>28.38</v>
      </c>
      <c r="G3438" s="209">
        <v>47.34</v>
      </c>
      <c r="H3438" s="198"/>
    </row>
    <row r="3439" spans="1:8" ht="15.75" hidden="1" customHeight="1" x14ac:dyDescent="0.25">
      <c r="A3439" s="205" t="s">
        <v>4064</v>
      </c>
      <c r="B3439" s="206">
        <v>92872</v>
      </c>
      <c r="C3439" s="207" t="s">
        <v>4088</v>
      </c>
      <c r="D3439" s="208" t="s">
        <v>580</v>
      </c>
      <c r="E3439" s="209">
        <v>6.71</v>
      </c>
      <c r="F3439" s="209">
        <v>8.57</v>
      </c>
      <c r="G3439" s="209">
        <v>15.28</v>
      </c>
      <c r="H3439" s="198"/>
    </row>
    <row r="3440" spans="1:8" ht="15.75" hidden="1" customHeight="1" x14ac:dyDescent="0.25">
      <c r="A3440" s="205" t="s">
        <v>4064</v>
      </c>
      <c r="B3440" s="206">
        <v>91944</v>
      </c>
      <c r="C3440" s="207" t="s">
        <v>4089</v>
      </c>
      <c r="D3440" s="208" t="s">
        <v>580</v>
      </c>
      <c r="E3440" s="209">
        <v>11.51</v>
      </c>
      <c r="F3440" s="209">
        <v>8.56</v>
      </c>
      <c r="G3440" s="209">
        <v>20.07</v>
      </c>
      <c r="H3440" s="198"/>
    </row>
    <row r="3441" spans="1:8" ht="15.75" hidden="1" customHeight="1" x14ac:dyDescent="0.25">
      <c r="A3441" s="205" t="s">
        <v>4064</v>
      </c>
      <c r="B3441" s="206">
        <v>92871</v>
      </c>
      <c r="C3441" s="207" t="s">
        <v>4090</v>
      </c>
      <c r="D3441" s="208" t="s">
        <v>580</v>
      </c>
      <c r="E3441" s="209">
        <v>9.19</v>
      </c>
      <c r="F3441" s="209">
        <v>15.09</v>
      </c>
      <c r="G3441" s="209">
        <v>24.28</v>
      </c>
      <c r="H3441" s="198"/>
    </row>
    <row r="3442" spans="1:8" ht="15.75" hidden="1" customHeight="1" x14ac:dyDescent="0.25">
      <c r="A3442" s="205" t="s">
        <v>4064</v>
      </c>
      <c r="B3442" s="206">
        <v>91943</v>
      </c>
      <c r="C3442" s="207" t="s">
        <v>4091</v>
      </c>
      <c r="D3442" s="208" t="s">
        <v>580</v>
      </c>
      <c r="E3442" s="209">
        <v>13.98</v>
      </c>
      <c r="F3442" s="209">
        <v>15.09</v>
      </c>
      <c r="G3442" s="209">
        <v>29.07</v>
      </c>
      <c r="H3442" s="198"/>
    </row>
    <row r="3443" spans="1:8" ht="15.75" hidden="1" customHeight="1" x14ac:dyDescent="0.25">
      <c r="A3443" s="205" t="s">
        <v>4064</v>
      </c>
      <c r="B3443" s="206">
        <v>92866</v>
      </c>
      <c r="C3443" s="207" t="s">
        <v>4092</v>
      </c>
      <c r="D3443" s="208" t="s">
        <v>580</v>
      </c>
      <c r="E3443" s="209">
        <v>5.47</v>
      </c>
      <c r="F3443" s="209">
        <v>10.99</v>
      </c>
      <c r="G3443" s="209">
        <v>16.46</v>
      </c>
      <c r="H3443" s="198"/>
    </row>
    <row r="3444" spans="1:8" ht="15.75" hidden="1" customHeight="1" x14ac:dyDescent="0.25">
      <c r="A3444" s="205" t="s">
        <v>4064</v>
      </c>
      <c r="B3444" s="206">
        <v>91987</v>
      </c>
      <c r="C3444" s="207" t="s">
        <v>4093</v>
      </c>
      <c r="D3444" s="208" t="s">
        <v>580</v>
      </c>
      <c r="E3444" s="209">
        <v>34.4</v>
      </c>
      <c r="F3444" s="209">
        <v>24.21</v>
      </c>
      <c r="G3444" s="209">
        <v>58.61</v>
      </c>
      <c r="H3444" s="198"/>
    </row>
    <row r="3445" spans="1:8" ht="15.75" hidden="1" customHeight="1" x14ac:dyDescent="0.25">
      <c r="A3445" s="205" t="s">
        <v>4064</v>
      </c>
      <c r="B3445" s="206">
        <v>91986</v>
      </c>
      <c r="C3445" s="207" t="s">
        <v>4094</v>
      </c>
      <c r="D3445" s="208" t="s">
        <v>580</v>
      </c>
      <c r="E3445" s="209">
        <v>27.14</v>
      </c>
      <c r="F3445" s="209">
        <v>17.86</v>
      </c>
      <c r="G3445" s="209">
        <v>45</v>
      </c>
      <c r="H3445" s="198"/>
    </row>
    <row r="3446" spans="1:8" ht="15.75" hidden="1" customHeight="1" x14ac:dyDescent="0.25">
      <c r="A3446" s="205" t="s">
        <v>4064</v>
      </c>
      <c r="B3446" s="206">
        <v>97559</v>
      </c>
      <c r="C3446" s="207" t="s">
        <v>4095</v>
      </c>
      <c r="D3446" s="208" t="s">
        <v>580</v>
      </c>
      <c r="E3446" s="209">
        <v>7.97</v>
      </c>
      <c r="F3446" s="209">
        <v>10.199999999999999</v>
      </c>
      <c r="G3446" s="209">
        <v>18.170000000000002</v>
      </c>
      <c r="H3446" s="198"/>
    </row>
    <row r="3447" spans="1:8" ht="15.75" hidden="1" customHeight="1" x14ac:dyDescent="0.25">
      <c r="A3447" s="205" t="s">
        <v>4064</v>
      </c>
      <c r="B3447" s="206">
        <v>97562</v>
      </c>
      <c r="C3447" s="207" t="s">
        <v>4096</v>
      </c>
      <c r="D3447" s="208" t="s">
        <v>580</v>
      </c>
      <c r="E3447" s="209">
        <v>7.15</v>
      </c>
      <c r="F3447" s="209">
        <v>8.02</v>
      </c>
      <c r="G3447" s="209">
        <v>15.17</v>
      </c>
      <c r="H3447" s="198"/>
    </row>
    <row r="3448" spans="1:8" ht="15.75" hidden="1" customHeight="1" x14ac:dyDescent="0.25">
      <c r="A3448" s="205" t="s">
        <v>4064</v>
      </c>
      <c r="B3448" s="206">
        <v>97564</v>
      </c>
      <c r="C3448" s="207" t="s">
        <v>4097</v>
      </c>
      <c r="D3448" s="208" t="s">
        <v>580</v>
      </c>
      <c r="E3448" s="209">
        <v>9.65</v>
      </c>
      <c r="F3448" s="209">
        <v>14.59</v>
      </c>
      <c r="G3448" s="209">
        <v>24.24</v>
      </c>
      <c r="H3448" s="198"/>
    </row>
    <row r="3449" spans="1:8" ht="15.75" hidden="1" customHeight="1" x14ac:dyDescent="0.25">
      <c r="A3449" s="205" t="s">
        <v>4064</v>
      </c>
      <c r="B3449" s="206">
        <v>91889</v>
      </c>
      <c r="C3449" s="207" t="s">
        <v>4098</v>
      </c>
      <c r="D3449" s="208" t="s">
        <v>580</v>
      </c>
      <c r="E3449" s="209">
        <v>7.36</v>
      </c>
      <c r="F3449" s="209">
        <v>9</v>
      </c>
      <c r="G3449" s="209">
        <v>16.36</v>
      </c>
      <c r="H3449" s="198"/>
    </row>
    <row r="3450" spans="1:8" ht="15.75" hidden="1" customHeight="1" x14ac:dyDescent="0.25">
      <c r="A3450" s="205" t="s">
        <v>4064</v>
      </c>
      <c r="B3450" s="206">
        <v>91901</v>
      </c>
      <c r="C3450" s="207" t="s">
        <v>4099</v>
      </c>
      <c r="D3450" s="208" t="s">
        <v>580</v>
      </c>
      <c r="E3450" s="209">
        <v>6.54</v>
      </c>
      <c r="F3450" s="209">
        <v>6.82</v>
      </c>
      <c r="G3450" s="209">
        <v>13.36</v>
      </c>
      <c r="H3450" s="198"/>
    </row>
    <row r="3451" spans="1:8" ht="15.75" hidden="1" customHeight="1" x14ac:dyDescent="0.25">
      <c r="A3451" s="205" t="s">
        <v>4064</v>
      </c>
      <c r="B3451" s="206">
        <v>91913</v>
      </c>
      <c r="C3451" s="207" t="s">
        <v>4100</v>
      </c>
      <c r="D3451" s="208" t="s">
        <v>580</v>
      </c>
      <c r="E3451" s="209">
        <v>9.0299999999999994</v>
      </c>
      <c r="F3451" s="209">
        <v>13.46</v>
      </c>
      <c r="G3451" s="209">
        <v>22.49</v>
      </c>
      <c r="H3451" s="198"/>
    </row>
    <row r="3452" spans="1:8" ht="15.75" hidden="1" customHeight="1" x14ac:dyDescent="0.25">
      <c r="A3452" s="205" t="s">
        <v>4064</v>
      </c>
      <c r="B3452" s="206">
        <v>91892</v>
      </c>
      <c r="C3452" s="207" t="s">
        <v>4101</v>
      </c>
      <c r="D3452" s="208" t="s">
        <v>580</v>
      </c>
      <c r="E3452" s="209">
        <v>11.55</v>
      </c>
      <c r="F3452" s="209">
        <v>10.199999999999999</v>
      </c>
      <c r="G3452" s="209">
        <v>21.75</v>
      </c>
      <c r="H3452" s="198"/>
    </row>
    <row r="3453" spans="1:8" ht="15.75" hidden="1" customHeight="1" x14ac:dyDescent="0.25">
      <c r="A3453" s="205" t="s">
        <v>4064</v>
      </c>
      <c r="B3453" s="206">
        <v>91904</v>
      </c>
      <c r="C3453" s="207" t="s">
        <v>4102</v>
      </c>
      <c r="D3453" s="208" t="s">
        <v>580</v>
      </c>
      <c r="E3453" s="209">
        <v>10.74</v>
      </c>
      <c r="F3453" s="209">
        <v>8.01</v>
      </c>
      <c r="G3453" s="209">
        <v>18.75</v>
      </c>
      <c r="H3453" s="198"/>
    </row>
    <row r="3454" spans="1:8" ht="15.75" hidden="1" customHeight="1" x14ac:dyDescent="0.25">
      <c r="A3454" s="205" t="s">
        <v>4064</v>
      </c>
      <c r="B3454" s="206">
        <v>91916</v>
      </c>
      <c r="C3454" s="207" t="s">
        <v>4103</v>
      </c>
      <c r="D3454" s="208" t="s">
        <v>580</v>
      </c>
      <c r="E3454" s="209">
        <v>13.23</v>
      </c>
      <c r="F3454" s="209">
        <v>14.59</v>
      </c>
      <c r="G3454" s="209">
        <v>27.82</v>
      </c>
      <c r="H3454" s="198"/>
    </row>
    <row r="3455" spans="1:8" ht="15.75" hidden="1" customHeight="1" x14ac:dyDescent="0.25">
      <c r="A3455" s="205" t="s">
        <v>4064</v>
      </c>
      <c r="B3455" s="206">
        <v>91895</v>
      </c>
      <c r="C3455" s="207" t="s">
        <v>4104</v>
      </c>
      <c r="D3455" s="208" t="s">
        <v>580</v>
      </c>
      <c r="E3455" s="209">
        <v>14.55</v>
      </c>
      <c r="F3455" s="209">
        <v>11.88</v>
      </c>
      <c r="G3455" s="209">
        <v>26.43</v>
      </c>
      <c r="H3455" s="198"/>
    </row>
    <row r="3456" spans="1:8" ht="15.75" hidden="1" customHeight="1" x14ac:dyDescent="0.25">
      <c r="A3456" s="205" t="s">
        <v>4064</v>
      </c>
      <c r="B3456" s="206">
        <v>91907</v>
      </c>
      <c r="C3456" s="207" t="s">
        <v>4105</v>
      </c>
      <c r="D3456" s="208" t="s">
        <v>580</v>
      </c>
      <c r="E3456" s="209">
        <v>13.73</v>
      </c>
      <c r="F3456" s="209">
        <v>9.6999999999999993</v>
      </c>
      <c r="G3456" s="209">
        <v>23.43</v>
      </c>
      <c r="H3456" s="198"/>
    </row>
    <row r="3457" spans="1:8" ht="15.75" hidden="1" customHeight="1" x14ac:dyDescent="0.25">
      <c r="A3457" s="205" t="s">
        <v>4064</v>
      </c>
      <c r="B3457" s="206">
        <v>91919</v>
      </c>
      <c r="C3457" s="207" t="s">
        <v>4106</v>
      </c>
      <c r="D3457" s="208" t="s">
        <v>580</v>
      </c>
      <c r="E3457" s="209">
        <v>16.190000000000001</v>
      </c>
      <c r="F3457" s="209">
        <v>16.239999999999998</v>
      </c>
      <c r="G3457" s="209">
        <v>32.43</v>
      </c>
      <c r="H3457" s="198"/>
    </row>
    <row r="3458" spans="1:8" ht="15.75" hidden="1" customHeight="1" x14ac:dyDescent="0.25">
      <c r="A3458" s="205" t="s">
        <v>4064</v>
      </c>
      <c r="B3458" s="206">
        <v>91898</v>
      </c>
      <c r="C3458" s="207" t="s">
        <v>4107</v>
      </c>
      <c r="D3458" s="208" t="s">
        <v>580</v>
      </c>
      <c r="E3458" s="209">
        <v>16.37</v>
      </c>
      <c r="F3458" s="209">
        <v>13.76</v>
      </c>
      <c r="G3458" s="209">
        <v>30.13</v>
      </c>
      <c r="H3458" s="198"/>
    </row>
    <row r="3459" spans="1:8" ht="15.75" hidden="1" customHeight="1" x14ac:dyDescent="0.25">
      <c r="A3459" s="205" t="s">
        <v>4064</v>
      </c>
      <c r="B3459" s="206">
        <v>91910</v>
      </c>
      <c r="C3459" s="207" t="s">
        <v>4108</v>
      </c>
      <c r="D3459" s="208" t="s">
        <v>580</v>
      </c>
      <c r="E3459" s="209">
        <v>15.57</v>
      </c>
      <c r="F3459" s="209">
        <v>11.63</v>
      </c>
      <c r="G3459" s="209">
        <v>27.2</v>
      </c>
      <c r="H3459" s="198"/>
    </row>
    <row r="3460" spans="1:8" ht="15.75" hidden="1" customHeight="1" x14ac:dyDescent="0.25">
      <c r="A3460" s="205" t="s">
        <v>4064</v>
      </c>
      <c r="B3460" s="206">
        <v>91922</v>
      </c>
      <c r="C3460" s="207" t="s">
        <v>4109</v>
      </c>
      <c r="D3460" s="208" t="s">
        <v>580</v>
      </c>
      <c r="E3460" s="209">
        <v>18</v>
      </c>
      <c r="F3460" s="209">
        <v>18.07</v>
      </c>
      <c r="G3460" s="209">
        <v>36.07</v>
      </c>
      <c r="H3460" s="198"/>
    </row>
    <row r="3461" spans="1:8" ht="15.75" hidden="1" customHeight="1" x14ac:dyDescent="0.25">
      <c r="A3461" s="205" t="s">
        <v>4064</v>
      </c>
      <c r="B3461" s="206">
        <v>91887</v>
      </c>
      <c r="C3461" s="207" t="s">
        <v>4110</v>
      </c>
      <c r="D3461" s="208" t="s">
        <v>580</v>
      </c>
      <c r="E3461" s="209">
        <v>7.84</v>
      </c>
      <c r="F3461" s="209">
        <v>9</v>
      </c>
      <c r="G3461" s="209">
        <v>16.84</v>
      </c>
      <c r="H3461" s="198"/>
    </row>
    <row r="3462" spans="1:8" ht="15.75" hidden="1" customHeight="1" x14ac:dyDescent="0.25">
      <c r="A3462" s="205" t="s">
        <v>4064</v>
      </c>
      <c r="B3462" s="206">
        <v>91899</v>
      </c>
      <c r="C3462" s="207" t="s">
        <v>4111</v>
      </c>
      <c r="D3462" s="208" t="s">
        <v>580</v>
      </c>
      <c r="E3462" s="209">
        <v>7.01</v>
      </c>
      <c r="F3462" s="209">
        <v>6.83</v>
      </c>
      <c r="G3462" s="209">
        <v>13.84</v>
      </c>
      <c r="H3462" s="198"/>
    </row>
    <row r="3463" spans="1:8" ht="15.75" hidden="1" customHeight="1" x14ac:dyDescent="0.25">
      <c r="A3463" s="205" t="s">
        <v>4064</v>
      </c>
      <c r="B3463" s="206">
        <v>91911</v>
      </c>
      <c r="C3463" s="207" t="s">
        <v>4112</v>
      </c>
      <c r="D3463" s="208" t="s">
        <v>580</v>
      </c>
      <c r="E3463" s="209">
        <v>9.51</v>
      </c>
      <c r="F3463" s="209">
        <v>13.46</v>
      </c>
      <c r="G3463" s="209">
        <v>22.97</v>
      </c>
      <c r="H3463" s="198"/>
    </row>
    <row r="3464" spans="1:8" ht="15.75" hidden="1" customHeight="1" x14ac:dyDescent="0.25">
      <c r="A3464" s="205" t="s">
        <v>4064</v>
      </c>
      <c r="B3464" s="206">
        <v>91890</v>
      </c>
      <c r="C3464" s="207" t="s">
        <v>4113</v>
      </c>
      <c r="D3464" s="208" t="s">
        <v>580</v>
      </c>
      <c r="E3464" s="209">
        <v>8.33</v>
      </c>
      <c r="F3464" s="209">
        <v>10.199999999999999</v>
      </c>
      <c r="G3464" s="209">
        <v>18.53</v>
      </c>
      <c r="H3464" s="198"/>
    </row>
    <row r="3465" spans="1:8" ht="15.75" hidden="1" customHeight="1" x14ac:dyDescent="0.25">
      <c r="A3465" s="205" t="s">
        <v>4064</v>
      </c>
      <c r="B3465" s="206">
        <v>91902</v>
      </c>
      <c r="C3465" s="207" t="s">
        <v>4114</v>
      </c>
      <c r="D3465" s="208" t="s">
        <v>580</v>
      </c>
      <c r="E3465" s="209">
        <v>7.52</v>
      </c>
      <c r="F3465" s="209">
        <v>8.01</v>
      </c>
      <c r="G3465" s="209">
        <v>15.53</v>
      </c>
      <c r="H3465" s="198"/>
    </row>
    <row r="3466" spans="1:8" ht="15.75" hidden="1" customHeight="1" x14ac:dyDescent="0.25">
      <c r="A3466" s="205" t="s">
        <v>4064</v>
      </c>
      <c r="B3466" s="206">
        <v>91914</v>
      </c>
      <c r="C3466" s="207" t="s">
        <v>4115</v>
      </c>
      <c r="D3466" s="208" t="s">
        <v>580</v>
      </c>
      <c r="E3466" s="209">
        <v>10</v>
      </c>
      <c r="F3466" s="209">
        <v>14.6</v>
      </c>
      <c r="G3466" s="209">
        <v>24.6</v>
      </c>
      <c r="H3466" s="198"/>
    </row>
    <row r="3467" spans="1:8" ht="15.75" hidden="1" customHeight="1" x14ac:dyDescent="0.25">
      <c r="A3467" s="205" t="s">
        <v>4064</v>
      </c>
      <c r="B3467" s="206">
        <v>91893</v>
      </c>
      <c r="C3467" s="207" t="s">
        <v>4116</v>
      </c>
      <c r="D3467" s="208" t="s">
        <v>580</v>
      </c>
      <c r="E3467" s="209">
        <v>11.3</v>
      </c>
      <c r="F3467" s="209">
        <v>11.87</v>
      </c>
      <c r="G3467" s="209">
        <v>23.17</v>
      </c>
      <c r="H3467" s="198"/>
    </row>
    <row r="3468" spans="1:8" ht="15.75" hidden="1" customHeight="1" x14ac:dyDescent="0.25">
      <c r="A3468" s="205" t="s">
        <v>4064</v>
      </c>
      <c r="B3468" s="206">
        <v>91905</v>
      </c>
      <c r="C3468" s="207" t="s">
        <v>4117</v>
      </c>
      <c r="D3468" s="208" t="s">
        <v>580</v>
      </c>
      <c r="E3468" s="209">
        <v>10.48</v>
      </c>
      <c r="F3468" s="209">
        <v>9.69</v>
      </c>
      <c r="G3468" s="209">
        <v>20.170000000000002</v>
      </c>
      <c r="H3468" s="198"/>
    </row>
    <row r="3469" spans="1:8" ht="15.75" hidden="1" customHeight="1" x14ac:dyDescent="0.25">
      <c r="A3469" s="205" t="s">
        <v>4064</v>
      </c>
      <c r="B3469" s="206">
        <v>91917</v>
      </c>
      <c r="C3469" s="207" t="s">
        <v>4118</v>
      </c>
      <c r="D3469" s="208" t="s">
        <v>580</v>
      </c>
      <c r="E3469" s="209">
        <v>12.94</v>
      </c>
      <c r="F3469" s="209">
        <v>16.23</v>
      </c>
      <c r="G3469" s="209">
        <v>29.17</v>
      </c>
      <c r="H3469" s="198"/>
    </row>
    <row r="3470" spans="1:8" ht="15.75" hidden="1" customHeight="1" x14ac:dyDescent="0.25">
      <c r="A3470" s="205" t="s">
        <v>4064</v>
      </c>
      <c r="B3470" s="206">
        <v>91896</v>
      </c>
      <c r="C3470" s="207" t="s">
        <v>4119</v>
      </c>
      <c r="D3470" s="208" t="s">
        <v>580</v>
      </c>
      <c r="E3470" s="209">
        <v>12.86</v>
      </c>
      <c r="F3470" s="209">
        <v>13.77</v>
      </c>
      <c r="G3470" s="209">
        <v>26.63</v>
      </c>
      <c r="H3470" s="198"/>
    </row>
    <row r="3471" spans="1:8" ht="15.75" hidden="1" customHeight="1" x14ac:dyDescent="0.25">
      <c r="A3471" s="205" t="s">
        <v>4064</v>
      </c>
      <c r="B3471" s="206">
        <v>91908</v>
      </c>
      <c r="C3471" s="207" t="s">
        <v>4120</v>
      </c>
      <c r="D3471" s="208" t="s">
        <v>580</v>
      </c>
      <c r="E3471" s="209">
        <v>12.07</v>
      </c>
      <c r="F3471" s="209">
        <v>11.63</v>
      </c>
      <c r="G3471" s="209">
        <v>23.7</v>
      </c>
      <c r="H3471" s="198"/>
    </row>
    <row r="3472" spans="1:8" ht="15.75" hidden="1" customHeight="1" x14ac:dyDescent="0.25">
      <c r="A3472" s="205" t="s">
        <v>4064</v>
      </c>
      <c r="B3472" s="206">
        <v>91920</v>
      </c>
      <c r="C3472" s="207" t="s">
        <v>4121</v>
      </c>
      <c r="D3472" s="208" t="s">
        <v>580</v>
      </c>
      <c r="E3472" s="209">
        <v>14.5</v>
      </c>
      <c r="F3472" s="209">
        <v>18.07</v>
      </c>
      <c r="G3472" s="209">
        <v>32.57</v>
      </c>
      <c r="H3472" s="198"/>
    </row>
    <row r="3473" spans="1:8" ht="15.75" hidden="1" customHeight="1" x14ac:dyDescent="0.25">
      <c r="A3473" s="205" t="s">
        <v>4064</v>
      </c>
      <c r="B3473" s="206">
        <v>91983</v>
      </c>
      <c r="C3473" s="207" t="s">
        <v>4122</v>
      </c>
      <c r="D3473" s="208" t="s">
        <v>580</v>
      </c>
      <c r="E3473" s="209">
        <v>96.33</v>
      </c>
      <c r="F3473" s="209">
        <v>17.809999999999999</v>
      </c>
      <c r="G3473" s="209">
        <v>114.14</v>
      </c>
      <c r="H3473" s="198"/>
    </row>
    <row r="3474" spans="1:8" ht="15.75" hidden="1" customHeight="1" x14ac:dyDescent="0.25">
      <c r="A3474" s="205" t="s">
        <v>4064</v>
      </c>
      <c r="B3474" s="206">
        <v>91982</v>
      </c>
      <c r="C3474" s="207" t="s">
        <v>4123</v>
      </c>
      <c r="D3474" s="208" t="s">
        <v>580</v>
      </c>
      <c r="E3474" s="209">
        <v>89.05</v>
      </c>
      <c r="F3474" s="209">
        <v>11.48</v>
      </c>
      <c r="G3474" s="209">
        <v>100.53</v>
      </c>
      <c r="H3474" s="198"/>
    </row>
    <row r="3475" spans="1:8" ht="15.75" hidden="1" customHeight="1" x14ac:dyDescent="0.25">
      <c r="A3475" s="205" t="s">
        <v>4064</v>
      </c>
      <c r="B3475" s="206">
        <v>91833</v>
      </c>
      <c r="C3475" s="207" t="s">
        <v>4124</v>
      </c>
      <c r="D3475" s="208" t="s">
        <v>585</v>
      </c>
      <c r="E3475" s="209">
        <v>12.61</v>
      </c>
      <c r="F3475" s="209">
        <v>10.78</v>
      </c>
      <c r="G3475" s="209">
        <v>23.39</v>
      </c>
      <c r="H3475" s="198"/>
    </row>
    <row r="3476" spans="1:8" ht="15.75" hidden="1" customHeight="1" x14ac:dyDescent="0.25">
      <c r="A3476" s="205" t="s">
        <v>4064</v>
      </c>
      <c r="B3476" s="206">
        <v>91843</v>
      </c>
      <c r="C3476" s="207" t="s">
        <v>4125</v>
      </c>
      <c r="D3476" s="208" t="s">
        <v>585</v>
      </c>
      <c r="E3476" s="209">
        <v>6.02</v>
      </c>
      <c r="F3476" s="209">
        <v>3.02</v>
      </c>
      <c r="G3476" s="209">
        <v>9.0399999999999991</v>
      </c>
      <c r="H3476" s="198"/>
    </row>
    <row r="3477" spans="1:8" ht="15.75" hidden="1" customHeight="1" x14ac:dyDescent="0.25">
      <c r="A3477" s="205" t="s">
        <v>4064</v>
      </c>
      <c r="B3477" s="206">
        <v>91853</v>
      </c>
      <c r="C3477" s="207" t="s">
        <v>4126</v>
      </c>
      <c r="D3477" s="208" t="s">
        <v>585</v>
      </c>
      <c r="E3477" s="209">
        <v>6.8</v>
      </c>
      <c r="F3477" s="209">
        <v>6.13</v>
      </c>
      <c r="G3477" s="209">
        <v>12.93</v>
      </c>
      <c r="H3477" s="198"/>
    </row>
    <row r="3478" spans="1:8" ht="15.75" hidden="1" customHeight="1" x14ac:dyDescent="0.25">
      <c r="A3478" s="205" t="s">
        <v>4064</v>
      </c>
      <c r="B3478" s="206">
        <v>91835</v>
      </c>
      <c r="C3478" s="207" t="s">
        <v>4127</v>
      </c>
      <c r="D3478" s="208" t="s">
        <v>585</v>
      </c>
      <c r="E3478" s="209">
        <v>14.54</v>
      </c>
      <c r="F3478" s="209">
        <v>11.32</v>
      </c>
      <c r="G3478" s="209">
        <v>25.86</v>
      </c>
      <c r="H3478" s="198"/>
    </row>
    <row r="3479" spans="1:8" ht="15.75" hidden="1" customHeight="1" x14ac:dyDescent="0.25">
      <c r="A3479" s="205" t="s">
        <v>4064</v>
      </c>
      <c r="B3479" s="206">
        <v>91845</v>
      </c>
      <c r="C3479" s="207" t="s">
        <v>4128</v>
      </c>
      <c r="D3479" s="208" t="s">
        <v>585</v>
      </c>
      <c r="E3479" s="209">
        <v>7.94</v>
      </c>
      <c r="F3479" s="209">
        <v>3.5</v>
      </c>
      <c r="G3479" s="209">
        <v>11.44</v>
      </c>
      <c r="H3479" s="198"/>
    </row>
    <row r="3480" spans="1:8" ht="15.75" hidden="1" customHeight="1" x14ac:dyDescent="0.25">
      <c r="A3480" s="205" t="s">
        <v>4064</v>
      </c>
      <c r="B3480" s="206">
        <v>91855</v>
      </c>
      <c r="C3480" s="207" t="s">
        <v>4129</v>
      </c>
      <c r="D3480" s="208" t="s">
        <v>585</v>
      </c>
      <c r="E3480" s="209">
        <v>8.57</v>
      </c>
      <c r="F3480" s="209">
        <v>6.63</v>
      </c>
      <c r="G3480" s="209">
        <v>15.2</v>
      </c>
      <c r="H3480" s="198"/>
    </row>
    <row r="3481" spans="1:8" ht="15.75" hidden="1" customHeight="1" x14ac:dyDescent="0.25">
      <c r="A3481" s="205" t="s">
        <v>4064</v>
      </c>
      <c r="B3481" s="206">
        <v>91837</v>
      </c>
      <c r="C3481" s="207" t="s">
        <v>4130</v>
      </c>
      <c r="D3481" s="208" t="s">
        <v>585</v>
      </c>
      <c r="E3481" s="209">
        <v>20.87</v>
      </c>
      <c r="F3481" s="209">
        <v>12.02</v>
      </c>
      <c r="G3481" s="209">
        <v>32.89</v>
      </c>
      <c r="H3481" s="198"/>
    </row>
    <row r="3482" spans="1:8" ht="15.75" hidden="1" customHeight="1" x14ac:dyDescent="0.25">
      <c r="A3482" s="205" t="s">
        <v>4064</v>
      </c>
      <c r="B3482" s="206">
        <v>91847</v>
      </c>
      <c r="C3482" s="207" t="s">
        <v>4131</v>
      </c>
      <c r="D3482" s="208" t="s">
        <v>585</v>
      </c>
      <c r="E3482" s="209">
        <v>14.31</v>
      </c>
      <c r="F3482" s="209">
        <v>4.24</v>
      </c>
      <c r="G3482" s="209">
        <v>18.55</v>
      </c>
      <c r="H3482" s="198"/>
    </row>
    <row r="3483" spans="1:8" ht="15.75" hidden="1" customHeight="1" x14ac:dyDescent="0.25">
      <c r="A3483" s="205" t="s">
        <v>4064</v>
      </c>
      <c r="B3483" s="206">
        <v>91857</v>
      </c>
      <c r="C3483" s="207" t="s">
        <v>4132</v>
      </c>
      <c r="D3483" s="208" t="s">
        <v>585</v>
      </c>
      <c r="E3483" s="209">
        <v>14.45</v>
      </c>
      <c r="F3483" s="209">
        <v>7.38</v>
      </c>
      <c r="G3483" s="209">
        <v>21.83</v>
      </c>
      <c r="H3483" s="198"/>
    </row>
    <row r="3484" spans="1:8" ht="15.75" hidden="1" customHeight="1" x14ac:dyDescent="0.25">
      <c r="A3484" s="205" t="s">
        <v>4064</v>
      </c>
      <c r="B3484" s="206">
        <v>91840</v>
      </c>
      <c r="C3484" s="207" t="s">
        <v>4133</v>
      </c>
      <c r="D3484" s="208" t="s">
        <v>585</v>
      </c>
      <c r="E3484" s="209">
        <v>14.27</v>
      </c>
      <c r="F3484" s="209">
        <v>12.92</v>
      </c>
      <c r="G3484" s="209">
        <v>27.19</v>
      </c>
      <c r="H3484" s="198"/>
    </row>
    <row r="3485" spans="1:8" ht="15.75" hidden="1" customHeight="1" x14ac:dyDescent="0.25">
      <c r="A3485" s="205" t="s">
        <v>4064</v>
      </c>
      <c r="B3485" s="206">
        <v>91850</v>
      </c>
      <c r="C3485" s="207" t="s">
        <v>4134</v>
      </c>
      <c r="D3485" s="208" t="s">
        <v>585</v>
      </c>
      <c r="E3485" s="209">
        <v>7.71</v>
      </c>
      <c r="F3485" s="209">
        <v>5.09</v>
      </c>
      <c r="G3485" s="209">
        <v>12.8</v>
      </c>
      <c r="H3485" s="198"/>
    </row>
    <row r="3486" spans="1:8" ht="15.75" hidden="1" customHeight="1" x14ac:dyDescent="0.25">
      <c r="A3486" s="205" t="s">
        <v>4064</v>
      </c>
      <c r="B3486" s="206">
        <v>91860</v>
      </c>
      <c r="C3486" s="207" t="s">
        <v>4135</v>
      </c>
      <c r="D3486" s="208" t="s">
        <v>585</v>
      </c>
      <c r="E3486" s="209">
        <v>8.39</v>
      </c>
      <c r="F3486" s="209">
        <v>8.2100000000000009</v>
      </c>
      <c r="G3486" s="209">
        <v>16.600000000000001</v>
      </c>
      <c r="H3486" s="198"/>
    </row>
    <row r="3487" spans="1:8" ht="15.75" hidden="1" customHeight="1" x14ac:dyDescent="0.25">
      <c r="A3487" s="205" t="s">
        <v>4064</v>
      </c>
      <c r="B3487" s="206">
        <v>91831</v>
      </c>
      <c r="C3487" s="207" t="s">
        <v>4136</v>
      </c>
      <c r="D3487" s="208" t="s">
        <v>585</v>
      </c>
      <c r="E3487" s="209">
        <v>11.73</v>
      </c>
      <c r="F3487" s="209">
        <v>10.78</v>
      </c>
      <c r="G3487" s="209">
        <v>22.51</v>
      </c>
      <c r="H3487" s="198"/>
    </row>
    <row r="3488" spans="1:8" ht="15.75" hidden="1" customHeight="1" x14ac:dyDescent="0.25">
      <c r="A3488" s="205" t="s">
        <v>4064</v>
      </c>
      <c r="B3488" s="206">
        <v>91852</v>
      </c>
      <c r="C3488" s="207" t="s">
        <v>4137</v>
      </c>
      <c r="D3488" s="208" t="s">
        <v>585</v>
      </c>
      <c r="E3488" s="209">
        <v>5.99</v>
      </c>
      <c r="F3488" s="209">
        <v>6.13</v>
      </c>
      <c r="G3488" s="209">
        <v>12.12</v>
      </c>
      <c r="H3488" s="198"/>
    </row>
    <row r="3489" spans="1:8" ht="15.75" hidden="1" customHeight="1" x14ac:dyDescent="0.25">
      <c r="A3489" s="205" t="s">
        <v>4064</v>
      </c>
      <c r="B3489" s="206">
        <v>91834</v>
      </c>
      <c r="C3489" s="207" t="s">
        <v>4138</v>
      </c>
      <c r="D3489" s="208" t="s">
        <v>585</v>
      </c>
      <c r="E3489" s="209">
        <v>12.27</v>
      </c>
      <c r="F3489" s="209">
        <v>11.33</v>
      </c>
      <c r="G3489" s="209">
        <v>23.6</v>
      </c>
      <c r="H3489" s="198"/>
    </row>
    <row r="3490" spans="1:8" ht="15.75" hidden="1" customHeight="1" x14ac:dyDescent="0.25">
      <c r="A3490" s="205" t="s">
        <v>4064</v>
      </c>
      <c r="B3490" s="206">
        <v>91854</v>
      </c>
      <c r="C3490" s="207" t="s">
        <v>4139</v>
      </c>
      <c r="D3490" s="208" t="s">
        <v>585</v>
      </c>
      <c r="E3490" s="209">
        <v>6.48</v>
      </c>
      <c r="F3490" s="209">
        <v>6.62</v>
      </c>
      <c r="G3490" s="209">
        <v>13.1</v>
      </c>
      <c r="H3490" s="198"/>
    </row>
    <row r="3491" spans="1:8" ht="15.75" hidden="1" customHeight="1" x14ac:dyDescent="0.25">
      <c r="A3491" s="205" t="s">
        <v>4064</v>
      </c>
      <c r="B3491" s="206">
        <v>91836</v>
      </c>
      <c r="C3491" s="207" t="s">
        <v>4140</v>
      </c>
      <c r="D3491" s="208" t="s">
        <v>585</v>
      </c>
      <c r="E3491" s="209">
        <v>15.6</v>
      </c>
      <c r="F3491" s="209">
        <v>12.02</v>
      </c>
      <c r="G3491" s="209">
        <v>27.62</v>
      </c>
      <c r="H3491" s="198"/>
    </row>
    <row r="3492" spans="1:8" ht="15.75" hidden="1" customHeight="1" x14ac:dyDescent="0.25">
      <c r="A3492" s="205" t="s">
        <v>4064</v>
      </c>
      <c r="B3492" s="206">
        <v>91856</v>
      </c>
      <c r="C3492" s="207" t="s">
        <v>4141</v>
      </c>
      <c r="D3492" s="208" t="s">
        <v>585</v>
      </c>
      <c r="E3492" s="209">
        <v>9.59</v>
      </c>
      <c r="F3492" s="209">
        <v>7.37</v>
      </c>
      <c r="G3492" s="209">
        <v>16.96</v>
      </c>
      <c r="H3492" s="198"/>
    </row>
    <row r="3493" spans="1:8" ht="15.75" hidden="1" customHeight="1" x14ac:dyDescent="0.25">
      <c r="A3493" s="205" t="s">
        <v>4064</v>
      </c>
      <c r="B3493" s="206">
        <v>91839</v>
      </c>
      <c r="C3493" s="207" t="s">
        <v>4142</v>
      </c>
      <c r="D3493" s="208" t="s">
        <v>585</v>
      </c>
      <c r="E3493" s="209">
        <v>12.01</v>
      </c>
      <c r="F3493" s="209">
        <v>12.01</v>
      </c>
      <c r="G3493" s="209">
        <v>24.02</v>
      </c>
      <c r="H3493" s="198"/>
    </row>
    <row r="3494" spans="1:8" ht="15.75" hidden="1" customHeight="1" x14ac:dyDescent="0.25">
      <c r="A3494" s="205" t="s">
        <v>4064</v>
      </c>
      <c r="B3494" s="206">
        <v>91849</v>
      </c>
      <c r="C3494" s="207" t="s">
        <v>4143</v>
      </c>
      <c r="D3494" s="208" t="s">
        <v>585</v>
      </c>
      <c r="E3494" s="209">
        <v>5.44</v>
      </c>
      <c r="F3494" s="209">
        <v>4.24</v>
      </c>
      <c r="G3494" s="209">
        <v>9.68</v>
      </c>
      <c r="H3494" s="198"/>
    </row>
    <row r="3495" spans="1:8" ht="15.75" hidden="1" customHeight="1" x14ac:dyDescent="0.25">
      <c r="A3495" s="205" t="s">
        <v>4064</v>
      </c>
      <c r="B3495" s="206">
        <v>91859</v>
      </c>
      <c r="C3495" s="207" t="s">
        <v>4144</v>
      </c>
      <c r="D3495" s="208" t="s">
        <v>585</v>
      </c>
      <c r="E3495" s="209">
        <v>6.25</v>
      </c>
      <c r="F3495" s="209">
        <v>7.38</v>
      </c>
      <c r="G3495" s="209">
        <v>13.63</v>
      </c>
      <c r="H3495" s="198"/>
    </row>
    <row r="3496" spans="1:8" ht="15.75" hidden="1" customHeight="1" x14ac:dyDescent="0.25">
      <c r="A3496" s="205" t="s">
        <v>4064</v>
      </c>
      <c r="B3496" s="206">
        <v>91841</v>
      </c>
      <c r="C3496" s="207" t="s">
        <v>4145</v>
      </c>
      <c r="D3496" s="208" t="s">
        <v>585</v>
      </c>
      <c r="E3496" s="209">
        <v>13.39</v>
      </c>
      <c r="F3496" s="209">
        <v>12.92</v>
      </c>
      <c r="G3496" s="209">
        <v>26.31</v>
      </c>
      <c r="H3496" s="198"/>
    </row>
    <row r="3497" spans="1:8" ht="15.75" hidden="1" customHeight="1" x14ac:dyDescent="0.25">
      <c r="A3497" s="205" t="s">
        <v>4064</v>
      </c>
      <c r="B3497" s="206">
        <v>91851</v>
      </c>
      <c r="C3497" s="207" t="s">
        <v>4146</v>
      </c>
      <c r="D3497" s="208" t="s">
        <v>585</v>
      </c>
      <c r="E3497" s="209">
        <v>6.82</v>
      </c>
      <c r="F3497" s="209">
        <v>5.0999999999999996</v>
      </c>
      <c r="G3497" s="209">
        <v>11.92</v>
      </c>
      <c r="H3497" s="198"/>
    </row>
    <row r="3498" spans="1:8" ht="15.75" hidden="1" customHeight="1" x14ac:dyDescent="0.25">
      <c r="A3498" s="205" t="s">
        <v>4064</v>
      </c>
      <c r="B3498" s="206">
        <v>91861</v>
      </c>
      <c r="C3498" s="207" t="s">
        <v>4147</v>
      </c>
      <c r="D3498" s="208" t="s">
        <v>585</v>
      </c>
      <c r="E3498" s="209">
        <v>7.59</v>
      </c>
      <c r="F3498" s="209">
        <v>8.1999999999999993</v>
      </c>
      <c r="G3498" s="209">
        <v>15.79</v>
      </c>
      <c r="H3498" s="198"/>
    </row>
    <row r="3499" spans="1:8" ht="15.75" hidden="1" customHeight="1" x14ac:dyDescent="0.25">
      <c r="A3499" s="205" t="s">
        <v>4064</v>
      </c>
      <c r="B3499" s="206">
        <v>91862</v>
      </c>
      <c r="C3499" s="207" t="s">
        <v>4148</v>
      </c>
      <c r="D3499" s="208" t="s">
        <v>585</v>
      </c>
      <c r="E3499" s="209">
        <v>8.0500000000000007</v>
      </c>
      <c r="F3499" s="209">
        <v>5.19</v>
      </c>
      <c r="G3499" s="209">
        <v>13.24</v>
      </c>
      <c r="H3499" s="198"/>
    </row>
    <row r="3500" spans="1:8" ht="15.75" hidden="1" customHeight="1" x14ac:dyDescent="0.25">
      <c r="A3500" s="205" t="s">
        <v>4064</v>
      </c>
      <c r="B3500" s="206">
        <v>91866</v>
      </c>
      <c r="C3500" s="207" t="s">
        <v>4149</v>
      </c>
      <c r="D3500" s="208" t="s">
        <v>585</v>
      </c>
      <c r="E3500" s="209">
        <v>7.63</v>
      </c>
      <c r="F3500" s="209">
        <v>3.94</v>
      </c>
      <c r="G3500" s="209">
        <v>11.57</v>
      </c>
      <c r="H3500" s="198"/>
    </row>
    <row r="3501" spans="1:8" ht="15.75" hidden="1" customHeight="1" x14ac:dyDescent="0.25">
      <c r="A3501" s="205" t="s">
        <v>4064</v>
      </c>
      <c r="B3501" s="206">
        <v>91870</v>
      </c>
      <c r="C3501" s="207" t="s">
        <v>4150</v>
      </c>
      <c r="D3501" s="208" t="s">
        <v>585</v>
      </c>
      <c r="E3501" s="209">
        <v>9.1300000000000008</v>
      </c>
      <c r="F3501" s="209">
        <v>8.07</v>
      </c>
      <c r="G3501" s="209">
        <v>17.2</v>
      </c>
      <c r="H3501" s="198"/>
    </row>
    <row r="3502" spans="1:8" ht="15.75" hidden="1" customHeight="1" x14ac:dyDescent="0.25">
      <c r="A3502" s="205" t="s">
        <v>4064</v>
      </c>
      <c r="B3502" s="206">
        <v>91863</v>
      </c>
      <c r="C3502" s="207" t="s">
        <v>4151</v>
      </c>
      <c r="D3502" s="208" t="s">
        <v>585</v>
      </c>
      <c r="E3502" s="209">
        <v>9.8000000000000007</v>
      </c>
      <c r="F3502" s="209">
        <v>5.88</v>
      </c>
      <c r="G3502" s="209">
        <v>15.68</v>
      </c>
      <c r="H3502" s="198"/>
    </row>
    <row r="3503" spans="1:8" ht="15.75" hidden="1" customHeight="1" x14ac:dyDescent="0.25">
      <c r="A3503" s="205" t="s">
        <v>4064</v>
      </c>
      <c r="B3503" s="206">
        <v>91867</v>
      </c>
      <c r="C3503" s="207" t="s">
        <v>4152</v>
      </c>
      <c r="D3503" s="208" t="s">
        <v>585</v>
      </c>
      <c r="E3503" s="209">
        <v>9.3699999999999992</v>
      </c>
      <c r="F3503" s="209">
        <v>4.6500000000000004</v>
      </c>
      <c r="G3503" s="209">
        <v>14.02</v>
      </c>
      <c r="H3503" s="198"/>
    </row>
    <row r="3504" spans="1:8" ht="15.75" hidden="1" customHeight="1" x14ac:dyDescent="0.25">
      <c r="A3504" s="205" t="s">
        <v>4064</v>
      </c>
      <c r="B3504" s="206">
        <v>91871</v>
      </c>
      <c r="C3504" s="207" t="s">
        <v>4153</v>
      </c>
      <c r="D3504" s="208" t="s">
        <v>585</v>
      </c>
      <c r="E3504" s="209">
        <v>10.89</v>
      </c>
      <c r="F3504" s="209">
        <v>8.75</v>
      </c>
      <c r="G3504" s="209">
        <v>19.64</v>
      </c>
      <c r="H3504" s="198"/>
    </row>
    <row r="3505" spans="1:8" ht="15.75" hidden="1" customHeight="1" x14ac:dyDescent="0.25">
      <c r="A3505" s="205" t="s">
        <v>4064</v>
      </c>
      <c r="B3505" s="206">
        <v>91864</v>
      </c>
      <c r="C3505" s="207" t="s">
        <v>4154</v>
      </c>
      <c r="D3505" s="208" t="s">
        <v>585</v>
      </c>
      <c r="E3505" s="209">
        <v>14.45</v>
      </c>
      <c r="F3505" s="209">
        <v>6.87</v>
      </c>
      <c r="G3505" s="209">
        <v>21.32</v>
      </c>
      <c r="H3505" s="198"/>
    </row>
    <row r="3506" spans="1:8" ht="15.75" hidden="1" customHeight="1" x14ac:dyDescent="0.25">
      <c r="A3506" s="205" t="s">
        <v>4064</v>
      </c>
      <c r="B3506" s="206">
        <v>91868</v>
      </c>
      <c r="C3506" s="207" t="s">
        <v>4155</v>
      </c>
      <c r="D3506" s="208" t="s">
        <v>585</v>
      </c>
      <c r="E3506" s="209">
        <v>14.05</v>
      </c>
      <c r="F3506" s="209">
        <v>5.62</v>
      </c>
      <c r="G3506" s="209">
        <v>19.670000000000002</v>
      </c>
      <c r="H3506" s="198"/>
    </row>
    <row r="3507" spans="1:8" ht="15.75" hidden="1" customHeight="1" x14ac:dyDescent="0.25">
      <c r="A3507" s="205" t="s">
        <v>4064</v>
      </c>
      <c r="B3507" s="206">
        <v>91872</v>
      </c>
      <c r="C3507" s="207" t="s">
        <v>4156</v>
      </c>
      <c r="D3507" s="208" t="s">
        <v>585</v>
      </c>
      <c r="E3507" s="209">
        <v>15.53</v>
      </c>
      <c r="F3507" s="209">
        <v>9.74</v>
      </c>
      <c r="G3507" s="209">
        <v>25.27</v>
      </c>
      <c r="H3507" s="198"/>
    </row>
    <row r="3508" spans="1:8" ht="15.75" hidden="1" customHeight="1" x14ac:dyDescent="0.25">
      <c r="A3508" s="205" t="s">
        <v>4064</v>
      </c>
      <c r="B3508" s="206">
        <v>91865</v>
      </c>
      <c r="C3508" s="207" t="s">
        <v>4157</v>
      </c>
      <c r="D3508" s="208" t="s">
        <v>585</v>
      </c>
      <c r="E3508" s="209">
        <v>18.8</v>
      </c>
      <c r="F3508" s="209">
        <v>8.01</v>
      </c>
      <c r="G3508" s="209">
        <v>26.81</v>
      </c>
      <c r="H3508" s="198"/>
    </row>
    <row r="3509" spans="1:8" ht="15.75" hidden="1" customHeight="1" x14ac:dyDescent="0.25">
      <c r="A3509" s="205" t="s">
        <v>4064</v>
      </c>
      <c r="B3509" s="206">
        <v>91869</v>
      </c>
      <c r="C3509" s="207" t="s">
        <v>4158</v>
      </c>
      <c r="D3509" s="208" t="s">
        <v>585</v>
      </c>
      <c r="E3509" s="209">
        <v>18.38</v>
      </c>
      <c r="F3509" s="209">
        <v>6.72</v>
      </c>
      <c r="G3509" s="209">
        <v>25.1</v>
      </c>
      <c r="H3509" s="198"/>
    </row>
    <row r="3510" spans="1:8" ht="15.75" hidden="1" customHeight="1" x14ac:dyDescent="0.25">
      <c r="A3510" s="205" t="s">
        <v>4064</v>
      </c>
      <c r="B3510" s="206">
        <v>91873</v>
      </c>
      <c r="C3510" s="207" t="s">
        <v>4159</v>
      </c>
      <c r="D3510" s="208" t="s">
        <v>585</v>
      </c>
      <c r="E3510" s="209">
        <v>19.86</v>
      </c>
      <c r="F3510" s="209">
        <v>10.84</v>
      </c>
      <c r="G3510" s="209">
        <v>30.7</v>
      </c>
      <c r="H3510" s="198"/>
    </row>
    <row r="3511" spans="1:8" ht="15.75" hidden="1" customHeight="1" x14ac:dyDescent="0.25">
      <c r="A3511" s="205" t="s">
        <v>4064</v>
      </c>
      <c r="B3511" s="206">
        <v>91981</v>
      </c>
      <c r="C3511" s="207" t="s">
        <v>4160</v>
      </c>
      <c r="D3511" s="208" t="s">
        <v>580</v>
      </c>
      <c r="E3511" s="209">
        <v>34.49</v>
      </c>
      <c r="F3511" s="209">
        <v>26.24</v>
      </c>
      <c r="G3511" s="209">
        <v>60.73</v>
      </c>
      <c r="H3511" s="198"/>
    </row>
    <row r="3512" spans="1:8" ht="15.75" hidden="1" customHeight="1" x14ac:dyDescent="0.25">
      <c r="A3512" s="205" t="s">
        <v>4064</v>
      </c>
      <c r="B3512" s="206">
        <v>91980</v>
      </c>
      <c r="C3512" s="207" t="s">
        <v>4161</v>
      </c>
      <c r="D3512" s="208" t="s">
        <v>580</v>
      </c>
      <c r="E3512" s="209">
        <v>27.22</v>
      </c>
      <c r="F3512" s="209">
        <v>19.899999999999999</v>
      </c>
      <c r="G3512" s="209">
        <v>47.12</v>
      </c>
      <c r="H3512" s="198"/>
    </row>
    <row r="3513" spans="1:8" ht="15.75" hidden="1" customHeight="1" x14ac:dyDescent="0.25">
      <c r="A3513" s="205" t="s">
        <v>4064</v>
      </c>
      <c r="B3513" s="206">
        <v>91979</v>
      </c>
      <c r="C3513" s="207" t="s">
        <v>4162</v>
      </c>
      <c r="D3513" s="208" t="s">
        <v>580</v>
      </c>
      <c r="E3513" s="209">
        <v>35.83</v>
      </c>
      <c r="F3513" s="209">
        <v>26.24</v>
      </c>
      <c r="G3513" s="209">
        <v>62.07</v>
      </c>
      <c r="H3513" s="198"/>
    </row>
    <row r="3514" spans="1:8" ht="15.75" hidden="1" customHeight="1" x14ac:dyDescent="0.25">
      <c r="A3514" s="205" t="s">
        <v>4064</v>
      </c>
      <c r="B3514" s="206">
        <v>91978</v>
      </c>
      <c r="C3514" s="207" t="s">
        <v>4163</v>
      </c>
      <c r="D3514" s="208" t="s">
        <v>580</v>
      </c>
      <c r="E3514" s="209">
        <v>28.55</v>
      </c>
      <c r="F3514" s="209">
        <v>19.91</v>
      </c>
      <c r="G3514" s="209">
        <v>48.46</v>
      </c>
      <c r="H3514" s="198"/>
    </row>
    <row r="3515" spans="1:8" ht="15.75" hidden="1" customHeight="1" x14ac:dyDescent="0.25">
      <c r="A3515" s="205" t="s">
        <v>4064</v>
      </c>
      <c r="B3515" s="206">
        <v>92029</v>
      </c>
      <c r="C3515" s="207" t="s">
        <v>4164</v>
      </c>
      <c r="D3515" s="208" t="s">
        <v>580</v>
      </c>
      <c r="E3515" s="209">
        <v>36.479999999999997</v>
      </c>
      <c r="F3515" s="209">
        <v>34.68</v>
      </c>
      <c r="G3515" s="209">
        <v>71.16</v>
      </c>
      <c r="H3515" s="198"/>
    </row>
    <row r="3516" spans="1:8" ht="15.75" hidden="1" customHeight="1" x14ac:dyDescent="0.25">
      <c r="A3516" s="205" t="s">
        <v>4064</v>
      </c>
      <c r="B3516" s="206">
        <v>92028</v>
      </c>
      <c r="C3516" s="207" t="s">
        <v>4165</v>
      </c>
      <c r="D3516" s="208" t="s">
        <v>580</v>
      </c>
      <c r="E3516" s="209">
        <v>29.22</v>
      </c>
      <c r="F3516" s="209">
        <v>28.33</v>
      </c>
      <c r="G3516" s="209">
        <v>57.55</v>
      </c>
      <c r="H3516" s="198"/>
    </row>
    <row r="3517" spans="1:8" ht="15.75" hidden="1" customHeight="1" x14ac:dyDescent="0.25">
      <c r="A3517" s="205" t="s">
        <v>4064</v>
      </c>
      <c r="B3517" s="206">
        <v>92031</v>
      </c>
      <c r="C3517" s="207" t="s">
        <v>4166</v>
      </c>
      <c r="D3517" s="208" t="s">
        <v>580</v>
      </c>
      <c r="E3517" s="209">
        <v>49.89</v>
      </c>
      <c r="F3517" s="209">
        <v>47.25</v>
      </c>
      <c r="G3517" s="209">
        <v>97.14</v>
      </c>
      <c r="H3517" s="198"/>
    </row>
    <row r="3518" spans="1:8" ht="15.75" hidden="1" customHeight="1" x14ac:dyDescent="0.25">
      <c r="A3518" s="205" t="s">
        <v>4064</v>
      </c>
      <c r="B3518" s="206">
        <v>92030</v>
      </c>
      <c r="C3518" s="207" t="s">
        <v>4167</v>
      </c>
      <c r="D3518" s="208" t="s">
        <v>580</v>
      </c>
      <c r="E3518" s="209">
        <v>42.61</v>
      </c>
      <c r="F3518" s="209">
        <v>40.92</v>
      </c>
      <c r="G3518" s="209">
        <v>83.53</v>
      </c>
      <c r="H3518" s="198"/>
    </row>
    <row r="3519" spans="1:8" ht="15.75" hidden="1" customHeight="1" x14ac:dyDescent="0.25">
      <c r="A3519" s="205" t="s">
        <v>4064</v>
      </c>
      <c r="B3519" s="206">
        <v>91955</v>
      </c>
      <c r="C3519" s="207" t="s">
        <v>4168</v>
      </c>
      <c r="D3519" s="208" t="s">
        <v>580</v>
      </c>
      <c r="E3519" s="209">
        <v>23.08</v>
      </c>
      <c r="F3519" s="209">
        <v>22.04</v>
      </c>
      <c r="G3519" s="209">
        <v>45.12</v>
      </c>
      <c r="H3519" s="198"/>
    </row>
    <row r="3520" spans="1:8" ht="15.75" hidden="1" customHeight="1" x14ac:dyDescent="0.25">
      <c r="A3520" s="205" t="s">
        <v>4064</v>
      </c>
      <c r="B3520" s="206">
        <v>91954</v>
      </c>
      <c r="C3520" s="207" t="s">
        <v>4169</v>
      </c>
      <c r="D3520" s="208" t="s">
        <v>580</v>
      </c>
      <c r="E3520" s="209">
        <v>15.81</v>
      </c>
      <c r="F3520" s="209">
        <v>15.7</v>
      </c>
      <c r="G3520" s="209">
        <v>31.51</v>
      </c>
      <c r="H3520" s="198"/>
    </row>
    <row r="3521" spans="1:8" ht="15.75" hidden="1" customHeight="1" x14ac:dyDescent="0.25">
      <c r="A3521" s="205" t="s">
        <v>4064</v>
      </c>
      <c r="B3521" s="206">
        <v>92033</v>
      </c>
      <c r="C3521" s="207" t="s">
        <v>4170</v>
      </c>
      <c r="D3521" s="208" t="s">
        <v>580</v>
      </c>
      <c r="E3521" s="209">
        <v>51.14</v>
      </c>
      <c r="F3521" s="209">
        <v>47.25</v>
      </c>
      <c r="G3521" s="209">
        <v>98.39</v>
      </c>
      <c r="H3521" s="198"/>
    </row>
    <row r="3522" spans="1:8" ht="15.75" hidden="1" customHeight="1" x14ac:dyDescent="0.25">
      <c r="A3522" s="205" t="s">
        <v>4064</v>
      </c>
      <c r="B3522" s="206">
        <v>92032</v>
      </c>
      <c r="C3522" s="207" t="s">
        <v>4171</v>
      </c>
      <c r="D3522" s="208" t="s">
        <v>580</v>
      </c>
      <c r="E3522" s="209">
        <v>43.86</v>
      </c>
      <c r="F3522" s="209">
        <v>40.92</v>
      </c>
      <c r="G3522" s="209">
        <v>84.78</v>
      </c>
      <c r="H3522" s="198"/>
    </row>
    <row r="3523" spans="1:8" ht="15.75" hidden="1" customHeight="1" x14ac:dyDescent="0.25">
      <c r="A3523" s="205" t="s">
        <v>4064</v>
      </c>
      <c r="B3523" s="206">
        <v>91961</v>
      </c>
      <c r="C3523" s="207" t="s">
        <v>4172</v>
      </c>
      <c r="D3523" s="208" t="s">
        <v>580</v>
      </c>
      <c r="E3523" s="209">
        <v>37.74</v>
      </c>
      <c r="F3523" s="209">
        <v>34.67</v>
      </c>
      <c r="G3523" s="209">
        <v>72.41</v>
      </c>
      <c r="H3523" s="198"/>
    </row>
    <row r="3524" spans="1:8" ht="15.75" hidden="1" customHeight="1" x14ac:dyDescent="0.25">
      <c r="A3524" s="205" t="s">
        <v>4064</v>
      </c>
      <c r="B3524" s="206">
        <v>91960</v>
      </c>
      <c r="C3524" s="207" t="s">
        <v>4173</v>
      </c>
      <c r="D3524" s="208" t="s">
        <v>580</v>
      </c>
      <c r="E3524" s="209">
        <v>30.46</v>
      </c>
      <c r="F3524" s="209">
        <v>28.34</v>
      </c>
      <c r="G3524" s="209">
        <v>58.8</v>
      </c>
      <c r="H3524" s="198"/>
    </row>
    <row r="3525" spans="1:8" ht="15.75" hidden="1" customHeight="1" x14ac:dyDescent="0.25">
      <c r="A3525" s="205" t="s">
        <v>4064</v>
      </c>
      <c r="B3525" s="206">
        <v>91969</v>
      </c>
      <c r="C3525" s="207" t="s">
        <v>4174</v>
      </c>
      <c r="D3525" s="208" t="s">
        <v>580</v>
      </c>
      <c r="E3525" s="209">
        <v>52.39</v>
      </c>
      <c r="F3525" s="209">
        <v>47.25</v>
      </c>
      <c r="G3525" s="209">
        <v>99.64</v>
      </c>
      <c r="H3525" s="198"/>
    </row>
    <row r="3526" spans="1:8" ht="15.75" hidden="1" customHeight="1" x14ac:dyDescent="0.25">
      <c r="A3526" s="205" t="s">
        <v>4064</v>
      </c>
      <c r="B3526" s="206">
        <v>91968</v>
      </c>
      <c r="C3526" s="207" t="s">
        <v>4175</v>
      </c>
      <c r="D3526" s="208" t="s">
        <v>580</v>
      </c>
      <c r="E3526" s="209">
        <v>45.12</v>
      </c>
      <c r="F3526" s="209">
        <v>40.909999999999997</v>
      </c>
      <c r="G3526" s="209">
        <v>86.03</v>
      </c>
      <c r="H3526" s="198"/>
    </row>
    <row r="3527" spans="1:8" ht="15.75" hidden="1" customHeight="1" x14ac:dyDescent="0.25">
      <c r="A3527" s="205" t="s">
        <v>4064</v>
      </c>
      <c r="B3527" s="206">
        <v>91985</v>
      </c>
      <c r="C3527" s="207" t="s">
        <v>4176</v>
      </c>
      <c r="D3527" s="208" t="s">
        <v>580</v>
      </c>
      <c r="E3527" s="209">
        <v>17.98</v>
      </c>
      <c r="F3527" s="209">
        <v>17.809999999999999</v>
      </c>
      <c r="G3527" s="209">
        <v>35.79</v>
      </c>
      <c r="H3527" s="198"/>
    </row>
    <row r="3528" spans="1:8" ht="15.75" hidden="1" customHeight="1" x14ac:dyDescent="0.25">
      <c r="A3528" s="205" t="s">
        <v>4064</v>
      </c>
      <c r="B3528" s="206">
        <v>91984</v>
      </c>
      <c r="C3528" s="207" t="s">
        <v>4177</v>
      </c>
      <c r="D3528" s="208" t="s">
        <v>580</v>
      </c>
      <c r="E3528" s="209">
        <v>10.7</v>
      </c>
      <c r="F3528" s="209">
        <v>11.48</v>
      </c>
      <c r="G3528" s="209">
        <v>22.18</v>
      </c>
      <c r="H3528" s="198"/>
    </row>
    <row r="3529" spans="1:8" ht="15.75" hidden="1" customHeight="1" x14ac:dyDescent="0.25">
      <c r="A3529" s="205" t="s">
        <v>4064</v>
      </c>
      <c r="B3529" s="206">
        <v>91989</v>
      </c>
      <c r="C3529" s="207" t="s">
        <v>4178</v>
      </c>
      <c r="D3529" s="208" t="s">
        <v>580</v>
      </c>
      <c r="E3529" s="209">
        <v>22.46</v>
      </c>
      <c r="F3529" s="209">
        <v>17.809999999999999</v>
      </c>
      <c r="G3529" s="209">
        <v>40.270000000000003</v>
      </c>
      <c r="H3529" s="198"/>
    </row>
    <row r="3530" spans="1:8" ht="15.75" hidden="1" customHeight="1" x14ac:dyDescent="0.25">
      <c r="A3530" s="205" t="s">
        <v>4064</v>
      </c>
      <c r="B3530" s="206">
        <v>91988</v>
      </c>
      <c r="C3530" s="207" t="s">
        <v>4179</v>
      </c>
      <c r="D3530" s="208" t="s">
        <v>580</v>
      </c>
      <c r="E3530" s="209">
        <v>15.19</v>
      </c>
      <c r="F3530" s="209">
        <v>11.47</v>
      </c>
      <c r="G3530" s="209">
        <v>26.66</v>
      </c>
      <c r="H3530" s="198"/>
    </row>
    <row r="3531" spans="1:8" ht="15.75" hidden="1" customHeight="1" x14ac:dyDescent="0.25">
      <c r="A3531" s="205" t="s">
        <v>4064</v>
      </c>
      <c r="B3531" s="206">
        <v>92023</v>
      </c>
      <c r="C3531" s="207" t="s">
        <v>4180</v>
      </c>
      <c r="D3531" s="208" t="s">
        <v>580</v>
      </c>
      <c r="E3531" s="209">
        <v>32.590000000000003</v>
      </c>
      <c r="F3531" s="209">
        <v>30.41</v>
      </c>
      <c r="G3531" s="209">
        <v>63</v>
      </c>
      <c r="H3531" s="198"/>
    </row>
    <row r="3532" spans="1:8" ht="15.75" hidden="1" customHeight="1" x14ac:dyDescent="0.25">
      <c r="A3532" s="205" t="s">
        <v>4064</v>
      </c>
      <c r="B3532" s="206">
        <v>92022</v>
      </c>
      <c r="C3532" s="207" t="s">
        <v>4181</v>
      </c>
      <c r="D3532" s="208" t="s">
        <v>580</v>
      </c>
      <c r="E3532" s="209">
        <v>25.33</v>
      </c>
      <c r="F3532" s="209">
        <v>24.06</v>
      </c>
      <c r="G3532" s="209">
        <v>49.39</v>
      </c>
      <c r="H3532" s="198"/>
    </row>
    <row r="3533" spans="1:8" ht="15.75" hidden="1" customHeight="1" x14ac:dyDescent="0.25">
      <c r="A3533" s="205" t="s">
        <v>4064</v>
      </c>
      <c r="B3533" s="206">
        <v>92025</v>
      </c>
      <c r="C3533" s="207" t="s">
        <v>4182</v>
      </c>
      <c r="D3533" s="208" t="s">
        <v>580</v>
      </c>
      <c r="E3533" s="209">
        <v>46.01</v>
      </c>
      <c r="F3533" s="209">
        <v>43.04</v>
      </c>
      <c r="G3533" s="209">
        <v>89.05</v>
      </c>
      <c r="H3533" s="198"/>
    </row>
    <row r="3534" spans="1:8" ht="15.75" hidden="1" customHeight="1" x14ac:dyDescent="0.25">
      <c r="A3534" s="205" t="s">
        <v>4064</v>
      </c>
      <c r="B3534" s="206">
        <v>92024</v>
      </c>
      <c r="C3534" s="207" t="s">
        <v>4183</v>
      </c>
      <c r="D3534" s="208" t="s">
        <v>580</v>
      </c>
      <c r="E3534" s="209">
        <v>38.74</v>
      </c>
      <c r="F3534" s="209">
        <v>36.700000000000003</v>
      </c>
      <c r="G3534" s="209">
        <v>75.44</v>
      </c>
      <c r="H3534" s="198"/>
    </row>
    <row r="3535" spans="1:8" ht="15.75" hidden="1" customHeight="1" x14ac:dyDescent="0.25">
      <c r="A3535" s="205" t="s">
        <v>4064</v>
      </c>
      <c r="B3535" s="206">
        <v>91957</v>
      </c>
      <c r="C3535" s="207" t="s">
        <v>4184</v>
      </c>
      <c r="D3535" s="208" t="s">
        <v>580</v>
      </c>
      <c r="E3535" s="209">
        <v>33.85</v>
      </c>
      <c r="F3535" s="209">
        <v>30.4</v>
      </c>
      <c r="G3535" s="209">
        <v>64.25</v>
      </c>
      <c r="H3535" s="198"/>
    </row>
    <row r="3536" spans="1:8" ht="15.75" hidden="1" customHeight="1" x14ac:dyDescent="0.25">
      <c r="A3536" s="205" t="s">
        <v>4064</v>
      </c>
      <c r="B3536" s="206">
        <v>91956</v>
      </c>
      <c r="C3536" s="207" t="s">
        <v>4185</v>
      </c>
      <c r="D3536" s="208" t="s">
        <v>580</v>
      </c>
      <c r="E3536" s="209">
        <v>26.58</v>
      </c>
      <c r="F3536" s="209">
        <v>24.06</v>
      </c>
      <c r="G3536" s="209">
        <v>50.64</v>
      </c>
      <c r="H3536" s="198"/>
    </row>
    <row r="3537" spans="1:8" ht="15.75" hidden="1" customHeight="1" x14ac:dyDescent="0.25">
      <c r="A3537" s="205" t="s">
        <v>4064</v>
      </c>
      <c r="B3537" s="206">
        <v>91963</v>
      </c>
      <c r="C3537" s="207" t="s">
        <v>4186</v>
      </c>
      <c r="D3537" s="208" t="s">
        <v>580</v>
      </c>
      <c r="E3537" s="209">
        <v>48.51</v>
      </c>
      <c r="F3537" s="209">
        <v>43.04</v>
      </c>
      <c r="G3537" s="209">
        <v>91.55</v>
      </c>
      <c r="H3537" s="198"/>
    </row>
    <row r="3538" spans="1:8" ht="15.75" hidden="1" customHeight="1" x14ac:dyDescent="0.25">
      <c r="A3538" s="205" t="s">
        <v>4064</v>
      </c>
      <c r="B3538" s="206">
        <v>91962</v>
      </c>
      <c r="C3538" s="207" t="s">
        <v>4187</v>
      </c>
      <c r="D3538" s="208" t="s">
        <v>580</v>
      </c>
      <c r="E3538" s="209">
        <v>41.24</v>
      </c>
      <c r="F3538" s="209">
        <v>36.700000000000003</v>
      </c>
      <c r="G3538" s="209">
        <v>77.94</v>
      </c>
      <c r="H3538" s="198"/>
    </row>
    <row r="3539" spans="1:8" ht="15.75" hidden="1" customHeight="1" x14ac:dyDescent="0.25">
      <c r="A3539" s="205" t="s">
        <v>4064</v>
      </c>
      <c r="B3539" s="206">
        <v>91953</v>
      </c>
      <c r="C3539" s="207" t="s">
        <v>4188</v>
      </c>
      <c r="D3539" s="208" t="s">
        <v>580</v>
      </c>
      <c r="E3539" s="209">
        <v>19.2</v>
      </c>
      <c r="F3539" s="209">
        <v>17.82</v>
      </c>
      <c r="G3539" s="209">
        <v>37.020000000000003</v>
      </c>
      <c r="H3539" s="198"/>
    </row>
    <row r="3540" spans="1:8" ht="15.75" hidden="1" customHeight="1" x14ac:dyDescent="0.25">
      <c r="A3540" s="205" t="s">
        <v>4064</v>
      </c>
      <c r="B3540" s="206">
        <v>91952</v>
      </c>
      <c r="C3540" s="207" t="s">
        <v>4189</v>
      </c>
      <c r="D3540" s="208" t="s">
        <v>580</v>
      </c>
      <c r="E3540" s="209">
        <v>11.93</v>
      </c>
      <c r="F3540" s="209">
        <v>11.48</v>
      </c>
      <c r="G3540" s="209">
        <v>23.41</v>
      </c>
      <c r="H3540" s="198"/>
    </row>
    <row r="3541" spans="1:8" ht="15.75" hidden="1" customHeight="1" x14ac:dyDescent="0.25">
      <c r="A3541" s="205" t="s">
        <v>4064</v>
      </c>
      <c r="B3541" s="206">
        <v>92035</v>
      </c>
      <c r="C3541" s="207" t="s">
        <v>4190</v>
      </c>
      <c r="D3541" s="208" t="s">
        <v>580</v>
      </c>
      <c r="E3541" s="209">
        <v>47.26</v>
      </c>
      <c r="F3541" s="209">
        <v>43.04</v>
      </c>
      <c r="G3541" s="209">
        <v>90.3</v>
      </c>
      <c r="H3541" s="198"/>
    </row>
    <row r="3542" spans="1:8" ht="15.75" hidden="1" customHeight="1" x14ac:dyDescent="0.25">
      <c r="A3542" s="205" t="s">
        <v>4064</v>
      </c>
      <c r="B3542" s="206">
        <v>92034</v>
      </c>
      <c r="C3542" s="207" t="s">
        <v>4191</v>
      </c>
      <c r="D3542" s="208" t="s">
        <v>580</v>
      </c>
      <c r="E3542" s="209">
        <v>39.979999999999997</v>
      </c>
      <c r="F3542" s="209">
        <v>36.71</v>
      </c>
      <c r="G3542" s="209">
        <v>76.69</v>
      </c>
      <c r="H3542" s="198"/>
    </row>
    <row r="3543" spans="1:8" ht="15.75" hidden="1" customHeight="1" x14ac:dyDescent="0.25">
      <c r="A3543" s="205" t="s">
        <v>4064</v>
      </c>
      <c r="B3543" s="206">
        <v>92027</v>
      </c>
      <c r="C3543" s="207" t="s">
        <v>4192</v>
      </c>
      <c r="D3543" s="208" t="s">
        <v>580</v>
      </c>
      <c r="E3543" s="209">
        <v>43.37</v>
      </c>
      <c r="F3543" s="209">
        <v>38.83</v>
      </c>
      <c r="G3543" s="209">
        <v>82.2</v>
      </c>
      <c r="H3543" s="198"/>
    </row>
    <row r="3544" spans="1:8" ht="15.75" hidden="1" customHeight="1" x14ac:dyDescent="0.25">
      <c r="A3544" s="205" t="s">
        <v>4064</v>
      </c>
      <c r="B3544" s="206">
        <v>92026</v>
      </c>
      <c r="C3544" s="207" t="s">
        <v>4193</v>
      </c>
      <c r="D3544" s="208" t="s">
        <v>580</v>
      </c>
      <c r="E3544" s="209">
        <v>36.1</v>
      </c>
      <c r="F3544" s="209">
        <v>32.49</v>
      </c>
      <c r="G3544" s="209">
        <v>68.59</v>
      </c>
      <c r="H3544" s="198"/>
    </row>
    <row r="3545" spans="1:8" ht="15.75" hidden="1" customHeight="1" x14ac:dyDescent="0.25">
      <c r="A3545" s="205" t="s">
        <v>4064</v>
      </c>
      <c r="B3545" s="206">
        <v>91965</v>
      </c>
      <c r="C3545" s="207" t="s">
        <v>4194</v>
      </c>
      <c r="D3545" s="208" t="s">
        <v>580</v>
      </c>
      <c r="E3545" s="209">
        <v>44.63</v>
      </c>
      <c r="F3545" s="209">
        <v>38.82</v>
      </c>
      <c r="G3545" s="209">
        <v>83.45</v>
      </c>
      <c r="H3545" s="198"/>
    </row>
    <row r="3546" spans="1:8" ht="15.75" hidden="1" customHeight="1" x14ac:dyDescent="0.25">
      <c r="A3546" s="205" t="s">
        <v>4064</v>
      </c>
      <c r="B3546" s="206">
        <v>91964</v>
      </c>
      <c r="C3546" s="207" t="s">
        <v>4195</v>
      </c>
      <c r="D3546" s="208" t="s">
        <v>580</v>
      </c>
      <c r="E3546" s="209">
        <v>37.36</v>
      </c>
      <c r="F3546" s="209">
        <v>32.479999999999997</v>
      </c>
      <c r="G3546" s="209">
        <v>69.84</v>
      </c>
      <c r="H3546" s="198"/>
    </row>
    <row r="3547" spans="1:8" ht="15.75" hidden="1" customHeight="1" x14ac:dyDescent="0.25">
      <c r="A3547" s="205" t="s">
        <v>4064</v>
      </c>
      <c r="B3547" s="206">
        <v>91973</v>
      </c>
      <c r="C3547" s="207" t="s">
        <v>4196</v>
      </c>
      <c r="D3547" s="208" t="s">
        <v>580</v>
      </c>
      <c r="E3547" s="209">
        <v>64.260000000000005</v>
      </c>
      <c r="F3547" s="209">
        <v>52.93</v>
      </c>
      <c r="G3547" s="209">
        <v>117.19</v>
      </c>
      <c r="H3547" s="198"/>
    </row>
    <row r="3548" spans="1:8" ht="15.75" hidden="1" customHeight="1" x14ac:dyDescent="0.25">
      <c r="A3548" s="205" t="s">
        <v>4064</v>
      </c>
      <c r="B3548" s="206">
        <v>91972</v>
      </c>
      <c r="C3548" s="207" t="s">
        <v>4197</v>
      </c>
      <c r="D3548" s="208" t="s">
        <v>580</v>
      </c>
      <c r="E3548" s="209">
        <v>52.17</v>
      </c>
      <c r="F3548" s="209">
        <v>45.51</v>
      </c>
      <c r="G3548" s="209">
        <v>97.68</v>
      </c>
      <c r="H3548" s="198"/>
    </row>
    <row r="3549" spans="1:8" ht="15.75" hidden="1" customHeight="1" x14ac:dyDescent="0.25">
      <c r="A3549" s="205" t="s">
        <v>4064</v>
      </c>
      <c r="B3549" s="206">
        <v>91959</v>
      </c>
      <c r="C3549" s="207" t="s">
        <v>4198</v>
      </c>
      <c r="D3549" s="208" t="s">
        <v>580</v>
      </c>
      <c r="E3549" s="209">
        <v>29.99</v>
      </c>
      <c r="F3549" s="209">
        <v>26.24</v>
      </c>
      <c r="G3549" s="209">
        <v>56.23</v>
      </c>
      <c r="H3549" s="198"/>
    </row>
    <row r="3550" spans="1:8" ht="15.75" hidden="1" customHeight="1" x14ac:dyDescent="0.25">
      <c r="A3550" s="205" t="s">
        <v>4064</v>
      </c>
      <c r="B3550" s="206">
        <v>91958</v>
      </c>
      <c r="C3550" s="207" t="s">
        <v>4199</v>
      </c>
      <c r="D3550" s="208" t="s">
        <v>580</v>
      </c>
      <c r="E3550" s="209">
        <v>22.71</v>
      </c>
      <c r="F3550" s="209">
        <v>19.91</v>
      </c>
      <c r="G3550" s="209">
        <v>42.62</v>
      </c>
      <c r="H3550" s="198"/>
    </row>
    <row r="3551" spans="1:8" ht="15.75" hidden="1" customHeight="1" x14ac:dyDescent="0.25">
      <c r="A3551" s="205" t="s">
        <v>4064</v>
      </c>
      <c r="B3551" s="206">
        <v>91971</v>
      </c>
      <c r="C3551" s="207" t="s">
        <v>4200</v>
      </c>
      <c r="D3551" s="208" t="s">
        <v>580</v>
      </c>
      <c r="E3551" s="209">
        <v>60.34</v>
      </c>
      <c r="F3551" s="209">
        <v>48.68</v>
      </c>
      <c r="G3551" s="209">
        <v>109.02</v>
      </c>
      <c r="H3551" s="198"/>
    </row>
    <row r="3552" spans="1:8" ht="15.75" hidden="1" customHeight="1" x14ac:dyDescent="0.25">
      <c r="A3552" s="205" t="s">
        <v>4064</v>
      </c>
      <c r="B3552" s="206">
        <v>91970</v>
      </c>
      <c r="C3552" s="207" t="s">
        <v>4201</v>
      </c>
      <c r="D3552" s="208" t="s">
        <v>580</v>
      </c>
      <c r="E3552" s="209">
        <v>48.24</v>
      </c>
      <c r="F3552" s="209">
        <v>41.27</v>
      </c>
      <c r="G3552" s="209">
        <v>89.51</v>
      </c>
      <c r="H3552" s="198"/>
    </row>
    <row r="3553" spans="1:8" ht="15.75" hidden="1" customHeight="1" x14ac:dyDescent="0.25">
      <c r="A3553" s="205" t="s">
        <v>4064</v>
      </c>
      <c r="B3553" s="206">
        <v>91967</v>
      </c>
      <c r="C3553" s="207" t="s">
        <v>4202</v>
      </c>
      <c r="D3553" s="208" t="s">
        <v>580</v>
      </c>
      <c r="E3553" s="209">
        <v>40.75</v>
      </c>
      <c r="F3553" s="209">
        <v>34.67</v>
      </c>
      <c r="G3553" s="209">
        <v>75.42</v>
      </c>
      <c r="H3553" s="198"/>
    </row>
    <row r="3554" spans="1:8" ht="15.75" hidden="1" customHeight="1" x14ac:dyDescent="0.25">
      <c r="A3554" s="205" t="s">
        <v>4064</v>
      </c>
      <c r="B3554" s="206">
        <v>91966</v>
      </c>
      <c r="C3554" s="207" t="s">
        <v>4203</v>
      </c>
      <c r="D3554" s="208" t="s">
        <v>580</v>
      </c>
      <c r="E3554" s="209">
        <v>33.479999999999997</v>
      </c>
      <c r="F3554" s="209">
        <v>28.33</v>
      </c>
      <c r="G3554" s="209">
        <v>61.81</v>
      </c>
      <c r="H3554" s="198"/>
    </row>
    <row r="3555" spans="1:8" ht="15.75" hidden="1" customHeight="1" x14ac:dyDescent="0.25">
      <c r="A3555" s="205" t="s">
        <v>4064</v>
      </c>
      <c r="B3555" s="206">
        <v>91975</v>
      </c>
      <c r="C3555" s="207" t="s">
        <v>4204</v>
      </c>
      <c r="D3555" s="208" t="s">
        <v>580</v>
      </c>
      <c r="E3555" s="209">
        <v>56.47</v>
      </c>
      <c r="F3555" s="209">
        <v>44.46</v>
      </c>
      <c r="G3555" s="209">
        <v>100.93</v>
      </c>
      <c r="H3555" s="198"/>
    </row>
    <row r="3556" spans="1:8" ht="15.75" hidden="1" customHeight="1" x14ac:dyDescent="0.25">
      <c r="A3556" s="205" t="s">
        <v>4064</v>
      </c>
      <c r="B3556" s="206">
        <v>91974</v>
      </c>
      <c r="C3556" s="207" t="s">
        <v>4205</v>
      </c>
      <c r="D3556" s="208" t="s">
        <v>580</v>
      </c>
      <c r="E3556" s="209">
        <v>44.38</v>
      </c>
      <c r="F3556" s="209">
        <v>37.04</v>
      </c>
      <c r="G3556" s="209">
        <v>81.42</v>
      </c>
      <c r="H3556" s="198"/>
    </row>
    <row r="3557" spans="1:8" ht="15.75" hidden="1" customHeight="1" x14ac:dyDescent="0.25">
      <c r="A3557" s="205" t="s">
        <v>4064</v>
      </c>
      <c r="B3557" s="206">
        <v>91977</v>
      </c>
      <c r="C3557" s="207" t="s">
        <v>4206</v>
      </c>
      <c r="D3557" s="208" t="s">
        <v>580</v>
      </c>
      <c r="E3557" s="209">
        <v>78.040000000000006</v>
      </c>
      <c r="F3557" s="209">
        <v>61.36</v>
      </c>
      <c r="G3557" s="209">
        <v>139.4</v>
      </c>
      <c r="H3557" s="198"/>
    </row>
    <row r="3558" spans="1:8" ht="15.75" hidden="1" customHeight="1" x14ac:dyDescent="0.25">
      <c r="A3558" s="205" t="s">
        <v>4064</v>
      </c>
      <c r="B3558" s="206">
        <v>91976</v>
      </c>
      <c r="C3558" s="207" t="s">
        <v>4207</v>
      </c>
      <c r="D3558" s="208" t="s">
        <v>580</v>
      </c>
      <c r="E3558" s="209">
        <v>65.94</v>
      </c>
      <c r="F3558" s="209">
        <v>53.95</v>
      </c>
      <c r="G3558" s="209">
        <v>119.89</v>
      </c>
      <c r="H3558" s="198"/>
    </row>
    <row r="3559" spans="1:8" ht="15.75" hidden="1" customHeight="1" x14ac:dyDescent="0.25">
      <c r="A3559" s="205" t="s">
        <v>4064</v>
      </c>
      <c r="B3559" s="206">
        <v>91874</v>
      </c>
      <c r="C3559" s="207" t="s">
        <v>4208</v>
      </c>
      <c r="D3559" s="208" t="s">
        <v>580</v>
      </c>
      <c r="E3559" s="209">
        <v>3.57</v>
      </c>
      <c r="F3559" s="209">
        <v>5.99</v>
      </c>
      <c r="G3559" s="209">
        <v>9.56</v>
      </c>
      <c r="H3559" s="198"/>
    </row>
    <row r="3560" spans="1:8" ht="15.75" hidden="1" customHeight="1" x14ac:dyDescent="0.25">
      <c r="A3560" s="205" t="s">
        <v>4064</v>
      </c>
      <c r="B3560" s="206">
        <v>91878</v>
      </c>
      <c r="C3560" s="207" t="s">
        <v>4209</v>
      </c>
      <c r="D3560" s="208" t="s">
        <v>580</v>
      </c>
      <c r="E3560" s="209">
        <v>3.03</v>
      </c>
      <c r="F3560" s="209">
        <v>4.55</v>
      </c>
      <c r="G3560" s="209">
        <v>7.58</v>
      </c>
      <c r="H3560" s="198"/>
    </row>
    <row r="3561" spans="1:8" ht="15.75" hidden="1" customHeight="1" x14ac:dyDescent="0.25">
      <c r="A3561" s="205" t="s">
        <v>4064</v>
      </c>
      <c r="B3561" s="206">
        <v>91882</v>
      </c>
      <c r="C3561" s="207" t="s">
        <v>4210</v>
      </c>
      <c r="D3561" s="208" t="s">
        <v>580</v>
      </c>
      <c r="E3561" s="209">
        <v>4.7</v>
      </c>
      <c r="F3561" s="209">
        <v>8.9499999999999993</v>
      </c>
      <c r="G3561" s="209">
        <v>13.65</v>
      </c>
      <c r="H3561" s="198"/>
    </row>
    <row r="3562" spans="1:8" ht="15.75" hidden="1" customHeight="1" x14ac:dyDescent="0.25">
      <c r="A3562" s="205" t="s">
        <v>4064</v>
      </c>
      <c r="B3562" s="206">
        <v>91875</v>
      </c>
      <c r="C3562" s="207" t="s">
        <v>4211</v>
      </c>
      <c r="D3562" s="208" t="s">
        <v>580</v>
      </c>
      <c r="E3562" s="209">
        <v>4.49</v>
      </c>
      <c r="F3562" s="209">
        <v>6.78</v>
      </c>
      <c r="G3562" s="209">
        <v>11.27</v>
      </c>
      <c r="H3562" s="198"/>
    </row>
    <row r="3563" spans="1:8" ht="15.75" hidden="1" customHeight="1" x14ac:dyDescent="0.25">
      <c r="A3563" s="205" t="s">
        <v>4064</v>
      </c>
      <c r="B3563" s="206">
        <v>91879</v>
      </c>
      <c r="C3563" s="207" t="s">
        <v>4212</v>
      </c>
      <c r="D3563" s="208" t="s">
        <v>580</v>
      </c>
      <c r="E3563" s="209">
        <v>3.95</v>
      </c>
      <c r="F3563" s="209">
        <v>5.35</v>
      </c>
      <c r="G3563" s="209">
        <v>9.3000000000000007</v>
      </c>
      <c r="H3563" s="198"/>
    </row>
    <row r="3564" spans="1:8" ht="15.75" hidden="1" customHeight="1" x14ac:dyDescent="0.25">
      <c r="A3564" s="205" t="s">
        <v>4064</v>
      </c>
      <c r="B3564" s="206">
        <v>91884</v>
      </c>
      <c r="C3564" s="207" t="s">
        <v>4213</v>
      </c>
      <c r="D3564" s="208" t="s">
        <v>580</v>
      </c>
      <c r="E3564" s="209">
        <v>5.62</v>
      </c>
      <c r="F3564" s="209">
        <v>9.75</v>
      </c>
      <c r="G3564" s="209">
        <v>15.37</v>
      </c>
      <c r="H3564" s="198"/>
    </row>
    <row r="3565" spans="1:8" ht="15.75" hidden="1" customHeight="1" x14ac:dyDescent="0.25">
      <c r="A3565" s="205" t="s">
        <v>4064</v>
      </c>
      <c r="B3565" s="206">
        <v>91876</v>
      </c>
      <c r="C3565" s="207" t="s">
        <v>4214</v>
      </c>
      <c r="D3565" s="208" t="s">
        <v>580</v>
      </c>
      <c r="E3565" s="209">
        <v>5.7</v>
      </c>
      <c r="F3565" s="209">
        <v>7.91</v>
      </c>
      <c r="G3565" s="209">
        <v>13.61</v>
      </c>
      <c r="H3565" s="198"/>
    </row>
    <row r="3566" spans="1:8" ht="15.75" hidden="1" customHeight="1" x14ac:dyDescent="0.25">
      <c r="A3566" s="205" t="s">
        <v>4064</v>
      </c>
      <c r="B3566" s="206">
        <v>91880</v>
      </c>
      <c r="C3566" s="207" t="s">
        <v>4215</v>
      </c>
      <c r="D3566" s="208" t="s">
        <v>580</v>
      </c>
      <c r="E3566" s="209">
        <v>5.17</v>
      </c>
      <c r="F3566" s="209">
        <v>6.47</v>
      </c>
      <c r="G3566" s="209">
        <v>11.64</v>
      </c>
      <c r="H3566" s="198"/>
    </row>
    <row r="3567" spans="1:8" ht="15.75" hidden="1" customHeight="1" x14ac:dyDescent="0.25">
      <c r="A3567" s="205" t="s">
        <v>4064</v>
      </c>
      <c r="B3567" s="206">
        <v>91885</v>
      </c>
      <c r="C3567" s="207" t="s">
        <v>4216</v>
      </c>
      <c r="D3567" s="208" t="s">
        <v>580</v>
      </c>
      <c r="E3567" s="209">
        <v>6.81</v>
      </c>
      <c r="F3567" s="209">
        <v>10.83</v>
      </c>
      <c r="G3567" s="209">
        <v>17.64</v>
      </c>
      <c r="H3567" s="198"/>
    </row>
    <row r="3568" spans="1:8" ht="15.75" hidden="1" customHeight="1" x14ac:dyDescent="0.25">
      <c r="A3568" s="205" t="s">
        <v>4064</v>
      </c>
      <c r="B3568" s="206">
        <v>91877</v>
      </c>
      <c r="C3568" s="207" t="s">
        <v>4217</v>
      </c>
      <c r="D3568" s="208" t="s">
        <v>580</v>
      </c>
      <c r="E3568" s="209">
        <v>7.7</v>
      </c>
      <c r="F3568" s="209">
        <v>9.1999999999999993</v>
      </c>
      <c r="G3568" s="209">
        <v>16.899999999999999</v>
      </c>
      <c r="H3568" s="198"/>
    </row>
    <row r="3569" spans="1:8" ht="15.75" hidden="1" customHeight="1" x14ac:dyDescent="0.25">
      <c r="A3569" s="205" t="s">
        <v>4064</v>
      </c>
      <c r="B3569" s="206">
        <v>91881</v>
      </c>
      <c r="C3569" s="207" t="s">
        <v>4218</v>
      </c>
      <c r="D3569" s="208" t="s">
        <v>580</v>
      </c>
      <c r="E3569" s="209">
        <v>7.15</v>
      </c>
      <c r="F3569" s="209">
        <v>7.77</v>
      </c>
      <c r="G3569" s="209">
        <v>14.92</v>
      </c>
      <c r="H3569" s="198"/>
    </row>
    <row r="3570" spans="1:8" ht="15.75" hidden="1" customHeight="1" x14ac:dyDescent="0.25">
      <c r="A3570" s="205" t="s">
        <v>4064</v>
      </c>
      <c r="B3570" s="206">
        <v>91886</v>
      </c>
      <c r="C3570" s="207" t="s">
        <v>4219</v>
      </c>
      <c r="D3570" s="208" t="s">
        <v>580</v>
      </c>
      <c r="E3570" s="209">
        <v>8.77</v>
      </c>
      <c r="F3570" s="209">
        <v>12.08</v>
      </c>
      <c r="G3570" s="209">
        <v>20.85</v>
      </c>
      <c r="H3570" s="198"/>
    </row>
    <row r="3571" spans="1:8" ht="15.75" hidden="1" customHeight="1" x14ac:dyDescent="0.25">
      <c r="A3571" s="205" t="s">
        <v>4064</v>
      </c>
      <c r="B3571" s="206">
        <v>91945</v>
      </c>
      <c r="C3571" s="207" t="s">
        <v>4220</v>
      </c>
      <c r="D3571" s="208" t="s">
        <v>580</v>
      </c>
      <c r="E3571" s="209">
        <v>8.3699999999999992</v>
      </c>
      <c r="F3571" s="209">
        <v>9.25</v>
      </c>
      <c r="G3571" s="209">
        <v>17.62</v>
      </c>
      <c r="H3571" s="198"/>
    </row>
    <row r="3572" spans="1:8" ht="15.75" hidden="1" customHeight="1" x14ac:dyDescent="0.25">
      <c r="A3572" s="205" t="s">
        <v>4064</v>
      </c>
      <c r="B3572" s="206">
        <v>91947</v>
      </c>
      <c r="C3572" s="207" t="s">
        <v>4221</v>
      </c>
      <c r="D3572" s="208" t="s">
        <v>580</v>
      </c>
      <c r="E3572" s="209">
        <v>6.59</v>
      </c>
      <c r="F3572" s="209">
        <v>4.5</v>
      </c>
      <c r="G3572" s="209">
        <v>11.09</v>
      </c>
      <c r="H3572" s="198"/>
    </row>
    <row r="3573" spans="1:8" ht="15.75" hidden="1" customHeight="1" x14ac:dyDescent="0.25">
      <c r="A3573" s="205" t="s">
        <v>4064</v>
      </c>
      <c r="B3573" s="206">
        <v>91946</v>
      </c>
      <c r="C3573" s="207" t="s">
        <v>4222</v>
      </c>
      <c r="D3573" s="208" t="s">
        <v>580</v>
      </c>
      <c r="E3573" s="209">
        <v>7.28</v>
      </c>
      <c r="F3573" s="209">
        <v>6.33</v>
      </c>
      <c r="G3573" s="209">
        <v>13.61</v>
      </c>
      <c r="H3573" s="198"/>
    </row>
    <row r="3574" spans="1:8" ht="15.75" hidden="1" customHeight="1" x14ac:dyDescent="0.25">
      <c r="A3574" s="205" t="s">
        <v>4064</v>
      </c>
      <c r="B3574" s="206">
        <v>91949</v>
      </c>
      <c r="C3574" s="207" t="s">
        <v>4223</v>
      </c>
      <c r="D3574" s="208" t="s">
        <v>580</v>
      </c>
      <c r="E3574" s="209">
        <v>13.43</v>
      </c>
      <c r="F3574" s="209">
        <v>10.98</v>
      </c>
      <c r="G3574" s="209">
        <v>24.41</v>
      </c>
      <c r="H3574" s="198"/>
    </row>
    <row r="3575" spans="1:8" ht="15.75" hidden="1" customHeight="1" x14ac:dyDescent="0.25">
      <c r="A3575" s="205" t="s">
        <v>4064</v>
      </c>
      <c r="B3575" s="206">
        <v>91951</v>
      </c>
      <c r="C3575" s="207" t="s">
        <v>4224</v>
      </c>
      <c r="D3575" s="208" t="s">
        <v>580</v>
      </c>
      <c r="E3575" s="209">
        <v>11.28</v>
      </c>
      <c r="F3575" s="209">
        <v>5.29</v>
      </c>
      <c r="G3575" s="209">
        <v>16.57</v>
      </c>
      <c r="H3575" s="198"/>
    </row>
    <row r="3576" spans="1:8" ht="15.75" hidden="1" customHeight="1" x14ac:dyDescent="0.25">
      <c r="A3576" s="205" t="s">
        <v>4064</v>
      </c>
      <c r="B3576" s="206">
        <v>91950</v>
      </c>
      <c r="C3576" s="207" t="s">
        <v>4225</v>
      </c>
      <c r="D3576" s="208" t="s">
        <v>580</v>
      </c>
      <c r="E3576" s="209">
        <v>12.1</v>
      </c>
      <c r="F3576" s="209">
        <v>7.41</v>
      </c>
      <c r="G3576" s="209">
        <v>19.510000000000002</v>
      </c>
      <c r="H3576" s="198"/>
    </row>
    <row r="3577" spans="1:8" ht="15.75" hidden="1" customHeight="1" x14ac:dyDescent="0.25">
      <c r="A3577" s="205" t="s">
        <v>4064</v>
      </c>
      <c r="B3577" s="206">
        <v>91992</v>
      </c>
      <c r="C3577" s="207" t="s">
        <v>4226</v>
      </c>
      <c r="D3577" s="208" t="s">
        <v>580</v>
      </c>
      <c r="E3577" s="209">
        <v>25.44</v>
      </c>
      <c r="F3577" s="209">
        <v>31.65</v>
      </c>
      <c r="G3577" s="209">
        <v>57.09</v>
      </c>
      <c r="H3577" s="198"/>
    </row>
    <row r="3578" spans="1:8" ht="15.75" hidden="1" customHeight="1" x14ac:dyDescent="0.25">
      <c r="A3578" s="205" t="s">
        <v>4064</v>
      </c>
      <c r="B3578" s="206">
        <v>91990</v>
      </c>
      <c r="C3578" s="207" t="s">
        <v>4227</v>
      </c>
      <c r="D3578" s="208" t="s">
        <v>580</v>
      </c>
      <c r="E3578" s="209">
        <v>18.18</v>
      </c>
      <c r="F3578" s="209">
        <v>25.3</v>
      </c>
      <c r="G3578" s="209">
        <v>43.48</v>
      </c>
      <c r="H3578" s="198"/>
    </row>
    <row r="3579" spans="1:8" ht="15.75" hidden="1" customHeight="1" x14ac:dyDescent="0.25">
      <c r="A3579" s="205" t="s">
        <v>4064</v>
      </c>
      <c r="B3579" s="206">
        <v>91993</v>
      </c>
      <c r="C3579" s="207" t="s">
        <v>4228</v>
      </c>
      <c r="D3579" s="208" t="s">
        <v>580</v>
      </c>
      <c r="E3579" s="209">
        <v>27.87</v>
      </c>
      <c r="F3579" s="209">
        <v>31.64</v>
      </c>
      <c r="G3579" s="209">
        <v>59.51</v>
      </c>
      <c r="H3579" s="198"/>
    </row>
    <row r="3580" spans="1:8" ht="15.75" hidden="1" customHeight="1" x14ac:dyDescent="0.25">
      <c r="A3580" s="205" t="s">
        <v>4064</v>
      </c>
      <c r="B3580" s="206">
        <v>91991</v>
      </c>
      <c r="C3580" s="207" t="s">
        <v>4229</v>
      </c>
      <c r="D3580" s="208" t="s">
        <v>580</v>
      </c>
      <c r="E3580" s="209">
        <v>20.6</v>
      </c>
      <c r="F3580" s="209">
        <v>25.3</v>
      </c>
      <c r="G3580" s="209">
        <v>45.9</v>
      </c>
      <c r="H3580" s="198"/>
    </row>
    <row r="3581" spans="1:8" ht="15.75" hidden="1" customHeight="1" x14ac:dyDescent="0.25">
      <c r="A3581" s="205" t="s">
        <v>4064</v>
      </c>
      <c r="B3581" s="206">
        <v>92000</v>
      </c>
      <c r="C3581" s="207" t="s">
        <v>4230</v>
      </c>
      <c r="D3581" s="208" t="s">
        <v>580</v>
      </c>
      <c r="E3581" s="209">
        <v>20.440000000000001</v>
      </c>
      <c r="F3581" s="209">
        <v>18.32</v>
      </c>
      <c r="G3581" s="209">
        <v>38.76</v>
      </c>
      <c r="H3581" s="198"/>
    </row>
    <row r="3582" spans="1:8" ht="15.75" hidden="1" customHeight="1" x14ac:dyDescent="0.25">
      <c r="A3582" s="205" t="s">
        <v>4064</v>
      </c>
      <c r="B3582" s="206">
        <v>91998</v>
      </c>
      <c r="C3582" s="207" t="s">
        <v>4231</v>
      </c>
      <c r="D3582" s="208" t="s">
        <v>580</v>
      </c>
      <c r="E3582" s="209">
        <v>13.17</v>
      </c>
      <c r="F3582" s="209">
        <v>11.98</v>
      </c>
      <c r="G3582" s="209">
        <v>25.15</v>
      </c>
      <c r="H3582" s="198"/>
    </row>
    <row r="3583" spans="1:8" ht="15.75" hidden="1" customHeight="1" x14ac:dyDescent="0.25">
      <c r="A3583" s="205" t="s">
        <v>4064</v>
      </c>
      <c r="B3583" s="206">
        <v>92001</v>
      </c>
      <c r="C3583" s="207" t="s">
        <v>4232</v>
      </c>
      <c r="D3583" s="208" t="s">
        <v>580</v>
      </c>
      <c r="E3583" s="209">
        <v>22.86</v>
      </c>
      <c r="F3583" s="209">
        <v>18.32</v>
      </c>
      <c r="G3583" s="209">
        <v>41.18</v>
      </c>
      <c r="H3583" s="198"/>
    </row>
    <row r="3584" spans="1:8" ht="15.75" hidden="1" customHeight="1" x14ac:dyDescent="0.25">
      <c r="A3584" s="205" t="s">
        <v>4064</v>
      </c>
      <c r="B3584" s="206">
        <v>91999</v>
      </c>
      <c r="C3584" s="207" t="s">
        <v>4233</v>
      </c>
      <c r="D3584" s="208" t="s">
        <v>580</v>
      </c>
      <c r="E3584" s="209">
        <v>15.58</v>
      </c>
      <c r="F3584" s="209">
        <v>11.99</v>
      </c>
      <c r="G3584" s="209">
        <v>27.57</v>
      </c>
      <c r="H3584" s="198"/>
    </row>
    <row r="3585" spans="1:8" ht="15.75" hidden="1" customHeight="1" x14ac:dyDescent="0.25">
      <c r="A3585" s="205" t="s">
        <v>4064</v>
      </c>
      <c r="B3585" s="206">
        <v>92008</v>
      </c>
      <c r="C3585" s="207" t="s">
        <v>4234</v>
      </c>
      <c r="D3585" s="208" t="s">
        <v>580</v>
      </c>
      <c r="E3585" s="209">
        <v>32.43</v>
      </c>
      <c r="F3585" s="209">
        <v>27.19</v>
      </c>
      <c r="G3585" s="209">
        <v>59.62</v>
      </c>
      <c r="H3585" s="198"/>
    </row>
    <row r="3586" spans="1:8" ht="15.75" hidden="1" customHeight="1" x14ac:dyDescent="0.25">
      <c r="A3586" s="205" t="s">
        <v>4064</v>
      </c>
      <c r="B3586" s="206">
        <v>92006</v>
      </c>
      <c r="C3586" s="207" t="s">
        <v>4235</v>
      </c>
      <c r="D3586" s="208" t="s">
        <v>580</v>
      </c>
      <c r="E3586" s="209">
        <v>25.16</v>
      </c>
      <c r="F3586" s="209">
        <v>20.85</v>
      </c>
      <c r="G3586" s="209">
        <v>46.01</v>
      </c>
      <c r="H3586" s="198"/>
    </row>
    <row r="3587" spans="1:8" ht="15.75" hidden="1" customHeight="1" x14ac:dyDescent="0.25">
      <c r="A3587" s="205" t="s">
        <v>4064</v>
      </c>
      <c r="B3587" s="206">
        <v>92009</v>
      </c>
      <c r="C3587" s="207" t="s">
        <v>4236</v>
      </c>
      <c r="D3587" s="208" t="s">
        <v>580</v>
      </c>
      <c r="E3587" s="209">
        <v>37.28</v>
      </c>
      <c r="F3587" s="209">
        <v>27.18</v>
      </c>
      <c r="G3587" s="209">
        <v>64.459999999999994</v>
      </c>
      <c r="H3587" s="198"/>
    </row>
    <row r="3588" spans="1:8" ht="15.75" hidden="1" customHeight="1" x14ac:dyDescent="0.25">
      <c r="A3588" s="205" t="s">
        <v>4064</v>
      </c>
      <c r="B3588" s="206">
        <v>92007</v>
      </c>
      <c r="C3588" s="207" t="s">
        <v>4237</v>
      </c>
      <c r="D3588" s="208" t="s">
        <v>580</v>
      </c>
      <c r="E3588" s="209">
        <v>30.01</v>
      </c>
      <c r="F3588" s="209">
        <v>20.84</v>
      </c>
      <c r="G3588" s="209">
        <v>50.85</v>
      </c>
      <c r="H3588" s="198"/>
    </row>
    <row r="3589" spans="1:8" ht="15.75" hidden="1" customHeight="1" x14ac:dyDescent="0.25">
      <c r="A3589" s="205" t="s">
        <v>4064</v>
      </c>
      <c r="B3589" s="206">
        <v>92016</v>
      </c>
      <c r="C3589" s="207" t="s">
        <v>4238</v>
      </c>
      <c r="D3589" s="208" t="s">
        <v>580</v>
      </c>
      <c r="E3589" s="209">
        <v>44.44</v>
      </c>
      <c r="F3589" s="209">
        <v>36.049999999999997</v>
      </c>
      <c r="G3589" s="209">
        <v>80.489999999999995</v>
      </c>
      <c r="H3589" s="198"/>
    </row>
    <row r="3590" spans="1:8" ht="15.75" hidden="1" customHeight="1" x14ac:dyDescent="0.25">
      <c r="A3590" s="205" t="s">
        <v>4064</v>
      </c>
      <c r="B3590" s="206">
        <v>92014</v>
      </c>
      <c r="C3590" s="207" t="s">
        <v>4239</v>
      </c>
      <c r="D3590" s="208" t="s">
        <v>580</v>
      </c>
      <c r="E3590" s="209">
        <v>37.159999999999997</v>
      </c>
      <c r="F3590" s="209">
        <v>29.72</v>
      </c>
      <c r="G3590" s="209">
        <v>66.88</v>
      </c>
      <c r="H3590" s="198"/>
    </row>
    <row r="3591" spans="1:8" ht="15.75" hidden="1" customHeight="1" x14ac:dyDescent="0.25">
      <c r="A3591" s="205" t="s">
        <v>4064</v>
      </c>
      <c r="B3591" s="206">
        <v>92017</v>
      </c>
      <c r="C3591" s="207" t="s">
        <v>4240</v>
      </c>
      <c r="D3591" s="208" t="s">
        <v>580</v>
      </c>
      <c r="E3591" s="209">
        <v>51.7</v>
      </c>
      <c r="F3591" s="209">
        <v>36.049999999999997</v>
      </c>
      <c r="G3591" s="209">
        <v>87.75</v>
      </c>
      <c r="H3591" s="198"/>
    </row>
    <row r="3592" spans="1:8" ht="15.75" hidden="1" customHeight="1" x14ac:dyDescent="0.25">
      <c r="A3592" s="205" t="s">
        <v>4064</v>
      </c>
      <c r="B3592" s="206">
        <v>92015</v>
      </c>
      <c r="C3592" s="207" t="s">
        <v>4241</v>
      </c>
      <c r="D3592" s="208" t="s">
        <v>580</v>
      </c>
      <c r="E3592" s="209">
        <v>44.42</v>
      </c>
      <c r="F3592" s="209">
        <v>29.72</v>
      </c>
      <c r="G3592" s="209">
        <v>74.14</v>
      </c>
      <c r="H3592" s="198"/>
    </row>
    <row r="3593" spans="1:8" ht="15.75" hidden="1" customHeight="1" x14ac:dyDescent="0.25">
      <c r="A3593" s="205" t="s">
        <v>4064</v>
      </c>
      <c r="B3593" s="206">
        <v>92019</v>
      </c>
      <c r="C3593" s="207" t="s">
        <v>4242</v>
      </c>
      <c r="D3593" s="208" t="s">
        <v>580</v>
      </c>
      <c r="E3593" s="209">
        <v>61.46</v>
      </c>
      <c r="F3593" s="209">
        <v>46.54</v>
      </c>
      <c r="G3593" s="209">
        <v>108</v>
      </c>
      <c r="H3593" s="198"/>
    </row>
    <row r="3594" spans="1:8" ht="15.75" hidden="1" customHeight="1" x14ac:dyDescent="0.25">
      <c r="A3594" s="205" t="s">
        <v>4064</v>
      </c>
      <c r="B3594" s="206">
        <v>92018</v>
      </c>
      <c r="C3594" s="207" t="s">
        <v>4243</v>
      </c>
      <c r="D3594" s="208" t="s">
        <v>580</v>
      </c>
      <c r="E3594" s="209">
        <v>49.36</v>
      </c>
      <c r="F3594" s="209">
        <v>39.130000000000003</v>
      </c>
      <c r="G3594" s="209">
        <v>88.49</v>
      </c>
      <c r="H3594" s="198"/>
    </row>
    <row r="3595" spans="1:8" ht="15.75" hidden="1" customHeight="1" x14ac:dyDescent="0.25">
      <c r="A3595" s="205" t="s">
        <v>4064</v>
      </c>
      <c r="B3595" s="206">
        <v>92021</v>
      </c>
      <c r="C3595" s="207" t="s">
        <v>4244</v>
      </c>
      <c r="D3595" s="208" t="s">
        <v>580</v>
      </c>
      <c r="E3595" s="209">
        <v>85.52</v>
      </c>
      <c r="F3595" s="209">
        <v>64.540000000000006</v>
      </c>
      <c r="G3595" s="209">
        <v>150.06</v>
      </c>
      <c r="H3595" s="198"/>
    </row>
    <row r="3596" spans="1:8" ht="15.75" hidden="1" customHeight="1" x14ac:dyDescent="0.25">
      <c r="A3596" s="205" t="s">
        <v>4064</v>
      </c>
      <c r="B3596" s="206">
        <v>92020</v>
      </c>
      <c r="C3596" s="207" t="s">
        <v>4245</v>
      </c>
      <c r="D3596" s="208" t="s">
        <v>580</v>
      </c>
      <c r="E3596" s="209">
        <v>73.44</v>
      </c>
      <c r="F3596" s="209">
        <v>57.11</v>
      </c>
      <c r="G3596" s="209">
        <v>130.55000000000001</v>
      </c>
      <c r="H3596" s="198"/>
    </row>
    <row r="3597" spans="1:8" ht="15.75" hidden="1" customHeight="1" x14ac:dyDescent="0.25">
      <c r="A3597" s="205" t="s">
        <v>4064</v>
      </c>
      <c r="B3597" s="206">
        <v>91996</v>
      </c>
      <c r="C3597" s="207" t="s">
        <v>4246</v>
      </c>
      <c r="D3597" s="208" t="s">
        <v>580</v>
      </c>
      <c r="E3597" s="209">
        <v>21.83</v>
      </c>
      <c r="F3597" s="209">
        <v>22.04</v>
      </c>
      <c r="G3597" s="209">
        <v>43.87</v>
      </c>
      <c r="H3597" s="198"/>
    </row>
    <row r="3598" spans="1:8" ht="15.75" hidden="1" customHeight="1" x14ac:dyDescent="0.25">
      <c r="A3598" s="205" t="s">
        <v>4064</v>
      </c>
      <c r="B3598" s="206">
        <v>91994</v>
      </c>
      <c r="C3598" s="207" t="s">
        <v>4247</v>
      </c>
      <c r="D3598" s="208" t="s">
        <v>580</v>
      </c>
      <c r="E3598" s="209">
        <v>14.57</v>
      </c>
      <c r="F3598" s="209">
        <v>15.69</v>
      </c>
      <c r="G3598" s="209">
        <v>30.26</v>
      </c>
      <c r="H3598" s="198"/>
    </row>
    <row r="3599" spans="1:8" ht="15.75" hidden="1" customHeight="1" x14ac:dyDescent="0.25">
      <c r="A3599" s="205" t="s">
        <v>4064</v>
      </c>
      <c r="B3599" s="206">
        <v>91997</v>
      </c>
      <c r="C3599" s="207" t="s">
        <v>4248</v>
      </c>
      <c r="D3599" s="208" t="s">
        <v>580</v>
      </c>
      <c r="E3599" s="209">
        <v>24.26</v>
      </c>
      <c r="F3599" s="209">
        <v>22.03</v>
      </c>
      <c r="G3599" s="209">
        <v>46.29</v>
      </c>
      <c r="H3599" s="198"/>
    </row>
    <row r="3600" spans="1:8" ht="15.75" hidden="1" customHeight="1" x14ac:dyDescent="0.25">
      <c r="A3600" s="205" t="s">
        <v>4064</v>
      </c>
      <c r="B3600" s="206">
        <v>91995</v>
      </c>
      <c r="C3600" s="207" t="s">
        <v>4249</v>
      </c>
      <c r="D3600" s="208" t="s">
        <v>580</v>
      </c>
      <c r="E3600" s="209">
        <v>16.989999999999998</v>
      </c>
      <c r="F3600" s="209">
        <v>15.69</v>
      </c>
      <c r="G3600" s="209">
        <v>32.68</v>
      </c>
      <c r="H3600" s="198"/>
    </row>
    <row r="3601" spans="1:8" ht="15.75" hidden="1" customHeight="1" x14ac:dyDescent="0.25">
      <c r="A3601" s="205" t="s">
        <v>4064</v>
      </c>
      <c r="B3601" s="206">
        <v>92004</v>
      </c>
      <c r="C3601" s="207" t="s">
        <v>4250</v>
      </c>
      <c r="D3601" s="208" t="s">
        <v>580</v>
      </c>
      <c r="E3601" s="209">
        <v>35.229999999999997</v>
      </c>
      <c r="F3601" s="209">
        <v>34.68</v>
      </c>
      <c r="G3601" s="209">
        <v>69.91</v>
      </c>
      <c r="H3601" s="198"/>
    </row>
    <row r="3602" spans="1:8" ht="15.75" hidden="1" customHeight="1" x14ac:dyDescent="0.25">
      <c r="A3602" s="205" t="s">
        <v>4064</v>
      </c>
      <c r="B3602" s="206">
        <v>92002</v>
      </c>
      <c r="C3602" s="207" t="s">
        <v>4251</v>
      </c>
      <c r="D3602" s="208" t="s">
        <v>580</v>
      </c>
      <c r="E3602" s="209">
        <v>27.96</v>
      </c>
      <c r="F3602" s="209">
        <v>28.34</v>
      </c>
      <c r="G3602" s="209">
        <v>56.3</v>
      </c>
      <c r="H3602" s="198"/>
    </row>
    <row r="3603" spans="1:8" ht="15.75" hidden="1" customHeight="1" x14ac:dyDescent="0.25">
      <c r="A3603" s="205" t="s">
        <v>4064</v>
      </c>
      <c r="B3603" s="206">
        <v>92005</v>
      </c>
      <c r="C3603" s="207" t="s">
        <v>4252</v>
      </c>
      <c r="D3603" s="208" t="s">
        <v>580</v>
      </c>
      <c r="E3603" s="209">
        <v>40.08</v>
      </c>
      <c r="F3603" s="209">
        <v>34.67</v>
      </c>
      <c r="G3603" s="209">
        <v>74.75</v>
      </c>
      <c r="H3603" s="198"/>
    </row>
    <row r="3604" spans="1:8" ht="15.75" hidden="1" customHeight="1" x14ac:dyDescent="0.25">
      <c r="A3604" s="205" t="s">
        <v>4064</v>
      </c>
      <c r="B3604" s="206">
        <v>92003</v>
      </c>
      <c r="C3604" s="207" t="s">
        <v>4253</v>
      </c>
      <c r="D3604" s="208" t="s">
        <v>580</v>
      </c>
      <c r="E3604" s="209">
        <v>32.81</v>
      </c>
      <c r="F3604" s="209">
        <v>28.33</v>
      </c>
      <c r="G3604" s="209">
        <v>61.14</v>
      </c>
      <c r="H3604" s="198"/>
    </row>
    <row r="3605" spans="1:8" ht="15.75" hidden="1" customHeight="1" x14ac:dyDescent="0.25">
      <c r="A3605" s="205" t="s">
        <v>4064</v>
      </c>
      <c r="B3605" s="206">
        <v>92012</v>
      </c>
      <c r="C3605" s="207" t="s">
        <v>4254</v>
      </c>
      <c r="D3605" s="208" t="s">
        <v>580</v>
      </c>
      <c r="E3605" s="209">
        <v>48.63</v>
      </c>
      <c r="F3605" s="209">
        <v>47.26</v>
      </c>
      <c r="G3605" s="209">
        <v>95.89</v>
      </c>
      <c r="H3605" s="198"/>
    </row>
    <row r="3606" spans="1:8" ht="15.75" hidden="1" customHeight="1" x14ac:dyDescent="0.25">
      <c r="A3606" s="205" t="s">
        <v>4064</v>
      </c>
      <c r="B3606" s="206">
        <v>92010</v>
      </c>
      <c r="C3606" s="207" t="s">
        <v>4255</v>
      </c>
      <c r="D3606" s="208" t="s">
        <v>580</v>
      </c>
      <c r="E3606" s="209">
        <v>41.37</v>
      </c>
      <c r="F3606" s="209">
        <v>40.909999999999997</v>
      </c>
      <c r="G3606" s="209">
        <v>82.28</v>
      </c>
      <c r="H3606" s="198"/>
    </row>
    <row r="3607" spans="1:8" ht="15.75" hidden="1" customHeight="1" x14ac:dyDescent="0.25">
      <c r="A3607" s="205" t="s">
        <v>4064</v>
      </c>
      <c r="B3607" s="206">
        <v>92013</v>
      </c>
      <c r="C3607" s="207" t="s">
        <v>4256</v>
      </c>
      <c r="D3607" s="208" t="s">
        <v>580</v>
      </c>
      <c r="E3607" s="209">
        <v>55.89</v>
      </c>
      <c r="F3607" s="209">
        <v>47.26</v>
      </c>
      <c r="G3607" s="209">
        <v>103.15</v>
      </c>
      <c r="H3607" s="198"/>
    </row>
    <row r="3608" spans="1:8" ht="15.75" hidden="1" customHeight="1" x14ac:dyDescent="0.25">
      <c r="A3608" s="205" t="s">
        <v>4064</v>
      </c>
      <c r="B3608" s="206">
        <v>92011</v>
      </c>
      <c r="C3608" s="207" t="s">
        <v>4257</v>
      </c>
      <c r="D3608" s="208" t="s">
        <v>580</v>
      </c>
      <c r="E3608" s="209">
        <v>48.63</v>
      </c>
      <c r="F3608" s="209">
        <v>40.909999999999997</v>
      </c>
      <c r="G3608" s="209">
        <v>89.54</v>
      </c>
      <c r="H3608" s="198"/>
    </row>
    <row r="3609" spans="1:8" ht="15.75" hidden="1" customHeight="1" x14ac:dyDescent="0.25">
      <c r="A3609" s="205" t="s">
        <v>4258</v>
      </c>
      <c r="B3609" s="206">
        <v>95777</v>
      </c>
      <c r="C3609" s="207" t="s">
        <v>4259</v>
      </c>
      <c r="D3609" s="208" t="s">
        <v>580</v>
      </c>
      <c r="E3609" s="209">
        <v>19.920000000000002</v>
      </c>
      <c r="F3609" s="209">
        <v>11.39</v>
      </c>
      <c r="G3609" s="209">
        <v>31.31</v>
      </c>
      <c r="H3609" s="198"/>
    </row>
    <row r="3610" spans="1:8" ht="15.75" hidden="1" customHeight="1" x14ac:dyDescent="0.25">
      <c r="A3610" s="205" t="s">
        <v>4258</v>
      </c>
      <c r="B3610" s="206">
        <v>95780</v>
      </c>
      <c r="C3610" s="207" t="s">
        <v>4260</v>
      </c>
      <c r="D3610" s="208" t="s">
        <v>580</v>
      </c>
      <c r="E3610" s="209">
        <v>24.7</v>
      </c>
      <c r="F3610" s="209">
        <v>12.61</v>
      </c>
      <c r="G3610" s="209">
        <v>37.31</v>
      </c>
      <c r="H3610" s="198"/>
    </row>
    <row r="3611" spans="1:8" ht="15.75" hidden="1" customHeight="1" x14ac:dyDescent="0.25">
      <c r="A3611" s="205" t="s">
        <v>4258</v>
      </c>
      <c r="B3611" s="206">
        <v>95778</v>
      </c>
      <c r="C3611" s="207" t="s">
        <v>4261</v>
      </c>
      <c r="D3611" s="208" t="s">
        <v>580</v>
      </c>
      <c r="E3611" s="209">
        <v>21.63</v>
      </c>
      <c r="F3611" s="209">
        <v>13.51</v>
      </c>
      <c r="G3611" s="209">
        <v>35.14</v>
      </c>
      <c r="H3611" s="198"/>
    </row>
    <row r="3612" spans="1:8" ht="15.75" hidden="1" customHeight="1" x14ac:dyDescent="0.25">
      <c r="A3612" s="205" t="s">
        <v>4258</v>
      </c>
      <c r="B3612" s="206">
        <v>95781</v>
      </c>
      <c r="C3612" s="207" t="s">
        <v>4262</v>
      </c>
      <c r="D3612" s="208" t="s">
        <v>580</v>
      </c>
      <c r="E3612" s="209">
        <v>26.64</v>
      </c>
      <c r="F3612" s="209">
        <v>15.97</v>
      </c>
      <c r="G3612" s="209">
        <v>42.61</v>
      </c>
      <c r="H3612" s="198"/>
    </row>
    <row r="3613" spans="1:8" ht="15.75" hidden="1" customHeight="1" x14ac:dyDescent="0.25">
      <c r="A3613" s="205" t="s">
        <v>4258</v>
      </c>
      <c r="B3613" s="206">
        <v>95782</v>
      </c>
      <c r="C3613" s="207" t="s">
        <v>4263</v>
      </c>
      <c r="D3613" s="208" t="s">
        <v>580</v>
      </c>
      <c r="E3613" s="209">
        <v>27.17</v>
      </c>
      <c r="F3613" s="209">
        <v>12.62</v>
      </c>
      <c r="G3613" s="209">
        <v>39.79</v>
      </c>
      <c r="H3613" s="198"/>
    </row>
    <row r="3614" spans="1:8" ht="15.75" hidden="1" customHeight="1" x14ac:dyDescent="0.25">
      <c r="A3614" s="205" t="s">
        <v>4258</v>
      </c>
      <c r="B3614" s="206">
        <v>95779</v>
      </c>
      <c r="C3614" s="207" t="s">
        <v>4264</v>
      </c>
      <c r="D3614" s="208" t="s">
        <v>580</v>
      </c>
      <c r="E3614" s="209">
        <v>17.77</v>
      </c>
      <c r="F3614" s="209">
        <v>11.38</v>
      </c>
      <c r="G3614" s="209">
        <v>29.15</v>
      </c>
      <c r="H3614" s="198"/>
    </row>
    <row r="3615" spans="1:8" ht="15.75" hidden="1" customHeight="1" x14ac:dyDescent="0.25">
      <c r="A3615" s="205" t="s">
        <v>4258</v>
      </c>
      <c r="B3615" s="206">
        <v>95785</v>
      </c>
      <c r="C3615" s="207" t="s">
        <v>4265</v>
      </c>
      <c r="D3615" s="208" t="s">
        <v>580</v>
      </c>
      <c r="E3615" s="209">
        <v>32.81</v>
      </c>
      <c r="F3615" s="209">
        <v>14.34</v>
      </c>
      <c r="G3615" s="209">
        <v>47.15</v>
      </c>
      <c r="H3615" s="198"/>
    </row>
    <row r="3616" spans="1:8" ht="15.75" hidden="1" customHeight="1" x14ac:dyDescent="0.25">
      <c r="A3616" s="205" t="s">
        <v>4258</v>
      </c>
      <c r="B3616" s="206">
        <v>95787</v>
      </c>
      <c r="C3616" s="207" t="s">
        <v>4266</v>
      </c>
      <c r="D3616" s="208" t="s">
        <v>580</v>
      </c>
      <c r="E3616" s="209">
        <v>19.79</v>
      </c>
      <c r="F3616" s="209">
        <v>15.61</v>
      </c>
      <c r="G3616" s="209">
        <v>35.4</v>
      </c>
      <c r="H3616" s="198"/>
    </row>
    <row r="3617" spans="1:8" ht="15.75" hidden="1" customHeight="1" x14ac:dyDescent="0.25">
      <c r="A3617" s="205" t="s">
        <v>4258</v>
      </c>
      <c r="B3617" s="206">
        <v>95789</v>
      </c>
      <c r="C3617" s="207" t="s">
        <v>4267</v>
      </c>
      <c r="D3617" s="208" t="s">
        <v>580</v>
      </c>
      <c r="E3617" s="209">
        <v>28.96</v>
      </c>
      <c r="F3617" s="209">
        <v>19.32</v>
      </c>
      <c r="G3617" s="209">
        <v>48.28</v>
      </c>
      <c r="H3617" s="198"/>
    </row>
    <row r="3618" spans="1:8" ht="15.75" hidden="1" customHeight="1" x14ac:dyDescent="0.25">
      <c r="A3618" s="205" t="s">
        <v>4258</v>
      </c>
      <c r="B3618" s="206">
        <v>95791</v>
      </c>
      <c r="C3618" s="207" t="s">
        <v>4268</v>
      </c>
      <c r="D3618" s="208" t="s">
        <v>580</v>
      </c>
      <c r="E3618" s="209">
        <v>42.61</v>
      </c>
      <c r="F3618" s="209">
        <v>24.51</v>
      </c>
      <c r="G3618" s="209">
        <v>67.12</v>
      </c>
      <c r="H3618" s="198"/>
    </row>
    <row r="3619" spans="1:8" ht="15.75" hidden="1" customHeight="1" x14ac:dyDescent="0.25">
      <c r="A3619" s="205" t="s">
        <v>4258</v>
      </c>
      <c r="B3619" s="206">
        <v>95795</v>
      </c>
      <c r="C3619" s="207" t="s">
        <v>4269</v>
      </c>
      <c r="D3619" s="208" t="s">
        <v>580</v>
      </c>
      <c r="E3619" s="209">
        <v>22.67</v>
      </c>
      <c r="F3619" s="209">
        <v>17.73</v>
      </c>
      <c r="G3619" s="209">
        <v>40.4</v>
      </c>
      <c r="H3619" s="198"/>
    </row>
    <row r="3620" spans="1:8" ht="15.75" hidden="1" customHeight="1" x14ac:dyDescent="0.25">
      <c r="A3620" s="205" t="s">
        <v>4258</v>
      </c>
      <c r="B3620" s="206">
        <v>95796</v>
      </c>
      <c r="C3620" s="207" t="s">
        <v>4270</v>
      </c>
      <c r="D3620" s="208" t="s">
        <v>580</v>
      </c>
      <c r="E3620" s="209">
        <v>34.1</v>
      </c>
      <c r="F3620" s="209">
        <v>22.66</v>
      </c>
      <c r="G3620" s="209">
        <v>56.76</v>
      </c>
      <c r="H3620" s="198"/>
    </row>
    <row r="3621" spans="1:8" ht="15.75" hidden="1" customHeight="1" x14ac:dyDescent="0.25">
      <c r="A3621" s="205" t="s">
        <v>4258</v>
      </c>
      <c r="B3621" s="206">
        <v>95797</v>
      </c>
      <c r="C3621" s="207" t="s">
        <v>4271</v>
      </c>
      <c r="D3621" s="208" t="s">
        <v>580</v>
      </c>
      <c r="E3621" s="209">
        <v>48.94</v>
      </c>
      <c r="F3621" s="209">
        <v>29.59</v>
      </c>
      <c r="G3621" s="209">
        <v>78.53</v>
      </c>
      <c r="H3621" s="198"/>
    </row>
    <row r="3622" spans="1:8" ht="15.75" hidden="1" customHeight="1" x14ac:dyDescent="0.25">
      <c r="A3622" s="205" t="s">
        <v>4258</v>
      </c>
      <c r="B3622" s="206">
        <v>95801</v>
      </c>
      <c r="C3622" s="207" t="s">
        <v>4272</v>
      </c>
      <c r="D3622" s="208" t="s">
        <v>580</v>
      </c>
      <c r="E3622" s="209">
        <v>28.48</v>
      </c>
      <c r="F3622" s="209">
        <v>19.84</v>
      </c>
      <c r="G3622" s="209">
        <v>48.32</v>
      </c>
      <c r="H3622" s="198"/>
    </row>
    <row r="3623" spans="1:8" ht="15.75" hidden="1" customHeight="1" x14ac:dyDescent="0.25">
      <c r="A3623" s="205" t="s">
        <v>4258</v>
      </c>
      <c r="B3623" s="206">
        <v>95802</v>
      </c>
      <c r="C3623" s="207" t="s">
        <v>4273</v>
      </c>
      <c r="D3623" s="208" t="s">
        <v>580</v>
      </c>
      <c r="E3623" s="209">
        <v>34.270000000000003</v>
      </c>
      <c r="F3623" s="209">
        <v>26.02</v>
      </c>
      <c r="G3623" s="209">
        <v>60.29</v>
      </c>
      <c r="H3623" s="198"/>
    </row>
    <row r="3624" spans="1:8" ht="15.75" hidden="1" customHeight="1" x14ac:dyDescent="0.25">
      <c r="A3624" s="205" t="s">
        <v>4258</v>
      </c>
      <c r="B3624" s="206">
        <v>95803</v>
      </c>
      <c r="C3624" s="207" t="s">
        <v>4274</v>
      </c>
      <c r="D3624" s="208" t="s">
        <v>580</v>
      </c>
      <c r="E3624" s="209">
        <v>53.03</v>
      </c>
      <c r="F3624" s="209">
        <v>34.65</v>
      </c>
      <c r="G3624" s="209">
        <v>87.68</v>
      </c>
      <c r="H3624" s="198"/>
    </row>
    <row r="3625" spans="1:8" ht="15.75" hidden="1" customHeight="1" x14ac:dyDescent="0.25">
      <c r="A3625" s="205" t="s">
        <v>4258</v>
      </c>
      <c r="B3625" s="206">
        <v>95804</v>
      </c>
      <c r="C3625" s="207" t="s">
        <v>4275</v>
      </c>
      <c r="D3625" s="208" t="s">
        <v>580</v>
      </c>
      <c r="E3625" s="209">
        <v>20.63</v>
      </c>
      <c r="F3625" s="209">
        <v>10.63</v>
      </c>
      <c r="G3625" s="209">
        <v>31.26</v>
      </c>
      <c r="H3625" s="198"/>
    </row>
    <row r="3626" spans="1:8" ht="15.75" hidden="1" customHeight="1" x14ac:dyDescent="0.25">
      <c r="A3626" s="205" t="s">
        <v>4258</v>
      </c>
      <c r="B3626" s="206">
        <v>95805</v>
      </c>
      <c r="C3626" s="207" t="s">
        <v>4276</v>
      </c>
      <c r="D3626" s="208" t="s">
        <v>580</v>
      </c>
      <c r="E3626" s="209">
        <v>21.1</v>
      </c>
      <c r="F3626" s="209">
        <v>11.86</v>
      </c>
      <c r="G3626" s="209">
        <v>32.96</v>
      </c>
      <c r="H3626" s="198"/>
    </row>
    <row r="3627" spans="1:8" ht="15.75" hidden="1" customHeight="1" x14ac:dyDescent="0.25">
      <c r="A3627" s="205" t="s">
        <v>4258</v>
      </c>
      <c r="B3627" s="206">
        <v>95806</v>
      </c>
      <c r="C3627" s="207" t="s">
        <v>4277</v>
      </c>
      <c r="D3627" s="208" t="s">
        <v>580</v>
      </c>
      <c r="E3627" s="209">
        <v>22.5</v>
      </c>
      <c r="F3627" s="209">
        <v>13.59</v>
      </c>
      <c r="G3627" s="209">
        <v>36.090000000000003</v>
      </c>
      <c r="H3627" s="198"/>
    </row>
    <row r="3628" spans="1:8" ht="15.75" hidden="1" customHeight="1" x14ac:dyDescent="0.25">
      <c r="A3628" s="205" t="s">
        <v>4258</v>
      </c>
      <c r="B3628" s="206">
        <v>104401</v>
      </c>
      <c r="C3628" s="207" t="s">
        <v>4278</v>
      </c>
      <c r="D3628" s="208" t="s">
        <v>580</v>
      </c>
      <c r="E3628" s="209">
        <v>22.79</v>
      </c>
      <c r="F3628" s="209">
        <v>11.98</v>
      </c>
      <c r="G3628" s="209">
        <v>34.770000000000003</v>
      </c>
      <c r="H3628" s="198"/>
    </row>
    <row r="3629" spans="1:8" ht="15.75" hidden="1" customHeight="1" x14ac:dyDescent="0.25">
      <c r="A3629" s="205" t="s">
        <v>4258</v>
      </c>
      <c r="B3629" s="206">
        <v>104402</v>
      </c>
      <c r="C3629" s="207" t="s">
        <v>4279</v>
      </c>
      <c r="D3629" s="208" t="s">
        <v>580</v>
      </c>
      <c r="E3629" s="209">
        <v>21.73</v>
      </c>
      <c r="F3629" s="209">
        <v>14.46</v>
      </c>
      <c r="G3629" s="209">
        <v>36.19</v>
      </c>
      <c r="H3629" s="198"/>
    </row>
    <row r="3630" spans="1:8" ht="15.75" hidden="1" customHeight="1" x14ac:dyDescent="0.25">
      <c r="A3630" s="205" t="s">
        <v>4258</v>
      </c>
      <c r="B3630" s="206">
        <v>104403</v>
      </c>
      <c r="C3630" s="207" t="s">
        <v>4280</v>
      </c>
      <c r="D3630" s="208" t="s">
        <v>580</v>
      </c>
      <c r="E3630" s="209">
        <v>27.12</v>
      </c>
      <c r="F3630" s="209">
        <v>17.920000000000002</v>
      </c>
      <c r="G3630" s="209">
        <v>45.04</v>
      </c>
      <c r="H3630" s="198"/>
    </row>
    <row r="3631" spans="1:8" ht="15.75" hidden="1" customHeight="1" x14ac:dyDescent="0.25">
      <c r="A3631" s="205" t="s">
        <v>4258</v>
      </c>
      <c r="B3631" s="206">
        <v>104395</v>
      </c>
      <c r="C3631" s="207" t="s">
        <v>4281</v>
      </c>
      <c r="D3631" s="208" t="s">
        <v>580</v>
      </c>
      <c r="E3631" s="209">
        <v>19.89</v>
      </c>
      <c r="F3631" s="209">
        <v>10.63</v>
      </c>
      <c r="G3631" s="209">
        <v>30.52</v>
      </c>
      <c r="H3631" s="198"/>
    </row>
    <row r="3632" spans="1:8" ht="15.75" hidden="1" customHeight="1" x14ac:dyDescent="0.25">
      <c r="A3632" s="205" t="s">
        <v>4258</v>
      </c>
      <c r="B3632" s="206">
        <v>104396</v>
      </c>
      <c r="C3632" s="207" t="s">
        <v>4282</v>
      </c>
      <c r="D3632" s="208" t="s">
        <v>580</v>
      </c>
      <c r="E3632" s="209">
        <v>19.100000000000001</v>
      </c>
      <c r="F3632" s="209">
        <v>11.87</v>
      </c>
      <c r="G3632" s="209">
        <v>30.97</v>
      </c>
      <c r="H3632" s="198"/>
    </row>
    <row r="3633" spans="1:8" ht="15.75" hidden="1" customHeight="1" x14ac:dyDescent="0.25">
      <c r="A3633" s="205" t="s">
        <v>4258</v>
      </c>
      <c r="B3633" s="206">
        <v>104397</v>
      </c>
      <c r="C3633" s="207" t="s">
        <v>4283</v>
      </c>
      <c r="D3633" s="208" t="s">
        <v>580</v>
      </c>
      <c r="E3633" s="209">
        <v>23.44</v>
      </c>
      <c r="F3633" s="209">
        <v>13.6</v>
      </c>
      <c r="G3633" s="209">
        <v>37.04</v>
      </c>
      <c r="H3633" s="198"/>
    </row>
    <row r="3634" spans="1:8" ht="15.75" hidden="1" customHeight="1" x14ac:dyDescent="0.25">
      <c r="A3634" s="205" t="s">
        <v>4258</v>
      </c>
      <c r="B3634" s="206">
        <v>95810</v>
      </c>
      <c r="C3634" s="207" t="s">
        <v>4284</v>
      </c>
      <c r="D3634" s="208" t="s">
        <v>580</v>
      </c>
      <c r="E3634" s="209">
        <v>19.510000000000002</v>
      </c>
      <c r="F3634" s="209">
        <v>4.0599999999999996</v>
      </c>
      <c r="G3634" s="209">
        <v>23.57</v>
      </c>
      <c r="H3634" s="198"/>
    </row>
    <row r="3635" spans="1:8" ht="15.75" hidden="1" customHeight="1" x14ac:dyDescent="0.25">
      <c r="A3635" s="205" t="s">
        <v>4258</v>
      </c>
      <c r="B3635" s="206">
        <v>95811</v>
      </c>
      <c r="C3635" s="207" t="s">
        <v>4285</v>
      </c>
      <c r="D3635" s="208" t="s">
        <v>580</v>
      </c>
      <c r="E3635" s="209">
        <v>20.9</v>
      </c>
      <c r="F3635" s="209">
        <v>7.76</v>
      </c>
      <c r="G3635" s="209">
        <v>28.66</v>
      </c>
      <c r="H3635" s="198"/>
    </row>
    <row r="3636" spans="1:8" ht="15.75" hidden="1" customHeight="1" x14ac:dyDescent="0.25">
      <c r="A3636" s="205" t="s">
        <v>4258</v>
      </c>
      <c r="B3636" s="206">
        <v>95812</v>
      </c>
      <c r="C3636" s="207" t="s">
        <v>4286</v>
      </c>
      <c r="D3636" s="208" t="s">
        <v>580</v>
      </c>
      <c r="E3636" s="209">
        <v>25.79</v>
      </c>
      <c r="F3636" s="209">
        <v>12.95</v>
      </c>
      <c r="G3636" s="209">
        <v>38.74</v>
      </c>
      <c r="H3636" s="198"/>
    </row>
    <row r="3637" spans="1:8" ht="15.75" hidden="1" customHeight="1" x14ac:dyDescent="0.25">
      <c r="A3637" s="205" t="s">
        <v>4258</v>
      </c>
      <c r="B3637" s="206">
        <v>95807</v>
      </c>
      <c r="C3637" s="207" t="s">
        <v>4287</v>
      </c>
      <c r="D3637" s="208" t="s">
        <v>580</v>
      </c>
      <c r="E3637" s="209">
        <v>23.31</v>
      </c>
      <c r="F3637" s="209">
        <v>13.35</v>
      </c>
      <c r="G3637" s="209">
        <v>36.659999999999997</v>
      </c>
      <c r="H3637" s="198"/>
    </row>
    <row r="3638" spans="1:8" ht="15.75" hidden="1" customHeight="1" x14ac:dyDescent="0.25">
      <c r="A3638" s="205" t="s">
        <v>4258</v>
      </c>
      <c r="B3638" s="206">
        <v>95808</v>
      </c>
      <c r="C3638" s="207" t="s">
        <v>4288</v>
      </c>
      <c r="D3638" s="208" t="s">
        <v>580</v>
      </c>
      <c r="E3638" s="209">
        <v>24.7</v>
      </c>
      <c r="F3638" s="209">
        <v>17.05</v>
      </c>
      <c r="G3638" s="209">
        <v>41.75</v>
      </c>
      <c r="H3638" s="198"/>
    </row>
    <row r="3639" spans="1:8" ht="15.75" hidden="1" customHeight="1" x14ac:dyDescent="0.25">
      <c r="A3639" s="205" t="s">
        <v>4258</v>
      </c>
      <c r="B3639" s="206">
        <v>95809</v>
      </c>
      <c r="C3639" s="207" t="s">
        <v>4289</v>
      </c>
      <c r="D3639" s="208" t="s">
        <v>580</v>
      </c>
      <c r="E3639" s="209">
        <v>29.61</v>
      </c>
      <c r="F3639" s="209">
        <v>22.22</v>
      </c>
      <c r="G3639" s="209">
        <v>51.83</v>
      </c>
      <c r="H3639" s="198"/>
    </row>
    <row r="3640" spans="1:8" ht="15.75" hidden="1" customHeight="1" x14ac:dyDescent="0.25">
      <c r="A3640" s="205" t="s">
        <v>4258</v>
      </c>
      <c r="B3640" s="206">
        <v>104398</v>
      </c>
      <c r="C3640" s="207" t="s">
        <v>4290</v>
      </c>
      <c r="D3640" s="208" t="s">
        <v>580</v>
      </c>
      <c r="E3640" s="209">
        <v>23.29</v>
      </c>
      <c r="F3640" s="209">
        <v>13.35</v>
      </c>
      <c r="G3640" s="209">
        <v>36.64</v>
      </c>
      <c r="H3640" s="198"/>
    </row>
    <row r="3641" spans="1:8" ht="15.75" hidden="1" customHeight="1" x14ac:dyDescent="0.25">
      <c r="A3641" s="205" t="s">
        <v>4258</v>
      </c>
      <c r="B3641" s="206">
        <v>104399</v>
      </c>
      <c r="C3641" s="207" t="s">
        <v>4291</v>
      </c>
      <c r="D3641" s="208" t="s">
        <v>580</v>
      </c>
      <c r="E3641" s="209">
        <v>22.71</v>
      </c>
      <c r="F3641" s="209">
        <v>17.04</v>
      </c>
      <c r="G3641" s="209">
        <v>39.75</v>
      </c>
      <c r="H3641" s="198"/>
    </row>
    <row r="3642" spans="1:8" ht="15.75" hidden="1" customHeight="1" x14ac:dyDescent="0.25">
      <c r="A3642" s="205" t="s">
        <v>4258</v>
      </c>
      <c r="B3642" s="206">
        <v>104400</v>
      </c>
      <c r="C3642" s="207" t="s">
        <v>4292</v>
      </c>
      <c r="D3642" s="208" t="s">
        <v>580</v>
      </c>
      <c r="E3642" s="209">
        <v>28.75</v>
      </c>
      <c r="F3642" s="209">
        <v>22.22</v>
      </c>
      <c r="G3642" s="209">
        <v>50.97</v>
      </c>
      <c r="H3642" s="198"/>
    </row>
    <row r="3643" spans="1:8" ht="15.75" hidden="1" customHeight="1" x14ac:dyDescent="0.25">
      <c r="A3643" s="205" t="s">
        <v>4258</v>
      </c>
      <c r="B3643" s="206">
        <v>104404</v>
      </c>
      <c r="C3643" s="207" t="s">
        <v>4293</v>
      </c>
      <c r="D3643" s="208" t="s">
        <v>580</v>
      </c>
      <c r="E3643" s="209">
        <v>26.91</v>
      </c>
      <c r="F3643" s="209">
        <v>19.64</v>
      </c>
      <c r="G3643" s="209">
        <v>46.55</v>
      </c>
      <c r="H3643" s="198"/>
    </row>
    <row r="3644" spans="1:8" ht="15.75" hidden="1" customHeight="1" x14ac:dyDescent="0.25">
      <c r="A3644" s="205" t="s">
        <v>4258</v>
      </c>
      <c r="B3644" s="206">
        <v>104405</v>
      </c>
      <c r="C3644" s="207" t="s">
        <v>4294</v>
      </c>
      <c r="D3644" s="208" t="s">
        <v>580</v>
      </c>
      <c r="E3644" s="209">
        <v>36.46</v>
      </c>
      <c r="F3644" s="209">
        <v>26.55</v>
      </c>
      <c r="G3644" s="209">
        <v>63.01</v>
      </c>
      <c r="H3644" s="198"/>
    </row>
    <row r="3645" spans="1:8" ht="15.75" hidden="1" customHeight="1" x14ac:dyDescent="0.25">
      <c r="A3645" s="205" t="s">
        <v>4258</v>
      </c>
      <c r="B3645" s="206">
        <v>95813</v>
      </c>
      <c r="C3645" s="207" t="s">
        <v>4295</v>
      </c>
      <c r="D3645" s="208" t="s">
        <v>580</v>
      </c>
      <c r="E3645" s="209">
        <v>21.88</v>
      </c>
      <c r="F3645" s="209">
        <v>5.41</v>
      </c>
      <c r="G3645" s="209">
        <v>27.29</v>
      </c>
      <c r="H3645" s="198"/>
    </row>
    <row r="3646" spans="1:8" ht="15.75" hidden="1" customHeight="1" x14ac:dyDescent="0.25">
      <c r="A3646" s="205" t="s">
        <v>4258</v>
      </c>
      <c r="B3646" s="206">
        <v>95814</v>
      </c>
      <c r="C3646" s="207" t="s">
        <v>4296</v>
      </c>
      <c r="D3646" s="208" t="s">
        <v>580</v>
      </c>
      <c r="E3646" s="209">
        <v>23.74</v>
      </c>
      <c r="F3646" s="209">
        <v>10.35</v>
      </c>
      <c r="G3646" s="209">
        <v>34.090000000000003</v>
      </c>
      <c r="H3646" s="198"/>
    </row>
    <row r="3647" spans="1:8" ht="15.75" hidden="1" customHeight="1" x14ac:dyDescent="0.25">
      <c r="A3647" s="205" t="s">
        <v>4258</v>
      </c>
      <c r="B3647" s="206">
        <v>95815</v>
      </c>
      <c r="C3647" s="207" t="s">
        <v>4297</v>
      </c>
      <c r="D3647" s="208" t="s">
        <v>580</v>
      </c>
      <c r="E3647" s="209">
        <v>32.65</v>
      </c>
      <c r="F3647" s="209">
        <v>17.27</v>
      </c>
      <c r="G3647" s="209">
        <v>49.92</v>
      </c>
      <c r="H3647" s="198"/>
    </row>
    <row r="3648" spans="1:8" ht="15.75" hidden="1" customHeight="1" x14ac:dyDescent="0.25">
      <c r="A3648" s="205" t="s">
        <v>4258</v>
      </c>
      <c r="B3648" s="206">
        <v>95816</v>
      </c>
      <c r="C3648" s="207" t="s">
        <v>4298</v>
      </c>
      <c r="D3648" s="208" t="s">
        <v>580</v>
      </c>
      <c r="E3648" s="209">
        <v>28.45</v>
      </c>
      <c r="F3648" s="209">
        <v>16.059999999999999</v>
      </c>
      <c r="G3648" s="209">
        <v>44.51</v>
      </c>
      <c r="H3648" s="198"/>
    </row>
    <row r="3649" spans="1:8" ht="15.75" hidden="1" customHeight="1" x14ac:dyDescent="0.25">
      <c r="A3649" s="205" t="s">
        <v>4258</v>
      </c>
      <c r="B3649" s="206">
        <v>95817</v>
      </c>
      <c r="C3649" s="207" t="s">
        <v>4299</v>
      </c>
      <c r="D3649" s="208" t="s">
        <v>580</v>
      </c>
      <c r="E3649" s="209">
        <v>30.03</v>
      </c>
      <c r="F3649" s="209">
        <v>22.23</v>
      </c>
      <c r="G3649" s="209">
        <v>52.26</v>
      </c>
      <c r="H3649" s="198"/>
    </row>
    <row r="3650" spans="1:8" ht="15.75" hidden="1" customHeight="1" x14ac:dyDescent="0.25">
      <c r="A3650" s="205" t="s">
        <v>4258</v>
      </c>
      <c r="B3650" s="206">
        <v>95818</v>
      </c>
      <c r="C3650" s="207" t="s">
        <v>4300</v>
      </c>
      <c r="D3650" s="208" t="s">
        <v>580</v>
      </c>
      <c r="E3650" s="209">
        <v>41.82</v>
      </c>
      <c r="F3650" s="209">
        <v>30.87</v>
      </c>
      <c r="G3650" s="209">
        <v>72.69</v>
      </c>
      <c r="H3650" s="198"/>
    </row>
    <row r="3651" spans="1:8" ht="15.75" hidden="1" customHeight="1" x14ac:dyDescent="0.25">
      <c r="A3651" s="205" t="s">
        <v>4258</v>
      </c>
      <c r="B3651" s="206">
        <v>95726</v>
      </c>
      <c r="C3651" s="207" t="s">
        <v>4301</v>
      </c>
      <c r="D3651" s="208" t="s">
        <v>585</v>
      </c>
      <c r="E3651" s="209">
        <v>11.13</v>
      </c>
      <c r="F3651" s="209">
        <v>9.98</v>
      </c>
      <c r="G3651" s="209">
        <v>21.11</v>
      </c>
      <c r="H3651" s="198"/>
    </row>
    <row r="3652" spans="1:8" ht="15.75" hidden="1" customHeight="1" x14ac:dyDescent="0.25">
      <c r="A3652" s="205" t="s">
        <v>4258</v>
      </c>
      <c r="B3652" s="206">
        <v>95727</v>
      </c>
      <c r="C3652" s="207" t="s">
        <v>4302</v>
      </c>
      <c r="D3652" s="208" t="s">
        <v>585</v>
      </c>
      <c r="E3652" s="209">
        <v>13.11</v>
      </c>
      <c r="F3652" s="209">
        <v>12.87</v>
      </c>
      <c r="G3652" s="209">
        <v>25.98</v>
      </c>
      <c r="H3652" s="198"/>
    </row>
    <row r="3653" spans="1:8" ht="15.75" hidden="1" customHeight="1" x14ac:dyDescent="0.25">
      <c r="A3653" s="205" t="s">
        <v>4258</v>
      </c>
      <c r="B3653" s="206">
        <v>95728</v>
      </c>
      <c r="C3653" s="207" t="s">
        <v>4303</v>
      </c>
      <c r="D3653" s="208" t="s">
        <v>585</v>
      </c>
      <c r="E3653" s="209">
        <v>17.14</v>
      </c>
      <c r="F3653" s="209">
        <v>16.87</v>
      </c>
      <c r="G3653" s="209">
        <v>34.01</v>
      </c>
      <c r="H3653" s="198"/>
    </row>
    <row r="3654" spans="1:8" ht="15.75" hidden="1" customHeight="1" x14ac:dyDescent="0.25">
      <c r="A3654" s="205" t="s">
        <v>4304</v>
      </c>
      <c r="B3654" s="206">
        <v>92980</v>
      </c>
      <c r="C3654" s="207" t="s">
        <v>4305</v>
      </c>
      <c r="D3654" s="208" t="s">
        <v>585</v>
      </c>
      <c r="E3654" s="209">
        <v>10.17</v>
      </c>
      <c r="F3654" s="209">
        <v>0.43</v>
      </c>
      <c r="G3654" s="209">
        <v>10.6</v>
      </c>
      <c r="H3654" s="198"/>
    </row>
    <row r="3655" spans="1:8" ht="15.75" hidden="1" customHeight="1" x14ac:dyDescent="0.25">
      <c r="A3655" s="205" t="s">
        <v>4304</v>
      </c>
      <c r="B3655" s="206">
        <v>92979</v>
      </c>
      <c r="C3655" s="207" t="s">
        <v>4306</v>
      </c>
      <c r="D3655" s="208" t="s">
        <v>585</v>
      </c>
      <c r="E3655" s="209">
        <v>10.65</v>
      </c>
      <c r="F3655" s="209">
        <v>0.43</v>
      </c>
      <c r="G3655" s="209">
        <v>11.08</v>
      </c>
      <c r="H3655" s="198"/>
    </row>
    <row r="3656" spans="1:8" ht="15.75" hidden="1" customHeight="1" x14ac:dyDescent="0.25">
      <c r="A3656" s="205" t="s">
        <v>4304</v>
      </c>
      <c r="B3656" s="206">
        <v>92982</v>
      </c>
      <c r="C3656" s="207" t="s">
        <v>4307</v>
      </c>
      <c r="D3656" s="208" t="s">
        <v>585</v>
      </c>
      <c r="E3656" s="209">
        <v>16.14</v>
      </c>
      <c r="F3656" s="209">
        <v>0.63</v>
      </c>
      <c r="G3656" s="209">
        <v>16.77</v>
      </c>
      <c r="H3656" s="198"/>
    </row>
    <row r="3657" spans="1:8" ht="15.75" hidden="1" customHeight="1" x14ac:dyDescent="0.25">
      <c r="A3657" s="205" t="s">
        <v>4304</v>
      </c>
      <c r="B3657" s="206">
        <v>92981</v>
      </c>
      <c r="C3657" s="207" t="s">
        <v>4308</v>
      </c>
      <c r="D3657" s="208" t="s">
        <v>585</v>
      </c>
      <c r="E3657" s="209">
        <v>15.21</v>
      </c>
      <c r="F3657" s="209">
        <v>0.63</v>
      </c>
      <c r="G3657" s="209">
        <v>15.84</v>
      </c>
      <c r="H3657" s="198"/>
    </row>
    <row r="3658" spans="1:8" ht="15.75" hidden="1" customHeight="1" x14ac:dyDescent="0.25">
      <c r="A3658" s="205" t="s">
        <v>4304</v>
      </c>
      <c r="B3658" s="206">
        <v>101885</v>
      </c>
      <c r="C3658" s="207" t="s">
        <v>4309</v>
      </c>
      <c r="D3658" s="208" t="s">
        <v>585</v>
      </c>
      <c r="E3658" s="209">
        <v>10.07</v>
      </c>
      <c r="F3658" s="209">
        <v>0.18</v>
      </c>
      <c r="G3658" s="209">
        <v>10.25</v>
      </c>
      <c r="H3658" s="198"/>
    </row>
    <row r="3659" spans="1:8" ht="15.75" hidden="1" customHeight="1" x14ac:dyDescent="0.25">
      <c r="A3659" s="205" t="s">
        <v>4304</v>
      </c>
      <c r="B3659" s="206">
        <v>101884</v>
      </c>
      <c r="C3659" s="207" t="s">
        <v>4310</v>
      </c>
      <c r="D3659" s="208" t="s">
        <v>585</v>
      </c>
      <c r="E3659" s="209">
        <v>10.55</v>
      </c>
      <c r="F3659" s="209">
        <v>0.18</v>
      </c>
      <c r="G3659" s="209">
        <v>10.73</v>
      </c>
      <c r="H3659" s="198"/>
    </row>
    <row r="3660" spans="1:8" ht="15.75" hidden="1" customHeight="1" x14ac:dyDescent="0.25">
      <c r="A3660" s="205" t="s">
        <v>4304</v>
      </c>
      <c r="B3660" s="206">
        <v>101887</v>
      </c>
      <c r="C3660" s="207" t="s">
        <v>4311</v>
      </c>
      <c r="D3660" s="208" t="s">
        <v>585</v>
      </c>
      <c r="E3660" s="209">
        <v>16.02</v>
      </c>
      <c r="F3660" s="209">
        <v>0.34</v>
      </c>
      <c r="G3660" s="209">
        <v>16.36</v>
      </c>
      <c r="H3660" s="198"/>
    </row>
    <row r="3661" spans="1:8" ht="15.75" hidden="1" customHeight="1" x14ac:dyDescent="0.25">
      <c r="A3661" s="205" t="s">
        <v>4304</v>
      </c>
      <c r="B3661" s="206">
        <v>101886</v>
      </c>
      <c r="C3661" s="207" t="s">
        <v>4312</v>
      </c>
      <c r="D3661" s="208" t="s">
        <v>585</v>
      </c>
      <c r="E3661" s="209">
        <v>15.1</v>
      </c>
      <c r="F3661" s="209">
        <v>0.33</v>
      </c>
      <c r="G3661" s="209">
        <v>15.43</v>
      </c>
      <c r="H3661" s="198"/>
    </row>
    <row r="3662" spans="1:8" ht="15.75" hidden="1" customHeight="1" x14ac:dyDescent="0.25">
      <c r="A3662" s="205" t="s">
        <v>4304</v>
      </c>
      <c r="B3662" s="206">
        <v>101889</v>
      </c>
      <c r="C3662" s="207" t="s">
        <v>4313</v>
      </c>
      <c r="D3662" s="208" t="s">
        <v>585</v>
      </c>
      <c r="E3662" s="209">
        <v>24.85</v>
      </c>
      <c r="F3662" s="209">
        <v>0.56999999999999995</v>
      </c>
      <c r="G3662" s="209">
        <v>25.42</v>
      </c>
      <c r="H3662" s="198"/>
    </row>
    <row r="3663" spans="1:8" ht="15.75" hidden="1" customHeight="1" x14ac:dyDescent="0.25">
      <c r="A3663" s="205" t="s">
        <v>4304</v>
      </c>
      <c r="B3663" s="206">
        <v>101888</v>
      </c>
      <c r="C3663" s="207" t="s">
        <v>4314</v>
      </c>
      <c r="D3663" s="208" t="s">
        <v>585</v>
      </c>
      <c r="E3663" s="209">
        <v>23.62</v>
      </c>
      <c r="F3663" s="209">
        <v>0.57999999999999996</v>
      </c>
      <c r="G3663" s="209">
        <v>24.2</v>
      </c>
      <c r="H3663" s="198"/>
    </row>
    <row r="3664" spans="1:8" ht="15.75" hidden="1" customHeight="1" x14ac:dyDescent="0.25">
      <c r="A3664" s="205" t="s">
        <v>4304</v>
      </c>
      <c r="B3664" s="206">
        <v>101938</v>
      </c>
      <c r="C3664" s="207" t="s">
        <v>4315</v>
      </c>
      <c r="D3664" s="208" t="s">
        <v>580</v>
      </c>
      <c r="E3664" s="209">
        <v>135.80000000000001</v>
      </c>
      <c r="F3664" s="209">
        <v>21.43</v>
      </c>
      <c r="G3664" s="209">
        <v>157.22999999999999</v>
      </c>
      <c r="H3664" s="198"/>
    </row>
    <row r="3665" spans="1:8" ht="15.75" hidden="1" customHeight="1" x14ac:dyDescent="0.25">
      <c r="A3665" s="205" t="s">
        <v>4304</v>
      </c>
      <c r="B3665" s="206">
        <v>101904</v>
      </c>
      <c r="C3665" s="207" t="s">
        <v>4316</v>
      </c>
      <c r="D3665" s="208" t="s">
        <v>580</v>
      </c>
      <c r="E3665" s="209">
        <v>1977.93</v>
      </c>
      <c r="F3665" s="209">
        <v>38.71</v>
      </c>
      <c r="G3665" s="209">
        <v>2016.64</v>
      </c>
      <c r="H3665" s="198"/>
    </row>
    <row r="3666" spans="1:8" ht="15.75" hidden="1" customHeight="1" x14ac:dyDescent="0.25">
      <c r="A3666" s="205" t="s">
        <v>4304</v>
      </c>
      <c r="B3666" s="206">
        <v>101901</v>
      </c>
      <c r="C3666" s="207" t="s">
        <v>4317</v>
      </c>
      <c r="D3666" s="208" t="s">
        <v>580</v>
      </c>
      <c r="E3666" s="209">
        <v>204.91</v>
      </c>
      <c r="F3666" s="209">
        <v>7.05</v>
      </c>
      <c r="G3666" s="209">
        <v>211.96</v>
      </c>
      <c r="H3666" s="198"/>
    </row>
    <row r="3667" spans="1:8" ht="15.75" hidden="1" customHeight="1" x14ac:dyDescent="0.25">
      <c r="A3667" s="205" t="s">
        <v>4304</v>
      </c>
      <c r="B3667" s="206">
        <v>101902</v>
      </c>
      <c r="C3667" s="207" t="s">
        <v>4318</v>
      </c>
      <c r="D3667" s="208" t="s">
        <v>580</v>
      </c>
      <c r="E3667" s="209">
        <v>251.91</v>
      </c>
      <c r="F3667" s="209">
        <v>9.84</v>
      </c>
      <c r="G3667" s="209">
        <v>261.75</v>
      </c>
      <c r="H3667" s="198"/>
    </row>
    <row r="3668" spans="1:8" ht="15.75" hidden="1" customHeight="1" x14ac:dyDescent="0.25">
      <c r="A3668" s="205" t="s">
        <v>4304</v>
      </c>
      <c r="B3668" s="206">
        <v>101903</v>
      </c>
      <c r="C3668" s="207" t="s">
        <v>4319</v>
      </c>
      <c r="D3668" s="208" t="s">
        <v>580</v>
      </c>
      <c r="E3668" s="209">
        <v>526.89</v>
      </c>
      <c r="F3668" s="209">
        <v>20.07</v>
      </c>
      <c r="G3668" s="209">
        <v>546.96</v>
      </c>
      <c r="H3668" s="198"/>
    </row>
    <row r="3669" spans="1:8" ht="15.75" hidden="1" customHeight="1" x14ac:dyDescent="0.25">
      <c r="A3669" s="205" t="s">
        <v>4304</v>
      </c>
      <c r="B3669" s="206">
        <v>101900</v>
      </c>
      <c r="C3669" s="207" t="s">
        <v>4320</v>
      </c>
      <c r="D3669" s="208" t="s">
        <v>580</v>
      </c>
      <c r="E3669" s="209">
        <v>4808.62</v>
      </c>
      <c r="F3669" s="209">
        <v>65.31</v>
      </c>
      <c r="G3669" s="209">
        <v>4873.93</v>
      </c>
      <c r="H3669" s="198"/>
    </row>
    <row r="3670" spans="1:8" ht="15.75" hidden="1" customHeight="1" x14ac:dyDescent="0.25">
      <c r="A3670" s="205" t="s">
        <v>4304</v>
      </c>
      <c r="B3670" s="206">
        <v>93660</v>
      </c>
      <c r="C3670" s="207" t="s">
        <v>4321</v>
      </c>
      <c r="D3670" s="208" t="s">
        <v>580</v>
      </c>
      <c r="E3670" s="209">
        <v>58.6</v>
      </c>
      <c r="F3670" s="209">
        <v>3.48</v>
      </c>
      <c r="G3670" s="209">
        <v>62.08</v>
      </c>
      <c r="H3670" s="198"/>
    </row>
    <row r="3671" spans="1:8" ht="15.75" hidden="1" customHeight="1" x14ac:dyDescent="0.25">
      <c r="A3671" s="205" t="s">
        <v>4304</v>
      </c>
      <c r="B3671" s="206">
        <v>93661</v>
      </c>
      <c r="C3671" s="207" t="s">
        <v>4322</v>
      </c>
      <c r="D3671" s="208" t="s">
        <v>580</v>
      </c>
      <c r="E3671" s="209">
        <v>59.08</v>
      </c>
      <c r="F3671" s="209">
        <v>4.7</v>
      </c>
      <c r="G3671" s="209">
        <v>63.78</v>
      </c>
      <c r="H3671" s="198"/>
    </row>
    <row r="3672" spans="1:8" ht="15.75" hidden="1" customHeight="1" x14ac:dyDescent="0.25">
      <c r="A3672" s="205" t="s">
        <v>4304</v>
      </c>
      <c r="B3672" s="206">
        <v>93662</v>
      </c>
      <c r="C3672" s="207" t="s">
        <v>4323</v>
      </c>
      <c r="D3672" s="208" t="s">
        <v>580</v>
      </c>
      <c r="E3672" s="209">
        <v>60.44</v>
      </c>
      <c r="F3672" s="209">
        <v>6.55</v>
      </c>
      <c r="G3672" s="209">
        <v>66.989999999999995</v>
      </c>
      <c r="H3672" s="198"/>
    </row>
    <row r="3673" spans="1:8" ht="15.75" hidden="1" customHeight="1" x14ac:dyDescent="0.25">
      <c r="A3673" s="205" t="s">
        <v>4304</v>
      </c>
      <c r="B3673" s="206">
        <v>93663</v>
      </c>
      <c r="C3673" s="207" t="s">
        <v>4324</v>
      </c>
      <c r="D3673" s="208" t="s">
        <v>580</v>
      </c>
      <c r="E3673" s="209">
        <v>60.44</v>
      </c>
      <c r="F3673" s="209">
        <v>6.55</v>
      </c>
      <c r="G3673" s="209">
        <v>66.989999999999995</v>
      </c>
      <c r="H3673" s="198"/>
    </row>
    <row r="3674" spans="1:8" ht="15.75" hidden="1" customHeight="1" x14ac:dyDescent="0.25">
      <c r="A3674" s="205" t="s">
        <v>4304</v>
      </c>
      <c r="B3674" s="206">
        <v>93664</v>
      </c>
      <c r="C3674" s="207" t="s">
        <v>4325</v>
      </c>
      <c r="D3674" s="208" t="s">
        <v>580</v>
      </c>
      <c r="E3674" s="209">
        <v>61.93</v>
      </c>
      <c r="F3674" s="209">
        <v>9.01</v>
      </c>
      <c r="G3674" s="209">
        <v>70.94</v>
      </c>
      <c r="H3674" s="198"/>
    </row>
    <row r="3675" spans="1:8" ht="15.75" hidden="1" customHeight="1" x14ac:dyDescent="0.25">
      <c r="A3675" s="205" t="s">
        <v>4304</v>
      </c>
      <c r="B3675" s="206">
        <v>93665</v>
      </c>
      <c r="C3675" s="207" t="s">
        <v>4326</v>
      </c>
      <c r="D3675" s="208" t="s">
        <v>580</v>
      </c>
      <c r="E3675" s="209">
        <v>62.99</v>
      </c>
      <c r="F3675" s="209">
        <v>13.39</v>
      </c>
      <c r="G3675" s="209">
        <v>76.38</v>
      </c>
      <c r="H3675" s="198"/>
    </row>
    <row r="3676" spans="1:8" ht="15.75" hidden="1" customHeight="1" x14ac:dyDescent="0.25">
      <c r="A3676" s="205" t="s">
        <v>4304</v>
      </c>
      <c r="B3676" s="206">
        <v>93666</v>
      </c>
      <c r="C3676" s="207" t="s">
        <v>4327</v>
      </c>
      <c r="D3676" s="208" t="s">
        <v>580</v>
      </c>
      <c r="E3676" s="209">
        <v>65.72</v>
      </c>
      <c r="F3676" s="209">
        <v>18.739999999999998</v>
      </c>
      <c r="G3676" s="209">
        <v>84.46</v>
      </c>
      <c r="H3676" s="198"/>
    </row>
    <row r="3677" spans="1:8" ht="15.75" hidden="1" customHeight="1" x14ac:dyDescent="0.25">
      <c r="A3677" s="205" t="s">
        <v>4304</v>
      </c>
      <c r="B3677" s="206">
        <v>101892</v>
      </c>
      <c r="C3677" s="207" t="s">
        <v>4328</v>
      </c>
      <c r="D3677" s="208" t="s">
        <v>580</v>
      </c>
      <c r="E3677" s="209">
        <v>72.34</v>
      </c>
      <c r="F3677" s="209">
        <v>6.54</v>
      </c>
      <c r="G3677" s="209">
        <v>78.88</v>
      </c>
      <c r="H3677" s="198"/>
    </row>
    <row r="3678" spans="1:8" ht="15.75" hidden="1" customHeight="1" x14ac:dyDescent="0.25">
      <c r="A3678" s="205" t="s">
        <v>4304</v>
      </c>
      <c r="B3678" s="206">
        <v>93653</v>
      </c>
      <c r="C3678" s="207" t="s">
        <v>4329</v>
      </c>
      <c r="D3678" s="208" t="s">
        <v>580</v>
      </c>
      <c r="E3678" s="209">
        <v>11.38</v>
      </c>
      <c r="F3678" s="209">
        <v>1.73</v>
      </c>
      <c r="G3678" s="209">
        <v>13.11</v>
      </c>
      <c r="H3678" s="198"/>
    </row>
    <row r="3679" spans="1:8" ht="15.75" hidden="1" customHeight="1" x14ac:dyDescent="0.25">
      <c r="A3679" s="205" t="s">
        <v>4304</v>
      </c>
      <c r="B3679" s="206">
        <v>93654</v>
      </c>
      <c r="C3679" s="207" t="s">
        <v>4330</v>
      </c>
      <c r="D3679" s="208" t="s">
        <v>580</v>
      </c>
      <c r="E3679" s="209">
        <v>11.6</v>
      </c>
      <c r="F3679" s="209">
        <v>2.35</v>
      </c>
      <c r="G3679" s="209">
        <v>13.95</v>
      </c>
      <c r="H3679" s="198"/>
    </row>
    <row r="3680" spans="1:8" ht="15.75" hidden="1" customHeight="1" x14ac:dyDescent="0.25">
      <c r="A3680" s="205" t="s">
        <v>4304</v>
      </c>
      <c r="B3680" s="206">
        <v>93655</v>
      </c>
      <c r="C3680" s="207" t="s">
        <v>4331</v>
      </c>
      <c r="D3680" s="208" t="s">
        <v>580</v>
      </c>
      <c r="E3680" s="209">
        <v>12.28</v>
      </c>
      <c r="F3680" s="209">
        <v>3.28</v>
      </c>
      <c r="G3680" s="209">
        <v>15.56</v>
      </c>
      <c r="H3680" s="198"/>
    </row>
    <row r="3681" spans="1:8" ht="15.75" hidden="1" customHeight="1" x14ac:dyDescent="0.25">
      <c r="A3681" s="205" t="s">
        <v>4304</v>
      </c>
      <c r="B3681" s="206">
        <v>93656</v>
      </c>
      <c r="C3681" s="207" t="s">
        <v>4332</v>
      </c>
      <c r="D3681" s="208" t="s">
        <v>580</v>
      </c>
      <c r="E3681" s="209">
        <v>12.28</v>
      </c>
      <c r="F3681" s="209">
        <v>3.28</v>
      </c>
      <c r="G3681" s="209">
        <v>15.56</v>
      </c>
      <c r="H3681" s="198"/>
    </row>
    <row r="3682" spans="1:8" ht="15.75" hidden="1" customHeight="1" x14ac:dyDescent="0.25">
      <c r="A3682" s="205" t="s">
        <v>4304</v>
      </c>
      <c r="B3682" s="206">
        <v>93657</v>
      </c>
      <c r="C3682" s="207" t="s">
        <v>4333</v>
      </c>
      <c r="D3682" s="208" t="s">
        <v>580</v>
      </c>
      <c r="E3682" s="209">
        <v>13.04</v>
      </c>
      <c r="F3682" s="209">
        <v>4.49</v>
      </c>
      <c r="G3682" s="209">
        <v>17.53</v>
      </c>
      <c r="H3682" s="198"/>
    </row>
    <row r="3683" spans="1:8" ht="15.75" hidden="1" customHeight="1" x14ac:dyDescent="0.25">
      <c r="A3683" s="205" t="s">
        <v>4304</v>
      </c>
      <c r="B3683" s="206">
        <v>93658</v>
      </c>
      <c r="C3683" s="207" t="s">
        <v>4334</v>
      </c>
      <c r="D3683" s="208" t="s">
        <v>580</v>
      </c>
      <c r="E3683" s="209">
        <v>18.64</v>
      </c>
      <c r="F3683" s="209">
        <v>6.68</v>
      </c>
      <c r="G3683" s="209">
        <v>25.32</v>
      </c>
      <c r="H3683" s="198"/>
    </row>
    <row r="3684" spans="1:8" ht="15.75" hidden="1" customHeight="1" x14ac:dyDescent="0.25">
      <c r="A3684" s="205" t="s">
        <v>4304</v>
      </c>
      <c r="B3684" s="206">
        <v>93659</v>
      </c>
      <c r="C3684" s="207" t="s">
        <v>4335</v>
      </c>
      <c r="D3684" s="208" t="s">
        <v>580</v>
      </c>
      <c r="E3684" s="209">
        <v>20.010000000000002</v>
      </c>
      <c r="F3684" s="209">
        <v>9.35</v>
      </c>
      <c r="G3684" s="209">
        <v>29.36</v>
      </c>
      <c r="H3684" s="198"/>
    </row>
    <row r="3685" spans="1:8" ht="15.75" hidden="1" customHeight="1" x14ac:dyDescent="0.25">
      <c r="A3685" s="205" t="s">
        <v>4304</v>
      </c>
      <c r="B3685" s="206">
        <v>101890</v>
      </c>
      <c r="C3685" s="207" t="s">
        <v>4336</v>
      </c>
      <c r="D3685" s="208" t="s">
        <v>580</v>
      </c>
      <c r="E3685" s="209">
        <v>15.12</v>
      </c>
      <c r="F3685" s="209">
        <v>3.28</v>
      </c>
      <c r="G3685" s="209">
        <v>18.399999999999999</v>
      </c>
      <c r="H3685" s="198"/>
    </row>
    <row r="3686" spans="1:8" ht="15.75" hidden="1" customHeight="1" x14ac:dyDescent="0.25">
      <c r="A3686" s="205" t="s">
        <v>4304</v>
      </c>
      <c r="B3686" s="206">
        <v>101891</v>
      </c>
      <c r="C3686" s="207" t="s">
        <v>4337</v>
      </c>
      <c r="D3686" s="208" t="s">
        <v>580</v>
      </c>
      <c r="E3686" s="209">
        <v>25.26</v>
      </c>
      <c r="F3686" s="209">
        <v>6.69</v>
      </c>
      <c r="G3686" s="209">
        <v>31.95</v>
      </c>
      <c r="H3686" s="198"/>
    </row>
    <row r="3687" spans="1:8" ht="15.75" hidden="1" customHeight="1" x14ac:dyDescent="0.25">
      <c r="A3687" s="205" t="s">
        <v>4304</v>
      </c>
      <c r="B3687" s="206">
        <v>101895</v>
      </c>
      <c r="C3687" s="207" t="s">
        <v>4338</v>
      </c>
      <c r="D3687" s="208" t="s">
        <v>580</v>
      </c>
      <c r="E3687" s="209">
        <v>410.7</v>
      </c>
      <c r="F3687" s="209">
        <v>65.52</v>
      </c>
      <c r="G3687" s="209">
        <v>476.22</v>
      </c>
      <c r="H3687" s="198"/>
    </row>
    <row r="3688" spans="1:8" ht="15.75" hidden="1" customHeight="1" x14ac:dyDescent="0.25">
      <c r="A3688" s="205" t="s">
        <v>4304</v>
      </c>
      <c r="B3688" s="206">
        <v>101896</v>
      </c>
      <c r="C3688" s="207" t="s">
        <v>4339</v>
      </c>
      <c r="D3688" s="208" t="s">
        <v>580</v>
      </c>
      <c r="E3688" s="209">
        <v>638.24</v>
      </c>
      <c r="F3688" s="209">
        <v>65.510000000000005</v>
      </c>
      <c r="G3688" s="209">
        <v>703.75</v>
      </c>
      <c r="H3688" s="198"/>
    </row>
    <row r="3689" spans="1:8" ht="15.75" hidden="1" customHeight="1" x14ac:dyDescent="0.25">
      <c r="A3689" s="205" t="s">
        <v>4304</v>
      </c>
      <c r="B3689" s="206">
        <v>101897</v>
      </c>
      <c r="C3689" s="207" t="s">
        <v>4340</v>
      </c>
      <c r="D3689" s="208" t="s">
        <v>580</v>
      </c>
      <c r="E3689" s="209">
        <v>1044.74</v>
      </c>
      <c r="F3689" s="209">
        <v>65.5</v>
      </c>
      <c r="G3689" s="209">
        <v>1110.24</v>
      </c>
      <c r="H3689" s="198"/>
    </row>
    <row r="3690" spans="1:8" ht="15.75" hidden="1" customHeight="1" x14ac:dyDescent="0.25">
      <c r="A3690" s="205" t="s">
        <v>4304</v>
      </c>
      <c r="B3690" s="206">
        <v>101898</v>
      </c>
      <c r="C3690" s="207" t="s">
        <v>4341</v>
      </c>
      <c r="D3690" s="208" t="s">
        <v>580</v>
      </c>
      <c r="E3690" s="209">
        <v>1411.22</v>
      </c>
      <c r="F3690" s="209">
        <v>65.56</v>
      </c>
      <c r="G3690" s="209">
        <v>1476.78</v>
      </c>
      <c r="H3690" s="198"/>
    </row>
    <row r="3691" spans="1:8" ht="15.75" hidden="1" customHeight="1" x14ac:dyDescent="0.25">
      <c r="A3691" s="205" t="s">
        <v>4304</v>
      </c>
      <c r="B3691" s="206">
        <v>101899</v>
      </c>
      <c r="C3691" s="207" t="s">
        <v>4342</v>
      </c>
      <c r="D3691" s="208" t="s">
        <v>580</v>
      </c>
      <c r="E3691" s="209">
        <v>2283.12</v>
      </c>
      <c r="F3691" s="209">
        <v>65.52</v>
      </c>
      <c r="G3691" s="209">
        <v>2348.64</v>
      </c>
      <c r="H3691" s="198"/>
    </row>
    <row r="3692" spans="1:8" ht="15.75" hidden="1" customHeight="1" x14ac:dyDescent="0.25">
      <c r="A3692" s="205" t="s">
        <v>4304</v>
      </c>
      <c r="B3692" s="206">
        <v>93667</v>
      </c>
      <c r="C3692" s="207" t="s">
        <v>4343</v>
      </c>
      <c r="D3692" s="208" t="s">
        <v>580</v>
      </c>
      <c r="E3692" s="209">
        <v>72.78</v>
      </c>
      <c r="F3692" s="209">
        <v>5.21</v>
      </c>
      <c r="G3692" s="209">
        <v>77.989999999999995</v>
      </c>
      <c r="H3692" s="198"/>
    </row>
    <row r="3693" spans="1:8" ht="15.75" hidden="1" customHeight="1" x14ac:dyDescent="0.25">
      <c r="A3693" s="205" t="s">
        <v>4304</v>
      </c>
      <c r="B3693" s="206">
        <v>93668</v>
      </c>
      <c r="C3693" s="207" t="s">
        <v>4344</v>
      </c>
      <c r="D3693" s="208" t="s">
        <v>580</v>
      </c>
      <c r="E3693" s="209">
        <v>73.47</v>
      </c>
      <c r="F3693" s="209">
        <v>7.06</v>
      </c>
      <c r="G3693" s="209">
        <v>80.53</v>
      </c>
      <c r="H3693" s="198"/>
    </row>
    <row r="3694" spans="1:8" ht="15.75" hidden="1" customHeight="1" x14ac:dyDescent="0.25">
      <c r="A3694" s="205" t="s">
        <v>4304</v>
      </c>
      <c r="B3694" s="206">
        <v>93669</v>
      </c>
      <c r="C3694" s="207" t="s">
        <v>4345</v>
      </c>
      <c r="D3694" s="208" t="s">
        <v>580</v>
      </c>
      <c r="E3694" s="209">
        <v>75.510000000000005</v>
      </c>
      <c r="F3694" s="209">
        <v>9.83</v>
      </c>
      <c r="G3694" s="209">
        <v>85.34</v>
      </c>
      <c r="H3694" s="198"/>
    </row>
    <row r="3695" spans="1:8" ht="15.75" hidden="1" customHeight="1" x14ac:dyDescent="0.25">
      <c r="A3695" s="205" t="s">
        <v>4304</v>
      </c>
      <c r="B3695" s="206">
        <v>93670</v>
      </c>
      <c r="C3695" s="207" t="s">
        <v>4346</v>
      </c>
      <c r="D3695" s="208" t="s">
        <v>580</v>
      </c>
      <c r="E3695" s="209">
        <v>75.510000000000005</v>
      </c>
      <c r="F3695" s="209">
        <v>9.83</v>
      </c>
      <c r="G3695" s="209">
        <v>85.34</v>
      </c>
      <c r="H3695" s="198"/>
    </row>
    <row r="3696" spans="1:8" ht="15.75" hidden="1" customHeight="1" x14ac:dyDescent="0.25">
      <c r="A3696" s="205" t="s">
        <v>4304</v>
      </c>
      <c r="B3696" s="206">
        <v>93671</v>
      </c>
      <c r="C3696" s="207" t="s">
        <v>4347</v>
      </c>
      <c r="D3696" s="208" t="s">
        <v>580</v>
      </c>
      <c r="E3696" s="209">
        <v>77.73</v>
      </c>
      <c r="F3696" s="209">
        <v>13.54</v>
      </c>
      <c r="G3696" s="209">
        <v>91.27</v>
      </c>
      <c r="H3696" s="198"/>
    </row>
    <row r="3697" spans="1:8" ht="15.75" hidden="1" customHeight="1" x14ac:dyDescent="0.25">
      <c r="A3697" s="205" t="s">
        <v>4304</v>
      </c>
      <c r="B3697" s="206">
        <v>93672</v>
      </c>
      <c r="C3697" s="207" t="s">
        <v>4348</v>
      </c>
      <c r="D3697" s="208" t="s">
        <v>580</v>
      </c>
      <c r="E3697" s="209">
        <v>80.62</v>
      </c>
      <c r="F3697" s="209">
        <v>20.09</v>
      </c>
      <c r="G3697" s="209">
        <v>100.71</v>
      </c>
      <c r="H3697" s="198"/>
    </row>
    <row r="3698" spans="1:8" ht="15.75" hidden="1" customHeight="1" x14ac:dyDescent="0.25">
      <c r="A3698" s="205" t="s">
        <v>4304</v>
      </c>
      <c r="B3698" s="206">
        <v>93673</v>
      </c>
      <c r="C3698" s="207" t="s">
        <v>4349</v>
      </c>
      <c r="D3698" s="208" t="s">
        <v>580</v>
      </c>
      <c r="E3698" s="209">
        <v>84.73</v>
      </c>
      <c r="F3698" s="209">
        <v>28.1</v>
      </c>
      <c r="G3698" s="209">
        <v>112.83</v>
      </c>
      <c r="H3698" s="198"/>
    </row>
    <row r="3699" spans="1:8" ht="15.75" hidden="1" customHeight="1" x14ac:dyDescent="0.25">
      <c r="A3699" s="205" t="s">
        <v>4304</v>
      </c>
      <c r="B3699" s="206">
        <v>101893</v>
      </c>
      <c r="C3699" s="207" t="s">
        <v>4350</v>
      </c>
      <c r="D3699" s="208" t="s">
        <v>580</v>
      </c>
      <c r="E3699" s="209">
        <v>91.57</v>
      </c>
      <c r="F3699" s="209">
        <v>9.83</v>
      </c>
      <c r="G3699" s="209">
        <v>101.4</v>
      </c>
      <c r="H3699" s="198"/>
    </row>
    <row r="3700" spans="1:8" ht="15.75" hidden="1" customHeight="1" x14ac:dyDescent="0.25">
      <c r="A3700" s="205" t="s">
        <v>4304</v>
      </c>
      <c r="B3700" s="206">
        <v>101894</v>
      </c>
      <c r="C3700" s="207" t="s">
        <v>4351</v>
      </c>
      <c r="D3700" s="208" t="s">
        <v>580</v>
      </c>
      <c r="E3700" s="209">
        <v>141.47</v>
      </c>
      <c r="F3700" s="209">
        <v>38.79</v>
      </c>
      <c r="G3700" s="209">
        <v>180.26</v>
      </c>
      <c r="H3700" s="198"/>
    </row>
    <row r="3701" spans="1:8" ht="15.75" hidden="1" customHeight="1" x14ac:dyDescent="0.25">
      <c r="A3701" s="205" t="s">
        <v>4304</v>
      </c>
      <c r="B3701" s="206">
        <v>101875</v>
      </c>
      <c r="C3701" s="207" t="s">
        <v>4352</v>
      </c>
      <c r="D3701" s="208" t="s">
        <v>580</v>
      </c>
      <c r="E3701" s="209">
        <v>329.05</v>
      </c>
      <c r="F3701" s="209">
        <v>26.37</v>
      </c>
      <c r="G3701" s="209">
        <v>355.42</v>
      </c>
      <c r="H3701" s="198"/>
    </row>
    <row r="3702" spans="1:8" ht="15.75" hidden="1" customHeight="1" x14ac:dyDescent="0.25">
      <c r="A3702" s="205" t="s">
        <v>4304</v>
      </c>
      <c r="B3702" s="206">
        <v>101883</v>
      </c>
      <c r="C3702" s="207" t="s">
        <v>4353</v>
      </c>
      <c r="D3702" s="208" t="s">
        <v>580</v>
      </c>
      <c r="E3702" s="209">
        <v>456.94</v>
      </c>
      <c r="F3702" s="209">
        <v>29.37</v>
      </c>
      <c r="G3702" s="209">
        <v>486.31</v>
      </c>
      <c r="H3702" s="198"/>
    </row>
    <row r="3703" spans="1:8" ht="15.75" hidden="1" customHeight="1" x14ac:dyDescent="0.25">
      <c r="A3703" s="205" t="s">
        <v>4304</v>
      </c>
      <c r="B3703" s="206">
        <v>101879</v>
      </c>
      <c r="C3703" s="207" t="s">
        <v>4354</v>
      </c>
      <c r="D3703" s="208" t="s">
        <v>580</v>
      </c>
      <c r="E3703" s="209">
        <v>479.87</v>
      </c>
      <c r="F3703" s="209">
        <v>29.65</v>
      </c>
      <c r="G3703" s="209">
        <v>509.52</v>
      </c>
      <c r="H3703" s="198"/>
    </row>
    <row r="3704" spans="1:8" ht="15.75" hidden="1" customHeight="1" x14ac:dyDescent="0.25">
      <c r="A3704" s="205" t="s">
        <v>4304</v>
      </c>
      <c r="B3704" s="206">
        <v>101880</v>
      </c>
      <c r="C3704" s="207" t="s">
        <v>4355</v>
      </c>
      <c r="D3704" s="208" t="s">
        <v>580</v>
      </c>
      <c r="E3704" s="209">
        <v>552.09</v>
      </c>
      <c r="F3704" s="209">
        <v>35.61</v>
      </c>
      <c r="G3704" s="209">
        <v>587.70000000000005</v>
      </c>
      <c r="H3704" s="198"/>
    </row>
    <row r="3705" spans="1:8" ht="15.75" hidden="1" customHeight="1" x14ac:dyDescent="0.25">
      <c r="A3705" s="205" t="s">
        <v>4304</v>
      </c>
      <c r="B3705" s="206">
        <v>101882</v>
      </c>
      <c r="C3705" s="207" t="s">
        <v>4356</v>
      </c>
      <c r="D3705" s="208" t="s">
        <v>580</v>
      </c>
      <c r="E3705" s="209">
        <v>1141.7</v>
      </c>
      <c r="F3705" s="209">
        <v>35.67</v>
      </c>
      <c r="G3705" s="209">
        <v>1177.3699999999999</v>
      </c>
      <c r="H3705" s="198"/>
    </row>
    <row r="3706" spans="1:8" ht="15.75" hidden="1" customHeight="1" x14ac:dyDescent="0.25">
      <c r="A3706" s="205" t="s">
        <v>4304</v>
      </c>
      <c r="B3706" s="206">
        <v>101881</v>
      </c>
      <c r="C3706" s="207" t="s">
        <v>4357</v>
      </c>
      <c r="D3706" s="208" t="s">
        <v>580</v>
      </c>
      <c r="E3706" s="209">
        <v>799.93</v>
      </c>
      <c r="F3706" s="209">
        <v>35.76</v>
      </c>
      <c r="G3706" s="209">
        <v>835.69</v>
      </c>
      <c r="H3706" s="198"/>
    </row>
    <row r="3707" spans="1:8" ht="15.75" hidden="1" customHeight="1" x14ac:dyDescent="0.25">
      <c r="A3707" s="205" t="s">
        <v>4304</v>
      </c>
      <c r="B3707" s="206">
        <v>101878</v>
      </c>
      <c r="C3707" s="207" t="s">
        <v>4358</v>
      </c>
      <c r="D3707" s="208" t="s">
        <v>580</v>
      </c>
      <c r="E3707" s="209">
        <v>435.73</v>
      </c>
      <c r="F3707" s="209">
        <v>75.44</v>
      </c>
      <c r="G3707" s="209">
        <v>511.17</v>
      </c>
      <c r="H3707" s="198"/>
    </row>
    <row r="3708" spans="1:8" ht="15.75" hidden="1" customHeight="1" x14ac:dyDescent="0.25">
      <c r="A3708" s="205" t="s">
        <v>4304</v>
      </c>
      <c r="B3708" s="206">
        <v>101877</v>
      </c>
      <c r="C3708" s="207" t="s">
        <v>4359</v>
      </c>
      <c r="D3708" s="208" t="s">
        <v>580</v>
      </c>
      <c r="E3708" s="209">
        <v>65.45</v>
      </c>
      <c r="F3708" s="209">
        <v>15.17</v>
      </c>
      <c r="G3708" s="209">
        <v>80.62</v>
      </c>
      <c r="H3708" s="198"/>
    </row>
    <row r="3709" spans="1:8" ht="15.75" hidden="1" customHeight="1" x14ac:dyDescent="0.25">
      <c r="A3709" s="205" t="s">
        <v>4304</v>
      </c>
      <c r="B3709" s="206">
        <v>101876</v>
      </c>
      <c r="C3709" s="207" t="s">
        <v>4360</v>
      </c>
      <c r="D3709" s="208" t="s">
        <v>580</v>
      </c>
      <c r="E3709" s="209">
        <v>100.4</v>
      </c>
      <c r="F3709" s="209">
        <v>17.09</v>
      </c>
      <c r="G3709" s="209">
        <v>117.49</v>
      </c>
      <c r="H3709" s="198"/>
    </row>
    <row r="3710" spans="1:8" ht="15.75" hidden="1" customHeight="1" x14ac:dyDescent="0.25">
      <c r="A3710" s="205" t="s">
        <v>4304</v>
      </c>
      <c r="B3710" s="206">
        <v>97360</v>
      </c>
      <c r="C3710" s="207" t="s">
        <v>4361</v>
      </c>
      <c r="D3710" s="208" t="s">
        <v>580</v>
      </c>
      <c r="E3710" s="209">
        <v>10025.280000000001</v>
      </c>
      <c r="F3710" s="209">
        <v>271.83999999999997</v>
      </c>
      <c r="G3710" s="209">
        <v>10297.120000000001</v>
      </c>
      <c r="H3710" s="198"/>
    </row>
    <row r="3711" spans="1:8" ht="15.75" hidden="1" customHeight="1" x14ac:dyDescent="0.25">
      <c r="A3711" s="205" t="s">
        <v>4304</v>
      </c>
      <c r="B3711" s="206">
        <v>97361</v>
      </c>
      <c r="C3711" s="207" t="s">
        <v>4362</v>
      </c>
      <c r="D3711" s="208" t="s">
        <v>580</v>
      </c>
      <c r="E3711" s="209">
        <v>13367.05</v>
      </c>
      <c r="F3711" s="209">
        <v>362.45</v>
      </c>
      <c r="G3711" s="209">
        <v>13729.5</v>
      </c>
      <c r="H3711" s="198"/>
    </row>
    <row r="3712" spans="1:8" ht="15.75" hidden="1" customHeight="1" x14ac:dyDescent="0.25">
      <c r="A3712" s="205" t="s">
        <v>4304</v>
      </c>
      <c r="B3712" s="206">
        <v>97359</v>
      </c>
      <c r="C3712" s="207" t="s">
        <v>4363</v>
      </c>
      <c r="D3712" s="208" t="s">
        <v>580</v>
      </c>
      <c r="E3712" s="209">
        <v>5156.66</v>
      </c>
      <c r="F3712" s="209">
        <v>181.49</v>
      </c>
      <c r="G3712" s="209">
        <v>5338.15</v>
      </c>
      <c r="H3712" s="198"/>
    </row>
    <row r="3713" spans="1:8" ht="15.75" hidden="1" customHeight="1" x14ac:dyDescent="0.25">
      <c r="A3713" s="205" t="s">
        <v>4304</v>
      </c>
      <c r="B3713" s="206">
        <v>101946</v>
      </c>
      <c r="C3713" s="207" t="s">
        <v>4364</v>
      </c>
      <c r="D3713" s="208" t="s">
        <v>580</v>
      </c>
      <c r="E3713" s="209">
        <v>153.03</v>
      </c>
      <c r="F3713" s="209">
        <v>75.47</v>
      </c>
      <c r="G3713" s="209">
        <v>228.5</v>
      </c>
      <c r="H3713" s="198"/>
    </row>
    <row r="3714" spans="1:8" ht="15.75" hidden="1" customHeight="1" x14ac:dyDescent="0.25">
      <c r="A3714" s="205" t="s">
        <v>4304</v>
      </c>
      <c r="B3714" s="206">
        <v>97362</v>
      </c>
      <c r="C3714" s="207" t="s">
        <v>4365</v>
      </c>
      <c r="D3714" s="208" t="s">
        <v>580</v>
      </c>
      <c r="E3714" s="209">
        <v>1565.98</v>
      </c>
      <c r="F3714" s="209">
        <v>41.96</v>
      </c>
      <c r="G3714" s="209">
        <v>1607.94</v>
      </c>
      <c r="H3714" s="198"/>
    </row>
    <row r="3715" spans="1:8" ht="15.75" hidden="1" customHeight="1" x14ac:dyDescent="0.25">
      <c r="A3715" s="205" t="s">
        <v>4366</v>
      </c>
      <c r="B3715" s="206">
        <v>101553</v>
      </c>
      <c r="C3715" s="207" t="s">
        <v>4367</v>
      </c>
      <c r="D3715" s="208" t="s">
        <v>580</v>
      </c>
      <c r="E3715" s="209">
        <v>10.26</v>
      </c>
      <c r="F3715" s="209">
        <v>4.7699999999999996</v>
      </c>
      <c r="G3715" s="209">
        <v>15.03</v>
      </c>
      <c r="H3715" s="198"/>
    </row>
    <row r="3716" spans="1:8" ht="15.75" hidden="1" customHeight="1" x14ac:dyDescent="0.25">
      <c r="A3716" s="205" t="s">
        <v>4366</v>
      </c>
      <c r="B3716" s="206">
        <v>101554</v>
      </c>
      <c r="C3716" s="207" t="s">
        <v>4368</v>
      </c>
      <c r="D3716" s="208" t="s">
        <v>580</v>
      </c>
      <c r="E3716" s="209">
        <v>6.84</v>
      </c>
      <c r="F3716" s="209">
        <v>4.76</v>
      </c>
      <c r="G3716" s="209">
        <v>11.6</v>
      </c>
      <c r="H3716" s="198"/>
    </row>
    <row r="3717" spans="1:8" ht="15.75" hidden="1" customHeight="1" x14ac:dyDescent="0.25">
      <c r="A3717" s="205" t="s">
        <v>4366</v>
      </c>
      <c r="B3717" s="206">
        <v>101555</v>
      </c>
      <c r="C3717" s="207" t="s">
        <v>4369</v>
      </c>
      <c r="D3717" s="208" t="s">
        <v>580</v>
      </c>
      <c r="E3717" s="209">
        <v>3.71</v>
      </c>
      <c r="F3717" s="209">
        <v>4.7699999999999996</v>
      </c>
      <c r="G3717" s="209">
        <v>8.48</v>
      </c>
      <c r="H3717" s="198"/>
    </row>
    <row r="3718" spans="1:8" ht="15.75" hidden="1" customHeight="1" x14ac:dyDescent="0.25">
      <c r="A3718" s="205" t="s">
        <v>4366</v>
      </c>
      <c r="B3718" s="206">
        <v>101556</v>
      </c>
      <c r="C3718" s="207" t="s">
        <v>4370</v>
      </c>
      <c r="D3718" s="208" t="s">
        <v>580</v>
      </c>
      <c r="E3718" s="209">
        <v>3.22</v>
      </c>
      <c r="F3718" s="209">
        <v>4.76</v>
      </c>
      <c r="G3718" s="209">
        <v>7.98</v>
      </c>
      <c r="H3718" s="198"/>
    </row>
    <row r="3719" spans="1:8" ht="15.75" hidden="1" customHeight="1" x14ac:dyDescent="0.25">
      <c r="A3719" s="205" t="s">
        <v>4366</v>
      </c>
      <c r="B3719" s="206">
        <v>101537</v>
      </c>
      <c r="C3719" s="207" t="s">
        <v>4371</v>
      </c>
      <c r="D3719" s="208" t="s">
        <v>580</v>
      </c>
      <c r="E3719" s="209">
        <v>73.58</v>
      </c>
      <c r="F3719" s="209">
        <v>40.549999999999997</v>
      </c>
      <c r="G3719" s="209">
        <v>114.13</v>
      </c>
      <c r="H3719" s="198"/>
    </row>
    <row r="3720" spans="1:8" ht="15.75" hidden="1" customHeight="1" x14ac:dyDescent="0.25">
      <c r="A3720" s="205" t="s">
        <v>4366</v>
      </c>
      <c r="B3720" s="206">
        <v>101538</v>
      </c>
      <c r="C3720" s="207" t="s">
        <v>4372</v>
      </c>
      <c r="D3720" s="208" t="s">
        <v>580</v>
      </c>
      <c r="E3720" s="209">
        <v>31.34</v>
      </c>
      <c r="F3720" s="209">
        <v>11.35</v>
      </c>
      <c r="G3720" s="209">
        <v>42.69</v>
      </c>
      <c r="H3720" s="198"/>
    </row>
    <row r="3721" spans="1:8" ht="15.75" hidden="1" customHeight="1" x14ac:dyDescent="0.25">
      <c r="A3721" s="205" t="s">
        <v>4366</v>
      </c>
      <c r="B3721" s="206">
        <v>101542</v>
      </c>
      <c r="C3721" s="207" t="s">
        <v>4373</v>
      </c>
      <c r="D3721" s="208" t="s">
        <v>580</v>
      </c>
      <c r="E3721" s="209">
        <v>23.63</v>
      </c>
      <c r="F3721" s="209">
        <v>9.4700000000000006</v>
      </c>
      <c r="G3721" s="209">
        <v>33.1</v>
      </c>
      <c r="H3721" s="198"/>
    </row>
    <row r="3722" spans="1:8" ht="15.75" hidden="1" customHeight="1" x14ac:dyDescent="0.25">
      <c r="A3722" s="205" t="s">
        <v>4366</v>
      </c>
      <c r="B3722" s="206">
        <v>101539</v>
      </c>
      <c r="C3722" s="207" t="s">
        <v>4374</v>
      </c>
      <c r="D3722" s="208" t="s">
        <v>580</v>
      </c>
      <c r="E3722" s="209">
        <v>50.6</v>
      </c>
      <c r="F3722" s="209">
        <v>22.73</v>
      </c>
      <c r="G3722" s="209">
        <v>73.33</v>
      </c>
      <c r="H3722" s="198"/>
    </row>
    <row r="3723" spans="1:8" ht="15.75" hidden="1" customHeight="1" x14ac:dyDescent="0.25">
      <c r="A3723" s="205" t="s">
        <v>4366</v>
      </c>
      <c r="B3723" s="206">
        <v>101543</v>
      </c>
      <c r="C3723" s="207" t="s">
        <v>4375</v>
      </c>
      <c r="D3723" s="208" t="s">
        <v>580</v>
      </c>
      <c r="E3723" s="209">
        <v>41.43</v>
      </c>
      <c r="F3723" s="209">
        <v>18.95</v>
      </c>
      <c r="G3723" s="209">
        <v>60.38</v>
      </c>
      <c r="H3723" s="198"/>
    </row>
    <row r="3724" spans="1:8" ht="15.75" hidden="1" customHeight="1" x14ac:dyDescent="0.25">
      <c r="A3724" s="205" t="s">
        <v>4366</v>
      </c>
      <c r="B3724" s="206">
        <v>101540</v>
      </c>
      <c r="C3724" s="207" t="s">
        <v>4376</v>
      </c>
      <c r="D3724" s="208" t="s">
        <v>580</v>
      </c>
      <c r="E3724" s="209">
        <v>86.65</v>
      </c>
      <c r="F3724" s="209">
        <v>34.090000000000003</v>
      </c>
      <c r="G3724" s="209">
        <v>120.74</v>
      </c>
      <c r="H3724" s="198"/>
    </row>
    <row r="3725" spans="1:8" ht="15.75" hidden="1" customHeight="1" x14ac:dyDescent="0.25">
      <c r="A3725" s="205" t="s">
        <v>4366</v>
      </c>
      <c r="B3725" s="206">
        <v>101544</v>
      </c>
      <c r="C3725" s="207" t="s">
        <v>4377</v>
      </c>
      <c r="D3725" s="208" t="s">
        <v>580</v>
      </c>
      <c r="E3725" s="209">
        <v>66.77</v>
      </c>
      <c r="F3725" s="209">
        <v>28.44</v>
      </c>
      <c r="G3725" s="209">
        <v>95.21</v>
      </c>
      <c r="H3725" s="198"/>
    </row>
    <row r="3726" spans="1:8" ht="15.75" hidden="1" customHeight="1" x14ac:dyDescent="0.25">
      <c r="A3726" s="205" t="s">
        <v>4366</v>
      </c>
      <c r="B3726" s="206">
        <v>101541</v>
      </c>
      <c r="C3726" s="207" t="s">
        <v>4378</v>
      </c>
      <c r="D3726" s="208" t="s">
        <v>580</v>
      </c>
      <c r="E3726" s="209">
        <v>112.69</v>
      </c>
      <c r="F3726" s="209">
        <v>45.47</v>
      </c>
      <c r="G3726" s="209">
        <v>158.16</v>
      </c>
      <c r="H3726" s="198"/>
    </row>
    <row r="3727" spans="1:8" ht="15.75" hidden="1" customHeight="1" x14ac:dyDescent="0.25">
      <c r="A3727" s="205" t="s">
        <v>4366</v>
      </c>
      <c r="B3727" s="206">
        <v>101545</v>
      </c>
      <c r="C3727" s="207" t="s">
        <v>4379</v>
      </c>
      <c r="D3727" s="208" t="s">
        <v>580</v>
      </c>
      <c r="E3727" s="209">
        <v>97.83</v>
      </c>
      <c r="F3727" s="209">
        <v>37.93</v>
      </c>
      <c r="G3727" s="209">
        <v>135.76</v>
      </c>
      <c r="H3727" s="198"/>
    </row>
    <row r="3728" spans="1:8" ht="15.75" hidden="1" customHeight="1" x14ac:dyDescent="0.25">
      <c r="A3728" s="205" t="s">
        <v>4366</v>
      </c>
      <c r="B3728" s="206">
        <v>101560</v>
      </c>
      <c r="C3728" s="207" t="s">
        <v>4380</v>
      </c>
      <c r="D3728" s="208" t="s">
        <v>585</v>
      </c>
      <c r="E3728" s="209">
        <v>10.09</v>
      </c>
      <c r="F3728" s="209">
        <v>0.08</v>
      </c>
      <c r="G3728" s="209">
        <v>10.17</v>
      </c>
      <c r="H3728" s="198"/>
    </row>
    <row r="3729" spans="1:8" ht="15.75" hidden="1" customHeight="1" x14ac:dyDescent="0.25">
      <c r="A3729" s="205" t="s">
        <v>4366</v>
      </c>
      <c r="B3729" s="206">
        <v>101568</v>
      </c>
      <c r="C3729" s="207" t="s">
        <v>4381</v>
      </c>
      <c r="D3729" s="208" t="s">
        <v>585</v>
      </c>
      <c r="E3729" s="209">
        <v>123.58</v>
      </c>
      <c r="F3729" s="209">
        <v>0.08</v>
      </c>
      <c r="G3729" s="209">
        <v>123.66</v>
      </c>
      <c r="H3729" s="198"/>
    </row>
    <row r="3730" spans="1:8" ht="15.75" hidden="1" customHeight="1" x14ac:dyDescent="0.25">
      <c r="A3730" s="205" t="s">
        <v>4366</v>
      </c>
      <c r="B3730" s="206">
        <v>101561</v>
      </c>
      <c r="C3730" s="207" t="s">
        <v>4382</v>
      </c>
      <c r="D3730" s="208" t="s">
        <v>585</v>
      </c>
      <c r="E3730" s="209">
        <v>16.059999999999999</v>
      </c>
      <c r="F3730" s="209">
        <v>0.08</v>
      </c>
      <c r="G3730" s="209">
        <v>16.14</v>
      </c>
      <c r="H3730" s="198"/>
    </row>
    <row r="3731" spans="1:8" ht="15.75" hidden="1" customHeight="1" x14ac:dyDescent="0.25">
      <c r="A3731" s="205" t="s">
        <v>4366</v>
      </c>
      <c r="B3731" s="206">
        <v>101562</v>
      </c>
      <c r="C3731" s="207" t="s">
        <v>4383</v>
      </c>
      <c r="D3731" s="208" t="s">
        <v>585</v>
      </c>
      <c r="E3731" s="209">
        <v>24.91</v>
      </c>
      <c r="F3731" s="209">
        <v>7.0000000000000007E-2</v>
      </c>
      <c r="G3731" s="209">
        <v>24.98</v>
      </c>
      <c r="H3731" s="198"/>
    </row>
    <row r="3732" spans="1:8" ht="15.75" hidden="1" customHeight="1" x14ac:dyDescent="0.25">
      <c r="A3732" s="205" t="s">
        <v>4366</v>
      </c>
      <c r="B3732" s="206">
        <v>101563</v>
      </c>
      <c r="C3732" s="207" t="s">
        <v>4384</v>
      </c>
      <c r="D3732" s="208" t="s">
        <v>585</v>
      </c>
      <c r="E3732" s="209">
        <v>35.200000000000003</v>
      </c>
      <c r="F3732" s="209">
        <v>0.08</v>
      </c>
      <c r="G3732" s="209">
        <v>35.28</v>
      </c>
      <c r="H3732" s="198"/>
    </row>
    <row r="3733" spans="1:8" ht="15.75" hidden="1" customHeight="1" x14ac:dyDescent="0.25">
      <c r="A3733" s="205" t="s">
        <v>4366</v>
      </c>
      <c r="B3733" s="206">
        <v>101564</v>
      </c>
      <c r="C3733" s="207" t="s">
        <v>4385</v>
      </c>
      <c r="D3733" s="208" t="s">
        <v>585</v>
      </c>
      <c r="E3733" s="209">
        <v>52.05</v>
      </c>
      <c r="F3733" s="209">
        <v>7.0000000000000007E-2</v>
      </c>
      <c r="G3733" s="209">
        <v>52.12</v>
      </c>
      <c r="H3733" s="198"/>
    </row>
    <row r="3734" spans="1:8" ht="15.75" hidden="1" customHeight="1" x14ac:dyDescent="0.25">
      <c r="A3734" s="205" t="s">
        <v>4366</v>
      </c>
      <c r="B3734" s="206">
        <v>101565</v>
      </c>
      <c r="C3734" s="207" t="s">
        <v>4386</v>
      </c>
      <c r="D3734" s="208" t="s">
        <v>585</v>
      </c>
      <c r="E3734" s="209">
        <v>72.790000000000006</v>
      </c>
      <c r="F3734" s="209">
        <v>0.08</v>
      </c>
      <c r="G3734" s="209">
        <v>72.87</v>
      </c>
      <c r="H3734" s="198"/>
    </row>
    <row r="3735" spans="1:8" ht="15.75" hidden="1" customHeight="1" x14ac:dyDescent="0.25">
      <c r="A3735" s="205" t="s">
        <v>4366</v>
      </c>
      <c r="B3735" s="206">
        <v>101567</v>
      </c>
      <c r="C3735" s="207" t="s">
        <v>4387</v>
      </c>
      <c r="D3735" s="208" t="s">
        <v>585</v>
      </c>
      <c r="E3735" s="209">
        <v>94.51</v>
      </c>
      <c r="F3735" s="209">
        <v>7.0000000000000007E-2</v>
      </c>
      <c r="G3735" s="209">
        <v>94.58</v>
      </c>
      <c r="H3735" s="198"/>
    </row>
    <row r="3736" spans="1:8" ht="15.75" hidden="1" customHeight="1" x14ac:dyDescent="0.25">
      <c r="A3736" s="205" t="s">
        <v>4366</v>
      </c>
      <c r="B3736" s="206">
        <v>101501</v>
      </c>
      <c r="C3736" s="207" t="s">
        <v>4388</v>
      </c>
      <c r="D3736" s="208" t="s">
        <v>580</v>
      </c>
      <c r="E3736" s="209">
        <v>1463.19</v>
      </c>
      <c r="F3736" s="209">
        <v>448.97</v>
      </c>
      <c r="G3736" s="209">
        <v>1912.16</v>
      </c>
      <c r="H3736" s="198"/>
    </row>
    <row r="3737" spans="1:8" ht="15.75" hidden="1" customHeight="1" x14ac:dyDescent="0.25">
      <c r="A3737" s="205" t="s">
        <v>4366</v>
      </c>
      <c r="B3737" s="206">
        <v>101502</v>
      </c>
      <c r="C3737" s="207" t="s">
        <v>4389</v>
      </c>
      <c r="D3737" s="208" t="s">
        <v>580</v>
      </c>
      <c r="E3737" s="209">
        <v>1594.21</v>
      </c>
      <c r="F3737" s="209">
        <v>479.96</v>
      </c>
      <c r="G3737" s="209">
        <v>2074.17</v>
      </c>
      <c r="H3737" s="198"/>
    </row>
    <row r="3738" spans="1:8" ht="15.75" hidden="1" customHeight="1" x14ac:dyDescent="0.25">
      <c r="A3738" s="205" t="s">
        <v>4366</v>
      </c>
      <c r="B3738" s="206">
        <v>101503</v>
      </c>
      <c r="C3738" s="207" t="s">
        <v>4390</v>
      </c>
      <c r="D3738" s="208" t="s">
        <v>580</v>
      </c>
      <c r="E3738" s="209">
        <v>1662.34</v>
      </c>
      <c r="F3738" s="209">
        <v>436.3</v>
      </c>
      <c r="G3738" s="209">
        <v>2098.64</v>
      </c>
      <c r="H3738" s="198"/>
    </row>
    <row r="3739" spans="1:8" ht="15.75" hidden="1" customHeight="1" x14ac:dyDescent="0.25">
      <c r="A3739" s="205" t="s">
        <v>4366</v>
      </c>
      <c r="B3739" s="206">
        <v>101504</v>
      </c>
      <c r="C3739" s="207" t="s">
        <v>4391</v>
      </c>
      <c r="D3739" s="208" t="s">
        <v>580</v>
      </c>
      <c r="E3739" s="209">
        <v>1863.94</v>
      </c>
      <c r="F3739" s="209">
        <v>454.96</v>
      </c>
      <c r="G3739" s="209">
        <v>2318.9</v>
      </c>
      <c r="H3739" s="198"/>
    </row>
    <row r="3740" spans="1:8" ht="15.75" hidden="1" customHeight="1" x14ac:dyDescent="0.25">
      <c r="A3740" s="205" t="s">
        <v>4366</v>
      </c>
      <c r="B3740" s="206">
        <v>101497</v>
      </c>
      <c r="C3740" s="207" t="s">
        <v>4392</v>
      </c>
      <c r="D3740" s="208" t="s">
        <v>580</v>
      </c>
      <c r="E3740" s="209">
        <v>1461.66</v>
      </c>
      <c r="F3740" s="209">
        <v>463.34</v>
      </c>
      <c r="G3740" s="209">
        <v>1925</v>
      </c>
      <c r="H3740" s="198"/>
    </row>
    <row r="3741" spans="1:8" ht="15.75" hidden="1" customHeight="1" x14ac:dyDescent="0.25">
      <c r="A3741" s="205" t="s">
        <v>4366</v>
      </c>
      <c r="B3741" s="206">
        <v>101498</v>
      </c>
      <c r="C3741" s="207" t="s">
        <v>4393</v>
      </c>
      <c r="D3741" s="208" t="s">
        <v>580</v>
      </c>
      <c r="E3741" s="209">
        <v>1592.39</v>
      </c>
      <c r="F3741" s="209">
        <v>494.62</v>
      </c>
      <c r="G3741" s="209">
        <v>2087.0100000000002</v>
      </c>
      <c r="H3741" s="198"/>
    </row>
    <row r="3742" spans="1:8" ht="15.75" hidden="1" customHeight="1" x14ac:dyDescent="0.25">
      <c r="A3742" s="205" t="s">
        <v>4366</v>
      </c>
      <c r="B3742" s="206">
        <v>101499</v>
      </c>
      <c r="C3742" s="207" t="s">
        <v>4394</v>
      </c>
      <c r="D3742" s="208" t="s">
        <v>580</v>
      </c>
      <c r="E3742" s="209">
        <v>1660.68</v>
      </c>
      <c r="F3742" s="209">
        <v>450.8</v>
      </c>
      <c r="G3742" s="209">
        <v>2111.48</v>
      </c>
      <c r="H3742" s="198"/>
    </row>
    <row r="3743" spans="1:8" ht="15.75" hidden="1" customHeight="1" x14ac:dyDescent="0.25">
      <c r="A3743" s="205" t="s">
        <v>4366</v>
      </c>
      <c r="B3743" s="206">
        <v>101500</v>
      </c>
      <c r="C3743" s="207" t="s">
        <v>4395</v>
      </c>
      <c r="D3743" s="208" t="s">
        <v>580</v>
      </c>
      <c r="E3743" s="209">
        <v>1862.13</v>
      </c>
      <c r="F3743" s="209">
        <v>469.61</v>
      </c>
      <c r="G3743" s="209">
        <v>2331.7399999999998</v>
      </c>
      <c r="H3743" s="198"/>
    </row>
    <row r="3744" spans="1:8" ht="15.75" hidden="1" customHeight="1" x14ac:dyDescent="0.25">
      <c r="A3744" s="205" t="s">
        <v>4366</v>
      </c>
      <c r="B3744" s="206">
        <v>101493</v>
      </c>
      <c r="C3744" s="207" t="s">
        <v>4396</v>
      </c>
      <c r="D3744" s="208" t="s">
        <v>580</v>
      </c>
      <c r="E3744" s="209">
        <v>1166.08</v>
      </c>
      <c r="F3744" s="209">
        <v>414.4</v>
      </c>
      <c r="G3744" s="209">
        <v>1580.48</v>
      </c>
      <c r="H3744" s="198"/>
    </row>
    <row r="3745" spans="1:8" ht="15.75" hidden="1" customHeight="1" x14ac:dyDescent="0.25">
      <c r="A3745" s="205" t="s">
        <v>4366</v>
      </c>
      <c r="B3745" s="206">
        <v>101494</v>
      </c>
      <c r="C3745" s="207" t="s">
        <v>4397</v>
      </c>
      <c r="D3745" s="208" t="s">
        <v>580</v>
      </c>
      <c r="E3745" s="209">
        <v>1252.47</v>
      </c>
      <c r="F3745" s="209">
        <v>435.04</v>
      </c>
      <c r="G3745" s="209">
        <v>1687.51</v>
      </c>
      <c r="H3745" s="198"/>
    </row>
    <row r="3746" spans="1:8" ht="15.75" hidden="1" customHeight="1" x14ac:dyDescent="0.25">
      <c r="A3746" s="205" t="s">
        <v>4366</v>
      </c>
      <c r="B3746" s="206">
        <v>101495</v>
      </c>
      <c r="C3746" s="207" t="s">
        <v>4398</v>
      </c>
      <c r="D3746" s="208" t="s">
        <v>580</v>
      </c>
      <c r="E3746" s="209">
        <v>1297.7</v>
      </c>
      <c r="F3746" s="209">
        <v>405.98</v>
      </c>
      <c r="G3746" s="209">
        <v>1703.68</v>
      </c>
      <c r="H3746" s="198"/>
    </row>
    <row r="3747" spans="1:8" ht="15.75" hidden="1" customHeight="1" x14ac:dyDescent="0.25">
      <c r="A3747" s="205" t="s">
        <v>4366</v>
      </c>
      <c r="B3747" s="206">
        <v>101496</v>
      </c>
      <c r="C3747" s="207" t="s">
        <v>4399</v>
      </c>
      <c r="D3747" s="208" t="s">
        <v>580</v>
      </c>
      <c r="E3747" s="209">
        <v>1441.48</v>
      </c>
      <c r="F3747" s="209">
        <v>422.34</v>
      </c>
      <c r="G3747" s="209">
        <v>1863.82</v>
      </c>
      <c r="H3747" s="198"/>
    </row>
    <row r="3748" spans="1:8" ht="15.75" hidden="1" customHeight="1" x14ac:dyDescent="0.25">
      <c r="A3748" s="205" t="s">
        <v>4366</v>
      </c>
      <c r="B3748" s="206">
        <v>101489</v>
      </c>
      <c r="C3748" s="207" t="s">
        <v>4400</v>
      </c>
      <c r="D3748" s="208" t="s">
        <v>580</v>
      </c>
      <c r="E3748" s="209">
        <v>1169.48</v>
      </c>
      <c r="F3748" s="209">
        <v>432.76</v>
      </c>
      <c r="G3748" s="209">
        <v>1602.24</v>
      </c>
      <c r="H3748" s="198"/>
    </row>
    <row r="3749" spans="1:8" ht="15.75" hidden="1" customHeight="1" x14ac:dyDescent="0.25">
      <c r="A3749" s="205" t="s">
        <v>4366</v>
      </c>
      <c r="B3749" s="206">
        <v>101490</v>
      </c>
      <c r="C3749" s="207" t="s">
        <v>4401</v>
      </c>
      <c r="D3749" s="208" t="s">
        <v>580</v>
      </c>
      <c r="E3749" s="209">
        <v>1255.81</v>
      </c>
      <c r="F3749" s="209">
        <v>453.46</v>
      </c>
      <c r="G3749" s="209">
        <v>1709.27</v>
      </c>
      <c r="H3749" s="198"/>
    </row>
    <row r="3750" spans="1:8" ht="15.75" hidden="1" customHeight="1" x14ac:dyDescent="0.25">
      <c r="A3750" s="205" t="s">
        <v>4366</v>
      </c>
      <c r="B3750" s="206">
        <v>101491</v>
      </c>
      <c r="C3750" s="207" t="s">
        <v>4402</v>
      </c>
      <c r="D3750" s="208" t="s">
        <v>580</v>
      </c>
      <c r="E3750" s="209">
        <v>1300.99</v>
      </c>
      <c r="F3750" s="209">
        <v>424.45</v>
      </c>
      <c r="G3750" s="209">
        <v>1725.44</v>
      </c>
      <c r="H3750" s="198"/>
    </row>
    <row r="3751" spans="1:8" ht="15.75" hidden="1" customHeight="1" x14ac:dyDescent="0.25">
      <c r="A3751" s="205" t="s">
        <v>4366</v>
      </c>
      <c r="B3751" s="206">
        <v>101492</v>
      </c>
      <c r="C3751" s="207" t="s">
        <v>4403</v>
      </c>
      <c r="D3751" s="208" t="s">
        <v>580</v>
      </c>
      <c r="E3751" s="209">
        <v>1444.74</v>
      </c>
      <c r="F3751" s="209">
        <v>440.84</v>
      </c>
      <c r="G3751" s="209">
        <v>1885.58</v>
      </c>
      <c r="H3751" s="198"/>
    </row>
    <row r="3752" spans="1:8" ht="15.75" hidden="1" customHeight="1" x14ac:dyDescent="0.25">
      <c r="A3752" s="205" t="s">
        <v>4366</v>
      </c>
      <c r="B3752" s="206">
        <v>101509</v>
      </c>
      <c r="C3752" s="207" t="s">
        <v>4404</v>
      </c>
      <c r="D3752" s="208" t="s">
        <v>580</v>
      </c>
      <c r="E3752" s="209">
        <v>1499.45</v>
      </c>
      <c r="F3752" s="209">
        <v>479.76</v>
      </c>
      <c r="G3752" s="209">
        <v>1979.21</v>
      </c>
      <c r="H3752" s="198"/>
    </row>
    <row r="3753" spans="1:8" ht="15.75" hidden="1" customHeight="1" x14ac:dyDescent="0.25">
      <c r="A3753" s="205" t="s">
        <v>4366</v>
      </c>
      <c r="B3753" s="206">
        <v>101510</v>
      </c>
      <c r="C3753" s="207" t="s">
        <v>4405</v>
      </c>
      <c r="D3753" s="208" t="s">
        <v>580</v>
      </c>
      <c r="E3753" s="209">
        <v>1674.07</v>
      </c>
      <c r="F3753" s="209">
        <v>521.14</v>
      </c>
      <c r="G3753" s="209">
        <v>2195.21</v>
      </c>
      <c r="H3753" s="198"/>
    </row>
    <row r="3754" spans="1:8" ht="15.75" hidden="1" customHeight="1" x14ac:dyDescent="0.25">
      <c r="A3754" s="205" t="s">
        <v>4366</v>
      </c>
      <c r="B3754" s="206">
        <v>101511</v>
      </c>
      <c r="C3754" s="207" t="s">
        <v>4406</v>
      </c>
      <c r="D3754" s="208" t="s">
        <v>580</v>
      </c>
      <c r="E3754" s="209">
        <v>1764.91</v>
      </c>
      <c r="F3754" s="209">
        <v>462.94</v>
      </c>
      <c r="G3754" s="209">
        <v>2227.85</v>
      </c>
      <c r="H3754" s="198"/>
    </row>
    <row r="3755" spans="1:8" ht="15.75" hidden="1" customHeight="1" x14ac:dyDescent="0.25">
      <c r="A3755" s="205" t="s">
        <v>4366</v>
      </c>
      <c r="B3755" s="206">
        <v>101512</v>
      </c>
      <c r="C3755" s="207" t="s">
        <v>4407</v>
      </c>
      <c r="D3755" s="208" t="s">
        <v>580</v>
      </c>
      <c r="E3755" s="209">
        <v>2023.03</v>
      </c>
      <c r="F3755" s="209">
        <v>484.13</v>
      </c>
      <c r="G3755" s="209">
        <v>2507.16</v>
      </c>
      <c r="H3755" s="198"/>
    </row>
    <row r="3756" spans="1:8" ht="15.75" hidden="1" customHeight="1" x14ac:dyDescent="0.25">
      <c r="A3756" s="205" t="s">
        <v>4366</v>
      </c>
      <c r="B3756" s="206">
        <v>101505</v>
      </c>
      <c r="C3756" s="207" t="s">
        <v>4408</v>
      </c>
      <c r="D3756" s="208" t="s">
        <v>580</v>
      </c>
      <c r="E3756" s="209">
        <v>1555.53</v>
      </c>
      <c r="F3756" s="209">
        <v>493.64</v>
      </c>
      <c r="G3756" s="209">
        <v>2049.17</v>
      </c>
      <c r="H3756" s="198"/>
    </row>
    <row r="3757" spans="1:8" ht="15.75" hidden="1" customHeight="1" x14ac:dyDescent="0.25">
      <c r="A3757" s="205" t="s">
        <v>4366</v>
      </c>
      <c r="B3757" s="206">
        <v>101506</v>
      </c>
      <c r="C3757" s="207" t="s">
        <v>4409</v>
      </c>
      <c r="D3757" s="208" t="s">
        <v>580</v>
      </c>
      <c r="E3757" s="209">
        <v>1729.92</v>
      </c>
      <c r="F3757" s="209">
        <v>535.25</v>
      </c>
      <c r="G3757" s="209">
        <v>2265.17</v>
      </c>
      <c r="H3757" s="198"/>
    </row>
    <row r="3758" spans="1:8" ht="15.75" hidden="1" customHeight="1" x14ac:dyDescent="0.25">
      <c r="A3758" s="205" t="s">
        <v>4366</v>
      </c>
      <c r="B3758" s="206">
        <v>101507</v>
      </c>
      <c r="C3758" s="207" t="s">
        <v>4410</v>
      </c>
      <c r="D3758" s="208" t="s">
        <v>580</v>
      </c>
      <c r="E3758" s="209">
        <v>1821.02</v>
      </c>
      <c r="F3758" s="209">
        <v>476.79</v>
      </c>
      <c r="G3758" s="209">
        <v>2297.81</v>
      </c>
      <c r="H3758" s="198"/>
    </row>
    <row r="3759" spans="1:8" ht="15.75" hidden="1" customHeight="1" x14ac:dyDescent="0.25">
      <c r="A3759" s="205" t="s">
        <v>4366</v>
      </c>
      <c r="B3759" s="206">
        <v>101508</v>
      </c>
      <c r="C3759" s="207" t="s">
        <v>4411</v>
      </c>
      <c r="D3759" s="208" t="s">
        <v>580</v>
      </c>
      <c r="E3759" s="209">
        <v>2078.9699999999998</v>
      </c>
      <c r="F3759" s="209">
        <v>498.15</v>
      </c>
      <c r="G3759" s="209">
        <v>2577.12</v>
      </c>
      <c r="H3759" s="198"/>
    </row>
    <row r="3760" spans="1:8" ht="15.75" hidden="1" customHeight="1" x14ac:dyDescent="0.25">
      <c r="A3760" s="205" t="s">
        <v>4366</v>
      </c>
      <c r="B3760" s="206">
        <v>101525</v>
      </c>
      <c r="C3760" s="207" t="s">
        <v>4412</v>
      </c>
      <c r="D3760" s="208" t="s">
        <v>580</v>
      </c>
      <c r="E3760" s="209">
        <v>991.61</v>
      </c>
      <c r="F3760" s="209">
        <v>211.36</v>
      </c>
      <c r="G3760" s="209">
        <v>1202.97</v>
      </c>
      <c r="H3760" s="198"/>
    </row>
    <row r="3761" spans="1:8" ht="15.75" hidden="1" customHeight="1" x14ac:dyDescent="0.25">
      <c r="A3761" s="205" t="s">
        <v>4366</v>
      </c>
      <c r="B3761" s="206">
        <v>101526</v>
      </c>
      <c r="C3761" s="207" t="s">
        <v>4413</v>
      </c>
      <c r="D3761" s="208" t="s">
        <v>580</v>
      </c>
      <c r="E3761" s="209">
        <v>1147.3499999999999</v>
      </c>
      <c r="F3761" s="209">
        <v>248.28</v>
      </c>
      <c r="G3761" s="209">
        <v>1395.63</v>
      </c>
      <c r="H3761" s="198"/>
    </row>
    <row r="3762" spans="1:8" ht="15.75" hidden="1" customHeight="1" x14ac:dyDescent="0.25">
      <c r="A3762" s="205" t="s">
        <v>4366</v>
      </c>
      <c r="B3762" s="206">
        <v>101527</v>
      </c>
      <c r="C3762" s="207" t="s">
        <v>4414</v>
      </c>
      <c r="D3762" s="208" t="s">
        <v>580</v>
      </c>
      <c r="E3762" s="209">
        <v>1228.4100000000001</v>
      </c>
      <c r="F3762" s="209">
        <v>196.32</v>
      </c>
      <c r="G3762" s="209">
        <v>1424.73</v>
      </c>
      <c r="H3762" s="198"/>
    </row>
    <row r="3763" spans="1:8" ht="15.75" hidden="1" customHeight="1" x14ac:dyDescent="0.25">
      <c r="A3763" s="205" t="s">
        <v>4366</v>
      </c>
      <c r="B3763" s="206">
        <v>101528</v>
      </c>
      <c r="C3763" s="207" t="s">
        <v>4415</v>
      </c>
      <c r="D3763" s="208" t="s">
        <v>580</v>
      </c>
      <c r="E3763" s="209">
        <v>1430.5</v>
      </c>
      <c r="F3763" s="209">
        <v>204.91</v>
      </c>
      <c r="G3763" s="209">
        <v>1635.41</v>
      </c>
      <c r="H3763" s="198"/>
    </row>
    <row r="3764" spans="1:8" ht="15.75" hidden="1" customHeight="1" x14ac:dyDescent="0.25">
      <c r="A3764" s="205" t="s">
        <v>4366</v>
      </c>
      <c r="B3764" s="206">
        <v>101521</v>
      </c>
      <c r="C3764" s="207" t="s">
        <v>4416</v>
      </c>
      <c r="D3764" s="208" t="s">
        <v>580</v>
      </c>
      <c r="E3764" s="209">
        <v>989.92</v>
      </c>
      <c r="F3764" s="209">
        <v>225.89</v>
      </c>
      <c r="G3764" s="209">
        <v>1215.81</v>
      </c>
      <c r="H3764" s="198"/>
    </row>
    <row r="3765" spans="1:8" ht="15.75" hidden="1" customHeight="1" x14ac:dyDescent="0.25">
      <c r="A3765" s="205" t="s">
        <v>4366</v>
      </c>
      <c r="B3765" s="206">
        <v>101522</v>
      </c>
      <c r="C3765" s="207" t="s">
        <v>4417</v>
      </c>
      <c r="D3765" s="208" t="s">
        <v>580</v>
      </c>
      <c r="E3765" s="209">
        <v>1145.51</v>
      </c>
      <c r="F3765" s="209">
        <v>262.95999999999998</v>
      </c>
      <c r="G3765" s="209">
        <v>1408.47</v>
      </c>
      <c r="H3765" s="198"/>
    </row>
    <row r="3766" spans="1:8" ht="15.75" hidden="1" customHeight="1" x14ac:dyDescent="0.25">
      <c r="A3766" s="205" t="s">
        <v>4366</v>
      </c>
      <c r="B3766" s="206">
        <v>101523</v>
      </c>
      <c r="C3766" s="207" t="s">
        <v>4418</v>
      </c>
      <c r="D3766" s="208" t="s">
        <v>580</v>
      </c>
      <c r="E3766" s="209">
        <v>1226.68</v>
      </c>
      <c r="F3766" s="209">
        <v>210.89</v>
      </c>
      <c r="G3766" s="209">
        <v>1437.57</v>
      </c>
      <c r="H3766" s="198"/>
    </row>
    <row r="3767" spans="1:8" ht="15.75" hidden="1" customHeight="1" x14ac:dyDescent="0.25">
      <c r="A3767" s="205" t="s">
        <v>4366</v>
      </c>
      <c r="B3767" s="206">
        <v>101524</v>
      </c>
      <c r="C3767" s="207" t="s">
        <v>4419</v>
      </c>
      <c r="D3767" s="208" t="s">
        <v>580</v>
      </c>
      <c r="E3767" s="209">
        <v>1428.71</v>
      </c>
      <c r="F3767" s="209">
        <v>219.54</v>
      </c>
      <c r="G3767" s="209">
        <v>1648.25</v>
      </c>
      <c r="H3767" s="198"/>
    </row>
    <row r="3768" spans="1:8" ht="15.75" hidden="1" customHeight="1" x14ac:dyDescent="0.25">
      <c r="A3768" s="205" t="s">
        <v>4366</v>
      </c>
      <c r="B3768" s="206">
        <v>101517</v>
      </c>
      <c r="C3768" s="207" t="s">
        <v>4420</v>
      </c>
      <c r="D3768" s="208" t="s">
        <v>580</v>
      </c>
      <c r="E3768" s="209">
        <v>681.61</v>
      </c>
      <c r="F3768" s="209">
        <v>173.28</v>
      </c>
      <c r="G3768" s="209">
        <v>854.89</v>
      </c>
      <c r="H3768" s="198"/>
    </row>
    <row r="3769" spans="1:8" ht="15.75" hidden="1" customHeight="1" x14ac:dyDescent="0.25">
      <c r="A3769" s="205" t="s">
        <v>4366</v>
      </c>
      <c r="B3769" s="206">
        <v>101518</v>
      </c>
      <c r="C3769" s="207" t="s">
        <v>4421</v>
      </c>
      <c r="D3769" s="208" t="s">
        <v>580</v>
      </c>
      <c r="E3769" s="209">
        <v>785.38</v>
      </c>
      <c r="F3769" s="209">
        <v>197.94</v>
      </c>
      <c r="G3769" s="209">
        <v>983.32</v>
      </c>
      <c r="H3769" s="198"/>
    </row>
    <row r="3770" spans="1:8" ht="15.75" hidden="1" customHeight="1" x14ac:dyDescent="0.25">
      <c r="A3770" s="205" t="s">
        <v>4366</v>
      </c>
      <c r="B3770" s="206">
        <v>101519</v>
      </c>
      <c r="C3770" s="207" t="s">
        <v>4422</v>
      </c>
      <c r="D3770" s="208" t="s">
        <v>580</v>
      </c>
      <c r="E3770" s="209">
        <v>839.49</v>
      </c>
      <c r="F3770" s="209">
        <v>163.24</v>
      </c>
      <c r="G3770" s="209">
        <v>1002.73</v>
      </c>
      <c r="H3770" s="198"/>
    </row>
    <row r="3771" spans="1:8" ht="15.75" hidden="1" customHeight="1" x14ac:dyDescent="0.25">
      <c r="A3771" s="205" t="s">
        <v>4366</v>
      </c>
      <c r="B3771" s="206">
        <v>101520</v>
      </c>
      <c r="C3771" s="207" t="s">
        <v>4423</v>
      </c>
      <c r="D3771" s="208" t="s">
        <v>580</v>
      </c>
      <c r="E3771" s="209">
        <v>974.11</v>
      </c>
      <c r="F3771" s="209">
        <v>169.07</v>
      </c>
      <c r="G3771" s="209">
        <v>1143.18</v>
      </c>
      <c r="H3771" s="198"/>
    </row>
    <row r="3772" spans="1:8" ht="15.75" hidden="1" customHeight="1" x14ac:dyDescent="0.25">
      <c r="A3772" s="205" t="s">
        <v>4366</v>
      </c>
      <c r="B3772" s="206">
        <v>101513</v>
      </c>
      <c r="C3772" s="207" t="s">
        <v>4424</v>
      </c>
      <c r="D3772" s="208" t="s">
        <v>580</v>
      </c>
      <c r="E3772" s="209">
        <v>684.93</v>
      </c>
      <c r="F3772" s="209">
        <v>191.72</v>
      </c>
      <c r="G3772" s="209">
        <v>876.65</v>
      </c>
      <c r="H3772" s="198"/>
    </row>
    <row r="3773" spans="1:8" ht="15.75" hidden="1" customHeight="1" x14ac:dyDescent="0.25">
      <c r="A3773" s="205" t="s">
        <v>4366</v>
      </c>
      <c r="B3773" s="206">
        <v>101514</v>
      </c>
      <c r="C3773" s="207" t="s">
        <v>4425</v>
      </c>
      <c r="D3773" s="208" t="s">
        <v>580</v>
      </c>
      <c r="E3773" s="209">
        <v>788.69</v>
      </c>
      <c r="F3773" s="209">
        <v>216.39</v>
      </c>
      <c r="G3773" s="209">
        <v>1005.08</v>
      </c>
      <c r="H3773" s="198"/>
    </row>
    <row r="3774" spans="1:8" ht="15.75" hidden="1" customHeight="1" x14ac:dyDescent="0.25">
      <c r="A3774" s="205" t="s">
        <v>4366</v>
      </c>
      <c r="B3774" s="206">
        <v>101515</v>
      </c>
      <c r="C3774" s="207" t="s">
        <v>4426</v>
      </c>
      <c r="D3774" s="208" t="s">
        <v>580</v>
      </c>
      <c r="E3774" s="209">
        <v>842.85</v>
      </c>
      <c r="F3774" s="209">
        <v>181.64</v>
      </c>
      <c r="G3774" s="209">
        <v>1024.49</v>
      </c>
      <c r="H3774" s="198"/>
    </row>
    <row r="3775" spans="1:8" ht="15.75" hidden="1" customHeight="1" x14ac:dyDescent="0.25">
      <c r="A3775" s="205" t="s">
        <v>4366</v>
      </c>
      <c r="B3775" s="206">
        <v>101516</v>
      </c>
      <c r="C3775" s="207" t="s">
        <v>4427</v>
      </c>
      <c r="D3775" s="208" t="s">
        <v>580</v>
      </c>
      <c r="E3775" s="209">
        <v>977.51</v>
      </c>
      <c r="F3775" s="209">
        <v>187.43</v>
      </c>
      <c r="G3775" s="209">
        <v>1164.94</v>
      </c>
      <c r="H3775" s="198"/>
    </row>
    <row r="3776" spans="1:8" ht="15.75" hidden="1" customHeight="1" x14ac:dyDescent="0.25">
      <c r="A3776" s="205" t="s">
        <v>4366</v>
      </c>
      <c r="B3776" s="206">
        <v>101533</v>
      </c>
      <c r="C3776" s="207" t="s">
        <v>4428</v>
      </c>
      <c r="D3776" s="208" t="s">
        <v>580</v>
      </c>
      <c r="E3776" s="209">
        <v>1041.98</v>
      </c>
      <c r="F3776" s="209">
        <v>246.16</v>
      </c>
      <c r="G3776" s="209">
        <v>1288.1400000000001</v>
      </c>
      <c r="H3776" s="198"/>
    </row>
    <row r="3777" spans="1:8" ht="15.75" hidden="1" customHeight="1" x14ac:dyDescent="0.25">
      <c r="A3777" s="205" t="s">
        <v>4366</v>
      </c>
      <c r="B3777" s="206">
        <v>101534</v>
      </c>
      <c r="C3777" s="207" t="s">
        <v>4429</v>
      </c>
      <c r="D3777" s="208" t="s">
        <v>580</v>
      </c>
      <c r="E3777" s="209">
        <v>1249.45</v>
      </c>
      <c r="F3777" s="209">
        <v>295.56</v>
      </c>
      <c r="G3777" s="209">
        <v>1545.01</v>
      </c>
      <c r="H3777" s="198"/>
    </row>
    <row r="3778" spans="1:8" ht="15.75" hidden="1" customHeight="1" x14ac:dyDescent="0.25">
      <c r="A3778" s="205" t="s">
        <v>4366</v>
      </c>
      <c r="B3778" s="206">
        <v>101535</v>
      </c>
      <c r="C3778" s="207" t="s">
        <v>4430</v>
      </c>
      <c r="D3778" s="208" t="s">
        <v>580</v>
      </c>
      <c r="E3778" s="209">
        <v>1357.81</v>
      </c>
      <c r="F3778" s="209">
        <v>226.01</v>
      </c>
      <c r="G3778" s="209">
        <v>1583.82</v>
      </c>
      <c r="H3778" s="198"/>
    </row>
    <row r="3779" spans="1:8" ht="15.75" hidden="1" customHeight="1" x14ac:dyDescent="0.25">
      <c r="A3779" s="205" t="s">
        <v>4366</v>
      </c>
      <c r="B3779" s="206">
        <v>101536</v>
      </c>
      <c r="C3779" s="207" t="s">
        <v>4431</v>
      </c>
      <c r="D3779" s="208" t="s">
        <v>580</v>
      </c>
      <c r="E3779" s="209">
        <v>1626.97</v>
      </c>
      <c r="F3779" s="209">
        <v>237.75</v>
      </c>
      <c r="G3779" s="209">
        <v>1864.72</v>
      </c>
      <c r="H3779" s="198"/>
    </row>
    <row r="3780" spans="1:8" ht="15.75" hidden="1" customHeight="1" x14ac:dyDescent="0.25">
      <c r="A3780" s="205" t="s">
        <v>4366</v>
      </c>
      <c r="B3780" s="206">
        <v>101529</v>
      </c>
      <c r="C3780" s="207" t="s">
        <v>4432</v>
      </c>
      <c r="D3780" s="208" t="s">
        <v>580</v>
      </c>
      <c r="E3780" s="209">
        <v>1098.03</v>
      </c>
      <c r="F3780" s="209">
        <v>260.07</v>
      </c>
      <c r="G3780" s="209">
        <v>1358.1</v>
      </c>
      <c r="H3780" s="198"/>
    </row>
    <row r="3781" spans="1:8" ht="15.75" hidden="1" customHeight="1" x14ac:dyDescent="0.25">
      <c r="A3781" s="205" t="s">
        <v>4366</v>
      </c>
      <c r="B3781" s="206">
        <v>101530</v>
      </c>
      <c r="C3781" s="207" t="s">
        <v>4433</v>
      </c>
      <c r="D3781" s="208" t="s">
        <v>580</v>
      </c>
      <c r="E3781" s="209">
        <v>1305.55</v>
      </c>
      <c r="F3781" s="209">
        <v>309.42</v>
      </c>
      <c r="G3781" s="209">
        <v>1614.97</v>
      </c>
      <c r="H3781" s="198"/>
    </row>
    <row r="3782" spans="1:8" ht="15.75" hidden="1" customHeight="1" x14ac:dyDescent="0.25">
      <c r="A3782" s="205" t="s">
        <v>4366</v>
      </c>
      <c r="B3782" s="206">
        <v>101531</v>
      </c>
      <c r="C3782" s="207" t="s">
        <v>4434</v>
      </c>
      <c r="D3782" s="208" t="s">
        <v>580</v>
      </c>
      <c r="E3782" s="209">
        <v>1413.82</v>
      </c>
      <c r="F3782" s="209">
        <v>239.96</v>
      </c>
      <c r="G3782" s="209">
        <v>1653.78</v>
      </c>
      <c r="H3782" s="198"/>
    </row>
    <row r="3783" spans="1:8" ht="15.75" hidden="1" customHeight="1" x14ac:dyDescent="0.25">
      <c r="A3783" s="205" t="s">
        <v>4366</v>
      </c>
      <c r="B3783" s="206">
        <v>101532</v>
      </c>
      <c r="C3783" s="207" t="s">
        <v>4435</v>
      </c>
      <c r="D3783" s="208" t="s">
        <v>580</v>
      </c>
      <c r="E3783" s="209">
        <v>1682.98</v>
      </c>
      <c r="F3783" s="209">
        <v>251.7</v>
      </c>
      <c r="G3783" s="209">
        <v>1934.68</v>
      </c>
      <c r="H3783" s="198"/>
    </row>
    <row r="3784" spans="1:8" ht="15.75" hidden="1" customHeight="1" x14ac:dyDescent="0.25">
      <c r="A3784" s="205" t="s">
        <v>4366</v>
      </c>
      <c r="B3784" s="206">
        <v>101549</v>
      </c>
      <c r="C3784" s="207" t="s">
        <v>4436</v>
      </c>
      <c r="D3784" s="208" t="s">
        <v>580</v>
      </c>
      <c r="E3784" s="209">
        <v>12.78</v>
      </c>
      <c r="F3784" s="209">
        <v>6.08</v>
      </c>
      <c r="G3784" s="209">
        <v>18.86</v>
      </c>
      <c r="H3784" s="198"/>
    </row>
    <row r="3785" spans="1:8" ht="15.75" hidden="1" customHeight="1" x14ac:dyDescent="0.25">
      <c r="A3785" s="205" t="s">
        <v>4366</v>
      </c>
      <c r="B3785" s="206">
        <v>101547</v>
      </c>
      <c r="C3785" s="207" t="s">
        <v>4437</v>
      </c>
      <c r="D3785" s="208" t="s">
        <v>580</v>
      </c>
      <c r="E3785" s="209">
        <v>97.03</v>
      </c>
      <c r="F3785" s="209">
        <v>1.86</v>
      </c>
      <c r="G3785" s="209">
        <v>98.89</v>
      </c>
      <c r="H3785" s="198"/>
    </row>
    <row r="3786" spans="1:8" ht="15.75" hidden="1" customHeight="1" x14ac:dyDescent="0.25">
      <c r="A3786" s="205" t="s">
        <v>4366</v>
      </c>
      <c r="B3786" s="206">
        <v>101546</v>
      </c>
      <c r="C3786" s="207" t="s">
        <v>4438</v>
      </c>
      <c r="D3786" s="208" t="s">
        <v>580</v>
      </c>
      <c r="E3786" s="209">
        <v>30.16</v>
      </c>
      <c r="F3786" s="209">
        <v>1.86</v>
      </c>
      <c r="G3786" s="209">
        <v>32.020000000000003</v>
      </c>
      <c r="H3786" s="198"/>
    </row>
    <row r="3787" spans="1:8" ht="15.75" hidden="1" customHeight="1" x14ac:dyDescent="0.25">
      <c r="A3787" s="205" t="s">
        <v>4366</v>
      </c>
      <c r="B3787" s="206">
        <v>101548</v>
      </c>
      <c r="C3787" s="207" t="s">
        <v>4439</v>
      </c>
      <c r="D3787" s="208" t="s">
        <v>580</v>
      </c>
      <c r="E3787" s="209">
        <v>6.57</v>
      </c>
      <c r="F3787" s="209">
        <v>1.86</v>
      </c>
      <c r="G3787" s="209">
        <v>8.43</v>
      </c>
      <c r="H3787" s="198"/>
    </row>
    <row r="3788" spans="1:8" ht="15.75" hidden="1" customHeight="1" x14ac:dyDescent="0.25">
      <c r="A3788" s="205" t="s">
        <v>4440</v>
      </c>
      <c r="B3788" s="206">
        <v>94764</v>
      </c>
      <c r="C3788" s="207" t="s">
        <v>4441</v>
      </c>
      <c r="D3788" s="208" t="s">
        <v>580</v>
      </c>
      <c r="E3788" s="209">
        <v>35.31</v>
      </c>
      <c r="F3788" s="209">
        <v>6.24</v>
      </c>
      <c r="G3788" s="209">
        <v>41.55</v>
      </c>
      <c r="H3788" s="198"/>
    </row>
    <row r="3789" spans="1:8" ht="15.75" hidden="1" customHeight="1" x14ac:dyDescent="0.25">
      <c r="A3789" s="205" t="s">
        <v>4440</v>
      </c>
      <c r="B3789" s="206">
        <v>94765</v>
      </c>
      <c r="C3789" s="207" t="s">
        <v>4442</v>
      </c>
      <c r="D3789" s="208" t="s">
        <v>580</v>
      </c>
      <c r="E3789" s="209">
        <v>39.340000000000003</v>
      </c>
      <c r="F3789" s="209">
        <v>6.37</v>
      </c>
      <c r="G3789" s="209">
        <v>45.71</v>
      </c>
      <c r="H3789" s="198"/>
    </row>
    <row r="3790" spans="1:8" ht="15.75" hidden="1" customHeight="1" x14ac:dyDescent="0.25">
      <c r="A3790" s="205" t="s">
        <v>4440</v>
      </c>
      <c r="B3790" s="206">
        <v>94766</v>
      </c>
      <c r="C3790" s="207" t="s">
        <v>4443</v>
      </c>
      <c r="D3790" s="208" t="s">
        <v>580</v>
      </c>
      <c r="E3790" s="209">
        <v>44.49</v>
      </c>
      <c r="F3790" s="209">
        <v>6.5</v>
      </c>
      <c r="G3790" s="209">
        <v>50.99</v>
      </c>
      <c r="H3790" s="198"/>
    </row>
    <row r="3791" spans="1:8" ht="15.75" hidden="1" customHeight="1" x14ac:dyDescent="0.25">
      <c r="A3791" s="205" t="s">
        <v>4440</v>
      </c>
      <c r="B3791" s="206">
        <v>94767</v>
      </c>
      <c r="C3791" s="207" t="s">
        <v>4444</v>
      </c>
      <c r="D3791" s="208" t="s">
        <v>580</v>
      </c>
      <c r="E3791" s="209">
        <v>68.459999999999994</v>
      </c>
      <c r="F3791" s="209">
        <v>6.67</v>
      </c>
      <c r="G3791" s="209">
        <v>75.13</v>
      </c>
      <c r="H3791" s="198"/>
    </row>
    <row r="3792" spans="1:8" ht="15.75" hidden="1" customHeight="1" x14ac:dyDescent="0.25">
      <c r="A3792" s="205" t="s">
        <v>4440</v>
      </c>
      <c r="B3792" s="206">
        <v>94768</v>
      </c>
      <c r="C3792" s="207" t="s">
        <v>4445</v>
      </c>
      <c r="D3792" s="208" t="s">
        <v>580</v>
      </c>
      <c r="E3792" s="209">
        <v>78.099999999999994</v>
      </c>
      <c r="F3792" s="209">
        <v>6.89</v>
      </c>
      <c r="G3792" s="209">
        <v>84.99</v>
      </c>
      <c r="H3792" s="198"/>
    </row>
    <row r="3793" spans="1:8" ht="15.75" hidden="1" customHeight="1" x14ac:dyDescent="0.25">
      <c r="A3793" s="205" t="s">
        <v>4440</v>
      </c>
      <c r="B3793" s="206">
        <v>94769</v>
      </c>
      <c r="C3793" s="207" t="s">
        <v>4446</v>
      </c>
      <c r="D3793" s="208" t="s">
        <v>580</v>
      </c>
      <c r="E3793" s="209">
        <v>106.03</v>
      </c>
      <c r="F3793" s="209">
        <v>7.15</v>
      </c>
      <c r="G3793" s="209">
        <v>113.18</v>
      </c>
      <c r="H3793" s="198"/>
    </row>
    <row r="3794" spans="1:8" ht="15.75" hidden="1" customHeight="1" x14ac:dyDescent="0.25">
      <c r="A3794" s="205" t="s">
        <v>4440</v>
      </c>
      <c r="B3794" s="206">
        <v>94783</v>
      </c>
      <c r="C3794" s="207" t="s">
        <v>4447</v>
      </c>
      <c r="D3794" s="208" t="s">
        <v>580</v>
      </c>
      <c r="E3794" s="209">
        <v>12.22</v>
      </c>
      <c r="F3794" s="209">
        <v>6.37</v>
      </c>
      <c r="G3794" s="209">
        <v>18.59</v>
      </c>
      <c r="H3794" s="198"/>
    </row>
    <row r="3795" spans="1:8" ht="15.75" hidden="1" customHeight="1" x14ac:dyDescent="0.25">
      <c r="A3795" s="205" t="s">
        <v>4440</v>
      </c>
      <c r="B3795" s="206">
        <v>94703</v>
      </c>
      <c r="C3795" s="207" t="s">
        <v>4448</v>
      </c>
      <c r="D3795" s="208" t="s">
        <v>580</v>
      </c>
      <c r="E3795" s="209">
        <v>13.27</v>
      </c>
      <c r="F3795" s="209">
        <v>6.49</v>
      </c>
      <c r="G3795" s="209">
        <v>19.760000000000002</v>
      </c>
      <c r="H3795" s="198"/>
    </row>
    <row r="3796" spans="1:8" ht="15.75" hidden="1" customHeight="1" x14ac:dyDescent="0.25">
      <c r="A3796" s="205" t="s">
        <v>4440</v>
      </c>
      <c r="B3796" s="206">
        <v>94704</v>
      </c>
      <c r="C3796" s="207" t="s">
        <v>4449</v>
      </c>
      <c r="D3796" s="208" t="s">
        <v>580</v>
      </c>
      <c r="E3796" s="209">
        <v>18.8</v>
      </c>
      <c r="F3796" s="209">
        <v>6.67</v>
      </c>
      <c r="G3796" s="209">
        <v>25.47</v>
      </c>
      <c r="H3796" s="198"/>
    </row>
    <row r="3797" spans="1:8" ht="15.75" hidden="1" customHeight="1" x14ac:dyDescent="0.25">
      <c r="A3797" s="205" t="s">
        <v>4440</v>
      </c>
      <c r="B3797" s="206">
        <v>94705</v>
      </c>
      <c r="C3797" s="207" t="s">
        <v>4450</v>
      </c>
      <c r="D3797" s="208" t="s">
        <v>580</v>
      </c>
      <c r="E3797" s="209">
        <v>26.84</v>
      </c>
      <c r="F3797" s="209">
        <v>6.89</v>
      </c>
      <c r="G3797" s="209">
        <v>33.729999999999997</v>
      </c>
      <c r="H3797" s="198"/>
    </row>
    <row r="3798" spans="1:8" ht="15.75" hidden="1" customHeight="1" x14ac:dyDescent="0.25">
      <c r="A3798" s="205" t="s">
        <v>4440</v>
      </c>
      <c r="B3798" s="206">
        <v>94706</v>
      </c>
      <c r="C3798" s="207" t="s">
        <v>4451</v>
      </c>
      <c r="D3798" s="208" t="s">
        <v>580</v>
      </c>
      <c r="E3798" s="209">
        <v>26.17</v>
      </c>
      <c r="F3798" s="209">
        <v>7.15</v>
      </c>
      <c r="G3798" s="209">
        <v>33.32</v>
      </c>
      <c r="H3798" s="198"/>
    </row>
    <row r="3799" spans="1:8" ht="15.75" hidden="1" customHeight="1" x14ac:dyDescent="0.25">
      <c r="A3799" s="205" t="s">
        <v>4440</v>
      </c>
      <c r="B3799" s="206">
        <v>94707</v>
      </c>
      <c r="C3799" s="207" t="s">
        <v>4452</v>
      </c>
      <c r="D3799" s="208" t="s">
        <v>580</v>
      </c>
      <c r="E3799" s="209">
        <v>43.3</v>
      </c>
      <c r="F3799" s="209">
        <v>7.4</v>
      </c>
      <c r="G3799" s="209">
        <v>50.7</v>
      </c>
      <c r="H3799" s="198"/>
    </row>
    <row r="3800" spans="1:8" ht="15.75" hidden="1" customHeight="1" x14ac:dyDescent="0.25">
      <c r="A3800" s="205" t="s">
        <v>4440</v>
      </c>
      <c r="B3800" s="206">
        <v>94715</v>
      </c>
      <c r="C3800" s="207" t="s">
        <v>4453</v>
      </c>
      <c r="D3800" s="208" t="s">
        <v>580</v>
      </c>
      <c r="E3800" s="209">
        <v>235.51</v>
      </c>
      <c r="F3800" s="209">
        <v>14.79</v>
      </c>
      <c r="G3800" s="209">
        <v>250.3</v>
      </c>
      <c r="H3800" s="198"/>
    </row>
    <row r="3801" spans="1:8" ht="15.75" hidden="1" customHeight="1" x14ac:dyDescent="0.25">
      <c r="A3801" s="205" t="s">
        <v>4440</v>
      </c>
      <c r="B3801" s="206">
        <v>94713</v>
      </c>
      <c r="C3801" s="207" t="s">
        <v>4454</v>
      </c>
      <c r="D3801" s="208" t="s">
        <v>580</v>
      </c>
      <c r="E3801" s="209">
        <v>187.76</v>
      </c>
      <c r="F3801" s="209">
        <v>13.24</v>
      </c>
      <c r="G3801" s="209">
        <v>201</v>
      </c>
      <c r="H3801" s="198"/>
    </row>
    <row r="3802" spans="1:8" ht="15.75" hidden="1" customHeight="1" x14ac:dyDescent="0.25">
      <c r="A3802" s="205" t="s">
        <v>4440</v>
      </c>
      <c r="B3802" s="206">
        <v>94714</v>
      </c>
      <c r="C3802" s="207" t="s">
        <v>4455</v>
      </c>
      <c r="D3802" s="208" t="s">
        <v>580</v>
      </c>
      <c r="E3802" s="209">
        <v>266.02999999999997</v>
      </c>
      <c r="F3802" s="209">
        <v>13.67</v>
      </c>
      <c r="G3802" s="209">
        <v>279.7</v>
      </c>
      <c r="H3802" s="198"/>
    </row>
    <row r="3803" spans="1:8" ht="15.75" hidden="1" customHeight="1" x14ac:dyDescent="0.25">
      <c r="A3803" s="205" t="s">
        <v>4440</v>
      </c>
      <c r="B3803" s="206">
        <v>94656</v>
      </c>
      <c r="C3803" s="207" t="s">
        <v>4456</v>
      </c>
      <c r="D3803" s="208" t="s">
        <v>580</v>
      </c>
      <c r="E3803" s="209">
        <v>2.1</v>
      </c>
      <c r="F3803" s="209">
        <v>1.85</v>
      </c>
      <c r="G3803" s="209">
        <v>3.95</v>
      </c>
      <c r="H3803" s="198"/>
    </row>
    <row r="3804" spans="1:8" ht="15.75" hidden="1" customHeight="1" x14ac:dyDescent="0.25">
      <c r="A3804" s="205" t="s">
        <v>4440</v>
      </c>
      <c r="B3804" s="206">
        <v>94670</v>
      </c>
      <c r="C3804" s="207" t="s">
        <v>4457</v>
      </c>
      <c r="D3804" s="208" t="s">
        <v>580</v>
      </c>
      <c r="E3804" s="209">
        <v>48.5</v>
      </c>
      <c r="F3804" s="209">
        <v>18.21</v>
      </c>
      <c r="G3804" s="209">
        <v>66.709999999999994</v>
      </c>
      <c r="H3804" s="198"/>
    </row>
    <row r="3805" spans="1:8" ht="15.75" hidden="1" customHeight="1" x14ac:dyDescent="0.25">
      <c r="A3805" s="205" t="s">
        <v>4440</v>
      </c>
      <c r="B3805" s="206">
        <v>94658</v>
      </c>
      <c r="C3805" s="207" t="s">
        <v>4458</v>
      </c>
      <c r="D3805" s="208" t="s">
        <v>580</v>
      </c>
      <c r="E3805" s="209">
        <v>3.3</v>
      </c>
      <c r="F3805" s="209">
        <v>2.42</v>
      </c>
      <c r="G3805" s="209">
        <v>5.72</v>
      </c>
      <c r="H3805" s="198"/>
    </row>
    <row r="3806" spans="1:8" ht="15.75" hidden="1" customHeight="1" x14ac:dyDescent="0.25">
      <c r="A3806" s="205" t="s">
        <v>4440</v>
      </c>
      <c r="B3806" s="206">
        <v>94660</v>
      </c>
      <c r="C3806" s="207" t="s">
        <v>4459</v>
      </c>
      <c r="D3806" s="208" t="s">
        <v>580</v>
      </c>
      <c r="E3806" s="209">
        <v>5.47</v>
      </c>
      <c r="F3806" s="209">
        <v>3.24</v>
      </c>
      <c r="G3806" s="209">
        <v>8.7100000000000009</v>
      </c>
      <c r="H3806" s="198"/>
    </row>
    <row r="3807" spans="1:8" ht="15.75" hidden="1" customHeight="1" x14ac:dyDescent="0.25">
      <c r="A3807" s="205" t="s">
        <v>4440</v>
      </c>
      <c r="B3807" s="206">
        <v>94662</v>
      </c>
      <c r="C3807" s="207" t="s">
        <v>4460</v>
      </c>
      <c r="D3807" s="208" t="s">
        <v>580</v>
      </c>
      <c r="E3807" s="209">
        <v>7.08</v>
      </c>
      <c r="F3807" s="209">
        <v>4.53</v>
      </c>
      <c r="G3807" s="209">
        <v>11.61</v>
      </c>
      <c r="H3807" s="198"/>
    </row>
    <row r="3808" spans="1:8" ht="15.75" hidden="1" customHeight="1" x14ac:dyDescent="0.25">
      <c r="A3808" s="205" t="s">
        <v>4440</v>
      </c>
      <c r="B3808" s="206">
        <v>94664</v>
      </c>
      <c r="C3808" s="207" t="s">
        <v>4461</v>
      </c>
      <c r="D3808" s="208" t="s">
        <v>580</v>
      </c>
      <c r="E3808" s="209">
        <v>13.88</v>
      </c>
      <c r="F3808" s="209">
        <v>6.08</v>
      </c>
      <c r="G3808" s="209">
        <v>19.96</v>
      </c>
      <c r="H3808" s="198"/>
    </row>
    <row r="3809" spans="1:8" ht="15.75" hidden="1" customHeight="1" x14ac:dyDescent="0.25">
      <c r="A3809" s="205" t="s">
        <v>4440</v>
      </c>
      <c r="B3809" s="206">
        <v>94666</v>
      </c>
      <c r="C3809" s="207" t="s">
        <v>4462</v>
      </c>
      <c r="D3809" s="208" t="s">
        <v>580</v>
      </c>
      <c r="E3809" s="209">
        <v>22.94</v>
      </c>
      <c r="F3809" s="209">
        <v>8.98</v>
      </c>
      <c r="G3809" s="209">
        <v>31.92</v>
      </c>
      <c r="H3809" s="198"/>
    </row>
    <row r="3810" spans="1:8" ht="15.75" hidden="1" customHeight="1" x14ac:dyDescent="0.25">
      <c r="A3810" s="205" t="s">
        <v>4440</v>
      </c>
      <c r="B3810" s="206">
        <v>94668</v>
      </c>
      <c r="C3810" s="207" t="s">
        <v>4463</v>
      </c>
      <c r="D3810" s="208" t="s">
        <v>580</v>
      </c>
      <c r="E3810" s="209">
        <v>30.77</v>
      </c>
      <c r="F3810" s="209">
        <v>11.27</v>
      </c>
      <c r="G3810" s="209">
        <v>42.04</v>
      </c>
      <c r="H3810" s="198"/>
    </row>
    <row r="3811" spans="1:8" ht="15.75" hidden="1" customHeight="1" x14ac:dyDescent="0.25">
      <c r="A3811" s="205" t="s">
        <v>4440</v>
      </c>
      <c r="B3811" s="206">
        <v>105215</v>
      </c>
      <c r="C3811" s="207" t="s">
        <v>4464</v>
      </c>
      <c r="D3811" s="208" t="s">
        <v>580</v>
      </c>
      <c r="E3811" s="209">
        <v>8.77</v>
      </c>
      <c r="F3811" s="209">
        <v>1.86</v>
      </c>
      <c r="G3811" s="209">
        <v>10.63</v>
      </c>
      <c r="H3811" s="198"/>
    </row>
    <row r="3812" spans="1:8" ht="15.75" hidden="1" customHeight="1" x14ac:dyDescent="0.25">
      <c r="A3812" s="205" t="s">
        <v>4440</v>
      </c>
      <c r="B3812" s="206">
        <v>105216</v>
      </c>
      <c r="C3812" s="207" t="s">
        <v>4465</v>
      </c>
      <c r="D3812" s="208" t="s">
        <v>580</v>
      </c>
      <c r="E3812" s="209">
        <v>36.65</v>
      </c>
      <c r="F3812" s="209">
        <v>2.4</v>
      </c>
      <c r="G3812" s="209">
        <v>39.049999999999997</v>
      </c>
      <c r="H3812" s="198"/>
    </row>
    <row r="3813" spans="1:8" ht="15.75" hidden="1" customHeight="1" x14ac:dyDescent="0.25">
      <c r="A3813" s="205" t="s">
        <v>4440</v>
      </c>
      <c r="B3813" s="206">
        <v>105217</v>
      </c>
      <c r="C3813" s="207" t="s">
        <v>4466</v>
      </c>
      <c r="D3813" s="208" t="s">
        <v>580</v>
      </c>
      <c r="E3813" s="209">
        <v>41.41</v>
      </c>
      <c r="F3813" s="209">
        <v>2.5499999999999998</v>
      </c>
      <c r="G3813" s="209">
        <v>43.96</v>
      </c>
      <c r="H3813" s="198"/>
    </row>
    <row r="3814" spans="1:8" ht="15.75" hidden="1" customHeight="1" x14ac:dyDescent="0.25">
      <c r="A3814" s="205" t="s">
        <v>4440</v>
      </c>
      <c r="B3814" s="206">
        <v>105214</v>
      </c>
      <c r="C3814" s="207" t="s">
        <v>4467</v>
      </c>
      <c r="D3814" s="208" t="s">
        <v>580</v>
      </c>
      <c r="E3814" s="209">
        <v>42.52</v>
      </c>
      <c r="F3814" s="209">
        <v>3.6</v>
      </c>
      <c r="G3814" s="209">
        <v>46.12</v>
      </c>
      <c r="H3814" s="198"/>
    </row>
    <row r="3815" spans="1:8" ht="15.75" hidden="1" customHeight="1" x14ac:dyDescent="0.25">
      <c r="A3815" s="205" t="s">
        <v>4440</v>
      </c>
      <c r="B3815" s="206">
        <v>105218</v>
      </c>
      <c r="C3815" s="207" t="s">
        <v>4468</v>
      </c>
      <c r="D3815" s="208" t="s">
        <v>580</v>
      </c>
      <c r="E3815" s="209">
        <v>72.23</v>
      </c>
      <c r="F3815" s="209">
        <v>3.92</v>
      </c>
      <c r="G3815" s="209">
        <v>76.150000000000006</v>
      </c>
      <c r="H3815" s="198"/>
    </row>
    <row r="3816" spans="1:8" ht="15.75" hidden="1" customHeight="1" x14ac:dyDescent="0.25">
      <c r="A3816" s="205" t="s">
        <v>4440</v>
      </c>
      <c r="B3816" s="206">
        <v>105213</v>
      </c>
      <c r="C3816" s="207" t="s">
        <v>4469</v>
      </c>
      <c r="D3816" s="208" t="s">
        <v>580</v>
      </c>
      <c r="E3816" s="209">
        <v>178.37</v>
      </c>
      <c r="F3816" s="209">
        <v>20.23</v>
      </c>
      <c r="G3816" s="209">
        <v>198.6</v>
      </c>
      <c r="H3816" s="198"/>
    </row>
    <row r="3817" spans="1:8" ht="15.75" hidden="1" customHeight="1" x14ac:dyDescent="0.25">
      <c r="A3817" s="205" t="s">
        <v>4440</v>
      </c>
      <c r="B3817" s="206">
        <v>105233</v>
      </c>
      <c r="C3817" s="207" t="s">
        <v>4470</v>
      </c>
      <c r="D3817" s="208" t="s">
        <v>580</v>
      </c>
      <c r="E3817" s="209">
        <v>5.61</v>
      </c>
      <c r="F3817" s="209">
        <v>2.5499999999999998</v>
      </c>
      <c r="G3817" s="209">
        <v>8.16</v>
      </c>
      <c r="H3817" s="198"/>
    </row>
    <row r="3818" spans="1:8" ht="15.75" hidden="1" customHeight="1" x14ac:dyDescent="0.25">
      <c r="A3818" s="205" t="s">
        <v>4440</v>
      </c>
      <c r="B3818" s="206">
        <v>105234</v>
      </c>
      <c r="C3818" s="207" t="s">
        <v>4471</v>
      </c>
      <c r="D3818" s="208" t="s">
        <v>580</v>
      </c>
      <c r="E3818" s="209">
        <v>6.86</v>
      </c>
      <c r="F3818" s="209">
        <v>3.18</v>
      </c>
      <c r="G3818" s="209">
        <v>10.039999999999999</v>
      </c>
      <c r="H3818" s="198"/>
    </row>
    <row r="3819" spans="1:8" ht="15.75" hidden="1" customHeight="1" x14ac:dyDescent="0.25">
      <c r="A3819" s="205" t="s">
        <v>4440</v>
      </c>
      <c r="B3819" s="206">
        <v>105228</v>
      </c>
      <c r="C3819" s="207" t="s">
        <v>4472</v>
      </c>
      <c r="D3819" s="208" t="s">
        <v>580</v>
      </c>
      <c r="E3819" s="209">
        <v>8.41</v>
      </c>
      <c r="F3819" s="209">
        <v>3.48</v>
      </c>
      <c r="G3819" s="209">
        <v>11.89</v>
      </c>
      <c r="H3819" s="198"/>
    </row>
    <row r="3820" spans="1:8" ht="15.75" hidden="1" customHeight="1" x14ac:dyDescent="0.25">
      <c r="A3820" s="205" t="s">
        <v>4440</v>
      </c>
      <c r="B3820" s="206">
        <v>105138</v>
      </c>
      <c r="C3820" s="207" t="s">
        <v>4473</v>
      </c>
      <c r="D3820" s="208" t="s">
        <v>580</v>
      </c>
      <c r="E3820" s="209">
        <v>12.63</v>
      </c>
      <c r="F3820" s="209">
        <v>3.97</v>
      </c>
      <c r="G3820" s="209">
        <v>16.600000000000001</v>
      </c>
      <c r="H3820" s="198"/>
    </row>
    <row r="3821" spans="1:8" ht="15.75" hidden="1" customHeight="1" x14ac:dyDescent="0.25">
      <c r="A3821" s="205" t="s">
        <v>4440</v>
      </c>
      <c r="B3821" s="206">
        <v>105139</v>
      </c>
      <c r="C3821" s="207" t="s">
        <v>4474</v>
      </c>
      <c r="D3821" s="208" t="s">
        <v>580</v>
      </c>
      <c r="E3821" s="209">
        <v>15.02</v>
      </c>
      <c r="F3821" s="209">
        <v>4.2699999999999996</v>
      </c>
      <c r="G3821" s="209">
        <v>19.29</v>
      </c>
      <c r="H3821" s="198"/>
    </row>
    <row r="3822" spans="1:8" ht="15.75" hidden="1" customHeight="1" x14ac:dyDescent="0.25">
      <c r="A3822" s="205" t="s">
        <v>4440</v>
      </c>
      <c r="B3822" s="206">
        <v>105140</v>
      </c>
      <c r="C3822" s="207" t="s">
        <v>4475</v>
      </c>
      <c r="D3822" s="208" t="s">
        <v>580</v>
      </c>
      <c r="E3822" s="209">
        <v>19.399999999999999</v>
      </c>
      <c r="F3822" s="209">
        <v>5.31</v>
      </c>
      <c r="G3822" s="209">
        <v>24.71</v>
      </c>
      <c r="H3822" s="198"/>
    </row>
    <row r="3823" spans="1:8" ht="15.75" hidden="1" customHeight="1" x14ac:dyDescent="0.25">
      <c r="A3823" s="205" t="s">
        <v>4440</v>
      </c>
      <c r="B3823" s="206">
        <v>105141</v>
      </c>
      <c r="C3823" s="207" t="s">
        <v>4476</v>
      </c>
      <c r="D3823" s="208" t="s">
        <v>580</v>
      </c>
      <c r="E3823" s="209">
        <v>22.92</v>
      </c>
      <c r="F3823" s="209">
        <v>6.75</v>
      </c>
      <c r="G3823" s="209">
        <v>29.67</v>
      </c>
      <c r="H3823" s="198"/>
    </row>
    <row r="3824" spans="1:8" ht="15.75" hidden="1" customHeight="1" x14ac:dyDescent="0.25">
      <c r="A3824" s="205" t="s">
        <v>4440</v>
      </c>
      <c r="B3824" s="206">
        <v>105172</v>
      </c>
      <c r="C3824" s="207" t="s">
        <v>4477</v>
      </c>
      <c r="D3824" s="208" t="s">
        <v>580</v>
      </c>
      <c r="E3824" s="209">
        <v>80.84</v>
      </c>
      <c r="F3824" s="209">
        <v>18.100000000000001</v>
      </c>
      <c r="G3824" s="209">
        <v>98.94</v>
      </c>
      <c r="H3824" s="198"/>
    </row>
    <row r="3825" spans="1:8" ht="15.75" hidden="1" customHeight="1" x14ac:dyDescent="0.25">
      <c r="A3825" s="205" t="s">
        <v>4440</v>
      </c>
      <c r="B3825" s="206">
        <v>105169</v>
      </c>
      <c r="C3825" s="207" t="s">
        <v>4478</v>
      </c>
      <c r="D3825" s="208" t="s">
        <v>580</v>
      </c>
      <c r="E3825" s="209">
        <v>79.69</v>
      </c>
      <c r="F3825" s="209">
        <v>19.38</v>
      </c>
      <c r="G3825" s="209">
        <v>99.07</v>
      </c>
      <c r="H3825" s="198"/>
    </row>
    <row r="3826" spans="1:8" ht="15.75" hidden="1" customHeight="1" x14ac:dyDescent="0.25">
      <c r="A3826" s="205" t="s">
        <v>4440</v>
      </c>
      <c r="B3826" s="206">
        <v>105230</v>
      </c>
      <c r="C3826" s="207" t="s">
        <v>4479</v>
      </c>
      <c r="D3826" s="208" t="s">
        <v>580</v>
      </c>
      <c r="E3826" s="209">
        <v>6.3</v>
      </c>
      <c r="F3826" s="209">
        <v>3.41</v>
      </c>
      <c r="G3826" s="209">
        <v>9.7100000000000009</v>
      </c>
      <c r="H3826" s="198"/>
    </row>
    <row r="3827" spans="1:8" ht="15.75" hidden="1" customHeight="1" x14ac:dyDescent="0.25">
      <c r="A3827" s="205" t="s">
        <v>4440</v>
      </c>
      <c r="B3827" s="206">
        <v>105231</v>
      </c>
      <c r="C3827" s="207" t="s">
        <v>4480</v>
      </c>
      <c r="D3827" s="208" t="s">
        <v>580</v>
      </c>
      <c r="E3827" s="209">
        <v>7.55</v>
      </c>
      <c r="F3827" s="209">
        <v>3.87</v>
      </c>
      <c r="G3827" s="209">
        <v>11.42</v>
      </c>
      <c r="H3827" s="198"/>
    </row>
    <row r="3828" spans="1:8" ht="15.75" hidden="1" customHeight="1" x14ac:dyDescent="0.25">
      <c r="A3828" s="205" t="s">
        <v>4440</v>
      </c>
      <c r="B3828" s="206">
        <v>105232</v>
      </c>
      <c r="C3828" s="207" t="s">
        <v>4481</v>
      </c>
      <c r="D3828" s="208" t="s">
        <v>580</v>
      </c>
      <c r="E3828" s="209">
        <v>17.54</v>
      </c>
      <c r="F3828" s="209">
        <v>4.2699999999999996</v>
      </c>
      <c r="G3828" s="209">
        <v>21.81</v>
      </c>
      <c r="H3828" s="198"/>
    </row>
    <row r="3829" spans="1:8" ht="15.75" hidden="1" customHeight="1" x14ac:dyDescent="0.25">
      <c r="A3829" s="205" t="s">
        <v>4440</v>
      </c>
      <c r="B3829" s="206">
        <v>105229</v>
      </c>
      <c r="C3829" s="207" t="s">
        <v>4482</v>
      </c>
      <c r="D3829" s="208" t="s">
        <v>580</v>
      </c>
      <c r="E3829" s="209">
        <v>29.7</v>
      </c>
      <c r="F3829" s="209">
        <v>4.9000000000000004</v>
      </c>
      <c r="G3829" s="209">
        <v>34.6</v>
      </c>
      <c r="H3829" s="198"/>
    </row>
    <row r="3830" spans="1:8" ht="15.75" hidden="1" customHeight="1" x14ac:dyDescent="0.25">
      <c r="A3830" s="205" t="s">
        <v>4440</v>
      </c>
      <c r="B3830" s="206">
        <v>105146</v>
      </c>
      <c r="C3830" s="207" t="s">
        <v>4483</v>
      </c>
      <c r="D3830" s="208" t="s">
        <v>580</v>
      </c>
      <c r="E3830" s="209">
        <v>22.73</v>
      </c>
      <c r="F3830" s="209">
        <v>5.2</v>
      </c>
      <c r="G3830" s="209">
        <v>27.93</v>
      </c>
      <c r="H3830" s="198"/>
    </row>
    <row r="3831" spans="1:8" ht="15.75" hidden="1" customHeight="1" x14ac:dyDescent="0.25">
      <c r="A3831" s="205" t="s">
        <v>4440</v>
      </c>
      <c r="B3831" s="206">
        <v>96738</v>
      </c>
      <c r="C3831" s="207" t="s">
        <v>4484</v>
      </c>
      <c r="D3831" s="208" t="s">
        <v>580</v>
      </c>
      <c r="E3831" s="209">
        <v>25.39</v>
      </c>
      <c r="F3831" s="209">
        <v>3.58</v>
      </c>
      <c r="G3831" s="209">
        <v>28.97</v>
      </c>
      <c r="H3831" s="198"/>
    </row>
    <row r="3832" spans="1:8" ht="15.75" hidden="1" customHeight="1" x14ac:dyDescent="0.25">
      <c r="A3832" s="205" t="s">
        <v>4440</v>
      </c>
      <c r="B3832" s="206">
        <v>96740</v>
      </c>
      <c r="C3832" s="207" t="s">
        <v>4485</v>
      </c>
      <c r="D3832" s="208" t="s">
        <v>580</v>
      </c>
      <c r="E3832" s="209">
        <v>35.979999999999997</v>
      </c>
      <c r="F3832" s="209">
        <v>4.1399999999999997</v>
      </c>
      <c r="G3832" s="209">
        <v>40.119999999999997</v>
      </c>
      <c r="H3832" s="198"/>
    </row>
    <row r="3833" spans="1:8" ht="15.75" hidden="1" customHeight="1" x14ac:dyDescent="0.25">
      <c r="A3833" s="205" t="s">
        <v>4440</v>
      </c>
      <c r="B3833" s="206">
        <v>94738</v>
      </c>
      <c r="C3833" s="207" t="s">
        <v>4486</v>
      </c>
      <c r="D3833" s="208" t="s">
        <v>580</v>
      </c>
      <c r="E3833" s="209">
        <v>1782.62</v>
      </c>
      <c r="F3833" s="209">
        <v>19.46</v>
      </c>
      <c r="G3833" s="209">
        <v>1802.08</v>
      </c>
      <c r="H3833" s="198"/>
    </row>
    <row r="3834" spans="1:8" ht="15.75" hidden="1" customHeight="1" x14ac:dyDescent="0.25">
      <c r="A3834" s="205" t="s">
        <v>4440</v>
      </c>
      <c r="B3834" s="206">
        <v>94724</v>
      </c>
      <c r="C3834" s="207" t="s">
        <v>4487</v>
      </c>
      <c r="D3834" s="208" t="s">
        <v>580</v>
      </c>
      <c r="E3834" s="209">
        <v>27.13</v>
      </c>
      <c r="F3834" s="209">
        <v>1.66</v>
      </c>
      <c r="G3834" s="209">
        <v>28.79</v>
      </c>
      <c r="H3834" s="198"/>
    </row>
    <row r="3835" spans="1:8" ht="15.75" hidden="1" customHeight="1" x14ac:dyDescent="0.25">
      <c r="A3835" s="205" t="s">
        <v>4440</v>
      </c>
      <c r="B3835" s="206">
        <v>94726</v>
      </c>
      <c r="C3835" s="207" t="s">
        <v>4488</v>
      </c>
      <c r="D3835" s="208" t="s">
        <v>580</v>
      </c>
      <c r="E3835" s="209">
        <v>35</v>
      </c>
      <c r="F3835" s="209">
        <v>2.08</v>
      </c>
      <c r="G3835" s="209">
        <v>37.08</v>
      </c>
      <c r="H3835" s="198"/>
    </row>
    <row r="3836" spans="1:8" ht="15.75" hidden="1" customHeight="1" x14ac:dyDescent="0.25">
      <c r="A3836" s="205" t="s">
        <v>4440</v>
      </c>
      <c r="B3836" s="206">
        <v>94728</v>
      </c>
      <c r="C3836" s="207" t="s">
        <v>4489</v>
      </c>
      <c r="D3836" s="208" t="s">
        <v>580</v>
      </c>
      <c r="E3836" s="209">
        <v>55.06</v>
      </c>
      <c r="F3836" s="209">
        <v>2.72</v>
      </c>
      <c r="G3836" s="209">
        <v>57.78</v>
      </c>
      <c r="H3836" s="198"/>
    </row>
    <row r="3837" spans="1:8" ht="15.75" hidden="1" customHeight="1" x14ac:dyDescent="0.25">
      <c r="A3837" s="205" t="s">
        <v>4440</v>
      </c>
      <c r="B3837" s="206">
        <v>94730</v>
      </c>
      <c r="C3837" s="207" t="s">
        <v>4490</v>
      </c>
      <c r="D3837" s="208" t="s">
        <v>580</v>
      </c>
      <c r="E3837" s="209">
        <v>67.400000000000006</v>
      </c>
      <c r="F3837" s="209">
        <v>3.47</v>
      </c>
      <c r="G3837" s="209">
        <v>70.87</v>
      </c>
      <c r="H3837" s="198"/>
    </row>
    <row r="3838" spans="1:8" ht="15.75" hidden="1" customHeight="1" x14ac:dyDescent="0.25">
      <c r="A3838" s="205" t="s">
        <v>4440</v>
      </c>
      <c r="B3838" s="206">
        <v>94732</v>
      </c>
      <c r="C3838" s="207" t="s">
        <v>4491</v>
      </c>
      <c r="D3838" s="208" t="s">
        <v>580</v>
      </c>
      <c r="E3838" s="209">
        <v>108.43</v>
      </c>
      <c r="F3838" s="209">
        <v>5.12</v>
      </c>
      <c r="G3838" s="209">
        <v>113.55</v>
      </c>
      <c r="H3838" s="198"/>
    </row>
    <row r="3839" spans="1:8" ht="15.75" hidden="1" customHeight="1" x14ac:dyDescent="0.25">
      <c r="A3839" s="205" t="s">
        <v>4440</v>
      </c>
      <c r="B3839" s="206">
        <v>94734</v>
      </c>
      <c r="C3839" s="207" t="s">
        <v>4492</v>
      </c>
      <c r="D3839" s="208" t="s">
        <v>580</v>
      </c>
      <c r="E3839" s="209">
        <v>403.74</v>
      </c>
      <c r="F3839" s="209">
        <v>8.57</v>
      </c>
      <c r="G3839" s="209">
        <v>412.31</v>
      </c>
      <c r="H3839" s="198"/>
    </row>
    <row r="3840" spans="1:8" ht="15.75" hidden="1" customHeight="1" x14ac:dyDescent="0.25">
      <c r="A3840" s="205" t="s">
        <v>4440</v>
      </c>
      <c r="B3840" s="206">
        <v>94736</v>
      </c>
      <c r="C3840" s="207" t="s">
        <v>4493</v>
      </c>
      <c r="D3840" s="208" t="s">
        <v>580</v>
      </c>
      <c r="E3840" s="209">
        <v>587.12</v>
      </c>
      <c r="F3840" s="209">
        <v>12.28</v>
      </c>
      <c r="G3840" s="209">
        <v>599.4</v>
      </c>
      <c r="H3840" s="198"/>
    </row>
    <row r="3841" spans="1:8" ht="15.75" hidden="1" customHeight="1" x14ac:dyDescent="0.25">
      <c r="A3841" s="205" t="s">
        <v>4440</v>
      </c>
      <c r="B3841" s="206">
        <v>94483</v>
      </c>
      <c r="C3841" s="207" t="s">
        <v>4494</v>
      </c>
      <c r="D3841" s="208" t="s">
        <v>580</v>
      </c>
      <c r="E3841" s="209">
        <v>1027.69</v>
      </c>
      <c r="F3841" s="209">
        <v>426.31</v>
      </c>
      <c r="G3841" s="209">
        <v>1454</v>
      </c>
      <c r="H3841" s="198"/>
    </row>
    <row r="3842" spans="1:8" ht="15.75" hidden="1" customHeight="1" x14ac:dyDescent="0.25">
      <c r="A3842" s="205" t="s">
        <v>4440</v>
      </c>
      <c r="B3842" s="206">
        <v>94482</v>
      </c>
      <c r="C3842" s="207" t="s">
        <v>4495</v>
      </c>
      <c r="D3842" s="208" t="s">
        <v>580</v>
      </c>
      <c r="E3842" s="209">
        <v>1279.3800000000001</v>
      </c>
      <c r="F3842" s="209">
        <v>446.24</v>
      </c>
      <c r="G3842" s="209">
        <v>1725.62</v>
      </c>
      <c r="H3842" s="198"/>
    </row>
    <row r="3843" spans="1:8" ht="15.75" hidden="1" customHeight="1" x14ac:dyDescent="0.25">
      <c r="A3843" s="205" t="s">
        <v>4440</v>
      </c>
      <c r="B3843" s="206">
        <v>94481</v>
      </c>
      <c r="C3843" s="207" t="s">
        <v>4496</v>
      </c>
      <c r="D3843" s="208" t="s">
        <v>580</v>
      </c>
      <c r="E3843" s="209">
        <v>1714.98</v>
      </c>
      <c r="F3843" s="209">
        <v>470.54</v>
      </c>
      <c r="G3843" s="209">
        <v>2185.52</v>
      </c>
      <c r="H3843" s="198"/>
    </row>
    <row r="3844" spans="1:8" ht="15.75" hidden="1" customHeight="1" x14ac:dyDescent="0.25">
      <c r="A3844" s="205" t="s">
        <v>4440</v>
      </c>
      <c r="B3844" s="206">
        <v>94480</v>
      </c>
      <c r="C3844" s="207" t="s">
        <v>4497</v>
      </c>
      <c r="D3844" s="208" t="s">
        <v>580</v>
      </c>
      <c r="E3844" s="209">
        <v>2565.02</v>
      </c>
      <c r="F3844" s="209">
        <v>504.28</v>
      </c>
      <c r="G3844" s="209">
        <v>3069.3</v>
      </c>
      <c r="H3844" s="198"/>
    </row>
    <row r="3845" spans="1:8" ht="15.75" hidden="1" customHeight="1" x14ac:dyDescent="0.25">
      <c r="A3845" s="205" t="s">
        <v>4440</v>
      </c>
      <c r="B3845" s="206">
        <v>94472</v>
      </c>
      <c r="C3845" s="207" t="s">
        <v>4498</v>
      </c>
      <c r="D3845" s="208" t="s">
        <v>580</v>
      </c>
      <c r="E3845" s="209">
        <v>67.06</v>
      </c>
      <c r="F3845" s="209">
        <v>22.82</v>
      </c>
      <c r="G3845" s="209">
        <v>89.88</v>
      </c>
      <c r="H3845" s="198"/>
    </row>
    <row r="3846" spans="1:8" ht="15.75" hidden="1" customHeight="1" x14ac:dyDescent="0.25">
      <c r="A3846" s="205" t="s">
        <v>4440</v>
      </c>
      <c r="B3846" s="206">
        <v>94474</v>
      </c>
      <c r="C3846" s="207" t="s">
        <v>4499</v>
      </c>
      <c r="D3846" s="208" t="s">
        <v>580</v>
      </c>
      <c r="E3846" s="209">
        <v>122.96</v>
      </c>
      <c r="F3846" s="209">
        <v>26.67</v>
      </c>
      <c r="G3846" s="209">
        <v>149.63</v>
      </c>
      <c r="H3846" s="198"/>
    </row>
    <row r="3847" spans="1:8" ht="15.75" hidden="1" customHeight="1" x14ac:dyDescent="0.25">
      <c r="A3847" s="205" t="s">
        <v>4440</v>
      </c>
      <c r="B3847" s="206">
        <v>94476</v>
      </c>
      <c r="C3847" s="207" t="s">
        <v>4500</v>
      </c>
      <c r="D3847" s="208" t="s">
        <v>580</v>
      </c>
      <c r="E3847" s="209">
        <v>176.82</v>
      </c>
      <c r="F3847" s="209">
        <v>31.49</v>
      </c>
      <c r="G3847" s="209">
        <v>208.31</v>
      </c>
      <c r="H3847" s="198"/>
    </row>
    <row r="3848" spans="1:8" ht="15.75" hidden="1" customHeight="1" x14ac:dyDescent="0.25">
      <c r="A3848" s="205" t="s">
        <v>4440</v>
      </c>
      <c r="B3848" s="206">
        <v>94471</v>
      </c>
      <c r="C3848" s="207" t="s">
        <v>4501</v>
      </c>
      <c r="D3848" s="208" t="s">
        <v>580</v>
      </c>
      <c r="E3848" s="209">
        <v>64.510000000000005</v>
      </c>
      <c r="F3848" s="209">
        <v>22.82</v>
      </c>
      <c r="G3848" s="209">
        <v>87.33</v>
      </c>
      <c r="H3848" s="198"/>
    </row>
    <row r="3849" spans="1:8" ht="15.75" hidden="1" customHeight="1" x14ac:dyDescent="0.25">
      <c r="A3849" s="205" t="s">
        <v>4440</v>
      </c>
      <c r="B3849" s="206">
        <v>94473</v>
      </c>
      <c r="C3849" s="207" t="s">
        <v>4502</v>
      </c>
      <c r="D3849" s="208" t="s">
        <v>580</v>
      </c>
      <c r="E3849" s="209">
        <v>111.72</v>
      </c>
      <c r="F3849" s="209">
        <v>26.68</v>
      </c>
      <c r="G3849" s="209">
        <v>138.4</v>
      </c>
      <c r="H3849" s="198"/>
    </row>
    <row r="3850" spans="1:8" ht="15.75" hidden="1" customHeight="1" x14ac:dyDescent="0.25">
      <c r="A3850" s="205" t="s">
        <v>4440</v>
      </c>
      <c r="B3850" s="206">
        <v>94475</v>
      </c>
      <c r="C3850" s="207" t="s">
        <v>4503</v>
      </c>
      <c r="D3850" s="208" t="s">
        <v>580</v>
      </c>
      <c r="E3850" s="209">
        <v>155.18</v>
      </c>
      <c r="F3850" s="209">
        <v>31.49</v>
      </c>
      <c r="G3850" s="209">
        <v>186.67</v>
      </c>
      <c r="H3850" s="198"/>
    </row>
    <row r="3851" spans="1:8" ht="15.75" hidden="1" customHeight="1" x14ac:dyDescent="0.25">
      <c r="A3851" s="205" t="s">
        <v>4440</v>
      </c>
      <c r="B3851" s="206">
        <v>105194</v>
      </c>
      <c r="C3851" s="207" t="s">
        <v>4504</v>
      </c>
      <c r="D3851" s="208" t="s">
        <v>580</v>
      </c>
      <c r="E3851" s="209">
        <v>74.05</v>
      </c>
      <c r="F3851" s="209">
        <v>22.83</v>
      </c>
      <c r="G3851" s="209">
        <v>96.88</v>
      </c>
      <c r="H3851" s="198"/>
    </row>
    <row r="3852" spans="1:8" ht="15.75" hidden="1" customHeight="1" x14ac:dyDescent="0.25">
      <c r="A3852" s="205" t="s">
        <v>4440</v>
      </c>
      <c r="B3852" s="206">
        <v>105195</v>
      </c>
      <c r="C3852" s="207" t="s">
        <v>4505</v>
      </c>
      <c r="D3852" s="208" t="s">
        <v>580</v>
      </c>
      <c r="E3852" s="209">
        <v>213.26</v>
      </c>
      <c r="F3852" s="209">
        <v>31.5</v>
      </c>
      <c r="G3852" s="209">
        <v>244.76</v>
      </c>
      <c r="H3852" s="198"/>
    </row>
    <row r="3853" spans="1:8" ht="15.75" hidden="1" customHeight="1" x14ac:dyDescent="0.25">
      <c r="A3853" s="205" t="s">
        <v>4440</v>
      </c>
      <c r="B3853" s="206">
        <v>105178</v>
      </c>
      <c r="C3853" s="207" t="s">
        <v>4506</v>
      </c>
      <c r="D3853" s="208" t="s">
        <v>580</v>
      </c>
      <c r="E3853" s="209">
        <v>129.88</v>
      </c>
      <c r="F3853" s="209">
        <v>24.75</v>
      </c>
      <c r="G3853" s="209">
        <v>154.63</v>
      </c>
      <c r="H3853" s="198"/>
    </row>
    <row r="3854" spans="1:8" ht="15.75" hidden="1" customHeight="1" x14ac:dyDescent="0.25">
      <c r="A3854" s="205" t="s">
        <v>4440</v>
      </c>
      <c r="B3854" s="206">
        <v>94620</v>
      </c>
      <c r="C3854" s="207" t="s">
        <v>4507</v>
      </c>
      <c r="D3854" s="208" t="s">
        <v>580</v>
      </c>
      <c r="E3854" s="209">
        <v>866.84</v>
      </c>
      <c r="F3854" s="209">
        <v>35.08</v>
      </c>
      <c r="G3854" s="209">
        <v>901.92</v>
      </c>
      <c r="H3854" s="198"/>
    </row>
    <row r="3855" spans="1:8" ht="15.75" hidden="1" customHeight="1" x14ac:dyDescent="0.25">
      <c r="A3855" s="205" t="s">
        <v>4440</v>
      </c>
      <c r="B3855" s="206">
        <v>94614</v>
      </c>
      <c r="C3855" s="207" t="s">
        <v>4508</v>
      </c>
      <c r="D3855" s="208" t="s">
        <v>580</v>
      </c>
      <c r="E3855" s="209">
        <v>120.25</v>
      </c>
      <c r="F3855" s="209">
        <v>29.72</v>
      </c>
      <c r="G3855" s="209">
        <v>149.97</v>
      </c>
      <c r="H3855" s="198"/>
    </row>
    <row r="3856" spans="1:8" ht="15.75" hidden="1" customHeight="1" x14ac:dyDescent="0.25">
      <c r="A3856" s="205" t="s">
        <v>4440</v>
      </c>
      <c r="B3856" s="206">
        <v>94616</v>
      </c>
      <c r="C3856" s="207" t="s">
        <v>4509</v>
      </c>
      <c r="D3856" s="208" t="s">
        <v>580</v>
      </c>
      <c r="E3856" s="209">
        <v>375.26</v>
      </c>
      <c r="F3856" s="209">
        <v>30.99</v>
      </c>
      <c r="G3856" s="209">
        <v>406.25</v>
      </c>
      <c r="H3856" s="198"/>
    </row>
    <row r="3857" spans="1:8" ht="15.75" hidden="1" customHeight="1" x14ac:dyDescent="0.25">
      <c r="A3857" s="205" t="s">
        <v>4440</v>
      </c>
      <c r="B3857" s="206">
        <v>94618</v>
      </c>
      <c r="C3857" s="207" t="s">
        <v>4510</v>
      </c>
      <c r="D3857" s="208" t="s">
        <v>580</v>
      </c>
      <c r="E3857" s="209">
        <v>363.09</v>
      </c>
      <c r="F3857" s="209">
        <v>32.380000000000003</v>
      </c>
      <c r="G3857" s="209">
        <v>395.47</v>
      </c>
      <c r="H3857" s="198"/>
    </row>
    <row r="3858" spans="1:8" ht="15.75" hidden="1" customHeight="1" x14ac:dyDescent="0.25">
      <c r="A3858" s="205" t="s">
        <v>4440</v>
      </c>
      <c r="B3858" s="206">
        <v>105193</v>
      </c>
      <c r="C3858" s="207" t="s">
        <v>4511</v>
      </c>
      <c r="D3858" s="208" t="s">
        <v>580</v>
      </c>
      <c r="E3858" s="209">
        <v>142.55000000000001</v>
      </c>
      <c r="F3858" s="209">
        <v>26.68</v>
      </c>
      <c r="G3858" s="209">
        <v>169.23</v>
      </c>
      <c r="H3858" s="198"/>
    </row>
    <row r="3859" spans="1:8" ht="15.75" hidden="1" customHeight="1" x14ac:dyDescent="0.25">
      <c r="A3859" s="205" t="s">
        <v>4440</v>
      </c>
      <c r="B3859" s="206">
        <v>105197</v>
      </c>
      <c r="C3859" s="207" t="s">
        <v>4512</v>
      </c>
      <c r="D3859" s="208" t="s">
        <v>580</v>
      </c>
      <c r="E3859" s="209">
        <v>157.12</v>
      </c>
      <c r="F3859" s="209">
        <v>22.83</v>
      </c>
      <c r="G3859" s="209">
        <v>179.95</v>
      </c>
      <c r="H3859" s="198"/>
    </row>
    <row r="3860" spans="1:8" ht="15.75" hidden="1" customHeight="1" x14ac:dyDescent="0.25">
      <c r="A3860" s="205" t="s">
        <v>4440</v>
      </c>
      <c r="B3860" s="206">
        <v>105196</v>
      </c>
      <c r="C3860" s="207" t="s">
        <v>4513</v>
      </c>
      <c r="D3860" s="208" t="s">
        <v>580</v>
      </c>
      <c r="E3860" s="209">
        <v>233.8</v>
      </c>
      <c r="F3860" s="209">
        <v>26.67</v>
      </c>
      <c r="G3860" s="209">
        <v>260.47000000000003</v>
      </c>
      <c r="H3860" s="198"/>
    </row>
    <row r="3861" spans="1:8" ht="15.75" hidden="1" customHeight="1" x14ac:dyDescent="0.25">
      <c r="A3861" s="205" t="s">
        <v>4440</v>
      </c>
      <c r="B3861" s="206">
        <v>105198</v>
      </c>
      <c r="C3861" s="207" t="s">
        <v>4514</v>
      </c>
      <c r="D3861" s="208" t="s">
        <v>580</v>
      </c>
      <c r="E3861" s="209">
        <v>337.17</v>
      </c>
      <c r="F3861" s="209">
        <v>31.48</v>
      </c>
      <c r="G3861" s="209">
        <v>368.65</v>
      </c>
      <c r="H3861" s="198"/>
    </row>
    <row r="3862" spans="1:8" ht="15.75" hidden="1" customHeight="1" x14ac:dyDescent="0.25">
      <c r="A3862" s="205" t="s">
        <v>4440</v>
      </c>
      <c r="B3862" s="206">
        <v>105200</v>
      </c>
      <c r="C3862" s="207" t="s">
        <v>4515</v>
      </c>
      <c r="D3862" s="208" t="s">
        <v>580</v>
      </c>
      <c r="E3862" s="209">
        <v>119.75</v>
      </c>
      <c r="F3862" s="209">
        <v>22.82</v>
      </c>
      <c r="G3862" s="209">
        <v>142.57</v>
      </c>
      <c r="H3862" s="198"/>
    </row>
    <row r="3863" spans="1:8" ht="15.75" hidden="1" customHeight="1" x14ac:dyDescent="0.25">
      <c r="A3863" s="205" t="s">
        <v>4440</v>
      </c>
      <c r="B3863" s="206">
        <v>105199</v>
      </c>
      <c r="C3863" s="207" t="s">
        <v>4516</v>
      </c>
      <c r="D3863" s="208" t="s">
        <v>580</v>
      </c>
      <c r="E3863" s="209">
        <v>210.35</v>
      </c>
      <c r="F3863" s="209">
        <v>26.69</v>
      </c>
      <c r="G3863" s="209">
        <v>237.04</v>
      </c>
      <c r="H3863" s="198"/>
    </row>
    <row r="3864" spans="1:8" ht="15.75" hidden="1" customHeight="1" x14ac:dyDescent="0.25">
      <c r="A3864" s="205" t="s">
        <v>4440</v>
      </c>
      <c r="B3864" s="206">
        <v>105201</v>
      </c>
      <c r="C3864" s="207" t="s">
        <v>4517</v>
      </c>
      <c r="D3864" s="208" t="s">
        <v>580</v>
      </c>
      <c r="E3864" s="209">
        <v>292.25</v>
      </c>
      <c r="F3864" s="209">
        <v>31.49</v>
      </c>
      <c r="G3864" s="209">
        <v>323.74</v>
      </c>
      <c r="H3864" s="198"/>
    </row>
    <row r="3865" spans="1:8" ht="15.75" hidden="1" customHeight="1" x14ac:dyDescent="0.25">
      <c r="A3865" s="205" t="s">
        <v>4440</v>
      </c>
      <c r="B3865" s="206">
        <v>94741</v>
      </c>
      <c r="C3865" s="207" t="s">
        <v>4518</v>
      </c>
      <c r="D3865" s="208" t="s">
        <v>580</v>
      </c>
      <c r="E3865" s="209">
        <v>11.98</v>
      </c>
      <c r="F3865" s="209">
        <v>2.4900000000000002</v>
      </c>
      <c r="G3865" s="209">
        <v>14.47</v>
      </c>
      <c r="H3865" s="198"/>
    </row>
    <row r="3866" spans="1:8" ht="15.75" hidden="1" customHeight="1" x14ac:dyDescent="0.25">
      <c r="A3866" s="205" t="s">
        <v>4440</v>
      </c>
      <c r="B3866" s="206">
        <v>94743</v>
      </c>
      <c r="C3866" s="207" t="s">
        <v>4519</v>
      </c>
      <c r="D3866" s="208" t="s">
        <v>580</v>
      </c>
      <c r="E3866" s="209">
        <v>20.34</v>
      </c>
      <c r="F3866" s="209">
        <v>3.12</v>
      </c>
      <c r="G3866" s="209">
        <v>23.46</v>
      </c>
      <c r="H3866" s="198"/>
    </row>
    <row r="3867" spans="1:8" ht="15.75" hidden="1" customHeight="1" x14ac:dyDescent="0.25">
      <c r="A3867" s="205" t="s">
        <v>4440</v>
      </c>
      <c r="B3867" s="206">
        <v>105209</v>
      </c>
      <c r="C3867" s="207" t="s">
        <v>4520</v>
      </c>
      <c r="D3867" s="208" t="s">
        <v>580</v>
      </c>
      <c r="E3867" s="209">
        <v>151.53</v>
      </c>
      <c r="F3867" s="209">
        <v>22.82</v>
      </c>
      <c r="G3867" s="209">
        <v>174.35</v>
      </c>
      <c r="H3867" s="198"/>
    </row>
    <row r="3868" spans="1:8" ht="15.75" hidden="1" customHeight="1" x14ac:dyDescent="0.25">
      <c r="A3868" s="205" t="s">
        <v>4440</v>
      </c>
      <c r="B3868" s="206">
        <v>105208</v>
      </c>
      <c r="C3868" s="207" t="s">
        <v>4521</v>
      </c>
      <c r="D3868" s="208" t="s">
        <v>580</v>
      </c>
      <c r="E3868" s="209">
        <v>329.33</v>
      </c>
      <c r="F3868" s="209">
        <v>26.66</v>
      </c>
      <c r="G3868" s="209">
        <v>355.99</v>
      </c>
      <c r="H3868" s="198"/>
    </row>
    <row r="3869" spans="1:8" ht="15.75" hidden="1" customHeight="1" x14ac:dyDescent="0.25">
      <c r="A3869" s="205" t="s">
        <v>4440</v>
      </c>
      <c r="B3869" s="206">
        <v>105210</v>
      </c>
      <c r="C3869" s="207" t="s">
        <v>4522</v>
      </c>
      <c r="D3869" s="208" t="s">
        <v>580</v>
      </c>
      <c r="E3869" s="209">
        <v>427.62</v>
      </c>
      <c r="F3869" s="209">
        <v>31.49</v>
      </c>
      <c r="G3869" s="209">
        <v>459.11</v>
      </c>
      <c r="H3869" s="198"/>
    </row>
    <row r="3870" spans="1:8" ht="15.75" hidden="1" customHeight="1" x14ac:dyDescent="0.25">
      <c r="A3870" s="205" t="s">
        <v>4440</v>
      </c>
      <c r="B3870" s="206">
        <v>105203</v>
      </c>
      <c r="C3870" s="207" t="s">
        <v>4523</v>
      </c>
      <c r="D3870" s="208" t="s">
        <v>580</v>
      </c>
      <c r="E3870" s="209">
        <v>156.35</v>
      </c>
      <c r="F3870" s="209">
        <v>22.82</v>
      </c>
      <c r="G3870" s="209">
        <v>179.17</v>
      </c>
      <c r="H3870" s="198"/>
    </row>
    <row r="3871" spans="1:8" ht="15.75" hidden="1" customHeight="1" x14ac:dyDescent="0.25">
      <c r="A3871" s="205" t="s">
        <v>4440</v>
      </c>
      <c r="B3871" s="206">
        <v>105202</v>
      </c>
      <c r="C3871" s="207" t="s">
        <v>4524</v>
      </c>
      <c r="D3871" s="208" t="s">
        <v>580</v>
      </c>
      <c r="E3871" s="209">
        <v>266.41000000000003</v>
      </c>
      <c r="F3871" s="209">
        <v>26.66</v>
      </c>
      <c r="G3871" s="209">
        <v>293.07</v>
      </c>
      <c r="H3871" s="198"/>
    </row>
    <row r="3872" spans="1:8" ht="15.75" hidden="1" customHeight="1" x14ac:dyDescent="0.25">
      <c r="A3872" s="205" t="s">
        <v>4440</v>
      </c>
      <c r="B3872" s="206">
        <v>105204</v>
      </c>
      <c r="C3872" s="207" t="s">
        <v>4525</v>
      </c>
      <c r="D3872" s="208" t="s">
        <v>580</v>
      </c>
      <c r="E3872" s="209">
        <v>357.82</v>
      </c>
      <c r="F3872" s="209">
        <v>31.49</v>
      </c>
      <c r="G3872" s="209">
        <v>389.31</v>
      </c>
      <c r="H3872" s="198"/>
    </row>
    <row r="3873" spans="1:8" ht="15.75" hidden="1" customHeight="1" x14ac:dyDescent="0.25">
      <c r="A3873" s="205" t="s">
        <v>4440</v>
      </c>
      <c r="B3873" s="206">
        <v>105206</v>
      </c>
      <c r="C3873" s="207" t="s">
        <v>4526</v>
      </c>
      <c r="D3873" s="208" t="s">
        <v>580</v>
      </c>
      <c r="E3873" s="209">
        <v>148.05000000000001</v>
      </c>
      <c r="F3873" s="209">
        <v>22.82</v>
      </c>
      <c r="G3873" s="209">
        <v>170.87</v>
      </c>
      <c r="H3873" s="198"/>
    </row>
    <row r="3874" spans="1:8" ht="15.75" hidden="1" customHeight="1" x14ac:dyDescent="0.25">
      <c r="A3874" s="205" t="s">
        <v>4440</v>
      </c>
      <c r="B3874" s="206">
        <v>105205</v>
      </c>
      <c r="C3874" s="207" t="s">
        <v>4527</v>
      </c>
      <c r="D3874" s="208" t="s">
        <v>580</v>
      </c>
      <c r="E3874" s="209">
        <v>244.28</v>
      </c>
      <c r="F3874" s="209">
        <v>26.68</v>
      </c>
      <c r="G3874" s="209">
        <v>270.95999999999998</v>
      </c>
      <c r="H3874" s="198"/>
    </row>
    <row r="3875" spans="1:8" ht="15.75" hidden="1" customHeight="1" x14ac:dyDescent="0.25">
      <c r="A3875" s="205" t="s">
        <v>4440</v>
      </c>
      <c r="B3875" s="206">
        <v>105207</v>
      </c>
      <c r="C3875" s="207" t="s">
        <v>4528</v>
      </c>
      <c r="D3875" s="208" t="s">
        <v>580</v>
      </c>
      <c r="E3875" s="209">
        <v>346.75</v>
      </c>
      <c r="F3875" s="209">
        <v>31.5</v>
      </c>
      <c r="G3875" s="209">
        <v>378.25</v>
      </c>
      <c r="H3875" s="198"/>
    </row>
    <row r="3876" spans="1:8" ht="15.75" hidden="1" customHeight="1" x14ac:dyDescent="0.25">
      <c r="A3876" s="205" t="s">
        <v>4440</v>
      </c>
      <c r="B3876" s="206">
        <v>94673</v>
      </c>
      <c r="C3876" s="207" t="s">
        <v>4529</v>
      </c>
      <c r="D3876" s="208" t="s">
        <v>580</v>
      </c>
      <c r="E3876" s="209">
        <v>4.7</v>
      </c>
      <c r="F3876" s="209">
        <v>2.79</v>
      </c>
      <c r="G3876" s="209">
        <v>7.49</v>
      </c>
      <c r="H3876" s="198"/>
    </row>
    <row r="3877" spans="1:8" ht="15.75" hidden="1" customHeight="1" x14ac:dyDescent="0.25">
      <c r="A3877" s="205" t="s">
        <v>4440</v>
      </c>
      <c r="B3877" s="206">
        <v>94687</v>
      </c>
      <c r="C3877" s="207" t="s">
        <v>4530</v>
      </c>
      <c r="D3877" s="208" t="s">
        <v>580</v>
      </c>
      <c r="E3877" s="209">
        <v>174.7</v>
      </c>
      <c r="F3877" s="209">
        <v>27.35</v>
      </c>
      <c r="G3877" s="209">
        <v>202.05</v>
      </c>
      <c r="H3877" s="198"/>
    </row>
    <row r="3878" spans="1:8" ht="15.75" hidden="1" customHeight="1" x14ac:dyDescent="0.25">
      <c r="A3878" s="205" t="s">
        <v>4440</v>
      </c>
      <c r="B3878" s="206">
        <v>94675</v>
      </c>
      <c r="C3878" s="207" t="s">
        <v>4531</v>
      </c>
      <c r="D3878" s="208" t="s">
        <v>580</v>
      </c>
      <c r="E3878" s="209">
        <v>8.3699999999999992</v>
      </c>
      <c r="F3878" s="209">
        <v>3.63</v>
      </c>
      <c r="G3878" s="209">
        <v>12</v>
      </c>
      <c r="H3878" s="198"/>
    </row>
    <row r="3879" spans="1:8" ht="15.75" hidden="1" customHeight="1" x14ac:dyDescent="0.25">
      <c r="A3879" s="205" t="s">
        <v>4440</v>
      </c>
      <c r="B3879" s="206">
        <v>94677</v>
      </c>
      <c r="C3879" s="207" t="s">
        <v>4532</v>
      </c>
      <c r="D3879" s="208" t="s">
        <v>580</v>
      </c>
      <c r="E3879" s="209">
        <v>13.94</v>
      </c>
      <c r="F3879" s="209">
        <v>4.8600000000000003</v>
      </c>
      <c r="G3879" s="209">
        <v>18.8</v>
      </c>
      <c r="H3879" s="198"/>
    </row>
    <row r="3880" spans="1:8" ht="15.75" hidden="1" customHeight="1" x14ac:dyDescent="0.25">
      <c r="A3880" s="205" t="s">
        <v>4440</v>
      </c>
      <c r="B3880" s="206">
        <v>94679</v>
      </c>
      <c r="C3880" s="207" t="s">
        <v>4533</v>
      </c>
      <c r="D3880" s="208" t="s">
        <v>580</v>
      </c>
      <c r="E3880" s="209">
        <v>16.489999999999998</v>
      </c>
      <c r="F3880" s="209">
        <v>6.8</v>
      </c>
      <c r="G3880" s="209">
        <v>23.29</v>
      </c>
      <c r="H3880" s="198"/>
    </row>
    <row r="3881" spans="1:8" ht="15.75" hidden="1" customHeight="1" x14ac:dyDescent="0.25">
      <c r="A3881" s="205" t="s">
        <v>4440</v>
      </c>
      <c r="B3881" s="206">
        <v>94681</v>
      </c>
      <c r="C3881" s="207" t="s">
        <v>4534</v>
      </c>
      <c r="D3881" s="208" t="s">
        <v>580</v>
      </c>
      <c r="E3881" s="209">
        <v>36.1</v>
      </c>
      <c r="F3881" s="209">
        <v>9.15</v>
      </c>
      <c r="G3881" s="209">
        <v>45.25</v>
      </c>
      <c r="H3881" s="198"/>
    </row>
    <row r="3882" spans="1:8" ht="15.75" hidden="1" customHeight="1" x14ac:dyDescent="0.25">
      <c r="A3882" s="205" t="s">
        <v>4440</v>
      </c>
      <c r="B3882" s="206">
        <v>94683</v>
      </c>
      <c r="C3882" s="207" t="s">
        <v>4535</v>
      </c>
      <c r="D3882" s="208" t="s">
        <v>580</v>
      </c>
      <c r="E3882" s="209">
        <v>55.07</v>
      </c>
      <c r="F3882" s="209">
        <v>13.49</v>
      </c>
      <c r="G3882" s="209">
        <v>68.56</v>
      </c>
      <c r="H3882" s="198"/>
    </row>
    <row r="3883" spans="1:8" ht="15.75" hidden="1" customHeight="1" x14ac:dyDescent="0.25">
      <c r="A3883" s="205" t="s">
        <v>4440</v>
      </c>
      <c r="B3883" s="206">
        <v>94685</v>
      </c>
      <c r="C3883" s="207" t="s">
        <v>4536</v>
      </c>
      <c r="D3883" s="208" t="s">
        <v>580</v>
      </c>
      <c r="E3883" s="209">
        <v>70.22</v>
      </c>
      <c r="F3883" s="209">
        <v>16.91</v>
      </c>
      <c r="G3883" s="209">
        <v>87.13</v>
      </c>
      <c r="H3883" s="198"/>
    </row>
    <row r="3884" spans="1:8" ht="15.75" hidden="1" customHeight="1" x14ac:dyDescent="0.25">
      <c r="A3884" s="205" t="s">
        <v>4440</v>
      </c>
      <c r="B3884" s="206">
        <v>94615</v>
      </c>
      <c r="C3884" s="207" t="s">
        <v>4537</v>
      </c>
      <c r="D3884" s="208" t="s">
        <v>580</v>
      </c>
      <c r="E3884" s="209">
        <v>139.47</v>
      </c>
      <c r="F3884" s="209">
        <v>29.72</v>
      </c>
      <c r="G3884" s="209">
        <v>169.19</v>
      </c>
      <c r="H3884" s="198"/>
    </row>
    <row r="3885" spans="1:8" ht="15.75" hidden="1" customHeight="1" x14ac:dyDescent="0.25">
      <c r="A3885" s="205" t="s">
        <v>4440</v>
      </c>
      <c r="B3885" s="206">
        <v>94617</v>
      </c>
      <c r="C3885" s="207" t="s">
        <v>4538</v>
      </c>
      <c r="D3885" s="208" t="s">
        <v>580</v>
      </c>
      <c r="E3885" s="209">
        <v>308.44</v>
      </c>
      <c r="F3885" s="209">
        <v>30.98</v>
      </c>
      <c r="G3885" s="209">
        <v>339.42</v>
      </c>
      <c r="H3885" s="198"/>
    </row>
    <row r="3886" spans="1:8" ht="15.75" hidden="1" customHeight="1" x14ac:dyDescent="0.25">
      <c r="A3886" s="205" t="s">
        <v>4440</v>
      </c>
      <c r="B3886" s="206">
        <v>105147</v>
      </c>
      <c r="C3886" s="207" t="s">
        <v>4539</v>
      </c>
      <c r="D3886" s="208" t="s">
        <v>580</v>
      </c>
      <c r="E3886" s="209">
        <v>14.54</v>
      </c>
      <c r="F3886" s="209">
        <v>4.8899999999999997</v>
      </c>
      <c r="G3886" s="209">
        <v>19.43</v>
      </c>
      <c r="H3886" s="198"/>
    </row>
    <row r="3887" spans="1:8" ht="15.75" hidden="1" customHeight="1" x14ac:dyDescent="0.25">
      <c r="A3887" s="205" t="s">
        <v>4440</v>
      </c>
      <c r="B3887" s="206">
        <v>105148</v>
      </c>
      <c r="C3887" s="207" t="s">
        <v>4540</v>
      </c>
      <c r="D3887" s="208" t="s">
        <v>580</v>
      </c>
      <c r="E3887" s="209">
        <v>22.49</v>
      </c>
      <c r="F3887" s="209">
        <v>5.37</v>
      </c>
      <c r="G3887" s="209">
        <v>27.86</v>
      </c>
      <c r="H3887" s="198"/>
    </row>
    <row r="3888" spans="1:8" ht="15.75" hidden="1" customHeight="1" x14ac:dyDescent="0.25">
      <c r="A3888" s="205" t="s">
        <v>4440</v>
      </c>
      <c r="B3888" s="206">
        <v>105154</v>
      </c>
      <c r="C3888" s="207" t="s">
        <v>4541</v>
      </c>
      <c r="D3888" s="208" t="s">
        <v>580</v>
      </c>
      <c r="E3888" s="209">
        <v>4.2699999999999996</v>
      </c>
      <c r="F3888" s="209">
        <v>2.78</v>
      </c>
      <c r="G3888" s="209">
        <v>7.05</v>
      </c>
      <c r="H3888" s="198"/>
    </row>
    <row r="3889" spans="1:8" ht="15.75" hidden="1" customHeight="1" x14ac:dyDescent="0.25">
      <c r="A3889" s="205" t="s">
        <v>4440</v>
      </c>
      <c r="B3889" s="206">
        <v>105155</v>
      </c>
      <c r="C3889" s="207" t="s">
        <v>4542</v>
      </c>
      <c r="D3889" s="208" t="s">
        <v>580</v>
      </c>
      <c r="E3889" s="209">
        <v>6.69</v>
      </c>
      <c r="F3889" s="209">
        <v>3.63</v>
      </c>
      <c r="G3889" s="209">
        <v>10.32</v>
      </c>
      <c r="H3889" s="198"/>
    </row>
    <row r="3890" spans="1:8" ht="15.75" hidden="1" customHeight="1" x14ac:dyDescent="0.25">
      <c r="A3890" s="205" t="s">
        <v>4440</v>
      </c>
      <c r="B3890" s="206">
        <v>105156</v>
      </c>
      <c r="C3890" s="207" t="s">
        <v>4543</v>
      </c>
      <c r="D3890" s="208" t="s">
        <v>580</v>
      </c>
      <c r="E3890" s="209">
        <v>8.3800000000000008</v>
      </c>
      <c r="F3890" s="209">
        <v>4.8600000000000003</v>
      </c>
      <c r="G3890" s="209">
        <v>13.24</v>
      </c>
      <c r="H3890" s="198"/>
    </row>
    <row r="3891" spans="1:8" ht="15.75" hidden="1" customHeight="1" x14ac:dyDescent="0.25">
      <c r="A3891" s="205" t="s">
        <v>4440</v>
      </c>
      <c r="B3891" s="206">
        <v>105157</v>
      </c>
      <c r="C3891" s="207" t="s">
        <v>4544</v>
      </c>
      <c r="D3891" s="208" t="s">
        <v>580</v>
      </c>
      <c r="E3891" s="209">
        <v>13.32</v>
      </c>
      <c r="F3891" s="209">
        <v>6.79</v>
      </c>
      <c r="G3891" s="209">
        <v>20.11</v>
      </c>
      <c r="H3891" s="198"/>
    </row>
    <row r="3892" spans="1:8" ht="15.75" hidden="1" customHeight="1" x14ac:dyDescent="0.25">
      <c r="A3892" s="205" t="s">
        <v>4440</v>
      </c>
      <c r="B3892" s="206">
        <v>105158</v>
      </c>
      <c r="C3892" s="207" t="s">
        <v>4545</v>
      </c>
      <c r="D3892" s="208" t="s">
        <v>580</v>
      </c>
      <c r="E3892" s="209">
        <v>19.97</v>
      </c>
      <c r="F3892" s="209">
        <v>9.16</v>
      </c>
      <c r="G3892" s="209">
        <v>29.13</v>
      </c>
      <c r="H3892" s="198"/>
    </row>
    <row r="3893" spans="1:8" ht="15.75" hidden="1" customHeight="1" x14ac:dyDescent="0.25">
      <c r="A3893" s="205" t="s">
        <v>4440</v>
      </c>
      <c r="B3893" s="206">
        <v>105159</v>
      </c>
      <c r="C3893" s="207" t="s">
        <v>4546</v>
      </c>
      <c r="D3893" s="208" t="s">
        <v>580</v>
      </c>
      <c r="E3893" s="209">
        <v>37.04</v>
      </c>
      <c r="F3893" s="209">
        <v>13.49</v>
      </c>
      <c r="G3893" s="209">
        <v>50.53</v>
      </c>
      <c r="H3893" s="198"/>
    </row>
    <row r="3894" spans="1:8" ht="15.75" hidden="1" customHeight="1" x14ac:dyDescent="0.25">
      <c r="A3894" s="205" t="s">
        <v>4440</v>
      </c>
      <c r="B3894" s="206">
        <v>105160</v>
      </c>
      <c r="C3894" s="207" t="s">
        <v>4547</v>
      </c>
      <c r="D3894" s="208" t="s">
        <v>580</v>
      </c>
      <c r="E3894" s="209">
        <v>45.56</v>
      </c>
      <c r="F3894" s="209">
        <v>16.899999999999999</v>
      </c>
      <c r="G3894" s="209">
        <v>62.46</v>
      </c>
      <c r="H3894" s="198"/>
    </row>
    <row r="3895" spans="1:8" ht="15.75" hidden="1" customHeight="1" x14ac:dyDescent="0.25">
      <c r="A3895" s="205" t="s">
        <v>4440</v>
      </c>
      <c r="B3895" s="206">
        <v>94672</v>
      </c>
      <c r="C3895" s="207" t="s">
        <v>4548</v>
      </c>
      <c r="D3895" s="208" t="s">
        <v>580</v>
      </c>
      <c r="E3895" s="209">
        <v>3.72</v>
      </c>
      <c r="F3895" s="209">
        <v>2.79</v>
      </c>
      <c r="G3895" s="209">
        <v>6.51</v>
      </c>
      <c r="H3895" s="198"/>
    </row>
    <row r="3896" spans="1:8" ht="15.75" hidden="1" customHeight="1" x14ac:dyDescent="0.25">
      <c r="A3896" s="205" t="s">
        <v>4440</v>
      </c>
      <c r="B3896" s="206">
        <v>94754</v>
      </c>
      <c r="C3896" s="207" t="s">
        <v>4549</v>
      </c>
      <c r="D3896" s="208" t="s">
        <v>580</v>
      </c>
      <c r="E3896" s="209">
        <v>289.38</v>
      </c>
      <c r="F3896" s="209">
        <v>29.25</v>
      </c>
      <c r="G3896" s="209">
        <v>318.63</v>
      </c>
      <c r="H3896" s="198"/>
    </row>
    <row r="3897" spans="1:8" ht="15.75" hidden="1" customHeight="1" x14ac:dyDescent="0.25">
      <c r="A3897" s="205" t="s">
        <v>4440</v>
      </c>
      <c r="B3897" s="206">
        <v>94740</v>
      </c>
      <c r="C3897" s="207" t="s">
        <v>4550</v>
      </c>
      <c r="D3897" s="208" t="s">
        <v>580</v>
      </c>
      <c r="E3897" s="209">
        <v>8.77</v>
      </c>
      <c r="F3897" s="209">
        <v>2.48</v>
      </c>
      <c r="G3897" s="209">
        <v>11.25</v>
      </c>
      <c r="H3897" s="198"/>
    </row>
    <row r="3898" spans="1:8" ht="15.75" hidden="1" customHeight="1" x14ac:dyDescent="0.25">
      <c r="A3898" s="205" t="s">
        <v>4440</v>
      </c>
      <c r="B3898" s="206">
        <v>94742</v>
      </c>
      <c r="C3898" s="207" t="s">
        <v>4551</v>
      </c>
      <c r="D3898" s="208" t="s">
        <v>580</v>
      </c>
      <c r="E3898" s="209">
        <v>15.48</v>
      </c>
      <c r="F3898" s="209">
        <v>3.13</v>
      </c>
      <c r="G3898" s="209">
        <v>18.61</v>
      </c>
      <c r="H3898" s="198"/>
    </row>
    <row r="3899" spans="1:8" ht="15.75" hidden="1" customHeight="1" x14ac:dyDescent="0.25">
      <c r="A3899" s="205" t="s">
        <v>4440</v>
      </c>
      <c r="B3899" s="206">
        <v>94744</v>
      </c>
      <c r="C3899" s="207" t="s">
        <v>4552</v>
      </c>
      <c r="D3899" s="208" t="s">
        <v>580</v>
      </c>
      <c r="E3899" s="209">
        <v>25.17</v>
      </c>
      <c r="F3899" s="209">
        <v>4.07</v>
      </c>
      <c r="G3899" s="209">
        <v>29.24</v>
      </c>
      <c r="H3899" s="198"/>
    </row>
    <row r="3900" spans="1:8" ht="15.75" hidden="1" customHeight="1" x14ac:dyDescent="0.25">
      <c r="A3900" s="205" t="s">
        <v>4440</v>
      </c>
      <c r="B3900" s="206">
        <v>94746</v>
      </c>
      <c r="C3900" s="207" t="s">
        <v>4553</v>
      </c>
      <c r="D3900" s="208" t="s">
        <v>580</v>
      </c>
      <c r="E3900" s="209">
        <v>36.659999999999997</v>
      </c>
      <c r="F3900" s="209">
        <v>5.23</v>
      </c>
      <c r="G3900" s="209">
        <v>41.89</v>
      </c>
      <c r="H3900" s="198"/>
    </row>
    <row r="3901" spans="1:8" ht="15.75" hidden="1" customHeight="1" x14ac:dyDescent="0.25">
      <c r="A3901" s="205" t="s">
        <v>4440</v>
      </c>
      <c r="B3901" s="206">
        <v>94748</v>
      </c>
      <c r="C3901" s="207" t="s">
        <v>4554</v>
      </c>
      <c r="D3901" s="208" t="s">
        <v>580</v>
      </c>
      <c r="E3901" s="209">
        <v>83.76</v>
      </c>
      <c r="F3901" s="209">
        <v>7.7</v>
      </c>
      <c r="G3901" s="209">
        <v>91.46</v>
      </c>
      <c r="H3901" s="198"/>
    </row>
    <row r="3902" spans="1:8" ht="15.75" hidden="1" customHeight="1" x14ac:dyDescent="0.25">
      <c r="A3902" s="205" t="s">
        <v>4440</v>
      </c>
      <c r="B3902" s="206">
        <v>94750</v>
      </c>
      <c r="C3902" s="207" t="s">
        <v>4555</v>
      </c>
      <c r="D3902" s="208" t="s">
        <v>580</v>
      </c>
      <c r="E3902" s="209">
        <v>171.54</v>
      </c>
      <c r="F3902" s="209">
        <v>12.85</v>
      </c>
      <c r="G3902" s="209">
        <v>184.39</v>
      </c>
      <c r="H3902" s="198"/>
    </row>
    <row r="3903" spans="1:8" ht="15.75" hidden="1" customHeight="1" x14ac:dyDescent="0.25">
      <c r="A3903" s="205" t="s">
        <v>4440</v>
      </c>
      <c r="B3903" s="206">
        <v>94752</v>
      </c>
      <c r="C3903" s="207" t="s">
        <v>4556</v>
      </c>
      <c r="D3903" s="208" t="s">
        <v>580</v>
      </c>
      <c r="E3903" s="209">
        <v>203.72</v>
      </c>
      <c r="F3903" s="209">
        <v>18.38</v>
      </c>
      <c r="G3903" s="209">
        <v>222.1</v>
      </c>
      <c r="H3903" s="198"/>
    </row>
    <row r="3904" spans="1:8" ht="15.75" hidden="1" customHeight="1" x14ac:dyDescent="0.25">
      <c r="A3904" s="205" t="s">
        <v>4440</v>
      </c>
      <c r="B3904" s="206">
        <v>96755</v>
      </c>
      <c r="C3904" s="207" t="s">
        <v>4557</v>
      </c>
      <c r="D3904" s="208" t="s">
        <v>580</v>
      </c>
      <c r="E3904" s="209">
        <v>387.25</v>
      </c>
      <c r="F3904" s="209">
        <v>29.91</v>
      </c>
      <c r="G3904" s="209">
        <v>417.16</v>
      </c>
      <c r="H3904" s="198"/>
    </row>
    <row r="3905" spans="1:8" ht="15.75" hidden="1" customHeight="1" x14ac:dyDescent="0.25">
      <c r="A3905" s="205" t="s">
        <v>4440</v>
      </c>
      <c r="B3905" s="206">
        <v>96747</v>
      </c>
      <c r="C3905" s="207" t="s">
        <v>4558</v>
      </c>
      <c r="D3905" s="208" t="s">
        <v>580</v>
      </c>
      <c r="E3905" s="209">
        <v>4.1399999999999997</v>
      </c>
      <c r="F3905" s="209">
        <v>4.88</v>
      </c>
      <c r="G3905" s="209">
        <v>9.02</v>
      </c>
      <c r="H3905" s="198"/>
    </row>
    <row r="3906" spans="1:8" ht="15.75" hidden="1" customHeight="1" x14ac:dyDescent="0.25">
      <c r="A3906" s="205" t="s">
        <v>4440</v>
      </c>
      <c r="B3906" s="206">
        <v>96748</v>
      </c>
      <c r="C3906" s="207" t="s">
        <v>4559</v>
      </c>
      <c r="D3906" s="208" t="s">
        <v>580</v>
      </c>
      <c r="E3906" s="209">
        <v>5.0999999999999996</v>
      </c>
      <c r="F3906" s="209">
        <v>5.38</v>
      </c>
      <c r="G3906" s="209">
        <v>10.48</v>
      </c>
      <c r="H3906" s="198"/>
    </row>
    <row r="3907" spans="1:8" ht="15.75" hidden="1" customHeight="1" x14ac:dyDescent="0.25">
      <c r="A3907" s="205" t="s">
        <v>4440</v>
      </c>
      <c r="B3907" s="206">
        <v>96749</v>
      </c>
      <c r="C3907" s="207" t="s">
        <v>4560</v>
      </c>
      <c r="D3907" s="208" t="s">
        <v>580</v>
      </c>
      <c r="E3907" s="209">
        <v>7.08</v>
      </c>
      <c r="F3907" s="209">
        <v>6.23</v>
      </c>
      <c r="G3907" s="209">
        <v>13.31</v>
      </c>
      <c r="H3907" s="198"/>
    </row>
    <row r="3908" spans="1:8" ht="15.75" hidden="1" customHeight="1" x14ac:dyDescent="0.25">
      <c r="A3908" s="205" t="s">
        <v>4440</v>
      </c>
      <c r="B3908" s="206">
        <v>96750</v>
      </c>
      <c r="C3908" s="207" t="s">
        <v>4561</v>
      </c>
      <c r="D3908" s="208" t="s">
        <v>580</v>
      </c>
      <c r="E3908" s="209">
        <v>13.52</v>
      </c>
      <c r="F3908" s="209">
        <v>7.47</v>
      </c>
      <c r="G3908" s="209">
        <v>20.99</v>
      </c>
      <c r="H3908" s="198"/>
    </row>
    <row r="3909" spans="1:8" ht="15.75" hidden="1" customHeight="1" x14ac:dyDescent="0.25">
      <c r="A3909" s="205" t="s">
        <v>4440</v>
      </c>
      <c r="B3909" s="206">
        <v>96751</v>
      </c>
      <c r="C3909" s="207" t="s">
        <v>4562</v>
      </c>
      <c r="D3909" s="208" t="s">
        <v>580</v>
      </c>
      <c r="E3909" s="209">
        <v>21.36</v>
      </c>
      <c r="F3909" s="209">
        <v>9.39</v>
      </c>
      <c r="G3909" s="209">
        <v>30.75</v>
      </c>
      <c r="H3909" s="198"/>
    </row>
    <row r="3910" spans="1:8" ht="15.75" hidden="1" customHeight="1" x14ac:dyDescent="0.25">
      <c r="A3910" s="205" t="s">
        <v>4440</v>
      </c>
      <c r="B3910" s="206">
        <v>96752</v>
      </c>
      <c r="C3910" s="207" t="s">
        <v>4563</v>
      </c>
      <c r="D3910" s="208" t="s">
        <v>580</v>
      </c>
      <c r="E3910" s="209">
        <v>33.659999999999997</v>
      </c>
      <c r="F3910" s="209">
        <v>12.52</v>
      </c>
      <c r="G3910" s="209">
        <v>46.18</v>
      </c>
      <c r="H3910" s="198"/>
    </row>
    <row r="3911" spans="1:8" ht="15.75" hidden="1" customHeight="1" x14ac:dyDescent="0.25">
      <c r="A3911" s="205" t="s">
        <v>4440</v>
      </c>
      <c r="B3911" s="206">
        <v>96753</v>
      </c>
      <c r="C3911" s="207" t="s">
        <v>4564</v>
      </c>
      <c r="D3911" s="208" t="s">
        <v>580</v>
      </c>
      <c r="E3911" s="209">
        <v>90.32</v>
      </c>
      <c r="F3911" s="209">
        <v>16.07</v>
      </c>
      <c r="G3911" s="209">
        <v>106.39</v>
      </c>
      <c r="H3911" s="198"/>
    </row>
    <row r="3912" spans="1:8" ht="15.75" hidden="1" customHeight="1" x14ac:dyDescent="0.25">
      <c r="A3912" s="205" t="s">
        <v>4440</v>
      </c>
      <c r="B3912" s="206">
        <v>96754</v>
      </c>
      <c r="C3912" s="207" t="s">
        <v>4565</v>
      </c>
      <c r="D3912" s="208" t="s">
        <v>580</v>
      </c>
      <c r="E3912" s="209">
        <v>115.1</v>
      </c>
      <c r="F3912" s="209">
        <v>21.37</v>
      </c>
      <c r="G3912" s="209">
        <v>136.47</v>
      </c>
      <c r="H3912" s="198"/>
    </row>
    <row r="3913" spans="1:8" ht="15.75" hidden="1" customHeight="1" x14ac:dyDescent="0.25">
      <c r="A3913" s="205" t="s">
        <v>4440</v>
      </c>
      <c r="B3913" s="206">
        <v>94686</v>
      </c>
      <c r="C3913" s="207" t="s">
        <v>4566</v>
      </c>
      <c r="D3913" s="208" t="s">
        <v>580</v>
      </c>
      <c r="E3913" s="209">
        <v>194.29</v>
      </c>
      <c r="F3913" s="209">
        <v>27.34</v>
      </c>
      <c r="G3913" s="209">
        <v>221.63</v>
      </c>
      <c r="H3913" s="198"/>
    </row>
    <row r="3914" spans="1:8" ht="15.75" hidden="1" customHeight="1" x14ac:dyDescent="0.25">
      <c r="A3914" s="205" t="s">
        <v>4440</v>
      </c>
      <c r="B3914" s="206">
        <v>94674</v>
      </c>
      <c r="C3914" s="207" t="s">
        <v>4567</v>
      </c>
      <c r="D3914" s="208" t="s">
        <v>580</v>
      </c>
      <c r="E3914" s="209">
        <v>4.96</v>
      </c>
      <c r="F3914" s="209">
        <v>3.64</v>
      </c>
      <c r="G3914" s="209">
        <v>8.6</v>
      </c>
      <c r="H3914" s="198"/>
    </row>
    <row r="3915" spans="1:8" ht="15.75" hidden="1" customHeight="1" x14ac:dyDescent="0.25">
      <c r="A3915" s="205" t="s">
        <v>4440</v>
      </c>
      <c r="B3915" s="206">
        <v>94676</v>
      </c>
      <c r="C3915" s="207" t="s">
        <v>4568</v>
      </c>
      <c r="D3915" s="208" t="s">
        <v>580</v>
      </c>
      <c r="E3915" s="209">
        <v>8.7799999999999994</v>
      </c>
      <c r="F3915" s="209">
        <v>4.8600000000000003</v>
      </c>
      <c r="G3915" s="209">
        <v>13.64</v>
      </c>
      <c r="H3915" s="198"/>
    </row>
    <row r="3916" spans="1:8" ht="15.75" hidden="1" customHeight="1" x14ac:dyDescent="0.25">
      <c r="A3916" s="205" t="s">
        <v>4440</v>
      </c>
      <c r="B3916" s="206">
        <v>94678</v>
      </c>
      <c r="C3916" s="207" t="s">
        <v>4569</v>
      </c>
      <c r="D3916" s="208" t="s">
        <v>580</v>
      </c>
      <c r="E3916" s="209">
        <v>9.7100000000000009</v>
      </c>
      <c r="F3916" s="209">
        <v>6.8</v>
      </c>
      <c r="G3916" s="209">
        <v>16.510000000000002</v>
      </c>
      <c r="H3916" s="198"/>
    </row>
    <row r="3917" spans="1:8" ht="15.75" hidden="1" customHeight="1" x14ac:dyDescent="0.25">
      <c r="A3917" s="205" t="s">
        <v>4440</v>
      </c>
      <c r="B3917" s="206">
        <v>94680</v>
      </c>
      <c r="C3917" s="207" t="s">
        <v>4570</v>
      </c>
      <c r="D3917" s="208" t="s">
        <v>580</v>
      </c>
      <c r="E3917" s="209">
        <v>31.76</v>
      </c>
      <c r="F3917" s="209">
        <v>9.15</v>
      </c>
      <c r="G3917" s="209">
        <v>40.909999999999997</v>
      </c>
      <c r="H3917" s="198"/>
    </row>
    <row r="3918" spans="1:8" ht="15.75" hidden="1" customHeight="1" x14ac:dyDescent="0.25">
      <c r="A3918" s="205" t="s">
        <v>4440</v>
      </c>
      <c r="B3918" s="206">
        <v>94682</v>
      </c>
      <c r="C3918" s="207" t="s">
        <v>4571</v>
      </c>
      <c r="D3918" s="208" t="s">
        <v>580</v>
      </c>
      <c r="E3918" s="209">
        <v>82.9</v>
      </c>
      <c r="F3918" s="209">
        <v>13.49</v>
      </c>
      <c r="G3918" s="209">
        <v>96.39</v>
      </c>
      <c r="H3918" s="198"/>
    </row>
    <row r="3919" spans="1:8" ht="15.75" hidden="1" customHeight="1" x14ac:dyDescent="0.25">
      <c r="A3919" s="205" t="s">
        <v>4440</v>
      </c>
      <c r="B3919" s="206">
        <v>94684</v>
      </c>
      <c r="C3919" s="207" t="s">
        <v>4572</v>
      </c>
      <c r="D3919" s="208" t="s">
        <v>580</v>
      </c>
      <c r="E3919" s="209">
        <v>99.72</v>
      </c>
      <c r="F3919" s="209">
        <v>16.91</v>
      </c>
      <c r="G3919" s="209">
        <v>116.63</v>
      </c>
      <c r="H3919" s="198"/>
    </row>
    <row r="3920" spans="1:8" ht="15.75" hidden="1" customHeight="1" x14ac:dyDescent="0.25">
      <c r="A3920" s="205" t="s">
        <v>4440</v>
      </c>
      <c r="B3920" s="206">
        <v>105219</v>
      </c>
      <c r="C3920" s="207" t="s">
        <v>4573</v>
      </c>
      <c r="D3920" s="208" t="s">
        <v>580</v>
      </c>
      <c r="E3920" s="209">
        <v>10.55</v>
      </c>
      <c r="F3920" s="209">
        <v>2.4900000000000002</v>
      </c>
      <c r="G3920" s="209">
        <v>13.04</v>
      </c>
      <c r="H3920" s="198"/>
    </row>
    <row r="3921" spans="1:8" ht="15.75" hidden="1" customHeight="1" x14ac:dyDescent="0.25">
      <c r="A3921" s="205" t="s">
        <v>4440</v>
      </c>
      <c r="B3921" s="206">
        <v>105220</v>
      </c>
      <c r="C3921" s="207" t="s">
        <v>4574</v>
      </c>
      <c r="D3921" s="208" t="s">
        <v>580</v>
      </c>
      <c r="E3921" s="209">
        <v>14.74</v>
      </c>
      <c r="F3921" s="209">
        <v>3.13</v>
      </c>
      <c r="G3921" s="209">
        <v>17.87</v>
      </c>
      <c r="H3921" s="198"/>
    </row>
    <row r="3922" spans="1:8" ht="15.75" hidden="1" customHeight="1" x14ac:dyDescent="0.25">
      <c r="A3922" s="205" t="s">
        <v>4440</v>
      </c>
      <c r="B3922" s="206">
        <v>105221</v>
      </c>
      <c r="C3922" s="207" t="s">
        <v>4575</v>
      </c>
      <c r="D3922" s="208" t="s">
        <v>580</v>
      </c>
      <c r="E3922" s="209">
        <v>23.33</v>
      </c>
      <c r="F3922" s="209">
        <v>4.07</v>
      </c>
      <c r="G3922" s="209">
        <v>27.4</v>
      </c>
      <c r="H3922" s="198"/>
    </row>
    <row r="3923" spans="1:8" ht="15.75" hidden="1" customHeight="1" x14ac:dyDescent="0.25">
      <c r="A3923" s="205" t="s">
        <v>4440</v>
      </c>
      <c r="B3923" s="206">
        <v>105166</v>
      </c>
      <c r="C3923" s="207" t="s">
        <v>4576</v>
      </c>
      <c r="D3923" s="208" t="s">
        <v>580</v>
      </c>
      <c r="E3923" s="209">
        <v>36.22</v>
      </c>
      <c r="F3923" s="209">
        <v>5.22</v>
      </c>
      <c r="G3923" s="209">
        <v>41.44</v>
      </c>
      <c r="H3923" s="198"/>
    </row>
    <row r="3924" spans="1:8" ht="15.75" hidden="1" customHeight="1" x14ac:dyDescent="0.25">
      <c r="A3924" s="205" t="s">
        <v>4440</v>
      </c>
      <c r="B3924" s="206">
        <v>105222</v>
      </c>
      <c r="C3924" s="207" t="s">
        <v>4577</v>
      </c>
      <c r="D3924" s="208" t="s">
        <v>580</v>
      </c>
      <c r="E3924" s="209">
        <v>70.39</v>
      </c>
      <c r="F3924" s="209">
        <v>7.69</v>
      </c>
      <c r="G3924" s="209">
        <v>78.08</v>
      </c>
      <c r="H3924" s="198"/>
    </row>
    <row r="3925" spans="1:8" ht="15.75" hidden="1" customHeight="1" x14ac:dyDescent="0.25">
      <c r="A3925" s="205" t="s">
        <v>4440</v>
      </c>
      <c r="B3925" s="206">
        <v>105223</v>
      </c>
      <c r="C3925" s="207" t="s">
        <v>4578</v>
      </c>
      <c r="D3925" s="208" t="s">
        <v>580</v>
      </c>
      <c r="E3925" s="209">
        <v>165.49</v>
      </c>
      <c r="F3925" s="209">
        <v>12.85</v>
      </c>
      <c r="G3925" s="209">
        <v>178.34</v>
      </c>
      <c r="H3925" s="198"/>
    </row>
    <row r="3926" spans="1:8" ht="15.75" hidden="1" customHeight="1" x14ac:dyDescent="0.25">
      <c r="A3926" s="205" t="s">
        <v>4440</v>
      </c>
      <c r="B3926" s="206">
        <v>105224</v>
      </c>
      <c r="C3926" s="207" t="s">
        <v>4579</v>
      </c>
      <c r="D3926" s="208" t="s">
        <v>580</v>
      </c>
      <c r="E3926" s="209">
        <v>241.36</v>
      </c>
      <c r="F3926" s="209">
        <v>18.39</v>
      </c>
      <c r="G3926" s="209">
        <v>259.75</v>
      </c>
      <c r="H3926" s="198"/>
    </row>
    <row r="3927" spans="1:8" ht="15.75" hidden="1" customHeight="1" x14ac:dyDescent="0.25">
      <c r="A3927" s="205" t="s">
        <v>4440</v>
      </c>
      <c r="B3927" s="206">
        <v>105149</v>
      </c>
      <c r="C3927" s="207" t="s">
        <v>4580</v>
      </c>
      <c r="D3927" s="208" t="s">
        <v>580</v>
      </c>
      <c r="E3927" s="209">
        <v>4.43</v>
      </c>
      <c r="F3927" s="209">
        <v>4.88</v>
      </c>
      <c r="G3927" s="209">
        <v>9.31</v>
      </c>
      <c r="H3927" s="198"/>
    </row>
    <row r="3928" spans="1:8" ht="15.75" hidden="1" customHeight="1" x14ac:dyDescent="0.25">
      <c r="A3928" s="205" t="s">
        <v>4440</v>
      </c>
      <c r="B3928" s="206">
        <v>105150</v>
      </c>
      <c r="C3928" s="207" t="s">
        <v>4581</v>
      </c>
      <c r="D3928" s="208" t="s">
        <v>580</v>
      </c>
      <c r="E3928" s="209">
        <v>5.6</v>
      </c>
      <c r="F3928" s="209">
        <v>5.37</v>
      </c>
      <c r="G3928" s="209">
        <v>10.97</v>
      </c>
      <c r="H3928" s="198"/>
    </row>
    <row r="3929" spans="1:8" ht="15.75" hidden="1" customHeight="1" x14ac:dyDescent="0.25">
      <c r="A3929" s="205" t="s">
        <v>4440</v>
      </c>
      <c r="B3929" s="206">
        <v>105151</v>
      </c>
      <c r="C3929" s="207" t="s">
        <v>4582</v>
      </c>
      <c r="D3929" s="208" t="s">
        <v>580</v>
      </c>
      <c r="E3929" s="209">
        <v>20.21</v>
      </c>
      <c r="F3929" s="209">
        <v>7.47</v>
      </c>
      <c r="G3929" s="209">
        <v>27.68</v>
      </c>
      <c r="H3929" s="198"/>
    </row>
    <row r="3930" spans="1:8" ht="15.75" hidden="1" customHeight="1" x14ac:dyDescent="0.25">
      <c r="A3930" s="205" t="s">
        <v>4440</v>
      </c>
      <c r="B3930" s="206">
        <v>105152</v>
      </c>
      <c r="C3930" s="207" t="s">
        <v>4583</v>
      </c>
      <c r="D3930" s="208" t="s">
        <v>580</v>
      </c>
      <c r="E3930" s="209">
        <v>31.96</v>
      </c>
      <c r="F3930" s="209">
        <v>9.3800000000000008</v>
      </c>
      <c r="G3930" s="209">
        <v>41.34</v>
      </c>
      <c r="H3930" s="198"/>
    </row>
    <row r="3931" spans="1:8" ht="15.75" hidden="1" customHeight="1" x14ac:dyDescent="0.25">
      <c r="A3931" s="205" t="s">
        <v>4440</v>
      </c>
      <c r="B3931" s="206">
        <v>105153</v>
      </c>
      <c r="C3931" s="207" t="s">
        <v>4584</v>
      </c>
      <c r="D3931" s="208" t="s">
        <v>580</v>
      </c>
      <c r="E3931" s="209">
        <v>52.57</v>
      </c>
      <c r="F3931" s="209">
        <v>12.52</v>
      </c>
      <c r="G3931" s="209">
        <v>65.09</v>
      </c>
      <c r="H3931" s="198"/>
    </row>
    <row r="3932" spans="1:8" ht="15.75" hidden="1" customHeight="1" x14ac:dyDescent="0.25">
      <c r="A3932" s="205" t="s">
        <v>4440</v>
      </c>
      <c r="B3932" s="206">
        <v>105161</v>
      </c>
      <c r="C3932" s="207" t="s">
        <v>4585</v>
      </c>
      <c r="D3932" s="208" t="s">
        <v>580</v>
      </c>
      <c r="E3932" s="209">
        <v>101.85</v>
      </c>
      <c r="F3932" s="209">
        <v>16.079999999999998</v>
      </c>
      <c r="G3932" s="209">
        <v>117.93</v>
      </c>
      <c r="H3932" s="198"/>
    </row>
    <row r="3933" spans="1:8" ht="15.75" hidden="1" customHeight="1" x14ac:dyDescent="0.25">
      <c r="A3933" s="205" t="s">
        <v>4440</v>
      </c>
      <c r="B3933" s="206">
        <v>105162</v>
      </c>
      <c r="C3933" s="207" t="s">
        <v>4586</v>
      </c>
      <c r="D3933" s="208" t="s">
        <v>580</v>
      </c>
      <c r="E3933" s="209">
        <v>180.49</v>
      </c>
      <c r="F3933" s="209">
        <v>21.37</v>
      </c>
      <c r="G3933" s="209">
        <v>201.86</v>
      </c>
      <c r="H3933" s="198"/>
    </row>
    <row r="3934" spans="1:8" ht="15.75" hidden="1" customHeight="1" x14ac:dyDescent="0.25">
      <c r="A3934" s="205" t="s">
        <v>4440</v>
      </c>
      <c r="B3934" s="206">
        <v>105163</v>
      </c>
      <c r="C3934" s="207" t="s">
        <v>4587</v>
      </c>
      <c r="D3934" s="208" t="s">
        <v>580</v>
      </c>
      <c r="E3934" s="209">
        <v>11.2</v>
      </c>
      <c r="F3934" s="209">
        <v>6.22</v>
      </c>
      <c r="G3934" s="209">
        <v>17.420000000000002</v>
      </c>
      <c r="H3934" s="198"/>
    </row>
    <row r="3935" spans="1:8" ht="15.75" hidden="1" customHeight="1" x14ac:dyDescent="0.25">
      <c r="A3935" s="205" t="s">
        <v>4440</v>
      </c>
      <c r="B3935" s="206">
        <v>105170</v>
      </c>
      <c r="C3935" s="207" t="s">
        <v>4588</v>
      </c>
      <c r="D3935" s="208" t="s">
        <v>580</v>
      </c>
      <c r="E3935" s="209">
        <v>3.46</v>
      </c>
      <c r="F3935" s="209">
        <v>2.78</v>
      </c>
      <c r="G3935" s="209">
        <v>6.24</v>
      </c>
      <c r="H3935" s="198"/>
    </row>
    <row r="3936" spans="1:8" ht="15.75" hidden="1" customHeight="1" x14ac:dyDescent="0.25">
      <c r="A3936" s="205" t="s">
        <v>4440</v>
      </c>
      <c r="B3936" s="206">
        <v>105179</v>
      </c>
      <c r="C3936" s="207" t="s">
        <v>4589</v>
      </c>
      <c r="D3936" s="208" t="s">
        <v>580</v>
      </c>
      <c r="E3936" s="209">
        <v>6.41</v>
      </c>
      <c r="F3936" s="209">
        <v>3.64</v>
      </c>
      <c r="G3936" s="209">
        <v>10.050000000000001</v>
      </c>
      <c r="H3936" s="198"/>
    </row>
    <row r="3937" spans="1:8" ht="15.75" hidden="1" customHeight="1" x14ac:dyDescent="0.25">
      <c r="A3937" s="205" t="s">
        <v>4440</v>
      </c>
      <c r="B3937" s="206">
        <v>105180</v>
      </c>
      <c r="C3937" s="207" t="s">
        <v>4590</v>
      </c>
      <c r="D3937" s="208" t="s">
        <v>580</v>
      </c>
      <c r="E3937" s="209">
        <v>8.83</v>
      </c>
      <c r="F3937" s="209">
        <v>4.8600000000000003</v>
      </c>
      <c r="G3937" s="209">
        <v>13.69</v>
      </c>
      <c r="H3937" s="198"/>
    </row>
    <row r="3938" spans="1:8" ht="15.75" hidden="1" customHeight="1" x14ac:dyDescent="0.25">
      <c r="A3938" s="205" t="s">
        <v>4440</v>
      </c>
      <c r="B3938" s="206">
        <v>105181</v>
      </c>
      <c r="C3938" s="207" t="s">
        <v>4591</v>
      </c>
      <c r="D3938" s="208" t="s">
        <v>580</v>
      </c>
      <c r="E3938" s="209">
        <v>11.81</v>
      </c>
      <c r="F3938" s="209">
        <v>6.8</v>
      </c>
      <c r="G3938" s="209">
        <v>18.61</v>
      </c>
      <c r="H3938" s="198"/>
    </row>
    <row r="3939" spans="1:8" ht="15.75" hidden="1" customHeight="1" x14ac:dyDescent="0.25">
      <c r="A3939" s="205" t="s">
        <v>4440</v>
      </c>
      <c r="B3939" s="206">
        <v>105182</v>
      </c>
      <c r="C3939" s="207" t="s">
        <v>4592</v>
      </c>
      <c r="D3939" s="208" t="s">
        <v>580</v>
      </c>
      <c r="E3939" s="209">
        <v>30.28</v>
      </c>
      <c r="F3939" s="209">
        <v>9.16</v>
      </c>
      <c r="G3939" s="209">
        <v>39.44</v>
      </c>
      <c r="H3939" s="198"/>
    </row>
    <row r="3940" spans="1:8" ht="15.75" hidden="1" customHeight="1" x14ac:dyDescent="0.25">
      <c r="A3940" s="205" t="s">
        <v>4440</v>
      </c>
      <c r="B3940" s="206">
        <v>105183</v>
      </c>
      <c r="C3940" s="207" t="s">
        <v>4593</v>
      </c>
      <c r="D3940" s="208" t="s">
        <v>580</v>
      </c>
      <c r="E3940" s="209">
        <v>65.91</v>
      </c>
      <c r="F3940" s="209">
        <v>13.49</v>
      </c>
      <c r="G3940" s="209">
        <v>79.400000000000006</v>
      </c>
      <c r="H3940" s="198"/>
    </row>
    <row r="3941" spans="1:8" ht="15.75" hidden="1" customHeight="1" x14ac:dyDescent="0.25">
      <c r="A3941" s="205" t="s">
        <v>4440</v>
      </c>
      <c r="B3941" s="206">
        <v>105184</v>
      </c>
      <c r="C3941" s="207" t="s">
        <v>4594</v>
      </c>
      <c r="D3941" s="208" t="s">
        <v>580</v>
      </c>
      <c r="E3941" s="209">
        <v>81.53</v>
      </c>
      <c r="F3941" s="209">
        <v>16.91</v>
      </c>
      <c r="G3941" s="209">
        <v>98.44</v>
      </c>
      <c r="H3941" s="198"/>
    </row>
    <row r="3942" spans="1:8" ht="15.75" hidden="1" customHeight="1" x14ac:dyDescent="0.25">
      <c r="A3942" s="205" t="s">
        <v>4440</v>
      </c>
      <c r="B3942" s="206">
        <v>94612</v>
      </c>
      <c r="C3942" s="207" t="s">
        <v>4595</v>
      </c>
      <c r="D3942" s="208" t="s">
        <v>580</v>
      </c>
      <c r="E3942" s="209">
        <v>416.32</v>
      </c>
      <c r="F3942" s="209">
        <v>23.39</v>
      </c>
      <c r="G3942" s="209">
        <v>439.71</v>
      </c>
      <c r="H3942" s="198"/>
    </row>
    <row r="3943" spans="1:8" ht="15.75" hidden="1" customHeight="1" x14ac:dyDescent="0.25">
      <c r="A3943" s="205" t="s">
        <v>4440</v>
      </c>
      <c r="B3943" s="206">
        <v>105142</v>
      </c>
      <c r="C3943" s="207" t="s">
        <v>4596</v>
      </c>
      <c r="D3943" s="208" t="s">
        <v>580</v>
      </c>
      <c r="E3943" s="209">
        <v>4.79</v>
      </c>
      <c r="F3943" s="209">
        <v>2.15</v>
      </c>
      <c r="G3943" s="209">
        <v>6.94</v>
      </c>
      <c r="H3943" s="198"/>
    </row>
    <row r="3944" spans="1:8" ht="15.75" hidden="1" customHeight="1" x14ac:dyDescent="0.25">
      <c r="A3944" s="205" t="s">
        <v>4440</v>
      </c>
      <c r="B3944" s="206">
        <v>105143</v>
      </c>
      <c r="C3944" s="207" t="s">
        <v>4597</v>
      </c>
      <c r="D3944" s="208" t="s">
        <v>580</v>
      </c>
      <c r="E3944" s="209">
        <v>7.3</v>
      </c>
      <c r="F3944" s="209">
        <v>2.84</v>
      </c>
      <c r="G3944" s="209">
        <v>10.14</v>
      </c>
      <c r="H3944" s="198"/>
    </row>
    <row r="3945" spans="1:8" ht="15.75" hidden="1" customHeight="1" x14ac:dyDescent="0.25">
      <c r="A3945" s="205" t="s">
        <v>4440</v>
      </c>
      <c r="B3945" s="206">
        <v>105144</v>
      </c>
      <c r="C3945" s="207" t="s">
        <v>4598</v>
      </c>
      <c r="D3945" s="208" t="s">
        <v>580</v>
      </c>
      <c r="E3945" s="209">
        <v>15.79</v>
      </c>
      <c r="F3945" s="209">
        <v>5.31</v>
      </c>
      <c r="G3945" s="209">
        <v>21.1</v>
      </c>
      <c r="H3945" s="198"/>
    </row>
    <row r="3946" spans="1:8" ht="15.75" hidden="1" customHeight="1" x14ac:dyDescent="0.25">
      <c r="A3946" s="205" t="s">
        <v>4440</v>
      </c>
      <c r="B3946" s="206">
        <v>105173</v>
      </c>
      <c r="C3946" s="207" t="s">
        <v>4599</v>
      </c>
      <c r="D3946" s="208" t="s">
        <v>580</v>
      </c>
      <c r="E3946" s="209">
        <v>83.01</v>
      </c>
      <c r="F3946" s="209">
        <v>16.510000000000002</v>
      </c>
      <c r="G3946" s="209">
        <v>99.52</v>
      </c>
      <c r="H3946" s="198"/>
    </row>
    <row r="3947" spans="1:8" ht="15.75" hidden="1" customHeight="1" x14ac:dyDescent="0.25">
      <c r="A3947" s="205" t="s">
        <v>4440</v>
      </c>
      <c r="B3947" s="206">
        <v>105175</v>
      </c>
      <c r="C3947" s="207" t="s">
        <v>4600</v>
      </c>
      <c r="D3947" s="208" t="s">
        <v>580</v>
      </c>
      <c r="E3947" s="209">
        <v>123.65</v>
      </c>
      <c r="F3947" s="209">
        <v>18.11</v>
      </c>
      <c r="G3947" s="209">
        <v>141.76</v>
      </c>
      <c r="H3947" s="198"/>
    </row>
    <row r="3948" spans="1:8" ht="15.75" hidden="1" customHeight="1" x14ac:dyDescent="0.25">
      <c r="A3948" s="205" t="s">
        <v>4440</v>
      </c>
      <c r="B3948" s="206">
        <v>105174</v>
      </c>
      <c r="C3948" s="207" t="s">
        <v>4601</v>
      </c>
      <c r="D3948" s="208" t="s">
        <v>580</v>
      </c>
      <c r="E3948" s="209">
        <v>124.2</v>
      </c>
      <c r="F3948" s="209">
        <v>19.38</v>
      </c>
      <c r="G3948" s="209">
        <v>143.58000000000001</v>
      </c>
      <c r="H3948" s="198"/>
    </row>
    <row r="3949" spans="1:8" ht="15.75" hidden="1" customHeight="1" x14ac:dyDescent="0.25">
      <c r="A3949" s="205" t="s">
        <v>4440</v>
      </c>
      <c r="B3949" s="206">
        <v>105145</v>
      </c>
      <c r="C3949" s="207" t="s">
        <v>4602</v>
      </c>
      <c r="D3949" s="208" t="s">
        <v>580</v>
      </c>
      <c r="E3949" s="209">
        <v>8.5299999999999994</v>
      </c>
      <c r="F3949" s="209">
        <v>3.18</v>
      </c>
      <c r="G3949" s="209">
        <v>11.71</v>
      </c>
      <c r="H3949" s="198"/>
    </row>
    <row r="3950" spans="1:8" ht="15.75" hidden="1" customHeight="1" x14ac:dyDescent="0.25">
      <c r="A3950" s="205" t="s">
        <v>4440</v>
      </c>
      <c r="B3950" s="206">
        <v>94606</v>
      </c>
      <c r="C3950" s="207" t="s">
        <v>4603</v>
      </c>
      <c r="D3950" s="208" t="s">
        <v>580</v>
      </c>
      <c r="E3950" s="209">
        <v>68.72</v>
      </c>
      <c r="F3950" s="209">
        <v>19.809999999999999</v>
      </c>
      <c r="G3950" s="209">
        <v>88.53</v>
      </c>
      <c r="H3950" s="198"/>
    </row>
    <row r="3951" spans="1:8" ht="15.75" hidden="1" customHeight="1" x14ac:dyDescent="0.25">
      <c r="A3951" s="205" t="s">
        <v>4440</v>
      </c>
      <c r="B3951" s="206">
        <v>94608</v>
      </c>
      <c r="C3951" s="207" t="s">
        <v>4604</v>
      </c>
      <c r="D3951" s="208" t="s">
        <v>580</v>
      </c>
      <c r="E3951" s="209">
        <v>193.4</v>
      </c>
      <c r="F3951" s="209">
        <v>20.65</v>
      </c>
      <c r="G3951" s="209">
        <v>214.05</v>
      </c>
      <c r="H3951" s="198"/>
    </row>
    <row r="3952" spans="1:8" ht="15.75" hidden="1" customHeight="1" x14ac:dyDescent="0.25">
      <c r="A3952" s="205" t="s">
        <v>4440</v>
      </c>
      <c r="B3952" s="206">
        <v>94610</v>
      </c>
      <c r="C3952" s="207" t="s">
        <v>4605</v>
      </c>
      <c r="D3952" s="208" t="s">
        <v>580</v>
      </c>
      <c r="E3952" s="209">
        <v>289.18</v>
      </c>
      <c r="F3952" s="209">
        <v>21.59</v>
      </c>
      <c r="G3952" s="209">
        <v>310.77</v>
      </c>
      <c r="H3952" s="198"/>
    </row>
    <row r="3953" spans="1:8" ht="15.75" hidden="1" customHeight="1" x14ac:dyDescent="0.25">
      <c r="A3953" s="205" t="s">
        <v>4440</v>
      </c>
      <c r="B3953" s="206">
        <v>94657</v>
      </c>
      <c r="C3953" s="207" t="s">
        <v>4606</v>
      </c>
      <c r="D3953" s="208" t="s">
        <v>580</v>
      </c>
      <c r="E3953" s="209">
        <v>2.5499999999999998</v>
      </c>
      <c r="F3953" s="209">
        <v>1.85</v>
      </c>
      <c r="G3953" s="209">
        <v>4.4000000000000004</v>
      </c>
      <c r="H3953" s="198"/>
    </row>
    <row r="3954" spans="1:8" ht="15.75" hidden="1" customHeight="1" x14ac:dyDescent="0.25">
      <c r="A3954" s="205" t="s">
        <v>4440</v>
      </c>
      <c r="B3954" s="206">
        <v>94659</v>
      </c>
      <c r="C3954" s="207" t="s">
        <v>4607</v>
      </c>
      <c r="D3954" s="208" t="s">
        <v>580</v>
      </c>
      <c r="E3954" s="209">
        <v>4.18</v>
      </c>
      <c r="F3954" s="209">
        <v>2.41</v>
      </c>
      <c r="G3954" s="209">
        <v>6.59</v>
      </c>
      <c r="H3954" s="198"/>
    </row>
    <row r="3955" spans="1:8" ht="15.75" hidden="1" customHeight="1" x14ac:dyDescent="0.25">
      <c r="A3955" s="205" t="s">
        <v>4440</v>
      </c>
      <c r="B3955" s="206">
        <v>94739</v>
      </c>
      <c r="C3955" s="207" t="s">
        <v>4608</v>
      </c>
      <c r="D3955" s="208" t="s">
        <v>580</v>
      </c>
      <c r="E3955" s="209">
        <v>239.83</v>
      </c>
      <c r="F3955" s="209">
        <v>19.5</v>
      </c>
      <c r="G3955" s="209">
        <v>259.33</v>
      </c>
      <c r="H3955" s="198"/>
    </row>
    <row r="3956" spans="1:8" ht="15.75" hidden="1" customHeight="1" x14ac:dyDescent="0.25">
      <c r="A3956" s="205" t="s">
        <v>4440</v>
      </c>
      <c r="B3956" s="206">
        <v>94725</v>
      </c>
      <c r="C3956" s="207" t="s">
        <v>4609</v>
      </c>
      <c r="D3956" s="208" t="s">
        <v>580</v>
      </c>
      <c r="E3956" s="209">
        <v>6.3</v>
      </c>
      <c r="F3956" s="209">
        <v>1.65</v>
      </c>
      <c r="G3956" s="209">
        <v>7.95</v>
      </c>
      <c r="H3956" s="198"/>
    </row>
    <row r="3957" spans="1:8" ht="15.75" hidden="1" customHeight="1" x14ac:dyDescent="0.25">
      <c r="A3957" s="205" t="s">
        <v>4440</v>
      </c>
      <c r="B3957" s="206">
        <v>94727</v>
      </c>
      <c r="C3957" s="207" t="s">
        <v>4610</v>
      </c>
      <c r="D3957" s="208" t="s">
        <v>580</v>
      </c>
      <c r="E3957" s="209">
        <v>10.79</v>
      </c>
      <c r="F3957" s="209">
        <v>2.0699999999999998</v>
      </c>
      <c r="G3957" s="209">
        <v>12.86</v>
      </c>
      <c r="H3957" s="198"/>
    </row>
    <row r="3958" spans="1:8" ht="15.75" hidden="1" customHeight="1" x14ac:dyDescent="0.25">
      <c r="A3958" s="205" t="s">
        <v>4440</v>
      </c>
      <c r="B3958" s="206">
        <v>94729</v>
      </c>
      <c r="C3958" s="207" t="s">
        <v>4611</v>
      </c>
      <c r="D3958" s="208" t="s">
        <v>580</v>
      </c>
      <c r="E3958" s="209">
        <v>19.36</v>
      </c>
      <c r="F3958" s="209">
        <v>2.71</v>
      </c>
      <c r="G3958" s="209">
        <v>22.07</v>
      </c>
      <c r="H3958" s="198"/>
    </row>
    <row r="3959" spans="1:8" ht="15.75" hidden="1" customHeight="1" x14ac:dyDescent="0.25">
      <c r="A3959" s="205" t="s">
        <v>4440</v>
      </c>
      <c r="B3959" s="206">
        <v>94731</v>
      </c>
      <c r="C3959" s="207" t="s">
        <v>4612</v>
      </c>
      <c r="D3959" s="208" t="s">
        <v>580</v>
      </c>
      <c r="E3959" s="209">
        <v>25.77</v>
      </c>
      <c r="F3959" s="209">
        <v>3.47</v>
      </c>
      <c r="G3959" s="209">
        <v>29.24</v>
      </c>
      <c r="H3959" s="198"/>
    </row>
    <row r="3960" spans="1:8" ht="15.75" hidden="1" customHeight="1" x14ac:dyDescent="0.25">
      <c r="A3960" s="205" t="s">
        <v>4440</v>
      </c>
      <c r="B3960" s="206">
        <v>94733</v>
      </c>
      <c r="C3960" s="207" t="s">
        <v>4613</v>
      </c>
      <c r="D3960" s="208" t="s">
        <v>580</v>
      </c>
      <c r="E3960" s="209">
        <v>46.03</v>
      </c>
      <c r="F3960" s="209">
        <v>5.1100000000000003</v>
      </c>
      <c r="G3960" s="209">
        <v>51.14</v>
      </c>
      <c r="H3960" s="198"/>
    </row>
    <row r="3961" spans="1:8" ht="15.75" hidden="1" customHeight="1" x14ac:dyDescent="0.25">
      <c r="A3961" s="205" t="s">
        <v>4440</v>
      </c>
      <c r="B3961" s="206">
        <v>94863</v>
      </c>
      <c r="C3961" s="207" t="s">
        <v>4614</v>
      </c>
      <c r="D3961" s="208" t="s">
        <v>580</v>
      </c>
      <c r="E3961" s="209">
        <v>167.61</v>
      </c>
      <c r="F3961" s="209">
        <v>8.56</v>
      </c>
      <c r="G3961" s="209">
        <v>176.17</v>
      </c>
      <c r="H3961" s="198"/>
    </row>
    <row r="3962" spans="1:8" ht="15.75" hidden="1" customHeight="1" x14ac:dyDescent="0.25">
      <c r="A3962" s="205" t="s">
        <v>4440</v>
      </c>
      <c r="B3962" s="206">
        <v>94737</v>
      </c>
      <c r="C3962" s="207" t="s">
        <v>4615</v>
      </c>
      <c r="D3962" s="208" t="s">
        <v>580</v>
      </c>
      <c r="E3962" s="209">
        <v>198.08</v>
      </c>
      <c r="F3962" s="209">
        <v>12.26</v>
      </c>
      <c r="G3962" s="209">
        <v>210.34</v>
      </c>
      <c r="H3962" s="198"/>
    </row>
    <row r="3963" spans="1:8" ht="15.75" hidden="1" customHeight="1" x14ac:dyDescent="0.25">
      <c r="A3963" s="205" t="s">
        <v>4440</v>
      </c>
      <c r="B3963" s="206">
        <v>94465</v>
      </c>
      <c r="C3963" s="207" t="s">
        <v>4616</v>
      </c>
      <c r="D3963" s="208" t="s">
        <v>580</v>
      </c>
      <c r="E3963" s="209">
        <v>45.3</v>
      </c>
      <c r="F3963" s="209">
        <v>15.21</v>
      </c>
      <c r="G3963" s="209">
        <v>60.51</v>
      </c>
      <c r="H3963" s="198"/>
    </row>
    <row r="3964" spans="1:8" ht="15.75" hidden="1" customHeight="1" x14ac:dyDescent="0.25">
      <c r="A3964" s="205" t="s">
        <v>4440</v>
      </c>
      <c r="B3964" s="206">
        <v>94467</v>
      </c>
      <c r="C3964" s="207" t="s">
        <v>4617</v>
      </c>
      <c r="D3964" s="208" t="s">
        <v>580</v>
      </c>
      <c r="E3964" s="209">
        <v>78.73</v>
      </c>
      <c r="F3964" s="209">
        <v>17.77</v>
      </c>
      <c r="G3964" s="209">
        <v>96.5</v>
      </c>
      <c r="H3964" s="198"/>
    </row>
    <row r="3965" spans="1:8" ht="15.75" hidden="1" customHeight="1" x14ac:dyDescent="0.25">
      <c r="A3965" s="205" t="s">
        <v>4440</v>
      </c>
      <c r="B3965" s="206">
        <v>94469</v>
      </c>
      <c r="C3965" s="207" t="s">
        <v>4618</v>
      </c>
      <c r="D3965" s="208" t="s">
        <v>580</v>
      </c>
      <c r="E3965" s="209">
        <v>116.38</v>
      </c>
      <c r="F3965" s="209">
        <v>20.99</v>
      </c>
      <c r="G3965" s="209">
        <v>137.37</v>
      </c>
      <c r="H3965" s="198"/>
    </row>
    <row r="3966" spans="1:8" ht="15.75" hidden="1" customHeight="1" x14ac:dyDescent="0.25">
      <c r="A3966" s="205" t="s">
        <v>4440</v>
      </c>
      <c r="B3966" s="206">
        <v>96746</v>
      </c>
      <c r="C3966" s="207" t="s">
        <v>4619</v>
      </c>
      <c r="D3966" s="208" t="s">
        <v>580</v>
      </c>
      <c r="E3966" s="209">
        <v>117.48</v>
      </c>
      <c r="F3966" s="209">
        <v>19.95</v>
      </c>
      <c r="G3966" s="209">
        <v>137.43</v>
      </c>
      <c r="H3966" s="198"/>
    </row>
    <row r="3967" spans="1:8" ht="15.75" hidden="1" customHeight="1" x14ac:dyDescent="0.25">
      <c r="A3967" s="205" t="s">
        <v>4440</v>
      </c>
      <c r="B3967" s="206">
        <v>96736</v>
      </c>
      <c r="C3967" s="207" t="s">
        <v>4620</v>
      </c>
      <c r="D3967" s="208" t="s">
        <v>580</v>
      </c>
      <c r="E3967" s="209">
        <v>4.1500000000000004</v>
      </c>
      <c r="F3967" s="209">
        <v>3.25</v>
      </c>
      <c r="G3967" s="209">
        <v>7.4</v>
      </c>
      <c r="H3967" s="198"/>
    </row>
    <row r="3968" spans="1:8" ht="15.75" hidden="1" customHeight="1" x14ac:dyDescent="0.25">
      <c r="A3968" s="205" t="s">
        <v>4440</v>
      </c>
      <c r="B3968" s="206">
        <v>96737</v>
      </c>
      <c r="C3968" s="207" t="s">
        <v>4621</v>
      </c>
      <c r="D3968" s="208" t="s">
        <v>580</v>
      </c>
      <c r="E3968" s="209">
        <v>4</v>
      </c>
      <c r="F3968" s="209">
        <v>3.58</v>
      </c>
      <c r="G3968" s="209">
        <v>7.58</v>
      </c>
      <c r="H3968" s="198"/>
    </row>
    <row r="3969" spans="1:8" ht="15.75" hidden="1" customHeight="1" x14ac:dyDescent="0.25">
      <c r="A3969" s="205" t="s">
        <v>4440</v>
      </c>
      <c r="B3969" s="206">
        <v>96739</v>
      </c>
      <c r="C3969" s="207" t="s">
        <v>4622</v>
      </c>
      <c r="D3969" s="208" t="s">
        <v>580</v>
      </c>
      <c r="E3969" s="209">
        <v>6.36</v>
      </c>
      <c r="F3969" s="209">
        <v>4.1399999999999997</v>
      </c>
      <c r="G3969" s="209">
        <v>10.5</v>
      </c>
      <c r="H3969" s="198"/>
    </row>
    <row r="3970" spans="1:8" ht="15.75" hidden="1" customHeight="1" x14ac:dyDescent="0.25">
      <c r="A3970" s="205" t="s">
        <v>4440</v>
      </c>
      <c r="B3970" s="206">
        <v>96741</v>
      </c>
      <c r="C3970" s="207" t="s">
        <v>4623</v>
      </c>
      <c r="D3970" s="208" t="s">
        <v>580</v>
      </c>
      <c r="E3970" s="209">
        <v>15.59</v>
      </c>
      <c r="F3970" s="209">
        <v>4.96</v>
      </c>
      <c r="G3970" s="209">
        <v>20.55</v>
      </c>
      <c r="H3970" s="198"/>
    </row>
    <row r="3971" spans="1:8" ht="15.75" hidden="1" customHeight="1" x14ac:dyDescent="0.25">
      <c r="A3971" s="205" t="s">
        <v>4440</v>
      </c>
      <c r="B3971" s="206">
        <v>96742</v>
      </c>
      <c r="C3971" s="207" t="s">
        <v>4624</v>
      </c>
      <c r="D3971" s="208" t="s">
        <v>580</v>
      </c>
      <c r="E3971" s="209">
        <v>18.98</v>
      </c>
      <c r="F3971" s="209">
        <v>6.24</v>
      </c>
      <c r="G3971" s="209">
        <v>25.22</v>
      </c>
      <c r="H3971" s="198"/>
    </row>
    <row r="3972" spans="1:8" ht="15.75" hidden="1" customHeight="1" x14ac:dyDescent="0.25">
      <c r="A3972" s="205" t="s">
        <v>4440</v>
      </c>
      <c r="B3972" s="206">
        <v>96743</v>
      </c>
      <c r="C3972" s="207" t="s">
        <v>4625</v>
      </c>
      <c r="D3972" s="208" t="s">
        <v>580</v>
      </c>
      <c r="E3972" s="209">
        <v>31.08</v>
      </c>
      <c r="F3972" s="209">
        <v>8.34</v>
      </c>
      <c r="G3972" s="209">
        <v>39.42</v>
      </c>
      <c r="H3972" s="198"/>
    </row>
    <row r="3973" spans="1:8" ht="15.75" hidden="1" customHeight="1" x14ac:dyDescent="0.25">
      <c r="A3973" s="205" t="s">
        <v>4440</v>
      </c>
      <c r="B3973" s="206">
        <v>96744</v>
      </c>
      <c r="C3973" s="207" t="s">
        <v>4626</v>
      </c>
      <c r="D3973" s="208" t="s">
        <v>580</v>
      </c>
      <c r="E3973" s="209">
        <v>55.92</v>
      </c>
      <c r="F3973" s="209">
        <v>10.72</v>
      </c>
      <c r="G3973" s="209">
        <v>66.64</v>
      </c>
      <c r="H3973" s="198"/>
    </row>
    <row r="3974" spans="1:8" ht="15.75" hidden="1" customHeight="1" x14ac:dyDescent="0.25">
      <c r="A3974" s="205" t="s">
        <v>4440</v>
      </c>
      <c r="B3974" s="206">
        <v>96745</v>
      </c>
      <c r="C3974" s="207" t="s">
        <v>4627</v>
      </c>
      <c r="D3974" s="208" t="s">
        <v>580</v>
      </c>
      <c r="E3974" s="209">
        <v>90.33</v>
      </c>
      <c r="F3974" s="209">
        <v>14.25</v>
      </c>
      <c r="G3974" s="209">
        <v>104.58</v>
      </c>
      <c r="H3974" s="198"/>
    </row>
    <row r="3975" spans="1:8" ht="15.75" hidden="1" customHeight="1" x14ac:dyDescent="0.25">
      <c r="A3975" s="205" t="s">
        <v>4440</v>
      </c>
      <c r="B3975" s="206">
        <v>94671</v>
      </c>
      <c r="C3975" s="207" t="s">
        <v>4628</v>
      </c>
      <c r="D3975" s="208" t="s">
        <v>580</v>
      </c>
      <c r="E3975" s="209">
        <v>79.53</v>
      </c>
      <c r="F3975" s="209">
        <v>18.21</v>
      </c>
      <c r="G3975" s="209">
        <v>97.74</v>
      </c>
      <c r="H3975" s="198"/>
    </row>
    <row r="3976" spans="1:8" ht="15.75" hidden="1" customHeight="1" x14ac:dyDescent="0.25">
      <c r="A3976" s="205" t="s">
        <v>4440</v>
      </c>
      <c r="B3976" s="206">
        <v>94661</v>
      </c>
      <c r="C3976" s="207" t="s">
        <v>4629</v>
      </c>
      <c r="D3976" s="208" t="s">
        <v>580</v>
      </c>
      <c r="E3976" s="209">
        <v>6.8</v>
      </c>
      <c r="F3976" s="209">
        <v>3.25</v>
      </c>
      <c r="G3976" s="209">
        <v>10.050000000000001</v>
      </c>
      <c r="H3976" s="198"/>
    </row>
    <row r="3977" spans="1:8" ht="15.75" hidden="1" customHeight="1" x14ac:dyDescent="0.25">
      <c r="A3977" s="205" t="s">
        <v>4440</v>
      </c>
      <c r="B3977" s="206">
        <v>94663</v>
      </c>
      <c r="C3977" s="207" t="s">
        <v>4630</v>
      </c>
      <c r="D3977" s="208" t="s">
        <v>580</v>
      </c>
      <c r="E3977" s="209">
        <v>8.3699999999999992</v>
      </c>
      <c r="F3977" s="209">
        <v>4.5199999999999996</v>
      </c>
      <c r="G3977" s="209">
        <v>12.89</v>
      </c>
      <c r="H3977" s="198"/>
    </row>
    <row r="3978" spans="1:8" ht="15.75" hidden="1" customHeight="1" x14ac:dyDescent="0.25">
      <c r="A3978" s="205" t="s">
        <v>4440</v>
      </c>
      <c r="B3978" s="206">
        <v>94665</v>
      </c>
      <c r="C3978" s="207" t="s">
        <v>4631</v>
      </c>
      <c r="D3978" s="208" t="s">
        <v>580</v>
      </c>
      <c r="E3978" s="209">
        <v>17.55</v>
      </c>
      <c r="F3978" s="209">
        <v>6.08</v>
      </c>
      <c r="G3978" s="209">
        <v>23.63</v>
      </c>
      <c r="H3978" s="198"/>
    </row>
    <row r="3979" spans="1:8" ht="15.75" hidden="1" customHeight="1" x14ac:dyDescent="0.25">
      <c r="A3979" s="205" t="s">
        <v>4440</v>
      </c>
      <c r="B3979" s="206">
        <v>94667</v>
      </c>
      <c r="C3979" s="207" t="s">
        <v>4632</v>
      </c>
      <c r="D3979" s="208" t="s">
        <v>580</v>
      </c>
      <c r="E3979" s="209">
        <v>25.81</v>
      </c>
      <c r="F3979" s="209">
        <v>8.98</v>
      </c>
      <c r="G3979" s="209">
        <v>34.79</v>
      </c>
      <c r="H3979" s="198"/>
    </row>
    <row r="3980" spans="1:8" ht="15.75" hidden="1" customHeight="1" x14ac:dyDescent="0.25">
      <c r="A3980" s="205" t="s">
        <v>4440</v>
      </c>
      <c r="B3980" s="206">
        <v>94669</v>
      </c>
      <c r="C3980" s="207" t="s">
        <v>4633</v>
      </c>
      <c r="D3980" s="208" t="s">
        <v>580</v>
      </c>
      <c r="E3980" s="209">
        <v>48.66</v>
      </c>
      <c r="F3980" s="209">
        <v>11.27</v>
      </c>
      <c r="G3980" s="209">
        <v>59.93</v>
      </c>
      <c r="H3980" s="198"/>
    </row>
    <row r="3981" spans="1:8" ht="15.75" hidden="1" customHeight="1" x14ac:dyDescent="0.25">
      <c r="A3981" s="205" t="s">
        <v>4440</v>
      </c>
      <c r="B3981" s="206">
        <v>105177</v>
      </c>
      <c r="C3981" s="207" t="s">
        <v>4634</v>
      </c>
      <c r="D3981" s="208" t="s">
        <v>580</v>
      </c>
      <c r="E3981" s="209">
        <v>141.46</v>
      </c>
      <c r="F3981" s="209">
        <v>18.11</v>
      </c>
      <c r="G3981" s="209">
        <v>159.57</v>
      </c>
      <c r="H3981" s="198"/>
    </row>
    <row r="3982" spans="1:8" ht="15.75" hidden="1" customHeight="1" x14ac:dyDescent="0.25">
      <c r="A3982" s="205" t="s">
        <v>4440</v>
      </c>
      <c r="B3982" s="206">
        <v>105176</v>
      </c>
      <c r="C3982" s="207" t="s">
        <v>4635</v>
      </c>
      <c r="D3982" s="208" t="s">
        <v>580</v>
      </c>
      <c r="E3982" s="209">
        <v>159.76</v>
      </c>
      <c r="F3982" s="209">
        <v>19.38</v>
      </c>
      <c r="G3982" s="209">
        <v>179.14</v>
      </c>
      <c r="H3982" s="198"/>
    </row>
    <row r="3983" spans="1:8" ht="15.75" hidden="1" customHeight="1" x14ac:dyDescent="0.25">
      <c r="A3983" s="205" t="s">
        <v>4440</v>
      </c>
      <c r="B3983" s="206">
        <v>94466</v>
      </c>
      <c r="C3983" s="207" t="s">
        <v>4636</v>
      </c>
      <c r="D3983" s="208" t="s">
        <v>580</v>
      </c>
      <c r="E3983" s="209">
        <v>45.33</v>
      </c>
      <c r="F3983" s="209">
        <v>15.21</v>
      </c>
      <c r="G3983" s="209">
        <v>60.54</v>
      </c>
      <c r="H3983" s="198"/>
    </row>
    <row r="3984" spans="1:8" ht="15.75" hidden="1" customHeight="1" x14ac:dyDescent="0.25">
      <c r="A3984" s="205" t="s">
        <v>4440</v>
      </c>
      <c r="B3984" s="206">
        <v>94468</v>
      </c>
      <c r="C3984" s="207" t="s">
        <v>4637</v>
      </c>
      <c r="D3984" s="208" t="s">
        <v>580</v>
      </c>
      <c r="E3984" s="209">
        <v>67.260000000000005</v>
      </c>
      <c r="F3984" s="209">
        <v>17.77</v>
      </c>
      <c r="G3984" s="209">
        <v>85.03</v>
      </c>
      <c r="H3984" s="198"/>
    </row>
    <row r="3985" spans="1:8" ht="15.75" hidden="1" customHeight="1" x14ac:dyDescent="0.25">
      <c r="A3985" s="205" t="s">
        <v>4440</v>
      </c>
      <c r="B3985" s="206">
        <v>94470</v>
      </c>
      <c r="C3985" s="207" t="s">
        <v>4638</v>
      </c>
      <c r="D3985" s="208" t="s">
        <v>580</v>
      </c>
      <c r="E3985" s="209">
        <v>106.17</v>
      </c>
      <c r="F3985" s="209">
        <v>20.99</v>
      </c>
      <c r="G3985" s="209">
        <v>127.16</v>
      </c>
      <c r="H3985" s="198"/>
    </row>
    <row r="3986" spans="1:8" ht="15.75" hidden="1" customHeight="1" x14ac:dyDescent="0.25">
      <c r="A3986" s="205" t="s">
        <v>4440</v>
      </c>
      <c r="B3986" s="206">
        <v>105225</v>
      </c>
      <c r="C3986" s="207" t="s">
        <v>4639</v>
      </c>
      <c r="D3986" s="208" t="s">
        <v>580</v>
      </c>
      <c r="E3986" s="209">
        <v>15.57</v>
      </c>
      <c r="F3986" s="209">
        <v>3.89</v>
      </c>
      <c r="G3986" s="209">
        <v>19.46</v>
      </c>
      <c r="H3986" s="198"/>
    </row>
    <row r="3987" spans="1:8" ht="15.75" hidden="1" customHeight="1" x14ac:dyDescent="0.25">
      <c r="A3987" s="205" t="s">
        <v>4440</v>
      </c>
      <c r="B3987" s="206">
        <v>105226</v>
      </c>
      <c r="C3987" s="207" t="s">
        <v>4640</v>
      </c>
      <c r="D3987" s="208" t="s">
        <v>580</v>
      </c>
      <c r="E3987" s="209">
        <v>39.840000000000003</v>
      </c>
      <c r="F3987" s="209">
        <v>5</v>
      </c>
      <c r="G3987" s="209">
        <v>44.84</v>
      </c>
      <c r="H3987" s="198"/>
    </row>
    <row r="3988" spans="1:8" ht="15.75" hidden="1" customHeight="1" x14ac:dyDescent="0.25">
      <c r="A3988" s="205" t="s">
        <v>4440</v>
      </c>
      <c r="B3988" s="206">
        <v>105227</v>
      </c>
      <c r="C3988" s="207" t="s">
        <v>4641</v>
      </c>
      <c r="D3988" s="208" t="s">
        <v>580</v>
      </c>
      <c r="E3988" s="209">
        <v>57.61</v>
      </c>
      <c r="F3988" s="209">
        <v>6.45</v>
      </c>
      <c r="G3988" s="209">
        <v>64.06</v>
      </c>
      <c r="H3988" s="198"/>
    </row>
    <row r="3989" spans="1:8" ht="15.75" hidden="1" customHeight="1" x14ac:dyDescent="0.25">
      <c r="A3989" s="205" t="s">
        <v>4440</v>
      </c>
      <c r="B3989" s="206">
        <v>105212</v>
      </c>
      <c r="C3989" s="207" t="s">
        <v>4642</v>
      </c>
      <c r="D3989" s="208" t="s">
        <v>580</v>
      </c>
      <c r="E3989" s="209">
        <v>233.52</v>
      </c>
      <c r="F3989" s="209">
        <v>38.14</v>
      </c>
      <c r="G3989" s="209">
        <v>271.66000000000003</v>
      </c>
      <c r="H3989" s="198"/>
    </row>
    <row r="3990" spans="1:8" ht="15.75" hidden="1" customHeight="1" x14ac:dyDescent="0.25">
      <c r="A3990" s="205" t="s">
        <v>4440</v>
      </c>
      <c r="B3990" s="206">
        <v>105211</v>
      </c>
      <c r="C3990" s="207" t="s">
        <v>4643</v>
      </c>
      <c r="D3990" s="208" t="s">
        <v>580</v>
      </c>
      <c r="E3990" s="209">
        <v>234.23</v>
      </c>
      <c r="F3990" s="209">
        <v>39.85</v>
      </c>
      <c r="G3990" s="209">
        <v>274.08</v>
      </c>
      <c r="H3990" s="198"/>
    </row>
    <row r="3991" spans="1:8" ht="15.75" hidden="1" customHeight="1" x14ac:dyDescent="0.25">
      <c r="A3991" s="205" t="s">
        <v>4440</v>
      </c>
      <c r="B3991" s="206">
        <v>105189</v>
      </c>
      <c r="C3991" s="207" t="s">
        <v>4644</v>
      </c>
      <c r="D3991" s="208" t="s">
        <v>580</v>
      </c>
      <c r="E3991" s="209">
        <v>14.83</v>
      </c>
      <c r="F3991" s="209">
        <v>7.29</v>
      </c>
      <c r="G3991" s="209">
        <v>22.12</v>
      </c>
      <c r="H3991" s="198"/>
    </row>
    <row r="3992" spans="1:8" ht="15.75" hidden="1" customHeight="1" x14ac:dyDescent="0.25">
      <c r="A3992" s="205" t="s">
        <v>4440</v>
      </c>
      <c r="B3992" s="206">
        <v>105190</v>
      </c>
      <c r="C3992" s="207" t="s">
        <v>4645</v>
      </c>
      <c r="D3992" s="208" t="s">
        <v>580</v>
      </c>
      <c r="E3992" s="209">
        <v>19.09</v>
      </c>
      <c r="F3992" s="209">
        <v>7.66</v>
      </c>
      <c r="G3992" s="209">
        <v>26.75</v>
      </c>
      <c r="H3992" s="198"/>
    </row>
    <row r="3993" spans="1:8" ht="15.75" hidden="1" customHeight="1" x14ac:dyDescent="0.25">
      <c r="A3993" s="205" t="s">
        <v>4440</v>
      </c>
      <c r="B3993" s="206">
        <v>94625</v>
      </c>
      <c r="C3993" s="207" t="s">
        <v>4646</v>
      </c>
      <c r="D3993" s="208" t="s">
        <v>580</v>
      </c>
      <c r="E3993" s="209">
        <v>1520.44</v>
      </c>
      <c r="F3993" s="209">
        <v>46.7</v>
      </c>
      <c r="G3993" s="209">
        <v>1567.14</v>
      </c>
      <c r="H3993" s="198"/>
    </row>
    <row r="3994" spans="1:8" ht="15.75" hidden="1" customHeight="1" x14ac:dyDescent="0.25">
      <c r="A3994" s="205" t="s">
        <v>4440</v>
      </c>
      <c r="B3994" s="206">
        <v>94622</v>
      </c>
      <c r="C3994" s="207" t="s">
        <v>4647</v>
      </c>
      <c r="D3994" s="208" t="s">
        <v>580</v>
      </c>
      <c r="E3994" s="209">
        <v>178.12</v>
      </c>
      <c r="F3994" s="209">
        <v>39.630000000000003</v>
      </c>
      <c r="G3994" s="209">
        <v>217.75</v>
      </c>
      <c r="H3994" s="198"/>
    </row>
    <row r="3995" spans="1:8" ht="15.75" hidden="1" customHeight="1" x14ac:dyDescent="0.25">
      <c r="A3995" s="205" t="s">
        <v>4440</v>
      </c>
      <c r="B3995" s="206">
        <v>94623</v>
      </c>
      <c r="C3995" s="207" t="s">
        <v>4648</v>
      </c>
      <c r="D3995" s="208" t="s">
        <v>580</v>
      </c>
      <c r="E3995" s="209">
        <v>462.61</v>
      </c>
      <c r="F3995" s="209">
        <v>41.32</v>
      </c>
      <c r="G3995" s="209">
        <v>503.93</v>
      </c>
      <c r="H3995" s="198"/>
    </row>
    <row r="3996" spans="1:8" ht="15.75" hidden="1" customHeight="1" x14ac:dyDescent="0.25">
      <c r="A3996" s="205" t="s">
        <v>4440</v>
      </c>
      <c r="B3996" s="206">
        <v>94624</v>
      </c>
      <c r="C3996" s="207" t="s">
        <v>4649</v>
      </c>
      <c r="D3996" s="208" t="s">
        <v>580</v>
      </c>
      <c r="E3996" s="209">
        <v>710.68</v>
      </c>
      <c r="F3996" s="209">
        <v>43.19</v>
      </c>
      <c r="G3996" s="209">
        <v>753.87</v>
      </c>
      <c r="H3996" s="198"/>
    </row>
    <row r="3997" spans="1:8" ht="15.75" hidden="1" customHeight="1" x14ac:dyDescent="0.25">
      <c r="A3997" s="205" t="s">
        <v>4440</v>
      </c>
      <c r="B3997" s="206">
        <v>94763</v>
      </c>
      <c r="C3997" s="207" t="s">
        <v>4650</v>
      </c>
      <c r="D3997" s="208" t="s">
        <v>580</v>
      </c>
      <c r="E3997" s="209">
        <v>358.47</v>
      </c>
      <c r="F3997" s="209">
        <v>39.03</v>
      </c>
      <c r="G3997" s="209">
        <v>397.5</v>
      </c>
      <c r="H3997" s="198"/>
    </row>
    <row r="3998" spans="1:8" ht="15.75" hidden="1" customHeight="1" x14ac:dyDescent="0.25">
      <c r="A3998" s="205" t="s">
        <v>4440</v>
      </c>
      <c r="B3998" s="206">
        <v>94756</v>
      </c>
      <c r="C3998" s="207" t="s">
        <v>4651</v>
      </c>
      <c r="D3998" s="208" t="s">
        <v>580</v>
      </c>
      <c r="E3998" s="209">
        <v>11.2</v>
      </c>
      <c r="F3998" s="209">
        <v>3.32</v>
      </c>
      <c r="G3998" s="209">
        <v>14.52</v>
      </c>
      <c r="H3998" s="198"/>
    </row>
    <row r="3999" spans="1:8" ht="15.75" hidden="1" customHeight="1" x14ac:dyDescent="0.25">
      <c r="A3999" s="205" t="s">
        <v>4440</v>
      </c>
      <c r="B3999" s="206">
        <v>94757</v>
      </c>
      <c r="C3999" s="207" t="s">
        <v>4652</v>
      </c>
      <c r="D3999" s="208" t="s">
        <v>580</v>
      </c>
      <c r="E3999" s="209">
        <v>18.52</v>
      </c>
      <c r="F3999" s="209">
        <v>4.17</v>
      </c>
      <c r="G3999" s="209">
        <v>22.69</v>
      </c>
      <c r="H3999" s="198"/>
    </row>
    <row r="4000" spans="1:8" ht="15.75" hidden="1" customHeight="1" x14ac:dyDescent="0.25">
      <c r="A4000" s="205" t="s">
        <v>4440</v>
      </c>
      <c r="B4000" s="206">
        <v>94758</v>
      </c>
      <c r="C4000" s="207" t="s">
        <v>4653</v>
      </c>
      <c r="D4000" s="208" t="s">
        <v>580</v>
      </c>
      <c r="E4000" s="209">
        <v>51.37</v>
      </c>
      <c r="F4000" s="209">
        <v>5.43</v>
      </c>
      <c r="G4000" s="209">
        <v>56.8</v>
      </c>
      <c r="H4000" s="198"/>
    </row>
    <row r="4001" spans="1:8" ht="15.75" hidden="1" customHeight="1" x14ac:dyDescent="0.25">
      <c r="A4001" s="205" t="s">
        <v>4440</v>
      </c>
      <c r="B4001" s="206">
        <v>94759</v>
      </c>
      <c r="C4001" s="207" t="s">
        <v>4654</v>
      </c>
      <c r="D4001" s="208" t="s">
        <v>580</v>
      </c>
      <c r="E4001" s="209">
        <v>65.349999999999994</v>
      </c>
      <c r="F4001" s="209">
        <v>6.97</v>
      </c>
      <c r="G4001" s="209">
        <v>72.319999999999993</v>
      </c>
      <c r="H4001" s="198"/>
    </row>
    <row r="4002" spans="1:8" ht="15.75" hidden="1" customHeight="1" x14ac:dyDescent="0.25">
      <c r="A4002" s="205" t="s">
        <v>4440</v>
      </c>
      <c r="B4002" s="206">
        <v>94760</v>
      </c>
      <c r="C4002" s="207" t="s">
        <v>4655</v>
      </c>
      <c r="D4002" s="208" t="s">
        <v>580</v>
      </c>
      <c r="E4002" s="209">
        <v>104.85</v>
      </c>
      <c r="F4002" s="209">
        <v>10.25</v>
      </c>
      <c r="G4002" s="209">
        <v>115.1</v>
      </c>
      <c r="H4002" s="198"/>
    </row>
    <row r="4003" spans="1:8" ht="15.75" hidden="1" customHeight="1" x14ac:dyDescent="0.25">
      <c r="A4003" s="205" t="s">
        <v>4440</v>
      </c>
      <c r="B4003" s="206">
        <v>94761</v>
      </c>
      <c r="C4003" s="207" t="s">
        <v>4656</v>
      </c>
      <c r="D4003" s="208" t="s">
        <v>580</v>
      </c>
      <c r="E4003" s="209">
        <v>230.92</v>
      </c>
      <c r="F4003" s="209">
        <v>17.14</v>
      </c>
      <c r="G4003" s="209">
        <v>248.06</v>
      </c>
      <c r="H4003" s="198"/>
    </row>
    <row r="4004" spans="1:8" ht="15.75" hidden="1" customHeight="1" x14ac:dyDescent="0.25">
      <c r="A4004" s="205" t="s">
        <v>4440</v>
      </c>
      <c r="B4004" s="206">
        <v>94762</v>
      </c>
      <c r="C4004" s="207" t="s">
        <v>4657</v>
      </c>
      <c r="D4004" s="208" t="s">
        <v>580</v>
      </c>
      <c r="E4004" s="209">
        <v>277.02999999999997</v>
      </c>
      <c r="F4004" s="209">
        <v>24.54</v>
      </c>
      <c r="G4004" s="209">
        <v>301.57</v>
      </c>
      <c r="H4004" s="198"/>
    </row>
    <row r="4005" spans="1:8" ht="15.75" hidden="1" customHeight="1" x14ac:dyDescent="0.25">
      <c r="A4005" s="205" t="s">
        <v>4440</v>
      </c>
      <c r="B4005" s="206">
        <v>94462</v>
      </c>
      <c r="C4005" s="207" t="s">
        <v>4658</v>
      </c>
      <c r="D4005" s="208" t="s">
        <v>585</v>
      </c>
      <c r="E4005" s="209">
        <v>86.01</v>
      </c>
      <c r="F4005" s="209">
        <v>18.38</v>
      </c>
      <c r="G4005" s="209">
        <v>104.39</v>
      </c>
      <c r="H4005" s="198"/>
    </row>
    <row r="4006" spans="1:8" ht="15.75" hidden="1" customHeight="1" x14ac:dyDescent="0.25">
      <c r="A4006" s="205" t="s">
        <v>4440</v>
      </c>
      <c r="B4006" s="206">
        <v>94463</v>
      </c>
      <c r="C4006" s="207" t="s">
        <v>4659</v>
      </c>
      <c r="D4006" s="208" t="s">
        <v>585</v>
      </c>
      <c r="E4006" s="209">
        <v>106.27</v>
      </c>
      <c r="F4006" s="209">
        <v>21.47</v>
      </c>
      <c r="G4006" s="209">
        <v>127.74</v>
      </c>
      <c r="H4006" s="198"/>
    </row>
    <row r="4007" spans="1:8" ht="15.75" hidden="1" customHeight="1" x14ac:dyDescent="0.25">
      <c r="A4007" s="205" t="s">
        <v>4440</v>
      </c>
      <c r="B4007" s="206">
        <v>94464</v>
      </c>
      <c r="C4007" s="207" t="s">
        <v>4660</v>
      </c>
      <c r="D4007" s="208" t="s">
        <v>585</v>
      </c>
      <c r="E4007" s="209">
        <v>141.72999999999999</v>
      </c>
      <c r="F4007" s="209">
        <v>25.34</v>
      </c>
      <c r="G4007" s="209">
        <v>167.07</v>
      </c>
      <c r="H4007" s="198"/>
    </row>
    <row r="4008" spans="1:8" ht="15.75" hidden="1" customHeight="1" x14ac:dyDescent="0.25">
      <c r="A4008" s="205" t="s">
        <v>4440</v>
      </c>
      <c r="B4008" s="206">
        <v>94605</v>
      </c>
      <c r="C4008" s="207" t="s">
        <v>4661</v>
      </c>
      <c r="D4008" s="208" t="s">
        <v>585</v>
      </c>
      <c r="E4008" s="209">
        <v>639.47</v>
      </c>
      <c r="F4008" s="209">
        <v>28.24</v>
      </c>
      <c r="G4008" s="209">
        <v>667.71</v>
      </c>
      <c r="H4008" s="198"/>
    </row>
    <row r="4009" spans="1:8" ht="15.75" hidden="1" customHeight="1" x14ac:dyDescent="0.25">
      <c r="A4009" s="205" t="s">
        <v>4440</v>
      </c>
      <c r="B4009" s="206">
        <v>94602</v>
      </c>
      <c r="C4009" s="207" t="s">
        <v>4662</v>
      </c>
      <c r="D4009" s="208" t="s">
        <v>585</v>
      </c>
      <c r="E4009" s="209">
        <v>215.88</v>
      </c>
      <c r="F4009" s="209">
        <v>23.9</v>
      </c>
      <c r="G4009" s="209">
        <v>239.78</v>
      </c>
      <c r="H4009" s="198"/>
    </row>
    <row r="4010" spans="1:8" ht="15.75" hidden="1" customHeight="1" x14ac:dyDescent="0.25">
      <c r="A4010" s="205" t="s">
        <v>4440</v>
      </c>
      <c r="B4010" s="206">
        <v>94603</v>
      </c>
      <c r="C4010" s="207" t="s">
        <v>4663</v>
      </c>
      <c r="D4010" s="208" t="s">
        <v>585</v>
      </c>
      <c r="E4010" s="209">
        <v>300.94</v>
      </c>
      <c r="F4010" s="209">
        <v>24.96</v>
      </c>
      <c r="G4010" s="209">
        <v>325.89999999999998</v>
      </c>
      <c r="H4010" s="198"/>
    </row>
    <row r="4011" spans="1:8" ht="15.75" hidden="1" customHeight="1" x14ac:dyDescent="0.25">
      <c r="A4011" s="205" t="s">
        <v>4440</v>
      </c>
      <c r="B4011" s="206">
        <v>94604</v>
      </c>
      <c r="C4011" s="207" t="s">
        <v>4664</v>
      </c>
      <c r="D4011" s="208" t="s">
        <v>585</v>
      </c>
      <c r="E4011" s="209">
        <v>436.17</v>
      </c>
      <c r="F4011" s="209">
        <v>26.07</v>
      </c>
      <c r="G4011" s="209">
        <v>462.24</v>
      </c>
      <c r="H4011" s="198"/>
    </row>
    <row r="4012" spans="1:8" ht="15.75" hidden="1" customHeight="1" x14ac:dyDescent="0.25">
      <c r="A4012" s="205" t="s">
        <v>4440</v>
      </c>
      <c r="B4012" s="206">
        <v>94723</v>
      </c>
      <c r="C4012" s="207" t="s">
        <v>4665</v>
      </c>
      <c r="D4012" s="208" t="s">
        <v>585</v>
      </c>
      <c r="E4012" s="209">
        <v>482.27</v>
      </c>
      <c r="F4012" s="209">
        <v>23.57</v>
      </c>
      <c r="G4012" s="209">
        <v>505.84</v>
      </c>
      <c r="H4012" s="198"/>
    </row>
    <row r="4013" spans="1:8" ht="15.75" hidden="1" customHeight="1" x14ac:dyDescent="0.25">
      <c r="A4013" s="205" t="s">
        <v>4440</v>
      </c>
      <c r="B4013" s="206">
        <v>94716</v>
      </c>
      <c r="C4013" s="207" t="s">
        <v>4666</v>
      </c>
      <c r="D4013" s="208" t="s">
        <v>585</v>
      </c>
      <c r="E4013" s="209">
        <v>22.97</v>
      </c>
      <c r="F4013" s="209">
        <v>1.99</v>
      </c>
      <c r="G4013" s="209">
        <v>24.96</v>
      </c>
      <c r="H4013" s="198"/>
    </row>
    <row r="4014" spans="1:8" ht="15.75" hidden="1" customHeight="1" x14ac:dyDescent="0.25">
      <c r="A4014" s="205" t="s">
        <v>4440</v>
      </c>
      <c r="B4014" s="206">
        <v>94717</v>
      </c>
      <c r="C4014" s="207" t="s">
        <v>4667</v>
      </c>
      <c r="D4014" s="208" t="s">
        <v>585</v>
      </c>
      <c r="E4014" s="209">
        <v>39.25</v>
      </c>
      <c r="F4014" s="209">
        <v>2.5099999999999998</v>
      </c>
      <c r="G4014" s="209">
        <v>41.76</v>
      </c>
      <c r="H4014" s="198"/>
    </row>
    <row r="4015" spans="1:8" ht="15.75" hidden="1" customHeight="1" x14ac:dyDescent="0.25">
      <c r="A4015" s="205" t="s">
        <v>4440</v>
      </c>
      <c r="B4015" s="206">
        <v>94718</v>
      </c>
      <c r="C4015" s="207" t="s">
        <v>4668</v>
      </c>
      <c r="D4015" s="208" t="s">
        <v>585</v>
      </c>
      <c r="E4015" s="209">
        <v>51.23</v>
      </c>
      <c r="F4015" s="209">
        <v>3.28</v>
      </c>
      <c r="G4015" s="209">
        <v>54.51</v>
      </c>
      <c r="H4015" s="198"/>
    </row>
    <row r="4016" spans="1:8" ht="15.75" hidden="1" customHeight="1" x14ac:dyDescent="0.25">
      <c r="A4016" s="205" t="s">
        <v>4440</v>
      </c>
      <c r="B4016" s="206">
        <v>94719</v>
      </c>
      <c r="C4016" s="207" t="s">
        <v>4669</v>
      </c>
      <c r="D4016" s="208" t="s">
        <v>585</v>
      </c>
      <c r="E4016" s="209">
        <v>68.52</v>
      </c>
      <c r="F4016" s="209">
        <v>4.2</v>
      </c>
      <c r="G4016" s="209">
        <v>72.72</v>
      </c>
      <c r="H4016" s="198"/>
    </row>
    <row r="4017" spans="1:8" ht="15.75" hidden="1" customHeight="1" x14ac:dyDescent="0.25">
      <c r="A4017" s="205" t="s">
        <v>4440</v>
      </c>
      <c r="B4017" s="206">
        <v>94720</v>
      </c>
      <c r="C4017" s="207" t="s">
        <v>4670</v>
      </c>
      <c r="D4017" s="208" t="s">
        <v>585</v>
      </c>
      <c r="E4017" s="209">
        <v>100.33</v>
      </c>
      <c r="F4017" s="209">
        <v>6.18</v>
      </c>
      <c r="G4017" s="209">
        <v>106.51</v>
      </c>
      <c r="H4017" s="198"/>
    </row>
    <row r="4018" spans="1:8" ht="15.75" hidden="1" customHeight="1" x14ac:dyDescent="0.25">
      <c r="A4018" s="205" t="s">
        <v>4440</v>
      </c>
      <c r="B4018" s="206">
        <v>94721</v>
      </c>
      <c r="C4018" s="207" t="s">
        <v>4671</v>
      </c>
      <c r="D4018" s="208" t="s">
        <v>585</v>
      </c>
      <c r="E4018" s="209">
        <v>162.34</v>
      </c>
      <c r="F4018" s="209">
        <v>10.34</v>
      </c>
      <c r="G4018" s="209">
        <v>172.68</v>
      </c>
      <c r="H4018" s="198"/>
    </row>
    <row r="4019" spans="1:8" ht="15.75" hidden="1" customHeight="1" x14ac:dyDescent="0.25">
      <c r="A4019" s="205" t="s">
        <v>4440</v>
      </c>
      <c r="B4019" s="206">
        <v>94722</v>
      </c>
      <c r="C4019" s="207" t="s">
        <v>4672</v>
      </c>
      <c r="D4019" s="208" t="s">
        <v>585</v>
      </c>
      <c r="E4019" s="209">
        <v>254.29</v>
      </c>
      <c r="F4019" s="209">
        <v>14.79</v>
      </c>
      <c r="G4019" s="209">
        <v>269.08</v>
      </c>
      <c r="H4019" s="198"/>
    </row>
    <row r="4020" spans="1:8" ht="15.75" hidden="1" customHeight="1" x14ac:dyDescent="0.25">
      <c r="A4020" s="205" t="s">
        <v>4440</v>
      </c>
      <c r="B4020" s="206">
        <v>96726</v>
      </c>
      <c r="C4020" s="207" t="s">
        <v>4673</v>
      </c>
      <c r="D4020" s="208" t="s">
        <v>585</v>
      </c>
      <c r="E4020" s="209">
        <v>179.51</v>
      </c>
      <c r="F4020" s="209">
        <v>24.1</v>
      </c>
      <c r="G4020" s="209">
        <v>203.61</v>
      </c>
      <c r="H4020" s="198"/>
    </row>
    <row r="4021" spans="1:8" ht="15.75" hidden="1" customHeight="1" x14ac:dyDescent="0.25">
      <c r="A4021" s="205" t="s">
        <v>4440</v>
      </c>
      <c r="B4021" s="206">
        <v>96735</v>
      </c>
      <c r="C4021" s="207" t="s">
        <v>4674</v>
      </c>
      <c r="D4021" s="208" t="s">
        <v>585</v>
      </c>
      <c r="E4021" s="209">
        <v>355.71</v>
      </c>
      <c r="F4021" s="209">
        <v>29.59</v>
      </c>
      <c r="G4021" s="209">
        <v>385.3</v>
      </c>
      <c r="H4021" s="198"/>
    </row>
    <row r="4022" spans="1:8" ht="15.75" hidden="1" customHeight="1" x14ac:dyDescent="0.25">
      <c r="A4022" s="205" t="s">
        <v>4440</v>
      </c>
      <c r="B4022" s="206">
        <v>96718</v>
      </c>
      <c r="C4022" s="207" t="s">
        <v>4675</v>
      </c>
      <c r="D4022" s="208" t="s">
        <v>585</v>
      </c>
      <c r="E4022" s="209">
        <v>14.3</v>
      </c>
      <c r="F4022" s="209">
        <v>3.93</v>
      </c>
      <c r="G4022" s="209">
        <v>18.23</v>
      </c>
      <c r="H4022" s="198"/>
    </row>
    <row r="4023" spans="1:8" ht="15.75" hidden="1" customHeight="1" x14ac:dyDescent="0.25">
      <c r="A4023" s="205" t="s">
        <v>4440</v>
      </c>
      <c r="B4023" s="206">
        <v>96727</v>
      </c>
      <c r="C4023" s="207" t="s">
        <v>4676</v>
      </c>
      <c r="D4023" s="208" t="s">
        <v>585</v>
      </c>
      <c r="E4023" s="209">
        <v>15.9</v>
      </c>
      <c r="F4023" s="209">
        <v>4.84</v>
      </c>
      <c r="G4023" s="209">
        <v>20.74</v>
      </c>
      <c r="H4023" s="198"/>
    </row>
    <row r="4024" spans="1:8" ht="15.75" hidden="1" customHeight="1" x14ac:dyDescent="0.25">
      <c r="A4024" s="205" t="s">
        <v>4440</v>
      </c>
      <c r="B4024" s="206">
        <v>96719</v>
      </c>
      <c r="C4024" s="207" t="s">
        <v>4677</v>
      </c>
      <c r="D4024" s="208" t="s">
        <v>585</v>
      </c>
      <c r="E4024" s="209">
        <v>19.02</v>
      </c>
      <c r="F4024" s="209">
        <v>4.32</v>
      </c>
      <c r="G4024" s="209">
        <v>23.34</v>
      </c>
      <c r="H4024" s="198"/>
    </row>
    <row r="4025" spans="1:8" ht="15.75" hidden="1" customHeight="1" x14ac:dyDescent="0.25">
      <c r="A4025" s="205" t="s">
        <v>4440</v>
      </c>
      <c r="B4025" s="206">
        <v>96728</v>
      </c>
      <c r="C4025" s="207" t="s">
        <v>4678</v>
      </c>
      <c r="D4025" s="208" t="s">
        <v>585</v>
      </c>
      <c r="E4025" s="209">
        <v>21.49</v>
      </c>
      <c r="F4025" s="209">
        <v>5.31</v>
      </c>
      <c r="G4025" s="209">
        <v>26.8</v>
      </c>
      <c r="H4025" s="198"/>
    </row>
    <row r="4026" spans="1:8" ht="15.75" hidden="1" customHeight="1" x14ac:dyDescent="0.25">
      <c r="A4026" s="205" t="s">
        <v>4440</v>
      </c>
      <c r="B4026" s="206">
        <v>96720</v>
      </c>
      <c r="C4026" s="207" t="s">
        <v>4679</v>
      </c>
      <c r="D4026" s="208" t="s">
        <v>585</v>
      </c>
      <c r="E4026" s="209">
        <v>16.149999999999999</v>
      </c>
      <c r="F4026" s="209">
        <v>5.01</v>
      </c>
      <c r="G4026" s="209">
        <v>21.16</v>
      </c>
      <c r="H4026" s="198"/>
    </row>
    <row r="4027" spans="1:8" ht="15.75" hidden="1" customHeight="1" x14ac:dyDescent="0.25">
      <c r="A4027" s="205" t="s">
        <v>4440</v>
      </c>
      <c r="B4027" s="206">
        <v>96729</v>
      </c>
      <c r="C4027" s="207" t="s">
        <v>4680</v>
      </c>
      <c r="D4027" s="208" t="s">
        <v>585</v>
      </c>
      <c r="E4027" s="209">
        <v>28.41</v>
      </c>
      <c r="F4027" s="209">
        <v>6.16</v>
      </c>
      <c r="G4027" s="209">
        <v>34.57</v>
      </c>
      <c r="H4027" s="198"/>
    </row>
    <row r="4028" spans="1:8" ht="15.75" hidden="1" customHeight="1" x14ac:dyDescent="0.25">
      <c r="A4028" s="205" t="s">
        <v>4440</v>
      </c>
      <c r="B4028" s="206">
        <v>96721</v>
      </c>
      <c r="C4028" s="207" t="s">
        <v>4681</v>
      </c>
      <c r="D4028" s="208" t="s">
        <v>585</v>
      </c>
      <c r="E4028" s="209">
        <v>21.49</v>
      </c>
      <c r="F4028" s="209">
        <v>6</v>
      </c>
      <c r="G4028" s="209">
        <v>27.49</v>
      </c>
      <c r="H4028" s="198"/>
    </row>
    <row r="4029" spans="1:8" ht="15.75" hidden="1" customHeight="1" x14ac:dyDescent="0.25">
      <c r="A4029" s="205" t="s">
        <v>4440</v>
      </c>
      <c r="B4029" s="206">
        <v>96730</v>
      </c>
      <c r="C4029" s="207" t="s">
        <v>4682</v>
      </c>
      <c r="D4029" s="208" t="s">
        <v>585</v>
      </c>
      <c r="E4029" s="209">
        <v>40.450000000000003</v>
      </c>
      <c r="F4029" s="209">
        <v>7.37</v>
      </c>
      <c r="G4029" s="209">
        <v>47.82</v>
      </c>
      <c r="H4029" s="198"/>
    </row>
    <row r="4030" spans="1:8" ht="15.75" hidden="1" customHeight="1" x14ac:dyDescent="0.25">
      <c r="A4030" s="205" t="s">
        <v>4440</v>
      </c>
      <c r="B4030" s="206">
        <v>96722</v>
      </c>
      <c r="C4030" s="207" t="s">
        <v>4683</v>
      </c>
      <c r="D4030" s="208" t="s">
        <v>585</v>
      </c>
      <c r="E4030" s="209">
        <v>34.65</v>
      </c>
      <c r="F4030" s="209">
        <v>7.55</v>
      </c>
      <c r="G4030" s="209">
        <v>42.2</v>
      </c>
      <c r="H4030" s="198"/>
    </row>
    <row r="4031" spans="1:8" ht="15.75" hidden="1" customHeight="1" x14ac:dyDescent="0.25">
      <c r="A4031" s="205" t="s">
        <v>4440</v>
      </c>
      <c r="B4031" s="206">
        <v>96731</v>
      </c>
      <c r="C4031" s="207" t="s">
        <v>4684</v>
      </c>
      <c r="D4031" s="208" t="s">
        <v>585</v>
      </c>
      <c r="E4031" s="209">
        <v>63.06</v>
      </c>
      <c r="F4031" s="209">
        <v>9.2799999999999994</v>
      </c>
      <c r="G4031" s="209">
        <v>72.34</v>
      </c>
      <c r="H4031" s="198"/>
    </row>
    <row r="4032" spans="1:8" ht="15.75" hidden="1" customHeight="1" x14ac:dyDescent="0.25">
      <c r="A4032" s="205" t="s">
        <v>4440</v>
      </c>
      <c r="B4032" s="206">
        <v>96723</v>
      </c>
      <c r="C4032" s="207" t="s">
        <v>4685</v>
      </c>
      <c r="D4032" s="208" t="s">
        <v>585</v>
      </c>
      <c r="E4032" s="209">
        <v>55.48</v>
      </c>
      <c r="F4032" s="209">
        <v>10.08</v>
      </c>
      <c r="G4032" s="209">
        <v>65.56</v>
      </c>
      <c r="H4032" s="198"/>
    </row>
    <row r="4033" spans="1:8" ht="15.75" hidden="1" customHeight="1" x14ac:dyDescent="0.25">
      <c r="A4033" s="205" t="s">
        <v>4440</v>
      </c>
      <c r="B4033" s="206">
        <v>96732</v>
      </c>
      <c r="C4033" s="207" t="s">
        <v>4686</v>
      </c>
      <c r="D4033" s="208" t="s">
        <v>585</v>
      </c>
      <c r="E4033" s="209">
        <v>109.5</v>
      </c>
      <c r="F4033" s="209">
        <v>12.39</v>
      </c>
      <c r="G4033" s="209">
        <v>121.89</v>
      </c>
      <c r="H4033" s="198"/>
    </row>
    <row r="4034" spans="1:8" ht="15.75" hidden="1" customHeight="1" x14ac:dyDescent="0.25">
      <c r="A4034" s="205" t="s">
        <v>4440</v>
      </c>
      <c r="B4034" s="206">
        <v>96724</v>
      </c>
      <c r="C4034" s="207" t="s">
        <v>4687</v>
      </c>
      <c r="D4034" s="208" t="s">
        <v>585</v>
      </c>
      <c r="E4034" s="209">
        <v>71.2</v>
      </c>
      <c r="F4034" s="209">
        <v>12.93</v>
      </c>
      <c r="G4034" s="209">
        <v>84.13</v>
      </c>
      <c r="H4034" s="198"/>
    </row>
    <row r="4035" spans="1:8" ht="15.75" hidden="1" customHeight="1" x14ac:dyDescent="0.25">
      <c r="A4035" s="205" t="s">
        <v>4440</v>
      </c>
      <c r="B4035" s="206">
        <v>96733</v>
      </c>
      <c r="C4035" s="207" t="s">
        <v>4688</v>
      </c>
      <c r="D4035" s="208" t="s">
        <v>585</v>
      </c>
      <c r="E4035" s="209">
        <v>150.16999999999999</v>
      </c>
      <c r="F4035" s="209">
        <v>15.9</v>
      </c>
      <c r="G4035" s="209">
        <v>166.07</v>
      </c>
      <c r="H4035" s="198"/>
    </row>
    <row r="4036" spans="1:8" ht="15.75" hidden="1" customHeight="1" x14ac:dyDescent="0.25">
      <c r="A4036" s="205" t="s">
        <v>4440</v>
      </c>
      <c r="B4036" s="206">
        <v>96725</v>
      </c>
      <c r="C4036" s="207" t="s">
        <v>4689</v>
      </c>
      <c r="D4036" s="208" t="s">
        <v>585</v>
      </c>
      <c r="E4036" s="209">
        <v>120.55</v>
      </c>
      <c r="F4036" s="209">
        <v>17.2</v>
      </c>
      <c r="G4036" s="209">
        <v>137.75</v>
      </c>
      <c r="H4036" s="198"/>
    </row>
    <row r="4037" spans="1:8" ht="15.75" hidden="1" customHeight="1" x14ac:dyDescent="0.25">
      <c r="A4037" s="205" t="s">
        <v>4440</v>
      </c>
      <c r="B4037" s="206">
        <v>96734</v>
      </c>
      <c r="C4037" s="207" t="s">
        <v>4690</v>
      </c>
      <c r="D4037" s="208" t="s">
        <v>585</v>
      </c>
      <c r="E4037" s="209">
        <v>255.92</v>
      </c>
      <c r="F4037" s="209">
        <v>21.13</v>
      </c>
      <c r="G4037" s="209">
        <v>277.05</v>
      </c>
      <c r="H4037" s="198"/>
    </row>
    <row r="4038" spans="1:8" ht="15.75" hidden="1" customHeight="1" x14ac:dyDescent="0.25">
      <c r="A4038" s="205" t="s">
        <v>4440</v>
      </c>
      <c r="B4038" s="206">
        <v>94648</v>
      </c>
      <c r="C4038" s="207" t="s">
        <v>4691</v>
      </c>
      <c r="D4038" s="208" t="s">
        <v>585</v>
      </c>
      <c r="E4038" s="209">
        <v>4.49</v>
      </c>
      <c r="F4038" s="209">
        <v>2.23</v>
      </c>
      <c r="G4038" s="209">
        <v>6.72</v>
      </c>
      <c r="H4038" s="198"/>
    </row>
    <row r="4039" spans="1:8" ht="15.75" hidden="1" customHeight="1" x14ac:dyDescent="0.25">
      <c r="A4039" s="205" t="s">
        <v>4440</v>
      </c>
      <c r="B4039" s="206">
        <v>94655</v>
      </c>
      <c r="C4039" s="207" t="s">
        <v>4692</v>
      </c>
      <c r="D4039" s="208" t="s">
        <v>585</v>
      </c>
      <c r="E4039" s="209">
        <v>88.93</v>
      </c>
      <c r="F4039" s="209">
        <v>22</v>
      </c>
      <c r="G4039" s="209">
        <v>110.93</v>
      </c>
      <c r="H4039" s="198"/>
    </row>
    <row r="4040" spans="1:8" ht="15.75" hidden="1" customHeight="1" x14ac:dyDescent="0.25">
      <c r="A4040" s="205" t="s">
        <v>4440</v>
      </c>
      <c r="B4040" s="206">
        <v>94649</v>
      </c>
      <c r="C4040" s="207" t="s">
        <v>4693</v>
      </c>
      <c r="D4040" s="208" t="s">
        <v>585</v>
      </c>
      <c r="E4040" s="209">
        <v>8.98</v>
      </c>
      <c r="F4040" s="209">
        <v>2.92</v>
      </c>
      <c r="G4040" s="209">
        <v>11.9</v>
      </c>
      <c r="H4040" s="198"/>
    </row>
    <row r="4041" spans="1:8" ht="15.75" hidden="1" customHeight="1" x14ac:dyDescent="0.25">
      <c r="A4041" s="205" t="s">
        <v>4440</v>
      </c>
      <c r="B4041" s="206">
        <v>94650</v>
      </c>
      <c r="C4041" s="207" t="s">
        <v>4694</v>
      </c>
      <c r="D4041" s="208" t="s">
        <v>585</v>
      </c>
      <c r="E4041" s="209">
        <v>13.85</v>
      </c>
      <c r="F4041" s="209">
        <v>3.92</v>
      </c>
      <c r="G4041" s="209">
        <v>17.77</v>
      </c>
      <c r="H4041" s="198"/>
    </row>
    <row r="4042" spans="1:8" ht="15.75" hidden="1" customHeight="1" x14ac:dyDescent="0.25">
      <c r="A4042" s="205" t="s">
        <v>4440</v>
      </c>
      <c r="B4042" s="206">
        <v>94651</v>
      </c>
      <c r="C4042" s="207" t="s">
        <v>4695</v>
      </c>
      <c r="D4042" s="208" t="s">
        <v>585</v>
      </c>
      <c r="E4042" s="209">
        <v>15.62</v>
      </c>
      <c r="F4042" s="209">
        <v>5.47</v>
      </c>
      <c r="G4042" s="209">
        <v>21.09</v>
      </c>
      <c r="H4042" s="198"/>
    </row>
    <row r="4043" spans="1:8" ht="15.75" hidden="1" customHeight="1" x14ac:dyDescent="0.25">
      <c r="A4043" s="205" t="s">
        <v>4440</v>
      </c>
      <c r="B4043" s="206">
        <v>94652</v>
      </c>
      <c r="C4043" s="207" t="s">
        <v>4696</v>
      </c>
      <c r="D4043" s="208" t="s">
        <v>585</v>
      </c>
      <c r="E4043" s="209">
        <v>25.11</v>
      </c>
      <c r="F4043" s="209">
        <v>7.35</v>
      </c>
      <c r="G4043" s="209">
        <v>32.46</v>
      </c>
      <c r="H4043" s="198"/>
    </row>
    <row r="4044" spans="1:8" ht="15.75" hidden="1" customHeight="1" x14ac:dyDescent="0.25">
      <c r="A4044" s="205" t="s">
        <v>4440</v>
      </c>
      <c r="B4044" s="206">
        <v>94653</v>
      </c>
      <c r="C4044" s="207" t="s">
        <v>4697</v>
      </c>
      <c r="D4044" s="208" t="s">
        <v>585</v>
      </c>
      <c r="E4044" s="209">
        <v>41.11</v>
      </c>
      <c r="F4044" s="209">
        <v>10.85</v>
      </c>
      <c r="G4044" s="209">
        <v>51.96</v>
      </c>
      <c r="H4044" s="198"/>
    </row>
    <row r="4045" spans="1:8" ht="15.75" hidden="1" customHeight="1" x14ac:dyDescent="0.25">
      <c r="A4045" s="205" t="s">
        <v>4440</v>
      </c>
      <c r="B4045" s="206">
        <v>94654</v>
      </c>
      <c r="C4045" s="207" t="s">
        <v>4698</v>
      </c>
      <c r="D4045" s="208" t="s">
        <v>585</v>
      </c>
      <c r="E4045" s="209">
        <v>56.67</v>
      </c>
      <c r="F4045" s="209">
        <v>13.61</v>
      </c>
      <c r="G4045" s="209">
        <v>70.28</v>
      </c>
      <c r="H4045" s="198"/>
    </row>
    <row r="4046" spans="1:8" ht="15.75" hidden="1" customHeight="1" x14ac:dyDescent="0.25">
      <c r="A4046" s="205" t="s">
        <v>4440</v>
      </c>
      <c r="B4046" s="206">
        <v>94689</v>
      </c>
      <c r="C4046" s="207" t="s">
        <v>4699</v>
      </c>
      <c r="D4046" s="208" t="s">
        <v>580</v>
      </c>
      <c r="E4046" s="209">
        <v>6.18</v>
      </c>
      <c r="F4046" s="209">
        <v>3.71</v>
      </c>
      <c r="G4046" s="209">
        <v>9.89</v>
      </c>
      <c r="H4046" s="198"/>
    </row>
    <row r="4047" spans="1:8" ht="15.75" hidden="1" customHeight="1" x14ac:dyDescent="0.25">
      <c r="A4047" s="205" t="s">
        <v>4440</v>
      </c>
      <c r="B4047" s="206">
        <v>94702</v>
      </c>
      <c r="C4047" s="207" t="s">
        <v>4700</v>
      </c>
      <c r="D4047" s="208" t="s">
        <v>580</v>
      </c>
      <c r="E4047" s="209">
        <v>142.41999999999999</v>
      </c>
      <c r="F4047" s="209">
        <v>28.38</v>
      </c>
      <c r="G4047" s="209">
        <v>170.8</v>
      </c>
      <c r="H4047" s="198"/>
    </row>
    <row r="4048" spans="1:8" ht="15.75" hidden="1" customHeight="1" x14ac:dyDescent="0.25">
      <c r="A4048" s="205" t="s">
        <v>4440</v>
      </c>
      <c r="B4048" s="206">
        <v>94691</v>
      </c>
      <c r="C4048" s="207" t="s">
        <v>4701</v>
      </c>
      <c r="D4048" s="208" t="s">
        <v>580</v>
      </c>
      <c r="E4048" s="209">
        <v>9.36</v>
      </c>
      <c r="F4048" s="209">
        <v>4.47</v>
      </c>
      <c r="G4048" s="209">
        <v>13.83</v>
      </c>
      <c r="H4048" s="198"/>
    </row>
    <row r="4049" spans="1:8" ht="15.75" hidden="1" customHeight="1" x14ac:dyDescent="0.25">
      <c r="A4049" s="205" t="s">
        <v>4440</v>
      </c>
      <c r="B4049" s="206">
        <v>94693</v>
      </c>
      <c r="C4049" s="207" t="s">
        <v>4702</v>
      </c>
      <c r="D4049" s="208" t="s">
        <v>580</v>
      </c>
      <c r="E4049" s="209">
        <v>12.21</v>
      </c>
      <c r="F4049" s="209">
        <v>5.94</v>
      </c>
      <c r="G4049" s="209">
        <v>18.149999999999999</v>
      </c>
      <c r="H4049" s="198"/>
    </row>
    <row r="4050" spans="1:8" ht="15.75" hidden="1" customHeight="1" x14ac:dyDescent="0.25">
      <c r="A4050" s="205" t="s">
        <v>4440</v>
      </c>
      <c r="B4050" s="206">
        <v>94695</v>
      </c>
      <c r="C4050" s="207" t="s">
        <v>4703</v>
      </c>
      <c r="D4050" s="208" t="s">
        <v>580</v>
      </c>
      <c r="E4050" s="209">
        <v>22.27</v>
      </c>
      <c r="F4050" s="209">
        <v>8.1999999999999993</v>
      </c>
      <c r="G4050" s="209">
        <v>30.47</v>
      </c>
      <c r="H4050" s="198"/>
    </row>
    <row r="4051" spans="1:8" ht="15.75" hidden="1" customHeight="1" x14ac:dyDescent="0.25">
      <c r="A4051" s="205" t="s">
        <v>4440</v>
      </c>
      <c r="B4051" s="206">
        <v>94698</v>
      </c>
      <c r="C4051" s="207" t="s">
        <v>4704</v>
      </c>
      <c r="D4051" s="208" t="s">
        <v>580</v>
      </c>
      <c r="E4051" s="209">
        <v>48.92</v>
      </c>
      <c r="F4051" s="209">
        <v>15</v>
      </c>
      <c r="G4051" s="209">
        <v>63.92</v>
      </c>
      <c r="H4051" s="198"/>
    </row>
    <row r="4052" spans="1:8" ht="15.75" hidden="1" customHeight="1" x14ac:dyDescent="0.25">
      <c r="A4052" s="205" t="s">
        <v>4440</v>
      </c>
      <c r="B4052" s="206">
        <v>94700</v>
      </c>
      <c r="C4052" s="207" t="s">
        <v>4705</v>
      </c>
      <c r="D4052" s="208" t="s">
        <v>580</v>
      </c>
      <c r="E4052" s="209">
        <v>99.47</v>
      </c>
      <c r="F4052" s="209">
        <v>19.11</v>
      </c>
      <c r="G4052" s="209">
        <v>118.58</v>
      </c>
      <c r="H4052" s="198"/>
    </row>
    <row r="4053" spans="1:8" ht="15.75" hidden="1" customHeight="1" x14ac:dyDescent="0.25">
      <c r="A4053" s="205" t="s">
        <v>4440</v>
      </c>
      <c r="B4053" s="206">
        <v>94477</v>
      </c>
      <c r="C4053" s="207" t="s">
        <v>4706</v>
      </c>
      <c r="D4053" s="208" t="s">
        <v>580</v>
      </c>
      <c r="E4053" s="209">
        <v>85.89</v>
      </c>
      <c r="F4053" s="209">
        <v>30.45</v>
      </c>
      <c r="G4053" s="209">
        <v>116.34</v>
      </c>
      <c r="H4053" s="198"/>
    </row>
    <row r="4054" spans="1:8" ht="15.75" hidden="1" customHeight="1" x14ac:dyDescent="0.25">
      <c r="A4054" s="205" t="s">
        <v>4440</v>
      </c>
      <c r="B4054" s="206">
        <v>94478</v>
      </c>
      <c r="C4054" s="207" t="s">
        <v>4707</v>
      </c>
      <c r="D4054" s="208" t="s">
        <v>580</v>
      </c>
      <c r="E4054" s="209">
        <v>154.57</v>
      </c>
      <c r="F4054" s="209">
        <v>35.57</v>
      </c>
      <c r="G4054" s="209">
        <v>190.14</v>
      </c>
      <c r="H4054" s="198"/>
    </row>
    <row r="4055" spans="1:8" ht="15.75" hidden="1" customHeight="1" x14ac:dyDescent="0.25">
      <c r="A4055" s="205" t="s">
        <v>4440</v>
      </c>
      <c r="B4055" s="206">
        <v>94479</v>
      </c>
      <c r="C4055" s="207" t="s">
        <v>4708</v>
      </c>
      <c r="D4055" s="208" t="s">
        <v>580</v>
      </c>
      <c r="E4055" s="209">
        <v>204.77</v>
      </c>
      <c r="F4055" s="209">
        <v>41.99</v>
      </c>
      <c r="G4055" s="209">
        <v>246.76</v>
      </c>
      <c r="H4055" s="198"/>
    </row>
    <row r="4056" spans="1:8" ht="15.75" hidden="1" customHeight="1" x14ac:dyDescent="0.25">
      <c r="A4056" s="205" t="s">
        <v>4440</v>
      </c>
      <c r="B4056" s="206">
        <v>96764</v>
      </c>
      <c r="C4056" s="207" t="s">
        <v>4709</v>
      </c>
      <c r="D4056" s="208" t="s">
        <v>580</v>
      </c>
      <c r="E4056" s="209">
        <v>339.89</v>
      </c>
      <c r="F4056" s="209">
        <v>39.909999999999997</v>
      </c>
      <c r="G4056" s="209">
        <v>379.8</v>
      </c>
      <c r="H4056" s="198"/>
    </row>
    <row r="4057" spans="1:8" ht="15.75" hidden="1" customHeight="1" x14ac:dyDescent="0.25">
      <c r="A4057" s="205" t="s">
        <v>4440</v>
      </c>
      <c r="B4057" s="206">
        <v>105164</v>
      </c>
      <c r="C4057" s="207" t="s">
        <v>4710</v>
      </c>
      <c r="D4057" s="208" t="s">
        <v>580</v>
      </c>
      <c r="E4057" s="209">
        <v>6.86</v>
      </c>
      <c r="F4057" s="209">
        <v>6.53</v>
      </c>
      <c r="G4057" s="209">
        <v>13.39</v>
      </c>
      <c r="H4057" s="198"/>
    </row>
    <row r="4058" spans="1:8" ht="15.75" hidden="1" customHeight="1" x14ac:dyDescent="0.25">
      <c r="A4058" s="205" t="s">
        <v>4440</v>
      </c>
      <c r="B4058" s="206">
        <v>105165</v>
      </c>
      <c r="C4058" s="207" t="s">
        <v>4711</v>
      </c>
      <c r="D4058" s="208" t="s">
        <v>580</v>
      </c>
      <c r="E4058" s="209">
        <v>6.47</v>
      </c>
      <c r="F4058" s="209">
        <v>7.17</v>
      </c>
      <c r="G4058" s="209">
        <v>13.64</v>
      </c>
      <c r="H4058" s="198"/>
    </row>
    <row r="4059" spans="1:8" ht="15.75" hidden="1" customHeight="1" x14ac:dyDescent="0.25">
      <c r="A4059" s="205" t="s">
        <v>4440</v>
      </c>
      <c r="B4059" s="206">
        <v>96758</v>
      </c>
      <c r="C4059" s="207" t="s">
        <v>4712</v>
      </c>
      <c r="D4059" s="208" t="s">
        <v>580</v>
      </c>
      <c r="E4059" s="209">
        <v>12.64</v>
      </c>
      <c r="F4059" s="209">
        <v>8.31</v>
      </c>
      <c r="G4059" s="209">
        <v>20.95</v>
      </c>
      <c r="H4059" s="198"/>
    </row>
    <row r="4060" spans="1:8" ht="15.75" hidden="1" customHeight="1" x14ac:dyDescent="0.25">
      <c r="A4060" s="205" t="s">
        <v>4440</v>
      </c>
      <c r="B4060" s="206">
        <v>96759</v>
      </c>
      <c r="C4060" s="207" t="s">
        <v>4713</v>
      </c>
      <c r="D4060" s="208" t="s">
        <v>580</v>
      </c>
      <c r="E4060" s="209">
        <v>21.13</v>
      </c>
      <c r="F4060" s="209">
        <v>9.9600000000000009</v>
      </c>
      <c r="G4060" s="209">
        <v>31.09</v>
      </c>
      <c r="H4060" s="198"/>
    </row>
    <row r="4061" spans="1:8" ht="15.75" hidden="1" customHeight="1" x14ac:dyDescent="0.25">
      <c r="A4061" s="205" t="s">
        <v>4440</v>
      </c>
      <c r="B4061" s="206">
        <v>96760</v>
      </c>
      <c r="C4061" s="207" t="s">
        <v>4714</v>
      </c>
      <c r="D4061" s="208" t="s">
        <v>580</v>
      </c>
      <c r="E4061" s="209">
        <v>38.32</v>
      </c>
      <c r="F4061" s="209">
        <v>12.51</v>
      </c>
      <c r="G4061" s="209">
        <v>50.83</v>
      </c>
      <c r="H4061" s="198"/>
    </row>
    <row r="4062" spans="1:8" ht="15.75" hidden="1" customHeight="1" x14ac:dyDescent="0.25">
      <c r="A4062" s="205" t="s">
        <v>4440</v>
      </c>
      <c r="B4062" s="206">
        <v>96761</v>
      </c>
      <c r="C4062" s="207" t="s">
        <v>4715</v>
      </c>
      <c r="D4062" s="208" t="s">
        <v>580</v>
      </c>
      <c r="E4062" s="209">
        <v>59.15</v>
      </c>
      <c r="F4062" s="209">
        <v>16.71</v>
      </c>
      <c r="G4062" s="209">
        <v>75.86</v>
      </c>
      <c r="H4062" s="198"/>
    </row>
    <row r="4063" spans="1:8" ht="15.75" hidden="1" customHeight="1" x14ac:dyDescent="0.25">
      <c r="A4063" s="205" t="s">
        <v>4440</v>
      </c>
      <c r="B4063" s="206">
        <v>96762</v>
      </c>
      <c r="C4063" s="207" t="s">
        <v>4716</v>
      </c>
      <c r="D4063" s="208" t="s">
        <v>580</v>
      </c>
      <c r="E4063" s="209">
        <v>121.71</v>
      </c>
      <c r="F4063" s="209">
        <v>21.44</v>
      </c>
      <c r="G4063" s="209">
        <v>143.15</v>
      </c>
      <c r="H4063" s="198"/>
    </row>
    <row r="4064" spans="1:8" ht="15.75" hidden="1" customHeight="1" x14ac:dyDescent="0.25">
      <c r="A4064" s="205" t="s">
        <v>4440</v>
      </c>
      <c r="B4064" s="206">
        <v>96763</v>
      </c>
      <c r="C4064" s="207" t="s">
        <v>4717</v>
      </c>
      <c r="D4064" s="208" t="s">
        <v>580</v>
      </c>
      <c r="E4064" s="209">
        <v>163.25</v>
      </c>
      <c r="F4064" s="209">
        <v>28.49</v>
      </c>
      <c r="G4064" s="209">
        <v>191.74</v>
      </c>
      <c r="H4064" s="198"/>
    </row>
    <row r="4065" spans="1:8" ht="15.75" hidden="1" customHeight="1" x14ac:dyDescent="0.25">
      <c r="A4065" s="205" t="s">
        <v>4440</v>
      </c>
      <c r="B4065" s="206">
        <v>94688</v>
      </c>
      <c r="C4065" s="207" t="s">
        <v>4718</v>
      </c>
      <c r="D4065" s="208" t="s">
        <v>580</v>
      </c>
      <c r="E4065" s="209">
        <v>4.12</v>
      </c>
      <c r="F4065" s="209">
        <v>3.72</v>
      </c>
      <c r="G4065" s="209">
        <v>7.84</v>
      </c>
      <c r="H4065" s="198"/>
    </row>
    <row r="4066" spans="1:8" ht="15.75" hidden="1" customHeight="1" x14ac:dyDescent="0.25">
      <c r="A4066" s="205" t="s">
        <v>4440</v>
      </c>
      <c r="B4066" s="206">
        <v>94701</v>
      </c>
      <c r="C4066" s="207" t="s">
        <v>4719</v>
      </c>
      <c r="D4066" s="208" t="s">
        <v>580</v>
      </c>
      <c r="E4066" s="209">
        <v>169.69</v>
      </c>
      <c r="F4066" s="209">
        <v>36.46</v>
      </c>
      <c r="G4066" s="209">
        <v>206.15</v>
      </c>
      <c r="H4066" s="198"/>
    </row>
    <row r="4067" spans="1:8" ht="15.75" hidden="1" customHeight="1" x14ac:dyDescent="0.25">
      <c r="A4067" s="205" t="s">
        <v>4440</v>
      </c>
      <c r="B4067" s="206">
        <v>94690</v>
      </c>
      <c r="C4067" s="207" t="s">
        <v>4720</v>
      </c>
      <c r="D4067" s="208" t="s">
        <v>580</v>
      </c>
      <c r="E4067" s="209">
        <v>7.36</v>
      </c>
      <c r="F4067" s="209">
        <v>4.8499999999999996</v>
      </c>
      <c r="G4067" s="209">
        <v>12.21</v>
      </c>
      <c r="H4067" s="198"/>
    </row>
    <row r="4068" spans="1:8" ht="15.75" hidden="1" customHeight="1" x14ac:dyDescent="0.25">
      <c r="A4068" s="205" t="s">
        <v>4440</v>
      </c>
      <c r="B4068" s="206">
        <v>94692</v>
      </c>
      <c r="C4068" s="207" t="s">
        <v>4721</v>
      </c>
      <c r="D4068" s="208" t="s">
        <v>580</v>
      </c>
      <c r="E4068" s="209">
        <v>13.15</v>
      </c>
      <c r="F4068" s="209">
        <v>6.5</v>
      </c>
      <c r="G4068" s="209">
        <v>19.649999999999999</v>
      </c>
      <c r="H4068" s="198"/>
    </row>
    <row r="4069" spans="1:8" ht="15.75" hidden="1" customHeight="1" x14ac:dyDescent="0.25">
      <c r="A4069" s="205" t="s">
        <v>4440</v>
      </c>
      <c r="B4069" s="206">
        <v>94694</v>
      </c>
      <c r="C4069" s="207" t="s">
        <v>4722</v>
      </c>
      <c r="D4069" s="208" t="s">
        <v>580</v>
      </c>
      <c r="E4069" s="209">
        <v>15.98</v>
      </c>
      <c r="F4069" s="209">
        <v>9.06</v>
      </c>
      <c r="G4069" s="209">
        <v>25.04</v>
      </c>
      <c r="H4069" s="198"/>
    </row>
    <row r="4070" spans="1:8" ht="15.75" hidden="1" customHeight="1" x14ac:dyDescent="0.25">
      <c r="A4070" s="205" t="s">
        <v>4440</v>
      </c>
      <c r="B4070" s="206">
        <v>94696</v>
      </c>
      <c r="C4070" s="207" t="s">
        <v>4723</v>
      </c>
      <c r="D4070" s="208" t="s">
        <v>580</v>
      </c>
      <c r="E4070" s="209">
        <v>36.58</v>
      </c>
      <c r="F4070" s="209">
        <v>12.21</v>
      </c>
      <c r="G4070" s="209">
        <v>48.79</v>
      </c>
      <c r="H4070" s="198"/>
    </row>
    <row r="4071" spans="1:8" ht="15.75" hidden="1" customHeight="1" x14ac:dyDescent="0.25">
      <c r="A4071" s="205" t="s">
        <v>4440</v>
      </c>
      <c r="B4071" s="206">
        <v>94697</v>
      </c>
      <c r="C4071" s="207" t="s">
        <v>4724</v>
      </c>
      <c r="D4071" s="208" t="s">
        <v>580</v>
      </c>
      <c r="E4071" s="209">
        <v>64.010000000000005</v>
      </c>
      <c r="F4071" s="209">
        <v>17.98</v>
      </c>
      <c r="G4071" s="209">
        <v>81.99</v>
      </c>
      <c r="H4071" s="198"/>
    </row>
    <row r="4072" spans="1:8" ht="15.75" hidden="1" customHeight="1" x14ac:dyDescent="0.25">
      <c r="A4072" s="205" t="s">
        <v>4440</v>
      </c>
      <c r="B4072" s="206">
        <v>94699</v>
      </c>
      <c r="C4072" s="207" t="s">
        <v>4725</v>
      </c>
      <c r="D4072" s="208" t="s">
        <v>580</v>
      </c>
      <c r="E4072" s="209">
        <v>85.37</v>
      </c>
      <c r="F4072" s="209">
        <v>22.55</v>
      </c>
      <c r="G4072" s="209">
        <v>107.92</v>
      </c>
      <c r="H4072" s="198"/>
    </row>
    <row r="4073" spans="1:8" ht="15.75" hidden="1" customHeight="1" x14ac:dyDescent="0.25">
      <c r="A4073" s="205" t="s">
        <v>4440</v>
      </c>
      <c r="B4073" s="206">
        <v>105167</v>
      </c>
      <c r="C4073" s="207" t="s">
        <v>4726</v>
      </c>
      <c r="D4073" s="208" t="s">
        <v>580</v>
      </c>
      <c r="E4073" s="209">
        <v>201.86</v>
      </c>
      <c r="F4073" s="209">
        <v>65.709999999999994</v>
      </c>
      <c r="G4073" s="209">
        <v>267.57</v>
      </c>
      <c r="H4073" s="198"/>
    </row>
    <row r="4074" spans="1:8" ht="15.75" hidden="1" customHeight="1" x14ac:dyDescent="0.25">
      <c r="A4074" s="205" t="s">
        <v>4727</v>
      </c>
      <c r="B4074" s="206">
        <v>96809</v>
      </c>
      <c r="C4074" s="207" t="s">
        <v>4728</v>
      </c>
      <c r="D4074" s="208" t="s">
        <v>580</v>
      </c>
      <c r="E4074" s="209">
        <v>12.77</v>
      </c>
      <c r="F4074" s="209">
        <v>8.4700000000000006</v>
      </c>
      <c r="G4074" s="209">
        <v>21.24</v>
      </c>
      <c r="H4074" s="198"/>
    </row>
    <row r="4075" spans="1:8" ht="15.75" hidden="1" customHeight="1" x14ac:dyDescent="0.25">
      <c r="A4075" s="205" t="s">
        <v>4727</v>
      </c>
      <c r="B4075" s="206">
        <v>96812</v>
      </c>
      <c r="C4075" s="207" t="s">
        <v>4729</v>
      </c>
      <c r="D4075" s="208" t="s">
        <v>580</v>
      </c>
      <c r="E4075" s="209">
        <v>13.15</v>
      </c>
      <c r="F4075" s="209">
        <v>9.0500000000000007</v>
      </c>
      <c r="G4075" s="209">
        <v>22.2</v>
      </c>
      <c r="H4075" s="198"/>
    </row>
    <row r="4076" spans="1:8" ht="15.75" hidden="1" customHeight="1" x14ac:dyDescent="0.25">
      <c r="A4076" s="205" t="s">
        <v>4727</v>
      </c>
      <c r="B4076" s="206">
        <v>96813</v>
      </c>
      <c r="C4076" s="207" t="s">
        <v>4730</v>
      </c>
      <c r="D4076" s="208" t="s">
        <v>580</v>
      </c>
      <c r="E4076" s="209">
        <v>15.2</v>
      </c>
      <c r="F4076" s="209">
        <v>10.039999999999999</v>
      </c>
      <c r="G4076" s="209">
        <v>25.24</v>
      </c>
      <c r="H4076" s="198"/>
    </row>
    <row r="4077" spans="1:8" ht="15.75" hidden="1" customHeight="1" x14ac:dyDescent="0.25">
      <c r="A4077" s="205" t="s">
        <v>4727</v>
      </c>
      <c r="B4077" s="206">
        <v>96817</v>
      </c>
      <c r="C4077" s="207" t="s">
        <v>4731</v>
      </c>
      <c r="D4077" s="208" t="s">
        <v>580</v>
      </c>
      <c r="E4077" s="209">
        <v>25.32</v>
      </c>
      <c r="F4077" s="209">
        <v>11.99</v>
      </c>
      <c r="G4077" s="209">
        <v>37.31</v>
      </c>
      <c r="H4077" s="198"/>
    </row>
    <row r="4078" spans="1:8" ht="15.75" hidden="1" customHeight="1" x14ac:dyDescent="0.25">
      <c r="A4078" s="205" t="s">
        <v>4727</v>
      </c>
      <c r="B4078" s="206">
        <v>96816</v>
      </c>
      <c r="C4078" s="207" t="s">
        <v>4732</v>
      </c>
      <c r="D4078" s="208" t="s">
        <v>580</v>
      </c>
      <c r="E4078" s="209">
        <v>17.61</v>
      </c>
      <c r="F4078" s="209">
        <v>10.77</v>
      </c>
      <c r="G4078" s="209">
        <v>28.38</v>
      </c>
      <c r="H4078" s="198"/>
    </row>
    <row r="4079" spans="1:8" ht="15.75" hidden="1" customHeight="1" x14ac:dyDescent="0.25">
      <c r="A4079" s="205" t="s">
        <v>4727</v>
      </c>
      <c r="B4079" s="206">
        <v>96821</v>
      </c>
      <c r="C4079" s="207" t="s">
        <v>4733</v>
      </c>
      <c r="D4079" s="208" t="s">
        <v>580</v>
      </c>
      <c r="E4079" s="209">
        <v>28.42</v>
      </c>
      <c r="F4079" s="209">
        <v>13.02</v>
      </c>
      <c r="G4079" s="209">
        <v>41.44</v>
      </c>
      <c r="H4079" s="198"/>
    </row>
    <row r="4080" spans="1:8" ht="15.75" hidden="1" customHeight="1" x14ac:dyDescent="0.25">
      <c r="A4080" s="205" t="s">
        <v>4727</v>
      </c>
      <c r="B4080" s="206">
        <v>96824</v>
      </c>
      <c r="C4080" s="207" t="s">
        <v>4734</v>
      </c>
      <c r="D4080" s="208" t="s">
        <v>580</v>
      </c>
      <c r="E4080" s="209">
        <v>12.31</v>
      </c>
      <c r="F4080" s="209">
        <v>7.5</v>
      </c>
      <c r="G4080" s="209">
        <v>19.809999999999999</v>
      </c>
      <c r="H4080" s="198"/>
    </row>
    <row r="4081" spans="1:8" ht="15.75" hidden="1" customHeight="1" x14ac:dyDescent="0.25">
      <c r="A4081" s="205" t="s">
        <v>4727</v>
      </c>
      <c r="B4081" s="206">
        <v>96827</v>
      </c>
      <c r="C4081" s="207" t="s">
        <v>4735</v>
      </c>
      <c r="D4081" s="208" t="s">
        <v>580</v>
      </c>
      <c r="E4081" s="209">
        <v>13.61</v>
      </c>
      <c r="F4081" s="209">
        <v>7.92</v>
      </c>
      <c r="G4081" s="209">
        <v>21.53</v>
      </c>
      <c r="H4081" s="198"/>
    </row>
    <row r="4082" spans="1:8" ht="15.75" hidden="1" customHeight="1" x14ac:dyDescent="0.25">
      <c r="A4082" s="205" t="s">
        <v>4727</v>
      </c>
      <c r="B4082" s="206">
        <v>96828</v>
      </c>
      <c r="C4082" s="207" t="s">
        <v>4736</v>
      </c>
      <c r="D4082" s="208" t="s">
        <v>580</v>
      </c>
      <c r="E4082" s="209">
        <v>17.45</v>
      </c>
      <c r="F4082" s="209">
        <v>8.9</v>
      </c>
      <c r="G4082" s="209">
        <v>26.35</v>
      </c>
      <c r="H4082" s="198"/>
    </row>
    <row r="4083" spans="1:8" ht="15.75" hidden="1" customHeight="1" x14ac:dyDescent="0.25">
      <c r="A4083" s="205" t="s">
        <v>4727</v>
      </c>
      <c r="B4083" s="206">
        <v>96832</v>
      </c>
      <c r="C4083" s="207" t="s">
        <v>4737</v>
      </c>
      <c r="D4083" s="208" t="s">
        <v>580</v>
      </c>
      <c r="E4083" s="209">
        <v>23.29</v>
      </c>
      <c r="F4083" s="209">
        <v>9.42</v>
      </c>
      <c r="G4083" s="209">
        <v>32.71</v>
      </c>
      <c r="H4083" s="198"/>
    </row>
    <row r="4084" spans="1:8" ht="15.75" hidden="1" customHeight="1" x14ac:dyDescent="0.25">
      <c r="A4084" s="205" t="s">
        <v>4727</v>
      </c>
      <c r="B4084" s="206">
        <v>96810</v>
      </c>
      <c r="C4084" s="207" t="s">
        <v>4738</v>
      </c>
      <c r="D4084" s="208" t="s">
        <v>580</v>
      </c>
      <c r="E4084" s="209">
        <v>13.68</v>
      </c>
      <c r="F4084" s="209">
        <v>9.4499999999999993</v>
      </c>
      <c r="G4084" s="209">
        <v>23.13</v>
      </c>
      <c r="H4084" s="198"/>
    </row>
    <row r="4085" spans="1:8" ht="15.75" hidden="1" customHeight="1" x14ac:dyDescent="0.25">
      <c r="A4085" s="205" t="s">
        <v>4727</v>
      </c>
      <c r="B4085" s="206">
        <v>96873</v>
      </c>
      <c r="C4085" s="207" t="s">
        <v>4739</v>
      </c>
      <c r="D4085" s="208" t="s">
        <v>580</v>
      </c>
      <c r="E4085" s="209">
        <v>49.9</v>
      </c>
      <c r="F4085" s="209">
        <v>19.809999999999999</v>
      </c>
      <c r="G4085" s="209">
        <v>69.709999999999994</v>
      </c>
      <c r="H4085" s="198"/>
    </row>
    <row r="4086" spans="1:8" ht="15.75" hidden="1" customHeight="1" x14ac:dyDescent="0.25">
      <c r="A4086" s="205" t="s">
        <v>4727</v>
      </c>
      <c r="B4086" s="206">
        <v>96872</v>
      </c>
      <c r="C4086" s="207" t="s">
        <v>4740</v>
      </c>
      <c r="D4086" s="208" t="s">
        <v>580</v>
      </c>
      <c r="E4086" s="209">
        <v>35.36</v>
      </c>
      <c r="F4086" s="209">
        <v>17.61</v>
      </c>
      <c r="G4086" s="209">
        <v>52.97</v>
      </c>
      <c r="H4086" s="198"/>
    </row>
    <row r="4087" spans="1:8" ht="15.75" hidden="1" customHeight="1" x14ac:dyDescent="0.25">
      <c r="A4087" s="205" t="s">
        <v>4727</v>
      </c>
      <c r="B4087" s="206">
        <v>96876</v>
      </c>
      <c r="C4087" s="207" t="s">
        <v>4741</v>
      </c>
      <c r="D4087" s="208" t="s">
        <v>580</v>
      </c>
      <c r="E4087" s="209">
        <v>165.74</v>
      </c>
      <c r="F4087" s="209">
        <v>20.98</v>
      </c>
      <c r="G4087" s="209">
        <v>186.72</v>
      </c>
      <c r="H4087" s="198"/>
    </row>
    <row r="4088" spans="1:8" ht="15.75" hidden="1" customHeight="1" x14ac:dyDescent="0.25">
      <c r="A4088" s="205" t="s">
        <v>4727</v>
      </c>
      <c r="B4088" s="206">
        <v>96878</v>
      </c>
      <c r="C4088" s="207" t="s">
        <v>4742</v>
      </c>
      <c r="D4088" s="208" t="s">
        <v>580</v>
      </c>
      <c r="E4088" s="209">
        <v>186.51</v>
      </c>
      <c r="F4088" s="209">
        <v>22.81</v>
      </c>
      <c r="G4088" s="209">
        <v>209.32</v>
      </c>
      <c r="H4088" s="198"/>
    </row>
    <row r="4089" spans="1:8" ht="15.75" hidden="1" customHeight="1" x14ac:dyDescent="0.25">
      <c r="A4089" s="205" t="s">
        <v>4727</v>
      </c>
      <c r="B4089" s="206">
        <v>96875</v>
      </c>
      <c r="C4089" s="207" t="s">
        <v>4743</v>
      </c>
      <c r="D4089" s="208" t="s">
        <v>580</v>
      </c>
      <c r="E4089" s="209">
        <v>60.36</v>
      </c>
      <c r="F4089" s="209">
        <v>22.97</v>
      </c>
      <c r="G4089" s="209">
        <v>83.33</v>
      </c>
      <c r="H4089" s="198"/>
    </row>
    <row r="4090" spans="1:8" ht="15.75" hidden="1" customHeight="1" x14ac:dyDescent="0.25">
      <c r="A4090" s="205" t="s">
        <v>4727</v>
      </c>
      <c r="B4090" s="206">
        <v>96874</v>
      </c>
      <c r="C4090" s="207" t="s">
        <v>4744</v>
      </c>
      <c r="D4090" s="208" t="s">
        <v>580</v>
      </c>
      <c r="E4090" s="209">
        <v>43.5</v>
      </c>
      <c r="F4090" s="209">
        <v>20.77</v>
      </c>
      <c r="G4090" s="209">
        <v>64.27</v>
      </c>
      <c r="H4090" s="198"/>
    </row>
    <row r="4091" spans="1:8" ht="15.75" hidden="1" customHeight="1" x14ac:dyDescent="0.25">
      <c r="A4091" s="205" t="s">
        <v>4727</v>
      </c>
      <c r="B4091" s="206">
        <v>96879</v>
      </c>
      <c r="C4091" s="207" t="s">
        <v>4745</v>
      </c>
      <c r="D4091" s="208" t="s">
        <v>580</v>
      </c>
      <c r="E4091" s="209">
        <v>179.94</v>
      </c>
      <c r="F4091" s="209">
        <v>23.19</v>
      </c>
      <c r="G4091" s="209">
        <v>203.13</v>
      </c>
      <c r="H4091" s="198"/>
    </row>
    <row r="4092" spans="1:8" ht="15.75" hidden="1" customHeight="1" x14ac:dyDescent="0.25">
      <c r="A4092" s="205" t="s">
        <v>4727</v>
      </c>
      <c r="B4092" s="206">
        <v>96881</v>
      </c>
      <c r="C4092" s="207" t="s">
        <v>4746</v>
      </c>
      <c r="D4092" s="208" t="s">
        <v>580</v>
      </c>
      <c r="E4092" s="209">
        <v>214.41</v>
      </c>
      <c r="F4092" s="209">
        <v>25.95</v>
      </c>
      <c r="G4092" s="209">
        <v>240.36</v>
      </c>
      <c r="H4092" s="198"/>
    </row>
    <row r="4093" spans="1:8" ht="15.75" hidden="1" customHeight="1" x14ac:dyDescent="0.25">
      <c r="A4093" s="205" t="s">
        <v>4727</v>
      </c>
      <c r="B4093" s="206">
        <v>96837</v>
      </c>
      <c r="C4093" s="207" t="s">
        <v>4747</v>
      </c>
      <c r="D4093" s="208" t="s">
        <v>580</v>
      </c>
      <c r="E4093" s="209">
        <v>14.2</v>
      </c>
      <c r="F4093" s="209">
        <v>9.4700000000000006</v>
      </c>
      <c r="G4093" s="209">
        <v>23.67</v>
      </c>
      <c r="H4093" s="198"/>
    </row>
    <row r="4094" spans="1:8" ht="15.75" hidden="1" customHeight="1" x14ac:dyDescent="0.25">
      <c r="A4094" s="205" t="s">
        <v>4727</v>
      </c>
      <c r="B4094" s="206">
        <v>96840</v>
      </c>
      <c r="C4094" s="207" t="s">
        <v>4748</v>
      </c>
      <c r="D4094" s="208" t="s">
        <v>580</v>
      </c>
      <c r="E4094" s="209">
        <v>17.27</v>
      </c>
      <c r="F4094" s="209">
        <v>11.25</v>
      </c>
      <c r="G4094" s="209">
        <v>28.52</v>
      </c>
      <c r="H4094" s="198"/>
    </row>
    <row r="4095" spans="1:8" ht="15.75" hidden="1" customHeight="1" x14ac:dyDescent="0.25">
      <c r="A4095" s="205" t="s">
        <v>4727</v>
      </c>
      <c r="B4095" s="206">
        <v>96845</v>
      </c>
      <c r="C4095" s="207" t="s">
        <v>4749</v>
      </c>
      <c r="D4095" s="208" t="s">
        <v>580</v>
      </c>
      <c r="E4095" s="209">
        <v>30.44</v>
      </c>
      <c r="F4095" s="209">
        <v>13.44</v>
      </c>
      <c r="G4095" s="209">
        <v>43.88</v>
      </c>
      <c r="H4095" s="198"/>
    </row>
    <row r="4096" spans="1:8" ht="15.75" hidden="1" customHeight="1" x14ac:dyDescent="0.25">
      <c r="A4096" s="205" t="s">
        <v>4727</v>
      </c>
      <c r="B4096" s="206">
        <v>96848</v>
      </c>
      <c r="C4096" s="207" t="s">
        <v>4750</v>
      </c>
      <c r="D4096" s="208" t="s">
        <v>580</v>
      </c>
      <c r="E4096" s="209">
        <v>41.43</v>
      </c>
      <c r="F4096" s="209">
        <v>16.510000000000002</v>
      </c>
      <c r="G4096" s="209">
        <v>57.94</v>
      </c>
      <c r="H4096" s="198"/>
    </row>
    <row r="4097" spans="1:8" ht="15.75" hidden="1" customHeight="1" x14ac:dyDescent="0.25">
      <c r="A4097" s="205" t="s">
        <v>4727</v>
      </c>
      <c r="B4097" s="206">
        <v>96849</v>
      </c>
      <c r="C4097" s="207" t="s">
        <v>4751</v>
      </c>
      <c r="D4097" s="208" t="s">
        <v>580</v>
      </c>
      <c r="E4097" s="209">
        <v>12.02</v>
      </c>
      <c r="F4097" s="209">
        <v>6.62</v>
      </c>
      <c r="G4097" s="209">
        <v>18.64</v>
      </c>
      <c r="H4097" s="198"/>
    </row>
    <row r="4098" spans="1:8" ht="15.75" hidden="1" customHeight="1" x14ac:dyDescent="0.25">
      <c r="A4098" s="205" t="s">
        <v>4727</v>
      </c>
      <c r="B4098" s="206">
        <v>96852</v>
      </c>
      <c r="C4098" s="207" t="s">
        <v>4752</v>
      </c>
      <c r="D4098" s="208" t="s">
        <v>580</v>
      </c>
      <c r="E4098" s="209">
        <v>15.76</v>
      </c>
      <c r="F4098" s="209">
        <v>7.84</v>
      </c>
      <c r="G4098" s="209">
        <v>23.6</v>
      </c>
      <c r="H4098" s="198"/>
    </row>
    <row r="4099" spans="1:8" ht="15.75" hidden="1" customHeight="1" x14ac:dyDescent="0.25">
      <c r="A4099" s="205" t="s">
        <v>4727</v>
      </c>
      <c r="B4099" s="206">
        <v>96855</v>
      </c>
      <c r="C4099" s="207" t="s">
        <v>4753</v>
      </c>
      <c r="D4099" s="208" t="s">
        <v>580</v>
      </c>
      <c r="E4099" s="209">
        <v>26.94</v>
      </c>
      <c r="F4099" s="209">
        <v>9.3800000000000008</v>
      </c>
      <c r="G4099" s="209">
        <v>36.32</v>
      </c>
      <c r="H4099" s="198"/>
    </row>
    <row r="4100" spans="1:8" ht="15.75" hidden="1" customHeight="1" x14ac:dyDescent="0.25">
      <c r="A4100" s="205" t="s">
        <v>4727</v>
      </c>
      <c r="B4100" s="206">
        <v>96838</v>
      </c>
      <c r="C4100" s="207" t="s">
        <v>4754</v>
      </c>
      <c r="D4100" s="208" t="s">
        <v>580</v>
      </c>
      <c r="E4100" s="209">
        <v>16.12</v>
      </c>
      <c r="F4100" s="209">
        <v>12.69</v>
      </c>
      <c r="G4100" s="209">
        <v>28.81</v>
      </c>
      <c r="H4100" s="198"/>
    </row>
    <row r="4101" spans="1:8" ht="15.75" hidden="1" customHeight="1" x14ac:dyDescent="0.25">
      <c r="A4101" s="205" t="s">
        <v>4727</v>
      </c>
      <c r="B4101" s="206">
        <v>96841</v>
      </c>
      <c r="C4101" s="207" t="s">
        <v>4755</v>
      </c>
      <c r="D4101" s="208" t="s">
        <v>580</v>
      </c>
      <c r="E4101" s="209">
        <v>18.29</v>
      </c>
      <c r="F4101" s="209">
        <v>13.58</v>
      </c>
      <c r="G4101" s="209">
        <v>31.87</v>
      </c>
      <c r="H4101" s="198"/>
    </row>
    <row r="4102" spans="1:8" ht="15.75" hidden="1" customHeight="1" x14ac:dyDescent="0.25">
      <c r="A4102" s="205" t="s">
        <v>4727</v>
      </c>
      <c r="B4102" s="206">
        <v>96842</v>
      </c>
      <c r="C4102" s="207" t="s">
        <v>4756</v>
      </c>
      <c r="D4102" s="208" t="s">
        <v>580</v>
      </c>
      <c r="E4102" s="209">
        <v>21.31</v>
      </c>
      <c r="F4102" s="209">
        <v>15.06</v>
      </c>
      <c r="G4102" s="209">
        <v>36.369999999999997</v>
      </c>
      <c r="H4102" s="198"/>
    </row>
    <row r="4103" spans="1:8" ht="15.75" hidden="1" customHeight="1" x14ac:dyDescent="0.25">
      <c r="A4103" s="205" t="s">
        <v>4727</v>
      </c>
      <c r="B4103" s="206">
        <v>96846</v>
      </c>
      <c r="C4103" s="207" t="s">
        <v>4757</v>
      </c>
      <c r="D4103" s="208" t="s">
        <v>580</v>
      </c>
      <c r="E4103" s="209">
        <v>25.92</v>
      </c>
      <c r="F4103" s="209">
        <v>16.149999999999999</v>
      </c>
      <c r="G4103" s="209">
        <v>42.07</v>
      </c>
      <c r="H4103" s="198"/>
    </row>
    <row r="4104" spans="1:8" ht="15.75" hidden="1" customHeight="1" x14ac:dyDescent="0.25">
      <c r="A4104" s="205" t="s">
        <v>4727</v>
      </c>
      <c r="B4104" s="206">
        <v>96850</v>
      </c>
      <c r="C4104" s="207" t="s">
        <v>4758</v>
      </c>
      <c r="D4104" s="208" t="s">
        <v>580</v>
      </c>
      <c r="E4104" s="209">
        <v>15.47</v>
      </c>
      <c r="F4104" s="209">
        <v>11.26</v>
      </c>
      <c r="G4104" s="209">
        <v>26.73</v>
      </c>
      <c r="H4104" s="198"/>
    </row>
    <row r="4105" spans="1:8" ht="15.75" hidden="1" customHeight="1" x14ac:dyDescent="0.25">
      <c r="A4105" s="205" t="s">
        <v>4727</v>
      </c>
      <c r="B4105" s="206">
        <v>96853</v>
      </c>
      <c r="C4105" s="207" t="s">
        <v>4759</v>
      </c>
      <c r="D4105" s="208" t="s">
        <v>580</v>
      </c>
      <c r="E4105" s="209">
        <v>16.79</v>
      </c>
      <c r="F4105" s="209">
        <v>11.88</v>
      </c>
      <c r="G4105" s="209">
        <v>28.67</v>
      </c>
      <c r="H4105" s="198"/>
    </row>
    <row r="4106" spans="1:8" ht="15.75" hidden="1" customHeight="1" x14ac:dyDescent="0.25">
      <c r="A4106" s="205" t="s">
        <v>4727</v>
      </c>
      <c r="B4106" s="206">
        <v>96854</v>
      </c>
      <c r="C4106" s="207" t="s">
        <v>4760</v>
      </c>
      <c r="D4106" s="208" t="s">
        <v>580</v>
      </c>
      <c r="E4106" s="209">
        <v>21.66</v>
      </c>
      <c r="F4106" s="209">
        <v>13.35</v>
      </c>
      <c r="G4106" s="209">
        <v>35.01</v>
      </c>
      <c r="H4106" s="198"/>
    </row>
    <row r="4107" spans="1:8" ht="15.75" hidden="1" customHeight="1" x14ac:dyDescent="0.25">
      <c r="A4107" s="205" t="s">
        <v>4727</v>
      </c>
      <c r="B4107" s="206">
        <v>96856</v>
      </c>
      <c r="C4107" s="207" t="s">
        <v>4761</v>
      </c>
      <c r="D4107" s="208" t="s">
        <v>580</v>
      </c>
      <c r="E4107" s="209">
        <v>26.87</v>
      </c>
      <c r="F4107" s="209">
        <v>12.65</v>
      </c>
      <c r="G4107" s="209">
        <v>39.520000000000003</v>
      </c>
      <c r="H4107" s="198"/>
    </row>
    <row r="4108" spans="1:8" ht="15.75" hidden="1" customHeight="1" x14ac:dyDescent="0.25">
      <c r="A4108" s="205" t="s">
        <v>4727</v>
      </c>
      <c r="B4108" s="206">
        <v>96843</v>
      </c>
      <c r="C4108" s="207" t="s">
        <v>4762</v>
      </c>
      <c r="D4108" s="208" t="s">
        <v>580</v>
      </c>
      <c r="E4108" s="209">
        <v>19.46</v>
      </c>
      <c r="F4108" s="209">
        <v>13.59</v>
      </c>
      <c r="G4108" s="209">
        <v>33.049999999999997</v>
      </c>
      <c r="H4108" s="198"/>
    </row>
    <row r="4109" spans="1:8" ht="15.75" hidden="1" customHeight="1" x14ac:dyDescent="0.25">
      <c r="A4109" s="205" t="s">
        <v>4727</v>
      </c>
      <c r="B4109" s="206">
        <v>96847</v>
      </c>
      <c r="C4109" s="207" t="s">
        <v>4763</v>
      </c>
      <c r="D4109" s="208" t="s">
        <v>580</v>
      </c>
      <c r="E4109" s="209">
        <v>25.4</v>
      </c>
      <c r="F4109" s="209">
        <v>16.149999999999999</v>
      </c>
      <c r="G4109" s="209">
        <v>41.55</v>
      </c>
      <c r="H4109" s="198"/>
    </row>
    <row r="4110" spans="1:8" ht="15.75" hidden="1" customHeight="1" x14ac:dyDescent="0.25">
      <c r="A4110" s="205" t="s">
        <v>4727</v>
      </c>
      <c r="B4110" s="206">
        <v>96844</v>
      </c>
      <c r="C4110" s="207" t="s">
        <v>4764</v>
      </c>
      <c r="D4110" s="208" t="s">
        <v>580</v>
      </c>
      <c r="E4110" s="209">
        <v>22.85</v>
      </c>
      <c r="F4110" s="209">
        <v>15.06</v>
      </c>
      <c r="G4110" s="209">
        <v>37.909999999999997</v>
      </c>
      <c r="H4110" s="198"/>
    </row>
    <row r="4111" spans="1:8" ht="15.75" hidden="1" customHeight="1" x14ac:dyDescent="0.25">
      <c r="A4111" s="205" t="s">
        <v>4727</v>
      </c>
      <c r="B4111" s="206">
        <v>96839</v>
      </c>
      <c r="C4111" s="207" t="s">
        <v>4765</v>
      </c>
      <c r="D4111" s="208" t="s">
        <v>580</v>
      </c>
      <c r="E4111" s="209">
        <v>16.98</v>
      </c>
      <c r="F4111" s="209">
        <v>12.7</v>
      </c>
      <c r="G4111" s="209">
        <v>29.68</v>
      </c>
      <c r="H4111" s="198"/>
    </row>
    <row r="4112" spans="1:8" ht="15.75" hidden="1" customHeight="1" x14ac:dyDescent="0.25">
      <c r="A4112" s="205" t="s">
        <v>4727</v>
      </c>
      <c r="B4112" s="206">
        <v>96805</v>
      </c>
      <c r="C4112" s="207" t="s">
        <v>4766</v>
      </c>
      <c r="D4112" s="208" t="s">
        <v>580</v>
      </c>
      <c r="E4112" s="209">
        <v>201.67</v>
      </c>
      <c r="F4112" s="209">
        <v>25.53</v>
      </c>
      <c r="G4112" s="209">
        <v>227.2</v>
      </c>
      <c r="H4112" s="198"/>
    </row>
    <row r="4113" spans="1:8" ht="15.75" hidden="1" customHeight="1" x14ac:dyDescent="0.25">
      <c r="A4113" s="205" t="s">
        <v>4727</v>
      </c>
      <c r="B4113" s="206">
        <v>96802</v>
      </c>
      <c r="C4113" s="207" t="s">
        <v>4767</v>
      </c>
      <c r="D4113" s="208" t="s">
        <v>580</v>
      </c>
      <c r="E4113" s="209">
        <v>413.43</v>
      </c>
      <c r="F4113" s="209">
        <v>19.07</v>
      </c>
      <c r="G4113" s="209">
        <v>432.5</v>
      </c>
      <c r="H4113" s="198"/>
    </row>
    <row r="4114" spans="1:8" ht="15.75" hidden="1" customHeight="1" x14ac:dyDescent="0.25">
      <c r="A4114" s="205" t="s">
        <v>4727</v>
      </c>
      <c r="B4114" s="206">
        <v>96806</v>
      </c>
      <c r="C4114" s="207" t="s">
        <v>4768</v>
      </c>
      <c r="D4114" s="208" t="s">
        <v>580</v>
      </c>
      <c r="E4114" s="209">
        <v>68.12</v>
      </c>
      <c r="F4114" s="209">
        <v>22.24</v>
      </c>
      <c r="G4114" s="209">
        <v>90.36</v>
      </c>
      <c r="H4114" s="198"/>
    </row>
    <row r="4115" spans="1:8" ht="15.75" hidden="1" customHeight="1" x14ac:dyDescent="0.25">
      <c r="A4115" s="205" t="s">
        <v>4727</v>
      </c>
      <c r="B4115" s="206">
        <v>96803</v>
      </c>
      <c r="C4115" s="207" t="s">
        <v>4769</v>
      </c>
      <c r="D4115" s="208" t="s">
        <v>580</v>
      </c>
      <c r="E4115" s="209">
        <v>65.89</v>
      </c>
      <c r="F4115" s="209">
        <v>15.77</v>
      </c>
      <c r="G4115" s="209">
        <v>81.66</v>
      </c>
      <c r="H4115" s="198"/>
    </row>
    <row r="4116" spans="1:8" ht="15.75" hidden="1" customHeight="1" x14ac:dyDescent="0.25">
      <c r="A4116" s="205" t="s">
        <v>4727</v>
      </c>
      <c r="B4116" s="206">
        <v>96807</v>
      </c>
      <c r="C4116" s="207" t="s">
        <v>4770</v>
      </c>
      <c r="D4116" s="208" t="s">
        <v>580</v>
      </c>
      <c r="E4116" s="209">
        <v>103.18</v>
      </c>
      <c r="F4116" s="209">
        <v>43.79</v>
      </c>
      <c r="G4116" s="209">
        <v>146.97</v>
      </c>
      <c r="H4116" s="198"/>
    </row>
    <row r="4117" spans="1:8" ht="15.75" hidden="1" customHeight="1" x14ac:dyDescent="0.25">
      <c r="A4117" s="205" t="s">
        <v>4727</v>
      </c>
      <c r="B4117" s="206">
        <v>96804</v>
      </c>
      <c r="C4117" s="207" t="s">
        <v>4771</v>
      </c>
      <c r="D4117" s="208" t="s">
        <v>580</v>
      </c>
      <c r="E4117" s="209">
        <v>96.92</v>
      </c>
      <c r="F4117" s="209">
        <v>37.33</v>
      </c>
      <c r="G4117" s="209">
        <v>134.25</v>
      </c>
      <c r="H4117" s="198"/>
    </row>
    <row r="4118" spans="1:8" ht="15.75" hidden="1" customHeight="1" x14ac:dyDescent="0.25">
      <c r="A4118" s="205" t="s">
        <v>4727</v>
      </c>
      <c r="B4118" s="206">
        <v>104581</v>
      </c>
      <c r="C4118" s="207" t="s">
        <v>4772</v>
      </c>
      <c r="D4118" s="208" t="s">
        <v>580</v>
      </c>
      <c r="E4118" s="209">
        <v>10.19</v>
      </c>
      <c r="F4118" s="209">
        <v>6.32</v>
      </c>
      <c r="G4118" s="209">
        <v>16.510000000000002</v>
      </c>
      <c r="H4118" s="198"/>
    </row>
    <row r="4119" spans="1:8" ht="15.75" hidden="1" customHeight="1" x14ac:dyDescent="0.25">
      <c r="A4119" s="205" t="s">
        <v>4727</v>
      </c>
      <c r="B4119" s="206">
        <v>104582</v>
      </c>
      <c r="C4119" s="207" t="s">
        <v>4773</v>
      </c>
      <c r="D4119" s="208" t="s">
        <v>580</v>
      </c>
      <c r="E4119" s="209">
        <v>13.44</v>
      </c>
      <c r="F4119" s="209">
        <v>7.49</v>
      </c>
      <c r="G4119" s="209">
        <v>20.93</v>
      </c>
      <c r="H4119" s="198"/>
    </row>
    <row r="4120" spans="1:8" ht="15.75" hidden="1" customHeight="1" x14ac:dyDescent="0.25">
      <c r="A4120" s="205" t="s">
        <v>4727</v>
      </c>
      <c r="B4120" s="206">
        <v>104583</v>
      </c>
      <c r="C4120" s="207" t="s">
        <v>4774</v>
      </c>
      <c r="D4120" s="208" t="s">
        <v>580</v>
      </c>
      <c r="E4120" s="209">
        <v>23.93</v>
      </c>
      <c r="F4120" s="209">
        <v>8.9499999999999993</v>
      </c>
      <c r="G4120" s="209">
        <v>32.880000000000003</v>
      </c>
      <c r="H4120" s="198"/>
    </row>
    <row r="4121" spans="1:8" ht="15.75" hidden="1" customHeight="1" x14ac:dyDescent="0.25">
      <c r="A4121" s="205" t="s">
        <v>4727</v>
      </c>
      <c r="B4121" s="206">
        <v>104584</v>
      </c>
      <c r="C4121" s="207" t="s">
        <v>4775</v>
      </c>
      <c r="D4121" s="208" t="s">
        <v>580</v>
      </c>
      <c r="E4121" s="209">
        <v>28.5</v>
      </c>
      <c r="F4121" s="209">
        <v>11</v>
      </c>
      <c r="G4121" s="209">
        <v>39.5</v>
      </c>
      <c r="H4121" s="198"/>
    </row>
    <row r="4122" spans="1:8" ht="15.75" hidden="1" customHeight="1" x14ac:dyDescent="0.25">
      <c r="A4122" s="205" t="s">
        <v>4727</v>
      </c>
      <c r="B4122" s="206">
        <v>96829</v>
      </c>
      <c r="C4122" s="207" t="s">
        <v>4776</v>
      </c>
      <c r="D4122" s="208" t="s">
        <v>580</v>
      </c>
      <c r="E4122" s="209">
        <v>15.13</v>
      </c>
      <c r="F4122" s="209">
        <v>4.8099999999999996</v>
      </c>
      <c r="G4122" s="209">
        <v>19.940000000000001</v>
      </c>
      <c r="H4122" s="198"/>
    </row>
    <row r="4123" spans="1:8" ht="15.75" hidden="1" customHeight="1" x14ac:dyDescent="0.25">
      <c r="A4123" s="205" t="s">
        <v>4727</v>
      </c>
      <c r="B4123" s="206">
        <v>96833</v>
      </c>
      <c r="C4123" s="207" t="s">
        <v>4777</v>
      </c>
      <c r="D4123" s="208" t="s">
        <v>580</v>
      </c>
      <c r="E4123" s="209">
        <v>19.91</v>
      </c>
      <c r="F4123" s="209">
        <v>5.33</v>
      </c>
      <c r="G4123" s="209">
        <v>25.24</v>
      </c>
      <c r="H4123" s="198"/>
    </row>
    <row r="4124" spans="1:8" ht="15.75" hidden="1" customHeight="1" x14ac:dyDescent="0.25">
      <c r="A4124" s="205" t="s">
        <v>4727</v>
      </c>
      <c r="B4124" s="206">
        <v>96836</v>
      </c>
      <c r="C4124" s="207" t="s">
        <v>4778</v>
      </c>
      <c r="D4124" s="208" t="s">
        <v>580</v>
      </c>
      <c r="E4124" s="209">
        <v>29</v>
      </c>
      <c r="F4124" s="209">
        <v>6.96</v>
      </c>
      <c r="G4124" s="209">
        <v>35.96</v>
      </c>
      <c r="H4124" s="198"/>
    </row>
    <row r="4125" spans="1:8" ht="15.75" hidden="1" customHeight="1" x14ac:dyDescent="0.25">
      <c r="A4125" s="205" t="s">
        <v>4727</v>
      </c>
      <c r="B4125" s="206">
        <v>104576</v>
      </c>
      <c r="C4125" s="207" t="s">
        <v>4779</v>
      </c>
      <c r="D4125" s="208" t="s">
        <v>580</v>
      </c>
      <c r="E4125" s="209">
        <v>11.18</v>
      </c>
      <c r="F4125" s="209">
        <v>6.89</v>
      </c>
      <c r="G4125" s="209">
        <v>18.07</v>
      </c>
      <c r="H4125" s="198"/>
    </row>
    <row r="4126" spans="1:8" ht="15.75" hidden="1" customHeight="1" x14ac:dyDescent="0.25">
      <c r="A4126" s="205" t="s">
        <v>4727</v>
      </c>
      <c r="B4126" s="206">
        <v>104577</v>
      </c>
      <c r="C4126" s="207" t="s">
        <v>4780</v>
      </c>
      <c r="D4126" s="208" t="s">
        <v>580</v>
      </c>
      <c r="E4126" s="209">
        <v>16.28</v>
      </c>
      <c r="F4126" s="209">
        <v>7.64</v>
      </c>
      <c r="G4126" s="209">
        <v>23.92</v>
      </c>
      <c r="H4126" s="198"/>
    </row>
    <row r="4127" spans="1:8" ht="15.75" hidden="1" customHeight="1" x14ac:dyDescent="0.25">
      <c r="A4127" s="205" t="s">
        <v>4727</v>
      </c>
      <c r="B4127" s="206">
        <v>104578</v>
      </c>
      <c r="C4127" s="207" t="s">
        <v>4781</v>
      </c>
      <c r="D4127" s="208" t="s">
        <v>580</v>
      </c>
      <c r="E4127" s="209">
        <v>17.420000000000002</v>
      </c>
      <c r="F4127" s="209">
        <v>8.23</v>
      </c>
      <c r="G4127" s="209">
        <v>25.65</v>
      </c>
      <c r="H4127" s="198"/>
    </row>
    <row r="4128" spans="1:8" ht="15.75" hidden="1" customHeight="1" x14ac:dyDescent="0.25">
      <c r="A4128" s="205" t="s">
        <v>4727</v>
      </c>
      <c r="B4128" s="206">
        <v>104579</v>
      </c>
      <c r="C4128" s="207" t="s">
        <v>4782</v>
      </c>
      <c r="D4128" s="208" t="s">
        <v>580</v>
      </c>
      <c r="E4128" s="209">
        <v>23.51</v>
      </c>
      <c r="F4128" s="209">
        <v>9.98</v>
      </c>
      <c r="G4128" s="209">
        <v>33.49</v>
      </c>
      <c r="H4128" s="198"/>
    </row>
    <row r="4129" spans="1:8" ht="15.75" hidden="1" customHeight="1" x14ac:dyDescent="0.25">
      <c r="A4129" s="205" t="s">
        <v>4727</v>
      </c>
      <c r="B4129" s="206">
        <v>96823</v>
      </c>
      <c r="C4129" s="207" t="s">
        <v>4783</v>
      </c>
      <c r="D4129" s="208" t="s">
        <v>580</v>
      </c>
      <c r="E4129" s="209">
        <v>8.2100000000000009</v>
      </c>
      <c r="F4129" s="209">
        <v>4.4000000000000004</v>
      </c>
      <c r="G4129" s="209">
        <v>12.61</v>
      </c>
      <c r="H4129" s="198"/>
    </row>
    <row r="4130" spans="1:8" ht="15.75" hidden="1" customHeight="1" x14ac:dyDescent="0.25">
      <c r="A4130" s="205" t="s">
        <v>4727</v>
      </c>
      <c r="B4130" s="206">
        <v>96826</v>
      </c>
      <c r="C4130" s="207" t="s">
        <v>4784</v>
      </c>
      <c r="D4130" s="208" t="s">
        <v>580</v>
      </c>
      <c r="E4130" s="209">
        <v>9.44</v>
      </c>
      <c r="F4130" s="209">
        <v>5.21</v>
      </c>
      <c r="G4130" s="209">
        <v>14.65</v>
      </c>
      <c r="H4130" s="198"/>
    </row>
    <row r="4131" spans="1:8" ht="15.75" hidden="1" customHeight="1" x14ac:dyDescent="0.25">
      <c r="A4131" s="205" t="s">
        <v>4727</v>
      </c>
      <c r="B4131" s="206">
        <v>96830</v>
      </c>
      <c r="C4131" s="207" t="s">
        <v>4785</v>
      </c>
      <c r="D4131" s="208" t="s">
        <v>580</v>
      </c>
      <c r="E4131" s="209">
        <v>16.38</v>
      </c>
      <c r="F4131" s="209">
        <v>6.24</v>
      </c>
      <c r="G4131" s="209">
        <v>22.62</v>
      </c>
      <c r="H4131" s="198"/>
    </row>
    <row r="4132" spans="1:8" ht="15.75" hidden="1" customHeight="1" x14ac:dyDescent="0.25">
      <c r="A4132" s="205" t="s">
        <v>4727</v>
      </c>
      <c r="B4132" s="206">
        <v>96834</v>
      </c>
      <c r="C4132" s="207" t="s">
        <v>4786</v>
      </c>
      <c r="D4132" s="208" t="s">
        <v>580</v>
      </c>
      <c r="E4132" s="209">
        <v>22.77</v>
      </c>
      <c r="F4132" s="209">
        <v>7.68</v>
      </c>
      <c r="G4132" s="209">
        <v>30.45</v>
      </c>
      <c r="H4132" s="198"/>
    </row>
    <row r="4133" spans="1:8" ht="15.75" hidden="1" customHeight="1" x14ac:dyDescent="0.25">
      <c r="A4133" s="205" t="s">
        <v>4727</v>
      </c>
      <c r="B4133" s="206">
        <v>96798</v>
      </c>
      <c r="C4133" s="207" t="s">
        <v>4787</v>
      </c>
      <c r="D4133" s="208" t="s">
        <v>585</v>
      </c>
      <c r="E4133" s="209">
        <v>5.78</v>
      </c>
      <c r="F4133" s="209">
        <v>2.88</v>
      </c>
      <c r="G4133" s="209">
        <v>8.66</v>
      </c>
      <c r="H4133" s="198"/>
    </row>
    <row r="4134" spans="1:8" ht="15.75" hidden="1" customHeight="1" x14ac:dyDescent="0.25">
      <c r="A4134" s="205" t="s">
        <v>4727</v>
      </c>
      <c r="B4134" s="206">
        <v>96799</v>
      </c>
      <c r="C4134" s="207" t="s">
        <v>4788</v>
      </c>
      <c r="D4134" s="208" t="s">
        <v>585</v>
      </c>
      <c r="E4134" s="209">
        <v>7.44</v>
      </c>
      <c r="F4134" s="209">
        <v>3.63</v>
      </c>
      <c r="G4134" s="209">
        <v>11.07</v>
      </c>
      <c r="H4134" s="198"/>
    </row>
    <row r="4135" spans="1:8" ht="15.75" hidden="1" customHeight="1" x14ac:dyDescent="0.25">
      <c r="A4135" s="205" t="s">
        <v>4727</v>
      </c>
      <c r="B4135" s="206">
        <v>96800</v>
      </c>
      <c r="C4135" s="207" t="s">
        <v>4789</v>
      </c>
      <c r="D4135" s="208" t="s">
        <v>585</v>
      </c>
      <c r="E4135" s="209">
        <v>10.37</v>
      </c>
      <c r="F4135" s="209">
        <v>4.58</v>
      </c>
      <c r="G4135" s="209">
        <v>14.95</v>
      </c>
      <c r="H4135" s="198"/>
    </row>
    <row r="4136" spans="1:8" ht="15.75" hidden="1" customHeight="1" x14ac:dyDescent="0.25">
      <c r="A4136" s="205" t="s">
        <v>4727</v>
      </c>
      <c r="B4136" s="206">
        <v>96801</v>
      </c>
      <c r="C4136" s="207" t="s">
        <v>4790</v>
      </c>
      <c r="D4136" s="208" t="s">
        <v>585</v>
      </c>
      <c r="E4136" s="209">
        <v>16.43</v>
      </c>
      <c r="F4136" s="209">
        <v>5.88</v>
      </c>
      <c r="G4136" s="209">
        <v>22.31</v>
      </c>
      <c r="H4136" s="198"/>
    </row>
    <row r="4137" spans="1:8" ht="15.75" hidden="1" customHeight="1" x14ac:dyDescent="0.25">
      <c r="A4137" s="205" t="s">
        <v>4727</v>
      </c>
      <c r="B4137" s="206">
        <v>96860</v>
      </c>
      <c r="C4137" s="207" t="s">
        <v>4791</v>
      </c>
      <c r="D4137" s="208" t="s">
        <v>580</v>
      </c>
      <c r="E4137" s="209">
        <v>21</v>
      </c>
      <c r="F4137" s="209">
        <v>12.64</v>
      </c>
      <c r="G4137" s="209">
        <v>33.64</v>
      </c>
      <c r="H4137" s="198"/>
    </row>
    <row r="4138" spans="1:8" ht="15.75" hidden="1" customHeight="1" x14ac:dyDescent="0.25">
      <c r="A4138" s="205" t="s">
        <v>4727</v>
      </c>
      <c r="B4138" s="206">
        <v>96862</v>
      </c>
      <c r="C4138" s="207" t="s">
        <v>4792</v>
      </c>
      <c r="D4138" s="208" t="s">
        <v>580</v>
      </c>
      <c r="E4138" s="209">
        <v>26.21</v>
      </c>
      <c r="F4138" s="209">
        <v>15</v>
      </c>
      <c r="G4138" s="209">
        <v>41.21</v>
      </c>
      <c r="H4138" s="198"/>
    </row>
    <row r="4139" spans="1:8" ht="15.75" hidden="1" customHeight="1" x14ac:dyDescent="0.25">
      <c r="A4139" s="205" t="s">
        <v>4727</v>
      </c>
      <c r="B4139" s="206">
        <v>96864</v>
      </c>
      <c r="C4139" s="207" t="s">
        <v>4793</v>
      </c>
      <c r="D4139" s="208" t="s">
        <v>580</v>
      </c>
      <c r="E4139" s="209">
        <v>39.520000000000003</v>
      </c>
      <c r="F4139" s="209">
        <v>17.93</v>
      </c>
      <c r="G4139" s="209">
        <v>57.45</v>
      </c>
      <c r="H4139" s="198"/>
    </row>
    <row r="4140" spans="1:8" ht="15.75" hidden="1" customHeight="1" x14ac:dyDescent="0.25">
      <c r="A4140" s="205" t="s">
        <v>4727</v>
      </c>
      <c r="B4140" s="206">
        <v>96866</v>
      </c>
      <c r="C4140" s="207" t="s">
        <v>4794</v>
      </c>
      <c r="D4140" s="208" t="s">
        <v>580</v>
      </c>
      <c r="E4140" s="209">
        <v>52.4</v>
      </c>
      <c r="F4140" s="209">
        <v>22.04</v>
      </c>
      <c r="G4140" s="209">
        <v>74.44</v>
      </c>
      <c r="H4140" s="198"/>
    </row>
    <row r="4141" spans="1:8" ht="15.75" hidden="1" customHeight="1" x14ac:dyDescent="0.25">
      <c r="A4141" s="205" t="s">
        <v>4727</v>
      </c>
      <c r="B4141" s="206">
        <v>96868</v>
      </c>
      <c r="C4141" s="207" t="s">
        <v>4795</v>
      </c>
      <c r="D4141" s="208" t="s">
        <v>580</v>
      </c>
      <c r="E4141" s="209">
        <v>13.28</v>
      </c>
      <c r="F4141" s="209">
        <v>8.83</v>
      </c>
      <c r="G4141" s="209">
        <v>22.11</v>
      </c>
      <c r="H4141" s="198"/>
    </row>
    <row r="4142" spans="1:8" ht="15.75" hidden="1" customHeight="1" x14ac:dyDescent="0.25">
      <c r="A4142" s="205" t="s">
        <v>4727</v>
      </c>
      <c r="B4142" s="206">
        <v>96869</v>
      </c>
      <c r="C4142" s="207" t="s">
        <v>4796</v>
      </c>
      <c r="D4142" s="208" t="s">
        <v>580</v>
      </c>
      <c r="E4142" s="209">
        <v>22.68</v>
      </c>
      <c r="F4142" s="209">
        <v>10.46</v>
      </c>
      <c r="G4142" s="209">
        <v>33.14</v>
      </c>
      <c r="H4142" s="198"/>
    </row>
    <row r="4143" spans="1:8" ht="15.75" hidden="1" customHeight="1" x14ac:dyDescent="0.25">
      <c r="A4143" s="205" t="s">
        <v>4727</v>
      </c>
      <c r="B4143" s="206">
        <v>96870</v>
      </c>
      <c r="C4143" s="207" t="s">
        <v>4797</v>
      </c>
      <c r="D4143" s="208" t="s">
        <v>580</v>
      </c>
      <c r="E4143" s="209">
        <v>36.5</v>
      </c>
      <c r="F4143" s="209">
        <v>12.5</v>
      </c>
      <c r="G4143" s="209">
        <v>49</v>
      </c>
      <c r="H4143" s="198"/>
    </row>
    <row r="4144" spans="1:8" ht="15.75" hidden="1" customHeight="1" x14ac:dyDescent="0.25">
      <c r="A4144" s="205" t="s">
        <v>4727</v>
      </c>
      <c r="B4144" s="206">
        <v>96871</v>
      </c>
      <c r="C4144" s="207" t="s">
        <v>4798</v>
      </c>
      <c r="D4144" s="208" t="s">
        <v>580</v>
      </c>
      <c r="E4144" s="209">
        <v>40.9</v>
      </c>
      <c r="F4144" s="209">
        <v>15.38</v>
      </c>
      <c r="G4144" s="209">
        <v>56.28</v>
      </c>
      <c r="H4144" s="198"/>
    </row>
    <row r="4145" spans="1:8" ht="15.75" hidden="1" customHeight="1" x14ac:dyDescent="0.25">
      <c r="A4145" s="205" t="s">
        <v>4727</v>
      </c>
      <c r="B4145" s="206">
        <v>96861</v>
      </c>
      <c r="C4145" s="207" t="s">
        <v>4799</v>
      </c>
      <c r="D4145" s="208" t="s">
        <v>580</v>
      </c>
      <c r="E4145" s="209">
        <v>26.9</v>
      </c>
      <c r="F4145" s="209">
        <v>15.5</v>
      </c>
      <c r="G4145" s="209">
        <v>42.4</v>
      </c>
      <c r="H4145" s="198"/>
    </row>
    <row r="4146" spans="1:8" ht="15.75" hidden="1" customHeight="1" x14ac:dyDescent="0.25">
      <c r="A4146" s="205" t="s">
        <v>4727</v>
      </c>
      <c r="B4146" s="206">
        <v>96863</v>
      </c>
      <c r="C4146" s="207" t="s">
        <v>4800</v>
      </c>
      <c r="D4146" s="208" t="s">
        <v>580</v>
      </c>
      <c r="E4146" s="209">
        <v>26.65</v>
      </c>
      <c r="F4146" s="209">
        <v>17.079999999999998</v>
      </c>
      <c r="G4146" s="209">
        <v>43.73</v>
      </c>
      <c r="H4146" s="198"/>
    </row>
    <row r="4147" spans="1:8" ht="15.75" hidden="1" customHeight="1" x14ac:dyDescent="0.25">
      <c r="A4147" s="205" t="s">
        <v>4727</v>
      </c>
      <c r="B4147" s="206">
        <v>96865</v>
      </c>
      <c r="C4147" s="207" t="s">
        <v>4801</v>
      </c>
      <c r="D4147" s="208" t="s">
        <v>580</v>
      </c>
      <c r="E4147" s="209">
        <v>31.32</v>
      </c>
      <c r="F4147" s="209">
        <v>20.329999999999998</v>
      </c>
      <c r="G4147" s="209">
        <v>51.65</v>
      </c>
      <c r="H4147" s="198"/>
    </row>
    <row r="4148" spans="1:8" ht="15.75" hidden="1" customHeight="1" x14ac:dyDescent="0.25">
      <c r="A4148" s="205" t="s">
        <v>4727</v>
      </c>
      <c r="B4148" s="206">
        <v>96814</v>
      </c>
      <c r="C4148" s="207" t="s">
        <v>4802</v>
      </c>
      <c r="D4148" s="208" t="s">
        <v>580</v>
      </c>
      <c r="E4148" s="209">
        <v>11.18</v>
      </c>
      <c r="F4148" s="209">
        <v>6.89</v>
      </c>
      <c r="G4148" s="209">
        <v>18.07</v>
      </c>
      <c r="H4148" s="198"/>
    </row>
    <row r="4149" spans="1:8" ht="15.75" hidden="1" customHeight="1" x14ac:dyDescent="0.25">
      <c r="A4149" s="205" t="s">
        <v>4727</v>
      </c>
      <c r="B4149" s="206">
        <v>96818</v>
      </c>
      <c r="C4149" s="207" t="s">
        <v>4803</v>
      </c>
      <c r="D4149" s="208" t="s">
        <v>580</v>
      </c>
      <c r="E4149" s="209">
        <v>16.28</v>
      </c>
      <c r="F4149" s="209">
        <v>7.64</v>
      </c>
      <c r="G4149" s="209">
        <v>23.92</v>
      </c>
      <c r="H4149" s="198"/>
    </row>
    <row r="4150" spans="1:8" ht="15.75" hidden="1" customHeight="1" x14ac:dyDescent="0.25">
      <c r="A4150" s="205" t="s">
        <v>4727</v>
      </c>
      <c r="B4150" s="206">
        <v>96819</v>
      </c>
      <c r="C4150" s="207" t="s">
        <v>4804</v>
      </c>
      <c r="D4150" s="208" t="s">
        <v>580</v>
      </c>
      <c r="E4150" s="209">
        <v>17.420000000000002</v>
      </c>
      <c r="F4150" s="209">
        <v>8.23</v>
      </c>
      <c r="G4150" s="209">
        <v>25.65</v>
      </c>
      <c r="H4150" s="198"/>
    </row>
    <row r="4151" spans="1:8" ht="15.75" hidden="1" customHeight="1" x14ac:dyDescent="0.25">
      <c r="A4151" s="205" t="s">
        <v>4727</v>
      </c>
      <c r="B4151" s="206">
        <v>96822</v>
      </c>
      <c r="C4151" s="207" t="s">
        <v>4805</v>
      </c>
      <c r="D4151" s="208" t="s">
        <v>580</v>
      </c>
      <c r="E4151" s="209">
        <v>23.51</v>
      </c>
      <c r="F4151" s="209">
        <v>9.98</v>
      </c>
      <c r="G4151" s="209">
        <v>33.49</v>
      </c>
      <c r="H4151" s="198"/>
    </row>
    <row r="4152" spans="1:8" ht="15.75" hidden="1" customHeight="1" x14ac:dyDescent="0.25">
      <c r="A4152" s="205" t="s">
        <v>4727</v>
      </c>
      <c r="B4152" s="206">
        <v>96808</v>
      </c>
      <c r="C4152" s="207" t="s">
        <v>4806</v>
      </c>
      <c r="D4152" s="208" t="s">
        <v>580</v>
      </c>
      <c r="E4152" s="209">
        <v>10.97</v>
      </c>
      <c r="F4152" s="209">
        <v>8.4700000000000006</v>
      </c>
      <c r="G4152" s="209">
        <v>19.440000000000001</v>
      </c>
      <c r="H4152" s="198"/>
    </row>
    <row r="4153" spans="1:8" ht="15.75" hidden="1" customHeight="1" x14ac:dyDescent="0.25">
      <c r="A4153" s="205" t="s">
        <v>4727</v>
      </c>
      <c r="B4153" s="206">
        <v>96811</v>
      </c>
      <c r="C4153" s="207" t="s">
        <v>4807</v>
      </c>
      <c r="D4153" s="208" t="s">
        <v>580</v>
      </c>
      <c r="E4153" s="209">
        <v>14.36</v>
      </c>
      <c r="F4153" s="209">
        <v>10.039999999999999</v>
      </c>
      <c r="G4153" s="209">
        <v>24.4</v>
      </c>
      <c r="H4153" s="198"/>
    </row>
    <row r="4154" spans="1:8" ht="15.75" hidden="1" customHeight="1" x14ac:dyDescent="0.25">
      <c r="A4154" s="205" t="s">
        <v>4727</v>
      </c>
      <c r="B4154" s="206">
        <v>96815</v>
      </c>
      <c r="C4154" s="207" t="s">
        <v>4808</v>
      </c>
      <c r="D4154" s="208" t="s">
        <v>580</v>
      </c>
      <c r="E4154" s="209">
        <v>25.04</v>
      </c>
      <c r="F4154" s="209">
        <v>12</v>
      </c>
      <c r="G4154" s="209">
        <v>37.04</v>
      </c>
      <c r="H4154" s="198"/>
    </row>
    <row r="4155" spans="1:8" ht="15.75" hidden="1" customHeight="1" x14ac:dyDescent="0.25">
      <c r="A4155" s="205" t="s">
        <v>4727</v>
      </c>
      <c r="B4155" s="206">
        <v>96820</v>
      </c>
      <c r="C4155" s="207" t="s">
        <v>4809</v>
      </c>
      <c r="D4155" s="208" t="s">
        <v>580</v>
      </c>
      <c r="E4155" s="209">
        <v>29.86</v>
      </c>
      <c r="F4155" s="209">
        <v>14.74</v>
      </c>
      <c r="G4155" s="209">
        <v>44.6</v>
      </c>
      <c r="H4155" s="198"/>
    </row>
    <row r="4156" spans="1:8" ht="15.75" hidden="1" customHeight="1" x14ac:dyDescent="0.25">
      <c r="A4156" s="205" t="s">
        <v>4810</v>
      </c>
      <c r="B4156" s="206">
        <v>96702</v>
      </c>
      <c r="C4156" s="207" t="s">
        <v>4811</v>
      </c>
      <c r="D4156" s="208" t="s">
        <v>580</v>
      </c>
      <c r="E4156" s="209">
        <v>8.42</v>
      </c>
      <c r="F4156" s="209">
        <v>6.22</v>
      </c>
      <c r="G4156" s="209">
        <v>14.64</v>
      </c>
      <c r="H4156" s="198"/>
    </row>
    <row r="4157" spans="1:8" ht="15.75" hidden="1" customHeight="1" x14ac:dyDescent="0.25">
      <c r="A4157" s="205" t="s">
        <v>4810</v>
      </c>
      <c r="B4157" s="206">
        <v>96662</v>
      </c>
      <c r="C4157" s="207" t="s">
        <v>4812</v>
      </c>
      <c r="D4157" s="208" t="s">
        <v>580</v>
      </c>
      <c r="E4157" s="209">
        <v>7.66</v>
      </c>
      <c r="F4157" s="209">
        <v>4.1100000000000003</v>
      </c>
      <c r="G4157" s="209">
        <v>11.77</v>
      </c>
      <c r="H4157" s="198"/>
    </row>
    <row r="4158" spans="1:8" ht="15.75" hidden="1" customHeight="1" x14ac:dyDescent="0.25">
      <c r="A4158" s="205" t="s">
        <v>4810</v>
      </c>
      <c r="B4158" s="206">
        <v>96704</v>
      </c>
      <c r="C4158" s="207" t="s">
        <v>4813</v>
      </c>
      <c r="D4158" s="208" t="s">
        <v>580</v>
      </c>
      <c r="E4158" s="209">
        <v>18.52</v>
      </c>
      <c r="F4158" s="209">
        <v>6.91</v>
      </c>
      <c r="G4158" s="209">
        <v>25.43</v>
      </c>
      <c r="H4158" s="198"/>
    </row>
    <row r="4159" spans="1:8" ht="15.75" hidden="1" customHeight="1" x14ac:dyDescent="0.25">
      <c r="A4159" s="205" t="s">
        <v>4810</v>
      </c>
      <c r="B4159" s="206">
        <v>96664</v>
      </c>
      <c r="C4159" s="207" t="s">
        <v>4814</v>
      </c>
      <c r="D4159" s="208" t="s">
        <v>580</v>
      </c>
      <c r="E4159" s="209">
        <v>17.52</v>
      </c>
      <c r="F4159" s="209">
        <v>4.24</v>
      </c>
      <c r="G4159" s="209">
        <v>21.76</v>
      </c>
      <c r="H4159" s="198"/>
    </row>
    <row r="4160" spans="1:8" ht="15.75" hidden="1" customHeight="1" x14ac:dyDescent="0.25">
      <c r="A4160" s="205" t="s">
        <v>4810</v>
      </c>
      <c r="B4160" s="206">
        <v>104191</v>
      </c>
      <c r="C4160" s="207" t="s">
        <v>4815</v>
      </c>
      <c r="D4160" s="208" t="s">
        <v>580</v>
      </c>
      <c r="E4160" s="209">
        <v>7.25</v>
      </c>
      <c r="F4160" s="209">
        <v>5.97</v>
      </c>
      <c r="G4160" s="209">
        <v>13.22</v>
      </c>
      <c r="H4160" s="198"/>
    </row>
    <row r="4161" spans="1:8" ht="15.75" hidden="1" customHeight="1" x14ac:dyDescent="0.25">
      <c r="A4161" s="205" t="s">
        <v>4810</v>
      </c>
      <c r="B4161" s="206">
        <v>96658</v>
      </c>
      <c r="C4161" s="207" t="s">
        <v>4816</v>
      </c>
      <c r="D4161" s="208" t="s">
        <v>580</v>
      </c>
      <c r="E4161" s="209">
        <v>14.92</v>
      </c>
      <c r="F4161" s="209">
        <v>4</v>
      </c>
      <c r="G4161" s="209">
        <v>18.920000000000002</v>
      </c>
      <c r="H4161" s="198"/>
    </row>
    <row r="4162" spans="1:8" ht="15.75" hidden="1" customHeight="1" x14ac:dyDescent="0.25">
      <c r="A4162" s="205" t="s">
        <v>4810</v>
      </c>
      <c r="B4162" s="206">
        <v>96641</v>
      </c>
      <c r="C4162" s="207" t="s">
        <v>4817</v>
      </c>
      <c r="D4162" s="208" t="s">
        <v>580</v>
      </c>
      <c r="E4162" s="209">
        <v>15.64</v>
      </c>
      <c r="F4162" s="209">
        <v>5.97</v>
      </c>
      <c r="G4162" s="209">
        <v>21.61</v>
      </c>
      <c r="H4162" s="198"/>
    </row>
    <row r="4163" spans="1:8" ht="15.75" hidden="1" customHeight="1" x14ac:dyDescent="0.25">
      <c r="A4163" s="205" t="s">
        <v>4810</v>
      </c>
      <c r="B4163" s="206">
        <v>96700</v>
      </c>
      <c r="C4163" s="207" t="s">
        <v>4818</v>
      </c>
      <c r="D4163" s="208" t="s">
        <v>580</v>
      </c>
      <c r="E4163" s="209">
        <v>15.49</v>
      </c>
      <c r="F4163" s="209">
        <v>5.6</v>
      </c>
      <c r="G4163" s="209">
        <v>21.09</v>
      </c>
      <c r="H4163" s="198"/>
    </row>
    <row r="4164" spans="1:8" ht="15.75" hidden="1" customHeight="1" x14ac:dyDescent="0.25">
      <c r="A4164" s="205" t="s">
        <v>4810</v>
      </c>
      <c r="B4164" s="206">
        <v>96661</v>
      </c>
      <c r="C4164" s="207" t="s">
        <v>4819</v>
      </c>
      <c r="D4164" s="208" t="s">
        <v>580</v>
      </c>
      <c r="E4164" s="209">
        <v>35.5</v>
      </c>
      <c r="F4164" s="209">
        <v>4.12</v>
      </c>
      <c r="G4164" s="209">
        <v>39.619999999999997</v>
      </c>
      <c r="H4164" s="198"/>
    </row>
    <row r="4165" spans="1:8" ht="15.75" hidden="1" customHeight="1" x14ac:dyDescent="0.25">
      <c r="A4165" s="205" t="s">
        <v>4810</v>
      </c>
      <c r="B4165" s="206">
        <v>96640</v>
      </c>
      <c r="C4165" s="207" t="s">
        <v>4820</v>
      </c>
      <c r="D4165" s="208" t="s">
        <v>580</v>
      </c>
      <c r="E4165" s="209">
        <v>26.21</v>
      </c>
      <c r="F4165" s="209">
        <v>5.98</v>
      </c>
      <c r="G4165" s="209">
        <v>32.19</v>
      </c>
      <c r="H4165" s="198"/>
    </row>
    <row r="4166" spans="1:8" ht="15.75" hidden="1" customHeight="1" x14ac:dyDescent="0.25">
      <c r="A4166" s="205" t="s">
        <v>4810</v>
      </c>
      <c r="B4166" s="206">
        <v>96699</v>
      </c>
      <c r="C4166" s="207" t="s">
        <v>4821</v>
      </c>
      <c r="D4166" s="208" t="s">
        <v>580</v>
      </c>
      <c r="E4166" s="209">
        <v>26.07</v>
      </c>
      <c r="F4166" s="209">
        <v>5.6</v>
      </c>
      <c r="G4166" s="209">
        <v>31.67</v>
      </c>
      <c r="H4166" s="198"/>
    </row>
    <row r="4167" spans="1:8" ht="15.75" hidden="1" customHeight="1" x14ac:dyDescent="0.25">
      <c r="A4167" s="205" t="s">
        <v>4810</v>
      </c>
      <c r="B4167" s="206">
        <v>96657</v>
      </c>
      <c r="C4167" s="207" t="s">
        <v>4822</v>
      </c>
      <c r="D4167" s="208" t="s">
        <v>580</v>
      </c>
      <c r="E4167" s="209">
        <v>25.5</v>
      </c>
      <c r="F4167" s="209">
        <v>4</v>
      </c>
      <c r="G4167" s="209">
        <v>29.5</v>
      </c>
      <c r="H4167" s="198"/>
    </row>
    <row r="4168" spans="1:8" ht="15.75" hidden="1" customHeight="1" x14ac:dyDescent="0.25">
      <c r="A4168" s="205" t="s">
        <v>4810</v>
      </c>
      <c r="B4168" s="206">
        <v>96660</v>
      </c>
      <c r="C4168" s="207" t="s">
        <v>4823</v>
      </c>
      <c r="D4168" s="208" t="s">
        <v>580</v>
      </c>
      <c r="E4168" s="209">
        <v>35.880000000000003</v>
      </c>
      <c r="F4168" s="209">
        <v>4.12</v>
      </c>
      <c r="G4168" s="209">
        <v>40</v>
      </c>
      <c r="H4168" s="198"/>
    </row>
    <row r="4169" spans="1:8" ht="15.75" hidden="1" customHeight="1" x14ac:dyDescent="0.25">
      <c r="A4169" s="205" t="s">
        <v>4810</v>
      </c>
      <c r="B4169" s="206">
        <v>104196</v>
      </c>
      <c r="C4169" s="207" t="s">
        <v>4824</v>
      </c>
      <c r="D4169" s="208" t="s">
        <v>580</v>
      </c>
      <c r="E4169" s="209">
        <v>14.69</v>
      </c>
      <c r="F4169" s="209">
        <v>5.3</v>
      </c>
      <c r="G4169" s="209">
        <v>19.989999999999998</v>
      </c>
      <c r="H4169" s="198"/>
    </row>
    <row r="4170" spans="1:8" ht="15.75" hidden="1" customHeight="1" x14ac:dyDescent="0.25">
      <c r="A4170" s="205" t="s">
        <v>4810</v>
      </c>
      <c r="B4170" s="206">
        <v>104197</v>
      </c>
      <c r="C4170" s="207" t="s">
        <v>4825</v>
      </c>
      <c r="D4170" s="208" t="s">
        <v>580</v>
      </c>
      <c r="E4170" s="209">
        <v>25.14</v>
      </c>
      <c r="F4170" s="209">
        <v>12.64</v>
      </c>
      <c r="G4170" s="209">
        <v>37.78</v>
      </c>
      <c r="H4170" s="198"/>
    </row>
    <row r="4171" spans="1:8" ht="15.75" hidden="1" customHeight="1" x14ac:dyDescent="0.25">
      <c r="A4171" s="205" t="s">
        <v>4810</v>
      </c>
      <c r="B4171" s="206">
        <v>104198</v>
      </c>
      <c r="C4171" s="207" t="s">
        <v>4826</v>
      </c>
      <c r="D4171" s="208" t="s">
        <v>580</v>
      </c>
      <c r="E4171" s="209">
        <v>4.5599999999999996</v>
      </c>
      <c r="F4171" s="209">
        <v>5.31</v>
      </c>
      <c r="G4171" s="209">
        <v>9.8699999999999992</v>
      </c>
      <c r="H4171" s="198"/>
    </row>
    <row r="4172" spans="1:8" ht="15.75" hidden="1" customHeight="1" x14ac:dyDescent="0.25">
      <c r="A4172" s="205" t="s">
        <v>4810</v>
      </c>
      <c r="B4172" s="206">
        <v>96685</v>
      </c>
      <c r="C4172" s="207" t="s">
        <v>4827</v>
      </c>
      <c r="D4172" s="208" t="s">
        <v>580</v>
      </c>
      <c r="E4172" s="209">
        <v>6.7</v>
      </c>
      <c r="F4172" s="209">
        <v>8.41</v>
      </c>
      <c r="G4172" s="209">
        <v>15.11</v>
      </c>
      <c r="H4172" s="198"/>
    </row>
    <row r="4173" spans="1:8" ht="15.75" hidden="1" customHeight="1" x14ac:dyDescent="0.25">
      <c r="A4173" s="205" t="s">
        <v>4810</v>
      </c>
      <c r="B4173" s="206">
        <v>96651</v>
      </c>
      <c r="C4173" s="207" t="s">
        <v>4828</v>
      </c>
      <c r="D4173" s="208" t="s">
        <v>580</v>
      </c>
      <c r="E4173" s="209">
        <v>5.84</v>
      </c>
      <c r="F4173" s="209">
        <v>6.01</v>
      </c>
      <c r="G4173" s="209">
        <v>11.85</v>
      </c>
      <c r="H4173" s="198"/>
    </row>
    <row r="4174" spans="1:8" ht="15.75" hidden="1" customHeight="1" x14ac:dyDescent="0.25">
      <c r="A4174" s="205" t="s">
        <v>4810</v>
      </c>
      <c r="B4174" s="206">
        <v>96638</v>
      </c>
      <c r="C4174" s="207" t="s">
        <v>4829</v>
      </c>
      <c r="D4174" s="208" t="s">
        <v>580</v>
      </c>
      <c r="E4174" s="209">
        <v>8.25</v>
      </c>
      <c r="F4174" s="209">
        <v>12.64</v>
      </c>
      <c r="G4174" s="209">
        <v>20.89</v>
      </c>
      <c r="H4174" s="198"/>
    </row>
    <row r="4175" spans="1:8" ht="15.75" hidden="1" customHeight="1" x14ac:dyDescent="0.25">
      <c r="A4175" s="205" t="s">
        <v>4810</v>
      </c>
      <c r="B4175" s="206">
        <v>96687</v>
      </c>
      <c r="C4175" s="207" t="s">
        <v>4830</v>
      </c>
      <c r="D4175" s="208" t="s">
        <v>580</v>
      </c>
      <c r="E4175" s="209">
        <v>12.65</v>
      </c>
      <c r="F4175" s="209">
        <v>10.25</v>
      </c>
      <c r="G4175" s="209">
        <v>22.9</v>
      </c>
      <c r="H4175" s="198"/>
    </row>
    <row r="4176" spans="1:8" ht="15.75" hidden="1" customHeight="1" x14ac:dyDescent="0.25">
      <c r="A4176" s="205" t="s">
        <v>4810</v>
      </c>
      <c r="B4176" s="206">
        <v>96653</v>
      </c>
      <c r="C4176" s="207" t="s">
        <v>4831</v>
      </c>
      <c r="D4176" s="208" t="s">
        <v>580</v>
      </c>
      <c r="E4176" s="209">
        <v>11.23</v>
      </c>
      <c r="F4176" s="209">
        <v>6.33</v>
      </c>
      <c r="G4176" s="209">
        <v>17.559999999999999</v>
      </c>
      <c r="H4176" s="198"/>
    </row>
    <row r="4177" spans="1:8" ht="15.75" hidden="1" customHeight="1" x14ac:dyDescent="0.25">
      <c r="A4177" s="205" t="s">
        <v>4810</v>
      </c>
      <c r="B4177" s="206">
        <v>96689</v>
      </c>
      <c r="C4177" s="207" t="s">
        <v>4832</v>
      </c>
      <c r="D4177" s="208" t="s">
        <v>580</v>
      </c>
      <c r="E4177" s="209">
        <v>22.01</v>
      </c>
      <c r="F4177" s="209">
        <v>12.36</v>
      </c>
      <c r="G4177" s="209">
        <v>34.369999999999997</v>
      </c>
      <c r="H4177" s="198"/>
    </row>
    <row r="4178" spans="1:8" ht="15.75" hidden="1" customHeight="1" x14ac:dyDescent="0.25">
      <c r="A4178" s="205" t="s">
        <v>4810</v>
      </c>
      <c r="B4178" s="206">
        <v>96655</v>
      </c>
      <c r="C4178" s="207" t="s">
        <v>4833</v>
      </c>
      <c r="D4178" s="208" t="s">
        <v>580</v>
      </c>
      <c r="E4178" s="209">
        <v>19.95</v>
      </c>
      <c r="F4178" s="209">
        <v>6.68</v>
      </c>
      <c r="G4178" s="209">
        <v>26.63</v>
      </c>
      <c r="H4178" s="198"/>
    </row>
    <row r="4179" spans="1:8" ht="15.75" hidden="1" customHeight="1" x14ac:dyDescent="0.25">
      <c r="A4179" s="205" t="s">
        <v>4810</v>
      </c>
      <c r="B4179" s="206">
        <v>96691</v>
      </c>
      <c r="C4179" s="207" t="s">
        <v>4834</v>
      </c>
      <c r="D4179" s="208" t="s">
        <v>580</v>
      </c>
      <c r="E4179" s="209">
        <v>34</v>
      </c>
      <c r="F4179" s="209">
        <v>15.01</v>
      </c>
      <c r="G4179" s="209">
        <v>49.01</v>
      </c>
      <c r="H4179" s="198"/>
    </row>
    <row r="4180" spans="1:8" ht="15.75" hidden="1" customHeight="1" x14ac:dyDescent="0.25">
      <c r="A4180" s="205" t="s">
        <v>4810</v>
      </c>
      <c r="B4180" s="206">
        <v>96693</v>
      </c>
      <c r="C4180" s="207" t="s">
        <v>4835</v>
      </c>
      <c r="D4180" s="208" t="s">
        <v>580</v>
      </c>
      <c r="E4180" s="209">
        <v>54.72</v>
      </c>
      <c r="F4180" s="209">
        <v>18.440000000000001</v>
      </c>
      <c r="G4180" s="209">
        <v>73.16</v>
      </c>
      <c r="H4180" s="198"/>
    </row>
    <row r="4181" spans="1:8" ht="15.75" hidden="1" customHeight="1" x14ac:dyDescent="0.25">
      <c r="A4181" s="205" t="s">
        <v>4810</v>
      </c>
      <c r="B4181" s="206">
        <v>96695</v>
      </c>
      <c r="C4181" s="207" t="s">
        <v>4836</v>
      </c>
      <c r="D4181" s="208" t="s">
        <v>580</v>
      </c>
      <c r="E4181" s="209">
        <v>103.89</v>
      </c>
      <c r="F4181" s="209">
        <v>21.6</v>
      </c>
      <c r="G4181" s="209">
        <v>125.49</v>
      </c>
      <c r="H4181" s="198"/>
    </row>
    <row r="4182" spans="1:8" ht="15.75" hidden="1" customHeight="1" x14ac:dyDescent="0.25">
      <c r="A4182" s="205" t="s">
        <v>4810</v>
      </c>
      <c r="B4182" s="206">
        <v>104193</v>
      </c>
      <c r="C4182" s="207" t="s">
        <v>4837</v>
      </c>
      <c r="D4182" s="208" t="s">
        <v>580</v>
      </c>
      <c r="E4182" s="209">
        <v>182.02</v>
      </c>
      <c r="F4182" s="209">
        <v>25.57</v>
      </c>
      <c r="G4182" s="209">
        <v>207.59</v>
      </c>
      <c r="H4182" s="198"/>
    </row>
    <row r="4183" spans="1:8" ht="15.75" hidden="1" customHeight="1" x14ac:dyDescent="0.25">
      <c r="A4183" s="205" t="s">
        <v>4810</v>
      </c>
      <c r="B4183" s="206">
        <v>96697</v>
      </c>
      <c r="C4183" s="207" t="s">
        <v>4838</v>
      </c>
      <c r="D4183" s="208" t="s">
        <v>580</v>
      </c>
      <c r="E4183" s="209">
        <v>387.59</v>
      </c>
      <c r="F4183" s="209">
        <v>30.83</v>
      </c>
      <c r="G4183" s="209">
        <v>418.42</v>
      </c>
      <c r="H4183" s="198"/>
    </row>
    <row r="4184" spans="1:8" ht="15.75" hidden="1" customHeight="1" x14ac:dyDescent="0.25">
      <c r="A4184" s="205" t="s">
        <v>4810</v>
      </c>
      <c r="B4184" s="206">
        <v>104199</v>
      </c>
      <c r="C4184" s="207" t="s">
        <v>4839</v>
      </c>
      <c r="D4184" s="208" t="s">
        <v>580</v>
      </c>
      <c r="E4184" s="209">
        <v>4.2699999999999996</v>
      </c>
      <c r="F4184" s="209">
        <v>5.31</v>
      </c>
      <c r="G4184" s="209">
        <v>9.58</v>
      </c>
      <c r="H4184" s="198"/>
    </row>
    <row r="4185" spans="1:8" ht="15.75" hidden="1" customHeight="1" x14ac:dyDescent="0.25">
      <c r="A4185" s="205" t="s">
        <v>4810</v>
      </c>
      <c r="B4185" s="206">
        <v>96684</v>
      </c>
      <c r="C4185" s="207" t="s">
        <v>4840</v>
      </c>
      <c r="D4185" s="208" t="s">
        <v>580</v>
      </c>
      <c r="E4185" s="209">
        <v>6.22</v>
      </c>
      <c r="F4185" s="209">
        <v>8.4</v>
      </c>
      <c r="G4185" s="209">
        <v>14.62</v>
      </c>
      <c r="H4185" s="198"/>
    </row>
    <row r="4186" spans="1:8" ht="15.75" hidden="1" customHeight="1" x14ac:dyDescent="0.25">
      <c r="A4186" s="205" t="s">
        <v>4810</v>
      </c>
      <c r="B4186" s="206">
        <v>96650</v>
      </c>
      <c r="C4186" s="207" t="s">
        <v>4841</v>
      </c>
      <c r="D4186" s="208" t="s">
        <v>580</v>
      </c>
      <c r="E4186" s="209">
        <v>5.35</v>
      </c>
      <c r="F4186" s="209">
        <v>6.01</v>
      </c>
      <c r="G4186" s="209">
        <v>11.36</v>
      </c>
      <c r="H4186" s="198"/>
    </row>
    <row r="4187" spans="1:8" ht="15.75" hidden="1" customHeight="1" x14ac:dyDescent="0.25">
      <c r="A4187" s="205" t="s">
        <v>4810</v>
      </c>
      <c r="B4187" s="206">
        <v>96637</v>
      </c>
      <c r="C4187" s="207" t="s">
        <v>4842</v>
      </c>
      <c r="D4187" s="208" t="s">
        <v>580</v>
      </c>
      <c r="E4187" s="209">
        <v>7.77</v>
      </c>
      <c r="F4187" s="209">
        <v>12.63</v>
      </c>
      <c r="G4187" s="209">
        <v>20.399999999999999</v>
      </c>
      <c r="H4187" s="198"/>
    </row>
    <row r="4188" spans="1:8" ht="15.75" hidden="1" customHeight="1" x14ac:dyDescent="0.25">
      <c r="A4188" s="205" t="s">
        <v>4810</v>
      </c>
      <c r="B4188" s="206">
        <v>96686</v>
      </c>
      <c r="C4188" s="207" t="s">
        <v>4843</v>
      </c>
      <c r="D4188" s="208" t="s">
        <v>580</v>
      </c>
      <c r="E4188" s="209">
        <v>8.5399999999999991</v>
      </c>
      <c r="F4188" s="209">
        <v>10.25</v>
      </c>
      <c r="G4188" s="209">
        <v>18.79</v>
      </c>
      <c r="H4188" s="198"/>
    </row>
    <row r="4189" spans="1:8" ht="15.75" hidden="1" customHeight="1" x14ac:dyDescent="0.25">
      <c r="A4189" s="205" t="s">
        <v>4810</v>
      </c>
      <c r="B4189" s="206">
        <v>96652</v>
      </c>
      <c r="C4189" s="207" t="s">
        <v>4844</v>
      </c>
      <c r="D4189" s="208" t="s">
        <v>580</v>
      </c>
      <c r="E4189" s="209">
        <v>7.11</v>
      </c>
      <c r="F4189" s="209">
        <v>6.34</v>
      </c>
      <c r="G4189" s="209">
        <v>13.45</v>
      </c>
      <c r="H4189" s="198"/>
    </row>
    <row r="4190" spans="1:8" ht="15.75" hidden="1" customHeight="1" x14ac:dyDescent="0.25">
      <c r="A4190" s="205" t="s">
        <v>4810</v>
      </c>
      <c r="B4190" s="206">
        <v>96688</v>
      </c>
      <c r="C4190" s="207" t="s">
        <v>4845</v>
      </c>
      <c r="D4190" s="208" t="s">
        <v>580</v>
      </c>
      <c r="E4190" s="209">
        <v>15.31</v>
      </c>
      <c r="F4190" s="209">
        <v>12.37</v>
      </c>
      <c r="G4190" s="209">
        <v>27.68</v>
      </c>
      <c r="H4190" s="198"/>
    </row>
    <row r="4191" spans="1:8" ht="15.75" hidden="1" customHeight="1" x14ac:dyDescent="0.25">
      <c r="A4191" s="205" t="s">
        <v>4810</v>
      </c>
      <c r="B4191" s="206">
        <v>96654</v>
      </c>
      <c r="C4191" s="207" t="s">
        <v>4846</v>
      </c>
      <c r="D4191" s="208" t="s">
        <v>580</v>
      </c>
      <c r="E4191" s="209">
        <v>13.26</v>
      </c>
      <c r="F4191" s="209">
        <v>6.68</v>
      </c>
      <c r="G4191" s="209">
        <v>19.940000000000001</v>
      </c>
      <c r="H4191" s="198"/>
    </row>
    <row r="4192" spans="1:8" ht="15.75" hidden="1" customHeight="1" x14ac:dyDescent="0.25">
      <c r="A4192" s="205" t="s">
        <v>4810</v>
      </c>
      <c r="B4192" s="206">
        <v>96690</v>
      </c>
      <c r="C4192" s="207" t="s">
        <v>4847</v>
      </c>
      <c r="D4192" s="208" t="s">
        <v>580</v>
      </c>
      <c r="E4192" s="209">
        <v>23.41</v>
      </c>
      <c r="F4192" s="209">
        <v>15.01</v>
      </c>
      <c r="G4192" s="209">
        <v>38.42</v>
      </c>
      <c r="H4192" s="198"/>
    </row>
    <row r="4193" spans="1:8" ht="15.75" hidden="1" customHeight="1" x14ac:dyDescent="0.25">
      <c r="A4193" s="205" t="s">
        <v>4810</v>
      </c>
      <c r="B4193" s="206">
        <v>96692</v>
      </c>
      <c r="C4193" s="207" t="s">
        <v>4848</v>
      </c>
      <c r="D4193" s="208" t="s">
        <v>580</v>
      </c>
      <c r="E4193" s="209">
        <v>35.82</v>
      </c>
      <c r="F4193" s="209">
        <v>18.43</v>
      </c>
      <c r="G4193" s="209">
        <v>54.25</v>
      </c>
      <c r="H4193" s="198"/>
    </row>
    <row r="4194" spans="1:8" ht="15.75" hidden="1" customHeight="1" x14ac:dyDescent="0.25">
      <c r="A4194" s="205" t="s">
        <v>4810</v>
      </c>
      <c r="B4194" s="206">
        <v>96694</v>
      </c>
      <c r="C4194" s="207" t="s">
        <v>4849</v>
      </c>
      <c r="D4194" s="208" t="s">
        <v>580</v>
      </c>
      <c r="E4194" s="209">
        <v>92.35</v>
      </c>
      <c r="F4194" s="209">
        <v>21.6</v>
      </c>
      <c r="G4194" s="209">
        <v>113.95</v>
      </c>
      <c r="H4194" s="198"/>
    </row>
    <row r="4195" spans="1:8" ht="15.75" hidden="1" customHeight="1" x14ac:dyDescent="0.25">
      <c r="A4195" s="205" t="s">
        <v>4810</v>
      </c>
      <c r="B4195" s="206">
        <v>96696</v>
      </c>
      <c r="C4195" s="207" t="s">
        <v>4850</v>
      </c>
      <c r="D4195" s="208" t="s">
        <v>580</v>
      </c>
      <c r="E4195" s="209">
        <v>116.64</v>
      </c>
      <c r="F4195" s="209">
        <v>25.56</v>
      </c>
      <c r="G4195" s="209">
        <v>142.19999999999999</v>
      </c>
      <c r="H4195" s="198"/>
    </row>
    <row r="4196" spans="1:8" ht="15.75" hidden="1" customHeight="1" x14ac:dyDescent="0.25">
      <c r="A4196" s="205" t="s">
        <v>4810</v>
      </c>
      <c r="B4196" s="206">
        <v>96709</v>
      </c>
      <c r="C4196" s="207" t="s">
        <v>4851</v>
      </c>
      <c r="D4196" s="208" t="s">
        <v>580</v>
      </c>
      <c r="E4196" s="209">
        <v>117.7</v>
      </c>
      <c r="F4196" s="209">
        <v>20.55</v>
      </c>
      <c r="G4196" s="209">
        <v>138.25</v>
      </c>
      <c r="H4196" s="198"/>
    </row>
    <row r="4197" spans="1:8" ht="15.75" hidden="1" customHeight="1" x14ac:dyDescent="0.25">
      <c r="A4197" s="205" t="s">
        <v>4810</v>
      </c>
      <c r="B4197" s="206">
        <v>104200</v>
      </c>
      <c r="C4197" s="207" t="s">
        <v>4852</v>
      </c>
      <c r="D4197" s="208" t="s">
        <v>580</v>
      </c>
      <c r="E4197" s="209">
        <v>4.26</v>
      </c>
      <c r="F4197" s="209">
        <v>3.52</v>
      </c>
      <c r="G4197" s="209">
        <v>7.78</v>
      </c>
      <c r="H4197" s="198"/>
    </row>
    <row r="4198" spans="1:8" ht="15.75" hidden="1" customHeight="1" x14ac:dyDescent="0.25">
      <c r="A4198" s="205" t="s">
        <v>4810</v>
      </c>
      <c r="B4198" s="206">
        <v>96698</v>
      </c>
      <c r="C4198" s="207" t="s">
        <v>4853</v>
      </c>
      <c r="D4198" s="208" t="s">
        <v>580</v>
      </c>
      <c r="E4198" s="209">
        <v>4.7300000000000004</v>
      </c>
      <c r="F4198" s="209">
        <v>5.61</v>
      </c>
      <c r="G4198" s="209">
        <v>10.34</v>
      </c>
      <c r="H4198" s="198"/>
    </row>
    <row r="4199" spans="1:8" ht="15.75" hidden="1" customHeight="1" x14ac:dyDescent="0.25">
      <c r="A4199" s="205" t="s">
        <v>4810</v>
      </c>
      <c r="B4199" s="206">
        <v>96656</v>
      </c>
      <c r="C4199" s="207" t="s">
        <v>4854</v>
      </c>
      <c r="D4199" s="208" t="s">
        <v>580</v>
      </c>
      <c r="E4199" s="209">
        <v>4.17</v>
      </c>
      <c r="F4199" s="209">
        <v>4</v>
      </c>
      <c r="G4199" s="209">
        <v>8.17</v>
      </c>
      <c r="H4199" s="198"/>
    </row>
    <row r="4200" spans="1:8" ht="15.75" hidden="1" customHeight="1" x14ac:dyDescent="0.25">
      <c r="A4200" s="205" t="s">
        <v>4810</v>
      </c>
      <c r="B4200" s="206">
        <v>96639</v>
      </c>
      <c r="C4200" s="207" t="s">
        <v>4855</v>
      </c>
      <c r="D4200" s="208" t="s">
        <v>580</v>
      </c>
      <c r="E4200" s="209">
        <v>5.77</v>
      </c>
      <c r="F4200" s="209">
        <v>8.42</v>
      </c>
      <c r="G4200" s="209">
        <v>14.19</v>
      </c>
      <c r="H4200" s="198"/>
    </row>
    <row r="4201" spans="1:8" ht="15.75" hidden="1" customHeight="1" x14ac:dyDescent="0.25">
      <c r="A4201" s="205" t="s">
        <v>4810</v>
      </c>
      <c r="B4201" s="206">
        <v>96701</v>
      </c>
      <c r="C4201" s="207" t="s">
        <v>4856</v>
      </c>
      <c r="D4201" s="208" t="s">
        <v>580</v>
      </c>
      <c r="E4201" s="209">
        <v>7.34</v>
      </c>
      <c r="F4201" s="209">
        <v>6.82</v>
      </c>
      <c r="G4201" s="209">
        <v>14.16</v>
      </c>
      <c r="H4201" s="198"/>
    </row>
    <row r="4202" spans="1:8" ht="15.75" hidden="1" customHeight="1" x14ac:dyDescent="0.25">
      <c r="A4202" s="205" t="s">
        <v>4810</v>
      </c>
      <c r="B4202" s="206">
        <v>96659</v>
      </c>
      <c r="C4202" s="207" t="s">
        <v>4857</v>
      </c>
      <c r="D4202" s="208" t="s">
        <v>580</v>
      </c>
      <c r="E4202" s="209">
        <v>6.37</v>
      </c>
      <c r="F4202" s="209">
        <v>4.22</v>
      </c>
      <c r="G4202" s="209">
        <v>10.59</v>
      </c>
      <c r="H4202" s="198"/>
    </row>
    <row r="4203" spans="1:8" ht="15.75" hidden="1" customHeight="1" x14ac:dyDescent="0.25">
      <c r="A4203" s="205" t="s">
        <v>4810</v>
      </c>
      <c r="B4203" s="206">
        <v>96703</v>
      </c>
      <c r="C4203" s="207" t="s">
        <v>4858</v>
      </c>
      <c r="D4203" s="208" t="s">
        <v>580</v>
      </c>
      <c r="E4203" s="209">
        <v>16.77</v>
      </c>
      <c r="F4203" s="209">
        <v>8.24</v>
      </c>
      <c r="G4203" s="209">
        <v>25.01</v>
      </c>
      <c r="H4203" s="198"/>
    </row>
    <row r="4204" spans="1:8" ht="15.75" hidden="1" customHeight="1" x14ac:dyDescent="0.25">
      <c r="A4204" s="205" t="s">
        <v>4810</v>
      </c>
      <c r="B4204" s="206">
        <v>96663</v>
      </c>
      <c r="C4204" s="207" t="s">
        <v>4859</v>
      </c>
      <c r="D4204" s="208" t="s">
        <v>580</v>
      </c>
      <c r="E4204" s="209">
        <v>15.39</v>
      </c>
      <c r="F4204" s="209">
        <v>4.46</v>
      </c>
      <c r="G4204" s="209">
        <v>19.850000000000001</v>
      </c>
      <c r="H4204" s="198"/>
    </row>
    <row r="4205" spans="1:8" ht="15.75" hidden="1" customHeight="1" x14ac:dyDescent="0.25">
      <c r="A4205" s="205" t="s">
        <v>4810</v>
      </c>
      <c r="B4205" s="206">
        <v>96705</v>
      </c>
      <c r="C4205" s="207" t="s">
        <v>4860</v>
      </c>
      <c r="D4205" s="208" t="s">
        <v>580</v>
      </c>
      <c r="E4205" s="209">
        <v>20.329999999999998</v>
      </c>
      <c r="F4205" s="209">
        <v>10</v>
      </c>
      <c r="G4205" s="209">
        <v>30.33</v>
      </c>
      <c r="H4205" s="198"/>
    </row>
    <row r="4206" spans="1:8" ht="15.75" hidden="1" customHeight="1" x14ac:dyDescent="0.25">
      <c r="A4206" s="205" t="s">
        <v>4810</v>
      </c>
      <c r="B4206" s="206">
        <v>96706</v>
      </c>
      <c r="C4206" s="207" t="s">
        <v>4861</v>
      </c>
      <c r="D4206" s="208" t="s">
        <v>580</v>
      </c>
      <c r="E4206" s="209">
        <v>32.5</v>
      </c>
      <c r="F4206" s="209">
        <v>12.29</v>
      </c>
      <c r="G4206" s="209">
        <v>44.79</v>
      </c>
      <c r="H4206" s="198"/>
    </row>
    <row r="4207" spans="1:8" ht="15.75" hidden="1" customHeight="1" x14ac:dyDescent="0.25">
      <c r="A4207" s="205" t="s">
        <v>4810</v>
      </c>
      <c r="B4207" s="206">
        <v>96707</v>
      </c>
      <c r="C4207" s="207" t="s">
        <v>4862</v>
      </c>
      <c r="D4207" s="208" t="s">
        <v>580</v>
      </c>
      <c r="E4207" s="209">
        <v>57.28</v>
      </c>
      <c r="F4207" s="209">
        <v>14.4</v>
      </c>
      <c r="G4207" s="209">
        <v>71.680000000000007</v>
      </c>
      <c r="H4207" s="198"/>
    </row>
    <row r="4208" spans="1:8" ht="15.75" hidden="1" customHeight="1" x14ac:dyDescent="0.25">
      <c r="A4208" s="205" t="s">
        <v>4810</v>
      </c>
      <c r="B4208" s="206">
        <v>96708</v>
      </c>
      <c r="C4208" s="207" t="s">
        <v>4863</v>
      </c>
      <c r="D4208" s="208" t="s">
        <v>580</v>
      </c>
      <c r="E4208" s="209">
        <v>91.36</v>
      </c>
      <c r="F4208" s="209">
        <v>17.04</v>
      </c>
      <c r="G4208" s="209">
        <v>108.4</v>
      </c>
      <c r="H4208" s="198"/>
    </row>
    <row r="4209" spans="1:8" ht="15.75" hidden="1" customHeight="1" x14ac:dyDescent="0.25">
      <c r="A4209" s="205" t="s">
        <v>4810</v>
      </c>
      <c r="B4209" s="206">
        <v>96675</v>
      </c>
      <c r="C4209" s="207" t="s">
        <v>4864</v>
      </c>
      <c r="D4209" s="208" t="s">
        <v>585</v>
      </c>
      <c r="E4209" s="209">
        <v>176.95</v>
      </c>
      <c r="F4209" s="209">
        <v>17.13</v>
      </c>
      <c r="G4209" s="209">
        <v>194.08</v>
      </c>
      <c r="H4209" s="198"/>
    </row>
    <row r="4210" spans="1:8" ht="15.75" hidden="1" customHeight="1" x14ac:dyDescent="0.25">
      <c r="A4210" s="205" t="s">
        <v>4810</v>
      </c>
      <c r="B4210" s="206">
        <v>96683</v>
      </c>
      <c r="C4210" s="207" t="s">
        <v>4865</v>
      </c>
      <c r="D4210" s="208" t="s">
        <v>585</v>
      </c>
      <c r="E4210" s="209">
        <v>353.39</v>
      </c>
      <c r="F4210" s="209">
        <v>23.39</v>
      </c>
      <c r="G4210" s="209">
        <v>376.78</v>
      </c>
      <c r="H4210" s="198"/>
    </row>
    <row r="4211" spans="1:8" ht="15.75" hidden="1" customHeight="1" x14ac:dyDescent="0.25">
      <c r="A4211" s="205" t="s">
        <v>4810</v>
      </c>
      <c r="B4211" s="206">
        <v>104194</v>
      </c>
      <c r="C4211" s="207" t="s">
        <v>4866</v>
      </c>
      <c r="D4211" s="208" t="s">
        <v>585</v>
      </c>
      <c r="E4211" s="209">
        <v>16.86</v>
      </c>
      <c r="F4211" s="209">
        <v>10.97</v>
      </c>
      <c r="G4211" s="209">
        <v>27.83</v>
      </c>
      <c r="H4211" s="198"/>
    </row>
    <row r="4212" spans="1:8" ht="15.75" hidden="1" customHeight="1" x14ac:dyDescent="0.25">
      <c r="A4212" s="205" t="s">
        <v>4810</v>
      </c>
      <c r="B4212" s="206">
        <v>104195</v>
      </c>
      <c r="C4212" s="207" t="s">
        <v>4867</v>
      </c>
      <c r="D4212" s="208" t="s">
        <v>585</v>
      </c>
      <c r="E4212" s="209">
        <v>18.260000000000002</v>
      </c>
      <c r="F4212" s="209">
        <v>11.29</v>
      </c>
      <c r="G4212" s="209">
        <v>29.55</v>
      </c>
      <c r="H4212" s="198"/>
    </row>
    <row r="4213" spans="1:8" ht="15.75" hidden="1" customHeight="1" x14ac:dyDescent="0.25">
      <c r="A4213" s="205" t="s">
        <v>4810</v>
      </c>
      <c r="B4213" s="206">
        <v>96668</v>
      </c>
      <c r="C4213" s="207" t="s">
        <v>4868</v>
      </c>
      <c r="D4213" s="208" t="s">
        <v>585</v>
      </c>
      <c r="E4213" s="209">
        <v>18.739999999999998</v>
      </c>
      <c r="F4213" s="209">
        <v>3.55</v>
      </c>
      <c r="G4213" s="209">
        <v>22.29</v>
      </c>
      <c r="H4213" s="198"/>
    </row>
    <row r="4214" spans="1:8" ht="15.75" hidden="1" customHeight="1" x14ac:dyDescent="0.25">
      <c r="A4214" s="205" t="s">
        <v>4810</v>
      </c>
      <c r="B4214" s="206">
        <v>96644</v>
      </c>
      <c r="C4214" s="207" t="s">
        <v>4869</v>
      </c>
      <c r="D4214" s="208" t="s">
        <v>585</v>
      </c>
      <c r="E4214" s="209">
        <v>20.47</v>
      </c>
      <c r="F4214" s="209">
        <v>8.3000000000000007</v>
      </c>
      <c r="G4214" s="209">
        <v>28.77</v>
      </c>
      <c r="H4214" s="198"/>
    </row>
    <row r="4215" spans="1:8" ht="15.75" hidden="1" customHeight="1" x14ac:dyDescent="0.25">
      <c r="A4215" s="205" t="s">
        <v>4810</v>
      </c>
      <c r="B4215" s="206">
        <v>96635</v>
      </c>
      <c r="C4215" s="207" t="s">
        <v>4870</v>
      </c>
      <c r="D4215" s="208" t="s">
        <v>585</v>
      </c>
      <c r="E4215" s="209">
        <v>26.97</v>
      </c>
      <c r="F4215" s="209">
        <v>26.15</v>
      </c>
      <c r="G4215" s="209">
        <v>53.12</v>
      </c>
      <c r="H4215" s="198"/>
    </row>
    <row r="4216" spans="1:8" ht="15.75" hidden="1" customHeight="1" x14ac:dyDescent="0.25">
      <c r="A4216" s="205" t="s">
        <v>4810</v>
      </c>
      <c r="B4216" s="206">
        <v>96636</v>
      </c>
      <c r="C4216" s="207" t="s">
        <v>4871</v>
      </c>
      <c r="D4216" s="208" t="s">
        <v>585</v>
      </c>
      <c r="E4216" s="209">
        <v>29.36</v>
      </c>
      <c r="F4216" s="209">
        <v>26.92</v>
      </c>
      <c r="G4216" s="209">
        <v>56.28</v>
      </c>
      <c r="H4216" s="198"/>
    </row>
    <row r="4217" spans="1:8" ht="15.75" hidden="1" customHeight="1" x14ac:dyDescent="0.25">
      <c r="A4217" s="205" t="s">
        <v>4810</v>
      </c>
      <c r="B4217" s="206">
        <v>96676</v>
      </c>
      <c r="C4217" s="207" t="s">
        <v>4872</v>
      </c>
      <c r="D4217" s="208" t="s">
        <v>585</v>
      </c>
      <c r="E4217" s="209">
        <v>21.87</v>
      </c>
      <c r="F4217" s="209">
        <v>6.37</v>
      </c>
      <c r="G4217" s="209">
        <v>28.24</v>
      </c>
      <c r="H4217" s="198"/>
    </row>
    <row r="4218" spans="1:8" ht="15.75" hidden="1" customHeight="1" x14ac:dyDescent="0.25">
      <c r="A4218" s="205" t="s">
        <v>4810</v>
      </c>
      <c r="B4218" s="206">
        <v>96647</v>
      </c>
      <c r="C4218" s="207" t="s">
        <v>4873</v>
      </c>
      <c r="D4218" s="208" t="s">
        <v>585</v>
      </c>
      <c r="E4218" s="209">
        <v>22.66</v>
      </c>
      <c r="F4218" s="209">
        <v>8.5500000000000007</v>
      </c>
      <c r="G4218" s="209">
        <v>31.21</v>
      </c>
      <c r="H4218" s="198"/>
    </row>
    <row r="4219" spans="1:8" ht="15.75" hidden="1" customHeight="1" x14ac:dyDescent="0.25">
      <c r="A4219" s="205" t="s">
        <v>4810</v>
      </c>
      <c r="B4219" s="206">
        <v>96669</v>
      </c>
      <c r="C4219" s="207" t="s">
        <v>4874</v>
      </c>
      <c r="D4219" s="208" t="s">
        <v>585</v>
      </c>
      <c r="E4219" s="209">
        <v>16.38</v>
      </c>
      <c r="F4219" s="209">
        <v>5.7</v>
      </c>
      <c r="G4219" s="209">
        <v>22.08</v>
      </c>
      <c r="H4219" s="198"/>
    </row>
    <row r="4220" spans="1:8" ht="15.75" hidden="1" customHeight="1" x14ac:dyDescent="0.25">
      <c r="A4220" s="205" t="s">
        <v>4810</v>
      </c>
      <c r="B4220" s="206">
        <v>96645</v>
      </c>
      <c r="C4220" s="207" t="s">
        <v>4875</v>
      </c>
      <c r="D4220" s="208" t="s">
        <v>585</v>
      </c>
      <c r="E4220" s="209">
        <v>17.32</v>
      </c>
      <c r="F4220" s="209">
        <v>8.2200000000000006</v>
      </c>
      <c r="G4220" s="209">
        <v>25.54</v>
      </c>
      <c r="H4220" s="198"/>
    </row>
    <row r="4221" spans="1:8" ht="15.75" hidden="1" customHeight="1" x14ac:dyDescent="0.25">
      <c r="A4221" s="205" t="s">
        <v>4810</v>
      </c>
      <c r="B4221" s="206">
        <v>96677</v>
      </c>
      <c r="C4221" s="207" t="s">
        <v>4876</v>
      </c>
      <c r="D4221" s="208" t="s">
        <v>585</v>
      </c>
      <c r="E4221" s="209">
        <v>28.99</v>
      </c>
      <c r="F4221" s="209">
        <v>7.77</v>
      </c>
      <c r="G4221" s="209">
        <v>36.76</v>
      </c>
      <c r="H4221" s="198"/>
    </row>
    <row r="4222" spans="1:8" ht="15.75" hidden="1" customHeight="1" x14ac:dyDescent="0.25">
      <c r="A4222" s="205" t="s">
        <v>4810</v>
      </c>
      <c r="B4222" s="206">
        <v>96648</v>
      </c>
      <c r="C4222" s="207" t="s">
        <v>4877</v>
      </c>
      <c r="D4222" s="208" t="s">
        <v>585</v>
      </c>
      <c r="E4222" s="209">
        <v>29.42</v>
      </c>
      <c r="F4222" s="209">
        <v>9</v>
      </c>
      <c r="G4222" s="209">
        <v>38.42</v>
      </c>
      <c r="H4222" s="198"/>
    </row>
    <row r="4223" spans="1:8" ht="15.75" hidden="1" customHeight="1" x14ac:dyDescent="0.25">
      <c r="A4223" s="205" t="s">
        <v>4810</v>
      </c>
      <c r="B4223" s="206">
        <v>96670</v>
      </c>
      <c r="C4223" s="207" t="s">
        <v>4878</v>
      </c>
      <c r="D4223" s="208" t="s">
        <v>585</v>
      </c>
      <c r="E4223" s="209">
        <v>21.81</v>
      </c>
      <c r="F4223" s="209">
        <v>6.86</v>
      </c>
      <c r="G4223" s="209">
        <v>28.67</v>
      </c>
      <c r="H4223" s="198"/>
    </row>
    <row r="4224" spans="1:8" ht="15.75" hidden="1" customHeight="1" x14ac:dyDescent="0.25">
      <c r="A4224" s="205" t="s">
        <v>4810</v>
      </c>
      <c r="B4224" s="206">
        <v>96646</v>
      </c>
      <c r="C4224" s="207" t="s">
        <v>4879</v>
      </c>
      <c r="D4224" s="208" t="s">
        <v>585</v>
      </c>
      <c r="E4224" s="209">
        <v>22.46</v>
      </c>
      <c r="F4224" s="209">
        <v>8.69</v>
      </c>
      <c r="G4224" s="209">
        <v>31.15</v>
      </c>
      <c r="H4224" s="198"/>
    </row>
    <row r="4225" spans="1:8" ht="15.75" hidden="1" customHeight="1" x14ac:dyDescent="0.25">
      <c r="A4225" s="205" t="s">
        <v>4810</v>
      </c>
      <c r="B4225" s="206">
        <v>96678</v>
      </c>
      <c r="C4225" s="207" t="s">
        <v>4880</v>
      </c>
      <c r="D4225" s="208" t="s">
        <v>585</v>
      </c>
      <c r="E4225" s="209">
        <v>41.17</v>
      </c>
      <c r="F4225" s="209">
        <v>9.3800000000000008</v>
      </c>
      <c r="G4225" s="209">
        <v>50.55</v>
      </c>
      <c r="H4225" s="198"/>
    </row>
    <row r="4226" spans="1:8" ht="15.75" hidden="1" customHeight="1" x14ac:dyDescent="0.25">
      <c r="A4226" s="205" t="s">
        <v>4810</v>
      </c>
      <c r="B4226" s="206">
        <v>96649</v>
      </c>
      <c r="C4226" s="207" t="s">
        <v>4881</v>
      </c>
      <c r="D4226" s="208" t="s">
        <v>585</v>
      </c>
      <c r="E4226" s="209">
        <v>41.23</v>
      </c>
      <c r="F4226" s="209">
        <v>9.49</v>
      </c>
      <c r="G4226" s="209">
        <v>50.72</v>
      </c>
      <c r="H4226" s="198"/>
    </row>
    <row r="4227" spans="1:8" ht="15.75" hidden="1" customHeight="1" x14ac:dyDescent="0.25">
      <c r="A4227" s="205" t="s">
        <v>4810</v>
      </c>
      <c r="B4227" s="206">
        <v>96671</v>
      </c>
      <c r="C4227" s="207" t="s">
        <v>4882</v>
      </c>
      <c r="D4227" s="208" t="s">
        <v>585</v>
      </c>
      <c r="E4227" s="209">
        <v>34.93</v>
      </c>
      <c r="F4227" s="209">
        <v>8.33</v>
      </c>
      <c r="G4227" s="209">
        <v>43.26</v>
      </c>
      <c r="H4227" s="198"/>
    </row>
    <row r="4228" spans="1:8" ht="15.75" hidden="1" customHeight="1" x14ac:dyDescent="0.25">
      <c r="A4228" s="205" t="s">
        <v>4810</v>
      </c>
      <c r="B4228" s="206">
        <v>96679</v>
      </c>
      <c r="C4228" s="207" t="s">
        <v>4883</v>
      </c>
      <c r="D4228" s="208" t="s">
        <v>585</v>
      </c>
      <c r="E4228" s="209">
        <v>63.8</v>
      </c>
      <c r="F4228" s="209">
        <v>11.37</v>
      </c>
      <c r="G4228" s="209">
        <v>75.17</v>
      </c>
      <c r="H4228" s="198"/>
    </row>
    <row r="4229" spans="1:8" ht="15.75" hidden="1" customHeight="1" x14ac:dyDescent="0.25">
      <c r="A4229" s="205" t="s">
        <v>4810</v>
      </c>
      <c r="B4229" s="206">
        <v>96672</v>
      </c>
      <c r="C4229" s="207" t="s">
        <v>4884</v>
      </c>
      <c r="D4229" s="208" t="s">
        <v>585</v>
      </c>
      <c r="E4229" s="209">
        <v>55.54</v>
      </c>
      <c r="F4229" s="209">
        <v>10.24</v>
      </c>
      <c r="G4229" s="209">
        <v>65.78</v>
      </c>
      <c r="H4229" s="198"/>
    </row>
    <row r="4230" spans="1:8" ht="15.75" hidden="1" customHeight="1" x14ac:dyDescent="0.25">
      <c r="A4230" s="205" t="s">
        <v>4810</v>
      </c>
      <c r="B4230" s="206">
        <v>96680</v>
      </c>
      <c r="C4230" s="207" t="s">
        <v>4885</v>
      </c>
      <c r="D4230" s="208" t="s">
        <v>585</v>
      </c>
      <c r="E4230" s="209">
        <v>110.07</v>
      </c>
      <c r="F4230" s="209">
        <v>13.97</v>
      </c>
      <c r="G4230" s="209">
        <v>124.04</v>
      </c>
      <c r="H4230" s="198"/>
    </row>
    <row r="4231" spans="1:8" ht="15.75" hidden="1" customHeight="1" x14ac:dyDescent="0.25">
      <c r="A4231" s="205" t="s">
        <v>4810</v>
      </c>
      <c r="B4231" s="206">
        <v>96673</v>
      </c>
      <c r="C4231" s="207" t="s">
        <v>4886</v>
      </c>
      <c r="D4231" s="208" t="s">
        <v>585</v>
      </c>
      <c r="E4231" s="209">
        <v>70.86</v>
      </c>
      <c r="F4231" s="209">
        <v>11.98</v>
      </c>
      <c r="G4231" s="209">
        <v>82.84</v>
      </c>
      <c r="H4231" s="198"/>
    </row>
    <row r="4232" spans="1:8" ht="15.75" hidden="1" customHeight="1" x14ac:dyDescent="0.25">
      <c r="A4232" s="205" t="s">
        <v>4810</v>
      </c>
      <c r="B4232" s="206">
        <v>96681</v>
      </c>
      <c r="C4232" s="207" t="s">
        <v>4887</v>
      </c>
      <c r="D4232" s="208" t="s">
        <v>585</v>
      </c>
      <c r="E4232" s="209">
        <v>150.34</v>
      </c>
      <c r="F4232" s="209">
        <v>16.37</v>
      </c>
      <c r="G4232" s="209">
        <v>166.71</v>
      </c>
      <c r="H4232" s="198"/>
    </row>
    <row r="4233" spans="1:8" ht="15.75" hidden="1" customHeight="1" x14ac:dyDescent="0.25">
      <c r="A4233" s="205" t="s">
        <v>4810</v>
      </c>
      <c r="B4233" s="206">
        <v>96674</v>
      </c>
      <c r="C4233" s="207" t="s">
        <v>4888</v>
      </c>
      <c r="D4233" s="208" t="s">
        <v>585</v>
      </c>
      <c r="E4233" s="209">
        <v>119.43</v>
      </c>
      <c r="F4233" s="209">
        <v>14.2</v>
      </c>
      <c r="G4233" s="209">
        <v>133.63</v>
      </c>
      <c r="H4233" s="198"/>
    </row>
    <row r="4234" spans="1:8" ht="15.75" hidden="1" customHeight="1" x14ac:dyDescent="0.25">
      <c r="A4234" s="205" t="s">
        <v>4810</v>
      </c>
      <c r="B4234" s="206">
        <v>96682</v>
      </c>
      <c r="C4234" s="207" t="s">
        <v>4889</v>
      </c>
      <c r="D4234" s="208" t="s">
        <v>585</v>
      </c>
      <c r="E4234" s="209">
        <v>255.26</v>
      </c>
      <c r="F4234" s="209">
        <v>19.36</v>
      </c>
      <c r="G4234" s="209">
        <v>274.62</v>
      </c>
      <c r="H4234" s="198"/>
    </row>
    <row r="4235" spans="1:8" ht="15.75" hidden="1" customHeight="1" x14ac:dyDescent="0.25">
      <c r="A4235" s="205" t="s">
        <v>4810</v>
      </c>
      <c r="B4235" s="206">
        <v>96643</v>
      </c>
      <c r="C4235" s="207" t="s">
        <v>4890</v>
      </c>
      <c r="D4235" s="208" t="s">
        <v>580</v>
      </c>
      <c r="E4235" s="209">
        <v>44.55</v>
      </c>
      <c r="F4235" s="209">
        <v>11.97</v>
      </c>
      <c r="G4235" s="209">
        <v>56.52</v>
      </c>
      <c r="H4235" s="198"/>
    </row>
    <row r="4236" spans="1:8" ht="15.75" hidden="1" customHeight="1" x14ac:dyDescent="0.25">
      <c r="A4236" s="205" t="s">
        <v>4810</v>
      </c>
      <c r="B4236" s="206">
        <v>104201</v>
      </c>
      <c r="C4236" s="207" t="s">
        <v>4891</v>
      </c>
      <c r="D4236" s="208" t="s">
        <v>580</v>
      </c>
      <c r="E4236" s="209">
        <v>17.649999999999999</v>
      </c>
      <c r="F4236" s="209">
        <v>7.08</v>
      </c>
      <c r="G4236" s="209">
        <v>24.73</v>
      </c>
      <c r="H4236" s="198"/>
    </row>
    <row r="4237" spans="1:8" ht="15.75" hidden="1" customHeight="1" x14ac:dyDescent="0.25">
      <c r="A4237" s="205" t="s">
        <v>4810</v>
      </c>
      <c r="B4237" s="206">
        <v>104192</v>
      </c>
      <c r="C4237" s="207" t="s">
        <v>4892</v>
      </c>
      <c r="D4237" s="208" t="s">
        <v>580</v>
      </c>
      <c r="E4237" s="209">
        <v>24.54</v>
      </c>
      <c r="F4237" s="209">
        <v>11.96</v>
      </c>
      <c r="G4237" s="209">
        <v>36.5</v>
      </c>
      <c r="H4237" s="198"/>
    </row>
    <row r="4238" spans="1:8" ht="15.75" hidden="1" customHeight="1" x14ac:dyDescent="0.25">
      <c r="A4238" s="205" t="s">
        <v>4810</v>
      </c>
      <c r="B4238" s="206">
        <v>104202</v>
      </c>
      <c r="C4238" s="207" t="s">
        <v>4893</v>
      </c>
      <c r="D4238" s="208" t="s">
        <v>580</v>
      </c>
      <c r="E4238" s="209">
        <v>7.07</v>
      </c>
      <c r="F4238" s="209">
        <v>7.08</v>
      </c>
      <c r="G4238" s="209">
        <v>14.15</v>
      </c>
      <c r="H4238" s="198"/>
    </row>
    <row r="4239" spans="1:8" ht="15.75" hidden="1" customHeight="1" x14ac:dyDescent="0.25">
      <c r="A4239" s="205" t="s">
        <v>4810</v>
      </c>
      <c r="B4239" s="206">
        <v>96717</v>
      </c>
      <c r="C4239" s="207" t="s">
        <v>4894</v>
      </c>
      <c r="D4239" s="208" t="s">
        <v>580</v>
      </c>
      <c r="E4239" s="209">
        <v>340.34</v>
      </c>
      <c r="F4239" s="209">
        <v>41.12</v>
      </c>
      <c r="G4239" s="209">
        <v>381.46</v>
      </c>
      <c r="H4239" s="198"/>
    </row>
    <row r="4240" spans="1:8" ht="15.75" hidden="1" customHeight="1" x14ac:dyDescent="0.25">
      <c r="A4240" s="205" t="s">
        <v>4810</v>
      </c>
      <c r="B4240" s="206">
        <v>96710</v>
      </c>
      <c r="C4240" s="207" t="s">
        <v>4895</v>
      </c>
      <c r="D4240" s="208" t="s">
        <v>580</v>
      </c>
      <c r="E4240" s="209">
        <v>7.95</v>
      </c>
      <c r="F4240" s="209">
        <v>11.21</v>
      </c>
      <c r="G4240" s="209">
        <v>19.16</v>
      </c>
      <c r="H4240" s="198"/>
    </row>
    <row r="4241" spans="1:8" ht="15.75" hidden="1" customHeight="1" x14ac:dyDescent="0.25">
      <c r="A4241" s="205" t="s">
        <v>4810</v>
      </c>
      <c r="B4241" s="206">
        <v>96665</v>
      </c>
      <c r="C4241" s="207" t="s">
        <v>4896</v>
      </c>
      <c r="D4241" s="208" t="s">
        <v>580</v>
      </c>
      <c r="E4241" s="209">
        <v>6.8</v>
      </c>
      <c r="F4241" s="209">
        <v>8.02</v>
      </c>
      <c r="G4241" s="209">
        <v>14.82</v>
      </c>
      <c r="H4241" s="198"/>
    </row>
    <row r="4242" spans="1:8" ht="15.75" hidden="1" customHeight="1" x14ac:dyDescent="0.25">
      <c r="A4242" s="205" t="s">
        <v>4810</v>
      </c>
      <c r="B4242" s="206">
        <v>96642</v>
      </c>
      <c r="C4242" s="207" t="s">
        <v>4897</v>
      </c>
      <c r="D4242" s="208" t="s">
        <v>580</v>
      </c>
      <c r="E4242" s="209">
        <v>9.99</v>
      </c>
      <c r="F4242" s="209">
        <v>16.87</v>
      </c>
      <c r="G4242" s="209">
        <v>26.86</v>
      </c>
      <c r="H4242" s="198"/>
    </row>
    <row r="4243" spans="1:8" ht="15.75" hidden="1" customHeight="1" x14ac:dyDescent="0.25">
      <c r="A4243" s="205" t="s">
        <v>4810</v>
      </c>
      <c r="B4243" s="206">
        <v>96711</v>
      </c>
      <c r="C4243" s="207" t="s">
        <v>4898</v>
      </c>
      <c r="D4243" s="208" t="s">
        <v>580</v>
      </c>
      <c r="E4243" s="209">
        <v>14.6</v>
      </c>
      <c r="F4243" s="209">
        <v>13.67</v>
      </c>
      <c r="G4243" s="209">
        <v>28.27</v>
      </c>
      <c r="H4243" s="198"/>
    </row>
    <row r="4244" spans="1:8" ht="15.75" hidden="1" customHeight="1" x14ac:dyDescent="0.25">
      <c r="A4244" s="205" t="s">
        <v>4810</v>
      </c>
      <c r="B4244" s="206">
        <v>96666</v>
      </c>
      <c r="C4244" s="207" t="s">
        <v>4899</v>
      </c>
      <c r="D4244" s="208" t="s">
        <v>580</v>
      </c>
      <c r="E4244" s="209">
        <v>12.71</v>
      </c>
      <c r="F4244" s="209">
        <v>8.44</v>
      </c>
      <c r="G4244" s="209">
        <v>21.15</v>
      </c>
      <c r="H4244" s="198"/>
    </row>
    <row r="4245" spans="1:8" ht="15.75" hidden="1" customHeight="1" x14ac:dyDescent="0.25">
      <c r="A4245" s="205" t="s">
        <v>4810</v>
      </c>
      <c r="B4245" s="206">
        <v>96712</v>
      </c>
      <c r="C4245" s="207" t="s">
        <v>4900</v>
      </c>
      <c r="D4245" s="208" t="s">
        <v>580</v>
      </c>
      <c r="E4245" s="209">
        <v>23.53</v>
      </c>
      <c r="F4245" s="209">
        <v>16.48</v>
      </c>
      <c r="G4245" s="209">
        <v>40.01</v>
      </c>
      <c r="H4245" s="198"/>
    </row>
    <row r="4246" spans="1:8" ht="15.75" hidden="1" customHeight="1" x14ac:dyDescent="0.25">
      <c r="A4246" s="205" t="s">
        <v>4810</v>
      </c>
      <c r="B4246" s="206">
        <v>96667</v>
      </c>
      <c r="C4246" s="207" t="s">
        <v>4901</v>
      </c>
      <c r="D4246" s="208" t="s">
        <v>580</v>
      </c>
      <c r="E4246" s="209">
        <v>20.77</v>
      </c>
      <c r="F4246" s="209">
        <v>8.93</v>
      </c>
      <c r="G4246" s="209">
        <v>29.7</v>
      </c>
      <c r="H4246" s="198"/>
    </row>
    <row r="4247" spans="1:8" ht="15.75" hidden="1" customHeight="1" x14ac:dyDescent="0.25">
      <c r="A4247" s="205" t="s">
        <v>4810</v>
      </c>
      <c r="B4247" s="206">
        <v>96713</v>
      </c>
      <c r="C4247" s="207" t="s">
        <v>4902</v>
      </c>
      <c r="D4247" s="208" t="s">
        <v>580</v>
      </c>
      <c r="E4247" s="209">
        <v>41.04</v>
      </c>
      <c r="F4247" s="209">
        <v>20.010000000000002</v>
      </c>
      <c r="G4247" s="209">
        <v>61.05</v>
      </c>
      <c r="H4247" s="198"/>
    </row>
    <row r="4248" spans="1:8" ht="15.75" hidden="1" customHeight="1" x14ac:dyDescent="0.25">
      <c r="A4248" s="205" t="s">
        <v>4810</v>
      </c>
      <c r="B4248" s="206">
        <v>96714</v>
      </c>
      <c r="C4248" s="207" t="s">
        <v>4903</v>
      </c>
      <c r="D4248" s="208" t="s">
        <v>580</v>
      </c>
      <c r="E4248" s="209">
        <v>62.03</v>
      </c>
      <c r="F4248" s="209">
        <v>24.58</v>
      </c>
      <c r="G4248" s="209">
        <v>86.61</v>
      </c>
      <c r="H4248" s="198"/>
    </row>
    <row r="4249" spans="1:8" ht="15.75" hidden="1" customHeight="1" x14ac:dyDescent="0.25">
      <c r="A4249" s="205" t="s">
        <v>4810</v>
      </c>
      <c r="B4249" s="206">
        <v>96715</v>
      </c>
      <c r="C4249" s="207" t="s">
        <v>4904</v>
      </c>
      <c r="D4249" s="208" t="s">
        <v>580</v>
      </c>
      <c r="E4249" s="209">
        <v>124.41</v>
      </c>
      <c r="F4249" s="209">
        <v>28.82</v>
      </c>
      <c r="G4249" s="209">
        <v>153.22999999999999</v>
      </c>
      <c r="H4249" s="198"/>
    </row>
    <row r="4250" spans="1:8" ht="15.75" hidden="1" customHeight="1" x14ac:dyDescent="0.25">
      <c r="A4250" s="205" t="s">
        <v>4810</v>
      </c>
      <c r="B4250" s="206">
        <v>96716</v>
      </c>
      <c r="C4250" s="207" t="s">
        <v>4905</v>
      </c>
      <c r="D4250" s="208" t="s">
        <v>580</v>
      </c>
      <c r="E4250" s="209">
        <v>165.3</v>
      </c>
      <c r="F4250" s="209">
        <v>34.090000000000003</v>
      </c>
      <c r="G4250" s="209">
        <v>199.39</v>
      </c>
      <c r="H4250" s="198"/>
    </row>
    <row r="4251" spans="1:8" ht="15.75" hidden="1" customHeight="1" x14ac:dyDescent="0.25">
      <c r="A4251" s="205" t="s">
        <v>4906</v>
      </c>
      <c r="B4251" s="206">
        <v>104328</v>
      </c>
      <c r="C4251" s="207" t="s">
        <v>4907</v>
      </c>
      <c r="D4251" s="208" t="s">
        <v>580</v>
      </c>
      <c r="E4251" s="209">
        <v>56.5</v>
      </c>
      <c r="F4251" s="209">
        <v>20.56</v>
      </c>
      <c r="G4251" s="209">
        <v>77.06</v>
      </c>
      <c r="H4251" s="198"/>
    </row>
    <row r="4252" spans="1:8" ht="15.75" hidden="1" customHeight="1" x14ac:dyDescent="0.25">
      <c r="A4252" s="205" t="s">
        <v>4906</v>
      </c>
      <c r="B4252" s="206">
        <v>104329</v>
      </c>
      <c r="C4252" s="207" t="s">
        <v>4908</v>
      </c>
      <c r="D4252" s="208" t="s">
        <v>580</v>
      </c>
      <c r="E4252" s="209">
        <v>65.39</v>
      </c>
      <c r="F4252" s="209">
        <v>20.57</v>
      </c>
      <c r="G4252" s="209">
        <v>85.96</v>
      </c>
      <c r="H4252" s="198"/>
    </row>
    <row r="4253" spans="1:8" ht="15.75" hidden="1" customHeight="1" x14ac:dyDescent="0.25">
      <c r="A4253" s="205" t="s">
        <v>4906</v>
      </c>
      <c r="B4253" s="206">
        <v>89707</v>
      </c>
      <c r="C4253" s="207" t="s">
        <v>4909</v>
      </c>
      <c r="D4253" s="208" t="s">
        <v>580</v>
      </c>
      <c r="E4253" s="209">
        <v>35.9</v>
      </c>
      <c r="F4253" s="209">
        <v>19.38</v>
      </c>
      <c r="G4253" s="209">
        <v>55.28</v>
      </c>
      <c r="H4253" s="198"/>
    </row>
    <row r="4254" spans="1:8" ht="15.75" hidden="1" customHeight="1" x14ac:dyDescent="0.25">
      <c r="A4254" s="205" t="s">
        <v>4906</v>
      </c>
      <c r="B4254" s="206">
        <v>89708</v>
      </c>
      <c r="C4254" s="207" t="s">
        <v>4910</v>
      </c>
      <c r="D4254" s="208" t="s">
        <v>580</v>
      </c>
      <c r="E4254" s="209">
        <v>88.26</v>
      </c>
      <c r="F4254" s="209">
        <v>23.21</v>
      </c>
      <c r="G4254" s="209">
        <v>111.47</v>
      </c>
      <c r="H4254" s="198"/>
    </row>
    <row r="4255" spans="1:8" ht="15.75" hidden="1" customHeight="1" x14ac:dyDescent="0.25">
      <c r="A4255" s="205" t="s">
        <v>4906</v>
      </c>
      <c r="B4255" s="206">
        <v>104326</v>
      </c>
      <c r="C4255" s="207" t="s">
        <v>4911</v>
      </c>
      <c r="D4255" s="208" t="s">
        <v>580</v>
      </c>
      <c r="E4255" s="209">
        <v>14.56</v>
      </c>
      <c r="F4255" s="209">
        <v>8.02</v>
      </c>
      <c r="G4255" s="209">
        <v>22.58</v>
      </c>
      <c r="H4255" s="198"/>
    </row>
    <row r="4256" spans="1:8" ht="15.75" hidden="1" customHeight="1" x14ac:dyDescent="0.25">
      <c r="A4256" s="205" t="s">
        <v>4906</v>
      </c>
      <c r="B4256" s="206">
        <v>89710</v>
      </c>
      <c r="C4256" s="207" t="s">
        <v>4912</v>
      </c>
      <c r="D4256" s="208" t="s">
        <v>580</v>
      </c>
      <c r="E4256" s="209">
        <v>13.02</v>
      </c>
      <c r="F4256" s="209">
        <v>8.02</v>
      </c>
      <c r="G4256" s="209">
        <v>21.04</v>
      </c>
      <c r="H4256" s="198"/>
    </row>
    <row r="4257" spans="1:8" ht="15.75" hidden="1" customHeight="1" x14ac:dyDescent="0.25">
      <c r="A4257" s="205" t="s">
        <v>4906</v>
      </c>
      <c r="B4257" s="206">
        <v>104327</v>
      </c>
      <c r="C4257" s="207" t="s">
        <v>4913</v>
      </c>
      <c r="D4257" s="208" t="s">
        <v>580</v>
      </c>
      <c r="E4257" s="209">
        <v>13.65</v>
      </c>
      <c r="F4257" s="209">
        <v>8.02</v>
      </c>
      <c r="G4257" s="209">
        <v>21.67</v>
      </c>
      <c r="H4257" s="198"/>
    </row>
    <row r="4258" spans="1:8" ht="15.75" hidden="1" customHeight="1" x14ac:dyDescent="0.25">
      <c r="A4258" s="205" t="s">
        <v>4906</v>
      </c>
      <c r="B4258" s="206">
        <v>89709</v>
      </c>
      <c r="C4258" s="207" t="s">
        <v>4914</v>
      </c>
      <c r="D4258" s="208" t="s">
        <v>580</v>
      </c>
      <c r="E4258" s="209">
        <v>15.52</v>
      </c>
      <c r="F4258" s="209">
        <v>8.01</v>
      </c>
      <c r="G4258" s="209">
        <v>23.53</v>
      </c>
      <c r="H4258" s="198"/>
    </row>
    <row r="4259" spans="1:8" ht="15.75" hidden="1" customHeight="1" x14ac:dyDescent="0.25">
      <c r="A4259" s="205" t="s">
        <v>4915</v>
      </c>
      <c r="B4259" s="206">
        <v>104341</v>
      </c>
      <c r="C4259" s="207" t="s">
        <v>4916</v>
      </c>
      <c r="D4259" s="208" t="s">
        <v>580</v>
      </c>
      <c r="E4259" s="209">
        <v>7.76</v>
      </c>
      <c r="F4259" s="209">
        <v>4.28</v>
      </c>
      <c r="G4259" s="209">
        <v>12.04</v>
      </c>
      <c r="H4259" s="198"/>
    </row>
    <row r="4260" spans="1:8" ht="15.75" hidden="1" customHeight="1" x14ac:dyDescent="0.25">
      <c r="A4260" s="205" t="s">
        <v>4915</v>
      </c>
      <c r="B4260" s="206">
        <v>104357</v>
      </c>
      <c r="C4260" s="207" t="s">
        <v>4917</v>
      </c>
      <c r="D4260" s="208" t="s">
        <v>580</v>
      </c>
      <c r="E4260" s="209">
        <v>15.32</v>
      </c>
      <c r="F4260" s="209">
        <v>4.49</v>
      </c>
      <c r="G4260" s="209">
        <v>19.809999999999999</v>
      </c>
      <c r="H4260" s="198"/>
    </row>
    <row r="4261" spans="1:8" ht="15.75" hidden="1" customHeight="1" x14ac:dyDescent="0.25">
      <c r="A4261" s="205" t="s">
        <v>4915</v>
      </c>
      <c r="B4261" s="206">
        <v>89811</v>
      </c>
      <c r="C4261" s="207" t="s">
        <v>4918</v>
      </c>
      <c r="D4261" s="208" t="s">
        <v>580</v>
      </c>
      <c r="E4261" s="209">
        <v>35.06</v>
      </c>
      <c r="F4261" s="209">
        <v>10.56</v>
      </c>
      <c r="G4261" s="209">
        <v>45.62</v>
      </c>
      <c r="H4261" s="198"/>
    </row>
    <row r="4262" spans="1:8" ht="15.75" hidden="1" customHeight="1" x14ac:dyDescent="0.25">
      <c r="A4262" s="205" t="s">
        <v>4915</v>
      </c>
      <c r="B4262" s="206">
        <v>89748</v>
      </c>
      <c r="C4262" s="207" t="s">
        <v>4919</v>
      </c>
      <c r="D4262" s="208" t="s">
        <v>580</v>
      </c>
      <c r="E4262" s="209">
        <v>34.65</v>
      </c>
      <c r="F4262" s="209">
        <v>9.35</v>
      </c>
      <c r="G4262" s="209">
        <v>44</v>
      </c>
      <c r="H4262" s="198"/>
    </row>
    <row r="4263" spans="1:8" ht="15.75" hidden="1" customHeight="1" x14ac:dyDescent="0.25">
      <c r="A4263" s="205" t="s">
        <v>4915</v>
      </c>
      <c r="B4263" s="206">
        <v>89852</v>
      </c>
      <c r="C4263" s="207" t="s">
        <v>4920</v>
      </c>
      <c r="D4263" s="208" t="s">
        <v>580</v>
      </c>
      <c r="E4263" s="209">
        <v>36.119999999999997</v>
      </c>
      <c r="F4263" s="209">
        <v>13.47</v>
      </c>
      <c r="G4263" s="209">
        <v>49.59</v>
      </c>
      <c r="H4263" s="198"/>
    </row>
    <row r="4264" spans="1:8" ht="15.75" hidden="1" customHeight="1" x14ac:dyDescent="0.25">
      <c r="A4264" s="205" t="s">
        <v>4915</v>
      </c>
      <c r="B4264" s="206">
        <v>89728</v>
      </c>
      <c r="C4264" s="207" t="s">
        <v>4921</v>
      </c>
      <c r="D4264" s="208" t="s">
        <v>580</v>
      </c>
      <c r="E4264" s="209">
        <v>9.0399999999999991</v>
      </c>
      <c r="F4264" s="209">
        <v>6.15</v>
      </c>
      <c r="G4264" s="209">
        <v>15.19</v>
      </c>
      <c r="H4264" s="198"/>
    </row>
    <row r="4265" spans="1:8" ht="15.75" hidden="1" customHeight="1" x14ac:dyDescent="0.25">
      <c r="A4265" s="205" t="s">
        <v>4915</v>
      </c>
      <c r="B4265" s="206">
        <v>89803</v>
      </c>
      <c r="C4265" s="207" t="s">
        <v>4922</v>
      </c>
      <c r="D4265" s="208" t="s">
        <v>580</v>
      </c>
      <c r="E4265" s="209">
        <v>16.23</v>
      </c>
      <c r="F4265" s="209">
        <v>1.65</v>
      </c>
      <c r="G4265" s="209">
        <v>17.88</v>
      </c>
      <c r="H4265" s="198"/>
    </row>
    <row r="4266" spans="1:8" ht="15.75" hidden="1" customHeight="1" x14ac:dyDescent="0.25">
      <c r="A4266" s="205" t="s">
        <v>4915</v>
      </c>
      <c r="B4266" s="206">
        <v>89733</v>
      </c>
      <c r="C4266" s="207" t="s">
        <v>4923</v>
      </c>
      <c r="D4266" s="208" t="s">
        <v>580</v>
      </c>
      <c r="E4266" s="209">
        <v>18.010000000000002</v>
      </c>
      <c r="F4266" s="209">
        <v>6.69</v>
      </c>
      <c r="G4266" s="209">
        <v>24.7</v>
      </c>
      <c r="H4266" s="198"/>
    </row>
    <row r="4267" spans="1:8" ht="15.75" hidden="1" customHeight="1" x14ac:dyDescent="0.25">
      <c r="A4267" s="205" t="s">
        <v>4915</v>
      </c>
      <c r="B4267" s="206">
        <v>89807</v>
      </c>
      <c r="C4267" s="207" t="s">
        <v>4924</v>
      </c>
      <c r="D4267" s="208" t="s">
        <v>580</v>
      </c>
      <c r="E4267" s="209">
        <v>31.99</v>
      </c>
      <c r="F4267" s="209">
        <v>6.11</v>
      </c>
      <c r="G4267" s="209">
        <v>38.1</v>
      </c>
      <c r="H4267" s="198"/>
    </row>
    <row r="4268" spans="1:8" ht="15.75" hidden="1" customHeight="1" x14ac:dyDescent="0.25">
      <c r="A4268" s="205" t="s">
        <v>4915</v>
      </c>
      <c r="B4268" s="206">
        <v>89742</v>
      </c>
      <c r="C4268" s="207" t="s">
        <v>4925</v>
      </c>
      <c r="D4268" s="208" t="s">
        <v>580</v>
      </c>
      <c r="E4268" s="209">
        <v>32.68</v>
      </c>
      <c r="F4268" s="209">
        <v>8.02</v>
      </c>
      <c r="G4268" s="209">
        <v>40.700000000000003</v>
      </c>
      <c r="H4268" s="198"/>
    </row>
    <row r="4269" spans="1:8" ht="15.75" hidden="1" customHeight="1" x14ac:dyDescent="0.25">
      <c r="A4269" s="205" t="s">
        <v>4915</v>
      </c>
      <c r="B4269" s="206">
        <v>89812</v>
      </c>
      <c r="C4269" s="207" t="s">
        <v>4926</v>
      </c>
      <c r="D4269" s="208" t="s">
        <v>580</v>
      </c>
      <c r="E4269" s="209">
        <v>68.78</v>
      </c>
      <c r="F4269" s="209">
        <v>10.56</v>
      </c>
      <c r="G4269" s="209">
        <v>79.34</v>
      </c>
      <c r="H4269" s="198"/>
    </row>
    <row r="4270" spans="1:8" ht="15.75" hidden="1" customHeight="1" x14ac:dyDescent="0.25">
      <c r="A4270" s="205" t="s">
        <v>4915</v>
      </c>
      <c r="B4270" s="206">
        <v>89750</v>
      </c>
      <c r="C4270" s="207" t="s">
        <v>4927</v>
      </c>
      <c r="D4270" s="208" t="s">
        <v>580</v>
      </c>
      <c r="E4270" s="209">
        <v>68.37</v>
      </c>
      <c r="F4270" s="209">
        <v>9.35</v>
      </c>
      <c r="G4270" s="209">
        <v>77.72</v>
      </c>
      <c r="H4270" s="198"/>
    </row>
    <row r="4271" spans="1:8" ht="15.75" hidden="1" customHeight="1" x14ac:dyDescent="0.25">
      <c r="A4271" s="205" t="s">
        <v>4915</v>
      </c>
      <c r="B4271" s="206">
        <v>89853</v>
      </c>
      <c r="C4271" s="207" t="s">
        <v>4928</v>
      </c>
      <c r="D4271" s="208" t="s">
        <v>580</v>
      </c>
      <c r="E4271" s="209">
        <v>69.84</v>
      </c>
      <c r="F4271" s="209">
        <v>13.47</v>
      </c>
      <c r="G4271" s="209">
        <v>83.31</v>
      </c>
      <c r="H4271" s="198"/>
    </row>
    <row r="4272" spans="1:8" ht="15.75" hidden="1" customHeight="1" x14ac:dyDescent="0.25">
      <c r="A4272" s="205" t="s">
        <v>4915</v>
      </c>
      <c r="B4272" s="206">
        <v>89730</v>
      </c>
      <c r="C4272" s="207" t="s">
        <v>4929</v>
      </c>
      <c r="D4272" s="208" t="s">
        <v>580</v>
      </c>
      <c r="E4272" s="209">
        <v>10.87</v>
      </c>
      <c r="F4272" s="209">
        <v>6.15</v>
      </c>
      <c r="G4272" s="209">
        <v>17.02</v>
      </c>
      <c r="H4272" s="198"/>
    </row>
    <row r="4273" spans="1:8" ht="15.75" hidden="1" customHeight="1" x14ac:dyDescent="0.25">
      <c r="A4273" s="205" t="s">
        <v>4915</v>
      </c>
      <c r="B4273" s="206">
        <v>89804</v>
      </c>
      <c r="C4273" s="207" t="s">
        <v>4930</v>
      </c>
      <c r="D4273" s="208" t="s">
        <v>580</v>
      </c>
      <c r="E4273" s="209">
        <v>18.32</v>
      </c>
      <c r="F4273" s="209">
        <v>1.66</v>
      </c>
      <c r="G4273" s="209">
        <v>19.98</v>
      </c>
      <c r="H4273" s="198"/>
    </row>
    <row r="4274" spans="1:8" ht="15.75" hidden="1" customHeight="1" x14ac:dyDescent="0.25">
      <c r="A4274" s="205" t="s">
        <v>4915</v>
      </c>
      <c r="B4274" s="206">
        <v>89735</v>
      </c>
      <c r="C4274" s="207" t="s">
        <v>4931</v>
      </c>
      <c r="D4274" s="208" t="s">
        <v>580</v>
      </c>
      <c r="E4274" s="209">
        <v>20.12</v>
      </c>
      <c r="F4274" s="209">
        <v>6.68</v>
      </c>
      <c r="G4274" s="209">
        <v>26.8</v>
      </c>
      <c r="H4274" s="198"/>
    </row>
    <row r="4275" spans="1:8" ht="15.75" hidden="1" customHeight="1" x14ac:dyDescent="0.25">
      <c r="A4275" s="205" t="s">
        <v>4915</v>
      </c>
      <c r="B4275" s="206">
        <v>89808</v>
      </c>
      <c r="C4275" s="207" t="s">
        <v>4932</v>
      </c>
      <c r="D4275" s="208" t="s">
        <v>580</v>
      </c>
      <c r="E4275" s="209">
        <v>51.81</v>
      </c>
      <c r="F4275" s="209">
        <v>6.1</v>
      </c>
      <c r="G4275" s="209">
        <v>57.91</v>
      </c>
      <c r="H4275" s="198"/>
    </row>
    <row r="4276" spans="1:8" ht="15.75" hidden="1" customHeight="1" x14ac:dyDescent="0.25">
      <c r="A4276" s="205" t="s">
        <v>4915</v>
      </c>
      <c r="B4276" s="206">
        <v>89743</v>
      </c>
      <c r="C4276" s="207" t="s">
        <v>4933</v>
      </c>
      <c r="D4276" s="208" t="s">
        <v>580</v>
      </c>
      <c r="E4276" s="209">
        <v>52.5</v>
      </c>
      <c r="F4276" s="209">
        <v>8.01</v>
      </c>
      <c r="G4276" s="209">
        <v>60.51</v>
      </c>
      <c r="H4276" s="198"/>
    </row>
    <row r="4277" spans="1:8" ht="15.75" hidden="1" customHeight="1" x14ac:dyDescent="0.25">
      <c r="A4277" s="205" t="s">
        <v>4915</v>
      </c>
      <c r="B4277" s="206">
        <v>89810</v>
      </c>
      <c r="C4277" s="207" t="s">
        <v>4934</v>
      </c>
      <c r="D4277" s="208" t="s">
        <v>580</v>
      </c>
      <c r="E4277" s="209">
        <v>21.4</v>
      </c>
      <c r="F4277" s="209">
        <v>10.55</v>
      </c>
      <c r="G4277" s="209">
        <v>31.95</v>
      </c>
      <c r="H4277" s="198"/>
    </row>
    <row r="4278" spans="1:8" ht="15.75" hidden="1" customHeight="1" x14ac:dyDescent="0.25">
      <c r="A4278" s="205" t="s">
        <v>4915</v>
      </c>
      <c r="B4278" s="206">
        <v>89746</v>
      </c>
      <c r="C4278" s="207" t="s">
        <v>4935</v>
      </c>
      <c r="D4278" s="208" t="s">
        <v>580</v>
      </c>
      <c r="E4278" s="209">
        <v>20.98</v>
      </c>
      <c r="F4278" s="209">
        <v>9.35</v>
      </c>
      <c r="G4278" s="209">
        <v>30.33</v>
      </c>
      <c r="H4278" s="198"/>
    </row>
    <row r="4279" spans="1:8" ht="15.75" hidden="1" customHeight="1" x14ac:dyDescent="0.25">
      <c r="A4279" s="205" t="s">
        <v>4915</v>
      </c>
      <c r="B4279" s="206">
        <v>89851</v>
      </c>
      <c r="C4279" s="207" t="s">
        <v>4936</v>
      </c>
      <c r="D4279" s="208" t="s">
        <v>580</v>
      </c>
      <c r="E4279" s="209">
        <v>22.44</v>
      </c>
      <c r="F4279" s="209">
        <v>13.48</v>
      </c>
      <c r="G4279" s="209">
        <v>35.92</v>
      </c>
      <c r="H4279" s="198"/>
    </row>
    <row r="4280" spans="1:8" ht="15.75" hidden="1" customHeight="1" x14ac:dyDescent="0.25">
      <c r="A4280" s="205" t="s">
        <v>4915</v>
      </c>
      <c r="B4280" s="206">
        <v>89855</v>
      </c>
      <c r="C4280" s="207" t="s">
        <v>4937</v>
      </c>
      <c r="D4280" s="208" t="s">
        <v>580</v>
      </c>
      <c r="E4280" s="209">
        <v>93.32</v>
      </c>
      <c r="F4280" s="209">
        <v>17.52</v>
      </c>
      <c r="G4280" s="209">
        <v>110.84</v>
      </c>
      <c r="H4280" s="198"/>
    </row>
    <row r="4281" spans="1:8" ht="15.75" hidden="1" customHeight="1" x14ac:dyDescent="0.25">
      <c r="A4281" s="205" t="s">
        <v>4915</v>
      </c>
      <c r="B4281" s="206">
        <v>89726</v>
      </c>
      <c r="C4281" s="207" t="s">
        <v>4938</v>
      </c>
      <c r="D4281" s="208" t="s">
        <v>580</v>
      </c>
      <c r="E4281" s="209">
        <v>6.46</v>
      </c>
      <c r="F4281" s="209">
        <v>6.15</v>
      </c>
      <c r="G4281" s="209">
        <v>12.61</v>
      </c>
      <c r="H4281" s="198"/>
    </row>
    <row r="4282" spans="1:8" ht="15.75" hidden="1" customHeight="1" x14ac:dyDescent="0.25">
      <c r="A4282" s="205" t="s">
        <v>4915</v>
      </c>
      <c r="B4282" s="206">
        <v>89802</v>
      </c>
      <c r="C4282" s="207" t="s">
        <v>4939</v>
      </c>
      <c r="D4282" s="208" t="s">
        <v>580</v>
      </c>
      <c r="E4282" s="209">
        <v>8.7899999999999991</v>
      </c>
      <c r="F4282" s="209">
        <v>1.65</v>
      </c>
      <c r="G4282" s="209">
        <v>10.44</v>
      </c>
      <c r="H4282" s="198"/>
    </row>
    <row r="4283" spans="1:8" ht="15.75" hidden="1" customHeight="1" x14ac:dyDescent="0.25">
      <c r="A4283" s="205" t="s">
        <v>4915</v>
      </c>
      <c r="B4283" s="206">
        <v>89732</v>
      </c>
      <c r="C4283" s="207" t="s">
        <v>4940</v>
      </c>
      <c r="D4283" s="208" t="s">
        <v>580</v>
      </c>
      <c r="E4283" s="209">
        <v>10.58</v>
      </c>
      <c r="F4283" s="209">
        <v>6.68</v>
      </c>
      <c r="G4283" s="209">
        <v>17.260000000000002</v>
      </c>
      <c r="H4283" s="198"/>
    </row>
    <row r="4284" spans="1:8" ht="15.75" hidden="1" customHeight="1" x14ac:dyDescent="0.25">
      <c r="A4284" s="205" t="s">
        <v>4915</v>
      </c>
      <c r="B4284" s="206">
        <v>89806</v>
      </c>
      <c r="C4284" s="207" t="s">
        <v>4941</v>
      </c>
      <c r="D4284" s="208" t="s">
        <v>580</v>
      </c>
      <c r="E4284" s="209">
        <v>16.510000000000002</v>
      </c>
      <c r="F4284" s="209">
        <v>6.1</v>
      </c>
      <c r="G4284" s="209">
        <v>22.61</v>
      </c>
      <c r="H4284" s="198"/>
    </row>
    <row r="4285" spans="1:8" ht="15.75" hidden="1" customHeight="1" x14ac:dyDescent="0.25">
      <c r="A4285" s="205" t="s">
        <v>4915</v>
      </c>
      <c r="B4285" s="206">
        <v>89739</v>
      </c>
      <c r="C4285" s="207" t="s">
        <v>4942</v>
      </c>
      <c r="D4285" s="208" t="s">
        <v>580</v>
      </c>
      <c r="E4285" s="209">
        <v>17.2</v>
      </c>
      <c r="F4285" s="209">
        <v>8.01</v>
      </c>
      <c r="G4285" s="209">
        <v>25.21</v>
      </c>
      <c r="H4285" s="198"/>
    </row>
    <row r="4286" spans="1:8" ht="15.75" hidden="1" customHeight="1" x14ac:dyDescent="0.25">
      <c r="A4286" s="205" t="s">
        <v>4915</v>
      </c>
      <c r="B4286" s="206">
        <v>89809</v>
      </c>
      <c r="C4286" s="207" t="s">
        <v>4943</v>
      </c>
      <c r="D4286" s="208" t="s">
        <v>580</v>
      </c>
      <c r="E4286" s="209">
        <v>20.6</v>
      </c>
      <c r="F4286" s="209">
        <v>10.55</v>
      </c>
      <c r="G4286" s="209">
        <v>31.15</v>
      </c>
      <c r="H4286" s="198"/>
    </row>
    <row r="4287" spans="1:8" ht="15.75" hidden="1" customHeight="1" x14ac:dyDescent="0.25">
      <c r="A4287" s="205" t="s">
        <v>4915</v>
      </c>
      <c r="B4287" s="206">
        <v>89744</v>
      </c>
      <c r="C4287" s="207" t="s">
        <v>4944</v>
      </c>
      <c r="D4287" s="208" t="s">
        <v>580</v>
      </c>
      <c r="E4287" s="209">
        <v>20.170000000000002</v>
      </c>
      <c r="F4287" s="209">
        <v>9.36</v>
      </c>
      <c r="G4287" s="209">
        <v>29.53</v>
      </c>
      <c r="H4287" s="198"/>
    </row>
    <row r="4288" spans="1:8" ht="15.75" hidden="1" customHeight="1" x14ac:dyDescent="0.25">
      <c r="A4288" s="205" t="s">
        <v>4915</v>
      </c>
      <c r="B4288" s="206">
        <v>89850</v>
      </c>
      <c r="C4288" s="207" t="s">
        <v>4945</v>
      </c>
      <c r="D4288" s="208" t="s">
        <v>580</v>
      </c>
      <c r="E4288" s="209">
        <v>21.65</v>
      </c>
      <c r="F4288" s="209">
        <v>13.47</v>
      </c>
      <c r="G4288" s="209">
        <v>35.119999999999997</v>
      </c>
      <c r="H4288" s="198"/>
    </row>
    <row r="4289" spans="1:8" ht="15.75" hidden="1" customHeight="1" x14ac:dyDescent="0.25">
      <c r="A4289" s="205" t="s">
        <v>4915</v>
      </c>
      <c r="B4289" s="206">
        <v>89854</v>
      </c>
      <c r="C4289" s="207" t="s">
        <v>4946</v>
      </c>
      <c r="D4289" s="208" t="s">
        <v>580</v>
      </c>
      <c r="E4289" s="209">
        <v>88.32</v>
      </c>
      <c r="F4289" s="209">
        <v>17.510000000000002</v>
      </c>
      <c r="G4289" s="209">
        <v>105.83</v>
      </c>
      <c r="H4289" s="198"/>
    </row>
    <row r="4290" spans="1:8" ht="15.75" hidden="1" customHeight="1" x14ac:dyDescent="0.25">
      <c r="A4290" s="205" t="s">
        <v>4915</v>
      </c>
      <c r="B4290" s="206">
        <v>89724</v>
      </c>
      <c r="C4290" s="207" t="s">
        <v>4947</v>
      </c>
      <c r="D4290" s="208" t="s">
        <v>580</v>
      </c>
      <c r="E4290" s="209">
        <v>6.23</v>
      </c>
      <c r="F4290" s="209">
        <v>6.16</v>
      </c>
      <c r="G4290" s="209">
        <v>12.39</v>
      </c>
      <c r="H4290" s="198"/>
    </row>
    <row r="4291" spans="1:8" ht="15.75" hidden="1" customHeight="1" x14ac:dyDescent="0.25">
      <c r="A4291" s="205" t="s">
        <v>4915</v>
      </c>
      <c r="B4291" s="206">
        <v>89801</v>
      </c>
      <c r="C4291" s="207" t="s">
        <v>4948</v>
      </c>
      <c r="D4291" s="208" t="s">
        <v>580</v>
      </c>
      <c r="E4291" s="209">
        <v>8.09</v>
      </c>
      <c r="F4291" s="209">
        <v>1.65</v>
      </c>
      <c r="G4291" s="209">
        <v>9.74</v>
      </c>
      <c r="H4291" s="198"/>
    </row>
    <row r="4292" spans="1:8" ht="15.75" hidden="1" customHeight="1" x14ac:dyDescent="0.25">
      <c r="A4292" s="205" t="s">
        <v>4915</v>
      </c>
      <c r="B4292" s="206">
        <v>89731</v>
      </c>
      <c r="C4292" s="207" t="s">
        <v>4949</v>
      </c>
      <c r="D4292" s="208" t="s">
        <v>580</v>
      </c>
      <c r="E4292" s="209">
        <v>9.8699999999999992</v>
      </c>
      <c r="F4292" s="209">
        <v>6.69</v>
      </c>
      <c r="G4292" s="209">
        <v>16.559999999999999</v>
      </c>
      <c r="H4292" s="198"/>
    </row>
    <row r="4293" spans="1:8" ht="15.75" hidden="1" customHeight="1" x14ac:dyDescent="0.25">
      <c r="A4293" s="205" t="s">
        <v>4915</v>
      </c>
      <c r="B4293" s="206">
        <v>89805</v>
      </c>
      <c r="C4293" s="207" t="s">
        <v>4950</v>
      </c>
      <c r="D4293" s="208" t="s">
        <v>580</v>
      </c>
      <c r="E4293" s="209">
        <v>15.56</v>
      </c>
      <c r="F4293" s="209">
        <v>6.11</v>
      </c>
      <c r="G4293" s="209">
        <v>21.67</v>
      </c>
      <c r="H4293" s="198"/>
    </row>
    <row r="4294" spans="1:8" ht="15.75" hidden="1" customHeight="1" x14ac:dyDescent="0.25">
      <c r="A4294" s="205" t="s">
        <v>4915</v>
      </c>
      <c r="B4294" s="206">
        <v>89737</v>
      </c>
      <c r="C4294" s="207" t="s">
        <v>4951</v>
      </c>
      <c r="D4294" s="208" t="s">
        <v>580</v>
      </c>
      <c r="E4294" s="209">
        <v>16.260000000000002</v>
      </c>
      <c r="F4294" s="209">
        <v>8.01</v>
      </c>
      <c r="G4294" s="209">
        <v>24.27</v>
      </c>
      <c r="H4294" s="198"/>
    </row>
    <row r="4295" spans="1:8" ht="15.75" hidden="1" customHeight="1" x14ac:dyDescent="0.25">
      <c r="A4295" s="205" t="s">
        <v>4915</v>
      </c>
      <c r="B4295" s="206">
        <v>104355</v>
      </c>
      <c r="C4295" s="207" t="s">
        <v>4952</v>
      </c>
      <c r="D4295" s="208" t="s">
        <v>580</v>
      </c>
      <c r="E4295" s="209">
        <v>37.89</v>
      </c>
      <c r="F4295" s="209">
        <v>12.09</v>
      </c>
      <c r="G4295" s="209">
        <v>49.98</v>
      </c>
      <c r="H4295" s="198"/>
    </row>
    <row r="4296" spans="1:8" ht="15.75" hidden="1" customHeight="1" x14ac:dyDescent="0.25">
      <c r="A4296" s="205" t="s">
        <v>4915</v>
      </c>
      <c r="B4296" s="206">
        <v>104347</v>
      </c>
      <c r="C4296" s="207" t="s">
        <v>4953</v>
      </c>
      <c r="D4296" s="208" t="s">
        <v>580</v>
      </c>
      <c r="E4296" s="209">
        <v>37.81</v>
      </c>
      <c r="F4296" s="209">
        <v>11.88</v>
      </c>
      <c r="G4296" s="209">
        <v>49.69</v>
      </c>
      <c r="H4296" s="198"/>
    </row>
    <row r="4297" spans="1:8" ht="15.75" hidden="1" customHeight="1" x14ac:dyDescent="0.25">
      <c r="A4297" s="205" t="s">
        <v>4915</v>
      </c>
      <c r="B4297" s="206">
        <v>104353</v>
      </c>
      <c r="C4297" s="207" t="s">
        <v>4954</v>
      </c>
      <c r="D4297" s="208" t="s">
        <v>580</v>
      </c>
      <c r="E4297" s="209">
        <v>33.1</v>
      </c>
      <c r="F4297" s="209">
        <v>10.119999999999999</v>
      </c>
      <c r="G4297" s="209">
        <v>43.22</v>
      </c>
      <c r="H4297" s="198"/>
    </row>
    <row r="4298" spans="1:8" ht="15.75" hidden="1" customHeight="1" x14ac:dyDescent="0.25">
      <c r="A4298" s="205" t="s">
        <v>4915</v>
      </c>
      <c r="B4298" s="206">
        <v>104345</v>
      </c>
      <c r="C4298" s="207" t="s">
        <v>4955</v>
      </c>
      <c r="D4298" s="208" t="s">
        <v>580</v>
      </c>
      <c r="E4298" s="209">
        <v>33.51</v>
      </c>
      <c r="F4298" s="209">
        <v>11.29</v>
      </c>
      <c r="G4298" s="209">
        <v>44.8</v>
      </c>
      <c r="H4298" s="198"/>
    </row>
    <row r="4299" spans="1:8" ht="15.75" hidden="1" customHeight="1" x14ac:dyDescent="0.25">
      <c r="A4299" s="205" t="s">
        <v>4915</v>
      </c>
      <c r="B4299" s="206">
        <v>104350</v>
      </c>
      <c r="C4299" s="207" t="s">
        <v>4956</v>
      </c>
      <c r="D4299" s="208" t="s">
        <v>580</v>
      </c>
      <c r="E4299" s="209">
        <v>24.31</v>
      </c>
      <c r="F4299" s="209">
        <v>6.16</v>
      </c>
      <c r="G4299" s="209">
        <v>30.47</v>
      </c>
      <c r="H4299" s="198"/>
    </row>
    <row r="4300" spans="1:8" ht="15.75" hidden="1" customHeight="1" x14ac:dyDescent="0.25">
      <c r="A4300" s="205" t="s">
        <v>4915</v>
      </c>
      <c r="B4300" s="206">
        <v>104343</v>
      </c>
      <c r="C4300" s="207" t="s">
        <v>4957</v>
      </c>
      <c r="D4300" s="208" t="s">
        <v>580</v>
      </c>
      <c r="E4300" s="209">
        <v>25.71</v>
      </c>
      <c r="F4300" s="209">
        <v>10.11</v>
      </c>
      <c r="G4300" s="209">
        <v>35.82</v>
      </c>
      <c r="H4300" s="198"/>
    </row>
    <row r="4301" spans="1:8" ht="15.75" hidden="1" customHeight="1" x14ac:dyDescent="0.25">
      <c r="A4301" s="205" t="s">
        <v>4915</v>
      </c>
      <c r="B4301" s="206">
        <v>89834</v>
      </c>
      <c r="C4301" s="207" t="s">
        <v>4958</v>
      </c>
      <c r="D4301" s="208" t="s">
        <v>580</v>
      </c>
      <c r="E4301" s="209">
        <v>41.42</v>
      </c>
      <c r="F4301" s="209">
        <v>14.07</v>
      </c>
      <c r="G4301" s="209">
        <v>55.49</v>
      </c>
      <c r="H4301" s="198"/>
    </row>
    <row r="4302" spans="1:8" ht="15.75" hidden="1" customHeight="1" x14ac:dyDescent="0.25">
      <c r="A4302" s="205" t="s">
        <v>4915</v>
      </c>
      <c r="B4302" s="206">
        <v>89797</v>
      </c>
      <c r="C4302" s="207" t="s">
        <v>4959</v>
      </c>
      <c r="D4302" s="208" t="s">
        <v>580</v>
      </c>
      <c r="E4302" s="209">
        <v>40.86</v>
      </c>
      <c r="F4302" s="209">
        <v>12.47</v>
      </c>
      <c r="G4302" s="209">
        <v>53.33</v>
      </c>
      <c r="H4302" s="198"/>
    </row>
    <row r="4303" spans="1:8" ht="15.75" hidden="1" customHeight="1" x14ac:dyDescent="0.25">
      <c r="A4303" s="205" t="s">
        <v>4915</v>
      </c>
      <c r="B4303" s="206">
        <v>89861</v>
      </c>
      <c r="C4303" s="207" t="s">
        <v>4960</v>
      </c>
      <c r="D4303" s="208" t="s">
        <v>580</v>
      </c>
      <c r="E4303" s="209">
        <v>42.81</v>
      </c>
      <c r="F4303" s="209">
        <v>17.97</v>
      </c>
      <c r="G4303" s="209">
        <v>60.78</v>
      </c>
      <c r="H4303" s="198"/>
    </row>
    <row r="4304" spans="1:8" ht="15.75" hidden="1" customHeight="1" x14ac:dyDescent="0.25">
      <c r="A4304" s="205" t="s">
        <v>4915</v>
      </c>
      <c r="B4304" s="206">
        <v>89783</v>
      </c>
      <c r="C4304" s="207" t="s">
        <v>4961</v>
      </c>
      <c r="D4304" s="208" t="s">
        <v>580</v>
      </c>
      <c r="E4304" s="209">
        <v>9.5500000000000007</v>
      </c>
      <c r="F4304" s="209">
        <v>8.23</v>
      </c>
      <c r="G4304" s="209">
        <v>17.78</v>
      </c>
      <c r="H4304" s="198"/>
    </row>
    <row r="4305" spans="1:8" ht="15.75" hidden="1" customHeight="1" x14ac:dyDescent="0.25">
      <c r="A4305" s="205" t="s">
        <v>4915</v>
      </c>
      <c r="B4305" s="206">
        <v>89827</v>
      </c>
      <c r="C4305" s="207" t="s">
        <v>4962</v>
      </c>
      <c r="D4305" s="208" t="s">
        <v>580</v>
      </c>
      <c r="E4305" s="209">
        <v>17.11</v>
      </c>
      <c r="F4305" s="209">
        <v>2.2000000000000002</v>
      </c>
      <c r="G4305" s="209">
        <v>19.309999999999999</v>
      </c>
      <c r="H4305" s="198"/>
    </row>
    <row r="4306" spans="1:8" ht="15.75" hidden="1" customHeight="1" x14ac:dyDescent="0.25">
      <c r="A4306" s="205" t="s">
        <v>4915</v>
      </c>
      <c r="B4306" s="206">
        <v>89785</v>
      </c>
      <c r="C4306" s="207" t="s">
        <v>4963</v>
      </c>
      <c r="D4306" s="208" t="s">
        <v>580</v>
      </c>
      <c r="E4306" s="209">
        <v>19.5</v>
      </c>
      <c r="F4306" s="209">
        <v>8.92</v>
      </c>
      <c r="G4306" s="209">
        <v>28.42</v>
      </c>
      <c r="H4306" s="198"/>
    </row>
    <row r="4307" spans="1:8" ht="15.75" hidden="1" customHeight="1" x14ac:dyDescent="0.25">
      <c r="A4307" s="205" t="s">
        <v>4915</v>
      </c>
      <c r="B4307" s="206">
        <v>89830</v>
      </c>
      <c r="C4307" s="207" t="s">
        <v>4964</v>
      </c>
      <c r="D4307" s="208" t="s">
        <v>580</v>
      </c>
      <c r="E4307" s="209">
        <v>30.96</v>
      </c>
      <c r="F4307" s="209">
        <v>8.14</v>
      </c>
      <c r="G4307" s="209">
        <v>39.1</v>
      </c>
      <c r="H4307" s="198"/>
    </row>
    <row r="4308" spans="1:8" ht="15.75" hidden="1" customHeight="1" x14ac:dyDescent="0.25">
      <c r="A4308" s="205" t="s">
        <v>4915</v>
      </c>
      <c r="B4308" s="206">
        <v>89795</v>
      </c>
      <c r="C4308" s="207" t="s">
        <v>4965</v>
      </c>
      <c r="D4308" s="208" t="s">
        <v>580</v>
      </c>
      <c r="E4308" s="209">
        <v>31.87</v>
      </c>
      <c r="F4308" s="209">
        <v>10.69</v>
      </c>
      <c r="G4308" s="209">
        <v>42.56</v>
      </c>
      <c r="H4308" s="198"/>
    </row>
    <row r="4309" spans="1:8" ht="15.75" hidden="1" customHeight="1" x14ac:dyDescent="0.25">
      <c r="A4309" s="205" t="s">
        <v>4915</v>
      </c>
      <c r="B4309" s="206">
        <v>89823</v>
      </c>
      <c r="C4309" s="207" t="s">
        <v>4966</v>
      </c>
      <c r="D4309" s="208" t="s">
        <v>580</v>
      </c>
      <c r="E4309" s="209">
        <v>29.14</v>
      </c>
      <c r="F4309" s="209">
        <v>7.02</v>
      </c>
      <c r="G4309" s="209">
        <v>36.159999999999997</v>
      </c>
      <c r="H4309" s="198"/>
    </row>
    <row r="4310" spans="1:8" ht="15.75" hidden="1" customHeight="1" x14ac:dyDescent="0.25">
      <c r="A4310" s="205" t="s">
        <v>4915</v>
      </c>
      <c r="B4310" s="206">
        <v>89779</v>
      </c>
      <c r="C4310" s="207" t="s">
        <v>4967</v>
      </c>
      <c r="D4310" s="208" t="s">
        <v>580</v>
      </c>
      <c r="E4310" s="209">
        <v>28.85</v>
      </c>
      <c r="F4310" s="209">
        <v>6.23</v>
      </c>
      <c r="G4310" s="209">
        <v>35.08</v>
      </c>
      <c r="H4310" s="198"/>
    </row>
    <row r="4311" spans="1:8" ht="15.75" hidden="1" customHeight="1" x14ac:dyDescent="0.25">
      <c r="A4311" s="205" t="s">
        <v>4915</v>
      </c>
      <c r="B4311" s="206">
        <v>89857</v>
      </c>
      <c r="C4311" s="207" t="s">
        <v>4968</v>
      </c>
      <c r="D4311" s="208" t="s">
        <v>580</v>
      </c>
      <c r="E4311" s="209">
        <v>29.83</v>
      </c>
      <c r="F4311" s="209">
        <v>8.9700000000000006</v>
      </c>
      <c r="G4311" s="209">
        <v>38.799999999999997</v>
      </c>
      <c r="H4311" s="198"/>
    </row>
    <row r="4312" spans="1:8" ht="15.75" hidden="1" customHeight="1" x14ac:dyDescent="0.25">
      <c r="A4312" s="205" t="s">
        <v>4915</v>
      </c>
      <c r="B4312" s="206">
        <v>89814</v>
      </c>
      <c r="C4312" s="207" t="s">
        <v>4969</v>
      </c>
      <c r="D4312" s="208" t="s">
        <v>580</v>
      </c>
      <c r="E4312" s="209">
        <v>15.78</v>
      </c>
      <c r="F4312" s="209">
        <v>1.1000000000000001</v>
      </c>
      <c r="G4312" s="209">
        <v>16.88</v>
      </c>
      <c r="H4312" s="198"/>
    </row>
    <row r="4313" spans="1:8" ht="15.75" hidden="1" customHeight="1" x14ac:dyDescent="0.25">
      <c r="A4313" s="205" t="s">
        <v>4915</v>
      </c>
      <c r="B4313" s="206">
        <v>89754</v>
      </c>
      <c r="C4313" s="207" t="s">
        <v>4970</v>
      </c>
      <c r="D4313" s="208" t="s">
        <v>580</v>
      </c>
      <c r="E4313" s="209">
        <v>16.989999999999998</v>
      </c>
      <c r="F4313" s="209">
        <v>4.45</v>
      </c>
      <c r="G4313" s="209">
        <v>21.44</v>
      </c>
      <c r="H4313" s="198"/>
    </row>
    <row r="4314" spans="1:8" ht="15.75" hidden="1" customHeight="1" x14ac:dyDescent="0.25">
      <c r="A4314" s="205" t="s">
        <v>4915</v>
      </c>
      <c r="B4314" s="206">
        <v>89819</v>
      </c>
      <c r="C4314" s="207" t="s">
        <v>4971</v>
      </c>
      <c r="D4314" s="208" t="s">
        <v>580</v>
      </c>
      <c r="E4314" s="209">
        <v>20.21</v>
      </c>
      <c r="F4314" s="209">
        <v>4.0599999999999996</v>
      </c>
      <c r="G4314" s="209">
        <v>24.27</v>
      </c>
      <c r="H4314" s="198"/>
    </row>
    <row r="4315" spans="1:8" ht="15.75" hidden="1" customHeight="1" x14ac:dyDescent="0.25">
      <c r="A4315" s="205" t="s">
        <v>4915</v>
      </c>
      <c r="B4315" s="206">
        <v>89776</v>
      </c>
      <c r="C4315" s="207" t="s">
        <v>4972</v>
      </c>
      <c r="D4315" s="208" t="s">
        <v>580</v>
      </c>
      <c r="E4315" s="209">
        <v>20.65</v>
      </c>
      <c r="F4315" s="209">
        <v>5.35</v>
      </c>
      <c r="G4315" s="209">
        <v>26</v>
      </c>
      <c r="H4315" s="198"/>
    </row>
    <row r="4316" spans="1:8" ht="15.75" hidden="1" customHeight="1" x14ac:dyDescent="0.25">
      <c r="A4316" s="205" t="s">
        <v>4915</v>
      </c>
      <c r="B4316" s="206">
        <v>89821</v>
      </c>
      <c r="C4316" s="207" t="s">
        <v>4973</v>
      </c>
      <c r="D4316" s="208" t="s">
        <v>580</v>
      </c>
      <c r="E4316" s="209">
        <v>13.97</v>
      </c>
      <c r="F4316" s="209">
        <v>7.03</v>
      </c>
      <c r="G4316" s="209">
        <v>21</v>
      </c>
      <c r="H4316" s="198"/>
    </row>
    <row r="4317" spans="1:8" ht="15.75" hidden="1" customHeight="1" x14ac:dyDescent="0.25">
      <c r="A4317" s="205" t="s">
        <v>4915</v>
      </c>
      <c r="B4317" s="206">
        <v>89778</v>
      </c>
      <c r="C4317" s="207" t="s">
        <v>4974</v>
      </c>
      <c r="D4317" s="208" t="s">
        <v>580</v>
      </c>
      <c r="E4317" s="209">
        <v>13.69</v>
      </c>
      <c r="F4317" s="209">
        <v>6.23</v>
      </c>
      <c r="G4317" s="209">
        <v>19.920000000000002</v>
      </c>
      <c r="H4317" s="198"/>
    </row>
    <row r="4318" spans="1:8" ht="15.75" hidden="1" customHeight="1" x14ac:dyDescent="0.25">
      <c r="A4318" s="205" t="s">
        <v>4915</v>
      </c>
      <c r="B4318" s="206">
        <v>89856</v>
      </c>
      <c r="C4318" s="207" t="s">
        <v>4975</v>
      </c>
      <c r="D4318" s="208" t="s">
        <v>580</v>
      </c>
      <c r="E4318" s="209">
        <v>14.66</v>
      </c>
      <c r="F4318" s="209">
        <v>8.98</v>
      </c>
      <c r="G4318" s="209">
        <v>23.64</v>
      </c>
      <c r="H4318" s="198"/>
    </row>
    <row r="4319" spans="1:8" ht="15.75" hidden="1" customHeight="1" x14ac:dyDescent="0.25">
      <c r="A4319" s="205" t="s">
        <v>4915</v>
      </c>
      <c r="B4319" s="206">
        <v>89752</v>
      </c>
      <c r="C4319" s="207" t="s">
        <v>4976</v>
      </c>
      <c r="D4319" s="208" t="s">
        <v>580</v>
      </c>
      <c r="E4319" s="209">
        <v>5</v>
      </c>
      <c r="F4319" s="209">
        <v>4.09</v>
      </c>
      <c r="G4319" s="209">
        <v>9.09</v>
      </c>
      <c r="H4319" s="198"/>
    </row>
    <row r="4320" spans="1:8" ht="15.75" hidden="1" customHeight="1" x14ac:dyDescent="0.25">
      <c r="A4320" s="205" t="s">
        <v>4915</v>
      </c>
      <c r="B4320" s="206">
        <v>89813</v>
      </c>
      <c r="C4320" s="207" t="s">
        <v>4977</v>
      </c>
      <c r="D4320" s="208" t="s">
        <v>580</v>
      </c>
      <c r="E4320" s="209">
        <v>5.04</v>
      </c>
      <c r="F4320" s="209">
        <v>1.1000000000000001</v>
      </c>
      <c r="G4320" s="209">
        <v>6.14</v>
      </c>
      <c r="H4320" s="198"/>
    </row>
    <row r="4321" spans="1:8" ht="15.75" hidden="1" customHeight="1" x14ac:dyDescent="0.25">
      <c r="A4321" s="205" t="s">
        <v>4915</v>
      </c>
      <c r="B4321" s="206">
        <v>89753</v>
      </c>
      <c r="C4321" s="207" t="s">
        <v>4978</v>
      </c>
      <c r="D4321" s="208" t="s">
        <v>580</v>
      </c>
      <c r="E4321" s="209">
        <v>6.3</v>
      </c>
      <c r="F4321" s="209">
        <v>4.46</v>
      </c>
      <c r="G4321" s="209">
        <v>10.76</v>
      </c>
      <c r="H4321" s="198"/>
    </row>
    <row r="4322" spans="1:8" ht="15.75" hidden="1" customHeight="1" x14ac:dyDescent="0.25">
      <c r="A4322" s="205" t="s">
        <v>4915</v>
      </c>
      <c r="B4322" s="206">
        <v>89817</v>
      </c>
      <c r="C4322" s="207" t="s">
        <v>4979</v>
      </c>
      <c r="D4322" s="208" t="s">
        <v>580</v>
      </c>
      <c r="E4322" s="209">
        <v>11.39</v>
      </c>
      <c r="F4322" s="209">
        <v>4.0599999999999996</v>
      </c>
      <c r="G4322" s="209">
        <v>15.45</v>
      </c>
      <c r="H4322" s="198"/>
    </row>
    <row r="4323" spans="1:8" ht="15.75" hidden="1" customHeight="1" x14ac:dyDescent="0.25">
      <c r="A4323" s="205" t="s">
        <v>4915</v>
      </c>
      <c r="B4323" s="206">
        <v>89774</v>
      </c>
      <c r="C4323" s="207" t="s">
        <v>4980</v>
      </c>
      <c r="D4323" s="208" t="s">
        <v>580</v>
      </c>
      <c r="E4323" s="209">
        <v>11.86</v>
      </c>
      <c r="F4323" s="209">
        <v>5.35</v>
      </c>
      <c r="G4323" s="209">
        <v>17.21</v>
      </c>
      <c r="H4323" s="198"/>
    </row>
    <row r="4324" spans="1:8" ht="15.75" hidden="1" customHeight="1" x14ac:dyDescent="0.25">
      <c r="A4324" s="205" t="s">
        <v>4915</v>
      </c>
      <c r="B4324" s="206">
        <v>95693</v>
      </c>
      <c r="C4324" s="207" t="s">
        <v>4981</v>
      </c>
      <c r="D4324" s="208" t="s">
        <v>580</v>
      </c>
      <c r="E4324" s="209">
        <v>42.24</v>
      </c>
      <c r="F4324" s="209">
        <v>11.66</v>
      </c>
      <c r="G4324" s="209">
        <v>53.9</v>
      </c>
      <c r="H4324" s="198"/>
    </row>
    <row r="4325" spans="1:8" ht="15.75" hidden="1" customHeight="1" x14ac:dyDescent="0.25">
      <c r="A4325" s="205" t="s">
        <v>4915</v>
      </c>
      <c r="B4325" s="206">
        <v>89833</v>
      </c>
      <c r="C4325" s="207" t="s">
        <v>4982</v>
      </c>
      <c r="D4325" s="208" t="s">
        <v>580</v>
      </c>
      <c r="E4325" s="209">
        <v>33.68</v>
      </c>
      <c r="F4325" s="209">
        <v>14.07</v>
      </c>
      <c r="G4325" s="209">
        <v>47.75</v>
      </c>
      <c r="H4325" s="198"/>
    </row>
    <row r="4326" spans="1:8" ht="15.75" hidden="1" customHeight="1" x14ac:dyDescent="0.25">
      <c r="A4326" s="205" t="s">
        <v>4915</v>
      </c>
      <c r="B4326" s="206">
        <v>89796</v>
      </c>
      <c r="C4326" s="207" t="s">
        <v>4983</v>
      </c>
      <c r="D4326" s="208" t="s">
        <v>580</v>
      </c>
      <c r="E4326" s="209">
        <v>33.119999999999997</v>
      </c>
      <c r="F4326" s="209">
        <v>12.47</v>
      </c>
      <c r="G4326" s="209">
        <v>45.59</v>
      </c>
      <c r="H4326" s="198"/>
    </row>
    <row r="4327" spans="1:8" ht="15.75" hidden="1" customHeight="1" x14ac:dyDescent="0.25">
      <c r="A4327" s="205" t="s">
        <v>4915</v>
      </c>
      <c r="B4327" s="206">
        <v>89860</v>
      </c>
      <c r="C4327" s="207" t="s">
        <v>4984</v>
      </c>
      <c r="D4327" s="208" t="s">
        <v>580</v>
      </c>
      <c r="E4327" s="209">
        <v>35.08</v>
      </c>
      <c r="F4327" s="209">
        <v>17.96</v>
      </c>
      <c r="G4327" s="209">
        <v>53.04</v>
      </c>
      <c r="H4327" s="198"/>
    </row>
    <row r="4328" spans="1:8" ht="15.75" hidden="1" customHeight="1" x14ac:dyDescent="0.25">
      <c r="A4328" s="205" t="s">
        <v>4915</v>
      </c>
      <c r="B4328" s="206">
        <v>89782</v>
      </c>
      <c r="C4328" s="207" t="s">
        <v>4985</v>
      </c>
      <c r="D4328" s="208" t="s">
        <v>580</v>
      </c>
      <c r="E4328" s="209">
        <v>9.4700000000000006</v>
      </c>
      <c r="F4328" s="209">
        <v>8.2200000000000006</v>
      </c>
      <c r="G4328" s="209">
        <v>17.690000000000001</v>
      </c>
      <c r="H4328" s="198"/>
    </row>
    <row r="4329" spans="1:8" ht="15.75" hidden="1" customHeight="1" x14ac:dyDescent="0.25">
      <c r="A4329" s="205" t="s">
        <v>4915</v>
      </c>
      <c r="B4329" s="206">
        <v>89825</v>
      </c>
      <c r="C4329" s="207" t="s">
        <v>4986</v>
      </c>
      <c r="D4329" s="208" t="s">
        <v>580</v>
      </c>
      <c r="E4329" s="209">
        <v>14.85</v>
      </c>
      <c r="F4329" s="209">
        <v>2.2000000000000002</v>
      </c>
      <c r="G4329" s="209">
        <v>17.05</v>
      </c>
      <c r="H4329" s="198"/>
    </row>
    <row r="4330" spans="1:8" ht="15.75" hidden="1" customHeight="1" x14ac:dyDescent="0.25">
      <c r="A4330" s="205" t="s">
        <v>4915</v>
      </c>
      <c r="B4330" s="206">
        <v>89784</v>
      </c>
      <c r="C4330" s="207" t="s">
        <v>4987</v>
      </c>
      <c r="D4330" s="208" t="s">
        <v>580</v>
      </c>
      <c r="E4330" s="209">
        <v>17.23</v>
      </c>
      <c r="F4330" s="209">
        <v>8.93</v>
      </c>
      <c r="G4330" s="209">
        <v>26.16</v>
      </c>
      <c r="H4330" s="198"/>
    </row>
    <row r="4331" spans="1:8" ht="15.75" hidden="1" customHeight="1" x14ac:dyDescent="0.25">
      <c r="A4331" s="205" t="s">
        <v>4915</v>
      </c>
      <c r="B4331" s="206">
        <v>89829</v>
      </c>
      <c r="C4331" s="207" t="s">
        <v>4988</v>
      </c>
      <c r="D4331" s="208" t="s">
        <v>580</v>
      </c>
      <c r="E4331" s="209">
        <v>28.97</v>
      </c>
      <c r="F4331" s="209">
        <v>8.1300000000000008</v>
      </c>
      <c r="G4331" s="209">
        <v>37.1</v>
      </c>
      <c r="H4331" s="198"/>
    </row>
    <row r="4332" spans="1:8" ht="15.75" hidden="1" customHeight="1" x14ac:dyDescent="0.25">
      <c r="A4332" s="205" t="s">
        <v>4915</v>
      </c>
      <c r="B4332" s="206">
        <v>89786</v>
      </c>
      <c r="C4332" s="207" t="s">
        <v>4989</v>
      </c>
      <c r="D4332" s="208" t="s">
        <v>580</v>
      </c>
      <c r="E4332" s="209">
        <v>29.87</v>
      </c>
      <c r="F4332" s="209">
        <v>10.69</v>
      </c>
      <c r="G4332" s="209">
        <v>40.56</v>
      </c>
      <c r="H4332" s="198"/>
    </row>
    <row r="4333" spans="1:8" ht="15.75" hidden="1" customHeight="1" x14ac:dyDescent="0.25">
      <c r="A4333" s="205" t="s">
        <v>4915</v>
      </c>
      <c r="B4333" s="206">
        <v>104352</v>
      </c>
      <c r="C4333" s="207" t="s">
        <v>4990</v>
      </c>
      <c r="D4333" s="208" t="s">
        <v>580</v>
      </c>
      <c r="E4333" s="209">
        <v>31.11</v>
      </c>
      <c r="F4333" s="209">
        <v>10.119999999999999</v>
      </c>
      <c r="G4333" s="209">
        <v>41.23</v>
      </c>
      <c r="H4333" s="198"/>
    </row>
    <row r="4334" spans="1:8" ht="15.75" hidden="1" customHeight="1" x14ac:dyDescent="0.25">
      <c r="A4334" s="205" t="s">
        <v>4915</v>
      </c>
      <c r="B4334" s="206">
        <v>104344</v>
      </c>
      <c r="C4334" s="207" t="s">
        <v>4991</v>
      </c>
      <c r="D4334" s="208" t="s">
        <v>580</v>
      </c>
      <c r="E4334" s="209">
        <v>31.51</v>
      </c>
      <c r="F4334" s="209">
        <v>11.3</v>
      </c>
      <c r="G4334" s="209">
        <v>42.81</v>
      </c>
      <c r="H4334" s="198"/>
    </row>
    <row r="4335" spans="1:8" ht="15.75" hidden="1" customHeight="1" x14ac:dyDescent="0.25">
      <c r="A4335" s="205" t="s">
        <v>4915</v>
      </c>
      <c r="B4335" s="206">
        <v>104354</v>
      </c>
      <c r="C4335" s="207" t="s">
        <v>4992</v>
      </c>
      <c r="D4335" s="208" t="s">
        <v>580</v>
      </c>
      <c r="E4335" s="209">
        <v>35.33</v>
      </c>
      <c r="F4335" s="209">
        <v>12.08</v>
      </c>
      <c r="G4335" s="209">
        <v>47.41</v>
      </c>
      <c r="H4335" s="198"/>
    </row>
    <row r="4336" spans="1:8" ht="15.75" hidden="1" customHeight="1" x14ac:dyDescent="0.25">
      <c r="A4336" s="205" t="s">
        <v>4915</v>
      </c>
      <c r="B4336" s="206">
        <v>104346</v>
      </c>
      <c r="C4336" s="207" t="s">
        <v>4993</v>
      </c>
      <c r="D4336" s="208" t="s">
        <v>580</v>
      </c>
      <c r="E4336" s="209">
        <v>35.25</v>
      </c>
      <c r="F4336" s="209">
        <v>11.87</v>
      </c>
      <c r="G4336" s="209">
        <v>47.12</v>
      </c>
      <c r="H4336" s="198"/>
    </row>
    <row r="4337" spans="1:8" ht="15.75" hidden="1" customHeight="1" x14ac:dyDescent="0.25">
      <c r="A4337" s="205" t="s">
        <v>4915</v>
      </c>
      <c r="B4337" s="206">
        <v>104356</v>
      </c>
      <c r="C4337" s="207" t="s">
        <v>4994</v>
      </c>
      <c r="D4337" s="208" t="s">
        <v>580</v>
      </c>
      <c r="E4337" s="209">
        <v>27.55</v>
      </c>
      <c r="F4337" s="209">
        <v>3.5</v>
      </c>
      <c r="G4337" s="209">
        <v>31.05</v>
      </c>
      <c r="H4337" s="198"/>
    </row>
    <row r="4338" spans="1:8" ht="15.75" hidden="1" customHeight="1" x14ac:dyDescent="0.25">
      <c r="A4338" s="205" t="s">
        <v>4915</v>
      </c>
      <c r="B4338" s="206">
        <v>104348</v>
      </c>
      <c r="C4338" s="207" t="s">
        <v>4995</v>
      </c>
      <c r="D4338" s="208" t="s">
        <v>580</v>
      </c>
      <c r="E4338" s="209">
        <v>10.45</v>
      </c>
      <c r="F4338" s="209">
        <v>0.55000000000000004</v>
      </c>
      <c r="G4338" s="209">
        <v>11</v>
      </c>
      <c r="H4338" s="198"/>
    </row>
    <row r="4339" spans="1:8" ht="15.75" hidden="1" customHeight="1" x14ac:dyDescent="0.25">
      <c r="A4339" s="205" t="s">
        <v>4915</v>
      </c>
      <c r="B4339" s="206">
        <v>104351</v>
      </c>
      <c r="C4339" s="207" t="s">
        <v>4996</v>
      </c>
      <c r="D4339" s="208" t="s">
        <v>580</v>
      </c>
      <c r="E4339" s="209">
        <v>21.1</v>
      </c>
      <c r="F4339" s="209">
        <v>2.0299999999999998</v>
      </c>
      <c r="G4339" s="209">
        <v>23.13</v>
      </c>
      <c r="H4339" s="198"/>
    </row>
    <row r="4340" spans="1:8" ht="15.75" hidden="1" customHeight="1" x14ac:dyDescent="0.25">
      <c r="A4340" s="205" t="s">
        <v>4915</v>
      </c>
      <c r="B4340" s="206">
        <v>89800</v>
      </c>
      <c r="C4340" s="207" t="s">
        <v>4997</v>
      </c>
      <c r="D4340" s="208" t="s">
        <v>585</v>
      </c>
      <c r="E4340" s="209">
        <v>19.72</v>
      </c>
      <c r="F4340" s="209">
        <v>12.78</v>
      </c>
      <c r="G4340" s="209">
        <v>32.5</v>
      </c>
      <c r="H4340" s="198"/>
    </row>
    <row r="4341" spans="1:8" ht="15.75" hidden="1" customHeight="1" x14ac:dyDescent="0.25">
      <c r="A4341" s="205" t="s">
        <v>4915</v>
      </c>
      <c r="B4341" s="206">
        <v>89714</v>
      </c>
      <c r="C4341" s="207" t="s">
        <v>4998</v>
      </c>
      <c r="D4341" s="208" t="s">
        <v>585</v>
      </c>
      <c r="E4341" s="209">
        <v>22.87</v>
      </c>
      <c r="F4341" s="209">
        <v>21.59</v>
      </c>
      <c r="G4341" s="209">
        <v>44.46</v>
      </c>
      <c r="H4341" s="198"/>
    </row>
    <row r="4342" spans="1:8" ht="15.75" hidden="1" customHeight="1" x14ac:dyDescent="0.25">
      <c r="A4342" s="205" t="s">
        <v>4915</v>
      </c>
      <c r="B4342" s="206">
        <v>89848</v>
      </c>
      <c r="C4342" s="207" t="s">
        <v>4999</v>
      </c>
      <c r="D4342" s="208" t="s">
        <v>585</v>
      </c>
      <c r="E4342" s="209">
        <v>19.309999999999999</v>
      </c>
      <c r="F4342" s="209">
        <v>11.64</v>
      </c>
      <c r="G4342" s="209">
        <v>30.95</v>
      </c>
      <c r="H4342" s="198"/>
    </row>
    <row r="4343" spans="1:8" ht="15.75" hidden="1" customHeight="1" x14ac:dyDescent="0.25">
      <c r="A4343" s="205" t="s">
        <v>4915</v>
      </c>
      <c r="B4343" s="206">
        <v>89849</v>
      </c>
      <c r="C4343" s="207" t="s">
        <v>5000</v>
      </c>
      <c r="D4343" s="208" t="s">
        <v>585</v>
      </c>
      <c r="E4343" s="209">
        <v>45.03</v>
      </c>
      <c r="F4343" s="209">
        <v>15.13</v>
      </c>
      <c r="G4343" s="209">
        <v>60.16</v>
      </c>
      <c r="H4343" s="198"/>
    </row>
    <row r="4344" spans="1:8" ht="15.75" hidden="1" customHeight="1" x14ac:dyDescent="0.25">
      <c r="A4344" s="205" t="s">
        <v>4915</v>
      </c>
      <c r="B4344" s="206">
        <v>89711</v>
      </c>
      <c r="C4344" s="207" t="s">
        <v>5001</v>
      </c>
      <c r="D4344" s="208" t="s">
        <v>585</v>
      </c>
      <c r="E4344" s="209">
        <v>11.71</v>
      </c>
      <c r="F4344" s="209">
        <v>14.23</v>
      </c>
      <c r="G4344" s="209">
        <v>25.94</v>
      </c>
      <c r="H4344" s="198"/>
    </row>
    <row r="4345" spans="1:8" ht="15.75" hidden="1" customHeight="1" x14ac:dyDescent="0.25">
      <c r="A4345" s="205" t="s">
        <v>4915</v>
      </c>
      <c r="B4345" s="206">
        <v>89798</v>
      </c>
      <c r="C4345" s="207" t="s">
        <v>5002</v>
      </c>
      <c r="D4345" s="208" t="s">
        <v>585</v>
      </c>
      <c r="E4345" s="209">
        <v>11.7</v>
      </c>
      <c r="F4345" s="209">
        <v>2</v>
      </c>
      <c r="G4345" s="209">
        <v>13.7</v>
      </c>
      <c r="H4345" s="198"/>
    </row>
    <row r="4346" spans="1:8" ht="15.75" hidden="1" customHeight="1" x14ac:dyDescent="0.25">
      <c r="A4346" s="205" t="s">
        <v>4915</v>
      </c>
      <c r="B4346" s="206">
        <v>89712</v>
      </c>
      <c r="C4346" s="207" t="s">
        <v>5003</v>
      </c>
      <c r="D4346" s="208" t="s">
        <v>585</v>
      </c>
      <c r="E4346" s="209">
        <v>16.45</v>
      </c>
      <c r="F4346" s="209">
        <v>15.46</v>
      </c>
      <c r="G4346" s="209">
        <v>31.91</v>
      </c>
      <c r="H4346" s="198"/>
    </row>
    <row r="4347" spans="1:8" ht="15.75" hidden="1" customHeight="1" x14ac:dyDescent="0.25">
      <c r="A4347" s="205" t="s">
        <v>4915</v>
      </c>
      <c r="B4347" s="206">
        <v>89799</v>
      </c>
      <c r="C4347" s="207" t="s">
        <v>5004</v>
      </c>
      <c r="D4347" s="208" t="s">
        <v>585</v>
      </c>
      <c r="E4347" s="209">
        <v>16.989999999999998</v>
      </c>
      <c r="F4347" s="209">
        <v>7.39</v>
      </c>
      <c r="G4347" s="209">
        <v>24.38</v>
      </c>
      <c r="H4347" s="198"/>
    </row>
    <row r="4348" spans="1:8" ht="15.75" hidden="1" customHeight="1" x14ac:dyDescent="0.25">
      <c r="A4348" s="205" t="s">
        <v>4915</v>
      </c>
      <c r="B4348" s="206">
        <v>89713</v>
      </c>
      <c r="C4348" s="207" t="s">
        <v>5005</v>
      </c>
      <c r="D4348" s="208" t="s">
        <v>585</v>
      </c>
      <c r="E4348" s="209">
        <v>20.96</v>
      </c>
      <c r="F4348" s="209">
        <v>18.54</v>
      </c>
      <c r="G4348" s="209">
        <v>39.5</v>
      </c>
      <c r="H4348" s="198"/>
    </row>
    <row r="4349" spans="1:8" ht="15.75" hidden="1" customHeight="1" x14ac:dyDescent="0.25">
      <c r="A4349" s="205" t="s">
        <v>5006</v>
      </c>
      <c r="B4349" s="206">
        <v>89376</v>
      </c>
      <c r="C4349" s="207" t="s">
        <v>5007</v>
      </c>
      <c r="D4349" s="208" t="s">
        <v>580</v>
      </c>
      <c r="E4349" s="209">
        <v>2.97</v>
      </c>
      <c r="F4349" s="209">
        <v>3.9</v>
      </c>
      <c r="G4349" s="209">
        <v>6.87</v>
      </c>
      <c r="H4349" s="198"/>
    </row>
    <row r="4350" spans="1:8" ht="15.75" hidden="1" customHeight="1" x14ac:dyDescent="0.25">
      <c r="A4350" s="205" t="s">
        <v>5006</v>
      </c>
      <c r="B4350" s="206">
        <v>89429</v>
      </c>
      <c r="C4350" s="207" t="s">
        <v>5008</v>
      </c>
      <c r="D4350" s="208" t="s">
        <v>580</v>
      </c>
      <c r="E4350" s="209">
        <v>3.28</v>
      </c>
      <c r="F4350" s="209">
        <v>4.08</v>
      </c>
      <c r="G4350" s="209">
        <v>7.36</v>
      </c>
      <c r="H4350" s="198"/>
    </row>
    <row r="4351" spans="1:8" ht="15.75" hidden="1" customHeight="1" x14ac:dyDescent="0.25">
      <c r="A4351" s="205" t="s">
        <v>5006</v>
      </c>
      <c r="B4351" s="206">
        <v>89383</v>
      </c>
      <c r="C4351" s="207" t="s">
        <v>5009</v>
      </c>
      <c r="D4351" s="208" t="s">
        <v>580</v>
      </c>
      <c r="E4351" s="209">
        <v>3.45</v>
      </c>
      <c r="F4351" s="209">
        <v>4.58</v>
      </c>
      <c r="G4351" s="209">
        <v>8.0299999999999994</v>
      </c>
      <c r="H4351" s="198"/>
    </row>
    <row r="4352" spans="1:8" ht="15.75" hidden="1" customHeight="1" x14ac:dyDescent="0.25">
      <c r="A4352" s="205" t="s">
        <v>5006</v>
      </c>
      <c r="B4352" s="206">
        <v>89553</v>
      </c>
      <c r="C4352" s="207" t="s">
        <v>5010</v>
      </c>
      <c r="D4352" s="208" t="s">
        <v>580</v>
      </c>
      <c r="E4352" s="209">
        <v>3.82</v>
      </c>
      <c r="F4352" s="209">
        <v>2.54</v>
      </c>
      <c r="G4352" s="209">
        <v>6.36</v>
      </c>
      <c r="H4352" s="198"/>
    </row>
    <row r="4353" spans="1:8" ht="15.75" hidden="1" customHeight="1" x14ac:dyDescent="0.25">
      <c r="A4353" s="205" t="s">
        <v>5006</v>
      </c>
      <c r="B4353" s="206">
        <v>89436</v>
      </c>
      <c r="C4353" s="207" t="s">
        <v>5011</v>
      </c>
      <c r="D4353" s="208" t="s">
        <v>580</v>
      </c>
      <c r="E4353" s="209">
        <v>4.68</v>
      </c>
      <c r="F4353" s="209">
        <v>4.82</v>
      </c>
      <c r="G4353" s="209">
        <v>9.5</v>
      </c>
      <c r="H4353" s="198"/>
    </row>
    <row r="4354" spans="1:8" ht="15.75" hidden="1" customHeight="1" x14ac:dyDescent="0.25">
      <c r="A4354" s="205" t="s">
        <v>5006</v>
      </c>
      <c r="B4354" s="206">
        <v>89391</v>
      </c>
      <c r="C4354" s="207" t="s">
        <v>5012</v>
      </c>
      <c r="D4354" s="208" t="s">
        <v>580</v>
      </c>
      <c r="E4354" s="209">
        <v>4.9000000000000004</v>
      </c>
      <c r="F4354" s="209">
        <v>5.38</v>
      </c>
      <c r="G4354" s="209">
        <v>10.28</v>
      </c>
      <c r="H4354" s="198"/>
    </row>
    <row r="4355" spans="1:8" ht="15.75" hidden="1" customHeight="1" x14ac:dyDescent="0.25">
      <c r="A4355" s="205" t="s">
        <v>5006</v>
      </c>
      <c r="B4355" s="206">
        <v>89570</v>
      </c>
      <c r="C4355" s="207" t="s">
        <v>5013</v>
      </c>
      <c r="D4355" s="208" t="s">
        <v>580</v>
      </c>
      <c r="E4355" s="209">
        <v>8.24</v>
      </c>
      <c r="F4355" s="209">
        <v>3.18</v>
      </c>
      <c r="G4355" s="209">
        <v>11.42</v>
      </c>
      <c r="H4355" s="198"/>
    </row>
    <row r="4356" spans="1:8" ht="15.75" hidden="1" customHeight="1" x14ac:dyDescent="0.25">
      <c r="A4356" s="205" t="s">
        <v>5006</v>
      </c>
      <c r="B4356" s="206">
        <v>103994</v>
      </c>
      <c r="C4356" s="207" t="s">
        <v>5014</v>
      </c>
      <c r="D4356" s="208" t="s">
        <v>580</v>
      </c>
      <c r="E4356" s="209">
        <v>9.35</v>
      </c>
      <c r="F4356" s="209">
        <v>5.61</v>
      </c>
      <c r="G4356" s="209">
        <v>14.96</v>
      </c>
      <c r="H4356" s="198"/>
    </row>
    <row r="4357" spans="1:8" ht="15.75" hidden="1" customHeight="1" x14ac:dyDescent="0.25">
      <c r="A4357" s="205" t="s">
        <v>5006</v>
      </c>
      <c r="B4357" s="206">
        <v>89572</v>
      </c>
      <c r="C4357" s="207" t="s">
        <v>5015</v>
      </c>
      <c r="D4357" s="208" t="s">
        <v>580</v>
      </c>
      <c r="E4357" s="209">
        <v>6.06</v>
      </c>
      <c r="F4357" s="209">
        <v>3.07</v>
      </c>
      <c r="G4357" s="209">
        <v>9.1300000000000008</v>
      </c>
      <c r="H4357" s="198"/>
    </row>
    <row r="4358" spans="1:8" ht="15.75" hidden="1" customHeight="1" x14ac:dyDescent="0.25">
      <c r="A4358" s="205" t="s">
        <v>5006</v>
      </c>
      <c r="B4358" s="206">
        <v>103992</v>
      </c>
      <c r="C4358" s="207" t="s">
        <v>5016</v>
      </c>
      <c r="D4358" s="208" t="s">
        <v>580</v>
      </c>
      <c r="E4358" s="209">
        <v>7.05</v>
      </c>
      <c r="F4358" s="209">
        <v>5.73</v>
      </c>
      <c r="G4358" s="209">
        <v>12.78</v>
      </c>
      <c r="H4358" s="198"/>
    </row>
    <row r="4359" spans="1:8" ht="15.75" hidden="1" customHeight="1" x14ac:dyDescent="0.25">
      <c r="A4359" s="205" t="s">
        <v>5006</v>
      </c>
      <c r="B4359" s="206">
        <v>89596</v>
      </c>
      <c r="C4359" s="207" t="s">
        <v>5017</v>
      </c>
      <c r="D4359" s="208" t="s">
        <v>580</v>
      </c>
      <c r="E4359" s="209">
        <v>7.39</v>
      </c>
      <c r="F4359" s="209">
        <v>3.56</v>
      </c>
      <c r="G4359" s="209">
        <v>10.95</v>
      </c>
      <c r="H4359" s="198"/>
    </row>
    <row r="4360" spans="1:8" ht="15.75" hidden="1" customHeight="1" x14ac:dyDescent="0.25">
      <c r="A4360" s="205" t="s">
        <v>5006</v>
      </c>
      <c r="B4360" s="206">
        <v>104001</v>
      </c>
      <c r="C4360" s="207" t="s">
        <v>5018</v>
      </c>
      <c r="D4360" s="208" t="s">
        <v>580</v>
      </c>
      <c r="E4360" s="209">
        <v>8.7200000000000006</v>
      </c>
      <c r="F4360" s="209">
        <v>6.51</v>
      </c>
      <c r="G4360" s="209">
        <v>15.23</v>
      </c>
      <c r="H4360" s="198"/>
    </row>
    <row r="4361" spans="1:8" ht="15.75" hidden="1" customHeight="1" x14ac:dyDescent="0.25">
      <c r="A4361" s="205" t="s">
        <v>5006</v>
      </c>
      <c r="B4361" s="206">
        <v>89595</v>
      </c>
      <c r="C4361" s="207" t="s">
        <v>5019</v>
      </c>
      <c r="D4361" s="208" t="s">
        <v>580</v>
      </c>
      <c r="E4361" s="209">
        <v>10.67</v>
      </c>
      <c r="F4361" s="209">
        <v>3.46</v>
      </c>
      <c r="G4361" s="209">
        <v>14.13</v>
      </c>
      <c r="H4361" s="198"/>
    </row>
    <row r="4362" spans="1:8" ht="15.75" hidden="1" customHeight="1" x14ac:dyDescent="0.25">
      <c r="A4362" s="205" t="s">
        <v>5006</v>
      </c>
      <c r="B4362" s="206">
        <v>104002</v>
      </c>
      <c r="C4362" s="207" t="s">
        <v>5020</v>
      </c>
      <c r="D4362" s="208" t="s">
        <v>580</v>
      </c>
      <c r="E4362" s="209">
        <v>11.76</v>
      </c>
      <c r="F4362" s="209">
        <v>6.34</v>
      </c>
      <c r="G4362" s="209">
        <v>18.100000000000001</v>
      </c>
      <c r="H4362" s="198"/>
    </row>
    <row r="4363" spans="1:8" ht="15.75" hidden="1" customHeight="1" x14ac:dyDescent="0.25">
      <c r="A4363" s="205" t="s">
        <v>5006</v>
      </c>
      <c r="B4363" s="206">
        <v>89610</v>
      </c>
      <c r="C4363" s="207" t="s">
        <v>5021</v>
      </c>
      <c r="D4363" s="208" t="s">
        <v>580</v>
      </c>
      <c r="E4363" s="209">
        <v>14.61</v>
      </c>
      <c r="F4363" s="209">
        <v>4.47</v>
      </c>
      <c r="G4363" s="209">
        <v>19.079999999999998</v>
      </c>
      <c r="H4363" s="198"/>
    </row>
    <row r="4364" spans="1:8" ht="15.75" hidden="1" customHeight="1" x14ac:dyDescent="0.25">
      <c r="A4364" s="205" t="s">
        <v>5006</v>
      </c>
      <c r="B4364" s="206">
        <v>89613</v>
      </c>
      <c r="C4364" s="207" t="s">
        <v>5022</v>
      </c>
      <c r="D4364" s="208" t="s">
        <v>580</v>
      </c>
      <c r="E4364" s="209">
        <v>23.42</v>
      </c>
      <c r="F4364" s="209">
        <v>5.39</v>
      </c>
      <c r="G4364" s="209">
        <v>28.81</v>
      </c>
      <c r="H4364" s="198"/>
    </row>
    <row r="4365" spans="1:8" ht="15.75" hidden="1" customHeight="1" x14ac:dyDescent="0.25">
      <c r="A4365" s="205" t="s">
        <v>5006</v>
      </c>
      <c r="B4365" s="206">
        <v>89616</v>
      </c>
      <c r="C4365" s="207" t="s">
        <v>5023</v>
      </c>
      <c r="D4365" s="208" t="s">
        <v>580</v>
      </c>
      <c r="E4365" s="209">
        <v>31.74</v>
      </c>
      <c r="F4365" s="209">
        <v>6.32</v>
      </c>
      <c r="G4365" s="209">
        <v>38.06</v>
      </c>
      <c r="H4365" s="198"/>
    </row>
    <row r="4366" spans="1:8" ht="15.75" hidden="1" customHeight="1" x14ac:dyDescent="0.25">
      <c r="A4366" s="205" t="s">
        <v>5006</v>
      </c>
      <c r="B4366" s="206">
        <v>103967</v>
      </c>
      <c r="C4366" s="207" t="s">
        <v>5024</v>
      </c>
      <c r="D4366" s="208" t="s">
        <v>580</v>
      </c>
      <c r="E4366" s="209">
        <v>8.39</v>
      </c>
      <c r="F4366" s="209">
        <v>3.46</v>
      </c>
      <c r="G4366" s="209">
        <v>11.85</v>
      </c>
      <c r="H4366" s="198"/>
    </row>
    <row r="4367" spans="1:8" ht="15.75" hidden="1" customHeight="1" x14ac:dyDescent="0.25">
      <c r="A4367" s="205" t="s">
        <v>5006</v>
      </c>
      <c r="B4367" s="206">
        <v>104003</v>
      </c>
      <c r="C4367" s="207" t="s">
        <v>5025</v>
      </c>
      <c r="D4367" s="208" t="s">
        <v>580</v>
      </c>
      <c r="E4367" s="209">
        <v>9.48</v>
      </c>
      <c r="F4367" s="209">
        <v>6.34</v>
      </c>
      <c r="G4367" s="209">
        <v>15.82</v>
      </c>
      <c r="H4367" s="198"/>
    </row>
    <row r="4368" spans="1:8" ht="15.75" hidden="1" customHeight="1" x14ac:dyDescent="0.25">
      <c r="A4368" s="205" t="s">
        <v>5006</v>
      </c>
      <c r="B4368" s="206">
        <v>103952</v>
      </c>
      <c r="C4368" s="207" t="s">
        <v>5026</v>
      </c>
      <c r="D4368" s="208" t="s">
        <v>580</v>
      </c>
      <c r="E4368" s="209">
        <v>3.03</v>
      </c>
      <c r="F4368" s="209">
        <v>4.08</v>
      </c>
      <c r="G4368" s="209">
        <v>7.11</v>
      </c>
      <c r="H4368" s="198"/>
    </row>
    <row r="4369" spans="1:8" ht="15.75" hidden="1" customHeight="1" x14ac:dyDescent="0.25">
      <c r="A4369" s="205" t="s">
        <v>5006</v>
      </c>
      <c r="B4369" s="206">
        <v>103947</v>
      </c>
      <c r="C4369" s="207" t="s">
        <v>5027</v>
      </c>
      <c r="D4369" s="208" t="s">
        <v>580</v>
      </c>
      <c r="E4369" s="209">
        <v>3.2</v>
      </c>
      <c r="F4369" s="209">
        <v>4.58</v>
      </c>
      <c r="G4369" s="209">
        <v>7.78</v>
      </c>
      <c r="H4369" s="198"/>
    </row>
    <row r="4370" spans="1:8" ht="15.75" hidden="1" customHeight="1" x14ac:dyDescent="0.25">
      <c r="A4370" s="205" t="s">
        <v>5006</v>
      </c>
      <c r="B4370" s="206">
        <v>103957</v>
      </c>
      <c r="C4370" s="207" t="s">
        <v>5028</v>
      </c>
      <c r="D4370" s="208" t="s">
        <v>580</v>
      </c>
      <c r="E4370" s="209">
        <v>3.11</v>
      </c>
      <c r="F4370" s="209">
        <v>2.54</v>
      </c>
      <c r="G4370" s="209">
        <v>5.65</v>
      </c>
      <c r="H4370" s="198"/>
    </row>
    <row r="4371" spans="1:8" ht="15.75" hidden="1" customHeight="1" x14ac:dyDescent="0.25">
      <c r="A4371" s="205" t="s">
        <v>5006</v>
      </c>
      <c r="B4371" s="206">
        <v>103953</v>
      </c>
      <c r="C4371" s="207" t="s">
        <v>5029</v>
      </c>
      <c r="D4371" s="208" t="s">
        <v>580</v>
      </c>
      <c r="E4371" s="209">
        <v>3.97</v>
      </c>
      <c r="F4371" s="209">
        <v>4.82</v>
      </c>
      <c r="G4371" s="209">
        <v>8.7899999999999991</v>
      </c>
      <c r="H4371" s="198"/>
    </row>
    <row r="4372" spans="1:8" ht="15.75" hidden="1" customHeight="1" x14ac:dyDescent="0.25">
      <c r="A4372" s="205" t="s">
        <v>5006</v>
      </c>
      <c r="B4372" s="206">
        <v>103948</v>
      </c>
      <c r="C4372" s="207" t="s">
        <v>5030</v>
      </c>
      <c r="D4372" s="208" t="s">
        <v>580</v>
      </c>
      <c r="E4372" s="209">
        <v>4.1900000000000004</v>
      </c>
      <c r="F4372" s="209">
        <v>5.38</v>
      </c>
      <c r="G4372" s="209">
        <v>9.57</v>
      </c>
      <c r="H4372" s="198"/>
    </row>
    <row r="4373" spans="1:8" ht="15.75" hidden="1" customHeight="1" x14ac:dyDescent="0.25">
      <c r="A4373" s="205" t="s">
        <v>5006</v>
      </c>
      <c r="B4373" s="206">
        <v>103958</v>
      </c>
      <c r="C4373" s="207" t="s">
        <v>5031</v>
      </c>
      <c r="D4373" s="208" t="s">
        <v>580</v>
      </c>
      <c r="E4373" s="209">
        <v>6.98</v>
      </c>
      <c r="F4373" s="209">
        <v>3.74</v>
      </c>
      <c r="G4373" s="209">
        <v>10.72</v>
      </c>
      <c r="H4373" s="198"/>
    </row>
    <row r="4374" spans="1:8" ht="15.75" hidden="1" customHeight="1" x14ac:dyDescent="0.25">
      <c r="A4374" s="205" t="s">
        <v>5006</v>
      </c>
      <c r="B4374" s="206">
        <v>104009</v>
      </c>
      <c r="C4374" s="207" t="s">
        <v>5032</v>
      </c>
      <c r="D4374" s="208" t="s">
        <v>580</v>
      </c>
      <c r="E4374" s="209">
        <v>8.14</v>
      </c>
      <c r="F4374" s="209">
        <v>6.82</v>
      </c>
      <c r="G4374" s="209">
        <v>14.96</v>
      </c>
      <c r="H4374" s="198"/>
    </row>
    <row r="4375" spans="1:8" ht="15.75" hidden="1" customHeight="1" x14ac:dyDescent="0.25">
      <c r="A4375" s="205" t="s">
        <v>5006</v>
      </c>
      <c r="B4375" s="206">
        <v>103959</v>
      </c>
      <c r="C4375" s="207" t="s">
        <v>5033</v>
      </c>
      <c r="D4375" s="208" t="s">
        <v>580</v>
      </c>
      <c r="E4375" s="209">
        <v>10.94</v>
      </c>
      <c r="F4375" s="209">
        <v>4.47</v>
      </c>
      <c r="G4375" s="209">
        <v>15.41</v>
      </c>
      <c r="H4375" s="198"/>
    </row>
    <row r="4376" spans="1:8" ht="15.75" hidden="1" customHeight="1" x14ac:dyDescent="0.25">
      <c r="A4376" s="205" t="s">
        <v>5006</v>
      </c>
      <c r="B4376" s="206">
        <v>103962</v>
      </c>
      <c r="C4376" s="207" t="s">
        <v>5034</v>
      </c>
      <c r="D4376" s="208" t="s">
        <v>580</v>
      </c>
      <c r="E4376" s="209">
        <v>4.45</v>
      </c>
      <c r="F4376" s="209">
        <v>2.29</v>
      </c>
      <c r="G4376" s="209">
        <v>6.74</v>
      </c>
      <c r="H4376" s="198"/>
    </row>
    <row r="4377" spans="1:8" ht="15.75" hidden="1" customHeight="1" x14ac:dyDescent="0.25">
      <c r="A4377" s="205" t="s">
        <v>5006</v>
      </c>
      <c r="B4377" s="206">
        <v>103954</v>
      </c>
      <c r="C4377" s="207" t="s">
        <v>5035</v>
      </c>
      <c r="D4377" s="208" t="s">
        <v>580</v>
      </c>
      <c r="E4377" s="209">
        <v>5.26</v>
      </c>
      <c r="F4377" s="209">
        <v>4.51</v>
      </c>
      <c r="G4377" s="209">
        <v>9.77</v>
      </c>
      <c r="H4377" s="198"/>
    </row>
    <row r="4378" spans="1:8" ht="15.75" hidden="1" customHeight="1" x14ac:dyDescent="0.25">
      <c r="A4378" s="205" t="s">
        <v>5006</v>
      </c>
      <c r="B4378" s="206">
        <v>103949</v>
      </c>
      <c r="C4378" s="207" t="s">
        <v>5036</v>
      </c>
      <c r="D4378" s="208" t="s">
        <v>580</v>
      </c>
      <c r="E4378" s="209">
        <v>5.46</v>
      </c>
      <c r="F4378" s="209">
        <v>5.05</v>
      </c>
      <c r="G4378" s="209">
        <v>10.51</v>
      </c>
      <c r="H4378" s="198"/>
    </row>
    <row r="4379" spans="1:8" ht="15.75" hidden="1" customHeight="1" x14ac:dyDescent="0.25">
      <c r="A4379" s="205" t="s">
        <v>5006</v>
      </c>
      <c r="B4379" s="206">
        <v>103964</v>
      </c>
      <c r="C4379" s="207" t="s">
        <v>5037</v>
      </c>
      <c r="D4379" s="208" t="s">
        <v>580</v>
      </c>
      <c r="E4379" s="209">
        <v>5.7</v>
      </c>
      <c r="F4379" s="209">
        <v>2.82</v>
      </c>
      <c r="G4379" s="209">
        <v>8.52</v>
      </c>
      <c r="H4379" s="198"/>
    </row>
    <row r="4380" spans="1:8" ht="15.75" hidden="1" customHeight="1" x14ac:dyDescent="0.25">
      <c r="A4380" s="205" t="s">
        <v>5006</v>
      </c>
      <c r="B4380" s="206">
        <v>104014</v>
      </c>
      <c r="C4380" s="207" t="s">
        <v>5038</v>
      </c>
      <c r="D4380" s="208" t="s">
        <v>580</v>
      </c>
      <c r="E4380" s="209">
        <v>6.64</v>
      </c>
      <c r="F4380" s="209">
        <v>5.3</v>
      </c>
      <c r="G4380" s="209">
        <v>11.94</v>
      </c>
      <c r="H4380" s="198"/>
    </row>
    <row r="4381" spans="1:8" ht="15.75" hidden="1" customHeight="1" x14ac:dyDescent="0.25">
      <c r="A4381" s="205" t="s">
        <v>5006</v>
      </c>
      <c r="B4381" s="206">
        <v>103966</v>
      </c>
      <c r="C4381" s="207" t="s">
        <v>5039</v>
      </c>
      <c r="D4381" s="208" t="s">
        <v>580</v>
      </c>
      <c r="E4381" s="209">
        <v>6.86</v>
      </c>
      <c r="F4381" s="209">
        <v>3.18</v>
      </c>
      <c r="G4381" s="209">
        <v>10.039999999999999</v>
      </c>
      <c r="H4381" s="198"/>
    </row>
    <row r="4382" spans="1:8" ht="15.75" hidden="1" customHeight="1" x14ac:dyDescent="0.25">
      <c r="A4382" s="205" t="s">
        <v>5006</v>
      </c>
      <c r="B4382" s="206">
        <v>103999</v>
      </c>
      <c r="C4382" s="207" t="s">
        <v>5040</v>
      </c>
      <c r="D4382" s="208" t="s">
        <v>580</v>
      </c>
      <c r="E4382" s="209">
        <v>7.87</v>
      </c>
      <c r="F4382" s="209">
        <v>5.91</v>
      </c>
      <c r="G4382" s="209">
        <v>13.78</v>
      </c>
      <c r="H4382" s="198"/>
    </row>
    <row r="4383" spans="1:8" ht="15.75" hidden="1" customHeight="1" x14ac:dyDescent="0.25">
      <c r="A4383" s="205" t="s">
        <v>5006</v>
      </c>
      <c r="B4383" s="206">
        <v>103968</v>
      </c>
      <c r="C4383" s="207" t="s">
        <v>5041</v>
      </c>
      <c r="D4383" s="208" t="s">
        <v>580</v>
      </c>
      <c r="E4383" s="209">
        <v>12.49</v>
      </c>
      <c r="F4383" s="209">
        <v>3.56</v>
      </c>
      <c r="G4383" s="209">
        <v>16.05</v>
      </c>
      <c r="H4383" s="198"/>
    </row>
    <row r="4384" spans="1:8" ht="15.75" hidden="1" customHeight="1" x14ac:dyDescent="0.25">
      <c r="A4384" s="205" t="s">
        <v>5006</v>
      </c>
      <c r="B4384" s="206">
        <v>103969</v>
      </c>
      <c r="C4384" s="207" t="s">
        <v>5042</v>
      </c>
      <c r="D4384" s="208" t="s">
        <v>580</v>
      </c>
      <c r="E4384" s="209">
        <v>14.89</v>
      </c>
      <c r="F4384" s="209">
        <v>3.82</v>
      </c>
      <c r="G4384" s="209">
        <v>18.71</v>
      </c>
      <c r="H4384" s="198"/>
    </row>
    <row r="4385" spans="1:8" ht="15.75" hidden="1" customHeight="1" x14ac:dyDescent="0.25">
      <c r="A4385" s="205" t="s">
        <v>5006</v>
      </c>
      <c r="B4385" s="206">
        <v>103971</v>
      </c>
      <c r="C4385" s="207" t="s">
        <v>5043</v>
      </c>
      <c r="D4385" s="208" t="s">
        <v>580</v>
      </c>
      <c r="E4385" s="209">
        <v>19.100000000000001</v>
      </c>
      <c r="F4385" s="209">
        <v>4.4800000000000004</v>
      </c>
      <c r="G4385" s="209">
        <v>23.58</v>
      </c>
      <c r="H4385" s="198"/>
    </row>
    <row r="4386" spans="1:8" ht="15.75" hidden="1" customHeight="1" x14ac:dyDescent="0.25">
      <c r="A4386" s="205" t="s">
        <v>5006</v>
      </c>
      <c r="B4386" s="206">
        <v>103972</v>
      </c>
      <c r="C4386" s="207" t="s">
        <v>5044</v>
      </c>
      <c r="D4386" s="208" t="s">
        <v>580</v>
      </c>
      <c r="E4386" s="209">
        <v>22.3</v>
      </c>
      <c r="F4386" s="209">
        <v>5.0199999999999996</v>
      </c>
      <c r="G4386" s="209">
        <v>27.32</v>
      </c>
      <c r="H4386" s="198"/>
    </row>
    <row r="4387" spans="1:8" ht="15.75" hidden="1" customHeight="1" x14ac:dyDescent="0.25">
      <c r="A4387" s="205" t="s">
        <v>5006</v>
      </c>
      <c r="B4387" s="206">
        <v>103993</v>
      </c>
      <c r="C4387" s="207" t="s">
        <v>5045</v>
      </c>
      <c r="D4387" s="208" t="s">
        <v>580</v>
      </c>
      <c r="E4387" s="209">
        <v>5.69</v>
      </c>
      <c r="F4387" s="209">
        <v>5.74</v>
      </c>
      <c r="G4387" s="209">
        <v>11.43</v>
      </c>
      <c r="H4387" s="198"/>
    </row>
    <row r="4388" spans="1:8" ht="15.75" hidden="1" customHeight="1" x14ac:dyDescent="0.25">
      <c r="A4388" s="205" t="s">
        <v>5006</v>
      </c>
      <c r="B4388" s="206">
        <v>89407</v>
      </c>
      <c r="C4388" s="207" t="s">
        <v>5046</v>
      </c>
      <c r="D4388" s="208" t="s">
        <v>580</v>
      </c>
      <c r="E4388" s="209">
        <v>4.76</v>
      </c>
      <c r="F4388" s="209">
        <v>5.68</v>
      </c>
      <c r="G4388" s="209">
        <v>10.44</v>
      </c>
      <c r="H4388" s="198"/>
    </row>
    <row r="4389" spans="1:8" ht="15.75" hidden="1" customHeight="1" x14ac:dyDescent="0.25">
      <c r="A4389" s="205" t="s">
        <v>5006</v>
      </c>
      <c r="B4389" s="206">
        <v>89361</v>
      </c>
      <c r="C4389" s="207" t="s">
        <v>5047</v>
      </c>
      <c r="D4389" s="208" t="s">
        <v>580</v>
      </c>
      <c r="E4389" s="209">
        <v>5</v>
      </c>
      <c r="F4389" s="209">
        <v>6.36</v>
      </c>
      <c r="G4389" s="209">
        <v>11.36</v>
      </c>
      <c r="H4389" s="198"/>
    </row>
    <row r="4390" spans="1:8" ht="15.75" hidden="1" customHeight="1" x14ac:dyDescent="0.25">
      <c r="A4390" s="205" t="s">
        <v>5006</v>
      </c>
      <c r="B4390" s="206">
        <v>89490</v>
      </c>
      <c r="C4390" s="207" t="s">
        <v>5048</v>
      </c>
      <c r="D4390" s="208" t="s">
        <v>580</v>
      </c>
      <c r="E4390" s="209">
        <v>4.49</v>
      </c>
      <c r="F4390" s="209">
        <v>3.42</v>
      </c>
      <c r="G4390" s="209">
        <v>7.91</v>
      </c>
      <c r="H4390" s="198"/>
    </row>
    <row r="4391" spans="1:8" ht="15.75" hidden="1" customHeight="1" x14ac:dyDescent="0.25">
      <c r="A4391" s="205" t="s">
        <v>5006</v>
      </c>
      <c r="B4391" s="206">
        <v>89411</v>
      </c>
      <c r="C4391" s="207" t="s">
        <v>5049</v>
      </c>
      <c r="D4391" s="208" t="s">
        <v>580</v>
      </c>
      <c r="E4391" s="209">
        <v>5.65</v>
      </c>
      <c r="F4391" s="209">
        <v>6.6</v>
      </c>
      <c r="G4391" s="209">
        <v>12.25</v>
      </c>
      <c r="H4391" s="198"/>
    </row>
    <row r="4392" spans="1:8" ht="15.75" hidden="1" customHeight="1" x14ac:dyDescent="0.25">
      <c r="A4392" s="205" t="s">
        <v>5006</v>
      </c>
      <c r="B4392" s="206">
        <v>89365</v>
      </c>
      <c r="C4392" s="207" t="s">
        <v>5050</v>
      </c>
      <c r="D4392" s="208" t="s">
        <v>580</v>
      </c>
      <c r="E4392" s="209">
        <v>5.93</v>
      </c>
      <c r="F4392" s="209">
        <v>7.38</v>
      </c>
      <c r="G4392" s="209">
        <v>13.31</v>
      </c>
      <c r="H4392" s="198"/>
    </row>
    <row r="4393" spans="1:8" ht="15.75" hidden="1" customHeight="1" x14ac:dyDescent="0.25">
      <c r="A4393" s="205" t="s">
        <v>5006</v>
      </c>
      <c r="B4393" s="206">
        <v>89496</v>
      </c>
      <c r="C4393" s="207" t="s">
        <v>5051</v>
      </c>
      <c r="D4393" s="208" t="s">
        <v>580</v>
      </c>
      <c r="E4393" s="209">
        <v>6.88</v>
      </c>
      <c r="F4393" s="209">
        <v>4.16</v>
      </c>
      <c r="G4393" s="209">
        <v>11.04</v>
      </c>
      <c r="H4393" s="198"/>
    </row>
    <row r="4394" spans="1:8" ht="15.75" hidden="1" customHeight="1" x14ac:dyDescent="0.25">
      <c r="A4394" s="205" t="s">
        <v>5006</v>
      </c>
      <c r="B4394" s="206">
        <v>89416</v>
      </c>
      <c r="C4394" s="207" t="s">
        <v>5052</v>
      </c>
      <c r="D4394" s="208" t="s">
        <v>580</v>
      </c>
      <c r="E4394" s="209">
        <v>8.25</v>
      </c>
      <c r="F4394" s="209">
        <v>7.86</v>
      </c>
      <c r="G4394" s="209">
        <v>16.11</v>
      </c>
      <c r="H4394" s="198"/>
    </row>
    <row r="4395" spans="1:8" ht="15.75" hidden="1" customHeight="1" x14ac:dyDescent="0.25">
      <c r="A4395" s="205" t="s">
        <v>5006</v>
      </c>
      <c r="B4395" s="206">
        <v>89370</v>
      </c>
      <c r="C4395" s="207" t="s">
        <v>5053</v>
      </c>
      <c r="D4395" s="208" t="s">
        <v>580</v>
      </c>
      <c r="E4395" s="209">
        <v>8.58</v>
      </c>
      <c r="F4395" s="209">
        <v>8.8000000000000007</v>
      </c>
      <c r="G4395" s="209">
        <v>17.38</v>
      </c>
      <c r="H4395" s="198"/>
    </row>
    <row r="4396" spans="1:8" ht="15.75" hidden="1" customHeight="1" x14ac:dyDescent="0.25">
      <c r="A4396" s="205" t="s">
        <v>5006</v>
      </c>
      <c r="B4396" s="206">
        <v>89500</v>
      </c>
      <c r="C4396" s="207" t="s">
        <v>5054</v>
      </c>
      <c r="D4396" s="208" t="s">
        <v>580</v>
      </c>
      <c r="E4396" s="209">
        <v>8.4499999999999993</v>
      </c>
      <c r="F4396" s="209">
        <v>5.08</v>
      </c>
      <c r="G4396" s="209">
        <v>13.53</v>
      </c>
      <c r="H4396" s="198"/>
    </row>
    <row r="4397" spans="1:8" ht="15.75" hidden="1" customHeight="1" x14ac:dyDescent="0.25">
      <c r="A4397" s="205" t="s">
        <v>5006</v>
      </c>
      <c r="B4397" s="206">
        <v>103983</v>
      </c>
      <c r="C4397" s="207" t="s">
        <v>5055</v>
      </c>
      <c r="D4397" s="208" t="s">
        <v>580</v>
      </c>
      <c r="E4397" s="209">
        <v>10.01</v>
      </c>
      <c r="F4397" s="209">
        <v>9.32</v>
      </c>
      <c r="G4397" s="209">
        <v>19.329999999999998</v>
      </c>
      <c r="H4397" s="198"/>
    </row>
    <row r="4398" spans="1:8" ht="15.75" hidden="1" customHeight="1" x14ac:dyDescent="0.25">
      <c r="A4398" s="205" t="s">
        <v>5006</v>
      </c>
      <c r="B4398" s="206">
        <v>89504</v>
      </c>
      <c r="C4398" s="207" t="s">
        <v>5056</v>
      </c>
      <c r="D4398" s="208" t="s">
        <v>580</v>
      </c>
      <c r="E4398" s="209">
        <v>13.08</v>
      </c>
      <c r="F4398" s="209">
        <v>6.17</v>
      </c>
      <c r="G4398" s="209">
        <v>19.25</v>
      </c>
      <c r="H4398" s="198"/>
    </row>
    <row r="4399" spans="1:8" ht="15.75" hidden="1" customHeight="1" x14ac:dyDescent="0.25">
      <c r="A4399" s="205" t="s">
        <v>5006</v>
      </c>
      <c r="B4399" s="206">
        <v>103987</v>
      </c>
      <c r="C4399" s="207" t="s">
        <v>5057</v>
      </c>
      <c r="D4399" s="208" t="s">
        <v>580</v>
      </c>
      <c r="E4399" s="209">
        <v>14.92</v>
      </c>
      <c r="F4399" s="209">
        <v>11.14</v>
      </c>
      <c r="G4399" s="209">
        <v>26.06</v>
      </c>
      <c r="H4399" s="198"/>
    </row>
    <row r="4400" spans="1:8" ht="15.75" hidden="1" customHeight="1" x14ac:dyDescent="0.25">
      <c r="A4400" s="205" t="s">
        <v>5006</v>
      </c>
      <c r="B4400" s="206">
        <v>89510</v>
      </c>
      <c r="C4400" s="207" t="s">
        <v>5058</v>
      </c>
      <c r="D4400" s="208" t="s">
        <v>580</v>
      </c>
      <c r="E4400" s="209">
        <v>19.329999999999998</v>
      </c>
      <c r="F4400" s="209">
        <v>7.3</v>
      </c>
      <c r="G4400" s="209">
        <v>26.63</v>
      </c>
      <c r="H4400" s="198"/>
    </row>
    <row r="4401" spans="1:8" ht="15.75" hidden="1" customHeight="1" x14ac:dyDescent="0.25">
      <c r="A4401" s="205" t="s">
        <v>5006</v>
      </c>
      <c r="B4401" s="206">
        <v>89519</v>
      </c>
      <c r="C4401" s="207" t="s">
        <v>5059</v>
      </c>
      <c r="D4401" s="208" t="s">
        <v>580</v>
      </c>
      <c r="E4401" s="209">
        <v>35.42</v>
      </c>
      <c r="F4401" s="209">
        <v>8.9700000000000006</v>
      </c>
      <c r="G4401" s="209">
        <v>44.39</v>
      </c>
      <c r="H4401" s="198"/>
    </row>
    <row r="4402" spans="1:8" ht="15.75" hidden="1" customHeight="1" x14ac:dyDescent="0.25">
      <c r="A4402" s="205" t="s">
        <v>5006</v>
      </c>
      <c r="B4402" s="206">
        <v>89527</v>
      </c>
      <c r="C4402" s="207" t="s">
        <v>5060</v>
      </c>
      <c r="D4402" s="208" t="s">
        <v>580</v>
      </c>
      <c r="E4402" s="209">
        <v>43.12</v>
      </c>
      <c r="F4402" s="209">
        <v>10.050000000000001</v>
      </c>
      <c r="G4402" s="209">
        <v>53.17</v>
      </c>
      <c r="H4402" s="198"/>
    </row>
    <row r="4403" spans="1:8" ht="15.75" hidden="1" customHeight="1" x14ac:dyDescent="0.25">
      <c r="A4403" s="205" t="s">
        <v>5006</v>
      </c>
      <c r="B4403" s="206">
        <v>89406</v>
      </c>
      <c r="C4403" s="207" t="s">
        <v>5061</v>
      </c>
      <c r="D4403" s="208" t="s">
        <v>580</v>
      </c>
      <c r="E4403" s="209">
        <v>4.6900000000000004</v>
      </c>
      <c r="F4403" s="209">
        <v>5.69</v>
      </c>
      <c r="G4403" s="209">
        <v>10.38</v>
      </c>
      <c r="H4403" s="198"/>
    </row>
    <row r="4404" spans="1:8" ht="15.75" hidden="1" customHeight="1" x14ac:dyDescent="0.25">
      <c r="A4404" s="205" t="s">
        <v>5006</v>
      </c>
      <c r="B4404" s="206">
        <v>89360</v>
      </c>
      <c r="C4404" s="207" t="s">
        <v>5062</v>
      </c>
      <c r="D4404" s="208" t="s">
        <v>580</v>
      </c>
      <c r="E4404" s="209">
        <v>4.9400000000000004</v>
      </c>
      <c r="F4404" s="209">
        <v>6.36</v>
      </c>
      <c r="G4404" s="209">
        <v>11.3</v>
      </c>
      <c r="H4404" s="198"/>
    </row>
    <row r="4405" spans="1:8" ht="15.75" hidden="1" customHeight="1" x14ac:dyDescent="0.25">
      <c r="A4405" s="205" t="s">
        <v>5006</v>
      </c>
      <c r="B4405" s="206">
        <v>89489</v>
      </c>
      <c r="C4405" s="207" t="s">
        <v>5063</v>
      </c>
      <c r="D4405" s="208" t="s">
        <v>580</v>
      </c>
      <c r="E4405" s="209">
        <v>4.93</v>
      </c>
      <c r="F4405" s="209">
        <v>3.42</v>
      </c>
      <c r="G4405" s="209">
        <v>8.35</v>
      </c>
      <c r="H4405" s="198"/>
    </row>
    <row r="4406" spans="1:8" ht="15.75" hidden="1" customHeight="1" x14ac:dyDescent="0.25">
      <c r="A4406" s="205" t="s">
        <v>5006</v>
      </c>
      <c r="B4406" s="206">
        <v>89410</v>
      </c>
      <c r="C4406" s="207" t="s">
        <v>5064</v>
      </c>
      <c r="D4406" s="208" t="s">
        <v>580</v>
      </c>
      <c r="E4406" s="209">
        <v>6.09</v>
      </c>
      <c r="F4406" s="209">
        <v>6.6</v>
      </c>
      <c r="G4406" s="209">
        <v>12.69</v>
      </c>
      <c r="H4406" s="198"/>
    </row>
    <row r="4407" spans="1:8" ht="15.75" hidden="1" customHeight="1" x14ac:dyDescent="0.25">
      <c r="A4407" s="205" t="s">
        <v>5006</v>
      </c>
      <c r="B4407" s="206">
        <v>89364</v>
      </c>
      <c r="C4407" s="207" t="s">
        <v>5065</v>
      </c>
      <c r="D4407" s="208" t="s">
        <v>580</v>
      </c>
      <c r="E4407" s="209">
        <v>6.38</v>
      </c>
      <c r="F4407" s="209">
        <v>7.37</v>
      </c>
      <c r="G4407" s="209">
        <v>13.75</v>
      </c>
      <c r="H4407" s="198"/>
    </row>
    <row r="4408" spans="1:8" ht="15.75" hidden="1" customHeight="1" x14ac:dyDescent="0.25">
      <c r="A4408" s="205" t="s">
        <v>5006</v>
      </c>
      <c r="B4408" s="206">
        <v>89494</v>
      </c>
      <c r="C4408" s="207" t="s">
        <v>5066</v>
      </c>
      <c r="D4408" s="208" t="s">
        <v>580</v>
      </c>
      <c r="E4408" s="209">
        <v>8.56</v>
      </c>
      <c r="F4408" s="209">
        <v>4.16</v>
      </c>
      <c r="G4408" s="209">
        <v>12.72</v>
      </c>
      <c r="H4408" s="198"/>
    </row>
    <row r="4409" spans="1:8" ht="15.75" hidden="1" customHeight="1" x14ac:dyDescent="0.25">
      <c r="A4409" s="205" t="s">
        <v>5006</v>
      </c>
      <c r="B4409" s="206">
        <v>89415</v>
      </c>
      <c r="C4409" s="207" t="s">
        <v>5067</v>
      </c>
      <c r="D4409" s="208" t="s">
        <v>580</v>
      </c>
      <c r="E4409" s="209">
        <v>9.92</v>
      </c>
      <c r="F4409" s="209">
        <v>7.87</v>
      </c>
      <c r="G4409" s="209">
        <v>17.79</v>
      </c>
      <c r="H4409" s="198"/>
    </row>
    <row r="4410" spans="1:8" ht="15.75" hidden="1" customHeight="1" x14ac:dyDescent="0.25">
      <c r="A4410" s="205" t="s">
        <v>5006</v>
      </c>
      <c r="B4410" s="206">
        <v>89369</v>
      </c>
      <c r="C4410" s="207" t="s">
        <v>5068</v>
      </c>
      <c r="D4410" s="208" t="s">
        <v>580</v>
      </c>
      <c r="E4410" s="209">
        <v>10.26</v>
      </c>
      <c r="F4410" s="209">
        <v>8.8000000000000007</v>
      </c>
      <c r="G4410" s="209">
        <v>19.059999999999999</v>
      </c>
      <c r="H4410" s="198"/>
    </row>
    <row r="4411" spans="1:8" ht="15.75" hidden="1" customHeight="1" x14ac:dyDescent="0.25">
      <c r="A4411" s="205" t="s">
        <v>5006</v>
      </c>
      <c r="B4411" s="206">
        <v>89499</v>
      </c>
      <c r="C4411" s="207" t="s">
        <v>5069</v>
      </c>
      <c r="D4411" s="208" t="s">
        <v>580</v>
      </c>
      <c r="E4411" s="209">
        <v>14.02</v>
      </c>
      <c r="F4411" s="209">
        <v>5.07</v>
      </c>
      <c r="G4411" s="209">
        <v>19.09</v>
      </c>
      <c r="H4411" s="198"/>
    </row>
    <row r="4412" spans="1:8" ht="15.75" hidden="1" customHeight="1" x14ac:dyDescent="0.25">
      <c r="A4412" s="205" t="s">
        <v>5006</v>
      </c>
      <c r="B4412" s="206">
        <v>103982</v>
      </c>
      <c r="C4412" s="207" t="s">
        <v>5070</v>
      </c>
      <c r="D4412" s="208" t="s">
        <v>580</v>
      </c>
      <c r="E4412" s="209">
        <v>15.58</v>
      </c>
      <c r="F4412" s="209">
        <v>9.31</v>
      </c>
      <c r="G4412" s="209">
        <v>24.89</v>
      </c>
      <c r="H4412" s="198"/>
    </row>
    <row r="4413" spans="1:8" ht="15.75" hidden="1" customHeight="1" x14ac:dyDescent="0.25">
      <c r="A4413" s="205" t="s">
        <v>5006</v>
      </c>
      <c r="B4413" s="206">
        <v>89503</v>
      </c>
      <c r="C4413" s="207" t="s">
        <v>5071</v>
      </c>
      <c r="D4413" s="208" t="s">
        <v>580</v>
      </c>
      <c r="E4413" s="209">
        <v>16.260000000000002</v>
      </c>
      <c r="F4413" s="209">
        <v>6.17</v>
      </c>
      <c r="G4413" s="209">
        <v>22.43</v>
      </c>
      <c r="H4413" s="198"/>
    </row>
    <row r="4414" spans="1:8" ht="15.75" hidden="1" customHeight="1" x14ac:dyDescent="0.25">
      <c r="A4414" s="205" t="s">
        <v>5006</v>
      </c>
      <c r="B4414" s="206">
        <v>103986</v>
      </c>
      <c r="C4414" s="207" t="s">
        <v>5072</v>
      </c>
      <c r="D4414" s="208" t="s">
        <v>580</v>
      </c>
      <c r="E4414" s="209">
        <v>18.100000000000001</v>
      </c>
      <c r="F4414" s="209">
        <v>11.14</v>
      </c>
      <c r="G4414" s="209">
        <v>29.24</v>
      </c>
      <c r="H4414" s="198"/>
    </row>
    <row r="4415" spans="1:8" ht="15.75" hidden="1" customHeight="1" x14ac:dyDescent="0.25">
      <c r="A4415" s="205" t="s">
        <v>5006</v>
      </c>
      <c r="B4415" s="206">
        <v>89507</v>
      </c>
      <c r="C4415" s="207" t="s">
        <v>5073</v>
      </c>
      <c r="D4415" s="208" t="s">
        <v>580</v>
      </c>
      <c r="E4415" s="209">
        <v>35.44</v>
      </c>
      <c r="F4415" s="209">
        <v>7.31</v>
      </c>
      <c r="G4415" s="209">
        <v>42.75</v>
      </c>
      <c r="H4415" s="198"/>
    </row>
    <row r="4416" spans="1:8" ht="15.75" hidden="1" customHeight="1" x14ac:dyDescent="0.25">
      <c r="A4416" s="205" t="s">
        <v>5006</v>
      </c>
      <c r="B4416" s="206">
        <v>89517</v>
      </c>
      <c r="C4416" s="207" t="s">
        <v>5074</v>
      </c>
      <c r="D4416" s="208" t="s">
        <v>580</v>
      </c>
      <c r="E4416" s="209">
        <v>53.46</v>
      </c>
      <c r="F4416" s="209">
        <v>8.9600000000000009</v>
      </c>
      <c r="G4416" s="209">
        <v>62.42</v>
      </c>
      <c r="H4416" s="198"/>
    </row>
    <row r="4417" spans="1:8" ht="15.75" hidden="1" customHeight="1" x14ac:dyDescent="0.25">
      <c r="A4417" s="205" t="s">
        <v>5006</v>
      </c>
      <c r="B4417" s="206">
        <v>89525</v>
      </c>
      <c r="C4417" s="207" t="s">
        <v>5075</v>
      </c>
      <c r="D4417" s="208" t="s">
        <v>580</v>
      </c>
      <c r="E4417" s="209">
        <v>67.790000000000006</v>
      </c>
      <c r="F4417" s="209">
        <v>10.050000000000001</v>
      </c>
      <c r="G4417" s="209">
        <v>77.84</v>
      </c>
      <c r="H4417" s="198"/>
    </row>
    <row r="4418" spans="1:8" ht="15.75" hidden="1" customHeight="1" x14ac:dyDescent="0.25">
      <c r="A4418" s="205" t="s">
        <v>5006</v>
      </c>
      <c r="B4418" s="206">
        <v>89423</v>
      </c>
      <c r="C4418" s="207" t="s">
        <v>5076</v>
      </c>
      <c r="D4418" s="208" t="s">
        <v>580</v>
      </c>
      <c r="E4418" s="209">
        <v>6.39</v>
      </c>
      <c r="F4418" s="209">
        <v>3.79</v>
      </c>
      <c r="G4418" s="209">
        <v>10.18</v>
      </c>
      <c r="H4418" s="198"/>
    </row>
    <row r="4419" spans="1:8" ht="15.75" hidden="1" customHeight="1" x14ac:dyDescent="0.25">
      <c r="A4419" s="205" t="s">
        <v>5006</v>
      </c>
      <c r="B4419" s="206">
        <v>89377</v>
      </c>
      <c r="C4419" s="207" t="s">
        <v>5077</v>
      </c>
      <c r="D4419" s="208" t="s">
        <v>580</v>
      </c>
      <c r="E4419" s="209">
        <v>6.55</v>
      </c>
      <c r="F4419" s="209">
        <v>4.24</v>
      </c>
      <c r="G4419" s="209">
        <v>10.79</v>
      </c>
      <c r="H4419" s="198"/>
    </row>
    <row r="4420" spans="1:8" ht="15.75" hidden="1" customHeight="1" x14ac:dyDescent="0.25">
      <c r="A4420" s="205" t="s">
        <v>5006</v>
      </c>
      <c r="B4420" s="206">
        <v>89540</v>
      </c>
      <c r="C4420" s="207" t="s">
        <v>5078</v>
      </c>
      <c r="D4420" s="208" t="s">
        <v>580</v>
      </c>
      <c r="E4420" s="209">
        <v>7.65</v>
      </c>
      <c r="F4420" s="209">
        <v>2.27</v>
      </c>
      <c r="G4420" s="209">
        <v>9.92</v>
      </c>
      <c r="H4420" s="198"/>
    </row>
    <row r="4421" spans="1:8" ht="15.75" hidden="1" customHeight="1" x14ac:dyDescent="0.25">
      <c r="A4421" s="205" t="s">
        <v>5006</v>
      </c>
      <c r="B4421" s="206">
        <v>89430</v>
      </c>
      <c r="C4421" s="207" t="s">
        <v>5079</v>
      </c>
      <c r="D4421" s="208" t="s">
        <v>580</v>
      </c>
      <c r="E4421" s="209">
        <v>8.44</v>
      </c>
      <c r="F4421" s="209">
        <v>4.3899999999999997</v>
      </c>
      <c r="G4421" s="209">
        <v>12.83</v>
      </c>
      <c r="H4421" s="198"/>
    </row>
    <row r="4422" spans="1:8" ht="15.75" hidden="1" customHeight="1" x14ac:dyDescent="0.25">
      <c r="A4422" s="205" t="s">
        <v>5006</v>
      </c>
      <c r="B4422" s="206">
        <v>89384</v>
      </c>
      <c r="C4422" s="207" t="s">
        <v>5080</v>
      </c>
      <c r="D4422" s="208" t="s">
        <v>580</v>
      </c>
      <c r="E4422" s="209">
        <v>8.64</v>
      </c>
      <c r="F4422" s="209">
        <v>4.9000000000000004</v>
      </c>
      <c r="G4422" s="209">
        <v>13.54</v>
      </c>
      <c r="H4422" s="198"/>
    </row>
    <row r="4423" spans="1:8" ht="15.75" hidden="1" customHeight="1" x14ac:dyDescent="0.25">
      <c r="A4423" s="205" t="s">
        <v>5006</v>
      </c>
      <c r="B4423" s="206">
        <v>89555</v>
      </c>
      <c r="C4423" s="207" t="s">
        <v>5081</v>
      </c>
      <c r="D4423" s="208" t="s">
        <v>580</v>
      </c>
      <c r="E4423" s="209">
        <v>16.54</v>
      </c>
      <c r="F4423" s="209">
        <v>2.78</v>
      </c>
      <c r="G4423" s="209">
        <v>19.32</v>
      </c>
      <c r="H4423" s="198"/>
    </row>
    <row r="4424" spans="1:8" ht="15.75" hidden="1" customHeight="1" x14ac:dyDescent="0.25">
      <c r="A4424" s="205" t="s">
        <v>5006</v>
      </c>
      <c r="B4424" s="206">
        <v>89437</v>
      </c>
      <c r="C4424" s="207" t="s">
        <v>5082</v>
      </c>
      <c r="D4424" s="208" t="s">
        <v>580</v>
      </c>
      <c r="E4424" s="209">
        <v>17.46</v>
      </c>
      <c r="F4424" s="209">
        <v>5.23</v>
      </c>
      <c r="G4424" s="209">
        <v>22.69</v>
      </c>
      <c r="H4424" s="198"/>
    </row>
    <row r="4425" spans="1:8" ht="15.75" hidden="1" customHeight="1" x14ac:dyDescent="0.25">
      <c r="A4425" s="205" t="s">
        <v>5006</v>
      </c>
      <c r="B4425" s="206">
        <v>89392</v>
      </c>
      <c r="C4425" s="207" t="s">
        <v>5083</v>
      </c>
      <c r="D4425" s="208" t="s">
        <v>580</v>
      </c>
      <c r="E4425" s="209">
        <v>17.690000000000001</v>
      </c>
      <c r="F4425" s="209">
        <v>5.85</v>
      </c>
      <c r="G4425" s="209">
        <v>23.54</v>
      </c>
      <c r="H4425" s="198"/>
    </row>
    <row r="4426" spans="1:8" ht="15.75" hidden="1" customHeight="1" x14ac:dyDescent="0.25">
      <c r="A4426" s="205" t="s">
        <v>5006</v>
      </c>
      <c r="B4426" s="206">
        <v>89405</v>
      </c>
      <c r="C4426" s="207" t="s">
        <v>5084</v>
      </c>
      <c r="D4426" s="208" t="s">
        <v>580</v>
      </c>
      <c r="E4426" s="209">
        <v>3.87</v>
      </c>
      <c r="F4426" s="209">
        <v>5.68</v>
      </c>
      <c r="G4426" s="209">
        <v>9.5500000000000007</v>
      </c>
      <c r="H4426" s="198"/>
    </row>
    <row r="4427" spans="1:8" ht="15.75" hidden="1" customHeight="1" x14ac:dyDescent="0.25">
      <c r="A4427" s="205" t="s">
        <v>5006</v>
      </c>
      <c r="B4427" s="206">
        <v>89359</v>
      </c>
      <c r="C4427" s="207" t="s">
        <v>5085</v>
      </c>
      <c r="D4427" s="208" t="s">
        <v>580</v>
      </c>
      <c r="E4427" s="209">
        <v>4.1100000000000003</v>
      </c>
      <c r="F4427" s="209">
        <v>6.36</v>
      </c>
      <c r="G4427" s="209">
        <v>10.47</v>
      </c>
      <c r="H4427" s="198"/>
    </row>
    <row r="4428" spans="1:8" ht="15.75" hidden="1" customHeight="1" x14ac:dyDescent="0.25">
      <c r="A4428" s="205" t="s">
        <v>5006</v>
      </c>
      <c r="B4428" s="206">
        <v>89485</v>
      </c>
      <c r="C4428" s="207" t="s">
        <v>5086</v>
      </c>
      <c r="D4428" s="208" t="s">
        <v>580</v>
      </c>
      <c r="E4428" s="209">
        <v>3.68</v>
      </c>
      <c r="F4428" s="209">
        <v>3.42</v>
      </c>
      <c r="G4428" s="209">
        <v>7.1</v>
      </c>
      <c r="H4428" s="198"/>
    </row>
    <row r="4429" spans="1:8" ht="15.75" hidden="1" customHeight="1" x14ac:dyDescent="0.25">
      <c r="A4429" s="205" t="s">
        <v>5006</v>
      </c>
      <c r="B4429" s="206">
        <v>89409</v>
      </c>
      <c r="C4429" s="207" t="s">
        <v>5087</v>
      </c>
      <c r="D4429" s="208" t="s">
        <v>580</v>
      </c>
      <c r="E4429" s="209">
        <v>4.8499999999999996</v>
      </c>
      <c r="F4429" s="209">
        <v>6.59</v>
      </c>
      <c r="G4429" s="209">
        <v>11.44</v>
      </c>
      <c r="H4429" s="198"/>
    </row>
    <row r="4430" spans="1:8" ht="15.75" hidden="1" customHeight="1" x14ac:dyDescent="0.25">
      <c r="A4430" s="205" t="s">
        <v>5006</v>
      </c>
      <c r="B4430" s="206">
        <v>89363</v>
      </c>
      <c r="C4430" s="207" t="s">
        <v>5088</v>
      </c>
      <c r="D4430" s="208" t="s">
        <v>580</v>
      </c>
      <c r="E4430" s="209">
        <v>5.12</v>
      </c>
      <c r="F4430" s="209">
        <v>7.38</v>
      </c>
      <c r="G4430" s="209">
        <v>12.5</v>
      </c>
      <c r="H4430" s="198"/>
    </row>
    <row r="4431" spans="1:8" ht="15.75" hidden="1" customHeight="1" x14ac:dyDescent="0.25">
      <c r="A4431" s="205" t="s">
        <v>5006</v>
      </c>
      <c r="B4431" s="206">
        <v>89493</v>
      </c>
      <c r="C4431" s="207" t="s">
        <v>5089</v>
      </c>
      <c r="D4431" s="208" t="s">
        <v>580</v>
      </c>
      <c r="E4431" s="209">
        <v>6.6</v>
      </c>
      <c r="F4431" s="209">
        <v>4.17</v>
      </c>
      <c r="G4431" s="209">
        <v>10.77</v>
      </c>
      <c r="H4431" s="198"/>
    </row>
    <row r="4432" spans="1:8" ht="15.75" hidden="1" customHeight="1" x14ac:dyDescent="0.25">
      <c r="A4432" s="205" t="s">
        <v>5006</v>
      </c>
      <c r="B4432" s="206">
        <v>89414</v>
      </c>
      <c r="C4432" s="207" t="s">
        <v>5090</v>
      </c>
      <c r="D4432" s="208" t="s">
        <v>580</v>
      </c>
      <c r="E4432" s="209">
        <v>7.98</v>
      </c>
      <c r="F4432" s="209">
        <v>7.86</v>
      </c>
      <c r="G4432" s="209">
        <v>15.84</v>
      </c>
      <c r="H4432" s="198"/>
    </row>
    <row r="4433" spans="1:8" ht="15.75" hidden="1" customHeight="1" x14ac:dyDescent="0.25">
      <c r="A4433" s="205" t="s">
        <v>5006</v>
      </c>
      <c r="B4433" s="206">
        <v>89368</v>
      </c>
      <c r="C4433" s="207" t="s">
        <v>5091</v>
      </c>
      <c r="D4433" s="208" t="s">
        <v>580</v>
      </c>
      <c r="E4433" s="209">
        <v>8.31</v>
      </c>
      <c r="F4433" s="209">
        <v>8.8000000000000007</v>
      </c>
      <c r="G4433" s="209">
        <v>17.11</v>
      </c>
      <c r="H4433" s="198"/>
    </row>
    <row r="4434" spans="1:8" ht="15.75" hidden="1" customHeight="1" x14ac:dyDescent="0.25">
      <c r="A4434" s="205" t="s">
        <v>5006</v>
      </c>
      <c r="B4434" s="206">
        <v>89498</v>
      </c>
      <c r="C4434" s="207" t="s">
        <v>5092</v>
      </c>
      <c r="D4434" s="208" t="s">
        <v>580</v>
      </c>
      <c r="E4434" s="209">
        <v>8.9</v>
      </c>
      <c r="F4434" s="209">
        <v>5.08</v>
      </c>
      <c r="G4434" s="209">
        <v>13.98</v>
      </c>
      <c r="H4434" s="198"/>
    </row>
    <row r="4435" spans="1:8" ht="15.75" hidden="1" customHeight="1" x14ac:dyDescent="0.25">
      <c r="A4435" s="205" t="s">
        <v>5006</v>
      </c>
      <c r="B4435" s="206">
        <v>103981</v>
      </c>
      <c r="C4435" s="207" t="s">
        <v>5093</v>
      </c>
      <c r="D4435" s="208" t="s">
        <v>580</v>
      </c>
      <c r="E4435" s="209">
        <v>10.46</v>
      </c>
      <c r="F4435" s="209">
        <v>9.32</v>
      </c>
      <c r="G4435" s="209">
        <v>19.78</v>
      </c>
      <c r="H4435" s="198"/>
    </row>
    <row r="4436" spans="1:8" ht="15.75" hidden="1" customHeight="1" x14ac:dyDescent="0.25">
      <c r="A4436" s="205" t="s">
        <v>5006</v>
      </c>
      <c r="B4436" s="206">
        <v>89502</v>
      </c>
      <c r="C4436" s="207" t="s">
        <v>5094</v>
      </c>
      <c r="D4436" s="208" t="s">
        <v>580</v>
      </c>
      <c r="E4436" s="209">
        <v>11.57</v>
      </c>
      <c r="F4436" s="209">
        <v>6.18</v>
      </c>
      <c r="G4436" s="209">
        <v>17.75</v>
      </c>
      <c r="H4436" s="198"/>
    </row>
    <row r="4437" spans="1:8" ht="15.75" hidden="1" customHeight="1" x14ac:dyDescent="0.25">
      <c r="A4437" s="205" t="s">
        <v>5006</v>
      </c>
      <c r="B4437" s="206">
        <v>103985</v>
      </c>
      <c r="C4437" s="207" t="s">
        <v>5095</v>
      </c>
      <c r="D4437" s="208" t="s">
        <v>580</v>
      </c>
      <c r="E4437" s="209">
        <v>13.42</v>
      </c>
      <c r="F4437" s="209">
        <v>11.14</v>
      </c>
      <c r="G4437" s="209">
        <v>24.56</v>
      </c>
      <c r="H4437" s="198"/>
    </row>
    <row r="4438" spans="1:8" ht="15.75" hidden="1" customHeight="1" x14ac:dyDescent="0.25">
      <c r="A4438" s="205" t="s">
        <v>5006</v>
      </c>
      <c r="B4438" s="206">
        <v>89506</v>
      </c>
      <c r="C4438" s="207" t="s">
        <v>5096</v>
      </c>
      <c r="D4438" s="208" t="s">
        <v>580</v>
      </c>
      <c r="E4438" s="209">
        <v>29.63</v>
      </c>
      <c r="F4438" s="209">
        <v>7.31</v>
      </c>
      <c r="G4438" s="209">
        <v>36.94</v>
      </c>
      <c r="H4438" s="198"/>
    </row>
    <row r="4439" spans="1:8" ht="15.75" hidden="1" customHeight="1" x14ac:dyDescent="0.25">
      <c r="A4439" s="205" t="s">
        <v>5006</v>
      </c>
      <c r="B4439" s="206">
        <v>89515</v>
      </c>
      <c r="C4439" s="207" t="s">
        <v>5097</v>
      </c>
      <c r="D4439" s="208" t="s">
        <v>580</v>
      </c>
      <c r="E4439" s="209">
        <v>64.3</v>
      </c>
      <c r="F4439" s="209">
        <v>8.9600000000000009</v>
      </c>
      <c r="G4439" s="209">
        <v>73.260000000000005</v>
      </c>
      <c r="H4439" s="198"/>
    </row>
    <row r="4440" spans="1:8" ht="15.75" hidden="1" customHeight="1" x14ac:dyDescent="0.25">
      <c r="A4440" s="205" t="s">
        <v>5006</v>
      </c>
      <c r="B4440" s="206">
        <v>89523</v>
      </c>
      <c r="C4440" s="207" t="s">
        <v>5098</v>
      </c>
      <c r="D4440" s="208" t="s">
        <v>580</v>
      </c>
      <c r="E4440" s="209">
        <v>79.099999999999994</v>
      </c>
      <c r="F4440" s="209">
        <v>10.050000000000001</v>
      </c>
      <c r="G4440" s="209">
        <v>89.15</v>
      </c>
      <c r="H4440" s="198"/>
    </row>
    <row r="4441" spans="1:8" ht="15.75" hidden="1" customHeight="1" x14ac:dyDescent="0.25">
      <c r="A4441" s="205" t="s">
        <v>5006</v>
      </c>
      <c r="B4441" s="206">
        <v>90373</v>
      </c>
      <c r="C4441" s="207" t="s">
        <v>5099</v>
      </c>
      <c r="D4441" s="208" t="s">
        <v>580</v>
      </c>
      <c r="E4441" s="209">
        <v>7.84</v>
      </c>
      <c r="F4441" s="209">
        <v>6.37</v>
      </c>
      <c r="G4441" s="209">
        <v>14.21</v>
      </c>
      <c r="H4441" s="198"/>
    </row>
    <row r="4442" spans="1:8" ht="15.75" hidden="1" customHeight="1" x14ac:dyDescent="0.25">
      <c r="A4442" s="205" t="s">
        <v>5006</v>
      </c>
      <c r="B4442" s="206">
        <v>89366</v>
      </c>
      <c r="C4442" s="207" t="s">
        <v>5100</v>
      </c>
      <c r="D4442" s="208" t="s">
        <v>580</v>
      </c>
      <c r="E4442" s="209">
        <v>10.31</v>
      </c>
      <c r="F4442" s="209">
        <v>6.87</v>
      </c>
      <c r="G4442" s="209">
        <v>17.18</v>
      </c>
      <c r="H4442" s="198"/>
    </row>
    <row r="4443" spans="1:8" ht="15.75" hidden="1" customHeight="1" x14ac:dyDescent="0.25">
      <c r="A4443" s="205" t="s">
        <v>5006</v>
      </c>
      <c r="B4443" s="206">
        <v>89404</v>
      </c>
      <c r="C4443" s="207" t="s">
        <v>5101</v>
      </c>
      <c r="D4443" s="208" t="s">
        <v>580</v>
      </c>
      <c r="E4443" s="209">
        <v>3.41</v>
      </c>
      <c r="F4443" s="209">
        <v>5.69</v>
      </c>
      <c r="G4443" s="209">
        <v>9.1</v>
      </c>
      <c r="H4443" s="198"/>
    </row>
    <row r="4444" spans="1:8" ht="15.75" hidden="1" customHeight="1" x14ac:dyDescent="0.25">
      <c r="A4444" s="205" t="s">
        <v>5006</v>
      </c>
      <c r="B4444" s="206">
        <v>89358</v>
      </c>
      <c r="C4444" s="207" t="s">
        <v>5102</v>
      </c>
      <c r="D4444" s="208" t="s">
        <v>580</v>
      </c>
      <c r="E4444" s="209">
        <v>3.66</v>
      </c>
      <c r="F4444" s="209">
        <v>6.36</v>
      </c>
      <c r="G4444" s="209">
        <v>10.02</v>
      </c>
      <c r="H4444" s="198"/>
    </row>
    <row r="4445" spans="1:8" ht="15.75" hidden="1" customHeight="1" x14ac:dyDescent="0.25">
      <c r="A4445" s="205" t="s">
        <v>5006</v>
      </c>
      <c r="B4445" s="206">
        <v>89481</v>
      </c>
      <c r="C4445" s="207" t="s">
        <v>5103</v>
      </c>
      <c r="D4445" s="208" t="s">
        <v>580</v>
      </c>
      <c r="E4445" s="209">
        <v>3.04</v>
      </c>
      <c r="F4445" s="209">
        <v>3.41</v>
      </c>
      <c r="G4445" s="209">
        <v>6.45</v>
      </c>
      <c r="H4445" s="198"/>
    </row>
    <row r="4446" spans="1:8" ht="15.75" hidden="1" customHeight="1" x14ac:dyDescent="0.25">
      <c r="A4446" s="205" t="s">
        <v>5006</v>
      </c>
      <c r="B4446" s="206">
        <v>89408</v>
      </c>
      <c r="C4446" s="207" t="s">
        <v>5104</v>
      </c>
      <c r="D4446" s="208" t="s">
        <v>580</v>
      </c>
      <c r="E4446" s="209">
        <v>4.1900000000000004</v>
      </c>
      <c r="F4446" s="209">
        <v>6.6</v>
      </c>
      <c r="G4446" s="209">
        <v>10.79</v>
      </c>
      <c r="H4446" s="198"/>
    </row>
    <row r="4447" spans="1:8" ht="15.75" hidden="1" customHeight="1" x14ac:dyDescent="0.25">
      <c r="A4447" s="205" t="s">
        <v>5006</v>
      </c>
      <c r="B4447" s="206">
        <v>89362</v>
      </c>
      <c r="C4447" s="207" t="s">
        <v>5105</v>
      </c>
      <c r="D4447" s="208" t="s">
        <v>580</v>
      </c>
      <c r="E4447" s="209">
        <v>4.47</v>
      </c>
      <c r="F4447" s="209">
        <v>7.38</v>
      </c>
      <c r="G4447" s="209">
        <v>11.85</v>
      </c>
      <c r="H4447" s="198"/>
    </row>
    <row r="4448" spans="1:8" ht="15.75" hidden="1" customHeight="1" x14ac:dyDescent="0.25">
      <c r="A4448" s="205" t="s">
        <v>5006</v>
      </c>
      <c r="B4448" s="206">
        <v>89412</v>
      </c>
      <c r="C4448" s="207" t="s">
        <v>5106</v>
      </c>
      <c r="D4448" s="208" t="s">
        <v>580</v>
      </c>
      <c r="E4448" s="209">
        <v>5.29</v>
      </c>
      <c r="F4448" s="209">
        <v>6.14</v>
      </c>
      <c r="G4448" s="209">
        <v>11.43</v>
      </c>
      <c r="H4448" s="198"/>
    </row>
    <row r="4449" spans="1:8" ht="15.75" hidden="1" customHeight="1" x14ac:dyDescent="0.25">
      <c r="A4449" s="205" t="s">
        <v>5006</v>
      </c>
      <c r="B4449" s="206">
        <v>89492</v>
      </c>
      <c r="C4449" s="207" t="s">
        <v>5107</v>
      </c>
      <c r="D4449" s="208" t="s">
        <v>580</v>
      </c>
      <c r="E4449" s="209">
        <v>5.16</v>
      </c>
      <c r="F4449" s="209">
        <v>4.16</v>
      </c>
      <c r="G4449" s="209">
        <v>9.32</v>
      </c>
      <c r="H4449" s="198"/>
    </row>
    <row r="4450" spans="1:8" ht="15.75" hidden="1" customHeight="1" x14ac:dyDescent="0.25">
      <c r="A4450" s="205" t="s">
        <v>5006</v>
      </c>
      <c r="B4450" s="206">
        <v>89413</v>
      </c>
      <c r="C4450" s="207" t="s">
        <v>5108</v>
      </c>
      <c r="D4450" s="208" t="s">
        <v>580</v>
      </c>
      <c r="E4450" s="209">
        <v>6.53</v>
      </c>
      <c r="F4450" s="209">
        <v>7.86</v>
      </c>
      <c r="G4450" s="209">
        <v>14.39</v>
      </c>
      <c r="H4450" s="198"/>
    </row>
    <row r="4451" spans="1:8" ht="15.75" hidden="1" customHeight="1" x14ac:dyDescent="0.25">
      <c r="A4451" s="205" t="s">
        <v>5006</v>
      </c>
      <c r="B4451" s="206">
        <v>89367</v>
      </c>
      <c r="C4451" s="207" t="s">
        <v>5109</v>
      </c>
      <c r="D4451" s="208" t="s">
        <v>580</v>
      </c>
      <c r="E4451" s="209">
        <v>6.85</v>
      </c>
      <c r="F4451" s="209">
        <v>8.81</v>
      </c>
      <c r="G4451" s="209">
        <v>15.66</v>
      </c>
      <c r="H4451" s="198"/>
    </row>
    <row r="4452" spans="1:8" ht="15.75" hidden="1" customHeight="1" x14ac:dyDescent="0.25">
      <c r="A4452" s="205" t="s">
        <v>5006</v>
      </c>
      <c r="B4452" s="206">
        <v>89497</v>
      </c>
      <c r="C4452" s="207" t="s">
        <v>5110</v>
      </c>
      <c r="D4452" s="208" t="s">
        <v>580</v>
      </c>
      <c r="E4452" s="209">
        <v>8.85</v>
      </c>
      <c r="F4452" s="209">
        <v>5.08</v>
      </c>
      <c r="G4452" s="209">
        <v>13.93</v>
      </c>
      <c r="H4452" s="198"/>
    </row>
    <row r="4453" spans="1:8" ht="15.75" hidden="1" customHeight="1" x14ac:dyDescent="0.25">
      <c r="A4453" s="205" t="s">
        <v>5006</v>
      </c>
      <c r="B4453" s="206">
        <v>103980</v>
      </c>
      <c r="C4453" s="207" t="s">
        <v>5111</v>
      </c>
      <c r="D4453" s="208" t="s">
        <v>580</v>
      </c>
      <c r="E4453" s="209">
        <v>10.41</v>
      </c>
      <c r="F4453" s="209">
        <v>9.32</v>
      </c>
      <c r="G4453" s="209">
        <v>19.73</v>
      </c>
      <c r="H4453" s="198"/>
    </row>
    <row r="4454" spans="1:8" ht="15.75" hidden="1" customHeight="1" x14ac:dyDescent="0.25">
      <c r="A4454" s="205" t="s">
        <v>5006</v>
      </c>
      <c r="B4454" s="206">
        <v>89501</v>
      </c>
      <c r="C4454" s="207" t="s">
        <v>5112</v>
      </c>
      <c r="D4454" s="208" t="s">
        <v>580</v>
      </c>
      <c r="E4454" s="209">
        <v>9.4700000000000006</v>
      </c>
      <c r="F4454" s="209">
        <v>6.18</v>
      </c>
      <c r="G4454" s="209">
        <v>15.65</v>
      </c>
      <c r="H4454" s="198"/>
    </row>
    <row r="4455" spans="1:8" ht="15.75" hidden="1" customHeight="1" x14ac:dyDescent="0.25">
      <c r="A4455" s="205" t="s">
        <v>5006</v>
      </c>
      <c r="B4455" s="206">
        <v>103984</v>
      </c>
      <c r="C4455" s="207" t="s">
        <v>5113</v>
      </c>
      <c r="D4455" s="208" t="s">
        <v>580</v>
      </c>
      <c r="E4455" s="209">
        <v>11.32</v>
      </c>
      <c r="F4455" s="209">
        <v>11.14</v>
      </c>
      <c r="G4455" s="209">
        <v>22.46</v>
      </c>
      <c r="H4455" s="198"/>
    </row>
    <row r="4456" spans="1:8" ht="15.75" hidden="1" customHeight="1" x14ac:dyDescent="0.25">
      <c r="A4456" s="205" t="s">
        <v>5006</v>
      </c>
      <c r="B4456" s="206">
        <v>89505</v>
      </c>
      <c r="C4456" s="207" t="s">
        <v>5114</v>
      </c>
      <c r="D4456" s="208" t="s">
        <v>580</v>
      </c>
      <c r="E4456" s="209">
        <v>31.11</v>
      </c>
      <c r="F4456" s="209">
        <v>7.3</v>
      </c>
      <c r="G4456" s="209">
        <v>38.409999999999997</v>
      </c>
      <c r="H4456" s="198"/>
    </row>
    <row r="4457" spans="1:8" ht="15.75" hidden="1" customHeight="1" x14ac:dyDescent="0.25">
      <c r="A4457" s="205" t="s">
        <v>5006</v>
      </c>
      <c r="B4457" s="206">
        <v>89513</v>
      </c>
      <c r="C4457" s="207" t="s">
        <v>5115</v>
      </c>
      <c r="D4457" s="208" t="s">
        <v>580</v>
      </c>
      <c r="E4457" s="209">
        <v>81.28</v>
      </c>
      <c r="F4457" s="209">
        <v>8.9700000000000006</v>
      </c>
      <c r="G4457" s="209">
        <v>90.25</v>
      </c>
      <c r="H4457" s="198"/>
    </row>
    <row r="4458" spans="1:8" ht="15.75" hidden="1" customHeight="1" x14ac:dyDescent="0.25">
      <c r="A4458" s="205" t="s">
        <v>5006</v>
      </c>
      <c r="B4458" s="206">
        <v>89521</v>
      </c>
      <c r="C4458" s="207" t="s">
        <v>5116</v>
      </c>
      <c r="D4458" s="208" t="s">
        <v>580</v>
      </c>
      <c r="E4458" s="209">
        <v>97.29</v>
      </c>
      <c r="F4458" s="209">
        <v>10.050000000000001</v>
      </c>
      <c r="G4458" s="209">
        <v>107.34</v>
      </c>
      <c r="H4458" s="198"/>
    </row>
    <row r="4459" spans="1:8" ht="15.75" hidden="1" customHeight="1" x14ac:dyDescent="0.25">
      <c r="A4459" s="205" t="s">
        <v>5006</v>
      </c>
      <c r="B4459" s="206">
        <v>103955</v>
      </c>
      <c r="C4459" s="207" t="s">
        <v>5117</v>
      </c>
      <c r="D4459" s="208" t="s">
        <v>580</v>
      </c>
      <c r="E4459" s="209">
        <v>5.56</v>
      </c>
      <c r="F4459" s="209">
        <v>6.13</v>
      </c>
      <c r="G4459" s="209">
        <v>11.69</v>
      </c>
      <c r="H4459" s="198"/>
    </row>
    <row r="4460" spans="1:8" ht="15.75" hidden="1" customHeight="1" x14ac:dyDescent="0.25">
      <c r="A4460" s="205" t="s">
        <v>5006</v>
      </c>
      <c r="B4460" s="206">
        <v>103950</v>
      </c>
      <c r="C4460" s="207" t="s">
        <v>5118</v>
      </c>
      <c r="D4460" s="208" t="s">
        <v>580</v>
      </c>
      <c r="E4460" s="209">
        <v>5.82</v>
      </c>
      <c r="F4460" s="209">
        <v>6.87</v>
      </c>
      <c r="G4460" s="209">
        <v>12.69</v>
      </c>
      <c r="H4460" s="198"/>
    </row>
    <row r="4461" spans="1:8" ht="15.75" hidden="1" customHeight="1" x14ac:dyDescent="0.25">
      <c r="A4461" s="205" t="s">
        <v>5006</v>
      </c>
      <c r="B4461" s="206">
        <v>103974</v>
      </c>
      <c r="C4461" s="207" t="s">
        <v>5119</v>
      </c>
      <c r="D4461" s="208" t="s">
        <v>580</v>
      </c>
      <c r="E4461" s="209">
        <v>7.12</v>
      </c>
      <c r="F4461" s="209">
        <v>3.79</v>
      </c>
      <c r="G4461" s="209">
        <v>10.91</v>
      </c>
      <c r="H4461" s="198"/>
    </row>
    <row r="4462" spans="1:8" ht="15.75" hidden="1" customHeight="1" x14ac:dyDescent="0.25">
      <c r="A4462" s="205" t="s">
        <v>5006</v>
      </c>
      <c r="B4462" s="206">
        <v>103956</v>
      </c>
      <c r="C4462" s="207" t="s">
        <v>5120</v>
      </c>
      <c r="D4462" s="208" t="s">
        <v>580</v>
      </c>
      <c r="E4462" s="209">
        <v>8.3800000000000008</v>
      </c>
      <c r="F4462" s="209">
        <v>7.23</v>
      </c>
      <c r="G4462" s="209">
        <v>15.61</v>
      </c>
      <c r="H4462" s="198"/>
    </row>
    <row r="4463" spans="1:8" ht="15.75" hidden="1" customHeight="1" x14ac:dyDescent="0.25">
      <c r="A4463" s="205" t="s">
        <v>5006</v>
      </c>
      <c r="B4463" s="206">
        <v>103951</v>
      </c>
      <c r="C4463" s="207" t="s">
        <v>5121</v>
      </c>
      <c r="D4463" s="208" t="s">
        <v>580</v>
      </c>
      <c r="E4463" s="209">
        <v>8.7100000000000009</v>
      </c>
      <c r="F4463" s="209">
        <v>8.08</v>
      </c>
      <c r="G4463" s="209">
        <v>16.79</v>
      </c>
      <c r="H4463" s="198"/>
    </row>
    <row r="4464" spans="1:8" ht="15.75" hidden="1" customHeight="1" x14ac:dyDescent="0.25">
      <c r="A4464" s="205" t="s">
        <v>5006</v>
      </c>
      <c r="B4464" s="206">
        <v>89374</v>
      </c>
      <c r="C4464" s="207" t="s">
        <v>5122</v>
      </c>
      <c r="D4464" s="208" t="s">
        <v>580</v>
      </c>
      <c r="E4464" s="209">
        <v>6.65</v>
      </c>
      <c r="F4464" s="209">
        <v>3.89</v>
      </c>
      <c r="G4464" s="209">
        <v>10.54</v>
      </c>
      <c r="H4464" s="198"/>
    </row>
    <row r="4465" spans="1:8" ht="15.75" hidden="1" customHeight="1" x14ac:dyDescent="0.25">
      <c r="A4465" s="205" t="s">
        <v>5006</v>
      </c>
      <c r="B4465" s="206">
        <v>89427</v>
      </c>
      <c r="C4465" s="207" t="s">
        <v>5123</v>
      </c>
      <c r="D4465" s="208" t="s">
        <v>580</v>
      </c>
      <c r="E4465" s="209">
        <v>8.06</v>
      </c>
      <c r="F4465" s="209">
        <v>4.08</v>
      </c>
      <c r="G4465" s="209">
        <v>12.14</v>
      </c>
      <c r="H4465" s="198"/>
    </row>
    <row r="4466" spans="1:8" ht="15.75" hidden="1" customHeight="1" x14ac:dyDescent="0.25">
      <c r="A4466" s="205" t="s">
        <v>5006</v>
      </c>
      <c r="B4466" s="206">
        <v>89381</v>
      </c>
      <c r="C4466" s="207" t="s">
        <v>5124</v>
      </c>
      <c r="D4466" s="208" t="s">
        <v>580</v>
      </c>
      <c r="E4466" s="209">
        <v>8.24</v>
      </c>
      <c r="F4466" s="209">
        <v>4.57</v>
      </c>
      <c r="G4466" s="209">
        <v>12.81</v>
      </c>
      <c r="H4466" s="198"/>
    </row>
    <row r="4467" spans="1:8" ht="15.75" hidden="1" customHeight="1" x14ac:dyDescent="0.25">
      <c r="A4467" s="205" t="s">
        <v>5006</v>
      </c>
      <c r="B4467" s="206">
        <v>95237</v>
      </c>
      <c r="C4467" s="207" t="s">
        <v>5125</v>
      </c>
      <c r="D4467" s="208" t="s">
        <v>580</v>
      </c>
      <c r="E4467" s="209">
        <v>17.809999999999999</v>
      </c>
      <c r="F4467" s="209">
        <v>4.82</v>
      </c>
      <c r="G4467" s="209">
        <v>22.63</v>
      </c>
      <c r="H4467" s="198"/>
    </row>
    <row r="4468" spans="1:8" ht="15.75" hidden="1" customHeight="1" x14ac:dyDescent="0.25">
      <c r="A4468" s="205" t="s">
        <v>5006</v>
      </c>
      <c r="B4468" s="206">
        <v>89979</v>
      </c>
      <c r="C4468" s="207" t="s">
        <v>5126</v>
      </c>
      <c r="D4468" s="208" t="s">
        <v>580</v>
      </c>
      <c r="E4468" s="209">
        <v>18.03</v>
      </c>
      <c r="F4468" s="209">
        <v>5.38</v>
      </c>
      <c r="G4468" s="209">
        <v>23.41</v>
      </c>
      <c r="H4468" s="198"/>
    </row>
    <row r="4469" spans="1:8" ht="15.75" hidden="1" customHeight="1" x14ac:dyDescent="0.25">
      <c r="A4469" s="205" t="s">
        <v>5006</v>
      </c>
      <c r="B4469" s="206">
        <v>89564</v>
      </c>
      <c r="C4469" s="207" t="s">
        <v>5127</v>
      </c>
      <c r="D4469" s="208" t="s">
        <v>580</v>
      </c>
      <c r="E4469" s="209">
        <v>11.65</v>
      </c>
      <c r="F4469" s="209">
        <v>3.06</v>
      </c>
      <c r="G4469" s="209">
        <v>14.71</v>
      </c>
      <c r="H4469" s="198"/>
    </row>
    <row r="4470" spans="1:8" ht="15.75" hidden="1" customHeight="1" x14ac:dyDescent="0.25">
      <c r="A4470" s="205" t="s">
        <v>5006</v>
      </c>
      <c r="B4470" s="206">
        <v>103991</v>
      </c>
      <c r="C4470" s="207" t="s">
        <v>5128</v>
      </c>
      <c r="D4470" s="208" t="s">
        <v>580</v>
      </c>
      <c r="E4470" s="209">
        <v>12.63</v>
      </c>
      <c r="F4470" s="209">
        <v>5.73</v>
      </c>
      <c r="G4470" s="209">
        <v>18.36</v>
      </c>
      <c r="H4470" s="198"/>
    </row>
    <row r="4471" spans="1:8" ht="15.75" hidden="1" customHeight="1" x14ac:dyDescent="0.25">
      <c r="A4471" s="205" t="s">
        <v>5006</v>
      </c>
      <c r="B4471" s="206">
        <v>89593</v>
      </c>
      <c r="C4471" s="207" t="s">
        <v>5129</v>
      </c>
      <c r="D4471" s="208" t="s">
        <v>580</v>
      </c>
      <c r="E4471" s="209">
        <v>19.03</v>
      </c>
      <c r="F4471" s="209">
        <v>3.56</v>
      </c>
      <c r="G4471" s="209">
        <v>22.59</v>
      </c>
      <c r="H4471" s="198"/>
    </row>
    <row r="4472" spans="1:8" ht="15.75" hidden="1" customHeight="1" x14ac:dyDescent="0.25">
      <c r="A4472" s="205" t="s">
        <v>5006</v>
      </c>
      <c r="B4472" s="206">
        <v>104000</v>
      </c>
      <c r="C4472" s="207" t="s">
        <v>5130</v>
      </c>
      <c r="D4472" s="208" t="s">
        <v>580</v>
      </c>
      <c r="E4472" s="209">
        <v>20.36</v>
      </c>
      <c r="F4472" s="209">
        <v>6.51</v>
      </c>
      <c r="G4472" s="209">
        <v>26.87</v>
      </c>
      <c r="H4472" s="198"/>
    </row>
    <row r="4473" spans="1:8" ht="15.75" hidden="1" customHeight="1" x14ac:dyDescent="0.25">
      <c r="A4473" s="205" t="s">
        <v>5006</v>
      </c>
      <c r="B4473" s="206">
        <v>89418</v>
      </c>
      <c r="C4473" s="207" t="s">
        <v>5131</v>
      </c>
      <c r="D4473" s="208" t="s">
        <v>580</v>
      </c>
      <c r="E4473" s="209">
        <v>11.18</v>
      </c>
      <c r="F4473" s="209">
        <v>3.78</v>
      </c>
      <c r="G4473" s="209">
        <v>14.96</v>
      </c>
      <c r="H4473" s="198"/>
    </row>
    <row r="4474" spans="1:8" ht="15.75" hidden="1" customHeight="1" x14ac:dyDescent="0.25">
      <c r="A4474" s="205" t="s">
        <v>5006</v>
      </c>
      <c r="B4474" s="206">
        <v>89372</v>
      </c>
      <c r="C4474" s="207" t="s">
        <v>5132</v>
      </c>
      <c r="D4474" s="208" t="s">
        <v>580</v>
      </c>
      <c r="E4474" s="209">
        <v>11.34</v>
      </c>
      <c r="F4474" s="209">
        <v>4.2300000000000004</v>
      </c>
      <c r="G4474" s="209">
        <v>15.57</v>
      </c>
      <c r="H4474" s="198"/>
    </row>
    <row r="4475" spans="1:8" ht="15.75" hidden="1" customHeight="1" x14ac:dyDescent="0.25">
      <c r="A4475" s="205" t="s">
        <v>5006</v>
      </c>
      <c r="B4475" s="206">
        <v>89530</v>
      </c>
      <c r="C4475" s="207" t="s">
        <v>5133</v>
      </c>
      <c r="D4475" s="208" t="s">
        <v>580</v>
      </c>
      <c r="E4475" s="209">
        <v>12.42</v>
      </c>
      <c r="F4475" s="209">
        <v>2.27</v>
      </c>
      <c r="G4475" s="209">
        <v>14.69</v>
      </c>
      <c r="H4475" s="198"/>
    </row>
    <row r="4476" spans="1:8" ht="15.75" hidden="1" customHeight="1" x14ac:dyDescent="0.25">
      <c r="A4476" s="205" t="s">
        <v>5006</v>
      </c>
      <c r="B4476" s="206">
        <v>89425</v>
      </c>
      <c r="C4476" s="207" t="s">
        <v>5134</v>
      </c>
      <c r="D4476" s="208" t="s">
        <v>580</v>
      </c>
      <c r="E4476" s="209">
        <v>13.2</v>
      </c>
      <c r="F4476" s="209">
        <v>4.4000000000000004</v>
      </c>
      <c r="G4476" s="209">
        <v>17.600000000000001</v>
      </c>
      <c r="H4476" s="198"/>
    </row>
    <row r="4477" spans="1:8" ht="15.75" hidden="1" customHeight="1" x14ac:dyDescent="0.25">
      <c r="A4477" s="205" t="s">
        <v>5006</v>
      </c>
      <c r="B4477" s="206">
        <v>89379</v>
      </c>
      <c r="C4477" s="207" t="s">
        <v>5135</v>
      </c>
      <c r="D4477" s="208" t="s">
        <v>580</v>
      </c>
      <c r="E4477" s="209">
        <v>13.4</v>
      </c>
      <c r="F4477" s="209">
        <v>4.91</v>
      </c>
      <c r="G4477" s="209">
        <v>18.309999999999999</v>
      </c>
      <c r="H4477" s="198"/>
    </row>
    <row r="4478" spans="1:8" ht="15.75" hidden="1" customHeight="1" x14ac:dyDescent="0.25">
      <c r="A4478" s="205" t="s">
        <v>5006</v>
      </c>
      <c r="B4478" s="206">
        <v>89542</v>
      </c>
      <c r="C4478" s="207" t="s">
        <v>5136</v>
      </c>
      <c r="D4478" s="208" t="s">
        <v>580</v>
      </c>
      <c r="E4478" s="209">
        <v>21.1</v>
      </c>
      <c r="F4478" s="209">
        <v>2.78</v>
      </c>
      <c r="G4478" s="209">
        <v>23.88</v>
      </c>
      <c r="H4478" s="198"/>
    </row>
    <row r="4479" spans="1:8" ht="15.75" hidden="1" customHeight="1" x14ac:dyDescent="0.25">
      <c r="A4479" s="205" t="s">
        <v>5006</v>
      </c>
      <c r="B4479" s="206">
        <v>89432</v>
      </c>
      <c r="C4479" s="207" t="s">
        <v>5137</v>
      </c>
      <c r="D4479" s="208" t="s">
        <v>580</v>
      </c>
      <c r="E4479" s="209">
        <v>22.01</v>
      </c>
      <c r="F4479" s="209">
        <v>5.24</v>
      </c>
      <c r="G4479" s="209">
        <v>27.25</v>
      </c>
      <c r="H4479" s="198"/>
    </row>
    <row r="4480" spans="1:8" ht="15.75" hidden="1" customHeight="1" x14ac:dyDescent="0.25">
      <c r="A4480" s="205" t="s">
        <v>5006</v>
      </c>
      <c r="B4480" s="206">
        <v>89387</v>
      </c>
      <c r="C4480" s="207" t="s">
        <v>5138</v>
      </c>
      <c r="D4480" s="208" t="s">
        <v>580</v>
      </c>
      <c r="E4480" s="209">
        <v>22.25</v>
      </c>
      <c r="F4480" s="209">
        <v>5.85</v>
      </c>
      <c r="G4480" s="209">
        <v>28.1</v>
      </c>
      <c r="H4480" s="198"/>
    </row>
    <row r="4481" spans="1:8" ht="15.75" hidden="1" customHeight="1" x14ac:dyDescent="0.25">
      <c r="A4481" s="205" t="s">
        <v>5006</v>
      </c>
      <c r="B4481" s="206">
        <v>89560</v>
      </c>
      <c r="C4481" s="207" t="s">
        <v>5139</v>
      </c>
      <c r="D4481" s="208" t="s">
        <v>580</v>
      </c>
      <c r="E4481" s="209">
        <v>27.14</v>
      </c>
      <c r="F4481" s="209">
        <v>3.37</v>
      </c>
      <c r="G4481" s="209">
        <v>30.51</v>
      </c>
      <c r="H4481" s="198"/>
    </row>
    <row r="4482" spans="1:8" ht="15.75" hidden="1" customHeight="1" x14ac:dyDescent="0.25">
      <c r="A4482" s="205" t="s">
        <v>5006</v>
      </c>
      <c r="B4482" s="206">
        <v>104159</v>
      </c>
      <c r="C4482" s="207" t="s">
        <v>5140</v>
      </c>
      <c r="D4482" s="208" t="s">
        <v>580</v>
      </c>
      <c r="E4482" s="209">
        <v>28.2</v>
      </c>
      <c r="F4482" s="209">
        <v>6.21</v>
      </c>
      <c r="G4482" s="209">
        <v>34.409999999999997</v>
      </c>
      <c r="H4482" s="198"/>
    </row>
    <row r="4483" spans="1:8" ht="15.75" hidden="1" customHeight="1" x14ac:dyDescent="0.25">
      <c r="A4483" s="205" t="s">
        <v>5006</v>
      </c>
      <c r="B4483" s="206">
        <v>89577</v>
      </c>
      <c r="C4483" s="207" t="s">
        <v>5141</v>
      </c>
      <c r="D4483" s="208" t="s">
        <v>580</v>
      </c>
      <c r="E4483" s="209">
        <v>28.62</v>
      </c>
      <c r="F4483" s="209">
        <v>4.0999999999999996</v>
      </c>
      <c r="G4483" s="209">
        <v>32.72</v>
      </c>
      <c r="H4483" s="198"/>
    </row>
    <row r="4484" spans="1:8" ht="15.75" hidden="1" customHeight="1" x14ac:dyDescent="0.25">
      <c r="A4484" s="205" t="s">
        <v>5006</v>
      </c>
      <c r="B4484" s="206">
        <v>103996</v>
      </c>
      <c r="C4484" s="207" t="s">
        <v>5142</v>
      </c>
      <c r="D4484" s="208" t="s">
        <v>580</v>
      </c>
      <c r="E4484" s="209">
        <v>29.87</v>
      </c>
      <c r="F4484" s="209">
        <v>7.42</v>
      </c>
      <c r="G4484" s="209">
        <v>37.29</v>
      </c>
      <c r="H4484" s="198"/>
    </row>
    <row r="4485" spans="1:8" ht="15.75" hidden="1" customHeight="1" x14ac:dyDescent="0.25">
      <c r="A4485" s="205" t="s">
        <v>5006</v>
      </c>
      <c r="B4485" s="206">
        <v>89598</v>
      </c>
      <c r="C4485" s="207" t="s">
        <v>5143</v>
      </c>
      <c r="D4485" s="208" t="s">
        <v>580</v>
      </c>
      <c r="E4485" s="209">
        <v>38.93</v>
      </c>
      <c r="F4485" s="209">
        <v>4.84</v>
      </c>
      <c r="G4485" s="209">
        <v>43.77</v>
      </c>
      <c r="H4485" s="198"/>
    </row>
    <row r="4486" spans="1:8" ht="15.75" hidden="1" customHeight="1" x14ac:dyDescent="0.25">
      <c r="A4486" s="205" t="s">
        <v>5006</v>
      </c>
      <c r="B4486" s="206">
        <v>89419</v>
      </c>
      <c r="C4486" s="207" t="s">
        <v>5144</v>
      </c>
      <c r="D4486" s="208" t="s">
        <v>580</v>
      </c>
      <c r="E4486" s="209">
        <v>3.71</v>
      </c>
      <c r="F4486" s="209">
        <v>4.08</v>
      </c>
      <c r="G4486" s="209">
        <v>7.79</v>
      </c>
      <c r="H4486" s="198"/>
    </row>
    <row r="4487" spans="1:8" ht="15.75" hidden="1" customHeight="1" x14ac:dyDescent="0.25">
      <c r="A4487" s="205" t="s">
        <v>5006</v>
      </c>
      <c r="B4487" s="206">
        <v>89373</v>
      </c>
      <c r="C4487" s="207" t="s">
        <v>5145</v>
      </c>
      <c r="D4487" s="208" t="s">
        <v>580</v>
      </c>
      <c r="E4487" s="209">
        <v>3.88</v>
      </c>
      <c r="F4487" s="209">
        <v>4.58</v>
      </c>
      <c r="G4487" s="209">
        <v>8.4600000000000009</v>
      </c>
      <c r="H4487" s="198"/>
    </row>
    <row r="4488" spans="1:8" ht="15.75" hidden="1" customHeight="1" x14ac:dyDescent="0.25">
      <c r="A4488" s="205" t="s">
        <v>5006</v>
      </c>
      <c r="B4488" s="206">
        <v>89532</v>
      </c>
      <c r="C4488" s="207" t="s">
        <v>5146</v>
      </c>
      <c r="D4488" s="208" t="s">
        <v>580</v>
      </c>
      <c r="E4488" s="209">
        <v>4.9400000000000004</v>
      </c>
      <c r="F4488" s="209">
        <v>2.5299999999999998</v>
      </c>
      <c r="G4488" s="209">
        <v>7.47</v>
      </c>
      <c r="H4488" s="198"/>
    </row>
    <row r="4489" spans="1:8" ht="15.75" hidden="1" customHeight="1" x14ac:dyDescent="0.25">
      <c r="A4489" s="205" t="s">
        <v>5006</v>
      </c>
      <c r="B4489" s="206">
        <v>89426</v>
      </c>
      <c r="C4489" s="207" t="s">
        <v>5147</v>
      </c>
      <c r="D4489" s="208" t="s">
        <v>580</v>
      </c>
      <c r="E4489" s="209">
        <v>5.79</v>
      </c>
      <c r="F4489" s="209">
        <v>4.82</v>
      </c>
      <c r="G4489" s="209">
        <v>10.61</v>
      </c>
      <c r="H4489" s="198"/>
    </row>
    <row r="4490" spans="1:8" ht="15.75" hidden="1" customHeight="1" x14ac:dyDescent="0.25">
      <c r="A4490" s="205" t="s">
        <v>5006</v>
      </c>
      <c r="B4490" s="206">
        <v>89380</v>
      </c>
      <c r="C4490" s="207" t="s">
        <v>5148</v>
      </c>
      <c r="D4490" s="208" t="s">
        <v>580</v>
      </c>
      <c r="E4490" s="209">
        <v>6.01</v>
      </c>
      <c r="F4490" s="209">
        <v>5.38</v>
      </c>
      <c r="G4490" s="209">
        <v>11.39</v>
      </c>
      <c r="H4490" s="198"/>
    </row>
    <row r="4491" spans="1:8" ht="15.75" hidden="1" customHeight="1" x14ac:dyDescent="0.25">
      <c r="A4491" s="205" t="s">
        <v>5006</v>
      </c>
      <c r="B4491" s="206">
        <v>89562</v>
      </c>
      <c r="C4491" s="207" t="s">
        <v>5149</v>
      </c>
      <c r="D4491" s="208" t="s">
        <v>580</v>
      </c>
      <c r="E4491" s="209">
        <v>7.41</v>
      </c>
      <c r="F4491" s="209">
        <v>3.06</v>
      </c>
      <c r="G4491" s="209">
        <v>10.47</v>
      </c>
      <c r="H4491" s="198"/>
    </row>
    <row r="4492" spans="1:8" ht="15.75" hidden="1" customHeight="1" x14ac:dyDescent="0.25">
      <c r="A4492" s="205" t="s">
        <v>5006</v>
      </c>
      <c r="B4492" s="206">
        <v>89433</v>
      </c>
      <c r="C4492" s="207" t="s">
        <v>5150</v>
      </c>
      <c r="D4492" s="208" t="s">
        <v>580</v>
      </c>
      <c r="E4492" s="209">
        <v>8.39</v>
      </c>
      <c r="F4492" s="209">
        <v>5.73</v>
      </c>
      <c r="G4492" s="209">
        <v>14.12</v>
      </c>
      <c r="H4492" s="198"/>
    </row>
    <row r="4493" spans="1:8" ht="15.75" hidden="1" customHeight="1" x14ac:dyDescent="0.25">
      <c r="A4493" s="205" t="s">
        <v>5006</v>
      </c>
      <c r="B4493" s="206">
        <v>89579</v>
      </c>
      <c r="C4493" s="207" t="s">
        <v>5151</v>
      </c>
      <c r="D4493" s="208" t="s">
        <v>580</v>
      </c>
      <c r="E4493" s="209">
        <v>8.5299999999999994</v>
      </c>
      <c r="F4493" s="209">
        <v>3.18</v>
      </c>
      <c r="G4493" s="209">
        <v>11.71</v>
      </c>
      <c r="H4493" s="198"/>
    </row>
    <row r="4494" spans="1:8" ht="15.75" hidden="1" customHeight="1" x14ac:dyDescent="0.25">
      <c r="A4494" s="205" t="s">
        <v>5006</v>
      </c>
      <c r="B4494" s="206">
        <v>103998</v>
      </c>
      <c r="C4494" s="207" t="s">
        <v>5152</v>
      </c>
      <c r="D4494" s="208" t="s">
        <v>580</v>
      </c>
      <c r="E4494" s="209">
        <v>9.5500000000000007</v>
      </c>
      <c r="F4494" s="209">
        <v>5.9</v>
      </c>
      <c r="G4494" s="209">
        <v>15.45</v>
      </c>
      <c r="H4494" s="198"/>
    </row>
    <row r="4495" spans="1:8" ht="15.75" hidden="1" customHeight="1" x14ac:dyDescent="0.25">
      <c r="A4495" s="205" t="s">
        <v>5006</v>
      </c>
      <c r="B4495" s="206">
        <v>89605</v>
      </c>
      <c r="C4495" s="207" t="s">
        <v>5153</v>
      </c>
      <c r="D4495" s="208" t="s">
        <v>580</v>
      </c>
      <c r="E4495" s="209">
        <v>15.5</v>
      </c>
      <c r="F4495" s="209">
        <v>4.47</v>
      </c>
      <c r="G4495" s="209">
        <v>19.97</v>
      </c>
      <c r="H4495" s="198"/>
    </row>
    <row r="4496" spans="1:8" ht="15.75" hidden="1" customHeight="1" x14ac:dyDescent="0.25">
      <c r="A4496" s="205" t="s">
        <v>5006</v>
      </c>
      <c r="B4496" s="206">
        <v>89981</v>
      </c>
      <c r="C4496" s="207" t="s">
        <v>5154</v>
      </c>
      <c r="D4496" s="208" t="s">
        <v>580</v>
      </c>
      <c r="E4496" s="209">
        <v>16.96</v>
      </c>
      <c r="F4496" s="209">
        <v>2.5299999999999998</v>
      </c>
      <c r="G4496" s="209">
        <v>19.489999999999998</v>
      </c>
      <c r="H4496" s="198"/>
    </row>
    <row r="4497" spans="1:8" ht="15.75" hidden="1" customHeight="1" x14ac:dyDescent="0.25">
      <c r="A4497" s="205" t="s">
        <v>5006</v>
      </c>
      <c r="B4497" s="206">
        <v>89385</v>
      </c>
      <c r="C4497" s="207" t="s">
        <v>5155</v>
      </c>
      <c r="D4497" s="208" t="s">
        <v>580</v>
      </c>
      <c r="E4497" s="209">
        <v>3.99</v>
      </c>
      <c r="F4497" s="209">
        <v>4.57</v>
      </c>
      <c r="G4497" s="209">
        <v>8.56</v>
      </c>
      <c r="H4497" s="198"/>
    </row>
    <row r="4498" spans="1:8" ht="15.75" hidden="1" customHeight="1" x14ac:dyDescent="0.25">
      <c r="A4498" s="205" t="s">
        <v>5006</v>
      </c>
      <c r="B4498" s="206">
        <v>89551</v>
      </c>
      <c r="C4498" s="207" t="s">
        <v>5156</v>
      </c>
      <c r="D4498" s="208" t="s">
        <v>580</v>
      </c>
      <c r="E4498" s="209">
        <v>6.1</v>
      </c>
      <c r="F4498" s="209">
        <v>2.54</v>
      </c>
      <c r="G4498" s="209">
        <v>8.64</v>
      </c>
      <c r="H4498" s="198"/>
    </row>
    <row r="4499" spans="1:8" ht="15.75" hidden="1" customHeight="1" x14ac:dyDescent="0.25">
      <c r="A4499" s="205" t="s">
        <v>5006</v>
      </c>
      <c r="B4499" s="206">
        <v>89434</v>
      </c>
      <c r="C4499" s="207" t="s">
        <v>5157</v>
      </c>
      <c r="D4499" s="208" t="s">
        <v>580</v>
      </c>
      <c r="E4499" s="209">
        <v>6.96</v>
      </c>
      <c r="F4499" s="209">
        <v>4.82</v>
      </c>
      <c r="G4499" s="209">
        <v>11.78</v>
      </c>
      <c r="H4499" s="198"/>
    </row>
    <row r="4500" spans="1:8" ht="15.75" hidden="1" customHeight="1" x14ac:dyDescent="0.25">
      <c r="A4500" s="205" t="s">
        <v>5006</v>
      </c>
      <c r="B4500" s="206">
        <v>89389</v>
      </c>
      <c r="C4500" s="207" t="s">
        <v>5158</v>
      </c>
      <c r="D4500" s="208" t="s">
        <v>580</v>
      </c>
      <c r="E4500" s="209">
        <v>7.18</v>
      </c>
      <c r="F4500" s="209">
        <v>5.38</v>
      </c>
      <c r="G4500" s="209">
        <v>12.56</v>
      </c>
      <c r="H4500" s="198"/>
    </row>
    <row r="4501" spans="1:8" ht="15.75" hidden="1" customHeight="1" x14ac:dyDescent="0.25">
      <c r="A4501" s="205" t="s">
        <v>5006</v>
      </c>
      <c r="B4501" s="206">
        <v>89417</v>
      </c>
      <c r="C4501" s="207" t="s">
        <v>5159</v>
      </c>
      <c r="D4501" s="208" t="s">
        <v>580</v>
      </c>
      <c r="E4501" s="209">
        <v>2.89</v>
      </c>
      <c r="F4501" s="209">
        <v>3.79</v>
      </c>
      <c r="G4501" s="209">
        <v>6.68</v>
      </c>
      <c r="H4501" s="198"/>
    </row>
    <row r="4502" spans="1:8" ht="15.75" hidden="1" customHeight="1" x14ac:dyDescent="0.25">
      <c r="A4502" s="205" t="s">
        <v>5006</v>
      </c>
      <c r="B4502" s="206">
        <v>89371</v>
      </c>
      <c r="C4502" s="207" t="s">
        <v>5160</v>
      </c>
      <c r="D4502" s="208" t="s">
        <v>580</v>
      </c>
      <c r="E4502" s="209">
        <v>3.06</v>
      </c>
      <c r="F4502" s="209">
        <v>4.2300000000000004</v>
      </c>
      <c r="G4502" s="209">
        <v>7.29</v>
      </c>
      <c r="H4502" s="198"/>
    </row>
    <row r="4503" spans="1:8" ht="15.75" hidden="1" customHeight="1" x14ac:dyDescent="0.25">
      <c r="A4503" s="205" t="s">
        <v>5006</v>
      </c>
      <c r="B4503" s="206">
        <v>89528</v>
      </c>
      <c r="C4503" s="207" t="s">
        <v>5161</v>
      </c>
      <c r="D4503" s="208" t="s">
        <v>580</v>
      </c>
      <c r="E4503" s="209">
        <v>2.71</v>
      </c>
      <c r="F4503" s="209">
        <v>2.27</v>
      </c>
      <c r="G4503" s="209">
        <v>4.9800000000000004</v>
      </c>
      <c r="H4503" s="198"/>
    </row>
    <row r="4504" spans="1:8" ht="15.75" hidden="1" customHeight="1" x14ac:dyDescent="0.25">
      <c r="A4504" s="205" t="s">
        <v>5006</v>
      </c>
      <c r="B4504" s="206">
        <v>89424</v>
      </c>
      <c r="C4504" s="207" t="s">
        <v>5162</v>
      </c>
      <c r="D4504" s="208" t="s">
        <v>580</v>
      </c>
      <c r="E4504" s="209">
        <v>3.49</v>
      </c>
      <c r="F4504" s="209">
        <v>4.4000000000000004</v>
      </c>
      <c r="G4504" s="209">
        <v>7.89</v>
      </c>
      <c r="H4504" s="198"/>
    </row>
    <row r="4505" spans="1:8" ht="15.75" hidden="1" customHeight="1" x14ac:dyDescent="0.25">
      <c r="A4505" s="205" t="s">
        <v>5006</v>
      </c>
      <c r="B4505" s="206">
        <v>89378</v>
      </c>
      <c r="C4505" s="207" t="s">
        <v>5163</v>
      </c>
      <c r="D4505" s="208" t="s">
        <v>580</v>
      </c>
      <c r="E4505" s="209">
        <v>3.7</v>
      </c>
      <c r="F4505" s="209">
        <v>4.9000000000000004</v>
      </c>
      <c r="G4505" s="209">
        <v>8.6</v>
      </c>
      <c r="H4505" s="198"/>
    </row>
    <row r="4506" spans="1:8" ht="15.75" hidden="1" customHeight="1" x14ac:dyDescent="0.25">
      <c r="A4506" s="205" t="s">
        <v>5006</v>
      </c>
      <c r="B4506" s="206">
        <v>89541</v>
      </c>
      <c r="C4506" s="207" t="s">
        <v>5164</v>
      </c>
      <c r="D4506" s="208" t="s">
        <v>580</v>
      </c>
      <c r="E4506" s="209">
        <v>4.3099999999999996</v>
      </c>
      <c r="F4506" s="209">
        <v>2.79</v>
      </c>
      <c r="G4506" s="209">
        <v>7.1</v>
      </c>
      <c r="H4506" s="198"/>
    </row>
    <row r="4507" spans="1:8" ht="15.75" hidden="1" customHeight="1" x14ac:dyDescent="0.25">
      <c r="A4507" s="205" t="s">
        <v>5006</v>
      </c>
      <c r="B4507" s="206">
        <v>89431</v>
      </c>
      <c r="C4507" s="207" t="s">
        <v>5165</v>
      </c>
      <c r="D4507" s="208" t="s">
        <v>580</v>
      </c>
      <c r="E4507" s="209">
        <v>5.23</v>
      </c>
      <c r="F4507" s="209">
        <v>5.24</v>
      </c>
      <c r="G4507" s="209">
        <v>10.47</v>
      </c>
      <c r="H4507" s="198"/>
    </row>
    <row r="4508" spans="1:8" ht="15.75" hidden="1" customHeight="1" x14ac:dyDescent="0.25">
      <c r="A4508" s="205" t="s">
        <v>5006</v>
      </c>
      <c r="B4508" s="206">
        <v>89386</v>
      </c>
      <c r="C4508" s="207" t="s">
        <v>5166</v>
      </c>
      <c r="D4508" s="208" t="s">
        <v>580</v>
      </c>
      <c r="E4508" s="209">
        <v>5.46</v>
      </c>
      <c r="F4508" s="209">
        <v>5.86</v>
      </c>
      <c r="G4508" s="209">
        <v>11.32</v>
      </c>
      <c r="H4508" s="198"/>
    </row>
    <row r="4509" spans="1:8" ht="15.75" hidden="1" customHeight="1" x14ac:dyDescent="0.25">
      <c r="A4509" s="205" t="s">
        <v>5006</v>
      </c>
      <c r="B4509" s="206">
        <v>89558</v>
      </c>
      <c r="C4509" s="207" t="s">
        <v>5167</v>
      </c>
      <c r="D4509" s="208" t="s">
        <v>580</v>
      </c>
      <c r="E4509" s="209">
        <v>6.86</v>
      </c>
      <c r="F4509" s="209">
        <v>3.36</v>
      </c>
      <c r="G4509" s="209">
        <v>10.220000000000001</v>
      </c>
      <c r="H4509" s="198"/>
    </row>
    <row r="4510" spans="1:8" ht="15.75" hidden="1" customHeight="1" x14ac:dyDescent="0.25">
      <c r="A4510" s="205" t="s">
        <v>5006</v>
      </c>
      <c r="B4510" s="206">
        <v>103988</v>
      </c>
      <c r="C4510" s="207" t="s">
        <v>5168</v>
      </c>
      <c r="D4510" s="208" t="s">
        <v>580</v>
      </c>
      <c r="E4510" s="209">
        <v>7.92</v>
      </c>
      <c r="F4510" s="209">
        <v>6.2</v>
      </c>
      <c r="G4510" s="209">
        <v>14.12</v>
      </c>
      <c r="H4510" s="198"/>
    </row>
    <row r="4511" spans="1:8" ht="15.75" hidden="1" customHeight="1" x14ac:dyDescent="0.25">
      <c r="A4511" s="205" t="s">
        <v>5006</v>
      </c>
      <c r="B4511" s="206">
        <v>89575</v>
      </c>
      <c r="C4511" s="207" t="s">
        <v>5169</v>
      </c>
      <c r="D4511" s="208" t="s">
        <v>580</v>
      </c>
      <c r="E4511" s="209">
        <v>8.2200000000000006</v>
      </c>
      <c r="F4511" s="209">
        <v>4.0999999999999996</v>
      </c>
      <c r="G4511" s="209">
        <v>12.32</v>
      </c>
      <c r="H4511" s="198"/>
    </row>
    <row r="4512" spans="1:8" ht="15.75" hidden="1" customHeight="1" x14ac:dyDescent="0.25">
      <c r="A4512" s="205" t="s">
        <v>5006</v>
      </c>
      <c r="B4512" s="206">
        <v>103995</v>
      </c>
      <c r="C4512" s="207" t="s">
        <v>5170</v>
      </c>
      <c r="D4512" s="208" t="s">
        <v>580</v>
      </c>
      <c r="E4512" s="209">
        <v>9.4700000000000006</v>
      </c>
      <c r="F4512" s="209">
        <v>7.42</v>
      </c>
      <c r="G4512" s="209">
        <v>16.89</v>
      </c>
      <c r="H4512" s="198"/>
    </row>
    <row r="4513" spans="1:8" ht="15.75" hidden="1" customHeight="1" x14ac:dyDescent="0.25">
      <c r="A4513" s="205" t="s">
        <v>5006</v>
      </c>
      <c r="B4513" s="206">
        <v>89597</v>
      </c>
      <c r="C4513" s="207" t="s">
        <v>5171</v>
      </c>
      <c r="D4513" s="208" t="s">
        <v>580</v>
      </c>
      <c r="E4513" s="209">
        <v>17.09</v>
      </c>
      <c r="F4513" s="209">
        <v>4.8499999999999996</v>
      </c>
      <c r="G4513" s="209">
        <v>21.94</v>
      </c>
      <c r="H4513" s="198"/>
    </row>
    <row r="4514" spans="1:8" ht="15.75" hidden="1" customHeight="1" x14ac:dyDescent="0.25">
      <c r="A4514" s="205" t="s">
        <v>5006</v>
      </c>
      <c r="B4514" s="206">
        <v>89611</v>
      </c>
      <c r="C4514" s="207" t="s">
        <v>5172</v>
      </c>
      <c r="D4514" s="208" t="s">
        <v>580</v>
      </c>
      <c r="E4514" s="209">
        <v>24.71</v>
      </c>
      <c r="F4514" s="209">
        <v>5.94</v>
      </c>
      <c r="G4514" s="209">
        <v>30.65</v>
      </c>
      <c r="H4514" s="198"/>
    </row>
    <row r="4515" spans="1:8" ht="15.75" hidden="1" customHeight="1" x14ac:dyDescent="0.25">
      <c r="A4515" s="205" t="s">
        <v>5006</v>
      </c>
      <c r="B4515" s="206">
        <v>89614</v>
      </c>
      <c r="C4515" s="207" t="s">
        <v>5173</v>
      </c>
      <c r="D4515" s="208" t="s">
        <v>580</v>
      </c>
      <c r="E4515" s="209">
        <v>47.02</v>
      </c>
      <c r="F4515" s="209">
        <v>6.69</v>
      </c>
      <c r="G4515" s="209">
        <v>53.71</v>
      </c>
      <c r="H4515" s="198"/>
    </row>
    <row r="4516" spans="1:8" ht="15.75" hidden="1" customHeight="1" x14ac:dyDescent="0.25">
      <c r="A4516" s="205" t="s">
        <v>5006</v>
      </c>
      <c r="B4516" s="206">
        <v>103975</v>
      </c>
      <c r="C4516" s="207" t="s">
        <v>5174</v>
      </c>
      <c r="D4516" s="208" t="s">
        <v>580</v>
      </c>
      <c r="E4516" s="209">
        <v>12.36</v>
      </c>
      <c r="F4516" s="209">
        <v>5.92</v>
      </c>
      <c r="G4516" s="209">
        <v>18.28</v>
      </c>
      <c r="H4516" s="198"/>
    </row>
    <row r="4517" spans="1:8" ht="15.75" hidden="1" customHeight="1" x14ac:dyDescent="0.25">
      <c r="A4517" s="205" t="s">
        <v>5006</v>
      </c>
      <c r="B4517" s="206">
        <v>104007</v>
      </c>
      <c r="C4517" s="207" t="s">
        <v>5175</v>
      </c>
      <c r="D4517" s="208" t="s">
        <v>580</v>
      </c>
      <c r="E4517" s="209">
        <v>13.87</v>
      </c>
      <c r="F4517" s="209">
        <v>9.94</v>
      </c>
      <c r="G4517" s="209">
        <v>23.81</v>
      </c>
      <c r="H4517" s="198"/>
    </row>
    <row r="4518" spans="1:8" ht="15.75" hidden="1" customHeight="1" x14ac:dyDescent="0.25">
      <c r="A4518" s="205" t="s">
        <v>5006</v>
      </c>
      <c r="B4518" s="206">
        <v>103976</v>
      </c>
      <c r="C4518" s="207" t="s">
        <v>5176</v>
      </c>
      <c r="D4518" s="208" t="s">
        <v>580</v>
      </c>
      <c r="E4518" s="209">
        <v>18.48</v>
      </c>
      <c r="F4518" s="209">
        <v>6.91</v>
      </c>
      <c r="G4518" s="209">
        <v>25.39</v>
      </c>
      <c r="H4518" s="198"/>
    </row>
    <row r="4519" spans="1:8" ht="15.75" hidden="1" customHeight="1" x14ac:dyDescent="0.25">
      <c r="A4519" s="205" t="s">
        <v>5006</v>
      </c>
      <c r="B4519" s="206">
        <v>104008</v>
      </c>
      <c r="C4519" s="207" t="s">
        <v>5177</v>
      </c>
      <c r="D4519" s="208" t="s">
        <v>580</v>
      </c>
      <c r="E4519" s="209">
        <v>20.61</v>
      </c>
      <c r="F4519" s="209">
        <v>12.67</v>
      </c>
      <c r="G4519" s="209">
        <v>33.28</v>
      </c>
      <c r="H4519" s="198"/>
    </row>
    <row r="4520" spans="1:8" ht="15.75" hidden="1" customHeight="1" x14ac:dyDescent="0.25">
      <c r="A4520" s="205" t="s">
        <v>5006</v>
      </c>
      <c r="B4520" s="206">
        <v>89630</v>
      </c>
      <c r="C4520" s="207" t="s">
        <v>5178</v>
      </c>
      <c r="D4520" s="208" t="s">
        <v>580</v>
      </c>
      <c r="E4520" s="209">
        <v>46.39</v>
      </c>
      <c r="F4520" s="209">
        <v>10.1</v>
      </c>
      <c r="G4520" s="209">
        <v>56.49</v>
      </c>
      <c r="H4520" s="198"/>
    </row>
    <row r="4521" spans="1:8" ht="15.75" hidden="1" customHeight="1" x14ac:dyDescent="0.25">
      <c r="A4521" s="205" t="s">
        <v>5006</v>
      </c>
      <c r="B4521" s="206">
        <v>89632</v>
      </c>
      <c r="C4521" s="207" t="s">
        <v>5179</v>
      </c>
      <c r="D4521" s="208" t="s">
        <v>580</v>
      </c>
      <c r="E4521" s="209">
        <v>95.91</v>
      </c>
      <c r="F4521" s="209">
        <v>11.57</v>
      </c>
      <c r="G4521" s="209">
        <v>107.48</v>
      </c>
      <c r="H4521" s="198"/>
    </row>
    <row r="4522" spans="1:8" ht="15.75" hidden="1" customHeight="1" x14ac:dyDescent="0.25">
      <c r="A4522" s="205" t="s">
        <v>5006</v>
      </c>
      <c r="B4522" s="206">
        <v>89438</v>
      </c>
      <c r="C4522" s="207" t="s">
        <v>5180</v>
      </c>
      <c r="D4522" s="208" t="s">
        <v>580</v>
      </c>
      <c r="E4522" s="209">
        <v>4.9400000000000004</v>
      </c>
      <c r="F4522" s="209">
        <v>7.58</v>
      </c>
      <c r="G4522" s="209">
        <v>12.52</v>
      </c>
      <c r="H4522" s="198"/>
    </row>
    <row r="4523" spans="1:8" ht="15.75" hidden="1" customHeight="1" x14ac:dyDescent="0.25">
      <c r="A4523" s="205" t="s">
        <v>5006</v>
      </c>
      <c r="B4523" s="206">
        <v>89393</v>
      </c>
      <c r="C4523" s="207" t="s">
        <v>5181</v>
      </c>
      <c r="D4523" s="208" t="s">
        <v>580</v>
      </c>
      <c r="E4523" s="209">
        <v>5.26</v>
      </c>
      <c r="F4523" s="209">
        <v>8.49</v>
      </c>
      <c r="G4523" s="209">
        <v>13.75</v>
      </c>
      <c r="H4523" s="198"/>
    </row>
    <row r="4524" spans="1:8" ht="15.75" hidden="1" customHeight="1" x14ac:dyDescent="0.25">
      <c r="A4524" s="205" t="s">
        <v>5006</v>
      </c>
      <c r="B4524" s="206">
        <v>89617</v>
      </c>
      <c r="C4524" s="207" t="s">
        <v>5182</v>
      </c>
      <c r="D4524" s="208" t="s">
        <v>580</v>
      </c>
      <c r="E4524" s="209">
        <v>4.45</v>
      </c>
      <c r="F4524" s="209">
        <v>4.5599999999999996</v>
      </c>
      <c r="G4524" s="209">
        <v>9.01</v>
      </c>
      <c r="H4524" s="198"/>
    </row>
    <row r="4525" spans="1:8" ht="15.75" hidden="1" customHeight="1" x14ac:dyDescent="0.25">
      <c r="A4525" s="205" t="s">
        <v>5006</v>
      </c>
      <c r="B4525" s="206">
        <v>89440</v>
      </c>
      <c r="C4525" s="207" t="s">
        <v>5183</v>
      </c>
      <c r="D4525" s="208" t="s">
        <v>580</v>
      </c>
      <c r="E4525" s="209">
        <v>6</v>
      </c>
      <c r="F4525" s="209">
        <v>8.81</v>
      </c>
      <c r="G4525" s="209">
        <v>14.81</v>
      </c>
      <c r="H4525" s="198"/>
    </row>
    <row r="4526" spans="1:8" ht="15.75" hidden="1" customHeight="1" x14ac:dyDescent="0.25">
      <c r="A4526" s="205" t="s">
        <v>5006</v>
      </c>
      <c r="B4526" s="206">
        <v>89395</v>
      </c>
      <c r="C4526" s="207" t="s">
        <v>5184</v>
      </c>
      <c r="D4526" s="208" t="s">
        <v>580</v>
      </c>
      <c r="E4526" s="209">
        <v>6.39</v>
      </c>
      <c r="F4526" s="209">
        <v>9.84</v>
      </c>
      <c r="G4526" s="209">
        <v>16.23</v>
      </c>
      <c r="H4526" s="198"/>
    </row>
    <row r="4527" spans="1:8" ht="15.75" hidden="1" customHeight="1" x14ac:dyDescent="0.25">
      <c r="A4527" s="205" t="s">
        <v>5006</v>
      </c>
      <c r="B4527" s="206">
        <v>89620</v>
      </c>
      <c r="C4527" s="207" t="s">
        <v>5185</v>
      </c>
      <c r="D4527" s="208" t="s">
        <v>580</v>
      </c>
      <c r="E4527" s="209">
        <v>7.63</v>
      </c>
      <c r="F4527" s="209">
        <v>5.59</v>
      </c>
      <c r="G4527" s="209">
        <v>13.22</v>
      </c>
      <c r="H4527" s="198"/>
    </row>
    <row r="4528" spans="1:8" ht="15.75" hidden="1" customHeight="1" x14ac:dyDescent="0.25">
      <c r="A4528" s="205" t="s">
        <v>5006</v>
      </c>
      <c r="B4528" s="206">
        <v>89443</v>
      </c>
      <c r="C4528" s="207" t="s">
        <v>5186</v>
      </c>
      <c r="D4528" s="208" t="s">
        <v>580</v>
      </c>
      <c r="E4528" s="209">
        <v>9.44</v>
      </c>
      <c r="F4528" s="209">
        <v>10.49</v>
      </c>
      <c r="G4528" s="209">
        <v>19.93</v>
      </c>
      <c r="H4528" s="198"/>
    </row>
    <row r="4529" spans="1:8" ht="15.75" hidden="1" customHeight="1" x14ac:dyDescent="0.25">
      <c r="A4529" s="205" t="s">
        <v>5006</v>
      </c>
      <c r="B4529" s="206">
        <v>89398</v>
      </c>
      <c r="C4529" s="207" t="s">
        <v>5187</v>
      </c>
      <c r="D4529" s="208" t="s">
        <v>580</v>
      </c>
      <c r="E4529" s="209">
        <v>9.89</v>
      </c>
      <c r="F4529" s="209">
        <v>11.74</v>
      </c>
      <c r="G4529" s="209">
        <v>21.63</v>
      </c>
      <c r="H4529" s="198"/>
    </row>
    <row r="4530" spans="1:8" ht="15.75" hidden="1" customHeight="1" x14ac:dyDescent="0.25">
      <c r="A4530" s="205" t="s">
        <v>5006</v>
      </c>
      <c r="B4530" s="206">
        <v>89623</v>
      </c>
      <c r="C4530" s="207" t="s">
        <v>5188</v>
      </c>
      <c r="D4530" s="208" t="s">
        <v>580</v>
      </c>
      <c r="E4530" s="209">
        <v>13.28</v>
      </c>
      <c r="F4530" s="209">
        <v>6.79</v>
      </c>
      <c r="G4530" s="209">
        <v>20.07</v>
      </c>
      <c r="H4530" s="198"/>
    </row>
    <row r="4531" spans="1:8" ht="15.75" hidden="1" customHeight="1" x14ac:dyDescent="0.25">
      <c r="A4531" s="205" t="s">
        <v>5006</v>
      </c>
      <c r="B4531" s="206">
        <v>104011</v>
      </c>
      <c r="C4531" s="207" t="s">
        <v>5189</v>
      </c>
      <c r="D4531" s="208" t="s">
        <v>580</v>
      </c>
      <c r="E4531" s="209">
        <v>15.35</v>
      </c>
      <c r="F4531" s="209">
        <v>12.43</v>
      </c>
      <c r="G4531" s="209">
        <v>27.78</v>
      </c>
      <c r="H4531" s="198"/>
    </row>
    <row r="4532" spans="1:8" ht="15.75" hidden="1" customHeight="1" x14ac:dyDescent="0.25">
      <c r="A4532" s="205" t="s">
        <v>5006</v>
      </c>
      <c r="B4532" s="206">
        <v>89625</v>
      </c>
      <c r="C4532" s="207" t="s">
        <v>5190</v>
      </c>
      <c r="D4532" s="208" t="s">
        <v>580</v>
      </c>
      <c r="E4532" s="209">
        <v>15.69</v>
      </c>
      <c r="F4532" s="209">
        <v>8.2200000000000006</v>
      </c>
      <c r="G4532" s="209">
        <v>23.91</v>
      </c>
      <c r="H4532" s="198"/>
    </row>
    <row r="4533" spans="1:8" ht="15.75" hidden="1" customHeight="1" x14ac:dyDescent="0.25">
      <c r="A4533" s="205" t="s">
        <v>5006</v>
      </c>
      <c r="B4533" s="206">
        <v>104004</v>
      </c>
      <c r="C4533" s="207" t="s">
        <v>5191</v>
      </c>
      <c r="D4533" s="208" t="s">
        <v>580</v>
      </c>
      <c r="E4533" s="209">
        <v>18.14</v>
      </c>
      <c r="F4533" s="209">
        <v>14.87</v>
      </c>
      <c r="G4533" s="209">
        <v>33.01</v>
      </c>
      <c r="H4533" s="198"/>
    </row>
    <row r="4534" spans="1:8" ht="15.75" hidden="1" customHeight="1" x14ac:dyDescent="0.25">
      <c r="A4534" s="205" t="s">
        <v>5006</v>
      </c>
      <c r="B4534" s="206">
        <v>89628</v>
      </c>
      <c r="C4534" s="207" t="s">
        <v>5192</v>
      </c>
      <c r="D4534" s="208" t="s">
        <v>580</v>
      </c>
      <c r="E4534" s="209">
        <v>35.71</v>
      </c>
      <c r="F4534" s="209">
        <v>9.7100000000000009</v>
      </c>
      <c r="G4534" s="209">
        <v>45.42</v>
      </c>
      <c r="H4534" s="198"/>
    </row>
    <row r="4535" spans="1:8" ht="15.75" hidden="1" customHeight="1" x14ac:dyDescent="0.25">
      <c r="A4535" s="205" t="s">
        <v>5006</v>
      </c>
      <c r="B4535" s="206">
        <v>89629</v>
      </c>
      <c r="C4535" s="207" t="s">
        <v>5193</v>
      </c>
      <c r="D4535" s="208" t="s">
        <v>580</v>
      </c>
      <c r="E4535" s="209">
        <v>61.86</v>
      </c>
      <c r="F4535" s="209">
        <v>11.94</v>
      </c>
      <c r="G4535" s="209">
        <v>73.8</v>
      </c>
      <c r="H4535" s="198"/>
    </row>
    <row r="4536" spans="1:8" ht="15.75" hidden="1" customHeight="1" x14ac:dyDescent="0.25">
      <c r="A4536" s="205" t="s">
        <v>5006</v>
      </c>
      <c r="B4536" s="206">
        <v>89631</v>
      </c>
      <c r="C4536" s="207" t="s">
        <v>5194</v>
      </c>
      <c r="D4536" s="208" t="s">
        <v>580</v>
      </c>
      <c r="E4536" s="209">
        <v>82.1</v>
      </c>
      <c r="F4536" s="209">
        <v>13.44</v>
      </c>
      <c r="G4536" s="209">
        <v>95.54</v>
      </c>
      <c r="H4536" s="198"/>
    </row>
    <row r="4537" spans="1:8" ht="15.75" hidden="1" customHeight="1" x14ac:dyDescent="0.25">
      <c r="A4537" s="205" t="s">
        <v>5006</v>
      </c>
      <c r="B4537" s="206">
        <v>89401</v>
      </c>
      <c r="C4537" s="207" t="s">
        <v>5195</v>
      </c>
      <c r="D4537" s="208" t="s">
        <v>585</v>
      </c>
      <c r="E4537" s="209">
        <v>5.67</v>
      </c>
      <c r="F4537" s="209">
        <v>6.64</v>
      </c>
      <c r="G4537" s="209">
        <v>12.31</v>
      </c>
      <c r="H4537" s="198"/>
    </row>
    <row r="4538" spans="1:8" ht="15.75" hidden="1" customHeight="1" x14ac:dyDescent="0.25">
      <c r="A4538" s="205" t="s">
        <v>5006</v>
      </c>
      <c r="B4538" s="206">
        <v>89355</v>
      </c>
      <c r="C4538" s="207" t="s">
        <v>5196</v>
      </c>
      <c r="D4538" s="208" t="s">
        <v>585</v>
      </c>
      <c r="E4538" s="209">
        <v>9.06</v>
      </c>
      <c r="F4538" s="209">
        <v>15.94</v>
      </c>
      <c r="G4538" s="209">
        <v>25</v>
      </c>
      <c r="H4538" s="198"/>
    </row>
    <row r="4539" spans="1:8" ht="15.75" hidden="1" customHeight="1" x14ac:dyDescent="0.25">
      <c r="A4539" s="205" t="s">
        <v>5006</v>
      </c>
      <c r="B4539" s="206">
        <v>89446</v>
      </c>
      <c r="C4539" s="207" t="s">
        <v>5197</v>
      </c>
      <c r="D4539" s="208" t="s">
        <v>585</v>
      </c>
      <c r="E4539" s="209">
        <v>4</v>
      </c>
      <c r="F4539" s="209">
        <v>0.94</v>
      </c>
      <c r="G4539" s="209">
        <v>4.9400000000000004</v>
      </c>
      <c r="H4539" s="198"/>
    </row>
    <row r="4540" spans="1:8" ht="15.75" hidden="1" customHeight="1" x14ac:dyDescent="0.25">
      <c r="A4540" s="205" t="s">
        <v>5006</v>
      </c>
      <c r="B4540" s="206">
        <v>89402</v>
      </c>
      <c r="C4540" s="207" t="s">
        <v>5198</v>
      </c>
      <c r="D4540" s="208" t="s">
        <v>585</v>
      </c>
      <c r="E4540" s="209">
        <v>6.49</v>
      </c>
      <c r="F4540" s="209">
        <v>7.69</v>
      </c>
      <c r="G4540" s="209">
        <v>14.18</v>
      </c>
      <c r="H4540" s="198"/>
    </row>
    <row r="4541" spans="1:8" ht="15.75" hidden="1" customHeight="1" x14ac:dyDescent="0.25">
      <c r="A4541" s="205" t="s">
        <v>5006</v>
      </c>
      <c r="B4541" s="206">
        <v>89356</v>
      </c>
      <c r="C4541" s="207" t="s">
        <v>5199</v>
      </c>
      <c r="D4541" s="208" t="s">
        <v>585</v>
      </c>
      <c r="E4541" s="209">
        <v>10.4</v>
      </c>
      <c r="F4541" s="209">
        <v>18.47</v>
      </c>
      <c r="G4541" s="209">
        <v>28.87</v>
      </c>
      <c r="H4541" s="198"/>
    </row>
    <row r="4542" spans="1:8" ht="15.75" hidden="1" customHeight="1" x14ac:dyDescent="0.25">
      <c r="A4542" s="205" t="s">
        <v>5006</v>
      </c>
      <c r="B4542" s="206">
        <v>89447</v>
      </c>
      <c r="C4542" s="207" t="s">
        <v>5200</v>
      </c>
      <c r="D4542" s="208" t="s">
        <v>585</v>
      </c>
      <c r="E4542" s="209">
        <v>8.33</v>
      </c>
      <c r="F4542" s="209">
        <v>1.1299999999999999</v>
      </c>
      <c r="G4542" s="209">
        <v>9.4600000000000009</v>
      </c>
      <c r="H4542" s="198"/>
    </row>
    <row r="4543" spans="1:8" ht="15.75" hidden="1" customHeight="1" x14ac:dyDescent="0.25">
      <c r="A4543" s="205" t="s">
        <v>5006</v>
      </c>
      <c r="B4543" s="206">
        <v>89403</v>
      </c>
      <c r="C4543" s="207" t="s">
        <v>5201</v>
      </c>
      <c r="D4543" s="208" t="s">
        <v>585</v>
      </c>
      <c r="E4543" s="209">
        <v>11.27</v>
      </c>
      <c r="F4543" s="209">
        <v>9.18</v>
      </c>
      <c r="G4543" s="209">
        <v>20.45</v>
      </c>
      <c r="H4543" s="198"/>
    </row>
    <row r="4544" spans="1:8" ht="15.75" hidden="1" customHeight="1" x14ac:dyDescent="0.25">
      <c r="A4544" s="205" t="s">
        <v>5006</v>
      </c>
      <c r="B4544" s="206">
        <v>89357</v>
      </c>
      <c r="C4544" s="207" t="s">
        <v>5202</v>
      </c>
      <c r="D4544" s="208" t="s">
        <v>585</v>
      </c>
      <c r="E4544" s="209">
        <v>15.96</v>
      </c>
      <c r="F4544" s="209">
        <v>22.01</v>
      </c>
      <c r="G4544" s="209">
        <v>37.97</v>
      </c>
      <c r="H4544" s="198"/>
    </row>
    <row r="4545" spans="1:8" ht="15.75" hidden="1" customHeight="1" x14ac:dyDescent="0.25">
      <c r="A4545" s="205" t="s">
        <v>5006</v>
      </c>
      <c r="B4545" s="206">
        <v>89448</v>
      </c>
      <c r="C4545" s="207" t="s">
        <v>5203</v>
      </c>
      <c r="D4545" s="208" t="s">
        <v>585</v>
      </c>
      <c r="E4545" s="209">
        <v>12.93</v>
      </c>
      <c r="F4545" s="209">
        <v>1.36</v>
      </c>
      <c r="G4545" s="209">
        <v>14.29</v>
      </c>
      <c r="H4545" s="198"/>
    </row>
    <row r="4546" spans="1:8" ht="15.75" hidden="1" customHeight="1" x14ac:dyDescent="0.25">
      <c r="A4546" s="205" t="s">
        <v>5006</v>
      </c>
      <c r="B4546" s="206">
        <v>103978</v>
      </c>
      <c r="C4546" s="207" t="s">
        <v>5204</v>
      </c>
      <c r="D4546" s="208" t="s">
        <v>585</v>
      </c>
      <c r="E4546" s="209">
        <v>16.37</v>
      </c>
      <c r="F4546" s="209">
        <v>10.87</v>
      </c>
      <c r="G4546" s="209">
        <v>27.24</v>
      </c>
      <c r="H4546" s="198"/>
    </row>
    <row r="4547" spans="1:8" ht="15.75" hidden="1" customHeight="1" x14ac:dyDescent="0.25">
      <c r="A4547" s="205" t="s">
        <v>5006</v>
      </c>
      <c r="B4547" s="206">
        <v>89449</v>
      </c>
      <c r="C4547" s="207" t="s">
        <v>5205</v>
      </c>
      <c r="D4547" s="208" t="s">
        <v>585</v>
      </c>
      <c r="E4547" s="209">
        <v>14.27</v>
      </c>
      <c r="F4547" s="209">
        <v>1.63</v>
      </c>
      <c r="G4547" s="209">
        <v>15.9</v>
      </c>
      <c r="H4547" s="198"/>
    </row>
    <row r="4548" spans="1:8" ht="15.75" hidden="1" customHeight="1" x14ac:dyDescent="0.25">
      <c r="A4548" s="205" t="s">
        <v>5006</v>
      </c>
      <c r="B4548" s="206">
        <v>103979</v>
      </c>
      <c r="C4548" s="207" t="s">
        <v>5206</v>
      </c>
      <c r="D4548" s="208" t="s">
        <v>585</v>
      </c>
      <c r="E4548" s="209">
        <v>18.34</v>
      </c>
      <c r="F4548" s="209">
        <v>13</v>
      </c>
      <c r="G4548" s="209">
        <v>31.34</v>
      </c>
      <c r="H4548" s="198"/>
    </row>
    <row r="4549" spans="1:8" ht="15.75" hidden="1" customHeight="1" x14ac:dyDescent="0.25">
      <c r="A4549" s="205" t="s">
        <v>5006</v>
      </c>
      <c r="B4549" s="206">
        <v>89450</v>
      </c>
      <c r="C4549" s="207" t="s">
        <v>5207</v>
      </c>
      <c r="D4549" s="208" t="s">
        <v>585</v>
      </c>
      <c r="E4549" s="209">
        <v>23.14</v>
      </c>
      <c r="F4549" s="209">
        <v>1.94</v>
      </c>
      <c r="G4549" s="209">
        <v>25.08</v>
      </c>
      <c r="H4549" s="198"/>
    </row>
    <row r="4550" spans="1:8" ht="15.75" hidden="1" customHeight="1" x14ac:dyDescent="0.25">
      <c r="A4550" s="205" t="s">
        <v>5006</v>
      </c>
      <c r="B4550" s="206">
        <v>89451</v>
      </c>
      <c r="C4550" s="207" t="s">
        <v>5208</v>
      </c>
      <c r="D4550" s="208" t="s">
        <v>585</v>
      </c>
      <c r="E4550" s="209">
        <v>38.07</v>
      </c>
      <c r="F4550" s="209">
        <v>2.39</v>
      </c>
      <c r="G4550" s="209">
        <v>40.46</v>
      </c>
      <c r="H4550" s="198"/>
    </row>
    <row r="4551" spans="1:8" ht="15.75" hidden="1" customHeight="1" x14ac:dyDescent="0.25">
      <c r="A4551" s="205" t="s">
        <v>5006</v>
      </c>
      <c r="B4551" s="206">
        <v>89452</v>
      </c>
      <c r="C4551" s="207" t="s">
        <v>5209</v>
      </c>
      <c r="D4551" s="208" t="s">
        <v>585</v>
      </c>
      <c r="E4551" s="209">
        <v>52.76</v>
      </c>
      <c r="F4551" s="209">
        <v>2.67</v>
      </c>
      <c r="G4551" s="209">
        <v>55.43</v>
      </c>
      <c r="H4551" s="198"/>
    </row>
    <row r="4552" spans="1:8" ht="15.75" hidden="1" customHeight="1" x14ac:dyDescent="0.25">
      <c r="A4552" s="205" t="s">
        <v>5006</v>
      </c>
      <c r="B4552" s="206">
        <v>89394</v>
      </c>
      <c r="C4552" s="207" t="s">
        <v>5210</v>
      </c>
      <c r="D4552" s="208" t="s">
        <v>580</v>
      </c>
      <c r="E4552" s="209">
        <v>11.84</v>
      </c>
      <c r="F4552" s="209">
        <v>7.82</v>
      </c>
      <c r="G4552" s="209">
        <v>19.66</v>
      </c>
      <c r="H4552" s="198"/>
    </row>
    <row r="4553" spans="1:8" ht="15.75" hidden="1" customHeight="1" x14ac:dyDescent="0.25">
      <c r="A4553" s="205" t="s">
        <v>5006</v>
      </c>
      <c r="B4553" s="206">
        <v>89396</v>
      </c>
      <c r="C4553" s="207" t="s">
        <v>5211</v>
      </c>
      <c r="D4553" s="208" t="s">
        <v>580</v>
      </c>
      <c r="E4553" s="209">
        <v>13.05</v>
      </c>
      <c r="F4553" s="209">
        <v>8.49</v>
      </c>
      <c r="G4553" s="209">
        <v>21.54</v>
      </c>
      <c r="H4553" s="198"/>
    </row>
    <row r="4554" spans="1:8" ht="15.75" hidden="1" customHeight="1" x14ac:dyDescent="0.25">
      <c r="A4554" s="205" t="s">
        <v>5006</v>
      </c>
      <c r="B4554" s="206">
        <v>90374</v>
      </c>
      <c r="C4554" s="207" t="s">
        <v>5212</v>
      </c>
      <c r="D4554" s="208" t="s">
        <v>580</v>
      </c>
      <c r="E4554" s="209">
        <v>14.15</v>
      </c>
      <c r="F4554" s="209">
        <v>9.15</v>
      </c>
      <c r="G4554" s="209">
        <v>23.3</v>
      </c>
      <c r="H4554" s="198"/>
    </row>
    <row r="4555" spans="1:8" ht="15.75" hidden="1" customHeight="1" x14ac:dyDescent="0.25">
      <c r="A4555" s="205" t="s">
        <v>5006</v>
      </c>
      <c r="B4555" s="206">
        <v>89444</v>
      </c>
      <c r="C4555" s="207" t="s">
        <v>5213</v>
      </c>
      <c r="D4555" s="208" t="s">
        <v>580</v>
      </c>
      <c r="E4555" s="209">
        <v>15.96</v>
      </c>
      <c r="F4555" s="209">
        <v>9.0299999999999994</v>
      </c>
      <c r="G4555" s="209">
        <v>24.99</v>
      </c>
      <c r="H4555" s="198"/>
    </row>
    <row r="4556" spans="1:8" ht="15.75" hidden="1" customHeight="1" x14ac:dyDescent="0.25">
      <c r="A4556" s="205" t="s">
        <v>5006</v>
      </c>
      <c r="B4556" s="206">
        <v>89399</v>
      </c>
      <c r="C4556" s="207" t="s">
        <v>5214</v>
      </c>
      <c r="D4556" s="208" t="s">
        <v>580</v>
      </c>
      <c r="E4556" s="209">
        <v>16.170000000000002</v>
      </c>
      <c r="F4556" s="209">
        <v>9.6300000000000008</v>
      </c>
      <c r="G4556" s="209">
        <v>25.8</v>
      </c>
      <c r="H4556" s="198"/>
    </row>
    <row r="4557" spans="1:8" ht="15.75" hidden="1" customHeight="1" x14ac:dyDescent="0.25">
      <c r="A4557" s="205" t="s">
        <v>5006</v>
      </c>
      <c r="B4557" s="206">
        <v>89442</v>
      </c>
      <c r="C4557" s="207" t="s">
        <v>5215</v>
      </c>
      <c r="D4557" s="208" t="s">
        <v>580</v>
      </c>
      <c r="E4557" s="209">
        <v>7.75</v>
      </c>
      <c r="F4557" s="209">
        <v>8.18</v>
      </c>
      <c r="G4557" s="209">
        <v>15.93</v>
      </c>
      <c r="H4557" s="198"/>
    </row>
    <row r="4558" spans="1:8" ht="15.75" hidden="1" customHeight="1" x14ac:dyDescent="0.25">
      <c r="A4558" s="205" t="s">
        <v>5006</v>
      </c>
      <c r="B4558" s="206">
        <v>89397</v>
      </c>
      <c r="C4558" s="207" t="s">
        <v>5216</v>
      </c>
      <c r="D4558" s="208" t="s">
        <v>580</v>
      </c>
      <c r="E4558" s="209">
        <v>8.1</v>
      </c>
      <c r="F4558" s="209">
        <v>9.15</v>
      </c>
      <c r="G4558" s="209">
        <v>17.25</v>
      </c>
      <c r="H4558" s="198"/>
    </row>
    <row r="4559" spans="1:8" ht="15.75" hidden="1" customHeight="1" x14ac:dyDescent="0.25">
      <c r="A4559" s="205" t="s">
        <v>5006</v>
      </c>
      <c r="B4559" s="206">
        <v>89622</v>
      </c>
      <c r="C4559" s="207" t="s">
        <v>5217</v>
      </c>
      <c r="D4559" s="208" t="s">
        <v>580</v>
      </c>
      <c r="E4559" s="209">
        <v>9.57</v>
      </c>
      <c r="F4559" s="209">
        <v>5.08</v>
      </c>
      <c r="G4559" s="209">
        <v>14.65</v>
      </c>
      <c r="H4559" s="198"/>
    </row>
    <row r="4560" spans="1:8" ht="15.75" hidden="1" customHeight="1" x14ac:dyDescent="0.25">
      <c r="A4560" s="205" t="s">
        <v>5006</v>
      </c>
      <c r="B4560" s="206">
        <v>89445</v>
      </c>
      <c r="C4560" s="207" t="s">
        <v>5218</v>
      </c>
      <c r="D4560" s="208" t="s">
        <v>580</v>
      </c>
      <c r="E4560" s="209">
        <v>11.25</v>
      </c>
      <c r="F4560" s="209">
        <v>9.66</v>
      </c>
      <c r="G4560" s="209">
        <v>20.91</v>
      </c>
      <c r="H4560" s="198"/>
    </row>
    <row r="4561" spans="1:8" ht="15.75" hidden="1" customHeight="1" x14ac:dyDescent="0.25">
      <c r="A4561" s="205" t="s">
        <v>5006</v>
      </c>
      <c r="B4561" s="206">
        <v>89400</v>
      </c>
      <c r="C4561" s="207" t="s">
        <v>5219</v>
      </c>
      <c r="D4561" s="208" t="s">
        <v>580</v>
      </c>
      <c r="E4561" s="209">
        <v>11.68</v>
      </c>
      <c r="F4561" s="209">
        <v>10.79</v>
      </c>
      <c r="G4561" s="209">
        <v>22.47</v>
      </c>
      <c r="H4561" s="198"/>
    </row>
    <row r="4562" spans="1:8" ht="15.75" hidden="1" customHeight="1" x14ac:dyDescent="0.25">
      <c r="A4562" s="205" t="s">
        <v>5006</v>
      </c>
      <c r="B4562" s="206">
        <v>89624</v>
      </c>
      <c r="C4562" s="207" t="s">
        <v>5220</v>
      </c>
      <c r="D4562" s="208" t="s">
        <v>580</v>
      </c>
      <c r="E4562" s="209">
        <v>12.3</v>
      </c>
      <c r="F4562" s="209">
        <v>6.19</v>
      </c>
      <c r="G4562" s="209">
        <v>18.489999999999998</v>
      </c>
      <c r="H4562" s="198"/>
    </row>
    <row r="4563" spans="1:8" ht="15.75" hidden="1" customHeight="1" x14ac:dyDescent="0.25">
      <c r="A4563" s="205" t="s">
        <v>5006</v>
      </c>
      <c r="B4563" s="206">
        <v>104012</v>
      </c>
      <c r="C4563" s="207" t="s">
        <v>5221</v>
      </c>
      <c r="D4563" s="208" t="s">
        <v>580</v>
      </c>
      <c r="E4563" s="209">
        <v>14.25</v>
      </c>
      <c r="F4563" s="209">
        <v>11.46</v>
      </c>
      <c r="G4563" s="209">
        <v>25.71</v>
      </c>
      <c r="H4563" s="198"/>
    </row>
    <row r="4564" spans="1:8" ht="15.75" hidden="1" customHeight="1" x14ac:dyDescent="0.25">
      <c r="A4564" s="205" t="s">
        <v>5006</v>
      </c>
      <c r="B4564" s="206">
        <v>89627</v>
      </c>
      <c r="C4564" s="207" t="s">
        <v>5222</v>
      </c>
      <c r="D4564" s="208" t="s">
        <v>580</v>
      </c>
      <c r="E4564" s="209">
        <v>14.08</v>
      </c>
      <c r="F4564" s="209">
        <v>6.38</v>
      </c>
      <c r="G4564" s="209">
        <v>20.46</v>
      </c>
      <c r="H4564" s="198"/>
    </row>
    <row r="4565" spans="1:8" ht="15.75" hidden="1" customHeight="1" x14ac:dyDescent="0.25">
      <c r="A4565" s="205" t="s">
        <v>5006</v>
      </c>
      <c r="B4565" s="206">
        <v>104006</v>
      </c>
      <c r="C4565" s="207" t="s">
        <v>5223</v>
      </c>
      <c r="D4565" s="208" t="s">
        <v>580</v>
      </c>
      <c r="E4565" s="209">
        <v>15.87</v>
      </c>
      <c r="F4565" s="209">
        <v>11.22</v>
      </c>
      <c r="G4565" s="209">
        <v>27.09</v>
      </c>
      <c r="H4565" s="198"/>
    </row>
    <row r="4566" spans="1:8" ht="15.75" hidden="1" customHeight="1" x14ac:dyDescent="0.25">
      <c r="A4566" s="205" t="s">
        <v>5006</v>
      </c>
      <c r="B4566" s="206">
        <v>89626</v>
      </c>
      <c r="C4566" s="207" t="s">
        <v>5224</v>
      </c>
      <c r="D4566" s="208" t="s">
        <v>580</v>
      </c>
      <c r="E4566" s="209">
        <v>21.77</v>
      </c>
      <c r="F4566" s="209">
        <v>7.51</v>
      </c>
      <c r="G4566" s="209">
        <v>29.28</v>
      </c>
      <c r="H4566" s="198"/>
    </row>
    <row r="4567" spans="1:8" ht="15.75" hidden="1" customHeight="1" x14ac:dyDescent="0.25">
      <c r="A4567" s="205" t="s">
        <v>5006</v>
      </c>
      <c r="B4567" s="206">
        <v>104005</v>
      </c>
      <c r="C4567" s="207" t="s">
        <v>5225</v>
      </c>
      <c r="D4567" s="208" t="s">
        <v>580</v>
      </c>
      <c r="E4567" s="209">
        <v>24.05</v>
      </c>
      <c r="F4567" s="209">
        <v>13.65</v>
      </c>
      <c r="G4567" s="209">
        <v>37.700000000000003</v>
      </c>
      <c r="H4567" s="198"/>
    </row>
    <row r="4568" spans="1:8" ht="15.75" hidden="1" customHeight="1" x14ac:dyDescent="0.25">
      <c r="A4568" s="205" t="s">
        <v>5006</v>
      </c>
      <c r="B4568" s="206">
        <v>89439</v>
      </c>
      <c r="C4568" s="207" t="s">
        <v>5226</v>
      </c>
      <c r="D4568" s="208" t="s">
        <v>580</v>
      </c>
      <c r="E4568" s="209">
        <v>6.18</v>
      </c>
      <c r="F4568" s="209">
        <v>7.59</v>
      </c>
      <c r="G4568" s="209">
        <v>13.77</v>
      </c>
      <c r="H4568" s="198"/>
    </row>
    <row r="4569" spans="1:8" ht="15.75" hidden="1" customHeight="1" x14ac:dyDescent="0.25">
      <c r="A4569" s="205" t="s">
        <v>5006</v>
      </c>
      <c r="B4569" s="206">
        <v>89421</v>
      </c>
      <c r="C4569" s="207" t="s">
        <v>5227</v>
      </c>
      <c r="D4569" s="208" t="s">
        <v>580</v>
      </c>
      <c r="E4569" s="209">
        <v>7.83</v>
      </c>
      <c r="F4569" s="209">
        <v>3.78</v>
      </c>
      <c r="G4569" s="209">
        <v>11.61</v>
      </c>
      <c r="H4569" s="198"/>
    </row>
    <row r="4570" spans="1:8" ht="15.75" hidden="1" customHeight="1" x14ac:dyDescent="0.25">
      <c r="A4570" s="205" t="s">
        <v>5006</v>
      </c>
      <c r="B4570" s="206">
        <v>89375</v>
      </c>
      <c r="C4570" s="207" t="s">
        <v>5228</v>
      </c>
      <c r="D4570" s="208" t="s">
        <v>580</v>
      </c>
      <c r="E4570" s="209">
        <v>7.98</v>
      </c>
      <c r="F4570" s="209">
        <v>4.24</v>
      </c>
      <c r="G4570" s="209">
        <v>12.22</v>
      </c>
      <c r="H4570" s="198"/>
    </row>
    <row r="4571" spans="1:8" ht="15.75" hidden="1" customHeight="1" x14ac:dyDescent="0.25">
      <c r="A4571" s="205" t="s">
        <v>5006</v>
      </c>
      <c r="B4571" s="206">
        <v>89536</v>
      </c>
      <c r="C4571" s="207" t="s">
        <v>5229</v>
      </c>
      <c r="D4571" s="208" t="s">
        <v>580</v>
      </c>
      <c r="E4571" s="209">
        <v>8.74</v>
      </c>
      <c r="F4571" s="209">
        <v>2.2799999999999998</v>
      </c>
      <c r="G4571" s="209">
        <v>11.02</v>
      </c>
      <c r="H4571" s="198"/>
    </row>
    <row r="4572" spans="1:8" ht="15.75" hidden="1" customHeight="1" x14ac:dyDescent="0.25">
      <c r="A4572" s="205" t="s">
        <v>5006</v>
      </c>
      <c r="B4572" s="206">
        <v>89428</v>
      </c>
      <c r="C4572" s="207" t="s">
        <v>5230</v>
      </c>
      <c r="D4572" s="208" t="s">
        <v>580</v>
      </c>
      <c r="E4572" s="209">
        <v>9.5299999999999994</v>
      </c>
      <c r="F4572" s="209">
        <v>4.4000000000000004</v>
      </c>
      <c r="G4572" s="209">
        <v>13.93</v>
      </c>
      <c r="H4572" s="198"/>
    </row>
    <row r="4573" spans="1:8" ht="15.75" hidden="1" customHeight="1" x14ac:dyDescent="0.25">
      <c r="A4573" s="205" t="s">
        <v>5006</v>
      </c>
      <c r="B4573" s="206">
        <v>89382</v>
      </c>
      <c r="C4573" s="207" t="s">
        <v>5231</v>
      </c>
      <c r="D4573" s="208" t="s">
        <v>580</v>
      </c>
      <c r="E4573" s="209">
        <v>9.73</v>
      </c>
      <c r="F4573" s="209">
        <v>4.91</v>
      </c>
      <c r="G4573" s="209">
        <v>14.64</v>
      </c>
      <c r="H4573" s="198"/>
    </row>
    <row r="4574" spans="1:8" ht="15.75" hidden="1" customHeight="1" x14ac:dyDescent="0.25">
      <c r="A4574" s="205" t="s">
        <v>5006</v>
      </c>
      <c r="B4574" s="206">
        <v>89552</v>
      </c>
      <c r="C4574" s="207" t="s">
        <v>5232</v>
      </c>
      <c r="D4574" s="208" t="s">
        <v>580</v>
      </c>
      <c r="E4574" s="209">
        <v>13.97</v>
      </c>
      <c r="F4574" s="209">
        <v>2.79</v>
      </c>
      <c r="G4574" s="209">
        <v>16.760000000000002</v>
      </c>
      <c r="H4574" s="198"/>
    </row>
    <row r="4575" spans="1:8" ht="15.75" hidden="1" customHeight="1" x14ac:dyDescent="0.25">
      <c r="A4575" s="205" t="s">
        <v>5006</v>
      </c>
      <c r="B4575" s="206">
        <v>89435</v>
      </c>
      <c r="C4575" s="207" t="s">
        <v>5233</v>
      </c>
      <c r="D4575" s="208" t="s">
        <v>580</v>
      </c>
      <c r="E4575" s="209">
        <v>14.9</v>
      </c>
      <c r="F4575" s="209">
        <v>5.23</v>
      </c>
      <c r="G4575" s="209">
        <v>20.13</v>
      </c>
      <c r="H4575" s="198"/>
    </row>
    <row r="4576" spans="1:8" ht="15.75" hidden="1" customHeight="1" x14ac:dyDescent="0.25">
      <c r="A4576" s="205" t="s">
        <v>5006</v>
      </c>
      <c r="B4576" s="206">
        <v>89390</v>
      </c>
      <c r="C4576" s="207" t="s">
        <v>5234</v>
      </c>
      <c r="D4576" s="208" t="s">
        <v>580</v>
      </c>
      <c r="E4576" s="209">
        <v>15.13</v>
      </c>
      <c r="F4576" s="209">
        <v>5.85</v>
      </c>
      <c r="G4576" s="209">
        <v>20.98</v>
      </c>
      <c r="H4576" s="198"/>
    </row>
    <row r="4577" spans="1:8" ht="15.75" hidden="1" customHeight="1" x14ac:dyDescent="0.25">
      <c r="A4577" s="205" t="s">
        <v>5006</v>
      </c>
      <c r="B4577" s="206">
        <v>89568</v>
      </c>
      <c r="C4577" s="207" t="s">
        <v>5235</v>
      </c>
      <c r="D4577" s="208" t="s">
        <v>580</v>
      </c>
      <c r="E4577" s="209">
        <v>25.08</v>
      </c>
      <c r="F4577" s="209">
        <v>3.37</v>
      </c>
      <c r="G4577" s="209">
        <v>28.45</v>
      </c>
      <c r="H4577" s="198"/>
    </row>
    <row r="4578" spans="1:8" ht="15.75" hidden="1" customHeight="1" x14ac:dyDescent="0.25">
      <c r="A4578" s="205" t="s">
        <v>5006</v>
      </c>
      <c r="B4578" s="206">
        <v>103990</v>
      </c>
      <c r="C4578" s="207" t="s">
        <v>5236</v>
      </c>
      <c r="D4578" s="208" t="s">
        <v>580</v>
      </c>
      <c r="E4578" s="209">
        <v>26.14</v>
      </c>
      <c r="F4578" s="209">
        <v>6.21</v>
      </c>
      <c r="G4578" s="209">
        <v>32.35</v>
      </c>
      <c r="H4578" s="198"/>
    </row>
    <row r="4579" spans="1:8" ht="15.75" hidden="1" customHeight="1" x14ac:dyDescent="0.25">
      <c r="A4579" s="205" t="s">
        <v>5006</v>
      </c>
      <c r="B4579" s="206">
        <v>89594</v>
      </c>
      <c r="C4579" s="207" t="s">
        <v>5237</v>
      </c>
      <c r="D4579" s="208" t="s">
        <v>580</v>
      </c>
      <c r="E4579" s="209">
        <v>27.83</v>
      </c>
      <c r="F4579" s="209">
        <v>4.1100000000000003</v>
      </c>
      <c r="G4579" s="209">
        <v>31.94</v>
      </c>
      <c r="H4579" s="198"/>
    </row>
    <row r="4580" spans="1:8" ht="15.75" hidden="1" customHeight="1" x14ac:dyDescent="0.25">
      <c r="A4580" s="205" t="s">
        <v>5006</v>
      </c>
      <c r="B4580" s="206">
        <v>103997</v>
      </c>
      <c r="C4580" s="207" t="s">
        <v>5238</v>
      </c>
      <c r="D4580" s="208" t="s">
        <v>580</v>
      </c>
      <c r="E4580" s="209">
        <v>29.09</v>
      </c>
      <c r="F4580" s="209">
        <v>7.42</v>
      </c>
      <c r="G4580" s="209">
        <v>36.51</v>
      </c>
      <c r="H4580" s="198"/>
    </row>
    <row r="4581" spans="1:8" ht="15.75" hidden="1" customHeight="1" x14ac:dyDescent="0.25">
      <c r="A4581" s="205" t="s">
        <v>5006</v>
      </c>
      <c r="B4581" s="206">
        <v>89609</v>
      </c>
      <c r="C4581" s="207" t="s">
        <v>5239</v>
      </c>
      <c r="D4581" s="208" t="s">
        <v>580</v>
      </c>
      <c r="E4581" s="209">
        <v>66.44</v>
      </c>
      <c r="F4581" s="209">
        <v>4.84</v>
      </c>
      <c r="G4581" s="209">
        <v>71.28</v>
      </c>
      <c r="H4581" s="198"/>
    </row>
    <row r="4582" spans="1:8" ht="15.75" hidden="1" customHeight="1" x14ac:dyDescent="0.25">
      <c r="A4582" s="205" t="s">
        <v>5006</v>
      </c>
      <c r="B4582" s="206">
        <v>89612</v>
      </c>
      <c r="C4582" s="207" t="s">
        <v>5240</v>
      </c>
      <c r="D4582" s="208" t="s">
        <v>580</v>
      </c>
      <c r="E4582" s="209">
        <v>131.65</v>
      </c>
      <c r="F4582" s="209">
        <v>5.94</v>
      </c>
      <c r="G4582" s="209">
        <v>137.59</v>
      </c>
      <c r="H4582" s="198"/>
    </row>
    <row r="4583" spans="1:8" ht="15.75" hidden="1" customHeight="1" x14ac:dyDescent="0.25">
      <c r="A4583" s="205" t="s">
        <v>5006</v>
      </c>
      <c r="B4583" s="206">
        <v>89615</v>
      </c>
      <c r="C4583" s="207" t="s">
        <v>5241</v>
      </c>
      <c r="D4583" s="208" t="s">
        <v>580</v>
      </c>
      <c r="E4583" s="209">
        <v>155.76</v>
      </c>
      <c r="F4583" s="209">
        <v>6.69</v>
      </c>
      <c r="G4583" s="209">
        <v>162.44999999999999</v>
      </c>
      <c r="H4583" s="198"/>
    </row>
    <row r="4584" spans="1:8" ht="15.75" hidden="1" customHeight="1" x14ac:dyDescent="0.25">
      <c r="A4584" s="205" t="s">
        <v>5242</v>
      </c>
      <c r="B4584" s="206">
        <v>89747</v>
      </c>
      <c r="C4584" s="207" t="s">
        <v>5243</v>
      </c>
      <c r="D4584" s="208" t="s">
        <v>580</v>
      </c>
      <c r="E4584" s="209">
        <v>30.04</v>
      </c>
      <c r="F4584" s="209">
        <v>4.03</v>
      </c>
      <c r="G4584" s="209">
        <v>34.07</v>
      </c>
      <c r="H4584" s="198"/>
    </row>
    <row r="4585" spans="1:8" ht="15.75" hidden="1" customHeight="1" x14ac:dyDescent="0.25">
      <c r="A4585" s="205" t="s">
        <v>5242</v>
      </c>
      <c r="B4585" s="206">
        <v>89656</v>
      </c>
      <c r="C4585" s="207" t="s">
        <v>5244</v>
      </c>
      <c r="D4585" s="208" t="s">
        <v>580</v>
      </c>
      <c r="E4585" s="209">
        <v>22.4</v>
      </c>
      <c r="F4585" s="209">
        <v>3.56</v>
      </c>
      <c r="G4585" s="209">
        <v>25.96</v>
      </c>
      <c r="H4585" s="198"/>
    </row>
    <row r="4586" spans="1:8" ht="15.75" hidden="1" customHeight="1" x14ac:dyDescent="0.25">
      <c r="A4586" s="205" t="s">
        <v>5242</v>
      </c>
      <c r="B4586" s="206">
        <v>89663</v>
      </c>
      <c r="C4586" s="207" t="s">
        <v>5245</v>
      </c>
      <c r="D4586" s="208" t="s">
        <v>580</v>
      </c>
      <c r="E4586" s="209">
        <v>30.22</v>
      </c>
      <c r="F4586" s="209">
        <v>4.51</v>
      </c>
      <c r="G4586" s="209">
        <v>34.729999999999997</v>
      </c>
      <c r="H4586" s="198"/>
    </row>
    <row r="4587" spans="1:8" ht="15.75" hidden="1" customHeight="1" x14ac:dyDescent="0.25">
      <c r="A4587" s="205" t="s">
        <v>5242</v>
      </c>
      <c r="B4587" s="206">
        <v>89759</v>
      </c>
      <c r="C4587" s="207" t="s">
        <v>5246</v>
      </c>
      <c r="D4587" s="208" t="s">
        <v>580</v>
      </c>
      <c r="E4587" s="209">
        <v>9.67</v>
      </c>
      <c r="F4587" s="209">
        <v>4.3899999999999997</v>
      </c>
      <c r="G4587" s="209">
        <v>14.06</v>
      </c>
      <c r="H4587" s="198"/>
    </row>
    <row r="4588" spans="1:8" ht="15.75" hidden="1" customHeight="1" x14ac:dyDescent="0.25">
      <c r="A4588" s="205" t="s">
        <v>5242</v>
      </c>
      <c r="B4588" s="206">
        <v>89832</v>
      </c>
      <c r="C4588" s="207" t="s">
        <v>5247</v>
      </c>
      <c r="D4588" s="208" t="s">
        <v>580</v>
      </c>
      <c r="E4588" s="209">
        <v>42.36</v>
      </c>
      <c r="F4588" s="209">
        <v>5.23</v>
      </c>
      <c r="G4588" s="209">
        <v>47.59</v>
      </c>
      <c r="H4588" s="198"/>
    </row>
    <row r="4589" spans="1:8" ht="15.75" hidden="1" customHeight="1" x14ac:dyDescent="0.25">
      <c r="A4589" s="205" t="s">
        <v>5242</v>
      </c>
      <c r="B4589" s="206">
        <v>89666</v>
      </c>
      <c r="C4589" s="207" t="s">
        <v>5248</v>
      </c>
      <c r="D4589" s="208" t="s">
        <v>580</v>
      </c>
      <c r="E4589" s="209">
        <v>5.28</v>
      </c>
      <c r="F4589" s="209">
        <v>4.03</v>
      </c>
      <c r="G4589" s="209">
        <v>9.31</v>
      </c>
      <c r="H4589" s="198"/>
    </row>
    <row r="4590" spans="1:8" ht="15.75" hidden="1" customHeight="1" x14ac:dyDescent="0.25">
      <c r="A4590" s="205" t="s">
        <v>5242</v>
      </c>
      <c r="B4590" s="206">
        <v>89678</v>
      </c>
      <c r="C4590" s="207" t="s">
        <v>5249</v>
      </c>
      <c r="D4590" s="208" t="s">
        <v>580</v>
      </c>
      <c r="E4590" s="209">
        <v>9.86</v>
      </c>
      <c r="F4590" s="209">
        <v>4.91</v>
      </c>
      <c r="G4590" s="209">
        <v>14.77</v>
      </c>
      <c r="H4590" s="198"/>
    </row>
    <row r="4591" spans="1:8" ht="15.75" hidden="1" customHeight="1" x14ac:dyDescent="0.25">
      <c r="A4591" s="205" t="s">
        <v>5242</v>
      </c>
      <c r="B4591" s="206">
        <v>89764</v>
      </c>
      <c r="C4591" s="207" t="s">
        <v>5250</v>
      </c>
      <c r="D4591" s="208" t="s">
        <v>580</v>
      </c>
      <c r="E4591" s="209">
        <v>37.64</v>
      </c>
      <c r="F4591" s="209">
        <v>5.18</v>
      </c>
      <c r="G4591" s="209">
        <v>42.82</v>
      </c>
      <c r="H4591" s="198"/>
    </row>
    <row r="4592" spans="1:8" ht="15.75" hidden="1" customHeight="1" x14ac:dyDescent="0.25">
      <c r="A4592" s="205" t="s">
        <v>5242</v>
      </c>
      <c r="B4592" s="206">
        <v>89689</v>
      </c>
      <c r="C4592" s="207" t="s">
        <v>5251</v>
      </c>
      <c r="D4592" s="208" t="s">
        <v>580</v>
      </c>
      <c r="E4592" s="209">
        <v>37.85</v>
      </c>
      <c r="F4592" s="209">
        <v>5.79</v>
      </c>
      <c r="G4592" s="209">
        <v>43.64</v>
      </c>
      <c r="H4592" s="198"/>
    </row>
    <row r="4593" spans="1:8" ht="15.75" hidden="1" customHeight="1" x14ac:dyDescent="0.25">
      <c r="A4593" s="205" t="s">
        <v>5242</v>
      </c>
      <c r="B4593" s="206">
        <v>89655</v>
      </c>
      <c r="C4593" s="207" t="s">
        <v>5252</v>
      </c>
      <c r="D4593" s="208" t="s">
        <v>580</v>
      </c>
      <c r="E4593" s="209">
        <v>24.24</v>
      </c>
      <c r="F4593" s="209">
        <v>3.56</v>
      </c>
      <c r="G4593" s="209">
        <v>27.8</v>
      </c>
      <c r="H4593" s="198"/>
    </row>
    <row r="4594" spans="1:8" ht="15.75" hidden="1" customHeight="1" x14ac:dyDescent="0.25">
      <c r="A4594" s="205" t="s">
        <v>5242</v>
      </c>
      <c r="B4594" s="206">
        <v>89662</v>
      </c>
      <c r="C4594" s="207" t="s">
        <v>5253</v>
      </c>
      <c r="D4594" s="208" t="s">
        <v>580</v>
      </c>
      <c r="E4594" s="209">
        <v>31.81</v>
      </c>
      <c r="F4594" s="209">
        <v>4.04</v>
      </c>
      <c r="G4594" s="209">
        <v>35.85</v>
      </c>
      <c r="H4594" s="198"/>
    </row>
    <row r="4595" spans="1:8" ht="15.75" hidden="1" customHeight="1" x14ac:dyDescent="0.25">
      <c r="A4595" s="205" t="s">
        <v>5242</v>
      </c>
      <c r="B4595" s="206">
        <v>89758</v>
      </c>
      <c r="C4595" s="207" t="s">
        <v>5254</v>
      </c>
      <c r="D4595" s="208" t="s">
        <v>580</v>
      </c>
      <c r="E4595" s="209">
        <v>37.799999999999997</v>
      </c>
      <c r="F4595" s="209">
        <v>4.58</v>
      </c>
      <c r="G4595" s="209">
        <v>42.38</v>
      </c>
      <c r="H4595" s="198"/>
    </row>
    <row r="4596" spans="1:8" ht="15.75" hidden="1" customHeight="1" x14ac:dyDescent="0.25">
      <c r="A4596" s="205" t="s">
        <v>5242</v>
      </c>
      <c r="B4596" s="206">
        <v>89676</v>
      </c>
      <c r="C4596" s="207" t="s">
        <v>5255</v>
      </c>
      <c r="D4596" s="208" t="s">
        <v>580</v>
      </c>
      <c r="E4596" s="209">
        <v>37.479999999999997</v>
      </c>
      <c r="F4596" s="209">
        <v>5.12</v>
      </c>
      <c r="G4596" s="209">
        <v>42.6</v>
      </c>
      <c r="H4596" s="198"/>
    </row>
    <row r="4597" spans="1:8" ht="15.75" hidden="1" customHeight="1" x14ac:dyDescent="0.25">
      <c r="A4597" s="205" t="s">
        <v>5242</v>
      </c>
      <c r="B4597" s="206">
        <v>89818</v>
      </c>
      <c r="C4597" s="207" t="s">
        <v>5256</v>
      </c>
      <c r="D4597" s="208" t="s">
        <v>580</v>
      </c>
      <c r="E4597" s="209">
        <v>57.5</v>
      </c>
      <c r="F4597" s="209">
        <v>2.91</v>
      </c>
      <c r="G4597" s="209">
        <v>60.41</v>
      </c>
      <c r="H4597" s="198"/>
    </row>
    <row r="4598" spans="1:8" ht="15.75" hidden="1" customHeight="1" x14ac:dyDescent="0.25">
      <c r="A4598" s="205" t="s">
        <v>5242</v>
      </c>
      <c r="B4598" s="206">
        <v>89763</v>
      </c>
      <c r="C4598" s="207" t="s">
        <v>5257</v>
      </c>
      <c r="D4598" s="208" t="s">
        <v>580</v>
      </c>
      <c r="E4598" s="209">
        <v>58.41</v>
      </c>
      <c r="F4598" s="209">
        <v>5.41</v>
      </c>
      <c r="G4598" s="209">
        <v>63.82</v>
      </c>
      <c r="H4598" s="198"/>
    </row>
    <row r="4599" spans="1:8" ht="15.75" hidden="1" customHeight="1" x14ac:dyDescent="0.25">
      <c r="A4599" s="205" t="s">
        <v>5242</v>
      </c>
      <c r="B4599" s="206">
        <v>89686</v>
      </c>
      <c r="C4599" s="207" t="s">
        <v>5258</v>
      </c>
      <c r="D4599" s="208" t="s">
        <v>580</v>
      </c>
      <c r="E4599" s="209">
        <v>58.63</v>
      </c>
      <c r="F4599" s="209">
        <v>6.06</v>
      </c>
      <c r="G4599" s="209">
        <v>64.69</v>
      </c>
      <c r="H4599" s="198"/>
    </row>
    <row r="4600" spans="1:8" ht="15.75" hidden="1" customHeight="1" x14ac:dyDescent="0.25">
      <c r="A4600" s="205" t="s">
        <v>5242</v>
      </c>
      <c r="B4600" s="206">
        <v>89831</v>
      </c>
      <c r="C4600" s="207" t="s">
        <v>5259</v>
      </c>
      <c r="D4600" s="208" t="s">
        <v>580</v>
      </c>
      <c r="E4600" s="209">
        <v>69.67</v>
      </c>
      <c r="F4600" s="209">
        <v>3.28</v>
      </c>
      <c r="G4600" s="209">
        <v>72.95</v>
      </c>
      <c r="H4600" s="198"/>
    </row>
    <row r="4601" spans="1:8" ht="15.75" hidden="1" customHeight="1" x14ac:dyDescent="0.25">
      <c r="A4601" s="205" t="s">
        <v>5242</v>
      </c>
      <c r="B4601" s="206">
        <v>104029</v>
      </c>
      <c r="C4601" s="207" t="s">
        <v>5260</v>
      </c>
      <c r="D4601" s="208" t="s">
        <v>580</v>
      </c>
      <c r="E4601" s="209">
        <v>70.64</v>
      </c>
      <c r="F4601" s="209">
        <v>6.04</v>
      </c>
      <c r="G4601" s="209">
        <v>76.680000000000007</v>
      </c>
      <c r="H4601" s="198"/>
    </row>
    <row r="4602" spans="1:8" ht="15.75" hidden="1" customHeight="1" x14ac:dyDescent="0.25">
      <c r="A4602" s="205" t="s">
        <v>5242</v>
      </c>
      <c r="B4602" s="206">
        <v>89668</v>
      </c>
      <c r="C4602" s="207" t="s">
        <v>5261</v>
      </c>
      <c r="D4602" s="208" t="s">
        <v>580</v>
      </c>
      <c r="E4602" s="209">
        <v>29.53</v>
      </c>
      <c r="F4602" s="209">
        <v>4.37</v>
      </c>
      <c r="G4602" s="209">
        <v>33.9</v>
      </c>
      <c r="H4602" s="198"/>
    </row>
    <row r="4603" spans="1:8" ht="15.75" hidden="1" customHeight="1" x14ac:dyDescent="0.25">
      <c r="A4603" s="205" t="s">
        <v>5242</v>
      </c>
      <c r="B4603" s="206">
        <v>89639</v>
      </c>
      <c r="C4603" s="207" t="s">
        <v>5262</v>
      </c>
      <c r="D4603" s="208" t="s">
        <v>580</v>
      </c>
      <c r="E4603" s="209">
        <v>9.6</v>
      </c>
      <c r="F4603" s="209">
        <v>5.35</v>
      </c>
      <c r="G4603" s="209">
        <v>14.95</v>
      </c>
      <c r="H4603" s="198"/>
    </row>
    <row r="4604" spans="1:8" ht="15.75" hidden="1" customHeight="1" x14ac:dyDescent="0.25">
      <c r="A4604" s="205" t="s">
        <v>5242</v>
      </c>
      <c r="B4604" s="206">
        <v>89721</v>
      </c>
      <c r="C4604" s="207" t="s">
        <v>5263</v>
      </c>
      <c r="D4604" s="208" t="s">
        <v>580</v>
      </c>
      <c r="E4604" s="209">
        <v>13.27</v>
      </c>
      <c r="F4604" s="209">
        <v>6.04</v>
      </c>
      <c r="G4604" s="209">
        <v>19.309999999999999</v>
      </c>
      <c r="H4604" s="198"/>
    </row>
    <row r="4605" spans="1:8" ht="15.75" hidden="1" customHeight="1" x14ac:dyDescent="0.25">
      <c r="A4605" s="205" t="s">
        <v>5242</v>
      </c>
      <c r="B4605" s="206">
        <v>89643</v>
      </c>
      <c r="C4605" s="207" t="s">
        <v>5264</v>
      </c>
      <c r="D4605" s="208" t="s">
        <v>580</v>
      </c>
      <c r="E4605" s="209">
        <v>13.51</v>
      </c>
      <c r="F4605" s="209">
        <v>6.77</v>
      </c>
      <c r="G4605" s="209">
        <v>20.28</v>
      </c>
      <c r="H4605" s="198"/>
    </row>
    <row r="4606" spans="1:8" ht="15.75" hidden="1" customHeight="1" x14ac:dyDescent="0.25">
      <c r="A4606" s="205" t="s">
        <v>5242</v>
      </c>
      <c r="B4606" s="206">
        <v>89727</v>
      </c>
      <c r="C4606" s="207" t="s">
        <v>5265</v>
      </c>
      <c r="D4606" s="208" t="s">
        <v>580</v>
      </c>
      <c r="E4606" s="209">
        <v>21.77</v>
      </c>
      <c r="F4606" s="209">
        <v>7.14</v>
      </c>
      <c r="G4606" s="209">
        <v>28.91</v>
      </c>
      <c r="H4606" s="198"/>
    </row>
    <row r="4607" spans="1:8" ht="15.75" hidden="1" customHeight="1" x14ac:dyDescent="0.25">
      <c r="A4607" s="205" t="s">
        <v>5242</v>
      </c>
      <c r="B4607" s="206">
        <v>89648</v>
      </c>
      <c r="C4607" s="207" t="s">
        <v>5266</v>
      </c>
      <c r="D4607" s="208" t="s">
        <v>580</v>
      </c>
      <c r="E4607" s="209">
        <v>22.05</v>
      </c>
      <c r="F4607" s="209">
        <v>7.99</v>
      </c>
      <c r="G4607" s="209">
        <v>30.04</v>
      </c>
      <c r="H4607" s="198"/>
    </row>
    <row r="4608" spans="1:8" ht="15.75" hidden="1" customHeight="1" x14ac:dyDescent="0.25">
      <c r="A4608" s="205" t="s">
        <v>5242</v>
      </c>
      <c r="B4608" s="206">
        <v>89749</v>
      </c>
      <c r="C4608" s="207" t="s">
        <v>5267</v>
      </c>
      <c r="D4608" s="208" t="s">
        <v>580</v>
      </c>
      <c r="E4608" s="209">
        <v>15.66</v>
      </c>
      <c r="F4608" s="209">
        <v>4.03</v>
      </c>
      <c r="G4608" s="209">
        <v>19.690000000000001</v>
      </c>
      <c r="H4608" s="198"/>
    </row>
    <row r="4609" spans="1:8" ht="15.75" hidden="1" customHeight="1" x14ac:dyDescent="0.25">
      <c r="A4609" s="205" t="s">
        <v>5242</v>
      </c>
      <c r="B4609" s="206">
        <v>89657</v>
      </c>
      <c r="C4609" s="207" t="s">
        <v>5268</v>
      </c>
      <c r="D4609" s="208" t="s">
        <v>580</v>
      </c>
      <c r="E4609" s="209">
        <v>12.87</v>
      </c>
      <c r="F4609" s="209">
        <v>3.57</v>
      </c>
      <c r="G4609" s="209">
        <v>16.440000000000001</v>
      </c>
      <c r="H4609" s="198"/>
    </row>
    <row r="4610" spans="1:8" ht="15.75" hidden="1" customHeight="1" x14ac:dyDescent="0.25">
      <c r="A4610" s="205" t="s">
        <v>5242</v>
      </c>
      <c r="B4610" s="206">
        <v>89664</v>
      </c>
      <c r="C4610" s="207" t="s">
        <v>5269</v>
      </c>
      <c r="D4610" s="208" t="s">
        <v>580</v>
      </c>
      <c r="E4610" s="209">
        <v>15.84</v>
      </c>
      <c r="F4610" s="209">
        <v>4.51</v>
      </c>
      <c r="G4610" s="209">
        <v>20.350000000000001</v>
      </c>
      <c r="H4610" s="198"/>
    </row>
    <row r="4611" spans="1:8" ht="15.75" hidden="1" customHeight="1" x14ac:dyDescent="0.25">
      <c r="A4611" s="205" t="s">
        <v>5242</v>
      </c>
      <c r="B4611" s="206">
        <v>89638</v>
      </c>
      <c r="C4611" s="207" t="s">
        <v>5270</v>
      </c>
      <c r="D4611" s="208" t="s">
        <v>580</v>
      </c>
      <c r="E4611" s="209">
        <v>8.8800000000000008</v>
      </c>
      <c r="F4611" s="209">
        <v>5.35</v>
      </c>
      <c r="G4611" s="209">
        <v>14.23</v>
      </c>
      <c r="H4611" s="198"/>
    </row>
    <row r="4612" spans="1:8" ht="15.75" hidden="1" customHeight="1" x14ac:dyDescent="0.25">
      <c r="A4612" s="205" t="s">
        <v>5242</v>
      </c>
      <c r="B4612" s="206">
        <v>89720</v>
      </c>
      <c r="C4612" s="207" t="s">
        <v>5271</v>
      </c>
      <c r="D4612" s="208" t="s">
        <v>580</v>
      </c>
      <c r="E4612" s="209">
        <v>11.83</v>
      </c>
      <c r="F4612" s="209">
        <v>6.05</v>
      </c>
      <c r="G4612" s="209">
        <v>17.88</v>
      </c>
      <c r="H4612" s="198"/>
    </row>
    <row r="4613" spans="1:8" ht="15.75" hidden="1" customHeight="1" x14ac:dyDescent="0.25">
      <c r="A4613" s="205" t="s">
        <v>5242</v>
      </c>
      <c r="B4613" s="206">
        <v>89642</v>
      </c>
      <c r="C4613" s="207" t="s">
        <v>5272</v>
      </c>
      <c r="D4613" s="208" t="s">
        <v>580</v>
      </c>
      <c r="E4613" s="209">
        <v>12.07</v>
      </c>
      <c r="F4613" s="209">
        <v>6.78</v>
      </c>
      <c r="G4613" s="209">
        <v>18.850000000000001</v>
      </c>
      <c r="H4613" s="198"/>
    </row>
    <row r="4614" spans="1:8" ht="15.75" hidden="1" customHeight="1" x14ac:dyDescent="0.25">
      <c r="A4614" s="205" t="s">
        <v>5242</v>
      </c>
      <c r="B4614" s="206">
        <v>89725</v>
      </c>
      <c r="C4614" s="207" t="s">
        <v>5273</v>
      </c>
      <c r="D4614" s="208" t="s">
        <v>580</v>
      </c>
      <c r="E4614" s="209">
        <v>16.18</v>
      </c>
      <c r="F4614" s="209">
        <v>7.14</v>
      </c>
      <c r="G4614" s="209">
        <v>23.32</v>
      </c>
      <c r="H4614" s="198"/>
    </row>
    <row r="4615" spans="1:8" ht="15.75" hidden="1" customHeight="1" x14ac:dyDescent="0.25">
      <c r="A4615" s="205" t="s">
        <v>5242</v>
      </c>
      <c r="B4615" s="206">
        <v>89647</v>
      </c>
      <c r="C4615" s="207" t="s">
        <v>5274</v>
      </c>
      <c r="D4615" s="208" t="s">
        <v>580</v>
      </c>
      <c r="E4615" s="209">
        <v>16.46</v>
      </c>
      <c r="F4615" s="209">
        <v>7.99</v>
      </c>
      <c r="G4615" s="209">
        <v>24.45</v>
      </c>
      <c r="H4615" s="198"/>
    </row>
    <row r="4616" spans="1:8" ht="15.75" hidden="1" customHeight="1" x14ac:dyDescent="0.25">
      <c r="A4616" s="205" t="s">
        <v>5242</v>
      </c>
      <c r="B4616" s="206">
        <v>89780</v>
      </c>
      <c r="C4616" s="207" t="s">
        <v>5275</v>
      </c>
      <c r="D4616" s="208" t="s">
        <v>580</v>
      </c>
      <c r="E4616" s="209">
        <v>23.51</v>
      </c>
      <c r="F4616" s="209">
        <v>4.49</v>
      </c>
      <c r="G4616" s="209">
        <v>28</v>
      </c>
      <c r="H4616" s="198"/>
    </row>
    <row r="4617" spans="1:8" ht="15.75" hidden="1" customHeight="1" x14ac:dyDescent="0.25">
      <c r="A4617" s="205" t="s">
        <v>5242</v>
      </c>
      <c r="B4617" s="206">
        <v>89734</v>
      </c>
      <c r="C4617" s="207" t="s">
        <v>5276</v>
      </c>
      <c r="D4617" s="208" t="s">
        <v>580</v>
      </c>
      <c r="E4617" s="209">
        <v>24.88</v>
      </c>
      <c r="F4617" s="209">
        <v>8.41</v>
      </c>
      <c r="G4617" s="209">
        <v>33.29</v>
      </c>
      <c r="H4617" s="198"/>
    </row>
    <row r="4618" spans="1:8" ht="15.75" hidden="1" customHeight="1" x14ac:dyDescent="0.25">
      <c r="A4618" s="205" t="s">
        <v>5242</v>
      </c>
      <c r="B4618" s="206">
        <v>89650</v>
      </c>
      <c r="C4618" s="207" t="s">
        <v>5277</v>
      </c>
      <c r="D4618" s="208" t="s">
        <v>580</v>
      </c>
      <c r="E4618" s="209">
        <v>25.23</v>
      </c>
      <c r="F4618" s="209">
        <v>9.4</v>
      </c>
      <c r="G4618" s="209">
        <v>34.630000000000003</v>
      </c>
      <c r="H4618" s="198"/>
    </row>
    <row r="4619" spans="1:8" ht="15.75" hidden="1" customHeight="1" x14ac:dyDescent="0.25">
      <c r="A4619" s="205" t="s">
        <v>5242</v>
      </c>
      <c r="B4619" s="206">
        <v>89787</v>
      </c>
      <c r="C4619" s="207" t="s">
        <v>5278</v>
      </c>
      <c r="D4619" s="208" t="s">
        <v>580</v>
      </c>
      <c r="E4619" s="209">
        <v>36.24</v>
      </c>
      <c r="F4619" s="209">
        <v>5.31</v>
      </c>
      <c r="G4619" s="209">
        <v>41.55</v>
      </c>
      <c r="H4619" s="198"/>
    </row>
    <row r="4620" spans="1:8" ht="15.75" hidden="1" customHeight="1" x14ac:dyDescent="0.25">
      <c r="A4620" s="205" t="s">
        <v>5242</v>
      </c>
      <c r="B4620" s="206">
        <v>104024</v>
      </c>
      <c r="C4620" s="207" t="s">
        <v>5279</v>
      </c>
      <c r="D4620" s="208" t="s">
        <v>580</v>
      </c>
      <c r="E4620" s="209">
        <v>37.79</v>
      </c>
      <c r="F4620" s="209">
        <v>9.69</v>
      </c>
      <c r="G4620" s="209">
        <v>47.48</v>
      </c>
      <c r="H4620" s="198"/>
    </row>
    <row r="4621" spans="1:8" ht="15.75" hidden="1" customHeight="1" x14ac:dyDescent="0.25">
      <c r="A4621" s="205" t="s">
        <v>5242</v>
      </c>
      <c r="B4621" s="206">
        <v>89789</v>
      </c>
      <c r="C4621" s="207" t="s">
        <v>5280</v>
      </c>
      <c r="D4621" s="208" t="s">
        <v>580</v>
      </c>
      <c r="E4621" s="209">
        <v>70.02</v>
      </c>
      <c r="F4621" s="209">
        <v>6.62</v>
      </c>
      <c r="G4621" s="209">
        <v>76.64</v>
      </c>
      <c r="H4621" s="198"/>
    </row>
    <row r="4622" spans="1:8" ht="15.75" hidden="1" customHeight="1" x14ac:dyDescent="0.25">
      <c r="A4622" s="205" t="s">
        <v>5242</v>
      </c>
      <c r="B4622" s="206">
        <v>89791</v>
      </c>
      <c r="C4622" s="207" t="s">
        <v>5281</v>
      </c>
      <c r="D4622" s="208" t="s">
        <v>580</v>
      </c>
      <c r="E4622" s="209">
        <v>164.03</v>
      </c>
      <c r="F4622" s="209">
        <v>8.74</v>
      </c>
      <c r="G4622" s="209">
        <v>172.77</v>
      </c>
      <c r="H4622" s="198"/>
    </row>
    <row r="4623" spans="1:8" ht="15.75" hidden="1" customHeight="1" x14ac:dyDescent="0.25">
      <c r="A4623" s="205" t="s">
        <v>5242</v>
      </c>
      <c r="B4623" s="206">
        <v>89793</v>
      </c>
      <c r="C4623" s="207" t="s">
        <v>5282</v>
      </c>
      <c r="D4623" s="208" t="s">
        <v>580</v>
      </c>
      <c r="E4623" s="209">
        <v>238.56</v>
      </c>
      <c r="F4623" s="209">
        <v>10.51</v>
      </c>
      <c r="G4623" s="209">
        <v>249.07</v>
      </c>
      <c r="H4623" s="198"/>
    </row>
    <row r="4624" spans="1:8" ht="15.75" hidden="1" customHeight="1" x14ac:dyDescent="0.25">
      <c r="A4624" s="205" t="s">
        <v>5242</v>
      </c>
      <c r="B4624" s="206">
        <v>89637</v>
      </c>
      <c r="C4624" s="207" t="s">
        <v>5283</v>
      </c>
      <c r="D4624" s="208" t="s">
        <v>580</v>
      </c>
      <c r="E4624" s="209">
        <v>7.86</v>
      </c>
      <c r="F4624" s="209">
        <v>5.35</v>
      </c>
      <c r="G4624" s="209">
        <v>13.21</v>
      </c>
      <c r="H4624" s="198"/>
    </row>
    <row r="4625" spans="1:8" ht="15.75" hidden="1" customHeight="1" x14ac:dyDescent="0.25">
      <c r="A4625" s="205" t="s">
        <v>5242</v>
      </c>
      <c r="B4625" s="206">
        <v>89719</v>
      </c>
      <c r="C4625" s="207" t="s">
        <v>5284</v>
      </c>
      <c r="D4625" s="208" t="s">
        <v>580</v>
      </c>
      <c r="E4625" s="209">
        <v>10.050000000000001</v>
      </c>
      <c r="F4625" s="209">
        <v>6.04</v>
      </c>
      <c r="G4625" s="209">
        <v>16.09</v>
      </c>
      <c r="H4625" s="198"/>
    </row>
    <row r="4626" spans="1:8" ht="15.75" hidden="1" customHeight="1" x14ac:dyDescent="0.25">
      <c r="A4626" s="205" t="s">
        <v>5242</v>
      </c>
      <c r="B4626" s="206">
        <v>89641</v>
      </c>
      <c r="C4626" s="207" t="s">
        <v>5285</v>
      </c>
      <c r="D4626" s="208" t="s">
        <v>580</v>
      </c>
      <c r="E4626" s="209">
        <v>10.29</v>
      </c>
      <c r="F4626" s="209">
        <v>6.77</v>
      </c>
      <c r="G4626" s="209">
        <v>17.059999999999999</v>
      </c>
      <c r="H4626" s="198"/>
    </row>
    <row r="4627" spans="1:8" ht="15.75" hidden="1" customHeight="1" x14ac:dyDescent="0.25">
      <c r="A4627" s="205" t="s">
        <v>5242</v>
      </c>
      <c r="B4627" s="206">
        <v>89723</v>
      </c>
      <c r="C4627" s="207" t="s">
        <v>5286</v>
      </c>
      <c r="D4627" s="208" t="s">
        <v>580</v>
      </c>
      <c r="E4627" s="209">
        <v>16.91</v>
      </c>
      <c r="F4627" s="209">
        <v>7.15</v>
      </c>
      <c r="G4627" s="209">
        <v>24.06</v>
      </c>
      <c r="H4627" s="198"/>
    </row>
    <row r="4628" spans="1:8" ht="15.75" hidden="1" customHeight="1" x14ac:dyDescent="0.25">
      <c r="A4628" s="205" t="s">
        <v>5242</v>
      </c>
      <c r="B4628" s="206">
        <v>89646</v>
      </c>
      <c r="C4628" s="207" t="s">
        <v>5287</v>
      </c>
      <c r="D4628" s="208" t="s">
        <v>580</v>
      </c>
      <c r="E4628" s="209">
        <v>17.2</v>
      </c>
      <c r="F4628" s="209">
        <v>7.99</v>
      </c>
      <c r="G4628" s="209">
        <v>25.19</v>
      </c>
      <c r="H4628" s="198"/>
    </row>
    <row r="4629" spans="1:8" ht="15.75" hidden="1" customHeight="1" x14ac:dyDescent="0.25">
      <c r="A4629" s="205" t="s">
        <v>5242</v>
      </c>
      <c r="B4629" s="206">
        <v>89777</v>
      </c>
      <c r="C4629" s="207" t="s">
        <v>5288</v>
      </c>
      <c r="D4629" s="208" t="s">
        <v>580</v>
      </c>
      <c r="E4629" s="209">
        <v>25.35</v>
      </c>
      <c r="F4629" s="209">
        <v>4.49</v>
      </c>
      <c r="G4629" s="209">
        <v>29.84</v>
      </c>
      <c r="H4629" s="198"/>
    </row>
    <row r="4630" spans="1:8" ht="15.75" hidden="1" customHeight="1" x14ac:dyDescent="0.25">
      <c r="A4630" s="205" t="s">
        <v>5242</v>
      </c>
      <c r="B4630" s="206">
        <v>89729</v>
      </c>
      <c r="C4630" s="207" t="s">
        <v>5289</v>
      </c>
      <c r="D4630" s="208" t="s">
        <v>580</v>
      </c>
      <c r="E4630" s="209">
        <v>26.71</v>
      </c>
      <c r="F4630" s="209">
        <v>8.42</v>
      </c>
      <c r="G4630" s="209">
        <v>35.130000000000003</v>
      </c>
      <c r="H4630" s="198"/>
    </row>
    <row r="4631" spans="1:8" ht="15.75" hidden="1" customHeight="1" x14ac:dyDescent="0.25">
      <c r="A4631" s="205" t="s">
        <v>5242</v>
      </c>
      <c r="B4631" s="206">
        <v>89649</v>
      </c>
      <c r="C4631" s="207" t="s">
        <v>5290</v>
      </c>
      <c r="D4631" s="208" t="s">
        <v>580</v>
      </c>
      <c r="E4631" s="209">
        <v>27.07</v>
      </c>
      <c r="F4631" s="209">
        <v>9.4</v>
      </c>
      <c r="G4631" s="209">
        <v>36.47</v>
      </c>
      <c r="H4631" s="198"/>
    </row>
    <row r="4632" spans="1:8" ht="15.75" hidden="1" customHeight="1" x14ac:dyDescent="0.25">
      <c r="A4632" s="205" t="s">
        <v>5242</v>
      </c>
      <c r="B4632" s="206">
        <v>89781</v>
      </c>
      <c r="C4632" s="207" t="s">
        <v>5291</v>
      </c>
      <c r="D4632" s="208" t="s">
        <v>580</v>
      </c>
      <c r="E4632" s="209">
        <v>36.700000000000003</v>
      </c>
      <c r="F4632" s="209">
        <v>5.3</v>
      </c>
      <c r="G4632" s="209">
        <v>42</v>
      </c>
      <c r="H4632" s="198"/>
    </row>
    <row r="4633" spans="1:8" ht="15.75" hidden="1" customHeight="1" x14ac:dyDescent="0.25">
      <c r="A4633" s="205" t="s">
        <v>5242</v>
      </c>
      <c r="B4633" s="206">
        <v>104023</v>
      </c>
      <c r="C4633" s="207" t="s">
        <v>5292</v>
      </c>
      <c r="D4633" s="208" t="s">
        <v>580</v>
      </c>
      <c r="E4633" s="209">
        <v>38.24</v>
      </c>
      <c r="F4633" s="209">
        <v>9.69</v>
      </c>
      <c r="G4633" s="209">
        <v>47.93</v>
      </c>
      <c r="H4633" s="198"/>
    </row>
    <row r="4634" spans="1:8" ht="15.75" hidden="1" customHeight="1" x14ac:dyDescent="0.25">
      <c r="A4634" s="205" t="s">
        <v>5242</v>
      </c>
      <c r="B4634" s="206">
        <v>89788</v>
      </c>
      <c r="C4634" s="207" t="s">
        <v>5293</v>
      </c>
      <c r="D4634" s="208" t="s">
        <v>580</v>
      </c>
      <c r="E4634" s="209">
        <v>83.41</v>
      </c>
      <c r="F4634" s="209">
        <v>6.61</v>
      </c>
      <c r="G4634" s="209">
        <v>90.02</v>
      </c>
      <c r="H4634" s="198"/>
    </row>
    <row r="4635" spans="1:8" ht="15.75" hidden="1" customHeight="1" x14ac:dyDescent="0.25">
      <c r="A4635" s="205" t="s">
        <v>5242</v>
      </c>
      <c r="B4635" s="206">
        <v>89790</v>
      </c>
      <c r="C4635" s="207" t="s">
        <v>5294</v>
      </c>
      <c r="D4635" s="208" t="s">
        <v>580</v>
      </c>
      <c r="E4635" s="209">
        <v>170.08</v>
      </c>
      <c r="F4635" s="209">
        <v>8.74</v>
      </c>
      <c r="G4635" s="209">
        <v>178.82</v>
      </c>
      <c r="H4635" s="198"/>
    </row>
    <row r="4636" spans="1:8" ht="15.75" hidden="1" customHeight="1" x14ac:dyDescent="0.25">
      <c r="A4636" s="205" t="s">
        <v>5242</v>
      </c>
      <c r="B4636" s="206">
        <v>89792</v>
      </c>
      <c r="C4636" s="207" t="s">
        <v>5295</v>
      </c>
      <c r="D4636" s="208" t="s">
        <v>580</v>
      </c>
      <c r="E4636" s="209">
        <v>200.9</v>
      </c>
      <c r="F4636" s="209">
        <v>10.52</v>
      </c>
      <c r="G4636" s="209">
        <v>211.42</v>
      </c>
      <c r="H4636" s="198"/>
    </row>
    <row r="4637" spans="1:8" ht="15.75" hidden="1" customHeight="1" x14ac:dyDescent="0.25">
      <c r="A4637" s="205" t="s">
        <v>5242</v>
      </c>
      <c r="B4637" s="206">
        <v>89640</v>
      </c>
      <c r="C4637" s="207" t="s">
        <v>5296</v>
      </c>
      <c r="D4637" s="208" t="s">
        <v>580</v>
      </c>
      <c r="E4637" s="209">
        <v>17.350000000000001</v>
      </c>
      <c r="F4637" s="209">
        <v>5.35</v>
      </c>
      <c r="G4637" s="209">
        <v>22.7</v>
      </c>
      <c r="H4637" s="198"/>
    </row>
    <row r="4638" spans="1:8" ht="15.75" hidden="1" customHeight="1" x14ac:dyDescent="0.25">
      <c r="A4638" s="205" t="s">
        <v>5242</v>
      </c>
      <c r="B4638" s="206">
        <v>89644</v>
      </c>
      <c r="C4638" s="207" t="s">
        <v>5297</v>
      </c>
      <c r="D4638" s="208" t="s">
        <v>580</v>
      </c>
      <c r="E4638" s="209">
        <v>21.54</v>
      </c>
      <c r="F4638" s="209">
        <v>6.06</v>
      </c>
      <c r="G4638" s="209">
        <v>27.6</v>
      </c>
      <c r="H4638" s="198"/>
    </row>
    <row r="4639" spans="1:8" ht="15.75" hidden="1" customHeight="1" x14ac:dyDescent="0.25">
      <c r="A4639" s="205" t="s">
        <v>5242</v>
      </c>
      <c r="B4639" s="206">
        <v>89645</v>
      </c>
      <c r="C4639" s="207" t="s">
        <v>5298</v>
      </c>
      <c r="D4639" s="208" t="s">
        <v>580</v>
      </c>
      <c r="E4639" s="209">
        <v>31.5</v>
      </c>
      <c r="F4639" s="209">
        <v>6.57</v>
      </c>
      <c r="G4639" s="209">
        <v>38.07</v>
      </c>
      <c r="H4639" s="198"/>
    </row>
    <row r="4640" spans="1:8" ht="15.75" hidden="1" customHeight="1" x14ac:dyDescent="0.25">
      <c r="A4640" s="205" t="s">
        <v>5242</v>
      </c>
      <c r="B4640" s="206">
        <v>89652</v>
      </c>
      <c r="C4640" s="207" t="s">
        <v>5299</v>
      </c>
      <c r="D4640" s="208" t="s">
        <v>580</v>
      </c>
      <c r="E4640" s="209">
        <v>11.05</v>
      </c>
      <c r="F4640" s="209">
        <v>3.57</v>
      </c>
      <c r="G4640" s="209">
        <v>14.62</v>
      </c>
      <c r="H4640" s="198"/>
    </row>
    <row r="4641" spans="1:8" ht="15.75" hidden="1" customHeight="1" x14ac:dyDescent="0.25">
      <c r="A4641" s="205" t="s">
        <v>5242</v>
      </c>
      <c r="B4641" s="206">
        <v>89738</v>
      </c>
      <c r="C4641" s="207" t="s">
        <v>5300</v>
      </c>
      <c r="D4641" s="208" t="s">
        <v>580</v>
      </c>
      <c r="E4641" s="209">
        <v>15.75</v>
      </c>
      <c r="F4641" s="209">
        <v>4.0199999999999996</v>
      </c>
      <c r="G4641" s="209">
        <v>19.77</v>
      </c>
      <c r="H4641" s="198"/>
    </row>
    <row r="4642" spans="1:8" ht="15.75" hidden="1" customHeight="1" x14ac:dyDescent="0.25">
      <c r="A4642" s="205" t="s">
        <v>5242</v>
      </c>
      <c r="B4642" s="206">
        <v>89659</v>
      </c>
      <c r="C4642" s="207" t="s">
        <v>5301</v>
      </c>
      <c r="D4642" s="208" t="s">
        <v>580</v>
      </c>
      <c r="E4642" s="209">
        <v>15.92</v>
      </c>
      <c r="F4642" s="209">
        <v>4.51</v>
      </c>
      <c r="G4642" s="209">
        <v>20.43</v>
      </c>
      <c r="H4642" s="198"/>
    </row>
    <row r="4643" spans="1:8" ht="15.75" hidden="1" customHeight="1" x14ac:dyDescent="0.25">
      <c r="A4643" s="205" t="s">
        <v>5242</v>
      </c>
      <c r="B4643" s="206">
        <v>89756</v>
      </c>
      <c r="C4643" s="207" t="s">
        <v>5302</v>
      </c>
      <c r="D4643" s="208" t="s">
        <v>580</v>
      </c>
      <c r="E4643" s="209">
        <v>22.43</v>
      </c>
      <c r="F4643" s="209">
        <v>4.75</v>
      </c>
      <c r="G4643" s="209">
        <v>27.18</v>
      </c>
      <c r="H4643" s="198"/>
    </row>
    <row r="4644" spans="1:8" ht="15.75" hidden="1" customHeight="1" x14ac:dyDescent="0.25">
      <c r="A4644" s="205" t="s">
        <v>5242</v>
      </c>
      <c r="B4644" s="206">
        <v>89672</v>
      </c>
      <c r="C4644" s="207" t="s">
        <v>5303</v>
      </c>
      <c r="D4644" s="208" t="s">
        <v>580</v>
      </c>
      <c r="E4644" s="209">
        <v>22.62</v>
      </c>
      <c r="F4644" s="209">
        <v>5.33</v>
      </c>
      <c r="G4644" s="209">
        <v>27.95</v>
      </c>
      <c r="H4644" s="198"/>
    </row>
    <row r="4645" spans="1:8" ht="15.75" hidden="1" customHeight="1" x14ac:dyDescent="0.25">
      <c r="A4645" s="205" t="s">
        <v>5242</v>
      </c>
      <c r="B4645" s="206">
        <v>89815</v>
      </c>
      <c r="C4645" s="207" t="s">
        <v>5304</v>
      </c>
      <c r="D4645" s="208" t="s">
        <v>580</v>
      </c>
      <c r="E4645" s="209">
        <v>29.56</v>
      </c>
      <c r="F4645" s="209">
        <v>3.02</v>
      </c>
      <c r="G4645" s="209">
        <v>32.58</v>
      </c>
      <c r="H4645" s="198"/>
    </row>
    <row r="4646" spans="1:8" ht="15.75" hidden="1" customHeight="1" x14ac:dyDescent="0.25">
      <c r="A4646" s="205" t="s">
        <v>5242</v>
      </c>
      <c r="B4646" s="206">
        <v>89761</v>
      </c>
      <c r="C4646" s="207" t="s">
        <v>5305</v>
      </c>
      <c r="D4646" s="208" t="s">
        <v>580</v>
      </c>
      <c r="E4646" s="209">
        <v>30.47</v>
      </c>
      <c r="F4646" s="209">
        <v>5.61</v>
      </c>
      <c r="G4646" s="209">
        <v>36.08</v>
      </c>
      <c r="H4646" s="198"/>
    </row>
    <row r="4647" spans="1:8" ht="15.75" hidden="1" customHeight="1" x14ac:dyDescent="0.25">
      <c r="A4647" s="205" t="s">
        <v>5242</v>
      </c>
      <c r="B4647" s="206">
        <v>89682</v>
      </c>
      <c r="C4647" s="207" t="s">
        <v>5306</v>
      </c>
      <c r="D4647" s="208" t="s">
        <v>580</v>
      </c>
      <c r="E4647" s="209">
        <v>30.7</v>
      </c>
      <c r="F4647" s="209">
        <v>6.27</v>
      </c>
      <c r="G4647" s="209">
        <v>36.97</v>
      </c>
      <c r="H4647" s="198"/>
    </row>
    <row r="4648" spans="1:8" ht="15.75" hidden="1" customHeight="1" x14ac:dyDescent="0.25">
      <c r="A4648" s="205" t="s">
        <v>5242</v>
      </c>
      <c r="B4648" s="206">
        <v>89824</v>
      </c>
      <c r="C4648" s="207" t="s">
        <v>5307</v>
      </c>
      <c r="D4648" s="208" t="s">
        <v>580</v>
      </c>
      <c r="E4648" s="209">
        <v>40.61</v>
      </c>
      <c r="F4648" s="209">
        <v>3.53</v>
      </c>
      <c r="G4648" s="209">
        <v>44.14</v>
      </c>
      <c r="H4648" s="198"/>
    </row>
    <row r="4649" spans="1:8" ht="15.75" hidden="1" customHeight="1" x14ac:dyDescent="0.25">
      <c r="A4649" s="205" t="s">
        <v>5242</v>
      </c>
      <c r="B4649" s="206">
        <v>104026</v>
      </c>
      <c r="C4649" s="207" t="s">
        <v>5308</v>
      </c>
      <c r="D4649" s="208" t="s">
        <v>580</v>
      </c>
      <c r="E4649" s="209">
        <v>41.65</v>
      </c>
      <c r="F4649" s="209">
        <v>6.46</v>
      </c>
      <c r="G4649" s="209">
        <v>48.11</v>
      </c>
      <c r="H4649" s="198"/>
    </row>
    <row r="4650" spans="1:8" ht="15.75" hidden="1" customHeight="1" x14ac:dyDescent="0.25">
      <c r="A4650" s="205" t="s">
        <v>5242</v>
      </c>
      <c r="B4650" s="206">
        <v>89740</v>
      </c>
      <c r="C4650" s="207" t="s">
        <v>5309</v>
      </c>
      <c r="D4650" s="208" t="s">
        <v>580</v>
      </c>
      <c r="E4650" s="209">
        <v>7.18</v>
      </c>
      <c r="F4650" s="209">
        <v>4.21</v>
      </c>
      <c r="G4650" s="209">
        <v>11.39</v>
      </c>
      <c r="H4650" s="198"/>
    </row>
    <row r="4651" spans="1:8" ht="15.75" hidden="1" customHeight="1" x14ac:dyDescent="0.25">
      <c r="A4651" s="205" t="s">
        <v>5242</v>
      </c>
      <c r="B4651" s="206">
        <v>89836</v>
      </c>
      <c r="C4651" s="207" t="s">
        <v>5310</v>
      </c>
      <c r="D4651" s="208" t="s">
        <v>580</v>
      </c>
      <c r="E4651" s="209">
        <v>219.59</v>
      </c>
      <c r="F4651" s="209">
        <v>4.25</v>
      </c>
      <c r="G4651" s="209">
        <v>223.84</v>
      </c>
      <c r="H4651" s="198"/>
    </row>
    <row r="4652" spans="1:8" ht="15.75" hidden="1" customHeight="1" x14ac:dyDescent="0.25">
      <c r="A4652" s="205" t="s">
        <v>5242</v>
      </c>
      <c r="B4652" s="206">
        <v>89653</v>
      </c>
      <c r="C4652" s="207" t="s">
        <v>5311</v>
      </c>
      <c r="D4652" s="208" t="s">
        <v>580</v>
      </c>
      <c r="E4652" s="209">
        <v>16.82</v>
      </c>
      <c r="F4652" s="209">
        <v>3.57</v>
      </c>
      <c r="G4652" s="209">
        <v>20.39</v>
      </c>
      <c r="H4652" s="198"/>
    </row>
    <row r="4653" spans="1:8" ht="15.75" hidden="1" customHeight="1" x14ac:dyDescent="0.25">
      <c r="A4653" s="205" t="s">
        <v>5242</v>
      </c>
      <c r="B4653" s="206">
        <v>89660</v>
      </c>
      <c r="C4653" s="207" t="s">
        <v>5312</v>
      </c>
      <c r="D4653" s="208" t="s">
        <v>580</v>
      </c>
      <c r="E4653" s="209">
        <v>7.36</v>
      </c>
      <c r="F4653" s="209">
        <v>4.7</v>
      </c>
      <c r="G4653" s="209">
        <v>12.06</v>
      </c>
      <c r="H4653" s="198"/>
    </row>
    <row r="4654" spans="1:8" ht="15.75" hidden="1" customHeight="1" x14ac:dyDescent="0.25">
      <c r="A4654" s="205" t="s">
        <v>5242</v>
      </c>
      <c r="B4654" s="206">
        <v>89826</v>
      </c>
      <c r="C4654" s="207" t="s">
        <v>5313</v>
      </c>
      <c r="D4654" s="208" t="s">
        <v>580</v>
      </c>
      <c r="E4654" s="209">
        <v>139.19999999999999</v>
      </c>
      <c r="F4654" s="209">
        <v>3.27</v>
      </c>
      <c r="G4654" s="209">
        <v>142.47</v>
      </c>
      <c r="H4654" s="198"/>
    </row>
    <row r="4655" spans="1:8" ht="15.75" hidden="1" customHeight="1" x14ac:dyDescent="0.25">
      <c r="A4655" s="205" t="s">
        <v>5242</v>
      </c>
      <c r="B4655" s="206">
        <v>104028</v>
      </c>
      <c r="C4655" s="207" t="s">
        <v>5314</v>
      </c>
      <c r="D4655" s="208" t="s">
        <v>580</v>
      </c>
      <c r="E4655" s="209">
        <v>140.16999999999999</v>
      </c>
      <c r="F4655" s="209">
        <v>6.03</v>
      </c>
      <c r="G4655" s="209">
        <v>146.19999999999999</v>
      </c>
      <c r="H4655" s="198"/>
    </row>
    <row r="4656" spans="1:8" ht="15.75" hidden="1" customHeight="1" x14ac:dyDescent="0.25">
      <c r="A4656" s="205" t="s">
        <v>5242</v>
      </c>
      <c r="B4656" s="206">
        <v>89651</v>
      </c>
      <c r="C4656" s="207" t="s">
        <v>5315</v>
      </c>
      <c r="D4656" s="208" t="s">
        <v>580</v>
      </c>
      <c r="E4656" s="209">
        <v>5.36</v>
      </c>
      <c r="F4656" s="209">
        <v>3.56</v>
      </c>
      <c r="G4656" s="209">
        <v>8.92</v>
      </c>
      <c r="H4656" s="198"/>
    </row>
    <row r="4657" spans="1:8" ht="15.75" hidden="1" customHeight="1" x14ac:dyDescent="0.25">
      <c r="A4657" s="205" t="s">
        <v>5242</v>
      </c>
      <c r="B4657" s="206">
        <v>89736</v>
      </c>
      <c r="C4657" s="207" t="s">
        <v>5316</v>
      </c>
      <c r="D4657" s="208" t="s">
        <v>580</v>
      </c>
      <c r="E4657" s="209">
        <v>7.14</v>
      </c>
      <c r="F4657" s="209">
        <v>4.03</v>
      </c>
      <c r="G4657" s="209">
        <v>11.17</v>
      </c>
      <c r="H4657" s="198"/>
    </row>
    <row r="4658" spans="1:8" ht="15.75" hidden="1" customHeight="1" x14ac:dyDescent="0.25">
      <c r="A4658" s="205" t="s">
        <v>5242</v>
      </c>
      <c r="B4658" s="206">
        <v>89658</v>
      </c>
      <c r="C4658" s="207" t="s">
        <v>5317</v>
      </c>
      <c r="D4658" s="208" t="s">
        <v>580</v>
      </c>
      <c r="E4658" s="209">
        <v>7.31</v>
      </c>
      <c r="F4658" s="209">
        <v>4.5199999999999996</v>
      </c>
      <c r="G4658" s="209">
        <v>11.83</v>
      </c>
      <c r="H4658" s="198"/>
    </row>
    <row r="4659" spans="1:8" ht="15.75" hidden="1" customHeight="1" x14ac:dyDescent="0.25">
      <c r="A4659" s="205" t="s">
        <v>5242</v>
      </c>
      <c r="B4659" s="206">
        <v>89755</v>
      </c>
      <c r="C4659" s="207" t="s">
        <v>5318</v>
      </c>
      <c r="D4659" s="208" t="s">
        <v>580</v>
      </c>
      <c r="E4659" s="209">
        <v>11.73</v>
      </c>
      <c r="F4659" s="209">
        <v>4.76</v>
      </c>
      <c r="G4659" s="209">
        <v>16.489999999999998</v>
      </c>
      <c r="H4659" s="198"/>
    </row>
    <row r="4660" spans="1:8" ht="15.75" hidden="1" customHeight="1" x14ac:dyDescent="0.25">
      <c r="A4660" s="205" t="s">
        <v>5242</v>
      </c>
      <c r="B4660" s="206">
        <v>89670</v>
      </c>
      <c r="C4660" s="207" t="s">
        <v>5319</v>
      </c>
      <c r="D4660" s="208" t="s">
        <v>580</v>
      </c>
      <c r="E4660" s="209">
        <v>11.94</v>
      </c>
      <c r="F4660" s="209">
        <v>5.32</v>
      </c>
      <c r="G4660" s="209">
        <v>17.260000000000002</v>
      </c>
      <c r="H4660" s="198"/>
    </row>
    <row r="4661" spans="1:8" ht="15.75" hidden="1" customHeight="1" x14ac:dyDescent="0.25">
      <c r="A4661" s="205" t="s">
        <v>5242</v>
      </c>
      <c r="B4661" s="206">
        <v>89794</v>
      </c>
      <c r="C4661" s="207" t="s">
        <v>5320</v>
      </c>
      <c r="D4661" s="208" t="s">
        <v>580</v>
      </c>
      <c r="E4661" s="209">
        <v>19.47</v>
      </c>
      <c r="F4661" s="209">
        <v>3.02</v>
      </c>
      <c r="G4661" s="209">
        <v>22.49</v>
      </c>
      <c r="H4661" s="198"/>
    </row>
    <row r="4662" spans="1:8" ht="15.75" hidden="1" customHeight="1" x14ac:dyDescent="0.25">
      <c r="A4662" s="205" t="s">
        <v>5242</v>
      </c>
      <c r="B4662" s="206">
        <v>89760</v>
      </c>
      <c r="C4662" s="207" t="s">
        <v>5321</v>
      </c>
      <c r="D4662" s="208" t="s">
        <v>580</v>
      </c>
      <c r="E4662" s="209">
        <v>20.38</v>
      </c>
      <c r="F4662" s="209">
        <v>5.61</v>
      </c>
      <c r="G4662" s="209">
        <v>25.99</v>
      </c>
      <c r="H4662" s="198"/>
    </row>
    <row r="4663" spans="1:8" ht="15.75" hidden="1" customHeight="1" x14ac:dyDescent="0.25">
      <c r="A4663" s="205" t="s">
        <v>5242</v>
      </c>
      <c r="B4663" s="206">
        <v>89680</v>
      </c>
      <c r="C4663" s="207" t="s">
        <v>5322</v>
      </c>
      <c r="D4663" s="208" t="s">
        <v>580</v>
      </c>
      <c r="E4663" s="209">
        <v>20.61</v>
      </c>
      <c r="F4663" s="209">
        <v>6.27</v>
      </c>
      <c r="G4663" s="209">
        <v>26.88</v>
      </c>
      <c r="H4663" s="198"/>
    </row>
    <row r="4664" spans="1:8" ht="15.75" hidden="1" customHeight="1" x14ac:dyDescent="0.25">
      <c r="A4664" s="205" t="s">
        <v>5242</v>
      </c>
      <c r="B4664" s="206">
        <v>89822</v>
      </c>
      <c r="C4664" s="207" t="s">
        <v>5323</v>
      </c>
      <c r="D4664" s="208" t="s">
        <v>580</v>
      </c>
      <c r="E4664" s="209">
        <v>25.79</v>
      </c>
      <c r="F4664" s="209">
        <v>3.52</v>
      </c>
      <c r="G4664" s="209">
        <v>29.31</v>
      </c>
      <c r="H4664" s="198"/>
    </row>
    <row r="4665" spans="1:8" ht="15.75" hidden="1" customHeight="1" x14ac:dyDescent="0.25">
      <c r="A4665" s="205" t="s">
        <v>5242</v>
      </c>
      <c r="B4665" s="206">
        <v>104025</v>
      </c>
      <c r="C4665" s="207" t="s">
        <v>5324</v>
      </c>
      <c r="D4665" s="208" t="s">
        <v>580</v>
      </c>
      <c r="E4665" s="209">
        <v>26.83</v>
      </c>
      <c r="F4665" s="209">
        <v>6.45</v>
      </c>
      <c r="G4665" s="209">
        <v>33.28</v>
      </c>
      <c r="H4665" s="198"/>
    </row>
    <row r="4666" spans="1:8" ht="15.75" hidden="1" customHeight="1" x14ac:dyDescent="0.25">
      <c r="A4666" s="205" t="s">
        <v>5242</v>
      </c>
      <c r="B4666" s="206">
        <v>89835</v>
      </c>
      <c r="C4666" s="207" t="s">
        <v>5325</v>
      </c>
      <c r="D4666" s="208" t="s">
        <v>580</v>
      </c>
      <c r="E4666" s="209">
        <v>45.77</v>
      </c>
      <c r="F4666" s="209">
        <v>4.3899999999999997</v>
      </c>
      <c r="G4666" s="209">
        <v>50.16</v>
      </c>
      <c r="H4666" s="198"/>
    </row>
    <row r="4667" spans="1:8" ht="15.75" hidden="1" customHeight="1" x14ac:dyDescent="0.25">
      <c r="A4667" s="205" t="s">
        <v>5242</v>
      </c>
      <c r="B4667" s="206">
        <v>89838</v>
      </c>
      <c r="C4667" s="207" t="s">
        <v>5326</v>
      </c>
      <c r="D4667" s="208" t="s">
        <v>580</v>
      </c>
      <c r="E4667" s="209">
        <v>166.63</v>
      </c>
      <c r="F4667" s="209">
        <v>5.82</v>
      </c>
      <c r="G4667" s="209">
        <v>172.45</v>
      </c>
      <c r="H4667" s="198"/>
    </row>
    <row r="4668" spans="1:8" ht="15.75" hidden="1" customHeight="1" x14ac:dyDescent="0.25">
      <c r="A4668" s="205" t="s">
        <v>5242</v>
      </c>
      <c r="B4668" s="206">
        <v>89840</v>
      </c>
      <c r="C4668" s="207" t="s">
        <v>5327</v>
      </c>
      <c r="D4668" s="208" t="s">
        <v>580</v>
      </c>
      <c r="E4668" s="209">
        <v>196.22</v>
      </c>
      <c r="F4668" s="209">
        <v>7.03</v>
      </c>
      <c r="G4668" s="209">
        <v>203.25</v>
      </c>
      <c r="H4668" s="198"/>
    </row>
    <row r="4669" spans="1:8" ht="15.75" hidden="1" customHeight="1" x14ac:dyDescent="0.25">
      <c r="A4669" s="205" t="s">
        <v>5242</v>
      </c>
      <c r="B4669" s="206">
        <v>104015</v>
      </c>
      <c r="C4669" s="207" t="s">
        <v>5328</v>
      </c>
      <c r="D4669" s="208" t="s">
        <v>580</v>
      </c>
      <c r="E4669" s="209">
        <v>12.39</v>
      </c>
      <c r="F4669" s="209">
        <v>8.08</v>
      </c>
      <c r="G4669" s="209">
        <v>20.47</v>
      </c>
      <c r="H4669" s="198"/>
    </row>
    <row r="4670" spans="1:8" ht="15.75" hidden="1" customHeight="1" x14ac:dyDescent="0.25">
      <c r="A4670" s="205" t="s">
        <v>5242</v>
      </c>
      <c r="B4670" s="206">
        <v>104018</v>
      </c>
      <c r="C4670" s="207" t="s">
        <v>5329</v>
      </c>
      <c r="D4670" s="208" t="s">
        <v>580</v>
      </c>
      <c r="E4670" s="209">
        <v>17.05</v>
      </c>
      <c r="F4670" s="209">
        <v>8.81</v>
      </c>
      <c r="G4670" s="209">
        <v>25.86</v>
      </c>
      <c r="H4670" s="198"/>
    </row>
    <row r="4671" spans="1:8" ht="15.75" hidden="1" customHeight="1" x14ac:dyDescent="0.25">
      <c r="A4671" s="205" t="s">
        <v>5242</v>
      </c>
      <c r="B4671" s="206">
        <v>104016</v>
      </c>
      <c r="C4671" s="207" t="s">
        <v>5330</v>
      </c>
      <c r="D4671" s="208" t="s">
        <v>580</v>
      </c>
      <c r="E4671" s="209">
        <v>17.43</v>
      </c>
      <c r="F4671" s="209">
        <v>9.85</v>
      </c>
      <c r="G4671" s="209">
        <v>27.28</v>
      </c>
      <c r="H4671" s="198"/>
    </row>
    <row r="4672" spans="1:8" ht="15.75" hidden="1" customHeight="1" x14ac:dyDescent="0.25">
      <c r="A4672" s="205" t="s">
        <v>5242</v>
      </c>
      <c r="B4672" s="206">
        <v>104019</v>
      </c>
      <c r="C4672" s="207" t="s">
        <v>5331</v>
      </c>
      <c r="D4672" s="208" t="s">
        <v>580</v>
      </c>
      <c r="E4672" s="209">
        <v>41.47</v>
      </c>
      <c r="F4672" s="209">
        <v>10.38</v>
      </c>
      <c r="G4672" s="209">
        <v>51.85</v>
      </c>
      <c r="H4672" s="198"/>
    </row>
    <row r="4673" spans="1:8" ht="15.75" hidden="1" customHeight="1" x14ac:dyDescent="0.25">
      <c r="A4673" s="205" t="s">
        <v>5242</v>
      </c>
      <c r="B4673" s="206">
        <v>104017</v>
      </c>
      <c r="C4673" s="207" t="s">
        <v>5332</v>
      </c>
      <c r="D4673" s="208" t="s">
        <v>580</v>
      </c>
      <c r="E4673" s="209">
        <v>41.91</v>
      </c>
      <c r="F4673" s="209">
        <v>11.59</v>
      </c>
      <c r="G4673" s="209">
        <v>53.5</v>
      </c>
      <c r="H4673" s="198"/>
    </row>
    <row r="4674" spans="1:8" ht="15.75" hidden="1" customHeight="1" x14ac:dyDescent="0.25">
      <c r="A4674" s="205" t="s">
        <v>5242</v>
      </c>
      <c r="B4674" s="206">
        <v>104020</v>
      </c>
      <c r="C4674" s="207" t="s">
        <v>5333</v>
      </c>
      <c r="D4674" s="208" t="s">
        <v>580</v>
      </c>
      <c r="E4674" s="209">
        <v>57.4</v>
      </c>
      <c r="F4674" s="209">
        <v>6.56</v>
      </c>
      <c r="G4674" s="209">
        <v>63.96</v>
      </c>
      <c r="H4674" s="198"/>
    </row>
    <row r="4675" spans="1:8" ht="15.75" hidden="1" customHeight="1" x14ac:dyDescent="0.25">
      <c r="A4675" s="205" t="s">
        <v>5242</v>
      </c>
      <c r="B4675" s="206">
        <v>104030</v>
      </c>
      <c r="C4675" s="207" t="s">
        <v>5334</v>
      </c>
      <c r="D4675" s="208" t="s">
        <v>580</v>
      </c>
      <c r="E4675" s="209">
        <v>59.35</v>
      </c>
      <c r="F4675" s="209">
        <v>12.07</v>
      </c>
      <c r="G4675" s="209">
        <v>71.42</v>
      </c>
      <c r="H4675" s="198"/>
    </row>
    <row r="4676" spans="1:8" ht="15.75" hidden="1" customHeight="1" x14ac:dyDescent="0.25">
      <c r="A4676" s="205" t="s">
        <v>5242</v>
      </c>
      <c r="B4676" s="206">
        <v>89694</v>
      </c>
      <c r="C4676" s="207" t="s">
        <v>5335</v>
      </c>
      <c r="D4676" s="208" t="s">
        <v>580</v>
      </c>
      <c r="E4676" s="209">
        <v>17.27</v>
      </c>
      <c r="F4676" s="209">
        <v>7.13</v>
      </c>
      <c r="G4676" s="209">
        <v>24.4</v>
      </c>
      <c r="H4676" s="198"/>
    </row>
    <row r="4677" spans="1:8" ht="15.75" hidden="1" customHeight="1" x14ac:dyDescent="0.25">
      <c r="A4677" s="205" t="s">
        <v>5242</v>
      </c>
      <c r="B4677" s="206">
        <v>89700</v>
      </c>
      <c r="C4677" s="207" t="s">
        <v>5336</v>
      </c>
      <c r="D4677" s="208" t="s">
        <v>580</v>
      </c>
      <c r="E4677" s="209">
        <v>19.809999999999999</v>
      </c>
      <c r="F4677" s="209">
        <v>8.09</v>
      </c>
      <c r="G4677" s="209">
        <v>27.9</v>
      </c>
      <c r="H4677" s="198"/>
    </row>
    <row r="4678" spans="1:8" ht="15.75" hidden="1" customHeight="1" x14ac:dyDescent="0.25">
      <c r="A4678" s="205" t="s">
        <v>5242</v>
      </c>
      <c r="B4678" s="206">
        <v>89703</v>
      </c>
      <c r="C4678" s="207" t="s">
        <v>5337</v>
      </c>
      <c r="D4678" s="208" t="s">
        <v>580</v>
      </c>
      <c r="E4678" s="209">
        <v>47.07</v>
      </c>
      <c r="F4678" s="209">
        <v>8.75</v>
      </c>
      <c r="G4678" s="209">
        <v>55.82</v>
      </c>
      <c r="H4678" s="198"/>
    </row>
    <row r="4679" spans="1:8" ht="15.75" hidden="1" customHeight="1" x14ac:dyDescent="0.25">
      <c r="A4679" s="205" t="s">
        <v>5242</v>
      </c>
      <c r="B4679" s="206">
        <v>89844</v>
      </c>
      <c r="C4679" s="207" t="s">
        <v>5338</v>
      </c>
      <c r="D4679" s="208" t="s">
        <v>580</v>
      </c>
      <c r="E4679" s="209">
        <v>65.39</v>
      </c>
      <c r="F4679" s="209">
        <v>7.08</v>
      </c>
      <c r="G4679" s="209">
        <v>72.47</v>
      </c>
      <c r="H4679" s="198"/>
    </row>
    <row r="4680" spans="1:8" ht="15.75" hidden="1" customHeight="1" x14ac:dyDescent="0.25">
      <c r="A4680" s="205" t="s">
        <v>5242</v>
      </c>
      <c r="B4680" s="206">
        <v>104022</v>
      </c>
      <c r="C4680" s="207" t="s">
        <v>5339</v>
      </c>
      <c r="D4680" s="208" t="s">
        <v>580</v>
      </c>
      <c r="E4680" s="209">
        <v>67.48</v>
      </c>
      <c r="F4680" s="209">
        <v>12.91</v>
      </c>
      <c r="G4680" s="209">
        <v>80.39</v>
      </c>
      <c r="H4680" s="198"/>
    </row>
    <row r="4681" spans="1:8" ht="15.75" hidden="1" customHeight="1" x14ac:dyDescent="0.25">
      <c r="A4681" s="205" t="s">
        <v>5242</v>
      </c>
      <c r="B4681" s="206">
        <v>89691</v>
      </c>
      <c r="C4681" s="207" t="s">
        <v>5340</v>
      </c>
      <c r="D4681" s="208" t="s">
        <v>580</v>
      </c>
      <c r="E4681" s="209">
        <v>9.9499999999999993</v>
      </c>
      <c r="F4681" s="209">
        <v>7.14</v>
      </c>
      <c r="G4681" s="209">
        <v>17.09</v>
      </c>
      <c r="H4681" s="198"/>
    </row>
    <row r="4682" spans="1:8" ht="15.75" hidden="1" customHeight="1" x14ac:dyDescent="0.25">
      <c r="A4682" s="205" t="s">
        <v>5242</v>
      </c>
      <c r="B4682" s="206">
        <v>89765</v>
      </c>
      <c r="C4682" s="207" t="s">
        <v>5341</v>
      </c>
      <c r="D4682" s="208" t="s">
        <v>580</v>
      </c>
      <c r="E4682" s="209">
        <v>12.9</v>
      </c>
      <c r="F4682" s="209">
        <v>8.06</v>
      </c>
      <c r="G4682" s="209">
        <v>20.96</v>
      </c>
      <c r="H4682" s="198"/>
    </row>
    <row r="4683" spans="1:8" ht="15.75" hidden="1" customHeight="1" x14ac:dyDescent="0.25">
      <c r="A4683" s="205" t="s">
        <v>5242</v>
      </c>
      <c r="B4683" s="206">
        <v>89697</v>
      </c>
      <c r="C4683" s="207" t="s">
        <v>5342</v>
      </c>
      <c r="D4683" s="208" t="s">
        <v>580</v>
      </c>
      <c r="E4683" s="209">
        <v>13.23</v>
      </c>
      <c r="F4683" s="209">
        <v>9.0299999999999994</v>
      </c>
      <c r="G4683" s="209">
        <v>22.26</v>
      </c>
      <c r="H4683" s="198"/>
    </row>
    <row r="4684" spans="1:8" ht="15.75" hidden="1" customHeight="1" x14ac:dyDescent="0.25">
      <c r="A4684" s="205" t="s">
        <v>5242</v>
      </c>
      <c r="B4684" s="206">
        <v>89633</v>
      </c>
      <c r="C4684" s="207" t="s">
        <v>5343</v>
      </c>
      <c r="D4684" s="208" t="s">
        <v>585</v>
      </c>
      <c r="E4684" s="209">
        <v>18.690000000000001</v>
      </c>
      <c r="F4684" s="209">
        <v>13.4</v>
      </c>
      <c r="G4684" s="209">
        <v>32.090000000000003</v>
      </c>
      <c r="H4684" s="198"/>
    </row>
    <row r="4685" spans="1:8" ht="15.75" hidden="1" customHeight="1" x14ac:dyDescent="0.25">
      <c r="A4685" s="205" t="s">
        <v>5242</v>
      </c>
      <c r="B4685" s="206">
        <v>89716</v>
      </c>
      <c r="C4685" s="207" t="s">
        <v>5344</v>
      </c>
      <c r="D4685" s="208" t="s">
        <v>585</v>
      </c>
      <c r="E4685" s="209">
        <v>24.78</v>
      </c>
      <c r="F4685" s="209">
        <v>7.05</v>
      </c>
      <c r="G4685" s="209">
        <v>31.83</v>
      </c>
      <c r="H4685" s="198"/>
    </row>
    <row r="4686" spans="1:8" ht="15.75" hidden="1" customHeight="1" x14ac:dyDescent="0.25">
      <c r="A4686" s="205" t="s">
        <v>5242</v>
      </c>
      <c r="B4686" s="206">
        <v>89634</v>
      </c>
      <c r="C4686" s="207" t="s">
        <v>5345</v>
      </c>
      <c r="D4686" s="208" t="s">
        <v>585</v>
      </c>
      <c r="E4686" s="209">
        <v>28.28</v>
      </c>
      <c r="F4686" s="209">
        <v>16.940000000000001</v>
      </c>
      <c r="G4686" s="209">
        <v>45.22</v>
      </c>
      <c r="H4686" s="198"/>
    </row>
    <row r="4687" spans="1:8" ht="15.75" hidden="1" customHeight="1" x14ac:dyDescent="0.25">
      <c r="A4687" s="205" t="s">
        <v>5242</v>
      </c>
      <c r="B4687" s="206">
        <v>89717</v>
      </c>
      <c r="C4687" s="207" t="s">
        <v>5346</v>
      </c>
      <c r="D4687" s="208" t="s">
        <v>585</v>
      </c>
      <c r="E4687" s="209">
        <v>41.31</v>
      </c>
      <c r="F4687" s="209">
        <v>8.32</v>
      </c>
      <c r="G4687" s="209">
        <v>49.63</v>
      </c>
      <c r="H4687" s="198"/>
    </row>
    <row r="4688" spans="1:8" ht="15.75" hidden="1" customHeight="1" x14ac:dyDescent="0.25">
      <c r="A4688" s="205" t="s">
        <v>5242</v>
      </c>
      <c r="B4688" s="206">
        <v>89635</v>
      </c>
      <c r="C4688" s="207" t="s">
        <v>5347</v>
      </c>
      <c r="D4688" s="208" t="s">
        <v>585</v>
      </c>
      <c r="E4688" s="209">
        <v>45.45</v>
      </c>
      <c r="F4688" s="209">
        <v>19.98</v>
      </c>
      <c r="G4688" s="209">
        <v>65.430000000000007</v>
      </c>
      <c r="H4688" s="198"/>
    </row>
    <row r="4689" spans="1:8" ht="15.75" hidden="1" customHeight="1" x14ac:dyDescent="0.25">
      <c r="A4689" s="205" t="s">
        <v>5242</v>
      </c>
      <c r="B4689" s="206">
        <v>89770</v>
      </c>
      <c r="C4689" s="207" t="s">
        <v>5348</v>
      </c>
      <c r="D4689" s="208" t="s">
        <v>585</v>
      </c>
      <c r="E4689" s="209">
        <v>50.5</v>
      </c>
      <c r="F4689" s="209">
        <v>1.19</v>
      </c>
      <c r="G4689" s="209">
        <v>51.69</v>
      </c>
      <c r="H4689" s="198"/>
    </row>
    <row r="4690" spans="1:8" ht="15.75" hidden="1" customHeight="1" x14ac:dyDescent="0.25">
      <c r="A4690" s="205" t="s">
        <v>5242</v>
      </c>
      <c r="B4690" s="206">
        <v>89718</v>
      </c>
      <c r="C4690" s="207" t="s">
        <v>5349</v>
      </c>
      <c r="D4690" s="208" t="s">
        <v>585</v>
      </c>
      <c r="E4690" s="209">
        <v>53.57</v>
      </c>
      <c r="F4690" s="209">
        <v>9.81</v>
      </c>
      <c r="G4690" s="209">
        <v>63.38</v>
      </c>
      <c r="H4690" s="198"/>
    </row>
    <row r="4691" spans="1:8" ht="15.75" hidden="1" customHeight="1" x14ac:dyDescent="0.25">
      <c r="A4691" s="205" t="s">
        <v>5242</v>
      </c>
      <c r="B4691" s="206">
        <v>89636</v>
      </c>
      <c r="C4691" s="207" t="s">
        <v>5350</v>
      </c>
      <c r="D4691" s="208" t="s">
        <v>585</v>
      </c>
      <c r="E4691" s="209">
        <v>58.43</v>
      </c>
      <c r="F4691" s="209">
        <v>23.54</v>
      </c>
      <c r="G4691" s="209">
        <v>81.97</v>
      </c>
      <c r="H4691" s="198"/>
    </row>
    <row r="4692" spans="1:8" ht="15.75" hidden="1" customHeight="1" x14ac:dyDescent="0.25">
      <c r="A4692" s="205" t="s">
        <v>5242</v>
      </c>
      <c r="B4692" s="206">
        <v>89771</v>
      </c>
      <c r="C4692" s="207" t="s">
        <v>5351</v>
      </c>
      <c r="D4692" s="208" t="s">
        <v>585</v>
      </c>
      <c r="E4692" s="209">
        <v>67.53</v>
      </c>
      <c r="F4692" s="209">
        <v>1.42</v>
      </c>
      <c r="G4692" s="209">
        <v>68.95</v>
      </c>
      <c r="H4692" s="198"/>
    </row>
    <row r="4693" spans="1:8" ht="15.75" hidden="1" customHeight="1" x14ac:dyDescent="0.25">
      <c r="A4693" s="205" t="s">
        <v>5242</v>
      </c>
      <c r="B4693" s="206">
        <v>104021</v>
      </c>
      <c r="C4693" s="207" t="s">
        <v>5352</v>
      </c>
      <c r="D4693" s="208" t="s">
        <v>585</v>
      </c>
      <c r="E4693" s="209">
        <v>71.05</v>
      </c>
      <c r="F4693" s="209">
        <v>11.3</v>
      </c>
      <c r="G4693" s="209">
        <v>82.35</v>
      </c>
      <c r="H4693" s="198"/>
    </row>
    <row r="4694" spans="1:8" ht="15.75" hidden="1" customHeight="1" x14ac:dyDescent="0.25">
      <c r="A4694" s="205" t="s">
        <v>5242</v>
      </c>
      <c r="B4694" s="206">
        <v>89772</v>
      </c>
      <c r="C4694" s="207" t="s">
        <v>5353</v>
      </c>
      <c r="D4694" s="208" t="s">
        <v>585</v>
      </c>
      <c r="E4694" s="209">
        <v>98.77</v>
      </c>
      <c r="F4694" s="209">
        <v>1.75</v>
      </c>
      <c r="G4694" s="209">
        <v>100.52</v>
      </c>
      <c r="H4694" s="198"/>
    </row>
    <row r="4695" spans="1:8" ht="15.75" hidden="1" customHeight="1" x14ac:dyDescent="0.25">
      <c r="A4695" s="205" t="s">
        <v>5242</v>
      </c>
      <c r="B4695" s="206">
        <v>89773</v>
      </c>
      <c r="C4695" s="207" t="s">
        <v>5354</v>
      </c>
      <c r="D4695" s="208" t="s">
        <v>585</v>
      </c>
      <c r="E4695" s="209">
        <v>159.49</v>
      </c>
      <c r="F4695" s="209">
        <v>2.33</v>
      </c>
      <c r="G4695" s="209">
        <v>161.82</v>
      </c>
      <c r="H4695" s="198"/>
    </row>
    <row r="4696" spans="1:8" ht="15.75" hidden="1" customHeight="1" x14ac:dyDescent="0.25">
      <c r="A4696" s="205" t="s">
        <v>5242</v>
      </c>
      <c r="B4696" s="206">
        <v>89775</v>
      </c>
      <c r="C4696" s="207" t="s">
        <v>5355</v>
      </c>
      <c r="D4696" s="208" t="s">
        <v>585</v>
      </c>
      <c r="E4696" s="209">
        <v>250.02</v>
      </c>
      <c r="F4696" s="209">
        <v>2.78</v>
      </c>
      <c r="G4696" s="209">
        <v>252.8</v>
      </c>
      <c r="H4696" s="198"/>
    </row>
    <row r="4697" spans="1:8" ht="15.75" hidden="1" customHeight="1" x14ac:dyDescent="0.25">
      <c r="A4697" s="205" t="s">
        <v>5242</v>
      </c>
      <c r="B4697" s="206">
        <v>89767</v>
      </c>
      <c r="C4697" s="207" t="s">
        <v>5356</v>
      </c>
      <c r="D4697" s="208" t="s">
        <v>580</v>
      </c>
      <c r="E4697" s="209">
        <v>17.68</v>
      </c>
      <c r="F4697" s="209">
        <v>8.07</v>
      </c>
      <c r="G4697" s="209">
        <v>25.75</v>
      </c>
      <c r="H4697" s="198"/>
    </row>
    <row r="4698" spans="1:8" ht="15.75" hidden="1" customHeight="1" x14ac:dyDescent="0.25">
      <c r="A4698" s="205" t="s">
        <v>5242</v>
      </c>
      <c r="B4698" s="206">
        <v>89695</v>
      </c>
      <c r="C4698" s="207" t="s">
        <v>5357</v>
      </c>
      <c r="D4698" s="208" t="s">
        <v>580</v>
      </c>
      <c r="E4698" s="209">
        <v>13.88</v>
      </c>
      <c r="F4698" s="209">
        <v>7.14</v>
      </c>
      <c r="G4698" s="209">
        <v>21.02</v>
      </c>
      <c r="H4698" s="198"/>
    </row>
    <row r="4699" spans="1:8" ht="15.75" hidden="1" customHeight="1" x14ac:dyDescent="0.25">
      <c r="A4699" s="205" t="s">
        <v>5242</v>
      </c>
      <c r="B4699" s="206">
        <v>89702</v>
      </c>
      <c r="C4699" s="207" t="s">
        <v>5358</v>
      </c>
      <c r="D4699" s="208" t="s">
        <v>580</v>
      </c>
      <c r="E4699" s="209">
        <v>18.010000000000002</v>
      </c>
      <c r="F4699" s="209">
        <v>9.0399999999999991</v>
      </c>
      <c r="G4699" s="209">
        <v>27.05</v>
      </c>
      <c r="H4699" s="198"/>
    </row>
    <row r="4700" spans="1:8" ht="15.75" hidden="1" customHeight="1" x14ac:dyDescent="0.25">
      <c r="A4700" s="205" t="s">
        <v>5242</v>
      </c>
      <c r="B4700" s="206">
        <v>89768</v>
      </c>
      <c r="C4700" s="207" t="s">
        <v>5359</v>
      </c>
      <c r="D4700" s="208" t="s">
        <v>580</v>
      </c>
      <c r="E4700" s="209">
        <v>20.420000000000002</v>
      </c>
      <c r="F4700" s="209">
        <v>9.5299999999999994</v>
      </c>
      <c r="G4700" s="209">
        <v>29.95</v>
      </c>
      <c r="H4700" s="198"/>
    </row>
    <row r="4701" spans="1:8" ht="15.75" hidden="1" customHeight="1" x14ac:dyDescent="0.25">
      <c r="A4701" s="205" t="s">
        <v>5242</v>
      </c>
      <c r="B4701" s="206">
        <v>89842</v>
      </c>
      <c r="C4701" s="207" t="s">
        <v>5360</v>
      </c>
      <c r="D4701" s="208" t="s">
        <v>580</v>
      </c>
      <c r="E4701" s="209">
        <v>51.61</v>
      </c>
      <c r="F4701" s="209">
        <v>6.04</v>
      </c>
      <c r="G4701" s="209">
        <v>57.65</v>
      </c>
      <c r="H4701" s="198"/>
    </row>
    <row r="4702" spans="1:8" ht="15.75" hidden="1" customHeight="1" x14ac:dyDescent="0.25">
      <c r="A4702" s="205" t="s">
        <v>5242</v>
      </c>
      <c r="B4702" s="206">
        <v>89845</v>
      </c>
      <c r="C4702" s="207" t="s">
        <v>5361</v>
      </c>
      <c r="D4702" s="208" t="s">
        <v>580</v>
      </c>
      <c r="E4702" s="209">
        <v>104.35</v>
      </c>
      <c r="F4702" s="209">
        <v>8.86</v>
      </c>
      <c r="G4702" s="209">
        <v>113.21</v>
      </c>
      <c r="H4702" s="198"/>
    </row>
    <row r="4703" spans="1:8" ht="15.75" hidden="1" customHeight="1" x14ac:dyDescent="0.25">
      <c r="A4703" s="205" t="s">
        <v>5242</v>
      </c>
      <c r="B4703" s="206">
        <v>89846</v>
      </c>
      <c r="C4703" s="207" t="s">
        <v>5362</v>
      </c>
      <c r="D4703" s="208" t="s">
        <v>580</v>
      </c>
      <c r="E4703" s="209">
        <v>228.97</v>
      </c>
      <c r="F4703" s="209">
        <v>11.67</v>
      </c>
      <c r="G4703" s="209">
        <v>240.64</v>
      </c>
      <c r="H4703" s="198"/>
    </row>
    <row r="4704" spans="1:8" ht="15.75" hidden="1" customHeight="1" x14ac:dyDescent="0.25">
      <c r="A4704" s="205" t="s">
        <v>5242</v>
      </c>
      <c r="B4704" s="206">
        <v>89847</v>
      </c>
      <c r="C4704" s="207" t="s">
        <v>5363</v>
      </c>
      <c r="D4704" s="208" t="s">
        <v>580</v>
      </c>
      <c r="E4704" s="209">
        <v>273.27999999999997</v>
      </c>
      <c r="F4704" s="209">
        <v>14.02</v>
      </c>
      <c r="G4704" s="209">
        <v>287.3</v>
      </c>
      <c r="H4704" s="198"/>
    </row>
    <row r="4705" spans="1:8" ht="15.75" hidden="1" customHeight="1" x14ac:dyDescent="0.25">
      <c r="A4705" s="205" t="s">
        <v>5242</v>
      </c>
      <c r="B4705" s="206">
        <v>89705</v>
      </c>
      <c r="C4705" s="207" t="s">
        <v>5364</v>
      </c>
      <c r="D4705" s="208" t="s">
        <v>580</v>
      </c>
      <c r="E4705" s="209">
        <v>20.83</v>
      </c>
      <c r="F4705" s="209">
        <v>10.64</v>
      </c>
      <c r="G4705" s="209">
        <v>31.47</v>
      </c>
      <c r="H4705" s="198"/>
    </row>
    <row r="4706" spans="1:8" ht="15.75" hidden="1" customHeight="1" x14ac:dyDescent="0.25">
      <c r="A4706" s="205" t="s">
        <v>5242</v>
      </c>
      <c r="B4706" s="206">
        <v>89769</v>
      </c>
      <c r="C4706" s="207" t="s">
        <v>5365</v>
      </c>
      <c r="D4706" s="208" t="s">
        <v>580</v>
      </c>
      <c r="E4706" s="209">
        <v>53.43</v>
      </c>
      <c r="F4706" s="209">
        <v>11.22</v>
      </c>
      <c r="G4706" s="209">
        <v>64.650000000000006</v>
      </c>
      <c r="H4706" s="198"/>
    </row>
    <row r="4707" spans="1:8" ht="15.75" hidden="1" customHeight="1" x14ac:dyDescent="0.25">
      <c r="A4707" s="205" t="s">
        <v>5242</v>
      </c>
      <c r="B4707" s="206">
        <v>89706</v>
      </c>
      <c r="C4707" s="207" t="s">
        <v>5366</v>
      </c>
      <c r="D4707" s="208" t="s">
        <v>580</v>
      </c>
      <c r="E4707" s="209">
        <v>53.9</v>
      </c>
      <c r="F4707" s="209">
        <v>12.55</v>
      </c>
      <c r="G4707" s="209">
        <v>66.45</v>
      </c>
      <c r="H4707" s="198"/>
    </row>
    <row r="4708" spans="1:8" ht="15.75" hidden="1" customHeight="1" x14ac:dyDescent="0.25">
      <c r="A4708" s="205" t="s">
        <v>5242</v>
      </c>
      <c r="B4708" s="206">
        <v>89741</v>
      </c>
      <c r="C4708" s="207" t="s">
        <v>5367</v>
      </c>
      <c r="D4708" s="208" t="s">
        <v>580</v>
      </c>
      <c r="E4708" s="209">
        <v>22.79</v>
      </c>
      <c r="F4708" s="209">
        <v>4.03</v>
      </c>
      <c r="G4708" s="209">
        <v>26.82</v>
      </c>
      <c r="H4708" s="198"/>
    </row>
    <row r="4709" spans="1:8" ht="15.75" hidden="1" customHeight="1" x14ac:dyDescent="0.25">
      <c r="A4709" s="205" t="s">
        <v>5242</v>
      </c>
      <c r="B4709" s="206">
        <v>89757</v>
      </c>
      <c r="C4709" s="207" t="s">
        <v>5368</v>
      </c>
      <c r="D4709" s="208" t="s">
        <v>580</v>
      </c>
      <c r="E4709" s="209">
        <v>30.15</v>
      </c>
      <c r="F4709" s="209">
        <v>4.76</v>
      </c>
      <c r="G4709" s="209">
        <v>34.909999999999997</v>
      </c>
      <c r="H4709" s="198"/>
    </row>
    <row r="4710" spans="1:8" ht="15.75" hidden="1" customHeight="1" x14ac:dyDescent="0.25">
      <c r="A4710" s="205" t="s">
        <v>5242</v>
      </c>
      <c r="B4710" s="206">
        <v>104027</v>
      </c>
      <c r="C4710" s="207" t="s">
        <v>5369</v>
      </c>
      <c r="D4710" s="208" t="s">
        <v>580</v>
      </c>
      <c r="E4710" s="209">
        <v>65.83</v>
      </c>
      <c r="F4710" s="209">
        <v>6.46</v>
      </c>
      <c r="G4710" s="209">
        <v>72.290000000000006</v>
      </c>
      <c r="H4710" s="198"/>
    </row>
    <row r="4711" spans="1:8" ht="15.75" hidden="1" customHeight="1" x14ac:dyDescent="0.25">
      <c r="A4711" s="205" t="s">
        <v>5242</v>
      </c>
      <c r="B4711" s="206">
        <v>89837</v>
      </c>
      <c r="C4711" s="207" t="s">
        <v>5370</v>
      </c>
      <c r="D4711" s="208" t="s">
        <v>580</v>
      </c>
      <c r="E4711" s="209">
        <v>146.01</v>
      </c>
      <c r="F4711" s="209">
        <v>4.4000000000000004</v>
      </c>
      <c r="G4711" s="209">
        <v>150.41</v>
      </c>
      <c r="H4711" s="198"/>
    </row>
    <row r="4712" spans="1:8" ht="15.75" hidden="1" customHeight="1" x14ac:dyDescent="0.25">
      <c r="A4712" s="205" t="s">
        <v>5242</v>
      </c>
      <c r="B4712" s="206">
        <v>89839</v>
      </c>
      <c r="C4712" s="207" t="s">
        <v>5371</v>
      </c>
      <c r="D4712" s="208" t="s">
        <v>580</v>
      </c>
      <c r="E4712" s="209">
        <v>189.57</v>
      </c>
      <c r="F4712" s="209">
        <v>5.82</v>
      </c>
      <c r="G4712" s="209">
        <v>195.39</v>
      </c>
      <c r="H4712" s="198"/>
    </row>
    <row r="4713" spans="1:8" ht="15.75" hidden="1" customHeight="1" x14ac:dyDescent="0.25">
      <c r="A4713" s="205" t="s">
        <v>5242</v>
      </c>
      <c r="B4713" s="206">
        <v>89841</v>
      </c>
      <c r="C4713" s="207" t="s">
        <v>5372</v>
      </c>
      <c r="D4713" s="208" t="s">
        <v>580</v>
      </c>
      <c r="E4713" s="209">
        <v>289.32</v>
      </c>
      <c r="F4713" s="209">
        <v>7.02</v>
      </c>
      <c r="G4713" s="209">
        <v>296.33999999999997</v>
      </c>
      <c r="H4713" s="198"/>
    </row>
    <row r="4714" spans="1:8" ht="15.75" hidden="1" customHeight="1" x14ac:dyDescent="0.25">
      <c r="A4714" s="205" t="s">
        <v>5242</v>
      </c>
      <c r="B4714" s="206">
        <v>89654</v>
      </c>
      <c r="C4714" s="207" t="s">
        <v>5373</v>
      </c>
      <c r="D4714" s="208" t="s">
        <v>580</v>
      </c>
      <c r="E4714" s="209">
        <v>19.91</v>
      </c>
      <c r="F4714" s="209">
        <v>3.56</v>
      </c>
      <c r="G4714" s="209">
        <v>23.47</v>
      </c>
      <c r="H4714" s="198"/>
    </row>
    <row r="4715" spans="1:8" ht="15.75" hidden="1" customHeight="1" x14ac:dyDescent="0.25">
      <c r="A4715" s="205" t="s">
        <v>5242</v>
      </c>
      <c r="B4715" s="206">
        <v>89661</v>
      </c>
      <c r="C4715" s="207" t="s">
        <v>5374</v>
      </c>
      <c r="D4715" s="208" t="s">
        <v>580</v>
      </c>
      <c r="E4715" s="209">
        <v>22.96</v>
      </c>
      <c r="F4715" s="209">
        <v>4.5199999999999996</v>
      </c>
      <c r="G4715" s="209">
        <v>27.48</v>
      </c>
      <c r="H4715" s="198"/>
    </row>
    <row r="4716" spans="1:8" ht="15.75" hidden="1" customHeight="1" x14ac:dyDescent="0.25">
      <c r="A4716" s="205" t="s">
        <v>5242</v>
      </c>
      <c r="B4716" s="206">
        <v>89674</v>
      </c>
      <c r="C4716" s="207" t="s">
        <v>5375</v>
      </c>
      <c r="D4716" s="208" t="s">
        <v>580</v>
      </c>
      <c r="E4716" s="209">
        <v>30.35</v>
      </c>
      <c r="F4716" s="209">
        <v>5.33</v>
      </c>
      <c r="G4716" s="209">
        <v>35.68</v>
      </c>
      <c r="H4716" s="198"/>
    </row>
    <row r="4717" spans="1:8" ht="15.75" hidden="1" customHeight="1" x14ac:dyDescent="0.25">
      <c r="A4717" s="205" t="s">
        <v>5242</v>
      </c>
      <c r="B4717" s="206">
        <v>89816</v>
      </c>
      <c r="C4717" s="207" t="s">
        <v>5376</v>
      </c>
      <c r="D4717" s="208" t="s">
        <v>580</v>
      </c>
      <c r="E4717" s="209">
        <v>44.01</v>
      </c>
      <c r="F4717" s="209">
        <v>3.01</v>
      </c>
      <c r="G4717" s="209">
        <v>47.02</v>
      </c>
      <c r="H4717" s="198"/>
    </row>
    <row r="4718" spans="1:8" ht="15.75" hidden="1" customHeight="1" x14ac:dyDescent="0.25">
      <c r="A4718" s="205" t="s">
        <v>5242</v>
      </c>
      <c r="B4718" s="206">
        <v>89762</v>
      </c>
      <c r="C4718" s="207" t="s">
        <v>5377</v>
      </c>
      <c r="D4718" s="208" t="s">
        <v>580</v>
      </c>
      <c r="E4718" s="209">
        <v>44.92</v>
      </c>
      <c r="F4718" s="209">
        <v>5.6</v>
      </c>
      <c r="G4718" s="209">
        <v>50.52</v>
      </c>
      <c r="H4718" s="198"/>
    </row>
    <row r="4719" spans="1:8" ht="15.75" hidden="1" customHeight="1" x14ac:dyDescent="0.25">
      <c r="A4719" s="205" t="s">
        <v>5242</v>
      </c>
      <c r="B4719" s="206">
        <v>89684</v>
      </c>
      <c r="C4719" s="207" t="s">
        <v>5378</v>
      </c>
      <c r="D4719" s="208" t="s">
        <v>580</v>
      </c>
      <c r="E4719" s="209">
        <v>45.14</v>
      </c>
      <c r="F4719" s="209">
        <v>6.27</v>
      </c>
      <c r="G4719" s="209">
        <v>51.41</v>
      </c>
      <c r="H4719" s="198"/>
    </row>
    <row r="4720" spans="1:8" ht="15.75" hidden="1" customHeight="1" x14ac:dyDescent="0.25">
      <c r="A4720" s="205" t="s">
        <v>5242</v>
      </c>
      <c r="B4720" s="206">
        <v>89828</v>
      </c>
      <c r="C4720" s="207" t="s">
        <v>5379</v>
      </c>
      <c r="D4720" s="208" t="s">
        <v>580</v>
      </c>
      <c r="E4720" s="209">
        <v>64.790000000000006</v>
      </c>
      <c r="F4720" s="209">
        <v>3.53</v>
      </c>
      <c r="G4720" s="209">
        <v>68.319999999999993</v>
      </c>
      <c r="H4720" s="198"/>
    </row>
    <row r="4721" spans="1:8" ht="15.75" hidden="1" customHeight="1" x14ac:dyDescent="0.25">
      <c r="A4721" s="205" t="s">
        <v>5380</v>
      </c>
      <c r="B4721" s="206">
        <v>89546</v>
      </c>
      <c r="C4721" s="207" t="s">
        <v>5381</v>
      </c>
      <c r="D4721" s="208" t="s">
        <v>580</v>
      </c>
      <c r="E4721" s="209">
        <v>9.4700000000000006</v>
      </c>
      <c r="F4721" s="209">
        <v>1.75</v>
      </c>
      <c r="G4721" s="209">
        <v>11.22</v>
      </c>
      <c r="H4721" s="198"/>
    </row>
    <row r="4722" spans="1:8" ht="15.75" hidden="1" customHeight="1" x14ac:dyDescent="0.25">
      <c r="A4722" s="205" t="s">
        <v>5380</v>
      </c>
      <c r="B4722" s="206">
        <v>89482</v>
      </c>
      <c r="C4722" s="207" t="s">
        <v>5382</v>
      </c>
      <c r="D4722" s="208" t="s">
        <v>580</v>
      </c>
      <c r="E4722" s="209">
        <v>32.76</v>
      </c>
      <c r="F4722" s="209">
        <v>10.56</v>
      </c>
      <c r="G4722" s="209">
        <v>43.32</v>
      </c>
      <c r="H4722" s="198"/>
    </row>
    <row r="4723" spans="1:8" ht="15.75" hidden="1" customHeight="1" x14ac:dyDescent="0.25">
      <c r="A4723" s="205" t="s">
        <v>5380</v>
      </c>
      <c r="B4723" s="206">
        <v>89491</v>
      </c>
      <c r="C4723" s="207" t="s">
        <v>5383</v>
      </c>
      <c r="D4723" s="208" t="s">
        <v>580</v>
      </c>
      <c r="E4723" s="209">
        <v>89.14</v>
      </c>
      <c r="F4723" s="209">
        <v>16.37</v>
      </c>
      <c r="G4723" s="209">
        <v>105.51</v>
      </c>
      <c r="H4723" s="198"/>
    </row>
    <row r="4724" spans="1:8" ht="15.75" hidden="1" customHeight="1" x14ac:dyDescent="0.25">
      <c r="A4724" s="205" t="s">
        <v>5380</v>
      </c>
      <c r="B4724" s="206">
        <v>104178</v>
      </c>
      <c r="C4724" s="207" t="s">
        <v>5384</v>
      </c>
      <c r="D4724" s="208" t="s">
        <v>580</v>
      </c>
      <c r="E4724" s="209">
        <v>18.399999999999999</v>
      </c>
      <c r="F4724" s="209">
        <v>3.15</v>
      </c>
      <c r="G4724" s="209">
        <v>21.55</v>
      </c>
      <c r="H4724" s="198"/>
    </row>
    <row r="4725" spans="1:8" ht="15.75" hidden="1" customHeight="1" x14ac:dyDescent="0.25">
      <c r="A4725" s="205" t="s">
        <v>5380</v>
      </c>
      <c r="B4725" s="206">
        <v>104179</v>
      </c>
      <c r="C4725" s="207" t="s">
        <v>5385</v>
      </c>
      <c r="D4725" s="208" t="s">
        <v>580</v>
      </c>
      <c r="E4725" s="209">
        <v>74.81</v>
      </c>
      <c r="F4725" s="209">
        <v>4.2</v>
      </c>
      <c r="G4725" s="209">
        <v>79.010000000000005</v>
      </c>
      <c r="H4725" s="198"/>
    </row>
    <row r="4726" spans="1:8" ht="15.75" hidden="1" customHeight="1" x14ac:dyDescent="0.25">
      <c r="A4726" s="205" t="s">
        <v>5380</v>
      </c>
      <c r="B4726" s="206">
        <v>89587</v>
      </c>
      <c r="C4726" s="207" t="s">
        <v>5386</v>
      </c>
      <c r="D4726" s="208" t="s">
        <v>580</v>
      </c>
      <c r="E4726" s="209">
        <v>38.42</v>
      </c>
      <c r="F4726" s="209">
        <v>13.26</v>
      </c>
      <c r="G4726" s="209">
        <v>51.68</v>
      </c>
      <c r="H4726" s="198"/>
    </row>
    <row r="4727" spans="1:8" ht="15.75" hidden="1" customHeight="1" x14ac:dyDescent="0.25">
      <c r="A4727" s="205" t="s">
        <v>5380</v>
      </c>
      <c r="B4727" s="206">
        <v>89535</v>
      </c>
      <c r="C4727" s="207" t="s">
        <v>5387</v>
      </c>
      <c r="D4727" s="208" t="s">
        <v>580</v>
      </c>
      <c r="E4727" s="209">
        <v>35.93</v>
      </c>
      <c r="F4727" s="209">
        <v>6.24</v>
      </c>
      <c r="G4727" s="209">
        <v>42.17</v>
      </c>
      <c r="H4727" s="198"/>
    </row>
    <row r="4728" spans="1:8" ht="15.75" hidden="1" customHeight="1" x14ac:dyDescent="0.25">
      <c r="A4728" s="205" t="s">
        <v>5380</v>
      </c>
      <c r="B4728" s="206">
        <v>89592</v>
      </c>
      <c r="C4728" s="207" t="s">
        <v>5388</v>
      </c>
      <c r="D4728" s="208" t="s">
        <v>580</v>
      </c>
      <c r="E4728" s="209">
        <v>133.01</v>
      </c>
      <c r="F4728" s="209">
        <v>22.9</v>
      </c>
      <c r="G4728" s="209">
        <v>155.91</v>
      </c>
      <c r="H4728" s="198"/>
    </row>
    <row r="4729" spans="1:8" ht="15.75" hidden="1" customHeight="1" x14ac:dyDescent="0.25">
      <c r="A4729" s="205" t="s">
        <v>5380</v>
      </c>
      <c r="B4729" s="206">
        <v>104169</v>
      </c>
      <c r="C4729" s="207" t="s">
        <v>5389</v>
      </c>
      <c r="D4729" s="208" t="s">
        <v>580</v>
      </c>
      <c r="E4729" s="209">
        <v>129.37</v>
      </c>
      <c r="F4729" s="209">
        <v>12.63</v>
      </c>
      <c r="G4729" s="209">
        <v>142</v>
      </c>
      <c r="H4729" s="198"/>
    </row>
    <row r="4730" spans="1:8" ht="15.75" hidden="1" customHeight="1" x14ac:dyDescent="0.25">
      <c r="A4730" s="205" t="s">
        <v>5380</v>
      </c>
      <c r="B4730" s="206">
        <v>89583</v>
      </c>
      <c r="C4730" s="207" t="s">
        <v>5390</v>
      </c>
      <c r="D4730" s="208" t="s">
        <v>580</v>
      </c>
      <c r="E4730" s="209">
        <v>34.89</v>
      </c>
      <c r="F4730" s="209">
        <v>8.43</v>
      </c>
      <c r="G4730" s="209">
        <v>43.32</v>
      </c>
      <c r="H4730" s="198"/>
    </row>
    <row r="4731" spans="1:8" ht="15.75" hidden="1" customHeight="1" x14ac:dyDescent="0.25">
      <c r="A4731" s="205" t="s">
        <v>5380</v>
      </c>
      <c r="B4731" s="206">
        <v>89526</v>
      </c>
      <c r="C4731" s="207" t="s">
        <v>5391</v>
      </c>
      <c r="D4731" s="208" t="s">
        <v>580</v>
      </c>
      <c r="E4731" s="209">
        <v>33.51</v>
      </c>
      <c r="F4731" s="209">
        <v>4.5599999999999996</v>
      </c>
      <c r="G4731" s="209">
        <v>38.07</v>
      </c>
      <c r="H4731" s="198"/>
    </row>
    <row r="4732" spans="1:8" ht="15.75" hidden="1" customHeight="1" x14ac:dyDescent="0.25">
      <c r="A4732" s="205" t="s">
        <v>5380</v>
      </c>
      <c r="B4732" s="206">
        <v>95695</v>
      </c>
      <c r="C4732" s="207" t="s">
        <v>5392</v>
      </c>
      <c r="D4732" s="208" t="s">
        <v>580</v>
      </c>
      <c r="E4732" s="209">
        <v>48.68</v>
      </c>
      <c r="F4732" s="209">
        <v>13.25</v>
      </c>
      <c r="G4732" s="209">
        <v>61.93</v>
      </c>
      <c r="H4732" s="198"/>
    </row>
    <row r="4733" spans="1:8" ht="15.75" hidden="1" customHeight="1" x14ac:dyDescent="0.25">
      <c r="A4733" s="205" t="s">
        <v>5380</v>
      </c>
      <c r="B4733" s="206">
        <v>95694</v>
      </c>
      <c r="C4733" s="207" t="s">
        <v>5393</v>
      </c>
      <c r="D4733" s="208" t="s">
        <v>580</v>
      </c>
      <c r="E4733" s="209">
        <v>46.18</v>
      </c>
      <c r="F4733" s="209">
        <v>6.24</v>
      </c>
      <c r="G4733" s="209">
        <v>52.42</v>
      </c>
      <c r="H4733" s="198"/>
    </row>
    <row r="4734" spans="1:8" ht="15.75" hidden="1" customHeight="1" x14ac:dyDescent="0.25">
      <c r="A4734" s="205" t="s">
        <v>5380</v>
      </c>
      <c r="B4734" s="206">
        <v>89585</v>
      </c>
      <c r="C4734" s="207" t="s">
        <v>5394</v>
      </c>
      <c r="D4734" s="208" t="s">
        <v>580</v>
      </c>
      <c r="E4734" s="209">
        <v>34.19</v>
      </c>
      <c r="F4734" s="209">
        <v>13.25</v>
      </c>
      <c r="G4734" s="209">
        <v>47.44</v>
      </c>
      <c r="H4734" s="198"/>
    </row>
    <row r="4735" spans="1:8" ht="15.75" hidden="1" customHeight="1" x14ac:dyDescent="0.25">
      <c r="A4735" s="205" t="s">
        <v>5380</v>
      </c>
      <c r="B4735" s="206">
        <v>89531</v>
      </c>
      <c r="C4735" s="207" t="s">
        <v>5395</v>
      </c>
      <c r="D4735" s="208" t="s">
        <v>580</v>
      </c>
      <c r="E4735" s="209">
        <v>31.68</v>
      </c>
      <c r="F4735" s="209">
        <v>6.25</v>
      </c>
      <c r="G4735" s="209">
        <v>37.93</v>
      </c>
      <c r="H4735" s="198"/>
    </row>
    <row r="4736" spans="1:8" ht="15.75" hidden="1" customHeight="1" x14ac:dyDescent="0.25">
      <c r="A4736" s="205" t="s">
        <v>5380</v>
      </c>
      <c r="B4736" s="206">
        <v>89591</v>
      </c>
      <c r="C4736" s="207" t="s">
        <v>5396</v>
      </c>
      <c r="D4736" s="208" t="s">
        <v>580</v>
      </c>
      <c r="E4736" s="209">
        <v>106.44</v>
      </c>
      <c r="F4736" s="209">
        <v>22.9</v>
      </c>
      <c r="G4736" s="209">
        <v>129.34</v>
      </c>
      <c r="H4736" s="198"/>
    </row>
    <row r="4737" spans="1:8" ht="15.75" hidden="1" customHeight="1" x14ac:dyDescent="0.25">
      <c r="A4737" s="205" t="s">
        <v>5380</v>
      </c>
      <c r="B4737" s="206">
        <v>104168</v>
      </c>
      <c r="C4737" s="207" t="s">
        <v>5397</v>
      </c>
      <c r="D4737" s="208" t="s">
        <v>580</v>
      </c>
      <c r="E4737" s="209">
        <v>102.8</v>
      </c>
      <c r="F4737" s="209">
        <v>12.63</v>
      </c>
      <c r="G4737" s="209">
        <v>115.43</v>
      </c>
      <c r="H4737" s="198"/>
    </row>
    <row r="4738" spans="1:8" ht="15.75" hidden="1" customHeight="1" x14ac:dyDescent="0.25">
      <c r="A4738" s="205" t="s">
        <v>5380</v>
      </c>
      <c r="B4738" s="206">
        <v>89516</v>
      </c>
      <c r="C4738" s="207" t="s">
        <v>5398</v>
      </c>
      <c r="D4738" s="208" t="s">
        <v>580</v>
      </c>
      <c r="E4738" s="209">
        <v>6.72</v>
      </c>
      <c r="F4738" s="209">
        <v>2.2999999999999998</v>
      </c>
      <c r="G4738" s="209">
        <v>9.02</v>
      </c>
      <c r="H4738" s="198"/>
    </row>
    <row r="4739" spans="1:8" ht="15.75" hidden="1" customHeight="1" x14ac:dyDescent="0.25">
      <c r="A4739" s="205" t="s">
        <v>5380</v>
      </c>
      <c r="B4739" s="206">
        <v>89520</v>
      </c>
      <c r="C4739" s="207" t="s">
        <v>5399</v>
      </c>
      <c r="D4739" s="208" t="s">
        <v>580</v>
      </c>
      <c r="E4739" s="209">
        <v>12.99</v>
      </c>
      <c r="F4739" s="209">
        <v>2.95</v>
      </c>
      <c r="G4739" s="209">
        <v>15.94</v>
      </c>
      <c r="H4739" s="198"/>
    </row>
    <row r="4740" spans="1:8" ht="15.75" hidden="1" customHeight="1" x14ac:dyDescent="0.25">
      <c r="A4740" s="205" t="s">
        <v>5380</v>
      </c>
      <c r="B4740" s="206">
        <v>89582</v>
      </c>
      <c r="C4740" s="207" t="s">
        <v>5400</v>
      </c>
      <c r="D4740" s="208" t="s">
        <v>580</v>
      </c>
      <c r="E4740" s="209">
        <v>26.78</v>
      </c>
      <c r="F4740" s="209">
        <v>8.43</v>
      </c>
      <c r="G4740" s="209">
        <v>35.21</v>
      </c>
      <c r="H4740" s="198"/>
    </row>
    <row r="4741" spans="1:8" ht="15.75" hidden="1" customHeight="1" x14ac:dyDescent="0.25">
      <c r="A4741" s="205" t="s">
        <v>5380</v>
      </c>
      <c r="B4741" s="206">
        <v>89524</v>
      </c>
      <c r="C4741" s="207" t="s">
        <v>5401</v>
      </c>
      <c r="D4741" s="208" t="s">
        <v>580</v>
      </c>
      <c r="E4741" s="209">
        <v>25.4</v>
      </c>
      <c r="F4741" s="209">
        <v>4.5599999999999996</v>
      </c>
      <c r="G4741" s="209">
        <v>29.96</v>
      </c>
      <c r="H4741" s="198"/>
    </row>
    <row r="4742" spans="1:8" ht="15.75" hidden="1" customHeight="1" x14ac:dyDescent="0.25">
      <c r="A4742" s="205" t="s">
        <v>5380</v>
      </c>
      <c r="B4742" s="206">
        <v>89584</v>
      </c>
      <c r="C4742" s="207" t="s">
        <v>5402</v>
      </c>
      <c r="D4742" s="208" t="s">
        <v>580</v>
      </c>
      <c r="E4742" s="209">
        <v>33.19</v>
      </c>
      <c r="F4742" s="209">
        <v>13.26</v>
      </c>
      <c r="G4742" s="209">
        <v>46.45</v>
      </c>
      <c r="H4742" s="198"/>
    </row>
    <row r="4743" spans="1:8" ht="15.75" hidden="1" customHeight="1" x14ac:dyDescent="0.25">
      <c r="A4743" s="205" t="s">
        <v>5380</v>
      </c>
      <c r="B4743" s="206">
        <v>89529</v>
      </c>
      <c r="C4743" s="207" t="s">
        <v>5403</v>
      </c>
      <c r="D4743" s="208" t="s">
        <v>580</v>
      </c>
      <c r="E4743" s="209">
        <v>30.69</v>
      </c>
      <c r="F4743" s="209">
        <v>6.25</v>
      </c>
      <c r="G4743" s="209">
        <v>36.94</v>
      </c>
      <c r="H4743" s="198"/>
    </row>
    <row r="4744" spans="1:8" ht="15.75" hidden="1" customHeight="1" x14ac:dyDescent="0.25">
      <c r="A4744" s="205" t="s">
        <v>5380</v>
      </c>
      <c r="B4744" s="206">
        <v>89590</v>
      </c>
      <c r="C4744" s="207" t="s">
        <v>5404</v>
      </c>
      <c r="D4744" s="208" t="s">
        <v>580</v>
      </c>
      <c r="E4744" s="209">
        <v>109.47</v>
      </c>
      <c r="F4744" s="209">
        <v>22.89</v>
      </c>
      <c r="G4744" s="209">
        <v>132.36000000000001</v>
      </c>
      <c r="H4744" s="198"/>
    </row>
    <row r="4745" spans="1:8" ht="15.75" hidden="1" customHeight="1" x14ac:dyDescent="0.25">
      <c r="A4745" s="205" t="s">
        <v>5380</v>
      </c>
      <c r="B4745" s="206">
        <v>104167</v>
      </c>
      <c r="C4745" s="207" t="s">
        <v>5405</v>
      </c>
      <c r="D4745" s="208" t="s">
        <v>580</v>
      </c>
      <c r="E4745" s="209">
        <v>105.82</v>
      </c>
      <c r="F4745" s="209">
        <v>12.63</v>
      </c>
      <c r="G4745" s="209">
        <v>118.45</v>
      </c>
      <c r="H4745" s="198"/>
    </row>
    <row r="4746" spans="1:8" ht="15.75" hidden="1" customHeight="1" x14ac:dyDescent="0.25">
      <c r="A4746" s="205" t="s">
        <v>5380</v>
      </c>
      <c r="B4746" s="206">
        <v>89514</v>
      </c>
      <c r="C4746" s="207" t="s">
        <v>5406</v>
      </c>
      <c r="D4746" s="208" t="s">
        <v>580</v>
      </c>
      <c r="E4746" s="209">
        <v>6.64</v>
      </c>
      <c r="F4746" s="209">
        <v>2.2999999999999998</v>
      </c>
      <c r="G4746" s="209">
        <v>8.94</v>
      </c>
      <c r="H4746" s="198"/>
    </row>
    <row r="4747" spans="1:8" ht="15.75" hidden="1" customHeight="1" x14ac:dyDescent="0.25">
      <c r="A4747" s="205" t="s">
        <v>5380</v>
      </c>
      <c r="B4747" s="206">
        <v>89518</v>
      </c>
      <c r="C4747" s="207" t="s">
        <v>5407</v>
      </c>
      <c r="D4747" s="208" t="s">
        <v>580</v>
      </c>
      <c r="E4747" s="209">
        <v>12.29</v>
      </c>
      <c r="F4747" s="209">
        <v>2.95</v>
      </c>
      <c r="G4747" s="209">
        <v>15.24</v>
      </c>
      <c r="H4747" s="198"/>
    </row>
    <row r="4748" spans="1:8" ht="15.75" hidden="1" customHeight="1" x14ac:dyDescent="0.25">
      <c r="A4748" s="205" t="s">
        <v>5380</v>
      </c>
      <c r="B4748" s="206">
        <v>89581</v>
      </c>
      <c r="C4748" s="207" t="s">
        <v>5408</v>
      </c>
      <c r="D4748" s="208" t="s">
        <v>580</v>
      </c>
      <c r="E4748" s="209">
        <v>26.34</v>
      </c>
      <c r="F4748" s="209">
        <v>8.43</v>
      </c>
      <c r="G4748" s="209">
        <v>34.770000000000003</v>
      </c>
      <c r="H4748" s="198"/>
    </row>
    <row r="4749" spans="1:8" ht="15.75" hidden="1" customHeight="1" x14ac:dyDescent="0.25">
      <c r="A4749" s="205" t="s">
        <v>5380</v>
      </c>
      <c r="B4749" s="206">
        <v>89522</v>
      </c>
      <c r="C4749" s="207" t="s">
        <v>5409</v>
      </c>
      <c r="D4749" s="208" t="s">
        <v>580</v>
      </c>
      <c r="E4749" s="209">
        <v>24.96</v>
      </c>
      <c r="F4749" s="209">
        <v>4.5599999999999996</v>
      </c>
      <c r="G4749" s="209">
        <v>29.52</v>
      </c>
      <c r="H4749" s="198"/>
    </row>
    <row r="4750" spans="1:8" ht="15.75" hidden="1" customHeight="1" x14ac:dyDescent="0.25">
      <c r="A4750" s="205" t="s">
        <v>5380</v>
      </c>
      <c r="B4750" s="206">
        <v>89574</v>
      </c>
      <c r="C4750" s="207" t="s">
        <v>5410</v>
      </c>
      <c r="D4750" s="208" t="s">
        <v>580</v>
      </c>
      <c r="E4750" s="209">
        <v>137.03</v>
      </c>
      <c r="F4750" s="209">
        <v>12.51</v>
      </c>
      <c r="G4750" s="209">
        <v>149.54</v>
      </c>
      <c r="H4750" s="198"/>
    </row>
    <row r="4751" spans="1:8" ht="15.75" hidden="1" customHeight="1" x14ac:dyDescent="0.25">
      <c r="A4751" s="205" t="s">
        <v>5380</v>
      </c>
      <c r="B4751" s="206">
        <v>89690</v>
      </c>
      <c r="C4751" s="207" t="s">
        <v>5411</v>
      </c>
      <c r="D4751" s="208" t="s">
        <v>580</v>
      </c>
      <c r="E4751" s="209">
        <v>73.16</v>
      </c>
      <c r="F4751" s="209">
        <v>17.670000000000002</v>
      </c>
      <c r="G4751" s="209">
        <v>90.83</v>
      </c>
      <c r="H4751" s="198"/>
    </row>
    <row r="4752" spans="1:8" ht="15.75" hidden="1" customHeight="1" x14ac:dyDescent="0.25">
      <c r="A4752" s="205" t="s">
        <v>5380</v>
      </c>
      <c r="B4752" s="206">
        <v>89567</v>
      </c>
      <c r="C4752" s="207" t="s">
        <v>5412</v>
      </c>
      <c r="D4752" s="208" t="s">
        <v>580</v>
      </c>
      <c r="E4752" s="209">
        <v>69.84</v>
      </c>
      <c r="F4752" s="209">
        <v>8.34</v>
      </c>
      <c r="G4752" s="209">
        <v>78.180000000000007</v>
      </c>
      <c r="H4752" s="198"/>
    </row>
    <row r="4753" spans="1:8" ht="15.75" hidden="1" customHeight="1" x14ac:dyDescent="0.25">
      <c r="A4753" s="205" t="s">
        <v>5380</v>
      </c>
      <c r="B4753" s="206">
        <v>89692</v>
      </c>
      <c r="C4753" s="207" t="s">
        <v>5413</v>
      </c>
      <c r="D4753" s="208" t="s">
        <v>580</v>
      </c>
      <c r="E4753" s="209">
        <v>85.66</v>
      </c>
      <c r="F4753" s="209">
        <v>15.54</v>
      </c>
      <c r="G4753" s="209">
        <v>101.2</v>
      </c>
      <c r="H4753" s="198"/>
    </row>
    <row r="4754" spans="1:8" ht="15.75" hidden="1" customHeight="1" x14ac:dyDescent="0.25">
      <c r="A4754" s="205" t="s">
        <v>5380</v>
      </c>
      <c r="B4754" s="206">
        <v>89569</v>
      </c>
      <c r="C4754" s="207" t="s">
        <v>5414</v>
      </c>
      <c r="D4754" s="208" t="s">
        <v>580</v>
      </c>
      <c r="E4754" s="209">
        <v>82.85</v>
      </c>
      <c r="F4754" s="209">
        <v>7.58</v>
      </c>
      <c r="G4754" s="209">
        <v>90.43</v>
      </c>
      <c r="H4754" s="198"/>
    </row>
    <row r="4755" spans="1:8" ht="15.75" hidden="1" customHeight="1" x14ac:dyDescent="0.25">
      <c r="A4755" s="205" t="s">
        <v>5380</v>
      </c>
      <c r="B4755" s="206">
        <v>89699</v>
      </c>
      <c r="C4755" s="207" t="s">
        <v>5415</v>
      </c>
      <c r="D4755" s="208" t="s">
        <v>580</v>
      </c>
      <c r="E4755" s="209">
        <v>170.13</v>
      </c>
      <c r="F4755" s="209">
        <v>26.25</v>
      </c>
      <c r="G4755" s="209">
        <v>196.38</v>
      </c>
      <c r="H4755" s="198"/>
    </row>
    <row r="4756" spans="1:8" ht="15.75" hidden="1" customHeight="1" x14ac:dyDescent="0.25">
      <c r="A4756" s="205" t="s">
        <v>5380</v>
      </c>
      <c r="B4756" s="206">
        <v>104174</v>
      </c>
      <c r="C4756" s="207" t="s">
        <v>5416</v>
      </c>
      <c r="D4756" s="208" t="s">
        <v>580</v>
      </c>
      <c r="E4756" s="209">
        <v>166.29</v>
      </c>
      <c r="F4756" s="209">
        <v>15.44</v>
      </c>
      <c r="G4756" s="209">
        <v>181.73</v>
      </c>
      <c r="H4756" s="198"/>
    </row>
    <row r="4757" spans="1:8" ht="15.75" hidden="1" customHeight="1" x14ac:dyDescent="0.25">
      <c r="A4757" s="205" t="s">
        <v>5380</v>
      </c>
      <c r="B4757" s="206">
        <v>89698</v>
      </c>
      <c r="C4757" s="207" t="s">
        <v>5417</v>
      </c>
      <c r="D4757" s="208" t="s">
        <v>580</v>
      </c>
      <c r="E4757" s="209">
        <v>227.57</v>
      </c>
      <c r="F4757" s="209">
        <v>30.56</v>
      </c>
      <c r="G4757" s="209">
        <v>258.13</v>
      </c>
      <c r="H4757" s="198"/>
    </row>
    <row r="4758" spans="1:8" ht="15.75" hidden="1" customHeight="1" x14ac:dyDescent="0.25">
      <c r="A4758" s="205" t="s">
        <v>5380</v>
      </c>
      <c r="B4758" s="206">
        <v>104176</v>
      </c>
      <c r="C4758" s="207" t="s">
        <v>5418</v>
      </c>
      <c r="D4758" s="208" t="s">
        <v>580</v>
      </c>
      <c r="E4758" s="209">
        <v>222.72</v>
      </c>
      <c r="F4758" s="209">
        <v>16.86</v>
      </c>
      <c r="G4758" s="209">
        <v>239.58</v>
      </c>
      <c r="H4758" s="198"/>
    </row>
    <row r="4759" spans="1:8" ht="15.75" hidden="1" customHeight="1" x14ac:dyDescent="0.25">
      <c r="A4759" s="205" t="s">
        <v>5380</v>
      </c>
      <c r="B4759" s="206">
        <v>89561</v>
      </c>
      <c r="C4759" s="207" t="s">
        <v>5419</v>
      </c>
      <c r="D4759" s="208" t="s">
        <v>580</v>
      </c>
      <c r="E4759" s="209">
        <v>12.39</v>
      </c>
      <c r="F4759" s="209">
        <v>3.07</v>
      </c>
      <c r="G4759" s="209">
        <v>15.46</v>
      </c>
      <c r="H4759" s="198"/>
    </row>
    <row r="4760" spans="1:8" ht="15.75" hidden="1" customHeight="1" x14ac:dyDescent="0.25">
      <c r="A4760" s="205" t="s">
        <v>5380</v>
      </c>
      <c r="B4760" s="206">
        <v>89563</v>
      </c>
      <c r="C4760" s="207" t="s">
        <v>5420</v>
      </c>
      <c r="D4760" s="208" t="s">
        <v>580</v>
      </c>
      <c r="E4760" s="209">
        <v>29.88</v>
      </c>
      <c r="F4760" s="209">
        <v>3.91</v>
      </c>
      <c r="G4760" s="209">
        <v>33.79</v>
      </c>
      <c r="H4760" s="198"/>
    </row>
    <row r="4761" spans="1:8" ht="15.75" hidden="1" customHeight="1" x14ac:dyDescent="0.25">
      <c r="A4761" s="205" t="s">
        <v>5380</v>
      </c>
      <c r="B4761" s="206">
        <v>89685</v>
      </c>
      <c r="C4761" s="207" t="s">
        <v>5421</v>
      </c>
      <c r="D4761" s="208" t="s">
        <v>580</v>
      </c>
      <c r="E4761" s="209">
        <v>50.27</v>
      </c>
      <c r="F4761" s="209">
        <v>11.25</v>
      </c>
      <c r="G4761" s="209">
        <v>61.52</v>
      </c>
      <c r="H4761" s="198"/>
    </row>
    <row r="4762" spans="1:8" ht="15.75" hidden="1" customHeight="1" x14ac:dyDescent="0.25">
      <c r="A4762" s="205" t="s">
        <v>5380</v>
      </c>
      <c r="B4762" s="206">
        <v>89565</v>
      </c>
      <c r="C4762" s="207" t="s">
        <v>5422</v>
      </c>
      <c r="D4762" s="208" t="s">
        <v>580</v>
      </c>
      <c r="E4762" s="209">
        <v>48.44</v>
      </c>
      <c r="F4762" s="209">
        <v>6.08</v>
      </c>
      <c r="G4762" s="209">
        <v>54.52</v>
      </c>
      <c r="H4762" s="198"/>
    </row>
    <row r="4763" spans="1:8" ht="15.75" hidden="1" customHeight="1" x14ac:dyDescent="0.25">
      <c r="A4763" s="205" t="s">
        <v>5380</v>
      </c>
      <c r="B4763" s="206">
        <v>89671</v>
      </c>
      <c r="C4763" s="207" t="s">
        <v>5423</v>
      </c>
      <c r="D4763" s="208" t="s">
        <v>580</v>
      </c>
      <c r="E4763" s="209">
        <v>36.53</v>
      </c>
      <c r="F4763" s="209">
        <v>8.83</v>
      </c>
      <c r="G4763" s="209">
        <v>45.36</v>
      </c>
      <c r="H4763" s="198"/>
    </row>
    <row r="4764" spans="1:8" ht="15.75" hidden="1" customHeight="1" x14ac:dyDescent="0.25">
      <c r="A4764" s="205" t="s">
        <v>5380</v>
      </c>
      <c r="B4764" s="206">
        <v>89556</v>
      </c>
      <c r="C4764" s="207" t="s">
        <v>5424</v>
      </c>
      <c r="D4764" s="208" t="s">
        <v>580</v>
      </c>
      <c r="E4764" s="209">
        <v>34.869999999999997</v>
      </c>
      <c r="F4764" s="209">
        <v>4.16</v>
      </c>
      <c r="G4764" s="209">
        <v>39.03</v>
      </c>
      <c r="H4764" s="198"/>
    </row>
    <row r="4765" spans="1:8" ht="15.75" hidden="1" customHeight="1" x14ac:dyDescent="0.25">
      <c r="A4765" s="205" t="s">
        <v>5380</v>
      </c>
      <c r="B4765" s="206">
        <v>89679</v>
      </c>
      <c r="C4765" s="207" t="s">
        <v>5425</v>
      </c>
      <c r="D4765" s="208" t="s">
        <v>580</v>
      </c>
      <c r="E4765" s="209">
        <v>104.59</v>
      </c>
      <c r="F4765" s="209">
        <v>15.27</v>
      </c>
      <c r="G4765" s="209">
        <v>119.86</v>
      </c>
      <c r="H4765" s="198"/>
    </row>
    <row r="4766" spans="1:8" ht="15.75" hidden="1" customHeight="1" x14ac:dyDescent="0.25">
      <c r="A4766" s="205" t="s">
        <v>5380</v>
      </c>
      <c r="B4766" s="206">
        <v>104171</v>
      </c>
      <c r="C4766" s="207" t="s">
        <v>5426</v>
      </c>
      <c r="D4766" s="208" t="s">
        <v>580</v>
      </c>
      <c r="E4766" s="209">
        <v>84.93</v>
      </c>
      <c r="F4766" s="209">
        <v>8.41</v>
      </c>
      <c r="G4766" s="209">
        <v>93.34</v>
      </c>
      <c r="H4766" s="198"/>
    </row>
    <row r="4767" spans="1:8" ht="15.75" hidden="1" customHeight="1" x14ac:dyDescent="0.25">
      <c r="A4767" s="205" t="s">
        <v>5380</v>
      </c>
      <c r="B4767" s="206">
        <v>89600</v>
      </c>
      <c r="C4767" s="207" t="s">
        <v>5427</v>
      </c>
      <c r="D4767" s="208" t="s">
        <v>580</v>
      </c>
      <c r="E4767" s="209">
        <v>20.45</v>
      </c>
      <c r="F4767" s="209">
        <v>5.62</v>
      </c>
      <c r="G4767" s="209">
        <v>26.07</v>
      </c>
      <c r="H4767" s="198"/>
    </row>
    <row r="4768" spans="1:8" ht="15.75" hidden="1" customHeight="1" x14ac:dyDescent="0.25">
      <c r="A4768" s="205" t="s">
        <v>5380</v>
      </c>
      <c r="B4768" s="206">
        <v>89548</v>
      </c>
      <c r="C4768" s="207" t="s">
        <v>5428</v>
      </c>
      <c r="D4768" s="208" t="s">
        <v>580</v>
      </c>
      <c r="E4768" s="209">
        <v>19.53</v>
      </c>
      <c r="F4768" s="209">
        <v>3.04</v>
      </c>
      <c r="G4768" s="209">
        <v>22.57</v>
      </c>
      <c r="H4768" s="198"/>
    </row>
    <row r="4769" spans="1:8" ht="15.75" hidden="1" customHeight="1" x14ac:dyDescent="0.25">
      <c r="A4769" s="205" t="s">
        <v>5380</v>
      </c>
      <c r="B4769" s="206">
        <v>89669</v>
      </c>
      <c r="C4769" s="207" t="s">
        <v>5429</v>
      </c>
      <c r="D4769" s="208" t="s">
        <v>580</v>
      </c>
      <c r="E4769" s="209">
        <v>26.35</v>
      </c>
      <c r="F4769" s="209">
        <v>8.83</v>
      </c>
      <c r="G4769" s="209">
        <v>35.18</v>
      </c>
      <c r="H4769" s="198"/>
    </row>
    <row r="4770" spans="1:8" ht="15.75" hidden="1" customHeight="1" x14ac:dyDescent="0.25">
      <c r="A4770" s="205" t="s">
        <v>5380</v>
      </c>
      <c r="B4770" s="206">
        <v>89554</v>
      </c>
      <c r="C4770" s="207" t="s">
        <v>5430</v>
      </c>
      <c r="D4770" s="208" t="s">
        <v>580</v>
      </c>
      <c r="E4770" s="209">
        <v>24.67</v>
      </c>
      <c r="F4770" s="209">
        <v>4.1500000000000004</v>
      </c>
      <c r="G4770" s="209">
        <v>28.82</v>
      </c>
      <c r="H4770" s="198"/>
    </row>
    <row r="4771" spans="1:8" ht="15.75" hidden="1" customHeight="1" x14ac:dyDescent="0.25">
      <c r="A4771" s="205" t="s">
        <v>5380</v>
      </c>
      <c r="B4771" s="206">
        <v>89677</v>
      </c>
      <c r="C4771" s="207" t="s">
        <v>5431</v>
      </c>
      <c r="D4771" s="208" t="s">
        <v>580</v>
      </c>
      <c r="E4771" s="209">
        <v>63.28</v>
      </c>
      <c r="F4771" s="209">
        <v>15.26</v>
      </c>
      <c r="G4771" s="209">
        <v>78.540000000000006</v>
      </c>
      <c r="H4771" s="198"/>
    </row>
    <row r="4772" spans="1:8" ht="15.75" hidden="1" customHeight="1" x14ac:dyDescent="0.25">
      <c r="A4772" s="205" t="s">
        <v>5380</v>
      </c>
      <c r="B4772" s="206">
        <v>104170</v>
      </c>
      <c r="C4772" s="207" t="s">
        <v>5432</v>
      </c>
      <c r="D4772" s="208" t="s">
        <v>580</v>
      </c>
      <c r="E4772" s="209">
        <v>60.68</v>
      </c>
      <c r="F4772" s="209">
        <v>8.42</v>
      </c>
      <c r="G4772" s="209">
        <v>69.099999999999994</v>
      </c>
      <c r="H4772" s="198"/>
    </row>
    <row r="4773" spans="1:8" ht="15.75" hidden="1" customHeight="1" x14ac:dyDescent="0.25">
      <c r="A4773" s="205" t="s">
        <v>5380</v>
      </c>
      <c r="B4773" s="206">
        <v>89544</v>
      </c>
      <c r="C4773" s="207" t="s">
        <v>5433</v>
      </c>
      <c r="D4773" s="208" t="s">
        <v>580</v>
      </c>
      <c r="E4773" s="209">
        <v>7.32</v>
      </c>
      <c r="F4773" s="209">
        <v>1.53</v>
      </c>
      <c r="G4773" s="209">
        <v>8.85</v>
      </c>
      <c r="H4773" s="198"/>
    </row>
    <row r="4774" spans="1:8" ht="15.75" hidden="1" customHeight="1" x14ac:dyDescent="0.25">
      <c r="A4774" s="205" t="s">
        <v>5380</v>
      </c>
      <c r="B4774" s="206">
        <v>89545</v>
      </c>
      <c r="C4774" s="207" t="s">
        <v>5434</v>
      </c>
      <c r="D4774" s="208" t="s">
        <v>580</v>
      </c>
      <c r="E4774" s="209">
        <v>14.7</v>
      </c>
      <c r="F4774" s="209">
        <v>1.95</v>
      </c>
      <c r="G4774" s="209">
        <v>16.649999999999999</v>
      </c>
      <c r="H4774" s="198"/>
    </row>
    <row r="4775" spans="1:8" ht="15.75" hidden="1" customHeight="1" x14ac:dyDescent="0.25">
      <c r="A4775" s="205" t="s">
        <v>5380</v>
      </c>
      <c r="B4775" s="206">
        <v>89599</v>
      </c>
      <c r="C4775" s="207" t="s">
        <v>5435</v>
      </c>
      <c r="D4775" s="208" t="s">
        <v>580</v>
      </c>
      <c r="E4775" s="209">
        <v>20.420000000000002</v>
      </c>
      <c r="F4775" s="209">
        <v>5.61</v>
      </c>
      <c r="G4775" s="209">
        <v>26.03</v>
      </c>
      <c r="H4775" s="198"/>
    </row>
    <row r="4776" spans="1:8" ht="15.75" hidden="1" customHeight="1" x14ac:dyDescent="0.25">
      <c r="A4776" s="205" t="s">
        <v>5380</v>
      </c>
      <c r="B4776" s="206">
        <v>89547</v>
      </c>
      <c r="C4776" s="207" t="s">
        <v>5436</v>
      </c>
      <c r="D4776" s="208" t="s">
        <v>580</v>
      </c>
      <c r="E4776" s="209">
        <v>19.48</v>
      </c>
      <c r="F4776" s="209">
        <v>3.04</v>
      </c>
      <c r="G4776" s="209">
        <v>22.52</v>
      </c>
      <c r="H4776" s="198"/>
    </row>
    <row r="4777" spans="1:8" ht="15.75" hidden="1" customHeight="1" x14ac:dyDescent="0.25">
      <c r="A4777" s="205" t="s">
        <v>5380</v>
      </c>
      <c r="B4777" s="206">
        <v>89495</v>
      </c>
      <c r="C4777" s="207" t="s">
        <v>5437</v>
      </c>
      <c r="D4777" s="208" t="s">
        <v>580</v>
      </c>
      <c r="E4777" s="209">
        <v>14.55</v>
      </c>
      <c r="F4777" s="209">
        <v>5.42</v>
      </c>
      <c r="G4777" s="209">
        <v>19.97</v>
      </c>
      <c r="H4777" s="198"/>
    </row>
    <row r="4778" spans="1:8" ht="15.75" hidden="1" customHeight="1" x14ac:dyDescent="0.25">
      <c r="A4778" s="205" t="s">
        <v>5380</v>
      </c>
      <c r="B4778" s="206">
        <v>89673</v>
      </c>
      <c r="C4778" s="207" t="s">
        <v>5438</v>
      </c>
      <c r="D4778" s="208" t="s">
        <v>580</v>
      </c>
      <c r="E4778" s="209">
        <v>28.75</v>
      </c>
      <c r="F4778" s="209">
        <v>7.24</v>
      </c>
      <c r="G4778" s="209">
        <v>35.99</v>
      </c>
      <c r="H4778" s="198"/>
    </row>
    <row r="4779" spans="1:8" ht="15.75" hidden="1" customHeight="1" x14ac:dyDescent="0.25">
      <c r="A4779" s="205" t="s">
        <v>5380</v>
      </c>
      <c r="B4779" s="206">
        <v>89557</v>
      </c>
      <c r="C4779" s="207" t="s">
        <v>5439</v>
      </c>
      <c r="D4779" s="208" t="s">
        <v>580</v>
      </c>
      <c r="E4779" s="209">
        <v>27.47</v>
      </c>
      <c r="F4779" s="209">
        <v>3.6</v>
      </c>
      <c r="G4779" s="209">
        <v>31.07</v>
      </c>
      <c r="H4779" s="198"/>
    </row>
    <row r="4780" spans="1:8" ht="15.75" hidden="1" customHeight="1" x14ac:dyDescent="0.25">
      <c r="A4780" s="205" t="s">
        <v>5380</v>
      </c>
      <c r="B4780" s="206">
        <v>89681</v>
      </c>
      <c r="C4780" s="207" t="s">
        <v>5440</v>
      </c>
      <c r="D4780" s="208" t="s">
        <v>580</v>
      </c>
      <c r="E4780" s="209">
        <v>75.930000000000007</v>
      </c>
      <c r="F4780" s="209">
        <v>12.06</v>
      </c>
      <c r="G4780" s="209">
        <v>87.99</v>
      </c>
      <c r="H4780" s="198"/>
    </row>
    <row r="4781" spans="1:8" ht="15.75" hidden="1" customHeight="1" x14ac:dyDescent="0.25">
      <c r="A4781" s="205" t="s">
        <v>5380</v>
      </c>
      <c r="B4781" s="206">
        <v>104173</v>
      </c>
      <c r="C4781" s="207" t="s">
        <v>5441</v>
      </c>
      <c r="D4781" s="208" t="s">
        <v>580</v>
      </c>
      <c r="E4781" s="209">
        <v>74.27</v>
      </c>
      <c r="F4781" s="209">
        <v>7.38</v>
      </c>
      <c r="G4781" s="209">
        <v>81.650000000000006</v>
      </c>
      <c r="H4781" s="198"/>
    </row>
    <row r="4782" spans="1:8" ht="15.75" hidden="1" customHeight="1" x14ac:dyDescent="0.25">
      <c r="A4782" s="205" t="s">
        <v>5380</v>
      </c>
      <c r="B4782" s="206">
        <v>89549</v>
      </c>
      <c r="C4782" s="207" t="s">
        <v>5442</v>
      </c>
      <c r="D4782" s="208" t="s">
        <v>580</v>
      </c>
      <c r="E4782" s="209">
        <v>16.18</v>
      </c>
      <c r="F4782" s="209">
        <v>2.4900000000000002</v>
      </c>
      <c r="G4782" s="209">
        <v>18.670000000000002</v>
      </c>
      <c r="H4782" s="198"/>
    </row>
    <row r="4783" spans="1:8" ht="15.75" hidden="1" customHeight="1" x14ac:dyDescent="0.25">
      <c r="A4783" s="205" t="s">
        <v>5380</v>
      </c>
      <c r="B4783" s="206">
        <v>89578</v>
      </c>
      <c r="C4783" s="207" t="s">
        <v>5443</v>
      </c>
      <c r="D4783" s="208" t="s">
        <v>585</v>
      </c>
      <c r="E4783" s="209">
        <v>29.42</v>
      </c>
      <c r="F4783" s="209">
        <v>3.66</v>
      </c>
      <c r="G4783" s="209">
        <v>33.08</v>
      </c>
      <c r="H4783" s="198"/>
    </row>
    <row r="4784" spans="1:8" ht="15.75" hidden="1" customHeight="1" x14ac:dyDescent="0.25">
      <c r="A4784" s="205" t="s">
        <v>5380</v>
      </c>
      <c r="B4784" s="206">
        <v>89512</v>
      </c>
      <c r="C4784" s="207" t="s">
        <v>5444</v>
      </c>
      <c r="D4784" s="208" t="s">
        <v>585</v>
      </c>
      <c r="E4784" s="209">
        <v>34.99</v>
      </c>
      <c r="F4784" s="209">
        <v>19.559999999999999</v>
      </c>
      <c r="G4784" s="209">
        <v>54.55</v>
      </c>
      <c r="H4784" s="198"/>
    </row>
    <row r="4785" spans="1:8" ht="15.75" hidden="1" customHeight="1" x14ac:dyDescent="0.25">
      <c r="A4785" s="205" t="s">
        <v>5380</v>
      </c>
      <c r="B4785" s="206">
        <v>89580</v>
      </c>
      <c r="C4785" s="207" t="s">
        <v>5445</v>
      </c>
      <c r="D4785" s="208" t="s">
        <v>585</v>
      </c>
      <c r="E4785" s="209">
        <v>61.58</v>
      </c>
      <c r="F4785" s="209">
        <v>6.35</v>
      </c>
      <c r="G4785" s="209">
        <v>67.930000000000007</v>
      </c>
      <c r="H4785" s="198"/>
    </row>
    <row r="4786" spans="1:8" ht="15.75" hidden="1" customHeight="1" x14ac:dyDescent="0.25">
      <c r="A4786" s="205" t="s">
        <v>5380</v>
      </c>
      <c r="B4786" s="206">
        <v>104166</v>
      </c>
      <c r="C4786" s="207" t="s">
        <v>5446</v>
      </c>
      <c r="D4786" s="208" t="s">
        <v>585</v>
      </c>
      <c r="E4786" s="209">
        <v>63.56</v>
      </c>
      <c r="F4786" s="209">
        <v>12.31</v>
      </c>
      <c r="G4786" s="209">
        <v>75.87</v>
      </c>
      <c r="H4786" s="198"/>
    </row>
    <row r="4787" spans="1:8" ht="15.75" hidden="1" customHeight="1" x14ac:dyDescent="0.25">
      <c r="A4787" s="205" t="s">
        <v>5380</v>
      </c>
      <c r="B4787" s="206">
        <v>89508</v>
      </c>
      <c r="C4787" s="207" t="s">
        <v>5447</v>
      </c>
      <c r="D4787" s="208" t="s">
        <v>585</v>
      </c>
      <c r="E4787" s="209">
        <v>11.64</v>
      </c>
      <c r="F4787" s="209">
        <v>7.2</v>
      </c>
      <c r="G4787" s="209">
        <v>18.84</v>
      </c>
      <c r="H4787" s="198"/>
    </row>
    <row r="4788" spans="1:8" ht="15.75" hidden="1" customHeight="1" x14ac:dyDescent="0.25">
      <c r="A4788" s="205" t="s">
        <v>5380</v>
      </c>
      <c r="B4788" s="206">
        <v>89509</v>
      </c>
      <c r="C4788" s="207" t="s">
        <v>5448</v>
      </c>
      <c r="D4788" s="208" t="s">
        <v>585</v>
      </c>
      <c r="E4788" s="209">
        <v>16.09</v>
      </c>
      <c r="F4788" s="209">
        <v>9.2100000000000009</v>
      </c>
      <c r="G4788" s="209">
        <v>25.3</v>
      </c>
      <c r="H4788" s="198"/>
    </row>
    <row r="4789" spans="1:8" ht="15.75" hidden="1" customHeight="1" x14ac:dyDescent="0.25">
      <c r="A4789" s="205" t="s">
        <v>5380</v>
      </c>
      <c r="B4789" s="206">
        <v>89576</v>
      </c>
      <c r="C4789" s="207" t="s">
        <v>5449</v>
      </c>
      <c r="D4789" s="208" t="s">
        <v>585</v>
      </c>
      <c r="E4789" s="209">
        <v>24.09</v>
      </c>
      <c r="F4789" s="209">
        <v>2.33</v>
      </c>
      <c r="G4789" s="209">
        <v>26.42</v>
      </c>
      <c r="H4789" s="198"/>
    </row>
    <row r="4790" spans="1:8" ht="15.75" hidden="1" customHeight="1" x14ac:dyDescent="0.25">
      <c r="A4790" s="205" t="s">
        <v>5380</v>
      </c>
      <c r="B4790" s="206">
        <v>89511</v>
      </c>
      <c r="C4790" s="207" t="s">
        <v>5450</v>
      </c>
      <c r="D4790" s="208" t="s">
        <v>585</v>
      </c>
      <c r="E4790" s="209">
        <v>28.31</v>
      </c>
      <c r="F4790" s="209">
        <v>14.28</v>
      </c>
      <c r="G4790" s="209">
        <v>42.59</v>
      </c>
      <c r="H4790" s="198"/>
    </row>
    <row r="4791" spans="1:8" ht="15.75" hidden="1" customHeight="1" x14ac:dyDescent="0.25">
      <c r="A4791" s="205" t="s">
        <v>5380</v>
      </c>
      <c r="B4791" s="206">
        <v>89675</v>
      </c>
      <c r="C4791" s="207" t="s">
        <v>5451</v>
      </c>
      <c r="D4791" s="208" t="s">
        <v>580</v>
      </c>
      <c r="E4791" s="209">
        <v>61.65</v>
      </c>
      <c r="F4791" s="209">
        <v>8.83</v>
      </c>
      <c r="G4791" s="209">
        <v>70.48</v>
      </c>
      <c r="H4791" s="198"/>
    </row>
    <row r="4792" spans="1:8" ht="15.75" hidden="1" customHeight="1" x14ac:dyDescent="0.25">
      <c r="A4792" s="205" t="s">
        <v>5380</v>
      </c>
      <c r="B4792" s="206">
        <v>89559</v>
      </c>
      <c r="C4792" s="207" t="s">
        <v>5452</v>
      </c>
      <c r="D4792" s="208" t="s">
        <v>580</v>
      </c>
      <c r="E4792" s="209">
        <v>60</v>
      </c>
      <c r="F4792" s="209">
        <v>4.1500000000000004</v>
      </c>
      <c r="G4792" s="209">
        <v>64.150000000000006</v>
      </c>
      <c r="H4792" s="198"/>
    </row>
    <row r="4793" spans="1:8" ht="15.75" hidden="1" customHeight="1" x14ac:dyDescent="0.25">
      <c r="A4793" s="205" t="s">
        <v>5380</v>
      </c>
      <c r="B4793" s="206">
        <v>104172</v>
      </c>
      <c r="C4793" s="207" t="s">
        <v>5453</v>
      </c>
      <c r="D4793" s="208" t="s">
        <v>580</v>
      </c>
      <c r="E4793" s="209">
        <v>251.24</v>
      </c>
      <c r="F4793" s="209">
        <v>8.41</v>
      </c>
      <c r="G4793" s="209">
        <v>259.64999999999998</v>
      </c>
      <c r="H4793" s="198"/>
    </row>
    <row r="4794" spans="1:8" ht="15.75" hidden="1" customHeight="1" x14ac:dyDescent="0.25">
      <c r="A4794" s="205" t="s">
        <v>5380</v>
      </c>
      <c r="B4794" s="206">
        <v>89683</v>
      </c>
      <c r="C4794" s="207" t="s">
        <v>5454</v>
      </c>
      <c r="D4794" s="208" t="s">
        <v>580</v>
      </c>
      <c r="E4794" s="209">
        <v>253.65</v>
      </c>
      <c r="F4794" s="209">
        <v>15.27</v>
      </c>
      <c r="G4794" s="209">
        <v>268.92</v>
      </c>
      <c r="H4794" s="198"/>
    </row>
    <row r="4795" spans="1:8" ht="15.75" hidden="1" customHeight="1" x14ac:dyDescent="0.25">
      <c r="A4795" s="205" t="s">
        <v>5380</v>
      </c>
      <c r="B4795" s="206">
        <v>89667</v>
      </c>
      <c r="C4795" s="207" t="s">
        <v>5455</v>
      </c>
      <c r="D4795" s="208" t="s">
        <v>580</v>
      </c>
      <c r="E4795" s="209">
        <v>37.450000000000003</v>
      </c>
      <c r="F4795" s="209">
        <v>5.61</v>
      </c>
      <c r="G4795" s="209">
        <v>43.06</v>
      </c>
      <c r="H4795" s="198"/>
    </row>
    <row r="4796" spans="1:8" ht="15.75" hidden="1" customHeight="1" x14ac:dyDescent="0.25">
      <c r="A4796" s="205" t="s">
        <v>5380</v>
      </c>
      <c r="B4796" s="206">
        <v>89550</v>
      </c>
      <c r="C4796" s="207" t="s">
        <v>5456</v>
      </c>
      <c r="D4796" s="208" t="s">
        <v>580</v>
      </c>
      <c r="E4796" s="209">
        <v>36.53</v>
      </c>
      <c r="F4796" s="209">
        <v>3.03</v>
      </c>
      <c r="G4796" s="209">
        <v>39.56</v>
      </c>
      <c r="H4796" s="198"/>
    </row>
    <row r="4797" spans="1:8" ht="15.75" hidden="1" customHeight="1" x14ac:dyDescent="0.25">
      <c r="A4797" s="205" t="s">
        <v>5380</v>
      </c>
      <c r="B4797" s="206">
        <v>89693</v>
      </c>
      <c r="C4797" s="207" t="s">
        <v>5457</v>
      </c>
      <c r="D4797" s="208" t="s">
        <v>580</v>
      </c>
      <c r="E4797" s="209">
        <v>63.13</v>
      </c>
      <c r="F4797" s="209">
        <v>17.670000000000002</v>
      </c>
      <c r="G4797" s="209">
        <v>80.8</v>
      </c>
      <c r="H4797" s="198"/>
    </row>
    <row r="4798" spans="1:8" ht="15.75" hidden="1" customHeight="1" x14ac:dyDescent="0.25">
      <c r="A4798" s="205" t="s">
        <v>5380</v>
      </c>
      <c r="B4798" s="206">
        <v>89571</v>
      </c>
      <c r="C4798" s="207" t="s">
        <v>5458</v>
      </c>
      <c r="D4798" s="208" t="s">
        <v>580</v>
      </c>
      <c r="E4798" s="209">
        <v>59.81</v>
      </c>
      <c r="F4798" s="209">
        <v>8.34</v>
      </c>
      <c r="G4798" s="209">
        <v>68.150000000000006</v>
      </c>
      <c r="H4798" s="198"/>
    </row>
    <row r="4799" spans="1:8" ht="15.75" hidden="1" customHeight="1" x14ac:dyDescent="0.25">
      <c r="A4799" s="205" t="s">
        <v>5380</v>
      </c>
      <c r="B4799" s="206">
        <v>89696</v>
      </c>
      <c r="C4799" s="207" t="s">
        <v>5459</v>
      </c>
      <c r="D4799" s="208" t="s">
        <v>580</v>
      </c>
      <c r="E4799" s="209">
        <v>69.430000000000007</v>
      </c>
      <c r="F4799" s="209">
        <v>15.53</v>
      </c>
      <c r="G4799" s="209">
        <v>84.96</v>
      </c>
      <c r="H4799" s="198"/>
    </row>
    <row r="4800" spans="1:8" ht="15.75" hidden="1" customHeight="1" x14ac:dyDescent="0.25">
      <c r="A4800" s="205" t="s">
        <v>5380</v>
      </c>
      <c r="B4800" s="206">
        <v>89573</v>
      </c>
      <c r="C4800" s="207" t="s">
        <v>5460</v>
      </c>
      <c r="D4800" s="208" t="s">
        <v>580</v>
      </c>
      <c r="E4800" s="209">
        <v>66.61</v>
      </c>
      <c r="F4800" s="209">
        <v>7.58</v>
      </c>
      <c r="G4800" s="209">
        <v>74.19</v>
      </c>
      <c r="H4800" s="198"/>
    </row>
    <row r="4801" spans="1:8" ht="15.75" hidden="1" customHeight="1" x14ac:dyDescent="0.25">
      <c r="A4801" s="205" t="s">
        <v>5380</v>
      </c>
      <c r="B4801" s="206">
        <v>89704</v>
      </c>
      <c r="C4801" s="207" t="s">
        <v>5461</v>
      </c>
      <c r="D4801" s="208" t="s">
        <v>580</v>
      </c>
      <c r="E4801" s="209">
        <v>124.7</v>
      </c>
      <c r="F4801" s="209">
        <v>26.26</v>
      </c>
      <c r="G4801" s="209">
        <v>150.96</v>
      </c>
      <c r="H4801" s="198"/>
    </row>
    <row r="4802" spans="1:8" ht="15.75" hidden="1" customHeight="1" x14ac:dyDescent="0.25">
      <c r="A4802" s="205" t="s">
        <v>5380</v>
      </c>
      <c r="B4802" s="206">
        <v>104175</v>
      </c>
      <c r="C4802" s="207" t="s">
        <v>5462</v>
      </c>
      <c r="D4802" s="208" t="s">
        <v>580</v>
      </c>
      <c r="E4802" s="209">
        <v>120.87</v>
      </c>
      <c r="F4802" s="209">
        <v>15.44</v>
      </c>
      <c r="G4802" s="209">
        <v>136.31</v>
      </c>
      <c r="H4802" s="198"/>
    </row>
    <row r="4803" spans="1:8" ht="15.75" hidden="1" customHeight="1" x14ac:dyDescent="0.25">
      <c r="A4803" s="205" t="s">
        <v>5380</v>
      </c>
      <c r="B4803" s="206">
        <v>89701</v>
      </c>
      <c r="C4803" s="207" t="s">
        <v>5463</v>
      </c>
      <c r="D4803" s="208" t="s">
        <v>580</v>
      </c>
      <c r="E4803" s="209">
        <v>163.16</v>
      </c>
      <c r="F4803" s="209">
        <v>30.54</v>
      </c>
      <c r="G4803" s="209">
        <v>193.7</v>
      </c>
      <c r="H4803" s="198"/>
    </row>
    <row r="4804" spans="1:8" ht="15.75" hidden="1" customHeight="1" x14ac:dyDescent="0.25">
      <c r="A4804" s="205" t="s">
        <v>5380</v>
      </c>
      <c r="B4804" s="206">
        <v>104177</v>
      </c>
      <c r="C4804" s="207" t="s">
        <v>5464</v>
      </c>
      <c r="D4804" s="208" t="s">
        <v>580</v>
      </c>
      <c r="E4804" s="209">
        <v>158.29</v>
      </c>
      <c r="F4804" s="209">
        <v>16.86</v>
      </c>
      <c r="G4804" s="209">
        <v>175.15</v>
      </c>
      <c r="H4804" s="198"/>
    </row>
    <row r="4805" spans="1:8" ht="15.75" hidden="1" customHeight="1" x14ac:dyDescent="0.25">
      <c r="A4805" s="205" t="s">
        <v>5380</v>
      </c>
      <c r="B4805" s="206">
        <v>89566</v>
      </c>
      <c r="C4805" s="207" t="s">
        <v>5465</v>
      </c>
      <c r="D4805" s="208" t="s">
        <v>580</v>
      </c>
      <c r="E4805" s="209">
        <v>40.47</v>
      </c>
      <c r="F4805" s="209">
        <v>6.08</v>
      </c>
      <c r="G4805" s="209">
        <v>46.55</v>
      </c>
      <c r="H4805" s="198"/>
    </row>
    <row r="4806" spans="1:8" ht="15.75" hidden="1" customHeight="1" x14ac:dyDescent="0.25">
      <c r="A4806" s="205" t="s">
        <v>5380</v>
      </c>
      <c r="B4806" s="206">
        <v>89687</v>
      </c>
      <c r="C4806" s="207" t="s">
        <v>5466</v>
      </c>
      <c r="D4806" s="208" t="s">
        <v>580</v>
      </c>
      <c r="E4806" s="209">
        <v>42.3</v>
      </c>
      <c r="F4806" s="209">
        <v>11.25</v>
      </c>
      <c r="G4806" s="209">
        <v>53.55</v>
      </c>
      <c r="H4806" s="198"/>
    </row>
    <row r="4807" spans="1:8" ht="15.75" hidden="1" customHeight="1" x14ac:dyDescent="0.25">
      <c r="A4807" s="205" t="s">
        <v>5467</v>
      </c>
      <c r="B4807" s="206">
        <v>102253</v>
      </c>
      <c r="C4807" s="207" t="s">
        <v>5468</v>
      </c>
      <c r="D4807" s="208" t="s">
        <v>578</v>
      </c>
      <c r="E4807" s="209">
        <v>847.68</v>
      </c>
      <c r="F4807" s="209">
        <v>95.33</v>
      </c>
      <c r="G4807" s="209">
        <v>943.01</v>
      </c>
      <c r="H4807" s="198"/>
    </row>
    <row r="4808" spans="1:8" ht="15.75" hidden="1" customHeight="1" x14ac:dyDescent="0.25">
      <c r="A4808" s="205" t="s">
        <v>5467</v>
      </c>
      <c r="B4808" s="206">
        <v>102254</v>
      </c>
      <c r="C4808" s="207" t="s">
        <v>5469</v>
      </c>
      <c r="D4808" s="208" t="s">
        <v>578</v>
      </c>
      <c r="E4808" s="209">
        <v>745.41</v>
      </c>
      <c r="F4808" s="209">
        <v>95.34</v>
      </c>
      <c r="G4808" s="209">
        <v>840.75</v>
      </c>
      <c r="H4808" s="198"/>
    </row>
    <row r="4809" spans="1:8" ht="15.75" hidden="1" customHeight="1" x14ac:dyDescent="0.25">
      <c r="A4809" s="205" t="s">
        <v>5467</v>
      </c>
      <c r="B4809" s="206">
        <v>102257</v>
      </c>
      <c r="C4809" s="207" t="s">
        <v>5470</v>
      </c>
      <c r="D4809" s="208" t="s">
        <v>578</v>
      </c>
      <c r="E4809" s="209">
        <v>272.01</v>
      </c>
      <c r="F4809" s="209">
        <v>85.84</v>
      </c>
      <c r="G4809" s="209">
        <v>357.85</v>
      </c>
      <c r="H4809" s="198"/>
    </row>
    <row r="4810" spans="1:8" ht="15.75" hidden="1" customHeight="1" x14ac:dyDescent="0.25">
      <c r="A4810" s="205" t="s">
        <v>5467</v>
      </c>
      <c r="B4810" s="206">
        <v>102235</v>
      </c>
      <c r="C4810" s="207" t="s">
        <v>5471</v>
      </c>
      <c r="D4810" s="208" t="s">
        <v>578</v>
      </c>
      <c r="E4810" s="209">
        <v>516.88</v>
      </c>
      <c r="F4810" s="209">
        <v>70.209999999999994</v>
      </c>
      <c r="G4810" s="209">
        <v>587.09</v>
      </c>
      <c r="H4810" s="198"/>
    </row>
    <row r="4811" spans="1:8" ht="15.75" hidden="1" customHeight="1" x14ac:dyDescent="0.25">
      <c r="A4811" s="205" t="s">
        <v>5467</v>
      </c>
      <c r="B4811" s="206">
        <v>102255</v>
      </c>
      <c r="C4811" s="207" t="s">
        <v>5472</v>
      </c>
      <c r="D4811" s="208" t="s">
        <v>578</v>
      </c>
      <c r="E4811" s="209">
        <v>815.45</v>
      </c>
      <c r="F4811" s="209">
        <v>184.12</v>
      </c>
      <c r="G4811" s="209">
        <v>999.57</v>
      </c>
      <c r="H4811" s="198"/>
    </row>
    <row r="4812" spans="1:8" ht="15.75" hidden="1" customHeight="1" x14ac:dyDescent="0.25">
      <c r="A4812" s="205" t="s">
        <v>5467</v>
      </c>
      <c r="B4812" s="206">
        <v>102256</v>
      </c>
      <c r="C4812" s="207" t="s">
        <v>5473</v>
      </c>
      <c r="D4812" s="208" t="s">
        <v>578</v>
      </c>
      <c r="E4812" s="209">
        <v>718.05</v>
      </c>
      <c r="F4812" s="209">
        <v>184.13</v>
      </c>
      <c r="G4812" s="209">
        <v>902.18</v>
      </c>
      <c r="H4812" s="198"/>
    </row>
    <row r="4813" spans="1:8" ht="15.75" hidden="1" customHeight="1" x14ac:dyDescent="0.25">
      <c r="A4813" s="205" t="s">
        <v>5467</v>
      </c>
      <c r="B4813" s="206">
        <v>102258</v>
      </c>
      <c r="C4813" s="207" t="s">
        <v>5474</v>
      </c>
      <c r="D4813" s="208" t="s">
        <v>578</v>
      </c>
      <c r="E4813" s="209">
        <v>264.57</v>
      </c>
      <c r="F4813" s="209">
        <v>167.31</v>
      </c>
      <c r="G4813" s="209">
        <v>431.88</v>
      </c>
      <c r="H4813" s="198"/>
    </row>
    <row r="4814" spans="1:8" ht="15.75" hidden="1" customHeight="1" x14ac:dyDescent="0.25">
      <c r="A4814" s="205" t="s">
        <v>5475</v>
      </c>
      <c r="B4814" s="206">
        <v>101912</v>
      </c>
      <c r="C4814" s="207" t="s">
        <v>5476</v>
      </c>
      <c r="D4814" s="208" t="s">
        <v>580</v>
      </c>
      <c r="E4814" s="209">
        <v>2095.54</v>
      </c>
      <c r="F4814" s="209">
        <v>157</v>
      </c>
      <c r="G4814" s="209">
        <v>2252.54</v>
      </c>
      <c r="H4814" s="198"/>
    </row>
    <row r="4815" spans="1:8" ht="15.75" hidden="1" customHeight="1" x14ac:dyDescent="0.25">
      <c r="A4815" s="205" t="s">
        <v>5475</v>
      </c>
      <c r="B4815" s="206">
        <v>96765</v>
      </c>
      <c r="C4815" s="207" t="s">
        <v>5477</v>
      </c>
      <c r="D4815" s="208" t="s">
        <v>580</v>
      </c>
      <c r="E4815" s="209">
        <v>1753.48</v>
      </c>
      <c r="F4815" s="209">
        <v>147.72</v>
      </c>
      <c r="G4815" s="209">
        <v>1901.2</v>
      </c>
      <c r="H4815" s="198"/>
    </row>
    <row r="4816" spans="1:8" ht="15.75" hidden="1" customHeight="1" x14ac:dyDescent="0.25">
      <c r="A4816" s="205" t="s">
        <v>5475</v>
      </c>
      <c r="B4816" s="206">
        <v>97430</v>
      </c>
      <c r="C4816" s="207" t="s">
        <v>5478</v>
      </c>
      <c r="D4816" s="208" t="s">
        <v>580</v>
      </c>
      <c r="E4816" s="209">
        <v>26.87</v>
      </c>
      <c r="F4816" s="209">
        <v>17.39</v>
      </c>
      <c r="G4816" s="209">
        <v>44.26</v>
      </c>
      <c r="H4816" s="198"/>
    </row>
    <row r="4817" spans="1:8" ht="15.75" hidden="1" customHeight="1" x14ac:dyDescent="0.25">
      <c r="A4817" s="205" t="s">
        <v>5475</v>
      </c>
      <c r="B4817" s="206">
        <v>97431</v>
      </c>
      <c r="C4817" s="207" t="s">
        <v>5479</v>
      </c>
      <c r="D4817" s="208" t="s">
        <v>580</v>
      </c>
      <c r="E4817" s="209">
        <v>29.63</v>
      </c>
      <c r="F4817" s="209">
        <v>20.07</v>
      </c>
      <c r="G4817" s="209">
        <v>49.7</v>
      </c>
      <c r="H4817" s="198"/>
    </row>
    <row r="4818" spans="1:8" ht="15.75" hidden="1" customHeight="1" x14ac:dyDescent="0.25">
      <c r="A4818" s="205" t="s">
        <v>5475</v>
      </c>
      <c r="B4818" s="206">
        <v>97432</v>
      </c>
      <c r="C4818" s="207" t="s">
        <v>5480</v>
      </c>
      <c r="D4818" s="208" t="s">
        <v>580</v>
      </c>
      <c r="E4818" s="209">
        <v>33.42</v>
      </c>
      <c r="F4818" s="209">
        <v>22.7</v>
      </c>
      <c r="G4818" s="209">
        <v>56.12</v>
      </c>
      <c r="H4818" s="198"/>
    </row>
    <row r="4819" spans="1:8" ht="15.75" hidden="1" customHeight="1" x14ac:dyDescent="0.25">
      <c r="A4819" s="205" t="s">
        <v>5475</v>
      </c>
      <c r="B4819" s="206">
        <v>101913</v>
      </c>
      <c r="C4819" s="207" t="s">
        <v>5481</v>
      </c>
      <c r="D4819" s="208" t="s">
        <v>580</v>
      </c>
      <c r="E4819" s="209">
        <v>480.15</v>
      </c>
      <c r="F4819" s="209">
        <v>52.58</v>
      </c>
      <c r="G4819" s="209">
        <v>532.73</v>
      </c>
      <c r="H4819" s="198"/>
    </row>
    <row r="4820" spans="1:8" ht="15.75" hidden="1" customHeight="1" x14ac:dyDescent="0.25">
      <c r="A4820" s="205" t="s">
        <v>5475</v>
      </c>
      <c r="B4820" s="206">
        <v>101914</v>
      </c>
      <c r="C4820" s="207" t="s">
        <v>5482</v>
      </c>
      <c r="D4820" s="208" t="s">
        <v>580</v>
      </c>
      <c r="E4820" s="209">
        <v>610.38</v>
      </c>
      <c r="F4820" s="209">
        <v>65.86</v>
      </c>
      <c r="G4820" s="209">
        <v>676.24</v>
      </c>
      <c r="H4820" s="198"/>
    </row>
    <row r="4821" spans="1:8" ht="15.75" hidden="1" customHeight="1" x14ac:dyDescent="0.25">
      <c r="A4821" s="205" t="s">
        <v>5475</v>
      </c>
      <c r="B4821" s="206">
        <v>101915</v>
      </c>
      <c r="C4821" s="207" t="s">
        <v>5483</v>
      </c>
      <c r="D4821" s="208" t="s">
        <v>580</v>
      </c>
      <c r="E4821" s="209">
        <v>321.45999999999998</v>
      </c>
      <c r="F4821" s="209">
        <v>6.86</v>
      </c>
      <c r="G4821" s="209">
        <v>328.32</v>
      </c>
      <c r="H4821" s="198"/>
    </row>
    <row r="4822" spans="1:8" ht="15.75" hidden="1" customHeight="1" x14ac:dyDescent="0.25">
      <c r="A4822" s="205" t="s">
        <v>5475</v>
      </c>
      <c r="B4822" s="206">
        <v>97433</v>
      </c>
      <c r="C4822" s="207" t="s">
        <v>5484</v>
      </c>
      <c r="D4822" s="208" t="s">
        <v>580</v>
      </c>
      <c r="E4822" s="209">
        <v>68.61</v>
      </c>
      <c r="F4822" s="209">
        <v>26.09</v>
      </c>
      <c r="G4822" s="209">
        <v>94.7</v>
      </c>
      <c r="H4822" s="198"/>
    </row>
    <row r="4823" spans="1:8" ht="15.75" hidden="1" customHeight="1" x14ac:dyDescent="0.25">
      <c r="A4823" s="205" t="s">
        <v>5475</v>
      </c>
      <c r="B4823" s="206">
        <v>97435</v>
      </c>
      <c r="C4823" s="207" t="s">
        <v>5485</v>
      </c>
      <c r="D4823" s="208" t="s">
        <v>580</v>
      </c>
      <c r="E4823" s="209">
        <v>80.47</v>
      </c>
      <c r="F4823" s="209">
        <v>30.09</v>
      </c>
      <c r="G4823" s="209">
        <v>110.56</v>
      </c>
      <c r="H4823" s="198"/>
    </row>
    <row r="4824" spans="1:8" ht="15.75" hidden="1" customHeight="1" x14ac:dyDescent="0.25">
      <c r="A4824" s="205" t="s">
        <v>5475</v>
      </c>
      <c r="B4824" s="206">
        <v>97437</v>
      </c>
      <c r="C4824" s="207" t="s">
        <v>5486</v>
      </c>
      <c r="D4824" s="208" t="s">
        <v>580</v>
      </c>
      <c r="E4824" s="209">
        <v>92.33</v>
      </c>
      <c r="F4824" s="209">
        <v>34.07</v>
      </c>
      <c r="G4824" s="209">
        <v>126.4</v>
      </c>
      <c r="H4824" s="198"/>
    </row>
    <row r="4825" spans="1:8" ht="15.75" hidden="1" customHeight="1" x14ac:dyDescent="0.25">
      <c r="A4825" s="205" t="s">
        <v>5475</v>
      </c>
      <c r="B4825" s="206">
        <v>97546</v>
      </c>
      <c r="C4825" s="207" t="s">
        <v>5487</v>
      </c>
      <c r="D4825" s="208" t="s">
        <v>580</v>
      </c>
      <c r="E4825" s="209">
        <v>25.08</v>
      </c>
      <c r="F4825" s="209">
        <v>13.11</v>
      </c>
      <c r="G4825" s="209">
        <v>38.19</v>
      </c>
      <c r="H4825" s="198"/>
    </row>
    <row r="4826" spans="1:8" ht="15.75" hidden="1" customHeight="1" x14ac:dyDescent="0.25">
      <c r="A4826" s="205" t="s">
        <v>5475</v>
      </c>
      <c r="B4826" s="206">
        <v>97548</v>
      </c>
      <c r="C4826" s="207" t="s">
        <v>5488</v>
      </c>
      <c r="D4826" s="208" t="s">
        <v>580</v>
      </c>
      <c r="E4826" s="209">
        <v>35.18</v>
      </c>
      <c r="F4826" s="209">
        <v>22.44</v>
      </c>
      <c r="G4826" s="209">
        <v>57.62</v>
      </c>
      <c r="H4826" s="198"/>
    </row>
    <row r="4827" spans="1:8" ht="15.75" hidden="1" customHeight="1" x14ac:dyDescent="0.25">
      <c r="A4827" s="205" t="s">
        <v>5475</v>
      </c>
      <c r="B4827" s="206">
        <v>97550</v>
      </c>
      <c r="C4827" s="207" t="s">
        <v>5489</v>
      </c>
      <c r="D4827" s="208" t="s">
        <v>580</v>
      </c>
      <c r="E4827" s="209">
        <v>54.22</v>
      </c>
      <c r="F4827" s="209">
        <v>43.68</v>
      </c>
      <c r="G4827" s="209">
        <v>97.9</v>
      </c>
      <c r="H4827" s="198"/>
    </row>
    <row r="4828" spans="1:8" ht="15.75" hidden="1" customHeight="1" x14ac:dyDescent="0.25">
      <c r="A4828" s="205" t="s">
        <v>5475</v>
      </c>
      <c r="B4828" s="206">
        <v>97479</v>
      </c>
      <c r="C4828" s="207" t="s">
        <v>5490</v>
      </c>
      <c r="D4828" s="208" t="s">
        <v>580</v>
      </c>
      <c r="E4828" s="209">
        <v>44.69</v>
      </c>
      <c r="F4828" s="209">
        <v>17.170000000000002</v>
      </c>
      <c r="G4828" s="209">
        <v>61.86</v>
      </c>
      <c r="H4828" s="198"/>
    </row>
    <row r="4829" spans="1:8" ht="15.75" hidden="1" customHeight="1" x14ac:dyDescent="0.25">
      <c r="A4829" s="205" t="s">
        <v>5475</v>
      </c>
      <c r="B4829" s="206">
        <v>97517</v>
      </c>
      <c r="C4829" s="207" t="s">
        <v>5491</v>
      </c>
      <c r="D4829" s="208" t="s">
        <v>580</v>
      </c>
      <c r="E4829" s="209">
        <v>43.29</v>
      </c>
      <c r="F4829" s="209">
        <v>13.28</v>
      </c>
      <c r="G4829" s="209">
        <v>56.57</v>
      </c>
      <c r="H4829" s="198"/>
    </row>
    <row r="4830" spans="1:8" ht="15.75" hidden="1" customHeight="1" x14ac:dyDescent="0.25">
      <c r="A4830" s="205" t="s">
        <v>5475</v>
      </c>
      <c r="B4830" s="206">
        <v>97481</v>
      </c>
      <c r="C4830" s="207" t="s">
        <v>5492</v>
      </c>
      <c r="D4830" s="208" t="s">
        <v>580</v>
      </c>
      <c r="E4830" s="209">
        <v>66.64</v>
      </c>
      <c r="F4830" s="209">
        <v>21.98</v>
      </c>
      <c r="G4830" s="209">
        <v>88.62</v>
      </c>
      <c r="H4830" s="198"/>
    </row>
    <row r="4831" spans="1:8" ht="15.75" hidden="1" customHeight="1" x14ac:dyDescent="0.25">
      <c r="A4831" s="205" t="s">
        <v>5475</v>
      </c>
      <c r="B4831" s="206">
        <v>97519</v>
      </c>
      <c r="C4831" s="207" t="s">
        <v>5493</v>
      </c>
      <c r="D4831" s="208" t="s">
        <v>580</v>
      </c>
      <c r="E4831" s="209">
        <v>64.180000000000007</v>
      </c>
      <c r="F4831" s="209">
        <v>15.11</v>
      </c>
      <c r="G4831" s="209">
        <v>79.290000000000006</v>
      </c>
      <c r="H4831" s="198"/>
    </row>
    <row r="4832" spans="1:8" ht="15.75" hidden="1" customHeight="1" x14ac:dyDescent="0.25">
      <c r="A4832" s="205" t="s">
        <v>5475</v>
      </c>
      <c r="B4832" s="206">
        <v>97483</v>
      </c>
      <c r="C4832" s="207" t="s">
        <v>5494</v>
      </c>
      <c r="D4832" s="208" t="s">
        <v>580</v>
      </c>
      <c r="E4832" s="209">
        <v>95.46</v>
      </c>
      <c r="F4832" s="209">
        <v>27.48</v>
      </c>
      <c r="G4832" s="209">
        <v>122.94</v>
      </c>
      <c r="H4832" s="198"/>
    </row>
    <row r="4833" spans="1:8" ht="15.75" hidden="1" customHeight="1" x14ac:dyDescent="0.25">
      <c r="A4833" s="205" t="s">
        <v>5475</v>
      </c>
      <c r="B4833" s="206">
        <v>97521</v>
      </c>
      <c r="C4833" s="207" t="s">
        <v>5495</v>
      </c>
      <c r="D4833" s="208" t="s">
        <v>580</v>
      </c>
      <c r="E4833" s="209">
        <v>91.78</v>
      </c>
      <c r="F4833" s="209">
        <v>17.239999999999998</v>
      </c>
      <c r="G4833" s="209">
        <v>109.02</v>
      </c>
      <c r="H4833" s="198"/>
    </row>
    <row r="4834" spans="1:8" ht="15.75" hidden="1" customHeight="1" x14ac:dyDescent="0.25">
      <c r="A4834" s="205" t="s">
        <v>5475</v>
      </c>
      <c r="B4834" s="206">
        <v>97452</v>
      </c>
      <c r="C4834" s="207" t="s">
        <v>5496</v>
      </c>
      <c r="D4834" s="208" t="s">
        <v>580</v>
      </c>
      <c r="E4834" s="209">
        <v>142.61000000000001</v>
      </c>
      <c r="F4834" s="209">
        <v>58.5</v>
      </c>
      <c r="G4834" s="209">
        <v>201.11</v>
      </c>
      <c r="H4834" s="198"/>
    </row>
    <row r="4835" spans="1:8" ht="15.75" hidden="1" customHeight="1" x14ac:dyDescent="0.25">
      <c r="A4835" s="205" t="s">
        <v>5475</v>
      </c>
      <c r="B4835" s="206">
        <v>97485</v>
      </c>
      <c r="C4835" s="207" t="s">
        <v>5497</v>
      </c>
      <c r="D4835" s="208" t="s">
        <v>580</v>
      </c>
      <c r="E4835" s="209">
        <v>133.93</v>
      </c>
      <c r="F4835" s="209">
        <v>34.36</v>
      </c>
      <c r="G4835" s="209">
        <v>168.29</v>
      </c>
      <c r="H4835" s="198"/>
    </row>
    <row r="4836" spans="1:8" ht="15.75" hidden="1" customHeight="1" x14ac:dyDescent="0.25">
      <c r="A4836" s="205" t="s">
        <v>5475</v>
      </c>
      <c r="B4836" s="206">
        <v>97523</v>
      </c>
      <c r="C4836" s="207" t="s">
        <v>5498</v>
      </c>
      <c r="D4836" s="208" t="s">
        <v>580</v>
      </c>
      <c r="E4836" s="209">
        <v>128.74</v>
      </c>
      <c r="F4836" s="209">
        <v>19.920000000000002</v>
      </c>
      <c r="G4836" s="209">
        <v>148.66</v>
      </c>
      <c r="H4836" s="198"/>
    </row>
    <row r="4837" spans="1:8" ht="15.75" hidden="1" customHeight="1" x14ac:dyDescent="0.25">
      <c r="A4837" s="205" t="s">
        <v>5475</v>
      </c>
      <c r="B4837" s="206">
        <v>97454</v>
      </c>
      <c r="C4837" s="207" t="s">
        <v>5499</v>
      </c>
      <c r="D4837" s="208" t="s">
        <v>580</v>
      </c>
      <c r="E4837" s="209">
        <v>265.74</v>
      </c>
      <c r="F4837" s="209">
        <v>64.78</v>
      </c>
      <c r="G4837" s="209">
        <v>330.52</v>
      </c>
      <c r="H4837" s="198"/>
    </row>
    <row r="4838" spans="1:8" ht="15.75" hidden="1" customHeight="1" x14ac:dyDescent="0.25">
      <c r="A4838" s="205" t="s">
        <v>5475</v>
      </c>
      <c r="B4838" s="206">
        <v>97487</v>
      </c>
      <c r="C4838" s="207" t="s">
        <v>5500</v>
      </c>
      <c r="D4838" s="208" t="s">
        <v>580</v>
      </c>
      <c r="E4838" s="209">
        <v>258.57</v>
      </c>
      <c r="F4838" s="209">
        <v>44.73</v>
      </c>
      <c r="G4838" s="209">
        <v>303.3</v>
      </c>
      <c r="H4838" s="198"/>
    </row>
    <row r="4839" spans="1:8" ht="15.75" hidden="1" customHeight="1" x14ac:dyDescent="0.25">
      <c r="A4839" s="205" t="s">
        <v>5475</v>
      </c>
      <c r="B4839" s="206">
        <v>97525</v>
      </c>
      <c r="C4839" s="207" t="s">
        <v>5501</v>
      </c>
      <c r="D4839" s="208" t="s">
        <v>580</v>
      </c>
      <c r="E4839" s="209">
        <v>251.06</v>
      </c>
      <c r="F4839" s="209">
        <v>23.89</v>
      </c>
      <c r="G4839" s="209">
        <v>274.95</v>
      </c>
      <c r="H4839" s="198"/>
    </row>
    <row r="4840" spans="1:8" ht="15.75" hidden="1" customHeight="1" x14ac:dyDescent="0.25">
      <c r="A4840" s="205" t="s">
        <v>5475</v>
      </c>
      <c r="B4840" s="206">
        <v>97456</v>
      </c>
      <c r="C4840" s="207" t="s">
        <v>5502</v>
      </c>
      <c r="D4840" s="208" t="s">
        <v>580</v>
      </c>
      <c r="E4840" s="209">
        <v>651.6</v>
      </c>
      <c r="F4840" s="209">
        <v>71.03</v>
      </c>
      <c r="G4840" s="209">
        <v>722.63</v>
      </c>
      <c r="H4840" s="198"/>
    </row>
    <row r="4841" spans="1:8" ht="15.75" hidden="1" customHeight="1" x14ac:dyDescent="0.25">
      <c r="A4841" s="205" t="s">
        <v>5475</v>
      </c>
      <c r="B4841" s="206">
        <v>97489</v>
      </c>
      <c r="C4841" s="207" t="s">
        <v>5503</v>
      </c>
      <c r="D4841" s="208" t="s">
        <v>580</v>
      </c>
      <c r="E4841" s="209">
        <v>645.83000000000004</v>
      </c>
      <c r="F4841" s="209">
        <v>55.09</v>
      </c>
      <c r="G4841" s="209">
        <v>700.92</v>
      </c>
      <c r="H4841" s="198"/>
    </row>
    <row r="4842" spans="1:8" ht="15.75" hidden="1" customHeight="1" x14ac:dyDescent="0.25">
      <c r="A4842" s="205" t="s">
        <v>5475</v>
      </c>
      <c r="B4842" s="206">
        <v>97527</v>
      </c>
      <c r="C4842" s="207" t="s">
        <v>5504</v>
      </c>
      <c r="D4842" s="208" t="s">
        <v>580</v>
      </c>
      <c r="E4842" s="209">
        <v>636.07000000000005</v>
      </c>
      <c r="F4842" s="209">
        <v>27.88</v>
      </c>
      <c r="G4842" s="209">
        <v>663.95</v>
      </c>
      <c r="H4842" s="198"/>
    </row>
    <row r="4843" spans="1:8" ht="15.75" hidden="1" customHeight="1" x14ac:dyDescent="0.25">
      <c r="A4843" s="205" t="s">
        <v>5475</v>
      </c>
      <c r="B4843" s="206">
        <v>97434</v>
      </c>
      <c r="C4843" s="207" t="s">
        <v>5505</v>
      </c>
      <c r="D4843" s="208" t="s">
        <v>580</v>
      </c>
      <c r="E4843" s="209">
        <v>70.14</v>
      </c>
      <c r="F4843" s="209">
        <v>26.1</v>
      </c>
      <c r="G4843" s="209">
        <v>96.24</v>
      </c>
      <c r="H4843" s="198"/>
    </row>
    <row r="4844" spans="1:8" ht="15.75" hidden="1" customHeight="1" x14ac:dyDescent="0.25">
      <c r="A4844" s="205" t="s">
        <v>5475</v>
      </c>
      <c r="B4844" s="206">
        <v>97436</v>
      </c>
      <c r="C4844" s="207" t="s">
        <v>5506</v>
      </c>
      <c r="D4844" s="208" t="s">
        <v>580</v>
      </c>
      <c r="E4844" s="209">
        <v>83.46</v>
      </c>
      <c r="F4844" s="209">
        <v>30.08</v>
      </c>
      <c r="G4844" s="209">
        <v>113.54</v>
      </c>
      <c r="H4844" s="198"/>
    </row>
    <row r="4845" spans="1:8" ht="15.75" hidden="1" customHeight="1" x14ac:dyDescent="0.25">
      <c r="A4845" s="205" t="s">
        <v>5475</v>
      </c>
      <c r="B4845" s="206">
        <v>97438</v>
      </c>
      <c r="C4845" s="207" t="s">
        <v>5507</v>
      </c>
      <c r="D4845" s="208" t="s">
        <v>580</v>
      </c>
      <c r="E4845" s="209">
        <v>95.51</v>
      </c>
      <c r="F4845" s="209">
        <v>34.08</v>
      </c>
      <c r="G4845" s="209">
        <v>129.59</v>
      </c>
      <c r="H4845" s="198"/>
    </row>
    <row r="4846" spans="1:8" ht="15.75" hidden="1" customHeight="1" x14ac:dyDescent="0.25">
      <c r="A4846" s="205" t="s">
        <v>5475</v>
      </c>
      <c r="B4846" s="206">
        <v>97547</v>
      </c>
      <c r="C4846" s="207" t="s">
        <v>5508</v>
      </c>
      <c r="D4846" s="208" t="s">
        <v>580</v>
      </c>
      <c r="E4846" s="209">
        <v>25.08</v>
      </c>
      <c r="F4846" s="209">
        <v>13.11</v>
      </c>
      <c r="G4846" s="209">
        <v>38.19</v>
      </c>
      <c r="H4846" s="198"/>
    </row>
    <row r="4847" spans="1:8" ht="15.75" hidden="1" customHeight="1" x14ac:dyDescent="0.25">
      <c r="A4847" s="205" t="s">
        <v>5475</v>
      </c>
      <c r="B4847" s="206">
        <v>97549</v>
      </c>
      <c r="C4847" s="207" t="s">
        <v>5509</v>
      </c>
      <c r="D4847" s="208" t="s">
        <v>580</v>
      </c>
      <c r="E4847" s="209">
        <v>35.18</v>
      </c>
      <c r="F4847" s="209">
        <v>22.44</v>
      </c>
      <c r="G4847" s="209">
        <v>57.62</v>
      </c>
      <c r="H4847" s="198"/>
    </row>
    <row r="4848" spans="1:8" ht="15.75" hidden="1" customHeight="1" x14ac:dyDescent="0.25">
      <c r="A4848" s="205" t="s">
        <v>5475</v>
      </c>
      <c r="B4848" s="206">
        <v>97551</v>
      </c>
      <c r="C4848" s="207" t="s">
        <v>5510</v>
      </c>
      <c r="D4848" s="208" t="s">
        <v>580</v>
      </c>
      <c r="E4848" s="209">
        <v>54.22</v>
      </c>
      <c r="F4848" s="209">
        <v>43.68</v>
      </c>
      <c r="G4848" s="209">
        <v>97.9</v>
      </c>
      <c r="H4848" s="198"/>
    </row>
    <row r="4849" spans="1:8" ht="15.75" hidden="1" customHeight="1" x14ac:dyDescent="0.25">
      <c r="A4849" s="205" t="s">
        <v>5475</v>
      </c>
      <c r="B4849" s="206">
        <v>97480</v>
      </c>
      <c r="C4849" s="207" t="s">
        <v>5511</v>
      </c>
      <c r="D4849" s="208" t="s">
        <v>580</v>
      </c>
      <c r="E4849" s="209">
        <v>44.69</v>
      </c>
      <c r="F4849" s="209">
        <v>17.170000000000002</v>
      </c>
      <c r="G4849" s="209">
        <v>61.86</v>
      </c>
      <c r="H4849" s="198"/>
    </row>
    <row r="4850" spans="1:8" ht="15.75" hidden="1" customHeight="1" x14ac:dyDescent="0.25">
      <c r="A4850" s="205" t="s">
        <v>5475</v>
      </c>
      <c r="B4850" s="206">
        <v>97518</v>
      </c>
      <c r="C4850" s="207" t="s">
        <v>5512</v>
      </c>
      <c r="D4850" s="208" t="s">
        <v>580</v>
      </c>
      <c r="E4850" s="209">
        <v>43.29</v>
      </c>
      <c r="F4850" s="209">
        <v>13.28</v>
      </c>
      <c r="G4850" s="209">
        <v>56.57</v>
      </c>
      <c r="H4850" s="198"/>
    </row>
    <row r="4851" spans="1:8" ht="15.75" hidden="1" customHeight="1" x14ac:dyDescent="0.25">
      <c r="A4851" s="205" t="s">
        <v>5475</v>
      </c>
      <c r="B4851" s="206">
        <v>97482</v>
      </c>
      <c r="C4851" s="207" t="s">
        <v>5513</v>
      </c>
      <c r="D4851" s="208" t="s">
        <v>580</v>
      </c>
      <c r="E4851" s="209">
        <v>66.64</v>
      </c>
      <c r="F4851" s="209">
        <v>21.98</v>
      </c>
      <c r="G4851" s="209">
        <v>88.62</v>
      </c>
      <c r="H4851" s="198"/>
    </row>
    <row r="4852" spans="1:8" ht="15.75" hidden="1" customHeight="1" x14ac:dyDescent="0.25">
      <c r="A4852" s="205" t="s">
        <v>5475</v>
      </c>
      <c r="B4852" s="206">
        <v>97520</v>
      </c>
      <c r="C4852" s="207" t="s">
        <v>5514</v>
      </c>
      <c r="D4852" s="208" t="s">
        <v>580</v>
      </c>
      <c r="E4852" s="209">
        <v>64.180000000000007</v>
      </c>
      <c r="F4852" s="209">
        <v>15.11</v>
      </c>
      <c r="G4852" s="209">
        <v>79.290000000000006</v>
      </c>
      <c r="H4852" s="198"/>
    </row>
    <row r="4853" spans="1:8" ht="15.75" hidden="1" customHeight="1" x14ac:dyDescent="0.25">
      <c r="A4853" s="205" t="s">
        <v>5475</v>
      </c>
      <c r="B4853" s="206">
        <v>97484</v>
      </c>
      <c r="C4853" s="207" t="s">
        <v>5515</v>
      </c>
      <c r="D4853" s="208" t="s">
        <v>580</v>
      </c>
      <c r="E4853" s="209">
        <v>95.46</v>
      </c>
      <c r="F4853" s="209">
        <v>27.48</v>
      </c>
      <c r="G4853" s="209">
        <v>122.94</v>
      </c>
      <c r="H4853" s="198"/>
    </row>
    <row r="4854" spans="1:8" ht="15.75" hidden="1" customHeight="1" x14ac:dyDescent="0.25">
      <c r="A4854" s="205" t="s">
        <v>5475</v>
      </c>
      <c r="B4854" s="206">
        <v>97522</v>
      </c>
      <c r="C4854" s="207" t="s">
        <v>5516</v>
      </c>
      <c r="D4854" s="208" t="s">
        <v>580</v>
      </c>
      <c r="E4854" s="209">
        <v>91.78</v>
      </c>
      <c r="F4854" s="209">
        <v>17.239999999999998</v>
      </c>
      <c r="G4854" s="209">
        <v>109.02</v>
      </c>
      <c r="H4854" s="198"/>
    </row>
    <row r="4855" spans="1:8" ht="15.75" hidden="1" customHeight="1" x14ac:dyDescent="0.25">
      <c r="A4855" s="205" t="s">
        <v>5475</v>
      </c>
      <c r="B4855" s="206">
        <v>97453</v>
      </c>
      <c r="C4855" s="207" t="s">
        <v>5517</v>
      </c>
      <c r="D4855" s="208" t="s">
        <v>580</v>
      </c>
      <c r="E4855" s="209">
        <v>153.76</v>
      </c>
      <c r="F4855" s="209">
        <v>58.49</v>
      </c>
      <c r="G4855" s="209">
        <v>212.25</v>
      </c>
      <c r="H4855" s="198"/>
    </row>
    <row r="4856" spans="1:8" ht="15.75" hidden="1" customHeight="1" x14ac:dyDescent="0.25">
      <c r="A4856" s="205" t="s">
        <v>5475</v>
      </c>
      <c r="B4856" s="206">
        <v>97486</v>
      </c>
      <c r="C4856" s="207" t="s">
        <v>5518</v>
      </c>
      <c r="D4856" s="208" t="s">
        <v>580</v>
      </c>
      <c r="E4856" s="209">
        <v>145.06</v>
      </c>
      <c r="F4856" s="209">
        <v>34.369999999999997</v>
      </c>
      <c r="G4856" s="209">
        <v>179.43</v>
      </c>
      <c r="H4856" s="198"/>
    </row>
    <row r="4857" spans="1:8" ht="15.75" hidden="1" customHeight="1" x14ac:dyDescent="0.25">
      <c r="A4857" s="205" t="s">
        <v>5475</v>
      </c>
      <c r="B4857" s="206">
        <v>97524</v>
      </c>
      <c r="C4857" s="207" t="s">
        <v>5519</v>
      </c>
      <c r="D4857" s="208" t="s">
        <v>580</v>
      </c>
      <c r="E4857" s="209">
        <v>139.88</v>
      </c>
      <c r="F4857" s="209">
        <v>19.920000000000002</v>
      </c>
      <c r="G4857" s="209">
        <v>159.80000000000001</v>
      </c>
      <c r="H4857" s="198"/>
    </row>
    <row r="4858" spans="1:8" ht="15.75" hidden="1" customHeight="1" x14ac:dyDescent="0.25">
      <c r="A4858" s="205" t="s">
        <v>5475</v>
      </c>
      <c r="B4858" s="206">
        <v>97455</v>
      </c>
      <c r="C4858" s="207" t="s">
        <v>5520</v>
      </c>
      <c r="D4858" s="208" t="s">
        <v>580</v>
      </c>
      <c r="E4858" s="209">
        <v>283.58</v>
      </c>
      <c r="F4858" s="209">
        <v>64.75</v>
      </c>
      <c r="G4858" s="209">
        <v>348.33</v>
      </c>
      <c r="H4858" s="198"/>
    </row>
    <row r="4859" spans="1:8" ht="15.75" hidden="1" customHeight="1" x14ac:dyDescent="0.25">
      <c r="A4859" s="205" t="s">
        <v>5475</v>
      </c>
      <c r="B4859" s="206">
        <v>97488</v>
      </c>
      <c r="C4859" s="207" t="s">
        <v>5521</v>
      </c>
      <c r="D4859" s="208" t="s">
        <v>580</v>
      </c>
      <c r="E4859" s="209">
        <v>276.38</v>
      </c>
      <c r="F4859" s="209">
        <v>44.73</v>
      </c>
      <c r="G4859" s="209">
        <v>321.11</v>
      </c>
      <c r="H4859" s="198"/>
    </row>
    <row r="4860" spans="1:8" ht="15.75" hidden="1" customHeight="1" x14ac:dyDescent="0.25">
      <c r="A4860" s="205" t="s">
        <v>5475</v>
      </c>
      <c r="B4860" s="206">
        <v>97526</v>
      </c>
      <c r="C4860" s="207" t="s">
        <v>5522</v>
      </c>
      <c r="D4860" s="208" t="s">
        <v>580</v>
      </c>
      <c r="E4860" s="209">
        <v>268.88</v>
      </c>
      <c r="F4860" s="209">
        <v>23.88</v>
      </c>
      <c r="G4860" s="209">
        <v>292.76</v>
      </c>
      <c r="H4860" s="198"/>
    </row>
    <row r="4861" spans="1:8" ht="15.75" hidden="1" customHeight="1" x14ac:dyDescent="0.25">
      <c r="A4861" s="205" t="s">
        <v>5475</v>
      </c>
      <c r="B4861" s="206">
        <v>97457</v>
      </c>
      <c r="C4861" s="207" t="s">
        <v>5523</v>
      </c>
      <c r="D4861" s="208" t="s">
        <v>580</v>
      </c>
      <c r="E4861" s="209">
        <v>571.71</v>
      </c>
      <c r="F4861" s="209">
        <v>71.02</v>
      </c>
      <c r="G4861" s="209">
        <v>642.73</v>
      </c>
      <c r="H4861" s="198"/>
    </row>
    <row r="4862" spans="1:8" ht="15.75" hidden="1" customHeight="1" x14ac:dyDescent="0.25">
      <c r="A4862" s="205" t="s">
        <v>5475</v>
      </c>
      <c r="B4862" s="206">
        <v>97490</v>
      </c>
      <c r="C4862" s="207" t="s">
        <v>5524</v>
      </c>
      <c r="D4862" s="208" t="s">
        <v>580</v>
      </c>
      <c r="E4862" s="209">
        <v>565.94000000000005</v>
      </c>
      <c r="F4862" s="209">
        <v>55.08</v>
      </c>
      <c r="G4862" s="209">
        <v>621.02</v>
      </c>
      <c r="H4862" s="198"/>
    </row>
    <row r="4863" spans="1:8" ht="15.75" hidden="1" customHeight="1" x14ac:dyDescent="0.25">
      <c r="A4863" s="205" t="s">
        <v>5475</v>
      </c>
      <c r="B4863" s="206">
        <v>97528</v>
      </c>
      <c r="C4863" s="207" t="s">
        <v>5525</v>
      </c>
      <c r="D4863" s="208" t="s">
        <v>580</v>
      </c>
      <c r="E4863" s="209">
        <v>556.20000000000005</v>
      </c>
      <c r="F4863" s="209">
        <v>27.85</v>
      </c>
      <c r="G4863" s="209">
        <v>584.04999999999995</v>
      </c>
      <c r="H4863" s="198"/>
    </row>
    <row r="4864" spans="1:8" ht="15.75" hidden="1" customHeight="1" x14ac:dyDescent="0.25">
      <c r="A4864" s="205" t="s">
        <v>5475</v>
      </c>
      <c r="B4864" s="206">
        <v>101906</v>
      </c>
      <c r="C4864" s="207" t="s">
        <v>5526</v>
      </c>
      <c r="D4864" s="208" t="s">
        <v>580</v>
      </c>
      <c r="E4864" s="209">
        <v>618.28</v>
      </c>
      <c r="F4864" s="209">
        <v>22.22</v>
      </c>
      <c r="G4864" s="209">
        <v>640.5</v>
      </c>
      <c r="H4864" s="198"/>
    </row>
    <row r="4865" spans="1:8" ht="15.75" hidden="1" customHeight="1" x14ac:dyDescent="0.25">
      <c r="A4865" s="205" t="s">
        <v>5475</v>
      </c>
      <c r="B4865" s="206">
        <v>101907</v>
      </c>
      <c r="C4865" s="207" t="s">
        <v>5527</v>
      </c>
      <c r="D4865" s="208" t="s">
        <v>580</v>
      </c>
      <c r="E4865" s="209">
        <v>669.02</v>
      </c>
      <c r="F4865" s="209">
        <v>22.25</v>
      </c>
      <c r="G4865" s="209">
        <v>691.27</v>
      </c>
      <c r="H4865" s="198"/>
    </row>
    <row r="4866" spans="1:8" ht="15.75" hidden="1" customHeight="1" x14ac:dyDescent="0.25">
      <c r="A4866" s="205" t="s">
        <v>5475</v>
      </c>
      <c r="B4866" s="206">
        <v>101911</v>
      </c>
      <c r="C4866" s="207" t="s">
        <v>5528</v>
      </c>
      <c r="D4866" s="208" t="s">
        <v>580</v>
      </c>
      <c r="E4866" s="209">
        <v>313.64999999999998</v>
      </c>
      <c r="F4866" s="209">
        <v>22.23</v>
      </c>
      <c r="G4866" s="209">
        <v>335.88</v>
      </c>
      <c r="H4866" s="198"/>
    </row>
    <row r="4867" spans="1:8" ht="15.75" hidden="1" customHeight="1" x14ac:dyDescent="0.25">
      <c r="A4867" s="205" t="s">
        <v>5475</v>
      </c>
      <c r="B4867" s="206">
        <v>101908</v>
      </c>
      <c r="C4867" s="207" t="s">
        <v>5529</v>
      </c>
      <c r="D4867" s="208" t="s">
        <v>580</v>
      </c>
      <c r="E4867" s="209">
        <v>195.2</v>
      </c>
      <c r="F4867" s="209">
        <v>22.22</v>
      </c>
      <c r="G4867" s="209">
        <v>217.42</v>
      </c>
      <c r="H4867" s="198"/>
    </row>
    <row r="4868" spans="1:8" ht="15.75" hidden="1" customHeight="1" x14ac:dyDescent="0.25">
      <c r="A4868" s="205" t="s">
        <v>5475</v>
      </c>
      <c r="B4868" s="206">
        <v>101909</v>
      </c>
      <c r="C4868" s="207" t="s">
        <v>5530</v>
      </c>
      <c r="D4868" s="208" t="s">
        <v>580</v>
      </c>
      <c r="E4868" s="209">
        <v>229.04</v>
      </c>
      <c r="F4868" s="209">
        <v>22.23</v>
      </c>
      <c r="G4868" s="209">
        <v>251.27</v>
      </c>
      <c r="H4868" s="198"/>
    </row>
    <row r="4869" spans="1:8" ht="15.75" hidden="1" customHeight="1" x14ac:dyDescent="0.25">
      <c r="A4869" s="205" t="s">
        <v>5475</v>
      </c>
      <c r="B4869" s="206">
        <v>101910</v>
      </c>
      <c r="C4869" s="207" t="s">
        <v>5531</v>
      </c>
      <c r="D4869" s="208" t="s">
        <v>580</v>
      </c>
      <c r="E4869" s="209">
        <v>271.35000000000002</v>
      </c>
      <c r="F4869" s="209">
        <v>22.22</v>
      </c>
      <c r="G4869" s="209">
        <v>293.57</v>
      </c>
      <c r="H4869" s="198"/>
    </row>
    <row r="4870" spans="1:8" ht="15.75" hidden="1" customHeight="1" x14ac:dyDescent="0.25">
      <c r="A4870" s="205" t="s">
        <v>5475</v>
      </c>
      <c r="B4870" s="206">
        <v>101905</v>
      </c>
      <c r="C4870" s="207" t="s">
        <v>5532</v>
      </c>
      <c r="D4870" s="208" t="s">
        <v>580</v>
      </c>
      <c r="E4870" s="209">
        <v>201.55</v>
      </c>
      <c r="F4870" s="209">
        <v>22.22</v>
      </c>
      <c r="G4870" s="209">
        <v>223.77</v>
      </c>
      <c r="H4870" s="198"/>
    </row>
    <row r="4871" spans="1:8" ht="15.75" hidden="1" customHeight="1" x14ac:dyDescent="0.25">
      <c r="A4871" s="205" t="s">
        <v>5475</v>
      </c>
      <c r="B4871" s="206">
        <v>101916</v>
      </c>
      <c r="C4871" s="207" t="s">
        <v>5533</v>
      </c>
      <c r="D4871" s="208" t="s">
        <v>580</v>
      </c>
      <c r="E4871" s="209">
        <v>3244.54</v>
      </c>
      <c r="F4871" s="209">
        <v>215.93</v>
      </c>
      <c r="G4871" s="209">
        <v>3460.47</v>
      </c>
      <c r="H4871" s="198"/>
    </row>
    <row r="4872" spans="1:8" ht="15.75" hidden="1" customHeight="1" x14ac:dyDescent="0.25">
      <c r="A4872" s="205" t="s">
        <v>5475</v>
      </c>
      <c r="B4872" s="206">
        <v>101936</v>
      </c>
      <c r="C4872" s="207" t="s">
        <v>5534</v>
      </c>
      <c r="D4872" s="208" t="s">
        <v>580</v>
      </c>
      <c r="E4872" s="209">
        <v>5894.05</v>
      </c>
      <c r="F4872" s="209">
        <v>3591.06</v>
      </c>
      <c r="G4872" s="209">
        <v>9485.11</v>
      </c>
      <c r="H4872" s="198"/>
    </row>
    <row r="4873" spans="1:8" ht="15.75" hidden="1" customHeight="1" x14ac:dyDescent="0.25">
      <c r="A4873" s="205" t="s">
        <v>5475</v>
      </c>
      <c r="B4873" s="206">
        <v>101937</v>
      </c>
      <c r="C4873" s="207" t="s">
        <v>5535</v>
      </c>
      <c r="D4873" s="208" t="s">
        <v>580</v>
      </c>
      <c r="E4873" s="209">
        <v>9824.58</v>
      </c>
      <c r="F4873" s="209">
        <v>7766.42</v>
      </c>
      <c r="G4873" s="209">
        <v>17591</v>
      </c>
      <c r="H4873" s="198"/>
    </row>
    <row r="4874" spans="1:8" ht="15.75" hidden="1" customHeight="1" x14ac:dyDescent="0.25">
      <c r="A4874" s="205" t="s">
        <v>5475</v>
      </c>
      <c r="B4874" s="206">
        <v>92698</v>
      </c>
      <c r="C4874" s="207" t="s">
        <v>5536</v>
      </c>
      <c r="D4874" s="208" t="s">
        <v>580</v>
      </c>
      <c r="E4874" s="209">
        <v>13.93</v>
      </c>
      <c r="F4874" s="209">
        <v>12.58</v>
      </c>
      <c r="G4874" s="209">
        <v>26.51</v>
      </c>
      <c r="H4874" s="198"/>
    </row>
    <row r="4875" spans="1:8" ht="15.75" hidden="1" customHeight="1" x14ac:dyDescent="0.25">
      <c r="A4875" s="205" t="s">
        <v>5475</v>
      </c>
      <c r="B4875" s="206">
        <v>92700</v>
      </c>
      <c r="C4875" s="207" t="s">
        <v>5537</v>
      </c>
      <c r="D4875" s="208" t="s">
        <v>580</v>
      </c>
      <c r="E4875" s="209">
        <v>21.82</v>
      </c>
      <c r="F4875" s="209">
        <v>21.62</v>
      </c>
      <c r="G4875" s="209">
        <v>43.44</v>
      </c>
      <c r="H4875" s="198"/>
    </row>
    <row r="4876" spans="1:8" ht="15.75" hidden="1" customHeight="1" x14ac:dyDescent="0.25">
      <c r="A4876" s="205" t="s">
        <v>5475</v>
      </c>
      <c r="B4876" s="206">
        <v>92702</v>
      </c>
      <c r="C4876" s="207" t="s">
        <v>5538</v>
      </c>
      <c r="D4876" s="208" t="s">
        <v>580</v>
      </c>
      <c r="E4876" s="209">
        <v>33</v>
      </c>
      <c r="F4876" s="209">
        <v>35.19</v>
      </c>
      <c r="G4876" s="209">
        <v>68.19</v>
      </c>
      <c r="H4876" s="198"/>
    </row>
    <row r="4877" spans="1:8" ht="15.75" hidden="1" customHeight="1" x14ac:dyDescent="0.25">
      <c r="A4877" s="205" t="s">
        <v>5475</v>
      </c>
      <c r="B4877" s="206">
        <v>92669</v>
      </c>
      <c r="C4877" s="207" t="s">
        <v>5539</v>
      </c>
      <c r="D4877" s="208" t="s">
        <v>580</v>
      </c>
      <c r="E4877" s="209">
        <v>28.28</v>
      </c>
      <c r="F4877" s="209">
        <v>21.93</v>
      </c>
      <c r="G4877" s="209">
        <v>50.21</v>
      </c>
      <c r="H4877" s="198"/>
    </row>
    <row r="4878" spans="1:8" ht="15.75" hidden="1" customHeight="1" x14ac:dyDescent="0.25">
      <c r="A4878" s="205" t="s">
        <v>5475</v>
      </c>
      <c r="B4878" s="206">
        <v>92671</v>
      </c>
      <c r="C4878" s="207" t="s">
        <v>5540</v>
      </c>
      <c r="D4878" s="208" t="s">
        <v>580</v>
      </c>
      <c r="E4878" s="209">
        <v>41.43</v>
      </c>
      <c r="F4878" s="209">
        <v>23.17</v>
      </c>
      <c r="G4878" s="209">
        <v>64.599999999999994</v>
      </c>
      <c r="H4878" s="198"/>
    </row>
    <row r="4879" spans="1:8" ht="15.75" hidden="1" customHeight="1" x14ac:dyDescent="0.25">
      <c r="A4879" s="205" t="s">
        <v>5475</v>
      </c>
      <c r="B4879" s="206">
        <v>92673</v>
      </c>
      <c r="C4879" s="207" t="s">
        <v>5541</v>
      </c>
      <c r="D4879" s="208" t="s">
        <v>580</v>
      </c>
      <c r="E4879" s="209">
        <v>49.28</v>
      </c>
      <c r="F4879" s="209">
        <v>24.59</v>
      </c>
      <c r="G4879" s="209">
        <v>73.87</v>
      </c>
      <c r="H4879" s="198"/>
    </row>
    <row r="4880" spans="1:8" ht="15.75" hidden="1" customHeight="1" x14ac:dyDescent="0.25">
      <c r="A4880" s="205" t="s">
        <v>5475</v>
      </c>
      <c r="B4880" s="206">
        <v>92675</v>
      </c>
      <c r="C4880" s="207" t="s">
        <v>5542</v>
      </c>
      <c r="D4880" s="208" t="s">
        <v>580</v>
      </c>
      <c r="E4880" s="209">
        <v>68.33</v>
      </c>
      <c r="F4880" s="209">
        <v>26.39</v>
      </c>
      <c r="G4880" s="209">
        <v>94.72</v>
      </c>
      <c r="H4880" s="198"/>
    </row>
    <row r="4881" spans="1:8" ht="15.75" hidden="1" customHeight="1" x14ac:dyDescent="0.25">
      <c r="A4881" s="205" t="s">
        <v>5475</v>
      </c>
      <c r="B4881" s="206">
        <v>92677</v>
      </c>
      <c r="C4881" s="207" t="s">
        <v>5543</v>
      </c>
      <c r="D4881" s="208" t="s">
        <v>580</v>
      </c>
      <c r="E4881" s="209">
        <v>123.78</v>
      </c>
      <c r="F4881" s="209">
        <v>29.07</v>
      </c>
      <c r="G4881" s="209">
        <v>152.85</v>
      </c>
      <c r="H4881" s="198"/>
    </row>
    <row r="4882" spans="1:8" ht="15.75" hidden="1" customHeight="1" x14ac:dyDescent="0.25">
      <c r="A4882" s="205" t="s">
        <v>5475</v>
      </c>
      <c r="B4882" s="206">
        <v>92635</v>
      </c>
      <c r="C4882" s="207" t="s">
        <v>5544</v>
      </c>
      <c r="D4882" s="208" t="s">
        <v>580</v>
      </c>
      <c r="E4882" s="209">
        <v>187.04</v>
      </c>
      <c r="F4882" s="209">
        <v>60.4</v>
      </c>
      <c r="G4882" s="209">
        <v>247.44</v>
      </c>
      <c r="H4882" s="198"/>
    </row>
    <row r="4883" spans="1:8" ht="15.75" hidden="1" customHeight="1" x14ac:dyDescent="0.25">
      <c r="A4883" s="205" t="s">
        <v>5475</v>
      </c>
      <c r="B4883" s="206">
        <v>92679</v>
      </c>
      <c r="C4883" s="207" t="s">
        <v>5545</v>
      </c>
      <c r="D4883" s="208" t="s">
        <v>580</v>
      </c>
      <c r="E4883" s="209">
        <v>176.87</v>
      </c>
      <c r="F4883" s="209">
        <v>31.75</v>
      </c>
      <c r="G4883" s="209">
        <v>208.62</v>
      </c>
      <c r="H4883" s="198"/>
    </row>
    <row r="4884" spans="1:8" ht="15.75" hidden="1" customHeight="1" x14ac:dyDescent="0.25">
      <c r="A4884" s="205" t="s">
        <v>5475</v>
      </c>
      <c r="B4884" s="206">
        <v>92381</v>
      </c>
      <c r="C4884" s="207" t="s">
        <v>5546</v>
      </c>
      <c r="D4884" s="208" t="s">
        <v>580</v>
      </c>
      <c r="E4884" s="209">
        <v>33.18</v>
      </c>
      <c r="F4884" s="209">
        <v>35.74</v>
      </c>
      <c r="G4884" s="209">
        <v>68.92</v>
      </c>
      <c r="H4884" s="198"/>
    </row>
    <row r="4885" spans="1:8" ht="15.75" hidden="1" customHeight="1" x14ac:dyDescent="0.25">
      <c r="A4885" s="205" t="s">
        <v>5475</v>
      </c>
      <c r="B4885" s="206">
        <v>92383</v>
      </c>
      <c r="C4885" s="207" t="s">
        <v>5547</v>
      </c>
      <c r="D4885" s="208" t="s">
        <v>580</v>
      </c>
      <c r="E4885" s="209">
        <v>46.97</v>
      </c>
      <c r="F4885" s="209">
        <v>38.840000000000003</v>
      </c>
      <c r="G4885" s="209">
        <v>85.81</v>
      </c>
      <c r="H4885" s="198"/>
    </row>
    <row r="4886" spans="1:8" ht="15.75" hidden="1" customHeight="1" x14ac:dyDescent="0.25">
      <c r="A4886" s="205" t="s">
        <v>5475</v>
      </c>
      <c r="B4886" s="206">
        <v>92385</v>
      </c>
      <c r="C4886" s="207" t="s">
        <v>5548</v>
      </c>
      <c r="D4886" s="208" t="s">
        <v>580</v>
      </c>
      <c r="E4886" s="209">
        <v>55.61</v>
      </c>
      <c r="F4886" s="209">
        <v>42.44</v>
      </c>
      <c r="G4886" s="209">
        <v>98.05</v>
      </c>
      <c r="H4886" s="198"/>
    </row>
    <row r="4887" spans="1:8" ht="15.75" hidden="1" customHeight="1" x14ac:dyDescent="0.25">
      <c r="A4887" s="205" t="s">
        <v>5475</v>
      </c>
      <c r="B4887" s="206">
        <v>92350</v>
      </c>
      <c r="C4887" s="207" t="s">
        <v>5549</v>
      </c>
      <c r="D4887" s="208" t="s">
        <v>580</v>
      </c>
      <c r="E4887" s="209">
        <v>75.63</v>
      </c>
      <c r="F4887" s="209">
        <v>47.02</v>
      </c>
      <c r="G4887" s="209">
        <v>122.65</v>
      </c>
      <c r="H4887" s="198"/>
    </row>
    <row r="4888" spans="1:8" ht="15.75" hidden="1" customHeight="1" x14ac:dyDescent="0.25">
      <c r="A4888" s="205" t="s">
        <v>5475</v>
      </c>
      <c r="B4888" s="206">
        <v>92387</v>
      </c>
      <c r="C4888" s="207" t="s">
        <v>5550</v>
      </c>
      <c r="D4888" s="208" t="s">
        <v>580</v>
      </c>
      <c r="E4888" s="209">
        <v>75.599999999999994</v>
      </c>
      <c r="F4888" s="209">
        <v>46.92</v>
      </c>
      <c r="G4888" s="209">
        <v>122.52</v>
      </c>
      <c r="H4888" s="198"/>
    </row>
    <row r="4889" spans="1:8" ht="15.75" hidden="1" customHeight="1" x14ac:dyDescent="0.25">
      <c r="A4889" s="205" t="s">
        <v>5475</v>
      </c>
      <c r="B4889" s="206">
        <v>92352</v>
      </c>
      <c r="C4889" s="207" t="s">
        <v>5551</v>
      </c>
      <c r="D4889" s="208" t="s">
        <v>580</v>
      </c>
      <c r="E4889" s="209">
        <v>131.62</v>
      </c>
      <c r="F4889" s="209">
        <v>51.15</v>
      </c>
      <c r="G4889" s="209">
        <v>182.77</v>
      </c>
      <c r="H4889" s="198"/>
    </row>
    <row r="4890" spans="1:8" ht="15.75" hidden="1" customHeight="1" x14ac:dyDescent="0.25">
      <c r="A4890" s="205" t="s">
        <v>5475</v>
      </c>
      <c r="B4890" s="206">
        <v>92389</v>
      </c>
      <c r="C4890" s="207" t="s">
        <v>5552</v>
      </c>
      <c r="D4890" s="208" t="s">
        <v>580</v>
      </c>
      <c r="E4890" s="209">
        <v>132.52000000000001</v>
      </c>
      <c r="F4890" s="209">
        <v>53.68</v>
      </c>
      <c r="G4890" s="209">
        <v>186.2</v>
      </c>
      <c r="H4890" s="198"/>
    </row>
    <row r="4891" spans="1:8" ht="15.75" hidden="1" customHeight="1" x14ac:dyDescent="0.25">
      <c r="A4891" s="205" t="s">
        <v>5475</v>
      </c>
      <c r="B4891" s="206">
        <v>92354</v>
      </c>
      <c r="C4891" s="207" t="s">
        <v>5553</v>
      </c>
      <c r="D4891" s="208" t="s">
        <v>580</v>
      </c>
      <c r="E4891" s="209">
        <v>185.25</v>
      </c>
      <c r="F4891" s="209">
        <v>55.27</v>
      </c>
      <c r="G4891" s="209">
        <v>240.52</v>
      </c>
      <c r="H4891" s="198"/>
    </row>
    <row r="4892" spans="1:8" ht="15.75" hidden="1" customHeight="1" x14ac:dyDescent="0.25">
      <c r="A4892" s="205" t="s">
        <v>5475</v>
      </c>
      <c r="B4892" s="206">
        <v>92699</v>
      </c>
      <c r="C4892" s="207" t="s">
        <v>5554</v>
      </c>
      <c r="D4892" s="208" t="s">
        <v>580</v>
      </c>
      <c r="E4892" s="209">
        <v>12.43</v>
      </c>
      <c r="F4892" s="209">
        <v>12.59</v>
      </c>
      <c r="G4892" s="209">
        <v>25.02</v>
      </c>
      <c r="H4892" s="198"/>
    </row>
    <row r="4893" spans="1:8" ht="15.75" hidden="1" customHeight="1" x14ac:dyDescent="0.25">
      <c r="A4893" s="205" t="s">
        <v>5475</v>
      </c>
      <c r="B4893" s="206">
        <v>92701</v>
      </c>
      <c r="C4893" s="207" t="s">
        <v>5555</v>
      </c>
      <c r="D4893" s="208" t="s">
        <v>580</v>
      </c>
      <c r="E4893" s="209">
        <v>19.600000000000001</v>
      </c>
      <c r="F4893" s="209">
        <v>21.62</v>
      </c>
      <c r="G4893" s="209">
        <v>41.22</v>
      </c>
      <c r="H4893" s="198"/>
    </row>
    <row r="4894" spans="1:8" ht="15.75" hidden="1" customHeight="1" x14ac:dyDescent="0.25">
      <c r="A4894" s="205" t="s">
        <v>5475</v>
      </c>
      <c r="B4894" s="206">
        <v>92703</v>
      </c>
      <c r="C4894" s="207" t="s">
        <v>5556</v>
      </c>
      <c r="D4894" s="208" t="s">
        <v>580</v>
      </c>
      <c r="E4894" s="209">
        <v>30.26</v>
      </c>
      <c r="F4894" s="209">
        <v>35.19</v>
      </c>
      <c r="G4894" s="209">
        <v>65.45</v>
      </c>
      <c r="H4894" s="198"/>
    </row>
    <row r="4895" spans="1:8" ht="15.75" hidden="1" customHeight="1" x14ac:dyDescent="0.25">
      <c r="A4895" s="205" t="s">
        <v>5475</v>
      </c>
      <c r="B4895" s="206">
        <v>92670</v>
      </c>
      <c r="C4895" s="207" t="s">
        <v>5557</v>
      </c>
      <c r="D4895" s="208" t="s">
        <v>580</v>
      </c>
      <c r="E4895" s="209">
        <v>25.54</v>
      </c>
      <c r="F4895" s="209">
        <v>21.93</v>
      </c>
      <c r="G4895" s="209">
        <v>47.47</v>
      </c>
      <c r="H4895" s="198"/>
    </row>
    <row r="4896" spans="1:8" ht="15.75" hidden="1" customHeight="1" x14ac:dyDescent="0.25">
      <c r="A4896" s="205" t="s">
        <v>5475</v>
      </c>
      <c r="B4896" s="206">
        <v>92672</v>
      </c>
      <c r="C4896" s="207" t="s">
        <v>5558</v>
      </c>
      <c r="D4896" s="208" t="s">
        <v>580</v>
      </c>
      <c r="E4896" s="209">
        <v>35.97</v>
      </c>
      <c r="F4896" s="209">
        <v>23.18</v>
      </c>
      <c r="G4896" s="209">
        <v>59.15</v>
      </c>
      <c r="H4896" s="198"/>
    </row>
    <row r="4897" spans="1:8" ht="15.75" hidden="1" customHeight="1" x14ac:dyDescent="0.25">
      <c r="A4897" s="205" t="s">
        <v>5475</v>
      </c>
      <c r="B4897" s="206">
        <v>92674</v>
      </c>
      <c r="C4897" s="207" t="s">
        <v>5559</v>
      </c>
      <c r="D4897" s="208" t="s">
        <v>580</v>
      </c>
      <c r="E4897" s="209">
        <v>45.51</v>
      </c>
      <c r="F4897" s="209">
        <v>24.6</v>
      </c>
      <c r="G4897" s="209">
        <v>70.11</v>
      </c>
      <c r="H4897" s="198"/>
    </row>
    <row r="4898" spans="1:8" ht="15.75" hidden="1" customHeight="1" x14ac:dyDescent="0.25">
      <c r="A4898" s="205" t="s">
        <v>5475</v>
      </c>
      <c r="B4898" s="206">
        <v>92676</v>
      </c>
      <c r="C4898" s="207" t="s">
        <v>5560</v>
      </c>
      <c r="D4898" s="208" t="s">
        <v>580</v>
      </c>
      <c r="E4898" s="209">
        <v>65.78</v>
      </c>
      <c r="F4898" s="209">
        <v>26.39</v>
      </c>
      <c r="G4898" s="209">
        <v>92.17</v>
      </c>
      <c r="H4898" s="198"/>
    </row>
    <row r="4899" spans="1:8" ht="15.75" hidden="1" customHeight="1" x14ac:dyDescent="0.25">
      <c r="A4899" s="205" t="s">
        <v>5475</v>
      </c>
      <c r="B4899" s="206">
        <v>92678</v>
      </c>
      <c r="C4899" s="207" t="s">
        <v>5561</v>
      </c>
      <c r="D4899" s="208" t="s">
        <v>580</v>
      </c>
      <c r="E4899" s="209">
        <v>112.55</v>
      </c>
      <c r="F4899" s="209">
        <v>29.07</v>
      </c>
      <c r="G4899" s="209">
        <v>141.62</v>
      </c>
      <c r="H4899" s="198"/>
    </row>
    <row r="4900" spans="1:8" ht="15.75" hidden="1" customHeight="1" x14ac:dyDescent="0.25">
      <c r="A4900" s="205" t="s">
        <v>5475</v>
      </c>
      <c r="B4900" s="206">
        <v>92636</v>
      </c>
      <c r="C4900" s="207" t="s">
        <v>5562</v>
      </c>
      <c r="D4900" s="208" t="s">
        <v>580</v>
      </c>
      <c r="E4900" s="209">
        <v>165.43</v>
      </c>
      <c r="F4900" s="209">
        <v>60.37</v>
      </c>
      <c r="G4900" s="209">
        <v>225.8</v>
      </c>
      <c r="H4900" s="198"/>
    </row>
    <row r="4901" spans="1:8" ht="15.75" hidden="1" customHeight="1" x14ac:dyDescent="0.25">
      <c r="A4901" s="205" t="s">
        <v>5475</v>
      </c>
      <c r="B4901" s="206">
        <v>92680</v>
      </c>
      <c r="C4901" s="207" t="s">
        <v>5563</v>
      </c>
      <c r="D4901" s="208" t="s">
        <v>580</v>
      </c>
      <c r="E4901" s="209">
        <v>155.24</v>
      </c>
      <c r="F4901" s="209">
        <v>31.74</v>
      </c>
      <c r="G4901" s="209">
        <v>186.98</v>
      </c>
      <c r="H4901" s="198"/>
    </row>
    <row r="4902" spans="1:8" ht="15.75" hidden="1" customHeight="1" x14ac:dyDescent="0.25">
      <c r="A4902" s="205" t="s">
        <v>5475</v>
      </c>
      <c r="B4902" s="206">
        <v>92382</v>
      </c>
      <c r="C4902" s="207" t="s">
        <v>5564</v>
      </c>
      <c r="D4902" s="208" t="s">
        <v>580</v>
      </c>
      <c r="E4902" s="209">
        <v>30.45</v>
      </c>
      <c r="F4902" s="209">
        <v>35.729999999999997</v>
      </c>
      <c r="G4902" s="209">
        <v>66.180000000000007</v>
      </c>
      <c r="H4902" s="198"/>
    </row>
    <row r="4903" spans="1:8" ht="15.75" hidden="1" customHeight="1" x14ac:dyDescent="0.25">
      <c r="A4903" s="205" t="s">
        <v>5475</v>
      </c>
      <c r="B4903" s="206">
        <v>92384</v>
      </c>
      <c r="C4903" s="207" t="s">
        <v>5565</v>
      </c>
      <c r="D4903" s="208" t="s">
        <v>580</v>
      </c>
      <c r="E4903" s="209">
        <v>41.52</v>
      </c>
      <c r="F4903" s="209">
        <v>38.840000000000003</v>
      </c>
      <c r="G4903" s="209">
        <v>80.36</v>
      </c>
      <c r="H4903" s="198"/>
    </row>
    <row r="4904" spans="1:8" ht="15.75" hidden="1" customHeight="1" x14ac:dyDescent="0.25">
      <c r="A4904" s="205" t="s">
        <v>5475</v>
      </c>
      <c r="B4904" s="206">
        <v>92386</v>
      </c>
      <c r="C4904" s="207" t="s">
        <v>5566</v>
      </c>
      <c r="D4904" s="208" t="s">
        <v>580</v>
      </c>
      <c r="E4904" s="209">
        <v>51.85</v>
      </c>
      <c r="F4904" s="209">
        <v>42.44</v>
      </c>
      <c r="G4904" s="209">
        <v>94.29</v>
      </c>
      <c r="H4904" s="198"/>
    </row>
    <row r="4905" spans="1:8" ht="15.75" hidden="1" customHeight="1" x14ac:dyDescent="0.25">
      <c r="A4905" s="205" t="s">
        <v>5475</v>
      </c>
      <c r="B4905" s="206">
        <v>92351</v>
      </c>
      <c r="C4905" s="207" t="s">
        <v>5567</v>
      </c>
      <c r="D4905" s="208" t="s">
        <v>580</v>
      </c>
      <c r="E4905" s="209">
        <v>73.09</v>
      </c>
      <c r="F4905" s="209">
        <v>47.01</v>
      </c>
      <c r="G4905" s="209">
        <v>120.1</v>
      </c>
      <c r="H4905" s="198"/>
    </row>
    <row r="4906" spans="1:8" ht="15.75" hidden="1" customHeight="1" x14ac:dyDescent="0.25">
      <c r="A4906" s="205" t="s">
        <v>5475</v>
      </c>
      <c r="B4906" s="206">
        <v>92388</v>
      </c>
      <c r="C4906" s="207" t="s">
        <v>5568</v>
      </c>
      <c r="D4906" s="208" t="s">
        <v>580</v>
      </c>
      <c r="E4906" s="209">
        <v>73.05</v>
      </c>
      <c r="F4906" s="209">
        <v>46.92</v>
      </c>
      <c r="G4906" s="209">
        <v>119.97</v>
      </c>
      <c r="H4906" s="198"/>
    </row>
    <row r="4907" spans="1:8" ht="15.75" hidden="1" customHeight="1" x14ac:dyDescent="0.25">
      <c r="A4907" s="205" t="s">
        <v>5475</v>
      </c>
      <c r="B4907" s="206">
        <v>92353</v>
      </c>
      <c r="C4907" s="207" t="s">
        <v>5569</v>
      </c>
      <c r="D4907" s="208" t="s">
        <v>580</v>
      </c>
      <c r="E4907" s="209">
        <v>120.39</v>
      </c>
      <c r="F4907" s="209">
        <v>51.15</v>
      </c>
      <c r="G4907" s="209">
        <v>171.54</v>
      </c>
      <c r="H4907" s="198"/>
    </row>
    <row r="4908" spans="1:8" ht="15.75" hidden="1" customHeight="1" x14ac:dyDescent="0.25">
      <c r="A4908" s="205" t="s">
        <v>5475</v>
      </c>
      <c r="B4908" s="206">
        <v>92390</v>
      </c>
      <c r="C4908" s="207" t="s">
        <v>5570</v>
      </c>
      <c r="D4908" s="208" t="s">
        <v>580</v>
      </c>
      <c r="E4908" s="209">
        <v>121.29</v>
      </c>
      <c r="F4908" s="209">
        <v>53.68</v>
      </c>
      <c r="G4908" s="209">
        <v>174.97</v>
      </c>
      <c r="H4908" s="198"/>
    </row>
    <row r="4909" spans="1:8" ht="15.75" hidden="1" customHeight="1" x14ac:dyDescent="0.25">
      <c r="A4909" s="205" t="s">
        <v>5475</v>
      </c>
      <c r="B4909" s="206">
        <v>92355</v>
      </c>
      <c r="C4909" s="207" t="s">
        <v>5571</v>
      </c>
      <c r="D4909" s="208" t="s">
        <v>580</v>
      </c>
      <c r="E4909" s="209">
        <v>163.6</v>
      </c>
      <c r="F4909" s="209">
        <v>55.28</v>
      </c>
      <c r="G4909" s="209">
        <v>218.88</v>
      </c>
      <c r="H4909" s="198"/>
    </row>
    <row r="4910" spans="1:8" ht="15.75" hidden="1" customHeight="1" x14ac:dyDescent="0.25">
      <c r="A4910" s="205" t="s">
        <v>5475</v>
      </c>
      <c r="B4910" s="206">
        <v>101925</v>
      </c>
      <c r="C4910" s="207" t="s">
        <v>5572</v>
      </c>
      <c r="D4910" s="208" t="s">
        <v>580</v>
      </c>
      <c r="E4910" s="209">
        <v>294.92</v>
      </c>
      <c r="F4910" s="209">
        <v>61.17</v>
      </c>
      <c r="G4910" s="209">
        <v>356.09</v>
      </c>
      <c r="H4910" s="198"/>
    </row>
    <row r="4911" spans="1:8" ht="15.75" hidden="1" customHeight="1" x14ac:dyDescent="0.25">
      <c r="A4911" s="205" t="s">
        <v>5475</v>
      </c>
      <c r="B4911" s="206">
        <v>101934</v>
      </c>
      <c r="C4911" s="207" t="s">
        <v>5573</v>
      </c>
      <c r="D4911" s="208" t="s">
        <v>580</v>
      </c>
      <c r="E4911" s="209">
        <v>297.93</v>
      </c>
      <c r="F4911" s="209">
        <v>69.61</v>
      </c>
      <c r="G4911" s="209">
        <v>367.54</v>
      </c>
      <c r="H4911" s="198"/>
    </row>
    <row r="4912" spans="1:8" ht="15.75" hidden="1" customHeight="1" x14ac:dyDescent="0.25">
      <c r="A4912" s="205" t="s">
        <v>5475</v>
      </c>
      <c r="B4912" s="206">
        <v>97541</v>
      </c>
      <c r="C4912" s="207" t="s">
        <v>5574</v>
      </c>
      <c r="D4912" s="208" t="s">
        <v>580</v>
      </c>
      <c r="E4912" s="209">
        <v>17.8</v>
      </c>
      <c r="F4912" s="209">
        <v>14.96</v>
      </c>
      <c r="G4912" s="209">
        <v>32.76</v>
      </c>
      <c r="H4912" s="198"/>
    </row>
    <row r="4913" spans="1:8" ht="15.75" hidden="1" customHeight="1" x14ac:dyDescent="0.25">
      <c r="A4913" s="205" t="s">
        <v>5475</v>
      </c>
      <c r="B4913" s="206">
        <v>97462</v>
      </c>
      <c r="C4913" s="207" t="s">
        <v>5575</v>
      </c>
      <c r="D4913" s="208" t="s">
        <v>580</v>
      </c>
      <c r="E4913" s="209">
        <v>21.51</v>
      </c>
      <c r="F4913" s="209">
        <v>11.45</v>
      </c>
      <c r="G4913" s="209">
        <v>32.96</v>
      </c>
      <c r="H4913" s="198"/>
    </row>
    <row r="4914" spans="1:8" ht="15.75" hidden="1" customHeight="1" x14ac:dyDescent="0.25">
      <c r="A4914" s="205" t="s">
        <v>5475</v>
      </c>
      <c r="B4914" s="206">
        <v>97544</v>
      </c>
      <c r="C4914" s="207" t="s">
        <v>5576</v>
      </c>
      <c r="D4914" s="208" t="s">
        <v>580</v>
      </c>
      <c r="E4914" s="209">
        <v>27.89</v>
      </c>
      <c r="F4914" s="209">
        <v>29.08</v>
      </c>
      <c r="G4914" s="209">
        <v>56.97</v>
      </c>
      <c r="H4914" s="198"/>
    </row>
    <row r="4915" spans="1:8" ht="15.75" hidden="1" customHeight="1" x14ac:dyDescent="0.25">
      <c r="A4915" s="205" t="s">
        <v>5475</v>
      </c>
      <c r="B4915" s="206">
        <v>97500</v>
      </c>
      <c r="C4915" s="207" t="s">
        <v>5577</v>
      </c>
      <c r="D4915" s="208" t="s">
        <v>580</v>
      </c>
      <c r="E4915" s="209">
        <v>20.59</v>
      </c>
      <c r="F4915" s="209">
        <v>8.84</v>
      </c>
      <c r="G4915" s="209">
        <v>29.43</v>
      </c>
      <c r="H4915" s="198"/>
    </row>
    <row r="4916" spans="1:8" ht="15.75" hidden="1" customHeight="1" x14ac:dyDescent="0.25">
      <c r="A4916" s="205" t="s">
        <v>5475</v>
      </c>
      <c r="B4916" s="206">
        <v>97465</v>
      </c>
      <c r="C4916" s="207" t="s">
        <v>5578</v>
      </c>
      <c r="D4916" s="208" t="s">
        <v>580</v>
      </c>
      <c r="E4916" s="209">
        <v>50.06</v>
      </c>
      <c r="F4916" s="209">
        <v>14.64</v>
      </c>
      <c r="G4916" s="209">
        <v>64.7</v>
      </c>
      <c r="H4916" s="198"/>
    </row>
    <row r="4917" spans="1:8" ht="15.75" hidden="1" customHeight="1" x14ac:dyDescent="0.25">
      <c r="A4917" s="205" t="s">
        <v>5475</v>
      </c>
      <c r="B4917" s="206">
        <v>97503</v>
      </c>
      <c r="C4917" s="207" t="s">
        <v>5579</v>
      </c>
      <c r="D4917" s="208" t="s">
        <v>580</v>
      </c>
      <c r="E4917" s="209">
        <v>48.41</v>
      </c>
      <c r="F4917" s="209">
        <v>10.06</v>
      </c>
      <c r="G4917" s="209">
        <v>58.47</v>
      </c>
      <c r="H4917" s="198"/>
    </row>
    <row r="4918" spans="1:8" ht="15.75" hidden="1" customHeight="1" x14ac:dyDescent="0.25">
      <c r="A4918" s="205" t="s">
        <v>5475</v>
      </c>
      <c r="B4918" s="206">
        <v>97468</v>
      </c>
      <c r="C4918" s="207" t="s">
        <v>5580</v>
      </c>
      <c r="D4918" s="208" t="s">
        <v>580</v>
      </c>
      <c r="E4918" s="209">
        <v>63.8</v>
      </c>
      <c r="F4918" s="209">
        <v>18.309999999999999</v>
      </c>
      <c r="G4918" s="209">
        <v>82.11</v>
      </c>
      <c r="H4918" s="198"/>
    </row>
    <row r="4919" spans="1:8" ht="15.75" hidden="1" customHeight="1" x14ac:dyDescent="0.25">
      <c r="A4919" s="205" t="s">
        <v>5475</v>
      </c>
      <c r="B4919" s="206">
        <v>97506</v>
      </c>
      <c r="C4919" s="207" t="s">
        <v>5581</v>
      </c>
      <c r="D4919" s="208" t="s">
        <v>580</v>
      </c>
      <c r="E4919" s="209">
        <v>61.35</v>
      </c>
      <c r="F4919" s="209">
        <v>11.51</v>
      </c>
      <c r="G4919" s="209">
        <v>72.86</v>
      </c>
      <c r="H4919" s="198"/>
    </row>
    <row r="4920" spans="1:8" ht="15.75" hidden="1" customHeight="1" x14ac:dyDescent="0.25">
      <c r="A4920" s="205" t="s">
        <v>5475</v>
      </c>
      <c r="B4920" s="206">
        <v>97444</v>
      </c>
      <c r="C4920" s="207" t="s">
        <v>5582</v>
      </c>
      <c r="D4920" s="208" t="s">
        <v>580</v>
      </c>
      <c r="E4920" s="209">
        <v>104</v>
      </c>
      <c r="F4920" s="209">
        <v>39.01</v>
      </c>
      <c r="G4920" s="209">
        <v>143.01</v>
      </c>
      <c r="H4920" s="198"/>
    </row>
    <row r="4921" spans="1:8" ht="15.75" hidden="1" customHeight="1" x14ac:dyDescent="0.25">
      <c r="A4921" s="205" t="s">
        <v>5475</v>
      </c>
      <c r="B4921" s="206">
        <v>97471</v>
      </c>
      <c r="C4921" s="207" t="s">
        <v>5583</v>
      </c>
      <c r="D4921" s="208" t="s">
        <v>580</v>
      </c>
      <c r="E4921" s="209">
        <v>98.2</v>
      </c>
      <c r="F4921" s="209">
        <v>22.9</v>
      </c>
      <c r="G4921" s="209">
        <v>121.1</v>
      </c>
      <c r="H4921" s="198"/>
    </row>
    <row r="4922" spans="1:8" ht="15.75" hidden="1" customHeight="1" x14ac:dyDescent="0.25">
      <c r="A4922" s="205" t="s">
        <v>5475</v>
      </c>
      <c r="B4922" s="206">
        <v>97509</v>
      </c>
      <c r="C4922" s="207" t="s">
        <v>5584</v>
      </c>
      <c r="D4922" s="208" t="s">
        <v>580</v>
      </c>
      <c r="E4922" s="209">
        <v>94.73</v>
      </c>
      <c r="F4922" s="209">
        <v>13.28</v>
      </c>
      <c r="G4922" s="209">
        <v>108.01</v>
      </c>
      <c r="H4922" s="198"/>
    </row>
    <row r="4923" spans="1:8" ht="15.75" hidden="1" customHeight="1" x14ac:dyDescent="0.25">
      <c r="A4923" s="205" t="s">
        <v>5475</v>
      </c>
      <c r="B4923" s="206">
        <v>97447</v>
      </c>
      <c r="C4923" s="207" t="s">
        <v>5585</v>
      </c>
      <c r="D4923" s="208" t="s">
        <v>580</v>
      </c>
      <c r="E4923" s="209">
        <v>196.06</v>
      </c>
      <c r="F4923" s="209">
        <v>43.15</v>
      </c>
      <c r="G4923" s="209">
        <v>239.21</v>
      </c>
      <c r="H4923" s="198"/>
    </row>
    <row r="4924" spans="1:8" ht="15.75" hidden="1" customHeight="1" x14ac:dyDescent="0.25">
      <c r="A4924" s="205" t="s">
        <v>5475</v>
      </c>
      <c r="B4924" s="206">
        <v>97475</v>
      </c>
      <c r="C4924" s="207" t="s">
        <v>5586</v>
      </c>
      <c r="D4924" s="208" t="s">
        <v>580</v>
      </c>
      <c r="E4924" s="209">
        <v>191.27</v>
      </c>
      <c r="F4924" s="209">
        <v>29.77</v>
      </c>
      <c r="G4924" s="209">
        <v>221.04</v>
      </c>
      <c r="H4924" s="198"/>
    </row>
    <row r="4925" spans="1:8" ht="15.75" hidden="1" customHeight="1" x14ac:dyDescent="0.25">
      <c r="A4925" s="205" t="s">
        <v>5475</v>
      </c>
      <c r="B4925" s="206">
        <v>97512</v>
      </c>
      <c r="C4925" s="207" t="s">
        <v>5587</v>
      </c>
      <c r="D4925" s="208" t="s">
        <v>580</v>
      </c>
      <c r="E4925" s="209">
        <v>186.28</v>
      </c>
      <c r="F4925" s="209">
        <v>15.95</v>
      </c>
      <c r="G4925" s="209">
        <v>202.23</v>
      </c>
      <c r="H4925" s="198"/>
    </row>
    <row r="4926" spans="1:8" ht="15.75" hidden="1" customHeight="1" x14ac:dyDescent="0.25">
      <c r="A4926" s="205" t="s">
        <v>5475</v>
      </c>
      <c r="B4926" s="206">
        <v>97450</v>
      </c>
      <c r="C4926" s="207" t="s">
        <v>5588</v>
      </c>
      <c r="D4926" s="208" t="s">
        <v>580</v>
      </c>
      <c r="E4926" s="209">
        <v>261.11</v>
      </c>
      <c r="F4926" s="209">
        <v>47.34</v>
      </c>
      <c r="G4926" s="209">
        <v>308.45</v>
      </c>
      <c r="H4926" s="198"/>
    </row>
    <row r="4927" spans="1:8" ht="15.75" hidden="1" customHeight="1" x14ac:dyDescent="0.25">
      <c r="A4927" s="205" t="s">
        <v>5475</v>
      </c>
      <c r="B4927" s="206">
        <v>97478</v>
      </c>
      <c r="C4927" s="207" t="s">
        <v>5589</v>
      </c>
      <c r="D4927" s="208" t="s">
        <v>580</v>
      </c>
      <c r="E4927" s="209">
        <v>257.29000000000002</v>
      </c>
      <c r="F4927" s="209">
        <v>36.72</v>
      </c>
      <c r="G4927" s="209">
        <v>294.01</v>
      </c>
      <c r="H4927" s="198"/>
    </row>
    <row r="4928" spans="1:8" ht="15.75" hidden="1" customHeight="1" x14ac:dyDescent="0.25">
      <c r="A4928" s="205" t="s">
        <v>5475</v>
      </c>
      <c r="B4928" s="206">
        <v>97515</v>
      </c>
      <c r="C4928" s="207" t="s">
        <v>5590</v>
      </c>
      <c r="D4928" s="208" t="s">
        <v>580</v>
      </c>
      <c r="E4928" s="209">
        <v>250.74</v>
      </c>
      <c r="F4928" s="209">
        <v>18.55</v>
      </c>
      <c r="G4928" s="209">
        <v>269.29000000000002</v>
      </c>
      <c r="H4928" s="198"/>
    </row>
    <row r="4929" spans="1:8" ht="15.75" hidden="1" customHeight="1" x14ac:dyDescent="0.25">
      <c r="A4929" s="205" t="s">
        <v>5475</v>
      </c>
      <c r="B4929" s="206">
        <v>92928</v>
      </c>
      <c r="C4929" s="207" t="s">
        <v>5591</v>
      </c>
      <c r="D4929" s="208" t="s">
        <v>580</v>
      </c>
      <c r="E4929" s="209">
        <v>37.81</v>
      </c>
      <c r="F4929" s="209">
        <v>28.29</v>
      </c>
      <c r="G4929" s="209">
        <v>66.099999999999994</v>
      </c>
      <c r="H4929" s="198"/>
    </row>
    <row r="4930" spans="1:8" ht="15.75" hidden="1" customHeight="1" x14ac:dyDescent="0.25">
      <c r="A4930" s="205" t="s">
        <v>5475</v>
      </c>
      <c r="B4930" s="206">
        <v>92943</v>
      </c>
      <c r="C4930" s="207" t="s">
        <v>5592</v>
      </c>
      <c r="D4930" s="208" t="s">
        <v>580</v>
      </c>
      <c r="E4930" s="209">
        <v>33.58</v>
      </c>
      <c r="F4930" s="209">
        <v>16.37</v>
      </c>
      <c r="G4930" s="209">
        <v>49.95</v>
      </c>
      <c r="H4930" s="198"/>
    </row>
    <row r="4931" spans="1:8" ht="15.75" hidden="1" customHeight="1" x14ac:dyDescent="0.25">
      <c r="A4931" s="205" t="s">
        <v>5475</v>
      </c>
      <c r="B4931" s="206">
        <v>92929</v>
      </c>
      <c r="C4931" s="207" t="s">
        <v>5593</v>
      </c>
      <c r="D4931" s="208" t="s">
        <v>580</v>
      </c>
      <c r="E4931" s="209">
        <v>37.81</v>
      </c>
      <c r="F4931" s="209">
        <v>28.29</v>
      </c>
      <c r="G4931" s="209">
        <v>66.099999999999994</v>
      </c>
      <c r="H4931" s="198"/>
    </row>
    <row r="4932" spans="1:8" ht="15.75" hidden="1" customHeight="1" x14ac:dyDescent="0.25">
      <c r="A4932" s="205" t="s">
        <v>5475</v>
      </c>
      <c r="B4932" s="206">
        <v>92944</v>
      </c>
      <c r="C4932" s="207" t="s">
        <v>5594</v>
      </c>
      <c r="D4932" s="208" t="s">
        <v>580</v>
      </c>
      <c r="E4932" s="209">
        <v>33.58</v>
      </c>
      <c r="F4932" s="209">
        <v>16.37</v>
      </c>
      <c r="G4932" s="209">
        <v>49.95</v>
      </c>
      <c r="H4932" s="198"/>
    </row>
    <row r="4933" spans="1:8" ht="15.75" hidden="1" customHeight="1" x14ac:dyDescent="0.25">
      <c r="A4933" s="205" t="s">
        <v>5475</v>
      </c>
      <c r="B4933" s="206">
        <v>92930</v>
      </c>
      <c r="C4933" s="207" t="s">
        <v>5595</v>
      </c>
      <c r="D4933" s="208" t="s">
        <v>580</v>
      </c>
      <c r="E4933" s="209">
        <v>37.81</v>
      </c>
      <c r="F4933" s="209">
        <v>28.29</v>
      </c>
      <c r="G4933" s="209">
        <v>66.099999999999994</v>
      </c>
      <c r="H4933" s="198"/>
    </row>
    <row r="4934" spans="1:8" ht="15.75" hidden="1" customHeight="1" x14ac:dyDescent="0.25">
      <c r="A4934" s="205" t="s">
        <v>5475</v>
      </c>
      <c r="B4934" s="206">
        <v>92945</v>
      </c>
      <c r="C4934" s="207" t="s">
        <v>5596</v>
      </c>
      <c r="D4934" s="208" t="s">
        <v>580</v>
      </c>
      <c r="E4934" s="209">
        <v>33.58</v>
      </c>
      <c r="F4934" s="209">
        <v>16.37</v>
      </c>
      <c r="G4934" s="209">
        <v>49.95</v>
      </c>
      <c r="H4934" s="198"/>
    </row>
    <row r="4935" spans="1:8" ht="15.75" hidden="1" customHeight="1" x14ac:dyDescent="0.25">
      <c r="A4935" s="205" t="s">
        <v>5475</v>
      </c>
      <c r="B4935" s="206">
        <v>92925</v>
      </c>
      <c r="C4935" s="207" t="s">
        <v>5597</v>
      </c>
      <c r="D4935" s="208" t="s">
        <v>580</v>
      </c>
      <c r="E4935" s="209">
        <v>32.14</v>
      </c>
      <c r="F4935" s="209">
        <v>25.9</v>
      </c>
      <c r="G4935" s="209">
        <v>58.04</v>
      </c>
      <c r="H4935" s="198"/>
    </row>
    <row r="4936" spans="1:8" ht="15.75" hidden="1" customHeight="1" x14ac:dyDescent="0.25">
      <c r="A4936" s="205" t="s">
        <v>5475</v>
      </c>
      <c r="B4936" s="206">
        <v>92940</v>
      </c>
      <c r="C4936" s="207" t="s">
        <v>5598</v>
      </c>
      <c r="D4936" s="208" t="s">
        <v>580</v>
      </c>
      <c r="E4936" s="209">
        <v>28.43</v>
      </c>
      <c r="F4936" s="209">
        <v>15.45</v>
      </c>
      <c r="G4936" s="209">
        <v>43.88</v>
      </c>
      <c r="H4936" s="198"/>
    </row>
    <row r="4937" spans="1:8" ht="15.75" hidden="1" customHeight="1" x14ac:dyDescent="0.25">
      <c r="A4937" s="205" t="s">
        <v>5475</v>
      </c>
      <c r="B4937" s="206">
        <v>92926</v>
      </c>
      <c r="C4937" s="207" t="s">
        <v>5599</v>
      </c>
      <c r="D4937" s="208" t="s">
        <v>580</v>
      </c>
      <c r="E4937" s="209">
        <v>32.119999999999997</v>
      </c>
      <c r="F4937" s="209">
        <v>25.91</v>
      </c>
      <c r="G4937" s="209">
        <v>58.03</v>
      </c>
      <c r="H4937" s="198"/>
    </row>
    <row r="4938" spans="1:8" ht="15.75" hidden="1" customHeight="1" x14ac:dyDescent="0.25">
      <c r="A4938" s="205" t="s">
        <v>5475</v>
      </c>
      <c r="B4938" s="206">
        <v>92941</v>
      </c>
      <c r="C4938" s="207" t="s">
        <v>5600</v>
      </c>
      <c r="D4938" s="208" t="s">
        <v>580</v>
      </c>
      <c r="E4938" s="209">
        <v>28.42</v>
      </c>
      <c r="F4938" s="209">
        <v>15.45</v>
      </c>
      <c r="G4938" s="209">
        <v>43.87</v>
      </c>
      <c r="H4938" s="198"/>
    </row>
    <row r="4939" spans="1:8" ht="15.75" hidden="1" customHeight="1" x14ac:dyDescent="0.25">
      <c r="A4939" s="205" t="s">
        <v>5475</v>
      </c>
      <c r="B4939" s="206">
        <v>92927</v>
      </c>
      <c r="C4939" s="207" t="s">
        <v>5601</v>
      </c>
      <c r="D4939" s="208" t="s">
        <v>580</v>
      </c>
      <c r="E4939" s="209">
        <v>32.119999999999997</v>
      </c>
      <c r="F4939" s="209">
        <v>25.91</v>
      </c>
      <c r="G4939" s="209">
        <v>58.03</v>
      </c>
      <c r="H4939" s="198"/>
    </row>
    <row r="4940" spans="1:8" ht="15.75" hidden="1" customHeight="1" x14ac:dyDescent="0.25">
      <c r="A4940" s="205" t="s">
        <v>5475</v>
      </c>
      <c r="B4940" s="206">
        <v>92942</v>
      </c>
      <c r="C4940" s="207" t="s">
        <v>5602</v>
      </c>
      <c r="D4940" s="208" t="s">
        <v>580</v>
      </c>
      <c r="E4940" s="209">
        <v>28.42</v>
      </c>
      <c r="F4940" s="209">
        <v>15.45</v>
      </c>
      <c r="G4940" s="209">
        <v>43.87</v>
      </c>
      <c r="H4940" s="198"/>
    </row>
    <row r="4941" spans="1:8" ht="15.75" hidden="1" customHeight="1" x14ac:dyDescent="0.25">
      <c r="A4941" s="205" t="s">
        <v>5475</v>
      </c>
      <c r="B4941" s="206">
        <v>92918</v>
      </c>
      <c r="C4941" s="207" t="s">
        <v>5603</v>
      </c>
      <c r="D4941" s="208" t="s">
        <v>580</v>
      </c>
      <c r="E4941" s="209">
        <v>23.63</v>
      </c>
      <c r="F4941" s="209">
        <v>23.81</v>
      </c>
      <c r="G4941" s="209">
        <v>47.44</v>
      </c>
      <c r="H4941" s="198"/>
    </row>
    <row r="4942" spans="1:8" ht="15.75" hidden="1" customHeight="1" x14ac:dyDescent="0.25">
      <c r="A4942" s="205" t="s">
        <v>5475</v>
      </c>
      <c r="B4942" s="206">
        <v>92938</v>
      </c>
      <c r="C4942" s="207" t="s">
        <v>5604</v>
      </c>
      <c r="D4942" s="208" t="s">
        <v>580</v>
      </c>
      <c r="E4942" s="209">
        <v>20.36</v>
      </c>
      <c r="F4942" s="209">
        <v>14.62</v>
      </c>
      <c r="G4942" s="209">
        <v>34.979999999999997</v>
      </c>
      <c r="H4942" s="198"/>
    </row>
    <row r="4943" spans="1:8" ht="15.75" hidden="1" customHeight="1" x14ac:dyDescent="0.25">
      <c r="A4943" s="205" t="s">
        <v>5475</v>
      </c>
      <c r="B4943" s="206">
        <v>92920</v>
      </c>
      <c r="C4943" s="207" t="s">
        <v>5605</v>
      </c>
      <c r="D4943" s="208" t="s">
        <v>580</v>
      </c>
      <c r="E4943" s="209">
        <v>23.91</v>
      </c>
      <c r="F4943" s="209">
        <v>23.82</v>
      </c>
      <c r="G4943" s="209">
        <v>47.73</v>
      </c>
      <c r="H4943" s="198"/>
    </row>
    <row r="4944" spans="1:8" ht="15.75" hidden="1" customHeight="1" x14ac:dyDescent="0.25">
      <c r="A4944" s="205" t="s">
        <v>5475</v>
      </c>
      <c r="B4944" s="206">
        <v>92939</v>
      </c>
      <c r="C4944" s="207" t="s">
        <v>5606</v>
      </c>
      <c r="D4944" s="208" t="s">
        <v>580</v>
      </c>
      <c r="E4944" s="209">
        <v>20.66</v>
      </c>
      <c r="F4944" s="209">
        <v>14.61</v>
      </c>
      <c r="G4944" s="209">
        <v>35.270000000000003</v>
      </c>
      <c r="H4944" s="198"/>
    </row>
    <row r="4945" spans="1:8" ht="15.75" hidden="1" customHeight="1" x14ac:dyDescent="0.25">
      <c r="A4945" s="205" t="s">
        <v>5475</v>
      </c>
      <c r="B4945" s="206">
        <v>92910</v>
      </c>
      <c r="C4945" s="207" t="s">
        <v>5607</v>
      </c>
      <c r="D4945" s="208" t="s">
        <v>580</v>
      </c>
      <c r="E4945" s="209">
        <v>89.36</v>
      </c>
      <c r="F4945" s="209">
        <v>34.130000000000003</v>
      </c>
      <c r="G4945" s="209">
        <v>123.49</v>
      </c>
      <c r="H4945" s="198"/>
    </row>
    <row r="4946" spans="1:8" ht="15.75" hidden="1" customHeight="1" x14ac:dyDescent="0.25">
      <c r="A4946" s="205" t="s">
        <v>5475</v>
      </c>
      <c r="B4946" s="206">
        <v>92934</v>
      </c>
      <c r="C4946" s="207" t="s">
        <v>5608</v>
      </c>
      <c r="D4946" s="208" t="s">
        <v>580</v>
      </c>
      <c r="E4946" s="209">
        <v>89.95</v>
      </c>
      <c r="F4946" s="209">
        <v>35.78</v>
      </c>
      <c r="G4946" s="209">
        <v>125.73</v>
      </c>
      <c r="H4946" s="198"/>
    </row>
    <row r="4947" spans="1:8" ht="15.75" hidden="1" customHeight="1" x14ac:dyDescent="0.25">
      <c r="A4947" s="205" t="s">
        <v>5475</v>
      </c>
      <c r="B4947" s="206">
        <v>92949</v>
      </c>
      <c r="C4947" s="207" t="s">
        <v>5609</v>
      </c>
      <c r="D4947" s="208" t="s">
        <v>580</v>
      </c>
      <c r="E4947" s="209">
        <v>84.11</v>
      </c>
      <c r="F4947" s="209">
        <v>19.34</v>
      </c>
      <c r="G4947" s="209">
        <v>103.45</v>
      </c>
      <c r="H4947" s="198"/>
    </row>
    <row r="4948" spans="1:8" ht="15.75" hidden="1" customHeight="1" x14ac:dyDescent="0.25">
      <c r="A4948" s="205" t="s">
        <v>5475</v>
      </c>
      <c r="B4948" s="206">
        <v>92911</v>
      </c>
      <c r="C4948" s="207" t="s">
        <v>5610</v>
      </c>
      <c r="D4948" s="208" t="s">
        <v>580</v>
      </c>
      <c r="E4948" s="209">
        <v>89.36</v>
      </c>
      <c r="F4948" s="209">
        <v>34.130000000000003</v>
      </c>
      <c r="G4948" s="209">
        <v>123.49</v>
      </c>
      <c r="H4948" s="198"/>
    </row>
    <row r="4949" spans="1:8" ht="15.75" hidden="1" customHeight="1" x14ac:dyDescent="0.25">
      <c r="A4949" s="205" t="s">
        <v>5475</v>
      </c>
      <c r="B4949" s="206">
        <v>92935</v>
      </c>
      <c r="C4949" s="207" t="s">
        <v>5611</v>
      </c>
      <c r="D4949" s="208" t="s">
        <v>580</v>
      </c>
      <c r="E4949" s="209">
        <v>89.95</v>
      </c>
      <c r="F4949" s="209">
        <v>35.78</v>
      </c>
      <c r="G4949" s="209">
        <v>125.73</v>
      </c>
      <c r="H4949" s="198"/>
    </row>
    <row r="4950" spans="1:8" ht="15.75" hidden="1" customHeight="1" x14ac:dyDescent="0.25">
      <c r="A4950" s="205" t="s">
        <v>5475</v>
      </c>
      <c r="B4950" s="206">
        <v>92950</v>
      </c>
      <c r="C4950" s="207" t="s">
        <v>5612</v>
      </c>
      <c r="D4950" s="208" t="s">
        <v>580</v>
      </c>
      <c r="E4950" s="209">
        <v>84.11</v>
      </c>
      <c r="F4950" s="209">
        <v>19.34</v>
      </c>
      <c r="G4950" s="209">
        <v>103.45</v>
      </c>
      <c r="H4950" s="198"/>
    </row>
    <row r="4951" spans="1:8" ht="15.75" hidden="1" customHeight="1" x14ac:dyDescent="0.25">
      <c r="A4951" s="205" t="s">
        <v>5475</v>
      </c>
      <c r="B4951" s="206">
        <v>92907</v>
      </c>
      <c r="C4951" s="207" t="s">
        <v>5613</v>
      </c>
      <c r="D4951" s="208" t="s">
        <v>580</v>
      </c>
      <c r="E4951" s="209">
        <v>55.37</v>
      </c>
      <c r="F4951" s="209">
        <v>31.35</v>
      </c>
      <c r="G4951" s="209">
        <v>86.72</v>
      </c>
      <c r="H4951" s="198"/>
    </row>
    <row r="4952" spans="1:8" ht="15.75" hidden="1" customHeight="1" x14ac:dyDescent="0.25">
      <c r="A4952" s="205" t="s">
        <v>5475</v>
      </c>
      <c r="B4952" s="206">
        <v>92931</v>
      </c>
      <c r="C4952" s="207" t="s">
        <v>5614</v>
      </c>
      <c r="D4952" s="208" t="s">
        <v>580</v>
      </c>
      <c r="E4952" s="209">
        <v>55.35</v>
      </c>
      <c r="F4952" s="209">
        <v>31.31</v>
      </c>
      <c r="G4952" s="209">
        <v>86.66</v>
      </c>
      <c r="H4952" s="198"/>
    </row>
    <row r="4953" spans="1:8" ht="15.75" hidden="1" customHeight="1" x14ac:dyDescent="0.25">
      <c r="A4953" s="205" t="s">
        <v>5475</v>
      </c>
      <c r="B4953" s="206">
        <v>92946</v>
      </c>
      <c r="C4953" s="207" t="s">
        <v>5615</v>
      </c>
      <c r="D4953" s="208" t="s">
        <v>580</v>
      </c>
      <c r="E4953" s="209">
        <v>50.49</v>
      </c>
      <c r="F4953" s="209">
        <v>17.59</v>
      </c>
      <c r="G4953" s="209">
        <v>68.08</v>
      </c>
      <c r="H4953" s="198"/>
    </row>
    <row r="4954" spans="1:8" ht="15.75" hidden="1" customHeight="1" x14ac:dyDescent="0.25">
      <c r="A4954" s="205" t="s">
        <v>5475</v>
      </c>
      <c r="B4954" s="206">
        <v>92908</v>
      </c>
      <c r="C4954" s="207" t="s">
        <v>5616</v>
      </c>
      <c r="D4954" s="208" t="s">
        <v>580</v>
      </c>
      <c r="E4954" s="209">
        <v>55.37</v>
      </c>
      <c r="F4954" s="209">
        <v>31.35</v>
      </c>
      <c r="G4954" s="209">
        <v>86.72</v>
      </c>
      <c r="H4954" s="198"/>
    </row>
    <row r="4955" spans="1:8" ht="15.75" hidden="1" customHeight="1" x14ac:dyDescent="0.25">
      <c r="A4955" s="205" t="s">
        <v>5475</v>
      </c>
      <c r="B4955" s="206">
        <v>92932</v>
      </c>
      <c r="C4955" s="207" t="s">
        <v>5617</v>
      </c>
      <c r="D4955" s="208" t="s">
        <v>580</v>
      </c>
      <c r="E4955" s="209">
        <v>55.35</v>
      </c>
      <c r="F4955" s="209">
        <v>31.31</v>
      </c>
      <c r="G4955" s="209">
        <v>86.66</v>
      </c>
      <c r="H4955" s="198"/>
    </row>
    <row r="4956" spans="1:8" ht="15.75" hidden="1" customHeight="1" x14ac:dyDescent="0.25">
      <c r="A4956" s="205" t="s">
        <v>5475</v>
      </c>
      <c r="B4956" s="206">
        <v>92947</v>
      </c>
      <c r="C4956" s="207" t="s">
        <v>5618</v>
      </c>
      <c r="D4956" s="208" t="s">
        <v>580</v>
      </c>
      <c r="E4956" s="209">
        <v>50.49</v>
      </c>
      <c r="F4956" s="209">
        <v>17.59</v>
      </c>
      <c r="G4956" s="209">
        <v>68.08</v>
      </c>
      <c r="H4956" s="198"/>
    </row>
    <row r="4957" spans="1:8" ht="15.75" hidden="1" customHeight="1" x14ac:dyDescent="0.25">
      <c r="A4957" s="205" t="s">
        <v>5475</v>
      </c>
      <c r="B4957" s="206">
        <v>92909</v>
      </c>
      <c r="C4957" s="207" t="s">
        <v>5619</v>
      </c>
      <c r="D4957" s="208" t="s">
        <v>580</v>
      </c>
      <c r="E4957" s="209">
        <v>55.37</v>
      </c>
      <c r="F4957" s="209">
        <v>31.35</v>
      </c>
      <c r="G4957" s="209">
        <v>86.72</v>
      </c>
      <c r="H4957" s="198"/>
    </row>
    <row r="4958" spans="1:8" ht="15.75" hidden="1" customHeight="1" x14ac:dyDescent="0.25">
      <c r="A4958" s="205" t="s">
        <v>5475</v>
      </c>
      <c r="B4958" s="206">
        <v>92933</v>
      </c>
      <c r="C4958" s="207" t="s">
        <v>5620</v>
      </c>
      <c r="D4958" s="208" t="s">
        <v>580</v>
      </c>
      <c r="E4958" s="209">
        <v>55.35</v>
      </c>
      <c r="F4958" s="209">
        <v>31.31</v>
      </c>
      <c r="G4958" s="209">
        <v>86.66</v>
      </c>
      <c r="H4958" s="198"/>
    </row>
    <row r="4959" spans="1:8" ht="15.75" hidden="1" customHeight="1" x14ac:dyDescent="0.25">
      <c r="A4959" s="205" t="s">
        <v>5475</v>
      </c>
      <c r="B4959" s="206">
        <v>92948</v>
      </c>
      <c r="C4959" s="207" t="s">
        <v>5621</v>
      </c>
      <c r="D4959" s="208" t="s">
        <v>580</v>
      </c>
      <c r="E4959" s="209">
        <v>50.49</v>
      </c>
      <c r="F4959" s="209">
        <v>17.59</v>
      </c>
      <c r="G4959" s="209">
        <v>68.08</v>
      </c>
      <c r="H4959" s="198"/>
    </row>
    <row r="4960" spans="1:8" ht="15.75" hidden="1" customHeight="1" x14ac:dyDescent="0.25">
      <c r="A4960" s="205" t="s">
        <v>5475</v>
      </c>
      <c r="B4960" s="206">
        <v>92912</v>
      </c>
      <c r="C4960" s="207" t="s">
        <v>5622</v>
      </c>
      <c r="D4960" s="208" t="s">
        <v>580</v>
      </c>
      <c r="E4960" s="209">
        <v>129.35</v>
      </c>
      <c r="F4960" s="209">
        <v>34.130000000000003</v>
      </c>
      <c r="G4960" s="209">
        <v>163.47999999999999</v>
      </c>
      <c r="H4960" s="198"/>
    </row>
    <row r="4961" spans="1:8" ht="15.75" hidden="1" customHeight="1" x14ac:dyDescent="0.25">
      <c r="A4961" s="205" t="s">
        <v>5475</v>
      </c>
      <c r="B4961" s="206">
        <v>92913</v>
      </c>
      <c r="C4961" s="207" t="s">
        <v>5623</v>
      </c>
      <c r="D4961" s="208" t="s">
        <v>580</v>
      </c>
      <c r="E4961" s="209">
        <v>130.44</v>
      </c>
      <c r="F4961" s="209">
        <v>36.85</v>
      </c>
      <c r="G4961" s="209">
        <v>167.29</v>
      </c>
      <c r="H4961" s="198"/>
    </row>
    <row r="4962" spans="1:8" ht="15.75" hidden="1" customHeight="1" x14ac:dyDescent="0.25">
      <c r="A4962" s="205" t="s">
        <v>5475</v>
      </c>
      <c r="B4962" s="206">
        <v>92936</v>
      </c>
      <c r="C4962" s="207" t="s">
        <v>5624</v>
      </c>
      <c r="D4962" s="208" t="s">
        <v>580</v>
      </c>
      <c r="E4962" s="209">
        <v>131.65</v>
      </c>
      <c r="F4962" s="209">
        <v>40.25</v>
      </c>
      <c r="G4962" s="209">
        <v>171.9</v>
      </c>
      <c r="H4962" s="198"/>
    </row>
    <row r="4963" spans="1:8" ht="15.75" hidden="1" customHeight="1" x14ac:dyDescent="0.25">
      <c r="A4963" s="205" t="s">
        <v>5475</v>
      </c>
      <c r="B4963" s="206">
        <v>92951</v>
      </c>
      <c r="C4963" s="207" t="s">
        <v>5625</v>
      </c>
      <c r="D4963" s="208" t="s">
        <v>580</v>
      </c>
      <c r="E4963" s="209">
        <v>124.87</v>
      </c>
      <c r="F4963" s="209">
        <v>21.14</v>
      </c>
      <c r="G4963" s="209">
        <v>146.01</v>
      </c>
      <c r="H4963" s="198"/>
    </row>
    <row r="4964" spans="1:8" ht="15.75" hidden="1" customHeight="1" x14ac:dyDescent="0.25">
      <c r="A4964" s="205" t="s">
        <v>5475</v>
      </c>
      <c r="B4964" s="206">
        <v>92914</v>
      </c>
      <c r="C4964" s="207" t="s">
        <v>5626</v>
      </c>
      <c r="D4964" s="208" t="s">
        <v>580</v>
      </c>
      <c r="E4964" s="209">
        <v>130.44</v>
      </c>
      <c r="F4964" s="209">
        <v>36.85</v>
      </c>
      <c r="G4964" s="209">
        <v>167.29</v>
      </c>
      <c r="H4964" s="198"/>
    </row>
    <row r="4965" spans="1:8" ht="15.75" hidden="1" customHeight="1" x14ac:dyDescent="0.25">
      <c r="A4965" s="205" t="s">
        <v>5475</v>
      </c>
      <c r="B4965" s="206">
        <v>92937</v>
      </c>
      <c r="C4965" s="207" t="s">
        <v>5627</v>
      </c>
      <c r="D4965" s="208" t="s">
        <v>580</v>
      </c>
      <c r="E4965" s="209">
        <v>131.65</v>
      </c>
      <c r="F4965" s="209">
        <v>40.25</v>
      </c>
      <c r="G4965" s="209">
        <v>171.9</v>
      </c>
      <c r="H4965" s="198"/>
    </row>
    <row r="4966" spans="1:8" ht="15.75" hidden="1" customHeight="1" x14ac:dyDescent="0.25">
      <c r="A4966" s="205" t="s">
        <v>5475</v>
      </c>
      <c r="B4966" s="206">
        <v>92952</v>
      </c>
      <c r="C4966" s="207" t="s">
        <v>5628</v>
      </c>
      <c r="D4966" s="208" t="s">
        <v>580</v>
      </c>
      <c r="E4966" s="209">
        <v>124.87</v>
      </c>
      <c r="F4966" s="209">
        <v>21.14</v>
      </c>
      <c r="G4966" s="209">
        <v>146.01</v>
      </c>
      <c r="H4966" s="198"/>
    </row>
    <row r="4967" spans="1:8" ht="15.75" hidden="1" customHeight="1" x14ac:dyDescent="0.25">
      <c r="A4967" s="205" t="s">
        <v>5475</v>
      </c>
      <c r="B4967" s="206">
        <v>92953</v>
      </c>
      <c r="C4967" s="207" t="s">
        <v>5629</v>
      </c>
      <c r="D4967" s="208" t="s">
        <v>580</v>
      </c>
      <c r="E4967" s="209">
        <v>16.149999999999999</v>
      </c>
      <c r="F4967" s="209">
        <v>14.43</v>
      </c>
      <c r="G4967" s="209">
        <v>30.58</v>
      </c>
      <c r="H4967" s="198"/>
    </row>
    <row r="4968" spans="1:8" ht="15.75" hidden="1" customHeight="1" x14ac:dyDescent="0.25">
      <c r="A4968" s="205" t="s">
        <v>5475</v>
      </c>
      <c r="B4968" s="206">
        <v>101921</v>
      </c>
      <c r="C4968" s="207" t="s">
        <v>5630</v>
      </c>
      <c r="D4968" s="208" t="s">
        <v>580</v>
      </c>
      <c r="E4968" s="209">
        <v>216.73</v>
      </c>
      <c r="F4968" s="209">
        <v>40.75</v>
      </c>
      <c r="G4968" s="209">
        <v>257.48</v>
      </c>
      <c r="H4968" s="198"/>
    </row>
    <row r="4969" spans="1:8" ht="15.75" hidden="1" customHeight="1" x14ac:dyDescent="0.25">
      <c r="A4969" s="205" t="s">
        <v>5475</v>
      </c>
      <c r="B4969" s="206">
        <v>101930</v>
      </c>
      <c r="C4969" s="207" t="s">
        <v>5631</v>
      </c>
      <c r="D4969" s="208" t="s">
        <v>580</v>
      </c>
      <c r="E4969" s="209">
        <v>218.69</v>
      </c>
      <c r="F4969" s="209">
        <v>46.42</v>
      </c>
      <c r="G4969" s="209">
        <v>265.11</v>
      </c>
      <c r="H4969" s="198"/>
    </row>
    <row r="4970" spans="1:8" ht="15.75" hidden="1" customHeight="1" x14ac:dyDescent="0.25">
      <c r="A4970" s="205" t="s">
        <v>5475</v>
      </c>
      <c r="B4970" s="206">
        <v>101922</v>
      </c>
      <c r="C4970" s="207" t="s">
        <v>5632</v>
      </c>
      <c r="D4970" s="208" t="s">
        <v>580</v>
      </c>
      <c r="E4970" s="209">
        <v>216.73</v>
      </c>
      <c r="F4970" s="209">
        <v>40.75</v>
      </c>
      <c r="G4970" s="209">
        <v>257.48</v>
      </c>
      <c r="H4970" s="198"/>
    </row>
    <row r="4971" spans="1:8" ht="15.75" hidden="1" customHeight="1" x14ac:dyDescent="0.25">
      <c r="A4971" s="205" t="s">
        <v>5475</v>
      </c>
      <c r="B4971" s="206">
        <v>101931</v>
      </c>
      <c r="C4971" s="207" t="s">
        <v>5633</v>
      </c>
      <c r="D4971" s="208" t="s">
        <v>580</v>
      </c>
      <c r="E4971" s="209">
        <v>218.69</v>
      </c>
      <c r="F4971" s="209">
        <v>46.42</v>
      </c>
      <c r="G4971" s="209">
        <v>265.11</v>
      </c>
      <c r="H4971" s="198"/>
    </row>
    <row r="4972" spans="1:8" ht="15.75" hidden="1" customHeight="1" x14ac:dyDescent="0.25">
      <c r="A4972" s="205" t="s">
        <v>5475</v>
      </c>
      <c r="B4972" s="206">
        <v>101923</v>
      </c>
      <c r="C4972" s="207" t="s">
        <v>5634</v>
      </c>
      <c r="D4972" s="208" t="s">
        <v>580</v>
      </c>
      <c r="E4972" s="209">
        <v>216.73</v>
      </c>
      <c r="F4972" s="209">
        <v>40.75</v>
      </c>
      <c r="G4972" s="209">
        <v>257.48</v>
      </c>
      <c r="H4972" s="198"/>
    </row>
    <row r="4973" spans="1:8" ht="15.75" hidden="1" customHeight="1" x14ac:dyDescent="0.25">
      <c r="A4973" s="205" t="s">
        <v>5475</v>
      </c>
      <c r="B4973" s="206">
        <v>101932</v>
      </c>
      <c r="C4973" s="207" t="s">
        <v>5635</v>
      </c>
      <c r="D4973" s="208" t="s">
        <v>580</v>
      </c>
      <c r="E4973" s="209">
        <v>218.69</v>
      </c>
      <c r="F4973" s="209">
        <v>46.42</v>
      </c>
      <c r="G4973" s="209">
        <v>265.11</v>
      </c>
      <c r="H4973" s="198"/>
    </row>
    <row r="4974" spans="1:8" ht="15.75" hidden="1" customHeight="1" x14ac:dyDescent="0.25">
      <c r="A4974" s="205" t="s">
        <v>5475</v>
      </c>
      <c r="B4974" s="206">
        <v>97537</v>
      </c>
      <c r="C4974" s="207" t="s">
        <v>5636</v>
      </c>
      <c r="D4974" s="208" t="s">
        <v>580</v>
      </c>
      <c r="E4974" s="209">
        <v>18.38</v>
      </c>
      <c r="F4974" s="209">
        <v>8.68</v>
      </c>
      <c r="G4974" s="209">
        <v>27.06</v>
      </c>
      <c r="H4974" s="198"/>
    </row>
    <row r="4975" spans="1:8" ht="15.75" hidden="1" customHeight="1" x14ac:dyDescent="0.25">
      <c r="A4975" s="205" t="s">
        <v>5475</v>
      </c>
      <c r="B4975" s="206">
        <v>97540</v>
      </c>
      <c r="C4975" s="207" t="s">
        <v>5637</v>
      </c>
      <c r="D4975" s="208" t="s">
        <v>580</v>
      </c>
      <c r="E4975" s="209">
        <v>22.56</v>
      </c>
      <c r="F4975" s="209">
        <v>14.95</v>
      </c>
      <c r="G4975" s="209">
        <v>37.51</v>
      </c>
      <c r="H4975" s="198"/>
    </row>
    <row r="4976" spans="1:8" ht="15.75" hidden="1" customHeight="1" x14ac:dyDescent="0.25">
      <c r="A4976" s="205" t="s">
        <v>5475</v>
      </c>
      <c r="B4976" s="206">
        <v>97543</v>
      </c>
      <c r="C4976" s="207" t="s">
        <v>5638</v>
      </c>
      <c r="D4976" s="208" t="s">
        <v>580</v>
      </c>
      <c r="E4976" s="209">
        <v>33.6</v>
      </c>
      <c r="F4976" s="209">
        <v>29.08</v>
      </c>
      <c r="G4976" s="209">
        <v>62.68</v>
      </c>
      <c r="H4976" s="198"/>
    </row>
    <row r="4977" spans="1:8" ht="15.75" hidden="1" customHeight="1" x14ac:dyDescent="0.25">
      <c r="A4977" s="205" t="s">
        <v>5475</v>
      </c>
      <c r="B4977" s="206">
        <v>97461</v>
      </c>
      <c r="C4977" s="207" t="s">
        <v>5639</v>
      </c>
      <c r="D4977" s="208" t="s">
        <v>580</v>
      </c>
      <c r="E4977" s="209">
        <v>27.22</v>
      </c>
      <c r="F4977" s="209">
        <v>11.45</v>
      </c>
      <c r="G4977" s="209">
        <v>38.67</v>
      </c>
      <c r="H4977" s="198"/>
    </row>
    <row r="4978" spans="1:8" ht="15.75" hidden="1" customHeight="1" x14ac:dyDescent="0.25">
      <c r="A4978" s="205" t="s">
        <v>5475</v>
      </c>
      <c r="B4978" s="206">
        <v>97499</v>
      </c>
      <c r="C4978" s="207" t="s">
        <v>5640</v>
      </c>
      <c r="D4978" s="208" t="s">
        <v>580</v>
      </c>
      <c r="E4978" s="209">
        <v>26.3</v>
      </c>
      <c r="F4978" s="209">
        <v>8.84</v>
      </c>
      <c r="G4978" s="209">
        <v>35.14</v>
      </c>
      <c r="H4978" s="198"/>
    </row>
    <row r="4979" spans="1:8" ht="15.75" hidden="1" customHeight="1" x14ac:dyDescent="0.25">
      <c r="A4979" s="205" t="s">
        <v>5475</v>
      </c>
      <c r="B4979" s="206">
        <v>97464</v>
      </c>
      <c r="C4979" s="207" t="s">
        <v>5641</v>
      </c>
      <c r="D4979" s="208" t="s">
        <v>580</v>
      </c>
      <c r="E4979" s="209">
        <v>40.42</v>
      </c>
      <c r="F4979" s="209">
        <v>14.64</v>
      </c>
      <c r="G4979" s="209">
        <v>55.06</v>
      </c>
      <c r="H4979" s="198"/>
    </row>
    <row r="4980" spans="1:8" ht="15.75" hidden="1" customHeight="1" x14ac:dyDescent="0.25">
      <c r="A4980" s="205" t="s">
        <v>5475</v>
      </c>
      <c r="B4980" s="206">
        <v>97502</v>
      </c>
      <c r="C4980" s="207" t="s">
        <v>5642</v>
      </c>
      <c r="D4980" s="208" t="s">
        <v>580</v>
      </c>
      <c r="E4980" s="209">
        <v>38.68</v>
      </c>
      <c r="F4980" s="209">
        <v>9.82</v>
      </c>
      <c r="G4980" s="209">
        <v>48.5</v>
      </c>
      <c r="H4980" s="198"/>
    </row>
    <row r="4981" spans="1:8" ht="15.75" hidden="1" customHeight="1" x14ac:dyDescent="0.25">
      <c r="A4981" s="205" t="s">
        <v>5475</v>
      </c>
      <c r="B4981" s="206">
        <v>97467</v>
      </c>
      <c r="C4981" s="207" t="s">
        <v>5643</v>
      </c>
      <c r="D4981" s="208" t="s">
        <v>580</v>
      </c>
      <c r="E4981" s="209">
        <v>51.47</v>
      </c>
      <c r="F4981" s="209">
        <v>18.309999999999999</v>
      </c>
      <c r="G4981" s="209">
        <v>69.78</v>
      </c>
      <c r="H4981" s="198"/>
    </row>
    <row r="4982" spans="1:8" ht="15.75" hidden="1" customHeight="1" x14ac:dyDescent="0.25">
      <c r="A4982" s="205" t="s">
        <v>5475</v>
      </c>
      <c r="B4982" s="206">
        <v>97505</v>
      </c>
      <c r="C4982" s="207" t="s">
        <v>5644</v>
      </c>
      <c r="D4982" s="208" t="s">
        <v>580</v>
      </c>
      <c r="E4982" s="209">
        <v>49.02</v>
      </c>
      <c r="F4982" s="209">
        <v>11.51</v>
      </c>
      <c r="G4982" s="209">
        <v>60.53</v>
      </c>
      <c r="H4982" s="198"/>
    </row>
    <row r="4983" spans="1:8" ht="15.75" hidden="1" customHeight="1" x14ac:dyDescent="0.25">
      <c r="A4983" s="205" t="s">
        <v>5475</v>
      </c>
      <c r="B4983" s="206">
        <v>97443</v>
      </c>
      <c r="C4983" s="207" t="s">
        <v>5645</v>
      </c>
      <c r="D4983" s="208" t="s">
        <v>580</v>
      </c>
      <c r="E4983" s="209">
        <v>84.48</v>
      </c>
      <c r="F4983" s="209">
        <v>39.020000000000003</v>
      </c>
      <c r="G4983" s="209">
        <v>123.5</v>
      </c>
      <c r="H4983" s="198"/>
    </row>
    <row r="4984" spans="1:8" ht="15.75" hidden="1" customHeight="1" x14ac:dyDescent="0.25">
      <c r="A4984" s="205" t="s">
        <v>5475</v>
      </c>
      <c r="B4984" s="206">
        <v>97470</v>
      </c>
      <c r="C4984" s="207" t="s">
        <v>5646</v>
      </c>
      <c r="D4984" s="208" t="s">
        <v>580</v>
      </c>
      <c r="E4984" s="209">
        <v>78.7</v>
      </c>
      <c r="F4984" s="209">
        <v>22.89</v>
      </c>
      <c r="G4984" s="209">
        <v>101.59</v>
      </c>
      <c r="H4984" s="198"/>
    </row>
    <row r="4985" spans="1:8" ht="15.75" hidden="1" customHeight="1" x14ac:dyDescent="0.25">
      <c r="A4985" s="205" t="s">
        <v>5475</v>
      </c>
      <c r="B4985" s="206">
        <v>97508</v>
      </c>
      <c r="C4985" s="207" t="s">
        <v>5647</v>
      </c>
      <c r="D4985" s="208" t="s">
        <v>580</v>
      </c>
      <c r="E4985" s="209">
        <v>75.22</v>
      </c>
      <c r="F4985" s="209">
        <v>13.28</v>
      </c>
      <c r="G4985" s="209">
        <v>88.5</v>
      </c>
      <c r="H4985" s="198"/>
    </row>
    <row r="4986" spans="1:8" ht="15.75" hidden="1" customHeight="1" x14ac:dyDescent="0.25">
      <c r="A4986" s="205" t="s">
        <v>5475</v>
      </c>
      <c r="B4986" s="206">
        <v>97446</v>
      </c>
      <c r="C4986" s="207" t="s">
        <v>5648</v>
      </c>
      <c r="D4986" s="208" t="s">
        <v>580</v>
      </c>
      <c r="E4986" s="209">
        <v>196.06</v>
      </c>
      <c r="F4986" s="209">
        <v>43.15</v>
      </c>
      <c r="G4986" s="209">
        <v>239.21</v>
      </c>
      <c r="H4986" s="198"/>
    </row>
    <row r="4987" spans="1:8" ht="15.75" hidden="1" customHeight="1" x14ac:dyDescent="0.25">
      <c r="A4987" s="205" t="s">
        <v>5475</v>
      </c>
      <c r="B4987" s="206">
        <v>97474</v>
      </c>
      <c r="C4987" s="207" t="s">
        <v>5649</v>
      </c>
      <c r="D4987" s="208" t="s">
        <v>580</v>
      </c>
      <c r="E4987" s="209">
        <v>151.83000000000001</v>
      </c>
      <c r="F4987" s="209">
        <v>29.78</v>
      </c>
      <c r="G4987" s="209">
        <v>181.61</v>
      </c>
      <c r="H4987" s="198"/>
    </row>
    <row r="4988" spans="1:8" ht="15.75" hidden="1" customHeight="1" x14ac:dyDescent="0.25">
      <c r="A4988" s="205" t="s">
        <v>5475</v>
      </c>
      <c r="B4988" s="206">
        <v>97511</v>
      </c>
      <c r="C4988" s="207" t="s">
        <v>5650</v>
      </c>
      <c r="D4988" s="208" t="s">
        <v>580</v>
      </c>
      <c r="E4988" s="209">
        <v>146.85</v>
      </c>
      <c r="F4988" s="209">
        <v>15.95</v>
      </c>
      <c r="G4988" s="209">
        <v>162.80000000000001</v>
      </c>
      <c r="H4988" s="198"/>
    </row>
    <row r="4989" spans="1:8" ht="15.75" hidden="1" customHeight="1" x14ac:dyDescent="0.25">
      <c r="A4989" s="205" t="s">
        <v>5475</v>
      </c>
      <c r="B4989" s="206">
        <v>97449</v>
      </c>
      <c r="C4989" s="207" t="s">
        <v>5651</v>
      </c>
      <c r="D4989" s="208" t="s">
        <v>580</v>
      </c>
      <c r="E4989" s="209">
        <v>208</v>
      </c>
      <c r="F4989" s="209">
        <v>47.33</v>
      </c>
      <c r="G4989" s="209">
        <v>255.33</v>
      </c>
      <c r="H4989" s="198"/>
    </row>
    <row r="4990" spans="1:8" ht="15.75" hidden="1" customHeight="1" x14ac:dyDescent="0.25">
      <c r="A4990" s="205" t="s">
        <v>5475</v>
      </c>
      <c r="B4990" s="206">
        <v>97477</v>
      </c>
      <c r="C4990" s="207" t="s">
        <v>5652</v>
      </c>
      <c r="D4990" s="208" t="s">
        <v>580</v>
      </c>
      <c r="E4990" s="209">
        <v>204.16</v>
      </c>
      <c r="F4990" s="209">
        <v>36.729999999999997</v>
      </c>
      <c r="G4990" s="209">
        <v>240.89</v>
      </c>
      <c r="H4990" s="198"/>
    </row>
    <row r="4991" spans="1:8" ht="15.75" hidden="1" customHeight="1" x14ac:dyDescent="0.25">
      <c r="A4991" s="205" t="s">
        <v>5475</v>
      </c>
      <c r="B4991" s="206">
        <v>97514</v>
      </c>
      <c r="C4991" s="207" t="s">
        <v>5653</v>
      </c>
      <c r="D4991" s="208" t="s">
        <v>580</v>
      </c>
      <c r="E4991" s="209">
        <v>197.63</v>
      </c>
      <c r="F4991" s="209">
        <v>18.54</v>
      </c>
      <c r="G4991" s="209">
        <v>216.17</v>
      </c>
      <c r="H4991" s="198"/>
    </row>
    <row r="4992" spans="1:8" ht="15.75" hidden="1" customHeight="1" x14ac:dyDescent="0.25">
      <c r="A4992" s="205" t="s">
        <v>5475</v>
      </c>
      <c r="B4992" s="206">
        <v>101920</v>
      </c>
      <c r="C4992" s="207" t="s">
        <v>5654</v>
      </c>
      <c r="D4992" s="208" t="s">
        <v>580</v>
      </c>
      <c r="E4992" s="209">
        <v>185.95</v>
      </c>
      <c r="F4992" s="209">
        <v>40.76</v>
      </c>
      <c r="G4992" s="209">
        <v>226.71</v>
      </c>
      <c r="H4992" s="198"/>
    </row>
    <row r="4993" spans="1:8" ht="15.75" hidden="1" customHeight="1" x14ac:dyDescent="0.25">
      <c r="A4993" s="205" t="s">
        <v>5475</v>
      </c>
      <c r="B4993" s="206">
        <v>101929</v>
      </c>
      <c r="C4993" s="207" t="s">
        <v>5655</v>
      </c>
      <c r="D4993" s="208" t="s">
        <v>580</v>
      </c>
      <c r="E4993" s="209">
        <v>187.95</v>
      </c>
      <c r="F4993" s="209">
        <v>46.39</v>
      </c>
      <c r="G4993" s="209">
        <v>234.34</v>
      </c>
      <c r="H4993" s="198"/>
    </row>
    <row r="4994" spans="1:8" ht="15.75" hidden="1" customHeight="1" x14ac:dyDescent="0.25">
      <c r="A4994" s="205" t="s">
        <v>5475</v>
      </c>
      <c r="B4994" s="206">
        <v>92693</v>
      </c>
      <c r="C4994" s="207" t="s">
        <v>5656</v>
      </c>
      <c r="D4994" s="208" t="s">
        <v>580</v>
      </c>
      <c r="E4994" s="209">
        <v>9.99</v>
      </c>
      <c r="F4994" s="209">
        <v>8.39</v>
      </c>
      <c r="G4994" s="209">
        <v>18.38</v>
      </c>
      <c r="H4994" s="198"/>
    </row>
    <row r="4995" spans="1:8" ht="15.75" hidden="1" customHeight="1" x14ac:dyDescent="0.25">
      <c r="A4995" s="205" t="s">
        <v>5475</v>
      </c>
      <c r="B4995" s="206">
        <v>92695</v>
      </c>
      <c r="C4995" s="207" t="s">
        <v>5657</v>
      </c>
      <c r="D4995" s="208" t="s">
        <v>580</v>
      </c>
      <c r="E4995" s="209">
        <v>14.67</v>
      </c>
      <c r="F4995" s="209">
        <v>14.42</v>
      </c>
      <c r="G4995" s="209">
        <v>29.09</v>
      </c>
      <c r="H4995" s="198"/>
    </row>
    <row r="4996" spans="1:8" ht="15.75" hidden="1" customHeight="1" x14ac:dyDescent="0.25">
      <c r="A4996" s="205" t="s">
        <v>5475</v>
      </c>
      <c r="B4996" s="206">
        <v>92697</v>
      </c>
      <c r="C4996" s="207" t="s">
        <v>5658</v>
      </c>
      <c r="D4996" s="208" t="s">
        <v>580</v>
      </c>
      <c r="E4996" s="209">
        <v>23.65</v>
      </c>
      <c r="F4996" s="209">
        <v>23.43</v>
      </c>
      <c r="G4996" s="209">
        <v>47.08</v>
      </c>
      <c r="H4996" s="198"/>
    </row>
    <row r="4997" spans="1:8" ht="15.75" hidden="1" customHeight="1" x14ac:dyDescent="0.25">
      <c r="A4997" s="205" t="s">
        <v>5475</v>
      </c>
      <c r="B4997" s="206">
        <v>92658</v>
      </c>
      <c r="C4997" s="207" t="s">
        <v>5659</v>
      </c>
      <c r="D4997" s="208" t="s">
        <v>580</v>
      </c>
      <c r="E4997" s="209">
        <v>20.54</v>
      </c>
      <c r="F4997" s="209">
        <v>14.61</v>
      </c>
      <c r="G4997" s="209">
        <v>35.15</v>
      </c>
      <c r="H4997" s="198"/>
    </row>
    <row r="4998" spans="1:8" ht="15.75" hidden="1" customHeight="1" x14ac:dyDescent="0.25">
      <c r="A4998" s="205" t="s">
        <v>5475</v>
      </c>
      <c r="B4998" s="206">
        <v>92660</v>
      </c>
      <c r="C4998" s="207" t="s">
        <v>5660</v>
      </c>
      <c r="D4998" s="208" t="s">
        <v>580</v>
      </c>
      <c r="E4998" s="209">
        <v>26.91</v>
      </c>
      <c r="F4998" s="209">
        <v>15.44</v>
      </c>
      <c r="G4998" s="209">
        <v>42.35</v>
      </c>
      <c r="H4998" s="198"/>
    </row>
    <row r="4999" spans="1:8" ht="15.75" hidden="1" customHeight="1" x14ac:dyDescent="0.25">
      <c r="A4999" s="205" t="s">
        <v>5475</v>
      </c>
      <c r="B4999" s="206">
        <v>92662</v>
      </c>
      <c r="C4999" s="207" t="s">
        <v>5661</v>
      </c>
      <c r="D4999" s="208" t="s">
        <v>580</v>
      </c>
      <c r="E4999" s="209">
        <v>31.97</v>
      </c>
      <c r="F4999" s="209">
        <v>16.38</v>
      </c>
      <c r="G4999" s="209">
        <v>48.35</v>
      </c>
      <c r="H4999" s="198"/>
    </row>
    <row r="5000" spans="1:8" ht="15.75" hidden="1" customHeight="1" x14ac:dyDescent="0.25">
      <c r="A5000" s="205" t="s">
        <v>5475</v>
      </c>
      <c r="B5000" s="206">
        <v>92664</v>
      </c>
      <c r="C5000" s="207" t="s">
        <v>5662</v>
      </c>
      <c r="D5000" s="208" t="s">
        <v>580</v>
      </c>
      <c r="E5000" s="209">
        <v>46.17</v>
      </c>
      <c r="F5000" s="209">
        <v>17.579999999999998</v>
      </c>
      <c r="G5000" s="209">
        <v>63.75</v>
      </c>
      <c r="H5000" s="198"/>
    </row>
    <row r="5001" spans="1:8" ht="15.75" hidden="1" customHeight="1" x14ac:dyDescent="0.25">
      <c r="A5001" s="205" t="s">
        <v>5475</v>
      </c>
      <c r="B5001" s="206">
        <v>92666</v>
      </c>
      <c r="C5001" s="207" t="s">
        <v>5663</v>
      </c>
      <c r="D5001" s="208" t="s">
        <v>580</v>
      </c>
      <c r="E5001" s="209">
        <v>79.260000000000005</v>
      </c>
      <c r="F5001" s="209">
        <v>19.34</v>
      </c>
      <c r="G5001" s="209">
        <v>98.6</v>
      </c>
      <c r="H5001" s="198"/>
    </row>
    <row r="5002" spans="1:8" ht="15.75" hidden="1" customHeight="1" x14ac:dyDescent="0.25">
      <c r="A5002" s="205" t="s">
        <v>5475</v>
      </c>
      <c r="B5002" s="206">
        <v>92668</v>
      </c>
      <c r="C5002" s="207" t="s">
        <v>5664</v>
      </c>
      <c r="D5002" s="208" t="s">
        <v>580</v>
      </c>
      <c r="E5002" s="209">
        <v>116.41</v>
      </c>
      <c r="F5002" s="209">
        <v>21.14</v>
      </c>
      <c r="G5002" s="209">
        <v>137.55000000000001</v>
      </c>
      <c r="H5002" s="198"/>
    </row>
    <row r="5003" spans="1:8" ht="15.75" hidden="1" customHeight="1" x14ac:dyDescent="0.25">
      <c r="A5003" s="205" t="s">
        <v>5475</v>
      </c>
      <c r="B5003" s="206">
        <v>92370</v>
      </c>
      <c r="C5003" s="207" t="s">
        <v>5665</v>
      </c>
      <c r="D5003" s="208" t="s">
        <v>580</v>
      </c>
      <c r="E5003" s="209">
        <v>23.8</v>
      </c>
      <c r="F5003" s="209">
        <v>23.81</v>
      </c>
      <c r="G5003" s="209">
        <v>47.61</v>
      </c>
      <c r="H5003" s="198"/>
    </row>
    <row r="5004" spans="1:8" ht="15.75" hidden="1" customHeight="1" x14ac:dyDescent="0.25">
      <c r="A5004" s="205" t="s">
        <v>5475</v>
      </c>
      <c r="B5004" s="206">
        <v>92372</v>
      </c>
      <c r="C5004" s="207" t="s">
        <v>5666</v>
      </c>
      <c r="D5004" s="208" t="s">
        <v>580</v>
      </c>
      <c r="E5004" s="209">
        <v>30.61</v>
      </c>
      <c r="F5004" s="209">
        <v>25.9</v>
      </c>
      <c r="G5004" s="209">
        <v>56.51</v>
      </c>
      <c r="H5004" s="198"/>
    </row>
    <row r="5005" spans="1:8" ht="15.75" hidden="1" customHeight="1" x14ac:dyDescent="0.25">
      <c r="A5005" s="205" t="s">
        <v>5475</v>
      </c>
      <c r="B5005" s="206">
        <v>92374</v>
      </c>
      <c r="C5005" s="207" t="s">
        <v>5667</v>
      </c>
      <c r="D5005" s="208" t="s">
        <v>580</v>
      </c>
      <c r="E5005" s="209">
        <v>36.22</v>
      </c>
      <c r="F5005" s="209">
        <v>28.28</v>
      </c>
      <c r="G5005" s="209">
        <v>64.5</v>
      </c>
      <c r="H5005" s="198"/>
    </row>
    <row r="5006" spans="1:8" ht="15.75" hidden="1" customHeight="1" x14ac:dyDescent="0.25">
      <c r="A5006" s="205" t="s">
        <v>5475</v>
      </c>
      <c r="B5006" s="206">
        <v>92345</v>
      </c>
      <c r="C5006" s="207" t="s">
        <v>5668</v>
      </c>
      <c r="D5006" s="208" t="s">
        <v>580</v>
      </c>
      <c r="E5006" s="209">
        <v>51.04</v>
      </c>
      <c r="F5006" s="209">
        <v>31.35</v>
      </c>
      <c r="G5006" s="209">
        <v>82.39</v>
      </c>
      <c r="H5006" s="198"/>
    </row>
    <row r="5007" spans="1:8" ht="15.75" hidden="1" customHeight="1" x14ac:dyDescent="0.25">
      <c r="A5007" s="205" t="s">
        <v>5475</v>
      </c>
      <c r="B5007" s="206">
        <v>92376</v>
      </c>
      <c r="C5007" s="207" t="s">
        <v>5669</v>
      </c>
      <c r="D5007" s="208" t="s">
        <v>580</v>
      </c>
      <c r="E5007" s="209">
        <v>51.02</v>
      </c>
      <c r="F5007" s="209">
        <v>31.31</v>
      </c>
      <c r="G5007" s="209">
        <v>82.33</v>
      </c>
      <c r="H5007" s="198"/>
    </row>
    <row r="5008" spans="1:8" ht="15.75" hidden="1" customHeight="1" x14ac:dyDescent="0.25">
      <c r="A5008" s="205" t="s">
        <v>5475</v>
      </c>
      <c r="B5008" s="206">
        <v>92347</v>
      </c>
      <c r="C5008" s="207" t="s">
        <v>5670</v>
      </c>
      <c r="D5008" s="208" t="s">
        <v>580</v>
      </c>
      <c r="E5008" s="209">
        <v>84.51</v>
      </c>
      <c r="F5008" s="209">
        <v>34.130000000000003</v>
      </c>
      <c r="G5008" s="209">
        <v>118.64</v>
      </c>
      <c r="H5008" s="198"/>
    </row>
    <row r="5009" spans="1:8" ht="15.75" hidden="1" customHeight="1" x14ac:dyDescent="0.25">
      <c r="A5009" s="205" t="s">
        <v>5475</v>
      </c>
      <c r="B5009" s="206">
        <v>92378</v>
      </c>
      <c r="C5009" s="207" t="s">
        <v>5671</v>
      </c>
      <c r="D5009" s="208" t="s">
        <v>580</v>
      </c>
      <c r="E5009" s="209">
        <v>85.1</v>
      </c>
      <c r="F5009" s="209">
        <v>35.78</v>
      </c>
      <c r="G5009" s="209">
        <v>120.88</v>
      </c>
      <c r="H5009" s="198"/>
    </row>
    <row r="5010" spans="1:8" ht="15.75" hidden="1" customHeight="1" x14ac:dyDescent="0.25">
      <c r="A5010" s="205" t="s">
        <v>5475</v>
      </c>
      <c r="B5010" s="206">
        <v>92349</v>
      </c>
      <c r="C5010" s="207" t="s">
        <v>5672</v>
      </c>
      <c r="D5010" s="208" t="s">
        <v>580</v>
      </c>
      <c r="E5010" s="209">
        <v>121.99</v>
      </c>
      <c r="F5010" s="209">
        <v>36.840000000000003</v>
      </c>
      <c r="G5010" s="209">
        <v>158.83000000000001</v>
      </c>
      <c r="H5010" s="198"/>
    </row>
    <row r="5011" spans="1:8" ht="15.75" hidden="1" customHeight="1" x14ac:dyDescent="0.25">
      <c r="A5011" s="205" t="s">
        <v>5475</v>
      </c>
      <c r="B5011" s="206">
        <v>92380</v>
      </c>
      <c r="C5011" s="207" t="s">
        <v>5673</v>
      </c>
      <c r="D5011" s="208" t="s">
        <v>580</v>
      </c>
      <c r="E5011" s="209">
        <v>123.19</v>
      </c>
      <c r="F5011" s="209">
        <v>40.25</v>
      </c>
      <c r="G5011" s="209">
        <v>163.44</v>
      </c>
      <c r="H5011" s="198"/>
    </row>
    <row r="5012" spans="1:8" ht="15.75" hidden="1" customHeight="1" x14ac:dyDescent="0.25">
      <c r="A5012" s="205" t="s">
        <v>5475</v>
      </c>
      <c r="B5012" s="206">
        <v>101917</v>
      </c>
      <c r="C5012" s="207" t="s">
        <v>5674</v>
      </c>
      <c r="D5012" s="208" t="s">
        <v>580</v>
      </c>
      <c r="E5012" s="209">
        <v>148.28</v>
      </c>
      <c r="F5012" s="209">
        <v>40.97</v>
      </c>
      <c r="G5012" s="209">
        <v>189.25</v>
      </c>
      <c r="H5012" s="198"/>
    </row>
    <row r="5013" spans="1:8" ht="15.75" hidden="1" customHeight="1" x14ac:dyDescent="0.25">
      <c r="A5013" s="205" t="s">
        <v>5475</v>
      </c>
      <c r="B5013" s="206">
        <v>101924</v>
      </c>
      <c r="C5013" s="207" t="s">
        <v>5675</v>
      </c>
      <c r="D5013" s="208" t="s">
        <v>580</v>
      </c>
      <c r="E5013" s="209">
        <v>173.06</v>
      </c>
      <c r="F5013" s="209">
        <v>40.770000000000003</v>
      </c>
      <c r="G5013" s="209">
        <v>213.83</v>
      </c>
      <c r="H5013" s="198"/>
    </row>
    <row r="5014" spans="1:8" ht="15.75" hidden="1" customHeight="1" x14ac:dyDescent="0.25">
      <c r="A5014" s="205" t="s">
        <v>5475</v>
      </c>
      <c r="B5014" s="206">
        <v>101933</v>
      </c>
      <c r="C5014" s="207" t="s">
        <v>5676</v>
      </c>
      <c r="D5014" s="208" t="s">
        <v>580</v>
      </c>
      <c r="E5014" s="209">
        <v>175.05</v>
      </c>
      <c r="F5014" s="209">
        <v>46.41</v>
      </c>
      <c r="G5014" s="209">
        <v>221.46</v>
      </c>
      <c r="H5014" s="198"/>
    </row>
    <row r="5015" spans="1:8" ht="15.75" hidden="1" customHeight="1" x14ac:dyDescent="0.25">
      <c r="A5015" s="205" t="s">
        <v>5475</v>
      </c>
      <c r="B5015" s="206">
        <v>92692</v>
      </c>
      <c r="C5015" s="207" t="s">
        <v>5677</v>
      </c>
      <c r="D5015" s="208" t="s">
        <v>580</v>
      </c>
      <c r="E5015" s="209">
        <v>9.52</v>
      </c>
      <c r="F5015" s="209">
        <v>8.4</v>
      </c>
      <c r="G5015" s="209">
        <v>17.920000000000002</v>
      </c>
      <c r="H5015" s="198"/>
    </row>
    <row r="5016" spans="1:8" ht="15.75" hidden="1" customHeight="1" x14ac:dyDescent="0.25">
      <c r="A5016" s="205" t="s">
        <v>5475</v>
      </c>
      <c r="B5016" s="206">
        <v>92694</v>
      </c>
      <c r="C5016" s="207" t="s">
        <v>5678</v>
      </c>
      <c r="D5016" s="208" t="s">
        <v>580</v>
      </c>
      <c r="E5016" s="209">
        <v>14.21</v>
      </c>
      <c r="F5016" s="209">
        <v>14.42</v>
      </c>
      <c r="G5016" s="209">
        <v>28.63</v>
      </c>
      <c r="H5016" s="198"/>
    </row>
    <row r="5017" spans="1:8" ht="15.75" hidden="1" customHeight="1" x14ac:dyDescent="0.25">
      <c r="A5017" s="205" t="s">
        <v>5475</v>
      </c>
      <c r="B5017" s="206">
        <v>92696</v>
      </c>
      <c r="C5017" s="207" t="s">
        <v>5679</v>
      </c>
      <c r="D5017" s="208" t="s">
        <v>580</v>
      </c>
      <c r="E5017" s="209">
        <v>21.6</v>
      </c>
      <c r="F5017" s="209">
        <v>23.42</v>
      </c>
      <c r="G5017" s="209">
        <v>45.02</v>
      </c>
      <c r="H5017" s="198"/>
    </row>
    <row r="5018" spans="1:8" ht="15.75" hidden="1" customHeight="1" x14ac:dyDescent="0.25">
      <c r="A5018" s="205" t="s">
        <v>5475</v>
      </c>
      <c r="B5018" s="206">
        <v>92657</v>
      </c>
      <c r="C5018" s="207" t="s">
        <v>5680</v>
      </c>
      <c r="D5018" s="208" t="s">
        <v>580</v>
      </c>
      <c r="E5018" s="209">
        <v>18.48</v>
      </c>
      <c r="F5018" s="209">
        <v>14.61</v>
      </c>
      <c r="G5018" s="209">
        <v>33.090000000000003</v>
      </c>
      <c r="H5018" s="198"/>
    </row>
    <row r="5019" spans="1:8" ht="15.75" hidden="1" customHeight="1" x14ac:dyDescent="0.25">
      <c r="A5019" s="205" t="s">
        <v>5475</v>
      </c>
      <c r="B5019" s="206">
        <v>92659</v>
      </c>
      <c r="C5019" s="207" t="s">
        <v>5681</v>
      </c>
      <c r="D5019" s="208" t="s">
        <v>580</v>
      </c>
      <c r="E5019" s="209">
        <v>24.98</v>
      </c>
      <c r="F5019" s="209">
        <v>15.44</v>
      </c>
      <c r="G5019" s="209">
        <v>40.42</v>
      </c>
      <c r="H5019" s="198"/>
    </row>
    <row r="5020" spans="1:8" ht="15.75" hidden="1" customHeight="1" x14ac:dyDescent="0.25">
      <c r="A5020" s="205" t="s">
        <v>5475</v>
      </c>
      <c r="B5020" s="206">
        <v>92661</v>
      </c>
      <c r="C5020" s="207" t="s">
        <v>5682</v>
      </c>
      <c r="D5020" s="208" t="s">
        <v>580</v>
      </c>
      <c r="E5020" s="209">
        <v>31.6</v>
      </c>
      <c r="F5020" s="209">
        <v>16.38</v>
      </c>
      <c r="G5020" s="209">
        <v>47.98</v>
      </c>
      <c r="H5020" s="198"/>
    </row>
    <row r="5021" spans="1:8" ht="15.75" hidden="1" customHeight="1" x14ac:dyDescent="0.25">
      <c r="A5021" s="205" t="s">
        <v>5475</v>
      </c>
      <c r="B5021" s="206">
        <v>92663</v>
      </c>
      <c r="C5021" s="207" t="s">
        <v>5683</v>
      </c>
      <c r="D5021" s="208" t="s">
        <v>580</v>
      </c>
      <c r="E5021" s="209">
        <v>46.19</v>
      </c>
      <c r="F5021" s="209">
        <v>17.59</v>
      </c>
      <c r="G5021" s="209">
        <v>63.78</v>
      </c>
      <c r="H5021" s="198"/>
    </row>
    <row r="5022" spans="1:8" ht="15.75" hidden="1" customHeight="1" x14ac:dyDescent="0.25">
      <c r="A5022" s="205" t="s">
        <v>5475</v>
      </c>
      <c r="B5022" s="206">
        <v>92665</v>
      </c>
      <c r="C5022" s="207" t="s">
        <v>5684</v>
      </c>
      <c r="D5022" s="208" t="s">
        <v>580</v>
      </c>
      <c r="E5022" s="209">
        <v>67.78</v>
      </c>
      <c r="F5022" s="209">
        <v>19.350000000000001</v>
      </c>
      <c r="G5022" s="209">
        <v>87.13</v>
      </c>
      <c r="H5022" s="198"/>
    </row>
    <row r="5023" spans="1:8" ht="15.75" hidden="1" customHeight="1" x14ac:dyDescent="0.25">
      <c r="A5023" s="205" t="s">
        <v>5475</v>
      </c>
      <c r="B5023" s="206">
        <v>92667</v>
      </c>
      <c r="C5023" s="207" t="s">
        <v>5685</v>
      </c>
      <c r="D5023" s="208" t="s">
        <v>580</v>
      </c>
      <c r="E5023" s="209">
        <v>106.21</v>
      </c>
      <c r="F5023" s="209">
        <v>21.13</v>
      </c>
      <c r="G5023" s="209">
        <v>127.34</v>
      </c>
      <c r="H5023" s="198"/>
    </row>
    <row r="5024" spans="1:8" ht="15.75" hidden="1" customHeight="1" x14ac:dyDescent="0.25">
      <c r="A5024" s="205" t="s">
        <v>5475</v>
      </c>
      <c r="B5024" s="206">
        <v>92369</v>
      </c>
      <c r="C5024" s="207" t="s">
        <v>5686</v>
      </c>
      <c r="D5024" s="208" t="s">
        <v>580</v>
      </c>
      <c r="E5024" s="209">
        <v>21.74</v>
      </c>
      <c r="F5024" s="209">
        <v>23.81</v>
      </c>
      <c r="G5024" s="209">
        <v>45.55</v>
      </c>
      <c r="H5024" s="198"/>
    </row>
    <row r="5025" spans="1:8" ht="15.75" hidden="1" customHeight="1" x14ac:dyDescent="0.25">
      <c r="A5025" s="205" t="s">
        <v>5475</v>
      </c>
      <c r="B5025" s="206">
        <v>92371</v>
      </c>
      <c r="C5025" s="207" t="s">
        <v>5687</v>
      </c>
      <c r="D5025" s="208" t="s">
        <v>580</v>
      </c>
      <c r="E5025" s="209">
        <v>28.68</v>
      </c>
      <c r="F5025" s="209">
        <v>25.9</v>
      </c>
      <c r="G5025" s="209">
        <v>54.58</v>
      </c>
      <c r="H5025" s="198"/>
    </row>
    <row r="5026" spans="1:8" ht="15.75" hidden="1" customHeight="1" x14ac:dyDescent="0.25">
      <c r="A5026" s="205" t="s">
        <v>5475</v>
      </c>
      <c r="B5026" s="206">
        <v>92373</v>
      </c>
      <c r="C5026" s="207" t="s">
        <v>5688</v>
      </c>
      <c r="D5026" s="208" t="s">
        <v>580</v>
      </c>
      <c r="E5026" s="209">
        <v>35.85</v>
      </c>
      <c r="F5026" s="209">
        <v>28.28</v>
      </c>
      <c r="G5026" s="209">
        <v>64.13</v>
      </c>
      <c r="H5026" s="198"/>
    </row>
    <row r="5027" spans="1:8" ht="15.75" hidden="1" customHeight="1" x14ac:dyDescent="0.25">
      <c r="A5027" s="205" t="s">
        <v>5475</v>
      </c>
      <c r="B5027" s="206">
        <v>92344</v>
      </c>
      <c r="C5027" s="207" t="s">
        <v>5689</v>
      </c>
      <c r="D5027" s="208" t="s">
        <v>580</v>
      </c>
      <c r="E5027" s="209">
        <v>51.06</v>
      </c>
      <c r="F5027" s="209">
        <v>31.36</v>
      </c>
      <c r="G5027" s="209">
        <v>82.42</v>
      </c>
      <c r="H5027" s="198"/>
    </row>
    <row r="5028" spans="1:8" ht="15.75" hidden="1" customHeight="1" x14ac:dyDescent="0.25">
      <c r="A5028" s="205" t="s">
        <v>5475</v>
      </c>
      <c r="B5028" s="206">
        <v>92375</v>
      </c>
      <c r="C5028" s="207" t="s">
        <v>5690</v>
      </c>
      <c r="D5028" s="208" t="s">
        <v>580</v>
      </c>
      <c r="E5028" s="209">
        <v>51.05</v>
      </c>
      <c r="F5028" s="209">
        <v>31.31</v>
      </c>
      <c r="G5028" s="209">
        <v>82.36</v>
      </c>
      <c r="H5028" s="198"/>
    </row>
    <row r="5029" spans="1:8" ht="15.75" hidden="1" customHeight="1" x14ac:dyDescent="0.25">
      <c r="A5029" s="205" t="s">
        <v>5475</v>
      </c>
      <c r="B5029" s="206">
        <v>92346</v>
      </c>
      <c r="C5029" s="207" t="s">
        <v>5691</v>
      </c>
      <c r="D5029" s="208" t="s">
        <v>580</v>
      </c>
      <c r="E5029" s="209">
        <v>73.040000000000006</v>
      </c>
      <c r="F5029" s="209">
        <v>34.130000000000003</v>
      </c>
      <c r="G5029" s="209">
        <v>107.17</v>
      </c>
      <c r="H5029" s="198"/>
    </row>
    <row r="5030" spans="1:8" ht="15.75" hidden="1" customHeight="1" x14ac:dyDescent="0.25">
      <c r="A5030" s="205" t="s">
        <v>5475</v>
      </c>
      <c r="B5030" s="206">
        <v>92377</v>
      </c>
      <c r="C5030" s="207" t="s">
        <v>5692</v>
      </c>
      <c r="D5030" s="208" t="s">
        <v>580</v>
      </c>
      <c r="E5030" s="209">
        <v>73.64</v>
      </c>
      <c r="F5030" s="209">
        <v>35.770000000000003</v>
      </c>
      <c r="G5030" s="209">
        <v>109.41</v>
      </c>
      <c r="H5030" s="198"/>
    </row>
    <row r="5031" spans="1:8" ht="15.75" hidden="1" customHeight="1" x14ac:dyDescent="0.25">
      <c r="A5031" s="205" t="s">
        <v>5475</v>
      </c>
      <c r="B5031" s="206">
        <v>92348</v>
      </c>
      <c r="C5031" s="207" t="s">
        <v>5693</v>
      </c>
      <c r="D5031" s="208" t="s">
        <v>580</v>
      </c>
      <c r="E5031" s="209">
        <v>111.78</v>
      </c>
      <c r="F5031" s="209">
        <v>36.840000000000003</v>
      </c>
      <c r="G5031" s="209">
        <v>148.62</v>
      </c>
      <c r="H5031" s="198"/>
    </row>
    <row r="5032" spans="1:8" ht="15.75" hidden="1" customHeight="1" x14ac:dyDescent="0.25">
      <c r="A5032" s="205" t="s">
        <v>5475</v>
      </c>
      <c r="B5032" s="206">
        <v>92379</v>
      </c>
      <c r="C5032" s="207" t="s">
        <v>5694</v>
      </c>
      <c r="D5032" s="208" t="s">
        <v>580</v>
      </c>
      <c r="E5032" s="209">
        <v>112.98</v>
      </c>
      <c r="F5032" s="209">
        <v>40.25</v>
      </c>
      <c r="G5032" s="209">
        <v>153.22999999999999</v>
      </c>
      <c r="H5032" s="198"/>
    </row>
    <row r="5033" spans="1:8" ht="15.75" hidden="1" customHeight="1" x14ac:dyDescent="0.25">
      <c r="A5033" s="205" t="s">
        <v>5475</v>
      </c>
      <c r="B5033" s="206">
        <v>95696</v>
      </c>
      <c r="C5033" s="207" t="s">
        <v>5695</v>
      </c>
      <c r="D5033" s="208" t="s">
        <v>580</v>
      </c>
      <c r="E5033" s="209">
        <v>75.17</v>
      </c>
      <c r="F5033" s="209">
        <v>3.39</v>
      </c>
      <c r="G5033" s="209">
        <v>78.56</v>
      </c>
      <c r="H5033" s="198"/>
    </row>
    <row r="5034" spans="1:8" ht="15.75" hidden="1" customHeight="1" x14ac:dyDescent="0.25">
      <c r="A5034" s="205" t="s">
        <v>5475</v>
      </c>
      <c r="B5034" s="206">
        <v>92335</v>
      </c>
      <c r="C5034" s="207" t="s">
        <v>5696</v>
      </c>
      <c r="D5034" s="208" t="s">
        <v>585</v>
      </c>
      <c r="E5034" s="209">
        <v>84.06</v>
      </c>
      <c r="F5034" s="209">
        <v>12.89</v>
      </c>
      <c r="G5034" s="209">
        <v>96.95</v>
      </c>
      <c r="H5034" s="198"/>
    </row>
    <row r="5035" spans="1:8" ht="15.75" hidden="1" customHeight="1" x14ac:dyDescent="0.25">
      <c r="A5035" s="205" t="s">
        <v>5475</v>
      </c>
      <c r="B5035" s="206">
        <v>92336</v>
      </c>
      <c r="C5035" s="207" t="s">
        <v>5697</v>
      </c>
      <c r="D5035" s="208" t="s">
        <v>585</v>
      </c>
      <c r="E5035" s="209">
        <v>103.9</v>
      </c>
      <c r="F5035" s="209">
        <v>14.87</v>
      </c>
      <c r="G5035" s="209">
        <v>118.77</v>
      </c>
      <c r="H5035" s="198"/>
    </row>
    <row r="5036" spans="1:8" ht="15.75" hidden="1" customHeight="1" x14ac:dyDescent="0.25">
      <c r="A5036" s="205" t="s">
        <v>5475</v>
      </c>
      <c r="B5036" s="206">
        <v>92337</v>
      </c>
      <c r="C5036" s="207" t="s">
        <v>5698</v>
      </c>
      <c r="D5036" s="208" t="s">
        <v>585</v>
      </c>
      <c r="E5036" s="209">
        <v>138.69999999999999</v>
      </c>
      <c r="F5036" s="209">
        <v>16.8</v>
      </c>
      <c r="G5036" s="209">
        <v>155.5</v>
      </c>
      <c r="H5036" s="198"/>
    </row>
    <row r="5037" spans="1:8" ht="15.75" hidden="1" customHeight="1" x14ac:dyDescent="0.25">
      <c r="A5037" s="205" t="s">
        <v>5475</v>
      </c>
      <c r="B5037" s="206">
        <v>92687</v>
      </c>
      <c r="C5037" s="207" t="s">
        <v>5699</v>
      </c>
      <c r="D5037" s="208" t="s">
        <v>585</v>
      </c>
      <c r="E5037" s="209">
        <v>23.03</v>
      </c>
      <c r="F5037" s="209">
        <v>8.4</v>
      </c>
      <c r="G5037" s="209">
        <v>31.43</v>
      </c>
      <c r="H5037" s="198"/>
    </row>
    <row r="5038" spans="1:8" ht="15.75" hidden="1" customHeight="1" x14ac:dyDescent="0.25">
      <c r="A5038" s="205" t="s">
        <v>5475</v>
      </c>
      <c r="B5038" s="206">
        <v>92688</v>
      </c>
      <c r="C5038" s="207" t="s">
        <v>5700</v>
      </c>
      <c r="D5038" s="208" t="s">
        <v>585</v>
      </c>
      <c r="E5038" s="209">
        <v>30.49</v>
      </c>
      <c r="F5038" s="209">
        <v>14.42</v>
      </c>
      <c r="G5038" s="209">
        <v>44.91</v>
      </c>
      <c r="H5038" s="198"/>
    </row>
    <row r="5039" spans="1:8" ht="15.75" hidden="1" customHeight="1" x14ac:dyDescent="0.25">
      <c r="A5039" s="205" t="s">
        <v>5475</v>
      </c>
      <c r="B5039" s="206">
        <v>97536</v>
      </c>
      <c r="C5039" s="207" t="s">
        <v>5701</v>
      </c>
      <c r="D5039" s="208" t="s">
        <v>585</v>
      </c>
      <c r="E5039" s="209">
        <v>45.97</v>
      </c>
      <c r="F5039" s="209">
        <v>23.47</v>
      </c>
      <c r="G5039" s="209">
        <v>69.44</v>
      </c>
      <c r="H5039" s="198"/>
    </row>
    <row r="5040" spans="1:8" ht="15.75" hidden="1" customHeight="1" x14ac:dyDescent="0.25">
      <c r="A5040" s="205" t="s">
        <v>5475</v>
      </c>
      <c r="B5040" s="206">
        <v>97535</v>
      </c>
      <c r="C5040" s="207" t="s">
        <v>5702</v>
      </c>
      <c r="D5040" s="208" t="s">
        <v>585</v>
      </c>
      <c r="E5040" s="209">
        <v>42.11</v>
      </c>
      <c r="F5040" s="209">
        <v>12.63</v>
      </c>
      <c r="G5040" s="209">
        <v>54.74</v>
      </c>
      <c r="H5040" s="198"/>
    </row>
    <row r="5041" spans="1:8" ht="15.75" hidden="1" customHeight="1" x14ac:dyDescent="0.25">
      <c r="A5041" s="205" t="s">
        <v>5475</v>
      </c>
      <c r="B5041" s="206">
        <v>92652</v>
      </c>
      <c r="C5041" s="207" t="s">
        <v>5703</v>
      </c>
      <c r="D5041" s="208" t="s">
        <v>585</v>
      </c>
      <c r="E5041" s="209">
        <v>52.2</v>
      </c>
      <c r="F5041" s="209">
        <v>13.35</v>
      </c>
      <c r="G5041" s="209">
        <v>65.55</v>
      </c>
      <c r="H5041" s="198"/>
    </row>
    <row r="5042" spans="1:8" ht="15.75" hidden="1" customHeight="1" x14ac:dyDescent="0.25">
      <c r="A5042" s="205" t="s">
        <v>5475</v>
      </c>
      <c r="B5042" s="206">
        <v>92653</v>
      </c>
      <c r="C5042" s="207" t="s">
        <v>5704</v>
      </c>
      <c r="D5042" s="208" t="s">
        <v>585</v>
      </c>
      <c r="E5042" s="209">
        <v>60.15</v>
      </c>
      <c r="F5042" s="209">
        <v>14.18</v>
      </c>
      <c r="G5042" s="209">
        <v>74.33</v>
      </c>
      <c r="H5042" s="198"/>
    </row>
    <row r="5043" spans="1:8" ht="15.75" hidden="1" customHeight="1" x14ac:dyDescent="0.25">
      <c r="A5043" s="205" t="s">
        <v>5475</v>
      </c>
      <c r="B5043" s="206">
        <v>92654</v>
      </c>
      <c r="C5043" s="207" t="s">
        <v>5705</v>
      </c>
      <c r="D5043" s="208" t="s">
        <v>585</v>
      </c>
      <c r="E5043" s="209">
        <v>84.87</v>
      </c>
      <c r="F5043" s="209">
        <v>15.22</v>
      </c>
      <c r="G5043" s="209">
        <v>100.09</v>
      </c>
      <c r="H5043" s="198"/>
    </row>
    <row r="5044" spans="1:8" ht="15.75" hidden="1" customHeight="1" x14ac:dyDescent="0.25">
      <c r="A5044" s="205" t="s">
        <v>5475</v>
      </c>
      <c r="B5044" s="206">
        <v>92655</v>
      </c>
      <c r="C5044" s="207" t="s">
        <v>5706</v>
      </c>
      <c r="D5044" s="208" t="s">
        <v>585</v>
      </c>
      <c r="E5044" s="209">
        <v>104.58</v>
      </c>
      <c r="F5044" s="209">
        <v>16.760000000000002</v>
      </c>
      <c r="G5044" s="209">
        <v>121.34</v>
      </c>
      <c r="H5044" s="198"/>
    </row>
    <row r="5045" spans="1:8" ht="15.75" hidden="1" customHeight="1" x14ac:dyDescent="0.25">
      <c r="A5045" s="205" t="s">
        <v>5475</v>
      </c>
      <c r="B5045" s="206">
        <v>92656</v>
      </c>
      <c r="C5045" s="207" t="s">
        <v>5707</v>
      </c>
      <c r="D5045" s="208" t="s">
        <v>585</v>
      </c>
      <c r="E5045" s="209">
        <v>139.21</v>
      </c>
      <c r="F5045" s="209">
        <v>18.260000000000002</v>
      </c>
      <c r="G5045" s="209">
        <v>157.47</v>
      </c>
      <c r="H5045" s="198"/>
    </row>
    <row r="5046" spans="1:8" ht="15.75" hidden="1" customHeight="1" x14ac:dyDescent="0.25">
      <c r="A5046" s="205" t="s">
        <v>5475</v>
      </c>
      <c r="B5046" s="206">
        <v>101918</v>
      </c>
      <c r="C5046" s="207" t="s">
        <v>5708</v>
      </c>
      <c r="D5046" s="208" t="s">
        <v>585</v>
      </c>
      <c r="E5046" s="209">
        <v>193.52</v>
      </c>
      <c r="F5046" s="209">
        <v>30.2</v>
      </c>
      <c r="G5046" s="209">
        <v>223.72</v>
      </c>
      <c r="H5046" s="198"/>
    </row>
    <row r="5047" spans="1:8" ht="15.75" hidden="1" customHeight="1" x14ac:dyDescent="0.25">
      <c r="A5047" s="205" t="s">
        <v>5475</v>
      </c>
      <c r="B5047" s="206">
        <v>101927</v>
      </c>
      <c r="C5047" s="207" t="s">
        <v>5709</v>
      </c>
      <c r="D5047" s="208" t="s">
        <v>585</v>
      </c>
      <c r="E5047" s="209">
        <v>188.31</v>
      </c>
      <c r="F5047" s="209">
        <v>15.48</v>
      </c>
      <c r="G5047" s="209">
        <v>203.79</v>
      </c>
      <c r="H5047" s="198"/>
    </row>
    <row r="5048" spans="1:8" ht="15.75" hidden="1" customHeight="1" x14ac:dyDescent="0.25">
      <c r="A5048" s="205" t="s">
        <v>5475</v>
      </c>
      <c r="B5048" s="206">
        <v>97498</v>
      </c>
      <c r="C5048" s="207" t="s">
        <v>5710</v>
      </c>
      <c r="D5048" s="208" t="s">
        <v>585</v>
      </c>
      <c r="E5048" s="209">
        <v>40.44</v>
      </c>
      <c r="F5048" s="209">
        <v>7.91</v>
      </c>
      <c r="G5048" s="209">
        <v>48.35</v>
      </c>
      <c r="H5048" s="198"/>
    </row>
    <row r="5049" spans="1:8" ht="15.75" hidden="1" customHeight="1" x14ac:dyDescent="0.25">
      <c r="A5049" s="205" t="s">
        <v>5475</v>
      </c>
      <c r="B5049" s="206">
        <v>92364</v>
      </c>
      <c r="C5049" s="207" t="s">
        <v>5711</v>
      </c>
      <c r="D5049" s="208" t="s">
        <v>585</v>
      </c>
      <c r="E5049" s="209">
        <v>50.52</v>
      </c>
      <c r="F5049" s="209">
        <v>8.64</v>
      </c>
      <c r="G5049" s="209">
        <v>59.16</v>
      </c>
      <c r="H5049" s="198"/>
    </row>
    <row r="5050" spans="1:8" ht="15.75" hidden="1" customHeight="1" x14ac:dyDescent="0.25">
      <c r="A5050" s="205" t="s">
        <v>5475</v>
      </c>
      <c r="B5050" s="206">
        <v>92365</v>
      </c>
      <c r="C5050" s="207" t="s">
        <v>5712</v>
      </c>
      <c r="D5050" s="208" t="s">
        <v>585</v>
      </c>
      <c r="E5050" s="209">
        <v>58.45</v>
      </c>
      <c r="F5050" s="209">
        <v>9.42</v>
      </c>
      <c r="G5050" s="209">
        <v>67.87</v>
      </c>
      <c r="H5050" s="198"/>
    </row>
    <row r="5051" spans="1:8" ht="15.75" hidden="1" customHeight="1" x14ac:dyDescent="0.25">
      <c r="A5051" s="205" t="s">
        <v>5475</v>
      </c>
      <c r="B5051" s="206">
        <v>92341</v>
      </c>
      <c r="C5051" s="207" t="s">
        <v>5713</v>
      </c>
      <c r="D5051" s="208" t="s">
        <v>585</v>
      </c>
      <c r="E5051" s="209">
        <v>87.71</v>
      </c>
      <c r="F5051" s="209">
        <v>23.24</v>
      </c>
      <c r="G5051" s="209">
        <v>110.95</v>
      </c>
      <c r="H5051" s="198"/>
    </row>
    <row r="5052" spans="1:8" ht="15.75" hidden="1" customHeight="1" x14ac:dyDescent="0.25">
      <c r="A5052" s="205" t="s">
        <v>5475</v>
      </c>
      <c r="B5052" s="206">
        <v>92366</v>
      </c>
      <c r="C5052" s="207" t="s">
        <v>5714</v>
      </c>
      <c r="D5052" s="208" t="s">
        <v>585</v>
      </c>
      <c r="E5052" s="209">
        <v>83.18</v>
      </c>
      <c r="F5052" s="209">
        <v>10.44</v>
      </c>
      <c r="G5052" s="209">
        <v>93.62</v>
      </c>
      <c r="H5052" s="198"/>
    </row>
    <row r="5053" spans="1:8" ht="15.75" hidden="1" customHeight="1" x14ac:dyDescent="0.25">
      <c r="A5053" s="205" t="s">
        <v>5475</v>
      </c>
      <c r="B5053" s="206">
        <v>92342</v>
      </c>
      <c r="C5053" s="207" t="s">
        <v>5715</v>
      </c>
      <c r="D5053" s="208" t="s">
        <v>585</v>
      </c>
      <c r="E5053" s="209">
        <v>107.59</v>
      </c>
      <c r="F5053" s="209">
        <v>25.28</v>
      </c>
      <c r="G5053" s="209">
        <v>132.87</v>
      </c>
      <c r="H5053" s="198"/>
    </row>
    <row r="5054" spans="1:8" ht="15.75" hidden="1" customHeight="1" x14ac:dyDescent="0.25">
      <c r="A5054" s="205" t="s">
        <v>5475</v>
      </c>
      <c r="B5054" s="206">
        <v>92367</v>
      </c>
      <c r="C5054" s="207" t="s">
        <v>5716</v>
      </c>
      <c r="D5054" s="208" t="s">
        <v>585</v>
      </c>
      <c r="E5054" s="209">
        <v>102.86</v>
      </c>
      <c r="F5054" s="209">
        <v>11.9</v>
      </c>
      <c r="G5054" s="209">
        <v>114.76</v>
      </c>
      <c r="H5054" s="198"/>
    </row>
    <row r="5055" spans="1:8" ht="15.75" hidden="1" customHeight="1" x14ac:dyDescent="0.25">
      <c r="A5055" s="205" t="s">
        <v>5475</v>
      </c>
      <c r="B5055" s="206">
        <v>92343</v>
      </c>
      <c r="C5055" s="207" t="s">
        <v>5717</v>
      </c>
      <c r="D5055" s="208" t="s">
        <v>585</v>
      </c>
      <c r="E5055" s="209">
        <v>142.41</v>
      </c>
      <c r="F5055" s="209">
        <v>27.32</v>
      </c>
      <c r="G5055" s="209">
        <v>169.73</v>
      </c>
      <c r="H5055" s="198"/>
    </row>
    <row r="5056" spans="1:8" ht="15.75" hidden="1" customHeight="1" x14ac:dyDescent="0.25">
      <c r="A5056" s="205" t="s">
        <v>5475</v>
      </c>
      <c r="B5056" s="206">
        <v>92368</v>
      </c>
      <c r="C5056" s="207" t="s">
        <v>5718</v>
      </c>
      <c r="D5056" s="208" t="s">
        <v>585</v>
      </c>
      <c r="E5056" s="209">
        <v>137.47999999999999</v>
      </c>
      <c r="F5056" s="209">
        <v>13.41</v>
      </c>
      <c r="G5056" s="209">
        <v>150.88999999999999</v>
      </c>
      <c r="H5056" s="198"/>
    </row>
    <row r="5057" spans="1:8" ht="15.75" hidden="1" customHeight="1" x14ac:dyDescent="0.25">
      <c r="A5057" s="205" t="s">
        <v>5475</v>
      </c>
      <c r="B5057" s="206">
        <v>92689</v>
      </c>
      <c r="C5057" s="207" t="s">
        <v>5719</v>
      </c>
      <c r="D5057" s="208" t="s">
        <v>585</v>
      </c>
      <c r="E5057" s="209">
        <v>40.86</v>
      </c>
      <c r="F5057" s="209">
        <v>8.68</v>
      </c>
      <c r="G5057" s="209">
        <v>49.54</v>
      </c>
      <c r="H5057" s="198"/>
    </row>
    <row r="5058" spans="1:8" ht="15.75" hidden="1" customHeight="1" x14ac:dyDescent="0.25">
      <c r="A5058" s="205" t="s">
        <v>5475</v>
      </c>
      <c r="B5058" s="206">
        <v>92690</v>
      </c>
      <c r="C5058" s="207" t="s">
        <v>5720</v>
      </c>
      <c r="D5058" s="208" t="s">
        <v>585</v>
      </c>
      <c r="E5058" s="209">
        <v>56.86</v>
      </c>
      <c r="F5058" s="209">
        <v>14.95</v>
      </c>
      <c r="G5058" s="209">
        <v>71.81</v>
      </c>
      <c r="H5058" s="198"/>
    </row>
    <row r="5059" spans="1:8" ht="15.75" hidden="1" customHeight="1" x14ac:dyDescent="0.25">
      <c r="A5059" s="205" t="s">
        <v>5475</v>
      </c>
      <c r="B5059" s="206">
        <v>92691</v>
      </c>
      <c r="C5059" s="207" t="s">
        <v>5721</v>
      </c>
      <c r="D5059" s="208" t="s">
        <v>585</v>
      </c>
      <c r="E5059" s="209">
        <v>68.42</v>
      </c>
      <c r="F5059" s="209">
        <v>29.16</v>
      </c>
      <c r="G5059" s="209">
        <v>97.58</v>
      </c>
      <c r="H5059" s="198"/>
    </row>
    <row r="5060" spans="1:8" ht="15.75" hidden="1" customHeight="1" x14ac:dyDescent="0.25">
      <c r="A5060" s="205" t="s">
        <v>5475</v>
      </c>
      <c r="B5060" s="206">
        <v>92359</v>
      </c>
      <c r="C5060" s="207" t="s">
        <v>5722</v>
      </c>
      <c r="D5060" s="208" t="s">
        <v>585</v>
      </c>
      <c r="E5060" s="209">
        <v>59.3</v>
      </c>
      <c r="F5060" s="209">
        <v>3.79</v>
      </c>
      <c r="G5060" s="209">
        <v>63.09</v>
      </c>
      <c r="H5060" s="198"/>
    </row>
    <row r="5061" spans="1:8" ht="15.75" hidden="1" customHeight="1" x14ac:dyDescent="0.25">
      <c r="A5061" s="205" t="s">
        <v>5475</v>
      </c>
      <c r="B5061" s="206">
        <v>92645</v>
      </c>
      <c r="C5061" s="207" t="s">
        <v>5723</v>
      </c>
      <c r="D5061" s="208" t="s">
        <v>585</v>
      </c>
      <c r="E5061" s="209">
        <v>60.67</v>
      </c>
      <c r="F5061" s="209">
        <v>7.62</v>
      </c>
      <c r="G5061" s="209">
        <v>68.290000000000006</v>
      </c>
      <c r="H5061" s="198"/>
    </row>
    <row r="5062" spans="1:8" ht="15.75" hidden="1" customHeight="1" x14ac:dyDescent="0.25">
      <c r="A5062" s="205" t="s">
        <v>5475</v>
      </c>
      <c r="B5062" s="206">
        <v>92360</v>
      </c>
      <c r="C5062" s="207" t="s">
        <v>5724</v>
      </c>
      <c r="D5062" s="208" t="s">
        <v>585</v>
      </c>
      <c r="E5062" s="209">
        <v>79.39</v>
      </c>
      <c r="F5062" s="209">
        <v>4.87</v>
      </c>
      <c r="G5062" s="209">
        <v>84.26</v>
      </c>
      <c r="H5062" s="198"/>
    </row>
    <row r="5063" spans="1:8" ht="15.75" hidden="1" customHeight="1" x14ac:dyDescent="0.25">
      <c r="A5063" s="205" t="s">
        <v>5475</v>
      </c>
      <c r="B5063" s="206">
        <v>92646</v>
      </c>
      <c r="C5063" s="207" t="s">
        <v>5725</v>
      </c>
      <c r="D5063" s="208" t="s">
        <v>585</v>
      </c>
      <c r="E5063" s="209">
        <v>80.75</v>
      </c>
      <c r="F5063" s="209">
        <v>8.69</v>
      </c>
      <c r="G5063" s="209">
        <v>89.44</v>
      </c>
      <c r="H5063" s="198"/>
    </row>
    <row r="5064" spans="1:8" ht="15.75" hidden="1" customHeight="1" x14ac:dyDescent="0.25">
      <c r="A5064" s="205" t="s">
        <v>5475</v>
      </c>
      <c r="B5064" s="206">
        <v>95697</v>
      </c>
      <c r="C5064" s="207" t="s">
        <v>5726</v>
      </c>
      <c r="D5064" s="208" t="s">
        <v>585</v>
      </c>
      <c r="E5064" s="209">
        <v>86.78</v>
      </c>
      <c r="F5064" s="209">
        <v>6.1</v>
      </c>
      <c r="G5064" s="209">
        <v>92.88</v>
      </c>
      <c r="H5064" s="198"/>
    </row>
    <row r="5065" spans="1:8" ht="15.75" hidden="1" customHeight="1" x14ac:dyDescent="0.25">
      <c r="A5065" s="205" t="s">
        <v>5475</v>
      </c>
      <c r="B5065" s="206">
        <v>92648</v>
      </c>
      <c r="C5065" s="207" t="s">
        <v>5727</v>
      </c>
      <c r="D5065" s="208" t="s">
        <v>585</v>
      </c>
      <c r="E5065" s="209">
        <v>88.17</v>
      </c>
      <c r="F5065" s="209">
        <v>9.91</v>
      </c>
      <c r="G5065" s="209">
        <v>98.08</v>
      </c>
      <c r="H5065" s="198"/>
    </row>
    <row r="5066" spans="1:8" ht="15.75" hidden="1" customHeight="1" x14ac:dyDescent="0.25">
      <c r="A5066" s="205" t="s">
        <v>5475</v>
      </c>
      <c r="B5066" s="206">
        <v>92338</v>
      </c>
      <c r="C5066" s="207" t="s">
        <v>5728</v>
      </c>
      <c r="D5066" s="208" t="s">
        <v>585</v>
      </c>
      <c r="E5066" s="209">
        <v>114.19</v>
      </c>
      <c r="F5066" s="209">
        <v>28.86</v>
      </c>
      <c r="G5066" s="209">
        <v>143.05000000000001</v>
      </c>
      <c r="H5066" s="198"/>
    </row>
    <row r="5067" spans="1:8" ht="15.75" hidden="1" customHeight="1" x14ac:dyDescent="0.25">
      <c r="A5067" s="205" t="s">
        <v>5475</v>
      </c>
      <c r="B5067" s="206">
        <v>92361</v>
      </c>
      <c r="C5067" s="207" t="s">
        <v>5729</v>
      </c>
      <c r="D5067" s="208" t="s">
        <v>585</v>
      </c>
      <c r="E5067" s="209">
        <v>106.56</v>
      </c>
      <c r="F5067" s="209">
        <v>7.61</v>
      </c>
      <c r="G5067" s="209">
        <v>114.17</v>
      </c>
      <c r="H5067" s="198"/>
    </row>
    <row r="5068" spans="1:8" ht="15.75" hidden="1" customHeight="1" x14ac:dyDescent="0.25">
      <c r="A5068" s="205" t="s">
        <v>5475</v>
      </c>
      <c r="B5068" s="206">
        <v>92649</v>
      </c>
      <c r="C5068" s="207" t="s">
        <v>5730</v>
      </c>
      <c r="D5068" s="208" t="s">
        <v>585</v>
      </c>
      <c r="E5068" s="209">
        <v>107.92</v>
      </c>
      <c r="F5068" s="209">
        <v>11.44</v>
      </c>
      <c r="G5068" s="209">
        <v>119.36</v>
      </c>
      <c r="H5068" s="198"/>
    </row>
    <row r="5069" spans="1:8" ht="15.75" hidden="1" customHeight="1" x14ac:dyDescent="0.25">
      <c r="A5069" s="205" t="s">
        <v>5475</v>
      </c>
      <c r="B5069" s="206">
        <v>92339</v>
      </c>
      <c r="C5069" s="207" t="s">
        <v>5731</v>
      </c>
      <c r="D5069" s="208" t="s">
        <v>585</v>
      </c>
      <c r="E5069" s="209">
        <v>179.71</v>
      </c>
      <c r="F5069" s="209">
        <v>31.98</v>
      </c>
      <c r="G5069" s="209">
        <v>211.69</v>
      </c>
      <c r="H5069" s="198"/>
    </row>
    <row r="5070" spans="1:8" ht="15.75" hidden="1" customHeight="1" x14ac:dyDescent="0.25">
      <c r="A5070" s="205" t="s">
        <v>5475</v>
      </c>
      <c r="B5070" s="206">
        <v>92362</v>
      </c>
      <c r="C5070" s="207" t="s">
        <v>5732</v>
      </c>
      <c r="D5070" s="208" t="s">
        <v>585</v>
      </c>
      <c r="E5070" s="209">
        <v>171.76</v>
      </c>
      <c r="F5070" s="209">
        <v>9.91</v>
      </c>
      <c r="G5070" s="209">
        <v>181.67</v>
      </c>
      <c r="H5070" s="198"/>
    </row>
    <row r="5071" spans="1:8" ht="15.75" hidden="1" customHeight="1" x14ac:dyDescent="0.25">
      <c r="A5071" s="205" t="s">
        <v>5475</v>
      </c>
      <c r="B5071" s="206">
        <v>92650</v>
      </c>
      <c r="C5071" s="207" t="s">
        <v>5733</v>
      </c>
      <c r="D5071" s="208" t="s">
        <v>585</v>
      </c>
      <c r="E5071" s="209">
        <v>173.13</v>
      </c>
      <c r="F5071" s="209">
        <v>13.73</v>
      </c>
      <c r="G5071" s="209">
        <v>186.86</v>
      </c>
      <c r="H5071" s="198"/>
    </row>
    <row r="5072" spans="1:8" ht="15.75" hidden="1" customHeight="1" x14ac:dyDescent="0.25">
      <c r="A5072" s="205" t="s">
        <v>5475</v>
      </c>
      <c r="B5072" s="206">
        <v>97439</v>
      </c>
      <c r="C5072" s="207" t="s">
        <v>5734</v>
      </c>
      <c r="D5072" s="208" t="s">
        <v>580</v>
      </c>
      <c r="E5072" s="209">
        <v>106.29</v>
      </c>
      <c r="F5072" s="209">
        <v>34.799999999999997</v>
      </c>
      <c r="G5072" s="209">
        <v>141.09</v>
      </c>
      <c r="H5072" s="198"/>
    </row>
    <row r="5073" spans="1:8" ht="15.75" hidden="1" customHeight="1" x14ac:dyDescent="0.25">
      <c r="A5073" s="205" t="s">
        <v>5475</v>
      </c>
      <c r="B5073" s="206">
        <v>97440</v>
      </c>
      <c r="C5073" s="207" t="s">
        <v>5735</v>
      </c>
      <c r="D5073" s="208" t="s">
        <v>580</v>
      </c>
      <c r="E5073" s="209">
        <v>128.31</v>
      </c>
      <c r="F5073" s="209">
        <v>40.11</v>
      </c>
      <c r="G5073" s="209">
        <v>168.42</v>
      </c>
      <c r="H5073" s="198"/>
    </row>
    <row r="5074" spans="1:8" ht="15.75" hidden="1" customHeight="1" x14ac:dyDescent="0.25">
      <c r="A5074" s="205" t="s">
        <v>5475</v>
      </c>
      <c r="B5074" s="206">
        <v>97442</v>
      </c>
      <c r="C5074" s="207" t="s">
        <v>5736</v>
      </c>
      <c r="D5074" s="208" t="s">
        <v>580</v>
      </c>
      <c r="E5074" s="209">
        <v>141.06</v>
      </c>
      <c r="F5074" s="209">
        <v>45.4</v>
      </c>
      <c r="G5074" s="209">
        <v>186.46</v>
      </c>
      <c r="H5074" s="198"/>
    </row>
    <row r="5075" spans="1:8" ht="15.75" hidden="1" customHeight="1" x14ac:dyDescent="0.25">
      <c r="A5075" s="205" t="s">
        <v>5475</v>
      </c>
      <c r="B5075" s="206">
        <v>97552</v>
      </c>
      <c r="C5075" s="207" t="s">
        <v>5737</v>
      </c>
      <c r="D5075" s="208" t="s">
        <v>580</v>
      </c>
      <c r="E5075" s="209">
        <v>37.58</v>
      </c>
      <c r="F5075" s="209">
        <v>17.46</v>
      </c>
      <c r="G5075" s="209">
        <v>55.04</v>
      </c>
      <c r="H5075" s="198"/>
    </row>
    <row r="5076" spans="1:8" ht="15.75" hidden="1" customHeight="1" x14ac:dyDescent="0.25">
      <c r="A5076" s="205" t="s">
        <v>5475</v>
      </c>
      <c r="B5076" s="206">
        <v>97553</v>
      </c>
      <c r="C5076" s="207" t="s">
        <v>5738</v>
      </c>
      <c r="D5076" s="208" t="s">
        <v>580</v>
      </c>
      <c r="E5076" s="209">
        <v>51.05</v>
      </c>
      <c r="F5076" s="209">
        <v>29.93</v>
      </c>
      <c r="G5076" s="209">
        <v>80.98</v>
      </c>
      <c r="H5076" s="198"/>
    </row>
    <row r="5077" spans="1:8" ht="15.75" hidden="1" customHeight="1" x14ac:dyDescent="0.25">
      <c r="A5077" s="205" t="s">
        <v>5475</v>
      </c>
      <c r="B5077" s="206">
        <v>97554</v>
      </c>
      <c r="C5077" s="207" t="s">
        <v>5739</v>
      </c>
      <c r="D5077" s="208" t="s">
        <v>580</v>
      </c>
      <c r="E5077" s="209">
        <v>84.18</v>
      </c>
      <c r="F5077" s="209">
        <v>58.28</v>
      </c>
      <c r="G5077" s="209">
        <v>142.46</v>
      </c>
      <c r="H5077" s="198"/>
    </row>
    <row r="5078" spans="1:8" ht="15.75" hidden="1" customHeight="1" x14ac:dyDescent="0.25">
      <c r="A5078" s="205" t="s">
        <v>5475</v>
      </c>
      <c r="B5078" s="206">
        <v>97491</v>
      </c>
      <c r="C5078" s="207" t="s">
        <v>5740</v>
      </c>
      <c r="D5078" s="208" t="s">
        <v>580</v>
      </c>
      <c r="E5078" s="209">
        <v>71.44</v>
      </c>
      <c r="F5078" s="209">
        <v>22.83</v>
      </c>
      <c r="G5078" s="209">
        <v>94.27</v>
      </c>
      <c r="H5078" s="198"/>
    </row>
    <row r="5079" spans="1:8" ht="15.75" hidden="1" customHeight="1" x14ac:dyDescent="0.25">
      <c r="A5079" s="205" t="s">
        <v>5475</v>
      </c>
      <c r="B5079" s="206">
        <v>97529</v>
      </c>
      <c r="C5079" s="207" t="s">
        <v>5741</v>
      </c>
      <c r="D5079" s="208" t="s">
        <v>580</v>
      </c>
      <c r="E5079" s="209">
        <v>69.62</v>
      </c>
      <c r="F5079" s="209">
        <v>17.7</v>
      </c>
      <c r="G5079" s="209">
        <v>87.32</v>
      </c>
      <c r="H5079" s="198"/>
    </row>
    <row r="5080" spans="1:8" ht="15.75" hidden="1" customHeight="1" x14ac:dyDescent="0.25">
      <c r="A5080" s="205" t="s">
        <v>5475</v>
      </c>
      <c r="B5080" s="206">
        <v>97492</v>
      </c>
      <c r="C5080" s="207" t="s">
        <v>5742</v>
      </c>
      <c r="D5080" s="208" t="s">
        <v>580</v>
      </c>
      <c r="E5080" s="209">
        <v>107.52</v>
      </c>
      <c r="F5080" s="209">
        <v>29.3</v>
      </c>
      <c r="G5080" s="209">
        <v>136.82</v>
      </c>
      <c r="H5080" s="198"/>
    </row>
    <row r="5081" spans="1:8" ht="15.75" hidden="1" customHeight="1" x14ac:dyDescent="0.25">
      <c r="A5081" s="205" t="s">
        <v>5475</v>
      </c>
      <c r="B5081" s="206">
        <v>97530</v>
      </c>
      <c r="C5081" s="207" t="s">
        <v>5743</v>
      </c>
      <c r="D5081" s="208" t="s">
        <v>580</v>
      </c>
      <c r="E5081" s="209">
        <v>104.21</v>
      </c>
      <c r="F5081" s="209">
        <v>20.14</v>
      </c>
      <c r="G5081" s="209">
        <v>124.35</v>
      </c>
      <c r="H5081" s="198"/>
    </row>
    <row r="5082" spans="1:8" ht="15.75" hidden="1" customHeight="1" x14ac:dyDescent="0.25">
      <c r="A5082" s="205" t="s">
        <v>5475</v>
      </c>
      <c r="B5082" s="206">
        <v>97493</v>
      </c>
      <c r="C5082" s="207" t="s">
        <v>5744</v>
      </c>
      <c r="D5082" s="208" t="s">
        <v>580</v>
      </c>
      <c r="E5082" s="209">
        <v>139.38999999999999</v>
      </c>
      <c r="F5082" s="209">
        <v>36.64</v>
      </c>
      <c r="G5082" s="209">
        <v>176.03</v>
      </c>
      <c r="H5082" s="198"/>
    </row>
    <row r="5083" spans="1:8" ht="15.75" hidden="1" customHeight="1" x14ac:dyDescent="0.25">
      <c r="A5083" s="205" t="s">
        <v>5475</v>
      </c>
      <c r="B5083" s="206">
        <v>97531</v>
      </c>
      <c r="C5083" s="207" t="s">
        <v>5745</v>
      </c>
      <c r="D5083" s="208" t="s">
        <v>580</v>
      </c>
      <c r="E5083" s="209">
        <v>134.47</v>
      </c>
      <c r="F5083" s="209">
        <v>22.96</v>
      </c>
      <c r="G5083" s="209">
        <v>157.43</v>
      </c>
      <c r="H5083" s="198"/>
    </row>
    <row r="5084" spans="1:8" ht="15.75" hidden="1" customHeight="1" x14ac:dyDescent="0.25">
      <c r="A5084" s="205" t="s">
        <v>5475</v>
      </c>
      <c r="B5084" s="206">
        <v>97458</v>
      </c>
      <c r="C5084" s="207" t="s">
        <v>5746</v>
      </c>
      <c r="D5084" s="208" t="s">
        <v>580</v>
      </c>
      <c r="E5084" s="209">
        <v>234.91</v>
      </c>
      <c r="F5084" s="209">
        <v>78.040000000000006</v>
      </c>
      <c r="G5084" s="209">
        <v>312.95</v>
      </c>
      <c r="H5084" s="198"/>
    </row>
    <row r="5085" spans="1:8" ht="15.75" hidden="1" customHeight="1" x14ac:dyDescent="0.25">
      <c r="A5085" s="205" t="s">
        <v>5475</v>
      </c>
      <c r="B5085" s="206">
        <v>97494</v>
      </c>
      <c r="C5085" s="207" t="s">
        <v>5747</v>
      </c>
      <c r="D5085" s="208" t="s">
        <v>580</v>
      </c>
      <c r="E5085" s="209">
        <v>223.29</v>
      </c>
      <c r="F5085" s="209">
        <v>45.83</v>
      </c>
      <c r="G5085" s="209">
        <v>269.12</v>
      </c>
      <c r="H5085" s="198"/>
    </row>
    <row r="5086" spans="1:8" ht="15.75" hidden="1" customHeight="1" x14ac:dyDescent="0.25">
      <c r="A5086" s="205" t="s">
        <v>5475</v>
      </c>
      <c r="B5086" s="206">
        <v>97532</v>
      </c>
      <c r="C5086" s="207" t="s">
        <v>5748</v>
      </c>
      <c r="D5086" s="208" t="s">
        <v>580</v>
      </c>
      <c r="E5086" s="209">
        <v>216.37</v>
      </c>
      <c r="F5086" s="209">
        <v>26.57</v>
      </c>
      <c r="G5086" s="209">
        <v>242.94</v>
      </c>
      <c r="H5086" s="198"/>
    </row>
    <row r="5087" spans="1:8" ht="15.75" hidden="1" customHeight="1" x14ac:dyDescent="0.25">
      <c r="A5087" s="205" t="s">
        <v>5475</v>
      </c>
      <c r="B5087" s="206">
        <v>97459</v>
      </c>
      <c r="C5087" s="207" t="s">
        <v>5749</v>
      </c>
      <c r="D5087" s="208" t="s">
        <v>580</v>
      </c>
      <c r="E5087" s="209">
        <v>434.37</v>
      </c>
      <c r="F5087" s="209">
        <v>86.39</v>
      </c>
      <c r="G5087" s="209">
        <v>520.76</v>
      </c>
      <c r="H5087" s="198"/>
    </row>
    <row r="5088" spans="1:8" ht="15.75" hidden="1" customHeight="1" x14ac:dyDescent="0.25">
      <c r="A5088" s="205" t="s">
        <v>5475</v>
      </c>
      <c r="B5088" s="206">
        <v>97495</v>
      </c>
      <c r="C5088" s="207" t="s">
        <v>5750</v>
      </c>
      <c r="D5088" s="208" t="s">
        <v>580</v>
      </c>
      <c r="E5088" s="209">
        <v>424.78</v>
      </c>
      <c r="F5088" s="209">
        <v>59.63</v>
      </c>
      <c r="G5088" s="209">
        <v>484.41</v>
      </c>
      <c r="H5088" s="198"/>
    </row>
    <row r="5089" spans="1:8" ht="15.75" hidden="1" customHeight="1" x14ac:dyDescent="0.25">
      <c r="A5089" s="205" t="s">
        <v>5475</v>
      </c>
      <c r="B5089" s="206">
        <v>97533</v>
      </c>
      <c r="C5089" s="207" t="s">
        <v>5751</v>
      </c>
      <c r="D5089" s="208" t="s">
        <v>580</v>
      </c>
      <c r="E5089" s="209">
        <v>416.26</v>
      </c>
      <c r="F5089" s="209">
        <v>35.94</v>
      </c>
      <c r="G5089" s="209">
        <v>452.2</v>
      </c>
      <c r="H5089" s="198"/>
    </row>
    <row r="5090" spans="1:8" ht="15.75" hidden="1" customHeight="1" x14ac:dyDescent="0.25">
      <c r="A5090" s="205" t="s">
        <v>5475</v>
      </c>
      <c r="B5090" s="206">
        <v>97460</v>
      </c>
      <c r="C5090" s="207" t="s">
        <v>5752</v>
      </c>
      <c r="D5090" s="208" t="s">
        <v>580</v>
      </c>
      <c r="E5090" s="209">
        <v>692.65</v>
      </c>
      <c r="F5090" s="209">
        <v>94.71</v>
      </c>
      <c r="G5090" s="209">
        <v>787.36</v>
      </c>
      <c r="H5090" s="198"/>
    </row>
    <row r="5091" spans="1:8" ht="15.75" hidden="1" customHeight="1" x14ac:dyDescent="0.25">
      <c r="A5091" s="205" t="s">
        <v>5475</v>
      </c>
      <c r="B5091" s="206">
        <v>97496</v>
      </c>
      <c r="C5091" s="207" t="s">
        <v>5753</v>
      </c>
      <c r="D5091" s="208" t="s">
        <v>580</v>
      </c>
      <c r="E5091" s="209">
        <v>684.99</v>
      </c>
      <c r="F5091" s="209">
        <v>73.489999999999995</v>
      </c>
      <c r="G5091" s="209">
        <v>758.48</v>
      </c>
      <c r="H5091" s="198"/>
    </row>
    <row r="5092" spans="1:8" ht="15.75" hidden="1" customHeight="1" x14ac:dyDescent="0.25">
      <c r="A5092" s="205" t="s">
        <v>5475</v>
      </c>
      <c r="B5092" s="206">
        <v>97534</v>
      </c>
      <c r="C5092" s="207" t="s">
        <v>5754</v>
      </c>
      <c r="D5092" s="208" t="s">
        <v>580</v>
      </c>
      <c r="E5092" s="209">
        <v>671.99</v>
      </c>
      <c r="F5092" s="209">
        <v>37.15</v>
      </c>
      <c r="G5092" s="209">
        <v>709.14</v>
      </c>
      <c r="H5092" s="198"/>
    </row>
    <row r="5093" spans="1:8" ht="15.75" hidden="1" customHeight="1" x14ac:dyDescent="0.25">
      <c r="A5093" s="205" t="s">
        <v>5475</v>
      </c>
      <c r="B5093" s="206">
        <v>101926</v>
      </c>
      <c r="C5093" s="207" t="s">
        <v>5755</v>
      </c>
      <c r="D5093" s="208" t="s">
        <v>580</v>
      </c>
      <c r="E5093" s="209">
        <v>378.13</v>
      </c>
      <c r="F5093" s="209">
        <v>81.540000000000006</v>
      </c>
      <c r="G5093" s="209">
        <v>459.67</v>
      </c>
      <c r="H5093" s="198"/>
    </row>
    <row r="5094" spans="1:8" ht="15.75" hidden="1" customHeight="1" x14ac:dyDescent="0.25">
      <c r="A5094" s="205" t="s">
        <v>5475</v>
      </c>
      <c r="B5094" s="206">
        <v>101935</v>
      </c>
      <c r="C5094" s="207" t="s">
        <v>5756</v>
      </c>
      <c r="D5094" s="208" t="s">
        <v>580</v>
      </c>
      <c r="E5094" s="209">
        <v>382.09</v>
      </c>
      <c r="F5094" s="209">
        <v>92.85</v>
      </c>
      <c r="G5094" s="209">
        <v>474.94</v>
      </c>
      <c r="H5094" s="198"/>
    </row>
    <row r="5095" spans="1:8" ht="15.75" hidden="1" customHeight="1" x14ac:dyDescent="0.25">
      <c r="A5095" s="205" t="s">
        <v>5475</v>
      </c>
      <c r="B5095" s="206">
        <v>92704</v>
      </c>
      <c r="C5095" s="207" t="s">
        <v>5757</v>
      </c>
      <c r="D5095" s="208" t="s">
        <v>580</v>
      </c>
      <c r="E5095" s="209">
        <v>16.88</v>
      </c>
      <c r="F5095" s="209">
        <v>16.8</v>
      </c>
      <c r="G5095" s="209">
        <v>33.68</v>
      </c>
      <c r="H5095" s="198"/>
    </row>
    <row r="5096" spans="1:8" ht="15.75" hidden="1" customHeight="1" x14ac:dyDescent="0.25">
      <c r="A5096" s="205" t="s">
        <v>5475</v>
      </c>
      <c r="B5096" s="206">
        <v>92705</v>
      </c>
      <c r="C5096" s="207" t="s">
        <v>5758</v>
      </c>
      <c r="D5096" s="208" t="s">
        <v>580</v>
      </c>
      <c r="E5096" s="209">
        <v>25.67</v>
      </c>
      <c r="F5096" s="209">
        <v>28.83</v>
      </c>
      <c r="G5096" s="209">
        <v>54.5</v>
      </c>
      <c r="H5096" s="198"/>
    </row>
    <row r="5097" spans="1:8" ht="15.75" hidden="1" customHeight="1" x14ac:dyDescent="0.25">
      <c r="A5097" s="205" t="s">
        <v>5475</v>
      </c>
      <c r="B5097" s="206">
        <v>92706</v>
      </c>
      <c r="C5097" s="207" t="s">
        <v>5759</v>
      </c>
      <c r="D5097" s="208" t="s">
        <v>580</v>
      </c>
      <c r="E5097" s="209">
        <v>41.35</v>
      </c>
      <c r="F5097" s="209">
        <v>46.91</v>
      </c>
      <c r="G5097" s="209">
        <v>88.26</v>
      </c>
      <c r="H5097" s="198"/>
    </row>
    <row r="5098" spans="1:8" ht="15.75" hidden="1" customHeight="1" x14ac:dyDescent="0.25">
      <c r="A5098" s="205" t="s">
        <v>5475</v>
      </c>
      <c r="B5098" s="206">
        <v>92637</v>
      </c>
      <c r="C5098" s="207" t="s">
        <v>5760</v>
      </c>
      <c r="D5098" s="208" t="s">
        <v>580</v>
      </c>
      <c r="E5098" s="209">
        <v>41.61</v>
      </c>
      <c r="F5098" s="209">
        <v>47.64</v>
      </c>
      <c r="G5098" s="209">
        <v>89.25</v>
      </c>
      <c r="H5098" s="198"/>
    </row>
    <row r="5099" spans="1:8" ht="15.75" hidden="1" customHeight="1" x14ac:dyDescent="0.25">
      <c r="A5099" s="205" t="s">
        <v>5475</v>
      </c>
      <c r="B5099" s="206">
        <v>92681</v>
      </c>
      <c r="C5099" s="207" t="s">
        <v>5761</v>
      </c>
      <c r="D5099" s="208" t="s">
        <v>580</v>
      </c>
      <c r="E5099" s="209">
        <v>35.06</v>
      </c>
      <c r="F5099" s="209">
        <v>29.22</v>
      </c>
      <c r="G5099" s="209">
        <v>64.28</v>
      </c>
      <c r="H5099" s="198"/>
    </row>
    <row r="5100" spans="1:8" ht="15.75" hidden="1" customHeight="1" x14ac:dyDescent="0.25">
      <c r="A5100" s="205" t="s">
        <v>5475</v>
      </c>
      <c r="B5100" s="206">
        <v>92638</v>
      </c>
      <c r="C5100" s="207" t="s">
        <v>5762</v>
      </c>
      <c r="D5100" s="208" t="s">
        <v>580</v>
      </c>
      <c r="E5100" s="209">
        <v>56.02</v>
      </c>
      <c r="F5100" s="209">
        <v>51.83</v>
      </c>
      <c r="G5100" s="209">
        <v>107.85</v>
      </c>
      <c r="H5100" s="198"/>
    </row>
    <row r="5101" spans="1:8" ht="15.75" hidden="1" customHeight="1" x14ac:dyDescent="0.25">
      <c r="A5101" s="205" t="s">
        <v>5475</v>
      </c>
      <c r="B5101" s="206">
        <v>92682</v>
      </c>
      <c r="C5101" s="207" t="s">
        <v>5763</v>
      </c>
      <c r="D5101" s="208" t="s">
        <v>580</v>
      </c>
      <c r="E5101" s="209">
        <v>48.59</v>
      </c>
      <c r="F5101" s="209">
        <v>30.86</v>
      </c>
      <c r="G5101" s="209">
        <v>79.45</v>
      </c>
      <c r="H5101" s="198"/>
    </row>
    <row r="5102" spans="1:8" ht="15.75" hidden="1" customHeight="1" x14ac:dyDescent="0.25">
      <c r="A5102" s="205" t="s">
        <v>5475</v>
      </c>
      <c r="B5102" s="206">
        <v>92639</v>
      </c>
      <c r="C5102" s="207" t="s">
        <v>5764</v>
      </c>
      <c r="D5102" s="208" t="s">
        <v>580</v>
      </c>
      <c r="E5102" s="209">
        <v>67.7</v>
      </c>
      <c r="F5102" s="209">
        <v>56.58</v>
      </c>
      <c r="G5102" s="209">
        <v>124.28</v>
      </c>
      <c r="H5102" s="198"/>
    </row>
    <row r="5103" spans="1:8" ht="15.75" hidden="1" customHeight="1" x14ac:dyDescent="0.25">
      <c r="A5103" s="205" t="s">
        <v>5475</v>
      </c>
      <c r="B5103" s="206">
        <v>92683</v>
      </c>
      <c r="C5103" s="207" t="s">
        <v>5765</v>
      </c>
      <c r="D5103" s="208" t="s">
        <v>580</v>
      </c>
      <c r="E5103" s="209">
        <v>59.25</v>
      </c>
      <c r="F5103" s="209">
        <v>32.81</v>
      </c>
      <c r="G5103" s="209">
        <v>92.06</v>
      </c>
      <c r="H5103" s="198"/>
    </row>
    <row r="5104" spans="1:8" ht="15.75" hidden="1" customHeight="1" x14ac:dyDescent="0.25">
      <c r="A5104" s="205" t="s">
        <v>5475</v>
      </c>
      <c r="B5104" s="206">
        <v>92640</v>
      </c>
      <c r="C5104" s="207" t="s">
        <v>5766</v>
      </c>
      <c r="D5104" s="208" t="s">
        <v>580</v>
      </c>
      <c r="E5104" s="209">
        <v>97.32</v>
      </c>
      <c r="F5104" s="209">
        <v>62.58</v>
      </c>
      <c r="G5104" s="209">
        <v>159.9</v>
      </c>
      <c r="H5104" s="198"/>
    </row>
    <row r="5105" spans="1:8" ht="15.75" hidden="1" customHeight="1" x14ac:dyDescent="0.25">
      <c r="A5105" s="205" t="s">
        <v>5475</v>
      </c>
      <c r="B5105" s="206">
        <v>92684</v>
      </c>
      <c r="C5105" s="207" t="s">
        <v>5767</v>
      </c>
      <c r="D5105" s="208" t="s">
        <v>580</v>
      </c>
      <c r="E5105" s="209">
        <v>87.61</v>
      </c>
      <c r="F5105" s="209">
        <v>35.19</v>
      </c>
      <c r="G5105" s="209">
        <v>122.8</v>
      </c>
      <c r="H5105" s="198"/>
    </row>
    <row r="5106" spans="1:8" ht="15.75" hidden="1" customHeight="1" x14ac:dyDescent="0.25">
      <c r="A5106" s="205" t="s">
        <v>5475</v>
      </c>
      <c r="B5106" s="206">
        <v>92642</v>
      </c>
      <c r="C5106" s="207" t="s">
        <v>5768</v>
      </c>
      <c r="D5106" s="208" t="s">
        <v>580</v>
      </c>
      <c r="E5106" s="209">
        <v>167.31</v>
      </c>
      <c r="F5106" s="209">
        <v>71.53</v>
      </c>
      <c r="G5106" s="209">
        <v>238.84</v>
      </c>
      <c r="H5106" s="198"/>
    </row>
    <row r="5107" spans="1:8" ht="15.75" hidden="1" customHeight="1" x14ac:dyDescent="0.25">
      <c r="A5107" s="205" t="s">
        <v>5475</v>
      </c>
      <c r="B5107" s="206">
        <v>92685</v>
      </c>
      <c r="C5107" s="207" t="s">
        <v>5769</v>
      </c>
      <c r="D5107" s="208" t="s">
        <v>580</v>
      </c>
      <c r="E5107" s="209">
        <v>155.69999999999999</v>
      </c>
      <c r="F5107" s="209">
        <v>38.729999999999997</v>
      </c>
      <c r="G5107" s="209">
        <v>194.43</v>
      </c>
      <c r="H5107" s="198"/>
    </row>
    <row r="5108" spans="1:8" ht="15.75" hidden="1" customHeight="1" x14ac:dyDescent="0.25">
      <c r="A5108" s="205" t="s">
        <v>5475</v>
      </c>
      <c r="B5108" s="206">
        <v>92644</v>
      </c>
      <c r="C5108" s="207" t="s">
        <v>5770</v>
      </c>
      <c r="D5108" s="208" t="s">
        <v>580</v>
      </c>
      <c r="E5108" s="209">
        <v>218.47</v>
      </c>
      <c r="F5108" s="209">
        <v>80.510000000000005</v>
      </c>
      <c r="G5108" s="209">
        <v>298.98</v>
      </c>
      <c r="H5108" s="198"/>
    </row>
    <row r="5109" spans="1:8" ht="15.75" hidden="1" customHeight="1" x14ac:dyDescent="0.25">
      <c r="A5109" s="205" t="s">
        <v>5475</v>
      </c>
      <c r="B5109" s="206">
        <v>92686</v>
      </c>
      <c r="C5109" s="207" t="s">
        <v>5771</v>
      </c>
      <c r="D5109" s="208" t="s">
        <v>580</v>
      </c>
      <c r="E5109" s="209">
        <v>204.9</v>
      </c>
      <c r="F5109" s="209">
        <v>42.29</v>
      </c>
      <c r="G5109" s="209">
        <v>247.19</v>
      </c>
      <c r="H5109" s="198"/>
    </row>
    <row r="5110" spans="1:8" ht="15.75" hidden="1" customHeight="1" x14ac:dyDescent="0.25">
      <c r="A5110" s="205" t="s">
        <v>5475</v>
      </c>
      <c r="B5110" s="206">
        <v>92356</v>
      </c>
      <c r="C5110" s="207" t="s">
        <v>5772</v>
      </c>
      <c r="D5110" s="208" t="s">
        <v>580</v>
      </c>
      <c r="E5110" s="209">
        <v>97.37</v>
      </c>
      <c r="F5110" s="209">
        <v>62.72</v>
      </c>
      <c r="G5110" s="209">
        <v>160.09</v>
      </c>
      <c r="H5110" s="198"/>
    </row>
    <row r="5111" spans="1:8" ht="15.75" hidden="1" customHeight="1" x14ac:dyDescent="0.25">
      <c r="A5111" s="205" t="s">
        <v>5475</v>
      </c>
      <c r="B5111" s="206">
        <v>92357</v>
      </c>
      <c r="C5111" s="207" t="s">
        <v>5773</v>
      </c>
      <c r="D5111" s="208" t="s">
        <v>580</v>
      </c>
      <c r="E5111" s="209">
        <v>166.17</v>
      </c>
      <c r="F5111" s="209">
        <v>68.19</v>
      </c>
      <c r="G5111" s="209">
        <v>234.36</v>
      </c>
      <c r="H5111" s="198"/>
    </row>
    <row r="5112" spans="1:8" ht="15.75" hidden="1" customHeight="1" x14ac:dyDescent="0.25">
      <c r="A5112" s="205" t="s">
        <v>5475</v>
      </c>
      <c r="B5112" s="206">
        <v>92358</v>
      </c>
      <c r="C5112" s="207" t="s">
        <v>5774</v>
      </c>
      <c r="D5112" s="208" t="s">
        <v>580</v>
      </c>
      <c r="E5112" s="209">
        <v>216.05</v>
      </c>
      <c r="F5112" s="209">
        <v>73.709999999999994</v>
      </c>
      <c r="G5112" s="209">
        <v>289.76</v>
      </c>
      <c r="H5112" s="198"/>
    </row>
    <row r="5113" spans="1:8" ht="15.75" hidden="1" customHeight="1" x14ac:dyDescent="0.25">
      <c r="A5113" s="205" t="s">
        <v>5475</v>
      </c>
      <c r="B5113" s="206">
        <v>101919</v>
      </c>
      <c r="C5113" s="207" t="s">
        <v>5775</v>
      </c>
      <c r="D5113" s="208" t="s">
        <v>580</v>
      </c>
      <c r="E5113" s="209">
        <v>424.94</v>
      </c>
      <c r="F5113" s="209">
        <v>40.74</v>
      </c>
      <c r="G5113" s="209">
        <v>465.68</v>
      </c>
      <c r="H5113" s="198"/>
    </row>
    <row r="5114" spans="1:8" ht="15.75" hidden="1" customHeight="1" x14ac:dyDescent="0.25">
      <c r="A5114" s="205" t="s">
        <v>5475</v>
      </c>
      <c r="B5114" s="206">
        <v>101928</v>
      </c>
      <c r="C5114" s="207" t="s">
        <v>5776</v>
      </c>
      <c r="D5114" s="208" t="s">
        <v>580</v>
      </c>
      <c r="E5114" s="209">
        <v>426.88</v>
      </c>
      <c r="F5114" s="209">
        <v>46.43</v>
      </c>
      <c r="G5114" s="209">
        <v>473.31</v>
      </c>
      <c r="H5114" s="198"/>
    </row>
    <row r="5115" spans="1:8" ht="15.75" hidden="1" customHeight="1" x14ac:dyDescent="0.25">
      <c r="A5115" s="205" t="s">
        <v>5475</v>
      </c>
      <c r="B5115" s="206">
        <v>92904</v>
      </c>
      <c r="C5115" s="207" t="s">
        <v>5777</v>
      </c>
      <c r="D5115" s="208" t="s">
        <v>580</v>
      </c>
      <c r="E5115" s="209">
        <v>30.33</v>
      </c>
      <c r="F5115" s="209">
        <v>8.4</v>
      </c>
      <c r="G5115" s="209">
        <v>38.729999999999997</v>
      </c>
      <c r="H5115" s="198"/>
    </row>
    <row r="5116" spans="1:8" ht="15.75" hidden="1" customHeight="1" x14ac:dyDescent="0.25">
      <c r="A5116" s="205" t="s">
        <v>5475</v>
      </c>
      <c r="B5116" s="206">
        <v>92905</v>
      </c>
      <c r="C5116" s="207" t="s">
        <v>5778</v>
      </c>
      <c r="D5116" s="208" t="s">
        <v>580</v>
      </c>
      <c r="E5116" s="209">
        <v>41.37</v>
      </c>
      <c r="F5116" s="209">
        <v>14.42</v>
      </c>
      <c r="G5116" s="209">
        <v>55.79</v>
      </c>
      <c r="H5116" s="198"/>
    </row>
    <row r="5117" spans="1:8" ht="15.75" hidden="1" customHeight="1" x14ac:dyDescent="0.25">
      <c r="A5117" s="205" t="s">
        <v>5475</v>
      </c>
      <c r="B5117" s="206">
        <v>92906</v>
      </c>
      <c r="C5117" s="207" t="s">
        <v>5779</v>
      </c>
      <c r="D5117" s="208" t="s">
        <v>580</v>
      </c>
      <c r="E5117" s="209">
        <v>45.83</v>
      </c>
      <c r="F5117" s="209">
        <v>23.42</v>
      </c>
      <c r="G5117" s="209">
        <v>69.25</v>
      </c>
      <c r="H5117" s="198"/>
    </row>
    <row r="5118" spans="1:8" ht="15.75" hidden="1" customHeight="1" x14ac:dyDescent="0.25">
      <c r="A5118" s="205" t="s">
        <v>5475</v>
      </c>
      <c r="B5118" s="206">
        <v>92898</v>
      </c>
      <c r="C5118" s="207" t="s">
        <v>5780</v>
      </c>
      <c r="D5118" s="208" t="s">
        <v>580</v>
      </c>
      <c r="E5118" s="209">
        <v>42.7</v>
      </c>
      <c r="F5118" s="209">
        <v>14.62</v>
      </c>
      <c r="G5118" s="209">
        <v>57.32</v>
      </c>
      <c r="H5118" s="198"/>
    </row>
    <row r="5119" spans="1:8" ht="15.75" hidden="1" customHeight="1" x14ac:dyDescent="0.25">
      <c r="A5119" s="205" t="s">
        <v>5475</v>
      </c>
      <c r="B5119" s="206">
        <v>92899</v>
      </c>
      <c r="C5119" s="207" t="s">
        <v>5781</v>
      </c>
      <c r="D5119" s="208" t="s">
        <v>580</v>
      </c>
      <c r="E5119" s="209">
        <v>68.11</v>
      </c>
      <c r="F5119" s="209">
        <v>15.45</v>
      </c>
      <c r="G5119" s="209">
        <v>83.56</v>
      </c>
      <c r="H5119" s="198"/>
    </row>
    <row r="5120" spans="1:8" ht="15.75" hidden="1" customHeight="1" x14ac:dyDescent="0.25">
      <c r="A5120" s="205" t="s">
        <v>5475</v>
      </c>
      <c r="B5120" s="206">
        <v>92900</v>
      </c>
      <c r="C5120" s="207" t="s">
        <v>5782</v>
      </c>
      <c r="D5120" s="208" t="s">
        <v>580</v>
      </c>
      <c r="E5120" s="209">
        <v>83.69</v>
      </c>
      <c r="F5120" s="209">
        <v>16.38</v>
      </c>
      <c r="G5120" s="209">
        <v>100.07</v>
      </c>
      <c r="H5120" s="198"/>
    </row>
    <row r="5121" spans="1:8" ht="15.75" hidden="1" customHeight="1" x14ac:dyDescent="0.25">
      <c r="A5121" s="205" t="s">
        <v>5475</v>
      </c>
      <c r="B5121" s="206">
        <v>92901</v>
      </c>
      <c r="C5121" s="207" t="s">
        <v>5783</v>
      </c>
      <c r="D5121" s="208" t="s">
        <v>580</v>
      </c>
      <c r="E5121" s="209">
        <v>120.66</v>
      </c>
      <c r="F5121" s="209">
        <v>17.579999999999998</v>
      </c>
      <c r="G5121" s="209">
        <v>138.24</v>
      </c>
      <c r="H5121" s="198"/>
    </row>
    <row r="5122" spans="1:8" ht="15.75" hidden="1" customHeight="1" x14ac:dyDescent="0.25">
      <c r="A5122" s="205" t="s">
        <v>5475</v>
      </c>
      <c r="B5122" s="206">
        <v>92902</v>
      </c>
      <c r="C5122" s="207" t="s">
        <v>5784</v>
      </c>
      <c r="D5122" s="208" t="s">
        <v>580</v>
      </c>
      <c r="E5122" s="209">
        <v>195.85</v>
      </c>
      <c r="F5122" s="209">
        <v>19.34</v>
      </c>
      <c r="G5122" s="209">
        <v>215.19</v>
      </c>
      <c r="H5122" s="198"/>
    </row>
    <row r="5123" spans="1:8" ht="15.75" hidden="1" customHeight="1" x14ac:dyDescent="0.25">
      <c r="A5123" s="205" t="s">
        <v>5475</v>
      </c>
      <c r="B5123" s="206">
        <v>92903</v>
      </c>
      <c r="C5123" s="207" t="s">
        <v>5785</v>
      </c>
      <c r="D5123" s="208" t="s">
        <v>580</v>
      </c>
      <c r="E5123" s="209">
        <v>299.97000000000003</v>
      </c>
      <c r="F5123" s="209">
        <v>21.12</v>
      </c>
      <c r="G5123" s="209">
        <v>321.08999999999997</v>
      </c>
      <c r="H5123" s="198"/>
    </row>
    <row r="5124" spans="1:8" ht="15.75" hidden="1" customHeight="1" x14ac:dyDescent="0.25">
      <c r="A5124" s="205" t="s">
        <v>5475</v>
      </c>
      <c r="B5124" s="206">
        <v>92892</v>
      </c>
      <c r="C5124" s="207" t="s">
        <v>5786</v>
      </c>
      <c r="D5124" s="208" t="s">
        <v>580</v>
      </c>
      <c r="E5124" s="209">
        <v>45.96</v>
      </c>
      <c r="F5124" s="209">
        <v>23.82</v>
      </c>
      <c r="G5124" s="209">
        <v>69.78</v>
      </c>
      <c r="H5124" s="198"/>
    </row>
    <row r="5125" spans="1:8" ht="15.75" hidden="1" customHeight="1" x14ac:dyDescent="0.25">
      <c r="A5125" s="205" t="s">
        <v>5475</v>
      </c>
      <c r="B5125" s="206">
        <v>92893</v>
      </c>
      <c r="C5125" s="207" t="s">
        <v>5787</v>
      </c>
      <c r="D5125" s="208" t="s">
        <v>580</v>
      </c>
      <c r="E5125" s="209">
        <v>71.819999999999993</v>
      </c>
      <c r="F5125" s="209">
        <v>25.9</v>
      </c>
      <c r="G5125" s="209">
        <v>97.72</v>
      </c>
      <c r="H5125" s="198"/>
    </row>
    <row r="5126" spans="1:8" ht="15.75" hidden="1" customHeight="1" x14ac:dyDescent="0.25">
      <c r="A5126" s="205" t="s">
        <v>5475</v>
      </c>
      <c r="B5126" s="206">
        <v>92894</v>
      </c>
      <c r="C5126" s="207" t="s">
        <v>5788</v>
      </c>
      <c r="D5126" s="208" t="s">
        <v>580</v>
      </c>
      <c r="E5126" s="209">
        <v>87.94</v>
      </c>
      <c r="F5126" s="209">
        <v>28.28</v>
      </c>
      <c r="G5126" s="209">
        <v>116.22</v>
      </c>
      <c r="H5126" s="198"/>
    </row>
    <row r="5127" spans="1:8" ht="15.75" hidden="1" customHeight="1" x14ac:dyDescent="0.25">
      <c r="A5127" s="205" t="s">
        <v>5475</v>
      </c>
      <c r="B5127" s="206">
        <v>92889</v>
      </c>
      <c r="C5127" s="207" t="s">
        <v>5789</v>
      </c>
      <c r="D5127" s="208" t="s">
        <v>580</v>
      </c>
      <c r="E5127" s="209">
        <v>125.52</v>
      </c>
      <c r="F5127" s="209">
        <v>31.36</v>
      </c>
      <c r="G5127" s="209">
        <v>156.88</v>
      </c>
      <c r="H5127" s="198"/>
    </row>
    <row r="5128" spans="1:8" ht="15.75" hidden="1" customHeight="1" x14ac:dyDescent="0.25">
      <c r="A5128" s="205" t="s">
        <v>5475</v>
      </c>
      <c r="B5128" s="206">
        <v>92895</v>
      </c>
      <c r="C5128" s="207" t="s">
        <v>5790</v>
      </c>
      <c r="D5128" s="208" t="s">
        <v>580</v>
      </c>
      <c r="E5128" s="209">
        <v>125.51</v>
      </c>
      <c r="F5128" s="209">
        <v>31.31</v>
      </c>
      <c r="G5128" s="209">
        <v>156.82</v>
      </c>
      <c r="H5128" s="198"/>
    </row>
    <row r="5129" spans="1:8" ht="15.75" hidden="1" customHeight="1" x14ac:dyDescent="0.25">
      <c r="A5129" s="205" t="s">
        <v>5475</v>
      </c>
      <c r="B5129" s="206">
        <v>92890</v>
      </c>
      <c r="C5129" s="207" t="s">
        <v>5791</v>
      </c>
      <c r="D5129" s="208" t="s">
        <v>580</v>
      </c>
      <c r="E5129" s="209">
        <v>201.1</v>
      </c>
      <c r="F5129" s="209">
        <v>34.130000000000003</v>
      </c>
      <c r="G5129" s="209">
        <v>235.23</v>
      </c>
      <c r="H5129" s="198"/>
    </row>
    <row r="5130" spans="1:8" ht="15.75" hidden="1" customHeight="1" x14ac:dyDescent="0.25">
      <c r="A5130" s="205" t="s">
        <v>5475</v>
      </c>
      <c r="B5130" s="206">
        <v>92896</v>
      </c>
      <c r="C5130" s="207" t="s">
        <v>5792</v>
      </c>
      <c r="D5130" s="208" t="s">
        <v>580</v>
      </c>
      <c r="E5130" s="209">
        <v>201.69</v>
      </c>
      <c r="F5130" s="209">
        <v>35.78</v>
      </c>
      <c r="G5130" s="209">
        <v>237.47</v>
      </c>
      <c r="H5130" s="198"/>
    </row>
    <row r="5131" spans="1:8" ht="15.75" hidden="1" customHeight="1" x14ac:dyDescent="0.25">
      <c r="A5131" s="205" t="s">
        <v>5475</v>
      </c>
      <c r="B5131" s="206">
        <v>92891</v>
      </c>
      <c r="C5131" s="207" t="s">
        <v>5793</v>
      </c>
      <c r="D5131" s="208" t="s">
        <v>580</v>
      </c>
      <c r="E5131" s="209">
        <v>305.54000000000002</v>
      </c>
      <c r="F5131" s="209">
        <v>36.83</v>
      </c>
      <c r="G5131" s="209">
        <v>342.37</v>
      </c>
      <c r="H5131" s="198"/>
    </row>
    <row r="5132" spans="1:8" ht="15.75" hidden="1" customHeight="1" x14ac:dyDescent="0.25">
      <c r="A5132" s="205" t="s">
        <v>5475</v>
      </c>
      <c r="B5132" s="206">
        <v>92897</v>
      </c>
      <c r="C5132" s="207" t="s">
        <v>5794</v>
      </c>
      <c r="D5132" s="208" t="s">
        <v>580</v>
      </c>
      <c r="E5132" s="209">
        <v>306.74</v>
      </c>
      <c r="F5132" s="209">
        <v>40.24</v>
      </c>
      <c r="G5132" s="209">
        <v>346.98</v>
      </c>
      <c r="H5132" s="198"/>
    </row>
    <row r="5133" spans="1:8" ht="15.75" hidden="1" customHeight="1" x14ac:dyDescent="0.25">
      <c r="A5133" s="205" t="s">
        <v>5795</v>
      </c>
      <c r="B5133" s="206">
        <v>100788</v>
      </c>
      <c r="C5133" s="207" t="s">
        <v>5796</v>
      </c>
      <c r="D5133" s="208" t="s">
        <v>580</v>
      </c>
      <c r="E5133" s="209">
        <v>595.65</v>
      </c>
      <c r="F5133" s="209">
        <v>184.29</v>
      </c>
      <c r="G5133" s="209">
        <v>779.94</v>
      </c>
      <c r="H5133" s="198"/>
    </row>
    <row r="5134" spans="1:8" ht="15.75" hidden="1" customHeight="1" x14ac:dyDescent="0.25">
      <c r="A5134" s="205" t="s">
        <v>5795</v>
      </c>
      <c r="B5134" s="206">
        <v>100799</v>
      </c>
      <c r="C5134" s="207" t="s">
        <v>5797</v>
      </c>
      <c r="D5134" s="208" t="s">
        <v>585</v>
      </c>
      <c r="E5134" s="209">
        <v>11.75</v>
      </c>
      <c r="F5134" s="209">
        <v>8.19</v>
      </c>
      <c r="G5134" s="209">
        <v>19.940000000000001</v>
      </c>
      <c r="H5134" s="198"/>
    </row>
    <row r="5135" spans="1:8" ht="15.75" hidden="1" customHeight="1" x14ac:dyDescent="0.25">
      <c r="A5135" s="205" t="s">
        <v>5795</v>
      </c>
      <c r="B5135" s="206">
        <v>100807</v>
      </c>
      <c r="C5135" s="207" t="s">
        <v>5798</v>
      </c>
      <c r="D5135" s="208" t="s">
        <v>585</v>
      </c>
      <c r="E5135" s="209">
        <v>13.63</v>
      </c>
      <c r="F5135" s="209">
        <v>13.91</v>
      </c>
      <c r="G5135" s="209">
        <v>27.54</v>
      </c>
      <c r="H5135" s="198"/>
    </row>
    <row r="5136" spans="1:8" ht="15.75" hidden="1" customHeight="1" x14ac:dyDescent="0.25">
      <c r="A5136" s="205" t="s">
        <v>5795</v>
      </c>
      <c r="B5136" s="206">
        <v>100800</v>
      </c>
      <c r="C5136" s="207" t="s">
        <v>5799</v>
      </c>
      <c r="D5136" s="208" t="s">
        <v>585</v>
      </c>
      <c r="E5136" s="209">
        <v>17.96</v>
      </c>
      <c r="F5136" s="209">
        <v>9.64</v>
      </c>
      <c r="G5136" s="209">
        <v>27.6</v>
      </c>
      <c r="H5136" s="198"/>
    </row>
    <row r="5137" spans="1:8" ht="15.75" hidden="1" customHeight="1" x14ac:dyDescent="0.25">
      <c r="A5137" s="205" t="s">
        <v>5795</v>
      </c>
      <c r="B5137" s="206">
        <v>100808</v>
      </c>
      <c r="C5137" s="207" t="s">
        <v>5800</v>
      </c>
      <c r="D5137" s="208" t="s">
        <v>585</v>
      </c>
      <c r="E5137" s="209">
        <v>20.21</v>
      </c>
      <c r="F5137" s="209">
        <v>16.420000000000002</v>
      </c>
      <c r="G5137" s="209">
        <v>36.630000000000003</v>
      </c>
      <c r="H5137" s="198"/>
    </row>
    <row r="5138" spans="1:8" ht="15.75" hidden="1" customHeight="1" x14ac:dyDescent="0.25">
      <c r="A5138" s="205" t="s">
        <v>5795</v>
      </c>
      <c r="B5138" s="206">
        <v>100801</v>
      </c>
      <c r="C5138" s="207" t="s">
        <v>5801</v>
      </c>
      <c r="D5138" s="208" t="s">
        <v>585</v>
      </c>
      <c r="E5138" s="209">
        <v>24.24</v>
      </c>
      <c r="F5138" s="209">
        <v>11.43</v>
      </c>
      <c r="G5138" s="209">
        <v>35.67</v>
      </c>
      <c r="H5138" s="198"/>
    </row>
    <row r="5139" spans="1:8" ht="15.75" hidden="1" customHeight="1" x14ac:dyDescent="0.25">
      <c r="A5139" s="205" t="s">
        <v>5795</v>
      </c>
      <c r="B5139" s="206">
        <v>100809</v>
      </c>
      <c r="C5139" s="207" t="s">
        <v>5802</v>
      </c>
      <c r="D5139" s="208" t="s">
        <v>585</v>
      </c>
      <c r="E5139" s="209">
        <v>26.91</v>
      </c>
      <c r="F5139" s="209">
        <v>19.55</v>
      </c>
      <c r="G5139" s="209">
        <v>46.46</v>
      </c>
      <c r="H5139" s="198"/>
    </row>
    <row r="5140" spans="1:8" ht="15.75" hidden="1" customHeight="1" x14ac:dyDescent="0.25">
      <c r="A5140" s="205" t="s">
        <v>5795</v>
      </c>
      <c r="B5140" s="206">
        <v>100802</v>
      </c>
      <c r="C5140" s="207" t="s">
        <v>5803</v>
      </c>
      <c r="D5140" s="208" t="s">
        <v>585</v>
      </c>
      <c r="E5140" s="209">
        <v>33.14</v>
      </c>
      <c r="F5140" s="209">
        <v>13.94</v>
      </c>
      <c r="G5140" s="209">
        <v>47.08</v>
      </c>
      <c r="H5140" s="198"/>
    </row>
    <row r="5141" spans="1:8" ht="15.75" hidden="1" customHeight="1" x14ac:dyDescent="0.25">
      <c r="A5141" s="205" t="s">
        <v>5795</v>
      </c>
      <c r="B5141" s="206">
        <v>100810</v>
      </c>
      <c r="C5141" s="207" t="s">
        <v>5804</v>
      </c>
      <c r="D5141" s="208" t="s">
        <v>585</v>
      </c>
      <c r="E5141" s="209">
        <v>36.44</v>
      </c>
      <c r="F5141" s="209">
        <v>23.92</v>
      </c>
      <c r="G5141" s="209">
        <v>60.36</v>
      </c>
      <c r="H5141" s="198"/>
    </row>
    <row r="5142" spans="1:8" ht="15.75" hidden="1" customHeight="1" x14ac:dyDescent="0.25">
      <c r="A5142" s="205" t="s">
        <v>5795</v>
      </c>
      <c r="B5142" s="206">
        <v>100791</v>
      </c>
      <c r="C5142" s="207" t="s">
        <v>5805</v>
      </c>
      <c r="D5142" s="208" t="s">
        <v>585</v>
      </c>
      <c r="E5142" s="209">
        <v>11.58</v>
      </c>
      <c r="F5142" s="209">
        <v>7.71</v>
      </c>
      <c r="G5142" s="209">
        <v>19.29</v>
      </c>
      <c r="H5142" s="198"/>
    </row>
    <row r="5143" spans="1:8" ht="15.75" hidden="1" customHeight="1" x14ac:dyDescent="0.25">
      <c r="A5143" s="205" t="s">
        <v>5795</v>
      </c>
      <c r="B5143" s="206">
        <v>100803</v>
      </c>
      <c r="C5143" s="207" t="s">
        <v>5806</v>
      </c>
      <c r="D5143" s="208" t="s">
        <v>585</v>
      </c>
      <c r="E5143" s="209">
        <v>11.25</v>
      </c>
      <c r="F5143" s="209">
        <v>6.7</v>
      </c>
      <c r="G5143" s="209">
        <v>17.95</v>
      </c>
      <c r="H5143" s="198"/>
    </row>
    <row r="5144" spans="1:8" ht="15.75" hidden="1" customHeight="1" x14ac:dyDescent="0.25">
      <c r="A5144" s="205" t="s">
        <v>5795</v>
      </c>
      <c r="B5144" s="206">
        <v>100792</v>
      </c>
      <c r="C5144" s="207" t="s">
        <v>5807</v>
      </c>
      <c r="D5144" s="208" t="s">
        <v>585</v>
      </c>
      <c r="E5144" s="209">
        <v>17.809999999999999</v>
      </c>
      <c r="F5144" s="209">
        <v>9.14</v>
      </c>
      <c r="G5144" s="209">
        <v>26.95</v>
      </c>
      <c r="H5144" s="198"/>
    </row>
    <row r="5145" spans="1:8" ht="15.75" hidden="1" customHeight="1" x14ac:dyDescent="0.25">
      <c r="A5145" s="205" t="s">
        <v>5795</v>
      </c>
      <c r="B5145" s="206">
        <v>100804</v>
      </c>
      <c r="C5145" s="207" t="s">
        <v>5808</v>
      </c>
      <c r="D5145" s="208" t="s">
        <v>585</v>
      </c>
      <c r="E5145" s="209">
        <v>17.399999999999999</v>
      </c>
      <c r="F5145" s="209">
        <v>7.96</v>
      </c>
      <c r="G5145" s="209">
        <v>25.36</v>
      </c>
      <c r="H5145" s="198"/>
    </row>
    <row r="5146" spans="1:8" ht="15.75" hidden="1" customHeight="1" x14ac:dyDescent="0.25">
      <c r="A5146" s="205" t="s">
        <v>5795</v>
      </c>
      <c r="B5146" s="206">
        <v>100793</v>
      </c>
      <c r="C5146" s="207" t="s">
        <v>5809</v>
      </c>
      <c r="D5146" s="208" t="s">
        <v>585</v>
      </c>
      <c r="E5146" s="209">
        <v>24.06</v>
      </c>
      <c r="F5146" s="209">
        <v>10.95</v>
      </c>
      <c r="G5146" s="209">
        <v>35.01</v>
      </c>
      <c r="H5146" s="198"/>
    </row>
    <row r="5147" spans="1:8" ht="15.75" hidden="1" customHeight="1" x14ac:dyDescent="0.25">
      <c r="A5147" s="205" t="s">
        <v>5795</v>
      </c>
      <c r="B5147" s="206">
        <v>100805</v>
      </c>
      <c r="C5147" s="207" t="s">
        <v>5810</v>
      </c>
      <c r="D5147" s="208" t="s">
        <v>585</v>
      </c>
      <c r="E5147" s="209">
        <v>23.61</v>
      </c>
      <c r="F5147" s="209">
        <v>9.51</v>
      </c>
      <c r="G5147" s="209">
        <v>33.119999999999997</v>
      </c>
      <c r="H5147" s="198"/>
    </row>
    <row r="5148" spans="1:8" ht="15.75" hidden="1" customHeight="1" x14ac:dyDescent="0.25">
      <c r="A5148" s="205" t="s">
        <v>5795</v>
      </c>
      <c r="B5148" s="206">
        <v>100794</v>
      </c>
      <c r="C5148" s="207" t="s">
        <v>5811</v>
      </c>
      <c r="D5148" s="208" t="s">
        <v>585</v>
      </c>
      <c r="E5148" s="209">
        <v>32.97</v>
      </c>
      <c r="F5148" s="209">
        <v>13.46</v>
      </c>
      <c r="G5148" s="209">
        <v>46.43</v>
      </c>
      <c r="H5148" s="198"/>
    </row>
    <row r="5149" spans="1:8" ht="15.75" hidden="1" customHeight="1" x14ac:dyDescent="0.25">
      <c r="A5149" s="205" t="s">
        <v>5795</v>
      </c>
      <c r="B5149" s="206">
        <v>100806</v>
      </c>
      <c r="C5149" s="207" t="s">
        <v>5812</v>
      </c>
      <c r="D5149" s="208" t="s">
        <v>585</v>
      </c>
      <c r="E5149" s="209">
        <v>32.4</v>
      </c>
      <c r="F5149" s="209">
        <v>11.7</v>
      </c>
      <c r="G5149" s="209">
        <v>44.1</v>
      </c>
      <c r="H5149" s="198"/>
    </row>
    <row r="5150" spans="1:8" ht="15.75" hidden="1" customHeight="1" x14ac:dyDescent="0.25">
      <c r="A5150" s="205" t="s">
        <v>5813</v>
      </c>
      <c r="B5150" s="206">
        <v>103247</v>
      </c>
      <c r="C5150" s="207" t="s">
        <v>5814</v>
      </c>
      <c r="D5150" s="208" t="s">
        <v>580</v>
      </c>
      <c r="E5150" s="209">
        <v>2860.39</v>
      </c>
      <c r="F5150" s="209">
        <v>120.11</v>
      </c>
      <c r="G5150" s="209">
        <v>2980.5</v>
      </c>
      <c r="H5150" s="198"/>
    </row>
    <row r="5151" spans="1:8" ht="15.75" hidden="1" customHeight="1" x14ac:dyDescent="0.25">
      <c r="A5151" s="205" t="s">
        <v>5813</v>
      </c>
      <c r="B5151" s="206">
        <v>103250</v>
      </c>
      <c r="C5151" s="207" t="s">
        <v>5815</v>
      </c>
      <c r="D5151" s="208" t="s">
        <v>580</v>
      </c>
      <c r="E5151" s="209">
        <v>4197.87</v>
      </c>
      <c r="F5151" s="209">
        <v>129.83000000000001</v>
      </c>
      <c r="G5151" s="209">
        <v>4327.7</v>
      </c>
      <c r="H5151" s="198"/>
    </row>
    <row r="5152" spans="1:8" ht="15.75" hidden="1" customHeight="1" x14ac:dyDescent="0.25">
      <c r="A5152" s="205" t="s">
        <v>5813</v>
      </c>
      <c r="B5152" s="206">
        <v>103253</v>
      </c>
      <c r="C5152" s="207" t="s">
        <v>5816</v>
      </c>
      <c r="D5152" s="208" t="s">
        <v>580</v>
      </c>
      <c r="E5152" s="209">
        <v>5761.42</v>
      </c>
      <c r="F5152" s="209">
        <v>135.63</v>
      </c>
      <c r="G5152" s="209">
        <v>5897.05</v>
      </c>
      <c r="H5152" s="198"/>
    </row>
    <row r="5153" spans="1:8" ht="15.75" hidden="1" customHeight="1" x14ac:dyDescent="0.25">
      <c r="A5153" s="205" t="s">
        <v>5813</v>
      </c>
      <c r="B5153" s="206">
        <v>103244</v>
      </c>
      <c r="C5153" s="207" t="s">
        <v>5817</v>
      </c>
      <c r="D5153" s="208" t="s">
        <v>580</v>
      </c>
      <c r="E5153" s="209">
        <v>2566.1</v>
      </c>
      <c r="F5153" s="209">
        <v>120.07</v>
      </c>
      <c r="G5153" s="209">
        <v>2686.17</v>
      </c>
      <c r="H5153" s="198"/>
    </row>
    <row r="5154" spans="1:8" ht="15.75" hidden="1" customHeight="1" x14ac:dyDescent="0.25">
      <c r="A5154" s="205" t="s">
        <v>5813</v>
      </c>
      <c r="B5154" s="206">
        <v>103256</v>
      </c>
      <c r="C5154" s="207" t="s">
        <v>5818</v>
      </c>
      <c r="D5154" s="208" t="s">
        <v>580</v>
      </c>
      <c r="E5154" s="209">
        <v>10751.62</v>
      </c>
      <c r="F5154" s="209">
        <v>199.3</v>
      </c>
      <c r="G5154" s="209">
        <v>10950.92</v>
      </c>
      <c r="H5154" s="198"/>
    </row>
    <row r="5155" spans="1:8" ht="15.75" hidden="1" customHeight="1" x14ac:dyDescent="0.25">
      <c r="A5155" s="205" t="s">
        <v>5813</v>
      </c>
      <c r="B5155" s="206">
        <v>103258</v>
      </c>
      <c r="C5155" s="207" t="s">
        <v>5819</v>
      </c>
      <c r="D5155" s="208" t="s">
        <v>580</v>
      </c>
      <c r="E5155" s="209">
        <v>12037.04</v>
      </c>
      <c r="F5155" s="209">
        <v>204.43</v>
      </c>
      <c r="G5155" s="209">
        <v>12241.47</v>
      </c>
      <c r="H5155" s="198"/>
    </row>
    <row r="5156" spans="1:8" ht="15.75" hidden="1" customHeight="1" x14ac:dyDescent="0.25">
      <c r="A5156" s="205" t="s">
        <v>5813</v>
      </c>
      <c r="B5156" s="206">
        <v>103260</v>
      </c>
      <c r="C5156" s="207" t="s">
        <v>5820</v>
      </c>
      <c r="D5156" s="208" t="s">
        <v>580</v>
      </c>
      <c r="E5156" s="209">
        <v>6581.47</v>
      </c>
      <c r="F5156" s="209">
        <v>204.25</v>
      </c>
      <c r="G5156" s="209">
        <v>6785.72</v>
      </c>
      <c r="H5156" s="198"/>
    </row>
    <row r="5157" spans="1:8" ht="15.75" hidden="1" customHeight="1" x14ac:dyDescent="0.25">
      <c r="A5157" s="205" t="s">
        <v>5813</v>
      </c>
      <c r="B5157" s="206">
        <v>103261</v>
      </c>
      <c r="C5157" s="207" t="s">
        <v>5821</v>
      </c>
      <c r="D5157" s="208" t="s">
        <v>580</v>
      </c>
      <c r="E5157" s="209">
        <v>13585.79</v>
      </c>
      <c r="F5157" s="209">
        <v>225.11</v>
      </c>
      <c r="G5157" s="209">
        <v>13810.9</v>
      </c>
      <c r="H5157" s="198"/>
    </row>
    <row r="5158" spans="1:8" ht="15.75" hidden="1" customHeight="1" x14ac:dyDescent="0.25">
      <c r="A5158" s="205" t="s">
        <v>5813</v>
      </c>
      <c r="B5158" s="206">
        <v>103263</v>
      </c>
      <c r="C5158" s="207" t="s">
        <v>5822</v>
      </c>
      <c r="D5158" s="208" t="s">
        <v>580</v>
      </c>
      <c r="E5158" s="209">
        <v>18872.32</v>
      </c>
      <c r="F5158" s="209">
        <v>299.07</v>
      </c>
      <c r="G5158" s="209">
        <v>19171.39</v>
      </c>
      <c r="H5158" s="198"/>
    </row>
    <row r="5159" spans="1:8" ht="15.75" hidden="1" customHeight="1" x14ac:dyDescent="0.25">
      <c r="A5159" s="205" t="s">
        <v>5813</v>
      </c>
      <c r="B5159" s="206">
        <v>103265</v>
      </c>
      <c r="C5159" s="207" t="s">
        <v>5823</v>
      </c>
      <c r="D5159" s="208" t="s">
        <v>580</v>
      </c>
      <c r="E5159" s="209">
        <v>22808.17</v>
      </c>
      <c r="F5159" s="209">
        <v>298.07</v>
      </c>
      <c r="G5159" s="209">
        <v>23106.240000000002</v>
      </c>
      <c r="H5159" s="198"/>
    </row>
    <row r="5160" spans="1:8" ht="15.75" hidden="1" customHeight="1" x14ac:dyDescent="0.25">
      <c r="A5160" s="205" t="s">
        <v>5813</v>
      </c>
      <c r="B5160" s="206">
        <v>103268</v>
      </c>
      <c r="C5160" s="207" t="s">
        <v>5824</v>
      </c>
      <c r="D5160" s="208" t="s">
        <v>580</v>
      </c>
      <c r="E5160" s="209">
        <v>7925.07</v>
      </c>
      <c r="F5160" s="209">
        <v>204.04</v>
      </c>
      <c r="G5160" s="209">
        <v>8129.11</v>
      </c>
      <c r="H5160" s="198"/>
    </row>
    <row r="5161" spans="1:8" ht="15.75" hidden="1" customHeight="1" x14ac:dyDescent="0.25">
      <c r="A5161" s="205" t="s">
        <v>5813</v>
      </c>
      <c r="B5161" s="206">
        <v>103270</v>
      </c>
      <c r="C5161" s="207" t="s">
        <v>5825</v>
      </c>
      <c r="D5161" s="208" t="s">
        <v>580</v>
      </c>
      <c r="E5161" s="209">
        <v>8524.74</v>
      </c>
      <c r="F5161" s="209">
        <v>212.31</v>
      </c>
      <c r="G5161" s="209">
        <v>8737.0499999999993</v>
      </c>
      <c r="H5161" s="198"/>
    </row>
    <row r="5162" spans="1:8" ht="15.75" hidden="1" customHeight="1" x14ac:dyDescent="0.25">
      <c r="A5162" s="205" t="s">
        <v>5813</v>
      </c>
      <c r="B5162" s="206">
        <v>103272</v>
      </c>
      <c r="C5162" s="207" t="s">
        <v>5826</v>
      </c>
      <c r="D5162" s="208" t="s">
        <v>580</v>
      </c>
      <c r="E5162" s="209">
        <v>12536.4</v>
      </c>
      <c r="F5162" s="209">
        <v>244.1</v>
      </c>
      <c r="G5162" s="209">
        <v>12780.5</v>
      </c>
      <c r="H5162" s="198"/>
    </row>
    <row r="5163" spans="1:8" ht="15.75" hidden="1" customHeight="1" x14ac:dyDescent="0.25">
      <c r="A5163" s="205" t="s">
        <v>5813</v>
      </c>
      <c r="B5163" s="206">
        <v>103274</v>
      </c>
      <c r="C5163" s="207" t="s">
        <v>5827</v>
      </c>
      <c r="D5163" s="208" t="s">
        <v>580</v>
      </c>
      <c r="E5163" s="209">
        <v>14737.75</v>
      </c>
      <c r="F5163" s="209">
        <v>320.74</v>
      </c>
      <c r="G5163" s="209">
        <v>15058.49</v>
      </c>
      <c r="H5163" s="198"/>
    </row>
    <row r="5164" spans="1:8" ht="15.75" hidden="1" customHeight="1" x14ac:dyDescent="0.25">
      <c r="A5164" s="205" t="s">
        <v>5813</v>
      </c>
      <c r="B5164" s="206">
        <v>103276</v>
      </c>
      <c r="C5164" s="207" t="s">
        <v>5828</v>
      </c>
      <c r="D5164" s="208" t="s">
        <v>580</v>
      </c>
      <c r="E5164" s="209">
        <v>15398</v>
      </c>
      <c r="F5164" s="209">
        <v>320.66000000000003</v>
      </c>
      <c r="G5164" s="209">
        <v>15718.66</v>
      </c>
      <c r="H5164" s="198"/>
    </row>
    <row r="5165" spans="1:8" ht="15.75" hidden="1" customHeight="1" x14ac:dyDescent="0.25">
      <c r="A5165" s="205" t="s">
        <v>5813</v>
      </c>
      <c r="B5165" s="206">
        <v>103267</v>
      </c>
      <c r="C5165" s="207" t="s">
        <v>5829</v>
      </c>
      <c r="D5165" s="208" t="s">
        <v>580</v>
      </c>
      <c r="E5165" s="209">
        <v>6647.69</v>
      </c>
      <c r="F5165" s="209">
        <v>204.18</v>
      </c>
      <c r="G5165" s="209">
        <v>6851.87</v>
      </c>
      <c r="H5165" s="198"/>
    </row>
    <row r="5166" spans="1:8" ht="15.75" hidden="1" customHeight="1" x14ac:dyDescent="0.25">
      <c r="A5166" s="205" t="s">
        <v>5813</v>
      </c>
      <c r="B5166" s="206">
        <v>103269</v>
      </c>
      <c r="C5166" s="207" t="s">
        <v>5830</v>
      </c>
      <c r="D5166" s="208" t="s">
        <v>580</v>
      </c>
      <c r="E5166" s="209">
        <v>8205.84</v>
      </c>
      <c r="F5166" s="209">
        <v>212.13</v>
      </c>
      <c r="G5166" s="209">
        <v>8417.9699999999993</v>
      </c>
      <c r="H5166" s="198"/>
    </row>
    <row r="5167" spans="1:8" ht="15.75" hidden="1" customHeight="1" x14ac:dyDescent="0.25">
      <c r="A5167" s="205" t="s">
        <v>5813</v>
      </c>
      <c r="B5167" s="206">
        <v>103271</v>
      </c>
      <c r="C5167" s="207" t="s">
        <v>5831</v>
      </c>
      <c r="D5167" s="208" t="s">
        <v>580</v>
      </c>
      <c r="E5167" s="209">
        <v>12129.73</v>
      </c>
      <c r="F5167" s="209">
        <v>245.01</v>
      </c>
      <c r="G5167" s="209">
        <v>12374.74</v>
      </c>
      <c r="H5167" s="198"/>
    </row>
    <row r="5168" spans="1:8" ht="15.75" hidden="1" customHeight="1" x14ac:dyDescent="0.25">
      <c r="A5168" s="205" t="s">
        <v>5813</v>
      </c>
      <c r="B5168" s="206">
        <v>103273</v>
      </c>
      <c r="C5168" s="207" t="s">
        <v>5832</v>
      </c>
      <c r="D5168" s="208" t="s">
        <v>580</v>
      </c>
      <c r="E5168" s="209">
        <v>12829.29</v>
      </c>
      <c r="F5168" s="209">
        <v>320.86</v>
      </c>
      <c r="G5168" s="209">
        <v>13150.15</v>
      </c>
      <c r="H5168" s="198"/>
    </row>
    <row r="5169" spans="1:8" ht="15.75" hidden="1" customHeight="1" x14ac:dyDescent="0.25">
      <c r="A5169" s="205" t="s">
        <v>5813</v>
      </c>
      <c r="B5169" s="206">
        <v>103275</v>
      </c>
      <c r="C5169" s="207" t="s">
        <v>5833</v>
      </c>
      <c r="D5169" s="208" t="s">
        <v>580</v>
      </c>
      <c r="E5169" s="209">
        <v>14660</v>
      </c>
      <c r="F5169" s="209">
        <v>320.58</v>
      </c>
      <c r="G5169" s="209">
        <v>14980.58</v>
      </c>
      <c r="H5169" s="198"/>
    </row>
    <row r="5170" spans="1:8" ht="15.75" hidden="1" customHeight="1" x14ac:dyDescent="0.25">
      <c r="A5170" s="205" t="s">
        <v>5813</v>
      </c>
      <c r="B5170" s="206">
        <v>103248</v>
      </c>
      <c r="C5170" s="207" t="s">
        <v>5834</v>
      </c>
      <c r="D5170" s="208" t="s">
        <v>580</v>
      </c>
      <c r="E5170" s="209">
        <v>2316.8200000000002</v>
      </c>
      <c r="F5170" s="209">
        <v>120.14</v>
      </c>
      <c r="G5170" s="209">
        <v>2436.96</v>
      </c>
      <c r="H5170" s="198"/>
    </row>
    <row r="5171" spans="1:8" ht="15.75" hidden="1" customHeight="1" x14ac:dyDescent="0.25">
      <c r="A5171" s="205" t="s">
        <v>5813</v>
      </c>
      <c r="B5171" s="206">
        <v>103249</v>
      </c>
      <c r="C5171" s="207" t="s">
        <v>5835</v>
      </c>
      <c r="D5171" s="208" t="s">
        <v>580</v>
      </c>
      <c r="E5171" s="209">
        <v>2497.4299999999998</v>
      </c>
      <c r="F5171" s="209">
        <v>120.14</v>
      </c>
      <c r="G5171" s="209">
        <v>2617.5700000000002</v>
      </c>
      <c r="H5171" s="198"/>
    </row>
    <row r="5172" spans="1:8" ht="15.75" hidden="1" customHeight="1" x14ac:dyDescent="0.25">
      <c r="A5172" s="205" t="s">
        <v>5813</v>
      </c>
      <c r="B5172" s="206">
        <v>103251</v>
      </c>
      <c r="C5172" s="207" t="s">
        <v>5836</v>
      </c>
      <c r="D5172" s="208" t="s">
        <v>580</v>
      </c>
      <c r="E5172" s="209">
        <v>3289.94</v>
      </c>
      <c r="F5172" s="209">
        <v>129.94999999999999</v>
      </c>
      <c r="G5172" s="209">
        <v>3419.89</v>
      </c>
      <c r="H5172" s="198"/>
    </row>
    <row r="5173" spans="1:8" ht="15.75" hidden="1" customHeight="1" x14ac:dyDescent="0.25">
      <c r="A5173" s="205" t="s">
        <v>5813</v>
      </c>
      <c r="B5173" s="206">
        <v>103252</v>
      </c>
      <c r="C5173" s="207" t="s">
        <v>5837</v>
      </c>
      <c r="D5173" s="208" t="s">
        <v>580</v>
      </c>
      <c r="E5173" s="209">
        <v>3656.14</v>
      </c>
      <c r="F5173" s="209">
        <v>129.85</v>
      </c>
      <c r="G5173" s="209">
        <v>3785.99</v>
      </c>
      <c r="H5173" s="198"/>
    </row>
    <row r="5174" spans="1:8" ht="15.75" hidden="1" customHeight="1" x14ac:dyDescent="0.25">
      <c r="A5174" s="205" t="s">
        <v>5813</v>
      </c>
      <c r="B5174" s="206">
        <v>103254</v>
      </c>
      <c r="C5174" s="207" t="s">
        <v>5838</v>
      </c>
      <c r="D5174" s="208" t="s">
        <v>580</v>
      </c>
      <c r="E5174" s="209">
        <v>4277.42</v>
      </c>
      <c r="F5174" s="209">
        <v>135.47</v>
      </c>
      <c r="G5174" s="209">
        <v>4412.8900000000003</v>
      </c>
      <c r="H5174" s="198"/>
    </row>
    <row r="5175" spans="1:8" ht="15.75" hidden="1" customHeight="1" x14ac:dyDescent="0.25">
      <c r="A5175" s="205" t="s">
        <v>5813</v>
      </c>
      <c r="B5175" s="206">
        <v>103255</v>
      </c>
      <c r="C5175" s="207" t="s">
        <v>5839</v>
      </c>
      <c r="D5175" s="208" t="s">
        <v>580</v>
      </c>
      <c r="E5175" s="209">
        <v>4800.79</v>
      </c>
      <c r="F5175" s="209">
        <v>135.75</v>
      </c>
      <c r="G5175" s="209">
        <v>4936.54</v>
      </c>
      <c r="H5175" s="198"/>
    </row>
    <row r="5176" spans="1:8" ht="15.75" hidden="1" customHeight="1" x14ac:dyDescent="0.25">
      <c r="A5176" s="205" t="s">
        <v>5813</v>
      </c>
      <c r="B5176" s="206">
        <v>103245</v>
      </c>
      <c r="C5176" s="207" t="s">
        <v>5840</v>
      </c>
      <c r="D5176" s="208" t="s">
        <v>580</v>
      </c>
      <c r="E5176" s="209">
        <v>2000.27</v>
      </c>
      <c r="F5176" s="209">
        <v>120</v>
      </c>
      <c r="G5176" s="209">
        <v>2120.27</v>
      </c>
      <c r="H5176" s="198"/>
    </row>
    <row r="5177" spans="1:8" ht="15.75" hidden="1" customHeight="1" x14ac:dyDescent="0.25">
      <c r="A5177" s="205" t="s">
        <v>5813</v>
      </c>
      <c r="B5177" s="206">
        <v>103246</v>
      </c>
      <c r="C5177" s="207" t="s">
        <v>5841</v>
      </c>
      <c r="D5177" s="208" t="s">
        <v>580</v>
      </c>
      <c r="E5177" s="209">
        <v>2191.6799999999998</v>
      </c>
      <c r="F5177" s="209">
        <v>119.97</v>
      </c>
      <c r="G5177" s="209">
        <v>2311.65</v>
      </c>
      <c r="H5177" s="198"/>
    </row>
    <row r="5178" spans="1:8" ht="15.75" hidden="1" customHeight="1" x14ac:dyDescent="0.25">
      <c r="A5178" s="205" t="s">
        <v>5813</v>
      </c>
      <c r="B5178" s="206">
        <v>103257</v>
      </c>
      <c r="C5178" s="207" t="s">
        <v>5842</v>
      </c>
      <c r="D5178" s="208" t="s">
        <v>580</v>
      </c>
      <c r="E5178" s="209">
        <v>6068.59</v>
      </c>
      <c r="F5178" s="209">
        <v>199.31</v>
      </c>
      <c r="G5178" s="209">
        <v>6267.9</v>
      </c>
      <c r="H5178" s="198"/>
    </row>
    <row r="5179" spans="1:8" ht="15.75" hidden="1" customHeight="1" x14ac:dyDescent="0.25">
      <c r="A5179" s="205" t="s">
        <v>5813</v>
      </c>
      <c r="B5179" s="206">
        <v>103259</v>
      </c>
      <c r="C5179" s="207" t="s">
        <v>5843</v>
      </c>
      <c r="D5179" s="208" t="s">
        <v>580</v>
      </c>
      <c r="E5179" s="209">
        <v>6401.61</v>
      </c>
      <c r="F5179" s="209">
        <v>204.79</v>
      </c>
      <c r="G5179" s="209">
        <v>6606.4</v>
      </c>
      <c r="H5179" s="198"/>
    </row>
    <row r="5180" spans="1:8" ht="15.75" hidden="1" customHeight="1" x14ac:dyDescent="0.25">
      <c r="A5180" s="205" t="s">
        <v>5813</v>
      </c>
      <c r="B5180" s="206">
        <v>103262</v>
      </c>
      <c r="C5180" s="207" t="s">
        <v>5844</v>
      </c>
      <c r="D5180" s="208" t="s">
        <v>580</v>
      </c>
      <c r="E5180" s="209">
        <v>8451.8700000000008</v>
      </c>
      <c r="F5180" s="209">
        <v>224.72</v>
      </c>
      <c r="G5180" s="209">
        <v>8676.59</v>
      </c>
      <c r="H5180" s="198"/>
    </row>
    <row r="5181" spans="1:8" ht="15.75" hidden="1" customHeight="1" x14ac:dyDescent="0.25">
      <c r="A5181" s="205" t="s">
        <v>5813</v>
      </c>
      <c r="B5181" s="206">
        <v>103264</v>
      </c>
      <c r="C5181" s="207" t="s">
        <v>5845</v>
      </c>
      <c r="D5181" s="208" t="s">
        <v>580</v>
      </c>
      <c r="E5181" s="209">
        <v>10466.85</v>
      </c>
      <c r="F5181" s="209">
        <v>298.19</v>
      </c>
      <c r="G5181" s="209">
        <v>10765.04</v>
      </c>
      <c r="H5181" s="198"/>
    </row>
    <row r="5182" spans="1:8" ht="15.75" hidden="1" customHeight="1" x14ac:dyDescent="0.25">
      <c r="A5182" s="205" t="s">
        <v>5813</v>
      </c>
      <c r="B5182" s="206">
        <v>103266</v>
      </c>
      <c r="C5182" s="207" t="s">
        <v>5846</v>
      </c>
      <c r="D5182" s="208" t="s">
        <v>580</v>
      </c>
      <c r="E5182" s="209">
        <v>11720.9</v>
      </c>
      <c r="F5182" s="209">
        <v>298.07</v>
      </c>
      <c r="G5182" s="209">
        <v>12018.97</v>
      </c>
      <c r="H5182" s="198"/>
    </row>
    <row r="5183" spans="1:8" ht="15.75" hidden="1" customHeight="1" x14ac:dyDescent="0.25">
      <c r="A5183" s="205" t="s">
        <v>5813</v>
      </c>
      <c r="B5183" s="206">
        <v>103277</v>
      </c>
      <c r="C5183" s="207" t="s">
        <v>5847</v>
      </c>
      <c r="D5183" s="208" t="s">
        <v>580</v>
      </c>
      <c r="E5183" s="209">
        <v>28587.66</v>
      </c>
      <c r="F5183" s="209">
        <v>402.96</v>
      </c>
      <c r="G5183" s="209">
        <v>28990.62</v>
      </c>
      <c r="H5183" s="198"/>
    </row>
    <row r="5184" spans="1:8" ht="15.75" hidden="1" customHeight="1" x14ac:dyDescent="0.25">
      <c r="A5184" s="205" t="s">
        <v>5813</v>
      </c>
      <c r="B5184" s="206">
        <v>103278</v>
      </c>
      <c r="C5184" s="207" t="s">
        <v>5848</v>
      </c>
      <c r="D5184" s="208" t="s">
        <v>580</v>
      </c>
      <c r="E5184" s="209">
        <v>36689.699999999997</v>
      </c>
      <c r="F5184" s="209">
        <v>411.82</v>
      </c>
      <c r="G5184" s="209">
        <v>37101.519999999997</v>
      </c>
      <c r="H5184" s="198"/>
    </row>
    <row r="5185" spans="1:8" ht="15.75" hidden="1" customHeight="1" x14ac:dyDescent="0.25">
      <c r="A5185" s="205" t="s">
        <v>5813</v>
      </c>
      <c r="B5185" s="206">
        <v>103288</v>
      </c>
      <c r="C5185" s="207" t="s">
        <v>5849</v>
      </c>
      <c r="D5185" s="208" t="s">
        <v>580</v>
      </c>
      <c r="E5185" s="209">
        <v>5.96</v>
      </c>
      <c r="F5185" s="209">
        <v>13.32</v>
      </c>
      <c r="G5185" s="209">
        <v>19.28</v>
      </c>
      <c r="H5185" s="198"/>
    </row>
    <row r="5186" spans="1:8" ht="15.75" hidden="1" customHeight="1" x14ac:dyDescent="0.25">
      <c r="A5186" s="205" t="s">
        <v>5813</v>
      </c>
      <c r="B5186" s="206">
        <v>103291</v>
      </c>
      <c r="C5186" s="207" t="s">
        <v>5850</v>
      </c>
      <c r="D5186" s="208" t="s">
        <v>585</v>
      </c>
      <c r="E5186" s="209">
        <v>58.38</v>
      </c>
      <c r="F5186" s="209">
        <v>5.27</v>
      </c>
      <c r="G5186" s="209">
        <v>63.65</v>
      </c>
      <c r="H5186" s="198"/>
    </row>
    <row r="5187" spans="1:8" ht="15.75" hidden="1" customHeight="1" x14ac:dyDescent="0.25">
      <c r="A5187" s="205" t="s">
        <v>5813</v>
      </c>
      <c r="B5187" s="206">
        <v>103289</v>
      </c>
      <c r="C5187" s="207" t="s">
        <v>5851</v>
      </c>
      <c r="D5187" s="208" t="s">
        <v>585</v>
      </c>
      <c r="E5187" s="209">
        <v>28.58</v>
      </c>
      <c r="F5187" s="209">
        <v>4.68</v>
      </c>
      <c r="G5187" s="209">
        <v>33.26</v>
      </c>
      <c r="H5187" s="198"/>
    </row>
    <row r="5188" spans="1:8" ht="15.75" hidden="1" customHeight="1" x14ac:dyDescent="0.25">
      <c r="A5188" s="205" t="s">
        <v>5813</v>
      </c>
      <c r="B5188" s="206">
        <v>103290</v>
      </c>
      <c r="C5188" s="207" t="s">
        <v>5852</v>
      </c>
      <c r="D5188" s="208" t="s">
        <v>585</v>
      </c>
      <c r="E5188" s="209">
        <v>45.78</v>
      </c>
      <c r="F5188" s="209">
        <v>4.9800000000000004</v>
      </c>
      <c r="G5188" s="209">
        <v>50.76</v>
      </c>
      <c r="H5188" s="198"/>
    </row>
    <row r="5189" spans="1:8" ht="15.75" hidden="1" customHeight="1" x14ac:dyDescent="0.25">
      <c r="A5189" s="205" t="s">
        <v>5813</v>
      </c>
      <c r="B5189" s="206">
        <v>103292</v>
      </c>
      <c r="C5189" s="207" t="s">
        <v>5853</v>
      </c>
      <c r="D5189" s="208" t="s">
        <v>585</v>
      </c>
      <c r="E5189" s="209">
        <v>71.22</v>
      </c>
      <c r="F5189" s="209">
        <v>5.46</v>
      </c>
      <c r="G5189" s="209">
        <v>76.680000000000007</v>
      </c>
      <c r="H5189" s="198"/>
    </row>
    <row r="5190" spans="1:8" ht="15.75" hidden="1" customHeight="1" x14ac:dyDescent="0.25">
      <c r="A5190" s="205" t="s">
        <v>5854</v>
      </c>
      <c r="B5190" s="206">
        <v>97333</v>
      </c>
      <c r="C5190" s="207" t="s">
        <v>5855</v>
      </c>
      <c r="D5190" s="208" t="s">
        <v>585</v>
      </c>
      <c r="E5190" s="209">
        <v>55.68</v>
      </c>
      <c r="F5190" s="209">
        <v>3.44</v>
      </c>
      <c r="G5190" s="209">
        <v>59.12</v>
      </c>
      <c r="H5190" s="198"/>
    </row>
    <row r="5191" spans="1:8" ht="15.75" hidden="1" customHeight="1" x14ac:dyDescent="0.25">
      <c r="A5191" s="205" t="s">
        <v>5854</v>
      </c>
      <c r="B5191" s="206">
        <v>97329</v>
      </c>
      <c r="C5191" s="207" t="s">
        <v>5856</v>
      </c>
      <c r="D5191" s="208" t="s">
        <v>585</v>
      </c>
      <c r="E5191" s="209">
        <v>55.51</v>
      </c>
      <c r="F5191" s="209">
        <v>2.95</v>
      </c>
      <c r="G5191" s="209">
        <v>58.46</v>
      </c>
      <c r="H5191" s="198"/>
    </row>
    <row r="5192" spans="1:8" ht="15.75" hidden="1" customHeight="1" x14ac:dyDescent="0.25">
      <c r="A5192" s="205" t="s">
        <v>5854</v>
      </c>
      <c r="B5192" s="206">
        <v>97331</v>
      </c>
      <c r="C5192" s="207" t="s">
        <v>5857</v>
      </c>
      <c r="D5192" s="208" t="s">
        <v>585</v>
      </c>
      <c r="E5192" s="209">
        <v>25.88</v>
      </c>
      <c r="F5192" s="209">
        <v>2.85</v>
      </c>
      <c r="G5192" s="209">
        <v>28.73</v>
      </c>
      <c r="H5192" s="198"/>
    </row>
    <row r="5193" spans="1:8" ht="15.75" hidden="1" customHeight="1" x14ac:dyDescent="0.25">
      <c r="A5193" s="205" t="s">
        <v>5854</v>
      </c>
      <c r="B5193" s="206">
        <v>97327</v>
      </c>
      <c r="C5193" s="207" t="s">
        <v>5858</v>
      </c>
      <c r="D5193" s="208" t="s">
        <v>585</v>
      </c>
      <c r="E5193" s="209">
        <v>25.76</v>
      </c>
      <c r="F5193" s="209">
        <v>2.5099999999999998</v>
      </c>
      <c r="G5193" s="209">
        <v>28.27</v>
      </c>
      <c r="H5193" s="198"/>
    </row>
    <row r="5194" spans="1:8" ht="15.75" hidden="1" customHeight="1" x14ac:dyDescent="0.25">
      <c r="A5194" s="205" t="s">
        <v>5854</v>
      </c>
      <c r="B5194" s="206">
        <v>97332</v>
      </c>
      <c r="C5194" s="207" t="s">
        <v>5859</v>
      </c>
      <c r="D5194" s="208" t="s">
        <v>585</v>
      </c>
      <c r="E5194" s="209">
        <v>43.07</v>
      </c>
      <c r="F5194" s="209">
        <v>3.16</v>
      </c>
      <c r="G5194" s="209">
        <v>46.23</v>
      </c>
      <c r="H5194" s="198"/>
    </row>
    <row r="5195" spans="1:8" ht="15.75" hidden="1" customHeight="1" x14ac:dyDescent="0.25">
      <c r="A5195" s="205" t="s">
        <v>5854</v>
      </c>
      <c r="B5195" s="206">
        <v>97328</v>
      </c>
      <c r="C5195" s="207" t="s">
        <v>5860</v>
      </c>
      <c r="D5195" s="208" t="s">
        <v>585</v>
      </c>
      <c r="E5195" s="209">
        <v>42.94</v>
      </c>
      <c r="F5195" s="209">
        <v>2.76</v>
      </c>
      <c r="G5195" s="209">
        <v>45.7</v>
      </c>
      <c r="H5195" s="198"/>
    </row>
    <row r="5196" spans="1:8" ht="15.75" hidden="1" customHeight="1" x14ac:dyDescent="0.25">
      <c r="A5196" s="205" t="s">
        <v>5854</v>
      </c>
      <c r="B5196" s="206">
        <v>97334</v>
      </c>
      <c r="C5196" s="207" t="s">
        <v>5861</v>
      </c>
      <c r="D5196" s="208" t="s">
        <v>585</v>
      </c>
      <c r="E5196" s="209">
        <v>68.510000000000005</v>
      </c>
      <c r="F5196" s="209">
        <v>3.64</v>
      </c>
      <c r="G5196" s="209">
        <v>72.150000000000006</v>
      </c>
      <c r="H5196" s="198"/>
    </row>
    <row r="5197" spans="1:8" ht="15.75" hidden="1" customHeight="1" x14ac:dyDescent="0.25">
      <c r="A5197" s="205" t="s">
        <v>5854</v>
      </c>
      <c r="B5197" s="206">
        <v>97330</v>
      </c>
      <c r="C5197" s="207" t="s">
        <v>5862</v>
      </c>
      <c r="D5197" s="208" t="s">
        <v>585</v>
      </c>
      <c r="E5197" s="209">
        <v>68.33</v>
      </c>
      <c r="F5197" s="209">
        <v>3.1</v>
      </c>
      <c r="G5197" s="209">
        <v>71.430000000000007</v>
      </c>
      <c r="H5197" s="198"/>
    </row>
    <row r="5198" spans="1:8" ht="15.75" hidden="1" customHeight="1" x14ac:dyDescent="0.25">
      <c r="A5198" s="205" t="s">
        <v>5863</v>
      </c>
      <c r="B5198" s="206">
        <v>93085</v>
      </c>
      <c r="C5198" s="207" t="s">
        <v>5864</v>
      </c>
      <c r="D5198" s="208" t="s">
        <v>580</v>
      </c>
      <c r="E5198" s="209">
        <v>10.4</v>
      </c>
      <c r="F5198" s="209">
        <v>7.82</v>
      </c>
      <c r="G5198" s="209">
        <v>18.22</v>
      </c>
      <c r="H5198" s="198"/>
    </row>
    <row r="5199" spans="1:8" ht="15.75" hidden="1" customHeight="1" x14ac:dyDescent="0.25">
      <c r="A5199" s="205" t="s">
        <v>5863</v>
      </c>
      <c r="B5199" s="206">
        <v>103892</v>
      </c>
      <c r="C5199" s="207" t="s">
        <v>5865</v>
      </c>
      <c r="D5199" s="208" t="s">
        <v>580</v>
      </c>
      <c r="E5199" s="209">
        <v>10.85</v>
      </c>
      <c r="F5199" s="209">
        <v>8.67</v>
      </c>
      <c r="G5199" s="209">
        <v>19.52</v>
      </c>
      <c r="H5199" s="198"/>
    </row>
    <row r="5200" spans="1:8" ht="15.75" hidden="1" customHeight="1" x14ac:dyDescent="0.25">
      <c r="A5200" s="205" t="s">
        <v>5863</v>
      </c>
      <c r="B5200" s="206">
        <v>103823</v>
      </c>
      <c r="C5200" s="207" t="s">
        <v>5866</v>
      </c>
      <c r="D5200" s="208" t="s">
        <v>580</v>
      </c>
      <c r="E5200" s="209">
        <v>11.51</v>
      </c>
      <c r="F5200" s="209">
        <v>10.68</v>
      </c>
      <c r="G5200" s="209">
        <v>22.19</v>
      </c>
      <c r="H5200" s="198"/>
    </row>
    <row r="5201" spans="1:8" ht="15.75" hidden="1" customHeight="1" x14ac:dyDescent="0.25">
      <c r="A5201" s="205" t="s">
        <v>5863</v>
      </c>
      <c r="B5201" s="206">
        <v>103856</v>
      </c>
      <c r="C5201" s="207" t="s">
        <v>5867</v>
      </c>
      <c r="D5201" s="208" t="s">
        <v>580</v>
      </c>
      <c r="E5201" s="209">
        <v>10.86</v>
      </c>
      <c r="F5201" s="209">
        <v>8.6199999999999992</v>
      </c>
      <c r="G5201" s="209">
        <v>19.48</v>
      </c>
      <c r="H5201" s="198"/>
    </row>
    <row r="5202" spans="1:8" ht="15.75" hidden="1" customHeight="1" x14ac:dyDescent="0.25">
      <c r="A5202" s="205" t="s">
        <v>5863</v>
      </c>
      <c r="B5202" s="206">
        <v>93108</v>
      </c>
      <c r="C5202" s="207" t="s">
        <v>5868</v>
      </c>
      <c r="D5202" s="208" t="s">
        <v>580</v>
      </c>
      <c r="E5202" s="209">
        <v>9.8800000000000008</v>
      </c>
      <c r="F5202" s="209">
        <v>6.28</v>
      </c>
      <c r="G5202" s="209">
        <v>16.16</v>
      </c>
      <c r="H5202" s="198"/>
    </row>
    <row r="5203" spans="1:8" ht="15.75" hidden="1" customHeight="1" x14ac:dyDescent="0.25">
      <c r="A5203" s="205" t="s">
        <v>5863</v>
      </c>
      <c r="B5203" s="206">
        <v>93091</v>
      </c>
      <c r="C5203" s="207" t="s">
        <v>5869</v>
      </c>
      <c r="D5203" s="208" t="s">
        <v>580</v>
      </c>
      <c r="E5203" s="209">
        <v>13.47</v>
      </c>
      <c r="F5203" s="209">
        <v>5.9</v>
      </c>
      <c r="G5203" s="209">
        <v>19.37</v>
      </c>
      <c r="H5203" s="198"/>
    </row>
    <row r="5204" spans="1:8" ht="15.75" hidden="1" customHeight="1" x14ac:dyDescent="0.25">
      <c r="A5204" s="205" t="s">
        <v>5863</v>
      </c>
      <c r="B5204" s="206">
        <v>103900</v>
      </c>
      <c r="C5204" s="207" t="s">
        <v>5870</v>
      </c>
      <c r="D5204" s="208" t="s">
        <v>580</v>
      </c>
      <c r="E5204" s="209">
        <v>14.95</v>
      </c>
      <c r="F5204" s="209">
        <v>9.98</v>
      </c>
      <c r="G5204" s="209">
        <v>24.93</v>
      </c>
      <c r="H5204" s="198"/>
    </row>
    <row r="5205" spans="1:8" ht="15.75" hidden="1" customHeight="1" x14ac:dyDescent="0.25">
      <c r="A5205" s="205" t="s">
        <v>5863</v>
      </c>
      <c r="B5205" s="206">
        <v>103831</v>
      </c>
      <c r="C5205" s="207" t="s">
        <v>5871</v>
      </c>
      <c r="D5205" s="208" t="s">
        <v>580</v>
      </c>
      <c r="E5205" s="209">
        <v>17.21</v>
      </c>
      <c r="F5205" s="209">
        <v>15.89</v>
      </c>
      <c r="G5205" s="209">
        <v>33.1</v>
      </c>
      <c r="H5205" s="198"/>
    </row>
    <row r="5206" spans="1:8" ht="15.75" hidden="1" customHeight="1" x14ac:dyDescent="0.25">
      <c r="A5206" s="205" t="s">
        <v>5863</v>
      </c>
      <c r="B5206" s="206">
        <v>103864</v>
      </c>
      <c r="C5206" s="207" t="s">
        <v>5872</v>
      </c>
      <c r="D5206" s="208" t="s">
        <v>580</v>
      </c>
      <c r="E5206" s="209">
        <v>15.46</v>
      </c>
      <c r="F5206" s="209">
        <v>10.93</v>
      </c>
      <c r="G5206" s="209">
        <v>26.39</v>
      </c>
      <c r="H5206" s="198"/>
    </row>
    <row r="5207" spans="1:8" ht="15.75" hidden="1" customHeight="1" x14ac:dyDescent="0.25">
      <c r="A5207" s="205" t="s">
        <v>5863</v>
      </c>
      <c r="B5207" s="206">
        <v>93133</v>
      </c>
      <c r="C5207" s="207" t="s">
        <v>5873</v>
      </c>
      <c r="D5207" s="208" t="s">
        <v>580</v>
      </c>
      <c r="E5207" s="209">
        <v>14.5</v>
      </c>
      <c r="F5207" s="209">
        <v>8.67</v>
      </c>
      <c r="G5207" s="209">
        <v>23.17</v>
      </c>
      <c r="H5207" s="198"/>
    </row>
    <row r="5208" spans="1:8" ht="15.75" hidden="1" customHeight="1" x14ac:dyDescent="0.25">
      <c r="A5208" s="205" t="s">
        <v>5863</v>
      </c>
      <c r="B5208" s="206">
        <v>93057</v>
      </c>
      <c r="C5208" s="207" t="s">
        <v>5874</v>
      </c>
      <c r="D5208" s="208" t="s">
        <v>580</v>
      </c>
      <c r="E5208" s="209">
        <v>12.52</v>
      </c>
      <c r="F5208" s="209">
        <v>3.28</v>
      </c>
      <c r="G5208" s="209">
        <v>15.8</v>
      </c>
      <c r="H5208" s="198"/>
    </row>
    <row r="5209" spans="1:8" ht="15.75" hidden="1" customHeight="1" x14ac:dyDescent="0.25">
      <c r="A5209" s="205" t="s">
        <v>5863</v>
      </c>
      <c r="B5209" s="206">
        <v>93062</v>
      </c>
      <c r="C5209" s="207" t="s">
        <v>5875</v>
      </c>
      <c r="D5209" s="208" t="s">
        <v>580</v>
      </c>
      <c r="E5209" s="209">
        <v>25.63</v>
      </c>
      <c r="F5209" s="209">
        <v>4.1900000000000004</v>
      </c>
      <c r="G5209" s="209">
        <v>29.82</v>
      </c>
      <c r="H5209" s="198"/>
    </row>
    <row r="5210" spans="1:8" ht="15.75" hidden="1" customHeight="1" x14ac:dyDescent="0.25">
      <c r="A5210" s="205" t="s">
        <v>5863</v>
      </c>
      <c r="B5210" s="206">
        <v>93065</v>
      </c>
      <c r="C5210" s="207" t="s">
        <v>5876</v>
      </c>
      <c r="D5210" s="208" t="s">
        <v>580</v>
      </c>
      <c r="E5210" s="209">
        <v>43.1</v>
      </c>
      <c r="F5210" s="209">
        <v>5.16</v>
      </c>
      <c r="G5210" s="209">
        <v>48.26</v>
      </c>
      <c r="H5210" s="198"/>
    </row>
    <row r="5211" spans="1:8" ht="15.75" hidden="1" customHeight="1" x14ac:dyDescent="0.25">
      <c r="A5211" s="205" t="s">
        <v>5863</v>
      </c>
      <c r="B5211" s="206">
        <v>93068</v>
      </c>
      <c r="C5211" s="207" t="s">
        <v>5877</v>
      </c>
      <c r="D5211" s="208" t="s">
        <v>580</v>
      </c>
      <c r="E5211" s="209">
        <v>61.23</v>
      </c>
      <c r="F5211" s="209">
        <v>6.5</v>
      </c>
      <c r="G5211" s="209">
        <v>67.73</v>
      </c>
      <c r="H5211" s="198"/>
    </row>
    <row r="5212" spans="1:8" ht="15.75" hidden="1" customHeight="1" x14ac:dyDescent="0.25">
      <c r="A5212" s="205" t="s">
        <v>5863</v>
      </c>
      <c r="B5212" s="206">
        <v>93071</v>
      </c>
      <c r="C5212" s="207" t="s">
        <v>5878</v>
      </c>
      <c r="D5212" s="208" t="s">
        <v>580</v>
      </c>
      <c r="E5212" s="209">
        <v>174.11</v>
      </c>
      <c r="F5212" s="209">
        <v>8.16</v>
      </c>
      <c r="G5212" s="209">
        <v>182.27</v>
      </c>
      <c r="H5212" s="198"/>
    </row>
    <row r="5213" spans="1:8" ht="15.75" hidden="1" customHeight="1" x14ac:dyDescent="0.25">
      <c r="A5213" s="205" t="s">
        <v>5863</v>
      </c>
      <c r="B5213" s="206">
        <v>93081</v>
      </c>
      <c r="C5213" s="207" t="s">
        <v>5879</v>
      </c>
      <c r="D5213" s="208" t="s">
        <v>580</v>
      </c>
      <c r="E5213" s="209">
        <v>16.78</v>
      </c>
      <c r="F5213" s="209">
        <v>4.16</v>
      </c>
      <c r="G5213" s="209">
        <v>20.94</v>
      </c>
      <c r="H5213" s="198"/>
    </row>
    <row r="5214" spans="1:8" ht="15.75" hidden="1" customHeight="1" x14ac:dyDescent="0.25">
      <c r="A5214" s="205" t="s">
        <v>5863</v>
      </c>
      <c r="B5214" s="206">
        <v>103887</v>
      </c>
      <c r="C5214" s="207" t="s">
        <v>5880</v>
      </c>
      <c r="D5214" s="208" t="s">
        <v>580</v>
      </c>
      <c r="E5214" s="209">
        <v>17.329999999999998</v>
      </c>
      <c r="F5214" s="209">
        <v>5.72</v>
      </c>
      <c r="G5214" s="209">
        <v>23.05</v>
      </c>
      <c r="H5214" s="198"/>
    </row>
    <row r="5215" spans="1:8" ht="15.75" hidden="1" customHeight="1" x14ac:dyDescent="0.25">
      <c r="A5215" s="205" t="s">
        <v>5863</v>
      </c>
      <c r="B5215" s="206">
        <v>103818</v>
      </c>
      <c r="C5215" s="207" t="s">
        <v>5881</v>
      </c>
      <c r="D5215" s="208" t="s">
        <v>580</v>
      </c>
      <c r="E5215" s="209">
        <v>17.37</v>
      </c>
      <c r="F5215" s="209">
        <v>5.66</v>
      </c>
      <c r="G5215" s="209">
        <v>23.03</v>
      </c>
      <c r="H5215" s="198"/>
    </row>
    <row r="5216" spans="1:8" ht="15.75" hidden="1" customHeight="1" x14ac:dyDescent="0.25">
      <c r="A5216" s="205" t="s">
        <v>5863</v>
      </c>
      <c r="B5216" s="206">
        <v>103851</v>
      </c>
      <c r="C5216" s="207" t="s">
        <v>5882</v>
      </c>
      <c r="D5216" s="208" t="s">
        <v>580</v>
      </c>
      <c r="E5216" s="209">
        <v>17.28</v>
      </c>
      <c r="F5216" s="209">
        <v>5.43</v>
      </c>
      <c r="G5216" s="209">
        <v>22.71</v>
      </c>
      <c r="H5216" s="198"/>
    </row>
    <row r="5217" spans="1:8" ht="15.75" hidden="1" customHeight="1" x14ac:dyDescent="0.25">
      <c r="A5217" s="205" t="s">
        <v>5863</v>
      </c>
      <c r="B5217" s="206">
        <v>93104</v>
      </c>
      <c r="C5217" s="207" t="s">
        <v>5883</v>
      </c>
      <c r="D5217" s="208" t="s">
        <v>580</v>
      </c>
      <c r="E5217" s="209">
        <v>16.84</v>
      </c>
      <c r="F5217" s="209">
        <v>4.2300000000000004</v>
      </c>
      <c r="G5217" s="209">
        <v>21.07</v>
      </c>
      <c r="H5217" s="198"/>
    </row>
    <row r="5218" spans="1:8" ht="15.75" hidden="1" customHeight="1" x14ac:dyDescent="0.25">
      <c r="A5218" s="205" t="s">
        <v>5863</v>
      </c>
      <c r="B5218" s="206">
        <v>98602</v>
      </c>
      <c r="C5218" s="207" t="s">
        <v>5884</v>
      </c>
      <c r="D5218" s="208" t="s">
        <v>580</v>
      </c>
      <c r="E5218" s="209">
        <v>16.96</v>
      </c>
      <c r="F5218" s="209">
        <v>3.18</v>
      </c>
      <c r="G5218" s="209">
        <v>20.14</v>
      </c>
      <c r="H5218" s="198"/>
    </row>
    <row r="5219" spans="1:8" ht="15.75" hidden="1" customHeight="1" x14ac:dyDescent="0.25">
      <c r="A5219" s="205" t="s">
        <v>5863</v>
      </c>
      <c r="B5219" s="206">
        <v>93087</v>
      </c>
      <c r="C5219" s="207" t="s">
        <v>5885</v>
      </c>
      <c r="D5219" s="208" t="s">
        <v>580</v>
      </c>
      <c r="E5219" s="209">
        <v>17.47</v>
      </c>
      <c r="F5219" s="209">
        <v>4.5199999999999996</v>
      </c>
      <c r="G5219" s="209">
        <v>21.99</v>
      </c>
      <c r="H5219" s="198"/>
    </row>
    <row r="5220" spans="1:8" ht="15.75" hidden="1" customHeight="1" x14ac:dyDescent="0.25">
      <c r="A5220" s="205" t="s">
        <v>5863</v>
      </c>
      <c r="B5220" s="206">
        <v>103893</v>
      </c>
      <c r="C5220" s="207" t="s">
        <v>5886</v>
      </c>
      <c r="D5220" s="208" t="s">
        <v>580</v>
      </c>
      <c r="E5220" s="209">
        <v>18.149999999999999</v>
      </c>
      <c r="F5220" s="209">
        <v>6.43</v>
      </c>
      <c r="G5220" s="209">
        <v>24.58</v>
      </c>
      <c r="H5220" s="198"/>
    </row>
    <row r="5221" spans="1:8" ht="15.75" hidden="1" customHeight="1" x14ac:dyDescent="0.25">
      <c r="A5221" s="205" t="s">
        <v>5863</v>
      </c>
      <c r="B5221" s="206">
        <v>103824</v>
      </c>
      <c r="C5221" s="207" t="s">
        <v>5887</v>
      </c>
      <c r="D5221" s="208" t="s">
        <v>580</v>
      </c>
      <c r="E5221" s="209">
        <v>18.95</v>
      </c>
      <c r="F5221" s="209">
        <v>8.48</v>
      </c>
      <c r="G5221" s="209">
        <v>27.43</v>
      </c>
      <c r="H5221" s="198"/>
    </row>
    <row r="5222" spans="1:8" ht="15.75" hidden="1" customHeight="1" x14ac:dyDescent="0.25">
      <c r="A5222" s="205" t="s">
        <v>5863</v>
      </c>
      <c r="B5222" s="206">
        <v>103857</v>
      </c>
      <c r="C5222" s="207" t="s">
        <v>5888</v>
      </c>
      <c r="D5222" s="208" t="s">
        <v>580</v>
      </c>
      <c r="E5222" s="209">
        <v>18.29</v>
      </c>
      <c r="F5222" s="209">
        <v>6.66</v>
      </c>
      <c r="G5222" s="209">
        <v>24.95</v>
      </c>
      <c r="H5222" s="198"/>
    </row>
    <row r="5223" spans="1:8" ht="15.75" hidden="1" customHeight="1" x14ac:dyDescent="0.25">
      <c r="A5223" s="205" t="s">
        <v>5863</v>
      </c>
      <c r="B5223" s="206">
        <v>93110</v>
      </c>
      <c r="C5223" s="207" t="s">
        <v>5889</v>
      </c>
      <c r="D5223" s="208" t="s">
        <v>580</v>
      </c>
      <c r="E5223" s="209">
        <v>17.84</v>
      </c>
      <c r="F5223" s="209">
        <v>5.52</v>
      </c>
      <c r="G5223" s="209">
        <v>23.36</v>
      </c>
      <c r="H5223" s="198"/>
    </row>
    <row r="5224" spans="1:8" ht="15.75" hidden="1" customHeight="1" x14ac:dyDescent="0.25">
      <c r="A5224" s="205" t="s">
        <v>5863</v>
      </c>
      <c r="B5224" s="206">
        <v>93054</v>
      </c>
      <c r="C5224" s="207" t="s">
        <v>5890</v>
      </c>
      <c r="D5224" s="208" t="s">
        <v>580</v>
      </c>
      <c r="E5224" s="209">
        <v>20.93</v>
      </c>
      <c r="F5224" s="209">
        <v>4.0999999999999996</v>
      </c>
      <c r="G5224" s="209">
        <v>25.03</v>
      </c>
      <c r="H5224" s="198"/>
    </row>
    <row r="5225" spans="1:8" ht="15.75" hidden="1" customHeight="1" x14ac:dyDescent="0.25">
      <c r="A5225" s="205" t="s">
        <v>5863</v>
      </c>
      <c r="B5225" s="206">
        <v>93088</v>
      </c>
      <c r="C5225" s="207" t="s">
        <v>5891</v>
      </c>
      <c r="D5225" s="208" t="s">
        <v>580</v>
      </c>
      <c r="E5225" s="209">
        <v>21.75</v>
      </c>
      <c r="F5225" s="209">
        <v>5.46</v>
      </c>
      <c r="G5225" s="209">
        <v>27.21</v>
      </c>
      <c r="H5225" s="198"/>
    </row>
    <row r="5226" spans="1:8" ht="15.75" hidden="1" customHeight="1" x14ac:dyDescent="0.25">
      <c r="A5226" s="205" t="s">
        <v>5863</v>
      </c>
      <c r="B5226" s="206">
        <v>103894</v>
      </c>
      <c r="C5226" s="207" t="s">
        <v>5892</v>
      </c>
      <c r="D5226" s="208" t="s">
        <v>580</v>
      </c>
      <c r="E5226" s="209">
        <v>22.11</v>
      </c>
      <c r="F5226" s="209">
        <v>7.35</v>
      </c>
      <c r="G5226" s="209">
        <v>29.46</v>
      </c>
      <c r="H5226" s="198"/>
    </row>
    <row r="5227" spans="1:8" ht="15.75" hidden="1" customHeight="1" x14ac:dyDescent="0.25">
      <c r="A5227" s="205" t="s">
        <v>5863</v>
      </c>
      <c r="B5227" s="206">
        <v>103825</v>
      </c>
      <c r="C5227" s="207" t="s">
        <v>5893</v>
      </c>
      <c r="D5227" s="208" t="s">
        <v>580</v>
      </c>
      <c r="E5227" s="209">
        <v>22.9</v>
      </c>
      <c r="F5227" s="209">
        <v>9.42</v>
      </c>
      <c r="G5227" s="209">
        <v>32.32</v>
      </c>
      <c r="H5227" s="198"/>
    </row>
    <row r="5228" spans="1:8" ht="15.75" hidden="1" customHeight="1" x14ac:dyDescent="0.25">
      <c r="A5228" s="205" t="s">
        <v>5863</v>
      </c>
      <c r="B5228" s="206">
        <v>103858</v>
      </c>
      <c r="C5228" s="207" t="s">
        <v>5894</v>
      </c>
      <c r="D5228" s="208" t="s">
        <v>580</v>
      </c>
      <c r="E5228" s="209">
        <v>22.23</v>
      </c>
      <c r="F5228" s="209">
        <v>7.6</v>
      </c>
      <c r="G5228" s="209">
        <v>29.83</v>
      </c>
      <c r="H5228" s="198"/>
    </row>
    <row r="5229" spans="1:8" ht="15.75" hidden="1" customHeight="1" x14ac:dyDescent="0.25">
      <c r="A5229" s="205" t="s">
        <v>5863</v>
      </c>
      <c r="B5229" s="206">
        <v>93111</v>
      </c>
      <c r="C5229" s="207" t="s">
        <v>5895</v>
      </c>
      <c r="D5229" s="208" t="s">
        <v>580</v>
      </c>
      <c r="E5229" s="209">
        <v>21.79</v>
      </c>
      <c r="F5229" s="209">
        <v>6.46</v>
      </c>
      <c r="G5229" s="209">
        <v>28.25</v>
      </c>
      <c r="H5229" s="198"/>
    </row>
    <row r="5230" spans="1:8" ht="15.75" hidden="1" customHeight="1" x14ac:dyDescent="0.25">
      <c r="A5230" s="205" t="s">
        <v>5863</v>
      </c>
      <c r="B5230" s="206">
        <v>93059</v>
      </c>
      <c r="C5230" s="207" t="s">
        <v>5896</v>
      </c>
      <c r="D5230" s="208" t="s">
        <v>580</v>
      </c>
      <c r="E5230" s="209">
        <v>28.58</v>
      </c>
      <c r="F5230" s="209">
        <v>3.59</v>
      </c>
      <c r="G5230" s="209">
        <v>32.17</v>
      </c>
      <c r="H5230" s="198"/>
    </row>
    <row r="5231" spans="1:8" ht="15.75" hidden="1" customHeight="1" x14ac:dyDescent="0.25">
      <c r="A5231" s="205" t="s">
        <v>5863</v>
      </c>
      <c r="B5231" s="206">
        <v>93093</v>
      </c>
      <c r="C5231" s="207" t="s">
        <v>5897</v>
      </c>
      <c r="D5231" s="208" t="s">
        <v>580</v>
      </c>
      <c r="E5231" s="209">
        <v>29.03</v>
      </c>
      <c r="F5231" s="209">
        <v>4.8499999999999996</v>
      </c>
      <c r="G5231" s="209">
        <v>33.880000000000003</v>
      </c>
      <c r="H5231" s="198"/>
    </row>
    <row r="5232" spans="1:8" ht="15.75" hidden="1" customHeight="1" x14ac:dyDescent="0.25">
      <c r="A5232" s="205" t="s">
        <v>5863</v>
      </c>
      <c r="B5232" s="206">
        <v>103899</v>
      </c>
      <c r="C5232" s="207" t="s">
        <v>5898</v>
      </c>
      <c r="D5232" s="208" t="s">
        <v>580</v>
      </c>
      <c r="E5232" s="209">
        <v>29.83</v>
      </c>
      <c r="F5232" s="209">
        <v>7.04</v>
      </c>
      <c r="G5232" s="209">
        <v>36.869999999999997</v>
      </c>
      <c r="H5232" s="198"/>
    </row>
    <row r="5233" spans="1:8" ht="15.75" hidden="1" customHeight="1" x14ac:dyDescent="0.25">
      <c r="A5233" s="205" t="s">
        <v>5863</v>
      </c>
      <c r="B5233" s="206">
        <v>103830</v>
      </c>
      <c r="C5233" s="207" t="s">
        <v>5899</v>
      </c>
      <c r="D5233" s="208" t="s">
        <v>580</v>
      </c>
      <c r="E5233" s="209">
        <v>31.04</v>
      </c>
      <c r="F5233" s="209">
        <v>10.9</v>
      </c>
      <c r="G5233" s="209">
        <v>41.94</v>
      </c>
      <c r="H5233" s="198"/>
    </row>
    <row r="5234" spans="1:8" ht="15.75" hidden="1" customHeight="1" x14ac:dyDescent="0.25">
      <c r="A5234" s="205" t="s">
        <v>5863</v>
      </c>
      <c r="B5234" s="206">
        <v>103863</v>
      </c>
      <c r="C5234" s="207" t="s">
        <v>5900</v>
      </c>
      <c r="D5234" s="208" t="s">
        <v>580</v>
      </c>
      <c r="E5234" s="209">
        <v>30.11</v>
      </c>
      <c r="F5234" s="209">
        <v>7.73</v>
      </c>
      <c r="G5234" s="209">
        <v>37.840000000000003</v>
      </c>
      <c r="H5234" s="198"/>
    </row>
    <row r="5235" spans="1:8" ht="15.75" hidden="1" customHeight="1" x14ac:dyDescent="0.25">
      <c r="A5235" s="205" t="s">
        <v>5863</v>
      </c>
      <c r="B5235" s="206">
        <v>93114</v>
      </c>
      <c r="C5235" s="207" t="s">
        <v>5901</v>
      </c>
      <c r="D5235" s="208" t="s">
        <v>580</v>
      </c>
      <c r="E5235" s="209">
        <v>29.69</v>
      </c>
      <c r="F5235" s="209">
        <v>6.64</v>
      </c>
      <c r="G5235" s="209">
        <v>36.33</v>
      </c>
      <c r="H5235" s="198"/>
    </row>
    <row r="5236" spans="1:8" ht="15.75" hidden="1" customHeight="1" x14ac:dyDescent="0.25">
      <c r="A5236" s="205" t="s">
        <v>5863</v>
      </c>
      <c r="B5236" s="206">
        <v>93075</v>
      </c>
      <c r="C5236" s="207" t="s">
        <v>5902</v>
      </c>
      <c r="D5236" s="208" t="s">
        <v>580</v>
      </c>
      <c r="E5236" s="209">
        <v>17.12</v>
      </c>
      <c r="F5236" s="209">
        <v>5.37</v>
      </c>
      <c r="G5236" s="209">
        <v>22.49</v>
      </c>
      <c r="H5236" s="198"/>
    </row>
    <row r="5237" spans="1:8" ht="15.75" hidden="1" customHeight="1" x14ac:dyDescent="0.25">
      <c r="A5237" s="205" t="s">
        <v>5863</v>
      </c>
      <c r="B5237" s="206">
        <v>103876</v>
      </c>
      <c r="C5237" s="207" t="s">
        <v>5903</v>
      </c>
      <c r="D5237" s="208" t="s">
        <v>580</v>
      </c>
      <c r="E5237" s="209">
        <v>17.95</v>
      </c>
      <c r="F5237" s="209">
        <v>7.7</v>
      </c>
      <c r="G5237" s="209">
        <v>25.65</v>
      </c>
      <c r="H5237" s="198"/>
    </row>
    <row r="5238" spans="1:8" ht="15.75" hidden="1" customHeight="1" x14ac:dyDescent="0.25">
      <c r="A5238" s="205" t="s">
        <v>5863</v>
      </c>
      <c r="B5238" s="206">
        <v>103807</v>
      </c>
      <c r="C5238" s="207" t="s">
        <v>5904</v>
      </c>
      <c r="D5238" s="208" t="s">
        <v>580</v>
      </c>
      <c r="E5238" s="209">
        <v>17.97</v>
      </c>
      <c r="F5238" s="209">
        <v>7.63</v>
      </c>
      <c r="G5238" s="209">
        <v>25.6</v>
      </c>
      <c r="H5238" s="198"/>
    </row>
    <row r="5239" spans="1:8" ht="15.75" hidden="1" customHeight="1" x14ac:dyDescent="0.25">
      <c r="A5239" s="205" t="s">
        <v>5863</v>
      </c>
      <c r="B5239" s="206">
        <v>103840</v>
      </c>
      <c r="C5239" s="207" t="s">
        <v>5905</v>
      </c>
      <c r="D5239" s="208" t="s">
        <v>580</v>
      </c>
      <c r="E5239" s="209">
        <v>17.84</v>
      </c>
      <c r="F5239" s="209">
        <v>7.28</v>
      </c>
      <c r="G5239" s="209">
        <v>25.12</v>
      </c>
      <c r="H5239" s="198"/>
    </row>
    <row r="5240" spans="1:8" ht="15.75" hidden="1" customHeight="1" x14ac:dyDescent="0.25">
      <c r="A5240" s="205" t="s">
        <v>5863</v>
      </c>
      <c r="B5240" s="206">
        <v>93098</v>
      </c>
      <c r="C5240" s="207" t="s">
        <v>5906</v>
      </c>
      <c r="D5240" s="208" t="s">
        <v>580</v>
      </c>
      <c r="E5240" s="209">
        <v>17.170000000000002</v>
      </c>
      <c r="F5240" s="209">
        <v>5.49</v>
      </c>
      <c r="G5240" s="209">
        <v>22.66</v>
      </c>
      <c r="H5240" s="198"/>
    </row>
    <row r="5241" spans="1:8" ht="15.75" hidden="1" customHeight="1" x14ac:dyDescent="0.25">
      <c r="A5241" s="205" t="s">
        <v>5863</v>
      </c>
      <c r="B5241" s="206">
        <v>93120</v>
      </c>
      <c r="C5241" s="207" t="s">
        <v>5907</v>
      </c>
      <c r="D5241" s="208" t="s">
        <v>580</v>
      </c>
      <c r="E5241" s="209">
        <v>24.68</v>
      </c>
      <c r="F5241" s="209">
        <v>3.89</v>
      </c>
      <c r="G5241" s="209">
        <v>28.57</v>
      </c>
      <c r="H5241" s="198"/>
    </row>
    <row r="5242" spans="1:8" ht="15.75" hidden="1" customHeight="1" x14ac:dyDescent="0.25">
      <c r="A5242" s="205" t="s">
        <v>5863</v>
      </c>
      <c r="B5242" s="206">
        <v>93077</v>
      </c>
      <c r="C5242" s="207" t="s">
        <v>5908</v>
      </c>
      <c r="D5242" s="208" t="s">
        <v>580</v>
      </c>
      <c r="E5242" s="209">
        <v>25.4</v>
      </c>
      <c r="F5242" s="209">
        <v>5.93</v>
      </c>
      <c r="G5242" s="209">
        <v>31.33</v>
      </c>
      <c r="H5242" s="198"/>
    </row>
    <row r="5243" spans="1:8" ht="15.75" hidden="1" customHeight="1" x14ac:dyDescent="0.25">
      <c r="A5243" s="205" t="s">
        <v>5863</v>
      </c>
      <c r="B5243" s="206">
        <v>103879</v>
      </c>
      <c r="C5243" s="207" t="s">
        <v>5909</v>
      </c>
      <c r="D5243" s="208" t="s">
        <v>580</v>
      </c>
      <c r="E5243" s="209">
        <v>26.43</v>
      </c>
      <c r="F5243" s="209">
        <v>8.77</v>
      </c>
      <c r="G5243" s="209">
        <v>35.200000000000003</v>
      </c>
      <c r="H5243" s="198"/>
    </row>
    <row r="5244" spans="1:8" ht="15.75" hidden="1" customHeight="1" x14ac:dyDescent="0.25">
      <c r="A5244" s="205" t="s">
        <v>5863</v>
      </c>
      <c r="B5244" s="206">
        <v>103810</v>
      </c>
      <c r="C5244" s="207" t="s">
        <v>5910</v>
      </c>
      <c r="D5244" s="208" t="s">
        <v>580</v>
      </c>
      <c r="E5244" s="209">
        <v>27.59</v>
      </c>
      <c r="F5244" s="209">
        <v>11.85</v>
      </c>
      <c r="G5244" s="209">
        <v>39.44</v>
      </c>
      <c r="H5244" s="198"/>
    </row>
    <row r="5245" spans="1:8" ht="15.75" hidden="1" customHeight="1" x14ac:dyDescent="0.25">
      <c r="A5245" s="205" t="s">
        <v>5863</v>
      </c>
      <c r="B5245" s="206">
        <v>103843</v>
      </c>
      <c r="C5245" s="207" t="s">
        <v>5911</v>
      </c>
      <c r="D5245" s="208" t="s">
        <v>580</v>
      </c>
      <c r="E5245" s="209">
        <v>26.6</v>
      </c>
      <c r="F5245" s="209">
        <v>9.14</v>
      </c>
      <c r="G5245" s="209">
        <v>35.74</v>
      </c>
      <c r="H5245" s="198"/>
    </row>
    <row r="5246" spans="1:8" ht="15.75" hidden="1" customHeight="1" x14ac:dyDescent="0.25">
      <c r="A5246" s="205" t="s">
        <v>5863</v>
      </c>
      <c r="B5246" s="206">
        <v>93100</v>
      </c>
      <c r="C5246" s="207" t="s">
        <v>5912</v>
      </c>
      <c r="D5246" s="208" t="s">
        <v>580</v>
      </c>
      <c r="E5246" s="209">
        <v>25.95</v>
      </c>
      <c r="F5246" s="209">
        <v>7.43</v>
      </c>
      <c r="G5246" s="209">
        <v>33.380000000000003</v>
      </c>
      <c r="H5246" s="198"/>
    </row>
    <row r="5247" spans="1:8" ht="15.75" hidden="1" customHeight="1" x14ac:dyDescent="0.25">
      <c r="A5247" s="205" t="s">
        <v>5863</v>
      </c>
      <c r="B5247" s="206">
        <v>93121</v>
      </c>
      <c r="C5247" s="207" t="s">
        <v>5913</v>
      </c>
      <c r="D5247" s="208" t="s">
        <v>580</v>
      </c>
      <c r="E5247" s="209">
        <v>27.71</v>
      </c>
      <c r="F5247" s="209">
        <v>4.84</v>
      </c>
      <c r="G5247" s="209">
        <v>32.549999999999997</v>
      </c>
      <c r="H5247" s="198"/>
    </row>
    <row r="5248" spans="1:8" ht="15.75" hidden="1" customHeight="1" x14ac:dyDescent="0.25">
      <c r="A5248" s="205" t="s">
        <v>5863</v>
      </c>
      <c r="B5248" s="206">
        <v>93078</v>
      </c>
      <c r="C5248" s="207" t="s">
        <v>5914</v>
      </c>
      <c r="D5248" s="208" t="s">
        <v>580</v>
      </c>
      <c r="E5248" s="209">
        <v>28.44</v>
      </c>
      <c r="F5248" s="209">
        <v>6.87</v>
      </c>
      <c r="G5248" s="209">
        <v>35.31</v>
      </c>
      <c r="H5248" s="198"/>
    </row>
    <row r="5249" spans="1:8" ht="15.75" hidden="1" customHeight="1" x14ac:dyDescent="0.25">
      <c r="A5249" s="205" t="s">
        <v>5863</v>
      </c>
      <c r="B5249" s="206">
        <v>103880</v>
      </c>
      <c r="C5249" s="207" t="s">
        <v>5915</v>
      </c>
      <c r="D5249" s="208" t="s">
        <v>580</v>
      </c>
      <c r="E5249" s="209">
        <v>29.48</v>
      </c>
      <c r="F5249" s="209">
        <v>9.7100000000000009</v>
      </c>
      <c r="G5249" s="209">
        <v>39.19</v>
      </c>
      <c r="H5249" s="198"/>
    </row>
    <row r="5250" spans="1:8" ht="15.75" hidden="1" customHeight="1" x14ac:dyDescent="0.25">
      <c r="A5250" s="205" t="s">
        <v>5863</v>
      </c>
      <c r="B5250" s="206">
        <v>103811</v>
      </c>
      <c r="C5250" s="207" t="s">
        <v>5916</v>
      </c>
      <c r="D5250" s="208" t="s">
        <v>580</v>
      </c>
      <c r="E5250" s="209">
        <v>30.64</v>
      </c>
      <c r="F5250" s="209">
        <v>12.79</v>
      </c>
      <c r="G5250" s="209">
        <v>43.43</v>
      </c>
      <c r="H5250" s="198"/>
    </row>
    <row r="5251" spans="1:8" ht="15.75" hidden="1" customHeight="1" x14ac:dyDescent="0.25">
      <c r="A5251" s="205" t="s">
        <v>5863</v>
      </c>
      <c r="B5251" s="206">
        <v>103844</v>
      </c>
      <c r="C5251" s="207" t="s">
        <v>5917</v>
      </c>
      <c r="D5251" s="208" t="s">
        <v>580</v>
      </c>
      <c r="E5251" s="209">
        <v>29.64</v>
      </c>
      <c r="F5251" s="209">
        <v>10.08</v>
      </c>
      <c r="G5251" s="209">
        <v>39.72</v>
      </c>
      <c r="H5251" s="198"/>
    </row>
    <row r="5252" spans="1:8" ht="15.75" hidden="1" customHeight="1" x14ac:dyDescent="0.25">
      <c r="A5252" s="205" t="s">
        <v>5863</v>
      </c>
      <c r="B5252" s="206">
        <v>93101</v>
      </c>
      <c r="C5252" s="207" t="s">
        <v>5918</v>
      </c>
      <c r="D5252" s="208" t="s">
        <v>580</v>
      </c>
      <c r="E5252" s="209">
        <v>29.02</v>
      </c>
      <c r="F5252" s="209">
        <v>8.34</v>
      </c>
      <c r="G5252" s="209">
        <v>37.36</v>
      </c>
      <c r="H5252" s="198"/>
    </row>
    <row r="5253" spans="1:8" ht="15.75" hidden="1" customHeight="1" x14ac:dyDescent="0.25">
      <c r="A5253" s="205" t="s">
        <v>5863</v>
      </c>
      <c r="B5253" s="206">
        <v>92311</v>
      </c>
      <c r="C5253" s="207" t="s">
        <v>5919</v>
      </c>
      <c r="D5253" s="208" t="s">
        <v>580</v>
      </c>
      <c r="E5253" s="209">
        <v>9.02</v>
      </c>
      <c r="F5253" s="209">
        <v>6.64</v>
      </c>
      <c r="G5253" s="209">
        <v>15.66</v>
      </c>
      <c r="H5253" s="198"/>
    </row>
    <row r="5254" spans="1:8" ht="15.75" hidden="1" customHeight="1" x14ac:dyDescent="0.25">
      <c r="A5254" s="205" t="s">
        <v>5863</v>
      </c>
      <c r="B5254" s="206">
        <v>103874</v>
      </c>
      <c r="C5254" s="207" t="s">
        <v>5920</v>
      </c>
      <c r="D5254" s="208" t="s">
        <v>580</v>
      </c>
      <c r="E5254" s="209">
        <v>10.7</v>
      </c>
      <c r="F5254" s="209">
        <v>11.91</v>
      </c>
      <c r="G5254" s="209">
        <v>22.61</v>
      </c>
      <c r="H5254" s="198"/>
    </row>
    <row r="5255" spans="1:8" ht="15.75" hidden="1" customHeight="1" x14ac:dyDescent="0.25">
      <c r="A5255" s="205" t="s">
        <v>5863</v>
      </c>
      <c r="B5255" s="206">
        <v>103805</v>
      </c>
      <c r="C5255" s="207" t="s">
        <v>5921</v>
      </c>
      <c r="D5255" s="208" t="s">
        <v>580</v>
      </c>
      <c r="E5255" s="209">
        <v>10.72</v>
      </c>
      <c r="F5255" s="209">
        <v>11.8</v>
      </c>
      <c r="G5255" s="209">
        <v>22.52</v>
      </c>
      <c r="H5255" s="198"/>
    </row>
    <row r="5256" spans="1:8" ht="15.75" hidden="1" customHeight="1" x14ac:dyDescent="0.25">
      <c r="A5256" s="205" t="s">
        <v>5863</v>
      </c>
      <c r="B5256" s="206">
        <v>103838</v>
      </c>
      <c r="C5256" s="207" t="s">
        <v>5922</v>
      </c>
      <c r="D5256" s="208" t="s">
        <v>580</v>
      </c>
      <c r="E5256" s="209">
        <v>10.46</v>
      </c>
      <c r="F5256" s="209">
        <v>11.11</v>
      </c>
      <c r="G5256" s="209">
        <v>21.57</v>
      </c>
      <c r="H5256" s="198"/>
    </row>
    <row r="5257" spans="1:8" ht="15.75" hidden="1" customHeight="1" x14ac:dyDescent="0.25">
      <c r="A5257" s="205" t="s">
        <v>5863</v>
      </c>
      <c r="B5257" s="206">
        <v>92326</v>
      </c>
      <c r="C5257" s="207" t="s">
        <v>5923</v>
      </c>
      <c r="D5257" s="208" t="s">
        <v>580</v>
      </c>
      <c r="E5257" s="209">
        <v>9.1300000000000008</v>
      </c>
      <c r="F5257" s="209">
        <v>7.51</v>
      </c>
      <c r="G5257" s="209">
        <v>16.64</v>
      </c>
      <c r="H5257" s="198"/>
    </row>
    <row r="5258" spans="1:8" ht="15.75" hidden="1" customHeight="1" x14ac:dyDescent="0.25">
      <c r="A5258" s="205" t="s">
        <v>5863</v>
      </c>
      <c r="B5258" s="206">
        <v>92287</v>
      </c>
      <c r="C5258" s="207" t="s">
        <v>5924</v>
      </c>
      <c r="D5258" s="208" t="s">
        <v>580</v>
      </c>
      <c r="E5258" s="209">
        <v>15.51</v>
      </c>
      <c r="F5258" s="209">
        <v>4.32</v>
      </c>
      <c r="G5258" s="209">
        <v>19.829999999999998</v>
      </c>
      <c r="H5258" s="198"/>
    </row>
    <row r="5259" spans="1:8" ht="15.75" hidden="1" customHeight="1" x14ac:dyDescent="0.25">
      <c r="A5259" s="205" t="s">
        <v>5863</v>
      </c>
      <c r="B5259" s="206">
        <v>92312</v>
      </c>
      <c r="C5259" s="207" t="s">
        <v>5925</v>
      </c>
      <c r="D5259" s="208" t="s">
        <v>580</v>
      </c>
      <c r="E5259" s="209">
        <v>17.010000000000002</v>
      </c>
      <c r="F5259" s="209">
        <v>8.36</v>
      </c>
      <c r="G5259" s="209">
        <v>25.37</v>
      </c>
      <c r="H5259" s="198"/>
    </row>
    <row r="5260" spans="1:8" ht="15.75" hidden="1" customHeight="1" x14ac:dyDescent="0.25">
      <c r="A5260" s="205" t="s">
        <v>5863</v>
      </c>
      <c r="B5260" s="206">
        <v>103877</v>
      </c>
      <c r="C5260" s="207" t="s">
        <v>5926</v>
      </c>
      <c r="D5260" s="208" t="s">
        <v>580</v>
      </c>
      <c r="E5260" s="209">
        <v>19.03</v>
      </c>
      <c r="F5260" s="209">
        <v>14.07</v>
      </c>
      <c r="G5260" s="209">
        <v>33.1</v>
      </c>
      <c r="H5260" s="198"/>
    </row>
    <row r="5261" spans="1:8" ht="15.75" hidden="1" customHeight="1" x14ac:dyDescent="0.25">
      <c r="A5261" s="205" t="s">
        <v>5863</v>
      </c>
      <c r="B5261" s="206">
        <v>103808</v>
      </c>
      <c r="C5261" s="207" t="s">
        <v>5927</v>
      </c>
      <c r="D5261" s="208" t="s">
        <v>580</v>
      </c>
      <c r="E5261" s="209">
        <v>21.37</v>
      </c>
      <c r="F5261" s="209">
        <v>20.23</v>
      </c>
      <c r="G5261" s="209">
        <v>41.6</v>
      </c>
      <c r="H5261" s="198"/>
    </row>
    <row r="5262" spans="1:8" ht="15.75" hidden="1" customHeight="1" x14ac:dyDescent="0.25">
      <c r="A5262" s="205" t="s">
        <v>5863</v>
      </c>
      <c r="B5262" s="206">
        <v>103841</v>
      </c>
      <c r="C5262" s="207" t="s">
        <v>5928</v>
      </c>
      <c r="D5262" s="208" t="s">
        <v>580</v>
      </c>
      <c r="E5262" s="209">
        <v>19.38</v>
      </c>
      <c r="F5262" s="209">
        <v>14.79</v>
      </c>
      <c r="G5262" s="209">
        <v>34.17</v>
      </c>
      <c r="H5262" s="198"/>
    </row>
    <row r="5263" spans="1:8" ht="15.75" hidden="1" customHeight="1" x14ac:dyDescent="0.25">
      <c r="A5263" s="205" t="s">
        <v>5863</v>
      </c>
      <c r="B5263" s="206">
        <v>92327</v>
      </c>
      <c r="C5263" s="207" t="s">
        <v>5929</v>
      </c>
      <c r="D5263" s="208" t="s">
        <v>580</v>
      </c>
      <c r="E5263" s="209">
        <v>18.11</v>
      </c>
      <c r="F5263" s="209">
        <v>11.36</v>
      </c>
      <c r="G5263" s="209">
        <v>29.47</v>
      </c>
      <c r="H5263" s="198"/>
    </row>
    <row r="5264" spans="1:8" ht="15.75" hidden="1" customHeight="1" x14ac:dyDescent="0.25">
      <c r="A5264" s="205" t="s">
        <v>5863</v>
      </c>
      <c r="B5264" s="206">
        <v>92288</v>
      </c>
      <c r="C5264" s="207" t="s">
        <v>5930</v>
      </c>
      <c r="D5264" s="208" t="s">
        <v>580</v>
      </c>
      <c r="E5264" s="209">
        <v>25.39</v>
      </c>
      <c r="F5264" s="209">
        <v>5.58</v>
      </c>
      <c r="G5264" s="209">
        <v>30.97</v>
      </c>
      <c r="H5264" s="198"/>
    </row>
    <row r="5265" spans="1:8" ht="15.75" hidden="1" customHeight="1" x14ac:dyDescent="0.25">
      <c r="A5265" s="205" t="s">
        <v>5863</v>
      </c>
      <c r="B5265" s="206">
        <v>92313</v>
      </c>
      <c r="C5265" s="207" t="s">
        <v>5931</v>
      </c>
      <c r="D5265" s="208" t="s">
        <v>580</v>
      </c>
      <c r="E5265" s="209">
        <v>26.74</v>
      </c>
      <c r="F5265" s="209">
        <v>9.33</v>
      </c>
      <c r="G5265" s="209">
        <v>36.07</v>
      </c>
      <c r="H5265" s="198"/>
    </row>
    <row r="5266" spans="1:8" ht="15.75" hidden="1" customHeight="1" x14ac:dyDescent="0.25">
      <c r="A5266" s="205" t="s">
        <v>5863</v>
      </c>
      <c r="B5266" s="206">
        <v>103881</v>
      </c>
      <c r="C5266" s="207" t="s">
        <v>5932</v>
      </c>
      <c r="D5266" s="208" t="s">
        <v>580</v>
      </c>
      <c r="E5266" s="209">
        <v>29.1</v>
      </c>
      <c r="F5266" s="209">
        <v>15.93</v>
      </c>
      <c r="G5266" s="209">
        <v>45.03</v>
      </c>
      <c r="H5266" s="198"/>
    </row>
    <row r="5267" spans="1:8" ht="15.75" hidden="1" customHeight="1" x14ac:dyDescent="0.25">
      <c r="A5267" s="205" t="s">
        <v>5863</v>
      </c>
      <c r="B5267" s="206">
        <v>103812</v>
      </c>
      <c r="C5267" s="207" t="s">
        <v>5933</v>
      </c>
      <c r="D5267" s="208" t="s">
        <v>580</v>
      </c>
      <c r="E5267" s="209">
        <v>33.43</v>
      </c>
      <c r="F5267" s="209">
        <v>27.46</v>
      </c>
      <c r="G5267" s="209">
        <v>60.89</v>
      </c>
      <c r="H5267" s="198"/>
    </row>
    <row r="5268" spans="1:8" ht="15.75" hidden="1" customHeight="1" x14ac:dyDescent="0.25">
      <c r="A5268" s="205" t="s">
        <v>5863</v>
      </c>
      <c r="B5268" s="206">
        <v>103845</v>
      </c>
      <c r="C5268" s="207" t="s">
        <v>5934</v>
      </c>
      <c r="D5268" s="208" t="s">
        <v>580</v>
      </c>
      <c r="E5268" s="209">
        <v>29.93</v>
      </c>
      <c r="F5268" s="209">
        <v>17.97</v>
      </c>
      <c r="G5268" s="209">
        <v>47.9</v>
      </c>
      <c r="H5268" s="198"/>
    </row>
    <row r="5269" spans="1:8" ht="15.75" hidden="1" customHeight="1" x14ac:dyDescent="0.25">
      <c r="A5269" s="205" t="s">
        <v>5863</v>
      </c>
      <c r="B5269" s="206">
        <v>92328</v>
      </c>
      <c r="C5269" s="207" t="s">
        <v>5935</v>
      </c>
      <c r="D5269" s="208" t="s">
        <v>580</v>
      </c>
      <c r="E5269" s="209">
        <v>28.71</v>
      </c>
      <c r="F5269" s="209">
        <v>14.67</v>
      </c>
      <c r="G5269" s="209">
        <v>43.38</v>
      </c>
      <c r="H5269" s="198"/>
    </row>
    <row r="5270" spans="1:8" ht="15.75" hidden="1" customHeight="1" x14ac:dyDescent="0.25">
      <c r="A5270" s="205" t="s">
        <v>5863</v>
      </c>
      <c r="B5270" s="206">
        <v>92289</v>
      </c>
      <c r="C5270" s="207" t="s">
        <v>5936</v>
      </c>
      <c r="D5270" s="208" t="s">
        <v>580</v>
      </c>
      <c r="E5270" s="209">
        <v>47.1</v>
      </c>
      <c r="F5270" s="209">
        <v>7.03</v>
      </c>
      <c r="G5270" s="209">
        <v>54.13</v>
      </c>
      <c r="H5270" s="198"/>
    </row>
    <row r="5271" spans="1:8" ht="15.75" hidden="1" customHeight="1" x14ac:dyDescent="0.25">
      <c r="A5271" s="205" t="s">
        <v>5863</v>
      </c>
      <c r="B5271" s="206">
        <v>92290</v>
      </c>
      <c r="C5271" s="207" t="s">
        <v>5937</v>
      </c>
      <c r="D5271" s="208" t="s">
        <v>580</v>
      </c>
      <c r="E5271" s="209">
        <v>72.97</v>
      </c>
      <c r="F5271" s="209">
        <v>8.48</v>
      </c>
      <c r="G5271" s="209">
        <v>81.45</v>
      </c>
      <c r="H5271" s="198"/>
    </row>
    <row r="5272" spans="1:8" ht="15.75" hidden="1" customHeight="1" x14ac:dyDescent="0.25">
      <c r="A5272" s="205" t="s">
        <v>5863</v>
      </c>
      <c r="B5272" s="206">
        <v>92291</v>
      </c>
      <c r="C5272" s="207" t="s">
        <v>5938</v>
      </c>
      <c r="D5272" s="208" t="s">
        <v>580</v>
      </c>
      <c r="E5272" s="209">
        <v>114.66</v>
      </c>
      <c r="F5272" s="209">
        <v>10.99</v>
      </c>
      <c r="G5272" s="209">
        <v>125.65</v>
      </c>
      <c r="H5272" s="198"/>
    </row>
    <row r="5273" spans="1:8" ht="15.75" hidden="1" customHeight="1" x14ac:dyDescent="0.25">
      <c r="A5273" s="205" t="s">
        <v>5863</v>
      </c>
      <c r="B5273" s="206">
        <v>92292</v>
      </c>
      <c r="C5273" s="207" t="s">
        <v>5939</v>
      </c>
      <c r="D5273" s="208" t="s">
        <v>580</v>
      </c>
      <c r="E5273" s="209">
        <v>370.39</v>
      </c>
      <c r="F5273" s="209">
        <v>13.51</v>
      </c>
      <c r="G5273" s="209">
        <v>383.9</v>
      </c>
      <c r="H5273" s="198"/>
    </row>
    <row r="5274" spans="1:8" ht="15.75" hidden="1" customHeight="1" x14ac:dyDescent="0.25">
      <c r="A5274" s="205" t="s">
        <v>5863</v>
      </c>
      <c r="B5274" s="206">
        <v>93082</v>
      </c>
      <c r="C5274" s="207" t="s">
        <v>5940</v>
      </c>
      <c r="D5274" s="208" t="s">
        <v>580</v>
      </c>
      <c r="E5274" s="209">
        <v>22.1</v>
      </c>
      <c r="F5274" s="209">
        <v>4.83</v>
      </c>
      <c r="G5274" s="209">
        <v>26.93</v>
      </c>
      <c r="H5274" s="198"/>
    </row>
    <row r="5275" spans="1:8" ht="15.75" hidden="1" customHeight="1" x14ac:dyDescent="0.25">
      <c r="A5275" s="205" t="s">
        <v>5863</v>
      </c>
      <c r="B5275" s="206">
        <v>103885</v>
      </c>
      <c r="C5275" s="207" t="s">
        <v>5941</v>
      </c>
      <c r="D5275" s="208" t="s">
        <v>580</v>
      </c>
      <c r="E5275" s="209">
        <v>23.2</v>
      </c>
      <c r="F5275" s="209">
        <v>7.94</v>
      </c>
      <c r="G5275" s="209">
        <v>31.14</v>
      </c>
      <c r="H5275" s="198"/>
    </row>
    <row r="5276" spans="1:8" ht="15.75" hidden="1" customHeight="1" x14ac:dyDescent="0.25">
      <c r="A5276" s="205" t="s">
        <v>5863</v>
      </c>
      <c r="B5276" s="206">
        <v>103816</v>
      </c>
      <c r="C5276" s="207" t="s">
        <v>5942</v>
      </c>
      <c r="D5276" s="208" t="s">
        <v>580</v>
      </c>
      <c r="E5276" s="209">
        <v>23.25</v>
      </c>
      <c r="F5276" s="209">
        <v>7.85</v>
      </c>
      <c r="G5276" s="209">
        <v>31.1</v>
      </c>
      <c r="H5276" s="198"/>
    </row>
    <row r="5277" spans="1:8" ht="15.75" hidden="1" customHeight="1" x14ac:dyDescent="0.25">
      <c r="A5277" s="205" t="s">
        <v>5863</v>
      </c>
      <c r="B5277" s="206">
        <v>103849</v>
      </c>
      <c r="C5277" s="207" t="s">
        <v>5943</v>
      </c>
      <c r="D5277" s="208" t="s">
        <v>580</v>
      </c>
      <c r="E5277" s="209">
        <v>23.07</v>
      </c>
      <c r="F5277" s="209">
        <v>7.39</v>
      </c>
      <c r="G5277" s="209">
        <v>30.46</v>
      </c>
      <c r="H5277" s="198"/>
    </row>
    <row r="5278" spans="1:8" ht="15.75" hidden="1" customHeight="1" x14ac:dyDescent="0.25">
      <c r="A5278" s="205" t="s">
        <v>5863</v>
      </c>
      <c r="B5278" s="206">
        <v>93105</v>
      </c>
      <c r="C5278" s="207" t="s">
        <v>5944</v>
      </c>
      <c r="D5278" s="208" t="s">
        <v>580</v>
      </c>
      <c r="E5278" s="209">
        <v>22.16</v>
      </c>
      <c r="F5278" s="209">
        <v>5</v>
      </c>
      <c r="G5278" s="209">
        <v>27.16</v>
      </c>
      <c r="H5278" s="198"/>
    </row>
    <row r="5279" spans="1:8" ht="15.75" hidden="1" customHeight="1" x14ac:dyDescent="0.25">
      <c r="A5279" s="205" t="s">
        <v>5863</v>
      </c>
      <c r="B5279" s="206">
        <v>93055</v>
      </c>
      <c r="C5279" s="207" t="s">
        <v>5945</v>
      </c>
      <c r="D5279" s="208" t="s">
        <v>580</v>
      </c>
      <c r="E5279" s="209">
        <v>45.74</v>
      </c>
      <c r="F5279" s="209">
        <v>2.87</v>
      </c>
      <c r="G5279" s="209">
        <v>48.61</v>
      </c>
      <c r="H5279" s="198"/>
    </row>
    <row r="5280" spans="1:8" ht="15.75" hidden="1" customHeight="1" x14ac:dyDescent="0.25">
      <c r="A5280" s="205" t="s">
        <v>5863</v>
      </c>
      <c r="B5280" s="206">
        <v>93089</v>
      </c>
      <c r="C5280" s="207" t="s">
        <v>5946</v>
      </c>
      <c r="D5280" s="208" t="s">
        <v>580</v>
      </c>
      <c r="E5280" s="209">
        <v>46.73</v>
      </c>
      <c r="F5280" s="209">
        <v>5.58</v>
      </c>
      <c r="G5280" s="209">
        <v>52.31</v>
      </c>
      <c r="H5280" s="198"/>
    </row>
    <row r="5281" spans="1:8" ht="15.75" hidden="1" customHeight="1" x14ac:dyDescent="0.25">
      <c r="A5281" s="205" t="s">
        <v>5863</v>
      </c>
      <c r="B5281" s="206">
        <v>103891</v>
      </c>
      <c r="C5281" s="207" t="s">
        <v>5947</v>
      </c>
      <c r="D5281" s="208" t="s">
        <v>580</v>
      </c>
      <c r="E5281" s="209">
        <v>48.1</v>
      </c>
      <c r="F5281" s="209">
        <v>9.3699999999999992</v>
      </c>
      <c r="G5281" s="209">
        <v>57.47</v>
      </c>
      <c r="H5281" s="198"/>
    </row>
    <row r="5282" spans="1:8" ht="15.75" hidden="1" customHeight="1" x14ac:dyDescent="0.25">
      <c r="A5282" s="205" t="s">
        <v>5863</v>
      </c>
      <c r="B5282" s="206">
        <v>103822</v>
      </c>
      <c r="C5282" s="207" t="s">
        <v>5948</v>
      </c>
      <c r="D5282" s="208" t="s">
        <v>580</v>
      </c>
      <c r="E5282" s="209">
        <v>49.7</v>
      </c>
      <c r="F5282" s="209">
        <v>13.48</v>
      </c>
      <c r="G5282" s="209">
        <v>63.18</v>
      </c>
      <c r="H5282" s="198"/>
    </row>
    <row r="5283" spans="1:8" ht="15.75" hidden="1" customHeight="1" x14ac:dyDescent="0.25">
      <c r="A5283" s="205" t="s">
        <v>5863</v>
      </c>
      <c r="B5283" s="206">
        <v>103855</v>
      </c>
      <c r="C5283" s="207" t="s">
        <v>5949</v>
      </c>
      <c r="D5283" s="208" t="s">
        <v>580</v>
      </c>
      <c r="E5283" s="209">
        <v>48.34</v>
      </c>
      <c r="F5283" s="209">
        <v>9.8699999999999992</v>
      </c>
      <c r="G5283" s="209">
        <v>58.21</v>
      </c>
      <c r="H5283" s="198"/>
    </row>
    <row r="5284" spans="1:8" ht="15.75" hidden="1" customHeight="1" x14ac:dyDescent="0.25">
      <c r="A5284" s="205" t="s">
        <v>5863</v>
      </c>
      <c r="B5284" s="206">
        <v>93112</v>
      </c>
      <c r="C5284" s="207" t="s">
        <v>5950</v>
      </c>
      <c r="D5284" s="208" t="s">
        <v>580</v>
      </c>
      <c r="E5284" s="209">
        <v>47.49</v>
      </c>
      <c r="F5284" s="209">
        <v>7.56</v>
      </c>
      <c r="G5284" s="209">
        <v>55.05</v>
      </c>
      <c r="H5284" s="198"/>
    </row>
    <row r="5285" spans="1:8" ht="15.75" hidden="1" customHeight="1" x14ac:dyDescent="0.25">
      <c r="A5285" s="205" t="s">
        <v>5863</v>
      </c>
      <c r="B5285" s="206">
        <v>93060</v>
      </c>
      <c r="C5285" s="207" t="s">
        <v>5951</v>
      </c>
      <c r="D5285" s="208" t="s">
        <v>580</v>
      </c>
      <c r="E5285" s="209">
        <v>81.13</v>
      </c>
      <c r="F5285" s="209">
        <v>3.7</v>
      </c>
      <c r="G5285" s="209">
        <v>84.83</v>
      </c>
      <c r="H5285" s="198"/>
    </row>
    <row r="5286" spans="1:8" ht="15.75" hidden="1" customHeight="1" x14ac:dyDescent="0.25">
      <c r="A5286" s="205" t="s">
        <v>5863</v>
      </c>
      <c r="B5286" s="206">
        <v>93094</v>
      </c>
      <c r="C5286" s="207" t="s">
        <v>5952</v>
      </c>
      <c r="D5286" s="208" t="s">
        <v>580</v>
      </c>
      <c r="E5286" s="209">
        <v>82.03</v>
      </c>
      <c r="F5286" s="209">
        <v>6.22</v>
      </c>
      <c r="G5286" s="209">
        <v>88.25</v>
      </c>
      <c r="H5286" s="198"/>
    </row>
    <row r="5287" spans="1:8" ht="15.75" hidden="1" customHeight="1" x14ac:dyDescent="0.25">
      <c r="A5287" s="205" t="s">
        <v>5863</v>
      </c>
      <c r="B5287" s="206">
        <v>103897</v>
      </c>
      <c r="C5287" s="207" t="s">
        <v>5953</v>
      </c>
      <c r="D5287" s="208" t="s">
        <v>580</v>
      </c>
      <c r="E5287" s="209">
        <v>83.62</v>
      </c>
      <c r="F5287" s="209">
        <v>10.6</v>
      </c>
      <c r="G5287" s="209">
        <v>94.22</v>
      </c>
      <c r="H5287" s="198"/>
    </row>
    <row r="5288" spans="1:8" ht="15.75" hidden="1" customHeight="1" x14ac:dyDescent="0.25">
      <c r="A5288" s="205" t="s">
        <v>5863</v>
      </c>
      <c r="B5288" s="206">
        <v>103828</v>
      </c>
      <c r="C5288" s="207" t="s">
        <v>5954</v>
      </c>
      <c r="D5288" s="208" t="s">
        <v>580</v>
      </c>
      <c r="E5288" s="209">
        <v>86.05</v>
      </c>
      <c r="F5288" s="209">
        <v>18.309999999999999</v>
      </c>
      <c r="G5288" s="209">
        <v>104.36</v>
      </c>
      <c r="H5288" s="198"/>
    </row>
    <row r="5289" spans="1:8" ht="15.75" hidden="1" customHeight="1" x14ac:dyDescent="0.25">
      <c r="A5289" s="205" t="s">
        <v>5863</v>
      </c>
      <c r="B5289" s="206">
        <v>103861</v>
      </c>
      <c r="C5289" s="207" t="s">
        <v>5955</v>
      </c>
      <c r="D5289" s="208" t="s">
        <v>580</v>
      </c>
      <c r="E5289" s="209">
        <v>84.2</v>
      </c>
      <c r="F5289" s="209">
        <v>11.97</v>
      </c>
      <c r="G5289" s="209">
        <v>96.17</v>
      </c>
      <c r="H5289" s="198"/>
    </row>
    <row r="5290" spans="1:8" ht="15.75" hidden="1" customHeight="1" x14ac:dyDescent="0.25">
      <c r="A5290" s="205" t="s">
        <v>5863</v>
      </c>
      <c r="B5290" s="206">
        <v>93115</v>
      </c>
      <c r="C5290" s="207" t="s">
        <v>5956</v>
      </c>
      <c r="D5290" s="208" t="s">
        <v>580</v>
      </c>
      <c r="E5290" s="209">
        <v>83.37</v>
      </c>
      <c r="F5290" s="209">
        <v>9.77</v>
      </c>
      <c r="G5290" s="209">
        <v>93.14</v>
      </c>
      <c r="H5290" s="198"/>
    </row>
    <row r="5291" spans="1:8" ht="15.75" hidden="1" customHeight="1" x14ac:dyDescent="0.25">
      <c r="A5291" s="205" t="s">
        <v>5863</v>
      </c>
      <c r="B5291" s="206">
        <v>93074</v>
      </c>
      <c r="C5291" s="207" t="s">
        <v>5957</v>
      </c>
      <c r="D5291" s="208" t="s">
        <v>580</v>
      </c>
      <c r="E5291" s="209">
        <v>9.02</v>
      </c>
      <c r="F5291" s="209">
        <v>7.25</v>
      </c>
      <c r="G5291" s="209">
        <v>16.27</v>
      </c>
      <c r="H5291" s="198"/>
    </row>
    <row r="5292" spans="1:8" ht="15.75" hidden="1" customHeight="1" x14ac:dyDescent="0.25">
      <c r="A5292" s="205" t="s">
        <v>5863</v>
      </c>
      <c r="B5292" s="206">
        <v>103875</v>
      </c>
      <c r="C5292" s="207" t="s">
        <v>5958</v>
      </c>
      <c r="D5292" s="208" t="s">
        <v>580</v>
      </c>
      <c r="E5292" s="209">
        <v>10.67</v>
      </c>
      <c r="F5292" s="209">
        <v>11.91</v>
      </c>
      <c r="G5292" s="209">
        <v>22.58</v>
      </c>
      <c r="H5292" s="198"/>
    </row>
    <row r="5293" spans="1:8" ht="15.75" hidden="1" customHeight="1" x14ac:dyDescent="0.25">
      <c r="A5293" s="205" t="s">
        <v>5863</v>
      </c>
      <c r="B5293" s="206">
        <v>103806</v>
      </c>
      <c r="C5293" s="207" t="s">
        <v>5959</v>
      </c>
      <c r="D5293" s="208" t="s">
        <v>580</v>
      </c>
      <c r="E5293" s="209">
        <v>10.69</v>
      </c>
      <c r="F5293" s="209">
        <v>11.8</v>
      </c>
      <c r="G5293" s="209">
        <v>22.49</v>
      </c>
      <c r="H5293" s="198"/>
    </row>
    <row r="5294" spans="1:8" ht="15.75" hidden="1" customHeight="1" x14ac:dyDescent="0.25">
      <c r="A5294" s="205" t="s">
        <v>5863</v>
      </c>
      <c r="B5294" s="206">
        <v>103839</v>
      </c>
      <c r="C5294" s="207" t="s">
        <v>5960</v>
      </c>
      <c r="D5294" s="208" t="s">
        <v>580</v>
      </c>
      <c r="E5294" s="209">
        <v>10.43</v>
      </c>
      <c r="F5294" s="209">
        <v>11.11</v>
      </c>
      <c r="G5294" s="209">
        <v>21.54</v>
      </c>
      <c r="H5294" s="198"/>
    </row>
    <row r="5295" spans="1:8" ht="15.75" hidden="1" customHeight="1" x14ac:dyDescent="0.25">
      <c r="A5295" s="205" t="s">
        <v>5863</v>
      </c>
      <c r="B5295" s="206">
        <v>93097</v>
      </c>
      <c r="C5295" s="207" t="s">
        <v>5961</v>
      </c>
      <c r="D5295" s="208" t="s">
        <v>580</v>
      </c>
      <c r="E5295" s="209">
        <v>9.1</v>
      </c>
      <c r="F5295" s="209">
        <v>7.52</v>
      </c>
      <c r="G5295" s="209">
        <v>16.62</v>
      </c>
      <c r="H5295" s="198"/>
    </row>
    <row r="5296" spans="1:8" ht="15.75" hidden="1" customHeight="1" x14ac:dyDescent="0.25">
      <c r="A5296" s="205" t="s">
        <v>5863</v>
      </c>
      <c r="B5296" s="206">
        <v>93119</v>
      </c>
      <c r="C5296" s="207" t="s">
        <v>5962</v>
      </c>
      <c r="D5296" s="208" t="s">
        <v>580</v>
      </c>
      <c r="E5296" s="209">
        <v>15.21</v>
      </c>
      <c r="F5296" s="209">
        <v>4.3099999999999996</v>
      </c>
      <c r="G5296" s="209">
        <v>19.52</v>
      </c>
      <c r="H5296" s="198"/>
    </row>
    <row r="5297" spans="1:8" ht="15.75" hidden="1" customHeight="1" x14ac:dyDescent="0.25">
      <c r="A5297" s="205" t="s">
        <v>5863</v>
      </c>
      <c r="B5297" s="206">
        <v>93076</v>
      </c>
      <c r="C5297" s="207" t="s">
        <v>5963</v>
      </c>
      <c r="D5297" s="208" t="s">
        <v>580</v>
      </c>
      <c r="E5297" s="209">
        <v>16.690000000000001</v>
      </c>
      <c r="F5297" s="209">
        <v>8.3699999999999992</v>
      </c>
      <c r="G5297" s="209">
        <v>25.06</v>
      </c>
      <c r="H5297" s="198"/>
    </row>
    <row r="5298" spans="1:8" ht="15.75" hidden="1" customHeight="1" x14ac:dyDescent="0.25">
      <c r="A5298" s="205" t="s">
        <v>5863</v>
      </c>
      <c r="B5298" s="206">
        <v>103878</v>
      </c>
      <c r="C5298" s="207" t="s">
        <v>5964</v>
      </c>
      <c r="D5298" s="208" t="s">
        <v>580</v>
      </c>
      <c r="E5298" s="209">
        <v>18.72</v>
      </c>
      <c r="F5298" s="209">
        <v>14.07</v>
      </c>
      <c r="G5298" s="209">
        <v>32.79</v>
      </c>
      <c r="H5298" s="198"/>
    </row>
    <row r="5299" spans="1:8" ht="15.75" hidden="1" customHeight="1" x14ac:dyDescent="0.25">
      <c r="A5299" s="205" t="s">
        <v>5863</v>
      </c>
      <c r="B5299" s="206">
        <v>103809</v>
      </c>
      <c r="C5299" s="207" t="s">
        <v>5965</v>
      </c>
      <c r="D5299" s="208" t="s">
        <v>580</v>
      </c>
      <c r="E5299" s="209">
        <v>21.07</v>
      </c>
      <c r="F5299" s="209">
        <v>20.22</v>
      </c>
      <c r="G5299" s="209">
        <v>41.29</v>
      </c>
      <c r="H5299" s="198"/>
    </row>
    <row r="5300" spans="1:8" ht="15.75" hidden="1" customHeight="1" x14ac:dyDescent="0.25">
      <c r="A5300" s="205" t="s">
        <v>5863</v>
      </c>
      <c r="B5300" s="206">
        <v>103842</v>
      </c>
      <c r="C5300" s="207" t="s">
        <v>5966</v>
      </c>
      <c r="D5300" s="208" t="s">
        <v>580</v>
      </c>
      <c r="E5300" s="209">
        <v>19.059999999999999</v>
      </c>
      <c r="F5300" s="209">
        <v>14.8</v>
      </c>
      <c r="G5300" s="209">
        <v>33.86</v>
      </c>
      <c r="H5300" s="198"/>
    </row>
    <row r="5301" spans="1:8" ht="15.75" hidden="1" customHeight="1" x14ac:dyDescent="0.25">
      <c r="A5301" s="205" t="s">
        <v>5863</v>
      </c>
      <c r="B5301" s="206">
        <v>93099</v>
      </c>
      <c r="C5301" s="207" t="s">
        <v>5967</v>
      </c>
      <c r="D5301" s="208" t="s">
        <v>580</v>
      </c>
      <c r="E5301" s="209">
        <v>17.8</v>
      </c>
      <c r="F5301" s="209">
        <v>11.36</v>
      </c>
      <c r="G5301" s="209">
        <v>29.16</v>
      </c>
      <c r="H5301" s="198"/>
    </row>
    <row r="5302" spans="1:8" ht="15.75" hidden="1" customHeight="1" x14ac:dyDescent="0.25">
      <c r="A5302" s="205" t="s">
        <v>5863</v>
      </c>
      <c r="B5302" s="206">
        <v>93122</v>
      </c>
      <c r="C5302" s="207" t="s">
        <v>5968</v>
      </c>
      <c r="D5302" s="208" t="s">
        <v>580</v>
      </c>
      <c r="E5302" s="209">
        <v>23.52</v>
      </c>
      <c r="F5302" s="209">
        <v>5.57</v>
      </c>
      <c r="G5302" s="209">
        <v>29.09</v>
      </c>
      <c r="H5302" s="198"/>
    </row>
    <row r="5303" spans="1:8" ht="15.75" hidden="1" customHeight="1" x14ac:dyDescent="0.25">
      <c r="A5303" s="205" t="s">
        <v>5863</v>
      </c>
      <c r="B5303" s="206">
        <v>93079</v>
      </c>
      <c r="C5303" s="207" t="s">
        <v>5969</v>
      </c>
      <c r="D5303" s="208" t="s">
        <v>580</v>
      </c>
      <c r="E5303" s="209">
        <v>24.85</v>
      </c>
      <c r="F5303" s="209">
        <v>9.34</v>
      </c>
      <c r="G5303" s="209">
        <v>34.19</v>
      </c>
      <c r="H5303" s="198"/>
    </row>
    <row r="5304" spans="1:8" ht="15.75" hidden="1" customHeight="1" x14ac:dyDescent="0.25">
      <c r="A5304" s="205" t="s">
        <v>5863</v>
      </c>
      <c r="B5304" s="206">
        <v>103882</v>
      </c>
      <c r="C5304" s="207" t="s">
        <v>5970</v>
      </c>
      <c r="D5304" s="208" t="s">
        <v>580</v>
      </c>
      <c r="E5304" s="209">
        <v>27.22</v>
      </c>
      <c r="F5304" s="209">
        <v>15.93</v>
      </c>
      <c r="G5304" s="209">
        <v>43.15</v>
      </c>
      <c r="H5304" s="198"/>
    </row>
    <row r="5305" spans="1:8" ht="15.75" hidden="1" customHeight="1" x14ac:dyDescent="0.25">
      <c r="A5305" s="205" t="s">
        <v>5863</v>
      </c>
      <c r="B5305" s="206">
        <v>103813</v>
      </c>
      <c r="C5305" s="207" t="s">
        <v>5971</v>
      </c>
      <c r="D5305" s="208" t="s">
        <v>580</v>
      </c>
      <c r="E5305" s="209">
        <v>31.56</v>
      </c>
      <c r="F5305" s="209">
        <v>27.45</v>
      </c>
      <c r="G5305" s="209">
        <v>59.01</v>
      </c>
      <c r="H5305" s="198"/>
    </row>
    <row r="5306" spans="1:8" ht="15.75" hidden="1" customHeight="1" x14ac:dyDescent="0.25">
      <c r="A5306" s="205" t="s">
        <v>5863</v>
      </c>
      <c r="B5306" s="206">
        <v>103846</v>
      </c>
      <c r="C5306" s="207" t="s">
        <v>5972</v>
      </c>
      <c r="D5306" s="208" t="s">
        <v>580</v>
      </c>
      <c r="E5306" s="209">
        <v>28.05</v>
      </c>
      <c r="F5306" s="209">
        <v>17.97</v>
      </c>
      <c r="G5306" s="209">
        <v>46.02</v>
      </c>
      <c r="H5306" s="198"/>
    </row>
    <row r="5307" spans="1:8" ht="15.75" hidden="1" customHeight="1" x14ac:dyDescent="0.25">
      <c r="A5307" s="205" t="s">
        <v>5863</v>
      </c>
      <c r="B5307" s="206">
        <v>93102</v>
      </c>
      <c r="C5307" s="207" t="s">
        <v>5973</v>
      </c>
      <c r="D5307" s="208" t="s">
        <v>580</v>
      </c>
      <c r="E5307" s="209">
        <v>26.83</v>
      </c>
      <c r="F5307" s="209">
        <v>14.67</v>
      </c>
      <c r="G5307" s="209">
        <v>41.5</v>
      </c>
      <c r="H5307" s="198"/>
    </row>
    <row r="5308" spans="1:8" ht="15.75" hidden="1" customHeight="1" x14ac:dyDescent="0.25">
      <c r="A5308" s="205" t="s">
        <v>5863</v>
      </c>
      <c r="B5308" s="206">
        <v>93123</v>
      </c>
      <c r="C5308" s="207" t="s">
        <v>5974</v>
      </c>
      <c r="D5308" s="208" t="s">
        <v>580</v>
      </c>
      <c r="E5308" s="209">
        <v>56.35</v>
      </c>
      <c r="F5308" s="209">
        <v>7.02</v>
      </c>
      <c r="G5308" s="209">
        <v>63.37</v>
      </c>
      <c r="H5308" s="198"/>
    </row>
    <row r="5309" spans="1:8" ht="15.75" hidden="1" customHeight="1" x14ac:dyDescent="0.25">
      <c r="A5309" s="205" t="s">
        <v>5863</v>
      </c>
      <c r="B5309" s="206">
        <v>93124</v>
      </c>
      <c r="C5309" s="207" t="s">
        <v>5975</v>
      </c>
      <c r="D5309" s="208" t="s">
        <v>580</v>
      </c>
      <c r="E5309" s="209">
        <v>90.32</v>
      </c>
      <c r="F5309" s="209">
        <v>8.48</v>
      </c>
      <c r="G5309" s="209">
        <v>98.8</v>
      </c>
      <c r="H5309" s="198"/>
    </row>
    <row r="5310" spans="1:8" ht="15.75" hidden="1" customHeight="1" x14ac:dyDescent="0.25">
      <c r="A5310" s="205" t="s">
        <v>5863</v>
      </c>
      <c r="B5310" s="206">
        <v>93125</v>
      </c>
      <c r="C5310" s="207" t="s">
        <v>5976</v>
      </c>
      <c r="D5310" s="208" t="s">
        <v>580</v>
      </c>
      <c r="E5310" s="209">
        <v>133.88</v>
      </c>
      <c r="F5310" s="209">
        <v>10.99</v>
      </c>
      <c r="G5310" s="209">
        <v>144.87</v>
      </c>
      <c r="H5310" s="198"/>
    </row>
    <row r="5311" spans="1:8" ht="15.75" hidden="1" customHeight="1" x14ac:dyDescent="0.25">
      <c r="A5311" s="205" t="s">
        <v>5863</v>
      </c>
      <c r="B5311" s="206">
        <v>93126</v>
      </c>
      <c r="C5311" s="207" t="s">
        <v>5977</v>
      </c>
      <c r="D5311" s="208" t="s">
        <v>580</v>
      </c>
      <c r="E5311" s="209">
        <v>303.57</v>
      </c>
      <c r="F5311" s="209">
        <v>13.5</v>
      </c>
      <c r="G5311" s="209">
        <v>317.07</v>
      </c>
      <c r="H5311" s="198"/>
    </row>
    <row r="5312" spans="1:8" ht="15.75" hidden="1" customHeight="1" x14ac:dyDescent="0.25">
      <c r="A5312" s="205" t="s">
        <v>5863</v>
      </c>
      <c r="B5312" s="206">
        <v>93063</v>
      </c>
      <c r="C5312" s="207" t="s">
        <v>5978</v>
      </c>
      <c r="D5312" s="208" t="s">
        <v>580</v>
      </c>
      <c r="E5312" s="209">
        <v>693.83</v>
      </c>
      <c r="F5312" s="209">
        <v>4.68</v>
      </c>
      <c r="G5312" s="209">
        <v>698.51</v>
      </c>
      <c r="H5312" s="198"/>
    </row>
    <row r="5313" spans="1:8" ht="15.75" hidden="1" customHeight="1" x14ac:dyDescent="0.25">
      <c r="A5313" s="205" t="s">
        <v>5863</v>
      </c>
      <c r="B5313" s="206">
        <v>93066</v>
      </c>
      <c r="C5313" s="207" t="s">
        <v>5979</v>
      </c>
      <c r="D5313" s="208" t="s">
        <v>580</v>
      </c>
      <c r="E5313" s="209">
        <v>870.84</v>
      </c>
      <c r="F5313" s="209">
        <v>5.69</v>
      </c>
      <c r="G5313" s="209">
        <v>876.53</v>
      </c>
      <c r="H5313" s="198"/>
    </row>
    <row r="5314" spans="1:8" ht="15.75" hidden="1" customHeight="1" x14ac:dyDescent="0.25">
      <c r="A5314" s="205" t="s">
        <v>5863</v>
      </c>
      <c r="B5314" s="206">
        <v>93069</v>
      </c>
      <c r="C5314" s="207" t="s">
        <v>5980</v>
      </c>
      <c r="D5314" s="208" t="s">
        <v>580</v>
      </c>
      <c r="E5314" s="209">
        <v>1207.5899999999999</v>
      </c>
      <c r="F5314" s="209">
        <v>7.28</v>
      </c>
      <c r="G5314" s="209">
        <v>1214.8699999999999</v>
      </c>
      <c r="H5314" s="198"/>
    </row>
    <row r="5315" spans="1:8" ht="15.75" hidden="1" customHeight="1" x14ac:dyDescent="0.25">
      <c r="A5315" s="205" t="s">
        <v>5863</v>
      </c>
      <c r="B5315" s="206">
        <v>93072</v>
      </c>
      <c r="C5315" s="207" t="s">
        <v>5981</v>
      </c>
      <c r="D5315" s="208" t="s">
        <v>580</v>
      </c>
      <c r="E5315" s="209">
        <v>1594.15</v>
      </c>
      <c r="F5315" s="209">
        <v>8.9700000000000006</v>
      </c>
      <c r="G5315" s="209">
        <v>1603.12</v>
      </c>
      <c r="H5315" s="198"/>
    </row>
    <row r="5316" spans="1:8" ht="15.75" hidden="1" customHeight="1" x14ac:dyDescent="0.25">
      <c r="A5316" s="205" t="s">
        <v>5863</v>
      </c>
      <c r="B5316" s="206">
        <v>93083</v>
      </c>
      <c r="C5316" s="207" t="s">
        <v>5982</v>
      </c>
      <c r="D5316" s="208" t="s">
        <v>580</v>
      </c>
      <c r="E5316" s="209">
        <v>475.41</v>
      </c>
      <c r="F5316" s="209">
        <v>4.8499999999999996</v>
      </c>
      <c r="G5316" s="209">
        <v>480.26</v>
      </c>
      <c r="H5316" s="198"/>
    </row>
    <row r="5317" spans="1:8" ht="15.75" hidden="1" customHeight="1" x14ac:dyDescent="0.25">
      <c r="A5317" s="205" t="s">
        <v>5863</v>
      </c>
      <c r="B5317" s="206">
        <v>103886</v>
      </c>
      <c r="C5317" s="207" t="s">
        <v>5983</v>
      </c>
      <c r="D5317" s="208" t="s">
        <v>580</v>
      </c>
      <c r="E5317" s="209">
        <v>476.53</v>
      </c>
      <c r="F5317" s="209">
        <v>7.94</v>
      </c>
      <c r="G5317" s="209">
        <v>484.47</v>
      </c>
      <c r="H5317" s="198"/>
    </row>
    <row r="5318" spans="1:8" ht="15.75" hidden="1" customHeight="1" x14ac:dyDescent="0.25">
      <c r="A5318" s="205" t="s">
        <v>5863</v>
      </c>
      <c r="B5318" s="206">
        <v>103817</v>
      </c>
      <c r="C5318" s="207" t="s">
        <v>5984</v>
      </c>
      <c r="D5318" s="208" t="s">
        <v>580</v>
      </c>
      <c r="E5318" s="209">
        <v>476.59</v>
      </c>
      <c r="F5318" s="209">
        <v>7.84</v>
      </c>
      <c r="G5318" s="209">
        <v>484.43</v>
      </c>
      <c r="H5318" s="198"/>
    </row>
    <row r="5319" spans="1:8" ht="15.75" hidden="1" customHeight="1" x14ac:dyDescent="0.25">
      <c r="A5319" s="205" t="s">
        <v>5863</v>
      </c>
      <c r="B5319" s="206">
        <v>103850</v>
      </c>
      <c r="C5319" s="207" t="s">
        <v>5985</v>
      </c>
      <c r="D5319" s="208" t="s">
        <v>580</v>
      </c>
      <c r="E5319" s="209">
        <v>476.39</v>
      </c>
      <c r="F5319" s="209">
        <v>7.4</v>
      </c>
      <c r="G5319" s="209">
        <v>483.79</v>
      </c>
      <c r="H5319" s="198"/>
    </row>
    <row r="5320" spans="1:8" ht="15.75" hidden="1" customHeight="1" x14ac:dyDescent="0.25">
      <c r="A5320" s="205" t="s">
        <v>5863</v>
      </c>
      <c r="B5320" s="206">
        <v>93106</v>
      </c>
      <c r="C5320" s="207" t="s">
        <v>5986</v>
      </c>
      <c r="D5320" s="208" t="s">
        <v>580</v>
      </c>
      <c r="E5320" s="209">
        <v>475.5</v>
      </c>
      <c r="F5320" s="209">
        <v>4.99</v>
      </c>
      <c r="G5320" s="209">
        <v>480.49</v>
      </c>
      <c r="H5320" s="198"/>
    </row>
    <row r="5321" spans="1:8" ht="15.75" hidden="1" customHeight="1" x14ac:dyDescent="0.25">
      <c r="A5321" s="205" t="s">
        <v>5863</v>
      </c>
      <c r="B5321" s="206">
        <v>93052</v>
      </c>
      <c r="C5321" s="207" t="s">
        <v>5987</v>
      </c>
      <c r="D5321" s="208" t="s">
        <v>580</v>
      </c>
      <c r="E5321" s="209">
        <v>550.97</v>
      </c>
      <c r="F5321" s="209">
        <v>2.87</v>
      </c>
      <c r="G5321" s="209">
        <v>553.84</v>
      </c>
      <c r="H5321" s="198"/>
    </row>
    <row r="5322" spans="1:8" ht="15.75" hidden="1" customHeight="1" x14ac:dyDescent="0.25">
      <c r="A5322" s="205" t="s">
        <v>5863</v>
      </c>
      <c r="B5322" s="206">
        <v>93086</v>
      </c>
      <c r="C5322" s="207" t="s">
        <v>5988</v>
      </c>
      <c r="D5322" s="208" t="s">
        <v>580</v>
      </c>
      <c r="E5322" s="209">
        <v>551.97</v>
      </c>
      <c r="F5322" s="209">
        <v>5.57</v>
      </c>
      <c r="G5322" s="209">
        <v>557.54</v>
      </c>
      <c r="H5322" s="198"/>
    </row>
    <row r="5323" spans="1:8" ht="15.75" hidden="1" customHeight="1" x14ac:dyDescent="0.25">
      <c r="A5323" s="205" t="s">
        <v>5863</v>
      </c>
      <c r="B5323" s="206">
        <v>103890</v>
      </c>
      <c r="C5323" s="207" t="s">
        <v>5989</v>
      </c>
      <c r="D5323" s="208" t="s">
        <v>580</v>
      </c>
      <c r="E5323" s="209">
        <v>553.30999999999995</v>
      </c>
      <c r="F5323" s="209">
        <v>9.39</v>
      </c>
      <c r="G5323" s="209">
        <v>562.70000000000005</v>
      </c>
      <c r="H5323" s="198"/>
    </row>
    <row r="5324" spans="1:8" ht="15.75" hidden="1" customHeight="1" x14ac:dyDescent="0.25">
      <c r="A5324" s="205" t="s">
        <v>5863</v>
      </c>
      <c r="B5324" s="206">
        <v>103821</v>
      </c>
      <c r="C5324" s="207" t="s">
        <v>5990</v>
      </c>
      <c r="D5324" s="208" t="s">
        <v>580</v>
      </c>
      <c r="E5324" s="209">
        <v>554.94000000000005</v>
      </c>
      <c r="F5324" s="209">
        <v>13.47</v>
      </c>
      <c r="G5324" s="209">
        <v>568.41</v>
      </c>
      <c r="H5324" s="198"/>
    </row>
    <row r="5325" spans="1:8" ht="15.75" hidden="1" customHeight="1" x14ac:dyDescent="0.25">
      <c r="A5325" s="205" t="s">
        <v>5863</v>
      </c>
      <c r="B5325" s="206">
        <v>103854</v>
      </c>
      <c r="C5325" s="207" t="s">
        <v>5991</v>
      </c>
      <c r="D5325" s="208" t="s">
        <v>580</v>
      </c>
      <c r="E5325" s="209">
        <v>553.58000000000004</v>
      </c>
      <c r="F5325" s="209">
        <v>9.86</v>
      </c>
      <c r="G5325" s="209">
        <v>563.44000000000005</v>
      </c>
      <c r="H5325" s="198"/>
    </row>
    <row r="5326" spans="1:8" ht="15.75" hidden="1" customHeight="1" x14ac:dyDescent="0.25">
      <c r="A5326" s="205" t="s">
        <v>5863</v>
      </c>
      <c r="B5326" s="206">
        <v>93109</v>
      </c>
      <c r="C5326" s="207" t="s">
        <v>5992</v>
      </c>
      <c r="D5326" s="208" t="s">
        <v>580</v>
      </c>
      <c r="E5326" s="209">
        <v>552.72</v>
      </c>
      <c r="F5326" s="209">
        <v>7.56</v>
      </c>
      <c r="G5326" s="209">
        <v>560.28</v>
      </c>
      <c r="H5326" s="198"/>
    </row>
    <row r="5327" spans="1:8" ht="15.75" hidden="1" customHeight="1" x14ac:dyDescent="0.25">
      <c r="A5327" s="205" t="s">
        <v>5863</v>
      </c>
      <c r="B5327" s="206">
        <v>93058</v>
      </c>
      <c r="C5327" s="207" t="s">
        <v>5993</v>
      </c>
      <c r="D5327" s="208" t="s">
        <v>580</v>
      </c>
      <c r="E5327" s="209">
        <v>605.75</v>
      </c>
      <c r="F5327" s="209">
        <v>3.71</v>
      </c>
      <c r="G5327" s="209">
        <v>609.46</v>
      </c>
      <c r="H5327" s="198"/>
    </row>
    <row r="5328" spans="1:8" ht="15.75" hidden="1" customHeight="1" x14ac:dyDescent="0.25">
      <c r="A5328" s="205" t="s">
        <v>5863</v>
      </c>
      <c r="B5328" s="206">
        <v>93092</v>
      </c>
      <c r="C5328" s="207" t="s">
        <v>5994</v>
      </c>
      <c r="D5328" s="208" t="s">
        <v>580</v>
      </c>
      <c r="E5328" s="209">
        <v>606.69000000000005</v>
      </c>
      <c r="F5328" s="209">
        <v>6.19</v>
      </c>
      <c r="G5328" s="209">
        <v>612.88</v>
      </c>
      <c r="H5328" s="198"/>
    </row>
    <row r="5329" spans="1:8" ht="15.75" hidden="1" customHeight="1" x14ac:dyDescent="0.25">
      <c r="A5329" s="205" t="s">
        <v>5863</v>
      </c>
      <c r="B5329" s="206">
        <v>103898</v>
      </c>
      <c r="C5329" s="207" t="s">
        <v>5995</v>
      </c>
      <c r="D5329" s="208" t="s">
        <v>580</v>
      </c>
      <c r="E5329" s="209">
        <v>608.27</v>
      </c>
      <c r="F5329" s="209">
        <v>10.58</v>
      </c>
      <c r="G5329" s="209">
        <v>618.85</v>
      </c>
      <c r="H5329" s="198"/>
    </row>
    <row r="5330" spans="1:8" ht="15.75" hidden="1" customHeight="1" x14ac:dyDescent="0.25">
      <c r="A5330" s="205" t="s">
        <v>5863</v>
      </c>
      <c r="B5330" s="206">
        <v>103829</v>
      </c>
      <c r="C5330" s="207" t="s">
        <v>5996</v>
      </c>
      <c r="D5330" s="208" t="s">
        <v>580</v>
      </c>
      <c r="E5330" s="209">
        <v>610.69000000000005</v>
      </c>
      <c r="F5330" s="209">
        <v>18.3</v>
      </c>
      <c r="G5330" s="209">
        <v>628.99</v>
      </c>
      <c r="H5330" s="198"/>
    </row>
    <row r="5331" spans="1:8" ht="15.75" hidden="1" customHeight="1" x14ac:dyDescent="0.25">
      <c r="A5331" s="205" t="s">
        <v>5863</v>
      </c>
      <c r="B5331" s="206">
        <v>103862</v>
      </c>
      <c r="C5331" s="207" t="s">
        <v>5997</v>
      </c>
      <c r="D5331" s="208" t="s">
        <v>580</v>
      </c>
      <c r="E5331" s="209">
        <v>608.82000000000005</v>
      </c>
      <c r="F5331" s="209">
        <v>11.98</v>
      </c>
      <c r="G5331" s="209">
        <v>620.79999999999995</v>
      </c>
      <c r="H5331" s="198"/>
    </row>
    <row r="5332" spans="1:8" ht="15.75" hidden="1" customHeight="1" x14ac:dyDescent="0.25">
      <c r="A5332" s="205" t="s">
        <v>5863</v>
      </c>
      <c r="B5332" s="206">
        <v>93116</v>
      </c>
      <c r="C5332" s="207" t="s">
        <v>5998</v>
      </c>
      <c r="D5332" s="208" t="s">
        <v>580</v>
      </c>
      <c r="E5332" s="209">
        <v>608.01</v>
      </c>
      <c r="F5332" s="209">
        <v>9.76</v>
      </c>
      <c r="G5332" s="209">
        <v>617.77</v>
      </c>
      <c r="H5332" s="198"/>
    </row>
    <row r="5333" spans="1:8" ht="15.75" hidden="1" customHeight="1" x14ac:dyDescent="0.25">
      <c r="A5333" s="205" t="s">
        <v>5863</v>
      </c>
      <c r="B5333" s="206">
        <v>92314</v>
      </c>
      <c r="C5333" s="207" t="s">
        <v>5999</v>
      </c>
      <c r="D5333" s="208" t="s">
        <v>580</v>
      </c>
      <c r="E5333" s="209">
        <v>5.76</v>
      </c>
      <c r="F5333" s="209">
        <v>4.83</v>
      </c>
      <c r="G5333" s="209">
        <v>10.59</v>
      </c>
      <c r="H5333" s="198"/>
    </row>
    <row r="5334" spans="1:8" ht="15.75" hidden="1" customHeight="1" x14ac:dyDescent="0.25">
      <c r="A5334" s="205" t="s">
        <v>5863</v>
      </c>
      <c r="B5334" s="206">
        <v>103883</v>
      </c>
      <c r="C5334" s="207" t="s">
        <v>6000</v>
      </c>
      <c r="D5334" s="208" t="s">
        <v>580</v>
      </c>
      <c r="E5334" s="209">
        <v>6.86</v>
      </c>
      <c r="F5334" s="209">
        <v>7.94</v>
      </c>
      <c r="G5334" s="209">
        <v>14.8</v>
      </c>
      <c r="H5334" s="198"/>
    </row>
    <row r="5335" spans="1:8" ht="15.75" hidden="1" customHeight="1" x14ac:dyDescent="0.25">
      <c r="A5335" s="205" t="s">
        <v>5863</v>
      </c>
      <c r="B5335" s="206">
        <v>103814</v>
      </c>
      <c r="C5335" s="207" t="s">
        <v>6001</v>
      </c>
      <c r="D5335" s="208" t="s">
        <v>580</v>
      </c>
      <c r="E5335" s="209">
        <v>6.91</v>
      </c>
      <c r="F5335" s="209">
        <v>7.85</v>
      </c>
      <c r="G5335" s="209">
        <v>14.76</v>
      </c>
      <c r="H5335" s="198"/>
    </row>
    <row r="5336" spans="1:8" ht="15.75" hidden="1" customHeight="1" x14ac:dyDescent="0.25">
      <c r="A5336" s="205" t="s">
        <v>5863</v>
      </c>
      <c r="B5336" s="206">
        <v>103847</v>
      </c>
      <c r="C5336" s="207" t="s">
        <v>6002</v>
      </c>
      <c r="D5336" s="208" t="s">
        <v>580</v>
      </c>
      <c r="E5336" s="209">
        <v>6.72</v>
      </c>
      <c r="F5336" s="209">
        <v>7.4</v>
      </c>
      <c r="G5336" s="209">
        <v>14.12</v>
      </c>
      <c r="H5336" s="198"/>
    </row>
    <row r="5337" spans="1:8" ht="15.75" hidden="1" customHeight="1" x14ac:dyDescent="0.25">
      <c r="A5337" s="205" t="s">
        <v>5863</v>
      </c>
      <c r="B5337" s="206">
        <v>92329</v>
      </c>
      <c r="C5337" s="207" t="s">
        <v>6003</v>
      </c>
      <c r="D5337" s="208" t="s">
        <v>580</v>
      </c>
      <c r="E5337" s="209">
        <v>5.83</v>
      </c>
      <c r="F5337" s="209">
        <v>4.99</v>
      </c>
      <c r="G5337" s="209">
        <v>10.82</v>
      </c>
      <c r="H5337" s="198"/>
    </row>
    <row r="5338" spans="1:8" ht="15.75" hidden="1" customHeight="1" x14ac:dyDescent="0.25">
      <c r="A5338" s="205" t="s">
        <v>5863</v>
      </c>
      <c r="B5338" s="206">
        <v>92293</v>
      </c>
      <c r="C5338" s="207" t="s">
        <v>6004</v>
      </c>
      <c r="D5338" s="208" t="s">
        <v>580</v>
      </c>
      <c r="E5338" s="209">
        <v>8.49</v>
      </c>
      <c r="F5338" s="209">
        <v>2.88</v>
      </c>
      <c r="G5338" s="209">
        <v>11.37</v>
      </c>
      <c r="H5338" s="198"/>
    </row>
    <row r="5339" spans="1:8" ht="15.75" hidden="1" customHeight="1" x14ac:dyDescent="0.25">
      <c r="A5339" s="205" t="s">
        <v>5863</v>
      </c>
      <c r="B5339" s="206">
        <v>92315</v>
      </c>
      <c r="C5339" s="207" t="s">
        <v>6005</v>
      </c>
      <c r="D5339" s="208" t="s">
        <v>580</v>
      </c>
      <c r="E5339" s="209">
        <v>9.49</v>
      </c>
      <c r="F5339" s="209">
        <v>5.58</v>
      </c>
      <c r="G5339" s="209">
        <v>15.07</v>
      </c>
      <c r="H5339" s="198"/>
    </row>
    <row r="5340" spans="1:8" ht="15.75" hidden="1" customHeight="1" x14ac:dyDescent="0.25">
      <c r="A5340" s="205" t="s">
        <v>5863</v>
      </c>
      <c r="B5340" s="206">
        <v>103888</v>
      </c>
      <c r="C5340" s="207" t="s">
        <v>6006</v>
      </c>
      <c r="D5340" s="208" t="s">
        <v>580</v>
      </c>
      <c r="E5340" s="209">
        <v>10.85</v>
      </c>
      <c r="F5340" s="209">
        <v>9.3800000000000008</v>
      </c>
      <c r="G5340" s="209">
        <v>20.23</v>
      </c>
      <c r="H5340" s="198"/>
    </row>
    <row r="5341" spans="1:8" ht="15.75" hidden="1" customHeight="1" x14ac:dyDescent="0.25">
      <c r="A5341" s="205" t="s">
        <v>5863</v>
      </c>
      <c r="B5341" s="206">
        <v>103819</v>
      </c>
      <c r="C5341" s="207" t="s">
        <v>6007</v>
      </c>
      <c r="D5341" s="208" t="s">
        <v>580</v>
      </c>
      <c r="E5341" s="209">
        <v>12.46</v>
      </c>
      <c r="F5341" s="209">
        <v>13.48</v>
      </c>
      <c r="G5341" s="209">
        <v>25.94</v>
      </c>
      <c r="H5341" s="198"/>
    </row>
    <row r="5342" spans="1:8" ht="15.75" hidden="1" customHeight="1" x14ac:dyDescent="0.25">
      <c r="A5342" s="205" t="s">
        <v>5863</v>
      </c>
      <c r="B5342" s="206">
        <v>103852</v>
      </c>
      <c r="C5342" s="207" t="s">
        <v>6008</v>
      </c>
      <c r="D5342" s="208" t="s">
        <v>580</v>
      </c>
      <c r="E5342" s="209">
        <v>11.1</v>
      </c>
      <c r="F5342" s="209">
        <v>9.8699999999999992</v>
      </c>
      <c r="G5342" s="209">
        <v>20.97</v>
      </c>
      <c r="H5342" s="198"/>
    </row>
    <row r="5343" spans="1:8" ht="15.75" hidden="1" customHeight="1" x14ac:dyDescent="0.25">
      <c r="A5343" s="205" t="s">
        <v>5863</v>
      </c>
      <c r="B5343" s="206">
        <v>92330</v>
      </c>
      <c r="C5343" s="207" t="s">
        <v>6009</v>
      </c>
      <c r="D5343" s="208" t="s">
        <v>580</v>
      </c>
      <c r="E5343" s="209">
        <v>10.25</v>
      </c>
      <c r="F5343" s="209">
        <v>7.56</v>
      </c>
      <c r="G5343" s="209">
        <v>17.809999999999999</v>
      </c>
      <c r="H5343" s="198"/>
    </row>
    <row r="5344" spans="1:8" ht="15.75" hidden="1" customHeight="1" x14ac:dyDescent="0.25">
      <c r="A5344" s="205" t="s">
        <v>5863</v>
      </c>
      <c r="B5344" s="206">
        <v>92294</v>
      </c>
      <c r="C5344" s="207" t="s">
        <v>6010</v>
      </c>
      <c r="D5344" s="208" t="s">
        <v>580</v>
      </c>
      <c r="E5344" s="209">
        <v>15.24</v>
      </c>
      <c r="F5344" s="209">
        <v>3.71</v>
      </c>
      <c r="G5344" s="209">
        <v>18.95</v>
      </c>
      <c r="H5344" s="198"/>
    </row>
    <row r="5345" spans="1:8" ht="15.75" hidden="1" customHeight="1" x14ac:dyDescent="0.25">
      <c r="A5345" s="205" t="s">
        <v>5863</v>
      </c>
      <c r="B5345" s="206">
        <v>92316</v>
      </c>
      <c r="C5345" s="207" t="s">
        <v>6011</v>
      </c>
      <c r="D5345" s="208" t="s">
        <v>580</v>
      </c>
      <c r="E5345" s="209">
        <v>16.149999999999999</v>
      </c>
      <c r="F5345" s="209">
        <v>6.22</v>
      </c>
      <c r="G5345" s="209">
        <v>22.37</v>
      </c>
      <c r="H5345" s="198"/>
    </row>
    <row r="5346" spans="1:8" ht="15.75" hidden="1" customHeight="1" x14ac:dyDescent="0.25">
      <c r="A5346" s="205" t="s">
        <v>5863</v>
      </c>
      <c r="B5346" s="206">
        <v>103895</v>
      </c>
      <c r="C5346" s="207" t="s">
        <v>6012</v>
      </c>
      <c r="D5346" s="208" t="s">
        <v>580</v>
      </c>
      <c r="E5346" s="209">
        <v>17.73</v>
      </c>
      <c r="F5346" s="209">
        <v>10.61</v>
      </c>
      <c r="G5346" s="209">
        <v>28.34</v>
      </c>
      <c r="H5346" s="198"/>
    </row>
    <row r="5347" spans="1:8" ht="15.75" hidden="1" customHeight="1" x14ac:dyDescent="0.25">
      <c r="A5347" s="205" t="s">
        <v>5863</v>
      </c>
      <c r="B5347" s="206">
        <v>103826</v>
      </c>
      <c r="C5347" s="207" t="s">
        <v>6013</v>
      </c>
      <c r="D5347" s="208" t="s">
        <v>580</v>
      </c>
      <c r="E5347" s="209">
        <v>20.18</v>
      </c>
      <c r="F5347" s="209">
        <v>18.3</v>
      </c>
      <c r="G5347" s="209">
        <v>38.479999999999997</v>
      </c>
      <c r="H5347" s="198"/>
    </row>
    <row r="5348" spans="1:8" ht="15.75" hidden="1" customHeight="1" x14ac:dyDescent="0.25">
      <c r="A5348" s="205" t="s">
        <v>5863</v>
      </c>
      <c r="B5348" s="206">
        <v>103859</v>
      </c>
      <c r="C5348" s="207" t="s">
        <v>6014</v>
      </c>
      <c r="D5348" s="208" t="s">
        <v>580</v>
      </c>
      <c r="E5348" s="209">
        <v>18.32</v>
      </c>
      <c r="F5348" s="209">
        <v>11.97</v>
      </c>
      <c r="G5348" s="209">
        <v>30.29</v>
      </c>
      <c r="H5348" s="198"/>
    </row>
    <row r="5349" spans="1:8" ht="15.75" hidden="1" customHeight="1" x14ac:dyDescent="0.25">
      <c r="A5349" s="205" t="s">
        <v>5863</v>
      </c>
      <c r="B5349" s="206">
        <v>92331</v>
      </c>
      <c r="C5349" s="207" t="s">
        <v>6015</v>
      </c>
      <c r="D5349" s="208" t="s">
        <v>580</v>
      </c>
      <c r="E5349" s="209">
        <v>17.48</v>
      </c>
      <c r="F5349" s="209">
        <v>9.7799999999999994</v>
      </c>
      <c r="G5349" s="209">
        <v>27.26</v>
      </c>
      <c r="H5349" s="198"/>
    </row>
    <row r="5350" spans="1:8" ht="15.75" hidden="1" customHeight="1" x14ac:dyDescent="0.25">
      <c r="A5350" s="205" t="s">
        <v>5863</v>
      </c>
      <c r="B5350" s="206">
        <v>92295</v>
      </c>
      <c r="C5350" s="207" t="s">
        <v>6016</v>
      </c>
      <c r="D5350" s="208" t="s">
        <v>580</v>
      </c>
      <c r="E5350" s="209">
        <v>30.45</v>
      </c>
      <c r="F5350" s="209">
        <v>4.68</v>
      </c>
      <c r="G5350" s="209">
        <v>35.130000000000003</v>
      </c>
      <c r="H5350" s="198"/>
    </row>
    <row r="5351" spans="1:8" ht="15.75" hidden="1" customHeight="1" x14ac:dyDescent="0.25">
      <c r="A5351" s="205" t="s">
        <v>5863</v>
      </c>
      <c r="B5351" s="206">
        <v>92296</v>
      </c>
      <c r="C5351" s="207" t="s">
        <v>6017</v>
      </c>
      <c r="D5351" s="208" t="s">
        <v>580</v>
      </c>
      <c r="E5351" s="209">
        <v>40.74</v>
      </c>
      <c r="F5351" s="209">
        <v>5.66</v>
      </c>
      <c r="G5351" s="209">
        <v>46.4</v>
      </c>
      <c r="H5351" s="198"/>
    </row>
    <row r="5352" spans="1:8" ht="15.75" hidden="1" customHeight="1" x14ac:dyDescent="0.25">
      <c r="A5352" s="205" t="s">
        <v>5863</v>
      </c>
      <c r="B5352" s="206">
        <v>92297</v>
      </c>
      <c r="C5352" s="207" t="s">
        <v>6018</v>
      </c>
      <c r="D5352" s="208" t="s">
        <v>580</v>
      </c>
      <c r="E5352" s="209">
        <v>64.31</v>
      </c>
      <c r="F5352" s="209">
        <v>7.32</v>
      </c>
      <c r="G5352" s="209">
        <v>71.63</v>
      </c>
      <c r="H5352" s="198"/>
    </row>
    <row r="5353" spans="1:8" ht="15.75" hidden="1" customHeight="1" x14ac:dyDescent="0.25">
      <c r="A5353" s="205" t="s">
        <v>5863</v>
      </c>
      <c r="B5353" s="206">
        <v>92298</v>
      </c>
      <c r="C5353" s="207" t="s">
        <v>6019</v>
      </c>
      <c r="D5353" s="208" t="s">
        <v>580</v>
      </c>
      <c r="E5353" s="209">
        <v>189.29</v>
      </c>
      <c r="F5353" s="209">
        <v>9</v>
      </c>
      <c r="G5353" s="209">
        <v>198.29</v>
      </c>
      <c r="H5353" s="198"/>
    </row>
    <row r="5354" spans="1:8" ht="15.75" hidden="1" customHeight="1" x14ac:dyDescent="0.25">
      <c r="A5354" s="205" t="s">
        <v>5863</v>
      </c>
      <c r="B5354" s="206">
        <v>93080</v>
      </c>
      <c r="C5354" s="207" t="s">
        <v>6020</v>
      </c>
      <c r="D5354" s="208" t="s">
        <v>580</v>
      </c>
      <c r="E5354" s="209">
        <v>5.79</v>
      </c>
      <c r="F5354" s="209">
        <v>4.83</v>
      </c>
      <c r="G5354" s="209">
        <v>10.62</v>
      </c>
      <c r="H5354" s="198"/>
    </row>
    <row r="5355" spans="1:8" ht="15.75" hidden="1" customHeight="1" x14ac:dyDescent="0.25">
      <c r="A5355" s="205" t="s">
        <v>5863</v>
      </c>
      <c r="B5355" s="206">
        <v>103884</v>
      </c>
      <c r="C5355" s="207" t="s">
        <v>6021</v>
      </c>
      <c r="D5355" s="208" t="s">
        <v>580</v>
      </c>
      <c r="E5355" s="209">
        <v>6.9</v>
      </c>
      <c r="F5355" s="209">
        <v>7.93</v>
      </c>
      <c r="G5355" s="209">
        <v>14.83</v>
      </c>
      <c r="H5355" s="198"/>
    </row>
    <row r="5356" spans="1:8" ht="15.75" hidden="1" customHeight="1" x14ac:dyDescent="0.25">
      <c r="A5356" s="205" t="s">
        <v>5863</v>
      </c>
      <c r="B5356" s="206">
        <v>103815</v>
      </c>
      <c r="C5356" s="207" t="s">
        <v>6022</v>
      </c>
      <c r="D5356" s="208" t="s">
        <v>580</v>
      </c>
      <c r="E5356" s="209">
        <v>6.94</v>
      </c>
      <c r="F5356" s="209">
        <v>7.85</v>
      </c>
      <c r="G5356" s="209">
        <v>14.79</v>
      </c>
      <c r="H5356" s="198"/>
    </row>
    <row r="5357" spans="1:8" ht="15.75" hidden="1" customHeight="1" x14ac:dyDescent="0.25">
      <c r="A5357" s="205" t="s">
        <v>5863</v>
      </c>
      <c r="B5357" s="206">
        <v>103848</v>
      </c>
      <c r="C5357" s="207" t="s">
        <v>6023</v>
      </c>
      <c r="D5357" s="208" t="s">
        <v>580</v>
      </c>
      <c r="E5357" s="209">
        <v>6.75</v>
      </c>
      <c r="F5357" s="209">
        <v>7.4</v>
      </c>
      <c r="G5357" s="209">
        <v>14.15</v>
      </c>
      <c r="H5357" s="198"/>
    </row>
    <row r="5358" spans="1:8" ht="15.75" hidden="1" customHeight="1" x14ac:dyDescent="0.25">
      <c r="A5358" s="205" t="s">
        <v>5863</v>
      </c>
      <c r="B5358" s="206">
        <v>93103</v>
      </c>
      <c r="C5358" s="207" t="s">
        <v>6024</v>
      </c>
      <c r="D5358" s="208" t="s">
        <v>580</v>
      </c>
      <c r="E5358" s="209">
        <v>5.86</v>
      </c>
      <c r="F5358" s="209">
        <v>4.99</v>
      </c>
      <c r="G5358" s="209">
        <v>10.85</v>
      </c>
      <c r="H5358" s="198"/>
    </row>
    <row r="5359" spans="1:8" ht="15.75" hidden="1" customHeight="1" x14ac:dyDescent="0.25">
      <c r="A5359" s="205" t="s">
        <v>5863</v>
      </c>
      <c r="B5359" s="206">
        <v>93050</v>
      </c>
      <c r="C5359" s="207" t="s">
        <v>6025</v>
      </c>
      <c r="D5359" s="208" t="s">
        <v>580</v>
      </c>
      <c r="E5359" s="209">
        <v>9.9</v>
      </c>
      <c r="F5359" s="209">
        <v>2.87</v>
      </c>
      <c r="G5359" s="209">
        <v>12.77</v>
      </c>
      <c r="H5359" s="198"/>
    </row>
    <row r="5360" spans="1:8" ht="15.75" hidden="1" customHeight="1" x14ac:dyDescent="0.25">
      <c r="A5360" s="205" t="s">
        <v>5863</v>
      </c>
      <c r="B5360" s="206">
        <v>93084</v>
      </c>
      <c r="C5360" s="207" t="s">
        <v>6026</v>
      </c>
      <c r="D5360" s="208" t="s">
        <v>580</v>
      </c>
      <c r="E5360" s="209">
        <v>10.89</v>
      </c>
      <c r="F5360" s="209">
        <v>5.58</v>
      </c>
      <c r="G5360" s="209">
        <v>16.47</v>
      </c>
      <c r="H5360" s="198"/>
    </row>
    <row r="5361" spans="1:8" ht="15.75" hidden="1" customHeight="1" x14ac:dyDescent="0.25">
      <c r="A5361" s="205" t="s">
        <v>5863</v>
      </c>
      <c r="B5361" s="206">
        <v>103889</v>
      </c>
      <c r="C5361" s="207" t="s">
        <v>6027</v>
      </c>
      <c r="D5361" s="208" t="s">
        <v>580</v>
      </c>
      <c r="E5361" s="209">
        <v>12.25</v>
      </c>
      <c r="F5361" s="209">
        <v>9.3800000000000008</v>
      </c>
      <c r="G5361" s="209">
        <v>21.63</v>
      </c>
      <c r="H5361" s="198"/>
    </row>
    <row r="5362" spans="1:8" ht="15.75" hidden="1" customHeight="1" x14ac:dyDescent="0.25">
      <c r="A5362" s="205" t="s">
        <v>5863</v>
      </c>
      <c r="B5362" s="206">
        <v>103820</v>
      </c>
      <c r="C5362" s="207" t="s">
        <v>6028</v>
      </c>
      <c r="D5362" s="208" t="s">
        <v>580</v>
      </c>
      <c r="E5362" s="209">
        <v>13.86</v>
      </c>
      <c r="F5362" s="209">
        <v>13.48</v>
      </c>
      <c r="G5362" s="209">
        <v>27.34</v>
      </c>
      <c r="H5362" s="198"/>
    </row>
    <row r="5363" spans="1:8" ht="15.75" hidden="1" customHeight="1" x14ac:dyDescent="0.25">
      <c r="A5363" s="205" t="s">
        <v>5863</v>
      </c>
      <c r="B5363" s="206">
        <v>103853</v>
      </c>
      <c r="C5363" s="207" t="s">
        <v>6029</v>
      </c>
      <c r="D5363" s="208" t="s">
        <v>580</v>
      </c>
      <c r="E5363" s="209">
        <v>12.51</v>
      </c>
      <c r="F5363" s="209">
        <v>9.86</v>
      </c>
      <c r="G5363" s="209">
        <v>22.37</v>
      </c>
      <c r="H5363" s="198"/>
    </row>
    <row r="5364" spans="1:8" ht="15.75" hidden="1" customHeight="1" x14ac:dyDescent="0.25">
      <c r="A5364" s="205" t="s">
        <v>5863</v>
      </c>
      <c r="B5364" s="206">
        <v>93107</v>
      </c>
      <c r="C5364" s="207" t="s">
        <v>6030</v>
      </c>
      <c r="D5364" s="208" t="s">
        <v>580</v>
      </c>
      <c r="E5364" s="209">
        <v>11.64</v>
      </c>
      <c r="F5364" s="209">
        <v>7.57</v>
      </c>
      <c r="G5364" s="209">
        <v>19.21</v>
      </c>
      <c r="H5364" s="198"/>
    </row>
    <row r="5365" spans="1:8" ht="15.75" hidden="1" customHeight="1" x14ac:dyDescent="0.25">
      <c r="A5365" s="205" t="s">
        <v>5863</v>
      </c>
      <c r="B5365" s="206">
        <v>93056</v>
      </c>
      <c r="C5365" s="207" t="s">
        <v>6031</v>
      </c>
      <c r="D5365" s="208" t="s">
        <v>580</v>
      </c>
      <c r="E5365" s="209">
        <v>15.24</v>
      </c>
      <c r="F5365" s="209">
        <v>3.71</v>
      </c>
      <c r="G5365" s="209">
        <v>18.95</v>
      </c>
      <c r="H5365" s="198"/>
    </row>
    <row r="5366" spans="1:8" ht="15.75" hidden="1" customHeight="1" x14ac:dyDescent="0.25">
      <c r="A5366" s="205" t="s">
        <v>5863</v>
      </c>
      <c r="B5366" s="206">
        <v>93090</v>
      </c>
      <c r="C5366" s="207" t="s">
        <v>6032</v>
      </c>
      <c r="D5366" s="208" t="s">
        <v>580</v>
      </c>
      <c r="E5366" s="209">
        <v>16.149999999999999</v>
      </c>
      <c r="F5366" s="209">
        <v>6.22</v>
      </c>
      <c r="G5366" s="209">
        <v>22.37</v>
      </c>
      <c r="H5366" s="198"/>
    </row>
    <row r="5367" spans="1:8" ht="15.75" hidden="1" customHeight="1" x14ac:dyDescent="0.25">
      <c r="A5367" s="205" t="s">
        <v>5863</v>
      </c>
      <c r="B5367" s="206">
        <v>93113</v>
      </c>
      <c r="C5367" s="207" t="s">
        <v>6033</v>
      </c>
      <c r="D5367" s="208" t="s">
        <v>580</v>
      </c>
      <c r="E5367" s="209">
        <v>17.48</v>
      </c>
      <c r="F5367" s="209">
        <v>9.7799999999999994</v>
      </c>
      <c r="G5367" s="209">
        <v>27.26</v>
      </c>
      <c r="H5367" s="198"/>
    </row>
    <row r="5368" spans="1:8" ht="15.75" hidden="1" customHeight="1" x14ac:dyDescent="0.25">
      <c r="A5368" s="205" t="s">
        <v>5863</v>
      </c>
      <c r="B5368" s="206">
        <v>103896</v>
      </c>
      <c r="C5368" s="207" t="s">
        <v>6034</v>
      </c>
      <c r="D5368" s="208" t="s">
        <v>580</v>
      </c>
      <c r="E5368" s="209">
        <v>17.73</v>
      </c>
      <c r="F5368" s="209">
        <v>10.61</v>
      </c>
      <c r="G5368" s="209">
        <v>28.34</v>
      </c>
      <c r="H5368" s="198"/>
    </row>
    <row r="5369" spans="1:8" ht="15.75" hidden="1" customHeight="1" x14ac:dyDescent="0.25">
      <c r="A5369" s="205" t="s">
        <v>5863</v>
      </c>
      <c r="B5369" s="206">
        <v>103827</v>
      </c>
      <c r="C5369" s="207" t="s">
        <v>6035</v>
      </c>
      <c r="D5369" s="208" t="s">
        <v>580</v>
      </c>
      <c r="E5369" s="209">
        <v>20.18</v>
      </c>
      <c r="F5369" s="209">
        <v>18.3</v>
      </c>
      <c r="G5369" s="209">
        <v>38.479999999999997</v>
      </c>
      <c r="H5369" s="198"/>
    </row>
    <row r="5370" spans="1:8" ht="15.75" hidden="1" customHeight="1" x14ac:dyDescent="0.25">
      <c r="A5370" s="205" t="s">
        <v>5863</v>
      </c>
      <c r="B5370" s="206">
        <v>103860</v>
      </c>
      <c r="C5370" s="207" t="s">
        <v>6036</v>
      </c>
      <c r="D5370" s="208" t="s">
        <v>580</v>
      </c>
      <c r="E5370" s="209">
        <v>18.32</v>
      </c>
      <c r="F5370" s="209">
        <v>11.97</v>
      </c>
      <c r="G5370" s="209">
        <v>30.29</v>
      </c>
      <c r="H5370" s="198"/>
    </row>
    <row r="5371" spans="1:8" ht="15.75" hidden="1" customHeight="1" x14ac:dyDescent="0.25">
      <c r="A5371" s="205" t="s">
        <v>5863</v>
      </c>
      <c r="B5371" s="206">
        <v>93061</v>
      </c>
      <c r="C5371" s="207" t="s">
        <v>6037</v>
      </c>
      <c r="D5371" s="208" t="s">
        <v>580</v>
      </c>
      <c r="E5371" s="209">
        <v>30.58</v>
      </c>
      <c r="F5371" s="209">
        <v>4.6900000000000004</v>
      </c>
      <c r="G5371" s="209">
        <v>35.270000000000003</v>
      </c>
      <c r="H5371" s="198"/>
    </row>
    <row r="5372" spans="1:8" ht="15.75" hidden="1" customHeight="1" x14ac:dyDescent="0.25">
      <c r="A5372" s="205" t="s">
        <v>5863</v>
      </c>
      <c r="B5372" s="206">
        <v>93064</v>
      </c>
      <c r="C5372" s="207" t="s">
        <v>6038</v>
      </c>
      <c r="D5372" s="208" t="s">
        <v>580</v>
      </c>
      <c r="E5372" s="209">
        <v>48.05</v>
      </c>
      <c r="F5372" s="209">
        <v>5.66</v>
      </c>
      <c r="G5372" s="209">
        <v>53.71</v>
      </c>
      <c r="H5372" s="198"/>
    </row>
    <row r="5373" spans="1:8" ht="15.75" hidden="1" customHeight="1" x14ac:dyDescent="0.25">
      <c r="A5373" s="205" t="s">
        <v>5863</v>
      </c>
      <c r="B5373" s="206">
        <v>93067</v>
      </c>
      <c r="C5373" s="207" t="s">
        <v>6039</v>
      </c>
      <c r="D5373" s="208" t="s">
        <v>580</v>
      </c>
      <c r="E5373" s="209">
        <v>72.260000000000005</v>
      </c>
      <c r="F5373" s="209">
        <v>7.33</v>
      </c>
      <c r="G5373" s="209">
        <v>79.59</v>
      </c>
      <c r="H5373" s="198"/>
    </row>
    <row r="5374" spans="1:8" ht="15.75" hidden="1" customHeight="1" x14ac:dyDescent="0.25">
      <c r="A5374" s="205" t="s">
        <v>5863</v>
      </c>
      <c r="B5374" s="206">
        <v>93070</v>
      </c>
      <c r="C5374" s="207" t="s">
        <v>6040</v>
      </c>
      <c r="D5374" s="208" t="s">
        <v>580</v>
      </c>
      <c r="E5374" s="209">
        <v>189.29</v>
      </c>
      <c r="F5374" s="209">
        <v>9</v>
      </c>
      <c r="G5374" s="209">
        <v>198.29</v>
      </c>
      <c r="H5374" s="198"/>
    </row>
    <row r="5375" spans="1:8" ht="15.75" hidden="1" customHeight="1" x14ac:dyDescent="0.25">
      <c r="A5375" s="205" t="s">
        <v>5863</v>
      </c>
      <c r="B5375" s="206">
        <v>93117</v>
      </c>
      <c r="C5375" s="207" t="s">
        <v>6041</v>
      </c>
      <c r="D5375" s="208" t="s">
        <v>580</v>
      </c>
      <c r="E5375" s="209">
        <v>56.91</v>
      </c>
      <c r="F5375" s="209">
        <v>6.83</v>
      </c>
      <c r="G5375" s="209">
        <v>63.74</v>
      </c>
      <c r="H5375" s="198"/>
    </row>
    <row r="5376" spans="1:8" ht="15.75" hidden="1" customHeight="1" x14ac:dyDescent="0.25">
      <c r="A5376" s="205" t="s">
        <v>5863</v>
      </c>
      <c r="B5376" s="206">
        <v>93118</v>
      </c>
      <c r="C5376" s="207" t="s">
        <v>6042</v>
      </c>
      <c r="D5376" s="208" t="s">
        <v>580</v>
      </c>
      <c r="E5376" s="209">
        <v>83.64</v>
      </c>
      <c r="F5376" s="209">
        <v>10.39</v>
      </c>
      <c r="G5376" s="209">
        <v>94.03</v>
      </c>
      <c r="H5376" s="198"/>
    </row>
    <row r="5377" spans="1:8" ht="15.75" hidden="1" customHeight="1" x14ac:dyDescent="0.25">
      <c r="A5377" s="205" t="s">
        <v>5863</v>
      </c>
      <c r="B5377" s="206">
        <v>92317</v>
      </c>
      <c r="C5377" s="207" t="s">
        <v>6043</v>
      </c>
      <c r="D5377" s="208" t="s">
        <v>580</v>
      </c>
      <c r="E5377" s="209">
        <v>12.39</v>
      </c>
      <c r="F5377" s="209">
        <v>9.67</v>
      </c>
      <c r="G5377" s="209">
        <v>22.06</v>
      </c>
      <c r="H5377" s="198"/>
    </row>
    <row r="5378" spans="1:8" ht="15.75" hidden="1" customHeight="1" x14ac:dyDescent="0.25">
      <c r="A5378" s="205" t="s">
        <v>5863</v>
      </c>
      <c r="B5378" s="206">
        <v>92332</v>
      </c>
      <c r="C5378" s="207" t="s">
        <v>6044</v>
      </c>
      <c r="D5378" s="208" t="s">
        <v>580</v>
      </c>
      <c r="E5378" s="209">
        <v>12.51</v>
      </c>
      <c r="F5378" s="209">
        <v>10.01</v>
      </c>
      <c r="G5378" s="209">
        <v>22.52</v>
      </c>
      <c r="H5378" s="198"/>
    </row>
    <row r="5379" spans="1:8" ht="15.75" hidden="1" customHeight="1" x14ac:dyDescent="0.25">
      <c r="A5379" s="205" t="s">
        <v>5863</v>
      </c>
      <c r="B5379" s="206">
        <v>92299</v>
      </c>
      <c r="C5379" s="207" t="s">
        <v>6045</v>
      </c>
      <c r="D5379" s="208" t="s">
        <v>580</v>
      </c>
      <c r="E5379" s="209">
        <v>20.37</v>
      </c>
      <c r="F5379" s="209">
        <v>5.75</v>
      </c>
      <c r="G5379" s="209">
        <v>26.12</v>
      </c>
      <c r="H5379" s="198"/>
    </row>
    <row r="5380" spans="1:8" ht="15.75" hidden="1" customHeight="1" x14ac:dyDescent="0.25">
      <c r="A5380" s="205" t="s">
        <v>5863</v>
      </c>
      <c r="B5380" s="206">
        <v>92318</v>
      </c>
      <c r="C5380" s="207" t="s">
        <v>6046</v>
      </c>
      <c r="D5380" s="208" t="s">
        <v>580</v>
      </c>
      <c r="E5380" s="209">
        <v>22.36</v>
      </c>
      <c r="F5380" s="209">
        <v>11.16</v>
      </c>
      <c r="G5380" s="209">
        <v>33.520000000000003</v>
      </c>
      <c r="H5380" s="198"/>
    </row>
    <row r="5381" spans="1:8" ht="15.75" hidden="1" customHeight="1" x14ac:dyDescent="0.25">
      <c r="A5381" s="205" t="s">
        <v>5863</v>
      </c>
      <c r="B5381" s="206">
        <v>103833</v>
      </c>
      <c r="C5381" s="207" t="s">
        <v>6047</v>
      </c>
      <c r="D5381" s="208" t="s">
        <v>580</v>
      </c>
      <c r="E5381" s="209">
        <v>28.21</v>
      </c>
      <c r="F5381" s="209">
        <v>26.97</v>
      </c>
      <c r="G5381" s="209">
        <v>55.18</v>
      </c>
      <c r="H5381" s="198"/>
    </row>
    <row r="5382" spans="1:8" ht="15.75" hidden="1" customHeight="1" x14ac:dyDescent="0.25">
      <c r="A5382" s="205" t="s">
        <v>5863</v>
      </c>
      <c r="B5382" s="206">
        <v>92333</v>
      </c>
      <c r="C5382" s="207" t="s">
        <v>6048</v>
      </c>
      <c r="D5382" s="208" t="s">
        <v>580</v>
      </c>
      <c r="E5382" s="209">
        <v>23.82</v>
      </c>
      <c r="F5382" s="209">
        <v>15.15</v>
      </c>
      <c r="G5382" s="209">
        <v>38.97</v>
      </c>
      <c r="H5382" s="198"/>
    </row>
    <row r="5383" spans="1:8" ht="15.75" hidden="1" customHeight="1" x14ac:dyDescent="0.25">
      <c r="A5383" s="205" t="s">
        <v>5863</v>
      </c>
      <c r="B5383" s="206">
        <v>92300</v>
      </c>
      <c r="C5383" s="207" t="s">
        <v>6049</v>
      </c>
      <c r="D5383" s="208" t="s">
        <v>580</v>
      </c>
      <c r="E5383" s="209">
        <v>32.03</v>
      </c>
      <c r="F5383" s="209">
        <v>7.42</v>
      </c>
      <c r="G5383" s="209">
        <v>39.450000000000003</v>
      </c>
      <c r="H5383" s="198"/>
    </row>
    <row r="5384" spans="1:8" ht="15.75" hidden="1" customHeight="1" x14ac:dyDescent="0.25">
      <c r="A5384" s="205" t="s">
        <v>5863</v>
      </c>
      <c r="B5384" s="206">
        <v>92319</v>
      </c>
      <c r="C5384" s="207" t="s">
        <v>6050</v>
      </c>
      <c r="D5384" s="208" t="s">
        <v>580</v>
      </c>
      <c r="E5384" s="209">
        <v>33.840000000000003</v>
      </c>
      <c r="F5384" s="209">
        <v>12.45</v>
      </c>
      <c r="G5384" s="209">
        <v>46.29</v>
      </c>
      <c r="H5384" s="198"/>
    </row>
    <row r="5385" spans="1:8" ht="15.75" hidden="1" customHeight="1" x14ac:dyDescent="0.25">
      <c r="A5385" s="205" t="s">
        <v>5863</v>
      </c>
      <c r="B5385" s="206">
        <v>92334</v>
      </c>
      <c r="C5385" s="207" t="s">
        <v>6051</v>
      </c>
      <c r="D5385" s="208" t="s">
        <v>580</v>
      </c>
      <c r="E5385" s="209">
        <v>36.49</v>
      </c>
      <c r="F5385" s="209">
        <v>19.54</v>
      </c>
      <c r="G5385" s="209">
        <v>56.03</v>
      </c>
      <c r="H5385" s="198"/>
    </row>
    <row r="5386" spans="1:8" ht="15.75" hidden="1" customHeight="1" x14ac:dyDescent="0.25">
      <c r="A5386" s="205" t="s">
        <v>5863</v>
      </c>
      <c r="B5386" s="206">
        <v>92301</v>
      </c>
      <c r="C5386" s="207" t="s">
        <v>6052</v>
      </c>
      <c r="D5386" s="208" t="s">
        <v>580</v>
      </c>
      <c r="E5386" s="209">
        <v>67.33</v>
      </c>
      <c r="F5386" s="209">
        <v>9.3800000000000008</v>
      </c>
      <c r="G5386" s="209">
        <v>76.709999999999994</v>
      </c>
      <c r="H5386" s="198"/>
    </row>
    <row r="5387" spans="1:8" ht="15.75" hidden="1" customHeight="1" x14ac:dyDescent="0.25">
      <c r="A5387" s="205" t="s">
        <v>5863</v>
      </c>
      <c r="B5387" s="206">
        <v>92302</v>
      </c>
      <c r="C5387" s="207" t="s">
        <v>6053</v>
      </c>
      <c r="D5387" s="208" t="s">
        <v>580</v>
      </c>
      <c r="E5387" s="209">
        <v>89.76</v>
      </c>
      <c r="F5387" s="209">
        <v>11.33</v>
      </c>
      <c r="G5387" s="209">
        <v>101.09</v>
      </c>
      <c r="H5387" s="198"/>
    </row>
    <row r="5388" spans="1:8" ht="15.75" hidden="1" customHeight="1" x14ac:dyDescent="0.25">
      <c r="A5388" s="205" t="s">
        <v>5863</v>
      </c>
      <c r="B5388" s="206">
        <v>92303</v>
      </c>
      <c r="C5388" s="207" t="s">
        <v>6054</v>
      </c>
      <c r="D5388" s="208" t="s">
        <v>580</v>
      </c>
      <c r="E5388" s="209">
        <v>169.3</v>
      </c>
      <c r="F5388" s="209">
        <v>14.66</v>
      </c>
      <c r="G5388" s="209">
        <v>183.96</v>
      </c>
      <c r="H5388" s="198"/>
    </row>
    <row r="5389" spans="1:8" ht="15.75" hidden="1" customHeight="1" x14ac:dyDescent="0.25">
      <c r="A5389" s="205" t="s">
        <v>5863</v>
      </c>
      <c r="B5389" s="206">
        <v>92304</v>
      </c>
      <c r="C5389" s="207" t="s">
        <v>6055</v>
      </c>
      <c r="D5389" s="208" t="s">
        <v>580</v>
      </c>
      <c r="E5389" s="209">
        <v>454.37</v>
      </c>
      <c r="F5389" s="209">
        <v>18.04</v>
      </c>
      <c r="G5389" s="209">
        <v>472.41</v>
      </c>
      <c r="H5389" s="198"/>
    </row>
    <row r="5390" spans="1:8" ht="15.75" hidden="1" customHeight="1" x14ac:dyDescent="0.25">
      <c r="A5390" s="205" t="s">
        <v>5863</v>
      </c>
      <c r="B5390" s="206">
        <v>103835</v>
      </c>
      <c r="C5390" s="207" t="s">
        <v>6056</v>
      </c>
      <c r="D5390" s="208" t="s">
        <v>585</v>
      </c>
      <c r="E5390" s="209">
        <v>56.68</v>
      </c>
      <c r="F5390" s="209">
        <v>14.14</v>
      </c>
      <c r="G5390" s="209">
        <v>70.819999999999993</v>
      </c>
      <c r="H5390" s="198"/>
    </row>
    <row r="5391" spans="1:8" ht="15.75" hidden="1" customHeight="1" x14ac:dyDescent="0.25">
      <c r="A5391" s="205" t="s">
        <v>5863</v>
      </c>
      <c r="B5391" s="206">
        <v>92308</v>
      </c>
      <c r="C5391" s="207" t="s">
        <v>6057</v>
      </c>
      <c r="D5391" s="208" t="s">
        <v>585</v>
      </c>
      <c r="E5391" s="209">
        <v>47.62</v>
      </c>
      <c r="F5391" s="209">
        <v>10.33</v>
      </c>
      <c r="G5391" s="209">
        <v>57.95</v>
      </c>
      <c r="H5391" s="198"/>
    </row>
    <row r="5392" spans="1:8" ht="15.75" hidden="1" customHeight="1" x14ac:dyDescent="0.25">
      <c r="A5392" s="205" t="s">
        <v>5863</v>
      </c>
      <c r="B5392" s="206">
        <v>103871</v>
      </c>
      <c r="C5392" s="207" t="s">
        <v>6058</v>
      </c>
      <c r="D5392" s="208" t="s">
        <v>585</v>
      </c>
      <c r="E5392" s="209">
        <v>50.84</v>
      </c>
      <c r="F5392" s="209">
        <v>19.39</v>
      </c>
      <c r="G5392" s="209">
        <v>70.23</v>
      </c>
      <c r="H5392" s="198"/>
    </row>
    <row r="5393" spans="1:8" ht="15.75" hidden="1" customHeight="1" x14ac:dyDescent="0.25">
      <c r="A5393" s="205" t="s">
        <v>5863</v>
      </c>
      <c r="B5393" s="206">
        <v>92323</v>
      </c>
      <c r="C5393" s="207" t="s">
        <v>6059</v>
      </c>
      <c r="D5393" s="208" t="s">
        <v>585</v>
      </c>
      <c r="E5393" s="209">
        <v>50.64</v>
      </c>
      <c r="F5393" s="209">
        <v>18.91</v>
      </c>
      <c r="G5393" s="209">
        <v>69.55</v>
      </c>
      <c r="H5393" s="198"/>
    </row>
    <row r="5394" spans="1:8" ht="15.75" hidden="1" customHeight="1" x14ac:dyDescent="0.25">
      <c r="A5394" s="205" t="s">
        <v>5863</v>
      </c>
      <c r="B5394" s="206">
        <v>92305</v>
      </c>
      <c r="C5394" s="207" t="s">
        <v>6060</v>
      </c>
      <c r="D5394" s="208" t="s">
        <v>585</v>
      </c>
      <c r="E5394" s="209">
        <v>35.71</v>
      </c>
      <c r="F5394" s="209">
        <v>6.6</v>
      </c>
      <c r="G5394" s="209">
        <v>42.31</v>
      </c>
      <c r="H5394" s="198"/>
    </row>
    <row r="5395" spans="1:8" ht="15.75" hidden="1" customHeight="1" x14ac:dyDescent="0.25">
      <c r="A5395" s="205" t="s">
        <v>5863</v>
      </c>
      <c r="B5395" s="206">
        <v>103868</v>
      </c>
      <c r="C5395" s="207" t="s">
        <v>6061</v>
      </c>
      <c r="D5395" s="208" t="s">
        <v>585</v>
      </c>
      <c r="E5395" s="209">
        <v>39.93</v>
      </c>
      <c r="F5395" s="209">
        <v>18.48</v>
      </c>
      <c r="G5395" s="209">
        <v>58.41</v>
      </c>
      <c r="H5395" s="198"/>
    </row>
    <row r="5396" spans="1:8" ht="15.75" hidden="1" customHeight="1" x14ac:dyDescent="0.25">
      <c r="A5396" s="205" t="s">
        <v>5863</v>
      </c>
      <c r="B5396" s="206">
        <v>103802</v>
      </c>
      <c r="C5396" s="207" t="s">
        <v>6062</v>
      </c>
      <c r="D5396" s="208" t="s">
        <v>585</v>
      </c>
      <c r="E5396" s="209">
        <v>36.49</v>
      </c>
      <c r="F5396" s="209">
        <v>8.75</v>
      </c>
      <c r="G5396" s="209">
        <v>45.24</v>
      </c>
      <c r="H5396" s="198"/>
    </row>
    <row r="5397" spans="1:8" ht="15.75" hidden="1" customHeight="1" x14ac:dyDescent="0.25">
      <c r="A5397" s="205" t="s">
        <v>5863</v>
      </c>
      <c r="B5397" s="206">
        <v>92320</v>
      </c>
      <c r="C5397" s="207" t="s">
        <v>6063</v>
      </c>
      <c r="D5397" s="208" t="s">
        <v>585</v>
      </c>
      <c r="E5397" s="209">
        <v>39.71</v>
      </c>
      <c r="F5397" s="209">
        <v>17.87</v>
      </c>
      <c r="G5397" s="209">
        <v>57.58</v>
      </c>
      <c r="H5397" s="198"/>
    </row>
    <row r="5398" spans="1:8" ht="15.75" hidden="1" customHeight="1" x14ac:dyDescent="0.25">
      <c r="A5398" s="205" t="s">
        <v>5863</v>
      </c>
      <c r="B5398" s="206">
        <v>97335</v>
      </c>
      <c r="C5398" s="207" t="s">
        <v>6064</v>
      </c>
      <c r="D5398" s="208" t="s">
        <v>585</v>
      </c>
      <c r="E5398" s="209">
        <v>84.37</v>
      </c>
      <c r="F5398" s="209">
        <v>2.11</v>
      </c>
      <c r="G5398" s="209">
        <v>86.48</v>
      </c>
      <c r="H5398" s="198"/>
    </row>
    <row r="5399" spans="1:8" ht="15.75" hidden="1" customHeight="1" x14ac:dyDescent="0.25">
      <c r="A5399" s="205" t="s">
        <v>5863</v>
      </c>
      <c r="B5399" s="206">
        <v>103836</v>
      </c>
      <c r="C5399" s="207" t="s">
        <v>6065</v>
      </c>
      <c r="D5399" s="208" t="s">
        <v>585</v>
      </c>
      <c r="E5399" s="209">
        <v>90.28</v>
      </c>
      <c r="F5399" s="209">
        <v>18.84</v>
      </c>
      <c r="G5399" s="209">
        <v>109.12</v>
      </c>
      <c r="H5399" s="198"/>
    </row>
    <row r="5400" spans="1:8" ht="15.75" hidden="1" customHeight="1" x14ac:dyDescent="0.25">
      <c r="A5400" s="205" t="s">
        <v>5863</v>
      </c>
      <c r="B5400" s="206">
        <v>92281</v>
      </c>
      <c r="C5400" s="207" t="s">
        <v>6066</v>
      </c>
      <c r="D5400" s="208" t="s">
        <v>585</v>
      </c>
      <c r="E5400" s="209">
        <v>110.72</v>
      </c>
      <c r="F5400" s="209">
        <v>3.14</v>
      </c>
      <c r="G5400" s="209">
        <v>113.86</v>
      </c>
      <c r="H5400" s="198"/>
    </row>
    <row r="5401" spans="1:8" ht="15.75" hidden="1" customHeight="1" x14ac:dyDescent="0.25">
      <c r="A5401" s="205" t="s">
        <v>5863</v>
      </c>
      <c r="B5401" s="206">
        <v>92309</v>
      </c>
      <c r="C5401" s="207" t="s">
        <v>6067</v>
      </c>
      <c r="D5401" s="208" t="s">
        <v>585</v>
      </c>
      <c r="E5401" s="209">
        <v>113.65</v>
      </c>
      <c r="F5401" s="209">
        <v>11.34</v>
      </c>
      <c r="G5401" s="209">
        <v>124.99</v>
      </c>
      <c r="H5401" s="198"/>
    </row>
    <row r="5402" spans="1:8" ht="15.75" hidden="1" customHeight="1" x14ac:dyDescent="0.25">
      <c r="A5402" s="205" t="s">
        <v>5863</v>
      </c>
      <c r="B5402" s="206">
        <v>103872</v>
      </c>
      <c r="C5402" s="207" t="s">
        <v>6068</v>
      </c>
      <c r="D5402" s="208" t="s">
        <v>585</v>
      </c>
      <c r="E5402" s="209">
        <v>117.68</v>
      </c>
      <c r="F5402" s="209">
        <v>22.74</v>
      </c>
      <c r="G5402" s="209">
        <v>140.41999999999999</v>
      </c>
      <c r="H5402" s="198"/>
    </row>
    <row r="5403" spans="1:8" ht="15.75" hidden="1" customHeight="1" x14ac:dyDescent="0.25">
      <c r="A5403" s="205" t="s">
        <v>5863</v>
      </c>
      <c r="B5403" s="206">
        <v>92324</v>
      </c>
      <c r="C5403" s="207" t="s">
        <v>6069</v>
      </c>
      <c r="D5403" s="208" t="s">
        <v>585</v>
      </c>
      <c r="E5403" s="209">
        <v>119.56</v>
      </c>
      <c r="F5403" s="209">
        <v>28.06</v>
      </c>
      <c r="G5403" s="209">
        <v>147.62</v>
      </c>
      <c r="H5403" s="198"/>
    </row>
    <row r="5404" spans="1:8" ht="15.75" hidden="1" customHeight="1" x14ac:dyDescent="0.25">
      <c r="A5404" s="205" t="s">
        <v>5863</v>
      </c>
      <c r="B5404" s="206">
        <v>92275</v>
      </c>
      <c r="C5404" s="207" t="s">
        <v>6070</v>
      </c>
      <c r="D5404" s="208" t="s">
        <v>585</v>
      </c>
      <c r="E5404" s="209">
        <v>58.17</v>
      </c>
      <c r="F5404" s="209">
        <v>2.12</v>
      </c>
      <c r="G5404" s="209">
        <v>60.29</v>
      </c>
      <c r="H5404" s="198"/>
    </row>
    <row r="5405" spans="1:8" ht="15.75" hidden="1" customHeight="1" x14ac:dyDescent="0.25">
      <c r="A5405" s="205" t="s">
        <v>5863</v>
      </c>
      <c r="B5405" s="206">
        <v>92306</v>
      </c>
      <c r="C5405" s="207" t="s">
        <v>6071</v>
      </c>
      <c r="D5405" s="208" t="s">
        <v>585</v>
      </c>
      <c r="E5405" s="209">
        <v>60.11</v>
      </c>
      <c r="F5405" s="209">
        <v>7.61</v>
      </c>
      <c r="G5405" s="209">
        <v>67.72</v>
      </c>
      <c r="H5405" s="198"/>
    </row>
    <row r="5406" spans="1:8" ht="15.75" hidden="1" customHeight="1" x14ac:dyDescent="0.25">
      <c r="A5406" s="205" t="s">
        <v>5863</v>
      </c>
      <c r="B5406" s="206">
        <v>103869</v>
      </c>
      <c r="C5406" s="207" t="s">
        <v>6072</v>
      </c>
      <c r="D5406" s="208" t="s">
        <v>585</v>
      </c>
      <c r="E5406" s="209">
        <v>65.180000000000007</v>
      </c>
      <c r="F5406" s="209">
        <v>21.81</v>
      </c>
      <c r="G5406" s="209">
        <v>86.99</v>
      </c>
      <c r="H5406" s="198"/>
    </row>
    <row r="5407" spans="1:8" ht="15.75" hidden="1" customHeight="1" x14ac:dyDescent="0.25">
      <c r="A5407" s="205" t="s">
        <v>5863</v>
      </c>
      <c r="B5407" s="206">
        <v>103803</v>
      </c>
      <c r="C5407" s="207" t="s">
        <v>6073</v>
      </c>
      <c r="D5407" s="208" t="s">
        <v>585</v>
      </c>
      <c r="E5407" s="209">
        <v>62.76</v>
      </c>
      <c r="F5407" s="209">
        <v>15</v>
      </c>
      <c r="G5407" s="209">
        <v>77.760000000000005</v>
      </c>
      <c r="H5407" s="198"/>
    </row>
    <row r="5408" spans="1:8" ht="15.75" hidden="1" customHeight="1" x14ac:dyDescent="0.25">
      <c r="A5408" s="205" t="s">
        <v>5863</v>
      </c>
      <c r="B5408" s="206">
        <v>92321</v>
      </c>
      <c r="C5408" s="207" t="s">
        <v>6074</v>
      </c>
      <c r="D5408" s="208" t="s">
        <v>585</v>
      </c>
      <c r="E5408" s="209">
        <v>67.010000000000005</v>
      </c>
      <c r="F5408" s="209">
        <v>27.02</v>
      </c>
      <c r="G5408" s="209">
        <v>94.03</v>
      </c>
      <c r="H5408" s="198"/>
    </row>
    <row r="5409" spans="1:8" ht="15.75" hidden="1" customHeight="1" x14ac:dyDescent="0.25">
      <c r="A5409" s="205" t="s">
        <v>5863</v>
      </c>
      <c r="B5409" s="206">
        <v>97336</v>
      </c>
      <c r="C5409" s="207" t="s">
        <v>6075</v>
      </c>
      <c r="D5409" s="208" t="s">
        <v>585</v>
      </c>
      <c r="E5409" s="209">
        <v>107.34</v>
      </c>
      <c r="F5409" s="209">
        <v>2.75</v>
      </c>
      <c r="G5409" s="209">
        <v>110.09</v>
      </c>
      <c r="H5409" s="198"/>
    </row>
    <row r="5410" spans="1:8" ht="15.75" hidden="1" customHeight="1" x14ac:dyDescent="0.25">
      <c r="A5410" s="205" t="s">
        <v>5863</v>
      </c>
      <c r="B5410" s="206">
        <v>103837</v>
      </c>
      <c r="C5410" s="207" t="s">
        <v>6076</v>
      </c>
      <c r="D5410" s="208" t="s">
        <v>585</v>
      </c>
      <c r="E5410" s="209">
        <v>114.48</v>
      </c>
      <c r="F5410" s="209">
        <v>22.88</v>
      </c>
      <c r="G5410" s="209">
        <v>137.36000000000001</v>
      </c>
      <c r="H5410" s="198"/>
    </row>
    <row r="5411" spans="1:8" ht="15.75" hidden="1" customHeight="1" x14ac:dyDescent="0.25">
      <c r="A5411" s="205" t="s">
        <v>5863</v>
      </c>
      <c r="B5411" s="206">
        <v>92282</v>
      </c>
      <c r="C5411" s="207" t="s">
        <v>6077</v>
      </c>
      <c r="D5411" s="208" t="s">
        <v>585</v>
      </c>
      <c r="E5411" s="209">
        <v>128.55000000000001</v>
      </c>
      <c r="F5411" s="209">
        <v>3.75</v>
      </c>
      <c r="G5411" s="209">
        <v>132.30000000000001</v>
      </c>
      <c r="H5411" s="198"/>
    </row>
    <row r="5412" spans="1:8" ht="15.75" hidden="1" customHeight="1" x14ac:dyDescent="0.25">
      <c r="A5412" s="205" t="s">
        <v>5863</v>
      </c>
      <c r="B5412" s="206">
        <v>92310</v>
      </c>
      <c r="C5412" s="207" t="s">
        <v>6078</v>
      </c>
      <c r="D5412" s="208" t="s">
        <v>585</v>
      </c>
      <c r="E5412" s="209">
        <v>131.56</v>
      </c>
      <c r="F5412" s="209">
        <v>12.22</v>
      </c>
      <c r="G5412" s="209">
        <v>143.78</v>
      </c>
      <c r="H5412" s="198"/>
    </row>
    <row r="5413" spans="1:8" ht="15.75" hidden="1" customHeight="1" x14ac:dyDescent="0.25">
      <c r="A5413" s="205" t="s">
        <v>5863</v>
      </c>
      <c r="B5413" s="206">
        <v>103873</v>
      </c>
      <c r="C5413" s="207" t="s">
        <v>6079</v>
      </c>
      <c r="D5413" s="208" t="s">
        <v>585</v>
      </c>
      <c r="E5413" s="209">
        <v>136.32</v>
      </c>
      <c r="F5413" s="209">
        <v>25.61</v>
      </c>
      <c r="G5413" s="209">
        <v>161.93</v>
      </c>
      <c r="H5413" s="198"/>
    </row>
    <row r="5414" spans="1:8" ht="15.75" hidden="1" customHeight="1" x14ac:dyDescent="0.25">
      <c r="A5414" s="205" t="s">
        <v>5863</v>
      </c>
      <c r="B5414" s="206">
        <v>92325</v>
      </c>
      <c r="C5414" s="207" t="s">
        <v>6080</v>
      </c>
      <c r="D5414" s="208" t="s">
        <v>585</v>
      </c>
      <c r="E5414" s="209">
        <v>139.96</v>
      </c>
      <c r="F5414" s="209">
        <v>35.909999999999997</v>
      </c>
      <c r="G5414" s="209">
        <v>175.87</v>
      </c>
      <c r="H5414" s="198"/>
    </row>
    <row r="5415" spans="1:8" ht="15.75" hidden="1" customHeight="1" x14ac:dyDescent="0.25">
      <c r="A5415" s="205" t="s">
        <v>5863</v>
      </c>
      <c r="B5415" s="206">
        <v>92276</v>
      </c>
      <c r="C5415" s="207" t="s">
        <v>6081</v>
      </c>
      <c r="D5415" s="208" t="s">
        <v>585</v>
      </c>
      <c r="E5415" s="209">
        <v>73.849999999999994</v>
      </c>
      <c r="F5415" s="209">
        <v>2.74</v>
      </c>
      <c r="G5415" s="209">
        <v>76.59</v>
      </c>
      <c r="H5415" s="198"/>
    </row>
    <row r="5416" spans="1:8" ht="15.75" hidden="1" customHeight="1" x14ac:dyDescent="0.25">
      <c r="A5416" s="205" t="s">
        <v>5863</v>
      </c>
      <c r="B5416" s="206">
        <v>92307</v>
      </c>
      <c r="C5416" s="207" t="s">
        <v>6082</v>
      </c>
      <c r="D5416" s="208" t="s">
        <v>585</v>
      </c>
      <c r="E5416" s="209">
        <v>75.88</v>
      </c>
      <c r="F5416" s="209">
        <v>8.4700000000000006</v>
      </c>
      <c r="G5416" s="209">
        <v>84.35</v>
      </c>
      <c r="H5416" s="198"/>
    </row>
    <row r="5417" spans="1:8" ht="15.75" hidden="1" customHeight="1" x14ac:dyDescent="0.25">
      <c r="A5417" s="205" t="s">
        <v>5863</v>
      </c>
      <c r="B5417" s="206">
        <v>103870</v>
      </c>
      <c r="C5417" s="207" t="s">
        <v>6083</v>
      </c>
      <c r="D5417" s="208" t="s">
        <v>585</v>
      </c>
      <c r="E5417" s="209">
        <v>81.63</v>
      </c>
      <c r="F5417" s="209">
        <v>24.69</v>
      </c>
      <c r="G5417" s="209">
        <v>106.32</v>
      </c>
      <c r="H5417" s="198"/>
    </row>
    <row r="5418" spans="1:8" ht="15.75" hidden="1" customHeight="1" x14ac:dyDescent="0.25">
      <c r="A5418" s="205" t="s">
        <v>5863</v>
      </c>
      <c r="B5418" s="206">
        <v>103804</v>
      </c>
      <c r="C5418" s="207" t="s">
        <v>6084</v>
      </c>
      <c r="D5418" s="208" t="s">
        <v>585</v>
      </c>
      <c r="E5418" s="209">
        <v>78.209999999999994</v>
      </c>
      <c r="F5418" s="209">
        <v>15</v>
      </c>
      <c r="G5418" s="209">
        <v>93.21</v>
      </c>
      <c r="H5418" s="198"/>
    </row>
    <row r="5419" spans="1:8" ht="15.75" hidden="1" customHeight="1" x14ac:dyDescent="0.25">
      <c r="A5419" s="205" t="s">
        <v>5863</v>
      </c>
      <c r="B5419" s="206">
        <v>92322</v>
      </c>
      <c r="C5419" s="207" t="s">
        <v>6085</v>
      </c>
      <c r="D5419" s="208" t="s">
        <v>585</v>
      </c>
      <c r="E5419" s="209">
        <v>85.25</v>
      </c>
      <c r="F5419" s="209">
        <v>34.86</v>
      </c>
      <c r="G5419" s="209">
        <v>120.11</v>
      </c>
      <c r="H5419" s="198"/>
    </row>
    <row r="5420" spans="1:8" ht="15.75" hidden="1" customHeight="1" x14ac:dyDescent="0.25">
      <c r="A5420" s="205" t="s">
        <v>5863</v>
      </c>
      <c r="B5420" s="206">
        <v>97337</v>
      </c>
      <c r="C5420" s="207" t="s">
        <v>6086</v>
      </c>
      <c r="D5420" s="208" t="s">
        <v>585</v>
      </c>
      <c r="E5420" s="209">
        <v>161.88999999999999</v>
      </c>
      <c r="F5420" s="209">
        <v>3.45</v>
      </c>
      <c r="G5420" s="209">
        <v>165.34</v>
      </c>
      <c r="H5420" s="198"/>
    </row>
    <row r="5421" spans="1:8" ht="15.75" hidden="1" customHeight="1" x14ac:dyDescent="0.25">
      <c r="A5421" s="205" t="s">
        <v>5863</v>
      </c>
      <c r="B5421" s="206">
        <v>92283</v>
      </c>
      <c r="C5421" s="207" t="s">
        <v>6087</v>
      </c>
      <c r="D5421" s="208" t="s">
        <v>585</v>
      </c>
      <c r="E5421" s="209">
        <v>176.28</v>
      </c>
      <c r="F5421" s="209">
        <v>4.46</v>
      </c>
      <c r="G5421" s="209">
        <v>180.74</v>
      </c>
      <c r="H5421" s="198"/>
    </row>
    <row r="5422" spans="1:8" ht="15.75" hidden="1" customHeight="1" x14ac:dyDescent="0.25">
      <c r="A5422" s="205" t="s">
        <v>5863</v>
      </c>
      <c r="B5422" s="206">
        <v>92277</v>
      </c>
      <c r="C5422" s="207" t="s">
        <v>6088</v>
      </c>
      <c r="D5422" s="208" t="s">
        <v>585</v>
      </c>
      <c r="E5422" s="209">
        <v>107.05</v>
      </c>
      <c r="F5422" s="209">
        <v>3.45</v>
      </c>
      <c r="G5422" s="209">
        <v>110.5</v>
      </c>
      <c r="H5422" s="198"/>
    </row>
    <row r="5423" spans="1:8" ht="15.75" hidden="1" customHeight="1" x14ac:dyDescent="0.25">
      <c r="A5423" s="205" t="s">
        <v>5863</v>
      </c>
      <c r="B5423" s="206">
        <v>97338</v>
      </c>
      <c r="C5423" s="207" t="s">
        <v>6089</v>
      </c>
      <c r="D5423" s="208" t="s">
        <v>585</v>
      </c>
      <c r="E5423" s="209">
        <v>194.76</v>
      </c>
      <c r="F5423" s="209">
        <v>4.1900000000000004</v>
      </c>
      <c r="G5423" s="209">
        <v>198.95</v>
      </c>
      <c r="H5423" s="198"/>
    </row>
    <row r="5424" spans="1:8" ht="15.75" hidden="1" customHeight="1" x14ac:dyDescent="0.25">
      <c r="A5424" s="205" t="s">
        <v>5863</v>
      </c>
      <c r="B5424" s="206">
        <v>92284</v>
      </c>
      <c r="C5424" s="207" t="s">
        <v>6090</v>
      </c>
      <c r="D5424" s="208" t="s">
        <v>585</v>
      </c>
      <c r="E5424" s="209">
        <v>223.34</v>
      </c>
      <c r="F5424" s="209">
        <v>5.18</v>
      </c>
      <c r="G5424" s="209">
        <v>228.52</v>
      </c>
      <c r="H5424" s="198"/>
    </row>
    <row r="5425" spans="1:8" ht="15.75" hidden="1" customHeight="1" x14ac:dyDescent="0.25">
      <c r="A5425" s="205" t="s">
        <v>5863</v>
      </c>
      <c r="B5425" s="206">
        <v>92278</v>
      </c>
      <c r="C5425" s="207" t="s">
        <v>6091</v>
      </c>
      <c r="D5425" s="208" t="s">
        <v>585</v>
      </c>
      <c r="E5425" s="209">
        <v>144.38</v>
      </c>
      <c r="F5425" s="209">
        <v>4.18</v>
      </c>
      <c r="G5425" s="209">
        <v>148.56</v>
      </c>
      <c r="H5425" s="198"/>
    </row>
    <row r="5426" spans="1:8" ht="15.75" hidden="1" customHeight="1" x14ac:dyDescent="0.25">
      <c r="A5426" s="205" t="s">
        <v>5863</v>
      </c>
      <c r="B5426" s="206">
        <v>97339</v>
      </c>
      <c r="C5426" s="207" t="s">
        <v>6092</v>
      </c>
      <c r="D5426" s="208" t="s">
        <v>585</v>
      </c>
      <c r="E5426" s="209">
        <v>209.15</v>
      </c>
      <c r="F5426" s="209">
        <v>5.42</v>
      </c>
      <c r="G5426" s="209">
        <v>214.57</v>
      </c>
      <c r="H5426" s="198"/>
    </row>
    <row r="5427" spans="1:8" ht="15.75" hidden="1" customHeight="1" x14ac:dyDescent="0.25">
      <c r="A5427" s="205" t="s">
        <v>5863</v>
      </c>
      <c r="B5427" s="206">
        <v>92285</v>
      </c>
      <c r="C5427" s="207" t="s">
        <v>6093</v>
      </c>
      <c r="D5427" s="208" t="s">
        <v>585</v>
      </c>
      <c r="E5427" s="209">
        <v>303.55</v>
      </c>
      <c r="F5427" s="209">
        <v>6.44</v>
      </c>
      <c r="G5427" s="209">
        <v>309.99</v>
      </c>
      <c r="H5427" s="198"/>
    </row>
    <row r="5428" spans="1:8" ht="15.75" hidden="1" customHeight="1" x14ac:dyDescent="0.25">
      <c r="A5428" s="205" t="s">
        <v>5863</v>
      </c>
      <c r="B5428" s="206">
        <v>92279</v>
      </c>
      <c r="C5428" s="207" t="s">
        <v>6094</v>
      </c>
      <c r="D5428" s="208" t="s">
        <v>585</v>
      </c>
      <c r="E5428" s="209">
        <v>209.15</v>
      </c>
      <c r="F5428" s="209">
        <v>5.42</v>
      </c>
      <c r="G5428" s="209">
        <v>214.57</v>
      </c>
      <c r="H5428" s="198"/>
    </row>
    <row r="5429" spans="1:8" ht="15.75" hidden="1" customHeight="1" x14ac:dyDescent="0.25">
      <c r="A5429" s="205" t="s">
        <v>5863</v>
      </c>
      <c r="B5429" s="206">
        <v>97340</v>
      </c>
      <c r="C5429" s="207" t="s">
        <v>6095</v>
      </c>
      <c r="D5429" s="208" t="s">
        <v>585</v>
      </c>
      <c r="E5429" s="209">
        <v>209.59</v>
      </c>
      <c r="F5429" s="209">
        <v>6.66</v>
      </c>
      <c r="G5429" s="209">
        <v>216.25</v>
      </c>
      <c r="H5429" s="198"/>
    </row>
    <row r="5430" spans="1:8" ht="15.75" hidden="1" customHeight="1" x14ac:dyDescent="0.25">
      <c r="A5430" s="205" t="s">
        <v>5863</v>
      </c>
      <c r="B5430" s="206">
        <v>92286</v>
      </c>
      <c r="C5430" s="207" t="s">
        <v>6096</v>
      </c>
      <c r="D5430" s="208" t="s">
        <v>585</v>
      </c>
      <c r="E5430" s="209">
        <v>390.04</v>
      </c>
      <c r="F5430" s="209">
        <v>7.67</v>
      </c>
      <c r="G5430" s="209">
        <v>397.71</v>
      </c>
      <c r="H5430" s="198"/>
    </row>
    <row r="5431" spans="1:8" ht="15.75" hidden="1" customHeight="1" x14ac:dyDescent="0.25">
      <c r="A5431" s="205" t="s">
        <v>5863</v>
      </c>
      <c r="B5431" s="206">
        <v>92280</v>
      </c>
      <c r="C5431" s="207" t="s">
        <v>6097</v>
      </c>
      <c r="D5431" s="208" t="s">
        <v>585</v>
      </c>
      <c r="E5431" s="209">
        <v>294.27999999999997</v>
      </c>
      <c r="F5431" s="209">
        <v>6.68</v>
      </c>
      <c r="G5431" s="209">
        <v>300.95999999999998</v>
      </c>
      <c r="H5431" s="198"/>
    </row>
    <row r="5432" spans="1:8" ht="15.75" hidden="1" customHeight="1" x14ac:dyDescent="0.25">
      <c r="A5432" s="205" t="s">
        <v>5863</v>
      </c>
      <c r="B5432" s="206">
        <v>103901</v>
      </c>
      <c r="C5432" s="207" t="s">
        <v>6098</v>
      </c>
      <c r="D5432" s="208" t="s">
        <v>580</v>
      </c>
      <c r="E5432" s="209">
        <v>14.6</v>
      </c>
      <c r="F5432" s="209">
        <v>15.89</v>
      </c>
      <c r="G5432" s="209">
        <v>30.49</v>
      </c>
      <c r="H5432" s="198"/>
    </row>
    <row r="5433" spans="1:8" ht="15.75" hidden="1" customHeight="1" x14ac:dyDescent="0.25">
      <c r="A5433" s="205" t="s">
        <v>5863</v>
      </c>
      <c r="B5433" s="206">
        <v>103832</v>
      </c>
      <c r="C5433" s="207" t="s">
        <v>6099</v>
      </c>
      <c r="D5433" s="208" t="s">
        <v>580</v>
      </c>
      <c r="E5433" s="209">
        <v>14.65</v>
      </c>
      <c r="F5433" s="209">
        <v>15.72</v>
      </c>
      <c r="G5433" s="209">
        <v>30.37</v>
      </c>
      <c r="H5433" s="198"/>
    </row>
    <row r="5434" spans="1:8" ht="15.75" hidden="1" customHeight="1" x14ac:dyDescent="0.25">
      <c r="A5434" s="205" t="s">
        <v>5863</v>
      </c>
      <c r="B5434" s="206">
        <v>103865</v>
      </c>
      <c r="C5434" s="207" t="s">
        <v>6100</v>
      </c>
      <c r="D5434" s="208" t="s">
        <v>580</v>
      </c>
      <c r="E5434" s="209">
        <v>14.29</v>
      </c>
      <c r="F5434" s="209">
        <v>14.8</v>
      </c>
      <c r="G5434" s="209">
        <v>29.09</v>
      </c>
      <c r="H5434" s="198"/>
    </row>
    <row r="5435" spans="1:8" ht="15.75" hidden="1" customHeight="1" x14ac:dyDescent="0.25">
      <c r="A5435" s="205" t="s">
        <v>5863</v>
      </c>
      <c r="B5435" s="206">
        <v>103902</v>
      </c>
      <c r="C5435" s="207" t="s">
        <v>6101</v>
      </c>
      <c r="D5435" s="208" t="s">
        <v>580</v>
      </c>
      <c r="E5435" s="209">
        <v>25.07</v>
      </c>
      <c r="F5435" s="209">
        <v>18.760000000000002</v>
      </c>
      <c r="G5435" s="209">
        <v>43.83</v>
      </c>
      <c r="H5435" s="198"/>
    </row>
    <row r="5436" spans="1:8" ht="15.75" hidden="1" customHeight="1" x14ac:dyDescent="0.25">
      <c r="A5436" s="205" t="s">
        <v>5863</v>
      </c>
      <c r="B5436" s="206">
        <v>103866</v>
      </c>
      <c r="C5436" s="207" t="s">
        <v>6102</v>
      </c>
      <c r="D5436" s="208" t="s">
        <v>580</v>
      </c>
      <c r="E5436" s="209">
        <v>25.52</v>
      </c>
      <c r="F5436" s="209">
        <v>19.73</v>
      </c>
      <c r="G5436" s="209">
        <v>45.25</v>
      </c>
      <c r="H5436" s="198"/>
    </row>
    <row r="5437" spans="1:8" ht="15.75" hidden="1" customHeight="1" x14ac:dyDescent="0.25">
      <c r="A5437" s="205" t="s">
        <v>5863</v>
      </c>
      <c r="B5437" s="206">
        <v>103903</v>
      </c>
      <c r="C5437" s="207" t="s">
        <v>6103</v>
      </c>
      <c r="D5437" s="208" t="s">
        <v>580</v>
      </c>
      <c r="E5437" s="209">
        <v>36.99</v>
      </c>
      <c r="F5437" s="209">
        <v>21.23</v>
      </c>
      <c r="G5437" s="209">
        <v>58.22</v>
      </c>
      <c r="H5437" s="198"/>
    </row>
    <row r="5438" spans="1:8" ht="15.75" hidden="1" customHeight="1" x14ac:dyDescent="0.25">
      <c r="A5438" s="205" t="s">
        <v>5863</v>
      </c>
      <c r="B5438" s="206">
        <v>103834</v>
      </c>
      <c r="C5438" s="207" t="s">
        <v>6104</v>
      </c>
      <c r="D5438" s="208" t="s">
        <v>580</v>
      </c>
      <c r="E5438" s="209">
        <v>42.79</v>
      </c>
      <c r="F5438" s="209">
        <v>36.619999999999997</v>
      </c>
      <c r="G5438" s="209">
        <v>79.41</v>
      </c>
      <c r="H5438" s="198"/>
    </row>
    <row r="5439" spans="1:8" ht="15.75" hidden="1" customHeight="1" x14ac:dyDescent="0.25">
      <c r="A5439" s="205" t="s">
        <v>5863</v>
      </c>
      <c r="B5439" s="206">
        <v>103867</v>
      </c>
      <c r="C5439" s="207" t="s">
        <v>6105</v>
      </c>
      <c r="D5439" s="208" t="s">
        <v>580</v>
      </c>
      <c r="E5439" s="209">
        <v>38.119999999999997</v>
      </c>
      <c r="F5439" s="209">
        <v>23.95</v>
      </c>
      <c r="G5439" s="209">
        <v>62.07</v>
      </c>
      <c r="H5439" s="198"/>
    </row>
    <row r="5440" spans="1:8" ht="15.75" hidden="1" customHeight="1" x14ac:dyDescent="0.25">
      <c r="A5440" s="205" t="s">
        <v>6106</v>
      </c>
      <c r="B5440" s="206">
        <v>105113</v>
      </c>
      <c r="C5440" s="207" t="s">
        <v>6107</v>
      </c>
      <c r="D5440" s="208" t="s">
        <v>580</v>
      </c>
      <c r="E5440" s="209">
        <v>6533.47</v>
      </c>
      <c r="F5440" s="209">
        <v>2022.67</v>
      </c>
      <c r="G5440" s="209">
        <v>8556.14</v>
      </c>
      <c r="H5440" s="198"/>
    </row>
    <row r="5441" spans="1:8" ht="15.75" hidden="1" customHeight="1" x14ac:dyDescent="0.25">
      <c r="A5441" s="205" t="s">
        <v>6106</v>
      </c>
      <c r="B5441" s="206">
        <v>98461</v>
      </c>
      <c r="C5441" s="207" t="s">
        <v>6108</v>
      </c>
      <c r="D5441" s="208" t="s">
        <v>580</v>
      </c>
      <c r="E5441" s="209">
        <v>4944.07</v>
      </c>
      <c r="F5441" s="209">
        <v>1521.3</v>
      </c>
      <c r="G5441" s="209">
        <v>6465.37</v>
      </c>
      <c r="H5441" s="198"/>
    </row>
    <row r="5442" spans="1:8" ht="15.75" hidden="1" customHeight="1" x14ac:dyDescent="0.25">
      <c r="A5442" s="205" t="s">
        <v>6106</v>
      </c>
      <c r="B5442" s="206">
        <v>98462</v>
      </c>
      <c r="C5442" s="207" t="s">
        <v>6109</v>
      </c>
      <c r="D5442" s="208" t="s">
        <v>580</v>
      </c>
      <c r="E5442" s="209">
        <v>8458.91</v>
      </c>
      <c r="F5442" s="209">
        <v>2642.01</v>
      </c>
      <c r="G5442" s="209">
        <v>11100.92</v>
      </c>
      <c r="H5442" s="198"/>
    </row>
    <row r="5443" spans="1:8" ht="15.75" hidden="1" customHeight="1" x14ac:dyDescent="0.25">
      <c r="A5443" s="205" t="s">
        <v>6106</v>
      </c>
      <c r="B5443" s="206">
        <v>105130</v>
      </c>
      <c r="C5443" s="207" t="s">
        <v>6110</v>
      </c>
      <c r="D5443" s="208" t="s">
        <v>585</v>
      </c>
      <c r="E5443" s="209">
        <v>14.88</v>
      </c>
      <c r="F5443" s="209">
        <v>17.14</v>
      </c>
      <c r="G5443" s="209">
        <v>32.020000000000003</v>
      </c>
      <c r="H5443" s="198"/>
    </row>
    <row r="5444" spans="1:8" ht="15.75" hidden="1" customHeight="1" x14ac:dyDescent="0.25">
      <c r="A5444" s="205" t="s">
        <v>6106</v>
      </c>
      <c r="B5444" s="206">
        <v>105114</v>
      </c>
      <c r="C5444" s="207" t="s">
        <v>6111</v>
      </c>
      <c r="D5444" s="208" t="s">
        <v>664</v>
      </c>
      <c r="E5444" s="209">
        <v>1013.73</v>
      </c>
      <c r="F5444" s="209">
        <v>976.31</v>
      </c>
      <c r="G5444" s="209">
        <v>1990.04</v>
      </c>
      <c r="H5444" s="198"/>
    </row>
    <row r="5445" spans="1:8" ht="15.75" hidden="1" customHeight="1" x14ac:dyDescent="0.25">
      <c r="A5445" s="205" t="s">
        <v>6106</v>
      </c>
      <c r="B5445" s="206">
        <v>105127</v>
      </c>
      <c r="C5445" s="207" t="s">
        <v>6112</v>
      </c>
      <c r="D5445" s="208" t="s">
        <v>585</v>
      </c>
      <c r="E5445" s="209">
        <v>30.04</v>
      </c>
      <c r="F5445" s="209">
        <v>4.01</v>
      </c>
      <c r="G5445" s="209">
        <v>34.049999999999997</v>
      </c>
      <c r="H5445" s="198"/>
    </row>
    <row r="5446" spans="1:8" ht="15.75" hidden="1" customHeight="1" x14ac:dyDescent="0.25">
      <c r="A5446" s="205" t="s">
        <v>6106</v>
      </c>
      <c r="B5446" s="206">
        <v>105128</v>
      </c>
      <c r="C5446" s="207" t="s">
        <v>6113</v>
      </c>
      <c r="D5446" s="208" t="s">
        <v>585</v>
      </c>
      <c r="E5446" s="209">
        <v>90.57</v>
      </c>
      <c r="F5446" s="209">
        <v>22.58</v>
      </c>
      <c r="G5446" s="209">
        <v>113.15</v>
      </c>
      <c r="H5446" s="198"/>
    </row>
    <row r="5447" spans="1:8" ht="15.75" hidden="1" customHeight="1" x14ac:dyDescent="0.25">
      <c r="A5447" s="205" t="s">
        <v>6106</v>
      </c>
      <c r="B5447" s="206">
        <v>105126</v>
      </c>
      <c r="C5447" s="207" t="s">
        <v>6114</v>
      </c>
      <c r="D5447" s="208" t="s">
        <v>585</v>
      </c>
      <c r="E5447" s="209">
        <v>33.159999999999997</v>
      </c>
      <c r="F5447" s="209">
        <v>4.87</v>
      </c>
      <c r="G5447" s="209">
        <v>38.03</v>
      </c>
      <c r="H5447" s="198"/>
    </row>
    <row r="5448" spans="1:8" ht="15.75" hidden="1" customHeight="1" x14ac:dyDescent="0.25">
      <c r="A5448" s="205" t="s">
        <v>6106</v>
      </c>
      <c r="B5448" s="206">
        <v>105116</v>
      </c>
      <c r="C5448" s="207" t="s">
        <v>6115</v>
      </c>
      <c r="D5448" s="208" t="s">
        <v>580</v>
      </c>
      <c r="E5448" s="209">
        <v>4.0599999999999996</v>
      </c>
      <c r="F5448" s="209">
        <v>11.14</v>
      </c>
      <c r="G5448" s="209">
        <v>15.2</v>
      </c>
      <c r="H5448" s="198"/>
    </row>
    <row r="5449" spans="1:8" ht="15.75" hidden="1" customHeight="1" x14ac:dyDescent="0.25">
      <c r="A5449" s="205" t="s">
        <v>6106</v>
      </c>
      <c r="B5449" s="206">
        <v>105115</v>
      </c>
      <c r="C5449" s="207" t="s">
        <v>6116</v>
      </c>
      <c r="D5449" s="208" t="s">
        <v>580</v>
      </c>
      <c r="E5449" s="209">
        <v>83.47</v>
      </c>
      <c r="F5449" s="209">
        <v>65.069999999999993</v>
      </c>
      <c r="G5449" s="209">
        <v>148.54</v>
      </c>
      <c r="H5449" s="198"/>
    </row>
    <row r="5450" spans="1:8" ht="15.75" hidden="1" customHeight="1" x14ac:dyDescent="0.25">
      <c r="A5450" s="205" t="s">
        <v>6106</v>
      </c>
      <c r="B5450" s="206">
        <v>98453</v>
      </c>
      <c r="C5450" s="207" t="s">
        <v>6117</v>
      </c>
      <c r="D5450" s="208" t="s">
        <v>578</v>
      </c>
      <c r="E5450" s="209">
        <v>103.27</v>
      </c>
      <c r="F5450" s="209">
        <v>54.27</v>
      </c>
      <c r="G5450" s="209">
        <v>157.54</v>
      </c>
      <c r="H5450" s="198"/>
    </row>
    <row r="5451" spans="1:8" ht="15.75" hidden="1" customHeight="1" x14ac:dyDescent="0.25">
      <c r="A5451" s="205" t="s">
        <v>6106</v>
      </c>
      <c r="B5451" s="206">
        <v>98454</v>
      </c>
      <c r="C5451" s="207" t="s">
        <v>6118</v>
      </c>
      <c r="D5451" s="208" t="s">
        <v>578</v>
      </c>
      <c r="E5451" s="209">
        <v>120.75</v>
      </c>
      <c r="F5451" s="209">
        <v>81.599999999999994</v>
      </c>
      <c r="G5451" s="209">
        <v>202.35</v>
      </c>
      <c r="H5451" s="198"/>
    </row>
    <row r="5452" spans="1:8" ht="15.75" hidden="1" customHeight="1" x14ac:dyDescent="0.25">
      <c r="A5452" s="205" t="s">
        <v>6106</v>
      </c>
      <c r="B5452" s="206">
        <v>98449</v>
      </c>
      <c r="C5452" s="207" t="s">
        <v>6119</v>
      </c>
      <c r="D5452" s="208" t="s">
        <v>578</v>
      </c>
      <c r="E5452" s="209">
        <v>93.14</v>
      </c>
      <c r="F5452" s="209">
        <v>41.08</v>
      </c>
      <c r="G5452" s="209">
        <v>134.22</v>
      </c>
      <c r="H5452" s="198"/>
    </row>
    <row r="5453" spans="1:8" ht="15.75" hidden="1" customHeight="1" x14ac:dyDescent="0.25">
      <c r="A5453" s="205" t="s">
        <v>6106</v>
      </c>
      <c r="B5453" s="206">
        <v>98455</v>
      </c>
      <c r="C5453" s="207" t="s">
        <v>6120</v>
      </c>
      <c r="D5453" s="208" t="s">
        <v>578</v>
      </c>
      <c r="E5453" s="209">
        <v>92.37</v>
      </c>
      <c r="F5453" s="209">
        <v>30.81</v>
      </c>
      <c r="G5453" s="209">
        <v>123.18</v>
      </c>
      <c r="H5453" s="198"/>
    </row>
    <row r="5454" spans="1:8" ht="15.75" hidden="1" customHeight="1" x14ac:dyDescent="0.25">
      <c r="A5454" s="205" t="s">
        <v>6106</v>
      </c>
      <c r="B5454" s="206">
        <v>98456</v>
      </c>
      <c r="C5454" s="207" t="s">
        <v>6121</v>
      </c>
      <c r="D5454" s="208" t="s">
        <v>578</v>
      </c>
      <c r="E5454" s="209">
        <v>108.12</v>
      </c>
      <c r="F5454" s="209">
        <v>52.4</v>
      </c>
      <c r="G5454" s="209">
        <v>160.52000000000001</v>
      </c>
      <c r="H5454" s="198"/>
    </row>
    <row r="5455" spans="1:8" ht="15.75" hidden="1" customHeight="1" x14ac:dyDescent="0.25">
      <c r="A5455" s="205" t="s">
        <v>6106</v>
      </c>
      <c r="B5455" s="206">
        <v>98451</v>
      </c>
      <c r="C5455" s="207" t="s">
        <v>6122</v>
      </c>
      <c r="D5455" s="208" t="s">
        <v>578</v>
      </c>
      <c r="E5455" s="209">
        <v>83.8</v>
      </c>
      <c r="F5455" s="209">
        <v>21.39</v>
      </c>
      <c r="G5455" s="209">
        <v>105.19</v>
      </c>
      <c r="H5455" s="198"/>
    </row>
    <row r="5456" spans="1:8" ht="15.75" hidden="1" customHeight="1" x14ac:dyDescent="0.25">
      <c r="A5456" s="205" t="s">
        <v>6106</v>
      </c>
      <c r="B5456" s="206">
        <v>98445</v>
      </c>
      <c r="C5456" s="207" t="s">
        <v>6123</v>
      </c>
      <c r="D5456" s="208" t="s">
        <v>578</v>
      </c>
      <c r="E5456" s="209">
        <v>70</v>
      </c>
      <c r="F5456" s="209">
        <v>46.35</v>
      </c>
      <c r="G5456" s="209">
        <v>116.35</v>
      </c>
      <c r="H5456" s="198"/>
    </row>
    <row r="5457" spans="1:8" ht="15.75" hidden="1" customHeight="1" x14ac:dyDescent="0.25">
      <c r="A5457" s="205" t="s">
        <v>6106</v>
      </c>
      <c r="B5457" s="206">
        <v>98446</v>
      </c>
      <c r="C5457" s="207" t="s">
        <v>6124</v>
      </c>
      <c r="D5457" s="208" t="s">
        <v>578</v>
      </c>
      <c r="E5457" s="209">
        <v>84.64</v>
      </c>
      <c r="F5457" s="209">
        <v>66.709999999999994</v>
      </c>
      <c r="G5457" s="209">
        <v>151.35</v>
      </c>
      <c r="H5457" s="198"/>
    </row>
    <row r="5458" spans="1:8" ht="15.75" hidden="1" customHeight="1" x14ac:dyDescent="0.25">
      <c r="A5458" s="205" t="s">
        <v>6106</v>
      </c>
      <c r="B5458" s="206">
        <v>98441</v>
      </c>
      <c r="C5458" s="207" t="s">
        <v>6125</v>
      </c>
      <c r="D5458" s="208" t="s">
        <v>578</v>
      </c>
      <c r="E5458" s="209">
        <v>61.38</v>
      </c>
      <c r="F5458" s="209">
        <v>36.76</v>
      </c>
      <c r="G5458" s="209">
        <v>98.14</v>
      </c>
      <c r="H5458" s="198"/>
    </row>
    <row r="5459" spans="1:8" ht="15.75" hidden="1" customHeight="1" x14ac:dyDescent="0.25">
      <c r="A5459" s="205" t="s">
        <v>6106</v>
      </c>
      <c r="B5459" s="206">
        <v>98447</v>
      </c>
      <c r="C5459" s="207" t="s">
        <v>6126</v>
      </c>
      <c r="D5459" s="208" t="s">
        <v>578</v>
      </c>
      <c r="E5459" s="209">
        <v>60.31</v>
      </c>
      <c r="F5459" s="209">
        <v>26.35</v>
      </c>
      <c r="G5459" s="209">
        <v>86.66</v>
      </c>
      <c r="H5459" s="198"/>
    </row>
    <row r="5460" spans="1:8" ht="15.75" hidden="1" customHeight="1" x14ac:dyDescent="0.25">
      <c r="A5460" s="205" t="s">
        <v>6106</v>
      </c>
      <c r="B5460" s="206">
        <v>98448</v>
      </c>
      <c r="C5460" s="207" t="s">
        <v>6127</v>
      </c>
      <c r="D5460" s="208" t="s">
        <v>578</v>
      </c>
      <c r="E5460" s="209">
        <v>73.040000000000006</v>
      </c>
      <c r="F5460" s="209">
        <v>40.630000000000003</v>
      </c>
      <c r="G5460" s="209">
        <v>113.67</v>
      </c>
      <c r="H5460" s="198"/>
    </row>
    <row r="5461" spans="1:8" ht="15.75" hidden="1" customHeight="1" x14ac:dyDescent="0.25">
      <c r="A5461" s="205" t="s">
        <v>6106</v>
      </c>
      <c r="B5461" s="206">
        <v>98443</v>
      </c>
      <c r="C5461" s="207" t="s">
        <v>6128</v>
      </c>
      <c r="D5461" s="208" t="s">
        <v>578</v>
      </c>
      <c r="E5461" s="209">
        <v>53.02</v>
      </c>
      <c r="F5461" s="209">
        <v>19.7</v>
      </c>
      <c r="G5461" s="209">
        <v>72.72</v>
      </c>
      <c r="H5461" s="198"/>
    </row>
    <row r="5462" spans="1:8" ht="15.75" hidden="1" customHeight="1" x14ac:dyDescent="0.25">
      <c r="A5462" s="205" t="s">
        <v>6106</v>
      </c>
      <c r="B5462" s="206">
        <v>98460</v>
      </c>
      <c r="C5462" s="207" t="s">
        <v>6129</v>
      </c>
      <c r="D5462" s="208" t="s">
        <v>578</v>
      </c>
      <c r="E5462" s="209">
        <v>44.09</v>
      </c>
      <c r="F5462" s="209">
        <v>21.92</v>
      </c>
      <c r="G5462" s="209">
        <v>66.010000000000005</v>
      </c>
      <c r="H5462" s="198"/>
    </row>
    <row r="5463" spans="1:8" ht="15.75" hidden="1" customHeight="1" x14ac:dyDescent="0.25">
      <c r="A5463" s="205" t="s">
        <v>6106</v>
      </c>
      <c r="B5463" s="206">
        <v>98458</v>
      </c>
      <c r="C5463" s="207" t="s">
        <v>6130</v>
      </c>
      <c r="D5463" s="208" t="s">
        <v>578</v>
      </c>
      <c r="E5463" s="209">
        <v>63.24</v>
      </c>
      <c r="F5463" s="209">
        <v>34.35</v>
      </c>
      <c r="G5463" s="209">
        <v>97.59</v>
      </c>
      <c r="H5463" s="198"/>
    </row>
    <row r="5464" spans="1:8" ht="15.75" hidden="1" customHeight="1" x14ac:dyDescent="0.25">
      <c r="A5464" s="205" t="s">
        <v>6106</v>
      </c>
      <c r="B5464" s="206">
        <v>98459</v>
      </c>
      <c r="C5464" s="207" t="s">
        <v>6131</v>
      </c>
      <c r="D5464" s="208" t="s">
        <v>578</v>
      </c>
      <c r="E5464" s="209">
        <v>62.82</v>
      </c>
      <c r="F5464" s="209">
        <v>32.06</v>
      </c>
      <c r="G5464" s="209">
        <v>94.88</v>
      </c>
      <c r="H5464" s="198"/>
    </row>
    <row r="5465" spans="1:8" ht="15.75" hidden="1" customHeight="1" x14ac:dyDescent="0.25">
      <c r="A5465" s="205" t="s">
        <v>6132</v>
      </c>
      <c r="B5465" s="206">
        <v>101964</v>
      </c>
      <c r="C5465" s="207" t="s">
        <v>6133</v>
      </c>
      <c r="D5465" s="208" t="s">
        <v>578</v>
      </c>
      <c r="E5465" s="209">
        <v>146.03</v>
      </c>
      <c r="F5465" s="209">
        <v>33.049999999999997</v>
      </c>
      <c r="G5465" s="209">
        <v>179.08</v>
      </c>
      <c r="H5465" s="198"/>
    </row>
    <row r="5466" spans="1:8" ht="15.75" hidden="1" customHeight="1" x14ac:dyDescent="0.25">
      <c r="A5466" s="205" t="s">
        <v>6132</v>
      </c>
      <c r="B5466" s="206">
        <v>101963</v>
      </c>
      <c r="C5466" s="207" t="s">
        <v>6134</v>
      </c>
      <c r="D5466" s="208" t="s">
        <v>578</v>
      </c>
      <c r="E5466" s="209">
        <v>156.19999999999999</v>
      </c>
      <c r="F5466" s="209">
        <v>34.979999999999997</v>
      </c>
      <c r="G5466" s="209">
        <v>191.18</v>
      </c>
      <c r="H5466" s="198"/>
    </row>
    <row r="5467" spans="1:8" ht="15.75" hidden="1" customHeight="1" x14ac:dyDescent="0.25">
      <c r="A5467" s="205" t="s">
        <v>6135</v>
      </c>
      <c r="B5467" s="206">
        <v>100323</v>
      </c>
      <c r="C5467" s="207" t="s">
        <v>6136</v>
      </c>
      <c r="D5467" s="208" t="s">
        <v>664</v>
      </c>
      <c r="E5467" s="209">
        <v>162.56</v>
      </c>
      <c r="F5467" s="209">
        <v>55.99</v>
      </c>
      <c r="G5467" s="209">
        <v>218.55</v>
      </c>
      <c r="H5467" s="198"/>
    </row>
    <row r="5468" spans="1:8" ht="15.75" hidden="1" customHeight="1" x14ac:dyDescent="0.25">
      <c r="A5468" s="205" t="s">
        <v>6135</v>
      </c>
      <c r="B5468" s="206">
        <v>100324</v>
      </c>
      <c r="C5468" s="207" t="s">
        <v>6137</v>
      </c>
      <c r="D5468" s="208" t="s">
        <v>664</v>
      </c>
      <c r="E5468" s="209">
        <v>96.87</v>
      </c>
      <c r="F5468" s="209">
        <v>55.98</v>
      </c>
      <c r="G5468" s="209">
        <v>152.85</v>
      </c>
      <c r="H5468" s="198"/>
    </row>
    <row r="5469" spans="1:8" ht="15.75" hidden="1" customHeight="1" x14ac:dyDescent="0.25">
      <c r="A5469" s="205" t="s">
        <v>6135</v>
      </c>
      <c r="B5469" s="206">
        <v>96624</v>
      </c>
      <c r="C5469" s="207" t="s">
        <v>6138</v>
      </c>
      <c r="D5469" s="208" t="s">
        <v>664</v>
      </c>
      <c r="E5469" s="209">
        <v>97.08</v>
      </c>
      <c r="F5469" s="209">
        <v>55.98</v>
      </c>
      <c r="G5469" s="209">
        <v>153.06</v>
      </c>
      <c r="H5469" s="198"/>
    </row>
    <row r="5470" spans="1:8" ht="15.75" hidden="1" customHeight="1" x14ac:dyDescent="0.25">
      <c r="A5470" s="205" t="s">
        <v>6135</v>
      </c>
      <c r="B5470" s="206">
        <v>100322</v>
      </c>
      <c r="C5470" s="207" t="s">
        <v>6139</v>
      </c>
      <c r="D5470" s="208" t="s">
        <v>664</v>
      </c>
      <c r="E5470" s="209">
        <v>92.48</v>
      </c>
      <c r="F5470" s="209">
        <v>55.98</v>
      </c>
      <c r="G5470" s="209">
        <v>148.46</v>
      </c>
      <c r="H5470" s="198"/>
    </row>
    <row r="5471" spans="1:8" ht="15.75" hidden="1" customHeight="1" x14ac:dyDescent="0.25">
      <c r="A5471" s="205" t="s">
        <v>6135</v>
      </c>
      <c r="B5471" s="206">
        <v>96623</v>
      </c>
      <c r="C5471" s="207" t="s">
        <v>6140</v>
      </c>
      <c r="D5471" s="208" t="s">
        <v>664</v>
      </c>
      <c r="E5471" s="209">
        <v>102.64</v>
      </c>
      <c r="F5471" s="209">
        <v>69.59</v>
      </c>
      <c r="G5471" s="209">
        <v>172.23</v>
      </c>
      <c r="H5471" s="198"/>
    </row>
    <row r="5472" spans="1:8" ht="15.75" hidden="1" customHeight="1" x14ac:dyDescent="0.25">
      <c r="A5472" s="205" t="s">
        <v>6135</v>
      </c>
      <c r="B5472" s="206">
        <v>96622</v>
      </c>
      <c r="C5472" s="207" t="s">
        <v>6141</v>
      </c>
      <c r="D5472" s="208" t="s">
        <v>664</v>
      </c>
      <c r="E5472" s="209">
        <v>113.81</v>
      </c>
      <c r="F5472" s="209">
        <v>68.569999999999993</v>
      </c>
      <c r="G5472" s="209">
        <v>182.38</v>
      </c>
      <c r="H5472" s="198"/>
    </row>
    <row r="5473" spans="1:8" ht="15.75" hidden="1" customHeight="1" x14ac:dyDescent="0.25">
      <c r="A5473" s="205" t="s">
        <v>6135</v>
      </c>
      <c r="B5473" s="206">
        <v>96621</v>
      </c>
      <c r="C5473" s="207" t="s">
        <v>6142</v>
      </c>
      <c r="D5473" s="208" t="s">
        <v>664</v>
      </c>
      <c r="E5473" s="209">
        <v>119.37</v>
      </c>
      <c r="F5473" s="209">
        <v>82.19</v>
      </c>
      <c r="G5473" s="209">
        <v>201.56</v>
      </c>
      <c r="H5473" s="198"/>
    </row>
    <row r="5474" spans="1:8" ht="15.75" hidden="1" customHeight="1" x14ac:dyDescent="0.25">
      <c r="A5474" s="205" t="s">
        <v>6135</v>
      </c>
      <c r="B5474" s="206">
        <v>96617</v>
      </c>
      <c r="C5474" s="207" t="s">
        <v>6143</v>
      </c>
      <c r="D5474" s="208" t="s">
        <v>578</v>
      </c>
      <c r="E5474" s="209">
        <v>12.88</v>
      </c>
      <c r="F5474" s="209">
        <v>8.65</v>
      </c>
      <c r="G5474" s="209">
        <v>21.53</v>
      </c>
      <c r="H5474" s="198"/>
    </row>
    <row r="5475" spans="1:8" ht="15.75" hidden="1" customHeight="1" x14ac:dyDescent="0.25">
      <c r="A5475" s="205" t="s">
        <v>6135</v>
      </c>
      <c r="B5475" s="206">
        <v>96619</v>
      </c>
      <c r="C5475" s="207" t="s">
        <v>6144</v>
      </c>
      <c r="D5475" s="208" t="s">
        <v>578</v>
      </c>
      <c r="E5475" s="209">
        <v>26.06</v>
      </c>
      <c r="F5475" s="209">
        <v>16.87</v>
      </c>
      <c r="G5475" s="209">
        <v>42.93</v>
      </c>
      <c r="H5475" s="198"/>
    </row>
    <row r="5476" spans="1:8" ht="15.75" hidden="1" customHeight="1" x14ac:dyDescent="0.25">
      <c r="A5476" s="205" t="s">
        <v>6135</v>
      </c>
      <c r="B5476" s="206">
        <v>96616</v>
      </c>
      <c r="C5476" s="207" t="s">
        <v>6145</v>
      </c>
      <c r="D5476" s="208" t="s">
        <v>664</v>
      </c>
      <c r="E5476" s="209">
        <v>521.07000000000005</v>
      </c>
      <c r="F5476" s="209">
        <v>337.78</v>
      </c>
      <c r="G5476" s="209">
        <v>858.85</v>
      </c>
      <c r="H5476" s="198"/>
    </row>
    <row r="5477" spans="1:8" ht="15.75" hidden="1" customHeight="1" x14ac:dyDescent="0.25">
      <c r="A5477" s="205" t="s">
        <v>6135</v>
      </c>
      <c r="B5477" s="206">
        <v>95240</v>
      </c>
      <c r="C5477" s="207" t="s">
        <v>6146</v>
      </c>
      <c r="D5477" s="208" t="s">
        <v>578</v>
      </c>
      <c r="E5477" s="209">
        <v>12.62</v>
      </c>
      <c r="F5477" s="209">
        <v>7.88</v>
      </c>
      <c r="G5477" s="209">
        <v>20.5</v>
      </c>
      <c r="H5477" s="198"/>
    </row>
    <row r="5478" spans="1:8" ht="15.75" hidden="1" customHeight="1" x14ac:dyDescent="0.25">
      <c r="A5478" s="205" t="s">
        <v>6135</v>
      </c>
      <c r="B5478" s="206">
        <v>95241</v>
      </c>
      <c r="C5478" s="207" t="s">
        <v>6147</v>
      </c>
      <c r="D5478" s="208" t="s">
        <v>578</v>
      </c>
      <c r="E5478" s="209">
        <v>24.99</v>
      </c>
      <c r="F5478" s="209">
        <v>13.92</v>
      </c>
      <c r="G5478" s="209">
        <v>38.909999999999997</v>
      </c>
      <c r="H5478" s="198"/>
    </row>
    <row r="5479" spans="1:8" ht="15.75" hidden="1" customHeight="1" x14ac:dyDescent="0.25">
      <c r="A5479" s="205" t="s">
        <v>6135</v>
      </c>
      <c r="B5479" s="206">
        <v>96620</v>
      </c>
      <c r="C5479" s="207" t="s">
        <v>6148</v>
      </c>
      <c r="D5479" s="208" t="s">
        <v>664</v>
      </c>
      <c r="E5479" s="209">
        <v>499.66</v>
      </c>
      <c r="F5479" s="209">
        <v>278.86</v>
      </c>
      <c r="G5479" s="209">
        <v>778.52</v>
      </c>
      <c r="H5479" s="198"/>
    </row>
    <row r="5480" spans="1:8" ht="15.75" hidden="1" customHeight="1" x14ac:dyDescent="0.25">
      <c r="A5480" s="205" t="s">
        <v>6149</v>
      </c>
      <c r="B5480" s="206">
        <v>104043</v>
      </c>
      <c r="C5480" s="207" t="s">
        <v>6150</v>
      </c>
      <c r="D5480" s="208" t="s">
        <v>580</v>
      </c>
      <c r="E5480" s="209">
        <v>6.01</v>
      </c>
      <c r="F5480" s="209">
        <v>2.7</v>
      </c>
      <c r="G5480" s="209">
        <v>8.7100000000000009</v>
      </c>
      <c r="H5480" s="198"/>
    </row>
    <row r="5481" spans="1:8" ht="15.75" hidden="1" customHeight="1" x14ac:dyDescent="0.25">
      <c r="A5481" s="205" t="s">
        <v>6149</v>
      </c>
      <c r="B5481" s="206">
        <v>104044</v>
      </c>
      <c r="C5481" s="207" t="s">
        <v>6151</v>
      </c>
      <c r="D5481" s="208" t="s">
        <v>580</v>
      </c>
      <c r="E5481" s="209">
        <v>6.06</v>
      </c>
      <c r="F5481" s="209">
        <v>3.19</v>
      </c>
      <c r="G5481" s="209">
        <v>9.25</v>
      </c>
      <c r="H5481" s="198"/>
    </row>
    <row r="5482" spans="1:8" ht="15.75" hidden="1" customHeight="1" x14ac:dyDescent="0.25">
      <c r="A5482" s="205" t="s">
        <v>6149</v>
      </c>
      <c r="B5482" s="206">
        <v>104045</v>
      </c>
      <c r="C5482" s="207" t="s">
        <v>6152</v>
      </c>
      <c r="D5482" s="208" t="s">
        <v>580</v>
      </c>
      <c r="E5482" s="209">
        <v>10.87</v>
      </c>
      <c r="F5482" s="209">
        <v>3.68</v>
      </c>
      <c r="G5482" s="209">
        <v>14.55</v>
      </c>
      <c r="H5482" s="198"/>
    </row>
    <row r="5483" spans="1:8" ht="15.75" hidden="1" customHeight="1" x14ac:dyDescent="0.25">
      <c r="A5483" s="205" t="s">
        <v>6149</v>
      </c>
      <c r="B5483" s="206">
        <v>104049</v>
      </c>
      <c r="C5483" s="207" t="s">
        <v>6153</v>
      </c>
      <c r="D5483" s="208" t="s">
        <v>580</v>
      </c>
      <c r="E5483" s="209">
        <v>2.67</v>
      </c>
      <c r="F5483" s="209">
        <v>3.09</v>
      </c>
      <c r="G5483" s="209">
        <v>5.76</v>
      </c>
      <c r="H5483" s="198"/>
    </row>
    <row r="5484" spans="1:8" ht="15.75" hidden="1" customHeight="1" x14ac:dyDescent="0.25">
      <c r="A5484" s="205" t="s">
        <v>6149</v>
      </c>
      <c r="B5484" s="206">
        <v>104050</v>
      </c>
      <c r="C5484" s="207" t="s">
        <v>6154</v>
      </c>
      <c r="D5484" s="208" t="s">
        <v>580</v>
      </c>
      <c r="E5484" s="209">
        <v>4.32</v>
      </c>
      <c r="F5484" s="209">
        <v>4.2</v>
      </c>
      <c r="G5484" s="209">
        <v>8.52</v>
      </c>
      <c r="H5484" s="198"/>
    </row>
    <row r="5485" spans="1:8" ht="15.75" hidden="1" customHeight="1" x14ac:dyDescent="0.25">
      <c r="A5485" s="205" t="s">
        <v>6149</v>
      </c>
      <c r="B5485" s="206">
        <v>104084</v>
      </c>
      <c r="C5485" s="207" t="s">
        <v>6155</v>
      </c>
      <c r="D5485" s="208" t="s">
        <v>580</v>
      </c>
      <c r="E5485" s="209">
        <v>75.02</v>
      </c>
      <c r="F5485" s="209">
        <v>2.68</v>
      </c>
      <c r="G5485" s="209">
        <v>77.7</v>
      </c>
      <c r="H5485" s="198"/>
    </row>
    <row r="5486" spans="1:8" ht="15.75" hidden="1" customHeight="1" x14ac:dyDescent="0.25">
      <c r="A5486" s="205" t="s">
        <v>6149</v>
      </c>
      <c r="B5486" s="206">
        <v>104035</v>
      </c>
      <c r="C5486" s="207" t="s">
        <v>6156</v>
      </c>
      <c r="D5486" s="208" t="s">
        <v>580</v>
      </c>
      <c r="E5486" s="209">
        <v>25.22</v>
      </c>
      <c r="F5486" s="209">
        <v>13.83</v>
      </c>
      <c r="G5486" s="209">
        <v>39.049999999999997</v>
      </c>
      <c r="H5486" s="198"/>
    </row>
    <row r="5487" spans="1:8" ht="15.75" hidden="1" customHeight="1" x14ac:dyDescent="0.25">
      <c r="A5487" s="205" t="s">
        <v>6149</v>
      </c>
      <c r="B5487" s="206">
        <v>104036</v>
      </c>
      <c r="C5487" s="207" t="s">
        <v>6157</v>
      </c>
      <c r="D5487" s="208" t="s">
        <v>580</v>
      </c>
      <c r="E5487" s="209">
        <v>25.99</v>
      </c>
      <c r="F5487" s="209">
        <v>14.31</v>
      </c>
      <c r="G5487" s="209">
        <v>40.299999999999997</v>
      </c>
      <c r="H5487" s="198"/>
    </row>
    <row r="5488" spans="1:8" ht="15.75" hidden="1" customHeight="1" x14ac:dyDescent="0.25">
      <c r="A5488" s="205" t="s">
        <v>6149</v>
      </c>
      <c r="B5488" s="206">
        <v>104034</v>
      </c>
      <c r="C5488" s="207" t="s">
        <v>6158</v>
      </c>
      <c r="D5488" s="208" t="s">
        <v>580</v>
      </c>
      <c r="E5488" s="209">
        <v>24.23</v>
      </c>
      <c r="F5488" s="209">
        <v>6.6</v>
      </c>
      <c r="G5488" s="209">
        <v>30.83</v>
      </c>
      <c r="H5488" s="198"/>
    </row>
    <row r="5489" spans="1:8" ht="15.75" hidden="1" customHeight="1" x14ac:dyDescent="0.25">
      <c r="A5489" s="205" t="s">
        <v>6149</v>
      </c>
      <c r="B5489" s="206">
        <v>104031</v>
      </c>
      <c r="C5489" s="207" t="s">
        <v>6159</v>
      </c>
      <c r="D5489" s="208" t="s">
        <v>580</v>
      </c>
      <c r="E5489" s="209">
        <v>14.23</v>
      </c>
      <c r="F5489" s="209">
        <v>6.21</v>
      </c>
      <c r="G5489" s="209">
        <v>20.440000000000001</v>
      </c>
      <c r="H5489" s="198"/>
    </row>
    <row r="5490" spans="1:8" ht="15.75" hidden="1" customHeight="1" x14ac:dyDescent="0.25">
      <c r="A5490" s="205" t="s">
        <v>6149</v>
      </c>
      <c r="B5490" s="206">
        <v>104032</v>
      </c>
      <c r="C5490" s="207" t="s">
        <v>6160</v>
      </c>
      <c r="D5490" s="208" t="s">
        <v>580</v>
      </c>
      <c r="E5490" s="209">
        <v>19.489999999999998</v>
      </c>
      <c r="F5490" s="209">
        <v>6.36</v>
      </c>
      <c r="G5490" s="209">
        <v>25.85</v>
      </c>
      <c r="H5490" s="198"/>
    </row>
    <row r="5491" spans="1:8" ht="15.75" hidden="1" customHeight="1" x14ac:dyDescent="0.25">
      <c r="A5491" s="205" t="s">
        <v>6149</v>
      </c>
      <c r="B5491" s="206">
        <v>104033</v>
      </c>
      <c r="C5491" s="207" t="s">
        <v>6161</v>
      </c>
      <c r="D5491" s="208" t="s">
        <v>580</v>
      </c>
      <c r="E5491" s="209">
        <v>17.079999999999998</v>
      </c>
      <c r="F5491" s="209">
        <v>6.43</v>
      </c>
      <c r="G5491" s="209">
        <v>23.51</v>
      </c>
      <c r="H5491" s="198"/>
    </row>
    <row r="5492" spans="1:8" ht="15.75" hidden="1" customHeight="1" x14ac:dyDescent="0.25">
      <c r="A5492" s="205" t="s">
        <v>6149</v>
      </c>
      <c r="B5492" s="206">
        <v>104051</v>
      </c>
      <c r="C5492" s="207" t="s">
        <v>6162</v>
      </c>
      <c r="D5492" s="208" t="s">
        <v>580</v>
      </c>
      <c r="E5492" s="209">
        <v>5.19</v>
      </c>
      <c r="F5492" s="209">
        <v>2.5499999999999998</v>
      </c>
      <c r="G5492" s="209">
        <v>7.74</v>
      </c>
      <c r="H5492" s="198"/>
    </row>
    <row r="5493" spans="1:8" ht="15.75" hidden="1" customHeight="1" x14ac:dyDescent="0.25">
      <c r="A5493" s="205" t="s">
        <v>6149</v>
      </c>
      <c r="B5493" s="206">
        <v>104052</v>
      </c>
      <c r="C5493" s="207" t="s">
        <v>6163</v>
      </c>
      <c r="D5493" s="208" t="s">
        <v>580</v>
      </c>
      <c r="E5493" s="209">
        <v>7.37</v>
      </c>
      <c r="F5493" s="209">
        <v>3.49</v>
      </c>
      <c r="G5493" s="209">
        <v>10.86</v>
      </c>
      <c r="H5493" s="198"/>
    </row>
    <row r="5494" spans="1:8" ht="15.75" hidden="1" customHeight="1" x14ac:dyDescent="0.25">
      <c r="A5494" s="205" t="s">
        <v>6149</v>
      </c>
      <c r="B5494" s="206">
        <v>104046</v>
      </c>
      <c r="C5494" s="207" t="s">
        <v>6164</v>
      </c>
      <c r="D5494" s="208" t="s">
        <v>580</v>
      </c>
      <c r="E5494" s="209">
        <v>5.62</v>
      </c>
      <c r="F5494" s="209">
        <v>2.69</v>
      </c>
      <c r="G5494" s="209">
        <v>8.31</v>
      </c>
      <c r="H5494" s="198"/>
    </row>
    <row r="5495" spans="1:8" ht="15.75" hidden="1" customHeight="1" x14ac:dyDescent="0.25">
      <c r="A5495" s="205" t="s">
        <v>6149</v>
      </c>
      <c r="B5495" s="206">
        <v>104047</v>
      </c>
      <c r="C5495" s="207" t="s">
        <v>6165</v>
      </c>
      <c r="D5495" s="208" t="s">
        <v>580</v>
      </c>
      <c r="E5495" s="209">
        <v>6.44</v>
      </c>
      <c r="F5495" s="209">
        <v>3.2</v>
      </c>
      <c r="G5495" s="209">
        <v>9.64</v>
      </c>
      <c r="H5495" s="198"/>
    </row>
    <row r="5496" spans="1:8" ht="15.75" hidden="1" customHeight="1" x14ac:dyDescent="0.25">
      <c r="A5496" s="205" t="s">
        <v>6149</v>
      </c>
      <c r="B5496" s="206">
        <v>104048</v>
      </c>
      <c r="C5496" s="207" t="s">
        <v>6166</v>
      </c>
      <c r="D5496" s="208" t="s">
        <v>580</v>
      </c>
      <c r="E5496" s="209">
        <v>10.51</v>
      </c>
      <c r="F5496" s="209">
        <v>3.69</v>
      </c>
      <c r="G5496" s="209">
        <v>14.2</v>
      </c>
      <c r="H5496" s="198"/>
    </row>
    <row r="5497" spans="1:8" ht="15.75" hidden="1" customHeight="1" x14ac:dyDescent="0.25">
      <c r="A5497" s="205" t="s">
        <v>6149</v>
      </c>
      <c r="B5497" s="206">
        <v>104063</v>
      </c>
      <c r="C5497" s="207" t="s">
        <v>6167</v>
      </c>
      <c r="D5497" s="208" t="s">
        <v>580</v>
      </c>
      <c r="E5497" s="209">
        <v>60.63</v>
      </c>
      <c r="F5497" s="209">
        <v>5.15</v>
      </c>
      <c r="G5497" s="209">
        <v>65.78</v>
      </c>
      <c r="H5497" s="198"/>
    </row>
    <row r="5498" spans="1:8" ht="15.75" hidden="1" customHeight="1" x14ac:dyDescent="0.25">
      <c r="A5498" s="205" t="s">
        <v>6149</v>
      </c>
      <c r="B5498" s="206">
        <v>104065</v>
      </c>
      <c r="C5498" s="207" t="s">
        <v>6168</v>
      </c>
      <c r="D5498" s="208" t="s">
        <v>580</v>
      </c>
      <c r="E5498" s="209">
        <v>136.19999999999999</v>
      </c>
      <c r="F5498" s="209">
        <v>5.39</v>
      </c>
      <c r="G5498" s="209">
        <v>141.59</v>
      </c>
      <c r="H5498" s="198"/>
    </row>
    <row r="5499" spans="1:8" ht="15.75" hidden="1" customHeight="1" x14ac:dyDescent="0.25">
      <c r="A5499" s="205" t="s">
        <v>6149</v>
      </c>
      <c r="B5499" s="206">
        <v>104062</v>
      </c>
      <c r="C5499" s="207" t="s">
        <v>6169</v>
      </c>
      <c r="D5499" s="208" t="s">
        <v>580</v>
      </c>
      <c r="E5499" s="209">
        <v>64.02</v>
      </c>
      <c r="F5499" s="209">
        <v>5.16</v>
      </c>
      <c r="G5499" s="209">
        <v>69.180000000000007</v>
      </c>
      <c r="H5499" s="198"/>
    </row>
    <row r="5500" spans="1:8" ht="15.75" hidden="1" customHeight="1" x14ac:dyDescent="0.25">
      <c r="A5500" s="205" t="s">
        <v>6149</v>
      </c>
      <c r="B5500" s="206">
        <v>104064</v>
      </c>
      <c r="C5500" s="207" t="s">
        <v>6170</v>
      </c>
      <c r="D5500" s="208" t="s">
        <v>580</v>
      </c>
      <c r="E5500" s="209">
        <v>161.77000000000001</v>
      </c>
      <c r="F5500" s="209">
        <v>5.38</v>
      </c>
      <c r="G5500" s="209">
        <v>167.15</v>
      </c>
      <c r="H5500" s="198"/>
    </row>
    <row r="5501" spans="1:8" ht="15.75" hidden="1" customHeight="1" x14ac:dyDescent="0.25">
      <c r="A5501" s="205" t="s">
        <v>6149</v>
      </c>
      <c r="B5501" s="206">
        <v>104059</v>
      </c>
      <c r="C5501" s="207" t="s">
        <v>6171</v>
      </c>
      <c r="D5501" s="208" t="s">
        <v>580</v>
      </c>
      <c r="E5501" s="209">
        <v>6.11</v>
      </c>
      <c r="F5501" s="209">
        <v>3.88</v>
      </c>
      <c r="G5501" s="209">
        <v>9.99</v>
      </c>
      <c r="H5501" s="198"/>
    </row>
    <row r="5502" spans="1:8" ht="15.75" hidden="1" customHeight="1" x14ac:dyDescent="0.25">
      <c r="A5502" s="205" t="s">
        <v>6149</v>
      </c>
      <c r="B5502" s="206">
        <v>104058</v>
      </c>
      <c r="C5502" s="207" t="s">
        <v>6172</v>
      </c>
      <c r="D5502" s="208" t="s">
        <v>580</v>
      </c>
      <c r="E5502" s="209">
        <v>3</v>
      </c>
      <c r="F5502" s="209">
        <v>4.78</v>
      </c>
      <c r="G5502" s="209">
        <v>7.78</v>
      </c>
      <c r="H5502" s="198"/>
    </row>
    <row r="5503" spans="1:8" ht="15.75" hidden="1" customHeight="1" x14ac:dyDescent="0.25">
      <c r="A5503" s="205" t="s">
        <v>6149</v>
      </c>
      <c r="B5503" s="206">
        <v>104082</v>
      </c>
      <c r="C5503" s="207" t="s">
        <v>6173</v>
      </c>
      <c r="D5503" s="208" t="s">
        <v>580</v>
      </c>
      <c r="E5503" s="209">
        <v>25.84</v>
      </c>
      <c r="F5503" s="209">
        <v>2.57</v>
      </c>
      <c r="G5503" s="209">
        <v>28.41</v>
      </c>
      <c r="H5503" s="198"/>
    </row>
    <row r="5504" spans="1:8" ht="15.75" hidden="1" customHeight="1" x14ac:dyDescent="0.25">
      <c r="A5504" s="205" t="s">
        <v>6149</v>
      </c>
      <c r="B5504" s="206">
        <v>104083</v>
      </c>
      <c r="C5504" s="207" t="s">
        <v>6174</v>
      </c>
      <c r="D5504" s="208" t="s">
        <v>580</v>
      </c>
      <c r="E5504" s="209">
        <v>65.38</v>
      </c>
      <c r="F5504" s="209">
        <v>2.68</v>
      </c>
      <c r="G5504" s="209">
        <v>68.06</v>
      </c>
      <c r="H5504" s="198"/>
    </row>
    <row r="5505" spans="1:8" ht="15.75" hidden="1" customHeight="1" x14ac:dyDescent="0.25">
      <c r="A5505" s="205" t="s">
        <v>6149</v>
      </c>
      <c r="B5505" s="206">
        <v>104056</v>
      </c>
      <c r="C5505" s="207" t="s">
        <v>6175</v>
      </c>
      <c r="D5505" s="208" t="s">
        <v>580</v>
      </c>
      <c r="E5505" s="209">
        <v>23.28</v>
      </c>
      <c r="F5505" s="209">
        <v>2.84</v>
      </c>
      <c r="G5505" s="209">
        <v>26.12</v>
      </c>
      <c r="H5505" s="198"/>
    </row>
    <row r="5506" spans="1:8" ht="15.75" hidden="1" customHeight="1" x14ac:dyDescent="0.25">
      <c r="A5506" s="205" t="s">
        <v>6149</v>
      </c>
      <c r="B5506" s="206">
        <v>104055</v>
      </c>
      <c r="C5506" s="207" t="s">
        <v>6176</v>
      </c>
      <c r="D5506" s="208" t="s">
        <v>580</v>
      </c>
      <c r="E5506" s="209">
        <v>14.72</v>
      </c>
      <c r="F5506" s="209">
        <v>2.5499999999999998</v>
      </c>
      <c r="G5506" s="209">
        <v>17.27</v>
      </c>
      <c r="H5506" s="198"/>
    </row>
    <row r="5507" spans="1:8" ht="15.75" hidden="1" customHeight="1" x14ac:dyDescent="0.25">
      <c r="A5507" s="205" t="s">
        <v>6149</v>
      </c>
      <c r="B5507" s="206">
        <v>104076</v>
      </c>
      <c r="C5507" s="207" t="s">
        <v>6177</v>
      </c>
      <c r="D5507" s="208" t="s">
        <v>580</v>
      </c>
      <c r="E5507" s="209">
        <v>36.44</v>
      </c>
      <c r="F5507" s="209">
        <v>8.08</v>
      </c>
      <c r="G5507" s="209">
        <v>44.52</v>
      </c>
      <c r="H5507" s="198"/>
    </row>
    <row r="5508" spans="1:8" ht="15.75" hidden="1" customHeight="1" x14ac:dyDescent="0.25">
      <c r="A5508" s="205" t="s">
        <v>6149</v>
      </c>
      <c r="B5508" s="206">
        <v>104060</v>
      </c>
      <c r="C5508" s="207" t="s">
        <v>6178</v>
      </c>
      <c r="D5508" s="208" t="s">
        <v>585</v>
      </c>
      <c r="E5508" s="209">
        <v>6.47</v>
      </c>
      <c r="F5508" s="209">
        <v>2.31</v>
      </c>
      <c r="G5508" s="209">
        <v>8.7799999999999994</v>
      </c>
      <c r="H5508" s="198"/>
    </row>
    <row r="5509" spans="1:8" ht="15.75" hidden="1" customHeight="1" x14ac:dyDescent="0.25">
      <c r="A5509" s="205" t="s">
        <v>6149</v>
      </c>
      <c r="B5509" s="206">
        <v>104061</v>
      </c>
      <c r="C5509" s="207" t="s">
        <v>6179</v>
      </c>
      <c r="D5509" s="208" t="s">
        <v>585</v>
      </c>
      <c r="E5509" s="209">
        <v>12.19</v>
      </c>
      <c r="F5509" s="209">
        <v>3.5</v>
      </c>
      <c r="G5509" s="209">
        <v>15.69</v>
      </c>
      <c r="H5509" s="198"/>
    </row>
    <row r="5510" spans="1:8" ht="15.75" hidden="1" customHeight="1" x14ac:dyDescent="0.25">
      <c r="A5510" s="205" t="s">
        <v>6149</v>
      </c>
      <c r="B5510" s="206">
        <v>104085</v>
      </c>
      <c r="C5510" s="207" t="s">
        <v>6180</v>
      </c>
      <c r="D5510" s="208" t="s">
        <v>585</v>
      </c>
      <c r="E5510" s="209">
        <v>45.3</v>
      </c>
      <c r="F5510" s="209">
        <v>6.98</v>
      </c>
      <c r="G5510" s="209">
        <v>52.28</v>
      </c>
      <c r="H5510" s="198"/>
    </row>
    <row r="5511" spans="1:8" ht="15.75" hidden="1" customHeight="1" x14ac:dyDescent="0.25">
      <c r="A5511" s="205" t="s">
        <v>6149</v>
      </c>
      <c r="B5511" s="206">
        <v>104086</v>
      </c>
      <c r="C5511" s="207" t="s">
        <v>6181</v>
      </c>
      <c r="D5511" s="208" t="s">
        <v>585</v>
      </c>
      <c r="E5511" s="209">
        <v>85.17</v>
      </c>
      <c r="F5511" s="209">
        <v>7.81</v>
      </c>
      <c r="G5511" s="209">
        <v>92.98</v>
      </c>
      <c r="H5511" s="198"/>
    </row>
    <row r="5512" spans="1:8" ht="15.75" hidden="1" customHeight="1" x14ac:dyDescent="0.25">
      <c r="A5512" s="205" t="s">
        <v>6149</v>
      </c>
      <c r="B5512" s="206">
        <v>104039</v>
      </c>
      <c r="C5512" s="207" t="s">
        <v>6182</v>
      </c>
      <c r="D5512" s="208" t="s">
        <v>580</v>
      </c>
      <c r="E5512" s="209">
        <v>62.28</v>
      </c>
      <c r="F5512" s="209">
        <v>13.67</v>
      </c>
      <c r="G5512" s="209">
        <v>75.95</v>
      </c>
      <c r="H5512" s="198"/>
    </row>
    <row r="5513" spans="1:8" ht="15.75" hidden="1" customHeight="1" x14ac:dyDescent="0.25">
      <c r="A5513" s="205" t="s">
        <v>6149</v>
      </c>
      <c r="B5513" s="206">
        <v>104072</v>
      </c>
      <c r="C5513" s="207" t="s">
        <v>6183</v>
      </c>
      <c r="D5513" s="208" t="s">
        <v>580</v>
      </c>
      <c r="E5513" s="209">
        <v>249.81</v>
      </c>
      <c r="F5513" s="209">
        <v>8.31</v>
      </c>
      <c r="G5513" s="209">
        <v>258.12</v>
      </c>
      <c r="H5513" s="198"/>
    </row>
    <row r="5514" spans="1:8" ht="15.75" hidden="1" customHeight="1" x14ac:dyDescent="0.25">
      <c r="A5514" s="205" t="s">
        <v>6149</v>
      </c>
      <c r="B5514" s="206">
        <v>104053</v>
      </c>
      <c r="C5514" s="207" t="s">
        <v>6184</v>
      </c>
      <c r="D5514" s="208" t="s">
        <v>580</v>
      </c>
      <c r="E5514" s="209">
        <v>6.47</v>
      </c>
      <c r="F5514" s="209">
        <v>2.56</v>
      </c>
      <c r="G5514" s="209">
        <v>9.0299999999999994</v>
      </c>
      <c r="H5514" s="198"/>
    </row>
    <row r="5515" spans="1:8" ht="15.75" hidden="1" customHeight="1" x14ac:dyDescent="0.25">
      <c r="A5515" s="205" t="s">
        <v>6149</v>
      </c>
      <c r="B5515" s="206">
        <v>104054</v>
      </c>
      <c r="C5515" s="207" t="s">
        <v>6185</v>
      </c>
      <c r="D5515" s="208" t="s">
        <v>580</v>
      </c>
      <c r="E5515" s="209">
        <v>14.5</v>
      </c>
      <c r="F5515" s="209">
        <v>3.49</v>
      </c>
      <c r="G5515" s="209">
        <v>17.989999999999998</v>
      </c>
      <c r="H5515" s="198"/>
    </row>
    <row r="5516" spans="1:8" ht="15.75" hidden="1" customHeight="1" x14ac:dyDescent="0.25">
      <c r="A5516" s="205" t="s">
        <v>6186</v>
      </c>
      <c r="B5516" s="206">
        <v>99818</v>
      </c>
      <c r="C5516" s="207" t="s">
        <v>6187</v>
      </c>
      <c r="D5516" s="208" t="s">
        <v>580</v>
      </c>
      <c r="E5516" s="209">
        <v>3.86</v>
      </c>
      <c r="F5516" s="209">
        <v>2.42</v>
      </c>
      <c r="G5516" s="209">
        <v>6.28</v>
      </c>
      <c r="H5516" s="198"/>
    </row>
    <row r="5517" spans="1:8" ht="15.75" hidden="1" customHeight="1" x14ac:dyDescent="0.25">
      <c r="A5517" s="205" t="s">
        <v>6186</v>
      </c>
      <c r="B5517" s="206">
        <v>99819</v>
      </c>
      <c r="C5517" s="207" t="s">
        <v>6188</v>
      </c>
      <c r="D5517" s="208" t="s">
        <v>578</v>
      </c>
      <c r="E5517" s="209">
        <v>7.32</v>
      </c>
      <c r="F5517" s="209">
        <v>15.16</v>
      </c>
      <c r="G5517" s="209">
        <v>22.48</v>
      </c>
      <c r="H5517" s="198"/>
    </row>
    <row r="5518" spans="1:8" ht="15.75" hidden="1" customHeight="1" x14ac:dyDescent="0.25">
      <c r="A5518" s="205" t="s">
        <v>6186</v>
      </c>
      <c r="B5518" s="206">
        <v>99811</v>
      </c>
      <c r="C5518" s="207" t="s">
        <v>6189</v>
      </c>
      <c r="D5518" s="208" t="s">
        <v>578</v>
      </c>
      <c r="E5518" s="209">
        <v>1.51</v>
      </c>
      <c r="F5518" s="209">
        <v>3.22</v>
      </c>
      <c r="G5518" s="209">
        <v>4.7300000000000004</v>
      </c>
      <c r="H5518" s="198"/>
    </row>
    <row r="5519" spans="1:8" ht="15.75" hidden="1" customHeight="1" x14ac:dyDescent="0.25">
      <c r="A5519" s="205" t="s">
        <v>6186</v>
      </c>
      <c r="B5519" s="206">
        <v>99826</v>
      </c>
      <c r="C5519" s="207" t="s">
        <v>6190</v>
      </c>
      <c r="D5519" s="208" t="s">
        <v>578</v>
      </c>
      <c r="E5519" s="209">
        <v>0.67</v>
      </c>
      <c r="F5519" s="209">
        <v>1.39</v>
      </c>
      <c r="G5519" s="209">
        <v>2.06</v>
      </c>
      <c r="H5519" s="198"/>
    </row>
    <row r="5520" spans="1:8" ht="15.75" hidden="1" customHeight="1" x14ac:dyDescent="0.25">
      <c r="A5520" s="205" t="s">
        <v>6186</v>
      </c>
      <c r="B5520" s="206">
        <v>99821</v>
      </c>
      <c r="C5520" s="207" t="s">
        <v>6191</v>
      </c>
      <c r="D5520" s="208" t="s">
        <v>578</v>
      </c>
      <c r="E5520" s="209">
        <v>1.89</v>
      </c>
      <c r="F5520" s="209">
        <v>1.78</v>
      </c>
      <c r="G5520" s="209">
        <v>3.67</v>
      </c>
      <c r="H5520" s="198"/>
    </row>
    <row r="5521" spans="1:8" ht="15.75" hidden="1" customHeight="1" x14ac:dyDescent="0.25">
      <c r="A5521" s="205" t="s">
        <v>6186</v>
      </c>
      <c r="B5521" s="206">
        <v>99820</v>
      </c>
      <c r="C5521" s="207" t="s">
        <v>6192</v>
      </c>
      <c r="D5521" s="208" t="s">
        <v>578</v>
      </c>
      <c r="E5521" s="209">
        <v>1.17</v>
      </c>
      <c r="F5521" s="209">
        <v>1.22</v>
      </c>
      <c r="G5521" s="209">
        <v>2.39</v>
      </c>
      <c r="H5521" s="198"/>
    </row>
    <row r="5522" spans="1:8" ht="15.75" hidden="1" customHeight="1" x14ac:dyDescent="0.25">
      <c r="A5522" s="205" t="s">
        <v>6186</v>
      </c>
      <c r="B5522" s="206">
        <v>99812</v>
      </c>
      <c r="C5522" s="207" t="s">
        <v>6193</v>
      </c>
      <c r="D5522" s="208" t="s">
        <v>578</v>
      </c>
      <c r="E5522" s="209">
        <v>0.5</v>
      </c>
      <c r="F5522" s="209">
        <v>1.02</v>
      </c>
      <c r="G5522" s="209">
        <v>1.52</v>
      </c>
      <c r="H5522" s="198"/>
    </row>
    <row r="5523" spans="1:8" ht="15.75" hidden="1" customHeight="1" x14ac:dyDescent="0.25">
      <c r="A5523" s="205" t="s">
        <v>6186</v>
      </c>
      <c r="B5523" s="206">
        <v>99817</v>
      </c>
      <c r="C5523" s="207" t="s">
        <v>6194</v>
      </c>
      <c r="D5523" s="208" t="s">
        <v>580</v>
      </c>
      <c r="E5523" s="209">
        <v>3.86</v>
      </c>
      <c r="F5523" s="209">
        <v>2.42</v>
      </c>
      <c r="G5523" s="209">
        <v>6.28</v>
      </c>
      <c r="H5523" s="198"/>
    </row>
    <row r="5524" spans="1:8" ht="15.75" hidden="1" customHeight="1" x14ac:dyDescent="0.25">
      <c r="A5524" s="205" t="s">
        <v>6186</v>
      </c>
      <c r="B5524" s="206">
        <v>99813</v>
      </c>
      <c r="C5524" s="207" t="s">
        <v>6195</v>
      </c>
      <c r="D5524" s="208" t="s">
        <v>578</v>
      </c>
      <c r="E5524" s="209">
        <v>0.46</v>
      </c>
      <c r="F5524" s="209">
        <v>0.81</v>
      </c>
      <c r="G5524" s="209">
        <v>1.27</v>
      </c>
      <c r="H5524" s="198"/>
    </row>
    <row r="5525" spans="1:8" ht="15.75" hidden="1" customHeight="1" x14ac:dyDescent="0.25">
      <c r="A5525" s="205" t="s">
        <v>6186</v>
      </c>
      <c r="B5525" s="206">
        <v>99815</v>
      </c>
      <c r="C5525" s="207" t="s">
        <v>6196</v>
      </c>
      <c r="D5525" s="208" t="s">
        <v>580</v>
      </c>
      <c r="E5525" s="209">
        <v>5.23</v>
      </c>
      <c r="F5525" s="209">
        <v>5.32</v>
      </c>
      <c r="G5525" s="209">
        <v>10.55</v>
      </c>
      <c r="H5525" s="198"/>
    </row>
    <row r="5526" spans="1:8" ht="15.75" hidden="1" customHeight="1" x14ac:dyDescent="0.25">
      <c r="A5526" s="205" t="s">
        <v>6186</v>
      </c>
      <c r="B5526" s="206">
        <v>99805</v>
      </c>
      <c r="C5526" s="207" t="s">
        <v>6197</v>
      </c>
      <c r="D5526" s="208" t="s">
        <v>578</v>
      </c>
      <c r="E5526" s="209">
        <v>5.18</v>
      </c>
      <c r="F5526" s="209">
        <v>9.61</v>
      </c>
      <c r="G5526" s="209">
        <v>14.79</v>
      </c>
      <c r="H5526" s="198"/>
    </row>
    <row r="5527" spans="1:8" ht="15.75" hidden="1" customHeight="1" x14ac:dyDescent="0.25">
      <c r="A5527" s="205" t="s">
        <v>6186</v>
      </c>
      <c r="B5527" s="206">
        <v>99803</v>
      </c>
      <c r="C5527" s="207" t="s">
        <v>6198</v>
      </c>
      <c r="D5527" s="208" t="s">
        <v>578</v>
      </c>
      <c r="E5527" s="209">
        <v>0.89</v>
      </c>
      <c r="F5527" s="209">
        <v>1.89</v>
      </c>
      <c r="G5527" s="209">
        <v>2.78</v>
      </c>
      <c r="H5527" s="198"/>
    </row>
    <row r="5528" spans="1:8" ht="15.75" hidden="1" customHeight="1" x14ac:dyDescent="0.25">
      <c r="A5528" s="205" t="s">
        <v>6186</v>
      </c>
      <c r="B5528" s="206">
        <v>99802</v>
      </c>
      <c r="C5528" s="207" t="s">
        <v>6199</v>
      </c>
      <c r="D5528" s="208" t="s">
        <v>578</v>
      </c>
      <c r="E5528" s="209">
        <v>0.23</v>
      </c>
      <c r="F5528" s="209">
        <v>0.48</v>
      </c>
      <c r="G5528" s="209">
        <v>0.71</v>
      </c>
      <c r="H5528" s="198"/>
    </row>
    <row r="5529" spans="1:8" ht="15.75" hidden="1" customHeight="1" x14ac:dyDescent="0.25">
      <c r="A5529" s="205" t="s">
        <v>6186</v>
      </c>
      <c r="B5529" s="206">
        <v>99804</v>
      </c>
      <c r="C5529" s="207" t="s">
        <v>6200</v>
      </c>
      <c r="D5529" s="208" t="s">
        <v>578</v>
      </c>
      <c r="E5529" s="209">
        <v>2.35</v>
      </c>
      <c r="F5529" s="209">
        <v>4.84</v>
      </c>
      <c r="G5529" s="209">
        <v>7.19</v>
      </c>
      <c r="H5529" s="198"/>
    </row>
    <row r="5530" spans="1:8" ht="15.75" hidden="1" customHeight="1" x14ac:dyDescent="0.25">
      <c r="A5530" s="205" t="s">
        <v>6186</v>
      </c>
      <c r="B5530" s="206">
        <v>99809</v>
      </c>
      <c r="C5530" s="207" t="s">
        <v>6201</v>
      </c>
      <c r="D5530" s="208" t="s">
        <v>578</v>
      </c>
      <c r="E5530" s="209">
        <v>2.54</v>
      </c>
      <c r="F5530" s="209">
        <v>5.38</v>
      </c>
      <c r="G5530" s="209">
        <v>7.92</v>
      </c>
      <c r="H5530" s="198"/>
    </row>
    <row r="5531" spans="1:8" ht="15.75" hidden="1" customHeight="1" x14ac:dyDescent="0.25">
      <c r="A5531" s="205" t="s">
        <v>6186</v>
      </c>
      <c r="B5531" s="206">
        <v>99810</v>
      </c>
      <c r="C5531" s="207" t="s">
        <v>6202</v>
      </c>
      <c r="D5531" s="208" t="s">
        <v>578</v>
      </c>
      <c r="E5531" s="209">
        <v>3.2</v>
      </c>
      <c r="F5531" s="209">
        <v>6.63</v>
      </c>
      <c r="G5531" s="209">
        <v>9.83</v>
      </c>
      <c r="H5531" s="198"/>
    </row>
    <row r="5532" spans="1:8" ht="15.75" hidden="1" customHeight="1" x14ac:dyDescent="0.25">
      <c r="A5532" s="205" t="s">
        <v>6186</v>
      </c>
      <c r="B5532" s="206">
        <v>99822</v>
      </c>
      <c r="C5532" s="207" t="s">
        <v>6203</v>
      </c>
      <c r="D5532" s="208" t="s">
        <v>578</v>
      </c>
      <c r="E5532" s="209">
        <v>0.44</v>
      </c>
      <c r="F5532" s="209">
        <v>0.9</v>
      </c>
      <c r="G5532" s="209">
        <v>1.34</v>
      </c>
      <c r="H5532" s="198"/>
    </row>
    <row r="5533" spans="1:8" ht="15.75" hidden="1" customHeight="1" x14ac:dyDescent="0.25">
      <c r="A5533" s="205" t="s">
        <v>6186</v>
      </c>
      <c r="B5533" s="206">
        <v>99825</v>
      </c>
      <c r="C5533" s="207" t="s">
        <v>6204</v>
      </c>
      <c r="D5533" s="208" t="s">
        <v>578</v>
      </c>
      <c r="E5533" s="209">
        <v>2.11</v>
      </c>
      <c r="F5533" s="209">
        <v>2.25</v>
      </c>
      <c r="G5533" s="209">
        <v>4.3600000000000003</v>
      </c>
      <c r="H5533" s="198"/>
    </row>
    <row r="5534" spans="1:8" ht="15.75" hidden="1" customHeight="1" x14ac:dyDescent="0.25">
      <c r="A5534" s="205" t="s">
        <v>6186</v>
      </c>
      <c r="B5534" s="206">
        <v>99824</v>
      </c>
      <c r="C5534" s="207" t="s">
        <v>6205</v>
      </c>
      <c r="D5534" s="208" t="s">
        <v>578</v>
      </c>
      <c r="E5534" s="209">
        <v>1.37</v>
      </c>
      <c r="F5534" s="209">
        <v>1.81</v>
      </c>
      <c r="G5534" s="209">
        <v>3.18</v>
      </c>
      <c r="H5534" s="198"/>
    </row>
    <row r="5535" spans="1:8" ht="15.75" hidden="1" customHeight="1" x14ac:dyDescent="0.25">
      <c r="A5535" s="205" t="s">
        <v>6186</v>
      </c>
      <c r="B5535" s="206">
        <v>99823</v>
      </c>
      <c r="C5535" s="207" t="s">
        <v>6206</v>
      </c>
      <c r="D5535" s="208" t="s">
        <v>578</v>
      </c>
      <c r="E5535" s="209">
        <v>1.31</v>
      </c>
      <c r="F5535" s="209">
        <v>1.54</v>
      </c>
      <c r="G5535" s="209">
        <v>2.85</v>
      </c>
      <c r="H5535" s="198"/>
    </row>
    <row r="5536" spans="1:8" ht="15.75" hidden="1" customHeight="1" x14ac:dyDescent="0.25">
      <c r="A5536" s="205" t="s">
        <v>6186</v>
      </c>
      <c r="B5536" s="206">
        <v>99806</v>
      </c>
      <c r="C5536" s="207" t="s">
        <v>6207</v>
      </c>
      <c r="D5536" s="208" t="s">
        <v>578</v>
      </c>
      <c r="E5536" s="209">
        <v>0.37</v>
      </c>
      <c r="F5536" s="209">
        <v>0.77</v>
      </c>
      <c r="G5536" s="209">
        <v>1.1399999999999999</v>
      </c>
      <c r="H5536" s="198"/>
    </row>
    <row r="5537" spans="1:8" ht="15.75" hidden="1" customHeight="1" x14ac:dyDescent="0.25">
      <c r="A5537" s="205" t="s">
        <v>6186</v>
      </c>
      <c r="B5537" s="206">
        <v>99807</v>
      </c>
      <c r="C5537" s="207" t="s">
        <v>6208</v>
      </c>
      <c r="D5537" s="208" t="s">
        <v>578</v>
      </c>
      <c r="E5537" s="209">
        <v>0.75</v>
      </c>
      <c r="F5537" s="209">
        <v>1.41</v>
      </c>
      <c r="G5537" s="209">
        <v>2.16</v>
      </c>
      <c r="H5537" s="198"/>
    </row>
    <row r="5538" spans="1:8" ht="15.75" hidden="1" customHeight="1" x14ac:dyDescent="0.25">
      <c r="A5538" s="205" t="s">
        <v>6186</v>
      </c>
      <c r="B5538" s="206">
        <v>99808</v>
      </c>
      <c r="C5538" s="207" t="s">
        <v>6209</v>
      </c>
      <c r="D5538" s="208" t="s">
        <v>578</v>
      </c>
      <c r="E5538" s="209">
        <v>2.06</v>
      </c>
      <c r="F5538" s="209">
        <v>2.97</v>
      </c>
      <c r="G5538" s="209">
        <v>5.03</v>
      </c>
      <c r="H5538" s="198"/>
    </row>
    <row r="5539" spans="1:8" ht="15.75" hidden="1" customHeight="1" x14ac:dyDescent="0.25">
      <c r="A5539" s="205" t="s">
        <v>6186</v>
      </c>
      <c r="B5539" s="206">
        <v>99814</v>
      </c>
      <c r="C5539" s="207" t="s">
        <v>6210</v>
      </c>
      <c r="D5539" s="208" t="s">
        <v>578</v>
      </c>
      <c r="E5539" s="209">
        <v>0.87</v>
      </c>
      <c r="F5539" s="209">
        <v>1.73</v>
      </c>
      <c r="G5539" s="209">
        <v>2.6</v>
      </c>
      <c r="H5539" s="198"/>
    </row>
    <row r="5540" spans="1:8" ht="15.75" hidden="1" customHeight="1" x14ac:dyDescent="0.25">
      <c r="A5540" s="205" t="s">
        <v>6186</v>
      </c>
      <c r="B5540" s="206">
        <v>99816</v>
      </c>
      <c r="C5540" s="207" t="s">
        <v>6211</v>
      </c>
      <c r="D5540" s="208" t="s">
        <v>580</v>
      </c>
      <c r="E5540" s="209">
        <v>5.47</v>
      </c>
      <c r="F5540" s="209">
        <v>5.8</v>
      </c>
      <c r="G5540" s="209">
        <v>11.27</v>
      </c>
      <c r="H5540" s="198"/>
    </row>
    <row r="5541" spans="1:8" ht="15.75" hidden="1" customHeight="1" x14ac:dyDescent="0.25">
      <c r="A5541" s="205" t="s">
        <v>6212</v>
      </c>
      <c r="B5541" s="206">
        <v>88238</v>
      </c>
      <c r="C5541" s="207" t="s">
        <v>6213</v>
      </c>
      <c r="D5541" s="208" t="s">
        <v>2193</v>
      </c>
      <c r="E5541" s="209">
        <v>9.2899999999999991</v>
      </c>
      <c r="F5541" s="209">
        <v>20.94</v>
      </c>
      <c r="G5541" s="209">
        <v>30.23</v>
      </c>
      <c r="H5541" s="198"/>
    </row>
    <row r="5542" spans="1:8" ht="15.75" hidden="1" customHeight="1" x14ac:dyDescent="0.25">
      <c r="A5542" s="205" t="s">
        <v>6212</v>
      </c>
      <c r="B5542" s="206">
        <v>101374</v>
      </c>
      <c r="C5542" s="207" t="s">
        <v>6213</v>
      </c>
      <c r="D5542" s="208" t="s">
        <v>6214</v>
      </c>
      <c r="E5542" s="209">
        <v>1752.22</v>
      </c>
      <c r="F5542" s="209">
        <v>3669.24</v>
      </c>
      <c r="G5542" s="209">
        <v>5421.46</v>
      </c>
      <c r="H5542" s="198"/>
    </row>
    <row r="5543" spans="1:8" ht="15.75" hidden="1" customHeight="1" x14ac:dyDescent="0.25">
      <c r="A5543" s="205" t="s">
        <v>6212</v>
      </c>
      <c r="B5543" s="206">
        <v>88239</v>
      </c>
      <c r="C5543" s="207" t="s">
        <v>6215</v>
      </c>
      <c r="D5543" s="208" t="s">
        <v>2193</v>
      </c>
      <c r="E5543" s="209">
        <v>9.07</v>
      </c>
      <c r="F5543" s="209">
        <v>21.01</v>
      </c>
      <c r="G5543" s="209">
        <v>30.08</v>
      </c>
      <c r="H5543" s="198"/>
    </row>
    <row r="5544" spans="1:8" ht="15.75" hidden="1" customHeight="1" x14ac:dyDescent="0.25">
      <c r="A5544" s="205" t="s">
        <v>6212</v>
      </c>
      <c r="B5544" s="206">
        <v>101375</v>
      </c>
      <c r="C5544" s="207" t="s">
        <v>6216</v>
      </c>
      <c r="D5544" s="208" t="s">
        <v>6214</v>
      </c>
      <c r="E5544" s="209">
        <v>1756.8</v>
      </c>
      <c r="F5544" s="209">
        <v>3740.07</v>
      </c>
      <c r="G5544" s="209">
        <v>5496.87</v>
      </c>
      <c r="H5544" s="198"/>
    </row>
    <row r="5545" spans="1:8" ht="15.75" hidden="1" customHeight="1" x14ac:dyDescent="0.25">
      <c r="A5545" s="205" t="s">
        <v>6212</v>
      </c>
      <c r="B5545" s="206">
        <v>88240</v>
      </c>
      <c r="C5545" s="207" t="s">
        <v>6217</v>
      </c>
      <c r="D5545" s="208" t="s">
        <v>2193</v>
      </c>
      <c r="E5545" s="209">
        <v>8.1</v>
      </c>
      <c r="F5545" s="209">
        <v>20.94</v>
      </c>
      <c r="G5545" s="209">
        <v>29.04</v>
      </c>
      <c r="H5545" s="198"/>
    </row>
    <row r="5546" spans="1:8" ht="15.75" hidden="1" customHeight="1" x14ac:dyDescent="0.25">
      <c r="A5546" s="205" t="s">
        <v>6212</v>
      </c>
      <c r="B5546" s="206">
        <v>101376</v>
      </c>
      <c r="C5546" s="207" t="s">
        <v>6218</v>
      </c>
      <c r="D5546" s="208" t="s">
        <v>6214</v>
      </c>
      <c r="E5546" s="209">
        <v>1525.09</v>
      </c>
      <c r="F5546" s="209">
        <v>3669.35</v>
      </c>
      <c r="G5546" s="209">
        <v>5194.4399999999996</v>
      </c>
      <c r="H5546" s="198"/>
    </row>
    <row r="5547" spans="1:8" ht="15.75" hidden="1" customHeight="1" x14ac:dyDescent="0.25">
      <c r="A5547" s="205" t="s">
        <v>6212</v>
      </c>
      <c r="B5547" s="206">
        <v>88241</v>
      </c>
      <c r="C5547" s="207" t="s">
        <v>6219</v>
      </c>
      <c r="D5547" s="208" t="s">
        <v>2193</v>
      </c>
      <c r="E5547" s="209">
        <v>9.2899999999999991</v>
      </c>
      <c r="F5547" s="209">
        <v>20.58</v>
      </c>
      <c r="G5547" s="209">
        <v>29.87</v>
      </c>
      <c r="H5547" s="198"/>
    </row>
    <row r="5548" spans="1:8" ht="15.75" hidden="1" customHeight="1" x14ac:dyDescent="0.25">
      <c r="A5548" s="205" t="s">
        <v>6212</v>
      </c>
      <c r="B5548" s="206">
        <v>101377</v>
      </c>
      <c r="C5548" s="207" t="s">
        <v>6219</v>
      </c>
      <c r="D5548" s="208" t="s">
        <v>6214</v>
      </c>
      <c r="E5548" s="209">
        <v>1752.51</v>
      </c>
      <c r="F5548" s="209">
        <v>3601.92</v>
      </c>
      <c r="G5548" s="209">
        <v>5354.43</v>
      </c>
      <c r="H5548" s="198"/>
    </row>
    <row r="5549" spans="1:8" ht="15.75" hidden="1" customHeight="1" x14ac:dyDescent="0.25">
      <c r="A5549" s="205" t="s">
        <v>6212</v>
      </c>
      <c r="B5549" s="206">
        <v>88242</v>
      </c>
      <c r="C5549" s="207" t="s">
        <v>6220</v>
      </c>
      <c r="D5549" s="208" t="s">
        <v>2193</v>
      </c>
      <c r="E5549" s="209">
        <v>9.2899999999999991</v>
      </c>
      <c r="F5549" s="209">
        <v>21.01</v>
      </c>
      <c r="G5549" s="209">
        <v>30.3</v>
      </c>
      <c r="H5549" s="198"/>
    </row>
    <row r="5550" spans="1:8" ht="15.75" hidden="1" customHeight="1" x14ac:dyDescent="0.25">
      <c r="A5550" s="205" t="s">
        <v>6212</v>
      </c>
      <c r="B5550" s="206">
        <v>100301</v>
      </c>
      <c r="C5550" s="207" t="s">
        <v>6221</v>
      </c>
      <c r="D5550" s="208" t="s">
        <v>2193</v>
      </c>
      <c r="E5550" s="209">
        <v>11.1</v>
      </c>
      <c r="F5550" s="209">
        <v>21.01</v>
      </c>
      <c r="G5550" s="209">
        <v>32.11</v>
      </c>
      <c r="H5550" s="198"/>
    </row>
    <row r="5551" spans="1:8" ht="15.75" hidden="1" customHeight="1" x14ac:dyDescent="0.25">
      <c r="A5551" s="205" t="s">
        <v>6212</v>
      </c>
      <c r="B5551" s="206">
        <v>101378</v>
      </c>
      <c r="C5551" s="207" t="s">
        <v>6221</v>
      </c>
      <c r="D5551" s="208" t="s">
        <v>6214</v>
      </c>
      <c r="E5551" s="209">
        <v>2093.17</v>
      </c>
      <c r="F5551" s="209">
        <v>3677.89</v>
      </c>
      <c r="G5551" s="209">
        <v>5771.06</v>
      </c>
      <c r="H5551" s="198"/>
    </row>
    <row r="5552" spans="1:8" ht="15.75" hidden="1" customHeight="1" x14ac:dyDescent="0.25">
      <c r="A5552" s="205" t="s">
        <v>6212</v>
      </c>
      <c r="B5552" s="206">
        <v>101379</v>
      </c>
      <c r="C5552" s="207" t="s">
        <v>6222</v>
      </c>
      <c r="D5552" s="208" t="s">
        <v>6214</v>
      </c>
      <c r="E5552" s="209">
        <v>1752.22</v>
      </c>
      <c r="F5552" s="209">
        <v>3669.24</v>
      </c>
      <c r="G5552" s="209">
        <v>5421.46</v>
      </c>
      <c r="H5552" s="198"/>
    </row>
    <row r="5553" spans="1:8" ht="15.75" hidden="1" customHeight="1" x14ac:dyDescent="0.25">
      <c r="A5553" s="205" t="s">
        <v>6212</v>
      </c>
      <c r="B5553" s="206">
        <v>88243</v>
      </c>
      <c r="C5553" s="207" t="s">
        <v>6223</v>
      </c>
      <c r="D5553" s="208" t="s">
        <v>2193</v>
      </c>
      <c r="E5553" s="209">
        <v>9.1999999999999993</v>
      </c>
      <c r="F5553" s="209">
        <v>20.58</v>
      </c>
      <c r="G5553" s="209">
        <v>29.78</v>
      </c>
      <c r="H5553" s="198"/>
    </row>
    <row r="5554" spans="1:8" ht="15.75" hidden="1" customHeight="1" x14ac:dyDescent="0.25">
      <c r="A5554" s="205" t="s">
        <v>6212</v>
      </c>
      <c r="B5554" s="206">
        <v>101380</v>
      </c>
      <c r="C5554" s="207" t="s">
        <v>6223</v>
      </c>
      <c r="D5554" s="208" t="s">
        <v>6214</v>
      </c>
      <c r="E5554" s="209">
        <v>1734.25</v>
      </c>
      <c r="F5554" s="209">
        <v>3601.9</v>
      </c>
      <c r="G5554" s="209">
        <v>5336.15</v>
      </c>
      <c r="H5554" s="198"/>
    </row>
    <row r="5555" spans="1:8" ht="15.75" hidden="1" customHeight="1" x14ac:dyDescent="0.25">
      <c r="A5555" s="205" t="s">
        <v>6212</v>
      </c>
      <c r="B5555" s="206">
        <v>90766</v>
      </c>
      <c r="C5555" s="207" t="s">
        <v>6224</v>
      </c>
      <c r="D5555" s="208" t="s">
        <v>2193</v>
      </c>
      <c r="E5555" s="209">
        <v>2.39</v>
      </c>
      <c r="F5555" s="209">
        <v>27.18</v>
      </c>
      <c r="G5555" s="209">
        <v>29.57</v>
      </c>
      <c r="H5555" s="198"/>
    </row>
    <row r="5556" spans="1:8" ht="15.75" hidden="1" customHeight="1" x14ac:dyDescent="0.25">
      <c r="A5556" s="205" t="s">
        <v>6212</v>
      </c>
      <c r="B5556" s="206">
        <v>93563</v>
      </c>
      <c r="C5556" s="207" t="s">
        <v>6224</v>
      </c>
      <c r="D5556" s="208" t="s">
        <v>6214</v>
      </c>
      <c r="E5556" s="209">
        <v>450.7</v>
      </c>
      <c r="F5556" s="209">
        <v>4765.67</v>
      </c>
      <c r="G5556" s="209">
        <v>5216.37</v>
      </c>
      <c r="H5556" s="198"/>
    </row>
    <row r="5557" spans="1:8" ht="15.75" hidden="1" customHeight="1" x14ac:dyDescent="0.25">
      <c r="A5557" s="205" t="s">
        <v>6212</v>
      </c>
      <c r="B5557" s="206">
        <v>90767</v>
      </c>
      <c r="C5557" s="207" t="s">
        <v>6225</v>
      </c>
      <c r="D5557" s="208" t="s">
        <v>2193</v>
      </c>
      <c r="E5557" s="209">
        <v>2.38</v>
      </c>
      <c r="F5557" s="209">
        <v>24.36</v>
      </c>
      <c r="G5557" s="209">
        <v>26.74</v>
      </c>
      <c r="H5557" s="198"/>
    </row>
    <row r="5558" spans="1:8" ht="15.75" hidden="1" customHeight="1" x14ac:dyDescent="0.25">
      <c r="A5558" s="205" t="s">
        <v>6212</v>
      </c>
      <c r="B5558" s="206">
        <v>93564</v>
      </c>
      <c r="C5558" s="207" t="s">
        <v>6225</v>
      </c>
      <c r="D5558" s="208" t="s">
        <v>6214</v>
      </c>
      <c r="E5558" s="209">
        <v>450.48000000000098</v>
      </c>
      <c r="F5558" s="209">
        <v>4256.7299999999996</v>
      </c>
      <c r="G5558" s="209">
        <v>4707.21</v>
      </c>
      <c r="H5558" s="198"/>
    </row>
    <row r="5559" spans="1:8" ht="15.75" hidden="1" customHeight="1" x14ac:dyDescent="0.25">
      <c r="A5559" s="205" t="s">
        <v>6212</v>
      </c>
      <c r="B5559" s="206">
        <v>88245</v>
      </c>
      <c r="C5559" s="207" t="s">
        <v>6226</v>
      </c>
      <c r="D5559" s="208" t="s">
        <v>2193</v>
      </c>
      <c r="E5559" s="209">
        <v>9.2799999999999994</v>
      </c>
      <c r="F5559" s="209">
        <v>27.37</v>
      </c>
      <c r="G5559" s="209">
        <v>36.65</v>
      </c>
      <c r="H5559" s="198"/>
    </row>
    <row r="5560" spans="1:8" ht="15.75" hidden="1" customHeight="1" x14ac:dyDescent="0.25">
      <c r="A5560" s="205" t="s">
        <v>6212</v>
      </c>
      <c r="B5560" s="206">
        <v>101381</v>
      </c>
      <c r="C5560" s="207" t="s">
        <v>6226</v>
      </c>
      <c r="D5560" s="208" t="s">
        <v>6214</v>
      </c>
      <c r="E5560" s="209">
        <v>1752.36</v>
      </c>
      <c r="F5560" s="209">
        <v>4788.71</v>
      </c>
      <c r="G5560" s="209">
        <v>6541.07</v>
      </c>
      <c r="H5560" s="198"/>
    </row>
    <row r="5561" spans="1:8" ht="15.75" hidden="1" customHeight="1" x14ac:dyDescent="0.25">
      <c r="A5561" s="205" t="s">
        <v>6212</v>
      </c>
      <c r="B5561" s="206">
        <v>90768</v>
      </c>
      <c r="C5561" s="207" t="s">
        <v>6227</v>
      </c>
      <c r="D5561" s="208" t="s">
        <v>2193</v>
      </c>
      <c r="E5561" s="209">
        <v>2.2900000000000098</v>
      </c>
      <c r="F5561" s="209">
        <v>125.57</v>
      </c>
      <c r="G5561" s="209">
        <v>127.86</v>
      </c>
      <c r="H5561" s="198"/>
    </row>
    <row r="5562" spans="1:8" ht="15.75" hidden="1" customHeight="1" x14ac:dyDescent="0.25">
      <c r="A5562" s="205" t="s">
        <v>6212</v>
      </c>
      <c r="B5562" s="206">
        <v>90769</v>
      </c>
      <c r="C5562" s="207" t="s">
        <v>6228</v>
      </c>
      <c r="D5562" s="208" t="s">
        <v>2193</v>
      </c>
      <c r="E5562" s="209">
        <v>2.2899999999999898</v>
      </c>
      <c r="F5562" s="209">
        <v>133.03</v>
      </c>
      <c r="G5562" s="209">
        <v>135.32</v>
      </c>
      <c r="H5562" s="198"/>
    </row>
    <row r="5563" spans="1:8" ht="15.75" hidden="1" customHeight="1" x14ac:dyDescent="0.25">
      <c r="A5563" s="205" t="s">
        <v>6212</v>
      </c>
      <c r="B5563" s="206">
        <v>90770</v>
      </c>
      <c r="C5563" s="207" t="s">
        <v>6229</v>
      </c>
      <c r="D5563" s="208" t="s">
        <v>2193</v>
      </c>
      <c r="E5563" s="209">
        <v>2.30000000000001</v>
      </c>
      <c r="F5563" s="209">
        <v>139.41</v>
      </c>
      <c r="G5563" s="209">
        <v>141.71</v>
      </c>
      <c r="H5563" s="198"/>
    </row>
    <row r="5564" spans="1:8" ht="15.75" hidden="1" customHeight="1" x14ac:dyDescent="0.25">
      <c r="A5564" s="205" t="s">
        <v>6212</v>
      </c>
      <c r="B5564" s="206">
        <v>93569</v>
      </c>
      <c r="C5564" s="207" t="s">
        <v>6230</v>
      </c>
      <c r="D5564" s="208" t="s">
        <v>6214</v>
      </c>
      <c r="E5564" s="209">
        <v>434.900000000001</v>
      </c>
      <c r="F5564" s="209">
        <v>21982.46</v>
      </c>
      <c r="G5564" s="209">
        <v>22417.360000000001</v>
      </c>
      <c r="H5564" s="198"/>
    </row>
    <row r="5565" spans="1:8" ht="15.75" hidden="1" customHeight="1" x14ac:dyDescent="0.25">
      <c r="A5565" s="205" t="s">
        <v>6212</v>
      </c>
      <c r="B5565" s="206">
        <v>93570</v>
      </c>
      <c r="C5565" s="207" t="s">
        <v>6231</v>
      </c>
      <c r="D5565" s="208" t="s">
        <v>6214</v>
      </c>
      <c r="E5565" s="209">
        <v>434.140000000003</v>
      </c>
      <c r="F5565" s="209">
        <v>23289.1</v>
      </c>
      <c r="G5565" s="209">
        <v>23723.24</v>
      </c>
      <c r="H5565" s="198"/>
    </row>
    <row r="5566" spans="1:8" ht="15.75" hidden="1" customHeight="1" x14ac:dyDescent="0.25">
      <c r="A5566" s="205" t="s">
        <v>6212</v>
      </c>
      <c r="B5566" s="206">
        <v>93571</v>
      </c>
      <c r="C5566" s="207" t="s">
        <v>6232</v>
      </c>
      <c r="D5566" s="208" t="s">
        <v>6214</v>
      </c>
      <c r="E5566" s="209">
        <v>434.740000000002</v>
      </c>
      <c r="F5566" s="209">
        <v>24407.119999999999</v>
      </c>
      <c r="G5566" s="209">
        <v>24841.86</v>
      </c>
      <c r="H5566" s="198"/>
    </row>
    <row r="5567" spans="1:8" ht="15.75" hidden="1" customHeight="1" x14ac:dyDescent="0.25">
      <c r="A5567" s="205" t="s">
        <v>6212</v>
      </c>
      <c r="B5567" s="206">
        <v>101382</v>
      </c>
      <c r="C5567" s="207" t="s">
        <v>6233</v>
      </c>
      <c r="D5567" s="208" t="s">
        <v>6214</v>
      </c>
      <c r="E5567" s="209">
        <v>1525.14</v>
      </c>
      <c r="F5567" s="209">
        <v>2494.71</v>
      </c>
      <c r="G5567" s="209">
        <v>4019.85</v>
      </c>
      <c r="H5567" s="198"/>
    </row>
    <row r="5568" spans="1:8" ht="15.75" hidden="1" customHeight="1" x14ac:dyDescent="0.25">
      <c r="A5568" s="205" t="s">
        <v>6212</v>
      </c>
      <c r="B5568" s="206">
        <v>88246</v>
      </c>
      <c r="C5568" s="207" t="s">
        <v>6234</v>
      </c>
      <c r="D5568" s="208" t="s">
        <v>2193</v>
      </c>
      <c r="E5568" s="209">
        <v>8.1</v>
      </c>
      <c r="F5568" s="209">
        <v>14.25</v>
      </c>
      <c r="G5568" s="209">
        <v>22.35</v>
      </c>
      <c r="H5568" s="198"/>
    </row>
    <row r="5569" spans="1:8" ht="15.75" hidden="1" customHeight="1" x14ac:dyDescent="0.25">
      <c r="A5569" s="205" t="s">
        <v>6212</v>
      </c>
      <c r="B5569" s="206">
        <v>100303</v>
      </c>
      <c r="C5569" s="207" t="s">
        <v>6235</v>
      </c>
      <c r="D5569" s="208" t="s">
        <v>2193</v>
      </c>
      <c r="E5569" s="209">
        <v>9.2899999999999991</v>
      </c>
      <c r="F5569" s="209">
        <v>19.37</v>
      </c>
      <c r="G5569" s="209">
        <v>28.66</v>
      </c>
      <c r="H5569" s="198"/>
    </row>
    <row r="5570" spans="1:8" ht="15.75" hidden="1" customHeight="1" x14ac:dyDescent="0.25">
      <c r="A5570" s="205" t="s">
        <v>6212</v>
      </c>
      <c r="B5570" s="206">
        <v>101383</v>
      </c>
      <c r="C5570" s="207" t="s">
        <v>6235</v>
      </c>
      <c r="D5570" s="208" t="s">
        <v>6214</v>
      </c>
      <c r="E5570" s="209">
        <v>1752.07</v>
      </c>
      <c r="F5570" s="209">
        <v>3388.98</v>
      </c>
      <c r="G5570" s="209">
        <v>5141.05</v>
      </c>
      <c r="H5570" s="198"/>
    </row>
    <row r="5571" spans="1:8" ht="15.75" hidden="1" customHeight="1" x14ac:dyDescent="0.25">
      <c r="A5571" s="205" t="s">
        <v>6212</v>
      </c>
      <c r="B5571" s="206">
        <v>88247</v>
      </c>
      <c r="C5571" s="207" t="s">
        <v>6236</v>
      </c>
      <c r="D5571" s="208" t="s">
        <v>2193</v>
      </c>
      <c r="E5571" s="209">
        <v>9.32</v>
      </c>
      <c r="F5571" s="209">
        <v>21.48</v>
      </c>
      <c r="G5571" s="209">
        <v>30.8</v>
      </c>
      <c r="H5571" s="198"/>
    </row>
    <row r="5572" spans="1:8" ht="15.75" hidden="1" customHeight="1" x14ac:dyDescent="0.25">
      <c r="A5572" s="205" t="s">
        <v>6212</v>
      </c>
      <c r="B5572" s="206">
        <v>88248</v>
      </c>
      <c r="C5572" s="207" t="s">
        <v>6237</v>
      </c>
      <c r="D5572" s="208" t="s">
        <v>2193</v>
      </c>
      <c r="E5572" s="209">
        <v>8.64</v>
      </c>
      <c r="F5572" s="209">
        <v>21.08</v>
      </c>
      <c r="G5572" s="209">
        <v>29.72</v>
      </c>
      <c r="H5572" s="198"/>
    </row>
    <row r="5573" spans="1:8" ht="15.75" hidden="1" customHeight="1" x14ac:dyDescent="0.25">
      <c r="A5573" s="205" t="s">
        <v>6212</v>
      </c>
      <c r="B5573" s="206">
        <v>101384</v>
      </c>
      <c r="C5573" s="207" t="s">
        <v>6237</v>
      </c>
      <c r="D5573" s="208" t="s">
        <v>6214</v>
      </c>
      <c r="E5573" s="209">
        <v>1628.7</v>
      </c>
      <c r="F5573" s="209">
        <v>3686.88</v>
      </c>
      <c r="G5573" s="209">
        <v>5315.58</v>
      </c>
      <c r="H5573" s="198"/>
    </row>
    <row r="5574" spans="1:8" ht="15.75" hidden="1" customHeight="1" x14ac:dyDescent="0.25">
      <c r="A5574" s="205" t="s">
        <v>6212</v>
      </c>
      <c r="B5574" s="206">
        <v>90772</v>
      </c>
      <c r="C5574" s="207" t="s">
        <v>6238</v>
      </c>
      <c r="D5574" s="208" t="s">
        <v>2193</v>
      </c>
      <c r="E5574" s="209">
        <v>2.39</v>
      </c>
      <c r="F5574" s="209">
        <v>21.78</v>
      </c>
      <c r="G5574" s="209">
        <v>24.17</v>
      </c>
      <c r="H5574" s="198"/>
    </row>
    <row r="5575" spans="1:8" ht="15.75" hidden="1" customHeight="1" x14ac:dyDescent="0.25">
      <c r="A5575" s="205" t="s">
        <v>6212</v>
      </c>
      <c r="B5575" s="206">
        <v>93566</v>
      </c>
      <c r="C5575" s="207" t="s">
        <v>6238</v>
      </c>
      <c r="D5575" s="208" t="s">
        <v>6214</v>
      </c>
      <c r="E5575" s="209">
        <v>450.8</v>
      </c>
      <c r="F5575" s="209">
        <v>3818.12</v>
      </c>
      <c r="G5575" s="209">
        <v>4268.92</v>
      </c>
      <c r="H5575" s="198"/>
    </row>
    <row r="5576" spans="1:8" ht="15.75" hidden="1" customHeight="1" x14ac:dyDescent="0.25">
      <c r="A5576" s="205" t="s">
        <v>6212</v>
      </c>
      <c r="B5576" s="206">
        <v>101385</v>
      </c>
      <c r="C5576" s="207" t="s">
        <v>6239</v>
      </c>
      <c r="D5576" s="208" t="s">
        <v>6214</v>
      </c>
      <c r="E5576" s="209">
        <v>450.44000000000102</v>
      </c>
      <c r="F5576" s="209">
        <v>5103.57</v>
      </c>
      <c r="G5576" s="209">
        <v>5554.01</v>
      </c>
      <c r="H5576" s="198"/>
    </row>
    <row r="5577" spans="1:8" ht="15.75" hidden="1" customHeight="1" x14ac:dyDescent="0.25">
      <c r="A5577" s="205" t="s">
        <v>6212</v>
      </c>
      <c r="B5577" s="206">
        <v>88249</v>
      </c>
      <c r="C5577" s="207" t="s">
        <v>6240</v>
      </c>
      <c r="D5577" s="208" t="s">
        <v>2193</v>
      </c>
      <c r="E5577" s="209">
        <v>2.38</v>
      </c>
      <c r="F5577" s="209">
        <v>29.14</v>
      </c>
      <c r="G5577" s="209">
        <v>31.52</v>
      </c>
      <c r="H5577" s="198"/>
    </row>
    <row r="5578" spans="1:8" ht="15.75" hidden="1" customHeight="1" x14ac:dyDescent="0.25">
      <c r="A5578" s="205" t="s">
        <v>6212</v>
      </c>
      <c r="B5578" s="206">
        <v>88250</v>
      </c>
      <c r="C5578" s="207" t="s">
        <v>6241</v>
      </c>
      <c r="D5578" s="208" t="s">
        <v>2193</v>
      </c>
      <c r="E5578" s="209">
        <v>8.1</v>
      </c>
      <c r="F5578" s="209">
        <v>20.94</v>
      </c>
      <c r="G5578" s="209">
        <v>29.04</v>
      </c>
      <c r="H5578" s="198"/>
    </row>
    <row r="5579" spans="1:8" ht="15.75" hidden="1" customHeight="1" x14ac:dyDescent="0.25">
      <c r="A5579" s="205" t="s">
        <v>6212</v>
      </c>
      <c r="B5579" s="206">
        <v>101386</v>
      </c>
      <c r="C5579" s="207" t="s">
        <v>6241</v>
      </c>
      <c r="D5579" s="208" t="s">
        <v>6214</v>
      </c>
      <c r="E5579" s="209">
        <v>1525.09</v>
      </c>
      <c r="F5579" s="209">
        <v>3669.35</v>
      </c>
      <c r="G5579" s="209">
        <v>5194.4399999999996</v>
      </c>
      <c r="H5579" s="198"/>
    </row>
    <row r="5580" spans="1:8" ht="15.75" hidden="1" customHeight="1" x14ac:dyDescent="0.25">
      <c r="A5580" s="205" t="s">
        <v>6212</v>
      </c>
      <c r="B5580" s="206">
        <v>101387</v>
      </c>
      <c r="C5580" s="207" t="s">
        <v>6242</v>
      </c>
      <c r="D5580" s="208" t="s">
        <v>6214</v>
      </c>
      <c r="E5580" s="209">
        <v>1752.36</v>
      </c>
      <c r="F5580" s="209">
        <v>3677.93</v>
      </c>
      <c r="G5580" s="209">
        <v>5430.29</v>
      </c>
      <c r="H5580" s="198"/>
    </row>
    <row r="5581" spans="1:8" ht="15.75" hidden="1" customHeight="1" x14ac:dyDescent="0.25">
      <c r="A5581" s="205" t="s">
        <v>6212</v>
      </c>
      <c r="B5581" s="206">
        <v>88251</v>
      </c>
      <c r="C5581" s="207" t="s">
        <v>6243</v>
      </c>
      <c r="D5581" s="208" t="s">
        <v>2193</v>
      </c>
      <c r="E5581" s="209">
        <v>9.2899999999999991</v>
      </c>
      <c r="F5581" s="209">
        <v>20.94</v>
      </c>
      <c r="G5581" s="209">
        <v>30.23</v>
      </c>
      <c r="H5581" s="198"/>
    </row>
    <row r="5582" spans="1:8" ht="15.75" hidden="1" customHeight="1" x14ac:dyDescent="0.25">
      <c r="A5582" s="205" t="s">
        <v>6212</v>
      </c>
      <c r="B5582" s="206">
        <v>88252</v>
      </c>
      <c r="C5582" s="207" t="s">
        <v>6244</v>
      </c>
      <c r="D5582" s="208" t="s">
        <v>2193</v>
      </c>
      <c r="E5582" s="209">
        <v>9.19</v>
      </c>
      <c r="F5582" s="209">
        <v>19.34</v>
      </c>
      <c r="G5582" s="209">
        <v>28.53</v>
      </c>
      <c r="H5582" s="198"/>
    </row>
    <row r="5583" spans="1:8" ht="15.75" hidden="1" customHeight="1" x14ac:dyDescent="0.25">
      <c r="A5583" s="205" t="s">
        <v>6212</v>
      </c>
      <c r="B5583" s="206">
        <v>101388</v>
      </c>
      <c r="C5583" s="207" t="s">
        <v>6244</v>
      </c>
      <c r="D5583" s="208" t="s">
        <v>6214</v>
      </c>
      <c r="E5583" s="209">
        <v>1733.96</v>
      </c>
      <c r="F5583" s="209">
        <v>3383.97</v>
      </c>
      <c r="G5583" s="209">
        <v>5117.93</v>
      </c>
      <c r="H5583" s="198"/>
    </row>
    <row r="5584" spans="1:8" ht="15.75" hidden="1" customHeight="1" x14ac:dyDescent="0.25">
      <c r="A5584" s="205" t="s">
        <v>6212</v>
      </c>
      <c r="B5584" s="206">
        <v>88253</v>
      </c>
      <c r="C5584" s="207" t="s">
        <v>6245</v>
      </c>
      <c r="D5584" s="208" t="s">
        <v>2193</v>
      </c>
      <c r="E5584" s="209">
        <v>2.31</v>
      </c>
      <c r="F5584" s="209">
        <v>12.24</v>
      </c>
      <c r="G5584" s="209">
        <v>14.55</v>
      </c>
      <c r="H5584" s="198"/>
    </row>
    <row r="5585" spans="1:8" ht="15.75" hidden="1" customHeight="1" x14ac:dyDescent="0.25">
      <c r="A5585" s="205" t="s">
        <v>6212</v>
      </c>
      <c r="B5585" s="206">
        <v>101389</v>
      </c>
      <c r="C5585" s="207" t="s">
        <v>6245</v>
      </c>
      <c r="D5585" s="208" t="s">
        <v>6214</v>
      </c>
      <c r="E5585" s="209">
        <v>434.76</v>
      </c>
      <c r="F5585" s="209">
        <v>2149.98</v>
      </c>
      <c r="G5585" s="209">
        <v>2584.7399999999998</v>
      </c>
      <c r="H5585" s="198"/>
    </row>
    <row r="5586" spans="1:8" ht="15.75" hidden="1" customHeight="1" x14ac:dyDescent="0.25">
      <c r="A5586" s="205" t="s">
        <v>6212</v>
      </c>
      <c r="B5586" s="206">
        <v>101390</v>
      </c>
      <c r="C5586" s="207" t="s">
        <v>6246</v>
      </c>
      <c r="D5586" s="208" t="s">
        <v>6214</v>
      </c>
      <c r="E5586" s="209">
        <v>433.94000000000102</v>
      </c>
      <c r="F5586" s="209">
        <v>7927.07</v>
      </c>
      <c r="G5586" s="209">
        <v>8361.01</v>
      </c>
      <c r="H5586" s="198"/>
    </row>
    <row r="5587" spans="1:8" ht="15.75" hidden="1" customHeight="1" x14ac:dyDescent="0.25">
      <c r="A5587" s="205" t="s">
        <v>6212</v>
      </c>
      <c r="B5587" s="206">
        <v>88255</v>
      </c>
      <c r="C5587" s="207" t="s">
        <v>6247</v>
      </c>
      <c r="D5587" s="208" t="s">
        <v>2193</v>
      </c>
      <c r="E5587" s="209">
        <v>2.2999999999999998</v>
      </c>
      <c r="F5587" s="209">
        <v>45.25</v>
      </c>
      <c r="G5587" s="209">
        <v>47.55</v>
      </c>
      <c r="H5587" s="198"/>
    </row>
    <row r="5588" spans="1:8" ht="15.75" hidden="1" customHeight="1" x14ac:dyDescent="0.25">
      <c r="A5588" s="205" t="s">
        <v>6212</v>
      </c>
      <c r="B5588" s="206">
        <v>101391</v>
      </c>
      <c r="C5588" s="207" t="s">
        <v>6248</v>
      </c>
      <c r="D5588" s="208" t="s">
        <v>6214</v>
      </c>
      <c r="E5588" s="209">
        <v>1752.17</v>
      </c>
      <c r="F5588" s="209">
        <v>4800.4399999999996</v>
      </c>
      <c r="G5588" s="209">
        <v>6552.61</v>
      </c>
      <c r="H5588" s="198"/>
    </row>
    <row r="5589" spans="1:8" ht="15.75" hidden="1" customHeight="1" x14ac:dyDescent="0.25">
      <c r="A5589" s="205" t="s">
        <v>6212</v>
      </c>
      <c r="B5589" s="206">
        <v>88256</v>
      </c>
      <c r="C5589" s="207" t="s">
        <v>6249</v>
      </c>
      <c r="D5589" s="208" t="s">
        <v>2193</v>
      </c>
      <c r="E5589" s="209">
        <v>9.2899999999999991</v>
      </c>
      <c r="F5589" s="209">
        <v>27.44</v>
      </c>
      <c r="G5589" s="209">
        <v>36.729999999999997</v>
      </c>
      <c r="H5589" s="198"/>
    </row>
    <row r="5590" spans="1:8" ht="15.75" hidden="1" customHeight="1" x14ac:dyDescent="0.25">
      <c r="A5590" s="205" t="s">
        <v>6212</v>
      </c>
      <c r="B5590" s="206">
        <v>88257</v>
      </c>
      <c r="C5590" s="207" t="s">
        <v>6250</v>
      </c>
      <c r="D5590" s="208" t="s">
        <v>2193</v>
      </c>
      <c r="E5590" s="209">
        <v>8.09</v>
      </c>
      <c r="F5590" s="209">
        <v>30.19</v>
      </c>
      <c r="G5590" s="209">
        <v>38.28</v>
      </c>
      <c r="H5590" s="198"/>
    </row>
    <row r="5591" spans="1:8" ht="15.75" hidden="1" customHeight="1" x14ac:dyDescent="0.25">
      <c r="A5591" s="205" t="s">
        <v>6212</v>
      </c>
      <c r="B5591" s="206">
        <v>101392</v>
      </c>
      <c r="C5591" s="207" t="s">
        <v>6251</v>
      </c>
      <c r="D5591" s="208" t="s">
        <v>6214</v>
      </c>
      <c r="E5591" s="209">
        <v>1525.46</v>
      </c>
      <c r="F5591" s="209">
        <v>5275.5</v>
      </c>
      <c r="G5591" s="209">
        <v>6800.96</v>
      </c>
      <c r="H5591" s="198"/>
    </row>
    <row r="5592" spans="1:8" ht="15.75" hidden="1" customHeight="1" x14ac:dyDescent="0.25">
      <c r="A5592" s="205" t="s">
        <v>6212</v>
      </c>
      <c r="B5592" s="206">
        <v>88260</v>
      </c>
      <c r="C5592" s="207" t="s">
        <v>6252</v>
      </c>
      <c r="D5592" s="208" t="s">
        <v>2193</v>
      </c>
      <c r="E5592" s="209">
        <v>9.2899999999999991</v>
      </c>
      <c r="F5592" s="209">
        <v>23.22</v>
      </c>
      <c r="G5592" s="209">
        <v>32.51</v>
      </c>
      <c r="H5592" s="198"/>
    </row>
    <row r="5593" spans="1:8" ht="15.75" hidden="1" customHeight="1" x14ac:dyDescent="0.25">
      <c r="A5593" s="205" t="s">
        <v>6212</v>
      </c>
      <c r="B5593" s="206">
        <v>101394</v>
      </c>
      <c r="C5593" s="207" t="s">
        <v>6252</v>
      </c>
      <c r="D5593" s="208" t="s">
        <v>6214</v>
      </c>
      <c r="E5593" s="209">
        <v>1752.08</v>
      </c>
      <c r="F5593" s="209">
        <v>4068.78</v>
      </c>
      <c r="G5593" s="209">
        <v>5820.86</v>
      </c>
      <c r="H5593" s="198"/>
    </row>
    <row r="5594" spans="1:8" ht="15.75" hidden="1" customHeight="1" x14ac:dyDescent="0.25">
      <c r="A5594" s="205" t="s">
        <v>6212</v>
      </c>
      <c r="B5594" s="206">
        <v>101395</v>
      </c>
      <c r="C5594" s="207" t="s">
        <v>6253</v>
      </c>
      <c r="D5594" s="208" t="s">
        <v>6214</v>
      </c>
      <c r="E5594" s="209">
        <v>1710.2</v>
      </c>
      <c r="F5594" s="209">
        <v>3677.93</v>
      </c>
      <c r="G5594" s="209">
        <v>5388.13</v>
      </c>
      <c r="H5594" s="198"/>
    </row>
    <row r="5595" spans="1:8" ht="15.75" hidden="1" customHeight="1" x14ac:dyDescent="0.25">
      <c r="A5595" s="205" t="s">
        <v>6212</v>
      </c>
      <c r="B5595" s="206">
        <v>88261</v>
      </c>
      <c r="C5595" s="207" t="s">
        <v>6254</v>
      </c>
      <c r="D5595" s="208" t="s">
        <v>2193</v>
      </c>
      <c r="E5595" s="209">
        <v>9.06</v>
      </c>
      <c r="F5595" s="209">
        <v>25.85</v>
      </c>
      <c r="G5595" s="209">
        <v>34.909999999999997</v>
      </c>
      <c r="H5595" s="198"/>
    </row>
    <row r="5596" spans="1:8" ht="15.75" hidden="1" customHeight="1" x14ac:dyDescent="0.25">
      <c r="A5596" s="205" t="s">
        <v>6212</v>
      </c>
      <c r="B5596" s="206">
        <v>101396</v>
      </c>
      <c r="C5596" s="207" t="s">
        <v>6255</v>
      </c>
      <c r="D5596" s="208" t="s">
        <v>6214</v>
      </c>
      <c r="E5596" s="209">
        <v>1710.24</v>
      </c>
      <c r="F5596" s="209">
        <v>4520.1099999999997</v>
      </c>
      <c r="G5596" s="209">
        <v>6230.35</v>
      </c>
      <c r="H5596" s="198"/>
    </row>
    <row r="5597" spans="1:8" ht="15.75" hidden="1" customHeight="1" x14ac:dyDescent="0.25">
      <c r="A5597" s="205" t="s">
        <v>6212</v>
      </c>
      <c r="B5597" s="206">
        <v>88262</v>
      </c>
      <c r="C5597" s="207" t="s">
        <v>6256</v>
      </c>
      <c r="D5597" s="208" t="s">
        <v>2193</v>
      </c>
      <c r="E5597" s="209">
        <v>9.07</v>
      </c>
      <c r="F5597" s="209">
        <v>27.36</v>
      </c>
      <c r="G5597" s="209">
        <v>36.43</v>
      </c>
      <c r="H5597" s="198"/>
    </row>
    <row r="5598" spans="1:8" ht="15.75" hidden="1" customHeight="1" x14ac:dyDescent="0.25">
      <c r="A5598" s="205" t="s">
        <v>6212</v>
      </c>
      <c r="B5598" s="206">
        <v>101397</v>
      </c>
      <c r="C5598" s="207" t="s">
        <v>6256</v>
      </c>
      <c r="D5598" s="208" t="s">
        <v>6214</v>
      </c>
      <c r="E5598" s="209">
        <v>1709.87</v>
      </c>
      <c r="F5598" s="209">
        <v>4789.04</v>
      </c>
      <c r="G5598" s="209">
        <v>6498.91</v>
      </c>
      <c r="H5598" s="198"/>
    </row>
    <row r="5599" spans="1:8" ht="15.75" hidden="1" customHeight="1" x14ac:dyDescent="0.25">
      <c r="A5599" s="205" t="s">
        <v>6212</v>
      </c>
      <c r="B5599" s="206">
        <v>101398</v>
      </c>
      <c r="C5599" s="207" t="s">
        <v>6257</v>
      </c>
      <c r="D5599" s="208" t="s">
        <v>6214</v>
      </c>
      <c r="E5599" s="209">
        <v>1525.13</v>
      </c>
      <c r="F5599" s="209">
        <v>3813.06</v>
      </c>
      <c r="G5599" s="209">
        <v>5338.19</v>
      </c>
      <c r="H5599" s="198"/>
    </row>
    <row r="5600" spans="1:8" ht="15.75" hidden="1" customHeight="1" x14ac:dyDescent="0.25">
      <c r="A5600" s="205" t="s">
        <v>6212</v>
      </c>
      <c r="B5600" s="206">
        <v>88263</v>
      </c>
      <c r="C5600" s="207" t="s">
        <v>6258</v>
      </c>
      <c r="D5600" s="208" t="s">
        <v>2193</v>
      </c>
      <c r="E5600" s="209">
        <v>8.09</v>
      </c>
      <c r="F5600" s="209">
        <v>21.79</v>
      </c>
      <c r="G5600" s="209">
        <v>29.88</v>
      </c>
      <c r="H5600" s="198"/>
    </row>
    <row r="5601" spans="1:8" ht="15.75" hidden="1" customHeight="1" x14ac:dyDescent="0.25">
      <c r="A5601" s="205" t="s">
        <v>6212</v>
      </c>
      <c r="B5601" s="206">
        <v>95408</v>
      </c>
      <c r="C5601" s="207" t="s">
        <v>6259</v>
      </c>
      <c r="D5601" s="208" t="s">
        <v>6214</v>
      </c>
      <c r="E5601" s="209">
        <v>0</v>
      </c>
      <c r="F5601" s="209">
        <v>18.690000000000001</v>
      </c>
      <c r="G5601" s="209">
        <v>18.690000000000001</v>
      </c>
      <c r="H5601" s="198"/>
    </row>
    <row r="5602" spans="1:8" ht="15.75" hidden="1" customHeight="1" x14ac:dyDescent="0.25">
      <c r="A5602" s="205" t="s">
        <v>6212</v>
      </c>
      <c r="B5602" s="206">
        <v>95308</v>
      </c>
      <c r="C5602" s="207" t="s">
        <v>6260</v>
      </c>
      <c r="D5602" s="208" t="s">
        <v>2193</v>
      </c>
      <c r="E5602" s="209">
        <v>0</v>
      </c>
      <c r="F5602" s="209">
        <v>0.23</v>
      </c>
      <c r="G5602" s="209">
        <v>0.23</v>
      </c>
      <c r="H5602" s="198"/>
    </row>
    <row r="5603" spans="1:8" ht="15.75" hidden="1" customHeight="1" x14ac:dyDescent="0.25">
      <c r="A5603" s="205" t="s">
        <v>6212</v>
      </c>
      <c r="B5603" s="206">
        <v>101286</v>
      </c>
      <c r="C5603" s="207" t="s">
        <v>6261</v>
      </c>
      <c r="D5603" s="208" t="s">
        <v>6214</v>
      </c>
      <c r="E5603" s="209">
        <v>0</v>
      </c>
      <c r="F5603" s="209">
        <v>31.61</v>
      </c>
      <c r="G5603" s="209">
        <v>31.61</v>
      </c>
      <c r="H5603" s="198"/>
    </row>
    <row r="5604" spans="1:8" ht="15.75" hidden="1" customHeight="1" x14ac:dyDescent="0.25">
      <c r="A5604" s="205" t="s">
        <v>6212</v>
      </c>
      <c r="B5604" s="206">
        <v>95309</v>
      </c>
      <c r="C5604" s="207" t="s">
        <v>6262</v>
      </c>
      <c r="D5604" s="208" t="s">
        <v>2193</v>
      </c>
      <c r="E5604" s="209">
        <v>0</v>
      </c>
      <c r="F5604" s="209">
        <v>0.3</v>
      </c>
      <c r="G5604" s="209">
        <v>0.3</v>
      </c>
      <c r="H5604" s="198"/>
    </row>
    <row r="5605" spans="1:8" ht="15.75" hidden="1" customHeight="1" x14ac:dyDescent="0.25">
      <c r="A5605" s="205" t="s">
        <v>6212</v>
      </c>
      <c r="B5605" s="206">
        <v>101287</v>
      </c>
      <c r="C5605" s="207" t="s">
        <v>6263</v>
      </c>
      <c r="D5605" s="208" t="s">
        <v>6214</v>
      </c>
      <c r="E5605" s="209">
        <v>0</v>
      </c>
      <c r="F5605" s="209">
        <v>102.25</v>
      </c>
      <c r="G5605" s="209">
        <v>102.25</v>
      </c>
      <c r="H5605" s="198"/>
    </row>
    <row r="5606" spans="1:8" ht="15.75" hidden="1" customHeight="1" x14ac:dyDescent="0.25">
      <c r="A5606" s="205" t="s">
        <v>6212</v>
      </c>
      <c r="B5606" s="206">
        <v>95310</v>
      </c>
      <c r="C5606" s="207" t="s">
        <v>6264</v>
      </c>
      <c r="D5606" s="208" t="s">
        <v>2193</v>
      </c>
      <c r="E5606" s="209">
        <v>0</v>
      </c>
      <c r="F5606" s="209">
        <v>0.23</v>
      </c>
      <c r="G5606" s="209">
        <v>0.23</v>
      </c>
      <c r="H5606" s="198"/>
    </row>
    <row r="5607" spans="1:8" ht="15.75" hidden="1" customHeight="1" x14ac:dyDescent="0.25">
      <c r="A5607" s="205" t="s">
        <v>6212</v>
      </c>
      <c r="B5607" s="206">
        <v>101288</v>
      </c>
      <c r="C5607" s="207" t="s">
        <v>6265</v>
      </c>
      <c r="D5607" s="208" t="s">
        <v>6214</v>
      </c>
      <c r="E5607" s="209">
        <v>0</v>
      </c>
      <c r="F5607" s="209">
        <v>31.61</v>
      </c>
      <c r="G5607" s="209">
        <v>31.61</v>
      </c>
      <c r="H5607" s="198"/>
    </row>
    <row r="5608" spans="1:8" ht="15.75" hidden="1" customHeight="1" x14ac:dyDescent="0.25">
      <c r="A5608" s="205" t="s">
        <v>6212</v>
      </c>
      <c r="B5608" s="206">
        <v>95311</v>
      </c>
      <c r="C5608" s="207" t="s">
        <v>6266</v>
      </c>
      <c r="D5608" s="208" t="s">
        <v>2193</v>
      </c>
      <c r="E5608" s="209">
        <v>0</v>
      </c>
      <c r="F5608" s="209">
        <v>0.23</v>
      </c>
      <c r="G5608" s="209">
        <v>0.23</v>
      </c>
      <c r="H5608" s="198"/>
    </row>
    <row r="5609" spans="1:8" ht="15.75" hidden="1" customHeight="1" x14ac:dyDescent="0.25">
      <c r="A5609" s="205" t="s">
        <v>6212</v>
      </c>
      <c r="B5609" s="206">
        <v>101289</v>
      </c>
      <c r="C5609" s="207" t="s">
        <v>6267</v>
      </c>
      <c r="D5609" s="208" t="s">
        <v>6214</v>
      </c>
      <c r="E5609" s="209">
        <v>0</v>
      </c>
      <c r="F5609" s="209">
        <v>31.03</v>
      </c>
      <c r="G5609" s="209">
        <v>31.03</v>
      </c>
      <c r="H5609" s="198"/>
    </row>
    <row r="5610" spans="1:8" ht="15.75" hidden="1" customHeight="1" x14ac:dyDescent="0.25">
      <c r="A5610" s="205" t="s">
        <v>6212</v>
      </c>
      <c r="B5610" s="206">
        <v>95312</v>
      </c>
      <c r="C5610" s="207" t="s">
        <v>6268</v>
      </c>
      <c r="D5610" s="208" t="s">
        <v>2193</v>
      </c>
      <c r="E5610" s="209">
        <v>0</v>
      </c>
      <c r="F5610" s="209">
        <v>0.3</v>
      </c>
      <c r="G5610" s="209">
        <v>0.3</v>
      </c>
      <c r="H5610" s="198"/>
    </row>
    <row r="5611" spans="1:8" ht="15.75" hidden="1" customHeight="1" x14ac:dyDescent="0.25">
      <c r="A5611" s="205" t="s">
        <v>6212</v>
      </c>
      <c r="B5611" s="206">
        <v>100291</v>
      </c>
      <c r="C5611" s="207" t="s">
        <v>6269</v>
      </c>
      <c r="D5611" s="208" t="s">
        <v>2193</v>
      </c>
      <c r="E5611" s="209">
        <v>0</v>
      </c>
      <c r="F5611" s="209">
        <v>0.3</v>
      </c>
      <c r="G5611" s="209">
        <v>0.3</v>
      </c>
      <c r="H5611" s="198"/>
    </row>
    <row r="5612" spans="1:8" ht="15.75" hidden="1" customHeight="1" x14ac:dyDescent="0.25">
      <c r="A5612" s="205" t="s">
        <v>6212</v>
      </c>
      <c r="B5612" s="206">
        <v>101290</v>
      </c>
      <c r="C5612" s="207" t="s">
        <v>6270</v>
      </c>
      <c r="D5612" s="208" t="s">
        <v>6214</v>
      </c>
      <c r="E5612" s="209">
        <v>0</v>
      </c>
      <c r="F5612" s="209">
        <v>40.44</v>
      </c>
      <c r="G5612" s="209">
        <v>40.44</v>
      </c>
      <c r="H5612" s="198"/>
    </row>
    <row r="5613" spans="1:8" ht="15.75" hidden="1" customHeight="1" x14ac:dyDescent="0.25">
      <c r="A5613" s="205" t="s">
        <v>6212</v>
      </c>
      <c r="B5613" s="206">
        <v>101291</v>
      </c>
      <c r="C5613" s="207" t="s">
        <v>6271</v>
      </c>
      <c r="D5613" s="208" t="s">
        <v>6214</v>
      </c>
      <c r="E5613" s="209">
        <v>0</v>
      </c>
      <c r="F5613" s="209">
        <v>31.61</v>
      </c>
      <c r="G5613" s="209">
        <v>31.61</v>
      </c>
      <c r="H5613" s="198"/>
    </row>
    <row r="5614" spans="1:8" ht="15.75" hidden="1" customHeight="1" x14ac:dyDescent="0.25">
      <c r="A5614" s="205" t="s">
        <v>6212</v>
      </c>
      <c r="B5614" s="206">
        <v>95313</v>
      </c>
      <c r="C5614" s="207" t="s">
        <v>6272</v>
      </c>
      <c r="D5614" s="208" t="s">
        <v>2193</v>
      </c>
      <c r="E5614" s="209">
        <v>0</v>
      </c>
      <c r="F5614" s="209">
        <v>0.23</v>
      </c>
      <c r="G5614" s="209">
        <v>0.23</v>
      </c>
      <c r="H5614" s="198"/>
    </row>
    <row r="5615" spans="1:8" ht="15.75" hidden="1" customHeight="1" x14ac:dyDescent="0.25">
      <c r="A5615" s="205" t="s">
        <v>6212</v>
      </c>
      <c r="B5615" s="206">
        <v>101292</v>
      </c>
      <c r="C5615" s="207" t="s">
        <v>6273</v>
      </c>
      <c r="D5615" s="208" t="s">
        <v>6214</v>
      </c>
      <c r="E5615" s="209">
        <v>0</v>
      </c>
      <c r="F5615" s="209">
        <v>31.03</v>
      </c>
      <c r="G5615" s="209">
        <v>31.03</v>
      </c>
      <c r="H5615" s="198"/>
    </row>
    <row r="5616" spans="1:8" ht="15.75" hidden="1" customHeight="1" x14ac:dyDescent="0.25">
      <c r="A5616" s="205" t="s">
        <v>6212</v>
      </c>
      <c r="B5616" s="206">
        <v>95392</v>
      </c>
      <c r="C5616" s="207" t="s">
        <v>6274</v>
      </c>
      <c r="D5616" s="208" t="s">
        <v>2193</v>
      </c>
      <c r="E5616" s="209">
        <v>0</v>
      </c>
      <c r="F5616" s="209">
        <v>0.13</v>
      </c>
      <c r="G5616" s="209">
        <v>0.13</v>
      </c>
      <c r="H5616" s="198"/>
    </row>
    <row r="5617" spans="1:8" ht="15.75" hidden="1" customHeight="1" x14ac:dyDescent="0.25">
      <c r="A5617" s="205" t="s">
        <v>6212</v>
      </c>
      <c r="B5617" s="206">
        <v>95413</v>
      </c>
      <c r="C5617" s="207" t="s">
        <v>6275</v>
      </c>
      <c r="D5617" s="208" t="s">
        <v>6214</v>
      </c>
      <c r="E5617" s="209">
        <v>0</v>
      </c>
      <c r="F5617" s="209">
        <v>18.18</v>
      </c>
      <c r="G5617" s="209">
        <v>18.18</v>
      </c>
      <c r="H5617" s="198"/>
    </row>
    <row r="5618" spans="1:8" ht="15.75" hidden="1" customHeight="1" x14ac:dyDescent="0.25">
      <c r="A5618" s="205" t="s">
        <v>6212</v>
      </c>
      <c r="B5618" s="206">
        <v>95393</v>
      </c>
      <c r="C5618" s="207" t="s">
        <v>6276</v>
      </c>
      <c r="D5618" s="208" t="s">
        <v>2193</v>
      </c>
      <c r="E5618" s="209">
        <v>0</v>
      </c>
      <c r="F5618" s="209">
        <v>0.5</v>
      </c>
      <c r="G5618" s="209">
        <v>0.5</v>
      </c>
      <c r="H5618" s="198"/>
    </row>
    <row r="5619" spans="1:8" ht="15.75" hidden="1" customHeight="1" x14ac:dyDescent="0.25">
      <c r="A5619" s="205" t="s">
        <v>6212</v>
      </c>
      <c r="B5619" s="206">
        <v>95414</v>
      </c>
      <c r="C5619" s="207" t="s">
        <v>6277</v>
      </c>
      <c r="D5619" s="208" t="s">
        <v>6214</v>
      </c>
      <c r="E5619" s="209">
        <v>0</v>
      </c>
      <c r="F5619" s="209">
        <v>66.900000000000006</v>
      </c>
      <c r="G5619" s="209">
        <v>66.900000000000006</v>
      </c>
      <c r="H5619" s="198"/>
    </row>
    <row r="5620" spans="1:8" ht="15.75" hidden="1" customHeight="1" x14ac:dyDescent="0.25">
      <c r="A5620" s="205" t="s">
        <v>6212</v>
      </c>
      <c r="B5620" s="206">
        <v>95314</v>
      </c>
      <c r="C5620" s="207" t="s">
        <v>6278</v>
      </c>
      <c r="D5620" s="208" t="s">
        <v>2193</v>
      </c>
      <c r="E5620" s="209">
        <v>0</v>
      </c>
      <c r="F5620" s="209">
        <v>0.31</v>
      </c>
      <c r="G5620" s="209">
        <v>0.31</v>
      </c>
      <c r="H5620" s="198"/>
    </row>
    <row r="5621" spans="1:8" ht="15.75" hidden="1" customHeight="1" x14ac:dyDescent="0.25">
      <c r="A5621" s="205" t="s">
        <v>6212</v>
      </c>
      <c r="B5621" s="206">
        <v>101293</v>
      </c>
      <c r="C5621" s="207" t="s">
        <v>6279</v>
      </c>
      <c r="D5621" s="208" t="s">
        <v>6214</v>
      </c>
      <c r="E5621" s="209">
        <v>0</v>
      </c>
      <c r="F5621" s="209">
        <v>41.25</v>
      </c>
      <c r="G5621" s="209">
        <v>41.25</v>
      </c>
      <c r="H5621" s="198"/>
    </row>
    <row r="5622" spans="1:8" ht="15.75" hidden="1" customHeight="1" x14ac:dyDescent="0.25">
      <c r="A5622" s="205" t="s">
        <v>6212</v>
      </c>
      <c r="B5622" s="206">
        <v>95394</v>
      </c>
      <c r="C5622" s="207" t="s">
        <v>6280</v>
      </c>
      <c r="D5622" s="208" t="s">
        <v>2193</v>
      </c>
      <c r="E5622" s="209">
        <v>0</v>
      </c>
      <c r="F5622" s="209">
        <v>1.03</v>
      </c>
      <c r="G5622" s="209">
        <v>1.03</v>
      </c>
      <c r="H5622" s="198"/>
    </row>
    <row r="5623" spans="1:8" ht="15.75" hidden="1" customHeight="1" x14ac:dyDescent="0.25">
      <c r="A5623" s="205" t="s">
        <v>6212</v>
      </c>
      <c r="B5623" s="206">
        <v>95395</v>
      </c>
      <c r="C5623" s="207" t="s">
        <v>6281</v>
      </c>
      <c r="D5623" s="208" t="s">
        <v>2193</v>
      </c>
      <c r="E5623" s="209">
        <v>0</v>
      </c>
      <c r="F5623" s="209">
        <v>1.0900000000000001</v>
      </c>
      <c r="G5623" s="209">
        <v>1.0900000000000001</v>
      </c>
      <c r="H5623" s="198"/>
    </row>
    <row r="5624" spans="1:8" ht="15.75" hidden="1" customHeight="1" x14ac:dyDescent="0.25">
      <c r="A5624" s="205" t="s">
        <v>6212</v>
      </c>
      <c r="B5624" s="206">
        <v>95396</v>
      </c>
      <c r="C5624" s="207" t="s">
        <v>6282</v>
      </c>
      <c r="D5624" s="208" t="s">
        <v>2193</v>
      </c>
      <c r="E5624" s="209">
        <v>0</v>
      </c>
      <c r="F5624" s="209">
        <v>1.1399999999999999</v>
      </c>
      <c r="G5624" s="209">
        <v>1.1399999999999999</v>
      </c>
      <c r="H5624" s="198"/>
    </row>
    <row r="5625" spans="1:8" ht="15.75" hidden="1" customHeight="1" x14ac:dyDescent="0.25">
      <c r="A5625" s="205" t="s">
        <v>6212</v>
      </c>
      <c r="B5625" s="206">
        <v>95419</v>
      </c>
      <c r="C5625" s="207" t="s">
        <v>6283</v>
      </c>
      <c r="D5625" s="208" t="s">
        <v>6214</v>
      </c>
      <c r="E5625" s="209">
        <v>0</v>
      </c>
      <c r="F5625" s="209">
        <v>136.75</v>
      </c>
      <c r="G5625" s="209">
        <v>136.75</v>
      </c>
      <c r="H5625" s="198"/>
    </row>
    <row r="5626" spans="1:8" ht="15.75" hidden="1" customHeight="1" x14ac:dyDescent="0.25">
      <c r="A5626" s="205" t="s">
        <v>6212</v>
      </c>
      <c r="B5626" s="206">
        <v>95420</v>
      </c>
      <c r="C5626" s="207" t="s">
        <v>6284</v>
      </c>
      <c r="D5626" s="208" t="s">
        <v>6214</v>
      </c>
      <c r="E5626" s="209">
        <v>0</v>
      </c>
      <c r="F5626" s="209">
        <v>144.88</v>
      </c>
      <c r="G5626" s="209">
        <v>144.88</v>
      </c>
      <c r="H5626" s="198"/>
    </row>
    <row r="5627" spans="1:8" ht="15.75" hidden="1" customHeight="1" x14ac:dyDescent="0.25">
      <c r="A5627" s="205" t="s">
        <v>6212</v>
      </c>
      <c r="B5627" s="206">
        <v>95421</v>
      </c>
      <c r="C5627" s="207" t="s">
        <v>6285</v>
      </c>
      <c r="D5627" s="208" t="s">
        <v>6214</v>
      </c>
      <c r="E5627" s="209">
        <v>0</v>
      </c>
      <c r="F5627" s="209">
        <v>151.84</v>
      </c>
      <c r="G5627" s="209">
        <v>151.84</v>
      </c>
      <c r="H5627" s="198"/>
    </row>
    <row r="5628" spans="1:8" ht="15.75" hidden="1" customHeight="1" x14ac:dyDescent="0.25">
      <c r="A5628" s="205" t="s">
        <v>6212</v>
      </c>
      <c r="B5628" s="206">
        <v>101294</v>
      </c>
      <c r="C5628" s="207" t="s">
        <v>6286</v>
      </c>
      <c r="D5628" s="208" t="s">
        <v>6214</v>
      </c>
      <c r="E5628" s="209">
        <v>0</v>
      </c>
      <c r="F5628" s="209">
        <v>27.43</v>
      </c>
      <c r="G5628" s="209">
        <v>27.43</v>
      </c>
      <c r="H5628" s="198"/>
    </row>
    <row r="5629" spans="1:8" ht="15.75" hidden="1" customHeight="1" x14ac:dyDescent="0.25">
      <c r="A5629" s="205" t="s">
        <v>6212</v>
      </c>
      <c r="B5629" s="206">
        <v>95315</v>
      </c>
      <c r="C5629" s="207" t="s">
        <v>6287</v>
      </c>
      <c r="D5629" s="208" t="s">
        <v>2193</v>
      </c>
      <c r="E5629" s="209">
        <v>0</v>
      </c>
      <c r="F5629" s="209">
        <v>0.2</v>
      </c>
      <c r="G5629" s="209">
        <v>0.2</v>
      </c>
      <c r="H5629" s="198"/>
    </row>
    <row r="5630" spans="1:8" ht="15.75" hidden="1" customHeight="1" x14ac:dyDescent="0.25">
      <c r="A5630" s="205" t="s">
        <v>6212</v>
      </c>
      <c r="B5630" s="206">
        <v>100293</v>
      </c>
      <c r="C5630" s="207" t="s">
        <v>6288</v>
      </c>
      <c r="D5630" s="208" t="s">
        <v>2193</v>
      </c>
      <c r="E5630" s="209">
        <v>0</v>
      </c>
      <c r="F5630" s="209">
        <v>0.28000000000000003</v>
      </c>
      <c r="G5630" s="209">
        <v>0.28000000000000003</v>
      </c>
      <c r="H5630" s="198"/>
    </row>
    <row r="5631" spans="1:8" ht="15.75" hidden="1" customHeight="1" x14ac:dyDescent="0.25">
      <c r="A5631" s="205" t="s">
        <v>6212</v>
      </c>
      <c r="B5631" s="206">
        <v>101295</v>
      </c>
      <c r="C5631" s="207" t="s">
        <v>6289</v>
      </c>
      <c r="D5631" s="208" t="s">
        <v>6214</v>
      </c>
      <c r="E5631" s="209">
        <v>0</v>
      </c>
      <c r="F5631" s="209">
        <v>37.26</v>
      </c>
      <c r="G5631" s="209">
        <v>37.26</v>
      </c>
      <c r="H5631" s="198"/>
    </row>
    <row r="5632" spans="1:8" ht="15.75" hidden="1" customHeight="1" x14ac:dyDescent="0.25">
      <c r="A5632" s="205" t="s">
        <v>6212</v>
      </c>
      <c r="B5632" s="206">
        <v>95316</v>
      </c>
      <c r="C5632" s="207" t="s">
        <v>6290</v>
      </c>
      <c r="D5632" s="208" t="s">
        <v>2193</v>
      </c>
      <c r="E5632" s="209">
        <v>0</v>
      </c>
      <c r="F5632" s="209">
        <v>0.77</v>
      </c>
      <c r="G5632" s="209">
        <v>0.77</v>
      </c>
      <c r="H5632" s="198"/>
    </row>
    <row r="5633" spans="1:8" ht="15.75" hidden="1" customHeight="1" x14ac:dyDescent="0.25">
      <c r="A5633" s="205" t="s">
        <v>6212</v>
      </c>
      <c r="B5633" s="206">
        <v>95317</v>
      </c>
      <c r="C5633" s="207" t="s">
        <v>6291</v>
      </c>
      <c r="D5633" s="208" t="s">
        <v>2193</v>
      </c>
      <c r="E5633" s="209">
        <v>0</v>
      </c>
      <c r="F5633" s="209">
        <v>0.37</v>
      </c>
      <c r="G5633" s="209">
        <v>0.37</v>
      </c>
      <c r="H5633" s="198"/>
    </row>
    <row r="5634" spans="1:8" ht="15.75" hidden="1" customHeight="1" x14ac:dyDescent="0.25">
      <c r="A5634" s="205" t="s">
        <v>6212</v>
      </c>
      <c r="B5634" s="206">
        <v>101296</v>
      </c>
      <c r="C5634" s="207" t="s">
        <v>6292</v>
      </c>
      <c r="D5634" s="208" t="s">
        <v>6214</v>
      </c>
      <c r="E5634" s="209">
        <v>0</v>
      </c>
      <c r="F5634" s="209">
        <v>49.25</v>
      </c>
      <c r="G5634" s="209">
        <v>49.25</v>
      </c>
      <c r="H5634" s="198"/>
    </row>
    <row r="5635" spans="1:8" ht="15.75" hidden="1" customHeight="1" x14ac:dyDescent="0.25">
      <c r="A5635" s="205" t="s">
        <v>6212</v>
      </c>
      <c r="B5635" s="206">
        <v>95398</v>
      </c>
      <c r="C5635" s="207" t="s">
        <v>6293</v>
      </c>
      <c r="D5635" s="208" t="s">
        <v>2193</v>
      </c>
      <c r="E5635" s="209">
        <v>0</v>
      </c>
      <c r="F5635" s="209">
        <v>0.11</v>
      </c>
      <c r="G5635" s="209">
        <v>0.11</v>
      </c>
      <c r="H5635" s="198"/>
    </row>
    <row r="5636" spans="1:8" ht="15.75" hidden="1" customHeight="1" x14ac:dyDescent="0.25">
      <c r="A5636" s="205" t="s">
        <v>6212</v>
      </c>
      <c r="B5636" s="206">
        <v>95416</v>
      </c>
      <c r="C5636" s="207" t="s">
        <v>6294</v>
      </c>
      <c r="D5636" s="208" t="s">
        <v>6214</v>
      </c>
      <c r="E5636" s="209">
        <v>0</v>
      </c>
      <c r="F5636" s="209">
        <v>14.56</v>
      </c>
      <c r="G5636" s="209">
        <v>14.56</v>
      </c>
      <c r="H5636" s="198"/>
    </row>
    <row r="5637" spans="1:8" ht="15.75" hidden="1" customHeight="1" x14ac:dyDescent="0.25">
      <c r="A5637" s="205" t="s">
        <v>6212</v>
      </c>
      <c r="B5637" s="206">
        <v>101297</v>
      </c>
      <c r="C5637" s="207" t="s">
        <v>6295</v>
      </c>
      <c r="D5637" s="208" t="s">
        <v>6214</v>
      </c>
      <c r="E5637" s="209">
        <v>0</v>
      </c>
      <c r="F5637" s="209">
        <v>31.74</v>
      </c>
      <c r="G5637" s="209">
        <v>31.74</v>
      </c>
      <c r="H5637" s="198"/>
    </row>
    <row r="5638" spans="1:8" ht="15.75" hidden="1" customHeight="1" x14ac:dyDescent="0.25">
      <c r="A5638" s="205" t="s">
        <v>6212</v>
      </c>
      <c r="B5638" s="206">
        <v>95318</v>
      </c>
      <c r="C5638" s="207" t="s">
        <v>6296</v>
      </c>
      <c r="D5638" s="208" t="s">
        <v>2193</v>
      </c>
      <c r="E5638" s="209">
        <v>0</v>
      </c>
      <c r="F5638" s="209">
        <v>0.24</v>
      </c>
      <c r="G5638" s="209">
        <v>0.24</v>
      </c>
      <c r="H5638" s="198"/>
    </row>
    <row r="5639" spans="1:8" ht="15.75" hidden="1" customHeight="1" x14ac:dyDescent="0.25">
      <c r="A5639" s="205" t="s">
        <v>6212</v>
      </c>
      <c r="B5639" s="206">
        <v>101298</v>
      </c>
      <c r="C5639" s="207" t="s">
        <v>6297</v>
      </c>
      <c r="D5639" s="208" t="s">
        <v>6214</v>
      </c>
      <c r="E5639" s="209">
        <v>0</v>
      </c>
      <c r="F5639" s="209">
        <v>31.61</v>
      </c>
      <c r="G5639" s="209">
        <v>31.61</v>
      </c>
      <c r="H5639" s="198"/>
    </row>
    <row r="5640" spans="1:8" ht="15.75" hidden="1" customHeight="1" x14ac:dyDescent="0.25">
      <c r="A5640" s="205" t="s">
        <v>6212</v>
      </c>
      <c r="B5640" s="206">
        <v>95319</v>
      </c>
      <c r="C5640" s="207" t="s">
        <v>6298</v>
      </c>
      <c r="D5640" s="208" t="s">
        <v>2193</v>
      </c>
      <c r="E5640" s="209">
        <v>0</v>
      </c>
      <c r="F5640" s="209">
        <v>0.23</v>
      </c>
      <c r="G5640" s="209">
        <v>0.23</v>
      </c>
      <c r="H5640" s="198"/>
    </row>
    <row r="5641" spans="1:8" ht="15.75" hidden="1" customHeight="1" x14ac:dyDescent="0.25">
      <c r="A5641" s="205" t="s">
        <v>6212</v>
      </c>
      <c r="B5641" s="206">
        <v>101299</v>
      </c>
      <c r="C5641" s="207" t="s">
        <v>6299</v>
      </c>
      <c r="D5641" s="208" t="s">
        <v>6214</v>
      </c>
      <c r="E5641" s="209">
        <v>0</v>
      </c>
      <c r="F5641" s="209">
        <v>40.44</v>
      </c>
      <c r="G5641" s="209">
        <v>40.44</v>
      </c>
      <c r="H5641" s="198"/>
    </row>
    <row r="5642" spans="1:8" ht="15.75" hidden="1" customHeight="1" x14ac:dyDescent="0.25">
      <c r="A5642" s="205" t="s">
        <v>6212</v>
      </c>
      <c r="B5642" s="206">
        <v>95320</v>
      </c>
      <c r="C5642" s="207" t="s">
        <v>6300</v>
      </c>
      <c r="D5642" s="208" t="s">
        <v>2193</v>
      </c>
      <c r="E5642" s="209">
        <v>0</v>
      </c>
      <c r="F5642" s="209">
        <v>0.23</v>
      </c>
      <c r="G5642" s="209">
        <v>0.23</v>
      </c>
      <c r="H5642" s="198"/>
    </row>
    <row r="5643" spans="1:8" ht="15.75" hidden="1" customHeight="1" x14ac:dyDescent="0.25">
      <c r="A5643" s="205" t="s">
        <v>6212</v>
      </c>
      <c r="B5643" s="206">
        <v>95321</v>
      </c>
      <c r="C5643" s="207" t="s">
        <v>6301</v>
      </c>
      <c r="D5643" s="208" t="s">
        <v>2193</v>
      </c>
      <c r="E5643" s="209">
        <v>0</v>
      </c>
      <c r="F5643" s="209">
        <v>0.22</v>
      </c>
      <c r="G5643" s="209">
        <v>0.22</v>
      </c>
      <c r="H5643" s="198"/>
    </row>
    <row r="5644" spans="1:8" ht="15.75" hidden="1" customHeight="1" x14ac:dyDescent="0.25">
      <c r="A5644" s="205" t="s">
        <v>6212</v>
      </c>
      <c r="B5644" s="206">
        <v>101300</v>
      </c>
      <c r="C5644" s="207" t="s">
        <v>6302</v>
      </c>
      <c r="D5644" s="208" t="s">
        <v>6214</v>
      </c>
      <c r="E5644" s="209">
        <v>0</v>
      </c>
      <c r="F5644" s="209">
        <v>29.15</v>
      </c>
      <c r="G5644" s="209">
        <v>29.15</v>
      </c>
      <c r="H5644" s="198"/>
    </row>
    <row r="5645" spans="1:8" ht="15.75" hidden="1" customHeight="1" x14ac:dyDescent="0.25">
      <c r="A5645" s="205" t="s">
        <v>6212</v>
      </c>
      <c r="B5645" s="206">
        <v>95322</v>
      </c>
      <c r="C5645" s="207" t="s">
        <v>6303</v>
      </c>
      <c r="D5645" s="208" t="s">
        <v>2193</v>
      </c>
      <c r="E5645" s="209">
        <v>0</v>
      </c>
      <c r="F5645" s="209">
        <v>0.1</v>
      </c>
      <c r="G5645" s="209">
        <v>0.1</v>
      </c>
      <c r="H5645" s="198"/>
    </row>
    <row r="5646" spans="1:8" ht="15.75" hidden="1" customHeight="1" x14ac:dyDescent="0.25">
      <c r="A5646" s="205" t="s">
        <v>6212</v>
      </c>
      <c r="B5646" s="206">
        <v>101301</v>
      </c>
      <c r="C5646" s="207" t="s">
        <v>6304</v>
      </c>
      <c r="D5646" s="208" t="s">
        <v>6214</v>
      </c>
      <c r="E5646" s="209">
        <v>0</v>
      </c>
      <c r="F5646" s="209">
        <v>13.37</v>
      </c>
      <c r="G5646" s="209">
        <v>13.37</v>
      </c>
      <c r="H5646" s="198"/>
    </row>
    <row r="5647" spans="1:8" ht="15.75" hidden="1" customHeight="1" x14ac:dyDescent="0.25">
      <c r="A5647" s="205" t="s">
        <v>6212</v>
      </c>
      <c r="B5647" s="206">
        <v>95323</v>
      </c>
      <c r="C5647" s="207" t="s">
        <v>6305</v>
      </c>
      <c r="D5647" s="208" t="s">
        <v>2193</v>
      </c>
      <c r="E5647" s="209">
        <v>0</v>
      </c>
      <c r="F5647" s="209">
        <v>0.37</v>
      </c>
      <c r="G5647" s="209">
        <v>0.37</v>
      </c>
      <c r="H5647" s="198"/>
    </row>
    <row r="5648" spans="1:8" ht="15.75" hidden="1" customHeight="1" x14ac:dyDescent="0.25">
      <c r="A5648" s="205" t="s">
        <v>6212</v>
      </c>
      <c r="B5648" s="206">
        <v>101302</v>
      </c>
      <c r="C5648" s="207" t="s">
        <v>6306</v>
      </c>
      <c r="D5648" s="208" t="s">
        <v>6214</v>
      </c>
      <c r="E5648" s="209">
        <v>0</v>
      </c>
      <c r="F5648" s="209">
        <v>49.31</v>
      </c>
      <c r="G5648" s="209">
        <v>49.31</v>
      </c>
      <c r="H5648" s="198"/>
    </row>
    <row r="5649" spans="1:8" ht="15.75" hidden="1" customHeight="1" x14ac:dyDescent="0.25">
      <c r="A5649" s="205" t="s">
        <v>6212</v>
      </c>
      <c r="B5649" s="206">
        <v>95324</v>
      </c>
      <c r="C5649" s="207" t="s">
        <v>6307</v>
      </c>
      <c r="D5649" s="208" t="s">
        <v>2193</v>
      </c>
      <c r="E5649" s="209">
        <v>0</v>
      </c>
      <c r="F5649" s="209">
        <v>0.39</v>
      </c>
      <c r="G5649" s="209">
        <v>0.39</v>
      </c>
      <c r="H5649" s="198"/>
    </row>
    <row r="5650" spans="1:8" ht="15.75" hidden="1" customHeight="1" x14ac:dyDescent="0.25">
      <c r="A5650" s="205" t="s">
        <v>6212</v>
      </c>
      <c r="B5650" s="206">
        <v>101304</v>
      </c>
      <c r="C5650" s="207" t="s">
        <v>6308</v>
      </c>
      <c r="D5650" s="208" t="s">
        <v>6214</v>
      </c>
      <c r="E5650" s="209">
        <v>0</v>
      </c>
      <c r="F5650" s="209">
        <v>52.79</v>
      </c>
      <c r="G5650" s="209">
        <v>52.79</v>
      </c>
      <c r="H5650" s="198"/>
    </row>
    <row r="5651" spans="1:8" ht="15.75" hidden="1" customHeight="1" x14ac:dyDescent="0.25">
      <c r="A5651" s="205" t="s">
        <v>6212</v>
      </c>
      <c r="B5651" s="206">
        <v>95325</v>
      </c>
      <c r="C5651" s="207" t="s">
        <v>6309</v>
      </c>
      <c r="D5651" s="208" t="s">
        <v>2193</v>
      </c>
      <c r="E5651" s="209">
        <v>0</v>
      </c>
      <c r="F5651" s="209">
        <v>0.53</v>
      </c>
      <c r="G5651" s="209">
        <v>0.53</v>
      </c>
      <c r="H5651" s="198"/>
    </row>
    <row r="5652" spans="1:8" ht="15.75" hidden="1" customHeight="1" x14ac:dyDescent="0.25">
      <c r="A5652" s="205" t="s">
        <v>6212</v>
      </c>
      <c r="B5652" s="206">
        <v>101305</v>
      </c>
      <c r="C5652" s="207" t="s">
        <v>6310</v>
      </c>
      <c r="D5652" s="208" t="s">
        <v>6214</v>
      </c>
      <c r="E5652" s="209">
        <v>0</v>
      </c>
      <c r="F5652" s="209">
        <v>70.47</v>
      </c>
      <c r="G5652" s="209">
        <v>70.47</v>
      </c>
      <c r="H5652" s="198"/>
    </row>
    <row r="5653" spans="1:8" ht="15.75" hidden="1" customHeight="1" x14ac:dyDescent="0.25">
      <c r="A5653" s="205" t="s">
        <v>6212</v>
      </c>
      <c r="B5653" s="206">
        <v>95328</v>
      </c>
      <c r="C5653" s="207" t="s">
        <v>6311</v>
      </c>
      <c r="D5653" s="208" t="s">
        <v>2193</v>
      </c>
      <c r="E5653" s="209">
        <v>0</v>
      </c>
      <c r="F5653" s="209">
        <v>0.26</v>
      </c>
      <c r="G5653" s="209">
        <v>0.26</v>
      </c>
      <c r="H5653" s="198"/>
    </row>
    <row r="5654" spans="1:8" ht="15.75" hidden="1" customHeight="1" x14ac:dyDescent="0.25">
      <c r="A5654" s="205" t="s">
        <v>6212</v>
      </c>
      <c r="B5654" s="206">
        <v>101307</v>
      </c>
      <c r="C5654" s="207" t="s">
        <v>6312</v>
      </c>
      <c r="D5654" s="208" t="s">
        <v>6214</v>
      </c>
      <c r="E5654" s="209">
        <v>0</v>
      </c>
      <c r="F5654" s="209">
        <v>35.049999999999997</v>
      </c>
      <c r="G5654" s="209">
        <v>35.049999999999997</v>
      </c>
      <c r="H5654" s="198"/>
    </row>
    <row r="5655" spans="1:8" ht="15.75" hidden="1" customHeight="1" x14ac:dyDescent="0.25">
      <c r="A5655" s="205" t="s">
        <v>6212</v>
      </c>
      <c r="B5655" s="206">
        <v>101309</v>
      </c>
      <c r="C5655" s="207" t="s">
        <v>6313</v>
      </c>
      <c r="D5655" s="208" t="s">
        <v>6214</v>
      </c>
      <c r="E5655" s="209">
        <v>0</v>
      </c>
      <c r="F5655" s="209">
        <v>40.44</v>
      </c>
      <c r="G5655" s="209">
        <v>40.44</v>
      </c>
      <c r="H5655" s="198"/>
    </row>
    <row r="5656" spans="1:8" ht="15.75" hidden="1" customHeight="1" x14ac:dyDescent="0.25">
      <c r="A5656" s="205" t="s">
        <v>6212</v>
      </c>
      <c r="B5656" s="206">
        <v>95329</v>
      </c>
      <c r="C5656" s="207" t="s">
        <v>6314</v>
      </c>
      <c r="D5656" s="208" t="s">
        <v>2193</v>
      </c>
      <c r="E5656" s="209">
        <v>0</v>
      </c>
      <c r="F5656" s="209">
        <v>0.37</v>
      </c>
      <c r="G5656" s="209">
        <v>0.37</v>
      </c>
      <c r="H5656" s="198"/>
    </row>
    <row r="5657" spans="1:8" ht="15.75" hidden="1" customHeight="1" x14ac:dyDescent="0.25">
      <c r="A5657" s="205" t="s">
        <v>6212</v>
      </c>
      <c r="B5657" s="206">
        <v>101310</v>
      </c>
      <c r="C5657" s="207" t="s">
        <v>6315</v>
      </c>
      <c r="D5657" s="208" t="s">
        <v>6214</v>
      </c>
      <c r="E5657" s="209">
        <v>0</v>
      </c>
      <c r="F5657" s="209">
        <v>49.71</v>
      </c>
      <c r="G5657" s="209">
        <v>49.71</v>
      </c>
      <c r="H5657" s="198"/>
    </row>
    <row r="5658" spans="1:8" ht="15.75" hidden="1" customHeight="1" x14ac:dyDescent="0.25">
      <c r="A5658" s="205" t="s">
        <v>6212</v>
      </c>
      <c r="B5658" s="206">
        <v>101311</v>
      </c>
      <c r="C5658" s="207" t="s">
        <v>6316</v>
      </c>
      <c r="D5658" s="208" t="s">
        <v>6214</v>
      </c>
      <c r="E5658" s="209">
        <v>0</v>
      </c>
      <c r="F5658" s="209">
        <v>41.25</v>
      </c>
      <c r="G5658" s="209">
        <v>41.25</v>
      </c>
      <c r="H5658" s="198"/>
    </row>
    <row r="5659" spans="1:8" ht="15.75" hidden="1" customHeight="1" x14ac:dyDescent="0.25">
      <c r="A5659" s="205" t="s">
        <v>6212</v>
      </c>
      <c r="B5659" s="206">
        <v>95330</v>
      </c>
      <c r="C5659" s="207" t="s">
        <v>6317</v>
      </c>
      <c r="D5659" s="208" t="s">
        <v>2193</v>
      </c>
      <c r="E5659" s="209">
        <v>0</v>
      </c>
      <c r="F5659" s="209">
        <v>0.31</v>
      </c>
      <c r="G5659" s="209">
        <v>0.31</v>
      </c>
      <c r="H5659" s="198"/>
    </row>
    <row r="5660" spans="1:8" ht="15.75" hidden="1" customHeight="1" x14ac:dyDescent="0.25">
      <c r="A5660" s="205" t="s">
        <v>6212</v>
      </c>
      <c r="B5660" s="206">
        <v>101312</v>
      </c>
      <c r="C5660" s="207" t="s">
        <v>6318</v>
      </c>
      <c r="D5660" s="208" t="s">
        <v>6214</v>
      </c>
      <c r="E5660" s="209">
        <v>0</v>
      </c>
      <c r="F5660" s="209">
        <v>32.840000000000003</v>
      </c>
      <c r="G5660" s="209">
        <v>32.840000000000003</v>
      </c>
      <c r="H5660" s="198"/>
    </row>
    <row r="5661" spans="1:8" ht="15.75" hidden="1" customHeight="1" x14ac:dyDescent="0.25">
      <c r="A5661" s="205" t="s">
        <v>6212</v>
      </c>
      <c r="B5661" s="206">
        <v>95331</v>
      </c>
      <c r="C5661" s="207" t="s">
        <v>6319</v>
      </c>
      <c r="D5661" s="208" t="s">
        <v>2193</v>
      </c>
      <c r="E5661" s="209">
        <v>0</v>
      </c>
      <c r="F5661" s="209">
        <v>0.24</v>
      </c>
      <c r="G5661" s="209">
        <v>0.24</v>
      </c>
      <c r="H5661" s="198"/>
    </row>
    <row r="5662" spans="1:8" ht="15.75" hidden="1" customHeight="1" x14ac:dyDescent="0.25">
      <c r="A5662" s="205" t="s">
        <v>6212</v>
      </c>
      <c r="B5662" s="206">
        <v>95400</v>
      </c>
      <c r="C5662" s="207" t="s">
        <v>6320</v>
      </c>
      <c r="D5662" s="208" t="s">
        <v>2193</v>
      </c>
      <c r="E5662" s="209">
        <v>0</v>
      </c>
      <c r="F5662" s="209">
        <v>0.11</v>
      </c>
      <c r="G5662" s="209">
        <v>0.11</v>
      </c>
      <c r="H5662" s="198"/>
    </row>
    <row r="5663" spans="1:8" ht="15.75" hidden="1" customHeight="1" x14ac:dyDescent="0.25">
      <c r="A5663" s="205" t="s">
        <v>6212</v>
      </c>
      <c r="B5663" s="206">
        <v>95411</v>
      </c>
      <c r="C5663" s="207" t="s">
        <v>6321</v>
      </c>
      <c r="D5663" s="208" t="s">
        <v>6214</v>
      </c>
      <c r="E5663" s="209">
        <v>0</v>
      </c>
      <c r="F5663" s="209">
        <v>14.9</v>
      </c>
      <c r="G5663" s="209">
        <v>14.9</v>
      </c>
      <c r="H5663" s="198"/>
    </row>
    <row r="5664" spans="1:8" ht="15.75" hidden="1" customHeight="1" x14ac:dyDescent="0.25">
      <c r="A5664" s="205" t="s">
        <v>6212</v>
      </c>
      <c r="B5664" s="206">
        <v>95332</v>
      </c>
      <c r="C5664" s="207" t="s">
        <v>6322</v>
      </c>
      <c r="D5664" s="208" t="s">
        <v>2193</v>
      </c>
      <c r="E5664" s="209">
        <v>0</v>
      </c>
      <c r="F5664" s="209">
        <v>1</v>
      </c>
      <c r="G5664" s="209">
        <v>1</v>
      </c>
      <c r="H5664" s="198"/>
    </row>
    <row r="5665" spans="1:8" ht="15.75" hidden="1" customHeight="1" x14ac:dyDescent="0.25">
      <c r="A5665" s="205" t="s">
        <v>6212</v>
      </c>
      <c r="B5665" s="206">
        <v>101313</v>
      </c>
      <c r="C5665" s="207" t="s">
        <v>6323</v>
      </c>
      <c r="D5665" s="208" t="s">
        <v>6214</v>
      </c>
      <c r="E5665" s="209">
        <v>0</v>
      </c>
      <c r="F5665" s="209">
        <v>133.44999999999999</v>
      </c>
      <c r="G5665" s="209">
        <v>133.44999999999999</v>
      </c>
      <c r="H5665" s="198"/>
    </row>
    <row r="5666" spans="1:8" ht="15.75" hidden="1" customHeight="1" x14ac:dyDescent="0.25">
      <c r="A5666" s="205" t="s">
        <v>6212</v>
      </c>
      <c r="B5666" s="206">
        <v>95334</v>
      </c>
      <c r="C5666" s="207" t="s">
        <v>6324</v>
      </c>
      <c r="D5666" s="208" t="s">
        <v>2193</v>
      </c>
      <c r="E5666" s="209">
        <v>0</v>
      </c>
      <c r="F5666" s="209">
        <v>1.05</v>
      </c>
      <c r="G5666" s="209">
        <v>1.05</v>
      </c>
      <c r="H5666" s="198"/>
    </row>
    <row r="5667" spans="1:8" ht="15.75" hidden="1" customHeight="1" x14ac:dyDescent="0.25">
      <c r="A5667" s="205" t="s">
        <v>6212</v>
      </c>
      <c r="B5667" s="206">
        <v>101315</v>
      </c>
      <c r="C5667" s="207" t="s">
        <v>6325</v>
      </c>
      <c r="D5667" s="208" t="s">
        <v>6214</v>
      </c>
      <c r="E5667" s="209">
        <v>0</v>
      </c>
      <c r="F5667" s="209">
        <v>138.87</v>
      </c>
      <c r="G5667" s="209">
        <v>138.87</v>
      </c>
      <c r="H5667" s="198"/>
    </row>
    <row r="5668" spans="1:8" ht="15.75" hidden="1" customHeight="1" x14ac:dyDescent="0.25">
      <c r="A5668" s="205" t="s">
        <v>6212</v>
      </c>
      <c r="B5668" s="206">
        <v>95335</v>
      </c>
      <c r="C5668" s="207" t="s">
        <v>6326</v>
      </c>
      <c r="D5668" s="208" t="s">
        <v>2193</v>
      </c>
      <c r="E5668" s="209">
        <v>0</v>
      </c>
      <c r="F5668" s="209">
        <v>0.48</v>
      </c>
      <c r="G5668" s="209">
        <v>0.48</v>
      </c>
      <c r="H5668" s="198"/>
    </row>
    <row r="5669" spans="1:8" ht="15.75" hidden="1" customHeight="1" x14ac:dyDescent="0.25">
      <c r="A5669" s="205" t="s">
        <v>6212</v>
      </c>
      <c r="B5669" s="206">
        <v>101316</v>
      </c>
      <c r="C5669" s="207" t="s">
        <v>6327</v>
      </c>
      <c r="D5669" s="208" t="s">
        <v>6214</v>
      </c>
      <c r="E5669" s="209">
        <v>0</v>
      </c>
      <c r="F5669" s="209">
        <v>64.28</v>
      </c>
      <c r="G5669" s="209">
        <v>64.28</v>
      </c>
      <c r="H5669" s="198"/>
    </row>
    <row r="5670" spans="1:8" ht="15.75" hidden="1" customHeight="1" x14ac:dyDescent="0.25">
      <c r="A5670" s="205" t="s">
        <v>6212</v>
      </c>
      <c r="B5670" s="206">
        <v>95401</v>
      </c>
      <c r="C5670" s="207" t="s">
        <v>6328</v>
      </c>
      <c r="D5670" s="208" t="s">
        <v>2193</v>
      </c>
      <c r="E5670" s="209">
        <v>0</v>
      </c>
      <c r="F5670" s="209">
        <v>0.81</v>
      </c>
      <c r="G5670" s="209">
        <v>0.81</v>
      </c>
      <c r="H5670" s="198"/>
    </row>
    <row r="5671" spans="1:8" ht="15.75" hidden="1" customHeight="1" x14ac:dyDescent="0.25">
      <c r="A5671" s="205" t="s">
        <v>6212</v>
      </c>
      <c r="B5671" s="206">
        <v>95422</v>
      </c>
      <c r="C5671" s="207" t="s">
        <v>6329</v>
      </c>
      <c r="D5671" s="208" t="s">
        <v>6214</v>
      </c>
      <c r="E5671" s="209">
        <v>0</v>
      </c>
      <c r="F5671" s="209">
        <v>107.09</v>
      </c>
      <c r="G5671" s="209">
        <v>107.09</v>
      </c>
      <c r="H5671" s="198"/>
    </row>
    <row r="5672" spans="1:8" ht="15.75" hidden="1" customHeight="1" x14ac:dyDescent="0.25">
      <c r="A5672" s="205" t="s">
        <v>6212</v>
      </c>
      <c r="B5672" s="206">
        <v>95402</v>
      </c>
      <c r="C5672" s="207" t="s">
        <v>6330</v>
      </c>
      <c r="D5672" s="208" t="s">
        <v>2193</v>
      </c>
      <c r="E5672" s="209">
        <v>0</v>
      </c>
      <c r="F5672" s="209">
        <v>1.87</v>
      </c>
      <c r="G5672" s="209">
        <v>1.87</v>
      </c>
      <c r="H5672" s="198"/>
    </row>
    <row r="5673" spans="1:8" ht="15.75" hidden="1" customHeight="1" x14ac:dyDescent="0.25">
      <c r="A5673" s="205" t="s">
        <v>6212</v>
      </c>
      <c r="B5673" s="206">
        <v>95415</v>
      </c>
      <c r="C5673" s="207" t="s">
        <v>6331</v>
      </c>
      <c r="D5673" s="208" t="s">
        <v>6214</v>
      </c>
      <c r="E5673" s="209">
        <v>0</v>
      </c>
      <c r="F5673" s="209">
        <v>247.5</v>
      </c>
      <c r="G5673" s="209">
        <v>247.5</v>
      </c>
      <c r="H5673" s="198"/>
    </row>
    <row r="5674" spans="1:8" ht="15.75" hidden="1" customHeight="1" x14ac:dyDescent="0.25">
      <c r="A5674" s="205" t="s">
        <v>6212</v>
      </c>
      <c r="B5674" s="206">
        <v>95403</v>
      </c>
      <c r="C5674" s="207" t="s">
        <v>6332</v>
      </c>
      <c r="D5674" s="208" t="s">
        <v>2193</v>
      </c>
      <c r="E5674" s="209">
        <v>0</v>
      </c>
      <c r="F5674" s="209">
        <v>2.08</v>
      </c>
      <c r="G5674" s="209">
        <v>2.08</v>
      </c>
      <c r="H5674" s="198"/>
    </row>
    <row r="5675" spans="1:8" ht="15.75" hidden="1" customHeight="1" x14ac:dyDescent="0.25">
      <c r="A5675" s="205" t="s">
        <v>6212</v>
      </c>
      <c r="B5675" s="206">
        <v>95417</v>
      </c>
      <c r="C5675" s="207" t="s">
        <v>6333</v>
      </c>
      <c r="D5675" s="208" t="s">
        <v>6214</v>
      </c>
      <c r="E5675" s="209">
        <v>0</v>
      </c>
      <c r="F5675" s="209">
        <v>276.12</v>
      </c>
      <c r="G5675" s="209">
        <v>276.12</v>
      </c>
      <c r="H5675" s="198"/>
    </row>
    <row r="5676" spans="1:8" ht="15.75" hidden="1" customHeight="1" x14ac:dyDescent="0.25">
      <c r="A5676" s="205" t="s">
        <v>6212</v>
      </c>
      <c r="B5676" s="206">
        <v>95404</v>
      </c>
      <c r="C5676" s="207" t="s">
        <v>6334</v>
      </c>
      <c r="D5676" s="208" t="s">
        <v>2193</v>
      </c>
      <c r="E5676" s="209">
        <v>0</v>
      </c>
      <c r="F5676" s="209">
        <v>2.2999999999999998</v>
      </c>
      <c r="G5676" s="209">
        <v>2.2999999999999998</v>
      </c>
      <c r="H5676" s="198"/>
    </row>
    <row r="5677" spans="1:8" ht="15.75" hidden="1" customHeight="1" x14ac:dyDescent="0.25">
      <c r="A5677" s="205" t="s">
        <v>6212</v>
      </c>
      <c r="B5677" s="206">
        <v>95418</v>
      </c>
      <c r="C5677" s="207" t="s">
        <v>6335</v>
      </c>
      <c r="D5677" s="208" t="s">
        <v>6214</v>
      </c>
      <c r="E5677" s="209">
        <v>0</v>
      </c>
      <c r="F5677" s="209">
        <v>305</v>
      </c>
      <c r="G5677" s="209">
        <v>305</v>
      </c>
      <c r="H5677" s="198"/>
    </row>
    <row r="5678" spans="1:8" ht="15.75" hidden="1" customHeight="1" x14ac:dyDescent="0.25">
      <c r="A5678" s="205" t="s">
        <v>6212</v>
      </c>
      <c r="B5678" s="206">
        <v>95337</v>
      </c>
      <c r="C5678" s="207" t="s">
        <v>6336</v>
      </c>
      <c r="D5678" s="208" t="s">
        <v>2193</v>
      </c>
      <c r="E5678" s="209">
        <v>0</v>
      </c>
      <c r="F5678" s="209">
        <v>0.28999999999999998</v>
      </c>
      <c r="G5678" s="209">
        <v>0.28999999999999998</v>
      </c>
      <c r="H5678" s="198"/>
    </row>
    <row r="5679" spans="1:8" ht="15.75" hidden="1" customHeight="1" x14ac:dyDescent="0.25">
      <c r="A5679" s="205" t="s">
        <v>6212</v>
      </c>
      <c r="B5679" s="206">
        <v>101322</v>
      </c>
      <c r="C5679" s="207" t="s">
        <v>6337</v>
      </c>
      <c r="D5679" s="208" t="s">
        <v>6214</v>
      </c>
      <c r="E5679" s="209">
        <v>0</v>
      </c>
      <c r="F5679" s="209">
        <v>39.33</v>
      </c>
      <c r="G5679" s="209">
        <v>39.33</v>
      </c>
      <c r="H5679" s="198"/>
    </row>
    <row r="5680" spans="1:8" ht="15.75" hidden="1" customHeight="1" x14ac:dyDescent="0.25">
      <c r="A5680" s="205" t="s">
        <v>6212</v>
      </c>
      <c r="B5680" s="206">
        <v>95338</v>
      </c>
      <c r="C5680" s="207" t="s">
        <v>6338</v>
      </c>
      <c r="D5680" s="208" t="s">
        <v>2193</v>
      </c>
      <c r="E5680" s="209">
        <v>0</v>
      </c>
      <c r="F5680" s="209">
        <v>0.56999999999999995</v>
      </c>
      <c r="G5680" s="209">
        <v>0.56999999999999995</v>
      </c>
      <c r="H5680" s="198"/>
    </row>
    <row r="5681" spans="1:8" ht="15.75" hidden="1" customHeight="1" x14ac:dyDescent="0.25">
      <c r="A5681" s="205" t="s">
        <v>6212</v>
      </c>
      <c r="B5681" s="206">
        <v>101323</v>
      </c>
      <c r="C5681" s="207" t="s">
        <v>6339</v>
      </c>
      <c r="D5681" s="208" t="s">
        <v>6214</v>
      </c>
      <c r="E5681" s="209">
        <v>0</v>
      </c>
      <c r="F5681" s="209">
        <v>75.81</v>
      </c>
      <c r="G5681" s="209">
        <v>75.81</v>
      </c>
      <c r="H5681" s="198"/>
    </row>
    <row r="5682" spans="1:8" ht="15.75" hidden="1" customHeight="1" x14ac:dyDescent="0.25">
      <c r="A5682" s="205" t="s">
        <v>6212</v>
      </c>
      <c r="B5682" s="206">
        <v>101325</v>
      </c>
      <c r="C5682" s="207" t="s">
        <v>6340</v>
      </c>
      <c r="D5682" s="208" t="s">
        <v>6214</v>
      </c>
      <c r="E5682" s="209">
        <v>0</v>
      </c>
      <c r="F5682" s="209">
        <v>56.24</v>
      </c>
      <c r="G5682" s="209">
        <v>56.24</v>
      </c>
      <c r="H5682" s="198"/>
    </row>
    <row r="5683" spans="1:8" ht="15.75" hidden="1" customHeight="1" x14ac:dyDescent="0.25">
      <c r="A5683" s="205" t="s">
        <v>6212</v>
      </c>
      <c r="B5683" s="206">
        <v>95390</v>
      </c>
      <c r="C5683" s="207" t="s">
        <v>6341</v>
      </c>
      <c r="D5683" s="208" t="s">
        <v>2193</v>
      </c>
      <c r="E5683" s="209">
        <v>0</v>
      </c>
      <c r="F5683" s="209">
        <v>0.1</v>
      </c>
      <c r="G5683" s="209">
        <v>0.1</v>
      </c>
      <c r="H5683" s="198"/>
    </row>
    <row r="5684" spans="1:8" ht="15.75" hidden="1" customHeight="1" x14ac:dyDescent="0.25">
      <c r="A5684" s="205" t="s">
        <v>6212</v>
      </c>
      <c r="B5684" s="206">
        <v>101326</v>
      </c>
      <c r="C5684" s="207" t="s">
        <v>6342</v>
      </c>
      <c r="D5684" s="208" t="s">
        <v>6214</v>
      </c>
      <c r="E5684" s="209">
        <v>0</v>
      </c>
      <c r="F5684" s="209">
        <v>13.77</v>
      </c>
      <c r="G5684" s="209">
        <v>13.77</v>
      </c>
      <c r="H5684" s="198"/>
    </row>
    <row r="5685" spans="1:8" ht="15.75" hidden="1" customHeight="1" x14ac:dyDescent="0.25">
      <c r="A5685" s="205" t="s">
        <v>6212</v>
      </c>
      <c r="B5685" s="206">
        <v>95340</v>
      </c>
      <c r="C5685" s="207" t="s">
        <v>6343</v>
      </c>
      <c r="D5685" s="208" t="s">
        <v>2193</v>
      </c>
      <c r="E5685" s="209">
        <v>0</v>
      </c>
      <c r="F5685" s="209">
        <v>0.36</v>
      </c>
      <c r="G5685" s="209">
        <v>0.36</v>
      </c>
      <c r="H5685" s="198"/>
    </row>
    <row r="5686" spans="1:8" ht="15.75" hidden="1" customHeight="1" x14ac:dyDescent="0.25">
      <c r="A5686" s="205" t="s">
        <v>6212</v>
      </c>
      <c r="B5686" s="206">
        <v>101330</v>
      </c>
      <c r="C5686" s="207" t="s">
        <v>6344</v>
      </c>
      <c r="D5686" s="208" t="s">
        <v>6214</v>
      </c>
      <c r="E5686" s="209">
        <v>0</v>
      </c>
      <c r="F5686" s="209">
        <v>48.42</v>
      </c>
      <c r="G5686" s="209">
        <v>48.42</v>
      </c>
      <c r="H5686" s="198"/>
    </row>
    <row r="5687" spans="1:8" ht="15.75" hidden="1" customHeight="1" x14ac:dyDescent="0.25">
      <c r="A5687" s="205" t="s">
        <v>6212</v>
      </c>
      <c r="B5687" s="206">
        <v>101331</v>
      </c>
      <c r="C5687" s="207" t="s">
        <v>6345</v>
      </c>
      <c r="D5687" s="208" t="s">
        <v>6214</v>
      </c>
      <c r="E5687" s="209">
        <v>0</v>
      </c>
      <c r="F5687" s="209">
        <v>60</v>
      </c>
      <c r="G5687" s="209">
        <v>60</v>
      </c>
      <c r="H5687" s="198"/>
    </row>
    <row r="5688" spans="1:8" ht="15.75" hidden="1" customHeight="1" x14ac:dyDescent="0.25">
      <c r="A5688" s="205" t="s">
        <v>6212</v>
      </c>
      <c r="B5688" s="206">
        <v>95341</v>
      </c>
      <c r="C5688" s="207" t="s">
        <v>6346</v>
      </c>
      <c r="D5688" s="208" t="s">
        <v>2193</v>
      </c>
      <c r="E5688" s="209">
        <v>0</v>
      </c>
      <c r="F5688" s="209">
        <v>0.45</v>
      </c>
      <c r="G5688" s="209">
        <v>0.45</v>
      </c>
      <c r="H5688" s="198"/>
    </row>
    <row r="5689" spans="1:8" ht="15.75" hidden="1" customHeight="1" x14ac:dyDescent="0.25">
      <c r="A5689" s="205" t="s">
        <v>6212</v>
      </c>
      <c r="B5689" s="206">
        <v>95339</v>
      </c>
      <c r="C5689" s="207" t="s">
        <v>6347</v>
      </c>
      <c r="D5689" s="208" t="s">
        <v>2193</v>
      </c>
      <c r="E5689" s="209">
        <v>0</v>
      </c>
      <c r="F5689" s="209">
        <v>0.48</v>
      </c>
      <c r="G5689" s="209">
        <v>0.48</v>
      </c>
      <c r="H5689" s="198"/>
    </row>
    <row r="5690" spans="1:8" ht="15.75" hidden="1" customHeight="1" x14ac:dyDescent="0.25">
      <c r="A5690" s="205" t="s">
        <v>6212</v>
      </c>
      <c r="B5690" s="206">
        <v>101329</v>
      </c>
      <c r="C5690" s="207" t="s">
        <v>6348</v>
      </c>
      <c r="D5690" s="208" t="s">
        <v>6214</v>
      </c>
      <c r="E5690" s="209">
        <v>0</v>
      </c>
      <c r="F5690" s="209">
        <v>63.56</v>
      </c>
      <c r="G5690" s="209">
        <v>63.56</v>
      </c>
      <c r="H5690" s="198"/>
    </row>
    <row r="5691" spans="1:8" ht="15.75" hidden="1" customHeight="1" x14ac:dyDescent="0.25">
      <c r="A5691" s="205" t="s">
        <v>6212</v>
      </c>
      <c r="B5691" s="206">
        <v>95342</v>
      </c>
      <c r="C5691" s="207" t="s">
        <v>6349</v>
      </c>
      <c r="D5691" s="208" t="s">
        <v>2193</v>
      </c>
      <c r="E5691" s="209">
        <v>0</v>
      </c>
      <c r="F5691" s="209">
        <v>0.26</v>
      </c>
      <c r="G5691" s="209">
        <v>0.26</v>
      </c>
      <c r="H5691" s="198"/>
    </row>
    <row r="5692" spans="1:8" ht="15.75" hidden="1" customHeight="1" x14ac:dyDescent="0.25">
      <c r="A5692" s="205" t="s">
        <v>6212</v>
      </c>
      <c r="B5692" s="206">
        <v>101333</v>
      </c>
      <c r="C5692" s="207" t="s">
        <v>6350</v>
      </c>
      <c r="D5692" s="208" t="s">
        <v>6214</v>
      </c>
      <c r="E5692" s="209">
        <v>0</v>
      </c>
      <c r="F5692" s="209">
        <v>35.29</v>
      </c>
      <c r="G5692" s="209">
        <v>35.29</v>
      </c>
      <c r="H5692" s="198"/>
    </row>
    <row r="5693" spans="1:8" ht="15.75" hidden="1" customHeight="1" x14ac:dyDescent="0.25">
      <c r="A5693" s="205" t="s">
        <v>6212</v>
      </c>
      <c r="B5693" s="206">
        <v>100298</v>
      </c>
      <c r="C5693" s="207" t="s">
        <v>6351</v>
      </c>
      <c r="D5693" s="208" t="s">
        <v>2193</v>
      </c>
      <c r="E5693" s="209">
        <v>0</v>
      </c>
      <c r="F5693" s="209">
        <v>0.83</v>
      </c>
      <c r="G5693" s="209">
        <v>0.83</v>
      </c>
      <c r="H5693" s="198"/>
    </row>
    <row r="5694" spans="1:8" ht="15.75" hidden="1" customHeight="1" x14ac:dyDescent="0.25">
      <c r="A5694" s="205" t="s">
        <v>6212</v>
      </c>
      <c r="B5694" s="206">
        <v>101334</v>
      </c>
      <c r="C5694" s="207" t="s">
        <v>6352</v>
      </c>
      <c r="D5694" s="208" t="s">
        <v>6214</v>
      </c>
      <c r="E5694" s="209">
        <v>0</v>
      </c>
      <c r="F5694" s="209">
        <v>109.82</v>
      </c>
      <c r="G5694" s="209">
        <v>109.82</v>
      </c>
      <c r="H5694" s="198"/>
    </row>
    <row r="5695" spans="1:8" ht="15.75" hidden="1" customHeight="1" x14ac:dyDescent="0.25">
      <c r="A5695" s="205" t="s">
        <v>6212</v>
      </c>
      <c r="B5695" s="206">
        <v>95405</v>
      </c>
      <c r="C5695" s="207" t="s">
        <v>6353</v>
      </c>
      <c r="D5695" s="208" t="s">
        <v>2193</v>
      </c>
      <c r="E5695" s="209">
        <v>0</v>
      </c>
      <c r="F5695" s="209">
        <v>1.38</v>
      </c>
      <c r="G5695" s="209">
        <v>1.38</v>
      </c>
      <c r="H5695" s="198"/>
    </row>
    <row r="5696" spans="1:8" ht="15.75" hidden="1" customHeight="1" x14ac:dyDescent="0.25">
      <c r="A5696" s="205" t="s">
        <v>6212</v>
      </c>
      <c r="B5696" s="206">
        <v>95423</v>
      </c>
      <c r="C5696" s="207" t="s">
        <v>6354</v>
      </c>
      <c r="D5696" s="208" t="s">
        <v>6214</v>
      </c>
      <c r="E5696" s="209">
        <v>0</v>
      </c>
      <c r="F5696" s="209">
        <v>183.41</v>
      </c>
      <c r="G5696" s="209">
        <v>183.41</v>
      </c>
      <c r="H5696" s="198"/>
    </row>
    <row r="5697" spans="1:8" ht="15.75" hidden="1" customHeight="1" x14ac:dyDescent="0.25">
      <c r="A5697" s="205" t="s">
        <v>6212</v>
      </c>
      <c r="B5697" s="206">
        <v>95343</v>
      </c>
      <c r="C5697" s="207" t="s">
        <v>6355</v>
      </c>
      <c r="D5697" s="208" t="s">
        <v>2193</v>
      </c>
      <c r="E5697" s="209">
        <v>0</v>
      </c>
      <c r="F5697" s="209">
        <v>0.42</v>
      </c>
      <c r="G5697" s="209">
        <v>0.42</v>
      </c>
      <c r="H5697" s="198"/>
    </row>
    <row r="5698" spans="1:8" ht="15.75" hidden="1" customHeight="1" x14ac:dyDescent="0.25">
      <c r="A5698" s="205" t="s">
        <v>6212</v>
      </c>
      <c r="B5698" s="206">
        <v>100295</v>
      </c>
      <c r="C5698" s="207" t="s">
        <v>6356</v>
      </c>
      <c r="D5698" s="208" t="s">
        <v>2193</v>
      </c>
      <c r="E5698" s="209">
        <v>0</v>
      </c>
      <c r="F5698" s="209">
        <v>0.7</v>
      </c>
      <c r="G5698" s="209">
        <v>0.7</v>
      </c>
      <c r="H5698" s="198"/>
    </row>
    <row r="5699" spans="1:8" ht="15.75" hidden="1" customHeight="1" x14ac:dyDescent="0.25">
      <c r="A5699" s="205" t="s">
        <v>6212</v>
      </c>
      <c r="B5699" s="206">
        <v>101303</v>
      </c>
      <c r="C5699" s="207" t="s">
        <v>6357</v>
      </c>
      <c r="D5699" s="208" t="s">
        <v>6214</v>
      </c>
      <c r="E5699" s="209">
        <v>0</v>
      </c>
      <c r="F5699" s="209">
        <v>93.48</v>
      </c>
      <c r="G5699" s="209">
        <v>93.48</v>
      </c>
      <c r="H5699" s="198"/>
    </row>
    <row r="5700" spans="1:8" ht="15.75" hidden="1" customHeight="1" x14ac:dyDescent="0.25">
      <c r="A5700" s="205" t="s">
        <v>6212</v>
      </c>
      <c r="B5700" s="206">
        <v>95344</v>
      </c>
      <c r="C5700" s="207" t="s">
        <v>6358</v>
      </c>
      <c r="D5700" s="208" t="s">
        <v>2193</v>
      </c>
      <c r="E5700" s="209">
        <v>0</v>
      </c>
      <c r="F5700" s="209">
        <v>0.27</v>
      </c>
      <c r="G5700" s="209">
        <v>0.27</v>
      </c>
      <c r="H5700" s="198"/>
    </row>
    <row r="5701" spans="1:8" ht="15.75" hidden="1" customHeight="1" x14ac:dyDescent="0.25">
      <c r="A5701" s="205" t="s">
        <v>6212</v>
      </c>
      <c r="B5701" s="206">
        <v>101308</v>
      </c>
      <c r="C5701" s="207" t="s">
        <v>6359</v>
      </c>
      <c r="D5701" s="208" t="s">
        <v>6214</v>
      </c>
      <c r="E5701" s="209">
        <v>0</v>
      </c>
      <c r="F5701" s="209">
        <v>36.4</v>
      </c>
      <c r="G5701" s="209">
        <v>36.4</v>
      </c>
      <c r="H5701" s="198"/>
    </row>
    <row r="5702" spans="1:8" ht="15.75" hidden="1" customHeight="1" x14ac:dyDescent="0.25">
      <c r="A5702" s="205" t="s">
        <v>6212</v>
      </c>
      <c r="B5702" s="206">
        <v>101320</v>
      </c>
      <c r="C5702" s="207" t="s">
        <v>6360</v>
      </c>
      <c r="D5702" s="208" t="s">
        <v>6214</v>
      </c>
      <c r="E5702" s="209">
        <v>0</v>
      </c>
      <c r="F5702" s="209">
        <v>31.66</v>
      </c>
      <c r="G5702" s="209">
        <v>31.66</v>
      </c>
      <c r="H5702" s="198"/>
    </row>
    <row r="5703" spans="1:8" ht="15.75" hidden="1" customHeight="1" x14ac:dyDescent="0.25">
      <c r="A5703" s="205" t="s">
        <v>6212</v>
      </c>
      <c r="B5703" s="206">
        <v>95345</v>
      </c>
      <c r="C5703" s="207" t="s">
        <v>6361</v>
      </c>
      <c r="D5703" s="208" t="s">
        <v>2193</v>
      </c>
      <c r="E5703" s="209">
        <v>0</v>
      </c>
      <c r="F5703" s="209">
        <v>0.88</v>
      </c>
      <c r="G5703" s="209">
        <v>0.88</v>
      </c>
      <c r="H5703" s="198"/>
    </row>
    <row r="5704" spans="1:8" ht="15.75" hidden="1" customHeight="1" x14ac:dyDescent="0.25">
      <c r="A5704" s="205" t="s">
        <v>6212</v>
      </c>
      <c r="B5704" s="206">
        <v>95346</v>
      </c>
      <c r="C5704" s="207" t="s">
        <v>6362</v>
      </c>
      <c r="D5704" s="208" t="s">
        <v>2193</v>
      </c>
      <c r="E5704" s="209">
        <v>0</v>
      </c>
      <c r="F5704" s="209">
        <v>0.14000000000000001</v>
      </c>
      <c r="G5704" s="209">
        <v>0.14000000000000001</v>
      </c>
      <c r="H5704" s="198"/>
    </row>
    <row r="5705" spans="1:8" ht="15.75" hidden="1" customHeight="1" x14ac:dyDescent="0.25">
      <c r="A5705" s="205" t="s">
        <v>6212</v>
      </c>
      <c r="B5705" s="206">
        <v>101324</v>
      </c>
      <c r="C5705" s="207" t="s">
        <v>6363</v>
      </c>
      <c r="D5705" s="208" t="s">
        <v>6214</v>
      </c>
      <c r="E5705" s="209">
        <v>0</v>
      </c>
      <c r="F5705" s="209">
        <v>19.420000000000002</v>
      </c>
      <c r="G5705" s="209">
        <v>19.420000000000002</v>
      </c>
      <c r="H5705" s="198"/>
    </row>
    <row r="5706" spans="1:8" ht="15.75" hidden="1" customHeight="1" x14ac:dyDescent="0.25">
      <c r="A5706" s="205" t="s">
        <v>6212</v>
      </c>
      <c r="B5706" s="206">
        <v>101328</v>
      </c>
      <c r="C5706" s="207" t="s">
        <v>6364</v>
      </c>
      <c r="D5706" s="208" t="s">
        <v>6214</v>
      </c>
      <c r="E5706" s="209">
        <v>0</v>
      </c>
      <c r="F5706" s="209">
        <v>23.24</v>
      </c>
      <c r="G5706" s="209">
        <v>23.24</v>
      </c>
      <c r="H5706" s="198"/>
    </row>
    <row r="5707" spans="1:8" ht="15.75" hidden="1" customHeight="1" x14ac:dyDescent="0.25">
      <c r="A5707" s="205" t="s">
        <v>6212</v>
      </c>
      <c r="B5707" s="206">
        <v>95347</v>
      </c>
      <c r="C5707" s="207" t="s">
        <v>6365</v>
      </c>
      <c r="D5707" s="208" t="s">
        <v>2193</v>
      </c>
      <c r="E5707" s="209">
        <v>0</v>
      </c>
      <c r="F5707" s="209">
        <v>0.14000000000000001</v>
      </c>
      <c r="G5707" s="209">
        <v>0.14000000000000001</v>
      </c>
      <c r="H5707" s="198"/>
    </row>
    <row r="5708" spans="1:8" ht="15.75" hidden="1" customHeight="1" x14ac:dyDescent="0.25">
      <c r="A5708" s="205" t="s">
        <v>6212</v>
      </c>
      <c r="B5708" s="206">
        <v>95348</v>
      </c>
      <c r="C5708" s="207" t="s">
        <v>6366</v>
      </c>
      <c r="D5708" s="208" t="s">
        <v>2193</v>
      </c>
      <c r="E5708" s="209">
        <v>0</v>
      </c>
      <c r="F5708" s="209">
        <v>0.17</v>
      </c>
      <c r="G5708" s="209">
        <v>0.17</v>
      </c>
      <c r="H5708" s="198"/>
    </row>
    <row r="5709" spans="1:8" ht="15.75" hidden="1" customHeight="1" x14ac:dyDescent="0.25">
      <c r="A5709" s="205" t="s">
        <v>6212</v>
      </c>
      <c r="B5709" s="206">
        <v>101332</v>
      </c>
      <c r="C5709" s="207" t="s">
        <v>6367</v>
      </c>
      <c r="D5709" s="208" t="s">
        <v>6214</v>
      </c>
      <c r="E5709" s="209">
        <v>0</v>
      </c>
      <c r="F5709" s="209">
        <v>16.600000000000001</v>
      </c>
      <c r="G5709" s="209">
        <v>16.600000000000001</v>
      </c>
      <c r="H5709" s="198"/>
    </row>
    <row r="5710" spans="1:8" ht="15.75" hidden="1" customHeight="1" x14ac:dyDescent="0.25">
      <c r="A5710" s="205" t="s">
        <v>6212</v>
      </c>
      <c r="B5710" s="206">
        <v>95349</v>
      </c>
      <c r="C5710" s="207" t="s">
        <v>6368</v>
      </c>
      <c r="D5710" s="208" t="s">
        <v>2193</v>
      </c>
      <c r="E5710" s="209">
        <v>0</v>
      </c>
      <c r="F5710" s="209">
        <v>0.12</v>
      </c>
      <c r="G5710" s="209">
        <v>0.12</v>
      </c>
      <c r="H5710" s="198"/>
    </row>
    <row r="5711" spans="1:8" ht="15.75" hidden="1" customHeight="1" x14ac:dyDescent="0.25">
      <c r="A5711" s="205" t="s">
        <v>6212</v>
      </c>
      <c r="B5711" s="206">
        <v>101336</v>
      </c>
      <c r="C5711" s="207" t="s">
        <v>6369</v>
      </c>
      <c r="D5711" s="208" t="s">
        <v>6214</v>
      </c>
      <c r="E5711" s="209">
        <v>0</v>
      </c>
      <c r="F5711" s="209">
        <v>67.47</v>
      </c>
      <c r="G5711" s="209">
        <v>67.47</v>
      </c>
      <c r="H5711" s="198"/>
    </row>
    <row r="5712" spans="1:8" ht="15.75" hidden="1" customHeight="1" x14ac:dyDescent="0.25">
      <c r="A5712" s="205" t="s">
        <v>6212</v>
      </c>
      <c r="B5712" s="206">
        <v>95351</v>
      </c>
      <c r="C5712" s="207" t="s">
        <v>6370</v>
      </c>
      <c r="D5712" s="208" t="s">
        <v>2193</v>
      </c>
      <c r="E5712" s="209">
        <v>0</v>
      </c>
      <c r="F5712" s="209">
        <v>0.51</v>
      </c>
      <c r="G5712" s="209">
        <v>0.51</v>
      </c>
      <c r="H5712" s="198"/>
    </row>
    <row r="5713" spans="1:8" ht="15.75" hidden="1" customHeight="1" x14ac:dyDescent="0.25">
      <c r="A5713" s="205" t="s">
        <v>6212</v>
      </c>
      <c r="B5713" s="206">
        <v>95352</v>
      </c>
      <c r="C5713" s="207" t="s">
        <v>6371</v>
      </c>
      <c r="D5713" s="208" t="s">
        <v>2193</v>
      </c>
      <c r="E5713" s="209">
        <v>0</v>
      </c>
      <c r="F5713" s="209">
        <v>0.17</v>
      </c>
      <c r="G5713" s="209">
        <v>0.17</v>
      </c>
      <c r="H5713" s="198"/>
    </row>
    <row r="5714" spans="1:8" ht="15.75" hidden="1" customHeight="1" x14ac:dyDescent="0.25">
      <c r="A5714" s="205" t="s">
        <v>6212</v>
      </c>
      <c r="B5714" s="206">
        <v>101337</v>
      </c>
      <c r="C5714" s="207" t="s">
        <v>6372</v>
      </c>
      <c r="D5714" s="208" t="s">
        <v>6214</v>
      </c>
      <c r="E5714" s="209">
        <v>0</v>
      </c>
      <c r="F5714" s="209">
        <v>22.77</v>
      </c>
      <c r="G5714" s="209">
        <v>22.77</v>
      </c>
      <c r="H5714" s="198"/>
    </row>
    <row r="5715" spans="1:8" ht="15.75" hidden="1" customHeight="1" x14ac:dyDescent="0.25">
      <c r="A5715" s="205" t="s">
        <v>6212</v>
      </c>
      <c r="B5715" s="206">
        <v>101338</v>
      </c>
      <c r="C5715" s="207" t="s">
        <v>6373</v>
      </c>
      <c r="D5715" s="208" t="s">
        <v>6214</v>
      </c>
      <c r="E5715" s="209">
        <v>0</v>
      </c>
      <c r="F5715" s="209">
        <v>29.9</v>
      </c>
      <c r="G5715" s="209">
        <v>29.9</v>
      </c>
      <c r="H5715" s="198"/>
    </row>
    <row r="5716" spans="1:8" ht="15.75" hidden="1" customHeight="1" x14ac:dyDescent="0.25">
      <c r="A5716" s="205" t="s">
        <v>6212</v>
      </c>
      <c r="B5716" s="206">
        <v>95354</v>
      </c>
      <c r="C5716" s="207" t="s">
        <v>6374</v>
      </c>
      <c r="D5716" s="208" t="s">
        <v>2193</v>
      </c>
      <c r="E5716" s="209">
        <v>0</v>
      </c>
      <c r="F5716" s="209">
        <v>0.21</v>
      </c>
      <c r="G5716" s="209">
        <v>0.21</v>
      </c>
      <c r="H5716" s="198"/>
    </row>
    <row r="5717" spans="1:8" ht="15.75" hidden="1" customHeight="1" x14ac:dyDescent="0.25">
      <c r="A5717" s="205" t="s">
        <v>6212</v>
      </c>
      <c r="B5717" s="206">
        <v>101339</v>
      </c>
      <c r="C5717" s="207" t="s">
        <v>6375</v>
      </c>
      <c r="D5717" s="208" t="s">
        <v>6214</v>
      </c>
      <c r="E5717" s="209">
        <v>0</v>
      </c>
      <c r="F5717" s="209">
        <v>28.97</v>
      </c>
      <c r="G5717" s="209">
        <v>28.97</v>
      </c>
      <c r="H5717" s="198"/>
    </row>
    <row r="5718" spans="1:8" ht="15.75" hidden="1" customHeight="1" x14ac:dyDescent="0.25">
      <c r="A5718" s="205" t="s">
        <v>6212</v>
      </c>
      <c r="B5718" s="206">
        <v>101340</v>
      </c>
      <c r="C5718" s="207" t="s">
        <v>6376</v>
      </c>
      <c r="D5718" s="208" t="s">
        <v>6214</v>
      </c>
      <c r="E5718" s="209">
        <v>0</v>
      </c>
      <c r="F5718" s="209">
        <v>27.21</v>
      </c>
      <c r="G5718" s="209">
        <v>27.21</v>
      </c>
      <c r="H5718" s="198"/>
    </row>
    <row r="5719" spans="1:8" ht="15.75" hidden="1" customHeight="1" x14ac:dyDescent="0.25">
      <c r="A5719" s="205" t="s">
        <v>6212</v>
      </c>
      <c r="B5719" s="206">
        <v>95389</v>
      </c>
      <c r="C5719" s="207" t="s">
        <v>6377</v>
      </c>
      <c r="D5719" s="208" t="s">
        <v>2193</v>
      </c>
      <c r="E5719" s="209">
        <v>0</v>
      </c>
      <c r="F5719" s="209">
        <v>0.2</v>
      </c>
      <c r="G5719" s="209">
        <v>0.2</v>
      </c>
      <c r="H5719" s="198"/>
    </row>
    <row r="5720" spans="1:8" ht="15.75" hidden="1" customHeight="1" x14ac:dyDescent="0.25">
      <c r="A5720" s="205" t="s">
        <v>6212</v>
      </c>
      <c r="B5720" s="206">
        <v>101341</v>
      </c>
      <c r="C5720" s="207" t="s">
        <v>6378</v>
      </c>
      <c r="D5720" s="208" t="s">
        <v>6214</v>
      </c>
      <c r="E5720" s="209">
        <v>0</v>
      </c>
      <c r="F5720" s="209">
        <v>20.96</v>
      </c>
      <c r="G5720" s="209">
        <v>20.96</v>
      </c>
      <c r="H5720" s="198"/>
    </row>
    <row r="5721" spans="1:8" ht="15.75" hidden="1" customHeight="1" x14ac:dyDescent="0.25">
      <c r="A5721" s="205" t="s">
        <v>6212</v>
      </c>
      <c r="B5721" s="206">
        <v>95355</v>
      </c>
      <c r="C5721" s="207" t="s">
        <v>6379</v>
      </c>
      <c r="D5721" s="208" t="s">
        <v>2193</v>
      </c>
      <c r="E5721" s="209">
        <v>0</v>
      </c>
      <c r="F5721" s="209">
        <v>0.15</v>
      </c>
      <c r="G5721" s="209">
        <v>0.15</v>
      </c>
      <c r="H5721" s="198"/>
    </row>
    <row r="5722" spans="1:8" ht="15.75" hidden="1" customHeight="1" x14ac:dyDescent="0.25">
      <c r="A5722" s="205" t="s">
        <v>6212</v>
      </c>
      <c r="B5722" s="206">
        <v>95356</v>
      </c>
      <c r="C5722" s="207" t="s">
        <v>6380</v>
      </c>
      <c r="D5722" s="208" t="s">
        <v>2193</v>
      </c>
      <c r="E5722" s="209">
        <v>0</v>
      </c>
      <c r="F5722" s="209">
        <v>0.21</v>
      </c>
      <c r="G5722" s="209">
        <v>0.21</v>
      </c>
      <c r="H5722" s="198"/>
    </row>
    <row r="5723" spans="1:8" ht="15.75" hidden="1" customHeight="1" x14ac:dyDescent="0.25">
      <c r="A5723" s="205" t="s">
        <v>6212</v>
      </c>
      <c r="B5723" s="206">
        <v>101342</v>
      </c>
      <c r="C5723" s="207" t="s">
        <v>6381</v>
      </c>
      <c r="D5723" s="208" t="s">
        <v>6214</v>
      </c>
      <c r="E5723" s="209">
        <v>0</v>
      </c>
      <c r="F5723" s="209">
        <v>28.97</v>
      </c>
      <c r="G5723" s="209">
        <v>28.97</v>
      </c>
      <c r="H5723" s="198"/>
    </row>
    <row r="5724" spans="1:8" ht="15.75" hidden="1" customHeight="1" x14ac:dyDescent="0.25">
      <c r="A5724" s="205" t="s">
        <v>6212</v>
      </c>
      <c r="B5724" s="206">
        <v>95357</v>
      </c>
      <c r="C5724" s="207" t="s">
        <v>6382</v>
      </c>
      <c r="D5724" s="208" t="s">
        <v>2193</v>
      </c>
      <c r="E5724" s="209">
        <v>0</v>
      </c>
      <c r="F5724" s="209">
        <v>0.32</v>
      </c>
      <c r="G5724" s="209">
        <v>0.32</v>
      </c>
      <c r="H5724" s="198"/>
    </row>
    <row r="5725" spans="1:8" ht="15.75" hidden="1" customHeight="1" x14ac:dyDescent="0.25">
      <c r="A5725" s="205" t="s">
        <v>6212</v>
      </c>
      <c r="B5725" s="206">
        <v>101343</v>
      </c>
      <c r="C5725" s="207" t="s">
        <v>6383</v>
      </c>
      <c r="D5725" s="208" t="s">
        <v>6214</v>
      </c>
      <c r="E5725" s="209">
        <v>0</v>
      </c>
      <c r="F5725" s="209">
        <v>42.41</v>
      </c>
      <c r="G5725" s="209">
        <v>42.41</v>
      </c>
      <c r="H5725" s="198"/>
    </row>
    <row r="5726" spans="1:8" ht="15.75" hidden="1" customHeight="1" x14ac:dyDescent="0.25">
      <c r="A5726" s="205" t="s">
        <v>6212</v>
      </c>
      <c r="B5726" s="206">
        <v>95358</v>
      </c>
      <c r="C5726" s="207" t="s">
        <v>6384</v>
      </c>
      <c r="D5726" s="208" t="s">
        <v>2193</v>
      </c>
      <c r="E5726" s="209">
        <v>0</v>
      </c>
      <c r="F5726" s="209">
        <v>0.42</v>
      </c>
      <c r="G5726" s="209">
        <v>0.42</v>
      </c>
      <c r="H5726" s="198"/>
    </row>
    <row r="5727" spans="1:8" ht="15.75" hidden="1" customHeight="1" x14ac:dyDescent="0.25">
      <c r="A5727" s="205" t="s">
        <v>6212</v>
      </c>
      <c r="B5727" s="206">
        <v>101344</v>
      </c>
      <c r="C5727" s="207" t="s">
        <v>6385</v>
      </c>
      <c r="D5727" s="208" t="s">
        <v>6214</v>
      </c>
      <c r="E5727" s="209">
        <v>0</v>
      </c>
      <c r="F5727" s="209">
        <v>55.99</v>
      </c>
      <c r="G5727" s="209">
        <v>55.99</v>
      </c>
      <c r="H5727" s="198"/>
    </row>
    <row r="5728" spans="1:8" ht="15.75" hidden="1" customHeight="1" x14ac:dyDescent="0.25">
      <c r="A5728" s="205" t="s">
        <v>6212</v>
      </c>
      <c r="B5728" s="206">
        <v>95359</v>
      </c>
      <c r="C5728" s="207" t="s">
        <v>6386</v>
      </c>
      <c r="D5728" s="208" t="s">
        <v>2193</v>
      </c>
      <c r="E5728" s="209">
        <v>0</v>
      </c>
      <c r="F5728" s="209">
        <v>0.57999999999999996</v>
      </c>
      <c r="G5728" s="209">
        <v>0.57999999999999996</v>
      </c>
      <c r="H5728" s="198"/>
    </row>
    <row r="5729" spans="1:8" ht="15.75" hidden="1" customHeight="1" x14ac:dyDescent="0.25">
      <c r="A5729" s="205" t="s">
        <v>6212</v>
      </c>
      <c r="B5729" s="206">
        <v>101345</v>
      </c>
      <c r="C5729" s="207" t="s">
        <v>6387</v>
      </c>
      <c r="D5729" s="208" t="s">
        <v>6214</v>
      </c>
      <c r="E5729" s="209">
        <v>0</v>
      </c>
      <c r="F5729" s="209">
        <v>77.760000000000005</v>
      </c>
      <c r="G5729" s="209">
        <v>77.760000000000005</v>
      </c>
      <c r="H5729" s="198"/>
    </row>
    <row r="5730" spans="1:8" ht="15.75" hidden="1" customHeight="1" x14ac:dyDescent="0.25">
      <c r="A5730" s="205" t="s">
        <v>6212</v>
      </c>
      <c r="B5730" s="206">
        <v>101346</v>
      </c>
      <c r="C5730" s="207" t="s">
        <v>6388</v>
      </c>
      <c r="D5730" s="208" t="s">
        <v>6214</v>
      </c>
      <c r="E5730" s="209">
        <v>0</v>
      </c>
      <c r="F5730" s="209">
        <v>36.64</v>
      </c>
      <c r="G5730" s="209">
        <v>36.64</v>
      </c>
      <c r="H5730" s="198"/>
    </row>
    <row r="5731" spans="1:8" ht="15.75" hidden="1" customHeight="1" x14ac:dyDescent="0.25">
      <c r="A5731" s="205" t="s">
        <v>6212</v>
      </c>
      <c r="B5731" s="206">
        <v>101347</v>
      </c>
      <c r="C5731" s="207" t="s">
        <v>6389</v>
      </c>
      <c r="D5731" s="208" t="s">
        <v>6214</v>
      </c>
      <c r="E5731" s="209">
        <v>0</v>
      </c>
      <c r="F5731" s="209">
        <v>40.57</v>
      </c>
      <c r="G5731" s="209">
        <v>40.57</v>
      </c>
      <c r="H5731" s="198"/>
    </row>
    <row r="5732" spans="1:8" ht="15.75" hidden="1" customHeight="1" x14ac:dyDescent="0.25">
      <c r="A5732" s="205" t="s">
        <v>6212</v>
      </c>
      <c r="B5732" s="206">
        <v>95361</v>
      </c>
      <c r="C5732" s="207" t="s">
        <v>6390</v>
      </c>
      <c r="D5732" s="208" t="s">
        <v>2193</v>
      </c>
      <c r="E5732" s="209">
        <v>0</v>
      </c>
      <c r="F5732" s="209">
        <v>0.19</v>
      </c>
      <c r="G5732" s="209">
        <v>0.19</v>
      </c>
      <c r="H5732" s="198"/>
    </row>
    <row r="5733" spans="1:8" ht="15.75" hidden="1" customHeight="1" x14ac:dyDescent="0.25">
      <c r="A5733" s="205" t="s">
        <v>6212</v>
      </c>
      <c r="B5733" s="206">
        <v>101348</v>
      </c>
      <c r="C5733" s="207" t="s">
        <v>6391</v>
      </c>
      <c r="D5733" s="208" t="s">
        <v>6214</v>
      </c>
      <c r="E5733" s="209">
        <v>0</v>
      </c>
      <c r="F5733" s="209">
        <v>25.95</v>
      </c>
      <c r="G5733" s="209">
        <v>25.95</v>
      </c>
      <c r="H5733" s="198"/>
    </row>
    <row r="5734" spans="1:8" ht="15.75" hidden="1" customHeight="1" x14ac:dyDescent="0.25">
      <c r="A5734" s="205" t="s">
        <v>6212</v>
      </c>
      <c r="B5734" s="206">
        <v>101349</v>
      </c>
      <c r="C5734" s="207" t="s">
        <v>6392</v>
      </c>
      <c r="D5734" s="208" t="s">
        <v>6214</v>
      </c>
      <c r="E5734" s="209">
        <v>0</v>
      </c>
      <c r="F5734" s="209">
        <v>37.32</v>
      </c>
      <c r="G5734" s="209">
        <v>37.32</v>
      </c>
      <c r="H5734" s="198"/>
    </row>
    <row r="5735" spans="1:8" ht="15.75" hidden="1" customHeight="1" x14ac:dyDescent="0.25">
      <c r="A5735" s="205" t="s">
        <v>6212</v>
      </c>
      <c r="B5735" s="206">
        <v>95362</v>
      </c>
      <c r="C5735" s="207" t="s">
        <v>6393</v>
      </c>
      <c r="D5735" s="208" t="s">
        <v>2193</v>
      </c>
      <c r="E5735" s="209">
        <v>0</v>
      </c>
      <c r="F5735" s="209">
        <v>0.28000000000000003</v>
      </c>
      <c r="G5735" s="209">
        <v>0.28000000000000003</v>
      </c>
      <c r="H5735" s="198"/>
    </row>
    <row r="5736" spans="1:8" ht="15.75" hidden="1" customHeight="1" x14ac:dyDescent="0.25">
      <c r="A5736" s="205" t="s">
        <v>6212</v>
      </c>
      <c r="B5736" s="206">
        <v>95363</v>
      </c>
      <c r="C5736" s="207" t="s">
        <v>6394</v>
      </c>
      <c r="D5736" s="208" t="s">
        <v>2193</v>
      </c>
      <c r="E5736" s="209">
        <v>0</v>
      </c>
      <c r="F5736" s="209">
        <v>0.28000000000000003</v>
      </c>
      <c r="G5736" s="209">
        <v>0.28000000000000003</v>
      </c>
      <c r="H5736" s="198"/>
    </row>
    <row r="5737" spans="1:8" ht="15.75" hidden="1" customHeight="1" x14ac:dyDescent="0.25">
      <c r="A5737" s="205" t="s">
        <v>6212</v>
      </c>
      <c r="B5737" s="206">
        <v>101350</v>
      </c>
      <c r="C5737" s="207" t="s">
        <v>6395</v>
      </c>
      <c r="D5737" s="208" t="s">
        <v>6214</v>
      </c>
      <c r="E5737" s="209">
        <v>0</v>
      </c>
      <c r="F5737" s="209">
        <v>37.32</v>
      </c>
      <c r="G5737" s="209">
        <v>37.32</v>
      </c>
      <c r="H5737" s="198"/>
    </row>
    <row r="5738" spans="1:8" ht="15.75" hidden="1" customHeight="1" x14ac:dyDescent="0.25">
      <c r="A5738" s="205" t="s">
        <v>6212</v>
      </c>
      <c r="B5738" s="206">
        <v>95360</v>
      </c>
      <c r="C5738" s="207" t="s">
        <v>6396</v>
      </c>
      <c r="D5738" s="208" t="s">
        <v>2193</v>
      </c>
      <c r="E5738" s="209">
        <v>0</v>
      </c>
      <c r="F5738" s="209">
        <v>0.3</v>
      </c>
      <c r="G5738" s="209">
        <v>0.3</v>
      </c>
      <c r="H5738" s="198"/>
    </row>
    <row r="5739" spans="1:8" ht="15.75" hidden="1" customHeight="1" x14ac:dyDescent="0.25">
      <c r="A5739" s="205" t="s">
        <v>6212</v>
      </c>
      <c r="B5739" s="206">
        <v>101351</v>
      </c>
      <c r="C5739" s="207" t="s">
        <v>6397</v>
      </c>
      <c r="D5739" s="208" t="s">
        <v>6214</v>
      </c>
      <c r="E5739" s="209">
        <v>0</v>
      </c>
      <c r="F5739" s="209">
        <v>28.97</v>
      </c>
      <c r="G5739" s="209">
        <v>28.97</v>
      </c>
      <c r="H5739" s="198"/>
    </row>
    <row r="5740" spans="1:8" ht="15.75" hidden="1" customHeight="1" x14ac:dyDescent="0.25">
      <c r="A5740" s="205" t="s">
        <v>6212</v>
      </c>
      <c r="B5740" s="206">
        <v>95365</v>
      </c>
      <c r="C5740" s="207" t="s">
        <v>6398</v>
      </c>
      <c r="D5740" s="208" t="s">
        <v>2193</v>
      </c>
      <c r="E5740" s="209">
        <v>0</v>
      </c>
      <c r="F5740" s="209">
        <v>0.21</v>
      </c>
      <c r="G5740" s="209">
        <v>0.21</v>
      </c>
      <c r="H5740" s="198"/>
    </row>
    <row r="5741" spans="1:8" ht="15.75" hidden="1" customHeight="1" x14ac:dyDescent="0.25">
      <c r="A5741" s="205" t="s">
        <v>6212</v>
      </c>
      <c r="B5741" s="206">
        <v>101352</v>
      </c>
      <c r="C5741" s="207" t="s">
        <v>6399</v>
      </c>
      <c r="D5741" s="208" t="s">
        <v>6214</v>
      </c>
      <c r="E5741" s="209">
        <v>0</v>
      </c>
      <c r="F5741" s="209">
        <v>28.97</v>
      </c>
      <c r="G5741" s="209">
        <v>28.97</v>
      </c>
      <c r="H5741" s="198"/>
    </row>
    <row r="5742" spans="1:8" ht="15.75" hidden="1" customHeight="1" x14ac:dyDescent="0.25">
      <c r="A5742" s="205" t="s">
        <v>6212</v>
      </c>
      <c r="B5742" s="206">
        <v>95364</v>
      </c>
      <c r="C5742" s="207" t="s">
        <v>6400</v>
      </c>
      <c r="D5742" s="208" t="s">
        <v>2193</v>
      </c>
      <c r="E5742" s="209">
        <v>0</v>
      </c>
      <c r="F5742" s="209">
        <v>0.21</v>
      </c>
      <c r="G5742" s="209">
        <v>0.21</v>
      </c>
      <c r="H5742" s="198"/>
    </row>
    <row r="5743" spans="1:8" ht="15.75" hidden="1" customHeight="1" x14ac:dyDescent="0.25">
      <c r="A5743" s="205" t="s">
        <v>6212</v>
      </c>
      <c r="B5743" s="206">
        <v>95366</v>
      </c>
      <c r="C5743" s="207" t="s">
        <v>6401</v>
      </c>
      <c r="D5743" s="208" t="s">
        <v>2193</v>
      </c>
      <c r="E5743" s="209">
        <v>0</v>
      </c>
      <c r="F5743" s="209">
        <v>0.18</v>
      </c>
      <c r="G5743" s="209">
        <v>0.18</v>
      </c>
      <c r="H5743" s="198"/>
    </row>
    <row r="5744" spans="1:8" ht="15.75" hidden="1" customHeight="1" x14ac:dyDescent="0.25">
      <c r="A5744" s="205" t="s">
        <v>6212</v>
      </c>
      <c r="B5744" s="206">
        <v>101353</v>
      </c>
      <c r="C5744" s="207" t="s">
        <v>6402</v>
      </c>
      <c r="D5744" s="208" t="s">
        <v>6214</v>
      </c>
      <c r="E5744" s="209">
        <v>0</v>
      </c>
      <c r="F5744" s="209">
        <v>24.08</v>
      </c>
      <c r="G5744" s="209">
        <v>24.08</v>
      </c>
      <c r="H5744" s="198"/>
    </row>
    <row r="5745" spans="1:8" ht="15.75" hidden="1" customHeight="1" x14ac:dyDescent="0.25">
      <c r="A5745" s="205" t="s">
        <v>6212</v>
      </c>
      <c r="B5745" s="206">
        <v>95367</v>
      </c>
      <c r="C5745" s="207" t="s">
        <v>6403</v>
      </c>
      <c r="D5745" s="208" t="s">
        <v>2193</v>
      </c>
      <c r="E5745" s="209">
        <v>0</v>
      </c>
      <c r="F5745" s="209">
        <v>0.28000000000000003</v>
      </c>
      <c r="G5745" s="209">
        <v>0.28000000000000003</v>
      </c>
      <c r="H5745" s="198"/>
    </row>
    <row r="5746" spans="1:8" ht="15.75" hidden="1" customHeight="1" x14ac:dyDescent="0.25">
      <c r="A5746" s="205" t="s">
        <v>6212</v>
      </c>
      <c r="B5746" s="206">
        <v>101355</v>
      </c>
      <c r="C5746" s="207" t="s">
        <v>6404</v>
      </c>
      <c r="D5746" s="208" t="s">
        <v>6214</v>
      </c>
      <c r="E5746" s="209">
        <v>0</v>
      </c>
      <c r="F5746" s="209">
        <v>37.32</v>
      </c>
      <c r="G5746" s="209">
        <v>37.32</v>
      </c>
      <c r="H5746" s="198"/>
    </row>
    <row r="5747" spans="1:8" ht="15.75" hidden="1" customHeight="1" x14ac:dyDescent="0.25">
      <c r="A5747" s="205" t="s">
        <v>6212</v>
      </c>
      <c r="B5747" s="206">
        <v>95368</v>
      </c>
      <c r="C5747" s="207" t="s">
        <v>6405</v>
      </c>
      <c r="D5747" s="208" t="s">
        <v>2193</v>
      </c>
      <c r="E5747" s="209">
        <v>0</v>
      </c>
      <c r="F5747" s="209">
        <v>0.27</v>
      </c>
      <c r="G5747" s="209">
        <v>0.27</v>
      </c>
      <c r="H5747" s="198"/>
    </row>
    <row r="5748" spans="1:8" ht="15.75" hidden="1" customHeight="1" x14ac:dyDescent="0.25">
      <c r="A5748" s="205" t="s">
        <v>6212</v>
      </c>
      <c r="B5748" s="206">
        <v>95369</v>
      </c>
      <c r="C5748" s="207" t="s">
        <v>6406</v>
      </c>
      <c r="D5748" s="208" t="s">
        <v>2193</v>
      </c>
      <c r="E5748" s="209">
        <v>0</v>
      </c>
      <c r="F5748" s="209">
        <v>0.22</v>
      </c>
      <c r="G5748" s="209">
        <v>0.22</v>
      </c>
      <c r="H5748" s="198"/>
    </row>
    <row r="5749" spans="1:8" ht="15.75" hidden="1" customHeight="1" x14ac:dyDescent="0.25">
      <c r="A5749" s="205" t="s">
        <v>6212</v>
      </c>
      <c r="B5749" s="206">
        <v>95370</v>
      </c>
      <c r="C5749" s="207" t="s">
        <v>6407</v>
      </c>
      <c r="D5749" s="208" t="s">
        <v>2193</v>
      </c>
      <c r="E5749" s="209">
        <v>0</v>
      </c>
      <c r="F5749" s="209">
        <v>0.39</v>
      </c>
      <c r="G5749" s="209">
        <v>0.39</v>
      </c>
      <c r="H5749" s="198"/>
    </row>
    <row r="5750" spans="1:8" ht="15.75" hidden="1" customHeight="1" x14ac:dyDescent="0.25">
      <c r="A5750" s="205" t="s">
        <v>6212</v>
      </c>
      <c r="B5750" s="206">
        <v>101356</v>
      </c>
      <c r="C5750" s="207" t="s">
        <v>6408</v>
      </c>
      <c r="D5750" s="208" t="s">
        <v>6214</v>
      </c>
      <c r="E5750" s="209">
        <v>0</v>
      </c>
      <c r="F5750" s="209">
        <v>52.79</v>
      </c>
      <c r="G5750" s="209">
        <v>52.79</v>
      </c>
      <c r="H5750" s="198"/>
    </row>
    <row r="5751" spans="1:8" ht="15.75" hidden="1" customHeight="1" x14ac:dyDescent="0.25">
      <c r="A5751" s="205" t="s">
        <v>6212</v>
      </c>
      <c r="B5751" s="206">
        <v>95371</v>
      </c>
      <c r="C5751" s="207" t="s">
        <v>6409</v>
      </c>
      <c r="D5751" s="208" t="s">
        <v>2193</v>
      </c>
      <c r="E5751" s="209">
        <v>0</v>
      </c>
      <c r="F5751" s="209">
        <v>0.56999999999999995</v>
      </c>
      <c r="G5751" s="209">
        <v>0.56999999999999995</v>
      </c>
      <c r="H5751" s="198"/>
    </row>
    <row r="5752" spans="1:8" ht="15.75" hidden="1" customHeight="1" x14ac:dyDescent="0.25">
      <c r="A5752" s="205" t="s">
        <v>6212</v>
      </c>
      <c r="B5752" s="206">
        <v>101357</v>
      </c>
      <c r="C5752" s="207" t="s">
        <v>6410</v>
      </c>
      <c r="D5752" s="208" t="s">
        <v>6214</v>
      </c>
      <c r="E5752" s="209">
        <v>0</v>
      </c>
      <c r="F5752" s="209">
        <v>75.81</v>
      </c>
      <c r="G5752" s="209">
        <v>75.81</v>
      </c>
      <c r="H5752" s="198"/>
    </row>
    <row r="5753" spans="1:8" ht="15.75" hidden="1" customHeight="1" x14ac:dyDescent="0.25">
      <c r="A5753" s="205" t="s">
        <v>6212</v>
      </c>
      <c r="B5753" s="206">
        <v>95372</v>
      </c>
      <c r="C5753" s="207" t="s">
        <v>6411</v>
      </c>
      <c r="D5753" s="208" t="s">
        <v>2193</v>
      </c>
      <c r="E5753" s="209">
        <v>0</v>
      </c>
      <c r="F5753" s="209">
        <v>0.39</v>
      </c>
      <c r="G5753" s="209">
        <v>0.39</v>
      </c>
      <c r="H5753" s="198"/>
    </row>
    <row r="5754" spans="1:8" ht="15.75" hidden="1" customHeight="1" x14ac:dyDescent="0.25">
      <c r="A5754" s="205" t="s">
        <v>6212</v>
      </c>
      <c r="B5754" s="206">
        <v>101358</v>
      </c>
      <c r="C5754" s="207" t="s">
        <v>6412</v>
      </c>
      <c r="D5754" s="208" t="s">
        <v>6214</v>
      </c>
      <c r="E5754" s="209">
        <v>0</v>
      </c>
      <c r="F5754" s="209">
        <v>52.79</v>
      </c>
      <c r="G5754" s="209">
        <v>52.79</v>
      </c>
      <c r="H5754" s="198"/>
    </row>
    <row r="5755" spans="1:8" ht="15.75" hidden="1" customHeight="1" x14ac:dyDescent="0.25">
      <c r="A5755" s="205" t="s">
        <v>6212</v>
      </c>
      <c r="B5755" s="206">
        <v>95373</v>
      </c>
      <c r="C5755" s="207" t="s">
        <v>6413</v>
      </c>
      <c r="D5755" s="208" t="s">
        <v>2193</v>
      </c>
      <c r="E5755" s="209">
        <v>0</v>
      </c>
      <c r="F5755" s="209">
        <v>0.38</v>
      </c>
      <c r="G5755" s="209">
        <v>0.38</v>
      </c>
      <c r="H5755" s="198"/>
    </row>
    <row r="5756" spans="1:8" ht="15.75" hidden="1" customHeight="1" x14ac:dyDescent="0.25">
      <c r="A5756" s="205" t="s">
        <v>6212</v>
      </c>
      <c r="B5756" s="206">
        <v>101359</v>
      </c>
      <c r="C5756" s="207" t="s">
        <v>6414</v>
      </c>
      <c r="D5756" s="208" t="s">
        <v>6214</v>
      </c>
      <c r="E5756" s="209">
        <v>0</v>
      </c>
      <c r="F5756" s="209">
        <v>51.26</v>
      </c>
      <c r="G5756" s="209">
        <v>51.26</v>
      </c>
      <c r="H5756" s="198"/>
    </row>
    <row r="5757" spans="1:8" ht="15.75" hidden="1" customHeight="1" x14ac:dyDescent="0.25">
      <c r="A5757" s="205" t="s">
        <v>6212</v>
      </c>
      <c r="B5757" s="206">
        <v>101360</v>
      </c>
      <c r="C5757" s="207" t="s">
        <v>6415</v>
      </c>
      <c r="D5757" s="208" t="s">
        <v>6214</v>
      </c>
      <c r="E5757" s="209">
        <v>0</v>
      </c>
      <c r="F5757" s="209">
        <v>52.79</v>
      </c>
      <c r="G5757" s="209">
        <v>52.79</v>
      </c>
      <c r="H5757" s="198"/>
    </row>
    <row r="5758" spans="1:8" ht="15.75" hidden="1" customHeight="1" x14ac:dyDescent="0.25">
      <c r="A5758" s="205" t="s">
        <v>6212</v>
      </c>
      <c r="B5758" s="206">
        <v>95374</v>
      </c>
      <c r="C5758" s="207" t="s">
        <v>6416</v>
      </c>
      <c r="D5758" s="208" t="s">
        <v>2193</v>
      </c>
      <c r="E5758" s="209">
        <v>0</v>
      </c>
      <c r="F5758" s="209">
        <v>0.39</v>
      </c>
      <c r="G5758" s="209">
        <v>0.39</v>
      </c>
      <c r="H5758" s="198"/>
    </row>
    <row r="5759" spans="1:8" ht="15.75" hidden="1" customHeight="1" x14ac:dyDescent="0.25">
      <c r="A5759" s="205" t="s">
        <v>6212</v>
      </c>
      <c r="B5759" s="206">
        <v>95375</v>
      </c>
      <c r="C5759" s="207" t="s">
        <v>6417</v>
      </c>
      <c r="D5759" s="208" t="s">
        <v>2193</v>
      </c>
      <c r="E5759" s="209">
        <v>0</v>
      </c>
      <c r="F5759" s="209">
        <v>0.43</v>
      </c>
      <c r="G5759" s="209">
        <v>0.43</v>
      </c>
      <c r="H5759" s="198"/>
    </row>
    <row r="5760" spans="1:8" ht="15.75" hidden="1" customHeight="1" x14ac:dyDescent="0.25">
      <c r="A5760" s="205" t="s">
        <v>6212</v>
      </c>
      <c r="B5760" s="206">
        <v>101361</v>
      </c>
      <c r="C5760" s="207" t="s">
        <v>6418</v>
      </c>
      <c r="D5760" s="208" t="s">
        <v>6214</v>
      </c>
      <c r="E5760" s="209">
        <v>0</v>
      </c>
      <c r="F5760" s="209">
        <v>58.08</v>
      </c>
      <c r="G5760" s="209">
        <v>58.08</v>
      </c>
      <c r="H5760" s="198"/>
    </row>
    <row r="5761" spans="1:8" ht="15.75" hidden="1" customHeight="1" x14ac:dyDescent="0.25">
      <c r="A5761" s="205" t="s">
        <v>6212</v>
      </c>
      <c r="B5761" s="206">
        <v>95376</v>
      </c>
      <c r="C5761" s="207" t="s">
        <v>6419</v>
      </c>
      <c r="D5761" s="208" t="s">
        <v>2193</v>
      </c>
      <c r="E5761" s="209">
        <v>0</v>
      </c>
      <c r="F5761" s="209">
        <v>0.11</v>
      </c>
      <c r="G5761" s="209">
        <v>0.11</v>
      </c>
      <c r="H5761" s="198"/>
    </row>
    <row r="5762" spans="1:8" ht="15.75" hidden="1" customHeight="1" x14ac:dyDescent="0.25">
      <c r="A5762" s="205" t="s">
        <v>6212</v>
      </c>
      <c r="B5762" s="206">
        <v>95377</v>
      </c>
      <c r="C5762" s="207" t="s">
        <v>6420</v>
      </c>
      <c r="D5762" s="208" t="s">
        <v>2193</v>
      </c>
      <c r="E5762" s="209">
        <v>0</v>
      </c>
      <c r="F5762" s="209">
        <v>0.31</v>
      </c>
      <c r="G5762" s="209">
        <v>0.31</v>
      </c>
      <c r="H5762" s="198"/>
    </row>
    <row r="5763" spans="1:8" ht="15.75" hidden="1" customHeight="1" x14ac:dyDescent="0.25">
      <c r="A5763" s="205" t="s">
        <v>6212</v>
      </c>
      <c r="B5763" s="206">
        <v>101363</v>
      </c>
      <c r="C5763" s="207" t="s">
        <v>6421</v>
      </c>
      <c r="D5763" s="208" t="s">
        <v>6214</v>
      </c>
      <c r="E5763" s="209">
        <v>0</v>
      </c>
      <c r="F5763" s="209">
        <v>41.25</v>
      </c>
      <c r="G5763" s="209">
        <v>41.25</v>
      </c>
      <c r="H5763" s="198"/>
    </row>
    <row r="5764" spans="1:8" ht="15.75" hidden="1" customHeight="1" x14ac:dyDescent="0.25">
      <c r="A5764" s="205" t="s">
        <v>6212</v>
      </c>
      <c r="B5764" s="206">
        <v>95378</v>
      </c>
      <c r="C5764" s="207" t="s">
        <v>6422</v>
      </c>
      <c r="D5764" s="208" t="s">
        <v>2193</v>
      </c>
      <c r="E5764" s="209">
        <v>0</v>
      </c>
      <c r="F5764" s="209">
        <v>0.4</v>
      </c>
      <c r="G5764" s="209">
        <v>0.4</v>
      </c>
      <c r="H5764" s="198"/>
    </row>
    <row r="5765" spans="1:8" ht="15.75" hidden="1" customHeight="1" x14ac:dyDescent="0.25">
      <c r="A5765" s="205" t="s">
        <v>6212</v>
      </c>
      <c r="B5765" s="206">
        <v>101364</v>
      </c>
      <c r="C5765" s="207" t="s">
        <v>6423</v>
      </c>
      <c r="D5765" s="208" t="s">
        <v>6214</v>
      </c>
      <c r="E5765" s="209">
        <v>0</v>
      </c>
      <c r="F5765" s="209">
        <v>53.57</v>
      </c>
      <c r="G5765" s="209">
        <v>53.57</v>
      </c>
      <c r="H5765" s="198"/>
    </row>
    <row r="5766" spans="1:8" ht="15.75" hidden="1" customHeight="1" x14ac:dyDescent="0.25">
      <c r="A5766" s="205" t="s">
        <v>6212</v>
      </c>
      <c r="B5766" s="206">
        <v>95379</v>
      </c>
      <c r="C5766" s="207" t="s">
        <v>6424</v>
      </c>
      <c r="D5766" s="208" t="s">
        <v>2193</v>
      </c>
      <c r="E5766" s="209">
        <v>0</v>
      </c>
      <c r="F5766" s="209">
        <v>0.31</v>
      </c>
      <c r="G5766" s="209">
        <v>0.31</v>
      </c>
      <c r="H5766" s="198"/>
    </row>
    <row r="5767" spans="1:8" ht="15.75" hidden="1" customHeight="1" x14ac:dyDescent="0.25">
      <c r="A5767" s="205" t="s">
        <v>6212</v>
      </c>
      <c r="B5767" s="206">
        <v>101365</v>
      </c>
      <c r="C5767" s="207" t="s">
        <v>6425</v>
      </c>
      <c r="D5767" s="208" t="s">
        <v>6214</v>
      </c>
      <c r="E5767" s="209">
        <v>0</v>
      </c>
      <c r="F5767" s="209">
        <v>41.84</v>
      </c>
      <c r="G5767" s="209">
        <v>41.84</v>
      </c>
      <c r="H5767" s="198"/>
    </row>
    <row r="5768" spans="1:8" ht="15.75" hidden="1" customHeight="1" x14ac:dyDescent="0.25">
      <c r="A5768" s="205" t="s">
        <v>6212</v>
      </c>
      <c r="B5768" s="206">
        <v>95380</v>
      </c>
      <c r="C5768" s="207" t="s">
        <v>6426</v>
      </c>
      <c r="D5768" s="208" t="s">
        <v>2193</v>
      </c>
      <c r="E5768" s="209">
        <v>0</v>
      </c>
      <c r="F5768" s="209">
        <v>0.25</v>
      </c>
      <c r="G5768" s="209">
        <v>0.25</v>
      </c>
      <c r="H5768" s="198"/>
    </row>
    <row r="5769" spans="1:8" ht="15.75" hidden="1" customHeight="1" x14ac:dyDescent="0.25">
      <c r="A5769" s="205" t="s">
        <v>6212</v>
      </c>
      <c r="B5769" s="206">
        <v>101366</v>
      </c>
      <c r="C5769" s="207" t="s">
        <v>6427</v>
      </c>
      <c r="D5769" s="208" t="s">
        <v>6214</v>
      </c>
      <c r="E5769" s="209">
        <v>0</v>
      </c>
      <c r="F5769" s="209">
        <v>33.869999999999997</v>
      </c>
      <c r="G5769" s="209">
        <v>33.869999999999997</v>
      </c>
      <c r="H5769" s="198"/>
    </row>
    <row r="5770" spans="1:8" ht="15.75" hidden="1" customHeight="1" x14ac:dyDescent="0.25">
      <c r="A5770" s="205" t="s">
        <v>6212</v>
      </c>
      <c r="B5770" s="206">
        <v>100535</v>
      </c>
      <c r="C5770" s="207" t="s">
        <v>6428</v>
      </c>
      <c r="D5770" s="208" t="s">
        <v>2193</v>
      </c>
      <c r="E5770" s="209">
        <v>0</v>
      </c>
      <c r="F5770" s="209">
        <v>0.38</v>
      </c>
      <c r="G5770" s="209">
        <v>0.38</v>
      </c>
      <c r="H5770" s="198"/>
    </row>
    <row r="5771" spans="1:8" ht="15.75" hidden="1" customHeight="1" x14ac:dyDescent="0.25">
      <c r="A5771" s="205" t="s">
        <v>6212</v>
      </c>
      <c r="B5771" s="206">
        <v>100536</v>
      </c>
      <c r="C5771" s="207" t="s">
        <v>6429</v>
      </c>
      <c r="D5771" s="208" t="s">
        <v>6214</v>
      </c>
      <c r="E5771" s="209">
        <v>0</v>
      </c>
      <c r="F5771" s="209">
        <v>50.79</v>
      </c>
      <c r="G5771" s="209">
        <v>50.79</v>
      </c>
      <c r="H5771" s="198"/>
    </row>
    <row r="5772" spans="1:8" ht="15.75" hidden="1" customHeight="1" x14ac:dyDescent="0.25">
      <c r="A5772" s="205" t="s">
        <v>6212</v>
      </c>
      <c r="B5772" s="206">
        <v>101368</v>
      </c>
      <c r="C5772" s="207" t="s">
        <v>6430</v>
      </c>
      <c r="D5772" s="208" t="s">
        <v>6214</v>
      </c>
      <c r="E5772" s="209">
        <v>0</v>
      </c>
      <c r="F5772" s="209">
        <v>43.47</v>
      </c>
      <c r="G5772" s="209">
        <v>43.47</v>
      </c>
      <c r="H5772" s="198"/>
    </row>
    <row r="5773" spans="1:8" ht="15.75" hidden="1" customHeight="1" x14ac:dyDescent="0.25">
      <c r="A5773" s="205" t="s">
        <v>6212</v>
      </c>
      <c r="B5773" s="206">
        <v>101369</v>
      </c>
      <c r="C5773" s="207" t="s">
        <v>6431</v>
      </c>
      <c r="D5773" s="208" t="s">
        <v>6214</v>
      </c>
      <c r="E5773" s="209">
        <v>0</v>
      </c>
      <c r="F5773" s="209">
        <v>41.46</v>
      </c>
      <c r="G5773" s="209">
        <v>41.46</v>
      </c>
      <c r="H5773" s="198"/>
    </row>
    <row r="5774" spans="1:8" ht="15.75" hidden="1" customHeight="1" x14ac:dyDescent="0.25">
      <c r="A5774" s="205" t="s">
        <v>6212</v>
      </c>
      <c r="B5774" s="206">
        <v>95385</v>
      </c>
      <c r="C5774" s="207" t="s">
        <v>6432</v>
      </c>
      <c r="D5774" s="208" t="s">
        <v>2193</v>
      </c>
      <c r="E5774" s="209">
        <v>0</v>
      </c>
      <c r="F5774" s="209">
        <v>0.3</v>
      </c>
      <c r="G5774" s="209">
        <v>0.3</v>
      </c>
      <c r="H5774" s="198"/>
    </row>
    <row r="5775" spans="1:8" ht="15.75" hidden="1" customHeight="1" x14ac:dyDescent="0.25">
      <c r="A5775" s="205" t="s">
        <v>6212</v>
      </c>
      <c r="B5775" s="206">
        <v>101370</v>
      </c>
      <c r="C5775" s="207" t="s">
        <v>6433</v>
      </c>
      <c r="D5775" s="208" t="s">
        <v>6214</v>
      </c>
      <c r="E5775" s="209">
        <v>0</v>
      </c>
      <c r="F5775" s="209">
        <v>40.76</v>
      </c>
      <c r="G5775" s="209">
        <v>40.76</v>
      </c>
      <c r="H5775" s="198"/>
    </row>
    <row r="5776" spans="1:8" ht="15.75" hidden="1" customHeight="1" x14ac:dyDescent="0.25">
      <c r="A5776" s="205" t="s">
        <v>6212</v>
      </c>
      <c r="B5776" s="206">
        <v>95406</v>
      </c>
      <c r="C5776" s="207" t="s">
        <v>6434</v>
      </c>
      <c r="D5776" s="208" t="s">
        <v>2193</v>
      </c>
      <c r="E5776" s="209">
        <v>0</v>
      </c>
      <c r="F5776" s="209">
        <v>0.22</v>
      </c>
      <c r="G5776" s="209">
        <v>0.22</v>
      </c>
      <c r="H5776" s="198"/>
    </row>
    <row r="5777" spans="1:8" ht="15.75" hidden="1" customHeight="1" x14ac:dyDescent="0.25">
      <c r="A5777" s="205" t="s">
        <v>6212</v>
      </c>
      <c r="B5777" s="206">
        <v>95424</v>
      </c>
      <c r="C5777" s="207" t="s">
        <v>6435</v>
      </c>
      <c r="D5777" s="208" t="s">
        <v>6214</v>
      </c>
      <c r="E5777" s="209">
        <v>0</v>
      </c>
      <c r="F5777" s="209">
        <v>29.71</v>
      </c>
      <c r="G5777" s="209">
        <v>29.71</v>
      </c>
      <c r="H5777" s="198"/>
    </row>
    <row r="5778" spans="1:8" ht="15.75" hidden="1" customHeight="1" x14ac:dyDescent="0.25">
      <c r="A5778" s="205" t="s">
        <v>6212</v>
      </c>
      <c r="B5778" s="206">
        <v>95386</v>
      </c>
      <c r="C5778" s="207" t="s">
        <v>6436</v>
      </c>
      <c r="D5778" s="208" t="s">
        <v>2193</v>
      </c>
      <c r="E5778" s="209">
        <v>0</v>
      </c>
      <c r="F5778" s="209">
        <v>0.3</v>
      </c>
      <c r="G5778" s="209">
        <v>0.3</v>
      </c>
      <c r="H5778" s="198"/>
    </row>
    <row r="5779" spans="1:8" ht="15.75" hidden="1" customHeight="1" x14ac:dyDescent="0.25">
      <c r="A5779" s="205" t="s">
        <v>6212</v>
      </c>
      <c r="B5779" s="206">
        <v>95383</v>
      </c>
      <c r="C5779" s="207" t="s">
        <v>6437</v>
      </c>
      <c r="D5779" s="208" t="s">
        <v>2193</v>
      </c>
      <c r="E5779" s="209">
        <v>0</v>
      </c>
      <c r="F5779" s="209">
        <v>0.32</v>
      </c>
      <c r="G5779" s="209">
        <v>0.32</v>
      </c>
      <c r="H5779" s="198"/>
    </row>
    <row r="5780" spans="1:8" ht="15.75" hidden="1" customHeight="1" x14ac:dyDescent="0.25">
      <c r="A5780" s="205" t="s">
        <v>6212</v>
      </c>
      <c r="B5780" s="206">
        <v>95384</v>
      </c>
      <c r="C5780" s="207" t="s">
        <v>6438</v>
      </c>
      <c r="D5780" s="208" t="s">
        <v>2193</v>
      </c>
      <c r="E5780" s="209">
        <v>0</v>
      </c>
      <c r="F5780" s="209">
        <v>0.31</v>
      </c>
      <c r="G5780" s="209">
        <v>0.31</v>
      </c>
      <c r="H5780" s="198"/>
    </row>
    <row r="5781" spans="1:8" ht="15.75" hidden="1" customHeight="1" x14ac:dyDescent="0.25">
      <c r="A5781" s="205" t="s">
        <v>6212</v>
      </c>
      <c r="B5781" s="206">
        <v>100299</v>
      </c>
      <c r="C5781" s="207" t="s">
        <v>6439</v>
      </c>
      <c r="D5781" s="208" t="s">
        <v>2193</v>
      </c>
      <c r="E5781" s="209">
        <v>0</v>
      </c>
      <c r="F5781" s="209">
        <v>0.64</v>
      </c>
      <c r="G5781" s="209">
        <v>0.64</v>
      </c>
      <c r="H5781" s="198"/>
    </row>
    <row r="5782" spans="1:8" ht="15.75" hidden="1" customHeight="1" x14ac:dyDescent="0.25">
      <c r="A5782" s="205" t="s">
        <v>6212</v>
      </c>
      <c r="B5782" s="206">
        <v>100315</v>
      </c>
      <c r="C5782" s="207" t="s">
        <v>6440</v>
      </c>
      <c r="D5782" s="208" t="s">
        <v>6214</v>
      </c>
      <c r="E5782" s="209">
        <v>0</v>
      </c>
      <c r="F5782" s="209">
        <v>85.83</v>
      </c>
      <c r="G5782" s="209">
        <v>85.83</v>
      </c>
      <c r="H5782" s="198"/>
    </row>
    <row r="5783" spans="1:8" ht="15.75" hidden="1" customHeight="1" x14ac:dyDescent="0.25">
      <c r="A5783" s="205" t="s">
        <v>6212</v>
      </c>
      <c r="B5783" s="206">
        <v>95387</v>
      </c>
      <c r="C5783" s="207" t="s">
        <v>6441</v>
      </c>
      <c r="D5783" s="208" t="s">
        <v>2193</v>
      </c>
      <c r="E5783" s="209">
        <v>0</v>
      </c>
      <c r="F5783" s="209">
        <v>0.4</v>
      </c>
      <c r="G5783" s="209">
        <v>0.4</v>
      </c>
      <c r="H5783" s="198"/>
    </row>
    <row r="5784" spans="1:8" ht="15.75" hidden="1" customHeight="1" x14ac:dyDescent="0.25">
      <c r="A5784" s="205" t="s">
        <v>6212</v>
      </c>
      <c r="B5784" s="206">
        <v>101371</v>
      </c>
      <c r="C5784" s="207" t="s">
        <v>6442</v>
      </c>
      <c r="D5784" s="208" t="s">
        <v>6214</v>
      </c>
      <c r="E5784" s="209">
        <v>0</v>
      </c>
      <c r="F5784" s="209">
        <v>53.59</v>
      </c>
      <c r="G5784" s="209">
        <v>53.59</v>
      </c>
      <c r="H5784" s="198"/>
    </row>
    <row r="5785" spans="1:8" ht="15.75" hidden="1" customHeight="1" x14ac:dyDescent="0.25">
      <c r="A5785" s="205" t="s">
        <v>6212</v>
      </c>
      <c r="B5785" s="206">
        <v>100288</v>
      </c>
      <c r="C5785" s="207" t="s">
        <v>6443</v>
      </c>
      <c r="D5785" s="208" t="s">
        <v>2193</v>
      </c>
      <c r="E5785" s="209">
        <v>0</v>
      </c>
      <c r="F5785" s="209">
        <v>0.1</v>
      </c>
      <c r="G5785" s="209">
        <v>0.1</v>
      </c>
      <c r="H5785" s="198"/>
    </row>
    <row r="5786" spans="1:8" ht="15.75" hidden="1" customHeight="1" x14ac:dyDescent="0.25">
      <c r="A5786" s="205" t="s">
        <v>6212</v>
      </c>
      <c r="B5786" s="206">
        <v>101372</v>
      </c>
      <c r="C5786" s="207" t="s">
        <v>6444</v>
      </c>
      <c r="D5786" s="208" t="s">
        <v>6214</v>
      </c>
      <c r="E5786" s="209">
        <v>0</v>
      </c>
      <c r="F5786" s="209">
        <v>14.38</v>
      </c>
      <c r="G5786" s="209">
        <v>14.38</v>
      </c>
      <c r="H5786" s="198"/>
    </row>
    <row r="5787" spans="1:8" ht="15.75" hidden="1" customHeight="1" x14ac:dyDescent="0.25">
      <c r="A5787" s="205" t="s">
        <v>6212</v>
      </c>
      <c r="B5787" s="206">
        <v>90775</v>
      </c>
      <c r="C5787" s="207" t="s">
        <v>6445</v>
      </c>
      <c r="D5787" s="208" t="s">
        <v>2193</v>
      </c>
      <c r="E5787" s="209">
        <v>2.31</v>
      </c>
      <c r="F5787" s="209">
        <v>22.27</v>
      </c>
      <c r="G5787" s="209">
        <v>24.58</v>
      </c>
      <c r="H5787" s="198"/>
    </row>
    <row r="5788" spans="1:8" ht="15.75" hidden="1" customHeight="1" x14ac:dyDescent="0.25">
      <c r="A5788" s="205" t="s">
        <v>6212</v>
      </c>
      <c r="B5788" s="206">
        <v>93561</v>
      </c>
      <c r="C5788" s="207" t="s">
        <v>6445</v>
      </c>
      <c r="D5788" s="208" t="s">
        <v>6214</v>
      </c>
      <c r="E5788" s="209">
        <v>434.650000000001</v>
      </c>
      <c r="F5788" s="209">
        <v>3907.41</v>
      </c>
      <c r="G5788" s="209">
        <v>4342.0600000000004</v>
      </c>
      <c r="H5788" s="198"/>
    </row>
    <row r="5789" spans="1:8" ht="15.75" hidden="1" customHeight="1" x14ac:dyDescent="0.25">
      <c r="A5789" s="205" t="s">
        <v>6212</v>
      </c>
      <c r="B5789" s="206">
        <v>88264</v>
      </c>
      <c r="C5789" s="207" t="s">
        <v>6446</v>
      </c>
      <c r="D5789" s="208" t="s">
        <v>2193</v>
      </c>
      <c r="E5789" s="209">
        <v>9.31</v>
      </c>
      <c r="F5789" s="209">
        <v>28.06</v>
      </c>
      <c r="G5789" s="209">
        <v>37.369999999999997</v>
      </c>
      <c r="H5789" s="198"/>
    </row>
    <row r="5790" spans="1:8" ht="15.75" hidden="1" customHeight="1" x14ac:dyDescent="0.25">
      <c r="A5790" s="205" t="s">
        <v>6212</v>
      </c>
      <c r="B5790" s="206">
        <v>101399</v>
      </c>
      <c r="C5790" s="207" t="s">
        <v>6446</v>
      </c>
      <c r="D5790" s="208" t="s">
        <v>6214</v>
      </c>
      <c r="E5790" s="209">
        <v>1757.09</v>
      </c>
      <c r="F5790" s="209">
        <v>4880.95</v>
      </c>
      <c r="G5790" s="209">
        <v>6638.04</v>
      </c>
      <c r="H5790" s="198"/>
    </row>
    <row r="5791" spans="1:8" ht="15.75" hidden="1" customHeight="1" x14ac:dyDescent="0.25">
      <c r="A5791" s="205" t="s">
        <v>6212</v>
      </c>
      <c r="B5791" s="206">
        <v>88266</v>
      </c>
      <c r="C5791" s="207" t="s">
        <v>6447</v>
      </c>
      <c r="D5791" s="208" t="s">
        <v>2193</v>
      </c>
      <c r="E5791" s="209">
        <v>9.31</v>
      </c>
      <c r="F5791" s="209">
        <v>35.08</v>
      </c>
      <c r="G5791" s="209">
        <v>44.39</v>
      </c>
      <c r="H5791" s="198"/>
    </row>
    <row r="5792" spans="1:8" ht="15.75" hidden="1" customHeight="1" x14ac:dyDescent="0.25">
      <c r="A5792" s="205" t="s">
        <v>6212</v>
      </c>
      <c r="B5792" s="206">
        <v>101401</v>
      </c>
      <c r="C5792" s="207" t="s">
        <v>6447</v>
      </c>
      <c r="D5792" s="208" t="s">
        <v>6214</v>
      </c>
      <c r="E5792" s="209">
        <v>1757.19</v>
      </c>
      <c r="F5792" s="209">
        <v>6111.99</v>
      </c>
      <c r="G5792" s="209">
        <v>7869.18</v>
      </c>
      <c r="H5792" s="198"/>
    </row>
    <row r="5793" spans="1:8" ht="15.75" hidden="1" customHeight="1" x14ac:dyDescent="0.25">
      <c r="A5793" s="205" t="s">
        <v>6212</v>
      </c>
      <c r="B5793" s="206">
        <v>88267</v>
      </c>
      <c r="C5793" s="207" t="s">
        <v>6448</v>
      </c>
      <c r="D5793" s="208" t="s">
        <v>2193</v>
      </c>
      <c r="E5793" s="209">
        <v>8.64</v>
      </c>
      <c r="F5793" s="209">
        <v>27.53</v>
      </c>
      <c r="G5793" s="209">
        <v>36.17</v>
      </c>
      <c r="H5793" s="198"/>
    </row>
    <row r="5794" spans="1:8" ht="15.75" hidden="1" customHeight="1" x14ac:dyDescent="0.25">
      <c r="A5794" s="205" t="s">
        <v>6212</v>
      </c>
      <c r="B5794" s="206">
        <v>101402</v>
      </c>
      <c r="C5794" s="207" t="s">
        <v>6448</v>
      </c>
      <c r="D5794" s="208" t="s">
        <v>6214</v>
      </c>
      <c r="E5794" s="209">
        <v>1628.83</v>
      </c>
      <c r="F5794" s="209">
        <v>4811.75</v>
      </c>
      <c r="G5794" s="209">
        <v>6440.58</v>
      </c>
      <c r="H5794" s="198"/>
    </row>
    <row r="5795" spans="1:8" ht="15.75" hidden="1" customHeight="1" x14ac:dyDescent="0.25">
      <c r="A5795" s="205" t="s">
        <v>6212</v>
      </c>
      <c r="B5795" s="206">
        <v>90776</v>
      </c>
      <c r="C5795" s="207" t="s">
        <v>6449</v>
      </c>
      <c r="D5795" s="208" t="s">
        <v>2193</v>
      </c>
      <c r="E5795" s="209">
        <v>2.88</v>
      </c>
      <c r="F5795" s="209">
        <v>39.03</v>
      </c>
      <c r="G5795" s="209">
        <v>41.91</v>
      </c>
      <c r="H5795" s="198"/>
    </row>
    <row r="5796" spans="1:8" ht="15.75" hidden="1" customHeight="1" x14ac:dyDescent="0.25">
      <c r="A5796" s="205" t="s">
        <v>6212</v>
      </c>
      <c r="B5796" s="206">
        <v>93572</v>
      </c>
      <c r="C5796" s="207" t="s">
        <v>6450</v>
      </c>
      <c r="D5796" s="208" t="s">
        <v>6214</v>
      </c>
      <c r="E5796" s="209">
        <v>543.63</v>
      </c>
      <c r="F5796" s="209">
        <v>6812.64</v>
      </c>
      <c r="G5796" s="209">
        <v>7356.27</v>
      </c>
      <c r="H5796" s="198"/>
    </row>
    <row r="5797" spans="1:8" ht="15.75" hidden="1" customHeight="1" x14ac:dyDescent="0.25">
      <c r="A5797" s="205" t="s">
        <v>6212</v>
      </c>
      <c r="B5797" s="206">
        <v>90777</v>
      </c>
      <c r="C5797" s="207" t="s">
        <v>6451</v>
      </c>
      <c r="D5797" s="208" t="s">
        <v>2193</v>
      </c>
      <c r="E5797" s="209">
        <v>2.30000000000001</v>
      </c>
      <c r="F5797" s="209">
        <v>128.76</v>
      </c>
      <c r="G5797" s="209">
        <v>131.06</v>
      </c>
      <c r="H5797" s="198"/>
    </row>
    <row r="5798" spans="1:8" ht="15.75" hidden="1" customHeight="1" x14ac:dyDescent="0.25">
      <c r="A5798" s="205" t="s">
        <v>6212</v>
      </c>
      <c r="B5798" s="206">
        <v>93565</v>
      </c>
      <c r="C5798" s="207" t="s">
        <v>6451</v>
      </c>
      <c r="D5798" s="208" t="s">
        <v>6214</v>
      </c>
      <c r="E5798" s="209">
        <v>433.56000000000103</v>
      </c>
      <c r="F5798" s="209">
        <v>22505.93</v>
      </c>
      <c r="G5798" s="209">
        <v>22939.49</v>
      </c>
      <c r="H5798" s="198"/>
    </row>
    <row r="5799" spans="1:8" ht="15.75" hidden="1" customHeight="1" x14ac:dyDescent="0.25">
      <c r="A5799" s="205" t="s">
        <v>6212</v>
      </c>
      <c r="B5799" s="206">
        <v>90778</v>
      </c>
      <c r="C5799" s="207" t="s">
        <v>6452</v>
      </c>
      <c r="D5799" s="208" t="s">
        <v>2193</v>
      </c>
      <c r="E5799" s="209">
        <v>2.30000000000001</v>
      </c>
      <c r="F5799" s="209">
        <v>143.63999999999999</v>
      </c>
      <c r="G5799" s="209">
        <v>145.94</v>
      </c>
      <c r="H5799" s="198"/>
    </row>
    <row r="5800" spans="1:8" ht="15.75" hidden="1" customHeight="1" x14ac:dyDescent="0.25">
      <c r="A5800" s="205" t="s">
        <v>6212</v>
      </c>
      <c r="B5800" s="206">
        <v>93567</v>
      </c>
      <c r="C5800" s="207" t="s">
        <v>6452</v>
      </c>
      <c r="D5800" s="208" t="s">
        <v>6214</v>
      </c>
      <c r="E5800" s="209">
        <v>434.20999999999901</v>
      </c>
      <c r="F5800" s="209">
        <v>25107.55</v>
      </c>
      <c r="G5800" s="209">
        <v>25541.759999999998</v>
      </c>
      <c r="H5800" s="198"/>
    </row>
    <row r="5801" spans="1:8" ht="15.75" hidden="1" customHeight="1" x14ac:dyDescent="0.25">
      <c r="A5801" s="205" t="s">
        <v>6212</v>
      </c>
      <c r="B5801" s="206">
        <v>90779</v>
      </c>
      <c r="C5801" s="207" t="s">
        <v>6453</v>
      </c>
      <c r="D5801" s="208" t="s">
        <v>2193</v>
      </c>
      <c r="E5801" s="209">
        <v>2.29000000000002</v>
      </c>
      <c r="F5801" s="209">
        <v>158.66999999999999</v>
      </c>
      <c r="G5801" s="209">
        <v>160.96</v>
      </c>
      <c r="H5801" s="198"/>
    </row>
    <row r="5802" spans="1:8" ht="15.75" hidden="1" customHeight="1" x14ac:dyDescent="0.25">
      <c r="A5802" s="205" t="s">
        <v>6212</v>
      </c>
      <c r="B5802" s="206">
        <v>93568</v>
      </c>
      <c r="C5802" s="207" t="s">
        <v>6453</v>
      </c>
      <c r="D5802" s="208" t="s">
        <v>6214</v>
      </c>
      <c r="E5802" s="209">
        <v>433.78999999999701</v>
      </c>
      <c r="F5802" s="209">
        <v>27734.22</v>
      </c>
      <c r="G5802" s="209">
        <v>28168.01</v>
      </c>
      <c r="H5802" s="198"/>
    </row>
    <row r="5803" spans="1:8" ht="15.75" hidden="1" customHeight="1" x14ac:dyDescent="0.25">
      <c r="A5803" s="205" t="s">
        <v>6212</v>
      </c>
      <c r="B5803" s="206">
        <v>88269</v>
      </c>
      <c r="C5803" s="207" t="s">
        <v>6454</v>
      </c>
      <c r="D5803" s="208" t="s">
        <v>2193</v>
      </c>
      <c r="E5803" s="209">
        <v>9.2799999999999994</v>
      </c>
      <c r="F5803" s="209">
        <v>26.08</v>
      </c>
      <c r="G5803" s="209">
        <v>35.36</v>
      </c>
      <c r="H5803" s="198"/>
    </row>
    <row r="5804" spans="1:8" ht="15.75" hidden="1" customHeight="1" x14ac:dyDescent="0.25">
      <c r="A5804" s="205" t="s">
        <v>6212</v>
      </c>
      <c r="B5804" s="206">
        <v>101407</v>
      </c>
      <c r="C5804" s="207" t="s">
        <v>6454</v>
      </c>
      <c r="D5804" s="208" t="s">
        <v>6214</v>
      </c>
      <c r="E5804" s="209">
        <v>1752.16</v>
      </c>
      <c r="F5804" s="209">
        <v>4566.47</v>
      </c>
      <c r="G5804" s="209">
        <v>6318.63</v>
      </c>
      <c r="H5804" s="198"/>
    </row>
    <row r="5805" spans="1:8" ht="15.75" hidden="1" customHeight="1" x14ac:dyDescent="0.25">
      <c r="A5805" s="205" t="s">
        <v>6212</v>
      </c>
      <c r="B5805" s="206">
        <v>88270</v>
      </c>
      <c r="C5805" s="207" t="s">
        <v>6455</v>
      </c>
      <c r="D5805" s="208" t="s">
        <v>2193</v>
      </c>
      <c r="E5805" s="209">
        <v>9.2799999999999994</v>
      </c>
      <c r="F5805" s="209">
        <v>27.63</v>
      </c>
      <c r="G5805" s="209">
        <v>36.909999999999997</v>
      </c>
      <c r="H5805" s="198"/>
    </row>
    <row r="5806" spans="1:8" ht="15.75" hidden="1" customHeight="1" x14ac:dyDescent="0.25">
      <c r="A5806" s="205" t="s">
        <v>6212</v>
      </c>
      <c r="B5806" s="206">
        <v>101408</v>
      </c>
      <c r="C5806" s="207" t="s">
        <v>6455</v>
      </c>
      <c r="D5806" s="208" t="s">
        <v>6214</v>
      </c>
      <c r="E5806" s="209">
        <v>1752.41</v>
      </c>
      <c r="F5806" s="209">
        <v>4823.22</v>
      </c>
      <c r="G5806" s="209">
        <v>6575.63</v>
      </c>
      <c r="H5806" s="198"/>
    </row>
    <row r="5807" spans="1:8" ht="15.75" hidden="1" customHeight="1" x14ac:dyDescent="0.25">
      <c r="A5807" s="205" t="s">
        <v>6212</v>
      </c>
      <c r="B5807" s="206">
        <v>101409</v>
      </c>
      <c r="C5807" s="207" t="s">
        <v>6456</v>
      </c>
      <c r="D5807" s="208" t="s">
        <v>6214</v>
      </c>
      <c r="E5807" s="209">
        <v>1525.02</v>
      </c>
      <c r="F5807" s="209">
        <v>5114.12</v>
      </c>
      <c r="G5807" s="209">
        <v>6639.14</v>
      </c>
      <c r="H5807" s="198"/>
    </row>
    <row r="5808" spans="1:8" ht="15.75" hidden="1" customHeight="1" x14ac:dyDescent="0.25">
      <c r="A5808" s="205" t="s">
        <v>6212</v>
      </c>
      <c r="B5808" s="206">
        <v>88441</v>
      </c>
      <c r="C5808" s="207" t="s">
        <v>6457</v>
      </c>
      <c r="D5808" s="208" t="s">
        <v>2193</v>
      </c>
      <c r="E5808" s="209">
        <v>9.2899999999999991</v>
      </c>
      <c r="F5808" s="209">
        <v>20.58</v>
      </c>
      <c r="G5808" s="209">
        <v>29.87</v>
      </c>
      <c r="H5808" s="198"/>
    </row>
    <row r="5809" spans="1:8" ht="15.75" hidden="1" customHeight="1" x14ac:dyDescent="0.25">
      <c r="A5809" s="205" t="s">
        <v>6212</v>
      </c>
      <c r="B5809" s="206">
        <v>101410</v>
      </c>
      <c r="C5809" s="207" t="s">
        <v>6457</v>
      </c>
      <c r="D5809" s="208" t="s">
        <v>6214</v>
      </c>
      <c r="E5809" s="209">
        <v>1752.49</v>
      </c>
      <c r="F5809" s="209">
        <v>3610.08</v>
      </c>
      <c r="G5809" s="209">
        <v>5362.57</v>
      </c>
      <c r="H5809" s="198"/>
    </row>
    <row r="5810" spans="1:8" ht="15.75" hidden="1" customHeight="1" x14ac:dyDescent="0.25">
      <c r="A5810" s="205" t="s">
        <v>6212</v>
      </c>
      <c r="B5810" s="206">
        <v>88272</v>
      </c>
      <c r="C5810" s="207" t="s">
        <v>6458</v>
      </c>
      <c r="D5810" s="208" t="s">
        <v>2193</v>
      </c>
      <c r="E5810" s="209">
        <v>10.220000000000001</v>
      </c>
      <c r="F5810" s="209">
        <v>27.24</v>
      </c>
      <c r="G5810" s="209">
        <v>37.46</v>
      </c>
      <c r="H5810" s="198"/>
    </row>
    <row r="5811" spans="1:8" ht="15.75" hidden="1" customHeight="1" x14ac:dyDescent="0.25">
      <c r="A5811" s="205" t="s">
        <v>6212</v>
      </c>
      <c r="B5811" s="206">
        <v>88273</v>
      </c>
      <c r="C5811" s="207" t="s">
        <v>6459</v>
      </c>
      <c r="D5811" s="208" t="s">
        <v>2193</v>
      </c>
      <c r="E5811" s="209">
        <v>9.07</v>
      </c>
      <c r="F5811" s="209">
        <v>25.16</v>
      </c>
      <c r="G5811" s="209">
        <v>34.229999999999997</v>
      </c>
      <c r="H5811" s="198"/>
    </row>
    <row r="5812" spans="1:8" ht="15.75" hidden="1" customHeight="1" x14ac:dyDescent="0.25">
      <c r="A5812" s="205" t="s">
        <v>6212</v>
      </c>
      <c r="B5812" s="206">
        <v>101413</v>
      </c>
      <c r="C5812" s="207" t="s">
        <v>6459</v>
      </c>
      <c r="D5812" s="208" t="s">
        <v>6214</v>
      </c>
      <c r="E5812" s="209">
        <v>1709.98</v>
      </c>
      <c r="F5812" s="209">
        <v>4403.6099999999997</v>
      </c>
      <c r="G5812" s="209">
        <v>6113.59</v>
      </c>
      <c r="H5812" s="198"/>
    </row>
    <row r="5813" spans="1:8" ht="15.75" hidden="1" customHeight="1" x14ac:dyDescent="0.25">
      <c r="A5813" s="205" t="s">
        <v>6212</v>
      </c>
      <c r="B5813" s="206">
        <v>101414</v>
      </c>
      <c r="C5813" s="207" t="s">
        <v>6460</v>
      </c>
      <c r="D5813" s="208" t="s">
        <v>6214</v>
      </c>
      <c r="E5813" s="209">
        <v>1752.28</v>
      </c>
      <c r="F5813" s="209">
        <v>5455.78</v>
      </c>
      <c r="G5813" s="209">
        <v>7208.06</v>
      </c>
      <c r="H5813" s="198"/>
    </row>
    <row r="5814" spans="1:8" ht="15.75" hidden="1" customHeight="1" x14ac:dyDescent="0.25">
      <c r="A5814" s="205" t="s">
        <v>6212</v>
      </c>
      <c r="B5814" s="206">
        <v>88274</v>
      </c>
      <c r="C5814" s="207" t="s">
        <v>6461</v>
      </c>
      <c r="D5814" s="208" t="s">
        <v>2193</v>
      </c>
      <c r="E5814" s="209">
        <v>9.2799999999999994</v>
      </c>
      <c r="F5814" s="209">
        <v>31.19</v>
      </c>
      <c r="G5814" s="209">
        <v>40.47</v>
      </c>
      <c r="H5814" s="198"/>
    </row>
    <row r="5815" spans="1:8" ht="15.75" hidden="1" customHeight="1" x14ac:dyDescent="0.25">
      <c r="A5815" s="205" t="s">
        <v>6212</v>
      </c>
      <c r="B5815" s="206">
        <v>101412</v>
      </c>
      <c r="C5815" s="207" t="s">
        <v>6462</v>
      </c>
      <c r="D5815" s="208" t="s">
        <v>6214</v>
      </c>
      <c r="E5815" s="209">
        <v>1929.29</v>
      </c>
      <c r="F5815" s="209">
        <v>4757.99</v>
      </c>
      <c r="G5815" s="209">
        <v>6687.28</v>
      </c>
      <c r="H5815" s="198"/>
    </row>
    <row r="5816" spans="1:8" ht="15.75" hidden="1" customHeight="1" x14ac:dyDescent="0.25">
      <c r="A5816" s="205" t="s">
        <v>6212</v>
      </c>
      <c r="B5816" s="206">
        <v>101415</v>
      </c>
      <c r="C5816" s="207" t="s">
        <v>6463</v>
      </c>
      <c r="D5816" s="208" t="s">
        <v>6214</v>
      </c>
      <c r="E5816" s="209">
        <v>1525.44</v>
      </c>
      <c r="F5816" s="209">
        <v>5673.41</v>
      </c>
      <c r="G5816" s="209">
        <v>7198.85</v>
      </c>
      <c r="H5816" s="198"/>
    </row>
    <row r="5817" spans="1:8" ht="15.75" hidden="1" customHeight="1" x14ac:dyDescent="0.25">
      <c r="A5817" s="205" t="s">
        <v>6212</v>
      </c>
      <c r="B5817" s="206">
        <v>100308</v>
      </c>
      <c r="C5817" s="207" t="s">
        <v>6464</v>
      </c>
      <c r="D5817" s="208" t="s">
        <v>2193</v>
      </c>
      <c r="E5817" s="209">
        <v>9.31</v>
      </c>
      <c r="F5817" s="209">
        <v>30.88</v>
      </c>
      <c r="G5817" s="209">
        <v>40.19</v>
      </c>
      <c r="H5817" s="198"/>
    </row>
    <row r="5818" spans="1:8" ht="15.75" hidden="1" customHeight="1" x14ac:dyDescent="0.25">
      <c r="A5818" s="205" t="s">
        <v>6212</v>
      </c>
      <c r="B5818" s="206">
        <v>101416</v>
      </c>
      <c r="C5818" s="207" t="s">
        <v>6464</v>
      </c>
      <c r="D5818" s="208" t="s">
        <v>6214</v>
      </c>
      <c r="E5818" s="209">
        <v>1756.87</v>
      </c>
      <c r="F5818" s="209">
        <v>5384.87</v>
      </c>
      <c r="G5818" s="209">
        <v>7141.74</v>
      </c>
      <c r="H5818" s="198"/>
    </row>
    <row r="5819" spans="1:8" ht="15.75" hidden="1" customHeight="1" x14ac:dyDescent="0.25">
      <c r="A5819" s="205" t="s">
        <v>6212</v>
      </c>
      <c r="B5819" s="206">
        <v>88275</v>
      </c>
      <c r="C5819" s="207" t="s">
        <v>6465</v>
      </c>
      <c r="D5819" s="208" t="s">
        <v>2193</v>
      </c>
      <c r="E5819" s="209">
        <v>8.0999999999999908</v>
      </c>
      <c r="F5819" s="209">
        <v>32.380000000000003</v>
      </c>
      <c r="G5819" s="209">
        <v>40.479999999999997</v>
      </c>
      <c r="H5819" s="198"/>
    </row>
    <row r="5820" spans="1:8" ht="15.75" hidden="1" customHeight="1" x14ac:dyDescent="0.25">
      <c r="A5820" s="205" t="s">
        <v>6212</v>
      </c>
      <c r="B5820" s="206">
        <v>90780</v>
      </c>
      <c r="C5820" s="207" t="s">
        <v>6466</v>
      </c>
      <c r="D5820" s="208" t="s">
        <v>2193</v>
      </c>
      <c r="E5820" s="209">
        <v>2.88</v>
      </c>
      <c r="F5820" s="209">
        <v>66.84</v>
      </c>
      <c r="G5820" s="209">
        <v>69.72</v>
      </c>
      <c r="H5820" s="198"/>
    </row>
    <row r="5821" spans="1:8" ht="15.75" hidden="1" customHeight="1" x14ac:dyDescent="0.25">
      <c r="A5821" s="205" t="s">
        <v>6212</v>
      </c>
      <c r="B5821" s="206">
        <v>94295</v>
      </c>
      <c r="C5821" s="207" t="s">
        <v>6466</v>
      </c>
      <c r="D5821" s="208" t="s">
        <v>6214</v>
      </c>
      <c r="E5821" s="209">
        <v>543.42999999999995</v>
      </c>
      <c r="F5821" s="209">
        <v>11668.26</v>
      </c>
      <c r="G5821" s="209">
        <v>12211.69</v>
      </c>
      <c r="H5821" s="198"/>
    </row>
    <row r="5822" spans="1:8" ht="15.75" hidden="1" customHeight="1" x14ac:dyDescent="0.25">
      <c r="A5822" s="205" t="s">
        <v>6212</v>
      </c>
      <c r="B5822" s="206">
        <v>88277</v>
      </c>
      <c r="C5822" s="207" t="s">
        <v>6467</v>
      </c>
      <c r="D5822" s="208" t="s">
        <v>2193</v>
      </c>
      <c r="E5822" s="209">
        <v>8.09</v>
      </c>
      <c r="F5822" s="209">
        <v>29.24</v>
      </c>
      <c r="G5822" s="209">
        <v>37.33</v>
      </c>
      <c r="H5822" s="198"/>
    </row>
    <row r="5823" spans="1:8" ht="15.75" hidden="1" customHeight="1" x14ac:dyDescent="0.25">
      <c r="A5823" s="205" t="s">
        <v>6212</v>
      </c>
      <c r="B5823" s="206">
        <v>101417</v>
      </c>
      <c r="C5823" s="207" t="s">
        <v>6468</v>
      </c>
      <c r="D5823" s="208" t="s">
        <v>6214</v>
      </c>
      <c r="E5823" s="209">
        <v>1757.27</v>
      </c>
      <c r="F5823" s="209">
        <v>4113.97</v>
      </c>
      <c r="G5823" s="209">
        <v>5871.24</v>
      </c>
      <c r="H5823" s="198"/>
    </row>
    <row r="5824" spans="1:8" ht="15.75" hidden="1" customHeight="1" x14ac:dyDescent="0.25">
      <c r="A5824" s="205" t="s">
        <v>6212</v>
      </c>
      <c r="B5824" s="206">
        <v>100307</v>
      </c>
      <c r="C5824" s="207" t="s">
        <v>6469</v>
      </c>
      <c r="D5824" s="208" t="s">
        <v>2193</v>
      </c>
      <c r="E5824" s="209">
        <v>9.31</v>
      </c>
      <c r="F5824" s="209">
        <v>23.61</v>
      </c>
      <c r="G5824" s="209">
        <v>32.92</v>
      </c>
      <c r="H5824" s="198"/>
    </row>
    <row r="5825" spans="1:8" ht="15.75" hidden="1" customHeight="1" x14ac:dyDescent="0.25">
      <c r="A5825" s="205" t="s">
        <v>6212</v>
      </c>
      <c r="B5825" s="206">
        <v>88278</v>
      </c>
      <c r="C5825" s="207" t="s">
        <v>6470</v>
      </c>
      <c r="D5825" s="208" t="s">
        <v>2193</v>
      </c>
      <c r="E5825" s="209">
        <v>8.1</v>
      </c>
      <c r="F5825" s="209">
        <v>24.12</v>
      </c>
      <c r="G5825" s="209">
        <v>32.22</v>
      </c>
      <c r="H5825" s="198"/>
    </row>
    <row r="5826" spans="1:8" ht="15.75" hidden="1" customHeight="1" x14ac:dyDescent="0.25">
      <c r="A5826" s="205" t="s">
        <v>6212</v>
      </c>
      <c r="B5826" s="206">
        <v>101418</v>
      </c>
      <c r="C5826" s="207" t="s">
        <v>6471</v>
      </c>
      <c r="D5826" s="208" t="s">
        <v>6214</v>
      </c>
      <c r="E5826" s="209">
        <v>1525.23</v>
      </c>
      <c r="F5826" s="209">
        <v>4226</v>
      </c>
      <c r="G5826" s="209">
        <v>5751.23</v>
      </c>
      <c r="H5826" s="198"/>
    </row>
    <row r="5827" spans="1:8" ht="15.75" hidden="1" customHeight="1" x14ac:dyDescent="0.25">
      <c r="A5827" s="205" t="s">
        <v>6212</v>
      </c>
      <c r="B5827" s="206">
        <v>101419</v>
      </c>
      <c r="C5827" s="207" t="s">
        <v>6472</v>
      </c>
      <c r="D5827" s="208" t="s">
        <v>6214</v>
      </c>
      <c r="E5827" s="209">
        <v>1756.78</v>
      </c>
      <c r="F5827" s="209">
        <v>5089.57</v>
      </c>
      <c r="G5827" s="209">
        <v>6846.35</v>
      </c>
      <c r="H5827" s="198"/>
    </row>
    <row r="5828" spans="1:8" ht="15.75" hidden="1" customHeight="1" x14ac:dyDescent="0.25">
      <c r="A5828" s="205" t="s">
        <v>6212</v>
      </c>
      <c r="B5828" s="206">
        <v>88279</v>
      </c>
      <c r="C5828" s="207" t="s">
        <v>6473</v>
      </c>
      <c r="D5828" s="208" t="s">
        <v>2193</v>
      </c>
      <c r="E5828" s="209">
        <v>9.32</v>
      </c>
      <c r="F5828" s="209">
        <v>29.69</v>
      </c>
      <c r="G5828" s="209">
        <v>39.01</v>
      </c>
      <c r="H5828" s="198"/>
    </row>
    <row r="5829" spans="1:8" ht="15.75" hidden="1" customHeight="1" x14ac:dyDescent="0.25">
      <c r="A5829" s="205" t="s">
        <v>6212</v>
      </c>
      <c r="B5829" s="206">
        <v>88281</v>
      </c>
      <c r="C5829" s="207" t="s">
        <v>6474</v>
      </c>
      <c r="D5829" s="208" t="s">
        <v>2193</v>
      </c>
      <c r="E5829" s="209">
        <v>8.1</v>
      </c>
      <c r="F5829" s="209">
        <v>29.03</v>
      </c>
      <c r="G5829" s="209">
        <v>37.130000000000003</v>
      </c>
      <c r="H5829" s="198"/>
    </row>
    <row r="5830" spans="1:8" ht="15.75" hidden="1" customHeight="1" x14ac:dyDescent="0.25">
      <c r="A5830" s="205" t="s">
        <v>6212</v>
      </c>
      <c r="B5830" s="206">
        <v>93558</v>
      </c>
      <c r="C5830" s="207" t="s">
        <v>6475</v>
      </c>
      <c r="D5830" s="208" t="s">
        <v>6214</v>
      </c>
      <c r="E5830" s="209">
        <v>1525.14</v>
      </c>
      <c r="F5830" s="209">
        <v>4899.18</v>
      </c>
      <c r="G5830" s="209">
        <v>6424.32</v>
      </c>
      <c r="H5830" s="198"/>
    </row>
    <row r="5831" spans="1:8" ht="15.75" hidden="1" customHeight="1" x14ac:dyDescent="0.25">
      <c r="A5831" s="205" t="s">
        <v>6212</v>
      </c>
      <c r="B5831" s="206">
        <v>101420</v>
      </c>
      <c r="C5831" s="207" t="s">
        <v>6476</v>
      </c>
      <c r="D5831" s="208" t="s">
        <v>6214</v>
      </c>
      <c r="E5831" s="209">
        <v>1525.08</v>
      </c>
      <c r="F5831" s="209">
        <v>5091.28</v>
      </c>
      <c r="G5831" s="209">
        <v>6616.36</v>
      </c>
      <c r="H5831" s="198"/>
    </row>
    <row r="5832" spans="1:8" ht="15.75" hidden="1" customHeight="1" x14ac:dyDescent="0.25">
      <c r="A5832" s="205" t="s">
        <v>6212</v>
      </c>
      <c r="B5832" s="206">
        <v>101421</v>
      </c>
      <c r="C5832" s="207" t="s">
        <v>6477</v>
      </c>
      <c r="D5832" s="208" t="s">
        <v>6214</v>
      </c>
      <c r="E5832" s="209">
        <v>1525.29</v>
      </c>
      <c r="F5832" s="209">
        <v>6093.51</v>
      </c>
      <c r="G5832" s="209">
        <v>7618.8</v>
      </c>
      <c r="H5832" s="198"/>
    </row>
    <row r="5833" spans="1:8" ht="15.75" hidden="1" customHeight="1" x14ac:dyDescent="0.25">
      <c r="A5833" s="205" t="s">
        <v>6212</v>
      </c>
      <c r="B5833" s="206">
        <v>88282</v>
      </c>
      <c r="C5833" s="207" t="s">
        <v>6478</v>
      </c>
      <c r="D5833" s="208" t="s">
        <v>2193</v>
      </c>
      <c r="E5833" s="209">
        <v>8.09</v>
      </c>
      <c r="F5833" s="209">
        <v>27.96</v>
      </c>
      <c r="G5833" s="209">
        <v>36.049999999999997</v>
      </c>
      <c r="H5833" s="198"/>
    </row>
    <row r="5834" spans="1:8" ht="15.75" hidden="1" customHeight="1" x14ac:dyDescent="0.25">
      <c r="A5834" s="205" t="s">
        <v>6212</v>
      </c>
      <c r="B5834" s="206">
        <v>88283</v>
      </c>
      <c r="C5834" s="207" t="s">
        <v>6479</v>
      </c>
      <c r="D5834" s="208" t="s">
        <v>2193</v>
      </c>
      <c r="E5834" s="209">
        <v>8.1</v>
      </c>
      <c r="F5834" s="209">
        <v>34.75</v>
      </c>
      <c r="G5834" s="209">
        <v>42.85</v>
      </c>
      <c r="H5834" s="198"/>
    </row>
    <row r="5835" spans="1:8" ht="15.75" hidden="1" customHeight="1" x14ac:dyDescent="0.25">
      <c r="A5835" s="205" t="s">
        <v>6212</v>
      </c>
      <c r="B5835" s="206">
        <v>101422</v>
      </c>
      <c r="C5835" s="207" t="s">
        <v>6480</v>
      </c>
      <c r="D5835" s="208" t="s">
        <v>6214</v>
      </c>
      <c r="E5835" s="209">
        <v>1524.97</v>
      </c>
      <c r="F5835" s="209">
        <v>4351.6000000000004</v>
      </c>
      <c r="G5835" s="209">
        <v>5876.57</v>
      </c>
      <c r="H5835" s="198"/>
    </row>
    <row r="5836" spans="1:8" ht="15.75" hidden="1" customHeight="1" x14ac:dyDescent="0.25">
      <c r="A5836" s="205" t="s">
        <v>6212</v>
      </c>
      <c r="B5836" s="206">
        <v>88284</v>
      </c>
      <c r="C5836" s="207" t="s">
        <v>6481</v>
      </c>
      <c r="D5836" s="208" t="s">
        <v>2193</v>
      </c>
      <c r="E5836" s="209">
        <v>8.09</v>
      </c>
      <c r="F5836" s="209">
        <v>24.82</v>
      </c>
      <c r="G5836" s="209">
        <v>32.909999999999997</v>
      </c>
      <c r="H5836" s="198"/>
    </row>
    <row r="5837" spans="1:8" ht="15.75" hidden="1" customHeight="1" x14ac:dyDescent="0.25">
      <c r="A5837" s="205" t="s">
        <v>6212</v>
      </c>
      <c r="B5837" s="206">
        <v>101424</v>
      </c>
      <c r="C5837" s="207" t="s">
        <v>6482</v>
      </c>
      <c r="D5837" s="208" t="s">
        <v>6214</v>
      </c>
      <c r="E5837" s="209">
        <v>1525.43</v>
      </c>
      <c r="F5837" s="209">
        <v>5540.01</v>
      </c>
      <c r="G5837" s="209">
        <v>7065.44</v>
      </c>
      <c r="H5837" s="198"/>
    </row>
    <row r="5838" spans="1:8" ht="15.75" hidden="1" customHeight="1" x14ac:dyDescent="0.25">
      <c r="A5838" s="205" t="s">
        <v>6212</v>
      </c>
      <c r="B5838" s="206">
        <v>88286</v>
      </c>
      <c r="C5838" s="207" t="s">
        <v>6483</v>
      </c>
      <c r="D5838" s="208" t="s">
        <v>2193</v>
      </c>
      <c r="E5838" s="209">
        <v>8.1</v>
      </c>
      <c r="F5838" s="209">
        <v>31.7</v>
      </c>
      <c r="G5838" s="209">
        <v>39.799999999999997</v>
      </c>
      <c r="H5838" s="198"/>
    </row>
    <row r="5839" spans="1:8" ht="15.75" hidden="1" customHeight="1" x14ac:dyDescent="0.25">
      <c r="A5839" s="205" t="s">
        <v>6212</v>
      </c>
      <c r="B5839" s="206">
        <v>101425</v>
      </c>
      <c r="C5839" s="207" t="s">
        <v>6484</v>
      </c>
      <c r="D5839" s="208" t="s">
        <v>6214</v>
      </c>
      <c r="E5839" s="209">
        <v>434.91</v>
      </c>
      <c r="F5839" s="209">
        <v>3660.27</v>
      </c>
      <c r="G5839" s="209">
        <v>4095.18</v>
      </c>
      <c r="H5839" s="198"/>
    </row>
    <row r="5840" spans="1:8" ht="15.75" hidden="1" customHeight="1" x14ac:dyDescent="0.25">
      <c r="A5840" s="205" t="s">
        <v>6212</v>
      </c>
      <c r="B5840" s="206">
        <v>88288</v>
      </c>
      <c r="C5840" s="207" t="s">
        <v>6485</v>
      </c>
      <c r="D5840" s="208" t="s">
        <v>2193</v>
      </c>
      <c r="E5840" s="209">
        <v>2.31</v>
      </c>
      <c r="F5840" s="209">
        <v>20.88</v>
      </c>
      <c r="G5840" s="209">
        <v>23.19</v>
      </c>
      <c r="H5840" s="198"/>
    </row>
    <row r="5841" spans="1:8" ht="15.75" hidden="1" customHeight="1" x14ac:dyDescent="0.25">
      <c r="A5841" s="205" t="s">
        <v>6212</v>
      </c>
      <c r="B5841" s="206">
        <v>101426</v>
      </c>
      <c r="C5841" s="207" t="s">
        <v>6486</v>
      </c>
      <c r="D5841" s="208" t="s">
        <v>6214</v>
      </c>
      <c r="E5841" s="209">
        <v>1524.96</v>
      </c>
      <c r="F5841" s="209">
        <v>4807.91</v>
      </c>
      <c r="G5841" s="209">
        <v>6332.87</v>
      </c>
      <c r="H5841" s="198"/>
    </row>
    <row r="5842" spans="1:8" ht="15.75" hidden="1" customHeight="1" x14ac:dyDescent="0.25">
      <c r="A5842" s="205" t="s">
        <v>6212</v>
      </c>
      <c r="B5842" s="206">
        <v>88291</v>
      </c>
      <c r="C5842" s="207" t="s">
        <v>6487</v>
      </c>
      <c r="D5842" s="208" t="s">
        <v>2193</v>
      </c>
      <c r="E5842" s="209">
        <v>8.09</v>
      </c>
      <c r="F5842" s="209">
        <v>26.58</v>
      </c>
      <c r="G5842" s="209">
        <v>34.67</v>
      </c>
      <c r="H5842" s="198"/>
    </row>
    <row r="5843" spans="1:8" ht="15.75" hidden="1" customHeight="1" x14ac:dyDescent="0.25">
      <c r="A5843" s="205" t="s">
        <v>6212</v>
      </c>
      <c r="B5843" s="206">
        <v>101427</v>
      </c>
      <c r="C5843" s="207" t="s">
        <v>6487</v>
      </c>
      <c r="D5843" s="208" t="s">
        <v>6214</v>
      </c>
      <c r="E5843" s="209">
        <v>1525.21</v>
      </c>
      <c r="F5843" s="209">
        <v>4657.21</v>
      </c>
      <c r="G5843" s="209">
        <v>6182.42</v>
      </c>
      <c r="H5843" s="198"/>
    </row>
    <row r="5844" spans="1:8" ht="15.75" hidden="1" customHeight="1" x14ac:dyDescent="0.25">
      <c r="A5844" s="205" t="s">
        <v>6212</v>
      </c>
      <c r="B5844" s="206">
        <v>101428</v>
      </c>
      <c r="C5844" s="207" t="s">
        <v>6488</v>
      </c>
      <c r="D5844" s="208" t="s">
        <v>6214</v>
      </c>
      <c r="E5844" s="209">
        <v>1525</v>
      </c>
      <c r="F5844" s="209">
        <v>4374.41</v>
      </c>
      <c r="G5844" s="209">
        <v>5899.41</v>
      </c>
      <c r="H5844" s="198"/>
    </row>
    <row r="5845" spans="1:8" ht="15.75" hidden="1" customHeight="1" x14ac:dyDescent="0.25">
      <c r="A5845" s="205" t="s">
        <v>6212</v>
      </c>
      <c r="B5845" s="206">
        <v>88377</v>
      </c>
      <c r="C5845" s="207" t="s">
        <v>6489</v>
      </c>
      <c r="D5845" s="208" t="s">
        <v>2193</v>
      </c>
      <c r="E5845" s="209">
        <v>8.09</v>
      </c>
      <c r="F5845" s="209">
        <v>24.97</v>
      </c>
      <c r="G5845" s="209">
        <v>33.06</v>
      </c>
      <c r="H5845" s="198"/>
    </row>
    <row r="5846" spans="1:8" ht="15.75" hidden="1" customHeight="1" x14ac:dyDescent="0.25">
      <c r="A5846" s="205" t="s">
        <v>6212</v>
      </c>
      <c r="B5846" s="206">
        <v>101429</v>
      </c>
      <c r="C5846" s="207" t="s">
        <v>6490</v>
      </c>
      <c r="D5846" s="208" t="s">
        <v>6214</v>
      </c>
      <c r="E5846" s="209">
        <v>1525.08</v>
      </c>
      <c r="F5846" s="209">
        <v>3370.84</v>
      </c>
      <c r="G5846" s="209">
        <v>4895.92</v>
      </c>
      <c r="H5846" s="198"/>
    </row>
    <row r="5847" spans="1:8" ht="15.75" hidden="1" customHeight="1" x14ac:dyDescent="0.25">
      <c r="A5847" s="205" t="s">
        <v>6212</v>
      </c>
      <c r="B5847" s="206">
        <v>88292</v>
      </c>
      <c r="C5847" s="207" t="s">
        <v>6491</v>
      </c>
      <c r="D5847" s="208" t="s">
        <v>2193</v>
      </c>
      <c r="E5847" s="209">
        <v>8.09</v>
      </c>
      <c r="F5847" s="209">
        <v>19.23</v>
      </c>
      <c r="G5847" s="209">
        <v>27.32</v>
      </c>
      <c r="H5847" s="198"/>
    </row>
    <row r="5848" spans="1:8" ht="15.75" hidden="1" customHeight="1" x14ac:dyDescent="0.25">
      <c r="A5848" s="205" t="s">
        <v>6212</v>
      </c>
      <c r="B5848" s="206">
        <v>88293</v>
      </c>
      <c r="C5848" s="207" t="s">
        <v>6492</v>
      </c>
      <c r="D5848" s="208" t="s">
        <v>2193</v>
      </c>
      <c r="E5848" s="209">
        <v>8.09</v>
      </c>
      <c r="F5848" s="209">
        <v>26.58</v>
      </c>
      <c r="G5848" s="209">
        <v>34.67</v>
      </c>
      <c r="H5848" s="198"/>
    </row>
    <row r="5849" spans="1:8" ht="15.75" hidden="1" customHeight="1" x14ac:dyDescent="0.25">
      <c r="A5849" s="205" t="s">
        <v>6212</v>
      </c>
      <c r="B5849" s="206">
        <v>101430</v>
      </c>
      <c r="C5849" s="207" t="s">
        <v>6493</v>
      </c>
      <c r="D5849" s="208" t="s">
        <v>6214</v>
      </c>
      <c r="E5849" s="209">
        <v>1525.21</v>
      </c>
      <c r="F5849" s="209">
        <v>4657.21</v>
      </c>
      <c r="G5849" s="209">
        <v>6182.42</v>
      </c>
      <c r="H5849" s="198"/>
    </row>
    <row r="5850" spans="1:8" ht="15.75" hidden="1" customHeight="1" x14ac:dyDescent="0.25">
      <c r="A5850" s="205" t="s">
        <v>6212</v>
      </c>
      <c r="B5850" s="206">
        <v>88294</v>
      </c>
      <c r="C5850" s="207" t="s">
        <v>6494</v>
      </c>
      <c r="D5850" s="208" t="s">
        <v>2193</v>
      </c>
      <c r="E5850" s="209">
        <v>8.1</v>
      </c>
      <c r="F5850" s="209">
        <v>28.13</v>
      </c>
      <c r="G5850" s="209">
        <v>36.229999999999997</v>
      </c>
      <c r="H5850" s="198"/>
    </row>
    <row r="5851" spans="1:8" ht="15.75" hidden="1" customHeight="1" x14ac:dyDescent="0.25">
      <c r="A5851" s="205" t="s">
        <v>6212</v>
      </c>
      <c r="B5851" s="206">
        <v>101431</v>
      </c>
      <c r="C5851" s="207" t="s">
        <v>6494</v>
      </c>
      <c r="D5851" s="208" t="s">
        <v>6214</v>
      </c>
      <c r="E5851" s="209">
        <v>1524.97</v>
      </c>
      <c r="F5851" s="209">
        <v>4923.07</v>
      </c>
      <c r="G5851" s="209">
        <v>6448.04</v>
      </c>
      <c r="H5851" s="198"/>
    </row>
    <row r="5852" spans="1:8" ht="15.75" hidden="1" customHeight="1" x14ac:dyDescent="0.25">
      <c r="A5852" s="205" t="s">
        <v>6212</v>
      </c>
      <c r="B5852" s="206">
        <v>88295</v>
      </c>
      <c r="C5852" s="207" t="s">
        <v>6495</v>
      </c>
      <c r="D5852" s="208" t="s">
        <v>2193</v>
      </c>
      <c r="E5852" s="209">
        <v>8.09</v>
      </c>
      <c r="F5852" s="209">
        <v>26.29</v>
      </c>
      <c r="G5852" s="209">
        <v>34.380000000000003</v>
      </c>
      <c r="H5852" s="198"/>
    </row>
    <row r="5853" spans="1:8" ht="15.75" hidden="1" customHeight="1" x14ac:dyDescent="0.25">
      <c r="A5853" s="205" t="s">
        <v>6212</v>
      </c>
      <c r="B5853" s="206">
        <v>101432</v>
      </c>
      <c r="C5853" s="207" t="s">
        <v>6496</v>
      </c>
      <c r="D5853" s="208" t="s">
        <v>6214</v>
      </c>
      <c r="E5853" s="209">
        <v>1525.15</v>
      </c>
      <c r="F5853" s="209">
        <v>4597.47</v>
      </c>
      <c r="G5853" s="209">
        <v>6122.62</v>
      </c>
      <c r="H5853" s="198"/>
    </row>
    <row r="5854" spans="1:8" ht="15.75" hidden="1" customHeight="1" x14ac:dyDescent="0.25">
      <c r="A5854" s="205" t="s">
        <v>6212</v>
      </c>
      <c r="B5854" s="206">
        <v>88296</v>
      </c>
      <c r="C5854" s="207" t="s">
        <v>6497</v>
      </c>
      <c r="D5854" s="208" t="s">
        <v>2193</v>
      </c>
      <c r="E5854" s="209">
        <v>8.1</v>
      </c>
      <c r="F5854" s="209">
        <v>36.5</v>
      </c>
      <c r="G5854" s="209">
        <v>44.6</v>
      </c>
      <c r="H5854" s="198"/>
    </row>
    <row r="5855" spans="1:8" ht="15.75" hidden="1" customHeight="1" x14ac:dyDescent="0.25">
      <c r="A5855" s="205" t="s">
        <v>6212</v>
      </c>
      <c r="B5855" s="206">
        <v>101433</v>
      </c>
      <c r="C5855" s="207" t="s">
        <v>6497</v>
      </c>
      <c r="D5855" s="208" t="s">
        <v>6214</v>
      </c>
      <c r="E5855" s="209">
        <v>1525.04</v>
      </c>
      <c r="F5855" s="209">
        <v>6384.87</v>
      </c>
      <c r="G5855" s="209">
        <v>7909.91</v>
      </c>
      <c r="H5855" s="198"/>
    </row>
    <row r="5856" spans="1:8" ht="15.75" hidden="1" customHeight="1" x14ac:dyDescent="0.25">
      <c r="A5856" s="205" t="s">
        <v>6212</v>
      </c>
      <c r="B5856" s="206">
        <v>101434</v>
      </c>
      <c r="C5856" s="207" t="s">
        <v>6498</v>
      </c>
      <c r="D5856" s="208" t="s">
        <v>6214</v>
      </c>
      <c r="E5856" s="209">
        <v>1525</v>
      </c>
      <c r="F5856" s="209">
        <v>4253.67</v>
      </c>
      <c r="G5856" s="209">
        <v>5778.67</v>
      </c>
      <c r="H5856" s="198"/>
    </row>
    <row r="5857" spans="1:8" ht="15.75" hidden="1" customHeight="1" x14ac:dyDescent="0.25">
      <c r="A5857" s="205" t="s">
        <v>6212</v>
      </c>
      <c r="B5857" s="206">
        <v>88298</v>
      </c>
      <c r="C5857" s="207" t="s">
        <v>6499</v>
      </c>
      <c r="D5857" s="208" t="s">
        <v>2193</v>
      </c>
      <c r="E5857" s="209">
        <v>8.09</v>
      </c>
      <c r="F5857" s="209">
        <v>23.81</v>
      </c>
      <c r="G5857" s="209">
        <v>31.9</v>
      </c>
      <c r="H5857" s="198"/>
    </row>
    <row r="5858" spans="1:8" ht="15.75" hidden="1" customHeight="1" x14ac:dyDescent="0.25">
      <c r="A5858" s="205" t="s">
        <v>6212</v>
      </c>
      <c r="B5858" s="206">
        <v>101436</v>
      </c>
      <c r="C5858" s="207" t="s">
        <v>6499</v>
      </c>
      <c r="D5858" s="208" t="s">
        <v>6214</v>
      </c>
      <c r="E5858" s="209">
        <v>1525</v>
      </c>
      <c r="F5858" s="209">
        <v>4171.6400000000003</v>
      </c>
      <c r="G5858" s="209">
        <v>5696.64</v>
      </c>
      <c r="H5858" s="198"/>
    </row>
    <row r="5859" spans="1:8" ht="15.75" hidden="1" customHeight="1" x14ac:dyDescent="0.25">
      <c r="A5859" s="205" t="s">
        <v>6212</v>
      </c>
      <c r="B5859" s="206">
        <v>101437</v>
      </c>
      <c r="C5859" s="207" t="s">
        <v>6500</v>
      </c>
      <c r="D5859" s="208" t="s">
        <v>6214</v>
      </c>
      <c r="E5859" s="209">
        <v>1525.29</v>
      </c>
      <c r="F5859" s="209">
        <v>5999.56</v>
      </c>
      <c r="G5859" s="209">
        <v>7524.85</v>
      </c>
      <c r="H5859" s="198"/>
    </row>
    <row r="5860" spans="1:8" ht="15.75" hidden="1" customHeight="1" x14ac:dyDescent="0.25">
      <c r="A5860" s="205" t="s">
        <v>6212</v>
      </c>
      <c r="B5860" s="206">
        <v>88299</v>
      </c>
      <c r="C5860" s="207" t="s">
        <v>6501</v>
      </c>
      <c r="D5860" s="208" t="s">
        <v>2193</v>
      </c>
      <c r="E5860" s="209">
        <v>8.1</v>
      </c>
      <c r="F5860" s="209">
        <v>34.26</v>
      </c>
      <c r="G5860" s="209">
        <v>42.36</v>
      </c>
      <c r="H5860" s="198"/>
    </row>
    <row r="5861" spans="1:8" ht="15.75" hidden="1" customHeight="1" x14ac:dyDescent="0.25">
      <c r="A5861" s="205" t="s">
        <v>6212</v>
      </c>
      <c r="B5861" s="206">
        <v>88300</v>
      </c>
      <c r="C5861" s="207" t="s">
        <v>6502</v>
      </c>
      <c r="D5861" s="208" t="s">
        <v>2193</v>
      </c>
      <c r="E5861" s="209">
        <v>8.1</v>
      </c>
      <c r="F5861" s="209">
        <v>34.26</v>
      </c>
      <c r="G5861" s="209">
        <v>42.36</v>
      </c>
      <c r="H5861" s="198"/>
    </row>
    <row r="5862" spans="1:8" ht="15.75" hidden="1" customHeight="1" x14ac:dyDescent="0.25">
      <c r="A5862" s="205" t="s">
        <v>6212</v>
      </c>
      <c r="B5862" s="206">
        <v>101438</v>
      </c>
      <c r="C5862" s="207" t="s">
        <v>6502</v>
      </c>
      <c r="D5862" s="208" t="s">
        <v>6214</v>
      </c>
      <c r="E5862" s="209">
        <v>1525.29</v>
      </c>
      <c r="F5862" s="209">
        <v>5999.56</v>
      </c>
      <c r="G5862" s="209">
        <v>7524.85</v>
      </c>
      <c r="H5862" s="198"/>
    </row>
    <row r="5863" spans="1:8" ht="15.75" hidden="1" customHeight="1" x14ac:dyDescent="0.25">
      <c r="A5863" s="205" t="s">
        <v>6212</v>
      </c>
      <c r="B5863" s="206">
        <v>88297</v>
      </c>
      <c r="C5863" s="207" t="s">
        <v>6503</v>
      </c>
      <c r="D5863" s="208" t="s">
        <v>2193</v>
      </c>
      <c r="E5863" s="209">
        <v>8.09</v>
      </c>
      <c r="F5863" s="209">
        <v>26.91</v>
      </c>
      <c r="G5863" s="209">
        <v>35</v>
      </c>
      <c r="H5863" s="198"/>
    </row>
    <row r="5864" spans="1:8" ht="15.75" hidden="1" customHeight="1" x14ac:dyDescent="0.25">
      <c r="A5864" s="205" t="s">
        <v>6212</v>
      </c>
      <c r="B5864" s="206">
        <v>101435</v>
      </c>
      <c r="C5864" s="207" t="s">
        <v>6504</v>
      </c>
      <c r="D5864" s="208" t="s">
        <v>6214</v>
      </c>
      <c r="E5864" s="209">
        <v>1525.12</v>
      </c>
      <c r="F5864" s="209">
        <v>4710</v>
      </c>
      <c r="G5864" s="209">
        <v>6235.12</v>
      </c>
      <c r="H5864" s="198"/>
    </row>
    <row r="5865" spans="1:8" ht="15.75" hidden="1" customHeight="1" x14ac:dyDescent="0.25">
      <c r="A5865" s="205" t="s">
        <v>6212</v>
      </c>
      <c r="B5865" s="206">
        <v>101440</v>
      </c>
      <c r="C5865" s="207" t="s">
        <v>6505</v>
      </c>
      <c r="D5865" s="208" t="s">
        <v>6214</v>
      </c>
      <c r="E5865" s="209">
        <v>1525.21</v>
      </c>
      <c r="F5865" s="209">
        <v>4657.21</v>
      </c>
      <c r="G5865" s="209">
        <v>6182.42</v>
      </c>
      <c r="H5865" s="198"/>
    </row>
    <row r="5866" spans="1:8" ht="15.75" hidden="1" customHeight="1" x14ac:dyDescent="0.25">
      <c r="A5866" s="205" t="s">
        <v>6212</v>
      </c>
      <c r="B5866" s="206">
        <v>88302</v>
      </c>
      <c r="C5866" s="207" t="s">
        <v>6506</v>
      </c>
      <c r="D5866" s="208" t="s">
        <v>2193</v>
      </c>
      <c r="E5866" s="209">
        <v>8.09</v>
      </c>
      <c r="F5866" s="209">
        <v>26.58</v>
      </c>
      <c r="G5866" s="209">
        <v>34.67</v>
      </c>
      <c r="H5866" s="198"/>
    </row>
    <row r="5867" spans="1:8" ht="15.75" hidden="1" customHeight="1" x14ac:dyDescent="0.25">
      <c r="A5867" s="205" t="s">
        <v>6212</v>
      </c>
      <c r="B5867" s="206">
        <v>88301</v>
      </c>
      <c r="C5867" s="207" t="s">
        <v>6507</v>
      </c>
      <c r="D5867" s="208" t="s">
        <v>2193</v>
      </c>
      <c r="E5867" s="209">
        <v>8.09</v>
      </c>
      <c r="F5867" s="209">
        <v>26.58</v>
      </c>
      <c r="G5867" s="209">
        <v>34.67</v>
      </c>
      <c r="H5867" s="198"/>
    </row>
    <row r="5868" spans="1:8" ht="15.75" hidden="1" customHeight="1" x14ac:dyDescent="0.25">
      <c r="A5868" s="205" t="s">
        <v>6212</v>
      </c>
      <c r="B5868" s="206">
        <v>101439</v>
      </c>
      <c r="C5868" s="207" t="s">
        <v>6507</v>
      </c>
      <c r="D5868" s="208" t="s">
        <v>6214</v>
      </c>
      <c r="E5868" s="209">
        <v>1525.21</v>
      </c>
      <c r="F5868" s="209">
        <v>4657.21</v>
      </c>
      <c r="G5868" s="209">
        <v>6182.42</v>
      </c>
      <c r="H5868" s="198"/>
    </row>
    <row r="5869" spans="1:8" ht="15.75" hidden="1" customHeight="1" x14ac:dyDescent="0.25">
      <c r="A5869" s="205" t="s">
        <v>6212</v>
      </c>
      <c r="B5869" s="206">
        <v>88303</v>
      </c>
      <c r="C5869" s="207" t="s">
        <v>6508</v>
      </c>
      <c r="D5869" s="208" t="s">
        <v>2193</v>
      </c>
      <c r="E5869" s="209">
        <v>8.1</v>
      </c>
      <c r="F5869" s="209">
        <v>22.08</v>
      </c>
      <c r="G5869" s="209">
        <v>30.18</v>
      </c>
      <c r="H5869" s="198"/>
    </row>
    <row r="5870" spans="1:8" ht="15.75" hidden="1" customHeight="1" x14ac:dyDescent="0.25">
      <c r="A5870" s="205" t="s">
        <v>6212</v>
      </c>
      <c r="B5870" s="206">
        <v>101441</v>
      </c>
      <c r="C5870" s="207" t="s">
        <v>6508</v>
      </c>
      <c r="D5870" s="208" t="s">
        <v>6214</v>
      </c>
      <c r="E5870" s="209">
        <v>1525.53</v>
      </c>
      <c r="F5870" s="209">
        <v>3870.73</v>
      </c>
      <c r="G5870" s="209">
        <v>5396.26</v>
      </c>
      <c r="H5870" s="198"/>
    </row>
    <row r="5871" spans="1:8" ht="15.75" hidden="1" customHeight="1" x14ac:dyDescent="0.25">
      <c r="A5871" s="205" t="s">
        <v>6212</v>
      </c>
      <c r="B5871" s="206">
        <v>88304</v>
      </c>
      <c r="C5871" s="207" t="s">
        <v>6509</v>
      </c>
      <c r="D5871" s="208" t="s">
        <v>2193</v>
      </c>
      <c r="E5871" s="209">
        <v>8.1</v>
      </c>
      <c r="F5871" s="209">
        <v>34.26</v>
      </c>
      <c r="G5871" s="209">
        <v>42.36</v>
      </c>
      <c r="H5871" s="198"/>
    </row>
    <row r="5872" spans="1:8" ht="15.75" hidden="1" customHeight="1" x14ac:dyDescent="0.25">
      <c r="A5872" s="205" t="s">
        <v>6212</v>
      </c>
      <c r="B5872" s="206">
        <v>101443</v>
      </c>
      <c r="C5872" s="207" t="s">
        <v>6509</v>
      </c>
      <c r="D5872" s="208" t="s">
        <v>6214</v>
      </c>
      <c r="E5872" s="209">
        <v>1525.29</v>
      </c>
      <c r="F5872" s="209">
        <v>5999.56</v>
      </c>
      <c r="G5872" s="209">
        <v>7524.85</v>
      </c>
      <c r="H5872" s="198"/>
    </row>
    <row r="5873" spans="1:8" ht="15.75" hidden="1" customHeight="1" x14ac:dyDescent="0.25">
      <c r="A5873" s="205" t="s">
        <v>6212</v>
      </c>
      <c r="B5873" s="206">
        <v>88306</v>
      </c>
      <c r="C5873" s="207" t="s">
        <v>6510</v>
      </c>
      <c r="D5873" s="208" t="s">
        <v>2193</v>
      </c>
      <c r="E5873" s="209">
        <v>8.1</v>
      </c>
      <c r="F5873" s="209">
        <v>24.29</v>
      </c>
      <c r="G5873" s="209">
        <v>32.39</v>
      </c>
      <c r="H5873" s="198"/>
    </row>
    <row r="5874" spans="1:8" ht="15.75" hidden="1" customHeight="1" x14ac:dyDescent="0.25">
      <c r="A5874" s="205" t="s">
        <v>6212</v>
      </c>
      <c r="B5874" s="206">
        <v>88307</v>
      </c>
      <c r="C5874" s="207" t="s">
        <v>6511</v>
      </c>
      <c r="D5874" s="208" t="s">
        <v>2193</v>
      </c>
      <c r="E5874" s="209">
        <v>8.1</v>
      </c>
      <c r="F5874" s="209">
        <v>27.42</v>
      </c>
      <c r="G5874" s="209">
        <v>35.520000000000003</v>
      </c>
      <c r="H5874" s="198"/>
    </row>
    <row r="5875" spans="1:8" ht="15.75" hidden="1" customHeight="1" x14ac:dyDescent="0.25">
      <c r="A5875" s="205" t="s">
        <v>6212</v>
      </c>
      <c r="B5875" s="206">
        <v>88308</v>
      </c>
      <c r="C5875" s="207" t="s">
        <v>6512</v>
      </c>
      <c r="D5875" s="208" t="s">
        <v>2193</v>
      </c>
      <c r="E5875" s="209">
        <v>9.2899999999999991</v>
      </c>
      <c r="F5875" s="209">
        <v>27.44</v>
      </c>
      <c r="G5875" s="209">
        <v>36.729999999999997</v>
      </c>
      <c r="H5875" s="198"/>
    </row>
    <row r="5876" spans="1:8" ht="15.75" hidden="1" customHeight="1" x14ac:dyDescent="0.25">
      <c r="A5876" s="205" t="s">
        <v>6212</v>
      </c>
      <c r="B5876" s="206">
        <v>101444</v>
      </c>
      <c r="C5876" s="207" t="s">
        <v>6512</v>
      </c>
      <c r="D5876" s="208" t="s">
        <v>6214</v>
      </c>
      <c r="E5876" s="209">
        <v>1752.17</v>
      </c>
      <c r="F5876" s="209">
        <v>4800.4399999999996</v>
      </c>
      <c r="G5876" s="209">
        <v>6552.61</v>
      </c>
      <c r="H5876" s="198"/>
    </row>
    <row r="5877" spans="1:8" ht="15.75" hidden="1" customHeight="1" x14ac:dyDescent="0.25">
      <c r="A5877" s="205" t="s">
        <v>6212</v>
      </c>
      <c r="B5877" s="206">
        <v>88309</v>
      </c>
      <c r="C5877" s="207" t="s">
        <v>6513</v>
      </c>
      <c r="D5877" s="208" t="s">
        <v>2193</v>
      </c>
      <c r="E5877" s="209">
        <v>9.2799999999999994</v>
      </c>
      <c r="F5877" s="209">
        <v>27.63</v>
      </c>
      <c r="G5877" s="209">
        <v>36.909999999999997</v>
      </c>
      <c r="H5877" s="198"/>
    </row>
    <row r="5878" spans="1:8" ht="15.75" hidden="1" customHeight="1" x14ac:dyDescent="0.25">
      <c r="A5878" s="205" t="s">
        <v>6212</v>
      </c>
      <c r="B5878" s="206">
        <v>101445</v>
      </c>
      <c r="C5878" s="207" t="s">
        <v>6513</v>
      </c>
      <c r="D5878" s="208" t="s">
        <v>6214</v>
      </c>
      <c r="E5878" s="209">
        <v>1752.41</v>
      </c>
      <c r="F5878" s="209">
        <v>4823.22</v>
      </c>
      <c r="G5878" s="209">
        <v>6575.63</v>
      </c>
      <c r="H5878" s="198"/>
    </row>
    <row r="5879" spans="1:8" ht="15.75" hidden="1" customHeight="1" x14ac:dyDescent="0.25">
      <c r="A5879" s="205" t="s">
        <v>6212</v>
      </c>
      <c r="B5879" s="206">
        <v>88310</v>
      </c>
      <c r="C5879" s="207" t="s">
        <v>6514</v>
      </c>
      <c r="D5879" s="208" t="s">
        <v>2193</v>
      </c>
      <c r="E5879" s="209">
        <v>11.1</v>
      </c>
      <c r="F5879" s="209">
        <v>27.44</v>
      </c>
      <c r="G5879" s="209">
        <v>38.54</v>
      </c>
      <c r="H5879" s="198"/>
    </row>
    <row r="5880" spans="1:8" ht="15.75" hidden="1" customHeight="1" x14ac:dyDescent="0.25">
      <c r="A5880" s="205" t="s">
        <v>6212</v>
      </c>
      <c r="B5880" s="206">
        <v>101446</v>
      </c>
      <c r="C5880" s="207" t="s">
        <v>6514</v>
      </c>
      <c r="D5880" s="208" t="s">
        <v>6214</v>
      </c>
      <c r="E5880" s="209">
        <v>2092.84</v>
      </c>
      <c r="F5880" s="209">
        <v>4800.54</v>
      </c>
      <c r="G5880" s="209">
        <v>6893.38</v>
      </c>
      <c r="H5880" s="198"/>
    </row>
    <row r="5881" spans="1:8" ht="15.75" hidden="1" customHeight="1" x14ac:dyDescent="0.25">
      <c r="A5881" s="205" t="s">
        <v>6212</v>
      </c>
      <c r="B5881" s="206">
        <v>88311</v>
      </c>
      <c r="C5881" s="207" t="s">
        <v>6515</v>
      </c>
      <c r="D5881" s="208" t="s">
        <v>2193</v>
      </c>
      <c r="E5881" s="209">
        <v>11.09</v>
      </c>
      <c r="F5881" s="209">
        <v>26.64</v>
      </c>
      <c r="G5881" s="209">
        <v>37.729999999999997</v>
      </c>
      <c r="H5881" s="198"/>
    </row>
    <row r="5882" spans="1:8" ht="15.75" hidden="1" customHeight="1" x14ac:dyDescent="0.25">
      <c r="A5882" s="205" t="s">
        <v>6212</v>
      </c>
      <c r="B5882" s="206">
        <v>101447</v>
      </c>
      <c r="C5882" s="207" t="s">
        <v>6515</v>
      </c>
      <c r="D5882" s="208" t="s">
        <v>6214</v>
      </c>
      <c r="E5882" s="209">
        <v>2093.2199999999998</v>
      </c>
      <c r="F5882" s="209">
        <v>4661.2700000000004</v>
      </c>
      <c r="G5882" s="209">
        <v>6754.49</v>
      </c>
      <c r="H5882" s="198"/>
    </row>
    <row r="5883" spans="1:8" ht="15.75" hidden="1" customHeight="1" x14ac:dyDescent="0.25">
      <c r="A5883" s="205" t="s">
        <v>6212</v>
      </c>
      <c r="B5883" s="206">
        <v>88312</v>
      </c>
      <c r="C5883" s="207" t="s">
        <v>6516</v>
      </c>
      <c r="D5883" s="208" t="s">
        <v>2193</v>
      </c>
      <c r="E5883" s="209">
        <v>11.1</v>
      </c>
      <c r="F5883" s="209">
        <v>27.44</v>
      </c>
      <c r="G5883" s="209">
        <v>38.54</v>
      </c>
      <c r="H5883" s="198"/>
    </row>
    <row r="5884" spans="1:8" ht="15.75" hidden="1" customHeight="1" x14ac:dyDescent="0.25">
      <c r="A5884" s="205" t="s">
        <v>6212</v>
      </c>
      <c r="B5884" s="206">
        <v>101448</v>
      </c>
      <c r="C5884" s="207" t="s">
        <v>6516</v>
      </c>
      <c r="D5884" s="208" t="s">
        <v>6214</v>
      </c>
      <c r="E5884" s="209">
        <v>2092.84</v>
      </c>
      <c r="F5884" s="209">
        <v>4800.54</v>
      </c>
      <c r="G5884" s="209">
        <v>6893.38</v>
      </c>
      <c r="H5884" s="198"/>
    </row>
    <row r="5885" spans="1:8" ht="15.75" hidden="1" customHeight="1" x14ac:dyDescent="0.25">
      <c r="A5885" s="205" t="s">
        <v>6212</v>
      </c>
      <c r="B5885" s="206">
        <v>101449</v>
      </c>
      <c r="C5885" s="207" t="s">
        <v>6517</v>
      </c>
      <c r="D5885" s="208" t="s">
        <v>6214</v>
      </c>
      <c r="E5885" s="209">
        <v>1525.51</v>
      </c>
      <c r="F5885" s="209">
        <v>3695.25</v>
      </c>
      <c r="G5885" s="209">
        <v>5220.76</v>
      </c>
      <c r="H5885" s="198"/>
    </row>
    <row r="5886" spans="1:8" ht="15.75" hidden="1" customHeight="1" x14ac:dyDescent="0.25">
      <c r="A5886" s="205" t="s">
        <v>6212</v>
      </c>
      <c r="B5886" s="206">
        <v>88313</v>
      </c>
      <c r="C5886" s="207" t="s">
        <v>6518</v>
      </c>
      <c r="D5886" s="208" t="s">
        <v>2193</v>
      </c>
      <c r="E5886" s="209">
        <v>8.1</v>
      </c>
      <c r="F5886" s="209">
        <v>21.14</v>
      </c>
      <c r="G5886" s="209">
        <v>29.24</v>
      </c>
      <c r="H5886" s="198"/>
    </row>
    <row r="5887" spans="1:8" ht="15.75" hidden="1" customHeight="1" x14ac:dyDescent="0.25">
      <c r="A5887" s="205" t="s">
        <v>6212</v>
      </c>
      <c r="B5887" s="206">
        <v>88314</v>
      </c>
      <c r="C5887" s="207" t="s">
        <v>6519</v>
      </c>
      <c r="D5887" s="208" t="s">
        <v>2193</v>
      </c>
      <c r="E5887" s="209">
        <v>8.09</v>
      </c>
      <c r="F5887" s="209">
        <v>23.08</v>
      </c>
      <c r="G5887" s="209">
        <v>31.17</v>
      </c>
      <c r="H5887" s="198"/>
    </row>
    <row r="5888" spans="1:8" ht="15.75" hidden="1" customHeight="1" x14ac:dyDescent="0.25">
      <c r="A5888" s="205" t="s">
        <v>6212</v>
      </c>
      <c r="B5888" s="206">
        <v>88315</v>
      </c>
      <c r="C5888" s="207" t="s">
        <v>6520</v>
      </c>
      <c r="D5888" s="208" t="s">
        <v>2193</v>
      </c>
      <c r="E5888" s="209">
        <v>9.2799999999999994</v>
      </c>
      <c r="F5888" s="209">
        <v>27.37</v>
      </c>
      <c r="G5888" s="209">
        <v>36.65</v>
      </c>
      <c r="H5888" s="198"/>
    </row>
    <row r="5889" spans="1:8" ht="15.75" hidden="1" customHeight="1" x14ac:dyDescent="0.25">
      <c r="A5889" s="205" t="s">
        <v>6212</v>
      </c>
      <c r="B5889" s="206">
        <v>101451</v>
      </c>
      <c r="C5889" s="207" t="s">
        <v>6520</v>
      </c>
      <c r="D5889" s="208" t="s">
        <v>6214</v>
      </c>
      <c r="E5889" s="209">
        <v>1752.36</v>
      </c>
      <c r="F5889" s="209">
        <v>4788.71</v>
      </c>
      <c r="G5889" s="209">
        <v>6541.07</v>
      </c>
      <c r="H5889" s="198"/>
    </row>
    <row r="5890" spans="1:8" ht="15.75" hidden="1" customHeight="1" x14ac:dyDescent="0.25">
      <c r="A5890" s="205" t="s">
        <v>6212</v>
      </c>
      <c r="B5890" s="206">
        <v>88316</v>
      </c>
      <c r="C5890" s="207" t="s">
        <v>6521</v>
      </c>
      <c r="D5890" s="208" t="s">
        <v>2193</v>
      </c>
      <c r="E5890" s="209">
        <v>9.1999999999999993</v>
      </c>
      <c r="F5890" s="209">
        <v>19.510000000000002</v>
      </c>
      <c r="G5890" s="209">
        <v>28.71</v>
      </c>
      <c r="H5890" s="198"/>
    </row>
    <row r="5891" spans="1:8" ht="15.75" hidden="1" customHeight="1" x14ac:dyDescent="0.25">
      <c r="A5891" s="205" t="s">
        <v>6212</v>
      </c>
      <c r="B5891" s="206">
        <v>101452</v>
      </c>
      <c r="C5891" s="207" t="s">
        <v>6522</v>
      </c>
      <c r="D5891" s="208" t="s">
        <v>6214</v>
      </c>
      <c r="E5891" s="209">
        <v>1734.01</v>
      </c>
      <c r="F5891" s="209">
        <v>3408.34</v>
      </c>
      <c r="G5891" s="209">
        <v>5142.3500000000004</v>
      </c>
      <c r="H5891" s="198"/>
    </row>
    <row r="5892" spans="1:8" ht="15.75" hidden="1" customHeight="1" x14ac:dyDescent="0.25">
      <c r="A5892" s="205" t="s">
        <v>6212</v>
      </c>
      <c r="B5892" s="206">
        <v>95967</v>
      </c>
      <c r="C5892" s="207" t="s">
        <v>6523</v>
      </c>
      <c r="D5892" s="208" t="s">
        <v>2193</v>
      </c>
      <c r="E5892" s="209">
        <v>5.1699999999999902</v>
      </c>
      <c r="F5892" s="209">
        <v>182.68</v>
      </c>
      <c r="G5892" s="209">
        <v>187.85</v>
      </c>
      <c r="H5892" s="198"/>
    </row>
    <row r="5893" spans="1:8" ht="15.75" hidden="1" customHeight="1" x14ac:dyDescent="0.25">
      <c r="A5893" s="205" t="s">
        <v>6212</v>
      </c>
      <c r="B5893" s="206">
        <v>88318</v>
      </c>
      <c r="C5893" s="207" t="s">
        <v>6524</v>
      </c>
      <c r="D5893" s="208" t="s">
        <v>2193</v>
      </c>
      <c r="E5893" s="209">
        <v>10.220000000000001</v>
      </c>
      <c r="F5893" s="209">
        <v>22.47</v>
      </c>
      <c r="G5893" s="209">
        <v>32.69</v>
      </c>
      <c r="H5893" s="198"/>
    </row>
    <row r="5894" spans="1:8" ht="15.75" hidden="1" customHeight="1" x14ac:dyDescent="0.25">
      <c r="A5894" s="205" t="s">
        <v>6212</v>
      </c>
      <c r="B5894" s="206">
        <v>88317</v>
      </c>
      <c r="C5894" s="207" t="s">
        <v>6525</v>
      </c>
      <c r="D5894" s="208" t="s">
        <v>2193</v>
      </c>
      <c r="E5894" s="209">
        <v>10.23</v>
      </c>
      <c r="F5894" s="209">
        <v>27.75</v>
      </c>
      <c r="G5894" s="209">
        <v>37.979999999999997</v>
      </c>
      <c r="H5894" s="198"/>
    </row>
    <row r="5895" spans="1:8" ht="15.75" hidden="1" customHeight="1" x14ac:dyDescent="0.25">
      <c r="A5895" s="205" t="s">
        <v>6212</v>
      </c>
      <c r="B5895" s="206">
        <v>101453</v>
      </c>
      <c r="C5895" s="207" t="s">
        <v>6525</v>
      </c>
      <c r="D5895" s="208" t="s">
        <v>6214</v>
      </c>
      <c r="E5895" s="209">
        <v>1928.8</v>
      </c>
      <c r="F5895" s="209">
        <v>4857.9399999999996</v>
      </c>
      <c r="G5895" s="209">
        <v>6786.74</v>
      </c>
      <c r="H5895" s="198"/>
    </row>
    <row r="5896" spans="1:8" ht="15.75" hidden="1" customHeight="1" x14ac:dyDescent="0.25">
      <c r="A5896" s="205" t="s">
        <v>6212</v>
      </c>
      <c r="B5896" s="206">
        <v>101454</v>
      </c>
      <c r="C5896" s="207" t="s">
        <v>6526</v>
      </c>
      <c r="D5896" s="208" t="s">
        <v>6214</v>
      </c>
      <c r="E5896" s="209">
        <v>1928.98</v>
      </c>
      <c r="F5896" s="209">
        <v>3932.38</v>
      </c>
      <c r="G5896" s="209">
        <v>5861.36</v>
      </c>
      <c r="H5896" s="198"/>
    </row>
    <row r="5897" spans="1:8" ht="15.75" hidden="1" customHeight="1" x14ac:dyDescent="0.25">
      <c r="A5897" s="205" t="s">
        <v>6212</v>
      </c>
      <c r="B5897" s="206">
        <v>100533</v>
      </c>
      <c r="C5897" s="207" t="s">
        <v>6527</v>
      </c>
      <c r="D5897" s="208" t="s">
        <v>2193</v>
      </c>
      <c r="E5897" s="209">
        <v>2.2999999999999998</v>
      </c>
      <c r="F5897" s="209">
        <v>21.75</v>
      </c>
      <c r="G5897" s="209">
        <v>24.05</v>
      </c>
      <c r="H5897" s="198"/>
    </row>
    <row r="5898" spans="1:8" ht="15.75" hidden="1" customHeight="1" x14ac:dyDescent="0.25">
      <c r="A5898" s="205" t="s">
        <v>6212</v>
      </c>
      <c r="B5898" s="206">
        <v>100534</v>
      </c>
      <c r="C5898" s="207" t="s">
        <v>6527</v>
      </c>
      <c r="D5898" s="208" t="s">
        <v>6214</v>
      </c>
      <c r="E5898" s="209">
        <v>450.78</v>
      </c>
      <c r="F5898" s="209">
        <v>3801.81</v>
      </c>
      <c r="G5898" s="209">
        <v>4252.59</v>
      </c>
      <c r="H5898" s="198"/>
    </row>
    <row r="5899" spans="1:8" ht="15.75" hidden="1" customHeight="1" x14ac:dyDescent="0.25">
      <c r="A5899" s="205" t="s">
        <v>6212</v>
      </c>
      <c r="B5899" s="206">
        <v>88323</v>
      </c>
      <c r="C5899" s="207" t="s">
        <v>6528</v>
      </c>
      <c r="D5899" s="208" t="s">
        <v>2193</v>
      </c>
      <c r="E5899" s="209">
        <v>9.07</v>
      </c>
      <c r="F5899" s="209">
        <v>27.03</v>
      </c>
      <c r="G5899" s="209">
        <v>36.1</v>
      </c>
      <c r="H5899" s="198"/>
    </row>
    <row r="5900" spans="1:8" ht="15.75" hidden="1" customHeight="1" x14ac:dyDescent="0.25">
      <c r="A5900" s="205" t="s">
        <v>6212</v>
      </c>
      <c r="B5900" s="206">
        <v>101458</v>
      </c>
      <c r="C5900" s="207" t="s">
        <v>6529</v>
      </c>
      <c r="D5900" s="208" t="s">
        <v>6214</v>
      </c>
      <c r="E5900" s="209">
        <v>1710.35</v>
      </c>
      <c r="F5900" s="209">
        <v>4731.63</v>
      </c>
      <c r="G5900" s="209">
        <v>6441.98</v>
      </c>
      <c r="H5900" s="198"/>
    </row>
    <row r="5901" spans="1:8" ht="15.75" hidden="1" customHeight="1" x14ac:dyDescent="0.25">
      <c r="A5901" s="205" t="s">
        <v>6212</v>
      </c>
      <c r="B5901" s="206">
        <v>90781</v>
      </c>
      <c r="C5901" s="207" t="s">
        <v>6530</v>
      </c>
      <c r="D5901" s="208" t="s">
        <v>2193</v>
      </c>
      <c r="E5901" s="209">
        <v>2.31</v>
      </c>
      <c r="F5901" s="209">
        <v>27.27</v>
      </c>
      <c r="G5901" s="209">
        <v>29.58</v>
      </c>
      <c r="H5901" s="198"/>
    </row>
    <row r="5902" spans="1:8" ht="15.75" hidden="1" customHeight="1" x14ac:dyDescent="0.25">
      <c r="A5902" s="205" t="s">
        <v>6212</v>
      </c>
      <c r="B5902" s="206">
        <v>94296</v>
      </c>
      <c r="C5902" s="207" t="s">
        <v>6530</v>
      </c>
      <c r="D5902" s="208" t="s">
        <v>6214</v>
      </c>
      <c r="E5902" s="209">
        <v>434.69000000000102</v>
      </c>
      <c r="F5902" s="209">
        <v>4777.3999999999996</v>
      </c>
      <c r="G5902" s="209">
        <v>5212.09</v>
      </c>
      <c r="H5902" s="198"/>
    </row>
    <row r="5903" spans="1:8" ht="15.75" hidden="1" customHeight="1" x14ac:dyDescent="0.25">
      <c r="A5903" s="205" t="s">
        <v>6212</v>
      </c>
      <c r="B5903" s="206">
        <v>88324</v>
      </c>
      <c r="C5903" s="207" t="s">
        <v>6531</v>
      </c>
      <c r="D5903" s="208" t="s">
        <v>2193</v>
      </c>
      <c r="E5903" s="209">
        <v>8.09</v>
      </c>
      <c r="F5903" s="209">
        <v>26.91</v>
      </c>
      <c r="G5903" s="209">
        <v>35</v>
      </c>
      <c r="H5903" s="198"/>
    </row>
    <row r="5904" spans="1:8" ht="15.75" hidden="1" customHeight="1" x14ac:dyDescent="0.25">
      <c r="A5904" s="205" t="s">
        <v>6212</v>
      </c>
      <c r="B5904" s="206">
        <v>88321</v>
      </c>
      <c r="C5904" s="207" t="s">
        <v>6532</v>
      </c>
      <c r="D5904" s="208" t="s">
        <v>2193</v>
      </c>
      <c r="E5904" s="209">
        <v>2.39</v>
      </c>
      <c r="F5904" s="209">
        <v>39.9</v>
      </c>
      <c r="G5904" s="209">
        <v>42.29</v>
      </c>
      <c r="H5904" s="198"/>
    </row>
    <row r="5905" spans="1:8" ht="15.75" hidden="1" customHeight="1" x14ac:dyDescent="0.25">
      <c r="A5905" s="205" t="s">
        <v>6212</v>
      </c>
      <c r="B5905" s="206">
        <v>101456</v>
      </c>
      <c r="C5905" s="207" t="s">
        <v>6533</v>
      </c>
      <c r="D5905" s="208" t="s">
        <v>6214</v>
      </c>
      <c r="E5905" s="209">
        <v>450.84</v>
      </c>
      <c r="F5905" s="209">
        <v>6988.68</v>
      </c>
      <c r="G5905" s="209">
        <v>7439.52</v>
      </c>
      <c r="H5905" s="198"/>
    </row>
    <row r="5906" spans="1:8" ht="15.75" hidden="1" customHeight="1" x14ac:dyDescent="0.25">
      <c r="A5906" s="205" t="s">
        <v>6212</v>
      </c>
      <c r="B5906" s="206">
        <v>88322</v>
      </c>
      <c r="C5906" s="207" t="s">
        <v>6534</v>
      </c>
      <c r="D5906" s="208" t="s">
        <v>2193</v>
      </c>
      <c r="E5906" s="209">
        <v>2.42</v>
      </c>
      <c r="F5906" s="209">
        <v>27.49</v>
      </c>
      <c r="G5906" s="209">
        <v>29.91</v>
      </c>
      <c r="H5906" s="198"/>
    </row>
    <row r="5907" spans="1:8" ht="15.75" hidden="1" customHeight="1" x14ac:dyDescent="0.25">
      <c r="A5907" s="205" t="s">
        <v>6212</v>
      </c>
      <c r="B5907" s="206">
        <v>100309</v>
      </c>
      <c r="C5907" s="207" t="s">
        <v>6535</v>
      </c>
      <c r="D5907" s="208" t="s">
        <v>2193</v>
      </c>
      <c r="E5907" s="209">
        <v>2.39</v>
      </c>
      <c r="F5907" s="209">
        <v>36.76</v>
      </c>
      <c r="G5907" s="209">
        <v>39.15</v>
      </c>
      <c r="H5907" s="198"/>
    </row>
    <row r="5908" spans="1:8" ht="15.75" hidden="1" customHeight="1" x14ac:dyDescent="0.25">
      <c r="A5908" s="205" t="s">
        <v>6212</v>
      </c>
      <c r="B5908" s="206">
        <v>100321</v>
      </c>
      <c r="C5908" s="207" t="s">
        <v>6535</v>
      </c>
      <c r="D5908" s="208" t="s">
        <v>6214</v>
      </c>
      <c r="E5908" s="209">
        <v>450.38</v>
      </c>
      <c r="F5908" s="209">
        <v>6425.61</v>
      </c>
      <c r="G5908" s="209">
        <v>6875.99</v>
      </c>
      <c r="H5908" s="198"/>
    </row>
    <row r="5909" spans="1:8" ht="15.75" hidden="1" customHeight="1" x14ac:dyDescent="0.25">
      <c r="A5909" s="205" t="s">
        <v>6212</v>
      </c>
      <c r="B5909" s="206">
        <v>101457</v>
      </c>
      <c r="C5909" s="207" t="s">
        <v>6536</v>
      </c>
      <c r="D5909" s="208" t="s">
        <v>6214</v>
      </c>
      <c r="E5909" s="209">
        <v>1524.98</v>
      </c>
      <c r="F5909" s="209">
        <v>4813.24</v>
      </c>
      <c r="G5909" s="209">
        <v>6338.22</v>
      </c>
      <c r="H5909" s="198"/>
    </row>
    <row r="5910" spans="1:8" ht="15.75" hidden="1" customHeight="1" x14ac:dyDescent="0.25">
      <c r="A5910" s="205" t="s">
        <v>6212</v>
      </c>
      <c r="B5910" s="206">
        <v>88325</v>
      </c>
      <c r="C5910" s="207" t="s">
        <v>6537</v>
      </c>
      <c r="D5910" s="208" t="s">
        <v>2193</v>
      </c>
      <c r="E5910" s="209">
        <v>9.2899999999999991</v>
      </c>
      <c r="F5910" s="209">
        <v>27.86</v>
      </c>
      <c r="G5910" s="209">
        <v>37.15</v>
      </c>
      <c r="H5910" s="198"/>
    </row>
    <row r="5911" spans="1:8" ht="15.75" hidden="1" customHeight="1" x14ac:dyDescent="0.25">
      <c r="A5911" s="205" t="s">
        <v>6212</v>
      </c>
      <c r="B5911" s="206">
        <v>101459</v>
      </c>
      <c r="C5911" s="207" t="s">
        <v>6537</v>
      </c>
      <c r="D5911" s="208" t="s">
        <v>6214</v>
      </c>
      <c r="E5911" s="209">
        <v>1752.47</v>
      </c>
      <c r="F5911" s="209">
        <v>4873.1099999999997</v>
      </c>
      <c r="G5911" s="209">
        <v>6625.58</v>
      </c>
      <c r="H5911" s="198"/>
    </row>
    <row r="5912" spans="1:8" ht="15.75" hidden="1" customHeight="1" x14ac:dyDescent="0.25">
      <c r="A5912" s="205" t="s">
        <v>6212</v>
      </c>
      <c r="B5912" s="206">
        <v>100289</v>
      </c>
      <c r="C5912" s="207" t="s">
        <v>6538</v>
      </c>
      <c r="D5912" s="208" t="s">
        <v>2193</v>
      </c>
      <c r="E5912" s="209">
        <v>9.19</v>
      </c>
      <c r="F5912" s="209">
        <v>21.49</v>
      </c>
      <c r="G5912" s="209">
        <v>30.68</v>
      </c>
      <c r="H5912" s="198"/>
    </row>
    <row r="5913" spans="1:8" ht="15.75" hidden="1" customHeight="1" x14ac:dyDescent="0.25">
      <c r="A5913" s="205" t="s">
        <v>6212</v>
      </c>
      <c r="B5913" s="206">
        <v>101460</v>
      </c>
      <c r="C5913" s="207" t="s">
        <v>6538</v>
      </c>
      <c r="D5913" s="208" t="s">
        <v>6214</v>
      </c>
      <c r="E5913" s="209">
        <v>1734.16</v>
      </c>
      <c r="F5913" s="209">
        <v>3769.35</v>
      </c>
      <c r="G5913" s="209">
        <v>5503.51</v>
      </c>
      <c r="H5913" s="198"/>
    </row>
    <row r="5914" spans="1:8" ht="15.75" hidden="1" customHeight="1" x14ac:dyDescent="0.25">
      <c r="A5914" s="205" t="s">
        <v>6539</v>
      </c>
      <c r="B5914" s="206">
        <v>105011</v>
      </c>
      <c r="C5914" s="207" t="s">
        <v>6540</v>
      </c>
      <c r="D5914" s="208" t="s">
        <v>585</v>
      </c>
      <c r="E5914" s="209">
        <v>0.26</v>
      </c>
      <c r="F5914" s="209">
        <v>0.39</v>
      </c>
      <c r="G5914" s="209">
        <v>0.65</v>
      </c>
      <c r="H5914" s="198"/>
    </row>
    <row r="5915" spans="1:8" ht="15.75" hidden="1" customHeight="1" x14ac:dyDescent="0.25">
      <c r="A5915" s="205" t="s">
        <v>6539</v>
      </c>
      <c r="B5915" s="206">
        <v>99061</v>
      </c>
      <c r="C5915" s="207" t="s">
        <v>6541</v>
      </c>
      <c r="D5915" s="208" t="s">
        <v>580</v>
      </c>
      <c r="E5915" s="209">
        <v>69.13</v>
      </c>
      <c r="F5915" s="209">
        <v>74.13</v>
      </c>
      <c r="G5915" s="209">
        <v>143.26</v>
      </c>
      <c r="H5915" s="198"/>
    </row>
    <row r="5916" spans="1:8" ht="15.75" hidden="1" customHeight="1" x14ac:dyDescent="0.25">
      <c r="A5916" s="205" t="s">
        <v>6539</v>
      </c>
      <c r="B5916" s="206">
        <v>99060</v>
      </c>
      <c r="C5916" s="207" t="s">
        <v>6542</v>
      </c>
      <c r="D5916" s="208" t="s">
        <v>580</v>
      </c>
      <c r="E5916" s="209">
        <v>116.36</v>
      </c>
      <c r="F5916" s="209">
        <v>115.93</v>
      </c>
      <c r="G5916" s="209">
        <v>232.29</v>
      </c>
      <c r="H5916" s="198"/>
    </row>
    <row r="5917" spans="1:8" ht="15.75" hidden="1" customHeight="1" x14ac:dyDescent="0.25">
      <c r="A5917" s="205" t="s">
        <v>6539</v>
      </c>
      <c r="B5917" s="206">
        <v>105009</v>
      </c>
      <c r="C5917" s="207" t="s">
        <v>6543</v>
      </c>
      <c r="D5917" s="208" t="s">
        <v>585</v>
      </c>
      <c r="E5917" s="209">
        <v>48.74</v>
      </c>
      <c r="F5917" s="209">
        <v>45.95</v>
      </c>
      <c r="G5917" s="209">
        <v>94.69</v>
      </c>
      <c r="H5917" s="198"/>
    </row>
    <row r="5918" spans="1:8" ht="15.75" hidden="1" customHeight="1" x14ac:dyDescent="0.25">
      <c r="A5918" s="205" t="s">
        <v>6539</v>
      </c>
      <c r="B5918" s="206">
        <v>99059</v>
      </c>
      <c r="C5918" s="207" t="s">
        <v>6544</v>
      </c>
      <c r="D5918" s="208" t="s">
        <v>585</v>
      </c>
      <c r="E5918" s="209">
        <v>40.29</v>
      </c>
      <c r="F5918" s="209">
        <v>36.47</v>
      </c>
      <c r="G5918" s="209">
        <v>76.760000000000005</v>
      </c>
      <c r="H5918" s="198"/>
    </row>
    <row r="5919" spans="1:8" ht="15.75" hidden="1" customHeight="1" x14ac:dyDescent="0.25">
      <c r="A5919" s="205" t="s">
        <v>6539</v>
      </c>
      <c r="B5919" s="206">
        <v>105007</v>
      </c>
      <c r="C5919" s="207" t="s">
        <v>6545</v>
      </c>
      <c r="D5919" s="208" t="s">
        <v>580</v>
      </c>
      <c r="E5919" s="209">
        <v>14.15</v>
      </c>
      <c r="F5919" s="209">
        <v>34.78</v>
      </c>
      <c r="G5919" s="209">
        <v>48.93</v>
      </c>
      <c r="H5919" s="198"/>
    </row>
    <row r="5920" spans="1:8" ht="15.75" hidden="1" customHeight="1" x14ac:dyDescent="0.25">
      <c r="A5920" s="205" t="s">
        <v>6539</v>
      </c>
      <c r="B5920" s="206">
        <v>99063</v>
      </c>
      <c r="C5920" s="207" t="s">
        <v>6546</v>
      </c>
      <c r="D5920" s="208" t="s">
        <v>585</v>
      </c>
      <c r="E5920" s="209">
        <v>4.72</v>
      </c>
      <c r="F5920" s="209">
        <v>6.85</v>
      </c>
      <c r="G5920" s="209">
        <v>11.57</v>
      </c>
      <c r="H5920" s="198"/>
    </row>
    <row r="5921" spans="1:8" ht="15.75" hidden="1" customHeight="1" x14ac:dyDescent="0.25">
      <c r="A5921" s="205" t="s">
        <v>6539</v>
      </c>
      <c r="B5921" s="206">
        <v>99062</v>
      </c>
      <c r="C5921" s="207" t="s">
        <v>6547</v>
      </c>
      <c r="D5921" s="208" t="s">
        <v>580</v>
      </c>
      <c r="E5921" s="209">
        <v>0.78</v>
      </c>
      <c r="F5921" s="209">
        <v>1.88</v>
      </c>
      <c r="G5921" s="209">
        <v>2.66</v>
      </c>
      <c r="H5921" s="198"/>
    </row>
    <row r="5922" spans="1:8" ht="15.75" hidden="1" customHeight="1" x14ac:dyDescent="0.25">
      <c r="A5922" s="205" t="s">
        <v>6548</v>
      </c>
      <c r="B5922" s="206">
        <v>100857</v>
      </c>
      <c r="C5922" s="207" t="s">
        <v>6549</v>
      </c>
      <c r="D5922" s="208" t="s">
        <v>580</v>
      </c>
      <c r="E5922" s="209">
        <v>474.92</v>
      </c>
      <c r="F5922" s="209">
        <v>11.57</v>
      </c>
      <c r="G5922" s="209">
        <v>486.49</v>
      </c>
      <c r="H5922" s="198"/>
    </row>
    <row r="5923" spans="1:8" ht="15.75" hidden="1" customHeight="1" x14ac:dyDescent="0.25">
      <c r="A5923" s="205" t="s">
        <v>6548</v>
      </c>
      <c r="B5923" s="206">
        <v>86905</v>
      </c>
      <c r="C5923" s="207" t="s">
        <v>6550</v>
      </c>
      <c r="D5923" s="208" t="s">
        <v>580</v>
      </c>
      <c r="E5923" s="209">
        <v>362.28</v>
      </c>
      <c r="F5923" s="209">
        <v>15.6</v>
      </c>
      <c r="G5923" s="209">
        <v>377.88</v>
      </c>
      <c r="H5923" s="198"/>
    </row>
    <row r="5924" spans="1:8" ht="15.75" hidden="1" customHeight="1" x14ac:dyDescent="0.25">
      <c r="A5924" s="205" t="s">
        <v>6548</v>
      </c>
      <c r="B5924" s="206">
        <v>86908</v>
      </c>
      <c r="C5924" s="207" t="s">
        <v>6551</v>
      </c>
      <c r="D5924" s="208" t="s">
        <v>580</v>
      </c>
      <c r="E5924" s="209">
        <v>439.74</v>
      </c>
      <c r="F5924" s="209">
        <v>7.65</v>
      </c>
      <c r="G5924" s="209">
        <v>447.39</v>
      </c>
      <c r="H5924" s="198"/>
    </row>
    <row r="5925" spans="1:8" ht="15.75" hidden="1" customHeight="1" x14ac:dyDescent="0.25">
      <c r="A5925" s="205" t="s">
        <v>6548</v>
      </c>
      <c r="B5925" s="206">
        <v>100849</v>
      </c>
      <c r="C5925" s="207" t="s">
        <v>6552</v>
      </c>
      <c r="D5925" s="208" t="s">
        <v>580</v>
      </c>
      <c r="E5925" s="209">
        <v>40.76</v>
      </c>
      <c r="F5925" s="209">
        <v>5.17</v>
      </c>
      <c r="G5925" s="209">
        <v>45.93</v>
      </c>
      <c r="H5925" s="198"/>
    </row>
    <row r="5926" spans="1:8" ht="15.75" hidden="1" customHeight="1" x14ac:dyDescent="0.25">
      <c r="A5926" s="205" t="s">
        <v>6548</v>
      </c>
      <c r="B5926" s="206">
        <v>100851</v>
      </c>
      <c r="C5926" s="207" t="s">
        <v>6553</v>
      </c>
      <c r="D5926" s="208" t="s">
        <v>580</v>
      </c>
      <c r="E5926" s="209">
        <v>84.75</v>
      </c>
      <c r="F5926" s="209">
        <v>5.17</v>
      </c>
      <c r="G5926" s="209">
        <v>89.92</v>
      </c>
      <c r="H5926" s="198"/>
    </row>
    <row r="5927" spans="1:8" ht="15.75" hidden="1" customHeight="1" x14ac:dyDescent="0.25">
      <c r="A5927" s="205" t="s">
        <v>6548</v>
      </c>
      <c r="B5927" s="206">
        <v>86895</v>
      </c>
      <c r="C5927" s="207" t="s">
        <v>6554</v>
      </c>
      <c r="D5927" s="208" t="s">
        <v>580</v>
      </c>
      <c r="E5927" s="209">
        <v>334.48</v>
      </c>
      <c r="F5927" s="209">
        <v>79.06</v>
      </c>
      <c r="G5927" s="209">
        <v>413.54</v>
      </c>
      <c r="H5927" s="198"/>
    </row>
    <row r="5928" spans="1:8" ht="15.75" hidden="1" customHeight="1" x14ac:dyDescent="0.25">
      <c r="A5928" s="205" t="s">
        <v>6548</v>
      </c>
      <c r="B5928" s="206">
        <v>86889</v>
      </c>
      <c r="C5928" s="207" t="s">
        <v>6555</v>
      </c>
      <c r="D5928" s="208" t="s">
        <v>580</v>
      </c>
      <c r="E5928" s="209">
        <v>769.32</v>
      </c>
      <c r="F5928" s="209">
        <v>65.8</v>
      </c>
      <c r="G5928" s="209">
        <v>835.12</v>
      </c>
      <c r="H5928" s="198"/>
    </row>
    <row r="5929" spans="1:8" ht="15.75" hidden="1" customHeight="1" x14ac:dyDescent="0.25">
      <c r="A5929" s="205" t="s">
        <v>6548</v>
      </c>
      <c r="B5929" s="206">
        <v>86899</v>
      </c>
      <c r="C5929" s="207" t="s">
        <v>6556</v>
      </c>
      <c r="D5929" s="208" t="s">
        <v>580</v>
      </c>
      <c r="E5929" s="209">
        <v>273.41000000000003</v>
      </c>
      <c r="F5929" s="209">
        <v>79.05</v>
      </c>
      <c r="G5929" s="209">
        <v>352.46</v>
      </c>
      <c r="H5929" s="198"/>
    </row>
    <row r="5930" spans="1:8" ht="15.75" hidden="1" customHeight="1" x14ac:dyDescent="0.25">
      <c r="A5930" s="205" t="s">
        <v>6548</v>
      </c>
      <c r="B5930" s="206">
        <v>86893</v>
      </c>
      <c r="C5930" s="207" t="s">
        <v>6557</v>
      </c>
      <c r="D5930" s="208" t="s">
        <v>580</v>
      </c>
      <c r="E5930" s="209">
        <v>606.48</v>
      </c>
      <c r="F5930" s="209">
        <v>65.81</v>
      </c>
      <c r="G5930" s="209">
        <v>672.29</v>
      </c>
      <c r="H5930" s="198"/>
    </row>
    <row r="5931" spans="1:8" ht="15.75" hidden="1" customHeight="1" x14ac:dyDescent="0.25">
      <c r="A5931" s="205" t="s">
        <v>6548</v>
      </c>
      <c r="B5931" s="206">
        <v>86934</v>
      </c>
      <c r="C5931" s="207" t="s">
        <v>6558</v>
      </c>
      <c r="D5931" s="208" t="s">
        <v>580</v>
      </c>
      <c r="E5931" s="209">
        <v>413.45</v>
      </c>
      <c r="F5931" s="209">
        <v>46.04</v>
      </c>
      <c r="G5931" s="209">
        <v>459.49</v>
      </c>
      <c r="H5931" s="198"/>
    </row>
    <row r="5932" spans="1:8" ht="15.75" hidden="1" customHeight="1" x14ac:dyDescent="0.25">
      <c r="A5932" s="205" t="s">
        <v>6548</v>
      </c>
      <c r="B5932" s="206">
        <v>86933</v>
      </c>
      <c r="C5932" s="207" t="s">
        <v>6559</v>
      </c>
      <c r="D5932" s="208" t="s">
        <v>580</v>
      </c>
      <c r="E5932" s="209">
        <v>421.38</v>
      </c>
      <c r="F5932" s="209">
        <v>47.75</v>
      </c>
      <c r="G5932" s="209">
        <v>469.13</v>
      </c>
      <c r="H5932" s="198"/>
    </row>
    <row r="5933" spans="1:8" ht="15.75" hidden="1" customHeight="1" x14ac:dyDescent="0.25">
      <c r="A5933" s="205" t="s">
        <v>6548</v>
      </c>
      <c r="B5933" s="206">
        <v>86894</v>
      </c>
      <c r="C5933" s="207" t="s">
        <v>6560</v>
      </c>
      <c r="D5933" s="208" t="s">
        <v>580</v>
      </c>
      <c r="E5933" s="209">
        <v>305.58999999999997</v>
      </c>
      <c r="F5933" s="209">
        <v>35.119999999999997</v>
      </c>
      <c r="G5933" s="209">
        <v>340.71</v>
      </c>
      <c r="H5933" s="198"/>
    </row>
    <row r="5934" spans="1:8" ht="15.75" hidden="1" customHeight="1" x14ac:dyDescent="0.25">
      <c r="A5934" s="205" t="s">
        <v>6548</v>
      </c>
      <c r="B5934" s="206">
        <v>93441</v>
      </c>
      <c r="C5934" s="207" t="s">
        <v>6561</v>
      </c>
      <c r="D5934" s="208" t="s">
        <v>580</v>
      </c>
      <c r="E5934" s="209">
        <v>1193.07</v>
      </c>
      <c r="F5934" s="209">
        <v>101.35</v>
      </c>
      <c r="G5934" s="209">
        <v>1294.42</v>
      </c>
      <c r="H5934" s="198"/>
    </row>
    <row r="5935" spans="1:8" ht="15.75" hidden="1" customHeight="1" x14ac:dyDescent="0.25">
      <c r="A5935" s="205" t="s">
        <v>6548</v>
      </c>
      <c r="B5935" s="206">
        <v>93396</v>
      </c>
      <c r="C5935" s="207" t="s">
        <v>6562</v>
      </c>
      <c r="D5935" s="208" t="s">
        <v>580</v>
      </c>
      <c r="E5935" s="209">
        <v>655.96</v>
      </c>
      <c r="F5935" s="209">
        <v>127.64</v>
      </c>
      <c r="G5935" s="209">
        <v>783.6</v>
      </c>
      <c r="H5935" s="198"/>
    </row>
    <row r="5936" spans="1:8" ht="15.75" hidden="1" customHeight="1" x14ac:dyDescent="0.25">
      <c r="A5936" s="205" t="s">
        <v>6548</v>
      </c>
      <c r="B5936" s="206">
        <v>93442</v>
      </c>
      <c r="C5936" s="207" t="s">
        <v>6563</v>
      </c>
      <c r="D5936" s="208" t="s">
        <v>580</v>
      </c>
      <c r="E5936" s="209">
        <v>1356.84</v>
      </c>
      <c r="F5936" s="209">
        <v>109.38</v>
      </c>
      <c r="G5936" s="209">
        <v>1466.22</v>
      </c>
      <c r="H5936" s="198"/>
    </row>
    <row r="5937" spans="1:8" ht="15.75" hidden="1" customHeight="1" x14ac:dyDescent="0.25">
      <c r="A5937" s="205" t="s">
        <v>6548</v>
      </c>
      <c r="B5937" s="206">
        <v>86947</v>
      </c>
      <c r="C5937" s="207" t="s">
        <v>6564</v>
      </c>
      <c r="D5937" s="208" t="s">
        <v>580</v>
      </c>
      <c r="E5937" s="209">
        <v>1323.85</v>
      </c>
      <c r="F5937" s="209">
        <v>151.52000000000001</v>
      </c>
      <c r="G5937" s="209">
        <v>1475.37</v>
      </c>
      <c r="H5937" s="198"/>
    </row>
    <row r="5938" spans="1:8" ht="15.75" hidden="1" customHeight="1" x14ac:dyDescent="0.25">
      <c r="A5938" s="205" t="s">
        <v>6548</v>
      </c>
      <c r="B5938" s="206">
        <v>100875</v>
      </c>
      <c r="C5938" s="207" t="s">
        <v>6565</v>
      </c>
      <c r="D5938" s="208" t="s">
        <v>580</v>
      </c>
      <c r="E5938" s="209">
        <v>659.92</v>
      </c>
      <c r="F5938" s="209">
        <v>42.57</v>
      </c>
      <c r="G5938" s="209">
        <v>702.49</v>
      </c>
      <c r="H5938" s="198"/>
    </row>
    <row r="5939" spans="1:8" ht="15.75" hidden="1" customHeight="1" x14ac:dyDescent="0.25">
      <c r="A5939" s="205" t="s">
        <v>6548</v>
      </c>
      <c r="B5939" s="206">
        <v>100863</v>
      </c>
      <c r="C5939" s="207" t="s">
        <v>6566</v>
      </c>
      <c r="D5939" s="208" t="s">
        <v>580</v>
      </c>
      <c r="E5939" s="209">
        <v>384.19</v>
      </c>
      <c r="F5939" s="209">
        <v>47.92</v>
      </c>
      <c r="G5939" s="209">
        <v>432.11</v>
      </c>
      <c r="H5939" s="198"/>
    </row>
    <row r="5940" spans="1:8" ht="15.75" hidden="1" customHeight="1" x14ac:dyDescent="0.25">
      <c r="A5940" s="205" t="s">
        <v>6548</v>
      </c>
      <c r="B5940" s="206">
        <v>100864</v>
      </c>
      <c r="C5940" s="207" t="s">
        <v>6567</v>
      </c>
      <c r="D5940" s="208" t="s">
        <v>580</v>
      </c>
      <c r="E5940" s="209">
        <v>418.51</v>
      </c>
      <c r="F5940" s="209">
        <v>47.95</v>
      </c>
      <c r="G5940" s="209">
        <v>466.46</v>
      </c>
      <c r="H5940" s="198"/>
    </row>
    <row r="5941" spans="1:8" ht="15.75" hidden="1" customHeight="1" x14ac:dyDescent="0.25">
      <c r="A5941" s="205" t="s">
        <v>6548</v>
      </c>
      <c r="B5941" s="206">
        <v>100865</v>
      </c>
      <c r="C5941" s="207" t="s">
        <v>6568</v>
      </c>
      <c r="D5941" s="208" t="s">
        <v>580</v>
      </c>
      <c r="E5941" s="209">
        <v>356.2</v>
      </c>
      <c r="F5941" s="209">
        <v>21.29</v>
      </c>
      <c r="G5941" s="209">
        <v>377.49</v>
      </c>
      <c r="H5941" s="198"/>
    </row>
    <row r="5942" spans="1:8" ht="15.75" hidden="1" customHeight="1" x14ac:dyDescent="0.25">
      <c r="A5942" s="205" t="s">
        <v>6548</v>
      </c>
      <c r="B5942" s="206">
        <v>100866</v>
      </c>
      <c r="C5942" s="207" t="s">
        <v>6569</v>
      </c>
      <c r="D5942" s="208" t="s">
        <v>580</v>
      </c>
      <c r="E5942" s="209">
        <v>203.46</v>
      </c>
      <c r="F5942" s="209">
        <v>31.94</v>
      </c>
      <c r="G5942" s="209">
        <v>235.4</v>
      </c>
      <c r="H5942" s="198"/>
    </row>
    <row r="5943" spans="1:8" ht="15.75" hidden="1" customHeight="1" x14ac:dyDescent="0.25">
      <c r="A5943" s="205" t="s">
        <v>6548</v>
      </c>
      <c r="B5943" s="206">
        <v>100867</v>
      </c>
      <c r="C5943" s="207" t="s">
        <v>6570</v>
      </c>
      <c r="D5943" s="208" t="s">
        <v>580</v>
      </c>
      <c r="E5943" s="209">
        <v>214.77</v>
      </c>
      <c r="F5943" s="209">
        <v>31.95</v>
      </c>
      <c r="G5943" s="209">
        <v>246.72</v>
      </c>
      <c r="H5943" s="198"/>
    </row>
    <row r="5944" spans="1:8" ht="15.75" hidden="1" customHeight="1" x14ac:dyDescent="0.25">
      <c r="A5944" s="205" t="s">
        <v>6548</v>
      </c>
      <c r="B5944" s="206">
        <v>100868</v>
      </c>
      <c r="C5944" s="207" t="s">
        <v>6571</v>
      </c>
      <c r="D5944" s="208" t="s">
        <v>580</v>
      </c>
      <c r="E5944" s="209">
        <v>222.3</v>
      </c>
      <c r="F5944" s="209">
        <v>31.96</v>
      </c>
      <c r="G5944" s="209">
        <v>254.26</v>
      </c>
      <c r="H5944" s="198"/>
    </row>
    <row r="5945" spans="1:8" ht="15.75" hidden="1" customHeight="1" x14ac:dyDescent="0.25">
      <c r="A5945" s="205" t="s">
        <v>6548</v>
      </c>
      <c r="B5945" s="206">
        <v>100869</v>
      </c>
      <c r="C5945" s="207" t="s">
        <v>6572</v>
      </c>
      <c r="D5945" s="208" t="s">
        <v>580</v>
      </c>
      <c r="E5945" s="209">
        <v>228.09</v>
      </c>
      <c r="F5945" s="209">
        <v>31.95</v>
      </c>
      <c r="G5945" s="209">
        <v>260.04000000000002</v>
      </c>
      <c r="H5945" s="198"/>
    </row>
    <row r="5946" spans="1:8" ht="15.75" hidden="1" customHeight="1" x14ac:dyDescent="0.25">
      <c r="A5946" s="205" t="s">
        <v>6548</v>
      </c>
      <c r="B5946" s="206">
        <v>100870</v>
      </c>
      <c r="C5946" s="207" t="s">
        <v>6573</v>
      </c>
      <c r="D5946" s="208" t="s">
        <v>580</v>
      </c>
      <c r="E5946" s="209">
        <v>237.3</v>
      </c>
      <c r="F5946" s="209">
        <v>31.95</v>
      </c>
      <c r="G5946" s="209">
        <v>269.25</v>
      </c>
      <c r="H5946" s="198"/>
    </row>
    <row r="5947" spans="1:8" ht="15.75" hidden="1" customHeight="1" x14ac:dyDescent="0.25">
      <c r="A5947" s="205" t="s">
        <v>6548</v>
      </c>
      <c r="B5947" s="206">
        <v>100871</v>
      </c>
      <c r="C5947" s="207" t="s">
        <v>6574</v>
      </c>
      <c r="D5947" s="208" t="s">
        <v>580</v>
      </c>
      <c r="E5947" s="209">
        <v>257.27999999999997</v>
      </c>
      <c r="F5947" s="209">
        <v>31.95</v>
      </c>
      <c r="G5947" s="209">
        <v>289.23</v>
      </c>
      <c r="H5947" s="198"/>
    </row>
    <row r="5948" spans="1:8" ht="15.75" hidden="1" customHeight="1" x14ac:dyDescent="0.25">
      <c r="A5948" s="205" t="s">
        <v>6548</v>
      </c>
      <c r="B5948" s="206">
        <v>100872</v>
      </c>
      <c r="C5948" s="207" t="s">
        <v>6575</v>
      </c>
      <c r="D5948" s="208" t="s">
        <v>580</v>
      </c>
      <c r="E5948" s="209">
        <v>270.04000000000002</v>
      </c>
      <c r="F5948" s="209">
        <v>31.95</v>
      </c>
      <c r="G5948" s="209">
        <v>301.99</v>
      </c>
      <c r="H5948" s="198"/>
    </row>
    <row r="5949" spans="1:8" ht="15.75" hidden="1" customHeight="1" x14ac:dyDescent="0.25">
      <c r="A5949" s="205" t="s">
        <v>6548</v>
      </c>
      <c r="B5949" s="206">
        <v>100873</v>
      </c>
      <c r="C5949" s="207" t="s">
        <v>6576</v>
      </c>
      <c r="D5949" s="208" t="s">
        <v>580</v>
      </c>
      <c r="E5949" s="209">
        <v>278.01</v>
      </c>
      <c r="F5949" s="209">
        <v>31.95</v>
      </c>
      <c r="G5949" s="209">
        <v>309.95999999999998</v>
      </c>
      <c r="H5949" s="198"/>
    </row>
    <row r="5950" spans="1:8" ht="15.75" hidden="1" customHeight="1" x14ac:dyDescent="0.25">
      <c r="A5950" s="205" t="s">
        <v>6548</v>
      </c>
      <c r="B5950" s="206">
        <v>100860</v>
      </c>
      <c r="C5950" s="207" t="s">
        <v>6577</v>
      </c>
      <c r="D5950" s="208" t="s">
        <v>580</v>
      </c>
      <c r="E5950" s="209">
        <v>102.3</v>
      </c>
      <c r="F5950" s="209">
        <v>15.04</v>
      </c>
      <c r="G5950" s="209">
        <v>117.34</v>
      </c>
      <c r="H5950" s="198"/>
    </row>
    <row r="5951" spans="1:8" ht="15.75" hidden="1" customHeight="1" x14ac:dyDescent="0.25">
      <c r="A5951" s="205" t="s">
        <v>6548</v>
      </c>
      <c r="B5951" s="206">
        <v>86936</v>
      </c>
      <c r="C5951" s="207" t="s">
        <v>6578</v>
      </c>
      <c r="D5951" s="208" t="s">
        <v>580</v>
      </c>
      <c r="E5951" s="209">
        <v>627.58000000000004</v>
      </c>
      <c r="F5951" s="209">
        <v>32.89</v>
      </c>
      <c r="G5951" s="209">
        <v>660.47</v>
      </c>
      <c r="H5951" s="198"/>
    </row>
    <row r="5952" spans="1:8" ht="15.75" hidden="1" customHeight="1" x14ac:dyDescent="0.25">
      <c r="A5952" s="205" t="s">
        <v>6548</v>
      </c>
      <c r="B5952" s="206">
        <v>86935</v>
      </c>
      <c r="C5952" s="207" t="s">
        <v>6579</v>
      </c>
      <c r="D5952" s="208" t="s">
        <v>580</v>
      </c>
      <c r="E5952" s="209">
        <v>338.94</v>
      </c>
      <c r="F5952" s="209">
        <v>26.49</v>
      </c>
      <c r="G5952" s="209">
        <v>365.43</v>
      </c>
      <c r="H5952" s="198"/>
    </row>
    <row r="5953" spans="1:8" ht="15.75" hidden="1" customHeight="1" x14ac:dyDescent="0.25">
      <c r="A5953" s="205" t="s">
        <v>6548</v>
      </c>
      <c r="B5953" s="206">
        <v>86901</v>
      </c>
      <c r="C5953" s="207" t="s">
        <v>6580</v>
      </c>
      <c r="D5953" s="208" t="s">
        <v>580</v>
      </c>
      <c r="E5953" s="209">
        <v>144.01</v>
      </c>
      <c r="F5953" s="209">
        <v>31.58</v>
      </c>
      <c r="G5953" s="209">
        <v>175.59</v>
      </c>
      <c r="H5953" s="198"/>
    </row>
    <row r="5954" spans="1:8" ht="15.75" hidden="1" customHeight="1" x14ac:dyDescent="0.25">
      <c r="A5954" s="205" t="s">
        <v>6548</v>
      </c>
      <c r="B5954" s="206">
        <v>86938</v>
      </c>
      <c r="C5954" s="207" t="s">
        <v>6581</v>
      </c>
      <c r="D5954" s="208" t="s">
        <v>580</v>
      </c>
      <c r="E5954" s="209">
        <v>536.58000000000004</v>
      </c>
      <c r="F5954" s="209">
        <v>46.65</v>
      </c>
      <c r="G5954" s="209">
        <v>583.23</v>
      </c>
      <c r="H5954" s="198"/>
    </row>
    <row r="5955" spans="1:8" ht="15.75" hidden="1" customHeight="1" x14ac:dyDescent="0.25">
      <c r="A5955" s="205" t="s">
        <v>6548</v>
      </c>
      <c r="B5955" s="206">
        <v>86937</v>
      </c>
      <c r="C5955" s="207" t="s">
        <v>6582</v>
      </c>
      <c r="D5955" s="208" t="s">
        <v>580</v>
      </c>
      <c r="E5955" s="209">
        <v>247.93</v>
      </c>
      <c r="F5955" s="209">
        <v>40.26</v>
      </c>
      <c r="G5955" s="209">
        <v>288.19</v>
      </c>
      <c r="H5955" s="198"/>
    </row>
    <row r="5956" spans="1:8" ht="15.75" hidden="1" customHeight="1" x14ac:dyDescent="0.25">
      <c r="A5956" s="205" t="s">
        <v>6548</v>
      </c>
      <c r="B5956" s="206">
        <v>86900</v>
      </c>
      <c r="C5956" s="207" t="s">
        <v>6583</v>
      </c>
      <c r="D5956" s="208" t="s">
        <v>580</v>
      </c>
      <c r="E5956" s="209">
        <v>227.08</v>
      </c>
      <c r="F5956" s="209">
        <v>17.82</v>
      </c>
      <c r="G5956" s="209">
        <v>244.9</v>
      </c>
      <c r="H5956" s="198"/>
    </row>
    <row r="5957" spans="1:8" ht="15.75" hidden="1" customHeight="1" x14ac:dyDescent="0.25">
      <c r="A5957" s="205" t="s">
        <v>6548</v>
      </c>
      <c r="B5957" s="206">
        <v>100852</v>
      </c>
      <c r="C5957" s="207" t="s">
        <v>6584</v>
      </c>
      <c r="D5957" s="208" t="s">
        <v>580</v>
      </c>
      <c r="E5957" s="209">
        <v>249.75</v>
      </c>
      <c r="F5957" s="209">
        <v>17.82</v>
      </c>
      <c r="G5957" s="209">
        <v>267.57</v>
      </c>
      <c r="H5957" s="198"/>
    </row>
    <row r="5958" spans="1:8" ht="15.75" hidden="1" customHeight="1" x14ac:dyDescent="0.25">
      <c r="A5958" s="205" t="s">
        <v>6548</v>
      </c>
      <c r="B5958" s="206">
        <v>86886</v>
      </c>
      <c r="C5958" s="207" t="s">
        <v>6585</v>
      </c>
      <c r="D5958" s="208" t="s">
        <v>580</v>
      </c>
      <c r="E5958" s="209">
        <v>69.400000000000006</v>
      </c>
      <c r="F5958" s="209">
        <v>5.1100000000000003</v>
      </c>
      <c r="G5958" s="209">
        <v>74.510000000000005</v>
      </c>
      <c r="H5958" s="198"/>
    </row>
    <row r="5959" spans="1:8" ht="15.75" hidden="1" customHeight="1" x14ac:dyDescent="0.25">
      <c r="A5959" s="205" t="s">
        <v>6548</v>
      </c>
      <c r="B5959" s="206">
        <v>86887</v>
      </c>
      <c r="C5959" s="207" t="s">
        <v>6586</v>
      </c>
      <c r="D5959" s="208" t="s">
        <v>580</v>
      </c>
      <c r="E5959" s="209">
        <v>75.78</v>
      </c>
      <c r="F5959" s="209">
        <v>5.12</v>
      </c>
      <c r="G5959" s="209">
        <v>80.900000000000006</v>
      </c>
      <c r="H5959" s="198"/>
    </row>
    <row r="5960" spans="1:8" ht="15.75" hidden="1" customHeight="1" x14ac:dyDescent="0.25">
      <c r="A5960" s="205" t="s">
        <v>6548</v>
      </c>
      <c r="B5960" s="206">
        <v>86884</v>
      </c>
      <c r="C5960" s="207" t="s">
        <v>6587</v>
      </c>
      <c r="D5960" s="208" t="s">
        <v>580</v>
      </c>
      <c r="E5960" s="209">
        <v>6.67</v>
      </c>
      <c r="F5960" s="209">
        <v>5.1100000000000003</v>
      </c>
      <c r="G5960" s="209">
        <v>11.78</v>
      </c>
      <c r="H5960" s="198"/>
    </row>
    <row r="5961" spans="1:8" ht="15.75" hidden="1" customHeight="1" x14ac:dyDescent="0.25">
      <c r="A5961" s="205" t="s">
        <v>6548</v>
      </c>
      <c r="B5961" s="206">
        <v>86885</v>
      </c>
      <c r="C5961" s="207" t="s">
        <v>6588</v>
      </c>
      <c r="D5961" s="208" t="s">
        <v>580</v>
      </c>
      <c r="E5961" s="209">
        <v>7.91</v>
      </c>
      <c r="F5961" s="209">
        <v>5.1100000000000003</v>
      </c>
      <c r="G5961" s="209">
        <v>13.02</v>
      </c>
      <c r="H5961" s="198"/>
    </row>
    <row r="5962" spans="1:8" ht="15.75" hidden="1" customHeight="1" x14ac:dyDescent="0.25">
      <c r="A5962" s="205" t="s">
        <v>6548</v>
      </c>
      <c r="B5962" s="206">
        <v>95546</v>
      </c>
      <c r="C5962" s="207" t="s">
        <v>6589</v>
      </c>
      <c r="D5962" s="208" t="s">
        <v>580</v>
      </c>
      <c r="E5962" s="209">
        <v>243.05</v>
      </c>
      <c r="F5962" s="209">
        <v>63.9</v>
      </c>
      <c r="G5962" s="209">
        <v>306.95</v>
      </c>
      <c r="H5962" s="198"/>
    </row>
    <row r="5963" spans="1:8" ht="15.75" hidden="1" customHeight="1" x14ac:dyDescent="0.25">
      <c r="A5963" s="205" t="s">
        <v>6548</v>
      </c>
      <c r="B5963" s="206">
        <v>86902</v>
      </c>
      <c r="C5963" s="207" t="s">
        <v>6590</v>
      </c>
      <c r="D5963" s="208" t="s">
        <v>580</v>
      </c>
      <c r="E5963" s="209">
        <v>304.02999999999997</v>
      </c>
      <c r="F5963" s="209">
        <v>32.880000000000003</v>
      </c>
      <c r="G5963" s="209">
        <v>336.91</v>
      </c>
      <c r="H5963" s="198"/>
    </row>
    <row r="5964" spans="1:8" ht="15.75" hidden="1" customHeight="1" x14ac:dyDescent="0.25">
      <c r="A5964" s="205" t="s">
        <v>6548</v>
      </c>
      <c r="B5964" s="206">
        <v>86939</v>
      </c>
      <c r="C5964" s="207" t="s">
        <v>6591</v>
      </c>
      <c r="D5964" s="208" t="s">
        <v>580</v>
      </c>
      <c r="E5964" s="209">
        <v>392.83</v>
      </c>
      <c r="F5964" s="209">
        <v>48.2</v>
      </c>
      <c r="G5964" s="209">
        <v>441.03</v>
      </c>
      <c r="H5964" s="198"/>
    </row>
    <row r="5965" spans="1:8" ht="15.75" hidden="1" customHeight="1" x14ac:dyDescent="0.25">
      <c r="A5965" s="205" t="s">
        <v>6548</v>
      </c>
      <c r="B5965" s="206">
        <v>86903</v>
      </c>
      <c r="C5965" s="207" t="s">
        <v>6592</v>
      </c>
      <c r="D5965" s="208" t="s">
        <v>580</v>
      </c>
      <c r="E5965" s="209">
        <v>335.36</v>
      </c>
      <c r="F5965" s="209">
        <v>53.1</v>
      </c>
      <c r="G5965" s="209">
        <v>388.46</v>
      </c>
      <c r="H5965" s="198"/>
    </row>
    <row r="5966" spans="1:8" ht="15.75" hidden="1" customHeight="1" x14ac:dyDescent="0.25">
      <c r="A5966" s="205" t="s">
        <v>6548</v>
      </c>
      <c r="B5966" s="206">
        <v>86940</v>
      </c>
      <c r="C5966" s="207" t="s">
        <v>6593</v>
      </c>
      <c r="D5966" s="208" t="s">
        <v>580</v>
      </c>
      <c r="E5966" s="209">
        <v>1241.75</v>
      </c>
      <c r="F5966" s="209">
        <v>94.03</v>
      </c>
      <c r="G5966" s="209">
        <v>1335.78</v>
      </c>
      <c r="H5966" s="198"/>
    </row>
    <row r="5967" spans="1:8" ht="15.75" hidden="1" customHeight="1" x14ac:dyDescent="0.25">
      <c r="A5967" s="205" t="s">
        <v>6548</v>
      </c>
      <c r="B5967" s="206">
        <v>86941</v>
      </c>
      <c r="C5967" s="207" t="s">
        <v>6594</v>
      </c>
      <c r="D5967" s="208" t="s">
        <v>580</v>
      </c>
      <c r="E5967" s="209">
        <v>933.23</v>
      </c>
      <c r="F5967" s="209">
        <v>76.540000000000006</v>
      </c>
      <c r="G5967" s="209">
        <v>1009.77</v>
      </c>
      <c r="H5967" s="198"/>
    </row>
    <row r="5968" spans="1:8" ht="15.75" hidden="1" customHeight="1" x14ac:dyDescent="0.25">
      <c r="A5968" s="205" t="s">
        <v>6548</v>
      </c>
      <c r="B5968" s="206">
        <v>86904</v>
      </c>
      <c r="C5968" s="207" t="s">
        <v>6595</v>
      </c>
      <c r="D5968" s="208" t="s">
        <v>580</v>
      </c>
      <c r="E5968" s="209">
        <v>148.80000000000001</v>
      </c>
      <c r="F5968" s="209">
        <v>14.32</v>
      </c>
      <c r="G5968" s="209">
        <v>163.12</v>
      </c>
      <c r="H5968" s="198"/>
    </row>
    <row r="5969" spans="1:8" ht="15.75" hidden="1" customHeight="1" x14ac:dyDescent="0.25">
      <c r="A5969" s="205" t="s">
        <v>6548</v>
      </c>
      <c r="B5969" s="206">
        <v>86943</v>
      </c>
      <c r="C5969" s="207" t="s">
        <v>6596</v>
      </c>
      <c r="D5969" s="208" t="s">
        <v>580</v>
      </c>
      <c r="E5969" s="209">
        <v>237.61</v>
      </c>
      <c r="F5969" s="209">
        <v>29.63</v>
      </c>
      <c r="G5969" s="209">
        <v>267.24</v>
      </c>
      <c r="H5969" s="198"/>
    </row>
    <row r="5970" spans="1:8" ht="15.75" hidden="1" customHeight="1" x14ac:dyDescent="0.25">
      <c r="A5970" s="205" t="s">
        <v>6548</v>
      </c>
      <c r="B5970" s="206">
        <v>86942</v>
      </c>
      <c r="C5970" s="207" t="s">
        <v>6597</v>
      </c>
      <c r="D5970" s="208" t="s">
        <v>580</v>
      </c>
      <c r="E5970" s="209">
        <v>245.51</v>
      </c>
      <c r="F5970" s="209">
        <v>31.37</v>
      </c>
      <c r="G5970" s="209">
        <v>276.88</v>
      </c>
      <c r="H5970" s="198"/>
    </row>
    <row r="5971" spans="1:8" ht="15.75" hidden="1" customHeight="1" x14ac:dyDescent="0.25">
      <c r="A5971" s="205" t="s">
        <v>6548</v>
      </c>
      <c r="B5971" s="206">
        <v>100856</v>
      </c>
      <c r="C5971" s="207" t="s">
        <v>6598</v>
      </c>
      <c r="D5971" s="208" t="s">
        <v>580</v>
      </c>
      <c r="E5971" s="209">
        <v>33.04</v>
      </c>
      <c r="F5971" s="209">
        <v>3.23</v>
      </c>
      <c r="G5971" s="209">
        <v>36.270000000000003</v>
      </c>
      <c r="H5971" s="198"/>
    </row>
    <row r="5972" spans="1:8" ht="15.75" hidden="1" customHeight="1" x14ac:dyDescent="0.25">
      <c r="A5972" s="205" t="s">
        <v>6548</v>
      </c>
      <c r="B5972" s="206">
        <v>100858</v>
      </c>
      <c r="C5972" s="207" t="s">
        <v>6599</v>
      </c>
      <c r="D5972" s="208" t="s">
        <v>580</v>
      </c>
      <c r="E5972" s="209">
        <v>780.76</v>
      </c>
      <c r="F5972" s="209">
        <v>33.97</v>
      </c>
      <c r="G5972" s="209">
        <v>814.73</v>
      </c>
      <c r="H5972" s="198"/>
    </row>
    <row r="5973" spans="1:8" ht="15.75" hidden="1" customHeight="1" x14ac:dyDescent="0.25">
      <c r="A5973" s="205" t="s">
        <v>6548</v>
      </c>
      <c r="B5973" s="206">
        <v>100859</v>
      </c>
      <c r="C5973" s="207" t="s">
        <v>6600</v>
      </c>
      <c r="D5973" s="208" t="s">
        <v>580</v>
      </c>
      <c r="E5973" s="209">
        <v>1115.54</v>
      </c>
      <c r="F5973" s="209">
        <v>71.2</v>
      </c>
      <c r="G5973" s="209">
        <v>1186.74</v>
      </c>
      <c r="H5973" s="198"/>
    </row>
    <row r="5974" spans="1:8" ht="15.75" hidden="1" customHeight="1" x14ac:dyDescent="0.25">
      <c r="A5974" s="205" t="s">
        <v>6548</v>
      </c>
      <c r="B5974" s="206">
        <v>95544</v>
      </c>
      <c r="C5974" s="207" t="s">
        <v>6601</v>
      </c>
      <c r="D5974" s="208" t="s">
        <v>580</v>
      </c>
      <c r="E5974" s="209">
        <v>89.72</v>
      </c>
      <c r="F5974" s="209">
        <v>10.63</v>
      </c>
      <c r="G5974" s="209">
        <v>100.35</v>
      </c>
      <c r="H5974" s="198"/>
    </row>
    <row r="5975" spans="1:8" ht="15.75" hidden="1" customHeight="1" x14ac:dyDescent="0.25">
      <c r="A5975" s="205" t="s">
        <v>6548</v>
      </c>
      <c r="B5975" s="206">
        <v>95543</v>
      </c>
      <c r="C5975" s="207" t="s">
        <v>6602</v>
      </c>
      <c r="D5975" s="208" t="s">
        <v>580</v>
      </c>
      <c r="E5975" s="209">
        <v>109.68</v>
      </c>
      <c r="F5975" s="209">
        <v>21.29</v>
      </c>
      <c r="G5975" s="209">
        <v>130.97</v>
      </c>
      <c r="H5975" s="198"/>
    </row>
    <row r="5976" spans="1:8" ht="15.75" hidden="1" customHeight="1" x14ac:dyDescent="0.25">
      <c r="A5976" s="205" t="s">
        <v>6548</v>
      </c>
      <c r="B5976" s="206">
        <v>95542</v>
      </c>
      <c r="C5976" s="207" t="s">
        <v>6603</v>
      </c>
      <c r="D5976" s="208" t="s">
        <v>580</v>
      </c>
      <c r="E5976" s="209">
        <v>69.39</v>
      </c>
      <c r="F5976" s="209">
        <v>10.64</v>
      </c>
      <c r="G5976" s="209">
        <v>80.03</v>
      </c>
      <c r="H5976" s="198"/>
    </row>
    <row r="5977" spans="1:8" ht="15.75" hidden="1" customHeight="1" x14ac:dyDescent="0.25">
      <c r="A5977" s="205" t="s">
        <v>6548</v>
      </c>
      <c r="B5977" s="206">
        <v>100874</v>
      </c>
      <c r="C5977" s="207" t="s">
        <v>6604</v>
      </c>
      <c r="D5977" s="208" t="s">
        <v>580</v>
      </c>
      <c r="E5977" s="209">
        <v>203.46</v>
      </c>
      <c r="F5977" s="209">
        <v>31.94</v>
      </c>
      <c r="G5977" s="209">
        <v>235.4</v>
      </c>
      <c r="H5977" s="198"/>
    </row>
    <row r="5978" spans="1:8" ht="15.75" hidden="1" customHeight="1" x14ac:dyDescent="0.25">
      <c r="A5978" s="205" t="s">
        <v>6548</v>
      </c>
      <c r="B5978" s="206">
        <v>95545</v>
      </c>
      <c r="C5978" s="207" t="s">
        <v>6605</v>
      </c>
      <c r="D5978" s="208" t="s">
        <v>580</v>
      </c>
      <c r="E5978" s="209">
        <v>87.54</v>
      </c>
      <c r="F5978" s="209">
        <v>10.64</v>
      </c>
      <c r="G5978" s="209">
        <v>98.18</v>
      </c>
      <c r="H5978" s="198"/>
    </row>
    <row r="5979" spans="1:8" ht="15.75" hidden="1" customHeight="1" x14ac:dyDescent="0.25">
      <c r="A5979" s="205" t="s">
        <v>6548</v>
      </c>
      <c r="B5979" s="206">
        <v>95547</v>
      </c>
      <c r="C5979" s="207" t="s">
        <v>6606</v>
      </c>
      <c r="D5979" s="208" t="s">
        <v>580</v>
      </c>
      <c r="E5979" s="209">
        <v>43.52</v>
      </c>
      <c r="F5979" s="209">
        <v>10.64</v>
      </c>
      <c r="G5979" s="209">
        <v>54.16</v>
      </c>
      <c r="H5979" s="198"/>
    </row>
    <row r="5980" spans="1:8" ht="15.75" hidden="1" customHeight="1" x14ac:dyDescent="0.25">
      <c r="A5980" s="205" t="s">
        <v>6548</v>
      </c>
      <c r="B5980" s="206">
        <v>86883</v>
      </c>
      <c r="C5980" s="207" t="s">
        <v>6607</v>
      </c>
      <c r="D5980" s="208" t="s">
        <v>580</v>
      </c>
      <c r="E5980" s="209">
        <v>9.06</v>
      </c>
      <c r="F5980" s="209">
        <v>2.82</v>
      </c>
      <c r="G5980" s="209">
        <v>11.88</v>
      </c>
      <c r="H5980" s="198"/>
    </row>
    <row r="5981" spans="1:8" ht="15.75" hidden="1" customHeight="1" x14ac:dyDescent="0.25">
      <c r="A5981" s="205" t="s">
        <v>6548</v>
      </c>
      <c r="B5981" s="206">
        <v>86881</v>
      </c>
      <c r="C5981" s="207" t="s">
        <v>6608</v>
      </c>
      <c r="D5981" s="208" t="s">
        <v>580</v>
      </c>
      <c r="E5981" s="209">
        <v>297.72000000000003</v>
      </c>
      <c r="F5981" s="209">
        <v>9.1999999999999993</v>
      </c>
      <c r="G5981" s="209">
        <v>306.92</v>
      </c>
      <c r="H5981" s="198"/>
    </row>
    <row r="5982" spans="1:8" ht="15.75" hidden="1" customHeight="1" x14ac:dyDescent="0.25">
      <c r="A5982" s="205" t="s">
        <v>6548</v>
      </c>
      <c r="B5982" s="206">
        <v>86882</v>
      </c>
      <c r="C5982" s="207" t="s">
        <v>6609</v>
      </c>
      <c r="D5982" s="208" t="s">
        <v>580</v>
      </c>
      <c r="E5982" s="209">
        <v>16.96</v>
      </c>
      <c r="F5982" s="209">
        <v>4.5599999999999996</v>
      </c>
      <c r="G5982" s="209">
        <v>21.52</v>
      </c>
      <c r="H5982" s="198"/>
    </row>
    <row r="5983" spans="1:8" ht="15.75" hidden="1" customHeight="1" x14ac:dyDescent="0.25">
      <c r="A5983" s="205" t="s">
        <v>6548</v>
      </c>
      <c r="B5983" s="206">
        <v>100862</v>
      </c>
      <c r="C5983" s="207" t="s">
        <v>6610</v>
      </c>
      <c r="D5983" s="208" t="s">
        <v>580</v>
      </c>
      <c r="E5983" s="209">
        <v>27.21</v>
      </c>
      <c r="F5983" s="209">
        <v>15.96</v>
      </c>
      <c r="G5983" s="209">
        <v>43.17</v>
      </c>
      <c r="H5983" s="198"/>
    </row>
    <row r="5984" spans="1:8" ht="15.75" hidden="1" customHeight="1" x14ac:dyDescent="0.25">
      <c r="A5984" s="205" t="s">
        <v>6548</v>
      </c>
      <c r="B5984" s="206">
        <v>100861</v>
      </c>
      <c r="C5984" s="207" t="s">
        <v>6611</v>
      </c>
      <c r="D5984" s="208" t="s">
        <v>580</v>
      </c>
      <c r="E5984" s="209">
        <v>23.79</v>
      </c>
      <c r="F5984" s="209">
        <v>15.97</v>
      </c>
      <c r="G5984" s="209">
        <v>39.76</v>
      </c>
      <c r="H5984" s="198"/>
    </row>
    <row r="5985" spans="1:8" ht="15.75" hidden="1" customHeight="1" x14ac:dyDescent="0.25">
      <c r="A5985" s="205" t="s">
        <v>6548</v>
      </c>
      <c r="B5985" s="206">
        <v>86872</v>
      </c>
      <c r="C5985" s="207" t="s">
        <v>6612</v>
      </c>
      <c r="D5985" s="208" t="s">
        <v>580</v>
      </c>
      <c r="E5985" s="209">
        <v>757.32</v>
      </c>
      <c r="F5985" s="209">
        <v>62.55</v>
      </c>
      <c r="G5985" s="209">
        <v>819.87</v>
      </c>
      <c r="H5985" s="198"/>
    </row>
    <row r="5986" spans="1:8" ht="15.75" hidden="1" customHeight="1" x14ac:dyDescent="0.25">
      <c r="A5986" s="205" t="s">
        <v>6548</v>
      </c>
      <c r="B5986" s="206">
        <v>86919</v>
      </c>
      <c r="C5986" s="207" t="s">
        <v>6613</v>
      </c>
      <c r="D5986" s="208" t="s">
        <v>580</v>
      </c>
      <c r="E5986" s="209">
        <v>948.61</v>
      </c>
      <c r="F5986" s="209">
        <v>76.36</v>
      </c>
      <c r="G5986" s="209">
        <v>1024.97</v>
      </c>
      <c r="H5986" s="198"/>
    </row>
    <row r="5987" spans="1:8" ht="15.75" hidden="1" customHeight="1" x14ac:dyDescent="0.25">
      <c r="A5987" s="205" t="s">
        <v>6548</v>
      </c>
      <c r="B5987" s="206">
        <v>86920</v>
      </c>
      <c r="C5987" s="207" t="s">
        <v>6614</v>
      </c>
      <c r="D5987" s="208" t="s">
        <v>580</v>
      </c>
      <c r="E5987" s="209">
        <v>820.07</v>
      </c>
      <c r="F5987" s="209">
        <v>74.709999999999994</v>
      </c>
      <c r="G5987" s="209">
        <v>894.78</v>
      </c>
      <c r="H5987" s="198"/>
    </row>
    <row r="5988" spans="1:8" ht="15.75" hidden="1" customHeight="1" x14ac:dyDescent="0.25">
      <c r="A5988" s="205" t="s">
        <v>6548</v>
      </c>
      <c r="B5988" s="206">
        <v>86921</v>
      </c>
      <c r="C5988" s="207" t="s">
        <v>6615</v>
      </c>
      <c r="D5988" s="208" t="s">
        <v>580</v>
      </c>
      <c r="E5988" s="209">
        <v>789.64</v>
      </c>
      <c r="F5988" s="209">
        <v>74.67</v>
      </c>
      <c r="G5988" s="209">
        <v>864.31</v>
      </c>
      <c r="H5988" s="198"/>
    </row>
    <row r="5989" spans="1:8" ht="15.75" hidden="1" customHeight="1" x14ac:dyDescent="0.25">
      <c r="A5989" s="205" t="s">
        <v>6548</v>
      </c>
      <c r="B5989" s="206">
        <v>86874</v>
      </c>
      <c r="C5989" s="207" t="s">
        <v>6616</v>
      </c>
      <c r="D5989" s="208" t="s">
        <v>580</v>
      </c>
      <c r="E5989" s="209">
        <v>543.03</v>
      </c>
      <c r="F5989" s="209">
        <v>29.36</v>
      </c>
      <c r="G5989" s="209">
        <v>572.39</v>
      </c>
      <c r="H5989" s="198"/>
    </row>
    <row r="5990" spans="1:8" ht="15.75" hidden="1" customHeight="1" x14ac:dyDescent="0.25">
      <c r="A5990" s="205" t="s">
        <v>6548</v>
      </c>
      <c r="B5990" s="206">
        <v>86922</v>
      </c>
      <c r="C5990" s="207" t="s">
        <v>6617</v>
      </c>
      <c r="D5990" s="208" t="s">
        <v>580</v>
      </c>
      <c r="E5990" s="209">
        <v>1022.98</v>
      </c>
      <c r="F5990" s="209">
        <v>49.55</v>
      </c>
      <c r="G5990" s="209">
        <v>1072.53</v>
      </c>
      <c r="H5990" s="198"/>
    </row>
    <row r="5991" spans="1:8" ht="15.75" hidden="1" customHeight="1" x14ac:dyDescent="0.25">
      <c r="A5991" s="205" t="s">
        <v>6548</v>
      </c>
      <c r="B5991" s="206">
        <v>86923</v>
      </c>
      <c r="C5991" s="207" t="s">
        <v>6618</v>
      </c>
      <c r="D5991" s="208" t="s">
        <v>580</v>
      </c>
      <c r="E5991" s="209">
        <v>613.78</v>
      </c>
      <c r="F5991" s="209">
        <v>43.16</v>
      </c>
      <c r="G5991" s="209">
        <v>656.94</v>
      </c>
      <c r="H5991" s="198"/>
    </row>
    <row r="5992" spans="1:8" ht="15.75" hidden="1" customHeight="1" x14ac:dyDescent="0.25">
      <c r="A5992" s="205" t="s">
        <v>6548</v>
      </c>
      <c r="B5992" s="206">
        <v>86924</v>
      </c>
      <c r="C5992" s="207" t="s">
        <v>6619</v>
      </c>
      <c r="D5992" s="208" t="s">
        <v>580</v>
      </c>
      <c r="E5992" s="209">
        <v>583.30999999999995</v>
      </c>
      <c r="F5992" s="209">
        <v>43.16</v>
      </c>
      <c r="G5992" s="209">
        <v>626.47</v>
      </c>
      <c r="H5992" s="198"/>
    </row>
    <row r="5993" spans="1:8" ht="15.75" hidden="1" customHeight="1" x14ac:dyDescent="0.25">
      <c r="A5993" s="205" t="s">
        <v>6548</v>
      </c>
      <c r="B5993" s="206">
        <v>86875</v>
      </c>
      <c r="C5993" s="207" t="s">
        <v>6620</v>
      </c>
      <c r="D5993" s="208" t="s">
        <v>580</v>
      </c>
      <c r="E5993" s="209">
        <v>550.54</v>
      </c>
      <c r="F5993" s="209">
        <v>35.51</v>
      </c>
      <c r="G5993" s="209">
        <v>586.04999999999995</v>
      </c>
      <c r="H5993" s="198"/>
    </row>
    <row r="5994" spans="1:8" ht="15.75" hidden="1" customHeight="1" x14ac:dyDescent="0.25">
      <c r="A5994" s="205" t="s">
        <v>6548</v>
      </c>
      <c r="B5994" s="206">
        <v>86925</v>
      </c>
      <c r="C5994" s="207" t="s">
        <v>6621</v>
      </c>
      <c r="D5994" s="208" t="s">
        <v>580</v>
      </c>
      <c r="E5994" s="209">
        <v>613.30999999999995</v>
      </c>
      <c r="F5994" s="209">
        <v>47.65</v>
      </c>
      <c r="G5994" s="209">
        <v>660.96</v>
      </c>
      <c r="H5994" s="198"/>
    </row>
    <row r="5995" spans="1:8" ht="15.75" hidden="1" customHeight="1" x14ac:dyDescent="0.25">
      <c r="A5995" s="205" t="s">
        <v>6548</v>
      </c>
      <c r="B5995" s="206">
        <v>86926</v>
      </c>
      <c r="C5995" s="207" t="s">
        <v>6622</v>
      </c>
      <c r="D5995" s="208" t="s">
        <v>580</v>
      </c>
      <c r="E5995" s="209">
        <v>582.89</v>
      </c>
      <c r="F5995" s="209">
        <v>47.6</v>
      </c>
      <c r="G5995" s="209">
        <v>630.49</v>
      </c>
      <c r="H5995" s="198"/>
    </row>
    <row r="5996" spans="1:8" ht="15.75" hidden="1" customHeight="1" x14ac:dyDescent="0.25">
      <c r="A5996" s="205" t="s">
        <v>6548</v>
      </c>
      <c r="B5996" s="206">
        <v>86876</v>
      </c>
      <c r="C5996" s="207" t="s">
        <v>6623</v>
      </c>
      <c r="D5996" s="208" t="s">
        <v>580</v>
      </c>
      <c r="E5996" s="209">
        <v>307.67</v>
      </c>
      <c r="F5996" s="209">
        <v>25.73</v>
      </c>
      <c r="G5996" s="209">
        <v>333.4</v>
      </c>
      <c r="H5996" s="198"/>
    </row>
    <row r="5997" spans="1:8" ht="15.75" hidden="1" customHeight="1" x14ac:dyDescent="0.25">
      <c r="A5997" s="205" t="s">
        <v>6548</v>
      </c>
      <c r="B5997" s="206">
        <v>86929</v>
      </c>
      <c r="C5997" s="207" t="s">
        <v>6624</v>
      </c>
      <c r="D5997" s="208" t="s">
        <v>580</v>
      </c>
      <c r="E5997" s="209">
        <v>370.46</v>
      </c>
      <c r="F5997" s="209">
        <v>37.85</v>
      </c>
      <c r="G5997" s="209">
        <v>408.31</v>
      </c>
      <c r="H5997" s="198"/>
    </row>
    <row r="5998" spans="1:8" ht="15.75" hidden="1" customHeight="1" x14ac:dyDescent="0.25">
      <c r="A5998" s="205" t="s">
        <v>6548</v>
      </c>
      <c r="B5998" s="206">
        <v>86930</v>
      </c>
      <c r="C5998" s="207" t="s">
        <v>6625</v>
      </c>
      <c r="D5998" s="208" t="s">
        <v>580</v>
      </c>
      <c r="E5998" s="209">
        <v>340.02</v>
      </c>
      <c r="F5998" s="209">
        <v>37.82</v>
      </c>
      <c r="G5998" s="209">
        <v>377.84</v>
      </c>
      <c r="H5998" s="198"/>
    </row>
    <row r="5999" spans="1:8" ht="15.75" hidden="1" customHeight="1" x14ac:dyDescent="0.25">
      <c r="A5999" s="205" t="s">
        <v>6548</v>
      </c>
      <c r="B5999" s="206">
        <v>86927</v>
      </c>
      <c r="C5999" s="207" t="s">
        <v>6626</v>
      </c>
      <c r="D5999" s="208" t="s">
        <v>580</v>
      </c>
      <c r="E5999" s="209">
        <v>378.38</v>
      </c>
      <c r="F5999" s="209">
        <v>39.57</v>
      </c>
      <c r="G5999" s="209">
        <v>417.95</v>
      </c>
      <c r="H5999" s="198"/>
    </row>
    <row r="6000" spans="1:8" ht="15.75" hidden="1" customHeight="1" x14ac:dyDescent="0.25">
      <c r="A6000" s="205" t="s">
        <v>6548</v>
      </c>
      <c r="B6000" s="206">
        <v>86928</v>
      </c>
      <c r="C6000" s="207" t="s">
        <v>6627</v>
      </c>
      <c r="D6000" s="208" t="s">
        <v>580</v>
      </c>
      <c r="E6000" s="209">
        <v>347.92</v>
      </c>
      <c r="F6000" s="209">
        <v>39.56</v>
      </c>
      <c r="G6000" s="209">
        <v>387.48</v>
      </c>
      <c r="H6000" s="198"/>
    </row>
    <row r="6001" spans="1:8" ht="15.75" hidden="1" customHeight="1" x14ac:dyDescent="0.25">
      <c r="A6001" s="205" t="s">
        <v>6548</v>
      </c>
      <c r="B6001" s="206">
        <v>86914</v>
      </c>
      <c r="C6001" s="207" t="s">
        <v>6628</v>
      </c>
      <c r="D6001" s="208" t="s">
        <v>580</v>
      </c>
      <c r="E6001" s="209">
        <v>87.38</v>
      </c>
      <c r="F6001" s="209">
        <v>5.12</v>
      </c>
      <c r="G6001" s="209">
        <v>92.5</v>
      </c>
      <c r="H6001" s="198"/>
    </row>
    <row r="6002" spans="1:8" ht="15.75" hidden="1" customHeight="1" x14ac:dyDescent="0.25">
      <c r="A6002" s="205" t="s">
        <v>6548</v>
      </c>
      <c r="B6002" s="206">
        <v>86913</v>
      </c>
      <c r="C6002" s="207" t="s">
        <v>6629</v>
      </c>
      <c r="D6002" s="208" t="s">
        <v>580</v>
      </c>
      <c r="E6002" s="209">
        <v>47.55</v>
      </c>
      <c r="F6002" s="209">
        <v>5.1100000000000003</v>
      </c>
      <c r="G6002" s="209">
        <v>52.66</v>
      </c>
      <c r="H6002" s="198"/>
    </row>
    <row r="6003" spans="1:8" ht="15.75" hidden="1" customHeight="1" x14ac:dyDescent="0.25">
      <c r="A6003" s="205" t="s">
        <v>6548</v>
      </c>
      <c r="B6003" s="206">
        <v>100853</v>
      </c>
      <c r="C6003" s="207" t="s">
        <v>6630</v>
      </c>
      <c r="D6003" s="208" t="s">
        <v>580</v>
      </c>
      <c r="E6003" s="209">
        <v>306.64</v>
      </c>
      <c r="F6003" s="209">
        <v>15.59</v>
      </c>
      <c r="G6003" s="209">
        <v>322.23</v>
      </c>
      <c r="H6003" s="198"/>
    </row>
    <row r="6004" spans="1:8" ht="15.75" hidden="1" customHeight="1" x14ac:dyDescent="0.25">
      <c r="A6004" s="205" t="s">
        <v>6548</v>
      </c>
      <c r="B6004" s="206">
        <v>100854</v>
      </c>
      <c r="C6004" s="207" t="s">
        <v>6631</v>
      </c>
      <c r="D6004" s="208" t="s">
        <v>580</v>
      </c>
      <c r="E6004" s="209">
        <v>1630.01</v>
      </c>
      <c r="F6004" s="209">
        <v>21.8</v>
      </c>
      <c r="G6004" s="209">
        <v>1651.81</v>
      </c>
      <c r="H6004" s="198"/>
    </row>
    <row r="6005" spans="1:8" ht="15.75" hidden="1" customHeight="1" x14ac:dyDescent="0.25">
      <c r="A6005" s="205" t="s">
        <v>6548</v>
      </c>
      <c r="B6005" s="206">
        <v>86915</v>
      </c>
      <c r="C6005" s="207" t="s">
        <v>6632</v>
      </c>
      <c r="D6005" s="208" t="s">
        <v>580</v>
      </c>
      <c r="E6005" s="209">
        <v>129.55000000000001</v>
      </c>
      <c r="F6005" s="209">
        <v>3.22</v>
      </c>
      <c r="G6005" s="209">
        <v>132.77000000000001</v>
      </c>
      <c r="H6005" s="198"/>
    </row>
    <row r="6006" spans="1:8" ht="15.75" hidden="1" customHeight="1" x14ac:dyDescent="0.25">
      <c r="A6006" s="205" t="s">
        <v>6548</v>
      </c>
      <c r="B6006" s="206">
        <v>86906</v>
      </c>
      <c r="C6006" s="207" t="s">
        <v>6633</v>
      </c>
      <c r="D6006" s="208" t="s">
        <v>580</v>
      </c>
      <c r="E6006" s="209">
        <v>66.86</v>
      </c>
      <c r="F6006" s="209">
        <v>3.23</v>
      </c>
      <c r="G6006" s="209">
        <v>70.09</v>
      </c>
      <c r="H6006" s="198"/>
    </row>
    <row r="6007" spans="1:8" ht="15.75" hidden="1" customHeight="1" x14ac:dyDescent="0.25">
      <c r="A6007" s="205" t="s">
        <v>6548</v>
      </c>
      <c r="B6007" s="206">
        <v>86911</v>
      </c>
      <c r="C6007" s="207" t="s">
        <v>6634</v>
      </c>
      <c r="D6007" s="208" t="s">
        <v>580</v>
      </c>
      <c r="E6007" s="209">
        <v>78.19</v>
      </c>
      <c r="F6007" s="209">
        <v>3.9</v>
      </c>
      <c r="G6007" s="209">
        <v>82.09</v>
      </c>
      <c r="H6007" s="198"/>
    </row>
    <row r="6008" spans="1:8" ht="15.75" hidden="1" customHeight="1" x14ac:dyDescent="0.25">
      <c r="A6008" s="205" t="s">
        <v>6548</v>
      </c>
      <c r="B6008" s="206">
        <v>86909</v>
      </c>
      <c r="C6008" s="207" t="s">
        <v>6635</v>
      </c>
      <c r="D6008" s="208" t="s">
        <v>580</v>
      </c>
      <c r="E6008" s="209">
        <v>116.08</v>
      </c>
      <c r="F6008" s="209">
        <v>5.6</v>
      </c>
      <c r="G6008" s="209">
        <v>121.68</v>
      </c>
      <c r="H6008" s="198"/>
    </row>
    <row r="6009" spans="1:8" ht="15.75" hidden="1" customHeight="1" x14ac:dyDescent="0.25">
      <c r="A6009" s="205" t="s">
        <v>6548</v>
      </c>
      <c r="B6009" s="206">
        <v>86910</v>
      </c>
      <c r="C6009" s="207" t="s">
        <v>6636</v>
      </c>
      <c r="D6009" s="208" t="s">
        <v>580</v>
      </c>
      <c r="E6009" s="209">
        <v>115.16</v>
      </c>
      <c r="F6009" s="209">
        <v>3.9</v>
      </c>
      <c r="G6009" s="209">
        <v>119.06</v>
      </c>
      <c r="H6009" s="198"/>
    </row>
    <row r="6010" spans="1:8" ht="15.75" hidden="1" customHeight="1" x14ac:dyDescent="0.25">
      <c r="A6010" s="205" t="s">
        <v>6548</v>
      </c>
      <c r="B6010" s="206">
        <v>86916</v>
      </c>
      <c r="C6010" s="207" t="s">
        <v>6637</v>
      </c>
      <c r="D6010" s="208" t="s">
        <v>580</v>
      </c>
      <c r="E6010" s="209">
        <v>17.079999999999998</v>
      </c>
      <c r="F6010" s="209">
        <v>5.1100000000000003</v>
      </c>
      <c r="G6010" s="209">
        <v>22.19</v>
      </c>
      <c r="H6010" s="198"/>
    </row>
    <row r="6011" spans="1:8" ht="15.75" hidden="1" customHeight="1" x14ac:dyDescent="0.25">
      <c r="A6011" s="205" t="s">
        <v>6548</v>
      </c>
      <c r="B6011" s="206">
        <v>95469</v>
      </c>
      <c r="C6011" s="207" t="s">
        <v>6638</v>
      </c>
      <c r="D6011" s="208" t="s">
        <v>580</v>
      </c>
      <c r="E6011" s="209">
        <v>312.23</v>
      </c>
      <c r="F6011" s="209">
        <v>20.49</v>
      </c>
      <c r="G6011" s="209">
        <v>332.72</v>
      </c>
      <c r="H6011" s="198"/>
    </row>
    <row r="6012" spans="1:8" ht="15.75" hidden="1" customHeight="1" x14ac:dyDescent="0.25">
      <c r="A6012" s="205" t="s">
        <v>6548</v>
      </c>
      <c r="B6012" s="206">
        <v>95470</v>
      </c>
      <c r="C6012" s="207" t="s">
        <v>6639</v>
      </c>
      <c r="D6012" s="208" t="s">
        <v>580</v>
      </c>
      <c r="E6012" s="209">
        <v>321.33</v>
      </c>
      <c r="F6012" s="209">
        <v>20.5</v>
      </c>
      <c r="G6012" s="209">
        <v>341.83</v>
      </c>
      <c r="H6012" s="198"/>
    </row>
    <row r="6013" spans="1:8" ht="15.75" hidden="1" customHeight="1" x14ac:dyDescent="0.25">
      <c r="A6013" s="205" t="s">
        <v>6548</v>
      </c>
      <c r="B6013" s="206">
        <v>95471</v>
      </c>
      <c r="C6013" s="207" t="s">
        <v>6640</v>
      </c>
      <c r="D6013" s="208" t="s">
        <v>580</v>
      </c>
      <c r="E6013" s="209">
        <v>845.38</v>
      </c>
      <c r="F6013" s="209">
        <v>42.62</v>
      </c>
      <c r="G6013" s="209">
        <v>888</v>
      </c>
      <c r="H6013" s="198"/>
    </row>
    <row r="6014" spans="1:8" ht="15.75" hidden="1" customHeight="1" x14ac:dyDescent="0.25">
      <c r="A6014" s="205" t="s">
        <v>6548</v>
      </c>
      <c r="B6014" s="206">
        <v>95472</v>
      </c>
      <c r="C6014" s="207" t="s">
        <v>6641</v>
      </c>
      <c r="D6014" s="208" t="s">
        <v>580</v>
      </c>
      <c r="E6014" s="209">
        <v>854.5</v>
      </c>
      <c r="F6014" s="209">
        <v>42.61</v>
      </c>
      <c r="G6014" s="209">
        <v>897.11</v>
      </c>
      <c r="H6014" s="198"/>
    </row>
    <row r="6015" spans="1:8" ht="15.75" hidden="1" customHeight="1" x14ac:dyDescent="0.25">
      <c r="A6015" s="205" t="s">
        <v>6548</v>
      </c>
      <c r="B6015" s="206">
        <v>100848</v>
      </c>
      <c r="C6015" s="207" t="s">
        <v>6642</v>
      </c>
      <c r="D6015" s="208" t="s">
        <v>580</v>
      </c>
      <c r="E6015" s="209">
        <v>609.98</v>
      </c>
      <c r="F6015" s="209">
        <v>20.48</v>
      </c>
      <c r="G6015" s="209">
        <v>630.46</v>
      </c>
      <c r="H6015" s="198"/>
    </row>
    <row r="6016" spans="1:8" ht="15.75" hidden="1" customHeight="1" x14ac:dyDescent="0.25">
      <c r="A6016" s="205" t="s">
        <v>6548</v>
      </c>
      <c r="B6016" s="206">
        <v>86888</v>
      </c>
      <c r="C6016" s="207" t="s">
        <v>6643</v>
      </c>
      <c r="D6016" s="208" t="s">
        <v>580</v>
      </c>
      <c r="E6016" s="209">
        <v>528.38</v>
      </c>
      <c r="F6016" s="209">
        <v>29.98</v>
      </c>
      <c r="G6016" s="209">
        <v>558.36</v>
      </c>
      <c r="H6016" s="198"/>
    </row>
    <row r="6017" spans="1:8" ht="15.75" hidden="1" customHeight="1" x14ac:dyDescent="0.25">
      <c r="A6017" s="205" t="s">
        <v>6548</v>
      </c>
      <c r="B6017" s="206">
        <v>86932</v>
      </c>
      <c r="C6017" s="207" t="s">
        <v>6644</v>
      </c>
      <c r="D6017" s="208" t="s">
        <v>580</v>
      </c>
      <c r="E6017" s="209">
        <v>604.16999999999996</v>
      </c>
      <c r="F6017" s="209">
        <v>35.090000000000003</v>
      </c>
      <c r="G6017" s="209">
        <v>639.26</v>
      </c>
      <c r="H6017" s="198"/>
    </row>
    <row r="6018" spans="1:8" ht="15.75" hidden="1" customHeight="1" x14ac:dyDescent="0.25">
      <c r="A6018" s="205" t="s">
        <v>6548</v>
      </c>
      <c r="B6018" s="206">
        <v>86931</v>
      </c>
      <c r="C6018" s="207" t="s">
        <v>6645</v>
      </c>
      <c r="D6018" s="208" t="s">
        <v>580</v>
      </c>
      <c r="E6018" s="209">
        <v>536.25</v>
      </c>
      <c r="F6018" s="209">
        <v>35.130000000000003</v>
      </c>
      <c r="G6018" s="209">
        <v>571.38</v>
      </c>
      <c r="H6018" s="198"/>
    </row>
    <row r="6019" spans="1:8" ht="15.75" hidden="1" customHeight="1" x14ac:dyDescent="0.25">
      <c r="A6019" s="205" t="s">
        <v>6548</v>
      </c>
      <c r="B6019" s="206">
        <v>100878</v>
      </c>
      <c r="C6019" s="207" t="s">
        <v>6646</v>
      </c>
      <c r="D6019" s="208" t="s">
        <v>580</v>
      </c>
      <c r="E6019" s="209">
        <v>710.42</v>
      </c>
      <c r="F6019" s="209">
        <v>47.92</v>
      </c>
      <c r="G6019" s="209">
        <v>758.34</v>
      </c>
      <c r="H6019" s="198"/>
    </row>
    <row r="6020" spans="1:8" ht="15.75" hidden="1" customHeight="1" x14ac:dyDescent="0.25">
      <c r="A6020" s="205" t="s">
        <v>6548</v>
      </c>
      <c r="B6020" s="206">
        <v>86877</v>
      </c>
      <c r="C6020" s="207" t="s">
        <v>6647</v>
      </c>
      <c r="D6020" s="208" t="s">
        <v>580</v>
      </c>
      <c r="E6020" s="209">
        <v>94.87</v>
      </c>
      <c r="F6020" s="209">
        <v>5.85</v>
      </c>
      <c r="G6020" s="209">
        <v>100.72</v>
      </c>
      <c r="H6020" s="198"/>
    </row>
    <row r="6021" spans="1:8" ht="15.75" hidden="1" customHeight="1" x14ac:dyDescent="0.25">
      <c r="A6021" s="205" t="s">
        <v>6548</v>
      </c>
      <c r="B6021" s="206">
        <v>86878</v>
      </c>
      <c r="C6021" s="207" t="s">
        <v>6648</v>
      </c>
      <c r="D6021" s="208" t="s">
        <v>580</v>
      </c>
      <c r="E6021" s="209">
        <v>102.81</v>
      </c>
      <c r="F6021" s="209">
        <v>5.84</v>
      </c>
      <c r="G6021" s="209">
        <v>108.65</v>
      </c>
      <c r="H6021" s="198"/>
    </row>
    <row r="6022" spans="1:8" ht="15.75" hidden="1" customHeight="1" x14ac:dyDescent="0.25">
      <c r="A6022" s="205" t="s">
        <v>6548</v>
      </c>
      <c r="B6022" s="206">
        <v>86879</v>
      </c>
      <c r="C6022" s="207" t="s">
        <v>6649</v>
      </c>
      <c r="D6022" s="208" t="s">
        <v>580</v>
      </c>
      <c r="E6022" s="209">
        <v>6.24</v>
      </c>
      <c r="F6022" s="209">
        <v>4.13</v>
      </c>
      <c r="G6022" s="209">
        <v>10.37</v>
      </c>
      <c r="H6022" s="198"/>
    </row>
    <row r="6023" spans="1:8" ht="15.75" hidden="1" customHeight="1" x14ac:dyDescent="0.25">
      <c r="A6023" s="205" t="s">
        <v>6548</v>
      </c>
      <c r="B6023" s="206">
        <v>86880</v>
      </c>
      <c r="C6023" s="207" t="s">
        <v>6650</v>
      </c>
      <c r="D6023" s="208" t="s">
        <v>580</v>
      </c>
      <c r="E6023" s="209">
        <v>20.67</v>
      </c>
      <c r="F6023" s="209">
        <v>4.1399999999999997</v>
      </c>
      <c r="G6023" s="209">
        <v>24.81</v>
      </c>
      <c r="H6023" s="198"/>
    </row>
    <row r="6024" spans="1:8" ht="15.75" hidden="1" customHeight="1" x14ac:dyDescent="0.25">
      <c r="A6024" s="205" t="s">
        <v>6651</v>
      </c>
      <c r="B6024" s="206">
        <v>101663</v>
      </c>
      <c r="C6024" s="207" t="s">
        <v>6652</v>
      </c>
      <c r="D6024" s="208" t="s">
        <v>580</v>
      </c>
      <c r="E6024" s="209">
        <v>12.94</v>
      </c>
      <c r="F6024" s="209">
        <v>15.8</v>
      </c>
      <c r="G6024" s="209">
        <v>28.74</v>
      </c>
      <c r="H6024" s="198"/>
    </row>
    <row r="6025" spans="1:8" ht="15.75" hidden="1" customHeight="1" x14ac:dyDescent="0.25">
      <c r="A6025" s="205" t="s">
        <v>6651</v>
      </c>
      <c r="B6025" s="206">
        <v>101664</v>
      </c>
      <c r="C6025" s="207" t="s">
        <v>6653</v>
      </c>
      <c r="D6025" s="208" t="s">
        <v>580</v>
      </c>
      <c r="E6025" s="209">
        <v>13.96</v>
      </c>
      <c r="F6025" s="209">
        <v>15.8</v>
      </c>
      <c r="G6025" s="209">
        <v>29.76</v>
      </c>
      <c r="H6025" s="198"/>
    </row>
    <row r="6026" spans="1:8" ht="15.75" hidden="1" customHeight="1" x14ac:dyDescent="0.25">
      <c r="A6026" s="205" t="s">
        <v>6651</v>
      </c>
      <c r="B6026" s="206">
        <v>101665</v>
      </c>
      <c r="C6026" s="207" t="s">
        <v>6654</v>
      </c>
      <c r="D6026" s="208" t="s">
        <v>580</v>
      </c>
      <c r="E6026" s="209">
        <v>18.329999999999998</v>
      </c>
      <c r="F6026" s="209">
        <v>15.8</v>
      </c>
      <c r="G6026" s="209">
        <v>34.130000000000003</v>
      </c>
      <c r="H6026" s="198"/>
    </row>
    <row r="6027" spans="1:8" ht="15.75" hidden="1" customHeight="1" x14ac:dyDescent="0.25">
      <c r="A6027" s="205" t="s">
        <v>6651</v>
      </c>
      <c r="B6027" s="206">
        <v>101636</v>
      </c>
      <c r="C6027" s="207" t="s">
        <v>6655</v>
      </c>
      <c r="D6027" s="208" t="s">
        <v>580</v>
      </c>
      <c r="E6027" s="209">
        <v>118.86</v>
      </c>
      <c r="F6027" s="209">
        <v>36.450000000000003</v>
      </c>
      <c r="G6027" s="209">
        <v>155.31</v>
      </c>
      <c r="H6027" s="198"/>
    </row>
    <row r="6028" spans="1:8" ht="15.75" hidden="1" customHeight="1" x14ac:dyDescent="0.25">
      <c r="A6028" s="205" t="s">
        <v>6651</v>
      </c>
      <c r="B6028" s="206">
        <v>101637</v>
      </c>
      <c r="C6028" s="207" t="s">
        <v>6656</v>
      </c>
      <c r="D6028" s="208" t="s">
        <v>580</v>
      </c>
      <c r="E6028" s="209">
        <v>113.56</v>
      </c>
      <c r="F6028" s="209">
        <v>36.450000000000003</v>
      </c>
      <c r="G6028" s="209">
        <v>150.01</v>
      </c>
      <c r="H6028" s="198"/>
    </row>
    <row r="6029" spans="1:8" ht="15.75" hidden="1" customHeight="1" x14ac:dyDescent="0.25">
      <c r="A6029" s="205" t="s">
        <v>6651</v>
      </c>
      <c r="B6029" s="206">
        <v>101658</v>
      </c>
      <c r="C6029" s="207" t="s">
        <v>6657</v>
      </c>
      <c r="D6029" s="208" t="s">
        <v>580</v>
      </c>
      <c r="E6029" s="209">
        <v>523.71</v>
      </c>
      <c r="F6029" s="209">
        <v>18.260000000000002</v>
      </c>
      <c r="G6029" s="209">
        <v>541.97</v>
      </c>
      <c r="H6029" s="198"/>
    </row>
    <row r="6030" spans="1:8" ht="15.75" hidden="1" customHeight="1" x14ac:dyDescent="0.25">
      <c r="A6030" s="205" t="s">
        <v>6651</v>
      </c>
      <c r="B6030" s="206">
        <v>101659</v>
      </c>
      <c r="C6030" s="207" t="s">
        <v>6658</v>
      </c>
      <c r="D6030" s="208" t="s">
        <v>580</v>
      </c>
      <c r="E6030" s="209">
        <v>598.66</v>
      </c>
      <c r="F6030" s="209">
        <v>18.260000000000002</v>
      </c>
      <c r="G6030" s="209">
        <v>616.91999999999996</v>
      </c>
      <c r="H6030" s="198"/>
    </row>
    <row r="6031" spans="1:8" ht="15.75" hidden="1" customHeight="1" x14ac:dyDescent="0.25">
      <c r="A6031" s="205" t="s">
        <v>6651</v>
      </c>
      <c r="B6031" s="206">
        <v>101660</v>
      </c>
      <c r="C6031" s="207" t="s">
        <v>6659</v>
      </c>
      <c r="D6031" s="208" t="s">
        <v>580</v>
      </c>
      <c r="E6031" s="209">
        <v>952.51</v>
      </c>
      <c r="F6031" s="209">
        <v>18.25</v>
      </c>
      <c r="G6031" s="209">
        <v>970.76</v>
      </c>
      <c r="H6031" s="198"/>
    </row>
    <row r="6032" spans="1:8" ht="15.75" hidden="1" customHeight="1" x14ac:dyDescent="0.25">
      <c r="A6032" s="205" t="s">
        <v>6651</v>
      </c>
      <c r="B6032" s="206">
        <v>101654</v>
      </c>
      <c r="C6032" s="207" t="s">
        <v>6660</v>
      </c>
      <c r="D6032" s="208" t="s">
        <v>580</v>
      </c>
      <c r="E6032" s="209">
        <v>199.24</v>
      </c>
      <c r="F6032" s="209">
        <v>18.239999999999998</v>
      </c>
      <c r="G6032" s="209">
        <v>217.48</v>
      </c>
      <c r="H6032" s="198"/>
    </row>
    <row r="6033" spans="1:8" ht="15.75" hidden="1" customHeight="1" x14ac:dyDescent="0.25">
      <c r="A6033" s="205" t="s">
        <v>6651</v>
      </c>
      <c r="B6033" s="206">
        <v>101655</v>
      </c>
      <c r="C6033" s="207" t="s">
        <v>6661</v>
      </c>
      <c r="D6033" s="208" t="s">
        <v>580</v>
      </c>
      <c r="E6033" s="209">
        <v>317.08999999999997</v>
      </c>
      <c r="F6033" s="209">
        <v>18.239999999999998</v>
      </c>
      <c r="G6033" s="209">
        <v>335.33</v>
      </c>
      <c r="H6033" s="198"/>
    </row>
    <row r="6034" spans="1:8" ht="15.75" hidden="1" customHeight="1" x14ac:dyDescent="0.25">
      <c r="A6034" s="205" t="s">
        <v>6651</v>
      </c>
      <c r="B6034" s="206">
        <v>101656</v>
      </c>
      <c r="C6034" s="207" t="s">
        <v>6662</v>
      </c>
      <c r="D6034" s="208" t="s">
        <v>580</v>
      </c>
      <c r="E6034" s="209">
        <v>344.59</v>
      </c>
      <c r="F6034" s="209">
        <v>18.25</v>
      </c>
      <c r="G6034" s="209">
        <v>362.84</v>
      </c>
      <c r="H6034" s="198"/>
    </row>
    <row r="6035" spans="1:8" ht="15.75" hidden="1" customHeight="1" x14ac:dyDescent="0.25">
      <c r="A6035" s="205" t="s">
        <v>6651</v>
      </c>
      <c r="B6035" s="206">
        <v>101657</v>
      </c>
      <c r="C6035" s="207" t="s">
        <v>6663</v>
      </c>
      <c r="D6035" s="208" t="s">
        <v>580</v>
      </c>
      <c r="E6035" s="209">
        <v>403.21</v>
      </c>
      <c r="F6035" s="209">
        <v>18.239999999999998</v>
      </c>
      <c r="G6035" s="209">
        <v>421.45</v>
      </c>
      <c r="H6035" s="198"/>
    </row>
    <row r="6036" spans="1:8" ht="15.75" hidden="1" customHeight="1" x14ac:dyDescent="0.25">
      <c r="A6036" s="205" t="s">
        <v>6651</v>
      </c>
      <c r="B6036" s="206">
        <v>101632</v>
      </c>
      <c r="C6036" s="207" t="s">
        <v>6664</v>
      </c>
      <c r="D6036" s="208" t="s">
        <v>580</v>
      </c>
      <c r="E6036" s="209">
        <v>35.85</v>
      </c>
      <c r="F6036" s="209">
        <v>0.7</v>
      </c>
      <c r="G6036" s="209">
        <v>36.549999999999997</v>
      </c>
      <c r="H6036" s="198"/>
    </row>
    <row r="6037" spans="1:8" ht="15.75" hidden="1" customHeight="1" x14ac:dyDescent="0.25">
      <c r="A6037" s="205" t="s">
        <v>6651</v>
      </c>
      <c r="B6037" s="206">
        <v>101661</v>
      </c>
      <c r="C6037" s="207" t="s">
        <v>6665</v>
      </c>
      <c r="D6037" s="208" t="s">
        <v>580</v>
      </c>
      <c r="E6037" s="209">
        <v>78.62</v>
      </c>
      <c r="F6037" s="209">
        <v>68.41</v>
      </c>
      <c r="G6037" s="209">
        <v>147.03</v>
      </c>
      <c r="H6037" s="198"/>
    </row>
    <row r="6038" spans="1:8" ht="15.75" hidden="1" customHeight="1" x14ac:dyDescent="0.25">
      <c r="A6038" s="205" t="s">
        <v>6651</v>
      </c>
      <c r="B6038" s="206">
        <v>105924</v>
      </c>
      <c r="C6038" s="207" t="s">
        <v>6666</v>
      </c>
      <c r="D6038" s="208" t="s">
        <v>580</v>
      </c>
      <c r="E6038" s="209">
        <v>4.4800000000000004</v>
      </c>
      <c r="F6038" s="209">
        <v>11.35</v>
      </c>
      <c r="G6038" s="209">
        <v>15.83</v>
      </c>
      <c r="H6038" s="198"/>
    </row>
    <row r="6039" spans="1:8" ht="15.75" hidden="1" customHeight="1" x14ac:dyDescent="0.25">
      <c r="A6039" s="205" t="s">
        <v>6651</v>
      </c>
      <c r="B6039" s="206">
        <v>101651</v>
      </c>
      <c r="C6039" s="207" t="s">
        <v>6667</v>
      </c>
      <c r="D6039" s="208" t="s">
        <v>580</v>
      </c>
      <c r="E6039" s="209">
        <v>56.88</v>
      </c>
      <c r="F6039" s="209">
        <v>10.51</v>
      </c>
      <c r="G6039" s="209">
        <v>67.39</v>
      </c>
      <c r="H6039" s="198"/>
    </row>
    <row r="6040" spans="1:8" ht="15.75" hidden="1" customHeight="1" x14ac:dyDescent="0.25">
      <c r="A6040" s="205" t="s">
        <v>6651</v>
      </c>
      <c r="B6040" s="206">
        <v>101630</v>
      </c>
      <c r="C6040" s="207" t="s">
        <v>6668</v>
      </c>
      <c r="D6040" s="208" t="s">
        <v>580</v>
      </c>
      <c r="E6040" s="209">
        <v>60.41</v>
      </c>
      <c r="F6040" s="209">
        <v>19.96</v>
      </c>
      <c r="G6040" s="209">
        <v>80.37</v>
      </c>
      <c r="H6040" s="198"/>
    </row>
    <row r="6041" spans="1:8" ht="15.75" hidden="1" customHeight="1" x14ac:dyDescent="0.25">
      <c r="A6041" s="205" t="s">
        <v>6651</v>
      </c>
      <c r="B6041" s="206">
        <v>101633</v>
      </c>
      <c r="C6041" s="207" t="s">
        <v>6669</v>
      </c>
      <c r="D6041" s="208" t="s">
        <v>580</v>
      </c>
      <c r="E6041" s="209">
        <v>91.88</v>
      </c>
      <c r="F6041" s="209">
        <v>9.0399999999999991</v>
      </c>
      <c r="G6041" s="209">
        <v>100.92</v>
      </c>
      <c r="H6041" s="198"/>
    </row>
    <row r="6042" spans="1:8" ht="15.75" hidden="1" customHeight="1" x14ac:dyDescent="0.25">
      <c r="A6042" s="205" t="s">
        <v>6670</v>
      </c>
      <c r="B6042" s="206">
        <v>104219</v>
      </c>
      <c r="C6042" s="207" t="s">
        <v>6671</v>
      </c>
      <c r="D6042" s="208" t="s">
        <v>578</v>
      </c>
      <c r="E6042" s="209">
        <v>62.07</v>
      </c>
      <c r="F6042" s="209">
        <v>29.09</v>
      </c>
      <c r="G6042" s="209">
        <v>91.16</v>
      </c>
      <c r="H6042" s="198"/>
    </row>
    <row r="6043" spans="1:8" ht="15.75" hidden="1" customHeight="1" x14ac:dyDescent="0.25">
      <c r="A6043" s="205" t="s">
        <v>6670</v>
      </c>
      <c r="B6043" s="206">
        <v>104223</v>
      </c>
      <c r="C6043" s="207" t="s">
        <v>6672</v>
      </c>
      <c r="D6043" s="208" t="s">
        <v>578</v>
      </c>
      <c r="E6043" s="209">
        <v>81.680000000000007</v>
      </c>
      <c r="F6043" s="209">
        <v>37.450000000000003</v>
      </c>
      <c r="G6043" s="209">
        <v>119.13</v>
      </c>
      <c r="H6043" s="198"/>
    </row>
    <row r="6044" spans="1:8" ht="15.75" hidden="1" customHeight="1" x14ac:dyDescent="0.25">
      <c r="A6044" s="205" t="s">
        <v>6670</v>
      </c>
      <c r="B6044" s="206">
        <v>104227</v>
      </c>
      <c r="C6044" s="207" t="s">
        <v>6673</v>
      </c>
      <c r="D6044" s="208" t="s">
        <v>578</v>
      </c>
      <c r="E6044" s="209">
        <v>98.48</v>
      </c>
      <c r="F6044" s="209">
        <v>38.57</v>
      </c>
      <c r="G6044" s="209">
        <v>137.05000000000001</v>
      </c>
      <c r="H6044" s="198"/>
    </row>
    <row r="6045" spans="1:8" ht="15.75" hidden="1" customHeight="1" x14ac:dyDescent="0.25">
      <c r="A6045" s="205" t="s">
        <v>6670</v>
      </c>
      <c r="B6045" s="206">
        <v>104231</v>
      </c>
      <c r="C6045" s="207" t="s">
        <v>6674</v>
      </c>
      <c r="D6045" s="208" t="s">
        <v>578</v>
      </c>
      <c r="E6045" s="209">
        <v>108.26</v>
      </c>
      <c r="F6045" s="209">
        <v>42.92</v>
      </c>
      <c r="G6045" s="209">
        <v>151.18</v>
      </c>
      <c r="H6045" s="198"/>
    </row>
    <row r="6046" spans="1:8" ht="15.75" hidden="1" customHeight="1" x14ac:dyDescent="0.25">
      <c r="A6046" s="205" t="s">
        <v>6670</v>
      </c>
      <c r="B6046" s="206">
        <v>104235</v>
      </c>
      <c r="C6046" s="207" t="s">
        <v>6675</v>
      </c>
      <c r="D6046" s="208" t="s">
        <v>578</v>
      </c>
      <c r="E6046" s="209">
        <v>55.12</v>
      </c>
      <c r="F6046" s="209">
        <v>18.600000000000001</v>
      </c>
      <c r="G6046" s="209">
        <v>73.72</v>
      </c>
      <c r="H6046" s="198"/>
    </row>
    <row r="6047" spans="1:8" ht="15.75" hidden="1" customHeight="1" x14ac:dyDescent="0.25">
      <c r="A6047" s="205" t="s">
        <v>6670</v>
      </c>
      <c r="B6047" s="206">
        <v>104239</v>
      </c>
      <c r="C6047" s="207" t="s">
        <v>6676</v>
      </c>
      <c r="D6047" s="208" t="s">
        <v>578</v>
      </c>
      <c r="E6047" s="209">
        <v>73.650000000000006</v>
      </c>
      <c r="F6047" s="209">
        <v>26.92</v>
      </c>
      <c r="G6047" s="209">
        <v>100.57</v>
      </c>
      <c r="H6047" s="198"/>
    </row>
    <row r="6048" spans="1:8" ht="15.75" hidden="1" customHeight="1" x14ac:dyDescent="0.25">
      <c r="A6048" s="205" t="s">
        <v>6670</v>
      </c>
      <c r="B6048" s="206">
        <v>104243</v>
      </c>
      <c r="C6048" s="207" t="s">
        <v>6677</v>
      </c>
      <c r="D6048" s="208" t="s">
        <v>578</v>
      </c>
      <c r="E6048" s="209">
        <v>89.36</v>
      </c>
      <c r="F6048" s="209">
        <v>27.96</v>
      </c>
      <c r="G6048" s="209">
        <v>117.32</v>
      </c>
      <c r="H6048" s="198"/>
    </row>
    <row r="6049" spans="1:8" ht="15.75" hidden="1" customHeight="1" x14ac:dyDescent="0.25">
      <c r="A6049" s="205" t="s">
        <v>6670</v>
      </c>
      <c r="B6049" s="206">
        <v>104247</v>
      </c>
      <c r="C6049" s="207" t="s">
        <v>6678</v>
      </c>
      <c r="D6049" s="208" t="s">
        <v>578</v>
      </c>
      <c r="E6049" s="209">
        <v>96.98</v>
      </c>
      <c r="F6049" s="209">
        <v>27.94</v>
      </c>
      <c r="G6049" s="209">
        <v>124.92</v>
      </c>
      <c r="H6049" s="198"/>
    </row>
    <row r="6050" spans="1:8" ht="15.75" hidden="1" customHeight="1" x14ac:dyDescent="0.25">
      <c r="A6050" s="205" t="s">
        <v>6670</v>
      </c>
      <c r="B6050" s="206">
        <v>87795</v>
      </c>
      <c r="C6050" s="207" t="s">
        <v>6679</v>
      </c>
      <c r="D6050" s="208" t="s">
        <v>578</v>
      </c>
      <c r="E6050" s="209">
        <v>55.92</v>
      </c>
      <c r="F6050" s="209">
        <v>20.63</v>
      </c>
      <c r="G6050" s="209">
        <v>76.55</v>
      </c>
      <c r="H6050" s="198"/>
    </row>
    <row r="6051" spans="1:8" ht="15.75" hidden="1" customHeight="1" x14ac:dyDescent="0.25">
      <c r="A6051" s="205" t="s">
        <v>6670</v>
      </c>
      <c r="B6051" s="206">
        <v>87800</v>
      </c>
      <c r="C6051" s="207" t="s">
        <v>6680</v>
      </c>
      <c r="D6051" s="208" t="s">
        <v>578</v>
      </c>
      <c r="E6051" s="209">
        <v>74.8</v>
      </c>
      <c r="F6051" s="209">
        <v>29.84</v>
      </c>
      <c r="G6051" s="209">
        <v>104.64</v>
      </c>
      <c r="H6051" s="198"/>
    </row>
    <row r="6052" spans="1:8" ht="15.75" hidden="1" customHeight="1" x14ac:dyDescent="0.25">
      <c r="A6052" s="205" t="s">
        <v>6670</v>
      </c>
      <c r="B6052" s="206">
        <v>87804</v>
      </c>
      <c r="C6052" s="207" t="s">
        <v>6681</v>
      </c>
      <c r="D6052" s="208" t="s">
        <v>578</v>
      </c>
      <c r="E6052" s="209">
        <v>90.5</v>
      </c>
      <c r="F6052" s="209">
        <v>30.89</v>
      </c>
      <c r="G6052" s="209">
        <v>121.39</v>
      </c>
      <c r="H6052" s="198"/>
    </row>
    <row r="6053" spans="1:8" ht="15.75" hidden="1" customHeight="1" x14ac:dyDescent="0.25">
      <c r="A6053" s="205" t="s">
        <v>6670</v>
      </c>
      <c r="B6053" s="206">
        <v>87808</v>
      </c>
      <c r="C6053" s="207" t="s">
        <v>6682</v>
      </c>
      <c r="D6053" s="208" t="s">
        <v>578</v>
      </c>
      <c r="E6053" s="209">
        <v>98.09</v>
      </c>
      <c r="F6053" s="209">
        <v>30.76</v>
      </c>
      <c r="G6053" s="209">
        <v>128.85</v>
      </c>
      <c r="H6053" s="198"/>
    </row>
    <row r="6054" spans="1:8" ht="15.75" hidden="1" customHeight="1" x14ac:dyDescent="0.25">
      <c r="A6054" s="205" t="s">
        <v>6670</v>
      </c>
      <c r="B6054" s="206">
        <v>87778</v>
      </c>
      <c r="C6054" s="207" t="s">
        <v>6683</v>
      </c>
      <c r="D6054" s="208" t="s">
        <v>578</v>
      </c>
      <c r="E6054" s="209">
        <v>63.37</v>
      </c>
      <c r="F6054" s="209">
        <v>32.39</v>
      </c>
      <c r="G6054" s="209">
        <v>95.76</v>
      </c>
      <c r="H6054" s="198"/>
    </row>
    <row r="6055" spans="1:8" ht="15.75" hidden="1" customHeight="1" x14ac:dyDescent="0.25">
      <c r="A6055" s="205" t="s">
        <v>6670</v>
      </c>
      <c r="B6055" s="206">
        <v>87783</v>
      </c>
      <c r="C6055" s="207" t="s">
        <v>6684</v>
      </c>
      <c r="D6055" s="208" t="s">
        <v>578</v>
      </c>
      <c r="E6055" s="209">
        <v>83.36</v>
      </c>
      <c r="F6055" s="209">
        <v>41.74</v>
      </c>
      <c r="G6055" s="209">
        <v>125.1</v>
      </c>
      <c r="H6055" s="198"/>
    </row>
    <row r="6056" spans="1:8" ht="15.75" hidden="1" customHeight="1" x14ac:dyDescent="0.25">
      <c r="A6056" s="205" t="s">
        <v>6670</v>
      </c>
      <c r="B6056" s="206">
        <v>87787</v>
      </c>
      <c r="C6056" s="207" t="s">
        <v>6685</v>
      </c>
      <c r="D6056" s="208" t="s">
        <v>578</v>
      </c>
      <c r="E6056" s="209">
        <v>100.16</v>
      </c>
      <c r="F6056" s="209">
        <v>42.86</v>
      </c>
      <c r="G6056" s="209">
        <v>143.02000000000001</v>
      </c>
      <c r="H6056" s="198"/>
    </row>
    <row r="6057" spans="1:8" ht="15.75" hidden="1" customHeight="1" x14ac:dyDescent="0.25">
      <c r="A6057" s="205" t="s">
        <v>6670</v>
      </c>
      <c r="B6057" s="206">
        <v>87791</v>
      </c>
      <c r="C6057" s="207" t="s">
        <v>6686</v>
      </c>
      <c r="D6057" s="208" t="s">
        <v>578</v>
      </c>
      <c r="E6057" s="209">
        <v>110.13</v>
      </c>
      <c r="F6057" s="209">
        <v>47.62</v>
      </c>
      <c r="G6057" s="209">
        <v>157.75</v>
      </c>
      <c r="H6057" s="198"/>
    </row>
    <row r="6058" spans="1:8" ht="15.75" hidden="1" customHeight="1" x14ac:dyDescent="0.25">
      <c r="A6058" s="205" t="s">
        <v>6670</v>
      </c>
      <c r="B6058" s="206">
        <v>87832</v>
      </c>
      <c r="C6058" s="207" t="s">
        <v>6687</v>
      </c>
      <c r="D6058" s="208" t="s">
        <v>578</v>
      </c>
      <c r="E6058" s="209">
        <v>95.66</v>
      </c>
      <c r="F6058" s="209">
        <v>56.56</v>
      </c>
      <c r="G6058" s="209">
        <v>152.22</v>
      </c>
      <c r="H6058" s="198"/>
    </row>
    <row r="6059" spans="1:8" ht="15.75" hidden="1" customHeight="1" x14ac:dyDescent="0.25">
      <c r="A6059" s="205" t="s">
        <v>6670</v>
      </c>
      <c r="B6059" s="206">
        <v>87812</v>
      </c>
      <c r="C6059" s="207" t="s">
        <v>6688</v>
      </c>
      <c r="D6059" s="208" t="s">
        <v>578</v>
      </c>
      <c r="E6059" s="209">
        <v>66.400000000000006</v>
      </c>
      <c r="F6059" s="209">
        <v>55.18</v>
      </c>
      <c r="G6059" s="209">
        <v>121.58</v>
      </c>
      <c r="H6059" s="198"/>
    </row>
    <row r="6060" spans="1:8" ht="15.75" hidden="1" customHeight="1" x14ac:dyDescent="0.25">
      <c r="A6060" s="205" t="s">
        <v>6670</v>
      </c>
      <c r="B6060" s="206">
        <v>87816</v>
      </c>
      <c r="C6060" s="207" t="s">
        <v>6689</v>
      </c>
      <c r="D6060" s="208" t="s">
        <v>578</v>
      </c>
      <c r="E6060" s="209">
        <v>85.3</v>
      </c>
      <c r="F6060" s="209">
        <v>64.45</v>
      </c>
      <c r="G6060" s="209">
        <v>149.75</v>
      </c>
      <c r="H6060" s="198"/>
    </row>
    <row r="6061" spans="1:8" ht="15.75" hidden="1" customHeight="1" x14ac:dyDescent="0.25">
      <c r="A6061" s="205" t="s">
        <v>6670</v>
      </c>
      <c r="B6061" s="206">
        <v>87820</v>
      </c>
      <c r="C6061" s="207" t="s">
        <v>6690</v>
      </c>
      <c r="D6061" s="208" t="s">
        <v>578</v>
      </c>
      <c r="E6061" s="209">
        <v>101</v>
      </c>
      <c r="F6061" s="209">
        <v>65.5</v>
      </c>
      <c r="G6061" s="209">
        <v>166.5</v>
      </c>
      <c r="H6061" s="198"/>
    </row>
    <row r="6062" spans="1:8" ht="15.75" hidden="1" customHeight="1" x14ac:dyDescent="0.25">
      <c r="A6062" s="205" t="s">
        <v>6670</v>
      </c>
      <c r="B6062" s="206">
        <v>87824</v>
      </c>
      <c r="C6062" s="207" t="s">
        <v>6691</v>
      </c>
      <c r="D6062" s="208" t="s">
        <v>578</v>
      </c>
      <c r="E6062" s="209">
        <v>114.35</v>
      </c>
      <c r="F6062" s="209">
        <v>80.08</v>
      </c>
      <c r="G6062" s="209">
        <v>194.43</v>
      </c>
      <c r="H6062" s="198"/>
    </row>
    <row r="6063" spans="1:8" ht="15.75" hidden="1" customHeight="1" x14ac:dyDescent="0.25">
      <c r="A6063" s="205" t="s">
        <v>6670</v>
      </c>
      <c r="B6063" s="206">
        <v>87828</v>
      </c>
      <c r="C6063" s="207" t="s">
        <v>6692</v>
      </c>
      <c r="D6063" s="208" t="s">
        <v>578</v>
      </c>
      <c r="E6063" s="209">
        <v>73.77</v>
      </c>
      <c r="F6063" s="209">
        <v>48.3</v>
      </c>
      <c r="G6063" s="209">
        <v>122.07</v>
      </c>
      <c r="H6063" s="198"/>
    </row>
    <row r="6064" spans="1:8" ht="15.75" hidden="1" customHeight="1" x14ac:dyDescent="0.25">
      <c r="A6064" s="205" t="s">
        <v>6670</v>
      </c>
      <c r="B6064" s="206">
        <v>104251</v>
      </c>
      <c r="C6064" s="207" t="s">
        <v>6693</v>
      </c>
      <c r="D6064" s="208" t="s">
        <v>578</v>
      </c>
      <c r="E6064" s="209">
        <v>64.069999999999993</v>
      </c>
      <c r="F6064" s="209">
        <v>49.24</v>
      </c>
      <c r="G6064" s="209">
        <v>113.31</v>
      </c>
      <c r="H6064" s="198"/>
    </row>
    <row r="6065" spans="1:8" ht="15.75" hidden="1" customHeight="1" x14ac:dyDescent="0.25">
      <c r="A6065" s="205" t="s">
        <v>6670</v>
      </c>
      <c r="B6065" s="206">
        <v>104255</v>
      </c>
      <c r="C6065" s="207" t="s">
        <v>6694</v>
      </c>
      <c r="D6065" s="208" t="s">
        <v>578</v>
      </c>
      <c r="E6065" s="209">
        <v>82.6</v>
      </c>
      <c r="F6065" s="209">
        <v>57.56</v>
      </c>
      <c r="G6065" s="209">
        <v>140.16</v>
      </c>
      <c r="H6065" s="198"/>
    </row>
    <row r="6066" spans="1:8" ht="15.75" hidden="1" customHeight="1" x14ac:dyDescent="0.25">
      <c r="A6066" s="205" t="s">
        <v>6670</v>
      </c>
      <c r="B6066" s="206">
        <v>104259</v>
      </c>
      <c r="C6066" s="207" t="s">
        <v>6695</v>
      </c>
      <c r="D6066" s="208" t="s">
        <v>578</v>
      </c>
      <c r="E6066" s="209">
        <v>98.29</v>
      </c>
      <c r="F6066" s="209">
        <v>58.62</v>
      </c>
      <c r="G6066" s="209">
        <v>156.91</v>
      </c>
      <c r="H6066" s="198"/>
    </row>
    <row r="6067" spans="1:8" ht="15.75" hidden="1" customHeight="1" x14ac:dyDescent="0.25">
      <c r="A6067" s="205" t="s">
        <v>6670</v>
      </c>
      <c r="B6067" s="206">
        <v>104263</v>
      </c>
      <c r="C6067" s="207" t="s">
        <v>6696</v>
      </c>
      <c r="D6067" s="208" t="s">
        <v>578</v>
      </c>
      <c r="E6067" s="209">
        <v>111.04</v>
      </c>
      <c r="F6067" s="209">
        <v>71.58</v>
      </c>
      <c r="G6067" s="209">
        <v>182.62</v>
      </c>
      <c r="H6067" s="198"/>
    </row>
    <row r="6068" spans="1:8" ht="15.75" hidden="1" customHeight="1" x14ac:dyDescent="0.25">
      <c r="A6068" s="205" t="s">
        <v>6670</v>
      </c>
      <c r="B6068" s="206">
        <v>87794</v>
      </c>
      <c r="C6068" s="207" t="s">
        <v>6697</v>
      </c>
      <c r="D6068" s="208" t="s">
        <v>578</v>
      </c>
      <c r="E6068" s="209">
        <v>25.53</v>
      </c>
      <c r="F6068" s="209">
        <v>25.62</v>
      </c>
      <c r="G6068" s="209">
        <v>51.15</v>
      </c>
      <c r="H6068" s="198"/>
    </row>
    <row r="6069" spans="1:8" ht="15.75" hidden="1" customHeight="1" x14ac:dyDescent="0.25">
      <c r="A6069" s="205" t="s">
        <v>6670</v>
      </c>
      <c r="B6069" s="206">
        <v>87799</v>
      </c>
      <c r="C6069" s="207" t="s">
        <v>6698</v>
      </c>
      <c r="D6069" s="208" t="s">
        <v>578</v>
      </c>
      <c r="E6069" s="209">
        <v>34.14</v>
      </c>
      <c r="F6069" s="209">
        <v>36.79</v>
      </c>
      <c r="G6069" s="209">
        <v>70.930000000000007</v>
      </c>
      <c r="H6069" s="198"/>
    </row>
    <row r="6070" spans="1:8" ht="15.75" hidden="1" customHeight="1" x14ac:dyDescent="0.25">
      <c r="A6070" s="205" t="s">
        <v>6670</v>
      </c>
      <c r="B6070" s="206">
        <v>87803</v>
      </c>
      <c r="C6070" s="207" t="s">
        <v>6699</v>
      </c>
      <c r="D6070" s="208" t="s">
        <v>578</v>
      </c>
      <c r="E6070" s="209">
        <v>39.229999999999997</v>
      </c>
      <c r="F6070" s="209">
        <v>38.96</v>
      </c>
      <c r="G6070" s="209">
        <v>78.19</v>
      </c>
      <c r="H6070" s="198"/>
    </row>
    <row r="6071" spans="1:8" ht="15.75" hidden="1" customHeight="1" x14ac:dyDescent="0.25">
      <c r="A6071" s="205" t="s">
        <v>6670</v>
      </c>
      <c r="B6071" s="206">
        <v>87807</v>
      </c>
      <c r="C6071" s="207" t="s">
        <v>6700</v>
      </c>
      <c r="D6071" s="208" t="s">
        <v>578</v>
      </c>
      <c r="E6071" s="209">
        <v>42.81</v>
      </c>
      <c r="F6071" s="209">
        <v>42.62</v>
      </c>
      <c r="G6071" s="209">
        <v>85.43</v>
      </c>
      <c r="H6071" s="198"/>
    </row>
    <row r="6072" spans="1:8" ht="15.75" hidden="1" customHeight="1" x14ac:dyDescent="0.25">
      <c r="A6072" s="205" t="s">
        <v>6670</v>
      </c>
      <c r="B6072" s="206">
        <v>104218</v>
      </c>
      <c r="C6072" s="207" t="s">
        <v>6701</v>
      </c>
      <c r="D6072" s="208" t="s">
        <v>578</v>
      </c>
      <c r="E6072" s="209">
        <v>29.77</v>
      </c>
      <c r="F6072" s="209">
        <v>35.130000000000003</v>
      </c>
      <c r="G6072" s="209">
        <v>64.900000000000006</v>
      </c>
      <c r="H6072" s="198"/>
    </row>
    <row r="6073" spans="1:8" ht="15.75" hidden="1" customHeight="1" x14ac:dyDescent="0.25">
      <c r="A6073" s="205" t="s">
        <v>6670</v>
      </c>
      <c r="B6073" s="206">
        <v>87777</v>
      </c>
      <c r="C6073" s="207" t="s">
        <v>6702</v>
      </c>
      <c r="D6073" s="208" t="s">
        <v>578</v>
      </c>
      <c r="E6073" s="209">
        <v>31.21</v>
      </c>
      <c r="F6073" s="209">
        <v>38.81</v>
      </c>
      <c r="G6073" s="209">
        <v>70.02</v>
      </c>
      <c r="H6073" s="198"/>
    </row>
    <row r="6074" spans="1:8" ht="15.75" hidden="1" customHeight="1" x14ac:dyDescent="0.25">
      <c r="A6074" s="205" t="s">
        <v>6670</v>
      </c>
      <c r="B6074" s="206">
        <v>104222</v>
      </c>
      <c r="C6074" s="207" t="s">
        <v>6703</v>
      </c>
      <c r="D6074" s="208" t="s">
        <v>578</v>
      </c>
      <c r="E6074" s="209">
        <v>38.33</v>
      </c>
      <c r="F6074" s="209">
        <v>45.36</v>
      </c>
      <c r="G6074" s="209">
        <v>83.69</v>
      </c>
      <c r="H6074" s="198"/>
    </row>
    <row r="6075" spans="1:8" ht="15.75" hidden="1" customHeight="1" x14ac:dyDescent="0.25">
      <c r="A6075" s="205" t="s">
        <v>6670</v>
      </c>
      <c r="B6075" s="206">
        <v>87781</v>
      </c>
      <c r="C6075" s="207" t="s">
        <v>6704</v>
      </c>
      <c r="D6075" s="208" t="s">
        <v>578</v>
      </c>
      <c r="E6075" s="209">
        <v>40.17</v>
      </c>
      <c r="F6075" s="209">
        <v>50.08</v>
      </c>
      <c r="G6075" s="209">
        <v>90.25</v>
      </c>
      <c r="H6075" s="198"/>
    </row>
    <row r="6076" spans="1:8" ht="15.75" hidden="1" customHeight="1" x14ac:dyDescent="0.25">
      <c r="A6076" s="205" t="s">
        <v>6670</v>
      </c>
      <c r="B6076" s="206">
        <v>104226</v>
      </c>
      <c r="C6076" s="207" t="s">
        <v>6705</v>
      </c>
      <c r="D6076" s="208" t="s">
        <v>578</v>
      </c>
      <c r="E6076" s="209">
        <v>43.76</v>
      </c>
      <c r="F6076" s="209">
        <v>47.69</v>
      </c>
      <c r="G6076" s="209">
        <v>91.45</v>
      </c>
      <c r="H6076" s="198"/>
    </row>
    <row r="6077" spans="1:8" ht="15.75" hidden="1" customHeight="1" x14ac:dyDescent="0.25">
      <c r="A6077" s="205" t="s">
        <v>6670</v>
      </c>
      <c r="B6077" s="206">
        <v>87786</v>
      </c>
      <c r="C6077" s="207" t="s">
        <v>6706</v>
      </c>
      <c r="D6077" s="208" t="s">
        <v>578</v>
      </c>
      <c r="E6077" s="209">
        <v>45.61</v>
      </c>
      <c r="F6077" s="209">
        <v>52.4</v>
      </c>
      <c r="G6077" s="209">
        <v>98.01</v>
      </c>
      <c r="H6077" s="198"/>
    </row>
    <row r="6078" spans="1:8" ht="15.75" hidden="1" customHeight="1" x14ac:dyDescent="0.25">
      <c r="A6078" s="205" t="s">
        <v>6670</v>
      </c>
      <c r="B6078" s="206">
        <v>104230</v>
      </c>
      <c r="C6078" s="207" t="s">
        <v>6707</v>
      </c>
      <c r="D6078" s="208" t="s">
        <v>578</v>
      </c>
      <c r="E6078" s="209">
        <v>50.03</v>
      </c>
      <c r="F6078" s="209">
        <v>57.88</v>
      </c>
      <c r="G6078" s="209">
        <v>107.91</v>
      </c>
      <c r="H6078" s="198"/>
    </row>
    <row r="6079" spans="1:8" ht="15.75" hidden="1" customHeight="1" x14ac:dyDescent="0.25">
      <c r="A6079" s="205" t="s">
        <v>6670</v>
      </c>
      <c r="B6079" s="206">
        <v>104234</v>
      </c>
      <c r="C6079" s="207" t="s">
        <v>6708</v>
      </c>
      <c r="D6079" s="208" t="s">
        <v>578</v>
      </c>
      <c r="E6079" s="209">
        <v>24.7</v>
      </c>
      <c r="F6079" s="209">
        <v>23.43</v>
      </c>
      <c r="G6079" s="209">
        <v>48.13</v>
      </c>
      <c r="H6079" s="198"/>
    </row>
    <row r="6080" spans="1:8" ht="15.75" hidden="1" customHeight="1" x14ac:dyDescent="0.25">
      <c r="A6080" s="205" t="s">
        <v>6670</v>
      </c>
      <c r="B6080" s="206">
        <v>104238</v>
      </c>
      <c r="C6080" s="207" t="s">
        <v>6709</v>
      </c>
      <c r="D6080" s="208" t="s">
        <v>578</v>
      </c>
      <c r="E6080" s="209">
        <v>32.89</v>
      </c>
      <c r="F6080" s="209">
        <v>33.58</v>
      </c>
      <c r="G6080" s="209">
        <v>66.47</v>
      </c>
      <c r="H6080" s="198"/>
    </row>
    <row r="6081" spans="1:8" ht="15.75" hidden="1" customHeight="1" x14ac:dyDescent="0.25">
      <c r="A6081" s="205" t="s">
        <v>6670</v>
      </c>
      <c r="B6081" s="206">
        <v>104242</v>
      </c>
      <c r="C6081" s="207" t="s">
        <v>6710</v>
      </c>
      <c r="D6081" s="208" t="s">
        <v>578</v>
      </c>
      <c r="E6081" s="209">
        <v>37.979999999999997</v>
      </c>
      <c r="F6081" s="209">
        <v>35.75</v>
      </c>
      <c r="G6081" s="209">
        <v>73.73</v>
      </c>
      <c r="H6081" s="198"/>
    </row>
    <row r="6082" spans="1:8" ht="15.75" hidden="1" customHeight="1" x14ac:dyDescent="0.25">
      <c r="A6082" s="205" t="s">
        <v>6670</v>
      </c>
      <c r="B6082" s="206">
        <v>104246</v>
      </c>
      <c r="C6082" s="207" t="s">
        <v>6711</v>
      </c>
      <c r="D6082" s="208" t="s">
        <v>578</v>
      </c>
      <c r="E6082" s="209">
        <v>41.41</v>
      </c>
      <c r="F6082" s="209">
        <v>39.1</v>
      </c>
      <c r="G6082" s="209">
        <v>80.510000000000005</v>
      </c>
      <c r="H6082" s="198"/>
    </row>
    <row r="6083" spans="1:8" ht="15.75" hidden="1" customHeight="1" x14ac:dyDescent="0.25">
      <c r="A6083" s="205" t="s">
        <v>6670</v>
      </c>
      <c r="B6083" s="206">
        <v>104250</v>
      </c>
      <c r="C6083" s="207" t="s">
        <v>6712</v>
      </c>
      <c r="D6083" s="208" t="s">
        <v>578</v>
      </c>
      <c r="E6083" s="209">
        <v>34.799999999999997</v>
      </c>
      <c r="F6083" s="209">
        <v>57.06</v>
      </c>
      <c r="G6083" s="209">
        <v>91.86</v>
      </c>
      <c r="H6083" s="198"/>
    </row>
    <row r="6084" spans="1:8" ht="15.75" hidden="1" customHeight="1" x14ac:dyDescent="0.25">
      <c r="A6084" s="205" t="s">
        <v>6670</v>
      </c>
      <c r="B6084" s="206">
        <v>87811</v>
      </c>
      <c r="C6084" s="207" t="s">
        <v>6713</v>
      </c>
      <c r="D6084" s="208" t="s">
        <v>578</v>
      </c>
      <c r="E6084" s="209">
        <v>37.39</v>
      </c>
      <c r="F6084" s="209">
        <v>63.66</v>
      </c>
      <c r="G6084" s="209">
        <v>101.05</v>
      </c>
      <c r="H6084" s="198"/>
    </row>
    <row r="6085" spans="1:8" ht="15.75" hidden="1" customHeight="1" x14ac:dyDescent="0.25">
      <c r="A6085" s="205" t="s">
        <v>6670</v>
      </c>
      <c r="B6085" s="206">
        <v>104254</v>
      </c>
      <c r="C6085" s="207" t="s">
        <v>6714</v>
      </c>
      <c r="D6085" s="208" t="s">
        <v>578</v>
      </c>
      <c r="E6085" s="209">
        <v>43.01</v>
      </c>
      <c r="F6085" s="209">
        <v>67.19</v>
      </c>
      <c r="G6085" s="209">
        <v>110.2</v>
      </c>
      <c r="H6085" s="198"/>
    </row>
    <row r="6086" spans="1:8" ht="15.75" hidden="1" customHeight="1" x14ac:dyDescent="0.25">
      <c r="A6086" s="205" t="s">
        <v>6670</v>
      </c>
      <c r="B6086" s="206">
        <v>87815</v>
      </c>
      <c r="C6086" s="207" t="s">
        <v>6715</v>
      </c>
      <c r="D6086" s="208" t="s">
        <v>578</v>
      </c>
      <c r="E6086" s="209">
        <v>45.99</v>
      </c>
      <c r="F6086" s="209">
        <v>74.84</v>
      </c>
      <c r="G6086" s="209">
        <v>120.83</v>
      </c>
      <c r="H6086" s="198"/>
    </row>
    <row r="6087" spans="1:8" ht="15.75" hidden="1" customHeight="1" x14ac:dyDescent="0.25">
      <c r="A6087" s="205" t="s">
        <v>6670</v>
      </c>
      <c r="B6087" s="206">
        <v>104258</v>
      </c>
      <c r="C6087" s="207" t="s">
        <v>6716</v>
      </c>
      <c r="D6087" s="208" t="s">
        <v>578</v>
      </c>
      <c r="E6087" s="209">
        <v>48.09</v>
      </c>
      <c r="F6087" s="209">
        <v>69.37</v>
      </c>
      <c r="G6087" s="209">
        <v>117.46</v>
      </c>
      <c r="H6087" s="198"/>
    </row>
    <row r="6088" spans="1:8" ht="15.75" hidden="1" customHeight="1" x14ac:dyDescent="0.25">
      <c r="A6088" s="205" t="s">
        <v>6670</v>
      </c>
      <c r="B6088" s="206">
        <v>87819</v>
      </c>
      <c r="C6088" s="207" t="s">
        <v>6717</v>
      </c>
      <c r="D6088" s="208" t="s">
        <v>578</v>
      </c>
      <c r="E6088" s="209">
        <v>51.09</v>
      </c>
      <c r="F6088" s="209">
        <v>77</v>
      </c>
      <c r="G6088" s="209">
        <v>128.09</v>
      </c>
      <c r="H6088" s="198"/>
    </row>
    <row r="6089" spans="1:8" ht="15.75" hidden="1" customHeight="1" x14ac:dyDescent="0.25">
      <c r="A6089" s="205" t="s">
        <v>6670</v>
      </c>
      <c r="B6089" s="206">
        <v>104262</v>
      </c>
      <c r="C6089" s="207" t="s">
        <v>6718</v>
      </c>
      <c r="D6089" s="208" t="s">
        <v>578</v>
      </c>
      <c r="E6089" s="209">
        <v>59.46</v>
      </c>
      <c r="F6089" s="209">
        <v>92.99</v>
      </c>
      <c r="G6089" s="209">
        <v>152.44999999999999</v>
      </c>
      <c r="H6089" s="198"/>
    </row>
    <row r="6090" spans="1:8" ht="15.75" hidden="1" customHeight="1" x14ac:dyDescent="0.25">
      <c r="A6090" s="205" t="s">
        <v>6670</v>
      </c>
      <c r="B6090" s="206">
        <v>87823</v>
      </c>
      <c r="C6090" s="207" t="s">
        <v>6719</v>
      </c>
      <c r="D6090" s="208" t="s">
        <v>578</v>
      </c>
      <c r="E6090" s="209">
        <v>63.55</v>
      </c>
      <c r="F6090" s="209">
        <v>103.41</v>
      </c>
      <c r="G6090" s="209">
        <v>166.96</v>
      </c>
      <c r="H6090" s="198"/>
    </row>
    <row r="6091" spans="1:8" ht="15.75" hidden="1" customHeight="1" x14ac:dyDescent="0.25">
      <c r="A6091" s="205" t="s">
        <v>6670</v>
      </c>
      <c r="B6091" s="206">
        <v>87827</v>
      </c>
      <c r="C6091" s="207" t="s">
        <v>6720</v>
      </c>
      <c r="D6091" s="208" t="s">
        <v>578</v>
      </c>
      <c r="E6091" s="209">
        <v>37.43</v>
      </c>
      <c r="F6091" s="209">
        <v>56.66</v>
      </c>
      <c r="G6091" s="209">
        <v>94.09</v>
      </c>
      <c r="H6091" s="198"/>
    </row>
    <row r="6092" spans="1:8" ht="15.75" hidden="1" customHeight="1" x14ac:dyDescent="0.25">
      <c r="A6092" s="205" t="s">
        <v>6670</v>
      </c>
      <c r="B6092" s="206">
        <v>87831</v>
      </c>
      <c r="C6092" s="207" t="s">
        <v>6721</v>
      </c>
      <c r="D6092" s="208" t="s">
        <v>578</v>
      </c>
      <c r="E6092" s="209">
        <v>46.65</v>
      </c>
      <c r="F6092" s="209">
        <v>66.989999999999995</v>
      </c>
      <c r="G6092" s="209">
        <v>113.64</v>
      </c>
      <c r="H6092" s="198"/>
    </row>
    <row r="6093" spans="1:8" ht="15.75" hidden="1" customHeight="1" x14ac:dyDescent="0.25">
      <c r="A6093" s="205" t="s">
        <v>6670</v>
      </c>
      <c r="B6093" s="206">
        <v>104220</v>
      </c>
      <c r="C6093" s="207" t="s">
        <v>6722</v>
      </c>
      <c r="D6093" s="208" t="s">
        <v>578</v>
      </c>
      <c r="E6093" s="209">
        <v>33.69</v>
      </c>
      <c r="F6093" s="209">
        <v>29.3</v>
      </c>
      <c r="G6093" s="209">
        <v>62.99</v>
      </c>
      <c r="H6093" s="198"/>
    </row>
    <row r="6094" spans="1:8" ht="15.75" hidden="1" customHeight="1" x14ac:dyDescent="0.25">
      <c r="A6094" s="205" t="s">
        <v>6670</v>
      </c>
      <c r="B6094" s="206">
        <v>104203</v>
      </c>
      <c r="C6094" s="207" t="s">
        <v>6723</v>
      </c>
      <c r="D6094" s="208" t="s">
        <v>578</v>
      </c>
      <c r="E6094" s="209">
        <v>35.619999999999997</v>
      </c>
      <c r="F6094" s="209">
        <v>32.590000000000003</v>
      </c>
      <c r="G6094" s="209">
        <v>68.209999999999994</v>
      </c>
      <c r="H6094" s="198"/>
    </row>
    <row r="6095" spans="1:8" ht="15.75" hidden="1" customHeight="1" x14ac:dyDescent="0.25">
      <c r="A6095" s="205" t="s">
        <v>6670</v>
      </c>
      <c r="B6095" s="206">
        <v>104224</v>
      </c>
      <c r="C6095" s="207" t="s">
        <v>6724</v>
      </c>
      <c r="D6095" s="208" t="s">
        <v>578</v>
      </c>
      <c r="E6095" s="209">
        <v>43.41</v>
      </c>
      <c r="F6095" s="209">
        <v>37.729999999999997</v>
      </c>
      <c r="G6095" s="209">
        <v>81.14</v>
      </c>
      <c r="H6095" s="198"/>
    </row>
    <row r="6096" spans="1:8" ht="15.75" hidden="1" customHeight="1" x14ac:dyDescent="0.25">
      <c r="A6096" s="205" t="s">
        <v>6670</v>
      </c>
      <c r="B6096" s="206">
        <v>104204</v>
      </c>
      <c r="C6096" s="207" t="s">
        <v>6725</v>
      </c>
      <c r="D6096" s="208" t="s">
        <v>578</v>
      </c>
      <c r="E6096" s="209">
        <v>45.91</v>
      </c>
      <c r="F6096" s="209">
        <v>42.02</v>
      </c>
      <c r="G6096" s="209">
        <v>87.93</v>
      </c>
      <c r="H6096" s="198"/>
    </row>
    <row r="6097" spans="1:8" ht="15.75" hidden="1" customHeight="1" x14ac:dyDescent="0.25">
      <c r="A6097" s="205" t="s">
        <v>6670</v>
      </c>
      <c r="B6097" s="206">
        <v>104228</v>
      </c>
      <c r="C6097" s="207" t="s">
        <v>6726</v>
      </c>
      <c r="D6097" s="208" t="s">
        <v>578</v>
      </c>
      <c r="E6097" s="209">
        <v>48.99</v>
      </c>
      <c r="F6097" s="209">
        <v>38.93</v>
      </c>
      <c r="G6097" s="209">
        <v>87.92</v>
      </c>
      <c r="H6097" s="198"/>
    </row>
    <row r="6098" spans="1:8" ht="15.75" hidden="1" customHeight="1" x14ac:dyDescent="0.25">
      <c r="A6098" s="205" t="s">
        <v>6670</v>
      </c>
      <c r="B6098" s="206">
        <v>104205</v>
      </c>
      <c r="C6098" s="207" t="s">
        <v>6727</v>
      </c>
      <c r="D6098" s="208" t="s">
        <v>578</v>
      </c>
      <c r="E6098" s="209">
        <v>51.48</v>
      </c>
      <c r="F6098" s="209">
        <v>43.22</v>
      </c>
      <c r="G6098" s="209">
        <v>94.7</v>
      </c>
      <c r="H6098" s="198"/>
    </row>
    <row r="6099" spans="1:8" ht="15.75" hidden="1" customHeight="1" x14ac:dyDescent="0.25">
      <c r="A6099" s="205" t="s">
        <v>6670</v>
      </c>
      <c r="B6099" s="206">
        <v>104232</v>
      </c>
      <c r="C6099" s="207" t="s">
        <v>6728</v>
      </c>
      <c r="D6099" s="208" t="s">
        <v>578</v>
      </c>
      <c r="E6099" s="209">
        <v>53.95</v>
      </c>
      <c r="F6099" s="209">
        <v>43.28</v>
      </c>
      <c r="G6099" s="209">
        <v>97.23</v>
      </c>
      <c r="H6099" s="198"/>
    </row>
    <row r="6100" spans="1:8" ht="15.75" hidden="1" customHeight="1" x14ac:dyDescent="0.25">
      <c r="A6100" s="205" t="s">
        <v>6670</v>
      </c>
      <c r="B6100" s="206">
        <v>104206</v>
      </c>
      <c r="C6100" s="207" t="s">
        <v>6729</v>
      </c>
      <c r="D6100" s="208" t="s">
        <v>578</v>
      </c>
      <c r="E6100" s="209">
        <v>56.7</v>
      </c>
      <c r="F6100" s="209">
        <v>48</v>
      </c>
      <c r="G6100" s="209">
        <v>104.7</v>
      </c>
      <c r="H6100" s="198"/>
    </row>
    <row r="6101" spans="1:8" ht="15.75" hidden="1" customHeight="1" x14ac:dyDescent="0.25">
      <c r="A6101" s="205" t="s">
        <v>6670</v>
      </c>
      <c r="B6101" s="206">
        <v>104236</v>
      </c>
      <c r="C6101" s="207" t="s">
        <v>6730</v>
      </c>
      <c r="D6101" s="208" t="s">
        <v>578</v>
      </c>
      <c r="E6101" s="209">
        <v>27.13</v>
      </c>
      <c r="F6101" s="209">
        <v>18.79</v>
      </c>
      <c r="G6101" s="209">
        <v>45.92</v>
      </c>
      <c r="H6101" s="198"/>
    </row>
    <row r="6102" spans="1:8" ht="15.75" hidden="1" customHeight="1" x14ac:dyDescent="0.25">
      <c r="A6102" s="205" t="s">
        <v>6670</v>
      </c>
      <c r="B6102" s="206">
        <v>104207</v>
      </c>
      <c r="C6102" s="207" t="s">
        <v>6731</v>
      </c>
      <c r="D6102" s="208" t="s">
        <v>578</v>
      </c>
      <c r="E6102" s="209">
        <v>28.31</v>
      </c>
      <c r="F6102" s="209">
        <v>20.82</v>
      </c>
      <c r="G6102" s="209">
        <v>49.13</v>
      </c>
      <c r="H6102" s="198"/>
    </row>
    <row r="6103" spans="1:8" ht="15.75" hidden="1" customHeight="1" x14ac:dyDescent="0.25">
      <c r="A6103" s="205" t="s">
        <v>6670</v>
      </c>
      <c r="B6103" s="206">
        <v>104240</v>
      </c>
      <c r="C6103" s="207" t="s">
        <v>6732</v>
      </c>
      <c r="D6103" s="208" t="s">
        <v>578</v>
      </c>
      <c r="E6103" s="209">
        <v>36.6</v>
      </c>
      <c r="F6103" s="209">
        <v>27.16</v>
      </c>
      <c r="G6103" s="209">
        <v>63.76</v>
      </c>
      <c r="H6103" s="198"/>
    </row>
    <row r="6104" spans="1:8" ht="15.75" hidden="1" customHeight="1" x14ac:dyDescent="0.25">
      <c r="A6104" s="205" t="s">
        <v>6670</v>
      </c>
      <c r="B6104" s="206">
        <v>104208</v>
      </c>
      <c r="C6104" s="207" t="s">
        <v>6733</v>
      </c>
      <c r="D6104" s="208" t="s">
        <v>578</v>
      </c>
      <c r="E6104" s="209">
        <v>38.299999999999997</v>
      </c>
      <c r="F6104" s="209">
        <v>30.08</v>
      </c>
      <c r="G6104" s="209">
        <v>68.38</v>
      </c>
      <c r="H6104" s="198"/>
    </row>
    <row r="6105" spans="1:8" ht="15.75" hidden="1" customHeight="1" x14ac:dyDescent="0.25">
      <c r="A6105" s="205" t="s">
        <v>6670</v>
      </c>
      <c r="B6105" s="206">
        <v>104244</v>
      </c>
      <c r="C6105" s="207" t="s">
        <v>6734</v>
      </c>
      <c r="D6105" s="208" t="s">
        <v>578</v>
      </c>
      <c r="E6105" s="209">
        <v>41.84</v>
      </c>
      <c r="F6105" s="209">
        <v>28.29</v>
      </c>
      <c r="G6105" s="209">
        <v>70.13</v>
      </c>
      <c r="H6105" s="198"/>
    </row>
    <row r="6106" spans="1:8" ht="15.75" hidden="1" customHeight="1" x14ac:dyDescent="0.25">
      <c r="A6106" s="205" t="s">
        <v>6670</v>
      </c>
      <c r="B6106" s="206">
        <v>104209</v>
      </c>
      <c r="C6106" s="207" t="s">
        <v>6735</v>
      </c>
      <c r="D6106" s="208" t="s">
        <v>578</v>
      </c>
      <c r="E6106" s="209">
        <v>43.55</v>
      </c>
      <c r="F6106" s="209">
        <v>31.2</v>
      </c>
      <c r="G6106" s="209">
        <v>74.75</v>
      </c>
      <c r="H6106" s="198"/>
    </row>
    <row r="6107" spans="1:8" ht="15.75" hidden="1" customHeight="1" x14ac:dyDescent="0.25">
      <c r="A6107" s="205" t="s">
        <v>6670</v>
      </c>
      <c r="B6107" s="206">
        <v>104248</v>
      </c>
      <c r="C6107" s="207" t="s">
        <v>6736</v>
      </c>
      <c r="D6107" s="208" t="s">
        <v>578</v>
      </c>
      <c r="E6107" s="209">
        <v>44.12</v>
      </c>
      <c r="F6107" s="209">
        <v>28.3</v>
      </c>
      <c r="G6107" s="209">
        <v>72.42</v>
      </c>
      <c r="H6107" s="198"/>
    </row>
    <row r="6108" spans="1:8" ht="15.75" hidden="1" customHeight="1" x14ac:dyDescent="0.25">
      <c r="A6108" s="205" t="s">
        <v>6670</v>
      </c>
      <c r="B6108" s="206">
        <v>104210</v>
      </c>
      <c r="C6108" s="207" t="s">
        <v>6737</v>
      </c>
      <c r="D6108" s="208" t="s">
        <v>578</v>
      </c>
      <c r="E6108" s="209">
        <v>45.76</v>
      </c>
      <c r="F6108" s="209">
        <v>31.13</v>
      </c>
      <c r="G6108" s="209">
        <v>76.89</v>
      </c>
      <c r="H6108" s="198"/>
    </row>
    <row r="6109" spans="1:8" ht="15.75" hidden="1" customHeight="1" x14ac:dyDescent="0.25">
      <c r="A6109" s="205" t="s">
        <v>6670</v>
      </c>
      <c r="B6109" s="206">
        <v>104252</v>
      </c>
      <c r="C6109" s="207" t="s">
        <v>6738</v>
      </c>
      <c r="D6109" s="208" t="s">
        <v>578</v>
      </c>
      <c r="E6109" s="209">
        <v>41.87</v>
      </c>
      <c r="F6109" s="209">
        <v>49.44</v>
      </c>
      <c r="G6109" s="209">
        <v>91.31</v>
      </c>
      <c r="H6109" s="198"/>
    </row>
    <row r="6110" spans="1:8" ht="15.75" hidden="1" customHeight="1" x14ac:dyDescent="0.25">
      <c r="A6110" s="205" t="s">
        <v>6670</v>
      </c>
      <c r="B6110" s="206">
        <v>104211</v>
      </c>
      <c r="C6110" s="207" t="s">
        <v>6739</v>
      </c>
      <c r="D6110" s="208" t="s">
        <v>578</v>
      </c>
      <c r="E6110" s="209">
        <v>45.33</v>
      </c>
      <c r="F6110" s="209">
        <v>55.38</v>
      </c>
      <c r="G6110" s="209">
        <v>100.71</v>
      </c>
      <c r="H6110" s="198"/>
    </row>
    <row r="6111" spans="1:8" ht="15.75" hidden="1" customHeight="1" x14ac:dyDescent="0.25">
      <c r="A6111" s="205" t="s">
        <v>6670</v>
      </c>
      <c r="B6111" s="206">
        <v>104212</v>
      </c>
      <c r="C6111" s="207" t="s">
        <v>6740</v>
      </c>
      <c r="D6111" s="208" t="s">
        <v>578</v>
      </c>
      <c r="E6111" s="209">
        <v>55.36</v>
      </c>
      <c r="F6111" s="209">
        <v>64.69</v>
      </c>
      <c r="G6111" s="209">
        <v>120.05</v>
      </c>
      <c r="H6111" s="198"/>
    </row>
    <row r="6112" spans="1:8" ht="15.75" hidden="1" customHeight="1" x14ac:dyDescent="0.25">
      <c r="A6112" s="205" t="s">
        <v>6670</v>
      </c>
      <c r="B6112" s="206">
        <v>104213</v>
      </c>
      <c r="C6112" s="207" t="s">
        <v>6741</v>
      </c>
      <c r="D6112" s="208" t="s">
        <v>578</v>
      </c>
      <c r="E6112" s="209">
        <v>60.61</v>
      </c>
      <c r="F6112" s="209">
        <v>65.81</v>
      </c>
      <c r="G6112" s="209">
        <v>126.42</v>
      </c>
      <c r="H6112" s="198"/>
    </row>
    <row r="6113" spans="1:8" ht="15.75" hidden="1" customHeight="1" x14ac:dyDescent="0.25">
      <c r="A6113" s="205" t="s">
        <v>6670</v>
      </c>
      <c r="B6113" s="206">
        <v>104214</v>
      </c>
      <c r="C6113" s="207" t="s">
        <v>6742</v>
      </c>
      <c r="D6113" s="208" t="s">
        <v>578</v>
      </c>
      <c r="E6113" s="209">
        <v>71.37</v>
      </c>
      <c r="F6113" s="209">
        <v>80.44</v>
      </c>
      <c r="G6113" s="209">
        <v>151.81</v>
      </c>
      <c r="H6113" s="198"/>
    </row>
    <row r="6114" spans="1:8" ht="15.75" hidden="1" customHeight="1" x14ac:dyDescent="0.25">
      <c r="A6114" s="205" t="s">
        <v>6670</v>
      </c>
      <c r="B6114" s="206">
        <v>104215</v>
      </c>
      <c r="C6114" s="207" t="s">
        <v>6743</v>
      </c>
      <c r="D6114" s="208" t="s">
        <v>578</v>
      </c>
      <c r="E6114" s="209">
        <v>43.93</v>
      </c>
      <c r="F6114" s="209">
        <v>48.52</v>
      </c>
      <c r="G6114" s="209">
        <v>92.45</v>
      </c>
      <c r="H6114" s="198"/>
    </row>
    <row r="6115" spans="1:8" ht="15.75" hidden="1" customHeight="1" x14ac:dyDescent="0.25">
      <c r="A6115" s="205" t="s">
        <v>6670</v>
      </c>
      <c r="B6115" s="206">
        <v>104216</v>
      </c>
      <c r="C6115" s="207" t="s">
        <v>6744</v>
      </c>
      <c r="D6115" s="208" t="s">
        <v>578</v>
      </c>
      <c r="E6115" s="209">
        <v>54.22</v>
      </c>
      <c r="F6115" s="209">
        <v>56.87</v>
      </c>
      <c r="G6115" s="209">
        <v>111.09</v>
      </c>
      <c r="H6115" s="198"/>
    </row>
    <row r="6116" spans="1:8" ht="15.75" hidden="1" customHeight="1" x14ac:dyDescent="0.25">
      <c r="A6116" s="205" t="s">
        <v>6670</v>
      </c>
      <c r="B6116" s="206">
        <v>104217</v>
      </c>
      <c r="C6116" s="207" t="s">
        <v>6745</v>
      </c>
      <c r="D6116" s="208" t="s">
        <v>578</v>
      </c>
      <c r="E6116" s="209">
        <v>28.03</v>
      </c>
      <c r="F6116" s="209">
        <v>31.85</v>
      </c>
      <c r="G6116" s="209">
        <v>59.88</v>
      </c>
      <c r="H6116" s="198"/>
    </row>
    <row r="6117" spans="1:8" ht="15.75" hidden="1" customHeight="1" x14ac:dyDescent="0.25">
      <c r="A6117" s="205" t="s">
        <v>6670</v>
      </c>
      <c r="B6117" s="206">
        <v>104221</v>
      </c>
      <c r="C6117" s="207" t="s">
        <v>6746</v>
      </c>
      <c r="D6117" s="208" t="s">
        <v>578</v>
      </c>
      <c r="E6117" s="209">
        <v>35.97</v>
      </c>
      <c r="F6117" s="209">
        <v>40.98</v>
      </c>
      <c r="G6117" s="209">
        <v>76.95</v>
      </c>
      <c r="H6117" s="198"/>
    </row>
    <row r="6118" spans="1:8" ht="15.75" hidden="1" customHeight="1" x14ac:dyDescent="0.25">
      <c r="A6118" s="205" t="s">
        <v>6670</v>
      </c>
      <c r="B6118" s="206">
        <v>104225</v>
      </c>
      <c r="C6118" s="207" t="s">
        <v>6747</v>
      </c>
      <c r="D6118" s="208" t="s">
        <v>578</v>
      </c>
      <c r="E6118" s="209">
        <v>40.840000000000003</v>
      </c>
      <c r="F6118" s="209">
        <v>42.17</v>
      </c>
      <c r="G6118" s="209">
        <v>83.01</v>
      </c>
      <c r="H6118" s="198"/>
    </row>
    <row r="6119" spans="1:8" ht="15.75" hidden="1" customHeight="1" x14ac:dyDescent="0.25">
      <c r="A6119" s="205" t="s">
        <v>6670</v>
      </c>
      <c r="B6119" s="206">
        <v>104229</v>
      </c>
      <c r="C6119" s="207" t="s">
        <v>6748</v>
      </c>
      <c r="D6119" s="208" t="s">
        <v>578</v>
      </c>
      <c r="E6119" s="209">
        <v>46.8</v>
      </c>
      <c r="F6119" s="209">
        <v>51.82</v>
      </c>
      <c r="G6119" s="209">
        <v>98.62</v>
      </c>
      <c r="H6119" s="198"/>
    </row>
    <row r="6120" spans="1:8" ht="15.75" hidden="1" customHeight="1" x14ac:dyDescent="0.25">
      <c r="A6120" s="205" t="s">
        <v>6670</v>
      </c>
      <c r="B6120" s="206">
        <v>104233</v>
      </c>
      <c r="C6120" s="207" t="s">
        <v>6749</v>
      </c>
      <c r="D6120" s="208" t="s">
        <v>578</v>
      </c>
      <c r="E6120" s="209">
        <v>23.05</v>
      </c>
      <c r="F6120" s="209">
        <v>20.39</v>
      </c>
      <c r="G6120" s="209">
        <v>43.44</v>
      </c>
      <c r="H6120" s="198"/>
    </row>
    <row r="6121" spans="1:8" ht="15.75" hidden="1" customHeight="1" x14ac:dyDescent="0.25">
      <c r="A6121" s="205" t="s">
        <v>6670</v>
      </c>
      <c r="B6121" s="206">
        <v>104237</v>
      </c>
      <c r="C6121" s="207" t="s">
        <v>6750</v>
      </c>
      <c r="D6121" s="208" t="s">
        <v>578</v>
      </c>
      <c r="E6121" s="209">
        <v>30.71</v>
      </c>
      <c r="F6121" s="209">
        <v>29.48</v>
      </c>
      <c r="G6121" s="209">
        <v>60.19</v>
      </c>
      <c r="H6121" s="198"/>
    </row>
    <row r="6122" spans="1:8" ht="15.75" hidden="1" customHeight="1" x14ac:dyDescent="0.25">
      <c r="A6122" s="205" t="s">
        <v>6670</v>
      </c>
      <c r="B6122" s="206">
        <v>104241</v>
      </c>
      <c r="C6122" s="207" t="s">
        <v>6751</v>
      </c>
      <c r="D6122" s="208" t="s">
        <v>578</v>
      </c>
      <c r="E6122" s="209">
        <v>35.25</v>
      </c>
      <c r="F6122" s="209">
        <v>30.6</v>
      </c>
      <c r="G6122" s="209">
        <v>65.849999999999994</v>
      </c>
      <c r="H6122" s="198"/>
    </row>
    <row r="6123" spans="1:8" ht="15.75" hidden="1" customHeight="1" x14ac:dyDescent="0.25">
      <c r="A6123" s="205" t="s">
        <v>6670</v>
      </c>
      <c r="B6123" s="206">
        <v>104245</v>
      </c>
      <c r="C6123" s="207" t="s">
        <v>6752</v>
      </c>
      <c r="D6123" s="208" t="s">
        <v>578</v>
      </c>
      <c r="E6123" s="209">
        <v>38.4</v>
      </c>
      <c r="F6123" s="209">
        <v>33.43</v>
      </c>
      <c r="G6123" s="209">
        <v>71.83</v>
      </c>
      <c r="H6123" s="198"/>
    </row>
    <row r="6124" spans="1:8" ht="15.75" hidden="1" customHeight="1" x14ac:dyDescent="0.25">
      <c r="A6124" s="205" t="s">
        <v>6670</v>
      </c>
      <c r="B6124" s="206">
        <v>104249</v>
      </c>
      <c r="C6124" s="207" t="s">
        <v>6753</v>
      </c>
      <c r="D6124" s="208" t="s">
        <v>578</v>
      </c>
      <c r="E6124" s="209">
        <v>33.159999999999997</v>
      </c>
      <c r="F6124" s="209">
        <v>54.01</v>
      </c>
      <c r="G6124" s="209">
        <v>87.17</v>
      </c>
      <c r="H6124" s="198"/>
    </row>
    <row r="6125" spans="1:8" ht="15.75" hidden="1" customHeight="1" x14ac:dyDescent="0.25">
      <c r="A6125" s="205" t="s">
        <v>6670</v>
      </c>
      <c r="B6125" s="206">
        <v>104253</v>
      </c>
      <c r="C6125" s="207" t="s">
        <v>6754</v>
      </c>
      <c r="D6125" s="208" t="s">
        <v>578</v>
      </c>
      <c r="E6125" s="209">
        <v>40.82</v>
      </c>
      <c r="F6125" s="209">
        <v>63.1</v>
      </c>
      <c r="G6125" s="209">
        <v>103.92</v>
      </c>
      <c r="H6125" s="198"/>
    </row>
    <row r="6126" spans="1:8" ht="15.75" hidden="1" customHeight="1" x14ac:dyDescent="0.25">
      <c r="A6126" s="205" t="s">
        <v>6670</v>
      </c>
      <c r="B6126" s="206">
        <v>104256</v>
      </c>
      <c r="C6126" s="207" t="s">
        <v>6755</v>
      </c>
      <c r="D6126" s="208" t="s">
        <v>578</v>
      </c>
      <c r="E6126" s="209">
        <v>51.34</v>
      </c>
      <c r="F6126" s="209">
        <v>57.81</v>
      </c>
      <c r="G6126" s="209">
        <v>109.15</v>
      </c>
      <c r="H6126" s="198"/>
    </row>
    <row r="6127" spans="1:8" ht="15.75" hidden="1" customHeight="1" x14ac:dyDescent="0.25">
      <c r="A6127" s="205" t="s">
        <v>6670</v>
      </c>
      <c r="B6127" s="206">
        <v>104260</v>
      </c>
      <c r="C6127" s="207" t="s">
        <v>6756</v>
      </c>
      <c r="D6127" s="208" t="s">
        <v>578</v>
      </c>
      <c r="E6127" s="209">
        <v>56.59</v>
      </c>
      <c r="F6127" s="209">
        <v>58.93</v>
      </c>
      <c r="G6127" s="209">
        <v>115.52</v>
      </c>
      <c r="H6127" s="198"/>
    </row>
    <row r="6128" spans="1:8" ht="15.75" hidden="1" customHeight="1" x14ac:dyDescent="0.25">
      <c r="A6128" s="205" t="s">
        <v>6670</v>
      </c>
      <c r="B6128" s="206">
        <v>104264</v>
      </c>
      <c r="C6128" s="207" t="s">
        <v>6757</v>
      </c>
      <c r="D6128" s="208" t="s">
        <v>578</v>
      </c>
      <c r="E6128" s="209">
        <v>66.45</v>
      </c>
      <c r="F6128" s="209">
        <v>71.94</v>
      </c>
      <c r="G6128" s="209">
        <v>138.38999999999999</v>
      </c>
      <c r="H6128" s="198"/>
    </row>
    <row r="6129" spans="1:8" ht="15.75" hidden="1" customHeight="1" x14ac:dyDescent="0.25">
      <c r="A6129" s="205" t="s">
        <v>6670</v>
      </c>
      <c r="B6129" s="206">
        <v>87792</v>
      </c>
      <c r="C6129" s="207" t="s">
        <v>6758</v>
      </c>
      <c r="D6129" s="208" t="s">
        <v>578</v>
      </c>
      <c r="E6129" s="209">
        <v>23.89</v>
      </c>
      <c r="F6129" s="209">
        <v>22.57</v>
      </c>
      <c r="G6129" s="209">
        <v>46.46</v>
      </c>
      <c r="H6129" s="198"/>
    </row>
    <row r="6130" spans="1:8" ht="15.75" hidden="1" customHeight="1" x14ac:dyDescent="0.25">
      <c r="A6130" s="205" t="s">
        <v>6670</v>
      </c>
      <c r="B6130" s="206">
        <v>87797</v>
      </c>
      <c r="C6130" s="207" t="s">
        <v>6759</v>
      </c>
      <c r="D6130" s="208" t="s">
        <v>578</v>
      </c>
      <c r="E6130" s="209">
        <v>31.97</v>
      </c>
      <c r="F6130" s="209">
        <v>32.68</v>
      </c>
      <c r="G6130" s="209">
        <v>64.650000000000006</v>
      </c>
      <c r="H6130" s="198"/>
    </row>
    <row r="6131" spans="1:8" ht="15.75" hidden="1" customHeight="1" x14ac:dyDescent="0.25">
      <c r="A6131" s="205" t="s">
        <v>6670</v>
      </c>
      <c r="B6131" s="206">
        <v>87801</v>
      </c>
      <c r="C6131" s="207" t="s">
        <v>6760</v>
      </c>
      <c r="D6131" s="208" t="s">
        <v>578</v>
      </c>
      <c r="E6131" s="209">
        <v>36.5</v>
      </c>
      <c r="F6131" s="209">
        <v>33.81</v>
      </c>
      <c r="G6131" s="209">
        <v>70.31</v>
      </c>
      <c r="H6131" s="198"/>
    </row>
    <row r="6132" spans="1:8" ht="15.75" hidden="1" customHeight="1" x14ac:dyDescent="0.25">
      <c r="A6132" s="205" t="s">
        <v>6670</v>
      </c>
      <c r="B6132" s="206">
        <v>87805</v>
      </c>
      <c r="C6132" s="207" t="s">
        <v>6761</v>
      </c>
      <c r="D6132" s="208" t="s">
        <v>578</v>
      </c>
      <c r="E6132" s="209">
        <v>39.78</v>
      </c>
      <c r="F6132" s="209">
        <v>36.97</v>
      </c>
      <c r="G6132" s="209">
        <v>76.75</v>
      </c>
      <c r="H6132" s="198"/>
    </row>
    <row r="6133" spans="1:8" ht="15.75" hidden="1" customHeight="1" x14ac:dyDescent="0.25">
      <c r="A6133" s="205" t="s">
        <v>6670</v>
      </c>
      <c r="B6133" s="206">
        <v>87775</v>
      </c>
      <c r="C6133" s="207" t="s">
        <v>6762</v>
      </c>
      <c r="D6133" s="208" t="s">
        <v>578</v>
      </c>
      <c r="E6133" s="209">
        <v>29.48</v>
      </c>
      <c r="F6133" s="209">
        <v>35.520000000000003</v>
      </c>
      <c r="G6133" s="209">
        <v>65</v>
      </c>
      <c r="H6133" s="198"/>
    </row>
    <row r="6134" spans="1:8" ht="15.75" hidden="1" customHeight="1" x14ac:dyDescent="0.25">
      <c r="A6134" s="205" t="s">
        <v>6670</v>
      </c>
      <c r="B6134" s="206">
        <v>87779</v>
      </c>
      <c r="C6134" s="207" t="s">
        <v>6763</v>
      </c>
      <c r="D6134" s="208" t="s">
        <v>578</v>
      </c>
      <c r="E6134" s="209">
        <v>37.82</v>
      </c>
      <c r="F6134" s="209">
        <v>45.69</v>
      </c>
      <c r="G6134" s="209">
        <v>83.51</v>
      </c>
      <c r="H6134" s="198"/>
    </row>
    <row r="6135" spans="1:8" ht="15.75" hidden="1" customHeight="1" x14ac:dyDescent="0.25">
      <c r="A6135" s="205" t="s">
        <v>6670</v>
      </c>
      <c r="B6135" s="206">
        <v>87784</v>
      </c>
      <c r="C6135" s="207" t="s">
        <v>6764</v>
      </c>
      <c r="D6135" s="208" t="s">
        <v>578</v>
      </c>
      <c r="E6135" s="209">
        <v>42.68</v>
      </c>
      <c r="F6135" s="209">
        <v>46.89</v>
      </c>
      <c r="G6135" s="209">
        <v>89.57</v>
      </c>
      <c r="H6135" s="198"/>
    </row>
    <row r="6136" spans="1:8" ht="15.75" hidden="1" customHeight="1" x14ac:dyDescent="0.25">
      <c r="A6136" s="205" t="s">
        <v>6670</v>
      </c>
      <c r="B6136" s="206">
        <v>87788</v>
      </c>
      <c r="C6136" s="207" t="s">
        <v>6765</v>
      </c>
      <c r="D6136" s="208" t="s">
        <v>578</v>
      </c>
      <c r="E6136" s="209">
        <v>49.1</v>
      </c>
      <c r="F6136" s="209">
        <v>57.65</v>
      </c>
      <c r="G6136" s="209">
        <v>106.75</v>
      </c>
      <c r="H6136" s="198"/>
    </row>
    <row r="6137" spans="1:8" ht="15.75" hidden="1" customHeight="1" x14ac:dyDescent="0.25">
      <c r="A6137" s="205" t="s">
        <v>6670</v>
      </c>
      <c r="B6137" s="206">
        <v>87809</v>
      </c>
      <c r="C6137" s="207" t="s">
        <v>6766</v>
      </c>
      <c r="D6137" s="208" t="s">
        <v>578</v>
      </c>
      <c r="E6137" s="209">
        <v>35.75</v>
      </c>
      <c r="F6137" s="209">
        <v>60.61</v>
      </c>
      <c r="G6137" s="209">
        <v>96.36</v>
      </c>
      <c r="H6137" s="198"/>
    </row>
    <row r="6138" spans="1:8" ht="15.75" hidden="1" customHeight="1" x14ac:dyDescent="0.25">
      <c r="A6138" s="205" t="s">
        <v>6670</v>
      </c>
      <c r="B6138" s="206">
        <v>87813</v>
      </c>
      <c r="C6138" s="207" t="s">
        <v>6767</v>
      </c>
      <c r="D6138" s="208" t="s">
        <v>578</v>
      </c>
      <c r="E6138" s="209">
        <v>43.82</v>
      </c>
      <c r="F6138" s="209">
        <v>70.73</v>
      </c>
      <c r="G6138" s="209">
        <v>114.55</v>
      </c>
      <c r="H6138" s="198"/>
    </row>
    <row r="6139" spans="1:8" ht="15.75" hidden="1" customHeight="1" x14ac:dyDescent="0.25">
      <c r="A6139" s="205" t="s">
        <v>6670</v>
      </c>
      <c r="B6139" s="206">
        <v>104257</v>
      </c>
      <c r="C6139" s="207" t="s">
        <v>6768</v>
      </c>
      <c r="D6139" s="208" t="s">
        <v>578</v>
      </c>
      <c r="E6139" s="209">
        <v>45.36</v>
      </c>
      <c r="F6139" s="209">
        <v>64.22</v>
      </c>
      <c r="G6139" s="209">
        <v>109.58</v>
      </c>
      <c r="H6139" s="198"/>
    </row>
    <row r="6140" spans="1:8" ht="15.75" hidden="1" customHeight="1" x14ac:dyDescent="0.25">
      <c r="A6140" s="205" t="s">
        <v>6670</v>
      </c>
      <c r="B6140" s="206">
        <v>87817</v>
      </c>
      <c r="C6140" s="207" t="s">
        <v>6769</v>
      </c>
      <c r="D6140" s="208" t="s">
        <v>578</v>
      </c>
      <c r="E6140" s="209">
        <v>48.35</v>
      </c>
      <c r="F6140" s="209">
        <v>71.86</v>
      </c>
      <c r="G6140" s="209">
        <v>120.21</v>
      </c>
      <c r="H6140" s="198"/>
    </row>
    <row r="6141" spans="1:8" ht="15.75" hidden="1" customHeight="1" x14ac:dyDescent="0.25">
      <c r="A6141" s="205" t="s">
        <v>6670</v>
      </c>
      <c r="B6141" s="206">
        <v>104261</v>
      </c>
      <c r="C6141" s="207" t="s">
        <v>6770</v>
      </c>
      <c r="D6141" s="208" t="s">
        <v>578</v>
      </c>
      <c r="E6141" s="209">
        <v>56.45</v>
      </c>
      <c r="F6141" s="209">
        <v>87.32</v>
      </c>
      <c r="G6141" s="209">
        <v>143.77000000000001</v>
      </c>
      <c r="H6141" s="198"/>
    </row>
    <row r="6142" spans="1:8" ht="15.75" hidden="1" customHeight="1" x14ac:dyDescent="0.25">
      <c r="A6142" s="205" t="s">
        <v>6670</v>
      </c>
      <c r="B6142" s="206">
        <v>87821</v>
      </c>
      <c r="C6142" s="207" t="s">
        <v>6771</v>
      </c>
      <c r="D6142" s="208" t="s">
        <v>578</v>
      </c>
      <c r="E6142" s="209">
        <v>60.53</v>
      </c>
      <c r="F6142" s="209">
        <v>97.75</v>
      </c>
      <c r="G6142" s="209">
        <v>158.28</v>
      </c>
      <c r="H6142" s="198"/>
    </row>
    <row r="6143" spans="1:8" ht="15.75" hidden="1" customHeight="1" x14ac:dyDescent="0.25">
      <c r="A6143" s="205" t="s">
        <v>6670</v>
      </c>
      <c r="B6143" s="206">
        <v>87825</v>
      </c>
      <c r="C6143" s="207" t="s">
        <v>6772</v>
      </c>
      <c r="D6143" s="208" t="s">
        <v>578</v>
      </c>
      <c r="E6143" s="209">
        <v>35.43</v>
      </c>
      <c r="F6143" s="209">
        <v>52.92</v>
      </c>
      <c r="G6143" s="209">
        <v>88.35</v>
      </c>
      <c r="H6143" s="198"/>
    </row>
    <row r="6144" spans="1:8" ht="15.75" hidden="1" customHeight="1" x14ac:dyDescent="0.25">
      <c r="A6144" s="205" t="s">
        <v>6670</v>
      </c>
      <c r="B6144" s="206">
        <v>87829</v>
      </c>
      <c r="C6144" s="207" t="s">
        <v>6773</v>
      </c>
      <c r="D6144" s="208" t="s">
        <v>578</v>
      </c>
      <c r="E6144" s="209">
        <v>43.98</v>
      </c>
      <c r="F6144" s="209">
        <v>61.97</v>
      </c>
      <c r="G6144" s="209">
        <v>105.95</v>
      </c>
      <c r="H6144" s="198"/>
    </row>
    <row r="6145" spans="1:8" ht="15.75" hidden="1" customHeight="1" x14ac:dyDescent="0.25">
      <c r="A6145" s="205" t="s">
        <v>6774</v>
      </c>
      <c r="B6145" s="206">
        <v>87557</v>
      </c>
      <c r="C6145" s="207" t="s">
        <v>6775</v>
      </c>
      <c r="D6145" s="208" t="s">
        <v>578</v>
      </c>
      <c r="E6145" s="209">
        <v>33.549999999999997</v>
      </c>
      <c r="F6145" s="209">
        <v>10.98</v>
      </c>
      <c r="G6145" s="209">
        <v>44.53</v>
      </c>
      <c r="H6145" s="198"/>
    </row>
    <row r="6146" spans="1:8" ht="15.75" hidden="1" customHeight="1" x14ac:dyDescent="0.25">
      <c r="A6146" s="205" t="s">
        <v>6774</v>
      </c>
      <c r="B6146" s="206">
        <v>87539</v>
      </c>
      <c r="C6146" s="207" t="s">
        <v>6776</v>
      </c>
      <c r="D6146" s="208" t="s">
        <v>578</v>
      </c>
      <c r="E6146" s="209">
        <v>51.78</v>
      </c>
      <c r="F6146" s="209">
        <v>14.96</v>
      </c>
      <c r="G6146" s="209">
        <v>66.739999999999995</v>
      </c>
      <c r="H6146" s="198"/>
    </row>
    <row r="6147" spans="1:8" ht="15.75" hidden="1" customHeight="1" x14ac:dyDescent="0.25">
      <c r="A6147" s="205" t="s">
        <v>6774</v>
      </c>
      <c r="B6147" s="206">
        <v>104972</v>
      </c>
      <c r="C6147" s="207" t="s">
        <v>6777</v>
      </c>
      <c r="D6147" s="208" t="s">
        <v>578</v>
      </c>
      <c r="E6147" s="209">
        <v>17.34</v>
      </c>
      <c r="F6147" s="209">
        <v>24.27</v>
      </c>
      <c r="G6147" s="209">
        <v>41.61</v>
      </c>
      <c r="H6147" s="198"/>
    </row>
    <row r="6148" spans="1:8" ht="15.75" hidden="1" customHeight="1" x14ac:dyDescent="0.25">
      <c r="A6148" s="205" t="s">
        <v>6774</v>
      </c>
      <c r="B6148" s="206">
        <v>104954</v>
      </c>
      <c r="C6148" s="207" t="s">
        <v>6778</v>
      </c>
      <c r="D6148" s="208" t="s">
        <v>578</v>
      </c>
      <c r="E6148" s="209">
        <v>24.96</v>
      </c>
      <c r="F6148" s="209">
        <v>32.06</v>
      </c>
      <c r="G6148" s="209">
        <v>57.02</v>
      </c>
      <c r="H6148" s="198"/>
    </row>
    <row r="6149" spans="1:8" ht="15.75" hidden="1" customHeight="1" x14ac:dyDescent="0.25">
      <c r="A6149" s="205" t="s">
        <v>6774</v>
      </c>
      <c r="B6149" s="206">
        <v>104976</v>
      </c>
      <c r="C6149" s="207" t="s">
        <v>6779</v>
      </c>
      <c r="D6149" s="208" t="s">
        <v>578</v>
      </c>
      <c r="E6149" s="209">
        <v>15.9</v>
      </c>
      <c r="F6149" s="209">
        <v>20.440000000000001</v>
      </c>
      <c r="G6149" s="209">
        <v>36.340000000000003</v>
      </c>
      <c r="H6149" s="198"/>
    </row>
    <row r="6150" spans="1:8" ht="15.75" hidden="1" customHeight="1" x14ac:dyDescent="0.25">
      <c r="A6150" s="205" t="s">
        <v>6774</v>
      </c>
      <c r="B6150" s="206">
        <v>104966</v>
      </c>
      <c r="C6150" s="207" t="s">
        <v>6780</v>
      </c>
      <c r="D6150" s="208" t="s">
        <v>578</v>
      </c>
      <c r="E6150" s="209">
        <v>23.53</v>
      </c>
      <c r="F6150" s="209">
        <v>28.22</v>
      </c>
      <c r="G6150" s="209">
        <v>51.75</v>
      </c>
      <c r="H6150" s="198"/>
    </row>
    <row r="6151" spans="1:8" ht="15.75" hidden="1" customHeight="1" x14ac:dyDescent="0.25">
      <c r="A6151" s="205" t="s">
        <v>6774</v>
      </c>
      <c r="B6151" s="206">
        <v>104968</v>
      </c>
      <c r="C6151" s="207" t="s">
        <v>6781</v>
      </c>
      <c r="D6151" s="208" t="s">
        <v>578</v>
      </c>
      <c r="E6151" s="209">
        <v>19.73</v>
      </c>
      <c r="F6151" s="209">
        <v>30.71</v>
      </c>
      <c r="G6151" s="209">
        <v>50.44</v>
      </c>
      <c r="H6151" s="198"/>
    </row>
    <row r="6152" spans="1:8" ht="15.75" hidden="1" customHeight="1" x14ac:dyDescent="0.25">
      <c r="A6152" s="205" t="s">
        <v>6774</v>
      </c>
      <c r="B6152" s="206">
        <v>104962</v>
      </c>
      <c r="C6152" s="207" t="s">
        <v>6782</v>
      </c>
      <c r="D6152" s="208" t="s">
        <v>578</v>
      </c>
      <c r="E6152" s="209">
        <v>27.35</v>
      </c>
      <c r="F6152" s="209">
        <v>38.5</v>
      </c>
      <c r="G6152" s="209">
        <v>65.849999999999994</v>
      </c>
      <c r="H6152" s="198"/>
    </row>
    <row r="6153" spans="1:8" ht="15.75" hidden="1" customHeight="1" x14ac:dyDescent="0.25">
      <c r="A6153" s="205" t="s">
        <v>6774</v>
      </c>
      <c r="B6153" s="206">
        <v>87550</v>
      </c>
      <c r="C6153" s="207" t="s">
        <v>6783</v>
      </c>
      <c r="D6153" s="208" t="s">
        <v>578</v>
      </c>
      <c r="E6153" s="209">
        <v>14.69</v>
      </c>
      <c r="F6153" s="209">
        <v>17.149999999999999</v>
      </c>
      <c r="G6153" s="209">
        <v>31.84</v>
      </c>
      <c r="H6153" s="198"/>
    </row>
    <row r="6154" spans="1:8" ht="15.75" hidden="1" customHeight="1" x14ac:dyDescent="0.25">
      <c r="A6154" s="205" t="s">
        <v>6774</v>
      </c>
      <c r="B6154" s="206">
        <v>87532</v>
      </c>
      <c r="C6154" s="207" t="s">
        <v>6784</v>
      </c>
      <c r="D6154" s="208" t="s">
        <v>578</v>
      </c>
      <c r="E6154" s="209">
        <v>21.58</v>
      </c>
      <c r="F6154" s="209">
        <v>23.03</v>
      </c>
      <c r="G6154" s="209">
        <v>44.61</v>
      </c>
      <c r="H6154" s="198"/>
    </row>
    <row r="6155" spans="1:8" ht="15.75" hidden="1" customHeight="1" x14ac:dyDescent="0.25">
      <c r="A6155" s="205" t="s">
        <v>6774</v>
      </c>
      <c r="B6155" s="206">
        <v>87554</v>
      </c>
      <c r="C6155" s="207" t="s">
        <v>6785</v>
      </c>
      <c r="D6155" s="208" t="s">
        <v>578</v>
      </c>
      <c r="E6155" s="209">
        <v>13.76</v>
      </c>
      <c r="F6155" s="209">
        <v>14.68</v>
      </c>
      <c r="G6155" s="209">
        <v>28.44</v>
      </c>
      <c r="H6155" s="198"/>
    </row>
    <row r="6156" spans="1:8" ht="15.75" hidden="1" customHeight="1" x14ac:dyDescent="0.25">
      <c r="A6156" s="205" t="s">
        <v>6774</v>
      </c>
      <c r="B6156" s="206">
        <v>87536</v>
      </c>
      <c r="C6156" s="207" t="s">
        <v>6786</v>
      </c>
      <c r="D6156" s="208" t="s">
        <v>578</v>
      </c>
      <c r="E6156" s="209">
        <v>20.66</v>
      </c>
      <c r="F6156" s="209">
        <v>20.56</v>
      </c>
      <c r="G6156" s="209">
        <v>41.22</v>
      </c>
      <c r="H6156" s="198"/>
    </row>
    <row r="6157" spans="1:8" ht="15.75" hidden="1" customHeight="1" x14ac:dyDescent="0.25">
      <c r="A6157" s="205" t="s">
        <v>6774</v>
      </c>
      <c r="B6157" s="206">
        <v>87528</v>
      </c>
      <c r="C6157" s="207" t="s">
        <v>6787</v>
      </c>
      <c r="D6157" s="208" t="s">
        <v>578</v>
      </c>
      <c r="E6157" s="209">
        <v>23.14</v>
      </c>
      <c r="F6157" s="209">
        <v>27.18</v>
      </c>
      <c r="G6157" s="209">
        <v>50.32</v>
      </c>
      <c r="H6157" s="198"/>
    </row>
    <row r="6158" spans="1:8" ht="15.75" hidden="1" customHeight="1" x14ac:dyDescent="0.25">
      <c r="A6158" s="205" t="s">
        <v>6774</v>
      </c>
      <c r="B6158" s="206">
        <v>87546</v>
      </c>
      <c r="C6158" s="207" t="s">
        <v>6788</v>
      </c>
      <c r="D6158" s="208" t="s">
        <v>578</v>
      </c>
      <c r="E6158" s="209">
        <v>16.23</v>
      </c>
      <c r="F6158" s="209">
        <v>21.31</v>
      </c>
      <c r="G6158" s="209">
        <v>37.54</v>
      </c>
      <c r="H6158" s="198"/>
    </row>
    <row r="6159" spans="1:8" ht="15.75" hidden="1" customHeight="1" x14ac:dyDescent="0.25">
      <c r="A6159" s="205" t="s">
        <v>6774</v>
      </c>
      <c r="B6159" s="206">
        <v>104971</v>
      </c>
      <c r="C6159" s="207" t="s">
        <v>6789</v>
      </c>
      <c r="D6159" s="208" t="s">
        <v>578</v>
      </c>
      <c r="E6159" s="209">
        <v>16.260000000000002</v>
      </c>
      <c r="F6159" s="209">
        <v>22.25</v>
      </c>
      <c r="G6159" s="209">
        <v>38.51</v>
      </c>
      <c r="H6159" s="198"/>
    </row>
    <row r="6160" spans="1:8" ht="15.75" hidden="1" customHeight="1" x14ac:dyDescent="0.25">
      <c r="A6160" s="205" t="s">
        <v>6774</v>
      </c>
      <c r="B6160" s="206">
        <v>104965</v>
      </c>
      <c r="C6160" s="207" t="s">
        <v>6790</v>
      </c>
      <c r="D6160" s="208" t="s">
        <v>578</v>
      </c>
      <c r="E6160" s="209">
        <v>23.25</v>
      </c>
      <c r="F6160" s="209">
        <v>28.9</v>
      </c>
      <c r="G6160" s="209">
        <v>52.15</v>
      </c>
      <c r="H6160" s="198"/>
    </row>
    <row r="6161" spans="1:8" ht="15.75" hidden="1" customHeight="1" x14ac:dyDescent="0.25">
      <c r="A6161" s="205" t="s">
        <v>6774</v>
      </c>
      <c r="B6161" s="206">
        <v>104975</v>
      </c>
      <c r="C6161" s="207" t="s">
        <v>6791</v>
      </c>
      <c r="D6161" s="208" t="s">
        <v>578</v>
      </c>
      <c r="E6161" s="209">
        <v>14.82</v>
      </c>
      <c r="F6161" s="209">
        <v>18.420000000000002</v>
      </c>
      <c r="G6161" s="209">
        <v>33.24</v>
      </c>
      <c r="H6161" s="198"/>
    </row>
    <row r="6162" spans="1:8" ht="15.75" hidden="1" customHeight="1" x14ac:dyDescent="0.25">
      <c r="A6162" s="205" t="s">
        <v>6774</v>
      </c>
      <c r="B6162" s="206">
        <v>104957</v>
      </c>
      <c r="C6162" s="207" t="s">
        <v>6792</v>
      </c>
      <c r="D6162" s="208" t="s">
        <v>578</v>
      </c>
      <c r="E6162" s="209">
        <v>21.82</v>
      </c>
      <c r="F6162" s="209">
        <v>25.06</v>
      </c>
      <c r="G6162" s="209">
        <v>46.88</v>
      </c>
      <c r="H6162" s="198"/>
    </row>
    <row r="6163" spans="1:8" ht="15.75" hidden="1" customHeight="1" x14ac:dyDescent="0.25">
      <c r="A6163" s="205" t="s">
        <v>6774</v>
      </c>
      <c r="B6163" s="206">
        <v>104967</v>
      </c>
      <c r="C6163" s="207" t="s">
        <v>6793</v>
      </c>
      <c r="D6163" s="208" t="s">
        <v>578</v>
      </c>
      <c r="E6163" s="209">
        <v>18.66</v>
      </c>
      <c r="F6163" s="209">
        <v>28.68</v>
      </c>
      <c r="G6163" s="209">
        <v>47.34</v>
      </c>
      <c r="H6163" s="198"/>
    </row>
    <row r="6164" spans="1:8" ht="15.75" hidden="1" customHeight="1" x14ac:dyDescent="0.25">
      <c r="A6164" s="205" t="s">
        <v>6774</v>
      </c>
      <c r="B6164" s="206">
        <v>104961</v>
      </c>
      <c r="C6164" s="207" t="s">
        <v>6794</v>
      </c>
      <c r="D6164" s="208" t="s">
        <v>578</v>
      </c>
      <c r="E6164" s="209">
        <v>25.65</v>
      </c>
      <c r="F6164" s="209">
        <v>35.33</v>
      </c>
      <c r="G6164" s="209">
        <v>60.98</v>
      </c>
      <c r="H6164" s="198"/>
    </row>
    <row r="6165" spans="1:8" ht="15.75" hidden="1" customHeight="1" x14ac:dyDescent="0.25">
      <c r="A6165" s="205" t="s">
        <v>6774</v>
      </c>
      <c r="B6165" s="206">
        <v>87549</v>
      </c>
      <c r="C6165" s="207" t="s">
        <v>6795</v>
      </c>
      <c r="D6165" s="208" t="s">
        <v>578</v>
      </c>
      <c r="E6165" s="209">
        <v>13.62</v>
      </c>
      <c r="F6165" s="209">
        <v>15.12</v>
      </c>
      <c r="G6165" s="209">
        <v>28.74</v>
      </c>
      <c r="H6165" s="198"/>
    </row>
    <row r="6166" spans="1:8" ht="15.75" hidden="1" customHeight="1" x14ac:dyDescent="0.25">
      <c r="A6166" s="205" t="s">
        <v>6774</v>
      </c>
      <c r="B6166" s="206">
        <v>87531</v>
      </c>
      <c r="C6166" s="207" t="s">
        <v>6796</v>
      </c>
      <c r="D6166" s="208" t="s">
        <v>578</v>
      </c>
      <c r="E6166" s="209">
        <v>19.89</v>
      </c>
      <c r="F6166" s="209">
        <v>19.850000000000001</v>
      </c>
      <c r="G6166" s="209">
        <v>39.74</v>
      </c>
      <c r="H6166" s="198"/>
    </row>
    <row r="6167" spans="1:8" ht="15.75" hidden="1" customHeight="1" x14ac:dyDescent="0.25">
      <c r="A6167" s="205" t="s">
        <v>6774</v>
      </c>
      <c r="B6167" s="206">
        <v>87553</v>
      </c>
      <c r="C6167" s="207" t="s">
        <v>6797</v>
      </c>
      <c r="D6167" s="208" t="s">
        <v>578</v>
      </c>
      <c r="E6167" s="209">
        <v>12.7</v>
      </c>
      <c r="F6167" s="209">
        <v>12.64</v>
      </c>
      <c r="G6167" s="209">
        <v>25.34</v>
      </c>
      <c r="H6167" s="198"/>
    </row>
    <row r="6168" spans="1:8" ht="15.75" hidden="1" customHeight="1" x14ac:dyDescent="0.25">
      <c r="A6168" s="205" t="s">
        <v>6774</v>
      </c>
      <c r="B6168" s="206">
        <v>87535</v>
      </c>
      <c r="C6168" s="207" t="s">
        <v>6798</v>
      </c>
      <c r="D6168" s="208" t="s">
        <v>578</v>
      </c>
      <c r="E6168" s="209">
        <v>18.97</v>
      </c>
      <c r="F6168" s="209">
        <v>17.38</v>
      </c>
      <c r="G6168" s="209">
        <v>36.35</v>
      </c>
      <c r="H6168" s="198"/>
    </row>
    <row r="6169" spans="1:8" ht="15.75" hidden="1" customHeight="1" x14ac:dyDescent="0.25">
      <c r="A6169" s="205" t="s">
        <v>6774</v>
      </c>
      <c r="B6169" s="206">
        <v>87527</v>
      </c>
      <c r="C6169" s="207" t="s">
        <v>6799</v>
      </c>
      <c r="D6169" s="208" t="s">
        <v>578</v>
      </c>
      <c r="E6169" s="209">
        <v>21.43</v>
      </c>
      <c r="F6169" s="209">
        <v>24.02</v>
      </c>
      <c r="G6169" s="209">
        <v>45.45</v>
      </c>
      <c r="H6169" s="198"/>
    </row>
    <row r="6170" spans="1:8" ht="15.75" hidden="1" customHeight="1" x14ac:dyDescent="0.25">
      <c r="A6170" s="205" t="s">
        <v>6774</v>
      </c>
      <c r="B6170" s="206">
        <v>87545</v>
      </c>
      <c r="C6170" s="207" t="s">
        <v>6800</v>
      </c>
      <c r="D6170" s="208" t="s">
        <v>578</v>
      </c>
      <c r="E6170" s="209">
        <v>15.16</v>
      </c>
      <c r="F6170" s="209">
        <v>19.28</v>
      </c>
      <c r="G6170" s="209">
        <v>34.44</v>
      </c>
      <c r="H6170" s="198"/>
    </row>
    <row r="6171" spans="1:8" ht="15.75" hidden="1" customHeight="1" x14ac:dyDescent="0.25">
      <c r="A6171" s="205" t="s">
        <v>6774</v>
      </c>
      <c r="B6171" s="206">
        <v>104960</v>
      </c>
      <c r="C6171" s="207" t="s">
        <v>6801</v>
      </c>
      <c r="D6171" s="208" t="s">
        <v>578</v>
      </c>
      <c r="E6171" s="209">
        <v>33.03</v>
      </c>
      <c r="F6171" s="209">
        <v>9.48</v>
      </c>
      <c r="G6171" s="209">
        <v>42.51</v>
      </c>
      <c r="H6171" s="198"/>
    </row>
    <row r="6172" spans="1:8" ht="15.75" hidden="1" customHeight="1" x14ac:dyDescent="0.25">
      <c r="A6172" s="205" t="s">
        <v>6774</v>
      </c>
      <c r="B6172" s="206">
        <v>87561</v>
      </c>
      <c r="C6172" s="207" t="s">
        <v>6802</v>
      </c>
      <c r="D6172" s="208" t="s">
        <v>578</v>
      </c>
      <c r="E6172" s="209">
        <v>33.36</v>
      </c>
      <c r="F6172" s="209">
        <v>10.43</v>
      </c>
      <c r="G6172" s="209">
        <v>43.79</v>
      </c>
      <c r="H6172" s="198"/>
    </row>
    <row r="6173" spans="1:8" ht="15.75" hidden="1" customHeight="1" x14ac:dyDescent="0.25">
      <c r="A6173" s="205" t="s">
        <v>6774</v>
      </c>
      <c r="B6173" s="206">
        <v>104953</v>
      </c>
      <c r="C6173" s="207" t="s">
        <v>6803</v>
      </c>
      <c r="D6173" s="208" t="s">
        <v>578</v>
      </c>
      <c r="E6173" s="209">
        <v>51.28</v>
      </c>
      <c r="F6173" s="209">
        <v>13.45</v>
      </c>
      <c r="G6173" s="209">
        <v>64.73</v>
      </c>
      <c r="H6173" s="198"/>
    </row>
    <row r="6174" spans="1:8" ht="15.75" hidden="1" customHeight="1" x14ac:dyDescent="0.25">
      <c r="A6174" s="205" t="s">
        <v>6774</v>
      </c>
      <c r="B6174" s="206">
        <v>87543</v>
      </c>
      <c r="C6174" s="207" t="s">
        <v>6804</v>
      </c>
      <c r="D6174" s="208" t="s">
        <v>578</v>
      </c>
      <c r="E6174" s="209">
        <v>18.59</v>
      </c>
      <c r="F6174" s="209">
        <v>7.64</v>
      </c>
      <c r="G6174" s="209">
        <v>26.23</v>
      </c>
      <c r="H6174" s="198"/>
    </row>
    <row r="6175" spans="1:8" ht="15.75" hidden="1" customHeight="1" x14ac:dyDescent="0.25">
      <c r="A6175" s="205" t="s">
        <v>6774</v>
      </c>
      <c r="B6175" s="206">
        <v>104959</v>
      </c>
      <c r="C6175" s="207" t="s">
        <v>6805</v>
      </c>
      <c r="D6175" s="208" t="s">
        <v>578</v>
      </c>
      <c r="E6175" s="209">
        <v>14.01</v>
      </c>
      <c r="F6175" s="209">
        <v>15.28</v>
      </c>
      <c r="G6175" s="209">
        <v>29.29</v>
      </c>
      <c r="H6175" s="198"/>
    </row>
    <row r="6176" spans="1:8" ht="15.75" hidden="1" customHeight="1" x14ac:dyDescent="0.25">
      <c r="A6176" s="205" t="s">
        <v>6774</v>
      </c>
      <c r="B6176" s="206">
        <v>104958</v>
      </c>
      <c r="C6176" s="207" t="s">
        <v>6806</v>
      </c>
      <c r="D6176" s="208" t="s">
        <v>578</v>
      </c>
      <c r="E6176" s="209">
        <v>12.94</v>
      </c>
      <c r="F6176" s="209">
        <v>13.25</v>
      </c>
      <c r="G6176" s="209">
        <v>26.19</v>
      </c>
      <c r="H6176" s="198"/>
    </row>
    <row r="6177" spans="1:8" ht="15.75" hidden="1" customHeight="1" x14ac:dyDescent="0.25">
      <c r="A6177" s="205" t="s">
        <v>6774</v>
      </c>
      <c r="B6177" s="206">
        <v>104970</v>
      </c>
      <c r="C6177" s="207" t="s">
        <v>6807</v>
      </c>
      <c r="D6177" s="208" t="s">
        <v>578</v>
      </c>
      <c r="E6177" s="209">
        <v>18.010000000000002</v>
      </c>
      <c r="F6177" s="209">
        <v>26.14</v>
      </c>
      <c r="G6177" s="209">
        <v>44.15</v>
      </c>
      <c r="H6177" s="198"/>
    </row>
    <row r="6178" spans="1:8" ht="15.75" hidden="1" customHeight="1" x14ac:dyDescent="0.25">
      <c r="A6178" s="205" t="s">
        <v>6774</v>
      </c>
      <c r="B6178" s="206">
        <v>104964</v>
      </c>
      <c r="C6178" s="207" t="s">
        <v>6808</v>
      </c>
      <c r="D6178" s="208" t="s">
        <v>578</v>
      </c>
      <c r="E6178" s="209">
        <v>25.64</v>
      </c>
      <c r="F6178" s="209">
        <v>33.93</v>
      </c>
      <c r="G6178" s="209">
        <v>59.57</v>
      </c>
      <c r="H6178" s="198"/>
    </row>
    <row r="6179" spans="1:8" ht="15.75" hidden="1" customHeight="1" x14ac:dyDescent="0.25">
      <c r="A6179" s="205" t="s">
        <v>6774</v>
      </c>
      <c r="B6179" s="206">
        <v>104956</v>
      </c>
      <c r="C6179" s="207" t="s">
        <v>6809</v>
      </c>
      <c r="D6179" s="208" t="s">
        <v>578</v>
      </c>
      <c r="E6179" s="209">
        <v>23.89</v>
      </c>
      <c r="F6179" s="209">
        <v>29.18</v>
      </c>
      <c r="G6179" s="209">
        <v>53.07</v>
      </c>
      <c r="H6179" s="198"/>
    </row>
    <row r="6180" spans="1:8" ht="15.75" hidden="1" customHeight="1" x14ac:dyDescent="0.25">
      <c r="A6180" s="205" t="s">
        <v>6774</v>
      </c>
      <c r="B6180" s="206">
        <v>104974</v>
      </c>
      <c r="C6180" s="207" t="s">
        <v>6810</v>
      </c>
      <c r="D6180" s="208" t="s">
        <v>578</v>
      </c>
      <c r="E6180" s="209">
        <v>16.25</v>
      </c>
      <c r="F6180" s="209">
        <v>21.4</v>
      </c>
      <c r="G6180" s="209">
        <v>37.65</v>
      </c>
      <c r="H6180" s="198"/>
    </row>
    <row r="6181" spans="1:8" ht="15.75" hidden="1" customHeight="1" x14ac:dyDescent="0.25">
      <c r="A6181" s="205" t="s">
        <v>6774</v>
      </c>
      <c r="B6181" s="206">
        <v>87548</v>
      </c>
      <c r="C6181" s="207" t="s">
        <v>6811</v>
      </c>
      <c r="D6181" s="208" t="s">
        <v>578</v>
      </c>
      <c r="E6181" s="209">
        <v>15.13</v>
      </c>
      <c r="F6181" s="209">
        <v>18.350000000000001</v>
      </c>
      <c r="G6181" s="209">
        <v>33.479999999999997</v>
      </c>
      <c r="H6181" s="198"/>
    </row>
    <row r="6182" spans="1:8" ht="15.75" hidden="1" customHeight="1" x14ac:dyDescent="0.25">
      <c r="A6182" s="205" t="s">
        <v>6774</v>
      </c>
      <c r="B6182" s="206">
        <v>87530</v>
      </c>
      <c r="C6182" s="207" t="s">
        <v>6812</v>
      </c>
      <c r="D6182" s="208" t="s">
        <v>578</v>
      </c>
      <c r="E6182" s="209">
        <v>22.03</v>
      </c>
      <c r="F6182" s="209">
        <v>24.24</v>
      </c>
      <c r="G6182" s="209">
        <v>46.27</v>
      </c>
      <c r="H6182" s="198"/>
    </row>
    <row r="6183" spans="1:8" ht="15.75" hidden="1" customHeight="1" x14ac:dyDescent="0.25">
      <c r="A6183" s="205" t="s">
        <v>6774</v>
      </c>
      <c r="B6183" s="206">
        <v>104952</v>
      </c>
      <c r="C6183" s="207" t="s">
        <v>6813</v>
      </c>
      <c r="D6183" s="208" t="s">
        <v>578</v>
      </c>
      <c r="E6183" s="209">
        <v>20.9</v>
      </c>
      <c r="F6183" s="209">
        <v>21.17</v>
      </c>
      <c r="G6183" s="209">
        <v>42.07</v>
      </c>
      <c r="H6183" s="198"/>
    </row>
    <row r="6184" spans="1:8" ht="15.75" hidden="1" customHeight="1" x14ac:dyDescent="0.25">
      <c r="A6184" s="205" t="s">
        <v>6774</v>
      </c>
      <c r="B6184" s="206">
        <v>104969</v>
      </c>
      <c r="C6184" s="207" t="s">
        <v>6814</v>
      </c>
      <c r="D6184" s="208" t="s">
        <v>578</v>
      </c>
      <c r="E6184" s="209">
        <v>16.95</v>
      </c>
      <c r="F6184" s="209">
        <v>24.1</v>
      </c>
      <c r="G6184" s="209">
        <v>41.05</v>
      </c>
      <c r="H6184" s="198"/>
    </row>
    <row r="6185" spans="1:8" ht="15.75" hidden="1" customHeight="1" x14ac:dyDescent="0.25">
      <c r="A6185" s="205" t="s">
        <v>6774</v>
      </c>
      <c r="B6185" s="206">
        <v>104963</v>
      </c>
      <c r="C6185" s="207" t="s">
        <v>6815</v>
      </c>
      <c r="D6185" s="208" t="s">
        <v>578</v>
      </c>
      <c r="E6185" s="209">
        <v>23.94</v>
      </c>
      <c r="F6185" s="209">
        <v>30.76</v>
      </c>
      <c r="G6185" s="209">
        <v>54.7</v>
      </c>
      <c r="H6185" s="198"/>
    </row>
    <row r="6186" spans="1:8" ht="15.75" hidden="1" customHeight="1" x14ac:dyDescent="0.25">
      <c r="A6186" s="205" t="s">
        <v>6774</v>
      </c>
      <c r="B6186" s="206">
        <v>104955</v>
      </c>
      <c r="C6186" s="207" t="s">
        <v>6816</v>
      </c>
      <c r="D6186" s="208" t="s">
        <v>578</v>
      </c>
      <c r="E6186" s="209">
        <v>22.19</v>
      </c>
      <c r="F6186" s="209">
        <v>26.01</v>
      </c>
      <c r="G6186" s="209">
        <v>48.2</v>
      </c>
      <c r="H6186" s="198"/>
    </row>
    <row r="6187" spans="1:8" ht="15.75" hidden="1" customHeight="1" x14ac:dyDescent="0.25">
      <c r="A6187" s="205" t="s">
        <v>6774</v>
      </c>
      <c r="B6187" s="206">
        <v>104973</v>
      </c>
      <c r="C6187" s="207" t="s">
        <v>6817</v>
      </c>
      <c r="D6187" s="208" t="s">
        <v>578</v>
      </c>
      <c r="E6187" s="209">
        <v>15.19</v>
      </c>
      <c r="F6187" s="209">
        <v>19.36</v>
      </c>
      <c r="G6187" s="209">
        <v>34.549999999999997</v>
      </c>
      <c r="H6187" s="198"/>
    </row>
    <row r="6188" spans="1:8" ht="15.75" hidden="1" customHeight="1" x14ac:dyDescent="0.25">
      <c r="A6188" s="205" t="s">
        <v>6774</v>
      </c>
      <c r="B6188" s="206">
        <v>87547</v>
      </c>
      <c r="C6188" s="207" t="s">
        <v>6818</v>
      </c>
      <c r="D6188" s="208" t="s">
        <v>578</v>
      </c>
      <c r="E6188" s="209">
        <v>14.06</v>
      </c>
      <c r="F6188" s="209">
        <v>16.32</v>
      </c>
      <c r="G6188" s="209">
        <v>30.38</v>
      </c>
      <c r="H6188" s="198"/>
    </row>
    <row r="6189" spans="1:8" ht="15.75" hidden="1" customHeight="1" x14ac:dyDescent="0.25">
      <c r="A6189" s="205" t="s">
        <v>6774</v>
      </c>
      <c r="B6189" s="206">
        <v>87529</v>
      </c>
      <c r="C6189" s="207" t="s">
        <v>6819</v>
      </c>
      <c r="D6189" s="208" t="s">
        <v>578</v>
      </c>
      <c r="E6189" s="209">
        <v>20.34</v>
      </c>
      <c r="F6189" s="209">
        <v>21.06</v>
      </c>
      <c r="G6189" s="209">
        <v>41.4</v>
      </c>
      <c r="H6189" s="198"/>
    </row>
    <row r="6190" spans="1:8" ht="15.75" hidden="1" customHeight="1" x14ac:dyDescent="0.25">
      <c r="A6190" s="205" t="s">
        <v>6774</v>
      </c>
      <c r="B6190" s="206">
        <v>104951</v>
      </c>
      <c r="C6190" s="207" t="s">
        <v>6820</v>
      </c>
      <c r="D6190" s="208" t="s">
        <v>578</v>
      </c>
      <c r="E6190" s="209">
        <v>19.2</v>
      </c>
      <c r="F6190" s="209">
        <v>18</v>
      </c>
      <c r="G6190" s="209">
        <v>37.200000000000003</v>
      </c>
      <c r="H6190" s="198"/>
    </row>
    <row r="6191" spans="1:8" ht="15.75" hidden="1" customHeight="1" x14ac:dyDescent="0.25">
      <c r="A6191" s="205" t="s">
        <v>6774</v>
      </c>
      <c r="B6191" s="206">
        <v>104978</v>
      </c>
      <c r="C6191" s="207" t="s">
        <v>6821</v>
      </c>
      <c r="D6191" s="208" t="s">
        <v>578</v>
      </c>
      <c r="E6191" s="209">
        <v>17.809999999999999</v>
      </c>
      <c r="F6191" s="209">
        <v>26.46</v>
      </c>
      <c r="G6191" s="209">
        <v>44.27</v>
      </c>
      <c r="H6191" s="198"/>
    </row>
    <row r="6192" spans="1:8" ht="15.75" hidden="1" customHeight="1" x14ac:dyDescent="0.25">
      <c r="A6192" s="205" t="s">
        <v>6774</v>
      </c>
      <c r="B6192" s="206">
        <v>104977</v>
      </c>
      <c r="C6192" s="207" t="s">
        <v>6822</v>
      </c>
      <c r="D6192" s="208" t="s">
        <v>578</v>
      </c>
      <c r="E6192" s="209">
        <v>24.74</v>
      </c>
      <c r="F6192" s="209">
        <v>32.950000000000003</v>
      </c>
      <c r="G6192" s="209">
        <v>57.69</v>
      </c>
      <c r="H6192" s="198"/>
    </row>
    <row r="6193" spans="1:8" ht="15.75" hidden="1" customHeight="1" x14ac:dyDescent="0.25">
      <c r="A6193" s="205" t="s">
        <v>6774</v>
      </c>
      <c r="B6193" s="206">
        <v>90408</v>
      </c>
      <c r="C6193" s="207" t="s">
        <v>6823</v>
      </c>
      <c r="D6193" s="208" t="s">
        <v>578</v>
      </c>
      <c r="E6193" s="209">
        <v>16.2</v>
      </c>
      <c r="F6193" s="209">
        <v>22.06</v>
      </c>
      <c r="G6193" s="209">
        <v>38.26</v>
      </c>
      <c r="H6193" s="198"/>
    </row>
    <row r="6194" spans="1:8" ht="15.75" hidden="1" customHeight="1" x14ac:dyDescent="0.25">
      <c r="A6194" s="205" t="s">
        <v>6774</v>
      </c>
      <c r="B6194" s="206">
        <v>90406</v>
      </c>
      <c r="C6194" s="207" t="s">
        <v>6824</v>
      </c>
      <c r="D6194" s="208" t="s">
        <v>578</v>
      </c>
      <c r="E6194" s="209">
        <v>22.77</v>
      </c>
      <c r="F6194" s="209">
        <v>27.6</v>
      </c>
      <c r="G6194" s="209">
        <v>50.37</v>
      </c>
      <c r="H6194" s="198"/>
    </row>
    <row r="6195" spans="1:8" ht="15.75" hidden="1" customHeight="1" x14ac:dyDescent="0.25">
      <c r="A6195" s="205" t="s">
        <v>6825</v>
      </c>
      <c r="B6195" s="206">
        <v>103304</v>
      </c>
      <c r="C6195" s="207" t="s">
        <v>6826</v>
      </c>
      <c r="D6195" s="208" t="s">
        <v>580</v>
      </c>
      <c r="E6195" s="209">
        <v>1222.81</v>
      </c>
      <c r="F6195" s="209">
        <v>39.380000000000003</v>
      </c>
      <c r="G6195" s="209">
        <v>1262.19</v>
      </c>
      <c r="H6195" s="198"/>
    </row>
    <row r="6196" spans="1:8" ht="15.75" hidden="1" customHeight="1" x14ac:dyDescent="0.25">
      <c r="A6196" s="205" t="s">
        <v>6825</v>
      </c>
      <c r="B6196" s="206">
        <v>103307</v>
      </c>
      <c r="C6196" s="207" t="s">
        <v>6827</v>
      </c>
      <c r="D6196" s="208" t="s">
        <v>580</v>
      </c>
      <c r="E6196" s="209">
        <v>1279.3800000000001</v>
      </c>
      <c r="F6196" s="209">
        <v>85.87</v>
      </c>
      <c r="G6196" s="209">
        <v>1365.25</v>
      </c>
      <c r="H6196" s="198"/>
    </row>
    <row r="6197" spans="1:8" ht="15.75" hidden="1" customHeight="1" x14ac:dyDescent="0.25">
      <c r="A6197" s="205" t="s">
        <v>6825</v>
      </c>
      <c r="B6197" s="206">
        <v>103310</v>
      </c>
      <c r="C6197" s="207" t="s">
        <v>6828</v>
      </c>
      <c r="D6197" s="208" t="s">
        <v>580</v>
      </c>
      <c r="E6197" s="209">
        <v>1259.83</v>
      </c>
      <c r="F6197" s="209">
        <v>38.020000000000003</v>
      </c>
      <c r="G6197" s="209">
        <v>1297.8499999999999</v>
      </c>
      <c r="H6197" s="198"/>
    </row>
    <row r="6198" spans="1:8" ht="15.75" hidden="1" customHeight="1" x14ac:dyDescent="0.25">
      <c r="A6198" s="205" t="s">
        <v>6825</v>
      </c>
      <c r="B6198" s="206">
        <v>103314</v>
      </c>
      <c r="C6198" s="207" t="s">
        <v>6829</v>
      </c>
      <c r="D6198" s="208" t="s">
        <v>578</v>
      </c>
      <c r="E6198" s="209">
        <v>276.01</v>
      </c>
      <c r="F6198" s="209">
        <v>30.32</v>
      </c>
      <c r="G6198" s="209">
        <v>306.33</v>
      </c>
      <c r="H6198" s="198"/>
    </row>
    <row r="6199" spans="1:8" ht="15.75" hidden="1" customHeight="1" x14ac:dyDescent="0.25">
      <c r="A6199" s="205" t="s">
        <v>6825</v>
      </c>
      <c r="B6199" s="206">
        <v>103315</v>
      </c>
      <c r="C6199" s="207" t="s">
        <v>6830</v>
      </c>
      <c r="D6199" s="208" t="s">
        <v>578</v>
      </c>
      <c r="E6199" s="209">
        <v>272.45</v>
      </c>
      <c r="F6199" s="209">
        <v>22.88</v>
      </c>
      <c r="G6199" s="209">
        <v>295.33</v>
      </c>
      <c r="H6199" s="198"/>
    </row>
    <row r="6200" spans="1:8" ht="15.75" hidden="1" customHeight="1" x14ac:dyDescent="0.25">
      <c r="A6200" s="205" t="s">
        <v>6831</v>
      </c>
      <c r="B6200" s="206">
        <v>105188</v>
      </c>
      <c r="C6200" s="207" t="s">
        <v>6832</v>
      </c>
      <c r="D6200" s="208" t="s">
        <v>578</v>
      </c>
      <c r="E6200" s="209">
        <v>127.32</v>
      </c>
      <c r="F6200" s="209">
        <v>17.73</v>
      </c>
      <c r="G6200" s="209">
        <v>145.05000000000001</v>
      </c>
      <c r="H6200" s="198"/>
    </row>
    <row r="6201" spans="1:8" ht="15.75" hidden="1" customHeight="1" x14ac:dyDescent="0.25">
      <c r="A6201" s="205" t="s">
        <v>6831</v>
      </c>
      <c r="B6201" s="206">
        <v>87841</v>
      </c>
      <c r="C6201" s="207" t="s">
        <v>6833</v>
      </c>
      <c r="D6201" s="208" t="s">
        <v>578</v>
      </c>
      <c r="E6201" s="209">
        <v>115.06</v>
      </c>
      <c r="F6201" s="209">
        <v>16.79</v>
      </c>
      <c r="G6201" s="209">
        <v>131.85</v>
      </c>
      <c r="H6201" s="198"/>
    </row>
    <row r="6202" spans="1:8" ht="15.75" hidden="1" customHeight="1" x14ac:dyDescent="0.25">
      <c r="A6202" s="205" t="s">
        <v>6831</v>
      </c>
      <c r="B6202" s="206">
        <v>87853</v>
      </c>
      <c r="C6202" s="207" t="s">
        <v>6834</v>
      </c>
      <c r="D6202" s="208" t="s">
        <v>578</v>
      </c>
      <c r="E6202" s="209">
        <v>128.35</v>
      </c>
      <c r="F6202" s="209">
        <v>19.48</v>
      </c>
      <c r="G6202" s="209">
        <v>147.83000000000001</v>
      </c>
      <c r="H6202" s="198"/>
    </row>
    <row r="6203" spans="1:8" ht="15.75" hidden="1" customHeight="1" x14ac:dyDescent="0.25">
      <c r="A6203" s="205" t="s">
        <v>6831</v>
      </c>
      <c r="B6203" s="206">
        <v>105187</v>
      </c>
      <c r="C6203" s="207" t="s">
        <v>6835</v>
      </c>
      <c r="D6203" s="208" t="s">
        <v>578</v>
      </c>
      <c r="E6203" s="209">
        <v>175.75</v>
      </c>
      <c r="F6203" s="209">
        <v>21.34</v>
      </c>
      <c r="G6203" s="209">
        <v>197.09</v>
      </c>
      <c r="H6203" s="198"/>
    </row>
    <row r="6204" spans="1:8" ht="15.75" hidden="1" customHeight="1" x14ac:dyDescent="0.25">
      <c r="A6204" s="205" t="s">
        <v>6831</v>
      </c>
      <c r="B6204" s="206">
        <v>87840</v>
      </c>
      <c r="C6204" s="207" t="s">
        <v>6836</v>
      </c>
      <c r="D6204" s="208" t="s">
        <v>578</v>
      </c>
      <c r="E6204" s="209">
        <v>163.49</v>
      </c>
      <c r="F6204" s="209">
        <v>20.41</v>
      </c>
      <c r="G6204" s="209">
        <v>183.9</v>
      </c>
      <c r="H6204" s="198"/>
    </row>
    <row r="6205" spans="1:8" ht="15.75" hidden="1" customHeight="1" x14ac:dyDescent="0.25">
      <c r="A6205" s="205" t="s">
        <v>6831</v>
      </c>
      <c r="B6205" s="206">
        <v>87852</v>
      </c>
      <c r="C6205" s="207" t="s">
        <v>6837</v>
      </c>
      <c r="D6205" s="208" t="s">
        <v>578</v>
      </c>
      <c r="E6205" s="209">
        <v>176.78</v>
      </c>
      <c r="F6205" s="209">
        <v>23.08</v>
      </c>
      <c r="G6205" s="209">
        <v>199.86</v>
      </c>
      <c r="H6205" s="198"/>
    </row>
    <row r="6206" spans="1:8" ht="15.75" hidden="1" customHeight="1" x14ac:dyDescent="0.25">
      <c r="A6206" s="205" t="s">
        <v>6831</v>
      </c>
      <c r="B6206" s="206">
        <v>105186</v>
      </c>
      <c r="C6206" s="207" t="s">
        <v>6838</v>
      </c>
      <c r="D6206" s="208" t="s">
        <v>578</v>
      </c>
      <c r="E6206" s="209">
        <v>129.63</v>
      </c>
      <c r="F6206" s="209">
        <v>22.96</v>
      </c>
      <c r="G6206" s="209">
        <v>152.59</v>
      </c>
      <c r="H6206" s="198"/>
    </row>
    <row r="6207" spans="1:8" ht="15.75" hidden="1" customHeight="1" x14ac:dyDescent="0.25">
      <c r="A6207" s="205" t="s">
        <v>6831</v>
      </c>
      <c r="B6207" s="206">
        <v>87839</v>
      </c>
      <c r="C6207" s="207" t="s">
        <v>6839</v>
      </c>
      <c r="D6207" s="208" t="s">
        <v>578</v>
      </c>
      <c r="E6207" s="209">
        <v>117.6</v>
      </c>
      <c r="F6207" s="209">
        <v>21.99</v>
      </c>
      <c r="G6207" s="209">
        <v>139.59</v>
      </c>
      <c r="H6207" s="198"/>
    </row>
    <row r="6208" spans="1:8" ht="15.75" hidden="1" customHeight="1" x14ac:dyDescent="0.25">
      <c r="A6208" s="205" t="s">
        <v>6831</v>
      </c>
      <c r="B6208" s="206">
        <v>87851</v>
      </c>
      <c r="C6208" s="207" t="s">
        <v>6840</v>
      </c>
      <c r="D6208" s="208" t="s">
        <v>578</v>
      </c>
      <c r="E6208" s="209">
        <v>130.94999999999999</v>
      </c>
      <c r="F6208" s="209">
        <v>25.27</v>
      </c>
      <c r="G6208" s="209">
        <v>156.22</v>
      </c>
      <c r="H6208" s="198"/>
    </row>
    <row r="6209" spans="1:8" ht="15.75" hidden="1" customHeight="1" x14ac:dyDescent="0.25">
      <c r="A6209" s="205" t="s">
        <v>6831</v>
      </c>
      <c r="B6209" s="206">
        <v>105185</v>
      </c>
      <c r="C6209" s="207" t="s">
        <v>6841</v>
      </c>
      <c r="D6209" s="208" t="s">
        <v>578</v>
      </c>
      <c r="E6209" s="209">
        <v>178.38</v>
      </c>
      <c r="F6209" s="209">
        <v>26.56</v>
      </c>
      <c r="G6209" s="209">
        <v>204.94</v>
      </c>
      <c r="H6209" s="198"/>
    </row>
    <row r="6210" spans="1:8" ht="15.75" hidden="1" customHeight="1" x14ac:dyDescent="0.25">
      <c r="A6210" s="205" t="s">
        <v>6831</v>
      </c>
      <c r="B6210" s="206">
        <v>87838</v>
      </c>
      <c r="C6210" s="207" t="s">
        <v>6842</v>
      </c>
      <c r="D6210" s="208" t="s">
        <v>578</v>
      </c>
      <c r="E6210" s="209">
        <v>166.36</v>
      </c>
      <c r="F6210" s="209">
        <v>25.65</v>
      </c>
      <c r="G6210" s="209">
        <v>192.01</v>
      </c>
      <c r="H6210" s="198"/>
    </row>
    <row r="6211" spans="1:8" ht="15.75" hidden="1" customHeight="1" x14ac:dyDescent="0.25">
      <c r="A6211" s="205" t="s">
        <v>6831</v>
      </c>
      <c r="B6211" s="206">
        <v>87850</v>
      </c>
      <c r="C6211" s="207" t="s">
        <v>6843</v>
      </c>
      <c r="D6211" s="208" t="s">
        <v>578</v>
      </c>
      <c r="E6211" s="209">
        <v>179.7</v>
      </c>
      <c r="F6211" s="209">
        <v>28.93</v>
      </c>
      <c r="G6211" s="209">
        <v>208.63</v>
      </c>
      <c r="H6211" s="198"/>
    </row>
    <row r="6212" spans="1:8" ht="15.75" hidden="1" customHeight="1" x14ac:dyDescent="0.25">
      <c r="A6212" s="205" t="s">
        <v>6844</v>
      </c>
      <c r="B6212" s="206">
        <v>105110</v>
      </c>
      <c r="C6212" s="207" t="s">
        <v>6845</v>
      </c>
      <c r="D6212" s="208" t="s">
        <v>585</v>
      </c>
      <c r="E6212" s="209">
        <v>67.72</v>
      </c>
      <c r="F6212" s="209">
        <v>174.13</v>
      </c>
      <c r="G6212" s="209">
        <v>241.85</v>
      </c>
      <c r="H6212" s="198"/>
    </row>
    <row r="6213" spans="1:8" ht="15.75" hidden="1" customHeight="1" x14ac:dyDescent="0.25">
      <c r="A6213" s="205" t="s">
        <v>6844</v>
      </c>
      <c r="B6213" s="206">
        <v>105105</v>
      </c>
      <c r="C6213" s="207" t="s">
        <v>6846</v>
      </c>
      <c r="D6213" s="208" t="s">
        <v>585</v>
      </c>
      <c r="E6213" s="209">
        <v>21.55</v>
      </c>
      <c r="F6213" s="209">
        <v>57.33</v>
      </c>
      <c r="G6213" s="209">
        <v>78.88</v>
      </c>
      <c r="H6213" s="198"/>
    </row>
    <row r="6214" spans="1:8" ht="15.75" hidden="1" customHeight="1" x14ac:dyDescent="0.25">
      <c r="A6214" s="205" t="s">
        <v>6844</v>
      </c>
      <c r="B6214" s="206">
        <v>105103</v>
      </c>
      <c r="C6214" s="207" t="s">
        <v>6847</v>
      </c>
      <c r="D6214" s="208" t="s">
        <v>585</v>
      </c>
      <c r="E6214" s="209">
        <v>30.68</v>
      </c>
      <c r="F6214" s="209">
        <v>81.650000000000006</v>
      </c>
      <c r="G6214" s="209">
        <v>112.33</v>
      </c>
      <c r="H6214" s="198"/>
    </row>
    <row r="6215" spans="1:8" ht="15.75" hidden="1" customHeight="1" x14ac:dyDescent="0.25">
      <c r="A6215" s="205" t="s">
        <v>6844</v>
      </c>
      <c r="B6215" s="206">
        <v>105112</v>
      </c>
      <c r="C6215" s="207" t="s">
        <v>6848</v>
      </c>
      <c r="D6215" s="208" t="s">
        <v>585</v>
      </c>
      <c r="E6215" s="209">
        <v>56.55</v>
      </c>
      <c r="F6215" s="209">
        <v>145.41</v>
      </c>
      <c r="G6215" s="209">
        <v>201.96</v>
      </c>
      <c r="H6215" s="198"/>
    </row>
    <row r="6216" spans="1:8" ht="15.75" hidden="1" customHeight="1" x14ac:dyDescent="0.25">
      <c r="A6216" s="205" t="s">
        <v>6844</v>
      </c>
      <c r="B6216" s="206">
        <v>105104</v>
      </c>
      <c r="C6216" s="207" t="s">
        <v>6849</v>
      </c>
      <c r="D6216" s="208" t="s">
        <v>580</v>
      </c>
      <c r="E6216" s="209">
        <v>2849.74</v>
      </c>
      <c r="F6216" s="209">
        <v>2325.0100000000002</v>
      </c>
      <c r="G6216" s="209">
        <v>5174.75</v>
      </c>
      <c r="H6216" s="198"/>
    </row>
    <row r="6217" spans="1:8" ht="15.75" hidden="1" customHeight="1" x14ac:dyDescent="0.25">
      <c r="A6217" s="205" t="s">
        <v>6844</v>
      </c>
      <c r="B6217" s="206">
        <v>105107</v>
      </c>
      <c r="C6217" s="207" t="s">
        <v>6850</v>
      </c>
      <c r="D6217" s="208" t="s">
        <v>580</v>
      </c>
      <c r="E6217" s="209">
        <v>1031.6099999999999</v>
      </c>
      <c r="F6217" s="209">
        <v>2744.38</v>
      </c>
      <c r="G6217" s="209">
        <v>3775.99</v>
      </c>
      <c r="H6217" s="198"/>
    </row>
    <row r="6218" spans="1:8" ht="15.75" hidden="1" customHeight="1" x14ac:dyDescent="0.25">
      <c r="A6218" s="205" t="s">
        <v>6844</v>
      </c>
      <c r="B6218" s="206">
        <v>105106</v>
      </c>
      <c r="C6218" s="207" t="s">
        <v>6851</v>
      </c>
      <c r="D6218" s="208" t="s">
        <v>580</v>
      </c>
      <c r="E6218" s="209">
        <v>698.64</v>
      </c>
      <c r="F6218" s="209">
        <v>1858.59</v>
      </c>
      <c r="G6218" s="209">
        <v>2557.23</v>
      </c>
      <c r="H6218" s="198"/>
    </row>
    <row r="6219" spans="1:8" ht="15.75" hidden="1" customHeight="1" x14ac:dyDescent="0.25">
      <c r="A6219" s="205" t="s">
        <v>6844</v>
      </c>
      <c r="B6219" s="206">
        <v>105111</v>
      </c>
      <c r="C6219" s="207" t="s">
        <v>6852</v>
      </c>
      <c r="D6219" s="208" t="s">
        <v>580</v>
      </c>
      <c r="E6219" s="209">
        <v>12766.55</v>
      </c>
      <c r="F6219" s="209">
        <v>6841.11</v>
      </c>
      <c r="G6219" s="209">
        <v>19607.66</v>
      </c>
      <c r="H6219" s="198"/>
    </row>
    <row r="6220" spans="1:8" ht="15.75" hidden="1" customHeight="1" x14ac:dyDescent="0.25">
      <c r="A6220" s="205" t="s">
        <v>6853</v>
      </c>
      <c r="B6220" s="206">
        <v>98520</v>
      </c>
      <c r="C6220" s="207" t="s">
        <v>6854</v>
      </c>
      <c r="D6220" s="208" t="s">
        <v>578</v>
      </c>
      <c r="E6220" s="209">
        <v>4.8099999999999996</v>
      </c>
      <c r="F6220" s="209">
        <v>1.3</v>
      </c>
      <c r="G6220" s="209">
        <v>6.11</v>
      </c>
      <c r="H6220" s="198"/>
    </row>
    <row r="6221" spans="1:8" ht="15.75" hidden="1" customHeight="1" x14ac:dyDescent="0.25">
      <c r="A6221" s="205" t="s">
        <v>6853</v>
      </c>
      <c r="B6221" s="206">
        <v>98521</v>
      </c>
      <c r="C6221" s="207" t="s">
        <v>6855</v>
      </c>
      <c r="D6221" s="208" t="s">
        <v>578</v>
      </c>
      <c r="E6221" s="209">
        <v>0.16</v>
      </c>
      <c r="F6221" s="209">
        <v>0.25</v>
      </c>
      <c r="G6221" s="209">
        <v>0.41</v>
      </c>
      <c r="H6221" s="198"/>
    </row>
    <row r="6222" spans="1:8" ht="15.75" hidden="1" customHeight="1" x14ac:dyDescent="0.25">
      <c r="A6222" s="205" t="s">
        <v>6853</v>
      </c>
      <c r="B6222" s="206">
        <v>105521</v>
      </c>
      <c r="C6222" s="207" t="s">
        <v>6856</v>
      </c>
      <c r="D6222" s="208" t="s">
        <v>578</v>
      </c>
      <c r="E6222" s="209">
        <v>2.96</v>
      </c>
      <c r="F6222" s="209">
        <v>1.27</v>
      </c>
      <c r="G6222" s="209">
        <v>4.2300000000000004</v>
      </c>
      <c r="H6222" s="198"/>
    </row>
    <row r="6223" spans="1:8" ht="15.75" hidden="1" customHeight="1" x14ac:dyDescent="0.25">
      <c r="A6223" s="205" t="s">
        <v>6853</v>
      </c>
      <c r="B6223" s="206">
        <v>98509</v>
      </c>
      <c r="C6223" s="207" t="s">
        <v>6857</v>
      </c>
      <c r="D6223" s="208" t="s">
        <v>580</v>
      </c>
      <c r="E6223" s="209">
        <v>36.06</v>
      </c>
      <c r="F6223" s="209">
        <v>1.26</v>
      </c>
      <c r="G6223" s="209">
        <v>37.32</v>
      </c>
      <c r="H6223" s="198"/>
    </row>
    <row r="6224" spans="1:8" ht="15.75" hidden="1" customHeight="1" x14ac:dyDescent="0.25">
      <c r="A6224" s="205" t="s">
        <v>6853</v>
      </c>
      <c r="B6224" s="206">
        <v>98505</v>
      </c>
      <c r="C6224" s="207" t="s">
        <v>6858</v>
      </c>
      <c r="D6224" s="208" t="s">
        <v>578</v>
      </c>
      <c r="E6224" s="209">
        <v>52.55</v>
      </c>
      <c r="F6224" s="209">
        <v>5.98</v>
      </c>
      <c r="G6224" s="209">
        <v>58.53</v>
      </c>
      <c r="H6224" s="198"/>
    </row>
    <row r="6225" spans="1:8" ht="15.75" hidden="1" customHeight="1" x14ac:dyDescent="0.25">
      <c r="A6225" s="205" t="s">
        <v>6853</v>
      </c>
      <c r="B6225" s="206">
        <v>98504</v>
      </c>
      <c r="C6225" s="207" t="s">
        <v>6859</v>
      </c>
      <c r="D6225" s="208" t="s">
        <v>578</v>
      </c>
      <c r="E6225" s="209">
        <v>8.31</v>
      </c>
      <c r="F6225" s="209">
        <v>3.26</v>
      </c>
      <c r="G6225" s="209">
        <v>11.57</v>
      </c>
      <c r="H6225" s="198"/>
    </row>
    <row r="6226" spans="1:8" ht="15.75" hidden="1" customHeight="1" x14ac:dyDescent="0.25">
      <c r="A6226" s="205" t="s">
        <v>6853</v>
      </c>
      <c r="B6226" s="206">
        <v>98503</v>
      </c>
      <c r="C6226" s="207" t="s">
        <v>6860</v>
      </c>
      <c r="D6226" s="208" t="s">
        <v>578</v>
      </c>
      <c r="E6226" s="209">
        <v>16.05</v>
      </c>
      <c r="F6226" s="209">
        <v>4.0199999999999996</v>
      </c>
      <c r="G6226" s="209">
        <v>20.07</v>
      </c>
      <c r="H6226" s="198"/>
    </row>
    <row r="6227" spans="1:8" ht="15.75" hidden="1" customHeight="1" x14ac:dyDescent="0.25">
      <c r="A6227" s="205" t="s">
        <v>6853</v>
      </c>
      <c r="B6227" s="206">
        <v>103946</v>
      </c>
      <c r="C6227" s="207" t="s">
        <v>6861</v>
      </c>
      <c r="D6227" s="208" t="s">
        <v>578</v>
      </c>
      <c r="E6227" s="209">
        <v>11.03</v>
      </c>
      <c r="F6227" s="209">
        <v>3.26</v>
      </c>
      <c r="G6227" s="209">
        <v>14.29</v>
      </c>
      <c r="H6227" s="198"/>
    </row>
    <row r="6228" spans="1:8" ht="15.75" hidden="1" customHeight="1" x14ac:dyDescent="0.25">
      <c r="A6228" s="205" t="s">
        <v>6853</v>
      </c>
      <c r="B6228" s="206">
        <v>98516</v>
      </c>
      <c r="C6228" s="207" t="s">
        <v>6862</v>
      </c>
      <c r="D6228" s="208" t="s">
        <v>580</v>
      </c>
      <c r="E6228" s="209">
        <v>210.64</v>
      </c>
      <c r="F6228" s="209">
        <v>107.92</v>
      </c>
      <c r="G6228" s="209">
        <v>318.56</v>
      </c>
      <c r="H6228" s="198"/>
    </row>
    <row r="6229" spans="1:8" ht="15.75" hidden="1" customHeight="1" x14ac:dyDescent="0.25">
      <c r="A6229" s="205" t="s">
        <v>6853</v>
      </c>
      <c r="B6229" s="206">
        <v>98511</v>
      </c>
      <c r="C6229" s="207" t="s">
        <v>6863</v>
      </c>
      <c r="D6229" s="208" t="s">
        <v>580</v>
      </c>
      <c r="E6229" s="209">
        <v>100.29</v>
      </c>
      <c r="F6229" s="209">
        <v>28.59</v>
      </c>
      <c r="G6229" s="209">
        <v>128.88</v>
      </c>
      <c r="H6229" s="198"/>
    </row>
    <row r="6230" spans="1:8" ht="15.75" hidden="1" customHeight="1" x14ac:dyDescent="0.25">
      <c r="A6230" s="205" t="s">
        <v>6853</v>
      </c>
      <c r="B6230" s="206">
        <v>98510</v>
      </c>
      <c r="C6230" s="207" t="s">
        <v>6864</v>
      </c>
      <c r="D6230" s="208" t="s">
        <v>580</v>
      </c>
      <c r="E6230" s="209">
        <v>54.02</v>
      </c>
      <c r="F6230" s="209">
        <v>24.99</v>
      </c>
      <c r="G6230" s="209">
        <v>79.010000000000005</v>
      </c>
      <c r="H6230" s="198"/>
    </row>
    <row r="6231" spans="1:8" ht="15.75" hidden="1" customHeight="1" x14ac:dyDescent="0.25">
      <c r="A6231" s="205" t="s">
        <v>6853</v>
      </c>
      <c r="B6231" s="206">
        <v>98519</v>
      </c>
      <c r="C6231" s="207" t="s">
        <v>6865</v>
      </c>
      <c r="D6231" s="208" t="s">
        <v>578</v>
      </c>
      <c r="E6231" s="209">
        <v>1.55</v>
      </c>
      <c r="F6231" s="209">
        <v>3.29</v>
      </c>
      <c r="G6231" s="209">
        <v>4.84</v>
      </c>
      <c r="H6231" s="198"/>
    </row>
    <row r="6232" spans="1:8" ht="15.75" hidden="1" customHeight="1" x14ac:dyDescent="0.25">
      <c r="A6232" s="205" t="s">
        <v>6866</v>
      </c>
      <c r="B6232" s="206">
        <v>91599</v>
      </c>
      <c r="C6232" s="207" t="s">
        <v>6867</v>
      </c>
      <c r="D6232" s="208" t="s">
        <v>823</v>
      </c>
      <c r="E6232" s="209">
        <v>8.8800000000000008</v>
      </c>
      <c r="F6232" s="209">
        <v>0.39</v>
      </c>
      <c r="G6232" s="209">
        <v>9.27</v>
      </c>
      <c r="H6232" s="198"/>
    </row>
    <row r="6233" spans="1:8" ht="15.75" hidden="1" customHeight="1" x14ac:dyDescent="0.25">
      <c r="A6233" s="205" t="s">
        <v>6866</v>
      </c>
      <c r="B6233" s="206">
        <v>91597</v>
      </c>
      <c r="C6233" s="207" t="s">
        <v>6868</v>
      </c>
      <c r="D6233" s="208" t="s">
        <v>823</v>
      </c>
      <c r="E6233" s="209">
        <v>8.57</v>
      </c>
      <c r="F6233" s="209">
        <v>0.31</v>
      </c>
      <c r="G6233" s="209">
        <v>8.8800000000000008</v>
      </c>
      <c r="H6233" s="198"/>
    </row>
    <row r="6234" spans="1:8" ht="15.75" hidden="1" customHeight="1" x14ac:dyDescent="0.25">
      <c r="A6234" s="205" t="s">
        <v>6866</v>
      </c>
      <c r="B6234" s="206">
        <v>91598</v>
      </c>
      <c r="C6234" s="207" t="s">
        <v>6869</v>
      </c>
      <c r="D6234" s="208" t="s">
        <v>823</v>
      </c>
      <c r="E6234" s="209">
        <v>11.2</v>
      </c>
      <c r="F6234" s="209">
        <v>0.37</v>
      </c>
      <c r="G6234" s="209">
        <v>11.57</v>
      </c>
      <c r="H6234" s="198"/>
    </row>
    <row r="6235" spans="1:8" ht="15.75" hidden="1" customHeight="1" x14ac:dyDescent="0.25">
      <c r="A6235" s="205" t="s">
        <v>6866</v>
      </c>
      <c r="B6235" s="206">
        <v>91596</v>
      </c>
      <c r="C6235" s="207" t="s">
        <v>6870</v>
      </c>
      <c r="D6235" s="208" t="s">
        <v>823</v>
      </c>
      <c r="E6235" s="209">
        <v>11.61</v>
      </c>
      <c r="F6235" s="209">
        <v>0.3</v>
      </c>
      <c r="G6235" s="209">
        <v>11.91</v>
      </c>
      <c r="H6235" s="198"/>
    </row>
    <row r="6236" spans="1:8" ht="15.75" hidden="1" customHeight="1" x14ac:dyDescent="0.25">
      <c r="A6236" s="205" t="s">
        <v>6866</v>
      </c>
      <c r="B6236" s="206">
        <v>100064</v>
      </c>
      <c r="C6236" s="207" t="s">
        <v>6871</v>
      </c>
      <c r="D6236" s="208" t="s">
        <v>823</v>
      </c>
      <c r="E6236" s="209">
        <v>11.56</v>
      </c>
      <c r="F6236" s="209">
        <v>0.26</v>
      </c>
      <c r="G6236" s="209">
        <v>11.82</v>
      </c>
      <c r="H6236" s="198"/>
    </row>
    <row r="6237" spans="1:8" ht="15.75" hidden="1" customHeight="1" x14ac:dyDescent="0.25">
      <c r="A6237" s="205" t="s">
        <v>6866</v>
      </c>
      <c r="B6237" s="206">
        <v>100066</v>
      </c>
      <c r="C6237" s="207" t="s">
        <v>6872</v>
      </c>
      <c r="D6237" s="208" t="s">
        <v>823</v>
      </c>
      <c r="E6237" s="209">
        <v>11.63</v>
      </c>
      <c r="F6237" s="209">
        <v>0.22</v>
      </c>
      <c r="G6237" s="209">
        <v>11.85</v>
      </c>
      <c r="H6237" s="198"/>
    </row>
    <row r="6238" spans="1:8" ht="15.75" hidden="1" customHeight="1" x14ac:dyDescent="0.25">
      <c r="A6238" s="205" t="s">
        <v>6866</v>
      </c>
      <c r="B6238" s="206">
        <v>91603</v>
      </c>
      <c r="C6238" s="207" t="s">
        <v>6873</v>
      </c>
      <c r="D6238" s="208" t="s">
        <v>823</v>
      </c>
      <c r="E6238" s="209">
        <v>9.18</v>
      </c>
      <c r="F6238" s="209">
        <v>0.94</v>
      </c>
      <c r="G6238" s="209">
        <v>10.119999999999999</v>
      </c>
      <c r="H6238" s="198"/>
    </row>
    <row r="6239" spans="1:8" ht="15.75" hidden="1" customHeight="1" x14ac:dyDescent="0.25">
      <c r="A6239" s="205" t="s">
        <v>6866</v>
      </c>
      <c r="B6239" s="206">
        <v>100068</v>
      </c>
      <c r="C6239" s="207" t="s">
        <v>6874</v>
      </c>
      <c r="D6239" s="208" t="s">
        <v>823</v>
      </c>
      <c r="E6239" s="209">
        <v>7.97</v>
      </c>
      <c r="F6239" s="209">
        <v>0.72</v>
      </c>
      <c r="G6239" s="209">
        <v>8.69</v>
      </c>
      <c r="H6239" s="198"/>
    </row>
    <row r="6240" spans="1:8" ht="15.75" hidden="1" customHeight="1" x14ac:dyDescent="0.25">
      <c r="A6240" s="205" t="s">
        <v>6866</v>
      </c>
      <c r="B6240" s="206">
        <v>100067</v>
      </c>
      <c r="C6240" s="207" t="s">
        <v>6875</v>
      </c>
      <c r="D6240" s="208" t="s">
        <v>823</v>
      </c>
      <c r="E6240" s="209">
        <v>9.51</v>
      </c>
      <c r="F6240" s="209">
        <v>3.13</v>
      </c>
      <c r="G6240" s="209">
        <v>12.64</v>
      </c>
      <c r="H6240" s="198"/>
    </row>
    <row r="6241" spans="1:8" ht="15.75" hidden="1" customHeight="1" x14ac:dyDescent="0.25">
      <c r="A6241" s="205" t="s">
        <v>6866</v>
      </c>
      <c r="B6241" s="206">
        <v>91601</v>
      </c>
      <c r="C6241" s="207" t="s">
        <v>6876</v>
      </c>
      <c r="D6241" s="208" t="s">
        <v>823</v>
      </c>
      <c r="E6241" s="209">
        <v>10.23</v>
      </c>
      <c r="F6241" s="209">
        <v>2.5099999999999998</v>
      </c>
      <c r="G6241" s="209">
        <v>12.74</v>
      </c>
      <c r="H6241" s="198"/>
    </row>
    <row r="6242" spans="1:8" ht="15.75" hidden="1" customHeight="1" x14ac:dyDescent="0.25">
      <c r="A6242" s="205" t="s">
        <v>6866</v>
      </c>
      <c r="B6242" s="206">
        <v>91602</v>
      </c>
      <c r="C6242" s="207" t="s">
        <v>6877</v>
      </c>
      <c r="D6242" s="208" t="s">
        <v>823</v>
      </c>
      <c r="E6242" s="209">
        <v>9.93</v>
      </c>
      <c r="F6242" s="209">
        <v>1.62</v>
      </c>
      <c r="G6242" s="209">
        <v>11.55</v>
      </c>
      <c r="H6242" s="198"/>
    </row>
    <row r="6243" spans="1:8" ht="15.75" hidden="1" customHeight="1" x14ac:dyDescent="0.25">
      <c r="A6243" s="205" t="s">
        <v>6866</v>
      </c>
      <c r="B6243" s="206">
        <v>91593</v>
      </c>
      <c r="C6243" s="207" t="s">
        <v>6878</v>
      </c>
      <c r="D6243" s="208" t="s">
        <v>823</v>
      </c>
      <c r="E6243" s="209">
        <v>11.52</v>
      </c>
      <c r="F6243" s="209">
        <v>0.48</v>
      </c>
      <c r="G6243" s="209">
        <v>12</v>
      </c>
      <c r="H6243" s="198"/>
    </row>
    <row r="6244" spans="1:8" ht="15.75" hidden="1" customHeight="1" x14ac:dyDescent="0.25">
      <c r="A6244" s="205" t="s">
        <v>6866</v>
      </c>
      <c r="B6244" s="206">
        <v>105814</v>
      </c>
      <c r="C6244" s="207" t="s">
        <v>6879</v>
      </c>
      <c r="D6244" s="208" t="s">
        <v>823</v>
      </c>
      <c r="E6244" s="209">
        <v>11.42</v>
      </c>
      <c r="F6244" s="209">
        <v>0.23</v>
      </c>
      <c r="G6244" s="209">
        <v>11.65</v>
      </c>
      <c r="H6244" s="198"/>
    </row>
    <row r="6245" spans="1:8" ht="15.75" hidden="1" customHeight="1" x14ac:dyDescent="0.25">
      <c r="A6245" s="205" t="s">
        <v>6866</v>
      </c>
      <c r="B6245" s="206">
        <v>91594</v>
      </c>
      <c r="C6245" s="207" t="s">
        <v>6880</v>
      </c>
      <c r="D6245" s="208" t="s">
        <v>823</v>
      </c>
      <c r="E6245" s="209">
        <v>11.56</v>
      </c>
      <c r="F6245" s="209">
        <v>0.44</v>
      </c>
      <c r="G6245" s="209">
        <v>12</v>
      </c>
      <c r="H6245" s="198"/>
    </row>
    <row r="6246" spans="1:8" ht="15.75" hidden="1" customHeight="1" x14ac:dyDescent="0.25">
      <c r="A6246" s="205" t="s">
        <v>6866</v>
      </c>
      <c r="B6246" s="206">
        <v>91595</v>
      </c>
      <c r="C6246" s="207" t="s">
        <v>6881</v>
      </c>
      <c r="D6246" s="208" t="s">
        <v>823</v>
      </c>
      <c r="E6246" s="209">
        <v>11.67</v>
      </c>
      <c r="F6246" s="209">
        <v>0.66</v>
      </c>
      <c r="G6246" s="209">
        <v>12.33</v>
      </c>
      <c r="H6246" s="198"/>
    </row>
    <row r="6247" spans="1:8" ht="15.75" hidden="1" customHeight="1" x14ac:dyDescent="0.25">
      <c r="A6247" s="205" t="s">
        <v>6866</v>
      </c>
      <c r="B6247" s="206">
        <v>91600</v>
      </c>
      <c r="C6247" s="207" t="s">
        <v>6882</v>
      </c>
      <c r="D6247" s="208" t="s">
        <v>823</v>
      </c>
      <c r="E6247" s="209">
        <v>12.07</v>
      </c>
      <c r="F6247" s="209">
        <v>1.41</v>
      </c>
      <c r="G6247" s="209">
        <v>13.48</v>
      </c>
      <c r="H6247" s="198"/>
    </row>
    <row r="6248" spans="1:8" ht="15.75" hidden="1" customHeight="1" x14ac:dyDescent="0.25">
      <c r="A6248" s="205" t="s">
        <v>6883</v>
      </c>
      <c r="B6248" s="206">
        <v>99235</v>
      </c>
      <c r="C6248" s="207" t="s">
        <v>6884</v>
      </c>
      <c r="D6248" s="208" t="s">
        <v>664</v>
      </c>
      <c r="E6248" s="209">
        <v>587.11</v>
      </c>
      <c r="F6248" s="209">
        <v>18.149999999999999</v>
      </c>
      <c r="G6248" s="209">
        <v>605.26</v>
      </c>
      <c r="H6248" s="198"/>
    </row>
    <row r="6249" spans="1:8" ht="15.75" hidden="1" customHeight="1" x14ac:dyDescent="0.25">
      <c r="A6249" s="205" t="s">
        <v>6883</v>
      </c>
      <c r="B6249" s="206">
        <v>99439</v>
      </c>
      <c r="C6249" s="207" t="s">
        <v>6885</v>
      </c>
      <c r="D6249" s="208" t="s">
        <v>664</v>
      </c>
      <c r="E6249" s="209">
        <v>641.66</v>
      </c>
      <c r="F6249" s="209">
        <v>28.76</v>
      </c>
      <c r="G6249" s="209">
        <v>670.42</v>
      </c>
      <c r="H6249" s="198"/>
    </row>
    <row r="6250" spans="1:8" ht="15.75" hidden="1" customHeight="1" x14ac:dyDescent="0.25">
      <c r="A6250" s="205" t="s">
        <v>6883</v>
      </c>
      <c r="B6250" s="206">
        <v>103184</v>
      </c>
      <c r="C6250" s="207" t="s">
        <v>6886</v>
      </c>
      <c r="D6250" s="208" t="s">
        <v>664</v>
      </c>
      <c r="E6250" s="209">
        <v>594.36</v>
      </c>
      <c r="F6250" s="209">
        <v>38.340000000000003</v>
      </c>
      <c r="G6250" s="209">
        <v>632.70000000000005</v>
      </c>
      <c r="H6250" s="198"/>
    </row>
    <row r="6251" spans="1:8" ht="15.75" hidden="1" customHeight="1" x14ac:dyDescent="0.25">
      <c r="A6251" s="205" t="s">
        <v>6883</v>
      </c>
      <c r="B6251" s="206">
        <v>103183</v>
      </c>
      <c r="C6251" s="207" t="s">
        <v>6887</v>
      </c>
      <c r="D6251" s="208" t="s">
        <v>664</v>
      </c>
      <c r="E6251" s="209">
        <v>667.95</v>
      </c>
      <c r="F6251" s="209">
        <v>97.6</v>
      </c>
      <c r="G6251" s="209">
        <v>765.55</v>
      </c>
      <c r="H6251" s="198"/>
    </row>
    <row r="6252" spans="1:8" ht="15.75" hidden="1" customHeight="1" x14ac:dyDescent="0.25">
      <c r="A6252" s="205" t="s">
        <v>6883</v>
      </c>
      <c r="B6252" s="206">
        <v>99434</v>
      </c>
      <c r="C6252" s="207" t="s">
        <v>6888</v>
      </c>
      <c r="D6252" s="208" t="s">
        <v>664</v>
      </c>
      <c r="E6252" s="209">
        <v>651.89</v>
      </c>
      <c r="F6252" s="209">
        <v>31.07</v>
      </c>
      <c r="G6252" s="209">
        <v>682.96</v>
      </c>
      <c r="H6252" s="198"/>
    </row>
    <row r="6253" spans="1:8" ht="15.75" hidden="1" customHeight="1" x14ac:dyDescent="0.25">
      <c r="A6253" s="205" t="s">
        <v>6883</v>
      </c>
      <c r="B6253" s="206">
        <v>99431</v>
      </c>
      <c r="C6253" s="207" t="s">
        <v>6889</v>
      </c>
      <c r="D6253" s="208" t="s">
        <v>664</v>
      </c>
      <c r="E6253" s="209">
        <v>650.51</v>
      </c>
      <c r="F6253" s="209">
        <v>27.66</v>
      </c>
      <c r="G6253" s="209">
        <v>678.17</v>
      </c>
      <c r="H6253" s="198"/>
    </row>
    <row r="6254" spans="1:8" ht="15.75" hidden="1" customHeight="1" x14ac:dyDescent="0.25">
      <c r="A6254" s="205" t="s">
        <v>6883</v>
      </c>
      <c r="B6254" s="206">
        <v>99435</v>
      </c>
      <c r="C6254" s="207" t="s">
        <v>6890</v>
      </c>
      <c r="D6254" s="208" t="s">
        <v>664</v>
      </c>
      <c r="E6254" s="209">
        <v>637.47</v>
      </c>
      <c r="F6254" s="209">
        <v>28.36</v>
      </c>
      <c r="G6254" s="209">
        <v>665.83</v>
      </c>
      <c r="H6254" s="198"/>
    </row>
    <row r="6255" spans="1:8" ht="15.75" hidden="1" customHeight="1" x14ac:dyDescent="0.25">
      <c r="A6255" s="205" t="s">
        <v>6883</v>
      </c>
      <c r="B6255" s="206">
        <v>99432</v>
      </c>
      <c r="C6255" s="207" t="s">
        <v>6891</v>
      </c>
      <c r="D6255" s="208" t="s">
        <v>664</v>
      </c>
      <c r="E6255" s="209">
        <v>636.57000000000005</v>
      </c>
      <c r="F6255" s="209">
        <v>25.83</v>
      </c>
      <c r="G6255" s="209">
        <v>662.4</v>
      </c>
      <c r="H6255" s="198"/>
    </row>
    <row r="6256" spans="1:8" ht="15.75" hidden="1" customHeight="1" x14ac:dyDescent="0.25">
      <c r="A6256" s="205" t="s">
        <v>6883</v>
      </c>
      <c r="B6256" s="206">
        <v>99438</v>
      </c>
      <c r="C6256" s="207" t="s">
        <v>6892</v>
      </c>
      <c r="D6256" s="208" t="s">
        <v>664</v>
      </c>
      <c r="E6256" s="209">
        <v>624.42999999999995</v>
      </c>
      <c r="F6256" s="209">
        <v>30.03</v>
      </c>
      <c r="G6256" s="209">
        <v>654.46</v>
      </c>
      <c r="H6256" s="198"/>
    </row>
    <row r="6257" spans="1:8" ht="15.75" hidden="1" customHeight="1" x14ac:dyDescent="0.25">
      <c r="A6257" s="205" t="s">
        <v>6883</v>
      </c>
      <c r="B6257" s="206">
        <v>99436</v>
      </c>
      <c r="C6257" s="207" t="s">
        <v>6893</v>
      </c>
      <c r="D6257" s="208" t="s">
        <v>664</v>
      </c>
      <c r="E6257" s="209">
        <v>690.09</v>
      </c>
      <c r="F6257" s="209">
        <v>61.39</v>
      </c>
      <c r="G6257" s="209">
        <v>751.48</v>
      </c>
      <c r="H6257" s="198"/>
    </row>
    <row r="6258" spans="1:8" ht="15.75" hidden="1" customHeight="1" x14ac:dyDescent="0.25">
      <c r="A6258" s="205" t="s">
        <v>6883</v>
      </c>
      <c r="B6258" s="206">
        <v>99437</v>
      </c>
      <c r="C6258" s="207" t="s">
        <v>6894</v>
      </c>
      <c r="D6258" s="208" t="s">
        <v>664</v>
      </c>
      <c r="E6258" s="209">
        <v>621.98</v>
      </c>
      <c r="F6258" s="209">
        <v>23.42</v>
      </c>
      <c r="G6258" s="209">
        <v>645.4</v>
      </c>
      <c r="H6258" s="198"/>
    </row>
    <row r="6259" spans="1:8" ht="15.75" hidden="1" customHeight="1" x14ac:dyDescent="0.25">
      <c r="A6259" s="205" t="s">
        <v>6883</v>
      </c>
      <c r="B6259" s="206">
        <v>99433</v>
      </c>
      <c r="C6259" s="207" t="s">
        <v>6895</v>
      </c>
      <c r="D6259" s="208" t="s">
        <v>664</v>
      </c>
      <c r="E6259" s="209">
        <v>682.52</v>
      </c>
      <c r="F6259" s="209">
        <v>41.63</v>
      </c>
      <c r="G6259" s="209">
        <v>724.15</v>
      </c>
      <c r="H6259" s="198"/>
    </row>
    <row r="6260" spans="1:8" ht="15.75" hidden="1" customHeight="1" x14ac:dyDescent="0.25">
      <c r="A6260" s="205" t="s">
        <v>6896</v>
      </c>
      <c r="B6260" s="206">
        <v>104422</v>
      </c>
      <c r="C6260" s="207" t="s">
        <v>6897</v>
      </c>
      <c r="D6260" s="208" t="s">
        <v>578</v>
      </c>
      <c r="E6260" s="209">
        <v>6.02</v>
      </c>
      <c r="F6260" s="209">
        <v>5.68</v>
      </c>
      <c r="G6260" s="209">
        <v>11.7</v>
      </c>
      <c r="H6260" s="198"/>
    </row>
    <row r="6261" spans="1:8" ht="15.75" hidden="1" customHeight="1" x14ac:dyDescent="0.25">
      <c r="A6261" s="205" t="s">
        <v>6896</v>
      </c>
      <c r="B6261" s="206">
        <v>105824</v>
      </c>
      <c r="C6261" s="207" t="s">
        <v>6898</v>
      </c>
      <c r="D6261" s="208" t="s">
        <v>578</v>
      </c>
      <c r="E6261" s="209">
        <v>8.98</v>
      </c>
      <c r="F6261" s="209">
        <v>5.67</v>
      </c>
      <c r="G6261" s="209">
        <v>14.65</v>
      </c>
      <c r="H6261" s="198"/>
    </row>
    <row r="6262" spans="1:8" ht="15.75" hidden="1" customHeight="1" x14ac:dyDescent="0.25">
      <c r="A6262" s="205" t="s">
        <v>6896</v>
      </c>
      <c r="B6262" s="206">
        <v>105825</v>
      </c>
      <c r="C6262" s="207" t="s">
        <v>6899</v>
      </c>
      <c r="D6262" s="208" t="s">
        <v>578</v>
      </c>
      <c r="E6262" s="209">
        <v>2.5499999999999998</v>
      </c>
      <c r="F6262" s="209">
        <v>5.77</v>
      </c>
      <c r="G6262" s="209">
        <v>8.32</v>
      </c>
      <c r="H6262" s="198"/>
    </row>
    <row r="6263" spans="1:8" ht="15.75" hidden="1" customHeight="1" x14ac:dyDescent="0.25">
      <c r="A6263" s="205" t="s">
        <v>6896</v>
      </c>
      <c r="B6263" s="206">
        <v>104421</v>
      </c>
      <c r="C6263" s="207" t="s">
        <v>6900</v>
      </c>
      <c r="D6263" s="208" t="s">
        <v>578</v>
      </c>
      <c r="E6263" s="209">
        <v>7.84</v>
      </c>
      <c r="F6263" s="209">
        <v>10.68</v>
      </c>
      <c r="G6263" s="209">
        <v>18.52</v>
      </c>
      <c r="H6263" s="198"/>
    </row>
    <row r="6264" spans="1:8" ht="15.75" hidden="1" customHeight="1" x14ac:dyDescent="0.25">
      <c r="A6264" s="205" t="s">
        <v>6896</v>
      </c>
      <c r="B6264" s="206">
        <v>105822</v>
      </c>
      <c r="C6264" s="207" t="s">
        <v>6901</v>
      </c>
      <c r="D6264" s="208" t="s">
        <v>578</v>
      </c>
      <c r="E6264" s="209">
        <v>10.79</v>
      </c>
      <c r="F6264" s="209">
        <v>10.68</v>
      </c>
      <c r="G6264" s="209">
        <v>21.47</v>
      </c>
      <c r="H6264" s="198"/>
    </row>
    <row r="6265" spans="1:8" ht="15.75" hidden="1" customHeight="1" x14ac:dyDescent="0.25">
      <c r="A6265" s="205" t="s">
        <v>6896</v>
      </c>
      <c r="B6265" s="206">
        <v>105823</v>
      </c>
      <c r="C6265" s="207" t="s">
        <v>6902</v>
      </c>
      <c r="D6265" s="208" t="s">
        <v>578</v>
      </c>
      <c r="E6265" s="209">
        <v>4.3499999999999996</v>
      </c>
      <c r="F6265" s="209">
        <v>10.79</v>
      </c>
      <c r="G6265" s="209">
        <v>15.14</v>
      </c>
      <c r="H6265" s="198"/>
    </row>
    <row r="6266" spans="1:8" ht="15.75" hidden="1" customHeight="1" x14ac:dyDescent="0.25">
      <c r="A6266" s="205" t="s">
        <v>6896</v>
      </c>
      <c r="B6266" s="206">
        <v>104423</v>
      </c>
      <c r="C6266" s="207" t="s">
        <v>6903</v>
      </c>
      <c r="D6266" s="208" t="s">
        <v>578</v>
      </c>
      <c r="E6266" s="209">
        <v>7.28</v>
      </c>
      <c r="F6266" s="209">
        <v>9.1999999999999993</v>
      </c>
      <c r="G6266" s="209">
        <v>16.48</v>
      </c>
      <c r="H6266" s="198"/>
    </row>
    <row r="6267" spans="1:8" ht="15.75" hidden="1" customHeight="1" x14ac:dyDescent="0.25">
      <c r="A6267" s="205" t="s">
        <v>6896</v>
      </c>
      <c r="B6267" s="206">
        <v>105826</v>
      </c>
      <c r="C6267" s="207" t="s">
        <v>6904</v>
      </c>
      <c r="D6267" s="208" t="s">
        <v>578</v>
      </c>
      <c r="E6267" s="209">
        <v>10.23</v>
      </c>
      <c r="F6267" s="209">
        <v>9.1999999999999993</v>
      </c>
      <c r="G6267" s="209">
        <v>19.43</v>
      </c>
      <c r="H6267" s="198"/>
    </row>
    <row r="6268" spans="1:8" ht="15.75" hidden="1" customHeight="1" x14ac:dyDescent="0.25">
      <c r="A6268" s="205" t="s">
        <v>6896</v>
      </c>
      <c r="B6268" s="206">
        <v>105827</v>
      </c>
      <c r="C6268" s="207" t="s">
        <v>6905</v>
      </c>
      <c r="D6268" s="208" t="s">
        <v>578</v>
      </c>
      <c r="E6268" s="209">
        <v>3.81</v>
      </c>
      <c r="F6268" s="209">
        <v>9.2899999999999991</v>
      </c>
      <c r="G6268" s="209">
        <v>13.1</v>
      </c>
      <c r="H6268" s="198"/>
    </row>
    <row r="6269" spans="1:8" ht="15.75" hidden="1" customHeight="1" x14ac:dyDescent="0.25">
      <c r="A6269" s="205" t="s">
        <v>6896</v>
      </c>
      <c r="B6269" s="206">
        <v>104425</v>
      </c>
      <c r="C6269" s="207" t="s">
        <v>6906</v>
      </c>
      <c r="D6269" s="208" t="s">
        <v>578</v>
      </c>
      <c r="E6269" s="209">
        <v>5.49</v>
      </c>
      <c r="F6269" s="209">
        <v>4.1500000000000004</v>
      </c>
      <c r="G6269" s="209">
        <v>9.64</v>
      </c>
      <c r="H6269" s="198"/>
    </row>
    <row r="6270" spans="1:8" ht="15.75" hidden="1" customHeight="1" x14ac:dyDescent="0.25">
      <c r="A6270" s="205" t="s">
        <v>6896</v>
      </c>
      <c r="B6270" s="206">
        <v>105828</v>
      </c>
      <c r="C6270" s="207" t="s">
        <v>6907</v>
      </c>
      <c r="D6270" s="208" t="s">
        <v>578</v>
      </c>
      <c r="E6270" s="209">
        <v>8.44</v>
      </c>
      <c r="F6270" s="209">
        <v>4.1500000000000004</v>
      </c>
      <c r="G6270" s="209">
        <v>12.59</v>
      </c>
      <c r="H6270" s="198"/>
    </row>
    <row r="6271" spans="1:8" ht="15.75" hidden="1" customHeight="1" x14ac:dyDescent="0.25">
      <c r="A6271" s="205" t="s">
        <v>6896</v>
      </c>
      <c r="B6271" s="206">
        <v>105829</v>
      </c>
      <c r="C6271" s="207" t="s">
        <v>6908</v>
      </c>
      <c r="D6271" s="208" t="s">
        <v>578</v>
      </c>
      <c r="E6271" s="209">
        <v>2.0099999999999998</v>
      </c>
      <c r="F6271" s="209">
        <v>4.25</v>
      </c>
      <c r="G6271" s="209">
        <v>6.26</v>
      </c>
      <c r="H6271" s="198"/>
    </row>
    <row r="6272" spans="1:8" ht="15.75" hidden="1" customHeight="1" x14ac:dyDescent="0.25">
      <c r="A6272" s="205" t="s">
        <v>6896</v>
      </c>
      <c r="B6272" s="206">
        <v>91525</v>
      </c>
      <c r="C6272" s="207" t="s">
        <v>6909</v>
      </c>
      <c r="D6272" s="208" t="s">
        <v>578</v>
      </c>
      <c r="E6272" s="209">
        <v>3.98</v>
      </c>
      <c r="F6272" s="209">
        <v>4.42</v>
      </c>
      <c r="G6272" s="209">
        <v>8.4</v>
      </c>
      <c r="H6272" s="198"/>
    </row>
    <row r="6273" spans="1:8" ht="15.75" hidden="1" customHeight="1" x14ac:dyDescent="0.25">
      <c r="A6273" s="205" t="s">
        <v>6896</v>
      </c>
      <c r="B6273" s="206">
        <v>105818</v>
      </c>
      <c r="C6273" s="207" t="s">
        <v>6910</v>
      </c>
      <c r="D6273" s="208" t="s">
        <v>578</v>
      </c>
      <c r="E6273" s="209">
        <v>8.52</v>
      </c>
      <c r="F6273" s="209">
        <v>4.41</v>
      </c>
      <c r="G6273" s="209">
        <v>12.93</v>
      </c>
      <c r="H6273" s="198"/>
    </row>
    <row r="6274" spans="1:8" ht="15.75" hidden="1" customHeight="1" x14ac:dyDescent="0.25">
      <c r="A6274" s="205" t="s">
        <v>6896</v>
      </c>
      <c r="B6274" s="206">
        <v>105819</v>
      </c>
      <c r="C6274" s="207" t="s">
        <v>6911</v>
      </c>
      <c r="D6274" s="208" t="s">
        <v>578</v>
      </c>
      <c r="E6274" s="209">
        <v>2.0699999999999998</v>
      </c>
      <c r="F6274" s="209">
        <v>4.5599999999999996</v>
      </c>
      <c r="G6274" s="209">
        <v>6.63</v>
      </c>
      <c r="H6274" s="198"/>
    </row>
    <row r="6275" spans="1:8" ht="15.75" hidden="1" customHeight="1" x14ac:dyDescent="0.25">
      <c r="A6275" s="205" t="s">
        <v>6896</v>
      </c>
      <c r="B6275" s="206">
        <v>104414</v>
      </c>
      <c r="C6275" s="207" t="s">
        <v>6912</v>
      </c>
      <c r="D6275" s="208" t="s">
        <v>578</v>
      </c>
      <c r="E6275" s="209">
        <v>3.71</v>
      </c>
      <c r="F6275" s="209">
        <v>3.61</v>
      </c>
      <c r="G6275" s="209">
        <v>7.32</v>
      </c>
      <c r="H6275" s="198"/>
    </row>
    <row r="6276" spans="1:8" ht="15.75" hidden="1" customHeight="1" x14ac:dyDescent="0.25">
      <c r="A6276" s="205" t="s">
        <v>6896</v>
      </c>
      <c r="B6276" s="206">
        <v>105816</v>
      </c>
      <c r="C6276" s="207" t="s">
        <v>6913</v>
      </c>
      <c r="D6276" s="208" t="s">
        <v>578</v>
      </c>
      <c r="E6276" s="209">
        <v>8.23</v>
      </c>
      <c r="F6276" s="209">
        <v>3.62</v>
      </c>
      <c r="G6276" s="209">
        <v>11.85</v>
      </c>
      <c r="H6276" s="198"/>
    </row>
    <row r="6277" spans="1:8" ht="15.75" hidden="1" customHeight="1" x14ac:dyDescent="0.25">
      <c r="A6277" s="205" t="s">
        <v>6896</v>
      </c>
      <c r="B6277" s="206">
        <v>105817</v>
      </c>
      <c r="C6277" s="207" t="s">
        <v>6914</v>
      </c>
      <c r="D6277" s="208" t="s">
        <v>578</v>
      </c>
      <c r="E6277" s="209">
        <v>1.79</v>
      </c>
      <c r="F6277" s="209">
        <v>3.76</v>
      </c>
      <c r="G6277" s="209">
        <v>5.55</v>
      </c>
      <c r="H6277" s="198"/>
    </row>
    <row r="6278" spans="1:8" ht="15.75" hidden="1" customHeight="1" x14ac:dyDescent="0.25">
      <c r="A6278" s="205" t="s">
        <v>6896</v>
      </c>
      <c r="B6278" s="206">
        <v>104415</v>
      </c>
      <c r="C6278" s="207" t="s">
        <v>6915</v>
      </c>
      <c r="D6278" s="208" t="s">
        <v>578</v>
      </c>
      <c r="E6278" s="209">
        <v>5.44</v>
      </c>
      <c r="F6278" s="209">
        <v>8.59</v>
      </c>
      <c r="G6278" s="209">
        <v>14.03</v>
      </c>
      <c r="H6278" s="198"/>
    </row>
    <row r="6279" spans="1:8" ht="15.75" hidden="1" customHeight="1" x14ac:dyDescent="0.25">
      <c r="A6279" s="205" t="s">
        <v>6896</v>
      </c>
      <c r="B6279" s="206">
        <v>105820</v>
      </c>
      <c r="C6279" s="207" t="s">
        <v>6916</v>
      </c>
      <c r="D6279" s="208" t="s">
        <v>578</v>
      </c>
      <c r="E6279" s="209">
        <v>9.98</v>
      </c>
      <c r="F6279" s="209">
        <v>8.58</v>
      </c>
      <c r="G6279" s="209">
        <v>18.559999999999999</v>
      </c>
      <c r="H6279" s="198"/>
    </row>
    <row r="6280" spans="1:8" ht="15.75" hidden="1" customHeight="1" x14ac:dyDescent="0.25">
      <c r="A6280" s="205" t="s">
        <v>6896</v>
      </c>
      <c r="B6280" s="206">
        <v>105821</v>
      </c>
      <c r="C6280" s="207" t="s">
        <v>6917</v>
      </c>
      <c r="D6280" s="208" t="s">
        <v>578</v>
      </c>
      <c r="E6280" s="209">
        <v>3.53</v>
      </c>
      <c r="F6280" s="209">
        <v>8.73</v>
      </c>
      <c r="G6280" s="209">
        <v>12.26</v>
      </c>
      <c r="H6280" s="198"/>
    </row>
    <row r="6281" spans="1:8" ht="15.75" hidden="1" customHeight="1" x14ac:dyDescent="0.25">
      <c r="A6281" s="205" t="s">
        <v>6896</v>
      </c>
      <c r="B6281" s="206">
        <v>104418</v>
      </c>
      <c r="C6281" s="207" t="s">
        <v>6918</v>
      </c>
      <c r="D6281" s="208" t="s">
        <v>578</v>
      </c>
      <c r="E6281" s="209">
        <v>1.03</v>
      </c>
      <c r="F6281" s="209">
        <v>2.35</v>
      </c>
      <c r="G6281" s="209">
        <v>3.38</v>
      </c>
      <c r="H6281" s="198"/>
    </row>
    <row r="6282" spans="1:8" ht="15.75" hidden="1" customHeight="1" x14ac:dyDescent="0.25">
      <c r="A6282" s="205" t="s">
        <v>6896</v>
      </c>
      <c r="B6282" s="206">
        <v>91515</v>
      </c>
      <c r="C6282" s="207" t="s">
        <v>6919</v>
      </c>
      <c r="D6282" s="208" t="s">
        <v>578</v>
      </c>
      <c r="E6282" s="209">
        <v>1.79</v>
      </c>
      <c r="F6282" s="209">
        <v>4.43</v>
      </c>
      <c r="G6282" s="209">
        <v>6.22</v>
      </c>
      <c r="H6282" s="198"/>
    </row>
    <row r="6283" spans="1:8" ht="15.75" hidden="1" customHeight="1" x14ac:dyDescent="0.25">
      <c r="A6283" s="205" t="s">
        <v>6896</v>
      </c>
      <c r="B6283" s="206">
        <v>104419</v>
      </c>
      <c r="C6283" s="207" t="s">
        <v>6920</v>
      </c>
      <c r="D6283" s="208" t="s">
        <v>578</v>
      </c>
      <c r="E6283" s="209">
        <v>1.57</v>
      </c>
      <c r="F6283" s="209">
        <v>3.81</v>
      </c>
      <c r="G6283" s="209">
        <v>5.38</v>
      </c>
      <c r="H6283" s="198"/>
    </row>
    <row r="6284" spans="1:8" ht="15.75" hidden="1" customHeight="1" x14ac:dyDescent="0.25">
      <c r="A6284" s="205" t="s">
        <v>6896</v>
      </c>
      <c r="B6284" s="206">
        <v>91519</v>
      </c>
      <c r="C6284" s="207" t="s">
        <v>6921</v>
      </c>
      <c r="D6284" s="208" t="s">
        <v>578</v>
      </c>
      <c r="E6284" s="209">
        <v>0.83</v>
      </c>
      <c r="F6284" s="209">
        <v>1.74</v>
      </c>
      <c r="G6284" s="209">
        <v>2.57</v>
      </c>
      <c r="H6284" s="198"/>
    </row>
    <row r="6285" spans="1:8" ht="15.75" hidden="1" customHeight="1" x14ac:dyDescent="0.25">
      <c r="A6285" s="205" t="s">
        <v>6896</v>
      </c>
      <c r="B6285" s="206">
        <v>91520</v>
      </c>
      <c r="C6285" s="207" t="s">
        <v>6922</v>
      </c>
      <c r="D6285" s="208" t="s">
        <v>578</v>
      </c>
      <c r="E6285" s="209">
        <v>0.78</v>
      </c>
      <c r="F6285" s="209">
        <v>1.84</v>
      </c>
      <c r="G6285" s="209">
        <v>2.62</v>
      </c>
      <c r="H6285" s="198"/>
    </row>
    <row r="6286" spans="1:8" ht="15.75" hidden="1" customHeight="1" x14ac:dyDescent="0.25">
      <c r="A6286" s="205" t="s">
        <v>6896</v>
      </c>
      <c r="B6286" s="206">
        <v>104416</v>
      </c>
      <c r="C6286" s="207" t="s">
        <v>6923</v>
      </c>
      <c r="D6286" s="208" t="s">
        <v>578</v>
      </c>
      <c r="E6286" s="209">
        <v>0.65</v>
      </c>
      <c r="F6286" s="209">
        <v>1.51</v>
      </c>
      <c r="G6286" s="209">
        <v>2.16</v>
      </c>
      <c r="H6286" s="198"/>
    </row>
    <row r="6287" spans="1:8" ht="15.75" hidden="1" customHeight="1" x14ac:dyDescent="0.25">
      <c r="A6287" s="205" t="s">
        <v>6896</v>
      </c>
      <c r="B6287" s="206">
        <v>104417</v>
      </c>
      <c r="C6287" s="207" t="s">
        <v>6924</v>
      </c>
      <c r="D6287" s="208" t="s">
        <v>578</v>
      </c>
      <c r="E6287" s="209">
        <v>1.38</v>
      </c>
      <c r="F6287" s="209">
        <v>3.54</v>
      </c>
      <c r="G6287" s="209">
        <v>4.92</v>
      </c>
      <c r="H6287" s="198"/>
    </row>
    <row r="6288" spans="1:8" ht="15.75" hidden="1" customHeight="1" x14ac:dyDescent="0.25">
      <c r="A6288" s="205" t="s">
        <v>6896</v>
      </c>
      <c r="B6288" s="206">
        <v>91522</v>
      </c>
      <c r="C6288" s="207" t="s">
        <v>6925</v>
      </c>
      <c r="D6288" s="208" t="s">
        <v>578</v>
      </c>
      <c r="E6288" s="209">
        <v>1.26</v>
      </c>
      <c r="F6288" s="209">
        <v>3.17</v>
      </c>
      <c r="G6288" s="209">
        <v>4.43</v>
      </c>
      <c r="H6288" s="198"/>
    </row>
    <row r="6289" spans="1:8" ht="15.75" hidden="1" customHeight="1" x14ac:dyDescent="0.25">
      <c r="A6289" s="205" t="s">
        <v>6896</v>
      </c>
      <c r="B6289" s="206">
        <v>104412</v>
      </c>
      <c r="C6289" s="207" t="s">
        <v>6926</v>
      </c>
      <c r="D6289" s="208" t="s">
        <v>578</v>
      </c>
      <c r="E6289" s="209">
        <v>1.1200000000000001</v>
      </c>
      <c r="F6289" s="209">
        <v>2.85</v>
      </c>
      <c r="G6289" s="209">
        <v>3.97</v>
      </c>
      <c r="H6289" s="198"/>
    </row>
    <row r="6290" spans="1:8" ht="15.75" hidden="1" customHeight="1" x14ac:dyDescent="0.25">
      <c r="A6290" s="205" t="s">
        <v>6896</v>
      </c>
      <c r="B6290" s="206">
        <v>104413</v>
      </c>
      <c r="C6290" s="207" t="s">
        <v>6927</v>
      </c>
      <c r="D6290" s="208" t="s">
        <v>578</v>
      </c>
      <c r="E6290" s="209">
        <v>1.86</v>
      </c>
      <c r="F6290" s="209">
        <v>4.91</v>
      </c>
      <c r="G6290" s="209">
        <v>6.77</v>
      </c>
      <c r="H6290" s="198"/>
    </row>
    <row r="6291" spans="1:8" ht="15.75" hidden="1" customHeight="1" x14ac:dyDescent="0.25">
      <c r="A6291" s="205" t="s">
        <v>6928</v>
      </c>
      <c r="B6291" s="206">
        <v>96374</v>
      </c>
      <c r="C6291" s="207" t="s">
        <v>6929</v>
      </c>
      <c r="D6291" s="208" t="s">
        <v>585</v>
      </c>
      <c r="E6291" s="209">
        <v>31.62</v>
      </c>
      <c r="F6291" s="209">
        <v>2.48</v>
      </c>
      <c r="G6291" s="209">
        <v>34.1</v>
      </c>
      <c r="H6291" s="198"/>
    </row>
    <row r="6292" spans="1:8" ht="15.75" hidden="1" customHeight="1" x14ac:dyDescent="0.25">
      <c r="A6292" s="205" t="s">
        <v>6928</v>
      </c>
      <c r="B6292" s="206">
        <v>96373</v>
      </c>
      <c r="C6292" s="207" t="s">
        <v>6930</v>
      </c>
      <c r="D6292" s="208" t="s">
        <v>585</v>
      </c>
      <c r="E6292" s="209">
        <v>9.69</v>
      </c>
      <c r="F6292" s="209">
        <v>2.0099999999999998</v>
      </c>
      <c r="G6292" s="209">
        <v>11.7</v>
      </c>
      <c r="H6292" s="198"/>
    </row>
    <row r="6293" spans="1:8" ht="15.75" hidden="1" customHeight="1" x14ac:dyDescent="0.25">
      <c r="A6293" s="205" t="s">
        <v>6928</v>
      </c>
      <c r="B6293" s="206">
        <v>96368</v>
      </c>
      <c r="C6293" s="207" t="s">
        <v>6931</v>
      </c>
      <c r="D6293" s="208" t="s">
        <v>578</v>
      </c>
      <c r="E6293" s="209">
        <v>160.49</v>
      </c>
      <c r="F6293" s="209">
        <v>24.42</v>
      </c>
      <c r="G6293" s="209">
        <v>184.91</v>
      </c>
      <c r="H6293" s="198"/>
    </row>
    <row r="6294" spans="1:8" ht="15.75" hidden="1" customHeight="1" x14ac:dyDescent="0.25">
      <c r="A6294" s="205" t="s">
        <v>6928</v>
      </c>
      <c r="B6294" s="206">
        <v>96364</v>
      </c>
      <c r="C6294" s="207" t="s">
        <v>6932</v>
      </c>
      <c r="D6294" s="208" t="s">
        <v>578</v>
      </c>
      <c r="E6294" s="209">
        <v>134.82</v>
      </c>
      <c r="F6294" s="209">
        <v>21.58</v>
      </c>
      <c r="G6294" s="209">
        <v>156.4</v>
      </c>
      <c r="H6294" s="198"/>
    </row>
    <row r="6295" spans="1:8" ht="15.75" hidden="1" customHeight="1" x14ac:dyDescent="0.25">
      <c r="A6295" s="205" t="s">
        <v>6928</v>
      </c>
      <c r="B6295" s="206">
        <v>96369</v>
      </c>
      <c r="C6295" s="207" t="s">
        <v>6933</v>
      </c>
      <c r="D6295" s="208" t="s">
        <v>578</v>
      </c>
      <c r="E6295" s="209">
        <v>179.88</v>
      </c>
      <c r="F6295" s="209">
        <v>28.91</v>
      </c>
      <c r="G6295" s="209">
        <v>208.79</v>
      </c>
      <c r="H6295" s="198"/>
    </row>
    <row r="6296" spans="1:8" ht="15.75" hidden="1" customHeight="1" x14ac:dyDescent="0.25">
      <c r="A6296" s="205" t="s">
        <v>6928</v>
      </c>
      <c r="B6296" s="206">
        <v>104723</v>
      </c>
      <c r="C6296" s="207" t="s">
        <v>6934</v>
      </c>
      <c r="D6296" s="208" t="s">
        <v>578</v>
      </c>
      <c r="E6296" s="209">
        <v>213.09</v>
      </c>
      <c r="F6296" s="209">
        <v>38.19</v>
      </c>
      <c r="G6296" s="209">
        <v>251.28</v>
      </c>
      <c r="H6296" s="198"/>
    </row>
    <row r="6297" spans="1:8" ht="15.75" hidden="1" customHeight="1" x14ac:dyDescent="0.25">
      <c r="A6297" s="205" t="s">
        <v>6928</v>
      </c>
      <c r="B6297" s="206">
        <v>96367</v>
      </c>
      <c r="C6297" s="207" t="s">
        <v>6935</v>
      </c>
      <c r="D6297" s="208" t="s">
        <v>578</v>
      </c>
      <c r="E6297" s="209">
        <v>144.38</v>
      </c>
      <c r="F6297" s="209">
        <v>24.91</v>
      </c>
      <c r="G6297" s="209">
        <v>169.29</v>
      </c>
      <c r="H6297" s="198"/>
    </row>
    <row r="6298" spans="1:8" ht="15.75" hidden="1" customHeight="1" x14ac:dyDescent="0.25">
      <c r="A6298" s="205" t="s">
        <v>6928</v>
      </c>
      <c r="B6298" s="206">
        <v>104722</v>
      </c>
      <c r="C6298" s="207" t="s">
        <v>6936</v>
      </c>
      <c r="D6298" s="208" t="s">
        <v>578</v>
      </c>
      <c r="E6298" s="209">
        <v>161.94</v>
      </c>
      <c r="F6298" s="209">
        <v>31.97</v>
      </c>
      <c r="G6298" s="209">
        <v>193.91</v>
      </c>
      <c r="H6298" s="198"/>
    </row>
    <row r="6299" spans="1:8" ht="15.75" hidden="1" customHeight="1" x14ac:dyDescent="0.25">
      <c r="A6299" s="205" t="s">
        <v>6928</v>
      </c>
      <c r="B6299" s="206">
        <v>96366</v>
      </c>
      <c r="C6299" s="207" t="s">
        <v>6937</v>
      </c>
      <c r="D6299" s="208" t="s">
        <v>578</v>
      </c>
      <c r="E6299" s="209">
        <v>134.28</v>
      </c>
      <c r="F6299" s="209">
        <v>21.58</v>
      </c>
      <c r="G6299" s="209">
        <v>155.86000000000001</v>
      </c>
      <c r="H6299" s="198"/>
    </row>
    <row r="6300" spans="1:8" ht="15.75" hidden="1" customHeight="1" x14ac:dyDescent="0.25">
      <c r="A6300" s="205" t="s">
        <v>6928</v>
      </c>
      <c r="B6300" s="206">
        <v>96361</v>
      </c>
      <c r="C6300" s="207" t="s">
        <v>6938</v>
      </c>
      <c r="D6300" s="208" t="s">
        <v>578</v>
      </c>
      <c r="E6300" s="209">
        <v>128.16999999999999</v>
      </c>
      <c r="F6300" s="209">
        <v>22.12</v>
      </c>
      <c r="G6300" s="209">
        <v>150.29</v>
      </c>
      <c r="H6300" s="198"/>
    </row>
    <row r="6301" spans="1:8" ht="15.75" hidden="1" customHeight="1" x14ac:dyDescent="0.25">
      <c r="A6301" s="205" t="s">
        <v>6928</v>
      </c>
      <c r="B6301" s="206">
        <v>104719</v>
      </c>
      <c r="C6301" s="207" t="s">
        <v>6939</v>
      </c>
      <c r="D6301" s="208" t="s">
        <v>578</v>
      </c>
      <c r="E6301" s="209">
        <v>160.59</v>
      </c>
      <c r="F6301" s="209">
        <v>29.21</v>
      </c>
      <c r="G6301" s="209">
        <v>189.8</v>
      </c>
      <c r="H6301" s="198"/>
    </row>
    <row r="6302" spans="1:8" ht="15.75" hidden="1" customHeight="1" x14ac:dyDescent="0.25">
      <c r="A6302" s="205" t="s">
        <v>6928</v>
      </c>
      <c r="B6302" s="206">
        <v>96360</v>
      </c>
      <c r="C6302" s="207" t="s">
        <v>6940</v>
      </c>
      <c r="D6302" s="208" t="s">
        <v>578</v>
      </c>
      <c r="E6302" s="209">
        <v>109.17</v>
      </c>
      <c r="F6302" s="209">
        <v>18.75</v>
      </c>
      <c r="G6302" s="209">
        <v>127.92</v>
      </c>
      <c r="H6302" s="198"/>
    </row>
    <row r="6303" spans="1:8" ht="15.75" hidden="1" customHeight="1" x14ac:dyDescent="0.25">
      <c r="A6303" s="205" t="s">
        <v>6928</v>
      </c>
      <c r="B6303" s="206">
        <v>96359</v>
      </c>
      <c r="C6303" s="207" t="s">
        <v>6941</v>
      </c>
      <c r="D6303" s="208" t="s">
        <v>578</v>
      </c>
      <c r="E6303" s="209">
        <v>92.67</v>
      </c>
      <c r="F6303" s="209">
        <v>18.149999999999999</v>
      </c>
      <c r="G6303" s="209">
        <v>110.82</v>
      </c>
      <c r="H6303" s="198"/>
    </row>
    <row r="6304" spans="1:8" ht="15.75" hidden="1" customHeight="1" x14ac:dyDescent="0.25">
      <c r="A6304" s="205" t="s">
        <v>6928</v>
      </c>
      <c r="B6304" s="206">
        <v>104718</v>
      </c>
      <c r="C6304" s="207" t="s">
        <v>6942</v>
      </c>
      <c r="D6304" s="208" t="s">
        <v>578</v>
      </c>
      <c r="E6304" s="209">
        <v>109.44</v>
      </c>
      <c r="F6304" s="209">
        <v>23</v>
      </c>
      <c r="G6304" s="209">
        <v>132.44</v>
      </c>
      <c r="H6304" s="198"/>
    </row>
    <row r="6305" spans="1:8" ht="15.75" hidden="1" customHeight="1" x14ac:dyDescent="0.25">
      <c r="A6305" s="205" t="s">
        <v>6928</v>
      </c>
      <c r="B6305" s="206">
        <v>96358</v>
      </c>
      <c r="C6305" s="207" t="s">
        <v>6943</v>
      </c>
      <c r="D6305" s="208" t="s">
        <v>578</v>
      </c>
      <c r="E6305" s="209">
        <v>82.97</v>
      </c>
      <c r="F6305" s="209">
        <v>15.91</v>
      </c>
      <c r="G6305" s="209">
        <v>98.88</v>
      </c>
      <c r="H6305" s="198"/>
    </row>
    <row r="6306" spans="1:8" ht="15.75" hidden="1" customHeight="1" x14ac:dyDescent="0.25">
      <c r="A6306" s="205" t="s">
        <v>6928</v>
      </c>
      <c r="B6306" s="206">
        <v>96371</v>
      </c>
      <c r="C6306" s="207" t="s">
        <v>6944</v>
      </c>
      <c r="D6306" s="208" t="s">
        <v>578</v>
      </c>
      <c r="E6306" s="209">
        <v>64.510000000000005</v>
      </c>
      <c r="F6306" s="209">
        <v>12.13</v>
      </c>
      <c r="G6306" s="209">
        <v>76.64</v>
      </c>
      <c r="H6306" s="198"/>
    </row>
    <row r="6307" spans="1:8" ht="15.75" hidden="1" customHeight="1" x14ac:dyDescent="0.25">
      <c r="A6307" s="205" t="s">
        <v>6928</v>
      </c>
      <c r="B6307" s="206">
        <v>104724</v>
      </c>
      <c r="C6307" s="207" t="s">
        <v>6945</v>
      </c>
      <c r="D6307" s="208" t="s">
        <v>578</v>
      </c>
      <c r="E6307" s="209">
        <v>80.88</v>
      </c>
      <c r="F6307" s="209">
        <v>15.87</v>
      </c>
      <c r="G6307" s="209">
        <v>96.75</v>
      </c>
      <c r="H6307" s="198"/>
    </row>
    <row r="6308" spans="1:8" ht="15.75" hidden="1" customHeight="1" x14ac:dyDescent="0.25">
      <c r="A6308" s="205" t="s">
        <v>6928</v>
      </c>
      <c r="B6308" s="206">
        <v>96370</v>
      </c>
      <c r="C6308" s="207" t="s">
        <v>6946</v>
      </c>
      <c r="D6308" s="208" t="s">
        <v>578</v>
      </c>
      <c r="E6308" s="209">
        <v>55.02</v>
      </c>
      <c r="F6308" s="209">
        <v>10.47</v>
      </c>
      <c r="G6308" s="209">
        <v>65.489999999999995</v>
      </c>
      <c r="H6308" s="198"/>
    </row>
    <row r="6309" spans="1:8" ht="15.75" hidden="1" customHeight="1" x14ac:dyDescent="0.25">
      <c r="A6309" s="205" t="s">
        <v>6928</v>
      </c>
      <c r="B6309" s="206">
        <v>96365</v>
      </c>
      <c r="C6309" s="207" t="s">
        <v>6947</v>
      </c>
      <c r="D6309" s="208" t="s">
        <v>578</v>
      </c>
      <c r="E6309" s="209">
        <v>154.01</v>
      </c>
      <c r="F6309" s="209">
        <v>25.53</v>
      </c>
      <c r="G6309" s="209">
        <v>179.54</v>
      </c>
      <c r="H6309" s="198"/>
    </row>
    <row r="6310" spans="1:8" ht="15.75" hidden="1" customHeight="1" x14ac:dyDescent="0.25">
      <c r="A6310" s="205" t="s">
        <v>6928</v>
      </c>
      <c r="B6310" s="206">
        <v>104721</v>
      </c>
      <c r="C6310" s="207" t="s">
        <v>6948</v>
      </c>
      <c r="D6310" s="208" t="s">
        <v>578</v>
      </c>
      <c r="E6310" s="209">
        <v>186.85</v>
      </c>
      <c r="F6310" s="209">
        <v>33.69</v>
      </c>
      <c r="G6310" s="209">
        <v>220.54</v>
      </c>
      <c r="H6310" s="198"/>
    </row>
    <row r="6311" spans="1:8" ht="15.75" hidden="1" customHeight="1" x14ac:dyDescent="0.25">
      <c r="A6311" s="205" t="s">
        <v>6928</v>
      </c>
      <c r="B6311" s="206">
        <v>96363</v>
      </c>
      <c r="C6311" s="207" t="s">
        <v>6949</v>
      </c>
      <c r="D6311" s="208" t="s">
        <v>578</v>
      </c>
      <c r="E6311" s="209">
        <v>118.53</v>
      </c>
      <c r="F6311" s="209">
        <v>21.52</v>
      </c>
      <c r="G6311" s="209">
        <v>140.05000000000001</v>
      </c>
      <c r="H6311" s="198"/>
    </row>
    <row r="6312" spans="1:8" ht="15.75" hidden="1" customHeight="1" x14ac:dyDescent="0.25">
      <c r="A6312" s="205" t="s">
        <v>6928</v>
      </c>
      <c r="B6312" s="206">
        <v>104720</v>
      </c>
      <c r="C6312" s="207" t="s">
        <v>6950</v>
      </c>
      <c r="D6312" s="208" t="s">
        <v>578</v>
      </c>
      <c r="E6312" s="209">
        <v>135.68</v>
      </c>
      <c r="F6312" s="209">
        <v>27.49</v>
      </c>
      <c r="G6312" s="209">
        <v>163.16999999999999</v>
      </c>
      <c r="H6312" s="198"/>
    </row>
    <row r="6313" spans="1:8" ht="15.75" hidden="1" customHeight="1" x14ac:dyDescent="0.25">
      <c r="A6313" s="205" t="s">
        <v>6928</v>
      </c>
      <c r="B6313" s="206">
        <v>96362</v>
      </c>
      <c r="C6313" s="207" t="s">
        <v>6951</v>
      </c>
      <c r="D6313" s="208" t="s">
        <v>578</v>
      </c>
      <c r="E6313" s="209">
        <v>108.63</v>
      </c>
      <c r="F6313" s="209">
        <v>18.739999999999998</v>
      </c>
      <c r="G6313" s="209">
        <v>127.37</v>
      </c>
      <c r="H6313" s="198"/>
    </row>
    <row r="6314" spans="1:8" ht="15.75" hidden="1" customHeight="1" x14ac:dyDescent="0.25">
      <c r="A6314" s="205" t="s">
        <v>6952</v>
      </c>
      <c r="B6314" s="206">
        <v>103191</v>
      </c>
      <c r="C6314" s="207" t="s">
        <v>6953</v>
      </c>
      <c r="D6314" s="208" t="s">
        <v>580</v>
      </c>
      <c r="E6314" s="209">
        <v>2328.3200000000002</v>
      </c>
      <c r="F6314" s="209">
        <v>71.260000000000005</v>
      </c>
      <c r="G6314" s="209">
        <v>2399.58</v>
      </c>
      <c r="H6314" s="198"/>
    </row>
    <row r="6315" spans="1:8" ht="15.75" hidden="1" customHeight="1" x14ac:dyDescent="0.25">
      <c r="A6315" s="205" t="s">
        <v>6952</v>
      </c>
      <c r="B6315" s="206">
        <v>103206</v>
      </c>
      <c r="C6315" s="207" t="s">
        <v>6954</v>
      </c>
      <c r="D6315" s="208" t="s">
        <v>580</v>
      </c>
      <c r="E6315" s="209">
        <v>2328.85</v>
      </c>
      <c r="F6315" s="209">
        <v>94.51</v>
      </c>
      <c r="G6315" s="209">
        <v>2423.36</v>
      </c>
      <c r="H6315" s="198"/>
    </row>
    <row r="6316" spans="1:8" ht="15.75" hidden="1" customHeight="1" x14ac:dyDescent="0.25">
      <c r="A6316" s="205" t="s">
        <v>6952</v>
      </c>
      <c r="B6316" s="206">
        <v>103185</v>
      </c>
      <c r="C6316" s="207" t="s">
        <v>6955</v>
      </c>
      <c r="D6316" s="208" t="s">
        <v>580</v>
      </c>
      <c r="E6316" s="209">
        <v>6071.8</v>
      </c>
      <c r="F6316" s="209">
        <v>125.17</v>
      </c>
      <c r="G6316" s="209">
        <v>6196.97</v>
      </c>
      <c r="H6316" s="198"/>
    </row>
    <row r="6317" spans="1:8" ht="15.75" hidden="1" customHeight="1" x14ac:dyDescent="0.25">
      <c r="A6317" s="205" t="s">
        <v>6952</v>
      </c>
      <c r="B6317" s="206">
        <v>103186</v>
      </c>
      <c r="C6317" s="207" t="s">
        <v>6956</v>
      </c>
      <c r="D6317" s="208" t="s">
        <v>580</v>
      </c>
      <c r="E6317" s="209">
        <v>6453.24</v>
      </c>
      <c r="F6317" s="209">
        <v>51.38</v>
      </c>
      <c r="G6317" s="209">
        <v>6504.62</v>
      </c>
      <c r="H6317" s="198"/>
    </row>
    <row r="6318" spans="1:8" ht="15.75" hidden="1" customHeight="1" x14ac:dyDescent="0.25">
      <c r="A6318" s="205" t="s">
        <v>6952</v>
      </c>
      <c r="B6318" s="206">
        <v>103210</v>
      </c>
      <c r="C6318" s="207" t="s">
        <v>6957</v>
      </c>
      <c r="D6318" s="208" t="s">
        <v>580</v>
      </c>
      <c r="E6318" s="209">
        <v>2182.5100000000002</v>
      </c>
      <c r="F6318" s="209">
        <v>171.1</v>
      </c>
      <c r="G6318" s="209">
        <v>2353.61</v>
      </c>
      <c r="H6318" s="198"/>
    </row>
    <row r="6319" spans="1:8" ht="15.75" hidden="1" customHeight="1" x14ac:dyDescent="0.25">
      <c r="A6319" s="205" t="s">
        <v>6952</v>
      </c>
      <c r="B6319" s="206">
        <v>103195</v>
      </c>
      <c r="C6319" s="207" t="s">
        <v>6958</v>
      </c>
      <c r="D6319" s="208" t="s">
        <v>580</v>
      </c>
      <c r="E6319" s="209">
        <v>2142.5300000000002</v>
      </c>
      <c r="F6319" s="209">
        <v>73.11</v>
      </c>
      <c r="G6319" s="209">
        <v>2215.64</v>
      </c>
      <c r="H6319" s="198"/>
    </row>
    <row r="6320" spans="1:8" ht="15.75" hidden="1" customHeight="1" x14ac:dyDescent="0.25">
      <c r="A6320" s="205" t="s">
        <v>6952</v>
      </c>
      <c r="B6320" s="206">
        <v>103205</v>
      </c>
      <c r="C6320" s="207" t="s">
        <v>6959</v>
      </c>
      <c r="D6320" s="208" t="s">
        <v>580</v>
      </c>
      <c r="E6320" s="209">
        <v>4021.35</v>
      </c>
      <c r="F6320" s="209">
        <v>110.31</v>
      </c>
      <c r="G6320" s="209">
        <v>4131.66</v>
      </c>
      <c r="H6320" s="198"/>
    </row>
    <row r="6321" spans="1:8" ht="15.75" hidden="1" customHeight="1" x14ac:dyDescent="0.25">
      <c r="A6321" s="205" t="s">
        <v>6952</v>
      </c>
      <c r="B6321" s="206">
        <v>103190</v>
      </c>
      <c r="C6321" s="207" t="s">
        <v>6960</v>
      </c>
      <c r="D6321" s="208" t="s">
        <v>580</v>
      </c>
      <c r="E6321" s="209">
        <v>4021.21</v>
      </c>
      <c r="F6321" s="209">
        <v>86.67</v>
      </c>
      <c r="G6321" s="209">
        <v>4107.88</v>
      </c>
      <c r="H6321" s="198"/>
    </row>
    <row r="6322" spans="1:8" ht="15.75" hidden="1" customHeight="1" x14ac:dyDescent="0.25">
      <c r="A6322" s="205" t="s">
        <v>6952</v>
      </c>
      <c r="B6322" s="206">
        <v>103207</v>
      </c>
      <c r="C6322" s="207" t="s">
        <v>6961</v>
      </c>
      <c r="D6322" s="208" t="s">
        <v>580</v>
      </c>
      <c r="E6322" s="209">
        <v>2482.4299999999998</v>
      </c>
      <c r="F6322" s="209">
        <v>94.57</v>
      </c>
      <c r="G6322" s="209">
        <v>2577</v>
      </c>
      <c r="H6322" s="198"/>
    </row>
    <row r="6323" spans="1:8" ht="15.75" hidden="1" customHeight="1" x14ac:dyDescent="0.25">
      <c r="A6323" s="205" t="s">
        <v>6952</v>
      </c>
      <c r="B6323" s="206">
        <v>103192</v>
      </c>
      <c r="C6323" s="207" t="s">
        <v>6962</v>
      </c>
      <c r="D6323" s="208" t="s">
        <v>580</v>
      </c>
      <c r="E6323" s="209">
        <v>2481.9899999999998</v>
      </c>
      <c r="F6323" s="209">
        <v>71.23</v>
      </c>
      <c r="G6323" s="209">
        <v>2553.2199999999998</v>
      </c>
      <c r="H6323" s="198"/>
    </row>
    <row r="6324" spans="1:8" ht="15.75" hidden="1" customHeight="1" x14ac:dyDescent="0.25">
      <c r="A6324" s="205" t="s">
        <v>6952</v>
      </c>
      <c r="B6324" s="206">
        <v>103208</v>
      </c>
      <c r="C6324" s="207" t="s">
        <v>6963</v>
      </c>
      <c r="D6324" s="208" t="s">
        <v>580</v>
      </c>
      <c r="E6324" s="209">
        <v>1901.14</v>
      </c>
      <c r="F6324" s="209">
        <v>94.59</v>
      </c>
      <c r="G6324" s="209">
        <v>1995.73</v>
      </c>
      <c r="H6324" s="198"/>
    </row>
    <row r="6325" spans="1:8" ht="15.75" hidden="1" customHeight="1" x14ac:dyDescent="0.25">
      <c r="A6325" s="205" t="s">
        <v>6952</v>
      </c>
      <c r="B6325" s="206">
        <v>103193</v>
      </c>
      <c r="C6325" s="207" t="s">
        <v>6964</v>
      </c>
      <c r="D6325" s="208" t="s">
        <v>580</v>
      </c>
      <c r="E6325" s="209">
        <v>1900.77</v>
      </c>
      <c r="F6325" s="209">
        <v>71.180000000000007</v>
      </c>
      <c r="G6325" s="209">
        <v>1971.95</v>
      </c>
      <c r="H6325" s="198"/>
    </row>
    <row r="6326" spans="1:8" ht="15.75" hidden="1" customHeight="1" x14ac:dyDescent="0.25">
      <c r="A6326" s="205" t="s">
        <v>6952</v>
      </c>
      <c r="B6326" s="206">
        <v>103187</v>
      </c>
      <c r="C6326" s="207" t="s">
        <v>6965</v>
      </c>
      <c r="D6326" s="208" t="s">
        <v>580</v>
      </c>
      <c r="E6326" s="209">
        <v>4820.8900000000003</v>
      </c>
      <c r="F6326" s="209">
        <v>85.86</v>
      </c>
      <c r="G6326" s="209">
        <v>4906.75</v>
      </c>
      <c r="H6326" s="198"/>
    </row>
    <row r="6327" spans="1:8" ht="15.75" hidden="1" customHeight="1" x14ac:dyDescent="0.25">
      <c r="A6327" s="205" t="s">
        <v>6952</v>
      </c>
      <c r="B6327" s="206">
        <v>103188</v>
      </c>
      <c r="C6327" s="207" t="s">
        <v>6966</v>
      </c>
      <c r="D6327" s="208" t="s">
        <v>580</v>
      </c>
      <c r="E6327" s="209">
        <v>5199.99</v>
      </c>
      <c r="F6327" s="209">
        <v>65.819999999999993</v>
      </c>
      <c r="G6327" s="209">
        <v>5265.81</v>
      </c>
      <c r="H6327" s="198"/>
    </row>
    <row r="6328" spans="1:8" ht="15.75" hidden="1" customHeight="1" x14ac:dyDescent="0.25">
      <c r="A6328" s="205" t="s">
        <v>6952</v>
      </c>
      <c r="B6328" s="206">
        <v>103189</v>
      </c>
      <c r="C6328" s="207" t="s">
        <v>6967</v>
      </c>
      <c r="D6328" s="208" t="s">
        <v>580</v>
      </c>
      <c r="E6328" s="209">
        <v>2598.04</v>
      </c>
      <c r="F6328" s="209">
        <v>46</v>
      </c>
      <c r="G6328" s="209">
        <v>2644.04</v>
      </c>
      <c r="H6328" s="198"/>
    </row>
    <row r="6329" spans="1:8" ht="15.75" hidden="1" customHeight="1" x14ac:dyDescent="0.25">
      <c r="A6329" s="205" t="s">
        <v>6952</v>
      </c>
      <c r="B6329" s="206">
        <v>103209</v>
      </c>
      <c r="C6329" s="207" t="s">
        <v>6968</v>
      </c>
      <c r="D6329" s="208" t="s">
        <v>580</v>
      </c>
      <c r="E6329" s="209">
        <v>2759.25</v>
      </c>
      <c r="F6329" s="209">
        <v>94.45</v>
      </c>
      <c r="G6329" s="209">
        <v>2853.7</v>
      </c>
      <c r="H6329" s="198"/>
    </row>
    <row r="6330" spans="1:8" ht="15.75" hidden="1" customHeight="1" x14ac:dyDescent="0.25">
      <c r="A6330" s="205" t="s">
        <v>6952</v>
      </c>
      <c r="B6330" s="206">
        <v>103194</v>
      </c>
      <c r="C6330" s="207" t="s">
        <v>6969</v>
      </c>
      <c r="D6330" s="208" t="s">
        <v>580</v>
      </c>
      <c r="E6330" s="209">
        <v>2758.61</v>
      </c>
      <c r="F6330" s="209">
        <v>71.31</v>
      </c>
      <c r="G6330" s="209">
        <v>2829.92</v>
      </c>
      <c r="H6330" s="198"/>
    </row>
    <row r="6331" spans="1:8" ht="15.75" hidden="1" customHeight="1" x14ac:dyDescent="0.25">
      <c r="A6331" s="205" t="s">
        <v>6970</v>
      </c>
      <c r="B6331" s="206">
        <v>94992</v>
      </c>
      <c r="C6331" s="207" t="s">
        <v>6971</v>
      </c>
      <c r="D6331" s="208" t="s">
        <v>578</v>
      </c>
      <c r="E6331" s="209">
        <v>66.83</v>
      </c>
      <c r="F6331" s="209">
        <v>18.16</v>
      </c>
      <c r="G6331" s="209">
        <v>84.99</v>
      </c>
      <c r="H6331" s="198"/>
    </row>
    <row r="6332" spans="1:8" ht="15.75" hidden="1" customHeight="1" x14ac:dyDescent="0.25">
      <c r="A6332" s="205" t="s">
        <v>6970</v>
      </c>
      <c r="B6332" s="206">
        <v>94994</v>
      </c>
      <c r="C6332" s="207" t="s">
        <v>6972</v>
      </c>
      <c r="D6332" s="208" t="s">
        <v>578</v>
      </c>
      <c r="E6332" s="209">
        <v>77.900000000000006</v>
      </c>
      <c r="F6332" s="209">
        <v>23.77</v>
      </c>
      <c r="G6332" s="209">
        <v>101.67</v>
      </c>
      <c r="H6332" s="198"/>
    </row>
    <row r="6333" spans="1:8" ht="15.75" hidden="1" customHeight="1" x14ac:dyDescent="0.25">
      <c r="A6333" s="205" t="s">
        <v>6970</v>
      </c>
      <c r="B6333" s="206">
        <v>94990</v>
      </c>
      <c r="C6333" s="207" t="s">
        <v>6973</v>
      </c>
      <c r="D6333" s="208" t="s">
        <v>664</v>
      </c>
      <c r="E6333" s="209">
        <v>551.91999999999996</v>
      </c>
      <c r="F6333" s="209">
        <v>253.21</v>
      </c>
      <c r="G6333" s="209">
        <v>805.13</v>
      </c>
      <c r="H6333" s="198"/>
    </row>
    <row r="6334" spans="1:8" ht="15.75" hidden="1" customHeight="1" x14ac:dyDescent="0.25">
      <c r="A6334" s="205" t="s">
        <v>6970</v>
      </c>
      <c r="B6334" s="206">
        <v>94991</v>
      </c>
      <c r="C6334" s="207" t="s">
        <v>6974</v>
      </c>
      <c r="D6334" s="208" t="s">
        <v>664</v>
      </c>
      <c r="E6334" s="209">
        <v>609.89</v>
      </c>
      <c r="F6334" s="209">
        <v>83.63</v>
      </c>
      <c r="G6334" s="209">
        <v>693.52</v>
      </c>
      <c r="H6334" s="198"/>
    </row>
    <row r="6335" spans="1:8" ht="15.75" hidden="1" customHeight="1" x14ac:dyDescent="0.25">
      <c r="A6335" s="205" t="s">
        <v>6970</v>
      </c>
      <c r="B6335" s="206">
        <v>104626</v>
      </c>
      <c r="C6335" s="207" t="s">
        <v>6975</v>
      </c>
      <c r="D6335" s="208" t="s">
        <v>664</v>
      </c>
      <c r="E6335" s="209">
        <v>625.55999999999995</v>
      </c>
      <c r="F6335" s="209">
        <v>83.6</v>
      </c>
      <c r="G6335" s="209">
        <v>709.16</v>
      </c>
      <c r="H6335" s="198"/>
    </row>
    <row r="6336" spans="1:8" ht="15.75" hidden="1" customHeight="1" x14ac:dyDescent="0.25">
      <c r="A6336" s="205" t="s">
        <v>6970</v>
      </c>
      <c r="B6336" s="206">
        <v>94993</v>
      </c>
      <c r="C6336" s="207" t="s">
        <v>6976</v>
      </c>
      <c r="D6336" s="208" t="s">
        <v>578</v>
      </c>
      <c r="E6336" s="209">
        <v>70.319999999999993</v>
      </c>
      <c r="F6336" s="209">
        <v>7.98</v>
      </c>
      <c r="G6336" s="209">
        <v>78.3</v>
      </c>
      <c r="H6336" s="198"/>
    </row>
    <row r="6337" spans="1:8" ht="15.75" hidden="1" customHeight="1" x14ac:dyDescent="0.25">
      <c r="A6337" s="205" t="s">
        <v>6970</v>
      </c>
      <c r="B6337" s="206">
        <v>94995</v>
      </c>
      <c r="C6337" s="207" t="s">
        <v>6977</v>
      </c>
      <c r="D6337" s="208" t="s">
        <v>578</v>
      </c>
      <c r="E6337" s="209">
        <v>82.53</v>
      </c>
      <c r="F6337" s="209">
        <v>10.210000000000001</v>
      </c>
      <c r="G6337" s="209">
        <v>92.74</v>
      </c>
      <c r="H6337" s="198"/>
    </row>
    <row r="6338" spans="1:8" ht="15.75" hidden="1" customHeight="1" x14ac:dyDescent="0.25">
      <c r="A6338" s="205" t="s">
        <v>6978</v>
      </c>
      <c r="B6338" s="206">
        <v>101169</v>
      </c>
      <c r="C6338" s="207" t="s">
        <v>6979</v>
      </c>
      <c r="D6338" s="208" t="s">
        <v>578</v>
      </c>
      <c r="E6338" s="209">
        <v>95.86</v>
      </c>
      <c r="F6338" s="209">
        <v>21.87</v>
      </c>
      <c r="G6338" s="209">
        <v>117.73</v>
      </c>
      <c r="H6338" s="198"/>
    </row>
    <row r="6339" spans="1:8" ht="15.75" hidden="1" customHeight="1" x14ac:dyDescent="0.25">
      <c r="A6339" s="205" t="s">
        <v>6978</v>
      </c>
      <c r="B6339" s="206">
        <v>101167</v>
      </c>
      <c r="C6339" s="207" t="s">
        <v>6980</v>
      </c>
      <c r="D6339" s="208" t="s">
        <v>578</v>
      </c>
      <c r="E6339" s="209">
        <v>84.63</v>
      </c>
      <c r="F6339" s="209">
        <v>16.53</v>
      </c>
      <c r="G6339" s="209">
        <v>101.16</v>
      </c>
      <c r="H6339" s="198"/>
    </row>
    <row r="6340" spans="1:8" ht="15.75" hidden="1" customHeight="1" x14ac:dyDescent="0.25">
      <c r="A6340" s="205" t="s">
        <v>6978</v>
      </c>
      <c r="B6340" s="206">
        <v>101172</v>
      </c>
      <c r="C6340" s="207" t="s">
        <v>6981</v>
      </c>
      <c r="D6340" s="208" t="s">
        <v>578</v>
      </c>
      <c r="E6340" s="209">
        <v>55.47</v>
      </c>
      <c r="F6340" s="209">
        <v>20.39</v>
      </c>
      <c r="G6340" s="209">
        <v>75.86</v>
      </c>
      <c r="H6340" s="198"/>
    </row>
    <row r="6341" spans="1:8" ht="15.75" hidden="1" customHeight="1" x14ac:dyDescent="0.25">
      <c r="A6341" s="205" t="s">
        <v>6978</v>
      </c>
      <c r="B6341" s="206">
        <v>101170</v>
      </c>
      <c r="C6341" s="207" t="s">
        <v>6982</v>
      </c>
      <c r="D6341" s="208" t="s">
        <v>578</v>
      </c>
      <c r="E6341" s="209">
        <v>34.18</v>
      </c>
      <c r="F6341" s="209">
        <v>13.06</v>
      </c>
      <c r="G6341" s="209">
        <v>47.24</v>
      </c>
      <c r="H6341" s="198"/>
    </row>
    <row r="6342" spans="1:8" ht="15.75" hidden="1" customHeight="1" x14ac:dyDescent="0.25">
      <c r="A6342" s="205" t="s">
        <v>6983</v>
      </c>
      <c r="B6342" s="206">
        <v>92402</v>
      </c>
      <c r="C6342" s="207" t="s">
        <v>6984</v>
      </c>
      <c r="D6342" s="208" t="s">
        <v>578</v>
      </c>
      <c r="E6342" s="209">
        <v>58.9</v>
      </c>
      <c r="F6342" s="209">
        <v>13.76</v>
      </c>
      <c r="G6342" s="209">
        <v>72.66</v>
      </c>
      <c r="H6342" s="198"/>
    </row>
    <row r="6343" spans="1:8" ht="15.75" hidden="1" customHeight="1" x14ac:dyDescent="0.25">
      <c r="A6343" s="205" t="s">
        <v>6983</v>
      </c>
      <c r="B6343" s="206">
        <v>104432</v>
      </c>
      <c r="C6343" s="207" t="s">
        <v>6985</v>
      </c>
      <c r="D6343" s="208" t="s">
        <v>578</v>
      </c>
      <c r="E6343" s="209">
        <v>61.89</v>
      </c>
      <c r="F6343" s="209">
        <v>18.600000000000001</v>
      </c>
      <c r="G6343" s="209">
        <v>80.489999999999995</v>
      </c>
      <c r="H6343" s="198"/>
    </row>
    <row r="6344" spans="1:8" ht="15.75" hidden="1" customHeight="1" x14ac:dyDescent="0.25">
      <c r="A6344" s="205" t="s">
        <v>6983</v>
      </c>
      <c r="B6344" s="206">
        <v>93679</v>
      </c>
      <c r="C6344" s="207" t="s">
        <v>6986</v>
      </c>
      <c r="D6344" s="208" t="s">
        <v>578</v>
      </c>
      <c r="E6344" s="209">
        <v>66.66</v>
      </c>
      <c r="F6344" s="209">
        <v>15.92</v>
      </c>
      <c r="G6344" s="209">
        <v>82.58</v>
      </c>
      <c r="H6344" s="198"/>
    </row>
    <row r="6345" spans="1:8" ht="15.75" hidden="1" customHeight="1" x14ac:dyDescent="0.25">
      <c r="A6345" s="205" t="s">
        <v>6983</v>
      </c>
      <c r="B6345" s="206">
        <v>92396</v>
      </c>
      <c r="C6345" s="207" t="s">
        <v>6987</v>
      </c>
      <c r="D6345" s="208" t="s">
        <v>578</v>
      </c>
      <c r="E6345" s="209">
        <v>59.61</v>
      </c>
      <c r="F6345" s="209">
        <v>15.91</v>
      </c>
      <c r="G6345" s="209">
        <v>75.52</v>
      </c>
      <c r="H6345" s="198"/>
    </row>
    <row r="6346" spans="1:8" ht="15.75" hidden="1" customHeight="1" x14ac:dyDescent="0.25">
      <c r="A6346" s="205" t="s">
        <v>6983</v>
      </c>
      <c r="B6346" s="206">
        <v>92406</v>
      </c>
      <c r="C6346" s="207" t="s">
        <v>6988</v>
      </c>
      <c r="D6346" s="208" t="s">
        <v>578</v>
      </c>
      <c r="E6346" s="209">
        <v>78.81</v>
      </c>
      <c r="F6346" s="209">
        <v>11.73</v>
      </c>
      <c r="G6346" s="209">
        <v>90.54</v>
      </c>
      <c r="H6346" s="198"/>
    </row>
    <row r="6347" spans="1:8" ht="15.75" hidden="1" customHeight="1" x14ac:dyDescent="0.25">
      <c r="A6347" s="205" t="s">
        <v>6983</v>
      </c>
      <c r="B6347" s="206">
        <v>92403</v>
      </c>
      <c r="C6347" s="207" t="s">
        <v>6989</v>
      </c>
      <c r="D6347" s="208" t="s">
        <v>578</v>
      </c>
      <c r="E6347" s="209">
        <v>53.73</v>
      </c>
      <c r="F6347" s="209">
        <v>6.45</v>
      </c>
      <c r="G6347" s="209">
        <v>60.18</v>
      </c>
      <c r="H6347" s="198"/>
    </row>
    <row r="6348" spans="1:8" ht="15.75" hidden="1" customHeight="1" x14ac:dyDescent="0.25">
      <c r="A6348" s="205" t="s">
        <v>6983</v>
      </c>
      <c r="B6348" s="206">
        <v>92404</v>
      </c>
      <c r="C6348" s="207" t="s">
        <v>6990</v>
      </c>
      <c r="D6348" s="208" t="s">
        <v>578</v>
      </c>
      <c r="E6348" s="209">
        <v>66.36</v>
      </c>
      <c r="F6348" s="209">
        <v>9.09</v>
      </c>
      <c r="G6348" s="209">
        <v>75.45</v>
      </c>
      <c r="H6348" s="198"/>
    </row>
    <row r="6349" spans="1:8" ht="15.75" hidden="1" customHeight="1" x14ac:dyDescent="0.25">
      <c r="A6349" s="205" t="s">
        <v>6983</v>
      </c>
      <c r="B6349" s="206">
        <v>92391</v>
      </c>
      <c r="C6349" s="207" t="s">
        <v>6991</v>
      </c>
      <c r="D6349" s="208" t="s">
        <v>578</v>
      </c>
      <c r="E6349" s="209">
        <v>54.74</v>
      </c>
      <c r="F6349" s="209">
        <v>4.0999999999999996</v>
      </c>
      <c r="G6349" s="209">
        <v>58.84</v>
      </c>
      <c r="H6349" s="198"/>
    </row>
    <row r="6350" spans="1:8" ht="15.75" hidden="1" customHeight="1" x14ac:dyDescent="0.25">
      <c r="A6350" s="205" t="s">
        <v>6983</v>
      </c>
      <c r="B6350" s="206">
        <v>92392</v>
      </c>
      <c r="C6350" s="207" t="s">
        <v>6992</v>
      </c>
      <c r="D6350" s="208" t="s">
        <v>578</v>
      </c>
      <c r="E6350" s="209">
        <v>112.46</v>
      </c>
      <c r="F6350" s="209">
        <v>4.62</v>
      </c>
      <c r="G6350" s="209">
        <v>117.08</v>
      </c>
      <c r="H6350" s="198"/>
    </row>
    <row r="6351" spans="1:8" ht="15.75" hidden="1" customHeight="1" x14ac:dyDescent="0.25">
      <c r="A6351" s="205" t="s">
        <v>6983</v>
      </c>
      <c r="B6351" s="206">
        <v>104433</v>
      </c>
      <c r="C6351" s="207" t="s">
        <v>6993</v>
      </c>
      <c r="D6351" s="208" t="s">
        <v>578</v>
      </c>
      <c r="E6351" s="209">
        <v>56.42</v>
      </c>
      <c r="F6351" s="209">
        <v>10.41</v>
      </c>
      <c r="G6351" s="209">
        <v>66.83</v>
      </c>
      <c r="H6351" s="198"/>
    </row>
    <row r="6352" spans="1:8" ht="15.75" hidden="1" customHeight="1" x14ac:dyDescent="0.25">
      <c r="A6352" s="205" t="s">
        <v>6983</v>
      </c>
      <c r="B6352" s="206">
        <v>93680</v>
      </c>
      <c r="C6352" s="207" t="s">
        <v>6994</v>
      </c>
      <c r="D6352" s="208" t="s">
        <v>578</v>
      </c>
      <c r="E6352" s="209">
        <v>61.57</v>
      </c>
      <c r="F6352" s="209">
        <v>8.61</v>
      </c>
      <c r="G6352" s="209">
        <v>70.180000000000007</v>
      </c>
      <c r="H6352" s="198"/>
    </row>
    <row r="6353" spans="1:8" ht="15.75" hidden="1" customHeight="1" x14ac:dyDescent="0.25">
      <c r="A6353" s="205" t="s">
        <v>6983</v>
      </c>
      <c r="B6353" s="206">
        <v>93681</v>
      </c>
      <c r="C6353" s="207" t="s">
        <v>6995</v>
      </c>
      <c r="D6353" s="208" t="s">
        <v>578</v>
      </c>
      <c r="E6353" s="209">
        <v>72.84</v>
      </c>
      <c r="F6353" s="209">
        <v>11.24</v>
      </c>
      <c r="G6353" s="209">
        <v>84.08</v>
      </c>
      <c r="H6353" s="198"/>
    </row>
    <row r="6354" spans="1:8" ht="15.75" hidden="1" customHeight="1" x14ac:dyDescent="0.25">
      <c r="A6354" s="205" t="s">
        <v>6983</v>
      </c>
      <c r="B6354" s="206">
        <v>92397</v>
      </c>
      <c r="C6354" s="207" t="s">
        <v>6996</v>
      </c>
      <c r="D6354" s="208" t="s">
        <v>578</v>
      </c>
      <c r="E6354" s="209">
        <v>54.7</v>
      </c>
      <c r="F6354" s="209">
        <v>8.6</v>
      </c>
      <c r="G6354" s="209">
        <v>63.3</v>
      </c>
      <c r="H6354" s="198"/>
    </row>
    <row r="6355" spans="1:8" ht="15.75" hidden="1" customHeight="1" x14ac:dyDescent="0.25">
      <c r="A6355" s="205" t="s">
        <v>6983</v>
      </c>
      <c r="B6355" s="206">
        <v>92398</v>
      </c>
      <c r="C6355" s="207" t="s">
        <v>6997</v>
      </c>
      <c r="D6355" s="208" t="s">
        <v>578</v>
      </c>
      <c r="E6355" s="209">
        <v>67.349999999999994</v>
      </c>
      <c r="F6355" s="209">
        <v>11.23</v>
      </c>
      <c r="G6355" s="209">
        <v>78.58</v>
      </c>
      <c r="H6355" s="198"/>
    </row>
    <row r="6356" spans="1:8" ht="15.75" hidden="1" customHeight="1" x14ac:dyDescent="0.25">
      <c r="A6356" s="205" t="s">
        <v>6983</v>
      </c>
      <c r="B6356" s="206">
        <v>92400</v>
      </c>
      <c r="C6356" s="207" t="s">
        <v>6998</v>
      </c>
      <c r="D6356" s="208" t="s">
        <v>578</v>
      </c>
      <c r="E6356" s="209">
        <v>78.36</v>
      </c>
      <c r="F6356" s="209">
        <v>13.88</v>
      </c>
      <c r="G6356" s="209">
        <v>92.24</v>
      </c>
      <c r="H6356" s="198"/>
    </row>
    <row r="6357" spans="1:8" ht="15.75" hidden="1" customHeight="1" x14ac:dyDescent="0.25">
      <c r="A6357" s="205" t="s">
        <v>6983</v>
      </c>
      <c r="B6357" s="206">
        <v>92395</v>
      </c>
      <c r="C6357" s="207" t="s">
        <v>6999</v>
      </c>
      <c r="D6357" s="208" t="s">
        <v>578</v>
      </c>
      <c r="E6357" s="209">
        <v>77.760000000000005</v>
      </c>
      <c r="F6357" s="209">
        <v>9.81</v>
      </c>
      <c r="G6357" s="209">
        <v>87.57</v>
      </c>
      <c r="H6357" s="198"/>
    </row>
    <row r="6358" spans="1:8" ht="15.75" hidden="1" customHeight="1" x14ac:dyDescent="0.25">
      <c r="A6358" s="205" t="s">
        <v>6983</v>
      </c>
      <c r="B6358" s="206">
        <v>92393</v>
      </c>
      <c r="C6358" s="207" t="s">
        <v>7000</v>
      </c>
      <c r="D6358" s="208" t="s">
        <v>578</v>
      </c>
      <c r="E6358" s="209">
        <v>53.32</v>
      </c>
      <c r="F6358" s="209">
        <v>5.27</v>
      </c>
      <c r="G6358" s="209">
        <v>58.59</v>
      </c>
      <c r="H6358" s="198"/>
    </row>
    <row r="6359" spans="1:8" ht="15.75" hidden="1" customHeight="1" x14ac:dyDescent="0.25">
      <c r="A6359" s="205" t="s">
        <v>6983</v>
      </c>
      <c r="B6359" s="206">
        <v>92394</v>
      </c>
      <c r="C6359" s="207" t="s">
        <v>7001</v>
      </c>
      <c r="D6359" s="208" t="s">
        <v>578</v>
      </c>
      <c r="E6359" s="209">
        <v>65.540000000000006</v>
      </c>
      <c r="F6359" s="209">
        <v>7.17</v>
      </c>
      <c r="G6359" s="209">
        <v>72.709999999999994</v>
      </c>
      <c r="H6359" s="198"/>
    </row>
    <row r="6360" spans="1:8" ht="15.75" hidden="1" customHeight="1" x14ac:dyDescent="0.25">
      <c r="A6360" s="205" t="s">
        <v>7002</v>
      </c>
      <c r="B6360" s="206">
        <v>97115</v>
      </c>
      <c r="C6360" s="207" t="s">
        <v>7003</v>
      </c>
      <c r="D6360" s="208" t="s">
        <v>823</v>
      </c>
      <c r="E6360" s="209">
        <v>53.07</v>
      </c>
      <c r="F6360" s="209">
        <v>12.61</v>
      </c>
      <c r="G6360" s="209">
        <v>65.680000000000007</v>
      </c>
      <c r="H6360" s="198"/>
    </row>
    <row r="6361" spans="1:8" ht="15.75" hidden="1" customHeight="1" x14ac:dyDescent="0.25">
      <c r="A6361" s="205" t="s">
        <v>7002</v>
      </c>
      <c r="B6361" s="206">
        <v>97113</v>
      </c>
      <c r="C6361" s="207" t="s">
        <v>7004</v>
      </c>
      <c r="D6361" s="208" t="s">
        <v>578</v>
      </c>
      <c r="E6361" s="209">
        <v>2.13</v>
      </c>
      <c r="F6361" s="209">
        <v>0.24</v>
      </c>
      <c r="G6361" s="209">
        <v>2.37</v>
      </c>
      <c r="H6361" s="198"/>
    </row>
    <row r="6362" spans="1:8" ht="15.75" hidden="1" customHeight="1" x14ac:dyDescent="0.25">
      <c r="A6362" s="205" t="s">
        <v>7002</v>
      </c>
      <c r="B6362" s="206">
        <v>97120</v>
      </c>
      <c r="C6362" s="207" t="s">
        <v>7005</v>
      </c>
      <c r="D6362" s="208" t="s">
        <v>823</v>
      </c>
      <c r="E6362" s="209">
        <v>8.32</v>
      </c>
      <c r="F6362" s="209">
        <v>1.49</v>
      </c>
      <c r="G6362" s="209">
        <v>9.81</v>
      </c>
      <c r="H6362" s="198"/>
    </row>
    <row r="6363" spans="1:8" ht="15.75" hidden="1" customHeight="1" x14ac:dyDescent="0.25">
      <c r="A6363" s="205" t="s">
        <v>7002</v>
      </c>
      <c r="B6363" s="206">
        <v>97116</v>
      </c>
      <c r="C6363" s="207" t="s">
        <v>7006</v>
      </c>
      <c r="D6363" s="208" t="s">
        <v>823</v>
      </c>
      <c r="E6363" s="209">
        <v>16.41</v>
      </c>
      <c r="F6363" s="209">
        <v>9.5500000000000007</v>
      </c>
      <c r="G6363" s="209">
        <v>25.96</v>
      </c>
      <c r="H6363" s="198"/>
    </row>
    <row r="6364" spans="1:8" ht="15.75" hidden="1" customHeight="1" x14ac:dyDescent="0.25">
      <c r="A6364" s="205" t="s">
        <v>7002</v>
      </c>
      <c r="B6364" s="206">
        <v>97117</v>
      </c>
      <c r="C6364" s="207" t="s">
        <v>7007</v>
      </c>
      <c r="D6364" s="208" t="s">
        <v>823</v>
      </c>
      <c r="E6364" s="209">
        <v>15.59</v>
      </c>
      <c r="F6364" s="209">
        <v>6.11</v>
      </c>
      <c r="G6364" s="209">
        <v>21.7</v>
      </c>
      <c r="H6364" s="198"/>
    </row>
    <row r="6365" spans="1:8" ht="15.75" hidden="1" customHeight="1" x14ac:dyDescent="0.25">
      <c r="A6365" s="205" t="s">
        <v>7002</v>
      </c>
      <c r="B6365" s="206">
        <v>97118</v>
      </c>
      <c r="C6365" s="207" t="s">
        <v>7008</v>
      </c>
      <c r="D6365" s="208" t="s">
        <v>823</v>
      </c>
      <c r="E6365" s="209">
        <v>13.59</v>
      </c>
      <c r="F6365" s="209">
        <v>3.89</v>
      </c>
      <c r="G6365" s="209">
        <v>17.48</v>
      </c>
      <c r="H6365" s="198"/>
    </row>
    <row r="6366" spans="1:8" ht="15.75" hidden="1" customHeight="1" x14ac:dyDescent="0.25">
      <c r="A6366" s="205" t="s">
        <v>7002</v>
      </c>
      <c r="B6366" s="206">
        <v>97119</v>
      </c>
      <c r="C6366" s="207" t="s">
        <v>7009</v>
      </c>
      <c r="D6366" s="208" t="s">
        <v>823</v>
      </c>
      <c r="E6366" s="209">
        <v>12.88</v>
      </c>
      <c r="F6366" s="209">
        <v>2.38</v>
      </c>
      <c r="G6366" s="209">
        <v>15.26</v>
      </c>
      <c r="H6366" s="198"/>
    </row>
    <row r="6367" spans="1:8" ht="15.75" hidden="1" customHeight="1" x14ac:dyDescent="0.25">
      <c r="A6367" s="205" t="s">
        <v>7002</v>
      </c>
      <c r="B6367" s="206">
        <v>97114</v>
      </c>
      <c r="C6367" s="207" t="s">
        <v>7010</v>
      </c>
      <c r="D6367" s="208" t="s">
        <v>585</v>
      </c>
      <c r="E6367" s="209">
        <v>0.16</v>
      </c>
      <c r="F6367" s="209">
        <v>0.34</v>
      </c>
      <c r="G6367" s="209">
        <v>0.5</v>
      </c>
      <c r="H6367" s="198"/>
    </row>
    <row r="6368" spans="1:8" ht="15.75" hidden="1" customHeight="1" x14ac:dyDescent="0.25">
      <c r="A6368" s="205" t="s">
        <v>7002</v>
      </c>
      <c r="B6368" s="206">
        <v>97111</v>
      </c>
      <c r="C6368" s="207" t="s">
        <v>7011</v>
      </c>
      <c r="D6368" s="208" t="s">
        <v>578</v>
      </c>
      <c r="E6368" s="209">
        <v>239.85</v>
      </c>
      <c r="F6368" s="209">
        <v>21.22</v>
      </c>
      <c r="G6368" s="209">
        <v>261.07</v>
      </c>
      <c r="H6368" s="198"/>
    </row>
    <row r="6369" spans="1:8" ht="15.75" hidden="1" customHeight="1" x14ac:dyDescent="0.25">
      <c r="A6369" s="205" t="s">
        <v>7002</v>
      </c>
      <c r="B6369" s="206">
        <v>97112</v>
      </c>
      <c r="C6369" s="207" t="s">
        <v>7012</v>
      </c>
      <c r="D6369" s="208" t="s">
        <v>578</v>
      </c>
      <c r="E6369" s="209">
        <v>205.96</v>
      </c>
      <c r="F6369" s="209">
        <v>19.79</v>
      </c>
      <c r="G6369" s="209">
        <v>225.75</v>
      </c>
      <c r="H6369" s="198"/>
    </row>
    <row r="6370" spans="1:8" ht="15.75" hidden="1" customHeight="1" x14ac:dyDescent="0.25">
      <c r="A6370" s="205" t="s">
        <v>7002</v>
      </c>
      <c r="B6370" s="206">
        <v>103904</v>
      </c>
      <c r="C6370" s="207" t="s">
        <v>7013</v>
      </c>
      <c r="D6370" s="208" t="s">
        <v>578</v>
      </c>
      <c r="E6370" s="209">
        <v>110.31</v>
      </c>
      <c r="F6370" s="209">
        <v>15.97</v>
      </c>
      <c r="G6370" s="209">
        <v>126.28</v>
      </c>
      <c r="H6370" s="198"/>
    </row>
    <row r="6371" spans="1:8" ht="15.75" hidden="1" customHeight="1" x14ac:dyDescent="0.25">
      <c r="A6371" s="205" t="s">
        <v>7002</v>
      </c>
      <c r="B6371" s="206">
        <v>103905</v>
      </c>
      <c r="C6371" s="207" t="s">
        <v>7014</v>
      </c>
      <c r="D6371" s="208" t="s">
        <v>578</v>
      </c>
      <c r="E6371" s="209">
        <v>116.69</v>
      </c>
      <c r="F6371" s="209">
        <v>16.48</v>
      </c>
      <c r="G6371" s="209">
        <v>133.16999999999999</v>
      </c>
      <c r="H6371" s="198"/>
    </row>
    <row r="6372" spans="1:8" ht="15.75" hidden="1" customHeight="1" x14ac:dyDescent="0.25">
      <c r="A6372" s="205" t="s">
        <v>7002</v>
      </c>
      <c r="B6372" s="206">
        <v>103907</v>
      </c>
      <c r="C6372" s="207" t="s">
        <v>7015</v>
      </c>
      <c r="D6372" s="208" t="s">
        <v>578</v>
      </c>
      <c r="E6372" s="209">
        <v>123.06</v>
      </c>
      <c r="F6372" s="209">
        <v>16.920000000000002</v>
      </c>
      <c r="G6372" s="209">
        <v>139.97999999999999</v>
      </c>
      <c r="H6372" s="198"/>
    </row>
    <row r="6373" spans="1:8" ht="15.75" hidden="1" customHeight="1" x14ac:dyDescent="0.25">
      <c r="A6373" s="205" t="s">
        <v>7002</v>
      </c>
      <c r="B6373" s="206">
        <v>103911</v>
      </c>
      <c r="C6373" s="207" t="s">
        <v>7016</v>
      </c>
      <c r="D6373" s="208" t="s">
        <v>578</v>
      </c>
      <c r="E6373" s="209">
        <v>183.14</v>
      </c>
      <c r="F6373" s="209">
        <v>20.3</v>
      </c>
      <c r="G6373" s="209">
        <v>203.44</v>
      </c>
      <c r="H6373" s="198"/>
    </row>
    <row r="6374" spans="1:8" ht="15.75" hidden="1" customHeight="1" x14ac:dyDescent="0.25">
      <c r="A6374" s="205" t="s">
        <v>7002</v>
      </c>
      <c r="B6374" s="206">
        <v>97104</v>
      </c>
      <c r="C6374" s="207" t="s">
        <v>7017</v>
      </c>
      <c r="D6374" s="208" t="s">
        <v>578</v>
      </c>
      <c r="E6374" s="209">
        <v>113.72</v>
      </c>
      <c r="F6374" s="209">
        <v>15.96</v>
      </c>
      <c r="G6374" s="209">
        <v>129.68</v>
      </c>
      <c r="H6374" s="198"/>
    </row>
    <row r="6375" spans="1:8" ht="15.75" hidden="1" customHeight="1" x14ac:dyDescent="0.25">
      <c r="A6375" s="205" t="s">
        <v>7002</v>
      </c>
      <c r="B6375" s="206">
        <v>103906</v>
      </c>
      <c r="C6375" s="207" t="s">
        <v>7018</v>
      </c>
      <c r="D6375" s="208" t="s">
        <v>578</v>
      </c>
      <c r="E6375" s="209">
        <v>143.04</v>
      </c>
      <c r="F6375" s="209">
        <v>21.88</v>
      </c>
      <c r="G6375" s="209">
        <v>164.92</v>
      </c>
      <c r="H6375" s="198"/>
    </row>
    <row r="6376" spans="1:8" ht="15.75" hidden="1" customHeight="1" x14ac:dyDescent="0.25">
      <c r="A6376" s="205" t="s">
        <v>7002</v>
      </c>
      <c r="B6376" s="206">
        <v>97105</v>
      </c>
      <c r="C6376" s="207" t="s">
        <v>7019</v>
      </c>
      <c r="D6376" s="208" t="s">
        <v>578</v>
      </c>
      <c r="E6376" s="209">
        <v>129.04</v>
      </c>
      <c r="F6376" s="209">
        <v>17.16</v>
      </c>
      <c r="G6376" s="209">
        <v>146.19999999999999</v>
      </c>
      <c r="H6376" s="198"/>
    </row>
    <row r="6377" spans="1:8" ht="15.75" hidden="1" customHeight="1" x14ac:dyDescent="0.25">
      <c r="A6377" s="205" t="s">
        <v>7002</v>
      </c>
      <c r="B6377" s="206">
        <v>97106</v>
      </c>
      <c r="C6377" s="207" t="s">
        <v>7020</v>
      </c>
      <c r="D6377" s="208" t="s">
        <v>578</v>
      </c>
      <c r="E6377" s="209">
        <v>143.55000000000001</v>
      </c>
      <c r="F6377" s="209">
        <v>18.190000000000001</v>
      </c>
      <c r="G6377" s="209">
        <v>161.74</v>
      </c>
      <c r="H6377" s="198"/>
    </row>
    <row r="6378" spans="1:8" ht="15.75" hidden="1" customHeight="1" x14ac:dyDescent="0.25">
      <c r="A6378" s="205" t="s">
        <v>7002</v>
      </c>
      <c r="B6378" s="206">
        <v>97107</v>
      </c>
      <c r="C6378" s="207" t="s">
        <v>7021</v>
      </c>
      <c r="D6378" s="208" t="s">
        <v>578</v>
      </c>
      <c r="E6378" s="209">
        <v>164.7</v>
      </c>
      <c r="F6378" s="209">
        <v>19.25</v>
      </c>
      <c r="G6378" s="209">
        <v>183.95</v>
      </c>
      <c r="H6378" s="198"/>
    </row>
    <row r="6379" spans="1:8" ht="15.75" hidden="1" customHeight="1" x14ac:dyDescent="0.25">
      <c r="A6379" s="205" t="s">
        <v>7002</v>
      </c>
      <c r="B6379" s="206">
        <v>97108</v>
      </c>
      <c r="C6379" s="207" t="s">
        <v>7022</v>
      </c>
      <c r="D6379" s="208" t="s">
        <v>578</v>
      </c>
      <c r="E6379" s="209">
        <v>188.8</v>
      </c>
      <c r="F6379" s="209">
        <v>20.3</v>
      </c>
      <c r="G6379" s="209">
        <v>209.1</v>
      </c>
      <c r="H6379" s="198"/>
    </row>
    <row r="6380" spans="1:8" ht="15.75" hidden="1" customHeight="1" x14ac:dyDescent="0.25">
      <c r="A6380" s="205" t="s">
        <v>7002</v>
      </c>
      <c r="B6380" s="206">
        <v>97109</v>
      </c>
      <c r="C6380" s="207" t="s">
        <v>7023</v>
      </c>
      <c r="D6380" s="208" t="s">
        <v>578</v>
      </c>
      <c r="E6380" s="209">
        <v>208.77</v>
      </c>
      <c r="F6380" s="209">
        <v>22.14</v>
      </c>
      <c r="G6380" s="209">
        <v>230.91</v>
      </c>
      <c r="H6380" s="198"/>
    </row>
    <row r="6381" spans="1:8" ht="15.75" hidden="1" customHeight="1" x14ac:dyDescent="0.25">
      <c r="A6381" s="205" t="s">
        <v>7002</v>
      </c>
      <c r="B6381" s="206">
        <v>103913</v>
      </c>
      <c r="C6381" s="207" t="s">
        <v>7024</v>
      </c>
      <c r="D6381" s="208" t="s">
        <v>578</v>
      </c>
      <c r="E6381" s="209">
        <v>110.78</v>
      </c>
      <c r="F6381" s="209">
        <v>12.41</v>
      </c>
      <c r="G6381" s="209">
        <v>123.19</v>
      </c>
      <c r="H6381" s="198"/>
    </row>
    <row r="6382" spans="1:8" ht="15.75" hidden="1" customHeight="1" x14ac:dyDescent="0.25">
      <c r="A6382" s="205" t="s">
        <v>7002</v>
      </c>
      <c r="B6382" s="206">
        <v>103914</v>
      </c>
      <c r="C6382" s="207" t="s">
        <v>7025</v>
      </c>
      <c r="D6382" s="208" t="s">
        <v>578</v>
      </c>
      <c r="E6382" s="209">
        <v>129.19999999999999</v>
      </c>
      <c r="F6382" s="209">
        <v>13.89</v>
      </c>
      <c r="G6382" s="209">
        <v>143.09</v>
      </c>
      <c r="H6382" s="198"/>
    </row>
    <row r="6383" spans="1:8" ht="15.75" hidden="1" customHeight="1" x14ac:dyDescent="0.25">
      <c r="A6383" s="205" t="s">
        <v>7002</v>
      </c>
      <c r="B6383" s="206">
        <v>103915</v>
      </c>
      <c r="C6383" s="207" t="s">
        <v>7026</v>
      </c>
      <c r="D6383" s="208" t="s">
        <v>578</v>
      </c>
      <c r="E6383" s="209">
        <v>141.72</v>
      </c>
      <c r="F6383" s="209">
        <v>14.58</v>
      </c>
      <c r="G6383" s="209">
        <v>156.30000000000001</v>
      </c>
      <c r="H6383" s="198"/>
    </row>
    <row r="6384" spans="1:8" ht="15.75" hidden="1" customHeight="1" x14ac:dyDescent="0.25">
      <c r="A6384" s="205" t="s">
        <v>7002</v>
      </c>
      <c r="B6384" s="206">
        <v>103916</v>
      </c>
      <c r="C6384" s="207" t="s">
        <v>7027</v>
      </c>
      <c r="D6384" s="208" t="s">
        <v>578</v>
      </c>
      <c r="E6384" s="209">
        <v>161.97</v>
      </c>
      <c r="F6384" s="209">
        <v>16.25</v>
      </c>
      <c r="G6384" s="209">
        <v>178.22</v>
      </c>
      <c r="H6384" s="198"/>
    </row>
    <row r="6385" spans="1:8" ht="15.75" hidden="1" customHeight="1" x14ac:dyDescent="0.25">
      <c r="A6385" s="205" t="s">
        <v>7002</v>
      </c>
      <c r="B6385" s="206">
        <v>103917</v>
      </c>
      <c r="C6385" s="207" t="s">
        <v>7028</v>
      </c>
      <c r="D6385" s="208" t="s">
        <v>578</v>
      </c>
      <c r="E6385" s="209">
        <v>188.11</v>
      </c>
      <c r="F6385" s="209">
        <v>17.47</v>
      </c>
      <c r="G6385" s="209">
        <v>205.58</v>
      </c>
      <c r="H6385" s="198"/>
    </row>
    <row r="6386" spans="1:8" ht="15.75" hidden="1" customHeight="1" x14ac:dyDescent="0.25">
      <c r="A6386" s="205" t="s">
        <v>7002</v>
      </c>
      <c r="B6386" s="206">
        <v>103918</v>
      </c>
      <c r="C6386" s="207" t="s">
        <v>7029</v>
      </c>
      <c r="D6386" s="208" t="s">
        <v>578</v>
      </c>
      <c r="E6386" s="209">
        <v>198.63</v>
      </c>
      <c r="F6386" s="209">
        <v>18.3</v>
      </c>
      <c r="G6386" s="209">
        <v>216.93</v>
      </c>
      <c r="H6386" s="198"/>
    </row>
    <row r="6387" spans="1:8" ht="15.75" hidden="1" customHeight="1" x14ac:dyDescent="0.25">
      <c r="A6387" s="205" t="s">
        <v>7002</v>
      </c>
      <c r="B6387" s="206">
        <v>103908</v>
      </c>
      <c r="C6387" s="207" t="s">
        <v>7030</v>
      </c>
      <c r="D6387" s="208" t="s">
        <v>578</v>
      </c>
      <c r="E6387" s="209">
        <v>139.02000000000001</v>
      </c>
      <c r="F6387" s="209">
        <v>18.2</v>
      </c>
      <c r="G6387" s="209">
        <v>157.22</v>
      </c>
      <c r="H6387" s="198"/>
    </row>
    <row r="6388" spans="1:8" ht="15.75" hidden="1" customHeight="1" x14ac:dyDescent="0.25">
      <c r="A6388" s="205" t="s">
        <v>7002</v>
      </c>
      <c r="B6388" s="206">
        <v>103909</v>
      </c>
      <c r="C6388" s="207" t="s">
        <v>7031</v>
      </c>
      <c r="D6388" s="208" t="s">
        <v>578</v>
      </c>
      <c r="E6388" s="209">
        <v>159.6</v>
      </c>
      <c r="F6388" s="209">
        <v>19.260000000000002</v>
      </c>
      <c r="G6388" s="209">
        <v>178.86</v>
      </c>
      <c r="H6388" s="198"/>
    </row>
    <row r="6389" spans="1:8" ht="15.75" hidden="1" customHeight="1" x14ac:dyDescent="0.25">
      <c r="A6389" s="205" t="s">
        <v>7002</v>
      </c>
      <c r="B6389" s="206">
        <v>103912</v>
      </c>
      <c r="C6389" s="207" t="s">
        <v>7032</v>
      </c>
      <c r="D6389" s="208" t="s">
        <v>578</v>
      </c>
      <c r="E6389" s="209">
        <v>202.56</v>
      </c>
      <c r="F6389" s="209">
        <v>22.13</v>
      </c>
      <c r="G6389" s="209">
        <v>224.69</v>
      </c>
      <c r="H6389" s="198"/>
    </row>
    <row r="6390" spans="1:8" ht="15.75" hidden="1" customHeight="1" x14ac:dyDescent="0.25">
      <c r="A6390" s="205" t="s">
        <v>7033</v>
      </c>
      <c r="B6390" s="206">
        <v>101979</v>
      </c>
      <c r="C6390" s="207" t="s">
        <v>7034</v>
      </c>
      <c r="D6390" s="208" t="s">
        <v>585</v>
      </c>
      <c r="E6390" s="209">
        <v>34.869999999999997</v>
      </c>
      <c r="F6390" s="209">
        <v>6.68</v>
      </c>
      <c r="G6390" s="209">
        <v>41.55</v>
      </c>
      <c r="H6390" s="198"/>
    </row>
    <row r="6391" spans="1:8" ht="15.75" hidden="1" customHeight="1" x14ac:dyDescent="0.25">
      <c r="A6391" s="205" t="s">
        <v>7033</v>
      </c>
      <c r="B6391" s="206">
        <v>101966</v>
      </c>
      <c r="C6391" s="207" t="s">
        <v>7035</v>
      </c>
      <c r="D6391" s="208" t="s">
        <v>585</v>
      </c>
      <c r="E6391" s="209">
        <v>163.65</v>
      </c>
      <c r="F6391" s="209">
        <v>13.4</v>
      </c>
      <c r="G6391" s="209">
        <v>177.05</v>
      </c>
      <c r="H6391" s="198"/>
    </row>
    <row r="6392" spans="1:8" ht="15.75" hidden="1" customHeight="1" x14ac:dyDescent="0.25">
      <c r="A6392" s="205" t="s">
        <v>7033</v>
      </c>
      <c r="B6392" s="206">
        <v>101965</v>
      </c>
      <c r="C6392" s="207" t="s">
        <v>7036</v>
      </c>
      <c r="D6392" s="208" t="s">
        <v>585</v>
      </c>
      <c r="E6392" s="209">
        <v>117.18</v>
      </c>
      <c r="F6392" s="209">
        <v>29.03</v>
      </c>
      <c r="G6392" s="209">
        <v>146.21</v>
      </c>
      <c r="H6392" s="198"/>
    </row>
    <row r="6393" spans="1:8" ht="15.75" hidden="1" customHeight="1" x14ac:dyDescent="0.25">
      <c r="A6393" s="205" t="s">
        <v>7037</v>
      </c>
      <c r="B6393" s="206">
        <v>92123</v>
      </c>
      <c r="C6393" s="207" t="s">
        <v>7038</v>
      </c>
      <c r="D6393" s="208" t="s">
        <v>664</v>
      </c>
      <c r="E6393" s="209">
        <v>30.57</v>
      </c>
      <c r="F6393" s="209">
        <v>30.08</v>
      </c>
      <c r="G6393" s="209">
        <v>60.65</v>
      </c>
      <c r="H6393" s="198"/>
    </row>
    <row r="6394" spans="1:8" ht="15.75" hidden="1" customHeight="1" x14ac:dyDescent="0.25">
      <c r="A6394" s="205" t="s">
        <v>7037</v>
      </c>
      <c r="B6394" s="206">
        <v>92121</v>
      </c>
      <c r="C6394" s="207" t="s">
        <v>7039</v>
      </c>
      <c r="D6394" s="208" t="s">
        <v>664</v>
      </c>
      <c r="E6394" s="209">
        <v>14.45</v>
      </c>
      <c r="F6394" s="209">
        <v>25.73</v>
      </c>
      <c r="G6394" s="209">
        <v>40.18</v>
      </c>
      <c r="H6394" s="198"/>
    </row>
    <row r="6395" spans="1:8" ht="15.75" hidden="1" customHeight="1" x14ac:dyDescent="0.25">
      <c r="A6395" s="205" t="s">
        <v>7037</v>
      </c>
      <c r="B6395" s="206">
        <v>92122</v>
      </c>
      <c r="C6395" s="207" t="s">
        <v>7040</v>
      </c>
      <c r="D6395" s="208" t="s">
        <v>664</v>
      </c>
      <c r="E6395" s="209">
        <v>22.05</v>
      </c>
      <c r="F6395" s="209">
        <v>46.79</v>
      </c>
      <c r="G6395" s="209">
        <v>68.84</v>
      </c>
      <c r="H6395" s="198"/>
    </row>
    <row r="6396" spans="1:8" ht="15.75" hidden="1" customHeight="1" x14ac:dyDescent="0.25">
      <c r="A6396" s="205" t="s">
        <v>7041</v>
      </c>
      <c r="B6396" s="206">
        <v>88412</v>
      </c>
      <c r="C6396" s="207" t="s">
        <v>7042</v>
      </c>
      <c r="D6396" s="208" t="s">
        <v>578</v>
      </c>
      <c r="E6396" s="209">
        <v>2.92</v>
      </c>
      <c r="F6396" s="209">
        <v>0.95</v>
      </c>
      <c r="G6396" s="209">
        <v>3.87</v>
      </c>
      <c r="H6396" s="198"/>
    </row>
    <row r="6397" spans="1:8" ht="15.75" hidden="1" customHeight="1" x14ac:dyDescent="0.25">
      <c r="A6397" s="205" t="s">
        <v>7041</v>
      </c>
      <c r="B6397" s="206">
        <v>88411</v>
      </c>
      <c r="C6397" s="207" t="s">
        <v>7043</v>
      </c>
      <c r="D6397" s="208" t="s">
        <v>578</v>
      </c>
      <c r="E6397" s="209">
        <v>3.36</v>
      </c>
      <c r="F6397" s="209">
        <v>1.56</v>
      </c>
      <c r="G6397" s="209">
        <v>4.92</v>
      </c>
      <c r="H6397" s="198"/>
    </row>
    <row r="6398" spans="1:8" ht="15.75" hidden="1" customHeight="1" x14ac:dyDescent="0.25">
      <c r="A6398" s="205" t="s">
        <v>7041</v>
      </c>
      <c r="B6398" s="206">
        <v>88415</v>
      </c>
      <c r="C6398" s="207" t="s">
        <v>7044</v>
      </c>
      <c r="D6398" s="208" t="s">
        <v>578</v>
      </c>
      <c r="E6398" s="209">
        <v>3.35</v>
      </c>
      <c r="F6398" s="209">
        <v>1.71</v>
      </c>
      <c r="G6398" s="209">
        <v>5.0599999999999996</v>
      </c>
      <c r="H6398" s="198"/>
    </row>
    <row r="6399" spans="1:8" ht="15.75" hidden="1" customHeight="1" x14ac:dyDescent="0.25">
      <c r="A6399" s="205" t="s">
        <v>7041</v>
      </c>
      <c r="B6399" s="206">
        <v>88413</v>
      </c>
      <c r="C6399" s="207" t="s">
        <v>7045</v>
      </c>
      <c r="D6399" s="208" t="s">
        <v>578</v>
      </c>
      <c r="E6399" s="209">
        <v>3.68</v>
      </c>
      <c r="F6399" s="209">
        <v>2.75</v>
      </c>
      <c r="G6399" s="209">
        <v>6.43</v>
      </c>
      <c r="H6399" s="198"/>
    </row>
    <row r="6400" spans="1:8" ht="15.75" hidden="1" customHeight="1" x14ac:dyDescent="0.25">
      <c r="A6400" s="205" t="s">
        <v>7041</v>
      </c>
      <c r="B6400" s="206">
        <v>88414</v>
      </c>
      <c r="C6400" s="207" t="s">
        <v>7046</v>
      </c>
      <c r="D6400" s="208" t="s">
        <v>578</v>
      </c>
      <c r="E6400" s="209">
        <v>4.42</v>
      </c>
      <c r="F6400" s="209">
        <v>3.18</v>
      </c>
      <c r="G6400" s="209">
        <v>7.6</v>
      </c>
      <c r="H6400" s="198"/>
    </row>
    <row r="6401" spans="1:8" ht="15.75" hidden="1" customHeight="1" x14ac:dyDescent="0.25">
      <c r="A6401" s="205" t="s">
        <v>7041</v>
      </c>
      <c r="B6401" s="206">
        <v>96131</v>
      </c>
      <c r="C6401" s="207" t="s">
        <v>7047</v>
      </c>
      <c r="D6401" s="208" t="s">
        <v>578</v>
      </c>
      <c r="E6401" s="209">
        <v>18.579999999999998</v>
      </c>
      <c r="F6401" s="209">
        <v>17.23</v>
      </c>
      <c r="G6401" s="209">
        <v>35.81</v>
      </c>
      <c r="H6401" s="198"/>
    </row>
    <row r="6402" spans="1:8" ht="15.75" hidden="1" customHeight="1" x14ac:dyDescent="0.25">
      <c r="A6402" s="205" t="s">
        <v>7041</v>
      </c>
      <c r="B6402" s="206">
        <v>96126</v>
      </c>
      <c r="C6402" s="207" t="s">
        <v>7048</v>
      </c>
      <c r="D6402" s="208" t="s">
        <v>578</v>
      </c>
      <c r="E6402" s="209">
        <v>11.07</v>
      </c>
      <c r="F6402" s="209">
        <v>11.73</v>
      </c>
      <c r="G6402" s="209">
        <v>22.8</v>
      </c>
      <c r="H6402" s="198"/>
    </row>
    <row r="6403" spans="1:8" ht="15.75" hidden="1" customHeight="1" x14ac:dyDescent="0.25">
      <c r="A6403" s="205" t="s">
        <v>7041</v>
      </c>
      <c r="B6403" s="206">
        <v>96132</v>
      </c>
      <c r="C6403" s="207" t="s">
        <v>7049</v>
      </c>
      <c r="D6403" s="208" t="s">
        <v>578</v>
      </c>
      <c r="E6403" s="209">
        <v>14.45</v>
      </c>
      <c r="F6403" s="209">
        <v>9.14</v>
      </c>
      <c r="G6403" s="209">
        <v>23.59</v>
      </c>
      <c r="H6403" s="198"/>
    </row>
    <row r="6404" spans="1:8" ht="15.75" hidden="1" customHeight="1" x14ac:dyDescent="0.25">
      <c r="A6404" s="205" t="s">
        <v>7041</v>
      </c>
      <c r="B6404" s="206">
        <v>96127</v>
      </c>
      <c r="C6404" s="207" t="s">
        <v>7050</v>
      </c>
      <c r="D6404" s="208" t="s">
        <v>578</v>
      </c>
      <c r="E6404" s="209">
        <v>8.3800000000000008</v>
      </c>
      <c r="F6404" s="209">
        <v>6.21</v>
      </c>
      <c r="G6404" s="209">
        <v>14.59</v>
      </c>
      <c r="H6404" s="198"/>
    </row>
    <row r="6405" spans="1:8" ht="15.75" hidden="1" customHeight="1" x14ac:dyDescent="0.25">
      <c r="A6405" s="205" t="s">
        <v>7041</v>
      </c>
      <c r="B6405" s="206">
        <v>96135</v>
      </c>
      <c r="C6405" s="207" t="s">
        <v>7051</v>
      </c>
      <c r="D6405" s="208" t="s">
        <v>578</v>
      </c>
      <c r="E6405" s="209">
        <v>19.07</v>
      </c>
      <c r="F6405" s="209">
        <v>19.43</v>
      </c>
      <c r="G6405" s="209">
        <v>38.5</v>
      </c>
      <c r="H6405" s="198"/>
    </row>
    <row r="6406" spans="1:8" ht="15.75" hidden="1" customHeight="1" x14ac:dyDescent="0.25">
      <c r="A6406" s="205" t="s">
        <v>7041</v>
      </c>
      <c r="B6406" s="206">
        <v>96130</v>
      </c>
      <c r="C6406" s="207" t="s">
        <v>7052</v>
      </c>
      <c r="D6406" s="208" t="s">
        <v>578</v>
      </c>
      <c r="E6406" s="209">
        <v>11.48</v>
      </c>
      <c r="F6406" s="209">
        <v>13.22</v>
      </c>
      <c r="G6406" s="209">
        <v>24.7</v>
      </c>
      <c r="H6406" s="198"/>
    </row>
    <row r="6407" spans="1:8" ht="15.75" hidden="1" customHeight="1" x14ac:dyDescent="0.25">
      <c r="A6407" s="205" t="s">
        <v>7041</v>
      </c>
      <c r="B6407" s="206">
        <v>96133</v>
      </c>
      <c r="C6407" s="207" t="s">
        <v>7053</v>
      </c>
      <c r="D6407" s="208" t="s">
        <v>578</v>
      </c>
      <c r="E6407" s="209">
        <v>24.43</v>
      </c>
      <c r="F6407" s="209">
        <v>33.4</v>
      </c>
      <c r="G6407" s="209">
        <v>57.83</v>
      </c>
      <c r="H6407" s="198"/>
    </row>
    <row r="6408" spans="1:8" ht="15.75" hidden="1" customHeight="1" x14ac:dyDescent="0.25">
      <c r="A6408" s="205" t="s">
        <v>7041</v>
      </c>
      <c r="B6408" s="206">
        <v>96128</v>
      </c>
      <c r="C6408" s="207" t="s">
        <v>7054</v>
      </c>
      <c r="D6408" s="208" t="s">
        <v>578</v>
      </c>
      <c r="E6408" s="209">
        <v>15.18</v>
      </c>
      <c r="F6408" s="209">
        <v>22.73</v>
      </c>
      <c r="G6408" s="209">
        <v>37.909999999999997</v>
      </c>
      <c r="H6408" s="198"/>
    </row>
    <row r="6409" spans="1:8" ht="15.75" hidden="1" customHeight="1" x14ac:dyDescent="0.25">
      <c r="A6409" s="205" t="s">
        <v>7041</v>
      </c>
      <c r="B6409" s="206">
        <v>96134</v>
      </c>
      <c r="C6409" s="207" t="s">
        <v>7055</v>
      </c>
      <c r="D6409" s="208" t="s">
        <v>578</v>
      </c>
      <c r="E6409" s="209">
        <v>29.17</v>
      </c>
      <c r="F6409" s="209">
        <v>38.9</v>
      </c>
      <c r="G6409" s="209">
        <v>68.069999999999993</v>
      </c>
      <c r="H6409" s="198"/>
    </row>
    <row r="6410" spans="1:8" ht="15.75" hidden="1" customHeight="1" x14ac:dyDescent="0.25">
      <c r="A6410" s="205" t="s">
        <v>7041</v>
      </c>
      <c r="B6410" s="206">
        <v>96129</v>
      </c>
      <c r="C6410" s="207" t="s">
        <v>7056</v>
      </c>
      <c r="D6410" s="208" t="s">
        <v>578</v>
      </c>
      <c r="E6410" s="209">
        <v>18.07</v>
      </c>
      <c r="F6410" s="209">
        <v>26.48</v>
      </c>
      <c r="G6410" s="209">
        <v>44.55</v>
      </c>
      <c r="H6410" s="198"/>
    </row>
    <row r="6411" spans="1:8" ht="15.75" hidden="1" customHeight="1" x14ac:dyDescent="0.25">
      <c r="A6411" s="205" t="s">
        <v>7041</v>
      </c>
      <c r="B6411" s="206">
        <v>88432</v>
      </c>
      <c r="C6411" s="207" t="s">
        <v>7057</v>
      </c>
      <c r="D6411" s="208" t="s">
        <v>578</v>
      </c>
      <c r="E6411" s="209">
        <v>20.59</v>
      </c>
      <c r="F6411" s="209">
        <v>14.72</v>
      </c>
      <c r="G6411" s="209">
        <v>35.31</v>
      </c>
      <c r="H6411" s="198"/>
    </row>
    <row r="6412" spans="1:8" ht="15.75" hidden="1" customHeight="1" x14ac:dyDescent="0.25">
      <c r="A6412" s="205" t="s">
        <v>7041</v>
      </c>
      <c r="B6412" s="206">
        <v>88426</v>
      </c>
      <c r="C6412" s="207" t="s">
        <v>7058</v>
      </c>
      <c r="D6412" s="208" t="s">
        <v>578</v>
      </c>
      <c r="E6412" s="209">
        <v>16.18</v>
      </c>
      <c r="F6412" s="209">
        <v>3.97</v>
      </c>
      <c r="G6412" s="209">
        <v>20.149999999999999</v>
      </c>
      <c r="H6412" s="198"/>
    </row>
    <row r="6413" spans="1:8" ht="15.75" hidden="1" customHeight="1" x14ac:dyDescent="0.25">
      <c r="A6413" s="205" t="s">
        <v>7041</v>
      </c>
      <c r="B6413" s="206">
        <v>88417</v>
      </c>
      <c r="C6413" s="207" t="s">
        <v>7059</v>
      </c>
      <c r="D6413" s="208" t="s">
        <v>578</v>
      </c>
      <c r="E6413" s="209">
        <v>15.46</v>
      </c>
      <c r="F6413" s="209">
        <v>2.2200000000000002</v>
      </c>
      <c r="G6413" s="209">
        <v>17.68</v>
      </c>
      <c r="H6413" s="198"/>
    </row>
    <row r="6414" spans="1:8" ht="15.75" hidden="1" customHeight="1" x14ac:dyDescent="0.25">
      <c r="A6414" s="205" t="s">
        <v>7041</v>
      </c>
      <c r="B6414" s="206">
        <v>88424</v>
      </c>
      <c r="C6414" s="207" t="s">
        <v>7060</v>
      </c>
      <c r="D6414" s="208" t="s">
        <v>578</v>
      </c>
      <c r="E6414" s="209">
        <v>18.62</v>
      </c>
      <c r="F6414" s="209">
        <v>7.39</v>
      </c>
      <c r="G6414" s="209">
        <v>26.01</v>
      </c>
      <c r="H6414" s="198"/>
    </row>
    <row r="6415" spans="1:8" ht="15.75" hidden="1" customHeight="1" x14ac:dyDescent="0.25">
      <c r="A6415" s="205" t="s">
        <v>7041</v>
      </c>
      <c r="B6415" s="206">
        <v>88416</v>
      </c>
      <c r="C6415" s="207" t="s">
        <v>7061</v>
      </c>
      <c r="D6415" s="208" t="s">
        <v>578</v>
      </c>
      <c r="E6415" s="209">
        <v>17.28</v>
      </c>
      <c r="F6415" s="209">
        <v>4.1399999999999997</v>
      </c>
      <c r="G6415" s="209">
        <v>21.42</v>
      </c>
      <c r="H6415" s="198"/>
    </row>
    <row r="6416" spans="1:8" ht="15.75" hidden="1" customHeight="1" x14ac:dyDescent="0.25">
      <c r="A6416" s="205" t="s">
        <v>7041</v>
      </c>
      <c r="B6416" s="206">
        <v>88431</v>
      </c>
      <c r="C6416" s="207" t="s">
        <v>7062</v>
      </c>
      <c r="D6416" s="208" t="s">
        <v>578</v>
      </c>
      <c r="E6416" s="209">
        <v>18.48</v>
      </c>
      <c r="F6416" s="209">
        <v>8.31</v>
      </c>
      <c r="G6416" s="209">
        <v>26.79</v>
      </c>
      <c r="H6416" s="198"/>
    </row>
    <row r="6417" spans="1:8" ht="15.75" hidden="1" customHeight="1" x14ac:dyDescent="0.25">
      <c r="A6417" s="205" t="s">
        <v>7041</v>
      </c>
      <c r="B6417" s="206">
        <v>88423</v>
      </c>
      <c r="C6417" s="207" t="s">
        <v>7063</v>
      </c>
      <c r="D6417" s="208" t="s">
        <v>578</v>
      </c>
      <c r="E6417" s="209">
        <v>16.98</v>
      </c>
      <c r="F6417" s="209">
        <v>4.6500000000000004</v>
      </c>
      <c r="G6417" s="209">
        <v>21.63</v>
      </c>
      <c r="H6417" s="198"/>
    </row>
    <row r="6418" spans="1:8" ht="15.75" hidden="1" customHeight="1" x14ac:dyDescent="0.25">
      <c r="A6418" s="205" t="s">
        <v>7041</v>
      </c>
      <c r="B6418" s="206">
        <v>88428</v>
      </c>
      <c r="C6418" s="207" t="s">
        <v>7064</v>
      </c>
      <c r="D6418" s="208" t="s">
        <v>578</v>
      </c>
      <c r="E6418" s="209">
        <v>20.38</v>
      </c>
      <c r="F6418" s="209">
        <v>14.19</v>
      </c>
      <c r="G6418" s="209">
        <v>34.57</v>
      </c>
      <c r="H6418" s="198"/>
    </row>
    <row r="6419" spans="1:8" ht="15.75" hidden="1" customHeight="1" x14ac:dyDescent="0.25">
      <c r="A6419" s="205" t="s">
        <v>7041</v>
      </c>
      <c r="B6419" s="206">
        <v>88420</v>
      </c>
      <c r="C6419" s="207" t="s">
        <v>7065</v>
      </c>
      <c r="D6419" s="208" t="s">
        <v>578</v>
      </c>
      <c r="E6419" s="209">
        <v>17.82</v>
      </c>
      <c r="F6419" s="209">
        <v>7.96</v>
      </c>
      <c r="G6419" s="209">
        <v>25.78</v>
      </c>
      <c r="H6419" s="198"/>
    </row>
    <row r="6420" spans="1:8" ht="15.75" hidden="1" customHeight="1" x14ac:dyDescent="0.25">
      <c r="A6420" s="205" t="s">
        <v>7041</v>
      </c>
      <c r="B6420" s="206">
        <v>88429</v>
      </c>
      <c r="C6420" s="207" t="s">
        <v>7066</v>
      </c>
      <c r="D6420" s="208" t="s">
        <v>578</v>
      </c>
      <c r="E6420" s="209">
        <v>24.69</v>
      </c>
      <c r="F6420" s="209">
        <v>16.5</v>
      </c>
      <c r="G6420" s="209">
        <v>41.19</v>
      </c>
      <c r="H6420" s="198"/>
    </row>
    <row r="6421" spans="1:8" ht="15.75" hidden="1" customHeight="1" x14ac:dyDescent="0.25">
      <c r="A6421" s="205" t="s">
        <v>7041</v>
      </c>
      <c r="B6421" s="206">
        <v>88421</v>
      </c>
      <c r="C6421" s="207" t="s">
        <v>7067</v>
      </c>
      <c r="D6421" s="208" t="s">
        <v>578</v>
      </c>
      <c r="E6421" s="209">
        <v>21.7</v>
      </c>
      <c r="F6421" s="209">
        <v>9.26</v>
      </c>
      <c r="G6421" s="209">
        <v>30.96</v>
      </c>
      <c r="H6421" s="198"/>
    </row>
    <row r="6422" spans="1:8" ht="15.75" hidden="1" customHeight="1" x14ac:dyDescent="0.25">
      <c r="A6422" s="205" t="s">
        <v>7041</v>
      </c>
      <c r="B6422" s="206">
        <v>95622</v>
      </c>
      <c r="C6422" s="207" t="s">
        <v>7068</v>
      </c>
      <c r="D6422" s="208" t="s">
        <v>578</v>
      </c>
      <c r="E6422" s="209">
        <v>9.15</v>
      </c>
      <c r="F6422" s="209">
        <v>7.79</v>
      </c>
      <c r="G6422" s="209">
        <v>16.940000000000001</v>
      </c>
      <c r="H6422" s="198"/>
    </row>
    <row r="6423" spans="1:8" ht="15.75" hidden="1" customHeight="1" x14ac:dyDescent="0.25">
      <c r="A6423" s="205" t="s">
        <v>7041</v>
      </c>
      <c r="B6423" s="206">
        <v>95623</v>
      </c>
      <c r="C6423" s="207" t="s">
        <v>7069</v>
      </c>
      <c r="D6423" s="208" t="s">
        <v>578</v>
      </c>
      <c r="E6423" s="209">
        <v>7.25</v>
      </c>
      <c r="F6423" s="209">
        <v>4.12</v>
      </c>
      <c r="G6423" s="209">
        <v>11.37</v>
      </c>
      <c r="H6423" s="198"/>
    </row>
    <row r="6424" spans="1:8" ht="15.75" hidden="1" customHeight="1" x14ac:dyDescent="0.25">
      <c r="A6424" s="205" t="s">
        <v>7041</v>
      </c>
      <c r="B6424" s="206">
        <v>95626</v>
      </c>
      <c r="C6424" s="207" t="s">
        <v>7070</v>
      </c>
      <c r="D6424" s="208" t="s">
        <v>578</v>
      </c>
      <c r="E6424" s="209">
        <v>9.3699999999999992</v>
      </c>
      <c r="F6424" s="209">
        <v>8.76</v>
      </c>
      <c r="G6424" s="209">
        <v>18.13</v>
      </c>
      <c r="H6424" s="198"/>
    </row>
    <row r="6425" spans="1:8" ht="15.75" hidden="1" customHeight="1" x14ac:dyDescent="0.25">
      <c r="A6425" s="205" t="s">
        <v>7041</v>
      </c>
      <c r="B6425" s="206">
        <v>95624</v>
      </c>
      <c r="C6425" s="207" t="s">
        <v>7071</v>
      </c>
      <c r="D6425" s="208" t="s">
        <v>578</v>
      </c>
      <c r="E6425" s="209">
        <v>11.75</v>
      </c>
      <c r="F6425" s="209">
        <v>15.08</v>
      </c>
      <c r="G6425" s="209">
        <v>26.83</v>
      </c>
      <c r="H6425" s="198"/>
    </row>
    <row r="6426" spans="1:8" ht="15.75" hidden="1" customHeight="1" x14ac:dyDescent="0.25">
      <c r="A6426" s="205" t="s">
        <v>7041</v>
      </c>
      <c r="B6426" s="206">
        <v>95625</v>
      </c>
      <c r="C6426" s="207" t="s">
        <v>7072</v>
      </c>
      <c r="D6426" s="208" t="s">
        <v>578</v>
      </c>
      <c r="E6426" s="209">
        <v>14.08</v>
      </c>
      <c r="F6426" s="209">
        <v>17.559999999999999</v>
      </c>
      <c r="G6426" s="209">
        <v>31.64</v>
      </c>
      <c r="H6426" s="198"/>
    </row>
    <row r="6427" spans="1:8" ht="15.75" hidden="1" customHeight="1" x14ac:dyDescent="0.25">
      <c r="A6427" s="205" t="s">
        <v>7073</v>
      </c>
      <c r="B6427" s="206">
        <v>88497</v>
      </c>
      <c r="C6427" s="207" t="s">
        <v>7074</v>
      </c>
      <c r="D6427" s="208" t="s">
        <v>578</v>
      </c>
      <c r="E6427" s="209">
        <v>11.12</v>
      </c>
      <c r="F6427" s="209">
        <v>12.24</v>
      </c>
      <c r="G6427" s="209">
        <v>23.36</v>
      </c>
      <c r="H6427" s="198"/>
    </row>
    <row r="6428" spans="1:8" ht="15.75" hidden="1" customHeight="1" x14ac:dyDescent="0.25">
      <c r="A6428" s="205" t="s">
        <v>7073</v>
      </c>
      <c r="B6428" s="206">
        <v>88495</v>
      </c>
      <c r="C6428" s="207" t="s">
        <v>7075</v>
      </c>
      <c r="D6428" s="208" t="s">
        <v>578</v>
      </c>
      <c r="E6428" s="209">
        <v>6.74</v>
      </c>
      <c r="F6428" s="209">
        <v>8.33</v>
      </c>
      <c r="G6428" s="209">
        <v>15.07</v>
      </c>
      <c r="H6428" s="198"/>
    </row>
    <row r="6429" spans="1:8" ht="15.75" hidden="1" customHeight="1" x14ac:dyDescent="0.25">
      <c r="A6429" s="205" t="s">
        <v>7073</v>
      </c>
      <c r="B6429" s="206">
        <v>88496</v>
      </c>
      <c r="C6429" s="207" t="s">
        <v>7076</v>
      </c>
      <c r="D6429" s="208" t="s">
        <v>578</v>
      </c>
      <c r="E6429" s="209">
        <v>16.510000000000002</v>
      </c>
      <c r="F6429" s="209">
        <v>25.17</v>
      </c>
      <c r="G6429" s="209">
        <v>41.68</v>
      </c>
      <c r="H6429" s="198"/>
    </row>
    <row r="6430" spans="1:8" ht="15.75" hidden="1" customHeight="1" x14ac:dyDescent="0.25">
      <c r="A6430" s="205" t="s">
        <v>7073</v>
      </c>
      <c r="B6430" s="206">
        <v>88494</v>
      </c>
      <c r="C6430" s="207" t="s">
        <v>7077</v>
      </c>
      <c r="D6430" s="208" t="s">
        <v>578</v>
      </c>
      <c r="E6430" s="209">
        <v>10.41</v>
      </c>
      <c r="F6430" s="209">
        <v>17.14</v>
      </c>
      <c r="G6430" s="209">
        <v>27.55</v>
      </c>
      <c r="H6430" s="198"/>
    </row>
    <row r="6431" spans="1:8" ht="15.75" hidden="1" customHeight="1" x14ac:dyDescent="0.25">
      <c r="A6431" s="205" t="s">
        <v>7073</v>
      </c>
      <c r="B6431" s="206">
        <v>88485</v>
      </c>
      <c r="C6431" s="207" t="s">
        <v>7078</v>
      </c>
      <c r="D6431" s="208" t="s">
        <v>578</v>
      </c>
      <c r="E6431" s="209">
        <v>2.42</v>
      </c>
      <c r="F6431" s="209">
        <v>2.25</v>
      </c>
      <c r="G6431" s="209">
        <v>4.67</v>
      </c>
      <c r="H6431" s="198"/>
    </row>
    <row r="6432" spans="1:8" ht="15.75" hidden="1" customHeight="1" x14ac:dyDescent="0.25">
      <c r="A6432" s="205" t="s">
        <v>7073</v>
      </c>
      <c r="B6432" s="206">
        <v>88484</v>
      </c>
      <c r="C6432" s="207" t="s">
        <v>7079</v>
      </c>
      <c r="D6432" s="208" t="s">
        <v>578</v>
      </c>
      <c r="E6432" s="209">
        <v>2.8</v>
      </c>
      <c r="F6432" s="209">
        <v>3.13</v>
      </c>
      <c r="G6432" s="209">
        <v>5.93</v>
      </c>
      <c r="H6432" s="198"/>
    </row>
    <row r="6433" spans="1:8" ht="15.75" hidden="1" customHeight="1" x14ac:dyDescent="0.25">
      <c r="A6433" s="205" t="s">
        <v>7073</v>
      </c>
      <c r="B6433" s="206">
        <v>104641</v>
      </c>
      <c r="C6433" s="207" t="s">
        <v>7080</v>
      </c>
      <c r="D6433" s="208" t="s">
        <v>578</v>
      </c>
      <c r="E6433" s="209">
        <v>5.43</v>
      </c>
      <c r="F6433" s="209">
        <v>5.52</v>
      </c>
      <c r="G6433" s="209">
        <v>10.95</v>
      </c>
      <c r="H6433" s="198"/>
    </row>
    <row r="6434" spans="1:8" ht="15.75" hidden="1" customHeight="1" x14ac:dyDescent="0.25">
      <c r="A6434" s="205" t="s">
        <v>7073</v>
      </c>
      <c r="B6434" s="206">
        <v>104639</v>
      </c>
      <c r="C6434" s="207" t="s">
        <v>7081</v>
      </c>
      <c r="D6434" s="208" t="s">
        <v>578</v>
      </c>
      <c r="E6434" s="209">
        <v>6.33</v>
      </c>
      <c r="F6434" s="209">
        <v>7.69</v>
      </c>
      <c r="G6434" s="209">
        <v>14.02</v>
      </c>
      <c r="H6434" s="198"/>
    </row>
    <row r="6435" spans="1:8" ht="15.75" hidden="1" customHeight="1" x14ac:dyDescent="0.25">
      <c r="A6435" s="205" t="s">
        <v>7073</v>
      </c>
      <c r="B6435" s="206">
        <v>88489</v>
      </c>
      <c r="C6435" s="207" t="s">
        <v>7082</v>
      </c>
      <c r="D6435" s="208" t="s">
        <v>578</v>
      </c>
      <c r="E6435" s="209">
        <v>8.69</v>
      </c>
      <c r="F6435" s="209">
        <v>5.53</v>
      </c>
      <c r="G6435" s="209">
        <v>14.22</v>
      </c>
      <c r="H6435" s="198"/>
    </row>
    <row r="6436" spans="1:8" ht="15.75" hidden="1" customHeight="1" x14ac:dyDescent="0.25">
      <c r="A6436" s="205" t="s">
        <v>7073</v>
      </c>
      <c r="B6436" s="206">
        <v>88488</v>
      </c>
      <c r="C6436" s="207" t="s">
        <v>7083</v>
      </c>
      <c r="D6436" s="208" t="s">
        <v>578</v>
      </c>
      <c r="E6436" s="209">
        <v>9.6</v>
      </c>
      <c r="F6436" s="209">
        <v>7.69</v>
      </c>
      <c r="G6436" s="209">
        <v>17.29</v>
      </c>
      <c r="H6436" s="198"/>
    </row>
    <row r="6437" spans="1:8" ht="15.75" hidden="1" customHeight="1" x14ac:dyDescent="0.25">
      <c r="A6437" s="205" t="s">
        <v>7073</v>
      </c>
      <c r="B6437" s="206">
        <v>104642</v>
      </c>
      <c r="C6437" s="207" t="s">
        <v>7084</v>
      </c>
      <c r="D6437" s="208" t="s">
        <v>578</v>
      </c>
      <c r="E6437" s="209">
        <v>6.63</v>
      </c>
      <c r="F6437" s="209">
        <v>5.53</v>
      </c>
      <c r="G6437" s="209">
        <v>12.16</v>
      </c>
      <c r="H6437" s="198"/>
    </row>
    <row r="6438" spans="1:8" ht="15.75" hidden="1" customHeight="1" x14ac:dyDescent="0.25">
      <c r="A6438" s="205" t="s">
        <v>7073</v>
      </c>
      <c r="B6438" s="206">
        <v>104640</v>
      </c>
      <c r="C6438" s="207" t="s">
        <v>7085</v>
      </c>
      <c r="D6438" s="208" t="s">
        <v>578</v>
      </c>
      <c r="E6438" s="209">
        <v>7.53</v>
      </c>
      <c r="F6438" s="209">
        <v>7.7</v>
      </c>
      <c r="G6438" s="209">
        <v>15.23</v>
      </c>
      <c r="H6438" s="198"/>
    </row>
    <row r="6439" spans="1:8" ht="15.75" hidden="1" customHeight="1" x14ac:dyDescent="0.25">
      <c r="A6439" s="205" t="s">
        <v>7073</v>
      </c>
      <c r="B6439" s="206">
        <v>95305</v>
      </c>
      <c r="C6439" s="207" t="s">
        <v>7086</v>
      </c>
      <c r="D6439" s="208" t="s">
        <v>578</v>
      </c>
      <c r="E6439" s="209">
        <v>9.5399999999999991</v>
      </c>
      <c r="F6439" s="209">
        <v>5.23</v>
      </c>
      <c r="G6439" s="209">
        <v>14.77</v>
      </c>
      <c r="H6439" s="198"/>
    </row>
    <row r="6440" spans="1:8" ht="15.75" hidden="1" customHeight="1" x14ac:dyDescent="0.25">
      <c r="A6440" s="205" t="s">
        <v>7073</v>
      </c>
      <c r="B6440" s="206">
        <v>95306</v>
      </c>
      <c r="C6440" s="207" t="s">
        <v>7087</v>
      </c>
      <c r="D6440" s="208" t="s">
        <v>578</v>
      </c>
      <c r="E6440" s="209">
        <v>10.41</v>
      </c>
      <c r="F6440" s="209">
        <v>7.27</v>
      </c>
      <c r="G6440" s="209">
        <v>17.68</v>
      </c>
      <c r="H6440" s="198"/>
    </row>
    <row r="6441" spans="1:8" ht="15.75" hidden="1" customHeight="1" x14ac:dyDescent="0.25">
      <c r="A6441" s="205" t="s">
        <v>7088</v>
      </c>
      <c r="B6441" s="206">
        <v>102201</v>
      </c>
      <c r="C6441" s="207" t="s">
        <v>7089</v>
      </c>
      <c r="D6441" s="208" t="s">
        <v>578</v>
      </c>
      <c r="E6441" s="209">
        <v>12.41</v>
      </c>
      <c r="F6441" s="209">
        <v>12.4</v>
      </c>
      <c r="G6441" s="209">
        <v>24.81</v>
      </c>
      <c r="H6441" s="198"/>
    </row>
    <row r="6442" spans="1:8" ht="15.75" hidden="1" customHeight="1" x14ac:dyDescent="0.25">
      <c r="A6442" s="205" t="s">
        <v>7088</v>
      </c>
      <c r="B6442" s="206">
        <v>102200</v>
      </c>
      <c r="C6442" s="207" t="s">
        <v>7090</v>
      </c>
      <c r="D6442" s="208" t="s">
        <v>578</v>
      </c>
      <c r="E6442" s="209">
        <v>16.579999999999998</v>
      </c>
      <c r="F6442" s="209">
        <v>10.08</v>
      </c>
      <c r="G6442" s="209">
        <v>26.66</v>
      </c>
      <c r="H6442" s="198"/>
    </row>
    <row r="6443" spans="1:8" ht="15.75" hidden="1" customHeight="1" x14ac:dyDescent="0.25">
      <c r="A6443" s="205" t="s">
        <v>7088</v>
      </c>
      <c r="B6443" s="206">
        <v>102202</v>
      </c>
      <c r="C6443" s="207" t="s">
        <v>7091</v>
      </c>
      <c r="D6443" s="208" t="s">
        <v>578</v>
      </c>
      <c r="E6443" s="209">
        <v>53.48</v>
      </c>
      <c r="F6443" s="209">
        <v>10.08</v>
      </c>
      <c r="G6443" s="209">
        <v>63.56</v>
      </c>
      <c r="H6443" s="198"/>
    </row>
    <row r="6444" spans="1:8" ht="15.75" hidden="1" customHeight="1" x14ac:dyDescent="0.25">
      <c r="A6444" s="205" t="s">
        <v>7088</v>
      </c>
      <c r="B6444" s="206">
        <v>102193</v>
      </c>
      <c r="C6444" s="207" t="s">
        <v>7092</v>
      </c>
      <c r="D6444" s="208" t="s">
        <v>578</v>
      </c>
      <c r="E6444" s="209">
        <v>1.2</v>
      </c>
      <c r="F6444" s="209">
        <v>1.47</v>
      </c>
      <c r="G6444" s="209">
        <v>2.67</v>
      </c>
      <c r="H6444" s="198"/>
    </row>
    <row r="6445" spans="1:8" ht="15.75" hidden="1" customHeight="1" x14ac:dyDescent="0.25">
      <c r="A6445" s="205" t="s">
        <v>7088</v>
      </c>
      <c r="B6445" s="206">
        <v>102194</v>
      </c>
      <c r="C6445" s="207" t="s">
        <v>7093</v>
      </c>
      <c r="D6445" s="208" t="s">
        <v>578</v>
      </c>
      <c r="E6445" s="209">
        <v>3.63</v>
      </c>
      <c r="F6445" s="209">
        <v>7.15</v>
      </c>
      <c r="G6445" s="209">
        <v>10.78</v>
      </c>
      <c r="H6445" s="198"/>
    </row>
    <row r="6446" spans="1:8" ht="15.75" hidden="1" customHeight="1" x14ac:dyDescent="0.25">
      <c r="A6446" s="205" t="s">
        <v>7088</v>
      </c>
      <c r="B6446" s="206">
        <v>102197</v>
      </c>
      <c r="C6446" s="207" t="s">
        <v>7094</v>
      </c>
      <c r="D6446" s="208" t="s">
        <v>578</v>
      </c>
      <c r="E6446" s="209">
        <v>25.71</v>
      </c>
      <c r="F6446" s="209">
        <v>7.69</v>
      </c>
      <c r="G6446" s="209">
        <v>33.4</v>
      </c>
      <c r="H6446" s="198"/>
    </row>
    <row r="6447" spans="1:8" ht="15.75" hidden="1" customHeight="1" x14ac:dyDescent="0.25">
      <c r="A6447" s="205" t="s">
        <v>7088</v>
      </c>
      <c r="B6447" s="206">
        <v>102233</v>
      </c>
      <c r="C6447" s="207" t="s">
        <v>7095</v>
      </c>
      <c r="D6447" s="208" t="s">
        <v>578</v>
      </c>
      <c r="E6447" s="209">
        <v>7.08</v>
      </c>
      <c r="F6447" s="209">
        <v>6.2</v>
      </c>
      <c r="G6447" s="209">
        <v>13.28</v>
      </c>
      <c r="H6447" s="198"/>
    </row>
    <row r="6448" spans="1:8" ht="15.75" hidden="1" customHeight="1" x14ac:dyDescent="0.25">
      <c r="A6448" s="205" t="s">
        <v>7088</v>
      </c>
      <c r="B6448" s="206">
        <v>102234</v>
      </c>
      <c r="C6448" s="207" t="s">
        <v>7096</v>
      </c>
      <c r="D6448" s="208" t="s">
        <v>578</v>
      </c>
      <c r="E6448" s="209">
        <v>14.15</v>
      </c>
      <c r="F6448" s="209">
        <v>12.42</v>
      </c>
      <c r="G6448" s="209">
        <v>26.57</v>
      </c>
      <c r="H6448" s="198"/>
    </row>
    <row r="6449" spans="1:8" ht="15.75" hidden="1" customHeight="1" x14ac:dyDescent="0.25">
      <c r="A6449" s="205" t="s">
        <v>7088</v>
      </c>
      <c r="B6449" s="206">
        <v>102207</v>
      </c>
      <c r="C6449" s="207" t="s">
        <v>7097</v>
      </c>
      <c r="D6449" s="208" t="s">
        <v>578</v>
      </c>
      <c r="E6449" s="209">
        <v>5.0999999999999996</v>
      </c>
      <c r="F6449" s="209">
        <v>5.21</v>
      </c>
      <c r="G6449" s="209">
        <v>10.31</v>
      </c>
      <c r="H6449" s="198"/>
    </row>
    <row r="6450" spans="1:8" ht="15.75" hidden="1" customHeight="1" x14ac:dyDescent="0.25">
      <c r="A6450" s="205" t="s">
        <v>7088</v>
      </c>
      <c r="B6450" s="206">
        <v>102217</v>
      </c>
      <c r="C6450" s="207" t="s">
        <v>7098</v>
      </c>
      <c r="D6450" s="208" t="s">
        <v>578</v>
      </c>
      <c r="E6450" s="209">
        <v>10.19</v>
      </c>
      <c r="F6450" s="209">
        <v>10.44</v>
      </c>
      <c r="G6450" s="209">
        <v>20.63</v>
      </c>
      <c r="H6450" s="198"/>
    </row>
    <row r="6451" spans="1:8" ht="15.75" hidden="1" customHeight="1" x14ac:dyDescent="0.25">
      <c r="A6451" s="205" t="s">
        <v>7088</v>
      </c>
      <c r="B6451" s="206">
        <v>102227</v>
      </c>
      <c r="C6451" s="207" t="s">
        <v>7099</v>
      </c>
      <c r="D6451" s="208" t="s">
        <v>578</v>
      </c>
      <c r="E6451" s="209">
        <v>15.29</v>
      </c>
      <c r="F6451" s="209">
        <v>15.65</v>
      </c>
      <c r="G6451" s="209">
        <v>30.94</v>
      </c>
      <c r="H6451" s="198"/>
    </row>
    <row r="6452" spans="1:8" ht="15.75" hidden="1" customHeight="1" x14ac:dyDescent="0.25">
      <c r="A6452" s="205" t="s">
        <v>7088</v>
      </c>
      <c r="B6452" s="206">
        <v>102209</v>
      </c>
      <c r="C6452" s="207" t="s">
        <v>7100</v>
      </c>
      <c r="D6452" s="208" t="s">
        <v>578</v>
      </c>
      <c r="E6452" s="209">
        <v>4.95</v>
      </c>
      <c r="F6452" s="209">
        <v>5.22</v>
      </c>
      <c r="G6452" s="209">
        <v>10.17</v>
      </c>
      <c r="H6452" s="198"/>
    </row>
    <row r="6453" spans="1:8" ht="15.75" hidden="1" customHeight="1" x14ac:dyDescent="0.25">
      <c r="A6453" s="205" t="s">
        <v>7088</v>
      </c>
      <c r="B6453" s="206">
        <v>102219</v>
      </c>
      <c r="C6453" s="207" t="s">
        <v>7101</v>
      </c>
      <c r="D6453" s="208" t="s">
        <v>578</v>
      </c>
      <c r="E6453" s="209">
        <v>9.92</v>
      </c>
      <c r="F6453" s="209">
        <v>10.44</v>
      </c>
      <c r="G6453" s="209">
        <v>20.36</v>
      </c>
      <c r="H6453" s="198"/>
    </row>
    <row r="6454" spans="1:8" ht="15.75" hidden="1" customHeight="1" x14ac:dyDescent="0.25">
      <c r="A6454" s="205" t="s">
        <v>7088</v>
      </c>
      <c r="B6454" s="206">
        <v>102229</v>
      </c>
      <c r="C6454" s="207" t="s">
        <v>7102</v>
      </c>
      <c r="D6454" s="208" t="s">
        <v>578</v>
      </c>
      <c r="E6454" s="209">
        <v>14.88</v>
      </c>
      <c r="F6454" s="209">
        <v>15.66</v>
      </c>
      <c r="G6454" s="209">
        <v>30.54</v>
      </c>
      <c r="H6454" s="198"/>
    </row>
    <row r="6455" spans="1:8" ht="15.75" hidden="1" customHeight="1" x14ac:dyDescent="0.25">
      <c r="A6455" s="205" t="s">
        <v>7088</v>
      </c>
      <c r="B6455" s="206">
        <v>102210</v>
      </c>
      <c r="C6455" s="207" t="s">
        <v>7103</v>
      </c>
      <c r="D6455" s="208" t="s">
        <v>578</v>
      </c>
      <c r="E6455" s="209">
        <v>4.57</v>
      </c>
      <c r="F6455" s="209">
        <v>5.22</v>
      </c>
      <c r="G6455" s="209">
        <v>9.7899999999999991</v>
      </c>
      <c r="H6455" s="198"/>
    </row>
    <row r="6456" spans="1:8" ht="15.75" hidden="1" customHeight="1" x14ac:dyDescent="0.25">
      <c r="A6456" s="205" t="s">
        <v>7088</v>
      </c>
      <c r="B6456" s="206">
        <v>102220</v>
      </c>
      <c r="C6456" s="207" t="s">
        <v>7104</v>
      </c>
      <c r="D6456" s="208" t="s">
        <v>578</v>
      </c>
      <c r="E6456" s="209">
        <v>9.16</v>
      </c>
      <c r="F6456" s="209">
        <v>10.43</v>
      </c>
      <c r="G6456" s="209">
        <v>19.59</v>
      </c>
      <c r="H6456" s="198"/>
    </row>
    <row r="6457" spans="1:8" ht="15.75" hidden="1" customHeight="1" x14ac:dyDescent="0.25">
      <c r="A6457" s="205" t="s">
        <v>7088</v>
      </c>
      <c r="B6457" s="206">
        <v>102230</v>
      </c>
      <c r="C6457" s="207" t="s">
        <v>7105</v>
      </c>
      <c r="D6457" s="208" t="s">
        <v>578</v>
      </c>
      <c r="E6457" s="209">
        <v>13.74</v>
      </c>
      <c r="F6457" s="209">
        <v>15.65</v>
      </c>
      <c r="G6457" s="209">
        <v>29.39</v>
      </c>
      <c r="H6457" s="198"/>
    </row>
    <row r="6458" spans="1:8" ht="15.75" hidden="1" customHeight="1" x14ac:dyDescent="0.25">
      <c r="A6458" s="205" t="s">
        <v>7088</v>
      </c>
      <c r="B6458" s="206">
        <v>102208</v>
      </c>
      <c r="C6458" s="207" t="s">
        <v>7106</v>
      </c>
      <c r="D6458" s="208" t="s">
        <v>578</v>
      </c>
      <c r="E6458" s="209">
        <v>4.71</v>
      </c>
      <c r="F6458" s="209">
        <v>5.21</v>
      </c>
      <c r="G6458" s="209">
        <v>9.92</v>
      </c>
      <c r="H6458" s="198"/>
    </row>
    <row r="6459" spans="1:8" ht="15.75" hidden="1" customHeight="1" x14ac:dyDescent="0.25">
      <c r="A6459" s="205" t="s">
        <v>7088</v>
      </c>
      <c r="B6459" s="206">
        <v>102218</v>
      </c>
      <c r="C6459" s="207" t="s">
        <v>7107</v>
      </c>
      <c r="D6459" s="208" t="s">
        <v>578</v>
      </c>
      <c r="E6459" s="209">
        <v>9.42</v>
      </c>
      <c r="F6459" s="209">
        <v>10.43</v>
      </c>
      <c r="G6459" s="209">
        <v>19.850000000000001</v>
      </c>
      <c r="H6459" s="198"/>
    </row>
    <row r="6460" spans="1:8" ht="15.75" hidden="1" customHeight="1" x14ac:dyDescent="0.25">
      <c r="A6460" s="205" t="s">
        <v>7088</v>
      </c>
      <c r="B6460" s="206">
        <v>102228</v>
      </c>
      <c r="C6460" s="207" t="s">
        <v>7108</v>
      </c>
      <c r="D6460" s="208" t="s">
        <v>578</v>
      </c>
      <c r="E6460" s="209">
        <v>14.12</v>
      </c>
      <c r="F6460" s="209">
        <v>15.66</v>
      </c>
      <c r="G6460" s="209">
        <v>29.78</v>
      </c>
      <c r="H6460" s="198"/>
    </row>
    <row r="6461" spans="1:8" ht="15.75" hidden="1" customHeight="1" x14ac:dyDescent="0.25">
      <c r="A6461" s="205" t="s">
        <v>7088</v>
      </c>
      <c r="B6461" s="206">
        <v>102203</v>
      </c>
      <c r="C6461" s="207" t="s">
        <v>7109</v>
      </c>
      <c r="D6461" s="208" t="s">
        <v>578</v>
      </c>
      <c r="E6461" s="209">
        <v>5.88</v>
      </c>
      <c r="F6461" s="209">
        <v>6.47</v>
      </c>
      <c r="G6461" s="209">
        <v>12.35</v>
      </c>
      <c r="H6461" s="198"/>
    </row>
    <row r="6462" spans="1:8" ht="15.75" hidden="1" customHeight="1" x14ac:dyDescent="0.25">
      <c r="A6462" s="205" t="s">
        <v>7088</v>
      </c>
      <c r="B6462" s="206">
        <v>102213</v>
      </c>
      <c r="C6462" s="207" t="s">
        <v>7110</v>
      </c>
      <c r="D6462" s="208" t="s">
        <v>578</v>
      </c>
      <c r="E6462" s="209">
        <v>11.76</v>
      </c>
      <c r="F6462" s="209">
        <v>12.95</v>
      </c>
      <c r="G6462" s="209">
        <v>24.71</v>
      </c>
      <c r="H6462" s="198"/>
    </row>
    <row r="6463" spans="1:8" ht="15.75" hidden="1" customHeight="1" x14ac:dyDescent="0.25">
      <c r="A6463" s="205" t="s">
        <v>7088</v>
      </c>
      <c r="B6463" s="206">
        <v>102223</v>
      </c>
      <c r="C6463" s="207" t="s">
        <v>7111</v>
      </c>
      <c r="D6463" s="208" t="s">
        <v>578</v>
      </c>
      <c r="E6463" s="209">
        <v>17.649999999999999</v>
      </c>
      <c r="F6463" s="209">
        <v>19.420000000000002</v>
      </c>
      <c r="G6463" s="209">
        <v>37.07</v>
      </c>
      <c r="H6463" s="198"/>
    </row>
    <row r="6464" spans="1:8" ht="15.75" hidden="1" customHeight="1" x14ac:dyDescent="0.25">
      <c r="A6464" s="205" t="s">
        <v>7088</v>
      </c>
      <c r="B6464" s="206">
        <v>102204</v>
      </c>
      <c r="C6464" s="207" t="s">
        <v>7112</v>
      </c>
      <c r="D6464" s="208" t="s">
        <v>578</v>
      </c>
      <c r="E6464" s="209">
        <v>6.18</v>
      </c>
      <c r="F6464" s="209">
        <v>6.47</v>
      </c>
      <c r="G6464" s="209">
        <v>12.65</v>
      </c>
      <c r="H6464" s="198"/>
    </row>
    <row r="6465" spans="1:8" ht="15.75" hidden="1" customHeight="1" x14ac:dyDescent="0.25">
      <c r="A6465" s="205" t="s">
        <v>7088</v>
      </c>
      <c r="B6465" s="206">
        <v>102214</v>
      </c>
      <c r="C6465" s="207" t="s">
        <v>7113</v>
      </c>
      <c r="D6465" s="208" t="s">
        <v>578</v>
      </c>
      <c r="E6465" s="209">
        <v>12.36</v>
      </c>
      <c r="F6465" s="209">
        <v>12.95</v>
      </c>
      <c r="G6465" s="209">
        <v>25.31</v>
      </c>
      <c r="H6465" s="198"/>
    </row>
    <row r="6466" spans="1:8" ht="15.75" hidden="1" customHeight="1" x14ac:dyDescent="0.25">
      <c r="A6466" s="205" t="s">
        <v>7088</v>
      </c>
      <c r="B6466" s="206">
        <v>102224</v>
      </c>
      <c r="C6466" s="207" t="s">
        <v>7114</v>
      </c>
      <c r="D6466" s="208" t="s">
        <v>578</v>
      </c>
      <c r="E6466" s="209">
        <v>18.55</v>
      </c>
      <c r="F6466" s="209">
        <v>19.420000000000002</v>
      </c>
      <c r="G6466" s="209">
        <v>37.97</v>
      </c>
      <c r="H6466" s="198"/>
    </row>
    <row r="6467" spans="1:8" ht="15.75" hidden="1" customHeight="1" x14ac:dyDescent="0.25">
      <c r="A6467" s="205" t="s">
        <v>7088</v>
      </c>
      <c r="B6467" s="206">
        <v>102205</v>
      </c>
      <c r="C6467" s="207" t="s">
        <v>7115</v>
      </c>
      <c r="D6467" s="208" t="s">
        <v>578</v>
      </c>
      <c r="E6467" s="209">
        <v>5.23</v>
      </c>
      <c r="F6467" s="209">
        <v>6.47</v>
      </c>
      <c r="G6467" s="209">
        <v>11.7</v>
      </c>
      <c r="H6467" s="198"/>
    </row>
    <row r="6468" spans="1:8" ht="15.75" hidden="1" customHeight="1" x14ac:dyDescent="0.25">
      <c r="A6468" s="205" t="s">
        <v>7088</v>
      </c>
      <c r="B6468" s="206">
        <v>102215</v>
      </c>
      <c r="C6468" s="207" t="s">
        <v>7116</v>
      </c>
      <c r="D6468" s="208" t="s">
        <v>578</v>
      </c>
      <c r="E6468" s="209">
        <v>10.46</v>
      </c>
      <c r="F6468" s="209">
        <v>12.95</v>
      </c>
      <c r="G6468" s="209">
        <v>23.41</v>
      </c>
      <c r="H6468" s="198"/>
    </row>
    <row r="6469" spans="1:8" ht="15.75" hidden="1" customHeight="1" x14ac:dyDescent="0.25">
      <c r="A6469" s="205" t="s">
        <v>7088</v>
      </c>
      <c r="B6469" s="206">
        <v>102225</v>
      </c>
      <c r="C6469" s="207" t="s">
        <v>7117</v>
      </c>
      <c r="D6469" s="208" t="s">
        <v>578</v>
      </c>
      <c r="E6469" s="209">
        <v>15.7</v>
      </c>
      <c r="F6469" s="209">
        <v>19.420000000000002</v>
      </c>
      <c r="G6469" s="209">
        <v>35.119999999999997</v>
      </c>
      <c r="H6469" s="198"/>
    </row>
    <row r="6470" spans="1:8" ht="15.75" hidden="1" customHeight="1" x14ac:dyDescent="0.25">
      <c r="A6470" s="205" t="s">
        <v>7118</v>
      </c>
      <c r="B6470" s="206">
        <v>100718</v>
      </c>
      <c r="C6470" s="207" t="s">
        <v>7119</v>
      </c>
      <c r="D6470" s="208" t="s">
        <v>585</v>
      </c>
      <c r="E6470" s="209">
        <v>0.62</v>
      </c>
      <c r="F6470" s="209">
        <v>1.1200000000000001</v>
      </c>
      <c r="G6470" s="209">
        <v>1.74</v>
      </c>
      <c r="H6470" s="198"/>
    </row>
    <row r="6471" spans="1:8" ht="15.75" hidden="1" customHeight="1" x14ac:dyDescent="0.25">
      <c r="A6471" s="205" t="s">
        <v>7118</v>
      </c>
      <c r="B6471" s="206">
        <v>100716</v>
      </c>
      <c r="C6471" s="207" t="s">
        <v>7120</v>
      </c>
      <c r="D6471" s="208" t="s">
        <v>578</v>
      </c>
      <c r="E6471" s="209">
        <v>21.38</v>
      </c>
      <c r="F6471" s="209">
        <v>3.63</v>
      </c>
      <c r="G6471" s="209">
        <v>25.01</v>
      </c>
      <c r="H6471" s="198"/>
    </row>
    <row r="6472" spans="1:8" ht="15.75" hidden="1" customHeight="1" x14ac:dyDescent="0.25">
      <c r="A6472" s="205" t="s">
        <v>7118</v>
      </c>
      <c r="B6472" s="206">
        <v>100717</v>
      </c>
      <c r="C6472" s="207" t="s">
        <v>7121</v>
      </c>
      <c r="D6472" s="208" t="s">
        <v>578</v>
      </c>
      <c r="E6472" s="209">
        <v>4.6500000000000004</v>
      </c>
      <c r="F6472" s="209">
        <v>8.18</v>
      </c>
      <c r="G6472" s="209">
        <v>12.83</v>
      </c>
      <c r="H6472" s="198"/>
    </row>
    <row r="6473" spans="1:8" ht="15.75" hidden="1" customHeight="1" x14ac:dyDescent="0.25">
      <c r="A6473" s="205" t="s">
        <v>7118</v>
      </c>
      <c r="B6473" s="206">
        <v>100754</v>
      </c>
      <c r="C6473" s="207" t="s">
        <v>7122</v>
      </c>
      <c r="D6473" s="208" t="s">
        <v>578</v>
      </c>
      <c r="E6473" s="209">
        <v>13.24</v>
      </c>
      <c r="F6473" s="209">
        <v>24.97</v>
      </c>
      <c r="G6473" s="209">
        <v>38.21</v>
      </c>
      <c r="H6473" s="198"/>
    </row>
    <row r="6474" spans="1:8" ht="15.75" hidden="1" customHeight="1" x14ac:dyDescent="0.25">
      <c r="A6474" s="205" t="s">
        <v>7118</v>
      </c>
      <c r="B6474" s="206">
        <v>100736</v>
      </c>
      <c r="C6474" s="207" t="s">
        <v>7123</v>
      </c>
      <c r="D6474" s="208" t="s">
        <v>578</v>
      </c>
      <c r="E6474" s="209">
        <v>6.63</v>
      </c>
      <c r="F6474" s="209">
        <v>12.47</v>
      </c>
      <c r="G6474" s="209">
        <v>19.100000000000001</v>
      </c>
      <c r="H6474" s="198"/>
    </row>
    <row r="6475" spans="1:8" ht="15.75" hidden="1" customHeight="1" x14ac:dyDescent="0.25">
      <c r="A6475" s="205" t="s">
        <v>7118</v>
      </c>
      <c r="B6475" s="206">
        <v>100753</v>
      </c>
      <c r="C6475" s="207" t="s">
        <v>7124</v>
      </c>
      <c r="D6475" s="208" t="s">
        <v>578</v>
      </c>
      <c r="E6475" s="209">
        <v>11.33</v>
      </c>
      <c r="F6475" s="209">
        <v>16.649999999999999</v>
      </c>
      <c r="G6475" s="209">
        <v>27.98</v>
      </c>
      <c r="H6475" s="198"/>
    </row>
    <row r="6476" spans="1:8" ht="15.75" hidden="1" customHeight="1" x14ac:dyDescent="0.25">
      <c r="A6476" s="205" t="s">
        <v>7118</v>
      </c>
      <c r="B6476" s="206">
        <v>100735</v>
      </c>
      <c r="C6476" s="207" t="s">
        <v>7125</v>
      </c>
      <c r="D6476" s="208" t="s">
        <v>578</v>
      </c>
      <c r="E6476" s="209">
        <v>5.68</v>
      </c>
      <c r="F6476" s="209">
        <v>8.31</v>
      </c>
      <c r="G6476" s="209">
        <v>13.99</v>
      </c>
      <c r="H6476" s="198"/>
    </row>
    <row r="6477" spans="1:8" ht="15.75" hidden="1" customHeight="1" x14ac:dyDescent="0.25">
      <c r="A6477" s="205" t="s">
        <v>7118</v>
      </c>
      <c r="B6477" s="206">
        <v>100734</v>
      </c>
      <c r="C6477" s="207" t="s">
        <v>7126</v>
      </c>
      <c r="D6477" s="208" t="s">
        <v>578</v>
      </c>
      <c r="E6477" s="209">
        <v>7.51</v>
      </c>
      <c r="F6477" s="209">
        <v>12.47</v>
      </c>
      <c r="G6477" s="209">
        <v>19.98</v>
      </c>
      <c r="H6477" s="198"/>
    </row>
    <row r="6478" spans="1:8" ht="15.75" hidden="1" customHeight="1" x14ac:dyDescent="0.25">
      <c r="A6478" s="205" t="s">
        <v>7118</v>
      </c>
      <c r="B6478" s="206">
        <v>100733</v>
      </c>
      <c r="C6478" s="207" t="s">
        <v>7127</v>
      </c>
      <c r="D6478" s="208" t="s">
        <v>578</v>
      </c>
      <c r="E6478" s="209">
        <v>6.67</v>
      </c>
      <c r="F6478" s="209">
        <v>8.31</v>
      </c>
      <c r="G6478" s="209">
        <v>14.98</v>
      </c>
      <c r="H6478" s="198"/>
    </row>
    <row r="6479" spans="1:8" ht="15.75" hidden="1" customHeight="1" x14ac:dyDescent="0.25">
      <c r="A6479" s="205" t="s">
        <v>7118</v>
      </c>
      <c r="B6479" s="206">
        <v>100740</v>
      </c>
      <c r="C6479" s="207" t="s">
        <v>7128</v>
      </c>
      <c r="D6479" s="208" t="s">
        <v>578</v>
      </c>
      <c r="E6479" s="209">
        <v>7.44</v>
      </c>
      <c r="F6479" s="209">
        <v>5.89</v>
      </c>
      <c r="G6479" s="209">
        <v>13.33</v>
      </c>
      <c r="H6479" s="198"/>
    </row>
    <row r="6480" spans="1:8" ht="15.75" hidden="1" customHeight="1" x14ac:dyDescent="0.25">
      <c r="A6480" s="205" t="s">
        <v>7118</v>
      </c>
      <c r="B6480" s="206">
        <v>100758</v>
      </c>
      <c r="C6480" s="207" t="s">
        <v>7129</v>
      </c>
      <c r="D6480" s="208" t="s">
        <v>578</v>
      </c>
      <c r="E6480" s="209">
        <v>25.41</v>
      </c>
      <c r="F6480" s="209">
        <v>37.200000000000003</v>
      </c>
      <c r="G6480" s="209">
        <v>62.61</v>
      </c>
      <c r="H6480" s="198"/>
    </row>
    <row r="6481" spans="1:8" ht="15.75" hidden="1" customHeight="1" x14ac:dyDescent="0.25">
      <c r="A6481" s="205" t="s">
        <v>7118</v>
      </c>
      <c r="B6481" s="206">
        <v>100742</v>
      </c>
      <c r="C6481" s="207" t="s">
        <v>7130</v>
      </c>
      <c r="D6481" s="208" t="s">
        <v>578</v>
      </c>
      <c r="E6481" s="209">
        <v>12.7</v>
      </c>
      <c r="F6481" s="209">
        <v>18.59</v>
      </c>
      <c r="G6481" s="209">
        <v>31.29</v>
      </c>
      <c r="H6481" s="198"/>
    </row>
    <row r="6482" spans="1:8" ht="15.75" hidden="1" customHeight="1" x14ac:dyDescent="0.25">
      <c r="A6482" s="205" t="s">
        <v>7118</v>
      </c>
      <c r="B6482" s="206">
        <v>100739</v>
      </c>
      <c r="C6482" s="207" t="s">
        <v>7131</v>
      </c>
      <c r="D6482" s="208" t="s">
        <v>578</v>
      </c>
      <c r="E6482" s="209">
        <v>9.36</v>
      </c>
      <c r="F6482" s="209">
        <v>1.74</v>
      </c>
      <c r="G6482" s="209">
        <v>11.1</v>
      </c>
      <c r="H6482" s="198"/>
    </row>
    <row r="6483" spans="1:8" ht="15.75" hidden="1" customHeight="1" x14ac:dyDescent="0.25">
      <c r="A6483" s="205" t="s">
        <v>7118</v>
      </c>
      <c r="B6483" s="206">
        <v>100757</v>
      </c>
      <c r="C6483" s="207" t="s">
        <v>7132</v>
      </c>
      <c r="D6483" s="208" t="s">
        <v>578</v>
      </c>
      <c r="E6483" s="209">
        <v>30.1</v>
      </c>
      <c r="F6483" s="209">
        <v>28.89</v>
      </c>
      <c r="G6483" s="209">
        <v>58.99</v>
      </c>
      <c r="H6483" s="198"/>
    </row>
    <row r="6484" spans="1:8" ht="15.75" hidden="1" customHeight="1" x14ac:dyDescent="0.25">
      <c r="A6484" s="205" t="s">
        <v>7118</v>
      </c>
      <c r="B6484" s="206">
        <v>100741</v>
      </c>
      <c r="C6484" s="207" t="s">
        <v>7133</v>
      </c>
      <c r="D6484" s="208" t="s">
        <v>578</v>
      </c>
      <c r="E6484" s="209">
        <v>15.04</v>
      </c>
      <c r="F6484" s="209">
        <v>14.45</v>
      </c>
      <c r="G6484" s="209">
        <v>29.49</v>
      </c>
      <c r="H6484" s="198"/>
    </row>
    <row r="6485" spans="1:8" ht="15.75" hidden="1" customHeight="1" x14ac:dyDescent="0.25">
      <c r="A6485" s="205" t="s">
        <v>7118</v>
      </c>
      <c r="B6485" s="206">
        <v>100744</v>
      </c>
      <c r="C6485" s="207" t="s">
        <v>7134</v>
      </c>
      <c r="D6485" s="208" t="s">
        <v>578</v>
      </c>
      <c r="E6485" s="209">
        <v>7.29</v>
      </c>
      <c r="F6485" s="209">
        <v>5.88</v>
      </c>
      <c r="G6485" s="209">
        <v>13.17</v>
      </c>
      <c r="H6485" s="198"/>
    </row>
    <row r="6486" spans="1:8" ht="15.75" hidden="1" customHeight="1" x14ac:dyDescent="0.25">
      <c r="A6486" s="205" t="s">
        <v>7118</v>
      </c>
      <c r="B6486" s="206">
        <v>100760</v>
      </c>
      <c r="C6486" s="207" t="s">
        <v>7135</v>
      </c>
      <c r="D6486" s="208" t="s">
        <v>578</v>
      </c>
      <c r="E6486" s="209">
        <v>25.08</v>
      </c>
      <c r="F6486" s="209">
        <v>37.21</v>
      </c>
      <c r="G6486" s="209">
        <v>62.29</v>
      </c>
      <c r="H6486" s="198"/>
    </row>
    <row r="6487" spans="1:8" ht="15.75" hidden="1" customHeight="1" x14ac:dyDescent="0.25">
      <c r="A6487" s="205" t="s">
        <v>7118</v>
      </c>
      <c r="B6487" s="206">
        <v>100746</v>
      </c>
      <c r="C6487" s="207" t="s">
        <v>7136</v>
      </c>
      <c r="D6487" s="208" t="s">
        <v>578</v>
      </c>
      <c r="E6487" s="209">
        <v>12.53</v>
      </c>
      <c r="F6487" s="209">
        <v>18.600000000000001</v>
      </c>
      <c r="G6487" s="209">
        <v>31.13</v>
      </c>
      <c r="H6487" s="198"/>
    </row>
    <row r="6488" spans="1:8" ht="15.75" hidden="1" customHeight="1" x14ac:dyDescent="0.25">
      <c r="A6488" s="205" t="s">
        <v>7118</v>
      </c>
      <c r="B6488" s="206">
        <v>100743</v>
      </c>
      <c r="C6488" s="207" t="s">
        <v>7137</v>
      </c>
      <c r="D6488" s="208" t="s">
        <v>578</v>
      </c>
      <c r="E6488" s="209">
        <v>9.1300000000000008</v>
      </c>
      <c r="F6488" s="209">
        <v>1.73</v>
      </c>
      <c r="G6488" s="209">
        <v>10.86</v>
      </c>
      <c r="H6488" s="198"/>
    </row>
    <row r="6489" spans="1:8" ht="15.75" hidden="1" customHeight="1" x14ac:dyDescent="0.25">
      <c r="A6489" s="205" t="s">
        <v>7118</v>
      </c>
      <c r="B6489" s="206">
        <v>100745</v>
      </c>
      <c r="C6489" s="207" t="s">
        <v>7138</v>
      </c>
      <c r="D6489" s="208" t="s">
        <v>578</v>
      </c>
      <c r="E6489" s="209">
        <v>14.79</v>
      </c>
      <c r="F6489" s="209">
        <v>14.45</v>
      </c>
      <c r="G6489" s="209">
        <v>29.24</v>
      </c>
      <c r="H6489" s="198"/>
    </row>
    <row r="6490" spans="1:8" ht="15.75" hidden="1" customHeight="1" x14ac:dyDescent="0.25">
      <c r="A6490" s="205" t="s">
        <v>7118</v>
      </c>
      <c r="B6490" s="206">
        <v>100759</v>
      </c>
      <c r="C6490" s="207" t="s">
        <v>7139</v>
      </c>
      <c r="D6490" s="208" t="s">
        <v>578</v>
      </c>
      <c r="E6490" s="209">
        <v>29.58</v>
      </c>
      <c r="F6490" s="209">
        <v>28.9</v>
      </c>
      <c r="G6490" s="209">
        <v>58.48</v>
      </c>
      <c r="H6490" s="198"/>
    </row>
    <row r="6491" spans="1:8" ht="15.75" hidden="1" customHeight="1" x14ac:dyDescent="0.25">
      <c r="A6491" s="205" t="s">
        <v>7118</v>
      </c>
      <c r="B6491" s="206">
        <v>100748</v>
      </c>
      <c r="C6491" s="207" t="s">
        <v>7140</v>
      </c>
      <c r="D6491" s="208" t="s">
        <v>578</v>
      </c>
      <c r="E6491" s="209">
        <v>7.35</v>
      </c>
      <c r="F6491" s="209">
        <v>5.89</v>
      </c>
      <c r="G6491" s="209">
        <v>13.24</v>
      </c>
      <c r="H6491" s="198"/>
    </row>
    <row r="6492" spans="1:8" ht="15.75" hidden="1" customHeight="1" x14ac:dyDescent="0.25">
      <c r="A6492" s="205" t="s">
        <v>7118</v>
      </c>
      <c r="B6492" s="206">
        <v>100762</v>
      </c>
      <c r="C6492" s="207" t="s">
        <v>7141</v>
      </c>
      <c r="D6492" s="208" t="s">
        <v>578</v>
      </c>
      <c r="E6492" s="209">
        <v>25.22</v>
      </c>
      <c r="F6492" s="209">
        <v>37.200000000000003</v>
      </c>
      <c r="G6492" s="209">
        <v>62.42</v>
      </c>
      <c r="H6492" s="198"/>
    </row>
    <row r="6493" spans="1:8" ht="15.75" hidden="1" customHeight="1" x14ac:dyDescent="0.25">
      <c r="A6493" s="205" t="s">
        <v>7118</v>
      </c>
      <c r="B6493" s="206">
        <v>100750</v>
      </c>
      <c r="C6493" s="207" t="s">
        <v>7142</v>
      </c>
      <c r="D6493" s="208" t="s">
        <v>578</v>
      </c>
      <c r="E6493" s="209">
        <v>12.6</v>
      </c>
      <c r="F6493" s="209">
        <v>18.600000000000001</v>
      </c>
      <c r="G6493" s="209">
        <v>31.2</v>
      </c>
      <c r="H6493" s="198"/>
    </row>
    <row r="6494" spans="1:8" ht="15.75" hidden="1" customHeight="1" x14ac:dyDescent="0.25">
      <c r="A6494" s="205" t="s">
        <v>7118</v>
      </c>
      <c r="B6494" s="206">
        <v>100747</v>
      </c>
      <c r="C6494" s="207" t="s">
        <v>7143</v>
      </c>
      <c r="D6494" s="208" t="s">
        <v>578</v>
      </c>
      <c r="E6494" s="209">
        <v>9.2200000000000006</v>
      </c>
      <c r="F6494" s="209">
        <v>1.74</v>
      </c>
      <c r="G6494" s="209">
        <v>10.96</v>
      </c>
      <c r="H6494" s="198"/>
    </row>
    <row r="6495" spans="1:8" ht="15.75" hidden="1" customHeight="1" x14ac:dyDescent="0.25">
      <c r="A6495" s="205" t="s">
        <v>7118</v>
      </c>
      <c r="B6495" s="206">
        <v>100761</v>
      </c>
      <c r="C6495" s="207" t="s">
        <v>7144</v>
      </c>
      <c r="D6495" s="208" t="s">
        <v>578</v>
      </c>
      <c r="E6495" s="209">
        <v>29.8</v>
      </c>
      <c r="F6495" s="209">
        <v>28.89</v>
      </c>
      <c r="G6495" s="209">
        <v>58.69</v>
      </c>
      <c r="H6495" s="198"/>
    </row>
    <row r="6496" spans="1:8" ht="15.75" hidden="1" customHeight="1" x14ac:dyDescent="0.25">
      <c r="A6496" s="205" t="s">
        <v>7118</v>
      </c>
      <c r="B6496" s="206">
        <v>100749</v>
      </c>
      <c r="C6496" s="207" t="s">
        <v>7145</v>
      </c>
      <c r="D6496" s="208" t="s">
        <v>578</v>
      </c>
      <c r="E6496" s="209">
        <v>14.9</v>
      </c>
      <c r="F6496" s="209">
        <v>14.44</v>
      </c>
      <c r="G6496" s="209">
        <v>29.34</v>
      </c>
      <c r="H6496" s="198"/>
    </row>
    <row r="6497" spans="1:8" ht="15.75" hidden="1" customHeight="1" x14ac:dyDescent="0.25">
      <c r="A6497" s="205" t="s">
        <v>7118</v>
      </c>
      <c r="B6497" s="206">
        <v>100720</v>
      </c>
      <c r="C6497" s="207" t="s">
        <v>7146</v>
      </c>
      <c r="D6497" s="208" t="s">
        <v>578</v>
      </c>
      <c r="E6497" s="209">
        <v>6.89</v>
      </c>
      <c r="F6497" s="209">
        <v>5.88</v>
      </c>
      <c r="G6497" s="209">
        <v>12.77</v>
      </c>
      <c r="H6497" s="198"/>
    </row>
    <row r="6498" spans="1:8" ht="15.75" hidden="1" customHeight="1" x14ac:dyDescent="0.25">
      <c r="A6498" s="205" t="s">
        <v>7118</v>
      </c>
      <c r="B6498" s="206">
        <v>100722</v>
      </c>
      <c r="C6498" s="207" t="s">
        <v>7147</v>
      </c>
      <c r="D6498" s="208" t="s">
        <v>578</v>
      </c>
      <c r="E6498" s="209">
        <v>12.17</v>
      </c>
      <c r="F6498" s="209">
        <v>18.600000000000001</v>
      </c>
      <c r="G6498" s="209">
        <v>30.77</v>
      </c>
      <c r="H6498" s="198"/>
    </row>
    <row r="6499" spans="1:8" ht="15.75" hidden="1" customHeight="1" x14ac:dyDescent="0.25">
      <c r="A6499" s="205" t="s">
        <v>7118</v>
      </c>
      <c r="B6499" s="206">
        <v>100719</v>
      </c>
      <c r="C6499" s="207" t="s">
        <v>7148</v>
      </c>
      <c r="D6499" s="208" t="s">
        <v>578</v>
      </c>
      <c r="E6499" s="209">
        <v>9.5299999999999994</v>
      </c>
      <c r="F6499" s="209">
        <v>1.73</v>
      </c>
      <c r="G6499" s="209">
        <v>11.26</v>
      </c>
      <c r="H6499" s="198"/>
    </row>
    <row r="6500" spans="1:8" ht="15.75" hidden="1" customHeight="1" x14ac:dyDescent="0.25">
      <c r="A6500" s="205" t="s">
        <v>7118</v>
      </c>
      <c r="B6500" s="206">
        <v>100721</v>
      </c>
      <c r="C6500" s="207" t="s">
        <v>7149</v>
      </c>
      <c r="D6500" s="208" t="s">
        <v>578</v>
      </c>
      <c r="E6500" s="209">
        <v>15.42</v>
      </c>
      <c r="F6500" s="209">
        <v>14.44</v>
      </c>
      <c r="G6500" s="209">
        <v>29.86</v>
      </c>
      <c r="H6500" s="198"/>
    </row>
    <row r="6501" spans="1:8" ht="15.75" hidden="1" customHeight="1" x14ac:dyDescent="0.25">
      <c r="A6501" s="205" t="s">
        <v>7118</v>
      </c>
      <c r="B6501" s="206">
        <v>100724</v>
      </c>
      <c r="C6501" s="207" t="s">
        <v>7150</v>
      </c>
      <c r="D6501" s="208" t="s">
        <v>578</v>
      </c>
      <c r="E6501" s="209">
        <v>10.050000000000001</v>
      </c>
      <c r="F6501" s="209">
        <v>5.88</v>
      </c>
      <c r="G6501" s="209">
        <v>15.93</v>
      </c>
      <c r="H6501" s="198"/>
    </row>
    <row r="6502" spans="1:8" ht="15.75" hidden="1" customHeight="1" x14ac:dyDescent="0.25">
      <c r="A6502" s="205" t="s">
        <v>7118</v>
      </c>
      <c r="B6502" s="206">
        <v>100726</v>
      </c>
      <c r="C6502" s="207" t="s">
        <v>7151</v>
      </c>
      <c r="D6502" s="208" t="s">
        <v>578</v>
      </c>
      <c r="E6502" s="209">
        <v>15.22</v>
      </c>
      <c r="F6502" s="209">
        <v>18.600000000000001</v>
      </c>
      <c r="G6502" s="209">
        <v>33.82</v>
      </c>
      <c r="H6502" s="198"/>
    </row>
    <row r="6503" spans="1:8" ht="15.75" hidden="1" customHeight="1" x14ac:dyDescent="0.25">
      <c r="A6503" s="205" t="s">
        <v>7118</v>
      </c>
      <c r="B6503" s="206">
        <v>100723</v>
      </c>
      <c r="C6503" s="207" t="s">
        <v>7152</v>
      </c>
      <c r="D6503" s="208" t="s">
        <v>578</v>
      </c>
      <c r="E6503" s="209">
        <v>10.31</v>
      </c>
      <c r="F6503" s="209">
        <v>1.73</v>
      </c>
      <c r="G6503" s="209">
        <v>12.04</v>
      </c>
      <c r="H6503" s="198"/>
    </row>
    <row r="6504" spans="1:8" ht="15.75" hidden="1" customHeight="1" x14ac:dyDescent="0.25">
      <c r="A6504" s="205" t="s">
        <v>7118</v>
      </c>
      <c r="B6504" s="206">
        <v>100725</v>
      </c>
      <c r="C6504" s="207" t="s">
        <v>7153</v>
      </c>
      <c r="D6504" s="208" t="s">
        <v>578</v>
      </c>
      <c r="E6504" s="209">
        <v>15.67</v>
      </c>
      <c r="F6504" s="209">
        <v>14.44</v>
      </c>
      <c r="G6504" s="209">
        <v>30.11</v>
      </c>
      <c r="H6504" s="198"/>
    </row>
    <row r="6505" spans="1:8" ht="15.75" hidden="1" customHeight="1" x14ac:dyDescent="0.25">
      <c r="A6505" s="205" t="s">
        <v>7118</v>
      </c>
      <c r="B6505" s="206">
        <v>100752</v>
      </c>
      <c r="C6505" s="207" t="s">
        <v>7154</v>
      </c>
      <c r="D6505" s="208" t="s">
        <v>578</v>
      </c>
      <c r="E6505" s="209">
        <v>38.69</v>
      </c>
      <c r="F6505" s="209">
        <v>11.78</v>
      </c>
      <c r="G6505" s="209">
        <v>50.47</v>
      </c>
      <c r="H6505" s="198"/>
    </row>
    <row r="6506" spans="1:8" ht="15.75" hidden="1" customHeight="1" x14ac:dyDescent="0.25">
      <c r="A6506" s="205" t="s">
        <v>7118</v>
      </c>
      <c r="B6506" s="206">
        <v>100730</v>
      </c>
      <c r="C6506" s="207" t="s">
        <v>7155</v>
      </c>
      <c r="D6506" s="208" t="s">
        <v>578</v>
      </c>
      <c r="E6506" s="209">
        <v>19.34</v>
      </c>
      <c r="F6506" s="209">
        <v>5.89</v>
      </c>
      <c r="G6506" s="209">
        <v>25.23</v>
      </c>
      <c r="H6506" s="198"/>
    </row>
    <row r="6507" spans="1:8" ht="15.75" hidden="1" customHeight="1" x14ac:dyDescent="0.25">
      <c r="A6507" s="205" t="s">
        <v>7118</v>
      </c>
      <c r="B6507" s="206">
        <v>100751</v>
      </c>
      <c r="C6507" s="207" t="s">
        <v>7156</v>
      </c>
      <c r="D6507" s="208" t="s">
        <v>578</v>
      </c>
      <c r="E6507" s="209">
        <v>37.18</v>
      </c>
      <c r="F6507" s="209">
        <v>3.47</v>
      </c>
      <c r="G6507" s="209">
        <v>40.65</v>
      </c>
      <c r="H6507" s="198"/>
    </row>
    <row r="6508" spans="1:8" ht="15.75" hidden="1" customHeight="1" x14ac:dyDescent="0.25">
      <c r="A6508" s="205" t="s">
        <v>7118</v>
      </c>
      <c r="B6508" s="206">
        <v>100729</v>
      </c>
      <c r="C6508" s="207" t="s">
        <v>7157</v>
      </c>
      <c r="D6508" s="208" t="s">
        <v>578</v>
      </c>
      <c r="E6508" s="209">
        <v>18.59</v>
      </c>
      <c r="F6508" s="209">
        <v>1.73</v>
      </c>
      <c r="G6508" s="209">
        <v>20.32</v>
      </c>
      <c r="H6508" s="198"/>
    </row>
    <row r="6509" spans="1:8" ht="15.75" hidden="1" customHeight="1" x14ac:dyDescent="0.25">
      <c r="A6509" s="205" t="s">
        <v>7118</v>
      </c>
      <c r="B6509" s="206">
        <v>100728</v>
      </c>
      <c r="C6509" s="207" t="s">
        <v>7158</v>
      </c>
      <c r="D6509" s="208" t="s">
        <v>578</v>
      </c>
      <c r="E6509" s="209">
        <v>19.760000000000002</v>
      </c>
      <c r="F6509" s="209">
        <v>5.88</v>
      </c>
      <c r="G6509" s="209">
        <v>25.64</v>
      </c>
      <c r="H6509" s="198"/>
    </row>
    <row r="6510" spans="1:8" ht="15.75" hidden="1" customHeight="1" x14ac:dyDescent="0.25">
      <c r="A6510" s="205" t="s">
        <v>7118</v>
      </c>
      <c r="B6510" s="206">
        <v>100727</v>
      </c>
      <c r="C6510" s="207" t="s">
        <v>7159</v>
      </c>
      <c r="D6510" s="208" t="s">
        <v>578</v>
      </c>
      <c r="E6510" s="209">
        <v>24.99</v>
      </c>
      <c r="F6510" s="209">
        <v>1.73</v>
      </c>
      <c r="G6510" s="209">
        <v>26.72</v>
      </c>
      <c r="H6510" s="198"/>
    </row>
    <row r="6511" spans="1:8" ht="15.75" hidden="1" customHeight="1" x14ac:dyDescent="0.25">
      <c r="A6511" s="205" t="s">
        <v>7160</v>
      </c>
      <c r="B6511" s="206">
        <v>102499</v>
      </c>
      <c r="C6511" s="207" t="s">
        <v>7161</v>
      </c>
      <c r="D6511" s="208" t="s">
        <v>578</v>
      </c>
      <c r="E6511" s="209">
        <v>2.2599999999999998</v>
      </c>
      <c r="F6511" s="209">
        <v>1.36</v>
      </c>
      <c r="G6511" s="209">
        <v>3.62</v>
      </c>
      <c r="H6511" s="198"/>
    </row>
    <row r="6512" spans="1:8" ht="15.75" hidden="1" customHeight="1" x14ac:dyDescent="0.25">
      <c r="A6512" s="205" t="s">
        <v>7160</v>
      </c>
      <c r="B6512" s="206">
        <v>102505</v>
      </c>
      <c r="C6512" s="207" t="s">
        <v>7162</v>
      </c>
      <c r="D6512" s="208" t="s">
        <v>585</v>
      </c>
      <c r="E6512" s="209">
        <v>4.67</v>
      </c>
      <c r="F6512" s="209">
        <v>8.51</v>
      </c>
      <c r="G6512" s="209">
        <v>13.18</v>
      </c>
      <c r="H6512" s="198"/>
    </row>
    <row r="6513" spans="1:8" ht="15.75" hidden="1" customHeight="1" x14ac:dyDescent="0.25">
      <c r="A6513" s="205" t="s">
        <v>7160</v>
      </c>
      <c r="B6513" s="206">
        <v>102504</v>
      </c>
      <c r="C6513" s="207" t="s">
        <v>7163</v>
      </c>
      <c r="D6513" s="208" t="s">
        <v>585</v>
      </c>
      <c r="E6513" s="209">
        <v>4.28</v>
      </c>
      <c r="F6513" s="209">
        <v>8.51</v>
      </c>
      <c r="G6513" s="209">
        <v>12.79</v>
      </c>
      <c r="H6513" s="198"/>
    </row>
    <row r="6514" spans="1:8" ht="15.75" hidden="1" customHeight="1" x14ac:dyDescent="0.25">
      <c r="A6514" s="205" t="s">
        <v>7160</v>
      </c>
      <c r="B6514" s="206">
        <v>102506</v>
      </c>
      <c r="C6514" s="207" t="s">
        <v>7164</v>
      </c>
      <c r="D6514" s="208" t="s">
        <v>585</v>
      </c>
      <c r="E6514" s="209">
        <v>5.25</v>
      </c>
      <c r="F6514" s="209">
        <v>8.51</v>
      </c>
      <c r="G6514" s="209">
        <v>13.76</v>
      </c>
      <c r="H6514" s="198"/>
    </row>
    <row r="6515" spans="1:8" ht="15.75" hidden="1" customHeight="1" x14ac:dyDescent="0.25">
      <c r="A6515" s="205" t="s">
        <v>7160</v>
      </c>
      <c r="B6515" s="206">
        <v>102500</v>
      </c>
      <c r="C6515" s="207" t="s">
        <v>7165</v>
      </c>
      <c r="D6515" s="208" t="s">
        <v>585</v>
      </c>
      <c r="E6515" s="209">
        <v>2.36</v>
      </c>
      <c r="F6515" s="209">
        <v>2.95</v>
      </c>
      <c r="G6515" s="209">
        <v>5.31</v>
      </c>
      <c r="H6515" s="198"/>
    </row>
    <row r="6516" spans="1:8" ht="15.75" hidden="1" customHeight="1" x14ac:dyDescent="0.25">
      <c r="A6516" s="205" t="s">
        <v>7160</v>
      </c>
      <c r="B6516" s="206">
        <v>102507</v>
      </c>
      <c r="C6516" s="207" t="s">
        <v>7166</v>
      </c>
      <c r="D6516" s="208" t="s">
        <v>585</v>
      </c>
      <c r="E6516" s="209">
        <v>4.29</v>
      </c>
      <c r="F6516" s="209">
        <v>2.95</v>
      </c>
      <c r="G6516" s="209">
        <v>7.24</v>
      </c>
      <c r="H6516" s="198"/>
    </row>
    <row r="6517" spans="1:8" ht="15.75" hidden="1" customHeight="1" x14ac:dyDescent="0.25">
      <c r="A6517" s="205" t="s">
        <v>7160</v>
      </c>
      <c r="B6517" s="206">
        <v>102512</v>
      </c>
      <c r="C6517" s="207" t="s">
        <v>7167</v>
      </c>
      <c r="D6517" s="208" t="s">
        <v>585</v>
      </c>
      <c r="E6517" s="209">
        <v>4.6500000000000004</v>
      </c>
      <c r="F6517" s="209">
        <v>2.0699999999999998</v>
      </c>
      <c r="G6517" s="209">
        <v>6.72</v>
      </c>
      <c r="H6517" s="198"/>
    </row>
    <row r="6518" spans="1:8" ht="15.75" hidden="1" customHeight="1" x14ac:dyDescent="0.25">
      <c r="A6518" s="205" t="s">
        <v>7160</v>
      </c>
      <c r="B6518" s="206">
        <v>102501</v>
      </c>
      <c r="C6518" s="207" t="s">
        <v>7168</v>
      </c>
      <c r="D6518" s="208" t="s">
        <v>578</v>
      </c>
      <c r="E6518" s="209">
        <v>14.52</v>
      </c>
      <c r="F6518" s="209">
        <v>15.36</v>
      </c>
      <c r="G6518" s="209">
        <v>29.88</v>
      </c>
      <c r="H6518" s="198"/>
    </row>
    <row r="6519" spans="1:8" ht="15.75" hidden="1" customHeight="1" x14ac:dyDescent="0.25">
      <c r="A6519" s="205" t="s">
        <v>7160</v>
      </c>
      <c r="B6519" s="206">
        <v>102508</v>
      </c>
      <c r="C6519" s="207" t="s">
        <v>7169</v>
      </c>
      <c r="D6519" s="208" t="s">
        <v>578</v>
      </c>
      <c r="E6519" s="209">
        <v>34.26</v>
      </c>
      <c r="F6519" s="209">
        <v>15.36</v>
      </c>
      <c r="G6519" s="209">
        <v>49.62</v>
      </c>
      <c r="H6519" s="198"/>
    </row>
    <row r="6520" spans="1:8" ht="15.75" hidden="1" customHeight="1" x14ac:dyDescent="0.25">
      <c r="A6520" s="205" t="s">
        <v>7160</v>
      </c>
      <c r="B6520" s="206">
        <v>102509</v>
      </c>
      <c r="C6520" s="207" t="s">
        <v>7170</v>
      </c>
      <c r="D6520" s="208" t="s">
        <v>578</v>
      </c>
      <c r="E6520" s="209">
        <v>21.93</v>
      </c>
      <c r="F6520" s="209">
        <v>12.92</v>
      </c>
      <c r="G6520" s="209">
        <v>34.85</v>
      </c>
      <c r="H6520" s="198"/>
    </row>
    <row r="6521" spans="1:8" ht="15.75" hidden="1" customHeight="1" x14ac:dyDescent="0.25">
      <c r="A6521" s="205" t="s">
        <v>7160</v>
      </c>
      <c r="B6521" s="206">
        <v>102498</v>
      </c>
      <c r="C6521" s="207" t="s">
        <v>7171</v>
      </c>
      <c r="D6521" s="208" t="s">
        <v>585</v>
      </c>
      <c r="E6521" s="209">
        <v>0.7</v>
      </c>
      <c r="F6521" s="209">
        <v>1.31</v>
      </c>
      <c r="G6521" s="209">
        <v>2.0099999999999998</v>
      </c>
      <c r="H6521" s="198"/>
    </row>
    <row r="6522" spans="1:8" ht="15.75" hidden="1" customHeight="1" x14ac:dyDescent="0.25">
      <c r="A6522" s="205" t="s">
        <v>7160</v>
      </c>
      <c r="B6522" s="206">
        <v>102491</v>
      </c>
      <c r="C6522" s="207" t="s">
        <v>7172</v>
      </c>
      <c r="D6522" s="208" t="s">
        <v>578</v>
      </c>
      <c r="E6522" s="209">
        <v>13.61</v>
      </c>
      <c r="F6522" s="209">
        <v>9.77</v>
      </c>
      <c r="G6522" s="209">
        <v>23.38</v>
      </c>
      <c r="H6522" s="198"/>
    </row>
    <row r="6523" spans="1:8" ht="15.75" hidden="1" customHeight="1" x14ac:dyDescent="0.25">
      <c r="A6523" s="205" t="s">
        <v>7160</v>
      </c>
      <c r="B6523" s="206">
        <v>102492</v>
      </c>
      <c r="C6523" s="207" t="s">
        <v>7173</v>
      </c>
      <c r="D6523" s="208" t="s">
        <v>578</v>
      </c>
      <c r="E6523" s="209">
        <v>16.95</v>
      </c>
      <c r="F6523" s="209">
        <v>12.97</v>
      </c>
      <c r="G6523" s="209">
        <v>29.92</v>
      </c>
      <c r="H6523" s="198"/>
    </row>
    <row r="6524" spans="1:8" ht="15.75" hidden="1" customHeight="1" x14ac:dyDescent="0.25">
      <c r="A6524" s="205" t="s">
        <v>7160</v>
      </c>
      <c r="B6524" s="206">
        <v>102494</v>
      </c>
      <c r="C6524" s="207" t="s">
        <v>7174</v>
      </c>
      <c r="D6524" s="208" t="s">
        <v>578</v>
      </c>
      <c r="E6524" s="209">
        <v>55.41</v>
      </c>
      <c r="F6524" s="209">
        <v>9.77</v>
      </c>
      <c r="G6524" s="209">
        <v>65.180000000000007</v>
      </c>
      <c r="H6524" s="198"/>
    </row>
    <row r="6525" spans="1:8" ht="15.75" hidden="1" customHeight="1" x14ac:dyDescent="0.25">
      <c r="A6525" s="205" t="s">
        <v>7160</v>
      </c>
      <c r="B6525" s="206">
        <v>102496</v>
      </c>
      <c r="C6525" s="207" t="s">
        <v>7175</v>
      </c>
      <c r="D6525" s="208" t="s">
        <v>585</v>
      </c>
      <c r="E6525" s="209">
        <v>10.039999999999999</v>
      </c>
      <c r="F6525" s="209">
        <v>4.6100000000000003</v>
      </c>
      <c r="G6525" s="209">
        <v>14.65</v>
      </c>
      <c r="H6525" s="198"/>
    </row>
    <row r="6526" spans="1:8" ht="15.75" hidden="1" customHeight="1" x14ac:dyDescent="0.25">
      <c r="A6526" s="205" t="s">
        <v>7160</v>
      </c>
      <c r="B6526" s="206">
        <v>102497</v>
      </c>
      <c r="C6526" s="207" t="s">
        <v>7176</v>
      </c>
      <c r="D6526" s="208" t="s">
        <v>585</v>
      </c>
      <c r="E6526" s="209">
        <v>2.86</v>
      </c>
      <c r="F6526" s="209">
        <v>3.06</v>
      </c>
      <c r="G6526" s="209">
        <v>5.92</v>
      </c>
      <c r="H6526" s="198"/>
    </row>
    <row r="6527" spans="1:8" ht="15.75" hidden="1" customHeight="1" x14ac:dyDescent="0.25">
      <c r="A6527" s="205" t="s">
        <v>7160</v>
      </c>
      <c r="B6527" s="206">
        <v>102520</v>
      </c>
      <c r="C6527" s="207" t="s">
        <v>7177</v>
      </c>
      <c r="D6527" s="208" t="s">
        <v>578</v>
      </c>
      <c r="E6527" s="209">
        <v>40.69</v>
      </c>
      <c r="F6527" s="209">
        <v>61.33</v>
      </c>
      <c r="G6527" s="209">
        <v>102.02</v>
      </c>
      <c r="H6527" s="198"/>
    </row>
    <row r="6528" spans="1:8" ht="15.75" hidden="1" customHeight="1" x14ac:dyDescent="0.25">
      <c r="A6528" s="205" t="s">
        <v>7160</v>
      </c>
      <c r="B6528" s="206">
        <v>102513</v>
      </c>
      <c r="C6528" s="207" t="s">
        <v>7178</v>
      </c>
      <c r="D6528" s="208" t="s">
        <v>578</v>
      </c>
      <c r="E6528" s="209">
        <v>24.19</v>
      </c>
      <c r="F6528" s="209">
        <v>34.15</v>
      </c>
      <c r="G6528" s="209">
        <v>58.34</v>
      </c>
      <c r="H6528" s="198"/>
    </row>
    <row r="6529" spans="1:8" ht="15.75" hidden="1" customHeight="1" x14ac:dyDescent="0.25">
      <c r="A6529" s="205" t="s">
        <v>7160</v>
      </c>
      <c r="B6529" s="206">
        <v>102489</v>
      </c>
      <c r="C6529" s="207" t="s">
        <v>7179</v>
      </c>
      <c r="D6529" s="208" t="s">
        <v>578</v>
      </c>
      <c r="E6529" s="209">
        <v>19.100000000000001</v>
      </c>
      <c r="F6529" s="209">
        <v>12.8</v>
      </c>
      <c r="G6529" s="209">
        <v>31.9</v>
      </c>
      <c r="H6529" s="198"/>
    </row>
    <row r="6530" spans="1:8" ht="15.75" hidden="1" customHeight="1" x14ac:dyDescent="0.25">
      <c r="A6530" s="205" t="s">
        <v>7160</v>
      </c>
      <c r="B6530" s="206">
        <v>102488</v>
      </c>
      <c r="C6530" s="207" t="s">
        <v>7180</v>
      </c>
      <c r="D6530" s="208" t="s">
        <v>578</v>
      </c>
      <c r="E6530" s="209">
        <v>1.33</v>
      </c>
      <c r="F6530" s="209">
        <v>3.43</v>
      </c>
      <c r="G6530" s="209">
        <v>4.76</v>
      </c>
      <c r="H6530" s="198"/>
    </row>
    <row r="6531" spans="1:8" ht="15.75" hidden="1" customHeight="1" x14ac:dyDescent="0.25">
      <c r="A6531" s="205" t="s">
        <v>7181</v>
      </c>
      <c r="B6531" s="206">
        <v>101746</v>
      </c>
      <c r="C6531" s="207" t="s">
        <v>7182</v>
      </c>
      <c r="D6531" s="208" t="s">
        <v>578</v>
      </c>
      <c r="E6531" s="209">
        <v>295.02999999999997</v>
      </c>
      <c r="F6531" s="209">
        <v>16.41</v>
      </c>
      <c r="G6531" s="209">
        <v>311.44</v>
      </c>
      <c r="H6531" s="198"/>
    </row>
    <row r="6532" spans="1:8" ht="15.75" hidden="1" customHeight="1" x14ac:dyDescent="0.25">
      <c r="A6532" s="205" t="s">
        <v>7181</v>
      </c>
      <c r="B6532" s="206">
        <v>98679</v>
      </c>
      <c r="C6532" s="207" t="s">
        <v>7183</v>
      </c>
      <c r="D6532" s="208" t="s">
        <v>578</v>
      </c>
      <c r="E6532" s="209">
        <v>25.44</v>
      </c>
      <c r="F6532" s="209">
        <v>16.649999999999999</v>
      </c>
      <c r="G6532" s="209">
        <v>42.09</v>
      </c>
      <c r="H6532" s="198"/>
    </row>
    <row r="6533" spans="1:8" ht="15.75" hidden="1" customHeight="1" x14ac:dyDescent="0.25">
      <c r="A6533" s="205" t="s">
        <v>7181</v>
      </c>
      <c r="B6533" s="206">
        <v>98680</v>
      </c>
      <c r="C6533" s="207" t="s">
        <v>7184</v>
      </c>
      <c r="D6533" s="208" t="s">
        <v>578</v>
      </c>
      <c r="E6533" s="209">
        <v>32.96</v>
      </c>
      <c r="F6533" s="209">
        <v>19.29</v>
      </c>
      <c r="G6533" s="209">
        <v>52.25</v>
      </c>
      <c r="H6533" s="198"/>
    </row>
    <row r="6534" spans="1:8" ht="15.75" hidden="1" customHeight="1" x14ac:dyDescent="0.25">
      <c r="A6534" s="205" t="s">
        <v>7181</v>
      </c>
      <c r="B6534" s="206">
        <v>101749</v>
      </c>
      <c r="C6534" s="207" t="s">
        <v>7185</v>
      </c>
      <c r="D6534" s="208" t="s">
        <v>578</v>
      </c>
      <c r="E6534" s="209">
        <v>39.11</v>
      </c>
      <c r="F6534" s="209">
        <v>21.45</v>
      </c>
      <c r="G6534" s="209">
        <v>60.56</v>
      </c>
      <c r="H6534" s="198"/>
    </row>
    <row r="6535" spans="1:8" ht="15.75" hidden="1" customHeight="1" x14ac:dyDescent="0.25">
      <c r="A6535" s="205" t="s">
        <v>7181</v>
      </c>
      <c r="B6535" s="206">
        <v>98681</v>
      </c>
      <c r="C6535" s="207" t="s">
        <v>7186</v>
      </c>
      <c r="D6535" s="208" t="s">
        <v>578</v>
      </c>
      <c r="E6535" s="209">
        <v>24.33</v>
      </c>
      <c r="F6535" s="209">
        <v>14.54</v>
      </c>
      <c r="G6535" s="209">
        <v>38.869999999999997</v>
      </c>
      <c r="H6535" s="198"/>
    </row>
    <row r="6536" spans="1:8" ht="15.75" hidden="1" customHeight="1" x14ac:dyDescent="0.25">
      <c r="A6536" s="205" t="s">
        <v>7181</v>
      </c>
      <c r="B6536" s="206">
        <v>98682</v>
      </c>
      <c r="C6536" s="207" t="s">
        <v>7187</v>
      </c>
      <c r="D6536" s="208" t="s">
        <v>578</v>
      </c>
      <c r="E6536" s="209">
        <v>31.85</v>
      </c>
      <c r="F6536" s="209">
        <v>17.2</v>
      </c>
      <c r="G6536" s="209">
        <v>49.05</v>
      </c>
      <c r="H6536" s="198"/>
    </row>
    <row r="6537" spans="1:8" ht="15.75" hidden="1" customHeight="1" x14ac:dyDescent="0.25">
      <c r="A6537" s="205" t="s">
        <v>7181</v>
      </c>
      <c r="B6537" s="206">
        <v>101750</v>
      </c>
      <c r="C6537" s="207" t="s">
        <v>7188</v>
      </c>
      <c r="D6537" s="208" t="s">
        <v>578</v>
      </c>
      <c r="E6537" s="209">
        <v>37.979999999999997</v>
      </c>
      <c r="F6537" s="209">
        <v>19.37</v>
      </c>
      <c r="G6537" s="209">
        <v>57.35</v>
      </c>
      <c r="H6537" s="198"/>
    </row>
    <row r="6538" spans="1:8" ht="15.75" hidden="1" customHeight="1" x14ac:dyDescent="0.25">
      <c r="A6538" s="205" t="s">
        <v>7181</v>
      </c>
      <c r="B6538" s="206">
        <v>101737</v>
      </c>
      <c r="C6538" s="207" t="s">
        <v>7189</v>
      </c>
      <c r="D6538" s="208" t="s">
        <v>578</v>
      </c>
      <c r="E6538" s="209">
        <v>105.78</v>
      </c>
      <c r="F6538" s="209">
        <v>17.29</v>
      </c>
      <c r="G6538" s="209">
        <v>123.07</v>
      </c>
      <c r="H6538" s="198"/>
    </row>
    <row r="6539" spans="1:8" ht="15.75" hidden="1" customHeight="1" x14ac:dyDescent="0.25">
      <c r="A6539" s="205" t="s">
        <v>7181</v>
      </c>
      <c r="B6539" s="206">
        <v>101735</v>
      </c>
      <c r="C6539" s="207" t="s">
        <v>7190</v>
      </c>
      <c r="D6539" s="208" t="s">
        <v>578</v>
      </c>
      <c r="E6539" s="209">
        <v>374.88</v>
      </c>
      <c r="F6539" s="209">
        <v>26.92</v>
      </c>
      <c r="G6539" s="209">
        <v>401.8</v>
      </c>
      <c r="H6539" s="198"/>
    </row>
    <row r="6540" spans="1:8" ht="15.75" hidden="1" customHeight="1" x14ac:dyDescent="0.25">
      <c r="A6540" s="205" t="s">
        <v>7181</v>
      </c>
      <c r="B6540" s="206">
        <v>101734</v>
      </c>
      <c r="C6540" s="207" t="s">
        <v>7191</v>
      </c>
      <c r="D6540" s="208" t="s">
        <v>578</v>
      </c>
      <c r="E6540" s="209">
        <v>365.47</v>
      </c>
      <c r="F6540" s="209">
        <v>26.91</v>
      </c>
      <c r="G6540" s="209">
        <v>392.38</v>
      </c>
      <c r="H6540" s="198"/>
    </row>
    <row r="6541" spans="1:8" ht="15.75" hidden="1" customHeight="1" x14ac:dyDescent="0.25">
      <c r="A6541" s="205" t="s">
        <v>7181</v>
      </c>
      <c r="B6541" s="206">
        <v>101736</v>
      </c>
      <c r="C6541" s="207" t="s">
        <v>7192</v>
      </c>
      <c r="D6541" s="208" t="s">
        <v>578</v>
      </c>
      <c r="E6541" s="209">
        <v>87.16</v>
      </c>
      <c r="F6541" s="209">
        <v>17.28</v>
      </c>
      <c r="G6541" s="209">
        <v>104.44</v>
      </c>
      <c r="H6541" s="198"/>
    </row>
    <row r="6542" spans="1:8" ht="15.75" hidden="1" customHeight="1" x14ac:dyDescent="0.25">
      <c r="A6542" s="205" t="s">
        <v>7181</v>
      </c>
      <c r="B6542" s="206">
        <v>101733</v>
      </c>
      <c r="C6542" s="207" t="s">
        <v>7193</v>
      </c>
      <c r="D6542" s="208" t="s">
        <v>578</v>
      </c>
      <c r="E6542" s="209">
        <v>235.61</v>
      </c>
      <c r="F6542" s="209">
        <v>26.93</v>
      </c>
      <c r="G6542" s="209">
        <v>262.54000000000002</v>
      </c>
      <c r="H6542" s="198"/>
    </row>
    <row r="6543" spans="1:8" ht="15.75" hidden="1" customHeight="1" x14ac:dyDescent="0.25">
      <c r="A6543" s="205" t="s">
        <v>7181</v>
      </c>
      <c r="B6543" s="206">
        <v>98678</v>
      </c>
      <c r="C6543" s="207" t="s">
        <v>7194</v>
      </c>
      <c r="D6543" s="208" t="s">
        <v>578</v>
      </c>
      <c r="E6543" s="209">
        <v>475.32</v>
      </c>
      <c r="F6543" s="209">
        <v>15.25</v>
      </c>
      <c r="G6543" s="209">
        <v>490.57</v>
      </c>
      <c r="H6543" s="198"/>
    </row>
    <row r="6544" spans="1:8" ht="15.75" hidden="1" customHeight="1" x14ac:dyDescent="0.25">
      <c r="A6544" s="205" t="s">
        <v>7181</v>
      </c>
      <c r="B6544" s="206">
        <v>101747</v>
      </c>
      <c r="C6544" s="207" t="s">
        <v>7195</v>
      </c>
      <c r="D6544" s="208" t="s">
        <v>578</v>
      </c>
      <c r="E6544" s="209">
        <v>72.790000000000006</v>
      </c>
      <c r="F6544" s="209">
        <v>3.99</v>
      </c>
      <c r="G6544" s="209">
        <v>76.78</v>
      </c>
      <c r="H6544" s="198"/>
    </row>
    <row r="6545" spans="1:8" ht="15.75" hidden="1" customHeight="1" x14ac:dyDescent="0.25">
      <c r="A6545" s="205" t="s">
        <v>7181</v>
      </c>
      <c r="B6545" s="206">
        <v>104162</v>
      </c>
      <c r="C6545" s="207" t="s">
        <v>7196</v>
      </c>
      <c r="D6545" s="208" t="s">
        <v>578</v>
      </c>
      <c r="E6545" s="209">
        <v>66.58</v>
      </c>
      <c r="F6545" s="209">
        <v>43.86</v>
      </c>
      <c r="G6545" s="209">
        <v>110.44</v>
      </c>
      <c r="H6545" s="198"/>
    </row>
    <row r="6546" spans="1:8" ht="15.75" hidden="1" customHeight="1" x14ac:dyDescent="0.25">
      <c r="A6546" s="205" t="s">
        <v>7181</v>
      </c>
      <c r="B6546" s="206">
        <v>98671</v>
      </c>
      <c r="C6546" s="207" t="s">
        <v>7197</v>
      </c>
      <c r="D6546" s="208" t="s">
        <v>578</v>
      </c>
      <c r="E6546" s="209">
        <v>430.88</v>
      </c>
      <c r="F6546" s="209">
        <v>48.62</v>
      </c>
      <c r="G6546" s="209">
        <v>479.5</v>
      </c>
      <c r="H6546" s="198"/>
    </row>
    <row r="6547" spans="1:8" ht="15.75" hidden="1" customHeight="1" x14ac:dyDescent="0.25">
      <c r="A6547" s="205" t="s">
        <v>7181</v>
      </c>
      <c r="B6547" s="206">
        <v>101092</v>
      </c>
      <c r="C6547" s="207" t="s">
        <v>7198</v>
      </c>
      <c r="D6547" s="208" t="s">
        <v>578</v>
      </c>
      <c r="E6547" s="209">
        <v>434.83</v>
      </c>
      <c r="F6547" s="209">
        <v>60.42</v>
      </c>
      <c r="G6547" s="209">
        <v>495.25</v>
      </c>
      <c r="H6547" s="198"/>
    </row>
    <row r="6548" spans="1:8" ht="15.75" hidden="1" customHeight="1" x14ac:dyDescent="0.25">
      <c r="A6548" s="205" t="s">
        <v>7181</v>
      </c>
      <c r="B6548" s="206">
        <v>101091</v>
      </c>
      <c r="C6548" s="207" t="s">
        <v>7199</v>
      </c>
      <c r="D6548" s="208" t="s">
        <v>578</v>
      </c>
      <c r="E6548" s="209">
        <v>95.38</v>
      </c>
      <c r="F6548" s="209">
        <v>45.98</v>
      </c>
      <c r="G6548" s="209">
        <v>141.36000000000001</v>
      </c>
      <c r="H6548" s="198"/>
    </row>
    <row r="6549" spans="1:8" ht="15.75" hidden="1" customHeight="1" x14ac:dyDescent="0.25">
      <c r="A6549" s="205" t="s">
        <v>7181</v>
      </c>
      <c r="B6549" s="206">
        <v>101726</v>
      </c>
      <c r="C6549" s="207" t="s">
        <v>7200</v>
      </c>
      <c r="D6549" s="208" t="s">
        <v>578</v>
      </c>
      <c r="E6549" s="209">
        <v>113.34</v>
      </c>
      <c r="F6549" s="209">
        <v>81.83</v>
      </c>
      <c r="G6549" s="209">
        <v>195.17</v>
      </c>
      <c r="H6549" s="198"/>
    </row>
    <row r="6550" spans="1:8" ht="15.75" hidden="1" customHeight="1" x14ac:dyDescent="0.25">
      <c r="A6550" s="205" t="s">
        <v>7181</v>
      </c>
      <c r="B6550" s="206">
        <v>101725</v>
      </c>
      <c r="C6550" s="207" t="s">
        <v>7201</v>
      </c>
      <c r="D6550" s="208" t="s">
        <v>578</v>
      </c>
      <c r="E6550" s="209">
        <v>146.56</v>
      </c>
      <c r="F6550" s="209">
        <v>170.94</v>
      </c>
      <c r="G6550" s="209">
        <v>317.5</v>
      </c>
      <c r="H6550" s="198"/>
    </row>
    <row r="6551" spans="1:8" ht="15.75" hidden="1" customHeight="1" x14ac:dyDescent="0.25">
      <c r="A6551" s="205" t="s">
        <v>7181</v>
      </c>
      <c r="B6551" s="206">
        <v>98672</v>
      </c>
      <c r="C6551" s="207" t="s">
        <v>7202</v>
      </c>
      <c r="D6551" s="208" t="s">
        <v>578</v>
      </c>
      <c r="E6551" s="209">
        <v>535.74</v>
      </c>
      <c r="F6551" s="209">
        <v>48.61</v>
      </c>
      <c r="G6551" s="209">
        <v>584.35</v>
      </c>
      <c r="H6551" s="198"/>
    </row>
    <row r="6552" spans="1:8" ht="15.75" hidden="1" customHeight="1" x14ac:dyDescent="0.25">
      <c r="A6552" s="205" t="s">
        <v>7181</v>
      </c>
      <c r="B6552" s="206">
        <v>101093</v>
      </c>
      <c r="C6552" s="207" t="s">
        <v>7203</v>
      </c>
      <c r="D6552" s="208" t="s">
        <v>578</v>
      </c>
      <c r="E6552" s="209">
        <v>539.73</v>
      </c>
      <c r="F6552" s="209">
        <v>60.37</v>
      </c>
      <c r="G6552" s="209">
        <v>600.1</v>
      </c>
      <c r="H6552" s="198"/>
    </row>
    <row r="6553" spans="1:8" ht="15.75" hidden="1" customHeight="1" x14ac:dyDescent="0.25">
      <c r="A6553" s="205" t="s">
        <v>7181</v>
      </c>
      <c r="B6553" s="206">
        <v>101731</v>
      </c>
      <c r="C6553" s="207" t="s">
        <v>7204</v>
      </c>
      <c r="D6553" s="208" t="s">
        <v>578</v>
      </c>
      <c r="E6553" s="209">
        <v>311.27</v>
      </c>
      <c r="F6553" s="209">
        <v>50.54</v>
      </c>
      <c r="G6553" s="209">
        <v>361.81</v>
      </c>
      <c r="H6553" s="198"/>
    </row>
    <row r="6554" spans="1:8" ht="15.75" hidden="1" customHeight="1" x14ac:dyDescent="0.25">
      <c r="A6554" s="205" t="s">
        <v>7181</v>
      </c>
      <c r="B6554" s="206">
        <v>101732</v>
      </c>
      <c r="C6554" s="207" t="s">
        <v>7205</v>
      </c>
      <c r="D6554" s="208" t="s">
        <v>578</v>
      </c>
      <c r="E6554" s="209">
        <v>79.05</v>
      </c>
      <c r="F6554" s="209">
        <v>34.49</v>
      </c>
      <c r="G6554" s="209">
        <v>113.54</v>
      </c>
      <c r="H6554" s="198"/>
    </row>
    <row r="6555" spans="1:8" ht="15.75" hidden="1" customHeight="1" x14ac:dyDescent="0.25">
      <c r="A6555" s="205" t="s">
        <v>7181</v>
      </c>
      <c r="B6555" s="206">
        <v>101090</v>
      </c>
      <c r="C6555" s="207" t="s">
        <v>7206</v>
      </c>
      <c r="D6555" s="208" t="s">
        <v>578</v>
      </c>
      <c r="E6555" s="209">
        <v>210.91</v>
      </c>
      <c r="F6555" s="209">
        <v>27.75</v>
      </c>
      <c r="G6555" s="209">
        <v>238.66</v>
      </c>
      <c r="H6555" s="198"/>
    </row>
    <row r="6556" spans="1:8" ht="15.75" hidden="1" customHeight="1" x14ac:dyDescent="0.25">
      <c r="A6556" s="205" t="s">
        <v>7181</v>
      </c>
      <c r="B6556" s="206">
        <v>101751</v>
      </c>
      <c r="C6556" s="207" t="s">
        <v>7207</v>
      </c>
      <c r="D6556" s="208" t="s">
        <v>578</v>
      </c>
      <c r="E6556" s="209">
        <v>191.86</v>
      </c>
      <c r="F6556" s="209">
        <v>20.440000000000001</v>
      </c>
      <c r="G6556" s="209">
        <v>212.3</v>
      </c>
      <c r="H6556" s="198"/>
    </row>
    <row r="6557" spans="1:8" ht="15.75" hidden="1" customHeight="1" x14ac:dyDescent="0.25">
      <c r="A6557" s="205" t="s">
        <v>7181</v>
      </c>
      <c r="B6557" s="206">
        <v>101729</v>
      </c>
      <c r="C6557" s="207" t="s">
        <v>7208</v>
      </c>
      <c r="D6557" s="208" t="s">
        <v>578</v>
      </c>
      <c r="E6557" s="209">
        <v>189.56</v>
      </c>
      <c r="F6557" s="209">
        <v>14.07</v>
      </c>
      <c r="G6557" s="209">
        <v>203.63</v>
      </c>
      <c r="H6557" s="198"/>
    </row>
    <row r="6558" spans="1:8" ht="15.75" hidden="1" customHeight="1" x14ac:dyDescent="0.25">
      <c r="A6558" s="205" t="s">
        <v>7181</v>
      </c>
      <c r="B6558" s="206">
        <v>101094</v>
      </c>
      <c r="C6558" s="207" t="s">
        <v>7209</v>
      </c>
      <c r="D6558" s="208" t="s">
        <v>585</v>
      </c>
      <c r="E6558" s="209">
        <v>147.28</v>
      </c>
      <c r="F6558" s="209">
        <v>16.32</v>
      </c>
      <c r="G6558" s="209">
        <v>163.6</v>
      </c>
      <c r="H6558" s="198"/>
    </row>
    <row r="6559" spans="1:8" ht="15.75" hidden="1" customHeight="1" x14ac:dyDescent="0.25">
      <c r="A6559" s="205" t="s">
        <v>7181</v>
      </c>
      <c r="B6559" s="206">
        <v>101727</v>
      </c>
      <c r="C6559" s="207" t="s">
        <v>7210</v>
      </c>
      <c r="D6559" s="208" t="s">
        <v>578</v>
      </c>
      <c r="E6559" s="209">
        <v>180.38</v>
      </c>
      <c r="F6559" s="209">
        <v>6.36</v>
      </c>
      <c r="G6559" s="209">
        <v>186.74</v>
      </c>
      <c r="H6559" s="198"/>
    </row>
    <row r="6560" spans="1:8" ht="15.75" hidden="1" customHeight="1" x14ac:dyDescent="0.25">
      <c r="A6560" s="205" t="s">
        <v>7181</v>
      </c>
      <c r="B6560" s="206">
        <v>101748</v>
      </c>
      <c r="C6560" s="207" t="s">
        <v>7211</v>
      </c>
      <c r="D6560" s="208" t="s">
        <v>578</v>
      </c>
      <c r="E6560" s="209">
        <v>1.39</v>
      </c>
      <c r="F6560" s="209">
        <v>3.35</v>
      </c>
      <c r="G6560" s="209">
        <v>4.74</v>
      </c>
      <c r="H6560" s="198"/>
    </row>
    <row r="6561" spans="1:8" ht="15.75" hidden="1" customHeight="1" x14ac:dyDescent="0.25">
      <c r="A6561" s="205" t="s">
        <v>7181</v>
      </c>
      <c r="B6561" s="206">
        <v>101742</v>
      </c>
      <c r="C6561" s="207" t="s">
        <v>7212</v>
      </c>
      <c r="D6561" s="208" t="s">
        <v>585</v>
      </c>
      <c r="E6561" s="209">
        <v>41.33</v>
      </c>
      <c r="F6561" s="209">
        <v>24.68</v>
      </c>
      <c r="G6561" s="209">
        <v>66.010000000000005</v>
      </c>
      <c r="H6561" s="198"/>
    </row>
    <row r="6562" spans="1:8" ht="15.75" hidden="1" customHeight="1" x14ac:dyDescent="0.25">
      <c r="A6562" s="205" t="s">
        <v>7181</v>
      </c>
      <c r="B6562" s="206">
        <v>101740</v>
      </c>
      <c r="C6562" s="207" t="s">
        <v>7213</v>
      </c>
      <c r="D6562" s="208" t="s">
        <v>585</v>
      </c>
      <c r="E6562" s="209">
        <v>30.79</v>
      </c>
      <c r="F6562" s="209">
        <v>30.52</v>
      </c>
      <c r="G6562" s="209">
        <v>61.31</v>
      </c>
      <c r="H6562" s="198"/>
    </row>
    <row r="6563" spans="1:8" ht="15.75" hidden="1" customHeight="1" x14ac:dyDescent="0.25">
      <c r="A6563" s="205" t="s">
        <v>7181</v>
      </c>
      <c r="B6563" s="206">
        <v>98685</v>
      </c>
      <c r="C6563" s="207" t="s">
        <v>7214</v>
      </c>
      <c r="D6563" s="208" t="s">
        <v>585</v>
      </c>
      <c r="E6563" s="209">
        <v>76.319999999999993</v>
      </c>
      <c r="F6563" s="209">
        <v>12.23</v>
      </c>
      <c r="G6563" s="209">
        <v>88.55</v>
      </c>
      <c r="H6563" s="198"/>
    </row>
    <row r="6564" spans="1:8" ht="15.75" hidden="1" customHeight="1" x14ac:dyDescent="0.25">
      <c r="A6564" s="205" t="s">
        <v>7181</v>
      </c>
      <c r="B6564" s="206">
        <v>98686</v>
      </c>
      <c r="C6564" s="207" t="s">
        <v>7215</v>
      </c>
      <c r="D6564" s="208" t="s">
        <v>585</v>
      </c>
      <c r="E6564" s="209">
        <v>20.34</v>
      </c>
      <c r="F6564" s="209">
        <v>30.53</v>
      </c>
      <c r="G6564" s="209">
        <v>50.87</v>
      </c>
      <c r="H6564" s="198"/>
    </row>
    <row r="6565" spans="1:8" ht="15.75" hidden="1" customHeight="1" x14ac:dyDescent="0.25">
      <c r="A6565" s="205" t="s">
        <v>7181</v>
      </c>
      <c r="B6565" s="206">
        <v>101739</v>
      </c>
      <c r="C6565" s="207" t="s">
        <v>7216</v>
      </c>
      <c r="D6565" s="208" t="s">
        <v>585</v>
      </c>
      <c r="E6565" s="209">
        <v>22.93</v>
      </c>
      <c r="F6565" s="209">
        <v>15.02</v>
      </c>
      <c r="G6565" s="209">
        <v>37.950000000000003</v>
      </c>
      <c r="H6565" s="198"/>
    </row>
    <row r="6566" spans="1:8" ht="15.75" hidden="1" customHeight="1" x14ac:dyDescent="0.25">
      <c r="A6566" s="205" t="s">
        <v>7181</v>
      </c>
      <c r="B6566" s="206">
        <v>101738</v>
      </c>
      <c r="C6566" s="207" t="s">
        <v>7217</v>
      </c>
      <c r="D6566" s="208" t="s">
        <v>585</v>
      </c>
      <c r="E6566" s="209">
        <v>21.61</v>
      </c>
      <c r="F6566" s="209">
        <v>12.88</v>
      </c>
      <c r="G6566" s="209">
        <v>34.49</v>
      </c>
      <c r="H6566" s="198"/>
    </row>
    <row r="6567" spans="1:8" ht="15.75" hidden="1" customHeight="1" x14ac:dyDescent="0.25">
      <c r="A6567" s="205" t="s">
        <v>7181</v>
      </c>
      <c r="B6567" s="206">
        <v>101741</v>
      </c>
      <c r="C6567" s="207" t="s">
        <v>7218</v>
      </c>
      <c r="D6567" s="208" t="s">
        <v>585</v>
      </c>
      <c r="E6567" s="209">
        <v>10.039999999999999</v>
      </c>
      <c r="F6567" s="209">
        <v>21.03</v>
      </c>
      <c r="G6567" s="209">
        <v>31.07</v>
      </c>
      <c r="H6567" s="198"/>
    </row>
    <row r="6568" spans="1:8" ht="15.75" hidden="1" customHeight="1" x14ac:dyDescent="0.25">
      <c r="A6568" s="205" t="s">
        <v>7181</v>
      </c>
      <c r="B6568" s="206">
        <v>98697</v>
      </c>
      <c r="C6568" s="207" t="s">
        <v>7219</v>
      </c>
      <c r="D6568" s="208" t="s">
        <v>585</v>
      </c>
      <c r="E6568" s="209">
        <v>59.14</v>
      </c>
      <c r="F6568" s="209">
        <v>12.23</v>
      </c>
      <c r="G6568" s="209">
        <v>71.37</v>
      </c>
      <c r="H6568" s="198"/>
    </row>
    <row r="6569" spans="1:8" ht="15.75" hidden="1" customHeight="1" x14ac:dyDescent="0.25">
      <c r="A6569" s="205" t="s">
        <v>7181</v>
      </c>
      <c r="B6569" s="206">
        <v>98688</v>
      </c>
      <c r="C6569" s="207" t="s">
        <v>7220</v>
      </c>
      <c r="D6569" s="208" t="s">
        <v>585</v>
      </c>
      <c r="E6569" s="209">
        <v>72.5</v>
      </c>
      <c r="F6569" s="209">
        <v>3.84</v>
      </c>
      <c r="G6569" s="209">
        <v>76.34</v>
      </c>
      <c r="H6569" s="198"/>
    </row>
    <row r="6570" spans="1:8" ht="15.75" hidden="1" customHeight="1" x14ac:dyDescent="0.25">
      <c r="A6570" s="205" t="s">
        <v>7181</v>
      </c>
      <c r="B6570" s="206">
        <v>98689</v>
      </c>
      <c r="C6570" s="207" t="s">
        <v>7221</v>
      </c>
      <c r="D6570" s="208" t="s">
        <v>585</v>
      </c>
      <c r="E6570" s="209">
        <v>105.36</v>
      </c>
      <c r="F6570" s="209">
        <v>22.37</v>
      </c>
      <c r="G6570" s="209">
        <v>127.73</v>
      </c>
      <c r="H6570" s="198"/>
    </row>
    <row r="6571" spans="1:8" ht="15.75" hidden="1" customHeight="1" x14ac:dyDescent="0.25">
      <c r="A6571" s="205" t="s">
        <v>7181</v>
      </c>
      <c r="B6571" s="206">
        <v>98695</v>
      </c>
      <c r="C6571" s="207" t="s">
        <v>7222</v>
      </c>
      <c r="D6571" s="208" t="s">
        <v>585</v>
      </c>
      <c r="E6571" s="209">
        <v>86.96</v>
      </c>
      <c r="F6571" s="209">
        <v>22.37</v>
      </c>
      <c r="G6571" s="209">
        <v>109.33</v>
      </c>
      <c r="H6571" s="198"/>
    </row>
    <row r="6572" spans="1:8" ht="15.75" hidden="1" customHeight="1" x14ac:dyDescent="0.25">
      <c r="A6572" s="205" t="s">
        <v>7223</v>
      </c>
      <c r="B6572" s="206">
        <v>100606</v>
      </c>
      <c r="C6572" s="207" t="s">
        <v>7224</v>
      </c>
      <c r="D6572" s="208" t="s">
        <v>580</v>
      </c>
      <c r="E6572" s="209">
        <v>1077.54</v>
      </c>
      <c r="F6572" s="209">
        <v>651.5</v>
      </c>
      <c r="G6572" s="209">
        <v>1729.04</v>
      </c>
      <c r="H6572" s="198"/>
    </row>
    <row r="6573" spans="1:8" ht="15.75" hidden="1" customHeight="1" x14ac:dyDescent="0.25">
      <c r="A6573" s="205" t="s">
        <v>7223</v>
      </c>
      <c r="B6573" s="206">
        <v>100604</v>
      </c>
      <c r="C6573" s="207" t="s">
        <v>7225</v>
      </c>
      <c r="D6573" s="208" t="s">
        <v>580</v>
      </c>
      <c r="E6573" s="209">
        <v>524.37</v>
      </c>
      <c r="F6573" s="209">
        <v>178.63</v>
      </c>
      <c r="G6573" s="209">
        <v>703</v>
      </c>
      <c r="H6573" s="198"/>
    </row>
    <row r="6574" spans="1:8" ht="15.75" hidden="1" customHeight="1" x14ac:dyDescent="0.25">
      <c r="A6574" s="205" t="s">
        <v>7223</v>
      </c>
      <c r="B6574" s="206">
        <v>100605</v>
      </c>
      <c r="C6574" s="207" t="s">
        <v>7226</v>
      </c>
      <c r="D6574" s="208" t="s">
        <v>580</v>
      </c>
      <c r="E6574" s="209">
        <v>753.58</v>
      </c>
      <c r="F6574" s="209">
        <v>372.17</v>
      </c>
      <c r="G6574" s="209">
        <v>1125.75</v>
      </c>
      <c r="H6574" s="198"/>
    </row>
    <row r="6575" spans="1:8" ht="15.75" hidden="1" customHeight="1" x14ac:dyDescent="0.25">
      <c r="A6575" s="205" t="s">
        <v>7223</v>
      </c>
      <c r="B6575" s="206">
        <v>100580</v>
      </c>
      <c r="C6575" s="207" t="s">
        <v>7227</v>
      </c>
      <c r="D6575" s="208" t="s">
        <v>580</v>
      </c>
      <c r="E6575" s="209">
        <v>460.95</v>
      </c>
      <c r="F6575" s="209">
        <v>198.01</v>
      </c>
      <c r="G6575" s="209">
        <v>658.96</v>
      </c>
      <c r="H6575" s="198"/>
    </row>
    <row r="6576" spans="1:8" ht="15.75" hidden="1" customHeight="1" x14ac:dyDescent="0.25">
      <c r="A6576" s="205" t="s">
        <v>7223</v>
      </c>
      <c r="B6576" s="206">
        <v>100579</v>
      </c>
      <c r="C6576" s="207" t="s">
        <v>7228</v>
      </c>
      <c r="D6576" s="208" t="s">
        <v>580</v>
      </c>
      <c r="E6576" s="209">
        <v>442.21</v>
      </c>
      <c r="F6576" s="209">
        <v>151.99</v>
      </c>
      <c r="G6576" s="209">
        <v>594.20000000000005</v>
      </c>
      <c r="H6576" s="198"/>
    </row>
    <row r="6577" spans="1:8" ht="15.75" hidden="1" customHeight="1" x14ac:dyDescent="0.25">
      <c r="A6577" s="205" t="s">
        <v>7223</v>
      </c>
      <c r="B6577" s="206">
        <v>100609</v>
      </c>
      <c r="C6577" s="207" t="s">
        <v>7229</v>
      </c>
      <c r="D6577" s="208" t="s">
        <v>580</v>
      </c>
      <c r="E6577" s="209">
        <v>1099.22</v>
      </c>
      <c r="F6577" s="209">
        <v>666.31</v>
      </c>
      <c r="G6577" s="209">
        <v>1765.53</v>
      </c>
      <c r="H6577" s="198"/>
    </row>
    <row r="6578" spans="1:8" ht="15.75" hidden="1" customHeight="1" x14ac:dyDescent="0.25">
      <c r="A6578" s="205" t="s">
        <v>7223</v>
      </c>
      <c r="B6578" s="206">
        <v>100607</v>
      </c>
      <c r="C6578" s="207" t="s">
        <v>7230</v>
      </c>
      <c r="D6578" s="208" t="s">
        <v>580</v>
      </c>
      <c r="E6578" s="209">
        <v>541.15</v>
      </c>
      <c r="F6578" s="209">
        <v>181.05</v>
      </c>
      <c r="G6578" s="209">
        <v>722.2</v>
      </c>
      <c r="H6578" s="198"/>
    </row>
    <row r="6579" spans="1:8" ht="15.75" hidden="1" customHeight="1" x14ac:dyDescent="0.25">
      <c r="A6579" s="205" t="s">
        <v>7223</v>
      </c>
      <c r="B6579" s="206">
        <v>100608</v>
      </c>
      <c r="C6579" s="207" t="s">
        <v>7231</v>
      </c>
      <c r="D6579" s="208" t="s">
        <v>580</v>
      </c>
      <c r="E6579" s="209">
        <v>772.23</v>
      </c>
      <c r="F6579" s="209">
        <v>379.31</v>
      </c>
      <c r="G6579" s="209">
        <v>1151.54</v>
      </c>
      <c r="H6579" s="198"/>
    </row>
    <row r="6580" spans="1:8" ht="15.75" hidden="1" customHeight="1" x14ac:dyDescent="0.25">
      <c r="A6580" s="205" t="s">
        <v>7223</v>
      </c>
      <c r="B6580" s="206">
        <v>100582</v>
      </c>
      <c r="C6580" s="207" t="s">
        <v>7232</v>
      </c>
      <c r="D6580" s="208" t="s">
        <v>580</v>
      </c>
      <c r="E6580" s="209">
        <v>495.87</v>
      </c>
      <c r="F6580" s="209">
        <v>240.6</v>
      </c>
      <c r="G6580" s="209">
        <v>736.47</v>
      </c>
      <c r="H6580" s="198"/>
    </row>
    <row r="6581" spans="1:8" ht="15.75" hidden="1" customHeight="1" x14ac:dyDescent="0.25">
      <c r="A6581" s="205" t="s">
        <v>7223</v>
      </c>
      <c r="B6581" s="206">
        <v>100581</v>
      </c>
      <c r="C6581" s="207" t="s">
        <v>7233</v>
      </c>
      <c r="D6581" s="208" t="s">
        <v>580</v>
      </c>
      <c r="E6581" s="209">
        <v>462.53</v>
      </c>
      <c r="F6581" s="209">
        <v>157.13999999999999</v>
      </c>
      <c r="G6581" s="209">
        <v>619.66999999999996</v>
      </c>
      <c r="H6581" s="198"/>
    </row>
    <row r="6582" spans="1:8" ht="15.75" hidden="1" customHeight="1" x14ac:dyDescent="0.25">
      <c r="A6582" s="205" t="s">
        <v>7223</v>
      </c>
      <c r="B6582" s="206">
        <v>100613</v>
      </c>
      <c r="C6582" s="207" t="s">
        <v>7234</v>
      </c>
      <c r="D6582" s="208" t="s">
        <v>580</v>
      </c>
      <c r="E6582" s="209">
        <v>1120.2</v>
      </c>
      <c r="F6582" s="209">
        <v>681.05</v>
      </c>
      <c r="G6582" s="209">
        <v>1801.25</v>
      </c>
      <c r="H6582" s="198"/>
    </row>
    <row r="6583" spans="1:8" ht="15.75" hidden="1" customHeight="1" x14ac:dyDescent="0.25">
      <c r="A6583" s="205" t="s">
        <v>7223</v>
      </c>
      <c r="B6583" s="206">
        <v>100610</v>
      </c>
      <c r="C6583" s="207" t="s">
        <v>7235</v>
      </c>
      <c r="D6583" s="208" t="s">
        <v>580</v>
      </c>
      <c r="E6583" s="209">
        <v>558.04999999999995</v>
      </c>
      <c r="F6583" s="209">
        <v>183.24</v>
      </c>
      <c r="G6583" s="209">
        <v>741.29</v>
      </c>
      <c r="H6583" s="198"/>
    </row>
    <row r="6584" spans="1:8" ht="15.75" hidden="1" customHeight="1" x14ac:dyDescent="0.25">
      <c r="A6584" s="205" t="s">
        <v>7223</v>
      </c>
      <c r="B6584" s="206">
        <v>100611</v>
      </c>
      <c r="C6584" s="207" t="s">
        <v>7236</v>
      </c>
      <c r="D6584" s="208" t="s">
        <v>580</v>
      </c>
      <c r="E6584" s="209">
        <v>661.26</v>
      </c>
      <c r="F6584" s="209">
        <v>273.38</v>
      </c>
      <c r="G6584" s="209">
        <v>934.64</v>
      </c>
      <c r="H6584" s="198"/>
    </row>
    <row r="6585" spans="1:8" ht="15.75" hidden="1" customHeight="1" x14ac:dyDescent="0.25">
      <c r="A6585" s="205" t="s">
        <v>7223</v>
      </c>
      <c r="B6585" s="206">
        <v>100612</v>
      </c>
      <c r="C6585" s="207" t="s">
        <v>7237</v>
      </c>
      <c r="D6585" s="208" t="s">
        <v>580</v>
      </c>
      <c r="E6585" s="209">
        <v>790.74</v>
      </c>
      <c r="F6585" s="209">
        <v>386.13</v>
      </c>
      <c r="G6585" s="209">
        <v>1176.8699999999999</v>
      </c>
      <c r="H6585" s="198"/>
    </row>
    <row r="6586" spans="1:8" ht="15.75" hidden="1" customHeight="1" x14ac:dyDescent="0.25">
      <c r="A6586" s="205" t="s">
        <v>7223</v>
      </c>
      <c r="B6586" s="206">
        <v>100584</v>
      </c>
      <c r="C6586" s="207" t="s">
        <v>7238</v>
      </c>
      <c r="D6586" s="208" t="s">
        <v>580</v>
      </c>
      <c r="E6586" s="209">
        <v>503.85</v>
      </c>
      <c r="F6586" s="209">
        <v>213.57</v>
      </c>
      <c r="G6586" s="209">
        <v>717.42</v>
      </c>
      <c r="H6586" s="198"/>
    </row>
    <row r="6587" spans="1:8" ht="15.75" hidden="1" customHeight="1" x14ac:dyDescent="0.25">
      <c r="A6587" s="205" t="s">
        <v>7223</v>
      </c>
      <c r="B6587" s="206">
        <v>100583</v>
      </c>
      <c r="C6587" s="207" t="s">
        <v>7239</v>
      </c>
      <c r="D6587" s="208" t="s">
        <v>580</v>
      </c>
      <c r="E6587" s="209">
        <v>483.49</v>
      </c>
      <c r="F6587" s="209">
        <v>163.75</v>
      </c>
      <c r="G6587" s="209">
        <v>647.24</v>
      </c>
      <c r="H6587" s="198"/>
    </row>
    <row r="6588" spans="1:8" ht="15.75" hidden="1" customHeight="1" x14ac:dyDescent="0.25">
      <c r="A6588" s="205" t="s">
        <v>7223</v>
      </c>
      <c r="B6588" s="206">
        <v>100616</v>
      </c>
      <c r="C6588" s="207" t="s">
        <v>7240</v>
      </c>
      <c r="D6588" s="208" t="s">
        <v>580</v>
      </c>
      <c r="E6588" s="209">
        <v>1163.69</v>
      </c>
      <c r="F6588" s="209">
        <v>712.92</v>
      </c>
      <c r="G6588" s="209">
        <v>1876.61</v>
      </c>
      <c r="H6588" s="198"/>
    </row>
    <row r="6589" spans="1:8" ht="15.75" hidden="1" customHeight="1" x14ac:dyDescent="0.25">
      <c r="A6589" s="205" t="s">
        <v>7223</v>
      </c>
      <c r="B6589" s="206">
        <v>100614</v>
      </c>
      <c r="C6589" s="207" t="s">
        <v>7241</v>
      </c>
      <c r="D6589" s="208" t="s">
        <v>580</v>
      </c>
      <c r="E6589" s="209">
        <v>696.56</v>
      </c>
      <c r="F6589" s="209">
        <v>281.89</v>
      </c>
      <c r="G6589" s="209">
        <v>978.45</v>
      </c>
      <c r="H6589" s="198"/>
    </row>
    <row r="6590" spans="1:8" ht="15.75" hidden="1" customHeight="1" x14ac:dyDescent="0.25">
      <c r="A6590" s="205" t="s">
        <v>7223</v>
      </c>
      <c r="B6590" s="206">
        <v>100615</v>
      </c>
      <c r="C6590" s="207" t="s">
        <v>7242</v>
      </c>
      <c r="D6590" s="208" t="s">
        <v>580</v>
      </c>
      <c r="E6590" s="209">
        <v>827.46</v>
      </c>
      <c r="F6590" s="209">
        <v>399.67</v>
      </c>
      <c r="G6590" s="209">
        <v>1227.1300000000001</v>
      </c>
      <c r="H6590" s="198"/>
    </row>
    <row r="6591" spans="1:8" ht="15.75" hidden="1" customHeight="1" x14ac:dyDescent="0.25">
      <c r="A6591" s="205" t="s">
        <v>7223</v>
      </c>
      <c r="B6591" s="206">
        <v>100586</v>
      </c>
      <c r="C6591" s="207" t="s">
        <v>7243</v>
      </c>
      <c r="D6591" s="208" t="s">
        <v>580</v>
      </c>
      <c r="E6591" s="209">
        <v>557.54</v>
      </c>
      <c r="F6591" s="209">
        <v>254.84</v>
      </c>
      <c r="G6591" s="209">
        <v>812.38</v>
      </c>
      <c r="H6591" s="198"/>
    </row>
    <row r="6592" spans="1:8" ht="15.75" hidden="1" customHeight="1" x14ac:dyDescent="0.25">
      <c r="A6592" s="205" t="s">
        <v>7223</v>
      </c>
      <c r="B6592" s="206">
        <v>100585</v>
      </c>
      <c r="C6592" s="207" t="s">
        <v>7244</v>
      </c>
      <c r="D6592" s="208" t="s">
        <v>580</v>
      </c>
      <c r="E6592" s="209">
        <v>524.89</v>
      </c>
      <c r="F6592" s="209">
        <v>175.71</v>
      </c>
      <c r="G6592" s="209">
        <v>700.6</v>
      </c>
      <c r="H6592" s="198"/>
    </row>
    <row r="6593" spans="1:8" ht="15.75" hidden="1" customHeight="1" x14ac:dyDescent="0.25">
      <c r="A6593" s="205" t="s">
        <v>7223</v>
      </c>
      <c r="B6593" s="206">
        <v>100618</v>
      </c>
      <c r="C6593" s="207" t="s">
        <v>7245</v>
      </c>
      <c r="D6593" s="208" t="s">
        <v>580</v>
      </c>
      <c r="E6593" s="209">
        <v>1213.5</v>
      </c>
      <c r="F6593" s="209">
        <v>742.49</v>
      </c>
      <c r="G6593" s="209">
        <v>1955.99</v>
      </c>
      <c r="H6593" s="198"/>
    </row>
    <row r="6594" spans="1:8" ht="15.75" hidden="1" customHeight="1" x14ac:dyDescent="0.25">
      <c r="A6594" s="205" t="s">
        <v>7223</v>
      </c>
      <c r="B6594" s="206">
        <v>100617</v>
      </c>
      <c r="C6594" s="207" t="s">
        <v>7246</v>
      </c>
      <c r="D6594" s="208" t="s">
        <v>580</v>
      </c>
      <c r="E6594" s="209">
        <v>864.07</v>
      </c>
      <c r="F6594" s="209">
        <v>413.19</v>
      </c>
      <c r="G6594" s="209">
        <v>1277.26</v>
      </c>
      <c r="H6594" s="198"/>
    </row>
    <row r="6595" spans="1:8" ht="15.75" hidden="1" customHeight="1" x14ac:dyDescent="0.25">
      <c r="A6595" s="205" t="s">
        <v>7223</v>
      </c>
      <c r="B6595" s="206">
        <v>100588</v>
      </c>
      <c r="C6595" s="207" t="s">
        <v>7247</v>
      </c>
      <c r="D6595" s="208" t="s">
        <v>580</v>
      </c>
      <c r="E6595" s="209">
        <v>592.25</v>
      </c>
      <c r="F6595" s="209">
        <v>250.81</v>
      </c>
      <c r="G6595" s="209">
        <v>843.06</v>
      </c>
      <c r="H6595" s="198"/>
    </row>
    <row r="6596" spans="1:8" ht="15.75" hidden="1" customHeight="1" x14ac:dyDescent="0.25">
      <c r="A6596" s="205" t="s">
        <v>7223</v>
      </c>
      <c r="B6596" s="206">
        <v>100587</v>
      </c>
      <c r="C6596" s="207" t="s">
        <v>7248</v>
      </c>
      <c r="D6596" s="208" t="s">
        <v>580</v>
      </c>
      <c r="E6596" s="209">
        <v>566.85</v>
      </c>
      <c r="F6596" s="209">
        <v>189.34</v>
      </c>
      <c r="G6596" s="209">
        <v>756.19</v>
      </c>
      <c r="H6596" s="198"/>
    </row>
    <row r="6597" spans="1:8" ht="15.75" hidden="1" customHeight="1" x14ac:dyDescent="0.25">
      <c r="A6597" s="205" t="s">
        <v>7223</v>
      </c>
      <c r="B6597" s="206">
        <v>100590</v>
      </c>
      <c r="C6597" s="207" t="s">
        <v>7249</v>
      </c>
      <c r="D6597" s="208" t="s">
        <v>580</v>
      </c>
      <c r="E6597" s="209">
        <v>628.96</v>
      </c>
      <c r="F6597" s="209">
        <v>301.45</v>
      </c>
      <c r="G6597" s="209">
        <v>930.41</v>
      </c>
      <c r="H6597" s="198"/>
    </row>
    <row r="6598" spans="1:8" ht="15.75" hidden="1" customHeight="1" x14ac:dyDescent="0.25">
      <c r="A6598" s="205" t="s">
        <v>7223</v>
      </c>
      <c r="B6598" s="206">
        <v>100589</v>
      </c>
      <c r="C6598" s="207" t="s">
        <v>7250</v>
      </c>
      <c r="D6598" s="208" t="s">
        <v>580</v>
      </c>
      <c r="E6598" s="209">
        <v>604.52</v>
      </c>
      <c r="F6598" s="209">
        <v>239.89</v>
      </c>
      <c r="G6598" s="209">
        <v>844.41</v>
      </c>
      <c r="H6598" s="198"/>
    </row>
    <row r="6599" spans="1:8" ht="15.75" hidden="1" customHeight="1" x14ac:dyDescent="0.25">
      <c r="A6599" s="205" t="s">
        <v>7223</v>
      </c>
      <c r="B6599" s="206">
        <v>100592</v>
      </c>
      <c r="C6599" s="207" t="s">
        <v>7251</v>
      </c>
      <c r="D6599" s="208" t="s">
        <v>580</v>
      </c>
      <c r="E6599" s="209">
        <v>636.17999999999995</v>
      </c>
      <c r="F6599" s="209">
        <v>269.54000000000002</v>
      </c>
      <c r="G6599" s="209">
        <v>905.72</v>
      </c>
      <c r="H6599" s="198"/>
    </row>
    <row r="6600" spans="1:8" ht="15.75" hidden="1" customHeight="1" x14ac:dyDescent="0.25">
      <c r="A6600" s="205" t="s">
        <v>7223</v>
      </c>
      <c r="B6600" s="206">
        <v>100591</v>
      </c>
      <c r="C6600" s="207" t="s">
        <v>7252</v>
      </c>
      <c r="D6600" s="208" t="s">
        <v>580</v>
      </c>
      <c r="E6600" s="209">
        <v>615.84</v>
      </c>
      <c r="F6600" s="209">
        <v>218.63</v>
      </c>
      <c r="G6600" s="209">
        <v>834.47</v>
      </c>
      <c r="H6600" s="198"/>
    </row>
    <row r="6601" spans="1:8" ht="15.75" hidden="1" customHeight="1" x14ac:dyDescent="0.25">
      <c r="A6601" s="205" t="s">
        <v>7223</v>
      </c>
      <c r="B6601" s="206">
        <v>100594</v>
      </c>
      <c r="C6601" s="207" t="s">
        <v>7253</v>
      </c>
      <c r="D6601" s="208" t="s">
        <v>580</v>
      </c>
      <c r="E6601" s="209">
        <v>694.09</v>
      </c>
      <c r="F6601" s="209">
        <v>320.51</v>
      </c>
      <c r="G6601" s="209">
        <v>1014.6</v>
      </c>
      <c r="H6601" s="198"/>
    </row>
    <row r="6602" spans="1:8" ht="15.75" hidden="1" customHeight="1" x14ac:dyDescent="0.25">
      <c r="A6602" s="205" t="s">
        <v>7223</v>
      </c>
      <c r="B6602" s="206">
        <v>100593</v>
      </c>
      <c r="C6602" s="207" t="s">
        <v>7254</v>
      </c>
      <c r="D6602" s="208" t="s">
        <v>580</v>
      </c>
      <c r="E6602" s="209">
        <v>658.92</v>
      </c>
      <c r="F6602" s="209">
        <v>235.01</v>
      </c>
      <c r="G6602" s="209">
        <v>893.93</v>
      </c>
      <c r="H6602" s="198"/>
    </row>
    <row r="6603" spans="1:8" ht="15.75" hidden="1" customHeight="1" x14ac:dyDescent="0.25">
      <c r="A6603" s="205" t="s">
        <v>7223</v>
      </c>
      <c r="B6603" s="206">
        <v>100596</v>
      </c>
      <c r="C6603" s="207" t="s">
        <v>7255</v>
      </c>
      <c r="D6603" s="208" t="s">
        <v>580</v>
      </c>
      <c r="E6603" s="209">
        <v>835.91</v>
      </c>
      <c r="F6603" s="209">
        <v>399.18</v>
      </c>
      <c r="G6603" s="209">
        <v>1235.0899999999999</v>
      </c>
      <c r="H6603" s="198"/>
    </row>
    <row r="6604" spans="1:8" ht="15.75" hidden="1" customHeight="1" x14ac:dyDescent="0.25">
      <c r="A6604" s="205" t="s">
        <v>7223</v>
      </c>
      <c r="B6604" s="206">
        <v>100595</v>
      </c>
      <c r="C6604" s="207" t="s">
        <v>7256</v>
      </c>
      <c r="D6604" s="208" t="s">
        <v>580</v>
      </c>
      <c r="E6604" s="209">
        <v>788.01</v>
      </c>
      <c r="F6604" s="209">
        <v>284.39999999999998</v>
      </c>
      <c r="G6604" s="209">
        <v>1072.4100000000001</v>
      </c>
      <c r="H6604" s="198"/>
    </row>
    <row r="6605" spans="1:8" ht="15.75" hidden="1" customHeight="1" x14ac:dyDescent="0.25">
      <c r="A6605" s="205" t="s">
        <v>7223</v>
      </c>
      <c r="B6605" s="206">
        <v>100598</v>
      </c>
      <c r="C6605" s="207" t="s">
        <v>7257</v>
      </c>
      <c r="D6605" s="208" t="s">
        <v>580</v>
      </c>
      <c r="E6605" s="209">
        <v>929.74</v>
      </c>
      <c r="F6605" s="209">
        <v>451.13</v>
      </c>
      <c r="G6605" s="209">
        <v>1380.87</v>
      </c>
      <c r="H6605" s="198"/>
    </row>
    <row r="6606" spans="1:8" ht="15.75" hidden="1" customHeight="1" x14ac:dyDescent="0.25">
      <c r="A6606" s="205" t="s">
        <v>7223</v>
      </c>
      <c r="B6606" s="206">
        <v>100597</v>
      </c>
      <c r="C6606" s="207" t="s">
        <v>7258</v>
      </c>
      <c r="D6606" s="208" t="s">
        <v>580</v>
      </c>
      <c r="E6606" s="209">
        <v>890.32</v>
      </c>
      <c r="F6606" s="209">
        <v>356.44</v>
      </c>
      <c r="G6606" s="209">
        <v>1246.76</v>
      </c>
      <c r="H6606" s="198"/>
    </row>
    <row r="6607" spans="1:8" ht="15.75" hidden="1" customHeight="1" x14ac:dyDescent="0.25">
      <c r="A6607" s="205" t="s">
        <v>7223</v>
      </c>
      <c r="B6607" s="206">
        <v>100603</v>
      </c>
      <c r="C6607" s="207" t="s">
        <v>7259</v>
      </c>
      <c r="D6607" s="208" t="s">
        <v>580</v>
      </c>
      <c r="E6607" s="209">
        <v>1036.21</v>
      </c>
      <c r="F6607" s="209">
        <v>624.91</v>
      </c>
      <c r="G6607" s="209">
        <v>1661.12</v>
      </c>
      <c r="H6607" s="198"/>
    </row>
    <row r="6608" spans="1:8" ht="15.75" hidden="1" customHeight="1" x14ac:dyDescent="0.25">
      <c r="A6608" s="205" t="s">
        <v>7223</v>
      </c>
      <c r="B6608" s="206">
        <v>100599</v>
      </c>
      <c r="C6608" s="207" t="s">
        <v>7260</v>
      </c>
      <c r="D6608" s="208" t="s">
        <v>580</v>
      </c>
      <c r="E6608" s="209">
        <v>433.96</v>
      </c>
      <c r="F6608" s="209">
        <v>118.5</v>
      </c>
      <c r="G6608" s="209">
        <v>552.46</v>
      </c>
      <c r="H6608" s="198"/>
    </row>
    <row r="6609" spans="1:8" ht="15.75" hidden="1" customHeight="1" x14ac:dyDescent="0.25">
      <c r="A6609" s="205" t="s">
        <v>7223</v>
      </c>
      <c r="B6609" s="206">
        <v>100600</v>
      </c>
      <c r="C6609" s="207" t="s">
        <v>7261</v>
      </c>
      <c r="D6609" s="208" t="s">
        <v>580</v>
      </c>
      <c r="E6609" s="209">
        <v>489.34</v>
      </c>
      <c r="F6609" s="209">
        <v>173.26</v>
      </c>
      <c r="G6609" s="209">
        <v>662.6</v>
      </c>
      <c r="H6609" s="198"/>
    </row>
    <row r="6610" spans="1:8" ht="15.75" hidden="1" customHeight="1" x14ac:dyDescent="0.25">
      <c r="A6610" s="205" t="s">
        <v>7223</v>
      </c>
      <c r="B6610" s="206">
        <v>100601</v>
      </c>
      <c r="C6610" s="207" t="s">
        <v>7262</v>
      </c>
      <c r="D6610" s="208" t="s">
        <v>580</v>
      </c>
      <c r="E6610" s="209">
        <v>590.07000000000005</v>
      </c>
      <c r="F6610" s="209">
        <v>255.29</v>
      </c>
      <c r="G6610" s="209">
        <v>845.36</v>
      </c>
      <c r="H6610" s="198"/>
    </row>
    <row r="6611" spans="1:8" ht="15.75" hidden="1" customHeight="1" x14ac:dyDescent="0.25">
      <c r="A6611" s="205" t="s">
        <v>7223</v>
      </c>
      <c r="B6611" s="206">
        <v>100602</v>
      </c>
      <c r="C6611" s="207" t="s">
        <v>7263</v>
      </c>
      <c r="D6611" s="208" t="s">
        <v>580</v>
      </c>
      <c r="E6611" s="209">
        <v>715.63</v>
      </c>
      <c r="F6611" s="209">
        <v>357.75</v>
      </c>
      <c r="G6611" s="209">
        <v>1073.3800000000001</v>
      </c>
      <c r="H6611" s="198"/>
    </row>
    <row r="6612" spans="1:8" ht="15.75" hidden="1" customHeight="1" x14ac:dyDescent="0.25">
      <c r="A6612" s="205" t="s">
        <v>7223</v>
      </c>
      <c r="B6612" s="206">
        <v>100578</v>
      </c>
      <c r="C6612" s="207" t="s">
        <v>7264</v>
      </c>
      <c r="D6612" s="208" t="s">
        <v>580</v>
      </c>
      <c r="E6612" s="209">
        <v>401.35</v>
      </c>
      <c r="F6612" s="209">
        <v>141.38</v>
      </c>
      <c r="G6612" s="209">
        <v>542.73</v>
      </c>
      <c r="H6612" s="198"/>
    </row>
    <row r="6613" spans="1:8" ht="15.75" hidden="1" customHeight="1" x14ac:dyDescent="0.25">
      <c r="A6613" s="205" t="s">
        <v>7223</v>
      </c>
      <c r="B6613" s="206">
        <v>100623</v>
      </c>
      <c r="C6613" s="207" t="s">
        <v>7265</v>
      </c>
      <c r="D6613" s="208" t="s">
        <v>580</v>
      </c>
      <c r="E6613" s="209">
        <v>2301.3200000000002</v>
      </c>
      <c r="F6613" s="209">
        <v>162.61000000000001</v>
      </c>
      <c r="G6613" s="209">
        <v>2463.9299999999998</v>
      </c>
      <c r="H6613" s="198"/>
    </row>
    <row r="6614" spans="1:8" ht="15.75" hidden="1" customHeight="1" x14ac:dyDescent="0.25">
      <c r="A6614" s="205" t="s">
        <v>7223</v>
      </c>
      <c r="B6614" s="206">
        <v>100621</v>
      </c>
      <c r="C6614" s="207" t="s">
        <v>7266</v>
      </c>
      <c r="D6614" s="208" t="s">
        <v>580</v>
      </c>
      <c r="E6614" s="209">
        <v>2829.44</v>
      </c>
      <c r="F6614" s="209">
        <v>110.54</v>
      </c>
      <c r="G6614" s="209">
        <v>2939.98</v>
      </c>
      <c r="H6614" s="198"/>
    </row>
    <row r="6615" spans="1:8" ht="15.75" hidden="1" customHeight="1" x14ac:dyDescent="0.25">
      <c r="A6615" s="205" t="s">
        <v>7223</v>
      </c>
      <c r="B6615" s="206">
        <v>100622</v>
      </c>
      <c r="C6615" s="207" t="s">
        <v>7267</v>
      </c>
      <c r="D6615" s="208" t="s">
        <v>580</v>
      </c>
      <c r="E6615" s="209">
        <v>2148.91</v>
      </c>
      <c r="F6615" s="209">
        <v>130.13</v>
      </c>
      <c r="G6615" s="209">
        <v>2279.04</v>
      </c>
      <c r="H6615" s="198"/>
    </row>
    <row r="6616" spans="1:8" ht="15.75" hidden="1" customHeight="1" x14ac:dyDescent="0.25">
      <c r="A6616" s="205" t="s">
        <v>7223</v>
      </c>
      <c r="B6616" s="206">
        <v>100620</v>
      </c>
      <c r="C6616" s="207" t="s">
        <v>7268</v>
      </c>
      <c r="D6616" s="208" t="s">
        <v>580</v>
      </c>
      <c r="E6616" s="209">
        <v>2440.14</v>
      </c>
      <c r="F6616" s="209">
        <v>78.06</v>
      </c>
      <c r="G6616" s="209">
        <v>2518.1999999999998</v>
      </c>
      <c r="H6616" s="198"/>
    </row>
    <row r="6617" spans="1:8" ht="15.75" hidden="1" customHeight="1" x14ac:dyDescent="0.25">
      <c r="A6617" s="205" t="s">
        <v>7223</v>
      </c>
      <c r="B6617" s="206">
        <v>100619</v>
      </c>
      <c r="C6617" s="207" t="s">
        <v>7269</v>
      </c>
      <c r="D6617" s="208" t="s">
        <v>580</v>
      </c>
      <c r="E6617" s="209">
        <v>453.02</v>
      </c>
      <c r="F6617" s="209">
        <v>119.18</v>
      </c>
      <c r="G6617" s="209">
        <v>572.20000000000005</v>
      </c>
      <c r="H6617" s="198"/>
    </row>
    <row r="6618" spans="1:8" ht="15.75" hidden="1" customHeight="1" x14ac:dyDescent="0.25">
      <c r="A6618" s="205" t="s">
        <v>7270</v>
      </c>
      <c r="B6618" s="206">
        <v>97985</v>
      </c>
      <c r="C6618" s="207" t="s">
        <v>7271</v>
      </c>
      <c r="D6618" s="208" t="s">
        <v>585</v>
      </c>
      <c r="E6618" s="209">
        <v>902.65</v>
      </c>
      <c r="F6618" s="209">
        <v>729.33</v>
      </c>
      <c r="G6618" s="209">
        <v>1631.98</v>
      </c>
      <c r="H6618" s="198"/>
    </row>
    <row r="6619" spans="1:8" ht="15.75" hidden="1" customHeight="1" x14ac:dyDescent="0.25">
      <c r="A6619" s="205" t="s">
        <v>7270</v>
      </c>
      <c r="B6619" s="206">
        <v>97993</v>
      </c>
      <c r="C6619" s="207" t="s">
        <v>7272</v>
      </c>
      <c r="D6619" s="208" t="s">
        <v>585</v>
      </c>
      <c r="E6619" s="209">
        <v>1271.1600000000001</v>
      </c>
      <c r="F6619" s="209">
        <v>1059.53</v>
      </c>
      <c r="G6619" s="209">
        <v>2330.69</v>
      </c>
      <c r="H6619" s="198"/>
    </row>
    <row r="6620" spans="1:8" ht="15.75" hidden="1" customHeight="1" x14ac:dyDescent="0.25">
      <c r="A6620" s="205" t="s">
        <v>7270</v>
      </c>
      <c r="B6620" s="206">
        <v>97991</v>
      </c>
      <c r="C6620" s="207" t="s">
        <v>7273</v>
      </c>
      <c r="D6620" s="208" t="s">
        <v>585</v>
      </c>
      <c r="E6620" s="209">
        <v>965.26</v>
      </c>
      <c r="F6620" s="209">
        <v>57.91</v>
      </c>
      <c r="G6620" s="209">
        <v>1023.17</v>
      </c>
      <c r="H6620" s="198"/>
    </row>
    <row r="6621" spans="1:8" ht="15.75" hidden="1" customHeight="1" x14ac:dyDescent="0.25">
      <c r="A6621" s="205" t="s">
        <v>7270</v>
      </c>
      <c r="B6621" s="206">
        <v>99283</v>
      </c>
      <c r="C6621" s="207" t="s">
        <v>7274</v>
      </c>
      <c r="D6621" s="208" t="s">
        <v>585</v>
      </c>
      <c r="E6621" s="209">
        <v>686.14</v>
      </c>
      <c r="F6621" s="209">
        <v>593.24</v>
      </c>
      <c r="G6621" s="209">
        <v>1279.3800000000001</v>
      </c>
      <c r="H6621" s="198"/>
    </row>
    <row r="6622" spans="1:8" ht="15.75" hidden="1" customHeight="1" x14ac:dyDescent="0.25">
      <c r="A6622" s="205" t="s">
        <v>7270</v>
      </c>
      <c r="B6622" s="206">
        <v>99293</v>
      </c>
      <c r="C6622" s="207" t="s">
        <v>7275</v>
      </c>
      <c r="D6622" s="208" t="s">
        <v>585</v>
      </c>
      <c r="E6622" s="209">
        <v>824.55</v>
      </c>
      <c r="F6622" s="209">
        <v>724.76</v>
      </c>
      <c r="G6622" s="209">
        <v>1549.31</v>
      </c>
      <c r="H6622" s="198"/>
    </row>
    <row r="6623" spans="1:8" ht="15.75" hidden="1" customHeight="1" x14ac:dyDescent="0.25">
      <c r="A6623" s="205" t="s">
        <v>7270</v>
      </c>
      <c r="B6623" s="206">
        <v>99243</v>
      </c>
      <c r="C6623" s="207" t="s">
        <v>7276</v>
      </c>
      <c r="D6623" s="208" t="s">
        <v>585</v>
      </c>
      <c r="E6623" s="209">
        <v>962.91</v>
      </c>
      <c r="F6623" s="209">
        <v>856.29</v>
      </c>
      <c r="G6623" s="209">
        <v>1819.2</v>
      </c>
      <c r="H6623" s="198"/>
    </row>
    <row r="6624" spans="1:8" ht="15.75" hidden="1" customHeight="1" x14ac:dyDescent="0.25">
      <c r="A6624" s="205" t="s">
        <v>7270</v>
      </c>
      <c r="B6624" s="206">
        <v>99249</v>
      </c>
      <c r="C6624" s="207" t="s">
        <v>7277</v>
      </c>
      <c r="D6624" s="208" t="s">
        <v>585</v>
      </c>
      <c r="E6624" s="209">
        <v>1170.55</v>
      </c>
      <c r="F6624" s="209">
        <v>1053.55</v>
      </c>
      <c r="G6624" s="209">
        <v>2224.1</v>
      </c>
      <c r="H6624" s="198"/>
    </row>
    <row r="6625" spans="1:8" ht="15.75" hidden="1" customHeight="1" x14ac:dyDescent="0.25">
      <c r="A6625" s="205" t="s">
        <v>7270</v>
      </c>
      <c r="B6625" s="206">
        <v>99278</v>
      </c>
      <c r="C6625" s="207" t="s">
        <v>7278</v>
      </c>
      <c r="D6625" s="208" t="s">
        <v>585</v>
      </c>
      <c r="E6625" s="209">
        <v>392.89</v>
      </c>
      <c r="F6625" s="209">
        <v>32.22</v>
      </c>
      <c r="G6625" s="209">
        <v>425.11</v>
      </c>
      <c r="H6625" s="198"/>
    </row>
    <row r="6626" spans="1:8" ht="15.75" hidden="1" customHeight="1" x14ac:dyDescent="0.25">
      <c r="A6626" s="205" t="s">
        <v>7270</v>
      </c>
      <c r="B6626" s="206">
        <v>99288</v>
      </c>
      <c r="C6626" s="207" t="s">
        <v>7279</v>
      </c>
      <c r="D6626" s="208" t="s">
        <v>585</v>
      </c>
      <c r="E6626" s="209">
        <v>521.65</v>
      </c>
      <c r="F6626" s="209">
        <v>38.42</v>
      </c>
      <c r="G6626" s="209">
        <v>560.07000000000005</v>
      </c>
      <c r="H6626" s="198"/>
    </row>
    <row r="6627" spans="1:8" ht="15.75" hidden="1" customHeight="1" x14ac:dyDescent="0.25">
      <c r="A6627" s="205" t="s">
        <v>7270</v>
      </c>
      <c r="B6627" s="206">
        <v>99240</v>
      </c>
      <c r="C6627" s="207" t="s">
        <v>7280</v>
      </c>
      <c r="D6627" s="208" t="s">
        <v>585</v>
      </c>
      <c r="E6627" s="209">
        <v>698.7</v>
      </c>
      <c r="F6627" s="209">
        <v>45.23</v>
      </c>
      <c r="G6627" s="209">
        <v>743.93</v>
      </c>
      <c r="H6627" s="198"/>
    </row>
    <row r="6628" spans="1:8" ht="15.75" hidden="1" customHeight="1" x14ac:dyDescent="0.25">
      <c r="A6628" s="205" t="s">
        <v>7270</v>
      </c>
      <c r="B6628" s="206">
        <v>99246</v>
      </c>
      <c r="C6628" s="207" t="s">
        <v>7281</v>
      </c>
      <c r="D6628" s="208" t="s">
        <v>585</v>
      </c>
      <c r="E6628" s="209">
        <v>960.86</v>
      </c>
      <c r="F6628" s="209">
        <v>57.64</v>
      </c>
      <c r="G6628" s="209">
        <v>1018.5</v>
      </c>
      <c r="H6628" s="198"/>
    </row>
    <row r="6629" spans="1:8" ht="15.75" hidden="1" customHeight="1" x14ac:dyDescent="0.25">
      <c r="A6629" s="205" t="s">
        <v>7270</v>
      </c>
      <c r="B6629" s="206">
        <v>97981</v>
      </c>
      <c r="C6629" s="207" t="s">
        <v>7282</v>
      </c>
      <c r="D6629" s="208" t="s">
        <v>585</v>
      </c>
      <c r="E6629" s="209">
        <v>755.24</v>
      </c>
      <c r="F6629" s="209">
        <v>597.25</v>
      </c>
      <c r="G6629" s="209">
        <v>1352.49</v>
      </c>
      <c r="H6629" s="198"/>
    </row>
    <row r="6630" spans="1:8" ht="15.75" hidden="1" customHeight="1" x14ac:dyDescent="0.25">
      <c r="A6630" s="205" t="s">
        <v>7270</v>
      </c>
      <c r="B6630" s="206">
        <v>97989</v>
      </c>
      <c r="C6630" s="207" t="s">
        <v>7283</v>
      </c>
      <c r="D6630" s="208" t="s">
        <v>585</v>
      </c>
      <c r="E6630" s="209">
        <v>1050.1500000000001</v>
      </c>
      <c r="F6630" s="209">
        <v>861.29</v>
      </c>
      <c r="G6630" s="209">
        <v>1911.44</v>
      </c>
      <c r="H6630" s="198"/>
    </row>
    <row r="6631" spans="1:8" ht="15.75" hidden="1" customHeight="1" x14ac:dyDescent="0.25">
      <c r="A6631" s="205" t="s">
        <v>7270</v>
      </c>
      <c r="B6631" s="206">
        <v>98409</v>
      </c>
      <c r="C6631" s="207" t="s">
        <v>7284</v>
      </c>
      <c r="D6631" s="208" t="s">
        <v>585</v>
      </c>
      <c r="E6631" s="209">
        <v>394.86</v>
      </c>
      <c r="F6631" s="209">
        <v>32.33</v>
      </c>
      <c r="G6631" s="209">
        <v>427.19</v>
      </c>
      <c r="H6631" s="198"/>
    </row>
    <row r="6632" spans="1:8" ht="15.75" hidden="1" customHeight="1" x14ac:dyDescent="0.25">
      <c r="A6632" s="205" t="s">
        <v>7270</v>
      </c>
      <c r="B6632" s="206">
        <v>97983</v>
      </c>
      <c r="C6632" s="207" t="s">
        <v>7285</v>
      </c>
      <c r="D6632" s="208" t="s">
        <v>585</v>
      </c>
      <c r="E6632" s="209">
        <v>524.19000000000005</v>
      </c>
      <c r="F6632" s="209">
        <v>38.6</v>
      </c>
      <c r="G6632" s="209">
        <v>562.79</v>
      </c>
      <c r="H6632" s="198"/>
    </row>
    <row r="6633" spans="1:8" ht="15.75" hidden="1" customHeight="1" x14ac:dyDescent="0.25">
      <c r="A6633" s="205" t="s">
        <v>7270</v>
      </c>
      <c r="B6633" s="206">
        <v>97987</v>
      </c>
      <c r="C6633" s="207" t="s">
        <v>7286</v>
      </c>
      <c r="D6633" s="208" t="s">
        <v>585</v>
      </c>
      <c r="E6633" s="209">
        <v>701.98</v>
      </c>
      <c r="F6633" s="209">
        <v>45.36</v>
      </c>
      <c r="G6633" s="209">
        <v>747.34</v>
      </c>
      <c r="H6633" s="198"/>
    </row>
    <row r="6634" spans="1:8" ht="15.75" hidden="1" customHeight="1" x14ac:dyDescent="0.25">
      <c r="A6634" s="205" t="s">
        <v>7270</v>
      </c>
      <c r="B6634" s="206">
        <v>99241</v>
      </c>
      <c r="C6634" s="207" t="s">
        <v>7287</v>
      </c>
      <c r="D6634" s="208" t="s">
        <v>585</v>
      </c>
      <c r="E6634" s="209">
        <v>1096.68</v>
      </c>
      <c r="F6634" s="209">
        <v>907.12</v>
      </c>
      <c r="G6634" s="209">
        <v>2003.8</v>
      </c>
      <c r="H6634" s="198"/>
    </row>
    <row r="6635" spans="1:8" ht="15.75" hidden="1" customHeight="1" x14ac:dyDescent="0.25">
      <c r="A6635" s="205" t="s">
        <v>7270</v>
      </c>
      <c r="B6635" s="206">
        <v>99247</v>
      </c>
      <c r="C6635" s="207" t="s">
        <v>7288</v>
      </c>
      <c r="D6635" s="208" t="s">
        <v>585</v>
      </c>
      <c r="E6635" s="209">
        <v>1249.4100000000001</v>
      </c>
      <c r="F6635" s="209">
        <v>1035.94</v>
      </c>
      <c r="G6635" s="209">
        <v>2285.35</v>
      </c>
      <c r="H6635" s="198"/>
    </row>
    <row r="6636" spans="1:8" ht="15.75" hidden="1" customHeight="1" x14ac:dyDescent="0.25">
      <c r="A6636" s="205" t="s">
        <v>7270</v>
      </c>
      <c r="B6636" s="206">
        <v>99263</v>
      </c>
      <c r="C6636" s="207" t="s">
        <v>7289</v>
      </c>
      <c r="D6636" s="208" t="s">
        <v>585</v>
      </c>
      <c r="E6636" s="209">
        <v>1402.34</v>
      </c>
      <c r="F6636" s="209">
        <v>1164.6300000000001</v>
      </c>
      <c r="G6636" s="209">
        <v>2566.9699999999998</v>
      </c>
      <c r="H6636" s="198"/>
    </row>
    <row r="6637" spans="1:8" ht="15.75" hidden="1" customHeight="1" x14ac:dyDescent="0.25">
      <c r="A6637" s="205" t="s">
        <v>7270</v>
      </c>
      <c r="B6637" s="206">
        <v>99276</v>
      </c>
      <c r="C6637" s="207" t="s">
        <v>7290</v>
      </c>
      <c r="D6637" s="208" t="s">
        <v>585</v>
      </c>
      <c r="E6637" s="209">
        <v>1555.04</v>
      </c>
      <c r="F6637" s="209">
        <v>1293.53</v>
      </c>
      <c r="G6637" s="209">
        <v>2848.57</v>
      </c>
      <c r="H6637" s="198"/>
    </row>
    <row r="6638" spans="1:8" ht="15.75" hidden="1" customHeight="1" x14ac:dyDescent="0.25">
      <c r="A6638" s="205" t="s">
        <v>7270</v>
      </c>
      <c r="B6638" s="206">
        <v>99291</v>
      </c>
      <c r="C6638" s="207" t="s">
        <v>7291</v>
      </c>
      <c r="D6638" s="208" t="s">
        <v>585</v>
      </c>
      <c r="E6638" s="209">
        <v>1707.79</v>
      </c>
      <c r="F6638" s="209">
        <v>1422.32</v>
      </c>
      <c r="G6638" s="209">
        <v>3130.11</v>
      </c>
      <c r="H6638" s="198"/>
    </row>
    <row r="6639" spans="1:8" ht="15.75" hidden="1" customHeight="1" x14ac:dyDescent="0.25">
      <c r="A6639" s="205" t="s">
        <v>7270</v>
      </c>
      <c r="B6639" s="206">
        <v>99297</v>
      </c>
      <c r="C6639" s="207" t="s">
        <v>7292</v>
      </c>
      <c r="D6639" s="208" t="s">
        <v>585</v>
      </c>
      <c r="E6639" s="209">
        <v>1873.99</v>
      </c>
      <c r="F6639" s="209">
        <v>1561.37</v>
      </c>
      <c r="G6639" s="209">
        <v>3435.36</v>
      </c>
      <c r="H6639" s="198"/>
    </row>
    <row r="6640" spans="1:8" ht="15.75" hidden="1" customHeight="1" x14ac:dyDescent="0.25">
      <c r="A6640" s="205" t="s">
        <v>7270</v>
      </c>
      <c r="B6640" s="206">
        <v>99254</v>
      </c>
      <c r="C6640" s="207" t="s">
        <v>7293</v>
      </c>
      <c r="D6640" s="208" t="s">
        <v>585</v>
      </c>
      <c r="E6640" s="209">
        <v>791.06</v>
      </c>
      <c r="F6640" s="209">
        <v>649.58000000000004</v>
      </c>
      <c r="G6640" s="209">
        <v>1440.64</v>
      </c>
      <c r="H6640" s="198"/>
    </row>
    <row r="6641" spans="1:8" ht="15.75" hidden="1" customHeight="1" x14ac:dyDescent="0.25">
      <c r="A6641" s="205" t="s">
        <v>7270</v>
      </c>
      <c r="B6641" s="206">
        <v>99261</v>
      </c>
      <c r="C6641" s="207" t="s">
        <v>7294</v>
      </c>
      <c r="D6641" s="208" t="s">
        <v>585</v>
      </c>
      <c r="E6641" s="209">
        <v>943.77</v>
      </c>
      <c r="F6641" s="209">
        <v>778.42</v>
      </c>
      <c r="G6641" s="209">
        <v>1722.19</v>
      </c>
      <c r="H6641" s="198"/>
    </row>
    <row r="6642" spans="1:8" ht="15.75" hidden="1" customHeight="1" x14ac:dyDescent="0.25">
      <c r="A6642" s="205" t="s">
        <v>7270</v>
      </c>
      <c r="B6642" s="206">
        <v>99266</v>
      </c>
      <c r="C6642" s="207" t="s">
        <v>7295</v>
      </c>
      <c r="D6642" s="208" t="s">
        <v>585</v>
      </c>
      <c r="E6642" s="209">
        <v>1096.68</v>
      </c>
      <c r="F6642" s="209">
        <v>907.12</v>
      </c>
      <c r="G6642" s="209">
        <v>2003.8</v>
      </c>
      <c r="H6642" s="198"/>
    </row>
    <row r="6643" spans="1:8" ht="15.75" hidden="1" customHeight="1" x14ac:dyDescent="0.25">
      <c r="A6643" s="205" t="s">
        <v>7270</v>
      </c>
      <c r="B6643" s="206">
        <v>99269</v>
      </c>
      <c r="C6643" s="207" t="s">
        <v>7296</v>
      </c>
      <c r="D6643" s="208" t="s">
        <v>585</v>
      </c>
      <c r="E6643" s="209">
        <v>1249.4100000000001</v>
      </c>
      <c r="F6643" s="209">
        <v>1035.94</v>
      </c>
      <c r="G6643" s="209">
        <v>2285.35</v>
      </c>
      <c r="H6643" s="198"/>
    </row>
    <row r="6644" spans="1:8" ht="15.75" hidden="1" customHeight="1" x14ac:dyDescent="0.25">
      <c r="A6644" s="205" t="s">
        <v>7270</v>
      </c>
      <c r="B6644" s="206">
        <v>99277</v>
      </c>
      <c r="C6644" s="207" t="s">
        <v>7297</v>
      </c>
      <c r="D6644" s="208" t="s">
        <v>585</v>
      </c>
      <c r="E6644" s="209">
        <v>1402.34</v>
      </c>
      <c r="F6644" s="209">
        <v>1164.6300000000001</v>
      </c>
      <c r="G6644" s="209">
        <v>2566.9699999999998</v>
      </c>
      <c r="H6644" s="198"/>
    </row>
    <row r="6645" spans="1:8" ht="15.75" hidden="1" customHeight="1" x14ac:dyDescent="0.25">
      <c r="A6645" s="205" t="s">
        <v>7270</v>
      </c>
      <c r="B6645" s="206">
        <v>99281</v>
      </c>
      <c r="C6645" s="207" t="s">
        <v>7298</v>
      </c>
      <c r="D6645" s="208" t="s">
        <v>585</v>
      </c>
      <c r="E6645" s="209">
        <v>1555.04</v>
      </c>
      <c r="F6645" s="209">
        <v>1293.53</v>
      </c>
      <c r="G6645" s="209">
        <v>2848.57</v>
      </c>
      <c r="H6645" s="198"/>
    </row>
    <row r="6646" spans="1:8" ht="15.75" hidden="1" customHeight="1" x14ac:dyDescent="0.25">
      <c r="A6646" s="205" t="s">
        <v>7270</v>
      </c>
      <c r="B6646" s="206">
        <v>99289</v>
      </c>
      <c r="C6646" s="207" t="s">
        <v>7299</v>
      </c>
      <c r="D6646" s="208" t="s">
        <v>585</v>
      </c>
      <c r="E6646" s="209">
        <v>1707.79</v>
      </c>
      <c r="F6646" s="209">
        <v>1422.32</v>
      </c>
      <c r="G6646" s="209">
        <v>3130.11</v>
      </c>
      <c r="H6646" s="198"/>
    </row>
    <row r="6647" spans="1:8" ht="15.75" hidden="1" customHeight="1" x14ac:dyDescent="0.25">
      <c r="A6647" s="205" t="s">
        <v>7270</v>
      </c>
      <c r="B6647" s="206">
        <v>99282</v>
      </c>
      <c r="C6647" s="207" t="s">
        <v>7300</v>
      </c>
      <c r="D6647" s="208" t="s">
        <v>585</v>
      </c>
      <c r="E6647" s="209">
        <v>1724.05</v>
      </c>
      <c r="F6647" s="209">
        <v>1434.69</v>
      </c>
      <c r="G6647" s="209">
        <v>3158.74</v>
      </c>
      <c r="H6647" s="198"/>
    </row>
    <row r="6648" spans="1:8" ht="15.75" hidden="1" customHeight="1" x14ac:dyDescent="0.25">
      <c r="A6648" s="205" t="s">
        <v>7270</v>
      </c>
      <c r="B6648" s="206">
        <v>99296</v>
      </c>
      <c r="C6648" s="207" t="s">
        <v>7301</v>
      </c>
      <c r="D6648" s="208" t="s">
        <v>585</v>
      </c>
      <c r="E6648" s="209">
        <v>1877.03</v>
      </c>
      <c r="F6648" s="209">
        <v>1563.27</v>
      </c>
      <c r="G6648" s="209">
        <v>3440.3</v>
      </c>
      <c r="H6648" s="198"/>
    </row>
    <row r="6649" spans="1:8" ht="15.75" hidden="1" customHeight="1" x14ac:dyDescent="0.25">
      <c r="A6649" s="205" t="s">
        <v>7270</v>
      </c>
      <c r="B6649" s="206">
        <v>99299</v>
      </c>
      <c r="C6649" s="207" t="s">
        <v>7302</v>
      </c>
      <c r="D6649" s="208" t="s">
        <v>585</v>
      </c>
      <c r="E6649" s="209">
        <v>2029.86</v>
      </c>
      <c r="F6649" s="209">
        <v>1691.92</v>
      </c>
      <c r="G6649" s="209">
        <v>3721.78</v>
      </c>
      <c r="H6649" s="198"/>
    </row>
    <row r="6650" spans="1:8" ht="15.75" hidden="1" customHeight="1" x14ac:dyDescent="0.25">
      <c r="A6650" s="205" t="s">
        <v>7270</v>
      </c>
      <c r="B6650" s="206">
        <v>99302</v>
      </c>
      <c r="C6650" s="207" t="s">
        <v>7303</v>
      </c>
      <c r="D6650" s="208" t="s">
        <v>585</v>
      </c>
      <c r="E6650" s="209">
        <v>2185.3200000000002</v>
      </c>
      <c r="F6650" s="209">
        <v>1822.96</v>
      </c>
      <c r="G6650" s="209">
        <v>4008.28</v>
      </c>
      <c r="H6650" s="198"/>
    </row>
    <row r="6651" spans="1:8" ht="15.75" hidden="1" customHeight="1" x14ac:dyDescent="0.25">
      <c r="A6651" s="205" t="s">
        <v>7270</v>
      </c>
      <c r="B6651" s="206">
        <v>99307</v>
      </c>
      <c r="C6651" s="207" t="s">
        <v>7304</v>
      </c>
      <c r="D6651" s="208" t="s">
        <v>585</v>
      </c>
      <c r="E6651" s="209">
        <v>1415.8</v>
      </c>
      <c r="F6651" s="209">
        <v>1174.8599999999999</v>
      </c>
      <c r="G6651" s="209">
        <v>2590.66</v>
      </c>
      <c r="H6651" s="198"/>
    </row>
    <row r="6652" spans="1:8" ht="15.75" hidden="1" customHeight="1" x14ac:dyDescent="0.25">
      <c r="A6652" s="205" t="s">
        <v>7270</v>
      </c>
      <c r="B6652" s="206">
        <v>99317</v>
      </c>
      <c r="C6652" s="207" t="s">
        <v>7305</v>
      </c>
      <c r="D6652" s="208" t="s">
        <v>585</v>
      </c>
      <c r="E6652" s="209">
        <v>1568.51</v>
      </c>
      <c r="F6652" s="209">
        <v>1303.69</v>
      </c>
      <c r="G6652" s="209">
        <v>2872.2</v>
      </c>
      <c r="H6652" s="198"/>
    </row>
    <row r="6653" spans="1:8" ht="15.75" hidden="1" customHeight="1" x14ac:dyDescent="0.25">
      <c r="A6653" s="205" t="s">
        <v>7270</v>
      </c>
      <c r="B6653" s="206">
        <v>99321</v>
      </c>
      <c r="C6653" s="207" t="s">
        <v>7306</v>
      </c>
      <c r="D6653" s="208" t="s">
        <v>585</v>
      </c>
      <c r="E6653" s="209">
        <v>1721.35</v>
      </c>
      <c r="F6653" s="209">
        <v>1432.45</v>
      </c>
      <c r="G6653" s="209">
        <v>3153.8</v>
      </c>
      <c r="H6653" s="198"/>
    </row>
    <row r="6654" spans="1:8" ht="15.75" hidden="1" customHeight="1" x14ac:dyDescent="0.25">
      <c r="A6654" s="205" t="s">
        <v>7270</v>
      </c>
      <c r="B6654" s="206">
        <v>99323</v>
      </c>
      <c r="C6654" s="207" t="s">
        <v>7307</v>
      </c>
      <c r="D6654" s="208" t="s">
        <v>585</v>
      </c>
      <c r="E6654" s="209">
        <v>1873.99</v>
      </c>
      <c r="F6654" s="209">
        <v>1561.37</v>
      </c>
      <c r="G6654" s="209">
        <v>3435.36</v>
      </c>
      <c r="H6654" s="198"/>
    </row>
    <row r="6655" spans="1:8" ht="15.75" hidden="1" customHeight="1" x14ac:dyDescent="0.25">
      <c r="A6655" s="205" t="s">
        <v>7270</v>
      </c>
      <c r="B6655" s="206">
        <v>99325</v>
      </c>
      <c r="C6655" s="207" t="s">
        <v>7308</v>
      </c>
      <c r="D6655" s="208" t="s">
        <v>585</v>
      </c>
      <c r="E6655" s="209">
        <v>2029.86</v>
      </c>
      <c r="F6655" s="209">
        <v>1691.92</v>
      </c>
      <c r="G6655" s="209">
        <v>3721.78</v>
      </c>
      <c r="H6655" s="198"/>
    </row>
    <row r="6656" spans="1:8" ht="15.75" hidden="1" customHeight="1" x14ac:dyDescent="0.25">
      <c r="A6656" s="205" t="s">
        <v>7270</v>
      </c>
      <c r="B6656" s="206">
        <v>99311</v>
      </c>
      <c r="C6656" s="207" t="s">
        <v>7309</v>
      </c>
      <c r="D6656" s="208" t="s">
        <v>585</v>
      </c>
      <c r="E6656" s="209">
        <v>2341.11</v>
      </c>
      <c r="F6656" s="209">
        <v>1953.7</v>
      </c>
      <c r="G6656" s="209">
        <v>4294.8100000000004</v>
      </c>
      <c r="H6656" s="198"/>
    </row>
    <row r="6657" spans="1:8" ht="15.75" hidden="1" customHeight="1" x14ac:dyDescent="0.25">
      <c r="A6657" s="205" t="s">
        <v>7270</v>
      </c>
      <c r="B6657" s="206">
        <v>99314</v>
      </c>
      <c r="C6657" s="207" t="s">
        <v>7310</v>
      </c>
      <c r="D6657" s="208" t="s">
        <v>585</v>
      </c>
      <c r="E6657" s="209">
        <v>2496.36</v>
      </c>
      <c r="F6657" s="209">
        <v>2084.9499999999998</v>
      </c>
      <c r="G6657" s="209">
        <v>4581.3100000000004</v>
      </c>
      <c r="H6657" s="198"/>
    </row>
    <row r="6658" spans="1:8" ht="15.75" hidden="1" customHeight="1" x14ac:dyDescent="0.25">
      <c r="A6658" s="205" t="s">
        <v>7270</v>
      </c>
      <c r="B6658" s="206">
        <v>99304</v>
      </c>
      <c r="C6658" s="207" t="s">
        <v>7311</v>
      </c>
      <c r="D6658" s="208" t="s">
        <v>585</v>
      </c>
      <c r="E6658" s="209">
        <v>2032.56</v>
      </c>
      <c r="F6658" s="209">
        <v>1694.17</v>
      </c>
      <c r="G6658" s="209">
        <v>3726.73</v>
      </c>
      <c r="H6658" s="198"/>
    </row>
    <row r="6659" spans="1:8" ht="15.75" hidden="1" customHeight="1" x14ac:dyDescent="0.25">
      <c r="A6659" s="205" t="s">
        <v>7270</v>
      </c>
      <c r="B6659" s="206">
        <v>99306</v>
      </c>
      <c r="C6659" s="207" t="s">
        <v>7312</v>
      </c>
      <c r="D6659" s="208" t="s">
        <v>585</v>
      </c>
      <c r="E6659" s="209">
        <v>2185.3200000000002</v>
      </c>
      <c r="F6659" s="209">
        <v>1822.96</v>
      </c>
      <c r="G6659" s="209">
        <v>4008.28</v>
      </c>
      <c r="H6659" s="198"/>
    </row>
    <row r="6660" spans="1:8" ht="15.75" hidden="1" customHeight="1" x14ac:dyDescent="0.25">
      <c r="A6660" s="205" t="s">
        <v>7270</v>
      </c>
      <c r="B6660" s="206">
        <v>99309</v>
      </c>
      <c r="C6660" s="207" t="s">
        <v>7313</v>
      </c>
      <c r="D6660" s="208" t="s">
        <v>585</v>
      </c>
      <c r="E6660" s="209">
        <v>2341.11</v>
      </c>
      <c r="F6660" s="209">
        <v>1953.7</v>
      </c>
      <c r="G6660" s="209">
        <v>4294.8100000000004</v>
      </c>
      <c r="H6660" s="198"/>
    </row>
    <row r="6661" spans="1:8" ht="15.75" hidden="1" customHeight="1" x14ac:dyDescent="0.25">
      <c r="A6661" s="205" t="s">
        <v>7270</v>
      </c>
      <c r="B6661" s="206">
        <v>99327</v>
      </c>
      <c r="C6661" s="207" t="s">
        <v>7314</v>
      </c>
      <c r="D6661" s="208" t="s">
        <v>585</v>
      </c>
      <c r="E6661" s="209">
        <v>2624.71</v>
      </c>
      <c r="F6661" s="209">
        <v>2194.8000000000002</v>
      </c>
      <c r="G6661" s="209">
        <v>4819.51</v>
      </c>
      <c r="H6661" s="198"/>
    </row>
    <row r="6662" spans="1:8" ht="15.75" hidden="1" customHeight="1" x14ac:dyDescent="0.25">
      <c r="A6662" s="205" t="s">
        <v>7270</v>
      </c>
      <c r="B6662" s="206">
        <v>98009</v>
      </c>
      <c r="C6662" s="207" t="s">
        <v>7315</v>
      </c>
      <c r="D6662" s="208" t="s">
        <v>585</v>
      </c>
      <c r="E6662" s="209">
        <v>1164.32</v>
      </c>
      <c r="F6662" s="209">
        <v>911.1</v>
      </c>
      <c r="G6662" s="209">
        <v>2075.42</v>
      </c>
      <c r="H6662" s="198"/>
    </row>
    <row r="6663" spans="1:8" ht="15.75" hidden="1" customHeight="1" x14ac:dyDescent="0.25">
      <c r="A6663" s="205" t="s">
        <v>7270</v>
      </c>
      <c r="B6663" s="206">
        <v>98011</v>
      </c>
      <c r="C6663" s="207" t="s">
        <v>7316</v>
      </c>
      <c r="D6663" s="208" t="s">
        <v>585</v>
      </c>
      <c r="E6663" s="209">
        <v>1326.98</v>
      </c>
      <c r="F6663" s="209">
        <v>1040.51</v>
      </c>
      <c r="G6663" s="209">
        <v>2367.4899999999998</v>
      </c>
      <c r="H6663" s="198"/>
    </row>
    <row r="6664" spans="1:8" ht="15.75" hidden="1" customHeight="1" x14ac:dyDescent="0.25">
      <c r="A6664" s="205" t="s">
        <v>7270</v>
      </c>
      <c r="B6664" s="206">
        <v>98013</v>
      </c>
      <c r="C6664" s="207" t="s">
        <v>7317</v>
      </c>
      <c r="D6664" s="208" t="s">
        <v>585</v>
      </c>
      <c r="E6664" s="209">
        <v>1489.94</v>
      </c>
      <c r="F6664" s="209">
        <v>1169.71</v>
      </c>
      <c r="G6664" s="209">
        <v>2659.65</v>
      </c>
      <c r="H6664" s="198"/>
    </row>
    <row r="6665" spans="1:8" ht="15.75" hidden="1" customHeight="1" x14ac:dyDescent="0.25">
      <c r="A6665" s="205" t="s">
        <v>7270</v>
      </c>
      <c r="B6665" s="206">
        <v>98015</v>
      </c>
      <c r="C6665" s="207" t="s">
        <v>7318</v>
      </c>
      <c r="D6665" s="208" t="s">
        <v>585</v>
      </c>
      <c r="E6665" s="209">
        <v>1652.71</v>
      </c>
      <c r="F6665" s="209">
        <v>1299.08</v>
      </c>
      <c r="G6665" s="209">
        <v>2951.79</v>
      </c>
      <c r="H6665" s="198"/>
    </row>
    <row r="6666" spans="1:8" ht="15.75" hidden="1" customHeight="1" x14ac:dyDescent="0.25">
      <c r="A6666" s="205" t="s">
        <v>7270</v>
      </c>
      <c r="B6666" s="206">
        <v>98017</v>
      </c>
      <c r="C6666" s="207" t="s">
        <v>7319</v>
      </c>
      <c r="D6666" s="208" t="s">
        <v>585</v>
      </c>
      <c r="E6666" s="209">
        <v>1815.26</v>
      </c>
      <c r="F6666" s="209">
        <v>1428.59</v>
      </c>
      <c r="G6666" s="209">
        <v>3243.85</v>
      </c>
      <c r="H6666" s="198"/>
    </row>
    <row r="6667" spans="1:8" ht="15.75" hidden="1" customHeight="1" x14ac:dyDescent="0.25">
      <c r="A6667" s="205" t="s">
        <v>7270</v>
      </c>
      <c r="B6667" s="206">
        <v>98019</v>
      </c>
      <c r="C6667" s="207" t="s">
        <v>7320</v>
      </c>
      <c r="D6667" s="208" t="s">
        <v>585</v>
      </c>
      <c r="E6667" s="209">
        <v>1994.46</v>
      </c>
      <c r="F6667" s="209">
        <v>1568.34</v>
      </c>
      <c r="G6667" s="209">
        <v>3562.8</v>
      </c>
      <c r="H6667" s="198"/>
    </row>
    <row r="6668" spans="1:8" ht="15.75" hidden="1" customHeight="1" x14ac:dyDescent="0.25">
      <c r="A6668" s="205" t="s">
        <v>7270</v>
      </c>
      <c r="B6668" s="206">
        <v>97995</v>
      </c>
      <c r="C6668" s="207" t="s">
        <v>7321</v>
      </c>
      <c r="D6668" s="208" t="s">
        <v>585</v>
      </c>
      <c r="E6668" s="209">
        <v>838.8</v>
      </c>
      <c r="F6668" s="209">
        <v>652.4</v>
      </c>
      <c r="G6668" s="209">
        <v>1491.2</v>
      </c>
      <c r="H6668" s="198"/>
    </row>
    <row r="6669" spans="1:8" ht="15.75" hidden="1" customHeight="1" x14ac:dyDescent="0.25">
      <c r="A6669" s="205" t="s">
        <v>7270</v>
      </c>
      <c r="B6669" s="206">
        <v>97997</v>
      </c>
      <c r="C6669" s="207" t="s">
        <v>7322</v>
      </c>
      <c r="D6669" s="208" t="s">
        <v>585</v>
      </c>
      <c r="E6669" s="209">
        <v>1001.49</v>
      </c>
      <c r="F6669" s="209">
        <v>781.78</v>
      </c>
      <c r="G6669" s="209">
        <v>1783.27</v>
      </c>
      <c r="H6669" s="198"/>
    </row>
    <row r="6670" spans="1:8" ht="15.75" hidden="1" customHeight="1" x14ac:dyDescent="0.25">
      <c r="A6670" s="205" t="s">
        <v>7270</v>
      </c>
      <c r="B6670" s="206">
        <v>97999</v>
      </c>
      <c r="C6670" s="207" t="s">
        <v>7323</v>
      </c>
      <c r="D6670" s="208" t="s">
        <v>585</v>
      </c>
      <c r="E6670" s="209">
        <v>1164.32</v>
      </c>
      <c r="F6670" s="209">
        <v>911.1</v>
      </c>
      <c r="G6670" s="209">
        <v>2075.42</v>
      </c>
      <c r="H6670" s="198"/>
    </row>
    <row r="6671" spans="1:8" ht="15.75" hidden="1" customHeight="1" x14ac:dyDescent="0.25">
      <c r="A6671" s="205" t="s">
        <v>7270</v>
      </c>
      <c r="B6671" s="206">
        <v>98001</v>
      </c>
      <c r="C6671" s="207" t="s">
        <v>7324</v>
      </c>
      <c r="D6671" s="208" t="s">
        <v>585</v>
      </c>
      <c r="E6671" s="209">
        <v>1326.98</v>
      </c>
      <c r="F6671" s="209">
        <v>1040.51</v>
      </c>
      <c r="G6671" s="209">
        <v>2367.4899999999998</v>
      </c>
      <c r="H6671" s="198"/>
    </row>
    <row r="6672" spans="1:8" ht="15.75" hidden="1" customHeight="1" x14ac:dyDescent="0.25">
      <c r="A6672" s="205" t="s">
        <v>7270</v>
      </c>
      <c r="B6672" s="206">
        <v>98003</v>
      </c>
      <c r="C6672" s="207" t="s">
        <v>7325</v>
      </c>
      <c r="D6672" s="208" t="s">
        <v>585</v>
      </c>
      <c r="E6672" s="209">
        <v>1489.94</v>
      </c>
      <c r="F6672" s="209">
        <v>1169.71</v>
      </c>
      <c r="G6672" s="209">
        <v>2659.65</v>
      </c>
      <c r="H6672" s="198"/>
    </row>
    <row r="6673" spans="1:8" ht="15.75" hidden="1" customHeight="1" x14ac:dyDescent="0.25">
      <c r="A6673" s="205" t="s">
        <v>7270</v>
      </c>
      <c r="B6673" s="206">
        <v>98005</v>
      </c>
      <c r="C6673" s="207" t="s">
        <v>7326</v>
      </c>
      <c r="D6673" s="208" t="s">
        <v>585</v>
      </c>
      <c r="E6673" s="209">
        <v>1652.71</v>
      </c>
      <c r="F6673" s="209">
        <v>1299.08</v>
      </c>
      <c r="G6673" s="209">
        <v>2951.79</v>
      </c>
      <c r="H6673" s="198"/>
    </row>
    <row r="6674" spans="1:8" ht="15.75" hidden="1" customHeight="1" x14ac:dyDescent="0.25">
      <c r="A6674" s="205" t="s">
        <v>7270</v>
      </c>
      <c r="B6674" s="206">
        <v>98007</v>
      </c>
      <c r="C6674" s="207" t="s">
        <v>7327</v>
      </c>
      <c r="D6674" s="208" t="s">
        <v>585</v>
      </c>
      <c r="E6674" s="209">
        <v>1815.26</v>
      </c>
      <c r="F6674" s="209">
        <v>1428.59</v>
      </c>
      <c r="G6674" s="209">
        <v>3243.85</v>
      </c>
      <c r="H6674" s="198"/>
    </row>
    <row r="6675" spans="1:8" ht="15.75" hidden="1" customHeight="1" x14ac:dyDescent="0.25">
      <c r="A6675" s="205" t="s">
        <v>7270</v>
      </c>
      <c r="B6675" s="206">
        <v>98031</v>
      </c>
      <c r="C6675" s="207" t="s">
        <v>7328</v>
      </c>
      <c r="D6675" s="208" t="s">
        <v>585</v>
      </c>
      <c r="E6675" s="209">
        <v>1835.4</v>
      </c>
      <c r="F6675" s="209">
        <v>1440.92</v>
      </c>
      <c r="G6675" s="209">
        <v>3276.32</v>
      </c>
      <c r="H6675" s="198"/>
    </row>
    <row r="6676" spans="1:8" ht="15.75" hidden="1" customHeight="1" x14ac:dyDescent="0.25">
      <c r="A6676" s="205" t="s">
        <v>7270</v>
      </c>
      <c r="B6676" s="206">
        <v>98033</v>
      </c>
      <c r="C6676" s="207" t="s">
        <v>7329</v>
      </c>
      <c r="D6676" s="208" t="s">
        <v>585</v>
      </c>
      <c r="E6676" s="209">
        <v>1997.95</v>
      </c>
      <c r="F6676" s="209">
        <v>1570.45</v>
      </c>
      <c r="G6676" s="209">
        <v>3568.4</v>
      </c>
      <c r="H6676" s="198"/>
    </row>
    <row r="6677" spans="1:8" ht="15.75" hidden="1" customHeight="1" x14ac:dyDescent="0.25">
      <c r="A6677" s="205" t="s">
        <v>7270</v>
      </c>
      <c r="B6677" s="206">
        <v>98035</v>
      </c>
      <c r="C6677" s="207" t="s">
        <v>7330</v>
      </c>
      <c r="D6677" s="208" t="s">
        <v>585</v>
      </c>
      <c r="E6677" s="209">
        <v>2160.69</v>
      </c>
      <c r="F6677" s="209">
        <v>1699.74</v>
      </c>
      <c r="G6677" s="209">
        <v>3860.43</v>
      </c>
      <c r="H6677" s="198"/>
    </row>
    <row r="6678" spans="1:8" ht="15.75" hidden="1" customHeight="1" x14ac:dyDescent="0.25">
      <c r="A6678" s="205" t="s">
        <v>7270</v>
      </c>
      <c r="B6678" s="206">
        <v>98037</v>
      </c>
      <c r="C6678" s="207" t="s">
        <v>7331</v>
      </c>
      <c r="D6678" s="208" t="s">
        <v>585</v>
      </c>
      <c r="E6678" s="209">
        <v>2326.88</v>
      </c>
      <c r="F6678" s="209">
        <v>1831.23</v>
      </c>
      <c r="G6678" s="209">
        <v>4158.1099999999997</v>
      </c>
      <c r="H6678" s="198"/>
    </row>
    <row r="6679" spans="1:8" ht="15.75" hidden="1" customHeight="1" x14ac:dyDescent="0.25">
      <c r="A6679" s="205" t="s">
        <v>7270</v>
      </c>
      <c r="B6679" s="206">
        <v>98021</v>
      </c>
      <c r="C6679" s="207" t="s">
        <v>7332</v>
      </c>
      <c r="D6679" s="208" t="s">
        <v>585</v>
      </c>
      <c r="E6679" s="209">
        <v>1506.33</v>
      </c>
      <c r="F6679" s="209">
        <v>1180.18</v>
      </c>
      <c r="G6679" s="209">
        <v>2686.51</v>
      </c>
      <c r="H6679" s="198"/>
    </row>
    <row r="6680" spans="1:8" ht="15.75" hidden="1" customHeight="1" x14ac:dyDescent="0.25">
      <c r="A6680" s="205" t="s">
        <v>7270</v>
      </c>
      <c r="B6680" s="206">
        <v>98023</v>
      </c>
      <c r="C6680" s="207" t="s">
        <v>7333</v>
      </c>
      <c r="D6680" s="208" t="s">
        <v>585</v>
      </c>
      <c r="E6680" s="209">
        <v>1669.2</v>
      </c>
      <c r="F6680" s="209">
        <v>1309.3800000000001</v>
      </c>
      <c r="G6680" s="209">
        <v>2978.58</v>
      </c>
      <c r="H6680" s="198"/>
    </row>
    <row r="6681" spans="1:8" ht="15.75" hidden="1" customHeight="1" x14ac:dyDescent="0.25">
      <c r="A6681" s="205" t="s">
        <v>7270</v>
      </c>
      <c r="B6681" s="206">
        <v>98025</v>
      </c>
      <c r="C6681" s="207" t="s">
        <v>7334</v>
      </c>
      <c r="D6681" s="208" t="s">
        <v>585</v>
      </c>
      <c r="E6681" s="209">
        <v>1831.94</v>
      </c>
      <c r="F6681" s="209">
        <v>1438.78</v>
      </c>
      <c r="G6681" s="209">
        <v>3270.72</v>
      </c>
      <c r="H6681" s="198"/>
    </row>
    <row r="6682" spans="1:8" ht="15.75" hidden="1" customHeight="1" x14ac:dyDescent="0.25">
      <c r="A6682" s="205" t="s">
        <v>7270</v>
      </c>
      <c r="B6682" s="206">
        <v>98027</v>
      </c>
      <c r="C6682" s="207" t="s">
        <v>7335</v>
      </c>
      <c r="D6682" s="208" t="s">
        <v>585</v>
      </c>
      <c r="E6682" s="209">
        <v>1994.46</v>
      </c>
      <c r="F6682" s="209">
        <v>1568.34</v>
      </c>
      <c r="G6682" s="209">
        <v>3562.8</v>
      </c>
      <c r="H6682" s="198"/>
    </row>
    <row r="6683" spans="1:8" ht="15.75" hidden="1" customHeight="1" x14ac:dyDescent="0.25">
      <c r="A6683" s="205" t="s">
        <v>7270</v>
      </c>
      <c r="B6683" s="206">
        <v>98029</v>
      </c>
      <c r="C6683" s="207" t="s">
        <v>7336</v>
      </c>
      <c r="D6683" s="208" t="s">
        <v>585</v>
      </c>
      <c r="E6683" s="209">
        <v>2160.69</v>
      </c>
      <c r="F6683" s="209">
        <v>1699.74</v>
      </c>
      <c r="G6683" s="209">
        <v>3860.43</v>
      </c>
      <c r="H6683" s="198"/>
    </row>
    <row r="6684" spans="1:8" ht="15.75" hidden="1" customHeight="1" x14ac:dyDescent="0.25">
      <c r="A6684" s="205" t="s">
        <v>7270</v>
      </c>
      <c r="B6684" s="206">
        <v>98045</v>
      </c>
      <c r="C6684" s="207" t="s">
        <v>7337</v>
      </c>
      <c r="D6684" s="208" t="s">
        <v>585</v>
      </c>
      <c r="E6684" s="209">
        <v>2493.04</v>
      </c>
      <c r="F6684" s="209">
        <v>1962.79</v>
      </c>
      <c r="G6684" s="209">
        <v>4455.83</v>
      </c>
      <c r="H6684" s="198"/>
    </row>
    <row r="6685" spans="1:8" ht="15.75" hidden="1" customHeight="1" x14ac:dyDescent="0.25">
      <c r="A6685" s="205" t="s">
        <v>7270</v>
      </c>
      <c r="B6685" s="206">
        <v>98047</v>
      </c>
      <c r="C6685" s="207" t="s">
        <v>7338</v>
      </c>
      <c r="D6685" s="208" t="s">
        <v>585</v>
      </c>
      <c r="E6685" s="209">
        <v>2659.13</v>
      </c>
      <c r="F6685" s="209">
        <v>2094.4</v>
      </c>
      <c r="G6685" s="209">
        <v>4753.53</v>
      </c>
      <c r="H6685" s="198"/>
    </row>
    <row r="6686" spans="1:8" ht="15.75" hidden="1" customHeight="1" x14ac:dyDescent="0.25">
      <c r="A6686" s="205" t="s">
        <v>7270</v>
      </c>
      <c r="B6686" s="206">
        <v>98039</v>
      </c>
      <c r="C6686" s="207" t="s">
        <v>7339</v>
      </c>
      <c r="D6686" s="208" t="s">
        <v>585</v>
      </c>
      <c r="E6686" s="209">
        <v>2164.21</v>
      </c>
      <c r="F6686" s="209">
        <v>1701.82</v>
      </c>
      <c r="G6686" s="209">
        <v>3866.03</v>
      </c>
      <c r="H6686" s="198"/>
    </row>
    <row r="6687" spans="1:8" ht="15.75" hidden="1" customHeight="1" x14ac:dyDescent="0.25">
      <c r="A6687" s="205" t="s">
        <v>7270</v>
      </c>
      <c r="B6687" s="206">
        <v>98041</v>
      </c>
      <c r="C6687" s="207" t="s">
        <v>7340</v>
      </c>
      <c r="D6687" s="208" t="s">
        <v>585</v>
      </c>
      <c r="E6687" s="209">
        <v>2326.88</v>
      </c>
      <c r="F6687" s="209">
        <v>1831.23</v>
      </c>
      <c r="G6687" s="209">
        <v>4158.1099999999997</v>
      </c>
      <c r="H6687" s="198"/>
    </row>
    <row r="6688" spans="1:8" ht="15.75" hidden="1" customHeight="1" x14ac:dyDescent="0.25">
      <c r="A6688" s="205" t="s">
        <v>7270</v>
      </c>
      <c r="B6688" s="206">
        <v>98043</v>
      </c>
      <c r="C6688" s="207" t="s">
        <v>7341</v>
      </c>
      <c r="D6688" s="208" t="s">
        <v>585</v>
      </c>
      <c r="E6688" s="209">
        <v>2493.04</v>
      </c>
      <c r="F6688" s="209">
        <v>1962.79</v>
      </c>
      <c r="G6688" s="209">
        <v>4455.83</v>
      </c>
      <c r="H6688" s="198"/>
    </row>
    <row r="6689" spans="1:8" ht="15.75" hidden="1" customHeight="1" x14ac:dyDescent="0.25">
      <c r="A6689" s="205" t="s">
        <v>7270</v>
      </c>
      <c r="B6689" s="206">
        <v>98049</v>
      </c>
      <c r="C6689" s="207" t="s">
        <v>7342</v>
      </c>
      <c r="D6689" s="208" t="s">
        <v>585</v>
      </c>
      <c r="E6689" s="209">
        <v>2792.03</v>
      </c>
      <c r="F6689" s="209">
        <v>2204.4299999999998</v>
      </c>
      <c r="G6689" s="209">
        <v>4996.46</v>
      </c>
      <c r="H6689" s="198"/>
    </row>
    <row r="6690" spans="1:8" ht="15.75" hidden="1" customHeight="1" x14ac:dyDescent="0.25">
      <c r="A6690" s="205" t="s">
        <v>7270</v>
      </c>
      <c r="B6690" s="206">
        <v>101809</v>
      </c>
      <c r="C6690" s="207" t="s">
        <v>7343</v>
      </c>
      <c r="D6690" s="208" t="s">
        <v>580</v>
      </c>
      <c r="E6690" s="209">
        <v>1904.57</v>
      </c>
      <c r="F6690" s="209">
        <v>1123.8399999999999</v>
      </c>
      <c r="G6690" s="209">
        <v>3028.41</v>
      </c>
      <c r="H6690" s="198"/>
    </row>
    <row r="6691" spans="1:8" ht="15.75" hidden="1" customHeight="1" x14ac:dyDescent="0.25">
      <c r="A6691" s="205" t="s">
        <v>7270</v>
      </c>
      <c r="B6691" s="206">
        <v>97980</v>
      </c>
      <c r="C6691" s="207" t="s">
        <v>7344</v>
      </c>
      <c r="D6691" s="208" t="s">
        <v>580</v>
      </c>
      <c r="E6691" s="209">
        <v>1352.58</v>
      </c>
      <c r="F6691" s="209">
        <v>914.94</v>
      </c>
      <c r="G6691" s="209">
        <v>2267.52</v>
      </c>
      <c r="H6691" s="198"/>
    </row>
    <row r="6692" spans="1:8" ht="15.75" hidden="1" customHeight="1" x14ac:dyDescent="0.25">
      <c r="A6692" s="205" t="s">
        <v>7270</v>
      </c>
      <c r="B6692" s="206">
        <v>98405</v>
      </c>
      <c r="C6692" s="207" t="s">
        <v>7345</v>
      </c>
      <c r="D6692" s="208" t="s">
        <v>580</v>
      </c>
      <c r="E6692" s="209">
        <v>1678.35</v>
      </c>
      <c r="F6692" s="209">
        <v>1106.82</v>
      </c>
      <c r="G6692" s="209">
        <v>2785.17</v>
      </c>
      <c r="H6692" s="198"/>
    </row>
    <row r="6693" spans="1:8" ht="15.75" hidden="1" customHeight="1" x14ac:dyDescent="0.25">
      <c r="A6693" s="205" t="s">
        <v>7270</v>
      </c>
      <c r="B6693" s="206">
        <v>97988</v>
      </c>
      <c r="C6693" s="207" t="s">
        <v>7346</v>
      </c>
      <c r="D6693" s="208" t="s">
        <v>580</v>
      </c>
      <c r="E6693" s="209">
        <v>2010.45</v>
      </c>
      <c r="F6693" s="209">
        <v>1286.99</v>
      </c>
      <c r="G6693" s="209">
        <v>3297.44</v>
      </c>
      <c r="H6693" s="198"/>
    </row>
    <row r="6694" spans="1:8" ht="15.75" hidden="1" customHeight="1" x14ac:dyDescent="0.25">
      <c r="A6694" s="205" t="s">
        <v>7270</v>
      </c>
      <c r="B6694" s="206">
        <v>102139</v>
      </c>
      <c r="C6694" s="207" t="s">
        <v>7347</v>
      </c>
      <c r="D6694" s="208" t="s">
        <v>580</v>
      </c>
      <c r="E6694" s="209">
        <v>1443.45</v>
      </c>
      <c r="F6694" s="209">
        <v>352.33</v>
      </c>
      <c r="G6694" s="209">
        <v>1795.78</v>
      </c>
      <c r="H6694" s="198"/>
    </row>
    <row r="6695" spans="1:8" ht="15.75" hidden="1" customHeight="1" x14ac:dyDescent="0.25">
      <c r="A6695" s="205" t="s">
        <v>7270</v>
      </c>
      <c r="B6695" s="206">
        <v>102141</v>
      </c>
      <c r="C6695" s="207" t="s">
        <v>7348</v>
      </c>
      <c r="D6695" s="208" t="s">
        <v>580</v>
      </c>
      <c r="E6695" s="209">
        <v>2257.58</v>
      </c>
      <c r="F6695" s="209">
        <v>507.02</v>
      </c>
      <c r="G6695" s="209">
        <v>2764.6</v>
      </c>
      <c r="H6695" s="198"/>
    </row>
    <row r="6696" spans="1:8" ht="15.75" hidden="1" customHeight="1" x14ac:dyDescent="0.25">
      <c r="A6696" s="205" t="s">
        <v>7270</v>
      </c>
      <c r="B6696" s="206">
        <v>99280</v>
      </c>
      <c r="C6696" s="207" t="s">
        <v>7349</v>
      </c>
      <c r="D6696" s="208" t="s">
        <v>580</v>
      </c>
      <c r="E6696" s="209">
        <v>1280.04</v>
      </c>
      <c r="F6696" s="209">
        <v>910.68</v>
      </c>
      <c r="G6696" s="209">
        <v>2190.7199999999998</v>
      </c>
      <c r="H6696" s="198"/>
    </row>
    <row r="6697" spans="1:8" ht="15.75" hidden="1" customHeight="1" x14ac:dyDescent="0.25">
      <c r="A6697" s="205" t="s">
        <v>7270</v>
      </c>
      <c r="B6697" s="206">
        <v>99292</v>
      </c>
      <c r="C6697" s="207" t="s">
        <v>7350</v>
      </c>
      <c r="D6697" s="208" t="s">
        <v>580</v>
      </c>
      <c r="E6697" s="209">
        <v>1595.63</v>
      </c>
      <c r="F6697" s="209">
        <v>1101.96</v>
      </c>
      <c r="G6697" s="209">
        <v>2697.59</v>
      </c>
      <c r="H6697" s="198"/>
    </row>
    <row r="6698" spans="1:8" ht="15.75" hidden="1" customHeight="1" x14ac:dyDescent="0.25">
      <c r="A6698" s="205" t="s">
        <v>7270</v>
      </c>
      <c r="B6698" s="206">
        <v>99242</v>
      </c>
      <c r="C6698" s="207" t="s">
        <v>7351</v>
      </c>
      <c r="D6698" s="208" t="s">
        <v>580</v>
      </c>
      <c r="E6698" s="209">
        <v>1918.11</v>
      </c>
      <c r="F6698" s="209">
        <v>1281.94</v>
      </c>
      <c r="G6698" s="209">
        <v>3200.05</v>
      </c>
      <c r="H6698" s="198"/>
    </row>
    <row r="6699" spans="1:8" ht="15.75" hidden="1" customHeight="1" x14ac:dyDescent="0.25">
      <c r="A6699" s="205" t="s">
        <v>7270</v>
      </c>
      <c r="B6699" s="206">
        <v>99248</v>
      </c>
      <c r="C6699" s="207" t="s">
        <v>7352</v>
      </c>
      <c r="D6699" s="208" t="s">
        <v>580</v>
      </c>
      <c r="E6699" s="209">
        <v>2494.9499999999998</v>
      </c>
      <c r="F6699" s="209">
        <v>1586.42</v>
      </c>
      <c r="G6699" s="209">
        <v>4081.37</v>
      </c>
      <c r="H6699" s="198"/>
    </row>
    <row r="6700" spans="1:8" ht="15.75" hidden="1" customHeight="1" x14ac:dyDescent="0.25">
      <c r="A6700" s="205" t="s">
        <v>7270</v>
      </c>
      <c r="B6700" s="206">
        <v>99275</v>
      </c>
      <c r="C6700" s="207" t="s">
        <v>7353</v>
      </c>
      <c r="D6700" s="208" t="s">
        <v>580</v>
      </c>
      <c r="E6700" s="209">
        <v>762.18</v>
      </c>
      <c r="F6700" s="209">
        <v>260.05</v>
      </c>
      <c r="G6700" s="209">
        <v>1022.23</v>
      </c>
      <c r="H6700" s="198"/>
    </row>
    <row r="6701" spans="1:8" ht="15.75" hidden="1" customHeight="1" x14ac:dyDescent="0.25">
      <c r="A6701" s="205" t="s">
        <v>7270</v>
      </c>
      <c r="B6701" s="206">
        <v>99285</v>
      </c>
      <c r="C6701" s="207" t="s">
        <v>7354</v>
      </c>
      <c r="D6701" s="208" t="s">
        <v>580</v>
      </c>
      <c r="E6701" s="209">
        <v>1100.5899999999999</v>
      </c>
      <c r="F6701" s="209">
        <v>312.04000000000002</v>
      </c>
      <c r="G6701" s="209">
        <v>1412.63</v>
      </c>
      <c r="H6701" s="198"/>
    </row>
    <row r="6702" spans="1:8" ht="15.75" hidden="1" customHeight="1" x14ac:dyDescent="0.25">
      <c r="A6702" s="205" t="s">
        <v>7270</v>
      </c>
      <c r="B6702" s="206">
        <v>102457</v>
      </c>
      <c r="C6702" s="207" t="s">
        <v>7355</v>
      </c>
      <c r="D6702" s="208" t="s">
        <v>580</v>
      </c>
      <c r="E6702" s="209">
        <v>1428.87</v>
      </c>
      <c r="F6702" s="209">
        <v>330.81</v>
      </c>
      <c r="G6702" s="209">
        <v>1759.68</v>
      </c>
      <c r="H6702" s="198"/>
    </row>
    <row r="6703" spans="1:8" ht="15.75" hidden="1" customHeight="1" x14ac:dyDescent="0.25">
      <c r="A6703" s="205" t="s">
        <v>7270</v>
      </c>
      <c r="B6703" s="206">
        <v>102142</v>
      </c>
      <c r="C6703" s="207" t="s">
        <v>7356</v>
      </c>
      <c r="D6703" s="208" t="s">
        <v>580</v>
      </c>
      <c r="E6703" s="209">
        <v>2221.13</v>
      </c>
      <c r="F6703" s="209">
        <v>504.84</v>
      </c>
      <c r="G6703" s="209">
        <v>2725.97</v>
      </c>
      <c r="H6703" s="198"/>
    </row>
    <row r="6704" spans="1:8" ht="15.75" hidden="1" customHeight="1" x14ac:dyDescent="0.25">
      <c r="A6704" s="205" t="s">
        <v>7270</v>
      </c>
      <c r="B6704" s="206">
        <v>97992</v>
      </c>
      <c r="C6704" s="207" t="s">
        <v>7357</v>
      </c>
      <c r="D6704" s="208" t="s">
        <v>580</v>
      </c>
      <c r="E6704" s="209">
        <v>2605.85</v>
      </c>
      <c r="F6704" s="209">
        <v>1593.06</v>
      </c>
      <c r="G6704" s="209">
        <v>4198.91</v>
      </c>
      <c r="H6704" s="198"/>
    </row>
    <row r="6705" spans="1:8" ht="15.75" hidden="1" customHeight="1" x14ac:dyDescent="0.25">
      <c r="A6705" s="205" t="s">
        <v>7270</v>
      </c>
      <c r="B6705" s="206">
        <v>97978</v>
      </c>
      <c r="C6705" s="207" t="s">
        <v>7358</v>
      </c>
      <c r="D6705" s="208" t="s">
        <v>580</v>
      </c>
      <c r="E6705" s="209">
        <v>770.2</v>
      </c>
      <c r="F6705" s="209">
        <v>260.58</v>
      </c>
      <c r="G6705" s="209">
        <v>1030.78</v>
      </c>
      <c r="H6705" s="198"/>
    </row>
    <row r="6706" spans="1:8" ht="15.75" hidden="1" customHeight="1" x14ac:dyDescent="0.25">
      <c r="A6706" s="205" t="s">
        <v>7270</v>
      </c>
      <c r="B6706" s="206">
        <v>98410</v>
      </c>
      <c r="C6706" s="207" t="s">
        <v>7359</v>
      </c>
      <c r="D6706" s="208" t="s">
        <v>580</v>
      </c>
      <c r="E6706" s="209">
        <v>1039.3900000000001</v>
      </c>
      <c r="F6706" s="209">
        <v>269.33</v>
      </c>
      <c r="G6706" s="209">
        <v>1308.72</v>
      </c>
      <c r="H6706" s="198"/>
    </row>
    <row r="6707" spans="1:8" ht="15.75" hidden="1" customHeight="1" x14ac:dyDescent="0.25">
      <c r="A6707" s="205" t="s">
        <v>7270</v>
      </c>
      <c r="B6707" s="206">
        <v>97994</v>
      </c>
      <c r="C6707" s="207" t="s">
        <v>7360</v>
      </c>
      <c r="D6707" s="208" t="s">
        <v>580</v>
      </c>
      <c r="E6707" s="209">
        <v>1738.21</v>
      </c>
      <c r="F6707" s="209">
        <v>1090.44</v>
      </c>
      <c r="G6707" s="209">
        <v>2828.65</v>
      </c>
      <c r="H6707" s="198"/>
    </row>
    <row r="6708" spans="1:8" ht="15.75" hidden="1" customHeight="1" x14ac:dyDescent="0.25">
      <c r="A6708" s="205" t="s">
        <v>7270</v>
      </c>
      <c r="B6708" s="206">
        <v>99290</v>
      </c>
      <c r="C6708" s="207" t="s">
        <v>7361</v>
      </c>
      <c r="D6708" s="208" t="s">
        <v>580</v>
      </c>
      <c r="E6708" s="209">
        <v>2682.76</v>
      </c>
      <c r="F6708" s="209">
        <v>1630.35</v>
      </c>
      <c r="G6708" s="209">
        <v>4313.1099999999997</v>
      </c>
      <c r="H6708" s="198"/>
    </row>
    <row r="6709" spans="1:8" ht="15.75" hidden="1" customHeight="1" x14ac:dyDescent="0.25">
      <c r="A6709" s="205" t="s">
        <v>7270</v>
      </c>
      <c r="B6709" s="206">
        <v>99244</v>
      </c>
      <c r="C6709" s="207" t="s">
        <v>7362</v>
      </c>
      <c r="D6709" s="208" t="s">
        <v>580</v>
      </c>
      <c r="E6709" s="209">
        <v>3303.07</v>
      </c>
      <c r="F6709" s="209">
        <v>1955.75</v>
      </c>
      <c r="G6709" s="209">
        <v>5258.82</v>
      </c>
      <c r="H6709" s="198"/>
    </row>
    <row r="6710" spans="1:8" ht="15.75" hidden="1" customHeight="1" x14ac:dyDescent="0.25">
      <c r="A6710" s="205" t="s">
        <v>7270</v>
      </c>
      <c r="B6710" s="206">
        <v>99256</v>
      </c>
      <c r="C6710" s="207" t="s">
        <v>7363</v>
      </c>
      <c r="D6710" s="208" t="s">
        <v>580</v>
      </c>
      <c r="E6710" s="209">
        <v>3894.94</v>
      </c>
      <c r="F6710" s="209">
        <v>2280.64</v>
      </c>
      <c r="G6710" s="209">
        <v>6175.58</v>
      </c>
      <c r="H6710" s="198"/>
    </row>
    <row r="6711" spans="1:8" ht="15.75" hidden="1" customHeight="1" x14ac:dyDescent="0.25">
      <c r="A6711" s="205" t="s">
        <v>7270</v>
      </c>
      <c r="B6711" s="206">
        <v>99271</v>
      </c>
      <c r="C6711" s="207" t="s">
        <v>7364</v>
      </c>
      <c r="D6711" s="208" t="s">
        <v>580</v>
      </c>
      <c r="E6711" s="209">
        <v>4485.83</v>
      </c>
      <c r="F6711" s="209">
        <v>2606.38</v>
      </c>
      <c r="G6711" s="209">
        <v>7092.21</v>
      </c>
      <c r="H6711" s="198"/>
    </row>
    <row r="6712" spans="1:8" ht="15.75" hidden="1" customHeight="1" x14ac:dyDescent="0.25">
      <c r="A6712" s="205" t="s">
        <v>7270</v>
      </c>
      <c r="B6712" s="206">
        <v>99284</v>
      </c>
      <c r="C6712" s="207" t="s">
        <v>7365</v>
      </c>
      <c r="D6712" s="208" t="s">
        <v>580</v>
      </c>
      <c r="E6712" s="209">
        <v>5077.71</v>
      </c>
      <c r="F6712" s="209">
        <v>2931.29</v>
      </c>
      <c r="G6712" s="209">
        <v>8009</v>
      </c>
      <c r="H6712" s="198"/>
    </row>
    <row r="6713" spans="1:8" ht="15.75" hidden="1" customHeight="1" x14ac:dyDescent="0.25">
      <c r="A6713" s="205" t="s">
        <v>7270</v>
      </c>
      <c r="B6713" s="206">
        <v>99294</v>
      </c>
      <c r="C6713" s="207" t="s">
        <v>7366</v>
      </c>
      <c r="D6713" s="208" t="s">
        <v>580</v>
      </c>
      <c r="E6713" s="209">
        <v>5668.7</v>
      </c>
      <c r="F6713" s="209">
        <v>3256.98</v>
      </c>
      <c r="G6713" s="209">
        <v>8925.68</v>
      </c>
      <c r="H6713" s="198"/>
    </row>
    <row r="6714" spans="1:8" ht="15.75" hidden="1" customHeight="1" x14ac:dyDescent="0.25">
      <c r="A6714" s="205" t="s">
        <v>7270</v>
      </c>
      <c r="B6714" s="206">
        <v>99252</v>
      </c>
      <c r="C6714" s="207" t="s">
        <v>7367</v>
      </c>
      <c r="D6714" s="208" t="s">
        <v>580</v>
      </c>
      <c r="E6714" s="209">
        <v>1680.52</v>
      </c>
      <c r="F6714" s="209">
        <v>1087.1300000000001</v>
      </c>
      <c r="G6714" s="209">
        <v>2767.65</v>
      </c>
      <c r="H6714" s="198"/>
    </row>
    <row r="6715" spans="1:8" ht="15.75" hidden="1" customHeight="1" x14ac:dyDescent="0.25">
      <c r="A6715" s="205" t="s">
        <v>7270</v>
      </c>
      <c r="B6715" s="206">
        <v>99259</v>
      </c>
      <c r="C6715" s="207" t="s">
        <v>7368</v>
      </c>
      <c r="D6715" s="208" t="s">
        <v>580</v>
      </c>
      <c r="E6715" s="209">
        <v>2137.58</v>
      </c>
      <c r="F6715" s="209">
        <v>1362.62</v>
      </c>
      <c r="G6715" s="209">
        <v>3500.2</v>
      </c>
      <c r="H6715" s="198"/>
    </row>
    <row r="6716" spans="1:8" ht="15.75" hidden="1" customHeight="1" x14ac:dyDescent="0.25">
      <c r="A6716" s="205" t="s">
        <v>7270</v>
      </c>
      <c r="B6716" s="206">
        <v>99265</v>
      </c>
      <c r="C6716" s="207" t="s">
        <v>7369</v>
      </c>
      <c r="D6716" s="208" t="s">
        <v>580</v>
      </c>
      <c r="E6716" s="209">
        <v>2594.63</v>
      </c>
      <c r="F6716" s="209">
        <v>1638.03</v>
      </c>
      <c r="G6716" s="209">
        <v>4232.66</v>
      </c>
      <c r="H6716" s="198"/>
    </row>
    <row r="6717" spans="1:8" ht="15.75" hidden="1" customHeight="1" x14ac:dyDescent="0.25">
      <c r="A6717" s="205" t="s">
        <v>7270</v>
      </c>
      <c r="B6717" s="206">
        <v>99267</v>
      </c>
      <c r="C6717" s="207" t="s">
        <v>7370</v>
      </c>
      <c r="D6717" s="208" t="s">
        <v>580</v>
      </c>
      <c r="E6717" s="209">
        <v>3051.62</v>
      </c>
      <c r="F6717" s="209">
        <v>1913.58</v>
      </c>
      <c r="G6717" s="209">
        <v>4965.2</v>
      </c>
      <c r="H6717" s="198"/>
    </row>
    <row r="6718" spans="1:8" ht="15.75" hidden="1" customHeight="1" x14ac:dyDescent="0.25">
      <c r="A6718" s="205" t="s">
        <v>7270</v>
      </c>
      <c r="B6718" s="206">
        <v>99274</v>
      </c>
      <c r="C6718" s="207" t="s">
        <v>7371</v>
      </c>
      <c r="D6718" s="208" t="s">
        <v>580</v>
      </c>
      <c r="E6718" s="209">
        <v>3544.99</v>
      </c>
      <c r="F6718" s="209">
        <v>2189.37</v>
      </c>
      <c r="G6718" s="209">
        <v>5734.36</v>
      </c>
      <c r="H6718" s="198"/>
    </row>
    <row r="6719" spans="1:8" ht="15.75" hidden="1" customHeight="1" x14ac:dyDescent="0.25">
      <c r="A6719" s="205" t="s">
        <v>7270</v>
      </c>
      <c r="B6719" s="206">
        <v>99279</v>
      </c>
      <c r="C6719" s="207" t="s">
        <v>7372</v>
      </c>
      <c r="D6719" s="208" t="s">
        <v>580</v>
      </c>
      <c r="E6719" s="209">
        <v>4006.47</v>
      </c>
      <c r="F6719" s="209">
        <v>2464.9699999999998</v>
      </c>
      <c r="G6719" s="209">
        <v>6471.44</v>
      </c>
      <c r="H6719" s="198"/>
    </row>
    <row r="6720" spans="1:8" ht="15.75" hidden="1" customHeight="1" x14ac:dyDescent="0.25">
      <c r="A6720" s="205" t="s">
        <v>7270</v>
      </c>
      <c r="B6720" s="206">
        <v>99286</v>
      </c>
      <c r="C6720" s="207" t="s">
        <v>7373</v>
      </c>
      <c r="D6720" s="208" t="s">
        <v>580</v>
      </c>
      <c r="E6720" s="209">
        <v>4468.6499999999996</v>
      </c>
      <c r="F6720" s="209">
        <v>2740</v>
      </c>
      <c r="G6720" s="209">
        <v>7208.65</v>
      </c>
      <c r="H6720" s="198"/>
    </row>
    <row r="6721" spans="1:8" ht="15.75" hidden="1" customHeight="1" x14ac:dyDescent="0.25">
      <c r="A6721" s="205" t="s">
        <v>7270</v>
      </c>
      <c r="B6721" s="206">
        <v>99326</v>
      </c>
      <c r="C6721" s="207" t="s">
        <v>7374</v>
      </c>
      <c r="D6721" s="208" t="s">
        <v>580</v>
      </c>
      <c r="E6721" s="209">
        <v>5671.91</v>
      </c>
      <c r="F6721" s="209">
        <v>3056.79</v>
      </c>
      <c r="G6721" s="209">
        <v>8728.7000000000007</v>
      </c>
      <c r="H6721" s="198"/>
    </row>
    <row r="6722" spans="1:8" ht="15.75" hidden="1" customHeight="1" x14ac:dyDescent="0.25">
      <c r="A6722" s="205" t="s">
        <v>7270</v>
      </c>
      <c r="B6722" s="206">
        <v>99287</v>
      </c>
      <c r="C6722" s="207" t="s">
        <v>7375</v>
      </c>
      <c r="D6722" s="208" t="s">
        <v>580</v>
      </c>
      <c r="E6722" s="209">
        <v>6550.48</v>
      </c>
      <c r="F6722" s="209">
        <v>3482.41</v>
      </c>
      <c r="G6722" s="209">
        <v>10032.89</v>
      </c>
      <c r="H6722" s="198"/>
    </row>
    <row r="6723" spans="1:8" ht="15.75" hidden="1" customHeight="1" x14ac:dyDescent="0.25">
      <c r="A6723" s="205" t="s">
        <v>7270</v>
      </c>
      <c r="B6723" s="206">
        <v>99298</v>
      </c>
      <c r="C6723" s="207" t="s">
        <v>7376</v>
      </c>
      <c r="D6723" s="208" t="s">
        <v>580</v>
      </c>
      <c r="E6723" s="209">
        <v>7429.24</v>
      </c>
      <c r="F6723" s="209">
        <v>3907.91</v>
      </c>
      <c r="G6723" s="209">
        <v>11337.15</v>
      </c>
      <c r="H6723" s="198"/>
    </row>
    <row r="6724" spans="1:8" ht="15.75" hidden="1" customHeight="1" x14ac:dyDescent="0.25">
      <c r="A6724" s="205" t="s">
        <v>7270</v>
      </c>
      <c r="B6724" s="206">
        <v>99300</v>
      </c>
      <c r="C6724" s="207" t="s">
        <v>7377</v>
      </c>
      <c r="D6724" s="208" t="s">
        <v>580</v>
      </c>
      <c r="E6724" s="209">
        <v>8307.91</v>
      </c>
      <c r="F6724" s="209">
        <v>4333.46</v>
      </c>
      <c r="G6724" s="209">
        <v>12641.37</v>
      </c>
      <c r="H6724" s="198"/>
    </row>
    <row r="6725" spans="1:8" ht="15.75" hidden="1" customHeight="1" x14ac:dyDescent="0.25">
      <c r="A6725" s="205" t="s">
        <v>7270</v>
      </c>
      <c r="B6725" s="206">
        <v>99301</v>
      </c>
      <c r="C6725" s="207" t="s">
        <v>7378</v>
      </c>
      <c r="D6725" s="208" t="s">
        <v>580</v>
      </c>
      <c r="E6725" s="209">
        <v>4004.68</v>
      </c>
      <c r="F6725" s="209">
        <v>2334.84</v>
      </c>
      <c r="G6725" s="209">
        <v>6339.52</v>
      </c>
      <c r="H6725" s="198"/>
    </row>
    <row r="6726" spans="1:8" ht="15.75" hidden="1" customHeight="1" x14ac:dyDescent="0.25">
      <c r="A6726" s="205" t="s">
        <v>7270</v>
      </c>
      <c r="B6726" s="206">
        <v>99312</v>
      </c>
      <c r="C6726" s="207" t="s">
        <v>7379</v>
      </c>
      <c r="D6726" s="208" t="s">
        <v>580</v>
      </c>
      <c r="E6726" s="209">
        <v>4712.9399999999996</v>
      </c>
      <c r="F6726" s="209">
        <v>2710.17</v>
      </c>
      <c r="G6726" s="209">
        <v>7423.11</v>
      </c>
      <c r="H6726" s="198"/>
    </row>
    <row r="6727" spans="1:8" ht="15.75" hidden="1" customHeight="1" x14ac:dyDescent="0.25">
      <c r="A6727" s="205" t="s">
        <v>7270</v>
      </c>
      <c r="B6727" s="206">
        <v>99320</v>
      </c>
      <c r="C6727" s="207" t="s">
        <v>7380</v>
      </c>
      <c r="D6727" s="208" t="s">
        <v>580</v>
      </c>
      <c r="E6727" s="209">
        <v>5486.23</v>
      </c>
      <c r="F6727" s="209">
        <v>3084.66</v>
      </c>
      <c r="G6727" s="209">
        <v>8570.89</v>
      </c>
      <c r="H6727" s="198"/>
    </row>
    <row r="6728" spans="1:8" ht="15.75" hidden="1" customHeight="1" x14ac:dyDescent="0.25">
      <c r="A6728" s="205" t="s">
        <v>7270</v>
      </c>
      <c r="B6728" s="206">
        <v>99322</v>
      </c>
      <c r="C6728" s="207" t="s">
        <v>7381</v>
      </c>
      <c r="D6728" s="208" t="s">
        <v>580</v>
      </c>
      <c r="E6728" s="209">
        <v>6203.38</v>
      </c>
      <c r="F6728" s="209">
        <v>3459.2</v>
      </c>
      <c r="G6728" s="209">
        <v>9662.58</v>
      </c>
      <c r="H6728" s="198"/>
    </row>
    <row r="6729" spans="1:8" ht="15.75" hidden="1" customHeight="1" x14ac:dyDescent="0.25">
      <c r="A6729" s="205" t="s">
        <v>7270</v>
      </c>
      <c r="B6729" s="206">
        <v>99324</v>
      </c>
      <c r="C6729" s="207" t="s">
        <v>7382</v>
      </c>
      <c r="D6729" s="208" t="s">
        <v>580</v>
      </c>
      <c r="E6729" s="209">
        <v>6920.43</v>
      </c>
      <c r="F6729" s="209">
        <v>3833.92</v>
      </c>
      <c r="G6729" s="209">
        <v>10754.35</v>
      </c>
      <c r="H6729" s="198"/>
    </row>
    <row r="6730" spans="1:8" ht="15.75" hidden="1" customHeight="1" x14ac:dyDescent="0.25">
      <c r="A6730" s="205" t="s">
        <v>7270</v>
      </c>
      <c r="B6730" s="206">
        <v>99310</v>
      </c>
      <c r="C6730" s="207" t="s">
        <v>7383</v>
      </c>
      <c r="D6730" s="208" t="s">
        <v>580</v>
      </c>
      <c r="E6730" s="209">
        <v>9817.2900000000009</v>
      </c>
      <c r="F6730" s="209">
        <v>4961.1000000000004</v>
      </c>
      <c r="G6730" s="209">
        <v>14778.39</v>
      </c>
      <c r="H6730" s="198"/>
    </row>
    <row r="6731" spans="1:8" ht="15.75" hidden="1" customHeight="1" x14ac:dyDescent="0.25">
      <c r="A6731" s="205" t="s">
        <v>7270</v>
      </c>
      <c r="B6731" s="206">
        <v>99313</v>
      </c>
      <c r="C6731" s="207" t="s">
        <v>7384</v>
      </c>
      <c r="D6731" s="208" t="s">
        <v>580</v>
      </c>
      <c r="E6731" s="209">
        <v>10974.49</v>
      </c>
      <c r="F6731" s="209">
        <v>5486.42</v>
      </c>
      <c r="G6731" s="209">
        <v>16460.91</v>
      </c>
      <c r="H6731" s="198"/>
    </row>
    <row r="6732" spans="1:8" ht="15.75" hidden="1" customHeight="1" x14ac:dyDescent="0.25">
      <c r="A6732" s="205" t="s">
        <v>7270</v>
      </c>
      <c r="B6732" s="206">
        <v>99303</v>
      </c>
      <c r="C6732" s="207" t="s">
        <v>7385</v>
      </c>
      <c r="D6732" s="208" t="s">
        <v>580</v>
      </c>
      <c r="E6732" s="209">
        <v>7605.85</v>
      </c>
      <c r="F6732" s="209">
        <v>3958.45</v>
      </c>
      <c r="G6732" s="209">
        <v>11564.3</v>
      </c>
      <c r="H6732" s="198"/>
    </row>
    <row r="6733" spans="1:8" ht="15.75" hidden="1" customHeight="1" x14ac:dyDescent="0.25">
      <c r="A6733" s="205" t="s">
        <v>7270</v>
      </c>
      <c r="B6733" s="206">
        <v>99305</v>
      </c>
      <c r="C6733" s="207" t="s">
        <v>7386</v>
      </c>
      <c r="D6733" s="208" t="s">
        <v>580</v>
      </c>
      <c r="E6733" s="209">
        <v>8623.33</v>
      </c>
      <c r="F6733" s="209">
        <v>4434.3999999999996</v>
      </c>
      <c r="G6733" s="209">
        <v>13057.73</v>
      </c>
      <c r="H6733" s="198"/>
    </row>
    <row r="6734" spans="1:8" ht="15.75" hidden="1" customHeight="1" x14ac:dyDescent="0.25">
      <c r="A6734" s="205" t="s">
        <v>7270</v>
      </c>
      <c r="B6734" s="206">
        <v>99308</v>
      </c>
      <c r="C6734" s="207" t="s">
        <v>7387</v>
      </c>
      <c r="D6734" s="208" t="s">
        <v>580</v>
      </c>
      <c r="E6734" s="209">
        <v>9641.6200000000008</v>
      </c>
      <c r="F6734" s="209">
        <v>4909.5600000000004</v>
      </c>
      <c r="G6734" s="209">
        <v>14551.18</v>
      </c>
      <c r="H6734" s="198"/>
    </row>
    <row r="6735" spans="1:8" ht="15.75" hidden="1" customHeight="1" x14ac:dyDescent="0.25">
      <c r="A6735" s="205" t="s">
        <v>7270</v>
      </c>
      <c r="B6735" s="206">
        <v>99315</v>
      </c>
      <c r="C6735" s="207" t="s">
        <v>7388</v>
      </c>
      <c r="D6735" s="208" t="s">
        <v>580</v>
      </c>
      <c r="E6735" s="209">
        <v>12308.38</v>
      </c>
      <c r="F6735" s="209">
        <v>6062.33</v>
      </c>
      <c r="G6735" s="209">
        <v>18370.71</v>
      </c>
      <c r="H6735" s="198"/>
    </row>
    <row r="6736" spans="1:8" ht="15.75" hidden="1" customHeight="1" x14ac:dyDescent="0.25">
      <c r="A6736" s="205" t="s">
        <v>7270</v>
      </c>
      <c r="B6736" s="206">
        <v>98008</v>
      </c>
      <c r="C6736" s="207" t="s">
        <v>7389</v>
      </c>
      <c r="D6736" s="208" t="s">
        <v>580</v>
      </c>
      <c r="E6736" s="209">
        <v>2773.71</v>
      </c>
      <c r="F6736" s="209">
        <v>1635.3</v>
      </c>
      <c r="G6736" s="209">
        <v>4409.01</v>
      </c>
      <c r="H6736" s="198"/>
    </row>
    <row r="6737" spans="1:8" ht="15.75" hidden="1" customHeight="1" x14ac:dyDescent="0.25">
      <c r="A6737" s="205" t="s">
        <v>7270</v>
      </c>
      <c r="B6737" s="206">
        <v>98010</v>
      </c>
      <c r="C6737" s="207" t="s">
        <v>7390</v>
      </c>
      <c r="D6737" s="208" t="s">
        <v>580</v>
      </c>
      <c r="E6737" s="209">
        <v>3413.66</v>
      </c>
      <c r="F6737" s="209">
        <v>1962.17</v>
      </c>
      <c r="G6737" s="209">
        <v>5375.83</v>
      </c>
      <c r="H6737" s="198"/>
    </row>
    <row r="6738" spans="1:8" ht="15.75" hidden="1" customHeight="1" x14ac:dyDescent="0.25">
      <c r="A6738" s="205" t="s">
        <v>7270</v>
      </c>
      <c r="B6738" s="206">
        <v>98012</v>
      </c>
      <c r="C6738" s="207" t="s">
        <v>7391</v>
      </c>
      <c r="D6738" s="208" t="s">
        <v>580</v>
      </c>
      <c r="E6738" s="209">
        <v>4025.61</v>
      </c>
      <c r="F6738" s="209">
        <v>2288.0700000000002</v>
      </c>
      <c r="G6738" s="209">
        <v>6313.68</v>
      </c>
      <c r="H6738" s="198"/>
    </row>
    <row r="6739" spans="1:8" ht="15.75" hidden="1" customHeight="1" x14ac:dyDescent="0.25">
      <c r="A6739" s="205" t="s">
        <v>7270</v>
      </c>
      <c r="B6739" s="206">
        <v>98014</v>
      </c>
      <c r="C6739" s="207" t="s">
        <v>7392</v>
      </c>
      <c r="D6739" s="208" t="s">
        <v>580</v>
      </c>
      <c r="E6739" s="209">
        <v>4636.5600000000004</v>
      </c>
      <c r="F6739" s="209">
        <v>2614.86</v>
      </c>
      <c r="G6739" s="209">
        <v>7251.42</v>
      </c>
      <c r="H6739" s="198"/>
    </row>
    <row r="6740" spans="1:8" ht="15.75" hidden="1" customHeight="1" x14ac:dyDescent="0.25">
      <c r="A6740" s="205" t="s">
        <v>7270</v>
      </c>
      <c r="B6740" s="206">
        <v>98016</v>
      </c>
      <c r="C6740" s="207" t="s">
        <v>7393</v>
      </c>
      <c r="D6740" s="208" t="s">
        <v>580</v>
      </c>
      <c r="E6740" s="209">
        <v>5247.72</v>
      </c>
      <c r="F6740" s="209">
        <v>2941.6</v>
      </c>
      <c r="G6740" s="209">
        <v>8189.32</v>
      </c>
      <c r="H6740" s="198"/>
    </row>
    <row r="6741" spans="1:8" ht="15.75" hidden="1" customHeight="1" x14ac:dyDescent="0.25">
      <c r="A6741" s="205" t="s">
        <v>7270</v>
      </c>
      <c r="B6741" s="206">
        <v>98018</v>
      </c>
      <c r="C6741" s="207" t="s">
        <v>7394</v>
      </c>
      <c r="D6741" s="208" t="s">
        <v>580</v>
      </c>
      <c r="E6741" s="209">
        <v>5859.6</v>
      </c>
      <c r="F6741" s="209">
        <v>3267.49</v>
      </c>
      <c r="G6741" s="209">
        <v>9127.09</v>
      </c>
      <c r="H6741" s="198"/>
    </row>
    <row r="6742" spans="1:8" ht="15.75" hidden="1" customHeight="1" x14ac:dyDescent="0.25">
      <c r="A6742" s="205" t="s">
        <v>7270</v>
      </c>
      <c r="B6742" s="206">
        <v>97996</v>
      </c>
      <c r="C6742" s="207" t="s">
        <v>7395</v>
      </c>
      <c r="D6742" s="208" t="s">
        <v>580</v>
      </c>
      <c r="E6742" s="209">
        <v>2210.87</v>
      </c>
      <c r="F6742" s="209">
        <v>1367.16</v>
      </c>
      <c r="G6742" s="209">
        <v>3578.03</v>
      </c>
      <c r="H6742" s="198"/>
    </row>
    <row r="6743" spans="1:8" ht="15.75" hidden="1" customHeight="1" x14ac:dyDescent="0.25">
      <c r="A6743" s="205" t="s">
        <v>7270</v>
      </c>
      <c r="B6743" s="206">
        <v>98407</v>
      </c>
      <c r="C6743" s="207" t="s">
        <v>7396</v>
      </c>
      <c r="D6743" s="208" t="s">
        <v>580</v>
      </c>
      <c r="E6743" s="209">
        <v>2683.81</v>
      </c>
      <c r="F6743" s="209">
        <v>1643.51</v>
      </c>
      <c r="G6743" s="209">
        <v>4327.32</v>
      </c>
      <c r="H6743" s="198"/>
    </row>
    <row r="6744" spans="1:8" ht="15.75" hidden="1" customHeight="1" x14ac:dyDescent="0.25">
      <c r="A6744" s="205" t="s">
        <v>7270</v>
      </c>
      <c r="B6744" s="206">
        <v>98408</v>
      </c>
      <c r="C6744" s="207" t="s">
        <v>7397</v>
      </c>
      <c r="D6744" s="208" t="s">
        <v>580</v>
      </c>
      <c r="E6744" s="209">
        <v>3156.7</v>
      </c>
      <c r="F6744" s="209">
        <v>1920</v>
      </c>
      <c r="G6744" s="209">
        <v>5076.7</v>
      </c>
      <c r="H6744" s="198"/>
    </row>
    <row r="6745" spans="1:8" ht="15.75" hidden="1" customHeight="1" x14ac:dyDescent="0.25">
      <c r="A6745" s="205" t="s">
        <v>7270</v>
      </c>
      <c r="B6745" s="206">
        <v>98002</v>
      </c>
      <c r="C6745" s="207" t="s">
        <v>7398</v>
      </c>
      <c r="D6745" s="208" t="s">
        <v>580</v>
      </c>
      <c r="E6745" s="209">
        <v>3666.52</v>
      </c>
      <c r="F6745" s="209">
        <v>2196.15</v>
      </c>
      <c r="G6745" s="209">
        <v>5862.67</v>
      </c>
      <c r="H6745" s="198"/>
    </row>
    <row r="6746" spans="1:8" ht="15.75" hidden="1" customHeight="1" x14ac:dyDescent="0.25">
      <c r="A6746" s="205" t="s">
        <v>7270</v>
      </c>
      <c r="B6746" s="206">
        <v>98406</v>
      </c>
      <c r="C6746" s="207" t="s">
        <v>7399</v>
      </c>
      <c r="D6746" s="208" t="s">
        <v>580</v>
      </c>
      <c r="E6746" s="209">
        <v>4143.9799999999996</v>
      </c>
      <c r="F6746" s="209">
        <v>2472.62</v>
      </c>
      <c r="G6746" s="209">
        <v>6616.6</v>
      </c>
      <c r="H6746" s="198"/>
    </row>
    <row r="6747" spans="1:8" ht="15.75" hidden="1" customHeight="1" x14ac:dyDescent="0.25">
      <c r="A6747" s="205" t="s">
        <v>7270</v>
      </c>
      <c r="B6747" s="206">
        <v>98006</v>
      </c>
      <c r="C6747" s="207" t="s">
        <v>7400</v>
      </c>
      <c r="D6747" s="208" t="s">
        <v>580</v>
      </c>
      <c r="E6747" s="209">
        <v>4621.38</v>
      </c>
      <c r="F6747" s="209">
        <v>2749.24</v>
      </c>
      <c r="G6747" s="209">
        <v>7370.62</v>
      </c>
      <c r="H6747" s="198"/>
    </row>
    <row r="6748" spans="1:8" ht="15.75" hidden="1" customHeight="1" x14ac:dyDescent="0.25">
      <c r="A6748" s="205" t="s">
        <v>7270</v>
      </c>
      <c r="B6748" s="206">
        <v>98030</v>
      </c>
      <c r="C6748" s="207" t="s">
        <v>7401</v>
      </c>
      <c r="D6748" s="208" t="s">
        <v>580</v>
      </c>
      <c r="E6748" s="209">
        <v>5859.03</v>
      </c>
      <c r="F6748" s="209">
        <v>3068.33</v>
      </c>
      <c r="G6748" s="209">
        <v>8927.36</v>
      </c>
      <c r="H6748" s="198"/>
    </row>
    <row r="6749" spans="1:8" ht="15.75" hidden="1" customHeight="1" x14ac:dyDescent="0.25">
      <c r="A6749" s="205" t="s">
        <v>7270</v>
      </c>
      <c r="B6749" s="206">
        <v>98032</v>
      </c>
      <c r="C6749" s="207" t="s">
        <v>7402</v>
      </c>
      <c r="D6749" s="208" t="s">
        <v>580</v>
      </c>
      <c r="E6749" s="209">
        <v>6767.02</v>
      </c>
      <c r="F6749" s="209">
        <v>3495.37</v>
      </c>
      <c r="G6749" s="209">
        <v>10262.39</v>
      </c>
      <c r="H6749" s="198"/>
    </row>
    <row r="6750" spans="1:8" ht="15.75" hidden="1" customHeight="1" x14ac:dyDescent="0.25">
      <c r="A6750" s="205" t="s">
        <v>7270</v>
      </c>
      <c r="B6750" s="206">
        <v>98034</v>
      </c>
      <c r="C6750" s="207" t="s">
        <v>7403</v>
      </c>
      <c r="D6750" s="208" t="s">
        <v>580</v>
      </c>
      <c r="E6750" s="209">
        <v>7675.22</v>
      </c>
      <c r="F6750" s="209">
        <v>3922.26</v>
      </c>
      <c r="G6750" s="209">
        <v>11597.48</v>
      </c>
      <c r="H6750" s="198"/>
    </row>
    <row r="6751" spans="1:8" ht="15.75" hidden="1" customHeight="1" x14ac:dyDescent="0.25">
      <c r="A6751" s="205" t="s">
        <v>7270</v>
      </c>
      <c r="B6751" s="206">
        <v>98036</v>
      </c>
      <c r="C6751" s="207" t="s">
        <v>7404</v>
      </c>
      <c r="D6751" s="208" t="s">
        <v>580</v>
      </c>
      <c r="E6751" s="209">
        <v>8582.0400000000009</v>
      </c>
      <c r="F6751" s="209">
        <v>4350.5</v>
      </c>
      <c r="G6751" s="209">
        <v>12932.54</v>
      </c>
      <c r="H6751" s="198"/>
    </row>
    <row r="6752" spans="1:8" ht="15.75" hidden="1" customHeight="1" x14ac:dyDescent="0.25">
      <c r="A6752" s="205" t="s">
        <v>7270</v>
      </c>
      <c r="B6752" s="206">
        <v>98020</v>
      </c>
      <c r="C6752" s="207" t="s">
        <v>7405</v>
      </c>
      <c r="D6752" s="208" t="s">
        <v>580</v>
      </c>
      <c r="E6752" s="209">
        <v>4139.45</v>
      </c>
      <c r="F6752" s="209">
        <v>2342.61</v>
      </c>
      <c r="G6752" s="209">
        <v>6482.06</v>
      </c>
      <c r="H6752" s="198"/>
    </row>
    <row r="6753" spans="1:8" ht="15.75" hidden="1" customHeight="1" x14ac:dyDescent="0.25">
      <c r="A6753" s="205" t="s">
        <v>7270</v>
      </c>
      <c r="B6753" s="206">
        <v>98022</v>
      </c>
      <c r="C6753" s="207" t="s">
        <v>7406</v>
      </c>
      <c r="D6753" s="208" t="s">
        <v>580</v>
      </c>
      <c r="E6753" s="209">
        <v>4871.59</v>
      </c>
      <c r="F6753" s="209">
        <v>2718.91</v>
      </c>
      <c r="G6753" s="209">
        <v>7590.5</v>
      </c>
      <c r="H6753" s="198"/>
    </row>
    <row r="6754" spans="1:8" ht="15.75" hidden="1" customHeight="1" x14ac:dyDescent="0.25">
      <c r="A6754" s="205" t="s">
        <v>7270</v>
      </c>
      <c r="B6754" s="206">
        <v>98024</v>
      </c>
      <c r="C6754" s="207" t="s">
        <v>7407</v>
      </c>
      <c r="D6754" s="208" t="s">
        <v>580</v>
      </c>
      <c r="E6754" s="209">
        <v>5668</v>
      </c>
      <c r="F6754" s="209">
        <v>3095.14</v>
      </c>
      <c r="G6754" s="209">
        <v>8763.14</v>
      </c>
      <c r="H6754" s="198"/>
    </row>
    <row r="6755" spans="1:8" ht="15.75" hidden="1" customHeight="1" x14ac:dyDescent="0.25">
      <c r="A6755" s="205" t="s">
        <v>7270</v>
      </c>
      <c r="B6755" s="206">
        <v>98026</v>
      </c>
      <c r="C6755" s="207" t="s">
        <v>7408</v>
      </c>
      <c r="D6755" s="208" t="s">
        <v>580</v>
      </c>
      <c r="E6755" s="209">
        <v>6407.97</v>
      </c>
      <c r="F6755" s="209">
        <v>3471.72</v>
      </c>
      <c r="G6755" s="209">
        <v>9879.69</v>
      </c>
      <c r="H6755" s="198"/>
    </row>
    <row r="6756" spans="1:8" ht="15.75" hidden="1" customHeight="1" x14ac:dyDescent="0.25">
      <c r="A6756" s="205" t="s">
        <v>7270</v>
      </c>
      <c r="B6756" s="206">
        <v>98028</v>
      </c>
      <c r="C6756" s="207" t="s">
        <v>7409</v>
      </c>
      <c r="D6756" s="208" t="s">
        <v>580</v>
      </c>
      <c r="E6756" s="209">
        <v>7148.71</v>
      </c>
      <c r="F6756" s="209">
        <v>3847.61</v>
      </c>
      <c r="G6756" s="209">
        <v>10996.32</v>
      </c>
      <c r="H6756" s="198"/>
    </row>
    <row r="6757" spans="1:8" ht="15.75" hidden="1" customHeight="1" x14ac:dyDescent="0.25">
      <c r="A6757" s="205" t="s">
        <v>7270</v>
      </c>
      <c r="B6757" s="206">
        <v>98044</v>
      </c>
      <c r="C6757" s="207" t="s">
        <v>7410</v>
      </c>
      <c r="D6757" s="208" t="s">
        <v>580</v>
      </c>
      <c r="E6757" s="209">
        <v>10141.780000000001</v>
      </c>
      <c r="F6757" s="209">
        <v>4979.3999999999996</v>
      </c>
      <c r="G6757" s="209">
        <v>15121.18</v>
      </c>
      <c r="H6757" s="198"/>
    </row>
    <row r="6758" spans="1:8" ht="15.75" hidden="1" customHeight="1" x14ac:dyDescent="0.25">
      <c r="A6758" s="205" t="s">
        <v>7270</v>
      </c>
      <c r="B6758" s="206">
        <v>98046</v>
      </c>
      <c r="C6758" s="207" t="s">
        <v>7411</v>
      </c>
      <c r="D6758" s="208" t="s">
        <v>580</v>
      </c>
      <c r="E6758" s="209">
        <v>11335.69</v>
      </c>
      <c r="F6758" s="209">
        <v>5507.82</v>
      </c>
      <c r="G6758" s="209">
        <v>16843.509999999998</v>
      </c>
      <c r="H6758" s="198"/>
    </row>
    <row r="6759" spans="1:8" ht="15.75" hidden="1" customHeight="1" x14ac:dyDescent="0.25">
      <c r="A6759" s="205" t="s">
        <v>7270</v>
      </c>
      <c r="B6759" s="206">
        <v>98038</v>
      </c>
      <c r="C6759" s="207" t="s">
        <v>7412</v>
      </c>
      <c r="D6759" s="208" t="s">
        <v>580</v>
      </c>
      <c r="E6759" s="209">
        <v>7856.66</v>
      </c>
      <c r="F6759" s="209">
        <v>3973.87</v>
      </c>
      <c r="G6759" s="209">
        <v>11830.53</v>
      </c>
      <c r="H6759" s="198"/>
    </row>
    <row r="6760" spans="1:8" ht="15.75" hidden="1" customHeight="1" x14ac:dyDescent="0.25">
      <c r="A6760" s="205" t="s">
        <v>7270</v>
      </c>
      <c r="B6760" s="206">
        <v>98040</v>
      </c>
      <c r="C6760" s="207" t="s">
        <v>7413</v>
      </c>
      <c r="D6760" s="208" t="s">
        <v>580</v>
      </c>
      <c r="E6760" s="209">
        <v>8907.9699999999993</v>
      </c>
      <c r="F6760" s="209">
        <v>4451.3100000000004</v>
      </c>
      <c r="G6760" s="209">
        <v>13359.28</v>
      </c>
      <c r="H6760" s="198"/>
    </row>
    <row r="6761" spans="1:8" ht="15.75" hidden="1" customHeight="1" x14ac:dyDescent="0.25">
      <c r="A6761" s="205" t="s">
        <v>7270</v>
      </c>
      <c r="B6761" s="206">
        <v>98042</v>
      </c>
      <c r="C6761" s="207" t="s">
        <v>7414</v>
      </c>
      <c r="D6761" s="208" t="s">
        <v>580</v>
      </c>
      <c r="E6761" s="209">
        <v>9960.1200000000008</v>
      </c>
      <c r="F6761" s="209">
        <v>4927.9399999999996</v>
      </c>
      <c r="G6761" s="209">
        <v>14888.06</v>
      </c>
      <c r="H6761" s="198"/>
    </row>
    <row r="6762" spans="1:8" ht="15.75" hidden="1" customHeight="1" x14ac:dyDescent="0.25">
      <c r="A6762" s="205" t="s">
        <v>7270</v>
      </c>
      <c r="B6762" s="206">
        <v>98048</v>
      </c>
      <c r="C6762" s="207" t="s">
        <v>7415</v>
      </c>
      <c r="D6762" s="208" t="s">
        <v>580</v>
      </c>
      <c r="E6762" s="209">
        <v>12713.79</v>
      </c>
      <c r="F6762" s="209">
        <v>6085.24</v>
      </c>
      <c r="G6762" s="209">
        <v>18799.03</v>
      </c>
      <c r="H6762" s="198"/>
    </row>
    <row r="6763" spans="1:8" ht="15.75" hidden="1" customHeight="1" x14ac:dyDescent="0.25">
      <c r="A6763" s="205" t="s">
        <v>7270</v>
      </c>
      <c r="B6763" s="206">
        <v>97955</v>
      </c>
      <c r="C6763" s="207" t="s">
        <v>7416</v>
      </c>
      <c r="D6763" s="208" t="s">
        <v>580</v>
      </c>
      <c r="E6763" s="209">
        <v>2394.7199999999998</v>
      </c>
      <c r="F6763" s="209">
        <v>835.71</v>
      </c>
      <c r="G6763" s="209">
        <v>3230.43</v>
      </c>
      <c r="H6763" s="198"/>
    </row>
    <row r="6764" spans="1:8" ht="15.75" hidden="1" customHeight="1" x14ac:dyDescent="0.25">
      <c r="A6764" s="205" t="s">
        <v>7270</v>
      </c>
      <c r="B6764" s="206">
        <v>97948</v>
      </c>
      <c r="C6764" s="207" t="s">
        <v>7417</v>
      </c>
      <c r="D6764" s="208" t="s">
        <v>580</v>
      </c>
      <c r="E6764" s="209">
        <v>2521.52</v>
      </c>
      <c r="F6764" s="209">
        <v>1076.53</v>
      </c>
      <c r="G6764" s="209">
        <v>3598.05</v>
      </c>
      <c r="H6764" s="198"/>
    </row>
    <row r="6765" spans="1:8" ht="15.75" hidden="1" customHeight="1" x14ac:dyDescent="0.25">
      <c r="A6765" s="205" t="s">
        <v>7270</v>
      </c>
      <c r="B6765" s="206">
        <v>97934</v>
      </c>
      <c r="C6765" s="207" t="s">
        <v>7418</v>
      </c>
      <c r="D6765" s="208" t="s">
        <v>580</v>
      </c>
      <c r="E6765" s="209">
        <v>2002.11</v>
      </c>
      <c r="F6765" s="209">
        <v>541.54</v>
      </c>
      <c r="G6765" s="209">
        <v>2543.65</v>
      </c>
      <c r="H6765" s="198"/>
    </row>
    <row r="6766" spans="1:8" ht="15.75" hidden="1" customHeight="1" x14ac:dyDescent="0.25">
      <c r="A6766" s="205" t="s">
        <v>7270</v>
      </c>
      <c r="B6766" s="206">
        <v>97953</v>
      </c>
      <c r="C6766" s="207" t="s">
        <v>7419</v>
      </c>
      <c r="D6766" s="208" t="s">
        <v>580</v>
      </c>
      <c r="E6766" s="209">
        <v>1097.3499999999999</v>
      </c>
      <c r="F6766" s="209">
        <v>401.76</v>
      </c>
      <c r="G6766" s="209">
        <v>1499.11</v>
      </c>
      <c r="H6766" s="198"/>
    </row>
    <row r="6767" spans="1:8" ht="15.75" hidden="1" customHeight="1" x14ac:dyDescent="0.25">
      <c r="A6767" s="205" t="s">
        <v>7270</v>
      </c>
      <c r="B6767" s="206">
        <v>97947</v>
      </c>
      <c r="C6767" s="207" t="s">
        <v>7420</v>
      </c>
      <c r="D6767" s="208" t="s">
        <v>580</v>
      </c>
      <c r="E6767" s="209">
        <v>1356.29</v>
      </c>
      <c r="F6767" s="209">
        <v>592.66999999999996</v>
      </c>
      <c r="G6767" s="209">
        <v>1948.96</v>
      </c>
      <c r="H6767" s="198"/>
    </row>
    <row r="6768" spans="1:8" ht="15.75" hidden="1" customHeight="1" x14ac:dyDescent="0.25">
      <c r="A6768" s="205" t="s">
        <v>7270</v>
      </c>
      <c r="B6768" s="206">
        <v>97933</v>
      </c>
      <c r="C6768" s="207" t="s">
        <v>7421</v>
      </c>
      <c r="D6768" s="208" t="s">
        <v>580</v>
      </c>
      <c r="E6768" s="209">
        <v>1124.92</v>
      </c>
      <c r="F6768" s="209">
        <v>35.14</v>
      </c>
      <c r="G6768" s="209">
        <v>1160.06</v>
      </c>
      <c r="H6768" s="198"/>
    </row>
    <row r="6769" spans="1:8" ht="15.75" hidden="1" customHeight="1" x14ac:dyDescent="0.25">
      <c r="A6769" s="205" t="s">
        <v>7270</v>
      </c>
      <c r="B6769" s="206">
        <v>97961</v>
      </c>
      <c r="C6769" s="207" t="s">
        <v>7422</v>
      </c>
      <c r="D6769" s="208" t="s">
        <v>580</v>
      </c>
      <c r="E6769" s="209">
        <v>1790.11</v>
      </c>
      <c r="F6769" s="209">
        <v>829.3</v>
      </c>
      <c r="G6769" s="209">
        <v>2619.41</v>
      </c>
      <c r="H6769" s="198"/>
    </row>
    <row r="6770" spans="1:8" ht="15.75" hidden="1" customHeight="1" x14ac:dyDescent="0.25">
      <c r="A6770" s="205" t="s">
        <v>7270</v>
      </c>
      <c r="B6770" s="206">
        <v>97951</v>
      </c>
      <c r="C6770" s="207" t="s">
        <v>7423</v>
      </c>
      <c r="D6770" s="208" t="s">
        <v>580</v>
      </c>
      <c r="E6770" s="209">
        <v>2057.59</v>
      </c>
      <c r="F6770" s="209">
        <v>1093.3900000000001</v>
      </c>
      <c r="G6770" s="209">
        <v>3150.98</v>
      </c>
      <c r="H6770" s="198"/>
    </row>
    <row r="6771" spans="1:8" ht="15.75" hidden="1" customHeight="1" x14ac:dyDescent="0.25">
      <c r="A6771" s="205" t="s">
        <v>7270</v>
      </c>
      <c r="B6771" s="206">
        <v>97973</v>
      </c>
      <c r="C6771" s="207" t="s">
        <v>7424</v>
      </c>
      <c r="D6771" s="208" t="s">
        <v>580</v>
      </c>
      <c r="E6771" s="209">
        <v>3385.28</v>
      </c>
      <c r="F6771" s="209">
        <v>1514.53</v>
      </c>
      <c r="G6771" s="209">
        <v>4899.8100000000004</v>
      </c>
      <c r="H6771" s="198"/>
    </row>
    <row r="6772" spans="1:8" ht="15.75" hidden="1" customHeight="1" x14ac:dyDescent="0.25">
      <c r="A6772" s="205" t="s">
        <v>7270</v>
      </c>
      <c r="B6772" s="206">
        <v>97952</v>
      </c>
      <c r="C6772" s="207" t="s">
        <v>7425</v>
      </c>
      <c r="D6772" s="208" t="s">
        <v>580</v>
      </c>
      <c r="E6772" s="209">
        <v>3597.97</v>
      </c>
      <c r="F6772" s="209">
        <v>1863.42</v>
      </c>
      <c r="G6772" s="209">
        <v>5461.39</v>
      </c>
      <c r="H6772" s="198"/>
    </row>
    <row r="6773" spans="1:8" ht="15.75" hidden="1" customHeight="1" x14ac:dyDescent="0.25">
      <c r="A6773" s="205" t="s">
        <v>7270</v>
      </c>
      <c r="B6773" s="206">
        <v>97957</v>
      </c>
      <c r="C6773" s="207" t="s">
        <v>7426</v>
      </c>
      <c r="D6773" s="208" t="s">
        <v>580</v>
      </c>
      <c r="E6773" s="209">
        <v>1755.93</v>
      </c>
      <c r="F6773" s="209">
        <v>1128.31</v>
      </c>
      <c r="G6773" s="209">
        <v>2884.24</v>
      </c>
      <c r="H6773" s="198"/>
    </row>
    <row r="6774" spans="1:8" ht="15.75" hidden="1" customHeight="1" x14ac:dyDescent="0.25">
      <c r="A6774" s="205" t="s">
        <v>7270</v>
      </c>
      <c r="B6774" s="206">
        <v>97950</v>
      </c>
      <c r="C6774" s="207" t="s">
        <v>7427</v>
      </c>
      <c r="D6774" s="208" t="s">
        <v>580</v>
      </c>
      <c r="E6774" s="209">
        <v>2036.23</v>
      </c>
      <c r="F6774" s="209">
        <v>1430.86</v>
      </c>
      <c r="G6774" s="209">
        <v>3467.09</v>
      </c>
      <c r="H6774" s="198"/>
    </row>
    <row r="6775" spans="1:8" ht="15.75" hidden="1" customHeight="1" x14ac:dyDescent="0.25">
      <c r="A6775" s="205" t="s">
        <v>7270</v>
      </c>
      <c r="B6775" s="206">
        <v>97936</v>
      </c>
      <c r="C6775" s="207" t="s">
        <v>7428</v>
      </c>
      <c r="D6775" s="208" t="s">
        <v>580</v>
      </c>
      <c r="E6775" s="209">
        <v>1364.44</v>
      </c>
      <c r="F6775" s="209">
        <v>812.04</v>
      </c>
      <c r="G6775" s="209">
        <v>2176.48</v>
      </c>
      <c r="H6775" s="198"/>
    </row>
    <row r="6776" spans="1:8" ht="15.75" hidden="1" customHeight="1" x14ac:dyDescent="0.25">
      <c r="A6776" s="205" t="s">
        <v>7270</v>
      </c>
      <c r="B6776" s="206">
        <v>97956</v>
      </c>
      <c r="C6776" s="207" t="s">
        <v>7429</v>
      </c>
      <c r="D6776" s="208" t="s">
        <v>580</v>
      </c>
      <c r="E6776" s="209">
        <v>993.66</v>
      </c>
      <c r="F6776" s="209">
        <v>612.9</v>
      </c>
      <c r="G6776" s="209">
        <v>1606.56</v>
      </c>
      <c r="H6776" s="198"/>
    </row>
    <row r="6777" spans="1:8" ht="15.75" hidden="1" customHeight="1" x14ac:dyDescent="0.25">
      <c r="A6777" s="205" t="s">
        <v>7270</v>
      </c>
      <c r="B6777" s="206">
        <v>97949</v>
      </c>
      <c r="C6777" s="207" t="s">
        <v>7430</v>
      </c>
      <c r="D6777" s="208" t="s">
        <v>580</v>
      </c>
      <c r="E6777" s="209">
        <v>1162.1099999999999</v>
      </c>
      <c r="F6777" s="209">
        <v>804.22</v>
      </c>
      <c r="G6777" s="209">
        <v>1966.33</v>
      </c>
      <c r="H6777" s="198"/>
    </row>
    <row r="6778" spans="1:8" ht="15.75" hidden="1" customHeight="1" x14ac:dyDescent="0.25">
      <c r="A6778" s="205" t="s">
        <v>7270</v>
      </c>
      <c r="B6778" s="206">
        <v>97935</v>
      </c>
      <c r="C6778" s="207" t="s">
        <v>7431</v>
      </c>
      <c r="D6778" s="208" t="s">
        <v>580</v>
      </c>
      <c r="E6778" s="209">
        <v>796.76</v>
      </c>
      <c r="F6778" s="209">
        <v>162.84</v>
      </c>
      <c r="G6778" s="209">
        <v>959.6</v>
      </c>
      <c r="H6778" s="198"/>
    </row>
    <row r="6779" spans="1:8" ht="15.75" hidden="1" customHeight="1" x14ac:dyDescent="0.25">
      <c r="A6779" s="205" t="s">
        <v>7270</v>
      </c>
      <c r="B6779" s="206">
        <v>99319</v>
      </c>
      <c r="C6779" s="207" t="s">
        <v>7432</v>
      </c>
      <c r="D6779" s="208" t="s">
        <v>585</v>
      </c>
      <c r="E6779" s="209">
        <v>551.54999999999995</v>
      </c>
      <c r="F6779" s="209">
        <v>465.5</v>
      </c>
      <c r="G6779" s="209">
        <v>1017.05</v>
      </c>
      <c r="H6779" s="198"/>
    </row>
    <row r="6780" spans="1:8" ht="15.75" hidden="1" customHeight="1" x14ac:dyDescent="0.25">
      <c r="A6780" s="205" t="s">
        <v>7270</v>
      </c>
      <c r="B6780" s="206">
        <v>99318</v>
      </c>
      <c r="C6780" s="207" t="s">
        <v>7433</v>
      </c>
      <c r="D6780" s="208" t="s">
        <v>585</v>
      </c>
      <c r="E6780" s="209">
        <v>290.57</v>
      </c>
      <c r="F6780" s="209">
        <v>19.73</v>
      </c>
      <c r="G6780" s="209">
        <v>310.3</v>
      </c>
      <c r="H6780" s="198"/>
    </row>
    <row r="6781" spans="1:8" ht="15.75" hidden="1" customHeight="1" x14ac:dyDescent="0.25">
      <c r="A6781" s="205" t="s">
        <v>7270</v>
      </c>
      <c r="B6781" s="206">
        <v>98051</v>
      </c>
      <c r="C6781" s="207" t="s">
        <v>7434</v>
      </c>
      <c r="D6781" s="208" t="s">
        <v>585</v>
      </c>
      <c r="E6781" s="209">
        <v>609.41</v>
      </c>
      <c r="F6781" s="209">
        <v>468.8</v>
      </c>
      <c r="G6781" s="209">
        <v>1078.21</v>
      </c>
      <c r="H6781" s="198"/>
    </row>
    <row r="6782" spans="1:8" ht="15.75" hidden="1" customHeight="1" x14ac:dyDescent="0.25">
      <c r="A6782" s="205" t="s">
        <v>7270</v>
      </c>
      <c r="B6782" s="206">
        <v>98050</v>
      </c>
      <c r="C6782" s="207" t="s">
        <v>7435</v>
      </c>
      <c r="D6782" s="208" t="s">
        <v>585</v>
      </c>
      <c r="E6782" s="209">
        <v>291.44</v>
      </c>
      <c r="F6782" s="209">
        <v>19.79</v>
      </c>
      <c r="G6782" s="209">
        <v>311.23</v>
      </c>
      <c r="H6782" s="198"/>
    </row>
    <row r="6783" spans="1:8" ht="15.75" hidden="1" customHeight="1" x14ac:dyDescent="0.25">
      <c r="A6783" s="205" t="s">
        <v>7270</v>
      </c>
      <c r="B6783" s="206">
        <v>99272</v>
      </c>
      <c r="C6783" s="207" t="s">
        <v>7436</v>
      </c>
      <c r="D6783" s="208" t="s">
        <v>580</v>
      </c>
      <c r="E6783" s="209">
        <v>685.76</v>
      </c>
      <c r="F6783" s="209">
        <v>497.39</v>
      </c>
      <c r="G6783" s="209">
        <v>1183.1500000000001</v>
      </c>
      <c r="H6783" s="198"/>
    </row>
    <row r="6784" spans="1:8" ht="15.75" hidden="1" customHeight="1" x14ac:dyDescent="0.25">
      <c r="A6784" s="205" t="s">
        <v>7270</v>
      </c>
      <c r="B6784" s="206">
        <v>99273</v>
      </c>
      <c r="C6784" s="207" t="s">
        <v>7437</v>
      </c>
      <c r="D6784" s="208" t="s">
        <v>580</v>
      </c>
      <c r="E6784" s="209">
        <v>965.37</v>
      </c>
      <c r="F6784" s="209">
        <v>731.23</v>
      </c>
      <c r="G6784" s="209">
        <v>1696.6</v>
      </c>
      <c r="H6784" s="198"/>
    </row>
    <row r="6785" spans="1:8" ht="15.75" hidden="1" customHeight="1" x14ac:dyDescent="0.25">
      <c r="A6785" s="205" t="s">
        <v>7270</v>
      </c>
      <c r="B6785" s="206">
        <v>99268</v>
      </c>
      <c r="C6785" s="207" t="s">
        <v>7438</v>
      </c>
      <c r="D6785" s="208" t="s">
        <v>580</v>
      </c>
      <c r="E6785" s="209">
        <v>403.21</v>
      </c>
      <c r="F6785" s="209">
        <v>102.82</v>
      </c>
      <c r="G6785" s="209">
        <v>506.03</v>
      </c>
      <c r="H6785" s="198"/>
    </row>
    <row r="6786" spans="1:8" ht="15.75" hidden="1" customHeight="1" x14ac:dyDescent="0.25">
      <c r="A6786" s="205" t="s">
        <v>7270</v>
      </c>
      <c r="B6786" s="206">
        <v>99270</v>
      </c>
      <c r="C6786" s="207" t="s">
        <v>7439</v>
      </c>
      <c r="D6786" s="208" t="s">
        <v>580</v>
      </c>
      <c r="E6786" s="209">
        <v>551.12</v>
      </c>
      <c r="F6786" s="209">
        <v>114</v>
      </c>
      <c r="G6786" s="209">
        <v>665.12</v>
      </c>
      <c r="H6786" s="198"/>
    </row>
    <row r="6787" spans="1:8" ht="15.75" hidden="1" customHeight="1" x14ac:dyDescent="0.25">
      <c r="A6787" s="205" t="s">
        <v>7270</v>
      </c>
      <c r="B6787" s="206">
        <v>97976</v>
      </c>
      <c r="C6787" s="207" t="s">
        <v>7440</v>
      </c>
      <c r="D6787" s="208" t="s">
        <v>580</v>
      </c>
      <c r="E6787" s="209">
        <v>727.12</v>
      </c>
      <c r="F6787" s="209">
        <v>499.87</v>
      </c>
      <c r="G6787" s="209">
        <v>1226.99</v>
      </c>
      <c r="H6787" s="198"/>
    </row>
    <row r="6788" spans="1:8" ht="15.75" hidden="1" customHeight="1" x14ac:dyDescent="0.25">
      <c r="A6788" s="205" t="s">
        <v>7270</v>
      </c>
      <c r="B6788" s="206">
        <v>97977</v>
      </c>
      <c r="C6788" s="207" t="s">
        <v>7441</v>
      </c>
      <c r="D6788" s="208" t="s">
        <v>580</v>
      </c>
      <c r="E6788" s="209">
        <v>1038.8599999999999</v>
      </c>
      <c r="F6788" s="209">
        <v>735.45</v>
      </c>
      <c r="G6788" s="209">
        <v>1774.31</v>
      </c>
      <c r="H6788" s="198"/>
    </row>
    <row r="6789" spans="1:8" ht="15.75" hidden="1" customHeight="1" x14ac:dyDescent="0.25">
      <c r="A6789" s="205" t="s">
        <v>7270</v>
      </c>
      <c r="B6789" s="206">
        <v>97974</v>
      </c>
      <c r="C6789" s="207" t="s">
        <v>7442</v>
      </c>
      <c r="D6789" s="208" t="s">
        <v>580</v>
      </c>
      <c r="E6789" s="209">
        <v>407.35</v>
      </c>
      <c r="F6789" s="209">
        <v>103.04</v>
      </c>
      <c r="G6789" s="209">
        <v>510.39</v>
      </c>
      <c r="H6789" s="198"/>
    </row>
    <row r="6790" spans="1:8" ht="15.75" hidden="1" customHeight="1" x14ac:dyDescent="0.25">
      <c r="A6790" s="205" t="s">
        <v>7270</v>
      </c>
      <c r="B6790" s="206">
        <v>97975</v>
      </c>
      <c r="C6790" s="207" t="s">
        <v>7443</v>
      </c>
      <c r="D6790" s="208" t="s">
        <v>580</v>
      </c>
      <c r="E6790" s="209">
        <v>555.95000000000005</v>
      </c>
      <c r="F6790" s="209">
        <v>114.27</v>
      </c>
      <c r="G6790" s="209">
        <v>670.22</v>
      </c>
      <c r="H6790" s="198"/>
    </row>
    <row r="6791" spans="1:8" ht="15.75" hidden="1" customHeight="1" x14ac:dyDescent="0.25">
      <c r="A6791" s="205" t="s">
        <v>7270</v>
      </c>
      <c r="B6791" s="206">
        <v>101798</v>
      </c>
      <c r="C6791" s="207" t="s">
        <v>7444</v>
      </c>
      <c r="D6791" s="208" t="s">
        <v>580</v>
      </c>
      <c r="E6791" s="209">
        <v>364.34</v>
      </c>
      <c r="F6791" s="209">
        <v>43.7</v>
      </c>
      <c r="G6791" s="209">
        <v>408.04</v>
      </c>
      <c r="H6791" s="198"/>
    </row>
    <row r="6792" spans="1:8" ht="15.75" hidden="1" customHeight="1" x14ac:dyDescent="0.25">
      <c r="A6792" s="205" t="s">
        <v>7270</v>
      </c>
      <c r="B6792" s="206">
        <v>101799</v>
      </c>
      <c r="C6792" s="207" t="s">
        <v>7445</v>
      </c>
      <c r="D6792" s="208" t="s">
        <v>580</v>
      </c>
      <c r="E6792" s="209">
        <v>907.72</v>
      </c>
      <c r="F6792" s="209">
        <v>72.11</v>
      </c>
      <c r="G6792" s="209">
        <v>979.83</v>
      </c>
      <c r="H6792" s="198"/>
    </row>
    <row r="6793" spans="1:8" ht="15.75" hidden="1" customHeight="1" x14ac:dyDescent="0.25">
      <c r="A6793" s="205" t="s">
        <v>7446</v>
      </c>
      <c r="B6793" s="206">
        <v>102487</v>
      </c>
      <c r="C6793" s="207" t="s">
        <v>7447</v>
      </c>
      <c r="D6793" s="208" t="s">
        <v>664</v>
      </c>
      <c r="E6793" s="209">
        <v>387</v>
      </c>
      <c r="F6793" s="209">
        <v>238.49</v>
      </c>
      <c r="G6793" s="209">
        <v>625.49</v>
      </c>
      <c r="H6793" s="198"/>
    </row>
    <row r="6794" spans="1:8" ht="15.75" hidden="1" customHeight="1" x14ac:dyDescent="0.25">
      <c r="A6794" s="205" t="s">
        <v>7446</v>
      </c>
      <c r="B6794" s="206">
        <v>102486</v>
      </c>
      <c r="C6794" s="207" t="s">
        <v>7448</v>
      </c>
      <c r="D6794" s="208" t="s">
        <v>664</v>
      </c>
      <c r="E6794" s="209">
        <v>473.93</v>
      </c>
      <c r="F6794" s="209">
        <v>121.75</v>
      </c>
      <c r="G6794" s="209">
        <v>595.67999999999995</v>
      </c>
      <c r="H6794" s="198"/>
    </row>
    <row r="6795" spans="1:8" ht="15.75" hidden="1" customHeight="1" x14ac:dyDescent="0.25">
      <c r="A6795" s="205" t="s">
        <v>7446</v>
      </c>
      <c r="B6795" s="206">
        <v>102474</v>
      </c>
      <c r="C6795" s="207" t="s">
        <v>7449</v>
      </c>
      <c r="D6795" s="208" t="s">
        <v>664</v>
      </c>
      <c r="E6795" s="209">
        <v>445.1</v>
      </c>
      <c r="F6795" s="209">
        <v>83.77</v>
      </c>
      <c r="G6795" s="209">
        <v>528.87</v>
      </c>
      <c r="H6795" s="198"/>
    </row>
    <row r="6796" spans="1:8" ht="15.75" hidden="1" customHeight="1" x14ac:dyDescent="0.25">
      <c r="A6796" s="205" t="s">
        <v>7446</v>
      </c>
      <c r="B6796" s="206">
        <v>102480</v>
      </c>
      <c r="C6796" s="207" t="s">
        <v>7450</v>
      </c>
      <c r="D6796" s="208" t="s">
        <v>664</v>
      </c>
      <c r="E6796" s="209">
        <v>444.91</v>
      </c>
      <c r="F6796" s="209">
        <v>73.150000000000006</v>
      </c>
      <c r="G6796" s="209">
        <v>518.05999999999995</v>
      </c>
      <c r="H6796" s="198"/>
    </row>
    <row r="6797" spans="1:8" ht="15.75" hidden="1" customHeight="1" x14ac:dyDescent="0.25">
      <c r="A6797" s="205" t="s">
        <v>7446</v>
      </c>
      <c r="B6797" s="206">
        <v>94975</v>
      </c>
      <c r="C6797" s="207" t="s">
        <v>7451</v>
      </c>
      <c r="D6797" s="208" t="s">
        <v>664</v>
      </c>
      <c r="E6797" s="209">
        <v>380.99</v>
      </c>
      <c r="F6797" s="209">
        <v>121.17</v>
      </c>
      <c r="G6797" s="209">
        <v>502.16</v>
      </c>
      <c r="H6797" s="198"/>
    </row>
    <row r="6798" spans="1:8" ht="15.75" hidden="1" customHeight="1" x14ac:dyDescent="0.25">
      <c r="A6798" s="205" t="s">
        <v>7446</v>
      </c>
      <c r="B6798" s="206">
        <v>94963</v>
      </c>
      <c r="C6798" s="207" t="s">
        <v>7452</v>
      </c>
      <c r="D6798" s="208" t="s">
        <v>664</v>
      </c>
      <c r="E6798" s="209">
        <v>353.12</v>
      </c>
      <c r="F6798" s="209">
        <v>82.12</v>
      </c>
      <c r="G6798" s="209">
        <v>435.24</v>
      </c>
      <c r="H6798" s="198"/>
    </row>
    <row r="6799" spans="1:8" ht="15.75" hidden="1" customHeight="1" x14ac:dyDescent="0.25">
      <c r="A6799" s="205" t="s">
        <v>7446</v>
      </c>
      <c r="B6799" s="206">
        <v>94969</v>
      </c>
      <c r="C6799" s="207" t="s">
        <v>7453</v>
      </c>
      <c r="D6799" s="208" t="s">
        <v>664</v>
      </c>
      <c r="E6799" s="209">
        <v>352.53</v>
      </c>
      <c r="F6799" s="209">
        <v>71.58</v>
      </c>
      <c r="G6799" s="209">
        <v>424.11</v>
      </c>
      <c r="H6799" s="198"/>
    </row>
    <row r="6800" spans="1:8" ht="15.75" hidden="1" customHeight="1" x14ac:dyDescent="0.25">
      <c r="A6800" s="205" t="s">
        <v>7446</v>
      </c>
      <c r="B6800" s="206">
        <v>102475</v>
      </c>
      <c r="C6800" s="207" t="s">
        <v>7454</v>
      </c>
      <c r="D6800" s="208" t="s">
        <v>664</v>
      </c>
      <c r="E6800" s="209">
        <v>479.58</v>
      </c>
      <c r="F6800" s="209">
        <v>92.3</v>
      </c>
      <c r="G6800" s="209">
        <v>571.88</v>
      </c>
      <c r="H6800" s="198"/>
    </row>
    <row r="6801" spans="1:8" ht="15.75" hidden="1" customHeight="1" x14ac:dyDescent="0.25">
      <c r="A6801" s="205" t="s">
        <v>7446</v>
      </c>
      <c r="B6801" s="206">
        <v>102481</v>
      </c>
      <c r="C6801" s="207" t="s">
        <v>7455</v>
      </c>
      <c r="D6801" s="208" t="s">
        <v>664</v>
      </c>
      <c r="E6801" s="209">
        <v>477.56</v>
      </c>
      <c r="F6801" s="209">
        <v>73.63</v>
      </c>
      <c r="G6801" s="209">
        <v>551.19000000000005</v>
      </c>
      <c r="H6801" s="198"/>
    </row>
    <row r="6802" spans="1:8" ht="15.75" hidden="1" customHeight="1" x14ac:dyDescent="0.25">
      <c r="A6802" s="205" t="s">
        <v>7446</v>
      </c>
      <c r="B6802" s="206">
        <v>94964</v>
      </c>
      <c r="C6802" s="207" t="s">
        <v>7456</v>
      </c>
      <c r="D6802" s="208" t="s">
        <v>664</v>
      </c>
      <c r="E6802" s="209">
        <v>384.87</v>
      </c>
      <c r="F6802" s="209">
        <v>89.51</v>
      </c>
      <c r="G6802" s="209">
        <v>474.38</v>
      </c>
      <c r="H6802" s="198"/>
    </row>
    <row r="6803" spans="1:8" ht="15.75" hidden="1" customHeight="1" x14ac:dyDescent="0.25">
      <c r="A6803" s="205" t="s">
        <v>7446</v>
      </c>
      <c r="B6803" s="206">
        <v>94970</v>
      </c>
      <c r="C6803" s="207" t="s">
        <v>7457</v>
      </c>
      <c r="D6803" s="208" t="s">
        <v>664</v>
      </c>
      <c r="E6803" s="209">
        <v>382.33</v>
      </c>
      <c r="F6803" s="209">
        <v>71.41</v>
      </c>
      <c r="G6803" s="209">
        <v>453.74</v>
      </c>
      <c r="H6803" s="198"/>
    </row>
    <row r="6804" spans="1:8" ht="15.75" hidden="1" customHeight="1" x14ac:dyDescent="0.25">
      <c r="A6804" s="205" t="s">
        <v>7446</v>
      </c>
      <c r="B6804" s="206">
        <v>102476</v>
      </c>
      <c r="C6804" s="207" t="s">
        <v>7458</v>
      </c>
      <c r="D6804" s="208" t="s">
        <v>664</v>
      </c>
      <c r="E6804" s="209">
        <v>503.11</v>
      </c>
      <c r="F6804" s="209">
        <v>79.39</v>
      </c>
      <c r="G6804" s="209">
        <v>582.5</v>
      </c>
      <c r="H6804" s="198"/>
    </row>
    <row r="6805" spans="1:8" ht="15.75" hidden="1" customHeight="1" x14ac:dyDescent="0.25">
      <c r="A6805" s="205" t="s">
        <v>7446</v>
      </c>
      <c r="B6805" s="206">
        <v>102482</v>
      </c>
      <c r="C6805" s="207" t="s">
        <v>7459</v>
      </c>
      <c r="D6805" s="208" t="s">
        <v>664</v>
      </c>
      <c r="E6805" s="209">
        <v>505.15</v>
      </c>
      <c r="F6805" s="209">
        <v>70.319999999999993</v>
      </c>
      <c r="G6805" s="209">
        <v>575.47</v>
      </c>
      <c r="H6805" s="198"/>
    </row>
    <row r="6806" spans="1:8" ht="15.75" hidden="1" customHeight="1" x14ac:dyDescent="0.25">
      <c r="A6806" s="205" t="s">
        <v>7446</v>
      </c>
      <c r="B6806" s="206">
        <v>94965</v>
      </c>
      <c r="C6806" s="207" t="s">
        <v>7460</v>
      </c>
      <c r="D6806" s="208" t="s">
        <v>664</v>
      </c>
      <c r="E6806" s="209">
        <v>405.01</v>
      </c>
      <c r="F6806" s="209">
        <v>81.66</v>
      </c>
      <c r="G6806" s="209">
        <v>486.67</v>
      </c>
      <c r="H6806" s="198"/>
    </row>
    <row r="6807" spans="1:8" ht="15.75" hidden="1" customHeight="1" x14ac:dyDescent="0.25">
      <c r="A6807" s="205" t="s">
        <v>7446</v>
      </c>
      <c r="B6807" s="206">
        <v>94971</v>
      </c>
      <c r="C6807" s="207" t="s">
        <v>7461</v>
      </c>
      <c r="D6807" s="208" t="s">
        <v>664</v>
      </c>
      <c r="E6807" s="209">
        <v>405.03</v>
      </c>
      <c r="F6807" s="209">
        <v>69.849999999999994</v>
      </c>
      <c r="G6807" s="209">
        <v>474.88</v>
      </c>
      <c r="H6807" s="198"/>
    </row>
    <row r="6808" spans="1:8" ht="15.75" hidden="1" customHeight="1" x14ac:dyDescent="0.25">
      <c r="A6808" s="205" t="s">
        <v>7446</v>
      </c>
      <c r="B6808" s="206">
        <v>102477</v>
      </c>
      <c r="C6808" s="207" t="s">
        <v>7462</v>
      </c>
      <c r="D6808" s="208" t="s">
        <v>664</v>
      </c>
      <c r="E6808" s="209">
        <v>529.99</v>
      </c>
      <c r="F6808" s="209">
        <v>87.57</v>
      </c>
      <c r="G6808" s="209">
        <v>617.55999999999995</v>
      </c>
      <c r="H6808" s="198"/>
    </row>
    <row r="6809" spans="1:8" ht="15.75" hidden="1" customHeight="1" x14ac:dyDescent="0.25">
      <c r="A6809" s="205" t="s">
        <v>7446</v>
      </c>
      <c r="B6809" s="206">
        <v>102483</v>
      </c>
      <c r="C6809" s="207" t="s">
        <v>7463</v>
      </c>
      <c r="D6809" s="208" t="s">
        <v>664</v>
      </c>
      <c r="E6809" s="209">
        <v>531.05999999999995</v>
      </c>
      <c r="F6809" s="209">
        <v>72.62</v>
      </c>
      <c r="G6809" s="209">
        <v>603.67999999999995</v>
      </c>
      <c r="H6809" s="198"/>
    </row>
    <row r="6810" spans="1:8" ht="15.75" hidden="1" customHeight="1" x14ac:dyDescent="0.25">
      <c r="A6810" s="205" t="s">
        <v>7446</v>
      </c>
      <c r="B6810" s="206">
        <v>94966</v>
      </c>
      <c r="C6810" s="207" t="s">
        <v>7464</v>
      </c>
      <c r="D6810" s="208" t="s">
        <v>664</v>
      </c>
      <c r="E6810" s="209">
        <v>420.5</v>
      </c>
      <c r="F6810" s="209">
        <v>80.989999999999995</v>
      </c>
      <c r="G6810" s="209">
        <v>501.49</v>
      </c>
      <c r="H6810" s="198"/>
    </row>
    <row r="6811" spans="1:8" ht="15.75" hidden="1" customHeight="1" x14ac:dyDescent="0.25">
      <c r="A6811" s="205" t="s">
        <v>7446</v>
      </c>
      <c r="B6811" s="206">
        <v>94972</v>
      </c>
      <c r="C6811" s="207" t="s">
        <v>7465</v>
      </c>
      <c r="D6811" s="208" t="s">
        <v>664</v>
      </c>
      <c r="E6811" s="209">
        <v>420.45</v>
      </c>
      <c r="F6811" s="209">
        <v>69.290000000000006</v>
      </c>
      <c r="G6811" s="209">
        <v>489.74</v>
      </c>
      <c r="H6811" s="198"/>
    </row>
    <row r="6812" spans="1:8" ht="15.75" hidden="1" customHeight="1" x14ac:dyDescent="0.25">
      <c r="A6812" s="205" t="s">
        <v>7446</v>
      </c>
      <c r="B6812" s="206">
        <v>102478</v>
      </c>
      <c r="C6812" s="207" t="s">
        <v>7466</v>
      </c>
      <c r="D6812" s="208" t="s">
        <v>664</v>
      </c>
      <c r="E6812" s="209">
        <v>582.17999999999995</v>
      </c>
      <c r="F6812" s="209">
        <v>79.38</v>
      </c>
      <c r="G6812" s="209">
        <v>661.56</v>
      </c>
      <c r="H6812" s="198"/>
    </row>
    <row r="6813" spans="1:8" ht="15.75" hidden="1" customHeight="1" x14ac:dyDescent="0.25">
      <c r="A6813" s="205" t="s">
        <v>7446</v>
      </c>
      <c r="B6813" s="206">
        <v>102484</v>
      </c>
      <c r="C6813" s="207" t="s">
        <v>7467</v>
      </c>
      <c r="D6813" s="208" t="s">
        <v>664</v>
      </c>
      <c r="E6813" s="209">
        <v>584.76</v>
      </c>
      <c r="F6813" s="209">
        <v>72.64</v>
      </c>
      <c r="G6813" s="209">
        <v>657.4</v>
      </c>
      <c r="H6813" s="198"/>
    </row>
    <row r="6814" spans="1:8" ht="15.75" hidden="1" customHeight="1" x14ac:dyDescent="0.25">
      <c r="A6814" s="205" t="s">
        <v>7446</v>
      </c>
      <c r="B6814" s="206">
        <v>94967</v>
      </c>
      <c r="C6814" s="207" t="s">
        <v>7468</v>
      </c>
      <c r="D6814" s="208" t="s">
        <v>664</v>
      </c>
      <c r="E6814" s="209">
        <v>483.57</v>
      </c>
      <c r="F6814" s="209">
        <v>86.07</v>
      </c>
      <c r="G6814" s="209">
        <v>569.64</v>
      </c>
      <c r="H6814" s="198"/>
    </row>
    <row r="6815" spans="1:8" ht="15.75" hidden="1" customHeight="1" x14ac:dyDescent="0.25">
      <c r="A6815" s="205" t="s">
        <v>7446</v>
      </c>
      <c r="B6815" s="206">
        <v>94973</v>
      </c>
      <c r="C6815" s="207" t="s">
        <v>7469</v>
      </c>
      <c r="D6815" s="208" t="s">
        <v>664</v>
      </c>
      <c r="E6815" s="209">
        <v>483.34</v>
      </c>
      <c r="F6815" s="209">
        <v>71.45</v>
      </c>
      <c r="G6815" s="209">
        <v>554.79</v>
      </c>
      <c r="H6815" s="198"/>
    </row>
    <row r="6816" spans="1:8" ht="15.75" hidden="1" customHeight="1" x14ac:dyDescent="0.25">
      <c r="A6816" s="205" t="s">
        <v>7446</v>
      </c>
      <c r="B6816" s="206">
        <v>94974</v>
      </c>
      <c r="C6816" s="207" t="s">
        <v>7470</v>
      </c>
      <c r="D6816" s="208" t="s">
        <v>664</v>
      </c>
      <c r="E6816" s="209">
        <v>346.34</v>
      </c>
      <c r="F6816" s="209">
        <v>122.7</v>
      </c>
      <c r="G6816" s="209">
        <v>469.04</v>
      </c>
      <c r="H6816" s="198"/>
    </row>
    <row r="6817" spans="1:8" ht="15.75" hidden="1" customHeight="1" x14ac:dyDescent="0.25">
      <c r="A6817" s="205" t="s">
        <v>7446</v>
      </c>
      <c r="B6817" s="206">
        <v>94962</v>
      </c>
      <c r="C6817" s="207" t="s">
        <v>7471</v>
      </c>
      <c r="D6817" s="208" t="s">
        <v>664</v>
      </c>
      <c r="E6817" s="209">
        <v>314.43</v>
      </c>
      <c r="F6817" s="209">
        <v>82.72</v>
      </c>
      <c r="G6817" s="209">
        <v>397.15</v>
      </c>
      <c r="H6817" s="198"/>
    </row>
    <row r="6818" spans="1:8" ht="15.75" hidden="1" customHeight="1" x14ac:dyDescent="0.25">
      <c r="A6818" s="205" t="s">
        <v>7446</v>
      </c>
      <c r="B6818" s="206">
        <v>94968</v>
      </c>
      <c r="C6818" s="207" t="s">
        <v>7472</v>
      </c>
      <c r="D6818" s="208" t="s">
        <v>664</v>
      </c>
      <c r="E6818" s="209">
        <v>315.64999999999998</v>
      </c>
      <c r="F6818" s="209">
        <v>74.319999999999993</v>
      </c>
      <c r="G6818" s="209">
        <v>389.97</v>
      </c>
      <c r="H6818" s="198"/>
    </row>
    <row r="6819" spans="1:8" ht="15.75" hidden="1" customHeight="1" x14ac:dyDescent="0.25">
      <c r="A6819" s="205" t="s">
        <v>7446</v>
      </c>
      <c r="B6819" s="206">
        <v>102485</v>
      </c>
      <c r="C6819" s="207" t="s">
        <v>7473</v>
      </c>
      <c r="D6819" s="208" t="s">
        <v>664</v>
      </c>
      <c r="E6819" s="209">
        <v>442.17</v>
      </c>
      <c r="F6819" s="209">
        <v>122.97</v>
      </c>
      <c r="G6819" s="209">
        <v>565.14</v>
      </c>
      <c r="H6819" s="198"/>
    </row>
    <row r="6820" spans="1:8" ht="15.75" hidden="1" customHeight="1" x14ac:dyDescent="0.25">
      <c r="A6820" s="205" t="s">
        <v>7446</v>
      </c>
      <c r="B6820" s="206">
        <v>102473</v>
      </c>
      <c r="C6820" s="207" t="s">
        <v>7474</v>
      </c>
      <c r="D6820" s="208" t="s">
        <v>664</v>
      </c>
      <c r="E6820" s="209">
        <v>408</v>
      </c>
      <c r="F6820" s="209">
        <v>84.27</v>
      </c>
      <c r="G6820" s="209">
        <v>492.27</v>
      </c>
      <c r="H6820" s="198"/>
    </row>
    <row r="6821" spans="1:8" ht="15.75" hidden="1" customHeight="1" x14ac:dyDescent="0.25">
      <c r="A6821" s="205" t="s">
        <v>7446</v>
      </c>
      <c r="B6821" s="206">
        <v>102479</v>
      </c>
      <c r="C6821" s="207" t="s">
        <v>7475</v>
      </c>
      <c r="D6821" s="208" t="s">
        <v>664</v>
      </c>
      <c r="E6821" s="209">
        <v>409.67</v>
      </c>
      <c r="F6821" s="209">
        <v>75.540000000000006</v>
      </c>
      <c r="G6821" s="209">
        <v>485.21</v>
      </c>
      <c r="H6821" s="198"/>
    </row>
    <row r="6822" spans="1:8" ht="15.75" hidden="1" customHeight="1" x14ac:dyDescent="0.25">
      <c r="A6822" s="205" t="s">
        <v>7476</v>
      </c>
      <c r="B6822" s="206">
        <v>103769</v>
      </c>
      <c r="C6822" s="207" t="s">
        <v>7477</v>
      </c>
      <c r="D6822" s="208" t="s">
        <v>580</v>
      </c>
      <c r="E6822" s="209">
        <v>2887.16</v>
      </c>
      <c r="F6822" s="209">
        <v>444.05</v>
      </c>
      <c r="G6822" s="209">
        <v>3331.21</v>
      </c>
      <c r="H6822" s="198"/>
    </row>
    <row r="6823" spans="1:8" ht="15.75" hidden="1" customHeight="1" x14ac:dyDescent="0.25">
      <c r="A6823" s="205" t="s">
        <v>7478</v>
      </c>
      <c r="B6823" s="206">
        <v>97097</v>
      </c>
      <c r="C6823" s="207" t="s">
        <v>7479</v>
      </c>
      <c r="D6823" s="208" t="s">
        <v>578</v>
      </c>
      <c r="E6823" s="209">
        <v>35.44</v>
      </c>
      <c r="F6823" s="209">
        <v>2.4300000000000002</v>
      </c>
      <c r="G6823" s="209">
        <v>37.869999999999997</v>
      </c>
      <c r="H6823" s="198"/>
    </row>
    <row r="6824" spans="1:8" ht="15.75" hidden="1" customHeight="1" x14ac:dyDescent="0.25">
      <c r="A6824" s="205" t="s">
        <v>7478</v>
      </c>
      <c r="B6824" s="206">
        <v>97089</v>
      </c>
      <c r="C6824" s="207" t="s">
        <v>7480</v>
      </c>
      <c r="D6824" s="208" t="s">
        <v>823</v>
      </c>
      <c r="E6824" s="209">
        <v>15.56</v>
      </c>
      <c r="F6824" s="209">
        <v>1.25</v>
      </c>
      <c r="G6824" s="209">
        <v>16.809999999999999</v>
      </c>
      <c r="H6824" s="198"/>
    </row>
    <row r="6825" spans="1:8" ht="15.75" hidden="1" customHeight="1" x14ac:dyDescent="0.25">
      <c r="A6825" s="205" t="s">
        <v>7478</v>
      </c>
      <c r="B6825" s="206">
        <v>97090</v>
      </c>
      <c r="C6825" s="207" t="s">
        <v>7481</v>
      </c>
      <c r="D6825" s="208" t="s">
        <v>823</v>
      </c>
      <c r="E6825" s="209">
        <v>15.37</v>
      </c>
      <c r="F6825" s="209">
        <v>1.06</v>
      </c>
      <c r="G6825" s="209">
        <v>16.43</v>
      </c>
      <c r="H6825" s="198"/>
    </row>
    <row r="6826" spans="1:8" ht="15.75" hidden="1" customHeight="1" x14ac:dyDescent="0.25">
      <c r="A6826" s="205" t="s">
        <v>7478</v>
      </c>
      <c r="B6826" s="206">
        <v>97091</v>
      </c>
      <c r="C6826" s="207" t="s">
        <v>7482</v>
      </c>
      <c r="D6826" s="208" t="s">
        <v>823</v>
      </c>
      <c r="E6826" s="209">
        <v>14.94</v>
      </c>
      <c r="F6826" s="209">
        <v>0.96</v>
      </c>
      <c r="G6826" s="209">
        <v>15.9</v>
      </c>
      <c r="H6826" s="198"/>
    </row>
    <row r="6827" spans="1:8" ht="15.75" hidden="1" customHeight="1" x14ac:dyDescent="0.25">
      <c r="A6827" s="205" t="s">
        <v>7478</v>
      </c>
      <c r="B6827" s="206">
        <v>97092</v>
      </c>
      <c r="C6827" s="207" t="s">
        <v>7483</v>
      </c>
      <c r="D6827" s="208" t="s">
        <v>823</v>
      </c>
      <c r="E6827" s="209">
        <v>14.53</v>
      </c>
      <c r="F6827" s="209">
        <v>0.8</v>
      </c>
      <c r="G6827" s="209">
        <v>15.33</v>
      </c>
      <c r="H6827" s="198"/>
    </row>
    <row r="6828" spans="1:8" ht="15.75" hidden="1" customHeight="1" x14ac:dyDescent="0.25">
      <c r="A6828" s="205" t="s">
        <v>7478</v>
      </c>
      <c r="B6828" s="206">
        <v>97093</v>
      </c>
      <c r="C6828" s="207" t="s">
        <v>7484</v>
      </c>
      <c r="D6828" s="208" t="s">
        <v>823</v>
      </c>
      <c r="E6828" s="209">
        <v>13.7</v>
      </c>
      <c r="F6828" s="209">
        <v>0.63</v>
      </c>
      <c r="G6828" s="209">
        <v>14.33</v>
      </c>
      <c r="H6828" s="198"/>
    </row>
    <row r="6829" spans="1:8" ht="15.75" hidden="1" customHeight="1" x14ac:dyDescent="0.25">
      <c r="A6829" s="205" t="s">
        <v>7478</v>
      </c>
      <c r="B6829" s="206">
        <v>97088</v>
      </c>
      <c r="C6829" s="207" t="s">
        <v>7485</v>
      </c>
      <c r="D6829" s="208" t="s">
        <v>823</v>
      </c>
      <c r="E6829" s="209">
        <v>16.98</v>
      </c>
      <c r="F6829" s="209">
        <v>1.44</v>
      </c>
      <c r="G6829" s="209">
        <v>18.420000000000002</v>
      </c>
      <c r="H6829" s="198"/>
    </row>
    <row r="6830" spans="1:8" ht="15.75" hidden="1" customHeight="1" x14ac:dyDescent="0.25">
      <c r="A6830" s="205" t="s">
        <v>7478</v>
      </c>
      <c r="B6830" s="206">
        <v>97087</v>
      </c>
      <c r="C6830" s="207" t="s">
        <v>7486</v>
      </c>
      <c r="D6830" s="208" t="s">
        <v>578</v>
      </c>
      <c r="E6830" s="209">
        <v>2.06</v>
      </c>
      <c r="F6830" s="209">
        <v>0.46</v>
      </c>
      <c r="G6830" s="209">
        <v>2.52</v>
      </c>
      <c r="H6830" s="198"/>
    </row>
    <row r="6831" spans="1:8" ht="15.75" hidden="1" customHeight="1" x14ac:dyDescent="0.25">
      <c r="A6831" s="205" t="s">
        <v>7478</v>
      </c>
      <c r="B6831" s="206">
        <v>97083</v>
      </c>
      <c r="C6831" s="207" t="s">
        <v>7487</v>
      </c>
      <c r="D6831" s="208" t="s">
        <v>578</v>
      </c>
      <c r="E6831" s="209">
        <v>1.44</v>
      </c>
      <c r="F6831" s="209">
        <v>2.97</v>
      </c>
      <c r="G6831" s="209">
        <v>4.41</v>
      </c>
      <c r="H6831" s="198"/>
    </row>
    <row r="6832" spans="1:8" ht="15.75" hidden="1" customHeight="1" x14ac:dyDescent="0.25">
      <c r="A6832" s="205" t="s">
        <v>7478</v>
      </c>
      <c r="B6832" s="206">
        <v>97084</v>
      </c>
      <c r="C6832" s="207" t="s">
        <v>7488</v>
      </c>
      <c r="D6832" s="208" t="s">
        <v>578</v>
      </c>
      <c r="E6832" s="209">
        <v>0.32</v>
      </c>
      <c r="F6832" s="209">
        <v>0.6</v>
      </c>
      <c r="G6832" s="209">
        <v>0.92</v>
      </c>
      <c r="H6832" s="198"/>
    </row>
    <row r="6833" spans="1:8" ht="15.75" hidden="1" customHeight="1" x14ac:dyDescent="0.25">
      <c r="A6833" s="205" t="s">
        <v>7478</v>
      </c>
      <c r="B6833" s="206">
        <v>97096</v>
      </c>
      <c r="C6833" s="207" t="s">
        <v>7489</v>
      </c>
      <c r="D6833" s="208" t="s">
        <v>664</v>
      </c>
      <c r="E6833" s="209">
        <v>556.36</v>
      </c>
      <c r="F6833" s="209">
        <v>19.34</v>
      </c>
      <c r="G6833" s="209">
        <v>575.70000000000005</v>
      </c>
      <c r="H6833" s="198"/>
    </row>
    <row r="6834" spans="1:8" ht="15.75" hidden="1" customHeight="1" x14ac:dyDescent="0.25">
      <c r="A6834" s="205" t="s">
        <v>7478</v>
      </c>
      <c r="B6834" s="206">
        <v>97082</v>
      </c>
      <c r="C6834" s="207" t="s">
        <v>7490</v>
      </c>
      <c r="D6834" s="208" t="s">
        <v>664</v>
      </c>
      <c r="E6834" s="209">
        <v>26.69</v>
      </c>
      <c r="F6834" s="209">
        <v>56.68</v>
      </c>
      <c r="G6834" s="209">
        <v>83.37</v>
      </c>
      <c r="H6834" s="198"/>
    </row>
    <row r="6835" spans="1:8" ht="15.75" hidden="1" customHeight="1" x14ac:dyDescent="0.25">
      <c r="A6835" s="205" t="s">
        <v>7478</v>
      </c>
      <c r="B6835" s="206">
        <v>103076</v>
      </c>
      <c r="C6835" s="207" t="s">
        <v>7491</v>
      </c>
      <c r="D6835" s="208" t="s">
        <v>578</v>
      </c>
      <c r="E6835" s="209">
        <v>130.44</v>
      </c>
      <c r="F6835" s="209">
        <v>23.03</v>
      </c>
      <c r="G6835" s="209">
        <v>153.47</v>
      </c>
      <c r="H6835" s="198"/>
    </row>
    <row r="6836" spans="1:8" ht="15.75" hidden="1" customHeight="1" x14ac:dyDescent="0.25">
      <c r="A6836" s="205" t="s">
        <v>7478</v>
      </c>
      <c r="B6836" s="206">
        <v>103077</v>
      </c>
      <c r="C6836" s="207" t="s">
        <v>7492</v>
      </c>
      <c r="D6836" s="208" t="s">
        <v>578</v>
      </c>
      <c r="E6836" s="209">
        <v>171.22</v>
      </c>
      <c r="F6836" s="209">
        <v>26.1</v>
      </c>
      <c r="G6836" s="209">
        <v>197.32</v>
      </c>
      <c r="H6836" s="198"/>
    </row>
    <row r="6837" spans="1:8" ht="15.75" hidden="1" customHeight="1" x14ac:dyDescent="0.25">
      <c r="A6837" s="205" t="s">
        <v>7478</v>
      </c>
      <c r="B6837" s="206">
        <v>103078</v>
      </c>
      <c r="C6837" s="207" t="s">
        <v>7493</v>
      </c>
      <c r="D6837" s="208" t="s">
        <v>578</v>
      </c>
      <c r="E6837" s="209">
        <v>208.14</v>
      </c>
      <c r="F6837" s="209">
        <v>29.1</v>
      </c>
      <c r="G6837" s="209">
        <v>237.24</v>
      </c>
      <c r="H6837" s="198"/>
    </row>
    <row r="6838" spans="1:8" ht="15.75" hidden="1" customHeight="1" x14ac:dyDescent="0.25">
      <c r="A6838" s="205" t="s">
        <v>7478</v>
      </c>
      <c r="B6838" s="206">
        <v>103079</v>
      </c>
      <c r="C6838" s="207" t="s">
        <v>7494</v>
      </c>
      <c r="D6838" s="208" t="s">
        <v>578</v>
      </c>
      <c r="E6838" s="209">
        <v>252.36</v>
      </c>
      <c r="F6838" s="209">
        <v>32.18</v>
      </c>
      <c r="G6838" s="209">
        <v>284.54000000000002</v>
      </c>
      <c r="H6838" s="198"/>
    </row>
    <row r="6839" spans="1:8" ht="15.75" hidden="1" customHeight="1" x14ac:dyDescent="0.25">
      <c r="A6839" s="205" t="s">
        <v>7478</v>
      </c>
      <c r="B6839" s="206">
        <v>103080</v>
      </c>
      <c r="C6839" s="207" t="s">
        <v>7495</v>
      </c>
      <c r="D6839" s="208" t="s">
        <v>578</v>
      </c>
      <c r="E6839" s="209">
        <v>314</v>
      </c>
      <c r="F6839" s="209">
        <v>35.659999999999997</v>
      </c>
      <c r="G6839" s="209">
        <v>349.66</v>
      </c>
      <c r="H6839" s="198"/>
    </row>
    <row r="6840" spans="1:8" ht="15.75" hidden="1" customHeight="1" x14ac:dyDescent="0.25">
      <c r="A6840" s="205" t="s">
        <v>7478</v>
      </c>
      <c r="B6840" s="206">
        <v>103075</v>
      </c>
      <c r="C6840" s="207" t="s">
        <v>7496</v>
      </c>
      <c r="D6840" s="208" t="s">
        <v>578</v>
      </c>
      <c r="E6840" s="209">
        <v>184.23</v>
      </c>
      <c r="F6840" s="209">
        <v>26.34</v>
      </c>
      <c r="G6840" s="209">
        <v>210.57</v>
      </c>
      <c r="H6840" s="198"/>
    </row>
    <row r="6841" spans="1:8" ht="15.75" hidden="1" customHeight="1" x14ac:dyDescent="0.25">
      <c r="A6841" s="205" t="s">
        <v>7478</v>
      </c>
      <c r="B6841" s="206">
        <v>103074</v>
      </c>
      <c r="C6841" s="207" t="s">
        <v>7497</v>
      </c>
      <c r="D6841" s="208" t="s">
        <v>578</v>
      </c>
      <c r="E6841" s="209">
        <v>148.79</v>
      </c>
      <c r="F6841" s="209">
        <v>23.91</v>
      </c>
      <c r="G6841" s="209">
        <v>172.7</v>
      </c>
      <c r="H6841" s="198"/>
    </row>
    <row r="6842" spans="1:8" ht="15.75" hidden="1" customHeight="1" x14ac:dyDescent="0.25">
      <c r="A6842" s="205" t="s">
        <v>7478</v>
      </c>
      <c r="B6842" s="206">
        <v>97101</v>
      </c>
      <c r="C6842" s="207" t="s">
        <v>7498</v>
      </c>
      <c r="D6842" s="208" t="s">
        <v>578</v>
      </c>
      <c r="E6842" s="209">
        <v>151.32</v>
      </c>
      <c r="F6842" s="209">
        <v>25.8</v>
      </c>
      <c r="G6842" s="209">
        <v>177.12</v>
      </c>
      <c r="H6842" s="198"/>
    </row>
    <row r="6843" spans="1:8" ht="15.75" hidden="1" customHeight="1" x14ac:dyDescent="0.25">
      <c r="A6843" s="205" t="s">
        <v>7478</v>
      </c>
      <c r="B6843" s="206">
        <v>97102</v>
      </c>
      <c r="C6843" s="207" t="s">
        <v>7499</v>
      </c>
      <c r="D6843" s="208" t="s">
        <v>578</v>
      </c>
      <c r="E6843" s="209">
        <v>192.1</v>
      </c>
      <c r="F6843" s="209">
        <v>28.88</v>
      </c>
      <c r="G6843" s="209">
        <v>220.98</v>
      </c>
      <c r="H6843" s="198"/>
    </row>
    <row r="6844" spans="1:8" ht="15.75" hidden="1" customHeight="1" x14ac:dyDescent="0.25">
      <c r="A6844" s="205" t="s">
        <v>7478</v>
      </c>
      <c r="B6844" s="206">
        <v>97103</v>
      </c>
      <c r="C6844" s="207" t="s">
        <v>7500</v>
      </c>
      <c r="D6844" s="208" t="s">
        <v>578</v>
      </c>
      <c r="E6844" s="209">
        <v>229.01</v>
      </c>
      <c r="F6844" s="209">
        <v>31.88</v>
      </c>
      <c r="G6844" s="209">
        <v>260.89</v>
      </c>
      <c r="H6844" s="198"/>
    </row>
    <row r="6845" spans="1:8" ht="15.75" hidden="1" customHeight="1" x14ac:dyDescent="0.25">
      <c r="A6845" s="205" t="s">
        <v>7478</v>
      </c>
      <c r="B6845" s="206">
        <v>103072</v>
      </c>
      <c r="C6845" s="207" t="s">
        <v>7501</v>
      </c>
      <c r="D6845" s="208" t="s">
        <v>578</v>
      </c>
      <c r="E6845" s="209">
        <v>273.26</v>
      </c>
      <c r="F6845" s="209">
        <v>34.94</v>
      </c>
      <c r="G6845" s="209">
        <v>308.2</v>
      </c>
      <c r="H6845" s="198"/>
    </row>
    <row r="6846" spans="1:8" ht="15.75" hidden="1" customHeight="1" x14ac:dyDescent="0.25">
      <c r="A6846" s="205" t="s">
        <v>7478</v>
      </c>
      <c r="B6846" s="206">
        <v>103073</v>
      </c>
      <c r="C6846" s="207" t="s">
        <v>7502</v>
      </c>
      <c r="D6846" s="208" t="s">
        <v>578</v>
      </c>
      <c r="E6846" s="209">
        <v>334.9</v>
      </c>
      <c r="F6846" s="209">
        <v>38.409999999999997</v>
      </c>
      <c r="G6846" s="209">
        <v>373.31</v>
      </c>
      <c r="H6846" s="198"/>
    </row>
    <row r="6847" spans="1:8" ht="15.75" hidden="1" customHeight="1" x14ac:dyDescent="0.25">
      <c r="A6847" s="205" t="s">
        <v>7478</v>
      </c>
      <c r="B6847" s="206">
        <v>97086</v>
      </c>
      <c r="C6847" s="207" t="s">
        <v>7503</v>
      </c>
      <c r="D6847" s="208" t="s">
        <v>578</v>
      </c>
      <c r="E6847" s="209">
        <v>69.72</v>
      </c>
      <c r="F6847" s="209">
        <v>94.86</v>
      </c>
      <c r="G6847" s="209">
        <v>164.58</v>
      </c>
      <c r="H6847" s="198"/>
    </row>
    <row r="6848" spans="1:8" ht="15.75" hidden="1" customHeight="1" x14ac:dyDescent="0.25">
      <c r="A6848" s="205" t="s">
        <v>7504</v>
      </c>
      <c r="B6848" s="206">
        <v>104766</v>
      </c>
      <c r="C6848" s="207" t="s">
        <v>7505</v>
      </c>
      <c r="D6848" s="208" t="s">
        <v>585</v>
      </c>
      <c r="E6848" s="209">
        <v>6.9</v>
      </c>
      <c r="F6848" s="209">
        <v>12.86</v>
      </c>
      <c r="G6848" s="209">
        <v>19.760000000000002</v>
      </c>
      <c r="H6848" s="198"/>
    </row>
    <row r="6849" spans="1:8" ht="15.75" hidden="1" customHeight="1" x14ac:dyDescent="0.25">
      <c r="A6849" s="205" t="s">
        <v>7504</v>
      </c>
      <c r="B6849" s="206">
        <v>90467</v>
      </c>
      <c r="C6849" s="207" t="s">
        <v>7506</v>
      </c>
      <c r="D6849" s="208" t="s">
        <v>585</v>
      </c>
      <c r="E6849" s="209">
        <v>9.99</v>
      </c>
      <c r="F6849" s="209">
        <v>18.89</v>
      </c>
      <c r="G6849" s="209">
        <v>28.88</v>
      </c>
      <c r="H6849" s="198"/>
    </row>
    <row r="6850" spans="1:8" ht="15.75" hidden="1" customHeight="1" x14ac:dyDescent="0.25">
      <c r="A6850" s="205" t="s">
        <v>7504</v>
      </c>
      <c r="B6850" s="206">
        <v>90466</v>
      </c>
      <c r="C6850" s="207" t="s">
        <v>7507</v>
      </c>
      <c r="D6850" s="208" t="s">
        <v>585</v>
      </c>
      <c r="E6850" s="209">
        <v>6.59</v>
      </c>
      <c r="F6850" s="209">
        <v>12.64</v>
      </c>
      <c r="G6850" s="209">
        <v>19.23</v>
      </c>
      <c r="H6850" s="198"/>
    </row>
    <row r="6851" spans="1:8" ht="15.75" hidden="1" customHeight="1" x14ac:dyDescent="0.25">
      <c r="A6851" s="205" t="s">
        <v>7504</v>
      </c>
      <c r="B6851" s="206">
        <v>90469</v>
      </c>
      <c r="C6851" s="207" t="s">
        <v>7508</v>
      </c>
      <c r="D6851" s="208" t="s">
        <v>585</v>
      </c>
      <c r="E6851" s="209">
        <v>6.23</v>
      </c>
      <c r="F6851" s="209">
        <v>7.47</v>
      </c>
      <c r="G6851" s="209">
        <v>13.7</v>
      </c>
      <c r="H6851" s="198"/>
    </row>
    <row r="6852" spans="1:8" ht="15.75" hidden="1" customHeight="1" x14ac:dyDescent="0.25">
      <c r="A6852" s="205" t="s">
        <v>7504</v>
      </c>
      <c r="B6852" s="206">
        <v>90470</v>
      </c>
      <c r="C6852" s="207" t="s">
        <v>7509</v>
      </c>
      <c r="D6852" s="208" t="s">
        <v>585</v>
      </c>
      <c r="E6852" s="209">
        <v>8.5399999999999991</v>
      </c>
      <c r="F6852" s="209">
        <v>9.5299999999999994</v>
      </c>
      <c r="G6852" s="209">
        <v>18.07</v>
      </c>
      <c r="H6852" s="198"/>
    </row>
    <row r="6853" spans="1:8" ht="15.75" hidden="1" customHeight="1" x14ac:dyDescent="0.25">
      <c r="A6853" s="205" t="s">
        <v>7504</v>
      </c>
      <c r="B6853" s="206">
        <v>90468</v>
      </c>
      <c r="C6853" s="207" t="s">
        <v>7510</v>
      </c>
      <c r="D6853" s="208" t="s">
        <v>585</v>
      </c>
      <c r="E6853" s="209">
        <v>4.07</v>
      </c>
      <c r="F6853" s="209">
        <v>4.97</v>
      </c>
      <c r="G6853" s="209">
        <v>9.0399999999999991</v>
      </c>
      <c r="H6853" s="198"/>
    </row>
    <row r="6854" spans="1:8" ht="15.75" hidden="1" customHeight="1" x14ac:dyDescent="0.25">
      <c r="A6854" s="205" t="s">
        <v>7504</v>
      </c>
      <c r="B6854" s="206">
        <v>91188</v>
      </c>
      <c r="C6854" s="207" t="s">
        <v>7511</v>
      </c>
      <c r="D6854" s="208" t="s">
        <v>580</v>
      </c>
      <c r="E6854" s="209">
        <v>6.4</v>
      </c>
      <c r="F6854" s="209">
        <v>9.64</v>
      </c>
      <c r="G6854" s="209">
        <v>16.04</v>
      </c>
      <c r="H6854" s="198"/>
    </row>
    <row r="6855" spans="1:8" ht="15.75" hidden="1" customHeight="1" x14ac:dyDescent="0.25">
      <c r="A6855" s="205" t="s">
        <v>7504</v>
      </c>
      <c r="B6855" s="206">
        <v>91189</v>
      </c>
      <c r="C6855" s="207" t="s">
        <v>7512</v>
      </c>
      <c r="D6855" s="208" t="s">
        <v>580</v>
      </c>
      <c r="E6855" s="209">
        <v>43.66</v>
      </c>
      <c r="F6855" s="209">
        <v>40.409999999999997</v>
      </c>
      <c r="G6855" s="209">
        <v>84.07</v>
      </c>
      <c r="H6855" s="198"/>
    </row>
    <row r="6856" spans="1:8" ht="15.75" hidden="1" customHeight="1" x14ac:dyDescent="0.25">
      <c r="A6856" s="205" t="s">
        <v>7504</v>
      </c>
      <c r="B6856" s="206">
        <v>91192</v>
      </c>
      <c r="C6856" s="207" t="s">
        <v>7513</v>
      </c>
      <c r="D6856" s="208" t="s">
        <v>580</v>
      </c>
      <c r="E6856" s="209">
        <v>13.86</v>
      </c>
      <c r="F6856" s="209">
        <v>11.12</v>
      </c>
      <c r="G6856" s="209">
        <v>24.98</v>
      </c>
      <c r="H6856" s="198"/>
    </row>
    <row r="6857" spans="1:8" ht="15.75" hidden="1" customHeight="1" x14ac:dyDescent="0.25">
      <c r="A6857" s="205" t="s">
        <v>7504</v>
      </c>
      <c r="B6857" s="206">
        <v>91190</v>
      </c>
      <c r="C6857" s="207" t="s">
        <v>7514</v>
      </c>
      <c r="D6857" s="208" t="s">
        <v>580</v>
      </c>
      <c r="E6857" s="209">
        <v>5.35</v>
      </c>
      <c r="F6857" s="209">
        <v>7.45</v>
      </c>
      <c r="G6857" s="209">
        <v>12.8</v>
      </c>
      <c r="H6857" s="198"/>
    </row>
    <row r="6858" spans="1:8" ht="15.75" hidden="1" customHeight="1" x14ac:dyDescent="0.25">
      <c r="A6858" s="205" t="s">
        <v>7504</v>
      </c>
      <c r="B6858" s="206">
        <v>91191</v>
      </c>
      <c r="C6858" s="207" t="s">
        <v>7515</v>
      </c>
      <c r="D6858" s="208" t="s">
        <v>580</v>
      </c>
      <c r="E6858" s="209">
        <v>8.4</v>
      </c>
      <c r="F6858" s="209">
        <v>8.77</v>
      </c>
      <c r="G6858" s="209">
        <v>17.170000000000002</v>
      </c>
      <c r="H6858" s="198"/>
    </row>
    <row r="6859" spans="1:8" ht="15.75" hidden="1" customHeight="1" x14ac:dyDescent="0.25">
      <c r="A6859" s="205" t="s">
        <v>7504</v>
      </c>
      <c r="B6859" s="206">
        <v>95541</v>
      </c>
      <c r="C6859" s="207" t="s">
        <v>7516</v>
      </c>
      <c r="D6859" s="208" t="s">
        <v>580</v>
      </c>
      <c r="E6859" s="209">
        <v>7.88</v>
      </c>
      <c r="F6859" s="209">
        <v>24.51</v>
      </c>
      <c r="G6859" s="209">
        <v>32.39</v>
      </c>
      <c r="H6859" s="198"/>
    </row>
    <row r="6860" spans="1:8" ht="15.75" hidden="1" customHeight="1" x14ac:dyDescent="0.25">
      <c r="A6860" s="205" t="s">
        <v>7504</v>
      </c>
      <c r="B6860" s="206">
        <v>104785</v>
      </c>
      <c r="C6860" s="207" t="s">
        <v>7517</v>
      </c>
      <c r="D6860" s="208" t="s">
        <v>585</v>
      </c>
      <c r="E6860" s="209">
        <v>8.58</v>
      </c>
      <c r="F6860" s="209">
        <v>6.39</v>
      </c>
      <c r="G6860" s="209">
        <v>14.97</v>
      </c>
      <c r="H6860" s="198"/>
    </row>
    <row r="6861" spans="1:8" ht="15.75" hidden="1" customHeight="1" x14ac:dyDescent="0.25">
      <c r="A6861" s="205" t="s">
        <v>7504</v>
      </c>
      <c r="B6861" s="206">
        <v>91181</v>
      </c>
      <c r="C6861" s="207" t="s">
        <v>7518</v>
      </c>
      <c r="D6861" s="208" t="s">
        <v>585</v>
      </c>
      <c r="E6861" s="209">
        <v>16.79</v>
      </c>
      <c r="F6861" s="209">
        <v>13</v>
      </c>
      <c r="G6861" s="209">
        <v>29.79</v>
      </c>
      <c r="H6861" s="198"/>
    </row>
    <row r="6862" spans="1:8" ht="15.75" hidden="1" customHeight="1" x14ac:dyDescent="0.25">
      <c r="A6862" s="205" t="s">
        <v>7504</v>
      </c>
      <c r="B6862" s="206">
        <v>91166</v>
      </c>
      <c r="C6862" s="207" t="s">
        <v>7519</v>
      </c>
      <c r="D6862" s="208" t="s">
        <v>585</v>
      </c>
      <c r="E6862" s="209">
        <v>2.7</v>
      </c>
      <c r="F6862" s="209">
        <v>1.83</v>
      </c>
      <c r="G6862" s="209">
        <v>4.53</v>
      </c>
      <c r="H6862" s="198"/>
    </row>
    <row r="6863" spans="1:8" ht="15.75" hidden="1" customHeight="1" x14ac:dyDescent="0.25">
      <c r="A6863" s="205" t="s">
        <v>7504</v>
      </c>
      <c r="B6863" s="206">
        <v>91167</v>
      </c>
      <c r="C6863" s="207" t="s">
        <v>7520</v>
      </c>
      <c r="D6863" s="208" t="s">
        <v>585</v>
      </c>
      <c r="E6863" s="209">
        <v>6.26</v>
      </c>
      <c r="F6863" s="209">
        <v>6.83</v>
      </c>
      <c r="G6863" s="209">
        <v>13.09</v>
      </c>
      <c r="H6863" s="198"/>
    </row>
    <row r="6864" spans="1:8" ht="15.75" hidden="1" customHeight="1" x14ac:dyDescent="0.25">
      <c r="A6864" s="205" t="s">
        <v>7504</v>
      </c>
      <c r="B6864" s="206">
        <v>91176</v>
      </c>
      <c r="C6864" s="207" t="s">
        <v>7521</v>
      </c>
      <c r="D6864" s="208" t="s">
        <v>585</v>
      </c>
      <c r="E6864" s="209">
        <v>12</v>
      </c>
      <c r="F6864" s="209">
        <v>8.9700000000000006</v>
      </c>
      <c r="G6864" s="209">
        <v>20.97</v>
      </c>
      <c r="H6864" s="198"/>
    </row>
    <row r="6865" spans="1:8" ht="15.75" hidden="1" customHeight="1" x14ac:dyDescent="0.25">
      <c r="A6865" s="205" t="s">
        <v>7504</v>
      </c>
      <c r="B6865" s="206">
        <v>91182</v>
      </c>
      <c r="C6865" s="207" t="s">
        <v>7522</v>
      </c>
      <c r="D6865" s="208" t="s">
        <v>585</v>
      </c>
      <c r="E6865" s="209">
        <v>9.9700000000000006</v>
      </c>
      <c r="F6865" s="209">
        <v>21.12</v>
      </c>
      <c r="G6865" s="209">
        <v>31.09</v>
      </c>
      <c r="H6865" s="198"/>
    </row>
    <row r="6866" spans="1:8" ht="15.75" hidden="1" customHeight="1" x14ac:dyDescent="0.25">
      <c r="A6866" s="205" t="s">
        <v>7504</v>
      </c>
      <c r="B6866" s="206">
        <v>91186</v>
      </c>
      <c r="C6866" s="207" t="s">
        <v>7523</v>
      </c>
      <c r="D6866" s="208" t="s">
        <v>585</v>
      </c>
      <c r="E6866" s="209">
        <v>10.88</v>
      </c>
      <c r="F6866" s="209">
        <v>23.49</v>
      </c>
      <c r="G6866" s="209">
        <v>34.369999999999997</v>
      </c>
      <c r="H6866" s="198"/>
    </row>
    <row r="6867" spans="1:8" ht="15.75" hidden="1" customHeight="1" x14ac:dyDescent="0.25">
      <c r="A6867" s="205" t="s">
        <v>7504</v>
      </c>
      <c r="B6867" s="206">
        <v>91171</v>
      </c>
      <c r="C6867" s="207" t="s">
        <v>7524</v>
      </c>
      <c r="D6867" s="208" t="s">
        <v>585</v>
      </c>
      <c r="E6867" s="209">
        <v>11.08</v>
      </c>
      <c r="F6867" s="209">
        <v>10.15</v>
      </c>
      <c r="G6867" s="209">
        <v>21.23</v>
      </c>
      <c r="H6867" s="198"/>
    </row>
    <row r="6868" spans="1:8" ht="15.75" hidden="1" customHeight="1" x14ac:dyDescent="0.25">
      <c r="A6868" s="205" t="s">
        <v>7504</v>
      </c>
      <c r="B6868" s="206">
        <v>91187</v>
      </c>
      <c r="C6868" s="207" t="s">
        <v>7525</v>
      </c>
      <c r="D6868" s="208" t="s">
        <v>585</v>
      </c>
      <c r="E6868" s="209">
        <v>9.6300000000000008</v>
      </c>
      <c r="F6868" s="209">
        <v>21.4</v>
      </c>
      <c r="G6868" s="209">
        <v>31.03</v>
      </c>
      <c r="H6868" s="198"/>
    </row>
    <row r="6869" spans="1:8" ht="15.75" hidden="1" customHeight="1" x14ac:dyDescent="0.25">
      <c r="A6869" s="205" t="s">
        <v>7504</v>
      </c>
      <c r="B6869" s="206">
        <v>91172</v>
      </c>
      <c r="C6869" s="207" t="s">
        <v>7526</v>
      </c>
      <c r="D6869" s="208" t="s">
        <v>585</v>
      </c>
      <c r="E6869" s="209">
        <v>12.92</v>
      </c>
      <c r="F6869" s="209">
        <v>11.5</v>
      </c>
      <c r="G6869" s="209">
        <v>24.42</v>
      </c>
      <c r="H6869" s="198"/>
    </row>
    <row r="6870" spans="1:8" ht="15.75" hidden="1" customHeight="1" x14ac:dyDescent="0.25">
      <c r="A6870" s="205" t="s">
        <v>7504</v>
      </c>
      <c r="B6870" s="206">
        <v>91185</v>
      </c>
      <c r="C6870" s="207" t="s">
        <v>7527</v>
      </c>
      <c r="D6870" s="208" t="s">
        <v>585</v>
      </c>
      <c r="E6870" s="209">
        <v>9.9700000000000006</v>
      </c>
      <c r="F6870" s="209">
        <v>21.12</v>
      </c>
      <c r="G6870" s="209">
        <v>31.09</v>
      </c>
      <c r="H6870" s="198"/>
    </row>
    <row r="6871" spans="1:8" ht="15.75" hidden="1" customHeight="1" x14ac:dyDescent="0.25">
      <c r="A6871" s="205" t="s">
        <v>7504</v>
      </c>
      <c r="B6871" s="206">
        <v>91170</v>
      </c>
      <c r="C6871" s="207" t="s">
        <v>7528</v>
      </c>
      <c r="D6871" s="208" t="s">
        <v>585</v>
      </c>
      <c r="E6871" s="209">
        <v>6.26</v>
      </c>
      <c r="F6871" s="209">
        <v>6.83</v>
      </c>
      <c r="G6871" s="209">
        <v>13.09</v>
      </c>
      <c r="H6871" s="198"/>
    </row>
    <row r="6872" spans="1:8" ht="15.75" hidden="1" customHeight="1" x14ac:dyDescent="0.25">
      <c r="A6872" s="205" t="s">
        <v>7504</v>
      </c>
      <c r="B6872" s="206">
        <v>91180</v>
      </c>
      <c r="C6872" s="207" t="s">
        <v>7529</v>
      </c>
      <c r="D6872" s="208" t="s">
        <v>585</v>
      </c>
      <c r="E6872" s="209">
        <v>16.079999999999998</v>
      </c>
      <c r="F6872" s="209">
        <v>12.16</v>
      </c>
      <c r="G6872" s="209">
        <v>28.24</v>
      </c>
      <c r="H6872" s="198"/>
    </row>
    <row r="6873" spans="1:8" ht="15.75" hidden="1" customHeight="1" x14ac:dyDescent="0.25">
      <c r="A6873" s="205" t="s">
        <v>7504</v>
      </c>
      <c r="B6873" s="206">
        <v>91179</v>
      </c>
      <c r="C6873" s="207" t="s">
        <v>7530</v>
      </c>
      <c r="D6873" s="208" t="s">
        <v>585</v>
      </c>
      <c r="E6873" s="209">
        <v>12</v>
      </c>
      <c r="F6873" s="209">
        <v>8.9700000000000006</v>
      </c>
      <c r="G6873" s="209">
        <v>20.97</v>
      </c>
      <c r="H6873" s="198"/>
    </row>
    <row r="6874" spans="1:8" ht="15.75" hidden="1" customHeight="1" x14ac:dyDescent="0.25">
      <c r="A6874" s="205" t="s">
        <v>7504</v>
      </c>
      <c r="B6874" s="206">
        <v>91174</v>
      </c>
      <c r="C6874" s="207" t="s">
        <v>7531</v>
      </c>
      <c r="D6874" s="208" t="s">
        <v>585</v>
      </c>
      <c r="E6874" s="209">
        <v>4.43</v>
      </c>
      <c r="F6874" s="209">
        <v>4.05</v>
      </c>
      <c r="G6874" s="209">
        <v>8.48</v>
      </c>
      <c r="H6874" s="198"/>
    </row>
    <row r="6875" spans="1:8" ht="15.75" hidden="1" customHeight="1" x14ac:dyDescent="0.25">
      <c r="A6875" s="205" t="s">
        <v>7504</v>
      </c>
      <c r="B6875" s="206">
        <v>91175</v>
      </c>
      <c r="C6875" s="207" t="s">
        <v>7532</v>
      </c>
      <c r="D6875" s="208" t="s">
        <v>585</v>
      </c>
      <c r="E6875" s="209">
        <v>6.97</v>
      </c>
      <c r="F6875" s="209">
        <v>6.21</v>
      </c>
      <c r="G6875" s="209">
        <v>13.18</v>
      </c>
      <c r="H6875" s="198"/>
    </row>
    <row r="6876" spans="1:8" ht="15.75" hidden="1" customHeight="1" x14ac:dyDescent="0.25">
      <c r="A6876" s="205" t="s">
        <v>7504</v>
      </c>
      <c r="B6876" s="206">
        <v>91173</v>
      </c>
      <c r="C6876" s="207" t="s">
        <v>7533</v>
      </c>
      <c r="D6876" s="208" t="s">
        <v>585</v>
      </c>
      <c r="E6876" s="209">
        <v>2.34</v>
      </c>
      <c r="F6876" s="209">
        <v>2.54</v>
      </c>
      <c r="G6876" s="209">
        <v>4.88</v>
      </c>
      <c r="H6876" s="198"/>
    </row>
    <row r="6877" spans="1:8" ht="15.75" hidden="1" customHeight="1" x14ac:dyDescent="0.25">
      <c r="A6877" s="205" t="s">
        <v>7504</v>
      </c>
      <c r="B6877" s="206">
        <v>104759</v>
      </c>
      <c r="C6877" s="207" t="s">
        <v>7534</v>
      </c>
      <c r="D6877" s="208" t="s">
        <v>580</v>
      </c>
      <c r="E6877" s="209">
        <v>13.9</v>
      </c>
      <c r="F6877" s="209">
        <v>39.69</v>
      </c>
      <c r="G6877" s="209">
        <v>53.59</v>
      </c>
      <c r="H6877" s="198"/>
    </row>
    <row r="6878" spans="1:8" ht="15.75" hidden="1" customHeight="1" x14ac:dyDescent="0.25">
      <c r="A6878" s="205" t="s">
        <v>7504</v>
      </c>
      <c r="B6878" s="206">
        <v>104760</v>
      </c>
      <c r="C6878" s="207" t="s">
        <v>7535</v>
      </c>
      <c r="D6878" s="208" t="s">
        <v>580</v>
      </c>
      <c r="E6878" s="209">
        <v>20.3</v>
      </c>
      <c r="F6878" s="209">
        <v>57.98</v>
      </c>
      <c r="G6878" s="209">
        <v>78.28</v>
      </c>
      <c r="H6878" s="198"/>
    </row>
    <row r="6879" spans="1:8" ht="15.75" hidden="1" customHeight="1" x14ac:dyDescent="0.25">
      <c r="A6879" s="205" t="s">
        <v>7504</v>
      </c>
      <c r="B6879" s="206">
        <v>104758</v>
      </c>
      <c r="C6879" s="207" t="s">
        <v>7536</v>
      </c>
      <c r="D6879" s="208" t="s">
        <v>580</v>
      </c>
      <c r="E6879" s="209">
        <v>5.22</v>
      </c>
      <c r="F6879" s="209">
        <v>14.89</v>
      </c>
      <c r="G6879" s="209">
        <v>20.11</v>
      </c>
      <c r="H6879" s="198"/>
    </row>
    <row r="6880" spans="1:8" ht="15.75" hidden="1" customHeight="1" x14ac:dyDescent="0.25">
      <c r="A6880" s="205" t="s">
        <v>7504</v>
      </c>
      <c r="B6880" s="206">
        <v>90437</v>
      </c>
      <c r="C6880" s="207" t="s">
        <v>7537</v>
      </c>
      <c r="D6880" s="208" t="s">
        <v>580</v>
      </c>
      <c r="E6880" s="209">
        <v>12.88</v>
      </c>
      <c r="F6880" s="209">
        <v>38.96</v>
      </c>
      <c r="G6880" s="209">
        <v>51.84</v>
      </c>
      <c r="H6880" s="198"/>
    </row>
    <row r="6881" spans="1:8" ht="15.75" hidden="1" customHeight="1" x14ac:dyDescent="0.25">
      <c r="A6881" s="205" t="s">
        <v>7504</v>
      </c>
      <c r="B6881" s="206">
        <v>90438</v>
      </c>
      <c r="C6881" s="207" t="s">
        <v>7538</v>
      </c>
      <c r="D6881" s="208" t="s">
        <v>580</v>
      </c>
      <c r="E6881" s="209">
        <v>18.809999999999999</v>
      </c>
      <c r="F6881" s="209">
        <v>56.91</v>
      </c>
      <c r="G6881" s="209">
        <v>75.72</v>
      </c>
      <c r="H6881" s="198"/>
    </row>
    <row r="6882" spans="1:8" ht="15.75" hidden="1" customHeight="1" x14ac:dyDescent="0.25">
      <c r="A6882" s="205" t="s">
        <v>7504</v>
      </c>
      <c r="B6882" s="206">
        <v>90436</v>
      </c>
      <c r="C6882" s="207" t="s">
        <v>7539</v>
      </c>
      <c r="D6882" s="208" t="s">
        <v>580</v>
      </c>
      <c r="E6882" s="209">
        <v>4.83</v>
      </c>
      <c r="F6882" s="209">
        <v>14.62</v>
      </c>
      <c r="G6882" s="209">
        <v>19.45</v>
      </c>
      <c r="H6882" s="198"/>
    </row>
    <row r="6883" spans="1:8" ht="15.75" hidden="1" customHeight="1" x14ac:dyDescent="0.25">
      <c r="A6883" s="205" t="s">
        <v>7504</v>
      </c>
      <c r="B6883" s="206">
        <v>104770</v>
      </c>
      <c r="C6883" s="207" t="s">
        <v>7540</v>
      </c>
      <c r="D6883" s="208" t="s">
        <v>580</v>
      </c>
      <c r="E6883" s="209">
        <v>0.6</v>
      </c>
      <c r="F6883" s="209">
        <v>1.66</v>
      </c>
      <c r="G6883" s="209">
        <v>2.2599999999999998</v>
      </c>
      <c r="H6883" s="198"/>
    </row>
    <row r="6884" spans="1:8" ht="15.75" hidden="1" customHeight="1" x14ac:dyDescent="0.25">
      <c r="A6884" s="205" t="s">
        <v>7504</v>
      </c>
      <c r="B6884" s="206">
        <v>104772</v>
      </c>
      <c r="C6884" s="207" t="s">
        <v>7541</v>
      </c>
      <c r="D6884" s="208" t="s">
        <v>580</v>
      </c>
      <c r="E6884" s="209">
        <v>0.87</v>
      </c>
      <c r="F6884" s="209">
        <v>2.4500000000000002</v>
      </c>
      <c r="G6884" s="209">
        <v>3.32</v>
      </c>
      <c r="H6884" s="198"/>
    </row>
    <row r="6885" spans="1:8" ht="15.75" hidden="1" customHeight="1" x14ac:dyDescent="0.25">
      <c r="A6885" s="205" t="s">
        <v>7504</v>
      </c>
      <c r="B6885" s="206">
        <v>104768</v>
      </c>
      <c r="C6885" s="207" t="s">
        <v>7542</v>
      </c>
      <c r="D6885" s="208" t="s">
        <v>580</v>
      </c>
      <c r="E6885" s="209">
        <v>0.22</v>
      </c>
      <c r="F6885" s="209">
        <v>0.63</v>
      </c>
      <c r="G6885" s="209">
        <v>0.85</v>
      </c>
      <c r="H6885" s="198"/>
    </row>
    <row r="6886" spans="1:8" ht="15.75" hidden="1" customHeight="1" x14ac:dyDescent="0.25">
      <c r="A6886" s="205" t="s">
        <v>7504</v>
      </c>
      <c r="B6886" s="206">
        <v>104769</v>
      </c>
      <c r="C6886" s="207" t="s">
        <v>7543</v>
      </c>
      <c r="D6886" s="208" t="s">
        <v>580</v>
      </c>
      <c r="E6886" s="209">
        <v>0.55000000000000004</v>
      </c>
      <c r="F6886" s="209">
        <v>1.65</v>
      </c>
      <c r="G6886" s="209">
        <v>2.2000000000000002</v>
      </c>
      <c r="H6886" s="198"/>
    </row>
    <row r="6887" spans="1:8" ht="15.75" hidden="1" customHeight="1" x14ac:dyDescent="0.25">
      <c r="A6887" s="205" t="s">
        <v>7504</v>
      </c>
      <c r="B6887" s="206">
        <v>104771</v>
      </c>
      <c r="C6887" s="207" t="s">
        <v>7544</v>
      </c>
      <c r="D6887" s="208" t="s">
        <v>580</v>
      </c>
      <c r="E6887" s="209">
        <v>0.8</v>
      </c>
      <c r="F6887" s="209">
        <v>2.41</v>
      </c>
      <c r="G6887" s="209">
        <v>3.21</v>
      </c>
      <c r="H6887" s="198"/>
    </row>
    <row r="6888" spans="1:8" ht="15.75" hidden="1" customHeight="1" x14ac:dyDescent="0.25">
      <c r="A6888" s="205" t="s">
        <v>7504</v>
      </c>
      <c r="B6888" s="206">
        <v>104767</v>
      </c>
      <c r="C6888" s="207" t="s">
        <v>7545</v>
      </c>
      <c r="D6888" s="208" t="s">
        <v>580</v>
      </c>
      <c r="E6888" s="209">
        <v>0.22</v>
      </c>
      <c r="F6888" s="209">
        <v>0.6</v>
      </c>
      <c r="G6888" s="209">
        <v>0.82</v>
      </c>
      <c r="H6888" s="198"/>
    </row>
    <row r="6889" spans="1:8" ht="15.75" hidden="1" customHeight="1" x14ac:dyDescent="0.25">
      <c r="A6889" s="205" t="s">
        <v>7504</v>
      </c>
      <c r="B6889" s="206">
        <v>104762</v>
      </c>
      <c r="C6889" s="207" t="s">
        <v>7546</v>
      </c>
      <c r="D6889" s="208" t="s">
        <v>580</v>
      </c>
      <c r="E6889" s="209">
        <v>9.51</v>
      </c>
      <c r="F6889" s="209">
        <v>23.35</v>
      </c>
      <c r="G6889" s="209">
        <v>32.86</v>
      </c>
      <c r="H6889" s="198"/>
    </row>
    <row r="6890" spans="1:8" ht="15.75" hidden="1" customHeight="1" x14ac:dyDescent="0.25">
      <c r="A6890" s="205" t="s">
        <v>7504</v>
      </c>
      <c r="B6890" s="206">
        <v>104763</v>
      </c>
      <c r="C6890" s="207" t="s">
        <v>7547</v>
      </c>
      <c r="D6890" s="208" t="s">
        <v>580</v>
      </c>
      <c r="E6890" s="209">
        <v>13.91</v>
      </c>
      <c r="F6890" s="209">
        <v>34.090000000000003</v>
      </c>
      <c r="G6890" s="209">
        <v>48</v>
      </c>
      <c r="H6890" s="198"/>
    </row>
    <row r="6891" spans="1:8" ht="15.75" hidden="1" customHeight="1" x14ac:dyDescent="0.25">
      <c r="A6891" s="205" t="s">
        <v>7504</v>
      </c>
      <c r="B6891" s="206">
        <v>104761</v>
      </c>
      <c r="C6891" s="207" t="s">
        <v>7548</v>
      </c>
      <c r="D6891" s="208" t="s">
        <v>580</v>
      </c>
      <c r="E6891" s="209">
        <v>3.57</v>
      </c>
      <c r="F6891" s="209">
        <v>8.76</v>
      </c>
      <c r="G6891" s="209">
        <v>12.33</v>
      </c>
      <c r="H6891" s="198"/>
    </row>
    <row r="6892" spans="1:8" ht="15.75" hidden="1" customHeight="1" x14ac:dyDescent="0.25">
      <c r="A6892" s="205" t="s">
        <v>7504</v>
      </c>
      <c r="B6892" s="206">
        <v>90440</v>
      </c>
      <c r="C6892" s="207" t="s">
        <v>7549</v>
      </c>
      <c r="D6892" s="208" t="s">
        <v>580</v>
      </c>
      <c r="E6892" s="209">
        <v>9.3699999999999992</v>
      </c>
      <c r="F6892" s="209">
        <v>23.26</v>
      </c>
      <c r="G6892" s="209">
        <v>32.630000000000003</v>
      </c>
      <c r="H6892" s="198"/>
    </row>
    <row r="6893" spans="1:8" ht="15.75" hidden="1" customHeight="1" x14ac:dyDescent="0.25">
      <c r="A6893" s="205" t="s">
        <v>7504</v>
      </c>
      <c r="B6893" s="206">
        <v>90441</v>
      </c>
      <c r="C6893" s="207" t="s">
        <v>7550</v>
      </c>
      <c r="D6893" s="208" t="s">
        <v>580</v>
      </c>
      <c r="E6893" s="209">
        <v>13.69</v>
      </c>
      <c r="F6893" s="209">
        <v>33.97</v>
      </c>
      <c r="G6893" s="209">
        <v>47.66</v>
      </c>
      <c r="H6893" s="198"/>
    </row>
    <row r="6894" spans="1:8" ht="15.75" hidden="1" customHeight="1" x14ac:dyDescent="0.25">
      <c r="A6894" s="205" t="s">
        <v>7504</v>
      </c>
      <c r="B6894" s="206">
        <v>90439</v>
      </c>
      <c r="C6894" s="207" t="s">
        <v>7551</v>
      </c>
      <c r="D6894" s="208" t="s">
        <v>580</v>
      </c>
      <c r="E6894" s="209">
        <v>3.52</v>
      </c>
      <c r="F6894" s="209">
        <v>8.7200000000000006</v>
      </c>
      <c r="G6894" s="209">
        <v>12.24</v>
      </c>
      <c r="H6894" s="198"/>
    </row>
    <row r="6895" spans="1:8" ht="15.75" hidden="1" customHeight="1" x14ac:dyDescent="0.25">
      <c r="A6895" s="205" t="s">
        <v>7504</v>
      </c>
      <c r="B6895" s="206">
        <v>104776</v>
      </c>
      <c r="C6895" s="207" t="s">
        <v>7552</v>
      </c>
      <c r="D6895" s="208" t="s">
        <v>580</v>
      </c>
      <c r="E6895" s="209">
        <v>2.4500000000000002</v>
      </c>
      <c r="F6895" s="209">
        <v>5.2</v>
      </c>
      <c r="G6895" s="209">
        <v>7.65</v>
      </c>
      <c r="H6895" s="198"/>
    </row>
    <row r="6896" spans="1:8" ht="15.75" hidden="1" customHeight="1" x14ac:dyDescent="0.25">
      <c r="A6896" s="205" t="s">
        <v>7504</v>
      </c>
      <c r="B6896" s="206">
        <v>104778</v>
      </c>
      <c r="C6896" s="207" t="s">
        <v>7553</v>
      </c>
      <c r="D6896" s="208" t="s">
        <v>580</v>
      </c>
      <c r="E6896" s="209">
        <v>3.56</v>
      </c>
      <c r="F6896" s="209">
        <v>7.62</v>
      </c>
      <c r="G6896" s="209">
        <v>11.18</v>
      </c>
      <c r="H6896" s="198"/>
    </row>
    <row r="6897" spans="1:8" ht="15.75" hidden="1" customHeight="1" x14ac:dyDescent="0.25">
      <c r="A6897" s="205" t="s">
        <v>7504</v>
      </c>
      <c r="B6897" s="206">
        <v>104774</v>
      </c>
      <c r="C6897" s="207" t="s">
        <v>7554</v>
      </c>
      <c r="D6897" s="208" t="s">
        <v>580</v>
      </c>
      <c r="E6897" s="209">
        <v>0.91</v>
      </c>
      <c r="F6897" s="209">
        <v>1.94</v>
      </c>
      <c r="G6897" s="209">
        <v>2.85</v>
      </c>
      <c r="H6897" s="198"/>
    </row>
    <row r="6898" spans="1:8" ht="15.75" hidden="1" customHeight="1" x14ac:dyDescent="0.25">
      <c r="A6898" s="205" t="s">
        <v>7504</v>
      </c>
      <c r="B6898" s="206">
        <v>104775</v>
      </c>
      <c r="C6898" s="207" t="s">
        <v>7555</v>
      </c>
      <c r="D6898" s="208" t="s">
        <v>580</v>
      </c>
      <c r="E6898" s="209">
        <v>2.3199999999999998</v>
      </c>
      <c r="F6898" s="209">
        <v>5.1100000000000003</v>
      </c>
      <c r="G6898" s="209">
        <v>7.43</v>
      </c>
      <c r="H6898" s="198"/>
    </row>
    <row r="6899" spans="1:8" ht="15.75" hidden="1" customHeight="1" x14ac:dyDescent="0.25">
      <c r="A6899" s="205" t="s">
        <v>7504</v>
      </c>
      <c r="B6899" s="206">
        <v>104777</v>
      </c>
      <c r="C6899" s="207" t="s">
        <v>7556</v>
      </c>
      <c r="D6899" s="208" t="s">
        <v>580</v>
      </c>
      <c r="E6899" s="209">
        <v>3.37</v>
      </c>
      <c r="F6899" s="209">
        <v>7.47</v>
      </c>
      <c r="G6899" s="209">
        <v>10.84</v>
      </c>
      <c r="H6899" s="198"/>
    </row>
    <row r="6900" spans="1:8" ht="15.75" hidden="1" customHeight="1" x14ac:dyDescent="0.25">
      <c r="A6900" s="205" t="s">
        <v>7504</v>
      </c>
      <c r="B6900" s="206">
        <v>104773</v>
      </c>
      <c r="C6900" s="207" t="s">
        <v>7557</v>
      </c>
      <c r="D6900" s="208" t="s">
        <v>580</v>
      </c>
      <c r="E6900" s="209">
        <v>0.86</v>
      </c>
      <c r="F6900" s="209">
        <v>1.91</v>
      </c>
      <c r="G6900" s="209">
        <v>2.77</v>
      </c>
      <c r="H6900" s="198"/>
    </row>
    <row r="6901" spans="1:8" ht="15.75" hidden="1" customHeight="1" x14ac:dyDescent="0.25">
      <c r="A6901" s="205" t="s">
        <v>7504</v>
      </c>
      <c r="B6901" s="206">
        <v>104782</v>
      </c>
      <c r="C6901" s="207" t="s">
        <v>7558</v>
      </c>
      <c r="D6901" s="208" t="s">
        <v>580</v>
      </c>
      <c r="E6901" s="209">
        <v>52.6</v>
      </c>
      <c r="F6901" s="209">
        <v>6.88</v>
      </c>
      <c r="G6901" s="209">
        <v>59.48</v>
      </c>
      <c r="H6901" s="198"/>
    </row>
    <row r="6902" spans="1:8" ht="15.75" hidden="1" customHeight="1" x14ac:dyDescent="0.25">
      <c r="A6902" s="205" t="s">
        <v>7504</v>
      </c>
      <c r="B6902" s="206">
        <v>90451</v>
      </c>
      <c r="C6902" s="207" t="s">
        <v>7559</v>
      </c>
      <c r="D6902" s="208" t="s">
        <v>580</v>
      </c>
      <c r="E6902" s="209">
        <v>3.56</v>
      </c>
      <c r="F6902" s="209">
        <v>4.0599999999999996</v>
      </c>
      <c r="G6902" s="209">
        <v>7.62</v>
      </c>
      <c r="H6902" s="198"/>
    </row>
    <row r="6903" spans="1:8" ht="15.75" hidden="1" customHeight="1" x14ac:dyDescent="0.25">
      <c r="A6903" s="205" t="s">
        <v>7504</v>
      </c>
      <c r="B6903" s="206">
        <v>90452</v>
      </c>
      <c r="C6903" s="207" t="s">
        <v>7560</v>
      </c>
      <c r="D6903" s="208" t="s">
        <v>580</v>
      </c>
      <c r="E6903" s="209">
        <v>18.39</v>
      </c>
      <c r="F6903" s="209">
        <v>7.14</v>
      </c>
      <c r="G6903" s="209">
        <v>25.53</v>
      </c>
      <c r="H6903" s="198"/>
    </row>
    <row r="6904" spans="1:8" ht="15.75" hidden="1" customHeight="1" x14ac:dyDescent="0.25">
      <c r="A6904" s="205" t="s">
        <v>7504</v>
      </c>
      <c r="B6904" s="206">
        <v>90455</v>
      </c>
      <c r="C6904" s="207" t="s">
        <v>7561</v>
      </c>
      <c r="D6904" s="208" t="s">
        <v>580</v>
      </c>
      <c r="E6904" s="209">
        <v>4.51</v>
      </c>
      <c r="F6904" s="209">
        <v>5.09</v>
      </c>
      <c r="G6904" s="209">
        <v>9.6</v>
      </c>
      <c r="H6904" s="198"/>
    </row>
    <row r="6905" spans="1:8" ht="15.75" hidden="1" customHeight="1" x14ac:dyDescent="0.25">
      <c r="A6905" s="205" t="s">
        <v>7504</v>
      </c>
      <c r="B6905" s="206">
        <v>104784</v>
      </c>
      <c r="C6905" s="207" t="s">
        <v>7562</v>
      </c>
      <c r="D6905" s="208" t="s">
        <v>580</v>
      </c>
      <c r="E6905" s="209">
        <v>8.69</v>
      </c>
      <c r="F6905" s="209">
        <v>7.09</v>
      </c>
      <c r="G6905" s="209">
        <v>15.78</v>
      </c>
      <c r="H6905" s="198"/>
    </row>
    <row r="6906" spans="1:8" ht="15.75" hidden="1" customHeight="1" x14ac:dyDescent="0.25">
      <c r="A6906" s="205" t="s">
        <v>7504</v>
      </c>
      <c r="B6906" s="206">
        <v>90453</v>
      </c>
      <c r="C6906" s="207" t="s">
        <v>7563</v>
      </c>
      <c r="D6906" s="208" t="s">
        <v>580</v>
      </c>
      <c r="E6906" s="209">
        <v>2.34</v>
      </c>
      <c r="F6906" s="209">
        <v>2.2999999999999998</v>
      </c>
      <c r="G6906" s="209">
        <v>4.6399999999999997</v>
      </c>
      <c r="H6906" s="198"/>
    </row>
    <row r="6907" spans="1:8" ht="15.75" hidden="1" customHeight="1" x14ac:dyDescent="0.25">
      <c r="A6907" s="205" t="s">
        <v>7504</v>
      </c>
      <c r="B6907" s="206">
        <v>104783</v>
      </c>
      <c r="C6907" s="207" t="s">
        <v>7564</v>
      </c>
      <c r="D6907" s="208" t="s">
        <v>580</v>
      </c>
      <c r="E6907" s="209">
        <v>3.1</v>
      </c>
      <c r="F6907" s="209">
        <v>2.69</v>
      </c>
      <c r="G6907" s="209">
        <v>5.79</v>
      </c>
      <c r="H6907" s="198"/>
    </row>
    <row r="6908" spans="1:8" ht="15.75" hidden="1" customHeight="1" x14ac:dyDescent="0.25">
      <c r="A6908" s="205" t="s">
        <v>7504</v>
      </c>
      <c r="B6908" s="206">
        <v>90454</v>
      </c>
      <c r="C6908" s="207" t="s">
        <v>7565</v>
      </c>
      <c r="D6908" s="208" t="s">
        <v>580</v>
      </c>
      <c r="E6908" s="209">
        <v>3.87</v>
      </c>
      <c r="F6908" s="209">
        <v>3.49</v>
      </c>
      <c r="G6908" s="209">
        <v>7.36</v>
      </c>
      <c r="H6908" s="198"/>
    </row>
    <row r="6909" spans="1:8" ht="15.75" hidden="1" customHeight="1" x14ac:dyDescent="0.25">
      <c r="A6909" s="205" t="s">
        <v>7504</v>
      </c>
      <c r="B6909" s="206">
        <v>90459</v>
      </c>
      <c r="C6909" s="207" t="s">
        <v>7566</v>
      </c>
      <c r="D6909" s="208" t="s">
        <v>580</v>
      </c>
      <c r="E6909" s="209">
        <v>15.85</v>
      </c>
      <c r="F6909" s="209">
        <v>47.93</v>
      </c>
      <c r="G6909" s="209">
        <v>63.78</v>
      </c>
      <c r="H6909" s="198"/>
    </row>
    <row r="6910" spans="1:8" ht="15.75" hidden="1" customHeight="1" x14ac:dyDescent="0.25">
      <c r="A6910" s="205" t="s">
        <v>7504</v>
      </c>
      <c r="B6910" s="206">
        <v>90456</v>
      </c>
      <c r="C6910" s="207" t="s">
        <v>7567</v>
      </c>
      <c r="D6910" s="208" t="s">
        <v>580</v>
      </c>
      <c r="E6910" s="209">
        <v>1.85</v>
      </c>
      <c r="F6910" s="209">
        <v>5.3</v>
      </c>
      <c r="G6910" s="209">
        <v>7.15</v>
      </c>
      <c r="H6910" s="198"/>
    </row>
    <row r="6911" spans="1:8" ht="15.75" hidden="1" customHeight="1" x14ac:dyDescent="0.25">
      <c r="A6911" s="205" t="s">
        <v>7504</v>
      </c>
      <c r="B6911" s="206">
        <v>90458</v>
      </c>
      <c r="C6911" s="207" t="s">
        <v>7568</v>
      </c>
      <c r="D6911" s="208" t="s">
        <v>580</v>
      </c>
      <c r="E6911" s="209">
        <v>12.08</v>
      </c>
      <c r="F6911" s="209">
        <v>34.5</v>
      </c>
      <c r="G6911" s="209">
        <v>46.58</v>
      </c>
      <c r="H6911" s="198"/>
    </row>
    <row r="6912" spans="1:8" ht="15.75" hidden="1" customHeight="1" x14ac:dyDescent="0.25">
      <c r="A6912" s="205" t="s">
        <v>7504</v>
      </c>
      <c r="B6912" s="206">
        <v>90457</v>
      </c>
      <c r="C6912" s="207" t="s">
        <v>7569</v>
      </c>
      <c r="D6912" s="208" t="s">
        <v>580</v>
      </c>
      <c r="E6912" s="209">
        <v>4.2300000000000004</v>
      </c>
      <c r="F6912" s="209">
        <v>12.1</v>
      </c>
      <c r="G6912" s="209">
        <v>16.329999999999998</v>
      </c>
      <c r="H6912" s="198"/>
    </row>
    <row r="6913" spans="1:8" ht="15.75" hidden="1" customHeight="1" x14ac:dyDescent="0.25">
      <c r="A6913" s="205" t="s">
        <v>7504</v>
      </c>
      <c r="B6913" s="206">
        <v>90447</v>
      </c>
      <c r="C6913" s="207" t="s">
        <v>7570</v>
      </c>
      <c r="D6913" s="208" t="s">
        <v>585</v>
      </c>
      <c r="E6913" s="209">
        <v>2.82</v>
      </c>
      <c r="F6913" s="209">
        <v>7.98</v>
      </c>
      <c r="G6913" s="209">
        <v>10.8</v>
      </c>
      <c r="H6913" s="198"/>
    </row>
    <row r="6914" spans="1:8" ht="15.75" hidden="1" customHeight="1" x14ac:dyDescent="0.25">
      <c r="A6914" s="205" t="s">
        <v>7504</v>
      </c>
      <c r="B6914" s="206">
        <v>91222</v>
      </c>
      <c r="C6914" s="207" t="s">
        <v>7571</v>
      </c>
      <c r="D6914" s="208" t="s">
        <v>585</v>
      </c>
      <c r="E6914" s="209">
        <v>2.89</v>
      </c>
      <c r="F6914" s="209">
        <v>8.7200000000000006</v>
      </c>
      <c r="G6914" s="209">
        <v>11.61</v>
      </c>
      <c r="H6914" s="198"/>
    </row>
    <row r="6915" spans="1:8" ht="15.75" hidden="1" customHeight="1" x14ac:dyDescent="0.25">
      <c r="A6915" s="205" t="s">
        <v>7504</v>
      </c>
      <c r="B6915" s="206">
        <v>90443</v>
      </c>
      <c r="C6915" s="207" t="s">
        <v>7572</v>
      </c>
      <c r="D6915" s="208" t="s">
        <v>585</v>
      </c>
      <c r="E6915" s="209">
        <v>2.6</v>
      </c>
      <c r="F6915" s="209">
        <v>7.85</v>
      </c>
      <c r="G6915" s="209">
        <v>10.45</v>
      </c>
      <c r="H6915" s="198"/>
    </row>
    <row r="6916" spans="1:8" ht="15.75" hidden="1" customHeight="1" x14ac:dyDescent="0.25">
      <c r="A6916" s="205" t="s">
        <v>7504</v>
      </c>
      <c r="B6916" s="206">
        <v>104780</v>
      </c>
      <c r="C6916" s="207" t="s">
        <v>7573</v>
      </c>
      <c r="D6916" s="208" t="s">
        <v>585</v>
      </c>
      <c r="E6916" s="209">
        <v>1.88</v>
      </c>
      <c r="F6916" s="209">
        <v>5.55</v>
      </c>
      <c r="G6916" s="209">
        <v>7.43</v>
      </c>
      <c r="H6916" s="198"/>
    </row>
    <row r="6917" spans="1:8" ht="15.75" hidden="1" customHeight="1" x14ac:dyDescent="0.25">
      <c r="A6917" s="205" t="s">
        <v>7504</v>
      </c>
      <c r="B6917" s="206">
        <v>104781</v>
      </c>
      <c r="C6917" s="207" t="s">
        <v>7574</v>
      </c>
      <c r="D6917" s="208" t="s">
        <v>585</v>
      </c>
      <c r="E6917" s="209">
        <v>2.15</v>
      </c>
      <c r="F6917" s="209">
        <v>6.38</v>
      </c>
      <c r="G6917" s="209">
        <v>8.5299999999999994</v>
      </c>
      <c r="H6917" s="198"/>
    </row>
    <row r="6918" spans="1:8" ht="15.75" hidden="1" customHeight="1" x14ac:dyDescent="0.25">
      <c r="A6918" s="205" t="s">
        <v>7504</v>
      </c>
      <c r="B6918" s="206">
        <v>104779</v>
      </c>
      <c r="C6918" s="207" t="s">
        <v>7575</v>
      </c>
      <c r="D6918" s="208" t="s">
        <v>585</v>
      </c>
      <c r="E6918" s="209">
        <v>1.84</v>
      </c>
      <c r="F6918" s="209">
        <v>5.54</v>
      </c>
      <c r="G6918" s="209">
        <v>7.38</v>
      </c>
      <c r="H6918" s="198"/>
    </row>
    <row r="6919" spans="1:8" ht="15.75" hidden="1" customHeight="1" x14ac:dyDescent="0.25">
      <c r="A6919" s="205" t="s">
        <v>7504</v>
      </c>
      <c r="B6919" s="206">
        <v>104787</v>
      </c>
      <c r="C6919" s="207" t="s">
        <v>7576</v>
      </c>
      <c r="D6919" s="208" t="s">
        <v>585</v>
      </c>
      <c r="E6919" s="209">
        <v>3.12</v>
      </c>
      <c r="F6919" s="209">
        <v>7.68</v>
      </c>
      <c r="G6919" s="209">
        <v>10.8</v>
      </c>
      <c r="H6919" s="198"/>
    </row>
    <row r="6920" spans="1:8" ht="15.75" hidden="1" customHeight="1" x14ac:dyDescent="0.25">
      <c r="A6920" s="205" t="s">
        <v>7504</v>
      </c>
      <c r="B6920" s="206">
        <v>104788</v>
      </c>
      <c r="C6920" s="207" t="s">
        <v>7577</v>
      </c>
      <c r="D6920" s="208" t="s">
        <v>585</v>
      </c>
      <c r="E6920" s="209">
        <v>4.1100000000000003</v>
      </c>
      <c r="F6920" s="209">
        <v>10.23</v>
      </c>
      <c r="G6920" s="209">
        <v>14.34</v>
      </c>
      <c r="H6920" s="198"/>
    </row>
    <row r="6921" spans="1:8" ht="15.75" hidden="1" customHeight="1" x14ac:dyDescent="0.25">
      <c r="A6921" s="205" t="s">
        <v>7504</v>
      </c>
      <c r="B6921" s="206">
        <v>104786</v>
      </c>
      <c r="C6921" s="207" t="s">
        <v>7578</v>
      </c>
      <c r="D6921" s="208" t="s">
        <v>585</v>
      </c>
      <c r="E6921" s="209">
        <v>2.35</v>
      </c>
      <c r="F6921" s="209">
        <v>5.79</v>
      </c>
      <c r="G6921" s="209">
        <v>8.14</v>
      </c>
      <c r="H6921" s="198"/>
    </row>
    <row r="6922" spans="1:8" ht="15.75" hidden="1" customHeight="1" x14ac:dyDescent="0.25">
      <c r="A6922" s="205" t="s">
        <v>7504</v>
      </c>
      <c r="B6922" s="206">
        <v>90445</v>
      </c>
      <c r="C6922" s="207" t="s">
        <v>7579</v>
      </c>
      <c r="D6922" s="208" t="s">
        <v>585</v>
      </c>
      <c r="E6922" s="209">
        <v>6.13</v>
      </c>
      <c r="F6922" s="209">
        <v>16.29</v>
      </c>
      <c r="G6922" s="209">
        <v>22.42</v>
      </c>
      <c r="H6922" s="198"/>
    </row>
    <row r="6923" spans="1:8" ht="15.75" hidden="1" customHeight="1" x14ac:dyDescent="0.25">
      <c r="A6923" s="205" t="s">
        <v>7504</v>
      </c>
      <c r="B6923" s="206">
        <v>90446</v>
      </c>
      <c r="C6923" s="207" t="s">
        <v>7580</v>
      </c>
      <c r="D6923" s="208" t="s">
        <v>585</v>
      </c>
      <c r="E6923" s="209">
        <v>8.11</v>
      </c>
      <c r="F6923" s="209">
        <v>21.65</v>
      </c>
      <c r="G6923" s="209">
        <v>29.76</v>
      </c>
      <c r="H6923" s="198"/>
    </row>
    <row r="6924" spans="1:8" ht="15.75" hidden="1" customHeight="1" x14ac:dyDescent="0.25">
      <c r="A6924" s="205" t="s">
        <v>7504</v>
      </c>
      <c r="B6924" s="206">
        <v>90444</v>
      </c>
      <c r="C6924" s="207" t="s">
        <v>7581</v>
      </c>
      <c r="D6924" s="208" t="s">
        <v>585</v>
      </c>
      <c r="E6924" s="209">
        <v>4.6100000000000003</v>
      </c>
      <c r="F6924" s="209">
        <v>12.29</v>
      </c>
      <c r="G6924" s="209">
        <v>16.899999999999999</v>
      </c>
      <c r="H6924" s="198"/>
    </row>
    <row r="6925" spans="1:8" ht="15.75" hidden="1" customHeight="1" x14ac:dyDescent="0.25">
      <c r="A6925" s="205" t="s">
        <v>7504</v>
      </c>
      <c r="B6925" s="206">
        <v>104764</v>
      </c>
      <c r="C6925" s="207" t="s">
        <v>7582</v>
      </c>
      <c r="D6925" s="208" t="s">
        <v>585</v>
      </c>
      <c r="E6925" s="209">
        <v>14.46</v>
      </c>
      <c r="F6925" s="209">
        <v>8.59</v>
      </c>
      <c r="G6925" s="209">
        <v>23.05</v>
      </c>
      <c r="H6925" s="198"/>
    </row>
    <row r="6926" spans="1:8" ht="15.75" hidden="1" customHeight="1" x14ac:dyDescent="0.25">
      <c r="A6926" s="205" t="s">
        <v>7504</v>
      </c>
      <c r="B6926" s="206">
        <v>90460</v>
      </c>
      <c r="C6926" s="207" t="s">
        <v>7583</v>
      </c>
      <c r="D6926" s="208" t="s">
        <v>585</v>
      </c>
      <c r="E6926" s="209">
        <v>19.16</v>
      </c>
      <c r="F6926" s="209">
        <v>8.44</v>
      </c>
      <c r="G6926" s="209">
        <v>27.6</v>
      </c>
      <c r="H6926" s="198"/>
    </row>
    <row r="6927" spans="1:8" ht="15.75" hidden="1" customHeight="1" x14ac:dyDescent="0.25">
      <c r="A6927" s="205" t="s">
        <v>7504</v>
      </c>
      <c r="B6927" s="206">
        <v>90462</v>
      </c>
      <c r="C6927" s="207" t="s">
        <v>7584</v>
      </c>
      <c r="D6927" s="208" t="s">
        <v>585</v>
      </c>
      <c r="E6927" s="209">
        <v>3.38</v>
      </c>
      <c r="F6927" s="209">
        <v>1.51</v>
      </c>
      <c r="G6927" s="209">
        <v>4.8899999999999997</v>
      </c>
      <c r="H6927" s="198"/>
    </row>
    <row r="6928" spans="1:8" ht="15.75" hidden="1" customHeight="1" x14ac:dyDescent="0.25">
      <c r="A6928" s="205" t="s">
        <v>7504</v>
      </c>
      <c r="B6928" s="206">
        <v>104765</v>
      </c>
      <c r="C6928" s="207" t="s">
        <v>7585</v>
      </c>
      <c r="D6928" s="208" t="s">
        <v>585</v>
      </c>
      <c r="E6928" s="209">
        <v>9.65</v>
      </c>
      <c r="F6928" s="209">
        <v>9.9499999999999993</v>
      </c>
      <c r="G6928" s="209">
        <v>19.600000000000001</v>
      </c>
      <c r="H6928" s="198"/>
    </row>
    <row r="6929" spans="1:8" ht="15.75" hidden="1" customHeight="1" x14ac:dyDescent="0.25">
      <c r="A6929" s="205" t="s">
        <v>7504</v>
      </c>
      <c r="B6929" s="206">
        <v>90461</v>
      </c>
      <c r="C6929" s="207" t="s">
        <v>7586</v>
      </c>
      <c r="D6929" s="208" t="s">
        <v>585</v>
      </c>
      <c r="E6929" s="209">
        <v>12.06</v>
      </c>
      <c r="F6929" s="209">
        <v>9.77</v>
      </c>
      <c r="G6929" s="209">
        <v>21.83</v>
      </c>
      <c r="H6929" s="198"/>
    </row>
    <row r="6930" spans="1:8" ht="15.75" hidden="1" customHeight="1" x14ac:dyDescent="0.25">
      <c r="A6930" s="205" t="s">
        <v>7504</v>
      </c>
      <c r="B6930" s="206">
        <v>90463</v>
      </c>
      <c r="C6930" s="207" t="s">
        <v>7587</v>
      </c>
      <c r="D6930" s="208" t="s">
        <v>585</v>
      </c>
      <c r="E6930" s="209">
        <v>2.58</v>
      </c>
      <c r="F6930" s="209">
        <v>1.73</v>
      </c>
      <c r="G6930" s="209">
        <v>4.3099999999999996</v>
      </c>
      <c r="H6930" s="198"/>
    </row>
    <row r="6931" spans="1:8" ht="15.75" hidden="1" customHeight="1" x14ac:dyDescent="0.25">
      <c r="A6931" s="205" t="s">
        <v>7504</v>
      </c>
      <c r="B6931" s="206">
        <v>96560</v>
      </c>
      <c r="C6931" s="207" t="s">
        <v>7588</v>
      </c>
      <c r="D6931" s="208" t="s">
        <v>578</v>
      </c>
      <c r="E6931" s="209">
        <v>22.3</v>
      </c>
      <c r="F6931" s="209">
        <v>16.72</v>
      </c>
      <c r="G6931" s="209">
        <v>39.020000000000003</v>
      </c>
      <c r="H6931" s="198"/>
    </row>
    <row r="6932" spans="1:8" ht="15.75" hidden="1" customHeight="1" x14ac:dyDescent="0.25">
      <c r="A6932" s="205" t="s">
        <v>7504</v>
      </c>
      <c r="B6932" s="206">
        <v>96559</v>
      </c>
      <c r="C6932" s="207" t="s">
        <v>7589</v>
      </c>
      <c r="D6932" s="208" t="s">
        <v>578</v>
      </c>
      <c r="E6932" s="209">
        <v>27.51</v>
      </c>
      <c r="F6932" s="209">
        <v>11.56</v>
      </c>
      <c r="G6932" s="209">
        <v>39.07</v>
      </c>
      <c r="H6932" s="198"/>
    </row>
    <row r="6933" spans="1:8" ht="15.75" hidden="1" customHeight="1" x14ac:dyDescent="0.25">
      <c r="A6933" s="205" t="s">
        <v>7504</v>
      </c>
      <c r="B6933" s="206">
        <v>96562</v>
      </c>
      <c r="C6933" s="207" t="s">
        <v>7590</v>
      </c>
      <c r="D6933" s="208" t="s">
        <v>585</v>
      </c>
      <c r="E6933" s="209">
        <v>34.07</v>
      </c>
      <c r="F6933" s="209">
        <v>24.79</v>
      </c>
      <c r="G6933" s="209">
        <v>58.86</v>
      </c>
      <c r="H6933" s="198"/>
    </row>
    <row r="6934" spans="1:8" ht="15.75" hidden="1" customHeight="1" x14ac:dyDescent="0.25">
      <c r="A6934" s="205" t="s">
        <v>7504</v>
      </c>
      <c r="B6934" s="206">
        <v>96563</v>
      </c>
      <c r="C6934" s="207" t="s">
        <v>7591</v>
      </c>
      <c r="D6934" s="208" t="s">
        <v>585</v>
      </c>
      <c r="E6934" s="209">
        <v>40.71</v>
      </c>
      <c r="F6934" s="209">
        <v>24.78</v>
      </c>
      <c r="G6934" s="209">
        <v>65.489999999999995</v>
      </c>
      <c r="H6934" s="198"/>
    </row>
    <row r="6935" spans="1:8" ht="15.75" hidden="1" customHeight="1" x14ac:dyDescent="0.25">
      <c r="A6935" s="205" t="s">
        <v>7592</v>
      </c>
      <c r="B6935" s="206">
        <v>101870</v>
      </c>
      <c r="C6935" s="207" t="s">
        <v>7593</v>
      </c>
      <c r="D6935" s="208" t="s">
        <v>578</v>
      </c>
      <c r="E6935" s="209">
        <v>19.93</v>
      </c>
      <c r="F6935" s="209">
        <v>29.62</v>
      </c>
      <c r="G6935" s="209">
        <v>49.55</v>
      </c>
      <c r="H6935" s="198"/>
    </row>
    <row r="6936" spans="1:8" ht="15.75" hidden="1" customHeight="1" x14ac:dyDescent="0.25">
      <c r="A6936" s="205" t="s">
        <v>7592</v>
      </c>
      <c r="B6936" s="206">
        <v>101866</v>
      </c>
      <c r="C6936" s="207" t="s">
        <v>7594</v>
      </c>
      <c r="D6936" s="208" t="s">
        <v>578</v>
      </c>
      <c r="E6936" s="209">
        <v>17.59</v>
      </c>
      <c r="F6936" s="209">
        <v>24.44</v>
      </c>
      <c r="G6936" s="209">
        <v>42.03</v>
      </c>
      <c r="H6936" s="198"/>
    </row>
    <row r="6937" spans="1:8" ht="15.75" hidden="1" customHeight="1" x14ac:dyDescent="0.25">
      <c r="A6937" s="205" t="s">
        <v>7592</v>
      </c>
      <c r="B6937" s="206">
        <v>101867</v>
      </c>
      <c r="C6937" s="207" t="s">
        <v>7595</v>
      </c>
      <c r="D6937" s="208" t="s">
        <v>578</v>
      </c>
      <c r="E6937" s="209">
        <v>19.39</v>
      </c>
      <c r="F6937" s="209">
        <v>28.43</v>
      </c>
      <c r="G6937" s="209">
        <v>47.82</v>
      </c>
      <c r="H6937" s="198"/>
    </row>
    <row r="6938" spans="1:8" ht="15.75" hidden="1" customHeight="1" x14ac:dyDescent="0.25">
      <c r="A6938" s="205" t="s">
        <v>7592</v>
      </c>
      <c r="B6938" s="206">
        <v>101868</v>
      </c>
      <c r="C6938" s="207" t="s">
        <v>7596</v>
      </c>
      <c r="D6938" s="208" t="s">
        <v>578</v>
      </c>
      <c r="E6938" s="209">
        <v>16.38</v>
      </c>
      <c r="F6938" s="209">
        <v>21.62</v>
      </c>
      <c r="G6938" s="209">
        <v>38</v>
      </c>
      <c r="H6938" s="198"/>
    </row>
    <row r="6939" spans="1:8" ht="15.75" hidden="1" customHeight="1" x14ac:dyDescent="0.25">
      <c r="A6939" s="205" t="s">
        <v>7592</v>
      </c>
      <c r="B6939" s="206">
        <v>101869</v>
      </c>
      <c r="C6939" s="207" t="s">
        <v>7597</v>
      </c>
      <c r="D6939" s="208" t="s">
        <v>578</v>
      </c>
      <c r="E6939" s="209">
        <v>18.170000000000002</v>
      </c>
      <c r="F6939" s="209">
        <v>25.62</v>
      </c>
      <c r="G6939" s="209">
        <v>43.79</v>
      </c>
      <c r="H6939" s="198"/>
    </row>
    <row r="6940" spans="1:8" ht="15.75" hidden="1" customHeight="1" x14ac:dyDescent="0.25">
      <c r="A6940" s="205" t="s">
        <v>7592</v>
      </c>
      <c r="B6940" s="206">
        <v>101856</v>
      </c>
      <c r="C6940" s="207" t="s">
        <v>7598</v>
      </c>
      <c r="D6940" s="208" t="s">
        <v>578</v>
      </c>
      <c r="E6940" s="209">
        <v>15.29</v>
      </c>
      <c r="F6940" s="209">
        <v>19.14</v>
      </c>
      <c r="G6940" s="209">
        <v>34.43</v>
      </c>
      <c r="H6940" s="198"/>
    </row>
    <row r="6941" spans="1:8" ht="15.75" hidden="1" customHeight="1" x14ac:dyDescent="0.25">
      <c r="A6941" s="205" t="s">
        <v>7592</v>
      </c>
      <c r="B6941" s="206">
        <v>101865</v>
      </c>
      <c r="C6941" s="207" t="s">
        <v>7599</v>
      </c>
      <c r="D6941" s="208" t="s">
        <v>578</v>
      </c>
      <c r="E6941" s="209">
        <v>19.22</v>
      </c>
      <c r="F6941" s="209">
        <v>28.01</v>
      </c>
      <c r="G6941" s="209">
        <v>47.23</v>
      </c>
      <c r="H6941" s="198"/>
    </row>
    <row r="6942" spans="1:8" ht="15.75" hidden="1" customHeight="1" x14ac:dyDescent="0.25">
      <c r="A6942" s="205" t="s">
        <v>7592</v>
      </c>
      <c r="B6942" s="206">
        <v>101861</v>
      </c>
      <c r="C6942" s="207" t="s">
        <v>7600</v>
      </c>
      <c r="D6942" s="208" t="s">
        <v>578</v>
      </c>
      <c r="E6942" s="209">
        <v>17.510000000000002</v>
      </c>
      <c r="F6942" s="209">
        <v>24.24</v>
      </c>
      <c r="G6942" s="209">
        <v>41.75</v>
      </c>
      <c r="H6942" s="198"/>
    </row>
    <row r="6943" spans="1:8" ht="15.75" hidden="1" customHeight="1" x14ac:dyDescent="0.25">
      <c r="A6943" s="205" t="s">
        <v>7592</v>
      </c>
      <c r="B6943" s="206">
        <v>101862</v>
      </c>
      <c r="C6943" s="207" t="s">
        <v>7601</v>
      </c>
      <c r="D6943" s="208" t="s">
        <v>578</v>
      </c>
      <c r="E6943" s="209">
        <v>18.670000000000002</v>
      </c>
      <c r="F6943" s="209">
        <v>26.82</v>
      </c>
      <c r="G6943" s="209">
        <v>45.49</v>
      </c>
      <c r="H6943" s="198"/>
    </row>
    <row r="6944" spans="1:8" ht="15.75" hidden="1" customHeight="1" x14ac:dyDescent="0.25">
      <c r="A6944" s="205" t="s">
        <v>7592</v>
      </c>
      <c r="B6944" s="206">
        <v>101863</v>
      </c>
      <c r="C6944" s="207" t="s">
        <v>7602</v>
      </c>
      <c r="D6944" s="208" t="s">
        <v>578</v>
      </c>
      <c r="E6944" s="209">
        <v>15.68</v>
      </c>
      <c r="F6944" s="209">
        <v>20</v>
      </c>
      <c r="G6944" s="209">
        <v>35.68</v>
      </c>
      <c r="H6944" s="198"/>
    </row>
    <row r="6945" spans="1:8" ht="15.75" hidden="1" customHeight="1" x14ac:dyDescent="0.25">
      <c r="A6945" s="205" t="s">
        <v>7592</v>
      </c>
      <c r="B6945" s="206">
        <v>101864</v>
      </c>
      <c r="C6945" s="207" t="s">
        <v>7603</v>
      </c>
      <c r="D6945" s="208" t="s">
        <v>578</v>
      </c>
      <c r="E6945" s="209">
        <v>17.43</v>
      </c>
      <c r="F6945" s="209">
        <v>24.02</v>
      </c>
      <c r="G6945" s="209">
        <v>41.45</v>
      </c>
      <c r="H6945" s="198"/>
    </row>
    <row r="6946" spans="1:8" ht="15.75" hidden="1" customHeight="1" x14ac:dyDescent="0.25">
      <c r="A6946" s="205" t="s">
        <v>7592</v>
      </c>
      <c r="B6946" s="206">
        <v>101860</v>
      </c>
      <c r="C6946" s="207" t="s">
        <v>7604</v>
      </c>
      <c r="D6946" s="208" t="s">
        <v>578</v>
      </c>
      <c r="E6946" s="209">
        <v>18.420000000000002</v>
      </c>
      <c r="F6946" s="209">
        <v>26.19</v>
      </c>
      <c r="G6946" s="209">
        <v>44.61</v>
      </c>
      <c r="H6946" s="198"/>
    </row>
    <row r="6947" spans="1:8" ht="15.75" hidden="1" customHeight="1" x14ac:dyDescent="0.25">
      <c r="A6947" s="205" t="s">
        <v>7592</v>
      </c>
      <c r="B6947" s="206">
        <v>101857</v>
      </c>
      <c r="C6947" s="207" t="s">
        <v>7605</v>
      </c>
      <c r="D6947" s="208" t="s">
        <v>578</v>
      </c>
      <c r="E6947" s="209">
        <v>17.91</v>
      </c>
      <c r="F6947" s="209">
        <v>25.08</v>
      </c>
      <c r="G6947" s="209">
        <v>42.99</v>
      </c>
      <c r="H6947" s="198"/>
    </row>
    <row r="6948" spans="1:8" ht="15.75" hidden="1" customHeight="1" x14ac:dyDescent="0.25">
      <c r="A6948" s="205" t="s">
        <v>7592</v>
      </c>
      <c r="B6948" s="206">
        <v>101858</v>
      </c>
      <c r="C6948" s="207" t="s">
        <v>7606</v>
      </c>
      <c r="D6948" s="208" t="s">
        <v>578</v>
      </c>
      <c r="E6948" s="209">
        <v>15.51</v>
      </c>
      <c r="F6948" s="209">
        <v>19.66</v>
      </c>
      <c r="G6948" s="209">
        <v>35.17</v>
      </c>
      <c r="H6948" s="198"/>
    </row>
    <row r="6949" spans="1:8" ht="15.75" hidden="1" customHeight="1" x14ac:dyDescent="0.25">
      <c r="A6949" s="205" t="s">
        <v>7592</v>
      </c>
      <c r="B6949" s="206">
        <v>101859</v>
      </c>
      <c r="C6949" s="207" t="s">
        <v>7607</v>
      </c>
      <c r="D6949" s="208" t="s">
        <v>578</v>
      </c>
      <c r="E6949" s="209">
        <v>16.64</v>
      </c>
      <c r="F6949" s="209">
        <v>22.2</v>
      </c>
      <c r="G6949" s="209">
        <v>38.840000000000003</v>
      </c>
      <c r="H6949" s="198"/>
    </row>
    <row r="6950" spans="1:8" ht="15.75" hidden="1" customHeight="1" x14ac:dyDescent="0.25">
      <c r="A6950" s="205" t="s">
        <v>7592</v>
      </c>
      <c r="B6950" s="206">
        <v>101852</v>
      </c>
      <c r="C6950" s="207" t="s">
        <v>7608</v>
      </c>
      <c r="D6950" s="208" t="s">
        <v>578</v>
      </c>
      <c r="E6950" s="209">
        <v>50.39</v>
      </c>
      <c r="F6950" s="209">
        <v>39.07</v>
      </c>
      <c r="G6950" s="209">
        <v>89.46</v>
      </c>
      <c r="H6950" s="198"/>
    </row>
    <row r="6951" spans="1:8" ht="15.75" hidden="1" customHeight="1" x14ac:dyDescent="0.25">
      <c r="A6951" s="205" t="s">
        <v>7592</v>
      </c>
      <c r="B6951" s="206">
        <v>101850</v>
      </c>
      <c r="C6951" s="207" t="s">
        <v>7609</v>
      </c>
      <c r="D6951" s="208" t="s">
        <v>578</v>
      </c>
      <c r="E6951" s="209">
        <v>39.19</v>
      </c>
      <c r="F6951" s="209">
        <v>33.76</v>
      </c>
      <c r="G6951" s="209">
        <v>72.95</v>
      </c>
      <c r="H6951" s="198"/>
    </row>
    <row r="6952" spans="1:8" ht="15.75" hidden="1" customHeight="1" x14ac:dyDescent="0.25">
      <c r="A6952" s="205" t="s">
        <v>7592</v>
      </c>
      <c r="B6952" s="206">
        <v>101855</v>
      </c>
      <c r="C6952" s="207" t="s">
        <v>7610</v>
      </c>
      <c r="D6952" s="208" t="s">
        <v>578</v>
      </c>
      <c r="E6952" s="209">
        <v>57.35</v>
      </c>
      <c r="F6952" s="209">
        <v>34.86</v>
      </c>
      <c r="G6952" s="209">
        <v>92.21</v>
      </c>
      <c r="H6952" s="198"/>
    </row>
    <row r="6953" spans="1:8" ht="15.75" hidden="1" customHeight="1" x14ac:dyDescent="0.25">
      <c r="A6953" s="205" t="s">
        <v>7592</v>
      </c>
      <c r="B6953" s="206">
        <v>101853</v>
      </c>
      <c r="C6953" s="207" t="s">
        <v>7611</v>
      </c>
      <c r="D6953" s="208" t="s">
        <v>578</v>
      </c>
      <c r="E6953" s="209">
        <v>36.200000000000003</v>
      </c>
      <c r="F6953" s="209">
        <v>27.54</v>
      </c>
      <c r="G6953" s="209">
        <v>63.74</v>
      </c>
      <c r="H6953" s="198"/>
    </row>
    <row r="6954" spans="1:8" ht="15.75" hidden="1" customHeight="1" x14ac:dyDescent="0.25">
      <c r="A6954" s="205" t="s">
        <v>7592</v>
      </c>
      <c r="B6954" s="206">
        <v>101849</v>
      </c>
      <c r="C6954" s="207" t="s">
        <v>7612</v>
      </c>
      <c r="D6954" s="208" t="s">
        <v>664</v>
      </c>
      <c r="E6954" s="209">
        <v>123.66</v>
      </c>
      <c r="F6954" s="209">
        <v>11.23</v>
      </c>
      <c r="G6954" s="209">
        <v>134.88999999999999</v>
      </c>
      <c r="H6954" s="198"/>
    </row>
    <row r="6955" spans="1:8" ht="15.75" hidden="1" customHeight="1" x14ac:dyDescent="0.25">
      <c r="A6955" s="205" t="s">
        <v>7592</v>
      </c>
      <c r="B6955" s="206">
        <v>101841</v>
      </c>
      <c r="C6955" s="207" t="s">
        <v>7613</v>
      </c>
      <c r="D6955" s="208" t="s">
        <v>664</v>
      </c>
      <c r="E6955" s="209">
        <v>73.760000000000005</v>
      </c>
      <c r="F6955" s="209">
        <v>9.2899999999999991</v>
      </c>
      <c r="G6955" s="209">
        <v>83.05</v>
      </c>
      <c r="H6955" s="198"/>
    </row>
    <row r="6956" spans="1:8" ht="15.75" hidden="1" customHeight="1" x14ac:dyDescent="0.25">
      <c r="A6956" s="205" t="s">
        <v>7592</v>
      </c>
      <c r="B6956" s="206">
        <v>101843</v>
      </c>
      <c r="C6956" s="207" t="s">
        <v>7614</v>
      </c>
      <c r="D6956" s="208" t="s">
        <v>664</v>
      </c>
      <c r="E6956" s="209">
        <v>134.91999999999999</v>
      </c>
      <c r="F6956" s="209">
        <v>9.2799999999999994</v>
      </c>
      <c r="G6956" s="209">
        <v>144.19999999999999</v>
      </c>
      <c r="H6956" s="198"/>
    </row>
    <row r="6957" spans="1:8" ht="15.75" hidden="1" customHeight="1" x14ac:dyDescent="0.25">
      <c r="A6957" s="205" t="s">
        <v>7592</v>
      </c>
      <c r="B6957" s="206">
        <v>101844</v>
      </c>
      <c r="C6957" s="207" t="s">
        <v>7615</v>
      </c>
      <c r="D6957" s="208" t="s">
        <v>664</v>
      </c>
      <c r="E6957" s="209">
        <v>163.53</v>
      </c>
      <c r="F6957" s="209">
        <v>9.2899999999999991</v>
      </c>
      <c r="G6957" s="209">
        <v>172.82</v>
      </c>
      <c r="H6957" s="198"/>
    </row>
    <row r="6958" spans="1:8" ht="15.75" hidden="1" customHeight="1" x14ac:dyDescent="0.25">
      <c r="A6958" s="205" t="s">
        <v>7592</v>
      </c>
      <c r="B6958" s="206">
        <v>101845</v>
      </c>
      <c r="C6958" s="207" t="s">
        <v>7616</v>
      </c>
      <c r="D6958" s="208" t="s">
        <v>664</v>
      </c>
      <c r="E6958" s="209">
        <v>191.77</v>
      </c>
      <c r="F6958" s="209">
        <v>9.2799999999999994</v>
      </c>
      <c r="G6958" s="209">
        <v>201.05</v>
      </c>
      <c r="H6958" s="198"/>
    </row>
    <row r="6959" spans="1:8" ht="15.75" hidden="1" customHeight="1" x14ac:dyDescent="0.25">
      <c r="A6959" s="205" t="s">
        <v>7592</v>
      </c>
      <c r="B6959" s="206">
        <v>101842</v>
      </c>
      <c r="C6959" s="207" t="s">
        <v>7617</v>
      </c>
      <c r="D6959" s="208" t="s">
        <v>664</v>
      </c>
      <c r="E6959" s="209">
        <v>65</v>
      </c>
      <c r="F6959" s="209">
        <v>9.2899999999999991</v>
      </c>
      <c r="G6959" s="209">
        <v>74.290000000000006</v>
      </c>
      <c r="H6959" s="198"/>
    </row>
    <row r="6960" spans="1:8" ht="15.75" hidden="1" customHeight="1" x14ac:dyDescent="0.25">
      <c r="A6960" s="205" t="s">
        <v>7592</v>
      </c>
      <c r="B6960" s="206">
        <v>101846</v>
      </c>
      <c r="C6960" s="207" t="s">
        <v>7618</v>
      </c>
      <c r="D6960" s="208" t="s">
        <v>664</v>
      </c>
      <c r="E6960" s="209">
        <v>126.51</v>
      </c>
      <c r="F6960" s="209">
        <v>9.2799999999999994</v>
      </c>
      <c r="G6960" s="209">
        <v>135.79</v>
      </c>
      <c r="H6960" s="198"/>
    </row>
    <row r="6961" spans="1:8" ht="15.75" hidden="1" customHeight="1" x14ac:dyDescent="0.25">
      <c r="A6961" s="205" t="s">
        <v>7592</v>
      </c>
      <c r="B6961" s="206">
        <v>101847</v>
      </c>
      <c r="C6961" s="207" t="s">
        <v>7619</v>
      </c>
      <c r="D6961" s="208" t="s">
        <v>664</v>
      </c>
      <c r="E6961" s="209">
        <v>155.31</v>
      </c>
      <c r="F6961" s="209">
        <v>9.2799999999999994</v>
      </c>
      <c r="G6961" s="209">
        <v>164.59</v>
      </c>
      <c r="H6961" s="198"/>
    </row>
    <row r="6962" spans="1:8" ht="15.75" hidden="1" customHeight="1" x14ac:dyDescent="0.25">
      <c r="A6962" s="205" t="s">
        <v>7592</v>
      </c>
      <c r="B6962" s="206">
        <v>101848</v>
      </c>
      <c r="C6962" s="207" t="s">
        <v>7620</v>
      </c>
      <c r="D6962" s="208" t="s">
        <v>664</v>
      </c>
      <c r="E6962" s="209">
        <v>183.71</v>
      </c>
      <c r="F6962" s="209">
        <v>9.2799999999999994</v>
      </c>
      <c r="G6962" s="209">
        <v>192.99</v>
      </c>
      <c r="H6962" s="198"/>
    </row>
    <row r="6963" spans="1:8" ht="15.75" hidden="1" customHeight="1" x14ac:dyDescent="0.25">
      <c r="A6963" s="205" t="s">
        <v>7592</v>
      </c>
      <c r="B6963" s="206">
        <v>101839</v>
      </c>
      <c r="C6963" s="207" t="s">
        <v>7621</v>
      </c>
      <c r="D6963" s="208" t="s">
        <v>664</v>
      </c>
      <c r="E6963" s="209">
        <v>114.13</v>
      </c>
      <c r="F6963" s="209">
        <v>9.27</v>
      </c>
      <c r="G6963" s="209">
        <v>123.4</v>
      </c>
      <c r="H6963" s="198"/>
    </row>
    <row r="6964" spans="1:8" ht="15.75" hidden="1" customHeight="1" x14ac:dyDescent="0.25">
      <c r="A6964" s="205" t="s">
        <v>7592</v>
      </c>
      <c r="B6964" s="206">
        <v>101840</v>
      </c>
      <c r="C6964" s="207" t="s">
        <v>7622</v>
      </c>
      <c r="D6964" s="208" t="s">
        <v>664</v>
      </c>
      <c r="E6964" s="209">
        <v>178.28</v>
      </c>
      <c r="F6964" s="209">
        <v>30.89</v>
      </c>
      <c r="G6964" s="209">
        <v>209.17</v>
      </c>
      <c r="H6964" s="198"/>
    </row>
    <row r="6965" spans="1:8" ht="15.75" hidden="1" customHeight="1" x14ac:dyDescent="0.25">
      <c r="A6965" s="205" t="s">
        <v>7592</v>
      </c>
      <c r="B6965" s="206">
        <v>101837</v>
      </c>
      <c r="C6965" s="207" t="s">
        <v>7623</v>
      </c>
      <c r="D6965" s="208" t="s">
        <v>664</v>
      </c>
      <c r="E6965" s="209">
        <v>53.95</v>
      </c>
      <c r="F6965" s="209">
        <v>9.2799999999999994</v>
      </c>
      <c r="G6965" s="209">
        <v>63.23</v>
      </c>
      <c r="H6965" s="198"/>
    </row>
    <row r="6966" spans="1:8" ht="15.75" hidden="1" customHeight="1" x14ac:dyDescent="0.25">
      <c r="A6966" s="205" t="s">
        <v>7592</v>
      </c>
      <c r="B6966" s="206">
        <v>101838</v>
      </c>
      <c r="C6966" s="207" t="s">
        <v>7624</v>
      </c>
      <c r="D6966" s="208" t="s">
        <v>664</v>
      </c>
      <c r="E6966" s="209">
        <v>84.45</v>
      </c>
      <c r="F6966" s="209">
        <v>9.2799999999999994</v>
      </c>
      <c r="G6966" s="209">
        <v>93.73</v>
      </c>
      <c r="H6966" s="198"/>
    </row>
    <row r="6967" spans="1:8" ht="15.75" hidden="1" customHeight="1" x14ac:dyDescent="0.25">
      <c r="A6967" s="205" t="s">
        <v>7592</v>
      </c>
      <c r="B6967" s="206">
        <v>101836</v>
      </c>
      <c r="C6967" s="207" t="s">
        <v>7625</v>
      </c>
      <c r="D6967" s="208" t="s">
        <v>664</v>
      </c>
      <c r="E6967" s="209">
        <v>21.19</v>
      </c>
      <c r="F6967" s="209">
        <v>9.2899999999999991</v>
      </c>
      <c r="G6967" s="209">
        <v>30.48</v>
      </c>
      <c r="H6967" s="198"/>
    </row>
    <row r="6968" spans="1:8" ht="15.75" hidden="1" customHeight="1" x14ac:dyDescent="0.25">
      <c r="A6968" s="205" t="s">
        <v>7592</v>
      </c>
      <c r="B6968" s="206">
        <v>101835</v>
      </c>
      <c r="C6968" s="207" t="s">
        <v>7626</v>
      </c>
      <c r="D6968" s="208" t="s">
        <v>664</v>
      </c>
      <c r="E6968" s="209">
        <v>152.31</v>
      </c>
      <c r="F6968" s="209">
        <v>112.16</v>
      </c>
      <c r="G6968" s="209">
        <v>264.47000000000003</v>
      </c>
      <c r="H6968" s="198"/>
    </row>
    <row r="6969" spans="1:8" ht="15.75" hidden="1" customHeight="1" x14ac:dyDescent="0.25">
      <c r="A6969" s="205" t="s">
        <v>7592</v>
      </c>
      <c r="B6969" s="206">
        <v>101827</v>
      </c>
      <c r="C6969" s="207" t="s">
        <v>7627</v>
      </c>
      <c r="D6969" s="208" t="s">
        <v>664</v>
      </c>
      <c r="E6969" s="209">
        <v>102.41</v>
      </c>
      <c r="F6969" s="209">
        <v>110.22</v>
      </c>
      <c r="G6969" s="209">
        <v>212.63</v>
      </c>
      <c r="H6969" s="198"/>
    </row>
    <row r="6970" spans="1:8" ht="15.75" hidden="1" customHeight="1" x14ac:dyDescent="0.25">
      <c r="A6970" s="205" t="s">
        <v>7592</v>
      </c>
      <c r="B6970" s="206">
        <v>101829</v>
      </c>
      <c r="C6970" s="207" t="s">
        <v>7628</v>
      </c>
      <c r="D6970" s="208" t="s">
        <v>664</v>
      </c>
      <c r="E6970" s="209">
        <v>163.56</v>
      </c>
      <c r="F6970" s="209">
        <v>110.22</v>
      </c>
      <c r="G6970" s="209">
        <v>273.77999999999997</v>
      </c>
      <c r="H6970" s="198"/>
    </row>
    <row r="6971" spans="1:8" ht="15.75" hidden="1" customHeight="1" x14ac:dyDescent="0.25">
      <c r="A6971" s="205" t="s">
        <v>7592</v>
      </c>
      <c r="B6971" s="206">
        <v>101830</v>
      </c>
      <c r="C6971" s="207" t="s">
        <v>7629</v>
      </c>
      <c r="D6971" s="208" t="s">
        <v>664</v>
      </c>
      <c r="E6971" s="209">
        <v>192.18</v>
      </c>
      <c r="F6971" s="209">
        <v>110.22</v>
      </c>
      <c r="G6971" s="209">
        <v>302.39999999999998</v>
      </c>
      <c r="H6971" s="198"/>
    </row>
    <row r="6972" spans="1:8" ht="15.75" hidden="1" customHeight="1" x14ac:dyDescent="0.25">
      <c r="A6972" s="205" t="s">
        <v>7592</v>
      </c>
      <c r="B6972" s="206">
        <v>101831</v>
      </c>
      <c r="C6972" s="207" t="s">
        <v>7630</v>
      </c>
      <c r="D6972" s="208" t="s">
        <v>664</v>
      </c>
      <c r="E6972" s="209">
        <v>220.4</v>
      </c>
      <c r="F6972" s="209">
        <v>110.23</v>
      </c>
      <c r="G6972" s="209">
        <v>330.63</v>
      </c>
      <c r="H6972" s="198"/>
    </row>
    <row r="6973" spans="1:8" ht="15.75" hidden="1" customHeight="1" x14ac:dyDescent="0.25">
      <c r="A6973" s="205" t="s">
        <v>7592</v>
      </c>
      <c r="B6973" s="206">
        <v>101828</v>
      </c>
      <c r="C6973" s="207" t="s">
        <v>7631</v>
      </c>
      <c r="D6973" s="208" t="s">
        <v>664</v>
      </c>
      <c r="E6973" s="209">
        <v>93.66</v>
      </c>
      <c r="F6973" s="209">
        <v>110.21</v>
      </c>
      <c r="G6973" s="209">
        <v>203.87</v>
      </c>
      <c r="H6973" s="198"/>
    </row>
    <row r="6974" spans="1:8" ht="15.75" hidden="1" customHeight="1" x14ac:dyDescent="0.25">
      <c r="A6974" s="205" t="s">
        <v>7592</v>
      </c>
      <c r="B6974" s="206">
        <v>101832</v>
      </c>
      <c r="C6974" s="207" t="s">
        <v>7632</v>
      </c>
      <c r="D6974" s="208" t="s">
        <v>664</v>
      </c>
      <c r="E6974" s="209">
        <v>155.16999999999999</v>
      </c>
      <c r="F6974" s="209">
        <v>110.2</v>
      </c>
      <c r="G6974" s="209">
        <v>265.37</v>
      </c>
      <c r="H6974" s="198"/>
    </row>
    <row r="6975" spans="1:8" ht="15.75" hidden="1" customHeight="1" x14ac:dyDescent="0.25">
      <c r="A6975" s="205" t="s">
        <v>7592</v>
      </c>
      <c r="B6975" s="206">
        <v>101833</v>
      </c>
      <c r="C6975" s="207" t="s">
        <v>7633</v>
      </c>
      <c r="D6975" s="208" t="s">
        <v>664</v>
      </c>
      <c r="E6975" s="209">
        <v>183.95</v>
      </c>
      <c r="F6975" s="209">
        <v>110.22</v>
      </c>
      <c r="G6975" s="209">
        <v>294.17</v>
      </c>
      <c r="H6975" s="198"/>
    </row>
    <row r="6976" spans="1:8" ht="15.75" hidden="1" customHeight="1" x14ac:dyDescent="0.25">
      <c r="A6976" s="205" t="s">
        <v>7592</v>
      </c>
      <c r="B6976" s="206">
        <v>101834</v>
      </c>
      <c r="C6976" s="207" t="s">
        <v>7634</v>
      </c>
      <c r="D6976" s="208" t="s">
        <v>664</v>
      </c>
      <c r="E6976" s="209">
        <v>212.35</v>
      </c>
      <c r="F6976" s="209">
        <v>110.22</v>
      </c>
      <c r="G6976" s="209">
        <v>322.57</v>
      </c>
      <c r="H6976" s="198"/>
    </row>
    <row r="6977" spans="1:8" ht="15.75" hidden="1" customHeight="1" x14ac:dyDescent="0.25">
      <c r="A6977" s="205" t="s">
        <v>7592</v>
      </c>
      <c r="B6977" s="206">
        <v>101825</v>
      </c>
      <c r="C6977" s="207" t="s">
        <v>7635</v>
      </c>
      <c r="D6977" s="208" t="s">
        <v>664</v>
      </c>
      <c r="E6977" s="209">
        <v>142.77000000000001</v>
      </c>
      <c r="F6977" s="209">
        <v>110.22</v>
      </c>
      <c r="G6977" s="209">
        <v>252.99</v>
      </c>
      <c r="H6977" s="198"/>
    </row>
    <row r="6978" spans="1:8" ht="15.75" hidden="1" customHeight="1" x14ac:dyDescent="0.25">
      <c r="A6978" s="205" t="s">
        <v>7592</v>
      </c>
      <c r="B6978" s="206">
        <v>101826</v>
      </c>
      <c r="C6978" s="207" t="s">
        <v>7636</v>
      </c>
      <c r="D6978" s="208" t="s">
        <v>664</v>
      </c>
      <c r="E6978" s="209">
        <v>172.05</v>
      </c>
      <c r="F6978" s="209">
        <v>110.22</v>
      </c>
      <c r="G6978" s="209">
        <v>282.27</v>
      </c>
      <c r="H6978" s="198"/>
    </row>
    <row r="6979" spans="1:8" ht="15.75" hidden="1" customHeight="1" x14ac:dyDescent="0.25">
      <c r="A6979" s="205" t="s">
        <v>7592</v>
      </c>
      <c r="B6979" s="206">
        <v>101823</v>
      </c>
      <c r="C6979" s="207" t="s">
        <v>7637</v>
      </c>
      <c r="D6979" s="208" t="s">
        <v>664</v>
      </c>
      <c r="E6979" s="209">
        <v>82.59</v>
      </c>
      <c r="F6979" s="209">
        <v>110.22</v>
      </c>
      <c r="G6979" s="209">
        <v>192.81</v>
      </c>
      <c r="H6979" s="198"/>
    </row>
    <row r="6980" spans="1:8" ht="15.75" hidden="1" customHeight="1" x14ac:dyDescent="0.25">
      <c r="A6980" s="205" t="s">
        <v>7592</v>
      </c>
      <c r="B6980" s="206">
        <v>101824</v>
      </c>
      <c r="C6980" s="207" t="s">
        <v>7638</v>
      </c>
      <c r="D6980" s="208" t="s">
        <v>664</v>
      </c>
      <c r="E6980" s="209">
        <v>113.09</v>
      </c>
      <c r="F6980" s="209">
        <v>110.22</v>
      </c>
      <c r="G6980" s="209">
        <v>223.31</v>
      </c>
      <c r="H6980" s="198"/>
    </row>
    <row r="6981" spans="1:8" ht="15.75" hidden="1" customHeight="1" x14ac:dyDescent="0.25">
      <c r="A6981" s="205" t="s">
        <v>7592</v>
      </c>
      <c r="B6981" s="206">
        <v>101822</v>
      </c>
      <c r="C6981" s="207" t="s">
        <v>7639</v>
      </c>
      <c r="D6981" s="208" t="s">
        <v>664</v>
      </c>
      <c r="E6981" s="209">
        <v>49.85</v>
      </c>
      <c r="F6981" s="209">
        <v>110.21</v>
      </c>
      <c r="G6981" s="209">
        <v>160.06</v>
      </c>
      <c r="H6981" s="198"/>
    </row>
    <row r="6982" spans="1:8" ht="15.75" hidden="1" customHeight="1" x14ac:dyDescent="0.25">
      <c r="A6982" s="205" t="s">
        <v>7592</v>
      </c>
      <c r="B6982" s="206">
        <v>101819</v>
      </c>
      <c r="C6982" s="207" t="s">
        <v>7640</v>
      </c>
      <c r="D6982" s="208" t="s">
        <v>578</v>
      </c>
      <c r="E6982" s="209">
        <v>41.59</v>
      </c>
      <c r="F6982" s="209">
        <v>38.85</v>
      </c>
      <c r="G6982" s="209">
        <v>80.44</v>
      </c>
      <c r="H6982" s="198"/>
    </row>
    <row r="6983" spans="1:8" ht="15.75" hidden="1" customHeight="1" x14ac:dyDescent="0.25">
      <c r="A6983" s="205" t="s">
        <v>7592</v>
      </c>
      <c r="B6983" s="206">
        <v>101817</v>
      </c>
      <c r="C6983" s="207" t="s">
        <v>7641</v>
      </c>
      <c r="D6983" s="208" t="s">
        <v>578</v>
      </c>
      <c r="E6983" s="209">
        <v>30.99</v>
      </c>
      <c r="F6983" s="209">
        <v>33.130000000000003</v>
      </c>
      <c r="G6983" s="209">
        <v>64.12</v>
      </c>
      <c r="H6983" s="198"/>
    </row>
    <row r="6984" spans="1:8" ht="15.75" hidden="1" customHeight="1" x14ac:dyDescent="0.25">
      <c r="A6984" s="205" t="s">
        <v>7592</v>
      </c>
      <c r="B6984" s="206">
        <v>101816</v>
      </c>
      <c r="C6984" s="207" t="s">
        <v>7642</v>
      </c>
      <c r="D6984" s="208" t="s">
        <v>578</v>
      </c>
      <c r="E6984" s="209">
        <v>50.24</v>
      </c>
      <c r="F6984" s="209">
        <v>34.94</v>
      </c>
      <c r="G6984" s="209">
        <v>85.18</v>
      </c>
      <c r="H6984" s="198"/>
    </row>
    <row r="6985" spans="1:8" ht="15.75" hidden="1" customHeight="1" x14ac:dyDescent="0.25">
      <c r="A6985" s="205" t="s">
        <v>7592</v>
      </c>
      <c r="B6985" s="206">
        <v>101820</v>
      </c>
      <c r="C6985" s="207" t="s">
        <v>7643</v>
      </c>
      <c r="D6985" s="208" t="s">
        <v>578</v>
      </c>
      <c r="E6985" s="209">
        <v>22.14</v>
      </c>
      <c r="F6985" s="209">
        <v>32.94</v>
      </c>
      <c r="G6985" s="209">
        <v>55.08</v>
      </c>
      <c r="H6985" s="198"/>
    </row>
    <row r="6986" spans="1:8" ht="15.75" hidden="1" customHeight="1" x14ac:dyDescent="0.25">
      <c r="A6986" s="205" t="s">
        <v>7592</v>
      </c>
      <c r="B6986" s="206">
        <v>102988</v>
      </c>
      <c r="C6986" s="207" t="s">
        <v>7644</v>
      </c>
      <c r="D6986" s="208" t="s">
        <v>578</v>
      </c>
      <c r="E6986" s="209">
        <v>28.11</v>
      </c>
      <c r="F6986" s="209">
        <v>45.43</v>
      </c>
      <c r="G6986" s="209">
        <v>73.540000000000006</v>
      </c>
      <c r="H6986" s="198"/>
    </row>
    <row r="6987" spans="1:8" ht="15.75" hidden="1" customHeight="1" x14ac:dyDescent="0.25">
      <c r="A6987" s="205" t="s">
        <v>7592</v>
      </c>
      <c r="B6987" s="206">
        <v>101814</v>
      </c>
      <c r="C6987" s="207" t="s">
        <v>7645</v>
      </c>
      <c r="D6987" s="208" t="s">
        <v>578</v>
      </c>
      <c r="E6987" s="209">
        <v>29.58</v>
      </c>
      <c r="F6987" s="209">
        <v>27.22</v>
      </c>
      <c r="G6987" s="209">
        <v>56.8</v>
      </c>
      <c r="H6987" s="198"/>
    </row>
    <row r="6988" spans="1:8" ht="15.75" hidden="1" customHeight="1" x14ac:dyDescent="0.25">
      <c r="A6988" s="205" t="s">
        <v>7592</v>
      </c>
      <c r="B6988" s="206">
        <v>102098</v>
      </c>
      <c r="C6988" s="207" t="s">
        <v>7646</v>
      </c>
      <c r="D6988" s="208" t="s">
        <v>664</v>
      </c>
      <c r="E6988" s="209">
        <v>1774.08</v>
      </c>
      <c r="F6988" s="209">
        <v>282.10000000000002</v>
      </c>
      <c r="G6988" s="209">
        <v>2056.1799999999998</v>
      </c>
      <c r="H6988" s="198"/>
    </row>
    <row r="6989" spans="1:8" ht="15.75" customHeight="1" x14ac:dyDescent="0.25">
      <c r="A6989" s="205" t="s">
        <v>7647</v>
      </c>
      <c r="B6989" s="206">
        <v>92994</v>
      </c>
      <c r="C6989" s="207" t="s">
        <v>7648</v>
      </c>
      <c r="D6989" s="208" t="s">
        <v>585</v>
      </c>
      <c r="E6989" s="209">
        <v>123.3</v>
      </c>
      <c r="F6989" s="209">
        <v>7.17</v>
      </c>
      <c r="G6989" s="209">
        <v>130.47</v>
      </c>
      <c r="H6989" s="198"/>
    </row>
    <row r="6990" spans="1:8" ht="15.75" customHeight="1" x14ac:dyDescent="0.25">
      <c r="A6990" s="205" t="s">
        <v>7647</v>
      </c>
      <c r="B6990" s="206">
        <v>92996</v>
      </c>
      <c r="C6990" s="207" t="s">
        <v>7649</v>
      </c>
      <c r="D6990" s="208" t="s">
        <v>585</v>
      </c>
      <c r="E6990" s="209">
        <v>149.30000000000001</v>
      </c>
      <c r="F6990" s="209">
        <v>8.48</v>
      </c>
      <c r="G6990" s="209">
        <v>157.78</v>
      </c>
      <c r="H6990" s="198"/>
    </row>
    <row r="6991" spans="1:8" ht="15.75" customHeight="1" x14ac:dyDescent="0.25">
      <c r="A6991" s="205" t="s">
        <v>7647</v>
      </c>
      <c r="B6991" s="206">
        <v>92998</v>
      </c>
      <c r="C6991" s="207" t="s">
        <v>7650</v>
      </c>
      <c r="D6991" s="208" t="s">
        <v>585</v>
      </c>
      <c r="E6991" s="209">
        <v>183.22</v>
      </c>
      <c r="F6991" s="209">
        <v>10.02</v>
      </c>
      <c r="G6991" s="209">
        <v>193.24</v>
      </c>
      <c r="H6991" s="198"/>
    </row>
    <row r="6992" spans="1:8" ht="15.75" customHeight="1" x14ac:dyDescent="0.25">
      <c r="A6992" s="205" t="s">
        <v>7647</v>
      </c>
      <c r="B6992" s="206">
        <v>93000</v>
      </c>
      <c r="C6992" s="207" t="s">
        <v>7651</v>
      </c>
      <c r="D6992" s="208" t="s">
        <v>585</v>
      </c>
      <c r="E6992" s="209">
        <v>243.14</v>
      </c>
      <c r="F6992" s="209">
        <v>12.42</v>
      </c>
      <c r="G6992" s="209">
        <v>255.56</v>
      </c>
      <c r="H6992" s="198"/>
    </row>
    <row r="6993" spans="1:8" ht="15.75" customHeight="1" x14ac:dyDescent="0.25">
      <c r="A6993" s="205" t="s">
        <v>7647</v>
      </c>
      <c r="B6993" s="206">
        <v>92984</v>
      </c>
      <c r="C6993" s="207" t="s">
        <v>7652</v>
      </c>
      <c r="D6993" s="208" t="s">
        <v>585</v>
      </c>
      <c r="E6993" s="209">
        <v>25.47</v>
      </c>
      <c r="F6993" s="209">
        <v>2.99</v>
      </c>
      <c r="G6993" s="209">
        <v>28.46</v>
      </c>
      <c r="H6993" s="198"/>
    </row>
    <row r="6994" spans="1:8" ht="15.75" customHeight="1" x14ac:dyDescent="0.25">
      <c r="A6994" s="205" t="s">
        <v>7647</v>
      </c>
      <c r="B6994" s="206">
        <v>93002</v>
      </c>
      <c r="C6994" s="207" t="s">
        <v>7653</v>
      </c>
      <c r="D6994" s="208" t="s">
        <v>585</v>
      </c>
      <c r="E6994" s="209">
        <v>315.04000000000002</v>
      </c>
      <c r="F6994" s="209">
        <v>15.08</v>
      </c>
      <c r="G6994" s="209">
        <v>330.12</v>
      </c>
      <c r="H6994" s="198"/>
    </row>
    <row r="6995" spans="1:8" ht="15.75" customHeight="1" x14ac:dyDescent="0.25">
      <c r="A6995" s="205" t="s">
        <v>7647</v>
      </c>
      <c r="B6995" s="206">
        <v>92986</v>
      </c>
      <c r="C6995" s="207" t="s">
        <v>7654</v>
      </c>
      <c r="D6995" s="208" t="s">
        <v>585</v>
      </c>
      <c r="E6995" s="209">
        <v>35.659999999999997</v>
      </c>
      <c r="F6995" s="209">
        <v>3.44</v>
      </c>
      <c r="G6995" s="209">
        <v>39.1</v>
      </c>
      <c r="H6995" s="198"/>
    </row>
    <row r="6996" spans="1:8" ht="15.75" customHeight="1" x14ac:dyDescent="0.25">
      <c r="A6996" s="205" t="s">
        <v>7647</v>
      </c>
      <c r="B6996" s="206">
        <v>92988</v>
      </c>
      <c r="C6996" s="207" t="s">
        <v>7655</v>
      </c>
      <c r="D6996" s="208" t="s">
        <v>585</v>
      </c>
      <c r="E6996" s="209">
        <v>52.36</v>
      </c>
      <c r="F6996" s="209">
        <v>4.09</v>
      </c>
      <c r="G6996" s="209">
        <v>56.45</v>
      </c>
      <c r="H6996" s="198"/>
    </row>
    <row r="6997" spans="1:8" ht="15.75" customHeight="1" x14ac:dyDescent="0.25">
      <c r="A6997" s="205" t="s">
        <v>7647</v>
      </c>
      <c r="B6997" s="206">
        <v>92990</v>
      </c>
      <c r="C6997" s="207" t="s">
        <v>7656</v>
      </c>
      <c r="D6997" s="208" t="s">
        <v>585</v>
      </c>
      <c r="E6997" s="209">
        <v>72.930000000000007</v>
      </c>
      <c r="F6997" s="209">
        <v>4.97</v>
      </c>
      <c r="G6997" s="209">
        <v>77.900000000000006</v>
      </c>
      <c r="H6997" s="198"/>
    </row>
    <row r="6998" spans="1:8" ht="15.75" customHeight="1" x14ac:dyDescent="0.25">
      <c r="A6998" s="205" t="s">
        <v>7647</v>
      </c>
      <c r="B6998" s="206">
        <v>92992</v>
      </c>
      <c r="C6998" s="207" t="s">
        <v>7657</v>
      </c>
      <c r="D6998" s="208" t="s">
        <v>585</v>
      </c>
      <c r="E6998" s="209">
        <v>94.53</v>
      </c>
      <c r="F6998" s="209">
        <v>6.06</v>
      </c>
      <c r="G6998" s="209">
        <v>100.59</v>
      </c>
      <c r="H6998" s="198"/>
    </row>
    <row r="6999" spans="1:8" ht="15.75" customHeight="1" x14ac:dyDescent="0.25">
      <c r="A6999" s="205" t="s">
        <v>7647</v>
      </c>
      <c r="B6999" s="206">
        <v>103491</v>
      </c>
      <c r="C6999" s="207" t="s">
        <v>7658</v>
      </c>
      <c r="D6999" s="208" t="s">
        <v>664</v>
      </c>
      <c r="E6999" s="209">
        <v>385.26</v>
      </c>
      <c r="F6999" s="209">
        <v>259.62</v>
      </c>
      <c r="G6999" s="209">
        <v>644.88</v>
      </c>
      <c r="H6999" s="198"/>
    </row>
    <row r="7000" spans="1:8" ht="15.75" customHeight="1" x14ac:dyDescent="0.25">
      <c r="A7000" s="205" t="s">
        <v>7647</v>
      </c>
      <c r="B7000" s="206">
        <v>93026</v>
      </c>
      <c r="C7000" s="207" t="s">
        <v>7659</v>
      </c>
      <c r="D7000" s="208" t="s">
        <v>580</v>
      </c>
      <c r="E7000" s="209">
        <v>89.55</v>
      </c>
      <c r="F7000" s="209">
        <v>31.66</v>
      </c>
      <c r="G7000" s="209">
        <v>121.21</v>
      </c>
      <c r="H7000" s="198"/>
    </row>
    <row r="7001" spans="1:8" ht="15.75" customHeight="1" x14ac:dyDescent="0.25">
      <c r="A7001" s="205" t="s">
        <v>7647</v>
      </c>
      <c r="B7001" s="206">
        <v>93018</v>
      </c>
      <c r="C7001" s="207" t="s">
        <v>7660</v>
      </c>
      <c r="D7001" s="208" t="s">
        <v>580</v>
      </c>
      <c r="E7001" s="209">
        <v>15.57</v>
      </c>
      <c r="F7001" s="209">
        <v>16.670000000000002</v>
      </c>
      <c r="G7001" s="209">
        <v>32.24</v>
      </c>
      <c r="H7001" s="198"/>
    </row>
    <row r="7002" spans="1:8" ht="15.75" customHeight="1" x14ac:dyDescent="0.25">
      <c r="A7002" s="205" t="s">
        <v>7647</v>
      </c>
      <c r="B7002" s="206">
        <v>93020</v>
      </c>
      <c r="C7002" s="207" t="s">
        <v>7661</v>
      </c>
      <c r="D7002" s="208" t="s">
        <v>580</v>
      </c>
      <c r="E7002" s="209">
        <v>22.33</v>
      </c>
      <c r="F7002" s="209">
        <v>19.16</v>
      </c>
      <c r="G7002" s="209">
        <v>41.49</v>
      </c>
      <c r="H7002" s="198"/>
    </row>
    <row r="7003" spans="1:8" ht="15.75" customHeight="1" x14ac:dyDescent="0.25">
      <c r="A7003" s="205" t="s">
        <v>7647</v>
      </c>
      <c r="B7003" s="206">
        <v>93022</v>
      </c>
      <c r="C7003" s="207" t="s">
        <v>7662</v>
      </c>
      <c r="D7003" s="208" t="s">
        <v>580</v>
      </c>
      <c r="E7003" s="209">
        <v>47.22</v>
      </c>
      <c r="F7003" s="209">
        <v>22.9</v>
      </c>
      <c r="G7003" s="209">
        <v>70.12</v>
      </c>
      <c r="H7003" s="198"/>
    </row>
    <row r="7004" spans="1:8" ht="15.75" customHeight="1" x14ac:dyDescent="0.25">
      <c r="A7004" s="205" t="s">
        <v>7647</v>
      </c>
      <c r="B7004" s="206">
        <v>93024</v>
      </c>
      <c r="C7004" s="207" t="s">
        <v>7663</v>
      </c>
      <c r="D7004" s="208" t="s">
        <v>580</v>
      </c>
      <c r="E7004" s="209">
        <v>48.23</v>
      </c>
      <c r="F7004" s="209">
        <v>25.4</v>
      </c>
      <c r="G7004" s="209">
        <v>73.63</v>
      </c>
      <c r="H7004" s="198"/>
    </row>
    <row r="7005" spans="1:8" ht="15.75" customHeight="1" x14ac:dyDescent="0.25">
      <c r="A7005" s="205" t="s">
        <v>7647</v>
      </c>
      <c r="B7005" s="206">
        <v>97670</v>
      </c>
      <c r="C7005" s="207" t="s">
        <v>7664</v>
      </c>
      <c r="D7005" s="208" t="s">
        <v>585</v>
      </c>
      <c r="E7005" s="209">
        <v>21.64</v>
      </c>
      <c r="F7005" s="209">
        <v>8.51</v>
      </c>
      <c r="G7005" s="209">
        <v>30.15</v>
      </c>
      <c r="H7005" s="198"/>
    </row>
    <row r="7006" spans="1:8" ht="15.75" customHeight="1" x14ac:dyDescent="0.25">
      <c r="A7006" s="205" t="s">
        <v>7647</v>
      </c>
      <c r="B7006" s="206">
        <v>97667</v>
      </c>
      <c r="C7006" s="207" t="s">
        <v>7665</v>
      </c>
      <c r="D7006" s="208" t="s">
        <v>585</v>
      </c>
      <c r="E7006" s="209">
        <v>7.81</v>
      </c>
      <c r="F7006" s="209">
        <v>3.32</v>
      </c>
      <c r="G7006" s="209">
        <v>11.13</v>
      </c>
      <c r="H7006" s="198"/>
    </row>
    <row r="7007" spans="1:8" ht="15.75" customHeight="1" x14ac:dyDescent="0.25">
      <c r="A7007" s="205" t="s">
        <v>7647</v>
      </c>
      <c r="B7007" s="206">
        <v>97668</v>
      </c>
      <c r="C7007" s="207" t="s">
        <v>7666</v>
      </c>
      <c r="D7007" s="208" t="s">
        <v>585</v>
      </c>
      <c r="E7007" s="209">
        <v>11.19</v>
      </c>
      <c r="F7007" s="209">
        <v>4.68</v>
      </c>
      <c r="G7007" s="209">
        <v>15.87</v>
      </c>
      <c r="H7007" s="198"/>
    </row>
    <row r="7008" spans="1:8" ht="15.75" customHeight="1" x14ac:dyDescent="0.25">
      <c r="A7008" s="205" t="s">
        <v>7647</v>
      </c>
      <c r="B7008" s="206">
        <v>97669</v>
      </c>
      <c r="C7008" s="207" t="s">
        <v>7667</v>
      </c>
      <c r="D7008" s="208" t="s">
        <v>585</v>
      </c>
      <c r="E7008" s="209">
        <v>16.05</v>
      </c>
      <c r="F7008" s="209">
        <v>7.46</v>
      </c>
      <c r="G7008" s="209">
        <v>23.51</v>
      </c>
      <c r="H7008" s="198"/>
    </row>
    <row r="7009" spans="1:8" ht="15.75" customHeight="1" x14ac:dyDescent="0.25">
      <c r="A7009" s="205" t="s">
        <v>7647</v>
      </c>
      <c r="B7009" s="206">
        <v>93012</v>
      </c>
      <c r="C7009" s="207" t="s">
        <v>7668</v>
      </c>
      <c r="D7009" s="208" t="s">
        <v>585</v>
      </c>
      <c r="E7009" s="209">
        <v>92.37</v>
      </c>
      <c r="F7009" s="209">
        <v>10.53</v>
      </c>
      <c r="G7009" s="209">
        <v>102.9</v>
      </c>
      <c r="H7009" s="198"/>
    </row>
    <row r="7010" spans="1:8" ht="15.75" customHeight="1" x14ac:dyDescent="0.25">
      <c r="A7010" s="205" t="s">
        <v>7647</v>
      </c>
      <c r="B7010" s="206">
        <v>93008</v>
      </c>
      <c r="C7010" s="207" t="s">
        <v>7669</v>
      </c>
      <c r="D7010" s="208" t="s">
        <v>585</v>
      </c>
      <c r="E7010" s="209">
        <v>20.86</v>
      </c>
      <c r="F7010" s="209">
        <v>5.54</v>
      </c>
      <c r="G7010" s="209">
        <v>26.4</v>
      </c>
      <c r="H7010" s="198"/>
    </row>
    <row r="7011" spans="1:8" ht="15.75" customHeight="1" x14ac:dyDescent="0.25">
      <c r="A7011" s="205" t="s">
        <v>7647</v>
      </c>
      <c r="B7011" s="206">
        <v>93009</v>
      </c>
      <c r="C7011" s="207" t="s">
        <v>7670</v>
      </c>
      <c r="D7011" s="208" t="s">
        <v>585</v>
      </c>
      <c r="E7011" s="209">
        <v>33.06</v>
      </c>
      <c r="F7011" s="209">
        <v>6.38</v>
      </c>
      <c r="G7011" s="209">
        <v>39.44</v>
      </c>
      <c r="H7011" s="198"/>
    </row>
    <row r="7012" spans="1:8" ht="15.75" customHeight="1" x14ac:dyDescent="0.25">
      <c r="A7012" s="205" t="s">
        <v>7647</v>
      </c>
      <c r="B7012" s="206">
        <v>93010</v>
      </c>
      <c r="C7012" s="207" t="s">
        <v>7671</v>
      </c>
      <c r="D7012" s="208" t="s">
        <v>585</v>
      </c>
      <c r="E7012" s="209">
        <v>47.61</v>
      </c>
      <c r="F7012" s="209">
        <v>7.62</v>
      </c>
      <c r="G7012" s="209">
        <v>55.23</v>
      </c>
      <c r="H7012" s="198"/>
    </row>
    <row r="7013" spans="1:8" ht="15.75" customHeight="1" x14ac:dyDescent="0.25">
      <c r="A7013" s="205" t="s">
        <v>7647</v>
      </c>
      <c r="B7013" s="206">
        <v>93011</v>
      </c>
      <c r="C7013" s="207" t="s">
        <v>7672</v>
      </c>
      <c r="D7013" s="208" t="s">
        <v>585</v>
      </c>
      <c r="E7013" s="209">
        <v>59.29</v>
      </c>
      <c r="F7013" s="209">
        <v>8.4600000000000009</v>
      </c>
      <c r="G7013" s="209">
        <v>67.75</v>
      </c>
      <c r="H7013" s="198"/>
    </row>
    <row r="7014" spans="1:8" ht="15.75" customHeight="1" x14ac:dyDescent="0.25">
      <c r="A7014" s="205" t="s">
        <v>7647</v>
      </c>
      <c r="B7014" s="206">
        <v>93017</v>
      </c>
      <c r="C7014" s="207" t="s">
        <v>7673</v>
      </c>
      <c r="D7014" s="208" t="s">
        <v>580</v>
      </c>
      <c r="E7014" s="209">
        <v>52.07</v>
      </c>
      <c r="F7014" s="209">
        <v>21.1</v>
      </c>
      <c r="G7014" s="209">
        <v>73.17</v>
      </c>
      <c r="H7014" s="198"/>
    </row>
    <row r="7015" spans="1:8" ht="15.75" customHeight="1" x14ac:dyDescent="0.25">
      <c r="A7015" s="205" t="s">
        <v>7647</v>
      </c>
      <c r="B7015" s="206">
        <v>93013</v>
      </c>
      <c r="C7015" s="207" t="s">
        <v>7674</v>
      </c>
      <c r="D7015" s="208" t="s">
        <v>580</v>
      </c>
      <c r="E7015" s="209">
        <v>9.98</v>
      </c>
      <c r="F7015" s="209">
        <v>11.11</v>
      </c>
      <c r="G7015" s="209">
        <v>21.09</v>
      </c>
      <c r="H7015" s="198"/>
    </row>
    <row r="7016" spans="1:8" ht="15.75" customHeight="1" x14ac:dyDescent="0.25">
      <c r="A7016" s="205" t="s">
        <v>7647</v>
      </c>
      <c r="B7016" s="206">
        <v>93014</v>
      </c>
      <c r="C7016" s="207" t="s">
        <v>7675</v>
      </c>
      <c r="D7016" s="208" t="s">
        <v>580</v>
      </c>
      <c r="E7016" s="209">
        <v>13.22</v>
      </c>
      <c r="F7016" s="209">
        <v>12.76</v>
      </c>
      <c r="G7016" s="209">
        <v>25.98</v>
      </c>
      <c r="H7016" s="198"/>
    </row>
    <row r="7017" spans="1:8" ht="15.75" customHeight="1" x14ac:dyDescent="0.25">
      <c r="A7017" s="205" t="s">
        <v>7647</v>
      </c>
      <c r="B7017" s="206">
        <v>93015</v>
      </c>
      <c r="C7017" s="207" t="s">
        <v>7676</v>
      </c>
      <c r="D7017" s="208" t="s">
        <v>580</v>
      </c>
      <c r="E7017" s="209">
        <v>24.46</v>
      </c>
      <c r="F7017" s="209">
        <v>15.26</v>
      </c>
      <c r="G7017" s="209">
        <v>39.72</v>
      </c>
      <c r="H7017" s="198"/>
    </row>
    <row r="7018" spans="1:8" ht="15.75" customHeight="1" x14ac:dyDescent="0.25">
      <c r="A7018" s="205" t="s">
        <v>7647</v>
      </c>
      <c r="B7018" s="206">
        <v>93016</v>
      </c>
      <c r="C7018" s="207" t="s">
        <v>7677</v>
      </c>
      <c r="D7018" s="208" t="s">
        <v>580</v>
      </c>
      <c r="E7018" s="209">
        <v>31.5</v>
      </c>
      <c r="F7018" s="209">
        <v>16.93</v>
      </c>
      <c r="G7018" s="209">
        <v>48.43</v>
      </c>
      <c r="H7018" s="198"/>
    </row>
    <row r="7019" spans="1:8" ht="15.75" customHeight="1" x14ac:dyDescent="0.25">
      <c r="A7019" s="205" t="s">
        <v>7647</v>
      </c>
      <c r="B7019" s="206">
        <v>103490</v>
      </c>
      <c r="C7019" s="207" t="s">
        <v>7678</v>
      </c>
      <c r="D7019" s="208" t="s">
        <v>664</v>
      </c>
      <c r="E7019" s="209">
        <v>1635.75</v>
      </c>
      <c r="F7019" s="209">
        <v>2094.58</v>
      </c>
      <c r="G7019" s="209">
        <v>3730.33</v>
      </c>
      <c r="H7019" s="198"/>
    </row>
    <row r="7020" spans="1:8" ht="15.75" hidden="1" customHeight="1" x14ac:dyDescent="0.25">
      <c r="A7020" s="205" t="s">
        <v>7679</v>
      </c>
      <c r="B7020" s="206">
        <v>98306</v>
      </c>
      <c r="C7020" s="207" t="s">
        <v>7680</v>
      </c>
      <c r="D7020" s="208" t="s">
        <v>580</v>
      </c>
      <c r="E7020" s="209">
        <v>39.69</v>
      </c>
      <c r="F7020" s="209">
        <v>33.78</v>
      </c>
      <c r="G7020" s="209">
        <v>73.47</v>
      </c>
      <c r="H7020" s="198"/>
    </row>
    <row r="7021" spans="1:8" ht="15.75" hidden="1" customHeight="1" x14ac:dyDescent="0.25">
      <c r="A7021" s="205" t="s">
        <v>7679</v>
      </c>
      <c r="B7021" s="206">
        <v>100553</v>
      </c>
      <c r="C7021" s="207" t="s">
        <v>7681</v>
      </c>
      <c r="D7021" s="208" t="s">
        <v>585</v>
      </c>
      <c r="E7021" s="209">
        <v>29</v>
      </c>
      <c r="F7021" s="209">
        <v>3.76</v>
      </c>
      <c r="G7021" s="209">
        <v>32.76</v>
      </c>
      <c r="H7021" s="198"/>
    </row>
    <row r="7022" spans="1:8" ht="15.75" hidden="1" customHeight="1" x14ac:dyDescent="0.25">
      <c r="A7022" s="205" t="s">
        <v>7679</v>
      </c>
      <c r="B7022" s="206">
        <v>100554</v>
      </c>
      <c r="C7022" s="207" t="s">
        <v>7682</v>
      </c>
      <c r="D7022" s="208" t="s">
        <v>585</v>
      </c>
      <c r="E7022" s="209">
        <v>3.78</v>
      </c>
      <c r="F7022" s="209">
        <v>3.51</v>
      </c>
      <c r="G7022" s="209">
        <v>7.29</v>
      </c>
      <c r="H7022" s="198"/>
    </row>
    <row r="7023" spans="1:8" ht="15.75" hidden="1" customHeight="1" x14ac:dyDescent="0.25">
      <c r="A7023" s="205" t="s">
        <v>7679</v>
      </c>
      <c r="B7023" s="206">
        <v>98300</v>
      </c>
      <c r="C7023" s="207" t="s">
        <v>7683</v>
      </c>
      <c r="D7023" s="208" t="s">
        <v>585</v>
      </c>
      <c r="E7023" s="209">
        <v>3.96</v>
      </c>
      <c r="F7023" s="209">
        <v>3.69</v>
      </c>
      <c r="G7023" s="209">
        <v>7.65</v>
      </c>
      <c r="H7023" s="198"/>
    </row>
    <row r="7024" spans="1:8" ht="15.75" hidden="1" customHeight="1" x14ac:dyDescent="0.25">
      <c r="A7024" s="205" t="s">
        <v>7679</v>
      </c>
      <c r="B7024" s="206">
        <v>98295</v>
      </c>
      <c r="C7024" s="207" t="s">
        <v>7684</v>
      </c>
      <c r="D7024" s="208" t="s">
        <v>585</v>
      </c>
      <c r="E7024" s="209">
        <v>7.51</v>
      </c>
      <c r="F7024" s="209">
        <v>0.12</v>
      </c>
      <c r="G7024" s="209">
        <v>7.63</v>
      </c>
      <c r="H7024" s="198"/>
    </row>
    <row r="7025" spans="1:8" ht="15.75" hidden="1" customHeight="1" x14ac:dyDescent="0.25">
      <c r="A7025" s="205" t="s">
        <v>7679</v>
      </c>
      <c r="B7025" s="206">
        <v>98294</v>
      </c>
      <c r="C7025" s="207" t="s">
        <v>7685</v>
      </c>
      <c r="D7025" s="208" t="s">
        <v>585</v>
      </c>
      <c r="E7025" s="209">
        <v>7.78</v>
      </c>
      <c r="F7025" s="209">
        <v>0.82</v>
      </c>
      <c r="G7025" s="209">
        <v>8.6</v>
      </c>
      <c r="H7025" s="198"/>
    </row>
    <row r="7026" spans="1:8" ht="15.75" hidden="1" customHeight="1" x14ac:dyDescent="0.25">
      <c r="A7026" s="205" t="s">
        <v>7679</v>
      </c>
      <c r="B7026" s="206">
        <v>98297</v>
      </c>
      <c r="C7026" s="207" t="s">
        <v>7686</v>
      </c>
      <c r="D7026" s="208" t="s">
        <v>585</v>
      </c>
      <c r="E7026" s="209">
        <v>10.81</v>
      </c>
      <c r="F7026" s="209">
        <v>0.21</v>
      </c>
      <c r="G7026" s="209">
        <v>11.02</v>
      </c>
      <c r="H7026" s="198"/>
    </row>
    <row r="7027" spans="1:8" ht="15.75" hidden="1" customHeight="1" x14ac:dyDescent="0.25">
      <c r="A7027" s="205" t="s">
        <v>7679</v>
      </c>
      <c r="B7027" s="206">
        <v>98296</v>
      </c>
      <c r="C7027" s="207" t="s">
        <v>7687</v>
      </c>
      <c r="D7027" s="208" t="s">
        <v>585</v>
      </c>
      <c r="E7027" s="209">
        <v>11.23</v>
      </c>
      <c r="F7027" s="209">
        <v>1.32</v>
      </c>
      <c r="G7027" s="209">
        <v>12.55</v>
      </c>
      <c r="H7027" s="198"/>
    </row>
    <row r="7028" spans="1:8" ht="15.75" hidden="1" customHeight="1" x14ac:dyDescent="0.25">
      <c r="A7028" s="205" t="s">
        <v>7679</v>
      </c>
      <c r="B7028" s="206">
        <v>98299</v>
      </c>
      <c r="C7028" s="207" t="s">
        <v>7688</v>
      </c>
      <c r="D7028" s="208" t="s">
        <v>585</v>
      </c>
      <c r="E7028" s="209">
        <v>28.35</v>
      </c>
      <c r="F7028" s="209">
        <v>0.26</v>
      </c>
      <c r="G7028" s="209">
        <v>28.61</v>
      </c>
      <c r="H7028" s="198"/>
    </row>
    <row r="7029" spans="1:8" ht="15.75" hidden="1" customHeight="1" x14ac:dyDescent="0.25">
      <c r="A7029" s="205" t="s">
        <v>7679</v>
      </c>
      <c r="B7029" s="206">
        <v>98298</v>
      </c>
      <c r="C7029" s="207" t="s">
        <v>7689</v>
      </c>
      <c r="D7029" s="208" t="s">
        <v>585</v>
      </c>
      <c r="E7029" s="209">
        <v>28.86</v>
      </c>
      <c r="F7029" s="209">
        <v>1.63</v>
      </c>
      <c r="G7029" s="209">
        <v>30.49</v>
      </c>
      <c r="H7029" s="198"/>
    </row>
    <row r="7030" spans="1:8" ht="15.75" hidden="1" customHeight="1" x14ac:dyDescent="0.25">
      <c r="A7030" s="205" t="s">
        <v>7679</v>
      </c>
      <c r="B7030" s="206">
        <v>98261</v>
      </c>
      <c r="C7030" s="207" t="s">
        <v>7690</v>
      </c>
      <c r="D7030" s="208" t="s">
        <v>585</v>
      </c>
      <c r="E7030" s="209">
        <v>2.11</v>
      </c>
      <c r="F7030" s="209">
        <v>3.02</v>
      </c>
      <c r="G7030" s="209">
        <v>5.13</v>
      </c>
      <c r="H7030" s="198"/>
    </row>
    <row r="7031" spans="1:8" ht="15.75" hidden="1" customHeight="1" x14ac:dyDescent="0.25">
      <c r="A7031" s="205" t="s">
        <v>7679</v>
      </c>
      <c r="B7031" s="206">
        <v>98287</v>
      </c>
      <c r="C7031" s="207" t="s">
        <v>7691</v>
      </c>
      <c r="D7031" s="208" t="s">
        <v>585</v>
      </c>
      <c r="E7031" s="209">
        <v>1.25</v>
      </c>
      <c r="F7031" s="209">
        <v>0.71</v>
      </c>
      <c r="G7031" s="209">
        <v>1.96</v>
      </c>
      <c r="H7031" s="198"/>
    </row>
    <row r="7032" spans="1:8" ht="15.75" hidden="1" customHeight="1" x14ac:dyDescent="0.25">
      <c r="A7032" s="205" t="s">
        <v>7679</v>
      </c>
      <c r="B7032" s="206">
        <v>98280</v>
      </c>
      <c r="C7032" s="207" t="s">
        <v>7692</v>
      </c>
      <c r="D7032" s="208" t="s">
        <v>585</v>
      </c>
      <c r="E7032" s="209">
        <v>3.55</v>
      </c>
      <c r="F7032" s="209">
        <v>6.86</v>
      </c>
      <c r="G7032" s="209">
        <v>10.41</v>
      </c>
      <c r="H7032" s="198"/>
    </row>
    <row r="7033" spans="1:8" ht="15.75" hidden="1" customHeight="1" x14ac:dyDescent="0.25">
      <c r="A7033" s="205" t="s">
        <v>7679</v>
      </c>
      <c r="B7033" s="206">
        <v>98288</v>
      </c>
      <c r="C7033" s="207" t="s">
        <v>7693</v>
      </c>
      <c r="D7033" s="208" t="s">
        <v>585</v>
      </c>
      <c r="E7033" s="209">
        <v>2.1800000000000002</v>
      </c>
      <c r="F7033" s="209">
        <v>0.85</v>
      </c>
      <c r="G7033" s="209">
        <v>3.03</v>
      </c>
      <c r="H7033" s="198"/>
    </row>
    <row r="7034" spans="1:8" ht="15.75" hidden="1" customHeight="1" x14ac:dyDescent="0.25">
      <c r="A7034" s="205" t="s">
        <v>7679</v>
      </c>
      <c r="B7034" s="206">
        <v>98281</v>
      </c>
      <c r="C7034" s="207" t="s">
        <v>7694</v>
      </c>
      <c r="D7034" s="208" t="s">
        <v>585</v>
      </c>
      <c r="E7034" s="209">
        <v>4.4800000000000004</v>
      </c>
      <c r="F7034" s="209">
        <v>7.01</v>
      </c>
      <c r="G7034" s="209">
        <v>11.49</v>
      </c>
      <c r="H7034" s="198"/>
    </row>
    <row r="7035" spans="1:8" ht="15.75" hidden="1" customHeight="1" x14ac:dyDescent="0.25">
      <c r="A7035" s="205" t="s">
        <v>7679</v>
      </c>
      <c r="B7035" s="206">
        <v>98262</v>
      </c>
      <c r="C7035" s="207" t="s">
        <v>7695</v>
      </c>
      <c r="D7035" s="208" t="s">
        <v>585</v>
      </c>
      <c r="E7035" s="209">
        <v>3.04</v>
      </c>
      <c r="F7035" s="209">
        <v>3.16</v>
      </c>
      <c r="G7035" s="209">
        <v>6.2</v>
      </c>
      <c r="H7035" s="198"/>
    </row>
    <row r="7036" spans="1:8" ht="15.75" hidden="1" customHeight="1" x14ac:dyDescent="0.25">
      <c r="A7036" s="205" t="s">
        <v>7679</v>
      </c>
      <c r="B7036" s="206">
        <v>98289</v>
      </c>
      <c r="C7036" s="207" t="s">
        <v>7696</v>
      </c>
      <c r="D7036" s="208" t="s">
        <v>585</v>
      </c>
      <c r="E7036" s="209">
        <v>2.3199999999999998</v>
      </c>
      <c r="F7036" s="209">
        <v>0.99</v>
      </c>
      <c r="G7036" s="209">
        <v>3.31</v>
      </c>
      <c r="H7036" s="198"/>
    </row>
    <row r="7037" spans="1:8" ht="15.75" hidden="1" customHeight="1" x14ac:dyDescent="0.25">
      <c r="A7037" s="205" t="s">
        <v>7679</v>
      </c>
      <c r="B7037" s="206">
        <v>98282</v>
      </c>
      <c r="C7037" s="207" t="s">
        <v>7697</v>
      </c>
      <c r="D7037" s="208" t="s">
        <v>585</v>
      </c>
      <c r="E7037" s="209">
        <v>4.63</v>
      </c>
      <c r="F7037" s="209">
        <v>7.13</v>
      </c>
      <c r="G7037" s="209">
        <v>11.76</v>
      </c>
      <c r="H7037" s="198"/>
    </row>
    <row r="7038" spans="1:8" ht="15.75" hidden="1" customHeight="1" x14ac:dyDescent="0.25">
      <c r="A7038" s="205" t="s">
        <v>7679</v>
      </c>
      <c r="B7038" s="206">
        <v>98263</v>
      </c>
      <c r="C7038" s="207" t="s">
        <v>7698</v>
      </c>
      <c r="D7038" s="208" t="s">
        <v>585</v>
      </c>
      <c r="E7038" s="209">
        <v>3.2</v>
      </c>
      <c r="F7038" s="209">
        <v>3.28</v>
      </c>
      <c r="G7038" s="209">
        <v>6.48</v>
      </c>
      <c r="H7038" s="198"/>
    </row>
    <row r="7039" spans="1:8" ht="15.75" hidden="1" customHeight="1" x14ac:dyDescent="0.25">
      <c r="A7039" s="205" t="s">
        <v>7679</v>
      </c>
      <c r="B7039" s="206">
        <v>98290</v>
      </c>
      <c r="C7039" s="207" t="s">
        <v>7699</v>
      </c>
      <c r="D7039" s="208" t="s">
        <v>585</v>
      </c>
      <c r="E7039" s="209">
        <v>3.39</v>
      </c>
      <c r="F7039" s="209">
        <v>1.08</v>
      </c>
      <c r="G7039" s="209">
        <v>4.47</v>
      </c>
      <c r="H7039" s="198"/>
    </row>
    <row r="7040" spans="1:8" ht="15.75" hidden="1" customHeight="1" x14ac:dyDescent="0.25">
      <c r="A7040" s="205" t="s">
        <v>7679</v>
      </c>
      <c r="B7040" s="206">
        <v>98283</v>
      </c>
      <c r="C7040" s="207" t="s">
        <v>7700</v>
      </c>
      <c r="D7040" s="208" t="s">
        <v>585</v>
      </c>
      <c r="E7040" s="209">
        <v>5.69</v>
      </c>
      <c r="F7040" s="209">
        <v>7.22</v>
      </c>
      <c r="G7040" s="209">
        <v>12.91</v>
      </c>
      <c r="H7040" s="198"/>
    </row>
    <row r="7041" spans="1:8" ht="15.75" hidden="1" customHeight="1" x14ac:dyDescent="0.25">
      <c r="A7041" s="205" t="s">
        <v>7679</v>
      </c>
      <c r="B7041" s="206">
        <v>98264</v>
      </c>
      <c r="C7041" s="207" t="s">
        <v>7701</v>
      </c>
      <c r="D7041" s="208" t="s">
        <v>585</v>
      </c>
      <c r="E7041" s="209">
        <v>4.26</v>
      </c>
      <c r="F7041" s="209">
        <v>3.38</v>
      </c>
      <c r="G7041" s="209">
        <v>7.64</v>
      </c>
      <c r="H7041" s="198"/>
    </row>
    <row r="7042" spans="1:8" ht="15.75" hidden="1" customHeight="1" x14ac:dyDescent="0.25">
      <c r="A7042" s="205" t="s">
        <v>7679</v>
      </c>
      <c r="B7042" s="206">
        <v>98273</v>
      </c>
      <c r="C7042" s="207" t="s">
        <v>7702</v>
      </c>
      <c r="D7042" s="208" t="s">
        <v>585</v>
      </c>
      <c r="E7042" s="209">
        <v>3.13</v>
      </c>
      <c r="F7042" s="209">
        <v>0.4</v>
      </c>
      <c r="G7042" s="209">
        <v>3.53</v>
      </c>
      <c r="H7042" s="198"/>
    </row>
    <row r="7043" spans="1:8" ht="15.75" hidden="1" customHeight="1" x14ac:dyDescent="0.25">
      <c r="A7043" s="205" t="s">
        <v>7679</v>
      </c>
      <c r="B7043" s="206">
        <v>98291</v>
      </c>
      <c r="C7043" s="207" t="s">
        <v>7703</v>
      </c>
      <c r="D7043" s="208" t="s">
        <v>585</v>
      </c>
      <c r="E7043" s="209">
        <v>4.07</v>
      </c>
      <c r="F7043" s="209">
        <v>1.1599999999999999</v>
      </c>
      <c r="G7043" s="209">
        <v>5.23</v>
      </c>
      <c r="H7043" s="198"/>
    </row>
    <row r="7044" spans="1:8" ht="15.75" hidden="1" customHeight="1" x14ac:dyDescent="0.25">
      <c r="A7044" s="205" t="s">
        <v>7679</v>
      </c>
      <c r="B7044" s="206">
        <v>98284</v>
      </c>
      <c r="C7044" s="207" t="s">
        <v>7704</v>
      </c>
      <c r="D7044" s="208" t="s">
        <v>585</v>
      </c>
      <c r="E7044" s="209">
        <v>6.37</v>
      </c>
      <c r="F7044" s="209">
        <v>7.3</v>
      </c>
      <c r="G7044" s="209">
        <v>13.67</v>
      </c>
      <c r="H7044" s="198"/>
    </row>
    <row r="7045" spans="1:8" ht="15.75" hidden="1" customHeight="1" x14ac:dyDescent="0.25">
      <c r="A7045" s="205" t="s">
        <v>7679</v>
      </c>
      <c r="B7045" s="206">
        <v>98265</v>
      </c>
      <c r="C7045" s="207" t="s">
        <v>7705</v>
      </c>
      <c r="D7045" s="208" t="s">
        <v>585</v>
      </c>
      <c r="E7045" s="209">
        <v>4.92</v>
      </c>
      <c r="F7045" s="209">
        <v>3.48</v>
      </c>
      <c r="G7045" s="209">
        <v>8.4</v>
      </c>
      <c r="H7045" s="198"/>
    </row>
    <row r="7046" spans="1:8" ht="15.75" hidden="1" customHeight="1" x14ac:dyDescent="0.25">
      <c r="A7046" s="205" t="s">
        <v>7679</v>
      </c>
      <c r="B7046" s="206">
        <v>98274</v>
      </c>
      <c r="C7046" s="207" t="s">
        <v>7706</v>
      </c>
      <c r="D7046" s="208" t="s">
        <v>585</v>
      </c>
      <c r="E7046" s="209">
        <v>3.81</v>
      </c>
      <c r="F7046" s="209">
        <v>0.48</v>
      </c>
      <c r="G7046" s="209">
        <v>4.29</v>
      </c>
      <c r="H7046" s="198"/>
    </row>
    <row r="7047" spans="1:8" ht="15.75" hidden="1" customHeight="1" x14ac:dyDescent="0.25">
      <c r="A7047" s="205" t="s">
        <v>7679</v>
      </c>
      <c r="B7047" s="206">
        <v>98292</v>
      </c>
      <c r="C7047" s="207" t="s">
        <v>7707</v>
      </c>
      <c r="D7047" s="208" t="s">
        <v>585</v>
      </c>
      <c r="E7047" s="209">
        <v>5.04</v>
      </c>
      <c r="F7047" s="209">
        <v>1.21</v>
      </c>
      <c r="G7047" s="209">
        <v>6.25</v>
      </c>
      <c r="H7047" s="198"/>
    </row>
    <row r="7048" spans="1:8" ht="15.75" hidden="1" customHeight="1" x14ac:dyDescent="0.25">
      <c r="A7048" s="205" t="s">
        <v>7679</v>
      </c>
      <c r="B7048" s="206">
        <v>98285</v>
      </c>
      <c r="C7048" s="207" t="s">
        <v>7708</v>
      </c>
      <c r="D7048" s="208" t="s">
        <v>585</v>
      </c>
      <c r="E7048" s="209">
        <v>7.36</v>
      </c>
      <c r="F7048" s="209">
        <v>7.35</v>
      </c>
      <c r="G7048" s="209">
        <v>14.71</v>
      </c>
      <c r="H7048" s="198"/>
    </row>
    <row r="7049" spans="1:8" ht="15.75" hidden="1" customHeight="1" x14ac:dyDescent="0.25">
      <c r="A7049" s="205" t="s">
        <v>7679</v>
      </c>
      <c r="B7049" s="206">
        <v>98266</v>
      </c>
      <c r="C7049" s="207" t="s">
        <v>7709</v>
      </c>
      <c r="D7049" s="208" t="s">
        <v>585</v>
      </c>
      <c r="E7049" s="209">
        <v>5.92</v>
      </c>
      <c r="F7049" s="209">
        <v>3.5</v>
      </c>
      <c r="G7049" s="209">
        <v>9.42</v>
      </c>
      <c r="H7049" s="198"/>
    </row>
    <row r="7050" spans="1:8" ht="15.75" hidden="1" customHeight="1" x14ac:dyDescent="0.25">
      <c r="A7050" s="205" t="s">
        <v>7679</v>
      </c>
      <c r="B7050" s="206">
        <v>98275</v>
      </c>
      <c r="C7050" s="207" t="s">
        <v>7710</v>
      </c>
      <c r="D7050" s="208" t="s">
        <v>585</v>
      </c>
      <c r="E7050" s="209">
        <v>4.8</v>
      </c>
      <c r="F7050" s="209">
        <v>0.52</v>
      </c>
      <c r="G7050" s="209">
        <v>5.32</v>
      </c>
      <c r="H7050" s="198"/>
    </row>
    <row r="7051" spans="1:8" ht="15.75" hidden="1" customHeight="1" x14ac:dyDescent="0.25">
      <c r="A7051" s="205" t="s">
        <v>7679</v>
      </c>
      <c r="B7051" s="206">
        <v>98293</v>
      </c>
      <c r="C7051" s="207" t="s">
        <v>7711</v>
      </c>
      <c r="D7051" s="208" t="s">
        <v>585</v>
      </c>
      <c r="E7051" s="209">
        <v>9.2799999999999994</v>
      </c>
      <c r="F7051" s="209">
        <v>2.23</v>
      </c>
      <c r="G7051" s="209">
        <v>11.51</v>
      </c>
      <c r="H7051" s="198"/>
    </row>
    <row r="7052" spans="1:8" ht="15.75" hidden="1" customHeight="1" x14ac:dyDescent="0.25">
      <c r="A7052" s="205" t="s">
        <v>7679</v>
      </c>
      <c r="B7052" s="206">
        <v>98286</v>
      </c>
      <c r="C7052" s="207" t="s">
        <v>7712</v>
      </c>
      <c r="D7052" s="208" t="s">
        <v>585</v>
      </c>
      <c r="E7052" s="209">
        <v>11.59</v>
      </c>
      <c r="F7052" s="209">
        <v>8.3800000000000008</v>
      </c>
      <c r="G7052" s="209">
        <v>19.97</v>
      </c>
      <c r="H7052" s="198"/>
    </row>
    <row r="7053" spans="1:8" ht="15.75" hidden="1" customHeight="1" x14ac:dyDescent="0.25">
      <c r="A7053" s="205" t="s">
        <v>7679</v>
      </c>
      <c r="B7053" s="206">
        <v>98267</v>
      </c>
      <c r="C7053" s="207" t="s">
        <v>7713</v>
      </c>
      <c r="D7053" s="208" t="s">
        <v>585</v>
      </c>
      <c r="E7053" s="209">
        <v>10.15</v>
      </c>
      <c r="F7053" s="209">
        <v>4.54</v>
      </c>
      <c r="G7053" s="209">
        <v>14.69</v>
      </c>
      <c r="H7053" s="198"/>
    </row>
    <row r="7054" spans="1:8" ht="15.75" hidden="1" customHeight="1" x14ac:dyDescent="0.25">
      <c r="A7054" s="205" t="s">
        <v>7679</v>
      </c>
      <c r="B7054" s="206">
        <v>98276</v>
      </c>
      <c r="C7054" s="207" t="s">
        <v>7714</v>
      </c>
      <c r="D7054" s="208" t="s">
        <v>585</v>
      </c>
      <c r="E7054" s="209">
        <v>9.0399999999999991</v>
      </c>
      <c r="F7054" s="209">
        <v>1.54</v>
      </c>
      <c r="G7054" s="209">
        <v>10.58</v>
      </c>
      <c r="H7054" s="198"/>
    </row>
    <row r="7055" spans="1:8" ht="15.75" hidden="1" customHeight="1" x14ac:dyDescent="0.25">
      <c r="A7055" s="205" t="s">
        <v>7679</v>
      </c>
      <c r="B7055" s="206">
        <v>98268</v>
      </c>
      <c r="C7055" s="207" t="s">
        <v>7715</v>
      </c>
      <c r="D7055" s="208" t="s">
        <v>585</v>
      </c>
      <c r="E7055" s="209">
        <v>17.97</v>
      </c>
      <c r="F7055" s="209">
        <v>5.14</v>
      </c>
      <c r="G7055" s="209">
        <v>23.11</v>
      </c>
      <c r="H7055" s="198"/>
    </row>
    <row r="7056" spans="1:8" ht="15.75" hidden="1" customHeight="1" x14ac:dyDescent="0.25">
      <c r="A7056" s="205" t="s">
        <v>7679</v>
      </c>
      <c r="B7056" s="206">
        <v>98277</v>
      </c>
      <c r="C7056" s="207" t="s">
        <v>7716</v>
      </c>
      <c r="D7056" s="208" t="s">
        <v>585</v>
      </c>
      <c r="E7056" s="209">
        <v>16.84</v>
      </c>
      <c r="F7056" s="209">
        <v>2.17</v>
      </c>
      <c r="G7056" s="209">
        <v>19.010000000000002</v>
      </c>
      <c r="H7056" s="198"/>
    </row>
    <row r="7057" spans="1:8" ht="15.75" hidden="1" customHeight="1" x14ac:dyDescent="0.25">
      <c r="A7057" s="205" t="s">
        <v>7679</v>
      </c>
      <c r="B7057" s="206">
        <v>98272</v>
      </c>
      <c r="C7057" s="207" t="s">
        <v>7717</v>
      </c>
      <c r="D7057" s="208" t="s">
        <v>585</v>
      </c>
      <c r="E7057" s="209">
        <v>138.07</v>
      </c>
      <c r="F7057" s="209">
        <v>9.39</v>
      </c>
      <c r="G7057" s="209">
        <v>147.46</v>
      </c>
      <c r="H7057" s="198"/>
    </row>
    <row r="7058" spans="1:8" ht="15.75" hidden="1" customHeight="1" x14ac:dyDescent="0.25">
      <c r="A7058" s="205" t="s">
        <v>7679</v>
      </c>
      <c r="B7058" s="206">
        <v>98269</v>
      </c>
      <c r="C7058" s="207" t="s">
        <v>7718</v>
      </c>
      <c r="D7058" s="208" t="s">
        <v>585</v>
      </c>
      <c r="E7058" s="209">
        <v>25.59</v>
      </c>
      <c r="F7058" s="209">
        <v>5.64</v>
      </c>
      <c r="G7058" s="209">
        <v>31.23</v>
      </c>
      <c r="H7058" s="198"/>
    </row>
    <row r="7059" spans="1:8" ht="15.75" hidden="1" customHeight="1" x14ac:dyDescent="0.25">
      <c r="A7059" s="205" t="s">
        <v>7679</v>
      </c>
      <c r="B7059" s="206">
        <v>98278</v>
      </c>
      <c r="C7059" s="207" t="s">
        <v>7719</v>
      </c>
      <c r="D7059" s="208" t="s">
        <v>585</v>
      </c>
      <c r="E7059" s="209">
        <v>24.45</v>
      </c>
      <c r="F7059" s="209">
        <v>2.67</v>
      </c>
      <c r="G7059" s="209">
        <v>27.12</v>
      </c>
      <c r="H7059" s="198"/>
    </row>
    <row r="7060" spans="1:8" ht="15.75" hidden="1" customHeight="1" x14ac:dyDescent="0.25">
      <c r="A7060" s="205" t="s">
        <v>7679</v>
      </c>
      <c r="B7060" s="206">
        <v>98270</v>
      </c>
      <c r="C7060" s="207" t="s">
        <v>7720</v>
      </c>
      <c r="D7060" s="208" t="s">
        <v>585</v>
      </c>
      <c r="E7060" s="209">
        <v>40.26</v>
      </c>
      <c r="F7060" s="209">
        <v>6.27</v>
      </c>
      <c r="G7060" s="209">
        <v>46.53</v>
      </c>
      <c r="H7060" s="198"/>
    </row>
    <row r="7061" spans="1:8" ht="15.75" hidden="1" customHeight="1" x14ac:dyDescent="0.25">
      <c r="A7061" s="205" t="s">
        <v>7679</v>
      </c>
      <c r="B7061" s="206">
        <v>98279</v>
      </c>
      <c r="C7061" s="207" t="s">
        <v>7721</v>
      </c>
      <c r="D7061" s="208" t="s">
        <v>585</v>
      </c>
      <c r="E7061" s="209">
        <v>39.15</v>
      </c>
      <c r="F7061" s="209">
        <v>3.27</v>
      </c>
      <c r="G7061" s="209">
        <v>42.42</v>
      </c>
      <c r="H7061" s="198"/>
    </row>
    <row r="7062" spans="1:8" ht="15.75" hidden="1" customHeight="1" x14ac:dyDescent="0.25">
      <c r="A7062" s="205" t="s">
        <v>7679</v>
      </c>
      <c r="B7062" s="206">
        <v>98271</v>
      </c>
      <c r="C7062" s="207" t="s">
        <v>7722</v>
      </c>
      <c r="D7062" s="208" t="s">
        <v>585</v>
      </c>
      <c r="E7062" s="209">
        <v>58.09</v>
      </c>
      <c r="F7062" s="209">
        <v>6.87</v>
      </c>
      <c r="G7062" s="209">
        <v>64.959999999999994</v>
      </c>
      <c r="H7062" s="198"/>
    </row>
    <row r="7063" spans="1:8" ht="15.75" hidden="1" customHeight="1" x14ac:dyDescent="0.25">
      <c r="A7063" s="205" t="s">
        <v>7679</v>
      </c>
      <c r="B7063" s="206">
        <v>98400</v>
      </c>
      <c r="C7063" s="207" t="s">
        <v>7723</v>
      </c>
      <c r="D7063" s="208" t="s">
        <v>585</v>
      </c>
      <c r="E7063" s="209">
        <v>13.25</v>
      </c>
      <c r="F7063" s="209">
        <v>4.54</v>
      </c>
      <c r="G7063" s="209">
        <v>17.79</v>
      </c>
      <c r="H7063" s="198"/>
    </row>
    <row r="7064" spans="1:8" ht="15.75" hidden="1" customHeight="1" x14ac:dyDescent="0.25">
      <c r="A7064" s="205" t="s">
        <v>7679</v>
      </c>
      <c r="B7064" s="206">
        <v>98401</v>
      </c>
      <c r="C7064" s="207" t="s">
        <v>7724</v>
      </c>
      <c r="D7064" s="208" t="s">
        <v>585</v>
      </c>
      <c r="E7064" s="209">
        <v>22.26</v>
      </c>
      <c r="F7064" s="209">
        <v>5.15</v>
      </c>
      <c r="G7064" s="209">
        <v>27.41</v>
      </c>
      <c r="H7064" s="198"/>
    </row>
    <row r="7065" spans="1:8" ht="15.75" hidden="1" customHeight="1" x14ac:dyDescent="0.25">
      <c r="A7065" s="205" t="s">
        <v>7679</v>
      </c>
      <c r="B7065" s="206">
        <v>98402</v>
      </c>
      <c r="C7065" s="207" t="s">
        <v>7725</v>
      </c>
      <c r="D7065" s="208" t="s">
        <v>585</v>
      </c>
      <c r="E7065" s="209">
        <v>26.26</v>
      </c>
      <c r="F7065" s="209">
        <v>5.64</v>
      </c>
      <c r="G7065" s="209">
        <v>31.9</v>
      </c>
      <c r="H7065" s="198"/>
    </row>
    <row r="7066" spans="1:8" ht="15.75" hidden="1" customHeight="1" x14ac:dyDescent="0.25">
      <c r="A7066" s="205" t="s">
        <v>7679</v>
      </c>
      <c r="B7066" s="206">
        <v>100556</v>
      </c>
      <c r="C7066" s="207" t="s">
        <v>7726</v>
      </c>
      <c r="D7066" s="208" t="s">
        <v>580</v>
      </c>
      <c r="E7066" s="209">
        <v>26.21</v>
      </c>
      <c r="F7066" s="209">
        <v>17.12</v>
      </c>
      <c r="G7066" s="209">
        <v>43.33</v>
      </c>
      <c r="H7066" s="198"/>
    </row>
    <row r="7067" spans="1:8" ht="15.75" hidden="1" customHeight="1" x14ac:dyDescent="0.25">
      <c r="A7067" s="205" t="s">
        <v>7679</v>
      </c>
      <c r="B7067" s="206">
        <v>100557</v>
      </c>
      <c r="C7067" s="207" t="s">
        <v>7727</v>
      </c>
      <c r="D7067" s="208" t="s">
        <v>580</v>
      </c>
      <c r="E7067" s="209">
        <v>388.23</v>
      </c>
      <c r="F7067" s="209">
        <v>51.24</v>
      </c>
      <c r="G7067" s="209">
        <v>439.47</v>
      </c>
      <c r="H7067" s="198"/>
    </row>
    <row r="7068" spans="1:8" ht="15.75" hidden="1" customHeight="1" x14ac:dyDescent="0.25">
      <c r="A7068" s="205" t="s">
        <v>7679</v>
      </c>
      <c r="B7068" s="206">
        <v>98301</v>
      </c>
      <c r="C7068" s="207" t="s">
        <v>7728</v>
      </c>
      <c r="D7068" s="208" t="s">
        <v>580</v>
      </c>
      <c r="E7068" s="209">
        <v>420.33</v>
      </c>
      <c r="F7068" s="209">
        <v>307.26</v>
      </c>
      <c r="G7068" s="209">
        <v>727.59</v>
      </c>
      <c r="H7068" s="198"/>
    </row>
    <row r="7069" spans="1:8" ht="15.75" hidden="1" customHeight="1" x14ac:dyDescent="0.25">
      <c r="A7069" s="205" t="s">
        <v>7679</v>
      </c>
      <c r="B7069" s="206">
        <v>98302</v>
      </c>
      <c r="C7069" s="207" t="s">
        <v>7729</v>
      </c>
      <c r="D7069" s="208" t="s">
        <v>580</v>
      </c>
      <c r="E7069" s="209">
        <v>932.02</v>
      </c>
      <c r="F7069" s="209">
        <v>307.2</v>
      </c>
      <c r="G7069" s="209">
        <v>1239.22</v>
      </c>
      <c r="H7069" s="198"/>
    </row>
    <row r="7070" spans="1:8" ht="15.75" hidden="1" customHeight="1" x14ac:dyDescent="0.25">
      <c r="A7070" s="205" t="s">
        <v>7679</v>
      </c>
      <c r="B7070" s="206">
        <v>98593</v>
      </c>
      <c r="C7070" s="207" t="s">
        <v>7730</v>
      </c>
      <c r="D7070" s="208" t="s">
        <v>580</v>
      </c>
      <c r="E7070" s="209">
        <v>2064.06</v>
      </c>
      <c r="F7070" s="209">
        <v>610.63</v>
      </c>
      <c r="G7070" s="209">
        <v>2674.69</v>
      </c>
      <c r="H7070" s="198"/>
    </row>
    <row r="7071" spans="1:8" ht="15.75" hidden="1" customHeight="1" x14ac:dyDescent="0.25">
      <c r="A7071" s="205" t="s">
        <v>7679</v>
      </c>
      <c r="B7071" s="206">
        <v>98304</v>
      </c>
      <c r="C7071" s="207" t="s">
        <v>7731</v>
      </c>
      <c r="D7071" s="208" t="s">
        <v>580</v>
      </c>
      <c r="E7071" s="209">
        <v>3107.44</v>
      </c>
      <c r="F7071" s="209">
        <v>610.48</v>
      </c>
      <c r="G7071" s="209">
        <v>3717.92</v>
      </c>
      <c r="H7071" s="198"/>
    </row>
    <row r="7072" spans="1:8" ht="15.75" hidden="1" customHeight="1" x14ac:dyDescent="0.25">
      <c r="A7072" s="205" t="s">
        <v>7679</v>
      </c>
      <c r="B7072" s="206">
        <v>100561</v>
      </c>
      <c r="C7072" s="207" t="s">
        <v>7732</v>
      </c>
      <c r="D7072" s="208" t="s">
        <v>580</v>
      </c>
      <c r="E7072" s="209">
        <v>144.1</v>
      </c>
      <c r="F7072" s="209">
        <v>50.86</v>
      </c>
      <c r="G7072" s="209">
        <v>194.96</v>
      </c>
      <c r="H7072" s="198"/>
    </row>
    <row r="7073" spans="1:8" ht="15.75" hidden="1" customHeight="1" x14ac:dyDescent="0.25">
      <c r="A7073" s="205" t="s">
        <v>7679</v>
      </c>
      <c r="B7073" s="206">
        <v>100562</v>
      </c>
      <c r="C7073" s="207" t="s">
        <v>7733</v>
      </c>
      <c r="D7073" s="208" t="s">
        <v>580</v>
      </c>
      <c r="E7073" s="209">
        <v>231.46</v>
      </c>
      <c r="F7073" s="209">
        <v>58.04</v>
      </c>
      <c r="G7073" s="209">
        <v>289.5</v>
      </c>
      <c r="H7073" s="198"/>
    </row>
    <row r="7074" spans="1:8" ht="15.75" hidden="1" customHeight="1" x14ac:dyDescent="0.25">
      <c r="A7074" s="205" t="s">
        <v>7679</v>
      </c>
      <c r="B7074" s="206">
        <v>100560</v>
      </c>
      <c r="C7074" s="207" t="s">
        <v>7734</v>
      </c>
      <c r="D7074" s="208" t="s">
        <v>580</v>
      </c>
      <c r="E7074" s="209">
        <v>72.28</v>
      </c>
      <c r="F7074" s="209">
        <v>44.53</v>
      </c>
      <c r="G7074" s="209">
        <v>116.81</v>
      </c>
      <c r="H7074" s="198"/>
    </row>
    <row r="7075" spans="1:8" ht="15.75" hidden="1" customHeight="1" x14ac:dyDescent="0.25">
      <c r="A7075" s="205" t="s">
        <v>7679</v>
      </c>
      <c r="B7075" s="206">
        <v>100563</v>
      </c>
      <c r="C7075" s="207" t="s">
        <v>7735</v>
      </c>
      <c r="D7075" s="208" t="s">
        <v>580</v>
      </c>
      <c r="E7075" s="209">
        <v>340.85</v>
      </c>
      <c r="F7075" s="209">
        <v>66.13</v>
      </c>
      <c r="G7075" s="209">
        <v>406.98</v>
      </c>
      <c r="H7075" s="198"/>
    </row>
    <row r="7076" spans="1:8" ht="15.75" hidden="1" customHeight="1" x14ac:dyDescent="0.25">
      <c r="A7076" s="205" t="s">
        <v>7679</v>
      </c>
      <c r="B7076" s="206">
        <v>100555</v>
      </c>
      <c r="C7076" s="207" t="s">
        <v>7736</v>
      </c>
      <c r="D7076" s="208" t="s">
        <v>580</v>
      </c>
      <c r="E7076" s="209">
        <v>1238.49</v>
      </c>
      <c r="F7076" s="209">
        <v>50.79</v>
      </c>
      <c r="G7076" s="209">
        <v>1289.28</v>
      </c>
      <c r="H7076" s="198"/>
    </row>
    <row r="7077" spans="1:8" ht="15.75" hidden="1" customHeight="1" x14ac:dyDescent="0.25">
      <c r="A7077" s="205" t="s">
        <v>7679</v>
      </c>
      <c r="B7077" s="206">
        <v>98305</v>
      </c>
      <c r="C7077" s="207" t="s">
        <v>7737</v>
      </c>
      <c r="D7077" s="208" t="s">
        <v>580</v>
      </c>
      <c r="E7077" s="209">
        <v>2500.3000000000002</v>
      </c>
      <c r="F7077" s="209">
        <v>50.76</v>
      </c>
      <c r="G7077" s="209">
        <v>2551.06</v>
      </c>
      <c r="H7077" s="198"/>
    </row>
    <row r="7078" spans="1:8" ht="15.75" hidden="1" customHeight="1" x14ac:dyDescent="0.25">
      <c r="A7078" s="205" t="s">
        <v>7679</v>
      </c>
      <c r="B7078" s="206">
        <v>98307</v>
      </c>
      <c r="C7078" s="207" t="s">
        <v>7738</v>
      </c>
      <c r="D7078" s="208" t="s">
        <v>580</v>
      </c>
      <c r="E7078" s="209">
        <v>43.45</v>
      </c>
      <c r="F7078" s="209">
        <v>10.199999999999999</v>
      </c>
      <c r="G7078" s="209">
        <v>53.65</v>
      </c>
      <c r="H7078" s="198"/>
    </row>
    <row r="7079" spans="1:8" ht="15.75" hidden="1" customHeight="1" x14ac:dyDescent="0.25">
      <c r="A7079" s="205" t="s">
        <v>7679</v>
      </c>
      <c r="B7079" s="206">
        <v>98308</v>
      </c>
      <c r="C7079" s="207" t="s">
        <v>7739</v>
      </c>
      <c r="D7079" s="208" t="s">
        <v>580</v>
      </c>
      <c r="E7079" s="209">
        <v>26.29</v>
      </c>
      <c r="F7079" s="209">
        <v>10.199999999999999</v>
      </c>
      <c r="G7079" s="209">
        <v>36.49</v>
      </c>
      <c r="H7079" s="198"/>
    </row>
    <row r="7080" spans="1:8" ht="15.75" hidden="1" customHeight="1" x14ac:dyDescent="0.25">
      <c r="A7080" s="205" t="s">
        <v>7740</v>
      </c>
      <c r="B7080" s="206">
        <v>103401</v>
      </c>
      <c r="C7080" s="207" t="s">
        <v>7741</v>
      </c>
      <c r="D7080" s="208" t="s">
        <v>580</v>
      </c>
      <c r="E7080" s="209">
        <v>8.41</v>
      </c>
      <c r="F7080" s="209">
        <v>16.91</v>
      </c>
      <c r="G7080" s="209">
        <v>25.32</v>
      </c>
      <c r="H7080" s="198"/>
    </row>
    <row r="7081" spans="1:8" ht="15.75" hidden="1" customHeight="1" x14ac:dyDescent="0.25">
      <c r="A7081" s="205" t="s">
        <v>7740</v>
      </c>
      <c r="B7081" s="206">
        <v>103402</v>
      </c>
      <c r="C7081" s="207" t="s">
        <v>7742</v>
      </c>
      <c r="D7081" s="208" t="s">
        <v>580</v>
      </c>
      <c r="E7081" s="209">
        <v>12.24</v>
      </c>
      <c r="F7081" s="209">
        <v>24.6</v>
      </c>
      <c r="G7081" s="209">
        <v>36.840000000000003</v>
      </c>
      <c r="H7081" s="198"/>
    </row>
    <row r="7082" spans="1:8" ht="15.75" hidden="1" customHeight="1" x14ac:dyDescent="0.25">
      <c r="A7082" s="205" t="s">
        <v>7740</v>
      </c>
      <c r="B7082" s="206">
        <v>103403</v>
      </c>
      <c r="C7082" s="207" t="s">
        <v>7743</v>
      </c>
      <c r="D7082" s="208" t="s">
        <v>580</v>
      </c>
      <c r="E7082" s="209">
        <v>13.76</v>
      </c>
      <c r="F7082" s="209">
        <v>27.68</v>
      </c>
      <c r="G7082" s="209">
        <v>41.44</v>
      </c>
      <c r="H7082" s="198"/>
    </row>
    <row r="7083" spans="1:8" ht="15.75" hidden="1" customHeight="1" x14ac:dyDescent="0.25">
      <c r="A7083" s="205" t="s">
        <v>7740</v>
      </c>
      <c r="B7083" s="206">
        <v>103397</v>
      </c>
      <c r="C7083" s="207" t="s">
        <v>7744</v>
      </c>
      <c r="D7083" s="208" t="s">
        <v>580</v>
      </c>
      <c r="E7083" s="209">
        <v>1.53</v>
      </c>
      <c r="F7083" s="209">
        <v>3.06</v>
      </c>
      <c r="G7083" s="209">
        <v>4.59</v>
      </c>
      <c r="H7083" s="198"/>
    </row>
    <row r="7084" spans="1:8" ht="15.75" hidden="1" customHeight="1" x14ac:dyDescent="0.25">
      <c r="A7084" s="205" t="s">
        <v>7740</v>
      </c>
      <c r="B7084" s="206">
        <v>103404</v>
      </c>
      <c r="C7084" s="207" t="s">
        <v>7745</v>
      </c>
      <c r="D7084" s="208" t="s">
        <v>580</v>
      </c>
      <c r="E7084" s="209">
        <v>15.29</v>
      </c>
      <c r="F7084" s="209">
        <v>30.76</v>
      </c>
      <c r="G7084" s="209">
        <v>46.05</v>
      </c>
      <c r="H7084" s="198"/>
    </row>
    <row r="7085" spans="1:8" ht="15.75" hidden="1" customHeight="1" x14ac:dyDescent="0.25">
      <c r="A7085" s="205" t="s">
        <v>7740</v>
      </c>
      <c r="B7085" s="206">
        <v>103405</v>
      </c>
      <c r="C7085" s="207" t="s">
        <v>7746</v>
      </c>
      <c r="D7085" s="208" t="s">
        <v>580</v>
      </c>
      <c r="E7085" s="209">
        <v>17.2</v>
      </c>
      <c r="F7085" s="209">
        <v>34.6</v>
      </c>
      <c r="G7085" s="209">
        <v>51.8</v>
      </c>
      <c r="H7085" s="198"/>
    </row>
    <row r="7086" spans="1:8" ht="15.75" hidden="1" customHeight="1" x14ac:dyDescent="0.25">
      <c r="A7086" s="205" t="s">
        <v>7740</v>
      </c>
      <c r="B7086" s="206">
        <v>103406</v>
      </c>
      <c r="C7086" s="207" t="s">
        <v>7747</v>
      </c>
      <c r="D7086" s="208" t="s">
        <v>580</v>
      </c>
      <c r="E7086" s="209">
        <v>19.100000000000001</v>
      </c>
      <c r="F7086" s="209">
        <v>38.46</v>
      </c>
      <c r="G7086" s="209">
        <v>57.56</v>
      </c>
      <c r="H7086" s="198"/>
    </row>
    <row r="7087" spans="1:8" ht="15.75" hidden="1" customHeight="1" x14ac:dyDescent="0.25">
      <c r="A7087" s="205" t="s">
        <v>7740</v>
      </c>
      <c r="B7087" s="206">
        <v>103407</v>
      </c>
      <c r="C7087" s="207" t="s">
        <v>7748</v>
      </c>
      <c r="D7087" s="208" t="s">
        <v>580</v>
      </c>
      <c r="E7087" s="209">
        <v>21.4</v>
      </c>
      <c r="F7087" s="209">
        <v>43.07</v>
      </c>
      <c r="G7087" s="209">
        <v>64.47</v>
      </c>
      <c r="H7087" s="198"/>
    </row>
    <row r="7088" spans="1:8" ht="15.75" hidden="1" customHeight="1" x14ac:dyDescent="0.25">
      <c r="A7088" s="205" t="s">
        <v>7740</v>
      </c>
      <c r="B7088" s="206">
        <v>103408</v>
      </c>
      <c r="C7088" s="207" t="s">
        <v>7749</v>
      </c>
      <c r="D7088" s="208" t="s">
        <v>580</v>
      </c>
      <c r="E7088" s="209">
        <v>24.08</v>
      </c>
      <c r="F7088" s="209">
        <v>48.45</v>
      </c>
      <c r="G7088" s="209">
        <v>72.53</v>
      </c>
      <c r="H7088" s="198"/>
    </row>
    <row r="7089" spans="1:8" ht="15.75" hidden="1" customHeight="1" x14ac:dyDescent="0.25">
      <c r="A7089" s="205" t="s">
        <v>7740</v>
      </c>
      <c r="B7089" s="206">
        <v>103398</v>
      </c>
      <c r="C7089" s="207" t="s">
        <v>7750</v>
      </c>
      <c r="D7089" s="208" t="s">
        <v>580</v>
      </c>
      <c r="E7089" s="209">
        <v>2.46</v>
      </c>
      <c r="F7089" s="209">
        <v>4.9000000000000004</v>
      </c>
      <c r="G7089" s="209">
        <v>7.36</v>
      </c>
      <c r="H7089" s="198"/>
    </row>
    <row r="7090" spans="1:8" ht="15.75" hidden="1" customHeight="1" x14ac:dyDescent="0.25">
      <c r="A7090" s="205" t="s">
        <v>7740</v>
      </c>
      <c r="B7090" s="206">
        <v>103409</v>
      </c>
      <c r="C7090" s="207" t="s">
        <v>7751</v>
      </c>
      <c r="D7090" s="208" t="s">
        <v>580</v>
      </c>
      <c r="E7090" s="209">
        <v>27.13</v>
      </c>
      <c r="F7090" s="209">
        <v>54.61</v>
      </c>
      <c r="G7090" s="209">
        <v>81.739999999999995</v>
      </c>
      <c r="H7090" s="198"/>
    </row>
    <row r="7091" spans="1:8" ht="15.75" hidden="1" customHeight="1" x14ac:dyDescent="0.25">
      <c r="A7091" s="205" t="s">
        <v>7740</v>
      </c>
      <c r="B7091" s="206">
        <v>103410</v>
      </c>
      <c r="C7091" s="207" t="s">
        <v>7752</v>
      </c>
      <c r="D7091" s="208" t="s">
        <v>580</v>
      </c>
      <c r="E7091" s="209">
        <v>30.56</v>
      </c>
      <c r="F7091" s="209">
        <v>61.54</v>
      </c>
      <c r="G7091" s="209">
        <v>92.1</v>
      </c>
      <c r="H7091" s="198"/>
    </row>
    <row r="7092" spans="1:8" ht="15.75" hidden="1" customHeight="1" x14ac:dyDescent="0.25">
      <c r="A7092" s="205" t="s">
        <v>7740</v>
      </c>
      <c r="B7092" s="206">
        <v>103399</v>
      </c>
      <c r="C7092" s="207" t="s">
        <v>7753</v>
      </c>
      <c r="D7092" s="208" t="s">
        <v>580</v>
      </c>
      <c r="E7092" s="209">
        <v>4.82</v>
      </c>
      <c r="F7092" s="209">
        <v>9.68</v>
      </c>
      <c r="G7092" s="209">
        <v>14.5</v>
      </c>
      <c r="H7092" s="198"/>
    </row>
    <row r="7093" spans="1:8" ht="15.75" hidden="1" customHeight="1" x14ac:dyDescent="0.25">
      <c r="A7093" s="205" t="s">
        <v>7740</v>
      </c>
      <c r="B7093" s="206">
        <v>103400</v>
      </c>
      <c r="C7093" s="207" t="s">
        <v>7754</v>
      </c>
      <c r="D7093" s="208" t="s">
        <v>580</v>
      </c>
      <c r="E7093" s="209">
        <v>6.87</v>
      </c>
      <c r="F7093" s="209">
        <v>13.84</v>
      </c>
      <c r="G7093" s="209">
        <v>20.71</v>
      </c>
      <c r="H7093" s="198"/>
    </row>
    <row r="7094" spans="1:8" ht="15.75" hidden="1" customHeight="1" x14ac:dyDescent="0.25">
      <c r="A7094" s="205" t="s">
        <v>7740</v>
      </c>
      <c r="B7094" s="206">
        <v>103415</v>
      </c>
      <c r="C7094" s="207" t="s">
        <v>7755</v>
      </c>
      <c r="D7094" s="208" t="s">
        <v>580</v>
      </c>
      <c r="E7094" s="209">
        <v>16.82</v>
      </c>
      <c r="F7094" s="209">
        <v>33.83</v>
      </c>
      <c r="G7094" s="209">
        <v>50.65</v>
      </c>
      <c r="H7094" s="198"/>
    </row>
    <row r="7095" spans="1:8" ht="15.75" hidden="1" customHeight="1" x14ac:dyDescent="0.25">
      <c r="A7095" s="205" t="s">
        <v>7740</v>
      </c>
      <c r="B7095" s="206">
        <v>103416</v>
      </c>
      <c r="C7095" s="207" t="s">
        <v>7756</v>
      </c>
      <c r="D7095" s="208" t="s">
        <v>580</v>
      </c>
      <c r="E7095" s="209">
        <v>24.45</v>
      </c>
      <c r="F7095" s="209">
        <v>49.23</v>
      </c>
      <c r="G7095" s="209">
        <v>73.680000000000007</v>
      </c>
      <c r="H7095" s="198"/>
    </row>
    <row r="7096" spans="1:8" ht="15.75" hidden="1" customHeight="1" x14ac:dyDescent="0.25">
      <c r="A7096" s="205" t="s">
        <v>7740</v>
      </c>
      <c r="B7096" s="206">
        <v>103417</v>
      </c>
      <c r="C7096" s="207" t="s">
        <v>7757</v>
      </c>
      <c r="D7096" s="208" t="s">
        <v>580</v>
      </c>
      <c r="E7096" s="209">
        <v>27.51</v>
      </c>
      <c r="F7096" s="209">
        <v>55.38</v>
      </c>
      <c r="G7096" s="209">
        <v>82.89</v>
      </c>
      <c r="H7096" s="198"/>
    </row>
    <row r="7097" spans="1:8" ht="15.75" hidden="1" customHeight="1" x14ac:dyDescent="0.25">
      <c r="A7097" s="205" t="s">
        <v>7740</v>
      </c>
      <c r="B7097" s="206">
        <v>103411</v>
      </c>
      <c r="C7097" s="207" t="s">
        <v>7758</v>
      </c>
      <c r="D7097" s="208" t="s">
        <v>580</v>
      </c>
      <c r="E7097" s="209">
        <v>3.06</v>
      </c>
      <c r="F7097" s="209">
        <v>6.14</v>
      </c>
      <c r="G7097" s="209">
        <v>9.1999999999999993</v>
      </c>
      <c r="H7097" s="198"/>
    </row>
    <row r="7098" spans="1:8" ht="15.75" hidden="1" customHeight="1" x14ac:dyDescent="0.25">
      <c r="A7098" s="205" t="s">
        <v>7740</v>
      </c>
      <c r="B7098" s="206">
        <v>103418</v>
      </c>
      <c r="C7098" s="207" t="s">
        <v>7759</v>
      </c>
      <c r="D7098" s="208" t="s">
        <v>580</v>
      </c>
      <c r="E7098" s="209">
        <v>30.56</v>
      </c>
      <c r="F7098" s="209">
        <v>61.54</v>
      </c>
      <c r="G7098" s="209">
        <v>92.1</v>
      </c>
      <c r="H7098" s="198"/>
    </row>
    <row r="7099" spans="1:8" ht="15.75" hidden="1" customHeight="1" x14ac:dyDescent="0.25">
      <c r="A7099" s="205" t="s">
        <v>7740</v>
      </c>
      <c r="B7099" s="206">
        <v>103419</v>
      </c>
      <c r="C7099" s="207" t="s">
        <v>7760</v>
      </c>
      <c r="D7099" s="208" t="s">
        <v>580</v>
      </c>
      <c r="E7099" s="209">
        <v>34.4</v>
      </c>
      <c r="F7099" s="209">
        <v>69.22</v>
      </c>
      <c r="G7099" s="209">
        <v>103.62</v>
      </c>
      <c r="H7099" s="198"/>
    </row>
    <row r="7100" spans="1:8" ht="15.75" hidden="1" customHeight="1" x14ac:dyDescent="0.25">
      <c r="A7100" s="205" t="s">
        <v>7740</v>
      </c>
      <c r="B7100" s="206">
        <v>103420</v>
      </c>
      <c r="C7100" s="207" t="s">
        <v>7761</v>
      </c>
      <c r="D7100" s="208" t="s">
        <v>580</v>
      </c>
      <c r="E7100" s="209">
        <v>38.21</v>
      </c>
      <c r="F7100" s="209">
        <v>76.92</v>
      </c>
      <c r="G7100" s="209">
        <v>115.13</v>
      </c>
      <c r="H7100" s="198"/>
    </row>
    <row r="7101" spans="1:8" ht="15.75" hidden="1" customHeight="1" x14ac:dyDescent="0.25">
      <c r="A7101" s="205" t="s">
        <v>7740</v>
      </c>
      <c r="B7101" s="206">
        <v>103421</v>
      </c>
      <c r="C7101" s="207" t="s">
        <v>7762</v>
      </c>
      <c r="D7101" s="208" t="s">
        <v>580</v>
      </c>
      <c r="E7101" s="209">
        <v>42.79</v>
      </c>
      <c r="F7101" s="209">
        <v>86.16</v>
      </c>
      <c r="G7101" s="209">
        <v>128.94999999999999</v>
      </c>
      <c r="H7101" s="198"/>
    </row>
    <row r="7102" spans="1:8" ht="15.75" hidden="1" customHeight="1" x14ac:dyDescent="0.25">
      <c r="A7102" s="205" t="s">
        <v>7740</v>
      </c>
      <c r="B7102" s="206">
        <v>103422</v>
      </c>
      <c r="C7102" s="207" t="s">
        <v>7763</v>
      </c>
      <c r="D7102" s="208" t="s">
        <v>580</v>
      </c>
      <c r="E7102" s="209">
        <v>48.14</v>
      </c>
      <c r="F7102" s="209">
        <v>96.92</v>
      </c>
      <c r="G7102" s="209">
        <v>145.06</v>
      </c>
      <c r="H7102" s="198"/>
    </row>
    <row r="7103" spans="1:8" ht="15.75" hidden="1" customHeight="1" x14ac:dyDescent="0.25">
      <c r="A7103" s="205" t="s">
        <v>7740</v>
      </c>
      <c r="B7103" s="206">
        <v>103412</v>
      </c>
      <c r="C7103" s="207" t="s">
        <v>7764</v>
      </c>
      <c r="D7103" s="208" t="s">
        <v>580</v>
      </c>
      <c r="E7103" s="209">
        <v>4.9000000000000004</v>
      </c>
      <c r="F7103" s="209">
        <v>9.83</v>
      </c>
      <c r="G7103" s="209">
        <v>14.73</v>
      </c>
      <c r="H7103" s="198"/>
    </row>
    <row r="7104" spans="1:8" ht="15.75" hidden="1" customHeight="1" x14ac:dyDescent="0.25">
      <c r="A7104" s="205" t="s">
        <v>7740</v>
      </c>
      <c r="B7104" s="206">
        <v>103423</v>
      </c>
      <c r="C7104" s="207" t="s">
        <v>7765</v>
      </c>
      <c r="D7104" s="208" t="s">
        <v>580</v>
      </c>
      <c r="E7104" s="209">
        <v>54.27</v>
      </c>
      <c r="F7104" s="209">
        <v>109.23</v>
      </c>
      <c r="G7104" s="209">
        <v>163.5</v>
      </c>
      <c r="H7104" s="198"/>
    </row>
    <row r="7105" spans="1:8" ht="15.75" hidden="1" customHeight="1" x14ac:dyDescent="0.25">
      <c r="A7105" s="205" t="s">
        <v>7740</v>
      </c>
      <c r="B7105" s="206">
        <v>103424</v>
      </c>
      <c r="C7105" s="207" t="s">
        <v>7766</v>
      </c>
      <c r="D7105" s="208" t="s">
        <v>580</v>
      </c>
      <c r="E7105" s="209">
        <v>61.13</v>
      </c>
      <c r="F7105" s="209">
        <v>123.08</v>
      </c>
      <c r="G7105" s="209">
        <v>184.21</v>
      </c>
      <c r="H7105" s="198"/>
    </row>
    <row r="7106" spans="1:8" ht="15.75" hidden="1" customHeight="1" x14ac:dyDescent="0.25">
      <c r="A7106" s="205" t="s">
        <v>7740</v>
      </c>
      <c r="B7106" s="206">
        <v>103413</v>
      </c>
      <c r="C7106" s="207" t="s">
        <v>7767</v>
      </c>
      <c r="D7106" s="208" t="s">
        <v>580</v>
      </c>
      <c r="E7106" s="209">
        <v>9.6199999999999992</v>
      </c>
      <c r="F7106" s="209">
        <v>19.38</v>
      </c>
      <c r="G7106" s="209">
        <v>29</v>
      </c>
      <c r="H7106" s="198"/>
    </row>
    <row r="7107" spans="1:8" ht="15.75" hidden="1" customHeight="1" x14ac:dyDescent="0.25">
      <c r="A7107" s="205" t="s">
        <v>7740</v>
      </c>
      <c r="B7107" s="206">
        <v>103414</v>
      </c>
      <c r="C7107" s="207" t="s">
        <v>7768</v>
      </c>
      <c r="D7107" s="208" t="s">
        <v>580</v>
      </c>
      <c r="E7107" s="209">
        <v>13.76</v>
      </c>
      <c r="F7107" s="209">
        <v>27.68</v>
      </c>
      <c r="G7107" s="209">
        <v>41.44</v>
      </c>
      <c r="H7107" s="198"/>
    </row>
    <row r="7108" spans="1:8" ht="15.75" hidden="1" customHeight="1" x14ac:dyDescent="0.25">
      <c r="A7108" s="205" t="s">
        <v>7740</v>
      </c>
      <c r="B7108" s="206">
        <v>103432</v>
      </c>
      <c r="C7108" s="207" t="s">
        <v>7769</v>
      </c>
      <c r="D7108" s="208" t="s">
        <v>580</v>
      </c>
      <c r="E7108" s="209">
        <v>1507.34</v>
      </c>
      <c r="F7108" s="209">
        <v>30.76</v>
      </c>
      <c r="G7108" s="209">
        <v>1538.1</v>
      </c>
      <c r="H7108" s="198"/>
    </row>
    <row r="7109" spans="1:8" ht="15.75" hidden="1" customHeight="1" x14ac:dyDescent="0.25">
      <c r="A7109" s="205" t="s">
        <v>7740</v>
      </c>
      <c r="B7109" s="206">
        <v>103430</v>
      </c>
      <c r="C7109" s="207" t="s">
        <v>7770</v>
      </c>
      <c r="D7109" s="208" t="s">
        <v>580</v>
      </c>
      <c r="E7109" s="209">
        <v>29.27</v>
      </c>
      <c r="F7109" s="209">
        <v>4.91</v>
      </c>
      <c r="G7109" s="209">
        <v>34.18</v>
      </c>
      <c r="H7109" s="198"/>
    </row>
    <row r="7110" spans="1:8" ht="15.75" hidden="1" customHeight="1" x14ac:dyDescent="0.25">
      <c r="A7110" s="205" t="s">
        <v>7740</v>
      </c>
      <c r="B7110" s="206">
        <v>103431</v>
      </c>
      <c r="C7110" s="207" t="s">
        <v>7771</v>
      </c>
      <c r="D7110" s="208" t="s">
        <v>580</v>
      </c>
      <c r="E7110" s="209">
        <v>50.6</v>
      </c>
      <c r="F7110" s="209">
        <v>9.68</v>
      </c>
      <c r="G7110" s="209">
        <v>60.28</v>
      </c>
      <c r="H7110" s="198"/>
    </row>
    <row r="7111" spans="1:8" ht="15.75" hidden="1" customHeight="1" x14ac:dyDescent="0.25">
      <c r="A7111" s="205" t="s">
        <v>7740</v>
      </c>
      <c r="B7111" s="206">
        <v>103433</v>
      </c>
      <c r="C7111" s="207" t="s">
        <v>7772</v>
      </c>
      <c r="D7111" s="208" t="s">
        <v>580</v>
      </c>
      <c r="E7111" s="209">
        <v>30.12</v>
      </c>
      <c r="F7111" s="209">
        <v>3.07</v>
      </c>
      <c r="G7111" s="209">
        <v>33.19</v>
      </c>
      <c r="H7111" s="198"/>
    </row>
    <row r="7112" spans="1:8" ht="15.75" hidden="1" customHeight="1" x14ac:dyDescent="0.25">
      <c r="A7112" s="205" t="s">
        <v>7740</v>
      </c>
      <c r="B7112" s="206">
        <v>103434</v>
      </c>
      <c r="C7112" s="207" t="s">
        <v>7773</v>
      </c>
      <c r="D7112" s="208" t="s">
        <v>580</v>
      </c>
      <c r="E7112" s="209">
        <v>41.24</v>
      </c>
      <c r="F7112" s="209">
        <v>4.91</v>
      </c>
      <c r="G7112" s="209">
        <v>46.15</v>
      </c>
      <c r="H7112" s="198"/>
    </row>
    <row r="7113" spans="1:8" ht="15.75" hidden="1" customHeight="1" x14ac:dyDescent="0.25">
      <c r="A7113" s="205" t="s">
        <v>7740</v>
      </c>
      <c r="B7113" s="206">
        <v>103435</v>
      </c>
      <c r="C7113" s="207" t="s">
        <v>7774</v>
      </c>
      <c r="D7113" s="208" t="s">
        <v>580</v>
      </c>
      <c r="E7113" s="209">
        <v>76.38</v>
      </c>
      <c r="F7113" s="209">
        <v>9.68</v>
      </c>
      <c r="G7113" s="209">
        <v>86.06</v>
      </c>
      <c r="H7113" s="198"/>
    </row>
    <row r="7114" spans="1:8" ht="15.75" hidden="1" customHeight="1" x14ac:dyDescent="0.25">
      <c r="A7114" s="205" t="s">
        <v>7740</v>
      </c>
      <c r="B7114" s="206">
        <v>103436</v>
      </c>
      <c r="C7114" s="207" t="s">
        <v>7775</v>
      </c>
      <c r="D7114" s="208" t="s">
        <v>580</v>
      </c>
      <c r="E7114" s="209">
        <v>2143.2600000000002</v>
      </c>
      <c r="F7114" s="209">
        <v>30.65</v>
      </c>
      <c r="G7114" s="209">
        <v>2173.91</v>
      </c>
      <c r="H7114" s="198"/>
    </row>
    <row r="7115" spans="1:8" ht="15.75" hidden="1" customHeight="1" x14ac:dyDescent="0.25">
      <c r="A7115" s="205" t="s">
        <v>7740</v>
      </c>
      <c r="B7115" s="206">
        <v>103425</v>
      </c>
      <c r="C7115" s="207" t="s">
        <v>7776</v>
      </c>
      <c r="D7115" s="208" t="s">
        <v>580</v>
      </c>
      <c r="E7115" s="209">
        <v>13.1</v>
      </c>
      <c r="F7115" s="209">
        <v>3.07</v>
      </c>
      <c r="G7115" s="209">
        <v>16.170000000000002</v>
      </c>
      <c r="H7115" s="198"/>
    </row>
    <row r="7116" spans="1:8" ht="15.75" hidden="1" customHeight="1" x14ac:dyDescent="0.25">
      <c r="A7116" s="205" t="s">
        <v>7740</v>
      </c>
      <c r="B7116" s="206">
        <v>103428</v>
      </c>
      <c r="C7116" s="207" t="s">
        <v>7777</v>
      </c>
      <c r="D7116" s="208" t="s">
        <v>580</v>
      </c>
      <c r="E7116" s="209">
        <v>222.46</v>
      </c>
      <c r="F7116" s="209">
        <v>30.76</v>
      </c>
      <c r="G7116" s="209">
        <v>253.22</v>
      </c>
      <c r="H7116" s="198"/>
    </row>
    <row r="7117" spans="1:8" ht="15.75" hidden="1" customHeight="1" x14ac:dyDescent="0.25">
      <c r="A7117" s="205" t="s">
        <v>7740</v>
      </c>
      <c r="B7117" s="206">
        <v>103426</v>
      </c>
      <c r="C7117" s="207" t="s">
        <v>7778</v>
      </c>
      <c r="D7117" s="208" t="s">
        <v>580</v>
      </c>
      <c r="E7117" s="209">
        <v>14.93</v>
      </c>
      <c r="F7117" s="209">
        <v>4.91</v>
      </c>
      <c r="G7117" s="209">
        <v>19.84</v>
      </c>
      <c r="H7117" s="198"/>
    </row>
    <row r="7118" spans="1:8" ht="15.75" hidden="1" customHeight="1" x14ac:dyDescent="0.25">
      <c r="A7118" s="205" t="s">
        <v>7740</v>
      </c>
      <c r="B7118" s="206">
        <v>103429</v>
      </c>
      <c r="C7118" s="207" t="s">
        <v>7779</v>
      </c>
      <c r="D7118" s="208" t="s">
        <v>580</v>
      </c>
      <c r="E7118" s="209">
        <v>2650.36</v>
      </c>
      <c r="F7118" s="209">
        <v>61.56</v>
      </c>
      <c r="G7118" s="209">
        <v>2711.92</v>
      </c>
      <c r="H7118" s="198"/>
    </row>
    <row r="7119" spans="1:8" ht="15.75" hidden="1" customHeight="1" x14ac:dyDescent="0.25">
      <c r="A7119" s="205" t="s">
        <v>7740</v>
      </c>
      <c r="B7119" s="206">
        <v>103427</v>
      </c>
      <c r="C7119" s="207" t="s">
        <v>7780</v>
      </c>
      <c r="D7119" s="208" t="s">
        <v>580</v>
      </c>
      <c r="E7119" s="209">
        <v>30.03</v>
      </c>
      <c r="F7119" s="209">
        <v>9.67</v>
      </c>
      <c r="G7119" s="209">
        <v>39.700000000000003</v>
      </c>
      <c r="H7119" s="198"/>
    </row>
    <row r="7120" spans="1:8" ht="15.75" hidden="1" customHeight="1" x14ac:dyDescent="0.25">
      <c r="A7120" s="205" t="s">
        <v>7740</v>
      </c>
      <c r="B7120" s="206">
        <v>103393</v>
      </c>
      <c r="C7120" s="207" t="s">
        <v>7781</v>
      </c>
      <c r="D7120" s="208" t="s">
        <v>585</v>
      </c>
      <c r="E7120" s="209">
        <v>5061.7299999999996</v>
      </c>
      <c r="F7120" s="209">
        <v>16.75</v>
      </c>
      <c r="G7120" s="209">
        <v>5078.4799999999996</v>
      </c>
      <c r="H7120" s="198"/>
    </row>
    <row r="7121" spans="1:8" ht="15.75" hidden="1" customHeight="1" x14ac:dyDescent="0.25">
      <c r="A7121" s="205" t="s">
        <v>7740</v>
      </c>
      <c r="B7121" s="206">
        <v>103376</v>
      </c>
      <c r="C7121" s="207" t="s">
        <v>7782</v>
      </c>
      <c r="D7121" s="208" t="s">
        <v>585</v>
      </c>
      <c r="E7121" s="209">
        <v>123.56</v>
      </c>
      <c r="F7121" s="209">
        <v>0.98</v>
      </c>
      <c r="G7121" s="209">
        <v>124.54</v>
      </c>
      <c r="H7121" s="198"/>
    </row>
    <row r="7122" spans="1:8" ht="15.75" hidden="1" customHeight="1" x14ac:dyDescent="0.25">
      <c r="A7122" s="205" t="s">
        <v>7740</v>
      </c>
      <c r="B7122" s="206">
        <v>103377</v>
      </c>
      <c r="C7122" s="207" t="s">
        <v>7783</v>
      </c>
      <c r="D7122" s="208" t="s">
        <v>585</v>
      </c>
      <c r="E7122" s="209">
        <v>264.89</v>
      </c>
      <c r="F7122" s="209">
        <v>1.43</v>
      </c>
      <c r="G7122" s="209">
        <v>266.32</v>
      </c>
      <c r="H7122" s="198"/>
    </row>
    <row r="7123" spans="1:8" ht="15.75" hidden="1" customHeight="1" x14ac:dyDescent="0.25">
      <c r="A7123" s="205" t="s">
        <v>7740</v>
      </c>
      <c r="B7123" s="206">
        <v>103372</v>
      </c>
      <c r="C7123" s="207" t="s">
        <v>7784</v>
      </c>
      <c r="D7123" s="208" t="s">
        <v>585</v>
      </c>
      <c r="E7123" s="209">
        <v>5.2</v>
      </c>
      <c r="F7123" s="209">
        <v>0.17</v>
      </c>
      <c r="G7123" s="209">
        <v>5.37</v>
      </c>
      <c r="H7123" s="198"/>
    </row>
    <row r="7124" spans="1:8" ht="15.75" hidden="1" customHeight="1" x14ac:dyDescent="0.25">
      <c r="A7124" s="205" t="s">
        <v>7740</v>
      </c>
      <c r="B7124" s="206">
        <v>103379</v>
      </c>
      <c r="C7124" s="207" t="s">
        <v>7785</v>
      </c>
      <c r="D7124" s="208" t="s">
        <v>585</v>
      </c>
      <c r="E7124" s="209">
        <v>412.7</v>
      </c>
      <c r="F7124" s="209">
        <v>1.78</v>
      </c>
      <c r="G7124" s="209">
        <v>414.48</v>
      </c>
      <c r="H7124" s="198"/>
    </row>
    <row r="7125" spans="1:8" ht="15.75" hidden="1" customHeight="1" x14ac:dyDescent="0.25">
      <c r="A7125" s="205" t="s">
        <v>7740</v>
      </c>
      <c r="B7125" s="206">
        <v>103383</v>
      </c>
      <c r="C7125" s="207" t="s">
        <v>7786</v>
      </c>
      <c r="D7125" s="208" t="s">
        <v>585</v>
      </c>
      <c r="E7125" s="209">
        <v>1013.89</v>
      </c>
      <c r="F7125" s="209">
        <v>1.93</v>
      </c>
      <c r="G7125" s="209">
        <v>1015.82</v>
      </c>
      <c r="H7125" s="198"/>
    </row>
    <row r="7126" spans="1:8" ht="15.75" hidden="1" customHeight="1" x14ac:dyDescent="0.25">
      <c r="A7126" s="205" t="s">
        <v>7740</v>
      </c>
      <c r="B7126" s="206">
        <v>103373</v>
      </c>
      <c r="C7126" s="207" t="s">
        <v>7787</v>
      </c>
      <c r="D7126" s="208" t="s">
        <v>585</v>
      </c>
      <c r="E7126" s="209">
        <v>10.25</v>
      </c>
      <c r="F7126" s="209">
        <v>0.27</v>
      </c>
      <c r="G7126" s="209">
        <v>10.52</v>
      </c>
      <c r="H7126" s="198"/>
    </row>
    <row r="7127" spans="1:8" ht="15.75" hidden="1" customHeight="1" x14ac:dyDescent="0.25">
      <c r="A7127" s="205" t="s">
        <v>7740</v>
      </c>
      <c r="B7127" s="206">
        <v>103385</v>
      </c>
      <c r="C7127" s="207" t="s">
        <v>7788</v>
      </c>
      <c r="D7127" s="208" t="s">
        <v>585</v>
      </c>
      <c r="E7127" s="209">
        <v>1634.44</v>
      </c>
      <c r="F7127" s="209">
        <v>3.76</v>
      </c>
      <c r="G7127" s="209">
        <v>1638.2</v>
      </c>
      <c r="H7127" s="198"/>
    </row>
    <row r="7128" spans="1:8" ht="15.75" hidden="1" customHeight="1" x14ac:dyDescent="0.25">
      <c r="A7128" s="205" t="s">
        <v>7740</v>
      </c>
      <c r="B7128" s="206">
        <v>103387</v>
      </c>
      <c r="C7128" s="207" t="s">
        <v>7789</v>
      </c>
      <c r="D7128" s="208" t="s">
        <v>585</v>
      </c>
      <c r="E7128" s="209">
        <v>2867.55</v>
      </c>
      <c r="F7128" s="209">
        <v>6.03</v>
      </c>
      <c r="G7128" s="209">
        <v>2873.58</v>
      </c>
      <c r="H7128" s="198"/>
    </row>
    <row r="7129" spans="1:8" ht="15.75" hidden="1" customHeight="1" x14ac:dyDescent="0.25">
      <c r="A7129" s="205" t="s">
        <v>7740</v>
      </c>
      <c r="B7129" s="206">
        <v>103389</v>
      </c>
      <c r="C7129" s="207" t="s">
        <v>7790</v>
      </c>
      <c r="D7129" s="208" t="s">
        <v>585</v>
      </c>
      <c r="E7129" s="209">
        <v>4264.45</v>
      </c>
      <c r="F7129" s="209">
        <v>8.9700000000000006</v>
      </c>
      <c r="G7129" s="209">
        <v>4273.42</v>
      </c>
      <c r="H7129" s="198"/>
    </row>
    <row r="7130" spans="1:8" ht="15.75" hidden="1" customHeight="1" x14ac:dyDescent="0.25">
      <c r="A7130" s="205" t="s">
        <v>7740</v>
      </c>
      <c r="B7130" s="206">
        <v>103391</v>
      </c>
      <c r="C7130" s="207" t="s">
        <v>7791</v>
      </c>
      <c r="D7130" s="208" t="s">
        <v>585</v>
      </c>
      <c r="E7130" s="209">
        <v>2806.32</v>
      </c>
      <c r="F7130" s="209">
        <v>12.4</v>
      </c>
      <c r="G7130" s="209">
        <v>2818.72</v>
      </c>
      <c r="H7130" s="198"/>
    </row>
    <row r="7131" spans="1:8" ht="15.75" hidden="1" customHeight="1" x14ac:dyDescent="0.25">
      <c r="A7131" s="205" t="s">
        <v>7740</v>
      </c>
      <c r="B7131" s="206">
        <v>103392</v>
      </c>
      <c r="C7131" s="207" t="s">
        <v>7792</v>
      </c>
      <c r="D7131" s="208" t="s">
        <v>585</v>
      </c>
      <c r="E7131" s="209">
        <v>4589.38</v>
      </c>
      <c r="F7131" s="209">
        <v>14.73</v>
      </c>
      <c r="G7131" s="209">
        <v>4604.1099999999997</v>
      </c>
      <c r="H7131" s="198"/>
    </row>
    <row r="7132" spans="1:8" ht="15.75" hidden="1" customHeight="1" x14ac:dyDescent="0.25">
      <c r="A7132" s="205" t="s">
        <v>7740</v>
      </c>
      <c r="B7132" s="206">
        <v>103440</v>
      </c>
      <c r="C7132" s="207" t="s">
        <v>7793</v>
      </c>
      <c r="D7132" s="208" t="s">
        <v>580</v>
      </c>
      <c r="E7132" s="209">
        <v>346.63</v>
      </c>
      <c r="F7132" s="209">
        <v>61.55</v>
      </c>
      <c r="G7132" s="209">
        <v>408.18</v>
      </c>
      <c r="H7132" s="198"/>
    </row>
    <row r="7133" spans="1:8" ht="15.75" hidden="1" customHeight="1" x14ac:dyDescent="0.25">
      <c r="A7133" s="205" t="s">
        <v>7740</v>
      </c>
      <c r="B7133" s="206">
        <v>103441</v>
      </c>
      <c r="C7133" s="207" t="s">
        <v>7794</v>
      </c>
      <c r="D7133" s="208" t="s">
        <v>580</v>
      </c>
      <c r="E7133" s="209">
        <v>351.57</v>
      </c>
      <c r="F7133" s="209">
        <v>61.55</v>
      </c>
      <c r="G7133" s="209">
        <v>413.12</v>
      </c>
      <c r="H7133" s="198"/>
    </row>
    <row r="7134" spans="1:8" ht="15.75" hidden="1" customHeight="1" x14ac:dyDescent="0.25">
      <c r="A7134" s="205" t="s">
        <v>7740</v>
      </c>
      <c r="B7134" s="206">
        <v>103442</v>
      </c>
      <c r="C7134" s="207" t="s">
        <v>7795</v>
      </c>
      <c r="D7134" s="208" t="s">
        <v>580</v>
      </c>
      <c r="E7134" s="209">
        <v>470.89</v>
      </c>
      <c r="F7134" s="209">
        <v>61.54</v>
      </c>
      <c r="G7134" s="209">
        <v>532.42999999999995</v>
      </c>
      <c r="H7134" s="198"/>
    </row>
    <row r="7135" spans="1:8" ht="15.75" hidden="1" customHeight="1" x14ac:dyDescent="0.25">
      <c r="A7135" s="205" t="s">
        <v>7740</v>
      </c>
      <c r="B7135" s="206">
        <v>103437</v>
      </c>
      <c r="C7135" s="207" t="s">
        <v>7796</v>
      </c>
      <c r="D7135" s="208" t="s">
        <v>580</v>
      </c>
      <c r="E7135" s="209">
        <v>158.91</v>
      </c>
      <c r="F7135" s="209">
        <v>19.38</v>
      </c>
      <c r="G7135" s="209">
        <v>178.29</v>
      </c>
      <c r="H7135" s="198"/>
    </row>
    <row r="7136" spans="1:8" ht="15.75" hidden="1" customHeight="1" x14ac:dyDescent="0.25">
      <c r="A7136" s="205" t="s">
        <v>7740</v>
      </c>
      <c r="B7136" s="206">
        <v>103438</v>
      </c>
      <c r="C7136" s="207" t="s">
        <v>7797</v>
      </c>
      <c r="D7136" s="208" t="s">
        <v>580</v>
      </c>
      <c r="E7136" s="209">
        <v>158.91</v>
      </c>
      <c r="F7136" s="209">
        <v>19.38</v>
      </c>
      <c r="G7136" s="209">
        <v>178.29</v>
      </c>
      <c r="H7136" s="198"/>
    </row>
    <row r="7137" spans="1:8" ht="15.75" hidden="1" customHeight="1" x14ac:dyDescent="0.25">
      <c r="A7137" s="205" t="s">
        <v>7740</v>
      </c>
      <c r="B7137" s="206">
        <v>103439</v>
      </c>
      <c r="C7137" s="207" t="s">
        <v>7798</v>
      </c>
      <c r="D7137" s="208" t="s">
        <v>580</v>
      </c>
      <c r="E7137" s="209">
        <v>189.45</v>
      </c>
      <c r="F7137" s="209">
        <v>19.37</v>
      </c>
      <c r="G7137" s="209">
        <v>208.82</v>
      </c>
      <c r="H7137" s="198"/>
    </row>
    <row r="7138" spans="1:8" ht="15.75" hidden="1" customHeight="1" x14ac:dyDescent="0.25">
      <c r="A7138" s="205" t="s">
        <v>7799</v>
      </c>
      <c r="B7138" s="206">
        <v>88789</v>
      </c>
      <c r="C7138" s="207" t="s">
        <v>7800</v>
      </c>
      <c r="D7138" s="208" t="s">
        <v>578</v>
      </c>
      <c r="E7138" s="209">
        <v>459.52</v>
      </c>
      <c r="F7138" s="209">
        <v>51.39</v>
      </c>
      <c r="G7138" s="209">
        <v>510.91</v>
      </c>
      <c r="H7138" s="198"/>
    </row>
    <row r="7139" spans="1:8" ht="15.75" hidden="1" customHeight="1" x14ac:dyDescent="0.25">
      <c r="A7139" s="205" t="s">
        <v>7799</v>
      </c>
      <c r="B7139" s="206">
        <v>88788</v>
      </c>
      <c r="C7139" s="207" t="s">
        <v>7801</v>
      </c>
      <c r="D7139" s="208" t="s">
        <v>578</v>
      </c>
      <c r="E7139" s="209">
        <v>379.79</v>
      </c>
      <c r="F7139" s="209">
        <v>44.5</v>
      </c>
      <c r="G7139" s="209">
        <v>424.29</v>
      </c>
      <c r="H7139" s="198"/>
    </row>
    <row r="7140" spans="1:8" ht="15.75" hidden="1" customHeight="1" x14ac:dyDescent="0.25">
      <c r="A7140" s="205" t="s">
        <v>7799</v>
      </c>
      <c r="B7140" s="206">
        <v>87245</v>
      </c>
      <c r="C7140" s="207" t="s">
        <v>7802</v>
      </c>
      <c r="D7140" s="208" t="s">
        <v>578</v>
      </c>
      <c r="E7140" s="209">
        <v>341.61</v>
      </c>
      <c r="F7140" s="209">
        <v>49.96</v>
      </c>
      <c r="G7140" s="209">
        <v>391.57</v>
      </c>
      <c r="H7140" s="198"/>
    </row>
    <row r="7141" spans="1:8" ht="15.75" hidden="1" customHeight="1" x14ac:dyDescent="0.25">
      <c r="A7141" s="205" t="s">
        <v>7799</v>
      </c>
      <c r="B7141" s="206">
        <v>87244</v>
      </c>
      <c r="C7141" s="207" t="s">
        <v>7803</v>
      </c>
      <c r="D7141" s="208" t="s">
        <v>578</v>
      </c>
      <c r="E7141" s="209">
        <v>282.72000000000003</v>
      </c>
      <c r="F7141" s="209">
        <v>42.99</v>
      </c>
      <c r="G7141" s="209">
        <v>325.70999999999998</v>
      </c>
      <c r="H7141" s="198"/>
    </row>
    <row r="7142" spans="1:8" ht="15.75" hidden="1" customHeight="1" x14ac:dyDescent="0.25">
      <c r="A7142" s="205" t="s">
        <v>7799</v>
      </c>
      <c r="B7142" s="206">
        <v>104589</v>
      </c>
      <c r="C7142" s="207" t="s">
        <v>7804</v>
      </c>
      <c r="D7142" s="208" t="s">
        <v>578</v>
      </c>
      <c r="E7142" s="209">
        <v>274.48</v>
      </c>
      <c r="F7142" s="209">
        <v>49.39</v>
      </c>
      <c r="G7142" s="209">
        <v>323.87</v>
      </c>
      <c r="H7142" s="198"/>
    </row>
    <row r="7143" spans="1:8" ht="15.75" hidden="1" customHeight="1" x14ac:dyDescent="0.25">
      <c r="A7143" s="205" t="s">
        <v>7799</v>
      </c>
      <c r="B7143" s="206">
        <v>104588</v>
      </c>
      <c r="C7143" s="207" t="s">
        <v>7805</v>
      </c>
      <c r="D7143" s="208" t="s">
        <v>578</v>
      </c>
      <c r="E7143" s="209">
        <v>227.6</v>
      </c>
      <c r="F7143" s="209">
        <v>42.42</v>
      </c>
      <c r="G7143" s="209">
        <v>270.02</v>
      </c>
      <c r="H7143" s="198"/>
    </row>
    <row r="7144" spans="1:8" ht="15.75" hidden="1" customHeight="1" x14ac:dyDescent="0.25">
      <c r="A7144" s="205" t="s">
        <v>7799</v>
      </c>
      <c r="B7144" s="206">
        <v>104591</v>
      </c>
      <c r="C7144" s="207" t="s">
        <v>7806</v>
      </c>
      <c r="D7144" s="208" t="s">
        <v>578</v>
      </c>
      <c r="E7144" s="209">
        <v>293.85000000000002</v>
      </c>
      <c r="F7144" s="209">
        <v>61.77</v>
      </c>
      <c r="G7144" s="209">
        <v>355.62</v>
      </c>
      <c r="H7144" s="198"/>
    </row>
    <row r="7145" spans="1:8" ht="15.75" hidden="1" customHeight="1" x14ac:dyDescent="0.25">
      <c r="A7145" s="205" t="s">
        <v>7799</v>
      </c>
      <c r="B7145" s="206">
        <v>104590</v>
      </c>
      <c r="C7145" s="207" t="s">
        <v>7807</v>
      </c>
      <c r="D7145" s="208" t="s">
        <v>578</v>
      </c>
      <c r="E7145" s="209">
        <v>243.33</v>
      </c>
      <c r="F7145" s="209">
        <v>54.82</v>
      </c>
      <c r="G7145" s="209">
        <v>298.14999999999998</v>
      </c>
      <c r="H7145" s="198"/>
    </row>
    <row r="7146" spans="1:8" ht="15.75" hidden="1" customHeight="1" x14ac:dyDescent="0.25">
      <c r="A7146" s="205" t="s">
        <v>7808</v>
      </c>
      <c r="B7146" s="206">
        <v>87267</v>
      </c>
      <c r="C7146" s="207" t="s">
        <v>7809</v>
      </c>
      <c r="D7146" s="208" t="s">
        <v>578</v>
      </c>
      <c r="E7146" s="209">
        <v>52.17</v>
      </c>
      <c r="F7146" s="209">
        <v>24.65</v>
      </c>
      <c r="G7146" s="209">
        <v>76.819999999999993</v>
      </c>
      <c r="H7146" s="198"/>
    </row>
    <row r="7147" spans="1:8" ht="15.75" hidden="1" customHeight="1" x14ac:dyDescent="0.25">
      <c r="A7147" s="205" t="s">
        <v>7808</v>
      </c>
      <c r="B7147" s="206">
        <v>104614</v>
      </c>
      <c r="C7147" s="207" t="s">
        <v>7810</v>
      </c>
      <c r="D7147" s="208" t="s">
        <v>578</v>
      </c>
      <c r="E7147" s="209">
        <v>54.37</v>
      </c>
      <c r="F7147" s="209">
        <v>28.93</v>
      </c>
      <c r="G7147" s="209">
        <v>83.3</v>
      </c>
      <c r="H7147" s="198"/>
    </row>
    <row r="7148" spans="1:8" ht="15.75" hidden="1" customHeight="1" x14ac:dyDescent="0.25">
      <c r="A7148" s="205" t="s">
        <v>7808</v>
      </c>
      <c r="B7148" s="206">
        <v>104613</v>
      </c>
      <c r="C7148" s="207" t="s">
        <v>7811</v>
      </c>
      <c r="D7148" s="208" t="s">
        <v>578</v>
      </c>
      <c r="E7148" s="209">
        <v>51.74</v>
      </c>
      <c r="F7148" s="209">
        <v>22.82</v>
      </c>
      <c r="G7148" s="209">
        <v>74.56</v>
      </c>
      <c r="H7148" s="198"/>
    </row>
    <row r="7149" spans="1:8" ht="15.75" hidden="1" customHeight="1" x14ac:dyDescent="0.25">
      <c r="A7149" s="205" t="s">
        <v>7808</v>
      </c>
      <c r="B7149" s="206">
        <v>87265</v>
      </c>
      <c r="C7149" s="207" t="s">
        <v>7812</v>
      </c>
      <c r="D7149" s="208" t="s">
        <v>578</v>
      </c>
      <c r="E7149" s="209">
        <v>50.2</v>
      </c>
      <c r="F7149" s="209">
        <v>19.899999999999999</v>
      </c>
      <c r="G7149" s="209">
        <v>70.099999999999994</v>
      </c>
      <c r="H7149" s="198"/>
    </row>
    <row r="7150" spans="1:8" ht="15.75" hidden="1" customHeight="1" x14ac:dyDescent="0.25">
      <c r="A7150" s="205" t="s">
        <v>7808</v>
      </c>
      <c r="B7150" s="206">
        <v>87271</v>
      </c>
      <c r="C7150" s="207" t="s">
        <v>7813</v>
      </c>
      <c r="D7150" s="208" t="s">
        <v>578</v>
      </c>
      <c r="E7150" s="209">
        <v>53.54</v>
      </c>
      <c r="F7150" s="209">
        <v>28.51</v>
      </c>
      <c r="G7150" s="209">
        <v>82.05</v>
      </c>
      <c r="H7150" s="198"/>
    </row>
    <row r="7151" spans="1:8" ht="15.75" hidden="1" customHeight="1" x14ac:dyDescent="0.25">
      <c r="A7151" s="205" t="s">
        <v>7808</v>
      </c>
      <c r="B7151" s="206">
        <v>87269</v>
      </c>
      <c r="C7151" s="207" t="s">
        <v>7814</v>
      </c>
      <c r="D7151" s="208" t="s">
        <v>578</v>
      </c>
      <c r="E7151" s="209">
        <v>51.6</v>
      </c>
      <c r="F7151" s="209">
        <v>23.65</v>
      </c>
      <c r="G7151" s="209">
        <v>75.25</v>
      </c>
      <c r="H7151" s="198"/>
    </row>
    <row r="7152" spans="1:8" ht="15.75" hidden="1" customHeight="1" x14ac:dyDescent="0.25">
      <c r="A7152" s="205" t="s">
        <v>7808</v>
      </c>
      <c r="B7152" s="206">
        <v>87275</v>
      </c>
      <c r="C7152" s="207" t="s">
        <v>7815</v>
      </c>
      <c r="D7152" s="208" t="s">
        <v>578</v>
      </c>
      <c r="E7152" s="209">
        <v>56.3</v>
      </c>
      <c r="F7152" s="209">
        <v>31.53</v>
      </c>
      <c r="G7152" s="209">
        <v>87.83</v>
      </c>
      <c r="H7152" s="198"/>
    </row>
    <row r="7153" spans="1:8" ht="15.75" hidden="1" customHeight="1" x14ac:dyDescent="0.25">
      <c r="A7153" s="205" t="s">
        <v>7808</v>
      </c>
      <c r="B7153" s="206">
        <v>87273</v>
      </c>
      <c r="C7153" s="207" t="s">
        <v>7816</v>
      </c>
      <c r="D7153" s="208" t="s">
        <v>578</v>
      </c>
      <c r="E7153" s="209">
        <v>53.56</v>
      </c>
      <c r="F7153" s="209">
        <v>25.25</v>
      </c>
      <c r="G7153" s="209">
        <v>78.81</v>
      </c>
      <c r="H7153" s="198"/>
    </row>
    <row r="7154" spans="1:8" ht="15.75" hidden="1" customHeight="1" x14ac:dyDescent="0.25">
      <c r="A7154" s="205" t="s">
        <v>7808</v>
      </c>
      <c r="B7154" s="206">
        <v>104612</v>
      </c>
      <c r="C7154" s="207" t="s">
        <v>7817</v>
      </c>
      <c r="D7154" s="208" t="s">
        <v>578</v>
      </c>
      <c r="E7154" s="209">
        <v>83.51</v>
      </c>
      <c r="F7154" s="209">
        <v>27.84</v>
      </c>
      <c r="G7154" s="209">
        <v>111.35</v>
      </c>
      <c r="H7154" s="198"/>
    </row>
    <row r="7155" spans="1:8" ht="15.75" hidden="1" customHeight="1" x14ac:dyDescent="0.25">
      <c r="A7155" s="205" t="s">
        <v>7808</v>
      </c>
      <c r="B7155" s="206">
        <v>104611</v>
      </c>
      <c r="C7155" s="207" t="s">
        <v>7818</v>
      </c>
      <c r="D7155" s="208" t="s">
        <v>578</v>
      </c>
      <c r="E7155" s="209">
        <v>83.7</v>
      </c>
      <c r="F7155" s="209">
        <v>26.69</v>
      </c>
      <c r="G7155" s="209">
        <v>110.39</v>
      </c>
      <c r="H7155" s="198"/>
    </row>
    <row r="7156" spans="1:8" ht="15.75" hidden="1" customHeight="1" x14ac:dyDescent="0.25">
      <c r="A7156" s="205" t="s">
        <v>7808</v>
      </c>
      <c r="B7156" s="206">
        <v>104618</v>
      </c>
      <c r="C7156" s="207" t="s">
        <v>7819</v>
      </c>
      <c r="D7156" s="208" t="s">
        <v>578</v>
      </c>
      <c r="E7156" s="209">
        <v>393.22</v>
      </c>
      <c r="F7156" s="209">
        <v>46.81</v>
      </c>
      <c r="G7156" s="209">
        <v>440.03</v>
      </c>
      <c r="H7156" s="198"/>
    </row>
    <row r="7157" spans="1:8" ht="15.75" hidden="1" customHeight="1" x14ac:dyDescent="0.25">
      <c r="A7157" s="205" t="s">
        <v>7808</v>
      </c>
      <c r="B7157" s="206">
        <v>104616</v>
      </c>
      <c r="C7157" s="207" t="s">
        <v>7820</v>
      </c>
      <c r="D7157" s="208" t="s">
        <v>578</v>
      </c>
      <c r="E7157" s="209">
        <v>389.62</v>
      </c>
      <c r="F7157" s="209">
        <v>36.79</v>
      </c>
      <c r="G7157" s="209">
        <v>426.41</v>
      </c>
      <c r="H7157" s="198"/>
    </row>
    <row r="7158" spans="1:8" ht="15.75" hidden="1" customHeight="1" x14ac:dyDescent="0.25">
      <c r="A7158" s="205" t="s">
        <v>7808</v>
      </c>
      <c r="B7158" s="206">
        <v>104617</v>
      </c>
      <c r="C7158" s="207" t="s">
        <v>7821</v>
      </c>
      <c r="D7158" s="208" t="s">
        <v>578</v>
      </c>
      <c r="E7158" s="209">
        <v>291.24</v>
      </c>
      <c r="F7158" s="209">
        <v>46.81</v>
      </c>
      <c r="G7158" s="209">
        <v>338.05</v>
      </c>
      <c r="H7158" s="198"/>
    </row>
    <row r="7159" spans="1:8" ht="15.75" hidden="1" customHeight="1" x14ac:dyDescent="0.25">
      <c r="A7159" s="205" t="s">
        <v>7808</v>
      </c>
      <c r="B7159" s="206">
        <v>104615</v>
      </c>
      <c r="C7159" s="207" t="s">
        <v>7822</v>
      </c>
      <c r="D7159" s="208" t="s">
        <v>578</v>
      </c>
      <c r="E7159" s="209">
        <v>287.61</v>
      </c>
      <c r="F7159" s="209">
        <v>36.82</v>
      </c>
      <c r="G7159" s="209">
        <v>324.43</v>
      </c>
      <c r="H7159" s="198"/>
    </row>
    <row r="7160" spans="1:8" ht="15.75" hidden="1" customHeight="1" x14ac:dyDescent="0.25">
      <c r="A7160" s="205" t="s">
        <v>7808</v>
      </c>
      <c r="B7160" s="206">
        <v>87247</v>
      </c>
      <c r="C7160" s="207" t="s">
        <v>7823</v>
      </c>
      <c r="D7160" s="208" t="s">
        <v>578</v>
      </c>
      <c r="E7160" s="209">
        <v>54.07</v>
      </c>
      <c r="F7160" s="209">
        <v>16.13</v>
      </c>
      <c r="G7160" s="209">
        <v>70.2</v>
      </c>
      <c r="H7160" s="198"/>
    </row>
    <row r="7161" spans="1:8" ht="15.75" hidden="1" customHeight="1" x14ac:dyDescent="0.25">
      <c r="A7161" s="205" t="s">
        <v>7808</v>
      </c>
      <c r="B7161" s="206">
        <v>87248</v>
      </c>
      <c r="C7161" s="207" t="s">
        <v>7824</v>
      </c>
      <c r="D7161" s="208" t="s">
        <v>578</v>
      </c>
      <c r="E7161" s="209">
        <v>51.44</v>
      </c>
      <c r="F7161" s="209">
        <v>9.1199999999999992</v>
      </c>
      <c r="G7161" s="209">
        <v>60.56</v>
      </c>
      <c r="H7161" s="198"/>
    </row>
    <row r="7162" spans="1:8" ht="15.75" hidden="1" customHeight="1" x14ac:dyDescent="0.25">
      <c r="A7162" s="205" t="s">
        <v>7808</v>
      </c>
      <c r="B7162" s="206">
        <v>87246</v>
      </c>
      <c r="C7162" s="207" t="s">
        <v>7825</v>
      </c>
      <c r="D7162" s="208" t="s">
        <v>578</v>
      </c>
      <c r="E7162" s="209">
        <v>56.97</v>
      </c>
      <c r="F7162" s="209">
        <v>22.34</v>
      </c>
      <c r="G7162" s="209">
        <v>79.31</v>
      </c>
      <c r="H7162" s="198"/>
    </row>
    <row r="7163" spans="1:8" ht="15.75" hidden="1" customHeight="1" x14ac:dyDescent="0.25">
      <c r="A7163" s="205" t="s">
        <v>7808</v>
      </c>
      <c r="B7163" s="206">
        <v>104601</v>
      </c>
      <c r="C7163" s="207" t="s">
        <v>7826</v>
      </c>
      <c r="D7163" s="208" t="s">
        <v>578</v>
      </c>
      <c r="E7163" s="209">
        <v>56.59</v>
      </c>
      <c r="F7163" s="209">
        <v>19.940000000000001</v>
      </c>
      <c r="G7163" s="209">
        <v>76.53</v>
      </c>
      <c r="H7163" s="198"/>
    </row>
    <row r="7164" spans="1:8" ht="15.75" hidden="1" customHeight="1" x14ac:dyDescent="0.25">
      <c r="A7164" s="205" t="s">
        <v>7808</v>
      </c>
      <c r="B7164" s="206">
        <v>104603</v>
      </c>
      <c r="C7164" s="207" t="s">
        <v>7827</v>
      </c>
      <c r="D7164" s="208" t="s">
        <v>578</v>
      </c>
      <c r="E7164" s="209">
        <v>52.71</v>
      </c>
      <c r="F7164" s="209">
        <v>11</v>
      </c>
      <c r="G7164" s="209">
        <v>63.71</v>
      </c>
      <c r="H7164" s="198"/>
    </row>
    <row r="7165" spans="1:8" ht="15.75" hidden="1" customHeight="1" x14ac:dyDescent="0.25">
      <c r="A7165" s="205" t="s">
        <v>7808</v>
      </c>
      <c r="B7165" s="206">
        <v>104599</v>
      </c>
      <c r="C7165" s="207" t="s">
        <v>7828</v>
      </c>
      <c r="D7165" s="208" t="s">
        <v>578</v>
      </c>
      <c r="E7165" s="209">
        <v>63.68</v>
      </c>
      <c r="F7165" s="209">
        <v>32.380000000000003</v>
      </c>
      <c r="G7165" s="209">
        <v>96.06</v>
      </c>
      <c r="H7165" s="198"/>
    </row>
    <row r="7166" spans="1:8" ht="15.75" hidden="1" customHeight="1" x14ac:dyDescent="0.25">
      <c r="A7166" s="205" t="s">
        <v>7808</v>
      </c>
      <c r="B7166" s="206">
        <v>87250</v>
      </c>
      <c r="C7166" s="207" t="s">
        <v>7829</v>
      </c>
      <c r="D7166" s="208" t="s">
        <v>578</v>
      </c>
      <c r="E7166" s="209">
        <v>54.62</v>
      </c>
      <c r="F7166" s="209">
        <v>17.350000000000001</v>
      </c>
      <c r="G7166" s="209">
        <v>71.97</v>
      </c>
      <c r="H7166" s="198"/>
    </row>
    <row r="7167" spans="1:8" ht="15.75" hidden="1" customHeight="1" x14ac:dyDescent="0.25">
      <c r="A7167" s="205" t="s">
        <v>7808</v>
      </c>
      <c r="B7167" s="206">
        <v>87251</v>
      </c>
      <c r="C7167" s="207" t="s">
        <v>7830</v>
      </c>
      <c r="D7167" s="208" t="s">
        <v>578</v>
      </c>
      <c r="E7167" s="209">
        <v>51.43</v>
      </c>
      <c r="F7167" s="209">
        <v>9.51</v>
      </c>
      <c r="G7167" s="209">
        <v>60.94</v>
      </c>
      <c r="H7167" s="198"/>
    </row>
    <row r="7168" spans="1:8" ht="15.75" hidden="1" customHeight="1" x14ac:dyDescent="0.25">
      <c r="A7168" s="205" t="s">
        <v>7808</v>
      </c>
      <c r="B7168" s="206">
        <v>87249</v>
      </c>
      <c r="C7168" s="207" t="s">
        <v>7831</v>
      </c>
      <c r="D7168" s="208" t="s">
        <v>578</v>
      </c>
      <c r="E7168" s="209">
        <v>59.31</v>
      </c>
      <c r="F7168" s="209">
        <v>26.15</v>
      </c>
      <c r="G7168" s="209">
        <v>85.46</v>
      </c>
      <c r="H7168" s="198"/>
    </row>
    <row r="7169" spans="1:8" ht="15.75" hidden="1" customHeight="1" x14ac:dyDescent="0.25">
      <c r="A7169" s="205" t="s">
        <v>7808</v>
      </c>
      <c r="B7169" s="206">
        <v>104606</v>
      </c>
      <c r="C7169" s="207" t="s">
        <v>7832</v>
      </c>
      <c r="D7169" s="208" t="s">
        <v>578</v>
      </c>
      <c r="E7169" s="209">
        <v>58.63</v>
      </c>
      <c r="F7169" s="209">
        <v>23.37</v>
      </c>
      <c r="G7169" s="209">
        <v>82</v>
      </c>
      <c r="H7169" s="198"/>
    </row>
    <row r="7170" spans="1:8" ht="15.75" hidden="1" customHeight="1" x14ac:dyDescent="0.25">
      <c r="A7170" s="205" t="s">
        <v>7808</v>
      </c>
      <c r="B7170" s="206">
        <v>104607</v>
      </c>
      <c r="C7170" s="207" t="s">
        <v>7833</v>
      </c>
      <c r="D7170" s="208" t="s">
        <v>578</v>
      </c>
      <c r="E7170" s="209">
        <v>53.25</v>
      </c>
      <c r="F7170" s="209">
        <v>12.18</v>
      </c>
      <c r="G7170" s="209">
        <v>65.430000000000007</v>
      </c>
      <c r="H7170" s="198"/>
    </row>
    <row r="7171" spans="1:8" ht="15.75" hidden="1" customHeight="1" x14ac:dyDescent="0.25">
      <c r="A7171" s="205" t="s">
        <v>7808</v>
      </c>
      <c r="B7171" s="206">
        <v>104605</v>
      </c>
      <c r="C7171" s="207" t="s">
        <v>7834</v>
      </c>
      <c r="D7171" s="208" t="s">
        <v>578</v>
      </c>
      <c r="E7171" s="209">
        <v>73.45</v>
      </c>
      <c r="F7171" s="209">
        <v>47.45</v>
      </c>
      <c r="G7171" s="209">
        <v>120.9</v>
      </c>
      <c r="H7171" s="198"/>
    </row>
    <row r="7172" spans="1:8" ht="15.75" hidden="1" customHeight="1" x14ac:dyDescent="0.25">
      <c r="A7172" s="205" t="s">
        <v>7808</v>
      </c>
      <c r="B7172" s="206">
        <v>87256</v>
      </c>
      <c r="C7172" s="207" t="s">
        <v>7835</v>
      </c>
      <c r="D7172" s="208" t="s">
        <v>578</v>
      </c>
      <c r="E7172" s="209">
        <v>65.900000000000006</v>
      </c>
      <c r="F7172" s="209">
        <v>19.100000000000001</v>
      </c>
      <c r="G7172" s="209">
        <v>85</v>
      </c>
      <c r="H7172" s="198"/>
    </row>
    <row r="7173" spans="1:8" ht="15.75" hidden="1" customHeight="1" x14ac:dyDescent="0.25">
      <c r="A7173" s="205" t="s">
        <v>7808</v>
      </c>
      <c r="B7173" s="206">
        <v>87257</v>
      </c>
      <c r="C7173" s="207" t="s">
        <v>7836</v>
      </c>
      <c r="D7173" s="208" t="s">
        <v>578</v>
      </c>
      <c r="E7173" s="209">
        <v>62.08</v>
      </c>
      <c r="F7173" s="209">
        <v>10.57</v>
      </c>
      <c r="G7173" s="209">
        <v>72.650000000000006</v>
      </c>
      <c r="H7173" s="198"/>
    </row>
    <row r="7174" spans="1:8" ht="15.75" hidden="1" customHeight="1" x14ac:dyDescent="0.25">
      <c r="A7174" s="205" t="s">
        <v>7808</v>
      </c>
      <c r="B7174" s="206">
        <v>87255</v>
      </c>
      <c r="C7174" s="207" t="s">
        <v>7837</v>
      </c>
      <c r="D7174" s="208" t="s">
        <v>578</v>
      </c>
      <c r="E7174" s="209">
        <v>71.34</v>
      </c>
      <c r="F7174" s="209">
        <v>28.45</v>
      </c>
      <c r="G7174" s="209">
        <v>99.79</v>
      </c>
      <c r="H7174" s="198"/>
    </row>
    <row r="7175" spans="1:8" ht="15.75" hidden="1" customHeight="1" x14ac:dyDescent="0.25">
      <c r="A7175" s="205" t="s">
        <v>7808</v>
      </c>
      <c r="B7175" s="206">
        <v>104594</v>
      </c>
      <c r="C7175" s="207" t="s">
        <v>7838</v>
      </c>
      <c r="D7175" s="208" t="s">
        <v>578</v>
      </c>
      <c r="E7175" s="209">
        <v>66.95</v>
      </c>
      <c r="F7175" s="209">
        <v>20.74</v>
      </c>
      <c r="G7175" s="209">
        <v>87.69</v>
      </c>
      <c r="H7175" s="198"/>
    </row>
    <row r="7176" spans="1:8" ht="15.75" hidden="1" customHeight="1" x14ac:dyDescent="0.25">
      <c r="A7176" s="205" t="s">
        <v>7808</v>
      </c>
      <c r="B7176" s="206">
        <v>104595</v>
      </c>
      <c r="C7176" s="207" t="s">
        <v>7839</v>
      </c>
      <c r="D7176" s="208" t="s">
        <v>578</v>
      </c>
      <c r="E7176" s="209">
        <v>62.25</v>
      </c>
      <c r="F7176" s="209">
        <v>11.01</v>
      </c>
      <c r="G7176" s="209">
        <v>73.260000000000005</v>
      </c>
      <c r="H7176" s="198"/>
    </row>
    <row r="7177" spans="1:8" ht="15.75" hidden="1" customHeight="1" x14ac:dyDescent="0.25">
      <c r="A7177" s="205" t="s">
        <v>7808</v>
      </c>
      <c r="B7177" s="206">
        <v>104593</v>
      </c>
      <c r="C7177" s="207" t="s">
        <v>7840</v>
      </c>
      <c r="D7177" s="208" t="s">
        <v>578</v>
      </c>
      <c r="E7177" s="209">
        <v>73.14</v>
      </c>
      <c r="F7177" s="209">
        <v>31.07</v>
      </c>
      <c r="G7177" s="209">
        <v>104.21</v>
      </c>
      <c r="H7177" s="198"/>
    </row>
    <row r="7178" spans="1:8" ht="15.75" hidden="1" customHeight="1" x14ac:dyDescent="0.25">
      <c r="A7178" s="205" t="s">
        <v>7808</v>
      </c>
      <c r="B7178" s="206">
        <v>87262</v>
      </c>
      <c r="C7178" s="207" t="s">
        <v>7841</v>
      </c>
      <c r="D7178" s="208" t="s">
        <v>578</v>
      </c>
      <c r="E7178" s="209">
        <v>116.02</v>
      </c>
      <c r="F7178" s="209">
        <v>26.07</v>
      </c>
      <c r="G7178" s="209">
        <v>142.09</v>
      </c>
      <c r="H7178" s="198"/>
    </row>
    <row r="7179" spans="1:8" ht="15.75" hidden="1" customHeight="1" x14ac:dyDescent="0.25">
      <c r="A7179" s="205" t="s">
        <v>7808</v>
      </c>
      <c r="B7179" s="206">
        <v>87263</v>
      </c>
      <c r="C7179" s="207" t="s">
        <v>7842</v>
      </c>
      <c r="D7179" s="208" t="s">
        <v>578</v>
      </c>
      <c r="E7179" s="209">
        <v>111.66</v>
      </c>
      <c r="F7179" s="209">
        <v>17.54</v>
      </c>
      <c r="G7179" s="209">
        <v>129.19999999999999</v>
      </c>
      <c r="H7179" s="198"/>
    </row>
    <row r="7180" spans="1:8" ht="15.75" hidden="1" customHeight="1" x14ac:dyDescent="0.25">
      <c r="A7180" s="205" t="s">
        <v>7808</v>
      </c>
      <c r="B7180" s="206">
        <v>87261</v>
      </c>
      <c r="C7180" s="207" t="s">
        <v>7843</v>
      </c>
      <c r="D7180" s="208" t="s">
        <v>578</v>
      </c>
      <c r="E7180" s="209">
        <v>122.9</v>
      </c>
      <c r="F7180" s="209">
        <v>35.409999999999997</v>
      </c>
      <c r="G7180" s="209">
        <v>158.31</v>
      </c>
      <c r="H7180" s="198"/>
    </row>
    <row r="7181" spans="1:8" ht="15.75" hidden="1" customHeight="1" x14ac:dyDescent="0.25">
      <c r="A7181" s="205" t="s">
        <v>7808</v>
      </c>
      <c r="B7181" s="206">
        <v>104597</v>
      </c>
      <c r="C7181" s="207" t="s">
        <v>7844</v>
      </c>
      <c r="D7181" s="208" t="s">
        <v>578</v>
      </c>
      <c r="E7181" s="209">
        <v>117.49</v>
      </c>
      <c r="F7181" s="209">
        <v>27.71</v>
      </c>
      <c r="G7181" s="209">
        <v>145.19999999999999</v>
      </c>
      <c r="H7181" s="198"/>
    </row>
    <row r="7182" spans="1:8" ht="15.75" hidden="1" customHeight="1" x14ac:dyDescent="0.25">
      <c r="A7182" s="205" t="s">
        <v>7808</v>
      </c>
      <c r="B7182" s="206">
        <v>104598</v>
      </c>
      <c r="C7182" s="207" t="s">
        <v>7845</v>
      </c>
      <c r="D7182" s="208" t="s">
        <v>578</v>
      </c>
      <c r="E7182" s="209">
        <v>111.94</v>
      </c>
      <c r="F7182" s="209">
        <v>17.98</v>
      </c>
      <c r="G7182" s="209">
        <v>129.91999999999999</v>
      </c>
      <c r="H7182" s="198"/>
    </row>
    <row r="7183" spans="1:8" ht="15.75" hidden="1" customHeight="1" x14ac:dyDescent="0.25">
      <c r="A7183" s="205" t="s">
        <v>7808</v>
      </c>
      <c r="B7183" s="206">
        <v>104596</v>
      </c>
      <c r="C7183" s="207" t="s">
        <v>7846</v>
      </c>
      <c r="D7183" s="208" t="s">
        <v>578</v>
      </c>
      <c r="E7183" s="209">
        <v>125.36</v>
      </c>
      <c r="F7183" s="209">
        <v>38.03</v>
      </c>
      <c r="G7183" s="209">
        <v>163.38999999999999</v>
      </c>
      <c r="H7183" s="198"/>
    </row>
    <row r="7184" spans="1:8" ht="15.75" hidden="1" customHeight="1" x14ac:dyDescent="0.25">
      <c r="A7184" s="205" t="s">
        <v>7808</v>
      </c>
      <c r="B7184" s="206">
        <v>88648</v>
      </c>
      <c r="C7184" s="207" t="s">
        <v>7847</v>
      </c>
      <c r="D7184" s="208" t="s">
        <v>585</v>
      </c>
      <c r="E7184" s="209">
        <v>6.46</v>
      </c>
      <c r="F7184" s="209">
        <v>2.5299999999999998</v>
      </c>
      <c r="G7184" s="209">
        <v>8.99</v>
      </c>
      <c r="H7184" s="198"/>
    </row>
    <row r="7185" spans="1:8" ht="15.75" hidden="1" customHeight="1" x14ac:dyDescent="0.25">
      <c r="A7185" s="205" t="s">
        <v>7808</v>
      </c>
      <c r="B7185" s="206">
        <v>88649</v>
      </c>
      <c r="C7185" s="207" t="s">
        <v>7848</v>
      </c>
      <c r="D7185" s="208" t="s">
        <v>585</v>
      </c>
      <c r="E7185" s="209">
        <v>7.54</v>
      </c>
      <c r="F7185" s="209">
        <v>2.65</v>
      </c>
      <c r="G7185" s="209">
        <v>10.19</v>
      </c>
      <c r="H7185" s="198"/>
    </row>
    <row r="7186" spans="1:8" ht="15.75" hidden="1" customHeight="1" x14ac:dyDescent="0.25">
      <c r="A7186" s="205" t="s">
        <v>7808</v>
      </c>
      <c r="B7186" s="206">
        <v>88650</v>
      </c>
      <c r="C7186" s="207" t="s">
        <v>7849</v>
      </c>
      <c r="D7186" s="208" t="s">
        <v>585</v>
      </c>
      <c r="E7186" s="209">
        <v>10.84</v>
      </c>
      <c r="F7186" s="209">
        <v>3.02</v>
      </c>
      <c r="G7186" s="209">
        <v>13.86</v>
      </c>
      <c r="H7186" s="198"/>
    </row>
    <row r="7187" spans="1:8" ht="15.75" hidden="1" customHeight="1" x14ac:dyDescent="0.25">
      <c r="A7187" s="205" t="s">
        <v>7808</v>
      </c>
      <c r="B7187" s="206">
        <v>104619</v>
      </c>
      <c r="C7187" s="207" t="s">
        <v>7850</v>
      </c>
      <c r="D7187" s="208" t="s">
        <v>585</v>
      </c>
      <c r="E7187" s="209">
        <v>13.25</v>
      </c>
      <c r="F7187" s="209">
        <v>3.21</v>
      </c>
      <c r="G7187" s="209">
        <v>16.46</v>
      </c>
      <c r="H7187" s="198"/>
    </row>
    <row r="7188" spans="1:8" ht="15.75" hidden="1" customHeight="1" x14ac:dyDescent="0.25">
      <c r="A7188" s="205" t="s">
        <v>7851</v>
      </c>
      <c r="B7188" s="206">
        <v>103689</v>
      </c>
      <c r="C7188" s="207" t="s">
        <v>7852</v>
      </c>
      <c r="D7188" s="208" t="s">
        <v>578</v>
      </c>
      <c r="E7188" s="209">
        <v>432.67</v>
      </c>
      <c r="F7188" s="209">
        <v>38.229999999999997</v>
      </c>
      <c r="G7188" s="209">
        <v>470.9</v>
      </c>
      <c r="H7188" s="198"/>
    </row>
    <row r="7189" spans="1:8" ht="15.75" hidden="1" customHeight="1" x14ac:dyDescent="0.25">
      <c r="A7189" s="205" t="s">
        <v>7851</v>
      </c>
      <c r="B7189" s="206">
        <v>103694</v>
      </c>
      <c r="C7189" s="207" t="s">
        <v>7853</v>
      </c>
      <c r="D7189" s="208" t="s">
        <v>580</v>
      </c>
      <c r="E7189" s="209">
        <v>78.58</v>
      </c>
      <c r="F7189" s="209">
        <v>39.03</v>
      </c>
      <c r="G7189" s="209">
        <v>117.61</v>
      </c>
      <c r="H7189" s="198"/>
    </row>
    <row r="7190" spans="1:8" ht="15.75" hidden="1" customHeight="1" x14ac:dyDescent="0.25">
      <c r="A7190" s="205" t="s">
        <v>7851</v>
      </c>
      <c r="B7190" s="206">
        <v>103696</v>
      </c>
      <c r="C7190" s="207" t="s">
        <v>7854</v>
      </c>
      <c r="D7190" s="208" t="s">
        <v>580</v>
      </c>
      <c r="E7190" s="209">
        <v>89.63</v>
      </c>
      <c r="F7190" s="209">
        <v>64.92</v>
      </c>
      <c r="G7190" s="209">
        <v>154.55000000000001</v>
      </c>
      <c r="H7190" s="198"/>
    </row>
    <row r="7191" spans="1:8" ht="15.75" hidden="1" customHeight="1" x14ac:dyDescent="0.25">
      <c r="A7191" s="205" t="s">
        <v>7851</v>
      </c>
      <c r="B7191" s="206">
        <v>103697</v>
      </c>
      <c r="C7191" s="207" t="s">
        <v>7855</v>
      </c>
      <c r="D7191" s="208" t="s">
        <v>580</v>
      </c>
      <c r="E7191" s="209">
        <v>80.52</v>
      </c>
      <c r="F7191" s="209">
        <v>62.19</v>
      </c>
      <c r="G7191" s="209">
        <v>142.71</v>
      </c>
      <c r="H7191" s="198"/>
    </row>
    <row r="7192" spans="1:8" ht="15.75" hidden="1" customHeight="1" x14ac:dyDescent="0.25">
      <c r="A7192" s="205" t="s">
        <v>7851</v>
      </c>
      <c r="B7192" s="206">
        <v>103695</v>
      </c>
      <c r="C7192" s="207" t="s">
        <v>7856</v>
      </c>
      <c r="D7192" s="208" t="s">
        <v>580</v>
      </c>
      <c r="E7192" s="209">
        <v>69.47</v>
      </c>
      <c r="F7192" s="209">
        <v>36.299999999999997</v>
      </c>
      <c r="G7192" s="209">
        <v>105.77</v>
      </c>
      <c r="H7192" s="198"/>
    </row>
    <row r="7193" spans="1:8" ht="15.75" hidden="1" customHeight="1" x14ac:dyDescent="0.25">
      <c r="A7193" s="205" t="s">
        <v>7857</v>
      </c>
      <c r="B7193" s="206">
        <v>96987</v>
      </c>
      <c r="C7193" s="207" t="s">
        <v>7858</v>
      </c>
      <c r="D7193" s="208" t="s">
        <v>580</v>
      </c>
      <c r="E7193" s="209">
        <v>87.59</v>
      </c>
      <c r="F7193" s="209">
        <v>58.51</v>
      </c>
      <c r="G7193" s="209">
        <v>146.1</v>
      </c>
      <c r="H7193" s="198"/>
    </row>
    <row r="7194" spans="1:8" ht="15.75" hidden="1" customHeight="1" x14ac:dyDescent="0.25">
      <c r="A7194" s="205" t="s">
        <v>7857</v>
      </c>
      <c r="B7194" s="206">
        <v>96989</v>
      </c>
      <c r="C7194" s="207" t="s">
        <v>7859</v>
      </c>
      <c r="D7194" s="208" t="s">
        <v>580</v>
      </c>
      <c r="E7194" s="209">
        <v>146.05000000000001</v>
      </c>
      <c r="F7194" s="209">
        <v>6.65</v>
      </c>
      <c r="G7194" s="209">
        <v>152.69999999999999</v>
      </c>
      <c r="H7194" s="198"/>
    </row>
    <row r="7195" spans="1:8" ht="15.75" hidden="1" customHeight="1" x14ac:dyDescent="0.25">
      <c r="A7195" s="205" t="s">
        <v>7857</v>
      </c>
      <c r="B7195" s="206">
        <v>104749</v>
      </c>
      <c r="C7195" s="207" t="s">
        <v>7860</v>
      </c>
      <c r="D7195" s="208" t="s">
        <v>580</v>
      </c>
      <c r="E7195" s="209">
        <v>11.88</v>
      </c>
      <c r="F7195" s="209">
        <v>9.2200000000000006</v>
      </c>
      <c r="G7195" s="209">
        <v>21.1</v>
      </c>
      <c r="H7195" s="198"/>
    </row>
    <row r="7196" spans="1:8" ht="15.75" hidden="1" customHeight="1" x14ac:dyDescent="0.25">
      <c r="A7196" s="205" t="s">
        <v>7857</v>
      </c>
      <c r="B7196" s="206">
        <v>104750</v>
      </c>
      <c r="C7196" s="207" t="s">
        <v>7861</v>
      </c>
      <c r="D7196" s="208" t="s">
        <v>580</v>
      </c>
      <c r="E7196" s="209">
        <v>8.68</v>
      </c>
      <c r="F7196" s="209">
        <v>9.2200000000000006</v>
      </c>
      <c r="G7196" s="209">
        <v>17.899999999999999</v>
      </c>
      <c r="H7196" s="198"/>
    </row>
    <row r="7197" spans="1:8" ht="15.75" hidden="1" customHeight="1" x14ac:dyDescent="0.25">
      <c r="A7197" s="205" t="s">
        <v>7857</v>
      </c>
      <c r="B7197" s="206">
        <v>104751</v>
      </c>
      <c r="C7197" s="207" t="s">
        <v>7862</v>
      </c>
      <c r="D7197" s="208" t="s">
        <v>580</v>
      </c>
      <c r="E7197" s="209">
        <v>14.17</v>
      </c>
      <c r="F7197" s="209">
        <v>9.2200000000000006</v>
      </c>
      <c r="G7197" s="209">
        <v>23.39</v>
      </c>
      <c r="H7197" s="198"/>
    </row>
    <row r="7198" spans="1:8" ht="15.75" hidden="1" customHeight="1" x14ac:dyDescent="0.25">
      <c r="A7198" s="205" t="s">
        <v>7857</v>
      </c>
      <c r="B7198" s="206">
        <v>104752</v>
      </c>
      <c r="C7198" s="207" t="s">
        <v>7863</v>
      </c>
      <c r="D7198" s="208" t="s">
        <v>580</v>
      </c>
      <c r="E7198" s="209">
        <v>14.86</v>
      </c>
      <c r="F7198" s="209">
        <v>9.2100000000000009</v>
      </c>
      <c r="G7198" s="209">
        <v>24.07</v>
      </c>
      <c r="H7198" s="198"/>
    </row>
    <row r="7199" spans="1:8" ht="15.75" hidden="1" customHeight="1" x14ac:dyDescent="0.25">
      <c r="A7199" s="205" t="s">
        <v>7857</v>
      </c>
      <c r="B7199" s="206">
        <v>104753</v>
      </c>
      <c r="C7199" s="207" t="s">
        <v>7864</v>
      </c>
      <c r="D7199" s="208" t="s">
        <v>580</v>
      </c>
      <c r="E7199" s="209">
        <v>19.45</v>
      </c>
      <c r="F7199" s="209">
        <v>9.2100000000000009</v>
      </c>
      <c r="G7199" s="209">
        <v>28.66</v>
      </c>
      <c r="H7199" s="198"/>
    </row>
    <row r="7200" spans="1:8" ht="15.75" hidden="1" customHeight="1" x14ac:dyDescent="0.25">
      <c r="A7200" s="205" t="s">
        <v>7857</v>
      </c>
      <c r="B7200" s="206">
        <v>104754</v>
      </c>
      <c r="C7200" s="207" t="s">
        <v>7865</v>
      </c>
      <c r="D7200" s="208" t="s">
        <v>580</v>
      </c>
      <c r="E7200" s="209">
        <v>27.31</v>
      </c>
      <c r="F7200" s="209">
        <v>9.2200000000000006</v>
      </c>
      <c r="G7200" s="209">
        <v>36.53</v>
      </c>
      <c r="H7200" s="198"/>
    </row>
    <row r="7201" spans="1:8" ht="15.75" hidden="1" customHeight="1" x14ac:dyDescent="0.25">
      <c r="A7201" s="205" t="s">
        <v>7857</v>
      </c>
      <c r="B7201" s="206">
        <v>104755</v>
      </c>
      <c r="C7201" s="207" t="s">
        <v>7866</v>
      </c>
      <c r="D7201" s="208" t="s">
        <v>580</v>
      </c>
      <c r="E7201" s="209">
        <v>39.520000000000003</v>
      </c>
      <c r="F7201" s="209">
        <v>9.2100000000000009</v>
      </c>
      <c r="G7201" s="209">
        <v>48.73</v>
      </c>
      <c r="H7201" s="198"/>
    </row>
    <row r="7202" spans="1:8" ht="15.75" customHeight="1" x14ac:dyDescent="0.25">
      <c r="A7202" s="205" t="s">
        <v>7857</v>
      </c>
      <c r="B7202" s="206">
        <v>96973</v>
      </c>
      <c r="C7202" s="207" t="s">
        <v>7867</v>
      </c>
      <c r="D7202" s="208" t="s">
        <v>585</v>
      </c>
      <c r="E7202" s="209">
        <v>54.1</v>
      </c>
      <c r="F7202" s="209">
        <v>22.54</v>
      </c>
      <c r="G7202" s="209">
        <v>76.64</v>
      </c>
      <c r="H7202" s="198"/>
    </row>
    <row r="7203" spans="1:8" ht="15.75" customHeight="1" x14ac:dyDescent="0.25">
      <c r="A7203" s="205" t="s">
        <v>7857</v>
      </c>
      <c r="B7203" s="206">
        <v>96977</v>
      </c>
      <c r="C7203" s="207" t="s">
        <v>7868</v>
      </c>
      <c r="D7203" s="208" t="s">
        <v>585</v>
      </c>
      <c r="E7203" s="209">
        <v>55.81</v>
      </c>
      <c r="F7203" s="209">
        <v>1.63</v>
      </c>
      <c r="G7203" s="209">
        <v>57.44</v>
      </c>
      <c r="H7203" s="198"/>
    </row>
    <row r="7204" spans="1:8" ht="15.75" customHeight="1" x14ac:dyDescent="0.25">
      <c r="A7204" s="205" t="s">
        <v>7857</v>
      </c>
      <c r="B7204" s="206">
        <v>96974</v>
      </c>
      <c r="C7204" s="207" t="s">
        <v>7869</v>
      </c>
      <c r="D7204" s="208" t="s">
        <v>585</v>
      </c>
      <c r="E7204" s="209">
        <v>71.86</v>
      </c>
      <c r="F7204" s="209">
        <v>26.03</v>
      </c>
      <c r="G7204" s="209">
        <v>97.89</v>
      </c>
      <c r="H7204" s="198"/>
    </row>
    <row r="7205" spans="1:8" ht="15.75" customHeight="1" x14ac:dyDescent="0.25">
      <c r="A7205" s="205" t="s">
        <v>7857</v>
      </c>
      <c r="B7205" s="206">
        <v>96978</v>
      </c>
      <c r="C7205" s="207" t="s">
        <v>7870</v>
      </c>
      <c r="D7205" s="208" t="s">
        <v>585</v>
      </c>
      <c r="E7205" s="209">
        <v>73.680000000000007</v>
      </c>
      <c r="F7205" s="209">
        <v>1.96</v>
      </c>
      <c r="G7205" s="209">
        <v>75.64</v>
      </c>
      <c r="H7205" s="198"/>
    </row>
    <row r="7206" spans="1:8" ht="15.75" customHeight="1" x14ac:dyDescent="0.25">
      <c r="A7206" s="205" t="s">
        <v>7857</v>
      </c>
      <c r="B7206" s="206">
        <v>96975</v>
      </c>
      <c r="C7206" s="207" t="s">
        <v>7871</v>
      </c>
      <c r="D7206" s="208" t="s">
        <v>585</v>
      </c>
      <c r="E7206" s="209">
        <v>90.8</v>
      </c>
      <c r="F7206" s="209">
        <v>29.33</v>
      </c>
      <c r="G7206" s="209">
        <v>120.13</v>
      </c>
      <c r="H7206" s="198"/>
    </row>
    <row r="7207" spans="1:8" ht="15.75" customHeight="1" x14ac:dyDescent="0.25">
      <c r="A7207" s="205" t="s">
        <v>7857</v>
      </c>
      <c r="B7207" s="206">
        <v>96979</v>
      </c>
      <c r="C7207" s="207" t="s">
        <v>7872</v>
      </c>
      <c r="D7207" s="208" t="s">
        <v>585</v>
      </c>
      <c r="E7207" s="209">
        <v>105.76</v>
      </c>
      <c r="F7207" s="209">
        <v>2.27</v>
      </c>
      <c r="G7207" s="209">
        <v>108.03</v>
      </c>
      <c r="H7207" s="198"/>
    </row>
    <row r="7208" spans="1:8" ht="15.75" customHeight="1" x14ac:dyDescent="0.25">
      <c r="A7208" s="205" t="s">
        <v>7857</v>
      </c>
      <c r="B7208" s="206">
        <v>96976</v>
      </c>
      <c r="C7208" s="207" t="s">
        <v>7873</v>
      </c>
      <c r="D7208" s="208" t="s">
        <v>585</v>
      </c>
      <c r="E7208" s="209">
        <v>123.9</v>
      </c>
      <c r="F7208" s="209">
        <v>32.32</v>
      </c>
      <c r="G7208" s="209">
        <v>156.22</v>
      </c>
      <c r="H7208" s="198"/>
    </row>
    <row r="7209" spans="1:8" ht="15.75" hidden="1" customHeight="1" x14ac:dyDescent="0.25">
      <c r="A7209" s="205" t="s">
        <v>7857</v>
      </c>
      <c r="B7209" s="206">
        <v>96984</v>
      </c>
      <c r="C7209" s="207" t="s">
        <v>7874</v>
      </c>
      <c r="D7209" s="208" t="s">
        <v>580</v>
      </c>
      <c r="E7209" s="209">
        <v>41.96</v>
      </c>
      <c r="F7209" s="209">
        <v>36.92</v>
      </c>
      <c r="G7209" s="209">
        <v>78.88</v>
      </c>
      <c r="H7209" s="198"/>
    </row>
    <row r="7210" spans="1:8" ht="15.75" hidden="1" customHeight="1" x14ac:dyDescent="0.25">
      <c r="A7210" s="205" t="s">
        <v>7857</v>
      </c>
      <c r="B7210" s="206">
        <v>96986</v>
      </c>
      <c r="C7210" s="207" t="s">
        <v>7875</v>
      </c>
      <c r="D7210" s="208" t="s">
        <v>580</v>
      </c>
      <c r="E7210" s="209">
        <v>88.57</v>
      </c>
      <c r="F7210" s="209">
        <v>19.22</v>
      </c>
      <c r="G7210" s="209">
        <v>107.79</v>
      </c>
      <c r="H7210" s="198"/>
    </row>
    <row r="7211" spans="1:8" ht="15.75" hidden="1" customHeight="1" x14ac:dyDescent="0.25">
      <c r="A7211" s="205" t="s">
        <v>7857</v>
      </c>
      <c r="B7211" s="206">
        <v>96985</v>
      </c>
      <c r="C7211" s="207" t="s">
        <v>7876</v>
      </c>
      <c r="D7211" s="208" t="s">
        <v>580</v>
      </c>
      <c r="E7211" s="209">
        <v>59.6</v>
      </c>
      <c r="F7211" s="209">
        <v>12.3</v>
      </c>
      <c r="G7211" s="209">
        <v>71.900000000000006</v>
      </c>
      <c r="H7211" s="198"/>
    </row>
    <row r="7212" spans="1:8" ht="15.75" hidden="1" customHeight="1" x14ac:dyDescent="0.25">
      <c r="A7212" s="205" t="s">
        <v>7857</v>
      </c>
      <c r="B7212" s="206">
        <v>96988</v>
      </c>
      <c r="C7212" s="207" t="s">
        <v>7877</v>
      </c>
      <c r="D7212" s="208" t="s">
        <v>580</v>
      </c>
      <c r="E7212" s="209">
        <v>174.23</v>
      </c>
      <c r="F7212" s="209">
        <v>8.24</v>
      </c>
      <c r="G7212" s="209">
        <v>182.47</v>
      </c>
      <c r="H7212" s="198"/>
    </row>
    <row r="7213" spans="1:8" ht="15.75" hidden="1" customHeight="1" x14ac:dyDescent="0.25">
      <c r="A7213" s="205" t="s">
        <v>7857</v>
      </c>
      <c r="B7213" s="206">
        <v>104746</v>
      </c>
      <c r="C7213" s="207" t="s">
        <v>7878</v>
      </c>
      <c r="D7213" s="208" t="s">
        <v>580</v>
      </c>
      <c r="E7213" s="209">
        <v>21.7</v>
      </c>
      <c r="F7213" s="209">
        <v>9.42</v>
      </c>
      <c r="G7213" s="209">
        <v>31.12</v>
      </c>
      <c r="H7213" s="198"/>
    </row>
    <row r="7214" spans="1:8" ht="15.75" hidden="1" customHeight="1" x14ac:dyDescent="0.25">
      <c r="A7214" s="205" t="s">
        <v>7857</v>
      </c>
      <c r="B7214" s="206">
        <v>98463</v>
      </c>
      <c r="C7214" s="207" t="s">
        <v>7879</v>
      </c>
      <c r="D7214" s="208" t="s">
        <v>580</v>
      </c>
      <c r="E7214" s="209">
        <v>16.059999999999999</v>
      </c>
      <c r="F7214" s="209">
        <v>15.38</v>
      </c>
      <c r="G7214" s="209">
        <v>31.44</v>
      </c>
      <c r="H7214" s="198"/>
    </row>
    <row r="7215" spans="1:8" ht="15.75" hidden="1" customHeight="1" x14ac:dyDescent="0.25">
      <c r="A7215" s="205" t="s">
        <v>7880</v>
      </c>
      <c r="B7215" s="206">
        <v>95676</v>
      </c>
      <c r="C7215" s="207" t="s">
        <v>7881</v>
      </c>
      <c r="D7215" s="208" t="s">
        <v>580</v>
      </c>
      <c r="E7215" s="209">
        <v>129.62</v>
      </c>
      <c r="F7215" s="209">
        <v>12.78</v>
      </c>
      <c r="G7215" s="209">
        <v>142.4</v>
      </c>
      <c r="H7215" s="198"/>
    </row>
    <row r="7216" spans="1:8" ht="15.75" hidden="1" customHeight="1" x14ac:dyDescent="0.25">
      <c r="A7216" s="205" t="s">
        <v>7880</v>
      </c>
      <c r="B7216" s="206">
        <v>105135</v>
      </c>
      <c r="C7216" s="207" t="s">
        <v>7882</v>
      </c>
      <c r="D7216" s="208" t="s">
        <v>580</v>
      </c>
      <c r="E7216" s="209">
        <v>827.65</v>
      </c>
      <c r="F7216" s="209">
        <v>36.46</v>
      </c>
      <c r="G7216" s="209">
        <v>864.11</v>
      </c>
      <c r="H7216" s="198"/>
    </row>
    <row r="7217" spans="1:8" ht="15.75" hidden="1" customHeight="1" x14ac:dyDescent="0.25">
      <c r="A7217" s="205" t="s">
        <v>7880</v>
      </c>
      <c r="B7217" s="206">
        <v>104998</v>
      </c>
      <c r="C7217" s="207" t="s">
        <v>7883</v>
      </c>
      <c r="D7217" s="208" t="s">
        <v>580</v>
      </c>
      <c r="E7217" s="209">
        <v>501.46</v>
      </c>
      <c r="F7217" s="209">
        <v>31.49</v>
      </c>
      <c r="G7217" s="209">
        <v>532.95000000000005</v>
      </c>
      <c r="H7217" s="198"/>
    </row>
    <row r="7218" spans="1:8" ht="15.75" hidden="1" customHeight="1" x14ac:dyDescent="0.25">
      <c r="A7218" s="205" t="s">
        <v>7880</v>
      </c>
      <c r="B7218" s="206">
        <v>104997</v>
      </c>
      <c r="C7218" s="207" t="s">
        <v>7884</v>
      </c>
      <c r="D7218" s="208" t="s">
        <v>580</v>
      </c>
      <c r="E7218" s="209">
        <v>370.33</v>
      </c>
      <c r="F7218" s="209">
        <v>31.5</v>
      </c>
      <c r="G7218" s="209">
        <v>401.83</v>
      </c>
      <c r="H7218" s="198"/>
    </row>
    <row r="7219" spans="1:8" ht="15.75" hidden="1" customHeight="1" x14ac:dyDescent="0.25">
      <c r="A7219" s="205" t="s">
        <v>7880</v>
      </c>
      <c r="B7219" s="206">
        <v>95673</v>
      </c>
      <c r="C7219" s="207" t="s">
        <v>7885</v>
      </c>
      <c r="D7219" s="208" t="s">
        <v>580</v>
      </c>
      <c r="E7219" s="209">
        <v>101.5</v>
      </c>
      <c r="F7219" s="209">
        <v>20.97</v>
      </c>
      <c r="G7219" s="209">
        <v>122.47</v>
      </c>
      <c r="H7219" s="198"/>
    </row>
    <row r="7220" spans="1:8" ht="15.75" hidden="1" customHeight="1" x14ac:dyDescent="0.25">
      <c r="A7220" s="205" t="s">
        <v>7880</v>
      </c>
      <c r="B7220" s="206">
        <v>95674</v>
      </c>
      <c r="C7220" s="207" t="s">
        <v>7886</v>
      </c>
      <c r="D7220" s="208" t="s">
        <v>580</v>
      </c>
      <c r="E7220" s="209">
        <v>108.39</v>
      </c>
      <c r="F7220" s="209">
        <v>20.98</v>
      </c>
      <c r="G7220" s="209">
        <v>129.37</v>
      </c>
      <c r="H7220" s="198"/>
    </row>
    <row r="7221" spans="1:8" ht="15.75" hidden="1" customHeight="1" x14ac:dyDescent="0.25">
      <c r="A7221" s="205" t="s">
        <v>7880</v>
      </c>
      <c r="B7221" s="206">
        <v>104992</v>
      </c>
      <c r="C7221" s="207" t="s">
        <v>7887</v>
      </c>
      <c r="D7221" s="208" t="s">
        <v>580</v>
      </c>
      <c r="E7221" s="209">
        <v>1160.74</v>
      </c>
      <c r="F7221" s="209">
        <v>41.47</v>
      </c>
      <c r="G7221" s="209">
        <v>1202.21</v>
      </c>
      <c r="H7221" s="198"/>
    </row>
    <row r="7222" spans="1:8" ht="15.75" hidden="1" customHeight="1" x14ac:dyDescent="0.25">
      <c r="A7222" s="205" t="s">
        <v>7880</v>
      </c>
      <c r="B7222" s="206">
        <v>95675</v>
      </c>
      <c r="C7222" s="207" t="s">
        <v>7888</v>
      </c>
      <c r="D7222" s="208" t="s">
        <v>580</v>
      </c>
      <c r="E7222" s="209">
        <v>133.68</v>
      </c>
      <c r="F7222" s="209">
        <v>25.97</v>
      </c>
      <c r="G7222" s="209">
        <v>159.65</v>
      </c>
      <c r="H7222" s="198"/>
    </row>
    <row r="7223" spans="1:8" ht="15.75" hidden="1" customHeight="1" x14ac:dyDescent="0.25">
      <c r="A7223" s="205" t="s">
        <v>7880</v>
      </c>
      <c r="B7223" s="206">
        <v>95648</v>
      </c>
      <c r="C7223" s="207" t="s">
        <v>7889</v>
      </c>
      <c r="D7223" s="208" t="s">
        <v>580</v>
      </c>
      <c r="E7223" s="209">
        <v>582.97</v>
      </c>
      <c r="F7223" s="209">
        <v>79.87</v>
      </c>
      <c r="G7223" s="209">
        <v>662.84</v>
      </c>
      <c r="H7223" s="198"/>
    </row>
    <row r="7224" spans="1:8" ht="15.75" hidden="1" customHeight="1" x14ac:dyDescent="0.25">
      <c r="A7224" s="205" t="s">
        <v>7880</v>
      </c>
      <c r="B7224" s="206">
        <v>95649</v>
      </c>
      <c r="C7224" s="207" t="s">
        <v>7890</v>
      </c>
      <c r="D7224" s="208" t="s">
        <v>580</v>
      </c>
      <c r="E7224" s="209">
        <v>1003.95</v>
      </c>
      <c r="F7224" s="209">
        <v>139.63</v>
      </c>
      <c r="G7224" s="209">
        <v>1143.58</v>
      </c>
      <c r="H7224" s="198"/>
    </row>
    <row r="7225" spans="1:8" ht="15.75" hidden="1" customHeight="1" x14ac:dyDescent="0.25">
      <c r="A7225" s="205" t="s">
        <v>7880</v>
      </c>
      <c r="B7225" s="206">
        <v>95650</v>
      </c>
      <c r="C7225" s="207" t="s">
        <v>7891</v>
      </c>
      <c r="D7225" s="208" t="s">
        <v>580</v>
      </c>
      <c r="E7225" s="209">
        <v>1464.23</v>
      </c>
      <c r="F7225" s="209">
        <v>206.5</v>
      </c>
      <c r="G7225" s="209">
        <v>1670.73</v>
      </c>
      <c r="H7225" s="198"/>
    </row>
    <row r="7226" spans="1:8" ht="15.75" hidden="1" customHeight="1" x14ac:dyDescent="0.25">
      <c r="A7226" s="205" t="s">
        <v>7880</v>
      </c>
      <c r="B7226" s="206">
        <v>95651</v>
      </c>
      <c r="C7226" s="207" t="s">
        <v>7892</v>
      </c>
      <c r="D7226" s="208" t="s">
        <v>580</v>
      </c>
      <c r="E7226" s="209">
        <v>1901.7</v>
      </c>
      <c r="F7226" s="209">
        <v>268.44</v>
      </c>
      <c r="G7226" s="209">
        <v>2170.14</v>
      </c>
      <c r="H7226" s="198"/>
    </row>
    <row r="7227" spans="1:8" ht="15.75" hidden="1" customHeight="1" x14ac:dyDescent="0.25">
      <c r="A7227" s="205" t="s">
        <v>7880</v>
      </c>
      <c r="B7227" s="206">
        <v>95652</v>
      </c>
      <c r="C7227" s="207" t="s">
        <v>7893</v>
      </c>
      <c r="D7227" s="208" t="s">
        <v>580</v>
      </c>
      <c r="E7227" s="209">
        <v>727.71</v>
      </c>
      <c r="F7227" s="209">
        <v>89.11</v>
      </c>
      <c r="G7227" s="209">
        <v>816.82</v>
      </c>
      <c r="H7227" s="198"/>
    </row>
    <row r="7228" spans="1:8" ht="15.75" hidden="1" customHeight="1" x14ac:dyDescent="0.25">
      <c r="A7228" s="205" t="s">
        <v>7880</v>
      </c>
      <c r="B7228" s="206">
        <v>95653</v>
      </c>
      <c r="C7228" s="207" t="s">
        <v>7894</v>
      </c>
      <c r="D7228" s="208" t="s">
        <v>580</v>
      </c>
      <c r="E7228" s="209">
        <v>1291.48</v>
      </c>
      <c r="F7228" s="209">
        <v>157.99</v>
      </c>
      <c r="G7228" s="209">
        <v>1449.47</v>
      </c>
      <c r="H7228" s="198"/>
    </row>
    <row r="7229" spans="1:8" ht="15.75" hidden="1" customHeight="1" x14ac:dyDescent="0.25">
      <c r="A7229" s="205" t="s">
        <v>7880</v>
      </c>
      <c r="B7229" s="206">
        <v>95654</v>
      </c>
      <c r="C7229" s="207" t="s">
        <v>7895</v>
      </c>
      <c r="D7229" s="208" t="s">
        <v>580</v>
      </c>
      <c r="E7229" s="209">
        <v>1900.22</v>
      </c>
      <c r="F7229" s="209">
        <v>234.61</v>
      </c>
      <c r="G7229" s="209">
        <v>2134.83</v>
      </c>
      <c r="H7229" s="198"/>
    </row>
    <row r="7230" spans="1:8" ht="15.75" hidden="1" customHeight="1" x14ac:dyDescent="0.25">
      <c r="A7230" s="205" t="s">
        <v>7880</v>
      </c>
      <c r="B7230" s="206">
        <v>95655</v>
      </c>
      <c r="C7230" s="207" t="s">
        <v>7896</v>
      </c>
      <c r="D7230" s="208" t="s">
        <v>580</v>
      </c>
      <c r="E7230" s="209">
        <v>2479.25</v>
      </c>
      <c r="F7230" s="209">
        <v>305.48</v>
      </c>
      <c r="G7230" s="209">
        <v>2784.73</v>
      </c>
      <c r="H7230" s="198"/>
    </row>
    <row r="7231" spans="1:8" ht="15.75" hidden="1" customHeight="1" x14ac:dyDescent="0.25">
      <c r="A7231" s="205" t="s">
        <v>7880</v>
      </c>
      <c r="B7231" s="206">
        <v>95657</v>
      </c>
      <c r="C7231" s="207" t="s">
        <v>7897</v>
      </c>
      <c r="D7231" s="208" t="s">
        <v>580</v>
      </c>
      <c r="E7231" s="209">
        <v>270</v>
      </c>
      <c r="F7231" s="209">
        <v>113.57</v>
      </c>
      <c r="G7231" s="209">
        <v>383.57</v>
      </c>
      <c r="H7231" s="198"/>
    </row>
    <row r="7232" spans="1:8" ht="15.75" hidden="1" customHeight="1" x14ac:dyDescent="0.25">
      <c r="A7232" s="205" t="s">
        <v>7880</v>
      </c>
      <c r="B7232" s="206">
        <v>95658</v>
      </c>
      <c r="C7232" s="207" t="s">
        <v>7898</v>
      </c>
      <c r="D7232" s="208" t="s">
        <v>580</v>
      </c>
      <c r="E7232" s="209">
        <v>496.59</v>
      </c>
      <c r="F7232" s="209">
        <v>199.69</v>
      </c>
      <c r="G7232" s="209">
        <v>696.28</v>
      </c>
      <c r="H7232" s="198"/>
    </row>
    <row r="7233" spans="1:8" ht="15.75" hidden="1" customHeight="1" x14ac:dyDescent="0.25">
      <c r="A7233" s="205" t="s">
        <v>7880</v>
      </c>
      <c r="B7233" s="206">
        <v>95659</v>
      </c>
      <c r="C7233" s="207" t="s">
        <v>7899</v>
      </c>
      <c r="D7233" s="208" t="s">
        <v>580</v>
      </c>
      <c r="E7233" s="209">
        <v>740.84</v>
      </c>
      <c r="F7233" s="209">
        <v>295.01</v>
      </c>
      <c r="G7233" s="209">
        <v>1035.8499999999999</v>
      </c>
      <c r="H7233" s="198"/>
    </row>
    <row r="7234" spans="1:8" ht="15.75" hidden="1" customHeight="1" x14ac:dyDescent="0.25">
      <c r="A7234" s="205" t="s">
        <v>7880</v>
      </c>
      <c r="B7234" s="206">
        <v>95660</v>
      </c>
      <c r="C7234" s="207" t="s">
        <v>7900</v>
      </c>
      <c r="D7234" s="208" t="s">
        <v>580</v>
      </c>
      <c r="E7234" s="209">
        <v>972.98</v>
      </c>
      <c r="F7234" s="209">
        <v>384.03</v>
      </c>
      <c r="G7234" s="209">
        <v>1357.01</v>
      </c>
      <c r="H7234" s="198"/>
    </row>
    <row r="7235" spans="1:8" ht="15.75" hidden="1" customHeight="1" x14ac:dyDescent="0.25">
      <c r="A7235" s="205" t="s">
        <v>7880</v>
      </c>
      <c r="B7235" s="206">
        <v>95661</v>
      </c>
      <c r="C7235" s="207" t="s">
        <v>7901</v>
      </c>
      <c r="D7235" s="208" t="s">
        <v>580</v>
      </c>
      <c r="E7235" s="209">
        <v>345.19</v>
      </c>
      <c r="F7235" s="209">
        <v>126.7</v>
      </c>
      <c r="G7235" s="209">
        <v>471.89</v>
      </c>
      <c r="H7235" s="198"/>
    </row>
    <row r="7236" spans="1:8" ht="15.75" hidden="1" customHeight="1" x14ac:dyDescent="0.25">
      <c r="A7236" s="205" t="s">
        <v>7880</v>
      </c>
      <c r="B7236" s="206">
        <v>95662</v>
      </c>
      <c r="C7236" s="207" t="s">
        <v>7902</v>
      </c>
      <c r="D7236" s="208" t="s">
        <v>580</v>
      </c>
      <c r="E7236" s="209">
        <v>645.61</v>
      </c>
      <c r="F7236" s="209">
        <v>225.54</v>
      </c>
      <c r="G7236" s="209">
        <v>871.15</v>
      </c>
      <c r="H7236" s="198"/>
    </row>
    <row r="7237" spans="1:8" ht="15.75" hidden="1" customHeight="1" x14ac:dyDescent="0.25">
      <c r="A7237" s="205" t="s">
        <v>7880</v>
      </c>
      <c r="B7237" s="206">
        <v>95663</v>
      </c>
      <c r="C7237" s="207" t="s">
        <v>7903</v>
      </c>
      <c r="D7237" s="208" t="s">
        <v>580</v>
      </c>
      <c r="E7237" s="209">
        <v>967.85</v>
      </c>
      <c r="F7237" s="209">
        <v>334.77</v>
      </c>
      <c r="G7237" s="209">
        <v>1302.6199999999999</v>
      </c>
      <c r="H7237" s="198"/>
    </row>
    <row r="7238" spans="1:8" ht="15.75" hidden="1" customHeight="1" x14ac:dyDescent="0.25">
      <c r="A7238" s="205" t="s">
        <v>7880</v>
      </c>
      <c r="B7238" s="206">
        <v>95664</v>
      </c>
      <c r="C7238" s="207" t="s">
        <v>7904</v>
      </c>
      <c r="D7238" s="208" t="s">
        <v>580</v>
      </c>
      <c r="E7238" s="209">
        <v>1272.96</v>
      </c>
      <c r="F7238" s="209">
        <v>436.16</v>
      </c>
      <c r="G7238" s="209">
        <v>1709.12</v>
      </c>
      <c r="H7238" s="198"/>
    </row>
    <row r="7239" spans="1:8" ht="15.75" hidden="1" customHeight="1" x14ac:dyDescent="0.25">
      <c r="A7239" s="205" t="s">
        <v>7880</v>
      </c>
      <c r="B7239" s="206">
        <v>95665</v>
      </c>
      <c r="C7239" s="207" t="s">
        <v>7905</v>
      </c>
      <c r="D7239" s="208" t="s">
        <v>580</v>
      </c>
      <c r="E7239" s="209">
        <v>303.99</v>
      </c>
      <c r="F7239" s="209">
        <v>121.64</v>
      </c>
      <c r="G7239" s="209">
        <v>425.63</v>
      </c>
      <c r="H7239" s="198"/>
    </row>
    <row r="7240" spans="1:8" ht="15.75" hidden="1" customHeight="1" x14ac:dyDescent="0.25">
      <c r="A7240" s="205" t="s">
        <v>7880</v>
      </c>
      <c r="B7240" s="206">
        <v>95666</v>
      </c>
      <c r="C7240" s="207" t="s">
        <v>7906</v>
      </c>
      <c r="D7240" s="208" t="s">
        <v>580</v>
      </c>
      <c r="E7240" s="209">
        <v>538.08000000000004</v>
      </c>
      <c r="F7240" s="209">
        <v>212.79</v>
      </c>
      <c r="G7240" s="209">
        <v>750.87</v>
      </c>
      <c r="H7240" s="198"/>
    </row>
    <row r="7241" spans="1:8" ht="15.75" hidden="1" customHeight="1" x14ac:dyDescent="0.25">
      <c r="A7241" s="205" t="s">
        <v>7880</v>
      </c>
      <c r="B7241" s="206">
        <v>95667</v>
      </c>
      <c r="C7241" s="207" t="s">
        <v>7907</v>
      </c>
      <c r="D7241" s="208" t="s">
        <v>580</v>
      </c>
      <c r="E7241" s="209">
        <v>796.82</v>
      </c>
      <c r="F7241" s="209">
        <v>314.64999999999998</v>
      </c>
      <c r="G7241" s="209">
        <v>1111.47</v>
      </c>
      <c r="H7241" s="198"/>
    </row>
    <row r="7242" spans="1:8" ht="15.75" hidden="1" customHeight="1" x14ac:dyDescent="0.25">
      <c r="A7242" s="205" t="s">
        <v>7880</v>
      </c>
      <c r="B7242" s="206">
        <v>95668</v>
      </c>
      <c r="C7242" s="207" t="s">
        <v>7908</v>
      </c>
      <c r="D7242" s="208" t="s">
        <v>580</v>
      </c>
      <c r="E7242" s="209">
        <v>1042.2</v>
      </c>
      <c r="F7242" s="209">
        <v>408.92</v>
      </c>
      <c r="G7242" s="209">
        <v>1451.12</v>
      </c>
      <c r="H7242" s="198"/>
    </row>
    <row r="7243" spans="1:8" ht="15.75" hidden="1" customHeight="1" x14ac:dyDescent="0.25">
      <c r="A7243" s="205" t="s">
        <v>7880</v>
      </c>
      <c r="B7243" s="206">
        <v>95669</v>
      </c>
      <c r="C7243" s="207" t="s">
        <v>7909</v>
      </c>
      <c r="D7243" s="208" t="s">
        <v>580</v>
      </c>
      <c r="E7243" s="209">
        <v>373.27</v>
      </c>
      <c r="F7243" s="209">
        <v>135.82</v>
      </c>
      <c r="G7243" s="209">
        <v>509.09</v>
      </c>
      <c r="H7243" s="198"/>
    </row>
    <row r="7244" spans="1:8" ht="15.75" hidden="1" customHeight="1" x14ac:dyDescent="0.25">
      <c r="A7244" s="205" t="s">
        <v>7880</v>
      </c>
      <c r="B7244" s="206">
        <v>95670</v>
      </c>
      <c r="C7244" s="207" t="s">
        <v>7910</v>
      </c>
      <c r="D7244" s="208" t="s">
        <v>580</v>
      </c>
      <c r="E7244" s="209">
        <v>675.56</v>
      </c>
      <c r="F7244" s="209">
        <v>240.69</v>
      </c>
      <c r="G7244" s="209">
        <v>916.25</v>
      </c>
      <c r="H7244" s="198"/>
    </row>
    <row r="7245" spans="1:8" ht="15.75" hidden="1" customHeight="1" x14ac:dyDescent="0.25">
      <c r="A7245" s="205" t="s">
        <v>7880</v>
      </c>
      <c r="B7245" s="206">
        <v>95671</v>
      </c>
      <c r="C7245" s="207" t="s">
        <v>7911</v>
      </c>
      <c r="D7245" s="208" t="s">
        <v>580</v>
      </c>
      <c r="E7245" s="209">
        <v>1005.89</v>
      </c>
      <c r="F7245" s="209">
        <v>357.47</v>
      </c>
      <c r="G7245" s="209">
        <v>1363.36</v>
      </c>
      <c r="H7245" s="198"/>
    </row>
    <row r="7246" spans="1:8" ht="15.75" hidden="1" customHeight="1" x14ac:dyDescent="0.25">
      <c r="A7246" s="205" t="s">
        <v>7880</v>
      </c>
      <c r="B7246" s="206">
        <v>95672</v>
      </c>
      <c r="C7246" s="207" t="s">
        <v>7912</v>
      </c>
      <c r="D7246" s="208" t="s">
        <v>580</v>
      </c>
      <c r="E7246" s="209">
        <v>1318.66</v>
      </c>
      <c r="F7246" s="209">
        <v>465.24</v>
      </c>
      <c r="G7246" s="209">
        <v>1783.9</v>
      </c>
      <c r="H7246" s="198"/>
    </row>
    <row r="7247" spans="1:8" ht="15.75" hidden="1" customHeight="1" x14ac:dyDescent="0.25">
      <c r="A7247" s="205" t="s">
        <v>7880</v>
      </c>
      <c r="B7247" s="206">
        <v>97741</v>
      </c>
      <c r="C7247" s="207" t="s">
        <v>7913</v>
      </c>
      <c r="D7247" s="208" t="s">
        <v>580</v>
      </c>
      <c r="E7247" s="209">
        <v>110.58</v>
      </c>
      <c r="F7247" s="209">
        <v>74.209999999999994</v>
      </c>
      <c r="G7247" s="209">
        <v>184.79</v>
      </c>
      <c r="H7247" s="198"/>
    </row>
    <row r="7248" spans="1:8" ht="15.75" hidden="1" customHeight="1" x14ac:dyDescent="0.25">
      <c r="A7248" s="205" t="s">
        <v>7880</v>
      </c>
      <c r="B7248" s="206">
        <v>95641</v>
      </c>
      <c r="C7248" s="207" t="s">
        <v>7914</v>
      </c>
      <c r="D7248" s="208" t="s">
        <v>580</v>
      </c>
      <c r="E7248" s="209">
        <v>199.83</v>
      </c>
      <c r="F7248" s="209">
        <v>129.81</v>
      </c>
      <c r="G7248" s="209">
        <v>329.64</v>
      </c>
      <c r="H7248" s="198"/>
    </row>
    <row r="7249" spans="1:8" ht="15.75" hidden="1" customHeight="1" x14ac:dyDescent="0.25">
      <c r="A7249" s="205" t="s">
        <v>7880</v>
      </c>
      <c r="B7249" s="206">
        <v>95642</v>
      </c>
      <c r="C7249" s="207" t="s">
        <v>7915</v>
      </c>
      <c r="D7249" s="208" t="s">
        <v>580</v>
      </c>
      <c r="E7249" s="209">
        <v>295.83999999999997</v>
      </c>
      <c r="F7249" s="209">
        <v>191.94</v>
      </c>
      <c r="G7249" s="209">
        <v>487.78</v>
      </c>
      <c r="H7249" s="198"/>
    </row>
    <row r="7250" spans="1:8" ht="15.75" hidden="1" customHeight="1" x14ac:dyDescent="0.25">
      <c r="A7250" s="205" t="s">
        <v>7880</v>
      </c>
      <c r="B7250" s="206">
        <v>95643</v>
      </c>
      <c r="C7250" s="207" t="s">
        <v>7916</v>
      </c>
      <c r="D7250" s="208" t="s">
        <v>580</v>
      </c>
      <c r="E7250" s="209">
        <v>388.15</v>
      </c>
      <c r="F7250" s="209">
        <v>249.51</v>
      </c>
      <c r="G7250" s="209">
        <v>637.66</v>
      </c>
      <c r="H7250" s="198"/>
    </row>
    <row r="7251" spans="1:8" ht="15.75" hidden="1" customHeight="1" x14ac:dyDescent="0.25">
      <c r="A7251" s="205" t="s">
        <v>7880</v>
      </c>
      <c r="B7251" s="206">
        <v>95644</v>
      </c>
      <c r="C7251" s="207" t="s">
        <v>7917</v>
      </c>
      <c r="D7251" s="208" t="s">
        <v>580</v>
      </c>
      <c r="E7251" s="209">
        <v>152.59</v>
      </c>
      <c r="F7251" s="209">
        <v>82.85</v>
      </c>
      <c r="G7251" s="209">
        <v>235.44</v>
      </c>
      <c r="H7251" s="198"/>
    </row>
    <row r="7252" spans="1:8" ht="15.75" hidden="1" customHeight="1" x14ac:dyDescent="0.25">
      <c r="A7252" s="205" t="s">
        <v>7880</v>
      </c>
      <c r="B7252" s="206">
        <v>95645</v>
      </c>
      <c r="C7252" s="207" t="s">
        <v>7918</v>
      </c>
      <c r="D7252" s="208" t="s">
        <v>580</v>
      </c>
      <c r="E7252" s="209">
        <v>283.14999999999998</v>
      </c>
      <c r="F7252" s="209">
        <v>146.83000000000001</v>
      </c>
      <c r="G7252" s="209">
        <v>429.98</v>
      </c>
      <c r="H7252" s="198"/>
    </row>
    <row r="7253" spans="1:8" ht="15.75" hidden="1" customHeight="1" x14ac:dyDescent="0.25">
      <c r="A7253" s="205" t="s">
        <v>7880</v>
      </c>
      <c r="B7253" s="206">
        <v>95646</v>
      </c>
      <c r="C7253" s="207" t="s">
        <v>7919</v>
      </c>
      <c r="D7253" s="208" t="s">
        <v>580</v>
      </c>
      <c r="E7253" s="209">
        <v>422.6</v>
      </c>
      <c r="F7253" s="209">
        <v>218.09</v>
      </c>
      <c r="G7253" s="209">
        <v>640.69000000000005</v>
      </c>
      <c r="H7253" s="198"/>
    </row>
    <row r="7254" spans="1:8" ht="15.75" hidden="1" customHeight="1" x14ac:dyDescent="0.25">
      <c r="A7254" s="205" t="s">
        <v>7880</v>
      </c>
      <c r="B7254" s="206">
        <v>95647</v>
      </c>
      <c r="C7254" s="207" t="s">
        <v>7920</v>
      </c>
      <c r="D7254" s="208" t="s">
        <v>580</v>
      </c>
      <c r="E7254" s="209">
        <v>555.76</v>
      </c>
      <c r="F7254" s="209">
        <v>283.88</v>
      </c>
      <c r="G7254" s="209">
        <v>839.64</v>
      </c>
      <c r="H7254" s="198"/>
    </row>
    <row r="7255" spans="1:8" ht="15.75" hidden="1" customHeight="1" x14ac:dyDescent="0.25">
      <c r="A7255" s="205" t="s">
        <v>7880</v>
      </c>
      <c r="B7255" s="206">
        <v>95636</v>
      </c>
      <c r="C7255" s="207" t="s">
        <v>7921</v>
      </c>
      <c r="D7255" s="208" t="s">
        <v>580</v>
      </c>
      <c r="E7255" s="209">
        <v>286.64999999999998</v>
      </c>
      <c r="F7255" s="209">
        <v>172.65</v>
      </c>
      <c r="G7255" s="209">
        <v>459.3</v>
      </c>
      <c r="H7255" s="198"/>
    </row>
    <row r="7256" spans="1:8" ht="15.75" hidden="1" customHeight="1" x14ac:dyDescent="0.25">
      <c r="A7256" s="205" t="s">
        <v>7880</v>
      </c>
      <c r="B7256" s="206">
        <v>95637</v>
      </c>
      <c r="C7256" s="207" t="s">
        <v>7922</v>
      </c>
      <c r="D7256" s="208" t="s">
        <v>580</v>
      </c>
      <c r="E7256" s="209">
        <v>398.39</v>
      </c>
      <c r="F7256" s="209">
        <v>205.86</v>
      </c>
      <c r="G7256" s="209">
        <v>604.25</v>
      </c>
      <c r="H7256" s="198"/>
    </row>
    <row r="7257" spans="1:8" ht="15.75" hidden="1" customHeight="1" x14ac:dyDescent="0.25">
      <c r="A7257" s="205" t="s">
        <v>7880</v>
      </c>
      <c r="B7257" s="206">
        <v>95638</v>
      </c>
      <c r="C7257" s="207" t="s">
        <v>7923</v>
      </c>
      <c r="D7257" s="208" t="s">
        <v>580</v>
      </c>
      <c r="E7257" s="209">
        <v>500.52</v>
      </c>
      <c r="F7257" s="209">
        <v>243.74</v>
      </c>
      <c r="G7257" s="209">
        <v>744.26</v>
      </c>
      <c r="H7257" s="198"/>
    </row>
    <row r="7258" spans="1:8" ht="15.75" hidden="1" customHeight="1" x14ac:dyDescent="0.25">
      <c r="A7258" s="205" t="s">
        <v>7880</v>
      </c>
      <c r="B7258" s="206">
        <v>95639</v>
      </c>
      <c r="C7258" s="207" t="s">
        <v>7924</v>
      </c>
      <c r="D7258" s="208" t="s">
        <v>580</v>
      </c>
      <c r="E7258" s="209">
        <v>721.21</v>
      </c>
      <c r="F7258" s="209">
        <v>291.14999999999998</v>
      </c>
      <c r="G7258" s="209">
        <v>1012.36</v>
      </c>
      <c r="H7258" s="198"/>
    </row>
    <row r="7259" spans="1:8" ht="15.75" hidden="1" customHeight="1" x14ac:dyDescent="0.25">
      <c r="A7259" s="205" t="s">
        <v>7880</v>
      </c>
      <c r="B7259" s="206">
        <v>95634</v>
      </c>
      <c r="C7259" s="207" t="s">
        <v>7925</v>
      </c>
      <c r="D7259" s="208" t="s">
        <v>580</v>
      </c>
      <c r="E7259" s="209">
        <v>140.91</v>
      </c>
      <c r="F7259" s="209">
        <v>62.53</v>
      </c>
      <c r="G7259" s="209">
        <v>203.44</v>
      </c>
      <c r="H7259" s="198"/>
    </row>
    <row r="7260" spans="1:8" ht="15.75" hidden="1" customHeight="1" x14ac:dyDescent="0.25">
      <c r="A7260" s="205" t="s">
        <v>7880</v>
      </c>
      <c r="B7260" s="206">
        <v>95635</v>
      </c>
      <c r="C7260" s="207" t="s">
        <v>7926</v>
      </c>
      <c r="D7260" s="208" t="s">
        <v>580</v>
      </c>
      <c r="E7260" s="209">
        <v>144.9</v>
      </c>
      <c r="F7260" s="209">
        <v>72.459999999999994</v>
      </c>
      <c r="G7260" s="209">
        <v>217.36</v>
      </c>
      <c r="H7260" s="198"/>
    </row>
    <row r="7261" spans="1:8" ht="15.75" hidden="1" customHeight="1" x14ac:dyDescent="0.25">
      <c r="A7261" s="205" t="s">
        <v>7927</v>
      </c>
      <c r="B7261" s="206">
        <v>98751</v>
      </c>
      <c r="C7261" s="207" t="s">
        <v>7928</v>
      </c>
      <c r="D7261" s="208" t="s">
        <v>585</v>
      </c>
      <c r="E7261" s="209">
        <v>112.65</v>
      </c>
      <c r="F7261" s="209">
        <v>49.69</v>
      </c>
      <c r="G7261" s="209">
        <v>162.34</v>
      </c>
      <c r="H7261" s="198"/>
    </row>
    <row r="7262" spans="1:8" ht="15.75" hidden="1" customHeight="1" x14ac:dyDescent="0.25">
      <c r="A7262" s="205" t="s">
        <v>7927</v>
      </c>
      <c r="B7262" s="206">
        <v>98746</v>
      </c>
      <c r="C7262" s="207" t="s">
        <v>7929</v>
      </c>
      <c r="D7262" s="208" t="s">
        <v>585</v>
      </c>
      <c r="E7262" s="209">
        <v>40.46</v>
      </c>
      <c r="F7262" s="209">
        <v>43.3</v>
      </c>
      <c r="G7262" s="209">
        <v>83.76</v>
      </c>
      <c r="H7262" s="198"/>
    </row>
    <row r="7263" spans="1:8" ht="15.75" hidden="1" customHeight="1" x14ac:dyDescent="0.25">
      <c r="A7263" s="205" t="s">
        <v>7927</v>
      </c>
      <c r="B7263" s="206">
        <v>98753</v>
      </c>
      <c r="C7263" s="207" t="s">
        <v>7930</v>
      </c>
      <c r="D7263" s="208" t="s">
        <v>585</v>
      </c>
      <c r="E7263" s="209">
        <v>230.46</v>
      </c>
      <c r="F7263" s="209">
        <v>55.79</v>
      </c>
      <c r="G7263" s="209">
        <v>286.25</v>
      </c>
      <c r="H7263" s="198"/>
    </row>
    <row r="7264" spans="1:8" ht="15.75" hidden="1" customHeight="1" x14ac:dyDescent="0.25">
      <c r="A7264" s="205" t="s">
        <v>7927</v>
      </c>
      <c r="B7264" s="206">
        <v>98750</v>
      </c>
      <c r="C7264" s="207" t="s">
        <v>7931</v>
      </c>
      <c r="D7264" s="208" t="s">
        <v>585</v>
      </c>
      <c r="E7264" s="209">
        <v>69.87</v>
      </c>
      <c r="F7264" s="209">
        <v>46.34</v>
      </c>
      <c r="G7264" s="209">
        <v>116.21</v>
      </c>
      <c r="H7264" s="198"/>
    </row>
    <row r="7265" spans="1:8" ht="15.75" hidden="1" customHeight="1" x14ac:dyDescent="0.25">
      <c r="A7265" s="205" t="s">
        <v>7927</v>
      </c>
      <c r="B7265" s="206">
        <v>98749</v>
      </c>
      <c r="C7265" s="207" t="s">
        <v>7932</v>
      </c>
      <c r="D7265" s="208" t="s">
        <v>585</v>
      </c>
      <c r="E7265" s="209">
        <v>53.55</v>
      </c>
      <c r="F7265" s="209">
        <v>44.96</v>
      </c>
      <c r="G7265" s="209">
        <v>98.51</v>
      </c>
      <c r="H7265" s="198"/>
    </row>
    <row r="7266" spans="1:8" ht="15.75" hidden="1" customHeight="1" x14ac:dyDescent="0.25">
      <c r="A7266" s="205" t="s">
        <v>7927</v>
      </c>
      <c r="B7266" s="206">
        <v>98752</v>
      </c>
      <c r="C7266" s="207" t="s">
        <v>7933</v>
      </c>
      <c r="D7266" s="208" t="s">
        <v>585</v>
      </c>
      <c r="E7266" s="209">
        <v>164.92</v>
      </c>
      <c r="F7266" s="209">
        <v>52.73</v>
      </c>
      <c r="G7266" s="209">
        <v>217.65</v>
      </c>
      <c r="H7266" s="198"/>
    </row>
    <row r="7267" spans="1:8" ht="15.75" hidden="1" customHeight="1" x14ac:dyDescent="0.25">
      <c r="A7267" s="205" t="s">
        <v>7934</v>
      </c>
      <c r="B7267" s="206">
        <v>98529</v>
      </c>
      <c r="C7267" s="207" t="s">
        <v>7935</v>
      </c>
      <c r="D7267" s="208" t="s">
        <v>580</v>
      </c>
      <c r="E7267" s="209">
        <v>30.64</v>
      </c>
      <c r="F7267" s="209">
        <v>66.06</v>
      </c>
      <c r="G7267" s="209">
        <v>96.7</v>
      </c>
      <c r="H7267" s="198"/>
    </row>
    <row r="7268" spans="1:8" ht="15.75" hidden="1" customHeight="1" x14ac:dyDescent="0.25">
      <c r="A7268" s="205" t="s">
        <v>7934</v>
      </c>
      <c r="B7268" s="206">
        <v>98530</v>
      </c>
      <c r="C7268" s="207" t="s">
        <v>7936</v>
      </c>
      <c r="D7268" s="208" t="s">
        <v>580</v>
      </c>
      <c r="E7268" s="209">
        <v>60.12</v>
      </c>
      <c r="F7268" s="209">
        <v>129.69</v>
      </c>
      <c r="G7268" s="209">
        <v>189.81</v>
      </c>
      <c r="H7268" s="198"/>
    </row>
    <row r="7269" spans="1:8" ht="15.75" hidden="1" customHeight="1" x14ac:dyDescent="0.25">
      <c r="A7269" s="205" t="s">
        <v>7934</v>
      </c>
      <c r="B7269" s="206">
        <v>98531</v>
      </c>
      <c r="C7269" s="207" t="s">
        <v>7937</v>
      </c>
      <c r="D7269" s="208" t="s">
        <v>580</v>
      </c>
      <c r="E7269" s="209">
        <v>229.68</v>
      </c>
      <c r="F7269" s="209">
        <v>236.01</v>
      </c>
      <c r="G7269" s="209">
        <v>465.69</v>
      </c>
      <c r="H7269" s="198"/>
    </row>
    <row r="7270" spans="1:8" ht="15.75" hidden="1" customHeight="1" x14ac:dyDescent="0.25">
      <c r="A7270" s="205" t="s">
        <v>7934</v>
      </c>
      <c r="B7270" s="206">
        <v>98524</v>
      </c>
      <c r="C7270" s="207" t="s">
        <v>7938</v>
      </c>
      <c r="D7270" s="208" t="s">
        <v>578</v>
      </c>
      <c r="E7270" s="209">
        <v>1.97</v>
      </c>
      <c r="F7270" s="209">
        <v>4.1500000000000004</v>
      </c>
      <c r="G7270" s="209">
        <v>6.12</v>
      </c>
      <c r="H7270" s="198"/>
    </row>
    <row r="7271" spans="1:8" ht="15.75" hidden="1" customHeight="1" x14ac:dyDescent="0.25">
      <c r="A7271" s="205" t="s">
        <v>7934</v>
      </c>
      <c r="B7271" s="206">
        <v>98525</v>
      </c>
      <c r="C7271" s="207" t="s">
        <v>7939</v>
      </c>
      <c r="D7271" s="208" t="s">
        <v>578</v>
      </c>
      <c r="E7271" s="209">
        <v>0.52</v>
      </c>
      <c r="F7271" s="209">
        <v>0.2</v>
      </c>
      <c r="G7271" s="209">
        <v>0.72</v>
      </c>
      <c r="H7271" s="198"/>
    </row>
    <row r="7272" spans="1:8" ht="15.75" hidden="1" customHeight="1" x14ac:dyDescent="0.25">
      <c r="A7272" s="205" t="s">
        <v>7934</v>
      </c>
      <c r="B7272" s="206">
        <v>98533</v>
      </c>
      <c r="C7272" s="207" t="s">
        <v>7940</v>
      </c>
      <c r="D7272" s="208" t="s">
        <v>580</v>
      </c>
      <c r="E7272" s="209">
        <v>76.349999999999994</v>
      </c>
      <c r="F7272" s="209">
        <v>61.93</v>
      </c>
      <c r="G7272" s="209">
        <v>138.28</v>
      </c>
      <c r="H7272" s="198"/>
    </row>
    <row r="7273" spans="1:8" ht="15.75" hidden="1" customHeight="1" x14ac:dyDescent="0.25">
      <c r="A7273" s="205" t="s">
        <v>7934</v>
      </c>
      <c r="B7273" s="206">
        <v>98534</v>
      </c>
      <c r="C7273" s="207" t="s">
        <v>7941</v>
      </c>
      <c r="D7273" s="208" t="s">
        <v>580</v>
      </c>
      <c r="E7273" s="209">
        <v>212.97</v>
      </c>
      <c r="F7273" s="209">
        <v>168.75</v>
      </c>
      <c r="G7273" s="209">
        <v>381.72</v>
      </c>
      <c r="H7273" s="198"/>
    </row>
    <row r="7274" spans="1:8" ht="15.75" hidden="1" customHeight="1" x14ac:dyDescent="0.25">
      <c r="A7274" s="205" t="s">
        <v>7934</v>
      </c>
      <c r="B7274" s="206">
        <v>98535</v>
      </c>
      <c r="C7274" s="207" t="s">
        <v>7942</v>
      </c>
      <c r="D7274" s="208" t="s">
        <v>580</v>
      </c>
      <c r="E7274" s="209">
        <v>428.45</v>
      </c>
      <c r="F7274" s="209">
        <v>379.18</v>
      </c>
      <c r="G7274" s="209">
        <v>807.63</v>
      </c>
      <c r="H7274" s="198"/>
    </row>
    <row r="7275" spans="1:8" ht="15.75" hidden="1" customHeight="1" x14ac:dyDescent="0.25">
      <c r="A7275" s="205" t="s">
        <v>7934</v>
      </c>
      <c r="B7275" s="206">
        <v>98532</v>
      </c>
      <c r="C7275" s="207" t="s">
        <v>7943</v>
      </c>
      <c r="D7275" s="208" t="s">
        <v>580</v>
      </c>
      <c r="E7275" s="209">
        <v>22.07</v>
      </c>
      <c r="F7275" s="209">
        <v>13.78</v>
      </c>
      <c r="G7275" s="209">
        <v>35.85</v>
      </c>
      <c r="H7275" s="198"/>
    </row>
    <row r="7276" spans="1:8" ht="15.75" hidden="1" customHeight="1" x14ac:dyDescent="0.25">
      <c r="A7276" s="205" t="s">
        <v>7934</v>
      </c>
      <c r="B7276" s="206">
        <v>98526</v>
      </c>
      <c r="C7276" s="207" t="s">
        <v>7944</v>
      </c>
      <c r="D7276" s="208" t="s">
        <v>580</v>
      </c>
      <c r="E7276" s="209">
        <v>82.62</v>
      </c>
      <c r="F7276" s="209">
        <v>72.44</v>
      </c>
      <c r="G7276" s="209">
        <v>155.06</v>
      </c>
      <c r="H7276" s="198"/>
    </row>
    <row r="7277" spans="1:8" ht="15.75" hidden="1" customHeight="1" x14ac:dyDescent="0.25">
      <c r="A7277" s="205" t="s">
        <v>7934</v>
      </c>
      <c r="B7277" s="206">
        <v>98527</v>
      </c>
      <c r="C7277" s="207" t="s">
        <v>7945</v>
      </c>
      <c r="D7277" s="208" t="s">
        <v>580</v>
      </c>
      <c r="E7277" s="209">
        <v>137.08000000000001</v>
      </c>
      <c r="F7277" s="209">
        <v>120.25</v>
      </c>
      <c r="G7277" s="209">
        <v>257.33</v>
      </c>
      <c r="H7277" s="198"/>
    </row>
    <row r="7278" spans="1:8" ht="15.75" hidden="1" customHeight="1" x14ac:dyDescent="0.25">
      <c r="A7278" s="205" t="s">
        <v>7934</v>
      </c>
      <c r="B7278" s="206">
        <v>98528</v>
      </c>
      <c r="C7278" s="207" t="s">
        <v>7946</v>
      </c>
      <c r="D7278" s="208" t="s">
        <v>580</v>
      </c>
      <c r="E7278" s="209">
        <v>180.68</v>
      </c>
      <c r="F7278" s="209">
        <v>158.47999999999999</v>
      </c>
      <c r="G7278" s="209">
        <v>339.16</v>
      </c>
      <c r="H7278" s="198"/>
    </row>
    <row r="7279" spans="1:8" ht="15.75" hidden="1" customHeight="1" x14ac:dyDescent="0.25">
      <c r="A7279" s="205" t="s">
        <v>7947</v>
      </c>
      <c r="B7279" s="206">
        <v>94232</v>
      </c>
      <c r="C7279" s="207" t="s">
        <v>7948</v>
      </c>
      <c r="D7279" s="208" t="s">
        <v>580</v>
      </c>
      <c r="E7279" s="209">
        <v>1.0900000000000001</v>
      </c>
      <c r="F7279" s="209">
        <v>2.77</v>
      </c>
      <c r="G7279" s="209">
        <v>3.86</v>
      </c>
      <c r="H7279" s="198"/>
    </row>
    <row r="7280" spans="1:8" ht="15.75" hidden="1" customHeight="1" x14ac:dyDescent="0.25">
      <c r="A7280" s="205" t="s">
        <v>7947</v>
      </c>
      <c r="B7280" s="206">
        <v>100434</v>
      </c>
      <c r="C7280" s="207" t="s">
        <v>7949</v>
      </c>
      <c r="D7280" s="208" t="s">
        <v>585</v>
      </c>
      <c r="E7280" s="209">
        <v>149.41999999999999</v>
      </c>
      <c r="F7280" s="209">
        <v>9.9</v>
      </c>
      <c r="G7280" s="209">
        <v>159.32</v>
      </c>
      <c r="H7280" s="198"/>
    </row>
    <row r="7281" spans="1:8" ht="15.75" hidden="1" customHeight="1" x14ac:dyDescent="0.25">
      <c r="A7281" s="205" t="s">
        <v>7947</v>
      </c>
      <c r="B7281" s="206">
        <v>94229</v>
      </c>
      <c r="C7281" s="207" t="s">
        <v>7950</v>
      </c>
      <c r="D7281" s="208" t="s">
        <v>585</v>
      </c>
      <c r="E7281" s="209">
        <v>139.16999999999999</v>
      </c>
      <c r="F7281" s="209">
        <v>27.74</v>
      </c>
      <c r="G7281" s="209">
        <v>166.91</v>
      </c>
      <c r="H7281" s="198"/>
    </row>
    <row r="7282" spans="1:8" ht="15.75" hidden="1" customHeight="1" x14ac:dyDescent="0.25">
      <c r="A7282" s="205" t="s">
        <v>7947</v>
      </c>
      <c r="B7282" s="206">
        <v>94227</v>
      </c>
      <c r="C7282" s="207" t="s">
        <v>7951</v>
      </c>
      <c r="D7282" s="208" t="s">
        <v>585</v>
      </c>
      <c r="E7282" s="209">
        <v>52.21</v>
      </c>
      <c r="F7282" s="209">
        <v>11.39</v>
      </c>
      <c r="G7282" s="209">
        <v>63.6</v>
      </c>
      <c r="H7282" s="198"/>
    </row>
    <row r="7283" spans="1:8" ht="15.75" hidden="1" customHeight="1" x14ac:dyDescent="0.25">
      <c r="A7283" s="205" t="s">
        <v>7947</v>
      </c>
      <c r="B7283" s="206">
        <v>94228</v>
      </c>
      <c r="C7283" s="207" t="s">
        <v>7952</v>
      </c>
      <c r="D7283" s="208" t="s">
        <v>585</v>
      </c>
      <c r="E7283" s="209">
        <v>71.27</v>
      </c>
      <c r="F7283" s="209">
        <v>15.54</v>
      </c>
      <c r="G7283" s="209">
        <v>86.81</v>
      </c>
      <c r="H7283" s="198"/>
    </row>
    <row r="7284" spans="1:8" ht="15.75" hidden="1" customHeight="1" x14ac:dyDescent="0.25">
      <c r="A7284" s="205" t="s">
        <v>7947</v>
      </c>
      <c r="B7284" s="206">
        <v>94219</v>
      </c>
      <c r="C7284" s="207" t="s">
        <v>7953</v>
      </c>
      <c r="D7284" s="208" t="s">
        <v>585</v>
      </c>
      <c r="E7284" s="209">
        <v>23.23</v>
      </c>
      <c r="F7284" s="209">
        <v>16.86</v>
      </c>
      <c r="G7284" s="209">
        <v>40.090000000000003</v>
      </c>
      <c r="H7284" s="198"/>
    </row>
    <row r="7285" spans="1:8" ht="15.75" hidden="1" customHeight="1" x14ac:dyDescent="0.25">
      <c r="A7285" s="205" t="s">
        <v>7947</v>
      </c>
      <c r="B7285" s="206">
        <v>94220</v>
      </c>
      <c r="C7285" s="207" t="s">
        <v>7954</v>
      </c>
      <c r="D7285" s="208" t="s">
        <v>585</v>
      </c>
      <c r="E7285" s="209">
        <v>40.32</v>
      </c>
      <c r="F7285" s="209">
        <v>16.87</v>
      </c>
      <c r="G7285" s="209">
        <v>57.19</v>
      </c>
      <c r="H7285" s="198"/>
    </row>
    <row r="7286" spans="1:8" ht="15.75" hidden="1" customHeight="1" x14ac:dyDescent="0.25">
      <c r="A7286" s="205" t="s">
        <v>7947</v>
      </c>
      <c r="B7286" s="206">
        <v>94221</v>
      </c>
      <c r="C7286" s="207" t="s">
        <v>7955</v>
      </c>
      <c r="D7286" s="208" t="s">
        <v>585</v>
      </c>
      <c r="E7286" s="209">
        <v>20.66</v>
      </c>
      <c r="F7286" s="209">
        <v>10.3</v>
      </c>
      <c r="G7286" s="209">
        <v>30.96</v>
      </c>
      <c r="H7286" s="198"/>
    </row>
    <row r="7287" spans="1:8" ht="15.75" hidden="1" customHeight="1" x14ac:dyDescent="0.25">
      <c r="A7287" s="205" t="s">
        <v>7947</v>
      </c>
      <c r="B7287" s="206">
        <v>94222</v>
      </c>
      <c r="C7287" s="207" t="s">
        <v>7956</v>
      </c>
      <c r="D7287" s="208" t="s">
        <v>585</v>
      </c>
      <c r="E7287" s="209">
        <v>37.770000000000003</v>
      </c>
      <c r="F7287" s="209">
        <v>10.29</v>
      </c>
      <c r="G7287" s="209">
        <v>48.06</v>
      </c>
      <c r="H7287" s="198"/>
    </row>
    <row r="7288" spans="1:8" ht="15.75" hidden="1" customHeight="1" x14ac:dyDescent="0.25">
      <c r="A7288" s="205" t="s">
        <v>7947</v>
      </c>
      <c r="B7288" s="206">
        <v>94451</v>
      </c>
      <c r="C7288" s="207" t="s">
        <v>7957</v>
      </c>
      <c r="D7288" s="208" t="s">
        <v>585</v>
      </c>
      <c r="E7288" s="209">
        <v>81.83</v>
      </c>
      <c r="F7288" s="209">
        <v>3.19</v>
      </c>
      <c r="G7288" s="209">
        <v>85.02</v>
      </c>
      <c r="H7288" s="198"/>
    </row>
    <row r="7289" spans="1:8" ht="15.75" hidden="1" customHeight="1" x14ac:dyDescent="0.25">
      <c r="A7289" s="205" t="s">
        <v>7947</v>
      </c>
      <c r="B7289" s="206">
        <v>94223</v>
      </c>
      <c r="C7289" s="207" t="s">
        <v>7958</v>
      </c>
      <c r="D7289" s="208" t="s">
        <v>585</v>
      </c>
      <c r="E7289" s="209">
        <v>72.72</v>
      </c>
      <c r="F7289" s="209">
        <v>3.14</v>
      </c>
      <c r="G7289" s="209">
        <v>75.86</v>
      </c>
      <c r="H7289" s="198"/>
    </row>
    <row r="7290" spans="1:8" ht="15.75" hidden="1" customHeight="1" x14ac:dyDescent="0.25">
      <c r="A7290" s="205" t="s">
        <v>7947</v>
      </c>
      <c r="B7290" s="206">
        <v>100325</v>
      </c>
      <c r="C7290" s="207" t="s">
        <v>7959</v>
      </c>
      <c r="D7290" s="208" t="s">
        <v>585</v>
      </c>
      <c r="E7290" s="209">
        <v>79.88</v>
      </c>
      <c r="F7290" s="209">
        <v>2.2599999999999998</v>
      </c>
      <c r="G7290" s="209">
        <v>82.14</v>
      </c>
      <c r="H7290" s="198"/>
    </row>
    <row r="7291" spans="1:8" ht="15.75" hidden="1" customHeight="1" x14ac:dyDescent="0.25">
      <c r="A7291" s="205" t="s">
        <v>7947</v>
      </c>
      <c r="B7291" s="206">
        <v>94224</v>
      </c>
      <c r="C7291" s="207" t="s">
        <v>7960</v>
      </c>
      <c r="D7291" s="208" t="s">
        <v>585</v>
      </c>
      <c r="E7291" s="209">
        <v>12.02</v>
      </c>
      <c r="F7291" s="209">
        <v>21.29</v>
      </c>
      <c r="G7291" s="209">
        <v>33.31</v>
      </c>
      <c r="H7291" s="198"/>
    </row>
    <row r="7292" spans="1:8" ht="15.75" hidden="1" customHeight="1" x14ac:dyDescent="0.25">
      <c r="A7292" s="205" t="s">
        <v>7947</v>
      </c>
      <c r="B7292" s="206">
        <v>100330</v>
      </c>
      <c r="C7292" s="207" t="s">
        <v>7961</v>
      </c>
      <c r="D7292" s="208" t="s">
        <v>578</v>
      </c>
      <c r="E7292" s="209">
        <v>12.96</v>
      </c>
      <c r="F7292" s="209">
        <v>10.96</v>
      </c>
      <c r="G7292" s="209">
        <v>23.92</v>
      </c>
      <c r="H7292" s="198"/>
    </row>
    <row r="7293" spans="1:8" ht="15.75" hidden="1" customHeight="1" x14ac:dyDescent="0.25">
      <c r="A7293" s="205" t="s">
        <v>7947</v>
      </c>
      <c r="B7293" s="206">
        <v>100331</v>
      </c>
      <c r="C7293" s="207" t="s">
        <v>7962</v>
      </c>
      <c r="D7293" s="208" t="s">
        <v>578</v>
      </c>
      <c r="E7293" s="209">
        <v>15.19</v>
      </c>
      <c r="F7293" s="209">
        <v>16.64</v>
      </c>
      <c r="G7293" s="209">
        <v>31.83</v>
      </c>
      <c r="H7293" s="198"/>
    </row>
    <row r="7294" spans="1:8" ht="15.75" hidden="1" customHeight="1" x14ac:dyDescent="0.25">
      <c r="A7294" s="205" t="s">
        <v>7947</v>
      </c>
      <c r="B7294" s="206">
        <v>100328</v>
      </c>
      <c r="C7294" s="207" t="s">
        <v>7963</v>
      </c>
      <c r="D7294" s="208" t="s">
        <v>578</v>
      </c>
      <c r="E7294" s="209">
        <v>9.5299999999999994</v>
      </c>
      <c r="F7294" s="209">
        <v>8.1300000000000008</v>
      </c>
      <c r="G7294" s="209">
        <v>17.66</v>
      </c>
      <c r="H7294" s="198"/>
    </row>
    <row r="7295" spans="1:8" ht="15.75" hidden="1" customHeight="1" x14ac:dyDescent="0.25">
      <c r="A7295" s="205" t="s">
        <v>7947</v>
      </c>
      <c r="B7295" s="206">
        <v>100329</v>
      </c>
      <c r="C7295" s="207" t="s">
        <v>7964</v>
      </c>
      <c r="D7295" s="208" t="s">
        <v>578</v>
      </c>
      <c r="E7295" s="209">
        <v>10.84</v>
      </c>
      <c r="F7295" s="209">
        <v>11.46</v>
      </c>
      <c r="G7295" s="209">
        <v>22.3</v>
      </c>
      <c r="H7295" s="198"/>
    </row>
    <row r="7296" spans="1:8" ht="15.75" hidden="1" customHeight="1" x14ac:dyDescent="0.25">
      <c r="A7296" s="205" t="s">
        <v>7947</v>
      </c>
      <c r="B7296" s="206">
        <v>94231</v>
      </c>
      <c r="C7296" s="207" t="s">
        <v>7965</v>
      </c>
      <c r="D7296" s="208" t="s">
        <v>585</v>
      </c>
      <c r="E7296" s="209">
        <v>43.46</v>
      </c>
      <c r="F7296" s="209">
        <v>7.88</v>
      </c>
      <c r="G7296" s="209">
        <v>51.34</v>
      </c>
      <c r="H7296" s="198"/>
    </row>
    <row r="7297" spans="1:8" ht="15.75" hidden="1" customHeight="1" x14ac:dyDescent="0.25">
      <c r="A7297" s="205" t="s">
        <v>7947</v>
      </c>
      <c r="B7297" s="206">
        <v>100435</v>
      </c>
      <c r="C7297" s="207" t="s">
        <v>7966</v>
      </c>
      <c r="D7297" s="208" t="s">
        <v>585</v>
      </c>
      <c r="E7297" s="209">
        <v>56.42</v>
      </c>
      <c r="F7297" s="209">
        <v>6.61</v>
      </c>
      <c r="G7297" s="209">
        <v>63.03</v>
      </c>
      <c r="H7297" s="198"/>
    </row>
    <row r="7298" spans="1:8" ht="15.75" hidden="1" customHeight="1" x14ac:dyDescent="0.25">
      <c r="A7298" s="205" t="s">
        <v>7947</v>
      </c>
      <c r="B7298" s="206">
        <v>100327</v>
      </c>
      <c r="C7298" s="207" t="s">
        <v>7967</v>
      </c>
      <c r="D7298" s="208" t="s">
        <v>585</v>
      </c>
      <c r="E7298" s="209">
        <v>49.07</v>
      </c>
      <c r="F7298" s="209">
        <v>9.4</v>
      </c>
      <c r="G7298" s="209">
        <v>58.47</v>
      </c>
      <c r="H7298" s="198"/>
    </row>
    <row r="7299" spans="1:8" ht="15.75" hidden="1" customHeight="1" x14ac:dyDescent="0.25">
      <c r="A7299" s="205" t="s">
        <v>7947</v>
      </c>
      <c r="B7299" s="206">
        <v>94226</v>
      </c>
      <c r="C7299" s="207" t="s">
        <v>7968</v>
      </c>
      <c r="D7299" s="208" t="s">
        <v>578</v>
      </c>
      <c r="E7299" s="209">
        <v>11.73</v>
      </c>
      <c r="F7299" s="209">
        <v>8.52</v>
      </c>
      <c r="G7299" s="209">
        <v>20.25</v>
      </c>
      <c r="H7299" s="198"/>
    </row>
    <row r="7300" spans="1:8" ht="15.75" hidden="1" customHeight="1" x14ac:dyDescent="0.25">
      <c r="A7300" s="205" t="s">
        <v>7947</v>
      </c>
      <c r="B7300" s="206">
        <v>94201</v>
      </c>
      <c r="C7300" s="207" t="s">
        <v>7969</v>
      </c>
      <c r="D7300" s="208" t="s">
        <v>578</v>
      </c>
      <c r="E7300" s="209">
        <v>48.35</v>
      </c>
      <c r="F7300" s="209">
        <v>13.69</v>
      </c>
      <c r="G7300" s="209">
        <v>62.04</v>
      </c>
      <c r="H7300" s="198"/>
    </row>
    <row r="7301" spans="1:8" ht="15.75" hidden="1" customHeight="1" x14ac:dyDescent="0.25">
      <c r="A7301" s="205" t="s">
        <v>7947</v>
      </c>
      <c r="B7301" s="206">
        <v>94204</v>
      </c>
      <c r="C7301" s="207" t="s">
        <v>7970</v>
      </c>
      <c r="D7301" s="208" t="s">
        <v>578</v>
      </c>
      <c r="E7301" s="209">
        <v>50.56</v>
      </c>
      <c r="F7301" s="209">
        <v>19.34</v>
      </c>
      <c r="G7301" s="209">
        <v>69.900000000000006</v>
      </c>
      <c r="H7301" s="198"/>
    </row>
    <row r="7302" spans="1:8" ht="15.75" hidden="1" customHeight="1" x14ac:dyDescent="0.25">
      <c r="A7302" s="205" t="s">
        <v>7947</v>
      </c>
      <c r="B7302" s="206">
        <v>94447</v>
      </c>
      <c r="C7302" s="207" t="s">
        <v>7971</v>
      </c>
      <c r="D7302" s="208" t="s">
        <v>578</v>
      </c>
      <c r="E7302" s="209">
        <v>48.35</v>
      </c>
      <c r="F7302" s="209">
        <v>13.69</v>
      </c>
      <c r="G7302" s="209">
        <v>62.04</v>
      </c>
      <c r="H7302" s="198"/>
    </row>
    <row r="7303" spans="1:8" ht="15.75" hidden="1" customHeight="1" x14ac:dyDescent="0.25">
      <c r="A7303" s="205" t="s">
        <v>7947</v>
      </c>
      <c r="B7303" s="206">
        <v>94448</v>
      </c>
      <c r="C7303" s="207" t="s">
        <v>7972</v>
      </c>
      <c r="D7303" s="208" t="s">
        <v>578</v>
      </c>
      <c r="E7303" s="209">
        <v>50.56</v>
      </c>
      <c r="F7303" s="209">
        <v>19.34</v>
      </c>
      <c r="G7303" s="209">
        <v>69.900000000000006</v>
      </c>
      <c r="H7303" s="198"/>
    </row>
    <row r="7304" spans="1:8" ht="15.75" hidden="1" customHeight="1" x14ac:dyDescent="0.25">
      <c r="A7304" s="205" t="s">
        <v>7947</v>
      </c>
      <c r="B7304" s="206">
        <v>94445</v>
      </c>
      <c r="C7304" s="207" t="s">
        <v>7973</v>
      </c>
      <c r="D7304" s="208" t="s">
        <v>578</v>
      </c>
      <c r="E7304" s="209">
        <v>48.35</v>
      </c>
      <c r="F7304" s="209">
        <v>13.69</v>
      </c>
      <c r="G7304" s="209">
        <v>62.04</v>
      </c>
      <c r="H7304" s="198"/>
    </row>
    <row r="7305" spans="1:8" ht="15.75" hidden="1" customHeight="1" x14ac:dyDescent="0.25">
      <c r="A7305" s="205" t="s">
        <v>7947</v>
      </c>
      <c r="B7305" s="206">
        <v>94446</v>
      </c>
      <c r="C7305" s="207" t="s">
        <v>7974</v>
      </c>
      <c r="D7305" s="208" t="s">
        <v>578</v>
      </c>
      <c r="E7305" s="209">
        <v>50.56</v>
      </c>
      <c r="F7305" s="209">
        <v>19.34</v>
      </c>
      <c r="G7305" s="209">
        <v>69.900000000000006</v>
      </c>
      <c r="H7305" s="198"/>
    </row>
    <row r="7306" spans="1:8" ht="15.75" hidden="1" customHeight="1" x14ac:dyDescent="0.25">
      <c r="A7306" s="205" t="s">
        <v>7947</v>
      </c>
      <c r="B7306" s="206">
        <v>94440</v>
      </c>
      <c r="C7306" s="207" t="s">
        <v>7975</v>
      </c>
      <c r="D7306" s="208" t="s">
        <v>578</v>
      </c>
      <c r="E7306" s="209">
        <v>34.65</v>
      </c>
      <c r="F7306" s="209">
        <v>8.6300000000000008</v>
      </c>
      <c r="G7306" s="209">
        <v>43.28</v>
      </c>
      <c r="H7306" s="198"/>
    </row>
    <row r="7307" spans="1:8" ht="15.75" hidden="1" customHeight="1" x14ac:dyDescent="0.25">
      <c r="A7307" s="205" t="s">
        <v>7947</v>
      </c>
      <c r="B7307" s="206">
        <v>94441</v>
      </c>
      <c r="C7307" s="207" t="s">
        <v>7976</v>
      </c>
      <c r="D7307" s="208" t="s">
        <v>578</v>
      </c>
      <c r="E7307" s="209">
        <v>35.950000000000003</v>
      </c>
      <c r="F7307" s="209">
        <v>11.96</v>
      </c>
      <c r="G7307" s="209">
        <v>47.91</v>
      </c>
      <c r="H7307" s="198"/>
    </row>
    <row r="7308" spans="1:8" ht="15.75" hidden="1" customHeight="1" x14ac:dyDescent="0.25">
      <c r="A7308" s="205" t="s">
        <v>7947</v>
      </c>
      <c r="B7308" s="206">
        <v>94195</v>
      </c>
      <c r="C7308" s="207" t="s">
        <v>7977</v>
      </c>
      <c r="D7308" s="208" t="s">
        <v>578</v>
      </c>
      <c r="E7308" s="209">
        <v>34.65</v>
      </c>
      <c r="F7308" s="209">
        <v>8.6300000000000008</v>
      </c>
      <c r="G7308" s="209">
        <v>43.28</v>
      </c>
      <c r="H7308" s="198"/>
    </row>
    <row r="7309" spans="1:8" ht="15.75" hidden="1" customHeight="1" x14ac:dyDescent="0.25">
      <c r="A7309" s="205" t="s">
        <v>7947</v>
      </c>
      <c r="B7309" s="206">
        <v>94198</v>
      </c>
      <c r="C7309" s="207" t="s">
        <v>7978</v>
      </c>
      <c r="D7309" s="208" t="s">
        <v>578</v>
      </c>
      <c r="E7309" s="209">
        <v>35.950000000000003</v>
      </c>
      <c r="F7309" s="209">
        <v>11.96</v>
      </c>
      <c r="G7309" s="209">
        <v>47.91</v>
      </c>
      <c r="H7309" s="198"/>
    </row>
    <row r="7310" spans="1:8" ht="15.75" hidden="1" customHeight="1" x14ac:dyDescent="0.25">
      <c r="A7310" s="205" t="s">
        <v>7947</v>
      </c>
      <c r="B7310" s="206">
        <v>94442</v>
      </c>
      <c r="C7310" s="207" t="s">
        <v>7979</v>
      </c>
      <c r="D7310" s="208" t="s">
        <v>578</v>
      </c>
      <c r="E7310" s="209">
        <v>34.65</v>
      </c>
      <c r="F7310" s="209">
        <v>8.6300000000000008</v>
      </c>
      <c r="G7310" s="209">
        <v>43.28</v>
      </c>
      <c r="H7310" s="198"/>
    </row>
    <row r="7311" spans="1:8" ht="15.75" hidden="1" customHeight="1" x14ac:dyDescent="0.25">
      <c r="A7311" s="205" t="s">
        <v>7947</v>
      </c>
      <c r="B7311" s="206">
        <v>94443</v>
      </c>
      <c r="C7311" s="207" t="s">
        <v>7980</v>
      </c>
      <c r="D7311" s="208" t="s">
        <v>578</v>
      </c>
      <c r="E7311" s="209">
        <v>35.950000000000003</v>
      </c>
      <c r="F7311" s="209">
        <v>11.96</v>
      </c>
      <c r="G7311" s="209">
        <v>47.91</v>
      </c>
      <c r="H7311" s="198"/>
    </row>
    <row r="7312" spans="1:8" ht="15.75" hidden="1" customHeight="1" x14ac:dyDescent="0.25">
      <c r="A7312" s="205" t="s">
        <v>7947</v>
      </c>
      <c r="B7312" s="206">
        <v>94213</v>
      </c>
      <c r="C7312" s="207" t="s">
        <v>7981</v>
      </c>
      <c r="D7312" s="208" t="s">
        <v>578</v>
      </c>
      <c r="E7312" s="209">
        <v>66.75</v>
      </c>
      <c r="F7312" s="209">
        <v>4.3899999999999997</v>
      </c>
      <c r="G7312" s="209">
        <v>71.14</v>
      </c>
      <c r="H7312" s="198"/>
    </row>
    <row r="7313" spans="1:8" ht="15.75" hidden="1" customHeight="1" x14ac:dyDescent="0.25">
      <c r="A7313" s="205" t="s">
        <v>7947</v>
      </c>
      <c r="B7313" s="206">
        <v>94189</v>
      </c>
      <c r="C7313" s="207" t="s">
        <v>7982</v>
      </c>
      <c r="D7313" s="208" t="s">
        <v>578</v>
      </c>
      <c r="E7313" s="209">
        <v>33.020000000000003</v>
      </c>
      <c r="F7313" s="209">
        <v>5.0599999999999996</v>
      </c>
      <c r="G7313" s="209">
        <v>38.08</v>
      </c>
      <c r="H7313" s="198"/>
    </row>
    <row r="7314" spans="1:8" ht="15.75" hidden="1" customHeight="1" x14ac:dyDescent="0.25">
      <c r="A7314" s="205" t="s">
        <v>7947</v>
      </c>
      <c r="B7314" s="206">
        <v>94192</v>
      </c>
      <c r="C7314" s="207" t="s">
        <v>7983</v>
      </c>
      <c r="D7314" s="208" t="s">
        <v>578</v>
      </c>
      <c r="E7314" s="209">
        <v>34</v>
      </c>
      <c r="F7314" s="209">
        <v>7.58</v>
      </c>
      <c r="G7314" s="209">
        <v>41.58</v>
      </c>
      <c r="H7314" s="198"/>
    </row>
    <row r="7315" spans="1:8" ht="15.75" hidden="1" customHeight="1" x14ac:dyDescent="0.25">
      <c r="A7315" s="205" t="s">
        <v>7947</v>
      </c>
      <c r="B7315" s="206">
        <v>94444</v>
      </c>
      <c r="C7315" s="207" t="s">
        <v>7984</v>
      </c>
      <c r="D7315" s="208" t="s">
        <v>578</v>
      </c>
      <c r="E7315" s="209">
        <v>520.45000000000005</v>
      </c>
      <c r="F7315" s="209">
        <v>8.6199999999999992</v>
      </c>
      <c r="G7315" s="209">
        <v>529.07000000000005</v>
      </c>
      <c r="H7315" s="198"/>
    </row>
    <row r="7316" spans="1:8" ht="15.75" hidden="1" customHeight="1" x14ac:dyDescent="0.25">
      <c r="A7316" s="205" t="s">
        <v>7947</v>
      </c>
      <c r="B7316" s="206">
        <v>94218</v>
      </c>
      <c r="C7316" s="207" t="s">
        <v>7985</v>
      </c>
      <c r="D7316" s="208" t="s">
        <v>578</v>
      </c>
      <c r="E7316" s="209">
        <v>113.49</v>
      </c>
      <c r="F7316" s="209">
        <v>6.94</v>
      </c>
      <c r="G7316" s="209">
        <v>120.43</v>
      </c>
      <c r="H7316" s="198"/>
    </row>
    <row r="7317" spans="1:8" ht="15.75" hidden="1" customHeight="1" x14ac:dyDescent="0.25">
      <c r="A7317" s="205" t="s">
        <v>7947</v>
      </c>
      <c r="B7317" s="206">
        <v>94216</v>
      </c>
      <c r="C7317" s="207" t="s">
        <v>7986</v>
      </c>
      <c r="D7317" s="208" t="s">
        <v>578</v>
      </c>
      <c r="E7317" s="209">
        <v>201.42</v>
      </c>
      <c r="F7317" s="209">
        <v>2.77</v>
      </c>
      <c r="G7317" s="209">
        <v>204.19</v>
      </c>
      <c r="H7317" s="198"/>
    </row>
    <row r="7318" spans="1:8" ht="15.75" hidden="1" customHeight="1" x14ac:dyDescent="0.25">
      <c r="A7318" s="205" t="s">
        <v>7947</v>
      </c>
      <c r="B7318" s="206">
        <v>94449</v>
      </c>
      <c r="C7318" s="207" t="s">
        <v>7987</v>
      </c>
      <c r="D7318" s="208" t="s">
        <v>578</v>
      </c>
      <c r="E7318" s="209">
        <v>70</v>
      </c>
      <c r="F7318" s="209">
        <v>6.32</v>
      </c>
      <c r="G7318" s="209">
        <v>76.319999999999993</v>
      </c>
      <c r="H7318" s="198"/>
    </row>
    <row r="7319" spans="1:8" ht="15.75" hidden="1" customHeight="1" x14ac:dyDescent="0.25">
      <c r="A7319" s="205" t="s">
        <v>7947</v>
      </c>
      <c r="B7319" s="206">
        <v>94210</v>
      </c>
      <c r="C7319" s="207" t="s">
        <v>7988</v>
      </c>
      <c r="D7319" s="208" t="s">
        <v>578</v>
      </c>
      <c r="E7319" s="209">
        <v>43.2</v>
      </c>
      <c r="F7319" s="209">
        <v>7.02</v>
      </c>
      <c r="G7319" s="209">
        <v>50.22</v>
      </c>
      <c r="H7319" s="198"/>
    </row>
    <row r="7320" spans="1:8" ht="15.75" hidden="1" customHeight="1" x14ac:dyDescent="0.25">
      <c r="A7320" s="205" t="s">
        <v>7947</v>
      </c>
      <c r="B7320" s="206">
        <v>94207</v>
      </c>
      <c r="C7320" s="207" t="s">
        <v>7989</v>
      </c>
      <c r="D7320" s="208" t="s">
        <v>578</v>
      </c>
      <c r="E7320" s="209">
        <v>40.75</v>
      </c>
      <c r="F7320" s="209">
        <v>6.33</v>
      </c>
      <c r="G7320" s="209">
        <v>47.08</v>
      </c>
      <c r="H7320" s="198"/>
    </row>
    <row r="7321" spans="1:8" ht="15.75" hidden="1" customHeight="1" x14ac:dyDescent="0.25">
      <c r="A7321" s="205" t="s">
        <v>7990</v>
      </c>
      <c r="B7321" s="206">
        <v>102109</v>
      </c>
      <c r="C7321" s="207" t="s">
        <v>7991</v>
      </c>
      <c r="D7321" s="208" t="s">
        <v>580</v>
      </c>
      <c r="E7321" s="209">
        <v>37.49</v>
      </c>
      <c r="F7321" s="209">
        <v>21.97</v>
      </c>
      <c r="G7321" s="209">
        <v>59.46</v>
      </c>
      <c r="H7321" s="198"/>
    </row>
    <row r="7322" spans="1:8" ht="15.75" hidden="1" customHeight="1" x14ac:dyDescent="0.25">
      <c r="A7322" s="205" t="s">
        <v>7990</v>
      </c>
      <c r="B7322" s="206">
        <v>102110</v>
      </c>
      <c r="C7322" s="207" t="s">
        <v>7992</v>
      </c>
      <c r="D7322" s="208" t="s">
        <v>580</v>
      </c>
      <c r="E7322" s="209">
        <v>135.72</v>
      </c>
      <c r="F7322" s="209">
        <v>21.96</v>
      </c>
      <c r="G7322" s="209">
        <v>157.68</v>
      </c>
      <c r="H7322" s="198"/>
    </row>
    <row r="7323" spans="1:8" ht="15.75" hidden="1" customHeight="1" x14ac:dyDescent="0.25">
      <c r="A7323" s="205" t="s">
        <v>7990</v>
      </c>
      <c r="B7323" s="206">
        <v>103656</v>
      </c>
      <c r="C7323" s="207" t="s">
        <v>7993</v>
      </c>
      <c r="D7323" s="208" t="s">
        <v>580</v>
      </c>
      <c r="E7323" s="209">
        <v>123691.17</v>
      </c>
      <c r="F7323" s="209">
        <v>696.57</v>
      </c>
      <c r="G7323" s="209">
        <v>124387.74</v>
      </c>
      <c r="H7323" s="198"/>
    </row>
    <row r="7324" spans="1:8" ht="15.75" hidden="1" customHeight="1" x14ac:dyDescent="0.25">
      <c r="A7324" s="205" t="s">
        <v>7990</v>
      </c>
      <c r="B7324" s="206">
        <v>102105</v>
      </c>
      <c r="C7324" s="207" t="s">
        <v>7994</v>
      </c>
      <c r="D7324" s="208" t="s">
        <v>580</v>
      </c>
      <c r="E7324" s="209">
        <v>19312.36</v>
      </c>
      <c r="F7324" s="209">
        <v>470.83</v>
      </c>
      <c r="G7324" s="209">
        <v>19783.189999999999</v>
      </c>
      <c r="H7324" s="198"/>
    </row>
    <row r="7325" spans="1:8" ht="15.75" hidden="1" customHeight="1" x14ac:dyDescent="0.25">
      <c r="A7325" s="205" t="s">
        <v>7990</v>
      </c>
      <c r="B7325" s="206">
        <v>102106</v>
      </c>
      <c r="C7325" s="207" t="s">
        <v>7995</v>
      </c>
      <c r="D7325" s="208" t="s">
        <v>580</v>
      </c>
      <c r="E7325" s="209">
        <v>24303.31</v>
      </c>
      <c r="F7325" s="209">
        <v>478.28</v>
      </c>
      <c r="G7325" s="209">
        <v>24781.59</v>
      </c>
      <c r="H7325" s="198"/>
    </row>
    <row r="7326" spans="1:8" ht="15.75" hidden="1" customHeight="1" x14ac:dyDescent="0.25">
      <c r="A7326" s="205" t="s">
        <v>7990</v>
      </c>
      <c r="B7326" s="206">
        <v>102107</v>
      </c>
      <c r="C7326" s="207" t="s">
        <v>7996</v>
      </c>
      <c r="D7326" s="208" t="s">
        <v>580</v>
      </c>
      <c r="E7326" s="209">
        <v>34024.080000000002</v>
      </c>
      <c r="F7326" s="209">
        <v>507.61</v>
      </c>
      <c r="G7326" s="209">
        <v>34531.69</v>
      </c>
      <c r="H7326" s="198"/>
    </row>
    <row r="7327" spans="1:8" ht="15.75" hidden="1" customHeight="1" x14ac:dyDescent="0.25">
      <c r="A7327" s="205" t="s">
        <v>7990</v>
      </c>
      <c r="B7327" s="206">
        <v>102102</v>
      </c>
      <c r="C7327" s="207" t="s">
        <v>7997</v>
      </c>
      <c r="D7327" s="208" t="s">
        <v>580</v>
      </c>
      <c r="E7327" s="209">
        <v>10888.59</v>
      </c>
      <c r="F7327" s="209">
        <v>437.17</v>
      </c>
      <c r="G7327" s="209">
        <v>11325.76</v>
      </c>
      <c r="H7327" s="198"/>
    </row>
    <row r="7328" spans="1:8" ht="15.75" hidden="1" customHeight="1" x14ac:dyDescent="0.25">
      <c r="A7328" s="205" t="s">
        <v>7990</v>
      </c>
      <c r="B7328" s="206">
        <v>102108</v>
      </c>
      <c r="C7328" s="207" t="s">
        <v>7998</v>
      </c>
      <c r="D7328" s="208" t="s">
        <v>580</v>
      </c>
      <c r="E7328" s="209">
        <v>39670.07</v>
      </c>
      <c r="F7328" s="209">
        <v>522.5</v>
      </c>
      <c r="G7328" s="209">
        <v>40192.57</v>
      </c>
      <c r="H7328" s="198"/>
    </row>
    <row r="7329" spans="1:8" ht="15.75" hidden="1" customHeight="1" x14ac:dyDescent="0.25">
      <c r="A7329" s="205" t="s">
        <v>7990</v>
      </c>
      <c r="B7329" s="206">
        <v>102103</v>
      </c>
      <c r="C7329" s="207" t="s">
        <v>7999</v>
      </c>
      <c r="D7329" s="208" t="s">
        <v>580</v>
      </c>
      <c r="E7329" s="209">
        <v>12147.18</v>
      </c>
      <c r="F7329" s="209">
        <v>444.48</v>
      </c>
      <c r="G7329" s="209">
        <v>12591.66</v>
      </c>
      <c r="H7329" s="198"/>
    </row>
    <row r="7330" spans="1:8" ht="15.75" hidden="1" customHeight="1" x14ac:dyDescent="0.25">
      <c r="A7330" s="205" t="s">
        <v>7990</v>
      </c>
      <c r="B7330" s="206">
        <v>103654</v>
      </c>
      <c r="C7330" s="207" t="s">
        <v>8000</v>
      </c>
      <c r="D7330" s="208" t="s">
        <v>580</v>
      </c>
      <c r="E7330" s="209">
        <v>64464.44</v>
      </c>
      <c r="F7330" s="209">
        <v>526.41999999999996</v>
      </c>
      <c r="G7330" s="209">
        <v>64990.86</v>
      </c>
      <c r="H7330" s="198"/>
    </row>
    <row r="7331" spans="1:8" ht="15.75" hidden="1" customHeight="1" x14ac:dyDescent="0.25">
      <c r="A7331" s="205" t="s">
        <v>7990</v>
      </c>
      <c r="B7331" s="206">
        <v>102104</v>
      </c>
      <c r="C7331" s="207" t="s">
        <v>8001</v>
      </c>
      <c r="D7331" s="208" t="s">
        <v>580</v>
      </c>
      <c r="E7331" s="209">
        <v>15660.9</v>
      </c>
      <c r="F7331" s="209">
        <v>457.77</v>
      </c>
      <c r="G7331" s="209">
        <v>16118.67</v>
      </c>
      <c r="H7331" s="198"/>
    </row>
    <row r="7332" spans="1:8" ht="15.75" hidden="1" customHeight="1" x14ac:dyDescent="0.25">
      <c r="A7332" s="205" t="s">
        <v>7990</v>
      </c>
      <c r="B7332" s="206">
        <v>103655</v>
      </c>
      <c r="C7332" s="207" t="s">
        <v>8002</v>
      </c>
      <c r="D7332" s="208" t="s">
        <v>580</v>
      </c>
      <c r="E7332" s="209">
        <v>88384.69</v>
      </c>
      <c r="F7332" s="209">
        <v>614.09</v>
      </c>
      <c r="G7332" s="209">
        <v>88998.78</v>
      </c>
      <c r="H7332" s="198"/>
    </row>
    <row r="7333" spans="1:8" ht="15.75" hidden="1" customHeight="1" x14ac:dyDescent="0.25">
      <c r="A7333" s="205" t="s">
        <v>8003</v>
      </c>
      <c r="B7333" s="206">
        <v>100207</v>
      </c>
      <c r="C7333" s="207" t="s">
        <v>8004</v>
      </c>
      <c r="D7333" s="208" t="s">
        <v>8005</v>
      </c>
      <c r="E7333" s="209">
        <v>373.23</v>
      </c>
      <c r="F7333" s="209">
        <v>181.51</v>
      </c>
      <c r="G7333" s="209">
        <v>554.74</v>
      </c>
      <c r="H7333" s="198"/>
    </row>
    <row r="7334" spans="1:8" ht="15.75" hidden="1" customHeight="1" x14ac:dyDescent="0.25">
      <c r="A7334" s="205" t="s">
        <v>8003</v>
      </c>
      <c r="B7334" s="206">
        <v>100211</v>
      </c>
      <c r="C7334" s="207" t="s">
        <v>8006</v>
      </c>
      <c r="D7334" s="208" t="s">
        <v>8007</v>
      </c>
      <c r="E7334" s="209">
        <v>2.96</v>
      </c>
      <c r="F7334" s="209">
        <v>6.26</v>
      </c>
      <c r="G7334" s="209">
        <v>9.2200000000000006</v>
      </c>
      <c r="H7334" s="198"/>
    </row>
    <row r="7335" spans="1:8" ht="15.75" hidden="1" customHeight="1" x14ac:dyDescent="0.25">
      <c r="A7335" s="205" t="s">
        <v>8003</v>
      </c>
      <c r="B7335" s="206">
        <v>100210</v>
      </c>
      <c r="C7335" s="207" t="s">
        <v>8008</v>
      </c>
      <c r="D7335" s="208" t="s">
        <v>8007</v>
      </c>
      <c r="E7335" s="209">
        <v>7.66</v>
      </c>
      <c r="F7335" s="209">
        <v>16.239999999999998</v>
      </c>
      <c r="G7335" s="209">
        <v>23.9</v>
      </c>
      <c r="H7335" s="198"/>
    </row>
    <row r="7336" spans="1:8" ht="15.75" hidden="1" customHeight="1" x14ac:dyDescent="0.25">
      <c r="A7336" s="205" t="s">
        <v>8003</v>
      </c>
      <c r="B7336" s="206">
        <v>100221</v>
      </c>
      <c r="C7336" s="207" t="s">
        <v>8009</v>
      </c>
      <c r="D7336" s="208" t="s">
        <v>8010</v>
      </c>
      <c r="E7336" s="209">
        <v>13.53</v>
      </c>
      <c r="F7336" s="209">
        <v>28.71</v>
      </c>
      <c r="G7336" s="209">
        <v>42.24</v>
      </c>
      <c r="H7336" s="198"/>
    </row>
    <row r="7337" spans="1:8" ht="15.75" hidden="1" customHeight="1" x14ac:dyDescent="0.25">
      <c r="A7337" s="205" t="s">
        <v>8003</v>
      </c>
      <c r="B7337" s="206">
        <v>100203</v>
      </c>
      <c r="C7337" s="207" t="s">
        <v>8011</v>
      </c>
      <c r="D7337" s="208" t="s">
        <v>8012</v>
      </c>
      <c r="E7337" s="209">
        <v>0.48</v>
      </c>
      <c r="F7337" s="209">
        <v>1</v>
      </c>
      <c r="G7337" s="209">
        <v>1.48</v>
      </c>
      <c r="H7337" s="198"/>
    </row>
    <row r="7338" spans="1:8" ht="15.75" hidden="1" customHeight="1" x14ac:dyDescent="0.25">
      <c r="A7338" s="205" t="s">
        <v>8003</v>
      </c>
      <c r="B7338" s="206">
        <v>100202</v>
      </c>
      <c r="C7338" s="207" t="s">
        <v>8013</v>
      </c>
      <c r="D7338" s="208" t="s">
        <v>8012</v>
      </c>
      <c r="E7338" s="209">
        <v>0.4</v>
      </c>
      <c r="F7338" s="209">
        <v>0.85</v>
      </c>
      <c r="G7338" s="209">
        <v>1.25</v>
      </c>
      <c r="H7338" s="198"/>
    </row>
    <row r="7339" spans="1:8" ht="15.75" hidden="1" customHeight="1" x14ac:dyDescent="0.25">
      <c r="A7339" s="205" t="s">
        <v>8003</v>
      </c>
      <c r="B7339" s="206">
        <v>100201</v>
      </c>
      <c r="C7339" s="207" t="s">
        <v>8014</v>
      </c>
      <c r="D7339" s="208" t="s">
        <v>8012</v>
      </c>
      <c r="E7339" s="209">
        <v>0.35</v>
      </c>
      <c r="F7339" s="209">
        <v>0.72</v>
      </c>
      <c r="G7339" s="209">
        <v>1.07</v>
      </c>
      <c r="H7339" s="198"/>
    </row>
    <row r="7340" spans="1:8" ht="15.75" hidden="1" customHeight="1" x14ac:dyDescent="0.25">
      <c r="A7340" s="205" t="s">
        <v>8003</v>
      </c>
      <c r="B7340" s="206">
        <v>100216</v>
      </c>
      <c r="C7340" s="207" t="s">
        <v>8015</v>
      </c>
      <c r="D7340" s="208" t="s">
        <v>8007</v>
      </c>
      <c r="E7340" s="209">
        <v>0.41</v>
      </c>
      <c r="F7340" s="209">
        <v>0.88</v>
      </c>
      <c r="G7340" s="209">
        <v>1.29</v>
      </c>
      <c r="H7340" s="198"/>
    </row>
    <row r="7341" spans="1:8" ht="15.75" hidden="1" customHeight="1" x14ac:dyDescent="0.25">
      <c r="A7341" s="205" t="s">
        <v>8003</v>
      </c>
      <c r="B7341" s="206">
        <v>100215</v>
      </c>
      <c r="C7341" s="207" t="s">
        <v>8016</v>
      </c>
      <c r="D7341" s="208" t="s">
        <v>8007</v>
      </c>
      <c r="E7341" s="209">
        <v>1.55</v>
      </c>
      <c r="F7341" s="209">
        <v>3.26</v>
      </c>
      <c r="G7341" s="209">
        <v>4.8099999999999996</v>
      </c>
      <c r="H7341" s="198"/>
    </row>
    <row r="7342" spans="1:8" ht="15.75" hidden="1" customHeight="1" x14ac:dyDescent="0.25">
      <c r="A7342" s="205" t="s">
        <v>8003</v>
      </c>
      <c r="B7342" s="206">
        <v>100214</v>
      </c>
      <c r="C7342" s="207" t="s">
        <v>8017</v>
      </c>
      <c r="D7342" s="208" t="s">
        <v>8007</v>
      </c>
      <c r="E7342" s="209">
        <v>1.8</v>
      </c>
      <c r="F7342" s="209">
        <v>3.81</v>
      </c>
      <c r="G7342" s="209">
        <v>5.61</v>
      </c>
      <c r="H7342" s="198"/>
    </row>
    <row r="7343" spans="1:8" ht="15.75" hidden="1" customHeight="1" x14ac:dyDescent="0.25">
      <c r="A7343" s="205" t="s">
        <v>8003</v>
      </c>
      <c r="B7343" s="206">
        <v>100223</v>
      </c>
      <c r="C7343" s="207" t="s">
        <v>8018</v>
      </c>
      <c r="D7343" s="208" t="s">
        <v>8010</v>
      </c>
      <c r="E7343" s="209">
        <v>2.4</v>
      </c>
      <c r="F7343" s="209">
        <v>5.09</v>
      </c>
      <c r="G7343" s="209">
        <v>7.49</v>
      </c>
      <c r="H7343" s="198"/>
    </row>
    <row r="7344" spans="1:8" ht="15.75" hidden="1" customHeight="1" x14ac:dyDescent="0.25">
      <c r="A7344" s="205" t="s">
        <v>8003</v>
      </c>
      <c r="B7344" s="206">
        <v>100280</v>
      </c>
      <c r="C7344" s="207" t="s">
        <v>8019</v>
      </c>
      <c r="D7344" s="208" t="s">
        <v>8007</v>
      </c>
      <c r="E7344" s="209">
        <v>7.86</v>
      </c>
      <c r="F7344" s="209">
        <v>16.7</v>
      </c>
      <c r="G7344" s="209">
        <v>24.56</v>
      </c>
      <c r="H7344" s="198"/>
    </row>
    <row r="7345" spans="1:8" ht="15.75" hidden="1" customHeight="1" x14ac:dyDescent="0.25">
      <c r="A7345" s="205" t="s">
        <v>8003</v>
      </c>
      <c r="B7345" s="206">
        <v>100270</v>
      </c>
      <c r="C7345" s="207" t="s">
        <v>8020</v>
      </c>
      <c r="D7345" s="208" t="s">
        <v>8007</v>
      </c>
      <c r="E7345" s="209">
        <v>26.83</v>
      </c>
      <c r="F7345" s="209">
        <v>56.98</v>
      </c>
      <c r="G7345" s="209">
        <v>83.81</v>
      </c>
      <c r="H7345" s="198"/>
    </row>
    <row r="7346" spans="1:8" ht="15.75" hidden="1" customHeight="1" x14ac:dyDescent="0.25">
      <c r="A7346" s="205" t="s">
        <v>8003</v>
      </c>
      <c r="B7346" s="206">
        <v>100286</v>
      </c>
      <c r="C7346" s="207" t="s">
        <v>8021</v>
      </c>
      <c r="D7346" s="208" t="s">
        <v>8022</v>
      </c>
      <c r="E7346" s="209">
        <v>5.88</v>
      </c>
      <c r="F7346" s="209">
        <v>12.46</v>
      </c>
      <c r="G7346" s="209">
        <v>18.34</v>
      </c>
      <c r="H7346" s="198"/>
    </row>
    <row r="7347" spans="1:8" ht="15.75" hidden="1" customHeight="1" x14ac:dyDescent="0.25">
      <c r="A7347" s="205" t="s">
        <v>8003</v>
      </c>
      <c r="B7347" s="206">
        <v>100213</v>
      </c>
      <c r="C7347" s="207" t="s">
        <v>8023</v>
      </c>
      <c r="D7347" s="208" t="s">
        <v>8007</v>
      </c>
      <c r="E7347" s="209">
        <v>1.18</v>
      </c>
      <c r="F7347" s="209">
        <v>2.48</v>
      </c>
      <c r="G7347" s="209">
        <v>3.66</v>
      </c>
      <c r="H7347" s="198"/>
    </row>
    <row r="7348" spans="1:8" ht="15.75" hidden="1" customHeight="1" x14ac:dyDescent="0.25">
      <c r="A7348" s="205" t="s">
        <v>8003</v>
      </c>
      <c r="B7348" s="206">
        <v>100212</v>
      </c>
      <c r="C7348" s="207" t="s">
        <v>8024</v>
      </c>
      <c r="D7348" s="208" t="s">
        <v>8007</v>
      </c>
      <c r="E7348" s="209">
        <v>3.26</v>
      </c>
      <c r="F7348" s="209">
        <v>6.92</v>
      </c>
      <c r="G7348" s="209">
        <v>10.18</v>
      </c>
      <c r="H7348" s="198"/>
    </row>
    <row r="7349" spans="1:8" ht="15.75" hidden="1" customHeight="1" x14ac:dyDescent="0.25">
      <c r="A7349" s="205" t="s">
        <v>8003</v>
      </c>
      <c r="B7349" s="206">
        <v>100222</v>
      </c>
      <c r="C7349" s="207" t="s">
        <v>8025</v>
      </c>
      <c r="D7349" s="208" t="s">
        <v>8010</v>
      </c>
      <c r="E7349" s="209">
        <v>5.12</v>
      </c>
      <c r="F7349" s="209">
        <v>10.88</v>
      </c>
      <c r="G7349" s="209">
        <v>16</v>
      </c>
      <c r="H7349" s="198"/>
    </row>
    <row r="7350" spans="1:8" ht="15.75" hidden="1" customHeight="1" x14ac:dyDescent="0.25">
      <c r="A7350" s="205" t="s">
        <v>8003</v>
      </c>
      <c r="B7350" s="206">
        <v>100226</v>
      </c>
      <c r="C7350" s="207" t="s">
        <v>8026</v>
      </c>
      <c r="D7350" s="208" t="s">
        <v>8027</v>
      </c>
      <c r="E7350" s="209">
        <v>0.31</v>
      </c>
      <c r="F7350" s="209">
        <v>0.61</v>
      </c>
      <c r="G7350" s="209">
        <v>0.92</v>
      </c>
      <c r="H7350" s="198"/>
    </row>
    <row r="7351" spans="1:8" ht="15.75" hidden="1" customHeight="1" x14ac:dyDescent="0.25">
      <c r="A7351" s="205" t="s">
        <v>8003</v>
      </c>
      <c r="B7351" s="206">
        <v>100200</v>
      </c>
      <c r="C7351" s="207" t="s">
        <v>8028</v>
      </c>
      <c r="D7351" s="208" t="s">
        <v>8012</v>
      </c>
      <c r="E7351" s="209">
        <v>0.18</v>
      </c>
      <c r="F7351" s="209">
        <v>0.35</v>
      </c>
      <c r="G7351" s="209">
        <v>0.53</v>
      </c>
      <c r="H7351" s="198"/>
    </row>
    <row r="7352" spans="1:8" ht="15.75" hidden="1" customHeight="1" x14ac:dyDescent="0.25">
      <c r="A7352" s="205" t="s">
        <v>8003</v>
      </c>
      <c r="B7352" s="206">
        <v>100199</v>
      </c>
      <c r="C7352" s="207" t="s">
        <v>8029</v>
      </c>
      <c r="D7352" s="208" t="s">
        <v>8012</v>
      </c>
      <c r="E7352" s="209">
        <v>0.15</v>
      </c>
      <c r="F7352" s="209">
        <v>0.28999999999999998</v>
      </c>
      <c r="G7352" s="209">
        <v>0.44</v>
      </c>
      <c r="H7352" s="198"/>
    </row>
    <row r="7353" spans="1:8" ht="15.75" hidden="1" customHeight="1" x14ac:dyDescent="0.25">
      <c r="A7353" s="205" t="s">
        <v>8003</v>
      </c>
      <c r="B7353" s="206">
        <v>100198</v>
      </c>
      <c r="C7353" s="207" t="s">
        <v>8030</v>
      </c>
      <c r="D7353" s="208" t="s">
        <v>8012</v>
      </c>
      <c r="E7353" s="209">
        <v>0.12</v>
      </c>
      <c r="F7353" s="209">
        <v>0.24</v>
      </c>
      <c r="G7353" s="209">
        <v>0.36</v>
      </c>
      <c r="H7353" s="198"/>
    </row>
    <row r="7354" spans="1:8" ht="15.75" hidden="1" customHeight="1" x14ac:dyDescent="0.25">
      <c r="A7354" s="205" t="s">
        <v>8003</v>
      </c>
      <c r="B7354" s="206">
        <v>100283</v>
      </c>
      <c r="C7354" s="207" t="s">
        <v>8031</v>
      </c>
      <c r="D7354" s="208" t="s">
        <v>8010</v>
      </c>
      <c r="E7354" s="209">
        <v>10.83</v>
      </c>
      <c r="F7354" s="209">
        <v>23.01</v>
      </c>
      <c r="G7354" s="209">
        <v>33.840000000000003</v>
      </c>
      <c r="H7354" s="198"/>
    </row>
    <row r="7355" spans="1:8" ht="15.75" hidden="1" customHeight="1" x14ac:dyDescent="0.25">
      <c r="A7355" s="205" t="s">
        <v>8003</v>
      </c>
      <c r="B7355" s="206">
        <v>100227</v>
      </c>
      <c r="C7355" s="207" t="s">
        <v>8032</v>
      </c>
      <c r="D7355" s="208" t="s">
        <v>8027</v>
      </c>
      <c r="E7355" s="209">
        <v>0.44</v>
      </c>
      <c r="F7355" s="209">
        <v>0.92</v>
      </c>
      <c r="G7355" s="209">
        <v>1.36</v>
      </c>
      <c r="H7355" s="198"/>
    </row>
    <row r="7356" spans="1:8" ht="15.75" hidden="1" customHeight="1" x14ac:dyDescent="0.25">
      <c r="A7356" s="205" t="s">
        <v>8003</v>
      </c>
      <c r="B7356" s="206">
        <v>100205</v>
      </c>
      <c r="C7356" s="207" t="s">
        <v>8033</v>
      </c>
      <c r="D7356" s="208" t="s">
        <v>8005</v>
      </c>
      <c r="E7356" s="209">
        <v>627.74</v>
      </c>
      <c r="F7356" s="209">
        <v>1333.33</v>
      </c>
      <c r="G7356" s="209">
        <v>1961.07</v>
      </c>
      <c r="H7356" s="198"/>
    </row>
    <row r="7357" spans="1:8" ht="15.75" hidden="1" customHeight="1" x14ac:dyDescent="0.25">
      <c r="A7357" s="205" t="s">
        <v>8003</v>
      </c>
      <c r="B7357" s="206">
        <v>100206</v>
      </c>
      <c r="C7357" s="207" t="s">
        <v>8034</v>
      </c>
      <c r="D7357" s="208" t="s">
        <v>8005</v>
      </c>
      <c r="E7357" s="209">
        <v>453.75</v>
      </c>
      <c r="F7357" s="209">
        <v>963.77</v>
      </c>
      <c r="G7357" s="209">
        <v>1417.52</v>
      </c>
      <c r="H7357" s="198"/>
    </row>
    <row r="7358" spans="1:8" ht="15.75" hidden="1" customHeight="1" x14ac:dyDescent="0.25">
      <c r="A7358" s="205" t="s">
        <v>8003</v>
      </c>
      <c r="B7358" s="206">
        <v>100281</v>
      </c>
      <c r="C7358" s="207" t="s">
        <v>8035</v>
      </c>
      <c r="D7358" s="208" t="s">
        <v>8007</v>
      </c>
      <c r="E7358" s="209">
        <v>3.27</v>
      </c>
      <c r="F7358" s="209">
        <v>1.18</v>
      </c>
      <c r="G7358" s="209">
        <v>4.45</v>
      </c>
      <c r="H7358" s="198"/>
    </row>
    <row r="7359" spans="1:8" ht="15.75" hidden="1" customHeight="1" x14ac:dyDescent="0.25">
      <c r="A7359" s="205" t="s">
        <v>8003</v>
      </c>
      <c r="B7359" s="206">
        <v>100219</v>
      </c>
      <c r="C7359" s="207" t="s">
        <v>8036</v>
      </c>
      <c r="D7359" s="208" t="s">
        <v>8007</v>
      </c>
      <c r="E7359" s="209">
        <v>0.42</v>
      </c>
      <c r="F7359" s="209">
        <v>0.13</v>
      </c>
      <c r="G7359" s="209">
        <v>0.55000000000000004</v>
      </c>
      <c r="H7359" s="198"/>
    </row>
    <row r="7360" spans="1:8" ht="15.75" hidden="1" customHeight="1" x14ac:dyDescent="0.25">
      <c r="A7360" s="205" t="s">
        <v>8003</v>
      </c>
      <c r="B7360" s="206">
        <v>100218</v>
      </c>
      <c r="C7360" s="207" t="s">
        <v>8037</v>
      </c>
      <c r="D7360" s="208" t="s">
        <v>8007</v>
      </c>
      <c r="E7360" s="209">
        <v>1.83</v>
      </c>
      <c r="F7360" s="209">
        <v>0.66</v>
      </c>
      <c r="G7360" s="209">
        <v>2.4900000000000002</v>
      </c>
      <c r="H7360" s="198"/>
    </row>
    <row r="7361" spans="1:8" ht="15.75" hidden="1" customHeight="1" x14ac:dyDescent="0.25">
      <c r="A7361" s="205" t="s">
        <v>8003</v>
      </c>
      <c r="B7361" s="206">
        <v>100217</v>
      </c>
      <c r="C7361" s="207" t="s">
        <v>8038</v>
      </c>
      <c r="D7361" s="208" t="s">
        <v>8007</v>
      </c>
      <c r="E7361" s="209">
        <v>2.67</v>
      </c>
      <c r="F7361" s="209">
        <v>0.97</v>
      </c>
      <c r="G7361" s="209">
        <v>3.64</v>
      </c>
      <c r="H7361" s="198"/>
    </row>
    <row r="7362" spans="1:8" ht="15.75" hidden="1" customHeight="1" x14ac:dyDescent="0.25">
      <c r="A7362" s="205" t="s">
        <v>8003</v>
      </c>
      <c r="B7362" s="206">
        <v>100224</v>
      </c>
      <c r="C7362" s="207" t="s">
        <v>8039</v>
      </c>
      <c r="D7362" s="208" t="s">
        <v>8010</v>
      </c>
      <c r="E7362" s="209">
        <v>2.67</v>
      </c>
      <c r="F7362" s="209">
        <v>0.97</v>
      </c>
      <c r="G7362" s="209">
        <v>3.64</v>
      </c>
      <c r="H7362" s="198"/>
    </row>
    <row r="7363" spans="1:8" ht="15.75" hidden="1" customHeight="1" x14ac:dyDescent="0.25">
      <c r="A7363" s="205" t="s">
        <v>8003</v>
      </c>
      <c r="B7363" s="206">
        <v>100228</v>
      </c>
      <c r="C7363" s="207" t="s">
        <v>8040</v>
      </c>
      <c r="D7363" s="208" t="s">
        <v>8027</v>
      </c>
      <c r="E7363" s="209">
        <v>0.28999999999999998</v>
      </c>
      <c r="F7363" s="209">
        <v>7.0000000000000007E-2</v>
      </c>
      <c r="G7363" s="209">
        <v>0.36</v>
      </c>
      <c r="H7363" s="198"/>
    </row>
    <row r="7364" spans="1:8" ht="15.75" hidden="1" customHeight="1" x14ac:dyDescent="0.25">
      <c r="A7364" s="205" t="s">
        <v>8003</v>
      </c>
      <c r="B7364" s="206">
        <v>100204</v>
      </c>
      <c r="C7364" s="207" t="s">
        <v>8041</v>
      </c>
      <c r="D7364" s="208" t="s">
        <v>8012</v>
      </c>
      <c r="E7364" s="209">
        <v>0.11</v>
      </c>
      <c r="F7364" s="209">
        <v>0.03</v>
      </c>
      <c r="G7364" s="209">
        <v>0.14000000000000001</v>
      </c>
      <c r="H7364" s="198"/>
    </row>
    <row r="7365" spans="1:8" ht="15.75" hidden="1" customHeight="1" x14ac:dyDescent="0.25">
      <c r="A7365" s="205" t="s">
        <v>8003</v>
      </c>
      <c r="B7365" s="206">
        <v>100284</v>
      </c>
      <c r="C7365" s="207" t="s">
        <v>8042</v>
      </c>
      <c r="D7365" s="208" t="s">
        <v>8010</v>
      </c>
      <c r="E7365" s="209">
        <v>9.5399999999999991</v>
      </c>
      <c r="F7365" s="209">
        <v>3.48</v>
      </c>
      <c r="G7365" s="209">
        <v>13.02</v>
      </c>
      <c r="H7365" s="198"/>
    </row>
    <row r="7366" spans="1:8" ht="15.75" hidden="1" customHeight="1" x14ac:dyDescent="0.25">
      <c r="A7366" s="205" t="s">
        <v>8003</v>
      </c>
      <c r="B7366" s="206">
        <v>100277</v>
      </c>
      <c r="C7366" s="207" t="s">
        <v>8043</v>
      </c>
      <c r="D7366" s="208" t="s">
        <v>8010</v>
      </c>
      <c r="E7366" s="209">
        <v>1.73</v>
      </c>
      <c r="F7366" s="209">
        <v>0.6</v>
      </c>
      <c r="G7366" s="209">
        <v>2.33</v>
      </c>
      <c r="H7366" s="198"/>
    </row>
    <row r="7367" spans="1:8" ht="15.75" hidden="1" customHeight="1" x14ac:dyDescent="0.25">
      <c r="A7367" s="205" t="s">
        <v>8003</v>
      </c>
      <c r="B7367" s="206">
        <v>100278</v>
      </c>
      <c r="C7367" s="207" t="s">
        <v>8044</v>
      </c>
      <c r="D7367" s="208" t="s">
        <v>8007</v>
      </c>
      <c r="E7367" s="209">
        <v>17.13</v>
      </c>
      <c r="F7367" s="209">
        <v>36.36</v>
      </c>
      <c r="G7367" s="209">
        <v>53.49</v>
      </c>
      <c r="H7367" s="198"/>
    </row>
    <row r="7368" spans="1:8" ht="15.75" hidden="1" customHeight="1" x14ac:dyDescent="0.25">
      <c r="A7368" s="205" t="s">
        <v>8003</v>
      </c>
      <c r="B7368" s="206">
        <v>100268</v>
      </c>
      <c r="C7368" s="207" t="s">
        <v>8045</v>
      </c>
      <c r="D7368" s="208" t="s">
        <v>8007</v>
      </c>
      <c r="E7368" s="209">
        <v>35.799999999999997</v>
      </c>
      <c r="F7368" s="209">
        <v>76.010000000000005</v>
      </c>
      <c r="G7368" s="209">
        <v>111.81</v>
      </c>
      <c r="H7368" s="198"/>
    </row>
    <row r="7369" spans="1:8" ht="15.75" hidden="1" customHeight="1" x14ac:dyDescent="0.25">
      <c r="A7369" s="205" t="s">
        <v>8003</v>
      </c>
      <c r="B7369" s="206">
        <v>100285</v>
      </c>
      <c r="C7369" s="207" t="s">
        <v>8046</v>
      </c>
      <c r="D7369" s="208" t="s">
        <v>8022</v>
      </c>
      <c r="E7369" s="209">
        <v>18.03</v>
      </c>
      <c r="F7369" s="209">
        <v>38.25</v>
      </c>
      <c r="G7369" s="209">
        <v>56.28</v>
      </c>
      <c r="H7369" s="198"/>
    </row>
    <row r="7370" spans="1:8" ht="15.75" hidden="1" customHeight="1" x14ac:dyDescent="0.25">
      <c r="A7370" s="205" t="s">
        <v>8003</v>
      </c>
      <c r="B7370" s="206">
        <v>100209</v>
      </c>
      <c r="C7370" s="207" t="s">
        <v>8047</v>
      </c>
      <c r="D7370" s="208" t="s">
        <v>8007</v>
      </c>
      <c r="E7370" s="209">
        <v>4.16</v>
      </c>
      <c r="F7370" s="209">
        <v>8.81</v>
      </c>
      <c r="G7370" s="209">
        <v>12.97</v>
      </c>
      <c r="H7370" s="198"/>
    </row>
    <row r="7371" spans="1:8" ht="15.75" hidden="1" customHeight="1" x14ac:dyDescent="0.25">
      <c r="A7371" s="205" t="s">
        <v>8003</v>
      </c>
      <c r="B7371" s="206">
        <v>100208</v>
      </c>
      <c r="C7371" s="207" t="s">
        <v>8048</v>
      </c>
      <c r="D7371" s="208" t="s">
        <v>8007</v>
      </c>
      <c r="E7371" s="209">
        <v>8.31</v>
      </c>
      <c r="F7371" s="209">
        <v>17.63</v>
      </c>
      <c r="G7371" s="209">
        <v>25.94</v>
      </c>
      <c r="H7371" s="198"/>
    </row>
    <row r="7372" spans="1:8" ht="15.75" hidden="1" customHeight="1" x14ac:dyDescent="0.25">
      <c r="A7372" s="205" t="s">
        <v>8003</v>
      </c>
      <c r="B7372" s="206">
        <v>100256</v>
      </c>
      <c r="C7372" s="207" t="s">
        <v>8049</v>
      </c>
      <c r="D7372" s="208" t="s">
        <v>8022</v>
      </c>
      <c r="E7372" s="209">
        <v>3.81</v>
      </c>
      <c r="F7372" s="209">
        <v>8.07</v>
      </c>
      <c r="G7372" s="209">
        <v>11.88</v>
      </c>
      <c r="H7372" s="198"/>
    </row>
    <row r="7373" spans="1:8" ht="15.75" hidden="1" customHeight="1" x14ac:dyDescent="0.25">
      <c r="A7373" s="205" t="s">
        <v>8003</v>
      </c>
      <c r="B7373" s="206">
        <v>100220</v>
      </c>
      <c r="C7373" s="207" t="s">
        <v>8050</v>
      </c>
      <c r="D7373" s="208" t="s">
        <v>8010</v>
      </c>
      <c r="E7373" s="209">
        <v>11.94</v>
      </c>
      <c r="F7373" s="209">
        <v>25.33</v>
      </c>
      <c r="G7373" s="209">
        <v>37.270000000000003</v>
      </c>
      <c r="H7373" s="198"/>
    </row>
    <row r="7374" spans="1:8" ht="15.75" hidden="1" customHeight="1" x14ac:dyDescent="0.25">
      <c r="A7374" s="205" t="s">
        <v>8003</v>
      </c>
      <c r="B7374" s="206">
        <v>100287</v>
      </c>
      <c r="C7374" s="207" t="s">
        <v>8051</v>
      </c>
      <c r="D7374" s="208" t="s">
        <v>8022</v>
      </c>
      <c r="E7374" s="209">
        <v>5.62</v>
      </c>
      <c r="F7374" s="209">
        <v>11.94</v>
      </c>
      <c r="G7374" s="209">
        <v>17.559999999999999</v>
      </c>
      <c r="H7374" s="198"/>
    </row>
    <row r="7375" spans="1:8" ht="15.75" hidden="1" customHeight="1" x14ac:dyDescent="0.25">
      <c r="A7375" s="205" t="s">
        <v>8003</v>
      </c>
      <c r="B7375" s="206">
        <v>100274</v>
      </c>
      <c r="C7375" s="207" t="s">
        <v>8052</v>
      </c>
      <c r="D7375" s="208" t="s">
        <v>8010</v>
      </c>
      <c r="E7375" s="209">
        <v>11.95</v>
      </c>
      <c r="F7375" s="209">
        <v>25.34</v>
      </c>
      <c r="G7375" s="209">
        <v>37.29</v>
      </c>
      <c r="H7375" s="198"/>
    </row>
    <row r="7376" spans="1:8" ht="15.75" hidden="1" customHeight="1" x14ac:dyDescent="0.25">
      <c r="A7376" s="205" t="s">
        <v>8003</v>
      </c>
      <c r="B7376" s="206">
        <v>100264</v>
      </c>
      <c r="C7376" s="207" t="s">
        <v>8053</v>
      </c>
      <c r="D7376" s="208" t="s">
        <v>8010</v>
      </c>
      <c r="E7376" s="209">
        <v>16.850000000000001</v>
      </c>
      <c r="F7376" s="209">
        <v>35.76</v>
      </c>
      <c r="G7376" s="209">
        <v>52.61</v>
      </c>
      <c r="H7376" s="198"/>
    </row>
    <row r="7377" spans="1:8" ht="15.75" hidden="1" customHeight="1" x14ac:dyDescent="0.25">
      <c r="A7377" s="205" t="s">
        <v>8003</v>
      </c>
      <c r="B7377" s="206">
        <v>100225</v>
      </c>
      <c r="C7377" s="207" t="s">
        <v>8054</v>
      </c>
      <c r="D7377" s="208" t="s">
        <v>8027</v>
      </c>
      <c r="E7377" s="209">
        <v>0.94</v>
      </c>
      <c r="F7377" s="209">
        <v>1.98</v>
      </c>
      <c r="G7377" s="209">
        <v>2.92</v>
      </c>
      <c r="H7377" s="198"/>
    </row>
    <row r="7378" spans="1:8" ht="15.75" hidden="1" customHeight="1" x14ac:dyDescent="0.25">
      <c r="A7378" s="205" t="s">
        <v>8003</v>
      </c>
      <c r="B7378" s="206">
        <v>100266</v>
      </c>
      <c r="C7378" s="207" t="s">
        <v>8055</v>
      </c>
      <c r="D7378" s="208" t="s">
        <v>8007</v>
      </c>
      <c r="E7378" s="209">
        <v>35.799999999999997</v>
      </c>
      <c r="F7378" s="209">
        <v>76.010000000000005</v>
      </c>
      <c r="G7378" s="209">
        <v>111.81</v>
      </c>
      <c r="H7378" s="198"/>
    </row>
    <row r="7379" spans="1:8" ht="15.75" hidden="1" customHeight="1" x14ac:dyDescent="0.25">
      <c r="A7379" s="205" t="s">
        <v>8003</v>
      </c>
      <c r="B7379" s="206">
        <v>100257</v>
      </c>
      <c r="C7379" s="207" t="s">
        <v>8056</v>
      </c>
      <c r="D7379" s="208" t="s">
        <v>8022</v>
      </c>
      <c r="E7379" s="209">
        <v>2.29</v>
      </c>
      <c r="F7379" s="209">
        <v>4.84</v>
      </c>
      <c r="G7379" s="209">
        <v>7.13</v>
      </c>
      <c r="H7379" s="198"/>
    </row>
    <row r="7380" spans="1:8" ht="15.75" hidden="1" customHeight="1" x14ac:dyDescent="0.25">
      <c r="A7380" s="205" t="s">
        <v>8003</v>
      </c>
      <c r="B7380" s="206">
        <v>100197</v>
      </c>
      <c r="C7380" s="207" t="s">
        <v>8057</v>
      </c>
      <c r="D7380" s="208" t="s">
        <v>8012</v>
      </c>
      <c r="E7380" s="209">
        <v>0.85</v>
      </c>
      <c r="F7380" s="209">
        <v>1.78</v>
      </c>
      <c r="G7380" s="209">
        <v>2.63</v>
      </c>
      <c r="H7380" s="198"/>
    </row>
    <row r="7381" spans="1:8" ht="15.75" hidden="1" customHeight="1" x14ac:dyDescent="0.25">
      <c r="A7381" s="205" t="s">
        <v>8003</v>
      </c>
      <c r="B7381" s="206">
        <v>100196</v>
      </c>
      <c r="C7381" s="207" t="s">
        <v>8058</v>
      </c>
      <c r="D7381" s="208" t="s">
        <v>8012</v>
      </c>
      <c r="E7381" s="209">
        <v>0.56000000000000005</v>
      </c>
      <c r="F7381" s="209">
        <v>1.19</v>
      </c>
      <c r="G7381" s="209">
        <v>1.75</v>
      </c>
      <c r="H7381" s="198"/>
    </row>
    <row r="7382" spans="1:8" ht="15.75" hidden="1" customHeight="1" x14ac:dyDescent="0.25">
      <c r="A7382" s="205" t="s">
        <v>8003</v>
      </c>
      <c r="B7382" s="206">
        <v>100195</v>
      </c>
      <c r="C7382" s="207" t="s">
        <v>8059</v>
      </c>
      <c r="D7382" s="208" t="s">
        <v>8012</v>
      </c>
      <c r="E7382" s="209">
        <v>0.34</v>
      </c>
      <c r="F7382" s="209">
        <v>0.71</v>
      </c>
      <c r="G7382" s="209">
        <v>1.05</v>
      </c>
      <c r="H7382" s="198"/>
    </row>
    <row r="7383" spans="1:8" ht="15.75" hidden="1" customHeight="1" x14ac:dyDescent="0.25">
      <c r="A7383" s="205" t="s">
        <v>8003</v>
      </c>
      <c r="B7383" s="206">
        <v>100273</v>
      </c>
      <c r="C7383" s="207" t="s">
        <v>8060</v>
      </c>
      <c r="D7383" s="208" t="s">
        <v>8012</v>
      </c>
      <c r="E7383" s="209">
        <v>1.41</v>
      </c>
      <c r="F7383" s="209">
        <v>2.96</v>
      </c>
      <c r="G7383" s="209">
        <v>4.37</v>
      </c>
      <c r="H7383" s="198"/>
    </row>
    <row r="7384" spans="1:8" ht="15.75" hidden="1" customHeight="1" x14ac:dyDescent="0.25">
      <c r="A7384" s="205" t="s">
        <v>8003</v>
      </c>
      <c r="B7384" s="206">
        <v>100282</v>
      </c>
      <c r="C7384" s="207" t="s">
        <v>8061</v>
      </c>
      <c r="D7384" s="208" t="s">
        <v>8010</v>
      </c>
      <c r="E7384" s="209">
        <v>67.06</v>
      </c>
      <c r="F7384" s="209">
        <v>142.41999999999999</v>
      </c>
      <c r="G7384" s="209">
        <v>209.48</v>
      </c>
      <c r="H7384" s="198"/>
    </row>
    <row r="7385" spans="1:8" ht="15.75" hidden="1" customHeight="1" x14ac:dyDescent="0.25">
      <c r="A7385" s="205" t="s">
        <v>8003</v>
      </c>
      <c r="B7385" s="206">
        <v>100276</v>
      </c>
      <c r="C7385" s="207" t="s">
        <v>8062</v>
      </c>
      <c r="D7385" s="208" t="s">
        <v>8010</v>
      </c>
      <c r="E7385" s="209">
        <v>14.09</v>
      </c>
      <c r="F7385" s="209">
        <v>29.9</v>
      </c>
      <c r="G7385" s="209">
        <v>43.99</v>
      </c>
      <c r="H7385" s="198"/>
    </row>
    <row r="7386" spans="1:8" ht="15.75" hidden="1" customHeight="1" x14ac:dyDescent="0.25">
      <c r="A7386" s="205" t="s">
        <v>8003</v>
      </c>
      <c r="B7386" s="206">
        <v>100275</v>
      </c>
      <c r="C7386" s="207" t="s">
        <v>8063</v>
      </c>
      <c r="D7386" s="208" t="s">
        <v>8010</v>
      </c>
      <c r="E7386" s="209">
        <v>7.73</v>
      </c>
      <c r="F7386" s="209">
        <v>16.38</v>
      </c>
      <c r="G7386" s="209">
        <v>24.11</v>
      </c>
      <c r="H7386" s="198"/>
    </row>
    <row r="7387" spans="1:8" ht="15.75" hidden="1" customHeight="1" x14ac:dyDescent="0.25">
      <c r="A7387" s="205" t="s">
        <v>8003</v>
      </c>
      <c r="B7387" s="206">
        <v>100254</v>
      </c>
      <c r="C7387" s="207" t="s">
        <v>8064</v>
      </c>
      <c r="D7387" s="208" t="s">
        <v>8022</v>
      </c>
      <c r="E7387" s="209">
        <v>16.88</v>
      </c>
      <c r="F7387" s="209">
        <v>35.81</v>
      </c>
      <c r="G7387" s="209">
        <v>52.69</v>
      </c>
      <c r="H7387" s="198"/>
    </row>
    <row r="7388" spans="1:8" ht="15.75" hidden="1" customHeight="1" x14ac:dyDescent="0.25">
      <c r="A7388" s="205" t="s">
        <v>8003</v>
      </c>
      <c r="B7388" s="206">
        <v>100250</v>
      </c>
      <c r="C7388" s="207" t="s">
        <v>8065</v>
      </c>
      <c r="D7388" s="208" t="s">
        <v>8022</v>
      </c>
      <c r="E7388" s="209">
        <v>1.91</v>
      </c>
      <c r="F7388" s="209">
        <v>4.03</v>
      </c>
      <c r="G7388" s="209">
        <v>5.94</v>
      </c>
      <c r="H7388" s="198"/>
    </row>
    <row r="7389" spans="1:8" ht="15.75" hidden="1" customHeight="1" x14ac:dyDescent="0.25">
      <c r="A7389" s="205" t="s">
        <v>8003</v>
      </c>
      <c r="B7389" s="206">
        <v>100251</v>
      </c>
      <c r="C7389" s="207" t="s">
        <v>8066</v>
      </c>
      <c r="D7389" s="208" t="s">
        <v>8022</v>
      </c>
      <c r="E7389" s="209">
        <v>5.62</v>
      </c>
      <c r="F7389" s="209">
        <v>11.94</v>
      </c>
      <c r="G7389" s="209">
        <v>17.559999999999999</v>
      </c>
      <c r="H7389" s="198"/>
    </row>
    <row r="7390" spans="1:8" ht="15.75" hidden="1" customHeight="1" x14ac:dyDescent="0.25">
      <c r="A7390" s="205" t="s">
        <v>8003</v>
      </c>
      <c r="B7390" s="206">
        <v>100252</v>
      </c>
      <c r="C7390" s="207" t="s">
        <v>8067</v>
      </c>
      <c r="D7390" s="208" t="s">
        <v>8022</v>
      </c>
      <c r="E7390" s="209">
        <v>8.43</v>
      </c>
      <c r="F7390" s="209">
        <v>17.91</v>
      </c>
      <c r="G7390" s="209">
        <v>26.34</v>
      </c>
      <c r="H7390" s="198"/>
    </row>
    <row r="7391" spans="1:8" ht="15.75" hidden="1" customHeight="1" x14ac:dyDescent="0.25">
      <c r="A7391" s="205" t="s">
        <v>8003</v>
      </c>
      <c r="B7391" s="206">
        <v>100253</v>
      </c>
      <c r="C7391" s="207" t="s">
        <v>8068</v>
      </c>
      <c r="D7391" s="208" t="s">
        <v>8022</v>
      </c>
      <c r="E7391" s="209">
        <v>11.24</v>
      </c>
      <c r="F7391" s="209">
        <v>23.88</v>
      </c>
      <c r="G7391" s="209">
        <v>35.119999999999997</v>
      </c>
      <c r="H7391" s="198"/>
    </row>
    <row r="7392" spans="1:8" ht="15.75" hidden="1" customHeight="1" x14ac:dyDescent="0.25">
      <c r="A7392" s="205" t="s">
        <v>8003</v>
      </c>
      <c r="B7392" s="206">
        <v>100249</v>
      </c>
      <c r="C7392" s="207" t="s">
        <v>8069</v>
      </c>
      <c r="D7392" s="208" t="s">
        <v>8022</v>
      </c>
      <c r="E7392" s="209">
        <v>1.1399999999999999</v>
      </c>
      <c r="F7392" s="209">
        <v>2.42</v>
      </c>
      <c r="G7392" s="209">
        <v>3.56</v>
      </c>
      <c r="H7392" s="198"/>
    </row>
    <row r="7393" spans="1:8" ht="15.75" hidden="1" customHeight="1" x14ac:dyDescent="0.25">
      <c r="A7393" s="205" t="s">
        <v>8003</v>
      </c>
      <c r="B7393" s="206">
        <v>100244</v>
      </c>
      <c r="C7393" s="207" t="s">
        <v>8070</v>
      </c>
      <c r="D7393" s="208" t="s">
        <v>8022</v>
      </c>
      <c r="E7393" s="209">
        <v>1.71</v>
      </c>
      <c r="F7393" s="209">
        <v>3.63</v>
      </c>
      <c r="G7393" s="209">
        <v>5.34</v>
      </c>
      <c r="H7393" s="198"/>
    </row>
    <row r="7394" spans="1:8" ht="15.75" hidden="1" customHeight="1" x14ac:dyDescent="0.25">
      <c r="A7394" s="205" t="s">
        <v>8003</v>
      </c>
      <c r="B7394" s="206">
        <v>100245</v>
      </c>
      <c r="C7394" s="207" t="s">
        <v>8071</v>
      </c>
      <c r="D7394" s="208" t="s">
        <v>8022</v>
      </c>
      <c r="E7394" s="209">
        <v>3.44</v>
      </c>
      <c r="F7394" s="209">
        <v>7.26</v>
      </c>
      <c r="G7394" s="209">
        <v>10.7</v>
      </c>
      <c r="H7394" s="198"/>
    </row>
    <row r="7395" spans="1:8" ht="15.75" hidden="1" customHeight="1" x14ac:dyDescent="0.25">
      <c r="A7395" s="205" t="s">
        <v>8003</v>
      </c>
      <c r="B7395" s="206">
        <v>100243</v>
      </c>
      <c r="C7395" s="207" t="s">
        <v>8072</v>
      </c>
      <c r="D7395" s="208" t="s">
        <v>8022</v>
      </c>
      <c r="E7395" s="209">
        <v>1.38</v>
      </c>
      <c r="F7395" s="209">
        <v>2.9</v>
      </c>
      <c r="G7395" s="209">
        <v>4.28</v>
      </c>
      <c r="H7395" s="198"/>
    </row>
    <row r="7396" spans="1:8" ht="15.75" hidden="1" customHeight="1" x14ac:dyDescent="0.25">
      <c r="A7396" s="205" t="s">
        <v>8003</v>
      </c>
      <c r="B7396" s="206">
        <v>100239</v>
      </c>
      <c r="C7396" s="207" t="s">
        <v>8073</v>
      </c>
      <c r="D7396" s="208" t="s">
        <v>8022</v>
      </c>
      <c r="E7396" s="209">
        <v>2.86</v>
      </c>
      <c r="F7396" s="209">
        <v>6.05</v>
      </c>
      <c r="G7396" s="209">
        <v>8.91</v>
      </c>
      <c r="H7396" s="198"/>
    </row>
    <row r="7397" spans="1:8" ht="15.75" hidden="1" customHeight="1" x14ac:dyDescent="0.25">
      <c r="A7397" s="205" t="s">
        <v>8003</v>
      </c>
      <c r="B7397" s="206">
        <v>100238</v>
      </c>
      <c r="C7397" s="207" t="s">
        <v>8074</v>
      </c>
      <c r="D7397" s="208" t="s">
        <v>8022</v>
      </c>
      <c r="E7397" s="209">
        <v>2.29</v>
      </c>
      <c r="F7397" s="209">
        <v>4.84</v>
      </c>
      <c r="G7397" s="209">
        <v>7.13</v>
      </c>
      <c r="H7397" s="198"/>
    </row>
    <row r="7398" spans="1:8" ht="15.75" hidden="1" customHeight="1" x14ac:dyDescent="0.25">
      <c r="A7398" s="205" t="s">
        <v>8003</v>
      </c>
      <c r="B7398" s="206">
        <v>100241</v>
      </c>
      <c r="C7398" s="207" t="s">
        <v>8075</v>
      </c>
      <c r="D7398" s="208" t="s">
        <v>8022</v>
      </c>
      <c r="E7398" s="209">
        <v>2.86</v>
      </c>
      <c r="F7398" s="209">
        <v>6.05</v>
      </c>
      <c r="G7398" s="209">
        <v>8.91</v>
      </c>
      <c r="H7398" s="198"/>
    </row>
    <row r="7399" spans="1:8" ht="15.75" hidden="1" customHeight="1" x14ac:dyDescent="0.25">
      <c r="A7399" s="205" t="s">
        <v>8003</v>
      </c>
      <c r="B7399" s="206">
        <v>100242</v>
      </c>
      <c r="C7399" s="207" t="s">
        <v>8076</v>
      </c>
      <c r="D7399" s="208" t="s">
        <v>8022</v>
      </c>
      <c r="E7399" s="209">
        <v>8.43</v>
      </c>
      <c r="F7399" s="209">
        <v>17.91</v>
      </c>
      <c r="G7399" s="209">
        <v>26.34</v>
      </c>
      <c r="H7399" s="198"/>
    </row>
    <row r="7400" spans="1:8" ht="15.75" hidden="1" customHeight="1" x14ac:dyDescent="0.25">
      <c r="A7400" s="205" t="s">
        <v>8003</v>
      </c>
      <c r="B7400" s="206">
        <v>100240</v>
      </c>
      <c r="C7400" s="207" t="s">
        <v>8077</v>
      </c>
      <c r="D7400" s="208" t="s">
        <v>8022</v>
      </c>
      <c r="E7400" s="209">
        <v>1.71</v>
      </c>
      <c r="F7400" s="209">
        <v>3.63</v>
      </c>
      <c r="G7400" s="209">
        <v>5.34</v>
      </c>
      <c r="H7400" s="198"/>
    </row>
    <row r="7401" spans="1:8" ht="15.75" hidden="1" customHeight="1" x14ac:dyDescent="0.25">
      <c r="A7401" s="205" t="s">
        <v>8003</v>
      </c>
      <c r="B7401" s="206">
        <v>100237</v>
      </c>
      <c r="C7401" s="207" t="s">
        <v>8078</v>
      </c>
      <c r="D7401" s="208" t="s">
        <v>8022</v>
      </c>
      <c r="E7401" s="209">
        <v>1.42</v>
      </c>
      <c r="F7401" s="209">
        <v>3.03</v>
      </c>
      <c r="G7401" s="209">
        <v>4.45</v>
      </c>
      <c r="H7401" s="198"/>
    </row>
    <row r="7402" spans="1:8" ht="15.75" hidden="1" customHeight="1" x14ac:dyDescent="0.25">
      <c r="A7402" s="205" t="s">
        <v>8003</v>
      </c>
      <c r="B7402" s="206">
        <v>100236</v>
      </c>
      <c r="C7402" s="207" t="s">
        <v>8079</v>
      </c>
      <c r="D7402" s="208" t="s">
        <v>8022</v>
      </c>
      <c r="E7402" s="209">
        <v>1.2</v>
      </c>
      <c r="F7402" s="209">
        <v>2.5099999999999998</v>
      </c>
      <c r="G7402" s="209">
        <v>3.71</v>
      </c>
      <c r="H7402" s="198"/>
    </row>
    <row r="7403" spans="1:8" ht="15.75" hidden="1" customHeight="1" x14ac:dyDescent="0.25">
      <c r="A7403" s="205" t="s">
        <v>8003</v>
      </c>
      <c r="B7403" s="206">
        <v>100248</v>
      </c>
      <c r="C7403" s="207" t="s">
        <v>8080</v>
      </c>
      <c r="D7403" s="208" t="s">
        <v>8022</v>
      </c>
      <c r="E7403" s="209">
        <v>5.62</v>
      </c>
      <c r="F7403" s="209">
        <v>11.94</v>
      </c>
      <c r="G7403" s="209">
        <v>17.559999999999999</v>
      </c>
      <c r="H7403" s="198"/>
    </row>
    <row r="7404" spans="1:8" ht="15.75" hidden="1" customHeight="1" x14ac:dyDescent="0.25">
      <c r="A7404" s="205" t="s">
        <v>8003</v>
      </c>
      <c r="B7404" s="206">
        <v>100247</v>
      </c>
      <c r="C7404" s="207" t="s">
        <v>8081</v>
      </c>
      <c r="D7404" s="208" t="s">
        <v>8022</v>
      </c>
      <c r="E7404" s="209">
        <v>1.42</v>
      </c>
      <c r="F7404" s="209">
        <v>3.03</v>
      </c>
      <c r="G7404" s="209">
        <v>4.45</v>
      </c>
      <c r="H7404" s="198"/>
    </row>
    <row r="7405" spans="1:8" ht="15.75" hidden="1" customHeight="1" x14ac:dyDescent="0.25">
      <c r="A7405" s="205" t="s">
        <v>8003</v>
      </c>
      <c r="B7405" s="206">
        <v>100246</v>
      </c>
      <c r="C7405" s="207" t="s">
        <v>8082</v>
      </c>
      <c r="D7405" s="208" t="s">
        <v>8022</v>
      </c>
      <c r="E7405" s="209">
        <v>1.1399999999999999</v>
      </c>
      <c r="F7405" s="209">
        <v>2.42</v>
      </c>
      <c r="G7405" s="209">
        <v>3.56</v>
      </c>
      <c r="H7405" s="198"/>
    </row>
    <row r="7406" spans="1:8" ht="15.75" hidden="1" customHeight="1" x14ac:dyDescent="0.25">
      <c r="A7406" s="205" t="s">
        <v>8003</v>
      </c>
      <c r="B7406" s="206">
        <v>100255</v>
      </c>
      <c r="C7406" s="207" t="s">
        <v>8083</v>
      </c>
      <c r="D7406" s="208" t="s">
        <v>8022</v>
      </c>
      <c r="E7406" s="209">
        <v>5.71</v>
      </c>
      <c r="F7406" s="209">
        <v>12.12</v>
      </c>
      <c r="G7406" s="209">
        <v>17.829999999999998</v>
      </c>
      <c r="H7406" s="198"/>
    </row>
    <row r="7407" spans="1:8" ht="15.75" hidden="1" customHeight="1" x14ac:dyDescent="0.25">
      <c r="A7407" s="205" t="s">
        <v>8003</v>
      </c>
      <c r="B7407" s="206">
        <v>100263</v>
      </c>
      <c r="C7407" s="207" t="s">
        <v>8084</v>
      </c>
      <c r="D7407" s="208" t="s">
        <v>8012</v>
      </c>
      <c r="E7407" s="209">
        <v>0.94</v>
      </c>
      <c r="F7407" s="209">
        <v>1.95</v>
      </c>
      <c r="G7407" s="209">
        <v>2.89</v>
      </c>
      <c r="H7407" s="198"/>
    </row>
    <row r="7408" spans="1:8" ht="15.75" hidden="1" customHeight="1" x14ac:dyDescent="0.25">
      <c r="A7408" s="205" t="s">
        <v>8003</v>
      </c>
      <c r="B7408" s="206">
        <v>100260</v>
      </c>
      <c r="C7408" s="207" t="s">
        <v>8085</v>
      </c>
      <c r="D7408" s="208" t="s">
        <v>8012</v>
      </c>
      <c r="E7408" s="209">
        <v>3.71</v>
      </c>
      <c r="F7408" s="209">
        <v>7.86</v>
      </c>
      <c r="G7408" s="209">
        <v>11.57</v>
      </c>
      <c r="H7408" s="198"/>
    </row>
    <row r="7409" spans="1:8" ht="15.75" hidden="1" customHeight="1" x14ac:dyDescent="0.25">
      <c r="A7409" s="205" t="s">
        <v>8003</v>
      </c>
      <c r="B7409" s="206">
        <v>100261</v>
      </c>
      <c r="C7409" s="207" t="s">
        <v>8086</v>
      </c>
      <c r="D7409" s="208" t="s">
        <v>8012</v>
      </c>
      <c r="E7409" s="209">
        <v>2.34</v>
      </c>
      <c r="F7409" s="209">
        <v>4.93</v>
      </c>
      <c r="G7409" s="209">
        <v>7.27</v>
      </c>
      <c r="H7409" s="198"/>
    </row>
    <row r="7410" spans="1:8" ht="15.75" hidden="1" customHeight="1" x14ac:dyDescent="0.25">
      <c r="A7410" s="205" t="s">
        <v>8003</v>
      </c>
      <c r="B7410" s="206">
        <v>100262</v>
      </c>
      <c r="C7410" s="207" t="s">
        <v>8087</v>
      </c>
      <c r="D7410" s="208" t="s">
        <v>8012</v>
      </c>
      <c r="E7410" s="209">
        <v>1.45</v>
      </c>
      <c r="F7410" s="209">
        <v>3.06</v>
      </c>
      <c r="G7410" s="209">
        <v>4.51</v>
      </c>
      <c r="H7410" s="198"/>
    </row>
    <row r="7411" spans="1:8" ht="15.75" hidden="1" customHeight="1" x14ac:dyDescent="0.25">
      <c r="A7411" s="205" t="s">
        <v>8003</v>
      </c>
      <c r="B7411" s="206">
        <v>100271</v>
      </c>
      <c r="C7411" s="207" t="s">
        <v>8088</v>
      </c>
      <c r="D7411" s="208" t="s">
        <v>8010</v>
      </c>
      <c r="E7411" s="209">
        <v>26.86</v>
      </c>
      <c r="F7411" s="209">
        <v>57</v>
      </c>
      <c r="G7411" s="209">
        <v>83.86</v>
      </c>
      <c r="H7411" s="198"/>
    </row>
    <row r="7412" spans="1:8" ht="15.75" hidden="1" customHeight="1" x14ac:dyDescent="0.25">
      <c r="A7412" s="205" t="s">
        <v>8003</v>
      </c>
      <c r="B7412" s="206">
        <v>100258</v>
      </c>
      <c r="C7412" s="207" t="s">
        <v>8089</v>
      </c>
      <c r="D7412" s="208" t="s">
        <v>8022</v>
      </c>
      <c r="E7412" s="209">
        <v>5.71</v>
      </c>
      <c r="F7412" s="209">
        <v>12.12</v>
      </c>
      <c r="G7412" s="209">
        <v>17.829999999999998</v>
      </c>
      <c r="H7412" s="198"/>
    </row>
    <row r="7413" spans="1:8" ht="15.75" hidden="1" customHeight="1" x14ac:dyDescent="0.25">
      <c r="A7413" s="205" t="s">
        <v>8003</v>
      </c>
      <c r="B7413" s="206">
        <v>100259</v>
      </c>
      <c r="C7413" s="207" t="s">
        <v>8090</v>
      </c>
      <c r="D7413" s="208" t="s">
        <v>8022</v>
      </c>
      <c r="E7413" s="209">
        <v>11.24</v>
      </c>
      <c r="F7413" s="209">
        <v>23.88</v>
      </c>
      <c r="G7413" s="209">
        <v>35.119999999999997</v>
      </c>
      <c r="H7413" s="198"/>
    </row>
    <row r="7414" spans="1:8" ht="15.75" hidden="1" customHeight="1" x14ac:dyDescent="0.25">
      <c r="A7414" s="205" t="s">
        <v>8003</v>
      </c>
      <c r="B7414" s="206">
        <v>100279</v>
      </c>
      <c r="C7414" s="207" t="s">
        <v>8091</v>
      </c>
      <c r="D7414" s="208" t="s">
        <v>580</v>
      </c>
      <c r="E7414" s="209">
        <v>0.34</v>
      </c>
      <c r="F7414" s="209">
        <v>0.69</v>
      </c>
      <c r="G7414" s="209">
        <v>1.03</v>
      </c>
      <c r="H7414" s="198"/>
    </row>
    <row r="7415" spans="1:8" ht="15.75" hidden="1" customHeight="1" x14ac:dyDescent="0.25">
      <c r="A7415" s="205" t="s">
        <v>8003</v>
      </c>
      <c r="B7415" s="206">
        <v>100233</v>
      </c>
      <c r="C7415" s="207" t="s">
        <v>8092</v>
      </c>
      <c r="D7415" s="208" t="s">
        <v>580</v>
      </c>
      <c r="E7415" s="209">
        <v>0.08</v>
      </c>
      <c r="F7415" s="209">
        <v>0.16</v>
      </c>
      <c r="G7415" s="209">
        <v>0.24</v>
      </c>
      <c r="H7415" s="198"/>
    </row>
    <row r="7416" spans="1:8" ht="15.75" hidden="1" customHeight="1" x14ac:dyDescent="0.25">
      <c r="A7416" s="205" t="s">
        <v>8003</v>
      </c>
      <c r="B7416" s="206">
        <v>100232</v>
      </c>
      <c r="C7416" s="207" t="s">
        <v>8093</v>
      </c>
      <c r="D7416" s="208" t="s">
        <v>580</v>
      </c>
      <c r="E7416" s="209">
        <v>0.16</v>
      </c>
      <c r="F7416" s="209">
        <v>0.33</v>
      </c>
      <c r="G7416" s="209">
        <v>0.49</v>
      </c>
      <c r="H7416" s="198"/>
    </row>
    <row r="7417" spans="1:8" ht="15.75" hidden="1" customHeight="1" x14ac:dyDescent="0.25">
      <c r="A7417" s="205" t="s">
        <v>8003</v>
      </c>
      <c r="B7417" s="206">
        <v>100234</v>
      </c>
      <c r="C7417" s="207" t="s">
        <v>8094</v>
      </c>
      <c r="D7417" s="208" t="s">
        <v>578</v>
      </c>
      <c r="E7417" s="209">
        <v>0.24</v>
      </c>
      <c r="F7417" s="209">
        <v>0.49</v>
      </c>
      <c r="G7417" s="209">
        <v>0.73</v>
      </c>
      <c r="H7417" s="198"/>
    </row>
    <row r="7418" spans="1:8" ht="15.75" hidden="1" customHeight="1" x14ac:dyDescent="0.25">
      <c r="A7418" s="205" t="s">
        <v>8003</v>
      </c>
      <c r="B7418" s="206">
        <v>100265</v>
      </c>
      <c r="C7418" s="207" t="s">
        <v>8095</v>
      </c>
      <c r="D7418" s="208" t="s">
        <v>578</v>
      </c>
      <c r="E7418" s="209">
        <v>0.36</v>
      </c>
      <c r="F7418" s="209">
        <v>0.74</v>
      </c>
      <c r="G7418" s="209">
        <v>1.1000000000000001</v>
      </c>
      <c r="H7418" s="198"/>
    </row>
    <row r="7419" spans="1:8" ht="15.75" hidden="1" customHeight="1" x14ac:dyDescent="0.25">
      <c r="A7419" s="205" t="s">
        <v>8003</v>
      </c>
      <c r="B7419" s="206">
        <v>100235</v>
      </c>
      <c r="C7419" s="207" t="s">
        <v>8096</v>
      </c>
      <c r="D7419" s="208" t="s">
        <v>517</v>
      </c>
      <c r="E7419" s="209">
        <v>0.02</v>
      </c>
      <c r="F7419" s="209">
        <v>0.03</v>
      </c>
      <c r="G7419" s="209">
        <v>0.05</v>
      </c>
      <c r="H7419" s="198"/>
    </row>
    <row r="7420" spans="1:8" ht="15.75" hidden="1" customHeight="1" x14ac:dyDescent="0.25">
      <c r="A7420" s="205" t="s">
        <v>8003</v>
      </c>
      <c r="B7420" s="206">
        <v>100267</v>
      </c>
      <c r="C7420" s="207" t="s">
        <v>8097</v>
      </c>
      <c r="D7420" s="208" t="s">
        <v>580</v>
      </c>
      <c r="E7420" s="209">
        <v>0.72</v>
      </c>
      <c r="F7420" s="209">
        <v>1.49</v>
      </c>
      <c r="G7420" s="209">
        <v>2.21</v>
      </c>
      <c r="H7420" s="198"/>
    </row>
    <row r="7421" spans="1:8" ht="15.75" hidden="1" customHeight="1" x14ac:dyDescent="0.25">
      <c r="A7421" s="205" t="s">
        <v>8003</v>
      </c>
      <c r="B7421" s="206">
        <v>100231</v>
      </c>
      <c r="C7421" s="207" t="s">
        <v>8098</v>
      </c>
      <c r="D7421" s="208" t="s">
        <v>823</v>
      </c>
      <c r="E7421" s="209">
        <v>0.02</v>
      </c>
      <c r="F7421" s="209">
        <v>0.03</v>
      </c>
      <c r="G7421" s="209">
        <v>0.05</v>
      </c>
      <c r="H7421" s="198"/>
    </row>
    <row r="7422" spans="1:8" ht="15.75" hidden="1" customHeight="1" x14ac:dyDescent="0.25">
      <c r="A7422" s="205" t="s">
        <v>8003</v>
      </c>
      <c r="B7422" s="206">
        <v>100230</v>
      </c>
      <c r="C7422" s="207" t="s">
        <v>8099</v>
      </c>
      <c r="D7422" s="208" t="s">
        <v>823</v>
      </c>
      <c r="E7422" s="209">
        <v>0.01</v>
      </c>
      <c r="F7422" s="209">
        <v>0.02</v>
      </c>
      <c r="G7422" s="209">
        <v>0.03</v>
      </c>
      <c r="H7422" s="198"/>
    </row>
    <row r="7423" spans="1:8" ht="15.75" hidden="1" customHeight="1" x14ac:dyDescent="0.25">
      <c r="A7423" s="205" t="s">
        <v>8003</v>
      </c>
      <c r="B7423" s="206">
        <v>100229</v>
      </c>
      <c r="C7423" s="207" t="s">
        <v>8100</v>
      </c>
      <c r="D7423" s="208" t="s">
        <v>823</v>
      </c>
      <c r="E7423" s="209">
        <v>0.01</v>
      </c>
      <c r="F7423" s="209">
        <v>0.01</v>
      </c>
      <c r="G7423" s="209">
        <v>0.02</v>
      </c>
      <c r="H7423" s="198"/>
    </row>
    <row r="7424" spans="1:8" ht="15.75" hidden="1" customHeight="1" x14ac:dyDescent="0.25">
      <c r="A7424" s="205" t="s">
        <v>8003</v>
      </c>
      <c r="B7424" s="206">
        <v>100272</v>
      </c>
      <c r="C7424" s="207" t="s">
        <v>8101</v>
      </c>
      <c r="D7424" s="208" t="s">
        <v>578</v>
      </c>
      <c r="E7424" s="209">
        <v>0.54</v>
      </c>
      <c r="F7424" s="209">
        <v>1.1200000000000001</v>
      </c>
      <c r="G7424" s="209">
        <v>1.66</v>
      </c>
      <c r="H7424" s="198"/>
    </row>
    <row r="7425" spans="1:8" ht="15.75" hidden="1" customHeight="1" x14ac:dyDescent="0.25">
      <c r="A7425" s="205" t="s">
        <v>8003</v>
      </c>
      <c r="B7425" s="206">
        <v>100269</v>
      </c>
      <c r="C7425" s="207" t="s">
        <v>8102</v>
      </c>
      <c r="D7425" s="208" t="s">
        <v>580</v>
      </c>
      <c r="E7425" s="209">
        <v>0.72</v>
      </c>
      <c r="F7425" s="209">
        <v>1.49</v>
      </c>
      <c r="G7425" s="209">
        <v>2.21</v>
      </c>
      <c r="H7425" s="198"/>
    </row>
    <row r="7426" spans="1:8" ht="15.75" hidden="1" customHeight="1" x14ac:dyDescent="0.25">
      <c r="A7426" s="205" t="s">
        <v>8103</v>
      </c>
      <c r="B7426" s="206">
        <v>100986</v>
      </c>
      <c r="C7426" s="207" t="s">
        <v>8104</v>
      </c>
      <c r="D7426" s="208" t="s">
        <v>664</v>
      </c>
      <c r="E7426" s="209">
        <v>8.3699999999999992</v>
      </c>
      <c r="F7426" s="209">
        <v>1.35</v>
      </c>
      <c r="G7426" s="209">
        <v>9.7200000000000006</v>
      </c>
      <c r="H7426" s="198"/>
    </row>
    <row r="7427" spans="1:8" ht="15.75" hidden="1" customHeight="1" x14ac:dyDescent="0.25">
      <c r="A7427" s="205" t="s">
        <v>8103</v>
      </c>
      <c r="B7427" s="206">
        <v>101002</v>
      </c>
      <c r="C7427" s="207" t="s">
        <v>8105</v>
      </c>
      <c r="D7427" s="208" t="s">
        <v>8106</v>
      </c>
      <c r="E7427" s="209">
        <v>5.58</v>
      </c>
      <c r="F7427" s="209">
        <v>0.89</v>
      </c>
      <c r="G7427" s="209">
        <v>6.47</v>
      </c>
      <c r="H7427" s="198"/>
    </row>
    <row r="7428" spans="1:8" ht="15.75" hidden="1" customHeight="1" x14ac:dyDescent="0.25">
      <c r="A7428" s="205" t="s">
        <v>8103</v>
      </c>
      <c r="B7428" s="206">
        <v>100987</v>
      </c>
      <c r="C7428" s="207" t="s">
        <v>8107</v>
      </c>
      <c r="D7428" s="208" t="s">
        <v>664</v>
      </c>
      <c r="E7428" s="209">
        <v>9.61</v>
      </c>
      <c r="F7428" s="209">
        <v>1.24</v>
      </c>
      <c r="G7428" s="209">
        <v>10.85</v>
      </c>
      <c r="H7428" s="198"/>
    </row>
    <row r="7429" spans="1:8" ht="15.75" hidden="1" customHeight="1" x14ac:dyDescent="0.25">
      <c r="A7429" s="205" t="s">
        <v>8103</v>
      </c>
      <c r="B7429" s="206">
        <v>101003</v>
      </c>
      <c r="C7429" s="207" t="s">
        <v>8108</v>
      </c>
      <c r="D7429" s="208" t="s">
        <v>8106</v>
      </c>
      <c r="E7429" s="209">
        <v>6.39</v>
      </c>
      <c r="F7429" s="209">
        <v>0.83</v>
      </c>
      <c r="G7429" s="209">
        <v>7.22</v>
      </c>
      <c r="H7429" s="198"/>
    </row>
    <row r="7430" spans="1:8" ht="15.75" hidden="1" customHeight="1" x14ac:dyDescent="0.25">
      <c r="A7430" s="205" t="s">
        <v>8103</v>
      </c>
      <c r="B7430" s="206">
        <v>100988</v>
      </c>
      <c r="C7430" s="207" t="s">
        <v>8109</v>
      </c>
      <c r="D7430" s="208" t="s">
        <v>664</v>
      </c>
      <c r="E7430" s="209">
        <v>10.3</v>
      </c>
      <c r="F7430" s="209">
        <v>1.18</v>
      </c>
      <c r="G7430" s="209">
        <v>11.48</v>
      </c>
      <c r="H7430" s="198"/>
    </row>
    <row r="7431" spans="1:8" ht="15.75" hidden="1" customHeight="1" x14ac:dyDescent="0.25">
      <c r="A7431" s="205" t="s">
        <v>8103</v>
      </c>
      <c r="B7431" s="206">
        <v>101004</v>
      </c>
      <c r="C7431" s="207" t="s">
        <v>8110</v>
      </c>
      <c r="D7431" s="208" t="s">
        <v>8106</v>
      </c>
      <c r="E7431" s="209">
        <v>6.87</v>
      </c>
      <c r="F7431" s="209">
        <v>0.78</v>
      </c>
      <c r="G7431" s="209">
        <v>7.65</v>
      </c>
      <c r="H7431" s="198"/>
    </row>
    <row r="7432" spans="1:8" ht="15.75" hidden="1" customHeight="1" x14ac:dyDescent="0.25">
      <c r="A7432" s="205" t="s">
        <v>8103</v>
      </c>
      <c r="B7432" s="206">
        <v>100985</v>
      </c>
      <c r="C7432" s="207" t="s">
        <v>8111</v>
      </c>
      <c r="D7432" s="208" t="s">
        <v>664</v>
      </c>
      <c r="E7432" s="209">
        <v>6.58</v>
      </c>
      <c r="F7432" s="209">
        <v>1.59</v>
      </c>
      <c r="G7432" s="209">
        <v>8.17</v>
      </c>
      <c r="H7432" s="198"/>
    </row>
    <row r="7433" spans="1:8" ht="15.75" hidden="1" customHeight="1" x14ac:dyDescent="0.25">
      <c r="A7433" s="205" t="s">
        <v>8103</v>
      </c>
      <c r="B7433" s="206">
        <v>101001</v>
      </c>
      <c r="C7433" s="207" t="s">
        <v>8112</v>
      </c>
      <c r="D7433" s="208" t="s">
        <v>8106</v>
      </c>
      <c r="E7433" s="209">
        <v>4.3899999999999997</v>
      </c>
      <c r="F7433" s="209">
        <v>1.06</v>
      </c>
      <c r="G7433" s="209">
        <v>5.45</v>
      </c>
      <c r="H7433" s="198"/>
    </row>
    <row r="7434" spans="1:8" ht="15.75" hidden="1" customHeight="1" x14ac:dyDescent="0.25">
      <c r="A7434" s="205" t="s">
        <v>8103</v>
      </c>
      <c r="B7434" s="206">
        <v>101008</v>
      </c>
      <c r="C7434" s="207" t="s">
        <v>8113</v>
      </c>
      <c r="D7434" s="208" t="s">
        <v>664</v>
      </c>
      <c r="E7434" s="209">
        <v>5.26</v>
      </c>
      <c r="F7434" s="209">
        <v>0.63</v>
      </c>
      <c r="G7434" s="209">
        <v>5.89</v>
      </c>
      <c r="H7434" s="198"/>
    </row>
    <row r="7435" spans="1:8" ht="15.75" hidden="1" customHeight="1" x14ac:dyDescent="0.25">
      <c r="A7435" s="205" t="s">
        <v>8103</v>
      </c>
      <c r="B7435" s="206">
        <v>101007</v>
      </c>
      <c r="C7435" s="207" t="s">
        <v>8114</v>
      </c>
      <c r="D7435" s="208" t="s">
        <v>664</v>
      </c>
      <c r="E7435" s="209">
        <v>5.0999999999999996</v>
      </c>
      <c r="F7435" s="209">
        <v>0.75</v>
      </c>
      <c r="G7435" s="209">
        <v>5.85</v>
      </c>
      <c r="H7435" s="198"/>
    </row>
    <row r="7436" spans="1:8" ht="15.75" hidden="1" customHeight="1" x14ac:dyDescent="0.25">
      <c r="A7436" s="205" t="s">
        <v>8103</v>
      </c>
      <c r="B7436" s="206">
        <v>100982</v>
      </c>
      <c r="C7436" s="207" t="s">
        <v>8115</v>
      </c>
      <c r="D7436" s="208" t="s">
        <v>664</v>
      </c>
      <c r="E7436" s="209">
        <v>8.23</v>
      </c>
      <c r="F7436" s="209">
        <v>1.49</v>
      </c>
      <c r="G7436" s="209">
        <v>9.7200000000000006</v>
      </c>
      <c r="H7436" s="198"/>
    </row>
    <row r="7437" spans="1:8" ht="15.75" hidden="1" customHeight="1" x14ac:dyDescent="0.25">
      <c r="A7437" s="205" t="s">
        <v>8103</v>
      </c>
      <c r="B7437" s="206">
        <v>100998</v>
      </c>
      <c r="C7437" s="207" t="s">
        <v>8116</v>
      </c>
      <c r="D7437" s="208" t="s">
        <v>8106</v>
      </c>
      <c r="E7437" s="209">
        <v>5.52</v>
      </c>
      <c r="F7437" s="209">
        <v>0.97</v>
      </c>
      <c r="G7437" s="209">
        <v>6.49</v>
      </c>
      <c r="H7437" s="198"/>
    </row>
    <row r="7438" spans="1:8" ht="15.75" hidden="1" customHeight="1" x14ac:dyDescent="0.25">
      <c r="A7438" s="205" t="s">
        <v>8103</v>
      </c>
      <c r="B7438" s="206">
        <v>100983</v>
      </c>
      <c r="C7438" s="207" t="s">
        <v>8117</v>
      </c>
      <c r="D7438" s="208" t="s">
        <v>664</v>
      </c>
      <c r="E7438" s="209">
        <v>8.2799999999999994</v>
      </c>
      <c r="F7438" s="209">
        <v>1.26</v>
      </c>
      <c r="G7438" s="209">
        <v>9.5399999999999991</v>
      </c>
      <c r="H7438" s="198"/>
    </row>
    <row r="7439" spans="1:8" ht="15.75" hidden="1" customHeight="1" x14ac:dyDescent="0.25">
      <c r="A7439" s="205" t="s">
        <v>8103</v>
      </c>
      <c r="B7439" s="206">
        <v>100999</v>
      </c>
      <c r="C7439" s="207" t="s">
        <v>8118</v>
      </c>
      <c r="D7439" s="208" t="s">
        <v>8106</v>
      </c>
      <c r="E7439" s="209">
        <v>5.57</v>
      </c>
      <c r="F7439" s="209">
        <v>0.83</v>
      </c>
      <c r="G7439" s="209">
        <v>6.4</v>
      </c>
      <c r="H7439" s="198"/>
    </row>
    <row r="7440" spans="1:8" ht="15.75" hidden="1" customHeight="1" x14ac:dyDescent="0.25">
      <c r="A7440" s="205" t="s">
        <v>8103</v>
      </c>
      <c r="B7440" s="206">
        <v>100984</v>
      </c>
      <c r="C7440" s="207" t="s">
        <v>8119</v>
      </c>
      <c r="D7440" s="208" t="s">
        <v>664</v>
      </c>
      <c r="E7440" s="209">
        <v>8.19</v>
      </c>
      <c r="F7440" s="209">
        <v>1.1399999999999999</v>
      </c>
      <c r="G7440" s="209">
        <v>9.33</v>
      </c>
      <c r="H7440" s="198"/>
    </row>
    <row r="7441" spans="1:8" ht="15.75" hidden="1" customHeight="1" x14ac:dyDescent="0.25">
      <c r="A7441" s="205" t="s">
        <v>8103</v>
      </c>
      <c r="B7441" s="206">
        <v>101000</v>
      </c>
      <c r="C7441" s="207" t="s">
        <v>8120</v>
      </c>
      <c r="D7441" s="208" t="s">
        <v>8106</v>
      </c>
      <c r="E7441" s="209">
        <v>5.47</v>
      </c>
      <c r="F7441" s="209">
        <v>0.75</v>
      </c>
      <c r="G7441" s="209">
        <v>6.22</v>
      </c>
      <c r="H7441" s="198"/>
    </row>
    <row r="7442" spans="1:8" ht="15.75" hidden="1" customHeight="1" x14ac:dyDescent="0.25">
      <c r="A7442" s="205" t="s">
        <v>8103</v>
      </c>
      <c r="B7442" s="206">
        <v>100981</v>
      </c>
      <c r="C7442" s="207" t="s">
        <v>8121</v>
      </c>
      <c r="D7442" s="208" t="s">
        <v>664</v>
      </c>
      <c r="E7442" s="209">
        <v>8.24</v>
      </c>
      <c r="F7442" s="209">
        <v>1.99</v>
      </c>
      <c r="G7442" s="209">
        <v>10.23</v>
      </c>
      <c r="H7442" s="198"/>
    </row>
    <row r="7443" spans="1:8" ht="15.75" hidden="1" customHeight="1" x14ac:dyDescent="0.25">
      <c r="A7443" s="205" t="s">
        <v>8103</v>
      </c>
      <c r="B7443" s="206">
        <v>100997</v>
      </c>
      <c r="C7443" s="207" t="s">
        <v>8122</v>
      </c>
      <c r="D7443" s="208" t="s">
        <v>8106</v>
      </c>
      <c r="E7443" s="209">
        <v>5.52</v>
      </c>
      <c r="F7443" s="209">
        <v>1.32</v>
      </c>
      <c r="G7443" s="209">
        <v>6.84</v>
      </c>
      <c r="H7443" s="198"/>
    </row>
    <row r="7444" spans="1:8" ht="15.75" hidden="1" customHeight="1" x14ac:dyDescent="0.25">
      <c r="A7444" s="205" t="s">
        <v>8103</v>
      </c>
      <c r="B7444" s="206">
        <v>101010</v>
      </c>
      <c r="C7444" s="207" t="s">
        <v>8123</v>
      </c>
      <c r="D7444" s="208" t="s">
        <v>8106</v>
      </c>
      <c r="E7444" s="209">
        <v>25.35</v>
      </c>
      <c r="F7444" s="209">
        <v>3.99</v>
      </c>
      <c r="G7444" s="209">
        <v>29.34</v>
      </c>
      <c r="H7444" s="198"/>
    </row>
    <row r="7445" spans="1:8" ht="15.75" hidden="1" customHeight="1" x14ac:dyDescent="0.25">
      <c r="A7445" s="205" t="s">
        <v>8103</v>
      </c>
      <c r="B7445" s="206">
        <v>101009</v>
      </c>
      <c r="C7445" s="207" t="s">
        <v>8124</v>
      </c>
      <c r="D7445" s="208" t="s">
        <v>8106</v>
      </c>
      <c r="E7445" s="209">
        <v>40.229999999999997</v>
      </c>
      <c r="F7445" s="209">
        <v>6.37</v>
      </c>
      <c r="G7445" s="209">
        <v>46.6</v>
      </c>
      <c r="H7445" s="198"/>
    </row>
    <row r="7446" spans="1:8" ht="15.75" hidden="1" customHeight="1" x14ac:dyDescent="0.25">
      <c r="A7446" s="205" t="s">
        <v>8103</v>
      </c>
      <c r="B7446" s="206">
        <v>100978</v>
      </c>
      <c r="C7446" s="207" t="s">
        <v>8125</v>
      </c>
      <c r="D7446" s="208" t="s">
        <v>664</v>
      </c>
      <c r="E7446" s="209">
        <v>6.4</v>
      </c>
      <c r="F7446" s="209">
        <v>1.1399999999999999</v>
      </c>
      <c r="G7446" s="209">
        <v>7.54</v>
      </c>
      <c r="H7446" s="198"/>
    </row>
    <row r="7447" spans="1:8" ht="15.75" hidden="1" customHeight="1" x14ac:dyDescent="0.25">
      <c r="A7447" s="205" t="s">
        <v>8103</v>
      </c>
      <c r="B7447" s="206">
        <v>100994</v>
      </c>
      <c r="C7447" s="207" t="s">
        <v>8126</v>
      </c>
      <c r="D7447" s="208" t="s">
        <v>8106</v>
      </c>
      <c r="E7447" s="209">
        <v>4.24</v>
      </c>
      <c r="F7447" s="209">
        <v>0.75</v>
      </c>
      <c r="G7447" s="209">
        <v>4.99</v>
      </c>
      <c r="H7447" s="198"/>
    </row>
    <row r="7448" spans="1:8" ht="15.75" hidden="1" customHeight="1" x14ac:dyDescent="0.25">
      <c r="A7448" s="205" t="s">
        <v>8103</v>
      </c>
      <c r="B7448" s="206">
        <v>100974</v>
      </c>
      <c r="C7448" s="207" t="s">
        <v>8127</v>
      </c>
      <c r="D7448" s="208" t="s">
        <v>664</v>
      </c>
      <c r="E7448" s="209">
        <v>7.92</v>
      </c>
      <c r="F7448" s="209">
        <v>1.46</v>
      </c>
      <c r="G7448" s="209">
        <v>9.3800000000000008</v>
      </c>
      <c r="H7448" s="198"/>
    </row>
    <row r="7449" spans="1:8" ht="15.75" hidden="1" customHeight="1" x14ac:dyDescent="0.25">
      <c r="A7449" s="205" t="s">
        <v>8103</v>
      </c>
      <c r="B7449" s="206">
        <v>100990</v>
      </c>
      <c r="C7449" s="207" t="s">
        <v>8128</v>
      </c>
      <c r="D7449" s="208" t="s">
        <v>8106</v>
      </c>
      <c r="E7449" s="209">
        <v>5.3</v>
      </c>
      <c r="F7449" s="209">
        <v>0.96</v>
      </c>
      <c r="G7449" s="209">
        <v>6.26</v>
      </c>
      <c r="H7449" s="198"/>
    </row>
    <row r="7450" spans="1:8" ht="15.75" hidden="1" customHeight="1" x14ac:dyDescent="0.25">
      <c r="A7450" s="205" t="s">
        <v>8103</v>
      </c>
      <c r="B7450" s="206">
        <v>100979</v>
      </c>
      <c r="C7450" s="207" t="s">
        <v>8129</v>
      </c>
      <c r="D7450" s="208" t="s">
        <v>664</v>
      </c>
      <c r="E7450" s="209">
        <v>6.16</v>
      </c>
      <c r="F7450" s="209">
        <v>0.91</v>
      </c>
      <c r="G7450" s="209">
        <v>7.07</v>
      </c>
      <c r="H7450" s="198"/>
    </row>
    <row r="7451" spans="1:8" ht="15.75" hidden="1" customHeight="1" x14ac:dyDescent="0.25">
      <c r="A7451" s="205" t="s">
        <v>8103</v>
      </c>
      <c r="B7451" s="206">
        <v>100995</v>
      </c>
      <c r="C7451" s="207" t="s">
        <v>8130</v>
      </c>
      <c r="D7451" s="208" t="s">
        <v>8106</v>
      </c>
      <c r="E7451" s="209">
        <v>4.12</v>
      </c>
      <c r="F7451" s="209">
        <v>0.6</v>
      </c>
      <c r="G7451" s="209">
        <v>4.72</v>
      </c>
      <c r="H7451" s="198"/>
    </row>
    <row r="7452" spans="1:8" ht="15.75" hidden="1" customHeight="1" x14ac:dyDescent="0.25">
      <c r="A7452" s="205" t="s">
        <v>8103</v>
      </c>
      <c r="B7452" s="206">
        <v>100975</v>
      </c>
      <c r="C7452" s="207" t="s">
        <v>8131</v>
      </c>
      <c r="D7452" s="208" t="s">
        <v>664</v>
      </c>
      <c r="E7452" s="209">
        <v>7.98</v>
      </c>
      <c r="F7452" s="209">
        <v>1.23</v>
      </c>
      <c r="G7452" s="209">
        <v>9.2100000000000009</v>
      </c>
      <c r="H7452" s="198"/>
    </row>
    <row r="7453" spans="1:8" ht="15.75" hidden="1" customHeight="1" x14ac:dyDescent="0.25">
      <c r="A7453" s="205" t="s">
        <v>8103</v>
      </c>
      <c r="B7453" s="206">
        <v>100991</v>
      </c>
      <c r="C7453" s="207" t="s">
        <v>8132</v>
      </c>
      <c r="D7453" s="208" t="s">
        <v>8106</v>
      </c>
      <c r="E7453" s="209">
        <v>5.36</v>
      </c>
      <c r="F7453" s="209">
        <v>0.82</v>
      </c>
      <c r="G7453" s="209">
        <v>6.18</v>
      </c>
      <c r="H7453" s="198"/>
    </row>
    <row r="7454" spans="1:8" ht="15.75" hidden="1" customHeight="1" x14ac:dyDescent="0.25">
      <c r="A7454" s="205" t="s">
        <v>8103</v>
      </c>
      <c r="B7454" s="206">
        <v>100980</v>
      </c>
      <c r="C7454" s="207" t="s">
        <v>8133</v>
      </c>
      <c r="D7454" s="208" t="s">
        <v>664</v>
      </c>
      <c r="E7454" s="209">
        <v>5.88</v>
      </c>
      <c r="F7454" s="209">
        <v>0.8</v>
      </c>
      <c r="G7454" s="209">
        <v>6.68</v>
      </c>
      <c r="H7454" s="198"/>
    </row>
    <row r="7455" spans="1:8" ht="15.75" hidden="1" customHeight="1" x14ac:dyDescent="0.25">
      <c r="A7455" s="205" t="s">
        <v>8103</v>
      </c>
      <c r="B7455" s="206">
        <v>100996</v>
      </c>
      <c r="C7455" s="207" t="s">
        <v>8134</v>
      </c>
      <c r="D7455" s="208" t="s">
        <v>8106</v>
      </c>
      <c r="E7455" s="209">
        <v>3.93</v>
      </c>
      <c r="F7455" s="209">
        <v>0.51</v>
      </c>
      <c r="G7455" s="209">
        <v>4.4400000000000004</v>
      </c>
      <c r="H7455" s="198"/>
    </row>
    <row r="7456" spans="1:8" ht="15.75" hidden="1" customHeight="1" x14ac:dyDescent="0.25">
      <c r="A7456" s="205" t="s">
        <v>8103</v>
      </c>
      <c r="B7456" s="206">
        <v>100976</v>
      </c>
      <c r="C7456" s="207" t="s">
        <v>8135</v>
      </c>
      <c r="D7456" s="208" t="s">
        <v>664</v>
      </c>
      <c r="E7456" s="209">
        <v>7.9</v>
      </c>
      <c r="F7456" s="209">
        <v>1.1100000000000001</v>
      </c>
      <c r="G7456" s="209">
        <v>9.01</v>
      </c>
      <c r="H7456" s="198"/>
    </row>
    <row r="7457" spans="1:8" ht="15.75" hidden="1" customHeight="1" x14ac:dyDescent="0.25">
      <c r="A7457" s="205" t="s">
        <v>8103</v>
      </c>
      <c r="B7457" s="206">
        <v>100992</v>
      </c>
      <c r="C7457" s="207" t="s">
        <v>8136</v>
      </c>
      <c r="D7457" s="208" t="s">
        <v>8106</v>
      </c>
      <c r="E7457" s="209">
        <v>5.28</v>
      </c>
      <c r="F7457" s="209">
        <v>0.73</v>
      </c>
      <c r="G7457" s="209">
        <v>6.01</v>
      </c>
      <c r="H7457" s="198"/>
    </row>
    <row r="7458" spans="1:8" ht="15.75" hidden="1" customHeight="1" x14ac:dyDescent="0.25">
      <c r="A7458" s="205" t="s">
        <v>8103</v>
      </c>
      <c r="B7458" s="206">
        <v>100977</v>
      </c>
      <c r="C7458" s="207" t="s">
        <v>8137</v>
      </c>
      <c r="D7458" s="208" t="s">
        <v>664</v>
      </c>
      <c r="E7458" s="209">
        <v>6.78</v>
      </c>
      <c r="F7458" s="209">
        <v>1.66</v>
      </c>
      <c r="G7458" s="209">
        <v>8.44</v>
      </c>
      <c r="H7458" s="198"/>
    </row>
    <row r="7459" spans="1:8" ht="15.75" hidden="1" customHeight="1" x14ac:dyDescent="0.25">
      <c r="A7459" s="205" t="s">
        <v>8103</v>
      </c>
      <c r="B7459" s="206">
        <v>100993</v>
      </c>
      <c r="C7459" s="207" t="s">
        <v>8138</v>
      </c>
      <c r="D7459" s="208" t="s">
        <v>8106</v>
      </c>
      <c r="E7459" s="209">
        <v>4.53</v>
      </c>
      <c r="F7459" s="209">
        <v>1.0900000000000001</v>
      </c>
      <c r="G7459" s="209">
        <v>5.62</v>
      </c>
      <c r="H7459" s="198"/>
    </row>
    <row r="7460" spans="1:8" ht="15.75" hidden="1" customHeight="1" x14ac:dyDescent="0.25">
      <c r="A7460" s="205" t="s">
        <v>8103</v>
      </c>
      <c r="B7460" s="206">
        <v>100973</v>
      </c>
      <c r="C7460" s="207" t="s">
        <v>8139</v>
      </c>
      <c r="D7460" s="208" t="s">
        <v>664</v>
      </c>
      <c r="E7460" s="209">
        <v>7.89</v>
      </c>
      <c r="F7460" s="209">
        <v>1.97</v>
      </c>
      <c r="G7460" s="209">
        <v>9.86</v>
      </c>
      <c r="H7460" s="198"/>
    </row>
    <row r="7461" spans="1:8" ht="15.75" hidden="1" customHeight="1" x14ac:dyDescent="0.25">
      <c r="A7461" s="205" t="s">
        <v>8103</v>
      </c>
      <c r="B7461" s="206">
        <v>100989</v>
      </c>
      <c r="C7461" s="207" t="s">
        <v>8140</v>
      </c>
      <c r="D7461" s="208" t="s">
        <v>8106</v>
      </c>
      <c r="E7461" s="209">
        <v>5.28</v>
      </c>
      <c r="F7461" s="209">
        <v>1.3</v>
      </c>
      <c r="G7461" s="209">
        <v>6.58</v>
      </c>
      <c r="H7461" s="198"/>
    </row>
    <row r="7462" spans="1:8" ht="15.75" hidden="1" customHeight="1" x14ac:dyDescent="0.25">
      <c r="A7462" s="205" t="s">
        <v>8103</v>
      </c>
      <c r="B7462" s="206">
        <v>101467</v>
      </c>
      <c r="C7462" s="207" t="s">
        <v>8141</v>
      </c>
      <c r="D7462" s="208" t="s">
        <v>8106</v>
      </c>
      <c r="E7462" s="209">
        <v>15.4</v>
      </c>
      <c r="F7462" s="209">
        <v>4.96</v>
      </c>
      <c r="G7462" s="209">
        <v>20.36</v>
      </c>
      <c r="H7462" s="198"/>
    </row>
    <row r="7463" spans="1:8" ht="15.75" hidden="1" customHeight="1" x14ac:dyDescent="0.25">
      <c r="A7463" s="205" t="s">
        <v>8103</v>
      </c>
      <c r="B7463" s="206">
        <v>101468</v>
      </c>
      <c r="C7463" s="207" t="s">
        <v>8142</v>
      </c>
      <c r="D7463" s="208" t="s">
        <v>8106</v>
      </c>
      <c r="E7463" s="209">
        <v>14.07</v>
      </c>
      <c r="F7463" s="209">
        <v>4.55</v>
      </c>
      <c r="G7463" s="209">
        <v>18.62</v>
      </c>
      <c r="H7463" s="198"/>
    </row>
    <row r="7464" spans="1:8" ht="15.75" hidden="1" customHeight="1" x14ac:dyDescent="0.25">
      <c r="A7464" s="205" t="s">
        <v>8103</v>
      </c>
      <c r="B7464" s="206">
        <v>101014</v>
      </c>
      <c r="C7464" s="207" t="s">
        <v>8143</v>
      </c>
      <c r="D7464" s="208" t="s">
        <v>8106</v>
      </c>
      <c r="E7464" s="209">
        <v>35.15</v>
      </c>
      <c r="F7464" s="209">
        <v>11.37</v>
      </c>
      <c r="G7464" s="209">
        <v>46.52</v>
      </c>
      <c r="H7464" s="198"/>
    </row>
    <row r="7465" spans="1:8" ht="15.75" hidden="1" customHeight="1" x14ac:dyDescent="0.25">
      <c r="A7465" s="205" t="s">
        <v>8103</v>
      </c>
      <c r="B7465" s="206">
        <v>101015</v>
      </c>
      <c r="C7465" s="207" t="s">
        <v>8144</v>
      </c>
      <c r="D7465" s="208" t="s">
        <v>8106</v>
      </c>
      <c r="E7465" s="209">
        <v>28.88</v>
      </c>
      <c r="F7465" s="209">
        <v>9.34</v>
      </c>
      <c r="G7465" s="209">
        <v>38.22</v>
      </c>
      <c r="H7465" s="198"/>
    </row>
    <row r="7466" spans="1:8" ht="15.75" hidden="1" customHeight="1" x14ac:dyDescent="0.25">
      <c r="A7466" s="205" t="s">
        <v>8103</v>
      </c>
      <c r="B7466" s="206">
        <v>101463</v>
      </c>
      <c r="C7466" s="207" t="s">
        <v>8145</v>
      </c>
      <c r="D7466" s="208" t="s">
        <v>8106</v>
      </c>
      <c r="E7466" s="209">
        <v>38.51</v>
      </c>
      <c r="F7466" s="209">
        <v>12.43</v>
      </c>
      <c r="G7466" s="209">
        <v>50.94</v>
      </c>
      <c r="H7466" s="198"/>
    </row>
    <row r="7467" spans="1:8" ht="15.75" hidden="1" customHeight="1" x14ac:dyDescent="0.25">
      <c r="A7467" s="205" t="s">
        <v>8103</v>
      </c>
      <c r="B7467" s="206">
        <v>101464</v>
      </c>
      <c r="C7467" s="207" t="s">
        <v>8146</v>
      </c>
      <c r="D7467" s="208" t="s">
        <v>8106</v>
      </c>
      <c r="E7467" s="209">
        <v>29.56</v>
      </c>
      <c r="F7467" s="209">
        <v>9.56</v>
      </c>
      <c r="G7467" s="209">
        <v>39.119999999999997</v>
      </c>
      <c r="H7467" s="198"/>
    </row>
    <row r="7468" spans="1:8" ht="15.75" hidden="1" customHeight="1" x14ac:dyDescent="0.25">
      <c r="A7468" s="205" t="s">
        <v>8103</v>
      </c>
      <c r="B7468" s="206">
        <v>101465</v>
      </c>
      <c r="C7468" s="207" t="s">
        <v>8147</v>
      </c>
      <c r="D7468" s="208" t="s">
        <v>8106</v>
      </c>
      <c r="E7468" s="209">
        <v>22.61</v>
      </c>
      <c r="F7468" s="209">
        <v>7.3</v>
      </c>
      <c r="G7468" s="209">
        <v>29.91</v>
      </c>
      <c r="H7468" s="198"/>
    </row>
    <row r="7469" spans="1:8" ht="15.75" hidden="1" customHeight="1" x14ac:dyDescent="0.25">
      <c r="A7469" s="205" t="s">
        <v>8103</v>
      </c>
      <c r="B7469" s="206">
        <v>101466</v>
      </c>
      <c r="C7469" s="207" t="s">
        <v>8148</v>
      </c>
      <c r="D7469" s="208" t="s">
        <v>8106</v>
      </c>
      <c r="E7469" s="209">
        <v>18.41</v>
      </c>
      <c r="F7469" s="209">
        <v>5.93</v>
      </c>
      <c r="G7469" s="209">
        <v>24.34</v>
      </c>
      <c r="H7469" s="198"/>
    </row>
    <row r="7470" spans="1:8" ht="15.75" hidden="1" customHeight="1" x14ac:dyDescent="0.25">
      <c r="A7470" s="205" t="s">
        <v>8103</v>
      </c>
      <c r="B7470" s="206">
        <v>101013</v>
      </c>
      <c r="C7470" s="207" t="s">
        <v>8149</v>
      </c>
      <c r="D7470" s="208" t="s">
        <v>8106</v>
      </c>
      <c r="E7470" s="209">
        <v>38.39</v>
      </c>
      <c r="F7470" s="209">
        <v>12.4</v>
      </c>
      <c r="G7470" s="209">
        <v>50.79</v>
      </c>
      <c r="H7470" s="198"/>
    </row>
    <row r="7471" spans="1:8" ht="15.75" hidden="1" customHeight="1" x14ac:dyDescent="0.25">
      <c r="A7471" s="205" t="s">
        <v>8103</v>
      </c>
      <c r="B7471" s="206">
        <v>101477</v>
      </c>
      <c r="C7471" s="207" t="s">
        <v>8150</v>
      </c>
      <c r="D7471" s="208" t="s">
        <v>8106</v>
      </c>
      <c r="E7471" s="209">
        <v>11.15</v>
      </c>
      <c r="F7471" s="209">
        <v>3.6</v>
      </c>
      <c r="G7471" s="209">
        <v>14.75</v>
      </c>
      <c r="H7471" s="198"/>
    </row>
    <row r="7472" spans="1:8" ht="15.75" hidden="1" customHeight="1" x14ac:dyDescent="0.25">
      <c r="A7472" s="205" t="s">
        <v>8103</v>
      </c>
      <c r="B7472" s="206">
        <v>101478</v>
      </c>
      <c r="C7472" s="207" t="s">
        <v>8151</v>
      </c>
      <c r="D7472" s="208" t="s">
        <v>8106</v>
      </c>
      <c r="E7472" s="209">
        <v>9.5</v>
      </c>
      <c r="F7472" s="209">
        <v>3.05</v>
      </c>
      <c r="G7472" s="209">
        <v>12.55</v>
      </c>
      <c r="H7472" s="198"/>
    </row>
    <row r="7473" spans="1:8" ht="15.75" hidden="1" customHeight="1" x14ac:dyDescent="0.25">
      <c r="A7473" s="205" t="s">
        <v>8103</v>
      </c>
      <c r="B7473" s="206">
        <v>101017</v>
      </c>
      <c r="C7473" s="207" t="s">
        <v>8152</v>
      </c>
      <c r="D7473" s="208" t="s">
        <v>8106</v>
      </c>
      <c r="E7473" s="209">
        <v>25.34</v>
      </c>
      <c r="F7473" s="209">
        <v>8.1999999999999993</v>
      </c>
      <c r="G7473" s="209">
        <v>33.54</v>
      </c>
      <c r="H7473" s="198"/>
    </row>
    <row r="7474" spans="1:8" ht="15.75" hidden="1" customHeight="1" x14ac:dyDescent="0.25">
      <c r="A7474" s="205" t="s">
        <v>8103</v>
      </c>
      <c r="B7474" s="206">
        <v>101018</v>
      </c>
      <c r="C7474" s="207" t="s">
        <v>8153</v>
      </c>
      <c r="D7474" s="208" t="s">
        <v>8106</v>
      </c>
      <c r="E7474" s="209">
        <v>20.83</v>
      </c>
      <c r="F7474" s="209">
        <v>6.73</v>
      </c>
      <c r="G7474" s="209">
        <v>27.56</v>
      </c>
      <c r="H7474" s="198"/>
    </row>
    <row r="7475" spans="1:8" ht="15.75" hidden="1" customHeight="1" x14ac:dyDescent="0.25">
      <c r="A7475" s="205" t="s">
        <v>8103</v>
      </c>
      <c r="B7475" s="206">
        <v>101469</v>
      </c>
      <c r="C7475" s="207" t="s">
        <v>8154</v>
      </c>
      <c r="D7475" s="208" t="s">
        <v>8106</v>
      </c>
      <c r="E7475" s="209">
        <v>31.52</v>
      </c>
      <c r="F7475" s="209">
        <v>10.16</v>
      </c>
      <c r="G7475" s="209">
        <v>41.68</v>
      </c>
      <c r="H7475" s="198"/>
    </row>
    <row r="7476" spans="1:8" ht="15.75" hidden="1" customHeight="1" x14ac:dyDescent="0.25">
      <c r="A7476" s="205" t="s">
        <v>8103</v>
      </c>
      <c r="B7476" s="206">
        <v>101470</v>
      </c>
      <c r="C7476" s="207" t="s">
        <v>8155</v>
      </c>
      <c r="D7476" s="208" t="s">
        <v>8106</v>
      </c>
      <c r="E7476" s="209">
        <v>25.02</v>
      </c>
      <c r="F7476" s="209">
        <v>8.07</v>
      </c>
      <c r="G7476" s="209">
        <v>33.090000000000003</v>
      </c>
      <c r="H7476" s="198"/>
    </row>
    <row r="7477" spans="1:8" ht="15.75" hidden="1" customHeight="1" x14ac:dyDescent="0.25">
      <c r="A7477" s="205" t="s">
        <v>8103</v>
      </c>
      <c r="B7477" s="206">
        <v>101471</v>
      </c>
      <c r="C7477" s="207" t="s">
        <v>8156</v>
      </c>
      <c r="D7477" s="208" t="s">
        <v>8106</v>
      </c>
      <c r="E7477" s="209">
        <v>21.45</v>
      </c>
      <c r="F7477" s="209">
        <v>6.93</v>
      </c>
      <c r="G7477" s="209">
        <v>28.38</v>
      </c>
      <c r="H7477" s="198"/>
    </row>
    <row r="7478" spans="1:8" ht="15.75" hidden="1" customHeight="1" x14ac:dyDescent="0.25">
      <c r="A7478" s="205" t="s">
        <v>8103</v>
      </c>
      <c r="B7478" s="206">
        <v>101472</v>
      </c>
      <c r="C7478" s="207" t="s">
        <v>8157</v>
      </c>
      <c r="D7478" s="208" t="s">
        <v>8106</v>
      </c>
      <c r="E7478" s="209">
        <v>16.71</v>
      </c>
      <c r="F7478" s="209">
        <v>5.38</v>
      </c>
      <c r="G7478" s="209">
        <v>22.09</v>
      </c>
      <c r="H7478" s="198"/>
    </row>
    <row r="7479" spans="1:8" ht="15.75" hidden="1" customHeight="1" x14ac:dyDescent="0.25">
      <c r="A7479" s="205" t="s">
        <v>8103</v>
      </c>
      <c r="B7479" s="206">
        <v>101473</v>
      </c>
      <c r="C7479" s="207" t="s">
        <v>8158</v>
      </c>
      <c r="D7479" s="208" t="s">
        <v>8106</v>
      </c>
      <c r="E7479" s="209">
        <v>24.04</v>
      </c>
      <c r="F7479" s="209">
        <v>7.77</v>
      </c>
      <c r="G7479" s="209">
        <v>31.81</v>
      </c>
      <c r="H7479" s="198"/>
    </row>
    <row r="7480" spans="1:8" ht="15.75" hidden="1" customHeight="1" x14ac:dyDescent="0.25">
      <c r="A7480" s="205" t="s">
        <v>8103</v>
      </c>
      <c r="B7480" s="206">
        <v>101474</v>
      </c>
      <c r="C7480" s="207" t="s">
        <v>8159</v>
      </c>
      <c r="D7480" s="208" t="s">
        <v>8106</v>
      </c>
      <c r="E7480" s="209">
        <v>17.22</v>
      </c>
      <c r="F7480" s="209">
        <v>5.54</v>
      </c>
      <c r="G7480" s="209">
        <v>22.76</v>
      </c>
      <c r="H7480" s="198"/>
    </row>
    <row r="7481" spans="1:8" ht="15.75" hidden="1" customHeight="1" x14ac:dyDescent="0.25">
      <c r="A7481" s="205" t="s">
        <v>8103</v>
      </c>
      <c r="B7481" s="206">
        <v>101475</v>
      </c>
      <c r="C7481" s="207" t="s">
        <v>8160</v>
      </c>
      <c r="D7481" s="208" t="s">
        <v>8106</v>
      </c>
      <c r="E7481" s="209">
        <v>15.26</v>
      </c>
      <c r="F7481" s="209">
        <v>4.93</v>
      </c>
      <c r="G7481" s="209">
        <v>20.190000000000001</v>
      </c>
      <c r="H7481" s="198"/>
    </row>
    <row r="7482" spans="1:8" ht="15.75" hidden="1" customHeight="1" x14ac:dyDescent="0.25">
      <c r="A7482" s="205" t="s">
        <v>8103</v>
      </c>
      <c r="B7482" s="206">
        <v>101476</v>
      </c>
      <c r="C7482" s="207" t="s">
        <v>8161</v>
      </c>
      <c r="D7482" s="208" t="s">
        <v>8106</v>
      </c>
      <c r="E7482" s="209">
        <v>13.62</v>
      </c>
      <c r="F7482" s="209">
        <v>4.3899999999999997</v>
      </c>
      <c r="G7482" s="209">
        <v>18.010000000000002</v>
      </c>
      <c r="H7482" s="198"/>
    </row>
    <row r="7483" spans="1:8" ht="15.75" hidden="1" customHeight="1" x14ac:dyDescent="0.25">
      <c r="A7483" s="205" t="s">
        <v>8103</v>
      </c>
      <c r="B7483" s="206">
        <v>101016</v>
      </c>
      <c r="C7483" s="207" t="s">
        <v>8162</v>
      </c>
      <c r="D7483" s="208" t="s">
        <v>8106</v>
      </c>
      <c r="E7483" s="209">
        <v>33.44</v>
      </c>
      <c r="F7483" s="209">
        <v>10.81</v>
      </c>
      <c r="G7483" s="209">
        <v>44.25</v>
      </c>
      <c r="H7483" s="198"/>
    </row>
    <row r="7484" spans="1:8" ht="15.75" hidden="1" customHeight="1" x14ac:dyDescent="0.25">
      <c r="A7484" s="205" t="s">
        <v>8103</v>
      </c>
      <c r="B7484" s="206">
        <v>101487</v>
      </c>
      <c r="C7484" s="207" t="s">
        <v>8163</v>
      </c>
      <c r="D7484" s="208" t="s">
        <v>8106</v>
      </c>
      <c r="E7484" s="209">
        <v>82.8</v>
      </c>
      <c r="F7484" s="209">
        <v>26.79</v>
      </c>
      <c r="G7484" s="209">
        <v>109.59</v>
      </c>
      <c r="H7484" s="198"/>
    </row>
    <row r="7485" spans="1:8" ht="15.75" hidden="1" customHeight="1" x14ac:dyDescent="0.25">
      <c r="A7485" s="205" t="s">
        <v>8103</v>
      </c>
      <c r="B7485" s="206">
        <v>101488</v>
      </c>
      <c r="C7485" s="207" t="s">
        <v>8164</v>
      </c>
      <c r="D7485" s="208" t="s">
        <v>8106</v>
      </c>
      <c r="E7485" s="209">
        <v>71.67</v>
      </c>
      <c r="F7485" s="209">
        <v>23.16</v>
      </c>
      <c r="G7485" s="209">
        <v>94.83</v>
      </c>
      <c r="H7485" s="198"/>
    </row>
    <row r="7486" spans="1:8" ht="15.75" hidden="1" customHeight="1" x14ac:dyDescent="0.25">
      <c r="A7486" s="205" t="s">
        <v>8103</v>
      </c>
      <c r="B7486" s="206">
        <v>101480</v>
      </c>
      <c r="C7486" s="207" t="s">
        <v>8165</v>
      </c>
      <c r="D7486" s="208" t="s">
        <v>8106</v>
      </c>
      <c r="E7486" s="209">
        <v>56.33</v>
      </c>
      <c r="F7486" s="209">
        <v>18.22</v>
      </c>
      <c r="G7486" s="209">
        <v>74.55</v>
      </c>
      <c r="H7486" s="198"/>
    </row>
    <row r="7487" spans="1:8" ht="15.75" hidden="1" customHeight="1" x14ac:dyDescent="0.25">
      <c r="A7487" s="205" t="s">
        <v>8103</v>
      </c>
      <c r="B7487" s="206">
        <v>101481</v>
      </c>
      <c r="C7487" s="207" t="s">
        <v>8166</v>
      </c>
      <c r="D7487" s="208" t="s">
        <v>8106</v>
      </c>
      <c r="E7487" s="209">
        <v>40.69</v>
      </c>
      <c r="F7487" s="209">
        <v>13.16</v>
      </c>
      <c r="G7487" s="209">
        <v>53.85</v>
      </c>
      <c r="H7487" s="198"/>
    </row>
    <row r="7488" spans="1:8" ht="15.75" hidden="1" customHeight="1" x14ac:dyDescent="0.25">
      <c r="A7488" s="205" t="s">
        <v>8103</v>
      </c>
      <c r="B7488" s="206">
        <v>101482</v>
      </c>
      <c r="C7488" s="207" t="s">
        <v>8167</v>
      </c>
      <c r="D7488" s="208" t="s">
        <v>8106</v>
      </c>
      <c r="E7488" s="209">
        <v>30.43</v>
      </c>
      <c r="F7488" s="209">
        <v>9.82</v>
      </c>
      <c r="G7488" s="209">
        <v>40.25</v>
      </c>
      <c r="H7488" s="198"/>
    </row>
    <row r="7489" spans="1:8" ht="15.75" hidden="1" customHeight="1" x14ac:dyDescent="0.25">
      <c r="A7489" s="205" t="s">
        <v>8103</v>
      </c>
      <c r="B7489" s="206">
        <v>101483</v>
      </c>
      <c r="C7489" s="207" t="s">
        <v>8168</v>
      </c>
      <c r="D7489" s="208" t="s">
        <v>8106</v>
      </c>
      <c r="E7489" s="209">
        <v>31.57</v>
      </c>
      <c r="F7489" s="209">
        <v>10.199999999999999</v>
      </c>
      <c r="G7489" s="209">
        <v>41.77</v>
      </c>
      <c r="H7489" s="198"/>
    </row>
    <row r="7490" spans="1:8" ht="15.75" hidden="1" customHeight="1" x14ac:dyDescent="0.25">
      <c r="A7490" s="205" t="s">
        <v>8103</v>
      </c>
      <c r="B7490" s="206">
        <v>101484</v>
      </c>
      <c r="C7490" s="207" t="s">
        <v>8169</v>
      </c>
      <c r="D7490" s="208" t="s">
        <v>8106</v>
      </c>
      <c r="E7490" s="209">
        <v>163.54</v>
      </c>
      <c r="F7490" s="209">
        <v>52.92</v>
      </c>
      <c r="G7490" s="209">
        <v>216.46</v>
      </c>
      <c r="H7490" s="198"/>
    </row>
    <row r="7491" spans="1:8" ht="15.75" hidden="1" customHeight="1" x14ac:dyDescent="0.25">
      <c r="A7491" s="205" t="s">
        <v>8103</v>
      </c>
      <c r="B7491" s="206">
        <v>101485</v>
      </c>
      <c r="C7491" s="207" t="s">
        <v>8170</v>
      </c>
      <c r="D7491" s="208" t="s">
        <v>8106</v>
      </c>
      <c r="E7491" s="209">
        <v>125.54</v>
      </c>
      <c r="F7491" s="209">
        <v>40.619999999999997</v>
      </c>
      <c r="G7491" s="209">
        <v>166.16</v>
      </c>
      <c r="H7491" s="198"/>
    </row>
    <row r="7492" spans="1:8" ht="15.75" hidden="1" customHeight="1" x14ac:dyDescent="0.25">
      <c r="A7492" s="205" t="s">
        <v>8103</v>
      </c>
      <c r="B7492" s="206">
        <v>101486</v>
      </c>
      <c r="C7492" s="207" t="s">
        <v>8171</v>
      </c>
      <c r="D7492" s="208" t="s">
        <v>8106</v>
      </c>
      <c r="E7492" s="209">
        <v>113.09</v>
      </c>
      <c r="F7492" s="209">
        <v>36.590000000000003</v>
      </c>
      <c r="G7492" s="209">
        <v>149.68</v>
      </c>
      <c r="H7492" s="198"/>
    </row>
    <row r="7493" spans="1:8" ht="15.75" hidden="1" customHeight="1" x14ac:dyDescent="0.25">
      <c r="A7493" s="205" t="s">
        <v>8103</v>
      </c>
      <c r="B7493" s="206">
        <v>101006</v>
      </c>
      <c r="C7493" s="207" t="s">
        <v>8172</v>
      </c>
      <c r="D7493" s="208" t="s">
        <v>664</v>
      </c>
      <c r="E7493" s="209">
        <v>19.91</v>
      </c>
      <c r="F7493" s="209">
        <v>2.37</v>
      </c>
      <c r="G7493" s="209">
        <v>22.28</v>
      </c>
      <c r="H7493" s="198"/>
    </row>
    <row r="7494" spans="1:8" ht="15.75" hidden="1" customHeight="1" x14ac:dyDescent="0.25">
      <c r="A7494" s="205" t="s">
        <v>8103</v>
      </c>
      <c r="B7494" s="206">
        <v>101005</v>
      </c>
      <c r="C7494" s="207" t="s">
        <v>8173</v>
      </c>
      <c r="D7494" s="208" t="s">
        <v>664</v>
      </c>
      <c r="E7494" s="209">
        <v>17.53</v>
      </c>
      <c r="F7494" s="209">
        <v>2.64</v>
      </c>
      <c r="G7494" s="209">
        <v>20.170000000000002</v>
      </c>
      <c r="H7494" s="198"/>
    </row>
    <row r="7495" spans="1:8" ht="15.75" hidden="1" customHeight="1" x14ac:dyDescent="0.25">
      <c r="A7495" s="205" t="s">
        <v>8103</v>
      </c>
      <c r="B7495" s="206">
        <v>102568</v>
      </c>
      <c r="C7495" s="207" t="s">
        <v>8174</v>
      </c>
      <c r="D7495" s="208" t="s">
        <v>8106</v>
      </c>
      <c r="E7495" s="209">
        <v>222.35</v>
      </c>
      <c r="F7495" s="209">
        <v>105.26</v>
      </c>
      <c r="G7495" s="209">
        <v>327.61</v>
      </c>
      <c r="H7495" s="198"/>
    </row>
    <row r="7496" spans="1:8" ht="15.75" hidden="1" customHeight="1" x14ac:dyDescent="0.25">
      <c r="A7496" s="205" t="s">
        <v>8103</v>
      </c>
      <c r="B7496" s="206">
        <v>101479</v>
      </c>
      <c r="C7496" s="207" t="s">
        <v>8175</v>
      </c>
      <c r="D7496" s="208" t="s">
        <v>8106</v>
      </c>
      <c r="E7496" s="209">
        <v>130.53</v>
      </c>
      <c r="F7496" s="209">
        <v>61.78</v>
      </c>
      <c r="G7496" s="209">
        <v>192.31</v>
      </c>
      <c r="H7496" s="198"/>
    </row>
    <row r="7497" spans="1:8" ht="15.75" hidden="1" customHeight="1" x14ac:dyDescent="0.25">
      <c r="A7497" s="205" t="s">
        <v>8103</v>
      </c>
      <c r="B7497" s="206">
        <v>101019</v>
      </c>
      <c r="C7497" s="207" t="s">
        <v>8176</v>
      </c>
      <c r="D7497" s="208" t="s">
        <v>8106</v>
      </c>
      <c r="E7497" s="209">
        <v>447.99</v>
      </c>
      <c r="F7497" s="209">
        <v>212.08</v>
      </c>
      <c r="G7497" s="209">
        <v>660.07</v>
      </c>
      <c r="H7497" s="198"/>
    </row>
    <row r="7498" spans="1:8" ht="15.75" hidden="1" customHeight="1" x14ac:dyDescent="0.25">
      <c r="A7498" s="205" t="s">
        <v>8103</v>
      </c>
      <c r="B7498" s="206">
        <v>100938</v>
      </c>
      <c r="C7498" s="207" t="s">
        <v>8177</v>
      </c>
      <c r="D7498" s="208" t="s">
        <v>8005</v>
      </c>
      <c r="E7498" s="209">
        <v>6.98</v>
      </c>
      <c r="F7498" s="209">
        <v>1.03</v>
      </c>
      <c r="G7498" s="209">
        <v>8.01</v>
      </c>
      <c r="H7498" s="198"/>
    </row>
    <row r="7499" spans="1:8" ht="15.75" hidden="1" customHeight="1" x14ac:dyDescent="0.25">
      <c r="A7499" s="205" t="s">
        <v>8103</v>
      </c>
      <c r="B7499" s="206">
        <v>100942</v>
      </c>
      <c r="C7499" s="207" t="s">
        <v>8178</v>
      </c>
      <c r="D7499" s="208" t="s">
        <v>8179</v>
      </c>
      <c r="E7499" s="209">
        <v>4.67</v>
      </c>
      <c r="F7499" s="209">
        <v>0.67</v>
      </c>
      <c r="G7499" s="209">
        <v>5.34</v>
      </c>
      <c r="H7499" s="198"/>
    </row>
    <row r="7500" spans="1:8" ht="15.75" hidden="1" customHeight="1" x14ac:dyDescent="0.25">
      <c r="A7500" s="205" t="s">
        <v>8103</v>
      </c>
      <c r="B7500" s="206">
        <v>93588</v>
      </c>
      <c r="C7500" s="207" t="s">
        <v>8180</v>
      </c>
      <c r="D7500" s="208" t="s">
        <v>8005</v>
      </c>
      <c r="E7500" s="209">
        <v>2.93</v>
      </c>
      <c r="F7500" s="209">
        <v>0.43</v>
      </c>
      <c r="G7500" s="209">
        <v>3.36</v>
      </c>
      <c r="H7500" s="198"/>
    </row>
    <row r="7501" spans="1:8" ht="15.75" hidden="1" customHeight="1" x14ac:dyDescent="0.25">
      <c r="A7501" s="205" t="s">
        <v>8103</v>
      </c>
      <c r="B7501" s="206">
        <v>93594</v>
      </c>
      <c r="C7501" s="207" t="s">
        <v>8181</v>
      </c>
      <c r="D7501" s="208" t="s">
        <v>8179</v>
      </c>
      <c r="E7501" s="209">
        <v>1.95</v>
      </c>
      <c r="F7501" s="209">
        <v>0.28000000000000003</v>
      </c>
      <c r="G7501" s="209">
        <v>2.23</v>
      </c>
      <c r="H7501" s="198"/>
    </row>
    <row r="7502" spans="1:8" ht="15.75" hidden="1" customHeight="1" x14ac:dyDescent="0.25">
      <c r="A7502" s="205" t="s">
        <v>8103</v>
      </c>
      <c r="B7502" s="206">
        <v>93589</v>
      </c>
      <c r="C7502" s="207" t="s">
        <v>8182</v>
      </c>
      <c r="D7502" s="208" t="s">
        <v>8005</v>
      </c>
      <c r="E7502" s="209">
        <v>2.5099999999999998</v>
      </c>
      <c r="F7502" s="209">
        <v>0.37</v>
      </c>
      <c r="G7502" s="209">
        <v>2.88</v>
      </c>
      <c r="H7502" s="198"/>
    </row>
    <row r="7503" spans="1:8" ht="15.75" hidden="1" customHeight="1" x14ac:dyDescent="0.25">
      <c r="A7503" s="205" t="s">
        <v>8103</v>
      </c>
      <c r="B7503" s="206">
        <v>93595</v>
      </c>
      <c r="C7503" s="207" t="s">
        <v>8183</v>
      </c>
      <c r="D7503" s="208" t="s">
        <v>8179</v>
      </c>
      <c r="E7503" s="209">
        <v>1.71</v>
      </c>
      <c r="F7503" s="209">
        <v>0.24</v>
      </c>
      <c r="G7503" s="209">
        <v>1.95</v>
      </c>
      <c r="H7503" s="198"/>
    </row>
    <row r="7504" spans="1:8" ht="15.75" hidden="1" customHeight="1" x14ac:dyDescent="0.25">
      <c r="A7504" s="205" t="s">
        <v>8103</v>
      </c>
      <c r="B7504" s="206">
        <v>93590</v>
      </c>
      <c r="C7504" s="207" t="s">
        <v>8184</v>
      </c>
      <c r="D7504" s="208" t="s">
        <v>8005</v>
      </c>
      <c r="E7504" s="209">
        <v>0.93</v>
      </c>
      <c r="F7504" s="209">
        <v>0.12</v>
      </c>
      <c r="G7504" s="209">
        <v>1.05</v>
      </c>
      <c r="H7504" s="198"/>
    </row>
    <row r="7505" spans="1:8" ht="15.75" hidden="1" customHeight="1" x14ac:dyDescent="0.25">
      <c r="A7505" s="205" t="s">
        <v>8103</v>
      </c>
      <c r="B7505" s="206">
        <v>93596</v>
      </c>
      <c r="C7505" s="207" t="s">
        <v>8185</v>
      </c>
      <c r="D7505" s="208" t="s">
        <v>8179</v>
      </c>
      <c r="E7505" s="209">
        <v>0.62</v>
      </c>
      <c r="F7505" s="209">
        <v>0.08</v>
      </c>
      <c r="G7505" s="209">
        <v>0.7</v>
      </c>
      <c r="H7505" s="198"/>
    </row>
    <row r="7506" spans="1:8" ht="15.75" hidden="1" customHeight="1" x14ac:dyDescent="0.25">
      <c r="A7506" s="205" t="s">
        <v>8103</v>
      </c>
      <c r="B7506" s="206">
        <v>95875</v>
      </c>
      <c r="C7506" s="207" t="s">
        <v>8186</v>
      </c>
      <c r="D7506" s="208" t="s">
        <v>8005</v>
      </c>
      <c r="E7506" s="209">
        <v>2.3199999999999998</v>
      </c>
      <c r="F7506" s="209">
        <v>0.33</v>
      </c>
      <c r="G7506" s="209">
        <v>2.65</v>
      </c>
      <c r="H7506" s="198"/>
    </row>
    <row r="7507" spans="1:8" ht="15.75" hidden="1" customHeight="1" x14ac:dyDescent="0.25">
      <c r="A7507" s="205" t="s">
        <v>8103</v>
      </c>
      <c r="B7507" s="206">
        <v>95878</v>
      </c>
      <c r="C7507" s="207" t="s">
        <v>8187</v>
      </c>
      <c r="D7507" s="208" t="s">
        <v>8179</v>
      </c>
      <c r="E7507" s="209">
        <v>1.56</v>
      </c>
      <c r="F7507" s="209">
        <v>0.22</v>
      </c>
      <c r="G7507" s="209">
        <v>1.78</v>
      </c>
      <c r="H7507" s="198"/>
    </row>
    <row r="7508" spans="1:8" ht="15.75" hidden="1" customHeight="1" x14ac:dyDescent="0.25">
      <c r="A7508" s="205" t="s">
        <v>8103</v>
      </c>
      <c r="B7508" s="206">
        <v>100943</v>
      </c>
      <c r="C7508" s="207" t="s">
        <v>8188</v>
      </c>
      <c r="D7508" s="208" t="s">
        <v>8179</v>
      </c>
      <c r="E7508" s="209">
        <v>4.07</v>
      </c>
      <c r="F7508" s="209">
        <v>0.47</v>
      </c>
      <c r="G7508" s="209">
        <v>4.54</v>
      </c>
      <c r="H7508" s="198"/>
    </row>
    <row r="7509" spans="1:8" ht="15.75" hidden="1" customHeight="1" x14ac:dyDescent="0.25">
      <c r="A7509" s="205" t="s">
        <v>8103</v>
      </c>
      <c r="B7509" s="206">
        <v>100939</v>
      </c>
      <c r="C7509" s="207" t="s">
        <v>8189</v>
      </c>
      <c r="D7509" s="208" t="s">
        <v>8005</v>
      </c>
      <c r="E7509" s="209">
        <v>6.12</v>
      </c>
      <c r="F7509" s="209">
        <v>0.72</v>
      </c>
      <c r="G7509" s="209">
        <v>6.84</v>
      </c>
      <c r="H7509" s="198"/>
    </row>
    <row r="7510" spans="1:8" ht="15.75" hidden="1" customHeight="1" x14ac:dyDescent="0.25">
      <c r="A7510" s="205" t="s">
        <v>8103</v>
      </c>
      <c r="B7510" s="206">
        <v>93591</v>
      </c>
      <c r="C7510" s="207" t="s">
        <v>8190</v>
      </c>
      <c r="D7510" s="208" t="s">
        <v>8005</v>
      </c>
      <c r="E7510" s="209">
        <v>2.5499999999999998</v>
      </c>
      <c r="F7510" s="209">
        <v>0.3</v>
      </c>
      <c r="G7510" s="209">
        <v>2.85</v>
      </c>
      <c r="H7510" s="198"/>
    </row>
    <row r="7511" spans="1:8" ht="15.75" hidden="1" customHeight="1" x14ac:dyDescent="0.25">
      <c r="A7511" s="205" t="s">
        <v>8103</v>
      </c>
      <c r="B7511" s="206">
        <v>93597</v>
      </c>
      <c r="C7511" s="207" t="s">
        <v>8191</v>
      </c>
      <c r="D7511" s="208" t="s">
        <v>8179</v>
      </c>
      <c r="E7511" s="209">
        <v>1.7</v>
      </c>
      <c r="F7511" s="209">
        <v>0.2</v>
      </c>
      <c r="G7511" s="209">
        <v>1.9</v>
      </c>
      <c r="H7511" s="198"/>
    </row>
    <row r="7512" spans="1:8" ht="15.75" hidden="1" customHeight="1" x14ac:dyDescent="0.25">
      <c r="A7512" s="205" t="s">
        <v>8103</v>
      </c>
      <c r="B7512" s="206">
        <v>93592</v>
      </c>
      <c r="C7512" s="207" t="s">
        <v>8192</v>
      </c>
      <c r="D7512" s="208" t="s">
        <v>8005</v>
      </c>
      <c r="E7512" s="209">
        <v>2.21</v>
      </c>
      <c r="F7512" s="209">
        <v>0.26</v>
      </c>
      <c r="G7512" s="209">
        <v>2.4700000000000002</v>
      </c>
      <c r="H7512" s="198"/>
    </row>
    <row r="7513" spans="1:8" ht="15.75" hidden="1" customHeight="1" x14ac:dyDescent="0.25">
      <c r="A7513" s="205" t="s">
        <v>8103</v>
      </c>
      <c r="B7513" s="206">
        <v>93598</v>
      </c>
      <c r="C7513" s="207" t="s">
        <v>8193</v>
      </c>
      <c r="D7513" s="208" t="s">
        <v>8179</v>
      </c>
      <c r="E7513" s="209">
        <v>1.47</v>
      </c>
      <c r="F7513" s="209">
        <v>0.17</v>
      </c>
      <c r="G7513" s="209">
        <v>1.64</v>
      </c>
      <c r="H7513" s="198"/>
    </row>
    <row r="7514" spans="1:8" ht="15.75" hidden="1" customHeight="1" x14ac:dyDescent="0.25">
      <c r="A7514" s="205" t="s">
        <v>8103</v>
      </c>
      <c r="B7514" s="206">
        <v>93593</v>
      </c>
      <c r="C7514" s="207" t="s">
        <v>8194</v>
      </c>
      <c r="D7514" s="208" t="s">
        <v>8005</v>
      </c>
      <c r="E7514" s="209">
        <v>0.84</v>
      </c>
      <c r="F7514" s="209">
        <v>7.0000000000000007E-2</v>
      </c>
      <c r="G7514" s="209">
        <v>0.91</v>
      </c>
      <c r="H7514" s="198"/>
    </row>
    <row r="7515" spans="1:8" ht="15.75" hidden="1" customHeight="1" x14ac:dyDescent="0.25">
      <c r="A7515" s="205" t="s">
        <v>8103</v>
      </c>
      <c r="B7515" s="206">
        <v>93599</v>
      </c>
      <c r="C7515" s="207" t="s">
        <v>8195</v>
      </c>
      <c r="D7515" s="208" t="s">
        <v>8179</v>
      </c>
      <c r="E7515" s="209">
        <v>0.54</v>
      </c>
      <c r="F7515" s="209">
        <v>0.06</v>
      </c>
      <c r="G7515" s="209">
        <v>0.6</v>
      </c>
      <c r="H7515" s="198"/>
    </row>
    <row r="7516" spans="1:8" ht="15.75" hidden="1" customHeight="1" x14ac:dyDescent="0.25">
      <c r="A7516" s="205" t="s">
        <v>8103</v>
      </c>
      <c r="B7516" s="206">
        <v>95876</v>
      </c>
      <c r="C7516" s="207" t="s">
        <v>8196</v>
      </c>
      <c r="D7516" s="208" t="s">
        <v>8005</v>
      </c>
      <c r="E7516" s="209">
        <v>2.0099999999999998</v>
      </c>
      <c r="F7516" s="209">
        <v>0.24</v>
      </c>
      <c r="G7516" s="209">
        <v>2.25</v>
      </c>
      <c r="H7516" s="198"/>
    </row>
    <row r="7517" spans="1:8" ht="15.75" hidden="1" customHeight="1" x14ac:dyDescent="0.25">
      <c r="A7517" s="205" t="s">
        <v>8103</v>
      </c>
      <c r="B7517" s="206">
        <v>95879</v>
      </c>
      <c r="C7517" s="207" t="s">
        <v>8197</v>
      </c>
      <c r="D7517" s="208" t="s">
        <v>8179</v>
      </c>
      <c r="E7517" s="209">
        <v>1.37</v>
      </c>
      <c r="F7517" s="209">
        <v>0.15</v>
      </c>
      <c r="G7517" s="209">
        <v>1.52</v>
      </c>
      <c r="H7517" s="198"/>
    </row>
    <row r="7518" spans="1:8" ht="15.75" hidden="1" customHeight="1" x14ac:dyDescent="0.25">
      <c r="A7518" s="205" t="s">
        <v>8103</v>
      </c>
      <c r="B7518" s="206">
        <v>100940</v>
      </c>
      <c r="C7518" s="207" t="s">
        <v>8198</v>
      </c>
      <c r="D7518" s="208" t="s">
        <v>8005</v>
      </c>
      <c r="E7518" s="209">
        <v>5.26</v>
      </c>
      <c r="F7518" s="209">
        <v>0.56000000000000005</v>
      </c>
      <c r="G7518" s="209">
        <v>5.82</v>
      </c>
      <c r="H7518" s="198"/>
    </row>
    <row r="7519" spans="1:8" ht="15.75" hidden="1" customHeight="1" x14ac:dyDescent="0.25">
      <c r="A7519" s="205" t="s">
        <v>8103</v>
      </c>
      <c r="B7519" s="206">
        <v>100944</v>
      </c>
      <c r="C7519" s="207" t="s">
        <v>8199</v>
      </c>
      <c r="D7519" s="208" t="s">
        <v>8179</v>
      </c>
      <c r="E7519" s="209">
        <v>3.51</v>
      </c>
      <c r="F7519" s="209">
        <v>0.38</v>
      </c>
      <c r="G7519" s="209">
        <v>3.89</v>
      </c>
      <c r="H7519" s="198"/>
    </row>
    <row r="7520" spans="1:8" ht="15.75" hidden="1" customHeight="1" x14ac:dyDescent="0.25">
      <c r="A7520" s="205" t="s">
        <v>8103</v>
      </c>
      <c r="B7520" s="206">
        <v>95425</v>
      </c>
      <c r="C7520" s="207" t="s">
        <v>8200</v>
      </c>
      <c r="D7520" s="208" t="s">
        <v>8005</v>
      </c>
      <c r="E7520" s="209">
        <v>2.2000000000000002</v>
      </c>
      <c r="F7520" s="209">
        <v>0.22</v>
      </c>
      <c r="G7520" s="209">
        <v>2.42</v>
      </c>
      <c r="H7520" s="198"/>
    </row>
    <row r="7521" spans="1:8" ht="15.75" hidden="1" customHeight="1" x14ac:dyDescent="0.25">
      <c r="A7521" s="205" t="s">
        <v>8103</v>
      </c>
      <c r="B7521" s="206">
        <v>95428</v>
      </c>
      <c r="C7521" s="207" t="s">
        <v>8201</v>
      </c>
      <c r="D7521" s="208" t="s">
        <v>8179</v>
      </c>
      <c r="E7521" s="209">
        <v>1.49</v>
      </c>
      <c r="F7521" s="209">
        <v>0.14000000000000001</v>
      </c>
      <c r="G7521" s="209">
        <v>1.63</v>
      </c>
      <c r="H7521" s="198"/>
    </row>
    <row r="7522" spans="1:8" ht="15.75" hidden="1" customHeight="1" x14ac:dyDescent="0.25">
      <c r="A7522" s="205" t="s">
        <v>8103</v>
      </c>
      <c r="B7522" s="206">
        <v>95426</v>
      </c>
      <c r="C7522" s="207" t="s">
        <v>8202</v>
      </c>
      <c r="D7522" s="208" t="s">
        <v>8005</v>
      </c>
      <c r="E7522" s="209">
        <v>1.91</v>
      </c>
      <c r="F7522" s="209">
        <v>0.19</v>
      </c>
      <c r="G7522" s="209">
        <v>2.1</v>
      </c>
      <c r="H7522" s="198"/>
    </row>
    <row r="7523" spans="1:8" ht="15.75" hidden="1" customHeight="1" x14ac:dyDescent="0.25">
      <c r="A7523" s="205" t="s">
        <v>8103</v>
      </c>
      <c r="B7523" s="206">
        <v>95429</v>
      </c>
      <c r="C7523" s="207" t="s">
        <v>8203</v>
      </c>
      <c r="D7523" s="208" t="s">
        <v>8179</v>
      </c>
      <c r="E7523" s="209">
        <v>1.28</v>
      </c>
      <c r="F7523" s="209">
        <v>0.13</v>
      </c>
      <c r="G7523" s="209">
        <v>1.41</v>
      </c>
      <c r="H7523" s="198"/>
    </row>
    <row r="7524" spans="1:8" ht="15.75" hidden="1" customHeight="1" x14ac:dyDescent="0.25">
      <c r="A7524" s="205" t="s">
        <v>8103</v>
      </c>
      <c r="B7524" s="206">
        <v>95427</v>
      </c>
      <c r="C7524" s="207" t="s">
        <v>8204</v>
      </c>
      <c r="D7524" s="208" t="s">
        <v>8005</v>
      </c>
      <c r="E7524" s="209">
        <v>0.72</v>
      </c>
      <c r="F7524" s="209">
        <v>0.06</v>
      </c>
      <c r="G7524" s="209">
        <v>0.78</v>
      </c>
      <c r="H7524" s="198"/>
    </row>
    <row r="7525" spans="1:8" ht="15.75" hidden="1" customHeight="1" x14ac:dyDescent="0.25">
      <c r="A7525" s="205" t="s">
        <v>8103</v>
      </c>
      <c r="B7525" s="206">
        <v>95430</v>
      </c>
      <c r="C7525" s="207" t="s">
        <v>8205</v>
      </c>
      <c r="D7525" s="208" t="s">
        <v>8179</v>
      </c>
      <c r="E7525" s="209">
        <v>0.46</v>
      </c>
      <c r="F7525" s="209">
        <v>0.03</v>
      </c>
      <c r="G7525" s="209">
        <v>0.49</v>
      </c>
      <c r="H7525" s="198"/>
    </row>
    <row r="7526" spans="1:8" ht="15.75" hidden="1" customHeight="1" x14ac:dyDescent="0.25">
      <c r="A7526" s="205" t="s">
        <v>8103</v>
      </c>
      <c r="B7526" s="206">
        <v>95877</v>
      </c>
      <c r="C7526" s="207" t="s">
        <v>8206</v>
      </c>
      <c r="D7526" s="208" t="s">
        <v>8005</v>
      </c>
      <c r="E7526" s="209">
        <v>1.75</v>
      </c>
      <c r="F7526" s="209">
        <v>0.18</v>
      </c>
      <c r="G7526" s="209">
        <v>1.93</v>
      </c>
      <c r="H7526" s="198"/>
    </row>
    <row r="7527" spans="1:8" ht="15.75" hidden="1" customHeight="1" x14ac:dyDescent="0.25">
      <c r="A7527" s="205" t="s">
        <v>8103</v>
      </c>
      <c r="B7527" s="206">
        <v>95880</v>
      </c>
      <c r="C7527" s="207" t="s">
        <v>8207</v>
      </c>
      <c r="D7527" s="208" t="s">
        <v>8179</v>
      </c>
      <c r="E7527" s="209">
        <v>1.18</v>
      </c>
      <c r="F7527" s="209">
        <v>0.11</v>
      </c>
      <c r="G7527" s="209">
        <v>1.29</v>
      </c>
      <c r="H7527" s="198"/>
    </row>
    <row r="7528" spans="1:8" ht="15.75" hidden="1" customHeight="1" x14ac:dyDescent="0.25">
      <c r="A7528" s="205" t="s">
        <v>8103</v>
      </c>
      <c r="B7528" s="206">
        <v>100937</v>
      </c>
      <c r="C7528" s="207" t="s">
        <v>8208</v>
      </c>
      <c r="D7528" s="208" t="s">
        <v>8005</v>
      </c>
      <c r="E7528" s="209">
        <v>7.94</v>
      </c>
      <c r="F7528" s="209">
        <v>1.72</v>
      </c>
      <c r="G7528" s="209">
        <v>9.66</v>
      </c>
      <c r="H7528" s="198"/>
    </row>
    <row r="7529" spans="1:8" ht="15.75" hidden="1" customHeight="1" x14ac:dyDescent="0.25">
      <c r="A7529" s="205" t="s">
        <v>8103</v>
      </c>
      <c r="B7529" s="206">
        <v>100941</v>
      </c>
      <c r="C7529" s="207" t="s">
        <v>8209</v>
      </c>
      <c r="D7529" s="208" t="s">
        <v>8179</v>
      </c>
      <c r="E7529" s="209">
        <v>5.29</v>
      </c>
      <c r="F7529" s="209">
        <v>1.1399999999999999</v>
      </c>
      <c r="G7529" s="209">
        <v>6.43</v>
      </c>
      <c r="H7529" s="198"/>
    </row>
    <row r="7530" spans="1:8" ht="15.75" hidden="1" customHeight="1" x14ac:dyDescent="0.25">
      <c r="A7530" s="205" t="s">
        <v>8103</v>
      </c>
      <c r="B7530" s="206">
        <v>97912</v>
      </c>
      <c r="C7530" s="207" t="s">
        <v>8210</v>
      </c>
      <c r="D7530" s="208" t="s">
        <v>8005</v>
      </c>
      <c r="E7530" s="209">
        <v>3.35</v>
      </c>
      <c r="F7530" s="209">
        <v>0.7</v>
      </c>
      <c r="G7530" s="209">
        <v>4.05</v>
      </c>
      <c r="H7530" s="198"/>
    </row>
    <row r="7531" spans="1:8" ht="15.75" hidden="1" customHeight="1" x14ac:dyDescent="0.25">
      <c r="A7531" s="205" t="s">
        <v>8103</v>
      </c>
      <c r="B7531" s="206">
        <v>97916</v>
      </c>
      <c r="C7531" s="207" t="s">
        <v>8211</v>
      </c>
      <c r="D7531" s="208" t="s">
        <v>8179</v>
      </c>
      <c r="E7531" s="209">
        <v>2.23</v>
      </c>
      <c r="F7531" s="209">
        <v>0.47</v>
      </c>
      <c r="G7531" s="209">
        <v>2.7</v>
      </c>
      <c r="H7531" s="198"/>
    </row>
    <row r="7532" spans="1:8" ht="15.75" hidden="1" customHeight="1" x14ac:dyDescent="0.25">
      <c r="A7532" s="205" t="s">
        <v>8103</v>
      </c>
      <c r="B7532" s="206">
        <v>97913</v>
      </c>
      <c r="C7532" s="207" t="s">
        <v>8212</v>
      </c>
      <c r="D7532" s="208" t="s">
        <v>8005</v>
      </c>
      <c r="E7532" s="209">
        <v>2.91</v>
      </c>
      <c r="F7532" s="209">
        <v>0.61</v>
      </c>
      <c r="G7532" s="209">
        <v>3.52</v>
      </c>
      <c r="H7532" s="198"/>
    </row>
    <row r="7533" spans="1:8" ht="15.75" hidden="1" customHeight="1" x14ac:dyDescent="0.25">
      <c r="A7533" s="205" t="s">
        <v>8103</v>
      </c>
      <c r="B7533" s="206">
        <v>97917</v>
      </c>
      <c r="C7533" s="207" t="s">
        <v>8213</v>
      </c>
      <c r="D7533" s="208" t="s">
        <v>8179</v>
      </c>
      <c r="E7533" s="209">
        <v>1.92</v>
      </c>
      <c r="F7533" s="209">
        <v>0.41</v>
      </c>
      <c r="G7533" s="209">
        <v>2.33</v>
      </c>
      <c r="H7533" s="198"/>
    </row>
    <row r="7534" spans="1:8" ht="15.75" hidden="1" customHeight="1" x14ac:dyDescent="0.25">
      <c r="A7534" s="205" t="s">
        <v>8103</v>
      </c>
      <c r="B7534" s="206">
        <v>97915</v>
      </c>
      <c r="C7534" s="207" t="s">
        <v>8214</v>
      </c>
      <c r="D7534" s="208" t="s">
        <v>8005</v>
      </c>
      <c r="E7534" s="209">
        <v>1.08</v>
      </c>
      <c r="F7534" s="209">
        <v>0.21</v>
      </c>
      <c r="G7534" s="209">
        <v>1.29</v>
      </c>
      <c r="H7534" s="198"/>
    </row>
    <row r="7535" spans="1:8" ht="15.75" hidden="1" customHeight="1" x14ac:dyDescent="0.25">
      <c r="A7535" s="205" t="s">
        <v>8103</v>
      </c>
      <c r="B7535" s="206">
        <v>97919</v>
      </c>
      <c r="C7535" s="207" t="s">
        <v>8215</v>
      </c>
      <c r="D7535" s="208" t="s">
        <v>8179</v>
      </c>
      <c r="E7535" s="209">
        <v>0.72</v>
      </c>
      <c r="F7535" s="209">
        <v>0.13</v>
      </c>
      <c r="G7535" s="209">
        <v>0.85</v>
      </c>
      <c r="H7535" s="198"/>
    </row>
    <row r="7536" spans="1:8" ht="15.75" hidden="1" customHeight="1" x14ac:dyDescent="0.25">
      <c r="A7536" s="205" t="s">
        <v>8103</v>
      </c>
      <c r="B7536" s="206">
        <v>97914</v>
      </c>
      <c r="C7536" s="207" t="s">
        <v>8216</v>
      </c>
      <c r="D7536" s="208" t="s">
        <v>8005</v>
      </c>
      <c r="E7536" s="209">
        <v>2.64</v>
      </c>
      <c r="F7536" s="209">
        <v>0.56999999999999995</v>
      </c>
      <c r="G7536" s="209">
        <v>3.21</v>
      </c>
      <c r="H7536" s="198"/>
    </row>
    <row r="7537" spans="1:8" ht="15.75" hidden="1" customHeight="1" x14ac:dyDescent="0.25">
      <c r="A7537" s="205" t="s">
        <v>8103</v>
      </c>
      <c r="B7537" s="206">
        <v>97918</v>
      </c>
      <c r="C7537" s="207" t="s">
        <v>8217</v>
      </c>
      <c r="D7537" s="208" t="s">
        <v>8179</v>
      </c>
      <c r="E7537" s="209">
        <v>1.78</v>
      </c>
      <c r="F7537" s="209">
        <v>0.37</v>
      </c>
      <c r="G7537" s="209">
        <v>2.15</v>
      </c>
      <c r="H7537" s="198"/>
    </row>
    <row r="7538" spans="1:8" ht="15.75" hidden="1" customHeight="1" x14ac:dyDescent="0.25">
      <c r="A7538" s="205" t="s">
        <v>8103</v>
      </c>
      <c r="B7538" s="206">
        <v>100949</v>
      </c>
      <c r="C7538" s="207" t="s">
        <v>8218</v>
      </c>
      <c r="D7538" s="208" t="s">
        <v>8179</v>
      </c>
      <c r="E7538" s="209">
        <v>6.17</v>
      </c>
      <c r="F7538" s="209">
        <v>1.0900000000000001</v>
      </c>
      <c r="G7538" s="209">
        <v>7.26</v>
      </c>
      <c r="H7538" s="198"/>
    </row>
    <row r="7539" spans="1:8" ht="15.75" hidden="1" customHeight="1" x14ac:dyDescent="0.25">
      <c r="A7539" s="205" t="s">
        <v>8103</v>
      </c>
      <c r="B7539" s="206">
        <v>100945</v>
      </c>
      <c r="C7539" s="207" t="s">
        <v>8219</v>
      </c>
      <c r="D7539" s="208" t="s">
        <v>8179</v>
      </c>
      <c r="E7539" s="209">
        <v>2.61</v>
      </c>
      <c r="F7539" s="209">
        <v>0.44</v>
      </c>
      <c r="G7539" s="209">
        <v>3.05</v>
      </c>
      <c r="H7539" s="198"/>
    </row>
    <row r="7540" spans="1:8" ht="15.75" hidden="1" customHeight="1" x14ac:dyDescent="0.25">
      <c r="A7540" s="205" t="s">
        <v>8103</v>
      </c>
      <c r="B7540" s="206">
        <v>100946</v>
      </c>
      <c r="C7540" s="207" t="s">
        <v>8220</v>
      </c>
      <c r="D7540" s="208" t="s">
        <v>8179</v>
      </c>
      <c r="E7540" s="209">
        <v>2.23</v>
      </c>
      <c r="F7540" s="209">
        <v>0.4</v>
      </c>
      <c r="G7540" s="209">
        <v>2.63</v>
      </c>
      <c r="H7540" s="198"/>
    </row>
    <row r="7541" spans="1:8" ht="15.75" hidden="1" customHeight="1" x14ac:dyDescent="0.25">
      <c r="A7541" s="205" t="s">
        <v>8103</v>
      </c>
      <c r="B7541" s="206">
        <v>100948</v>
      </c>
      <c r="C7541" s="207" t="s">
        <v>8221</v>
      </c>
      <c r="D7541" s="208" t="s">
        <v>8179</v>
      </c>
      <c r="E7541" s="209">
        <v>0.83</v>
      </c>
      <c r="F7541" s="209">
        <v>0.13</v>
      </c>
      <c r="G7541" s="209">
        <v>0.96</v>
      </c>
      <c r="H7541" s="198"/>
    </row>
    <row r="7542" spans="1:8" ht="15.75" hidden="1" customHeight="1" x14ac:dyDescent="0.25">
      <c r="A7542" s="205" t="s">
        <v>8103</v>
      </c>
      <c r="B7542" s="206">
        <v>100947</v>
      </c>
      <c r="C7542" s="207" t="s">
        <v>8222</v>
      </c>
      <c r="D7542" s="208" t="s">
        <v>8179</v>
      </c>
      <c r="E7542" s="209">
        <v>2.0499999999999998</v>
      </c>
      <c r="F7542" s="209">
        <v>0.37</v>
      </c>
      <c r="G7542" s="209">
        <v>2.42</v>
      </c>
      <c r="H7542" s="198"/>
    </row>
    <row r="7543" spans="1:8" ht="15.75" hidden="1" customHeight="1" x14ac:dyDescent="0.25">
      <c r="A7543" s="205" t="s">
        <v>8103</v>
      </c>
      <c r="B7543" s="206">
        <v>100954</v>
      </c>
      <c r="C7543" s="207" t="s">
        <v>8223</v>
      </c>
      <c r="D7543" s="208" t="s">
        <v>8179</v>
      </c>
      <c r="E7543" s="209">
        <v>7.95</v>
      </c>
      <c r="F7543" s="209">
        <v>1.25</v>
      </c>
      <c r="G7543" s="209">
        <v>9.1999999999999993</v>
      </c>
      <c r="H7543" s="198"/>
    </row>
    <row r="7544" spans="1:8" ht="15.75" hidden="1" customHeight="1" x14ac:dyDescent="0.25">
      <c r="A7544" s="205" t="s">
        <v>8103</v>
      </c>
      <c r="B7544" s="206">
        <v>100950</v>
      </c>
      <c r="C7544" s="207" t="s">
        <v>8224</v>
      </c>
      <c r="D7544" s="208" t="s">
        <v>8179</v>
      </c>
      <c r="E7544" s="209">
        <v>3.35</v>
      </c>
      <c r="F7544" s="209">
        <v>0.51</v>
      </c>
      <c r="G7544" s="209">
        <v>3.86</v>
      </c>
      <c r="H7544" s="198"/>
    </row>
    <row r="7545" spans="1:8" ht="15.75" hidden="1" customHeight="1" x14ac:dyDescent="0.25">
      <c r="A7545" s="205" t="s">
        <v>8103</v>
      </c>
      <c r="B7545" s="206">
        <v>100951</v>
      </c>
      <c r="C7545" s="207" t="s">
        <v>8225</v>
      </c>
      <c r="D7545" s="208" t="s">
        <v>8179</v>
      </c>
      <c r="E7545" s="209">
        <v>2.9</v>
      </c>
      <c r="F7545" s="209">
        <v>0.44</v>
      </c>
      <c r="G7545" s="209">
        <v>3.34</v>
      </c>
      <c r="H7545" s="198"/>
    </row>
    <row r="7546" spans="1:8" ht="15.75" hidden="1" customHeight="1" x14ac:dyDescent="0.25">
      <c r="A7546" s="205" t="s">
        <v>8103</v>
      </c>
      <c r="B7546" s="206">
        <v>100953</v>
      </c>
      <c r="C7546" s="207" t="s">
        <v>8226</v>
      </c>
      <c r="D7546" s="208" t="s">
        <v>8179</v>
      </c>
      <c r="E7546" s="209">
        <v>1.07</v>
      </c>
      <c r="F7546" s="209">
        <v>0.15</v>
      </c>
      <c r="G7546" s="209">
        <v>1.22</v>
      </c>
      <c r="H7546" s="198"/>
    </row>
    <row r="7547" spans="1:8" ht="15.75" hidden="1" customHeight="1" x14ac:dyDescent="0.25">
      <c r="A7547" s="205" t="s">
        <v>8103</v>
      </c>
      <c r="B7547" s="206">
        <v>100952</v>
      </c>
      <c r="C7547" s="207" t="s">
        <v>8227</v>
      </c>
      <c r="D7547" s="208" t="s">
        <v>8179</v>
      </c>
      <c r="E7547" s="209">
        <v>2.66</v>
      </c>
      <c r="F7547" s="209">
        <v>0.41</v>
      </c>
      <c r="G7547" s="209">
        <v>3.07</v>
      </c>
      <c r="H7547" s="198"/>
    </row>
    <row r="7548" spans="1:8" ht="15.75" hidden="1" customHeight="1" x14ac:dyDescent="0.25">
      <c r="A7548" s="205" t="s">
        <v>8103</v>
      </c>
      <c r="B7548" s="206">
        <v>100964</v>
      </c>
      <c r="C7548" s="207" t="s">
        <v>8228</v>
      </c>
      <c r="D7548" s="208" t="s">
        <v>8005</v>
      </c>
      <c r="E7548" s="209">
        <v>8.41</v>
      </c>
      <c r="F7548" s="209">
        <v>0.98</v>
      </c>
      <c r="G7548" s="209">
        <v>9.39</v>
      </c>
      <c r="H7548" s="198"/>
    </row>
    <row r="7549" spans="1:8" ht="15.75" hidden="1" customHeight="1" x14ac:dyDescent="0.25">
      <c r="A7549" s="205" t="s">
        <v>8103</v>
      </c>
      <c r="B7549" s="206">
        <v>100960</v>
      </c>
      <c r="C7549" s="207" t="s">
        <v>8229</v>
      </c>
      <c r="D7549" s="208" t="s">
        <v>8005</v>
      </c>
      <c r="E7549" s="209">
        <v>3.5</v>
      </c>
      <c r="F7549" s="209">
        <v>0.41</v>
      </c>
      <c r="G7549" s="209">
        <v>3.91</v>
      </c>
      <c r="H7549" s="198"/>
    </row>
    <row r="7550" spans="1:8" ht="15.75" hidden="1" customHeight="1" x14ac:dyDescent="0.25">
      <c r="A7550" s="205" t="s">
        <v>8103</v>
      </c>
      <c r="B7550" s="206">
        <v>100961</v>
      </c>
      <c r="C7550" s="207" t="s">
        <v>8230</v>
      </c>
      <c r="D7550" s="208" t="s">
        <v>8005</v>
      </c>
      <c r="E7550" s="209">
        <v>3.03</v>
      </c>
      <c r="F7550" s="209">
        <v>0.35</v>
      </c>
      <c r="G7550" s="209">
        <v>3.38</v>
      </c>
      <c r="H7550" s="198"/>
    </row>
    <row r="7551" spans="1:8" ht="15.75" hidden="1" customHeight="1" x14ac:dyDescent="0.25">
      <c r="A7551" s="205" t="s">
        <v>8103</v>
      </c>
      <c r="B7551" s="206">
        <v>100963</v>
      </c>
      <c r="C7551" s="207" t="s">
        <v>8231</v>
      </c>
      <c r="D7551" s="208" t="s">
        <v>8005</v>
      </c>
      <c r="E7551" s="209">
        <v>1.1000000000000001</v>
      </c>
      <c r="F7551" s="209">
        <v>0.12</v>
      </c>
      <c r="G7551" s="209">
        <v>1.22</v>
      </c>
      <c r="H7551" s="198"/>
    </row>
    <row r="7552" spans="1:8" ht="15.75" hidden="1" customHeight="1" x14ac:dyDescent="0.25">
      <c r="A7552" s="205" t="s">
        <v>8103</v>
      </c>
      <c r="B7552" s="206">
        <v>100962</v>
      </c>
      <c r="C7552" s="207" t="s">
        <v>8232</v>
      </c>
      <c r="D7552" s="208" t="s">
        <v>8005</v>
      </c>
      <c r="E7552" s="209">
        <v>2.76</v>
      </c>
      <c r="F7552" s="209">
        <v>0.33</v>
      </c>
      <c r="G7552" s="209">
        <v>3.09</v>
      </c>
      <c r="H7552" s="198"/>
    </row>
    <row r="7553" spans="1:8" ht="15.75" hidden="1" customHeight="1" x14ac:dyDescent="0.25">
      <c r="A7553" s="205" t="s">
        <v>8103</v>
      </c>
      <c r="B7553" s="206">
        <v>100959</v>
      </c>
      <c r="C7553" s="207" t="s">
        <v>8233</v>
      </c>
      <c r="D7553" s="208" t="s">
        <v>8005</v>
      </c>
      <c r="E7553" s="209">
        <v>11</v>
      </c>
      <c r="F7553" s="209">
        <v>1.65</v>
      </c>
      <c r="G7553" s="209">
        <v>12.65</v>
      </c>
      <c r="H7553" s="198"/>
    </row>
    <row r="7554" spans="1:8" ht="15.75" hidden="1" customHeight="1" x14ac:dyDescent="0.25">
      <c r="A7554" s="205" t="s">
        <v>8103</v>
      </c>
      <c r="B7554" s="206">
        <v>100955</v>
      </c>
      <c r="C7554" s="207" t="s">
        <v>8234</v>
      </c>
      <c r="D7554" s="208" t="s">
        <v>8005</v>
      </c>
      <c r="E7554" s="209">
        <v>4.63</v>
      </c>
      <c r="F7554" s="209">
        <v>0.67</v>
      </c>
      <c r="G7554" s="209">
        <v>5.3</v>
      </c>
      <c r="H7554" s="198"/>
    </row>
    <row r="7555" spans="1:8" ht="15.75" hidden="1" customHeight="1" x14ac:dyDescent="0.25">
      <c r="A7555" s="205" t="s">
        <v>8103</v>
      </c>
      <c r="B7555" s="206">
        <v>100956</v>
      </c>
      <c r="C7555" s="207" t="s">
        <v>8235</v>
      </c>
      <c r="D7555" s="208" t="s">
        <v>8005</v>
      </c>
      <c r="E7555" s="209">
        <v>4.01</v>
      </c>
      <c r="F7555" s="209">
        <v>0.59</v>
      </c>
      <c r="G7555" s="209">
        <v>4.5999999999999996</v>
      </c>
      <c r="H7555" s="198"/>
    </row>
    <row r="7556" spans="1:8" ht="15.75" hidden="1" customHeight="1" x14ac:dyDescent="0.25">
      <c r="A7556" s="205" t="s">
        <v>8103</v>
      </c>
      <c r="B7556" s="206">
        <v>100958</v>
      </c>
      <c r="C7556" s="207" t="s">
        <v>8236</v>
      </c>
      <c r="D7556" s="208" t="s">
        <v>8005</v>
      </c>
      <c r="E7556" s="209">
        <v>1.48</v>
      </c>
      <c r="F7556" s="209">
        <v>0.21</v>
      </c>
      <c r="G7556" s="209">
        <v>1.69</v>
      </c>
      <c r="H7556" s="198"/>
    </row>
    <row r="7557" spans="1:8" ht="15.75" hidden="1" customHeight="1" x14ac:dyDescent="0.25">
      <c r="A7557" s="205" t="s">
        <v>8103</v>
      </c>
      <c r="B7557" s="206">
        <v>100957</v>
      </c>
      <c r="C7557" s="207" t="s">
        <v>8237</v>
      </c>
      <c r="D7557" s="208" t="s">
        <v>8005</v>
      </c>
      <c r="E7557" s="209">
        <v>3.67</v>
      </c>
      <c r="F7557" s="209">
        <v>0.54</v>
      </c>
      <c r="G7557" s="209">
        <v>4.21</v>
      </c>
      <c r="H7557" s="198"/>
    </row>
    <row r="7558" spans="1:8" ht="15.75" hidden="1" customHeight="1" x14ac:dyDescent="0.25">
      <c r="A7558" s="205" t="s">
        <v>8103</v>
      </c>
      <c r="B7558" s="206">
        <v>100970</v>
      </c>
      <c r="C7558" s="207" t="s">
        <v>8238</v>
      </c>
      <c r="D7558" s="208" t="s">
        <v>8179</v>
      </c>
      <c r="E7558" s="209">
        <v>1.88</v>
      </c>
      <c r="F7558" s="209">
        <v>0.21</v>
      </c>
      <c r="G7558" s="209">
        <v>2.09</v>
      </c>
      <c r="H7558" s="198"/>
    </row>
    <row r="7559" spans="1:8" ht="15.75" hidden="1" customHeight="1" x14ac:dyDescent="0.25">
      <c r="A7559" s="205" t="s">
        <v>8103</v>
      </c>
      <c r="B7559" s="206">
        <v>100969</v>
      </c>
      <c r="C7559" s="207" t="s">
        <v>8239</v>
      </c>
      <c r="D7559" s="208" t="s">
        <v>8179</v>
      </c>
      <c r="E7559" s="209">
        <v>2.2400000000000002</v>
      </c>
      <c r="F7559" s="209">
        <v>0.24</v>
      </c>
      <c r="G7559" s="209">
        <v>2.48</v>
      </c>
      <c r="H7559" s="198"/>
    </row>
    <row r="7560" spans="1:8" ht="15.75" hidden="1" customHeight="1" x14ac:dyDescent="0.25">
      <c r="A7560" s="205" t="s">
        <v>8103</v>
      </c>
      <c r="B7560" s="206">
        <v>102333</v>
      </c>
      <c r="C7560" s="207" t="s">
        <v>8240</v>
      </c>
      <c r="D7560" s="208" t="s">
        <v>8179</v>
      </c>
      <c r="E7560" s="209">
        <v>0.73</v>
      </c>
      <c r="F7560" s="209">
        <v>0.06</v>
      </c>
      <c r="G7560" s="209">
        <v>0.79</v>
      </c>
      <c r="H7560" s="198"/>
    </row>
    <row r="7561" spans="1:8" ht="15.75" hidden="1" customHeight="1" x14ac:dyDescent="0.25">
      <c r="A7561" s="205" t="s">
        <v>8103</v>
      </c>
      <c r="B7561" s="206">
        <v>102332</v>
      </c>
      <c r="C7561" s="207" t="s">
        <v>8241</v>
      </c>
      <c r="D7561" s="208" t="s">
        <v>8179</v>
      </c>
      <c r="E7561" s="209">
        <v>1.75</v>
      </c>
      <c r="F7561" s="209">
        <v>0.2</v>
      </c>
      <c r="G7561" s="209">
        <v>1.95</v>
      </c>
      <c r="H7561" s="198"/>
    </row>
    <row r="7562" spans="1:8" ht="15.75" hidden="1" customHeight="1" x14ac:dyDescent="0.25">
      <c r="A7562" s="205" t="s">
        <v>8103</v>
      </c>
      <c r="B7562" s="206">
        <v>100965</v>
      </c>
      <c r="C7562" s="207" t="s">
        <v>8242</v>
      </c>
      <c r="D7562" s="208" t="s">
        <v>8179</v>
      </c>
      <c r="E7562" s="209">
        <v>1.71</v>
      </c>
      <c r="F7562" s="209">
        <v>0.16</v>
      </c>
      <c r="G7562" s="209">
        <v>1.87</v>
      </c>
      <c r="H7562" s="198"/>
    </row>
    <row r="7563" spans="1:8" ht="15.75" hidden="1" customHeight="1" x14ac:dyDescent="0.25">
      <c r="A7563" s="205" t="s">
        <v>8103</v>
      </c>
      <c r="B7563" s="206">
        <v>100966</v>
      </c>
      <c r="C7563" s="207" t="s">
        <v>8243</v>
      </c>
      <c r="D7563" s="208" t="s">
        <v>8179</v>
      </c>
      <c r="E7563" s="209">
        <v>1.46</v>
      </c>
      <c r="F7563" s="209">
        <v>0.14000000000000001</v>
      </c>
      <c r="G7563" s="209">
        <v>1.6</v>
      </c>
      <c r="H7563" s="198"/>
    </row>
    <row r="7564" spans="1:8" ht="15.75" hidden="1" customHeight="1" x14ac:dyDescent="0.25">
      <c r="A7564" s="205" t="s">
        <v>8103</v>
      </c>
      <c r="B7564" s="206">
        <v>102331</v>
      </c>
      <c r="C7564" s="207" t="s">
        <v>8244</v>
      </c>
      <c r="D7564" s="208" t="s">
        <v>8179</v>
      </c>
      <c r="E7564" s="209">
        <v>0.55000000000000004</v>
      </c>
      <c r="F7564" s="209">
        <v>0.04</v>
      </c>
      <c r="G7564" s="209">
        <v>0.59</v>
      </c>
      <c r="H7564" s="198"/>
    </row>
    <row r="7565" spans="1:8" ht="15.75" hidden="1" customHeight="1" x14ac:dyDescent="0.25">
      <c r="A7565" s="205" t="s">
        <v>8103</v>
      </c>
      <c r="B7565" s="206">
        <v>102330</v>
      </c>
      <c r="C7565" s="207" t="s">
        <v>8245</v>
      </c>
      <c r="D7565" s="208" t="s">
        <v>8179</v>
      </c>
      <c r="E7565" s="209">
        <v>1.37</v>
      </c>
      <c r="F7565" s="209">
        <v>0.12</v>
      </c>
      <c r="G7565" s="209">
        <v>1.49</v>
      </c>
      <c r="H7565" s="198"/>
    </row>
    <row r="7566" spans="1:8" ht="15.75" hidden="1" customHeight="1" x14ac:dyDescent="0.25">
      <c r="A7566" s="205" t="s">
        <v>8246</v>
      </c>
      <c r="B7566" s="206">
        <v>103138</v>
      </c>
      <c r="C7566" s="207" t="s">
        <v>8247</v>
      </c>
      <c r="D7566" s="208" t="s">
        <v>580</v>
      </c>
      <c r="E7566" s="209">
        <v>29.02</v>
      </c>
      <c r="F7566" s="209">
        <v>14.5</v>
      </c>
      <c r="G7566" s="209">
        <v>43.52</v>
      </c>
      <c r="H7566" s="198"/>
    </row>
    <row r="7567" spans="1:8" ht="15.75" hidden="1" customHeight="1" x14ac:dyDescent="0.25">
      <c r="A7567" s="205" t="s">
        <v>8246</v>
      </c>
      <c r="B7567" s="206">
        <v>103151</v>
      </c>
      <c r="C7567" s="207" t="s">
        <v>8248</v>
      </c>
      <c r="D7567" s="208" t="s">
        <v>580</v>
      </c>
      <c r="E7567" s="209">
        <v>242.9</v>
      </c>
      <c r="F7567" s="209">
        <v>182.48</v>
      </c>
      <c r="G7567" s="209">
        <v>425.38</v>
      </c>
      <c r="H7567" s="198"/>
    </row>
    <row r="7568" spans="1:8" ht="15.75" hidden="1" customHeight="1" x14ac:dyDescent="0.25">
      <c r="A7568" s="205" t="s">
        <v>8246</v>
      </c>
      <c r="B7568" s="206">
        <v>103152</v>
      </c>
      <c r="C7568" s="207" t="s">
        <v>8249</v>
      </c>
      <c r="D7568" s="208" t="s">
        <v>580</v>
      </c>
      <c r="E7568" s="209">
        <v>288.77999999999997</v>
      </c>
      <c r="F7568" s="209">
        <v>218.55</v>
      </c>
      <c r="G7568" s="209">
        <v>507.33</v>
      </c>
      <c r="H7568" s="198"/>
    </row>
    <row r="7569" spans="1:8" ht="15.75" hidden="1" customHeight="1" x14ac:dyDescent="0.25">
      <c r="A7569" s="205" t="s">
        <v>8246</v>
      </c>
      <c r="B7569" s="206">
        <v>103139</v>
      </c>
      <c r="C7569" s="207" t="s">
        <v>8250</v>
      </c>
      <c r="D7569" s="208" t="s">
        <v>580</v>
      </c>
      <c r="E7569" s="209">
        <v>36.840000000000003</v>
      </c>
      <c r="F7569" s="209">
        <v>20.62</v>
      </c>
      <c r="G7569" s="209">
        <v>57.46</v>
      </c>
      <c r="H7569" s="198"/>
    </row>
    <row r="7570" spans="1:8" ht="15.75" hidden="1" customHeight="1" x14ac:dyDescent="0.25">
      <c r="A7570" s="205" t="s">
        <v>8246</v>
      </c>
      <c r="B7570" s="206">
        <v>103140</v>
      </c>
      <c r="C7570" s="207" t="s">
        <v>8251</v>
      </c>
      <c r="D7570" s="208" t="s">
        <v>580</v>
      </c>
      <c r="E7570" s="209">
        <v>44.62</v>
      </c>
      <c r="F7570" s="209">
        <v>26.76</v>
      </c>
      <c r="G7570" s="209">
        <v>71.38</v>
      </c>
      <c r="H7570" s="198"/>
    </row>
    <row r="7571" spans="1:8" ht="15.75" hidden="1" customHeight="1" x14ac:dyDescent="0.25">
      <c r="A7571" s="205" t="s">
        <v>8246</v>
      </c>
      <c r="B7571" s="206">
        <v>103141</v>
      </c>
      <c r="C7571" s="207" t="s">
        <v>8252</v>
      </c>
      <c r="D7571" s="208" t="s">
        <v>580</v>
      </c>
      <c r="E7571" s="209">
        <v>67.13</v>
      </c>
      <c r="F7571" s="209">
        <v>44.41</v>
      </c>
      <c r="G7571" s="209">
        <v>111.54</v>
      </c>
      <c r="H7571" s="198"/>
    </row>
    <row r="7572" spans="1:8" ht="15.75" hidden="1" customHeight="1" x14ac:dyDescent="0.25">
      <c r="A7572" s="205" t="s">
        <v>8246</v>
      </c>
      <c r="B7572" s="206">
        <v>103142</v>
      </c>
      <c r="C7572" s="207" t="s">
        <v>8253</v>
      </c>
      <c r="D7572" s="208" t="s">
        <v>580</v>
      </c>
      <c r="E7572" s="209">
        <v>74.930000000000007</v>
      </c>
      <c r="F7572" s="209">
        <v>50.53</v>
      </c>
      <c r="G7572" s="209">
        <v>125.46</v>
      </c>
      <c r="H7572" s="198"/>
    </row>
    <row r="7573" spans="1:8" ht="15.75" hidden="1" customHeight="1" x14ac:dyDescent="0.25">
      <c r="A7573" s="205" t="s">
        <v>8246</v>
      </c>
      <c r="B7573" s="206">
        <v>103143</v>
      </c>
      <c r="C7573" s="207" t="s">
        <v>8254</v>
      </c>
      <c r="D7573" s="208" t="s">
        <v>580</v>
      </c>
      <c r="E7573" s="209">
        <v>97.42</v>
      </c>
      <c r="F7573" s="209">
        <v>68.19</v>
      </c>
      <c r="G7573" s="209">
        <v>165.61</v>
      </c>
      <c r="H7573" s="198"/>
    </row>
    <row r="7574" spans="1:8" ht="15.75" hidden="1" customHeight="1" x14ac:dyDescent="0.25">
      <c r="A7574" s="205" t="s">
        <v>8246</v>
      </c>
      <c r="B7574" s="206">
        <v>103144</v>
      </c>
      <c r="C7574" s="207" t="s">
        <v>8255</v>
      </c>
      <c r="D7574" s="208" t="s">
        <v>580</v>
      </c>
      <c r="E7574" s="209">
        <v>105.22</v>
      </c>
      <c r="F7574" s="209">
        <v>74.319999999999993</v>
      </c>
      <c r="G7574" s="209">
        <v>179.54</v>
      </c>
      <c r="H7574" s="198"/>
    </row>
    <row r="7575" spans="1:8" ht="15.75" hidden="1" customHeight="1" x14ac:dyDescent="0.25">
      <c r="A7575" s="205" t="s">
        <v>8246</v>
      </c>
      <c r="B7575" s="206">
        <v>103145</v>
      </c>
      <c r="C7575" s="207" t="s">
        <v>8256</v>
      </c>
      <c r="D7575" s="208" t="s">
        <v>580</v>
      </c>
      <c r="E7575" s="209">
        <v>127.7</v>
      </c>
      <c r="F7575" s="209">
        <v>91.98</v>
      </c>
      <c r="G7575" s="209">
        <v>219.68</v>
      </c>
      <c r="H7575" s="198"/>
    </row>
    <row r="7576" spans="1:8" ht="15.75" hidden="1" customHeight="1" x14ac:dyDescent="0.25">
      <c r="A7576" s="205" t="s">
        <v>8246</v>
      </c>
      <c r="B7576" s="206">
        <v>103146</v>
      </c>
      <c r="C7576" s="207" t="s">
        <v>8257</v>
      </c>
      <c r="D7576" s="208" t="s">
        <v>580</v>
      </c>
      <c r="E7576" s="209">
        <v>135.49</v>
      </c>
      <c r="F7576" s="209">
        <v>98.1</v>
      </c>
      <c r="G7576" s="209">
        <v>233.59</v>
      </c>
      <c r="H7576" s="198"/>
    </row>
    <row r="7577" spans="1:8" ht="15.75" hidden="1" customHeight="1" x14ac:dyDescent="0.25">
      <c r="A7577" s="205" t="s">
        <v>8246</v>
      </c>
      <c r="B7577" s="206">
        <v>103147</v>
      </c>
      <c r="C7577" s="207" t="s">
        <v>8258</v>
      </c>
      <c r="D7577" s="208" t="s">
        <v>580</v>
      </c>
      <c r="E7577" s="209">
        <v>151.11000000000001</v>
      </c>
      <c r="F7577" s="209">
        <v>110.37</v>
      </c>
      <c r="G7577" s="209">
        <v>261.48</v>
      </c>
      <c r="H7577" s="198"/>
    </row>
    <row r="7578" spans="1:8" ht="15.75" hidden="1" customHeight="1" x14ac:dyDescent="0.25">
      <c r="A7578" s="205" t="s">
        <v>8246</v>
      </c>
      <c r="B7578" s="206">
        <v>103148</v>
      </c>
      <c r="C7578" s="207" t="s">
        <v>8259</v>
      </c>
      <c r="D7578" s="208" t="s">
        <v>580</v>
      </c>
      <c r="E7578" s="209">
        <v>181.38</v>
      </c>
      <c r="F7578" s="209">
        <v>134.16999999999999</v>
      </c>
      <c r="G7578" s="209">
        <v>315.55</v>
      </c>
      <c r="H7578" s="198"/>
    </row>
    <row r="7579" spans="1:8" ht="15.75" hidden="1" customHeight="1" x14ac:dyDescent="0.25">
      <c r="A7579" s="205" t="s">
        <v>8246</v>
      </c>
      <c r="B7579" s="206">
        <v>103137</v>
      </c>
      <c r="C7579" s="207" t="s">
        <v>8260</v>
      </c>
      <c r="D7579" s="208" t="s">
        <v>580</v>
      </c>
      <c r="E7579" s="209">
        <v>25.92</v>
      </c>
      <c r="F7579" s="209">
        <v>12.03</v>
      </c>
      <c r="G7579" s="209">
        <v>37.950000000000003</v>
      </c>
      <c r="H7579" s="198"/>
    </row>
    <row r="7580" spans="1:8" ht="15.75" hidden="1" customHeight="1" x14ac:dyDescent="0.25">
      <c r="A7580" s="205" t="s">
        <v>8246</v>
      </c>
      <c r="B7580" s="206">
        <v>103149</v>
      </c>
      <c r="C7580" s="207" t="s">
        <v>8261</v>
      </c>
      <c r="D7580" s="208" t="s">
        <v>580</v>
      </c>
      <c r="E7580" s="209">
        <v>197</v>
      </c>
      <c r="F7580" s="209">
        <v>146.44</v>
      </c>
      <c r="G7580" s="209">
        <v>343.44</v>
      </c>
      <c r="H7580" s="198"/>
    </row>
    <row r="7581" spans="1:8" ht="15.75" hidden="1" customHeight="1" x14ac:dyDescent="0.25">
      <c r="A7581" s="205" t="s">
        <v>8246</v>
      </c>
      <c r="B7581" s="206">
        <v>103150</v>
      </c>
      <c r="C7581" s="207" t="s">
        <v>8262</v>
      </c>
      <c r="D7581" s="208" t="s">
        <v>580</v>
      </c>
      <c r="E7581" s="209">
        <v>227.23</v>
      </c>
      <c r="F7581" s="209">
        <v>170.22</v>
      </c>
      <c r="G7581" s="209">
        <v>397.45</v>
      </c>
      <c r="H7581" s="198"/>
    </row>
    <row r="7582" spans="1:8" ht="15.75" hidden="1" customHeight="1" x14ac:dyDescent="0.25">
      <c r="A7582" s="205" t="s">
        <v>8246</v>
      </c>
      <c r="B7582" s="206">
        <v>103106</v>
      </c>
      <c r="C7582" s="207" t="s">
        <v>8263</v>
      </c>
      <c r="D7582" s="208" t="s">
        <v>580</v>
      </c>
      <c r="E7582" s="209">
        <v>42.26</v>
      </c>
      <c r="F7582" s="209">
        <v>24.87</v>
      </c>
      <c r="G7582" s="209">
        <v>67.13</v>
      </c>
      <c r="H7582" s="198"/>
    </row>
    <row r="7583" spans="1:8" ht="15.75" hidden="1" customHeight="1" x14ac:dyDescent="0.25">
      <c r="A7583" s="205" t="s">
        <v>8246</v>
      </c>
      <c r="B7583" s="206">
        <v>103119</v>
      </c>
      <c r="C7583" s="207" t="s">
        <v>8264</v>
      </c>
      <c r="D7583" s="208" t="s">
        <v>580</v>
      </c>
      <c r="E7583" s="209">
        <v>470.02</v>
      </c>
      <c r="F7583" s="209">
        <v>360.84</v>
      </c>
      <c r="G7583" s="209">
        <v>830.86</v>
      </c>
      <c r="H7583" s="198"/>
    </row>
    <row r="7584" spans="1:8" ht="15.75" hidden="1" customHeight="1" x14ac:dyDescent="0.25">
      <c r="A7584" s="205" t="s">
        <v>8246</v>
      </c>
      <c r="B7584" s="206">
        <v>103120</v>
      </c>
      <c r="C7584" s="207" t="s">
        <v>8265</v>
      </c>
      <c r="D7584" s="208" t="s">
        <v>580</v>
      </c>
      <c r="E7584" s="209">
        <v>561.85</v>
      </c>
      <c r="F7584" s="209">
        <v>432.91</v>
      </c>
      <c r="G7584" s="209">
        <v>994.76</v>
      </c>
      <c r="H7584" s="198"/>
    </row>
    <row r="7585" spans="1:8" ht="15.75" hidden="1" customHeight="1" x14ac:dyDescent="0.25">
      <c r="A7585" s="205" t="s">
        <v>8246</v>
      </c>
      <c r="B7585" s="206">
        <v>103107</v>
      </c>
      <c r="C7585" s="207" t="s">
        <v>8266</v>
      </c>
      <c r="D7585" s="208" t="s">
        <v>580</v>
      </c>
      <c r="E7585" s="209">
        <v>57.88</v>
      </c>
      <c r="F7585" s="209">
        <v>37.14</v>
      </c>
      <c r="G7585" s="209">
        <v>95.02</v>
      </c>
      <c r="H7585" s="198"/>
    </row>
    <row r="7586" spans="1:8" ht="15.75" hidden="1" customHeight="1" x14ac:dyDescent="0.25">
      <c r="A7586" s="205" t="s">
        <v>8246</v>
      </c>
      <c r="B7586" s="206">
        <v>103108</v>
      </c>
      <c r="C7586" s="207" t="s">
        <v>8267</v>
      </c>
      <c r="D7586" s="208" t="s">
        <v>580</v>
      </c>
      <c r="E7586" s="209">
        <v>73.48</v>
      </c>
      <c r="F7586" s="209">
        <v>49.41</v>
      </c>
      <c r="G7586" s="209">
        <v>122.89</v>
      </c>
      <c r="H7586" s="198"/>
    </row>
    <row r="7587" spans="1:8" ht="15.75" hidden="1" customHeight="1" x14ac:dyDescent="0.25">
      <c r="A7587" s="205" t="s">
        <v>8246</v>
      </c>
      <c r="B7587" s="206">
        <v>103109</v>
      </c>
      <c r="C7587" s="207" t="s">
        <v>8268</v>
      </c>
      <c r="D7587" s="208" t="s">
        <v>580</v>
      </c>
      <c r="E7587" s="209">
        <v>118.45</v>
      </c>
      <c r="F7587" s="209">
        <v>84.71</v>
      </c>
      <c r="G7587" s="209">
        <v>203.16</v>
      </c>
      <c r="H7587" s="198"/>
    </row>
    <row r="7588" spans="1:8" ht="15.75" hidden="1" customHeight="1" x14ac:dyDescent="0.25">
      <c r="A7588" s="205" t="s">
        <v>8246</v>
      </c>
      <c r="B7588" s="206">
        <v>103110</v>
      </c>
      <c r="C7588" s="207" t="s">
        <v>8269</v>
      </c>
      <c r="D7588" s="208" t="s">
        <v>580</v>
      </c>
      <c r="E7588" s="209">
        <v>134.05000000000001</v>
      </c>
      <c r="F7588" s="209">
        <v>96.99</v>
      </c>
      <c r="G7588" s="209">
        <v>231.04</v>
      </c>
      <c r="H7588" s="198"/>
    </row>
    <row r="7589" spans="1:8" ht="15.75" hidden="1" customHeight="1" x14ac:dyDescent="0.25">
      <c r="A7589" s="205" t="s">
        <v>8246</v>
      </c>
      <c r="B7589" s="206">
        <v>103111</v>
      </c>
      <c r="C7589" s="207" t="s">
        <v>8270</v>
      </c>
      <c r="D7589" s="208" t="s">
        <v>580</v>
      </c>
      <c r="E7589" s="209">
        <v>179</v>
      </c>
      <c r="F7589" s="209">
        <v>132.29</v>
      </c>
      <c r="G7589" s="209">
        <v>311.29000000000002</v>
      </c>
      <c r="H7589" s="198"/>
    </row>
    <row r="7590" spans="1:8" ht="15.75" hidden="1" customHeight="1" x14ac:dyDescent="0.25">
      <c r="A7590" s="205" t="s">
        <v>8246</v>
      </c>
      <c r="B7590" s="206">
        <v>103112</v>
      </c>
      <c r="C7590" s="207" t="s">
        <v>8271</v>
      </c>
      <c r="D7590" s="208" t="s">
        <v>580</v>
      </c>
      <c r="E7590" s="209">
        <v>194.62</v>
      </c>
      <c r="F7590" s="209">
        <v>144.55000000000001</v>
      </c>
      <c r="G7590" s="209">
        <v>339.17</v>
      </c>
      <c r="H7590" s="198"/>
    </row>
    <row r="7591" spans="1:8" ht="15.75" hidden="1" customHeight="1" x14ac:dyDescent="0.25">
      <c r="A7591" s="205" t="s">
        <v>8246</v>
      </c>
      <c r="B7591" s="206">
        <v>103113</v>
      </c>
      <c r="C7591" s="207" t="s">
        <v>8272</v>
      </c>
      <c r="D7591" s="208" t="s">
        <v>580</v>
      </c>
      <c r="E7591" s="209">
        <v>239.59</v>
      </c>
      <c r="F7591" s="209">
        <v>179.85</v>
      </c>
      <c r="G7591" s="209">
        <v>419.44</v>
      </c>
      <c r="H7591" s="198"/>
    </row>
    <row r="7592" spans="1:8" ht="15.75" hidden="1" customHeight="1" x14ac:dyDescent="0.25">
      <c r="A7592" s="205" t="s">
        <v>8246</v>
      </c>
      <c r="B7592" s="206">
        <v>103114</v>
      </c>
      <c r="C7592" s="207" t="s">
        <v>8273</v>
      </c>
      <c r="D7592" s="208" t="s">
        <v>580</v>
      </c>
      <c r="E7592" s="209">
        <v>255.2</v>
      </c>
      <c r="F7592" s="209">
        <v>192.12</v>
      </c>
      <c r="G7592" s="209">
        <v>447.32</v>
      </c>
      <c r="H7592" s="198"/>
    </row>
    <row r="7593" spans="1:8" ht="15.75" hidden="1" customHeight="1" x14ac:dyDescent="0.25">
      <c r="A7593" s="205" t="s">
        <v>8246</v>
      </c>
      <c r="B7593" s="206">
        <v>103115</v>
      </c>
      <c r="C7593" s="207" t="s">
        <v>8274</v>
      </c>
      <c r="D7593" s="208" t="s">
        <v>580</v>
      </c>
      <c r="E7593" s="209">
        <v>286.39999999999998</v>
      </c>
      <c r="F7593" s="209">
        <v>216.67</v>
      </c>
      <c r="G7593" s="209">
        <v>503.07</v>
      </c>
      <c r="H7593" s="198"/>
    </row>
    <row r="7594" spans="1:8" ht="15.75" hidden="1" customHeight="1" x14ac:dyDescent="0.25">
      <c r="A7594" s="205" t="s">
        <v>8246</v>
      </c>
      <c r="B7594" s="206">
        <v>103116</v>
      </c>
      <c r="C7594" s="207" t="s">
        <v>8275</v>
      </c>
      <c r="D7594" s="208" t="s">
        <v>580</v>
      </c>
      <c r="E7594" s="209">
        <v>346.99</v>
      </c>
      <c r="F7594" s="209">
        <v>264.22000000000003</v>
      </c>
      <c r="G7594" s="209">
        <v>611.21</v>
      </c>
      <c r="H7594" s="198"/>
    </row>
    <row r="7595" spans="1:8" ht="15.75" hidden="1" customHeight="1" x14ac:dyDescent="0.25">
      <c r="A7595" s="205" t="s">
        <v>8246</v>
      </c>
      <c r="B7595" s="206">
        <v>103105</v>
      </c>
      <c r="C7595" s="207" t="s">
        <v>8276</v>
      </c>
      <c r="D7595" s="208" t="s">
        <v>580</v>
      </c>
      <c r="E7595" s="209">
        <v>36.020000000000003</v>
      </c>
      <c r="F7595" s="209">
        <v>19.96</v>
      </c>
      <c r="G7595" s="209">
        <v>55.98</v>
      </c>
      <c r="H7595" s="198"/>
    </row>
    <row r="7596" spans="1:8" ht="15.75" hidden="1" customHeight="1" x14ac:dyDescent="0.25">
      <c r="A7596" s="205" t="s">
        <v>8246</v>
      </c>
      <c r="B7596" s="206">
        <v>103117</v>
      </c>
      <c r="C7596" s="207" t="s">
        <v>8277</v>
      </c>
      <c r="D7596" s="208" t="s">
        <v>580</v>
      </c>
      <c r="E7596" s="209">
        <v>378.18</v>
      </c>
      <c r="F7596" s="209">
        <v>288.79000000000002</v>
      </c>
      <c r="G7596" s="209">
        <v>666.97</v>
      </c>
      <c r="H7596" s="198"/>
    </row>
    <row r="7597" spans="1:8" ht="15.75" hidden="1" customHeight="1" x14ac:dyDescent="0.25">
      <c r="A7597" s="205" t="s">
        <v>8246</v>
      </c>
      <c r="B7597" s="206">
        <v>103118</v>
      </c>
      <c r="C7597" s="207" t="s">
        <v>8278</v>
      </c>
      <c r="D7597" s="208" t="s">
        <v>580</v>
      </c>
      <c r="E7597" s="209">
        <v>438.79</v>
      </c>
      <c r="F7597" s="209">
        <v>336.32</v>
      </c>
      <c r="G7597" s="209">
        <v>775.11</v>
      </c>
      <c r="H7597" s="198"/>
    </row>
    <row r="7598" spans="1:8" ht="15.75" hidden="1" customHeight="1" x14ac:dyDescent="0.25">
      <c r="A7598" s="205" t="s">
        <v>8246</v>
      </c>
      <c r="B7598" s="206">
        <v>103122</v>
      </c>
      <c r="C7598" s="207" t="s">
        <v>8279</v>
      </c>
      <c r="D7598" s="208" t="s">
        <v>580</v>
      </c>
      <c r="E7598" s="209">
        <v>55.5</v>
      </c>
      <c r="F7598" s="209">
        <v>35.25</v>
      </c>
      <c r="G7598" s="209">
        <v>90.75</v>
      </c>
      <c r="H7598" s="198"/>
    </row>
    <row r="7599" spans="1:8" ht="15.75" hidden="1" customHeight="1" x14ac:dyDescent="0.25">
      <c r="A7599" s="205" t="s">
        <v>8246</v>
      </c>
      <c r="B7599" s="206">
        <v>103135</v>
      </c>
      <c r="C7599" s="207" t="s">
        <v>8280</v>
      </c>
      <c r="D7599" s="208" t="s">
        <v>580</v>
      </c>
      <c r="E7599" s="209">
        <v>697.07</v>
      </c>
      <c r="F7599" s="209">
        <v>539.29999999999995</v>
      </c>
      <c r="G7599" s="209">
        <v>1236.3699999999999</v>
      </c>
      <c r="H7599" s="198"/>
    </row>
    <row r="7600" spans="1:8" ht="15.75" hidden="1" customHeight="1" x14ac:dyDescent="0.25">
      <c r="A7600" s="205" t="s">
        <v>8246</v>
      </c>
      <c r="B7600" s="206">
        <v>103136</v>
      </c>
      <c r="C7600" s="207" t="s">
        <v>8281</v>
      </c>
      <c r="D7600" s="208" t="s">
        <v>580</v>
      </c>
      <c r="E7600" s="209">
        <v>834.79</v>
      </c>
      <c r="F7600" s="209">
        <v>647.41999999999996</v>
      </c>
      <c r="G7600" s="209">
        <v>1482.21</v>
      </c>
      <c r="H7600" s="198"/>
    </row>
    <row r="7601" spans="1:8" ht="15.75" hidden="1" customHeight="1" x14ac:dyDescent="0.25">
      <c r="A7601" s="205" t="s">
        <v>8246</v>
      </c>
      <c r="B7601" s="206">
        <v>103123</v>
      </c>
      <c r="C7601" s="207" t="s">
        <v>8282</v>
      </c>
      <c r="D7601" s="208" t="s">
        <v>580</v>
      </c>
      <c r="E7601" s="209">
        <v>78.900000000000006</v>
      </c>
      <c r="F7601" s="209">
        <v>53.68</v>
      </c>
      <c r="G7601" s="209">
        <v>132.58000000000001</v>
      </c>
      <c r="H7601" s="198"/>
    </row>
    <row r="7602" spans="1:8" ht="15.75" hidden="1" customHeight="1" x14ac:dyDescent="0.25">
      <c r="A7602" s="205" t="s">
        <v>8246</v>
      </c>
      <c r="B7602" s="206">
        <v>103124</v>
      </c>
      <c r="C7602" s="207" t="s">
        <v>8283</v>
      </c>
      <c r="D7602" s="208" t="s">
        <v>580</v>
      </c>
      <c r="E7602" s="209">
        <v>102.32</v>
      </c>
      <c r="F7602" s="209">
        <v>72.069999999999993</v>
      </c>
      <c r="G7602" s="209">
        <v>174.39</v>
      </c>
      <c r="H7602" s="198"/>
    </row>
    <row r="7603" spans="1:8" ht="15.75" hidden="1" customHeight="1" x14ac:dyDescent="0.25">
      <c r="A7603" s="205" t="s">
        <v>8246</v>
      </c>
      <c r="B7603" s="206">
        <v>103125</v>
      </c>
      <c r="C7603" s="207" t="s">
        <v>8284</v>
      </c>
      <c r="D7603" s="208" t="s">
        <v>580</v>
      </c>
      <c r="E7603" s="209">
        <v>169.75</v>
      </c>
      <c r="F7603" s="209">
        <v>125.05</v>
      </c>
      <c r="G7603" s="209">
        <v>294.8</v>
      </c>
      <c r="H7603" s="198"/>
    </row>
    <row r="7604" spans="1:8" ht="15.75" hidden="1" customHeight="1" x14ac:dyDescent="0.25">
      <c r="A7604" s="205" t="s">
        <v>8246</v>
      </c>
      <c r="B7604" s="206">
        <v>103126</v>
      </c>
      <c r="C7604" s="207" t="s">
        <v>8285</v>
      </c>
      <c r="D7604" s="208" t="s">
        <v>580</v>
      </c>
      <c r="E7604" s="209">
        <v>193.18</v>
      </c>
      <c r="F7604" s="209">
        <v>143.41999999999999</v>
      </c>
      <c r="G7604" s="209">
        <v>336.6</v>
      </c>
      <c r="H7604" s="198"/>
    </row>
    <row r="7605" spans="1:8" ht="15.75" hidden="1" customHeight="1" x14ac:dyDescent="0.25">
      <c r="A7605" s="205" t="s">
        <v>8246</v>
      </c>
      <c r="B7605" s="206">
        <v>103127</v>
      </c>
      <c r="C7605" s="207" t="s">
        <v>8286</v>
      </c>
      <c r="D7605" s="208" t="s">
        <v>580</v>
      </c>
      <c r="E7605" s="209">
        <v>260.64</v>
      </c>
      <c r="F7605" s="209">
        <v>196.37</v>
      </c>
      <c r="G7605" s="209">
        <v>457.01</v>
      </c>
      <c r="H7605" s="198"/>
    </row>
    <row r="7606" spans="1:8" ht="15.75" hidden="1" customHeight="1" x14ac:dyDescent="0.25">
      <c r="A7606" s="205" t="s">
        <v>8246</v>
      </c>
      <c r="B7606" s="206">
        <v>103128</v>
      </c>
      <c r="C7606" s="207" t="s">
        <v>8287</v>
      </c>
      <c r="D7606" s="208" t="s">
        <v>580</v>
      </c>
      <c r="E7606" s="209">
        <v>284.02999999999997</v>
      </c>
      <c r="F7606" s="209">
        <v>214.78</v>
      </c>
      <c r="G7606" s="209">
        <v>498.81</v>
      </c>
      <c r="H7606" s="198"/>
    </row>
    <row r="7607" spans="1:8" ht="15.75" hidden="1" customHeight="1" x14ac:dyDescent="0.25">
      <c r="A7607" s="205" t="s">
        <v>8246</v>
      </c>
      <c r="B7607" s="206">
        <v>103129</v>
      </c>
      <c r="C7607" s="207" t="s">
        <v>8288</v>
      </c>
      <c r="D7607" s="208" t="s">
        <v>580</v>
      </c>
      <c r="E7607" s="209">
        <v>351.47</v>
      </c>
      <c r="F7607" s="209">
        <v>267.75</v>
      </c>
      <c r="G7607" s="209">
        <v>619.22</v>
      </c>
      <c r="H7607" s="198"/>
    </row>
    <row r="7608" spans="1:8" ht="15.75" hidden="1" customHeight="1" x14ac:dyDescent="0.25">
      <c r="A7608" s="205" t="s">
        <v>8246</v>
      </c>
      <c r="B7608" s="206">
        <v>103130</v>
      </c>
      <c r="C7608" s="207" t="s">
        <v>8289</v>
      </c>
      <c r="D7608" s="208" t="s">
        <v>580</v>
      </c>
      <c r="E7608" s="209">
        <v>374.87</v>
      </c>
      <c r="F7608" s="209">
        <v>286.14999999999998</v>
      </c>
      <c r="G7608" s="209">
        <v>661.02</v>
      </c>
      <c r="H7608" s="198"/>
    </row>
    <row r="7609" spans="1:8" ht="15.75" hidden="1" customHeight="1" x14ac:dyDescent="0.25">
      <c r="A7609" s="205" t="s">
        <v>8246</v>
      </c>
      <c r="B7609" s="206">
        <v>103131</v>
      </c>
      <c r="C7609" s="207" t="s">
        <v>8290</v>
      </c>
      <c r="D7609" s="208" t="s">
        <v>580</v>
      </c>
      <c r="E7609" s="209">
        <v>421.71</v>
      </c>
      <c r="F7609" s="209">
        <v>322.95</v>
      </c>
      <c r="G7609" s="209">
        <v>744.66</v>
      </c>
      <c r="H7609" s="198"/>
    </row>
    <row r="7610" spans="1:8" ht="15.75" hidden="1" customHeight="1" x14ac:dyDescent="0.25">
      <c r="A7610" s="205" t="s">
        <v>8246</v>
      </c>
      <c r="B7610" s="206">
        <v>103132</v>
      </c>
      <c r="C7610" s="207" t="s">
        <v>8291</v>
      </c>
      <c r="D7610" s="208" t="s">
        <v>580</v>
      </c>
      <c r="E7610" s="209">
        <v>512.57000000000005</v>
      </c>
      <c r="F7610" s="209">
        <v>394.3</v>
      </c>
      <c r="G7610" s="209">
        <v>906.87</v>
      </c>
      <c r="H7610" s="198"/>
    </row>
    <row r="7611" spans="1:8" ht="15.75" hidden="1" customHeight="1" x14ac:dyDescent="0.25">
      <c r="A7611" s="205" t="s">
        <v>8246</v>
      </c>
      <c r="B7611" s="206">
        <v>103121</v>
      </c>
      <c r="C7611" s="207" t="s">
        <v>8292</v>
      </c>
      <c r="D7611" s="208" t="s">
        <v>580</v>
      </c>
      <c r="E7611" s="209">
        <v>46.1</v>
      </c>
      <c r="F7611" s="209">
        <v>27.93</v>
      </c>
      <c r="G7611" s="209">
        <v>74.03</v>
      </c>
      <c r="H7611" s="198"/>
    </row>
    <row r="7612" spans="1:8" ht="15.75" hidden="1" customHeight="1" x14ac:dyDescent="0.25">
      <c r="A7612" s="205" t="s">
        <v>8246</v>
      </c>
      <c r="B7612" s="206">
        <v>103133</v>
      </c>
      <c r="C7612" s="207" t="s">
        <v>8293</v>
      </c>
      <c r="D7612" s="208" t="s">
        <v>580</v>
      </c>
      <c r="E7612" s="209">
        <v>559.44000000000005</v>
      </c>
      <c r="F7612" s="209">
        <v>431.06</v>
      </c>
      <c r="G7612" s="209">
        <v>990.5</v>
      </c>
      <c r="H7612" s="198"/>
    </row>
    <row r="7613" spans="1:8" ht="15.75" hidden="1" customHeight="1" x14ac:dyDescent="0.25">
      <c r="A7613" s="205" t="s">
        <v>8246</v>
      </c>
      <c r="B7613" s="206">
        <v>103134</v>
      </c>
      <c r="C7613" s="207" t="s">
        <v>8294</v>
      </c>
      <c r="D7613" s="208" t="s">
        <v>580</v>
      </c>
      <c r="E7613" s="209">
        <v>650.25</v>
      </c>
      <c r="F7613" s="209">
        <v>502.47</v>
      </c>
      <c r="G7613" s="209">
        <v>1152.72</v>
      </c>
      <c r="H7613" s="198"/>
    </row>
    <row r="7614" spans="1:8" ht="15.75" hidden="1" customHeight="1" x14ac:dyDescent="0.25">
      <c r="A7614" s="205" t="s">
        <v>8246</v>
      </c>
      <c r="B7614" s="206">
        <v>103090</v>
      </c>
      <c r="C7614" s="207" t="s">
        <v>8295</v>
      </c>
      <c r="D7614" s="208" t="s">
        <v>585</v>
      </c>
      <c r="E7614" s="209">
        <v>9.3000000000000007</v>
      </c>
      <c r="F7614" s="209">
        <v>7.05</v>
      </c>
      <c r="G7614" s="209">
        <v>16.350000000000001</v>
      </c>
      <c r="H7614" s="198"/>
    </row>
    <row r="7615" spans="1:8" ht="15.75" hidden="1" customHeight="1" x14ac:dyDescent="0.25">
      <c r="A7615" s="205" t="s">
        <v>8246</v>
      </c>
      <c r="B7615" s="206">
        <v>103103</v>
      </c>
      <c r="C7615" s="207" t="s">
        <v>8296</v>
      </c>
      <c r="D7615" s="208" t="s">
        <v>585</v>
      </c>
      <c r="E7615" s="209">
        <v>87.95</v>
      </c>
      <c r="F7615" s="209">
        <v>73.98</v>
      </c>
      <c r="G7615" s="209">
        <v>161.93</v>
      </c>
      <c r="H7615" s="198"/>
    </row>
    <row r="7616" spans="1:8" ht="15.75" hidden="1" customHeight="1" x14ac:dyDescent="0.25">
      <c r="A7616" s="205" t="s">
        <v>8246</v>
      </c>
      <c r="B7616" s="206">
        <v>103104</v>
      </c>
      <c r="C7616" s="207" t="s">
        <v>8297</v>
      </c>
      <c r="D7616" s="208" t="s">
        <v>585</v>
      </c>
      <c r="E7616" s="209">
        <v>105.13</v>
      </c>
      <c r="F7616" s="209">
        <v>88.58</v>
      </c>
      <c r="G7616" s="209">
        <v>193.71</v>
      </c>
      <c r="H7616" s="198"/>
    </row>
    <row r="7617" spans="1:8" ht="15.75" hidden="1" customHeight="1" x14ac:dyDescent="0.25">
      <c r="A7617" s="205" t="s">
        <v>8246</v>
      </c>
      <c r="B7617" s="206">
        <v>103091</v>
      </c>
      <c r="C7617" s="207" t="s">
        <v>8298</v>
      </c>
      <c r="D7617" s="208" t="s">
        <v>585</v>
      </c>
      <c r="E7617" s="209">
        <v>12.88</v>
      </c>
      <c r="F7617" s="209">
        <v>10.17</v>
      </c>
      <c r="G7617" s="209">
        <v>23.05</v>
      </c>
      <c r="H7617" s="198"/>
    </row>
    <row r="7618" spans="1:8" ht="15.75" hidden="1" customHeight="1" x14ac:dyDescent="0.25">
      <c r="A7618" s="205" t="s">
        <v>8246</v>
      </c>
      <c r="B7618" s="206">
        <v>103092</v>
      </c>
      <c r="C7618" s="207" t="s">
        <v>8299</v>
      </c>
      <c r="D7618" s="208" t="s">
        <v>585</v>
      </c>
      <c r="E7618" s="209">
        <v>16.47</v>
      </c>
      <c r="F7618" s="209">
        <v>13.29</v>
      </c>
      <c r="G7618" s="209">
        <v>29.76</v>
      </c>
      <c r="H7618" s="198"/>
    </row>
    <row r="7619" spans="1:8" ht="15.75" hidden="1" customHeight="1" x14ac:dyDescent="0.25">
      <c r="A7619" s="205" t="s">
        <v>8246</v>
      </c>
      <c r="B7619" s="206">
        <v>103093</v>
      </c>
      <c r="C7619" s="207" t="s">
        <v>8300</v>
      </c>
      <c r="D7619" s="208" t="s">
        <v>585</v>
      </c>
      <c r="E7619" s="209">
        <v>25.13</v>
      </c>
      <c r="F7619" s="209">
        <v>20.38</v>
      </c>
      <c r="G7619" s="209">
        <v>45.51</v>
      </c>
      <c r="H7619" s="198"/>
    </row>
    <row r="7620" spans="1:8" ht="15.75" hidden="1" customHeight="1" x14ac:dyDescent="0.25">
      <c r="A7620" s="205" t="s">
        <v>8246</v>
      </c>
      <c r="B7620" s="206">
        <v>103094</v>
      </c>
      <c r="C7620" s="207" t="s">
        <v>8301</v>
      </c>
      <c r="D7620" s="208" t="s">
        <v>585</v>
      </c>
      <c r="E7620" s="209">
        <v>28.76</v>
      </c>
      <c r="F7620" s="209">
        <v>23.5</v>
      </c>
      <c r="G7620" s="209">
        <v>52.26</v>
      </c>
      <c r="H7620" s="198"/>
    </row>
    <row r="7621" spans="1:8" ht="15.75" hidden="1" customHeight="1" x14ac:dyDescent="0.25">
      <c r="A7621" s="205" t="s">
        <v>8246</v>
      </c>
      <c r="B7621" s="206">
        <v>103095</v>
      </c>
      <c r="C7621" s="207" t="s">
        <v>8302</v>
      </c>
      <c r="D7621" s="208" t="s">
        <v>585</v>
      </c>
      <c r="E7621" s="209">
        <v>37.409999999999997</v>
      </c>
      <c r="F7621" s="209">
        <v>30.58</v>
      </c>
      <c r="G7621" s="209">
        <v>67.989999999999995</v>
      </c>
      <c r="H7621" s="198"/>
    </row>
    <row r="7622" spans="1:8" ht="15.75" hidden="1" customHeight="1" x14ac:dyDescent="0.25">
      <c r="A7622" s="205" t="s">
        <v>8246</v>
      </c>
      <c r="B7622" s="206">
        <v>103096</v>
      </c>
      <c r="C7622" s="207" t="s">
        <v>8303</v>
      </c>
      <c r="D7622" s="208" t="s">
        <v>585</v>
      </c>
      <c r="E7622" s="209">
        <v>41.02</v>
      </c>
      <c r="F7622" s="209">
        <v>33.71</v>
      </c>
      <c r="G7622" s="209">
        <v>74.73</v>
      </c>
      <c r="H7622" s="198"/>
    </row>
    <row r="7623" spans="1:8" ht="15.75" hidden="1" customHeight="1" x14ac:dyDescent="0.25">
      <c r="A7623" s="205" t="s">
        <v>8246</v>
      </c>
      <c r="B7623" s="206">
        <v>103097</v>
      </c>
      <c r="C7623" s="207" t="s">
        <v>8304</v>
      </c>
      <c r="D7623" s="208" t="s">
        <v>585</v>
      </c>
      <c r="E7623" s="209">
        <v>49.69</v>
      </c>
      <c r="F7623" s="209">
        <v>40.79</v>
      </c>
      <c r="G7623" s="209">
        <v>90.48</v>
      </c>
      <c r="H7623" s="198"/>
    </row>
    <row r="7624" spans="1:8" ht="15.75" hidden="1" customHeight="1" x14ac:dyDescent="0.25">
      <c r="A7624" s="205" t="s">
        <v>8246</v>
      </c>
      <c r="B7624" s="206">
        <v>103098</v>
      </c>
      <c r="C7624" s="207" t="s">
        <v>8305</v>
      </c>
      <c r="D7624" s="208" t="s">
        <v>585</v>
      </c>
      <c r="E7624" s="209">
        <v>53.31</v>
      </c>
      <c r="F7624" s="209">
        <v>43.9</v>
      </c>
      <c r="G7624" s="209">
        <v>97.21</v>
      </c>
      <c r="H7624" s="198"/>
    </row>
    <row r="7625" spans="1:8" ht="15.75" hidden="1" customHeight="1" x14ac:dyDescent="0.25">
      <c r="A7625" s="205" t="s">
        <v>8246</v>
      </c>
      <c r="B7625" s="206">
        <v>103099</v>
      </c>
      <c r="C7625" s="207" t="s">
        <v>8306</v>
      </c>
      <c r="D7625" s="208" t="s">
        <v>585</v>
      </c>
      <c r="E7625" s="209">
        <v>60.52</v>
      </c>
      <c r="F7625" s="209">
        <v>50.13</v>
      </c>
      <c r="G7625" s="209">
        <v>110.65</v>
      </c>
      <c r="H7625" s="198"/>
    </row>
    <row r="7626" spans="1:8" ht="15.75" hidden="1" customHeight="1" x14ac:dyDescent="0.25">
      <c r="A7626" s="205" t="s">
        <v>8246</v>
      </c>
      <c r="B7626" s="206">
        <v>103100</v>
      </c>
      <c r="C7626" s="207" t="s">
        <v>8307</v>
      </c>
      <c r="D7626" s="208" t="s">
        <v>585</v>
      </c>
      <c r="E7626" s="209">
        <v>64.38</v>
      </c>
      <c r="F7626" s="209">
        <v>53.76</v>
      </c>
      <c r="G7626" s="209">
        <v>118.14</v>
      </c>
      <c r="H7626" s="198"/>
    </row>
    <row r="7627" spans="1:8" ht="15.75" hidden="1" customHeight="1" x14ac:dyDescent="0.25">
      <c r="A7627" s="205" t="s">
        <v>8246</v>
      </c>
      <c r="B7627" s="206">
        <v>103089</v>
      </c>
      <c r="C7627" s="207" t="s">
        <v>8308</v>
      </c>
      <c r="D7627" s="208" t="s">
        <v>585</v>
      </c>
      <c r="E7627" s="209">
        <v>7.83</v>
      </c>
      <c r="F7627" s="209">
        <v>5.82</v>
      </c>
      <c r="G7627" s="209">
        <v>13.65</v>
      </c>
      <c r="H7627" s="198"/>
    </row>
    <row r="7628" spans="1:8" ht="15.75" hidden="1" customHeight="1" x14ac:dyDescent="0.25">
      <c r="A7628" s="205" t="s">
        <v>8246</v>
      </c>
      <c r="B7628" s="206">
        <v>103101</v>
      </c>
      <c r="C7628" s="207" t="s">
        <v>8309</v>
      </c>
      <c r="D7628" s="208" t="s">
        <v>585</v>
      </c>
      <c r="E7628" s="209">
        <v>70.81</v>
      </c>
      <c r="F7628" s="209">
        <v>59.37</v>
      </c>
      <c r="G7628" s="209">
        <v>130.18</v>
      </c>
      <c r="H7628" s="198"/>
    </row>
    <row r="7629" spans="1:8" ht="15.75" hidden="1" customHeight="1" x14ac:dyDescent="0.25">
      <c r="A7629" s="205" t="s">
        <v>8246</v>
      </c>
      <c r="B7629" s="206">
        <v>103102</v>
      </c>
      <c r="C7629" s="207" t="s">
        <v>8310</v>
      </c>
      <c r="D7629" s="208" t="s">
        <v>585</v>
      </c>
      <c r="E7629" s="209">
        <v>81.56</v>
      </c>
      <c r="F7629" s="209">
        <v>68.349999999999994</v>
      </c>
      <c r="G7629" s="209">
        <v>149.91</v>
      </c>
      <c r="H7629" s="198"/>
    </row>
    <row r="7630" spans="1:8" ht="15.75" hidden="1" customHeight="1" x14ac:dyDescent="0.25">
      <c r="A7630" s="205" t="s">
        <v>8311</v>
      </c>
      <c r="B7630" s="206">
        <v>101112</v>
      </c>
      <c r="C7630" s="207" t="s">
        <v>8312</v>
      </c>
      <c r="D7630" s="208" t="s">
        <v>664</v>
      </c>
      <c r="E7630" s="209">
        <v>592.88</v>
      </c>
      <c r="F7630" s="209">
        <v>376.34</v>
      </c>
      <c r="G7630" s="209">
        <v>969.22</v>
      </c>
      <c r="H7630" s="198"/>
    </row>
    <row r="7631" spans="1:8" ht="15.75" hidden="1" customHeight="1" x14ac:dyDescent="0.25">
      <c r="A7631" s="205" t="s">
        <v>8311</v>
      </c>
      <c r="B7631" s="206">
        <v>101113</v>
      </c>
      <c r="C7631" s="207" t="s">
        <v>8313</v>
      </c>
      <c r="D7631" s="208" t="s">
        <v>664</v>
      </c>
      <c r="E7631" s="209">
        <v>676.3</v>
      </c>
      <c r="F7631" s="209">
        <v>264.05</v>
      </c>
      <c r="G7631" s="209">
        <v>940.35</v>
      </c>
      <c r="H7631" s="198"/>
    </row>
    <row r="7632" spans="1:8" ht="15.75" hidden="1" customHeight="1" x14ac:dyDescent="0.25">
      <c r="A7632" s="205" t="s">
        <v>8311</v>
      </c>
      <c r="B7632" s="206">
        <v>101098</v>
      </c>
      <c r="C7632" s="207" t="s">
        <v>8314</v>
      </c>
      <c r="D7632" s="208" t="s">
        <v>664</v>
      </c>
      <c r="E7632" s="209">
        <v>723.54</v>
      </c>
      <c r="F7632" s="209">
        <v>461.8</v>
      </c>
      <c r="G7632" s="209">
        <v>1185.3399999999999</v>
      </c>
      <c r="H7632" s="198"/>
    </row>
    <row r="7633" spans="1:8" ht="15.75" hidden="1" customHeight="1" x14ac:dyDescent="0.25">
      <c r="A7633" s="205" t="s">
        <v>8311</v>
      </c>
      <c r="B7633" s="206">
        <v>101106</v>
      </c>
      <c r="C7633" s="207" t="s">
        <v>8315</v>
      </c>
      <c r="D7633" s="208" t="s">
        <v>664</v>
      </c>
      <c r="E7633" s="209">
        <v>801.07</v>
      </c>
      <c r="F7633" s="209">
        <v>352.54</v>
      </c>
      <c r="G7633" s="209">
        <v>1153.6099999999999</v>
      </c>
      <c r="H7633" s="198"/>
    </row>
    <row r="7634" spans="1:8" ht="15.75" hidden="1" customHeight="1" x14ac:dyDescent="0.25">
      <c r="A7634" s="205" t="s">
        <v>8311</v>
      </c>
      <c r="B7634" s="206">
        <v>101102</v>
      </c>
      <c r="C7634" s="207" t="s">
        <v>8316</v>
      </c>
      <c r="D7634" s="208" t="s">
        <v>664</v>
      </c>
      <c r="E7634" s="209">
        <v>723.4</v>
      </c>
      <c r="F7634" s="209">
        <v>172.11</v>
      </c>
      <c r="G7634" s="209">
        <v>895.51</v>
      </c>
      <c r="H7634" s="198"/>
    </row>
    <row r="7635" spans="1:8" ht="15.75" hidden="1" customHeight="1" x14ac:dyDescent="0.25">
      <c r="A7635" s="205" t="s">
        <v>8311</v>
      </c>
      <c r="B7635" s="206">
        <v>101110</v>
      </c>
      <c r="C7635" s="207" t="s">
        <v>8317</v>
      </c>
      <c r="D7635" s="208" t="s">
        <v>664</v>
      </c>
      <c r="E7635" s="209">
        <v>800.62</v>
      </c>
      <c r="F7635" s="209">
        <v>57.49</v>
      </c>
      <c r="G7635" s="209">
        <v>858.11</v>
      </c>
      <c r="H7635" s="198"/>
    </row>
    <row r="7636" spans="1:8" ht="15.75" hidden="1" customHeight="1" x14ac:dyDescent="0.25">
      <c r="A7636" s="205" t="s">
        <v>8311</v>
      </c>
      <c r="B7636" s="206">
        <v>101099</v>
      </c>
      <c r="C7636" s="207" t="s">
        <v>8318</v>
      </c>
      <c r="D7636" s="208" t="s">
        <v>664</v>
      </c>
      <c r="E7636" s="209">
        <v>678.51</v>
      </c>
      <c r="F7636" s="209">
        <v>402.94</v>
      </c>
      <c r="G7636" s="209">
        <v>1081.45</v>
      </c>
      <c r="H7636" s="198"/>
    </row>
    <row r="7637" spans="1:8" ht="15.75" hidden="1" customHeight="1" x14ac:dyDescent="0.25">
      <c r="A7637" s="205" t="s">
        <v>8311</v>
      </c>
      <c r="B7637" s="206">
        <v>101107</v>
      </c>
      <c r="C7637" s="207" t="s">
        <v>8319</v>
      </c>
      <c r="D7637" s="208" t="s">
        <v>664</v>
      </c>
      <c r="E7637" s="209">
        <v>753.54</v>
      </c>
      <c r="F7637" s="209">
        <v>297.85000000000002</v>
      </c>
      <c r="G7637" s="209">
        <v>1051.3900000000001</v>
      </c>
      <c r="H7637" s="198"/>
    </row>
    <row r="7638" spans="1:8" ht="15.75" hidden="1" customHeight="1" x14ac:dyDescent="0.25">
      <c r="A7638" s="205" t="s">
        <v>8311</v>
      </c>
      <c r="B7638" s="206">
        <v>101103</v>
      </c>
      <c r="C7638" s="207" t="s">
        <v>8320</v>
      </c>
      <c r="D7638" s="208" t="s">
        <v>664</v>
      </c>
      <c r="E7638" s="209">
        <v>681.92</v>
      </c>
      <c r="F7638" s="209">
        <v>160.78</v>
      </c>
      <c r="G7638" s="209">
        <v>842.7</v>
      </c>
      <c r="H7638" s="198"/>
    </row>
    <row r="7639" spans="1:8" ht="15.75" hidden="1" customHeight="1" x14ac:dyDescent="0.25">
      <c r="A7639" s="205" t="s">
        <v>8311</v>
      </c>
      <c r="B7639" s="206">
        <v>101111</v>
      </c>
      <c r="C7639" s="207" t="s">
        <v>8321</v>
      </c>
      <c r="D7639" s="208" t="s">
        <v>664</v>
      </c>
      <c r="E7639" s="209">
        <v>756.78</v>
      </c>
      <c r="F7639" s="209">
        <v>50.96</v>
      </c>
      <c r="G7639" s="209">
        <v>807.74</v>
      </c>
      <c r="H7639" s="198"/>
    </row>
    <row r="7640" spans="1:8" ht="15.75" hidden="1" customHeight="1" x14ac:dyDescent="0.25">
      <c r="A7640" s="205" t="s">
        <v>8311</v>
      </c>
      <c r="B7640" s="206">
        <v>101096</v>
      </c>
      <c r="C7640" s="207" t="s">
        <v>8322</v>
      </c>
      <c r="D7640" s="208" t="s">
        <v>664</v>
      </c>
      <c r="E7640" s="209">
        <v>760.33</v>
      </c>
      <c r="F7640" s="209">
        <v>614.08000000000004</v>
      </c>
      <c r="G7640" s="209">
        <v>1374.41</v>
      </c>
      <c r="H7640" s="198"/>
    </row>
    <row r="7641" spans="1:8" ht="15.75" hidden="1" customHeight="1" x14ac:dyDescent="0.25">
      <c r="A7641" s="205" t="s">
        <v>8311</v>
      </c>
      <c r="B7641" s="206">
        <v>101104</v>
      </c>
      <c r="C7641" s="207" t="s">
        <v>8323</v>
      </c>
      <c r="D7641" s="208" t="s">
        <v>664</v>
      </c>
      <c r="E7641" s="209">
        <v>840.72</v>
      </c>
      <c r="F7641" s="209">
        <v>499.28</v>
      </c>
      <c r="G7641" s="209">
        <v>1340</v>
      </c>
      <c r="H7641" s="198"/>
    </row>
    <row r="7642" spans="1:8" ht="15.75" hidden="1" customHeight="1" x14ac:dyDescent="0.25">
      <c r="A7642" s="205" t="s">
        <v>8311</v>
      </c>
      <c r="B7642" s="206">
        <v>101100</v>
      </c>
      <c r="C7642" s="207" t="s">
        <v>8324</v>
      </c>
      <c r="D7642" s="208" t="s">
        <v>664</v>
      </c>
      <c r="E7642" s="209">
        <v>750.99</v>
      </c>
      <c r="F7642" s="209">
        <v>197.82</v>
      </c>
      <c r="G7642" s="209">
        <v>948.81</v>
      </c>
      <c r="H7642" s="198"/>
    </row>
    <row r="7643" spans="1:8" ht="15.75" hidden="1" customHeight="1" x14ac:dyDescent="0.25">
      <c r="A7643" s="205" t="s">
        <v>8311</v>
      </c>
      <c r="B7643" s="206">
        <v>101108</v>
      </c>
      <c r="C7643" s="207" t="s">
        <v>8325</v>
      </c>
      <c r="D7643" s="208" t="s">
        <v>664</v>
      </c>
      <c r="E7643" s="209">
        <v>831.01</v>
      </c>
      <c r="F7643" s="209">
        <v>76.599999999999994</v>
      </c>
      <c r="G7643" s="209">
        <v>907.61</v>
      </c>
      <c r="H7643" s="198"/>
    </row>
    <row r="7644" spans="1:8" ht="15.75" hidden="1" customHeight="1" x14ac:dyDescent="0.25">
      <c r="A7644" s="205" t="s">
        <v>8311</v>
      </c>
      <c r="B7644" s="206">
        <v>101097</v>
      </c>
      <c r="C7644" s="207" t="s">
        <v>8326</v>
      </c>
      <c r="D7644" s="208" t="s">
        <v>664</v>
      </c>
      <c r="E7644" s="209">
        <v>742.05</v>
      </c>
      <c r="F7644" s="209">
        <v>550.49</v>
      </c>
      <c r="G7644" s="209">
        <v>1292.54</v>
      </c>
      <c r="H7644" s="198"/>
    </row>
    <row r="7645" spans="1:8" ht="15.75" hidden="1" customHeight="1" x14ac:dyDescent="0.25">
      <c r="A7645" s="205" t="s">
        <v>8311</v>
      </c>
      <c r="B7645" s="206">
        <v>101105</v>
      </c>
      <c r="C7645" s="207" t="s">
        <v>8327</v>
      </c>
      <c r="D7645" s="208" t="s">
        <v>664</v>
      </c>
      <c r="E7645" s="209">
        <v>821.22</v>
      </c>
      <c r="F7645" s="209">
        <v>437.73</v>
      </c>
      <c r="G7645" s="209">
        <v>1258.95</v>
      </c>
      <c r="H7645" s="198"/>
    </row>
    <row r="7646" spans="1:8" ht="15.75" hidden="1" customHeight="1" x14ac:dyDescent="0.25">
      <c r="A7646" s="205" t="s">
        <v>8311</v>
      </c>
      <c r="B7646" s="206">
        <v>101101</v>
      </c>
      <c r="C7646" s="207" t="s">
        <v>8328</v>
      </c>
      <c r="D7646" s="208" t="s">
        <v>664</v>
      </c>
      <c r="E7646" s="209">
        <v>736.29</v>
      </c>
      <c r="F7646" s="209">
        <v>187.76</v>
      </c>
      <c r="G7646" s="209">
        <v>924.05</v>
      </c>
      <c r="H7646" s="198"/>
    </row>
    <row r="7647" spans="1:8" ht="15.75" hidden="1" customHeight="1" x14ac:dyDescent="0.25">
      <c r="A7647" s="205" t="s">
        <v>8311</v>
      </c>
      <c r="B7647" s="206">
        <v>101109</v>
      </c>
      <c r="C7647" s="207" t="s">
        <v>8329</v>
      </c>
      <c r="D7647" s="208" t="s">
        <v>664</v>
      </c>
      <c r="E7647" s="209">
        <v>815.17</v>
      </c>
      <c r="F7647" s="209">
        <v>68.86</v>
      </c>
      <c r="G7647" s="209">
        <v>884.03</v>
      </c>
      <c r="H7647" s="198"/>
    </row>
    <row r="7648" spans="1:8" ht="15.75" hidden="1" customHeight="1" x14ac:dyDescent="0.25">
      <c r="A7648" s="205" t="s">
        <v>8330</v>
      </c>
      <c r="B7648" s="206">
        <v>96393</v>
      </c>
      <c r="C7648" s="207" t="s">
        <v>8331</v>
      </c>
      <c r="D7648" s="208" t="s">
        <v>664</v>
      </c>
      <c r="E7648" s="209">
        <v>102.47</v>
      </c>
      <c r="F7648" s="209">
        <v>1.94</v>
      </c>
      <c r="G7648" s="209">
        <v>104.41</v>
      </c>
      <c r="H7648" s="198"/>
    </row>
    <row r="7649" spans="1:8" ht="15.75" hidden="1" customHeight="1" x14ac:dyDescent="0.25">
      <c r="A7649" s="205" t="s">
        <v>8330</v>
      </c>
      <c r="B7649" s="206">
        <v>96394</v>
      </c>
      <c r="C7649" s="207" t="s">
        <v>8332</v>
      </c>
      <c r="D7649" s="208" t="s">
        <v>664</v>
      </c>
      <c r="E7649" s="209">
        <v>160.21</v>
      </c>
      <c r="F7649" s="209">
        <v>1.94</v>
      </c>
      <c r="G7649" s="209">
        <v>162.15</v>
      </c>
      <c r="H7649" s="198"/>
    </row>
    <row r="7650" spans="1:8" ht="15.75" hidden="1" customHeight="1" x14ac:dyDescent="0.25">
      <c r="A7650" s="205" t="s">
        <v>8330</v>
      </c>
      <c r="B7650" s="206">
        <v>96395</v>
      </c>
      <c r="C7650" s="207" t="s">
        <v>8333</v>
      </c>
      <c r="D7650" s="208" t="s">
        <v>664</v>
      </c>
      <c r="E7650" s="209">
        <v>238.66</v>
      </c>
      <c r="F7650" s="209">
        <v>3.26</v>
      </c>
      <c r="G7650" s="209">
        <v>241.92</v>
      </c>
      <c r="H7650" s="198"/>
    </row>
    <row r="7651" spans="1:8" ht="15.75" hidden="1" customHeight="1" x14ac:dyDescent="0.25">
      <c r="A7651" s="205" t="s">
        <v>8334</v>
      </c>
      <c r="B7651" s="206">
        <v>105034</v>
      </c>
      <c r="C7651" s="207" t="s">
        <v>8335</v>
      </c>
      <c r="D7651" s="208" t="s">
        <v>585</v>
      </c>
      <c r="E7651" s="209">
        <v>29.13</v>
      </c>
      <c r="F7651" s="209">
        <v>12.97</v>
      </c>
      <c r="G7651" s="209">
        <v>42.1</v>
      </c>
      <c r="H7651" s="198"/>
    </row>
    <row r="7652" spans="1:8" ht="15.75" hidden="1" customHeight="1" x14ac:dyDescent="0.25">
      <c r="A7652" s="205" t="s">
        <v>8334</v>
      </c>
      <c r="B7652" s="206">
        <v>105033</v>
      </c>
      <c r="C7652" s="207" t="s">
        <v>8336</v>
      </c>
      <c r="D7652" s="208" t="s">
        <v>585</v>
      </c>
      <c r="E7652" s="209">
        <v>40.35</v>
      </c>
      <c r="F7652" s="209">
        <v>18.04</v>
      </c>
      <c r="G7652" s="209">
        <v>58.39</v>
      </c>
      <c r="H7652" s="198"/>
    </row>
    <row r="7653" spans="1:8" ht="15.75" hidden="1" customHeight="1" x14ac:dyDescent="0.25">
      <c r="A7653" s="205" t="s">
        <v>8334</v>
      </c>
      <c r="B7653" s="206">
        <v>93205</v>
      </c>
      <c r="C7653" s="207" t="s">
        <v>8337</v>
      </c>
      <c r="D7653" s="208" t="s">
        <v>585</v>
      </c>
      <c r="E7653" s="209">
        <v>48.17</v>
      </c>
      <c r="F7653" s="209">
        <v>22.25</v>
      </c>
      <c r="G7653" s="209">
        <v>70.42</v>
      </c>
      <c r="H7653" s="198"/>
    </row>
    <row r="7654" spans="1:8" ht="15.75" hidden="1" customHeight="1" x14ac:dyDescent="0.25">
      <c r="A7654" s="205" t="s">
        <v>8334</v>
      </c>
      <c r="B7654" s="206">
        <v>105032</v>
      </c>
      <c r="C7654" s="207" t="s">
        <v>8338</v>
      </c>
      <c r="D7654" s="208" t="s">
        <v>585</v>
      </c>
      <c r="E7654" s="209">
        <v>24.62</v>
      </c>
      <c r="F7654" s="209">
        <v>7.1</v>
      </c>
      <c r="G7654" s="209">
        <v>31.72</v>
      </c>
      <c r="H7654" s="198"/>
    </row>
    <row r="7655" spans="1:8" ht="15.75" hidden="1" customHeight="1" x14ac:dyDescent="0.25">
      <c r="A7655" s="205" t="s">
        <v>8334</v>
      </c>
      <c r="B7655" s="206">
        <v>105031</v>
      </c>
      <c r="C7655" s="207" t="s">
        <v>8339</v>
      </c>
      <c r="D7655" s="208" t="s">
        <v>585</v>
      </c>
      <c r="E7655" s="209">
        <v>35.42</v>
      </c>
      <c r="F7655" s="209">
        <v>11.07</v>
      </c>
      <c r="G7655" s="209">
        <v>46.49</v>
      </c>
      <c r="H7655" s="198"/>
    </row>
    <row r="7656" spans="1:8" ht="15.75" hidden="1" customHeight="1" x14ac:dyDescent="0.25">
      <c r="A7656" s="205" t="s">
        <v>8334</v>
      </c>
      <c r="B7656" s="206">
        <v>93199</v>
      </c>
      <c r="C7656" s="207" t="s">
        <v>8340</v>
      </c>
      <c r="D7656" s="208" t="s">
        <v>585</v>
      </c>
      <c r="E7656" s="209">
        <v>36.119999999999997</v>
      </c>
      <c r="F7656" s="209">
        <v>14.19</v>
      </c>
      <c r="G7656" s="209">
        <v>50.31</v>
      </c>
      <c r="H7656" s="198"/>
    </row>
    <row r="7657" spans="1:8" ht="15.75" hidden="1" customHeight="1" x14ac:dyDescent="0.25">
      <c r="A7657" s="205" t="s">
        <v>8334</v>
      </c>
      <c r="B7657" s="206">
        <v>105030</v>
      </c>
      <c r="C7657" s="207" t="s">
        <v>8341</v>
      </c>
      <c r="D7657" s="208" t="s">
        <v>585</v>
      </c>
      <c r="E7657" s="209">
        <v>32.270000000000003</v>
      </c>
      <c r="F7657" s="209">
        <v>12.71</v>
      </c>
      <c r="G7657" s="209">
        <v>44.98</v>
      </c>
      <c r="H7657" s="198"/>
    </row>
    <row r="7658" spans="1:8" ht="15.75" hidden="1" customHeight="1" x14ac:dyDescent="0.25">
      <c r="A7658" s="205" t="s">
        <v>8334</v>
      </c>
      <c r="B7658" s="206">
        <v>105029</v>
      </c>
      <c r="C7658" s="207" t="s">
        <v>8342</v>
      </c>
      <c r="D7658" s="208" t="s">
        <v>585</v>
      </c>
      <c r="E7658" s="209">
        <v>37.340000000000003</v>
      </c>
      <c r="F7658" s="209">
        <v>15.98</v>
      </c>
      <c r="G7658" s="209">
        <v>53.32</v>
      </c>
      <c r="H7658" s="198"/>
    </row>
    <row r="7659" spans="1:8" ht="15.75" hidden="1" customHeight="1" x14ac:dyDescent="0.25">
      <c r="A7659" s="205" t="s">
        <v>8334</v>
      </c>
      <c r="B7659" s="206">
        <v>93197</v>
      </c>
      <c r="C7659" s="207" t="s">
        <v>8343</v>
      </c>
      <c r="D7659" s="208" t="s">
        <v>585</v>
      </c>
      <c r="E7659" s="209">
        <v>42.43</v>
      </c>
      <c r="F7659" s="209">
        <v>19.239999999999998</v>
      </c>
      <c r="G7659" s="209">
        <v>61.67</v>
      </c>
      <c r="H7659" s="198"/>
    </row>
    <row r="7660" spans="1:8" ht="15.75" hidden="1" customHeight="1" x14ac:dyDescent="0.25">
      <c r="A7660" s="205" t="s">
        <v>8334</v>
      </c>
      <c r="B7660" s="206">
        <v>105040</v>
      </c>
      <c r="C7660" s="207" t="s">
        <v>8344</v>
      </c>
      <c r="D7660" s="208" t="s">
        <v>585</v>
      </c>
      <c r="E7660" s="209">
        <v>16.88</v>
      </c>
      <c r="F7660" s="209">
        <v>20.94</v>
      </c>
      <c r="G7660" s="209">
        <v>37.82</v>
      </c>
      <c r="H7660" s="198"/>
    </row>
    <row r="7661" spans="1:8" ht="15.75" hidden="1" customHeight="1" x14ac:dyDescent="0.25">
      <c r="A7661" s="205" t="s">
        <v>8334</v>
      </c>
      <c r="B7661" s="206">
        <v>105039</v>
      </c>
      <c r="C7661" s="207" t="s">
        <v>8345</v>
      </c>
      <c r="D7661" s="208" t="s">
        <v>585</v>
      </c>
      <c r="E7661" s="209">
        <v>24.98</v>
      </c>
      <c r="F7661" s="209">
        <v>30.91</v>
      </c>
      <c r="G7661" s="209">
        <v>55.89</v>
      </c>
      <c r="H7661" s="198"/>
    </row>
    <row r="7662" spans="1:8" ht="15.75" hidden="1" customHeight="1" x14ac:dyDescent="0.25">
      <c r="A7662" s="205" t="s">
        <v>8334</v>
      </c>
      <c r="B7662" s="206">
        <v>105038</v>
      </c>
      <c r="C7662" s="207" t="s">
        <v>8346</v>
      </c>
      <c r="D7662" s="208" t="s">
        <v>585</v>
      </c>
      <c r="E7662" s="209">
        <v>34.71</v>
      </c>
      <c r="F7662" s="209">
        <v>42.89</v>
      </c>
      <c r="G7662" s="209">
        <v>77.599999999999994</v>
      </c>
      <c r="H7662" s="198"/>
    </row>
    <row r="7663" spans="1:8" ht="15.75" hidden="1" customHeight="1" x14ac:dyDescent="0.25">
      <c r="A7663" s="205" t="s">
        <v>8334</v>
      </c>
      <c r="B7663" s="206">
        <v>105028</v>
      </c>
      <c r="C7663" s="207" t="s">
        <v>8347</v>
      </c>
      <c r="D7663" s="208" t="s">
        <v>585</v>
      </c>
      <c r="E7663" s="209">
        <v>17.54</v>
      </c>
      <c r="F7663" s="209">
        <v>5.28</v>
      </c>
      <c r="G7663" s="209">
        <v>22.82</v>
      </c>
      <c r="H7663" s="198"/>
    </row>
    <row r="7664" spans="1:8" ht="15.75" hidden="1" customHeight="1" x14ac:dyDescent="0.25">
      <c r="A7664" s="205" t="s">
        <v>8334</v>
      </c>
      <c r="B7664" s="206">
        <v>105027</v>
      </c>
      <c r="C7664" s="207" t="s">
        <v>8348</v>
      </c>
      <c r="D7664" s="208" t="s">
        <v>585</v>
      </c>
      <c r="E7664" s="209">
        <v>19.82</v>
      </c>
      <c r="F7664" s="209">
        <v>6.05</v>
      </c>
      <c r="G7664" s="209">
        <v>25.87</v>
      </c>
      <c r="H7664" s="198"/>
    </row>
    <row r="7665" spans="1:8" ht="15.75" hidden="1" customHeight="1" x14ac:dyDescent="0.25">
      <c r="A7665" s="205" t="s">
        <v>8334</v>
      </c>
      <c r="B7665" s="206">
        <v>93194</v>
      </c>
      <c r="C7665" s="207" t="s">
        <v>8349</v>
      </c>
      <c r="D7665" s="208" t="s">
        <v>585</v>
      </c>
      <c r="E7665" s="209">
        <v>22.4</v>
      </c>
      <c r="F7665" s="209">
        <v>6.88</v>
      </c>
      <c r="G7665" s="209">
        <v>29.28</v>
      </c>
      <c r="H7665" s="198"/>
    </row>
    <row r="7666" spans="1:8" ht="15.75" hidden="1" customHeight="1" x14ac:dyDescent="0.25">
      <c r="A7666" s="205" t="s">
        <v>8334</v>
      </c>
      <c r="B7666" s="206">
        <v>93200</v>
      </c>
      <c r="C7666" s="207" t="s">
        <v>8350</v>
      </c>
      <c r="D7666" s="208" t="s">
        <v>585</v>
      </c>
      <c r="E7666" s="209">
        <v>4.95</v>
      </c>
      <c r="F7666" s="209">
        <v>9.52</v>
      </c>
      <c r="G7666" s="209">
        <v>14.47</v>
      </c>
      <c r="H7666" s="198"/>
    </row>
    <row r="7667" spans="1:8" ht="15.75" hidden="1" customHeight="1" x14ac:dyDescent="0.25">
      <c r="A7667" s="205" t="s">
        <v>8334</v>
      </c>
      <c r="B7667" s="206">
        <v>93203</v>
      </c>
      <c r="C7667" s="207" t="s">
        <v>8351</v>
      </c>
      <c r="D7667" s="208" t="s">
        <v>585</v>
      </c>
      <c r="E7667" s="209">
        <v>11.82</v>
      </c>
      <c r="F7667" s="209">
        <v>1.59</v>
      </c>
      <c r="G7667" s="209">
        <v>13.41</v>
      </c>
      <c r="H7667" s="198"/>
    </row>
    <row r="7668" spans="1:8" ht="15.75" hidden="1" customHeight="1" x14ac:dyDescent="0.25">
      <c r="A7668" s="205" t="s">
        <v>8334</v>
      </c>
      <c r="B7668" s="206">
        <v>93202</v>
      </c>
      <c r="C7668" s="207" t="s">
        <v>8352</v>
      </c>
      <c r="D7668" s="208" t="s">
        <v>585</v>
      </c>
      <c r="E7668" s="209">
        <v>14.72</v>
      </c>
      <c r="F7668" s="209">
        <v>18.05</v>
      </c>
      <c r="G7668" s="209">
        <v>32.770000000000003</v>
      </c>
      <c r="H7668" s="198"/>
    </row>
    <row r="7669" spans="1:8" ht="15.75" hidden="1" customHeight="1" x14ac:dyDescent="0.25">
      <c r="A7669" s="205" t="s">
        <v>8334</v>
      </c>
      <c r="B7669" s="206">
        <v>105026</v>
      </c>
      <c r="C7669" s="207" t="s">
        <v>8353</v>
      </c>
      <c r="D7669" s="208" t="s">
        <v>585</v>
      </c>
      <c r="E7669" s="209">
        <v>31.12</v>
      </c>
      <c r="F7669" s="209">
        <v>10.9</v>
      </c>
      <c r="G7669" s="209">
        <v>42.02</v>
      </c>
      <c r="H7669" s="198"/>
    </row>
    <row r="7670" spans="1:8" ht="15.75" hidden="1" customHeight="1" x14ac:dyDescent="0.25">
      <c r="A7670" s="205" t="s">
        <v>8334</v>
      </c>
      <c r="B7670" s="206">
        <v>105025</v>
      </c>
      <c r="C7670" s="207" t="s">
        <v>8354</v>
      </c>
      <c r="D7670" s="208" t="s">
        <v>585</v>
      </c>
      <c r="E7670" s="209">
        <v>42.63</v>
      </c>
      <c r="F7670" s="209">
        <v>16.7</v>
      </c>
      <c r="G7670" s="209">
        <v>59.33</v>
      </c>
      <c r="H7670" s="198"/>
    </row>
    <row r="7671" spans="1:8" ht="15.75" hidden="1" customHeight="1" x14ac:dyDescent="0.25">
      <c r="A7671" s="205" t="s">
        <v>8334</v>
      </c>
      <c r="B7671" s="206">
        <v>93191</v>
      </c>
      <c r="C7671" s="207" t="s">
        <v>8355</v>
      </c>
      <c r="D7671" s="208" t="s">
        <v>585</v>
      </c>
      <c r="E7671" s="209">
        <v>50.59</v>
      </c>
      <c r="F7671" s="209">
        <v>21.31</v>
      </c>
      <c r="G7671" s="209">
        <v>71.900000000000006</v>
      </c>
      <c r="H7671" s="198"/>
    </row>
    <row r="7672" spans="1:8" ht="15.75" hidden="1" customHeight="1" x14ac:dyDescent="0.25">
      <c r="A7672" s="205" t="s">
        <v>8334</v>
      </c>
      <c r="B7672" s="206">
        <v>105024</v>
      </c>
      <c r="C7672" s="207" t="s">
        <v>8356</v>
      </c>
      <c r="D7672" s="208" t="s">
        <v>585</v>
      </c>
      <c r="E7672" s="209">
        <v>39.090000000000003</v>
      </c>
      <c r="F7672" s="209">
        <v>19.899999999999999</v>
      </c>
      <c r="G7672" s="209">
        <v>58.99</v>
      </c>
      <c r="H7672" s="198"/>
    </row>
    <row r="7673" spans="1:8" ht="15.75" hidden="1" customHeight="1" x14ac:dyDescent="0.25">
      <c r="A7673" s="205" t="s">
        <v>8334</v>
      </c>
      <c r="B7673" s="206">
        <v>105023</v>
      </c>
      <c r="C7673" s="207" t="s">
        <v>8357</v>
      </c>
      <c r="D7673" s="208" t="s">
        <v>585</v>
      </c>
      <c r="E7673" s="209">
        <v>46.52</v>
      </c>
      <c r="F7673" s="209">
        <v>25.39</v>
      </c>
      <c r="G7673" s="209">
        <v>71.91</v>
      </c>
      <c r="H7673" s="198"/>
    </row>
    <row r="7674" spans="1:8" ht="15.75" hidden="1" customHeight="1" x14ac:dyDescent="0.25">
      <c r="A7674" s="205" t="s">
        <v>8334</v>
      </c>
      <c r="B7674" s="206">
        <v>93187</v>
      </c>
      <c r="C7674" s="207" t="s">
        <v>8358</v>
      </c>
      <c r="D7674" s="208" t="s">
        <v>585</v>
      </c>
      <c r="E7674" s="209">
        <v>53.94</v>
      </c>
      <c r="F7674" s="209">
        <v>30.83</v>
      </c>
      <c r="G7674" s="209">
        <v>84.77</v>
      </c>
      <c r="H7674" s="198"/>
    </row>
    <row r="7675" spans="1:8" ht="15.75" hidden="1" customHeight="1" x14ac:dyDescent="0.25">
      <c r="A7675" s="205" t="s">
        <v>8334</v>
      </c>
      <c r="B7675" s="206">
        <v>105037</v>
      </c>
      <c r="C7675" s="207" t="s">
        <v>8359</v>
      </c>
      <c r="D7675" s="208" t="s">
        <v>585</v>
      </c>
      <c r="E7675" s="209">
        <v>16.940000000000001</v>
      </c>
      <c r="F7675" s="209">
        <v>21.09</v>
      </c>
      <c r="G7675" s="209">
        <v>38.03</v>
      </c>
      <c r="H7675" s="198"/>
    </row>
    <row r="7676" spans="1:8" ht="15.75" hidden="1" customHeight="1" x14ac:dyDescent="0.25">
      <c r="A7676" s="205" t="s">
        <v>8334</v>
      </c>
      <c r="B7676" s="206">
        <v>105036</v>
      </c>
      <c r="C7676" s="207" t="s">
        <v>8360</v>
      </c>
      <c r="D7676" s="208" t="s">
        <v>585</v>
      </c>
      <c r="E7676" s="209">
        <v>25.04</v>
      </c>
      <c r="F7676" s="209">
        <v>31.11</v>
      </c>
      <c r="G7676" s="209">
        <v>56.15</v>
      </c>
      <c r="H7676" s="198"/>
    </row>
    <row r="7677" spans="1:8" ht="15.75" hidden="1" customHeight="1" x14ac:dyDescent="0.25">
      <c r="A7677" s="205" t="s">
        <v>8334</v>
      </c>
      <c r="B7677" s="206">
        <v>105035</v>
      </c>
      <c r="C7677" s="207" t="s">
        <v>8361</v>
      </c>
      <c r="D7677" s="208" t="s">
        <v>585</v>
      </c>
      <c r="E7677" s="209">
        <v>34.770000000000003</v>
      </c>
      <c r="F7677" s="209">
        <v>43.07</v>
      </c>
      <c r="G7677" s="209">
        <v>77.84</v>
      </c>
      <c r="H7677" s="198"/>
    </row>
    <row r="7678" spans="1:8" ht="15.75" hidden="1" customHeight="1" x14ac:dyDescent="0.25">
      <c r="A7678" s="205" t="s">
        <v>8334</v>
      </c>
      <c r="B7678" s="206">
        <v>105022</v>
      </c>
      <c r="C7678" s="207" t="s">
        <v>8362</v>
      </c>
      <c r="D7678" s="208" t="s">
        <v>585</v>
      </c>
      <c r="E7678" s="209">
        <v>17.75</v>
      </c>
      <c r="F7678" s="209">
        <v>5.47</v>
      </c>
      <c r="G7678" s="209">
        <v>23.22</v>
      </c>
      <c r="H7678" s="198"/>
    </row>
    <row r="7679" spans="1:8" ht="15.75" hidden="1" customHeight="1" x14ac:dyDescent="0.25">
      <c r="A7679" s="205" t="s">
        <v>8334</v>
      </c>
      <c r="B7679" s="206">
        <v>105021</v>
      </c>
      <c r="C7679" s="207" t="s">
        <v>8363</v>
      </c>
      <c r="D7679" s="208" t="s">
        <v>585</v>
      </c>
      <c r="E7679" s="209">
        <v>20.059999999999999</v>
      </c>
      <c r="F7679" s="209">
        <v>6.25</v>
      </c>
      <c r="G7679" s="209">
        <v>26.31</v>
      </c>
      <c r="H7679" s="198"/>
    </row>
    <row r="7680" spans="1:8" ht="15.75" hidden="1" customHeight="1" x14ac:dyDescent="0.25">
      <c r="A7680" s="205" t="s">
        <v>8334</v>
      </c>
      <c r="B7680" s="206">
        <v>93184</v>
      </c>
      <c r="C7680" s="207" t="s">
        <v>8364</v>
      </c>
      <c r="D7680" s="208" t="s">
        <v>585</v>
      </c>
      <c r="E7680" s="209">
        <v>22.98</v>
      </c>
      <c r="F7680" s="209">
        <v>7.17</v>
      </c>
      <c r="G7680" s="209">
        <v>30.15</v>
      </c>
      <c r="H7680" s="198"/>
    </row>
    <row r="7681" spans="1:8" ht="15.75" hidden="1" customHeight="1" x14ac:dyDescent="0.25">
      <c r="A7681" s="205" t="s">
        <v>8365</v>
      </c>
      <c r="B7681" s="206">
        <v>102171</v>
      </c>
      <c r="C7681" s="207" t="s">
        <v>8366</v>
      </c>
      <c r="D7681" s="208" t="s">
        <v>578</v>
      </c>
      <c r="E7681" s="209">
        <v>468.5</v>
      </c>
      <c r="F7681" s="209">
        <v>29.37</v>
      </c>
      <c r="G7681" s="209">
        <v>497.87</v>
      </c>
      <c r="H7681" s="198"/>
    </row>
    <row r="7682" spans="1:8" ht="15.75" hidden="1" customHeight="1" x14ac:dyDescent="0.25">
      <c r="A7682" s="205" t="s">
        <v>8365</v>
      </c>
      <c r="B7682" s="206">
        <v>102172</v>
      </c>
      <c r="C7682" s="207" t="s">
        <v>8367</v>
      </c>
      <c r="D7682" s="208" t="s">
        <v>578</v>
      </c>
      <c r="E7682" s="209">
        <v>456.6</v>
      </c>
      <c r="F7682" s="209">
        <v>22.41</v>
      </c>
      <c r="G7682" s="209">
        <v>479.01</v>
      </c>
      <c r="H7682" s="198"/>
    </row>
    <row r="7683" spans="1:8" ht="15.75" hidden="1" customHeight="1" x14ac:dyDescent="0.25">
      <c r="A7683" s="205" t="s">
        <v>8365</v>
      </c>
      <c r="B7683" s="206">
        <v>102170</v>
      </c>
      <c r="C7683" s="207" t="s">
        <v>8368</v>
      </c>
      <c r="D7683" s="208" t="s">
        <v>578</v>
      </c>
      <c r="E7683" s="209">
        <v>250.94</v>
      </c>
      <c r="F7683" s="209">
        <v>36.67</v>
      </c>
      <c r="G7683" s="209">
        <v>287.61</v>
      </c>
      <c r="H7683" s="198"/>
    </row>
    <row r="7684" spans="1:8" ht="15.75" hidden="1" customHeight="1" x14ac:dyDescent="0.25">
      <c r="A7684" s="205" t="s">
        <v>8365</v>
      </c>
      <c r="B7684" s="206">
        <v>102160</v>
      </c>
      <c r="C7684" s="207" t="s">
        <v>8369</v>
      </c>
      <c r="D7684" s="208" t="s">
        <v>578</v>
      </c>
      <c r="E7684" s="209">
        <v>145.74</v>
      </c>
      <c r="F7684" s="209">
        <v>30.25</v>
      </c>
      <c r="G7684" s="209">
        <v>175.99</v>
      </c>
      <c r="H7684" s="198"/>
    </row>
    <row r="7685" spans="1:8" ht="15.75" hidden="1" customHeight="1" x14ac:dyDescent="0.25">
      <c r="A7685" s="205" t="s">
        <v>8365</v>
      </c>
      <c r="B7685" s="206">
        <v>102177</v>
      </c>
      <c r="C7685" s="207" t="s">
        <v>8370</v>
      </c>
      <c r="D7685" s="208" t="s">
        <v>578</v>
      </c>
      <c r="E7685" s="209">
        <v>1694.36</v>
      </c>
      <c r="F7685" s="209">
        <v>70.959999999999994</v>
      </c>
      <c r="G7685" s="209">
        <v>1765.32</v>
      </c>
      <c r="H7685" s="198"/>
    </row>
    <row r="7686" spans="1:8" ht="15.75" hidden="1" customHeight="1" x14ac:dyDescent="0.25">
      <c r="A7686" s="205" t="s">
        <v>8365</v>
      </c>
      <c r="B7686" s="206">
        <v>102178</v>
      </c>
      <c r="C7686" s="207" t="s">
        <v>8371</v>
      </c>
      <c r="D7686" s="208" t="s">
        <v>578</v>
      </c>
      <c r="E7686" s="209">
        <v>1947.46</v>
      </c>
      <c r="F7686" s="209">
        <v>65</v>
      </c>
      <c r="G7686" s="209">
        <v>2012.46</v>
      </c>
      <c r="H7686" s="198"/>
    </row>
    <row r="7687" spans="1:8" ht="15.75" hidden="1" customHeight="1" x14ac:dyDescent="0.25">
      <c r="A7687" s="205" t="s">
        <v>8365</v>
      </c>
      <c r="B7687" s="206">
        <v>102176</v>
      </c>
      <c r="C7687" s="207" t="s">
        <v>8372</v>
      </c>
      <c r="D7687" s="208" t="s">
        <v>578</v>
      </c>
      <c r="E7687" s="209">
        <v>834.71</v>
      </c>
      <c r="F7687" s="209">
        <v>78.040000000000006</v>
      </c>
      <c r="G7687" s="209">
        <v>912.75</v>
      </c>
      <c r="H7687" s="198"/>
    </row>
    <row r="7688" spans="1:8" ht="15.75" hidden="1" customHeight="1" x14ac:dyDescent="0.25">
      <c r="A7688" s="205" t="s">
        <v>8365</v>
      </c>
      <c r="B7688" s="206">
        <v>102163</v>
      </c>
      <c r="C7688" s="207" t="s">
        <v>8373</v>
      </c>
      <c r="D7688" s="208" t="s">
        <v>578</v>
      </c>
      <c r="E7688" s="209">
        <v>323.45999999999998</v>
      </c>
      <c r="F7688" s="209">
        <v>36.65</v>
      </c>
      <c r="G7688" s="209">
        <v>360.11</v>
      </c>
      <c r="H7688" s="198"/>
    </row>
    <row r="7689" spans="1:8" ht="15.75" hidden="1" customHeight="1" x14ac:dyDescent="0.25">
      <c r="A7689" s="205" t="s">
        <v>8365</v>
      </c>
      <c r="B7689" s="206">
        <v>102153</v>
      </c>
      <c r="C7689" s="207" t="s">
        <v>8374</v>
      </c>
      <c r="D7689" s="208" t="s">
        <v>578</v>
      </c>
      <c r="E7689" s="209">
        <v>218.25</v>
      </c>
      <c r="F7689" s="209">
        <v>30.24</v>
      </c>
      <c r="G7689" s="209">
        <v>248.49</v>
      </c>
      <c r="H7689" s="198"/>
    </row>
    <row r="7690" spans="1:8" ht="15.75" hidden="1" customHeight="1" x14ac:dyDescent="0.25">
      <c r="A7690" s="205" t="s">
        <v>8365</v>
      </c>
      <c r="B7690" s="206">
        <v>102165</v>
      </c>
      <c r="C7690" s="207" t="s">
        <v>8375</v>
      </c>
      <c r="D7690" s="208" t="s">
        <v>578</v>
      </c>
      <c r="E7690" s="209">
        <v>314.73</v>
      </c>
      <c r="F7690" s="209">
        <v>29.34</v>
      </c>
      <c r="G7690" s="209">
        <v>344.07</v>
      </c>
      <c r="H7690" s="198"/>
    </row>
    <row r="7691" spans="1:8" ht="15.75" hidden="1" customHeight="1" x14ac:dyDescent="0.25">
      <c r="A7691" s="205" t="s">
        <v>8365</v>
      </c>
      <c r="B7691" s="206">
        <v>102155</v>
      </c>
      <c r="C7691" s="207" t="s">
        <v>8376</v>
      </c>
      <c r="D7691" s="208" t="s">
        <v>578</v>
      </c>
      <c r="E7691" s="209">
        <v>228.84</v>
      </c>
      <c r="F7691" s="209">
        <v>24.16</v>
      </c>
      <c r="G7691" s="209">
        <v>253</v>
      </c>
      <c r="H7691" s="198"/>
    </row>
    <row r="7692" spans="1:8" ht="15.75" hidden="1" customHeight="1" x14ac:dyDescent="0.25">
      <c r="A7692" s="205" t="s">
        <v>8365</v>
      </c>
      <c r="B7692" s="206">
        <v>102167</v>
      </c>
      <c r="C7692" s="207" t="s">
        <v>8377</v>
      </c>
      <c r="D7692" s="208" t="s">
        <v>578</v>
      </c>
      <c r="E7692" s="209">
        <v>371.99</v>
      </c>
      <c r="F7692" s="209">
        <v>22.44</v>
      </c>
      <c r="G7692" s="209">
        <v>394.43</v>
      </c>
      <c r="H7692" s="198"/>
    </row>
    <row r="7693" spans="1:8" ht="15.75" hidden="1" customHeight="1" x14ac:dyDescent="0.25">
      <c r="A7693" s="205" t="s">
        <v>8365</v>
      </c>
      <c r="B7693" s="206">
        <v>102157</v>
      </c>
      <c r="C7693" s="207" t="s">
        <v>8378</v>
      </c>
      <c r="D7693" s="208" t="s">
        <v>578</v>
      </c>
      <c r="E7693" s="209">
        <v>305.45999999999998</v>
      </c>
      <c r="F7693" s="209">
        <v>18.46</v>
      </c>
      <c r="G7693" s="209">
        <v>323.92</v>
      </c>
      <c r="H7693" s="198"/>
    </row>
    <row r="7694" spans="1:8" ht="15.75" hidden="1" customHeight="1" x14ac:dyDescent="0.25">
      <c r="A7694" s="205" t="s">
        <v>8365</v>
      </c>
      <c r="B7694" s="206">
        <v>102169</v>
      </c>
      <c r="C7694" s="207" t="s">
        <v>8379</v>
      </c>
      <c r="D7694" s="208" t="s">
        <v>578</v>
      </c>
      <c r="E7694" s="209">
        <v>415.5</v>
      </c>
      <c r="F7694" s="209">
        <v>14.57</v>
      </c>
      <c r="G7694" s="209">
        <v>430.07</v>
      </c>
      <c r="H7694" s="198"/>
    </row>
    <row r="7695" spans="1:8" ht="15.75" hidden="1" customHeight="1" x14ac:dyDescent="0.25">
      <c r="A7695" s="205" t="s">
        <v>8365</v>
      </c>
      <c r="B7695" s="206">
        <v>102159</v>
      </c>
      <c r="C7695" s="207" t="s">
        <v>8380</v>
      </c>
      <c r="D7695" s="208" t="s">
        <v>578</v>
      </c>
      <c r="E7695" s="209">
        <v>372.54</v>
      </c>
      <c r="F7695" s="209">
        <v>12.03</v>
      </c>
      <c r="G7695" s="209">
        <v>384.57</v>
      </c>
      <c r="H7695" s="198"/>
    </row>
    <row r="7696" spans="1:8" ht="15.75" hidden="1" customHeight="1" x14ac:dyDescent="0.25">
      <c r="A7696" s="205" t="s">
        <v>8365</v>
      </c>
      <c r="B7696" s="206">
        <v>102161</v>
      </c>
      <c r="C7696" s="207" t="s">
        <v>8381</v>
      </c>
      <c r="D7696" s="208" t="s">
        <v>578</v>
      </c>
      <c r="E7696" s="209">
        <v>256.98</v>
      </c>
      <c r="F7696" s="209">
        <v>36.67</v>
      </c>
      <c r="G7696" s="209">
        <v>293.64999999999998</v>
      </c>
      <c r="H7696" s="198"/>
    </row>
    <row r="7697" spans="1:8" ht="15.75" hidden="1" customHeight="1" x14ac:dyDescent="0.25">
      <c r="A7697" s="205" t="s">
        <v>8365</v>
      </c>
      <c r="B7697" s="206">
        <v>102151</v>
      </c>
      <c r="C7697" s="207" t="s">
        <v>8382</v>
      </c>
      <c r="D7697" s="208" t="s">
        <v>578</v>
      </c>
      <c r="E7697" s="209">
        <v>151.78</v>
      </c>
      <c r="F7697" s="209">
        <v>30.25</v>
      </c>
      <c r="G7697" s="209">
        <v>182.03</v>
      </c>
      <c r="H7697" s="198"/>
    </row>
    <row r="7698" spans="1:8" ht="15.75" hidden="1" customHeight="1" x14ac:dyDescent="0.25">
      <c r="A7698" s="205" t="s">
        <v>8365</v>
      </c>
      <c r="B7698" s="206">
        <v>102162</v>
      </c>
      <c r="C7698" s="207" t="s">
        <v>8383</v>
      </c>
      <c r="D7698" s="208" t="s">
        <v>578</v>
      </c>
      <c r="E7698" s="209">
        <v>275.12</v>
      </c>
      <c r="F7698" s="209">
        <v>36.659999999999997</v>
      </c>
      <c r="G7698" s="209">
        <v>311.77999999999997</v>
      </c>
      <c r="H7698" s="198"/>
    </row>
    <row r="7699" spans="1:8" ht="15.75" hidden="1" customHeight="1" x14ac:dyDescent="0.25">
      <c r="A7699" s="205" t="s">
        <v>8365</v>
      </c>
      <c r="B7699" s="206">
        <v>102164</v>
      </c>
      <c r="C7699" s="207" t="s">
        <v>8384</v>
      </c>
      <c r="D7699" s="208" t="s">
        <v>578</v>
      </c>
      <c r="E7699" s="209">
        <v>275.18</v>
      </c>
      <c r="F7699" s="209">
        <v>29.35</v>
      </c>
      <c r="G7699" s="209">
        <v>304.52999999999997</v>
      </c>
      <c r="H7699" s="198"/>
    </row>
    <row r="7700" spans="1:8" ht="15.75" hidden="1" customHeight="1" x14ac:dyDescent="0.25">
      <c r="A7700" s="205" t="s">
        <v>8365</v>
      </c>
      <c r="B7700" s="206">
        <v>102154</v>
      </c>
      <c r="C7700" s="207" t="s">
        <v>8385</v>
      </c>
      <c r="D7700" s="208" t="s">
        <v>578</v>
      </c>
      <c r="E7700" s="209">
        <v>189.3</v>
      </c>
      <c r="F7700" s="209">
        <v>24.16</v>
      </c>
      <c r="G7700" s="209">
        <v>213.46</v>
      </c>
      <c r="H7700" s="198"/>
    </row>
    <row r="7701" spans="1:8" ht="15.75" hidden="1" customHeight="1" x14ac:dyDescent="0.25">
      <c r="A7701" s="205" t="s">
        <v>8365</v>
      </c>
      <c r="B7701" s="206">
        <v>102166</v>
      </c>
      <c r="C7701" s="207" t="s">
        <v>8386</v>
      </c>
      <c r="D7701" s="208" t="s">
        <v>578</v>
      </c>
      <c r="E7701" s="209">
        <v>287.41000000000003</v>
      </c>
      <c r="F7701" s="209">
        <v>22.43</v>
      </c>
      <c r="G7701" s="209">
        <v>309.83999999999997</v>
      </c>
      <c r="H7701" s="198"/>
    </row>
    <row r="7702" spans="1:8" ht="15.75" hidden="1" customHeight="1" x14ac:dyDescent="0.25">
      <c r="A7702" s="205" t="s">
        <v>8365</v>
      </c>
      <c r="B7702" s="206">
        <v>102156</v>
      </c>
      <c r="C7702" s="207" t="s">
        <v>8387</v>
      </c>
      <c r="D7702" s="208" t="s">
        <v>578</v>
      </c>
      <c r="E7702" s="209">
        <v>220.88</v>
      </c>
      <c r="F7702" s="209">
        <v>18.45</v>
      </c>
      <c r="G7702" s="209">
        <v>239.33</v>
      </c>
      <c r="H7702" s="198"/>
    </row>
    <row r="7703" spans="1:8" ht="15.75" hidden="1" customHeight="1" x14ac:dyDescent="0.25">
      <c r="A7703" s="205" t="s">
        <v>8365</v>
      </c>
      <c r="B7703" s="206">
        <v>102168</v>
      </c>
      <c r="C7703" s="207" t="s">
        <v>8388</v>
      </c>
      <c r="D7703" s="208" t="s">
        <v>578</v>
      </c>
      <c r="E7703" s="209">
        <v>360.46</v>
      </c>
      <c r="F7703" s="209">
        <v>16.66</v>
      </c>
      <c r="G7703" s="209">
        <v>377.12</v>
      </c>
      <c r="H7703" s="198"/>
    </row>
    <row r="7704" spans="1:8" ht="15.75" hidden="1" customHeight="1" x14ac:dyDescent="0.25">
      <c r="A7704" s="205" t="s">
        <v>8365</v>
      </c>
      <c r="B7704" s="206">
        <v>102158</v>
      </c>
      <c r="C7704" s="207" t="s">
        <v>8389</v>
      </c>
      <c r="D7704" s="208" t="s">
        <v>578</v>
      </c>
      <c r="E7704" s="209">
        <v>311.18</v>
      </c>
      <c r="F7704" s="209">
        <v>13.7</v>
      </c>
      <c r="G7704" s="209">
        <v>324.88</v>
      </c>
      <c r="H7704" s="198"/>
    </row>
    <row r="7705" spans="1:8" ht="15.75" hidden="1" customHeight="1" x14ac:dyDescent="0.25">
      <c r="A7705" s="205" t="s">
        <v>8365</v>
      </c>
      <c r="B7705" s="206">
        <v>102152</v>
      </c>
      <c r="C7705" s="207" t="s">
        <v>8390</v>
      </c>
      <c r="D7705" s="208" t="s">
        <v>578</v>
      </c>
      <c r="E7705" s="209">
        <v>169.92</v>
      </c>
      <c r="F7705" s="209">
        <v>30.24</v>
      </c>
      <c r="G7705" s="209">
        <v>200.16</v>
      </c>
      <c r="H7705" s="198"/>
    </row>
    <row r="7706" spans="1:8" ht="15.75" hidden="1" customHeight="1" x14ac:dyDescent="0.25">
      <c r="A7706" s="205" t="s">
        <v>8365</v>
      </c>
      <c r="B7706" s="206">
        <v>102181</v>
      </c>
      <c r="C7706" s="207" t="s">
        <v>8391</v>
      </c>
      <c r="D7706" s="208" t="s">
        <v>578</v>
      </c>
      <c r="E7706" s="209">
        <v>555.72</v>
      </c>
      <c r="F7706" s="209">
        <v>66.37</v>
      </c>
      <c r="G7706" s="209">
        <v>622.09</v>
      </c>
      <c r="H7706" s="198"/>
    </row>
    <row r="7707" spans="1:8" ht="15.75" hidden="1" customHeight="1" x14ac:dyDescent="0.25">
      <c r="A7707" s="205" t="s">
        <v>8365</v>
      </c>
      <c r="B7707" s="206">
        <v>102179</v>
      </c>
      <c r="C7707" s="207" t="s">
        <v>8392</v>
      </c>
      <c r="D7707" s="208" t="s">
        <v>578</v>
      </c>
      <c r="E7707" s="209">
        <v>381.44</v>
      </c>
      <c r="F7707" s="209">
        <v>74.28</v>
      </c>
      <c r="G7707" s="209">
        <v>455.72</v>
      </c>
      <c r="H7707" s="198"/>
    </row>
    <row r="7708" spans="1:8" ht="15.75" hidden="1" customHeight="1" x14ac:dyDescent="0.25">
      <c r="A7708" s="205" t="s">
        <v>8365</v>
      </c>
      <c r="B7708" s="206">
        <v>102180</v>
      </c>
      <c r="C7708" s="207" t="s">
        <v>8393</v>
      </c>
      <c r="D7708" s="208" t="s">
        <v>578</v>
      </c>
      <c r="E7708" s="209">
        <v>455.75</v>
      </c>
      <c r="F7708" s="209">
        <v>70.760000000000005</v>
      </c>
      <c r="G7708" s="209">
        <v>526.51</v>
      </c>
      <c r="H7708" s="198"/>
    </row>
    <row r="7709" spans="1:8" ht="15.75" hidden="1" customHeight="1" x14ac:dyDescent="0.25">
      <c r="A7709" s="205" t="s">
        <v>8365</v>
      </c>
      <c r="B7709" s="206">
        <v>102189</v>
      </c>
      <c r="C7709" s="207" t="s">
        <v>8394</v>
      </c>
      <c r="D7709" s="208" t="s">
        <v>580</v>
      </c>
      <c r="E7709" s="209">
        <v>194.11</v>
      </c>
      <c r="F7709" s="209">
        <v>94.52</v>
      </c>
      <c r="G7709" s="209">
        <v>288.63</v>
      </c>
      <c r="H7709" s="198"/>
    </row>
    <row r="7710" spans="1:8" ht="15.75" hidden="1" customHeight="1" x14ac:dyDescent="0.25">
      <c r="A7710" s="205" t="s">
        <v>8365</v>
      </c>
      <c r="B7710" s="206">
        <v>102188</v>
      </c>
      <c r="C7710" s="207" t="s">
        <v>8395</v>
      </c>
      <c r="D7710" s="208" t="s">
        <v>580</v>
      </c>
      <c r="E7710" s="209">
        <v>880.69</v>
      </c>
      <c r="F7710" s="209">
        <v>85.18</v>
      </c>
      <c r="G7710" s="209">
        <v>965.87</v>
      </c>
      <c r="H7710" s="198"/>
    </row>
    <row r="7711" spans="1:8" ht="15.75" hidden="1" customHeight="1" x14ac:dyDescent="0.25">
      <c r="A7711" s="205" t="s">
        <v>8365</v>
      </c>
      <c r="B7711" s="206">
        <v>102185</v>
      </c>
      <c r="C7711" s="207" t="s">
        <v>8396</v>
      </c>
      <c r="D7711" s="208" t="s">
        <v>580</v>
      </c>
      <c r="E7711" s="209">
        <v>4065.47</v>
      </c>
      <c r="F7711" s="209">
        <v>316.83999999999997</v>
      </c>
      <c r="G7711" s="209">
        <v>4382.3100000000004</v>
      </c>
      <c r="H7711" s="198"/>
    </row>
    <row r="7712" spans="1:8" ht="15.75" hidden="1" customHeight="1" x14ac:dyDescent="0.25">
      <c r="A7712" s="205" t="s">
        <v>8365</v>
      </c>
      <c r="B7712" s="206">
        <v>102184</v>
      </c>
      <c r="C7712" s="207" t="s">
        <v>8397</v>
      </c>
      <c r="D7712" s="208" t="s">
        <v>580</v>
      </c>
      <c r="E7712" s="209">
        <v>2030.54</v>
      </c>
      <c r="F7712" s="209">
        <v>152.36000000000001</v>
      </c>
      <c r="G7712" s="209">
        <v>2182.9</v>
      </c>
      <c r="H7712" s="198"/>
    </row>
    <row r="7713" spans="1:8" ht="15.75" hidden="1" customHeight="1" x14ac:dyDescent="0.25">
      <c r="A7713" s="205" t="s">
        <v>8365</v>
      </c>
      <c r="B7713" s="206">
        <v>102183</v>
      </c>
      <c r="C7713" s="207" t="s">
        <v>8398</v>
      </c>
      <c r="D7713" s="208" t="s">
        <v>580</v>
      </c>
      <c r="E7713" s="209">
        <v>2322.06</v>
      </c>
      <c r="F7713" s="209">
        <v>192.08</v>
      </c>
      <c r="G7713" s="209">
        <v>2514.14</v>
      </c>
      <c r="H7713" s="198"/>
    </row>
    <row r="7714" spans="1:8" ht="15.75" hidden="1" customHeight="1" x14ac:dyDescent="0.25">
      <c r="A7714" s="205" t="s">
        <v>8365</v>
      </c>
      <c r="B7714" s="206">
        <v>102182</v>
      </c>
      <c r="C7714" s="207" t="s">
        <v>8399</v>
      </c>
      <c r="D7714" s="208" t="s">
        <v>580</v>
      </c>
      <c r="E7714" s="209">
        <v>1158.7</v>
      </c>
      <c r="F7714" s="209">
        <v>89.89</v>
      </c>
      <c r="G7714" s="209">
        <v>1248.5899999999999</v>
      </c>
      <c r="H7714" s="198"/>
    </row>
    <row r="7715" spans="1:8" ht="15.75" hidden="1" customHeight="1" x14ac:dyDescent="0.25">
      <c r="A7715" s="205" t="s">
        <v>8365</v>
      </c>
      <c r="B7715" s="206">
        <v>102191</v>
      </c>
      <c r="C7715" s="207" t="s">
        <v>8400</v>
      </c>
      <c r="D7715" s="208" t="s">
        <v>578</v>
      </c>
      <c r="E7715" s="209">
        <v>8.8800000000000008</v>
      </c>
      <c r="F7715" s="209">
        <v>22.81</v>
      </c>
      <c r="G7715" s="209">
        <v>31.69</v>
      </c>
      <c r="H7715" s="198"/>
    </row>
    <row r="7716" spans="1:8" ht="15.75" hidden="1" customHeight="1" x14ac:dyDescent="0.25">
      <c r="A7716" s="205" t="s">
        <v>8365</v>
      </c>
      <c r="B7716" s="206">
        <v>102190</v>
      </c>
      <c r="C7716" s="207" t="s">
        <v>8401</v>
      </c>
      <c r="D7716" s="208" t="s">
        <v>578</v>
      </c>
      <c r="E7716" s="209">
        <v>7.3</v>
      </c>
      <c r="F7716" s="209">
        <v>18.78</v>
      </c>
      <c r="G7716" s="209">
        <v>26.08</v>
      </c>
      <c r="H7716" s="198"/>
    </row>
    <row r="7717" spans="1:8" ht="15.75" hidden="1" customHeight="1" x14ac:dyDescent="0.25">
      <c r="A7717" s="205" t="s">
        <v>8365</v>
      </c>
      <c r="B7717" s="206">
        <v>102192</v>
      </c>
      <c r="C7717" s="207" t="s">
        <v>8402</v>
      </c>
      <c r="D7717" s="208" t="s">
        <v>578</v>
      </c>
      <c r="E7717" s="209">
        <v>6.35</v>
      </c>
      <c r="F7717" s="209">
        <v>16.27</v>
      </c>
      <c r="G7717" s="209">
        <v>22.62</v>
      </c>
      <c r="H7717" s="198"/>
    </row>
    <row r="7718" spans="1:8" ht="15.75" hidden="1" customHeight="1" x14ac:dyDescent="0.25">
      <c r="A7718" s="205" t="s">
        <v>8403</v>
      </c>
      <c r="B7718" s="206">
        <v>89354</v>
      </c>
      <c r="C7718" s="207" t="s">
        <v>8404</v>
      </c>
      <c r="D7718" s="208" t="s">
        <v>580</v>
      </c>
      <c r="E7718" s="209">
        <v>482.03</v>
      </c>
      <c r="F7718" s="209">
        <v>30.05</v>
      </c>
      <c r="G7718" s="209">
        <v>512.08000000000004</v>
      </c>
      <c r="H7718" s="198"/>
    </row>
    <row r="7719" spans="1:8" ht="15.75" hidden="1" customHeight="1" x14ac:dyDescent="0.25">
      <c r="A7719" s="205" t="s">
        <v>8403</v>
      </c>
      <c r="B7719" s="206">
        <v>103041</v>
      </c>
      <c r="C7719" s="207" t="s">
        <v>8405</v>
      </c>
      <c r="D7719" s="208" t="s">
        <v>580</v>
      </c>
      <c r="E7719" s="209">
        <v>19.579999999999998</v>
      </c>
      <c r="F7719" s="209">
        <v>3.48</v>
      </c>
      <c r="G7719" s="209">
        <v>23.06</v>
      </c>
      <c r="H7719" s="198"/>
    </row>
    <row r="7720" spans="1:8" ht="15.75" hidden="1" customHeight="1" x14ac:dyDescent="0.25">
      <c r="A7720" s="205" t="s">
        <v>8403</v>
      </c>
      <c r="B7720" s="206">
        <v>103042</v>
      </c>
      <c r="C7720" s="207" t="s">
        <v>8406</v>
      </c>
      <c r="D7720" s="208" t="s">
        <v>580</v>
      </c>
      <c r="E7720" s="209">
        <v>23.45</v>
      </c>
      <c r="F7720" s="209">
        <v>5.35</v>
      </c>
      <c r="G7720" s="209">
        <v>28.8</v>
      </c>
      <c r="H7720" s="198"/>
    </row>
    <row r="7721" spans="1:8" ht="15.75" hidden="1" customHeight="1" x14ac:dyDescent="0.25">
      <c r="A7721" s="205" t="s">
        <v>8403</v>
      </c>
      <c r="B7721" s="206">
        <v>103043</v>
      </c>
      <c r="C7721" s="207" t="s">
        <v>8407</v>
      </c>
      <c r="D7721" s="208" t="s">
        <v>580</v>
      </c>
      <c r="E7721" s="209">
        <v>22.97</v>
      </c>
      <c r="F7721" s="209">
        <v>3.49</v>
      </c>
      <c r="G7721" s="209">
        <v>26.46</v>
      </c>
      <c r="H7721" s="198"/>
    </row>
    <row r="7722" spans="1:8" ht="15.75" hidden="1" customHeight="1" x14ac:dyDescent="0.25">
      <c r="A7722" s="205" t="s">
        <v>8403</v>
      </c>
      <c r="B7722" s="206">
        <v>103044</v>
      </c>
      <c r="C7722" s="207" t="s">
        <v>8408</v>
      </c>
      <c r="D7722" s="208" t="s">
        <v>580</v>
      </c>
      <c r="E7722" s="209">
        <v>30.54</v>
      </c>
      <c r="F7722" s="209">
        <v>5.35</v>
      </c>
      <c r="G7722" s="209">
        <v>35.89</v>
      </c>
      <c r="H7722" s="198"/>
    </row>
    <row r="7723" spans="1:8" ht="15.75" hidden="1" customHeight="1" x14ac:dyDescent="0.25">
      <c r="A7723" s="205" t="s">
        <v>8403</v>
      </c>
      <c r="B7723" s="206">
        <v>103039</v>
      </c>
      <c r="C7723" s="207" t="s">
        <v>8409</v>
      </c>
      <c r="D7723" s="208" t="s">
        <v>580</v>
      </c>
      <c r="E7723" s="209">
        <v>66.77</v>
      </c>
      <c r="F7723" s="209">
        <v>12.8</v>
      </c>
      <c r="G7723" s="209">
        <v>79.569999999999993</v>
      </c>
      <c r="H7723" s="198"/>
    </row>
    <row r="7724" spans="1:8" ht="15.75" hidden="1" customHeight="1" x14ac:dyDescent="0.25">
      <c r="A7724" s="205" t="s">
        <v>8403</v>
      </c>
      <c r="B7724" s="206">
        <v>103038</v>
      </c>
      <c r="C7724" s="207" t="s">
        <v>8410</v>
      </c>
      <c r="D7724" s="208" t="s">
        <v>580</v>
      </c>
      <c r="E7724" s="209">
        <v>62.71</v>
      </c>
      <c r="F7724" s="209">
        <v>9.82</v>
      </c>
      <c r="G7724" s="209">
        <v>72.53</v>
      </c>
      <c r="H7724" s="198"/>
    </row>
    <row r="7725" spans="1:8" ht="15.75" hidden="1" customHeight="1" x14ac:dyDescent="0.25">
      <c r="A7725" s="205" t="s">
        <v>8403</v>
      </c>
      <c r="B7725" s="206">
        <v>103037</v>
      </c>
      <c r="C7725" s="207" t="s">
        <v>8411</v>
      </c>
      <c r="D7725" s="208" t="s">
        <v>580</v>
      </c>
      <c r="E7725" s="209">
        <v>46.95</v>
      </c>
      <c r="F7725" s="209">
        <v>7.2</v>
      </c>
      <c r="G7725" s="209">
        <v>54.15</v>
      </c>
      <c r="H7725" s="198"/>
    </row>
    <row r="7726" spans="1:8" ht="15.75" hidden="1" customHeight="1" x14ac:dyDescent="0.25">
      <c r="A7726" s="205" t="s">
        <v>8403</v>
      </c>
      <c r="B7726" s="206">
        <v>103036</v>
      </c>
      <c r="C7726" s="207" t="s">
        <v>8412</v>
      </c>
      <c r="D7726" s="208" t="s">
        <v>580</v>
      </c>
      <c r="E7726" s="209">
        <v>23.97</v>
      </c>
      <c r="F7726" s="209">
        <v>3.49</v>
      </c>
      <c r="G7726" s="209">
        <v>27.46</v>
      </c>
      <c r="H7726" s="198"/>
    </row>
    <row r="7727" spans="1:8" ht="15.75" hidden="1" customHeight="1" x14ac:dyDescent="0.25">
      <c r="A7727" s="205" t="s">
        <v>8403</v>
      </c>
      <c r="B7727" s="206">
        <v>103040</v>
      </c>
      <c r="C7727" s="207" t="s">
        <v>8413</v>
      </c>
      <c r="D7727" s="208" t="s">
        <v>580</v>
      </c>
      <c r="E7727" s="209">
        <v>101</v>
      </c>
      <c r="F7727" s="209">
        <v>16.510000000000002</v>
      </c>
      <c r="G7727" s="209">
        <v>117.51</v>
      </c>
      <c r="H7727" s="198"/>
    </row>
    <row r="7728" spans="1:8" ht="15.75" hidden="1" customHeight="1" x14ac:dyDescent="0.25">
      <c r="A7728" s="205" t="s">
        <v>8403</v>
      </c>
      <c r="B7728" s="206">
        <v>90371</v>
      </c>
      <c r="C7728" s="207" t="s">
        <v>8414</v>
      </c>
      <c r="D7728" s="208" t="s">
        <v>580</v>
      </c>
      <c r="E7728" s="209">
        <v>29.15</v>
      </c>
      <c r="F7728" s="209">
        <v>5.34</v>
      </c>
      <c r="G7728" s="209">
        <v>34.49</v>
      </c>
      <c r="H7728" s="198"/>
    </row>
    <row r="7729" spans="1:8" ht="15.75" hidden="1" customHeight="1" x14ac:dyDescent="0.25">
      <c r="A7729" s="205" t="s">
        <v>8403</v>
      </c>
      <c r="B7729" s="206">
        <v>103047</v>
      </c>
      <c r="C7729" s="207" t="s">
        <v>8415</v>
      </c>
      <c r="D7729" s="208" t="s">
        <v>580</v>
      </c>
      <c r="E7729" s="209">
        <v>24.05</v>
      </c>
      <c r="F7729" s="209">
        <v>4.16</v>
      </c>
      <c r="G7729" s="209">
        <v>28.21</v>
      </c>
      <c r="H7729" s="198"/>
    </row>
    <row r="7730" spans="1:8" ht="15.75" hidden="1" customHeight="1" x14ac:dyDescent="0.25">
      <c r="A7730" s="205" t="s">
        <v>8403</v>
      </c>
      <c r="B7730" s="206">
        <v>94489</v>
      </c>
      <c r="C7730" s="207" t="s">
        <v>8416</v>
      </c>
      <c r="D7730" s="208" t="s">
        <v>580</v>
      </c>
      <c r="E7730" s="209">
        <v>30.56</v>
      </c>
      <c r="F7730" s="209">
        <v>3.85</v>
      </c>
      <c r="G7730" s="209">
        <v>34.409999999999997</v>
      </c>
      <c r="H7730" s="198"/>
    </row>
    <row r="7731" spans="1:8" ht="15.75" hidden="1" customHeight="1" x14ac:dyDescent="0.25">
      <c r="A7731" s="205" t="s">
        <v>8403</v>
      </c>
      <c r="B7731" s="206">
        <v>94490</v>
      </c>
      <c r="C7731" s="207" t="s">
        <v>8417</v>
      </c>
      <c r="D7731" s="208" t="s">
        <v>580</v>
      </c>
      <c r="E7731" s="209">
        <v>46.68</v>
      </c>
      <c r="F7731" s="209">
        <v>3.84</v>
      </c>
      <c r="G7731" s="209">
        <v>50.52</v>
      </c>
      <c r="H7731" s="198"/>
    </row>
    <row r="7732" spans="1:8" ht="15.75" hidden="1" customHeight="1" x14ac:dyDescent="0.25">
      <c r="A7732" s="205" t="s">
        <v>8403</v>
      </c>
      <c r="B7732" s="206">
        <v>94491</v>
      </c>
      <c r="C7732" s="207" t="s">
        <v>8418</v>
      </c>
      <c r="D7732" s="208" t="s">
        <v>580</v>
      </c>
      <c r="E7732" s="209">
        <v>63.42</v>
      </c>
      <c r="F7732" s="209">
        <v>5.49</v>
      </c>
      <c r="G7732" s="209">
        <v>68.91</v>
      </c>
      <c r="H7732" s="198"/>
    </row>
    <row r="7733" spans="1:8" ht="15.75" hidden="1" customHeight="1" x14ac:dyDescent="0.25">
      <c r="A7733" s="205" t="s">
        <v>8403</v>
      </c>
      <c r="B7733" s="206">
        <v>94492</v>
      </c>
      <c r="C7733" s="207" t="s">
        <v>8419</v>
      </c>
      <c r="D7733" s="208" t="s">
        <v>580</v>
      </c>
      <c r="E7733" s="209">
        <v>65.319999999999993</v>
      </c>
      <c r="F7733" s="209">
        <v>5.5</v>
      </c>
      <c r="G7733" s="209">
        <v>70.819999999999993</v>
      </c>
      <c r="H7733" s="198"/>
    </row>
    <row r="7734" spans="1:8" ht="15.75" hidden="1" customHeight="1" x14ac:dyDescent="0.25">
      <c r="A7734" s="205" t="s">
        <v>8403</v>
      </c>
      <c r="B7734" s="206">
        <v>94493</v>
      </c>
      <c r="C7734" s="207" t="s">
        <v>8420</v>
      </c>
      <c r="D7734" s="208" t="s">
        <v>580</v>
      </c>
      <c r="E7734" s="209">
        <v>120.49</v>
      </c>
      <c r="F7734" s="209">
        <v>8.92</v>
      </c>
      <c r="G7734" s="209">
        <v>129.41</v>
      </c>
      <c r="H7734" s="198"/>
    </row>
    <row r="7735" spans="1:8" ht="15.75" hidden="1" customHeight="1" x14ac:dyDescent="0.25">
      <c r="A7735" s="205" t="s">
        <v>8403</v>
      </c>
      <c r="B7735" s="206">
        <v>94497</v>
      </c>
      <c r="C7735" s="207" t="s">
        <v>8421</v>
      </c>
      <c r="D7735" s="208" t="s">
        <v>580</v>
      </c>
      <c r="E7735" s="209">
        <v>95.08</v>
      </c>
      <c r="F7735" s="209">
        <v>12.8</v>
      </c>
      <c r="G7735" s="209">
        <v>107.88</v>
      </c>
      <c r="H7735" s="198"/>
    </row>
    <row r="7736" spans="1:8" ht="15.75" hidden="1" customHeight="1" x14ac:dyDescent="0.25">
      <c r="A7736" s="205" t="s">
        <v>8403</v>
      </c>
      <c r="B7736" s="206">
        <v>94794</v>
      </c>
      <c r="C7736" s="207" t="s">
        <v>8422</v>
      </c>
      <c r="D7736" s="208" t="s">
        <v>580</v>
      </c>
      <c r="E7736" s="209">
        <v>151.02000000000001</v>
      </c>
      <c r="F7736" s="209">
        <v>18.190000000000001</v>
      </c>
      <c r="G7736" s="209">
        <v>169.21</v>
      </c>
      <c r="H7736" s="198"/>
    </row>
    <row r="7737" spans="1:8" ht="15.75" hidden="1" customHeight="1" x14ac:dyDescent="0.25">
      <c r="A7737" s="205" t="s">
        <v>8403</v>
      </c>
      <c r="B7737" s="206">
        <v>94496</v>
      </c>
      <c r="C7737" s="207" t="s">
        <v>8423</v>
      </c>
      <c r="D7737" s="208" t="s">
        <v>580</v>
      </c>
      <c r="E7737" s="209">
        <v>75.22</v>
      </c>
      <c r="F7737" s="209">
        <v>9.82</v>
      </c>
      <c r="G7737" s="209">
        <v>85.04</v>
      </c>
      <c r="H7737" s="198"/>
    </row>
    <row r="7738" spans="1:8" ht="15.75" hidden="1" customHeight="1" x14ac:dyDescent="0.25">
      <c r="A7738" s="205" t="s">
        <v>8403</v>
      </c>
      <c r="B7738" s="206">
        <v>94793</v>
      </c>
      <c r="C7738" s="207" t="s">
        <v>8424</v>
      </c>
      <c r="D7738" s="208" t="s">
        <v>580</v>
      </c>
      <c r="E7738" s="209">
        <v>143.59</v>
      </c>
      <c r="F7738" s="209">
        <v>15.21</v>
      </c>
      <c r="G7738" s="209">
        <v>158.80000000000001</v>
      </c>
      <c r="H7738" s="198"/>
    </row>
    <row r="7739" spans="1:8" ht="15.75" hidden="1" customHeight="1" x14ac:dyDescent="0.25">
      <c r="A7739" s="205" t="s">
        <v>8403</v>
      </c>
      <c r="B7739" s="206">
        <v>94495</v>
      </c>
      <c r="C7739" s="207" t="s">
        <v>8425</v>
      </c>
      <c r="D7739" s="208" t="s">
        <v>580</v>
      </c>
      <c r="E7739" s="209">
        <v>55.23</v>
      </c>
      <c r="F7739" s="209">
        <v>7.21</v>
      </c>
      <c r="G7739" s="209">
        <v>62.44</v>
      </c>
      <c r="H7739" s="198"/>
    </row>
    <row r="7740" spans="1:8" ht="15.75" hidden="1" customHeight="1" x14ac:dyDescent="0.25">
      <c r="A7740" s="205" t="s">
        <v>8403</v>
      </c>
      <c r="B7740" s="206">
        <v>94792</v>
      </c>
      <c r="C7740" s="207" t="s">
        <v>8426</v>
      </c>
      <c r="D7740" s="208" t="s">
        <v>580</v>
      </c>
      <c r="E7740" s="209">
        <v>103.89</v>
      </c>
      <c r="F7740" s="209">
        <v>12.6</v>
      </c>
      <c r="G7740" s="209">
        <v>116.49</v>
      </c>
      <c r="H7740" s="198"/>
    </row>
    <row r="7741" spans="1:8" ht="15.75" hidden="1" customHeight="1" x14ac:dyDescent="0.25">
      <c r="A7741" s="205" t="s">
        <v>8403</v>
      </c>
      <c r="B7741" s="206">
        <v>89352</v>
      </c>
      <c r="C7741" s="207" t="s">
        <v>8427</v>
      </c>
      <c r="D7741" s="208" t="s">
        <v>580</v>
      </c>
      <c r="E7741" s="209">
        <v>32.869999999999997</v>
      </c>
      <c r="F7741" s="209">
        <v>3.49</v>
      </c>
      <c r="G7741" s="209">
        <v>36.36</v>
      </c>
      <c r="H7741" s="198"/>
    </row>
    <row r="7742" spans="1:8" ht="15.75" hidden="1" customHeight="1" x14ac:dyDescent="0.25">
      <c r="A7742" s="205" t="s">
        <v>8403</v>
      </c>
      <c r="B7742" s="206">
        <v>89986</v>
      </c>
      <c r="C7742" s="207" t="s">
        <v>8428</v>
      </c>
      <c r="D7742" s="208" t="s">
        <v>580</v>
      </c>
      <c r="E7742" s="209">
        <v>75.13</v>
      </c>
      <c r="F7742" s="209">
        <v>8.8699999999999992</v>
      </c>
      <c r="G7742" s="209">
        <v>84</v>
      </c>
      <c r="H7742" s="198"/>
    </row>
    <row r="7743" spans="1:8" ht="15.75" hidden="1" customHeight="1" x14ac:dyDescent="0.25">
      <c r="A7743" s="205" t="s">
        <v>8403</v>
      </c>
      <c r="B7743" s="206">
        <v>94499</v>
      </c>
      <c r="C7743" s="207" t="s">
        <v>8429</v>
      </c>
      <c r="D7743" s="208" t="s">
        <v>580</v>
      </c>
      <c r="E7743" s="209">
        <v>268.93</v>
      </c>
      <c r="F7743" s="209">
        <v>22.08</v>
      </c>
      <c r="G7743" s="209">
        <v>291.01</v>
      </c>
      <c r="H7743" s="198"/>
    </row>
    <row r="7744" spans="1:8" ht="15.75" hidden="1" customHeight="1" x14ac:dyDescent="0.25">
      <c r="A7744" s="205" t="s">
        <v>8403</v>
      </c>
      <c r="B7744" s="206">
        <v>94498</v>
      </c>
      <c r="C7744" s="207" t="s">
        <v>8430</v>
      </c>
      <c r="D7744" s="208" t="s">
        <v>580</v>
      </c>
      <c r="E7744" s="209">
        <v>131.94</v>
      </c>
      <c r="F7744" s="209">
        <v>16.5</v>
      </c>
      <c r="G7744" s="209">
        <v>148.44</v>
      </c>
      <c r="H7744" s="198"/>
    </row>
    <row r="7745" spans="1:8" ht="15.75" hidden="1" customHeight="1" x14ac:dyDescent="0.25">
      <c r="A7745" s="205" t="s">
        <v>8403</v>
      </c>
      <c r="B7745" s="206">
        <v>94500</v>
      </c>
      <c r="C7745" s="207" t="s">
        <v>8431</v>
      </c>
      <c r="D7745" s="208" t="s">
        <v>580</v>
      </c>
      <c r="E7745" s="209">
        <v>325.87</v>
      </c>
      <c r="F7745" s="209">
        <v>27.68</v>
      </c>
      <c r="G7745" s="209">
        <v>353.55</v>
      </c>
      <c r="H7745" s="198"/>
    </row>
    <row r="7746" spans="1:8" ht="15.75" hidden="1" customHeight="1" x14ac:dyDescent="0.25">
      <c r="A7746" s="205" t="s">
        <v>8403</v>
      </c>
      <c r="B7746" s="206">
        <v>89353</v>
      </c>
      <c r="C7746" s="207" t="s">
        <v>8432</v>
      </c>
      <c r="D7746" s="208" t="s">
        <v>580</v>
      </c>
      <c r="E7746" s="209">
        <v>35.31</v>
      </c>
      <c r="F7746" s="209">
        <v>5.34</v>
      </c>
      <c r="G7746" s="209">
        <v>40.65</v>
      </c>
      <c r="H7746" s="198"/>
    </row>
    <row r="7747" spans="1:8" ht="15.75" hidden="1" customHeight="1" x14ac:dyDescent="0.25">
      <c r="A7747" s="205" t="s">
        <v>8403</v>
      </c>
      <c r="B7747" s="206">
        <v>89987</v>
      </c>
      <c r="C7747" s="207" t="s">
        <v>8433</v>
      </c>
      <c r="D7747" s="208" t="s">
        <v>580</v>
      </c>
      <c r="E7747" s="209">
        <v>85.03</v>
      </c>
      <c r="F7747" s="209">
        <v>10.74</v>
      </c>
      <c r="G7747" s="209">
        <v>95.77</v>
      </c>
      <c r="H7747" s="198"/>
    </row>
    <row r="7748" spans="1:8" ht="15.75" hidden="1" customHeight="1" x14ac:dyDescent="0.25">
      <c r="A7748" s="205" t="s">
        <v>8403</v>
      </c>
      <c r="B7748" s="206">
        <v>94501</v>
      </c>
      <c r="C7748" s="207" t="s">
        <v>8434</v>
      </c>
      <c r="D7748" s="208" t="s">
        <v>580</v>
      </c>
      <c r="E7748" s="209">
        <v>670.44</v>
      </c>
      <c r="F7748" s="209">
        <v>35.130000000000003</v>
      </c>
      <c r="G7748" s="209">
        <v>705.57</v>
      </c>
      <c r="H7748" s="198"/>
    </row>
    <row r="7749" spans="1:8" ht="15.75" hidden="1" customHeight="1" x14ac:dyDescent="0.25">
      <c r="A7749" s="205" t="s">
        <v>8403</v>
      </c>
      <c r="B7749" s="206">
        <v>89351</v>
      </c>
      <c r="C7749" s="207" t="s">
        <v>8435</v>
      </c>
      <c r="D7749" s="208" t="s">
        <v>580</v>
      </c>
      <c r="E7749" s="209">
        <v>28.73</v>
      </c>
      <c r="F7749" s="209">
        <v>5.35</v>
      </c>
      <c r="G7749" s="209">
        <v>34.08</v>
      </c>
      <c r="H7749" s="198"/>
    </row>
    <row r="7750" spans="1:8" ht="15.75" hidden="1" customHeight="1" x14ac:dyDescent="0.25">
      <c r="A7750" s="205" t="s">
        <v>8403</v>
      </c>
      <c r="B7750" s="206">
        <v>89349</v>
      </c>
      <c r="C7750" s="207" t="s">
        <v>8436</v>
      </c>
      <c r="D7750" s="208" t="s">
        <v>580</v>
      </c>
      <c r="E7750" s="209">
        <v>23.72</v>
      </c>
      <c r="F7750" s="209">
        <v>3.48</v>
      </c>
      <c r="G7750" s="209">
        <v>27.2</v>
      </c>
      <c r="H7750" s="198"/>
    </row>
    <row r="7751" spans="1:8" ht="15.75" hidden="1" customHeight="1" x14ac:dyDescent="0.25">
      <c r="A7751" s="205" t="s">
        <v>8403</v>
      </c>
      <c r="B7751" s="206">
        <v>89984</v>
      </c>
      <c r="C7751" s="207" t="s">
        <v>8437</v>
      </c>
      <c r="D7751" s="208" t="s">
        <v>580</v>
      </c>
      <c r="E7751" s="209">
        <v>77.23</v>
      </c>
      <c r="F7751" s="209">
        <v>8.8699999999999992</v>
      </c>
      <c r="G7751" s="209">
        <v>86.1</v>
      </c>
      <c r="H7751" s="198"/>
    </row>
    <row r="7752" spans="1:8" ht="15.75" hidden="1" customHeight="1" x14ac:dyDescent="0.25">
      <c r="A7752" s="205" t="s">
        <v>8403</v>
      </c>
      <c r="B7752" s="206">
        <v>89985</v>
      </c>
      <c r="C7752" s="207" t="s">
        <v>8438</v>
      </c>
      <c r="D7752" s="208" t="s">
        <v>580</v>
      </c>
      <c r="E7752" s="209">
        <v>80.42</v>
      </c>
      <c r="F7752" s="209">
        <v>10.74</v>
      </c>
      <c r="G7752" s="209">
        <v>91.16</v>
      </c>
      <c r="H7752" s="198"/>
    </row>
    <row r="7753" spans="1:8" ht="15.75" hidden="1" customHeight="1" x14ac:dyDescent="0.25">
      <c r="A7753" s="205" t="s">
        <v>8403</v>
      </c>
      <c r="B7753" s="206">
        <v>103045</v>
      </c>
      <c r="C7753" s="207" t="s">
        <v>8439</v>
      </c>
      <c r="D7753" s="208" t="s">
        <v>580</v>
      </c>
      <c r="E7753" s="209">
        <v>8.39</v>
      </c>
      <c r="F7753" s="209">
        <v>3.48</v>
      </c>
      <c r="G7753" s="209">
        <v>11.87</v>
      </c>
      <c r="H7753" s="198"/>
    </row>
    <row r="7754" spans="1:8" ht="15.75" hidden="1" customHeight="1" x14ac:dyDescent="0.25">
      <c r="A7754" s="205" t="s">
        <v>8403</v>
      </c>
      <c r="B7754" s="206">
        <v>103046</v>
      </c>
      <c r="C7754" s="207" t="s">
        <v>8440</v>
      </c>
      <c r="D7754" s="208" t="s">
        <v>580</v>
      </c>
      <c r="E7754" s="209">
        <v>22.02</v>
      </c>
      <c r="F7754" s="209">
        <v>5.35</v>
      </c>
      <c r="G7754" s="209">
        <v>27.37</v>
      </c>
      <c r="H7754" s="198"/>
    </row>
    <row r="7755" spans="1:8" ht="15.75" hidden="1" customHeight="1" x14ac:dyDescent="0.25">
      <c r="A7755" s="205" t="s">
        <v>8403</v>
      </c>
      <c r="B7755" s="206">
        <v>103048</v>
      </c>
      <c r="C7755" s="207" t="s">
        <v>8441</v>
      </c>
      <c r="D7755" s="208" t="s">
        <v>580</v>
      </c>
      <c r="E7755" s="209">
        <v>17.29</v>
      </c>
      <c r="F7755" s="209">
        <v>4.16</v>
      </c>
      <c r="G7755" s="209">
        <v>21.45</v>
      </c>
      <c r="H7755" s="198"/>
    </row>
    <row r="7756" spans="1:8" ht="15.75" hidden="1" customHeight="1" x14ac:dyDescent="0.25">
      <c r="A7756" s="205" t="s">
        <v>8403</v>
      </c>
      <c r="B7756" s="206">
        <v>103049</v>
      </c>
      <c r="C7756" s="207" t="s">
        <v>8442</v>
      </c>
      <c r="D7756" s="208" t="s">
        <v>580</v>
      </c>
      <c r="E7756" s="209">
        <v>19.309999999999999</v>
      </c>
      <c r="F7756" s="209">
        <v>3.84</v>
      </c>
      <c r="G7756" s="209">
        <v>23.15</v>
      </c>
      <c r="H7756" s="198"/>
    </row>
    <row r="7757" spans="1:8" ht="15.75" hidden="1" customHeight="1" x14ac:dyDescent="0.25">
      <c r="A7757" s="205" t="s">
        <v>8403</v>
      </c>
      <c r="B7757" s="206">
        <v>103029</v>
      </c>
      <c r="C7757" s="207" t="s">
        <v>8443</v>
      </c>
      <c r="D7757" s="208" t="s">
        <v>580</v>
      </c>
      <c r="E7757" s="209">
        <v>40.78</v>
      </c>
      <c r="F7757" s="209">
        <v>5.35</v>
      </c>
      <c r="G7757" s="209">
        <v>46.13</v>
      </c>
      <c r="H7757" s="198"/>
    </row>
    <row r="7758" spans="1:8" ht="15.75" hidden="1" customHeight="1" x14ac:dyDescent="0.25">
      <c r="A7758" s="205" t="s">
        <v>8403</v>
      </c>
      <c r="B7758" s="206">
        <v>103019</v>
      </c>
      <c r="C7758" s="207" t="s">
        <v>8444</v>
      </c>
      <c r="D7758" s="208" t="s">
        <v>580</v>
      </c>
      <c r="E7758" s="209">
        <v>288.45999999999998</v>
      </c>
      <c r="F7758" s="209">
        <v>22.07</v>
      </c>
      <c r="G7758" s="209">
        <v>310.52999999999997</v>
      </c>
      <c r="H7758" s="198"/>
    </row>
    <row r="7759" spans="1:8" ht="15.75" hidden="1" customHeight="1" x14ac:dyDescent="0.25">
      <c r="A7759" s="205" t="s">
        <v>8403</v>
      </c>
      <c r="B7759" s="206">
        <v>103050</v>
      </c>
      <c r="C7759" s="207" t="s">
        <v>8445</v>
      </c>
      <c r="D7759" s="208" t="s">
        <v>580</v>
      </c>
      <c r="E7759" s="209">
        <v>12</v>
      </c>
      <c r="F7759" s="209">
        <v>18.98</v>
      </c>
      <c r="G7759" s="209">
        <v>30.98</v>
      </c>
      <c r="H7759" s="198"/>
    </row>
    <row r="7760" spans="1:8" ht="15.75" hidden="1" customHeight="1" x14ac:dyDescent="0.25">
      <c r="A7760" s="205" t="s">
        <v>8403</v>
      </c>
      <c r="B7760" s="206">
        <v>103051</v>
      </c>
      <c r="C7760" s="207" t="s">
        <v>8446</v>
      </c>
      <c r="D7760" s="208" t="s">
        <v>580</v>
      </c>
      <c r="E7760" s="209">
        <v>14.45</v>
      </c>
      <c r="F7760" s="209">
        <v>23.12</v>
      </c>
      <c r="G7760" s="209">
        <v>37.57</v>
      </c>
      <c r="H7760" s="198"/>
    </row>
    <row r="7761" spans="1:8" ht="15.75" hidden="1" customHeight="1" x14ac:dyDescent="0.25">
      <c r="A7761" s="205" t="s">
        <v>8403</v>
      </c>
      <c r="B7761" s="206">
        <v>103052</v>
      </c>
      <c r="C7761" s="207" t="s">
        <v>8447</v>
      </c>
      <c r="D7761" s="208" t="s">
        <v>580</v>
      </c>
      <c r="E7761" s="209">
        <v>20.63</v>
      </c>
      <c r="F7761" s="209">
        <v>28.66</v>
      </c>
      <c r="G7761" s="209">
        <v>49.29</v>
      </c>
      <c r="H7761" s="198"/>
    </row>
    <row r="7762" spans="1:8" ht="15.75" hidden="1" customHeight="1" x14ac:dyDescent="0.25">
      <c r="A7762" s="205" t="s">
        <v>8403</v>
      </c>
      <c r="B7762" s="206">
        <v>94799</v>
      </c>
      <c r="C7762" s="207" t="s">
        <v>8448</v>
      </c>
      <c r="D7762" s="208" t="s">
        <v>580</v>
      </c>
      <c r="E7762" s="209">
        <v>168.18</v>
      </c>
      <c r="F7762" s="209">
        <v>22.11</v>
      </c>
      <c r="G7762" s="209">
        <v>190.29</v>
      </c>
      <c r="H7762" s="198"/>
    </row>
    <row r="7763" spans="1:8" ht="15.75" hidden="1" customHeight="1" x14ac:dyDescent="0.25">
      <c r="A7763" s="205" t="s">
        <v>8403</v>
      </c>
      <c r="B7763" s="206">
        <v>94798</v>
      </c>
      <c r="C7763" s="207" t="s">
        <v>8449</v>
      </c>
      <c r="D7763" s="208" t="s">
        <v>580</v>
      </c>
      <c r="E7763" s="209">
        <v>137.58000000000001</v>
      </c>
      <c r="F7763" s="209">
        <v>16.96</v>
      </c>
      <c r="G7763" s="209">
        <v>154.54</v>
      </c>
      <c r="H7763" s="198"/>
    </row>
    <row r="7764" spans="1:8" ht="15.75" hidden="1" customHeight="1" x14ac:dyDescent="0.25">
      <c r="A7764" s="205" t="s">
        <v>8403</v>
      </c>
      <c r="B7764" s="206">
        <v>94797</v>
      </c>
      <c r="C7764" s="207" t="s">
        <v>8450</v>
      </c>
      <c r="D7764" s="208" t="s">
        <v>580</v>
      </c>
      <c r="E7764" s="209">
        <v>81.7</v>
      </c>
      <c r="F7764" s="209">
        <v>12.45</v>
      </c>
      <c r="G7764" s="209">
        <v>94.15</v>
      </c>
      <c r="H7764" s="198"/>
    </row>
    <row r="7765" spans="1:8" ht="15.75" hidden="1" customHeight="1" x14ac:dyDescent="0.25">
      <c r="A7765" s="205" t="s">
        <v>8403</v>
      </c>
      <c r="B7765" s="206">
        <v>94795</v>
      </c>
      <c r="C7765" s="207" t="s">
        <v>8451</v>
      </c>
      <c r="D7765" s="208" t="s">
        <v>580</v>
      </c>
      <c r="E7765" s="209">
        <v>33.99</v>
      </c>
      <c r="F7765" s="209">
        <v>6.03</v>
      </c>
      <c r="G7765" s="209">
        <v>40.020000000000003</v>
      </c>
      <c r="H7765" s="198"/>
    </row>
    <row r="7766" spans="1:8" ht="15.75" hidden="1" customHeight="1" x14ac:dyDescent="0.25">
      <c r="A7766" s="205" t="s">
        <v>8403</v>
      </c>
      <c r="B7766" s="206">
        <v>94800</v>
      </c>
      <c r="C7766" s="207" t="s">
        <v>8452</v>
      </c>
      <c r="D7766" s="208" t="s">
        <v>580</v>
      </c>
      <c r="E7766" s="209">
        <v>215.86</v>
      </c>
      <c r="F7766" s="209">
        <v>28.51</v>
      </c>
      <c r="G7766" s="209">
        <v>244.37</v>
      </c>
      <c r="H7766" s="198"/>
    </row>
    <row r="7767" spans="1:8" ht="15.75" hidden="1" customHeight="1" x14ac:dyDescent="0.25">
      <c r="A7767" s="205" t="s">
        <v>8403</v>
      </c>
      <c r="B7767" s="206">
        <v>94796</v>
      </c>
      <c r="C7767" s="207" t="s">
        <v>8453</v>
      </c>
      <c r="D7767" s="208" t="s">
        <v>580</v>
      </c>
      <c r="E7767" s="209">
        <v>37.68</v>
      </c>
      <c r="F7767" s="209">
        <v>9.24</v>
      </c>
      <c r="G7767" s="209">
        <v>46.92</v>
      </c>
      <c r="H7767" s="198"/>
    </row>
    <row r="7768" spans="1:8" ht="15.75" hidden="1" customHeight="1" x14ac:dyDescent="0.25">
      <c r="A7768" s="205" t="s">
        <v>8403</v>
      </c>
      <c r="B7768" s="206">
        <v>99635</v>
      </c>
      <c r="C7768" s="207" t="s">
        <v>8454</v>
      </c>
      <c r="D7768" s="208" t="s">
        <v>580</v>
      </c>
      <c r="E7768" s="209">
        <v>368.78</v>
      </c>
      <c r="F7768" s="209">
        <v>44.97</v>
      </c>
      <c r="G7768" s="209">
        <v>413.75</v>
      </c>
      <c r="H7768" s="198"/>
    </row>
    <row r="7769" spans="1:8" ht="15.75" hidden="1" customHeight="1" x14ac:dyDescent="0.25">
      <c r="A7769" s="205" t="s">
        <v>8403</v>
      </c>
      <c r="B7769" s="206">
        <v>103018</v>
      </c>
      <c r="C7769" s="207" t="s">
        <v>8455</v>
      </c>
      <c r="D7769" s="208" t="s">
        <v>580</v>
      </c>
      <c r="E7769" s="209">
        <v>299.7</v>
      </c>
      <c r="F7769" s="209">
        <v>39.01</v>
      </c>
      <c r="G7769" s="209">
        <v>338.71</v>
      </c>
      <c r="H7769" s="198"/>
    </row>
    <row r="7770" spans="1:8" ht="15.75" hidden="1" customHeight="1" x14ac:dyDescent="0.25">
      <c r="A7770" s="205" t="s">
        <v>8403</v>
      </c>
      <c r="B7770" s="206">
        <v>95252</v>
      </c>
      <c r="C7770" s="207" t="s">
        <v>8456</v>
      </c>
      <c r="D7770" s="208" t="s">
        <v>580</v>
      </c>
      <c r="E7770" s="209">
        <v>136.97</v>
      </c>
      <c r="F7770" s="209">
        <v>12.8</v>
      </c>
      <c r="G7770" s="209">
        <v>149.77000000000001</v>
      </c>
      <c r="H7770" s="198"/>
    </row>
    <row r="7771" spans="1:8" ht="15.75" hidden="1" customHeight="1" x14ac:dyDescent="0.25">
      <c r="A7771" s="205" t="s">
        <v>8403</v>
      </c>
      <c r="B7771" s="206">
        <v>95251</v>
      </c>
      <c r="C7771" s="207" t="s">
        <v>8457</v>
      </c>
      <c r="D7771" s="208" t="s">
        <v>580</v>
      </c>
      <c r="E7771" s="209">
        <v>113.4</v>
      </c>
      <c r="F7771" s="209">
        <v>9.81</v>
      </c>
      <c r="G7771" s="209">
        <v>123.21</v>
      </c>
      <c r="H7771" s="198"/>
    </row>
    <row r="7772" spans="1:8" ht="15.75" hidden="1" customHeight="1" x14ac:dyDescent="0.25">
      <c r="A7772" s="205" t="s">
        <v>8403</v>
      </c>
      <c r="B7772" s="206">
        <v>95250</v>
      </c>
      <c r="C7772" s="207" t="s">
        <v>8458</v>
      </c>
      <c r="D7772" s="208" t="s">
        <v>580</v>
      </c>
      <c r="E7772" s="209">
        <v>76.349999999999994</v>
      </c>
      <c r="F7772" s="209">
        <v>7.21</v>
      </c>
      <c r="G7772" s="209">
        <v>83.56</v>
      </c>
      <c r="H7772" s="198"/>
    </row>
    <row r="7773" spans="1:8" ht="15.75" hidden="1" customHeight="1" x14ac:dyDescent="0.25">
      <c r="A7773" s="205" t="s">
        <v>8403</v>
      </c>
      <c r="B7773" s="206">
        <v>95248</v>
      </c>
      <c r="C7773" s="207" t="s">
        <v>8459</v>
      </c>
      <c r="D7773" s="208" t="s">
        <v>580</v>
      </c>
      <c r="E7773" s="209">
        <v>48.59</v>
      </c>
      <c r="F7773" s="209">
        <v>3.48</v>
      </c>
      <c r="G7773" s="209">
        <v>52.07</v>
      </c>
      <c r="H7773" s="198"/>
    </row>
    <row r="7774" spans="1:8" ht="15.75" hidden="1" customHeight="1" x14ac:dyDescent="0.25">
      <c r="A7774" s="205" t="s">
        <v>8403</v>
      </c>
      <c r="B7774" s="206">
        <v>95253</v>
      </c>
      <c r="C7774" s="207" t="s">
        <v>8460</v>
      </c>
      <c r="D7774" s="208" t="s">
        <v>580</v>
      </c>
      <c r="E7774" s="209">
        <v>209.97</v>
      </c>
      <c r="F7774" s="209">
        <v>16.510000000000002</v>
      </c>
      <c r="G7774" s="209">
        <v>226.48</v>
      </c>
      <c r="H7774" s="198"/>
    </row>
    <row r="7775" spans="1:8" ht="15.75" hidden="1" customHeight="1" x14ac:dyDescent="0.25">
      <c r="A7775" s="205" t="s">
        <v>8403</v>
      </c>
      <c r="B7775" s="206">
        <v>95249</v>
      </c>
      <c r="C7775" s="207" t="s">
        <v>8461</v>
      </c>
      <c r="D7775" s="208" t="s">
        <v>580</v>
      </c>
      <c r="E7775" s="209">
        <v>56.57</v>
      </c>
      <c r="F7775" s="209">
        <v>5.34</v>
      </c>
      <c r="G7775" s="209">
        <v>61.91</v>
      </c>
      <c r="H7775" s="198"/>
    </row>
    <row r="7776" spans="1:8" ht="15.75" hidden="1" customHeight="1" x14ac:dyDescent="0.25">
      <c r="A7776" s="205" t="s">
        <v>8403</v>
      </c>
      <c r="B7776" s="206">
        <v>99622</v>
      </c>
      <c r="C7776" s="207" t="s">
        <v>8462</v>
      </c>
      <c r="D7776" s="208" t="s">
        <v>580</v>
      </c>
      <c r="E7776" s="209">
        <v>301.08</v>
      </c>
      <c r="F7776" s="209">
        <v>12.8</v>
      </c>
      <c r="G7776" s="209">
        <v>313.88</v>
      </c>
      <c r="H7776" s="198"/>
    </row>
    <row r="7777" spans="1:8" ht="15.75" hidden="1" customHeight="1" x14ac:dyDescent="0.25">
      <c r="A7777" s="205" t="s">
        <v>8403</v>
      </c>
      <c r="B7777" s="206">
        <v>99621</v>
      </c>
      <c r="C7777" s="207" t="s">
        <v>8463</v>
      </c>
      <c r="D7777" s="208" t="s">
        <v>580</v>
      </c>
      <c r="E7777" s="209">
        <v>268.83</v>
      </c>
      <c r="F7777" s="209">
        <v>9.8000000000000007</v>
      </c>
      <c r="G7777" s="209">
        <v>278.63</v>
      </c>
      <c r="H7777" s="198"/>
    </row>
    <row r="7778" spans="1:8" ht="15.75" hidden="1" customHeight="1" x14ac:dyDescent="0.25">
      <c r="A7778" s="205" t="s">
        <v>8403</v>
      </c>
      <c r="B7778" s="206">
        <v>99620</v>
      </c>
      <c r="C7778" s="207" t="s">
        <v>8464</v>
      </c>
      <c r="D7778" s="208" t="s">
        <v>580</v>
      </c>
      <c r="E7778" s="209">
        <v>179.86</v>
      </c>
      <c r="F7778" s="209">
        <v>7.2</v>
      </c>
      <c r="G7778" s="209">
        <v>187.06</v>
      </c>
      <c r="H7778" s="198"/>
    </row>
    <row r="7779" spans="1:8" ht="15.75" hidden="1" customHeight="1" x14ac:dyDescent="0.25">
      <c r="A7779" s="205" t="s">
        <v>8403</v>
      </c>
      <c r="B7779" s="206">
        <v>103008</v>
      </c>
      <c r="C7779" s="207" t="s">
        <v>8465</v>
      </c>
      <c r="D7779" s="208" t="s">
        <v>580</v>
      </c>
      <c r="E7779" s="209">
        <v>108.88</v>
      </c>
      <c r="F7779" s="209">
        <v>3.49</v>
      </c>
      <c r="G7779" s="209">
        <v>112.37</v>
      </c>
      <c r="H7779" s="198"/>
    </row>
    <row r="7780" spans="1:8" ht="15.75" hidden="1" customHeight="1" x14ac:dyDescent="0.25">
      <c r="A7780" s="205" t="s">
        <v>8403</v>
      </c>
      <c r="B7780" s="206">
        <v>99624</v>
      </c>
      <c r="C7780" s="207" t="s">
        <v>8466</v>
      </c>
      <c r="D7780" s="208" t="s">
        <v>580</v>
      </c>
      <c r="E7780" s="209">
        <v>601.82000000000005</v>
      </c>
      <c r="F7780" s="209">
        <v>22.08</v>
      </c>
      <c r="G7780" s="209">
        <v>623.9</v>
      </c>
      <c r="H7780" s="198"/>
    </row>
    <row r="7781" spans="1:8" ht="15.75" hidden="1" customHeight="1" x14ac:dyDescent="0.25">
      <c r="A7781" s="205" t="s">
        <v>8403</v>
      </c>
      <c r="B7781" s="206">
        <v>99623</v>
      </c>
      <c r="C7781" s="207" t="s">
        <v>8467</v>
      </c>
      <c r="D7781" s="208" t="s">
        <v>580</v>
      </c>
      <c r="E7781" s="209">
        <v>421.28</v>
      </c>
      <c r="F7781" s="209">
        <v>16.5</v>
      </c>
      <c r="G7781" s="209">
        <v>437.78</v>
      </c>
      <c r="H7781" s="198"/>
    </row>
    <row r="7782" spans="1:8" ht="15.75" hidden="1" customHeight="1" x14ac:dyDescent="0.25">
      <c r="A7782" s="205" t="s">
        <v>8403</v>
      </c>
      <c r="B7782" s="206">
        <v>99625</v>
      </c>
      <c r="C7782" s="207" t="s">
        <v>8468</v>
      </c>
      <c r="D7782" s="208" t="s">
        <v>580</v>
      </c>
      <c r="E7782" s="209">
        <v>830.06</v>
      </c>
      <c r="F7782" s="209">
        <v>27.7</v>
      </c>
      <c r="G7782" s="209">
        <v>857.76</v>
      </c>
      <c r="H7782" s="198"/>
    </row>
    <row r="7783" spans="1:8" ht="15.75" hidden="1" customHeight="1" x14ac:dyDescent="0.25">
      <c r="A7783" s="205" t="s">
        <v>8403</v>
      </c>
      <c r="B7783" s="206">
        <v>99619</v>
      </c>
      <c r="C7783" s="207" t="s">
        <v>8469</v>
      </c>
      <c r="D7783" s="208" t="s">
        <v>580</v>
      </c>
      <c r="E7783" s="209">
        <v>132.35</v>
      </c>
      <c r="F7783" s="209">
        <v>5.35</v>
      </c>
      <c r="G7783" s="209">
        <v>137.69999999999999</v>
      </c>
      <c r="H7783" s="198"/>
    </row>
    <row r="7784" spans="1:8" ht="15.75" hidden="1" customHeight="1" x14ac:dyDescent="0.25">
      <c r="A7784" s="205" t="s">
        <v>8403</v>
      </c>
      <c r="B7784" s="206">
        <v>99626</v>
      </c>
      <c r="C7784" s="207" t="s">
        <v>8470</v>
      </c>
      <c r="D7784" s="208" t="s">
        <v>580</v>
      </c>
      <c r="E7784" s="209">
        <v>1284.53</v>
      </c>
      <c r="F7784" s="209">
        <v>35.1</v>
      </c>
      <c r="G7784" s="209">
        <v>1319.63</v>
      </c>
      <c r="H7784" s="198"/>
    </row>
    <row r="7785" spans="1:8" ht="15.75" hidden="1" customHeight="1" x14ac:dyDescent="0.25">
      <c r="A7785" s="205" t="s">
        <v>8403</v>
      </c>
      <c r="B7785" s="206">
        <v>99631</v>
      </c>
      <c r="C7785" s="207" t="s">
        <v>8471</v>
      </c>
      <c r="D7785" s="208" t="s">
        <v>580</v>
      </c>
      <c r="E7785" s="209">
        <v>162.58000000000001</v>
      </c>
      <c r="F7785" s="209">
        <v>12.8</v>
      </c>
      <c r="G7785" s="209">
        <v>175.38</v>
      </c>
      <c r="H7785" s="198"/>
    </row>
    <row r="7786" spans="1:8" ht="15.75" hidden="1" customHeight="1" x14ac:dyDescent="0.25">
      <c r="A7786" s="205" t="s">
        <v>8403</v>
      </c>
      <c r="B7786" s="206">
        <v>99630</v>
      </c>
      <c r="C7786" s="207" t="s">
        <v>8472</v>
      </c>
      <c r="D7786" s="208" t="s">
        <v>580</v>
      </c>
      <c r="E7786" s="209">
        <v>140.66</v>
      </c>
      <c r="F7786" s="209">
        <v>9.82</v>
      </c>
      <c r="G7786" s="209">
        <v>150.47999999999999</v>
      </c>
      <c r="H7786" s="198"/>
    </row>
    <row r="7787" spans="1:8" ht="15.75" hidden="1" customHeight="1" x14ac:dyDescent="0.25">
      <c r="A7787" s="205" t="s">
        <v>8403</v>
      </c>
      <c r="B7787" s="206">
        <v>99629</v>
      </c>
      <c r="C7787" s="207" t="s">
        <v>8473</v>
      </c>
      <c r="D7787" s="208" t="s">
        <v>580</v>
      </c>
      <c r="E7787" s="209">
        <v>94.06</v>
      </c>
      <c r="F7787" s="209">
        <v>7.2</v>
      </c>
      <c r="G7787" s="209">
        <v>101.26</v>
      </c>
      <c r="H7787" s="198"/>
    </row>
    <row r="7788" spans="1:8" ht="15.75" hidden="1" customHeight="1" x14ac:dyDescent="0.25">
      <c r="A7788" s="205" t="s">
        <v>8403</v>
      </c>
      <c r="B7788" s="206">
        <v>99627</v>
      </c>
      <c r="C7788" s="207" t="s">
        <v>8474</v>
      </c>
      <c r="D7788" s="208" t="s">
        <v>580</v>
      </c>
      <c r="E7788" s="209">
        <v>79.64</v>
      </c>
      <c r="F7788" s="209">
        <v>3.49</v>
      </c>
      <c r="G7788" s="209">
        <v>83.13</v>
      </c>
      <c r="H7788" s="198"/>
    </row>
    <row r="7789" spans="1:8" ht="15.75" hidden="1" customHeight="1" x14ac:dyDescent="0.25">
      <c r="A7789" s="205" t="s">
        <v>8403</v>
      </c>
      <c r="B7789" s="206">
        <v>103009</v>
      </c>
      <c r="C7789" s="207" t="s">
        <v>8475</v>
      </c>
      <c r="D7789" s="208" t="s">
        <v>580</v>
      </c>
      <c r="E7789" s="209">
        <v>376.58</v>
      </c>
      <c r="F7789" s="209">
        <v>22.08</v>
      </c>
      <c r="G7789" s="209">
        <v>398.66</v>
      </c>
      <c r="H7789" s="198"/>
    </row>
    <row r="7790" spans="1:8" ht="15.75" hidden="1" customHeight="1" x14ac:dyDescent="0.25">
      <c r="A7790" s="205" t="s">
        <v>8403</v>
      </c>
      <c r="B7790" s="206">
        <v>99632</v>
      </c>
      <c r="C7790" s="207" t="s">
        <v>8476</v>
      </c>
      <c r="D7790" s="208" t="s">
        <v>580</v>
      </c>
      <c r="E7790" s="209">
        <v>236.07</v>
      </c>
      <c r="F7790" s="209">
        <v>16.510000000000002</v>
      </c>
      <c r="G7790" s="209">
        <v>252.58</v>
      </c>
      <c r="H7790" s="198"/>
    </row>
    <row r="7791" spans="1:8" ht="15.75" hidden="1" customHeight="1" x14ac:dyDescent="0.25">
      <c r="A7791" s="205" t="s">
        <v>8403</v>
      </c>
      <c r="B7791" s="206">
        <v>99633</v>
      </c>
      <c r="C7791" s="207" t="s">
        <v>8477</v>
      </c>
      <c r="D7791" s="208" t="s">
        <v>580</v>
      </c>
      <c r="E7791" s="209">
        <v>513.21</v>
      </c>
      <c r="F7791" s="209">
        <v>27.69</v>
      </c>
      <c r="G7791" s="209">
        <v>540.9</v>
      </c>
      <c r="H7791" s="198"/>
    </row>
    <row r="7792" spans="1:8" ht="15.75" hidden="1" customHeight="1" x14ac:dyDescent="0.25">
      <c r="A7792" s="205" t="s">
        <v>8403</v>
      </c>
      <c r="B7792" s="206">
        <v>99628</v>
      </c>
      <c r="C7792" s="207" t="s">
        <v>8478</v>
      </c>
      <c r="D7792" s="208" t="s">
        <v>580</v>
      </c>
      <c r="E7792" s="209">
        <v>85.61</v>
      </c>
      <c r="F7792" s="209">
        <v>5.34</v>
      </c>
      <c r="G7792" s="209">
        <v>90.95</v>
      </c>
      <c r="H7792" s="198"/>
    </row>
    <row r="7793" spans="1:8" ht="15.75" hidden="1" customHeight="1" x14ac:dyDescent="0.25">
      <c r="A7793" s="205" t="s">
        <v>8403</v>
      </c>
      <c r="B7793" s="206">
        <v>99634</v>
      </c>
      <c r="C7793" s="207" t="s">
        <v>8479</v>
      </c>
      <c r="D7793" s="208" t="s">
        <v>580</v>
      </c>
      <c r="E7793" s="209">
        <v>885.87</v>
      </c>
      <c r="F7793" s="209">
        <v>35.08</v>
      </c>
      <c r="G7793" s="209">
        <v>920.95</v>
      </c>
      <c r="H7793" s="198"/>
    </row>
    <row r="7794" spans="1:8" ht="15.75" hidden="1" customHeight="1" x14ac:dyDescent="0.25">
      <c r="A7794" s="205" t="s">
        <v>8403</v>
      </c>
      <c r="B7794" s="206">
        <v>103013</v>
      </c>
      <c r="C7794" s="207" t="s">
        <v>8480</v>
      </c>
      <c r="D7794" s="208" t="s">
        <v>580</v>
      </c>
      <c r="E7794" s="209">
        <v>155.09</v>
      </c>
      <c r="F7794" s="209">
        <v>6.39</v>
      </c>
      <c r="G7794" s="209">
        <v>161.47999999999999</v>
      </c>
      <c r="H7794" s="198"/>
    </row>
    <row r="7795" spans="1:8" ht="15.75" hidden="1" customHeight="1" x14ac:dyDescent="0.25">
      <c r="A7795" s="205" t="s">
        <v>8403</v>
      </c>
      <c r="B7795" s="206">
        <v>103012</v>
      </c>
      <c r="C7795" s="207" t="s">
        <v>8481</v>
      </c>
      <c r="D7795" s="208" t="s">
        <v>580</v>
      </c>
      <c r="E7795" s="209">
        <v>144.94</v>
      </c>
      <c r="F7795" s="209">
        <v>4.91</v>
      </c>
      <c r="G7795" s="209">
        <v>149.85</v>
      </c>
      <c r="H7795" s="198"/>
    </row>
    <row r="7796" spans="1:8" ht="15.75" hidden="1" customHeight="1" x14ac:dyDescent="0.25">
      <c r="A7796" s="205" t="s">
        <v>8403</v>
      </c>
      <c r="B7796" s="206">
        <v>103011</v>
      </c>
      <c r="C7796" s="207" t="s">
        <v>8482</v>
      </c>
      <c r="D7796" s="208" t="s">
        <v>580</v>
      </c>
      <c r="E7796" s="209">
        <v>91.51</v>
      </c>
      <c r="F7796" s="209">
        <v>3.6</v>
      </c>
      <c r="G7796" s="209">
        <v>95.11</v>
      </c>
      <c r="H7796" s="198"/>
    </row>
    <row r="7797" spans="1:8" ht="15.75" hidden="1" customHeight="1" x14ac:dyDescent="0.25">
      <c r="A7797" s="205" t="s">
        <v>8403</v>
      </c>
      <c r="B7797" s="206">
        <v>103015</v>
      </c>
      <c r="C7797" s="207" t="s">
        <v>8483</v>
      </c>
      <c r="D7797" s="208" t="s">
        <v>580</v>
      </c>
      <c r="E7797" s="209">
        <v>417.41</v>
      </c>
      <c r="F7797" s="209">
        <v>11.05</v>
      </c>
      <c r="G7797" s="209">
        <v>428.46</v>
      </c>
      <c r="H7797" s="198"/>
    </row>
    <row r="7798" spans="1:8" ht="15.75" hidden="1" customHeight="1" x14ac:dyDescent="0.25">
      <c r="A7798" s="205" t="s">
        <v>8403</v>
      </c>
      <c r="B7798" s="206">
        <v>103014</v>
      </c>
      <c r="C7798" s="207" t="s">
        <v>8484</v>
      </c>
      <c r="D7798" s="208" t="s">
        <v>580</v>
      </c>
      <c r="E7798" s="209">
        <v>234.39</v>
      </c>
      <c r="F7798" s="209">
        <v>8.24</v>
      </c>
      <c r="G7798" s="209">
        <v>242.63</v>
      </c>
      <c r="H7798" s="198"/>
    </row>
    <row r="7799" spans="1:8" ht="15.75" hidden="1" customHeight="1" x14ac:dyDescent="0.25">
      <c r="A7799" s="205" t="s">
        <v>8403</v>
      </c>
      <c r="B7799" s="206">
        <v>103016</v>
      </c>
      <c r="C7799" s="207" t="s">
        <v>8485</v>
      </c>
      <c r="D7799" s="208" t="s">
        <v>580</v>
      </c>
      <c r="E7799" s="209">
        <v>571.73</v>
      </c>
      <c r="F7799" s="209">
        <v>13.81</v>
      </c>
      <c r="G7799" s="209">
        <v>585.54</v>
      </c>
      <c r="H7799" s="198"/>
    </row>
    <row r="7800" spans="1:8" ht="15.75" hidden="1" customHeight="1" x14ac:dyDescent="0.25">
      <c r="A7800" s="205" t="s">
        <v>8403</v>
      </c>
      <c r="B7800" s="206">
        <v>103010</v>
      </c>
      <c r="C7800" s="207" t="s">
        <v>8486</v>
      </c>
      <c r="D7800" s="208" t="s">
        <v>580</v>
      </c>
      <c r="E7800" s="209">
        <v>82.55</v>
      </c>
      <c r="F7800" s="209">
        <v>2.66</v>
      </c>
      <c r="G7800" s="209">
        <v>85.21</v>
      </c>
      <c r="H7800" s="198"/>
    </row>
    <row r="7801" spans="1:8" ht="15.75" hidden="1" customHeight="1" x14ac:dyDescent="0.25">
      <c r="A7801" s="205" t="s">
        <v>8403</v>
      </c>
      <c r="B7801" s="206">
        <v>103017</v>
      </c>
      <c r="C7801" s="207" t="s">
        <v>8487</v>
      </c>
      <c r="D7801" s="208" t="s">
        <v>580</v>
      </c>
      <c r="E7801" s="209">
        <v>1003.56</v>
      </c>
      <c r="F7801" s="209">
        <v>17.559999999999999</v>
      </c>
      <c r="G7801" s="209">
        <v>1021.12</v>
      </c>
      <c r="H7801" s="198"/>
    </row>
  </sheetData>
  <autoFilter ref="A4:G7801" xr:uid="{00000000-0009-0000-0000-000004000000}">
    <filterColumn colId="2">
      <filters>
        <filter val="CABO DE COBRE FLEXÍVEL ISOLADO, 120 MM², ANTI-CHAMA 0,6/1,0 KV, PARA REDE ENTERRADA DE DISTRIBUIÇÃO DE ENERGIA ELÉTRICA - FORNECIMENTO E INSTALAÇÃO. AF_12/2021"/>
        <filter val="CABO DE COBRE FLEXÍVEL ISOLADO, 150 MM², ANTI-CHAMA 0,6/1,0 KV, PARA REDE ENTERRADA DE DISTRIBUIÇÃO DE ENERGIA ELÉTRICA - FORNECIMENTO E INSTALAÇÃO. AF_12/2021"/>
        <filter val="CABO DE COBRE FLEXÍVEL ISOLADO, 185 MM², ANTI-CHAMA 0,6/1,0 KV, PARA REDE ENTERRADA DE DISTRIBUIÇÃO DE ENERGIA ELÉTRICA - FORNECIMENTO E INSTALAÇÃO. AF_12/2021"/>
        <filter val="CABO DE COBRE FLEXÍVEL ISOLADO, 240 MM², ANTI-CHAMA 0,6/1,0 KV, PARA REDE ENTERRADA DE DISTRIBUIÇÃO DE ENERGIA ELÉTRICA - FORNECIMENTO E INSTALAÇÃO. AF_12/2021"/>
        <filter val="CABO DE COBRE FLEXÍVEL ISOLADO, 25 MM², ANTI-CHAMA 0,6/1,0 KV, PARA REDE ENTERRADA DE DISTRIBUIÇÃO DE ENERGIA ELÉTRICA - FORNECIMENTO E INSTALAÇÃO. AF_12/2021"/>
        <filter val="CABO DE COBRE FLEXÍVEL ISOLADO, 300 MM², ANTI-CHAMA 0,6/1,0 KV, PARA REDE ENTERRADA DE DISTRIBUIÇÃO DE ENERGIA ELÉTRICA - FORNECIMENTO E INSTALAÇÃO. AF_12/2021"/>
        <filter val="CABO DE COBRE FLEXÍVEL ISOLADO, 35 MM², ANTI-CHAMA 0,6/1,0 KV, PARA REDE ENTERRADA DE DISTRIBUIÇÃO DE ENERGIA ELÉTRICA - FORNECIMENTO E INSTALAÇÃO. AF_12/2021"/>
        <filter val="CABO DE COBRE FLEXÍVEL ISOLADO, 50 MM², ANTI-CHAMA 0,6/1,0 KV, PARA REDE ENTERRADA DE DISTRIBUIÇÃO DE ENERGIA ELÉTRICA - FORNECIMENTO E INSTALAÇÃO. AF_12/2021"/>
        <filter val="CABO DE COBRE FLEXÍVEL ISOLADO, 70 MM², ANTI-CHAMA 0,6/1,0 KV, PARA REDE ENTERRADA DE DISTRIBUIÇÃO DE ENERGIA ELÉTRICA - FORNECIMENTO E INSTALAÇÃO. AF_12/2021"/>
        <filter val="CABO DE COBRE FLEXÍVEL ISOLADO, 95 MM², ANTI-CHAMA 0,6/1,0 KV, PARA REDE ENTERRADA DE DISTRIBUIÇÃO DE ENERGIA ELÉTRICA - FORNECIMENTO E INSTALAÇÃO. AF_12/2021"/>
        <filter val="CAIXA ENTERRADA DISTRIBUIDORA DE VAZÃO (SUMIDOUROS MÚLTIPLOS), RETANGULAR, EM ALVENARIA COM BLOCOS DE CONCRETO, DIMENSÕES INTERNAS: 0,60 X 0,60 X H=0,50 M. AF_12/2020"/>
        <filter val="CAIXA ENTERRADA DISTRIBUIDORA DE VAZÃO (SUMIDOUROS MÚLTIPLOS), RETANGULAR, EM ALVENARIA COM TIJOLOS MACIÇOS, DIMENSÕES INTERNAS: 0,60 X 0,60 X H=0,50 M. AF_12/2020"/>
        <filter val="CAIXA ENTERRADA DISTRIBUIDORA DE VAZÃO (SUMIDOUROS MÚLTIPLOS), RETANGULAR, EM CONCRETO PRÉ-MOLDADO, DIMENSÕES INTERNAS: 0,60 X 0,60 X H=0,50 M. AF_12/2020"/>
        <filter val="CAIXA ENTERRADA ELÉTRICA RETANGULAR, EM ALVENARIA COM BLOCOS DE CONCRETO, FUNDO COM BRITA, DIMENSÕES INTERNAS: 0,4X0,4X0,4 M. AF_12/2020"/>
        <filter val="CAIXA ENTERRADA ELÉTRICA RETANGULAR, EM ALVENARIA COM BLOCOS DE CONCRETO, FUNDO COM BRITA, DIMENSÕES INTERNAS: 0,6X0,6X0,6 M. AF_12/2020"/>
        <filter val="CAIXA ENTERRADA ELÉTRICA RETANGULAR, EM ALVENARIA COM BLOCOS DE CONCRETO, FUNDO COM BRITA, DIMENSÕES INTERNAS: 0,8X0,8X0,6 M. AF_12/2020"/>
        <filter val="CAIXA ENTERRADA ELÉTRICA RETANGULAR, EM ALVENARIA COM BLOCOS DE CONCRETO, FUNDO COM BRITA, DIMENSÕES INTERNAS: 1X1X0,6 M. AF_12/2020"/>
        <filter val="CAIXA ENTERRADA ELÉTRICA RETANGULAR, EM ALVENARIA COM TIJOLOS CERÂMICOS MACIÇOS, FUNDO COM BRITA, DIMENSÕES INTERNAS: 0,3X0,3X0,3 M. AF_12/2020"/>
        <filter val="CAIXA ENTERRADA ELÉTRICA RETANGULAR, EM ALVENARIA COM TIJOLOS CERÂMICOS MACIÇOS, FUNDO COM BRITA, DIMENSÕES INTERNAS: 0,4X0,4X0,4 M. AF_12/2020"/>
        <filter val="CAIXA ENTERRADA ELÉTRICA RETANGULAR, EM ALVENARIA COM TIJOLOS CERÂMICOS MACIÇOS, FUNDO COM BRITA, DIMENSÕES INTERNAS: 0,6X0,6X0,6 M. AF_12/2020"/>
        <filter val="CAIXA ENTERRADA ELÉTRICA RETANGULAR, EM ALVENARIA COM TIJOLOS CERÂMICOS MACIÇOS, FUNDO COM BRITA, DIMENSÕES INTERNAS: 0,8X0,8X0,6 M. AF_12/2020"/>
        <filter val="CAIXA ENTERRADA ELÉTRICA RETANGULAR, EM ALVENARIA COM TIJOLOS CERÂMICOS MACIÇOS, FUNDO COM BRITA, DIMENSÕES INTERNAS: 1X1X0,6 M. AF_12/2020"/>
        <filter val="CAIXA ENTERRADA ELÉTRICA RETANGULAR, EM CONCRETO PRÉ-MOLDADO, FUNDO COM BRITA, DIMENSÕES INTERNAS: 0,3X0,3X0,3 M. AF_12/2020"/>
        <filter val="CAIXA ENTERRADA ELÉTRICA RETANGULAR, EM CONCRETO PRÉ-MOLDADO, FUNDO COM BRITA, DIMENSÕES INTERNAS: 0,4X0,4X0,4 M. AF_12/2020"/>
        <filter val="CAIXA ENTERRADA ELÉTRICA RETANGULAR, EM CONCRETO PRÉ-MOLDADO, FUNDO COM BRITA, DIMENSÕES INTERNAS: 0,6X0,6X0,5 M. AF_12/2020"/>
        <filter val="CAIXA ENTERRADA ELÉTRICA RETANGULAR, EM CONCRETO PRÉ-MOLDADO, FUNDO COM BRITA, DIMENSÕES INTERNAS: 0,8X0,8X0,5 M. AF_12/2020"/>
        <filter val="CAIXA ENTERRADA ELÉTRICA RETANGULAR, EM CONCRETO PRÉ-MOLDADO, FUNDO COM BRITA, DIMENSÕES INTERNAS: 1X1X0,5 M. AF_12/2020"/>
        <filter val="CAIXA ENTERRADA HIDRÁULICA RETANGULAR EM ALVENARIA COM TIJOLOS CERÂMICOS MACIÇOS, DIMENSÕES INTERNAS: 0,3X0,3X0,3 M PARA REDE DE DRENAGEM. AF_12/2020"/>
        <filter val="CAIXA ENTERRADA HIDRÁULICA RETANGULAR EM ALVENARIA COM TIJOLOS CERÂMICOS MACIÇOS, DIMENSÕES INTERNAS: 0,3X0,3X0,3 M PARA REDE DE ESGOTO. AF_12/2020"/>
        <filter val="CAIXA ENTERRADA HIDRÁULICA RETANGULAR EM ALVENARIA COM TIJOLOS CERÂMICOS MACIÇOS, DIMENSÕES INTERNAS: 0,4X0,4X0,4 M PARA REDE DE DRENAGEM. AF_12/2020"/>
        <filter val="CAIXA ENTERRADA HIDRÁULICA RETANGULAR EM ALVENARIA COM TIJOLOS CERÂMICOS MACIÇOS, DIMENSÕES INTERNAS: 0,4X0,4X0,4 M PARA REDE DE ESGOTO. AF_12/2020"/>
        <filter val="CAIXA ENTERRADA HIDRÁULICA RETANGULAR EM ALVENARIA COM TIJOLOS CERÂMICOS MACIÇOS, DIMENSÕES INTERNAS: 0,6X0,6X0,6 M PARA REDE DE DRENAGEM. AF_12/2020"/>
        <filter val="CAIXA ENTERRADA HIDRÁULICA RETANGULAR EM ALVENARIA COM TIJOLOS CERÂMICOS MACIÇOS, DIMENSÕES INTERNAS: 0,6X0,6X0,6 M PARA REDE DE ESGOTO. AF_12/2020"/>
        <filter val="CAIXA ENTERRADA HIDRÁULICA RETANGULAR EM ALVENARIA COM TIJOLOS CERÂMICOS MACIÇOS, DIMENSÕES INTERNAS: 0,8X0,8X0,6 M PARA REDE DE DRENAGEM. AF_12/2020"/>
        <filter val="CAIXA ENTERRADA HIDRÁULICA RETANGULAR EM ALVENARIA COM TIJOLOS CERÂMICOS MACIÇOS, DIMENSÕES INTERNAS: 0,8X0,8X0,6 M PARA REDE DE ESGOTO. AF_12/2020"/>
        <filter val="CAIXA ENTERRADA HIDRÁULICA RETANGULAR EM ALVENARIA COM TIJOLOS CERÂMICOS MACIÇOS, DIMENSÕES INTERNAS: 1X1X0,6 M PARA REDE DE DRENAGEM. AF_12/2020"/>
        <filter val="CAIXA ENTERRADA HIDRÁULICA RETANGULAR EM ALVENARIA COM TIJOLOS CERÂMICOS MACIÇOS, DIMENSÕES INTERNAS: 1X1X0,6 M PARA REDE DE ESGOTO. AF_12/2020"/>
        <filter val="CAIXA ENTERRADA HIDRÁULICA RETANGULAR, EM ALVENARIA COM BLOCOS DE CONCRETO, DIMENSÕES INTERNAS: 0,4X0,4X0,4 M PARA REDE DE DRENAGEM. AF_12/2020"/>
        <filter val="CAIXA ENTERRADA HIDRÁULICA RETANGULAR, EM ALVENARIA COM BLOCOS DE CONCRETO, DIMENSÕES INTERNAS: 0,4X0,4X0,4 M PARA REDE DE ESGOTO. AF_12/2020"/>
        <filter val="CAIXA ENTERRADA HIDRÁULICA RETANGULAR, EM ALVENARIA COM BLOCOS DE CONCRETO, DIMENSÕES INTERNAS: 0,6X0,6X0,6 M PARA REDE DE DRENAGEM. AF_12/2020"/>
        <filter val="CAIXA ENTERRADA HIDRÁULICA RETANGULAR, EM ALVENARIA COM BLOCOS DE CONCRETO, DIMENSÕES INTERNAS: 0,6X0,6X0,6 M PARA REDE DE ESGOTO. AF_12/2020"/>
        <filter val="CAIXA ENTERRADA HIDRÁULICA RETANGULAR, EM ALVENARIA COM BLOCOS DE CONCRETO, DIMENSÕES INTERNAS: 0,8X0,8X0,6 M PARA REDE DE DRENAGEM. AF_12/2020"/>
        <filter val="CAIXA ENTERRADA HIDRÁULICA RETANGULAR, EM ALVENARIA COM BLOCOS DE CONCRETO, DIMENSÕES INTERNAS: 0,8X0,8X0,6 M PARA REDE DE ESGOTO. AF_12/2020"/>
        <filter val="CAIXA ENTERRADA HIDRÁULICA RETANGULAR, EM ALVENARIA COM BLOCOS DE CONCRETO, DIMENSÕES INTERNAS: 1X1X0,6 M PARA REDE DE DRENAGEM. AF_12/2020"/>
        <filter val="CAIXA ENTERRADA HIDRÁULICA RETANGULAR, EM ALVENARIA COM BLOCOS DE CONCRETO, DIMENSÕES INTERNAS: 1X1X0,6 M PARA REDE DE ESGOTO. AF_12/2020"/>
        <filter val="CAIXA ENTERRADA HIDRÁULICA RETANGULAR, EM CONCRETO PRÉ-MOLDADO, DIMENSÕES INTERNAS: 0,3X0,3X0,3 M. AF_12/2020"/>
        <filter val="CAIXA ENTERRADA HIDRÁULICA RETANGULAR, EM CONCRETO PRÉ-MOLDADO, DIMENSÕES INTERNAS: 0,4X0,4X0,4 M. AF_12/2020"/>
        <filter val="CAIXA ENTERRADA HIDRÁULICA RETANGULAR, EM CONCRETO PRÉ-MOLDADO, DIMENSÕES INTERNAS: 0,6X0,6X0,5 M. AF_12/2020"/>
        <filter val="CAIXA ENTERRADA HIDRÁULICA RETANGULAR, EM CONCRETO PRÉ-MOLDADO, DIMENSÕES INTERNAS: 0,8X0,8X0,5 M. AF_12/2020"/>
        <filter val="CAIXA ENTERRADA PARA INSTALAÇÕES TELEFÔNICAS TIPO R1, EM ALVENARIA COM BLOCOS DE CONCRETO, DIMENSÕES INTERNAS: 0,35X0,60X0,60 M, EXCLUINDO TAMPÃO. AF_12/2020"/>
        <filter val="CAIXA ENTERRADA RETENTORA DE AREIA RETANGULAR, EM ALVENARIA COM BLOCOS DE CONCRETO, DIMENSÕES INTERNAS: 1,00 X 1,00 X 1,20 M, EXCLUINDO TAMPÃO. AF_12/2020"/>
        <filter val="CAIXA ENTERRADA SEPARADORA DE ÓLEO RETANGULAR, EM ALVENARIA COM BLOCOS DE CONCRETO, DIMENSÕES INTERNAS: 0,6 X 0,6 X 1,00 M, EXCLUINDO TAMPÃO. AF_12/2020"/>
        <filter val="CAIXA ENTERRADA SEPARADORA DE ÓLEO RETANGULAR, EM ALVENARIA COM BLOCOS DE CONCRETO, DIMENSÕES INTERNAS: 0,8 X 0,8 X 1,00 M, EXCLUINDO TAMPÃO. AF_12/2020"/>
        <filter val="CAIXA ENTERRADA SEPARADORA DE ÓLEO RETANGULAR, EM ALVENARIA COM BLOCOS DE CONCRETO, DIMENSÕES INTERNAS: 1,00 X 1,00 X 1,00 M, EXCLUINDO TAMPÃO. AF_12/2020"/>
        <filter val="CONCRETAGEM COMO PROTEÇÃO MECÂNICA ADICIONAL NO REATERRO PARA REDE ENTERRADA DE DISTRIBUIÇÃO DE ENERGIA ELÉTRICA - FORNECIMENTO E INSTALAÇÃO. AF_12/2021"/>
        <filter val="CORDOALHA DE COBRE NU 35 MM², NÃO ENTERRADA, COM ISOLADOR - FORNECIMENTO E INSTALAÇÃO. AF_08/2023"/>
        <filter val="CORDOALHA DE COBRE NU 50 MM², ENTERRADA - FORNECIMENTO E INSTALAÇÃO. AF_08/2023"/>
        <filter val="CORDOALHA DE COBRE NU 50 MM², NÃO ENTERRADA, COM ISOLADOR - FORNECIMENTO E INSTALAÇÃO. AF_08/2023"/>
        <filter val="CORDOALHA DE COBRE NU 70 MM², ENTERRADA - FORNECIMENTO E INSTALAÇÃO. AF_08/2023"/>
        <filter val="CORDOALHA DE COBRE NU 70 MM², NÃO ENTERRADA, COM ISOLADOR - FORNECIMENTO E INSTALAÇÃO. AF_08/2023"/>
        <filter val="CORDOALHA DE COBRE NU 95 MM², ENTERRADA - FORNECIMENTO E INSTALAÇÃO. AF_08/2023"/>
        <filter val="CORDOALHA DE COBRE NU 95 MM², NÃO ENTERRADA, COM ISOLADOR - FORNECIMENTO E INSTALAÇÃO. AF_08/2023"/>
        <filter val="CURVA 90 GRAUS PARA ELETRODUTO, PVC, ROSCÁVEL, DN 110 MM (4&quot;), PARA REDE ENTERRADA DE DISTRIBUIÇÃO DE ENERGIA ELÉTRICA - FORNECIMENTO E INSTALAÇÃO. AF_12/2021"/>
        <filter val="CURVA 90 GRAUS PARA ELETRODUTO, PVC, ROSCÁVEL, DN 50 MM (1 1/2&quot;), PARA REDE ENTERRADA DE DISTRIBUIÇÃO DE ENERGIA ELÉTRICA - FORNECIMENTO E INSTALAÇÃO. AF_12/2021"/>
        <filter val="CURVA 90 GRAUS PARA ELETRODUTO, PVC, ROSCÁVEL, DN 60 MM (2&quot;), PARA REDE ENTERRADA DE DISTRIBUIÇÃO DE ENERGIA ELÉTRICA - FORNECIMENTO E INSTALAÇÃO. AF_12/2021"/>
        <filter val="CURVA 90 GRAUS PARA ELETRODUTO, PVC, ROSCÁVEL, DN 75 MM (2 1/2&quot;), PARA REDE ENTERRADA DE DISTRIBUIÇÃO DE ENERGIA ELÉTRICA - FORNECIMENTO E INSTALAÇÃO. AF_12/2021"/>
        <filter val="CURVA 90 GRAUS PARA ELETRODUTO, PVC, ROSCÁVEL, DN 85 MM (3&quot;), PARA REDE ENTERRADA DE DISTRIBUIÇÃO DE ENERGIA ELÉTRICA - FORNECIMENTO E INSTALAÇÃO. AF_12/2021"/>
        <filter val="ELETRODUTO FLEXÍVEL CORRUGADO, PEAD, DN 100 (4&quot;), PARA REDE ENTERRADA DE DISTRIBUIÇÃO DE ENERGIA ELÉTRICA - FORNECIMENTO E INSTALAÇÃO. AF_12/2021"/>
        <filter val="ELETRODUTO FLEXÍVEL CORRUGADO, PEAD, DN 50 (1 1/2&quot;), PARA REDE ENTERRADA DE DISTRIBUIÇÃO DE ENERGIA ELÉTRICA - FORNECIMENTO E INSTALAÇÃO. AF_12/2021"/>
        <filter val="ELETRODUTO FLEXÍVEL CORRUGADO, PEAD, DN 63 (2&quot;), PARA REDE ENTERRADA DE DISTRIBUIÇÃO DE ENERGIA ELÉTRICA - FORNECIMENTO E INSTALAÇÃO. AF_12/2021"/>
        <filter val="ELETRODUTO FLEXÍVEL CORRUGADO, PEAD, DN 90 (3&quot;), PARA REDE ENTERRADA DE DISTRIBUIÇÃO DE ENERGIA ELÉTRICA - FORNECIMENTO E INSTALAÇÃO. AF_12/2021"/>
        <filter val="ELETRODUTO RÍGIDO ROSCÁVEL, PVC, DN 110 MM (4&quot;), PARA REDE ENTERRADA DE DISTRIBUIÇÃO DE ENERGIA ELÉTRICA - FORNECIMENTO E INSTALAÇÃO. AF_12/2021"/>
        <filter val="ELETRODUTO RÍGIDO ROSCÁVEL, PVC, DN 50 MM (1 1/2&quot;), PARA REDE ENTERRADA DE DISTRIBUIÇÃO DE ENERGIA ELÉTRICA - FORNECIMENTO E INSTALAÇÃO. AF_12/2021"/>
        <filter val="ELETRODUTO RÍGIDO ROSCÁVEL, PVC, DN 60 MM (2&quot;), PARA REDE ENTERRADA DE DISTRIBUIÇÃO DE ENERGIA ELÉTRICA - FORNECIMENTO E INSTALAÇÃO. AF_12/2021"/>
        <filter val="ELETRODUTO RÍGIDO ROSCÁVEL, PVC, DN 75 MM (2 1/2&quot;), PARA REDE ENTERRADA DE DISTRIBUIÇÃO DE ENERGIA ELÉTRICA - FORNECIMENTO E INSTALAÇÃO. AF_12/2021"/>
        <filter val="ELETRODUTO RÍGIDO ROSCÁVEL, PVC, DN 85 MM (3&quot;), PARA REDE ENTERRADA DE DISTRIBUIÇÃO DE ENERGIA ELÉTRICA - FORNECIMENTO E INSTALAÇÃO. AF_12/2021"/>
        <filter val="LUVA PARA ELETRODUTO, PVC, ROSCÁVEL, DN 110 MM (4&quot;), PARA REDE ENTERRADA DE DISTRIBUIÇÃO DE ENERGIA ELÉTRICA - FORNECIMENTO E INSTALAÇÃO. AF_12/2021"/>
        <filter val="LUVA PARA ELETRODUTO, PVC, ROSCÁVEL, DN 50 MM (1 1/2&quot;), PARA REDE ENTERRADA DE DISTRIBUIÇÃO DE ENERGIA ELÉTRICA - FORNECIMENTO E INSTALAÇÃO. AF_12/2021"/>
        <filter val="LUVA PARA ELETRODUTO, PVC, ROSCÁVEL, DN 60 MM (2&quot;), PARA REDE ENTERRADA DE DISTRIBUIÇÃO DE ENERGIA ELÉTRICA - FORNECIMENTO E INSTALAÇÃO. AF_12/2021"/>
        <filter val="LUVA PARA ELETRODUTO, PVC, ROSCÁVEL, DN 75 MM (2 1/2&quot;), PARA REDE ENTERRADA DE DISTRIBUIÇÃO DE ENERGIA ELÉTRICA - FORNECIMENTO E INSTALAÇÃO. AF_12/2021"/>
        <filter val="LUVA PARA ELETRODUTO, PVC, ROSCÁVEL, DN 85 MM (3&quot;), PARA REDE ENTERRADA DE DISTRIBUIÇÃO DE ENERGIA ELÉTRICA - FORNECIMENTO E INSTALAÇÃO. AF_12/2021"/>
        <filter val="PLACA DE CONCRETO PRÉ-MOLDADO COMO PROTEÇÃO MECÂNICA ADICIONAL NO REATERRO PARA REDE ENTERRADA DE DISTRIBUIÇÃO DE ENERGIA ELÉTRICA - FORNECIMENTO E INSTALAÇÃO. AF_12/2021"/>
      </filters>
    </filterColumn>
  </autoFilter>
  <mergeCells count="5">
    <mergeCell ref="A2:A3"/>
    <mergeCell ref="B2:B3"/>
    <mergeCell ref="C2:C3"/>
    <mergeCell ref="D2:D3"/>
    <mergeCell ref="E2:G2"/>
  </mergeCells>
  <printOptions horizontalCentered="1" gridLines="1"/>
  <pageMargins left="0.98402777777777795" right="0.39374999999999999" top="0.78749999999999998" bottom="0.78749999999999998" header="0.511811023622047" footer="0"/>
  <pageSetup paperSize="9" scale="51" orientation="portrait" horizontalDpi="300" verticalDpi="300" r:id="rId1"/>
  <headerFooter>
    <oddFooter>&amp;CPágina &amp;P</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Z3382"/>
  <sheetViews>
    <sheetView view="pageBreakPreview" zoomScale="62" zoomScaleNormal="100" zoomScalePageLayoutView="62" workbookViewId="0">
      <pane ySplit="2" topLeftCell="A3" activePane="bottomLeft" state="frozen"/>
      <selection pane="bottomLeft" activeCell="B4" sqref="B4"/>
    </sheetView>
  </sheetViews>
  <sheetFormatPr defaultColWidth="14.42578125" defaultRowHeight="15" x14ac:dyDescent="0.25"/>
  <cols>
    <col min="1" max="1" width="10.7109375" customWidth="1"/>
    <col min="2" max="2" width="86.85546875" customWidth="1"/>
    <col min="3" max="3" width="9.140625" customWidth="1"/>
    <col min="4" max="4" width="11.85546875" customWidth="1"/>
    <col min="5" max="26" width="8.7109375" customWidth="1"/>
  </cols>
  <sheetData>
    <row r="1" spans="1:26" ht="60.75" customHeight="1" x14ac:dyDescent="0.25">
      <c r="A1" s="210"/>
      <c r="B1" s="193" t="s">
        <v>8488</v>
      </c>
      <c r="C1" s="194"/>
      <c r="D1" s="193"/>
      <c r="E1" s="196"/>
      <c r="F1" s="196"/>
      <c r="G1" s="196"/>
      <c r="H1" s="196"/>
      <c r="I1" s="196"/>
      <c r="J1" s="196"/>
      <c r="K1" s="196"/>
      <c r="L1" s="196"/>
      <c r="M1" s="196"/>
      <c r="N1" s="196"/>
      <c r="O1" s="196"/>
      <c r="P1" s="196"/>
      <c r="Q1" s="196"/>
      <c r="R1" s="196"/>
      <c r="S1" s="196"/>
      <c r="T1" s="196"/>
      <c r="U1" s="196"/>
      <c r="V1" s="196"/>
      <c r="W1" s="196"/>
      <c r="X1" s="196"/>
      <c r="Y1" s="196"/>
      <c r="Z1" s="196"/>
    </row>
    <row r="2" spans="1:26" ht="30" x14ac:dyDescent="0.25">
      <c r="A2" s="211" t="s">
        <v>572</v>
      </c>
      <c r="B2" s="197" t="s">
        <v>8489</v>
      </c>
      <c r="C2" s="197" t="s">
        <v>574</v>
      </c>
      <c r="D2" s="197" t="s">
        <v>8490</v>
      </c>
      <c r="E2" s="212"/>
      <c r="F2" s="212"/>
      <c r="G2" s="212"/>
      <c r="H2" s="212"/>
      <c r="I2" s="212"/>
      <c r="J2" s="212"/>
      <c r="K2" s="212"/>
      <c r="L2" s="212"/>
      <c r="M2" s="212"/>
      <c r="N2" s="212"/>
      <c r="O2" s="212"/>
      <c r="P2" s="212"/>
      <c r="Q2" s="212"/>
      <c r="R2" s="212"/>
      <c r="S2" s="212"/>
      <c r="T2" s="212"/>
      <c r="U2" s="212"/>
      <c r="V2" s="212"/>
      <c r="W2" s="212"/>
      <c r="X2" s="212"/>
      <c r="Y2" s="212"/>
      <c r="Z2" s="212"/>
    </row>
    <row r="3" spans="1:26" hidden="1" x14ac:dyDescent="0.25">
      <c r="A3" s="213">
        <v>11270</v>
      </c>
      <c r="B3" s="214" t="s">
        <v>8491</v>
      </c>
      <c r="C3" s="215" t="s">
        <v>580</v>
      </c>
      <c r="D3" s="216">
        <v>2.34</v>
      </c>
      <c r="E3" s="198"/>
      <c r="F3" s="198"/>
      <c r="G3" s="198"/>
      <c r="H3" s="198"/>
      <c r="I3" s="198"/>
      <c r="J3" s="198"/>
      <c r="K3" s="198"/>
      <c r="L3" s="198"/>
      <c r="M3" s="198"/>
      <c r="N3" s="198"/>
      <c r="O3" s="198"/>
      <c r="P3" s="198"/>
      <c r="Q3" s="198"/>
      <c r="R3" s="198"/>
      <c r="S3" s="198"/>
      <c r="T3" s="198"/>
      <c r="U3" s="198"/>
      <c r="V3" s="198"/>
      <c r="W3" s="198"/>
      <c r="X3" s="198"/>
      <c r="Y3" s="198"/>
      <c r="Z3" s="198"/>
    </row>
    <row r="4" spans="1:26" hidden="1" x14ac:dyDescent="0.25">
      <c r="A4" s="213">
        <v>412</v>
      </c>
      <c r="B4" s="214" t="s">
        <v>8492</v>
      </c>
      <c r="C4" s="215" t="s">
        <v>580</v>
      </c>
      <c r="D4" s="216">
        <v>1.02</v>
      </c>
      <c r="E4" s="198"/>
      <c r="F4" s="198"/>
      <c r="G4" s="198"/>
      <c r="H4" s="198"/>
      <c r="I4" s="198"/>
      <c r="J4" s="198"/>
      <c r="K4" s="198"/>
      <c r="L4" s="198"/>
      <c r="M4" s="198"/>
      <c r="N4" s="198"/>
      <c r="O4" s="198"/>
      <c r="P4" s="198"/>
      <c r="Q4" s="198"/>
      <c r="R4" s="198"/>
      <c r="S4" s="198"/>
      <c r="T4" s="198"/>
      <c r="U4" s="198"/>
      <c r="V4" s="198"/>
      <c r="W4" s="198"/>
      <c r="X4" s="198"/>
      <c r="Y4" s="198"/>
      <c r="Z4" s="198"/>
    </row>
    <row r="5" spans="1:26" hidden="1" x14ac:dyDescent="0.25">
      <c r="A5" s="213">
        <v>414</v>
      </c>
      <c r="B5" s="214" t="s">
        <v>8493</v>
      </c>
      <c r="C5" s="215" t="s">
        <v>580</v>
      </c>
      <c r="D5" s="216">
        <v>0.06</v>
      </c>
      <c r="E5" s="198"/>
      <c r="F5" s="198"/>
      <c r="G5" s="198"/>
      <c r="H5" s="198"/>
      <c r="I5" s="198"/>
      <c r="J5" s="198"/>
      <c r="K5" s="198"/>
      <c r="L5" s="198"/>
      <c r="M5" s="198"/>
      <c r="N5" s="198"/>
      <c r="O5" s="198"/>
      <c r="P5" s="198"/>
      <c r="Q5" s="198"/>
      <c r="R5" s="198"/>
      <c r="S5" s="198"/>
      <c r="T5" s="198"/>
      <c r="U5" s="198"/>
      <c r="V5" s="198"/>
      <c r="W5" s="198"/>
      <c r="X5" s="198"/>
      <c r="Y5" s="198"/>
      <c r="Z5" s="198"/>
    </row>
    <row r="6" spans="1:26" hidden="1" x14ac:dyDescent="0.25">
      <c r="A6" s="213">
        <v>410</v>
      </c>
      <c r="B6" s="214" t="s">
        <v>8494</v>
      </c>
      <c r="C6" s="215" t="s">
        <v>580</v>
      </c>
      <c r="D6" s="216">
        <v>0.15</v>
      </c>
      <c r="E6" s="198"/>
      <c r="F6" s="198"/>
      <c r="G6" s="198"/>
      <c r="H6" s="198"/>
      <c r="I6" s="198"/>
      <c r="J6" s="198"/>
      <c r="K6" s="198"/>
      <c r="L6" s="198"/>
      <c r="M6" s="198"/>
      <c r="N6" s="198"/>
      <c r="O6" s="198"/>
      <c r="P6" s="198"/>
      <c r="Q6" s="198"/>
      <c r="R6" s="198"/>
      <c r="S6" s="198"/>
      <c r="T6" s="198"/>
      <c r="U6" s="198"/>
      <c r="V6" s="198"/>
      <c r="W6" s="198"/>
      <c r="X6" s="198"/>
      <c r="Y6" s="198"/>
      <c r="Z6" s="198"/>
    </row>
    <row r="7" spans="1:26" hidden="1" x14ac:dyDescent="0.25">
      <c r="A7" s="213">
        <v>411</v>
      </c>
      <c r="B7" s="214" t="s">
        <v>8495</v>
      </c>
      <c r="C7" s="215" t="s">
        <v>580</v>
      </c>
      <c r="D7" s="216">
        <v>0.2</v>
      </c>
      <c r="E7" s="198"/>
      <c r="F7" s="198"/>
      <c r="G7" s="198"/>
      <c r="H7" s="198"/>
      <c r="I7" s="198"/>
      <c r="J7" s="198"/>
      <c r="K7" s="198"/>
      <c r="L7" s="198"/>
      <c r="M7" s="198"/>
      <c r="N7" s="198"/>
      <c r="O7" s="198"/>
      <c r="P7" s="198"/>
      <c r="Q7" s="198"/>
      <c r="R7" s="198"/>
      <c r="S7" s="198"/>
      <c r="T7" s="198"/>
      <c r="U7" s="198"/>
      <c r="V7" s="198"/>
      <c r="W7" s="198"/>
      <c r="X7" s="198"/>
      <c r="Y7" s="198"/>
      <c r="Z7" s="198"/>
    </row>
    <row r="8" spans="1:26" hidden="1" x14ac:dyDescent="0.25">
      <c r="A8" s="213">
        <v>408</v>
      </c>
      <c r="B8" s="214" t="s">
        <v>8496</v>
      </c>
      <c r="C8" s="215" t="s">
        <v>580</v>
      </c>
      <c r="D8" s="216">
        <v>0.99</v>
      </c>
      <c r="E8" s="198"/>
      <c r="F8" s="198"/>
      <c r="G8" s="198"/>
      <c r="H8" s="198"/>
      <c r="I8" s="198"/>
      <c r="J8" s="198"/>
      <c r="K8" s="198"/>
      <c r="L8" s="198"/>
      <c r="M8" s="198"/>
      <c r="N8" s="198"/>
      <c r="O8" s="198"/>
      <c r="P8" s="198"/>
      <c r="Q8" s="198"/>
      <c r="R8" s="198"/>
      <c r="S8" s="198"/>
      <c r="T8" s="198"/>
      <c r="U8" s="198"/>
      <c r="V8" s="198"/>
      <c r="W8" s="198"/>
      <c r="X8" s="198"/>
      <c r="Y8" s="198"/>
      <c r="Z8" s="198"/>
    </row>
    <row r="9" spans="1:26" ht="30" hidden="1" x14ac:dyDescent="0.25">
      <c r="A9" s="213">
        <v>39131</v>
      </c>
      <c r="B9" s="214" t="s">
        <v>8497</v>
      </c>
      <c r="C9" s="215" t="s">
        <v>580</v>
      </c>
      <c r="D9" s="216">
        <v>4.59</v>
      </c>
      <c r="E9" s="198"/>
      <c r="F9" s="198"/>
      <c r="G9" s="198"/>
      <c r="H9" s="198"/>
      <c r="I9" s="198"/>
      <c r="J9" s="198"/>
      <c r="K9" s="198"/>
      <c r="L9" s="198"/>
      <c r="M9" s="198"/>
      <c r="N9" s="198"/>
      <c r="O9" s="198"/>
      <c r="P9" s="198"/>
      <c r="Q9" s="198"/>
      <c r="R9" s="198"/>
      <c r="S9" s="198"/>
      <c r="T9" s="198"/>
      <c r="U9" s="198"/>
      <c r="V9" s="198"/>
      <c r="W9" s="198"/>
      <c r="X9" s="198"/>
      <c r="Y9" s="198"/>
      <c r="Z9" s="198"/>
    </row>
    <row r="10" spans="1:26" ht="30" hidden="1" x14ac:dyDescent="0.25">
      <c r="A10" s="213">
        <v>394</v>
      </c>
      <c r="B10" s="214" t="s">
        <v>8498</v>
      </c>
      <c r="C10" s="215" t="s">
        <v>580</v>
      </c>
      <c r="D10" s="216">
        <v>4.6500000000000004</v>
      </c>
      <c r="E10" s="198"/>
      <c r="F10" s="198"/>
      <c r="G10" s="198"/>
      <c r="H10" s="198"/>
      <c r="I10" s="198"/>
      <c r="J10" s="198"/>
      <c r="K10" s="198"/>
      <c r="L10" s="198"/>
      <c r="M10" s="198"/>
      <c r="N10" s="198"/>
      <c r="O10" s="198"/>
      <c r="P10" s="198"/>
      <c r="Q10" s="198"/>
      <c r="R10" s="198"/>
      <c r="S10" s="198"/>
      <c r="T10" s="198"/>
      <c r="U10" s="198"/>
      <c r="V10" s="198"/>
      <c r="W10" s="198"/>
      <c r="X10" s="198"/>
      <c r="Y10" s="198"/>
      <c r="Z10" s="198"/>
    </row>
    <row r="11" spans="1:26" ht="30" hidden="1" x14ac:dyDescent="0.25">
      <c r="A11" s="213">
        <v>39130</v>
      </c>
      <c r="B11" s="214" t="s">
        <v>8499</v>
      </c>
      <c r="C11" s="215" t="s">
        <v>580</v>
      </c>
      <c r="D11" s="216">
        <v>4.1900000000000004</v>
      </c>
      <c r="E11" s="198"/>
      <c r="F11" s="198"/>
      <c r="G11" s="198"/>
      <c r="H11" s="198"/>
      <c r="I11" s="198"/>
      <c r="J11" s="198"/>
      <c r="K11" s="198"/>
      <c r="L11" s="198"/>
      <c r="M11" s="198"/>
      <c r="N11" s="198"/>
      <c r="O11" s="198"/>
      <c r="P11" s="198"/>
      <c r="Q11" s="198"/>
      <c r="R11" s="198"/>
      <c r="S11" s="198"/>
      <c r="T11" s="198"/>
      <c r="U11" s="198"/>
      <c r="V11" s="198"/>
      <c r="W11" s="198"/>
      <c r="X11" s="198"/>
      <c r="Y11" s="198"/>
      <c r="Z11" s="198"/>
    </row>
    <row r="12" spans="1:26" ht="30" hidden="1" x14ac:dyDescent="0.25">
      <c r="A12" s="213">
        <v>395</v>
      </c>
      <c r="B12" s="214" t="s">
        <v>8500</v>
      </c>
      <c r="C12" s="215" t="s">
        <v>580</v>
      </c>
      <c r="D12" s="216">
        <v>4.4800000000000004</v>
      </c>
      <c r="E12" s="198"/>
      <c r="F12" s="198"/>
      <c r="G12" s="198"/>
      <c r="H12" s="198"/>
      <c r="I12" s="198"/>
      <c r="J12" s="198"/>
      <c r="K12" s="198"/>
      <c r="L12" s="198"/>
      <c r="M12" s="198"/>
      <c r="N12" s="198"/>
      <c r="O12" s="198"/>
      <c r="P12" s="198"/>
      <c r="Q12" s="198"/>
      <c r="R12" s="198"/>
      <c r="S12" s="198"/>
      <c r="T12" s="198"/>
      <c r="U12" s="198"/>
      <c r="V12" s="198"/>
      <c r="W12" s="198"/>
      <c r="X12" s="198"/>
      <c r="Y12" s="198"/>
      <c r="Z12" s="198"/>
    </row>
    <row r="13" spans="1:26" ht="30" hidden="1" x14ac:dyDescent="0.25">
      <c r="A13" s="213">
        <v>39129</v>
      </c>
      <c r="B13" s="214" t="s">
        <v>8501</v>
      </c>
      <c r="C13" s="215" t="s">
        <v>580</v>
      </c>
      <c r="D13" s="216">
        <v>2.58</v>
      </c>
      <c r="E13" s="198"/>
      <c r="F13" s="198"/>
      <c r="G13" s="198"/>
      <c r="H13" s="198"/>
      <c r="I13" s="198"/>
      <c r="J13" s="198"/>
      <c r="K13" s="198"/>
      <c r="L13" s="198"/>
      <c r="M13" s="198"/>
      <c r="N13" s="198"/>
      <c r="O13" s="198"/>
      <c r="P13" s="198"/>
      <c r="Q13" s="198"/>
      <c r="R13" s="198"/>
      <c r="S13" s="198"/>
      <c r="T13" s="198"/>
      <c r="U13" s="198"/>
      <c r="V13" s="198"/>
      <c r="W13" s="198"/>
      <c r="X13" s="198"/>
      <c r="Y13" s="198"/>
      <c r="Z13" s="198"/>
    </row>
    <row r="14" spans="1:26" ht="30" hidden="1" x14ac:dyDescent="0.25">
      <c r="A14" s="213">
        <v>393</v>
      </c>
      <c r="B14" s="214" t="s">
        <v>8502</v>
      </c>
      <c r="C14" s="215" t="s">
        <v>580</v>
      </c>
      <c r="D14" s="216">
        <v>2.7</v>
      </c>
      <c r="E14" s="198"/>
      <c r="F14" s="198"/>
      <c r="G14" s="198"/>
      <c r="H14" s="198"/>
      <c r="I14" s="198"/>
      <c r="J14" s="198"/>
      <c r="K14" s="198"/>
      <c r="L14" s="198"/>
      <c r="M14" s="198"/>
      <c r="N14" s="198"/>
      <c r="O14" s="198"/>
      <c r="P14" s="198"/>
      <c r="Q14" s="198"/>
      <c r="R14" s="198"/>
      <c r="S14" s="198"/>
      <c r="T14" s="198"/>
      <c r="U14" s="198"/>
      <c r="V14" s="198"/>
      <c r="W14" s="198"/>
      <c r="X14" s="198"/>
      <c r="Y14" s="198"/>
      <c r="Z14" s="198"/>
    </row>
    <row r="15" spans="1:26" ht="30" hidden="1" x14ac:dyDescent="0.25">
      <c r="A15" s="213">
        <v>39127</v>
      </c>
      <c r="B15" s="214" t="s">
        <v>8503</v>
      </c>
      <c r="C15" s="215" t="s">
        <v>580</v>
      </c>
      <c r="D15" s="216">
        <v>2.21</v>
      </c>
      <c r="E15" s="198"/>
      <c r="F15" s="198"/>
      <c r="G15" s="198"/>
      <c r="H15" s="198"/>
      <c r="I15" s="198"/>
      <c r="J15" s="198"/>
      <c r="K15" s="198"/>
      <c r="L15" s="198"/>
      <c r="M15" s="198"/>
      <c r="N15" s="198"/>
      <c r="O15" s="198"/>
      <c r="P15" s="198"/>
      <c r="Q15" s="198"/>
      <c r="R15" s="198"/>
      <c r="S15" s="198"/>
      <c r="T15" s="198"/>
      <c r="U15" s="198"/>
      <c r="V15" s="198"/>
      <c r="W15" s="198"/>
      <c r="X15" s="198"/>
      <c r="Y15" s="198"/>
      <c r="Z15" s="198"/>
    </row>
    <row r="16" spans="1:26" ht="30" hidden="1" x14ac:dyDescent="0.25">
      <c r="A16" s="213">
        <v>392</v>
      </c>
      <c r="B16" s="214" t="s">
        <v>8504</v>
      </c>
      <c r="C16" s="215" t="s">
        <v>580</v>
      </c>
      <c r="D16" s="216">
        <v>2.2599999999999998</v>
      </c>
      <c r="E16" s="198"/>
      <c r="F16" s="198"/>
      <c r="G16" s="198"/>
      <c r="H16" s="198"/>
      <c r="I16" s="198"/>
      <c r="J16" s="198"/>
      <c r="K16" s="198"/>
      <c r="L16" s="198"/>
      <c r="M16" s="198"/>
      <c r="N16" s="198"/>
      <c r="O16" s="198"/>
      <c r="P16" s="198"/>
      <c r="Q16" s="198"/>
      <c r="R16" s="198"/>
      <c r="S16" s="198"/>
      <c r="T16" s="198"/>
      <c r="U16" s="198"/>
      <c r="V16" s="198"/>
      <c r="W16" s="198"/>
      <c r="X16" s="198"/>
      <c r="Y16" s="198"/>
      <c r="Z16" s="198"/>
    </row>
    <row r="17" spans="1:26" ht="30" hidden="1" x14ac:dyDescent="0.25">
      <c r="A17" s="213">
        <v>39133</v>
      </c>
      <c r="B17" s="214" t="s">
        <v>8505</v>
      </c>
      <c r="C17" s="215" t="s">
        <v>580</v>
      </c>
      <c r="D17" s="216">
        <v>6.03</v>
      </c>
      <c r="E17" s="198"/>
      <c r="F17" s="198"/>
      <c r="G17" s="198"/>
      <c r="H17" s="198"/>
      <c r="I17" s="198"/>
      <c r="J17" s="198"/>
      <c r="K17" s="198"/>
      <c r="L17" s="198"/>
      <c r="M17" s="198"/>
      <c r="N17" s="198"/>
      <c r="O17" s="198"/>
      <c r="P17" s="198"/>
      <c r="Q17" s="198"/>
      <c r="R17" s="198"/>
      <c r="S17" s="198"/>
      <c r="T17" s="198"/>
      <c r="U17" s="198"/>
      <c r="V17" s="198"/>
      <c r="W17" s="198"/>
      <c r="X17" s="198"/>
      <c r="Y17" s="198"/>
      <c r="Z17" s="198"/>
    </row>
    <row r="18" spans="1:26" ht="30" hidden="1" x14ac:dyDescent="0.25">
      <c r="A18" s="213">
        <v>397</v>
      </c>
      <c r="B18" s="214" t="s">
        <v>8506</v>
      </c>
      <c r="C18" s="215" t="s">
        <v>580</v>
      </c>
      <c r="D18" s="216">
        <v>6.66</v>
      </c>
      <c r="E18" s="198"/>
      <c r="F18" s="198"/>
      <c r="G18" s="198"/>
      <c r="H18" s="198"/>
      <c r="I18" s="198"/>
      <c r="J18" s="198"/>
      <c r="K18" s="198"/>
      <c r="L18" s="198"/>
      <c r="M18" s="198"/>
      <c r="N18" s="198"/>
      <c r="O18" s="198"/>
      <c r="P18" s="198"/>
      <c r="Q18" s="198"/>
      <c r="R18" s="198"/>
      <c r="S18" s="198"/>
      <c r="T18" s="198"/>
      <c r="U18" s="198"/>
      <c r="V18" s="198"/>
      <c r="W18" s="198"/>
      <c r="X18" s="198"/>
      <c r="Y18" s="198"/>
      <c r="Z18" s="198"/>
    </row>
    <row r="19" spans="1:26" ht="30" hidden="1" x14ac:dyDescent="0.25">
      <c r="A19" s="213">
        <v>39132</v>
      </c>
      <c r="B19" s="214" t="s">
        <v>8507</v>
      </c>
      <c r="C19" s="215" t="s">
        <v>580</v>
      </c>
      <c r="D19" s="216">
        <v>4.82</v>
      </c>
      <c r="E19" s="198"/>
      <c r="F19" s="198"/>
      <c r="G19" s="198"/>
      <c r="H19" s="198"/>
      <c r="I19" s="198"/>
      <c r="J19" s="198"/>
      <c r="K19" s="198"/>
      <c r="L19" s="198"/>
      <c r="M19" s="198"/>
      <c r="N19" s="198"/>
      <c r="O19" s="198"/>
      <c r="P19" s="198"/>
      <c r="Q19" s="198"/>
      <c r="R19" s="198"/>
      <c r="S19" s="198"/>
      <c r="T19" s="198"/>
      <c r="U19" s="198"/>
      <c r="V19" s="198"/>
      <c r="W19" s="198"/>
      <c r="X19" s="198"/>
      <c r="Y19" s="198"/>
      <c r="Z19" s="198"/>
    </row>
    <row r="20" spans="1:26" ht="30" hidden="1" x14ac:dyDescent="0.25">
      <c r="A20" s="213">
        <v>396</v>
      </c>
      <c r="B20" s="214" t="s">
        <v>8508</v>
      </c>
      <c r="C20" s="215" t="s">
        <v>580</v>
      </c>
      <c r="D20" s="216">
        <v>5.17</v>
      </c>
      <c r="E20" s="198"/>
      <c r="F20" s="198"/>
      <c r="G20" s="198"/>
      <c r="H20" s="198"/>
      <c r="I20" s="198"/>
      <c r="J20" s="198"/>
      <c r="K20" s="198"/>
      <c r="L20" s="198"/>
      <c r="M20" s="198"/>
      <c r="N20" s="198"/>
      <c r="O20" s="198"/>
      <c r="P20" s="198"/>
      <c r="Q20" s="198"/>
      <c r="R20" s="198"/>
      <c r="S20" s="198"/>
      <c r="T20" s="198"/>
      <c r="U20" s="198"/>
      <c r="V20" s="198"/>
      <c r="W20" s="198"/>
      <c r="X20" s="198"/>
      <c r="Y20" s="198"/>
      <c r="Z20" s="198"/>
    </row>
    <row r="21" spans="1:26" ht="15.75" hidden="1" customHeight="1" x14ac:dyDescent="0.25">
      <c r="A21" s="213">
        <v>39135</v>
      </c>
      <c r="B21" s="214" t="s">
        <v>8509</v>
      </c>
      <c r="C21" s="215" t="s">
        <v>580</v>
      </c>
      <c r="D21" s="216">
        <v>9.65</v>
      </c>
      <c r="E21" s="198"/>
      <c r="F21" s="198"/>
      <c r="G21" s="198"/>
      <c r="H21" s="198"/>
      <c r="I21" s="198"/>
      <c r="J21" s="198"/>
      <c r="K21" s="198"/>
      <c r="L21" s="198"/>
      <c r="M21" s="198"/>
      <c r="N21" s="198"/>
      <c r="O21" s="198"/>
      <c r="P21" s="198"/>
      <c r="Q21" s="198"/>
      <c r="R21" s="198"/>
      <c r="S21" s="198"/>
      <c r="T21" s="198"/>
      <c r="U21" s="198"/>
      <c r="V21" s="198"/>
      <c r="W21" s="198"/>
      <c r="X21" s="198"/>
      <c r="Y21" s="198"/>
      <c r="Z21" s="198"/>
    </row>
    <row r="22" spans="1:26" ht="15.75" hidden="1" customHeight="1" x14ac:dyDescent="0.25">
      <c r="A22" s="213">
        <v>39134</v>
      </c>
      <c r="B22" s="214" t="s">
        <v>8510</v>
      </c>
      <c r="C22" s="215" t="s">
        <v>580</v>
      </c>
      <c r="D22" s="216">
        <v>8.0399999999999991</v>
      </c>
      <c r="E22" s="198"/>
      <c r="F22" s="198"/>
      <c r="G22" s="198"/>
      <c r="H22" s="198"/>
      <c r="I22" s="198"/>
      <c r="J22" s="198"/>
      <c r="K22" s="198"/>
      <c r="L22" s="198"/>
      <c r="M22" s="198"/>
      <c r="N22" s="198"/>
      <c r="O22" s="198"/>
      <c r="P22" s="198"/>
      <c r="Q22" s="198"/>
      <c r="R22" s="198"/>
      <c r="S22" s="198"/>
      <c r="T22" s="198"/>
      <c r="U22" s="198"/>
      <c r="V22" s="198"/>
      <c r="W22" s="198"/>
      <c r="X22" s="198"/>
      <c r="Y22" s="198"/>
      <c r="Z22" s="198"/>
    </row>
    <row r="23" spans="1:26" ht="15.75" hidden="1" customHeight="1" x14ac:dyDescent="0.25">
      <c r="A23" s="213">
        <v>398</v>
      </c>
      <c r="B23" s="214" t="s">
        <v>8511</v>
      </c>
      <c r="C23" s="215" t="s">
        <v>580</v>
      </c>
      <c r="D23" s="216">
        <v>7.41</v>
      </c>
      <c r="E23" s="198"/>
      <c r="F23" s="198"/>
      <c r="G23" s="198"/>
      <c r="H23" s="198"/>
      <c r="I23" s="198"/>
      <c r="J23" s="198"/>
      <c r="K23" s="198"/>
      <c r="L23" s="198"/>
      <c r="M23" s="198"/>
      <c r="N23" s="198"/>
      <c r="O23" s="198"/>
      <c r="P23" s="198"/>
      <c r="Q23" s="198"/>
      <c r="R23" s="198"/>
      <c r="S23" s="198"/>
      <c r="T23" s="198"/>
      <c r="U23" s="198"/>
      <c r="V23" s="198"/>
      <c r="W23" s="198"/>
      <c r="X23" s="198"/>
      <c r="Y23" s="198"/>
      <c r="Z23" s="198"/>
    </row>
    <row r="24" spans="1:26" ht="15.75" hidden="1" customHeight="1" x14ac:dyDescent="0.25">
      <c r="A24" s="213">
        <v>39128</v>
      </c>
      <c r="B24" s="214" t="s">
        <v>8512</v>
      </c>
      <c r="C24" s="215" t="s">
        <v>580</v>
      </c>
      <c r="D24" s="216">
        <v>2.41</v>
      </c>
      <c r="E24" s="198"/>
      <c r="F24" s="198"/>
      <c r="G24" s="198"/>
      <c r="H24" s="198"/>
      <c r="I24" s="198"/>
      <c r="J24" s="198"/>
      <c r="K24" s="198"/>
      <c r="L24" s="198"/>
      <c r="M24" s="198"/>
      <c r="N24" s="198"/>
      <c r="O24" s="198"/>
      <c r="P24" s="198"/>
      <c r="Q24" s="198"/>
      <c r="R24" s="198"/>
      <c r="S24" s="198"/>
      <c r="T24" s="198"/>
      <c r="U24" s="198"/>
      <c r="V24" s="198"/>
      <c r="W24" s="198"/>
      <c r="X24" s="198"/>
      <c r="Y24" s="198"/>
      <c r="Z24" s="198"/>
    </row>
    <row r="25" spans="1:26" ht="15.75" hidden="1" customHeight="1" x14ac:dyDescent="0.25">
      <c r="A25" s="213">
        <v>400</v>
      </c>
      <c r="B25" s="214" t="s">
        <v>8513</v>
      </c>
      <c r="C25" s="215" t="s">
        <v>580</v>
      </c>
      <c r="D25" s="216">
        <v>2.35</v>
      </c>
      <c r="E25" s="198"/>
      <c r="F25" s="198"/>
      <c r="G25" s="198"/>
      <c r="H25" s="198"/>
      <c r="I25" s="198"/>
      <c r="J25" s="198"/>
      <c r="K25" s="198"/>
      <c r="L25" s="198"/>
      <c r="M25" s="198"/>
      <c r="N25" s="198"/>
      <c r="O25" s="198"/>
      <c r="P25" s="198"/>
      <c r="Q25" s="198"/>
      <c r="R25" s="198"/>
      <c r="S25" s="198"/>
      <c r="T25" s="198"/>
      <c r="U25" s="198"/>
      <c r="V25" s="198"/>
      <c r="W25" s="198"/>
      <c r="X25" s="198"/>
      <c r="Y25" s="198"/>
      <c r="Z25" s="198"/>
    </row>
    <row r="26" spans="1:26" ht="15.75" hidden="1" customHeight="1" x14ac:dyDescent="0.25">
      <c r="A26" s="213">
        <v>39125</v>
      </c>
      <c r="B26" s="214" t="s">
        <v>8514</v>
      </c>
      <c r="C26" s="215" t="s">
        <v>580</v>
      </c>
      <c r="D26" s="216">
        <v>2.41</v>
      </c>
      <c r="E26" s="198"/>
      <c r="F26" s="198"/>
      <c r="G26" s="198"/>
      <c r="H26" s="198"/>
      <c r="I26" s="198"/>
      <c r="J26" s="198"/>
      <c r="K26" s="198"/>
      <c r="L26" s="198"/>
      <c r="M26" s="198"/>
      <c r="N26" s="198"/>
      <c r="O26" s="198"/>
      <c r="P26" s="198"/>
      <c r="Q26" s="198"/>
      <c r="R26" s="198"/>
      <c r="S26" s="198"/>
      <c r="T26" s="198"/>
      <c r="U26" s="198"/>
      <c r="V26" s="198"/>
      <c r="W26" s="198"/>
      <c r="X26" s="198"/>
      <c r="Y26" s="198"/>
      <c r="Z26" s="198"/>
    </row>
    <row r="27" spans="1:26" ht="15.75" hidden="1" customHeight="1" x14ac:dyDescent="0.25">
      <c r="A27" s="213">
        <v>39126</v>
      </c>
      <c r="B27" s="214" t="s">
        <v>8515</v>
      </c>
      <c r="C27" s="215" t="s">
        <v>580</v>
      </c>
      <c r="D27" s="216">
        <v>10.85</v>
      </c>
      <c r="E27" s="198"/>
      <c r="F27" s="198"/>
      <c r="G27" s="198"/>
      <c r="H27" s="198"/>
      <c r="I27" s="198"/>
      <c r="J27" s="198"/>
      <c r="K27" s="198"/>
      <c r="L27" s="198"/>
      <c r="M27" s="198"/>
      <c r="N27" s="198"/>
      <c r="O27" s="198"/>
      <c r="P27" s="198"/>
      <c r="Q27" s="198"/>
      <c r="R27" s="198"/>
      <c r="S27" s="198"/>
      <c r="T27" s="198"/>
      <c r="U27" s="198"/>
      <c r="V27" s="198"/>
      <c r="W27" s="198"/>
      <c r="X27" s="198"/>
      <c r="Y27" s="198"/>
      <c r="Z27" s="198"/>
    </row>
    <row r="28" spans="1:26" ht="15.75" hidden="1" customHeight="1" x14ac:dyDescent="0.25">
      <c r="A28" s="213">
        <v>399</v>
      </c>
      <c r="B28" s="214" t="s">
        <v>8516</v>
      </c>
      <c r="C28" s="215" t="s">
        <v>580</v>
      </c>
      <c r="D28" s="216">
        <v>9.56</v>
      </c>
      <c r="E28" s="198"/>
      <c r="F28" s="198"/>
      <c r="G28" s="198"/>
      <c r="H28" s="198"/>
      <c r="I28" s="198"/>
      <c r="J28" s="198"/>
      <c r="K28" s="198"/>
      <c r="L28" s="198"/>
      <c r="M28" s="198"/>
      <c r="N28" s="198"/>
      <c r="O28" s="198"/>
      <c r="P28" s="198"/>
      <c r="Q28" s="198"/>
      <c r="R28" s="198"/>
      <c r="S28" s="198"/>
      <c r="T28" s="198"/>
      <c r="U28" s="198"/>
      <c r="V28" s="198"/>
      <c r="W28" s="198"/>
      <c r="X28" s="198"/>
      <c r="Y28" s="198"/>
      <c r="Z28" s="198"/>
    </row>
    <row r="29" spans="1:26" ht="15.75" hidden="1" customHeight="1" x14ac:dyDescent="0.25">
      <c r="A29" s="213">
        <v>39158</v>
      </c>
      <c r="B29" s="214" t="s">
        <v>8517</v>
      </c>
      <c r="C29" s="215" t="s">
        <v>580</v>
      </c>
      <c r="D29" s="216">
        <v>25.67</v>
      </c>
      <c r="E29" s="198"/>
      <c r="F29" s="198"/>
      <c r="G29" s="198"/>
      <c r="H29" s="198"/>
      <c r="I29" s="198"/>
      <c r="J29" s="198"/>
      <c r="K29" s="198"/>
      <c r="L29" s="198"/>
      <c r="M29" s="198"/>
      <c r="N29" s="198"/>
      <c r="O29" s="198"/>
      <c r="P29" s="198"/>
      <c r="Q29" s="198"/>
      <c r="R29" s="198"/>
      <c r="S29" s="198"/>
      <c r="T29" s="198"/>
      <c r="U29" s="198"/>
      <c r="V29" s="198"/>
      <c r="W29" s="198"/>
      <c r="X29" s="198"/>
      <c r="Y29" s="198"/>
      <c r="Z29" s="198"/>
    </row>
    <row r="30" spans="1:26" ht="15.75" hidden="1" customHeight="1" x14ac:dyDescent="0.25">
      <c r="A30" s="213">
        <v>39141</v>
      </c>
      <c r="B30" s="214" t="s">
        <v>8518</v>
      </c>
      <c r="C30" s="215" t="s">
        <v>580</v>
      </c>
      <c r="D30" s="216">
        <v>1.86</v>
      </c>
      <c r="E30" s="198"/>
      <c r="F30" s="198"/>
      <c r="G30" s="198"/>
      <c r="H30" s="198"/>
      <c r="I30" s="198"/>
      <c r="J30" s="198"/>
      <c r="K30" s="198"/>
      <c r="L30" s="198"/>
      <c r="M30" s="198"/>
      <c r="N30" s="198"/>
      <c r="O30" s="198"/>
      <c r="P30" s="198"/>
      <c r="Q30" s="198"/>
      <c r="R30" s="198"/>
      <c r="S30" s="198"/>
      <c r="T30" s="198"/>
      <c r="U30" s="198"/>
      <c r="V30" s="198"/>
      <c r="W30" s="198"/>
      <c r="X30" s="198"/>
      <c r="Y30" s="198"/>
      <c r="Z30" s="198"/>
    </row>
    <row r="31" spans="1:26" ht="15.75" hidden="1" customHeight="1" x14ac:dyDescent="0.25">
      <c r="A31" s="213">
        <v>39140</v>
      </c>
      <c r="B31" s="214" t="s">
        <v>8519</v>
      </c>
      <c r="C31" s="215" t="s">
        <v>580</v>
      </c>
      <c r="D31" s="216">
        <v>1.69</v>
      </c>
      <c r="E31" s="198"/>
      <c r="F31" s="198"/>
      <c r="G31" s="198"/>
      <c r="H31" s="198"/>
      <c r="I31" s="198"/>
      <c r="J31" s="198"/>
      <c r="K31" s="198"/>
      <c r="L31" s="198"/>
      <c r="M31" s="198"/>
      <c r="N31" s="198"/>
      <c r="O31" s="198"/>
      <c r="P31" s="198"/>
      <c r="Q31" s="198"/>
      <c r="R31" s="198"/>
      <c r="S31" s="198"/>
      <c r="T31" s="198"/>
      <c r="U31" s="198"/>
      <c r="V31" s="198"/>
      <c r="W31" s="198"/>
      <c r="X31" s="198"/>
      <c r="Y31" s="198"/>
      <c r="Z31" s="198"/>
    </row>
    <row r="32" spans="1:26" ht="15.75" hidden="1" customHeight="1" x14ac:dyDescent="0.25">
      <c r="A32" s="213">
        <v>39139</v>
      </c>
      <c r="B32" s="214" t="s">
        <v>8520</v>
      </c>
      <c r="C32" s="215" t="s">
        <v>580</v>
      </c>
      <c r="D32" s="216">
        <v>1.4</v>
      </c>
      <c r="E32" s="198"/>
      <c r="F32" s="198"/>
      <c r="G32" s="198"/>
      <c r="H32" s="198"/>
      <c r="I32" s="198"/>
      <c r="J32" s="198"/>
      <c r="K32" s="198"/>
      <c r="L32" s="198"/>
      <c r="M32" s="198"/>
      <c r="N32" s="198"/>
      <c r="O32" s="198"/>
      <c r="P32" s="198"/>
      <c r="Q32" s="198"/>
      <c r="R32" s="198"/>
      <c r="S32" s="198"/>
      <c r="T32" s="198"/>
      <c r="U32" s="198"/>
      <c r="V32" s="198"/>
      <c r="W32" s="198"/>
      <c r="X32" s="198"/>
      <c r="Y32" s="198"/>
      <c r="Z32" s="198"/>
    </row>
    <row r="33" spans="1:26" ht="15.75" hidden="1" customHeight="1" x14ac:dyDescent="0.25">
      <c r="A33" s="213">
        <v>39137</v>
      </c>
      <c r="B33" s="214" t="s">
        <v>8521</v>
      </c>
      <c r="C33" s="215" t="s">
        <v>580</v>
      </c>
      <c r="D33" s="216">
        <v>0.97</v>
      </c>
      <c r="E33" s="198"/>
      <c r="F33" s="198"/>
      <c r="G33" s="198"/>
      <c r="H33" s="198"/>
      <c r="I33" s="198"/>
      <c r="J33" s="198"/>
      <c r="K33" s="198"/>
      <c r="L33" s="198"/>
      <c r="M33" s="198"/>
      <c r="N33" s="198"/>
      <c r="O33" s="198"/>
      <c r="P33" s="198"/>
      <c r="Q33" s="198"/>
      <c r="R33" s="198"/>
      <c r="S33" s="198"/>
      <c r="T33" s="198"/>
      <c r="U33" s="198"/>
      <c r="V33" s="198"/>
      <c r="W33" s="198"/>
      <c r="X33" s="198"/>
      <c r="Y33" s="198"/>
      <c r="Z33" s="198"/>
    </row>
    <row r="34" spans="1:26" ht="15.75" hidden="1" customHeight="1" x14ac:dyDescent="0.25">
      <c r="A34" s="213">
        <v>39143</v>
      </c>
      <c r="B34" s="214" t="s">
        <v>8522</v>
      </c>
      <c r="C34" s="215" t="s">
        <v>580</v>
      </c>
      <c r="D34" s="216">
        <v>3.84</v>
      </c>
      <c r="E34" s="198"/>
      <c r="F34" s="198"/>
      <c r="G34" s="198"/>
      <c r="H34" s="198"/>
      <c r="I34" s="198"/>
      <c r="J34" s="198"/>
      <c r="K34" s="198"/>
      <c r="L34" s="198"/>
      <c r="M34" s="198"/>
      <c r="N34" s="198"/>
      <c r="O34" s="198"/>
      <c r="P34" s="198"/>
      <c r="Q34" s="198"/>
      <c r="R34" s="198"/>
      <c r="S34" s="198"/>
      <c r="T34" s="198"/>
      <c r="U34" s="198"/>
      <c r="V34" s="198"/>
      <c r="W34" s="198"/>
      <c r="X34" s="198"/>
      <c r="Y34" s="198"/>
      <c r="Z34" s="198"/>
    </row>
    <row r="35" spans="1:26" ht="15.75" hidden="1" customHeight="1" x14ac:dyDescent="0.25">
      <c r="A35" s="213">
        <v>39142</v>
      </c>
      <c r="B35" s="214" t="s">
        <v>8523</v>
      </c>
      <c r="C35" s="215" t="s">
        <v>580</v>
      </c>
      <c r="D35" s="216">
        <v>2.75</v>
      </c>
      <c r="E35" s="198"/>
      <c r="F35" s="198"/>
      <c r="G35" s="198"/>
      <c r="H35" s="198"/>
      <c r="I35" s="198"/>
      <c r="J35" s="198"/>
      <c r="K35" s="198"/>
      <c r="L35" s="198"/>
      <c r="M35" s="198"/>
      <c r="N35" s="198"/>
      <c r="O35" s="198"/>
      <c r="P35" s="198"/>
      <c r="Q35" s="198"/>
      <c r="R35" s="198"/>
      <c r="S35" s="198"/>
      <c r="T35" s="198"/>
      <c r="U35" s="198"/>
      <c r="V35" s="198"/>
      <c r="W35" s="198"/>
      <c r="X35" s="198"/>
      <c r="Y35" s="198"/>
      <c r="Z35" s="198"/>
    </row>
    <row r="36" spans="1:26" ht="15.75" hidden="1" customHeight="1" x14ac:dyDescent="0.25">
      <c r="A36" s="213">
        <v>39144</v>
      </c>
      <c r="B36" s="214" t="s">
        <v>8524</v>
      </c>
      <c r="C36" s="215" t="s">
        <v>580</v>
      </c>
      <c r="D36" s="216">
        <v>4.4800000000000004</v>
      </c>
      <c r="E36" s="198"/>
      <c r="F36" s="198"/>
      <c r="G36" s="198"/>
      <c r="H36" s="198"/>
      <c r="I36" s="198"/>
      <c r="J36" s="198"/>
      <c r="K36" s="198"/>
      <c r="L36" s="198"/>
      <c r="M36" s="198"/>
      <c r="N36" s="198"/>
      <c r="O36" s="198"/>
      <c r="P36" s="198"/>
      <c r="Q36" s="198"/>
      <c r="R36" s="198"/>
      <c r="S36" s="198"/>
      <c r="T36" s="198"/>
      <c r="U36" s="198"/>
      <c r="V36" s="198"/>
      <c r="W36" s="198"/>
      <c r="X36" s="198"/>
      <c r="Y36" s="198"/>
      <c r="Z36" s="198"/>
    </row>
    <row r="37" spans="1:26" ht="15.75" hidden="1" customHeight="1" x14ac:dyDescent="0.25">
      <c r="A37" s="213">
        <v>39138</v>
      </c>
      <c r="B37" s="214" t="s">
        <v>8525</v>
      </c>
      <c r="C37" s="215" t="s">
        <v>580</v>
      </c>
      <c r="D37" s="216">
        <v>1.03</v>
      </c>
      <c r="E37" s="198"/>
      <c r="F37" s="198"/>
      <c r="G37" s="198"/>
      <c r="H37" s="198"/>
      <c r="I37" s="198"/>
      <c r="J37" s="198"/>
      <c r="K37" s="198"/>
      <c r="L37" s="198"/>
      <c r="M37" s="198"/>
      <c r="N37" s="198"/>
      <c r="O37" s="198"/>
      <c r="P37" s="198"/>
      <c r="Q37" s="198"/>
      <c r="R37" s="198"/>
      <c r="S37" s="198"/>
      <c r="T37" s="198"/>
      <c r="U37" s="198"/>
      <c r="V37" s="198"/>
      <c r="W37" s="198"/>
      <c r="X37" s="198"/>
      <c r="Y37" s="198"/>
      <c r="Z37" s="198"/>
    </row>
    <row r="38" spans="1:26" ht="15.75" hidden="1" customHeight="1" x14ac:dyDescent="0.25">
      <c r="A38" s="213">
        <v>39136</v>
      </c>
      <c r="B38" s="214" t="s">
        <v>8526</v>
      </c>
      <c r="C38" s="215" t="s">
        <v>580</v>
      </c>
      <c r="D38" s="216">
        <v>0.68</v>
      </c>
      <c r="E38" s="198"/>
      <c r="F38" s="198"/>
      <c r="G38" s="198"/>
      <c r="H38" s="198"/>
      <c r="I38" s="198"/>
      <c r="J38" s="198"/>
      <c r="K38" s="198"/>
      <c r="L38" s="198"/>
      <c r="M38" s="198"/>
      <c r="N38" s="198"/>
      <c r="O38" s="198"/>
      <c r="P38" s="198"/>
      <c r="Q38" s="198"/>
      <c r="R38" s="198"/>
      <c r="S38" s="198"/>
      <c r="T38" s="198"/>
      <c r="U38" s="198"/>
      <c r="V38" s="198"/>
      <c r="W38" s="198"/>
      <c r="X38" s="198"/>
      <c r="Y38" s="198"/>
      <c r="Z38" s="198"/>
    </row>
    <row r="39" spans="1:26" ht="15.75" hidden="1" customHeight="1" x14ac:dyDescent="0.25">
      <c r="A39" s="213">
        <v>39145</v>
      </c>
      <c r="B39" s="214" t="s">
        <v>8527</v>
      </c>
      <c r="C39" s="215" t="s">
        <v>580</v>
      </c>
      <c r="D39" s="216">
        <v>7.38</v>
      </c>
      <c r="E39" s="198"/>
      <c r="F39" s="198"/>
      <c r="G39" s="198"/>
      <c r="H39" s="198"/>
      <c r="I39" s="198"/>
      <c r="J39" s="198"/>
      <c r="K39" s="198"/>
      <c r="L39" s="198"/>
      <c r="M39" s="198"/>
      <c r="N39" s="198"/>
      <c r="O39" s="198"/>
      <c r="P39" s="198"/>
      <c r="Q39" s="198"/>
      <c r="R39" s="198"/>
      <c r="S39" s="198"/>
      <c r="T39" s="198"/>
      <c r="U39" s="198"/>
      <c r="V39" s="198"/>
      <c r="W39" s="198"/>
      <c r="X39" s="198"/>
      <c r="Y39" s="198"/>
      <c r="Z39" s="198"/>
    </row>
    <row r="40" spans="1:26" ht="15.75" hidden="1" customHeight="1" x14ac:dyDescent="0.25">
      <c r="A40" s="213">
        <v>12615</v>
      </c>
      <c r="B40" s="214" t="s">
        <v>8528</v>
      </c>
      <c r="C40" s="215" t="s">
        <v>580</v>
      </c>
      <c r="D40" s="216">
        <v>12.06</v>
      </c>
      <c r="E40" s="198"/>
      <c r="F40" s="198"/>
      <c r="G40" s="198"/>
      <c r="H40" s="198"/>
      <c r="I40" s="198"/>
      <c r="J40" s="198"/>
      <c r="K40" s="198"/>
      <c r="L40" s="198"/>
      <c r="M40" s="198"/>
      <c r="N40" s="198"/>
      <c r="O40" s="198"/>
      <c r="P40" s="198"/>
      <c r="Q40" s="198"/>
      <c r="R40" s="198"/>
      <c r="S40" s="198"/>
      <c r="T40" s="198"/>
      <c r="U40" s="198"/>
      <c r="V40" s="198"/>
      <c r="W40" s="198"/>
      <c r="X40" s="198"/>
      <c r="Y40" s="198"/>
      <c r="Z40" s="198"/>
    </row>
    <row r="41" spans="1:26" ht="15.75" hidden="1" customHeight="1" x14ac:dyDescent="0.25">
      <c r="A41" s="213">
        <v>11927</v>
      </c>
      <c r="B41" s="214" t="s">
        <v>8529</v>
      </c>
      <c r="C41" s="215" t="s">
        <v>580</v>
      </c>
      <c r="D41" s="216">
        <v>6.98</v>
      </c>
      <c r="E41" s="198"/>
      <c r="F41" s="198"/>
      <c r="G41" s="198"/>
      <c r="H41" s="198"/>
      <c r="I41" s="198"/>
      <c r="J41" s="198"/>
      <c r="K41" s="198"/>
      <c r="L41" s="198"/>
      <c r="M41" s="198"/>
      <c r="N41" s="198"/>
      <c r="O41" s="198"/>
      <c r="P41" s="198"/>
      <c r="Q41" s="198"/>
      <c r="R41" s="198"/>
      <c r="S41" s="198"/>
      <c r="T41" s="198"/>
      <c r="U41" s="198"/>
      <c r="V41" s="198"/>
      <c r="W41" s="198"/>
      <c r="X41" s="198"/>
      <c r="Y41" s="198"/>
      <c r="Z41" s="198"/>
    </row>
    <row r="42" spans="1:26" ht="15.75" hidden="1" customHeight="1" x14ac:dyDescent="0.25">
      <c r="A42" s="213">
        <v>11928</v>
      </c>
      <c r="B42" s="214" t="s">
        <v>8530</v>
      </c>
      <c r="C42" s="215" t="s">
        <v>580</v>
      </c>
      <c r="D42" s="216">
        <v>8</v>
      </c>
      <c r="E42" s="198"/>
      <c r="F42" s="198"/>
      <c r="G42" s="198"/>
      <c r="H42" s="198"/>
      <c r="I42" s="198"/>
      <c r="J42" s="198"/>
      <c r="K42" s="198"/>
      <c r="L42" s="198"/>
      <c r="M42" s="198"/>
      <c r="N42" s="198"/>
      <c r="O42" s="198"/>
      <c r="P42" s="198"/>
      <c r="Q42" s="198"/>
      <c r="R42" s="198"/>
      <c r="S42" s="198"/>
      <c r="T42" s="198"/>
      <c r="U42" s="198"/>
      <c r="V42" s="198"/>
      <c r="W42" s="198"/>
      <c r="X42" s="198"/>
      <c r="Y42" s="198"/>
      <c r="Z42" s="198"/>
    </row>
    <row r="43" spans="1:26" ht="15.75" hidden="1" customHeight="1" x14ac:dyDescent="0.25">
      <c r="A43" s="213">
        <v>11929</v>
      </c>
      <c r="B43" s="214" t="s">
        <v>8531</v>
      </c>
      <c r="C43" s="215" t="s">
        <v>580</v>
      </c>
      <c r="D43" s="216">
        <v>12.37</v>
      </c>
      <c r="E43" s="198"/>
      <c r="F43" s="198"/>
      <c r="G43" s="198"/>
      <c r="H43" s="198"/>
      <c r="I43" s="198"/>
      <c r="J43" s="198"/>
      <c r="K43" s="198"/>
      <c r="L43" s="198"/>
      <c r="M43" s="198"/>
      <c r="N43" s="198"/>
      <c r="O43" s="198"/>
      <c r="P43" s="198"/>
      <c r="Q43" s="198"/>
      <c r="R43" s="198"/>
      <c r="S43" s="198"/>
      <c r="T43" s="198"/>
      <c r="U43" s="198"/>
      <c r="V43" s="198"/>
      <c r="W43" s="198"/>
      <c r="X43" s="198"/>
      <c r="Y43" s="198"/>
      <c r="Z43" s="198"/>
    </row>
    <row r="44" spans="1:26" ht="15.75" hidden="1" customHeight="1" x14ac:dyDescent="0.25">
      <c r="A44" s="213">
        <v>36801</v>
      </c>
      <c r="B44" s="214" t="s">
        <v>8532</v>
      </c>
      <c r="C44" s="215" t="s">
        <v>580</v>
      </c>
      <c r="D44" s="216">
        <v>31.94</v>
      </c>
      <c r="E44" s="198"/>
      <c r="F44" s="198"/>
      <c r="G44" s="198"/>
      <c r="H44" s="198"/>
      <c r="I44" s="198"/>
      <c r="J44" s="198"/>
      <c r="K44" s="198"/>
      <c r="L44" s="198"/>
      <c r="M44" s="198"/>
      <c r="N44" s="198"/>
      <c r="O44" s="198"/>
      <c r="P44" s="198"/>
      <c r="Q44" s="198"/>
      <c r="R44" s="198"/>
      <c r="S44" s="198"/>
      <c r="T44" s="198"/>
      <c r="U44" s="198"/>
      <c r="V44" s="198"/>
      <c r="W44" s="198"/>
      <c r="X44" s="198"/>
      <c r="Y44" s="198"/>
      <c r="Z44" s="198"/>
    </row>
    <row r="45" spans="1:26" ht="15.75" hidden="1" customHeight="1" x14ac:dyDescent="0.25">
      <c r="A45" s="213">
        <v>36246</v>
      </c>
      <c r="B45" s="214" t="s">
        <v>8533</v>
      </c>
      <c r="C45" s="215" t="s">
        <v>585</v>
      </c>
      <c r="D45" s="216">
        <v>4.9000000000000004</v>
      </c>
      <c r="E45" s="198"/>
      <c r="F45" s="198"/>
      <c r="G45" s="198"/>
      <c r="H45" s="198"/>
      <c r="I45" s="198"/>
      <c r="J45" s="198"/>
      <c r="K45" s="198"/>
      <c r="L45" s="198"/>
      <c r="M45" s="198"/>
      <c r="N45" s="198"/>
      <c r="O45" s="198"/>
      <c r="P45" s="198"/>
      <c r="Q45" s="198"/>
      <c r="R45" s="198"/>
      <c r="S45" s="198"/>
      <c r="T45" s="198"/>
      <c r="U45" s="198"/>
      <c r="V45" s="198"/>
      <c r="W45" s="198"/>
      <c r="X45" s="198"/>
      <c r="Y45" s="198"/>
      <c r="Z45" s="198"/>
    </row>
    <row r="46" spans="1:26" ht="15.75" hidden="1" customHeight="1" x14ac:dyDescent="0.25">
      <c r="A46" s="213">
        <v>1</v>
      </c>
      <c r="B46" s="214" t="s">
        <v>8534</v>
      </c>
      <c r="C46" s="215" t="s">
        <v>823</v>
      </c>
      <c r="D46" s="216">
        <v>100</v>
      </c>
      <c r="E46" s="198"/>
      <c r="F46" s="198"/>
      <c r="G46" s="198"/>
      <c r="H46" s="198"/>
      <c r="I46" s="198"/>
      <c r="J46" s="198"/>
      <c r="K46" s="198"/>
      <c r="L46" s="198"/>
      <c r="M46" s="198"/>
      <c r="N46" s="198"/>
      <c r="O46" s="198"/>
      <c r="P46" s="198"/>
      <c r="Q46" s="198"/>
      <c r="R46" s="198"/>
      <c r="S46" s="198"/>
      <c r="T46" s="198"/>
      <c r="U46" s="198"/>
      <c r="V46" s="198"/>
      <c r="W46" s="198"/>
      <c r="X46" s="198"/>
      <c r="Y46" s="198"/>
      <c r="Z46" s="198"/>
    </row>
    <row r="47" spans="1:26" ht="15.75" hidden="1" customHeight="1" x14ac:dyDescent="0.25">
      <c r="A47" s="213">
        <v>3</v>
      </c>
      <c r="B47" s="214" t="s">
        <v>8535</v>
      </c>
      <c r="C47" s="215" t="s">
        <v>517</v>
      </c>
      <c r="D47" s="216">
        <v>14.73</v>
      </c>
      <c r="E47" s="198"/>
      <c r="F47" s="198"/>
      <c r="G47" s="198"/>
      <c r="H47" s="198"/>
      <c r="I47" s="198"/>
      <c r="J47" s="198"/>
      <c r="K47" s="198"/>
      <c r="L47" s="198"/>
      <c r="M47" s="198"/>
      <c r="N47" s="198"/>
      <c r="O47" s="198"/>
      <c r="P47" s="198"/>
      <c r="Q47" s="198"/>
      <c r="R47" s="198"/>
      <c r="S47" s="198"/>
      <c r="T47" s="198"/>
      <c r="U47" s="198"/>
      <c r="V47" s="198"/>
      <c r="W47" s="198"/>
      <c r="X47" s="198"/>
      <c r="Y47" s="198"/>
      <c r="Z47" s="198"/>
    </row>
    <row r="48" spans="1:26" ht="15.75" customHeight="1" x14ac:dyDescent="0.25">
      <c r="A48" s="213">
        <v>43054</v>
      </c>
      <c r="B48" s="214" t="s">
        <v>8536</v>
      </c>
      <c r="C48" s="215" t="s">
        <v>823</v>
      </c>
      <c r="D48" s="216">
        <v>8.3000000000000007</v>
      </c>
      <c r="E48" s="198"/>
      <c r="F48" s="198"/>
      <c r="G48" s="198"/>
      <c r="H48" s="198"/>
      <c r="I48" s="198"/>
      <c r="J48" s="198"/>
      <c r="K48" s="198"/>
      <c r="L48" s="198"/>
      <c r="M48" s="198"/>
      <c r="N48" s="198"/>
      <c r="O48" s="198"/>
      <c r="P48" s="198"/>
      <c r="Q48" s="198"/>
      <c r="R48" s="198"/>
      <c r="S48" s="198"/>
      <c r="T48" s="198"/>
      <c r="U48" s="198"/>
      <c r="V48" s="198"/>
      <c r="W48" s="198"/>
      <c r="X48" s="198"/>
      <c r="Y48" s="198"/>
      <c r="Z48" s="198"/>
    </row>
    <row r="49" spans="1:26" ht="15.75" hidden="1" customHeight="1" x14ac:dyDescent="0.25">
      <c r="A49" s="213">
        <v>42402</v>
      </c>
      <c r="B49" s="214" t="s">
        <v>8537</v>
      </c>
      <c r="C49" s="215" t="s">
        <v>823</v>
      </c>
      <c r="D49" s="216">
        <v>7.93</v>
      </c>
      <c r="E49" s="198"/>
      <c r="F49" s="198"/>
      <c r="G49" s="198"/>
      <c r="H49" s="198"/>
      <c r="I49" s="198"/>
      <c r="J49" s="198"/>
      <c r="K49" s="198"/>
      <c r="L49" s="198"/>
      <c r="M49" s="198"/>
      <c r="N49" s="198"/>
      <c r="O49" s="198"/>
      <c r="P49" s="198"/>
      <c r="Q49" s="198"/>
      <c r="R49" s="198"/>
      <c r="S49" s="198"/>
      <c r="T49" s="198"/>
      <c r="U49" s="198"/>
      <c r="V49" s="198"/>
      <c r="W49" s="198"/>
      <c r="X49" s="198"/>
      <c r="Y49" s="198"/>
      <c r="Z49" s="198"/>
    </row>
    <row r="50" spans="1:26" ht="15.75" hidden="1" customHeight="1" x14ac:dyDescent="0.25">
      <c r="A50" s="213">
        <v>42403</v>
      </c>
      <c r="B50" s="214" t="s">
        <v>8538</v>
      </c>
      <c r="C50" s="215" t="s">
        <v>823</v>
      </c>
      <c r="D50" s="216">
        <v>10.17</v>
      </c>
      <c r="E50" s="198"/>
      <c r="F50" s="198"/>
      <c r="G50" s="198"/>
      <c r="H50" s="198"/>
      <c r="I50" s="198"/>
      <c r="J50" s="198"/>
      <c r="K50" s="198"/>
      <c r="L50" s="198"/>
      <c r="M50" s="198"/>
      <c r="N50" s="198"/>
      <c r="O50" s="198"/>
      <c r="P50" s="198"/>
      <c r="Q50" s="198"/>
      <c r="R50" s="198"/>
      <c r="S50" s="198"/>
      <c r="T50" s="198"/>
      <c r="U50" s="198"/>
      <c r="V50" s="198"/>
      <c r="W50" s="198"/>
      <c r="X50" s="198"/>
      <c r="Y50" s="198"/>
      <c r="Z50" s="198"/>
    </row>
    <row r="51" spans="1:26" ht="15.75" hidden="1" customHeight="1" x14ac:dyDescent="0.25">
      <c r="A51" s="213">
        <v>42404</v>
      </c>
      <c r="B51" s="214" t="s">
        <v>8539</v>
      </c>
      <c r="C51" s="215" t="s">
        <v>823</v>
      </c>
      <c r="D51" s="216">
        <v>10.11</v>
      </c>
      <c r="E51" s="198"/>
      <c r="F51" s="198"/>
      <c r="G51" s="198"/>
      <c r="H51" s="198"/>
      <c r="I51" s="198"/>
      <c r="J51" s="198"/>
      <c r="K51" s="198"/>
      <c r="L51" s="198"/>
      <c r="M51" s="198"/>
      <c r="N51" s="198"/>
      <c r="O51" s="198"/>
      <c r="P51" s="198"/>
      <c r="Q51" s="198"/>
      <c r="R51" s="198"/>
      <c r="S51" s="198"/>
      <c r="T51" s="198"/>
      <c r="U51" s="198"/>
      <c r="V51" s="198"/>
      <c r="W51" s="198"/>
      <c r="X51" s="198"/>
      <c r="Y51" s="198"/>
      <c r="Z51" s="198"/>
    </row>
    <row r="52" spans="1:26" ht="15.75" hidden="1" customHeight="1" x14ac:dyDescent="0.25">
      <c r="A52" s="213">
        <v>42405</v>
      </c>
      <c r="B52" s="214" t="s">
        <v>8540</v>
      </c>
      <c r="C52" s="215" t="s">
        <v>823</v>
      </c>
      <c r="D52" s="216">
        <v>10.77</v>
      </c>
      <c r="E52" s="198"/>
      <c r="F52" s="198"/>
      <c r="G52" s="198"/>
      <c r="H52" s="198"/>
      <c r="I52" s="198"/>
      <c r="J52" s="198"/>
      <c r="K52" s="198"/>
      <c r="L52" s="198"/>
      <c r="M52" s="198"/>
      <c r="N52" s="198"/>
      <c r="O52" s="198"/>
      <c r="P52" s="198"/>
      <c r="Q52" s="198"/>
      <c r="R52" s="198"/>
      <c r="S52" s="198"/>
      <c r="T52" s="198"/>
      <c r="U52" s="198"/>
      <c r="V52" s="198"/>
      <c r="W52" s="198"/>
      <c r="X52" s="198"/>
      <c r="Y52" s="198"/>
      <c r="Z52" s="198"/>
    </row>
    <row r="53" spans="1:26" ht="15.75" customHeight="1" x14ac:dyDescent="0.25">
      <c r="A53" s="213">
        <v>34341</v>
      </c>
      <c r="B53" s="214" t="s">
        <v>8541</v>
      </c>
      <c r="C53" s="215" t="s">
        <v>823</v>
      </c>
      <c r="D53" s="216">
        <v>9.35</v>
      </c>
      <c r="E53" s="198"/>
      <c r="F53" s="198"/>
      <c r="G53" s="198"/>
      <c r="H53" s="198"/>
      <c r="I53" s="198"/>
      <c r="J53" s="198"/>
      <c r="K53" s="198"/>
      <c r="L53" s="198"/>
      <c r="M53" s="198"/>
      <c r="N53" s="198"/>
      <c r="O53" s="198"/>
      <c r="P53" s="198"/>
      <c r="Q53" s="198"/>
      <c r="R53" s="198"/>
      <c r="S53" s="198"/>
      <c r="T53" s="198"/>
      <c r="U53" s="198"/>
      <c r="V53" s="198"/>
      <c r="W53" s="198"/>
      <c r="X53" s="198"/>
      <c r="Y53" s="198"/>
      <c r="Z53" s="198"/>
    </row>
    <row r="54" spans="1:26" ht="15.75" customHeight="1" x14ac:dyDescent="0.25">
      <c r="A54" s="213">
        <v>43053</v>
      </c>
      <c r="B54" s="214" t="s">
        <v>8542</v>
      </c>
      <c r="C54" s="215" t="s">
        <v>823</v>
      </c>
      <c r="D54" s="216">
        <v>7.41</v>
      </c>
      <c r="E54" s="198"/>
      <c r="F54" s="198"/>
      <c r="G54" s="198"/>
      <c r="H54" s="198"/>
      <c r="I54" s="198"/>
      <c r="J54" s="198"/>
      <c r="K54" s="198"/>
      <c r="L54" s="198"/>
      <c r="M54" s="198"/>
      <c r="N54" s="198"/>
      <c r="O54" s="198"/>
      <c r="P54" s="198"/>
      <c r="Q54" s="198"/>
      <c r="R54" s="198"/>
      <c r="S54" s="198"/>
      <c r="T54" s="198"/>
      <c r="U54" s="198"/>
      <c r="V54" s="198"/>
      <c r="W54" s="198"/>
      <c r="X54" s="198"/>
      <c r="Y54" s="198"/>
      <c r="Z54" s="198"/>
    </row>
    <row r="55" spans="1:26" ht="15.75" hidden="1" customHeight="1" x14ac:dyDescent="0.25">
      <c r="A55" s="213">
        <v>43058</v>
      </c>
      <c r="B55" s="214" t="s">
        <v>8543</v>
      </c>
      <c r="C55" s="215" t="s">
        <v>823</v>
      </c>
      <c r="D55" s="216">
        <v>7.68</v>
      </c>
      <c r="E55" s="198"/>
      <c r="F55" s="198"/>
      <c r="G55" s="198"/>
      <c r="H55" s="198"/>
      <c r="I55" s="198"/>
      <c r="J55" s="198"/>
      <c r="K55" s="198"/>
      <c r="L55" s="198"/>
      <c r="M55" s="198"/>
      <c r="N55" s="198"/>
      <c r="O55" s="198"/>
      <c r="P55" s="198"/>
      <c r="Q55" s="198"/>
      <c r="R55" s="198"/>
      <c r="S55" s="198"/>
      <c r="T55" s="198"/>
      <c r="U55" s="198"/>
      <c r="V55" s="198"/>
      <c r="W55" s="198"/>
      <c r="X55" s="198"/>
      <c r="Y55" s="198"/>
      <c r="Z55" s="198"/>
    </row>
    <row r="56" spans="1:26" ht="15.75" customHeight="1" x14ac:dyDescent="0.25">
      <c r="A56" s="213">
        <v>34</v>
      </c>
      <c r="B56" s="214" t="s">
        <v>8544</v>
      </c>
      <c r="C56" s="215" t="s">
        <v>823</v>
      </c>
      <c r="D56" s="216">
        <v>7.72</v>
      </c>
      <c r="E56" s="198"/>
      <c r="F56" s="198"/>
      <c r="G56" s="198"/>
      <c r="H56" s="198"/>
      <c r="I56" s="198"/>
      <c r="J56" s="198"/>
      <c r="K56" s="198"/>
      <c r="L56" s="198"/>
      <c r="M56" s="198"/>
      <c r="N56" s="198"/>
      <c r="O56" s="198"/>
      <c r="P56" s="198"/>
      <c r="Q56" s="198"/>
      <c r="R56" s="198"/>
      <c r="S56" s="198"/>
      <c r="T56" s="198"/>
      <c r="U56" s="198"/>
      <c r="V56" s="198"/>
      <c r="W56" s="198"/>
      <c r="X56" s="198"/>
      <c r="Y56" s="198"/>
      <c r="Z56" s="198"/>
    </row>
    <row r="57" spans="1:26" ht="15.75" customHeight="1" x14ac:dyDescent="0.25">
      <c r="A57" s="213">
        <v>43055</v>
      </c>
      <c r="B57" s="214" t="s">
        <v>8545</v>
      </c>
      <c r="C57" s="215" t="s">
        <v>823</v>
      </c>
      <c r="D57" s="216">
        <v>6.69</v>
      </c>
      <c r="E57" s="198"/>
      <c r="F57" s="198"/>
      <c r="G57" s="198"/>
      <c r="H57" s="198"/>
      <c r="I57" s="198"/>
      <c r="J57" s="198"/>
      <c r="K57" s="198"/>
      <c r="L57" s="198"/>
      <c r="M57" s="198"/>
      <c r="N57" s="198"/>
      <c r="O57" s="198"/>
      <c r="P57" s="198"/>
      <c r="Q57" s="198"/>
      <c r="R57" s="198"/>
      <c r="S57" s="198"/>
      <c r="T57" s="198"/>
      <c r="U57" s="198"/>
      <c r="V57" s="198"/>
      <c r="W57" s="198"/>
      <c r="X57" s="198"/>
      <c r="Y57" s="198"/>
      <c r="Z57" s="198"/>
    </row>
    <row r="58" spans="1:26" ht="15.75" customHeight="1" x14ac:dyDescent="0.25">
      <c r="A58" s="213">
        <v>43056</v>
      </c>
      <c r="B58" s="214" t="s">
        <v>8546</v>
      </c>
      <c r="C58" s="215" t="s">
        <v>823</v>
      </c>
      <c r="D58" s="216">
        <v>7.71</v>
      </c>
      <c r="E58" s="198"/>
      <c r="F58" s="198"/>
      <c r="G58" s="198"/>
      <c r="H58" s="198"/>
      <c r="I58" s="198"/>
      <c r="J58" s="198"/>
      <c r="K58" s="198"/>
      <c r="L58" s="198"/>
      <c r="M58" s="198"/>
      <c r="N58" s="198"/>
      <c r="O58" s="198"/>
      <c r="P58" s="198"/>
      <c r="Q58" s="198"/>
      <c r="R58" s="198"/>
      <c r="S58" s="198"/>
      <c r="T58" s="198"/>
      <c r="U58" s="198"/>
      <c r="V58" s="198"/>
      <c r="W58" s="198"/>
      <c r="X58" s="198"/>
      <c r="Y58" s="198"/>
      <c r="Z58" s="198"/>
    </row>
    <row r="59" spans="1:26" ht="15.75" customHeight="1" x14ac:dyDescent="0.25">
      <c r="A59" s="213">
        <v>43057</v>
      </c>
      <c r="B59" s="214" t="s">
        <v>8547</v>
      </c>
      <c r="C59" s="215" t="s">
        <v>823</v>
      </c>
      <c r="D59" s="216">
        <v>8.48</v>
      </c>
      <c r="E59" s="198"/>
      <c r="F59" s="198"/>
      <c r="G59" s="198"/>
      <c r="H59" s="198"/>
      <c r="I59" s="198"/>
      <c r="J59" s="198"/>
      <c r="K59" s="198"/>
      <c r="L59" s="198"/>
      <c r="M59" s="198"/>
      <c r="N59" s="198"/>
      <c r="O59" s="198"/>
      <c r="P59" s="198"/>
      <c r="Q59" s="198"/>
      <c r="R59" s="198"/>
      <c r="S59" s="198"/>
      <c r="T59" s="198"/>
      <c r="U59" s="198"/>
      <c r="V59" s="198"/>
      <c r="W59" s="198"/>
      <c r="X59" s="198"/>
      <c r="Y59" s="198"/>
      <c r="Z59" s="198"/>
    </row>
    <row r="60" spans="1:26" ht="15.75" hidden="1" customHeight="1" x14ac:dyDescent="0.25">
      <c r="A60" s="213">
        <v>34449</v>
      </c>
      <c r="B60" s="214" t="s">
        <v>8548</v>
      </c>
      <c r="C60" s="215" t="s">
        <v>823</v>
      </c>
      <c r="D60" s="216">
        <v>9.06</v>
      </c>
      <c r="E60" s="198"/>
      <c r="F60" s="198"/>
      <c r="G60" s="198"/>
      <c r="H60" s="198"/>
      <c r="I60" s="198"/>
      <c r="J60" s="198"/>
      <c r="K60" s="198"/>
      <c r="L60" s="198"/>
      <c r="M60" s="198"/>
      <c r="N60" s="198"/>
      <c r="O60" s="198"/>
      <c r="P60" s="198"/>
      <c r="Q60" s="198"/>
      <c r="R60" s="198"/>
      <c r="S60" s="198"/>
      <c r="T60" s="198"/>
      <c r="U60" s="198"/>
      <c r="V60" s="198"/>
      <c r="W60" s="198"/>
      <c r="X60" s="198"/>
      <c r="Y60" s="198"/>
      <c r="Z60" s="198"/>
    </row>
    <row r="61" spans="1:26" ht="15.75" customHeight="1" x14ac:dyDescent="0.25">
      <c r="A61" s="213">
        <v>32</v>
      </c>
      <c r="B61" s="214" t="s">
        <v>8549</v>
      </c>
      <c r="C61" s="215" t="s">
        <v>823</v>
      </c>
      <c r="D61" s="216">
        <v>8.15</v>
      </c>
      <c r="E61" s="198"/>
      <c r="F61" s="198"/>
      <c r="G61" s="198"/>
      <c r="H61" s="198"/>
      <c r="I61" s="198"/>
      <c r="J61" s="198"/>
      <c r="K61" s="198"/>
      <c r="L61" s="198"/>
      <c r="M61" s="198"/>
      <c r="N61" s="198"/>
      <c r="O61" s="198"/>
      <c r="P61" s="198"/>
      <c r="Q61" s="198"/>
      <c r="R61" s="198"/>
      <c r="S61" s="198"/>
      <c r="T61" s="198"/>
      <c r="U61" s="198"/>
      <c r="V61" s="198"/>
      <c r="W61" s="198"/>
      <c r="X61" s="198"/>
      <c r="Y61" s="198"/>
      <c r="Z61" s="198"/>
    </row>
    <row r="62" spans="1:26" ht="15.75" customHeight="1" x14ac:dyDescent="0.25">
      <c r="A62" s="213">
        <v>33</v>
      </c>
      <c r="B62" s="214" t="s">
        <v>8550</v>
      </c>
      <c r="C62" s="215" t="s">
        <v>823</v>
      </c>
      <c r="D62" s="216">
        <v>8.19</v>
      </c>
      <c r="E62" s="198"/>
      <c r="F62" s="198"/>
      <c r="G62" s="198"/>
      <c r="H62" s="198"/>
      <c r="I62" s="198"/>
      <c r="J62" s="198"/>
      <c r="K62" s="198"/>
      <c r="L62" s="198"/>
      <c r="M62" s="198"/>
      <c r="N62" s="198"/>
      <c r="O62" s="198"/>
      <c r="P62" s="198"/>
      <c r="Q62" s="198"/>
      <c r="R62" s="198"/>
      <c r="S62" s="198"/>
      <c r="T62" s="198"/>
      <c r="U62" s="198"/>
      <c r="V62" s="198"/>
      <c r="W62" s="198"/>
      <c r="X62" s="198"/>
      <c r="Y62" s="198"/>
      <c r="Z62" s="198"/>
    </row>
    <row r="63" spans="1:26" ht="15.75" hidden="1" customHeight="1" x14ac:dyDescent="0.25">
      <c r="A63" s="213">
        <v>43061</v>
      </c>
      <c r="B63" s="214" t="s">
        <v>8551</v>
      </c>
      <c r="C63" s="215" t="s">
        <v>823</v>
      </c>
      <c r="D63" s="216">
        <v>7.66</v>
      </c>
      <c r="E63" s="198"/>
      <c r="F63" s="198"/>
      <c r="G63" s="198"/>
      <c r="H63" s="198"/>
      <c r="I63" s="198"/>
      <c r="J63" s="198"/>
      <c r="K63" s="198"/>
      <c r="L63" s="198"/>
      <c r="M63" s="198"/>
      <c r="N63" s="198"/>
      <c r="O63" s="198"/>
      <c r="P63" s="198"/>
      <c r="Q63" s="198"/>
      <c r="R63" s="198"/>
      <c r="S63" s="198"/>
      <c r="T63" s="198"/>
      <c r="U63" s="198"/>
      <c r="V63" s="198"/>
      <c r="W63" s="198"/>
      <c r="X63" s="198"/>
      <c r="Y63" s="198"/>
      <c r="Z63" s="198"/>
    </row>
    <row r="64" spans="1:26" ht="15.75" customHeight="1" x14ac:dyDescent="0.25">
      <c r="A64" s="213">
        <v>43059</v>
      </c>
      <c r="B64" s="214" t="s">
        <v>8552</v>
      </c>
      <c r="C64" s="215" t="s">
        <v>823</v>
      </c>
      <c r="D64" s="216">
        <v>7.31</v>
      </c>
      <c r="E64" s="198"/>
      <c r="F64" s="198"/>
      <c r="G64" s="198"/>
      <c r="H64" s="198"/>
      <c r="I64" s="198"/>
      <c r="J64" s="198"/>
      <c r="K64" s="198"/>
      <c r="L64" s="198"/>
      <c r="M64" s="198"/>
      <c r="N64" s="198"/>
      <c r="O64" s="198"/>
      <c r="P64" s="198"/>
      <c r="Q64" s="198"/>
      <c r="R64" s="198"/>
      <c r="S64" s="198"/>
      <c r="T64" s="198"/>
      <c r="U64" s="198"/>
      <c r="V64" s="198"/>
      <c r="W64" s="198"/>
      <c r="X64" s="198"/>
      <c r="Y64" s="198"/>
      <c r="Z64" s="198"/>
    </row>
    <row r="65" spans="1:26" ht="15.75" hidden="1" customHeight="1" x14ac:dyDescent="0.25">
      <c r="A65" s="213">
        <v>43062</v>
      </c>
      <c r="B65" s="214" t="s">
        <v>8553</v>
      </c>
      <c r="C65" s="215" t="s">
        <v>823</v>
      </c>
      <c r="D65" s="216">
        <v>8.1</v>
      </c>
      <c r="E65" s="198"/>
      <c r="F65" s="198"/>
      <c r="G65" s="198"/>
      <c r="H65" s="198"/>
      <c r="I65" s="198"/>
      <c r="J65" s="198"/>
      <c r="K65" s="198"/>
      <c r="L65" s="198"/>
      <c r="M65" s="198"/>
      <c r="N65" s="198"/>
      <c r="O65" s="198"/>
      <c r="P65" s="198"/>
      <c r="Q65" s="198"/>
      <c r="R65" s="198"/>
      <c r="S65" s="198"/>
      <c r="T65" s="198"/>
      <c r="U65" s="198"/>
      <c r="V65" s="198"/>
      <c r="W65" s="198"/>
      <c r="X65" s="198"/>
      <c r="Y65" s="198"/>
      <c r="Z65" s="198"/>
    </row>
    <row r="66" spans="1:26" ht="15.75" customHeight="1" x14ac:dyDescent="0.25">
      <c r="A66" s="213">
        <v>43060</v>
      </c>
      <c r="B66" s="214" t="s">
        <v>8554</v>
      </c>
      <c r="C66" s="215" t="s">
        <v>823</v>
      </c>
      <c r="D66" s="216">
        <v>6.36</v>
      </c>
      <c r="E66" s="198"/>
      <c r="F66" s="198"/>
      <c r="G66" s="198"/>
      <c r="H66" s="198"/>
      <c r="I66" s="198"/>
      <c r="J66" s="198"/>
      <c r="K66" s="198"/>
      <c r="L66" s="198"/>
      <c r="M66" s="198"/>
      <c r="N66" s="198"/>
      <c r="O66" s="198"/>
      <c r="P66" s="198"/>
      <c r="Q66" s="198"/>
      <c r="R66" s="198"/>
      <c r="S66" s="198"/>
      <c r="T66" s="198"/>
      <c r="U66" s="198"/>
      <c r="V66" s="198"/>
      <c r="W66" s="198"/>
      <c r="X66" s="198"/>
      <c r="Y66" s="198"/>
      <c r="Z66" s="198"/>
    </row>
    <row r="67" spans="1:26" ht="15.75" hidden="1" customHeight="1" x14ac:dyDescent="0.25">
      <c r="A67" s="213">
        <v>44254</v>
      </c>
      <c r="B67" s="214" t="s">
        <v>8555</v>
      </c>
      <c r="C67" s="215" t="s">
        <v>580</v>
      </c>
      <c r="D67" s="216">
        <v>32.090000000000003</v>
      </c>
      <c r="E67" s="198"/>
      <c r="F67" s="198"/>
      <c r="G67" s="198"/>
      <c r="H67" s="198"/>
      <c r="I67" s="198"/>
      <c r="J67" s="198"/>
      <c r="K67" s="198"/>
      <c r="L67" s="198"/>
      <c r="M67" s="198"/>
      <c r="N67" s="198"/>
      <c r="O67" s="198"/>
      <c r="P67" s="198"/>
      <c r="Q67" s="198"/>
      <c r="R67" s="198"/>
      <c r="S67" s="198"/>
      <c r="T67" s="198"/>
      <c r="U67" s="198"/>
      <c r="V67" s="198"/>
      <c r="W67" s="198"/>
      <c r="X67" s="198"/>
      <c r="Y67" s="198"/>
      <c r="Z67" s="198"/>
    </row>
    <row r="68" spans="1:26" ht="15.75" hidden="1" customHeight="1" x14ac:dyDescent="0.25">
      <c r="A68" s="213">
        <v>44255</v>
      </c>
      <c r="B68" s="214" t="s">
        <v>8556</v>
      </c>
      <c r="C68" s="215" t="s">
        <v>580</v>
      </c>
      <c r="D68" s="216">
        <v>35.57</v>
      </c>
      <c r="E68" s="198"/>
      <c r="F68" s="198"/>
      <c r="G68" s="198"/>
      <c r="H68" s="198"/>
      <c r="I68" s="198"/>
      <c r="J68" s="198"/>
      <c r="K68" s="198"/>
      <c r="L68" s="198"/>
      <c r="M68" s="198"/>
      <c r="N68" s="198"/>
      <c r="O68" s="198"/>
      <c r="P68" s="198"/>
      <c r="Q68" s="198"/>
      <c r="R68" s="198"/>
      <c r="S68" s="198"/>
      <c r="T68" s="198"/>
      <c r="U68" s="198"/>
      <c r="V68" s="198"/>
      <c r="W68" s="198"/>
      <c r="X68" s="198"/>
      <c r="Y68" s="198"/>
      <c r="Z68" s="198"/>
    </row>
    <row r="69" spans="1:26" ht="15.75" hidden="1" customHeight="1" x14ac:dyDescent="0.25">
      <c r="A69" s="213">
        <v>44256</v>
      </c>
      <c r="B69" s="214" t="s">
        <v>8557</v>
      </c>
      <c r="C69" s="215" t="s">
        <v>580</v>
      </c>
      <c r="D69" s="216">
        <v>40.18</v>
      </c>
      <c r="E69" s="198"/>
      <c r="F69" s="198"/>
      <c r="G69" s="198"/>
      <c r="H69" s="198"/>
      <c r="I69" s="198"/>
      <c r="J69" s="198"/>
      <c r="K69" s="198"/>
      <c r="L69" s="198"/>
      <c r="M69" s="198"/>
      <c r="N69" s="198"/>
      <c r="O69" s="198"/>
      <c r="P69" s="198"/>
      <c r="Q69" s="198"/>
      <c r="R69" s="198"/>
      <c r="S69" s="198"/>
      <c r="T69" s="198"/>
      <c r="U69" s="198"/>
      <c r="V69" s="198"/>
      <c r="W69" s="198"/>
      <c r="X69" s="198"/>
      <c r="Y69" s="198"/>
      <c r="Z69" s="198"/>
    </row>
    <row r="70" spans="1:26" ht="15.75" hidden="1" customHeight="1" x14ac:dyDescent="0.25">
      <c r="A70" s="213">
        <v>44257</v>
      </c>
      <c r="B70" s="214" t="s">
        <v>8558</v>
      </c>
      <c r="C70" s="215" t="s">
        <v>580</v>
      </c>
      <c r="D70" s="216">
        <v>63.56</v>
      </c>
      <c r="E70" s="198"/>
      <c r="F70" s="198"/>
      <c r="G70" s="198"/>
      <c r="H70" s="198"/>
      <c r="I70" s="198"/>
      <c r="J70" s="198"/>
      <c r="K70" s="198"/>
      <c r="L70" s="198"/>
      <c r="M70" s="198"/>
      <c r="N70" s="198"/>
      <c r="O70" s="198"/>
      <c r="P70" s="198"/>
      <c r="Q70" s="198"/>
      <c r="R70" s="198"/>
      <c r="S70" s="198"/>
      <c r="T70" s="198"/>
      <c r="U70" s="198"/>
      <c r="V70" s="198"/>
      <c r="W70" s="198"/>
      <c r="X70" s="198"/>
      <c r="Y70" s="198"/>
      <c r="Z70" s="198"/>
    </row>
    <row r="71" spans="1:26" ht="15.75" hidden="1" customHeight="1" x14ac:dyDescent="0.25">
      <c r="A71" s="213">
        <v>44258</v>
      </c>
      <c r="B71" s="214" t="s">
        <v>8559</v>
      </c>
      <c r="C71" s="215" t="s">
        <v>580</v>
      </c>
      <c r="D71" s="216">
        <v>72.64</v>
      </c>
      <c r="E71" s="198"/>
      <c r="F71" s="198"/>
      <c r="G71" s="198"/>
      <c r="H71" s="198"/>
      <c r="I71" s="198"/>
      <c r="J71" s="198"/>
      <c r="K71" s="198"/>
      <c r="L71" s="198"/>
      <c r="M71" s="198"/>
      <c r="N71" s="198"/>
      <c r="O71" s="198"/>
      <c r="P71" s="198"/>
      <c r="Q71" s="198"/>
      <c r="R71" s="198"/>
      <c r="S71" s="198"/>
      <c r="T71" s="198"/>
      <c r="U71" s="198"/>
      <c r="V71" s="198"/>
      <c r="W71" s="198"/>
      <c r="X71" s="198"/>
      <c r="Y71" s="198"/>
      <c r="Z71" s="198"/>
    </row>
    <row r="72" spans="1:26" ht="15.75" hidden="1" customHeight="1" x14ac:dyDescent="0.25">
      <c r="A72" s="213">
        <v>44259</v>
      </c>
      <c r="B72" s="214" t="s">
        <v>8560</v>
      </c>
      <c r="C72" s="215" t="s">
        <v>580</v>
      </c>
      <c r="D72" s="216">
        <v>99.71</v>
      </c>
      <c r="E72" s="198"/>
      <c r="F72" s="198"/>
      <c r="G72" s="198"/>
      <c r="H72" s="198"/>
      <c r="I72" s="198"/>
      <c r="J72" s="198"/>
      <c r="K72" s="198"/>
      <c r="L72" s="198"/>
      <c r="M72" s="198"/>
      <c r="N72" s="198"/>
      <c r="O72" s="198"/>
      <c r="P72" s="198"/>
      <c r="Q72" s="198"/>
      <c r="R72" s="198"/>
      <c r="S72" s="198"/>
      <c r="T72" s="198"/>
      <c r="U72" s="198"/>
      <c r="V72" s="198"/>
      <c r="W72" s="198"/>
      <c r="X72" s="198"/>
      <c r="Y72" s="198"/>
      <c r="Z72" s="198"/>
    </row>
    <row r="73" spans="1:26" ht="15.75" hidden="1" customHeight="1" x14ac:dyDescent="0.25">
      <c r="A73" s="213">
        <v>37997</v>
      </c>
      <c r="B73" s="214" t="s">
        <v>8561</v>
      </c>
      <c r="C73" s="215" t="s">
        <v>580</v>
      </c>
      <c r="D73" s="216">
        <v>19.12</v>
      </c>
      <c r="E73" s="198"/>
      <c r="F73" s="198"/>
      <c r="G73" s="198"/>
      <c r="H73" s="198"/>
      <c r="I73" s="198"/>
      <c r="J73" s="198"/>
      <c r="K73" s="198"/>
      <c r="L73" s="198"/>
      <c r="M73" s="198"/>
      <c r="N73" s="198"/>
      <c r="O73" s="198"/>
      <c r="P73" s="198"/>
      <c r="Q73" s="198"/>
      <c r="R73" s="198"/>
      <c r="S73" s="198"/>
      <c r="T73" s="198"/>
      <c r="U73" s="198"/>
      <c r="V73" s="198"/>
      <c r="W73" s="198"/>
      <c r="X73" s="198"/>
      <c r="Y73" s="198"/>
      <c r="Z73" s="198"/>
    </row>
    <row r="74" spans="1:26" ht="15.75" hidden="1" customHeight="1" x14ac:dyDescent="0.25">
      <c r="A74" s="213">
        <v>37998</v>
      </c>
      <c r="B74" s="214" t="s">
        <v>8562</v>
      </c>
      <c r="C74" s="215" t="s">
        <v>580</v>
      </c>
      <c r="D74" s="216">
        <v>25.59</v>
      </c>
      <c r="E74" s="198"/>
      <c r="F74" s="198"/>
      <c r="G74" s="198"/>
      <c r="H74" s="198"/>
      <c r="I74" s="198"/>
      <c r="J74" s="198"/>
      <c r="K74" s="198"/>
      <c r="L74" s="198"/>
      <c r="M74" s="198"/>
      <c r="N74" s="198"/>
      <c r="O74" s="198"/>
      <c r="P74" s="198"/>
      <c r="Q74" s="198"/>
      <c r="R74" s="198"/>
      <c r="S74" s="198"/>
      <c r="T74" s="198"/>
      <c r="U74" s="198"/>
      <c r="V74" s="198"/>
      <c r="W74" s="198"/>
      <c r="X74" s="198"/>
      <c r="Y74" s="198"/>
      <c r="Z74" s="198"/>
    </row>
    <row r="75" spans="1:26" ht="15.75" hidden="1" customHeight="1" x14ac:dyDescent="0.25">
      <c r="A75" s="213">
        <v>10899</v>
      </c>
      <c r="B75" s="214" t="s">
        <v>8563</v>
      </c>
      <c r="C75" s="215" t="s">
        <v>580</v>
      </c>
      <c r="D75" s="216">
        <v>122.66</v>
      </c>
      <c r="E75" s="198"/>
      <c r="F75" s="198"/>
      <c r="G75" s="198"/>
      <c r="H75" s="198"/>
      <c r="I75" s="198"/>
      <c r="J75" s="198"/>
      <c r="K75" s="198"/>
      <c r="L75" s="198"/>
      <c r="M75" s="198"/>
      <c r="N75" s="198"/>
      <c r="O75" s="198"/>
      <c r="P75" s="198"/>
      <c r="Q75" s="198"/>
      <c r="R75" s="198"/>
      <c r="S75" s="198"/>
      <c r="T75" s="198"/>
      <c r="U75" s="198"/>
      <c r="V75" s="198"/>
      <c r="W75" s="198"/>
      <c r="X75" s="198"/>
      <c r="Y75" s="198"/>
      <c r="Z75" s="198"/>
    </row>
    <row r="76" spans="1:26" ht="15.75" hidden="1" customHeight="1" x14ac:dyDescent="0.25">
      <c r="A76" s="213">
        <v>10900</v>
      </c>
      <c r="B76" s="214" t="s">
        <v>8564</v>
      </c>
      <c r="C76" s="215" t="s">
        <v>580</v>
      </c>
      <c r="D76" s="216">
        <v>95.99</v>
      </c>
      <c r="E76" s="198"/>
      <c r="F76" s="198"/>
      <c r="G76" s="198"/>
      <c r="H76" s="198"/>
      <c r="I76" s="198"/>
      <c r="J76" s="198"/>
      <c r="K76" s="198"/>
      <c r="L76" s="198"/>
      <c r="M76" s="198"/>
      <c r="N76" s="198"/>
      <c r="O76" s="198"/>
      <c r="P76" s="198"/>
      <c r="Q76" s="198"/>
      <c r="R76" s="198"/>
      <c r="S76" s="198"/>
      <c r="T76" s="198"/>
      <c r="U76" s="198"/>
      <c r="V76" s="198"/>
      <c r="W76" s="198"/>
      <c r="X76" s="198"/>
      <c r="Y76" s="198"/>
      <c r="Z76" s="198"/>
    </row>
    <row r="77" spans="1:26" ht="15.75" hidden="1" customHeight="1" x14ac:dyDescent="0.25">
      <c r="A77" s="213">
        <v>103</v>
      </c>
      <c r="B77" s="214" t="s">
        <v>8565</v>
      </c>
      <c r="C77" s="215" t="s">
        <v>580</v>
      </c>
      <c r="D77" s="216">
        <v>36.450000000000003</v>
      </c>
      <c r="E77" s="198"/>
      <c r="F77" s="198"/>
      <c r="G77" s="198"/>
      <c r="H77" s="198"/>
      <c r="I77" s="198"/>
      <c r="J77" s="198"/>
      <c r="K77" s="198"/>
      <c r="L77" s="198"/>
      <c r="M77" s="198"/>
      <c r="N77" s="198"/>
      <c r="O77" s="198"/>
      <c r="P77" s="198"/>
      <c r="Q77" s="198"/>
      <c r="R77" s="198"/>
      <c r="S77" s="198"/>
      <c r="T77" s="198"/>
      <c r="U77" s="198"/>
      <c r="V77" s="198"/>
      <c r="W77" s="198"/>
      <c r="X77" s="198"/>
      <c r="Y77" s="198"/>
      <c r="Z77" s="198"/>
    </row>
    <row r="78" spans="1:26" ht="15.75" hidden="1" customHeight="1" x14ac:dyDescent="0.25">
      <c r="A78" s="213">
        <v>107</v>
      </c>
      <c r="B78" s="214" t="s">
        <v>8566</v>
      </c>
      <c r="C78" s="215" t="s">
        <v>580</v>
      </c>
      <c r="D78" s="216">
        <v>0.68</v>
      </c>
      <c r="E78" s="198"/>
      <c r="F78" s="198"/>
      <c r="G78" s="198"/>
      <c r="H78" s="198"/>
      <c r="I78" s="198"/>
      <c r="J78" s="198"/>
      <c r="K78" s="198"/>
      <c r="L78" s="198"/>
      <c r="M78" s="198"/>
      <c r="N78" s="198"/>
      <c r="O78" s="198"/>
      <c r="P78" s="198"/>
      <c r="Q78" s="198"/>
      <c r="R78" s="198"/>
      <c r="S78" s="198"/>
      <c r="T78" s="198"/>
      <c r="U78" s="198"/>
      <c r="V78" s="198"/>
      <c r="W78" s="198"/>
      <c r="X78" s="198"/>
      <c r="Y78" s="198"/>
      <c r="Z78" s="198"/>
    </row>
    <row r="79" spans="1:26" ht="15.75" hidden="1" customHeight="1" x14ac:dyDescent="0.25">
      <c r="A79" s="213">
        <v>65</v>
      </c>
      <c r="B79" s="214" t="s">
        <v>8567</v>
      </c>
      <c r="C79" s="215" t="s">
        <v>580</v>
      </c>
      <c r="D79" s="216">
        <v>0.75</v>
      </c>
      <c r="E79" s="198"/>
      <c r="F79" s="198"/>
      <c r="G79" s="198"/>
      <c r="H79" s="198"/>
      <c r="I79" s="198"/>
      <c r="J79" s="198"/>
      <c r="K79" s="198"/>
      <c r="L79" s="198"/>
      <c r="M79" s="198"/>
      <c r="N79" s="198"/>
      <c r="O79" s="198"/>
      <c r="P79" s="198"/>
      <c r="Q79" s="198"/>
      <c r="R79" s="198"/>
      <c r="S79" s="198"/>
      <c r="T79" s="198"/>
      <c r="U79" s="198"/>
      <c r="V79" s="198"/>
      <c r="W79" s="198"/>
      <c r="X79" s="198"/>
      <c r="Y79" s="198"/>
      <c r="Z79" s="198"/>
    </row>
    <row r="80" spans="1:26" ht="15.75" hidden="1" customHeight="1" x14ac:dyDescent="0.25">
      <c r="A80" s="213">
        <v>108</v>
      </c>
      <c r="B80" s="214" t="s">
        <v>8568</v>
      </c>
      <c r="C80" s="215" t="s">
        <v>580</v>
      </c>
      <c r="D80" s="216">
        <v>1.51</v>
      </c>
      <c r="E80" s="198"/>
      <c r="F80" s="198"/>
      <c r="G80" s="198"/>
      <c r="H80" s="198"/>
      <c r="I80" s="198"/>
      <c r="J80" s="198"/>
      <c r="K80" s="198"/>
      <c r="L80" s="198"/>
      <c r="M80" s="198"/>
      <c r="N80" s="198"/>
      <c r="O80" s="198"/>
      <c r="P80" s="198"/>
      <c r="Q80" s="198"/>
      <c r="R80" s="198"/>
      <c r="S80" s="198"/>
      <c r="T80" s="198"/>
      <c r="U80" s="198"/>
      <c r="V80" s="198"/>
      <c r="W80" s="198"/>
      <c r="X80" s="198"/>
      <c r="Y80" s="198"/>
      <c r="Z80" s="198"/>
    </row>
    <row r="81" spans="1:26" ht="15.75" hidden="1" customHeight="1" x14ac:dyDescent="0.25">
      <c r="A81" s="213">
        <v>110</v>
      </c>
      <c r="B81" s="214" t="s">
        <v>8569</v>
      </c>
      <c r="C81" s="215" t="s">
        <v>580</v>
      </c>
      <c r="D81" s="216">
        <v>5.24</v>
      </c>
      <c r="E81" s="198"/>
      <c r="F81" s="198"/>
      <c r="G81" s="198"/>
      <c r="H81" s="198"/>
      <c r="I81" s="198"/>
      <c r="J81" s="198"/>
      <c r="K81" s="198"/>
      <c r="L81" s="198"/>
      <c r="M81" s="198"/>
      <c r="N81" s="198"/>
      <c r="O81" s="198"/>
      <c r="P81" s="198"/>
      <c r="Q81" s="198"/>
      <c r="R81" s="198"/>
      <c r="S81" s="198"/>
      <c r="T81" s="198"/>
      <c r="U81" s="198"/>
      <c r="V81" s="198"/>
      <c r="W81" s="198"/>
      <c r="X81" s="198"/>
      <c r="Y81" s="198"/>
      <c r="Z81" s="198"/>
    </row>
    <row r="82" spans="1:26" ht="15.75" hidden="1" customHeight="1" x14ac:dyDescent="0.25">
      <c r="A82" s="213">
        <v>109</v>
      </c>
      <c r="B82" s="214" t="s">
        <v>8570</v>
      </c>
      <c r="C82" s="215" t="s">
        <v>580</v>
      </c>
      <c r="D82" s="216">
        <v>3.12</v>
      </c>
      <c r="E82" s="198"/>
      <c r="F82" s="198"/>
      <c r="G82" s="198"/>
      <c r="H82" s="198"/>
      <c r="I82" s="198"/>
      <c r="J82" s="198"/>
      <c r="K82" s="198"/>
      <c r="L82" s="198"/>
      <c r="M82" s="198"/>
      <c r="N82" s="198"/>
      <c r="O82" s="198"/>
      <c r="P82" s="198"/>
      <c r="Q82" s="198"/>
      <c r="R82" s="198"/>
      <c r="S82" s="198"/>
      <c r="T82" s="198"/>
      <c r="U82" s="198"/>
      <c r="V82" s="198"/>
      <c r="W82" s="198"/>
      <c r="X82" s="198"/>
      <c r="Y82" s="198"/>
      <c r="Z82" s="198"/>
    </row>
    <row r="83" spans="1:26" ht="15.75" hidden="1" customHeight="1" x14ac:dyDescent="0.25">
      <c r="A83" s="213">
        <v>111</v>
      </c>
      <c r="B83" s="214" t="s">
        <v>8571</v>
      </c>
      <c r="C83" s="215" t="s">
        <v>580</v>
      </c>
      <c r="D83" s="216">
        <v>7.09</v>
      </c>
      <c r="E83" s="198"/>
      <c r="F83" s="198"/>
      <c r="G83" s="198"/>
      <c r="H83" s="198"/>
      <c r="I83" s="198"/>
      <c r="J83" s="198"/>
      <c r="K83" s="198"/>
      <c r="L83" s="198"/>
      <c r="M83" s="198"/>
      <c r="N83" s="198"/>
      <c r="O83" s="198"/>
      <c r="P83" s="198"/>
      <c r="Q83" s="198"/>
      <c r="R83" s="198"/>
      <c r="S83" s="198"/>
      <c r="T83" s="198"/>
      <c r="U83" s="198"/>
      <c r="V83" s="198"/>
      <c r="W83" s="198"/>
      <c r="X83" s="198"/>
      <c r="Y83" s="198"/>
      <c r="Z83" s="198"/>
    </row>
    <row r="84" spans="1:26" ht="15.75" hidden="1" customHeight="1" x14ac:dyDescent="0.25">
      <c r="A84" s="213">
        <v>112</v>
      </c>
      <c r="B84" s="214" t="s">
        <v>8572</v>
      </c>
      <c r="C84" s="215" t="s">
        <v>580</v>
      </c>
      <c r="D84" s="216">
        <v>3.76</v>
      </c>
      <c r="E84" s="198"/>
      <c r="F84" s="198"/>
      <c r="G84" s="198"/>
      <c r="H84" s="198"/>
      <c r="I84" s="198"/>
      <c r="J84" s="198"/>
      <c r="K84" s="198"/>
      <c r="L84" s="198"/>
      <c r="M84" s="198"/>
      <c r="N84" s="198"/>
      <c r="O84" s="198"/>
      <c r="P84" s="198"/>
      <c r="Q84" s="198"/>
      <c r="R84" s="198"/>
      <c r="S84" s="198"/>
      <c r="T84" s="198"/>
      <c r="U84" s="198"/>
      <c r="V84" s="198"/>
      <c r="W84" s="198"/>
      <c r="X84" s="198"/>
      <c r="Y84" s="198"/>
      <c r="Z84" s="198"/>
    </row>
    <row r="85" spans="1:26" ht="15.75" hidden="1" customHeight="1" x14ac:dyDescent="0.25">
      <c r="A85" s="213">
        <v>113</v>
      </c>
      <c r="B85" s="214" t="s">
        <v>8573</v>
      </c>
      <c r="C85" s="215" t="s">
        <v>580</v>
      </c>
      <c r="D85" s="216">
        <v>9.41</v>
      </c>
      <c r="E85" s="198"/>
      <c r="F85" s="198"/>
      <c r="G85" s="198"/>
      <c r="H85" s="198"/>
      <c r="I85" s="198"/>
      <c r="J85" s="198"/>
      <c r="K85" s="198"/>
      <c r="L85" s="198"/>
      <c r="M85" s="198"/>
      <c r="N85" s="198"/>
      <c r="O85" s="198"/>
      <c r="P85" s="198"/>
      <c r="Q85" s="198"/>
      <c r="R85" s="198"/>
      <c r="S85" s="198"/>
      <c r="T85" s="198"/>
      <c r="U85" s="198"/>
      <c r="V85" s="198"/>
      <c r="W85" s="198"/>
      <c r="X85" s="198"/>
      <c r="Y85" s="198"/>
      <c r="Z85" s="198"/>
    </row>
    <row r="86" spans="1:26" ht="15.75" hidden="1" customHeight="1" x14ac:dyDescent="0.25">
      <c r="A86" s="213">
        <v>104</v>
      </c>
      <c r="B86" s="214" t="s">
        <v>8574</v>
      </c>
      <c r="C86" s="215" t="s">
        <v>580</v>
      </c>
      <c r="D86" s="216">
        <v>16.38</v>
      </c>
      <c r="E86" s="198"/>
      <c r="F86" s="198"/>
      <c r="G86" s="198"/>
      <c r="H86" s="198"/>
      <c r="I86" s="198"/>
      <c r="J86" s="198"/>
      <c r="K86" s="198"/>
      <c r="L86" s="198"/>
      <c r="M86" s="198"/>
      <c r="N86" s="198"/>
      <c r="O86" s="198"/>
      <c r="P86" s="198"/>
      <c r="Q86" s="198"/>
      <c r="R86" s="198"/>
      <c r="S86" s="198"/>
      <c r="T86" s="198"/>
      <c r="U86" s="198"/>
      <c r="V86" s="198"/>
      <c r="W86" s="198"/>
      <c r="X86" s="198"/>
      <c r="Y86" s="198"/>
      <c r="Z86" s="198"/>
    </row>
    <row r="87" spans="1:26" ht="15.75" hidden="1" customHeight="1" x14ac:dyDescent="0.25">
      <c r="A87" s="213">
        <v>102</v>
      </c>
      <c r="B87" s="214" t="s">
        <v>8575</v>
      </c>
      <c r="C87" s="215" t="s">
        <v>580</v>
      </c>
      <c r="D87" s="216">
        <v>22.59</v>
      </c>
      <c r="E87" s="198"/>
      <c r="F87" s="198"/>
      <c r="G87" s="198"/>
      <c r="H87" s="198"/>
      <c r="I87" s="198"/>
      <c r="J87" s="198"/>
      <c r="K87" s="198"/>
      <c r="L87" s="198"/>
      <c r="M87" s="198"/>
      <c r="N87" s="198"/>
      <c r="O87" s="198"/>
      <c r="P87" s="198"/>
      <c r="Q87" s="198"/>
      <c r="R87" s="198"/>
      <c r="S87" s="198"/>
      <c r="T87" s="198"/>
      <c r="U87" s="198"/>
      <c r="V87" s="198"/>
      <c r="W87" s="198"/>
      <c r="X87" s="198"/>
      <c r="Y87" s="198"/>
      <c r="Z87" s="198"/>
    </row>
    <row r="88" spans="1:26" ht="15.75" hidden="1" customHeight="1" x14ac:dyDescent="0.25">
      <c r="A88" s="213">
        <v>95</v>
      </c>
      <c r="B88" s="214" t="s">
        <v>8576</v>
      </c>
      <c r="C88" s="215" t="s">
        <v>580</v>
      </c>
      <c r="D88" s="216">
        <v>9.5399999999999991</v>
      </c>
      <c r="E88" s="198"/>
      <c r="F88" s="198"/>
      <c r="G88" s="198"/>
      <c r="H88" s="198"/>
      <c r="I88" s="198"/>
      <c r="J88" s="198"/>
      <c r="K88" s="198"/>
      <c r="L88" s="198"/>
      <c r="M88" s="198"/>
      <c r="N88" s="198"/>
      <c r="O88" s="198"/>
      <c r="P88" s="198"/>
      <c r="Q88" s="198"/>
      <c r="R88" s="198"/>
      <c r="S88" s="198"/>
      <c r="T88" s="198"/>
      <c r="U88" s="198"/>
      <c r="V88" s="198"/>
      <c r="W88" s="198"/>
      <c r="X88" s="198"/>
      <c r="Y88" s="198"/>
      <c r="Z88" s="198"/>
    </row>
    <row r="89" spans="1:26" ht="15.75" hidden="1" customHeight="1" x14ac:dyDescent="0.25">
      <c r="A89" s="213">
        <v>96</v>
      </c>
      <c r="B89" s="214" t="s">
        <v>8577</v>
      </c>
      <c r="C89" s="215" t="s">
        <v>580</v>
      </c>
      <c r="D89" s="216">
        <v>10.38</v>
      </c>
      <c r="E89" s="198"/>
      <c r="F89" s="198"/>
      <c r="G89" s="198"/>
      <c r="H89" s="198"/>
      <c r="I89" s="198"/>
      <c r="J89" s="198"/>
      <c r="K89" s="198"/>
      <c r="L89" s="198"/>
      <c r="M89" s="198"/>
      <c r="N89" s="198"/>
      <c r="O89" s="198"/>
      <c r="P89" s="198"/>
      <c r="Q89" s="198"/>
      <c r="R89" s="198"/>
      <c r="S89" s="198"/>
      <c r="T89" s="198"/>
      <c r="U89" s="198"/>
      <c r="V89" s="198"/>
      <c r="W89" s="198"/>
      <c r="X89" s="198"/>
      <c r="Y89" s="198"/>
      <c r="Z89" s="198"/>
    </row>
    <row r="90" spans="1:26" ht="15.75" hidden="1" customHeight="1" x14ac:dyDescent="0.25">
      <c r="A90" s="213">
        <v>97</v>
      </c>
      <c r="B90" s="214" t="s">
        <v>8578</v>
      </c>
      <c r="C90" s="215" t="s">
        <v>580</v>
      </c>
      <c r="D90" s="216">
        <v>15.62</v>
      </c>
      <c r="E90" s="198"/>
      <c r="F90" s="198"/>
      <c r="G90" s="198"/>
      <c r="H90" s="198"/>
      <c r="I90" s="198"/>
      <c r="J90" s="198"/>
      <c r="K90" s="198"/>
      <c r="L90" s="198"/>
      <c r="M90" s="198"/>
      <c r="N90" s="198"/>
      <c r="O90" s="198"/>
      <c r="P90" s="198"/>
      <c r="Q90" s="198"/>
      <c r="R90" s="198"/>
      <c r="S90" s="198"/>
      <c r="T90" s="198"/>
      <c r="U90" s="198"/>
      <c r="V90" s="198"/>
      <c r="W90" s="198"/>
      <c r="X90" s="198"/>
      <c r="Y90" s="198"/>
      <c r="Z90" s="198"/>
    </row>
    <row r="91" spans="1:26" ht="15.75" hidden="1" customHeight="1" x14ac:dyDescent="0.25">
      <c r="A91" s="213">
        <v>98</v>
      </c>
      <c r="B91" s="214" t="s">
        <v>8579</v>
      </c>
      <c r="C91" s="215" t="s">
        <v>580</v>
      </c>
      <c r="D91" s="216">
        <v>23.38</v>
      </c>
      <c r="E91" s="198"/>
      <c r="F91" s="198"/>
      <c r="G91" s="198"/>
      <c r="H91" s="198"/>
      <c r="I91" s="198"/>
      <c r="J91" s="198"/>
      <c r="K91" s="198"/>
      <c r="L91" s="198"/>
      <c r="M91" s="198"/>
      <c r="N91" s="198"/>
      <c r="O91" s="198"/>
      <c r="P91" s="198"/>
      <c r="Q91" s="198"/>
      <c r="R91" s="198"/>
      <c r="S91" s="198"/>
      <c r="T91" s="198"/>
      <c r="U91" s="198"/>
      <c r="V91" s="198"/>
      <c r="W91" s="198"/>
      <c r="X91" s="198"/>
      <c r="Y91" s="198"/>
      <c r="Z91" s="198"/>
    </row>
    <row r="92" spans="1:26" ht="15.75" hidden="1" customHeight="1" x14ac:dyDescent="0.25">
      <c r="A92" s="213">
        <v>99</v>
      </c>
      <c r="B92" s="214" t="s">
        <v>8580</v>
      </c>
      <c r="C92" s="215" t="s">
        <v>580</v>
      </c>
      <c r="D92" s="216">
        <v>22.1</v>
      </c>
      <c r="E92" s="198"/>
      <c r="F92" s="198"/>
      <c r="G92" s="198"/>
      <c r="H92" s="198"/>
      <c r="I92" s="198"/>
      <c r="J92" s="198"/>
      <c r="K92" s="198"/>
      <c r="L92" s="198"/>
      <c r="M92" s="198"/>
      <c r="N92" s="198"/>
      <c r="O92" s="198"/>
      <c r="P92" s="198"/>
      <c r="Q92" s="198"/>
      <c r="R92" s="198"/>
      <c r="S92" s="198"/>
      <c r="T92" s="198"/>
      <c r="U92" s="198"/>
      <c r="V92" s="198"/>
      <c r="W92" s="198"/>
      <c r="X92" s="198"/>
      <c r="Y92" s="198"/>
      <c r="Z92" s="198"/>
    </row>
    <row r="93" spans="1:26" ht="15.75" hidden="1" customHeight="1" x14ac:dyDescent="0.25">
      <c r="A93" s="213">
        <v>72</v>
      </c>
      <c r="B93" s="214" t="s">
        <v>8581</v>
      </c>
      <c r="C93" s="215" t="s">
        <v>580</v>
      </c>
      <c r="D93" s="216">
        <v>42.38</v>
      </c>
      <c r="E93" s="198"/>
      <c r="F93" s="198"/>
      <c r="G93" s="198"/>
      <c r="H93" s="198"/>
      <c r="I93" s="198"/>
      <c r="J93" s="198"/>
      <c r="K93" s="198"/>
      <c r="L93" s="198"/>
      <c r="M93" s="198"/>
      <c r="N93" s="198"/>
      <c r="O93" s="198"/>
      <c r="P93" s="198"/>
      <c r="Q93" s="198"/>
      <c r="R93" s="198"/>
      <c r="S93" s="198"/>
      <c r="T93" s="198"/>
      <c r="U93" s="198"/>
      <c r="V93" s="198"/>
      <c r="W93" s="198"/>
      <c r="X93" s="198"/>
      <c r="Y93" s="198"/>
      <c r="Z93" s="198"/>
    </row>
    <row r="94" spans="1:26" ht="15.75" hidden="1" customHeight="1" x14ac:dyDescent="0.25">
      <c r="A94" s="213">
        <v>71</v>
      </c>
      <c r="B94" s="214" t="s">
        <v>8582</v>
      </c>
      <c r="C94" s="215" t="s">
        <v>580</v>
      </c>
      <c r="D94" s="216">
        <v>26.18</v>
      </c>
      <c r="E94" s="198"/>
      <c r="F94" s="198"/>
      <c r="G94" s="198"/>
      <c r="H94" s="198"/>
      <c r="I94" s="198"/>
      <c r="J94" s="198"/>
      <c r="K94" s="198"/>
      <c r="L94" s="198"/>
      <c r="M94" s="198"/>
      <c r="N94" s="198"/>
      <c r="O94" s="198"/>
      <c r="P94" s="198"/>
      <c r="Q94" s="198"/>
      <c r="R94" s="198"/>
      <c r="S94" s="198"/>
      <c r="T94" s="198"/>
      <c r="U94" s="198"/>
      <c r="V94" s="198"/>
      <c r="W94" s="198"/>
      <c r="X94" s="198"/>
      <c r="Y94" s="198"/>
      <c r="Z94" s="198"/>
    </row>
    <row r="95" spans="1:26" ht="15.75" hidden="1" customHeight="1" x14ac:dyDescent="0.25">
      <c r="A95" s="213">
        <v>67</v>
      </c>
      <c r="B95" s="214" t="s">
        <v>8583</v>
      </c>
      <c r="C95" s="215" t="s">
        <v>580</v>
      </c>
      <c r="D95" s="216">
        <v>13.7</v>
      </c>
      <c r="E95" s="198"/>
      <c r="F95" s="198"/>
      <c r="G95" s="198"/>
      <c r="H95" s="198"/>
      <c r="I95" s="198"/>
      <c r="J95" s="198"/>
      <c r="K95" s="198"/>
      <c r="L95" s="198"/>
      <c r="M95" s="198"/>
      <c r="N95" s="198"/>
      <c r="O95" s="198"/>
      <c r="P95" s="198"/>
      <c r="Q95" s="198"/>
      <c r="R95" s="198"/>
      <c r="S95" s="198"/>
      <c r="T95" s="198"/>
      <c r="U95" s="198"/>
      <c r="V95" s="198"/>
      <c r="W95" s="198"/>
      <c r="X95" s="198"/>
      <c r="Y95" s="198"/>
      <c r="Z95" s="198"/>
    </row>
    <row r="96" spans="1:26" ht="15.75" hidden="1" customHeight="1" x14ac:dyDescent="0.25">
      <c r="A96" s="213">
        <v>73</v>
      </c>
      <c r="B96" s="214" t="s">
        <v>8584</v>
      </c>
      <c r="C96" s="215" t="s">
        <v>580</v>
      </c>
      <c r="D96" s="216">
        <v>13.11</v>
      </c>
      <c r="E96" s="198"/>
      <c r="F96" s="198"/>
      <c r="G96" s="198"/>
      <c r="H96" s="198"/>
      <c r="I96" s="198"/>
      <c r="J96" s="198"/>
      <c r="K96" s="198"/>
      <c r="L96" s="198"/>
      <c r="M96" s="198"/>
      <c r="N96" s="198"/>
      <c r="O96" s="198"/>
      <c r="P96" s="198"/>
      <c r="Q96" s="198"/>
      <c r="R96" s="198"/>
      <c r="S96" s="198"/>
      <c r="T96" s="198"/>
      <c r="U96" s="198"/>
      <c r="V96" s="198"/>
      <c r="W96" s="198"/>
      <c r="X96" s="198"/>
      <c r="Y96" s="198"/>
      <c r="Z96" s="198"/>
    </row>
    <row r="97" spans="1:26" ht="15.75" hidden="1" customHeight="1" x14ac:dyDescent="0.25">
      <c r="A97" s="213">
        <v>100</v>
      </c>
      <c r="B97" s="214" t="s">
        <v>8585</v>
      </c>
      <c r="C97" s="215" t="s">
        <v>580</v>
      </c>
      <c r="D97" s="216">
        <v>38.61</v>
      </c>
      <c r="E97" s="198"/>
      <c r="F97" s="198"/>
      <c r="G97" s="198"/>
      <c r="H97" s="198"/>
      <c r="I97" s="198"/>
      <c r="J97" s="198"/>
      <c r="K97" s="198"/>
      <c r="L97" s="198"/>
      <c r="M97" s="198"/>
      <c r="N97" s="198"/>
      <c r="O97" s="198"/>
      <c r="P97" s="198"/>
      <c r="Q97" s="198"/>
      <c r="R97" s="198"/>
      <c r="S97" s="198"/>
      <c r="T97" s="198"/>
      <c r="U97" s="198"/>
      <c r="V97" s="198"/>
      <c r="W97" s="198"/>
      <c r="X97" s="198"/>
      <c r="Y97" s="198"/>
      <c r="Z97" s="198"/>
    </row>
    <row r="98" spans="1:26" ht="15.75" hidden="1" customHeight="1" x14ac:dyDescent="0.25">
      <c r="A98" s="213">
        <v>75</v>
      </c>
      <c r="B98" s="214" t="s">
        <v>8586</v>
      </c>
      <c r="C98" s="215" t="s">
        <v>580</v>
      </c>
      <c r="D98" s="216">
        <v>225.12</v>
      </c>
      <c r="E98" s="198"/>
      <c r="F98" s="198"/>
      <c r="G98" s="198"/>
      <c r="H98" s="198"/>
      <c r="I98" s="198"/>
      <c r="J98" s="198"/>
      <c r="K98" s="198"/>
      <c r="L98" s="198"/>
      <c r="M98" s="198"/>
      <c r="N98" s="198"/>
      <c r="O98" s="198"/>
      <c r="P98" s="198"/>
      <c r="Q98" s="198"/>
      <c r="R98" s="198"/>
      <c r="S98" s="198"/>
      <c r="T98" s="198"/>
      <c r="U98" s="198"/>
      <c r="V98" s="198"/>
      <c r="W98" s="198"/>
      <c r="X98" s="198"/>
      <c r="Y98" s="198"/>
      <c r="Z98" s="198"/>
    </row>
    <row r="99" spans="1:26" ht="15.75" hidden="1" customHeight="1" x14ac:dyDescent="0.25">
      <c r="A99" s="213">
        <v>83</v>
      </c>
      <c r="B99" s="214" t="s">
        <v>8587</v>
      </c>
      <c r="C99" s="215" t="s">
        <v>580</v>
      </c>
      <c r="D99" s="216">
        <v>179.98</v>
      </c>
      <c r="E99" s="198"/>
      <c r="F99" s="198"/>
      <c r="G99" s="198"/>
      <c r="H99" s="198"/>
      <c r="I99" s="198"/>
      <c r="J99" s="198"/>
      <c r="K99" s="198"/>
      <c r="L99" s="198"/>
      <c r="M99" s="198"/>
      <c r="N99" s="198"/>
      <c r="O99" s="198"/>
      <c r="P99" s="198"/>
      <c r="Q99" s="198"/>
      <c r="R99" s="198"/>
      <c r="S99" s="198"/>
      <c r="T99" s="198"/>
      <c r="U99" s="198"/>
      <c r="V99" s="198"/>
      <c r="W99" s="198"/>
      <c r="X99" s="198"/>
      <c r="Y99" s="198"/>
      <c r="Z99" s="198"/>
    </row>
    <row r="100" spans="1:26" ht="15.75" hidden="1" customHeight="1" x14ac:dyDescent="0.25">
      <c r="A100" s="213">
        <v>74</v>
      </c>
      <c r="B100" s="214" t="s">
        <v>8588</v>
      </c>
      <c r="C100" s="215" t="s">
        <v>580</v>
      </c>
      <c r="D100" s="216">
        <v>257.32</v>
      </c>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row>
    <row r="101" spans="1:26" ht="15.75" hidden="1" customHeight="1" x14ac:dyDescent="0.25">
      <c r="A101" s="213">
        <v>106</v>
      </c>
      <c r="B101" s="214" t="s">
        <v>8589</v>
      </c>
      <c r="C101" s="215" t="s">
        <v>580</v>
      </c>
      <c r="D101" s="216">
        <v>325.39</v>
      </c>
      <c r="E101" s="198"/>
      <c r="F101" s="198"/>
      <c r="G101" s="198"/>
      <c r="H101" s="198"/>
      <c r="I101" s="198"/>
      <c r="J101" s="198"/>
      <c r="K101" s="198"/>
      <c r="L101" s="198"/>
      <c r="M101" s="198"/>
      <c r="N101" s="198"/>
      <c r="O101" s="198"/>
      <c r="P101" s="198"/>
      <c r="Q101" s="198"/>
      <c r="R101" s="198"/>
      <c r="S101" s="198"/>
      <c r="T101" s="198"/>
      <c r="U101" s="198"/>
      <c r="V101" s="198"/>
      <c r="W101" s="198"/>
      <c r="X101" s="198"/>
      <c r="Y101" s="198"/>
      <c r="Z101" s="198"/>
    </row>
    <row r="102" spans="1:26" ht="15.75" hidden="1" customHeight="1" x14ac:dyDescent="0.25">
      <c r="A102" s="213">
        <v>88</v>
      </c>
      <c r="B102" s="214" t="s">
        <v>8590</v>
      </c>
      <c r="C102" s="215" t="s">
        <v>580</v>
      </c>
      <c r="D102" s="216">
        <v>9.14</v>
      </c>
      <c r="E102" s="198"/>
      <c r="F102" s="198"/>
      <c r="G102" s="198"/>
      <c r="H102" s="198"/>
      <c r="I102" s="198"/>
      <c r="J102" s="198"/>
      <c r="K102" s="198"/>
      <c r="L102" s="198"/>
      <c r="M102" s="198"/>
      <c r="N102" s="198"/>
      <c r="O102" s="198"/>
      <c r="P102" s="198"/>
      <c r="Q102" s="198"/>
      <c r="R102" s="198"/>
      <c r="S102" s="198"/>
      <c r="T102" s="198"/>
      <c r="U102" s="198"/>
      <c r="V102" s="198"/>
      <c r="W102" s="198"/>
      <c r="X102" s="198"/>
      <c r="Y102" s="198"/>
      <c r="Z102" s="198"/>
    </row>
    <row r="103" spans="1:26" ht="15.75" hidden="1" customHeight="1" x14ac:dyDescent="0.25">
      <c r="A103" s="213">
        <v>82</v>
      </c>
      <c r="B103" s="214" t="s">
        <v>8591</v>
      </c>
      <c r="C103" s="215" t="s">
        <v>580</v>
      </c>
      <c r="D103" s="216">
        <v>171.23</v>
      </c>
      <c r="E103" s="198"/>
      <c r="F103" s="198"/>
      <c r="G103" s="198"/>
      <c r="H103" s="198"/>
      <c r="I103" s="198"/>
      <c r="J103" s="198"/>
      <c r="K103" s="198"/>
      <c r="L103" s="198"/>
      <c r="M103" s="198"/>
      <c r="N103" s="198"/>
      <c r="O103" s="198"/>
      <c r="P103" s="198"/>
      <c r="Q103" s="198"/>
      <c r="R103" s="198"/>
      <c r="S103" s="198"/>
      <c r="T103" s="198"/>
      <c r="U103" s="198"/>
      <c r="V103" s="198"/>
      <c r="W103" s="198"/>
      <c r="X103" s="198"/>
      <c r="Y103" s="198"/>
      <c r="Z103" s="198"/>
    </row>
    <row r="104" spans="1:26" ht="15.75" hidden="1" customHeight="1" x14ac:dyDescent="0.25">
      <c r="A104" s="213">
        <v>105</v>
      </c>
      <c r="B104" s="214" t="s">
        <v>8592</v>
      </c>
      <c r="C104" s="215" t="s">
        <v>580</v>
      </c>
      <c r="D104" s="216">
        <v>242.63</v>
      </c>
      <c r="E104" s="198"/>
      <c r="F104" s="198"/>
      <c r="G104" s="198"/>
      <c r="H104" s="198"/>
      <c r="I104" s="198"/>
      <c r="J104" s="198"/>
      <c r="K104" s="198"/>
      <c r="L104" s="198"/>
      <c r="M104" s="198"/>
      <c r="N104" s="198"/>
      <c r="O104" s="198"/>
      <c r="P104" s="198"/>
      <c r="Q104" s="198"/>
      <c r="R104" s="198"/>
      <c r="S104" s="198"/>
      <c r="T104" s="198"/>
      <c r="U104" s="198"/>
      <c r="V104" s="198"/>
      <c r="W104" s="198"/>
      <c r="X104" s="198"/>
      <c r="Y104" s="198"/>
      <c r="Z104" s="198"/>
    </row>
    <row r="105" spans="1:26" ht="15.75" hidden="1" customHeight="1" x14ac:dyDescent="0.25">
      <c r="A105" s="213">
        <v>39719</v>
      </c>
      <c r="B105" s="214" t="s">
        <v>8593</v>
      </c>
      <c r="C105" s="215" t="s">
        <v>517</v>
      </c>
      <c r="D105" s="216">
        <v>192.15</v>
      </c>
      <c r="E105" s="198"/>
      <c r="F105" s="198"/>
      <c r="G105" s="198"/>
      <c r="H105" s="198"/>
      <c r="I105" s="198"/>
      <c r="J105" s="198"/>
      <c r="K105" s="198"/>
      <c r="L105" s="198"/>
      <c r="M105" s="198"/>
      <c r="N105" s="198"/>
      <c r="O105" s="198"/>
      <c r="P105" s="198"/>
      <c r="Q105" s="198"/>
      <c r="R105" s="198"/>
      <c r="S105" s="198"/>
      <c r="T105" s="198"/>
      <c r="U105" s="198"/>
      <c r="V105" s="198"/>
      <c r="W105" s="198"/>
      <c r="X105" s="198"/>
      <c r="Y105" s="198"/>
      <c r="Z105" s="198"/>
    </row>
    <row r="106" spans="1:26" ht="15.75" hidden="1" customHeight="1" x14ac:dyDescent="0.25">
      <c r="A106" s="213">
        <v>3410</v>
      </c>
      <c r="B106" s="214" t="s">
        <v>8594</v>
      </c>
      <c r="C106" s="215" t="s">
        <v>823</v>
      </c>
      <c r="D106" s="216">
        <v>43.22</v>
      </c>
      <c r="E106" s="198"/>
      <c r="F106" s="198"/>
      <c r="G106" s="198"/>
      <c r="H106" s="198"/>
      <c r="I106" s="198"/>
      <c r="J106" s="198"/>
      <c r="K106" s="198"/>
      <c r="L106" s="198"/>
      <c r="M106" s="198"/>
      <c r="N106" s="198"/>
      <c r="O106" s="198"/>
      <c r="P106" s="198"/>
      <c r="Q106" s="198"/>
      <c r="R106" s="198"/>
      <c r="S106" s="198"/>
      <c r="T106" s="198"/>
      <c r="U106" s="198"/>
      <c r="V106" s="198"/>
      <c r="W106" s="198"/>
      <c r="X106" s="198"/>
      <c r="Y106" s="198"/>
      <c r="Z106" s="198"/>
    </row>
    <row r="107" spans="1:26" ht="15.75" hidden="1" customHeight="1" x14ac:dyDescent="0.25">
      <c r="A107" s="213">
        <v>4791</v>
      </c>
      <c r="B107" s="214" t="s">
        <v>8595</v>
      </c>
      <c r="C107" s="215" t="s">
        <v>823</v>
      </c>
      <c r="D107" s="216">
        <v>38.299999999999997</v>
      </c>
      <c r="E107" s="198"/>
      <c r="F107" s="198"/>
      <c r="G107" s="198"/>
      <c r="H107" s="198"/>
      <c r="I107" s="198"/>
      <c r="J107" s="198"/>
      <c r="K107" s="198"/>
      <c r="L107" s="198"/>
      <c r="M107" s="198"/>
      <c r="N107" s="198"/>
      <c r="O107" s="198"/>
      <c r="P107" s="198"/>
      <c r="Q107" s="198"/>
      <c r="R107" s="198"/>
      <c r="S107" s="198"/>
      <c r="T107" s="198"/>
      <c r="U107" s="198"/>
      <c r="V107" s="198"/>
      <c r="W107" s="198"/>
      <c r="X107" s="198"/>
      <c r="Y107" s="198"/>
      <c r="Z107" s="198"/>
    </row>
    <row r="108" spans="1:26" ht="15.75" hidden="1" customHeight="1" x14ac:dyDescent="0.25">
      <c r="A108" s="213">
        <v>157</v>
      </c>
      <c r="B108" s="214" t="s">
        <v>8596</v>
      </c>
      <c r="C108" s="215" t="s">
        <v>823</v>
      </c>
      <c r="D108" s="216">
        <v>146.12</v>
      </c>
      <c r="E108" s="198"/>
      <c r="F108" s="198"/>
      <c r="G108" s="198"/>
      <c r="H108" s="198"/>
      <c r="I108" s="198"/>
      <c r="J108" s="198"/>
      <c r="K108" s="198"/>
      <c r="L108" s="198"/>
      <c r="M108" s="198"/>
      <c r="N108" s="198"/>
      <c r="O108" s="198"/>
      <c r="P108" s="198"/>
      <c r="Q108" s="198"/>
      <c r="R108" s="198"/>
      <c r="S108" s="198"/>
      <c r="T108" s="198"/>
      <c r="U108" s="198"/>
      <c r="V108" s="198"/>
      <c r="W108" s="198"/>
      <c r="X108" s="198"/>
      <c r="Y108" s="198"/>
      <c r="Z108" s="198"/>
    </row>
    <row r="109" spans="1:26" ht="15.75" hidden="1" customHeight="1" x14ac:dyDescent="0.25">
      <c r="A109" s="213">
        <v>156</v>
      </c>
      <c r="B109" s="214" t="s">
        <v>8597</v>
      </c>
      <c r="C109" s="215" t="s">
        <v>823</v>
      </c>
      <c r="D109" s="216">
        <v>52.03</v>
      </c>
      <c r="E109" s="198"/>
      <c r="F109" s="198"/>
      <c r="G109" s="198"/>
      <c r="H109" s="198"/>
      <c r="I109" s="198"/>
      <c r="J109" s="198"/>
      <c r="K109" s="198"/>
      <c r="L109" s="198"/>
      <c r="M109" s="198"/>
      <c r="N109" s="198"/>
      <c r="O109" s="198"/>
      <c r="P109" s="198"/>
      <c r="Q109" s="198"/>
      <c r="R109" s="198"/>
      <c r="S109" s="198"/>
      <c r="T109" s="198"/>
      <c r="U109" s="198"/>
      <c r="V109" s="198"/>
      <c r="W109" s="198"/>
      <c r="X109" s="198"/>
      <c r="Y109" s="198"/>
      <c r="Z109" s="198"/>
    </row>
    <row r="110" spans="1:26" ht="15.75" hidden="1" customHeight="1" x14ac:dyDescent="0.25">
      <c r="A110" s="213">
        <v>131</v>
      </c>
      <c r="B110" s="214" t="s">
        <v>8598</v>
      </c>
      <c r="C110" s="215" t="s">
        <v>823</v>
      </c>
      <c r="D110" s="216">
        <v>44.49</v>
      </c>
      <c r="E110" s="198"/>
      <c r="F110" s="198"/>
      <c r="G110" s="198"/>
      <c r="H110" s="198"/>
      <c r="I110" s="198"/>
      <c r="J110" s="198"/>
      <c r="K110" s="198"/>
      <c r="L110" s="198"/>
      <c r="M110" s="198"/>
      <c r="N110" s="198"/>
      <c r="O110" s="198"/>
      <c r="P110" s="198"/>
      <c r="Q110" s="198"/>
      <c r="R110" s="198"/>
      <c r="S110" s="198"/>
      <c r="T110" s="198"/>
      <c r="U110" s="198"/>
      <c r="V110" s="198"/>
      <c r="W110" s="198"/>
      <c r="X110" s="198"/>
      <c r="Y110" s="198"/>
      <c r="Z110" s="198"/>
    </row>
    <row r="111" spans="1:26" ht="15.75" hidden="1" customHeight="1" x14ac:dyDescent="0.25">
      <c r="A111" s="213">
        <v>21114</v>
      </c>
      <c r="B111" s="214" t="s">
        <v>8599</v>
      </c>
      <c r="C111" s="215" t="s">
        <v>580</v>
      </c>
      <c r="D111" s="216">
        <v>37.869999999999997</v>
      </c>
      <c r="E111" s="198"/>
      <c r="F111" s="198"/>
      <c r="G111" s="198"/>
      <c r="H111" s="198"/>
      <c r="I111" s="198"/>
      <c r="J111" s="198"/>
      <c r="K111" s="198"/>
      <c r="L111" s="198"/>
      <c r="M111" s="198"/>
      <c r="N111" s="198"/>
      <c r="O111" s="198"/>
      <c r="P111" s="198"/>
      <c r="Q111" s="198"/>
      <c r="R111" s="198"/>
      <c r="S111" s="198"/>
      <c r="T111" s="198"/>
      <c r="U111" s="198"/>
      <c r="V111" s="198"/>
      <c r="W111" s="198"/>
      <c r="X111" s="198"/>
      <c r="Y111" s="198"/>
      <c r="Z111" s="198"/>
    </row>
    <row r="112" spans="1:26" ht="15.75" hidden="1" customHeight="1" x14ac:dyDescent="0.25">
      <c r="A112" s="213">
        <v>119</v>
      </c>
      <c r="B112" s="214" t="s">
        <v>8600</v>
      </c>
      <c r="C112" s="215" t="s">
        <v>580</v>
      </c>
      <c r="D112" s="216">
        <v>9.6</v>
      </c>
      <c r="E112" s="198"/>
      <c r="F112" s="198"/>
      <c r="G112" s="198"/>
      <c r="H112" s="198"/>
      <c r="I112" s="198"/>
      <c r="J112" s="198"/>
      <c r="K112" s="198"/>
      <c r="L112" s="198"/>
      <c r="M112" s="198"/>
      <c r="N112" s="198"/>
      <c r="O112" s="198"/>
      <c r="P112" s="198"/>
      <c r="Q112" s="198"/>
      <c r="R112" s="198"/>
      <c r="S112" s="198"/>
      <c r="T112" s="198"/>
      <c r="U112" s="198"/>
      <c r="V112" s="198"/>
      <c r="W112" s="198"/>
      <c r="X112" s="198"/>
      <c r="Y112" s="198"/>
      <c r="Z112" s="198"/>
    </row>
    <row r="113" spans="1:26" ht="15.75" hidden="1" customHeight="1" x14ac:dyDescent="0.25">
      <c r="A113" s="213">
        <v>122</v>
      </c>
      <c r="B113" s="214" t="s">
        <v>8601</v>
      </c>
      <c r="C113" s="215" t="s">
        <v>580</v>
      </c>
      <c r="D113" s="216">
        <v>73.86</v>
      </c>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row>
    <row r="114" spans="1:26" ht="15.75" hidden="1" customHeight="1" x14ac:dyDescent="0.25">
      <c r="A114" s="213">
        <v>20080</v>
      </c>
      <c r="B114" s="214" t="s">
        <v>8602</v>
      </c>
      <c r="C114" s="215" t="s">
        <v>580</v>
      </c>
      <c r="D114" s="216">
        <v>24.11</v>
      </c>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row>
    <row r="115" spans="1:26" ht="15.75" hidden="1" customHeight="1" x14ac:dyDescent="0.25">
      <c r="A115" s="213">
        <v>124</v>
      </c>
      <c r="B115" s="214" t="s">
        <v>8603</v>
      </c>
      <c r="C115" s="215" t="s">
        <v>517</v>
      </c>
      <c r="D115" s="216">
        <v>17.16</v>
      </c>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row>
    <row r="116" spans="1:26" ht="15.75" hidden="1" customHeight="1" x14ac:dyDescent="0.25">
      <c r="A116" s="213">
        <v>7334</v>
      </c>
      <c r="B116" s="214" t="s">
        <v>8604</v>
      </c>
      <c r="C116" s="215" t="s">
        <v>517</v>
      </c>
      <c r="D116" s="216">
        <v>15.01</v>
      </c>
      <c r="E116" s="198"/>
      <c r="F116" s="198"/>
      <c r="G116" s="198"/>
      <c r="H116" s="198"/>
      <c r="I116" s="198"/>
      <c r="J116" s="198"/>
      <c r="K116" s="198"/>
      <c r="L116" s="198"/>
      <c r="M116" s="198"/>
      <c r="N116" s="198"/>
      <c r="O116" s="198"/>
      <c r="P116" s="198"/>
      <c r="Q116" s="198"/>
      <c r="R116" s="198"/>
      <c r="S116" s="198"/>
      <c r="T116" s="198"/>
      <c r="U116" s="198"/>
      <c r="V116" s="198"/>
      <c r="W116" s="198"/>
      <c r="X116" s="198"/>
      <c r="Y116" s="198"/>
      <c r="Z116" s="198"/>
    </row>
    <row r="117" spans="1:26" ht="15.75" hidden="1" customHeight="1" x14ac:dyDescent="0.25">
      <c r="A117" s="213">
        <v>45146</v>
      </c>
      <c r="B117" s="214" t="s">
        <v>8605</v>
      </c>
      <c r="C117" s="215" t="s">
        <v>823</v>
      </c>
      <c r="D117" s="216">
        <v>32.9</v>
      </c>
      <c r="E117" s="198"/>
      <c r="F117" s="198"/>
      <c r="G117" s="198"/>
      <c r="H117" s="198"/>
      <c r="I117" s="198"/>
      <c r="J117" s="198"/>
      <c r="K117" s="198"/>
      <c r="L117" s="198"/>
      <c r="M117" s="198"/>
      <c r="N117" s="198"/>
      <c r="O117" s="198"/>
      <c r="P117" s="198"/>
      <c r="Q117" s="198"/>
      <c r="R117" s="198"/>
      <c r="S117" s="198"/>
      <c r="T117" s="198"/>
      <c r="U117" s="198"/>
      <c r="V117" s="198"/>
      <c r="W117" s="198"/>
      <c r="X117" s="198"/>
      <c r="Y117" s="198"/>
      <c r="Z117" s="198"/>
    </row>
    <row r="118" spans="1:26" ht="15.75" hidden="1" customHeight="1" x14ac:dyDescent="0.25">
      <c r="A118" s="213">
        <v>123</v>
      </c>
      <c r="B118" s="214" t="s">
        <v>8606</v>
      </c>
      <c r="C118" s="215" t="s">
        <v>517</v>
      </c>
      <c r="D118" s="216">
        <v>7.02</v>
      </c>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8"/>
    </row>
    <row r="119" spans="1:26" ht="15.75" hidden="1" customHeight="1" x14ac:dyDescent="0.25">
      <c r="A119" s="213">
        <v>127</v>
      </c>
      <c r="B119" s="214" t="s">
        <v>8607</v>
      </c>
      <c r="C119" s="215" t="s">
        <v>517</v>
      </c>
      <c r="D119" s="216">
        <v>16.760000000000002</v>
      </c>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8"/>
    </row>
    <row r="120" spans="1:26" ht="15.75" hidden="1" customHeight="1" x14ac:dyDescent="0.25">
      <c r="A120" s="213">
        <v>133</v>
      </c>
      <c r="B120" s="214" t="s">
        <v>8608</v>
      </c>
      <c r="C120" s="215" t="s">
        <v>517</v>
      </c>
      <c r="D120" s="216">
        <v>6.96</v>
      </c>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8"/>
    </row>
    <row r="121" spans="1:26" ht="15.75" hidden="1" customHeight="1" x14ac:dyDescent="0.25">
      <c r="A121" s="213">
        <v>43617</v>
      </c>
      <c r="B121" s="214" t="s">
        <v>8609</v>
      </c>
      <c r="C121" s="215" t="s">
        <v>517</v>
      </c>
      <c r="D121" s="216">
        <v>7.77</v>
      </c>
      <c r="E121" s="198"/>
      <c r="F121" s="198"/>
      <c r="G121" s="198"/>
      <c r="H121" s="198"/>
      <c r="I121" s="198"/>
      <c r="J121" s="198"/>
      <c r="K121" s="198"/>
      <c r="L121" s="198"/>
      <c r="M121" s="198"/>
      <c r="N121" s="198"/>
      <c r="O121" s="198"/>
      <c r="P121" s="198"/>
      <c r="Q121" s="198"/>
      <c r="R121" s="198"/>
      <c r="S121" s="198"/>
      <c r="T121" s="198"/>
      <c r="U121" s="198"/>
      <c r="V121" s="198"/>
      <c r="W121" s="198"/>
      <c r="X121" s="198"/>
      <c r="Y121" s="198"/>
      <c r="Z121" s="198"/>
    </row>
    <row r="122" spans="1:26" ht="15.75" hidden="1" customHeight="1" x14ac:dyDescent="0.25">
      <c r="A122" s="213">
        <v>132</v>
      </c>
      <c r="B122" s="214" t="s">
        <v>8610</v>
      </c>
      <c r="C122" s="215" t="s">
        <v>517</v>
      </c>
      <c r="D122" s="216">
        <v>7.21</v>
      </c>
      <c r="E122" s="198"/>
      <c r="F122" s="198"/>
      <c r="G122" s="198"/>
      <c r="H122" s="198"/>
      <c r="I122" s="198"/>
      <c r="J122" s="198"/>
      <c r="K122" s="198"/>
      <c r="L122" s="198"/>
      <c r="M122" s="198"/>
      <c r="N122" s="198"/>
      <c r="O122" s="198"/>
      <c r="P122" s="198"/>
      <c r="Q122" s="198"/>
      <c r="R122" s="198"/>
      <c r="S122" s="198"/>
      <c r="T122" s="198"/>
      <c r="U122" s="198"/>
      <c r="V122" s="198"/>
      <c r="W122" s="198"/>
      <c r="X122" s="198"/>
      <c r="Y122" s="198"/>
      <c r="Z122" s="198"/>
    </row>
    <row r="123" spans="1:26" ht="15.75" hidden="1" customHeight="1" x14ac:dyDescent="0.25">
      <c r="A123" s="213">
        <v>43618</v>
      </c>
      <c r="B123" s="214" t="s">
        <v>8611</v>
      </c>
      <c r="C123" s="215" t="s">
        <v>823</v>
      </c>
      <c r="D123" s="216">
        <v>18.16</v>
      </c>
      <c r="E123" s="198"/>
      <c r="F123" s="198"/>
      <c r="G123" s="198"/>
      <c r="H123" s="198"/>
      <c r="I123" s="198"/>
      <c r="J123" s="198"/>
      <c r="K123" s="198"/>
      <c r="L123" s="198"/>
      <c r="M123" s="198"/>
      <c r="N123" s="198"/>
      <c r="O123" s="198"/>
      <c r="P123" s="198"/>
      <c r="Q123" s="198"/>
      <c r="R123" s="198"/>
      <c r="S123" s="198"/>
      <c r="T123" s="198"/>
      <c r="U123" s="198"/>
      <c r="V123" s="198"/>
      <c r="W123" s="198"/>
      <c r="X123" s="198"/>
      <c r="Y123" s="198"/>
      <c r="Z123" s="198"/>
    </row>
    <row r="124" spans="1:26" ht="15.75" hidden="1" customHeight="1" x14ac:dyDescent="0.25">
      <c r="A124" s="213">
        <v>4319</v>
      </c>
      <c r="B124" s="214" t="s">
        <v>8612</v>
      </c>
      <c r="C124" s="215" t="s">
        <v>580</v>
      </c>
      <c r="D124" s="216">
        <v>1.28</v>
      </c>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row>
    <row r="125" spans="1:26" ht="15.75" hidden="1" customHeight="1" x14ac:dyDescent="0.25">
      <c r="A125" s="213">
        <v>42409</v>
      </c>
      <c r="B125" s="214" t="s">
        <v>8613</v>
      </c>
      <c r="C125" s="215" t="s">
        <v>823</v>
      </c>
      <c r="D125" s="216">
        <v>11.44</v>
      </c>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row>
    <row r="126" spans="1:26" ht="15.75" hidden="1" customHeight="1" x14ac:dyDescent="0.25">
      <c r="A126" s="213">
        <v>40553</v>
      </c>
      <c r="B126" s="214" t="s">
        <v>8614</v>
      </c>
      <c r="C126" s="215" t="s">
        <v>664</v>
      </c>
      <c r="D126" s="216">
        <v>39</v>
      </c>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row>
    <row r="127" spans="1:26" ht="15.75" hidden="1" customHeight="1" x14ac:dyDescent="0.25">
      <c r="A127" s="213">
        <v>6114</v>
      </c>
      <c r="B127" s="214" t="s">
        <v>8615</v>
      </c>
      <c r="C127" s="215" t="s">
        <v>2193</v>
      </c>
      <c r="D127" s="216">
        <v>20.72</v>
      </c>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row>
    <row r="128" spans="1:26" ht="15.75" hidden="1" customHeight="1" x14ac:dyDescent="0.25">
      <c r="A128" s="213">
        <v>40912</v>
      </c>
      <c r="B128" s="214" t="s">
        <v>8616</v>
      </c>
      <c r="C128" s="215" t="s">
        <v>6214</v>
      </c>
      <c r="D128" s="216">
        <v>3637.57</v>
      </c>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row>
    <row r="129" spans="1:26" ht="15.75" hidden="1" customHeight="1" x14ac:dyDescent="0.25">
      <c r="A129" s="213">
        <v>247</v>
      </c>
      <c r="B129" s="214" t="s">
        <v>8617</v>
      </c>
      <c r="C129" s="215" t="s">
        <v>2193</v>
      </c>
      <c r="D129" s="216">
        <v>20.72</v>
      </c>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row>
    <row r="130" spans="1:26" ht="15.75" hidden="1" customHeight="1" x14ac:dyDescent="0.25">
      <c r="A130" s="213">
        <v>40919</v>
      </c>
      <c r="B130" s="214" t="s">
        <v>8618</v>
      </c>
      <c r="C130" s="215" t="s">
        <v>6214</v>
      </c>
      <c r="D130" s="216">
        <v>3637.57</v>
      </c>
      <c r="E130" s="198"/>
      <c r="F130" s="198"/>
      <c r="G130" s="198"/>
      <c r="H130" s="198"/>
      <c r="I130" s="198"/>
      <c r="J130" s="198"/>
      <c r="K130" s="198"/>
      <c r="L130" s="198"/>
      <c r="M130" s="198"/>
      <c r="N130" s="198"/>
      <c r="O130" s="198"/>
      <c r="P130" s="198"/>
      <c r="Q130" s="198"/>
      <c r="R130" s="198"/>
      <c r="S130" s="198"/>
      <c r="T130" s="198"/>
      <c r="U130" s="198"/>
      <c r="V130" s="198"/>
      <c r="W130" s="198"/>
      <c r="X130" s="198"/>
      <c r="Y130" s="198"/>
      <c r="Z130" s="198"/>
    </row>
    <row r="131" spans="1:26" ht="15.75" hidden="1" customHeight="1" x14ac:dyDescent="0.25">
      <c r="A131" s="213">
        <v>44499</v>
      </c>
      <c r="B131" s="214" t="s">
        <v>8619</v>
      </c>
      <c r="C131" s="215" t="s">
        <v>2193</v>
      </c>
      <c r="D131" s="216">
        <v>20.72</v>
      </c>
      <c r="E131" s="198"/>
      <c r="F131" s="198"/>
      <c r="G131" s="198"/>
      <c r="H131" s="198"/>
      <c r="I131" s="198"/>
      <c r="J131" s="198"/>
      <c r="K131" s="198"/>
      <c r="L131" s="198"/>
      <c r="M131" s="198"/>
      <c r="N131" s="198"/>
      <c r="O131" s="198"/>
      <c r="P131" s="198"/>
      <c r="Q131" s="198"/>
      <c r="R131" s="198"/>
      <c r="S131" s="198"/>
      <c r="T131" s="198"/>
      <c r="U131" s="198"/>
      <c r="V131" s="198"/>
      <c r="W131" s="198"/>
      <c r="X131" s="198"/>
      <c r="Y131" s="198"/>
      <c r="Z131" s="198"/>
    </row>
    <row r="132" spans="1:26" ht="15.75" hidden="1" customHeight="1" x14ac:dyDescent="0.25">
      <c r="A132" s="213">
        <v>40984</v>
      </c>
      <c r="B132" s="214" t="s">
        <v>8620</v>
      </c>
      <c r="C132" s="215" t="s">
        <v>6214</v>
      </c>
      <c r="D132" s="216">
        <v>3637.57</v>
      </c>
      <c r="E132" s="198"/>
      <c r="F132" s="198"/>
      <c r="G132" s="198"/>
      <c r="H132" s="198"/>
      <c r="I132" s="198"/>
      <c r="J132" s="198"/>
      <c r="K132" s="198"/>
      <c r="L132" s="198"/>
      <c r="M132" s="198"/>
      <c r="N132" s="198"/>
      <c r="O132" s="198"/>
      <c r="P132" s="198"/>
      <c r="Q132" s="198"/>
      <c r="R132" s="198"/>
      <c r="S132" s="198"/>
      <c r="T132" s="198"/>
      <c r="U132" s="198"/>
      <c r="V132" s="198"/>
      <c r="W132" s="198"/>
      <c r="X132" s="198"/>
      <c r="Y132" s="198"/>
      <c r="Z132" s="198"/>
    </row>
    <row r="133" spans="1:26" ht="15.75" hidden="1" customHeight="1" x14ac:dyDescent="0.25">
      <c r="A133" s="213">
        <v>248</v>
      </c>
      <c r="B133" s="214" t="s">
        <v>8621</v>
      </c>
      <c r="C133" s="215" t="s">
        <v>2193</v>
      </c>
      <c r="D133" s="216">
        <v>20.36</v>
      </c>
      <c r="E133" s="198"/>
      <c r="F133" s="198"/>
      <c r="G133" s="198"/>
      <c r="H133" s="198"/>
      <c r="I133" s="198"/>
      <c r="J133" s="198"/>
      <c r="K133" s="198"/>
      <c r="L133" s="198"/>
      <c r="M133" s="198"/>
      <c r="N133" s="198"/>
      <c r="O133" s="198"/>
      <c r="P133" s="198"/>
      <c r="Q133" s="198"/>
      <c r="R133" s="198"/>
      <c r="S133" s="198"/>
      <c r="T133" s="198"/>
      <c r="U133" s="198"/>
      <c r="V133" s="198"/>
      <c r="W133" s="198"/>
      <c r="X133" s="198"/>
      <c r="Y133" s="198"/>
      <c r="Z133" s="198"/>
    </row>
    <row r="134" spans="1:26" ht="15.75" hidden="1" customHeight="1" x14ac:dyDescent="0.25">
      <c r="A134" s="213">
        <v>41086</v>
      </c>
      <c r="B134" s="214" t="s">
        <v>8622</v>
      </c>
      <c r="C134" s="215" t="s">
        <v>6214</v>
      </c>
      <c r="D134" s="216">
        <v>3571.12</v>
      </c>
      <c r="E134" s="198"/>
      <c r="F134" s="198"/>
      <c r="G134" s="198"/>
      <c r="H134" s="198"/>
      <c r="I134" s="198"/>
      <c r="J134" s="198"/>
      <c r="K134" s="198"/>
      <c r="L134" s="198"/>
      <c r="M134" s="198"/>
      <c r="N134" s="198"/>
      <c r="O134" s="198"/>
      <c r="P134" s="198"/>
      <c r="Q134" s="198"/>
      <c r="R134" s="198"/>
      <c r="S134" s="198"/>
      <c r="T134" s="198"/>
      <c r="U134" s="198"/>
      <c r="V134" s="198"/>
      <c r="W134" s="198"/>
      <c r="X134" s="198"/>
      <c r="Y134" s="198"/>
      <c r="Z134" s="198"/>
    </row>
    <row r="135" spans="1:26" ht="15.75" hidden="1" customHeight="1" x14ac:dyDescent="0.25">
      <c r="A135" s="213">
        <v>34466</v>
      </c>
      <c r="B135" s="214" t="s">
        <v>8623</v>
      </c>
      <c r="C135" s="215" t="s">
        <v>2193</v>
      </c>
      <c r="D135" s="216">
        <v>20.72</v>
      </c>
      <c r="E135" s="198"/>
      <c r="F135" s="198"/>
      <c r="G135" s="198"/>
      <c r="H135" s="198"/>
      <c r="I135" s="198"/>
      <c r="J135" s="198"/>
      <c r="K135" s="198"/>
      <c r="L135" s="198"/>
      <c r="M135" s="198"/>
      <c r="N135" s="198"/>
      <c r="O135" s="198"/>
      <c r="P135" s="198"/>
      <c r="Q135" s="198"/>
      <c r="R135" s="198"/>
      <c r="S135" s="198"/>
      <c r="T135" s="198"/>
      <c r="U135" s="198"/>
      <c r="V135" s="198"/>
      <c r="W135" s="198"/>
      <c r="X135" s="198"/>
      <c r="Y135" s="198"/>
      <c r="Z135" s="198"/>
    </row>
    <row r="136" spans="1:26" ht="15.75" hidden="1" customHeight="1" x14ac:dyDescent="0.25">
      <c r="A136" s="213">
        <v>41083</v>
      </c>
      <c r="B136" s="214" t="s">
        <v>8624</v>
      </c>
      <c r="C136" s="215" t="s">
        <v>6214</v>
      </c>
      <c r="D136" s="216">
        <v>3637.57</v>
      </c>
      <c r="E136" s="198"/>
      <c r="F136" s="198"/>
      <c r="G136" s="198"/>
      <c r="H136" s="198"/>
      <c r="I136" s="198"/>
      <c r="J136" s="198"/>
      <c r="K136" s="198"/>
      <c r="L136" s="198"/>
      <c r="M136" s="198"/>
      <c r="N136" s="198"/>
      <c r="O136" s="198"/>
      <c r="P136" s="198"/>
      <c r="Q136" s="198"/>
      <c r="R136" s="198"/>
      <c r="S136" s="198"/>
      <c r="T136" s="198"/>
      <c r="U136" s="198"/>
      <c r="V136" s="198"/>
      <c r="W136" s="198"/>
      <c r="X136" s="198"/>
      <c r="Y136" s="198"/>
      <c r="Z136" s="198"/>
    </row>
    <row r="137" spans="1:26" ht="15.75" hidden="1" customHeight="1" x14ac:dyDescent="0.25">
      <c r="A137" s="213">
        <v>252</v>
      </c>
      <c r="B137" s="214" t="s">
        <v>8625</v>
      </c>
      <c r="C137" s="215" t="s">
        <v>2193</v>
      </c>
      <c r="D137" s="216">
        <v>20.72</v>
      </c>
      <c r="E137" s="198"/>
      <c r="F137" s="198"/>
      <c r="G137" s="198"/>
      <c r="H137" s="198"/>
      <c r="I137" s="198"/>
      <c r="J137" s="198"/>
      <c r="K137" s="198"/>
      <c r="L137" s="198"/>
      <c r="M137" s="198"/>
      <c r="N137" s="198"/>
      <c r="O137" s="198"/>
      <c r="P137" s="198"/>
      <c r="Q137" s="198"/>
      <c r="R137" s="198"/>
      <c r="S137" s="198"/>
      <c r="T137" s="198"/>
      <c r="U137" s="198"/>
      <c r="V137" s="198"/>
      <c r="W137" s="198"/>
      <c r="X137" s="198"/>
      <c r="Y137" s="198"/>
      <c r="Z137" s="198"/>
    </row>
    <row r="138" spans="1:26" ht="15.75" hidden="1" customHeight="1" x14ac:dyDescent="0.25">
      <c r="A138" s="213">
        <v>40909</v>
      </c>
      <c r="B138" s="214" t="s">
        <v>8626</v>
      </c>
      <c r="C138" s="215" t="s">
        <v>6214</v>
      </c>
      <c r="D138" s="216">
        <v>3637.57</v>
      </c>
      <c r="E138" s="198"/>
      <c r="F138" s="198"/>
      <c r="G138" s="198"/>
      <c r="H138" s="198"/>
      <c r="I138" s="198"/>
      <c r="J138" s="198"/>
      <c r="K138" s="198"/>
      <c r="L138" s="198"/>
      <c r="M138" s="198"/>
      <c r="N138" s="198"/>
      <c r="O138" s="198"/>
      <c r="P138" s="198"/>
      <c r="Q138" s="198"/>
      <c r="R138" s="198"/>
      <c r="S138" s="198"/>
      <c r="T138" s="198"/>
      <c r="U138" s="198"/>
      <c r="V138" s="198"/>
      <c r="W138" s="198"/>
      <c r="X138" s="198"/>
      <c r="Y138" s="198"/>
      <c r="Z138" s="198"/>
    </row>
    <row r="139" spans="1:26" ht="15.75" hidden="1" customHeight="1" x14ac:dyDescent="0.25">
      <c r="A139" s="213">
        <v>242</v>
      </c>
      <c r="B139" s="214" t="s">
        <v>8627</v>
      </c>
      <c r="C139" s="215" t="s">
        <v>2193</v>
      </c>
      <c r="D139" s="216">
        <v>20.36</v>
      </c>
      <c r="E139" s="198"/>
      <c r="F139" s="198"/>
      <c r="G139" s="198"/>
      <c r="H139" s="198"/>
      <c r="I139" s="198"/>
      <c r="J139" s="198"/>
      <c r="K139" s="198"/>
      <c r="L139" s="198"/>
      <c r="M139" s="198"/>
      <c r="N139" s="198"/>
      <c r="O139" s="198"/>
      <c r="P139" s="198"/>
      <c r="Q139" s="198"/>
      <c r="R139" s="198"/>
      <c r="S139" s="198"/>
      <c r="T139" s="198"/>
      <c r="U139" s="198"/>
      <c r="V139" s="198"/>
      <c r="W139" s="198"/>
      <c r="X139" s="198"/>
      <c r="Y139" s="198"/>
      <c r="Z139" s="198"/>
    </row>
    <row r="140" spans="1:26" ht="15.75" hidden="1" customHeight="1" x14ac:dyDescent="0.25">
      <c r="A140" s="213">
        <v>41085</v>
      </c>
      <c r="B140" s="214" t="s">
        <v>8628</v>
      </c>
      <c r="C140" s="215" t="s">
        <v>6214</v>
      </c>
      <c r="D140" s="216">
        <v>3571.12</v>
      </c>
      <c r="E140" s="198"/>
      <c r="F140" s="198"/>
      <c r="G140" s="198"/>
      <c r="H140" s="198"/>
      <c r="I140" s="198"/>
      <c r="J140" s="198"/>
      <c r="K140" s="198"/>
      <c r="L140" s="198"/>
      <c r="M140" s="198"/>
      <c r="N140" s="198"/>
      <c r="O140" s="198"/>
      <c r="P140" s="198"/>
      <c r="Q140" s="198"/>
      <c r="R140" s="198"/>
      <c r="S140" s="198"/>
      <c r="T140" s="198"/>
      <c r="U140" s="198"/>
      <c r="V140" s="198"/>
      <c r="W140" s="198"/>
      <c r="X140" s="198"/>
      <c r="Y140" s="198"/>
      <c r="Z140" s="198"/>
    </row>
    <row r="141" spans="1:26" ht="15.75" hidden="1" customHeight="1" x14ac:dyDescent="0.25">
      <c r="A141" s="213">
        <v>427</v>
      </c>
      <c r="B141" s="214" t="s">
        <v>8629</v>
      </c>
      <c r="C141" s="215" t="s">
        <v>580</v>
      </c>
      <c r="D141" s="216">
        <v>5.9</v>
      </c>
      <c r="E141" s="198"/>
      <c r="F141" s="198"/>
      <c r="G141" s="198"/>
      <c r="H141" s="198"/>
      <c r="I141" s="198"/>
      <c r="J141" s="198"/>
      <c r="K141" s="198"/>
      <c r="L141" s="198"/>
      <c r="M141" s="198"/>
      <c r="N141" s="198"/>
      <c r="O141" s="198"/>
      <c r="P141" s="198"/>
      <c r="Q141" s="198"/>
      <c r="R141" s="198"/>
      <c r="S141" s="198"/>
      <c r="T141" s="198"/>
      <c r="U141" s="198"/>
      <c r="V141" s="198"/>
      <c r="W141" s="198"/>
      <c r="X141" s="198"/>
      <c r="Y141" s="198"/>
      <c r="Z141" s="198"/>
    </row>
    <row r="142" spans="1:26" ht="15.75" hidden="1" customHeight="1" x14ac:dyDescent="0.25">
      <c r="A142" s="213">
        <v>417</v>
      </c>
      <c r="B142" s="214" t="s">
        <v>8630</v>
      </c>
      <c r="C142" s="215" t="s">
        <v>580</v>
      </c>
      <c r="D142" s="216">
        <v>2.78</v>
      </c>
      <c r="E142" s="198"/>
      <c r="F142" s="198"/>
      <c r="G142" s="198"/>
      <c r="H142" s="198"/>
      <c r="I142" s="198"/>
      <c r="J142" s="198"/>
      <c r="K142" s="198"/>
      <c r="L142" s="198"/>
      <c r="M142" s="198"/>
      <c r="N142" s="198"/>
      <c r="O142" s="198"/>
      <c r="P142" s="198"/>
      <c r="Q142" s="198"/>
      <c r="R142" s="198"/>
      <c r="S142" s="198"/>
      <c r="T142" s="198"/>
      <c r="U142" s="198"/>
      <c r="V142" s="198"/>
      <c r="W142" s="198"/>
      <c r="X142" s="198"/>
      <c r="Y142" s="198"/>
      <c r="Z142" s="198"/>
    </row>
    <row r="143" spans="1:26" ht="15.75" hidden="1" customHeight="1" x14ac:dyDescent="0.25">
      <c r="A143" s="213">
        <v>11273</v>
      </c>
      <c r="B143" s="214" t="s">
        <v>8631</v>
      </c>
      <c r="C143" s="215" t="s">
        <v>580</v>
      </c>
      <c r="D143" s="216">
        <v>8.64</v>
      </c>
      <c r="E143" s="198"/>
      <c r="F143" s="198"/>
      <c r="G143" s="198"/>
      <c r="H143" s="198"/>
      <c r="I143" s="198"/>
      <c r="J143" s="198"/>
      <c r="K143" s="198"/>
      <c r="L143" s="198"/>
      <c r="M143" s="198"/>
      <c r="N143" s="198"/>
      <c r="O143" s="198"/>
      <c r="P143" s="198"/>
      <c r="Q143" s="198"/>
      <c r="R143" s="198"/>
      <c r="S143" s="198"/>
      <c r="T143" s="198"/>
      <c r="U143" s="198"/>
      <c r="V143" s="198"/>
      <c r="W143" s="198"/>
      <c r="X143" s="198"/>
      <c r="Y143" s="198"/>
      <c r="Z143" s="198"/>
    </row>
    <row r="144" spans="1:26" ht="15.75" hidden="1" customHeight="1" x14ac:dyDescent="0.25">
      <c r="A144" s="213">
        <v>11272</v>
      </c>
      <c r="B144" s="214" t="s">
        <v>8632</v>
      </c>
      <c r="C144" s="215" t="s">
        <v>580</v>
      </c>
      <c r="D144" s="216">
        <v>5.21</v>
      </c>
      <c r="E144" s="198"/>
      <c r="F144" s="198"/>
      <c r="G144" s="198"/>
      <c r="H144" s="198"/>
      <c r="I144" s="198"/>
      <c r="J144" s="198"/>
      <c r="K144" s="198"/>
      <c r="L144" s="198"/>
      <c r="M144" s="198"/>
      <c r="N144" s="198"/>
      <c r="O144" s="198"/>
      <c r="P144" s="198"/>
      <c r="Q144" s="198"/>
      <c r="R144" s="198"/>
      <c r="S144" s="198"/>
      <c r="T144" s="198"/>
      <c r="U144" s="198"/>
      <c r="V144" s="198"/>
      <c r="W144" s="198"/>
      <c r="X144" s="198"/>
      <c r="Y144" s="198"/>
      <c r="Z144" s="198"/>
    </row>
    <row r="145" spans="1:26" ht="15.75" hidden="1" customHeight="1" x14ac:dyDescent="0.25">
      <c r="A145" s="213">
        <v>11275</v>
      </c>
      <c r="B145" s="214" t="s">
        <v>8633</v>
      </c>
      <c r="C145" s="215" t="s">
        <v>580</v>
      </c>
      <c r="D145" s="216">
        <v>2.09</v>
      </c>
      <c r="E145" s="198"/>
      <c r="F145" s="198"/>
      <c r="G145" s="198"/>
      <c r="H145" s="198"/>
      <c r="I145" s="198"/>
      <c r="J145" s="198"/>
      <c r="K145" s="198"/>
      <c r="L145" s="198"/>
      <c r="M145" s="198"/>
      <c r="N145" s="198"/>
      <c r="O145" s="198"/>
      <c r="P145" s="198"/>
      <c r="Q145" s="198"/>
      <c r="R145" s="198"/>
      <c r="S145" s="198"/>
      <c r="T145" s="198"/>
      <c r="U145" s="198"/>
      <c r="V145" s="198"/>
      <c r="W145" s="198"/>
      <c r="X145" s="198"/>
      <c r="Y145" s="198"/>
      <c r="Z145" s="198"/>
    </row>
    <row r="146" spans="1:26" ht="15.75" hidden="1" customHeight="1" x14ac:dyDescent="0.25">
      <c r="A146" s="213">
        <v>11274</v>
      </c>
      <c r="B146" s="214" t="s">
        <v>8634</v>
      </c>
      <c r="C146" s="215" t="s">
        <v>580</v>
      </c>
      <c r="D146" s="216">
        <v>1.59</v>
      </c>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row>
    <row r="147" spans="1:26" ht="15.75" hidden="1" customHeight="1" x14ac:dyDescent="0.25">
      <c r="A147" s="213">
        <v>38470</v>
      </c>
      <c r="B147" s="214" t="s">
        <v>8635</v>
      </c>
      <c r="C147" s="215" t="s">
        <v>580</v>
      </c>
      <c r="D147" s="216">
        <v>39.92</v>
      </c>
      <c r="E147" s="198"/>
      <c r="F147" s="198"/>
      <c r="G147" s="198"/>
      <c r="H147" s="198"/>
      <c r="I147" s="198"/>
      <c r="J147" s="198"/>
      <c r="K147" s="198"/>
      <c r="L147" s="198"/>
      <c r="M147" s="198"/>
      <c r="N147" s="198"/>
      <c r="O147" s="198"/>
      <c r="P147" s="198"/>
      <c r="Q147" s="198"/>
      <c r="R147" s="198"/>
      <c r="S147" s="198"/>
      <c r="T147" s="198"/>
      <c r="U147" s="198"/>
      <c r="V147" s="198"/>
      <c r="W147" s="198"/>
      <c r="X147" s="198"/>
      <c r="Y147" s="198"/>
      <c r="Z147" s="198"/>
    </row>
    <row r="148" spans="1:26" ht="15.75" hidden="1" customHeight="1" x14ac:dyDescent="0.25">
      <c r="A148" s="213">
        <v>38547</v>
      </c>
      <c r="B148" s="214" t="s">
        <v>8636</v>
      </c>
      <c r="C148" s="215" t="s">
        <v>580</v>
      </c>
      <c r="D148" s="216">
        <v>108.93</v>
      </c>
      <c r="E148" s="198"/>
      <c r="F148" s="198"/>
      <c r="G148" s="198"/>
      <c r="H148" s="198"/>
      <c r="I148" s="198"/>
      <c r="J148" s="198"/>
      <c r="K148" s="198"/>
      <c r="L148" s="198"/>
      <c r="M148" s="198"/>
      <c r="N148" s="198"/>
      <c r="O148" s="198"/>
      <c r="P148" s="198"/>
      <c r="Q148" s="198"/>
      <c r="R148" s="198"/>
      <c r="S148" s="198"/>
      <c r="T148" s="198"/>
      <c r="U148" s="198"/>
      <c r="V148" s="198"/>
      <c r="W148" s="198"/>
      <c r="X148" s="198"/>
      <c r="Y148" s="198"/>
      <c r="Z148" s="198"/>
    </row>
    <row r="149" spans="1:26" ht="15.75" hidden="1" customHeight="1" x14ac:dyDescent="0.25">
      <c r="A149" s="213">
        <v>38467</v>
      </c>
      <c r="B149" s="214" t="s">
        <v>8637</v>
      </c>
      <c r="C149" s="215" t="s">
        <v>580</v>
      </c>
      <c r="D149" s="216">
        <v>65.91</v>
      </c>
      <c r="E149" s="198"/>
      <c r="F149" s="198"/>
      <c r="G149" s="198"/>
      <c r="H149" s="198"/>
      <c r="I149" s="198"/>
      <c r="J149" s="198"/>
      <c r="K149" s="198"/>
      <c r="L149" s="198"/>
      <c r="M149" s="198"/>
      <c r="N149" s="198"/>
      <c r="O149" s="198"/>
      <c r="P149" s="198"/>
      <c r="Q149" s="198"/>
      <c r="R149" s="198"/>
      <c r="S149" s="198"/>
      <c r="T149" s="198"/>
      <c r="U149" s="198"/>
      <c r="V149" s="198"/>
      <c r="W149" s="198"/>
      <c r="X149" s="198"/>
      <c r="Y149" s="198"/>
      <c r="Z149" s="198"/>
    </row>
    <row r="150" spans="1:26" ht="15.75" hidden="1" customHeight="1" x14ac:dyDescent="0.25">
      <c r="A150" s="213">
        <v>38468</v>
      </c>
      <c r="B150" s="214" t="s">
        <v>8638</v>
      </c>
      <c r="C150" s="215" t="s">
        <v>580</v>
      </c>
      <c r="D150" s="216">
        <v>72.52</v>
      </c>
      <c r="E150" s="198"/>
      <c r="F150" s="198"/>
      <c r="G150" s="198"/>
      <c r="H150" s="198"/>
      <c r="I150" s="198"/>
      <c r="J150" s="198"/>
      <c r="K150" s="198"/>
      <c r="L150" s="198"/>
      <c r="M150" s="198"/>
      <c r="N150" s="198"/>
      <c r="O150" s="198"/>
      <c r="P150" s="198"/>
      <c r="Q150" s="198"/>
      <c r="R150" s="198"/>
      <c r="S150" s="198"/>
      <c r="T150" s="198"/>
      <c r="U150" s="198"/>
      <c r="V150" s="198"/>
      <c r="W150" s="198"/>
      <c r="X150" s="198"/>
      <c r="Y150" s="198"/>
      <c r="Z150" s="198"/>
    </row>
    <row r="151" spans="1:26" ht="15.75" hidden="1" customHeight="1" x14ac:dyDescent="0.25">
      <c r="A151" s="213">
        <v>38469</v>
      </c>
      <c r="B151" s="214" t="s">
        <v>8639</v>
      </c>
      <c r="C151" s="215" t="s">
        <v>580</v>
      </c>
      <c r="D151" s="216">
        <v>117.13</v>
      </c>
      <c r="E151" s="198"/>
      <c r="F151" s="198"/>
      <c r="G151" s="198"/>
      <c r="H151" s="198"/>
      <c r="I151" s="198"/>
      <c r="J151" s="198"/>
      <c r="K151" s="198"/>
      <c r="L151" s="198"/>
      <c r="M151" s="198"/>
      <c r="N151" s="198"/>
      <c r="O151" s="198"/>
      <c r="P151" s="198"/>
      <c r="Q151" s="198"/>
      <c r="R151" s="198"/>
      <c r="S151" s="198"/>
      <c r="T151" s="198"/>
      <c r="U151" s="198"/>
      <c r="V151" s="198"/>
      <c r="W151" s="198"/>
      <c r="X151" s="198"/>
      <c r="Y151" s="198"/>
      <c r="Z151" s="198"/>
    </row>
    <row r="152" spans="1:26" ht="15.75" hidden="1" customHeight="1" x14ac:dyDescent="0.25">
      <c r="A152" s="213">
        <v>38471</v>
      </c>
      <c r="B152" s="214" t="s">
        <v>8640</v>
      </c>
      <c r="C152" s="215" t="s">
        <v>580</v>
      </c>
      <c r="D152" s="216">
        <v>94.18</v>
      </c>
      <c r="E152" s="198"/>
      <c r="F152" s="198"/>
      <c r="G152" s="198"/>
      <c r="H152" s="198"/>
      <c r="I152" s="198"/>
      <c r="J152" s="198"/>
      <c r="K152" s="198"/>
      <c r="L152" s="198"/>
      <c r="M152" s="198"/>
      <c r="N152" s="198"/>
      <c r="O152" s="198"/>
      <c r="P152" s="198"/>
      <c r="Q152" s="198"/>
      <c r="R152" s="198"/>
      <c r="S152" s="198"/>
      <c r="T152" s="198"/>
      <c r="U152" s="198"/>
      <c r="V152" s="198"/>
      <c r="W152" s="198"/>
      <c r="X152" s="198"/>
      <c r="Y152" s="198"/>
      <c r="Z152" s="198"/>
    </row>
    <row r="153" spans="1:26" ht="15.75" hidden="1" customHeight="1" x14ac:dyDescent="0.25">
      <c r="A153" s="213">
        <v>37370</v>
      </c>
      <c r="B153" s="214" t="s">
        <v>8641</v>
      </c>
      <c r="C153" s="215" t="s">
        <v>2193</v>
      </c>
      <c r="D153" s="216">
        <v>4.76</v>
      </c>
      <c r="E153" s="198"/>
      <c r="F153" s="198"/>
      <c r="G153" s="198"/>
      <c r="H153" s="198"/>
      <c r="I153" s="198"/>
      <c r="J153" s="198"/>
      <c r="K153" s="198"/>
      <c r="L153" s="198"/>
      <c r="M153" s="198"/>
      <c r="N153" s="198"/>
      <c r="O153" s="198"/>
      <c r="P153" s="198"/>
      <c r="Q153" s="198"/>
      <c r="R153" s="198"/>
      <c r="S153" s="198"/>
      <c r="T153" s="198"/>
      <c r="U153" s="198"/>
      <c r="V153" s="198"/>
      <c r="W153" s="198"/>
      <c r="X153" s="198"/>
      <c r="Y153" s="198"/>
      <c r="Z153" s="198"/>
    </row>
    <row r="154" spans="1:26" ht="15.75" hidden="1" customHeight="1" x14ac:dyDescent="0.25">
      <c r="A154" s="213">
        <v>40862</v>
      </c>
      <c r="B154" s="214" t="s">
        <v>8642</v>
      </c>
      <c r="C154" s="215" t="s">
        <v>6214</v>
      </c>
      <c r="D154" s="216">
        <v>897.94</v>
      </c>
      <c r="E154" s="198"/>
      <c r="F154" s="198"/>
      <c r="G154" s="198"/>
      <c r="H154" s="198"/>
      <c r="I154" s="198"/>
      <c r="J154" s="198"/>
      <c r="K154" s="198"/>
      <c r="L154" s="198"/>
      <c r="M154" s="198"/>
      <c r="N154" s="198"/>
      <c r="O154" s="198"/>
      <c r="P154" s="198"/>
      <c r="Q154" s="198"/>
      <c r="R154" s="198"/>
      <c r="S154" s="198"/>
      <c r="T154" s="198"/>
      <c r="U154" s="198"/>
      <c r="V154" s="198"/>
      <c r="W154" s="198"/>
      <c r="X154" s="198"/>
      <c r="Y154" s="198"/>
      <c r="Z154" s="198"/>
    </row>
    <row r="155" spans="1:26" ht="15.75" hidden="1" customHeight="1" x14ac:dyDescent="0.25">
      <c r="A155" s="213">
        <v>253</v>
      </c>
      <c r="B155" s="214" t="s">
        <v>8643</v>
      </c>
      <c r="C155" s="215" t="s">
        <v>2193</v>
      </c>
      <c r="D155" s="216">
        <v>27.06</v>
      </c>
      <c r="E155" s="198"/>
      <c r="F155" s="198"/>
      <c r="G155" s="198"/>
      <c r="H155" s="198"/>
      <c r="I155" s="198"/>
      <c r="J155" s="198"/>
      <c r="K155" s="198"/>
      <c r="L155" s="198"/>
      <c r="M155" s="198"/>
      <c r="N155" s="198"/>
      <c r="O155" s="198"/>
      <c r="P155" s="198"/>
      <c r="Q155" s="198"/>
      <c r="R155" s="198"/>
      <c r="S155" s="198"/>
      <c r="T155" s="198"/>
      <c r="U155" s="198"/>
      <c r="V155" s="198"/>
      <c r="W155" s="198"/>
      <c r="X155" s="198"/>
      <c r="Y155" s="198"/>
      <c r="Z155" s="198"/>
    </row>
    <row r="156" spans="1:26" ht="15.75" hidden="1" customHeight="1" x14ac:dyDescent="0.25">
      <c r="A156" s="213">
        <v>40809</v>
      </c>
      <c r="B156" s="214" t="s">
        <v>8644</v>
      </c>
      <c r="C156" s="215" t="s">
        <v>6214</v>
      </c>
      <c r="D156" s="216">
        <v>4747.54</v>
      </c>
      <c r="E156" s="198"/>
      <c r="F156" s="198"/>
      <c r="G156" s="198"/>
      <c r="H156" s="198"/>
      <c r="I156" s="198"/>
      <c r="J156" s="198"/>
      <c r="K156" s="198"/>
      <c r="L156" s="198"/>
      <c r="M156" s="198"/>
      <c r="N156" s="198"/>
      <c r="O156" s="198"/>
      <c r="P156" s="198"/>
      <c r="Q156" s="198"/>
      <c r="R156" s="198"/>
      <c r="S156" s="198"/>
      <c r="T156" s="198"/>
      <c r="U156" s="198"/>
      <c r="V156" s="198"/>
      <c r="W156" s="198"/>
      <c r="X156" s="198"/>
      <c r="Y156" s="198"/>
      <c r="Z156" s="198"/>
    </row>
    <row r="157" spans="1:26" ht="15.75" hidden="1" customHeight="1" x14ac:dyDescent="0.25">
      <c r="A157" s="213">
        <v>301</v>
      </c>
      <c r="B157" s="214" t="s">
        <v>8645</v>
      </c>
      <c r="C157" s="215" t="s">
        <v>580</v>
      </c>
      <c r="D157" s="216">
        <v>2.67</v>
      </c>
      <c r="E157" s="198"/>
      <c r="F157" s="198"/>
      <c r="G157" s="198"/>
      <c r="H157" s="198"/>
      <c r="I157" s="198"/>
      <c r="J157" s="198"/>
      <c r="K157" s="198"/>
      <c r="L157" s="198"/>
      <c r="M157" s="198"/>
      <c r="N157" s="198"/>
      <c r="O157" s="198"/>
      <c r="P157" s="198"/>
      <c r="Q157" s="198"/>
      <c r="R157" s="198"/>
      <c r="S157" s="198"/>
      <c r="T157" s="198"/>
      <c r="U157" s="198"/>
      <c r="V157" s="198"/>
      <c r="W157" s="198"/>
      <c r="X157" s="198"/>
      <c r="Y157" s="198"/>
      <c r="Z157" s="198"/>
    </row>
    <row r="158" spans="1:26" ht="15.75" hidden="1" customHeight="1" x14ac:dyDescent="0.25">
      <c r="A158" s="213">
        <v>296</v>
      </c>
      <c r="B158" s="214" t="s">
        <v>8646</v>
      </c>
      <c r="C158" s="215" t="s">
        <v>580</v>
      </c>
      <c r="D158" s="216">
        <v>1.51</v>
      </c>
      <c r="E158" s="198"/>
      <c r="F158" s="198"/>
      <c r="G158" s="198"/>
      <c r="H158" s="198"/>
      <c r="I158" s="198"/>
      <c r="J158" s="198"/>
      <c r="K158" s="198"/>
      <c r="L158" s="198"/>
      <c r="M158" s="198"/>
      <c r="N158" s="198"/>
      <c r="O158" s="198"/>
      <c r="P158" s="198"/>
      <c r="Q158" s="198"/>
      <c r="R158" s="198"/>
      <c r="S158" s="198"/>
      <c r="T158" s="198"/>
      <c r="U158" s="198"/>
      <c r="V158" s="198"/>
      <c r="W158" s="198"/>
      <c r="X158" s="198"/>
      <c r="Y158" s="198"/>
      <c r="Z158" s="198"/>
    </row>
    <row r="159" spans="1:26" ht="15.75" hidden="1" customHeight="1" x14ac:dyDescent="0.25">
      <c r="A159" s="213">
        <v>297</v>
      </c>
      <c r="B159" s="214" t="s">
        <v>8647</v>
      </c>
      <c r="C159" s="215" t="s">
        <v>580</v>
      </c>
      <c r="D159" s="216">
        <v>2.21</v>
      </c>
      <c r="E159" s="198"/>
      <c r="F159" s="198"/>
      <c r="G159" s="198"/>
      <c r="H159" s="198"/>
      <c r="I159" s="198"/>
      <c r="J159" s="198"/>
      <c r="K159" s="198"/>
      <c r="L159" s="198"/>
      <c r="M159" s="198"/>
      <c r="N159" s="198"/>
      <c r="O159" s="198"/>
      <c r="P159" s="198"/>
      <c r="Q159" s="198"/>
      <c r="R159" s="198"/>
      <c r="S159" s="198"/>
      <c r="T159" s="198"/>
      <c r="U159" s="198"/>
      <c r="V159" s="198"/>
      <c r="W159" s="198"/>
      <c r="X159" s="198"/>
      <c r="Y159" s="198"/>
      <c r="Z159" s="198"/>
    </row>
    <row r="160" spans="1:26" ht="15.75" hidden="1" customHeight="1" x14ac:dyDescent="0.25">
      <c r="A160" s="213">
        <v>299</v>
      </c>
      <c r="B160" s="214" t="s">
        <v>8648</v>
      </c>
      <c r="C160" s="215" t="s">
        <v>580</v>
      </c>
      <c r="D160" s="216">
        <v>3.13</v>
      </c>
      <c r="E160" s="198"/>
      <c r="F160" s="198"/>
      <c r="G160" s="198"/>
      <c r="H160" s="198"/>
      <c r="I160" s="198"/>
      <c r="J160" s="198"/>
      <c r="K160" s="198"/>
      <c r="L160" s="198"/>
      <c r="M160" s="198"/>
      <c r="N160" s="198"/>
      <c r="O160" s="198"/>
      <c r="P160" s="198"/>
      <c r="Q160" s="198"/>
      <c r="R160" s="198"/>
      <c r="S160" s="198"/>
      <c r="T160" s="198"/>
      <c r="U160" s="198"/>
      <c r="V160" s="198"/>
      <c r="W160" s="198"/>
      <c r="X160" s="198"/>
      <c r="Y160" s="198"/>
      <c r="Z160" s="198"/>
    </row>
    <row r="161" spans="1:26" ht="15.75" hidden="1" customHeight="1" x14ac:dyDescent="0.25">
      <c r="A161" s="213">
        <v>300</v>
      </c>
      <c r="B161" s="214" t="s">
        <v>8649</v>
      </c>
      <c r="C161" s="215" t="s">
        <v>580</v>
      </c>
      <c r="D161" s="216">
        <v>10.84</v>
      </c>
      <c r="E161" s="198"/>
      <c r="F161" s="198"/>
      <c r="G161" s="198"/>
      <c r="H161" s="198"/>
      <c r="I161" s="198"/>
      <c r="J161" s="198"/>
      <c r="K161" s="198"/>
      <c r="L161" s="198"/>
      <c r="M161" s="198"/>
      <c r="N161" s="198"/>
      <c r="O161" s="198"/>
      <c r="P161" s="198"/>
      <c r="Q161" s="198"/>
      <c r="R161" s="198"/>
      <c r="S161" s="198"/>
      <c r="T161" s="198"/>
      <c r="U161" s="198"/>
      <c r="V161" s="198"/>
      <c r="W161" s="198"/>
      <c r="X161" s="198"/>
      <c r="Y161" s="198"/>
      <c r="Z161" s="198"/>
    </row>
    <row r="162" spans="1:26" ht="15.75" hidden="1" customHeight="1" x14ac:dyDescent="0.25">
      <c r="A162" s="213">
        <v>20085</v>
      </c>
      <c r="B162" s="214" t="s">
        <v>8650</v>
      </c>
      <c r="C162" s="215" t="s">
        <v>580</v>
      </c>
      <c r="D162" s="216">
        <v>1.98</v>
      </c>
      <c r="E162" s="198"/>
      <c r="F162" s="198"/>
      <c r="G162" s="198"/>
      <c r="H162" s="198"/>
      <c r="I162" s="198"/>
      <c r="J162" s="198"/>
      <c r="K162" s="198"/>
      <c r="L162" s="198"/>
      <c r="M162" s="198"/>
      <c r="N162" s="198"/>
      <c r="O162" s="198"/>
      <c r="P162" s="198"/>
      <c r="Q162" s="198"/>
      <c r="R162" s="198"/>
      <c r="S162" s="198"/>
      <c r="T162" s="198"/>
      <c r="U162" s="198"/>
      <c r="V162" s="198"/>
      <c r="W162" s="198"/>
      <c r="X162" s="198"/>
      <c r="Y162" s="198"/>
      <c r="Z162" s="198"/>
    </row>
    <row r="163" spans="1:26" ht="15.75" hidden="1" customHeight="1" x14ac:dyDescent="0.25">
      <c r="A163" s="213">
        <v>298</v>
      </c>
      <c r="B163" s="214" t="s">
        <v>8651</v>
      </c>
      <c r="C163" s="215" t="s">
        <v>580</v>
      </c>
      <c r="D163" s="216">
        <v>2.41</v>
      </c>
      <c r="E163" s="198"/>
      <c r="F163" s="198"/>
      <c r="G163" s="198"/>
      <c r="H163" s="198"/>
      <c r="I163" s="198"/>
      <c r="J163" s="198"/>
      <c r="K163" s="198"/>
      <c r="L163" s="198"/>
      <c r="M163" s="198"/>
      <c r="N163" s="198"/>
      <c r="O163" s="198"/>
      <c r="P163" s="198"/>
      <c r="Q163" s="198"/>
      <c r="R163" s="198"/>
      <c r="S163" s="198"/>
      <c r="T163" s="198"/>
      <c r="U163" s="198"/>
      <c r="V163" s="198"/>
      <c r="W163" s="198"/>
      <c r="X163" s="198"/>
      <c r="Y163" s="198"/>
      <c r="Z163" s="198"/>
    </row>
    <row r="164" spans="1:26" ht="15.75" hidden="1" customHeight="1" x14ac:dyDescent="0.25">
      <c r="A164" s="213">
        <v>311</v>
      </c>
      <c r="B164" s="214" t="s">
        <v>8652</v>
      </c>
      <c r="C164" s="215" t="s">
        <v>580</v>
      </c>
      <c r="D164" s="216">
        <v>8.94</v>
      </c>
      <c r="E164" s="198"/>
      <c r="F164" s="198"/>
      <c r="G164" s="198"/>
      <c r="H164" s="198"/>
      <c r="I164" s="198"/>
      <c r="J164" s="198"/>
      <c r="K164" s="198"/>
      <c r="L164" s="198"/>
      <c r="M164" s="198"/>
      <c r="N164" s="198"/>
      <c r="O164" s="198"/>
      <c r="P164" s="198"/>
      <c r="Q164" s="198"/>
      <c r="R164" s="198"/>
      <c r="S164" s="198"/>
      <c r="T164" s="198"/>
      <c r="U164" s="198"/>
      <c r="V164" s="198"/>
      <c r="W164" s="198"/>
      <c r="X164" s="198"/>
      <c r="Y164" s="198"/>
      <c r="Z164" s="198"/>
    </row>
    <row r="165" spans="1:26" ht="15.75" hidden="1" customHeight="1" x14ac:dyDescent="0.25">
      <c r="A165" s="213">
        <v>318</v>
      </c>
      <c r="B165" s="214" t="s">
        <v>8653</v>
      </c>
      <c r="C165" s="215" t="s">
        <v>580</v>
      </c>
      <c r="D165" s="216">
        <v>18</v>
      </c>
      <c r="E165" s="198"/>
      <c r="F165" s="198"/>
      <c r="G165" s="198"/>
      <c r="H165" s="198"/>
      <c r="I165" s="198"/>
      <c r="J165" s="198"/>
      <c r="K165" s="198"/>
      <c r="L165" s="198"/>
      <c r="M165" s="198"/>
      <c r="N165" s="198"/>
      <c r="O165" s="198"/>
      <c r="P165" s="198"/>
      <c r="Q165" s="198"/>
      <c r="R165" s="198"/>
      <c r="S165" s="198"/>
      <c r="T165" s="198"/>
      <c r="U165" s="198"/>
      <c r="V165" s="198"/>
      <c r="W165" s="198"/>
      <c r="X165" s="198"/>
      <c r="Y165" s="198"/>
      <c r="Z165" s="198"/>
    </row>
    <row r="166" spans="1:26" ht="15.75" hidden="1" customHeight="1" x14ac:dyDescent="0.25">
      <c r="A166" s="213">
        <v>319</v>
      </c>
      <c r="B166" s="214" t="s">
        <v>8654</v>
      </c>
      <c r="C166" s="215" t="s">
        <v>580</v>
      </c>
      <c r="D166" s="216">
        <v>28.22</v>
      </c>
      <c r="E166" s="198"/>
      <c r="F166" s="198"/>
      <c r="G166" s="198"/>
      <c r="H166" s="198"/>
      <c r="I166" s="198"/>
      <c r="J166" s="198"/>
      <c r="K166" s="198"/>
      <c r="L166" s="198"/>
      <c r="M166" s="198"/>
      <c r="N166" s="198"/>
      <c r="O166" s="198"/>
      <c r="P166" s="198"/>
      <c r="Q166" s="198"/>
      <c r="R166" s="198"/>
      <c r="S166" s="198"/>
      <c r="T166" s="198"/>
      <c r="U166" s="198"/>
      <c r="V166" s="198"/>
      <c r="W166" s="198"/>
      <c r="X166" s="198"/>
      <c r="Y166" s="198"/>
      <c r="Z166" s="198"/>
    </row>
    <row r="167" spans="1:26" ht="15.75" hidden="1" customHeight="1" x14ac:dyDescent="0.25">
      <c r="A167" s="213">
        <v>303</v>
      </c>
      <c r="B167" s="214" t="s">
        <v>8655</v>
      </c>
      <c r="C167" s="215" t="s">
        <v>580</v>
      </c>
      <c r="D167" s="216">
        <v>2.95</v>
      </c>
      <c r="E167" s="198"/>
      <c r="F167" s="198"/>
      <c r="G167" s="198"/>
      <c r="H167" s="198"/>
      <c r="I167" s="198"/>
      <c r="J167" s="198"/>
      <c r="K167" s="198"/>
      <c r="L167" s="198"/>
      <c r="M167" s="198"/>
      <c r="N167" s="198"/>
      <c r="O167" s="198"/>
      <c r="P167" s="198"/>
      <c r="Q167" s="198"/>
      <c r="R167" s="198"/>
      <c r="S167" s="198"/>
      <c r="T167" s="198"/>
      <c r="U167" s="198"/>
      <c r="V167" s="198"/>
      <c r="W167" s="198"/>
      <c r="X167" s="198"/>
      <c r="Y167" s="198"/>
      <c r="Z167" s="198"/>
    </row>
    <row r="168" spans="1:26" ht="15.75" hidden="1" customHeight="1" x14ac:dyDescent="0.25">
      <c r="A168" s="213">
        <v>305</v>
      </c>
      <c r="B168" s="214" t="s">
        <v>8656</v>
      </c>
      <c r="C168" s="215" t="s">
        <v>580</v>
      </c>
      <c r="D168" s="216">
        <v>9.3000000000000007</v>
      </c>
      <c r="E168" s="198"/>
      <c r="F168" s="198"/>
      <c r="G168" s="198"/>
      <c r="H168" s="198"/>
      <c r="I168" s="198"/>
      <c r="J168" s="198"/>
      <c r="K168" s="198"/>
      <c r="L168" s="198"/>
      <c r="M168" s="198"/>
      <c r="N168" s="198"/>
      <c r="O168" s="198"/>
      <c r="P168" s="198"/>
      <c r="Q168" s="198"/>
      <c r="R168" s="198"/>
      <c r="S168" s="198"/>
      <c r="T168" s="198"/>
      <c r="U168" s="198"/>
      <c r="V168" s="198"/>
      <c r="W168" s="198"/>
      <c r="X168" s="198"/>
      <c r="Y168" s="198"/>
      <c r="Z168" s="198"/>
    </row>
    <row r="169" spans="1:26" ht="15.75" hidden="1" customHeight="1" x14ac:dyDescent="0.25">
      <c r="A169" s="213">
        <v>306</v>
      </c>
      <c r="B169" s="214" t="s">
        <v>8657</v>
      </c>
      <c r="C169" s="215" t="s">
        <v>580</v>
      </c>
      <c r="D169" s="216">
        <v>14.11</v>
      </c>
      <c r="E169" s="198"/>
      <c r="F169" s="198"/>
      <c r="G169" s="198"/>
      <c r="H169" s="198"/>
      <c r="I169" s="198"/>
      <c r="J169" s="198"/>
      <c r="K169" s="198"/>
      <c r="L169" s="198"/>
      <c r="M169" s="198"/>
      <c r="N169" s="198"/>
      <c r="O169" s="198"/>
      <c r="P169" s="198"/>
      <c r="Q169" s="198"/>
      <c r="R169" s="198"/>
      <c r="S169" s="198"/>
      <c r="T169" s="198"/>
      <c r="U169" s="198"/>
      <c r="V169" s="198"/>
      <c r="W169" s="198"/>
      <c r="X169" s="198"/>
      <c r="Y169" s="198"/>
      <c r="Z169" s="198"/>
    </row>
    <row r="170" spans="1:26" ht="15.75" hidden="1" customHeight="1" x14ac:dyDescent="0.25">
      <c r="A170" s="213">
        <v>307</v>
      </c>
      <c r="B170" s="214" t="s">
        <v>8658</v>
      </c>
      <c r="C170" s="215" t="s">
        <v>580</v>
      </c>
      <c r="D170" s="216">
        <v>35.65</v>
      </c>
      <c r="E170" s="198"/>
      <c r="F170" s="198"/>
      <c r="G170" s="198"/>
      <c r="H170" s="198"/>
      <c r="I170" s="198"/>
      <c r="J170" s="198"/>
      <c r="K170" s="198"/>
      <c r="L170" s="198"/>
      <c r="M170" s="198"/>
      <c r="N170" s="198"/>
      <c r="O170" s="198"/>
      <c r="P170" s="198"/>
      <c r="Q170" s="198"/>
      <c r="R170" s="198"/>
      <c r="S170" s="198"/>
      <c r="T170" s="198"/>
      <c r="U170" s="198"/>
      <c r="V170" s="198"/>
      <c r="W170" s="198"/>
      <c r="X170" s="198"/>
      <c r="Y170" s="198"/>
      <c r="Z170" s="198"/>
    </row>
    <row r="171" spans="1:26" ht="15.75" hidden="1" customHeight="1" x14ac:dyDescent="0.25">
      <c r="A171" s="213">
        <v>309</v>
      </c>
      <c r="B171" s="214" t="s">
        <v>8659</v>
      </c>
      <c r="C171" s="215" t="s">
        <v>580</v>
      </c>
      <c r="D171" s="216">
        <v>58.4</v>
      </c>
      <c r="E171" s="198"/>
      <c r="F171" s="198"/>
      <c r="G171" s="198"/>
      <c r="H171" s="198"/>
      <c r="I171" s="198"/>
      <c r="J171" s="198"/>
      <c r="K171" s="198"/>
      <c r="L171" s="198"/>
      <c r="M171" s="198"/>
      <c r="N171" s="198"/>
      <c r="O171" s="198"/>
      <c r="P171" s="198"/>
      <c r="Q171" s="198"/>
      <c r="R171" s="198"/>
      <c r="S171" s="198"/>
      <c r="T171" s="198"/>
      <c r="U171" s="198"/>
      <c r="V171" s="198"/>
      <c r="W171" s="198"/>
      <c r="X171" s="198"/>
      <c r="Y171" s="198"/>
      <c r="Z171" s="198"/>
    </row>
    <row r="172" spans="1:26" ht="15.75" hidden="1" customHeight="1" x14ac:dyDescent="0.25">
      <c r="A172" s="213">
        <v>310</v>
      </c>
      <c r="B172" s="214" t="s">
        <v>8660</v>
      </c>
      <c r="C172" s="215" t="s">
        <v>580</v>
      </c>
      <c r="D172" s="216">
        <v>80.94</v>
      </c>
      <c r="E172" s="198"/>
      <c r="F172" s="198"/>
      <c r="G172" s="198"/>
      <c r="H172" s="198"/>
      <c r="I172" s="198"/>
      <c r="J172" s="198"/>
      <c r="K172" s="198"/>
      <c r="L172" s="198"/>
      <c r="M172" s="198"/>
      <c r="N172" s="198"/>
      <c r="O172" s="198"/>
      <c r="P172" s="198"/>
      <c r="Q172" s="198"/>
      <c r="R172" s="198"/>
      <c r="S172" s="198"/>
      <c r="T172" s="198"/>
      <c r="U172" s="198"/>
      <c r="V172" s="198"/>
      <c r="W172" s="198"/>
      <c r="X172" s="198"/>
      <c r="Y172" s="198"/>
      <c r="Z172" s="198"/>
    </row>
    <row r="173" spans="1:26" ht="15.75" hidden="1" customHeight="1" x14ac:dyDescent="0.25">
      <c r="A173" s="213">
        <v>308</v>
      </c>
      <c r="B173" s="214" t="s">
        <v>8661</v>
      </c>
      <c r="C173" s="215" t="s">
        <v>580</v>
      </c>
      <c r="D173" s="216">
        <v>79.569999999999993</v>
      </c>
      <c r="E173" s="198"/>
      <c r="F173" s="198"/>
      <c r="G173" s="198"/>
      <c r="H173" s="198"/>
      <c r="I173" s="198"/>
      <c r="J173" s="198"/>
      <c r="K173" s="198"/>
      <c r="L173" s="198"/>
      <c r="M173" s="198"/>
      <c r="N173" s="198"/>
      <c r="O173" s="198"/>
      <c r="P173" s="198"/>
      <c r="Q173" s="198"/>
      <c r="R173" s="198"/>
      <c r="S173" s="198"/>
      <c r="T173" s="198"/>
      <c r="U173" s="198"/>
      <c r="V173" s="198"/>
      <c r="W173" s="198"/>
      <c r="X173" s="198"/>
      <c r="Y173" s="198"/>
      <c r="Z173" s="198"/>
    </row>
    <row r="174" spans="1:26" ht="15.75" hidden="1" customHeight="1" x14ac:dyDescent="0.25">
      <c r="A174" s="213">
        <v>328</v>
      </c>
      <c r="B174" s="214" t="s">
        <v>8662</v>
      </c>
      <c r="C174" s="215" t="s">
        <v>580</v>
      </c>
      <c r="D174" s="216">
        <v>7.07</v>
      </c>
      <c r="E174" s="198"/>
      <c r="F174" s="198"/>
      <c r="G174" s="198"/>
      <c r="H174" s="198"/>
      <c r="I174" s="198"/>
      <c r="J174" s="198"/>
      <c r="K174" s="198"/>
      <c r="L174" s="198"/>
      <c r="M174" s="198"/>
      <c r="N174" s="198"/>
      <c r="O174" s="198"/>
      <c r="P174" s="198"/>
      <c r="Q174" s="198"/>
      <c r="R174" s="198"/>
      <c r="S174" s="198"/>
      <c r="T174" s="198"/>
      <c r="U174" s="198"/>
      <c r="V174" s="198"/>
      <c r="W174" s="198"/>
      <c r="X174" s="198"/>
      <c r="Y174" s="198"/>
      <c r="Z174" s="198"/>
    </row>
    <row r="175" spans="1:26" ht="15.75" hidden="1" customHeight="1" x14ac:dyDescent="0.25">
      <c r="A175" s="213">
        <v>325</v>
      </c>
      <c r="B175" s="214" t="s">
        <v>8663</v>
      </c>
      <c r="C175" s="215" t="s">
        <v>580</v>
      </c>
      <c r="D175" s="216">
        <v>2.09</v>
      </c>
      <c r="E175" s="198"/>
      <c r="F175" s="198"/>
      <c r="G175" s="198"/>
      <c r="H175" s="198"/>
      <c r="I175" s="198"/>
      <c r="J175" s="198"/>
      <c r="K175" s="198"/>
      <c r="L175" s="198"/>
      <c r="M175" s="198"/>
      <c r="N175" s="198"/>
      <c r="O175" s="198"/>
      <c r="P175" s="198"/>
      <c r="Q175" s="198"/>
      <c r="R175" s="198"/>
      <c r="S175" s="198"/>
      <c r="T175" s="198"/>
      <c r="U175" s="198"/>
      <c r="V175" s="198"/>
      <c r="W175" s="198"/>
      <c r="X175" s="198"/>
      <c r="Y175" s="198"/>
      <c r="Z175" s="198"/>
    </row>
    <row r="176" spans="1:26" ht="15.75" hidden="1" customHeight="1" x14ac:dyDescent="0.25">
      <c r="A176" s="213">
        <v>20326</v>
      </c>
      <c r="B176" s="214" t="s">
        <v>8664</v>
      </c>
      <c r="C176" s="215" t="s">
        <v>580</v>
      </c>
      <c r="D176" s="216">
        <v>3.82</v>
      </c>
      <c r="E176" s="198"/>
      <c r="F176" s="198"/>
      <c r="G176" s="198"/>
      <c r="H176" s="198"/>
      <c r="I176" s="198"/>
      <c r="J176" s="198"/>
      <c r="K176" s="198"/>
      <c r="L176" s="198"/>
      <c r="M176" s="198"/>
      <c r="N176" s="198"/>
      <c r="O176" s="198"/>
      <c r="P176" s="198"/>
      <c r="Q176" s="198"/>
      <c r="R176" s="198"/>
      <c r="S176" s="198"/>
      <c r="T176" s="198"/>
      <c r="U176" s="198"/>
      <c r="V176" s="198"/>
      <c r="W176" s="198"/>
      <c r="X176" s="198"/>
      <c r="Y176" s="198"/>
      <c r="Z176" s="198"/>
    </row>
    <row r="177" spans="1:26" ht="15.75" hidden="1" customHeight="1" x14ac:dyDescent="0.25">
      <c r="A177" s="213">
        <v>329</v>
      </c>
      <c r="B177" s="214" t="s">
        <v>8665</v>
      </c>
      <c r="C177" s="215" t="s">
        <v>580</v>
      </c>
      <c r="D177" s="216">
        <v>5.91</v>
      </c>
      <c r="E177" s="198"/>
      <c r="F177" s="198"/>
      <c r="G177" s="198"/>
      <c r="H177" s="198"/>
      <c r="I177" s="198"/>
      <c r="J177" s="198"/>
      <c r="K177" s="198"/>
      <c r="L177" s="198"/>
      <c r="M177" s="198"/>
      <c r="N177" s="198"/>
      <c r="O177" s="198"/>
      <c r="P177" s="198"/>
      <c r="Q177" s="198"/>
      <c r="R177" s="198"/>
      <c r="S177" s="198"/>
      <c r="T177" s="198"/>
      <c r="U177" s="198"/>
      <c r="V177" s="198"/>
      <c r="W177" s="198"/>
      <c r="X177" s="198"/>
      <c r="Y177" s="198"/>
      <c r="Z177" s="198"/>
    </row>
    <row r="178" spans="1:26" ht="15.75" hidden="1" customHeight="1" x14ac:dyDescent="0.25">
      <c r="A178" s="213">
        <v>39642</v>
      </c>
      <c r="B178" s="214" t="s">
        <v>8666</v>
      </c>
      <c r="C178" s="215" t="s">
        <v>580</v>
      </c>
      <c r="D178" s="216">
        <v>2.62</v>
      </c>
      <c r="E178" s="198"/>
      <c r="F178" s="198"/>
      <c r="G178" s="198"/>
      <c r="H178" s="198"/>
      <c r="I178" s="198"/>
      <c r="J178" s="198"/>
      <c r="K178" s="198"/>
      <c r="L178" s="198"/>
      <c r="M178" s="198"/>
      <c r="N178" s="198"/>
      <c r="O178" s="198"/>
      <c r="P178" s="198"/>
      <c r="Q178" s="198"/>
      <c r="R178" s="198"/>
      <c r="S178" s="198"/>
      <c r="T178" s="198"/>
      <c r="U178" s="198"/>
      <c r="V178" s="198"/>
      <c r="W178" s="198"/>
      <c r="X178" s="198"/>
      <c r="Y178" s="198"/>
      <c r="Z178" s="198"/>
    </row>
    <row r="179" spans="1:26" ht="15.75" hidden="1" customHeight="1" x14ac:dyDescent="0.25">
      <c r="A179" s="213">
        <v>39641</v>
      </c>
      <c r="B179" s="214" t="s">
        <v>8667</v>
      </c>
      <c r="C179" s="215" t="s">
        <v>580</v>
      </c>
      <c r="D179" s="216">
        <v>2.2999999999999998</v>
      </c>
      <c r="E179" s="198"/>
      <c r="F179" s="198"/>
      <c r="G179" s="198"/>
      <c r="H179" s="198"/>
      <c r="I179" s="198"/>
      <c r="J179" s="198"/>
      <c r="K179" s="198"/>
      <c r="L179" s="198"/>
      <c r="M179" s="198"/>
      <c r="N179" s="198"/>
      <c r="O179" s="198"/>
      <c r="P179" s="198"/>
      <c r="Q179" s="198"/>
      <c r="R179" s="198"/>
      <c r="S179" s="198"/>
      <c r="T179" s="198"/>
      <c r="U179" s="198"/>
      <c r="V179" s="198"/>
      <c r="W179" s="198"/>
      <c r="X179" s="198"/>
      <c r="Y179" s="198"/>
      <c r="Z179" s="198"/>
    </row>
    <row r="180" spans="1:26" ht="15.75" hidden="1" customHeight="1" x14ac:dyDescent="0.25">
      <c r="A180" s="213">
        <v>39643</v>
      </c>
      <c r="B180" s="214" t="s">
        <v>8668</v>
      </c>
      <c r="C180" s="215" t="s">
        <v>580</v>
      </c>
      <c r="D180" s="216">
        <v>3.08</v>
      </c>
      <c r="E180" s="198"/>
      <c r="F180" s="198"/>
      <c r="G180" s="198"/>
      <c r="H180" s="198"/>
      <c r="I180" s="198"/>
      <c r="J180" s="198"/>
      <c r="K180" s="198"/>
      <c r="L180" s="198"/>
      <c r="M180" s="198"/>
      <c r="N180" s="198"/>
      <c r="O180" s="198"/>
      <c r="P180" s="198"/>
      <c r="Q180" s="198"/>
      <c r="R180" s="198"/>
      <c r="S180" s="198"/>
      <c r="T180" s="198"/>
      <c r="U180" s="198"/>
      <c r="V180" s="198"/>
      <c r="W180" s="198"/>
      <c r="X180" s="198"/>
      <c r="Y180" s="198"/>
      <c r="Z180" s="198"/>
    </row>
    <row r="181" spans="1:26" ht="15.75" hidden="1" customHeight="1" x14ac:dyDescent="0.25">
      <c r="A181" s="213">
        <v>39644</v>
      </c>
      <c r="B181" s="214" t="s">
        <v>8669</v>
      </c>
      <c r="C181" s="215" t="s">
        <v>580</v>
      </c>
      <c r="D181" s="216">
        <v>4.7699999999999996</v>
      </c>
      <c r="E181" s="198"/>
      <c r="F181" s="198"/>
      <c r="G181" s="198"/>
      <c r="H181" s="198"/>
      <c r="I181" s="198"/>
      <c r="J181" s="198"/>
      <c r="K181" s="198"/>
      <c r="L181" s="198"/>
      <c r="M181" s="198"/>
      <c r="N181" s="198"/>
      <c r="O181" s="198"/>
      <c r="P181" s="198"/>
      <c r="Q181" s="198"/>
      <c r="R181" s="198"/>
      <c r="S181" s="198"/>
      <c r="T181" s="198"/>
      <c r="U181" s="198"/>
      <c r="V181" s="198"/>
      <c r="W181" s="198"/>
      <c r="X181" s="198"/>
      <c r="Y181" s="198"/>
      <c r="Z181" s="198"/>
    </row>
    <row r="182" spans="1:26" ht="15.75" hidden="1" customHeight="1" x14ac:dyDescent="0.25">
      <c r="A182" s="213">
        <v>39645</v>
      </c>
      <c r="B182" s="214" t="s">
        <v>8670</v>
      </c>
      <c r="C182" s="215" t="s">
        <v>580</v>
      </c>
      <c r="D182" s="216">
        <v>5.23</v>
      </c>
      <c r="E182" s="198"/>
      <c r="F182" s="198"/>
      <c r="G182" s="198"/>
      <c r="H182" s="198"/>
      <c r="I182" s="198"/>
      <c r="J182" s="198"/>
      <c r="K182" s="198"/>
      <c r="L182" s="198"/>
      <c r="M182" s="198"/>
      <c r="N182" s="198"/>
      <c r="O182" s="198"/>
      <c r="P182" s="198"/>
      <c r="Q182" s="198"/>
      <c r="R182" s="198"/>
      <c r="S182" s="198"/>
      <c r="T182" s="198"/>
      <c r="U182" s="198"/>
      <c r="V182" s="198"/>
      <c r="W182" s="198"/>
      <c r="X182" s="198"/>
      <c r="Y182" s="198"/>
      <c r="Z182" s="198"/>
    </row>
    <row r="183" spans="1:26" ht="15.75" hidden="1" customHeight="1" x14ac:dyDescent="0.25">
      <c r="A183" s="213">
        <v>11789</v>
      </c>
      <c r="B183" s="214" t="s">
        <v>8671</v>
      </c>
      <c r="C183" s="215" t="s">
        <v>580</v>
      </c>
      <c r="D183" s="216">
        <v>0.78</v>
      </c>
      <c r="E183" s="198"/>
      <c r="F183" s="198"/>
      <c r="G183" s="198"/>
      <c r="H183" s="198"/>
      <c r="I183" s="198"/>
      <c r="J183" s="198"/>
      <c r="K183" s="198"/>
      <c r="L183" s="198"/>
      <c r="M183" s="198"/>
      <c r="N183" s="198"/>
      <c r="O183" s="198"/>
      <c r="P183" s="198"/>
      <c r="Q183" s="198"/>
      <c r="R183" s="198"/>
      <c r="S183" s="198"/>
      <c r="T183" s="198"/>
      <c r="U183" s="198"/>
      <c r="V183" s="198"/>
      <c r="W183" s="198"/>
      <c r="X183" s="198"/>
      <c r="Y183" s="198"/>
      <c r="Z183" s="198"/>
    </row>
    <row r="184" spans="1:26" ht="15.75" hidden="1" customHeight="1" x14ac:dyDescent="0.25">
      <c r="A184" s="213">
        <v>20975</v>
      </c>
      <c r="B184" s="214" t="s">
        <v>8672</v>
      </c>
      <c r="C184" s="215" t="s">
        <v>580</v>
      </c>
      <c r="D184" s="216">
        <v>19.23</v>
      </c>
      <c r="E184" s="198"/>
      <c r="F184" s="198"/>
      <c r="G184" s="198"/>
      <c r="H184" s="198"/>
      <c r="I184" s="198"/>
      <c r="J184" s="198"/>
      <c r="K184" s="198"/>
      <c r="L184" s="198"/>
      <c r="M184" s="198"/>
      <c r="N184" s="198"/>
      <c r="O184" s="198"/>
      <c r="P184" s="198"/>
      <c r="Q184" s="198"/>
      <c r="R184" s="198"/>
      <c r="S184" s="198"/>
      <c r="T184" s="198"/>
      <c r="U184" s="198"/>
      <c r="V184" s="198"/>
      <c r="W184" s="198"/>
      <c r="X184" s="198"/>
      <c r="Y184" s="198"/>
      <c r="Z184" s="198"/>
    </row>
    <row r="185" spans="1:26" ht="15.75" hidden="1" customHeight="1" x14ac:dyDescent="0.25">
      <c r="A185" s="213">
        <v>20976</v>
      </c>
      <c r="B185" s="214" t="s">
        <v>8673</v>
      </c>
      <c r="C185" s="215" t="s">
        <v>580</v>
      </c>
      <c r="D185" s="216">
        <v>29.06</v>
      </c>
      <c r="E185" s="198"/>
      <c r="F185" s="198"/>
      <c r="G185" s="198"/>
      <c r="H185" s="198"/>
      <c r="I185" s="198"/>
      <c r="J185" s="198"/>
      <c r="K185" s="198"/>
      <c r="L185" s="198"/>
      <c r="M185" s="198"/>
      <c r="N185" s="198"/>
      <c r="O185" s="198"/>
      <c r="P185" s="198"/>
      <c r="Q185" s="198"/>
      <c r="R185" s="198"/>
      <c r="S185" s="198"/>
      <c r="T185" s="198"/>
      <c r="U185" s="198"/>
      <c r="V185" s="198"/>
      <c r="W185" s="198"/>
      <c r="X185" s="198"/>
      <c r="Y185" s="198"/>
      <c r="Z185" s="198"/>
    </row>
    <row r="186" spans="1:26" ht="15.75" hidden="1" customHeight="1" x14ac:dyDescent="0.25">
      <c r="A186" s="213">
        <v>6138</v>
      </c>
      <c r="B186" s="214" t="s">
        <v>8674</v>
      </c>
      <c r="C186" s="215" t="s">
        <v>580</v>
      </c>
      <c r="D186" s="216">
        <v>11.14</v>
      </c>
      <c r="E186" s="198"/>
      <c r="F186" s="198"/>
      <c r="G186" s="198"/>
      <c r="H186" s="198"/>
      <c r="I186" s="198"/>
      <c r="J186" s="198"/>
      <c r="K186" s="198"/>
      <c r="L186" s="198"/>
      <c r="M186" s="198"/>
      <c r="N186" s="198"/>
      <c r="O186" s="198"/>
      <c r="P186" s="198"/>
      <c r="Q186" s="198"/>
      <c r="R186" s="198"/>
      <c r="S186" s="198"/>
      <c r="T186" s="198"/>
      <c r="U186" s="198"/>
      <c r="V186" s="198"/>
      <c r="W186" s="198"/>
      <c r="X186" s="198"/>
      <c r="Y186" s="198"/>
      <c r="Z186" s="198"/>
    </row>
    <row r="187" spans="1:26" ht="15.75" hidden="1" customHeight="1" x14ac:dyDescent="0.25">
      <c r="A187" s="213">
        <v>40340</v>
      </c>
      <c r="B187" s="214" t="s">
        <v>8675</v>
      </c>
      <c r="C187" s="215" t="s">
        <v>580</v>
      </c>
      <c r="D187" s="216">
        <v>19.64</v>
      </c>
      <c r="E187" s="198"/>
      <c r="F187" s="198"/>
      <c r="G187" s="198"/>
      <c r="H187" s="198"/>
      <c r="I187" s="198"/>
      <c r="J187" s="198"/>
      <c r="K187" s="198"/>
      <c r="L187" s="198"/>
      <c r="M187" s="198"/>
      <c r="N187" s="198"/>
      <c r="O187" s="198"/>
      <c r="P187" s="198"/>
      <c r="Q187" s="198"/>
      <c r="R187" s="198"/>
      <c r="S187" s="198"/>
      <c r="T187" s="198"/>
      <c r="U187" s="198"/>
      <c r="V187" s="198"/>
      <c r="W187" s="198"/>
      <c r="X187" s="198"/>
      <c r="Y187" s="198"/>
      <c r="Z187" s="198"/>
    </row>
    <row r="188" spans="1:26" ht="15.75" hidden="1" customHeight="1" x14ac:dyDescent="0.25">
      <c r="A188" s="213">
        <v>40341</v>
      </c>
      <c r="B188" s="214" t="s">
        <v>8676</v>
      </c>
      <c r="C188" s="215" t="s">
        <v>580</v>
      </c>
      <c r="D188" s="216">
        <v>23.44</v>
      </c>
      <c r="E188" s="198"/>
      <c r="F188" s="198"/>
      <c r="G188" s="198"/>
      <c r="H188" s="198"/>
      <c r="I188" s="198"/>
      <c r="J188" s="198"/>
      <c r="K188" s="198"/>
      <c r="L188" s="198"/>
      <c r="M188" s="198"/>
      <c r="N188" s="198"/>
      <c r="O188" s="198"/>
      <c r="P188" s="198"/>
      <c r="Q188" s="198"/>
      <c r="R188" s="198"/>
      <c r="S188" s="198"/>
      <c r="T188" s="198"/>
      <c r="U188" s="198"/>
      <c r="V188" s="198"/>
      <c r="W188" s="198"/>
      <c r="X188" s="198"/>
      <c r="Y188" s="198"/>
      <c r="Z188" s="198"/>
    </row>
    <row r="189" spans="1:26" ht="15.75" hidden="1" customHeight="1" x14ac:dyDescent="0.25">
      <c r="A189" s="213">
        <v>40342</v>
      </c>
      <c r="B189" s="214" t="s">
        <v>8677</v>
      </c>
      <c r="C189" s="215" t="s">
        <v>580</v>
      </c>
      <c r="D189" s="216">
        <v>27.95</v>
      </c>
      <c r="E189" s="198"/>
      <c r="F189" s="198"/>
      <c r="G189" s="198"/>
      <c r="H189" s="198"/>
      <c r="I189" s="198"/>
      <c r="J189" s="198"/>
      <c r="K189" s="198"/>
      <c r="L189" s="198"/>
      <c r="M189" s="198"/>
      <c r="N189" s="198"/>
      <c r="O189" s="198"/>
      <c r="P189" s="198"/>
      <c r="Q189" s="198"/>
      <c r="R189" s="198"/>
      <c r="S189" s="198"/>
      <c r="T189" s="198"/>
      <c r="U189" s="198"/>
      <c r="V189" s="198"/>
      <c r="W189" s="198"/>
      <c r="X189" s="198"/>
      <c r="Y189" s="198"/>
      <c r="Z189" s="198"/>
    </row>
    <row r="190" spans="1:26" ht="15.75" hidden="1" customHeight="1" x14ac:dyDescent="0.25">
      <c r="A190" s="213">
        <v>40343</v>
      </c>
      <c r="B190" s="214" t="s">
        <v>8678</v>
      </c>
      <c r="C190" s="215" t="s">
        <v>580</v>
      </c>
      <c r="D190" s="216">
        <v>33.159999999999997</v>
      </c>
      <c r="E190" s="198"/>
      <c r="F190" s="198"/>
      <c r="G190" s="198"/>
      <c r="H190" s="198"/>
      <c r="I190" s="198"/>
      <c r="J190" s="198"/>
      <c r="K190" s="198"/>
      <c r="L190" s="198"/>
      <c r="M190" s="198"/>
      <c r="N190" s="198"/>
      <c r="O190" s="198"/>
      <c r="P190" s="198"/>
      <c r="Q190" s="198"/>
      <c r="R190" s="198"/>
      <c r="S190" s="198"/>
      <c r="T190" s="198"/>
      <c r="U190" s="198"/>
      <c r="V190" s="198"/>
      <c r="W190" s="198"/>
      <c r="X190" s="198"/>
      <c r="Y190" s="198"/>
      <c r="Z190" s="198"/>
    </row>
    <row r="191" spans="1:26" ht="15.75" hidden="1" customHeight="1" x14ac:dyDescent="0.25">
      <c r="A191" s="213">
        <v>40344</v>
      </c>
      <c r="B191" s="214" t="s">
        <v>8679</v>
      </c>
      <c r="C191" s="215" t="s">
        <v>580</v>
      </c>
      <c r="D191" s="216">
        <v>45.2</v>
      </c>
      <c r="E191" s="198"/>
      <c r="F191" s="198"/>
      <c r="G191" s="198"/>
      <c r="H191" s="198"/>
      <c r="I191" s="198"/>
      <c r="J191" s="198"/>
      <c r="K191" s="198"/>
      <c r="L191" s="198"/>
      <c r="M191" s="198"/>
      <c r="N191" s="198"/>
      <c r="O191" s="198"/>
      <c r="P191" s="198"/>
      <c r="Q191" s="198"/>
      <c r="R191" s="198"/>
      <c r="S191" s="198"/>
      <c r="T191" s="198"/>
      <c r="U191" s="198"/>
      <c r="V191" s="198"/>
      <c r="W191" s="198"/>
      <c r="X191" s="198"/>
      <c r="Y191" s="198"/>
      <c r="Z191" s="198"/>
    </row>
    <row r="192" spans="1:26" ht="15.75" hidden="1" customHeight="1" x14ac:dyDescent="0.25">
      <c r="A192" s="213">
        <v>40345</v>
      </c>
      <c r="B192" s="214" t="s">
        <v>8680</v>
      </c>
      <c r="C192" s="215" t="s">
        <v>580</v>
      </c>
      <c r="D192" s="216">
        <v>55.7</v>
      </c>
      <c r="E192" s="198"/>
      <c r="F192" s="198"/>
      <c r="G192" s="198"/>
      <c r="H192" s="198"/>
      <c r="I192" s="198"/>
      <c r="J192" s="198"/>
      <c r="K192" s="198"/>
      <c r="L192" s="198"/>
      <c r="M192" s="198"/>
      <c r="N192" s="198"/>
      <c r="O192" s="198"/>
      <c r="P192" s="198"/>
      <c r="Q192" s="198"/>
      <c r="R192" s="198"/>
      <c r="S192" s="198"/>
      <c r="T192" s="198"/>
      <c r="U192" s="198"/>
      <c r="V192" s="198"/>
      <c r="W192" s="198"/>
      <c r="X192" s="198"/>
      <c r="Y192" s="198"/>
      <c r="Z192" s="198"/>
    </row>
    <row r="193" spans="1:26" ht="15.75" hidden="1" customHeight="1" x14ac:dyDescent="0.25">
      <c r="A193" s="213">
        <v>40346</v>
      </c>
      <c r="B193" s="214" t="s">
        <v>8681</v>
      </c>
      <c r="C193" s="215" t="s">
        <v>580</v>
      </c>
      <c r="D193" s="216">
        <v>64.61</v>
      </c>
      <c r="E193" s="198"/>
      <c r="F193" s="198"/>
      <c r="G193" s="198"/>
      <c r="H193" s="198"/>
      <c r="I193" s="198"/>
      <c r="J193" s="198"/>
      <c r="K193" s="198"/>
      <c r="L193" s="198"/>
      <c r="M193" s="198"/>
      <c r="N193" s="198"/>
      <c r="O193" s="198"/>
      <c r="P193" s="198"/>
      <c r="Q193" s="198"/>
      <c r="R193" s="198"/>
      <c r="S193" s="198"/>
      <c r="T193" s="198"/>
      <c r="U193" s="198"/>
      <c r="V193" s="198"/>
      <c r="W193" s="198"/>
      <c r="X193" s="198"/>
      <c r="Y193" s="198"/>
      <c r="Z193" s="198"/>
    </row>
    <row r="194" spans="1:26" ht="15.75" hidden="1" customHeight="1" x14ac:dyDescent="0.25">
      <c r="A194" s="213">
        <v>40347</v>
      </c>
      <c r="B194" s="214" t="s">
        <v>8682</v>
      </c>
      <c r="C194" s="215" t="s">
        <v>580</v>
      </c>
      <c r="D194" s="216">
        <v>81.180000000000007</v>
      </c>
      <c r="E194" s="198"/>
      <c r="F194" s="198"/>
      <c r="G194" s="198"/>
      <c r="H194" s="198"/>
      <c r="I194" s="198"/>
      <c r="J194" s="198"/>
      <c r="K194" s="198"/>
      <c r="L194" s="198"/>
      <c r="M194" s="198"/>
      <c r="N194" s="198"/>
      <c r="O194" s="198"/>
      <c r="P194" s="198"/>
      <c r="Q194" s="198"/>
      <c r="R194" s="198"/>
      <c r="S194" s="198"/>
      <c r="T194" s="198"/>
      <c r="U194" s="198"/>
      <c r="V194" s="198"/>
      <c r="W194" s="198"/>
      <c r="X194" s="198"/>
      <c r="Y194" s="198"/>
      <c r="Z194" s="198"/>
    </row>
    <row r="195" spans="1:26" ht="15.75" hidden="1" customHeight="1" x14ac:dyDescent="0.25">
      <c r="A195" s="213">
        <v>13761</v>
      </c>
      <c r="B195" s="214" t="s">
        <v>8683</v>
      </c>
      <c r="C195" s="215" t="s">
        <v>580</v>
      </c>
      <c r="D195" s="216">
        <v>2592.4499999999998</v>
      </c>
      <c r="E195" s="198"/>
      <c r="F195" s="198"/>
      <c r="G195" s="198"/>
      <c r="H195" s="198"/>
      <c r="I195" s="198"/>
      <c r="J195" s="198"/>
      <c r="K195" s="198"/>
      <c r="L195" s="198"/>
      <c r="M195" s="198"/>
      <c r="N195" s="198"/>
      <c r="O195" s="198"/>
      <c r="P195" s="198"/>
      <c r="Q195" s="198"/>
      <c r="R195" s="198"/>
      <c r="S195" s="198"/>
      <c r="T195" s="198"/>
      <c r="U195" s="198"/>
      <c r="V195" s="198"/>
      <c r="W195" s="198"/>
      <c r="X195" s="198"/>
      <c r="Y195" s="198"/>
      <c r="Z195" s="198"/>
    </row>
    <row r="196" spans="1:26" ht="15.75" hidden="1" customHeight="1" x14ac:dyDescent="0.25">
      <c r="A196" s="213">
        <v>4814</v>
      </c>
      <c r="B196" s="214" t="s">
        <v>8684</v>
      </c>
      <c r="C196" s="215" t="s">
        <v>580</v>
      </c>
      <c r="D196" s="216">
        <v>59.8</v>
      </c>
      <c r="E196" s="198"/>
      <c r="F196" s="198"/>
      <c r="G196" s="198"/>
      <c r="H196" s="198"/>
      <c r="I196" s="198"/>
      <c r="J196" s="198"/>
      <c r="K196" s="198"/>
      <c r="L196" s="198"/>
      <c r="M196" s="198"/>
      <c r="N196" s="198"/>
      <c r="O196" s="198"/>
      <c r="P196" s="198"/>
      <c r="Q196" s="198"/>
      <c r="R196" s="198"/>
      <c r="S196" s="198"/>
      <c r="T196" s="198"/>
      <c r="U196" s="198"/>
      <c r="V196" s="198"/>
      <c r="W196" s="198"/>
      <c r="X196" s="198"/>
      <c r="Y196" s="198"/>
      <c r="Z196" s="198"/>
    </row>
    <row r="197" spans="1:26" ht="15.75" hidden="1" customHeight="1" x14ac:dyDescent="0.25">
      <c r="A197" s="213">
        <v>6122</v>
      </c>
      <c r="B197" s="214" t="s">
        <v>8685</v>
      </c>
      <c r="C197" s="215" t="s">
        <v>2193</v>
      </c>
      <c r="D197" s="216">
        <v>23.86</v>
      </c>
      <c r="E197" s="198"/>
      <c r="F197" s="198"/>
      <c r="G197" s="198"/>
      <c r="H197" s="198"/>
      <c r="I197" s="198"/>
      <c r="J197" s="198"/>
      <c r="K197" s="198"/>
      <c r="L197" s="198"/>
      <c r="M197" s="198"/>
      <c r="N197" s="198"/>
      <c r="O197" s="198"/>
      <c r="P197" s="198"/>
      <c r="Q197" s="198"/>
      <c r="R197" s="198"/>
      <c r="S197" s="198"/>
      <c r="T197" s="198"/>
      <c r="U197" s="198"/>
      <c r="V197" s="198"/>
      <c r="W197" s="198"/>
      <c r="X197" s="198"/>
      <c r="Y197" s="198"/>
      <c r="Z197" s="198"/>
    </row>
    <row r="198" spans="1:26" ht="15.75" hidden="1" customHeight="1" x14ac:dyDescent="0.25">
      <c r="A198" s="213">
        <v>40810</v>
      </c>
      <c r="B198" s="214" t="s">
        <v>8686</v>
      </c>
      <c r="C198" s="215" t="s">
        <v>6214</v>
      </c>
      <c r="D198" s="216">
        <v>4189.66</v>
      </c>
      <c r="E198" s="198"/>
      <c r="F198" s="198"/>
      <c r="G198" s="198"/>
      <c r="H198" s="198"/>
      <c r="I198" s="198"/>
      <c r="J198" s="198"/>
      <c r="K198" s="198"/>
      <c r="L198" s="198"/>
      <c r="M198" s="198"/>
      <c r="N198" s="198"/>
      <c r="O198" s="198"/>
      <c r="P198" s="198"/>
      <c r="Q198" s="198"/>
      <c r="R198" s="198"/>
      <c r="S198" s="198"/>
      <c r="T198" s="198"/>
      <c r="U198" s="198"/>
      <c r="V198" s="198"/>
      <c r="W198" s="198"/>
      <c r="X198" s="198"/>
      <c r="Y198" s="198"/>
      <c r="Z198" s="198"/>
    </row>
    <row r="199" spans="1:26" ht="15.75" hidden="1" customHeight="1" x14ac:dyDescent="0.25">
      <c r="A199" s="213">
        <v>21100</v>
      </c>
      <c r="B199" s="214" t="s">
        <v>8687</v>
      </c>
      <c r="C199" s="215" t="s">
        <v>580</v>
      </c>
      <c r="D199" s="216">
        <v>3845.1</v>
      </c>
      <c r="E199" s="198"/>
      <c r="F199" s="198"/>
      <c r="G199" s="198"/>
      <c r="H199" s="198"/>
      <c r="I199" s="198"/>
      <c r="J199" s="198"/>
      <c r="K199" s="198"/>
      <c r="L199" s="198"/>
      <c r="M199" s="198"/>
      <c r="N199" s="198"/>
      <c r="O199" s="198"/>
      <c r="P199" s="198"/>
      <c r="Q199" s="198"/>
      <c r="R199" s="198"/>
      <c r="S199" s="198"/>
      <c r="T199" s="198"/>
      <c r="U199" s="198"/>
      <c r="V199" s="198"/>
      <c r="W199" s="198"/>
      <c r="X199" s="198"/>
      <c r="Y199" s="198"/>
      <c r="Z199" s="198"/>
    </row>
    <row r="200" spans="1:26" ht="15.75" hidden="1" customHeight="1" x14ac:dyDescent="0.25">
      <c r="A200" s="213">
        <v>11811</v>
      </c>
      <c r="B200" s="214" t="s">
        <v>8688</v>
      </c>
      <c r="C200" s="215" t="s">
        <v>580</v>
      </c>
      <c r="D200" s="216">
        <v>5550.48</v>
      </c>
      <c r="E200" s="198"/>
      <c r="F200" s="198"/>
      <c r="G200" s="198"/>
      <c r="H200" s="198"/>
      <c r="I200" s="198"/>
      <c r="J200" s="198"/>
      <c r="K200" s="198"/>
      <c r="L200" s="198"/>
      <c r="M200" s="198"/>
      <c r="N200" s="198"/>
      <c r="O200" s="198"/>
      <c r="P200" s="198"/>
      <c r="Q200" s="198"/>
      <c r="R200" s="198"/>
      <c r="S200" s="198"/>
      <c r="T200" s="198"/>
      <c r="U200" s="198"/>
      <c r="V200" s="198"/>
      <c r="W200" s="198"/>
      <c r="X200" s="198"/>
      <c r="Y200" s="198"/>
      <c r="Z200" s="198"/>
    </row>
    <row r="201" spans="1:26" ht="15.75" hidden="1" customHeight="1" x14ac:dyDescent="0.25">
      <c r="A201" s="213">
        <v>11816</v>
      </c>
      <c r="B201" s="214" t="s">
        <v>8689</v>
      </c>
      <c r="C201" s="215" t="s">
        <v>580</v>
      </c>
      <c r="D201" s="216">
        <v>4100</v>
      </c>
      <c r="E201" s="198"/>
      <c r="F201" s="198"/>
      <c r="G201" s="198"/>
      <c r="H201" s="198"/>
      <c r="I201" s="198"/>
      <c r="J201" s="198"/>
      <c r="K201" s="198"/>
      <c r="L201" s="198"/>
      <c r="M201" s="198"/>
      <c r="N201" s="198"/>
      <c r="O201" s="198"/>
      <c r="P201" s="198"/>
      <c r="Q201" s="198"/>
      <c r="R201" s="198"/>
      <c r="S201" s="198"/>
      <c r="T201" s="198"/>
      <c r="U201" s="198"/>
      <c r="V201" s="198"/>
      <c r="W201" s="198"/>
      <c r="X201" s="198"/>
      <c r="Y201" s="198"/>
      <c r="Z201" s="198"/>
    </row>
    <row r="202" spans="1:26" ht="15.75" hidden="1" customHeight="1" x14ac:dyDescent="0.25">
      <c r="A202" s="213">
        <v>11814</v>
      </c>
      <c r="B202" s="214" t="s">
        <v>8690</v>
      </c>
      <c r="C202" s="215" t="s">
        <v>580</v>
      </c>
      <c r="D202" s="216">
        <v>8924.67</v>
      </c>
      <c r="E202" s="198"/>
      <c r="F202" s="198"/>
      <c r="G202" s="198"/>
      <c r="H202" s="198"/>
      <c r="I202" s="198"/>
      <c r="J202" s="198"/>
      <c r="K202" s="198"/>
      <c r="L202" s="198"/>
      <c r="M202" s="198"/>
      <c r="N202" s="198"/>
      <c r="O202" s="198"/>
      <c r="P202" s="198"/>
      <c r="Q202" s="198"/>
      <c r="R202" s="198"/>
      <c r="S202" s="198"/>
      <c r="T202" s="198"/>
      <c r="U202" s="198"/>
      <c r="V202" s="198"/>
      <c r="W202" s="198"/>
      <c r="X202" s="198"/>
      <c r="Y202" s="198"/>
      <c r="Z202" s="198"/>
    </row>
    <row r="203" spans="1:26" ht="15.75" hidden="1" customHeight="1" x14ac:dyDescent="0.25">
      <c r="A203" s="213">
        <v>14186</v>
      </c>
      <c r="B203" s="214" t="s">
        <v>8691</v>
      </c>
      <c r="C203" s="215" t="s">
        <v>580</v>
      </c>
      <c r="D203" s="216">
        <v>11206.13</v>
      </c>
      <c r="E203" s="198"/>
      <c r="F203" s="198"/>
      <c r="G203" s="198"/>
      <c r="H203" s="198"/>
      <c r="I203" s="198"/>
      <c r="J203" s="198"/>
      <c r="K203" s="198"/>
      <c r="L203" s="198"/>
      <c r="M203" s="198"/>
      <c r="N203" s="198"/>
      <c r="O203" s="198"/>
      <c r="P203" s="198"/>
      <c r="Q203" s="198"/>
      <c r="R203" s="198"/>
      <c r="S203" s="198"/>
      <c r="T203" s="198"/>
      <c r="U203" s="198"/>
      <c r="V203" s="198"/>
      <c r="W203" s="198"/>
      <c r="X203" s="198"/>
      <c r="Y203" s="198"/>
      <c r="Z203" s="198"/>
    </row>
    <row r="204" spans="1:26" ht="15.75" hidden="1" customHeight="1" x14ac:dyDescent="0.25">
      <c r="A204" s="213">
        <v>14185</v>
      </c>
      <c r="B204" s="214" t="s">
        <v>8692</v>
      </c>
      <c r="C204" s="215" t="s">
        <v>580</v>
      </c>
      <c r="D204" s="216">
        <v>14516.3</v>
      </c>
      <c r="E204" s="198"/>
      <c r="F204" s="198"/>
      <c r="G204" s="198"/>
      <c r="H204" s="198"/>
      <c r="I204" s="198"/>
      <c r="J204" s="198"/>
      <c r="K204" s="198"/>
      <c r="L204" s="198"/>
      <c r="M204" s="198"/>
      <c r="N204" s="198"/>
      <c r="O204" s="198"/>
      <c r="P204" s="198"/>
      <c r="Q204" s="198"/>
      <c r="R204" s="198"/>
      <c r="S204" s="198"/>
      <c r="T204" s="198"/>
      <c r="U204" s="198"/>
      <c r="V204" s="198"/>
      <c r="W204" s="198"/>
      <c r="X204" s="198"/>
      <c r="Y204" s="198"/>
      <c r="Z204" s="198"/>
    </row>
    <row r="205" spans="1:26" ht="15.75" hidden="1" customHeight="1" x14ac:dyDescent="0.25">
      <c r="A205" s="213">
        <v>42425</v>
      </c>
      <c r="B205" s="214" t="s">
        <v>8693</v>
      </c>
      <c r="C205" s="215" t="s">
        <v>580</v>
      </c>
      <c r="D205" s="216">
        <v>2753.02</v>
      </c>
      <c r="E205" s="198"/>
      <c r="F205" s="198"/>
      <c r="G205" s="198"/>
      <c r="H205" s="198"/>
      <c r="I205" s="198"/>
      <c r="J205" s="198"/>
      <c r="K205" s="198"/>
      <c r="L205" s="198"/>
      <c r="M205" s="198"/>
      <c r="N205" s="198"/>
      <c r="O205" s="198"/>
      <c r="P205" s="198"/>
      <c r="Q205" s="198"/>
      <c r="R205" s="198"/>
      <c r="S205" s="198"/>
      <c r="T205" s="198"/>
      <c r="U205" s="198"/>
      <c r="V205" s="198"/>
      <c r="W205" s="198"/>
      <c r="X205" s="198"/>
      <c r="Y205" s="198"/>
      <c r="Z205" s="198"/>
    </row>
    <row r="206" spans="1:26" ht="15.75" hidden="1" customHeight="1" x14ac:dyDescent="0.25">
      <c r="A206" s="213">
        <v>42422</v>
      </c>
      <c r="B206" s="214" t="s">
        <v>8694</v>
      </c>
      <c r="C206" s="215" t="s">
        <v>580</v>
      </c>
      <c r="D206" s="216">
        <v>4086.95</v>
      </c>
      <c r="E206" s="198"/>
      <c r="F206" s="198"/>
      <c r="G206" s="198"/>
      <c r="H206" s="198"/>
      <c r="I206" s="198"/>
      <c r="J206" s="198"/>
      <c r="K206" s="198"/>
      <c r="L206" s="198"/>
      <c r="M206" s="198"/>
      <c r="N206" s="198"/>
      <c r="O206" s="198"/>
      <c r="P206" s="198"/>
      <c r="Q206" s="198"/>
      <c r="R206" s="198"/>
      <c r="S206" s="198"/>
      <c r="T206" s="198"/>
      <c r="U206" s="198"/>
      <c r="V206" s="198"/>
      <c r="W206" s="198"/>
      <c r="X206" s="198"/>
      <c r="Y206" s="198"/>
      <c r="Z206" s="198"/>
    </row>
    <row r="207" spans="1:26" ht="15.75" hidden="1" customHeight="1" x14ac:dyDescent="0.25">
      <c r="A207" s="213">
        <v>43184</v>
      </c>
      <c r="B207" s="214" t="s">
        <v>8695</v>
      </c>
      <c r="C207" s="215" t="s">
        <v>580</v>
      </c>
      <c r="D207" s="216">
        <v>5648.56</v>
      </c>
      <c r="E207" s="198"/>
      <c r="F207" s="198"/>
      <c r="G207" s="198"/>
      <c r="H207" s="198"/>
      <c r="I207" s="198"/>
      <c r="J207" s="198"/>
      <c r="K207" s="198"/>
      <c r="L207" s="198"/>
      <c r="M207" s="198"/>
      <c r="N207" s="198"/>
      <c r="O207" s="198"/>
      <c r="P207" s="198"/>
      <c r="Q207" s="198"/>
      <c r="R207" s="198"/>
      <c r="S207" s="198"/>
      <c r="T207" s="198"/>
      <c r="U207" s="198"/>
      <c r="V207" s="198"/>
      <c r="W207" s="198"/>
      <c r="X207" s="198"/>
      <c r="Y207" s="198"/>
      <c r="Z207" s="198"/>
    </row>
    <row r="208" spans="1:26" ht="15.75" hidden="1" customHeight="1" x14ac:dyDescent="0.25">
      <c r="A208" s="213">
        <v>42424</v>
      </c>
      <c r="B208" s="214" t="s">
        <v>8696</v>
      </c>
      <c r="C208" s="215" t="s">
        <v>580</v>
      </c>
      <c r="D208" s="216">
        <v>2458.69</v>
      </c>
      <c r="E208" s="198"/>
      <c r="F208" s="198"/>
      <c r="G208" s="198"/>
      <c r="H208" s="198"/>
      <c r="I208" s="198"/>
      <c r="J208" s="198"/>
      <c r="K208" s="198"/>
      <c r="L208" s="198"/>
      <c r="M208" s="198"/>
      <c r="N208" s="198"/>
      <c r="O208" s="198"/>
      <c r="P208" s="198"/>
      <c r="Q208" s="198"/>
      <c r="R208" s="198"/>
      <c r="S208" s="198"/>
      <c r="T208" s="198"/>
      <c r="U208" s="198"/>
      <c r="V208" s="198"/>
      <c r="W208" s="198"/>
      <c r="X208" s="198"/>
      <c r="Y208" s="198"/>
      <c r="Z208" s="198"/>
    </row>
    <row r="209" spans="1:26" ht="15.75" hidden="1" customHeight="1" x14ac:dyDescent="0.25">
      <c r="A209" s="213">
        <v>42416</v>
      </c>
      <c r="B209" s="214" t="s">
        <v>8697</v>
      </c>
      <c r="C209" s="215" t="s">
        <v>580</v>
      </c>
      <c r="D209" s="216">
        <v>10599.11</v>
      </c>
      <c r="E209" s="198"/>
      <c r="F209" s="198"/>
      <c r="G209" s="198"/>
      <c r="H209" s="198"/>
      <c r="I209" s="198"/>
      <c r="J209" s="198"/>
      <c r="K209" s="198"/>
      <c r="L209" s="198"/>
      <c r="M209" s="198"/>
      <c r="N209" s="198"/>
      <c r="O209" s="198"/>
      <c r="P209" s="198"/>
      <c r="Q209" s="198"/>
      <c r="R209" s="198"/>
      <c r="S209" s="198"/>
      <c r="T209" s="198"/>
      <c r="U209" s="198"/>
      <c r="V209" s="198"/>
      <c r="W209" s="198"/>
      <c r="X209" s="198"/>
      <c r="Y209" s="198"/>
      <c r="Z209" s="198"/>
    </row>
    <row r="210" spans="1:26" ht="15.75" hidden="1" customHeight="1" x14ac:dyDescent="0.25">
      <c r="A210" s="213">
        <v>42417</v>
      </c>
      <c r="B210" s="214" t="s">
        <v>8698</v>
      </c>
      <c r="C210" s="215" t="s">
        <v>580</v>
      </c>
      <c r="D210" s="216">
        <v>11882.47</v>
      </c>
      <c r="E210" s="198"/>
      <c r="F210" s="198"/>
      <c r="G210" s="198"/>
      <c r="H210" s="198"/>
      <c r="I210" s="198"/>
      <c r="J210" s="198"/>
      <c r="K210" s="198"/>
      <c r="L210" s="198"/>
      <c r="M210" s="198"/>
      <c r="N210" s="198"/>
      <c r="O210" s="198"/>
      <c r="P210" s="198"/>
      <c r="Q210" s="198"/>
      <c r="R210" s="198"/>
      <c r="S210" s="198"/>
      <c r="T210" s="198"/>
      <c r="U210" s="198"/>
      <c r="V210" s="198"/>
      <c r="W210" s="198"/>
      <c r="X210" s="198"/>
      <c r="Y210" s="198"/>
      <c r="Z210" s="198"/>
    </row>
    <row r="211" spans="1:26" ht="15.75" hidden="1" customHeight="1" x14ac:dyDescent="0.25">
      <c r="A211" s="213">
        <v>42419</v>
      </c>
      <c r="B211" s="214" t="s">
        <v>8699</v>
      </c>
      <c r="C211" s="215" t="s">
        <v>580</v>
      </c>
      <c r="D211" s="216">
        <v>13424.67</v>
      </c>
      <c r="E211" s="198"/>
      <c r="F211" s="198"/>
      <c r="G211" s="198"/>
      <c r="H211" s="198"/>
      <c r="I211" s="198"/>
      <c r="J211" s="198"/>
      <c r="K211" s="198"/>
      <c r="L211" s="198"/>
      <c r="M211" s="198"/>
      <c r="N211" s="198"/>
      <c r="O211" s="198"/>
      <c r="P211" s="198"/>
      <c r="Q211" s="198"/>
      <c r="R211" s="198"/>
      <c r="S211" s="198"/>
      <c r="T211" s="198"/>
      <c r="U211" s="198"/>
      <c r="V211" s="198"/>
      <c r="W211" s="198"/>
      <c r="X211" s="198"/>
      <c r="Y211" s="198"/>
      <c r="Z211" s="198"/>
    </row>
    <row r="212" spans="1:26" ht="15.75" hidden="1" customHeight="1" x14ac:dyDescent="0.25">
      <c r="A212" s="213">
        <v>42420</v>
      </c>
      <c r="B212" s="214" t="s">
        <v>8700</v>
      </c>
      <c r="C212" s="215" t="s">
        <v>580</v>
      </c>
      <c r="D212" s="216">
        <v>18451.22</v>
      </c>
      <c r="E212" s="198"/>
      <c r="F212" s="198"/>
      <c r="G212" s="198"/>
      <c r="H212" s="198"/>
      <c r="I212" s="198"/>
      <c r="J212" s="198"/>
      <c r="K212" s="198"/>
      <c r="L212" s="198"/>
      <c r="M212" s="198"/>
      <c r="N212" s="198"/>
      <c r="O212" s="198"/>
      <c r="P212" s="198"/>
      <c r="Q212" s="198"/>
      <c r="R212" s="198"/>
      <c r="S212" s="198"/>
      <c r="T212" s="198"/>
      <c r="U212" s="198"/>
      <c r="V212" s="198"/>
      <c r="W212" s="198"/>
      <c r="X212" s="198"/>
      <c r="Y212" s="198"/>
      <c r="Z212" s="198"/>
    </row>
    <row r="213" spans="1:26" ht="15.75" hidden="1" customHeight="1" x14ac:dyDescent="0.25">
      <c r="A213" s="213">
        <v>42421</v>
      </c>
      <c r="B213" s="214" t="s">
        <v>8701</v>
      </c>
      <c r="C213" s="215" t="s">
        <v>580</v>
      </c>
      <c r="D213" s="216">
        <v>22386.07</v>
      </c>
      <c r="E213" s="198"/>
      <c r="F213" s="198"/>
      <c r="G213" s="198"/>
      <c r="H213" s="198"/>
      <c r="I213" s="198"/>
      <c r="J213" s="198"/>
      <c r="K213" s="198"/>
      <c r="L213" s="198"/>
      <c r="M213" s="198"/>
      <c r="N213" s="198"/>
      <c r="O213" s="198"/>
      <c r="P213" s="198"/>
      <c r="Q213" s="198"/>
      <c r="R213" s="198"/>
      <c r="S213" s="198"/>
      <c r="T213" s="198"/>
      <c r="U213" s="198"/>
      <c r="V213" s="198"/>
      <c r="W213" s="198"/>
      <c r="X213" s="198"/>
      <c r="Y213" s="198"/>
      <c r="Z213" s="198"/>
    </row>
    <row r="214" spans="1:26" ht="15.75" hidden="1" customHeight="1" x14ac:dyDescent="0.25">
      <c r="A214" s="213">
        <v>39556</v>
      </c>
      <c r="B214" s="214" t="s">
        <v>8702</v>
      </c>
      <c r="C214" s="215" t="s">
        <v>580</v>
      </c>
      <c r="D214" s="216">
        <v>7774.18</v>
      </c>
      <c r="E214" s="198"/>
      <c r="F214" s="198"/>
      <c r="G214" s="198"/>
      <c r="H214" s="198"/>
      <c r="I214" s="198"/>
      <c r="J214" s="198"/>
      <c r="K214" s="198"/>
      <c r="L214" s="198"/>
      <c r="M214" s="198"/>
      <c r="N214" s="198"/>
      <c r="O214" s="198"/>
      <c r="P214" s="198"/>
      <c r="Q214" s="198"/>
      <c r="R214" s="198"/>
      <c r="S214" s="198"/>
      <c r="T214" s="198"/>
      <c r="U214" s="198"/>
      <c r="V214" s="198"/>
      <c r="W214" s="198"/>
      <c r="X214" s="198"/>
      <c r="Y214" s="198"/>
      <c r="Z214" s="198"/>
    </row>
    <row r="215" spans="1:26" ht="15.75" hidden="1" customHeight="1" x14ac:dyDescent="0.25">
      <c r="A215" s="213">
        <v>39557</v>
      </c>
      <c r="B215" s="214" t="s">
        <v>8703</v>
      </c>
      <c r="C215" s="215" t="s">
        <v>580</v>
      </c>
      <c r="D215" s="216">
        <v>8371.1</v>
      </c>
      <c r="E215" s="198"/>
      <c r="F215" s="198"/>
      <c r="G215" s="198"/>
      <c r="H215" s="198"/>
      <c r="I215" s="198"/>
      <c r="J215" s="198"/>
      <c r="K215" s="198"/>
      <c r="L215" s="198"/>
      <c r="M215" s="198"/>
      <c r="N215" s="198"/>
      <c r="O215" s="198"/>
      <c r="P215" s="198"/>
      <c r="Q215" s="198"/>
      <c r="R215" s="198"/>
      <c r="S215" s="198"/>
      <c r="T215" s="198"/>
      <c r="U215" s="198"/>
      <c r="V215" s="198"/>
      <c r="W215" s="198"/>
      <c r="X215" s="198"/>
      <c r="Y215" s="198"/>
      <c r="Z215" s="198"/>
    </row>
    <row r="216" spans="1:26" ht="15.75" hidden="1" customHeight="1" x14ac:dyDescent="0.25">
      <c r="A216" s="213">
        <v>39559</v>
      </c>
      <c r="B216" s="214" t="s">
        <v>8704</v>
      </c>
      <c r="C216" s="215" t="s">
        <v>580</v>
      </c>
      <c r="D216" s="216">
        <v>12370.87</v>
      </c>
      <c r="E216" s="198"/>
      <c r="F216" s="198"/>
      <c r="G216" s="198"/>
      <c r="H216" s="198"/>
      <c r="I216" s="198"/>
      <c r="J216" s="198"/>
      <c r="K216" s="198"/>
      <c r="L216" s="198"/>
      <c r="M216" s="198"/>
      <c r="N216" s="198"/>
      <c r="O216" s="198"/>
      <c r="P216" s="198"/>
      <c r="Q216" s="198"/>
      <c r="R216" s="198"/>
      <c r="S216" s="198"/>
      <c r="T216" s="198"/>
      <c r="U216" s="198"/>
      <c r="V216" s="198"/>
      <c r="W216" s="198"/>
      <c r="X216" s="198"/>
      <c r="Y216" s="198"/>
      <c r="Z216" s="198"/>
    </row>
    <row r="217" spans="1:26" ht="15.75" hidden="1" customHeight="1" x14ac:dyDescent="0.25">
      <c r="A217" s="213">
        <v>39560</v>
      </c>
      <c r="B217" s="214" t="s">
        <v>8705</v>
      </c>
      <c r="C217" s="215" t="s">
        <v>580</v>
      </c>
      <c r="D217" s="216">
        <v>14311.89</v>
      </c>
      <c r="E217" s="198"/>
      <c r="F217" s="198"/>
      <c r="G217" s="198"/>
      <c r="H217" s="198"/>
      <c r="I217" s="198"/>
      <c r="J217" s="198"/>
      <c r="K217" s="198"/>
      <c r="L217" s="198"/>
      <c r="M217" s="198"/>
      <c r="N217" s="198"/>
      <c r="O217" s="198"/>
      <c r="P217" s="198"/>
      <c r="Q217" s="198"/>
      <c r="R217" s="198"/>
      <c r="S217" s="198"/>
      <c r="T217" s="198"/>
      <c r="U217" s="198"/>
      <c r="V217" s="198"/>
      <c r="W217" s="198"/>
      <c r="X217" s="198"/>
      <c r="Y217" s="198"/>
      <c r="Z217" s="198"/>
    </row>
    <row r="218" spans="1:26" ht="15.75" hidden="1" customHeight="1" x14ac:dyDescent="0.25">
      <c r="A218" s="213">
        <v>39561</v>
      </c>
      <c r="B218" s="214" t="s">
        <v>8706</v>
      </c>
      <c r="C218" s="215" t="s">
        <v>580</v>
      </c>
      <c r="D218" s="216">
        <v>14972.06</v>
      </c>
      <c r="E218" s="198"/>
      <c r="F218" s="198"/>
      <c r="G218" s="198"/>
      <c r="H218" s="198"/>
      <c r="I218" s="198"/>
      <c r="J218" s="198"/>
      <c r="K218" s="198"/>
      <c r="L218" s="198"/>
      <c r="M218" s="198"/>
      <c r="N218" s="198"/>
      <c r="O218" s="198"/>
      <c r="P218" s="198"/>
      <c r="Q218" s="198"/>
      <c r="R218" s="198"/>
      <c r="S218" s="198"/>
      <c r="T218" s="198"/>
      <c r="U218" s="198"/>
      <c r="V218" s="198"/>
      <c r="W218" s="198"/>
      <c r="X218" s="198"/>
      <c r="Y218" s="198"/>
      <c r="Z218" s="198"/>
    </row>
    <row r="219" spans="1:26" ht="15.75" hidden="1" customHeight="1" x14ac:dyDescent="0.25">
      <c r="A219" s="213">
        <v>43195</v>
      </c>
      <c r="B219" s="214" t="s">
        <v>8707</v>
      </c>
      <c r="C219" s="215" t="s">
        <v>580</v>
      </c>
      <c r="D219" s="216">
        <v>6496.94</v>
      </c>
      <c r="E219" s="198"/>
      <c r="F219" s="198"/>
      <c r="G219" s="198"/>
      <c r="H219" s="198"/>
      <c r="I219" s="198"/>
      <c r="J219" s="198"/>
      <c r="K219" s="198"/>
      <c r="L219" s="198"/>
      <c r="M219" s="198"/>
      <c r="N219" s="198"/>
      <c r="O219" s="198"/>
      <c r="P219" s="198"/>
      <c r="Q219" s="198"/>
      <c r="R219" s="198"/>
      <c r="S219" s="198"/>
      <c r="T219" s="198"/>
      <c r="U219" s="198"/>
      <c r="V219" s="198"/>
      <c r="W219" s="198"/>
      <c r="X219" s="198"/>
      <c r="Y219" s="198"/>
      <c r="Z219" s="198"/>
    </row>
    <row r="220" spans="1:26" ht="15.75" hidden="1" customHeight="1" x14ac:dyDescent="0.25">
      <c r="A220" s="213">
        <v>43196</v>
      </c>
      <c r="B220" s="214" t="s">
        <v>8708</v>
      </c>
      <c r="C220" s="215" t="s">
        <v>580</v>
      </c>
      <c r="D220" s="216">
        <v>8052.02</v>
      </c>
      <c r="E220" s="198"/>
      <c r="F220" s="198"/>
      <c r="G220" s="198"/>
      <c r="H220" s="198"/>
      <c r="I220" s="198"/>
      <c r="J220" s="198"/>
      <c r="K220" s="198"/>
      <c r="L220" s="198"/>
      <c r="M220" s="198"/>
      <c r="N220" s="198"/>
      <c r="O220" s="198"/>
      <c r="P220" s="198"/>
      <c r="Q220" s="198"/>
      <c r="R220" s="198"/>
      <c r="S220" s="198"/>
      <c r="T220" s="198"/>
      <c r="U220" s="198"/>
      <c r="V220" s="198"/>
      <c r="W220" s="198"/>
      <c r="X220" s="198"/>
      <c r="Y220" s="198"/>
      <c r="Z220" s="198"/>
    </row>
    <row r="221" spans="1:26" ht="15.75" hidden="1" customHeight="1" x14ac:dyDescent="0.25">
      <c r="A221" s="213">
        <v>43198</v>
      </c>
      <c r="B221" s="214" t="s">
        <v>8709</v>
      </c>
      <c r="C221" s="215" t="s">
        <v>580</v>
      </c>
      <c r="D221" s="216">
        <v>11965.11</v>
      </c>
      <c r="E221" s="198"/>
      <c r="F221" s="198"/>
      <c r="G221" s="198"/>
      <c r="H221" s="198"/>
      <c r="I221" s="198"/>
      <c r="J221" s="198"/>
      <c r="K221" s="198"/>
      <c r="L221" s="198"/>
      <c r="M221" s="198"/>
      <c r="N221" s="198"/>
      <c r="O221" s="198"/>
      <c r="P221" s="198"/>
      <c r="Q221" s="198"/>
      <c r="R221" s="198"/>
      <c r="S221" s="198"/>
      <c r="T221" s="198"/>
      <c r="U221" s="198"/>
      <c r="V221" s="198"/>
      <c r="W221" s="198"/>
      <c r="X221" s="198"/>
      <c r="Y221" s="198"/>
      <c r="Z221" s="198"/>
    </row>
    <row r="222" spans="1:26" ht="15.75" hidden="1" customHeight="1" x14ac:dyDescent="0.25">
      <c r="A222" s="213">
        <v>43199</v>
      </c>
      <c r="B222" s="214" t="s">
        <v>8710</v>
      </c>
      <c r="C222" s="215" t="s">
        <v>580</v>
      </c>
      <c r="D222" s="216">
        <v>12403.55</v>
      </c>
      <c r="E222" s="198"/>
      <c r="F222" s="198"/>
      <c r="G222" s="198"/>
      <c r="H222" s="198"/>
      <c r="I222" s="198"/>
      <c r="J222" s="198"/>
      <c r="K222" s="198"/>
      <c r="L222" s="198"/>
      <c r="M222" s="198"/>
      <c r="N222" s="198"/>
      <c r="O222" s="198"/>
      <c r="P222" s="198"/>
      <c r="Q222" s="198"/>
      <c r="R222" s="198"/>
      <c r="S222" s="198"/>
      <c r="T222" s="198"/>
      <c r="U222" s="198"/>
      <c r="V222" s="198"/>
      <c r="W222" s="198"/>
      <c r="X222" s="198"/>
      <c r="Y222" s="198"/>
      <c r="Z222" s="198"/>
    </row>
    <row r="223" spans="1:26" ht="15.75" hidden="1" customHeight="1" x14ac:dyDescent="0.25">
      <c r="A223" s="213">
        <v>43200</v>
      </c>
      <c r="B223" s="214" t="s">
        <v>8711</v>
      </c>
      <c r="C223" s="215" t="s">
        <v>580</v>
      </c>
      <c r="D223" s="216">
        <v>14233.98</v>
      </c>
      <c r="E223" s="198"/>
      <c r="F223" s="198"/>
      <c r="G223" s="198"/>
      <c r="H223" s="198"/>
      <c r="I223" s="198"/>
      <c r="J223" s="198"/>
      <c r="K223" s="198"/>
      <c r="L223" s="198"/>
      <c r="M223" s="198"/>
      <c r="N223" s="198"/>
      <c r="O223" s="198"/>
      <c r="P223" s="198"/>
      <c r="Q223" s="198"/>
      <c r="R223" s="198"/>
      <c r="S223" s="198"/>
      <c r="T223" s="198"/>
      <c r="U223" s="198"/>
      <c r="V223" s="198"/>
      <c r="W223" s="198"/>
      <c r="X223" s="198"/>
      <c r="Y223" s="198"/>
      <c r="Z223" s="198"/>
    </row>
    <row r="224" spans="1:26" ht="15.75" hidden="1" customHeight="1" x14ac:dyDescent="0.25">
      <c r="A224" s="213">
        <v>43190</v>
      </c>
      <c r="B224" s="214" t="s">
        <v>8712</v>
      </c>
      <c r="C224" s="215" t="s">
        <v>580</v>
      </c>
      <c r="D224" s="216">
        <v>2209.48</v>
      </c>
      <c r="E224" s="198"/>
      <c r="F224" s="198"/>
      <c r="G224" s="198"/>
      <c r="H224" s="198"/>
      <c r="I224" s="198"/>
      <c r="J224" s="198"/>
      <c r="K224" s="198"/>
      <c r="L224" s="198"/>
      <c r="M224" s="198"/>
      <c r="N224" s="198"/>
      <c r="O224" s="198"/>
      <c r="P224" s="198"/>
      <c r="Q224" s="198"/>
      <c r="R224" s="198"/>
      <c r="S224" s="198"/>
      <c r="T224" s="198"/>
      <c r="U224" s="198"/>
      <c r="V224" s="198"/>
      <c r="W224" s="198"/>
      <c r="X224" s="198"/>
      <c r="Y224" s="198"/>
      <c r="Z224" s="198"/>
    </row>
    <row r="225" spans="1:26" ht="15.75" hidden="1" customHeight="1" x14ac:dyDescent="0.25">
      <c r="A225" s="213">
        <v>39555</v>
      </c>
      <c r="B225" s="214" t="s">
        <v>8713</v>
      </c>
      <c r="C225" s="215" t="s">
        <v>580</v>
      </c>
      <c r="D225" s="216">
        <v>2390.09</v>
      </c>
      <c r="E225" s="198"/>
      <c r="F225" s="198"/>
      <c r="G225" s="198"/>
      <c r="H225" s="198"/>
      <c r="I225" s="198"/>
      <c r="J225" s="198"/>
      <c r="K225" s="198"/>
      <c r="L225" s="198"/>
      <c r="M225" s="198"/>
      <c r="N225" s="198"/>
      <c r="O225" s="198"/>
      <c r="P225" s="198"/>
      <c r="Q225" s="198"/>
      <c r="R225" s="198"/>
      <c r="S225" s="198"/>
      <c r="T225" s="198"/>
      <c r="U225" s="198"/>
      <c r="V225" s="198"/>
      <c r="W225" s="198"/>
      <c r="X225" s="198"/>
      <c r="Y225" s="198"/>
      <c r="Z225" s="198"/>
    </row>
    <row r="226" spans="1:26" ht="15.75" hidden="1" customHeight="1" x14ac:dyDescent="0.25">
      <c r="A226" s="213">
        <v>43191</v>
      </c>
      <c r="B226" s="214" t="s">
        <v>8714</v>
      </c>
      <c r="C226" s="215" t="s">
        <v>580</v>
      </c>
      <c r="D226" s="216">
        <v>3179.14</v>
      </c>
      <c r="E226" s="198"/>
      <c r="F226" s="198"/>
      <c r="G226" s="198"/>
      <c r="H226" s="198"/>
      <c r="I226" s="198"/>
      <c r="J226" s="198"/>
      <c r="K226" s="198"/>
      <c r="L226" s="198"/>
      <c r="M226" s="198"/>
      <c r="N226" s="198"/>
      <c r="O226" s="198"/>
      <c r="P226" s="198"/>
      <c r="Q226" s="198"/>
      <c r="R226" s="198"/>
      <c r="S226" s="198"/>
      <c r="T226" s="198"/>
      <c r="U226" s="198"/>
      <c r="V226" s="198"/>
      <c r="W226" s="198"/>
      <c r="X226" s="198"/>
      <c r="Y226" s="198"/>
      <c r="Z226" s="198"/>
    </row>
    <row r="227" spans="1:26" ht="15.75" hidden="1" customHeight="1" x14ac:dyDescent="0.25">
      <c r="A227" s="213">
        <v>39548</v>
      </c>
      <c r="B227" s="214" t="s">
        <v>8715</v>
      </c>
      <c r="C227" s="215" t="s">
        <v>580</v>
      </c>
      <c r="D227" s="216">
        <v>3545.24</v>
      </c>
      <c r="E227" s="198"/>
      <c r="F227" s="198"/>
      <c r="G227" s="198"/>
      <c r="H227" s="198"/>
      <c r="I227" s="198"/>
      <c r="J227" s="198"/>
      <c r="K227" s="198"/>
      <c r="L227" s="198"/>
      <c r="M227" s="198"/>
      <c r="N227" s="198"/>
      <c r="O227" s="198"/>
      <c r="P227" s="198"/>
      <c r="Q227" s="198"/>
      <c r="R227" s="198"/>
      <c r="S227" s="198"/>
      <c r="T227" s="198"/>
      <c r="U227" s="198"/>
      <c r="V227" s="198"/>
      <c r="W227" s="198"/>
      <c r="X227" s="198"/>
      <c r="Y227" s="198"/>
      <c r="Z227" s="198"/>
    </row>
    <row r="228" spans="1:26" ht="15.75" hidden="1" customHeight="1" x14ac:dyDescent="0.25">
      <c r="A228" s="213">
        <v>43192</v>
      </c>
      <c r="B228" s="214" t="s">
        <v>8716</v>
      </c>
      <c r="C228" s="215" t="s">
        <v>580</v>
      </c>
      <c r="D228" s="216">
        <v>4164.3999999999996</v>
      </c>
      <c r="E228" s="198"/>
      <c r="F228" s="198"/>
      <c r="G228" s="198"/>
      <c r="H228" s="198"/>
      <c r="I228" s="198"/>
      <c r="J228" s="198"/>
      <c r="K228" s="198"/>
      <c r="L228" s="198"/>
      <c r="M228" s="198"/>
      <c r="N228" s="198"/>
      <c r="O228" s="198"/>
      <c r="P228" s="198"/>
      <c r="Q228" s="198"/>
      <c r="R228" s="198"/>
      <c r="S228" s="198"/>
      <c r="T228" s="198"/>
      <c r="U228" s="198"/>
      <c r="V228" s="198"/>
      <c r="W228" s="198"/>
      <c r="X228" s="198"/>
      <c r="Y228" s="198"/>
      <c r="Z228" s="198"/>
    </row>
    <row r="229" spans="1:26" ht="15.75" hidden="1" customHeight="1" x14ac:dyDescent="0.25">
      <c r="A229" s="213">
        <v>39554</v>
      </c>
      <c r="B229" s="214" t="s">
        <v>8717</v>
      </c>
      <c r="C229" s="215" t="s">
        <v>580</v>
      </c>
      <c r="D229" s="216">
        <v>4688.05</v>
      </c>
      <c r="E229" s="198"/>
      <c r="F229" s="198"/>
      <c r="G229" s="198"/>
      <c r="H229" s="198"/>
      <c r="I229" s="198"/>
      <c r="J229" s="198"/>
      <c r="K229" s="198"/>
      <c r="L229" s="198"/>
      <c r="M229" s="198"/>
      <c r="N229" s="198"/>
      <c r="O229" s="198"/>
      <c r="P229" s="198"/>
      <c r="Q229" s="198"/>
      <c r="R229" s="198"/>
      <c r="S229" s="198"/>
      <c r="T229" s="198"/>
      <c r="U229" s="198"/>
      <c r="V229" s="198"/>
      <c r="W229" s="198"/>
      <c r="X229" s="198"/>
      <c r="Y229" s="198"/>
      <c r="Z229" s="198"/>
    </row>
    <row r="230" spans="1:26" ht="15.75" hidden="1" customHeight="1" x14ac:dyDescent="0.25">
      <c r="A230" s="213">
        <v>43194</v>
      </c>
      <c r="B230" s="214" t="s">
        <v>8718</v>
      </c>
      <c r="C230" s="215" t="s">
        <v>580</v>
      </c>
      <c r="D230" s="216">
        <v>1892.79</v>
      </c>
      <c r="E230" s="198"/>
      <c r="F230" s="198"/>
      <c r="G230" s="198"/>
      <c r="H230" s="198"/>
      <c r="I230" s="198"/>
      <c r="J230" s="198"/>
      <c r="K230" s="198"/>
      <c r="L230" s="198"/>
      <c r="M230" s="198"/>
      <c r="N230" s="198"/>
      <c r="O230" s="198"/>
      <c r="P230" s="198"/>
      <c r="Q230" s="198"/>
      <c r="R230" s="198"/>
      <c r="S230" s="198"/>
      <c r="T230" s="198"/>
      <c r="U230" s="198"/>
      <c r="V230" s="198"/>
      <c r="W230" s="198"/>
      <c r="X230" s="198"/>
      <c r="Y230" s="198"/>
      <c r="Z230" s="198"/>
    </row>
    <row r="231" spans="1:26" ht="15.75" hidden="1" customHeight="1" x14ac:dyDescent="0.25">
      <c r="A231" s="213">
        <v>39551</v>
      </c>
      <c r="B231" s="214" t="s">
        <v>8719</v>
      </c>
      <c r="C231" s="215" t="s">
        <v>580</v>
      </c>
      <c r="D231" s="216">
        <v>2084.17</v>
      </c>
      <c r="E231" s="198"/>
      <c r="F231" s="198"/>
      <c r="G231" s="198"/>
      <c r="H231" s="198"/>
      <c r="I231" s="198"/>
      <c r="J231" s="198"/>
      <c r="K231" s="198"/>
      <c r="L231" s="198"/>
      <c r="M231" s="198"/>
      <c r="N231" s="198"/>
      <c r="O231" s="198"/>
      <c r="P231" s="198"/>
      <c r="Q231" s="198"/>
      <c r="R231" s="198"/>
      <c r="S231" s="198"/>
      <c r="T231" s="198"/>
      <c r="U231" s="198"/>
      <c r="V231" s="198"/>
      <c r="W231" s="198"/>
      <c r="X231" s="198"/>
      <c r="Y231" s="198"/>
      <c r="Z231" s="198"/>
    </row>
    <row r="232" spans="1:26" ht="15.75" hidden="1" customHeight="1" x14ac:dyDescent="0.25">
      <c r="A232" s="213">
        <v>43185</v>
      </c>
      <c r="B232" s="214" t="s">
        <v>8720</v>
      </c>
      <c r="C232" s="215" t="s">
        <v>580</v>
      </c>
      <c r="D232" s="216">
        <v>5922.84</v>
      </c>
      <c r="E232" s="198"/>
      <c r="F232" s="198"/>
      <c r="G232" s="198"/>
      <c r="H232" s="198"/>
      <c r="I232" s="198"/>
      <c r="J232" s="198"/>
      <c r="K232" s="198"/>
      <c r="L232" s="198"/>
      <c r="M232" s="198"/>
      <c r="N232" s="198"/>
      <c r="O232" s="198"/>
      <c r="P232" s="198"/>
      <c r="Q232" s="198"/>
      <c r="R232" s="198"/>
      <c r="S232" s="198"/>
      <c r="T232" s="198"/>
      <c r="U232" s="198"/>
      <c r="V232" s="198"/>
      <c r="W232" s="198"/>
      <c r="X232" s="198"/>
      <c r="Y232" s="198"/>
      <c r="Z232" s="198"/>
    </row>
    <row r="233" spans="1:26" ht="15.75" hidden="1" customHeight="1" x14ac:dyDescent="0.25">
      <c r="A233" s="213">
        <v>43186</v>
      </c>
      <c r="B233" s="214" t="s">
        <v>8721</v>
      </c>
      <c r="C233" s="215" t="s">
        <v>580</v>
      </c>
      <c r="D233" s="216">
        <v>6247.4</v>
      </c>
      <c r="E233" s="198"/>
      <c r="F233" s="198"/>
      <c r="G233" s="198"/>
      <c r="H233" s="198"/>
      <c r="I233" s="198"/>
      <c r="J233" s="198"/>
      <c r="K233" s="198"/>
      <c r="L233" s="198"/>
      <c r="M233" s="198"/>
      <c r="N233" s="198"/>
      <c r="O233" s="198"/>
      <c r="P233" s="198"/>
      <c r="Q233" s="198"/>
      <c r="R233" s="198"/>
      <c r="S233" s="198"/>
      <c r="T233" s="198"/>
      <c r="U233" s="198"/>
      <c r="V233" s="198"/>
      <c r="W233" s="198"/>
      <c r="X233" s="198"/>
      <c r="Y233" s="198"/>
      <c r="Z233" s="198"/>
    </row>
    <row r="234" spans="1:26" ht="15.75" hidden="1" customHeight="1" x14ac:dyDescent="0.25">
      <c r="A234" s="213">
        <v>43187</v>
      </c>
      <c r="B234" s="214" t="s">
        <v>8722</v>
      </c>
      <c r="C234" s="215" t="s">
        <v>580</v>
      </c>
      <c r="D234" s="216">
        <v>8290.36</v>
      </c>
      <c r="E234" s="198"/>
      <c r="F234" s="198"/>
      <c r="G234" s="198"/>
      <c r="H234" s="198"/>
      <c r="I234" s="198"/>
      <c r="J234" s="198"/>
      <c r="K234" s="198"/>
      <c r="L234" s="198"/>
      <c r="M234" s="198"/>
      <c r="N234" s="198"/>
      <c r="O234" s="198"/>
      <c r="P234" s="198"/>
      <c r="Q234" s="198"/>
      <c r="R234" s="198"/>
      <c r="S234" s="198"/>
      <c r="T234" s="198"/>
      <c r="U234" s="198"/>
      <c r="V234" s="198"/>
      <c r="W234" s="198"/>
      <c r="X234" s="198"/>
      <c r="Y234" s="198"/>
      <c r="Z234" s="198"/>
    </row>
    <row r="235" spans="1:26" ht="15.75" hidden="1" customHeight="1" x14ac:dyDescent="0.25">
      <c r="A235" s="213">
        <v>43188</v>
      </c>
      <c r="B235" s="214" t="s">
        <v>8723</v>
      </c>
      <c r="C235" s="215" t="s">
        <v>580</v>
      </c>
      <c r="D235" s="216">
        <v>10044.870000000001</v>
      </c>
      <c r="E235" s="198"/>
      <c r="F235" s="198"/>
      <c r="G235" s="198"/>
      <c r="H235" s="198"/>
      <c r="I235" s="198"/>
      <c r="J235" s="198"/>
      <c r="K235" s="198"/>
      <c r="L235" s="198"/>
      <c r="M235" s="198"/>
      <c r="N235" s="198"/>
      <c r="O235" s="198"/>
      <c r="P235" s="198"/>
      <c r="Q235" s="198"/>
      <c r="R235" s="198"/>
      <c r="S235" s="198"/>
      <c r="T235" s="198"/>
      <c r="U235" s="198"/>
      <c r="V235" s="198"/>
      <c r="W235" s="198"/>
      <c r="X235" s="198"/>
      <c r="Y235" s="198"/>
      <c r="Z235" s="198"/>
    </row>
    <row r="236" spans="1:26" ht="15.75" hidden="1" customHeight="1" x14ac:dyDescent="0.25">
      <c r="A236" s="213">
        <v>43189</v>
      </c>
      <c r="B236" s="214" t="s">
        <v>8724</v>
      </c>
      <c r="C236" s="215" t="s">
        <v>580</v>
      </c>
      <c r="D236" s="216">
        <v>11298.8</v>
      </c>
      <c r="E236" s="198"/>
      <c r="F236" s="198"/>
      <c r="G236" s="198"/>
      <c r="H236" s="198"/>
      <c r="I236" s="198"/>
      <c r="J236" s="198"/>
      <c r="K236" s="198"/>
      <c r="L236" s="198"/>
      <c r="M236" s="198"/>
      <c r="N236" s="198"/>
      <c r="O236" s="198"/>
      <c r="P236" s="198"/>
      <c r="Q236" s="198"/>
      <c r="R236" s="198"/>
      <c r="S236" s="198"/>
      <c r="T236" s="198"/>
      <c r="U236" s="198"/>
      <c r="V236" s="198"/>
      <c r="W236" s="198"/>
      <c r="X236" s="198"/>
      <c r="Y236" s="198"/>
      <c r="Z236" s="198"/>
    </row>
    <row r="237" spans="1:26" ht="15.75" hidden="1" customHeight="1" x14ac:dyDescent="0.25">
      <c r="A237" s="213">
        <v>39580</v>
      </c>
      <c r="B237" s="214" t="s">
        <v>8725</v>
      </c>
      <c r="C237" s="215" t="s">
        <v>580</v>
      </c>
      <c r="D237" s="216">
        <v>89039.19</v>
      </c>
      <c r="E237" s="198"/>
      <c r="F237" s="198"/>
      <c r="G237" s="198"/>
      <c r="H237" s="198"/>
      <c r="I237" s="198"/>
      <c r="J237" s="198"/>
      <c r="K237" s="198"/>
      <c r="L237" s="198"/>
      <c r="M237" s="198"/>
      <c r="N237" s="198"/>
      <c r="O237" s="198"/>
      <c r="P237" s="198"/>
      <c r="Q237" s="198"/>
      <c r="R237" s="198"/>
      <c r="S237" s="198"/>
      <c r="T237" s="198"/>
      <c r="U237" s="198"/>
      <c r="V237" s="198"/>
      <c r="W237" s="198"/>
      <c r="X237" s="198"/>
      <c r="Y237" s="198"/>
      <c r="Z237" s="198"/>
    </row>
    <row r="238" spans="1:26" ht="15.75" hidden="1" customHeight="1" x14ac:dyDescent="0.25">
      <c r="A238" s="213">
        <v>39577</v>
      </c>
      <c r="B238" s="214" t="s">
        <v>8726</v>
      </c>
      <c r="C238" s="215" t="s">
        <v>580</v>
      </c>
      <c r="D238" s="216">
        <v>27869.08</v>
      </c>
      <c r="E238" s="198"/>
      <c r="F238" s="198"/>
      <c r="G238" s="198"/>
      <c r="H238" s="198"/>
      <c r="I238" s="198"/>
      <c r="J238" s="198"/>
      <c r="K238" s="198"/>
      <c r="L238" s="198"/>
      <c r="M238" s="198"/>
      <c r="N238" s="198"/>
      <c r="O238" s="198"/>
      <c r="P238" s="198"/>
      <c r="Q238" s="198"/>
      <c r="R238" s="198"/>
      <c r="S238" s="198"/>
      <c r="T238" s="198"/>
      <c r="U238" s="198"/>
      <c r="V238" s="198"/>
      <c r="W238" s="198"/>
      <c r="X238" s="198"/>
      <c r="Y238" s="198"/>
      <c r="Z238" s="198"/>
    </row>
    <row r="239" spans="1:26" ht="15.75" hidden="1" customHeight="1" x14ac:dyDescent="0.25">
      <c r="A239" s="213">
        <v>39578</v>
      </c>
      <c r="B239" s="214" t="s">
        <v>8727</v>
      </c>
      <c r="C239" s="215" t="s">
        <v>580</v>
      </c>
      <c r="D239" s="216">
        <v>35965.589999999997</v>
      </c>
      <c r="E239" s="198"/>
      <c r="F239" s="198"/>
      <c r="G239" s="198"/>
      <c r="H239" s="198"/>
      <c r="I239" s="198"/>
      <c r="J239" s="198"/>
      <c r="K239" s="198"/>
      <c r="L239" s="198"/>
      <c r="M239" s="198"/>
      <c r="N239" s="198"/>
      <c r="O239" s="198"/>
      <c r="P239" s="198"/>
      <c r="Q239" s="198"/>
      <c r="R239" s="198"/>
      <c r="S239" s="198"/>
      <c r="T239" s="198"/>
      <c r="U239" s="198"/>
      <c r="V239" s="198"/>
      <c r="W239" s="198"/>
      <c r="X239" s="198"/>
      <c r="Y239" s="198"/>
      <c r="Z239" s="198"/>
    </row>
    <row r="240" spans="1:26" ht="15.75" hidden="1" customHeight="1" x14ac:dyDescent="0.25">
      <c r="A240" s="213">
        <v>39579</v>
      </c>
      <c r="B240" s="214" t="s">
        <v>8728</v>
      </c>
      <c r="C240" s="215" t="s">
        <v>580</v>
      </c>
      <c r="D240" s="216">
        <v>52327.12</v>
      </c>
      <c r="E240" s="198"/>
      <c r="F240" s="198"/>
      <c r="G240" s="198"/>
      <c r="H240" s="198"/>
      <c r="I240" s="198"/>
      <c r="J240" s="198"/>
      <c r="K240" s="198"/>
      <c r="L240" s="198"/>
      <c r="M240" s="198"/>
      <c r="N240" s="198"/>
      <c r="O240" s="198"/>
      <c r="P240" s="198"/>
      <c r="Q240" s="198"/>
      <c r="R240" s="198"/>
      <c r="S240" s="198"/>
      <c r="T240" s="198"/>
      <c r="U240" s="198"/>
      <c r="V240" s="198"/>
      <c r="W240" s="198"/>
      <c r="X240" s="198"/>
      <c r="Y240" s="198"/>
      <c r="Z240" s="198"/>
    </row>
    <row r="241" spans="1:26" ht="15.75" hidden="1" customHeight="1" x14ac:dyDescent="0.25">
      <c r="A241" s="213">
        <v>39826</v>
      </c>
      <c r="B241" s="214" t="s">
        <v>8729</v>
      </c>
      <c r="C241" s="215" t="s">
        <v>580</v>
      </c>
      <c r="D241" s="216">
        <v>6426.72</v>
      </c>
      <c r="E241" s="198"/>
      <c r="F241" s="198"/>
      <c r="G241" s="198"/>
      <c r="H241" s="198"/>
      <c r="I241" s="198"/>
      <c r="J241" s="198"/>
      <c r="K241" s="198"/>
      <c r="L241" s="198"/>
      <c r="M241" s="198"/>
      <c r="N241" s="198"/>
      <c r="O241" s="198"/>
      <c r="P241" s="198"/>
      <c r="Q241" s="198"/>
      <c r="R241" s="198"/>
      <c r="S241" s="198"/>
      <c r="T241" s="198"/>
      <c r="U241" s="198"/>
      <c r="V241" s="198"/>
      <c r="W241" s="198"/>
      <c r="X241" s="198"/>
      <c r="Y241" s="198"/>
      <c r="Z241" s="198"/>
    </row>
    <row r="242" spans="1:26" ht="15.75" hidden="1" customHeight="1" x14ac:dyDescent="0.25">
      <c r="A242" s="213">
        <v>346</v>
      </c>
      <c r="B242" s="214" t="s">
        <v>8730</v>
      </c>
      <c r="C242" s="215" t="s">
        <v>823</v>
      </c>
      <c r="D242" s="216">
        <v>31.33</v>
      </c>
      <c r="E242" s="198"/>
      <c r="F242" s="198"/>
      <c r="G242" s="198"/>
      <c r="H242" s="198"/>
      <c r="I242" s="198"/>
      <c r="J242" s="198"/>
      <c r="K242" s="198"/>
      <c r="L242" s="198"/>
      <c r="M242" s="198"/>
      <c r="N242" s="198"/>
      <c r="O242" s="198"/>
      <c r="P242" s="198"/>
      <c r="Q242" s="198"/>
      <c r="R242" s="198"/>
      <c r="S242" s="198"/>
      <c r="T242" s="198"/>
      <c r="U242" s="198"/>
      <c r="V242" s="198"/>
      <c r="W242" s="198"/>
      <c r="X242" s="198"/>
      <c r="Y242" s="198"/>
      <c r="Z242" s="198"/>
    </row>
    <row r="243" spans="1:26" ht="15.75" hidden="1" customHeight="1" x14ac:dyDescent="0.25">
      <c r="A243" s="213">
        <v>3312</v>
      </c>
      <c r="B243" s="214" t="s">
        <v>8731</v>
      </c>
      <c r="C243" s="215" t="s">
        <v>823</v>
      </c>
      <c r="D243" s="216">
        <v>27.75</v>
      </c>
      <c r="E243" s="198"/>
      <c r="F243" s="198"/>
      <c r="G243" s="198"/>
      <c r="H243" s="198"/>
      <c r="I243" s="198"/>
      <c r="J243" s="198"/>
      <c r="K243" s="198"/>
      <c r="L243" s="198"/>
      <c r="M243" s="198"/>
      <c r="N243" s="198"/>
      <c r="O243" s="198"/>
      <c r="P243" s="198"/>
      <c r="Q243" s="198"/>
      <c r="R243" s="198"/>
      <c r="S243" s="198"/>
      <c r="T243" s="198"/>
      <c r="U243" s="198"/>
      <c r="V243" s="198"/>
      <c r="W243" s="198"/>
      <c r="X243" s="198"/>
      <c r="Y243" s="198"/>
      <c r="Z243" s="198"/>
    </row>
    <row r="244" spans="1:26" ht="15.75" hidden="1" customHeight="1" x14ac:dyDescent="0.25">
      <c r="A244" s="213">
        <v>339</v>
      </c>
      <c r="B244" s="214" t="s">
        <v>8732</v>
      </c>
      <c r="C244" s="215" t="s">
        <v>585</v>
      </c>
      <c r="D244" s="216">
        <v>1.61</v>
      </c>
      <c r="E244" s="198"/>
      <c r="F244" s="198"/>
      <c r="G244" s="198"/>
      <c r="H244" s="198"/>
      <c r="I244" s="198"/>
      <c r="J244" s="198"/>
      <c r="K244" s="198"/>
      <c r="L244" s="198"/>
      <c r="M244" s="198"/>
      <c r="N244" s="198"/>
      <c r="O244" s="198"/>
      <c r="P244" s="198"/>
      <c r="Q244" s="198"/>
      <c r="R244" s="198"/>
      <c r="S244" s="198"/>
      <c r="T244" s="198"/>
      <c r="U244" s="198"/>
      <c r="V244" s="198"/>
      <c r="W244" s="198"/>
      <c r="X244" s="198"/>
      <c r="Y244" s="198"/>
      <c r="Z244" s="198"/>
    </row>
    <row r="245" spans="1:26" ht="15.75" hidden="1" customHeight="1" x14ac:dyDescent="0.25">
      <c r="A245" s="213">
        <v>340</v>
      </c>
      <c r="B245" s="214" t="s">
        <v>8733</v>
      </c>
      <c r="C245" s="215" t="s">
        <v>585</v>
      </c>
      <c r="D245" s="216">
        <v>1.46</v>
      </c>
      <c r="E245" s="198"/>
      <c r="F245" s="198"/>
      <c r="G245" s="198"/>
      <c r="H245" s="198"/>
      <c r="I245" s="198"/>
      <c r="J245" s="198"/>
      <c r="K245" s="198"/>
      <c r="L245" s="198"/>
      <c r="M245" s="198"/>
      <c r="N245" s="198"/>
      <c r="O245" s="198"/>
      <c r="P245" s="198"/>
      <c r="Q245" s="198"/>
      <c r="R245" s="198"/>
      <c r="S245" s="198"/>
      <c r="T245" s="198"/>
      <c r="U245" s="198"/>
      <c r="V245" s="198"/>
      <c r="W245" s="198"/>
      <c r="X245" s="198"/>
      <c r="Y245" s="198"/>
      <c r="Z245" s="198"/>
    </row>
    <row r="246" spans="1:26" ht="15.75" hidden="1" customHeight="1" x14ac:dyDescent="0.25">
      <c r="A246" s="213">
        <v>43130</v>
      </c>
      <c r="B246" s="214" t="s">
        <v>8734</v>
      </c>
      <c r="C246" s="215" t="s">
        <v>823</v>
      </c>
      <c r="D246" s="216">
        <v>26.45</v>
      </c>
      <c r="E246" s="198"/>
      <c r="F246" s="198"/>
      <c r="G246" s="198"/>
      <c r="H246" s="198"/>
      <c r="I246" s="198"/>
      <c r="J246" s="198"/>
      <c r="K246" s="198"/>
      <c r="L246" s="198"/>
      <c r="M246" s="198"/>
      <c r="N246" s="198"/>
      <c r="O246" s="198"/>
      <c r="P246" s="198"/>
      <c r="Q246" s="198"/>
      <c r="R246" s="198"/>
      <c r="S246" s="198"/>
      <c r="T246" s="198"/>
      <c r="U246" s="198"/>
      <c r="V246" s="198"/>
      <c r="W246" s="198"/>
      <c r="X246" s="198"/>
      <c r="Y246" s="198"/>
      <c r="Z246" s="198"/>
    </row>
    <row r="247" spans="1:26" ht="15.75" hidden="1" customHeight="1" x14ac:dyDescent="0.25">
      <c r="A247" s="213">
        <v>344</v>
      </c>
      <c r="B247" s="214" t="s">
        <v>8735</v>
      </c>
      <c r="C247" s="215" t="s">
        <v>823</v>
      </c>
      <c r="D247" s="216">
        <v>34.770000000000003</v>
      </c>
      <c r="E247" s="198"/>
      <c r="F247" s="198"/>
      <c r="G247" s="198"/>
      <c r="H247" s="198"/>
      <c r="I247" s="198"/>
      <c r="J247" s="198"/>
      <c r="K247" s="198"/>
      <c r="L247" s="198"/>
      <c r="M247" s="198"/>
      <c r="N247" s="198"/>
      <c r="O247" s="198"/>
      <c r="P247" s="198"/>
      <c r="Q247" s="198"/>
      <c r="R247" s="198"/>
      <c r="S247" s="198"/>
      <c r="T247" s="198"/>
      <c r="U247" s="198"/>
      <c r="V247" s="198"/>
      <c r="W247" s="198"/>
      <c r="X247" s="198"/>
      <c r="Y247" s="198"/>
      <c r="Z247" s="198"/>
    </row>
    <row r="248" spans="1:26" ht="15.75" hidden="1" customHeight="1" x14ac:dyDescent="0.25">
      <c r="A248" s="213">
        <v>345</v>
      </c>
      <c r="B248" s="214" t="s">
        <v>8736</v>
      </c>
      <c r="C248" s="215" t="s">
        <v>823</v>
      </c>
      <c r="D248" s="216">
        <v>37.729999999999997</v>
      </c>
      <c r="E248" s="198"/>
      <c r="F248" s="198"/>
      <c r="G248" s="198"/>
      <c r="H248" s="198"/>
      <c r="I248" s="198"/>
      <c r="J248" s="198"/>
      <c r="K248" s="198"/>
      <c r="L248" s="198"/>
      <c r="M248" s="198"/>
      <c r="N248" s="198"/>
      <c r="O248" s="198"/>
      <c r="P248" s="198"/>
      <c r="Q248" s="198"/>
      <c r="R248" s="198"/>
      <c r="S248" s="198"/>
      <c r="T248" s="198"/>
      <c r="U248" s="198"/>
      <c r="V248" s="198"/>
      <c r="W248" s="198"/>
      <c r="X248" s="198"/>
      <c r="Y248" s="198"/>
      <c r="Z248" s="198"/>
    </row>
    <row r="249" spans="1:26" ht="15.75" hidden="1" customHeight="1" x14ac:dyDescent="0.25">
      <c r="A249" s="213">
        <v>43131</v>
      </c>
      <c r="B249" s="214" t="s">
        <v>8737</v>
      </c>
      <c r="C249" s="215" t="s">
        <v>823</v>
      </c>
      <c r="D249" s="216">
        <v>30.72</v>
      </c>
      <c r="E249" s="198"/>
      <c r="F249" s="198"/>
      <c r="G249" s="198"/>
      <c r="H249" s="198"/>
      <c r="I249" s="198"/>
      <c r="J249" s="198"/>
      <c r="K249" s="198"/>
      <c r="L249" s="198"/>
      <c r="M249" s="198"/>
      <c r="N249" s="198"/>
      <c r="O249" s="198"/>
      <c r="P249" s="198"/>
      <c r="Q249" s="198"/>
      <c r="R249" s="198"/>
      <c r="S249" s="198"/>
      <c r="T249" s="198"/>
      <c r="U249" s="198"/>
      <c r="V249" s="198"/>
      <c r="W249" s="198"/>
      <c r="X249" s="198"/>
      <c r="Y249" s="198"/>
      <c r="Z249" s="198"/>
    </row>
    <row r="250" spans="1:26" ht="15.75" hidden="1" customHeight="1" x14ac:dyDescent="0.25">
      <c r="A250" s="213">
        <v>3313</v>
      </c>
      <c r="B250" s="214" t="s">
        <v>8738</v>
      </c>
      <c r="C250" s="215" t="s">
        <v>823</v>
      </c>
      <c r="D250" s="216">
        <v>35.71</v>
      </c>
      <c r="E250" s="198"/>
      <c r="F250" s="198"/>
      <c r="G250" s="198"/>
      <c r="H250" s="198"/>
      <c r="I250" s="198"/>
      <c r="J250" s="198"/>
      <c r="K250" s="198"/>
      <c r="L250" s="198"/>
      <c r="M250" s="198"/>
      <c r="N250" s="198"/>
      <c r="O250" s="198"/>
      <c r="P250" s="198"/>
      <c r="Q250" s="198"/>
      <c r="R250" s="198"/>
      <c r="S250" s="198"/>
      <c r="T250" s="198"/>
      <c r="U250" s="198"/>
      <c r="V250" s="198"/>
      <c r="W250" s="198"/>
      <c r="X250" s="198"/>
      <c r="Y250" s="198"/>
      <c r="Z250" s="198"/>
    </row>
    <row r="251" spans="1:26" ht="15.75" hidden="1" customHeight="1" x14ac:dyDescent="0.25">
      <c r="A251" s="213">
        <v>43132</v>
      </c>
      <c r="B251" s="214" t="s">
        <v>8739</v>
      </c>
      <c r="C251" s="215" t="s">
        <v>823</v>
      </c>
      <c r="D251" s="216">
        <v>26.45</v>
      </c>
      <c r="E251" s="198"/>
      <c r="F251" s="198"/>
      <c r="G251" s="198"/>
      <c r="H251" s="198"/>
      <c r="I251" s="198"/>
      <c r="J251" s="198"/>
      <c r="K251" s="198"/>
      <c r="L251" s="198"/>
      <c r="M251" s="198"/>
      <c r="N251" s="198"/>
      <c r="O251" s="198"/>
      <c r="P251" s="198"/>
      <c r="Q251" s="198"/>
      <c r="R251" s="198"/>
      <c r="S251" s="198"/>
      <c r="T251" s="198"/>
      <c r="U251" s="198"/>
      <c r="V251" s="198"/>
      <c r="W251" s="198"/>
      <c r="X251" s="198"/>
      <c r="Y251" s="198"/>
      <c r="Z251" s="198"/>
    </row>
    <row r="252" spans="1:26" ht="15.75" hidden="1" customHeight="1" x14ac:dyDescent="0.25">
      <c r="A252" s="213">
        <v>366</v>
      </c>
      <c r="B252" s="214" t="s">
        <v>8740</v>
      </c>
      <c r="C252" s="215" t="s">
        <v>664</v>
      </c>
      <c r="D252" s="216">
        <v>119.08</v>
      </c>
      <c r="E252" s="198"/>
      <c r="F252" s="198"/>
      <c r="G252" s="198"/>
      <c r="H252" s="198"/>
      <c r="I252" s="198"/>
      <c r="J252" s="198"/>
      <c r="K252" s="198"/>
      <c r="L252" s="198"/>
      <c r="M252" s="198"/>
      <c r="N252" s="198"/>
      <c r="O252" s="198"/>
      <c r="P252" s="198"/>
      <c r="Q252" s="198"/>
      <c r="R252" s="198"/>
      <c r="S252" s="198"/>
      <c r="T252" s="198"/>
      <c r="U252" s="198"/>
      <c r="V252" s="198"/>
      <c r="W252" s="198"/>
      <c r="X252" s="198"/>
      <c r="Y252" s="198"/>
      <c r="Z252" s="198"/>
    </row>
    <row r="253" spans="1:26" ht="15.75" hidden="1" customHeight="1" x14ac:dyDescent="0.25">
      <c r="A253" s="213">
        <v>367</v>
      </c>
      <c r="B253" s="214" t="s">
        <v>8741</v>
      </c>
      <c r="C253" s="215" t="s">
        <v>664</v>
      </c>
      <c r="D253" s="216">
        <v>120.63</v>
      </c>
      <c r="E253" s="198"/>
      <c r="F253" s="198"/>
      <c r="G253" s="198"/>
      <c r="H253" s="198"/>
      <c r="I253" s="198"/>
      <c r="J253" s="198"/>
      <c r="K253" s="198"/>
      <c r="L253" s="198"/>
      <c r="M253" s="198"/>
      <c r="N253" s="198"/>
      <c r="O253" s="198"/>
      <c r="P253" s="198"/>
      <c r="Q253" s="198"/>
      <c r="R253" s="198"/>
      <c r="S253" s="198"/>
      <c r="T253" s="198"/>
      <c r="U253" s="198"/>
      <c r="V253" s="198"/>
      <c r="W253" s="198"/>
      <c r="X253" s="198"/>
      <c r="Y253" s="198"/>
      <c r="Z253" s="198"/>
    </row>
    <row r="254" spans="1:26" ht="15.75" hidden="1" customHeight="1" x14ac:dyDescent="0.25">
      <c r="A254" s="213">
        <v>370</v>
      </c>
      <c r="B254" s="214" t="s">
        <v>8742</v>
      </c>
      <c r="C254" s="215" t="s">
        <v>664</v>
      </c>
      <c r="D254" s="216">
        <v>119.08</v>
      </c>
      <c r="E254" s="198"/>
      <c r="F254" s="198"/>
      <c r="G254" s="198"/>
      <c r="H254" s="198"/>
      <c r="I254" s="198"/>
      <c r="J254" s="198"/>
      <c r="K254" s="198"/>
      <c r="L254" s="198"/>
      <c r="M254" s="198"/>
      <c r="N254" s="198"/>
      <c r="O254" s="198"/>
      <c r="P254" s="198"/>
      <c r="Q254" s="198"/>
      <c r="R254" s="198"/>
      <c r="S254" s="198"/>
      <c r="T254" s="198"/>
      <c r="U254" s="198"/>
      <c r="V254" s="198"/>
      <c r="W254" s="198"/>
      <c r="X254" s="198"/>
      <c r="Y254" s="198"/>
      <c r="Z254" s="198"/>
    </row>
    <row r="255" spans="1:26" ht="15.75" hidden="1" customHeight="1" x14ac:dyDescent="0.25">
      <c r="A255" s="213">
        <v>368</v>
      </c>
      <c r="B255" s="214" t="s">
        <v>8743</v>
      </c>
      <c r="C255" s="215" t="s">
        <v>664</v>
      </c>
      <c r="D255" s="216">
        <v>59.54</v>
      </c>
      <c r="E255" s="198"/>
      <c r="F255" s="198"/>
      <c r="G255" s="198"/>
      <c r="H255" s="198"/>
      <c r="I255" s="198"/>
      <c r="J255" s="198"/>
      <c r="K255" s="198"/>
      <c r="L255" s="198"/>
      <c r="M255" s="198"/>
      <c r="N255" s="198"/>
      <c r="O255" s="198"/>
      <c r="P255" s="198"/>
      <c r="Q255" s="198"/>
      <c r="R255" s="198"/>
      <c r="S255" s="198"/>
      <c r="T255" s="198"/>
      <c r="U255" s="198"/>
      <c r="V255" s="198"/>
      <c r="W255" s="198"/>
      <c r="X255" s="198"/>
      <c r="Y255" s="198"/>
      <c r="Z255" s="198"/>
    </row>
    <row r="256" spans="1:26" ht="15.75" hidden="1" customHeight="1" x14ac:dyDescent="0.25">
      <c r="A256" s="213">
        <v>11075</v>
      </c>
      <c r="B256" s="214" t="s">
        <v>8744</v>
      </c>
      <c r="C256" s="215" t="s">
        <v>664</v>
      </c>
      <c r="D256" s="216">
        <v>1366.67</v>
      </c>
      <c r="E256" s="198"/>
      <c r="F256" s="198"/>
      <c r="G256" s="198"/>
      <c r="H256" s="198"/>
      <c r="I256" s="198"/>
      <c r="J256" s="198"/>
      <c r="K256" s="198"/>
      <c r="L256" s="198"/>
      <c r="M256" s="198"/>
      <c r="N256" s="198"/>
      <c r="O256" s="198"/>
      <c r="P256" s="198"/>
      <c r="Q256" s="198"/>
      <c r="R256" s="198"/>
      <c r="S256" s="198"/>
      <c r="T256" s="198"/>
      <c r="U256" s="198"/>
      <c r="V256" s="198"/>
      <c r="W256" s="198"/>
      <c r="X256" s="198"/>
      <c r="Y256" s="198"/>
      <c r="Z256" s="198"/>
    </row>
    <row r="257" spans="1:26" ht="15.75" hidden="1" customHeight="1" x14ac:dyDescent="0.25">
      <c r="A257" s="213">
        <v>1381</v>
      </c>
      <c r="B257" s="214" t="s">
        <v>8745</v>
      </c>
      <c r="C257" s="215" t="s">
        <v>823</v>
      </c>
      <c r="D257" s="216">
        <v>0.75</v>
      </c>
      <c r="E257" s="198"/>
      <c r="F257" s="198"/>
      <c r="G257" s="198"/>
      <c r="H257" s="198"/>
      <c r="I257" s="198"/>
      <c r="J257" s="198"/>
      <c r="K257" s="198"/>
      <c r="L257" s="198"/>
      <c r="M257" s="198"/>
      <c r="N257" s="198"/>
      <c r="O257" s="198"/>
      <c r="P257" s="198"/>
      <c r="Q257" s="198"/>
      <c r="R257" s="198"/>
      <c r="S257" s="198"/>
      <c r="T257" s="198"/>
      <c r="U257" s="198"/>
      <c r="V257" s="198"/>
      <c r="W257" s="198"/>
      <c r="X257" s="198"/>
      <c r="Y257" s="198"/>
      <c r="Z257" s="198"/>
    </row>
    <row r="258" spans="1:26" ht="15.75" hidden="1" customHeight="1" x14ac:dyDescent="0.25">
      <c r="A258" s="213">
        <v>34353</v>
      </c>
      <c r="B258" s="214" t="s">
        <v>8746</v>
      </c>
      <c r="C258" s="215" t="s">
        <v>823</v>
      </c>
      <c r="D258" s="216">
        <v>1.39</v>
      </c>
      <c r="E258" s="198"/>
      <c r="F258" s="198"/>
      <c r="G258" s="198"/>
      <c r="H258" s="198"/>
      <c r="I258" s="198"/>
      <c r="J258" s="198"/>
      <c r="K258" s="198"/>
      <c r="L258" s="198"/>
      <c r="M258" s="198"/>
      <c r="N258" s="198"/>
      <c r="O258" s="198"/>
      <c r="P258" s="198"/>
      <c r="Q258" s="198"/>
      <c r="R258" s="198"/>
      <c r="S258" s="198"/>
      <c r="T258" s="198"/>
      <c r="U258" s="198"/>
      <c r="V258" s="198"/>
      <c r="W258" s="198"/>
      <c r="X258" s="198"/>
      <c r="Y258" s="198"/>
      <c r="Z258" s="198"/>
    </row>
    <row r="259" spans="1:26" ht="15.75" hidden="1" customHeight="1" x14ac:dyDescent="0.25">
      <c r="A259" s="213">
        <v>37595</v>
      </c>
      <c r="B259" s="214" t="s">
        <v>8747</v>
      </c>
      <c r="C259" s="215" t="s">
        <v>823</v>
      </c>
      <c r="D259" s="216">
        <v>2.2999999999999998</v>
      </c>
      <c r="E259" s="198"/>
      <c r="F259" s="198"/>
      <c r="G259" s="198"/>
      <c r="H259" s="198"/>
      <c r="I259" s="198"/>
      <c r="J259" s="198"/>
      <c r="K259" s="198"/>
      <c r="L259" s="198"/>
      <c r="M259" s="198"/>
      <c r="N259" s="198"/>
      <c r="O259" s="198"/>
      <c r="P259" s="198"/>
      <c r="Q259" s="198"/>
      <c r="R259" s="198"/>
      <c r="S259" s="198"/>
      <c r="T259" s="198"/>
      <c r="U259" s="198"/>
      <c r="V259" s="198"/>
      <c r="W259" s="198"/>
      <c r="X259" s="198"/>
      <c r="Y259" s="198"/>
      <c r="Z259" s="198"/>
    </row>
    <row r="260" spans="1:26" ht="15.75" hidden="1" customHeight="1" x14ac:dyDescent="0.25">
      <c r="A260" s="213">
        <v>37596</v>
      </c>
      <c r="B260" s="214" t="s">
        <v>8748</v>
      </c>
      <c r="C260" s="215" t="s">
        <v>823</v>
      </c>
      <c r="D260" s="216">
        <v>2.64</v>
      </c>
      <c r="E260" s="198"/>
      <c r="F260" s="198"/>
      <c r="G260" s="198"/>
      <c r="H260" s="198"/>
      <c r="I260" s="198"/>
      <c r="J260" s="198"/>
      <c r="K260" s="198"/>
      <c r="L260" s="198"/>
      <c r="M260" s="198"/>
      <c r="N260" s="198"/>
      <c r="O260" s="198"/>
      <c r="P260" s="198"/>
      <c r="Q260" s="198"/>
      <c r="R260" s="198"/>
      <c r="S260" s="198"/>
      <c r="T260" s="198"/>
      <c r="U260" s="198"/>
      <c r="V260" s="198"/>
      <c r="W260" s="198"/>
      <c r="X260" s="198"/>
      <c r="Y260" s="198"/>
      <c r="Z260" s="198"/>
    </row>
    <row r="261" spans="1:26" ht="15.75" hidden="1" customHeight="1" x14ac:dyDescent="0.25">
      <c r="A261" s="213">
        <v>371</v>
      </c>
      <c r="B261" s="214" t="s">
        <v>8749</v>
      </c>
      <c r="C261" s="215" t="s">
        <v>823</v>
      </c>
      <c r="D261" s="216">
        <v>0.81</v>
      </c>
      <c r="E261" s="198"/>
      <c r="F261" s="198"/>
      <c r="G261" s="198"/>
      <c r="H261" s="198"/>
      <c r="I261" s="198"/>
      <c r="J261" s="198"/>
      <c r="K261" s="198"/>
      <c r="L261" s="198"/>
      <c r="M261" s="198"/>
      <c r="N261" s="198"/>
      <c r="O261" s="198"/>
      <c r="P261" s="198"/>
      <c r="Q261" s="198"/>
      <c r="R261" s="198"/>
      <c r="S261" s="198"/>
      <c r="T261" s="198"/>
      <c r="U261" s="198"/>
      <c r="V261" s="198"/>
      <c r="W261" s="198"/>
      <c r="X261" s="198"/>
      <c r="Y261" s="198"/>
      <c r="Z261" s="198"/>
    </row>
    <row r="262" spans="1:26" ht="15.75" hidden="1" customHeight="1" x14ac:dyDescent="0.25">
      <c r="A262" s="213">
        <v>37553</v>
      </c>
      <c r="B262" s="214" t="s">
        <v>8750</v>
      </c>
      <c r="C262" s="215" t="s">
        <v>823</v>
      </c>
      <c r="D262" s="216">
        <v>1.53</v>
      </c>
      <c r="E262" s="198"/>
      <c r="F262" s="198"/>
      <c r="G262" s="198"/>
      <c r="H262" s="198"/>
      <c r="I262" s="198"/>
      <c r="J262" s="198"/>
      <c r="K262" s="198"/>
      <c r="L262" s="198"/>
      <c r="M262" s="198"/>
      <c r="N262" s="198"/>
      <c r="O262" s="198"/>
      <c r="P262" s="198"/>
      <c r="Q262" s="198"/>
      <c r="R262" s="198"/>
      <c r="S262" s="198"/>
      <c r="T262" s="198"/>
      <c r="U262" s="198"/>
      <c r="V262" s="198"/>
      <c r="W262" s="198"/>
      <c r="X262" s="198"/>
      <c r="Y262" s="198"/>
      <c r="Z262" s="198"/>
    </row>
    <row r="263" spans="1:26" ht="15.75" hidden="1" customHeight="1" x14ac:dyDescent="0.25">
      <c r="A263" s="213">
        <v>37552</v>
      </c>
      <c r="B263" s="214" t="s">
        <v>8751</v>
      </c>
      <c r="C263" s="215" t="s">
        <v>823</v>
      </c>
      <c r="D263" s="216">
        <v>2.46</v>
      </c>
      <c r="E263" s="198"/>
      <c r="F263" s="198"/>
      <c r="G263" s="198"/>
      <c r="H263" s="198"/>
      <c r="I263" s="198"/>
      <c r="J263" s="198"/>
      <c r="K263" s="198"/>
      <c r="L263" s="198"/>
      <c r="M263" s="198"/>
      <c r="N263" s="198"/>
      <c r="O263" s="198"/>
      <c r="P263" s="198"/>
      <c r="Q263" s="198"/>
      <c r="R263" s="198"/>
      <c r="S263" s="198"/>
      <c r="T263" s="198"/>
      <c r="U263" s="198"/>
      <c r="V263" s="198"/>
      <c r="W263" s="198"/>
      <c r="X263" s="198"/>
      <c r="Y263" s="198"/>
      <c r="Z263" s="198"/>
    </row>
    <row r="264" spans="1:26" ht="15.75" hidden="1" customHeight="1" x14ac:dyDescent="0.25">
      <c r="A264" s="213">
        <v>36880</v>
      </c>
      <c r="B264" s="214" t="s">
        <v>8752</v>
      </c>
      <c r="C264" s="215" t="s">
        <v>823</v>
      </c>
      <c r="D264" s="216">
        <v>2.5</v>
      </c>
      <c r="E264" s="198"/>
      <c r="F264" s="198"/>
      <c r="G264" s="198"/>
      <c r="H264" s="198"/>
      <c r="I264" s="198"/>
      <c r="J264" s="198"/>
      <c r="K264" s="198"/>
      <c r="L264" s="198"/>
      <c r="M264" s="198"/>
      <c r="N264" s="198"/>
      <c r="O264" s="198"/>
      <c r="P264" s="198"/>
      <c r="Q264" s="198"/>
      <c r="R264" s="198"/>
      <c r="S264" s="198"/>
      <c r="T264" s="198"/>
      <c r="U264" s="198"/>
      <c r="V264" s="198"/>
      <c r="W264" s="198"/>
      <c r="X264" s="198"/>
      <c r="Y264" s="198"/>
      <c r="Z264" s="198"/>
    </row>
    <row r="265" spans="1:26" ht="15.75" hidden="1" customHeight="1" x14ac:dyDescent="0.25">
      <c r="A265" s="213">
        <v>34355</v>
      </c>
      <c r="B265" s="214" t="s">
        <v>8753</v>
      </c>
      <c r="C265" s="215" t="s">
        <v>823</v>
      </c>
      <c r="D265" s="216">
        <v>2.15</v>
      </c>
      <c r="E265" s="198"/>
      <c r="F265" s="198"/>
      <c r="G265" s="198"/>
      <c r="H265" s="198"/>
      <c r="I265" s="198"/>
      <c r="J265" s="198"/>
      <c r="K265" s="198"/>
      <c r="L265" s="198"/>
      <c r="M265" s="198"/>
      <c r="N265" s="198"/>
      <c r="O265" s="198"/>
      <c r="P265" s="198"/>
      <c r="Q265" s="198"/>
      <c r="R265" s="198"/>
      <c r="S265" s="198"/>
      <c r="T265" s="198"/>
      <c r="U265" s="198"/>
      <c r="V265" s="198"/>
      <c r="W265" s="198"/>
      <c r="X265" s="198"/>
      <c r="Y265" s="198"/>
      <c r="Z265" s="198"/>
    </row>
    <row r="266" spans="1:26" ht="15.75" hidden="1" customHeight="1" x14ac:dyDescent="0.25">
      <c r="A266" s="213">
        <v>130</v>
      </c>
      <c r="B266" s="214" t="s">
        <v>8754</v>
      </c>
      <c r="C266" s="215" t="s">
        <v>823</v>
      </c>
      <c r="D266" s="216">
        <v>4</v>
      </c>
      <c r="E266" s="198"/>
      <c r="F266" s="198"/>
      <c r="G266" s="198"/>
      <c r="H266" s="198"/>
      <c r="I266" s="198"/>
      <c r="J266" s="198"/>
      <c r="K266" s="198"/>
      <c r="L266" s="198"/>
      <c r="M266" s="198"/>
      <c r="N266" s="198"/>
      <c r="O266" s="198"/>
      <c r="P266" s="198"/>
      <c r="Q266" s="198"/>
      <c r="R266" s="198"/>
      <c r="S266" s="198"/>
      <c r="T266" s="198"/>
      <c r="U266" s="198"/>
      <c r="V266" s="198"/>
      <c r="W266" s="198"/>
      <c r="X266" s="198"/>
      <c r="Y266" s="198"/>
      <c r="Z266" s="198"/>
    </row>
    <row r="267" spans="1:26" ht="15.75" hidden="1" customHeight="1" x14ac:dyDescent="0.25">
      <c r="A267" s="213">
        <v>135</v>
      </c>
      <c r="B267" s="214" t="s">
        <v>8755</v>
      </c>
      <c r="C267" s="215" t="s">
        <v>823</v>
      </c>
      <c r="D267" s="216">
        <v>3.22</v>
      </c>
      <c r="E267" s="198"/>
      <c r="F267" s="198"/>
      <c r="G267" s="198"/>
      <c r="H267" s="198"/>
      <c r="I267" s="198"/>
      <c r="J267" s="198"/>
      <c r="K267" s="198"/>
      <c r="L267" s="198"/>
      <c r="M267" s="198"/>
      <c r="N267" s="198"/>
      <c r="O267" s="198"/>
      <c r="P267" s="198"/>
      <c r="Q267" s="198"/>
      <c r="R267" s="198"/>
      <c r="S267" s="198"/>
      <c r="T267" s="198"/>
      <c r="U267" s="198"/>
      <c r="V267" s="198"/>
      <c r="W267" s="198"/>
      <c r="X267" s="198"/>
      <c r="Y267" s="198"/>
      <c r="Z267" s="198"/>
    </row>
    <row r="268" spans="1:26" ht="15.75" hidden="1" customHeight="1" x14ac:dyDescent="0.25">
      <c r="A268" s="213">
        <v>36886</v>
      </c>
      <c r="B268" s="214" t="s">
        <v>8756</v>
      </c>
      <c r="C268" s="215" t="s">
        <v>823</v>
      </c>
      <c r="D268" s="216">
        <v>0.77</v>
      </c>
      <c r="E268" s="198"/>
      <c r="F268" s="198"/>
      <c r="G268" s="198"/>
      <c r="H268" s="198"/>
      <c r="I268" s="198"/>
      <c r="J268" s="198"/>
      <c r="K268" s="198"/>
      <c r="L268" s="198"/>
      <c r="M268" s="198"/>
      <c r="N268" s="198"/>
      <c r="O268" s="198"/>
      <c r="P268" s="198"/>
      <c r="Q268" s="198"/>
      <c r="R268" s="198"/>
      <c r="S268" s="198"/>
      <c r="T268" s="198"/>
      <c r="U268" s="198"/>
      <c r="V268" s="198"/>
      <c r="W268" s="198"/>
      <c r="X268" s="198"/>
      <c r="Y268" s="198"/>
      <c r="Z268" s="198"/>
    </row>
    <row r="269" spans="1:26" ht="15.75" hidden="1" customHeight="1" x14ac:dyDescent="0.25">
      <c r="A269" s="213">
        <v>38546</v>
      </c>
      <c r="B269" s="214" t="s">
        <v>8757</v>
      </c>
      <c r="C269" s="215" t="s">
        <v>664</v>
      </c>
      <c r="D269" s="216">
        <v>491.92</v>
      </c>
      <c r="E269" s="198"/>
      <c r="F269" s="198"/>
      <c r="G269" s="198"/>
      <c r="H269" s="198"/>
      <c r="I269" s="198"/>
      <c r="J269" s="198"/>
      <c r="K269" s="198"/>
      <c r="L269" s="198"/>
      <c r="M269" s="198"/>
      <c r="N269" s="198"/>
      <c r="O269" s="198"/>
      <c r="P269" s="198"/>
      <c r="Q269" s="198"/>
      <c r="R269" s="198"/>
      <c r="S269" s="198"/>
      <c r="T269" s="198"/>
      <c r="U269" s="198"/>
      <c r="V269" s="198"/>
      <c r="W269" s="198"/>
      <c r="X269" s="198"/>
      <c r="Y269" s="198"/>
      <c r="Z269" s="198"/>
    </row>
    <row r="270" spans="1:26" ht="15.75" hidden="1" customHeight="1" x14ac:dyDescent="0.25">
      <c r="A270" s="213">
        <v>1091</v>
      </c>
      <c r="B270" s="214" t="s">
        <v>8758</v>
      </c>
      <c r="C270" s="215" t="s">
        <v>580</v>
      </c>
      <c r="D270" s="216">
        <v>23.52</v>
      </c>
      <c r="E270" s="198"/>
      <c r="F270" s="198"/>
      <c r="G270" s="198"/>
      <c r="H270" s="198"/>
      <c r="I270" s="198"/>
      <c r="J270" s="198"/>
      <c r="K270" s="198"/>
      <c r="L270" s="198"/>
      <c r="M270" s="198"/>
      <c r="N270" s="198"/>
      <c r="O270" s="198"/>
      <c r="P270" s="198"/>
      <c r="Q270" s="198"/>
      <c r="R270" s="198"/>
      <c r="S270" s="198"/>
      <c r="T270" s="198"/>
      <c r="U270" s="198"/>
      <c r="V270" s="198"/>
      <c r="W270" s="198"/>
      <c r="X270" s="198"/>
      <c r="Y270" s="198"/>
      <c r="Z270" s="198"/>
    </row>
    <row r="271" spans="1:26" ht="15.75" hidden="1" customHeight="1" x14ac:dyDescent="0.25">
      <c r="A271" s="213">
        <v>1094</v>
      </c>
      <c r="B271" s="214" t="s">
        <v>8759</v>
      </c>
      <c r="C271" s="215" t="s">
        <v>580</v>
      </c>
      <c r="D271" s="216">
        <v>16.45</v>
      </c>
      <c r="E271" s="198"/>
      <c r="F271" s="198"/>
      <c r="G271" s="198"/>
      <c r="H271" s="198"/>
      <c r="I271" s="198"/>
      <c r="J271" s="198"/>
      <c r="K271" s="198"/>
      <c r="L271" s="198"/>
      <c r="M271" s="198"/>
      <c r="N271" s="198"/>
      <c r="O271" s="198"/>
      <c r="P271" s="198"/>
      <c r="Q271" s="198"/>
      <c r="R271" s="198"/>
      <c r="S271" s="198"/>
      <c r="T271" s="198"/>
      <c r="U271" s="198"/>
      <c r="V271" s="198"/>
      <c r="W271" s="198"/>
      <c r="X271" s="198"/>
      <c r="Y271" s="198"/>
      <c r="Z271" s="198"/>
    </row>
    <row r="272" spans="1:26" ht="15.75" hidden="1" customHeight="1" x14ac:dyDescent="0.25">
      <c r="A272" s="213">
        <v>1095</v>
      </c>
      <c r="B272" s="214" t="s">
        <v>8760</v>
      </c>
      <c r="C272" s="215" t="s">
        <v>580</v>
      </c>
      <c r="D272" s="216">
        <v>34.97</v>
      </c>
      <c r="E272" s="198"/>
      <c r="F272" s="198"/>
      <c r="G272" s="198"/>
      <c r="H272" s="198"/>
      <c r="I272" s="198"/>
      <c r="J272" s="198"/>
      <c r="K272" s="198"/>
      <c r="L272" s="198"/>
      <c r="M272" s="198"/>
      <c r="N272" s="198"/>
      <c r="O272" s="198"/>
      <c r="P272" s="198"/>
      <c r="Q272" s="198"/>
      <c r="R272" s="198"/>
      <c r="S272" s="198"/>
      <c r="T272" s="198"/>
      <c r="U272" s="198"/>
      <c r="V272" s="198"/>
      <c r="W272" s="198"/>
      <c r="X272" s="198"/>
      <c r="Y272" s="198"/>
      <c r="Z272" s="198"/>
    </row>
    <row r="273" spans="1:26" ht="15.75" hidden="1" customHeight="1" x14ac:dyDescent="0.25">
      <c r="A273" s="213">
        <v>1092</v>
      </c>
      <c r="B273" s="214" t="s">
        <v>8761</v>
      </c>
      <c r="C273" s="215" t="s">
        <v>580</v>
      </c>
      <c r="D273" s="216">
        <v>27.06</v>
      </c>
      <c r="E273" s="198"/>
      <c r="F273" s="198"/>
      <c r="G273" s="198"/>
      <c r="H273" s="198"/>
      <c r="I273" s="198"/>
      <c r="J273" s="198"/>
      <c r="K273" s="198"/>
      <c r="L273" s="198"/>
      <c r="M273" s="198"/>
      <c r="N273" s="198"/>
      <c r="O273" s="198"/>
      <c r="P273" s="198"/>
      <c r="Q273" s="198"/>
      <c r="R273" s="198"/>
      <c r="S273" s="198"/>
      <c r="T273" s="198"/>
      <c r="U273" s="198"/>
      <c r="V273" s="198"/>
      <c r="W273" s="198"/>
      <c r="X273" s="198"/>
      <c r="Y273" s="198"/>
      <c r="Z273" s="198"/>
    </row>
    <row r="274" spans="1:26" ht="15.75" hidden="1" customHeight="1" x14ac:dyDescent="0.25">
      <c r="A274" s="213">
        <v>1093</v>
      </c>
      <c r="B274" s="214" t="s">
        <v>8762</v>
      </c>
      <c r="C274" s="215" t="s">
        <v>580</v>
      </c>
      <c r="D274" s="216">
        <v>63.19</v>
      </c>
      <c r="E274" s="198"/>
      <c r="F274" s="198"/>
      <c r="G274" s="198"/>
      <c r="H274" s="198"/>
      <c r="I274" s="198"/>
      <c r="J274" s="198"/>
      <c r="K274" s="198"/>
      <c r="L274" s="198"/>
      <c r="M274" s="198"/>
      <c r="N274" s="198"/>
      <c r="O274" s="198"/>
      <c r="P274" s="198"/>
      <c r="Q274" s="198"/>
      <c r="R274" s="198"/>
      <c r="S274" s="198"/>
      <c r="T274" s="198"/>
      <c r="U274" s="198"/>
      <c r="V274" s="198"/>
      <c r="W274" s="198"/>
      <c r="X274" s="198"/>
      <c r="Y274" s="198"/>
      <c r="Z274" s="198"/>
    </row>
    <row r="275" spans="1:26" ht="15.75" hidden="1" customHeight="1" x14ac:dyDescent="0.25">
      <c r="A275" s="213">
        <v>1090</v>
      </c>
      <c r="B275" s="214" t="s">
        <v>8763</v>
      </c>
      <c r="C275" s="215" t="s">
        <v>580</v>
      </c>
      <c r="D275" s="216">
        <v>45.24</v>
      </c>
      <c r="E275" s="198"/>
      <c r="F275" s="198"/>
      <c r="G275" s="198"/>
      <c r="H275" s="198"/>
      <c r="I275" s="198"/>
      <c r="J275" s="198"/>
      <c r="K275" s="198"/>
      <c r="L275" s="198"/>
      <c r="M275" s="198"/>
      <c r="N275" s="198"/>
      <c r="O275" s="198"/>
      <c r="P275" s="198"/>
      <c r="Q275" s="198"/>
      <c r="R275" s="198"/>
      <c r="S275" s="198"/>
      <c r="T275" s="198"/>
      <c r="U275" s="198"/>
      <c r="V275" s="198"/>
      <c r="W275" s="198"/>
      <c r="X275" s="198"/>
      <c r="Y275" s="198"/>
      <c r="Z275" s="198"/>
    </row>
    <row r="276" spans="1:26" ht="15.75" hidden="1" customHeight="1" x14ac:dyDescent="0.25">
      <c r="A276" s="213">
        <v>1096</v>
      </c>
      <c r="B276" s="214" t="s">
        <v>8764</v>
      </c>
      <c r="C276" s="215" t="s">
        <v>580</v>
      </c>
      <c r="D276" s="216">
        <v>81.42</v>
      </c>
      <c r="E276" s="198"/>
      <c r="F276" s="198"/>
      <c r="G276" s="198"/>
      <c r="H276" s="198"/>
      <c r="I276" s="198"/>
      <c r="J276" s="198"/>
      <c r="K276" s="198"/>
      <c r="L276" s="198"/>
      <c r="M276" s="198"/>
      <c r="N276" s="198"/>
      <c r="O276" s="198"/>
      <c r="P276" s="198"/>
      <c r="Q276" s="198"/>
      <c r="R276" s="198"/>
      <c r="S276" s="198"/>
      <c r="T276" s="198"/>
      <c r="U276" s="198"/>
      <c r="V276" s="198"/>
      <c r="W276" s="198"/>
      <c r="X276" s="198"/>
      <c r="Y276" s="198"/>
      <c r="Z276" s="198"/>
    </row>
    <row r="277" spans="1:26" ht="15.75" hidden="1" customHeight="1" x14ac:dyDescent="0.25">
      <c r="A277" s="213">
        <v>1097</v>
      </c>
      <c r="B277" s="214" t="s">
        <v>8765</v>
      </c>
      <c r="C277" s="215" t="s">
        <v>580</v>
      </c>
      <c r="D277" s="216">
        <v>69.12</v>
      </c>
      <c r="E277" s="198"/>
      <c r="F277" s="198"/>
      <c r="G277" s="198"/>
      <c r="H277" s="198"/>
      <c r="I277" s="198"/>
      <c r="J277" s="198"/>
      <c r="K277" s="198"/>
      <c r="L277" s="198"/>
      <c r="M277" s="198"/>
      <c r="N277" s="198"/>
      <c r="O277" s="198"/>
      <c r="P277" s="198"/>
      <c r="Q277" s="198"/>
      <c r="R277" s="198"/>
      <c r="S277" s="198"/>
      <c r="T277" s="198"/>
      <c r="U277" s="198"/>
      <c r="V277" s="198"/>
      <c r="W277" s="198"/>
      <c r="X277" s="198"/>
      <c r="Y277" s="198"/>
      <c r="Z277" s="198"/>
    </row>
    <row r="278" spans="1:26" ht="15.75" hidden="1" customHeight="1" x14ac:dyDescent="0.25">
      <c r="A278" s="213">
        <v>378</v>
      </c>
      <c r="B278" s="214" t="s">
        <v>8766</v>
      </c>
      <c r="C278" s="215" t="s">
        <v>2193</v>
      </c>
      <c r="D278" s="216">
        <v>27.06</v>
      </c>
      <c r="E278" s="198"/>
      <c r="F278" s="198"/>
      <c r="G278" s="198"/>
      <c r="H278" s="198"/>
      <c r="I278" s="198"/>
      <c r="J278" s="198"/>
      <c r="K278" s="198"/>
      <c r="L278" s="198"/>
      <c r="M278" s="198"/>
      <c r="N278" s="198"/>
      <c r="O278" s="198"/>
      <c r="P278" s="198"/>
      <c r="Q278" s="198"/>
      <c r="R278" s="198"/>
      <c r="S278" s="198"/>
      <c r="T278" s="198"/>
      <c r="U278" s="198"/>
      <c r="V278" s="198"/>
      <c r="W278" s="198"/>
      <c r="X278" s="198"/>
      <c r="Y278" s="198"/>
      <c r="Z278" s="198"/>
    </row>
    <row r="279" spans="1:26" ht="15.75" hidden="1" customHeight="1" x14ac:dyDescent="0.25">
      <c r="A279" s="213">
        <v>40911</v>
      </c>
      <c r="B279" s="214" t="s">
        <v>8767</v>
      </c>
      <c r="C279" s="215" t="s">
        <v>6214</v>
      </c>
      <c r="D279" s="216">
        <v>4747.54</v>
      </c>
      <c r="E279" s="198"/>
      <c r="F279" s="198"/>
      <c r="G279" s="198"/>
      <c r="H279" s="198"/>
      <c r="I279" s="198"/>
      <c r="J279" s="198"/>
      <c r="K279" s="198"/>
      <c r="L279" s="198"/>
      <c r="M279" s="198"/>
      <c r="N279" s="198"/>
      <c r="O279" s="198"/>
      <c r="P279" s="198"/>
      <c r="Q279" s="198"/>
      <c r="R279" s="198"/>
      <c r="S279" s="198"/>
      <c r="T279" s="198"/>
      <c r="U279" s="198"/>
      <c r="V279" s="198"/>
      <c r="W279" s="198"/>
      <c r="X279" s="198"/>
      <c r="Y279" s="198"/>
      <c r="Z279" s="198"/>
    </row>
    <row r="280" spans="1:26" ht="15.75" hidden="1" customHeight="1" x14ac:dyDescent="0.25">
      <c r="A280" s="213">
        <v>33939</v>
      </c>
      <c r="B280" s="214" t="s">
        <v>8768</v>
      </c>
      <c r="C280" s="215" t="s">
        <v>2193</v>
      </c>
      <c r="D280" s="216">
        <v>124.54</v>
      </c>
      <c r="E280" s="198"/>
      <c r="F280" s="198"/>
      <c r="G280" s="198"/>
      <c r="H280" s="198"/>
      <c r="I280" s="198"/>
      <c r="J280" s="198"/>
      <c r="K280" s="198"/>
      <c r="L280" s="198"/>
      <c r="M280" s="198"/>
      <c r="N280" s="198"/>
      <c r="O280" s="198"/>
      <c r="P280" s="198"/>
      <c r="Q280" s="198"/>
      <c r="R280" s="198"/>
      <c r="S280" s="198"/>
      <c r="T280" s="198"/>
      <c r="U280" s="198"/>
      <c r="V280" s="198"/>
      <c r="W280" s="198"/>
      <c r="X280" s="198"/>
      <c r="Y280" s="198"/>
      <c r="Z280" s="198"/>
    </row>
    <row r="281" spans="1:26" ht="15.75" hidden="1" customHeight="1" x14ac:dyDescent="0.25">
      <c r="A281" s="213">
        <v>40815</v>
      </c>
      <c r="B281" s="214" t="s">
        <v>8769</v>
      </c>
      <c r="C281" s="215" t="s">
        <v>6214</v>
      </c>
      <c r="D281" s="216">
        <v>21846.29</v>
      </c>
      <c r="E281" s="198"/>
      <c r="F281" s="198"/>
      <c r="G281" s="198"/>
      <c r="H281" s="198"/>
      <c r="I281" s="198"/>
      <c r="J281" s="198"/>
      <c r="K281" s="198"/>
      <c r="L281" s="198"/>
      <c r="M281" s="198"/>
      <c r="N281" s="198"/>
      <c r="O281" s="198"/>
      <c r="P281" s="198"/>
      <c r="Q281" s="198"/>
      <c r="R281" s="198"/>
      <c r="S281" s="198"/>
      <c r="T281" s="198"/>
      <c r="U281" s="198"/>
      <c r="V281" s="198"/>
      <c r="W281" s="198"/>
      <c r="X281" s="198"/>
      <c r="Y281" s="198"/>
      <c r="Z281" s="198"/>
    </row>
    <row r="282" spans="1:26" ht="15.75" hidden="1" customHeight="1" x14ac:dyDescent="0.25">
      <c r="A282" s="213">
        <v>33952</v>
      </c>
      <c r="B282" s="214" t="s">
        <v>8770</v>
      </c>
      <c r="C282" s="215" t="s">
        <v>2193</v>
      </c>
      <c r="D282" s="216">
        <v>131.94</v>
      </c>
      <c r="E282" s="198"/>
      <c r="F282" s="198"/>
      <c r="G282" s="198"/>
      <c r="H282" s="198"/>
      <c r="I282" s="198"/>
      <c r="J282" s="198"/>
      <c r="K282" s="198"/>
      <c r="L282" s="198"/>
      <c r="M282" s="198"/>
      <c r="N282" s="198"/>
      <c r="O282" s="198"/>
      <c r="P282" s="198"/>
      <c r="Q282" s="198"/>
      <c r="R282" s="198"/>
      <c r="S282" s="198"/>
      <c r="T282" s="198"/>
      <c r="U282" s="198"/>
      <c r="V282" s="198"/>
      <c r="W282" s="198"/>
      <c r="X282" s="198"/>
      <c r="Y282" s="198"/>
      <c r="Z282" s="198"/>
    </row>
    <row r="283" spans="1:26" ht="15.75" hidden="1" customHeight="1" x14ac:dyDescent="0.25">
      <c r="A283" s="213">
        <v>40816</v>
      </c>
      <c r="B283" s="214" t="s">
        <v>8771</v>
      </c>
      <c r="C283" s="215" t="s">
        <v>6214</v>
      </c>
      <c r="D283" s="216">
        <v>23144.04</v>
      </c>
      <c r="E283" s="198"/>
      <c r="F283" s="198"/>
      <c r="G283" s="198"/>
      <c r="H283" s="198"/>
      <c r="I283" s="198"/>
      <c r="J283" s="198"/>
      <c r="K283" s="198"/>
      <c r="L283" s="198"/>
      <c r="M283" s="198"/>
      <c r="N283" s="198"/>
      <c r="O283" s="198"/>
      <c r="P283" s="198"/>
      <c r="Q283" s="198"/>
      <c r="R283" s="198"/>
      <c r="S283" s="198"/>
      <c r="T283" s="198"/>
      <c r="U283" s="198"/>
      <c r="V283" s="198"/>
      <c r="W283" s="198"/>
      <c r="X283" s="198"/>
      <c r="Y283" s="198"/>
      <c r="Z283" s="198"/>
    </row>
    <row r="284" spans="1:26" ht="15.75" hidden="1" customHeight="1" x14ac:dyDescent="0.25">
      <c r="A284" s="213">
        <v>33953</v>
      </c>
      <c r="B284" s="214" t="s">
        <v>8772</v>
      </c>
      <c r="C284" s="215" t="s">
        <v>2193</v>
      </c>
      <c r="D284" s="216">
        <v>138.28</v>
      </c>
      <c r="E284" s="198"/>
      <c r="F284" s="198"/>
      <c r="G284" s="198"/>
      <c r="H284" s="198"/>
      <c r="I284" s="198"/>
      <c r="J284" s="198"/>
      <c r="K284" s="198"/>
      <c r="L284" s="198"/>
      <c r="M284" s="198"/>
      <c r="N284" s="198"/>
      <c r="O284" s="198"/>
      <c r="P284" s="198"/>
      <c r="Q284" s="198"/>
      <c r="R284" s="198"/>
      <c r="S284" s="198"/>
      <c r="T284" s="198"/>
      <c r="U284" s="198"/>
      <c r="V284" s="198"/>
      <c r="W284" s="198"/>
      <c r="X284" s="198"/>
      <c r="Y284" s="198"/>
      <c r="Z284" s="198"/>
    </row>
    <row r="285" spans="1:26" ht="15.75" hidden="1" customHeight="1" x14ac:dyDescent="0.25">
      <c r="A285" s="213">
        <v>40817</v>
      </c>
      <c r="B285" s="214" t="s">
        <v>8773</v>
      </c>
      <c r="C285" s="215" t="s">
        <v>6214</v>
      </c>
      <c r="D285" s="216">
        <v>24255.7</v>
      </c>
      <c r="E285" s="198"/>
      <c r="F285" s="198"/>
      <c r="G285" s="198"/>
      <c r="H285" s="198"/>
      <c r="I285" s="198"/>
      <c r="J285" s="198"/>
      <c r="K285" s="198"/>
      <c r="L285" s="198"/>
      <c r="M285" s="198"/>
      <c r="N285" s="198"/>
      <c r="O285" s="198"/>
      <c r="P285" s="198"/>
      <c r="Q285" s="198"/>
      <c r="R285" s="198"/>
      <c r="S285" s="198"/>
      <c r="T285" s="198"/>
      <c r="U285" s="198"/>
      <c r="V285" s="198"/>
      <c r="W285" s="198"/>
      <c r="X285" s="198"/>
      <c r="Y285" s="198"/>
      <c r="Z285" s="198"/>
    </row>
    <row r="286" spans="1:26" ht="15.75" hidden="1" customHeight="1" x14ac:dyDescent="0.25">
      <c r="A286" s="213">
        <v>39212</v>
      </c>
      <c r="B286" s="214" t="s">
        <v>8774</v>
      </c>
      <c r="C286" s="215" t="s">
        <v>580</v>
      </c>
      <c r="D286" s="216">
        <v>2.2400000000000002</v>
      </c>
      <c r="E286" s="198"/>
      <c r="F286" s="198"/>
      <c r="G286" s="198"/>
      <c r="H286" s="198"/>
      <c r="I286" s="198"/>
      <c r="J286" s="198"/>
      <c r="K286" s="198"/>
      <c r="L286" s="198"/>
      <c r="M286" s="198"/>
      <c r="N286" s="198"/>
      <c r="O286" s="198"/>
      <c r="P286" s="198"/>
      <c r="Q286" s="198"/>
      <c r="R286" s="198"/>
      <c r="S286" s="198"/>
      <c r="T286" s="198"/>
      <c r="U286" s="198"/>
      <c r="V286" s="198"/>
      <c r="W286" s="198"/>
      <c r="X286" s="198"/>
      <c r="Y286" s="198"/>
      <c r="Z286" s="198"/>
    </row>
    <row r="287" spans="1:26" ht="15.75" hidden="1" customHeight="1" x14ac:dyDescent="0.25">
      <c r="A287" s="213">
        <v>39211</v>
      </c>
      <c r="B287" s="214" t="s">
        <v>8775</v>
      </c>
      <c r="C287" s="215" t="s">
        <v>580</v>
      </c>
      <c r="D287" s="216">
        <v>2.0099999999999998</v>
      </c>
      <c r="E287" s="198"/>
      <c r="F287" s="198"/>
      <c r="G287" s="198"/>
      <c r="H287" s="198"/>
      <c r="I287" s="198"/>
      <c r="J287" s="198"/>
      <c r="K287" s="198"/>
      <c r="L287" s="198"/>
      <c r="M287" s="198"/>
      <c r="N287" s="198"/>
      <c r="O287" s="198"/>
      <c r="P287" s="198"/>
      <c r="Q287" s="198"/>
      <c r="R287" s="198"/>
      <c r="S287" s="198"/>
      <c r="T287" s="198"/>
      <c r="U287" s="198"/>
      <c r="V287" s="198"/>
      <c r="W287" s="198"/>
      <c r="X287" s="198"/>
      <c r="Y287" s="198"/>
      <c r="Z287" s="198"/>
    </row>
    <row r="288" spans="1:26" ht="15.75" hidden="1" customHeight="1" x14ac:dyDescent="0.25">
      <c r="A288" s="213">
        <v>39210</v>
      </c>
      <c r="B288" s="214" t="s">
        <v>8776</v>
      </c>
      <c r="C288" s="215" t="s">
        <v>580</v>
      </c>
      <c r="D288" s="216">
        <v>1.1200000000000001</v>
      </c>
      <c r="E288" s="198"/>
      <c r="F288" s="198"/>
      <c r="G288" s="198"/>
      <c r="H288" s="198"/>
      <c r="I288" s="198"/>
      <c r="J288" s="198"/>
      <c r="K288" s="198"/>
      <c r="L288" s="198"/>
      <c r="M288" s="198"/>
      <c r="N288" s="198"/>
      <c r="O288" s="198"/>
      <c r="P288" s="198"/>
      <c r="Q288" s="198"/>
      <c r="R288" s="198"/>
      <c r="S288" s="198"/>
      <c r="T288" s="198"/>
      <c r="U288" s="198"/>
      <c r="V288" s="198"/>
      <c r="W288" s="198"/>
      <c r="X288" s="198"/>
      <c r="Y288" s="198"/>
      <c r="Z288" s="198"/>
    </row>
    <row r="289" spans="1:26" ht="15.75" hidden="1" customHeight="1" x14ac:dyDescent="0.25">
      <c r="A289" s="213">
        <v>39208</v>
      </c>
      <c r="B289" s="214" t="s">
        <v>8777</v>
      </c>
      <c r="C289" s="215" t="s">
        <v>580</v>
      </c>
      <c r="D289" s="216">
        <v>0.61</v>
      </c>
      <c r="E289" s="198"/>
      <c r="F289" s="198"/>
      <c r="G289" s="198"/>
      <c r="H289" s="198"/>
      <c r="I289" s="198"/>
      <c r="J289" s="198"/>
      <c r="K289" s="198"/>
      <c r="L289" s="198"/>
      <c r="M289" s="198"/>
      <c r="N289" s="198"/>
      <c r="O289" s="198"/>
      <c r="P289" s="198"/>
      <c r="Q289" s="198"/>
      <c r="R289" s="198"/>
      <c r="S289" s="198"/>
      <c r="T289" s="198"/>
      <c r="U289" s="198"/>
      <c r="V289" s="198"/>
      <c r="W289" s="198"/>
      <c r="X289" s="198"/>
      <c r="Y289" s="198"/>
      <c r="Z289" s="198"/>
    </row>
    <row r="290" spans="1:26" ht="15.75" hidden="1" customHeight="1" x14ac:dyDescent="0.25">
      <c r="A290" s="213">
        <v>39214</v>
      </c>
      <c r="B290" s="214" t="s">
        <v>8778</v>
      </c>
      <c r="C290" s="215" t="s">
        <v>580</v>
      </c>
      <c r="D290" s="216">
        <v>4.1500000000000004</v>
      </c>
      <c r="E290" s="198"/>
      <c r="F290" s="198"/>
      <c r="G290" s="198"/>
      <c r="H290" s="198"/>
      <c r="I290" s="198"/>
      <c r="J290" s="198"/>
      <c r="K290" s="198"/>
      <c r="L290" s="198"/>
      <c r="M290" s="198"/>
      <c r="N290" s="198"/>
      <c r="O290" s="198"/>
      <c r="P290" s="198"/>
      <c r="Q290" s="198"/>
      <c r="R290" s="198"/>
      <c r="S290" s="198"/>
      <c r="T290" s="198"/>
      <c r="U290" s="198"/>
      <c r="V290" s="198"/>
      <c r="W290" s="198"/>
      <c r="X290" s="198"/>
      <c r="Y290" s="198"/>
      <c r="Z290" s="198"/>
    </row>
    <row r="291" spans="1:26" ht="15.75" hidden="1" customHeight="1" x14ac:dyDescent="0.25">
      <c r="A291" s="213">
        <v>39213</v>
      </c>
      <c r="B291" s="214" t="s">
        <v>8779</v>
      </c>
      <c r="C291" s="215" t="s">
        <v>580</v>
      </c>
      <c r="D291" s="216">
        <v>2.93</v>
      </c>
      <c r="E291" s="198"/>
      <c r="F291" s="198"/>
      <c r="G291" s="198"/>
      <c r="H291" s="198"/>
      <c r="I291" s="198"/>
      <c r="J291" s="198"/>
      <c r="K291" s="198"/>
      <c r="L291" s="198"/>
      <c r="M291" s="198"/>
      <c r="N291" s="198"/>
      <c r="O291" s="198"/>
      <c r="P291" s="198"/>
      <c r="Q291" s="198"/>
      <c r="R291" s="198"/>
      <c r="S291" s="198"/>
      <c r="T291" s="198"/>
      <c r="U291" s="198"/>
      <c r="V291" s="198"/>
      <c r="W291" s="198"/>
      <c r="X291" s="198"/>
      <c r="Y291" s="198"/>
      <c r="Z291" s="198"/>
    </row>
    <row r="292" spans="1:26" ht="15.75" hidden="1" customHeight="1" x14ac:dyDescent="0.25">
      <c r="A292" s="213">
        <v>39215</v>
      </c>
      <c r="B292" s="214" t="s">
        <v>8780</v>
      </c>
      <c r="C292" s="215" t="s">
        <v>580</v>
      </c>
      <c r="D292" s="216">
        <v>7.56</v>
      </c>
      <c r="E292" s="198"/>
      <c r="F292" s="198"/>
      <c r="G292" s="198"/>
      <c r="H292" s="198"/>
      <c r="I292" s="198"/>
      <c r="J292" s="198"/>
      <c r="K292" s="198"/>
      <c r="L292" s="198"/>
      <c r="M292" s="198"/>
      <c r="N292" s="198"/>
      <c r="O292" s="198"/>
      <c r="P292" s="198"/>
      <c r="Q292" s="198"/>
      <c r="R292" s="198"/>
      <c r="S292" s="198"/>
      <c r="T292" s="198"/>
      <c r="U292" s="198"/>
      <c r="V292" s="198"/>
      <c r="W292" s="198"/>
      <c r="X292" s="198"/>
      <c r="Y292" s="198"/>
      <c r="Z292" s="198"/>
    </row>
    <row r="293" spans="1:26" ht="15.75" hidden="1" customHeight="1" x14ac:dyDescent="0.25">
      <c r="A293" s="213">
        <v>39209</v>
      </c>
      <c r="B293" s="214" t="s">
        <v>8781</v>
      </c>
      <c r="C293" s="215" t="s">
        <v>580</v>
      </c>
      <c r="D293" s="216">
        <v>0.73</v>
      </c>
      <c r="E293" s="198"/>
      <c r="F293" s="198"/>
      <c r="G293" s="198"/>
      <c r="H293" s="198"/>
      <c r="I293" s="198"/>
      <c r="J293" s="198"/>
      <c r="K293" s="198"/>
      <c r="L293" s="198"/>
      <c r="M293" s="198"/>
      <c r="N293" s="198"/>
      <c r="O293" s="198"/>
      <c r="P293" s="198"/>
      <c r="Q293" s="198"/>
      <c r="R293" s="198"/>
      <c r="S293" s="198"/>
      <c r="T293" s="198"/>
      <c r="U293" s="198"/>
      <c r="V293" s="198"/>
      <c r="W293" s="198"/>
      <c r="X293" s="198"/>
      <c r="Y293" s="198"/>
      <c r="Z293" s="198"/>
    </row>
    <row r="294" spans="1:26" ht="15.75" hidden="1" customHeight="1" x14ac:dyDescent="0.25">
      <c r="A294" s="213">
        <v>39207</v>
      </c>
      <c r="B294" s="214" t="s">
        <v>8782</v>
      </c>
      <c r="C294" s="215" t="s">
        <v>580</v>
      </c>
      <c r="D294" s="216">
        <v>1.1200000000000001</v>
      </c>
      <c r="E294" s="198"/>
      <c r="F294" s="198"/>
      <c r="G294" s="198"/>
      <c r="H294" s="198"/>
      <c r="I294" s="198"/>
      <c r="J294" s="198"/>
      <c r="K294" s="198"/>
      <c r="L294" s="198"/>
      <c r="M294" s="198"/>
      <c r="N294" s="198"/>
      <c r="O294" s="198"/>
      <c r="P294" s="198"/>
      <c r="Q294" s="198"/>
      <c r="R294" s="198"/>
      <c r="S294" s="198"/>
      <c r="T294" s="198"/>
      <c r="U294" s="198"/>
      <c r="V294" s="198"/>
      <c r="W294" s="198"/>
      <c r="X294" s="198"/>
      <c r="Y294" s="198"/>
      <c r="Z294" s="198"/>
    </row>
    <row r="295" spans="1:26" ht="15.75" hidden="1" customHeight="1" x14ac:dyDescent="0.25">
      <c r="A295" s="213">
        <v>39216</v>
      </c>
      <c r="B295" s="214" t="s">
        <v>8783</v>
      </c>
      <c r="C295" s="215" t="s">
        <v>580</v>
      </c>
      <c r="D295" s="216">
        <v>10.55</v>
      </c>
      <c r="E295" s="198"/>
      <c r="F295" s="198"/>
      <c r="G295" s="198"/>
      <c r="H295" s="198"/>
      <c r="I295" s="198"/>
      <c r="J295" s="198"/>
      <c r="K295" s="198"/>
      <c r="L295" s="198"/>
      <c r="M295" s="198"/>
      <c r="N295" s="198"/>
      <c r="O295" s="198"/>
      <c r="P295" s="198"/>
      <c r="Q295" s="198"/>
      <c r="R295" s="198"/>
      <c r="S295" s="198"/>
      <c r="T295" s="198"/>
      <c r="U295" s="198"/>
      <c r="V295" s="198"/>
      <c r="W295" s="198"/>
      <c r="X295" s="198"/>
      <c r="Y295" s="198"/>
      <c r="Z295" s="198"/>
    </row>
    <row r="296" spans="1:26" ht="15.75" hidden="1" customHeight="1" x14ac:dyDescent="0.25">
      <c r="A296" s="213">
        <v>510</v>
      </c>
      <c r="B296" s="214" t="s">
        <v>8784</v>
      </c>
      <c r="C296" s="215" t="s">
        <v>823</v>
      </c>
      <c r="D296" s="216">
        <v>13.31</v>
      </c>
      <c r="E296" s="198"/>
      <c r="F296" s="198"/>
      <c r="G296" s="198"/>
      <c r="H296" s="198"/>
      <c r="I296" s="198"/>
      <c r="J296" s="198"/>
      <c r="K296" s="198"/>
      <c r="L296" s="198"/>
      <c r="M296" s="198"/>
      <c r="N296" s="198"/>
      <c r="O296" s="198"/>
      <c r="P296" s="198"/>
      <c r="Q296" s="198"/>
      <c r="R296" s="198"/>
      <c r="S296" s="198"/>
      <c r="T296" s="198"/>
      <c r="U296" s="198"/>
      <c r="V296" s="198"/>
      <c r="W296" s="198"/>
      <c r="X296" s="198"/>
      <c r="Y296" s="198"/>
      <c r="Z296" s="198"/>
    </row>
    <row r="297" spans="1:26" ht="15.75" hidden="1" customHeight="1" x14ac:dyDescent="0.25">
      <c r="A297" s="213">
        <v>516</v>
      </c>
      <c r="B297" s="214" t="s">
        <v>8785</v>
      </c>
      <c r="C297" s="215" t="s">
        <v>823</v>
      </c>
      <c r="D297" s="216">
        <v>15.77</v>
      </c>
      <c r="E297" s="198"/>
      <c r="F297" s="198"/>
      <c r="G297" s="198"/>
      <c r="H297" s="198"/>
      <c r="I297" s="198"/>
      <c r="J297" s="198"/>
      <c r="K297" s="198"/>
      <c r="L297" s="198"/>
      <c r="M297" s="198"/>
      <c r="N297" s="198"/>
      <c r="O297" s="198"/>
      <c r="P297" s="198"/>
      <c r="Q297" s="198"/>
      <c r="R297" s="198"/>
      <c r="S297" s="198"/>
      <c r="T297" s="198"/>
      <c r="U297" s="198"/>
      <c r="V297" s="198"/>
      <c r="W297" s="198"/>
      <c r="X297" s="198"/>
      <c r="Y297" s="198"/>
      <c r="Z297" s="198"/>
    </row>
    <row r="298" spans="1:26" ht="15.75" hidden="1" customHeight="1" x14ac:dyDescent="0.25">
      <c r="A298" s="213">
        <v>509</v>
      </c>
      <c r="B298" s="214" t="s">
        <v>8786</v>
      </c>
      <c r="C298" s="215" t="s">
        <v>823</v>
      </c>
      <c r="D298" s="216">
        <v>17.690000000000001</v>
      </c>
      <c r="E298" s="198"/>
      <c r="F298" s="198"/>
      <c r="G298" s="198"/>
      <c r="H298" s="198"/>
      <c r="I298" s="198"/>
      <c r="J298" s="198"/>
      <c r="K298" s="198"/>
      <c r="L298" s="198"/>
      <c r="M298" s="198"/>
      <c r="N298" s="198"/>
      <c r="O298" s="198"/>
      <c r="P298" s="198"/>
      <c r="Q298" s="198"/>
      <c r="R298" s="198"/>
      <c r="S298" s="198"/>
      <c r="T298" s="198"/>
      <c r="U298" s="198"/>
      <c r="V298" s="198"/>
      <c r="W298" s="198"/>
      <c r="X298" s="198"/>
      <c r="Y298" s="198"/>
      <c r="Z298" s="198"/>
    </row>
    <row r="299" spans="1:26" ht="15.75" hidden="1" customHeight="1" x14ac:dyDescent="0.25">
      <c r="A299" s="213">
        <v>40331</v>
      </c>
      <c r="B299" s="214" t="s">
        <v>8787</v>
      </c>
      <c r="C299" s="215" t="s">
        <v>2193</v>
      </c>
      <c r="D299" s="216">
        <v>14.06</v>
      </c>
      <c r="E299" s="198"/>
      <c r="F299" s="198"/>
      <c r="G299" s="198"/>
      <c r="H299" s="198"/>
      <c r="I299" s="198"/>
      <c r="J299" s="198"/>
      <c r="K299" s="198"/>
      <c r="L299" s="198"/>
      <c r="M299" s="198"/>
      <c r="N299" s="198"/>
      <c r="O299" s="198"/>
      <c r="P299" s="198"/>
      <c r="Q299" s="198"/>
      <c r="R299" s="198"/>
      <c r="S299" s="198"/>
      <c r="T299" s="198"/>
      <c r="U299" s="198"/>
      <c r="V299" s="198"/>
      <c r="W299" s="198"/>
      <c r="X299" s="198"/>
      <c r="Y299" s="198"/>
      <c r="Z299" s="198"/>
    </row>
    <row r="300" spans="1:26" ht="15.75" hidden="1" customHeight="1" x14ac:dyDescent="0.25">
      <c r="A300" s="213">
        <v>40930</v>
      </c>
      <c r="B300" s="214" t="s">
        <v>8788</v>
      </c>
      <c r="C300" s="215" t="s">
        <v>6214</v>
      </c>
      <c r="D300" s="216">
        <v>2467.16</v>
      </c>
      <c r="E300" s="198"/>
      <c r="F300" s="198"/>
      <c r="G300" s="198"/>
      <c r="H300" s="198"/>
      <c r="I300" s="198"/>
      <c r="J300" s="198"/>
      <c r="K300" s="198"/>
      <c r="L300" s="198"/>
      <c r="M300" s="198"/>
      <c r="N300" s="198"/>
      <c r="O300" s="198"/>
      <c r="P300" s="198"/>
      <c r="Q300" s="198"/>
      <c r="R300" s="198"/>
      <c r="S300" s="198"/>
      <c r="T300" s="198"/>
      <c r="U300" s="198"/>
      <c r="V300" s="198"/>
      <c r="W300" s="198"/>
      <c r="X300" s="198"/>
      <c r="Y300" s="198"/>
      <c r="Z300" s="198"/>
    </row>
    <row r="301" spans="1:26" ht="15.75" hidden="1" customHeight="1" x14ac:dyDescent="0.25">
      <c r="A301" s="213">
        <v>377</v>
      </c>
      <c r="B301" s="214" t="s">
        <v>8789</v>
      </c>
      <c r="C301" s="215" t="s">
        <v>580</v>
      </c>
      <c r="D301" s="216">
        <v>39</v>
      </c>
      <c r="E301" s="198"/>
      <c r="F301" s="198"/>
      <c r="G301" s="198"/>
      <c r="H301" s="198"/>
      <c r="I301" s="198"/>
      <c r="J301" s="198"/>
      <c r="K301" s="198"/>
      <c r="L301" s="198"/>
      <c r="M301" s="198"/>
      <c r="N301" s="198"/>
      <c r="O301" s="198"/>
      <c r="P301" s="198"/>
      <c r="Q301" s="198"/>
      <c r="R301" s="198"/>
      <c r="S301" s="198"/>
      <c r="T301" s="198"/>
      <c r="U301" s="198"/>
      <c r="V301" s="198"/>
      <c r="W301" s="198"/>
      <c r="X301" s="198"/>
      <c r="Y301" s="198"/>
      <c r="Z301" s="198"/>
    </row>
    <row r="302" spans="1:26" ht="15.75" hidden="1" customHeight="1" x14ac:dyDescent="0.25">
      <c r="A302" s="213">
        <v>11761</v>
      </c>
      <c r="B302" s="214" t="s">
        <v>8790</v>
      </c>
      <c r="C302" s="215" t="s">
        <v>580</v>
      </c>
      <c r="D302" s="216">
        <v>82.99</v>
      </c>
      <c r="E302" s="198"/>
      <c r="F302" s="198"/>
      <c r="G302" s="198"/>
      <c r="H302" s="198"/>
      <c r="I302" s="198"/>
      <c r="J302" s="198"/>
      <c r="K302" s="198"/>
      <c r="L302" s="198"/>
      <c r="M302" s="198"/>
      <c r="N302" s="198"/>
      <c r="O302" s="198"/>
      <c r="P302" s="198"/>
      <c r="Q302" s="198"/>
      <c r="R302" s="198"/>
      <c r="S302" s="198"/>
      <c r="T302" s="198"/>
      <c r="U302" s="198"/>
      <c r="V302" s="198"/>
      <c r="W302" s="198"/>
      <c r="X302" s="198"/>
      <c r="Y302" s="198"/>
      <c r="Z302" s="198"/>
    </row>
    <row r="303" spans="1:26" ht="15.75" hidden="1" customHeight="1" x14ac:dyDescent="0.25">
      <c r="A303" s="213">
        <v>7588</v>
      </c>
      <c r="B303" s="214" t="s">
        <v>8791</v>
      </c>
      <c r="C303" s="215" t="s">
        <v>580</v>
      </c>
      <c r="D303" s="216">
        <v>46.16</v>
      </c>
      <c r="E303" s="198"/>
      <c r="F303" s="198"/>
      <c r="G303" s="198"/>
      <c r="H303" s="198"/>
      <c r="I303" s="198"/>
      <c r="J303" s="198"/>
      <c r="K303" s="198"/>
      <c r="L303" s="198"/>
      <c r="M303" s="198"/>
      <c r="N303" s="198"/>
      <c r="O303" s="198"/>
      <c r="P303" s="198"/>
      <c r="Q303" s="198"/>
      <c r="R303" s="198"/>
      <c r="S303" s="198"/>
      <c r="T303" s="198"/>
      <c r="U303" s="198"/>
      <c r="V303" s="198"/>
      <c r="W303" s="198"/>
      <c r="X303" s="198"/>
      <c r="Y303" s="198"/>
      <c r="Z303" s="198"/>
    </row>
    <row r="304" spans="1:26" ht="15.75" hidden="1" customHeight="1" x14ac:dyDescent="0.25">
      <c r="A304" s="213">
        <v>34551</v>
      </c>
      <c r="B304" s="214" t="s">
        <v>8792</v>
      </c>
      <c r="C304" s="215" t="s">
        <v>2193</v>
      </c>
      <c r="D304" s="216">
        <v>19.100000000000001</v>
      </c>
      <c r="E304" s="198"/>
      <c r="F304" s="198"/>
      <c r="G304" s="198"/>
      <c r="H304" s="198"/>
      <c r="I304" s="198"/>
      <c r="J304" s="198"/>
      <c r="K304" s="198"/>
      <c r="L304" s="198"/>
      <c r="M304" s="198"/>
      <c r="N304" s="198"/>
      <c r="O304" s="198"/>
      <c r="P304" s="198"/>
      <c r="Q304" s="198"/>
      <c r="R304" s="198"/>
      <c r="S304" s="198"/>
      <c r="T304" s="198"/>
      <c r="U304" s="198"/>
      <c r="V304" s="198"/>
      <c r="W304" s="198"/>
      <c r="X304" s="198"/>
      <c r="Y304" s="198"/>
      <c r="Z304" s="198"/>
    </row>
    <row r="305" spans="1:26" ht="15.75" hidden="1" customHeight="1" x14ac:dyDescent="0.25">
      <c r="A305" s="213">
        <v>41078</v>
      </c>
      <c r="B305" s="214" t="s">
        <v>8793</v>
      </c>
      <c r="C305" s="215" t="s">
        <v>6214</v>
      </c>
      <c r="D305" s="216">
        <v>3351.51</v>
      </c>
      <c r="E305" s="198"/>
      <c r="F305" s="198"/>
      <c r="G305" s="198"/>
      <c r="H305" s="198"/>
      <c r="I305" s="198"/>
      <c r="J305" s="198"/>
      <c r="K305" s="198"/>
      <c r="L305" s="198"/>
      <c r="M305" s="198"/>
      <c r="N305" s="198"/>
      <c r="O305" s="198"/>
      <c r="P305" s="198"/>
      <c r="Q305" s="198"/>
      <c r="R305" s="198"/>
      <c r="S305" s="198"/>
      <c r="T305" s="198"/>
      <c r="U305" s="198"/>
      <c r="V305" s="198"/>
      <c r="W305" s="198"/>
      <c r="X305" s="198"/>
      <c r="Y305" s="198"/>
      <c r="Z305" s="198"/>
    </row>
    <row r="306" spans="1:26" ht="15.75" hidden="1" customHeight="1" x14ac:dyDescent="0.25">
      <c r="A306" s="213">
        <v>246</v>
      </c>
      <c r="B306" s="214" t="s">
        <v>8794</v>
      </c>
      <c r="C306" s="215" t="s">
        <v>2193</v>
      </c>
      <c r="D306" s="216">
        <v>20.72</v>
      </c>
      <c r="E306" s="198"/>
      <c r="F306" s="198"/>
      <c r="G306" s="198"/>
      <c r="H306" s="198"/>
      <c r="I306" s="198"/>
      <c r="J306" s="198"/>
      <c r="K306" s="198"/>
      <c r="L306" s="198"/>
      <c r="M306" s="198"/>
      <c r="N306" s="198"/>
      <c r="O306" s="198"/>
      <c r="P306" s="198"/>
      <c r="Q306" s="198"/>
      <c r="R306" s="198"/>
      <c r="S306" s="198"/>
      <c r="T306" s="198"/>
      <c r="U306" s="198"/>
      <c r="V306" s="198"/>
      <c r="W306" s="198"/>
      <c r="X306" s="198"/>
      <c r="Y306" s="198"/>
      <c r="Z306" s="198"/>
    </row>
    <row r="307" spans="1:26" ht="15.75" hidden="1" customHeight="1" x14ac:dyDescent="0.25">
      <c r="A307" s="213">
        <v>40927</v>
      </c>
      <c r="B307" s="214" t="s">
        <v>8795</v>
      </c>
      <c r="C307" s="215" t="s">
        <v>6214</v>
      </c>
      <c r="D307" s="216">
        <v>3637.57</v>
      </c>
      <c r="E307" s="198"/>
      <c r="F307" s="198"/>
      <c r="G307" s="198"/>
      <c r="H307" s="198"/>
      <c r="I307" s="198"/>
      <c r="J307" s="198"/>
      <c r="K307" s="198"/>
      <c r="L307" s="198"/>
      <c r="M307" s="198"/>
      <c r="N307" s="198"/>
      <c r="O307" s="198"/>
      <c r="P307" s="198"/>
      <c r="Q307" s="198"/>
      <c r="R307" s="198"/>
      <c r="S307" s="198"/>
      <c r="T307" s="198"/>
      <c r="U307" s="198"/>
      <c r="V307" s="198"/>
      <c r="W307" s="198"/>
      <c r="X307" s="198"/>
      <c r="Y307" s="198"/>
      <c r="Z307" s="198"/>
    </row>
    <row r="308" spans="1:26" ht="15.75" hidden="1" customHeight="1" x14ac:dyDescent="0.25">
      <c r="A308" s="213">
        <v>2350</v>
      </c>
      <c r="B308" s="214" t="s">
        <v>8796</v>
      </c>
      <c r="C308" s="215" t="s">
        <v>2193</v>
      </c>
      <c r="D308" s="216">
        <v>21.68</v>
      </c>
      <c r="E308" s="198"/>
      <c r="F308" s="198"/>
      <c r="G308" s="198"/>
      <c r="H308" s="198"/>
      <c r="I308" s="198"/>
      <c r="J308" s="198"/>
      <c r="K308" s="198"/>
      <c r="L308" s="198"/>
      <c r="M308" s="198"/>
      <c r="N308" s="198"/>
      <c r="O308" s="198"/>
      <c r="P308" s="198"/>
      <c r="Q308" s="198"/>
      <c r="R308" s="198"/>
      <c r="S308" s="198"/>
      <c r="T308" s="198"/>
      <c r="U308" s="198"/>
      <c r="V308" s="198"/>
      <c r="W308" s="198"/>
      <c r="X308" s="198"/>
      <c r="Y308" s="198"/>
      <c r="Z308" s="198"/>
    </row>
    <row r="309" spans="1:26" ht="15.75" hidden="1" customHeight="1" x14ac:dyDescent="0.25">
      <c r="A309" s="213">
        <v>40812</v>
      </c>
      <c r="B309" s="214" t="s">
        <v>8797</v>
      </c>
      <c r="C309" s="215" t="s">
        <v>6214</v>
      </c>
      <c r="D309" s="216">
        <v>3803.71</v>
      </c>
      <c r="E309" s="198"/>
      <c r="F309" s="198"/>
      <c r="G309" s="198"/>
      <c r="H309" s="198"/>
      <c r="I309" s="198"/>
      <c r="J309" s="198"/>
      <c r="K309" s="198"/>
      <c r="L309" s="198"/>
      <c r="M309" s="198"/>
      <c r="N309" s="198"/>
      <c r="O309" s="198"/>
      <c r="P309" s="198"/>
      <c r="Q309" s="198"/>
      <c r="R309" s="198"/>
      <c r="S309" s="198"/>
      <c r="T309" s="198"/>
      <c r="U309" s="198"/>
      <c r="V309" s="198"/>
      <c r="W309" s="198"/>
      <c r="X309" s="198"/>
      <c r="Y309" s="198"/>
      <c r="Z309" s="198"/>
    </row>
    <row r="310" spans="1:26" ht="15.75" hidden="1" customHeight="1" x14ac:dyDescent="0.25">
      <c r="A310" s="213">
        <v>245</v>
      </c>
      <c r="B310" s="214" t="s">
        <v>8798</v>
      </c>
      <c r="C310" s="215" t="s">
        <v>2193</v>
      </c>
      <c r="D310" s="216">
        <v>28.9</v>
      </c>
      <c r="E310" s="198"/>
      <c r="F310" s="198"/>
      <c r="G310" s="198"/>
      <c r="H310" s="198"/>
      <c r="I310" s="198"/>
      <c r="J310" s="198"/>
      <c r="K310" s="198"/>
      <c r="L310" s="198"/>
      <c r="M310" s="198"/>
      <c r="N310" s="198"/>
      <c r="O310" s="198"/>
      <c r="P310" s="198"/>
      <c r="Q310" s="198"/>
      <c r="R310" s="198"/>
      <c r="S310" s="198"/>
      <c r="T310" s="198"/>
      <c r="U310" s="198"/>
      <c r="V310" s="198"/>
      <c r="W310" s="198"/>
      <c r="X310" s="198"/>
      <c r="Y310" s="198"/>
      <c r="Z310" s="198"/>
    </row>
    <row r="311" spans="1:26" ht="15.75" hidden="1" customHeight="1" x14ac:dyDescent="0.25">
      <c r="A311" s="213">
        <v>41090</v>
      </c>
      <c r="B311" s="214" t="s">
        <v>8799</v>
      </c>
      <c r="C311" s="215" t="s">
        <v>6214</v>
      </c>
      <c r="D311" s="216">
        <v>5071.62</v>
      </c>
      <c r="E311" s="198"/>
      <c r="F311" s="198"/>
      <c r="G311" s="198"/>
      <c r="H311" s="198"/>
      <c r="I311" s="198"/>
      <c r="J311" s="198"/>
      <c r="K311" s="198"/>
      <c r="L311" s="198"/>
      <c r="M311" s="198"/>
      <c r="N311" s="198"/>
      <c r="O311" s="198"/>
      <c r="P311" s="198"/>
      <c r="Q311" s="198"/>
      <c r="R311" s="198"/>
      <c r="S311" s="198"/>
      <c r="T311" s="198"/>
      <c r="U311" s="198"/>
      <c r="V311" s="198"/>
      <c r="W311" s="198"/>
      <c r="X311" s="198"/>
      <c r="Y311" s="198"/>
      <c r="Z311" s="198"/>
    </row>
    <row r="312" spans="1:26" ht="15.75" hidden="1" customHeight="1" x14ac:dyDescent="0.25">
      <c r="A312" s="213">
        <v>251</v>
      </c>
      <c r="B312" s="214" t="s">
        <v>8800</v>
      </c>
      <c r="C312" s="215" t="s">
        <v>2193</v>
      </c>
      <c r="D312" s="216">
        <v>20.72</v>
      </c>
      <c r="E312" s="198"/>
      <c r="F312" s="198"/>
      <c r="G312" s="198"/>
      <c r="H312" s="198"/>
      <c r="I312" s="198"/>
      <c r="J312" s="198"/>
      <c r="K312" s="198"/>
      <c r="L312" s="198"/>
      <c r="M312" s="198"/>
      <c r="N312" s="198"/>
      <c r="O312" s="198"/>
      <c r="P312" s="198"/>
      <c r="Q312" s="198"/>
      <c r="R312" s="198"/>
      <c r="S312" s="198"/>
      <c r="T312" s="198"/>
      <c r="U312" s="198"/>
      <c r="V312" s="198"/>
      <c r="W312" s="198"/>
      <c r="X312" s="198"/>
      <c r="Y312" s="198"/>
      <c r="Z312" s="198"/>
    </row>
    <row r="313" spans="1:26" ht="15.75" hidden="1" customHeight="1" x14ac:dyDescent="0.25">
      <c r="A313" s="213">
        <v>40975</v>
      </c>
      <c r="B313" s="214" t="s">
        <v>8801</v>
      </c>
      <c r="C313" s="215" t="s">
        <v>6214</v>
      </c>
      <c r="D313" s="216">
        <v>3637.57</v>
      </c>
      <c r="E313" s="198"/>
      <c r="F313" s="198"/>
      <c r="G313" s="198"/>
      <c r="H313" s="198"/>
      <c r="I313" s="198"/>
      <c r="J313" s="198"/>
      <c r="K313" s="198"/>
      <c r="L313" s="198"/>
      <c r="M313" s="198"/>
      <c r="N313" s="198"/>
      <c r="O313" s="198"/>
      <c r="P313" s="198"/>
      <c r="Q313" s="198"/>
      <c r="R313" s="198"/>
      <c r="S313" s="198"/>
      <c r="T313" s="198"/>
      <c r="U313" s="198"/>
      <c r="V313" s="198"/>
      <c r="W313" s="198"/>
      <c r="X313" s="198"/>
      <c r="Y313" s="198"/>
      <c r="Z313" s="198"/>
    </row>
    <row r="314" spans="1:26" ht="15.75" hidden="1" customHeight="1" x14ac:dyDescent="0.25">
      <c r="A314" s="213">
        <v>6127</v>
      </c>
      <c r="B314" s="214" t="s">
        <v>8802</v>
      </c>
      <c r="C314" s="215" t="s">
        <v>2193</v>
      </c>
      <c r="D314" s="216">
        <v>20.72</v>
      </c>
      <c r="E314" s="198"/>
      <c r="F314" s="198"/>
      <c r="G314" s="198"/>
      <c r="H314" s="198"/>
      <c r="I314" s="198"/>
      <c r="J314" s="198"/>
      <c r="K314" s="198"/>
      <c r="L314" s="198"/>
      <c r="M314" s="198"/>
      <c r="N314" s="198"/>
      <c r="O314" s="198"/>
      <c r="P314" s="198"/>
      <c r="Q314" s="198"/>
      <c r="R314" s="198"/>
      <c r="S314" s="198"/>
      <c r="T314" s="198"/>
      <c r="U314" s="198"/>
      <c r="V314" s="198"/>
      <c r="W314" s="198"/>
      <c r="X314" s="198"/>
      <c r="Y314" s="198"/>
      <c r="Z314" s="198"/>
    </row>
    <row r="315" spans="1:26" ht="15.75" hidden="1" customHeight="1" x14ac:dyDescent="0.25">
      <c r="A315" s="213">
        <v>41072</v>
      </c>
      <c r="B315" s="214" t="s">
        <v>8803</v>
      </c>
      <c r="C315" s="215" t="s">
        <v>6214</v>
      </c>
      <c r="D315" s="216">
        <v>3637.57</v>
      </c>
      <c r="E315" s="198"/>
      <c r="F315" s="198"/>
      <c r="G315" s="198"/>
      <c r="H315" s="198"/>
      <c r="I315" s="198"/>
      <c r="J315" s="198"/>
      <c r="K315" s="198"/>
      <c r="L315" s="198"/>
      <c r="M315" s="198"/>
      <c r="N315" s="198"/>
      <c r="O315" s="198"/>
      <c r="P315" s="198"/>
      <c r="Q315" s="198"/>
      <c r="R315" s="198"/>
      <c r="S315" s="198"/>
      <c r="T315" s="198"/>
      <c r="U315" s="198"/>
      <c r="V315" s="198"/>
      <c r="W315" s="198"/>
      <c r="X315" s="198"/>
      <c r="Y315" s="198"/>
      <c r="Z315" s="198"/>
    </row>
    <row r="316" spans="1:26" ht="15.75" hidden="1" customHeight="1" x14ac:dyDescent="0.25">
      <c r="A316" s="213">
        <v>6121</v>
      </c>
      <c r="B316" s="214" t="s">
        <v>8804</v>
      </c>
      <c r="C316" s="215" t="s">
        <v>2193</v>
      </c>
      <c r="D316" s="216">
        <v>19.12</v>
      </c>
      <c r="E316" s="198"/>
      <c r="F316" s="198"/>
      <c r="G316" s="198"/>
      <c r="H316" s="198"/>
      <c r="I316" s="198"/>
      <c r="J316" s="198"/>
      <c r="K316" s="198"/>
      <c r="L316" s="198"/>
      <c r="M316" s="198"/>
      <c r="N316" s="198"/>
      <c r="O316" s="198"/>
      <c r="P316" s="198"/>
      <c r="Q316" s="198"/>
      <c r="R316" s="198"/>
      <c r="S316" s="198"/>
      <c r="T316" s="198"/>
      <c r="U316" s="198"/>
      <c r="V316" s="198"/>
      <c r="W316" s="198"/>
      <c r="X316" s="198"/>
      <c r="Y316" s="198"/>
      <c r="Z316" s="198"/>
    </row>
    <row r="317" spans="1:26" ht="15.75" hidden="1" customHeight="1" x14ac:dyDescent="0.25">
      <c r="A317" s="213">
        <v>41071</v>
      </c>
      <c r="B317" s="214" t="s">
        <v>8805</v>
      </c>
      <c r="C317" s="215" t="s">
        <v>6214</v>
      </c>
      <c r="D317" s="216">
        <v>3354.78</v>
      </c>
      <c r="E317" s="198"/>
      <c r="F317" s="198"/>
      <c r="G317" s="198"/>
      <c r="H317" s="198"/>
      <c r="I317" s="198"/>
      <c r="J317" s="198"/>
      <c r="K317" s="198"/>
      <c r="L317" s="198"/>
      <c r="M317" s="198"/>
      <c r="N317" s="198"/>
      <c r="O317" s="198"/>
      <c r="P317" s="198"/>
      <c r="Q317" s="198"/>
      <c r="R317" s="198"/>
      <c r="S317" s="198"/>
      <c r="T317" s="198"/>
      <c r="U317" s="198"/>
      <c r="V317" s="198"/>
      <c r="W317" s="198"/>
      <c r="X317" s="198"/>
      <c r="Y317" s="198"/>
      <c r="Z317" s="198"/>
    </row>
    <row r="318" spans="1:26" ht="15.75" hidden="1" customHeight="1" x14ac:dyDescent="0.25">
      <c r="A318" s="213">
        <v>244</v>
      </c>
      <c r="B318" s="214" t="s">
        <v>8806</v>
      </c>
      <c r="C318" s="215" t="s">
        <v>2193</v>
      </c>
      <c r="D318" s="216">
        <v>12.15</v>
      </c>
      <c r="E318" s="198"/>
      <c r="F318" s="198"/>
      <c r="G318" s="198"/>
      <c r="H318" s="198"/>
      <c r="I318" s="198"/>
      <c r="J318" s="198"/>
      <c r="K318" s="198"/>
      <c r="L318" s="198"/>
      <c r="M318" s="198"/>
      <c r="N318" s="198"/>
      <c r="O318" s="198"/>
      <c r="P318" s="198"/>
      <c r="Q318" s="198"/>
      <c r="R318" s="198"/>
      <c r="S318" s="198"/>
      <c r="T318" s="198"/>
      <c r="U318" s="198"/>
      <c r="V318" s="198"/>
      <c r="W318" s="198"/>
      <c r="X318" s="198"/>
      <c r="Y318" s="198"/>
      <c r="Z318" s="198"/>
    </row>
    <row r="319" spans="1:26" ht="15.75" hidden="1" customHeight="1" x14ac:dyDescent="0.25">
      <c r="A319" s="213">
        <v>41093</v>
      </c>
      <c r="B319" s="214" t="s">
        <v>8807</v>
      </c>
      <c r="C319" s="215" t="s">
        <v>6214</v>
      </c>
      <c r="D319" s="216">
        <v>2136.5300000000002</v>
      </c>
      <c r="E319" s="198"/>
      <c r="F319" s="198"/>
      <c r="G319" s="198"/>
      <c r="H319" s="198"/>
      <c r="I319" s="198"/>
      <c r="J319" s="198"/>
      <c r="K319" s="198"/>
      <c r="L319" s="198"/>
      <c r="M319" s="198"/>
      <c r="N319" s="198"/>
      <c r="O319" s="198"/>
      <c r="P319" s="198"/>
      <c r="Q319" s="198"/>
      <c r="R319" s="198"/>
      <c r="S319" s="198"/>
      <c r="T319" s="198"/>
      <c r="U319" s="198"/>
      <c r="V319" s="198"/>
      <c r="W319" s="198"/>
      <c r="X319" s="198"/>
      <c r="Y319" s="198"/>
      <c r="Z319" s="198"/>
    </row>
    <row r="320" spans="1:26" ht="15.75" hidden="1" customHeight="1" x14ac:dyDescent="0.25">
      <c r="A320" s="213">
        <v>532</v>
      </c>
      <c r="B320" s="214" t="s">
        <v>8808</v>
      </c>
      <c r="C320" s="215" t="s">
        <v>2193</v>
      </c>
      <c r="D320" s="216">
        <v>44.89</v>
      </c>
      <c r="E320" s="198"/>
      <c r="F320" s="198"/>
      <c r="G320" s="198"/>
      <c r="H320" s="198"/>
      <c r="I320" s="198"/>
      <c r="J320" s="198"/>
      <c r="K320" s="198"/>
      <c r="L320" s="198"/>
      <c r="M320" s="198"/>
      <c r="N320" s="198"/>
      <c r="O320" s="198"/>
      <c r="P320" s="198"/>
      <c r="Q320" s="198"/>
      <c r="R320" s="198"/>
      <c r="S320" s="198"/>
      <c r="T320" s="198"/>
      <c r="U320" s="198"/>
      <c r="V320" s="198"/>
      <c r="W320" s="198"/>
      <c r="X320" s="198"/>
      <c r="Y320" s="198"/>
      <c r="Z320" s="198"/>
    </row>
    <row r="321" spans="1:26" ht="15.75" hidden="1" customHeight="1" x14ac:dyDescent="0.25">
      <c r="A321" s="213">
        <v>40931</v>
      </c>
      <c r="B321" s="214" t="s">
        <v>8809</v>
      </c>
      <c r="C321" s="215" t="s">
        <v>6214</v>
      </c>
      <c r="D321" s="216">
        <v>7877.38</v>
      </c>
      <c r="E321" s="198"/>
      <c r="F321" s="198"/>
      <c r="G321" s="198"/>
      <c r="H321" s="198"/>
      <c r="I321" s="198"/>
      <c r="J321" s="198"/>
      <c r="K321" s="198"/>
      <c r="L321" s="198"/>
      <c r="M321" s="198"/>
      <c r="N321" s="198"/>
      <c r="O321" s="198"/>
      <c r="P321" s="198"/>
      <c r="Q321" s="198"/>
      <c r="R321" s="198"/>
      <c r="S321" s="198"/>
      <c r="T321" s="198"/>
      <c r="U321" s="198"/>
      <c r="V321" s="198"/>
      <c r="W321" s="198"/>
      <c r="X321" s="198"/>
      <c r="Y321" s="198"/>
      <c r="Z321" s="198"/>
    </row>
    <row r="322" spans="1:26" ht="15.75" hidden="1" customHeight="1" x14ac:dyDescent="0.25">
      <c r="A322" s="213">
        <v>36150</v>
      </c>
      <c r="B322" s="214" t="s">
        <v>8810</v>
      </c>
      <c r="C322" s="215" t="s">
        <v>580</v>
      </c>
      <c r="D322" s="216">
        <v>47.22</v>
      </c>
      <c r="E322" s="198"/>
      <c r="F322" s="198"/>
      <c r="G322" s="198"/>
      <c r="H322" s="198"/>
      <c r="I322" s="198"/>
      <c r="J322" s="198"/>
      <c r="K322" s="198"/>
      <c r="L322" s="198"/>
      <c r="M322" s="198"/>
      <c r="N322" s="198"/>
      <c r="O322" s="198"/>
      <c r="P322" s="198"/>
      <c r="Q322" s="198"/>
      <c r="R322" s="198"/>
      <c r="S322" s="198"/>
      <c r="T322" s="198"/>
      <c r="U322" s="198"/>
      <c r="V322" s="198"/>
      <c r="W322" s="198"/>
      <c r="X322" s="198"/>
      <c r="Y322" s="198"/>
      <c r="Z322" s="198"/>
    </row>
    <row r="323" spans="1:26" ht="15.75" hidden="1" customHeight="1" x14ac:dyDescent="0.25">
      <c r="A323" s="213">
        <v>4760</v>
      </c>
      <c r="B323" s="214" t="s">
        <v>8811</v>
      </c>
      <c r="C323" s="215" t="s">
        <v>2193</v>
      </c>
      <c r="D323" s="216">
        <v>27.06</v>
      </c>
      <c r="E323" s="198"/>
      <c r="F323" s="198"/>
      <c r="G323" s="198"/>
      <c r="H323" s="198"/>
      <c r="I323" s="198"/>
      <c r="J323" s="198"/>
      <c r="K323" s="198"/>
      <c r="L323" s="198"/>
      <c r="M323" s="198"/>
      <c r="N323" s="198"/>
      <c r="O323" s="198"/>
      <c r="P323" s="198"/>
      <c r="Q323" s="198"/>
      <c r="R323" s="198"/>
      <c r="S323" s="198"/>
      <c r="T323" s="198"/>
      <c r="U323" s="198"/>
      <c r="V323" s="198"/>
      <c r="W323" s="198"/>
      <c r="X323" s="198"/>
      <c r="Y323" s="198"/>
      <c r="Z323" s="198"/>
    </row>
    <row r="324" spans="1:26" ht="15.75" hidden="1" customHeight="1" x14ac:dyDescent="0.25">
      <c r="A324" s="213">
        <v>41069</v>
      </c>
      <c r="B324" s="214" t="s">
        <v>8812</v>
      </c>
      <c r="C324" s="215" t="s">
        <v>6214</v>
      </c>
      <c r="D324" s="216">
        <v>4747.54</v>
      </c>
      <c r="E324" s="198"/>
      <c r="F324" s="198"/>
      <c r="G324" s="198"/>
      <c r="H324" s="198"/>
      <c r="I324" s="198"/>
      <c r="J324" s="198"/>
      <c r="K324" s="198"/>
      <c r="L324" s="198"/>
      <c r="M324" s="198"/>
      <c r="N324" s="198"/>
      <c r="O324" s="198"/>
      <c r="P324" s="198"/>
      <c r="Q324" s="198"/>
      <c r="R324" s="198"/>
      <c r="S324" s="198"/>
      <c r="T324" s="198"/>
      <c r="U324" s="198"/>
      <c r="V324" s="198"/>
      <c r="W324" s="198"/>
      <c r="X324" s="198"/>
      <c r="Y324" s="198"/>
      <c r="Z324" s="198"/>
    </row>
    <row r="325" spans="1:26" ht="15.75" hidden="1" customHeight="1" x14ac:dyDescent="0.25">
      <c r="A325" s="213">
        <v>10422</v>
      </c>
      <c r="B325" s="214" t="s">
        <v>8813</v>
      </c>
      <c r="C325" s="215" t="s">
        <v>580</v>
      </c>
      <c r="D325" s="216">
        <v>457.77</v>
      </c>
      <c r="E325" s="198"/>
      <c r="F325" s="198"/>
      <c r="G325" s="198"/>
      <c r="H325" s="198"/>
      <c r="I325" s="198"/>
      <c r="J325" s="198"/>
      <c r="K325" s="198"/>
      <c r="L325" s="198"/>
      <c r="M325" s="198"/>
      <c r="N325" s="198"/>
      <c r="O325" s="198"/>
      <c r="P325" s="198"/>
      <c r="Q325" s="198"/>
      <c r="R325" s="198"/>
      <c r="S325" s="198"/>
      <c r="T325" s="198"/>
      <c r="U325" s="198"/>
      <c r="V325" s="198"/>
      <c r="W325" s="198"/>
      <c r="X325" s="198"/>
      <c r="Y325" s="198"/>
      <c r="Z325" s="198"/>
    </row>
    <row r="326" spans="1:26" ht="15.75" hidden="1" customHeight="1" x14ac:dyDescent="0.25">
      <c r="A326" s="213">
        <v>44019</v>
      </c>
      <c r="B326" s="214" t="s">
        <v>8814</v>
      </c>
      <c r="C326" s="215" t="s">
        <v>580</v>
      </c>
      <c r="D326" s="216">
        <v>633.66</v>
      </c>
      <c r="E326" s="198"/>
      <c r="F326" s="198"/>
      <c r="G326" s="198"/>
      <c r="H326" s="198"/>
      <c r="I326" s="198"/>
      <c r="J326" s="198"/>
      <c r="K326" s="198"/>
      <c r="L326" s="198"/>
      <c r="M326" s="198"/>
      <c r="N326" s="198"/>
      <c r="O326" s="198"/>
      <c r="P326" s="198"/>
      <c r="Q326" s="198"/>
      <c r="R326" s="198"/>
      <c r="S326" s="198"/>
      <c r="T326" s="198"/>
      <c r="U326" s="198"/>
      <c r="V326" s="198"/>
      <c r="W326" s="198"/>
      <c r="X326" s="198"/>
      <c r="Y326" s="198"/>
      <c r="Z326" s="198"/>
    </row>
    <row r="327" spans="1:26" ht="15.75" hidden="1" customHeight="1" x14ac:dyDescent="0.25">
      <c r="A327" s="213">
        <v>36520</v>
      </c>
      <c r="B327" s="214" t="s">
        <v>8815</v>
      </c>
      <c r="C327" s="215" t="s">
        <v>580</v>
      </c>
      <c r="D327" s="216">
        <v>770.46</v>
      </c>
      <c r="E327" s="198"/>
      <c r="F327" s="198"/>
      <c r="G327" s="198"/>
      <c r="H327" s="198"/>
      <c r="I327" s="198"/>
      <c r="J327" s="198"/>
      <c r="K327" s="198"/>
      <c r="L327" s="198"/>
      <c r="M327" s="198"/>
      <c r="N327" s="198"/>
      <c r="O327" s="198"/>
      <c r="P327" s="198"/>
      <c r="Q327" s="198"/>
      <c r="R327" s="198"/>
      <c r="S327" s="198"/>
      <c r="T327" s="198"/>
      <c r="U327" s="198"/>
      <c r="V327" s="198"/>
      <c r="W327" s="198"/>
      <c r="X327" s="198"/>
      <c r="Y327" s="198"/>
      <c r="Z327" s="198"/>
    </row>
    <row r="328" spans="1:26" ht="15.75" hidden="1" customHeight="1" x14ac:dyDescent="0.25">
      <c r="A328" s="213">
        <v>42319</v>
      </c>
      <c r="B328" s="214" t="s">
        <v>8816</v>
      </c>
      <c r="C328" s="215" t="s">
        <v>580</v>
      </c>
      <c r="D328" s="216">
        <v>690.38</v>
      </c>
      <c r="E328" s="198"/>
      <c r="F328" s="198"/>
      <c r="G328" s="198"/>
      <c r="H328" s="198"/>
      <c r="I328" s="198"/>
      <c r="J328" s="198"/>
      <c r="K328" s="198"/>
      <c r="L328" s="198"/>
      <c r="M328" s="198"/>
      <c r="N328" s="198"/>
      <c r="O328" s="198"/>
      <c r="P328" s="198"/>
      <c r="Q328" s="198"/>
      <c r="R328" s="198"/>
      <c r="S328" s="198"/>
      <c r="T328" s="198"/>
      <c r="U328" s="198"/>
      <c r="V328" s="198"/>
      <c r="W328" s="198"/>
      <c r="X328" s="198"/>
      <c r="Y328" s="198"/>
      <c r="Z328" s="198"/>
    </row>
    <row r="329" spans="1:26" ht="15.75" hidden="1" customHeight="1" x14ac:dyDescent="0.25">
      <c r="A329" s="213">
        <v>10420</v>
      </c>
      <c r="B329" s="214" t="s">
        <v>8817</v>
      </c>
      <c r="C329" s="215" t="s">
        <v>580</v>
      </c>
      <c r="D329" s="216">
        <v>244.9</v>
      </c>
      <c r="E329" s="198"/>
      <c r="F329" s="198"/>
      <c r="G329" s="198"/>
      <c r="H329" s="198"/>
      <c r="I329" s="198"/>
      <c r="J329" s="198"/>
      <c r="K329" s="198"/>
      <c r="L329" s="198"/>
      <c r="M329" s="198"/>
      <c r="N329" s="198"/>
      <c r="O329" s="198"/>
      <c r="P329" s="198"/>
      <c r="Q329" s="198"/>
      <c r="R329" s="198"/>
      <c r="S329" s="198"/>
      <c r="T329" s="198"/>
      <c r="U329" s="198"/>
      <c r="V329" s="198"/>
      <c r="W329" s="198"/>
      <c r="X329" s="198"/>
      <c r="Y329" s="198"/>
      <c r="Z329" s="198"/>
    </row>
    <row r="330" spans="1:26" ht="15.75" hidden="1" customHeight="1" x14ac:dyDescent="0.25">
      <c r="A330" s="213">
        <v>10421</v>
      </c>
      <c r="B330" s="214" t="s">
        <v>8818</v>
      </c>
      <c r="C330" s="215" t="s">
        <v>580</v>
      </c>
      <c r="D330" s="216">
        <v>269.11</v>
      </c>
      <c r="E330" s="198"/>
      <c r="F330" s="198"/>
      <c r="G330" s="198"/>
      <c r="H330" s="198"/>
      <c r="I330" s="198"/>
      <c r="J330" s="198"/>
      <c r="K330" s="198"/>
      <c r="L330" s="198"/>
      <c r="M330" s="198"/>
      <c r="N330" s="198"/>
      <c r="O330" s="198"/>
      <c r="P330" s="198"/>
      <c r="Q330" s="198"/>
      <c r="R330" s="198"/>
      <c r="S330" s="198"/>
      <c r="T330" s="198"/>
      <c r="U330" s="198"/>
      <c r="V330" s="198"/>
      <c r="W330" s="198"/>
      <c r="X330" s="198"/>
      <c r="Y330" s="198"/>
      <c r="Z330" s="198"/>
    </row>
    <row r="331" spans="1:26" ht="15.75" hidden="1" customHeight="1" x14ac:dyDescent="0.25">
      <c r="A331" s="213">
        <v>11786</v>
      </c>
      <c r="B331" s="214" t="s">
        <v>8819</v>
      </c>
      <c r="C331" s="215" t="s">
        <v>580</v>
      </c>
      <c r="D331" s="216">
        <v>542.64</v>
      </c>
      <c r="E331" s="198"/>
      <c r="F331" s="198"/>
      <c r="G331" s="198"/>
      <c r="H331" s="198"/>
      <c r="I331" s="198"/>
      <c r="J331" s="198"/>
      <c r="K331" s="198"/>
      <c r="L331" s="198"/>
      <c r="M331" s="198"/>
      <c r="N331" s="198"/>
      <c r="O331" s="198"/>
      <c r="P331" s="198"/>
      <c r="Q331" s="198"/>
      <c r="R331" s="198"/>
      <c r="S331" s="198"/>
      <c r="T331" s="198"/>
      <c r="U331" s="198"/>
      <c r="V331" s="198"/>
      <c r="W331" s="198"/>
      <c r="X331" s="198"/>
      <c r="Y331" s="198"/>
      <c r="Z331" s="198"/>
    </row>
    <row r="332" spans="1:26" ht="15.75" hidden="1" customHeight="1" x14ac:dyDescent="0.25">
      <c r="A332" s="213">
        <v>4815</v>
      </c>
      <c r="B332" s="214" t="s">
        <v>8820</v>
      </c>
      <c r="C332" s="215" t="s">
        <v>580</v>
      </c>
      <c r="D332" s="216">
        <v>6.67</v>
      </c>
      <c r="E332" s="198"/>
      <c r="F332" s="198"/>
      <c r="G332" s="198"/>
      <c r="H332" s="198"/>
      <c r="I332" s="198"/>
      <c r="J332" s="198"/>
      <c r="K332" s="198"/>
      <c r="L332" s="198"/>
      <c r="M332" s="198"/>
      <c r="N332" s="198"/>
      <c r="O332" s="198"/>
      <c r="P332" s="198"/>
      <c r="Q332" s="198"/>
      <c r="R332" s="198"/>
      <c r="S332" s="198"/>
      <c r="T332" s="198"/>
      <c r="U332" s="198"/>
      <c r="V332" s="198"/>
      <c r="W332" s="198"/>
      <c r="X332" s="198"/>
      <c r="Y332" s="198"/>
      <c r="Z332" s="198"/>
    </row>
    <row r="333" spans="1:26" ht="15.75" hidden="1" customHeight="1" x14ac:dyDescent="0.25">
      <c r="A333" s="213">
        <v>541</v>
      </c>
      <c r="B333" s="214" t="s">
        <v>8821</v>
      </c>
      <c r="C333" s="215" t="s">
        <v>580</v>
      </c>
      <c r="D333" s="216">
        <v>239</v>
      </c>
      <c r="E333" s="198"/>
      <c r="F333" s="198"/>
      <c r="G333" s="198"/>
      <c r="H333" s="198"/>
      <c r="I333" s="198"/>
      <c r="J333" s="198"/>
      <c r="K333" s="198"/>
      <c r="L333" s="198"/>
      <c r="M333" s="198"/>
      <c r="N333" s="198"/>
      <c r="O333" s="198"/>
      <c r="P333" s="198"/>
      <c r="Q333" s="198"/>
      <c r="R333" s="198"/>
      <c r="S333" s="198"/>
      <c r="T333" s="198"/>
      <c r="U333" s="198"/>
      <c r="V333" s="198"/>
      <c r="W333" s="198"/>
      <c r="X333" s="198"/>
      <c r="Y333" s="198"/>
      <c r="Z333" s="198"/>
    </row>
    <row r="334" spans="1:26" ht="15.75" hidden="1" customHeight="1" x14ac:dyDescent="0.25">
      <c r="A334" s="213">
        <v>542</v>
      </c>
      <c r="B334" s="214" t="s">
        <v>8822</v>
      </c>
      <c r="C334" s="215" t="s">
        <v>580</v>
      </c>
      <c r="D334" s="216">
        <v>299.58999999999997</v>
      </c>
      <c r="E334" s="198"/>
      <c r="F334" s="198"/>
      <c r="G334" s="198"/>
      <c r="H334" s="198"/>
      <c r="I334" s="198"/>
      <c r="J334" s="198"/>
      <c r="K334" s="198"/>
      <c r="L334" s="198"/>
      <c r="M334" s="198"/>
      <c r="N334" s="198"/>
      <c r="O334" s="198"/>
      <c r="P334" s="198"/>
      <c r="Q334" s="198"/>
      <c r="R334" s="198"/>
      <c r="S334" s="198"/>
      <c r="T334" s="198"/>
      <c r="U334" s="198"/>
      <c r="V334" s="198"/>
      <c r="W334" s="198"/>
      <c r="X334" s="198"/>
      <c r="Y334" s="198"/>
      <c r="Z334" s="198"/>
    </row>
    <row r="335" spans="1:26" ht="15.75" hidden="1" customHeight="1" x14ac:dyDescent="0.25">
      <c r="A335" s="213">
        <v>540</v>
      </c>
      <c r="B335" s="214" t="s">
        <v>8823</v>
      </c>
      <c r="C335" s="215" t="s">
        <v>580</v>
      </c>
      <c r="D335" s="216">
        <v>675.12</v>
      </c>
      <c r="E335" s="198"/>
      <c r="F335" s="198"/>
      <c r="G335" s="198"/>
      <c r="H335" s="198"/>
      <c r="I335" s="198"/>
      <c r="J335" s="198"/>
      <c r="K335" s="198"/>
      <c r="L335" s="198"/>
      <c r="M335" s="198"/>
      <c r="N335" s="198"/>
      <c r="O335" s="198"/>
      <c r="P335" s="198"/>
      <c r="Q335" s="198"/>
      <c r="R335" s="198"/>
      <c r="S335" s="198"/>
      <c r="T335" s="198"/>
      <c r="U335" s="198"/>
      <c r="V335" s="198"/>
      <c r="W335" s="198"/>
      <c r="X335" s="198"/>
      <c r="Y335" s="198"/>
      <c r="Z335" s="198"/>
    </row>
    <row r="336" spans="1:26" ht="15.75" hidden="1" customHeight="1" x14ac:dyDescent="0.25">
      <c r="A336" s="213">
        <v>38364</v>
      </c>
      <c r="B336" s="214" t="s">
        <v>8824</v>
      </c>
      <c r="C336" s="215" t="s">
        <v>580</v>
      </c>
      <c r="D336" s="216">
        <v>943.39</v>
      </c>
      <c r="E336" s="198"/>
      <c r="F336" s="198"/>
      <c r="G336" s="198"/>
      <c r="H336" s="198"/>
      <c r="I336" s="198"/>
      <c r="J336" s="198"/>
      <c r="K336" s="198"/>
      <c r="L336" s="198"/>
      <c r="M336" s="198"/>
      <c r="N336" s="198"/>
      <c r="O336" s="198"/>
      <c r="P336" s="198"/>
      <c r="Q336" s="198"/>
      <c r="R336" s="198"/>
      <c r="S336" s="198"/>
      <c r="T336" s="198"/>
      <c r="U336" s="198"/>
      <c r="V336" s="198"/>
      <c r="W336" s="198"/>
      <c r="X336" s="198"/>
      <c r="Y336" s="198"/>
      <c r="Z336" s="198"/>
    </row>
    <row r="337" spans="1:26" ht="15.75" hidden="1" customHeight="1" x14ac:dyDescent="0.25">
      <c r="A337" s="213">
        <v>11692</v>
      </c>
      <c r="B337" s="214" t="s">
        <v>8825</v>
      </c>
      <c r="C337" s="215" t="s">
        <v>578</v>
      </c>
      <c r="D337" s="216">
        <v>517.22</v>
      </c>
      <c r="E337" s="198"/>
      <c r="F337" s="198"/>
      <c r="G337" s="198"/>
      <c r="H337" s="198"/>
      <c r="I337" s="198"/>
      <c r="J337" s="198"/>
      <c r="K337" s="198"/>
      <c r="L337" s="198"/>
      <c r="M337" s="198"/>
      <c r="N337" s="198"/>
      <c r="O337" s="198"/>
      <c r="P337" s="198"/>
      <c r="Q337" s="198"/>
      <c r="R337" s="198"/>
      <c r="S337" s="198"/>
      <c r="T337" s="198"/>
      <c r="U337" s="198"/>
      <c r="V337" s="198"/>
      <c r="W337" s="198"/>
      <c r="X337" s="198"/>
      <c r="Y337" s="198"/>
      <c r="Z337" s="198"/>
    </row>
    <row r="338" spans="1:26" ht="15.75" hidden="1" customHeight="1" x14ac:dyDescent="0.25">
      <c r="A338" s="213">
        <v>1746</v>
      </c>
      <c r="B338" s="214" t="s">
        <v>8826</v>
      </c>
      <c r="C338" s="215" t="s">
        <v>580</v>
      </c>
      <c r="D338" s="216">
        <v>290.58</v>
      </c>
      <c r="E338" s="198"/>
      <c r="F338" s="198"/>
      <c r="G338" s="198"/>
      <c r="H338" s="198"/>
      <c r="I338" s="198"/>
      <c r="J338" s="198"/>
      <c r="K338" s="198"/>
      <c r="L338" s="198"/>
      <c r="M338" s="198"/>
      <c r="N338" s="198"/>
      <c r="O338" s="198"/>
      <c r="P338" s="198"/>
      <c r="Q338" s="198"/>
      <c r="R338" s="198"/>
      <c r="S338" s="198"/>
      <c r="T338" s="198"/>
      <c r="U338" s="198"/>
      <c r="V338" s="198"/>
      <c r="W338" s="198"/>
      <c r="X338" s="198"/>
      <c r="Y338" s="198"/>
      <c r="Z338" s="198"/>
    </row>
    <row r="339" spans="1:26" ht="15.75" hidden="1" customHeight="1" x14ac:dyDescent="0.25">
      <c r="A339" s="213">
        <v>1748</v>
      </c>
      <c r="B339" s="214" t="s">
        <v>8827</v>
      </c>
      <c r="C339" s="215" t="s">
        <v>580</v>
      </c>
      <c r="D339" s="216">
        <v>386.4</v>
      </c>
      <c r="E339" s="198"/>
      <c r="F339" s="198"/>
      <c r="G339" s="198"/>
      <c r="H339" s="198"/>
      <c r="I339" s="198"/>
      <c r="J339" s="198"/>
      <c r="K339" s="198"/>
      <c r="L339" s="198"/>
      <c r="M339" s="198"/>
      <c r="N339" s="198"/>
      <c r="O339" s="198"/>
      <c r="P339" s="198"/>
      <c r="Q339" s="198"/>
      <c r="R339" s="198"/>
      <c r="S339" s="198"/>
      <c r="T339" s="198"/>
      <c r="U339" s="198"/>
      <c r="V339" s="198"/>
      <c r="W339" s="198"/>
      <c r="X339" s="198"/>
      <c r="Y339" s="198"/>
      <c r="Z339" s="198"/>
    </row>
    <row r="340" spans="1:26" ht="15.75" hidden="1" customHeight="1" x14ac:dyDescent="0.25">
      <c r="A340" s="213">
        <v>1749</v>
      </c>
      <c r="B340" s="214" t="s">
        <v>8828</v>
      </c>
      <c r="C340" s="215" t="s">
        <v>580</v>
      </c>
      <c r="D340" s="216">
        <v>559.83000000000004</v>
      </c>
      <c r="E340" s="198"/>
      <c r="F340" s="198"/>
      <c r="G340" s="198"/>
      <c r="H340" s="198"/>
      <c r="I340" s="198"/>
      <c r="J340" s="198"/>
      <c r="K340" s="198"/>
      <c r="L340" s="198"/>
      <c r="M340" s="198"/>
      <c r="N340" s="198"/>
      <c r="O340" s="198"/>
      <c r="P340" s="198"/>
      <c r="Q340" s="198"/>
      <c r="R340" s="198"/>
      <c r="S340" s="198"/>
      <c r="T340" s="198"/>
      <c r="U340" s="198"/>
      <c r="V340" s="198"/>
      <c r="W340" s="198"/>
      <c r="X340" s="198"/>
      <c r="Y340" s="198"/>
      <c r="Z340" s="198"/>
    </row>
    <row r="341" spans="1:26" ht="15.75" hidden="1" customHeight="1" x14ac:dyDescent="0.25">
      <c r="A341" s="213">
        <v>37412</v>
      </c>
      <c r="B341" s="214" t="s">
        <v>8829</v>
      </c>
      <c r="C341" s="215" t="s">
        <v>580</v>
      </c>
      <c r="D341" s="216">
        <v>284.04000000000002</v>
      </c>
      <c r="E341" s="198"/>
      <c r="F341" s="198"/>
      <c r="G341" s="198"/>
      <c r="H341" s="198"/>
      <c r="I341" s="198"/>
      <c r="J341" s="198"/>
      <c r="K341" s="198"/>
      <c r="L341" s="198"/>
      <c r="M341" s="198"/>
      <c r="N341" s="198"/>
      <c r="O341" s="198"/>
      <c r="P341" s="198"/>
      <c r="Q341" s="198"/>
      <c r="R341" s="198"/>
      <c r="S341" s="198"/>
      <c r="T341" s="198"/>
      <c r="U341" s="198"/>
      <c r="V341" s="198"/>
      <c r="W341" s="198"/>
      <c r="X341" s="198"/>
      <c r="Y341" s="198"/>
      <c r="Z341" s="198"/>
    </row>
    <row r="342" spans="1:26" ht="15.75" hidden="1" customHeight="1" x14ac:dyDescent="0.25">
      <c r="A342" s="213">
        <v>1745</v>
      </c>
      <c r="B342" s="214" t="s">
        <v>8830</v>
      </c>
      <c r="C342" s="215" t="s">
        <v>580</v>
      </c>
      <c r="D342" s="216">
        <v>337.76</v>
      </c>
      <c r="E342" s="198"/>
      <c r="F342" s="198"/>
      <c r="G342" s="198"/>
      <c r="H342" s="198"/>
      <c r="I342" s="198"/>
      <c r="J342" s="198"/>
      <c r="K342" s="198"/>
      <c r="L342" s="198"/>
      <c r="M342" s="198"/>
      <c r="N342" s="198"/>
      <c r="O342" s="198"/>
      <c r="P342" s="198"/>
      <c r="Q342" s="198"/>
      <c r="R342" s="198"/>
      <c r="S342" s="198"/>
      <c r="T342" s="198"/>
      <c r="U342" s="198"/>
      <c r="V342" s="198"/>
      <c r="W342" s="198"/>
      <c r="X342" s="198"/>
      <c r="Y342" s="198"/>
      <c r="Z342" s="198"/>
    </row>
    <row r="343" spans="1:26" ht="15.75" hidden="1" customHeight="1" x14ac:dyDescent="0.25">
      <c r="A343" s="213">
        <v>1750</v>
      </c>
      <c r="B343" s="214" t="s">
        <v>8831</v>
      </c>
      <c r="C343" s="215" t="s">
        <v>580</v>
      </c>
      <c r="D343" s="216">
        <v>789.3</v>
      </c>
      <c r="E343" s="198"/>
      <c r="F343" s="198"/>
      <c r="G343" s="198"/>
      <c r="H343" s="198"/>
      <c r="I343" s="198"/>
      <c r="J343" s="198"/>
      <c r="K343" s="198"/>
      <c r="L343" s="198"/>
      <c r="M343" s="198"/>
      <c r="N343" s="198"/>
      <c r="O343" s="198"/>
      <c r="P343" s="198"/>
      <c r="Q343" s="198"/>
      <c r="R343" s="198"/>
      <c r="S343" s="198"/>
      <c r="T343" s="198"/>
      <c r="U343" s="198"/>
      <c r="V343" s="198"/>
      <c r="W343" s="198"/>
      <c r="X343" s="198"/>
      <c r="Y343" s="198"/>
      <c r="Z343" s="198"/>
    </row>
    <row r="344" spans="1:26" ht="15.75" hidden="1" customHeight="1" x14ac:dyDescent="0.25">
      <c r="A344" s="213">
        <v>11687</v>
      </c>
      <c r="B344" s="214" t="s">
        <v>8832</v>
      </c>
      <c r="C344" s="215" t="s">
        <v>585</v>
      </c>
      <c r="D344" s="216">
        <v>1257.5999999999999</v>
      </c>
      <c r="E344" s="198"/>
      <c r="F344" s="198"/>
      <c r="G344" s="198"/>
      <c r="H344" s="198"/>
      <c r="I344" s="198"/>
      <c r="J344" s="198"/>
      <c r="K344" s="198"/>
      <c r="L344" s="198"/>
      <c r="M344" s="198"/>
      <c r="N344" s="198"/>
      <c r="O344" s="198"/>
      <c r="P344" s="198"/>
      <c r="Q344" s="198"/>
      <c r="R344" s="198"/>
      <c r="S344" s="198"/>
      <c r="T344" s="198"/>
      <c r="U344" s="198"/>
      <c r="V344" s="198"/>
      <c r="W344" s="198"/>
      <c r="X344" s="198"/>
      <c r="Y344" s="198"/>
      <c r="Z344" s="198"/>
    </row>
    <row r="345" spans="1:26" ht="15.75" hidden="1" customHeight="1" x14ac:dyDescent="0.25">
      <c r="A345" s="213">
        <v>11689</v>
      </c>
      <c r="B345" s="214" t="s">
        <v>8833</v>
      </c>
      <c r="C345" s="215" t="s">
        <v>585</v>
      </c>
      <c r="D345" s="216">
        <v>1575.7</v>
      </c>
      <c r="E345" s="198"/>
      <c r="F345" s="198"/>
      <c r="G345" s="198"/>
      <c r="H345" s="198"/>
      <c r="I345" s="198"/>
      <c r="J345" s="198"/>
      <c r="K345" s="198"/>
      <c r="L345" s="198"/>
      <c r="M345" s="198"/>
      <c r="N345" s="198"/>
      <c r="O345" s="198"/>
      <c r="P345" s="198"/>
      <c r="Q345" s="198"/>
      <c r="R345" s="198"/>
      <c r="S345" s="198"/>
      <c r="T345" s="198"/>
      <c r="U345" s="198"/>
      <c r="V345" s="198"/>
      <c r="W345" s="198"/>
      <c r="X345" s="198"/>
      <c r="Y345" s="198"/>
      <c r="Z345" s="198"/>
    </row>
    <row r="346" spans="1:26" ht="15.75" hidden="1" customHeight="1" x14ac:dyDescent="0.25">
      <c r="A346" s="213">
        <v>11693</v>
      </c>
      <c r="B346" s="214" t="s">
        <v>8834</v>
      </c>
      <c r="C346" s="215" t="s">
        <v>578</v>
      </c>
      <c r="D346" s="216">
        <v>265</v>
      </c>
      <c r="E346" s="198"/>
      <c r="F346" s="198"/>
      <c r="G346" s="198"/>
      <c r="H346" s="198"/>
      <c r="I346" s="198"/>
      <c r="J346" s="198"/>
      <c r="K346" s="198"/>
      <c r="L346" s="198"/>
      <c r="M346" s="198"/>
      <c r="N346" s="198"/>
      <c r="O346" s="198"/>
      <c r="P346" s="198"/>
      <c r="Q346" s="198"/>
      <c r="R346" s="198"/>
      <c r="S346" s="198"/>
      <c r="T346" s="198"/>
      <c r="U346" s="198"/>
      <c r="V346" s="198"/>
      <c r="W346" s="198"/>
      <c r="X346" s="198"/>
      <c r="Y346" s="198"/>
      <c r="Z346" s="198"/>
    </row>
    <row r="347" spans="1:26" ht="15.75" hidden="1" customHeight="1" x14ac:dyDescent="0.25">
      <c r="A347" s="213">
        <v>36215</v>
      </c>
      <c r="B347" s="214" t="s">
        <v>8835</v>
      </c>
      <c r="C347" s="215" t="s">
        <v>580</v>
      </c>
      <c r="D347" s="216">
        <v>525.15</v>
      </c>
      <c r="E347" s="198"/>
      <c r="F347" s="198"/>
      <c r="G347" s="198"/>
      <c r="H347" s="198"/>
      <c r="I347" s="198"/>
      <c r="J347" s="198"/>
      <c r="K347" s="198"/>
      <c r="L347" s="198"/>
      <c r="M347" s="198"/>
      <c r="N347" s="198"/>
      <c r="O347" s="198"/>
      <c r="P347" s="198"/>
      <c r="Q347" s="198"/>
      <c r="R347" s="198"/>
      <c r="S347" s="198"/>
      <c r="T347" s="198"/>
      <c r="U347" s="198"/>
      <c r="V347" s="198"/>
      <c r="W347" s="198"/>
      <c r="X347" s="198"/>
      <c r="Y347" s="198"/>
      <c r="Z347" s="198"/>
    </row>
    <row r="348" spans="1:26" ht="15.75" hidden="1" customHeight="1" x14ac:dyDescent="0.25">
      <c r="A348" s="213">
        <v>38381</v>
      </c>
      <c r="B348" s="214" t="s">
        <v>8836</v>
      </c>
      <c r="C348" s="215" t="s">
        <v>580</v>
      </c>
      <c r="D348" s="216">
        <v>9.1</v>
      </c>
      <c r="E348" s="198"/>
      <c r="F348" s="198"/>
      <c r="G348" s="198"/>
      <c r="H348" s="198"/>
      <c r="I348" s="198"/>
      <c r="J348" s="198"/>
      <c r="K348" s="198"/>
      <c r="L348" s="198"/>
      <c r="M348" s="198"/>
      <c r="N348" s="198"/>
      <c r="O348" s="198"/>
      <c r="P348" s="198"/>
      <c r="Q348" s="198"/>
      <c r="R348" s="198"/>
      <c r="S348" s="198"/>
      <c r="T348" s="198"/>
      <c r="U348" s="198"/>
      <c r="V348" s="198"/>
      <c r="W348" s="198"/>
      <c r="X348" s="198"/>
      <c r="Y348" s="198"/>
      <c r="Z348" s="198"/>
    </row>
    <row r="349" spans="1:26" ht="15.75" hidden="1" customHeight="1" x14ac:dyDescent="0.25">
      <c r="A349" s="213">
        <v>39621</v>
      </c>
      <c r="B349" s="214" t="s">
        <v>8837</v>
      </c>
      <c r="C349" s="215" t="s">
        <v>8838</v>
      </c>
      <c r="D349" s="216">
        <v>1185.43</v>
      </c>
      <c r="E349" s="198"/>
      <c r="F349" s="198"/>
      <c r="G349" s="198"/>
      <c r="H349" s="198"/>
      <c r="I349" s="198"/>
      <c r="J349" s="198"/>
      <c r="K349" s="198"/>
      <c r="L349" s="198"/>
      <c r="M349" s="198"/>
      <c r="N349" s="198"/>
      <c r="O349" s="198"/>
      <c r="P349" s="198"/>
      <c r="Q349" s="198"/>
      <c r="R349" s="198"/>
      <c r="S349" s="198"/>
      <c r="T349" s="198"/>
      <c r="U349" s="198"/>
      <c r="V349" s="198"/>
      <c r="W349" s="198"/>
      <c r="X349" s="198"/>
      <c r="Y349" s="198"/>
      <c r="Z349" s="198"/>
    </row>
    <row r="350" spans="1:26" ht="15.75" hidden="1" customHeight="1" x14ac:dyDescent="0.25">
      <c r="A350" s="213">
        <v>39624</v>
      </c>
      <c r="B350" s="214" t="s">
        <v>8839</v>
      </c>
      <c r="C350" s="215" t="s">
        <v>8838</v>
      </c>
      <c r="D350" s="216">
        <v>1307.6600000000001</v>
      </c>
      <c r="E350" s="198"/>
      <c r="F350" s="198"/>
      <c r="G350" s="198"/>
      <c r="H350" s="198"/>
      <c r="I350" s="198"/>
      <c r="J350" s="198"/>
      <c r="K350" s="198"/>
      <c r="L350" s="198"/>
      <c r="M350" s="198"/>
      <c r="N350" s="198"/>
      <c r="O350" s="198"/>
      <c r="P350" s="198"/>
      <c r="Q350" s="198"/>
      <c r="R350" s="198"/>
      <c r="S350" s="198"/>
      <c r="T350" s="198"/>
      <c r="U350" s="198"/>
      <c r="V350" s="198"/>
      <c r="W350" s="198"/>
      <c r="X350" s="198"/>
      <c r="Y350" s="198"/>
      <c r="Z350" s="198"/>
    </row>
    <row r="351" spans="1:26" ht="15.75" hidden="1" customHeight="1" x14ac:dyDescent="0.25">
      <c r="A351" s="213">
        <v>39615</v>
      </c>
      <c r="B351" s="214" t="s">
        <v>8840</v>
      </c>
      <c r="C351" s="215" t="s">
        <v>580</v>
      </c>
      <c r="D351" s="216">
        <v>528.41999999999996</v>
      </c>
      <c r="E351" s="198"/>
      <c r="F351" s="198"/>
      <c r="G351" s="198"/>
      <c r="H351" s="198"/>
      <c r="I351" s="198"/>
      <c r="J351" s="198"/>
      <c r="K351" s="198"/>
      <c r="L351" s="198"/>
      <c r="M351" s="198"/>
      <c r="N351" s="198"/>
      <c r="O351" s="198"/>
      <c r="P351" s="198"/>
      <c r="Q351" s="198"/>
      <c r="R351" s="198"/>
      <c r="S351" s="198"/>
      <c r="T351" s="198"/>
      <c r="U351" s="198"/>
      <c r="V351" s="198"/>
      <c r="W351" s="198"/>
      <c r="X351" s="198"/>
      <c r="Y351" s="198"/>
      <c r="Z351" s="198"/>
    </row>
    <row r="352" spans="1:26" ht="15.75" hidden="1" customHeight="1" x14ac:dyDescent="0.25">
      <c r="A352" s="213">
        <v>39620</v>
      </c>
      <c r="B352" s="214" t="s">
        <v>8841</v>
      </c>
      <c r="C352" s="215" t="s">
        <v>580</v>
      </c>
      <c r="D352" s="216">
        <v>807.03</v>
      </c>
      <c r="E352" s="198"/>
      <c r="F352" s="198"/>
      <c r="G352" s="198"/>
      <c r="H352" s="198"/>
      <c r="I352" s="198"/>
      <c r="J352" s="198"/>
      <c r="K352" s="198"/>
      <c r="L352" s="198"/>
      <c r="M352" s="198"/>
      <c r="N352" s="198"/>
      <c r="O352" s="198"/>
      <c r="P352" s="198"/>
      <c r="Q352" s="198"/>
      <c r="R352" s="198"/>
      <c r="S352" s="198"/>
      <c r="T352" s="198"/>
      <c r="U352" s="198"/>
      <c r="V352" s="198"/>
      <c r="W352" s="198"/>
      <c r="X352" s="198"/>
      <c r="Y352" s="198"/>
      <c r="Z352" s="198"/>
    </row>
    <row r="353" spans="1:26" ht="15.75" hidden="1" customHeight="1" x14ac:dyDescent="0.25">
      <c r="A353" s="213">
        <v>39623</v>
      </c>
      <c r="B353" s="214" t="s">
        <v>8842</v>
      </c>
      <c r="C353" s="215" t="s">
        <v>580</v>
      </c>
      <c r="D353" s="216">
        <v>864.4</v>
      </c>
      <c r="E353" s="198"/>
      <c r="F353" s="198"/>
      <c r="G353" s="198"/>
      <c r="H353" s="198"/>
      <c r="I353" s="198"/>
      <c r="J353" s="198"/>
      <c r="K353" s="198"/>
      <c r="L353" s="198"/>
      <c r="M353" s="198"/>
      <c r="N353" s="198"/>
      <c r="O353" s="198"/>
      <c r="P353" s="198"/>
      <c r="Q353" s="198"/>
      <c r="R353" s="198"/>
      <c r="S353" s="198"/>
      <c r="T353" s="198"/>
      <c r="U353" s="198"/>
      <c r="V353" s="198"/>
      <c r="W353" s="198"/>
      <c r="X353" s="198"/>
      <c r="Y353" s="198"/>
      <c r="Z353" s="198"/>
    </row>
    <row r="354" spans="1:26" ht="15.75" hidden="1" customHeight="1" x14ac:dyDescent="0.25">
      <c r="A354" s="213">
        <v>546</v>
      </c>
      <c r="B354" s="214" t="s">
        <v>8843</v>
      </c>
      <c r="C354" s="215" t="s">
        <v>823</v>
      </c>
      <c r="D354" s="216">
        <v>9.73</v>
      </c>
      <c r="E354" s="198"/>
      <c r="F354" s="198"/>
      <c r="G354" s="198"/>
      <c r="H354" s="198"/>
      <c r="I354" s="198"/>
      <c r="J354" s="198"/>
      <c r="K354" s="198"/>
      <c r="L354" s="198"/>
      <c r="M354" s="198"/>
      <c r="N354" s="198"/>
      <c r="O354" s="198"/>
      <c r="P354" s="198"/>
      <c r="Q354" s="198"/>
      <c r="R354" s="198"/>
      <c r="S354" s="198"/>
      <c r="T354" s="198"/>
      <c r="U354" s="198"/>
      <c r="V354" s="198"/>
      <c r="W354" s="198"/>
      <c r="X354" s="198"/>
      <c r="Y354" s="198"/>
      <c r="Z354" s="198"/>
    </row>
    <row r="355" spans="1:26" ht="15.75" hidden="1" customHeight="1" x14ac:dyDescent="0.25">
      <c r="A355" s="213">
        <v>566</v>
      </c>
      <c r="B355" s="214" t="s">
        <v>8844</v>
      </c>
      <c r="C355" s="215" t="s">
        <v>585</v>
      </c>
      <c r="D355" s="216">
        <v>4.6100000000000003</v>
      </c>
      <c r="E355" s="198"/>
      <c r="F355" s="198"/>
      <c r="G355" s="198"/>
      <c r="H355" s="198"/>
      <c r="I355" s="198"/>
      <c r="J355" s="198"/>
      <c r="K355" s="198"/>
      <c r="L355" s="198"/>
      <c r="M355" s="198"/>
      <c r="N355" s="198"/>
      <c r="O355" s="198"/>
      <c r="P355" s="198"/>
      <c r="Q355" s="198"/>
      <c r="R355" s="198"/>
      <c r="S355" s="198"/>
      <c r="T355" s="198"/>
      <c r="U355" s="198"/>
      <c r="V355" s="198"/>
      <c r="W355" s="198"/>
      <c r="X355" s="198"/>
      <c r="Y355" s="198"/>
      <c r="Z355" s="198"/>
    </row>
    <row r="356" spans="1:26" ht="15.75" hidden="1" customHeight="1" x14ac:dyDescent="0.25">
      <c r="A356" s="213">
        <v>565</v>
      </c>
      <c r="B356" s="214" t="s">
        <v>8845</v>
      </c>
      <c r="C356" s="215" t="s">
        <v>585</v>
      </c>
      <c r="D356" s="216">
        <v>16.829999999999998</v>
      </c>
      <c r="E356" s="198"/>
      <c r="F356" s="198"/>
      <c r="G356" s="198"/>
      <c r="H356" s="198"/>
      <c r="I356" s="198"/>
      <c r="J356" s="198"/>
      <c r="K356" s="198"/>
      <c r="L356" s="198"/>
      <c r="M356" s="198"/>
      <c r="N356" s="198"/>
      <c r="O356" s="198"/>
      <c r="P356" s="198"/>
      <c r="Q356" s="198"/>
      <c r="R356" s="198"/>
      <c r="S356" s="198"/>
      <c r="T356" s="198"/>
      <c r="U356" s="198"/>
      <c r="V356" s="198"/>
      <c r="W356" s="198"/>
      <c r="X356" s="198"/>
      <c r="Y356" s="198"/>
      <c r="Z356" s="198"/>
    </row>
    <row r="357" spans="1:26" ht="15.75" hidden="1" customHeight="1" x14ac:dyDescent="0.25">
      <c r="A357" s="213">
        <v>555</v>
      </c>
      <c r="B357" s="214" t="s">
        <v>8846</v>
      </c>
      <c r="C357" s="215" t="s">
        <v>585</v>
      </c>
      <c r="D357" s="216">
        <v>11.93</v>
      </c>
      <c r="E357" s="198"/>
      <c r="F357" s="198"/>
      <c r="G357" s="198"/>
      <c r="H357" s="198"/>
      <c r="I357" s="198"/>
      <c r="J357" s="198"/>
      <c r="K357" s="198"/>
      <c r="L357" s="198"/>
      <c r="M357" s="198"/>
      <c r="N357" s="198"/>
      <c r="O357" s="198"/>
      <c r="P357" s="198"/>
      <c r="Q357" s="198"/>
      <c r="R357" s="198"/>
      <c r="S357" s="198"/>
      <c r="T357" s="198"/>
      <c r="U357" s="198"/>
      <c r="V357" s="198"/>
      <c r="W357" s="198"/>
      <c r="X357" s="198"/>
      <c r="Y357" s="198"/>
      <c r="Z357" s="198"/>
    </row>
    <row r="358" spans="1:26" ht="15.75" hidden="1" customHeight="1" x14ac:dyDescent="0.25">
      <c r="A358" s="213">
        <v>557</v>
      </c>
      <c r="B358" s="214" t="s">
        <v>8847</v>
      </c>
      <c r="C358" s="215" t="s">
        <v>585</v>
      </c>
      <c r="D358" s="216">
        <v>37.44</v>
      </c>
      <c r="E358" s="198"/>
      <c r="F358" s="198"/>
      <c r="G358" s="198"/>
      <c r="H358" s="198"/>
      <c r="I358" s="198"/>
      <c r="J358" s="198"/>
      <c r="K358" s="198"/>
      <c r="L358" s="198"/>
      <c r="M358" s="198"/>
      <c r="N358" s="198"/>
      <c r="O358" s="198"/>
      <c r="P358" s="198"/>
      <c r="Q358" s="198"/>
      <c r="R358" s="198"/>
      <c r="S358" s="198"/>
      <c r="T358" s="198"/>
      <c r="U358" s="198"/>
      <c r="V358" s="198"/>
      <c r="W358" s="198"/>
      <c r="X358" s="198"/>
      <c r="Y358" s="198"/>
      <c r="Z358" s="198"/>
    </row>
    <row r="359" spans="1:26" ht="15.75" hidden="1" customHeight="1" x14ac:dyDescent="0.25">
      <c r="A359" s="213">
        <v>552</v>
      </c>
      <c r="B359" s="214" t="s">
        <v>8848</v>
      </c>
      <c r="C359" s="215" t="s">
        <v>585</v>
      </c>
      <c r="D359" s="216">
        <v>18.57</v>
      </c>
      <c r="E359" s="198"/>
      <c r="F359" s="198"/>
      <c r="G359" s="198"/>
      <c r="H359" s="198"/>
      <c r="I359" s="198"/>
      <c r="J359" s="198"/>
      <c r="K359" s="198"/>
      <c r="L359" s="198"/>
      <c r="M359" s="198"/>
      <c r="N359" s="198"/>
      <c r="O359" s="198"/>
      <c r="P359" s="198"/>
      <c r="Q359" s="198"/>
      <c r="R359" s="198"/>
      <c r="S359" s="198"/>
      <c r="T359" s="198"/>
      <c r="U359" s="198"/>
      <c r="V359" s="198"/>
      <c r="W359" s="198"/>
      <c r="X359" s="198"/>
      <c r="Y359" s="198"/>
      <c r="Z359" s="198"/>
    </row>
    <row r="360" spans="1:26" ht="15.75" hidden="1" customHeight="1" x14ac:dyDescent="0.25">
      <c r="A360" s="213">
        <v>563</v>
      </c>
      <c r="B360" s="214" t="s">
        <v>8849</v>
      </c>
      <c r="C360" s="215" t="s">
        <v>585</v>
      </c>
      <c r="D360" s="216">
        <v>27.91</v>
      </c>
      <c r="E360" s="198"/>
      <c r="F360" s="198"/>
      <c r="G360" s="198"/>
      <c r="H360" s="198"/>
      <c r="I360" s="198"/>
      <c r="J360" s="198"/>
      <c r="K360" s="198"/>
      <c r="L360" s="198"/>
      <c r="M360" s="198"/>
      <c r="N360" s="198"/>
      <c r="O360" s="198"/>
      <c r="P360" s="198"/>
      <c r="Q360" s="198"/>
      <c r="R360" s="198"/>
      <c r="S360" s="198"/>
      <c r="T360" s="198"/>
      <c r="U360" s="198"/>
      <c r="V360" s="198"/>
      <c r="W360" s="198"/>
      <c r="X360" s="198"/>
      <c r="Y360" s="198"/>
      <c r="Z360" s="198"/>
    </row>
    <row r="361" spans="1:26" ht="15.75" hidden="1" customHeight="1" x14ac:dyDescent="0.25">
      <c r="A361" s="213">
        <v>549</v>
      </c>
      <c r="B361" s="214" t="s">
        <v>8850</v>
      </c>
      <c r="C361" s="215" t="s">
        <v>585</v>
      </c>
      <c r="D361" s="216">
        <v>50.23</v>
      </c>
      <c r="E361" s="198"/>
      <c r="F361" s="198"/>
      <c r="G361" s="198"/>
      <c r="H361" s="198"/>
      <c r="I361" s="198"/>
      <c r="J361" s="198"/>
      <c r="K361" s="198"/>
      <c r="L361" s="198"/>
      <c r="M361" s="198"/>
      <c r="N361" s="198"/>
      <c r="O361" s="198"/>
      <c r="P361" s="198"/>
      <c r="Q361" s="198"/>
      <c r="R361" s="198"/>
      <c r="S361" s="198"/>
      <c r="T361" s="198"/>
      <c r="U361" s="198"/>
      <c r="V361" s="198"/>
      <c r="W361" s="198"/>
      <c r="X361" s="198"/>
      <c r="Y361" s="198"/>
      <c r="Z361" s="198"/>
    </row>
    <row r="362" spans="1:26" ht="15.75" hidden="1" customHeight="1" x14ac:dyDescent="0.25">
      <c r="A362" s="213">
        <v>551</v>
      </c>
      <c r="B362" s="214" t="s">
        <v>8851</v>
      </c>
      <c r="C362" s="215" t="s">
        <v>585</v>
      </c>
      <c r="D362" s="216">
        <v>99.47</v>
      </c>
      <c r="E362" s="198"/>
      <c r="F362" s="198"/>
      <c r="G362" s="198"/>
      <c r="H362" s="198"/>
      <c r="I362" s="198"/>
      <c r="J362" s="198"/>
      <c r="K362" s="198"/>
      <c r="L362" s="198"/>
      <c r="M362" s="198"/>
      <c r="N362" s="198"/>
      <c r="O362" s="198"/>
      <c r="P362" s="198"/>
      <c r="Q362" s="198"/>
      <c r="R362" s="198"/>
      <c r="S362" s="198"/>
      <c r="T362" s="198"/>
      <c r="U362" s="198"/>
      <c r="V362" s="198"/>
      <c r="W362" s="198"/>
      <c r="X362" s="198"/>
      <c r="Y362" s="198"/>
      <c r="Z362" s="198"/>
    </row>
    <row r="363" spans="1:26" ht="15.75" hidden="1" customHeight="1" x14ac:dyDescent="0.25">
      <c r="A363" s="213">
        <v>559</v>
      </c>
      <c r="B363" s="214" t="s">
        <v>8852</v>
      </c>
      <c r="C363" s="215" t="s">
        <v>585</v>
      </c>
      <c r="D363" s="216">
        <v>24.86</v>
      </c>
      <c r="E363" s="198"/>
      <c r="F363" s="198"/>
      <c r="G363" s="198"/>
      <c r="H363" s="198"/>
      <c r="I363" s="198"/>
      <c r="J363" s="198"/>
      <c r="K363" s="198"/>
      <c r="L363" s="198"/>
      <c r="M363" s="198"/>
      <c r="N363" s="198"/>
      <c r="O363" s="198"/>
      <c r="P363" s="198"/>
      <c r="Q363" s="198"/>
      <c r="R363" s="198"/>
      <c r="S363" s="198"/>
      <c r="T363" s="198"/>
      <c r="U363" s="198"/>
      <c r="V363" s="198"/>
      <c r="W363" s="198"/>
      <c r="X363" s="198"/>
      <c r="Y363" s="198"/>
      <c r="Z363" s="198"/>
    </row>
    <row r="364" spans="1:26" ht="15.75" hidden="1" customHeight="1" x14ac:dyDescent="0.25">
      <c r="A364" s="213">
        <v>560</v>
      </c>
      <c r="B364" s="214" t="s">
        <v>8853</v>
      </c>
      <c r="C364" s="215" t="s">
        <v>585</v>
      </c>
      <c r="D364" s="216">
        <v>31.11</v>
      </c>
      <c r="E364" s="198"/>
      <c r="F364" s="198"/>
      <c r="G364" s="198"/>
      <c r="H364" s="198"/>
      <c r="I364" s="198"/>
      <c r="J364" s="198"/>
      <c r="K364" s="198"/>
      <c r="L364" s="198"/>
      <c r="M364" s="198"/>
      <c r="N364" s="198"/>
      <c r="O364" s="198"/>
      <c r="P364" s="198"/>
      <c r="Q364" s="198"/>
      <c r="R364" s="198"/>
      <c r="S364" s="198"/>
      <c r="T364" s="198"/>
      <c r="U364" s="198"/>
      <c r="V364" s="198"/>
      <c r="W364" s="198"/>
      <c r="X364" s="198"/>
      <c r="Y364" s="198"/>
      <c r="Z364" s="198"/>
    </row>
    <row r="365" spans="1:26" ht="15.75" hidden="1" customHeight="1" x14ac:dyDescent="0.25">
      <c r="A365" s="213">
        <v>547</v>
      </c>
      <c r="B365" s="214" t="s">
        <v>8854</v>
      </c>
      <c r="C365" s="215" t="s">
        <v>585</v>
      </c>
      <c r="D365" s="216">
        <v>37.25</v>
      </c>
      <c r="E365" s="198"/>
      <c r="F365" s="198"/>
      <c r="G365" s="198"/>
      <c r="H365" s="198"/>
      <c r="I365" s="198"/>
      <c r="J365" s="198"/>
      <c r="K365" s="198"/>
      <c r="L365" s="198"/>
      <c r="M365" s="198"/>
      <c r="N365" s="198"/>
      <c r="O365" s="198"/>
      <c r="P365" s="198"/>
      <c r="Q365" s="198"/>
      <c r="R365" s="198"/>
      <c r="S365" s="198"/>
      <c r="T365" s="198"/>
      <c r="U365" s="198"/>
      <c r="V365" s="198"/>
      <c r="W365" s="198"/>
      <c r="X365" s="198"/>
      <c r="Y365" s="198"/>
      <c r="Z365" s="198"/>
    </row>
    <row r="366" spans="1:26" ht="15.75" hidden="1" customHeight="1" x14ac:dyDescent="0.25">
      <c r="A366" s="213">
        <v>36207</v>
      </c>
      <c r="B366" s="214" t="s">
        <v>8855</v>
      </c>
      <c r="C366" s="215" t="s">
        <v>580</v>
      </c>
      <c r="D366" s="216">
        <v>232.6</v>
      </c>
      <c r="E366" s="198"/>
      <c r="F366" s="198"/>
      <c r="G366" s="198"/>
      <c r="H366" s="198"/>
      <c r="I366" s="198"/>
      <c r="J366" s="198"/>
      <c r="K366" s="198"/>
      <c r="L366" s="198"/>
      <c r="M366" s="198"/>
      <c r="N366" s="198"/>
      <c r="O366" s="198"/>
      <c r="P366" s="198"/>
      <c r="Q366" s="198"/>
      <c r="R366" s="198"/>
      <c r="S366" s="198"/>
      <c r="T366" s="198"/>
      <c r="U366" s="198"/>
      <c r="V366" s="198"/>
      <c r="W366" s="198"/>
      <c r="X366" s="198"/>
      <c r="Y366" s="198"/>
      <c r="Z366" s="198"/>
    </row>
    <row r="367" spans="1:26" ht="15.75" hidden="1" customHeight="1" x14ac:dyDescent="0.25">
      <c r="A367" s="213">
        <v>36209</v>
      </c>
      <c r="B367" s="214" t="s">
        <v>8856</v>
      </c>
      <c r="C367" s="215" t="s">
        <v>580</v>
      </c>
      <c r="D367" s="216">
        <v>266.95</v>
      </c>
      <c r="E367" s="198"/>
      <c r="F367" s="198"/>
      <c r="G367" s="198"/>
      <c r="H367" s="198"/>
      <c r="I367" s="198"/>
      <c r="J367" s="198"/>
      <c r="K367" s="198"/>
      <c r="L367" s="198"/>
      <c r="M367" s="198"/>
      <c r="N367" s="198"/>
      <c r="O367" s="198"/>
      <c r="P367" s="198"/>
      <c r="Q367" s="198"/>
      <c r="R367" s="198"/>
      <c r="S367" s="198"/>
      <c r="T367" s="198"/>
      <c r="U367" s="198"/>
      <c r="V367" s="198"/>
      <c r="W367" s="198"/>
      <c r="X367" s="198"/>
      <c r="Y367" s="198"/>
      <c r="Z367" s="198"/>
    </row>
    <row r="368" spans="1:26" ht="15.75" hidden="1" customHeight="1" x14ac:dyDescent="0.25">
      <c r="A368" s="213">
        <v>36210</v>
      </c>
      <c r="B368" s="214" t="s">
        <v>8857</v>
      </c>
      <c r="C368" s="215" t="s">
        <v>580</v>
      </c>
      <c r="D368" s="216">
        <v>288.83</v>
      </c>
      <c r="E368" s="198"/>
      <c r="F368" s="198"/>
      <c r="G368" s="198"/>
      <c r="H368" s="198"/>
      <c r="I368" s="198"/>
      <c r="J368" s="198"/>
      <c r="K368" s="198"/>
      <c r="L368" s="198"/>
      <c r="M368" s="198"/>
      <c r="N368" s="198"/>
      <c r="O368" s="198"/>
      <c r="P368" s="198"/>
      <c r="Q368" s="198"/>
      <c r="R368" s="198"/>
      <c r="S368" s="198"/>
      <c r="T368" s="198"/>
      <c r="U368" s="198"/>
      <c r="V368" s="198"/>
      <c r="W368" s="198"/>
      <c r="X368" s="198"/>
      <c r="Y368" s="198"/>
      <c r="Z368" s="198"/>
    </row>
    <row r="369" spans="1:26" ht="15.75" hidden="1" customHeight="1" x14ac:dyDescent="0.25">
      <c r="A369" s="213">
        <v>36204</v>
      </c>
      <c r="B369" s="214" t="s">
        <v>8858</v>
      </c>
      <c r="C369" s="215" t="s">
        <v>580</v>
      </c>
      <c r="D369" s="216">
        <v>102.41</v>
      </c>
      <c r="E369" s="198"/>
      <c r="F369" s="198"/>
      <c r="G369" s="198"/>
      <c r="H369" s="198"/>
      <c r="I369" s="198"/>
      <c r="J369" s="198"/>
      <c r="K369" s="198"/>
      <c r="L369" s="198"/>
      <c r="M369" s="198"/>
      <c r="N369" s="198"/>
      <c r="O369" s="198"/>
      <c r="P369" s="198"/>
      <c r="Q369" s="198"/>
      <c r="R369" s="198"/>
      <c r="S369" s="198"/>
      <c r="T369" s="198"/>
      <c r="U369" s="198"/>
      <c r="V369" s="198"/>
      <c r="W369" s="198"/>
      <c r="X369" s="198"/>
      <c r="Y369" s="198"/>
      <c r="Z369" s="198"/>
    </row>
    <row r="370" spans="1:26" ht="15.75" hidden="1" customHeight="1" x14ac:dyDescent="0.25">
      <c r="A370" s="213">
        <v>36205</v>
      </c>
      <c r="B370" s="214" t="s">
        <v>8859</v>
      </c>
      <c r="C370" s="215" t="s">
        <v>580</v>
      </c>
      <c r="D370" s="216">
        <v>113.73</v>
      </c>
      <c r="E370" s="198"/>
      <c r="F370" s="198"/>
      <c r="G370" s="198"/>
      <c r="H370" s="198"/>
      <c r="I370" s="198"/>
      <c r="J370" s="198"/>
      <c r="K370" s="198"/>
      <c r="L370" s="198"/>
      <c r="M370" s="198"/>
      <c r="N370" s="198"/>
      <c r="O370" s="198"/>
      <c r="P370" s="198"/>
      <c r="Q370" s="198"/>
      <c r="R370" s="198"/>
      <c r="S370" s="198"/>
      <c r="T370" s="198"/>
      <c r="U370" s="198"/>
      <c r="V370" s="198"/>
      <c r="W370" s="198"/>
      <c r="X370" s="198"/>
      <c r="Y370" s="198"/>
      <c r="Z370" s="198"/>
    </row>
    <row r="371" spans="1:26" ht="15.75" hidden="1" customHeight="1" x14ac:dyDescent="0.25">
      <c r="A371" s="213">
        <v>36081</v>
      </c>
      <c r="B371" s="214" t="s">
        <v>8860</v>
      </c>
      <c r="C371" s="215" t="s">
        <v>580</v>
      </c>
      <c r="D371" s="216">
        <v>121.27</v>
      </c>
      <c r="E371" s="198"/>
      <c r="F371" s="198"/>
      <c r="G371" s="198"/>
      <c r="H371" s="198"/>
      <c r="I371" s="198"/>
      <c r="J371" s="198"/>
      <c r="K371" s="198"/>
      <c r="L371" s="198"/>
      <c r="M371" s="198"/>
      <c r="N371" s="198"/>
      <c r="O371" s="198"/>
      <c r="P371" s="198"/>
      <c r="Q371" s="198"/>
      <c r="R371" s="198"/>
      <c r="S371" s="198"/>
      <c r="T371" s="198"/>
      <c r="U371" s="198"/>
      <c r="V371" s="198"/>
      <c r="W371" s="198"/>
      <c r="X371" s="198"/>
      <c r="Y371" s="198"/>
      <c r="Z371" s="198"/>
    </row>
    <row r="372" spans="1:26" ht="15.75" hidden="1" customHeight="1" x14ac:dyDescent="0.25">
      <c r="A372" s="213">
        <v>36206</v>
      </c>
      <c r="B372" s="214" t="s">
        <v>8861</v>
      </c>
      <c r="C372" s="215" t="s">
        <v>580</v>
      </c>
      <c r="D372" s="216">
        <v>127.05</v>
      </c>
      <c r="E372" s="198"/>
      <c r="F372" s="198"/>
      <c r="G372" s="198"/>
      <c r="H372" s="198"/>
      <c r="I372" s="198"/>
      <c r="J372" s="198"/>
      <c r="K372" s="198"/>
      <c r="L372" s="198"/>
      <c r="M372" s="198"/>
      <c r="N372" s="198"/>
      <c r="O372" s="198"/>
      <c r="P372" s="198"/>
      <c r="Q372" s="198"/>
      <c r="R372" s="198"/>
      <c r="S372" s="198"/>
      <c r="T372" s="198"/>
      <c r="U372" s="198"/>
      <c r="V372" s="198"/>
      <c r="W372" s="198"/>
      <c r="X372" s="198"/>
      <c r="Y372" s="198"/>
      <c r="Z372" s="198"/>
    </row>
    <row r="373" spans="1:26" ht="15.75" hidden="1" customHeight="1" x14ac:dyDescent="0.25">
      <c r="A373" s="213">
        <v>36218</v>
      </c>
      <c r="B373" s="214" t="s">
        <v>8862</v>
      </c>
      <c r="C373" s="215" t="s">
        <v>580</v>
      </c>
      <c r="D373" s="216">
        <v>136.26</v>
      </c>
      <c r="E373" s="198"/>
      <c r="F373" s="198"/>
      <c r="G373" s="198"/>
      <c r="H373" s="198"/>
      <c r="I373" s="198"/>
      <c r="J373" s="198"/>
      <c r="K373" s="198"/>
      <c r="L373" s="198"/>
      <c r="M373" s="198"/>
      <c r="N373" s="198"/>
      <c r="O373" s="198"/>
      <c r="P373" s="198"/>
      <c r="Q373" s="198"/>
      <c r="R373" s="198"/>
      <c r="S373" s="198"/>
      <c r="T373" s="198"/>
      <c r="U373" s="198"/>
      <c r="V373" s="198"/>
      <c r="W373" s="198"/>
      <c r="X373" s="198"/>
      <c r="Y373" s="198"/>
      <c r="Z373" s="198"/>
    </row>
    <row r="374" spans="1:26" ht="15.75" hidden="1" customHeight="1" x14ac:dyDescent="0.25">
      <c r="A374" s="213">
        <v>36220</v>
      </c>
      <c r="B374" s="214" t="s">
        <v>8863</v>
      </c>
      <c r="C374" s="215" t="s">
        <v>580</v>
      </c>
      <c r="D374" s="216">
        <v>156.24</v>
      </c>
      <c r="E374" s="198"/>
      <c r="F374" s="198"/>
      <c r="G374" s="198"/>
      <c r="H374" s="198"/>
      <c r="I374" s="198"/>
      <c r="J374" s="198"/>
      <c r="K374" s="198"/>
      <c r="L374" s="198"/>
      <c r="M374" s="198"/>
      <c r="N374" s="198"/>
      <c r="O374" s="198"/>
      <c r="P374" s="198"/>
      <c r="Q374" s="198"/>
      <c r="R374" s="198"/>
      <c r="S374" s="198"/>
      <c r="T374" s="198"/>
      <c r="U374" s="198"/>
      <c r="V374" s="198"/>
      <c r="W374" s="198"/>
      <c r="X374" s="198"/>
      <c r="Y374" s="198"/>
      <c r="Z374" s="198"/>
    </row>
    <row r="375" spans="1:26" ht="15.75" hidden="1" customHeight="1" x14ac:dyDescent="0.25">
      <c r="A375" s="213">
        <v>36080</v>
      </c>
      <c r="B375" s="214" t="s">
        <v>8864</v>
      </c>
      <c r="C375" s="215" t="s">
        <v>580</v>
      </c>
      <c r="D375" s="216">
        <v>169</v>
      </c>
      <c r="E375" s="198"/>
      <c r="F375" s="198"/>
      <c r="G375" s="198"/>
      <c r="H375" s="198"/>
      <c r="I375" s="198"/>
      <c r="J375" s="198"/>
      <c r="K375" s="198"/>
      <c r="L375" s="198"/>
      <c r="M375" s="198"/>
      <c r="N375" s="198"/>
      <c r="O375" s="198"/>
      <c r="P375" s="198"/>
      <c r="Q375" s="198"/>
      <c r="R375" s="198"/>
      <c r="S375" s="198"/>
      <c r="T375" s="198"/>
      <c r="U375" s="198"/>
      <c r="V375" s="198"/>
      <c r="W375" s="198"/>
      <c r="X375" s="198"/>
      <c r="Y375" s="198"/>
      <c r="Z375" s="198"/>
    </row>
    <row r="376" spans="1:26" ht="15.75" hidden="1" customHeight="1" x14ac:dyDescent="0.25">
      <c r="A376" s="213">
        <v>36223</v>
      </c>
      <c r="B376" s="214" t="s">
        <v>8865</v>
      </c>
      <c r="C376" s="215" t="s">
        <v>580</v>
      </c>
      <c r="D376" s="216">
        <v>176.97</v>
      </c>
      <c r="E376" s="198"/>
      <c r="F376" s="198"/>
      <c r="G376" s="198"/>
      <c r="H376" s="198"/>
      <c r="I376" s="198"/>
      <c r="J376" s="198"/>
      <c r="K376" s="198"/>
      <c r="L376" s="198"/>
      <c r="M376" s="198"/>
      <c r="N376" s="198"/>
      <c r="O376" s="198"/>
      <c r="P376" s="198"/>
      <c r="Q376" s="198"/>
      <c r="R376" s="198"/>
      <c r="S376" s="198"/>
      <c r="T376" s="198"/>
      <c r="U376" s="198"/>
      <c r="V376" s="198"/>
      <c r="W376" s="198"/>
      <c r="X376" s="198"/>
      <c r="Y376" s="198"/>
      <c r="Z376" s="198"/>
    </row>
    <row r="377" spans="1:26" ht="15.75" hidden="1" customHeight="1" x14ac:dyDescent="0.25">
      <c r="A377" s="213">
        <v>38127</v>
      </c>
      <c r="B377" s="214" t="s">
        <v>8866</v>
      </c>
      <c r="C377" s="215" t="s">
        <v>580</v>
      </c>
      <c r="D377" s="216">
        <v>406.69</v>
      </c>
      <c r="E377" s="198"/>
      <c r="F377" s="198"/>
      <c r="G377" s="198"/>
      <c r="H377" s="198"/>
      <c r="I377" s="198"/>
      <c r="J377" s="198"/>
      <c r="K377" s="198"/>
      <c r="L377" s="198"/>
      <c r="M377" s="198"/>
      <c r="N377" s="198"/>
      <c r="O377" s="198"/>
      <c r="P377" s="198"/>
      <c r="Q377" s="198"/>
      <c r="R377" s="198"/>
      <c r="S377" s="198"/>
      <c r="T377" s="198"/>
      <c r="U377" s="198"/>
      <c r="V377" s="198"/>
      <c r="W377" s="198"/>
      <c r="X377" s="198"/>
      <c r="Y377" s="198"/>
      <c r="Z377" s="198"/>
    </row>
    <row r="378" spans="1:26" ht="15.75" hidden="1" customHeight="1" x14ac:dyDescent="0.25">
      <c r="A378" s="213">
        <v>44172</v>
      </c>
      <c r="B378" s="214" t="s">
        <v>8867</v>
      </c>
      <c r="C378" s="215" t="s">
        <v>580</v>
      </c>
      <c r="D378" s="216">
        <v>7</v>
      </c>
      <c r="E378" s="198"/>
      <c r="F378" s="198"/>
      <c r="G378" s="198"/>
      <c r="H378" s="198"/>
      <c r="I378" s="198"/>
      <c r="J378" s="198"/>
      <c r="K378" s="198"/>
      <c r="L378" s="198"/>
      <c r="M378" s="198"/>
      <c r="N378" s="198"/>
      <c r="O378" s="198"/>
      <c r="P378" s="198"/>
      <c r="Q378" s="198"/>
      <c r="R378" s="198"/>
      <c r="S378" s="198"/>
      <c r="T378" s="198"/>
      <c r="U378" s="198"/>
      <c r="V378" s="198"/>
      <c r="W378" s="198"/>
      <c r="X378" s="198"/>
      <c r="Y378" s="198"/>
      <c r="Z378" s="198"/>
    </row>
    <row r="379" spans="1:26" ht="15.75" hidden="1" customHeight="1" x14ac:dyDescent="0.25">
      <c r="A379" s="213">
        <v>183</v>
      </c>
      <c r="B379" s="214" t="s">
        <v>8868</v>
      </c>
      <c r="C379" s="215" t="s">
        <v>8869</v>
      </c>
      <c r="D379" s="216">
        <v>279.89999999999998</v>
      </c>
      <c r="E379" s="198"/>
      <c r="F379" s="198"/>
      <c r="G379" s="198"/>
      <c r="H379" s="198"/>
      <c r="I379" s="198"/>
      <c r="J379" s="198"/>
      <c r="K379" s="198"/>
      <c r="L379" s="198"/>
      <c r="M379" s="198"/>
      <c r="N379" s="198"/>
      <c r="O379" s="198"/>
      <c r="P379" s="198"/>
      <c r="Q379" s="198"/>
      <c r="R379" s="198"/>
      <c r="S379" s="198"/>
      <c r="T379" s="198"/>
      <c r="U379" s="198"/>
      <c r="V379" s="198"/>
      <c r="W379" s="198"/>
      <c r="X379" s="198"/>
      <c r="Y379" s="198"/>
      <c r="Z379" s="198"/>
    </row>
    <row r="380" spans="1:26" ht="15.75" hidden="1" customHeight="1" x14ac:dyDescent="0.25">
      <c r="A380" s="213">
        <v>184</v>
      </c>
      <c r="B380" s="214" t="s">
        <v>8870</v>
      </c>
      <c r="C380" s="215" t="s">
        <v>8869</v>
      </c>
      <c r="D380" s="216">
        <v>173.35</v>
      </c>
      <c r="E380" s="198"/>
      <c r="F380" s="198"/>
      <c r="G380" s="198"/>
      <c r="H380" s="198"/>
      <c r="I380" s="198"/>
      <c r="J380" s="198"/>
      <c r="K380" s="198"/>
      <c r="L380" s="198"/>
      <c r="M380" s="198"/>
      <c r="N380" s="198"/>
      <c r="O380" s="198"/>
      <c r="P380" s="198"/>
      <c r="Q380" s="198"/>
      <c r="R380" s="198"/>
      <c r="S380" s="198"/>
      <c r="T380" s="198"/>
      <c r="U380" s="198"/>
      <c r="V380" s="198"/>
      <c r="W380" s="198"/>
      <c r="X380" s="198"/>
      <c r="Y380" s="198"/>
      <c r="Z380" s="198"/>
    </row>
    <row r="381" spans="1:26" ht="15.75" hidden="1" customHeight="1" x14ac:dyDescent="0.25">
      <c r="A381" s="213">
        <v>181</v>
      </c>
      <c r="B381" s="214" t="s">
        <v>8871</v>
      </c>
      <c r="C381" s="215" t="s">
        <v>8869</v>
      </c>
      <c r="D381" s="216">
        <v>373.8</v>
      </c>
      <c r="E381" s="198"/>
      <c r="F381" s="198"/>
      <c r="G381" s="198"/>
      <c r="H381" s="198"/>
      <c r="I381" s="198"/>
      <c r="J381" s="198"/>
      <c r="K381" s="198"/>
      <c r="L381" s="198"/>
      <c r="M381" s="198"/>
      <c r="N381" s="198"/>
      <c r="O381" s="198"/>
      <c r="P381" s="198"/>
      <c r="Q381" s="198"/>
      <c r="R381" s="198"/>
      <c r="S381" s="198"/>
      <c r="T381" s="198"/>
      <c r="U381" s="198"/>
      <c r="V381" s="198"/>
      <c r="W381" s="198"/>
      <c r="X381" s="198"/>
      <c r="Y381" s="198"/>
      <c r="Z381" s="198"/>
    </row>
    <row r="382" spans="1:26" ht="15.75" hidden="1" customHeight="1" x14ac:dyDescent="0.25">
      <c r="A382" s="213">
        <v>20001</v>
      </c>
      <c r="B382" s="214" t="s">
        <v>8872</v>
      </c>
      <c r="C382" s="215" t="s">
        <v>8869</v>
      </c>
      <c r="D382" s="216">
        <v>216.69</v>
      </c>
      <c r="E382" s="198"/>
      <c r="F382" s="198"/>
      <c r="G382" s="198"/>
      <c r="H382" s="198"/>
      <c r="I382" s="198"/>
      <c r="J382" s="198"/>
      <c r="K382" s="198"/>
      <c r="L382" s="198"/>
      <c r="M382" s="198"/>
      <c r="N382" s="198"/>
      <c r="O382" s="198"/>
      <c r="P382" s="198"/>
      <c r="Q382" s="198"/>
      <c r="R382" s="198"/>
      <c r="S382" s="198"/>
      <c r="T382" s="198"/>
      <c r="U382" s="198"/>
      <c r="V382" s="198"/>
      <c r="W382" s="198"/>
      <c r="X382" s="198"/>
      <c r="Y382" s="198"/>
      <c r="Z382" s="198"/>
    </row>
    <row r="383" spans="1:26" ht="15.75" hidden="1" customHeight="1" x14ac:dyDescent="0.25">
      <c r="A383" s="213">
        <v>39837</v>
      </c>
      <c r="B383" s="214" t="s">
        <v>8873</v>
      </c>
      <c r="C383" s="215" t="s">
        <v>8869</v>
      </c>
      <c r="D383" s="216">
        <v>453.14</v>
      </c>
      <c r="E383" s="198"/>
      <c r="F383" s="198"/>
      <c r="G383" s="198"/>
      <c r="H383" s="198"/>
      <c r="I383" s="198"/>
      <c r="J383" s="198"/>
      <c r="K383" s="198"/>
      <c r="L383" s="198"/>
      <c r="M383" s="198"/>
      <c r="N383" s="198"/>
      <c r="O383" s="198"/>
      <c r="P383" s="198"/>
      <c r="Q383" s="198"/>
      <c r="R383" s="198"/>
      <c r="S383" s="198"/>
      <c r="T383" s="198"/>
      <c r="U383" s="198"/>
      <c r="V383" s="198"/>
      <c r="W383" s="198"/>
      <c r="X383" s="198"/>
      <c r="Y383" s="198"/>
      <c r="Z383" s="198"/>
    </row>
    <row r="384" spans="1:26" ht="15.75" hidden="1" customHeight="1" x14ac:dyDescent="0.25">
      <c r="A384" s="213">
        <v>10535</v>
      </c>
      <c r="B384" s="214" t="s">
        <v>8874</v>
      </c>
      <c r="C384" s="215" t="s">
        <v>580</v>
      </c>
      <c r="D384" s="216">
        <v>4799.99</v>
      </c>
      <c r="E384" s="198"/>
      <c r="F384" s="198"/>
      <c r="G384" s="198"/>
      <c r="H384" s="198"/>
      <c r="I384" s="198"/>
      <c r="J384" s="198"/>
      <c r="K384" s="198"/>
      <c r="L384" s="198"/>
      <c r="M384" s="198"/>
      <c r="N384" s="198"/>
      <c r="O384" s="198"/>
      <c r="P384" s="198"/>
      <c r="Q384" s="198"/>
      <c r="R384" s="198"/>
      <c r="S384" s="198"/>
      <c r="T384" s="198"/>
      <c r="U384" s="198"/>
      <c r="V384" s="198"/>
      <c r="W384" s="198"/>
      <c r="X384" s="198"/>
      <c r="Y384" s="198"/>
      <c r="Z384" s="198"/>
    </row>
    <row r="385" spans="1:26" ht="15.75" hidden="1" customHeight="1" x14ac:dyDescent="0.25">
      <c r="A385" s="213">
        <v>10537</v>
      </c>
      <c r="B385" s="214" t="s">
        <v>8875</v>
      </c>
      <c r="C385" s="215" t="s">
        <v>580</v>
      </c>
      <c r="D385" s="216">
        <v>6545.88</v>
      </c>
      <c r="E385" s="198"/>
      <c r="F385" s="198"/>
      <c r="G385" s="198"/>
      <c r="H385" s="198"/>
      <c r="I385" s="198"/>
      <c r="J385" s="198"/>
      <c r="K385" s="198"/>
      <c r="L385" s="198"/>
      <c r="M385" s="198"/>
      <c r="N385" s="198"/>
      <c r="O385" s="198"/>
      <c r="P385" s="198"/>
      <c r="Q385" s="198"/>
      <c r="R385" s="198"/>
      <c r="S385" s="198"/>
      <c r="T385" s="198"/>
      <c r="U385" s="198"/>
      <c r="V385" s="198"/>
      <c r="W385" s="198"/>
      <c r="X385" s="198"/>
      <c r="Y385" s="198"/>
      <c r="Z385" s="198"/>
    </row>
    <row r="386" spans="1:26" ht="15.75" hidden="1" customHeight="1" x14ac:dyDescent="0.25">
      <c r="A386" s="213">
        <v>13891</v>
      </c>
      <c r="B386" s="214" t="s">
        <v>8876</v>
      </c>
      <c r="C386" s="215" t="s">
        <v>580</v>
      </c>
      <c r="D386" s="216">
        <v>6004.05</v>
      </c>
      <c r="E386" s="198"/>
      <c r="F386" s="198"/>
      <c r="G386" s="198"/>
      <c r="H386" s="198"/>
      <c r="I386" s="198"/>
      <c r="J386" s="198"/>
      <c r="K386" s="198"/>
      <c r="L386" s="198"/>
      <c r="M386" s="198"/>
      <c r="N386" s="198"/>
      <c r="O386" s="198"/>
      <c r="P386" s="198"/>
      <c r="Q386" s="198"/>
      <c r="R386" s="198"/>
      <c r="S386" s="198"/>
      <c r="T386" s="198"/>
      <c r="U386" s="198"/>
      <c r="V386" s="198"/>
      <c r="W386" s="198"/>
      <c r="X386" s="198"/>
      <c r="Y386" s="198"/>
      <c r="Z386" s="198"/>
    </row>
    <row r="387" spans="1:26" ht="15.75" hidden="1" customHeight="1" x14ac:dyDescent="0.25">
      <c r="A387" s="213">
        <v>44492</v>
      </c>
      <c r="B387" s="214" t="s">
        <v>8877</v>
      </c>
      <c r="C387" s="215" t="s">
        <v>580</v>
      </c>
      <c r="D387" s="216">
        <v>26115.19</v>
      </c>
      <c r="E387" s="198"/>
      <c r="F387" s="198"/>
      <c r="G387" s="198"/>
      <c r="H387" s="198"/>
      <c r="I387" s="198"/>
      <c r="J387" s="198"/>
      <c r="K387" s="198"/>
      <c r="L387" s="198"/>
      <c r="M387" s="198"/>
      <c r="N387" s="198"/>
      <c r="O387" s="198"/>
      <c r="P387" s="198"/>
      <c r="Q387" s="198"/>
      <c r="R387" s="198"/>
      <c r="S387" s="198"/>
      <c r="T387" s="198"/>
      <c r="U387" s="198"/>
      <c r="V387" s="198"/>
      <c r="W387" s="198"/>
      <c r="X387" s="198"/>
      <c r="Y387" s="198"/>
      <c r="Z387" s="198"/>
    </row>
    <row r="388" spans="1:26" ht="15.75" hidden="1" customHeight="1" x14ac:dyDescent="0.25">
      <c r="A388" s="213">
        <v>36396</v>
      </c>
      <c r="B388" s="214" t="s">
        <v>8878</v>
      </c>
      <c r="C388" s="215" t="s">
        <v>580</v>
      </c>
      <c r="D388" s="216">
        <v>5491.51</v>
      </c>
      <c r="E388" s="198"/>
      <c r="F388" s="198"/>
      <c r="G388" s="198"/>
      <c r="H388" s="198"/>
      <c r="I388" s="198"/>
      <c r="J388" s="198"/>
      <c r="K388" s="198"/>
      <c r="L388" s="198"/>
      <c r="M388" s="198"/>
      <c r="N388" s="198"/>
      <c r="O388" s="198"/>
      <c r="P388" s="198"/>
      <c r="Q388" s="198"/>
      <c r="R388" s="198"/>
      <c r="S388" s="198"/>
      <c r="T388" s="198"/>
      <c r="U388" s="198"/>
      <c r="V388" s="198"/>
      <c r="W388" s="198"/>
      <c r="X388" s="198"/>
      <c r="Y388" s="198"/>
      <c r="Z388" s="198"/>
    </row>
    <row r="389" spans="1:26" ht="15.75" hidden="1" customHeight="1" x14ac:dyDescent="0.25">
      <c r="A389" s="213">
        <v>36397</v>
      </c>
      <c r="B389" s="214" t="s">
        <v>8879</v>
      </c>
      <c r="C389" s="215" t="s">
        <v>580</v>
      </c>
      <c r="D389" s="216">
        <v>19525.38</v>
      </c>
      <c r="E389" s="198"/>
      <c r="F389" s="198"/>
      <c r="G389" s="198"/>
      <c r="H389" s="198"/>
      <c r="I389" s="198"/>
      <c r="J389" s="198"/>
      <c r="K389" s="198"/>
      <c r="L389" s="198"/>
      <c r="M389" s="198"/>
      <c r="N389" s="198"/>
      <c r="O389" s="198"/>
      <c r="P389" s="198"/>
      <c r="Q389" s="198"/>
      <c r="R389" s="198"/>
      <c r="S389" s="198"/>
      <c r="T389" s="198"/>
      <c r="U389" s="198"/>
      <c r="V389" s="198"/>
      <c r="W389" s="198"/>
      <c r="X389" s="198"/>
      <c r="Y389" s="198"/>
      <c r="Z389" s="198"/>
    </row>
    <row r="390" spans="1:26" ht="15.75" hidden="1" customHeight="1" x14ac:dyDescent="0.25">
      <c r="A390" s="213">
        <v>36398</v>
      </c>
      <c r="B390" s="214" t="s">
        <v>8880</v>
      </c>
      <c r="C390" s="215" t="s">
        <v>580</v>
      </c>
      <c r="D390" s="216">
        <v>23731.47</v>
      </c>
      <c r="E390" s="198"/>
      <c r="F390" s="198"/>
      <c r="G390" s="198"/>
      <c r="H390" s="198"/>
      <c r="I390" s="198"/>
      <c r="J390" s="198"/>
      <c r="K390" s="198"/>
      <c r="L390" s="198"/>
      <c r="M390" s="198"/>
      <c r="N390" s="198"/>
      <c r="O390" s="198"/>
      <c r="P390" s="198"/>
      <c r="Q390" s="198"/>
      <c r="R390" s="198"/>
      <c r="S390" s="198"/>
      <c r="T390" s="198"/>
      <c r="U390" s="198"/>
      <c r="V390" s="198"/>
      <c r="W390" s="198"/>
      <c r="X390" s="198"/>
      <c r="Y390" s="198"/>
      <c r="Z390" s="198"/>
    </row>
    <row r="391" spans="1:26" ht="15.75" hidden="1" customHeight="1" x14ac:dyDescent="0.25">
      <c r="A391" s="213">
        <v>647</v>
      </c>
      <c r="B391" s="214" t="s">
        <v>8881</v>
      </c>
      <c r="C391" s="215" t="s">
        <v>2193</v>
      </c>
      <c r="D391" s="216">
        <v>29.66</v>
      </c>
      <c r="E391" s="198"/>
      <c r="F391" s="198"/>
      <c r="G391" s="198"/>
      <c r="H391" s="198"/>
      <c r="I391" s="198"/>
      <c r="J391" s="198"/>
      <c r="K391" s="198"/>
      <c r="L391" s="198"/>
      <c r="M391" s="198"/>
      <c r="N391" s="198"/>
      <c r="O391" s="198"/>
      <c r="P391" s="198"/>
      <c r="Q391" s="198"/>
      <c r="R391" s="198"/>
      <c r="S391" s="198"/>
      <c r="T391" s="198"/>
      <c r="U391" s="198"/>
      <c r="V391" s="198"/>
      <c r="W391" s="198"/>
      <c r="X391" s="198"/>
      <c r="Y391" s="198"/>
      <c r="Z391" s="198"/>
    </row>
    <row r="392" spans="1:26" ht="15.75" hidden="1" customHeight="1" x14ac:dyDescent="0.25">
      <c r="A392" s="213">
        <v>40920</v>
      </c>
      <c r="B392" s="214" t="s">
        <v>8882</v>
      </c>
      <c r="C392" s="215" t="s">
        <v>6214</v>
      </c>
      <c r="D392" s="216">
        <v>5205.2299999999996</v>
      </c>
      <c r="E392" s="198"/>
      <c r="F392" s="198"/>
      <c r="G392" s="198"/>
      <c r="H392" s="198"/>
      <c r="I392" s="198"/>
      <c r="J392" s="198"/>
      <c r="K392" s="198"/>
      <c r="L392" s="198"/>
      <c r="M392" s="198"/>
      <c r="N392" s="198"/>
      <c r="O392" s="198"/>
      <c r="P392" s="198"/>
      <c r="Q392" s="198"/>
      <c r="R392" s="198"/>
      <c r="S392" s="198"/>
      <c r="T392" s="198"/>
      <c r="U392" s="198"/>
      <c r="V392" s="198"/>
      <c r="W392" s="198"/>
      <c r="X392" s="198"/>
      <c r="Y392" s="198"/>
      <c r="Z392" s="198"/>
    </row>
    <row r="393" spans="1:26" ht="15.75" hidden="1" customHeight="1" x14ac:dyDescent="0.25">
      <c r="A393" s="213">
        <v>715</v>
      </c>
      <c r="B393" s="214" t="s">
        <v>8883</v>
      </c>
      <c r="C393" s="215" t="s">
        <v>580</v>
      </c>
      <c r="D393" s="216">
        <v>15.9</v>
      </c>
      <c r="E393" s="198"/>
      <c r="F393" s="198"/>
      <c r="G393" s="198"/>
      <c r="H393" s="198"/>
      <c r="I393" s="198"/>
      <c r="J393" s="198"/>
      <c r="K393" s="198"/>
      <c r="L393" s="198"/>
      <c r="M393" s="198"/>
      <c r="N393" s="198"/>
      <c r="O393" s="198"/>
      <c r="P393" s="198"/>
      <c r="Q393" s="198"/>
      <c r="R393" s="198"/>
      <c r="S393" s="198"/>
      <c r="T393" s="198"/>
      <c r="U393" s="198"/>
      <c r="V393" s="198"/>
      <c r="W393" s="198"/>
      <c r="X393" s="198"/>
      <c r="Y393" s="198"/>
      <c r="Z393" s="198"/>
    </row>
    <row r="394" spans="1:26" ht="15.75" hidden="1" customHeight="1" x14ac:dyDescent="0.25">
      <c r="A394" s="213">
        <v>716</v>
      </c>
      <c r="B394" s="214" t="s">
        <v>8884</v>
      </c>
      <c r="C394" s="215" t="s">
        <v>580</v>
      </c>
      <c r="D394" s="216">
        <v>17.98</v>
      </c>
      <c r="E394" s="198"/>
      <c r="F394" s="198"/>
      <c r="G394" s="198"/>
      <c r="H394" s="198"/>
      <c r="I394" s="198"/>
      <c r="J394" s="198"/>
      <c r="K394" s="198"/>
      <c r="L394" s="198"/>
      <c r="M394" s="198"/>
      <c r="N394" s="198"/>
      <c r="O394" s="198"/>
      <c r="P394" s="198"/>
      <c r="Q394" s="198"/>
      <c r="R394" s="198"/>
      <c r="S394" s="198"/>
      <c r="T394" s="198"/>
      <c r="U394" s="198"/>
      <c r="V394" s="198"/>
      <c r="W394" s="198"/>
      <c r="X394" s="198"/>
      <c r="Y394" s="198"/>
      <c r="Z394" s="198"/>
    </row>
    <row r="395" spans="1:26" ht="15.75" hidden="1" customHeight="1" x14ac:dyDescent="0.25">
      <c r="A395" s="213">
        <v>7270</v>
      </c>
      <c r="B395" s="214" t="s">
        <v>8885</v>
      </c>
      <c r="C395" s="215" t="s">
        <v>580</v>
      </c>
      <c r="D395" s="216">
        <v>0.75</v>
      </c>
      <c r="E395" s="198"/>
      <c r="F395" s="198"/>
      <c r="G395" s="198"/>
      <c r="H395" s="198"/>
      <c r="I395" s="198"/>
      <c r="J395" s="198"/>
      <c r="K395" s="198"/>
      <c r="L395" s="198"/>
      <c r="M395" s="198"/>
      <c r="N395" s="198"/>
      <c r="O395" s="198"/>
      <c r="P395" s="198"/>
      <c r="Q395" s="198"/>
      <c r="R395" s="198"/>
      <c r="S395" s="198"/>
      <c r="T395" s="198"/>
      <c r="U395" s="198"/>
      <c r="V395" s="198"/>
      <c r="W395" s="198"/>
      <c r="X395" s="198"/>
      <c r="Y395" s="198"/>
      <c r="Z395" s="198"/>
    </row>
    <row r="396" spans="1:26" ht="15.75" hidden="1" customHeight="1" x14ac:dyDescent="0.25">
      <c r="A396" s="213">
        <v>44460</v>
      </c>
      <c r="B396" s="214" t="s">
        <v>8886</v>
      </c>
      <c r="C396" s="215" t="s">
        <v>580</v>
      </c>
      <c r="D396" s="216">
        <v>1.25</v>
      </c>
      <c r="E396" s="198"/>
      <c r="F396" s="198"/>
      <c r="G396" s="198"/>
      <c r="H396" s="198"/>
      <c r="I396" s="198"/>
      <c r="J396" s="198"/>
      <c r="K396" s="198"/>
      <c r="L396" s="198"/>
      <c r="M396" s="198"/>
      <c r="N396" s="198"/>
      <c r="O396" s="198"/>
      <c r="P396" s="198"/>
      <c r="Q396" s="198"/>
      <c r="R396" s="198"/>
      <c r="S396" s="198"/>
      <c r="T396" s="198"/>
      <c r="U396" s="198"/>
      <c r="V396" s="198"/>
      <c r="W396" s="198"/>
      <c r="X396" s="198"/>
      <c r="Y396" s="198"/>
      <c r="Z396" s="198"/>
    </row>
    <row r="397" spans="1:26" ht="15.75" hidden="1" customHeight="1" x14ac:dyDescent="0.25">
      <c r="A397" s="213">
        <v>44461</v>
      </c>
      <c r="B397" s="214" t="s">
        <v>8887</v>
      </c>
      <c r="C397" s="215" t="s">
        <v>580</v>
      </c>
      <c r="D397" s="216">
        <v>1.71</v>
      </c>
      <c r="E397" s="198"/>
      <c r="F397" s="198"/>
      <c r="G397" s="198"/>
      <c r="H397" s="198"/>
      <c r="I397" s="198"/>
      <c r="J397" s="198"/>
      <c r="K397" s="198"/>
      <c r="L397" s="198"/>
      <c r="M397" s="198"/>
      <c r="N397" s="198"/>
      <c r="O397" s="198"/>
      <c r="P397" s="198"/>
      <c r="Q397" s="198"/>
      <c r="R397" s="198"/>
      <c r="S397" s="198"/>
      <c r="T397" s="198"/>
      <c r="U397" s="198"/>
      <c r="V397" s="198"/>
      <c r="W397" s="198"/>
      <c r="X397" s="198"/>
      <c r="Y397" s="198"/>
      <c r="Z397" s="198"/>
    </row>
    <row r="398" spans="1:26" ht="15.75" hidden="1" customHeight="1" x14ac:dyDescent="0.25">
      <c r="A398" s="213">
        <v>7267</v>
      </c>
      <c r="B398" s="214" t="s">
        <v>8888</v>
      </c>
      <c r="C398" s="215" t="s">
        <v>580</v>
      </c>
      <c r="D398" s="216">
        <v>0.63</v>
      </c>
      <c r="E398" s="198"/>
      <c r="F398" s="198"/>
      <c r="G398" s="198"/>
      <c r="H398" s="198"/>
      <c r="I398" s="198"/>
      <c r="J398" s="198"/>
      <c r="K398" s="198"/>
      <c r="L398" s="198"/>
      <c r="M398" s="198"/>
      <c r="N398" s="198"/>
      <c r="O398" s="198"/>
      <c r="P398" s="198"/>
      <c r="Q398" s="198"/>
      <c r="R398" s="198"/>
      <c r="S398" s="198"/>
      <c r="T398" s="198"/>
      <c r="U398" s="198"/>
      <c r="V398" s="198"/>
      <c r="W398" s="198"/>
      <c r="X398" s="198"/>
      <c r="Y398" s="198"/>
      <c r="Z398" s="198"/>
    </row>
    <row r="399" spans="1:26" ht="15.75" hidden="1" customHeight="1" x14ac:dyDescent="0.25">
      <c r="A399" s="213">
        <v>44458</v>
      </c>
      <c r="B399" s="214" t="s">
        <v>8889</v>
      </c>
      <c r="C399" s="215" t="s">
        <v>580</v>
      </c>
      <c r="D399" s="216">
        <v>0.76</v>
      </c>
      <c r="E399" s="198"/>
      <c r="F399" s="198"/>
      <c r="G399" s="198"/>
      <c r="H399" s="198"/>
      <c r="I399" s="198"/>
      <c r="J399" s="198"/>
      <c r="K399" s="198"/>
      <c r="L399" s="198"/>
      <c r="M399" s="198"/>
      <c r="N399" s="198"/>
      <c r="O399" s="198"/>
      <c r="P399" s="198"/>
      <c r="Q399" s="198"/>
      <c r="R399" s="198"/>
      <c r="S399" s="198"/>
      <c r="T399" s="198"/>
      <c r="U399" s="198"/>
      <c r="V399" s="198"/>
      <c r="W399" s="198"/>
      <c r="X399" s="198"/>
      <c r="Y399" s="198"/>
      <c r="Z399" s="198"/>
    </row>
    <row r="400" spans="1:26" ht="15.75" hidden="1" customHeight="1" x14ac:dyDescent="0.25">
      <c r="A400" s="213">
        <v>44457</v>
      </c>
      <c r="B400" s="214" t="s">
        <v>8890</v>
      </c>
      <c r="C400" s="215" t="s">
        <v>580</v>
      </c>
      <c r="D400" s="216">
        <v>1.48</v>
      </c>
      <c r="E400" s="198"/>
      <c r="F400" s="198"/>
      <c r="G400" s="198"/>
      <c r="H400" s="198"/>
      <c r="I400" s="198"/>
      <c r="J400" s="198"/>
      <c r="K400" s="198"/>
      <c r="L400" s="198"/>
      <c r="M400" s="198"/>
      <c r="N400" s="198"/>
      <c r="O400" s="198"/>
      <c r="P400" s="198"/>
      <c r="Q400" s="198"/>
      <c r="R400" s="198"/>
      <c r="S400" s="198"/>
      <c r="T400" s="198"/>
      <c r="U400" s="198"/>
      <c r="V400" s="198"/>
      <c r="W400" s="198"/>
      <c r="X400" s="198"/>
      <c r="Y400" s="198"/>
      <c r="Z400" s="198"/>
    </row>
    <row r="401" spans="1:26" ht="15.75" hidden="1" customHeight="1" x14ac:dyDescent="0.25">
      <c r="A401" s="213">
        <v>7271</v>
      </c>
      <c r="B401" s="214" t="s">
        <v>8891</v>
      </c>
      <c r="C401" s="215" t="s">
        <v>580</v>
      </c>
      <c r="D401" s="216">
        <v>0.8</v>
      </c>
      <c r="E401" s="198"/>
      <c r="F401" s="198"/>
      <c r="G401" s="198"/>
      <c r="H401" s="198"/>
      <c r="I401" s="198"/>
      <c r="J401" s="198"/>
      <c r="K401" s="198"/>
      <c r="L401" s="198"/>
      <c r="M401" s="198"/>
      <c r="N401" s="198"/>
      <c r="O401" s="198"/>
      <c r="P401" s="198"/>
      <c r="Q401" s="198"/>
      <c r="R401" s="198"/>
      <c r="S401" s="198"/>
      <c r="T401" s="198"/>
      <c r="U401" s="198"/>
      <c r="V401" s="198"/>
      <c r="W401" s="198"/>
      <c r="X401" s="198"/>
      <c r="Y401" s="198"/>
      <c r="Z401" s="198"/>
    </row>
    <row r="402" spans="1:26" ht="15.75" hidden="1" customHeight="1" x14ac:dyDescent="0.25">
      <c r="A402" s="213">
        <v>7268</v>
      </c>
      <c r="B402" s="214" t="s">
        <v>8892</v>
      </c>
      <c r="C402" s="215" t="s">
        <v>580</v>
      </c>
      <c r="D402" s="216">
        <v>1.24</v>
      </c>
      <c r="E402" s="198"/>
      <c r="F402" s="198"/>
      <c r="G402" s="198"/>
      <c r="H402" s="198"/>
      <c r="I402" s="198"/>
      <c r="J402" s="198"/>
      <c r="K402" s="198"/>
      <c r="L402" s="198"/>
      <c r="M402" s="198"/>
      <c r="N402" s="198"/>
      <c r="O402" s="198"/>
      <c r="P402" s="198"/>
      <c r="Q402" s="198"/>
      <c r="R402" s="198"/>
      <c r="S402" s="198"/>
      <c r="T402" s="198"/>
      <c r="U402" s="198"/>
      <c r="V402" s="198"/>
      <c r="W402" s="198"/>
      <c r="X402" s="198"/>
      <c r="Y402" s="198"/>
      <c r="Z402" s="198"/>
    </row>
    <row r="403" spans="1:26" ht="15.75" hidden="1" customHeight="1" x14ac:dyDescent="0.25">
      <c r="A403" s="213">
        <v>44459</v>
      </c>
      <c r="B403" s="214" t="s">
        <v>8893</v>
      </c>
      <c r="C403" s="215" t="s">
        <v>580</v>
      </c>
      <c r="D403" s="216">
        <v>0.8</v>
      </c>
      <c r="E403" s="198"/>
      <c r="F403" s="198"/>
      <c r="G403" s="198"/>
      <c r="H403" s="198"/>
      <c r="I403" s="198"/>
      <c r="J403" s="198"/>
      <c r="K403" s="198"/>
      <c r="L403" s="198"/>
      <c r="M403" s="198"/>
      <c r="N403" s="198"/>
      <c r="O403" s="198"/>
      <c r="P403" s="198"/>
      <c r="Q403" s="198"/>
      <c r="R403" s="198"/>
      <c r="S403" s="198"/>
      <c r="T403" s="198"/>
      <c r="U403" s="198"/>
      <c r="V403" s="198"/>
      <c r="W403" s="198"/>
      <c r="X403" s="198"/>
      <c r="Y403" s="198"/>
      <c r="Z403" s="198"/>
    </row>
    <row r="404" spans="1:26" ht="15.75" hidden="1" customHeight="1" x14ac:dyDescent="0.25">
      <c r="A404" s="213">
        <v>44462</v>
      </c>
      <c r="B404" s="214" t="s">
        <v>8894</v>
      </c>
      <c r="C404" s="215" t="s">
        <v>580</v>
      </c>
      <c r="D404" s="216">
        <v>1.42</v>
      </c>
      <c r="E404" s="198"/>
      <c r="F404" s="198"/>
      <c r="G404" s="198"/>
      <c r="H404" s="198"/>
      <c r="I404" s="198"/>
      <c r="J404" s="198"/>
      <c r="K404" s="198"/>
      <c r="L404" s="198"/>
      <c r="M404" s="198"/>
      <c r="N404" s="198"/>
      <c r="O404" s="198"/>
      <c r="P404" s="198"/>
      <c r="Q404" s="198"/>
      <c r="R404" s="198"/>
      <c r="S404" s="198"/>
      <c r="T404" s="198"/>
      <c r="U404" s="198"/>
      <c r="V404" s="198"/>
      <c r="W404" s="198"/>
      <c r="X404" s="198"/>
      <c r="Y404" s="198"/>
      <c r="Z404" s="198"/>
    </row>
    <row r="405" spans="1:26" ht="15.75" hidden="1" customHeight="1" x14ac:dyDescent="0.25">
      <c r="A405" s="213">
        <v>44463</v>
      </c>
      <c r="B405" s="214" t="s">
        <v>8895</v>
      </c>
      <c r="C405" s="215" t="s">
        <v>580</v>
      </c>
      <c r="D405" s="216">
        <v>1.84</v>
      </c>
      <c r="E405" s="198"/>
      <c r="F405" s="198"/>
      <c r="G405" s="198"/>
      <c r="H405" s="198"/>
      <c r="I405" s="198"/>
      <c r="J405" s="198"/>
      <c r="K405" s="198"/>
      <c r="L405" s="198"/>
      <c r="M405" s="198"/>
      <c r="N405" s="198"/>
      <c r="O405" s="198"/>
      <c r="P405" s="198"/>
      <c r="Q405" s="198"/>
      <c r="R405" s="198"/>
      <c r="S405" s="198"/>
      <c r="T405" s="198"/>
      <c r="U405" s="198"/>
      <c r="V405" s="198"/>
      <c r="W405" s="198"/>
      <c r="X405" s="198"/>
      <c r="Y405" s="198"/>
      <c r="Z405" s="198"/>
    </row>
    <row r="406" spans="1:26" ht="15.75" hidden="1" customHeight="1" x14ac:dyDescent="0.25">
      <c r="A406" s="213">
        <v>44464</v>
      </c>
      <c r="B406" s="214" t="s">
        <v>8896</v>
      </c>
      <c r="C406" s="215" t="s">
        <v>580</v>
      </c>
      <c r="D406" s="216">
        <v>1.9</v>
      </c>
      <c r="E406" s="198"/>
      <c r="F406" s="198"/>
      <c r="G406" s="198"/>
      <c r="H406" s="198"/>
      <c r="I406" s="198"/>
      <c r="J406" s="198"/>
      <c r="K406" s="198"/>
      <c r="L406" s="198"/>
      <c r="M406" s="198"/>
      <c r="N406" s="198"/>
      <c r="O406" s="198"/>
      <c r="P406" s="198"/>
      <c r="Q406" s="198"/>
      <c r="R406" s="198"/>
      <c r="S406" s="198"/>
      <c r="T406" s="198"/>
      <c r="U406" s="198"/>
      <c r="V406" s="198"/>
      <c r="W406" s="198"/>
      <c r="X406" s="198"/>
      <c r="Y406" s="198"/>
      <c r="Z406" s="198"/>
    </row>
    <row r="407" spans="1:26" ht="15.75" hidden="1" customHeight="1" x14ac:dyDescent="0.25">
      <c r="A407" s="213">
        <v>44465</v>
      </c>
      <c r="B407" s="214" t="s">
        <v>8897</v>
      </c>
      <c r="C407" s="215" t="s">
        <v>580</v>
      </c>
      <c r="D407" s="216">
        <v>2.61</v>
      </c>
      <c r="E407" s="198"/>
      <c r="F407" s="198"/>
      <c r="G407" s="198"/>
      <c r="H407" s="198"/>
      <c r="I407" s="198"/>
      <c r="J407" s="198"/>
      <c r="K407" s="198"/>
      <c r="L407" s="198"/>
      <c r="M407" s="198"/>
      <c r="N407" s="198"/>
      <c r="O407" s="198"/>
      <c r="P407" s="198"/>
      <c r="Q407" s="198"/>
      <c r="R407" s="198"/>
      <c r="S407" s="198"/>
      <c r="T407" s="198"/>
      <c r="U407" s="198"/>
      <c r="V407" s="198"/>
      <c r="W407" s="198"/>
      <c r="X407" s="198"/>
      <c r="Y407" s="198"/>
      <c r="Z407" s="198"/>
    </row>
    <row r="408" spans="1:26" ht="15.75" hidden="1" customHeight="1" x14ac:dyDescent="0.25">
      <c r="A408" s="213">
        <v>38783</v>
      </c>
      <c r="B408" s="214" t="s">
        <v>8898</v>
      </c>
      <c r="C408" s="215" t="s">
        <v>580</v>
      </c>
      <c r="D408" s="216">
        <v>0.91</v>
      </c>
      <c r="E408" s="198"/>
      <c r="F408" s="198"/>
      <c r="G408" s="198"/>
      <c r="H408" s="198"/>
      <c r="I408" s="198"/>
      <c r="J408" s="198"/>
      <c r="K408" s="198"/>
      <c r="L408" s="198"/>
      <c r="M408" s="198"/>
      <c r="N408" s="198"/>
      <c r="O408" s="198"/>
      <c r="P408" s="198"/>
      <c r="Q408" s="198"/>
      <c r="R408" s="198"/>
      <c r="S408" s="198"/>
      <c r="T408" s="198"/>
      <c r="U408" s="198"/>
      <c r="V408" s="198"/>
      <c r="W408" s="198"/>
      <c r="X408" s="198"/>
      <c r="Y408" s="198"/>
      <c r="Z408" s="198"/>
    </row>
    <row r="409" spans="1:26" ht="15.75" hidden="1" customHeight="1" x14ac:dyDescent="0.25">
      <c r="A409" s="213">
        <v>44466</v>
      </c>
      <c r="B409" s="214" t="s">
        <v>8899</v>
      </c>
      <c r="C409" s="215" t="s">
        <v>580</v>
      </c>
      <c r="D409" s="216">
        <v>1.85</v>
      </c>
      <c r="E409" s="198"/>
      <c r="F409" s="198"/>
      <c r="G409" s="198"/>
      <c r="H409" s="198"/>
      <c r="I409" s="198"/>
      <c r="J409" s="198"/>
      <c r="K409" s="198"/>
      <c r="L409" s="198"/>
      <c r="M409" s="198"/>
      <c r="N409" s="198"/>
      <c r="O409" s="198"/>
      <c r="P409" s="198"/>
      <c r="Q409" s="198"/>
      <c r="R409" s="198"/>
      <c r="S409" s="198"/>
      <c r="T409" s="198"/>
      <c r="U409" s="198"/>
      <c r="V409" s="198"/>
      <c r="W409" s="198"/>
      <c r="X409" s="198"/>
      <c r="Y409" s="198"/>
      <c r="Z409" s="198"/>
    </row>
    <row r="410" spans="1:26" ht="15.75" hidden="1" customHeight="1" x14ac:dyDescent="0.25">
      <c r="A410" s="213">
        <v>44467</v>
      </c>
      <c r="B410" s="214" t="s">
        <v>8900</v>
      </c>
      <c r="C410" s="215" t="s">
        <v>580</v>
      </c>
      <c r="D410" s="216">
        <v>2.23</v>
      </c>
      <c r="E410" s="198"/>
      <c r="F410" s="198"/>
      <c r="G410" s="198"/>
      <c r="H410" s="198"/>
      <c r="I410" s="198"/>
      <c r="J410" s="198"/>
      <c r="K410" s="198"/>
      <c r="L410" s="198"/>
      <c r="M410" s="198"/>
      <c r="N410" s="198"/>
      <c r="O410" s="198"/>
      <c r="P410" s="198"/>
      <c r="Q410" s="198"/>
      <c r="R410" s="198"/>
      <c r="S410" s="198"/>
      <c r="T410" s="198"/>
      <c r="U410" s="198"/>
      <c r="V410" s="198"/>
      <c r="W410" s="198"/>
      <c r="X410" s="198"/>
      <c r="Y410" s="198"/>
      <c r="Z410" s="198"/>
    </row>
    <row r="411" spans="1:26" ht="15.75" hidden="1" customHeight="1" x14ac:dyDescent="0.25">
      <c r="A411" s="213">
        <v>44468</v>
      </c>
      <c r="B411" s="214" t="s">
        <v>8901</v>
      </c>
      <c r="C411" s="215" t="s">
        <v>580</v>
      </c>
      <c r="D411" s="216">
        <v>1.94</v>
      </c>
      <c r="E411" s="198"/>
      <c r="F411" s="198"/>
      <c r="G411" s="198"/>
      <c r="H411" s="198"/>
      <c r="I411" s="198"/>
      <c r="J411" s="198"/>
      <c r="K411" s="198"/>
      <c r="L411" s="198"/>
      <c r="M411" s="198"/>
      <c r="N411" s="198"/>
      <c r="O411" s="198"/>
      <c r="P411" s="198"/>
      <c r="Q411" s="198"/>
      <c r="R411" s="198"/>
      <c r="S411" s="198"/>
      <c r="T411" s="198"/>
      <c r="U411" s="198"/>
      <c r="V411" s="198"/>
      <c r="W411" s="198"/>
      <c r="X411" s="198"/>
      <c r="Y411" s="198"/>
      <c r="Z411" s="198"/>
    </row>
    <row r="412" spans="1:26" ht="15.75" hidden="1" customHeight="1" x14ac:dyDescent="0.25">
      <c r="A412" s="213">
        <v>37593</v>
      </c>
      <c r="B412" s="214" t="s">
        <v>8902</v>
      </c>
      <c r="C412" s="215" t="s">
        <v>580</v>
      </c>
      <c r="D412" s="216">
        <v>2.4900000000000002</v>
      </c>
      <c r="E412" s="198"/>
      <c r="F412" s="198"/>
      <c r="G412" s="198"/>
      <c r="H412" s="198"/>
      <c r="I412" s="198"/>
      <c r="J412" s="198"/>
      <c r="K412" s="198"/>
      <c r="L412" s="198"/>
      <c r="M412" s="198"/>
      <c r="N412" s="198"/>
      <c r="O412" s="198"/>
      <c r="P412" s="198"/>
      <c r="Q412" s="198"/>
      <c r="R412" s="198"/>
      <c r="S412" s="198"/>
      <c r="T412" s="198"/>
      <c r="U412" s="198"/>
      <c r="V412" s="198"/>
      <c r="W412" s="198"/>
      <c r="X412" s="198"/>
      <c r="Y412" s="198"/>
      <c r="Z412" s="198"/>
    </row>
    <row r="413" spans="1:26" ht="15.75" hidden="1" customHeight="1" x14ac:dyDescent="0.25">
      <c r="A413" s="213">
        <v>37594</v>
      </c>
      <c r="B413" s="214" t="s">
        <v>8903</v>
      </c>
      <c r="C413" s="215" t="s">
        <v>580</v>
      </c>
      <c r="D413" s="216">
        <v>2.96</v>
      </c>
      <c r="E413" s="198"/>
      <c r="F413" s="198"/>
      <c r="G413" s="198"/>
      <c r="H413" s="198"/>
      <c r="I413" s="198"/>
      <c r="J413" s="198"/>
      <c r="K413" s="198"/>
      <c r="L413" s="198"/>
      <c r="M413" s="198"/>
      <c r="N413" s="198"/>
      <c r="O413" s="198"/>
      <c r="P413" s="198"/>
      <c r="Q413" s="198"/>
      <c r="R413" s="198"/>
      <c r="S413" s="198"/>
      <c r="T413" s="198"/>
      <c r="U413" s="198"/>
      <c r="V413" s="198"/>
      <c r="W413" s="198"/>
      <c r="X413" s="198"/>
      <c r="Y413" s="198"/>
      <c r="Z413" s="198"/>
    </row>
    <row r="414" spans="1:26" ht="15.75" hidden="1" customHeight="1" x14ac:dyDescent="0.25">
      <c r="A414" s="213">
        <v>37592</v>
      </c>
      <c r="B414" s="214" t="s">
        <v>8904</v>
      </c>
      <c r="C414" s="215" t="s">
        <v>580</v>
      </c>
      <c r="D414" s="216">
        <v>1.97</v>
      </c>
      <c r="E414" s="198"/>
      <c r="F414" s="198"/>
      <c r="G414" s="198"/>
      <c r="H414" s="198"/>
      <c r="I414" s="198"/>
      <c r="J414" s="198"/>
      <c r="K414" s="198"/>
      <c r="L414" s="198"/>
      <c r="M414" s="198"/>
      <c r="N414" s="198"/>
      <c r="O414" s="198"/>
      <c r="P414" s="198"/>
      <c r="Q414" s="198"/>
      <c r="R414" s="198"/>
      <c r="S414" s="198"/>
      <c r="T414" s="198"/>
      <c r="U414" s="198"/>
      <c r="V414" s="198"/>
      <c r="W414" s="198"/>
      <c r="X414" s="198"/>
      <c r="Y414" s="198"/>
      <c r="Z414" s="198"/>
    </row>
    <row r="415" spans="1:26" ht="15.75" hidden="1" customHeight="1" x14ac:dyDescent="0.25">
      <c r="A415" s="213">
        <v>34556</v>
      </c>
      <c r="B415" s="214" t="s">
        <v>8905</v>
      </c>
      <c r="C415" s="215" t="s">
        <v>580</v>
      </c>
      <c r="D415" s="216">
        <v>4.03</v>
      </c>
      <c r="E415" s="198"/>
      <c r="F415" s="198"/>
      <c r="G415" s="198"/>
      <c r="H415" s="198"/>
      <c r="I415" s="198"/>
      <c r="J415" s="198"/>
      <c r="K415" s="198"/>
      <c r="L415" s="198"/>
      <c r="M415" s="198"/>
      <c r="N415" s="198"/>
      <c r="O415" s="198"/>
      <c r="P415" s="198"/>
      <c r="Q415" s="198"/>
      <c r="R415" s="198"/>
      <c r="S415" s="198"/>
      <c r="T415" s="198"/>
      <c r="U415" s="198"/>
      <c r="V415" s="198"/>
      <c r="W415" s="198"/>
      <c r="X415" s="198"/>
      <c r="Y415" s="198"/>
      <c r="Z415" s="198"/>
    </row>
    <row r="416" spans="1:26" ht="15.75" hidden="1" customHeight="1" x14ac:dyDescent="0.25">
      <c r="A416" s="213">
        <v>37873</v>
      </c>
      <c r="B416" s="214" t="s">
        <v>8906</v>
      </c>
      <c r="C416" s="215" t="s">
        <v>580</v>
      </c>
      <c r="D416" s="216">
        <v>4.0999999999999996</v>
      </c>
      <c r="E416" s="198"/>
      <c r="F416" s="198"/>
      <c r="G416" s="198"/>
      <c r="H416" s="198"/>
      <c r="I416" s="198"/>
      <c r="J416" s="198"/>
      <c r="K416" s="198"/>
      <c r="L416" s="198"/>
      <c r="M416" s="198"/>
      <c r="N416" s="198"/>
      <c r="O416" s="198"/>
      <c r="P416" s="198"/>
      <c r="Q416" s="198"/>
      <c r="R416" s="198"/>
      <c r="S416" s="198"/>
      <c r="T416" s="198"/>
      <c r="U416" s="198"/>
      <c r="V416" s="198"/>
      <c r="W416" s="198"/>
      <c r="X416" s="198"/>
      <c r="Y416" s="198"/>
      <c r="Z416" s="198"/>
    </row>
    <row r="417" spans="1:26" ht="15.75" hidden="1" customHeight="1" x14ac:dyDescent="0.25">
      <c r="A417" s="213">
        <v>34564</v>
      </c>
      <c r="B417" s="214" t="s">
        <v>8907</v>
      </c>
      <c r="C417" s="215" t="s">
        <v>580</v>
      </c>
      <c r="D417" s="216">
        <v>4.29</v>
      </c>
      <c r="E417" s="198"/>
      <c r="F417" s="198"/>
      <c r="G417" s="198"/>
      <c r="H417" s="198"/>
      <c r="I417" s="198"/>
      <c r="J417" s="198"/>
      <c r="K417" s="198"/>
      <c r="L417" s="198"/>
      <c r="M417" s="198"/>
      <c r="N417" s="198"/>
      <c r="O417" s="198"/>
      <c r="P417" s="198"/>
      <c r="Q417" s="198"/>
      <c r="R417" s="198"/>
      <c r="S417" s="198"/>
      <c r="T417" s="198"/>
      <c r="U417" s="198"/>
      <c r="V417" s="198"/>
      <c r="W417" s="198"/>
      <c r="X417" s="198"/>
      <c r="Y417" s="198"/>
      <c r="Z417" s="198"/>
    </row>
    <row r="418" spans="1:26" ht="15.75" hidden="1" customHeight="1" x14ac:dyDescent="0.25">
      <c r="A418" s="213">
        <v>34565</v>
      </c>
      <c r="B418" s="214" t="s">
        <v>8908</v>
      </c>
      <c r="C418" s="215" t="s">
        <v>580</v>
      </c>
      <c r="D418" s="216">
        <v>4.54</v>
      </c>
      <c r="E418" s="198"/>
      <c r="F418" s="198"/>
      <c r="G418" s="198"/>
      <c r="H418" s="198"/>
      <c r="I418" s="198"/>
      <c r="J418" s="198"/>
      <c r="K418" s="198"/>
      <c r="L418" s="198"/>
      <c r="M418" s="198"/>
      <c r="N418" s="198"/>
      <c r="O418" s="198"/>
      <c r="P418" s="198"/>
      <c r="Q418" s="198"/>
      <c r="R418" s="198"/>
      <c r="S418" s="198"/>
      <c r="T418" s="198"/>
      <c r="U418" s="198"/>
      <c r="V418" s="198"/>
      <c r="W418" s="198"/>
      <c r="X418" s="198"/>
      <c r="Y418" s="198"/>
      <c r="Z418" s="198"/>
    </row>
    <row r="419" spans="1:26" ht="15.75" hidden="1" customHeight="1" x14ac:dyDescent="0.25">
      <c r="A419" s="213">
        <v>38590</v>
      </c>
      <c r="B419" s="214" t="s">
        <v>8909</v>
      </c>
      <c r="C419" s="215" t="s">
        <v>580</v>
      </c>
      <c r="D419" s="216">
        <v>3.36</v>
      </c>
      <c r="E419" s="198"/>
      <c r="F419" s="198"/>
      <c r="G419" s="198"/>
      <c r="H419" s="198"/>
      <c r="I419" s="198"/>
      <c r="J419" s="198"/>
      <c r="K419" s="198"/>
      <c r="L419" s="198"/>
      <c r="M419" s="198"/>
      <c r="N419" s="198"/>
      <c r="O419" s="198"/>
      <c r="P419" s="198"/>
      <c r="Q419" s="198"/>
      <c r="R419" s="198"/>
      <c r="S419" s="198"/>
      <c r="T419" s="198"/>
      <c r="U419" s="198"/>
      <c r="V419" s="198"/>
      <c r="W419" s="198"/>
      <c r="X419" s="198"/>
      <c r="Y419" s="198"/>
      <c r="Z419" s="198"/>
    </row>
    <row r="420" spans="1:26" ht="15.75" hidden="1" customHeight="1" x14ac:dyDescent="0.25">
      <c r="A420" s="213">
        <v>34566</v>
      </c>
      <c r="B420" s="214" t="s">
        <v>8910</v>
      </c>
      <c r="C420" s="215" t="s">
        <v>580</v>
      </c>
      <c r="D420" s="216">
        <v>3.52</v>
      </c>
      <c r="E420" s="198"/>
      <c r="F420" s="198"/>
      <c r="G420" s="198"/>
      <c r="H420" s="198"/>
      <c r="I420" s="198"/>
      <c r="J420" s="198"/>
      <c r="K420" s="198"/>
      <c r="L420" s="198"/>
      <c r="M420" s="198"/>
      <c r="N420" s="198"/>
      <c r="O420" s="198"/>
      <c r="P420" s="198"/>
      <c r="Q420" s="198"/>
      <c r="R420" s="198"/>
      <c r="S420" s="198"/>
      <c r="T420" s="198"/>
      <c r="U420" s="198"/>
      <c r="V420" s="198"/>
      <c r="W420" s="198"/>
      <c r="X420" s="198"/>
      <c r="Y420" s="198"/>
      <c r="Z420" s="198"/>
    </row>
    <row r="421" spans="1:26" ht="15.75" hidden="1" customHeight="1" x14ac:dyDescent="0.25">
      <c r="A421" s="213">
        <v>34567</v>
      </c>
      <c r="B421" s="214" t="s">
        <v>8911</v>
      </c>
      <c r="C421" s="215" t="s">
        <v>580</v>
      </c>
      <c r="D421" s="216">
        <v>3.74</v>
      </c>
      <c r="E421" s="198"/>
      <c r="F421" s="198"/>
      <c r="G421" s="198"/>
      <c r="H421" s="198"/>
      <c r="I421" s="198"/>
      <c r="J421" s="198"/>
      <c r="K421" s="198"/>
      <c r="L421" s="198"/>
      <c r="M421" s="198"/>
      <c r="N421" s="198"/>
      <c r="O421" s="198"/>
      <c r="P421" s="198"/>
      <c r="Q421" s="198"/>
      <c r="R421" s="198"/>
      <c r="S421" s="198"/>
      <c r="T421" s="198"/>
      <c r="U421" s="198"/>
      <c r="V421" s="198"/>
      <c r="W421" s="198"/>
      <c r="X421" s="198"/>
      <c r="Y421" s="198"/>
      <c r="Z421" s="198"/>
    </row>
    <row r="422" spans="1:26" ht="15.75" hidden="1" customHeight="1" x14ac:dyDescent="0.25">
      <c r="A422" s="213">
        <v>38591</v>
      </c>
      <c r="B422" s="214" t="s">
        <v>8912</v>
      </c>
      <c r="C422" s="215" t="s">
        <v>580</v>
      </c>
      <c r="D422" s="216">
        <v>3.39</v>
      </c>
      <c r="E422" s="198"/>
      <c r="F422" s="198"/>
      <c r="G422" s="198"/>
      <c r="H422" s="198"/>
      <c r="I422" s="198"/>
      <c r="J422" s="198"/>
      <c r="K422" s="198"/>
      <c r="L422" s="198"/>
      <c r="M422" s="198"/>
      <c r="N422" s="198"/>
      <c r="O422" s="198"/>
      <c r="P422" s="198"/>
      <c r="Q422" s="198"/>
      <c r="R422" s="198"/>
      <c r="S422" s="198"/>
      <c r="T422" s="198"/>
      <c r="U422" s="198"/>
      <c r="V422" s="198"/>
      <c r="W422" s="198"/>
      <c r="X422" s="198"/>
      <c r="Y422" s="198"/>
      <c r="Z422" s="198"/>
    </row>
    <row r="423" spans="1:26" ht="15.75" hidden="1" customHeight="1" x14ac:dyDescent="0.25">
      <c r="A423" s="213">
        <v>34568</v>
      </c>
      <c r="B423" s="214" t="s">
        <v>8913</v>
      </c>
      <c r="C423" s="215" t="s">
        <v>580</v>
      </c>
      <c r="D423" s="216">
        <v>4.42</v>
      </c>
      <c r="E423" s="198"/>
      <c r="F423" s="198"/>
      <c r="G423" s="198"/>
      <c r="H423" s="198"/>
      <c r="I423" s="198"/>
      <c r="J423" s="198"/>
      <c r="K423" s="198"/>
      <c r="L423" s="198"/>
      <c r="M423" s="198"/>
      <c r="N423" s="198"/>
      <c r="O423" s="198"/>
      <c r="P423" s="198"/>
      <c r="Q423" s="198"/>
      <c r="R423" s="198"/>
      <c r="S423" s="198"/>
      <c r="T423" s="198"/>
      <c r="U423" s="198"/>
      <c r="V423" s="198"/>
      <c r="W423" s="198"/>
      <c r="X423" s="198"/>
      <c r="Y423" s="198"/>
      <c r="Z423" s="198"/>
    </row>
    <row r="424" spans="1:26" ht="15.75" hidden="1" customHeight="1" x14ac:dyDescent="0.25">
      <c r="A424" s="213">
        <v>34569</v>
      </c>
      <c r="B424" s="214" t="s">
        <v>8914</v>
      </c>
      <c r="C424" s="215" t="s">
        <v>580</v>
      </c>
      <c r="D424" s="216">
        <v>4.54</v>
      </c>
      <c r="E424" s="198"/>
      <c r="F424" s="198"/>
      <c r="G424" s="198"/>
      <c r="H424" s="198"/>
      <c r="I424" s="198"/>
      <c r="J424" s="198"/>
      <c r="K424" s="198"/>
      <c r="L424" s="198"/>
      <c r="M424" s="198"/>
      <c r="N424" s="198"/>
      <c r="O424" s="198"/>
      <c r="P424" s="198"/>
      <c r="Q424" s="198"/>
      <c r="R424" s="198"/>
      <c r="S424" s="198"/>
      <c r="T424" s="198"/>
      <c r="U424" s="198"/>
      <c r="V424" s="198"/>
      <c r="W424" s="198"/>
      <c r="X424" s="198"/>
      <c r="Y424" s="198"/>
      <c r="Z424" s="198"/>
    </row>
    <row r="425" spans="1:26" ht="15.75" hidden="1" customHeight="1" x14ac:dyDescent="0.25">
      <c r="A425" s="213">
        <v>34570</v>
      </c>
      <c r="B425" s="214" t="s">
        <v>8915</v>
      </c>
      <c r="C425" s="215" t="s">
        <v>580</v>
      </c>
      <c r="D425" s="216">
        <v>4.93</v>
      </c>
      <c r="E425" s="198"/>
      <c r="F425" s="198"/>
      <c r="G425" s="198"/>
      <c r="H425" s="198"/>
      <c r="I425" s="198"/>
      <c r="J425" s="198"/>
      <c r="K425" s="198"/>
      <c r="L425" s="198"/>
      <c r="M425" s="198"/>
      <c r="N425" s="198"/>
      <c r="O425" s="198"/>
      <c r="P425" s="198"/>
      <c r="Q425" s="198"/>
      <c r="R425" s="198"/>
      <c r="S425" s="198"/>
      <c r="T425" s="198"/>
      <c r="U425" s="198"/>
      <c r="V425" s="198"/>
      <c r="W425" s="198"/>
      <c r="X425" s="198"/>
      <c r="Y425" s="198"/>
      <c r="Z425" s="198"/>
    </row>
    <row r="426" spans="1:26" ht="15.75" hidden="1" customHeight="1" x14ac:dyDescent="0.25">
      <c r="A426" s="213">
        <v>25070</v>
      </c>
      <c r="B426" s="214" t="s">
        <v>8916</v>
      </c>
      <c r="C426" s="215" t="s">
        <v>580</v>
      </c>
      <c r="D426" s="216">
        <v>3.71</v>
      </c>
      <c r="E426" s="198"/>
      <c r="F426" s="198"/>
      <c r="G426" s="198"/>
      <c r="H426" s="198"/>
      <c r="I426" s="198"/>
      <c r="J426" s="198"/>
      <c r="K426" s="198"/>
      <c r="L426" s="198"/>
      <c r="M426" s="198"/>
      <c r="N426" s="198"/>
      <c r="O426" s="198"/>
      <c r="P426" s="198"/>
      <c r="Q426" s="198"/>
      <c r="R426" s="198"/>
      <c r="S426" s="198"/>
      <c r="T426" s="198"/>
      <c r="U426" s="198"/>
      <c r="V426" s="198"/>
      <c r="W426" s="198"/>
      <c r="X426" s="198"/>
      <c r="Y426" s="198"/>
      <c r="Z426" s="198"/>
    </row>
    <row r="427" spans="1:26" ht="15.75" hidden="1" customHeight="1" x14ac:dyDescent="0.25">
      <c r="A427" s="213">
        <v>34571</v>
      </c>
      <c r="B427" s="214" t="s">
        <v>8917</v>
      </c>
      <c r="C427" s="215" t="s">
        <v>580</v>
      </c>
      <c r="D427" s="216">
        <v>3.74</v>
      </c>
      <c r="E427" s="198"/>
      <c r="F427" s="198"/>
      <c r="G427" s="198"/>
      <c r="H427" s="198"/>
      <c r="I427" s="198"/>
      <c r="J427" s="198"/>
      <c r="K427" s="198"/>
      <c r="L427" s="198"/>
      <c r="M427" s="198"/>
      <c r="N427" s="198"/>
      <c r="O427" s="198"/>
      <c r="P427" s="198"/>
      <c r="Q427" s="198"/>
      <c r="R427" s="198"/>
      <c r="S427" s="198"/>
      <c r="T427" s="198"/>
      <c r="U427" s="198"/>
      <c r="V427" s="198"/>
      <c r="W427" s="198"/>
      <c r="X427" s="198"/>
      <c r="Y427" s="198"/>
      <c r="Z427" s="198"/>
    </row>
    <row r="428" spans="1:26" ht="15.75" hidden="1" customHeight="1" x14ac:dyDescent="0.25">
      <c r="A428" s="213">
        <v>34573</v>
      </c>
      <c r="B428" s="214" t="s">
        <v>8918</v>
      </c>
      <c r="C428" s="215" t="s">
        <v>580</v>
      </c>
      <c r="D428" s="216">
        <v>3.94</v>
      </c>
      <c r="E428" s="198"/>
      <c r="F428" s="198"/>
      <c r="G428" s="198"/>
      <c r="H428" s="198"/>
      <c r="I428" s="198"/>
      <c r="J428" s="198"/>
      <c r="K428" s="198"/>
      <c r="L428" s="198"/>
      <c r="M428" s="198"/>
      <c r="N428" s="198"/>
      <c r="O428" s="198"/>
      <c r="P428" s="198"/>
      <c r="Q428" s="198"/>
      <c r="R428" s="198"/>
      <c r="S428" s="198"/>
      <c r="T428" s="198"/>
      <c r="U428" s="198"/>
      <c r="V428" s="198"/>
      <c r="W428" s="198"/>
      <c r="X428" s="198"/>
      <c r="Y428" s="198"/>
      <c r="Z428" s="198"/>
    </row>
    <row r="429" spans="1:26" ht="15.75" hidden="1" customHeight="1" x14ac:dyDescent="0.25">
      <c r="A429" s="213">
        <v>37107</v>
      </c>
      <c r="B429" s="214" t="s">
        <v>8919</v>
      </c>
      <c r="C429" s="215" t="s">
        <v>580</v>
      </c>
      <c r="D429" s="216">
        <v>5.2</v>
      </c>
      <c r="E429" s="198"/>
      <c r="F429" s="198"/>
      <c r="G429" s="198"/>
      <c r="H429" s="198"/>
      <c r="I429" s="198"/>
      <c r="J429" s="198"/>
      <c r="K429" s="198"/>
      <c r="L429" s="198"/>
      <c r="M429" s="198"/>
      <c r="N429" s="198"/>
      <c r="O429" s="198"/>
      <c r="P429" s="198"/>
      <c r="Q429" s="198"/>
      <c r="R429" s="198"/>
      <c r="S429" s="198"/>
      <c r="T429" s="198"/>
      <c r="U429" s="198"/>
      <c r="V429" s="198"/>
      <c r="W429" s="198"/>
      <c r="X429" s="198"/>
      <c r="Y429" s="198"/>
      <c r="Z429" s="198"/>
    </row>
    <row r="430" spans="1:26" ht="15.75" hidden="1" customHeight="1" x14ac:dyDescent="0.25">
      <c r="A430" s="213">
        <v>34576</v>
      </c>
      <c r="B430" s="214" t="s">
        <v>8920</v>
      </c>
      <c r="C430" s="215" t="s">
        <v>580</v>
      </c>
      <c r="D430" s="216">
        <v>5.74</v>
      </c>
      <c r="E430" s="198"/>
      <c r="F430" s="198"/>
      <c r="G430" s="198"/>
      <c r="H430" s="198"/>
      <c r="I430" s="198"/>
      <c r="J430" s="198"/>
      <c r="K430" s="198"/>
      <c r="L430" s="198"/>
      <c r="M430" s="198"/>
      <c r="N430" s="198"/>
      <c r="O430" s="198"/>
      <c r="P430" s="198"/>
      <c r="Q430" s="198"/>
      <c r="R430" s="198"/>
      <c r="S430" s="198"/>
      <c r="T430" s="198"/>
      <c r="U430" s="198"/>
      <c r="V430" s="198"/>
      <c r="W430" s="198"/>
      <c r="X430" s="198"/>
      <c r="Y430" s="198"/>
      <c r="Z430" s="198"/>
    </row>
    <row r="431" spans="1:26" ht="15.75" hidden="1" customHeight="1" x14ac:dyDescent="0.25">
      <c r="A431" s="213">
        <v>34577</v>
      </c>
      <c r="B431" s="214" t="s">
        <v>8921</v>
      </c>
      <c r="C431" s="215" t="s">
        <v>580</v>
      </c>
      <c r="D431" s="216">
        <v>5.99</v>
      </c>
      <c r="E431" s="198"/>
      <c r="F431" s="198"/>
      <c r="G431" s="198"/>
      <c r="H431" s="198"/>
      <c r="I431" s="198"/>
      <c r="J431" s="198"/>
      <c r="K431" s="198"/>
      <c r="L431" s="198"/>
      <c r="M431" s="198"/>
      <c r="N431" s="198"/>
      <c r="O431" s="198"/>
      <c r="P431" s="198"/>
      <c r="Q431" s="198"/>
      <c r="R431" s="198"/>
      <c r="S431" s="198"/>
      <c r="T431" s="198"/>
      <c r="U431" s="198"/>
      <c r="V431" s="198"/>
      <c r="W431" s="198"/>
      <c r="X431" s="198"/>
      <c r="Y431" s="198"/>
      <c r="Z431" s="198"/>
    </row>
    <row r="432" spans="1:26" ht="15.75" hidden="1" customHeight="1" x14ac:dyDescent="0.25">
      <c r="A432" s="213">
        <v>34578</v>
      </c>
      <c r="B432" s="214" t="s">
        <v>8922</v>
      </c>
      <c r="C432" s="215" t="s">
        <v>580</v>
      </c>
      <c r="D432" s="216">
        <v>6.5</v>
      </c>
      <c r="E432" s="198"/>
      <c r="F432" s="198"/>
      <c r="G432" s="198"/>
      <c r="H432" s="198"/>
      <c r="I432" s="198"/>
      <c r="J432" s="198"/>
      <c r="K432" s="198"/>
      <c r="L432" s="198"/>
      <c r="M432" s="198"/>
      <c r="N432" s="198"/>
      <c r="O432" s="198"/>
      <c r="P432" s="198"/>
      <c r="Q432" s="198"/>
      <c r="R432" s="198"/>
      <c r="S432" s="198"/>
      <c r="T432" s="198"/>
      <c r="U432" s="198"/>
      <c r="V432" s="198"/>
      <c r="W432" s="198"/>
      <c r="X432" s="198"/>
      <c r="Y432" s="198"/>
      <c r="Z432" s="198"/>
    </row>
    <row r="433" spans="1:26" ht="15.75" hidden="1" customHeight="1" x14ac:dyDescent="0.25">
      <c r="A433" s="213">
        <v>34579</v>
      </c>
      <c r="B433" s="214" t="s">
        <v>8923</v>
      </c>
      <c r="C433" s="215" t="s">
        <v>580</v>
      </c>
      <c r="D433" s="216">
        <v>6.93</v>
      </c>
      <c r="E433" s="198"/>
      <c r="F433" s="198"/>
      <c r="G433" s="198"/>
      <c r="H433" s="198"/>
      <c r="I433" s="198"/>
      <c r="J433" s="198"/>
      <c r="K433" s="198"/>
      <c r="L433" s="198"/>
      <c r="M433" s="198"/>
      <c r="N433" s="198"/>
      <c r="O433" s="198"/>
      <c r="P433" s="198"/>
      <c r="Q433" s="198"/>
      <c r="R433" s="198"/>
      <c r="S433" s="198"/>
      <c r="T433" s="198"/>
      <c r="U433" s="198"/>
      <c r="V433" s="198"/>
      <c r="W433" s="198"/>
      <c r="X433" s="198"/>
      <c r="Y433" s="198"/>
      <c r="Z433" s="198"/>
    </row>
    <row r="434" spans="1:26" ht="15.75" hidden="1" customHeight="1" x14ac:dyDescent="0.25">
      <c r="A434" s="213">
        <v>25067</v>
      </c>
      <c r="B434" s="214" t="s">
        <v>8924</v>
      </c>
      <c r="C434" s="215" t="s">
        <v>580</v>
      </c>
      <c r="D434" s="216">
        <v>4.6399999999999997</v>
      </c>
      <c r="E434" s="198"/>
      <c r="F434" s="198"/>
      <c r="G434" s="198"/>
      <c r="H434" s="198"/>
      <c r="I434" s="198"/>
      <c r="J434" s="198"/>
      <c r="K434" s="198"/>
      <c r="L434" s="198"/>
      <c r="M434" s="198"/>
      <c r="N434" s="198"/>
      <c r="O434" s="198"/>
      <c r="P434" s="198"/>
      <c r="Q434" s="198"/>
      <c r="R434" s="198"/>
      <c r="S434" s="198"/>
      <c r="T434" s="198"/>
      <c r="U434" s="198"/>
      <c r="V434" s="198"/>
      <c r="W434" s="198"/>
      <c r="X434" s="198"/>
      <c r="Y434" s="198"/>
      <c r="Z434" s="198"/>
    </row>
    <row r="435" spans="1:26" ht="15.75" hidden="1" customHeight="1" x14ac:dyDescent="0.25">
      <c r="A435" s="213">
        <v>34580</v>
      </c>
      <c r="B435" s="214" t="s">
        <v>8925</v>
      </c>
      <c r="C435" s="215" t="s">
        <v>580</v>
      </c>
      <c r="D435" s="216">
        <v>5.18</v>
      </c>
      <c r="E435" s="198"/>
      <c r="F435" s="198"/>
      <c r="G435" s="198"/>
      <c r="H435" s="198"/>
      <c r="I435" s="198"/>
      <c r="J435" s="198"/>
      <c r="K435" s="198"/>
      <c r="L435" s="198"/>
      <c r="M435" s="198"/>
      <c r="N435" s="198"/>
      <c r="O435" s="198"/>
      <c r="P435" s="198"/>
      <c r="Q435" s="198"/>
      <c r="R435" s="198"/>
      <c r="S435" s="198"/>
      <c r="T435" s="198"/>
      <c r="U435" s="198"/>
      <c r="V435" s="198"/>
      <c r="W435" s="198"/>
      <c r="X435" s="198"/>
      <c r="Y435" s="198"/>
      <c r="Z435" s="198"/>
    </row>
    <row r="436" spans="1:26" ht="15.75" hidden="1" customHeight="1" x14ac:dyDescent="0.25">
      <c r="A436" s="213">
        <v>25071</v>
      </c>
      <c r="B436" s="214" t="s">
        <v>8926</v>
      </c>
      <c r="C436" s="215" t="s">
        <v>580</v>
      </c>
      <c r="D436" s="216">
        <v>2.58</v>
      </c>
      <c r="E436" s="198"/>
      <c r="F436" s="198"/>
      <c r="G436" s="198"/>
      <c r="H436" s="198"/>
      <c r="I436" s="198"/>
      <c r="J436" s="198"/>
      <c r="K436" s="198"/>
      <c r="L436" s="198"/>
      <c r="M436" s="198"/>
      <c r="N436" s="198"/>
      <c r="O436" s="198"/>
      <c r="P436" s="198"/>
      <c r="Q436" s="198"/>
      <c r="R436" s="198"/>
      <c r="S436" s="198"/>
      <c r="T436" s="198"/>
      <c r="U436" s="198"/>
      <c r="V436" s="198"/>
      <c r="W436" s="198"/>
      <c r="X436" s="198"/>
      <c r="Y436" s="198"/>
      <c r="Z436" s="198"/>
    </row>
    <row r="437" spans="1:26" ht="15.75" hidden="1" customHeight="1" x14ac:dyDescent="0.25">
      <c r="A437" s="213">
        <v>44171</v>
      </c>
      <c r="B437" s="214" t="s">
        <v>8927</v>
      </c>
      <c r="C437" s="215" t="s">
        <v>580</v>
      </c>
      <c r="D437" s="216">
        <v>19.98</v>
      </c>
      <c r="E437" s="198"/>
      <c r="F437" s="198"/>
      <c r="G437" s="198"/>
      <c r="H437" s="198"/>
      <c r="I437" s="198"/>
      <c r="J437" s="198"/>
      <c r="K437" s="198"/>
      <c r="L437" s="198"/>
      <c r="M437" s="198"/>
      <c r="N437" s="198"/>
      <c r="O437" s="198"/>
      <c r="P437" s="198"/>
      <c r="Q437" s="198"/>
      <c r="R437" s="198"/>
      <c r="S437" s="198"/>
      <c r="T437" s="198"/>
      <c r="U437" s="198"/>
      <c r="V437" s="198"/>
      <c r="W437" s="198"/>
      <c r="X437" s="198"/>
      <c r="Y437" s="198"/>
      <c r="Z437" s="198"/>
    </row>
    <row r="438" spans="1:26" ht="15.75" hidden="1" customHeight="1" x14ac:dyDescent="0.25">
      <c r="A438" s="213">
        <v>38395</v>
      </c>
      <c r="B438" s="214" t="s">
        <v>8928</v>
      </c>
      <c r="C438" s="215" t="s">
        <v>580</v>
      </c>
      <c r="D438" s="216">
        <v>7.6</v>
      </c>
      <c r="E438" s="198"/>
      <c r="F438" s="198"/>
      <c r="G438" s="198"/>
      <c r="H438" s="198"/>
      <c r="I438" s="198"/>
      <c r="J438" s="198"/>
      <c r="K438" s="198"/>
      <c r="L438" s="198"/>
      <c r="M438" s="198"/>
      <c r="N438" s="198"/>
      <c r="O438" s="198"/>
      <c r="P438" s="198"/>
      <c r="Q438" s="198"/>
      <c r="R438" s="198"/>
      <c r="S438" s="198"/>
      <c r="T438" s="198"/>
      <c r="U438" s="198"/>
      <c r="V438" s="198"/>
      <c r="W438" s="198"/>
      <c r="X438" s="198"/>
      <c r="Y438" s="198"/>
      <c r="Z438" s="198"/>
    </row>
    <row r="439" spans="1:26" ht="15.75" hidden="1" customHeight="1" x14ac:dyDescent="0.25">
      <c r="A439" s="213">
        <v>34583</v>
      </c>
      <c r="B439" s="214" t="s">
        <v>8929</v>
      </c>
      <c r="C439" s="215" t="s">
        <v>578</v>
      </c>
      <c r="D439" s="216">
        <v>61.35</v>
      </c>
      <c r="E439" s="198"/>
      <c r="F439" s="198"/>
      <c r="G439" s="198"/>
      <c r="H439" s="198"/>
      <c r="I439" s="198"/>
      <c r="J439" s="198"/>
      <c r="K439" s="198"/>
      <c r="L439" s="198"/>
      <c r="M439" s="198"/>
      <c r="N439" s="198"/>
      <c r="O439" s="198"/>
      <c r="P439" s="198"/>
      <c r="Q439" s="198"/>
      <c r="R439" s="198"/>
      <c r="S439" s="198"/>
      <c r="T439" s="198"/>
      <c r="U439" s="198"/>
      <c r="V439" s="198"/>
      <c r="W439" s="198"/>
      <c r="X439" s="198"/>
      <c r="Y439" s="198"/>
      <c r="Z439" s="198"/>
    </row>
    <row r="440" spans="1:26" ht="15.75" hidden="1" customHeight="1" x14ac:dyDescent="0.25">
      <c r="A440" s="213">
        <v>34584</v>
      </c>
      <c r="B440" s="214" t="s">
        <v>8930</v>
      </c>
      <c r="C440" s="215" t="s">
        <v>578</v>
      </c>
      <c r="D440" s="216">
        <v>44.99</v>
      </c>
      <c r="E440" s="198"/>
      <c r="F440" s="198"/>
      <c r="G440" s="198"/>
      <c r="H440" s="198"/>
      <c r="I440" s="198"/>
      <c r="J440" s="198"/>
      <c r="K440" s="198"/>
      <c r="L440" s="198"/>
      <c r="M440" s="198"/>
      <c r="N440" s="198"/>
      <c r="O440" s="198"/>
      <c r="P440" s="198"/>
      <c r="Q440" s="198"/>
      <c r="R440" s="198"/>
      <c r="S440" s="198"/>
      <c r="T440" s="198"/>
      <c r="U440" s="198"/>
      <c r="V440" s="198"/>
      <c r="W440" s="198"/>
      <c r="X440" s="198"/>
      <c r="Y440" s="198"/>
      <c r="Z440" s="198"/>
    </row>
    <row r="441" spans="1:26" ht="15.75" hidden="1" customHeight="1" x14ac:dyDescent="0.25">
      <c r="A441" s="213">
        <v>34592</v>
      </c>
      <c r="B441" s="214" t="s">
        <v>8931</v>
      </c>
      <c r="C441" s="215" t="s">
        <v>580</v>
      </c>
      <c r="D441" s="216">
        <v>2.95</v>
      </c>
      <c r="E441" s="198"/>
      <c r="F441" s="198"/>
      <c r="G441" s="198"/>
      <c r="H441" s="198"/>
      <c r="I441" s="198"/>
      <c r="J441" s="198"/>
      <c r="K441" s="198"/>
      <c r="L441" s="198"/>
      <c r="M441" s="198"/>
      <c r="N441" s="198"/>
      <c r="O441" s="198"/>
      <c r="P441" s="198"/>
      <c r="Q441" s="198"/>
      <c r="R441" s="198"/>
      <c r="S441" s="198"/>
      <c r="T441" s="198"/>
      <c r="U441" s="198"/>
      <c r="V441" s="198"/>
      <c r="W441" s="198"/>
      <c r="X441" s="198"/>
      <c r="Y441" s="198"/>
      <c r="Z441" s="198"/>
    </row>
    <row r="442" spans="1:26" ht="15.75" hidden="1" customHeight="1" x14ac:dyDescent="0.25">
      <c r="A442" s="213">
        <v>34599</v>
      </c>
      <c r="B442" s="214" t="s">
        <v>8932</v>
      </c>
      <c r="C442" s="215" t="s">
        <v>580</v>
      </c>
      <c r="D442" s="216">
        <v>2.65</v>
      </c>
      <c r="E442" s="198"/>
      <c r="F442" s="198"/>
      <c r="G442" s="198"/>
      <c r="H442" s="198"/>
      <c r="I442" s="198"/>
      <c r="J442" s="198"/>
      <c r="K442" s="198"/>
      <c r="L442" s="198"/>
      <c r="M442" s="198"/>
      <c r="N442" s="198"/>
      <c r="O442" s="198"/>
      <c r="P442" s="198"/>
      <c r="Q442" s="198"/>
      <c r="R442" s="198"/>
      <c r="S442" s="198"/>
      <c r="T442" s="198"/>
      <c r="U442" s="198"/>
      <c r="V442" s="198"/>
      <c r="W442" s="198"/>
      <c r="X442" s="198"/>
      <c r="Y442" s="198"/>
      <c r="Z442" s="198"/>
    </row>
    <row r="443" spans="1:26" ht="15.75" hidden="1" customHeight="1" x14ac:dyDescent="0.25">
      <c r="A443" s="213">
        <v>651</v>
      </c>
      <c r="B443" s="214" t="s">
        <v>8933</v>
      </c>
      <c r="C443" s="215" t="s">
        <v>580</v>
      </c>
      <c r="D443" s="216">
        <v>3.25</v>
      </c>
      <c r="E443" s="198"/>
      <c r="F443" s="198"/>
      <c r="G443" s="198"/>
      <c r="H443" s="198"/>
      <c r="I443" s="198"/>
      <c r="J443" s="198"/>
      <c r="K443" s="198"/>
      <c r="L443" s="198"/>
      <c r="M443" s="198"/>
      <c r="N443" s="198"/>
      <c r="O443" s="198"/>
      <c r="P443" s="198"/>
      <c r="Q443" s="198"/>
      <c r="R443" s="198"/>
      <c r="S443" s="198"/>
      <c r="T443" s="198"/>
      <c r="U443" s="198"/>
      <c r="V443" s="198"/>
      <c r="W443" s="198"/>
      <c r="X443" s="198"/>
      <c r="Y443" s="198"/>
      <c r="Z443" s="198"/>
    </row>
    <row r="444" spans="1:26" ht="15.75" hidden="1" customHeight="1" x14ac:dyDescent="0.25">
      <c r="A444" s="213">
        <v>654</v>
      </c>
      <c r="B444" s="214" t="s">
        <v>8934</v>
      </c>
      <c r="C444" s="215" t="s">
        <v>580</v>
      </c>
      <c r="D444" s="216">
        <v>4.03</v>
      </c>
      <c r="E444" s="198"/>
      <c r="F444" s="198"/>
      <c r="G444" s="198"/>
      <c r="H444" s="198"/>
      <c r="I444" s="198"/>
      <c r="J444" s="198"/>
      <c r="K444" s="198"/>
      <c r="L444" s="198"/>
      <c r="M444" s="198"/>
      <c r="N444" s="198"/>
      <c r="O444" s="198"/>
      <c r="P444" s="198"/>
      <c r="Q444" s="198"/>
      <c r="R444" s="198"/>
      <c r="S444" s="198"/>
      <c r="T444" s="198"/>
      <c r="U444" s="198"/>
      <c r="V444" s="198"/>
      <c r="W444" s="198"/>
      <c r="X444" s="198"/>
      <c r="Y444" s="198"/>
      <c r="Z444" s="198"/>
    </row>
    <row r="445" spans="1:26" ht="15.75" hidden="1" customHeight="1" x14ac:dyDescent="0.25">
      <c r="A445" s="213">
        <v>37103</v>
      </c>
      <c r="B445" s="214" t="s">
        <v>8935</v>
      </c>
      <c r="C445" s="215" t="s">
        <v>580</v>
      </c>
      <c r="D445" s="216">
        <v>3.37</v>
      </c>
      <c r="E445" s="198"/>
      <c r="F445" s="198"/>
      <c r="G445" s="198"/>
      <c r="H445" s="198"/>
      <c r="I445" s="198"/>
      <c r="J445" s="198"/>
      <c r="K445" s="198"/>
      <c r="L445" s="198"/>
      <c r="M445" s="198"/>
      <c r="N445" s="198"/>
      <c r="O445" s="198"/>
      <c r="P445" s="198"/>
      <c r="Q445" s="198"/>
      <c r="R445" s="198"/>
      <c r="S445" s="198"/>
      <c r="T445" s="198"/>
      <c r="U445" s="198"/>
      <c r="V445" s="198"/>
      <c r="W445" s="198"/>
      <c r="X445" s="198"/>
      <c r="Y445" s="198"/>
      <c r="Z445" s="198"/>
    </row>
    <row r="446" spans="1:26" ht="15.75" hidden="1" customHeight="1" x14ac:dyDescent="0.25">
      <c r="A446" s="213">
        <v>34555</v>
      </c>
      <c r="B446" s="214" t="s">
        <v>8936</v>
      </c>
      <c r="C446" s="215" t="s">
        <v>580</v>
      </c>
      <c r="D446" s="216">
        <v>4.28</v>
      </c>
      <c r="E446" s="198"/>
      <c r="F446" s="198"/>
      <c r="G446" s="198"/>
      <c r="H446" s="198"/>
      <c r="I446" s="198"/>
      <c r="J446" s="198"/>
      <c r="K446" s="198"/>
      <c r="L446" s="198"/>
      <c r="M446" s="198"/>
      <c r="N446" s="198"/>
      <c r="O446" s="198"/>
      <c r="P446" s="198"/>
      <c r="Q446" s="198"/>
      <c r="R446" s="198"/>
      <c r="S446" s="198"/>
      <c r="T446" s="198"/>
      <c r="U446" s="198"/>
      <c r="V446" s="198"/>
      <c r="W446" s="198"/>
      <c r="X446" s="198"/>
      <c r="Y446" s="198"/>
      <c r="Z446" s="198"/>
    </row>
    <row r="447" spans="1:26" ht="15.75" hidden="1" customHeight="1" x14ac:dyDescent="0.25">
      <c r="A447" s="213">
        <v>650</v>
      </c>
      <c r="B447" s="214" t="s">
        <v>8937</v>
      </c>
      <c r="C447" s="215" t="s">
        <v>580</v>
      </c>
      <c r="D447" s="216">
        <v>2.6</v>
      </c>
      <c r="E447" s="198"/>
      <c r="F447" s="198"/>
      <c r="G447" s="198"/>
      <c r="H447" s="198"/>
      <c r="I447" s="198"/>
      <c r="J447" s="198"/>
      <c r="K447" s="198"/>
      <c r="L447" s="198"/>
      <c r="M447" s="198"/>
      <c r="N447" s="198"/>
      <c r="O447" s="198"/>
      <c r="P447" s="198"/>
      <c r="Q447" s="198"/>
      <c r="R447" s="198"/>
      <c r="S447" s="198"/>
      <c r="T447" s="198"/>
      <c r="U447" s="198"/>
      <c r="V447" s="198"/>
      <c r="W447" s="198"/>
      <c r="X447" s="198"/>
      <c r="Y447" s="198"/>
      <c r="Z447" s="198"/>
    </row>
    <row r="448" spans="1:26" ht="15.75" hidden="1" customHeight="1" x14ac:dyDescent="0.25">
      <c r="A448" s="213">
        <v>718</v>
      </c>
      <c r="B448" s="214" t="s">
        <v>8938</v>
      </c>
      <c r="C448" s="215" t="s">
        <v>580</v>
      </c>
      <c r="D448" s="216">
        <v>15.71</v>
      </c>
      <c r="E448" s="198"/>
      <c r="F448" s="198"/>
      <c r="G448" s="198"/>
      <c r="H448" s="198"/>
      <c r="I448" s="198"/>
      <c r="J448" s="198"/>
      <c r="K448" s="198"/>
      <c r="L448" s="198"/>
      <c r="M448" s="198"/>
      <c r="N448" s="198"/>
      <c r="O448" s="198"/>
      <c r="P448" s="198"/>
      <c r="Q448" s="198"/>
      <c r="R448" s="198"/>
      <c r="S448" s="198"/>
      <c r="T448" s="198"/>
      <c r="U448" s="198"/>
      <c r="V448" s="198"/>
      <c r="W448" s="198"/>
      <c r="X448" s="198"/>
      <c r="Y448" s="198"/>
      <c r="Z448" s="198"/>
    </row>
    <row r="449" spans="1:26" ht="15.75" hidden="1" customHeight="1" x14ac:dyDescent="0.25">
      <c r="A449" s="213">
        <v>11981</v>
      </c>
      <c r="B449" s="214" t="s">
        <v>8939</v>
      </c>
      <c r="C449" s="215" t="s">
        <v>580</v>
      </c>
      <c r="D449" s="216">
        <v>15.26</v>
      </c>
      <c r="E449" s="198"/>
      <c r="F449" s="198"/>
      <c r="G449" s="198"/>
      <c r="H449" s="198"/>
      <c r="I449" s="198"/>
      <c r="J449" s="198"/>
      <c r="K449" s="198"/>
      <c r="L449" s="198"/>
      <c r="M449" s="198"/>
      <c r="N449" s="198"/>
      <c r="O449" s="198"/>
      <c r="P449" s="198"/>
      <c r="Q449" s="198"/>
      <c r="R449" s="198"/>
      <c r="S449" s="198"/>
      <c r="T449" s="198"/>
      <c r="U449" s="198"/>
      <c r="V449" s="198"/>
      <c r="W449" s="198"/>
      <c r="X449" s="198"/>
      <c r="Y449" s="198"/>
      <c r="Z449" s="198"/>
    </row>
    <row r="450" spans="1:26" ht="15.75" hidden="1" customHeight="1" x14ac:dyDescent="0.25">
      <c r="A450" s="213">
        <v>34586</v>
      </c>
      <c r="B450" s="214" t="s">
        <v>8940</v>
      </c>
      <c r="C450" s="215" t="s">
        <v>580</v>
      </c>
      <c r="D450" s="216">
        <v>1.97</v>
      </c>
      <c r="E450" s="198"/>
      <c r="F450" s="198"/>
      <c r="G450" s="198"/>
      <c r="H450" s="198"/>
      <c r="I450" s="198"/>
      <c r="J450" s="198"/>
      <c r="K450" s="198"/>
      <c r="L450" s="198"/>
      <c r="M450" s="198"/>
      <c r="N450" s="198"/>
      <c r="O450" s="198"/>
      <c r="P450" s="198"/>
      <c r="Q450" s="198"/>
      <c r="R450" s="198"/>
      <c r="S450" s="198"/>
      <c r="T450" s="198"/>
      <c r="U450" s="198"/>
      <c r="V450" s="198"/>
      <c r="W450" s="198"/>
      <c r="X450" s="198"/>
      <c r="Y450" s="198"/>
      <c r="Z450" s="198"/>
    </row>
    <row r="451" spans="1:26" ht="15.75" hidden="1" customHeight="1" x14ac:dyDescent="0.25">
      <c r="A451" s="213">
        <v>38603</v>
      </c>
      <c r="B451" s="214" t="s">
        <v>8941</v>
      </c>
      <c r="C451" s="215" t="s">
        <v>580</v>
      </c>
      <c r="D451" s="216">
        <v>2.34</v>
      </c>
      <c r="E451" s="198"/>
      <c r="F451" s="198"/>
      <c r="G451" s="198"/>
      <c r="H451" s="198"/>
      <c r="I451" s="198"/>
      <c r="J451" s="198"/>
      <c r="K451" s="198"/>
      <c r="L451" s="198"/>
      <c r="M451" s="198"/>
      <c r="N451" s="198"/>
      <c r="O451" s="198"/>
      <c r="P451" s="198"/>
      <c r="Q451" s="198"/>
      <c r="R451" s="198"/>
      <c r="S451" s="198"/>
      <c r="T451" s="198"/>
      <c r="U451" s="198"/>
      <c r="V451" s="198"/>
      <c r="W451" s="198"/>
      <c r="X451" s="198"/>
      <c r="Y451" s="198"/>
      <c r="Z451" s="198"/>
    </row>
    <row r="452" spans="1:26" ht="15.75" hidden="1" customHeight="1" x14ac:dyDescent="0.25">
      <c r="A452" s="213">
        <v>34588</v>
      </c>
      <c r="B452" s="214" t="s">
        <v>8942</v>
      </c>
      <c r="C452" s="215" t="s">
        <v>580</v>
      </c>
      <c r="D452" s="216">
        <v>2.66</v>
      </c>
      <c r="E452" s="198"/>
      <c r="F452" s="198"/>
      <c r="G452" s="198"/>
      <c r="H452" s="198"/>
      <c r="I452" s="198"/>
      <c r="J452" s="198"/>
      <c r="K452" s="198"/>
      <c r="L452" s="198"/>
      <c r="M452" s="198"/>
      <c r="N452" s="198"/>
      <c r="O452" s="198"/>
      <c r="P452" s="198"/>
      <c r="Q452" s="198"/>
      <c r="R452" s="198"/>
      <c r="S452" s="198"/>
      <c r="T452" s="198"/>
      <c r="U452" s="198"/>
      <c r="V452" s="198"/>
      <c r="W452" s="198"/>
      <c r="X452" s="198"/>
      <c r="Y452" s="198"/>
      <c r="Z452" s="198"/>
    </row>
    <row r="453" spans="1:26" ht="15.75" hidden="1" customHeight="1" x14ac:dyDescent="0.25">
      <c r="A453" s="213">
        <v>34590</v>
      </c>
      <c r="B453" s="214" t="s">
        <v>8943</v>
      </c>
      <c r="C453" s="215" t="s">
        <v>580</v>
      </c>
      <c r="D453" s="216">
        <v>2.64</v>
      </c>
      <c r="E453" s="198"/>
      <c r="F453" s="198"/>
      <c r="G453" s="198"/>
      <c r="H453" s="198"/>
      <c r="I453" s="198"/>
      <c r="J453" s="198"/>
      <c r="K453" s="198"/>
      <c r="L453" s="198"/>
      <c r="M453" s="198"/>
      <c r="N453" s="198"/>
      <c r="O453" s="198"/>
      <c r="P453" s="198"/>
      <c r="Q453" s="198"/>
      <c r="R453" s="198"/>
      <c r="S453" s="198"/>
      <c r="T453" s="198"/>
      <c r="U453" s="198"/>
      <c r="V453" s="198"/>
      <c r="W453" s="198"/>
      <c r="X453" s="198"/>
      <c r="Y453" s="198"/>
      <c r="Z453" s="198"/>
    </row>
    <row r="454" spans="1:26" ht="15.75" hidden="1" customHeight="1" x14ac:dyDescent="0.25">
      <c r="A454" s="213">
        <v>34591</v>
      </c>
      <c r="B454" s="214" t="s">
        <v>8944</v>
      </c>
      <c r="C454" s="215" t="s">
        <v>580</v>
      </c>
      <c r="D454" s="216">
        <v>3.22</v>
      </c>
      <c r="E454" s="198"/>
      <c r="F454" s="198"/>
      <c r="G454" s="198"/>
      <c r="H454" s="198"/>
      <c r="I454" s="198"/>
      <c r="J454" s="198"/>
      <c r="K454" s="198"/>
      <c r="L454" s="198"/>
      <c r="M454" s="198"/>
      <c r="N454" s="198"/>
      <c r="O454" s="198"/>
      <c r="P454" s="198"/>
      <c r="Q454" s="198"/>
      <c r="R454" s="198"/>
      <c r="S454" s="198"/>
      <c r="T454" s="198"/>
      <c r="U454" s="198"/>
      <c r="V454" s="198"/>
      <c r="W454" s="198"/>
      <c r="X454" s="198"/>
      <c r="Y454" s="198"/>
      <c r="Z454" s="198"/>
    </row>
    <row r="455" spans="1:26" ht="15.75" hidden="1" customHeight="1" x14ac:dyDescent="0.25">
      <c r="A455" s="213">
        <v>40517</v>
      </c>
      <c r="B455" s="214" t="s">
        <v>8945</v>
      </c>
      <c r="C455" s="215" t="s">
        <v>578</v>
      </c>
      <c r="D455" s="216">
        <v>45.78</v>
      </c>
      <c r="E455" s="198"/>
      <c r="F455" s="198"/>
      <c r="G455" s="198"/>
      <c r="H455" s="198"/>
      <c r="I455" s="198"/>
      <c r="J455" s="198"/>
      <c r="K455" s="198"/>
      <c r="L455" s="198"/>
      <c r="M455" s="198"/>
      <c r="N455" s="198"/>
      <c r="O455" s="198"/>
      <c r="P455" s="198"/>
      <c r="Q455" s="198"/>
      <c r="R455" s="198"/>
      <c r="S455" s="198"/>
      <c r="T455" s="198"/>
      <c r="U455" s="198"/>
      <c r="V455" s="198"/>
      <c r="W455" s="198"/>
      <c r="X455" s="198"/>
      <c r="Y455" s="198"/>
      <c r="Z455" s="198"/>
    </row>
    <row r="456" spans="1:26" ht="15.75" hidden="1" customHeight="1" x14ac:dyDescent="0.25">
      <c r="A456" s="213">
        <v>40515</v>
      </c>
      <c r="B456" s="214" t="s">
        <v>8946</v>
      </c>
      <c r="C456" s="215" t="s">
        <v>578</v>
      </c>
      <c r="D456" s="216">
        <v>103.02</v>
      </c>
      <c r="E456" s="198"/>
      <c r="F456" s="198"/>
      <c r="G456" s="198"/>
      <c r="H456" s="198"/>
      <c r="I456" s="198"/>
      <c r="J456" s="198"/>
      <c r="K456" s="198"/>
      <c r="L456" s="198"/>
      <c r="M456" s="198"/>
      <c r="N456" s="198"/>
      <c r="O456" s="198"/>
      <c r="P456" s="198"/>
      <c r="Q456" s="198"/>
      <c r="R456" s="198"/>
      <c r="S456" s="198"/>
      <c r="T456" s="198"/>
      <c r="U456" s="198"/>
      <c r="V456" s="198"/>
      <c r="W456" s="198"/>
      <c r="X456" s="198"/>
      <c r="Y456" s="198"/>
      <c r="Z456" s="198"/>
    </row>
    <row r="457" spans="1:26" ht="15.75" hidden="1" customHeight="1" x14ac:dyDescent="0.25">
      <c r="A457" s="213">
        <v>40524</v>
      </c>
      <c r="B457" s="214" t="s">
        <v>8947</v>
      </c>
      <c r="C457" s="215" t="s">
        <v>578</v>
      </c>
      <c r="D457" s="216">
        <v>64.39</v>
      </c>
      <c r="E457" s="198"/>
      <c r="F457" s="198"/>
      <c r="G457" s="198"/>
      <c r="H457" s="198"/>
      <c r="I457" s="198"/>
      <c r="J457" s="198"/>
      <c r="K457" s="198"/>
      <c r="L457" s="198"/>
      <c r="M457" s="198"/>
      <c r="N457" s="198"/>
      <c r="O457" s="198"/>
      <c r="P457" s="198"/>
      <c r="Q457" s="198"/>
      <c r="R457" s="198"/>
      <c r="S457" s="198"/>
      <c r="T457" s="198"/>
      <c r="U457" s="198"/>
      <c r="V457" s="198"/>
      <c r="W457" s="198"/>
      <c r="X457" s="198"/>
      <c r="Y457" s="198"/>
      <c r="Z457" s="198"/>
    </row>
    <row r="458" spans="1:26" ht="15.75" hidden="1" customHeight="1" x14ac:dyDescent="0.25">
      <c r="A458" s="213">
        <v>40529</v>
      </c>
      <c r="B458" s="214" t="s">
        <v>8948</v>
      </c>
      <c r="C458" s="215" t="s">
        <v>578</v>
      </c>
      <c r="D458" s="216">
        <v>65.819999999999993</v>
      </c>
      <c r="E458" s="198"/>
      <c r="F458" s="198"/>
      <c r="G458" s="198"/>
      <c r="H458" s="198"/>
      <c r="I458" s="198"/>
      <c r="J458" s="198"/>
      <c r="K458" s="198"/>
      <c r="L458" s="198"/>
      <c r="M458" s="198"/>
      <c r="N458" s="198"/>
      <c r="O458" s="198"/>
      <c r="P458" s="198"/>
      <c r="Q458" s="198"/>
      <c r="R458" s="198"/>
      <c r="S458" s="198"/>
      <c r="T458" s="198"/>
      <c r="U458" s="198"/>
      <c r="V458" s="198"/>
      <c r="W458" s="198"/>
      <c r="X458" s="198"/>
      <c r="Y458" s="198"/>
      <c r="Z458" s="198"/>
    </row>
    <row r="459" spans="1:26" ht="15.75" hidden="1" customHeight="1" x14ac:dyDescent="0.25">
      <c r="A459" s="213">
        <v>36156</v>
      </c>
      <c r="B459" s="214" t="s">
        <v>8949</v>
      </c>
      <c r="C459" s="215" t="s">
        <v>578</v>
      </c>
      <c r="D459" s="216">
        <v>50.08</v>
      </c>
      <c r="E459" s="198"/>
      <c r="F459" s="198"/>
      <c r="G459" s="198"/>
      <c r="H459" s="198"/>
      <c r="I459" s="198"/>
      <c r="J459" s="198"/>
      <c r="K459" s="198"/>
      <c r="L459" s="198"/>
      <c r="M459" s="198"/>
      <c r="N459" s="198"/>
      <c r="O459" s="198"/>
      <c r="P459" s="198"/>
      <c r="Q459" s="198"/>
      <c r="R459" s="198"/>
      <c r="S459" s="198"/>
      <c r="T459" s="198"/>
      <c r="U459" s="198"/>
      <c r="V459" s="198"/>
      <c r="W459" s="198"/>
      <c r="X459" s="198"/>
      <c r="Y459" s="198"/>
      <c r="Z459" s="198"/>
    </row>
    <row r="460" spans="1:26" ht="15.75" hidden="1" customHeight="1" x14ac:dyDescent="0.25">
      <c r="A460" s="213">
        <v>36155</v>
      </c>
      <c r="B460" s="214" t="s">
        <v>8950</v>
      </c>
      <c r="C460" s="215" t="s">
        <v>578</v>
      </c>
      <c r="D460" s="216">
        <v>43.23</v>
      </c>
      <c r="E460" s="198"/>
      <c r="F460" s="198"/>
      <c r="G460" s="198"/>
      <c r="H460" s="198"/>
      <c r="I460" s="198"/>
      <c r="J460" s="198"/>
      <c r="K460" s="198"/>
      <c r="L460" s="198"/>
      <c r="M460" s="198"/>
      <c r="N460" s="198"/>
      <c r="O460" s="198"/>
      <c r="P460" s="198"/>
      <c r="Q460" s="198"/>
      <c r="R460" s="198"/>
      <c r="S460" s="198"/>
      <c r="T460" s="198"/>
      <c r="U460" s="198"/>
      <c r="V460" s="198"/>
      <c r="W460" s="198"/>
      <c r="X460" s="198"/>
      <c r="Y460" s="198"/>
      <c r="Z460" s="198"/>
    </row>
    <row r="461" spans="1:26" ht="15.75" hidden="1" customHeight="1" x14ac:dyDescent="0.25">
      <c r="A461" s="213">
        <v>36154</v>
      </c>
      <c r="B461" s="214" t="s">
        <v>8951</v>
      </c>
      <c r="C461" s="215" t="s">
        <v>578</v>
      </c>
      <c r="D461" s="216">
        <v>60.09</v>
      </c>
      <c r="E461" s="198"/>
      <c r="F461" s="198"/>
      <c r="G461" s="198"/>
      <c r="H461" s="198"/>
      <c r="I461" s="198"/>
      <c r="J461" s="198"/>
      <c r="K461" s="198"/>
      <c r="L461" s="198"/>
      <c r="M461" s="198"/>
      <c r="N461" s="198"/>
      <c r="O461" s="198"/>
      <c r="P461" s="198"/>
      <c r="Q461" s="198"/>
      <c r="R461" s="198"/>
      <c r="S461" s="198"/>
      <c r="T461" s="198"/>
      <c r="U461" s="198"/>
      <c r="V461" s="198"/>
      <c r="W461" s="198"/>
      <c r="X461" s="198"/>
      <c r="Y461" s="198"/>
      <c r="Z461" s="198"/>
    </row>
    <row r="462" spans="1:26" ht="15.75" hidden="1" customHeight="1" x14ac:dyDescent="0.25">
      <c r="A462" s="213">
        <v>36170</v>
      </c>
      <c r="B462" s="214" t="s">
        <v>8952</v>
      </c>
      <c r="C462" s="215" t="s">
        <v>578</v>
      </c>
      <c r="D462" s="216">
        <v>54.61</v>
      </c>
      <c r="E462" s="198"/>
      <c r="F462" s="198"/>
      <c r="G462" s="198"/>
      <c r="H462" s="198"/>
      <c r="I462" s="198"/>
      <c r="J462" s="198"/>
      <c r="K462" s="198"/>
      <c r="L462" s="198"/>
      <c r="M462" s="198"/>
      <c r="N462" s="198"/>
      <c r="O462" s="198"/>
      <c r="P462" s="198"/>
      <c r="Q462" s="198"/>
      <c r="R462" s="198"/>
      <c r="S462" s="198"/>
      <c r="T462" s="198"/>
      <c r="U462" s="198"/>
      <c r="V462" s="198"/>
      <c r="W462" s="198"/>
      <c r="X462" s="198"/>
      <c r="Y462" s="198"/>
      <c r="Z462" s="198"/>
    </row>
    <row r="463" spans="1:26" ht="15.75" hidden="1" customHeight="1" x14ac:dyDescent="0.25">
      <c r="A463" s="213">
        <v>695</v>
      </c>
      <c r="B463" s="214" t="s">
        <v>8953</v>
      </c>
      <c r="C463" s="215" t="s">
        <v>578</v>
      </c>
      <c r="D463" s="216">
        <v>44.14</v>
      </c>
      <c r="E463" s="198"/>
      <c r="F463" s="198"/>
      <c r="G463" s="198"/>
      <c r="H463" s="198"/>
      <c r="I463" s="198"/>
      <c r="J463" s="198"/>
      <c r="K463" s="198"/>
      <c r="L463" s="198"/>
      <c r="M463" s="198"/>
      <c r="N463" s="198"/>
      <c r="O463" s="198"/>
      <c r="P463" s="198"/>
      <c r="Q463" s="198"/>
      <c r="R463" s="198"/>
      <c r="S463" s="198"/>
      <c r="T463" s="198"/>
      <c r="U463" s="198"/>
      <c r="V463" s="198"/>
      <c r="W463" s="198"/>
      <c r="X463" s="198"/>
      <c r="Y463" s="198"/>
      <c r="Z463" s="198"/>
    </row>
    <row r="464" spans="1:26" ht="15.75" hidden="1" customHeight="1" x14ac:dyDescent="0.25">
      <c r="A464" s="213">
        <v>679</v>
      </c>
      <c r="B464" s="214" t="s">
        <v>8954</v>
      </c>
      <c r="C464" s="215" t="s">
        <v>578</v>
      </c>
      <c r="D464" s="216">
        <v>65.819999999999993</v>
      </c>
      <c r="E464" s="198"/>
      <c r="F464" s="198"/>
      <c r="G464" s="198"/>
      <c r="H464" s="198"/>
      <c r="I464" s="198"/>
      <c r="J464" s="198"/>
      <c r="K464" s="198"/>
      <c r="L464" s="198"/>
      <c r="M464" s="198"/>
      <c r="N464" s="198"/>
      <c r="O464" s="198"/>
      <c r="P464" s="198"/>
      <c r="Q464" s="198"/>
      <c r="R464" s="198"/>
      <c r="S464" s="198"/>
      <c r="T464" s="198"/>
      <c r="U464" s="198"/>
      <c r="V464" s="198"/>
      <c r="W464" s="198"/>
      <c r="X464" s="198"/>
      <c r="Y464" s="198"/>
      <c r="Z464" s="198"/>
    </row>
    <row r="465" spans="1:26" ht="15.75" hidden="1" customHeight="1" x14ac:dyDescent="0.25">
      <c r="A465" s="213">
        <v>711</v>
      </c>
      <c r="B465" s="214" t="s">
        <v>8955</v>
      </c>
      <c r="C465" s="215" t="s">
        <v>578</v>
      </c>
      <c r="D465" s="216">
        <v>43.54</v>
      </c>
      <c r="E465" s="198"/>
      <c r="F465" s="198"/>
      <c r="G465" s="198"/>
      <c r="H465" s="198"/>
      <c r="I465" s="198"/>
      <c r="J465" s="198"/>
      <c r="K465" s="198"/>
      <c r="L465" s="198"/>
      <c r="M465" s="198"/>
      <c r="N465" s="198"/>
      <c r="O465" s="198"/>
      <c r="P465" s="198"/>
      <c r="Q465" s="198"/>
      <c r="R465" s="198"/>
      <c r="S465" s="198"/>
      <c r="T465" s="198"/>
      <c r="U465" s="198"/>
      <c r="V465" s="198"/>
      <c r="W465" s="198"/>
      <c r="X465" s="198"/>
      <c r="Y465" s="198"/>
      <c r="Z465" s="198"/>
    </row>
    <row r="466" spans="1:26" ht="15.75" hidden="1" customHeight="1" x14ac:dyDescent="0.25">
      <c r="A466" s="213">
        <v>712</v>
      </c>
      <c r="B466" s="214" t="s">
        <v>8956</v>
      </c>
      <c r="C466" s="215" t="s">
        <v>578</v>
      </c>
      <c r="D466" s="216">
        <v>54.84</v>
      </c>
      <c r="E466" s="198"/>
      <c r="F466" s="198"/>
      <c r="G466" s="198"/>
      <c r="H466" s="198"/>
      <c r="I466" s="198"/>
      <c r="J466" s="198"/>
      <c r="K466" s="198"/>
      <c r="L466" s="198"/>
      <c r="M466" s="198"/>
      <c r="N466" s="198"/>
      <c r="O466" s="198"/>
      <c r="P466" s="198"/>
      <c r="Q466" s="198"/>
      <c r="R466" s="198"/>
      <c r="S466" s="198"/>
      <c r="T466" s="198"/>
      <c r="U466" s="198"/>
      <c r="V466" s="198"/>
      <c r="W466" s="198"/>
      <c r="X466" s="198"/>
      <c r="Y466" s="198"/>
      <c r="Z466" s="198"/>
    </row>
    <row r="467" spans="1:26" ht="15.75" hidden="1" customHeight="1" x14ac:dyDescent="0.25">
      <c r="A467" s="213">
        <v>12614</v>
      </c>
      <c r="B467" s="214" t="s">
        <v>8957</v>
      </c>
      <c r="C467" s="215" t="s">
        <v>580</v>
      </c>
      <c r="D467" s="216">
        <v>52.02</v>
      </c>
      <c r="E467" s="198"/>
      <c r="F467" s="198"/>
      <c r="G467" s="198"/>
      <c r="H467" s="198"/>
      <c r="I467" s="198"/>
      <c r="J467" s="198"/>
      <c r="K467" s="198"/>
      <c r="L467" s="198"/>
      <c r="M467" s="198"/>
      <c r="N467" s="198"/>
      <c r="O467" s="198"/>
      <c r="P467" s="198"/>
      <c r="Q467" s="198"/>
      <c r="R467" s="198"/>
      <c r="S467" s="198"/>
      <c r="T467" s="198"/>
      <c r="U467" s="198"/>
      <c r="V467" s="198"/>
      <c r="W467" s="198"/>
      <c r="X467" s="198"/>
      <c r="Y467" s="198"/>
      <c r="Z467" s="198"/>
    </row>
    <row r="468" spans="1:26" ht="15.75" hidden="1" customHeight="1" x14ac:dyDescent="0.25">
      <c r="A468" s="213">
        <v>6140</v>
      </c>
      <c r="B468" s="214" t="s">
        <v>8958</v>
      </c>
      <c r="C468" s="215" t="s">
        <v>580</v>
      </c>
      <c r="D468" s="216">
        <v>4.1900000000000004</v>
      </c>
      <c r="E468" s="198"/>
      <c r="F468" s="198"/>
      <c r="G468" s="198"/>
      <c r="H468" s="198"/>
      <c r="I468" s="198"/>
      <c r="J468" s="198"/>
      <c r="K468" s="198"/>
      <c r="L468" s="198"/>
      <c r="M468" s="198"/>
      <c r="N468" s="198"/>
      <c r="O468" s="198"/>
      <c r="P468" s="198"/>
      <c r="Q468" s="198"/>
      <c r="R468" s="198"/>
      <c r="S468" s="198"/>
      <c r="T468" s="198"/>
      <c r="U468" s="198"/>
      <c r="V468" s="198"/>
      <c r="W468" s="198"/>
      <c r="X468" s="198"/>
      <c r="Y468" s="198"/>
      <c r="Z468" s="198"/>
    </row>
    <row r="469" spans="1:26" ht="15.75" hidden="1" customHeight="1" x14ac:dyDescent="0.25">
      <c r="A469" s="213">
        <v>38399</v>
      </c>
      <c r="B469" s="214" t="s">
        <v>8959</v>
      </c>
      <c r="C469" s="215" t="s">
        <v>580</v>
      </c>
      <c r="D469" s="216">
        <v>185.23</v>
      </c>
      <c r="E469" s="198"/>
      <c r="F469" s="198"/>
      <c r="G469" s="198"/>
      <c r="H469" s="198"/>
      <c r="I469" s="198"/>
      <c r="J469" s="198"/>
      <c r="K469" s="198"/>
      <c r="L469" s="198"/>
      <c r="M469" s="198"/>
      <c r="N469" s="198"/>
      <c r="O469" s="198"/>
      <c r="P469" s="198"/>
      <c r="Q469" s="198"/>
      <c r="R469" s="198"/>
      <c r="S469" s="198"/>
      <c r="T469" s="198"/>
      <c r="U469" s="198"/>
      <c r="V469" s="198"/>
      <c r="W469" s="198"/>
      <c r="X469" s="198"/>
      <c r="Y469" s="198"/>
      <c r="Z469" s="198"/>
    </row>
    <row r="470" spans="1:26" ht="15.75" hidden="1" customHeight="1" x14ac:dyDescent="0.25">
      <c r="A470" s="213">
        <v>729</v>
      </c>
      <c r="B470" s="214" t="s">
        <v>8960</v>
      </c>
      <c r="C470" s="215" t="s">
        <v>580</v>
      </c>
      <c r="D470" s="216">
        <v>815.5</v>
      </c>
      <c r="E470" s="198"/>
      <c r="F470" s="198"/>
      <c r="G470" s="198"/>
      <c r="H470" s="198"/>
      <c r="I470" s="198"/>
      <c r="J470" s="198"/>
      <c r="K470" s="198"/>
      <c r="L470" s="198"/>
      <c r="M470" s="198"/>
      <c r="N470" s="198"/>
      <c r="O470" s="198"/>
      <c r="P470" s="198"/>
      <c r="Q470" s="198"/>
      <c r="R470" s="198"/>
      <c r="S470" s="198"/>
      <c r="T470" s="198"/>
      <c r="U470" s="198"/>
      <c r="V470" s="198"/>
      <c r="W470" s="198"/>
      <c r="X470" s="198"/>
      <c r="Y470" s="198"/>
      <c r="Z470" s="198"/>
    </row>
    <row r="471" spans="1:26" ht="15.75" hidden="1" customHeight="1" x14ac:dyDescent="0.25">
      <c r="A471" s="213">
        <v>39925</v>
      </c>
      <c r="B471" s="214" t="s">
        <v>8961</v>
      </c>
      <c r="C471" s="215" t="s">
        <v>580</v>
      </c>
      <c r="D471" s="216">
        <v>11783.9</v>
      </c>
      <c r="E471" s="198"/>
      <c r="F471" s="198"/>
      <c r="G471" s="198"/>
      <c r="H471" s="198"/>
      <c r="I471" s="198"/>
      <c r="J471" s="198"/>
      <c r="K471" s="198"/>
      <c r="L471" s="198"/>
      <c r="M471" s="198"/>
      <c r="N471" s="198"/>
      <c r="O471" s="198"/>
      <c r="P471" s="198"/>
      <c r="Q471" s="198"/>
      <c r="R471" s="198"/>
      <c r="S471" s="198"/>
      <c r="T471" s="198"/>
      <c r="U471" s="198"/>
      <c r="V471" s="198"/>
      <c r="W471" s="198"/>
      <c r="X471" s="198"/>
      <c r="Y471" s="198"/>
      <c r="Z471" s="198"/>
    </row>
    <row r="472" spans="1:26" ht="15.75" hidden="1" customHeight="1" x14ac:dyDescent="0.25">
      <c r="A472" s="213">
        <v>731</v>
      </c>
      <c r="B472" s="214" t="s">
        <v>8962</v>
      </c>
      <c r="C472" s="215" t="s">
        <v>580</v>
      </c>
      <c r="D472" s="216">
        <v>793.68</v>
      </c>
      <c r="E472" s="198"/>
      <c r="F472" s="198"/>
      <c r="G472" s="198"/>
      <c r="H472" s="198"/>
      <c r="I472" s="198"/>
      <c r="J472" s="198"/>
      <c r="K472" s="198"/>
      <c r="L472" s="198"/>
      <c r="M472" s="198"/>
      <c r="N472" s="198"/>
      <c r="O472" s="198"/>
      <c r="P472" s="198"/>
      <c r="Q472" s="198"/>
      <c r="R472" s="198"/>
      <c r="S472" s="198"/>
      <c r="T472" s="198"/>
      <c r="U472" s="198"/>
      <c r="V472" s="198"/>
      <c r="W472" s="198"/>
      <c r="X472" s="198"/>
      <c r="Y472" s="198"/>
      <c r="Z472" s="198"/>
    </row>
    <row r="473" spans="1:26" ht="15.75" hidden="1" customHeight="1" x14ac:dyDescent="0.25">
      <c r="A473" s="213">
        <v>10575</v>
      </c>
      <c r="B473" s="214" t="s">
        <v>8963</v>
      </c>
      <c r="C473" s="215" t="s">
        <v>580</v>
      </c>
      <c r="D473" s="216">
        <v>1238.5999999999999</v>
      </c>
      <c r="E473" s="198"/>
      <c r="F473" s="198"/>
      <c r="G473" s="198"/>
      <c r="H473" s="198"/>
      <c r="I473" s="198"/>
      <c r="J473" s="198"/>
      <c r="K473" s="198"/>
      <c r="L473" s="198"/>
      <c r="M473" s="198"/>
      <c r="N473" s="198"/>
      <c r="O473" s="198"/>
      <c r="P473" s="198"/>
      <c r="Q473" s="198"/>
      <c r="R473" s="198"/>
      <c r="S473" s="198"/>
      <c r="T473" s="198"/>
      <c r="U473" s="198"/>
      <c r="V473" s="198"/>
      <c r="W473" s="198"/>
      <c r="X473" s="198"/>
      <c r="Y473" s="198"/>
      <c r="Z473" s="198"/>
    </row>
    <row r="474" spans="1:26" ht="15.75" hidden="1" customHeight="1" x14ac:dyDescent="0.25">
      <c r="A474" s="213">
        <v>733</v>
      </c>
      <c r="B474" s="214" t="s">
        <v>8964</v>
      </c>
      <c r="C474" s="215" t="s">
        <v>580</v>
      </c>
      <c r="D474" s="216">
        <v>1356.12</v>
      </c>
      <c r="E474" s="198"/>
      <c r="F474" s="198"/>
      <c r="G474" s="198"/>
      <c r="H474" s="198"/>
      <c r="I474" s="198"/>
      <c r="J474" s="198"/>
      <c r="K474" s="198"/>
      <c r="L474" s="198"/>
      <c r="M474" s="198"/>
      <c r="N474" s="198"/>
      <c r="O474" s="198"/>
      <c r="P474" s="198"/>
      <c r="Q474" s="198"/>
      <c r="R474" s="198"/>
      <c r="S474" s="198"/>
      <c r="T474" s="198"/>
      <c r="U474" s="198"/>
      <c r="V474" s="198"/>
      <c r="W474" s="198"/>
      <c r="X474" s="198"/>
      <c r="Y474" s="198"/>
      <c r="Z474" s="198"/>
    </row>
    <row r="475" spans="1:26" ht="15.75" hidden="1" customHeight="1" x14ac:dyDescent="0.25">
      <c r="A475" s="213">
        <v>732</v>
      </c>
      <c r="B475" s="214" t="s">
        <v>8965</v>
      </c>
      <c r="C475" s="215" t="s">
        <v>580</v>
      </c>
      <c r="D475" s="216">
        <v>1337.88</v>
      </c>
      <c r="E475" s="198"/>
      <c r="F475" s="198"/>
      <c r="G475" s="198"/>
      <c r="H475" s="198"/>
      <c r="I475" s="198"/>
      <c r="J475" s="198"/>
      <c r="K475" s="198"/>
      <c r="L475" s="198"/>
      <c r="M475" s="198"/>
      <c r="N475" s="198"/>
      <c r="O475" s="198"/>
      <c r="P475" s="198"/>
      <c r="Q475" s="198"/>
      <c r="R475" s="198"/>
      <c r="S475" s="198"/>
      <c r="T475" s="198"/>
      <c r="U475" s="198"/>
      <c r="V475" s="198"/>
      <c r="W475" s="198"/>
      <c r="X475" s="198"/>
      <c r="Y475" s="198"/>
      <c r="Z475" s="198"/>
    </row>
    <row r="476" spans="1:26" ht="15.75" hidden="1" customHeight="1" x14ac:dyDescent="0.25">
      <c r="A476" s="213">
        <v>735</v>
      </c>
      <c r="B476" s="214" t="s">
        <v>8966</v>
      </c>
      <c r="C476" s="215" t="s">
        <v>580</v>
      </c>
      <c r="D476" s="216">
        <v>2380.0300000000002</v>
      </c>
      <c r="E476" s="198"/>
      <c r="F476" s="198"/>
      <c r="G476" s="198"/>
      <c r="H476" s="198"/>
      <c r="I476" s="198"/>
      <c r="J476" s="198"/>
      <c r="K476" s="198"/>
      <c r="L476" s="198"/>
      <c r="M476" s="198"/>
      <c r="N476" s="198"/>
      <c r="O476" s="198"/>
      <c r="P476" s="198"/>
      <c r="Q476" s="198"/>
      <c r="R476" s="198"/>
      <c r="S476" s="198"/>
      <c r="T476" s="198"/>
      <c r="U476" s="198"/>
      <c r="V476" s="198"/>
      <c r="W476" s="198"/>
      <c r="X476" s="198"/>
      <c r="Y476" s="198"/>
      <c r="Z476" s="198"/>
    </row>
    <row r="477" spans="1:26" ht="15.75" hidden="1" customHeight="1" x14ac:dyDescent="0.25">
      <c r="A477" s="213">
        <v>737</v>
      </c>
      <c r="B477" s="214" t="s">
        <v>8967</v>
      </c>
      <c r="C477" s="215" t="s">
        <v>580</v>
      </c>
      <c r="D477" s="216">
        <v>7502.47</v>
      </c>
      <c r="E477" s="198"/>
      <c r="F477" s="198"/>
      <c r="G477" s="198"/>
      <c r="H477" s="198"/>
      <c r="I477" s="198"/>
      <c r="J477" s="198"/>
      <c r="K477" s="198"/>
      <c r="L477" s="198"/>
      <c r="M477" s="198"/>
      <c r="N477" s="198"/>
      <c r="O477" s="198"/>
      <c r="P477" s="198"/>
      <c r="Q477" s="198"/>
      <c r="R477" s="198"/>
      <c r="S477" s="198"/>
      <c r="T477" s="198"/>
      <c r="U477" s="198"/>
      <c r="V477" s="198"/>
      <c r="W477" s="198"/>
      <c r="X477" s="198"/>
      <c r="Y477" s="198"/>
      <c r="Z477" s="198"/>
    </row>
    <row r="478" spans="1:26" ht="15.75" hidden="1" customHeight="1" x14ac:dyDescent="0.25">
      <c r="A478" s="213">
        <v>736</v>
      </c>
      <c r="B478" s="214" t="s">
        <v>8968</v>
      </c>
      <c r="C478" s="215" t="s">
        <v>580</v>
      </c>
      <c r="D478" s="216">
        <v>2001.17</v>
      </c>
      <c r="E478" s="198"/>
      <c r="F478" s="198"/>
      <c r="G478" s="198"/>
      <c r="H478" s="198"/>
      <c r="I478" s="198"/>
      <c r="J478" s="198"/>
      <c r="K478" s="198"/>
      <c r="L478" s="198"/>
      <c r="M478" s="198"/>
      <c r="N478" s="198"/>
      <c r="O478" s="198"/>
      <c r="P478" s="198"/>
      <c r="Q478" s="198"/>
      <c r="R478" s="198"/>
      <c r="S478" s="198"/>
      <c r="T478" s="198"/>
      <c r="U478" s="198"/>
      <c r="V478" s="198"/>
      <c r="W478" s="198"/>
      <c r="X478" s="198"/>
      <c r="Y478" s="198"/>
      <c r="Z478" s="198"/>
    </row>
    <row r="479" spans="1:26" ht="15.75" hidden="1" customHeight="1" x14ac:dyDescent="0.25">
      <c r="A479" s="213">
        <v>738</v>
      </c>
      <c r="B479" s="214" t="s">
        <v>8969</v>
      </c>
      <c r="C479" s="215" t="s">
        <v>580</v>
      </c>
      <c r="D479" s="216">
        <v>3478.84</v>
      </c>
      <c r="E479" s="198"/>
      <c r="F479" s="198"/>
      <c r="G479" s="198"/>
      <c r="H479" s="198"/>
      <c r="I479" s="198"/>
      <c r="J479" s="198"/>
      <c r="K479" s="198"/>
      <c r="L479" s="198"/>
      <c r="M479" s="198"/>
      <c r="N479" s="198"/>
      <c r="O479" s="198"/>
      <c r="P479" s="198"/>
      <c r="Q479" s="198"/>
      <c r="R479" s="198"/>
      <c r="S479" s="198"/>
      <c r="T479" s="198"/>
      <c r="U479" s="198"/>
      <c r="V479" s="198"/>
      <c r="W479" s="198"/>
      <c r="X479" s="198"/>
      <c r="Y479" s="198"/>
      <c r="Z479" s="198"/>
    </row>
    <row r="480" spans="1:26" ht="15.75" hidden="1" customHeight="1" x14ac:dyDescent="0.25">
      <c r="A480" s="213">
        <v>740</v>
      </c>
      <c r="B480" s="214" t="s">
        <v>8970</v>
      </c>
      <c r="C480" s="215" t="s">
        <v>580</v>
      </c>
      <c r="D480" s="216">
        <v>7057.84</v>
      </c>
      <c r="E480" s="198"/>
      <c r="F480" s="198"/>
      <c r="G480" s="198"/>
      <c r="H480" s="198"/>
      <c r="I480" s="198"/>
      <c r="J480" s="198"/>
      <c r="K480" s="198"/>
      <c r="L480" s="198"/>
      <c r="M480" s="198"/>
      <c r="N480" s="198"/>
      <c r="O480" s="198"/>
      <c r="P480" s="198"/>
      <c r="Q480" s="198"/>
      <c r="R480" s="198"/>
      <c r="S480" s="198"/>
      <c r="T480" s="198"/>
      <c r="U480" s="198"/>
      <c r="V480" s="198"/>
      <c r="W480" s="198"/>
      <c r="X480" s="198"/>
      <c r="Y480" s="198"/>
      <c r="Z480" s="198"/>
    </row>
    <row r="481" spans="1:26" ht="15.75" hidden="1" customHeight="1" x14ac:dyDescent="0.25">
      <c r="A481" s="213">
        <v>734</v>
      </c>
      <c r="B481" s="214" t="s">
        <v>8971</v>
      </c>
      <c r="C481" s="215" t="s">
        <v>580</v>
      </c>
      <c r="D481" s="216">
        <v>1434.21</v>
      </c>
      <c r="E481" s="198"/>
      <c r="F481" s="198"/>
      <c r="G481" s="198"/>
      <c r="H481" s="198"/>
      <c r="I481" s="198"/>
      <c r="J481" s="198"/>
      <c r="K481" s="198"/>
      <c r="L481" s="198"/>
      <c r="M481" s="198"/>
      <c r="N481" s="198"/>
      <c r="O481" s="198"/>
      <c r="P481" s="198"/>
      <c r="Q481" s="198"/>
      <c r="R481" s="198"/>
      <c r="S481" s="198"/>
      <c r="T481" s="198"/>
      <c r="U481" s="198"/>
      <c r="V481" s="198"/>
      <c r="W481" s="198"/>
      <c r="X481" s="198"/>
      <c r="Y481" s="198"/>
      <c r="Z481" s="198"/>
    </row>
    <row r="482" spans="1:26" ht="15.75" hidden="1" customHeight="1" x14ac:dyDescent="0.25">
      <c r="A482" s="213">
        <v>39008</v>
      </c>
      <c r="B482" s="214" t="s">
        <v>8972</v>
      </c>
      <c r="C482" s="215" t="s">
        <v>580</v>
      </c>
      <c r="D482" s="216">
        <v>58513.34</v>
      </c>
      <c r="E482" s="198"/>
      <c r="F482" s="198"/>
      <c r="G482" s="198"/>
      <c r="H482" s="198"/>
      <c r="I482" s="198"/>
      <c r="J482" s="198"/>
      <c r="K482" s="198"/>
      <c r="L482" s="198"/>
      <c r="M482" s="198"/>
      <c r="N482" s="198"/>
      <c r="O482" s="198"/>
      <c r="P482" s="198"/>
      <c r="Q482" s="198"/>
      <c r="R482" s="198"/>
      <c r="S482" s="198"/>
      <c r="T482" s="198"/>
      <c r="U482" s="198"/>
      <c r="V482" s="198"/>
      <c r="W482" s="198"/>
      <c r="X482" s="198"/>
      <c r="Y482" s="198"/>
      <c r="Z482" s="198"/>
    </row>
    <row r="483" spans="1:26" ht="15.75" hidden="1" customHeight="1" x14ac:dyDescent="0.25">
      <c r="A483" s="213">
        <v>39009</v>
      </c>
      <c r="B483" s="214" t="s">
        <v>8973</v>
      </c>
      <c r="C483" s="215" t="s">
        <v>580</v>
      </c>
      <c r="D483" s="216">
        <v>62689.79</v>
      </c>
      <c r="E483" s="198"/>
      <c r="F483" s="198"/>
      <c r="G483" s="198"/>
      <c r="H483" s="198"/>
      <c r="I483" s="198"/>
      <c r="J483" s="198"/>
      <c r="K483" s="198"/>
      <c r="L483" s="198"/>
      <c r="M483" s="198"/>
      <c r="N483" s="198"/>
      <c r="O483" s="198"/>
      <c r="P483" s="198"/>
      <c r="Q483" s="198"/>
      <c r="R483" s="198"/>
      <c r="S483" s="198"/>
      <c r="T483" s="198"/>
      <c r="U483" s="198"/>
      <c r="V483" s="198"/>
      <c r="W483" s="198"/>
      <c r="X483" s="198"/>
      <c r="Y483" s="198"/>
      <c r="Z483" s="198"/>
    </row>
    <row r="484" spans="1:26" ht="15.75" hidden="1" customHeight="1" x14ac:dyDescent="0.25">
      <c r="A484" s="213">
        <v>10587</v>
      </c>
      <c r="B484" s="214" t="s">
        <v>8974</v>
      </c>
      <c r="C484" s="215" t="s">
        <v>580</v>
      </c>
      <c r="D484" s="216">
        <v>4680.5200000000004</v>
      </c>
      <c r="E484" s="198"/>
      <c r="F484" s="198"/>
      <c r="G484" s="198"/>
      <c r="H484" s="198"/>
      <c r="I484" s="198"/>
      <c r="J484" s="198"/>
      <c r="K484" s="198"/>
      <c r="L484" s="198"/>
      <c r="M484" s="198"/>
      <c r="N484" s="198"/>
      <c r="O484" s="198"/>
      <c r="P484" s="198"/>
      <c r="Q484" s="198"/>
      <c r="R484" s="198"/>
      <c r="S484" s="198"/>
      <c r="T484" s="198"/>
      <c r="U484" s="198"/>
      <c r="V484" s="198"/>
      <c r="W484" s="198"/>
      <c r="X484" s="198"/>
      <c r="Y484" s="198"/>
      <c r="Z484" s="198"/>
    </row>
    <row r="485" spans="1:26" ht="15.75" hidden="1" customHeight="1" x14ac:dyDescent="0.25">
      <c r="A485" s="213">
        <v>759</v>
      </c>
      <c r="B485" s="214" t="s">
        <v>8975</v>
      </c>
      <c r="C485" s="215" t="s">
        <v>580</v>
      </c>
      <c r="D485" s="216">
        <v>6729.67</v>
      </c>
      <c r="E485" s="198"/>
      <c r="F485" s="198"/>
      <c r="G485" s="198"/>
      <c r="H485" s="198"/>
      <c r="I485" s="198"/>
      <c r="J485" s="198"/>
      <c r="K485" s="198"/>
      <c r="L485" s="198"/>
      <c r="M485" s="198"/>
      <c r="N485" s="198"/>
      <c r="O485" s="198"/>
      <c r="P485" s="198"/>
      <c r="Q485" s="198"/>
      <c r="R485" s="198"/>
      <c r="S485" s="198"/>
      <c r="T485" s="198"/>
      <c r="U485" s="198"/>
      <c r="V485" s="198"/>
      <c r="W485" s="198"/>
      <c r="X485" s="198"/>
      <c r="Y485" s="198"/>
      <c r="Z485" s="198"/>
    </row>
    <row r="486" spans="1:26" ht="15.75" hidden="1" customHeight="1" x14ac:dyDescent="0.25">
      <c r="A486" s="213">
        <v>761</v>
      </c>
      <c r="B486" s="214" t="s">
        <v>8976</v>
      </c>
      <c r="C486" s="215" t="s">
        <v>580</v>
      </c>
      <c r="D486" s="216">
        <v>11407.35</v>
      </c>
      <c r="E486" s="198"/>
      <c r="F486" s="198"/>
      <c r="G486" s="198"/>
      <c r="H486" s="198"/>
      <c r="I486" s="198"/>
      <c r="J486" s="198"/>
      <c r="K486" s="198"/>
      <c r="L486" s="198"/>
      <c r="M486" s="198"/>
      <c r="N486" s="198"/>
      <c r="O486" s="198"/>
      <c r="P486" s="198"/>
      <c r="Q486" s="198"/>
      <c r="R486" s="198"/>
      <c r="S486" s="198"/>
      <c r="T486" s="198"/>
      <c r="U486" s="198"/>
      <c r="V486" s="198"/>
      <c r="W486" s="198"/>
      <c r="X486" s="198"/>
      <c r="Y486" s="198"/>
      <c r="Z486" s="198"/>
    </row>
    <row r="487" spans="1:26" ht="15.75" hidden="1" customHeight="1" x14ac:dyDescent="0.25">
      <c r="A487" s="213">
        <v>750</v>
      </c>
      <c r="B487" s="214" t="s">
        <v>8977</v>
      </c>
      <c r="C487" s="215" t="s">
        <v>580</v>
      </c>
      <c r="D487" s="216">
        <v>10830.37</v>
      </c>
      <c r="E487" s="198"/>
      <c r="F487" s="198"/>
      <c r="G487" s="198"/>
      <c r="H487" s="198"/>
      <c r="I487" s="198"/>
      <c r="J487" s="198"/>
      <c r="K487" s="198"/>
      <c r="L487" s="198"/>
      <c r="M487" s="198"/>
      <c r="N487" s="198"/>
      <c r="O487" s="198"/>
      <c r="P487" s="198"/>
      <c r="Q487" s="198"/>
      <c r="R487" s="198"/>
      <c r="S487" s="198"/>
      <c r="T487" s="198"/>
      <c r="U487" s="198"/>
      <c r="V487" s="198"/>
      <c r="W487" s="198"/>
      <c r="X487" s="198"/>
      <c r="Y487" s="198"/>
      <c r="Z487" s="198"/>
    </row>
    <row r="488" spans="1:26" ht="15.75" hidden="1" customHeight="1" x14ac:dyDescent="0.25">
      <c r="A488" s="213">
        <v>755</v>
      </c>
      <c r="B488" s="214" t="s">
        <v>8978</v>
      </c>
      <c r="C488" s="215" t="s">
        <v>580</v>
      </c>
      <c r="D488" s="216">
        <v>44442.59</v>
      </c>
      <c r="E488" s="198"/>
      <c r="F488" s="198"/>
      <c r="G488" s="198"/>
      <c r="H488" s="198"/>
      <c r="I488" s="198"/>
      <c r="J488" s="198"/>
      <c r="K488" s="198"/>
      <c r="L488" s="198"/>
      <c r="M488" s="198"/>
      <c r="N488" s="198"/>
      <c r="O488" s="198"/>
      <c r="P488" s="198"/>
      <c r="Q488" s="198"/>
      <c r="R488" s="198"/>
      <c r="S488" s="198"/>
      <c r="T488" s="198"/>
      <c r="U488" s="198"/>
      <c r="V488" s="198"/>
      <c r="W488" s="198"/>
      <c r="X488" s="198"/>
      <c r="Y488" s="198"/>
      <c r="Z488" s="198"/>
    </row>
    <row r="489" spans="1:26" ht="15.75" hidden="1" customHeight="1" x14ac:dyDescent="0.25">
      <c r="A489" s="213">
        <v>749</v>
      </c>
      <c r="B489" s="214" t="s">
        <v>8979</v>
      </c>
      <c r="C489" s="215" t="s">
        <v>580</v>
      </c>
      <c r="D489" s="216">
        <v>16345.16</v>
      </c>
      <c r="E489" s="198"/>
      <c r="F489" s="198"/>
      <c r="G489" s="198"/>
      <c r="H489" s="198"/>
      <c r="I489" s="198"/>
      <c r="J489" s="198"/>
      <c r="K489" s="198"/>
      <c r="L489" s="198"/>
      <c r="M489" s="198"/>
      <c r="N489" s="198"/>
      <c r="O489" s="198"/>
      <c r="P489" s="198"/>
      <c r="Q489" s="198"/>
      <c r="R489" s="198"/>
      <c r="S489" s="198"/>
      <c r="T489" s="198"/>
      <c r="U489" s="198"/>
      <c r="V489" s="198"/>
      <c r="W489" s="198"/>
      <c r="X489" s="198"/>
      <c r="Y489" s="198"/>
      <c r="Z489" s="198"/>
    </row>
    <row r="490" spans="1:26" ht="15.75" hidden="1" customHeight="1" x14ac:dyDescent="0.25">
      <c r="A490" s="213">
        <v>756</v>
      </c>
      <c r="B490" s="214" t="s">
        <v>8980</v>
      </c>
      <c r="C490" s="215" t="s">
        <v>580</v>
      </c>
      <c r="D490" s="216">
        <v>48470.6</v>
      </c>
      <c r="E490" s="198"/>
      <c r="F490" s="198"/>
      <c r="G490" s="198"/>
      <c r="H490" s="198"/>
      <c r="I490" s="198"/>
      <c r="J490" s="198"/>
      <c r="K490" s="198"/>
      <c r="L490" s="198"/>
      <c r="M490" s="198"/>
      <c r="N490" s="198"/>
      <c r="O490" s="198"/>
      <c r="P490" s="198"/>
      <c r="Q490" s="198"/>
      <c r="R490" s="198"/>
      <c r="S490" s="198"/>
      <c r="T490" s="198"/>
      <c r="U490" s="198"/>
      <c r="V490" s="198"/>
      <c r="W490" s="198"/>
      <c r="X490" s="198"/>
      <c r="Y490" s="198"/>
      <c r="Z490" s="198"/>
    </row>
    <row r="491" spans="1:26" ht="15.75" hidden="1" customHeight="1" x14ac:dyDescent="0.25">
      <c r="A491" s="213">
        <v>10588</v>
      </c>
      <c r="B491" s="214" t="s">
        <v>8981</v>
      </c>
      <c r="C491" s="215" t="s">
        <v>580</v>
      </c>
      <c r="D491" s="216">
        <v>4858.9799999999996</v>
      </c>
      <c r="E491" s="198"/>
      <c r="F491" s="198"/>
      <c r="G491" s="198"/>
      <c r="H491" s="198"/>
      <c r="I491" s="198"/>
      <c r="J491" s="198"/>
      <c r="K491" s="198"/>
      <c r="L491" s="198"/>
      <c r="M491" s="198"/>
      <c r="N491" s="198"/>
      <c r="O491" s="198"/>
      <c r="P491" s="198"/>
      <c r="Q491" s="198"/>
      <c r="R491" s="198"/>
      <c r="S491" s="198"/>
      <c r="T491" s="198"/>
      <c r="U491" s="198"/>
      <c r="V491" s="198"/>
      <c r="W491" s="198"/>
      <c r="X491" s="198"/>
      <c r="Y491" s="198"/>
      <c r="Z491" s="198"/>
    </row>
    <row r="492" spans="1:26" ht="15.75" hidden="1" customHeight="1" x14ac:dyDescent="0.25">
      <c r="A492" s="213">
        <v>10592</v>
      </c>
      <c r="B492" s="214" t="s">
        <v>8982</v>
      </c>
      <c r="C492" s="215" t="s">
        <v>580</v>
      </c>
      <c r="D492" s="216">
        <v>5869</v>
      </c>
      <c r="E492" s="198"/>
      <c r="F492" s="198"/>
      <c r="G492" s="198"/>
      <c r="H492" s="198"/>
      <c r="I492" s="198"/>
      <c r="J492" s="198"/>
      <c r="K492" s="198"/>
      <c r="L492" s="198"/>
      <c r="M492" s="198"/>
      <c r="N492" s="198"/>
      <c r="O492" s="198"/>
      <c r="P492" s="198"/>
      <c r="Q492" s="198"/>
      <c r="R492" s="198"/>
      <c r="S492" s="198"/>
      <c r="T492" s="198"/>
      <c r="U492" s="198"/>
      <c r="V492" s="198"/>
      <c r="W492" s="198"/>
      <c r="X492" s="198"/>
      <c r="Y492" s="198"/>
      <c r="Z492" s="198"/>
    </row>
    <row r="493" spans="1:26" ht="15.75" hidden="1" customHeight="1" x14ac:dyDescent="0.25">
      <c r="A493" s="213">
        <v>10589</v>
      </c>
      <c r="B493" s="214" t="s">
        <v>8983</v>
      </c>
      <c r="C493" s="215" t="s">
        <v>580</v>
      </c>
      <c r="D493" s="216">
        <v>7884.63</v>
      </c>
      <c r="E493" s="198"/>
      <c r="F493" s="198"/>
      <c r="G493" s="198"/>
      <c r="H493" s="198"/>
      <c r="I493" s="198"/>
      <c r="J493" s="198"/>
      <c r="K493" s="198"/>
      <c r="L493" s="198"/>
      <c r="M493" s="198"/>
      <c r="N493" s="198"/>
      <c r="O493" s="198"/>
      <c r="P493" s="198"/>
      <c r="Q493" s="198"/>
      <c r="R493" s="198"/>
      <c r="S493" s="198"/>
      <c r="T493" s="198"/>
      <c r="U493" s="198"/>
      <c r="V493" s="198"/>
      <c r="W493" s="198"/>
      <c r="X493" s="198"/>
      <c r="Y493" s="198"/>
      <c r="Z493" s="198"/>
    </row>
    <row r="494" spans="1:26" ht="15.75" hidden="1" customHeight="1" x14ac:dyDescent="0.25">
      <c r="A494" s="213">
        <v>760</v>
      </c>
      <c r="B494" s="214" t="s">
        <v>8984</v>
      </c>
      <c r="C494" s="215" t="s">
        <v>580</v>
      </c>
      <c r="D494" s="216">
        <v>44017.5</v>
      </c>
      <c r="E494" s="198"/>
      <c r="F494" s="198"/>
      <c r="G494" s="198"/>
      <c r="H494" s="198"/>
      <c r="I494" s="198"/>
      <c r="J494" s="198"/>
      <c r="K494" s="198"/>
      <c r="L494" s="198"/>
      <c r="M494" s="198"/>
      <c r="N494" s="198"/>
      <c r="O494" s="198"/>
      <c r="P494" s="198"/>
      <c r="Q494" s="198"/>
      <c r="R494" s="198"/>
      <c r="S494" s="198"/>
      <c r="T494" s="198"/>
      <c r="U494" s="198"/>
      <c r="V494" s="198"/>
      <c r="W494" s="198"/>
      <c r="X494" s="198"/>
      <c r="Y494" s="198"/>
      <c r="Z494" s="198"/>
    </row>
    <row r="495" spans="1:26" ht="15.75" hidden="1" customHeight="1" x14ac:dyDescent="0.25">
      <c r="A495" s="213">
        <v>751</v>
      </c>
      <c r="B495" s="214" t="s">
        <v>8985</v>
      </c>
      <c r="C495" s="215" t="s">
        <v>580</v>
      </c>
      <c r="D495" s="216">
        <v>6932.75</v>
      </c>
      <c r="E495" s="198"/>
      <c r="F495" s="198"/>
      <c r="G495" s="198"/>
      <c r="H495" s="198"/>
      <c r="I495" s="198"/>
      <c r="J495" s="198"/>
      <c r="K495" s="198"/>
      <c r="L495" s="198"/>
      <c r="M495" s="198"/>
      <c r="N495" s="198"/>
      <c r="O495" s="198"/>
      <c r="P495" s="198"/>
      <c r="Q495" s="198"/>
      <c r="R495" s="198"/>
      <c r="S495" s="198"/>
      <c r="T495" s="198"/>
      <c r="U495" s="198"/>
      <c r="V495" s="198"/>
      <c r="W495" s="198"/>
      <c r="X495" s="198"/>
      <c r="Y495" s="198"/>
      <c r="Z495" s="198"/>
    </row>
    <row r="496" spans="1:26" ht="15.75" hidden="1" customHeight="1" x14ac:dyDescent="0.25">
      <c r="A496" s="213">
        <v>754</v>
      </c>
      <c r="B496" s="214" t="s">
        <v>8986</v>
      </c>
      <c r="C496" s="215" t="s">
        <v>580</v>
      </c>
      <c r="D496" s="216">
        <v>11004.37</v>
      </c>
      <c r="E496" s="198"/>
      <c r="F496" s="198"/>
      <c r="G496" s="198"/>
      <c r="H496" s="198"/>
      <c r="I496" s="198"/>
      <c r="J496" s="198"/>
      <c r="K496" s="198"/>
      <c r="L496" s="198"/>
      <c r="M496" s="198"/>
      <c r="N496" s="198"/>
      <c r="O496" s="198"/>
      <c r="P496" s="198"/>
      <c r="Q496" s="198"/>
      <c r="R496" s="198"/>
      <c r="S496" s="198"/>
      <c r="T496" s="198"/>
      <c r="U496" s="198"/>
      <c r="V496" s="198"/>
      <c r="W496" s="198"/>
      <c r="X496" s="198"/>
      <c r="Y496" s="198"/>
      <c r="Z496" s="198"/>
    </row>
    <row r="497" spans="1:26" ht="15.75" hidden="1" customHeight="1" x14ac:dyDescent="0.25">
      <c r="A497" s="213">
        <v>757</v>
      </c>
      <c r="B497" s="214" t="s">
        <v>8987</v>
      </c>
      <c r="C497" s="215" t="s">
        <v>580</v>
      </c>
      <c r="D497" s="216">
        <v>22008.75</v>
      </c>
      <c r="E497" s="198"/>
      <c r="F497" s="198"/>
      <c r="G497" s="198"/>
      <c r="H497" s="198"/>
      <c r="I497" s="198"/>
      <c r="J497" s="198"/>
      <c r="K497" s="198"/>
      <c r="L497" s="198"/>
      <c r="M497" s="198"/>
      <c r="N497" s="198"/>
      <c r="O497" s="198"/>
      <c r="P497" s="198"/>
      <c r="Q497" s="198"/>
      <c r="R497" s="198"/>
      <c r="S497" s="198"/>
      <c r="T497" s="198"/>
      <c r="U497" s="198"/>
      <c r="V497" s="198"/>
      <c r="W497" s="198"/>
      <c r="X497" s="198"/>
      <c r="Y497" s="198"/>
      <c r="Z497" s="198"/>
    </row>
    <row r="498" spans="1:26" ht="15.75" hidden="1" customHeight="1" x14ac:dyDescent="0.25">
      <c r="A498" s="213">
        <v>44489</v>
      </c>
      <c r="B498" s="214" t="s">
        <v>8988</v>
      </c>
      <c r="C498" s="215" t="s">
        <v>580</v>
      </c>
      <c r="D498" s="216">
        <v>202732.93</v>
      </c>
      <c r="E498" s="198"/>
      <c r="F498" s="198"/>
      <c r="G498" s="198"/>
      <c r="H498" s="198"/>
      <c r="I498" s="198"/>
      <c r="J498" s="198"/>
      <c r="K498" s="198"/>
      <c r="L498" s="198"/>
      <c r="M498" s="198"/>
      <c r="N498" s="198"/>
      <c r="O498" s="198"/>
      <c r="P498" s="198"/>
      <c r="Q498" s="198"/>
      <c r="R498" s="198"/>
      <c r="S498" s="198"/>
      <c r="T498" s="198"/>
      <c r="U498" s="198"/>
      <c r="V498" s="198"/>
      <c r="W498" s="198"/>
      <c r="X498" s="198"/>
      <c r="Y498" s="198"/>
      <c r="Z498" s="198"/>
    </row>
    <row r="499" spans="1:26" ht="15.75" hidden="1" customHeight="1" x14ac:dyDescent="0.25">
      <c r="A499" s="213">
        <v>39917</v>
      </c>
      <c r="B499" s="214" t="s">
        <v>8989</v>
      </c>
      <c r="C499" s="215" t="s">
        <v>580</v>
      </c>
      <c r="D499" s="216">
        <v>89880.71</v>
      </c>
      <c r="E499" s="198"/>
      <c r="F499" s="198"/>
      <c r="G499" s="198"/>
      <c r="H499" s="198"/>
      <c r="I499" s="198"/>
      <c r="J499" s="198"/>
      <c r="K499" s="198"/>
      <c r="L499" s="198"/>
      <c r="M499" s="198"/>
      <c r="N499" s="198"/>
      <c r="O499" s="198"/>
      <c r="P499" s="198"/>
      <c r="Q499" s="198"/>
      <c r="R499" s="198"/>
      <c r="S499" s="198"/>
      <c r="T499" s="198"/>
      <c r="U499" s="198"/>
      <c r="V499" s="198"/>
      <c r="W499" s="198"/>
      <c r="X499" s="198"/>
      <c r="Y499" s="198"/>
      <c r="Z499" s="198"/>
    </row>
    <row r="500" spans="1:26" ht="15.75" hidden="1" customHeight="1" x14ac:dyDescent="0.25">
      <c r="A500" s="213">
        <v>38167</v>
      </c>
      <c r="B500" s="214" t="s">
        <v>8990</v>
      </c>
      <c r="C500" s="215" t="s">
        <v>8838</v>
      </c>
      <c r="D500" s="216">
        <v>26.57</v>
      </c>
      <c r="E500" s="198"/>
      <c r="F500" s="198"/>
      <c r="G500" s="198"/>
      <c r="H500" s="198"/>
      <c r="I500" s="198"/>
      <c r="J500" s="198"/>
      <c r="K500" s="198"/>
      <c r="L500" s="198"/>
      <c r="M500" s="198"/>
      <c r="N500" s="198"/>
      <c r="O500" s="198"/>
      <c r="P500" s="198"/>
      <c r="Q500" s="198"/>
      <c r="R500" s="198"/>
      <c r="S500" s="198"/>
      <c r="T500" s="198"/>
      <c r="U500" s="198"/>
      <c r="V500" s="198"/>
      <c r="W500" s="198"/>
      <c r="X500" s="198"/>
      <c r="Y500" s="198"/>
      <c r="Z500" s="198"/>
    </row>
    <row r="501" spans="1:26" ht="15.75" hidden="1" customHeight="1" x14ac:dyDescent="0.25">
      <c r="A501" s="213">
        <v>36145</v>
      </c>
      <c r="B501" s="214" t="s">
        <v>8991</v>
      </c>
      <c r="C501" s="215" t="s">
        <v>8838</v>
      </c>
      <c r="D501" s="216">
        <v>45.79</v>
      </c>
      <c r="E501" s="198"/>
      <c r="F501" s="198"/>
      <c r="G501" s="198"/>
      <c r="H501" s="198"/>
      <c r="I501" s="198"/>
      <c r="J501" s="198"/>
      <c r="K501" s="198"/>
      <c r="L501" s="198"/>
      <c r="M501" s="198"/>
      <c r="N501" s="198"/>
      <c r="O501" s="198"/>
      <c r="P501" s="198"/>
      <c r="Q501" s="198"/>
      <c r="R501" s="198"/>
      <c r="S501" s="198"/>
      <c r="T501" s="198"/>
      <c r="U501" s="198"/>
      <c r="V501" s="198"/>
      <c r="W501" s="198"/>
      <c r="X501" s="198"/>
      <c r="Y501" s="198"/>
      <c r="Z501" s="198"/>
    </row>
    <row r="502" spans="1:26" ht="15.75" hidden="1" customHeight="1" x14ac:dyDescent="0.25">
      <c r="A502" s="213">
        <v>12893</v>
      </c>
      <c r="B502" s="214" t="s">
        <v>8992</v>
      </c>
      <c r="C502" s="215" t="s">
        <v>8838</v>
      </c>
      <c r="D502" s="216">
        <v>76.319999999999993</v>
      </c>
      <c r="E502" s="198"/>
      <c r="F502" s="198"/>
      <c r="G502" s="198"/>
      <c r="H502" s="198"/>
      <c r="I502" s="198"/>
      <c r="J502" s="198"/>
      <c r="K502" s="198"/>
      <c r="L502" s="198"/>
      <c r="M502" s="198"/>
      <c r="N502" s="198"/>
      <c r="O502" s="198"/>
      <c r="P502" s="198"/>
      <c r="Q502" s="198"/>
      <c r="R502" s="198"/>
      <c r="S502" s="198"/>
      <c r="T502" s="198"/>
      <c r="U502" s="198"/>
      <c r="V502" s="198"/>
      <c r="W502" s="198"/>
      <c r="X502" s="198"/>
      <c r="Y502" s="198"/>
      <c r="Z502" s="198"/>
    </row>
    <row r="503" spans="1:26" ht="15.75" hidden="1" customHeight="1" x14ac:dyDescent="0.25">
      <c r="A503" s="213">
        <v>11685</v>
      </c>
      <c r="B503" s="214" t="s">
        <v>8993</v>
      </c>
      <c r="C503" s="215" t="s">
        <v>580</v>
      </c>
      <c r="D503" s="216">
        <v>47.6</v>
      </c>
      <c r="E503" s="198"/>
      <c r="F503" s="198"/>
      <c r="G503" s="198"/>
      <c r="H503" s="198"/>
      <c r="I503" s="198"/>
      <c r="J503" s="198"/>
      <c r="K503" s="198"/>
      <c r="L503" s="198"/>
      <c r="M503" s="198"/>
      <c r="N503" s="198"/>
      <c r="O503" s="198"/>
      <c r="P503" s="198"/>
      <c r="Q503" s="198"/>
      <c r="R503" s="198"/>
      <c r="S503" s="198"/>
      <c r="T503" s="198"/>
      <c r="U503" s="198"/>
      <c r="V503" s="198"/>
      <c r="W503" s="198"/>
      <c r="X503" s="198"/>
      <c r="Y503" s="198"/>
      <c r="Z503" s="198"/>
    </row>
    <row r="504" spans="1:26" ht="15.75" hidden="1" customHeight="1" x14ac:dyDescent="0.25">
      <c r="A504" s="213">
        <v>11680</v>
      </c>
      <c r="B504" s="214" t="s">
        <v>8994</v>
      </c>
      <c r="C504" s="215" t="s">
        <v>580</v>
      </c>
      <c r="D504" s="216">
        <v>17.059999999999999</v>
      </c>
      <c r="E504" s="198"/>
      <c r="F504" s="198"/>
      <c r="G504" s="198"/>
      <c r="H504" s="198"/>
      <c r="I504" s="198"/>
      <c r="J504" s="198"/>
      <c r="K504" s="198"/>
      <c r="L504" s="198"/>
      <c r="M504" s="198"/>
      <c r="N504" s="198"/>
      <c r="O504" s="198"/>
      <c r="P504" s="198"/>
      <c r="Q504" s="198"/>
      <c r="R504" s="198"/>
      <c r="S504" s="198"/>
      <c r="T504" s="198"/>
      <c r="U504" s="198"/>
      <c r="V504" s="198"/>
      <c r="W504" s="198"/>
      <c r="X504" s="198"/>
      <c r="Y504" s="198"/>
      <c r="Z504" s="198"/>
    </row>
    <row r="505" spans="1:26" ht="15.75" hidden="1" customHeight="1" x14ac:dyDescent="0.25">
      <c r="A505" s="213">
        <v>11679</v>
      </c>
      <c r="B505" s="214" t="s">
        <v>8995</v>
      </c>
      <c r="C505" s="215" t="s">
        <v>580</v>
      </c>
      <c r="D505" s="216">
        <v>23.13</v>
      </c>
      <c r="E505" s="198"/>
      <c r="F505" s="198"/>
      <c r="G505" s="198"/>
      <c r="H505" s="198"/>
      <c r="I505" s="198"/>
      <c r="J505" s="198"/>
      <c r="K505" s="198"/>
      <c r="L505" s="198"/>
      <c r="M505" s="198"/>
      <c r="N505" s="198"/>
      <c r="O505" s="198"/>
      <c r="P505" s="198"/>
      <c r="Q505" s="198"/>
      <c r="R505" s="198"/>
      <c r="S505" s="198"/>
      <c r="T505" s="198"/>
      <c r="U505" s="198"/>
      <c r="V505" s="198"/>
      <c r="W505" s="198"/>
      <c r="X505" s="198"/>
      <c r="Y505" s="198"/>
      <c r="Z505" s="198"/>
    </row>
    <row r="506" spans="1:26" ht="15.75" hidden="1" customHeight="1" x14ac:dyDescent="0.25">
      <c r="A506" s="213">
        <v>4374</v>
      </c>
      <c r="B506" s="214" t="s">
        <v>8996</v>
      </c>
      <c r="C506" s="215" t="s">
        <v>580</v>
      </c>
      <c r="D506" s="216">
        <v>0.28999999999999998</v>
      </c>
      <c r="E506" s="198"/>
      <c r="F506" s="198"/>
      <c r="G506" s="198"/>
      <c r="H506" s="198"/>
      <c r="I506" s="198"/>
      <c r="J506" s="198"/>
      <c r="K506" s="198"/>
      <c r="L506" s="198"/>
      <c r="M506" s="198"/>
      <c r="N506" s="198"/>
      <c r="O506" s="198"/>
      <c r="P506" s="198"/>
      <c r="Q506" s="198"/>
      <c r="R506" s="198"/>
      <c r="S506" s="198"/>
      <c r="T506" s="198"/>
      <c r="U506" s="198"/>
      <c r="V506" s="198"/>
      <c r="W506" s="198"/>
      <c r="X506" s="198"/>
      <c r="Y506" s="198"/>
      <c r="Z506" s="198"/>
    </row>
    <row r="507" spans="1:26" ht="15.75" hidden="1" customHeight="1" x14ac:dyDescent="0.25">
      <c r="A507" s="213">
        <v>7568</v>
      </c>
      <c r="B507" s="214" t="s">
        <v>8997</v>
      </c>
      <c r="C507" s="215" t="s">
        <v>580</v>
      </c>
      <c r="D507" s="216">
        <v>0.49</v>
      </c>
      <c r="E507" s="198"/>
      <c r="F507" s="198"/>
      <c r="G507" s="198"/>
      <c r="H507" s="198"/>
      <c r="I507" s="198"/>
      <c r="J507" s="198"/>
      <c r="K507" s="198"/>
      <c r="L507" s="198"/>
      <c r="M507" s="198"/>
      <c r="N507" s="198"/>
      <c r="O507" s="198"/>
      <c r="P507" s="198"/>
      <c r="Q507" s="198"/>
      <c r="R507" s="198"/>
      <c r="S507" s="198"/>
      <c r="T507" s="198"/>
      <c r="U507" s="198"/>
      <c r="V507" s="198"/>
      <c r="W507" s="198"/>
      <c r="X507" s="198"/>
      <c r="Y507" s="198"/>
      <c r="Z507" s="198"/>
    </row>
    <row r="508" spans="1:26" ht="15.75" hidden="1" customHeight="1" x14ac:dyDescent="0.25">
      <c r="A508" s="213">
        <v>7584</v>
      </c>
      <c r="B508" s="214" t="s">
        <v>8998</v>
      </c>
      <c r="C508" s="215" t="s">
        <v>580</v>
      </c>
      <c r="D508" s="216">
        <v>0.74</v>
      </c>
      <c r="E508" s="198"/>
      <c r="F508" s="198"/>
      <c r="G508" s="198"/>
      <c r="H508" s="198"/>
      <c r="I508" s="198"/>
      <c r="J508" s="198"/>
      <c r="K508" s="198"/>
      <c r="L508" s="198"/>
      <c r="M508" s="198"/>
      <c r="N508" s="198"/>
      <c r="O508" s="198"/>
      <c r="P508" s="198"/>
      <c r="Q508" s="198"/>
      <c r="R508" s="198"/>
      <c r="S508" s="198"/>
      <c r="T508" s="198"/>
      <c r="U508" s="198"/>
      <c r="V508" s="198"/>
      <c r="W508" s="198"/>
      <c r="X508" s="198"/>
      <c r="Y508" s="198"/>
      <c r="Z508" s="198"/>
    </row>
    <row r="509" spans="1:26" ht="15.75" hidden="1" customHeight="1" x14ac:dyDescent="0.25">
      <c r="A509" s="213">
        <v>11945</v>
      </c>
      <c r="B509" s="214" t="s">
        <v>8999</v>
      </c>
      <c r="C509" s="215" t="s">
        <v>580</v>
      </c>
      <c r="D509" s="216">
        <v>0.04</v>
      </c>
      <c r="E509" s="198"/>
      <c r="F509" s="198"/>
      <c r="G509" s="198"/>
      <c r="H509" s="198"/>
      <c r="I509" s="198"/>
      <c r="J509" s="198"/>
      <c r="K509" s="198"/>
      <c r="L509" s="198"/>
      <c r="M509" s="198"/>
      <c r="N509" s="198"/>
      <c r="O509" s="198"/>
      <c r="P509" s="198"/>
      <c r="Q509" s="198"/>
      <c r="R509" s="198"/>
      <c r="S509" s="198"/>
      <c r="T509" s="198"/>
      <c r="U509" s="198"/>
      <c r="V509" s="198"/>
      <c r="W509" s="198"/>
      <c r="X509" s="198"/>
      <c r="Y509" s="198"/>
      <c r="Z509" s="198"/>
    </row>
    <row r="510" spans="1:26" ht="15.75" hidden="1" customHeight="1" x14ac:dyDescent="0.25">
      <c r="A510" s="213">
        <v>11946</v>
      </c>
      <c r="B510" s="214" t="s">
        <v>9000</v>
      </c>
      <c r="C510" s="215" t="s">
        <v>580</v>
      </c>
      <c r="D510" s="216">
        <v>0.05</v>
      </c>
      <c r="E510" s="198"/>
      <c r="F510" s="198"/>
      <c r="G510" s="198"/>
      <c r="H510" s="198"/>
      <c r="I510" s="198"/>
      <c r="J510" s="198"/>
      <c r="K510" s="198"/>
      <c r="L510" s="198"/>
      <c r="M510" s="198"/>
      <c r="N510" s="198"/>
      <c r="O510" s="198"/>
      <c r="P510" s="198"/>
      <c r="Q510" s="198"/>
      <c r="R510" s="198"/>
      <c r="S510" s="198"/>
      <c r="T510" s="198"/>
      <c r="U510" s="198"/>
      <c r="V510" s="198"/>
      <c r="W510" s="198"/>
      <c r="X510" s="198"/>
      <c r="Y510" s="198"/>
      <c r="Z510" s="198"/>
    </row>
    <row r="511" spans="1:26" ht="15.75" hidden="1" customHeight="1" x14ac:dyDescent="0.25">
      <c r="A511" s="213">
        <v>4375</v>
      </c>
      <c r="B511" s="214" t="s">
        <v>9001</v>
      </c>
      <c r="C511" s="215" t="s">
        <v>580</v>
      </c>
      <c r="D511" s="216">
        <v>0.08</v>
      </c>
      <c r="E511" s="198"/>
      <c r="F511" s="198"/>
      <c r="G511" s="198"/>
      <c r="H511" s="198"/>
      <c r="I511" s="198"/>
      <c r="J511" s="198"/>
      <c r="K511" s="198"/>
      <c r="L511" s="198"/>
      <c r="M511" s="198"/>
      <c r="N511" s="198"/>
      <c r="O511" s="198"/>
      <c r="P511" s="198"/>
      <c r="Q511" s="198"/>
      <c r="R511" s="198"/>
      <c r="S511" s="198"/>
      <c r="T511" s="198"/>
      <c r="U511" s="198"/>
      <c r="V511" s="198"/>
      <c r="W511" s="198"/>
      <c r="X511" s="198"/>
      <c r="Y511" s="198"/>
      <c r="Z511" s="198"/>
    </row>
    <row r="512" spans="1:26" ht="15.75" hidden="1" customHeight="1" x14ac:dyDescent="0.25">
      <c r="A512" s="213">
        <v>11950</v>
      </c>
      <c r="B512" s="214" t="s">
        <v>9002</v>
      </c>
      <c r="C512" s="215" t="s">
        <v>580</v>
      </c>
      <c r="D512" s="216">
        <v>0.16</v>
      </c>
      <c r="E512" s="198"/>
      <c r="F512" s="198"/>
      <c r="G512" s="198"/>
      <c r="H512" s="198"/>
      <c r="I512" s="198"/>
      <c r="J512" s="198"/>
      <c r="K512" s="198"/>
      <c r="L512" s="198"/>
      <c r="M512" s="198"/>
      <c r="N512" s="198"/>
      <c r="O512" s="198"/>
      <c r="P512" s="198"/>
      <c r="Q512" s="198"/>
      <c r="R512" s="198"/>
      <c r="S512" s="198"/>
      <c r="T512" s="198"/>
      <c r="U512" s="198"/>
      <c r="V512" s="198"/>
      <c r="W512" s="198"/>
      <c r="X512" s="198"/>
      <c r="Y512" s="198"/>
      <c r="Z512" s="198"/>
    </row>
    <row r="513" spans="1:26" ht="15.75" hidden="1" customHeight="1" x14ac:dyDescent="0.25">
      <c r="A513" s="213">
        <v>4376</v>
      </c>
      <c r="B513" s="214" t="s">
        <v>9003</v>
      </c>
      <c r="C513" s="215" t="s">
        <v>580</v>
      </c>
      <c r="D513" s="216">
        <v>0.15</v>
      </c>
      <c r="E513" s="198"/>
      <c r="F513" s="198"/>
      <c r="G513" s="198"/>
      <c r="H513" s="198"/>
      <c r="I513" s="198"/>
      <c r="J513" s="198"/>
      <c r="K513" s="198"/>
      <c r="L513" s="198"/>
      <c r="M513" s="198"/>
      <c r="N513" s="198"/>
      <c r="O513" s="198"/>
      <c r="P513" s="198"/>
      <c r="Q513" s="198"/>
      <c r="R513" s="198"/>
      <c r="S513" s="198"/>
      <c r="T513" s="198"/>
      <c r="U513" s="198"/>
      <c r="V513" s="198"/>
      <c r="W513" s="198"/>
      <c r="X513" s="198"/>
      <c r="Y513" s="198"/>
      <c r="Z513" s="198"/>
    </row>
    <row r="514" spans="1:26" ht="15.75" hidden="1" customHeight="1" x14ac:dyDescent="0.25">
      <c r="A514" s="213">
        <v>7583</v>
      </c>
      <c r="B514" s="214" t="s">
        <v>9004</v>
      </c>
      <c r="C514" s="215" t="s">
        <v>580</v>
      </c>
      <c r="D514" s="216">
        <v>0.33</v>
      </c>
      <c r="E514" s="198"/>
      <c r="F514" s="198"/>
      <c r="G514" s="198"/>
      <c r="H514" s="198"/>
      <c r="I514" s="198"/>
      <c r="J514" s="198"/>
      <c r="K514" s="198"/>
      <c r="L514" s="198"/>
      <c r="M514" s="198"/>
      <c r="N514" s="198"/>
      <c r="O514" s="198"/>
      <c r="P514" s="198"/>
      <c r="Q514" s="198"/>
      <c r="R514" s="198"/>
      <c r="S514" s="198"/>
      <c r="T514" s="198"/>
      <c r="U514" s="198"/>
      <c r="V514" s="198"/>
      <c r="W514" s="198"/>
      <c r="X514" s="198"/>
      <c r="Y514" s="198"/>
      <c r="Z514" s="198"/>
    </row>
    <row r="515" spans="1:26" ht="15.75" hidden="1" customHeight="1" x14ac:dyDescent="0.25">
      <c r="A515" s="213">
        <v>4350</v>
      </c>
      <c r="B515" s="214" t="s">
        <v>9005</v>
      </c>
      <c r="C515" s="215" t="s">
        <v>580</v>
      </c>
      <c r="D515" s="216">
        <v>0.56999999999999995</v>
      </c>
      <c r="E515" s="198"/>
      <c r="F515" s="198"/>
      <c r="G515" s="198"/>
      <c r="H515" s="198"/>
      <c r="I515" s="198"/>
      <c r="J515" s="198"/>
      <c r="K515" s="198"/>
      <c r="L515" s="198"/>
      <c r="M515" s="198"/>
      <c r="N515" s="198"/>
      <c r="O515" s="198"/>
      <c r="P515" s="198"/>
      <c r="Q515" s="198"/>
      <c r="R515" s="198"/>
      <c r="S515" s="198"/>
      <c r="T515" s="198"/>
      <c r="U515" s="198"/>
      <c r="V515" s="198"/>
      <c r="W515" s="198"/>
      <c r="X515" s="198"/>
      <c r="Y515" s="198"/>
      <c r="Z515" s="198"/>
    </row>
    <row r="516" spans="1:26" ht="15.75" hidden="1" customHeight="1" x14ac:dyDescent="0.25">
      <c r="A516" s="213">
        <v>44400</v>
      </c>
      <c r="B516" s="214" t="s">
        <v>9006</v>
      </c>
      <c r="C516" s="215" t="s">
        <v>580</v>
      </c>
      <c r="D516" s="216">
        <v>35.44</v>
      </c>
      <c r="E516" s="198"/>
      <c r="F516" s="198"/>
      <c r="G516" s="198"/>
      <c r="H516" s="198"/>
      <c r="I516" s="198"/>
      <c r="J516" s="198"/>
      <c r="K516" s="198"/>
      <c r="L516" s="198"/>
      <c r="M516" s="198"/>
      <c r="N516" s="198"/>
      <c r="O516" s="198"/>
      <c r="P516" s="198"/>
      <c r="Q516" s="198"/>
      <c r="R516" s="198"/>
      <c r="S516" s="198"/>
      <c r="T516" s="198"/>
      <c r="U516" s="198"/>
      <c r="V516" s="198"/>
      <c r="W516" s="198"/>
      <c r="X516" s="198"/>
      <c r="Y516" s="198"/>
      <c r="Z516" s="198"/>
    </row>
    <row r="517" spans="1:26" ht="15.75" hidden="1" customHeight="1" x14ac:dyDescent="0.25">
      <c r="A517" s="213">
        <v>828</v>
      </c>
      <c r="B517" s="214" t="s">
        <v>9007</v>
      </c>
      <c r="C517" s="215" t="s">
        <v>580</v>
      </c>
      <c r="D517" s="216">
        <v>0.5</v>
      </c>
      <c r="E517" s="198"/>
      <c r="F517" s="198"/>
      <c r="G517" s="198"/>
      <c r="H517" s="198"/>
      <c r="I517" s="198"/>
      <c r="J517" s="198"/>
      <c r="K517" s="198"/>
      <c r="L517" s="198"/>
      <c r="M517" s="198"/>
      <c r="N517" s="198"/>
      <c r="O517" s="198"/>
      <c r="P517" s="198"/>
      <c r="Q517" s="198"/>
      <c r="R517" s="198"/>
      <c r="S517" s="198"/>
      <c r="T517" s="198"/>
      <c r="U517" s="198"/>
      <c r="V517" s="198"/>
      <c r="W517" s="198"/>
      <c r="X517" s="198"/>
      <c r="Y517" s="198"/>
      <c r="Z517" s="198"/>
    </row>
    <row r="518" spans="1:26" ht="15.75" hidden="1" customHeight="1" x14ac:dyDescent="0.25">
      <c r="A518" s="213">
        <v>829</v>
      </c>
      <c r="B518" s="214" t="s">
        <v>9008</v>
      </c>
      <c r="C518" s="215" t="s">
        <v>580</v>
      </c>
      <c r="D518" s="216">
        <v>0.8</v>
      </c>
      <c r="E518" s="198"/>
      <c r="F518" s="198"/>
      <c r="G518" s="198"/>
      <c r="H518" s="198"/>
      <c r="I518" s="198"/>
      <c r="J518" s="198"/>
      <c r="K518" s="198"/>
      <c r="L518" s="198"/>
      <c r="M518" s="198"/>
      <c r="N518" s="198"/>
      <c r="O518" s="198"/>
      <c r="P518" s="198"/>
      <c r="Q518" s="198"/>
      <c r="R518" s="198"/>
      <c r="S518" s="198"/>
      <c r="T518" s="198"/>
      <c r="U518" s="198"/>
      <c r="V518" s="198"/>
      <c r="W518" s="198"/>
      <c r="X518" s="198"/>
      <c r="Y518" s="198"/>
      <c r="Z518" s="198"/>
    </row>
    <row r="519" spans="1:26" ht="15.75" hidden="1" customHeight="1" x14ac:dyDescent="0.25">
      <c r="A519" s="213">
        <v>812</v>
      </c>
      <c r="B519" s="214" t="s">
        <v>9009</v>
      </c>
      <c r="C519" s="215" t="s">
        <v>580</v>
      </c>
      <c r="D519" s="216">
        <v>1.77</v>
      </c>
      <c r="E519" s="198"/>
      <c r="F519" s="198"/>
      <c r="G519" s="198"/>
      <c r="H519" s="198"/>
      <c r="I519" s="198"/>
      <c r="J519" s="198"/>
      <c r="K519" s="198"/>
      <c r="L519" s="198"/>
      <c r="M519" s="198"/>
      <c r="N519" s="198"/>
      <c r="O519" s="198"/>
      <c r="P519" s="198"/>
      <c r="Q519" s="198"/>
      <c r="R519" s="198"/>
      <c r="S519" s="198"/>
      <c r="T519" s="198"/>
      <c r="U519" s="198"/>
      <c r="V519" s="198"/>
      <c r="W519" s="198"/>
      <c r="X519" s="198"/>
      <c r="Y519" s="198"/>
      <c r="Z519" s="198"/>
    </row>
    <row r="520" spans="1:26" ht="15.75" hidden="1" customHeight="1" x14ac:dyDescent="0.25">
      <c r="A520" s="213">
        <v>819</v>
      </c>
      <c r="B520" s="214" t="s">
        <v>9010</v>
      </c>
      <c r="C520" s="215" t="s">
        <v>580</v>
      </c>
      <c r="D520" s="216">
        <v>3.08</v>
      </c>
      <c r="E520" s="198"/>
      <c r="F520" s="198"/>
      <c r="G520" s="198"/>
      <c r="H520" s="198"/>
      <c r="I520" s="198"/>
      <c r="J520" s="198"/>
      <c r="K520" s="198"/>
      <c r="L520" s="198"/>
      <c r="M520" s="198"/>
      <c r="N520" s="198"/>
      <c r="O520" s="198"/>
      <c r="P520" s="198"/>
      <c r="Q520" s="198"/>
      <c r="R520" s="198"/>
      <c r="S520" s="198"/>
      <c r="T520" s="198"/>
      <c r="U520" s="198"/>
      <c r="V520" s="198"/>
      <c r="W520" s="198"/>
      <c r="X520" s="198"/>
      <c r="Y520" s="198"/>
      <c r="Z520" s="198"/>
    </row>
    <row r="521" spans="1:26" ht="15.75" hidden="1" customHeight="1" x14ac:dyDescent="0.25">
      <c r="A521" s="213">
        <v>818</v>
      </c>
      <c r="B521" s="214" t="s">
        <v>9011</v>
      </c>
      <c r="C521" s="215" t="s">
        <v>580</v>
      </c>
      <c r="D521" s="216">
        <v>5.74</v>
      </c>
      <c r="E521" s="198"/>
      <c r="F521" s="198"/>
      <c r="G521" s="198"/>
      <c r="H521" s="198"/>
      <c r="I521" s="198"/>
      <c r="J521" s="198"/>
      <c r="K521" s="198"/>
      <c r="L521" s="198"/>
      <c r="M521" s="198"/>
      <c r="N521" s="198"/>
      <c r="O521" s="198"/>
      <c r="P521" s="198"/>
      <c r="Q521" s="198"/>
      <c r="R521" s="198"/>
      <c r="S521" s="198"/>
      <c r="T521" s="198"/>
      <c r="U521" s="198"/>
      <c r="V521" s="198"/>
      <c r="W521" s="198"/>
      <c r="X521" s="198"/>
      <c r="Y521" s="198"/>
      <c r="Z521" s="198"/>
    </row>
    <row r="522" spans="1:26" ht="15.75" hidden="1" customHeight="1" x14ac:dyDescent="0.25">
      <c r="A522" s="213">
        <v>20086</v>
      </c>
      <c r="B522" s="214" t="s">
        <v>9012</v>
      </c>
      <c r="C522" s="215" t="s">
        <v>580</v>
      </c>
      <c r="D522" s="216">
        <v>2.97</v>
      </c>
      <c r="E522" s="198"/>
      <c r="F522" s="198"/>
      <c r="G522" s="198"/>
      <c r="H522" s="198"/>
      <c r="I522" s="198"/>
      <c r="J522" s="198"/>
      <c r="K522" s="198"/>
      <c r="L522" s="198"/>
      <c r="M522" s="198"/>
      <c r="N522" s="198"/>
      <c r="O522" s="198"/>
      <c r="P522" s="198"/>
      <c r="Q522" s="198"/>
      <c r="R522" s="198"/>
      <c r="S522" s="198"/>
      <c r="T522" s="198"/>
      <c r="U522" s="198"/>
      <c r="V522" s="198"/>
      <c r="W522" s="198"/>
      <c r="X522" s="198"/>
      <c r="Y522" s="198"/>
      <c r="Z522" s="198"/>
    </row>
    <row r="523" spans="1:26" ht="15.75" hidden="1" customHeight="1" x14ac:dyDescent="0.25">
      <c r="A523" s="213">
        <v>832</v>
      </c>
      <c r="B523" s="214" t="s">
        <v>9013</v>
      </c>
      <c r="C523" s="215" t="s">
        <v>580</v>
      </c>
      <c r="D523" s="216">
        <v>2.37</v>
      </c>
      <c r="E523" s="198"/>
      <c r="F523" s="198"/>
      <c r="G523" s="198"/>
      <c r="H523" s="198"/>
      <c r="I523" s="198"/>
      <c r="J523" s="198"/>
      <c r="K523" s="198"/>
      <c r="L523" s="198"/>
      <c r="M523" s="198"/>
      <c r="N523" s="198"/>
      <c r="O523" s="198"/>
      <c r="P523" s="198"/>
      <c r="Q523" s="198"/>
      <c r="R523" s="198"/>
      <c r="S523" s="198"/>
      <c r="T523" s="198"/>
      <c r="U523" s="198"/>
      <c r="V523" s="198"/>
      <c r="W523" s="198"/>
      <c r="X523" s="198"/>
      <c r="Y523" s="198"/>
      <c r="Z523" s="198"/>
    </row>
    <row r="524" spans="1:26" ht="15.75" hidden="1" customHeight="1" x14ac:dyDescent="0.25">
      <c r="A524" s="213">
        <v>834</v>
      </c>
      <c r="B524" s="214" t="s">
        <v>9014</v>
      </c>
      <c r="C524" s="215" t="s">
        <v>580</v>
      </c>
      <c r="D524" s="216">
        <v>3.07</v>
      </c>
      <c r="E524" s="198"/>
      <c r="F524" s="198"/>
      <c r="G524" s="198"/>
      <c r="H524" s="198"/>
      <c r="I524" s="198"/>
      <c r="J524" s="198"/>
      <c r="K524" s="198"/>
      <c r="L524" s="198"/>
      <c r="M524" s="198"/>
      <c r="N524" s="198"/>
      <c r="O524" s="198"/>
      <c r="P524" s="198"/>
      <c r="Q524" s="198"/>
      <c r="R524" s="198"/>
      <c r="S524" s="198"/>
      <c r="T524" s="198"/>
      <c r="U524" s="198"/>
      <c r="V524" s="198"/>
      <c r="W524" s="198"/>
      <c r="X524" s="198"/>
      <c r="Y524" s="198"/>
      <c r="Z524" s="198"/>
    </row>
    <row r="525" spans="1:26" ht="15.75" hidden="1" customHeight="1" x14ac:dyDescent="0.25">
      <c r="A525" s="213">
        <v>813</v>
      </c>
      <c r="B525" s="214" t="s">
        <v>9015</v>
      </c>
      <c r="C525" s="215" t="s">
        <v>580</v>
      </c>
      <c r="D525" s="216">
        <v>3.57</v>
      </c>
      <c r="E525" s="198"/>
      <c r="F525" s="198"/>
      <c r="G525" s="198"/>
      <c r="H525" s="198"/>
      <c r="I525" s="198"/>
      <c r="J525" s="198"/>
      <c r="K525" s="198"/>
      <c r="L525" s="198"/>
      <c r="M525" s="198"/>
      <c r="N525" s="198"/>
      <c r="O525" s="198"/>
      <c r="P525" s="198"/>
      <c r="Q525" s="198"/>
      <c r="R525" s="198"/>
      <c r="S525" s="198"/>
      <c r="T525" s="198"/>
      <c r="U525" s="198"/>
      <c r="V525" s="198"/>
      <c r="W525" s="198"/>
      <c r="X525" s="198"/>
      <c r="Y525" s="198"/>
      <c r="Z525" s="198"/>
    </row>
    <row r="526" spans="1:26" ht="15.75" hidden="1" customHeight="1" x14ac:dyDescent="0.25">
      <c r="A526" s="213">
        <v>820</v>
      </c>
      <c r="B526" s="214" t="s">
        <v>9016</v>
      </c>
      <c r="C526" s="215" t="s">
        <v>580</v>
      </c>
      <c r="D526" s="216">
        <v>4.8099999999999996</v>
      </c>
      <c r="E526" s="198"/>
      <c r="F526" s="198"/>
      <c r="G526" s="198"/>
      <c r="H526" s="198"/>
      <c r="I526" s="198"/>
      <c r="J526" s="198"/>
      <c r="K526" s="198"/>
      <c r="L526" s="198"/>
      <c r="M526" s="198"/>
      <c r="N526" s="198"/>
      <c r="O526" s="198"/>
      <c r="P526" s="198"/>
      <c r="Q526" s="198"/>
      <c r="R526" s="198"/>
      <c r="S526" s="198"/>
      <c r="T526" s="198"/>
      <c r="U526" s="198"/>
      <c r="V526" s="198"/>
      <c r="W526" s="198"/>
      <c r="X526" s="198"/>
      <c r="Y526" s="198"/>
      <c r="Z526" s="198"/>
    </row>
    <row r="527" spans="1:26" ht="15.75" hidden="1" customHeight="1" x14ac:dyDescent="0.25">
      <c r="A527" s="213">
        <v>816</v>
      </c>
      <c r="B527" s="214" t="s">
        <v>9017</v>
      </c>
      <c r="C527" s="215" t="s">
        <v>580</v>
      </c>
      <c r="D527" s="216">
        <v>8.57</v>
      </c>
      <c r="E527" s="198"/>
      <c r="F527" s="198"/>
      <c r="G527" s="198"/>
      <c r="H527" s="198"/>
      <c r="I527" s="198"/>
      <c r="J527" s="198"/>
      <c r="K527" s="198"/>
      <c r="L527" s="198"/>
      <c r="M527" s="198"/>
      <c r="N527" s="198"/>
      <c r="O527" s="198"/>
      <c r="P527" s="198"/>
      <c r="Q527" s="198"/>
      <c r="R527" s="198"/>
      <c r="S527" s="198"/>
      <c r="T527" s="198"/>
      <c r="U527" s="198"/>
      <c r="V527" s="198"/>
      <c r="W527" s="198"/>
      <c r="X527" s="198"/>
      <c r="Y527" s="198"/>
      <c r="Z527" s="198"/>
    </row>
    <row r="528" spans="1:26" ht="15.75" hidden="1" customHeight="1" x14ac:dyDescent="0.25">
      <c r="A528" s="213">
        <v>814</v>
      </c>
      <c r="B528" s="214" t="s">
        <v>9018</v>
      </c>
      <c r="C528" s="215" t="s">
        <v>580</v>
      </c>
      <c r="D528" s="216">
        <v>10.65</v>
      </c>
      <c r="E528" s="198"/>
      <c r="F528" s="198"/>
      <c r="G528" s="198"/>
      <c r="H528" s="198"/>
      <c r="I528" s="198"/>
      <c r="J528" s="198"/>
      <c r="K528" s="198"/>
      <c r="L528" s="198"/>
      <c r="M528" s="198"/>
      <c r="N528" s="198"/>
      <c r="O528" s="198"/>
      <c r="P528" s="198"/>
      <c r="Q528" s="198"/>
      <c r="R528" s="198"/>
      <c r="S528" s="198"/>
      <c r="T528" s="198"/>
      <c r="U528" s="198"/>
      <c r="V528" s="198"/>
      <c r="W528" s="198"/>
      <c r="X528" s="198"/>
      <c r="Y528" s="198"/>
      <c r="Z528" s="198"/>
    </row>
    <row r="529" spans="1:26" ht="15.75" hidden="1" customHeight="1" x14ac:dyDescent="0.25">
      <c r="A529" s="213">
        <v>822</v>
      </c>
      <c r="B529" s="214" t="s">
        <v>9019</v>
      </c>
      <c r="C529" s="215" t="s">
        <v>580</v>
      </c>
      <c r="D529" s="216">
        <v>13.91</v>
      </c>
      <c r="E529" s="198"/>
      <c r="F529" s="198"/>
      <c r="G529" s="198"/>
      <c r="H529" s="198"/>
      <c r="I529" s="198"/>
      <c r="J529" s="198"/>
      <c r="K529" s="198"/>
      <c r="L529" s="198"/>
      <c r="M529" s="198"/>
      <c r="N529" s="198"/>
      <c r="O529" s="198"/>
      <c r="P529" s="198"/>
      <c r="Q529" s="198"/>
      <c r="R529" s="198"/>
      <c r="S529" s="198"/>
      <c r="T529" s="198"/>
      <c r="U529" s="198"/>
      <c r="V529" s="198"/>
      <c r="W529" s="198"/>
      <c r="X529" s="198"/>
      <c r="Y529" s="198"/>
      <c r="Z529" s="198"/>
    </row>
    <row r="530" spans="1:26" ht="15.75" hidden="1" customHeight="1" x14ac:dyDescent="0.25">
      <c r="A530" s="213">
        <v>821</v>
      </c>
      <c r="B530" s="214" t="s">
        <v>9020</v>
      </c>
      <c r="C530" s="215" t="s">
        <v>580</v>
      </c>
      <c r="D530" s="216">
        <v>15.9</v>
      </c>
      <c r="E530" s="198"/>
      <c r="F530" s="198"/>
      <c r="G530" s="198"/>
      <c r="H530" s="198"/>
      <c r="I530" s="198"/>
      <c r="J530" s="198"/>
      <c r="K530" s="198"/>
      <c r="L530" s="198"/>
      <c r="M530" s="198"/>
      <c r="N530" s="198"/>
      <c r="O530" s="198"/>
      <c r="P530" s="198"/>
      <c r="Q530" s="198"/>
      <c r="R530" s="198"/>
      <c r="S530" s="198"/>
      <c r="T530" s="198"/>
      <c r="U530" s="198"/>
      <c r="V530" s="198"/>
      <c r="W530" s="198"/>
      <c r="X530" s="198"/>
      <c r="Y530" s="198"/>
      <c r="Z530" s="198"/>
    </row>
    <row r="531" spans="1:26" ht="15.75" hidden="1" customHeight="1" x14ac:dyDescent="0.25">
      <c r="A531" s="213">
        <v>39191</v>
      </c>
      <c r="B531" s="214" t="s">
        <v>9021</v>
      </c>
      <c r="C531" s="215" t="s">
        <v>580</v>
      </c>
      <c r="D531" s="216">
        <v>23.57</v>
      </c>
      <c r="E531" s="198"/>
      <c r="F531" s="198"/>
      <c r="G531" s="198"/>
      <c r="H531" s="198"/>
      <c r="I531" s="198"/>
      <c r="J531" s="198"/>
      <c r="K531" s="198"/>
      <c r="L531" s="198"/>
      <c r="M531" s="198"/>
      <c r="N531" s="198"/>
      <c r="O531" s="198"/>
      <c r="P531" s="198"/>
      <c r="Q531" s="198"/>
      <c r="R531" s="198"/>
      <c r="S531" s="198"/>
      <c r="T531" s="198"/>
      <c r="U531" s="198"/>
      <c r="V531" s="198"/>
      <c r="W531" s="198"/>
      <c r="X531" s="198"/>
      <c r="Y531" s="198"/>
      <c r="Z531" s="198"/>
    </row>
    <row r="532" spans="1:26" ht="15.75" hidden="1" customHeight="1" x14ac:dyDescent="0.25">
      <c r="A532" s="213">
        <v>39190</v>
      </c>
      <c r="B532" s="214" t="s">
        <v>9022</v>
      </c>
      <c r="C532" s="215" t="s">
        <v>580</v>
      </c>
      <c r="D532" s="216">
        <v>24.62</v>
      </c>
      <c r="E532" s="198"/>
      <c r="F532" s="198"/>
      <c r="G532" s="198"/>
      <c r="H532" s="198"/>
      <c r="I532" s="198"/>
      <c r="J532" s="198"/>
      <c r="K532" s="198"/>
      <c r="L532" s="198"/>
      <c r="M532" s="198"/>
      <c r="N532" s="198"/>
      <c r="O532" s="198"/>
      <c r="P532" s="198"/>
      <c r="Q532" s="198"/>
      <c r="R532" s="198"/>
      <c r="S532" s="198"/>
      <c r="T532" s="198"/>
      <c r="U532" s="198"/>
      <c r="V532" s="198"/>
      <c r="W532" s="198"/>
      <c r="X532" s="198"/>
      <c r="Y532" s="198"/>
      <c r="Z532" s="198"/>
    </row>
    <row r="533" spans="1:26" ht="15.75" hidden="1" customHeight="1" x14ac:dyDescent="0.25">
      <c r="A533" s="213">
        <v>39189</v>
      </c>
      <c r="B533" s="214" t="s">
        <v>9023</v>
      </c>
      <c r="C533" s="215" t="s">
        <v>580</v>
      </c>
      <c r="D533" s="216">
        <v>26.06</v>
      </c>
      <c r="E533" s="198"/>
      <c r="F533" s="198"/>
      <c r="G533" s="198"/>
      <c r="H533" s="198"/>
      <c r="I533" s="198"/>
      <c r="J533" s="198"/>
      <c r="K533" s="198"/>
      <c r="L533" s="198"/>
      <c r="M533" s="198"/>
      <c r="N533" s="198"/>
      <c r="O533" s="198"/>
      <c r="P533" s="198"/>
      <c r="Q533" s="198"/>
      <c r="R533" s="198"/>
      <c r="S533" s="198"/>
      <c r="T533" s="198"/>
      <c r="U533" s="198"/>
      <c r="V533" s="198"/>
      <c r="W533" s="198"/>
      <c r="X533" s="198"/>
      <c r="Y533" s="198"/>
      <c r="Z533" s="198"/>
    </row>
    <row r="534" spans="1:26" ht="15.75" hidden="1" customHeight="1" x14ac:dyDescent="0.25">
      <c r="A534" s="213">
        <v>39188</v>
      </c>
      <c r="B534" s="214" t="s">
        <v>9024</v>
      </c>
      <c r="C534" s="215" t="s">
        <v>580</v>
      </c>
      <c r="D534" s="216">
        <v>19.190000000000001</v>
      </c>
      <c r="E534" s="198"/>
      <c r="F534" s="198"/>
      <c r="G534" s="198"/>
      <c r="H534" s="198"/>
      <c r="I534" s="198"/>
      <c r="J534" s="198"/>
      <c r="K534" s="198"/>
      <c r="L534" s="198"/>
      <c r="M534" s="198"/>
      <c r="N534" s="198"/>
      <c r="O534" s="198"/>
      <c r="P534" s="198"/>
      <c r="Q534" s="198"/>
      <c r="R534" s="198"/>
      <c r="S534" s="198"/>
      <c r="T534" s="198"/>
      <c r="U534" s="198"/>
      <c r="V534" s="198"/>
      <c r="W534" s="198"/>
      <c r="X534" s="198"/>
      <c r="Y534" s="198"/>
      <c r="Z534" s="198"/>
    </row>
    <row r="535" spans="1:26" ht="15.75" hidden="1" customHeight="1" x14ac:dyDescent="0.25">
      <c r="A535" s="213">
        <v>39186</v>
      </c>
      <c r="B535" s="214" t="s">
        <v>9025</v>
      </c>
      <c r="C535" s="215" t="s">
        <v>580</v>
      </c>
      <c r="D535" s="216">
        <v>23.32</v>
      </c>
      <c r="E535" s="198"/>
      <c r="F535" s="198"/>
      <c r="G535" s="198"/>
      <c r="H535" s="198"/>
      <c r="I535" s="198"/>
      <c r="J535" s="198"/>
      <c r="K535" s="198"/>
      <c r="L535" s="198"/>
      <c r="M535" s="198"/>
      <c r="N535" s="198"/>
      <c r="O535" s="198"/>
      <c r="P535" s="198"/>
      <c r="Q535" s="198"/>
      <c r="R535" s="198"/>
      <c r="S535" s="198"/>
      <c r="T535" s="198"/>
      <c r="U535" s="198"/>
      <c r="V535" s="198"/>
      <c r="W535" s="198"/>
      <c r="X535" s="198"/>
      <c r="Y535" s="198"/>
      <c r="Z535" s="198"/>
    </row>
    <row r="536" spans="1:26" ht="15.75" hidden="1" customHeight="1" x14ac:dyDescent="0.25">
      <c r="A536" s="213">
        <v>39187</v>
      </c>
      <c r="B536" s="214" t="s">
        <v>9026</v>
      </c>
      <c r="C536" s="215" t="s">
        <v>580</v>
      </c>
      <c r="D536" s="216">
        <v>20.11</v>
      </c>
      <c r="E536" s="198"/>
      <c r="F536" s="198"/>
      <c r="G536" s="198"/>
      <c r="H536" s="198"/>
      <c r="I536" s="198"/>
      <c r="J536" s="198"/>
      <c r="K536" s="198"/>
      <c r="L536" s="198"/>
      <c r="M536" s="198"/>
      <c r="N536" s="198"/>
      <c r="O536" s="198"/>
      <c r="P536" s="198"/>
      <c r="Q536" s="198"/>
      <c r="R536" s="198"/>
      <c r="S536" s="198"/>
      <c r="T536" s="198"/>
      <c r="U536" s="198"/>
      <c r="V536" s="198"/>
      <c r="W536" s="198"/>
      <c r="X536" s="198"/>
      <c r="Y536" s="198"/>
      <c r="Z536" s="198"/>
    </row>
    <row r="537" spans="1:26" ht="15.75" hidden="1" customHeight="1" x14ac:dyDescent="0.25">
      <c r="A537" s="213">
        <v>39184</v>
      </c>
      <c r="B537" s="214" t="s">
        <v>9027</v>
      </c>
      <c r="C537" s="215" t="s">
        <v>580</v>
      </c>
      <c r="D537" s="216">
        <v>7.56</v>
      </c>
      <c r="E537" s="198"/>
      <c r="F537" s="198"/>
      <c r="G537" s="198"/>
      <c r="H537" s="198"/>
      <c r="I537" s="198"/>
      <c r="J537" s="198"/>
      <c r="K537" s="198"/>
      <c r="L537" s="198"/>
      <c r="M537" s="198"/>
      <c r="N537" s="198"/>
      <c r="O537" s="198"/>
      <c r="P537" s="198"/>
      <c r="Q537" s="198"/>
      <c r="R537" s="198"/>
      <c r="S537" s="198"/>
      <c r="T537" s="198"/>
      <c r="U537" s="198"/>
      <c r="V537" s="198"/>
      <c r="W537" s="198"/>
      <c r="X537" s="198"/>
      <c r="Y537" s="198"/>
      <c r="Z537" s="198"/>
    </row>
    <row r="538" spans="1:26" ht="15.75" hidden="1" customHeight="1" x14ac:dyDescent="0.25">
      <c r="A538" s="213">
        <v>39185</v>
      </c>
      <c r="B538" s="214" t="s">
        <v>9028</v>
      </c>
      <c r="C538" s="215" t="s">
        <v>580</v>
      </c>
      <c r="D538" s="216">
        <v>6.9</v>
      </c>
      <c r="E538" s="198"/>
      <c r="F538" s="198"/>
      <c r="G538" s="198"/>
      <c r="H538" s="198"/>
      <c r="I538" s="198"/>
      <c r="J538" s="198"/>
      <c r="K538" s="198"/>
      <c r="L538" s="198"/>
      <c r="M538" s="198"/>
      <c r="N538" s="198"/>
      <c r="O538" s="198"/>
      <c r="P538" s="198"/>
      <c r="Q538" s="198"/>
      <c r="R538" s="198"/>
      <c r="S538" s="198"/>
      <c r="T538" s="198"/>
      <c r="U538" s="198"/>
      <c r="V538" s="198"/>
      <c r="W538" s="198"/>
      <c r="X538" s="198"/>
      <c r="Y538" s="198"/>
      <c r="Z538" s="198"/>
    </row>
    <row r="539" spans="1:26" ht="15.75" hidden="1" customHeight="1" x14ac:dyDescent="0.25">
      <c r="A539" s="213">
        <v>39198</v>
      </c>
      <c r="B539" s="214" t="s">
        <v>9029</v>
      </c>
      <c r="C539" s="215" t="s">
        <v>580</v>
      </c>
      <c r="D539" s="216">
        <v>77.33</v>
      </c>
      <c r="E539" s="198"/>
      <c r="F539" s="198"/>
      <c r="G539" s="198"/>
      <c r="H539" s="198"/>
      <c r="I539" s="198"/>
      <c r="J539" s="198"/>
      <c r="K539" s="198"/>
      <c r="L539" s="198"/>
      <c r="M539" s="198"/>
      <c r="N539" s="198"/>
      <c r="O539" s="198"/>
      <c r="P539" s="198"/>
      <c r="Q539" s="198"/>
      <c r="R539" s="198"/>
      <c r="S539" s="198"/>
      <c r="T539" s="198"/>
      <c r="U539" s="198"/>
      <c r="V539" s="198"/>
      <c r="W539" s="198"/>
      <c r="X539" s="198"/>
      <c r="Y539" s="198"/>
      <c r="Z539" s="198"/>
    </row>
    <row r="540" spans="1:26" ht="15.75" hidden="1" customHeight="1" x14ac:dyDescent="0.25">
      <c r="A540" s="213">
        <v>39197</v>
      </c>
      <c r="B540" s="214" t="s">
        <v>9030</v>
      </c>
      <c r="C540" s="215" t="s">
        <v>580</v>
      </c>
      <c r="D540" s="216">
        <v>80.78</v>
      </c>
      <c r="E540" s="198"/>
      <c r="F540" s="198"/>
      <c r="G540" s="198"/>
      <c r="H540" s="198"/>
      <c r="I540" s="198"/>
      <c r="J540" s="198"/>
      <c r="K540" s="198"/>
      <c r="L540" s="198"/>
      <c r="M540" s="198"/>
      <c r="N540" s="198"/>
      <c r="O540" s="198"/>
      <c r="P540" s="198"/>
      <c r="Q540" s="198"/>
      <c r="R540" s="198"/>
      <c r="S540" s="198"/>
      <c r="T540" s="198"/>
      <c r="U540" s="198"/>
      <c r="V540" s="198"/>
      <c r="W540" s="198"/>
      <c r="X540" s="198"/>
      <c r="Y540" s="198"/>
      <c r="Z540" s="198"/>
    </row>
    <row r="541" spans="1:26" ht="15.75" hidden="1" customHeight="1" x14ac:dyDescent="0.25">
      <c r="A541" s="213">
        <v>39196</v>
      </c>
      <c r="B541" s="214" t="s">
        <v>9031</v>
      </c>
      <c r="C541" s="215" t="s">
        <v>580</v>
      </c>
      <c r="D541" s="216">
        <v>83.31</v>
      </c>
      <c r="E541" s="198"/>
      <c r="F541" s="198"/>
      <c r="G541" s="198"/>
      <c r="H541" s="198"/>
      <c r="I541" s="198"/>
      <c r="J541" s="198"/>
      <c r="K541" s="198"/>
      <c r="L541" s="198"/>
      <c r="M541" s="198"/>
      <c r="N541" s="198"/>
      <c r="O541" s="198"/>
      <c r="P541" s="198"/>
      <c r="Q541" s="198"/>
      <c r="R541" s="198"/>
      <c r="S541" s="198"/>
      <c r="T541" s="198"/>
      <c r="U541" s="198"/>
      <c r="V541" s="198"/>
      <c r="W541" s="198"/>
      <c r="X541" s="198"/>
      <c r="Y541" s="198"/>
      <c r="Z541" s="198"/>
    </row>
    <row r="542" spans="1:26" ht="15.75" hidden="1" customHeight="1" x14ac:dyDescent="0.25">
      <c r="A542" s="213">
        <v>39199</v>
      </c>
      <c r="B542" s="214" t="s">
        <v>9032</v>
      </c>
      <c r="C542" s="215" t="s">
        <v>580</v>
      </c>
      <c r="D542" s="216">
        <v>74.42</v>
      </c>
      <c r="E542" s="198"/>
      <c r="F542" s="198"/>
      <c r="G542" s="198"/>
      <c r="H542" s="198"/>
      <c r="I542" s="198"/>
      <c r="J542" s="198"/>
      <c r="K542" s="198"/>
      <c r="L542" s="198"/>
      <c r="M542" s="198"/>
      <c r="N542" s="198"/>
      <c r="O542" s="198"/>
      <c r="P542" s="198"/>
      <c r="Q542" s="198"/>
      <c r="R542" s="198"/>
      <c r="S542" s="198"/>
      <c r="T542" s="198"/>
      <c r="U542" s="198"/>
      <c r="V542" s="198"/>
      <c r="W542" s="198"/>
      <c r="X542" s="198"/>
      <c r="Y542" s="198"/>
      <c r="Z542" s="198"/>
    </row>
    <row r="543" spans="1:26" ht="15.75" hidden="1" customHeight="1" x14ac:dyDescent="0.25">
      <c r="A543" s="213">
        <v>39195</v>
      </c>
      <c r="B543" s="214" t="s">
        <v>9033</v>
      </c>
      <c r="C543" s="215" t="s">
        <v>580</v>
      </c>
      <c r="D543" s="216">
        <v>42.96</v>
      </c>
      <c r="E543" s="198"/>
      <c r="F543" s="198"/>
      <c r="G543" s="198"/>
      <c r="H543" s="198"/>
      <c r="I543" s="198"/>
      <c r="J543" s="198"/>
      <c r="K543" s="198"/>
      <c r="L543" s="198"/>
      <c r="M543" s="198"/>
      <c r="N543" s="198"/>
      <c r="O543" s="198"/>
      <c r="P543" s="198"/>
      <c r="Q543" s="198"/>
      <c r="R543" s="198"/>
      <c r="S543" s="198"/>
      <c r="T543" s="198"/>
      <c r="U543" s="198"/>
      <c r="V543" s="198"/>
      <c r="W543" s="198"/>
      <c r="X543" s="198"/>
      <c r="Y543" s="198"/>
      <c r="Z543" s="198"/>
    </row>
    <row r="544" spans="1:26" ht="15.75" hidden="1" customHeight="1" x14ac:dyDescent="0.25">
      <c r="A544" s="213">
        <v>39194</v>
      </c>
      <c r="B544" s="214" t="s">
        <v>9034</v>
      </c>
      <c r="C544" s="215" t="s">
        <v>580</v>
      </c>
      <c r="D544" s="216">
        <v>45.97</v>
      </c>
      <c r="E544" s="198"/>
      <c r="F544" s="198"/>
      <c r="G544" s="198"/>
      <c r="H544" s="198"/>
      <c r="I544" s="198"/>
      <c r="J544" s="198"/>
      <c r="K544" s="198"/>
      <c r="L544" s="198"/>
      <c r="M544" s="198"/>
      <c r="N544" s="198"/>
      <c r="O544" s="198"/>
      <c r="P544" s="198"/>
      <c r="Q544" s="198"/>
      <c r="R544" s="198"/>
      <c r="S544" s="198"/>
      <c r="T544" s="198"/>
      <c r="U544" s="198"/>
      <c r="V544" s="198"/>
      <c r="W544" s="198"/>
      <c r="X544" s="198"/>
      <c r="Y544" s="198"/>
      <c r="Z544" s="198"/>
    </row>
    <row r="545" spans="1:26" ht="15.75" hidden="1" customHeight="1" x14ac:dyDescent="0.25">
      <c r="A545" s="213">
        <v>39193</v>
      </c>
      <c r="B545" s="214" t="s">
        <v>9035</v>
      </c>
      <c r="C545" s="215" t="s">
        <v>580</v>
      </c>
      <c r="D545" s="216">
        <v>50.38</v>
      </c>
      <c r="E545" s="198"/>
      <c r="F545" s="198"/>
      <c r="G545" s="198"/>
      <c r="H545" s="198"/>
      <c r="I545" s="198"/>
      <c r="J545" s="198"/>
      <c r="K545" s="198"/>
      <c r="L545" s="198"/>
      <c r="M545" s="198"/>
      <c r="N545" s="198"/>
      <c r="O545" s="198"/>
      <c r="P545" s="198"/>
      <c r="Q545" s="198"/>
      <c r="R545" s="198"/>
      <c r="S545" s="198"/>
      <c r="T545" s="198"/>
      <c r="U545" s="198"/>
      <c r="V545" s="198"/>
      <c r="W545" s="198"/>
      <c r="X545" s="198"/>
      <c r="Y545" s="198"/>
      <c r="Z545" s="198"/>
    </row>
    <row r="546" spans="1:26" ht="15.75" hidden="1" customHeight="1" x14ac:dyDescent="0.25">
      <c r="A546" s="213">
        <v>39192</v>
      </c>
      <c r="B546" s="214" t="s">
        <v>9036</v>
      </c>
      <c r="C546" s="215" t="s">
        <v>580</v>
      </c>
      <c r="D546" s="216">
        <v>52.41</v>
      </c>
      <c r="E546" s="198"/>
      <c r="F546" s="198"/>
      <c r="G546" s="198"/>
      <c r="H546" s="198"/>
      <c r="I546" s="198"/>
      <c r="J546" s="198"/>
      <c r="K546" s="198"/>
      <c r="L546" s="198"/>
      <c r="M546" s="198"/>
      <c r="N546" s="198"/>
      <c r="O546" s="198"/>
      <c r="P546" s="198"/>
      <c r="Q546" s="198"/>
      <c r="R546" s="198"/>
      <c r="S546" s="198"/>
      <c r="T546" s="198"/>
      <c r="U546" s="198"/>
      <c r="V546" s="198"/>
      <c r="W546" s="198"/>
      <c r="X546" s="198"/>
      <c r="Y546" s="198"/>
      <c r="Z546" s="198"/>
    </row>
    <row r="547" spans="1:26" ht="15.75" hidden="1" customHeight="1" x14ac:dyDescent="0.25">
      <c r="A547" s="213">
        <v>39201</v>
      </c>
      <c r="B547" s="214" t="s">
        <v>9037</v>
      </c>
      <c r="C547" s="215" t="s">
        <v>580</v>
      </c>
      <c r="D547" s="216">
        <v>92.46</v>
      </c>
      <c r="E547" s="198"/>
      <c r="F547" s="198"/>
      <c r="G547" s="198"/>
      <c r="H547" s="198"/>
      <c r="I547" s="198"/>
      <c r="J547" s="198"/>
      <c r="K547" s="198"/>
      <c r="L547" s="198"/>
      <c r="M547" s="198"/>
      <c r="N547" s="198"/>
      <c r="O547" s="198"/>
      <c r="P547" s="198"/>
      <c r="Q547" s="198"/>
      <c r="R547" s="198"/>
      <c r="S547" s="198"/>
      <c r="T547" s="198"/>
      <c r="U547" s="198"/>
      <c r="V547" s="198"/>
      <c r="W547" s="198"/>
      <c r="X547" s="198"/>
      <c r="Y547" s="198"/>
      <c r="Z547" s="198"/>
    </row>
    <row r="548" spans="1:26" ht="15.75" hidden="1" customHeight="1" x14ac:dyDescent="0.25">
      <c r="A548" s="213">
        <v>39200</v>
      </c>
      <c r="B548" s="214" t="s">
        <v>9038</v>
      </c>
      <c r="C548" s="215" t="s">
        <v>580</v>
      </c>
      <c r="D548" s="216">
        <v>93.2</v>
      </c>
      <c r="E548" s="198"/>
      <c r="F548" s="198"/>
      <c r="G548" s="198"/>
      <c r="H548" s="198"/>
      <c r="I548" s="198"/>
      <c r="J548" s="198"/>
      <c r="K548" s="198"/>
      <c r="L548" s="198"/>
      <c r="M548" s="198"/>
      <c r="N548" s="198"/>
      <c r="O548" s="198"/>
      <c r="P548" s="198"/>
      <c r="Q548" s="198"/>
      <c r="R548" s="198"/>
      <c r="S548" s="198"/>
      <c r="T548" s="198"/>
      <c r="U548" s="198"/>
      <c r="V548" s="198"/>
      <c r="W548" s="198"/>
      <c r="X548" s="198"/>
      <c r="Y548" s="198"/>
      <c r="Z548" s="198"/>
    </row>
    <row r="549" spans="1:26" ht="15.75" hidden="1" customHeight="1" x14ac:dyDescent="0.25">
      <c r="A549" s="213">
        <v>39203</v>
      </c>
      <c r="B549" s="214" t="s">
        <v>9039</v>
      </c>
      <c r="C549" s="215" t="s">
        <v>580</v>
      </c>
      <c r="D549" s="216">
        <v>75.260000000000005</v>
      </c>
      <c r="E549" s="198"/>
      <c r="F549" s="198"/>
      <c r="G549" s="198"/>
      <c r="H549" s="198"/>
      <c r="I549" s="198"/>
      <c r="J549" s="198"/>
      <c r="K549" s="198"/>
      <c r="L549" s="198"/>
      <c r="M549" s="198"/>
      <c r="N549" s="198"/>
      <c r="O549" s="198"/>
      <c r="P549" s="198"/>
      <c r="Q549" s="198"/>
      <c r="R549" s="198"/>
      <c r="S549" s="198"/>
      <c r="T549" s="198"/>
      <c r="U549" s="198"/>
      <c r="V549" s="198"/>
      <c r="W549" s="198"/>
      <c r="X549" s="198"/>
      <c r="Y549" s="198"/>
      <c r="Z549" s="198"/>
    </row>
    <row r="550" spans="1:26" ht="15.75" hidden="1" customHeight="1" x14ac:dyDescent="0.25">
      <c r="A550" s="213">
        <v>39202</v>
      </c>
      <c r="B550" s="214" t="s">
        <v>9040</v>
      </c>
      <c r="C550" s="215" t="s">
        <v>580</v>
      </c>
      <c r="D550" s="216">
        <v>88.4</v>
      </c>
      <c r="E550" s="198"/>
      <c r="F550" s="198"/>
      <c r="G550" s="198"/>
      <c r="H550" s="198"/>
      <c r="I550" s="198"/>
      <c r="J550" s="198"/>
      <c r="K550" s="198"/>
      <c r="L550" s="198"/>
      <c r="M550" s="198"/>
      <c r="N550" s="198"/>
      <c r="O550" s="198"/>
      <c r="P550" s="198"/>
      <c r="Q550" s="198"/>
      <c r="R550" s="198"/>
      <c r="S550" s="198"/>
      <c r="T550" s="198"/>
      <c r="U550" s="198"/>
      <c r="V550" s="198"/>
      <c r="W550" s="198"/>
      <c r="X550" s="198"/>
      <c r="Y550" s="198"/>
      <c r="Z550" s="198"/>
    </row>
    <row r="551" spans="1:26" ht="15.75" hidden="1" customHeight="1" x14ac:dyDescent="0.25">
      <c r="A551" s="213">
        <v>39920</v>
      </c>
      <c r="B551" s="214" t="s">
        <v>9041</v>
      </c>
      <c r="C551" s="215" t="s">
        <v>580</v>
      </c>
      <c r="D551" s="216">
        <v>6.34</v>
      </c>
      <c r="E551" s="198"/>
      <c r="F551" s="198"/>
      <c r="G551" s="198"/>
      <c r="H551" s="198"/>
      <c r="I551" s="198"/>
      <c r="J551" s="198"/>
      <c r="K551" s="198"/>
      <c r="L551" s="198"/>
      <c r="M551" s="198"/>
      <c r="N551" s="198"/>
      <c r="O551" s="198"/>
      <c r="P551" s="198"/>
      <c r="Q551" s="198"/>
      <c r="R551" s="198"/>
      <c r="S551" s="198"/>
      <c r="T551" s="198"/>
      <c r="U551" s="198"/>
      <c r="V551" s="198"/>
      <c r="W551" s="198"/>
      <c r="X551" s="198"/>
      <c r="Y551" s="198"/>
      <c r="Z551" s="198"/>
    </row>
    <row r="552" spans="1:26" ht="15.75" hidden="1" customHeight="1" x14ac:dyDescent="0.25">
      <c r="A552" s="213">
        <v>39205</v>
      </c>
      <c r="B552" s="214" t="s">
        <v>9042</v>
      </c>
      <c r="C552" s="215" t="s">
        <v>580</v>
      </c>
      <c r="D552" s="216">
        <v>147.49</v>
      </c>
      <c r="E552" s="198"/>
      <c r="F552" s="198"/>
      <c r="G552" s="198"/>
      <c r="H552" s="198"/>
      <c r="I552" s="198"/>
      <c r="J552" s="198"/>
      <c r="K552" s="198"/>
      <c r="L552" s="198"/>
      <c r="M552" s="198"/>
      <c r="N552" s="198"/>
      <c r="O552" s="198"/>
      <c r="P552" s="198"/>
      <c r="Q552" s="198"/>
      <c r="R552" s="198"/>
      <c r="S552" s="198"/>
      <c r="T552" s="198"/>
      <c r="U552" s="198"/>
      <c r="V552" s="198"/>
      <c r="W552" s="198"/>
      <c r="X552" s="198"/>
      <c r="Y552" s="198"/>
      <c r="Z552" s="198"/>
    </row>
    <row r="553" spans="1:26" ht="15.75" hidden="1" customHeight="1" x14ac:dyDescent="0.25">
      <c r="A553" s="213">
        <v>39204</v>
      </c>
      <c r="B553" s="214" t="s">
        <v>9043</v>
      </c>
      <c r="C553" s="215" t="s">
        <v>580</v>
      </c>
      <c r="D553" s="216">
        <v>151.06</v>
      </c>
      <c r="E553" s="198"/>
      <c r="F553" s="198"/>
      <c r="G553" s="198"/>
      <c r="H553" s="198"/>
      <c r="I553" s="198"/>
      <c r="J553" s="198"/>
      <c r="K553" s="198"/>
      <c r="L553" s="198"/>
      <c r="M553" s="198"/>
      <c r="N553" s="198"/>
      <c r="O553" s="198"/>
      <c r="P553" s="198"/>
      <c r="Q553" s="198"/>
      <c r="R553" s="198"/>
      <c r="S553" s="198"/>
      <c r="T553" s="198"/>
      <c r="U553" s="198"/>
      <c r="V553" s="198"/>
      <c r="W553" s="198"/>
      <c r="X553" s="198"/>
      <c r="Y553" s="198"/>
      <c r="Z553" s="198"/>
    </row>
    <row r="554" spans="1:26" ht="15.75" hidden="1" customHeight="1" x14ac:dyDescent="0.25">
      <c r="A554" s="213">
        <v>39206</v>
      </c>
      <c r="B554" s="214" t="s">
        <v>9044</v>
      </c>
      <c r="C554" s="215" t="s">
        <v>580</v>
      </c>
      <c r="D554" s="216">
        <v>143.31</v>
      </c>
      <c r="E554" s="198"/>
      <c r="F554" s="198"/>
      <c r="G554" s="198"/>
      <c r="H554" s="198"/>
      <c r="I554" s="198"/>
      <c r="J554" s="198"/>
      <c r="K554" s="198"/>
      <c r="L554" s="198"/>
      <c r="M554" s="198"/>
      <c r="N554" s="198"/>
      <c r="O554" s="198"/>
      <c r="P554" s="198"/>
      <c r="Q554" s="198"/>
      <c r="R554" s="198"/>
      <c r="S554" s="198"/>
      <c r="T554" s="198"/>
      <c r="U554" s="198"/>
      <c r="V554" s="198"/>
      <c r="W554" s="198"/>
      <c r="X554" s="198"/>
      <c r="Y554" s="198"/>
      <c r="Z554" s="198"/>
    </row>
    <row r="555" spans="1:26" ht="15.75" hidden="1" customHeight="1" x14ac:dyDescent="0.25">
      <c r="A555" s="213">
        <v>798</v>
      </c>
      <c r="B555" s="214" t="s">
        <v>9045</v>
      </c>
      <c r="C555" s="215" t="s">
        <v>580</v>
      </c>
      <c r="D555" s="216">
        <v>0.99</v>
      </c>
      <c r="E555" s="198"/>
      <c r="F555" s="198"/>
      <c r="G555" s="198"/>
      <c r="H555" s="198"/>
      <c r="I555" s="198"/>
      <c r="J555" s="198"/>
      <c r="K555" s="198"/>
      <c r="L555" s="198"/>
      <c r="M555" s="198"/>
      <c r="N555" s="198"/>
      <c r="O555" s="198"/>
      <c r="P555" s="198"/>
      <c r="Q555" s="198"/>
      <c r="R555" s="198"/>
      <c r="S555" s="198"/>
      <c r="T555" s="198"/>
      <c r="U555" s="198"/>
      <c r="V555" s="198"/>
      <c r="W555" s="198"/>
      <c r="X555" s="198"/>
      <c r="Y555" s="198"/>
      <c r="Z555" s="198"/>
    </row>
    <row r="556" spans="1:26" ht="15.75" hidden="1" customHeight="1" x14ac:dyDescent="0.25">
      <c r="A556" s="213">
        <v>797</v>
      </c>
      <c r="B556" s="214" t="s">
        <v>9046</v>
      </c>
      <c r="C556" s="215" t="s">
        <v>580</v>
      </c>
      <c r="D556" s="216">
        <v>7.2</v>
      </c>
      <c r="E556" s="198"/>
      <c r="F556" s="198"/>
      <c r="G556" s="198"/>
      <c r="H556" s="198"/>
      <c r="I556" s="198"/>
      <c r="J556" s="198"/>
      <c r="K556" s="198"/>
      <c r="L556" s="198"/>
      <c r="M556" s="198"/>
      <c r="N556" s="198"/>
      <c r="O556" s="198"/>
      <c r="P556" s="198"/>
      <c r="Q556" s="198"/>
      <c r="R556" s="198"/>
      <c r="S556" s="198"/>
      <c r="T556" s="198"/>
      <c r="U556" s="198"/>
      <c r="V556" s="198"/>
      <c r="W556" s="198"/>
      <c r="X556" s="198"/>
      <c r="Y556" s="198"/>
      <c r="Z556" s="198"/>
    </row>
    <row r="557" spans="1:26" ht="15.75" hidden="1" customHeight="1" x14ac:dyDescent="0.25">
      <c r="A557" s="213">
        <v>796</v>
      </c>
      <c r="B557" s="214" t="s">
        <v>9047</v>
      </c>
      <c r="C557" s="215" t="s">
        <v>580</v>
      </c>
      <c r="D557" s="216">
        <v>6.12</v>
      </c>
      <c r="E557" s="198"/>
      <c r="F557" s="198"/>
      <c r="G557" s="198"/>
      <c r="H557" s="198"/>
      <c r="I557" s="198"/>
      <c r="J557" s="198"/>
      <c r="K557" s="198"/>
      <c r="L557" s="198"/>
      <c r="M557" s="198"/>
      <c r="N557" s="198"/>
      <c r="O557" s="198"/>
      <c r="P557" s="198"/>
      <c r="Q557" s="198"/>
      <c r="R557" s="198"/>
      <c r="S557" s="198"/>
      <c r="T557" s="198"/>
      <c r="U557" s="198"/>
      <c r="V557" s="198"/>
      <c r="W557" s="198"/>
      <c r="X557" s="198"/>
      <c r="Y557" s="198"/>
      <c r="Z557" s="198"/>
    </row>
    <row r="558" spans="1:26" ht="15.75" hidden="1" customHeight="1" x14ac:dyDescent="0.25">
      <c r="A558" s="213">
        <v>799</v>
      </c>
      <c r="B558" s="214" t="s">
        <v>9048</v>
      </c>
      <c r="C558" s="215" t="s">
        <v>580</v>
      </c>
      <c r="D558" s="216">
        <v>2.96</v>
      </c>
      <c r="E558" s="198"/>
      <c r="F558" s="198"/>
      <c r="G558" s="198"/>
      <c r="H558" s="198"/>
      <c r="I558" s="198"/>
      <c r="J558" s="198"/>
      <c r="K558" s="198"/>
      <c r="L558" s="198"/>
      <c r="M558" s="198"/>
      <c r="N558" s="198"/>
      <c r="O558" s="198"/>
      <c r="P558" s="198"/>
      <c r="Q558" s="198"/>
      <c r="R558" s="198"/>
      <c r="S558" s="198"/>
      <c r="T558" s="198"/>
      <c r="U558" s="198"/>
      <c r="V558" s="198"/>
      <c r="W558" s="198"/>
      <c r="X558" s="198"/>
      <c r="Y558" s="198"/>
      <c r="Z558" s="198"/>
    </row>
    <row r="559" spans="1:26" ht="15.75" hidden="1" customHeight="1" x14ac:dyDescent="0.25">
      <c r="A559" s="213">
        <v>792</v>
      </c>
      <c r="B559" s="214" t="s">
        <v>9049</v>
      </c>
      <c r="C559" s="215" t="s">
        <v>580</v>
      </c>
      <c r="D559" s="216">
        <v>2.86</v>
      </c>
      <c r="E559" s="198"/>
      <c r="F559" s="198"/>
      <c r="G559" s="198"/>
      <c r="H559" s="198"/>
      <c r="I559" s="198"/>
      <c r="J559" s="198"/>
      <c r="K559" s="198"/>
      <c r="L559" s="198"/>
      <c r="M559" s="198"/>
      <c r="N559" s="198"/>
      <c r="O559" s="198"/>
      <c r="P559" s="198"/>
      <c r="Q559" s="198"/>
      <c r="R559" s="198"/>
      <c r="S559" s="198"/>
      <c r="T559" s="198"/>
      <c r="U559" s="198"/>
      <c r="V559" s="198"/>
      <c r="W559" s="198"/>
      <c r="X559" s="198"/>
      <c r="Y559" s="198"/>
      <c r="Z559" s="198"/>
    </row>
    <row r="560" spans="1:26" ht="15.75" hidden="1" customHeight="1" x14ac:dyDescent="0.25">
      <c r="A560" s="213">
        <v>38001</v>
      </c>
      <c r="B560" s="214" t="s">
        <v>9050</v>
      </c>
      <c r="C560" s="215" t="s">
        <v>580</v>
      </c>
      <c r="D560" s="216">
        <v>1.31</v>
      </c>
      <c r="E560" s="198"/>
      <c r="F560" s="198"/>
      <c r="G560" s="198"/>
      <c r="H560" s="198"/>
      <c r="I560" s="198"/>
      <c r="J560" s="198"/>
      <c r="K560" s="198"/>
      <c r="L560" s="198"/>
      <c r="M560" s="198"/>
      <c r="N560" s="198"/>
      <c r="O560" s="198"/>
      <c r="P560" s="198"/>
      <c r="Q560" s="198"/>
      <c r="R560" s="198"/>
      <c r="S560" s="198"/>
      <c r="T560" s="198"/>
      <c r="U560" s="198"/>
      <c r="V560" s="198"/>
      <c r="W560" s="198"/>
      <c r="X560" s="198"/>
      <c r="Y560" s="198"/>
      <c r="Z560" s="198"/>
    </row>
    <row r="561" spans="1:26" ht="15.75" hidden="1" customHeight="1" x14ac:dyDescent="0.25">
      <c r="A561" s="213">
        <v>38002</v>
      </c>
      <c r="B561" s="214" t="s">
        <v>9051</v>
      </c>
      <c r="C561" s="215" t="s">
        <v>580</v>
      </c>
      <c r="D561" s="216">
        <v>4.57</v>
      </c>
      <c r="E561" s="198"/>
      <c r="F561" s="198"/>
      <c r="G561" s="198"/>
      <c r="H561" s="198"/>
      <c r="I561" s="198"/>
      <c r="J561" s="198"/>
      <c r="K561" s="198"/>
      <c r="L561" s="198"/>
      <c r="M561" s="198"/>
      <c r="N561" s="198"/>
      <c r="O561" s="198"/>
      <c r="P561" s="198"/>
      <c r="Q561" s="198"/>
      <c r="R561" s="198"/>
      <c r="S561" s="198"/>
      <c r="T561" s="198"/>
      <c r="U561" s="198"/>
      <c r="V561" s="198"/>
      <c r="W561" s="198"/>
      <c r="X561" s="198"/>
      <c r="Y561" s="198"/>
      <c r="Z561" s="198"/>
    </row>
    <row r="562" spans="1:26" ht="15.75" hidden="1" customHeight="1" x14ac:dyDescent="0.25">
      <c r="A562" s="213">
        <v>38003</v>
      </c>
      <c r="B562" s="214" t="s">
        <v>9052</v>
      </c>
      <c r="C562" s="215" t="s">
        <v>580</v>
      </c>
      <c r="D562" s="216">
        <v>31.25</v>
      </c>
      <c r="E562" s="198"/>
      <c r="F562" s="198"/>
      <c r="G562" s="198"/>
      <c r="H562" s="198"/>
      <c r="I562" s="198"/>
      <c r="J562" s="198"/>
      <c r="K562" s="198"/>
      <c r="L562" s="198"/>
      <c r="M562" s="198"/>
      <c r="N562" s="198"/>
      <c r="O562" s="198"/>
      <c r="P562" s="198"/>
      <c r="Q562" s="198"/>
      <c r="R562" s="198"/>
      <c r="S562" s="198"/>
      <c r="T562" s="198"/>
      <c r="U562" s="198"/>
      <c r="V562" s="198"/>
      <c r="W562" s="198"/>
      <c r="X562" s="198"/>
      <c r="Y562" s="198"/>
      <c r="Z562" s="198"/>
    </row>
    <row r="563" spans="1:26" ht="15.75" hidden="1" customHeight="1" x14ac:dyDescent="0.25">
      <c r="A563" s="213">
        <v>38004</v>
      </c>
      <c r="B563" s="214" t="s">
        <v>9053</v>
      </c>
      <c r="C563" s="215" t="s">
        <v>580</v>
      </c>
      <c r="D563" s="216">
        <v>35.94</v>
      </c>
      <c r="E563" s="198"/>
      <c r="F563" s="198"/>
      <c r="G563" s="198"/>
      <c r="H563" s="198"/>
      <c r="I563" s="198"/>
      <c r="J563" s="198"/>
      <c r="K563" s="198"/>
      <c r="L563" s="198"/>
      <c r="M563" s="198"/>
      <c r="N563" s="198"/>
      <c r="O563" s="198"/>
      <c r="P563" s="198"/>
      <c r="Q563" s="198"/>
      <c r="R563" s="198"/>
      <c r="S563" s="198"/>
      <c r="T563" s="198"/>
      <c r="U563" s="198"/>
      <c r="V563" s="198"/>
      <c r="W563" s="198"/>
      <c r="X563" s="198"/>
      <c r="Y563" s="198"/>
      <c r="Z563" s="198"/>
    </row>
    <row r="564" spans="1:26" ht="15.75" hidden="1" customHeight="1" x14ac:dyDescent="0.25">
      <c r="A564" s="213">
        <v>44263</v>
      </c>
      <c r="B564" s="214" t="s">
        <v>9054</v>
      </c>
      <c r="C564" s="215" t="s">
        <v>580</v>
      </c>
      <c r="D564" s="216">
        <v>64.52</v>
      </c>
      <c r="E564" s="198"/>
      <c r="F564" s="198"/>
      <c r="G564" s="198"/>
      <c r="H564" s="198"/>
      <c r="I564" s="198"/>
      <c r="J564" s="198"/>
      <c r="K564" s="198"/>
      <c r="L564" s="198"/>
      <c r="M564" s="198"/>
      <c r="N564" s="198"/>
      <c r="O564" s="198"/>
      <c r="P564" s="198"/>
      <c r="Q564" s="198"/>
      <c r="R564" s="198"/>
      <c r="S564" s="198"/>
      <c r="T564" s="198"/>
      <c r="U564" s="198"/>
      <c r="V564" s="198"/>
      <c r="W564" s="198"/>
      <c r="X564" s="198"/>
      <c r="Y564" s="198"/>
      <c r="Z564" s="198"/>
    </row>
    <row r="565" spans="1:26" ht="15.75" hidden="1" customHeight="1" x14ac:dyDescent="0.25">
      <c r="A565" s="213">
        <v>36327</v>
      </c>
      <c r="B565" s="214" t="s">
        <v>9055</v>
      </c>
      <c r="C565" s="215" t="s">
        <v>580</v>
      </c>
      <c r="D565" s="216">
        <v>5.0599999999999996</v>
      </c>
      <c r="E565" s="198"/>
      <c r="F565" s="198"/>
      <c r="G565" s="198"/>
      <c r="H565" s="198"/>
      <c r="I565" s="198"/>
      <c r="J565" s="198"/>
      <c r="K565" s="198"/>
      <c r="L565" s="198"/>
      <c r="M565" s="198"/>
      <c r="N565" s="198"/>
      <c r="O565" s="198"/>
      <c r="P565" s="198"/>
      <c r="Q565" s="198"/>
      <c r="R565" s="198"/>
      <c r="S565" s="198"/>
      <c r="T565" s="198"/>
      <c r="U565" s="198"/>
      <c r="V565" s="198"/>
      <c r="W565" s="198"/>
      <c r="X565" s="198"/>
      <c r="Y565" s="198"/>
      <c r="Z565" s="198"/>
    </row>
    <row r="566" spans="1:26" ht="15.75" hidden="1" customHeight="1" x14ac:dyDescent="0.25">
      <c r="A566" s="213">
        <v>38992</v>
      </c>
      <c r="B566" s="214" t="s">
        <v>9056</v>
      </c>
      <c r="C566" s="215" t="s">
        <v>580</v>
      </c>
      <c r="D566" s="216">
        <v>6.15</v>
      </c>
      <c r="E566" s="198"/>
      <c r="F566" s="198"/>
      <c r="G566" s="198"/>
      <c r="H566" s="198"/>
      <c r="I566" s="198"/>
      <c r="J566" s="198"/>
      <c r="K566" s="198"/>
      <c r="L566" s="198"/>
      <c r="M566" s="198"/>
      <c r="N566" s="198"/>
      <c r="O566" s="198"/>
      <c r="P566" s="198"/>
      <c r="Q566" s="198"/>
      <c r="R566" s="198"/>
      <c r="S566" s="198"/>
      <c r="T566" s="198"/>
      <c r="U566" s="198"/>
      <c r="V566" s="198"/>
      <c r="W566" s="198"/>
      <c r="X566" s="198"/>
      <c r="Y566" s="198"/>
      <c r="Z566" s="198"/>
    </row>
    <row r="567" spans="1:26" ht="15.75" hidden="1" customHeight="1" x14ac:dyDescent="0.25">
      <c r="A567" s="213">
        <v>38993</v>
      </c>
      <c r="B567" s="214" t="s">
        <v>9057</v>
      </c>
      <c r="C567" s="215" t="s">
        <v>580</v>
      </c>
      <c r="D567" s="216">
        <v>15.99</v>
      </c>
      <c r="E567" s="198"/>
      <c r="F567" s="198"/>
      <c r="G567" s="198"/>
      <c r="H567" s="198"/>
      <c r="I567" s="198"/>
      <c r="J567" s="198"/>
      <c r="K567" s="198"/>
      <c r="L567" s="198"/>
      <c r="M567" s="198"/>
      <c r="N567" s="198"/>
      <c r="O567" s="198"/>
      <c r="P567" s="198"/>
      <c r="Q567" s="198"/>
      <c r="R567" s="198"/>
      <c r="S567" s="198"/>
      <c r="T567" s="198"/>
      <c r="U567" s="198"/>
      <c r="V567" s="198"/>
      <c r="W567" s="198"/>
      <c r="X567" s="198"/>
      <c r="Y567" s="198"/>
      <c r="Z567" s="198"/>
    </row>
    <row r="568" spans="1:26" ht="15.75" hidden="1" customHeight="1" x14ac:dyDescent="0.25">
      <c r="A568" s="213">
        <v>44175</v>
      </c>
      <c r="B568" s="214" t="s">
        <v>9058</v>
      </c>
      <c r="C568" s="215" t="s">
        <v>580</v>
      </c>
      <c r="D568" s="216">
        <v>27.89</v>
      </c>
      <c r="E568" s="198"/>
      <c r="F568" s="198"/>
      <c r="G568" s="198"/>
      <c r="H568" s="198"/>
      <c r="I568" s="198"/>
      <c r="J568" s="198"/>
      <c r="K568" s="198"/>
      <c r="L568" s="198"/>
      <c r="M568" s="198"/>
      <c r="N568" s="198"/>
      <c r="O568" s="198"/>
      <c r="P568" s="198"/>
      <c r="Q568" s="198"/>
      <c r="R568" s="198"/>
      <c r="S568" s="198"/>
      <c r="T568" s="198"/>
      <c r="U568" s="198"/>
      <c r="V568" s="198"/>
      <c r="W568" s="198"/>
      <c r="X568" s="198"/>
      <c r="Y568" s="198"/>
      <c r="Z568" s="198"/>
    </row>
    <row r="569" spans="1:26" ht="15.75" hidden="1" customHeight="1" x14ac:dyDescent="0.25">
      <c r="A569" s="213">
        <v>44177</v>
      </c>
      <c r="B569" s="214" t="s">
        <v>9059</v>
      </c>
      <c r="C569" s="215" t="s">
        <v>580</v>
      </c>
      <c r="D569" s="216">
        <v>20.84</v>
      </c>
      <c r="E569" s="198"/>
      <c r="F569" s="198"/>
      <c r="G569" s="198"/>
      <c r="H569" s="198"/>
      <c r="I569" s="198"/>
      <c r="J569" s="198"/>
      <c r="K569" s="198"/>
      <c r="L569" s="198"/>
      <c r="M569" s="198"/>
      <c r="N569" s="198"/>
      <c r="O569" s="198"/>
      <c r="P569" s="198"/>
      <c r="Q569" s="198"/>
      <c r="R569" s="198"/>
      <c r="S569" s="198"/>
      <c r="T569" s="198"/>
      <c r="U569" s="198"/>
      <c r="V569" s="198"/>
      <c r="W569" s="198"/>
      <c r="X569" s="198"/>
      <c r="Y569" s="198"/>
      <c r="Z569" s="198"/>
    </row>
    <row r="570" spans="1:26" ht="15.75" hidden="1" customHeight="1" x14ac:dyDescent="0.25">
      <c r="A570" s="213">
        <v>38418</v>
      </c>
      <c r="B570" s="214" t="s">
        <v>9060</v>
      </c>
      <c r="C570" s="215" t="s">
        <v>580</v>
      </c>
      <c r="D570" s="216">
        <v>5.1100000000000003</v>
      </c>
      <c r="E570" s="198"/>
      <c r="F570" s="198"/>
      <c r="G570" s="198"/>
      <c r="H570" s="198"/>
      <c r="I570" s="198"/>
      <c r="J570" s="198"/>
      <c r="K570" s="198"/>
      <c r="L570" s="198"/>
      <c r="M570" s="198"/>
      <c r="N570" s="198"/>
      <c r="O570" s="198"/>
      <c r="P570" s="198"/>
      <c r="Q570" s="198"/>
      <c r="R570" s="198"/>
      <c r="S570" s="198"/>
      <c r="T570" s="198"/>
      <c r="U570" s="198"/>
      <c r="V570" s="198"/>
      <c r="W570" s="198"/>
      <c r="X570" s="198"/>
      <c r="Y570" s="198"/>
      <c r="Z570" s="198"/>
    </row>
    <row r="571" spans="1:26" ht="15.75" hidden="1" customHeight="1" x14ac:dyDescent="0.25">
      <c r="A571" s="213">
        <v>39178</v>
      </c>
      <c r="B571" s="214" t="s">
        <v>9061</v>
      </c>
      <c r="C571" s="215" t="s">
        <v>580</v>
      </c>
      <c r="D571" s="216">
        <v>2.5499999999999998</v>
      </c>
      <c r="E571" s="198"/>
      <c r="F571" s="198"/>
      <c r="G571" s="198"/>
      <c r="H571" s="198"/>
      <c r="I571" s="198"/>
      <c r="J571" s="198"/>
      <c r="K571" s="198"/>
      <c r="L571" s="198"/>
      <c r="M571" s="198"/>
      <c r="N571" s="198"/>
      <c r="O571" s="198"/>
      <c r="P571" s="198"/>
      <c r="Q571" s="198"/>
      <c r="R571" s="198"/>
      <c r="S571" s="198"/>
      <c r="T571" s="198"/>
      <c r="U571" s="198"/>
      <c r="V571" s="198"/>
      <c r="W571" s="198"/>
      <c r="X571" s="198"/>
      <c r="Y571" s="198"/>
      <c r="Z571" s="198"/>
    </row>
    <row r="572" spans="1:26" ht="15.75" hidden="1" customHeight="1" x14ac:dyDescent="0.25">
      <c r="A572" s="213">
        <v>39177</v>
      </c>
      <c r="B572" s="214" t="s">
        <v>9062</v>
      </c>
      <c r="C572" s="215" t="s">
        <v>580</v>
      </c>
      <c r="D572" s="216">
        <v>2.2999999999999998</v>
      </c>
      <c r="E572" s="198"/>
      <c r="F572" s="198"/>
      <c r="G572" s="198"/>
      <c r="H572" s="198"/>
      <c r="I572" s="198"/>
      <c r="J572" s="198"/>
      <c r="K572" s="198"/>
      <c r="L572" s="198"/>
      <c r="M572" s="198"/>
      <c r="N572" s="198"/>
      <c r="O572" s="198"/>
      <c r="P572" s="198"/>
      <c r="Q572" s="198"/>
      <c r="R572" s="198"/>
      <c r="S572" s="198"/>
      <c r="T572" s="198"/>
      <c r="U572" s="198"/>
      <c r="V572" s="198"/>
      <c r="W572" s="198"/>
      <c r="X572" s="198"/>
      <c r="Y572" s="198"/>
      <c r="Z572" s="198"/>
    </row>
    <row r="573" spans="1:26" ht="15.75" hidden="1" customHeight="1" x14ac:dyDescent="0.25">
      <c r="A573" s="213">
        <v>39176</v>
      </c>
      <c r="B573" s="214" t="s">
        <v>9063</v>
      </c>
      <c r="C573" s="215" t="s">
        <v>580</v>
      </c>
      <c r="D573" s="216">
        <v>1.51</v>
      </c>
      <c r="E573" s="198"/>
      <c r="F573" s="198"/>
      <c r="G573" s="198"/>
      <c r="H573" s="198"/>
      <c r="I573" s="198"/>
      <c r="J573" s="198"/>
      <c r="K573" s="198"/>
      <c r="L573" s="198"/>
      <c r="M573" s="198"/>
      <c r="N573" s="198"/>
      <c r="O573" s="198"/>
      <c r="P573" s="198"/>
      <c r="Q573" s="198"/>
      <c r="R573" s="198"/>
      <c r="S573" s="198"/>
      <c r="T573" s="198"/>
      <c r="U573" s="198"/>
      <c r="V573" s="198"/>
      <c r="W573" s="198"/>
      <c r="X573" s="198"/>
      <c r="Y573" s="198"/>
      <c r="Z573" s="198"/>
    </row>
    <row r="574" spans="1:26" ht="15.75" hidden="1" customHeight="1" x14ac:dyDescent="0.25">
      <c r="A574" s="213">
        <v>39174</v>
      </c>
      <c r="B574" s="214" t="s">
        <v>9064</v>
      </c>
      <c r="C574" s="215" t="s">
        <v>580</v>
      </c>
      <c r="D574" s="216">
        <v>1.1499999999999999</v>
      </c>
      <c r="E574" s="198"/>
      <c r="F574" s="198"/>
      <c r="G574" s="198"/>
      <c r="H574" s="198"/>
      <c r="I574" s="198"/>
      <c r="J574" s="198"/>
      <c r="K574" s="198"/>
      <c r="L574" s="198"/>
      <c r="M574" s="198"/>
      <c r="N574" s="198"/>
      <c r="O574" s="198"/>
      <c r="P574" s="198"/>
      <c r="Q574" s="198"/>
      <c r="R574" s="198"/>
      <c r="S574" s="198"/>
      <c r="T574" s="198"/>
      <c r="U574" s="198"/>
      <c r="V574" s="198"/>
      <c r="W574" s="198"/>
      <c r="X574" s="198"/>
      <c r="Y574" s="198"/>
      <c r="Z574" s="198"/>
    </row>
    <row r="575" spans="1:26" ht="15.75" hidden="1" customHeight="1" x14ac:dyDescent="0.25">
      <c r="A575" s="213">
        <v>39180</v>
      </c>
      <c r="B575" s="214" t="s">
        <v>9065</v>
      </c>
      <c r="C575" s="215" t="s">
        <v>580</v>
      </c>
      <c r="D575" s="216">
        <v>6.92</v>
      </c>
      <c r="E575" s="198"/>
      <c r="F575" s="198"/>
      <c r="G575" s="198"/>
      <c r="H575" s="198"/>
      <c r="I575" s="198"/>
      <c r="J575" s="198"/>
      <c r="K575" s="198"/>
      <c r="L575" s="198"/>
      <c r="M575" s="198"/>
      <c r="N575" s="198"/>
      <c r="O575" s="198"/>
      <c r="P575" s="198"/>
      <c r="Q575" s="198"/>
      <c r="R575" s="198"/>
      <c r="S575" s="198"/>
      <c r="T575" s="198"/>
      <c r="U575" s="198"/>
      <c r="V575" s="198"/>
      <c r="W575" s="198"/>
      <c r="X575" s="198"/>
      <c r="Y575" s="198"/>
      <c r="Z575" s="198"/>
    </row>
    <row r="576" spans="1:26" ht="15.75" hidden="1" customHeight="1" x14ac:dyDescent="0.25">
      <c r="A576" s="213">
        <v>39179</v>
      </c>
      <c r="B576" s="214" t="s">
        <v>9066</v>
      </c>
      <c r="C576" s="215" t="s">
        <v>580</v>
      </c>
      <c r="D576" s="216">
        <v>6.13</v>
      </c>
      <c r="E576" s="198"/>
      <c r="F576" s="198"/>
      <c r="G576" s="198"/>
      <c r="H576" s="198"/>
      <c r="I576" s="198"/>
      <c r="J576" s="198"/>
      <c r="K576" s="198"/>
      <c r="L576" s="198"/>
      <c r="M576" s="198"/>
      <c r="N576" s="198"/>
      <c r="O576" s="198"/>
      <c r="P576" s="198"/>
      <c r="Q576" s="198"/>
      <c r="R576" s="198"/>
      <c r="S576" s="198"/>
      <c r="T576" s="198"/>
      <c r="U576" s="198"/>
      <c r="V576" s="198"/>
      <c r="W576" s="198"/>
      <c r="X576" s="198"/>
      <c r="Y576" s="198"/>
      <c r="Z576" s="198"/>
    </row>
    <row r="577" spans="1:26" ht="15.75" hidden="1" customHeight="1" x14ac:dyDescent="0.25">
      <c r="A577" s="213">
        <v>39181</v>
      </c>
      <c r="B577" s="214" t="s">
        <v>9067</v>
      </c>
      <c r="C577" s="215" t="s">
        <v>580</v>
      </c>
      <c r="D577" s="216">
        <v>9.2799999999999994</v>
      </c>
      <c r="E577" s="198"/>
      <c r="F577" s="198"/>
      <c r="G577" s="198"/>
      <c r="H577" s="198"/>
      <c r="I577" s="198"/>
      <c r="J577" s="198"/>
      <c r="K577" s="198"/>
      <c r="L577" s="198"/>
      <c r="M577" s="198"/>
      <c r="N577" s="198"/>
      <c r="O577" s="198"/>
      <c r="P577" s="198"/>
      <c r="Q577" s="198"/>
      <c r="R577" s="198"/>
      <c r="S577" s="198"/>
      <c r="T577" s="198"/>
      <c r="U577" s="198"/>
      <c r="V577" s="198"/>
      <c r="W577" s="198"/>
      <c r="X577" s="198"/>
      <c r="Y577" s="198"/>
      <c r="Z577" s="198"/>
    </row>
    <row r="578" spans="1:26" ht="15.75" hidden="1" customHeight="1" x14ac:dyDescent="0.25">
      <c r="A578" s="213">
        <v>39175</v>
      </c>
      <c r="B578" s="214" t="s">
        <v>9068</v>
      </c>
      <c r="C578" s="215" t="s">
        <v>580</v>
      </c>
      <c r="D578" s="216">
        <v>1.41</v>
      </c>
      <c r="E578" s="198"/>
      <c r="F578" s="198"/>
      <c r="G578" s="198"/>
      <c r="H578" s="198"/>
      <c r="I578" s="198"/>
      <c r="J578" s="198"/>
      <c r="K578" s="198"/>
      <c r="L578" s="198"/>
      <c r="M578" s="198"/>
      <c r="N578" s="198"/>
      <c r="O578" s="198"/>
      <c r="P578" s="198"/>
      <c r="Q578" s="198"/>
      <c r="R578" s="198"/>
      <c r="S578" s="198"/>
      <c r="T578" s="198"/>
      <c r="U578" s="198"/>
      <c r="V578" s="198"/>
      <c r="W578" s="198"/>
      <c r="X578" s="198"/>
      <c r="Y578" s="198"/>
      <c r="Z578" s="198"/>
    </row>
    <row r="579" spans="1:26" ht="15.75" hidden="1" customHeight="1" x14ac:dyDescent="0.25">
      <c r="A579" s="213">
        <v>39217</v>
      </c>
      <c r="B579" s="214" t="s">
        <v>9069</v>
      </c>
      <c r="C579" s="215" t="s">
        <v>580</v>
      </c>
      <c r="D579" s="216">
        <v>1.0900000000000001</v>
      </c>
      <c r="E579" s="198"/>
      <c r="F579" s="198"/>
      <c r="G579" s="198"/>
      <c r="H579" s="198"/>
      <c r="I579" s="198"/>
      <c r="J579" s="198"/>
      <c r="K579" s="198"/>
      <c r="L579" s="198"/>
      <c r="M579" s="198"/>
      <c r="N579" s="198"/>
      <c r="O579" s="198"/>
      <c r="P579" s="198"/>
      <c r="Q579" s="198"/>
      <c r="R579" s="198"/>
      <c r="S579" s="198"/>
      <c r="T579" s="198"/>
      <c r="U579" s="198"/>
      <c r="V579" s="198"/>
      <c r="W579" s="198"/>
      <c r="X579" s="198"/>
      <c r="Y579" s="198"/>
      <c r="Z579" s="198"/>
    </row>
    <row r="580" spans="1:26" ht="15.75" hidden="1" customHeight="1" x14ac:dyDescent="0.25">
      <c r="A580" s="213">
        <v>39182</v>
      </c>
      <c r="B580" s="214" t="s">
        <v>9070</v>
      </c>
      <c r="C580" s="215" t="s">
        <v>580</v>
      </c>
      <c r="D580" s="216">
        <v>13.05</v>
      </c>
      <c r="E580" s="198"/>
      <c r="F580" s="198"/>
      <c r="G580" s="198"/>
      <c r="H580" s="198"/>
      <c r="I580" s="198"/>
      <c r="J580" s="198"/>
      <c r="K580" s="198"/>
      <c r="L580" s="198"/>
      <c r="M580" s="198"/>
      <c r="N580" s="198"/>
      <c r="O580" s="198"/>
      <c r="P580" s="198"/>
      <c r="Q580" s="198"/>
      <c r="R580" s="198"/>
      <c r="S580" s="198"/>
      <c r="T580" s="198"/>
      <c r="U580" s="198"/>
      <c r="V580" s="198"/>
      <c r="W580" s="198"/>
      <c r="X580" s="198"/>
      <c r="Y580" s="198"/>
      <c r="Z580" s="198"/>
    </row>
    <row r="581" spans="1:26" ht="15.75" hidden="1" customHeight="1" x14ac:dyDescent="0.25">
      <c r="A581" s="213">
        <v>12616</v>
      </c>
      <c r="B581" s="214" t="s">
        <v>9071</v>
      </c>
      <c r="C581" s="215" t="s">
        <v>580</v>
      </c>
      <c r="D581" s="216">
        <v>15.78</v>
      </c>
      <c r="E581" s="198"/>
      <c r="F581" s="198"/>
      <c r="G581" s="198"/>
      <c r="H581" s="198"/>
      <c r="I581" s="198"/>
      <c r="J581" s="198"/>
      <c r="K581" s="198"/>
      <c r="L581" s="198"/>
      <c r="M581" s="198"/>
      <c r="N581" s="198"/>
      <c r="O581" s="198"/>
      <c r="P581" s="198"/>
      <c r="Q581" s="198"/>
      <c r="R581" s="198"/>
      <c r="S581" s="198"/>
      <c r="T581" s="198"/>
      <c r="U581" s="198"/>
      <c r="V581" s="198"/>
      <c r="W581" s="198"/>
      <c r="X581" s="198"/>
      <c r="Y581" s="198"/>
      <c r="Z581" s="198"/>
    </row>
    <row r="582" spans="1:26" ht="15.75" hidden="1" customHeight="1" x14ac:dyDescent="0.25">
      <c r="A582" s="213">
        <v>1049</v>
      </c>
      <c r="B582" s="214" t="s">
        <v>9072</v>
      </c>
      <c r="C582" s="215" t="s">
        <v>580</v>
      </c>
      <c r="D582" s="216">
        <v>10.92</v>
      </c>
      <c r="E582" s="198"/>
      <c r="F582" s="198"/>
      <c r="G582" s="198"/>
      <c r="H582" s="198"/>
      <c r="I582" s="198"/>
      <c r="J582" s="198"/>
      <c r="K582" s="198"/>
      <c r="L582" s="198"/>
      <c r="M582" s="198"/>
      <c r="N582" s="198"/>
      <c r="O582" s="198"/>
      <c r="P582" s="198"/>
      <c r="Q582" s="198"/>
      <c r="R582" s="198"/>
      <c r="S582" s="198"/>
      <c r="T582" s="198"/>
      <c r="U582" s="198"/>
      <c r="V582" s="198"/>
      <c r="W582" s="198"/>
      <c r="X582" s="198"/>
      <c r="Y582" s="198"/>
      <c r="Z582" s="198"/>
    </row>
    <row r="583" spans="1:26" ht="15.75" hidden="1" customHeight="1" x14ac:dyDescent="0.25">
      <c r="A583" s="213">
        <v>1099</v>
      </c>
      <c r="B583" s="214" t="s">
        <v>9073</v>
      </c>
      <c r="C583" s="215" t="s">
        <v>580</v>
      </c>
      <c r="D583" s="216">
        <v>8.36</v>
      </c>
      <c r="E583" s="198"/>
      <c r="F583" s="198"/>
      <c r="G583" s="198"/>
      <c r="H583" s="198"/>
      <c r="I583" s="198"/>
      <c r="J583" s="198"/>
      <c r="K583" s="198"/>
      <c r="L583" s="198"/>
      <c r="M583" s="198"/>
      <c r="N583" s="198"/>
      <c r="O583" s="198"/>
      <c r="P583" s="198"/>
      <c r="Q583" s="198"/>
      <c r="R583" s="198"/>
      <c r="S583" s="198"/>
      <c r="T583" s="198"/>
      <c r="U583" s="198"/>
      <c r="V583" s="198"/>
      <c r="W583" s="198"/>
      <c r="X583" s="198"/>
      <c r="Y583" s="198"/>
      <c r="Z583" s="198"/>
    </row>
    <row r="584" spans="1:26" ht="15.75" hidden="1" customHeight="1" x14ac:dyDescent="0.25">
      <c r="A584" s="213">
        <v>1050</v>
      </c>
      <c r="B584" s="214" t="s">
        <v>9074</v>
      </c>
      <c r="C584" s="215" t="s">
        <v>580</v>
      </c>
      <c r="D584" s="216">
        <v>5.72</v>
      </c>
      <c r="E584" s="198"/>
      <c r="F584" s="198"/>
      <c r="G584" s="198"/>
      <c r="H584" s="198"/>
      <c r="I584" s="198"/>
      <c r="J584" s="198"/>
      <c r="K584" s="198"/>
      <c r="L584" s="198"/>
      <c r="M584" s="198"/>
      <c r="N584" s="198"/>
      <c r="O584" s="198"/>
      <c r="P584" s="198"/>
      <c r="Q584" s="198"/>
      <c r="R584" s="198"/>
      <c r="S584" s="198"/>
      <c r="T584" s="198"/>
      <c r="U584" s="198"/>
      <c r="V584" s="198"/>
      <c r="W584" s="198"/>
      <c r="X584" s="198"/>
      <c r="Y584" s="198"/>
      <c r="Z584" s="198"/>
    </row>
    <row r="585" spans="1:26" ht="15.75" hidden="1" customHeight="1" x14ac:dyDescent="0.25">
      <c r="A585" s="213">
        <v>39678</v>
      </c>
      <c r="B585" s="214" t="s">
        <v>9075</v>
      </c>
      <c r="C585" s="215" t="s">
        <v>580</v>
      </c>
      <c r="D585" s="216">
        <v>3.37</v>
      </c>
      <c r="E585" s="198"/>
      <c r="F585" s="198"/>
      <c r="G585" s="198"/>
      <c r="H585" s="198"/>
      <c r="I585" s="198"/>
      <c r="J585" s="198"/>
      <c r="K585" s="198"/>
      <c r="L585" s="198"/>
      <c r="M585" s="198"/>
      <c r="N585" s="198"/>
      <c r="O585" s="198"/>
      <c r="P585" s="198"/>
      <c r="Q585" s="198"/>
      <c r="R585" s="198"/>
      <c r="S585" s="198"/>
      <c r="T585" s="198"/>
      <c r="U585" s="198"/>
      <c r="V585" s="198"/>
      <c r="W585" s="198"/>
      <c r="X585" s="198"/>
      <c r="Y585" s="198"/>
      <c r="Z585" s="198"/>
    </row>
    <row r="586" spans="1:26" ht="15.75" hidden="1" customHeight="1" x14ac:dyDescent="0.25">
      <c r="A586" s="213">
        <v>1101</v>
      </c>
      <c r="B586" s="214" t="s">
        <v>9076</v>
      </c>
      <c r="C586" s="215" t="s">
        <v>580</v>
      </c>
      <c r="D586" s="216">
        <v>36.04</v>
      </c>
      <c r="E586" s="198"/>
      <c r="F586" s="198"/>
      <c r="G586" s="198"/>
      <c r="H586" s="198"/>
      <c r="I586" s="198"/>
      <c r="J586" s="198"/>
      <c r="K586" s="198"/>
      <c r="L586" s="198"/>
      <c r="M586" s="198"/>
      <c r="N586" s="198"/>
      <c r="O586" s="198"/>
      <c r="P586" s="198"/>
      <c r="Q586" s="198"/>
      <c r="R586" s="198"/>
      <c r="S586" s="198"/>
      <c r="T586" s="198"/>
      <c r="U586" s="198"/>
      <c r="V586" s="198"/>
      <c r="W586" s="198"/>
      <c r="X586" s="198"/>
      <c r="Y586" s="198"/>
      <c r="Z586" s="198"/>
    </row>
    <row r="587" spans="1:26" ht="15.75" hidden="1" customHeight="1" x14ac:dyDescent="0.25">
      <c r="A587" s="213">
        <v>1100</v>
      </c>
      <c r="B587" s="214" t="s">
        <v>9077</v>
      </c>
      <c r="C587" s="215" t="s">
        <v>580</v>
      </c>
      <c r="D587" s="216">
        <v>18.600000000000001</v>
      </c>
      <c r="E587" s="198"/>
      <c r="F587" s="198"/>
      <c r="G587" s="198"/>
      <c r="H587" s="198"/>
      <c r="I587" s="198"/>
      <c r="J587" s="198"/>
      <c r="K587" s="198"/>
      <c r="L587" s="198"/>
      <c r="M587" s="198"/>
      <c r="N587" s="198"/>
      <c r="O587" s="198"/>
      <c r="P587" s="198"/>
      <c r="Q587" s="198"/>
      <c r="R587" s="198"/>
      <c r="S587" s="198"/>
      <c r="T587" s="198"/>
      <c r="U587" s="198"/>
      <c r="V587" s="198"/>
      <c r="W587" s="198"/>
      <c r="X587" s="198"/>
      <c r="Y587" s="198"/>
      <c r="Z587" s="198"/>
    </row>
    <row r="588" spans="1:26" ht="15.75" hidden="1" customHeight="1" x14ac:dyDescent="0.25">
      <c r="A588" s="213">
        <v>39679</v>
      </c>
      <c r="B588" s="214" t="s">
        <v>9078</v>
      </c>
      <c r="C588" s="215" t="s">
        <v>580</v>
      </c>
      <c r="D588" s="216">
        <v>71.83</v>
      </c>
      <c r="E588" s="198"/>
      <c r="F588" s="198"/>
      <c r="G588" s="198"/>
      <c r="H588" s="198"/>
      <c r="I588" s="198"/>
      <c r="J588" s="198"/>
      <c r="K588" s="198"/>
      <c r="L588" s="198"/>
      <c r="M588" s="198"/>
      <c r="N588" s="198"/>
      <c r="O588" s="198"/>
      <c r="P588" s="198"/>
      <c r="Q588" s="198"/>
      <c r="R588" s="198"/>
      <c r="S588" s="198"/>
      <c r="T588" s="198"/>
      <c r="U588" s="198"/>
      <c r="V588" s="198"/>
      <c r="W588" s="198"/>
      <c r="X588" s="198"/>
      <c r="Y588" s="198"/>
      <c r="Z588" s="198"/>
    </row>
    <row r="589" spans="1:26" ht="15.75" hidden="1" customHeight="1" x14ac:dyDescent="0.25">
      <c r="A589" s="213">
        <v>1102</v>
      </c>
      <c r="B589" s="214" t="s">
        <v>9079</v>
      </c>
      <c r="C589" s="215" t="s">
        <v>580</v>
      </c>
      <c r="D589" s="216">
        <v>53.74</v>
      </c>
      <c r="E589" s="198"/>
      <c r="F589" s="198"/>
      <c r="G589" s="198"/>
      <c r="H589" s="198"/>
      <c r="I589" s="198"/>
      <c r="J589" s="198"/>
      <c r="K589" s="198"/>
      <c r="L589" s="198"/>
      <c r="M589" s="198"/>
      <c r="N589" s="198"/>
      <c r="O589" s="198"/>
      <c r="P589" s="198"/>
      <c r="Q589" s="198"/>
      <c r="R589" s="198"/>
      <c r="S589" s="198"/>
      <c r="T589" s="198"/>
      <c r="U589" s="198"/>
      <c r="V589" s="198"/>
      <c r="W589" s="198"/>
      <c r="X589" s="198"/>
      <c r="Y589" s="198"/>
      <c r="Z589" s="198"/>
    </row>
    <row r="590" spans="1:26" ht="15.75" hidden="1" customHeight="1" x14ac:dyDescent="0.25">
      <c r="A590" s="213">
        <v>1098</v>
      </c>
      <c r="B590" s="214" t="s">
        <v>9080</v>
      </c>
      <c r="C590" s="215" t="s">
        <v>580</v>
      </c>
      <c r="D590" s="216">
        <v>4.46</v>
      </c>
      <c r="E590" s="198"/>
      <c r="F590" s="198"/>
      <c r="G590" s="198"/>
      <c r="H590" s="198"/>
      <c r="I590" s="198"/>
      <c r="J590" s="198"/>
      <c r="K590" s="198"/>
      <c r="L590" s="198"/>
      <c r="M590" s="198"/>
      <c r="N590" s="198"/>
      <c r="O590" s="198"/>
      <c r="P590" s="198"/>
      <c r="Q590" s="198"/>
      <c r="R590" s="198"/>
      <c r="S590" s="198"/>
      <c r="T590" s="198"/>
      <c r="U590" s="198"/>
      <c r="V590" s="198"/>
      <c r="W590" s="198"/>
      <c r="X590" s="198"/>
      <c r="Y590" s="198"/>
      <c r="Z590" s="198"/>
    </row>
    <row r="591" spans="1:26" ht="15.75" hidden="1" customHeight="1" x14ac:dyDescent="0.25">
      <c r="A591" s="213">
        <v>1051</v>
      </c>
      <c r="B591" s="214" t="s">
        <v>9081</v>
      </c>
      <c r="C591" s="215" t="s">
        <v>580</v>
      </c>
      <c r="D591" s="216">
        <v>78.12</v>
      </c>
      <c r="E591" s="198"/>
      <c r="F591" s="198"/>
      <c r="G591" s="198"/>
      <c r="H591" s="198"/>
      <c r="I591" s="198"/>
      <c r="J591" s="198"/>
      <c r="K591" s="198"/>
      <c r="L591" s="198"/>
      <c r="M591" s="198"/>
      <c r="N591" s="198"/>
      <c r="O591" s="198"/>
      <c r="P591" s="198"/>
      <c r="Q591" s="198"/>
      <c r="R591" s="198"/>
      <c r="S591" s="198"/>
      <c r="T591" s="198"/>
      <c r="U591" s="198"/>
      <c r="V591" s="198"/>
      <c r="W591" s="198"/>
      <c r="X591" s="198"/>
      <c r="Y591" s="198"/>
      <c r="Z591" s="198"/>
    </row>
    <row r="592" spans="1:26" ht="15.75" hidden="1" customHeight="1" x14ac:dyDescent="0.25">
      <c r="A592" s="213">
        <v>37399</v>
      </c>
      <c r="B592" s="214" t="s">
        <v>9082</v>
      </c>
      <c r="C592" s="215" t="s">
        <v>580</v>
      </c>
      <c r="D592" s="216">
        <v>56.99</v>
      </c>
      <c r="E592" s="198"/>
      <c r="F592" s="198"/>
      <c r="G592" s="198"/>
      <c r="H592" s="198"/>
      <c r="I592" s="198"/>
      <c r="J592" s="198"/>
      <c r="K592" s="198"/>
      <c r="L592" s="198"/>
      <c r="M592" s="198"/>
      <c r="N592" s="198"/>
      <c r="O592" s="198"/>
      <c r="P592" s="198"/>
      <c r="Q592" s="198"/>
      <c r="R592" s="198"/>
      <c r="S592" s="198"/>
      <c r="T592" s="198"/>
      <c r="U592" s="198"/>
      <c r="V592" s="198"/>
      <c r="W592" s="198"/>
      <c r="X592" s="198"/>
      <c r="Y592" s="198"/>
      <c r="Z592" s="198"/>
    </row>
    <row r="593" spans="1:26" ht="15.75" hidden="1" customHeight="1" x14ac:dyDescent="0.25">
      <c r="A593" s="213">
        <v>43834</v>
      </c>
      <c r="B593" s="214" t="s">
        <v>9083</v>
      </c>
      <c r="C593" s="215" t="s">
        <v>585</v>
      </c>
      <c r="D593" s="216">
        <v>26.27</v>
      </c>
      <c r="E593" s="198"/>
      <c r="F593" s="198"/>
      <c r="G593" s="198"/>
      <c r="H593" s="198"/>
      <c r="I593" s="198"/>
      <c r="J593" s="198"/>
      <c r="K593" s="198"/>
      <c r="L593" s="198"/>
      <c r="M593" s="198"/>
      <c r="N593" s="198"/>
      <c r="O593" s="198"/>
      <c r="P593" s="198"/>
      <c r="Q593" s="198"/>
      <c r="R593" s="198"/>
      <c r="S593" s="198"/>
      <c r="T593" s="198"/>
      <c r="U593" s="198"/>
      <c r="V593" s="198"/>
      <c r="W593" s="198"/>
      <c r="X593" s="198"/>
      <c r="Y593" s="198"/>
      <c r="Z593" s="198"/>
    </row>
    <row r="594" spans="1:26" ht="15.75" hidden="1" customHeight="1" x14ac:dyDescent="0.25">
      <c r="A594" s="213">
        <v>43835</v>
      </c>
      <c r="B594" s="214" t="s">
        <v>9084</v>
      </c>
      <c r="C594" s="215" t="s">
        <v>585</v>
      </c>
      <c r="D594" s="216">
        <v>2.35</v>
      </c>
      <c r="E594" s="198"/>
      <c r="F594" s="198"/>
      <c r="G594" s="198"/>
      <c r="H594" s="198"/>
      <c r="I594" s="198"/>
      <c r="J594" s="198"/>
      <c r="K594" s="198"/>
      <c r="L594" s="198"/>
      <c r="M594" s="198"/>
      <c r="N594" s="198"/>
      <c r="O594" s="198"/>
      <c r="P594" s="198"/>
      <c r="Q594" s="198"/>
      <c r="R594" s="198"/>
      <c r="S594" s="198"/>
      <c r="T594" s="198"/>
      <c r="U594" s="198"/>
      <c r="V594" s="198"/>
      <c r="W594" s="198"/>
      <c r="X594" s="198"/>
      <c r="Y594" s="198"/>
      <c r="Z594" s="198"/>
    </row>
    <row r="595" spans="1:26" ht="15.75" hidden="1" customHeight="1" x14ac:dyDescent="0.25">
      <c r="A595" s="213">
        <v>43833</v>
      </c>
      <c r="B595" s="214" t="s">
        <v>9085</v>
      </c>
      <c r="C595" s="215" t="s">
        <v>585</v>
      </c>
      <c r="D595" s="216">
        <v>2.44</v>
      </c>
      <c r="E595" s="198"/>
      <c r="F595" s="198"/>
      <c r="G595" s="198"/>
      <c r="H595" s="198"/>
      <c r="I595" s="198"/>
      <c r="J595" s="198"/>
      <c r="K595" s="198"/>
      <c r="L595" s="198"/>
      <c r="M595" s="198"/>
      <c r="N595" s="198"/>
      <c r="O595" s="198"/>
      <c r="P595" s="198"/>
      <c r="Q595" s="198"/>
      <c r="R595" s="198"/>
      <c r="S595" s="198"/>
      <c r="T595" s="198"/>
      <c r="U595" s="198"/>
      <c r="V595" s="198"/>
      <c r="W595" s="198"/>
      <c r="X595" s="198"/>
      <c r="Y595" s="198"/>
      <c r="Z595" s="198"/>
    </row>
    <row r="596" spans="1:26" ht="15.75" hidden="1" customHeight="1" x14ac:dyDescent="0.25">
      <c r="A596" s="213">
        <v>41955</v>
      </c>
      <c r="B596" s="214" t="s">
        <v>9086</v>
      </c>
      <c r="C596" s="215" t="s">
        <v>823</v>
      </c>
      <c r="D596" s="216">
        <v>88.52</v>
      </c>
      <c r="E596" s="198"/>
      <c r="F596" s="198"/>
      <c r="G596" s="198"/>
      <c r="H596" s="198"/>
      <c r="I596" s="198"/>
      <c r="J596" s="198"/>
      <c r="K596" s="198"/>
      <c r="L596" s="198"/>
      <c r="M596" s="198"/>
      <c r="N596" s="198"/>
      <c r="O596" s="198"/>
      <c r="P596" s="198"/>
      <c r="Q596" s="198"/>
      <c r="R596" s="198"/>
      <c r="S596" s="198"/>
      <c r="T596" s="198"/>
      <c r="U596" s="198"/>
      <c r="V596" s="198"/>
      <c r="W596" s="198"/>
      <c r="X596" s="198"/>
      <c r="Y596" s="198"/>
      <c r="Z596" s="198"/>
    </row>
    <row r="597" spans="1:26" ht="15.75" hidden="1" customHeight="1" x14ac:dyDescent="0.25">
      <c r="A597" s="213">
        <v>41953</v>
      </c>
      <c r="B597" s="214" t="s">
        <v>9087</v>
      </c>
      <c r="C597" s="215" t="s">
        <v>823</v>
      </c>
      <c r="D597" s="216">
        <v>84.48</v>
      </c>
      <c r="E597" s="198"/>
      <c r="F597" s="198"/>
      <c r="G597" s="198"/>
      <c r="H597" s="198"/>
      <c r="I597" s="198"/>
      <c r="J597" s="198"/>
      <c r="K597" s="198"/>
      <c r="L597" s="198"/>
      <c r="M597" s="198"/>
      <c r="N597" s="198"/>
      <c r="O597" s="198"/>
      <c r="P597" s="198"/>
      <c r="Q597" s="198"/>
      <c r="R597" s="198"/>
      <c r="S597" s="198"/>
      <c r="T597" s="198"/>
      <c r="U597" s="198"/>
      <c r="V597" s="198"/>
      <c r="W597" s="198"/>
      <c r="X597" s="198"/>
      <c r="Y597" s="198"/>
      <c r="Z597" s="198"/>
    </row>
    <row r="598" spans="1:26" ht="15.75" hidden="1" customHeight="1" x14ac:dyDescent="0.25">
      <c r="A598" s="213">
        <v>41954</v>
      </c>
      <c r="B598" s="214" t="s">
        <v>9088</v>
      </c>
      <c r="C598" s="215" t="s">
        <v>823</v>
      </c>
      <c r="D598" s="216">
        <v>83.68</v>
      </c>
      <c r="E598" s="198"/>
      <c r="F598" s="198"/>
      <c r="G598" s="198"/>
      <c r="H598" s="198"/>
      <c r="I598" s="198"/>
      <c r="J598" s="198"/>
      <c r="K598" s="198"/>
      <c r="L598" s="198"/>
      <c r="M598" s="198"/>
      <c r="N598" s="198"/>
      <c r="O598" s="198"/>
      <c r="P598" s="198"/>
      <c r="Q598" s="198"/>
      <c r="R598" s="198"/>
      <c r="S598" s="198"/>
      <c r="T598" s="198"/>
      <c r="U598" s="198"/>
      <c r="V598" s="198"/>
      <c r="W598" s="198"/>
      <c r="X598" s="198"/>
      <c r="Y598" s="198"/>
      <c r="Z598" s="198"/>
    </row>
    <row r="599" spans="1:26" ht="15.75" hidden="1" customHeight="1" x14ac:dyDescent="0.25">
      <c r="A599" s="213">
        <v>25004</v>
      </c>
      <c r="B599" s="214" t="s">
        <v>9089</v>
      </c>
      <c r="C599" s="215" t="s">
        <v>823</v>
      </c>
      <c r="D599" s="216">
        <v>48.58</v>
      </c>
      <c r="E599" s="198"/>
      <c r="F599" s="198"/>
      <c r="G599" s="198"/>
      <c r="H599" s="198"/>
      <c r="I599" s="198"/>
      <c r="J599" s="198"/>
      <c r="K599" s="198"/>
      <c r="L599" s="198"/>
      <c r="M599" s="198"/>
      <c r="N599" s="198"/>
      <c r="O599" s="198"/>
      <c r="P599" s="198"/>
      <c r="Q599" s="198"/>
      <c r="R599" s="198"/>
      <c r="S599" s="198"/>
      <c r="T599" s="198"/>
      <c r="U599" s="198"/>
      <c r="V599" s="198"/>
      <c r="W599" s="198"/>
      <c r="X599" s="198"/>
      <c r="Y599" s="198"/>
      <c r="Z599" s="198"/>
    </row>
    <row r="600" spans="1:26" ht="15.75" hidden="1" customHeight="1" x14ac:dyDescent="0.25">
      <c r="A600" s="213">
        <v>25002</v>
      </c>
      <c r="B600" s="214" t="s">
        <v>9090</v>
      </c>
      <c r="C600" s="215" t="s">
        <v>823</v>
      </c>
      <c r="D600" s="216">
        <v>48.58</v>
      </c>
      <c r="E600" s="198"/>
      <c r="F600" s="198"/>
      <c r="G600" s="198"/>
      <c r="H600" s="198"/>
      <c r="I600" s="198"/>
      <c r="J600" s="198"/>
      <c r="K600" s="198"/>
      <c r="L600" s="198"/>
      <c r="M600" s="198"/>
      <c r="N600" s="198"/>
      <c r="O600" s="198"/>
      <c r="P600" s="198"/>
      <c r="Q600" s="198"/>
      <c r="R600" s="198"/>
      <c r="S600" s="198"/>
      <c r="T600" s="198"/>
      <c r="U600" s="198"/>
      <c r="V600" s="198"/>
      <c r="W600" s="198"/>
      <c r="X600" s="198"/>
      <c r="Y600" s="198"/>
      <c r="Z600" s="198"/>
    </row>
    <row r="601" spans="1:26" ht="15.75" hidden="1" customHeight="1" x14ac:dyDescent="0.25">
      <c r="A601" s="213">
        <v>37409</v>
      </c>
      <c r="B601" s="214" t="s">
        <v>9091</v>
      </c>
      <c r="C601" s="215" t="s">
        <v>823</v>
      </c>
      <c r="D601" s="216">
        <v>48.58</v>
      </c>
      <c r="E601" s="198"/>
      <c r="F601" s="198"/>
      <c r="G601" s="198"/>
      <c r="H601" s="198"/>
      <c r="I601" s="198"/>
      <c r="J601" s="198"/>
      <c r="K601" s="198"/>
      <c r="L601" s="198"/>
      <c r="M601" s="198"/>
      <c r="N601" s="198"/>
      <c r="O601" s="198"/>
      <c r="P601" s="198"/>
      <c r="Q601" s="198"/>
      <c r="R601" s="198"/>
      <c r="S601" s="198"/>
      <c r="T601" s="198"/>
      <c r="U601" s="198"/>
      <c r="V601" s="198"/>
      <c r="W601" s="198"/>
      <c r="X601" s="198"/>
      <c r="Y601" s="198"/>
      <c r="Z601" s="198"/>
    </row>
    <row r="602" spans="1:26" ht="15.75" hidden="1" customHeight="1" x14ac:dyDescent="0.25">
      <c r="A602" s="213">
        <v>841</v>
      </c>
      <c r="B602" s="214" t="s">
        <v>9092</v>
      </c>
      <c r="C602" s="215" t="s">
        <v>823</v>
      </c>
      <c r="D602" s="216">
        <v>49.17</v>
      </c>
      <c r="E602" s="198"/>
      <c r="F602" s="198"/>
      <c r="G602" s="198"/>
      <c r="H602" s="198"/>
      <c r="I602" s="198"/>
      <c r="J602" s="198"/>
      <c r="K602" s="198"/>
      <c r="L602" s="198"/>
      <c r="M602" s="198"/>
      <c r="N602" s="198"/>
      <c r="O602" s="198"/>
      <c r="P602" s="198"/>
      <c r="Q602" s="198"/>
      <c r="R602" s="198"/>
      <c r="S602" s="198"/>
      <c r="T602" s="198"/>
      <c r="U602" s="198"/>
      <c r="V602" s="198"/>
      <c r="W602" s="198"/>
      <c r="X602" s="198"/>
      <c r="Y602" s="198"/>
      <c r="Z602" s="198"/>
    </row>
    <row r="603" spans="1:26" ht="15.75" hidden="1" customHeight="1" x14ac:dyDescent="0.25">
      <c r="A603" s="213">
        <v>25005</v>
      </c>
      <c r="B603" s="214" t="s">
        <v>9093</v>
      </c>
      <c r="C603" s="215" t="s">
        <v>823</v>
      </c>
      <c r="D603" s="216">
        <v>53.31</v>
      </c>
      <c r="E603" s="198"/>
      <c r="F603" s="198"/>
      <c r="G603" s="198"/>
      <c r="H603" s="198"/>
      <c r="I603" s="198"/>
      <c r="J603" s="198"/>
      <c r="K603" s="198"/>
      <c r="L603" s="198"/>
      <c r="M603" s="198"/>
      <c r="N603" s="198"/>
      <c r="O603" s="198"/>
      <c r="P603" s="198"/>
      <c r="Q603" s="198"/>
      <c r="R603" s="198"/>
      <c r="S603" s="198"/>
      <c r="T603" s="198"/>
      <c r="U603" s="198"/>
      <c r="V603" s="198"/>
      <c r="W603" s="198"/>
      <c r="X603" s="198"/>
      <c r="Y603" s="198"/>
      <c r="Z603" s="198"/>
    </row>
    <row r="604" spans="1:26" ht="15.75" hidden="1" customHeight="1" x14ac:dyDescent="0.25">
      <c r="A604" s="213">
        <v>25003</v>
      </c>
      <c r="B604" s="214" t="s">
        <v>9094</v>
      </c>
      <c r="C604" s="215" t="s">
        <v>823</v>
      </c>
      <c r="D604" s="216">
        <v>54.11</v>
      </c>
      <c r="E604" s="198"/>
      <c r="F604" s="198"/>
      <c r="G604" s="198"/>
      <c r="H604" s="198"/>
      <c r="I604" s="198"/>
      <c r="J604" s="198"/>
      <c r="K604" s="198"/>
      <c r="L604" s="198"/>
      <c r="M604" s="198"/>
      <c r="N604" s="198"/>
      <c r="O604" s="198"/>
      <c r="P604" s="198"/>
      <c r="Q604" s="198"/>
      <c r="R604" s="198"/>
      <c r="S604" s="198"/>
      <c r="T604" s="198"/>
      <c r="U604" s="198"/>
      <c r="V604" s="198"/>
      <c r="W604" s="198"/>
      <c r="X604" s="198"/>
      <c r="Y604" s="198"/>
      <c r="Z604" s="198"/>
    </row>
    <row r="605" spans="1:26" ht="15.75" hidden="1" customHeight="1" x14ac:dyDescent="0.25">
      <c r="A605" s="213">
        <v>37410</v>
      </c>
      <c r="B605" s="214" t="s">
        <v>9095</v>
      </c>
      <c r="C605" s="215" t="s">
        <v>823</v>
      </c>
      <c r="D605" s="216">
        <v>53.31</v>
      </c>
      <c r="E605" s="198"/>
      <c r="F605" s="198"/>
      <c r="G605" s="198"/>
      <c r="H605" s="198"/>
      <c r="I605" s="198"/>
      <c r="J605" s="198"/>
      <c r="K605" s="198"/>
      <c r="L605" s="198"/>
      <c r="M605" s="198"/>
      <c r="N605" s="198"/>
      <c r="O605" s="198"/>
      <c r="P605" s="198"/>
      <c r="Q605" s="198"/>
      <c r="R605" s="198"/>
      <c r="S605" s="198"/>
      <c r="T605" s="198"/>
      <c r="U605" s="198"/>
      <c r="V605" s="198"/>
      <c r="W605" s="198"/>
      <c r="X605" s="198"/>
      <c r="Y605" s="198"/>
      <c r="Z605" s="198"/>
    </row>
    <row r="606" spans="1:26" ht="15.75" hidden="1" customHeight="1" x14ac:dyDescent="0.25">
      <c r="A606" s="213">
        <v>842</v>
      </c>
      <c r="B606" s="214" t="s">
        <v>9096</v>
      </c>
      <c r="C606" s="215" t="s">
        <v>823</v>
      </c>
      <c r="D606" s="216">
        <v>54.07</v>
      </c>
      <c r="E606" s="198"/>
      <c r="F606" s="198"/>
      <c r="G606" s="198"/>
      <c r="H606" s="198"/>
      <c r="I606" s="198"/>
      <c r="J606" s="198"/>
      <c r="K606" s="198"/>
      <c r="L606" s="198"/>
      <c r="M606" s="198"/>
      <c r="N606" s="198"/>
      <c r="O606" s="198"/>
      <c r="P606" s="198"/>
      <c r="Q606" s="198"/>
      <c r="R606" s="198"/>
      <c r="S606" s="198"/>
      <c r="T606" s="198"/>
      <c r="U606" s="198"/>
      <c r="V606" s="198"/>
      <c r="W606" s="198"/>
      <c r="X606" s="198"/>
      <c r="Y606" s="198"/>
      <c r="Z606" s="198"/>
    </row>
    <row r="607" spans="1:26" ht="15.75" hidden="1" customHeight="1" x14ac:dyDescent="0.25">
      <c r="A607" s="213">
        <v>44391</v>
      </c>
      <c r="B607" s="214" t="s">
        <v>9097</v>
      </c>
      <c r="C607" s="215" t="s">
        <v>585</v>
      </c>
      <c r="D607" s="216">
        <v>115.21</v>
      </c>
      <c r="E607" s="198"/>
      <c r="F607" s="198"/>
      <c r="G607" s="198"/>
      <c r="H607" s="198"/>
      <c r="I607" s="198"/>
      <c r="J607" s="198"/>
      <c r="K607" s="198"/>
      <c r="L607" s="198"/>
      <c r="M607" s="198"/>
      <c r="N607" s="198"/>
      <c r="O607" s="198"/>
      <c r="P607" s="198"/>
      <c r="Q607" s="198"/>
      <c r="R607" s="198"/>
      <c r="S607" s="198"/>
      <c r="T607" s="198"/>
      <c r="U607" s="198"/>
      <c r="V607" s="198"/>
      <c r="W607" s="198"/>
      <c r="X607" s="198"/>
      <c r="Y607" s="198"/>
      <c r="Z607" s="198"/>
    </row>
    <row r="608" spans="1:26" ht="15.75" hidden="1" customHeight="1" x14ac:dyDescent="0.25">
      <c r="A608" s="213">
        <v>44388</v>
      </c>
      <c r="B608" s="214" t="s">
        <v>9098</v>
      </c>
      <c r="C608" s="215" t="s">
        <v>585</v>
      </c>
      <c r="D608" s="216">
        <v>2.4900000000000002</v>
      </c>
      <c r="E608" s="198"/>
      <c r="F608" s="198"/>
      <c r="G608" s="198"/>
      <c r="H608" s="198"/>
      <c r="I608" s="198"/>
      <c r="J608" s="198"/>
      <c r="K608" s="198"/>
      <c r="L608" s="198"/>
      <c r="M608" s="198"/>
      <c r="N608" s="198"/>
      <c r="O608" s="198"/>
      <c r="P608" s="198"/>
      <c r="Q608" s="198"/>
      <c r="R608" s="198"/>
      <c r="S608" s="198"/>
      <c r="T608" s="198"/>
      <c r="U608" s="198"/>
      <c r="V608" s="198"/>
      <c r="W608" s="198"/>
      <c r="X608" s="198"/>
      <c r="Y608" s="198"/>
      <c r="Z608" s="198"/>
    </row>
    <row r="609" spans="1:26" ht="15.75" hidden="1" customHeight="1" x14ac:dyDescent="0.25">
      <c r="A609" s="213">
        <v>44392</v>
      </c>
      <c r="B609" s="214" t="s">
        <v>9099</v>
      </c>
      <c r="C609" s="215" t="s">
        <v>585</v>
      </c>
      <c r="D609" s="216">
        <v>229.39</v>
      </c>
      <c r="E609" s="198"/>
      <c r="F609" s="198"/>
      <c r="G609" s="198"/>
      <c r="H609" s="198"/>
      <c r="I609" s="198"/>
      <c r="J609" s="198"/>
      <c r="K609" s="198"/>
      <c r="L609" s="198"/>
      <c r="M609" s="198"/>
      <c r="N609" s="198"/>
      <c r="O609" s="198"/>
      <c r="P609" s="198"/>
      <c r="Q609" s="198"/>
      <c r="R609" s="198"/>
      <c r="S609" s="198"/>
      <c r="T609" s="198"/>
      <c r="U609" s="198"/>
      <c r="V609" s="198"/>
      <c r="W609" s="198"/>
      <c r="X609" s="198"/>
      <c r="Y609" s="198"/>
      <c r="Z609" s="198"/>
    </row>
    <row r="610" spans="1:26" ht="15.75" hidden="1" customHeight="1" x14ac:dyDescent="0.25">
      <c r="A610" s="213">
        <v>44390</v>
      </c>
      <c r="B610" s="214" t="s">
        <v>9100</v>
      </c>
      <c r="C610" s="215" t="s">
        <v>585</v>
      </c>
      <c r="D610" s="216">
        <v>48.6</v>
      </c>
      <c r="E610" s="198"/>
      <c r="F610" s="198"/>
      <c r="G610" s="198"/>
      <c r="H610" s="198"/>
      <c r="I610" s="198"/>
      <c r="J610" s="198"/>
      <c r="K610" s="198"/>
      <c r="L610" s="198"/>
      <c r="M610" s="198"/>
      <c r="N610" s="198"/>
      <c r="O610" s="198"/>
      <c r="P610" s="198"/>
      <c r="Q610" s="198"/>
      <c r="R610" s="198"/>
      <c r="S610" s="198"/>
      <c r="T610" s="198"/>
      <c r="U610" s="198"/>
      <c r="V610" s="198"/>
      <c r="W610" s="198"/>
      <c r="X610" s="198"/>
      <c r="Y610" s="198"/>
      <c r="Z610" s="198"/>
    </row>
    <row r="611" spans="1:26" ht="15.75" hidden="1" customHeight="1" x14ac:dyDescent="0.25">
      <c r="A611" s="213">
        <v>44389</v>
      </c>
      <c r="B611" s="214" t="s">
        <v>9101</v>
      </c>
      <c r="C611" s="215" t="s">
        <v>585</v>
      </c>
      <c r="D611" s="216">
        <v>5.74</v>
      </c>
      <c r="E611" s="198"/>
      <c r="F611" s="198"/>
      <c r="G611" s="198"/>
      <c r="H611" s="198"/>
      <c r="I611" s="198"/>
      <c r="J611" s="198"/>
      <c r="K611" s="198"/>
      <c r="L611" s="198"/>
      <c r="M611" s="198"/>
      <c r="N611" s="198"/>
      <c r="O611" s="198"/>
      <c r="P611" s="198"/>
      <c r="Q611" s="198"/>
      <c r="R611" s="198"/>
      <c r="S611" s="198"/>
      <c r="T611" s="198"/>
      <c r="U611" s="198"/>
      <c r="V611" s="198"/>
      <c r="W611" s="198"/>
      <c r="X611" s="198"/>
      <c r="Y611" s="198"/>
      <c r="Z611" s="198"/>
    </row>
    <row r="612" spans="1:26" ht="15.75" hidden="1" customHeight="1" x14ac:dyDescent="0.25">
      <c r="A612" s="213">
        <v>862</v>
      </c>
      <c r="B612" s="214" t="s">
        <v>9102</v>
      </c>
      <c r="C612" s="215" t="s">
        <v>585</v>
      </c>
      <c r="D612" s="216">
        <v>10.51</v>
      </c>
      <c r="E612" s="198"/>
      <c r="F612" s="198"/>
      <c r="G612" s="198"/>
      <c r="H612" s="198"/>
      <c r="I612" s="198"/>
      <c r="J612" s="198"/>
      <c r="K612" s="198"/>
      <c r="L612" s="198"/>
      <c r="M612" s="198"/>
      <c r="N612" s="198"/>
      <c r="O612" s="198"/>
      <c r="P612" s="198"/>
      <c r="Q612" s="198"/>
      <c r="R612" s="198"/>
      <c r="S612" s="198"/>
      <c r="T612" s="198"/>
      <c r="U612" s="198"/>
      <c r="V612" s="198"/>
      <c r="W612" s="198"/>
      <c r="X612" s="198"/>
      <c r="Y612" s="198"/>
      <c r="Z612" s="198"/>
    </row>
    <row r="613" spans="1:26" ht="15.75" hidden="1" customHeight="1" x14ac:dyDescent="0.25">
      <c r="A613" s="213">
        <v>866</v>
      </c>
      <c r="B613" s="214" t="s">
        <v>9103</v>
      </c>
      <c r="C613" s="215" t="s">
        <v>585</v>
      </c>
      <c r="D613" s="216">
        <v>133.57</v>
      </c>
      <c r="E613" s="198"/>
      <c r="F613" s="198"/>
      <c r="G613" s="198"/>
      <c r="H613" s="198"/>
      <c r="I613" s="198"/>
      <c r="J613" s="198"/>
      <c r="K613" s="198"/>
      <c r="L613" s="198"/>
      <c r="M613" s="198"/>
      <c r="N613" s="198"/>
      <c r="O613" s="198"/>
      <c r="P613" s="198"/>
      <c r="Q613" s="198"/>
      <c r="R613" s="198"/>
      <c r="S613" s="198"/>
      <c r="T613" s="198"/>
      <c r="U613" s="198"/>
      <c r="V613" s="198"/>
      <c r="W613" s="198"/>
      <c r="X613" s="198"/>
      <c r="Y613" s="198"/>
      <c r="Z613" s="198"/>
    </row>
    <row r="614" spans="1:26" ht="15.75" hidden="1" customHeight="1" x14ac:dyDescent="0.25">
      <c r="A614" s="213">
        <v>892</v>
      </c>
      <c r="B614" s="214" t="s">
        <v>9104</v>
      </c>
      <c r="C614" s="215" t="s">
        <v>585</v>
      </c>
      <c r="D614" s="216">
        <v>161.69</v>
      </c>
      <c r="E614" s="198"/>
      <c r="F614" s="198"/>
      <c r="G614" s="198"/>
      <c r="H614" s="198"/>
      <c r="I614" s="198"/>
      <c r="J614" s="198"/>
      <c r="K614" s="198"/>
      <c r="L614" s="198"/>
      <c r="M614" s="198"/>
      <c r="N614" s="198"/>
      <c r="O614" s="198"/>
      <c r="P614" s="198"/>
      <c r="Q614" s="198"/>
      <c r="R614" s="198"/>
      <c r="S614" s="198"/>
      <c r="T614" s="198"/>
      <c r="U614" s="198"/>
      <c r="V614" s="198"/>
      <c r="W614" s="198"/>
      <c r="X614" s="198"/>
      <c r="Y614" s="198"/>
      <c r="Z614" s="198"/>
    </row>
    <row r="615" spans="1:26" ht="15.75" hidden="1" customHeight="1" x14ac:dyDescent="0.25">
      <c r="A615" s="213">
        <v>857</v>
      </c>
      <c r="B615" s="214" t="s">
        <v>9105</v>
      </c>
      <c r="C615" s="215" t="s">
        <v>585</v>
      </c>
      <c r="D615" s="216">
        <v>17.579999999999998</v>
      </c>
      <c r="E615" s="198"/>
      <c r="F615" s="198"/>
      <c r="G615" s="198"/>
      <c r="H615" s="198"/>
      <c r="I615" s="198"/>
      <c r="J615" s="198"/>
      <c r="K615" s="198"/>
      <c r="L615" s="198"/>
      <c r="M615" s="198"/>
      <c r="N615" s="198"/>
      <c r="O615" s="198"/>
      <c r="P615" s="198"/>
      <c r="Q615" s="198"/>
      <c r="R615" s="198"/>
      <c r="S615" s="198"/>
      <c r="T615" s="198"/>
      <c r="U615" s="198"/>
      <c r="V615" s="198"/>
      <c r="W615" s="198"/>
      <c r="X615" s="198"/>
      <c r="Y615" s="198"/>
      <c r="Z615" s="198"/>
    </row>
    <row r="616" spans="1:26" ht="15.75" hidden="1" customHeight="1" x14ac:dyDescent="0.25">
      <c r="A616" s="213">
        <v>37404</v>
      </c>
      <c r="B616" s="214" t="s">
        <v>9106</v>
      </c>
      <c r="C616" s="215" t="s">
        <v>585</v>
      </c>
      <c r="D616" s="216">
        <v>187.07</v>
      </c>
      <c r="E616" s="198"/>
      <c r="F616" s="198"/>
      <c r="G616" s="198"/>
      <c r="H616" s="198"/>
      <c r="I616" s="198"/>
      <c r="J616" s="198"/>
      <c r="K616" s="198"/>
      <c r="L616" s="198"/>
      <c r="M616" s="198"/>
      <c r="N616" s="198"/>
      <c r="O616" s="198"/>
      <c r="P616" s="198"/>
      <c r="Q616" s="198"/>
      <c r="R616" s="198"/>
      <c r="S616" s="198"/>
      <c r="T616" s="198"/>
      <c r="U616" s="198"/>
      <c r="V616" s="198"/>
      <c r="W616" s="198"/>
      <c r="X616" s="198"/>
      <c r="Y616" s="198"/>
      <c r="Z616" s="198"/>
    </row>
    <row r="617" spans="1:26" ht="15.75" hidden="1" customHeight="1" x14ac:dyDescent="0.25">
      <c r="A617" s="213">
        <v>868</v>
      </c>
      <c r="B617" s="214" t="s">
        <v>9107</v>
      </c>
      <c r="C617" s="215" t="s">
        <v>585</v>
      </c>
      <c r="D617" s="216">
        <v>25.06</v>
      </c>
      <c r="E617" s="198"/>
      <c r="F617" s="198"/>
      <c r="G617" s="198"/>
      <c r="H617" s="198"/>
      <c r="I617" s="198"/>
      <c r="J617" s="198"/>
      <c r="K617" s="198"/>
      <c r="L617" s="198"/>
      <c r="M617" s="198"/>
      <c r="N617" s="198"/>
      <c r="O617" s="198"/>
      <c r="P617" s="198"/>
      <c r="Q617" s="198"/>
      <c r="R617" s="198"/>
      <c r="S617" s="198"/>
      <c r="T617" s="198"/>
      <c r="U617" s="198"/>
      <c r="V617" s="198"/>
      <c r="W617" s="198"/>
      <c r="X617" s="198"/>
      <c r="Y617" s="198"/>
      <c r="Z617" s="198"/>
    </row>
    <row r="618" spans="1:26" ht="15.75" hidden="1" customHeight="1" x14ac:dyDescent="0.25">
      <c r="A618" s="213">
        <v>863</v>
      </c>
      <c r="B618" s="214" t="s">
        <v>9108</v>
      </c>
      <c r="C618" s="215" t="s">
        <v>585</v>
      </c>
      <c r="D618" s="216">
        <v>36.909999999999997</v>
      </c>
      <c r="E618" s="198"/>
      <c r="F618" s="198"/>
      <c r="G618" s="198"/>
      <c r="H618" s="198"/>
      <c r="I618" s="198"/>
      <c r="J618" s="198"/>
      <c r="K618" s="198"/>
      <c r="L618" s="198"/>
      <c r="M618" s="198"/>
      <c r="N618" s="198"/>
      <c r="O618" s="198"/>
      <c r="P618" s="198"/>
      <c r="Q618" s="198"/>
      <c r="R618" s="198"/>
      <c r="S618" s="198"/>
      <c r="T618" s="198"/>
      <c r="U618" s="198"/>
      <c r="V618" s="198"/>
      <c r="W618" s="198"/>
      <c r="X618" s="198"/>
      <c r="Y618" s="198"/>
      <c r="Z618" s="198"/>
    </row>
    <row r="619" spans="1:26" ht="15.75" hidden="1" customHeight="1" x14ac:dyDescent="0.25">
      <c r="A619" s="213">
        <v>867</v>
      </c>
      <c r="B619" s="214" t="s">
        <v>9109</v>
      </c>
      <c r="C619" s="215" t="s">
        <v>585</v>
      </c>
      <c r="D619" s="216">
        <v>52.58</v>
      </c>
      <c r="E619" s="198"/>
      <c r="F619" s="198"/>
      <c r="G619" s="198"/>
      <c r="H619" s="198"/>
      <c r="I619" s="198"/>
      <c r="J619" s="198"/>
      <c r="K619" s="198"/>
      <c r="L619" s="198"/>
      <c r="M619" s="198"/>
      <c r="N619" s="198"/>
      <c r="O619" s="198"/>
      <c r="P619" s="198"/>
      <c r="Q619" s="198"/>
      <c r="R619" s="198"/>
      <c r="S619" s="198"/>
      <c r="T619" s="198"/>
      <c r="U619" s="198"/>
      <c r="V619" s="198"/>
      <c r="W619" s="198"/>
      <c r="X619" s="198"/>
      <c r="Y619" s="198"/>
      <c r="Z619" s="198"/>
    </row>
    <row r="620" spans="1:26" ht="15.75" hidden="1" customHeight="1" x14ac:dyDescent="0.25">
      <c r="A620" s="213">
        <v>864</v>
      </c>
      <c r="B620" s="214" t="s">
        <v>9110</v>
      </c>
      <c r="C620" s="215" t="s">
        <v>585</v>
      </c>
      <c r="D620" s="216">
        <v>69.45</v>
      </c>
      <c r="E620" s="198"/>
      <c r="F620" s="198"/>
      <c r="G620" s="198"/>
      <c r="H620" s="198"/>
      <c r="I620" s="198"/>
      <c r="J620" s="198"/>
      <c r="K620" s="198"/>
      <c r="L620" s="198"/>
      <c r="M620" s="198"/>
      <c r="N620" s="198"/>
      <c r="O620" s="198"/>
      <c r="P620" s="198"/>
      <c r="Q620" s="198"/>
      <c r="R620" s="198"/>
      <c r="S620" s="198"/>
      <c r="T620" s="198"/>
      <c r="U620" s="198"/>
      <c r="V620" s="198"/>
      <c r="W620" s="198"/>
      <c r="X620" s="198"/>
      <c r="Y620" s="198"/>
      <c r="Z620" s="198"/>
    </row>
    <row r="621" spans="1:26" ht="15.75" hidden="1" customHeight="1" x14ac:dyDescent="0.25">
      <c r="A621" s="213">
        <v>865</v>
      </c>
      <c r="B621" s="214" t="s">
        <v>9111</v>
      </c>
      <c r="C621" s="215" t="s">
        <v>585</v>
      </c>
      <c r="D621" s="216">
        <v>99.9</v>
      </c>
      <c r="E621" s="198"/>
      <c r="F621" s="198"/>
      <c r="G621" s="198"/>
      <c r="H621" s="198"/>
      <c r="I621" s="198"/>
      <c r="J621" s="198"/>
      <c r="K621" s="198"/>
      <c r="L621" s="198"/>
      <c r="M621" s="198"/>
      <c r="N621" s="198"/>
      <c r="O621" s="198"/>
      <c r="P621" s="198"/>
      <c r="Q621" s="198"/>
      <c r="R621" s="198"/>
      <c r="S621" s="198"/>
      <c r="T621" s="198"/>
      <c r="U621" s="198"/>
      <c r="V621" s="198"/>
      <c r="W621" s="198"/>
      <c r="X621" s="198"/>
      <c r="Y621" s="198"/>
      <c r="Z621" s="198"/>
    </row>
    <row r="622" spans="1:26" ht="15.75" hidden="1" customHeight="1" x14ac:dyDescent="0.25">
      <c r="A622" s="213">
        <v>39251</v>
      </c>
      <c r="B622" s="214" t="s">
        <v>9112</v>
      </c>
      <c r="C622" s="215" t="s">
        <v>585</v>
      </c>
      <c r="D622" s="216">
        <v>0.65</v>
      </c>
      <c r="E622" s="198"/>
      <c r="F622" s="198"/>
      <c r="G622" s="198"/>
      <c r="H622" s="198"/>
      <c r="I622" s="198"/>
      <c r="J622" s="198"/>
      <c r="K622" s="198"/>
      <c r="L622" s="198"/>
      <c r="M622" s="198"/>
      <c r="N622" s="198"/>
      <c r="O622" s="198"/>
      <c r="P622" s="198"/>
      <c r="Q622" s="198"/>
      <c r="R622" s="198"/>
      <c r="S622" s="198"/>
      <c r="T622" s="198"/>
      <c r="U622" s="198"/>
      <c r="V622" s="198"/>
      <c r="W622" s="198"/>
      <c r="X622" s="198"/>
      <c r="Y622" s="198"/>
      <c r="Z622" s="198"/>
    </row>
    <row r="623" spans="1:26" ht="15.75" hidden="1" customHeight="1" x14ac:dyDescent="0.25">
      <c r="A623" s="213">
        <v>1011</v>
      </c>
      <c r="B623" s="214" t="s">
        <v>9113</v>
      </c>
      <c r="C623" s="215" t="s">
        <v>585</v>
      </c>
      <c r="D623" s="216">
        <v>0.89</v>
      </c>
      <c r="E623" s="198"/>
      <c r="F623" s="198"/>
      <c r="G623" s="198"/>
      <c r="H623" s="198"/>
      <c r="I623" s="198"/>
      <c r="J623" s="198"/>
      <c r="K623" s="198"/>
      <c r="L623" s="198"/>
      <c r="M623" s="198"/>
      <c r="N623" s="198"/>
      <c r="O623" s="198"/>
      <c r="P623" s="198"/>
      <c r="Q623" s="198"/>
      <c r="R623" s="198"/>
      <c r="S623" s="198"/>
      <c r="T623" s="198"/>
      <c r="U623" s="198"/>
      <c r="V623" s="198"/>
      <c r="W623" s="198"/>
      <c r="X623" s="198"/>
      <c r="Y623" s="198"/>
      <c r="Z623" s="198"/>
    </row>
    <row r="624" spans="1:26" ht="15.75" hidden="1" customHeight="1" x14ac:dyDescent="0.25">
      <c r="A624" s="213">
        <v>39252</v>
      </c>
      <c r="B624" s="214" t="s">
        <v>9114</v>
      </c>
      <c r="C624" s="215" t="s">
        <v>585</v>
      </c>
      <c r="D624" s="216">
        <v>1.17</v>
      </c>
      <c r="E624" s="198"/>
      <c r="F624" s="198"/>
      <c r="G624" s="198"/>
      <c r="H624" s="198"/>
      <c r="I624" s="198"/>
      <c r="J624" s="198"/>
      <c r="K624" s="198"/>
      <c r="L624" s="198"/>
      <c r="M624" s="198"/>
      <c r="N624" s="198"/>
      <c r="O624" s="198"/>
      <c r="P624" s="198"/>
      <c r="Q624" s="198"/>
      <c r="R624" s="198"/>
      <c r="S624" s="198"/>
      <c r="T624" s="198"/>
      <c r="U624" s="198"/>
      <c r="V624" s="198"/>
      <c r="W624" s="198"/>
      <c r="X624" s="198"/>
      <c r="Y624" s="198"/>
      <c r="Z624" s="198"/>
    </row>
    <row r="625" spans="1:26" ht="15.75" hidden="1" customHeight="1" x14ac:dyDescent="0.25">
      <c r="A625" s="213">
        <v>1013</v>
      </c>
      <c r="B625" s="214" t="s">
        <v>9115</v>
      </c>
      <c r="C625" s="215" t="s">
        <v>585</v>
      </c>
      <c r="D625" s="216">
        <v>1.41</v>
      </c>
      <c r="E625" s="198"/>
      <c r="F625" s="198"/>
      <c r="G625" s="198"/>
      <c r="H625" s="198"/>
      <c r="I625" s="198"/>
      <c r="J625" s="198"/>
      <c r="K625" s="198"/>
      <c r="L625" s="198"/>
      <c r="M625" s="198"/>
      <c r="N625" s="198"/>
      <c r="O625" s="198"/>
      <c r="P625" s="198"/>
      <c r="Q625" s="198"/>
      <c r="R625" s="198"/>
      <c r="S625" s="198"/>
      <c r="T625" s="198"/>
      <c r="U625" s="198"/>
      <c r="V625" s="198"/>
      <c r="W625" s="198"/>
      <c r="X625" s="198"/>
      <c r="Y625" s="198"/>
      <c r="Z625" s="198"/>
    </row>
    <row r="626" spans="1:26" ht="15.75" hidden="1" customHeight="1" x14ac:dyDescent="0.25">
      <c r="A626" s="213">
        <v>980</v>
      </c>
      <c r="B626" s="214" t="s">
        <v>9116</v>
      </c>
      <c r="C626" s="215" t="s">
        <v>585</v>
      </c>
      <c r="D626" s="216">
        <v>10.16</v>
      </c>
      <c r="E626" s="198"/>
      <c r="F626" s="198"/>
      <c r="G626" s="198"/>
      <c r="H626" s="198"/>
      <c r="I626" s="198"/>
      <c r="J626" s="198"/>
      <c r="K626" s="198"/>
      <c r="L626" s="198"/>
      <c r="M626" s="198"/>
      <c r="N626" s="198"/>
      <c r="O626" s="198"/>
      <c r="P626" s="198"/>
      <c r="Q626" s="198"/>
      <c r="R626" s="198"/>
      <c r="S626" s="198"/>
      <c r="T626" s="198"/>
      <c r="U626" s="198"/>
      <c r="V626" s="198"/>
      <c r="W626" s="198"/>
      <c r="X626" s="198"/>
      <c r="Y626" s="198"/>
      <c r="Z626" s="198"/>
    </row>
    <row r="627" spans="1:26" ht="15.75" hidden="1" customHeight="1" x14ac:dyDescent="0.25">
      <c r="A627" s="213">
        <v>39237</v>
      </c>
      <c r="B627" s="214" t="s">
        <v>9117</v>
      </c>
      <c r="C627" s="215" t="s">
        <v>585</v>
      </c>
      <c r="D627" s="216">
        <v>108.14</v>
      </c>
      <c r="E627" s="198"/>
      <c r="F627" s="198"/>
      <c r="G627" s="198"/>
      <c r="H627" s="198"/>
      <c r="I627" s="198"/>
      <c r="J627" s="198"/>
      <c r="K627" s="198"/>
      <c r="L627" s="198"/>
      <c r="M627" s="198"/>
      <c r="N627" s="198"/>
      <c r="O627" s="198"/>
      <c r="P627" s="198"/>
      <c r="Q627" s="198"/>
      <c r="R627" s="198"/>
      <c r="S627" s="198"/>
      <c r="T627" s="198"/>
      <c r="U627" s="198"/>
      <c r="V627" s="198"/>
      <c r="W627" s="198"/>
      <c r="X627" s="198"/>
      <c r="Y627" s="198"/>
      <c r="Z627" s="198"/>
    </row>
    <row r="628" spans="1:26" ht="15.75" hidden="1" customHeight="1" x14ac:dyDescent="0.25">
      <c r="A628" s="213">
        <v>39238</v>
      </c>
      <c r="B628" s="214" t="s">
        <v>9118</v>
      </c>
      <c r="C628" s="215" t="s">
        <v>585</v>
      </c>
      <c r="D628" s="216">
        <v>136.38</v>
      </c>
      <c r="E628" s="198"/>
      <c r="F628" s="198"/>
      <c r="G628" s="198"/>
      <c r="H628" s="198"/>
      <c r="I628" s="198"/>
      <c r="J628" s="198"/>
      <c r="K628" s="198"/>
      <c r="L628" s="198"/>
      <c r="M628" s="198"/>
      <c r="N628" s="198"/>
      <c r="O628" s="198"/>
      <c r="P628" s="198"/>
      <c r="Q628" s="198"/>
      <c r="R628" s="198"/>
      <c r="S628" s="198"/>
      <c r="T628" s="198"/>
      <c r="U628" s="198"/>
      <c r="V628" s="198"/>
      <c r="W628" s="198"/>
      <c r="X628" s="198"/>
      <c r="Y628" s="198"/>
      <c r="Z628" s="198"/>
    </row>
    <row r="629" spans="1:26" ht="15.75" hidden="1" customHeight="1" x14ac:dyDescent="0.25">
      <c r="A629" s="213">
        <v>979</v>
      </c>
      <c r="B629" s="214" t="s">
        <v>9119</v>
      </c>
      <c r="C629" s="215" t="s">
        <v>585</v>
      </c>
      <c r="D629" s="216">
        <v>14.52</v>
      </c>
      <c r="E629" s="198"/>
      <c r="F629" s="198"/>
      <c r="G629" s="198"/>
      <c r="H629" s="198"/>
      <c r="I629" s="198"/>
      <c r="J629" s="198"/>
      <c r="K629" s="198"/>
      <c r="L629" s="198"/>
      <c r="M629" s="198"/>
      <c r="N629" s="198"/>
      <c r="O629" s="198"/>
      <c r="P629" s="198"/>
      <c r="Q629" s="198"/>
      <c r="R629" s="198"/>
      <c r="S629" s="198"/>
      <c r="T629" s="198"/>
      <c r="U629" s="198"/>
      <c r="V629" s="198"/>
      <c r="W629" s="198"/>
      <c r="X629" s="198"/>
      <c r="Y629" s="198"/>
      <c r="Z629" s="198"/>
    </row>
    <row r="630" spans="1:26" ht="15.75" hidden="1" customHeight="1" x14ac:dyDescent="0.25">
      <c r="A630" s="213">
        <v>39239</v>
      </c>
      <c r="B630" s="214" t="s">
        <v>9120</v>
      </c>
      <c r="C630" s="215" t="s">
        <v>585</v>
      </c>
      <c r="D630" s="216">
        <v>164.76</v>
      </c>
      <c r="E630" s="198"/>
      <c r="F630" s="198"/>
      <c r="G630" s="198"/>
      <c r="H630" s="198"/>
      <c r="I630" s="198"/>
      <c r="J630" s="198"/>
      <c r="K630" s="198"/>
      <c r="L630" s="198"/>
      <c r="M630" s="198"/>
      <c r="N630" s="198"/>
      <c r="O630" s="198"/>
      <c r="P630" s="198"/>
      <c r="Q630" s="198"/>
      <c r="R630" s="198"/>
      <c r="S630" s="198"/>
      <c r="T630" s="198"/>
      <c r="U630" s="198"/>
      <c r="V630" s="198"/>
      <c r="W630" s="198"/>
      <c r="X630" s="198"/>
      <c r="Y630" s="198"/>
      <c r="Z630" s="198"/>
    </row>
    <row r="631" spans="1:26" ht="15.75" hidden="1" customHeight="1" x14ac:dyDescent="0.25">
      <c r="A631" s="213">
        <v>1014</v>
      </c>
      <c r="B631" s="214" t="s">
        <v>9121</v>
      </c>
      <c r="C631" s="215" t="s">
        <v>585</v>
      </c>
      <c r="D631" s="216">
        <v>2.23</v>
      </c>
      <c r="E631" s="198"/>
      <c r="F631" s="198"/>
      <c r="G631" s="198"/>
      <c r="H631" s="198"/>
      <c r="I631" s="198"/>
      <c r="J631" s="198"/>
      <c r="K631" s="198"/>
      <c r="L631" s="198"/>
      <c r="M631" s="198"/>
      <c r="N631" s="198"/>
      <c r="O631" s="198"/>
      <c r="P631" s="198"/>
      <c r="Q631" s="198"/>
      <c r="R631" s="198"/>
      <c r="S631" s="198"/>
      <c r="T631" s="198"/>
      <c r="U631" s="198"/>
      <c r="V631" s="198"/>
      <c r="W631" s="198"/>
      <c r="X631" s="198"/>
      <c r="Y631" s="198"/>
      <c r="Z631" s="198"/>
    </row>
    <row r="632" spans="1:26" ht="15.75" hidden="1" customHeight="1" x14ac:dyDescent="0.25">
      <c r="A632" s="213">
        <v>39240</v>
      </c>
      <c r="B632" s="214" t="s">
        <v>9122</v>
      </c>
      <c r="C632" s="215" t="s">
        <v>585</v>
      </c>
      <c r="D632" s="216">
        <v>216.71</v>
      </c>
      <c r="E632" s="198"/>
      <c r="F632" s="198"/>
      <c r="G632" s="198"/>
      <c r="H632" s="198"/>
      <c r="I632" s="198"/>
      <c r="J632" s="198"/>
      <c r="K632" s="198"/>
      <c r="L632" s="198"/>
      <c r="M632" s="198"/>
      <c r="N632" s="198"/>
      <c r="O632" s="198"/>
      <c r="P632" s="198"/>
      <c r="Q632" s="198"/>
      <c r="R632" s="198"/>
      <c r="S632" s="198"/>
      <c r="T632" s="198"/>
      <c r="U632" s="198"/>
      <c r="V632" s="198"/>
      <c r="W632" s="198"/>
      <c r="X632" s="198"/>
      <c r="Y632" s="198"/>
      <c r="Z632" s="198"/>
    </row>
    <row r="633" spans="1:26" ht="15.75" hidden="1" customHeight="1" x14ac:dyDescent="0.25">
      <c r="A633" s="213">
        <v>39232</v>
      </c>
      <c r="B633" s="214" t="s">
        <v>9123</v>
      </c>
      <c r="C633" s="215" t="s">
        <v>585</v>
      </c>
      <c r="D633" s="216">
        <v>22.74</v>
      </c>
      <c r="E633" s="198"/>
      <c r="F633" s="198"/>
      <c r="G633" s="198"/>
      <c r="H633" s="198"/>
      <c r="I633" s="198"/>
      <c r="J633" s="198"/>
      <c r="K633" s="198"/>
      <c r="L633" s="198"/>
      <c r="M633" s="198"/>
      <c r="N633" s="198"/>
      <c r="O633" s="198"/>
      <c r="P633" s="198"/>
      <c r="Q633" s="198"/>
      <c r="R633" s="198"/>
      <c r="S633" s="198"/>
      <c r="T633" s="198"/>
      <c r="U633" s="198"/>
      <c r="V633" s="198"/>
      <c r="W633" s="198"/>
      <c r="X633" s="198"/>
      <c r="Y633" s="198"/>
      <c r="Z633" s="198"/>
    </row>
    <row r="634" spans="1:26" ht="15.75" hidden="1" customHeight="1" x14ac:dyDescent="0.25">
      <c r="A634" s="213">
        <v>39233</v>
      </c>
      <c r="B634" s="214" t="s">
        <v>9124</v>
      </c>
      <c r="C634" s="215" t="s">
        <v>585</v>
      </c>
      <c r="D634" s="216">
        <v>33.15</v>
      </c>
      <c r="E634" s="198"/>
      <c r="F634" s="198"/>
      <c r="G634" s="198"/>
      <c r="H634" s="198"/>
      <c r="I634" s="198"/>
      <c r="J634" s="198"/>
      <c r="K634" s="198"/>
      <c r="L634" s="198"/>
      <c r="M634" s="198"/>
      <c r="N634" s="198"/>
      <c r="O634" s="198"/>
      <c r="P634" s="198"/>
      <c r="Q634" s="198"/>
      <c r="R634" s="198"/>
      <c r="S634" s="198"/>
      <c r="T634" s="198"/>
      <c r="U634" s="198"/>
      <c r="V634" s="198"/>
      <c r="W634" s="198"/>
      <c r="X634" s="198"/>
      <c r="Y634" s="198"/>
      <c r="Z634" s="198"/>
    </row>
    <row r="635" spans="1:26" ht="15.75" hidden="1" customHeight="1" x14ac:dyDescent="0.25">
      <c r="A635" s="213">
        <v>981</v>
      </c>
      <c r="B635" s="214" t="s">
        <v>9125</v>
      </c>
      <c r="C635" s="215" t="s">
        <v>585</v>
      </c>
      <c r="D635" s="216">
        <v>3.7</v>
      </c>
      <c r="E635" s="198"/>
      <c r="F635" s="198"/>
      <c r="G635" s="198"/>
      <c r="H635" s="198"/>
      <c r="I635" s="198"/>
      <c r="J635" s="198"/>
      <c r="K635" s="198"/>
      <c r="L635" s="198"/>
      <c r="M635" s="198"/>
      <c r="N635" s="198"/>
      <c r="O635" s="198"/>
      <c r="P635" s="198"/>
      <c r="Q635" s="198"/>
      <c r="R635" s="198"/>
      <c r="S635" s="198"/>
      <c r="T635" s="198"/>
      <c r="U635" s="198"/>
      <c r="V635" s="198"/>
      <c r="W635" s="198"/>
      <c r="X635" s="198"/>
      <c r="Y635" s="198"/>
      <c r="Z635" s="198"/>
    </row>
    <row r="636" spans="1:26" ht="15.75" hidden="1" customHeight="1" x14ac:dyDescent="0.25">
      <c r="A636" s="213">
        <v>39234</v>
      </c>
      <c r="B636" s="214" t="s">
        <v>9126</v>
      </c>
      <c r="C636" s="215" t="s">
        <v>585</v>
      </c>
      <c r="D636" s="216">
        <v>46.14</v>
      </c>
      <c r="E636" s="198"/>
      <c r="F636" s="198"/>
      <c r="G636" s="198"/>
      <c r="H636" s="198"/>
      <c r="I636" s="198"/>
      <c r="J636" s="198"/>
      <c r="K636" s="198"/>
      <c r="L636" s="198"/>
      <c r="M636" s="198"/>
      <c r="N636" s="198"/>
      <c r="O636" s="198"/>
      <c r="P636" s="198"/>
      <c r="Q636" s="198"/>
      <c r="R636" s="198"/>
      <c r="S636" s="198"/>
      <c r="T636" s="198"/>
      <c r="U636" s="198"/>
      <c r="V636" s="198"/>
      <c r="W636" s="198"/>
      <c r="X636" s="198"/>
      <c r="Y636" s="198"/>
      <c r="Z636" s="198"/>
    </row>
    <row r="637" spans="1:26" ht="15.75" hidden="1" customHeight="1" x14ac:dyDescent="0.25">
      <c r="A637" s="213">
        <v>982</v>
      </c>
      <c r="B637" s="214" t="s">
        <v>9127</v>
      </c>
      <c r="C637" s="215" t="s">
        <v>585</v>
      </c>
      <c r="D637" s="216">
        <v>5.32</v>
      </c>
      <c r="E637" s="198"/>
      <c r="F637" s="198"/>
      <c r="G637" s="198"/>
      <c r="H637" s="198"/>
      <c r="I637" s="198"/>
      <c r="J637" s="198"/>
      <c r="K637" s="198"/>
      <c r="L637" s="198"/>
      <c r="M637" s="198"/>
      <c r="N637" s="198"/>
      <c r="O637" s="198"/>
      <c r="P637" s="198"/>
      <c r="Q637" s="198"/>
      <c r="R637" s="198"/>
      <c r="S637" s="198"/>
      <c r="T637" s="198"/>
      <c r="U637" s="198"/>
      <c r="V637" s="198"/>
      <c r="W637" s="198"/>
      <c r="X637" s="198"/>
      <c r="Y637" s="198"/>
      <c r="Z637" s="198"/>
    </row>
    <row r="638" spans="1:26" ht="15.75" hidden="1" customHeight="1" x14ac:dyDescent="0.25">
      <c r="A638" s="213">
        <v>39235</v>
      </c>
      <c r="B638" s="214" t="s">
        <v>9128</v>
      </c>
      <c r="C638" s="215" t="s">
        <v>585</v>
      </c>
      <c r="D638" s="216">
        <v>68.06</v>
      </c>
      <c r="E638" s="198"/>
      <c r="F638" s="198"/>
      <c r="G638" s="198"/>
      <c r="H638" s="198"/>
      <c r="I638" s="198"/>
      <c r="J638" s="198"/>
      <c r="K638" s="198"/>
      <c r="L638" s="198"/>
      <c r="M638" s="198"/>
      <c r="N638" s="198"/>
      <c r="O638" s="198"/>
      <c r="P638" s="198"/>
      <c r="Q638" s="198"/>
      <c r="R638" s="198"/>
      <c r="S638" s="198"/>
      <c r="T638" s="198"/>
      <c r="U638" s="198"/>
      <c r="V638" s="198"/>
      <c r="W638" s="198"/>
      <c r="X638" s="198"/>
      <c r="Y638" s="198"/>
      <c r="Z638" s="198"/>
    </row>
    <row r="639" spans="1:26" ht="15.75" hidden="1" customHeight="1" x14ac:dyDescent="0.25">
      <c r="A639" s="213">
        <v>39236</v>
      </c>
      <c r="B639" s="214" t="s">
        <v>9129</v>
      </c>
      <c r="C639" s="215" t="s">
        <v>585</v>
      </c>
      <c r="D639" s="216">
        <v>90.19</v>
      </c>
      <c r="E639" s="198"/>
      <c r="F639" s="198"/>
      <c r="G639" s="198"/>
      <c r="H639" s="198"/>
      <c r="I639" s="198"/>
      <c r="J639" s="198"/>
      <c r="K639" s="198"/>
      <c r="L639" s="198"/>
      <c r="M639" s="198"/>
      <c r="N639" s="198"/>
      <c r="O639" s="198"/>
      <c r="P639" s="198"/>
      <c r="Q639" s="198"/>
      <c r="R639" s="198"/>
      <c r="S639" s="198"/>
      <c r="T639" s="198"/>
      <c r="U639" s="198"/>
      <c r="V639" s="198"/>
      <c r="W639" s="198"/>
      <c r="X639" s="198"/>
      <c r="Y639" s="198"/>
      <c r="Z639" s="198"/>
    </row>
    <row r="640" spans="1:26" ht="15.75" hidden="1" customHeight="1" x14ac:dyDescent="0.25">
      <c r="A640" s="213">
        <v>993</v>
      </c>
      <c r="B640" s="214" t="s">
        <v>9130</v>
      </c>
      <c r="C640" s="215" t="s">
        <v>585</v>
      </c>
      <c r="D640" s="216">
        <v>1.9</v>
      </c>
      <c r="E640" s="198"/>
      <c r="F640" s="198"/>
      <c r="G640" s="198"/>
      <c r="H640" s="198"/>
      <c r="I640" s="198"/>
      <c r="J640" s="198"/>
      <c r="K640" s="198"/>
      <c r="L640" s="198"/>
      <c r="M640" s="198"/>
      <c r="N640" s="198"/>
      <c r="O640" s="198"/>
      <c r="P640" s="198"/>
      <c r="Q640" s="198"/>
      <c r="R640" s="198"/>
      <c r="S640" s="198"/>
      <c r="T640" s="198"/>
      <c r="U640" s="198"/>
      <c r="V640" s="198"/>
      <c r="W640" s="198"/>
      <c r="X640" s="198"/>
      <c r="Y640" s="198"/>
      <c r="Z640" s="198"/>
    </row>
    <row r="641" spans="1:26" ht="15.75" hidden="1" customHeight="1" x14ac:dyDescent="0.25">
      <c r="A641" s="213">
        <v>1020</v>
      </c>
      <c r="B641" s="214" t="s">
        <v>9131</v>
      </c>
      <c r="C641" s="215" t="s">
        <v>585</v>
      </c>
      <c r="D641" s="216">
        <v>9.69</v>
      </c>
      <c r="E641" s="198"/>
      <c r="F641" s="198"/>
      <c r="G641" s="198"/>
      <c r="H641" s="198"/>
      <c r="I641" s="198"/>
      <c r="J641" s="198"/>
      <c r="K641" s="198"/>
      <c r="L641" s="198"/>
      <c r="M641" s="198"/>
      <c r="N641" s="198"/>
      <c r="O641" s="198"/>
      <c r="P641" s="198"/>
      <c r="Q641" s="198"/>
      <c r="R641" s="198"/>
      <c r="S641" s="198"/>
      <c r="T641" s="198"/>
      <c r="U641" s="198"/>
      <c r="V641" s="198"/>
      <c r="W641" s="198"/>
      <c r="X641" s="198"/>
      <c r="Y641" s="198"/>
      <c r="Z641" s="198"/>
    </row>
    <row r="642" spans="1:26" ht="15.75" hidden="1" customHeight="1" x14ac:dyDescent="0.25">
      <c r="A642" s="213">
        <v>1017</v>
      </c>
      <c r="B642" s="214" t="s">
        <v>9132</v>
      </c>
      <c r="C642" s="215" t="s">
        <v>585</v>
      </c>
      <c r="D642" s="216">
        <v>118.78</v>
      </c>
      <c r="E642" s="198"/>
      <c r="F642" s="198"/>
      <c r="G642" s="198"/>
      <c r="H642" s="198"/>
      <c r="I642" s="198"/>
      <c r="J642" s="198"/>
      <c r="K642" s="198"/>
      <c r="L642" s="198"/>
      <c r="M642" s="198"/>
      <c r="N642" s="198"/>
      <c r="O642" s="198"/>
      <c r="P642" s="198"/>
      <c r="Q642" s="198"/>
      <c r="R642" s="198"/>
      <c r="S642" s="198"/>
      <c r="T642" s="198"/>
      <c r="U642" s="198"/>
      <c r="V642" s="198"/>
      <c r="W642" s="198"/>
      <c r="X642" s="198"/>
      <c r="Y642" s="198"/>
      <c r="Z642" s="198"/>
    </row>
    <row r="643" spans="1:26" ht="15.75" hidden="1" customHeight="1" x14ac:dyDescent="0.25">
      <c r="A643" s="213">
        <v>999</v>
      </c>
      <c r="B643" s="214" t="s">
        <v>9133</v>
      </c>
      <c r="C643" s="215" t="s">
        <v>585</v>
      </c>
      <c r="D643" s="216">
        <v>143.91</v>
      </c>
      <c r="E643" s="198"/>
      <c r="F643" s="198"/>
      <c r="G643" s="198"/>
      <c r="H643" s="198"/>
      <c r="I643" s="198"/>
      <c r="J643" s="198"/>
      <c r="K643" s="198"/>
      <c r="L643" s="198"/>
      <c r="M643" s="198"/>
      <c r="N643" s="198"/>
      <c r="O643" s="198"/>
      <c r="P643" s="198"/>
      <c r="Q643" s="198"/>
      <c r="R643" s="198"/>
      <c r="S643" s="198"/>
      <c r="T643" s="198"/>
      <c r="U643" s="198"/>
      <c r="V643" s="198"/>
      <c r="W643" s="198"/>
      <c r="X643" s="198"/>
      <c r="Y643" s="198"/>
      <c r="Z643" s="198"/>
    </row>
    <row r="644" spans="1:26" ht="15.75" hidden="1" customHeight="1" x14ac:dyDescent="0.25">
      <c r="A644" s="213">
        <v>995</v>
      </c>
      <c r="B644" s="214" t="s">
        <v>9134</v>
      </c>
      <c r="C644" s="215" t="s">
        <v>585</v>
      </c>
      <c r="D644" s="216">
        <v>15.43</v>
      </c>
      <c r="E644" s="198"/>
      <c r="F644" s="198"/>
      <c r="G644" s="198"/>
      <c r="H644" s="198"/>
      <c r="I644" s="198"/>
      <c r="J644" s="198"/>
      <c r="K644" s="198"/>
      <c r="L644" s="198"/>
      <c r="M644" s="198"/>
      <c r="N644" s="198"/>
      <c r="O644" s="198"/>
      <c r="P644" s="198"/>
      <c r="Q644" s="198"/>
      <c r="R644" s="198"/>
      <c r="S644" s="198"/>
      <c r="T644" s="198"/>
      <c r="U644" s="198"/>
      <c r="V644" s="198"/>
      <c r="W644" s="198"/>
      <c r="X644" s="198"/>
      <c r="Y644" s="198"/>
      <c r="Z644" s="198"/>
    </row>
    <row r="645" spans="1:26" ht="15.75" hidden="1" customHeight="1" x14ac:dyDescent="0.25">
      <c r="A645" s="213">
        <v>1000</v>
      </c>
      <c r="B645" s="214" t="s">
        <v>9135</v>
      </c>
      <c r="C645" s="215" t="s">
        <v>585</v>
      </c>
      <c r="D645" s="216">
        <v>176.76</v>
      </c>
      <c r="E645" s="198"/>
      <c r="F645" s="198"/>
      <c r="G645" s="198"/>
      <c r="H645" s="198"/>
      <c r="I645" s="198"/>
      <c r="J645" s="198"/>
      <c r="K645" s="198"/>
      <c r="L645" s="198"/>
      <c r="M645" s="198"/>
      <c r="N645" s="198"/>
      <c r="O645" s="198"/>
      <c r="P645" s="198"/>
      <c r="Q645" s="198"/>
      <c r="R645" s="198"/>
      <c r="S645" s="198"/>
      <c r="T645" s="198"/>
      <c r="U645" s="198"/>
      <c r="V645" s="198"/>
      <c r="W645" s="198"/>
      <c r="X645" s="198"/>
      <c r="Y645" s="198"/>
      <c r="Z645" s="198"/>
    </row>
    <row r="646" spans="1:26" ht="15.75" hidden="1" customHeight="1" x14ac:dyDescent="0.25">
      <c r="A646" s="213">
        <v>1022</v>
      </c>
      <c r="B646" s="214" t="s">
        <v>9136</v>
      </c>
      <c r="C646" s="215" t="s">
        <v>585</v>
      </c>
      <c r="D646" s="216">
        <v>2.65</v>
      </c>
      <c r="E646" s="198"/>
      <c r="F646" s="198"/>
      <c r="G646" s="198"/>
      <c r="H646" s="198"/>
      <c r="I646" s="198"/>
      <c r="J646" s="198"/>
      <c r="K646" s="198"/>
      <c r="L646" s="198"/>
      <c r="M646" s="198"/>
      <c r="N646" s="198"/>
      <c r="O646" s="198"/>
      <c r="P646" s="198"/>
      <c r="Q646" s="198"/>
      <c r="R646" s="198"/>
      <c r="S646" s="198"/>
      <c r="T646" s="198"/>
      <c r="U646" s="198"/>
      <c r="V646" s="198"/>
      <c r="W646" s="198"/>
      <c r="X646" s="198"/>
      <c r="Y646" s="198"/>
      <c r="Z646" s="198"/>
    </row>
    <row r="647" spans="1:26" ht="15.75" hidden="1" customHeight="1" x14ac:dyDescent="0.25">
      <c r="A647" s="213">
        <v>1015</v>
      </c>
      <c r="B647" s="214" t="s">
        <v>9137</v>
      </c>
      <c r="C647" s="215" t="s">
        <v>585</v>
      </c>
      <c r="D647" s="216">
        <v>234.89</v>
      </c>
      <c r="E647" s="198"/>
      <c r="F647" s="198"/>
      <c r="G647" s="198"/>
      <c r="H647" s="198"/>
      <c r="I647" s="198"/>
      <c r="J647" s="198"/>
      <c r="K647" s="198"/>
      <c r="L647" s="198"/>
      <c r="M647" s="198"/>
      <c r="N647" s="198"/>
      <c r="O647" s="198"/>
      <c r="P647" s="198"/>
      <c r="Q647" s="198"/>
      <c r="R647" s="198"/>
      <c r="S647" s="198"/>
      <c r="T647" s="198"/>
      <c r="U647" s="198"/>
      <c r="V647" s="198"/>
      <c r="W647" s="198"/>
      <c r="X647" s="198"/>
      <c r="Y647" s="198"/>
      <c r="Z647" s="198"/>
    </row>
    <row r="648" spans="1:26" ht="15.75" hidden="1" customHeight="1" x14ac:dyDescent="0.25">
      <c r="A648" s="213">
        <v>996</v>
      </c>
      <c r="B648" s="214" t="s">
        <v>9138</v>
      </c>
      <c r="C648" s="215" t="s">
        <v>585</v>
      </c>
      <c r="D648" s="216">
        <v>23.93</v>
      </c>
      <c r="E648" s="198"/>
      <c r="F648" s="198"/>
      <c r="G648" s="198"/>
      <c r="H648" s="198"/>
      <c r="I648" s="198"/>
      <c r="J648" s="198"/>
      <c r="K648" s="198"/>
      <c r="L648" s="198"/>
      <c r="M648" s="198"/>
      <c r="N648" s="198"/>
      <c r="O648" s="198"/>
      <c r="P648" s="198"/>
      <c r="Q648" s="198"/>
      <c r="R648" s="198"/>
      <c r="S648" s="198"/>
      <c r="T648" s="198"/>
      <c r="U648" s="198"/>
      <c r="V648" s="198"/>
      <c r="W648" s="198"/>
      <c r="X648" s="198"/>
      <c r="Y648" s="198"/>
      <c r="Z648" s="198"/>
    </row>
    <row r="649" spans="1:26" ht="15.75" hidden="1" customHeight="1" x14ac:dyDescent="0.25">
      <c r="A649" s="213">
        <v>1001</v>
      </c>
      <c r="B649" s="214" t="s">
        <v>9139</v>
      </c>
      <c r="C649" s="215" t="s">
        <v>585</v>
      </c>
      <c r="D649" s="216">
        <v>304.77</v>
      </c>
      <c r="E649" s="198"/>
      <c r="F649" s="198"/>
      <c r="G649" s="198"/>
      <c r="H649" s="198"/>
      <c r="I649" s="198"/>
      <c r="J649" s="198"/>
      <c r="K649" s="198"/>
      <c r="L649" s="198"/>
      <c r="M649" s="198"/>
      <c r="N649" s="198"/>
      <c r="O649" s="198"/>
      <c r="P649" s="198"/>
      <c r="Q649" s="198"/>
      <c r="R649" s="198"/>
      <c r="S649" s="198"/>
      <c r="T649" s="198"/>
      <c r="U649" s="198"/>
      <c r="V649" s="198"/>
      <c r="W649" s="198"/>
      <c r="X649" s="198"/>
      <c r="Y649" s="198"/>
      <c r="Z649" s="198"/>
    </row>
    <row r="650" spans="1:26" ht="15.75" hidden="1" customHeight="1" x14ac:dyDescent="0.25">
      <c r="A650" s="213">
        <v>1019</v>
      </c>
      <c r="B650" s="214" t="s">
        <v>9140</v>
      </c>
      <c r="C650" s="215" t="s">
        <v>585</v>
      </c>
      <c r="D650" s="216">
        <v>33.82</v>
      </c>
      <c r="E650" s="198"/>
      <c r="F650" s="198"/>
      <c r="G650" s="198"/>
      <c r="H650" s="198"/>
      <c r="I650" s="198"/>
      <c r="J650" s="198"/>
      <c r="K650" s="198"/>
      <c r="L650" s="198"/>
      <c r="M650" s="198"/>
      <c r="N650" s="198"/>
      <c r="O650" s="198"/>
      <c r="P650" s="198"/>
      <c r="Q650" s="198"/>
      <c r="R650" s="198"/>
      <c r="S650" s="198"/>
      <c r="T650" s="198"/>
      <c r="U650" s="198"/>
      <c r="V650" s="198"/>
      <c r="W650" s="198"/>
      <c r="X650" s="198"/>
      <c r="Y650" s="198"/>
      <c r="Z650" s="198"/>
    </row>
    <row r="651" spans="1:26" ht="15.75" hidden="1" customHeight="1" x14ac:dyDescent="0.25">
      <c r="A651" s="213">
        <v>1021</v>
      </c>
      <c r="B651" s="214" t="s">
        <v>9141</v>
      </c>
      <c r="C651" s="215" t="s">
        <v>585</v>
      </c>
      <c r="D651" s="216">
        <v>4.0599999999999996</v>
      </c>
      <c r="E651" s="198"/>
      <c r="F651" s="198"/>
      <c r="G651" s="198"/>
      <c r="H651" s="198"/>
      <c r="I651" s="198"/>
      <c r="J651" s="198"/>
      <c r="K651" s="198"/>
      <c r="L651" s="198"/>
      <c r="M651" s="198"/>
      <c r="N651" s="198"/>
      <c r="O651" s="198"/>
      <c r="P651" s="198"/>
      <c r="Q651" s="198"/>
      <c r="R651" s="198"/>
      <c r="S651" s="198"/>
      <c r="T651" s="198"/>
      <c r="U651" s="198"/>
      <c r="V651" s="198"/>
      <c r="W651" s="198"/>
      <c r="X651" s="198"/>
      <c r="Y651" s="198"/>
      <c r="Z651" s="198"/>
    </row>
    <row r="652" spans="1:26" ht="15.75" hidden="1" customHeight="1" x14ac:dyDescent="0.25">
      <c r="A652" s="213">
        <v>39249</v>
      </c>
      <c r="B652" s="214" t="s">
        <v>9142</v>
      </c>
      <c r="C652" s="215" t="s">
        <v>585</v>
      </c>
      <c r="D652" s="216">
        <v>409.78</v>
      </c>
      <c r="E652" s="198"/>
      <c r="F652" s="198"/>
      <c r="G652" s="198"/>
      <c r="H652" s="198"/>
      <c r="I652" s="198"/>
      <c r="J652" s="198"/>
      <c r="K652" s="198"/>
      <c r="L652" s="198"/>
      <c r="M652" s="198"/>
      <c r="N652" s="198"/>
      <c r="O652" s="198"/>
      <c r="P652" s="198"/>
      <c r="Q652" s="198"/>
      <c r="R652" s="198"/>
      <c r="S652" s="198"/>
      <c r="T652" s="198"/>
      <c r="U652" s="198"/>
      <c r="V652" s="198"/>
      <c r="W652" s="198"/>
      <c r="X652" s="198"/>
      <c r="Y652" s="198"/>
      <c r="Z652" s="198"/>
    </row>
    <row r="653" spans="1:26" ht="15.75" hidden="1" customHeight="1" x14ac:dyDescent="0.25">
      <c r="A653" s="213">
        <v>1018</v>
      </c>
      <c r="B653" s="214" t="s">
        <v>9143</v>
      </c>
      <c r="C653" s="215" t="s">
        <v>585</v>
      </c>
      <c r="D653" s="216">
        <v>50.01</v>
      </c>
      <c r="E653" s="198"/>
      <c r="F653" s="198"/>
      <c r="G653" s="198"/>
      <c r="H653" s="198"/>
      <c r="I653" s="198"/>
      <c r="J653" s="198"/>
      <c r="K653" s="198"/>
      <c r="L653" s="198"/>
      <c r="M653" s="198"/>
      <c r="N653" s="198"/>
      <c r="O653" s="198"/>
      <c r="P653" s="198"/>
      <c r="Q653" s="198"/>
      <c r="R653" s="198"/>
      <c r="S653" s="198"/>
      <c r="T653" s="198"/>
      <c r="U653" s="198"/>
      <c r="V653" s="198"/>
      <c r="W653" s="198"/>
      <c r="X653" s="198"/>
      <c r="Y653" s="198"/>
      <c r="Z653" s="198"/>
    </row>
    <row r="654" spans="1:26" ht="15.75" hidden="1" customHeight="1" x14ac:dyDescent="0.25">
      <c r="A654" s="213">
        <v>39250</v>
      </c>
      <c r="B654" s="214" t="s">
        <v>9144</v>
      </c>
      <c r="C654" s="215" t="s">
        <v>585</v>
      </c>
      <c r="D654" s="216">
        <v>490.19</v>
      </c>
      <c r="E654" s="198"/>
      <c r="F654" s="198"/>
      <c r="G654" s="198"/>
      <c r="H654" s="198"/>
      <c r="I654" s="198"/>
      <c r="J654" s="198"/>
      <c r="K654" s="198"/>
      <c r="L654" s="198"/>
      <c r="M654" s="198"/>
      <c r="N654" s="198"/>
      <c r="O654" s="198"/>
      <c r="P654" s="198"/>
      <c r="Q654" s="198"/>
      <c r="R654" s="198"/>
      <c r="S654" s="198"/>
      <c r="T654" s="198"/>
      <c r="U654" s="198"/>
      <c r="V654" s="198"/>
      <c r="W654" s="198"/>
      <c r="X654" s="198"/>
      <c r="Y654" s="198"/>
      <c r="Z654" s="198"/>
    </row>
    <row r="655" spans="1:26" ht="15.75" hidden="1" customHeight="1" x14ac:dyDescent="0.25">
      <c r="A655" s="213">
        <v>994</v>
      </c>
      <c r="B655" s="214" t="s">
        <v>9145</v>
      </c>
      <c r="C655" s="215" t="s">
        <v>585</v>
      </c>
      <c r="D655" s="216">
        <v>5.91</v>
      </c>
      <c r="E655" s="198"/>
      <c r="F655" s="198"/>
      <c r="G655" s="198"/>
      <c r="H655" s="198"/>
      <c r="I655" s="198"/>
      <c r="J655" s="198"/>
      <c r="K655" s="198"/>
      <c r="L655" s="198"/>
      <c r="M655" s="198"/>
      <c r="N655" s="198"/>
      <c r="O655" s="198"/>
      <c r="P655" s="198"/>
      <c r="Q655" s="198"/>
      <c r="R655" s="198"/>
      <c r="S655" s="198"/>
      <c r="T655" s="198"/>
      <c r="U655" s="198"/>
      <c r="V655" s="198"/>
      <c r="W655" s="198"/>
      <c r="X655" s="198"/>
      <c r="Y655" s="198"/>
      <c r="Z655" s="198"/>
    </row>
    <row r="656" spans="1:26" ht="15.75" hidden="1" customHeight="1" x14ac:dyDescent="0.25">
      <c r="A656" s="213">
        <v>977</v>
      </c>
      <c r="B656" s="214" t="s">
        <v>9146</v>
      </c>
      <c r="C656" s="215" t="s">
        <v>585</v>
      </c>
      <c r="D656" s="216">
        <v>69.959999999999994</v>
      </c>
      <c r="E656" s="198"/>
      <c r="F656" s="198"/>
      <c r="G656" s="198"/>
      <c r="H656" s="198"/>
      <c r="I656" s="198"/>
      <c r="J656" s="198"/>
      <c r="K656" s="198"/>
      <c r="L656" s="198"/>
      <c r="M656" s="198"/>
      <c r="N656" s="198"/>
      <c r="O656" s="198"/>
      <c r="P656" s="198"/>
      <c r="Q656" s="198"/>
      <c r="R656" s="198"/>
      <c r="S656" s="198"/>
      <c r="T656" s="198"/>
      <c r="U656" s="198"/>
      <c r="V656" s="198"/>
      <c r="W656" s="198"/>
      <c r="X656" s="198"/>
      <c r="Y656" s="198"/>
      <c r="Z656" s="198"/>
    </row>
    <row r="657" spans="1:26" ht="15.75" hidden="1" customHeight="1" x14ac:dyDescent="0.25">
      <c r="A657" s="213">
        <v>998</v>
      </c>
      <c r="B657" s="214" t="s">
        <v>9147</v>
      </c>
      <c r="C657" s="215" t="s">
        <v>585</v>
      </c>
      <c r="D657" s="216">
        <v>90.83</v>
      </c>
      <c r="E657" s="198"/>
      <c r="F657" s="198"/>
      <c r="G657" s="198"/>
      <c r="H657" s="198"/>
      <c r="I657" s="198"/>
      <c r="J657" s="198"/>
      <c r="K657" s="198"/>
      <c r="L657" s="198"/>
      <c r="M657" s="198"/>
      <c r="N657" s="198"/>
      <c r="O657" s="198"/>
      <c r="P657" s="198"/>
      <c r="Q657" s="198"/>
      <c r="R657" s="198"/>
      <c r="S657" s="198"/>
      <c r="T657" s="198"/>
      <c r="U657" s="198"/>
      <c r="V657" s="198"/>
      <c r="W657" s="198"/>
      <c r="X657" s="198"/>
      <c r="Y657" s="198"/>
      <c r="Z657" s="198"/>
    </row>
    <row r="658" spans="1:26" ht="15.75" hidden="1" customHeight="1" x14ac:dyDescent="0.25">
      <c r="A658" s="213">
        <v>1006</v>
      </c>
      <c r="B658" s="214" t="s">
        <v>9148</v>
      </c>
      <c r="C658" s="215" t="s">
        <v>585</v>
      </c>
      <c r="D658" s="216">
        <v>120.36</v>
      </c>
      <c r="E658" s="198"/>
      <c r="F658" s="198"/>
      <c r="G658" s="198"/>
      <c r="H658" s="198"/>
      <c r="I658" s="198"/>
      <c r="J658" s="198"/>
      <c r="K658" s="198"/>
      <c r="L658" s="198"/>
      <c r="M658" s="198"/>
      <c r="N658" s="198"/>
      <c r="O658" s="198"/>
      <c r="P658" s="198"/>
      <c r="Q658" s="198"/>
      <c r="R658" s="198"/>
      <c r="S658" s="198"/>
      <c r="T658" s="198"/>
      <c r="U658" s="198"/>
      <c r="V658" s="198"/>
      <c r="W658" s="198"/>
      <c r="X658" s="198"/>
      <c r="Y658" s="198"/>
      <c r="Z658" s="198"/>
    </row>
    <row r="659" spans="1:26" ht="15.75" hidden="1" customHeight="1" x14ac:dyDescent="0.25">
      <c r="A659" s="213">
        <v>990</v>
      </c>
      <c r="B659" s="214" t="s">
        <v>9149</v>
      </c>
      <c r="C659" s="215" t="s">
        <v>585</v>
      </c>
      <c r="D659" s="216">
        <v>160.04</v>
      </c>
      <c r="E659" s="198"/>
      <c r="F659" s="198"/>
      <c r="G659" s="198"/>
      <c r="H659" s="198"/>
      <c r="I659" s="198"/>
      <c r="J659" s="198"/>
      <c r="K659" s="198"/>
      <c r="L659" s="198"/>
      <c r="M659" s="198"/>
      <c r="N659" s="198"/>
      <c r="O659" s="198"/>
      <c r="P659" s="198"/>
      <c r="Q659" s="198"/>
      <c r="R659" s="198"/>
      <c r="S659" s="198"/>
      <c r="T659" s="198"/>
      <c r="U659" s="198"/>
      <c r="V659" s="198"/>
      <c r="W659" s="198"/>
      <c r="X659" s="198"/>
      <c r="Y659" s="198"/>
      <c r="Z659" s="198"/>
    </row>
    <row r="660" spans="1:26" ht="15.75" hidden="1" customHeight="1" x14ac:dyDescent="0.25">
      <c r="A660" s="213">
        <v>39241</v>
      </c>
      <c r="B660" s="214" t="s">
        <v>9150</v>
      </c>
      <c r="C660" s="215" t="s">
        <v>585</v>
      </c>
      <c r="D660" s="216">
        <v>15.75</v>
      </c>
      <c r="E660" s="198"/>
      <c r="F660" s="198"/>
      <c r="G660" s="198"/>
      <c r="H660" s="198"/>
      <c r="I660" s="198"/>
      <c r="J660" s="198"/>
      <c r="K660" s="198"/>
      <c r="L660" s="198"/>
      <c r="M660" s="198"/>
      <c r="N660" s="198"/>
      <c r="O660" s="198"/>
      <c r="P660" s="198"/>
      <c r="Q660" s="198"/>
      <c r="R660" s="198"/>
      <c r="S660" s="198"/>
      <c r="T660" s="198"/>
      <c r="U660" s="198"/>
      <c r="V660" s="198"/>
      <c r="W660" s="198"/>
      <c r="X660" s="198"/>
      <c r="Y660" s="198"/>
      <c r="Z660" s="198"/>
    </row>
    <row r="661" spans="1:26" ht="15.75" hidden="1" customHeight="1" x14ac:dyDescent="0.25">
      <c r="A661" s="213">
        <v>1005</v>
      </c>
      <c r="B661" s="214" t="s">
        <v>9151</v>
      </c>
      <c r="C661" s="215" t="s">
        <v>585</v>
      </c>
      <c r="D661" s="216">
        <v>199.26</v>
      </c>
      <c r="E661" s="198"/>
      <c r="F661" s="198"/>
      <c r="G661" s="198"/>
      <c r="H661" s="198"/>
      <c r="I661" s="198"/>
      <c r="J661" s="198"/>
      <c r="K661" s="198"/>
      <c r="L661" s="198"/>
      <c r="M661" s="198"/>
      <c r="N661" s="198"/>
      <c r="O661" s="198"/>
      <c r="P661" s="198"/>
      <c r="Q661" s="198"/>
      <c r="R661" s="198"/>
      <c r="S661" s="198"/>
      <c r="T661" s="198"/>
      <c r="U661" s="198"/>
      <c r="V661" s="198"/>
      <c r="W661" s="198"/>
      <c r="X661" s="198"/>
      <c r="Y661" s="198"/>
      <c r="Z661" s="198"/>
    </row>
    <row r="662" spans="1:26" ht="15.75" hidden="1" customHeight="1" x14ac:dyDescent="0.25">
      <c r="A662" s="213">
        <v>991</v>
      </c>
      <c r="B662" s="214" t="s">
        <v>9152</v>
      </c>
      <c r="C662" s="215" t="s">
        <v>585</v>
      </c>
      <c r="D662" s="216">
        <v>260.98</v>
      </c>
      <c r="E662" s="198"/>
      <c r="F662" s="198"/>
      <c r="G662" s="198"/>
      <c r="H662" s="198"/>
      <c r="I662" s="198"/>
      <c r="J662" s="198"/>
      <c r="K662" s="198"/>
      <c r="L662" s="198"/>
      <c r="M662" s="198"/>
      <c r="N662" s="198"/>
      <c r="O662" s="198"/>
      <c r="P662" s="198"/>
      <c r="Q662" s="198"/>
      <c r="R662" s="198"/>
      <c r="S662" s="198"/>
      <c r="T662" s="198"/>
      <c r="U662" s="198"/>
      <c r="V662" s="198"/>
      <c r="W662" s="198"/>
      <c r="X662" s="198"/>
      <c r="Y662" s="198"/>
      <c r="Z662" s="198"/>
    </row>
    <row r="663" spans="1:26" ht="15.75" hidden="1" customHeight="1" x14ac:dyDescent="0.25">
      <c r="A663" s="213">
        <v>986</v>
      </c>
      <c r="B663" s="214" t="s">
        <v>9153</v>
      </c>
      <c r="C663" s="215" t="s">
        <v>585</v>
      </c>
      <c r="D663" s="216">
        <v>24.89</v>
      </c>
      <c r="E663" s="198"/>
      <c r="F663" s="198"/>
      <c r="G663" s="198"/>
      <c r="H663" s="198"/>
      <c r="I663" s="198"/>
      <c r="J663" s="198"/>
      <c r="K663" s="198"/>
      <c r="L663" s="198"/>
      <c r="M663" s="198"/>
      <c r="N663" s="198"/>
      <c r="O663" s="198"/>
      <c r="P663" s="198"/>
      <c r="Q663" s="198"/>
      <c r="R663" s="198"/>
      <c r="S663" s="198"/>
      <c r="T663" s="198"/>
      <c r="U663" s="198"/>
      <c r="V663" s="198"/>
      <c r="W663" s="198"/>
      <c r="X663" s="198"/>
      <c r="Y663" s="198"/>
      <c r="Z663" s="198"/>
    </row>
    <row r="664" spans="1:26" ht="15.75" hidden="1" customHeight="1" x14ac:dyDescent="0.25">
      <c r="A664" s="213">
        <v>987</v>
      </c>
      <c r="B664" s="214" t="s">
        <v>9154</v>
      </c>
      <c r="C664" s="215" t="s">
        <v>585</v>
      </c>
      <c r="D664" s="216">
        <v>34.08</v>
      </c>
      <c r="E664" s="198"/>
      <c r="F664" s="198"/>
      <c r="G664" s="198"/>
      <c r="H664" s="198"/>
      <c r="I664" s="198"/>
      <c r="J664" s="198"/>
      <c r="K664" s="198"/>
      <c r="L664" s="198"/>
      <c r="M664" s="198"/>
      <c r="N664" s="198"/>
      <c r="O664" s="198"/>
      <c r="P664" s="198"/>
      <c r="Q664" s="198"/>
      <c r="R664" s="198"/>
      <c r="S664" s="198"/>
      <c r="T664" s="198"/>
      <c r="U664" s="198"/>
      <c r="V664" s="198"/>
      <c r="W664" s="198"/>
      <c r="X664" s="198"/>
      <c r="Y664" s="198"/>
      <c r="Z664" s="198"/>
    </row>
    <row r="665" spans="1:26" ht="15.75" hidden="1" customHeight="1" x14ac:dyDescent="0.25">
      <c r="A665" s="213">
        <v>1007</v>
      </c>
      <c r="B665" s="214" t="s">
        <v>9155</v>
      </c>
      <c r="C665" s="215" t="s">
        <v>585</v>
      </c>
      <c r="D665" s="216">
        <v>47.17</v>
      </c>
      <c r="E665" s="198"/>
      <c r="F665" s="198"/>
      <c r="G665" s="198"/>
      <c r="H665" s="198"/>
      <c r="I665" s="198"/>
      <c r="J665" s="198"/>
      <c r="K665" s="198"/>
      <c r="L665" s="198"/>
      <c r="M665" s="198"/>
      <c r="N665" s="198"/>
      <c r="O665" s="198"/>
      <c r="P665" s="198"/>
      <c r="Q665" s="198"/>
      <c r="R665" s="198"/>
      <c r="S665" s="198"/>
      <c r="T665" s="198"/>
      <c r="U665" s="198"/>
      <c r="V665" s="198"/>
      <c r="W665" s="198"/>
      <c r="X665" s="198"/>
      <c r="Y665" s="198"/>
      <c r="Z665" s="198"/>
    </row>
    <row r="666" spans="1:26" ht="15.75" hidden="1" customHeight="1" x14ac:dyDescent="0.25">
      <c r="A666" s="213">
        <v>1008</v>
      </c>
      <c r="B666" s="214" t="s">
        <v>9156</v>
      </c>
      <c r="C666" s="215" t="s">
        <v>585</v>
      </c>
      <c r="D666" s="216">
        <v>5.99</v>
      </c>
      <c r="E666" s="198"/>
      <c r="F666" s="198"/>
      <c r="G666" s="198"/>
      <c r="H666" s="198"/>
      <c r="I666" s="198"/>
      <c r="J666" s="198"/>
      <c r="K666" s="198"/>
      <c r="L666" s="198"/>
      <c r="M666" s="198"/>
      <c r="N666" s="198"/>
      <c r="O666" s="198"/>
      <c r="P666" s="198"/>
      <c r="Q666" s="198"/>
      <c r="R666" s="198"/>
      <c r="S666" s="198"/>
      <c r="T666" s="198"/>
      <c r="U666" s="198"/>
      <c r="V666" s="198"/>
      <c r="W666" s="198"/>
      <c r="X666" s="198"/>
      <c r="Y666" s="198"/>
      <c r="Z666" s="198"/>
    </row>
    <row r="667" spans="1:26" ht="15.75" hidden="1" customHeight="1" x14ac:dyDescent="0.25">
      <c r="A667" s="213">
        <v>988</v>
      </c>
      <c r="B667" s="214" t="s">
        <v>9157</v>
      </c>
      <c r="C667" s="215" t="s">
        <v>585</v>
      </c>
      <c r="D667" s="216">
        <v>65.040000000000006</v>
      </c>
      <c r="E667" s="198"/>
      <c r="F667" s="198"/>
      <c r="G667" s="198"/>
      <c r="H667" s="198"/>
      <c r="I667" s="198"/>
      <c r="J667" s="198"/>
      <c r="K667" s="198"/>
      <c r="L667" s="198"/>
      <c r="M667" s="198"/>
      <c r="N667" s="198"/>
      <c r="O667" s="198"/>
      <c r="P667" s="198"/>
      <c r="Q667" s="198"/>
      <c r="R667" s="198"/>
      <c r="S667" s="198"/>
      <c r="T667" s="198"/>
      <c r="U667" s="198"/>
      <c r="V667" s="198"/>
      <c r="W667" s="198"/>
      <c r="X667" s="198"/>
      <c r="Y667" s="198"/>
      <c r="Z667" s="198"/>
    </row>
    <row r="668" spans="1:26" ht="15.75" hidden="1" customHeight="1" x14ac:dyDescent="0.25">
      <c r="A668" s="213">
        <v>989</v>
      </c>
      <c r="B668" s="214" t="s">
        <v>9158</v>
      </c>
      <c r="C668" s="215" t="s">
        <v>585</v>
      </c>
      <c r="D668" s="216">
        <v>89.78</v>
      </c>
      <c r="E668" s="198"/>
      <c r="F668" s="198"/>
      <c r="G668" s="198"/>
      <c r="H668" s="198"/>
      <c r="I668" s="198"/>
      <c r="J668" s="198"/>
      <c r="K668" s="198"/>
      <c r="L668" s="198"/>
      <c r="M668" s="198"/>
      <c r="N668" s="198"/>
      <c r="O668" s="198"/>
      <c r="P668" s="198"/>
      <c r="Q668" s="198"/>
      <c r="R668" s="198"/>
      <c r="S668" s="198"/>
      <c r="T668" s="198"/>
      <c r="U668" s="198"/>
      <c r="V668" s="198"/>
      <c r="W668" s="198"/>
      <c r="X668" s="198"/>
      <c r="Y668" s="198"/>
      <c r="Z668" s="198"/>
    </row>
    <row r="669" spans="1:26" ht="15.75" hidden="1" customHeight="1" x14ac:dyDescent="0.25">
      <c r="A669" s="213">
        <v>43972</v>
      </c>
      <c r="B669" s="214" t="s">
        <v>9159</v>
      </c>
      <c r="C669" s="215" t="s">
        <v>585</v>
      </c>
      <c r="D669" s="216">
        <v>5.01</v>
      </c>
      <c r="E669" s="198"/>
      <c r="F669" s="198"/>
      <c r="G669" s="198"/>
      <c r="H669" s="198"/>
      <c r="I669" s="198"/>
      <c r="J669" s="198"/>
      <c r="K669" s="198"/>
      <c r="L669" s="198"/>
      <c r="M669" s="198"/>
      <c r="N669" s="198"/>
      <c r="O669" s="198"/>
      <c r="P669" s="198"/>
      <c r="Q669" s="198"/>
      <c r="R669" s="198"/>
      <c r="S669" s="198"/>
      <c r="T669" s="198"/>
      <c r="U669" s="198"/>
      <c r="V669" s="198"/>
      <c r="W669" s="198"/>
      <c r="X669" s="198"/>
      <c r="Y669" s="198"/>
      <c r="Z669" s="198"/>
    </row>
    <row r="670" spans="1:26" ht="15.75" hidden="1" customHeight="1" x14ac:dyDescent="0.25">
      <c r="A670" s="213">
        <v>43971</v>
      </c>
      <c r="B670" s="214" t="s">
        <v>9160</v>
      </c>
      <c r="C670" s="215" t="s">
        <v>585</v>
      </c>
      <c r="D670" s="216">
        <v>3.83</v>
      </c>
      <c r="E670" s="198"/>
      <c r="F670" s="198"/>
      <c r="G670" s="198"/>
      <c r="H670" s="198"/>
      <c r="I670" s="198"/>
      <c r="J670" s="198"/>
      <c r="K670" s="198"/>
      <c r="L670" s="198"/>
      <c r="M670" s="198"/>
      <c r="N670" s="198"/>
      <c r="O670" s="198"/>
      <c r="P670" s="198"/>
      <c r="Q670" s="198"/>
      <c r="R670" s="198"/>
      <c r="S670" s="198"/>
      <c r="T670" s="198"/>
      <c r="U670" s="198"/>
      <c r="V670" s="198"/>
      <c r="W670" s="198"/>
      <c r="X670" s="198"/>
      <c r="Y670" s="198"/>
      <c r="Z670" s="198"/>
    </row>
    <row r="671" spans="1:26" ht="15.75" hidden="1" customHeight="1" x14ac:dyDescent="0.25">
      <c r="A671" s="213">
        <v>39598</v>
      </c>
      <c r="B671" s="214" t="s">
        <v>9161</v>
      </c>
      <c r="C671" s="215" t="s">
        <v>585</v>
      </c>
      <c r="D671" s="216">
        <v>7.1</v>
      </c>
      <c r="E671" s="198"/>
      <c r="F671" s="198"/>
      <c r="G671" s="198"/>
      <c r="H671" s="198"/>
      <c r="I671" s="198"/>
      <c r="J671" s="198"/>
      <c r="K671" s="198"/>
      <c r="L671" s="198"/>
      <c r="M671" s="198"/>
      <c r="N671" s="198"/>
      <c r="O671" s="198"/>
      <c r="P671" s="198"/>
      <c r="Q671" s="198"/>
      <c r="R671" s="198"/>
      <c r="S671" s="198"/>
      <c r="T671" s="198"/>
      <c r="U671" s="198"/>
      <c r="V671" s="198"/>
      <c r="W671" s="198"/>
      <c r="X671" s="198"/>
      <c r="Y671" s="198"/>
      <c r="Z671" s="198"/>
    </row>
    <row r="672" spans="1:26" ht="15.75" hidden="1" customHeight="1" x14ac:dyDescent="0.25">
      <c r="A672" s="213">
        <v>43973</v>
      </c>
      <c r="B672" s="214" t="s">
        <v>9162</v>
      </c>
      <c r="C672" s="215" t="s">
        <v>585</v>
      </c>
      <c r="D672" s="216">
        <v>5.24</v>
      </c>
      <c r="E672" s="198"/>
      <c r="F672" s="198"/>
      <c r="G672" s="198"/>
      <c r="H672" s="198"/>
      <c r="I672" s="198"/>
      <c r="J672" s="198"/>
      <c r="K672" s="198"/>
      <c r="L672" s="198"/>
      <c r="M672" s="198"/>
      <c r="N672" s="198"/>
      <c r="O672" s="198"/>
      <c r="P672" s="198"/>
      <c r="Q672" s="198"/>
      <c r="R672" s="198"/>
      <c r="S672" s="198"/>
      <c r="T672" s="198"/>
      <c r="U672" s="198"/>
      <c r="V672" s="198"/>
      <c r="W672" s="198"/>
      <c r="X672" s="198"/>
      <c r="Y672" s="198"/>
      <c r="Z672" s="198"/>
    </row>
    <row r="673" spans="1:26" ht="15.75" hidden="1" customHeight="1" x14ac:dyDescent="0.25">
      <c r="A673" s="213">
        <v>39599</v>
      </c>
      <c r="B673" s="214" t="s">
        <v>9163</v>
      </c>
      <c r="C673" s="215" t="s">
        <v>585</v>
      </c>
      <c r="D673" s="216">
        <v>10.220000000000001</v>
      </c>
      <c r="E673" s="198"/>
      <c r="F673" s="198"/>
      <c r="G673" s="198"/>
      <c r="H673" s="198"/>
      <c r="I673" s="198"/>
      <c r="J673" s="198"/>
      <c r="K673" s="198"/>
      <c r="L673" s="198"/>
      <c r="M673" s="198"/>
      <c r="N673" s="198"/>
      <c r="O673" s="198"/>
      <c r="P673" s="198"/>
      <c r="Q673" s="198"/>
      <c r="R673" s="198"/>
      <c r="S673" s="198"/>
      <c r="T673" s="198"/>
      <c r="U673" s="198"/>
      <c r="V673" s="198"/>
      <c r="W673" s="198"/>
      <c r="X673" s="198"/>
      <c r="Y673" s="198"/>
      <c r="Z673" s="198"/>
    </row>
    <row r="674" spans="1:26" ht="15.75" hidden="1" customHeight="1" x14ac:dyDescent="0.25">
      <c r="A674" s="213">
        <v>43832</v>
      </c>
      <c r="B674" s="214" t="s">
        <v>9164</v>
      </c>
      <c r="C674" s="215" t="s">
        <v>585</v>
      </c>
      <c r="D674" s="216">
        <v>26.91</v>
      </c>
      <c r="E674" s="198"/>
      <c r="F674" s="198"/>
      <c r="G674" s="198"/>
      <c r="H674" s="198"/>
      <c r="I674" s="198"/>
      <c r="J674" s="198"/>
      <c r="K674" s="198"/>
      <c r="L674" s="198"/>
      <c r="M674" s="198"/>
      <c r="N674" s="198"/>
      <c r="O674" s="198"/>
      <c r="P674" s="198"/>
      <c r="Q674" s="198"/>
      <c r="R674" s="198"/>
      <c r="S674" s="198"/>
      <c r="T674" s="198"/>
      <c r="U674" s="198"/>
      <c r="V674" s="198"/>
      <c r="W674" s="198"/>
      <c r="X674" s="198"/>
      <c r="Y674" s="198"/>
      <c r="Z674" s="198"/>
    </row>
    <row r="675" spans="1:26" ht="15.75" hidden="1" customHeight="1" x14ac:dyDescent="0.25">
      <c r="A675" s="213">
        <v>34602</v>
      </c>
      <c r="B675" s="214" t="s">
        <v>9165</v>
      </c>
      <c r="C675" s="215" t="s">
        <v>585</v>
      </c>
      <c r="D675" s="216">
        <v>4.12</v>
      </c>
      <c r="E675" s="198"/>
      <c r="F675" s="198"/>
      <c r="G675" s="198"/>
      <c r="H675" s="198"/>
      <c r="I675" s="198"/>
      <c r="J675" s="198"/>
      <c r="K675" s="198"/>
      <c r="L675" s="198"/>
      <c r="M675" s="198"/>
      <c r="N675" s="198"/>
      <c r="O675" s="198"/>
      <c r="P675" s="198"/>
      <c r="Q675" s="198"/>
      <c r="R675" s="198"/>
      <c r="S675" s="198"/>
      <c r="T675" s="198"/>
      <c r="U675" s="198"/>
      <c r="V675" s="198"/>
      <c r="W675" s="198"/>
      <c r="X675" s="198"/>
      <c r="Y675" s="198"/>
      <c r="Z675" s="198"/>
    </row>
    <row r="676" spans="1:26" ht="15.75" hidden="1" customHeight="1" x14ac:dyDescent="0.25">
      <c r="A676" s="213">
        <v>34607</v>
      </c>
      <c r="B676" s="214" t="s">
        <v>9166</v>
      </c>
      <c r="C676" s="215" t="s">
        <v>585</v>
      </c>
      <c r="D676" s="216">
        <v>10.09</v>
      </c>
      <c r="E676" s="198"/>
      <c r="F676" s="198"/>
      <c r="G676" s="198"/>
      <c r="H676" s="198"/>
      <c r="I676" s="198"/>
      <c r="J676" s="198"/>
      <c r="K676" s="198"/>
      <c r="L676" s="198"/>
      <c r="M676" s="198"/>
      <c r="N676" s="198"/>
      <c r="O676" s="198"/>
      <c r="P676" s="198"/>
      <c r="Q676" s="198"/>
      <c r="R676" s="198"/>
      <c r="S676" s="198"/>
      <c r="T676" s="198"/>
      <c r="U676" s="198"/>
      <c r="V676" s="198"/>
      <c r="W676" s="198"/>
      <c r="X676" s="198"/>
      <c r="Y676" s="198"/>
      <c r="Z676" s="198"/>
    </row>
    <row r="677" spans="1:26" ht="15.75" hidden="1" customHeight="1" x14ac:dyDescent="0.25">
      <c r="A677" s="213">
        <v>34609</v>
      </c>
      <c r="B677" s="214" t="s">
        <v>9167</v>
      </c>
      <c r="C677" s="215" t="s">
        <v>585</v>
      </c>
      <c r="D677" s="216">
        <v>14.68</v>
      </c>
      <c r="E677" s="198"/>
      <c r="F677" s="198"/>
      <c r="G677" s="198"/>
      <c r="H677" s="198"/>
      <c r="I677" s="198"/>
      <c r="J677" s="198"/>
      <c r="K677" s="198"/>
      <c r="L677" s="198"/>
      <c r="M677" s="198"/>
      <c r="N677" s="198"/>
      <c r="O677" s="198"/>
      <c r="P677" s="198"/>
      <c r="Q677" s="198"/>
      <c r="R677" s="198"/>
      <c r="S677" s="198"/>
      <c r="T677" s="198"/>
      <c r="U677" s="198"/>
      <c r="V677" s="198"/>
      <c r="W677" s="198"/>
      <c r="X677" s="198"/>
      <c r="Y677" s="198"/>
      <c r="Z677" s="198"/>
    </row>
    <row r="678" spans="1:26" ht="15.75" hidden="1" customHeight="1" x14ac:dyDescent="0.25">
      <c r="A678" s="213">
        <v>34618</v>
      </c>
      <c r="B678" s="214" t="s">
        <v>9168</v>
      </c>
      <c r="C678" s="215" t="s">
        <v>585</v>
      </c>
      <c r="D678" s="216">
        <v>5.61</v>
      </c>
      <c r="E678" s="198"/>
      <c r="F678" s="198"/>
      <c r="G678" s="198"/>
      <c r="H678" s="198"/>
      <c r="I678" s="198"/>
      <c r="J678" s="198"/>
      <c r="K678" s="198"/>
      <c r="L678" s="198"/>
      <c r="M678" s="198"/>
      <c r="N678" s="198"/>
      <c r="O678" s="198"/>
      <c r="P678" s="198"/>
      <c r="Q678" s="198"/>
      <c r="R678" s="198"/>
      <c r="S678" s="198"/>
      <c r="T678" s="198"/>
      <c r="U678" s="198"/>
      <c r="V678" s="198"/>
      <c r="W678" s="198"/>
      <c r="X678" s="198"/>
      <c r="Y678" s="198"/>
      <c r="Z678" s="198"/>
    </row>
    <row r="679" spans="1:26" ht="15.75" hidden="1" customHeight="1" x14ac:dyDescent="0.25">
      <c r="A679" s="213">
        <v>34621</v>
      </c>
      <c r="B679" s="214" t="s">
        <v>9169</v>
      </c>
      <c r="C679" s="215" t="s">
        <v>585</v>
      </c>
      <c r="D679" s="216">
        <v>13.91</v>
      </c>
      <c r="E679" s="198"/>
      <c r="F679" s="198"/>
      <c r="G679" s="198"/>
      <c r="H679" s="198"/>
      <c r="I679" s="198"/>
      <c r="J679" s="198"/>
      <c r="K679" s="198"/>
      <c r="L679" s="198"/>
      <c r="M679" s="198"/>
      <c r="N679" s="198"/>
      <c r="O679" s="198"/>
      <c r="P679" s="198"/>
      <c r="Q679" s="198"/>
      <c r="R679" s="198"/>
      <c r="S679" s="198"/>
      <c r="T679" s="198"/>
      <c r="U679" s="198"/>
      <c r="V679" s="198"/>
      <c r="W679" s="198"/>
      <c r="X679" s="198"/>
      <c r="Y679" s="198"/>
      <c r="Z679" s="198"/>
    </row>
    <row r="680" spans="1:26" ht="15.75" hidden="1" customHeight="1" x14ac:dyDescent="0.25">
      <c r="A680" s="213">
        <v>34622</v>
      </c>
      <c r="B680" s="214" t="s">
        <v>9170</v>
      </c>
      <c r="C680" s="215" t="s">
        <v>585</v>
      </c>
      <c r="D680" s="216">
        <v>20.67</v>
      </c>
      <c r="E680" s="198"/>
      <c r="F680" s="198"/>
      <c r="G680" s="198"/>
      <c r="H680" s="198"/>
      <c r="I680" s="198"/>
      <c r="J680" s="198"/>
      <c r="K680" s="198"/>
      <c r="L680" s="198"/>
      <c r="M680" s="198"/>
      <c r="N680" s="198"/>
      <c r="O680" s="198"/>
      <c r="P680" s="198"/>
      <c r="Q680" s="198"/>
      <c r="R680" s="198"/>
      <c r="S680" s="198"/>
      <c r="T680" s="198"/>
      <c r="U680" s="198"/>
      <c r="V680" s="198"/>
      <c r="W680" s="198"/>
      <c r="X680" s="198"/>
      <c r="Y680" s="198"/>
      <c r="Z680" s="198"/>
    </row>
    <row r="681" spans="1:26" ht="15.75" hidden="1" customHeight="1" x14ac:dyDescent="0.25">
      <c r="A681" s="213">
        <v>34624</v>
      </c>
      <c r="B681" s="214" t="s">
        <v>9171</v>
      </c>
      <c r="C681" s="215" t="s">
        <v>585</v>
      </c>
      <c r="D681" s="216">
        <v>7.49</v>
      </c>
      <c r="E681" s="198"/>
      <c r="F681" s="198"/>
      <c r="G681" s="198"/>
      <c r="H681" s="198"/>
      <c r="I681" s="198"/>
      <c r="J681" s="198"/>
      <c r="K681" s="198"/>
      <c r="L681" s="198"/>
      <c r="M681" s="198"/>
      <c r="N681" s="198"/>
      <c r="O681" s="198"/>
      <c r="P681" s="198"/>
      <c r="Q681" s="198"/>
      <c r="R681" s="198"/>
      <c r="S681" s="198"/>
      <c r="T681" s="198"/>
      <c r="U681" s="198"/>
      <c r="V681" s="198"/>
      <c r="W681" s="198"/>
      <c r="X681" s="198"/>
      <c r="Y681" s="198"/>
      <c r="Z681" s="198"/>
    </row>
    <row r="682" spans="1:26" ht="15.75" hidden="1" customHeight="1" x14ac:dyDescent="0.25">
      <c r="A682" s="213">
        <v>34627</v>
      </c>
      <c r="B682" s="214" t="s">
        <v>9172</v>
      </c>
      <c r="C682" s="215" t="s">
        <v>585</v>
      </c>
      <c r="D682" s="216">
        <v>18.07</v>
      </c>
      <c r="E682" s="198"/>
      <c r="F682" s="198"/>
      <c r="G682" s="198"/>
      <c r="H682" s="198"/>
      <c r="I682" s="198"/>
      <c r="J682" s="198"/>
      <c r="K682" s="198"/>
      <c r="L682" s="198"/>
      <c r="M682" s="198"/>
      <c r="N682" s="198"/>
      <c r="O682" s="198"/>
      <c r="P682" s="198"/>
      <c r="Q682" s="198"/>
      <c r="R682" s="198"/>
      <c r="S682" s="198"/>
      <c r="T682" s="198"/>
      <c r="U682" s="198"/>
      <c r="V682" s="198"/>
      <c r="W682" s="198"/>
      <c r="X682" s="198"/>
      <c r="Y682" s="198"/>
      <c r="Z682" s="198"/>
    </row>
    <row r="683" spans="1:26" ht="15.75" hidden="1" customHeight="1" x14ac:dyDescent="0.25">
      <c r="A683" s="213">
        <v>34629</v>
      </c>
      <c r="B683" s="214" t="s">
        <v>9173</v>
      </c>
      <c r="C683" s="215" t="s">
        <v>585</v>
      </c>
      <c r="D683" s="216">
        <v>27.61</v>
      </c>
      <c r="E683" s="198"/>
      <c r="F683" s="198"/>
      <c r="G683" s="198"/>
      <c r="H683" s="198"/>
      <c r="I683" s="198"/>
      <c r="J683" s="198"/>
      <c r="K683" s="198"/>
      <c r="L683" s="198"/>
      <c r="M683" s="198"/>
      <c r="N683" s="198"/>
      <c r="O683" s="198"/>
      <c r="P683" s="198"/>
      <c r="Q683" s="198"/>
      <c r="R683" s="198"/>
      <c r="S683" s="198"/>
      <c r="T683" s="198"/>
      <c r="U683" s="198"/>
      <c r="V683" s="198"/>
      <c r="W683" s="198"/>
      <c r="X683" s="198"/>
      <c r="Y683" s="198"/>
      <c r="Z683" s="198"/>
    </row>
    <row r="684" spans="1:26" ht="15.75" hidden="1" customHeight="1" x14ac:dyDescent="0.25">
      <c r="A684" s="213">
        <v>39257</v>
      </c>
      <c r="B684" s="214" t="s">
        <v>9174</v>
      </c>
      <c r="C684" s="215" t="s">
        <v>585</v>
      </c>
      <c r="D684" s="216">
        <v>5.62</v>
      </c>
      <c r="E684" s="198"/>
      <c r="F684" s="198"/>
      <c r="G684" s="198"/>
      <c r="H684" s="198"/>
      <c r="I684" s="198"/>
      <c r="J684" s="198"/>
      <c r="K684" s="198"/>
      <c r="L684" s="198"/>
      <c r="M684" s="198"/>
      <c r="N684" s="198"/>
      <c r="O684" s="198"/>
      <c r="P684" s="198"/>
      <c r="Q684" s="198"/>
      <c r="R684" s="198"/>
      <c r="S684" s="198"/>
      <c r="T684" s="198"/>
      <c r="U684" s="198"/>
      <c r="V684" s="198"/>
      <c r="W684" s="198"/>
      <c r="X684" s="198"/>
      <c r="Y684" s="198"/>
      <c r="Z684" s="198"/>
    </row>
    <row r="685" spans="1:26" ht="15.75" hidden="1" customHeight="1" x14ac:dyDescent="0.25">
      <c r="A685" s="213">
        <v>39261</v>
      </c>
      <c r="B685" s="214" t="s">
        <v>9175</v>
      </c>
      <c r="C685" s="215" t="s">
        <v>585</v>
      </c>
      <c r="D685" s="216">
        <v>32.17</v>
      </c>
      <c r="E685" s="198"/>
      <c r="F685" s="198"/>
      <c r="G685" s="198"/>
      <c r="H685" s="198"/>
      <c r="I685" s="198"/>
      <c r="J685" s="198"/>
      <c r="K685" s="198"/>
      <c r="L685" s="198"/>
      <c r="M685" s="198"/>
      <c r="N685" s="198"/>
      <c r="O685" s="198"/>
      <c r="P685" s="198"/>
      <c r="Q685" s="198"/>
      <c r="R685" s="198"/>
      <c r="S685" s="198"/>
      <c r="T685" s="198"/>
      <c r="U685" s="198"/>
      <c r="V685" s="198"/>
      <c r="W685" s="198"/>
      <c r="X685" s="198"/>
      <c r="Y685" s="198"/>
      <c r="Z685" s="198"/>
    </row>
    <row r="686" spans="1:26" ht="15.75" hidden="1" customHeight="1" x14ac:dyDescent="0.25">
      <c r="A686" s="213">
        <v>39268</v>
      </c>
      <c r="B686" s="214" t="s">
        <v>9176</v>
      </c>
      <c r="C686" s="215" t="s">
        <v>585</v>
      </c>
      <c r="D686" s="216">
        <v>502.91</v>
      </c>
      <c r="E686" s="198"/>
      <c r="F686" s="198"/>
      <c r="G686" s="198"/>
      <c r="H686" s="198"/>
      <c r="I686" s="198"/>
      <c r="J686" s="198"/>
      <c r="K686" s="198"/>
      <c r="L686" s="198"/>
      <c r="M686" s="198"/>
      <c r="N686" s="198"/>
      <c r="O686" s="198"/>
      <c r="P686" s="198"/>
      <c r="Q686" s="198"/>
      <c r="R686" s="198"/>
      <c r="S686" s="198"/>
      <c r="T686" s="198"/>
      <c r="U686" s="198"/>
      <c r="V686" s="198"/>
      <c r="W686" s="198"/>
      <c r="X686" s="198"/>
      <c r="Y686" s="198"/>
      <c r="Z686" s="198"/>
    </row>
    <row r="687" spans="1:26" ht="15.75" hidden="1" customHeight="1" x14ac:dyDescent="0.25">
      <c r="A687" s="213">
        <v>39262</v>
      </c>
      <c r="B687" s="214" t="s">
        <v>9177</v>
      </c>
      <c r="C687" s="215" t="s">
        <v>585</v>
      </c>
      <c r="D687" s="216">
        <v>51.23</v>
      </c>
      <c r="E687" s="198"/>
      <c r="F687" s="198"/>
      <c r="G687" s="198"/>
      <c r="H687" s="198"/>
      <c r="I687" s="198"/>
      <c r="J687" s="198"/>
      <c r="K687" s="198"/>
      <c r="L687" s="198"/>
      <c r="M687" s="198"/>
      <c r="N687" s="198"/>
      <c r="O687" s="198"/>
      <c r="P687" s="198"/>
      <c r="Q687" s="198"/>
      <c r="R687" s="198"/>
      <c r="S687" s="198"/>
      <c r="T687" s="198"/>
      <c r="U687" s="198"/>
      <c r="V687" s="198"/>
      <c r="W687" s="198"/>
      <c r="X687" s="198"/>
      <c r="Y687" s="198"/>
      <c r="Z687" s="198"/>
    </row>
    <row r="688" spans="1:26" ht="15.75" hidden="1" customHeight="1" x14ac:dyDescent="0.25">
      <c r="A688" s="213">
        <v>39258</v>
      </c>
      <c r="B688" s="214" t="s">
        <v>9178</v>
      </c>
      <c r="C688" s="215" t="s">
        <v>585</v>
      </c>
      <c r="D688" s="216">
        <v>8.4700000000000006</v>
      </c>
      <c r="E688" s="198"/>
      <c r="F688" s="198"/>
      <c r="G688" s="198"/>
      <c r="H688" s="198"/>
      <c r="I688" s="198"/>
      <c r="J688" s="198"/>
      <c r="K688" s="198"/>
      <c r="L688" s="198"/>
      <c r="M688" s="198"/>
      <c r="N688" s="198"/>
      <c r="O688" s="198"/>
      <c r="P688" s="198"/>
      <c r="Q688" s="198"/>
      <c r="R688" s="198"/>
      <c r="S688" s="198"/>
      <c r="T688" s="198"/>
      <c r="U688" s="198"/>
      <c r="V688" s="198"/>
      <c r="W688" s="198"/>
      <c r="X688" s="198"/>
      <c r="Y688" s="198"/>
      <c r="Z688" s="198"/>
    </row>
    <row r="689" spans="1:26" ht="15.75" hidden="1" customHeight="1" x14ac:dyDescent="0.25">
      <c r="A689" s="213">
        <v>39263</v>
      </c>
      <c r="B689" s="214" t="s">
        <v>9179</v>
      </c>
      <c r="C689" s="215" t="s">
        <v>585</v>
      </c>
      <c r="D689" s="216">
        <v>88.59</v>
      </c>
      <c r="E689" s="198"/>
      <c r="F689" s="198"/>
      <c r="G689" s="198"/>
      <c r="H689" s="198"/>
      <c r="I689" s="198"/>
      <c r="J689" s="198"/>
      <c r="K689" s="198"/>
      <c r="L689" s="198"/>
      <c r="M689" s="198"/>
      <c r="N689" s="198"/>
      <c r="O689" s="198"/>
      <c r="P689" s="198"/>
      <c r="Q689" s="198"/>
      <c r="R689" s="198"/>
      <c r="S689" s="198"/>
      <c r="T689" s="198"/>
      <c r="U689" s="198"/>
      <c r="V689" s="198"/>
      <c r="W689" s="198"/>
      <c r="X689" s="198"/>
      <c r="Y689" s="198"/>
      <c r="Z689" s="198"/>
    </row>
    <row r="690" spans="1:26" ht="15.75" hidden="1" customHeight="1" x14ac:dyDescent="0.25">
      <c r="A690" s="213">
        <v>39264</v>
      </c>
      <c r="B690" s="214" t="s">
        <v>9180</v>
      </c>
      <c r="C690" s="215" t="s">
        <v>585</v>
      </c>
      <c r="D690" s="216">
        <v>122.73</v>
      </c>
      <c r="E690" s="198"/>
      <c r="F690" s="198"/>
      <c r="G690" s="198"/>
      <c r="H690" s="198"/>
      <c r="I690" s="198"/>
      <c r="J690" s="198"/>
      <c r="K690" s="198"/>
      <c r="L690" s="198"/>
      <c r="M690" s="198"/>
      <c r="N690" s="198"/>
      <c r="O690" s="198"/>
      <c r="P690" s="198"/>
      <c r="Q690" s="198"/>
      <c r="R690" s="198"/>
      <c r="S690" s="198"/>
      <c r="T690" s="198"/>
      <c r="U690" s="198"/>
      <c r="V690" s="198"/>
      <c r="W690" s="198"/>
      <c r="X690" s="198"/>
      <c r="Y690" s="198"/>
      <c r="Z690" s="198"/>
    </row>
    <row r="691" spans="1:26" ht="15.75" hidden="1" customHeight="1" x14ac:dyDescent="0.25">
      <c r="A691" s="213">
        <v>39259</v>
      </c>
      <c r="B691" s="214" t="s">
        <v>9181</v>
      </c>
      <c r="C691" s="215" t="s">
        <v>585</v>
      </c>
      <c r="D691" s="216">
        <v>13.04</v>
      </c>
      <c r="E691" s="198"/>
      <c r="F691" s="198"/>
      <c r="G691" s="198"/>
      <c r="H691" s="198"/>
      <c r="I691" s="198"/>
      <c r="J691" s="198"/>
      <c r="K691" s="198"/>
      <c r="L691" s="198"/>
      <c r="M691" s="198"/>
      <c r="N691" s="198"/>
      <c r="O691" s="198"/>
      <c r="P691" s="198"/>
      <c r="Q691" s="198"/>
      <c r="R691" s="198"/>
      <c r="S691" s="198"/>
      <c r="T691" s="198"/>
      <c r="U691" s="198"/>
      <c r="V691" s="198"/>
      <c r="W691" s="198"/>
      <c r="X691" s="198"/>
      <c r="Y691" s="198"/>
      <c r="Z691" s="198"/>
    </row>
    <row r="692" spans="1:26" ht="15.75" hidden="1" customHeight="1" x14ac:dyDescent="0.25">
      <c r="A692" s="213">
        <v>39265</v>
      </c>
      <c r="B692" s="214" t="s">
        <v>9182</v>
      </c>
      <c r="C692" s="215" t="s">
        <v>585</v>
      </c>
      <c r="D692" s="216">
        <v>166.62</v>
      </c>
      <c r="E692" s="198"/>
      <c r="F692" s="198"/>
      <c r="G692" s="198"/>
      <c r="H692" s="198"/>
      <c r="I692" s="198"/>
      <c r="J692" s="198"/>
      <c r="K692" s="198"/>
      <c r="L692" s="198"/>
      <c r="M692" s="198"/>
      <c r="N692" s="198"/>
      <c r="O692" s="198"/>
      <c r="P692" s="198"/>
      <c r="Q692" s="198"/>
      <c r="R692" s="198"/>
      <c r="S692" s="198"/>
      <c r="T692" s="198"/>
      <c r="U692" s="198"/>
      <c r="V692" s="198"/>
      <c r="W692" s="198"/>
      <c r="X692" s="198"/>
      <c r="Y692" s="198"/>
      <c r="Z692" s="198"/>
    </row>
    <row r="693" spans="1:26" ht="15.75" hidden="1" customHeight="1" x14ac:dyDescent="0.25">
      <c r="A693" s="213">
        <v>39260</v>
      </c>
      <c r="B693" s="214" t="s">
        <v>9183</v>
      </c>
      <c r="C693" s="215" t="s">
        <v>585</v>
      </c>
      <c r="D693" s="216">
        <v>19.97</v>
      </c>
      <c r="E693" s="198"/>
      <c r="F693" s="198"/>
      <c r="G693" s="198"/>
      <c r="H693" s="198"/>
      <c r="I693" s="198"/>
      <c r="J693" s="198"/>
      <c r="K693" s="198"/>
      <c r="L693" s="198"/>
      <c r="M693" s="198"/>
      <c r="N693" s="198"/>
      <c r="O693" s="198"/>
      <c r="P693" s="198"/>
      <c r="Q693" s="198"/>
      <c r="R693" s="198"/>
      <c r="S693" s="198"/>
      <c r="T693" s="198"/>
      <c r="U693" s="198"/>
      <c r="V693" s="198"/>
      <c r="W693" s="198"/>
      <c r="X693" s="198"/>
      <c r="Y693" s="198"/>
      <c r="Z693" s="198"/>
    </row>
    <row r="694" spans="1:26" ht="15.75" hidden="1" customHeight="1" x14ac:dyDescent="0.25">
      <c r="A694" s="213">
        <v>39266</v>
      </c>
      <c r="B694" s="214" t="s">
        <v>9184</v>
      </c>
      <c r="C694" s="215" t="s">
        <v>585</v>
      </c>
      <c r="D694" s="216">
        <v>251.43</v>
      </c>
      <c r="E694" s="198"/>
      <c r="F694" s="198"/>
      <c r="G694" s="198"/>
      <c r="H694" s="198"/>
      <c r="I694" s="198"/>
      <c r="J694" s="198"/>
      <c r="K694" s="198"/>
      <c r="L694" s="198"/>
      <c r="M694" s="198"/>
      <c r="N694" s="198"/>
      <c r="O694" s="198"/>
      <c r="P694" s="198"/>
      <c r="Q694" s="198"/>
      <c r="R694" s="198"/>
      <c r="S694" s="198"/>
      <c r="T694" s="198"/>
      <c r="U694" s="198"/>
      <c r="V694" s="198"/>
      <c r="W694" s="198"/>
      <c r="X694" s="198"/>
      <c r="Y694" s="198"/>
      <c r="Z694" s="198"/>
    </row>
    <row r="695" spans="1:26" ht="15.75" hidden="1" customHeight="1" x14ac:dyDescent="0.25">
      <c r="A695" s="213">
        <v>39267</v>
      </c>
      <c r="B695" s="214" t="s">
        <v>9185</v>
      </c>
      <c r="C695" s="215" t="s">
        <v>585</v>
      </c>
      <c r="D695" s="216">
        <v>314.36</v>
      </c>
      <c r="E695" s="198"/>
      <c r="F695" s="198"/>
      <c r="G695" s="198"/>
      <c r="H695" s="198"/>
      <c r="I695" s="198"/>
      <c r="J695" s="198"/>
      <c r="K695" s="198"/>
      <c r="L695" s="198"/>
      <c r="M695" s="198"/>
      <c r="N695" s="198"/>
      <c r="O695" s="198"/>
      <c r="P695" s="198"/>
      <c r="Q695" s="198"/>
      <c r="R695" s="198"/>
      <c r="S695" s="198"/>
      <c r="T695" s="198"/>
      <c r="U695" s="198"/>
      <c r="V695" s="198"/>
      <c r="W695" s="198"/>
      <c r="X695" s="198"/>
      <c r="Y695" s="198"/>
      <c r="Z695" s="198"/>
    </row>
    <row r="696" spans="1:26" ht="15.75" hidden="1" customHeight="1" x14ac:dyDescent="0.25">
      <c r="A696" s="213">
        <v>11901</v>
      </c>
      <c r="B696" s="214" t="s">
        <v>9186</v>
      </c>
      <c r="C696" s="215" t="s">
        <v>585</v>
      </c>
      <c r="D696" s="216">
        <v>0.92</v>
      </c>
      <c r="E696" s="198"/>
      <c r="F696" s="198"/>
      <c r="G696" s="198"/>
      <c r="H696" s="198"/>
      <c r="I696" s="198"/>
      <c r="J696" s="198"/>
      <c r="K696" s="198"/>
      <c r="L696" s="198"/>
      <c r="M696" s="198"/>
      <c r="N696" s="198"/>
      <c r="O696" s="198"/>
      <c r="P696" s="198"/>
      <c r="Q696" s="198"/>
      <c r="R696" s="198"/>
      <c r="S696" s="198"/>
      <c r="T696" s="198"/>
      <c r="U696" s="198"/>
      <c r="V696" s="198"/>
      <c r="W696" s="198"/>
      <c r="X696" s="198"/>
      <c r="Y696" s="198"/>
      <c r="Z696" s="198"/>
    </row>
    <row r="697" spans="1:26" ht="15.75" hidden="1" customHeight="1" x14ac:dyDescent="0.25">
      <c r="A697" s="213">
        <v>11902</v>
      </c>
      <c r="B697" s="214" t="s">
        <v>9187</v>
      </c>
      <c r="C697" s="215" t="s">
        <v>585</v>
      </c>
      <c r="D697" s="216">
        <v>1.76</v>
      </c>
      <c r="E697" s="198"/>
      <c r="F697" s="198"/>
      <c r="G697" s="198"/>
      <c r="H697" s="198"/>
      <c r="I697" s="198"/>
      <c r="J697" s="198"/>
      <c r="K697" s="198"/>
      <c r="L697" s="198"/>
      <c r="M697" s="198"/>
      <c r="N697" s="198"/>
      <c r="O697" s="198"/>
      <c r="P697" s="198"/>
      <c r="Q697" s="198"/>
      <c r="R697" s="198"/>
      <c r="S697" s="198"/>
      <c r="T697" s="198"/>
      <c r="U697" s="198"/>
      <c r="V697" s="198"/>
      <c r="W697" s="198"/>
      <c r="X697" s="198"/>
      <c r="Y697" s="198"/>
      <c r="Z697" s="198"/>
    </row>
    <row r="698" spans="1:26" ht="15.75" hidden="1" customHeight="1" x14ac:dyDescent="0.25">
      <c r="A698" s="213">
        <v>11903</v>
      </c>
      <c r="B698" s="214" t="s">
        <v>9188</v>
      </c>
      <c r="C698" s="215" t="s">
        <v>585</v>
      </c>
      <c r="D698" s="216">
        <v>1.86</v>
      </c>
      <c r="E698" s="198"/>
      <c r="F698" s="198"/>
      <c r="G698" s="198"/>
      <c r="H698" s="198"/>
      <c r="I698" s="198"/>
      <c r="J698" s="198"/>
      <c r="K698" s="198"/>
      <c r="L698" s="198"/>
      <c r="M698" s="198"/>
      <c r="N698" s="198"/>
      <c r="O698" s="198"/>
      <c r="P698" s="198"/>
      <c r="Q698" s="198"/>
      <c r="R698" s="198"/>
      <c r="S698" s="198"/>
      <c r="T698" s="198"/>
      <c r="U698" s="198"/>
      <c r="V698" s="198"/>
      <c r="W698" s="198"/>
      <c r="X698" s="198"/>
      <c r="Y698" s="198"/>
      <c r="Z698" s="198"/>
    </row>
    <row r="699" spans="1:26" ht="15.75" hidden="1" customHeight="1" x14ac:dyDescent="0.25">
      <c r="A699" s="213">
        <v>11904</v>
      </c>
      <c r="B699" s="214" t="s">
        <v>9189</v>
      </c>
      <c r="C699" s="215" t="s">
        <v>585</v>
      </c>
      <c r="D699" s="216">
        <v>2.83</v>
      </c>
      <c r="E699" s="198"/>
      <c r="F699" s="198"/>
      <c r="G699" s="198"/>
      <c r="H699" s="198"/>
      <c r="I699" s="198"/>
      <c r="J699" s="198"/>
      <c r="K699" s="198"/>
      <c r="L699" s="198"/>
      <c r="M699" s="198"/>
      <c r="N699" s="198"/>
      <c r="O699" s="198"/>
      <c r="P699" s="198"/>
      <c r="Q699" s="198"/>
      <c r="R699" s="198"/>
      <c r="S699" s="198"/>
      <c r="T699" s="198"/>
      <c r="U699" s="198"/>
      <c r="V699" s="198"/>
      <c r="W699" s="198"/>
      <c r="X699" s="198"/>
      <c r="Y699" s="198"/>
      <c r="Z699" s="198"/>
    </row>
    <row r="700" spans="1:26" ht="15.75" hidden="1" customHeight="1" x14ac:dyDescent="0.25">
      <c r="A700" s="213">
        <v>11905</v>
      </c>
      <c r="B700" s="214" t="s">
        <v>9190</v>
      </c>
      <c r="C700" s="215" t="s">
        <v>585</v>
      </c>
      <c r="D700" s="216">
        <v>3.45</v>
      </c>
      <c r="E700" s="198"/>
      <c r="F700" s="198"/>
      <c r="G700" s="198"/>
      <c r="H700" s="198"/>
      <c r="I700" s="198"/>
      <c r="J700" s="198"/>
      <c r="K700" s="198"/>
      <c r="L700" s="198"/>
      <c r="M700" s="198"/>
      <c r="N700" s="198"/>
      <c r="O700" s="198"/>
      <c r="P700" s="198"/>
      <c r="Q700" s="198"/>
      <c r="R700" s="198"/>
      <c r="S700" s="198"/>
      <c r="T700" s="198"/>
      <c r="U700" s="198"/>
      <c r="V700" s="198"/>
      <c r="W700" s="198"/>
      <c r="X700" s="198"/>
      <c r="Y700" s="198"/>
      <c r="Z700" s="198"/>
    </row>
    <row r="701" spans="1:26" ht="15.75" hidden="1" customHeight="1" x14ac:dyDescent="0.25">
      <c r="A701" s="213">
        <v>11906</v>
      </c>
      <c r="B701" s="214" t="s">
        <v>9191</v>
      </c>
      <c r="C701" s="215" t="s">
        <v>585</v>
      </c>
      <c r="D701" s="216">
        <v>4.38</v>
      </c>
      <c r="E701" s="198"/>
      <c r="F701" s="198"/>
      <c r="G701" s="198"/>
      <c r="H701" s="198"/>
      <c r="I701" s="198"/>
      <c r="J701" s="198"/>
      <c r="K701" s="198"/>
      <c r="L701" s="198"/>
      <c r="M701" s="198"/>
      <c r="N701" s="198"/>
      <c r="O701" s="198"/>
      <c r="P701" s="198"/>
      <c r="Q701" s="198"/>
      <c r="R701" s="198"/>
      <c r="S701" s="198"/>
      <c r="T701" s="198"/>
      <c r="U701" s="198"/>
      <c r="V701" s="198"/>
      <c r="W701" s="198"/>
      <c r="X701" s="198"/>
      <c r="Y701" s="198"/>
      <c r="Z701" s="198"/>
    </row>
    <row r="702" spans="1:26" ht="15.75" hidden="1" customHeight="1" x14ac:dyDescent="0.25">
      <c r="A702" s="213">
        <v>11919</v>
      </c>
      <c r="B702" s="214" t="s">
        <v>9192</v>
      </c>
      <c r="C702" s="215" t="s">
        <v>585</v>
      </c>
      <c r="D702" s="216">
        <v>8.0299999999999994</v>
      </c>
      <c r="E702" s="198"/>
      <c r="F702" s="198"/>
      <c r="G702" s="198"/>
      <c r="H702" s="198"/>
      <c r="I702" s="198"/>
      <c r="J702" s="198"/>
      <c r="K702" s="198"/>
      <c r="L702" s="198"/>
      <c r="M702" s="198"/>
      <c r="N702" s="198"/>
      <c r="O702" s="198"/>
      <c r="P702" s="198"/>
      <c r="Q702" s="198"/>
      <c r="R702" s="198"/>
      <c r="S702" s="198"/>
      <c r="T702" s="198"/>
      <c r="U702" s="198"/>
      <c r="V702" s="198"/>
      <c r="W702" s="198"/>
      <c r="X702" s="198"/>
      <c r="Y702" s="198"/>
      <c r="Z702" s="198"/>
    </row>
    <row r="703" spans="1:26" ht="15.75" hidden="1" customHeight="1" x14ac:dyDescent="0.25">
      <c r="A703" s="213">
        <v>11920</v>
      </c>
      <c r="B703" s="214" t="s">
        <v>9193</v>
      </c>
      <c r="C703" s="215" t="s">
        <v>585</v>
      </c>
      <c r="D703" s="216">
        <v>15.26</v>
      </c>
      <c r="E703" s="198"/>
      <c r="F703" s="198"/>
      <c r="G703" s="198"/>
      <c r="H703" s="198"/>
      <c r="I703" s="198"/>
      <c r="J703" s="198"/>
      <c r="K703" s="198"/>
      <c r="L703" s="198"/>
      <c r="M703" s="198"/>
      <c r="N703" s="198"/>
      <c r="O703" s="198"/>
      <c r="P703" s="198"/>
      <c r="Q703" s="198"/>
      <c r="R703" s="198"/>
      <c r="S703" s="198"/>
      <c r="T703" s="198"/>
      <c r="U703" s="198"/>
      <c r="V703" s="198"/>
      <c r="W703" s="198"/>
      <c r="X703" s="198"/>
      <c r="Y703" s="198"/>
      <c r="Z703" s="198"/>
    </row>
    <row r="704" spans="1:26" ht="15.75" hidden="1" customHeight="1" x14ac:dyDescent="0.25">
      <c r="A704" s="213">
        <v>11924</v>
      </c>
      <c r="B704" s="214" t="s">
        <v>9194</v>
      </c>
      <c r="C704" s="215" t="s">
        <v>585</v>
      </c>
      <c r="D704" s="216">
        <v>128.13</v>
      </c>
      <c r="E704" s="198"/>
      <c r="F704" s="198"/>
      <c r="G704" s="198"/>
      <c r="H704" s="198"/>
      <c r="I704" s="198"/>
      <c r="J704" s="198"/>
      <c r="K704" s="198"/>
      <c r="L704" s="198"/>
      <c r="M704" s="198"/>
      <c r="N704" s="198"/>
      <c r="O704" s="198"/>
      <c r="P704" s="198"/>
      <c r="Q704" s="198"/>
      <c r="R704" s="198"/>
      <c r="S704" s="198"/>
      <c r="T704" s="198"/>
      <c r="U704" s="198"/>
      <c r="V704" s="198"/>
      <c r="W704" s="198"/>
      <c r="X704" s="198"/>
      <c r="Y704" s="198"/>
      <c r="Z704" s="198"/>
    </row>
    <row r="705" spans="1:26" ht="15.75" hidden="1" customHeight="1" x14ac:dyDescent="0.25">
      <c r="A705" s="213">
        <v>11921</v>
      </c>
      <c r="B705" s="214" t="s">
        <v>9195</v>
      </c>
      <c r="C705" s="215" t="s">
        <v>585</v>
      </c>
      <c r="D705" s="216">
        <v>22.33</v>
      </c>
      <c r="E705" s="198"/>
      <c r="F705" s="198"/>
      <c r="G705" s="198"/>
      <c r="H705" s="198"/>
      <c r="I705" s="198"/>
      <c r="J705" s="198"/>
      <c r="K705" s="198"/>
      <c r="L705" s="198"/>
      <c r="M705" s="198"/>
      <c r="N705" s="198"/>
      <c r="O705" s="198"/>
      <c r="P705" s="198"/>
      <c r="Q705" s="198"/>
      <c r="R705" s="198"/>
      <c r="S705" s="198"/>
      <c r="T705" s="198"/>
      <c r="U705" s="198"/>
      <c r="V705" s="198"/>
      <c r="W705" s="198"/>
      <c r="X705" s="198"/>
      <c r="Y705" s="198"/>
      <c r="Z705" s="198"/>
    </row>
    <row r="706" spans="1:26" ht="15.75" hidden="1" customHeight="1" x14ac:dyDescent="0.25">
      <c r="A706" s="213">
        <v>11922</v>
      </c>
      <c r="B706" s="214" t="s">
        <v>9196</v>
      </c>
      <c r="C706" s="215" t="s">
        <v>585</v>
      </c>
      <c r="D706" s="216">
        <v>36.11</v>
      </c>
      <c r="E706" s="198"/>
      <c r="F706" s="198"/>
      <c r="G706" s="198"/>
      <c r="H706" s="198"/>
      <c r="I706" s="198"/>
      <c r="J706" s="198"/>
      <c r="K706" s="198"/>
      <c r="L706" s="198"/>
      <c r="M706" s="198"/>
      <c r="N706" s="198"/>
      <c r="O706" s="198"/>
      <c r="P706" s="198"/>
      <c r="Q706" s="198"/>
      <c r="R706" s="198"/>
      <c r="S706" s="198"/>
      <c r="T706" s="198"/>
      <c r="U706" s="198"/>
      <c r="V706" s="198"/>
      <c r="W706" s="198"/>
      <c r="X706" s="198"/>
      <c r="Y706" s="198"/>
      <c r="Z706" s="198"/>
    </row>
    <row r="707" spans="1:26" ht="15.75" hidden="1" customHeight="1" x14ac:dyDescent="0.25">
      <c r="A707" s="213">
        <v>11923</v>
      </c>
      <c r="B707" s="214" t="s">
        <v>9197</v>
      </c>
      <c r="C707" s="215" t="s">
        <v>585</v>
      </c>
      <c r="D707" s="216">
        <v>52.87</v>
      </c>
      <c r="E707" s="198"/>
      <c r="F707" s="198"/>
      <c r="G707" s="198"/>
      <c r="H707" s="198"/>
      <c r="I707" s="198"/>
      <c r="J707" s="198"/>
      <c r="K707" s="198"/>
      <c r="L707" s="198"/>
      <c r="M707" s="198"/>
      <c r="N707" s="198"/>
      <c r="O707" s="198"/>
      <c r="P707" s="198"/>
      <c r="Q707" s="198"/>
      <c r="R707" s="198"/>
      <c r="S707" s="198"/>
      <c r="T707" s="198"/>
      <c r="U707" s="198"/>
      <c r="V707" s="198"/>
      <c r="W707" s="198"/>
      <c r="X707" s="198"/>
      <c r="Y707" s="198"/>
      <c r="Z707" s="198"/>
    </row>
    <row r="708" spans="1:26" ht="15.75" hidden="1" customHeight="1" x14ac:dyDescent="0.25">
      <c r="A708" s="213">
        <v>11916</v>
      </c>
      <c r="B708" s="214" t="s">
        <v>9198</v>
      </c>
      <c r="C708" s="215" t="s">
        <v>585</v>
      </c>
      <c r="D708" s="216">
        <v>10.99</v>
      </c>
      <c r="E708" s="198"/>
      <c r="F708" s="198"/>
      <c r="G708" s="198"/>
      <c r="H708" s="198"/>
      <c r="I708" s="198"/>
      <c r="J708" s="198"/>
      <c r="K708" s="198"/>
      <c r="L708" s="198"/>
      <c r="M708" s="198"/>
      <c r="N708" s="198"/>
      <c r="O708" s="198"/>
      <c r="P708" s="198"/>
      <c r="Q708" s="198"/>
      <c r="R708" s="198"/>
      <c r="S708" s="198"/>
      <c r="T708" s="198"/>
      <c r="U708" s="198"/>
      <c r="V708" s="198"/>
      <c r="W708" s="198"/>
      <c r="X708" s="198"/>
      <c r="Y708" s="198"/>
      <c r="Z708" s="198"/>
    </row>
    <row r="709" spans="1:26" ht="15.75" hidden="1" customHeight="1" x14ac:dyDescent="0.25">
      <c r="A709" s="213">
        <v>11914</v>
      </c>
      <c r="B709" s="214" t="s">
        <v>9199</v>
      </c>
      <c r="C709" s="215" t="s">
        <v>585</v>
      </c>
      <c r="D709" s="216">
        <v>79.2</v>
      </c>
      <c r="E709" s="198"/>
      <c r="F709" s="198"/>
      <c r="G709" s="198"/>
      <c r="H709" s="198"/>
      <c r="I709" s="198"/>
      <c r="J709" s="198"/>
      <c r="K709" s="198"/>
      <c r="L709" s="198"/>
      <c r="M709" s="198"/>
      <c r="N709" s="198"/>
      <c r="O709" s="198"/>
      <c r="P709" s="198"/>
      <c r="Q709" s="198"/>
      <c r="R709" s="198"/>
      <c r="S709" s="198"/>
      <c r="T709" s="198"/>
      <c r="U709" s="198"/>
      <c r="V709" s="198"/>
      <c r="W709" s="198"/>
      <c r="X709" s="198"/>
      <c r="Y709" s="198"/>
      <c r="Z709" s="198"/>
    </row>
    <row r="710" spans="1:26" ht="15.75" hidden="1" customHeight="1" x14ac:dyDescent="0.25">
      <c r="A710" s="213">
        <v>11917</v>
      </c>
      <c r="B710" s="214" t="s">
        <v>9200</v>
      </c>
      <c r="C710" s="215" t="s">
        <v>585</v>
      </c>
      <c r="D710" s="216">
        <v>19.36</v>
      </c>
      <c r="E710" s="198"/>
      <c r="F710" s="198"/>
      <c r="G710" s="198"/>
      <c r="H710" s="198"/>
      <c r="I710" s="198"/>
      <c r="J710" s="198"/>
      <c r="K710" s="198"/>
      <c r="L710" s="198"/>
      <c r="M710" s="198"/>
      <c r="N710" s="198"/>
      <c r="O710" s="198"/>
      <c r="P710" s="198"/>
      <c r="Q710" s="198"/>
      <c r="R710" s="198"/>
      <c r="S710" s="198"/>
      <c r="T710" s="198"/>
      <c r="U710" s="198"/>
      <c r="V710" s="198"/>
      <c r="W710" s="198"/>
      <c r="X710" s="198"/>
      <c r="Y710" s="198"/>
      <c r="Z710" s="198"/>
    </row>
    <row r="711" spans="1:26" ht="15.75" hidden="1" customHeight="1" x14ac:dyDescent="0.25">
      <c r="A711" s="213">
        <v>11918</v>
      </c>
      <c r="B711" s="214" t="s">
        <v>9201</v>
      </c>
      <c r="C711" s="215" t="s">
        <v>585</v>
      </c>
      <c r="D711" s="216">
        <v>22.97</v>
      </c>
      <c r="E711" s="198"/>
      <c r="F711" s="198"/>
      <c r="G711" s="198"/>
      <c r="H711" s="198"/>
      <c r="I711" s="198"/>
      <c r="J711" s="198"/>
      <c r="K711" s="198"/>
      <c r="L711" s="198"/>
      <c r="M711" s="198"/>
      <c r="N711" s="198"/>
      <c r="O711" s="198"/>
      <c r="P711" s="198"/>
      <c r="Q711" s="198"/>
      <c r="R711" s="198"/>
      <c r="S711" s="198"/>
      <c r="T711" s="198"/>
      <c r="U711" s="198"/>
      <c r="V711" s="198"/>
      <c r="W711" s="198"/>
      <c r="X711" s="198"/>
      <c r="Y711" s="198"/>
      <c r="Z711" s="198"/>
    </row>
    <row r="712" spans="1:26" ht="15.75" hidden="1" customHeight="1" x14ac:dyDescent="0.25">
      <c r="A712" s="213">
        <v>37734</v>
      </c>
      <c r="B712" s="214" t="s">
        <v>9202</v>
      </c>
      <c r="C712" s="215" t="s">
        <v>580</v>
      </c>
      <c r="D712" s="216">
        <v>72890.66</v>
      </c>
      <c r="E712" s="198"/>
      <c r="F712" s="198"/>
      <c r="G712" s="198"/>
      <c r="H712" s="198"/>
      <c r="I712" s="198"/>
      <c r="J712" s="198"/>
      <c r="K712" s="198"/>
      <c r="L712" s="198"/>
      <c r="M712" s="198"/>
      <c r="N712" s="198"/>
      <c r="O712" s="198"/>
      <c r="P712" s="198"/>
      <c r="Q712" s="198"/>
      <c r="R712" s="198"/>
      <c r="S712" s="198"/>
      <c r="T712" s="198"/>
      <c r="U712" s="198"/>
      <c r="V712" s="198"/>
      <c r="W712" s="198"/>
      <c r="X712" s="198"/>
      <c r="Y712" s="198"/>
      <c r="Z712" s="198"/>
    </row>
    <row r="713" spans="1:26" ht="15.75" hidden="1" customHeight="1" x14ac:dyDescent="0.25">
      <c r="A713" s="213">
        <v>42251</v>
      </c>
      <c r="B713" s="214" t="s">
        <v>9203</v>
      </c>
      <c r="C713" s="215" t="s">
        <v>580</v>
      </c>
      <c r="D713" s="216">
        <v>82771.789999999994</v>
      </c>
      <c r="E713" s="198"/>
      <c r="F713" s="198"/>
      <c r="G713" s="198"/>
      <c r="H713" s="198"/>
      <c r="I713" s="198"/>
      <c r="J713" s="198"/>
      <c r="K713" s="198"/>
      <c r="L713" s="198"/>
      <c r="M713" s="198"/>
      <c r="N713" s="198"/>
      <c r="O713" s="198"/>
      <c r="P713" s="198"/>
      <c r="Q713" s="198"/>
      <c r="R713" s="198"/>
      <c r="S713" s="198"/>
      <c r="T713" s="198"/>
      <c r="U713" s="198"/>
      <c r="V713" s="198"/>
      <c r="W713" s="198"/>
      <c r="X713" s="198"/>
      <c r="Y713" s="198"/>
      <c r="Z713" s="198"/>
    </row>
    <row r="714" spans="1:26" ht="15.75" hidden="1" customHeight="1" x14ac:dyDescent="0.25">
      <c r="A714" s="213">
        <v>37733</v>
      </c>
      <c r="B714" s="214" t="s">
        <v>9204</v>
      </c>
      <c r="C714" s="215" t="s">
        <v>580</v>
      </c>
      <c r="D714" s="216">
        <v>54653.14</v>
      </c>
      <c r="E714" s="198"/>
      <c r="F714" s="198"/>
      <c r="G714" s="198"/>
      <c r="H714" s="198"/>
      <c r="I714" s="198"/>
      <c r="J714" s="198"/>
      <c r="K714" s="198"/>
      <c r="L714" s="198"/>
      <c r="M714" s="198"/>
      <c r="N714" s="198"/>
      <c r="O714" s="198"/>
      <c r="P714" s="198"/>
      <c r="Q714" s="198"/>
      <c r="R714" s="198"/>
      <c r="S714" s="198"/>
      <c r="T714" s="198"/>
      <c r="U714" s="198"/>
      <c r="V714" s="198"/>
      <c r="W714" s="198"/>
      <c r="X714" s="198"/>
      <c r="Y714" s="198"/>
      <c r="Z714" s="198"/>
    </row>
    <row r="715" spans="1:26" ht="15.75" hidden="1" customHeight="1" x14ac:dyDescent="0.25">
      <c r="A715" s="213">
        <v>37735</v>
      </c>
      <c r="B715" s="214" t="s">
        <v>9205</v>
      </c>
      <c r="C715" s="215" t="s">
        <v>580</v>
      </c>
      <c r="D715" s="216">
        <v>65857.039999999994</v>
      </c>
      <c r="E715" s="198"/>
      <c r="F715" s="198"/>
      <c r="G715" s="198"/>
      <c r="H715" s="198"/>
      <c r="I715" s="198"/>
      <c r="J715" s="198"/>
      <c r="K715" s="198"/>
      <c r="L715" s="198"/>
      <c r="M715" s="198"/>
      <c r="N715" s="198"/>
      <c r="O715" s="198"/>
      <c r="P715" s="198"/>
      <c r="Q715" s="198"/>
      <c r="R715" s="198"/>
      <c r="S715" s="198"/>
      <c r="T715" s="198"/>
      <c r="U715" s="198"/>
      <c r="V715" s="198"/>
      <c r="W715" s="198"/>
      <c r="X715" s="198"/>
      <c r="Y715" s="198"/>
      <c r="Z715" s="198"/>
    </row>
    <row r="716" spans="1:26" ht="15.75" hidden="1" customHeight="1" x14ac:dyDescent="0.25">
      <c r="A716" s="213">
        <v>5090</v>
      </c>
      <c r="B716" s="214" t="s">
        <v>9206</v>
      </c>
      <c r="C716" s="215" t="s">
        <v>580</v>
      </c>
      <c r="D716" s="216">
        <v>19.5</v>
      </c>
      <c r="E716" s="198"/>
      <c r="F716" s="198"/>
      <c r="G716" s="198"/>
      <c r="H716" s="198"/>
      <c r="I716" s="198"/>
      <c r="J716" s="198"/>
      <c r="K716" s="198"/>
      <c r="L716" s="198"/>
      <c r="M716" s="198"/>
      <c r="N716" s="198"/>
      <c r="O716" s="198"/>
      <c r="P716" s="198"/>
      <c r="Q716" s="198"/>
      <c r="R716" s="198"/>
      <c r="S716" s="198"/>
      <c r="T716" s="198"/>
      <c r="U716" s="198"/>
      <c r="V716" s="198"/>
      <c r="W716" s="198"/>
      <c r="X716" s="198"/>
      <c r="Y716" s="198"/>
      <c r="Z716" s="198"/>
    </row>
    <row r="717" spans="1:26" ht="15.75" hidden="1" customHeight="1" x14ac:dyDescent="0.25">
      <c r="A717" s="213">
        <v>5085</v>
      </c>
      <c r="B717" s="214" t="s">
        <v>9207</v>
      </c>
      <c r="C717" s="215" t="s">
        <v>580</v>
      </c>
      <c r="D717" s="216">
        <v>29.03</v>
      </c>
      <c r="E717" s="198"/>
      <c r="F717" s="198"/>
      <c r="G717" s="198"/>
      <c r="H717" s="198"/>
      <c r="I717" s="198"/>
      <c r="J717" s="198"/>
      <c r="K717" s="198"/>
      <c r="L717" s="198"/>
      <c r="M717" s="198"/>
      <c r="N717" s="198"/>
      <c r="O717" s="198"/>
      <c r="P717" s="198"/>
      <c r="Q717" s="198"/>
      <c r="R717" s="198"/>
      <c r="S717" s="198"/>
      <c r="T717" s="198"/>
      <c r="U717" s="198"/>
      <c r="V717" s="198"/>
      <c r="W717" s="198"/>
      <c r="X717" s="198"/>
      <c r="Y717" s="198"/>
      <c r="Z717" s="198"/>
    </row>
    <row r="718" spans="1:26" ht="15.75" hidden="1" customHeight="1" x14ac:dyDescent="0.25">
      <c r="A718" s="213">
        <v>43603</v>
      </c>
      <c r="B718" s="214" t="s">
        <v>9208</v>
      </c>
      <c r="C718" s="215" t="s">
        <v>580</v>
      </c>
      <c r="D718" s="216">
        <v>41.47</v>
      </c>
      <c r="E718" s="198"/>
      <c r="F718" s="198"/>
      <c r="G718" s="198"/>
      <c r="H718" s="198"/>
      <c r="I718" s="198"/>
      <c r="J718" s="198"/>
      <c r="K718" s="198"/>
      <c r="L718" s="198"/>
      <c r="M718" s="198"/>
      <c r="N718" s="198"/>
      <c r="O718" s="198"/>
      <c r="P718" s="198"/>
      <c r="Q718" s="198"/>
      <c r="R718" s="198"/>
      <c r="S718" s="198"/>
      <c r="T718" s="198"/>
      <c r="U718" s="198"/>
      <c r="V718" s="198"/>
      <c r="W718" s="198"/>
      <c r="X718" s="198"/>
      <c r="Y718" s="198"/>
      <c r="Z718" s="198"/>
    </row>
    <row r="719" spans="1:26" ht="15.75" hidden="1" customHeight="1" x14ac:dyDescent="0.25">
      <c r="A719" s="213">
        <v>38374</v>
      </c>
      <c r="B719" s="214" t="s">
        <v>9209</v>
      </c>
      <c r="C719" s="215" t="s">
        <v>580</v>
      </c>
      <c r="D719" s="216">
        <v>1147.9000000000001</v>
      </c>
      <c r="E719" s="198"/>
      <c r="F719" s="198"/>
      <c r="G719" s="198"/>
      <c r="H719" s="198"/>
      <c r="I719" s="198"/>
      <c r="J719" s="198"/>
      <c r="K719" s="198"/>
      <c r="L719" s="198"/>
      <c r="M719" s="198"/>
      <c r="N719" s="198"/>
      <c r="O719" s="198"/>
      <c r="P719" s="198"/>
      <c r="Q719" s="198"/>
      <c r="R719" s="198"/>
      <c r="S719" s="198"/>
      <c r="T719" s="198"/>
      <c r="U719" s="198"/>
      <c r="V719" s="198"/>
      <c r="W719" s="198"/>
      <c r="X719" s="198"/>
      <c r="Y719" s="198"/>
      <c r="Z719" s="198"/>
    </row>
    <row r="720" spans="1:26" ht="15.75" hidden="1" customHeight="1" x14ac:dyDescent="0.25">
      <c r="A720" s="213">
        <v>4513</v>
      </c>
      <c r="B720" s="214" t="s">
        <v>9210</v>
      </c>
      <c r="C720" s="215" t="s">
        <v>585</v>
      </c>
      <c r="D720" s="216">
        <v>4.92</v>
      </c>
      <c r="E720" s="198"/>
      <c r="F720" s="198"/>
      <c r="G720" s="198"/>
      <c r="H720" s="198"/>
      <c r="I720" s="198"/>
      <c r="J720" s="198"/>
      <c r="K720" s="198"/>
      <c r="L720" s="198"/>
      <c r="M720" s="198"/>
      <c r="N720" s="198"/>
      <c r="O720" s="198"/>
      <c r="P720" s="198"/>
      <c r="Q720" s="198"/>
      <c r="R720" s="198"/>
      <c r="S720" s="198"/>
      <c r="T720" s="198"/>
      <c r="U720" s="198"/>
      <c r="V720" s="198"/>
      <c r="W720" s="198"/>
      <c r="X720" s="198"/>
      <c r="Y720" s="198"/>
      <c r="Z720" s="198"/>
    </row>
    <row r="721" spans="1:26" ht="15.75" hidden="1" customHeight="1" x14ac:dyDescent="0.25">
      <c r="A721" s="213">
        <v>20212</v>
      </c>
      <c r="B721" s="214" t="s">
        <v>9211</v>
      </c>
      <c r="C721" s="215" t="s">
        <v>585</v>
      </c>
      <c r="D721" s="216">
        <v>26.3</v>
      </c>
      <c r="E721" s="198"/>
      <c r="F721" s="198"/>
      <c r="G721" s="198"/>
      <c r="H721" s="198"/>
      <c r="I721" s="198"/>
      <c r="J721" s="198"/>
      <c r="K721" s="198"/>
      <c r="L721" s="198"/>
      <c r="M721" s="198"/>
      <c r="N721" s="198"/>
      <c r="O721" s="198"/>
      <c r="P721" s="198"/>
      <c r="Q721" s="198"/>
      <c r="R721" s="198"/>
      <c r="S721" s="198"/>
      <c r="T721" s="198"/>
      <c r="U721" s="198"/>
      <c r="V721" s="198"/>
      <c r="W721" s="198"/>
      <c r="X721" s="198"/>
      <c r="Y721" s="198"/>
      <c r="Z721" s="198"/>
    </row>
    <row r="722" spans="1:26" ht="15.75" hidden="1" customHeight="1" x14ac:dyDescent="0.25">
      <c r="A722" s="213">
        <v>20209</v>
      </c>
      <c r="B722" s="214" t="s">
        <v>9212</v>
      </c>
      <c r="C722" s="215" t="s">
        <v>585</v>
      </c>
      <c r="D722" s="216">
        <v>31.41</v>
      </c>
      <c r="E722" s="198"/>
      <c r="F722" s="198"/>
      <c r="G722" s="198"/>
      <c r="H722" s="198"/>
      <c r="I722" s="198"/>
      <c r="J722" s="198"/>
      <c r="K722" s="198"/>
      <c r="L722" s="198"/>
      <c r="M722" s="198"/>
      <c r="N722" s="198"/>
      <c r="O722" s="198"/>
      <c r="P722" s="198"/>
      <c r="Q722" s="198"/>
      <c r="R722" s="198"/>
      <c r="S722" s="198"/>
      <c r="T722" s="198"/>
      <c r="U722" s="198"/>
      <c r="V722" s="198"/>
      <c r="W722" s="198"/>
      <c r="X722" s="198"/>
      <c r="Y722" s="198"/>
      <c r="Z722" s="198"/>
    </row>
    <row r="723" spans="1:26" ht="15.75" hidden="1" customHeight="1" x14ac:dyDescent="0.25">
      <c r="A723" s="213">
        <v>4430</v>
      </c>
      <c r="B723" s="214" t="s">
        <v>9213</v>
      </c>
      <c r="C723" s="215" t="s">
        <v>585</v>
      </c>
      <c r="D723" s="216">
        <v>15.39</v>
      </c>
      <c r="E723" s="198"/>
      <c r="F723" s="198"/>
      <c r="G723" s="198"/>
      <c r="H723" s="198"/>
      <c r="I723" s="198"/>
      <c r="J723" s="198"/>
      <c r="K723" s="198"/>
      <c r="L723" s="198"/>
      <c r="M723" s="198"/>
      <c r="N723" s="198"/>
      <c r="O723" s="198"/>
      <c r="P723" s="198"/>
      <c r="Q723" s="198"/>
      <c r="R723" s="198"/>
      <c r="S723" s="198"/>
      <c r="T723" s="198"/>
      <c r="U723" s="198"/>
      <c r="V723" s="198"/>
      <c r="W723" s="198"/>
      <c r="X723" s="198"/>
      <c r="Y723" s="198"/>
      <c r="Z723" s="198"/>
    </row>
    <row r="724" spans="1:26" ht="15.75" hidden="1" customHeight="1" x14ac:dyDescent="0.25">
      <c r="A724" s="213">
        <v>4433</v>
      </c>
      <c r="B724" s="214" t="s">
        <v>9214</v>
      </c>
      <c r="C724" s="215" t="s">
        <v>585</v>
      </c>
      <c r="D724" s="216">
        <v>30.09</v>
      </c>
      <c r="E724" s="198"/>
      <c r="F724" s="198"/>
      <c r="G724" s="198"/>
      <c r="H724" s="198"/>
      <c r="I724" s="198"/>
      <c r="J724" s="198"/>
      <c r="K724" s="198"/>
      <c r="L724" s="198"/>
      <c r="M724" s="198"/>
      <c r="N724" s="198"/>
      <c r="O724" s="198"/>
      <c r="P724" s="198"/>
      <c r="Q724" s="198"/>
      <c r="R724" s="198"/>
      <c r="S724" s="198"/>
      <c r="T724" s="198"/>
      <c r="U724" s="198"/>
      <c r="V724" s="198"/>
      <c r="W724" s="198"/>
      <c r="X724" s="198"/>
      <c r="Y724" s="198"/>
      <c r="Z724" s="198"/>
    </row>
    <row r="725" spans="1:26" ht="15.75" hidden="1" customHeight="1" x14ac:dyDescent="0.25">
      <c r="A725" s="213">
        <v>4400</v>
      </c>
      <c r="B725" s="214" t="s">
        <v>9215</v>
      </c>
      <c r="C725" s="215" t="s">
        <v>585</v>
      </c>
      <c r="D725" s="216">
        <v>24.49</v>
      </c>
      <c r="E725" s="198"/>
      <c r="F725" s="198"/>
      <c r="G725" s="198"/>
      <c r="H725" s="198"/>
      <c r="I725" s="198"/>
      <c r="J725" s="198"/>
      <c r="K725" s="198"/>
      <c r="L725" s="198"/>
      <c r="M725" s="198"/>
      <c r="N725" s="198"/>
      <c r="O725" s="198"/>
      <c r="P725" s="198"/>
      <c r="Q725" s="198"/>
      <c r="R725" s="198"/>
      <c r="S725" s="198"/>
      <c r="T725" s="198"/>
      <c r="U725" s="198"/>
      <c r="V725" s="198"/>
      <c r="W725" s="198"/>
      <c r="X725" s="198"/>
      <c r="Y725" s="198"/>
      <c r="Z725" s="198"/>
    </row>
    <row r="726" spans="1:26" ht="15.75" hidden="1" customHeight="1" x14ac:dyDescent="0.25">
      <c r="A726" s="213">
        <v>2729</v>
      </c>
      <c r="B726" s="214" t="s">
        <v>9216</v>
      </c>
      <c r="C726" s="215" t="s">
        <v>580</v>
      </c>
      <c r="D726" s="216">
        <v>37.43</v>
      </c>
      <c r="E726" s="198"/>
      <c r="F726" s="198"/>
      <c r="G726" s="198"/>
      <c r="H726" s="198"/>
      <c r="I726" s="198"/>
      <c r="J726" s="198"/>
      <c r="K726" s="198"/>
      <c r="L726" s="198"/>
      <c r="M726" s="198"/>
      <c r="N726" s="198"/>
      <c r="O726" s="198"/>
      <c r="P726" s="198"/>
      <c r="Q726" s="198"/>
      <c r="R726" s="198"/>
      <c r="S726" s="198"/>
      <c r="T726" s="198"/>
      <c r="U726" s="198"/>
      <c r="V726" s="198"/>
      <c r="W726" s="198"/>
      <c r="X726" s="198"/>
      <c r="Y726" s="198"/>
      <c r="Z726" s="198"/>
    </row>
    <row r="727" spans="1:26" ht="15.75" hidden="1" customHeight="1" x14ac:dyDescent="0.25">
      <c r="A727" s="213">
        <v>37106</v>
      </c>
      <c r="B727" s="214" t="s">
        <v>9217</v>
      </c>
      <c r="C727" s="215" t="s">
        <v>580</v>
      </c>
      <c r="D727" s="216">
        <v>5417.37</v>
      </c>
      <c r="E727" s="198"/>
      <c r="F727" s="198"/>
      <c r="G727" s="198"/>
      <c r="H727" s="198"/>
      <c r="I727" s="198"/>
      <c r="J727" s="198"/>
      <c r="K727" s="198"/>
      <c r="L727" s="198"/>
      <c r="M727" s="198"/>
      <c r="N727" s="198"/>
      <c r="O727" s="198"/>
      <c r="P727" s="198"/>
      <c r="Q727" s="198"/>
      <c r="R727" s="198"/>
      <c r="S727" s="198"/>
      <c r="T727" s="198"/>
      <c r="U727" s="198"/>
      <c r="V727" s="198"/>
      <c r="W727" s="198"/>
      <c r="X727" s="198"/>
      <c r="Y727" s="198"/>
      <c r="Z727" s="198"/>
    </row>
    <row r="728" spans="1:26" ht="15.75" hidden="1" customHeight="1" x14ac:dyDescent="0.25">
      <c r="A728" s="213">
        <v>11869</v>
      </c>
      <c r="B728" s="214" t="s">
        <v>9218</v>
      </c>
      <c r="C728" s="215" t="s">
        <v>580</v>
      </c>
      <c r="D728" s="216">
        <v>1083.47</v>
      </c>
      <c r="E728" s="198"/>
      <c r="F728" s="198"/>
      <c r="G728" s="198"/>
      <c r="H728" s="198"/>
      <c r="I728" s="198"/>
      <c r="J728" s="198"/>
      <c r="K728" s="198"/>
      <c r="L728" s="198"/>
      <c r="M728" s="198"/>
      <c r="N728" s="198"/>
      <c r="O728" s="198"/>
      <c r="P728" s="198"/>
      <c r="Q728" s="198"/>
      <c r="R728" s="198"/>
      <c r="S728" s="198"/>
      <c r="T728" s="198"/>
      <c r="U728" s="198"/>
      <c r="V728" s="198"/>
      <c r="W728" s="198"/>
      <c r="X728" s="198"/>
      <c r="Y728" s="198"/>
      <c r="Z728" s="198"/>
    </row>
    <row r="729" spans="1:26" ht="15.75" hidden="1" customHeight="1" x14ac:dyDescent="0.25">
      <c r="A729" s="213">
        <v>43981</v>
      </c>
      <c r="B729" s="214" t="s">
        <v>9219</v>
      </c>
      <c r="C729" s="215" t="s">
        <v>580</v>
      </c>
      <c r="D729" s="216">
        <v>8163.93</v>
      </c>
      <c r="E729" s="198"/>
      <c r="F729" s="198"/>
      <c r="G729" s="198"/>
      <c r="H729" s="198"/>
      <c r="I729" s="198"/>
      <c r="J729" s="198"/>
      <c r="K729" s="198"/>
      <c r="L729" s="198"/>
      <c r="M729" s="198"/>
      <c r="N729" s="198"/>
      <c r="O729" s="198"/>
      <c r="P729" s="198"/>
      <c r="Q729" s="198"/>
      <c r="R729" s="198"/>
      <c r="S729" s="198"/>
      <c r="T729" s="198"/>
      <c r="U729" s="198"/>
      <c r="V729" s="198"/>
      <c r="W729" s="198"/>
      <c r="X729" s="198"/>
      <c r="Y729" s="198"/>
      <c r="Z729" s="198"/>
    </row>
    <row r="730" spans="1:26" ht="15.75" hidden="1" customHeight="1" x14ac:dyDescent="0.25">
      <c r="A730" s="213">
        <v>37104</v>
      </c>
      <c r="B730" s="214" t="s">
        <v>9220</v>
      </c>
      <c r="C730" s="215" t="s">
        <v>580</v>
      </c>
      <c r="D730" s="216">
        <v>1359.78</v>
      </c>
      <c r="E730" s="198"/>
      <c r="F730" s="198"/>
      <c r="G730" s="198"/>
      <c r="H730" s="198"/>
      <c r="I730" s="198"/>
      <c r="J730" s="198"/>
      <c r="K730" s="198"/>
      <c r="L730" s="198"/>
      <c r="M730" s="198"/>
      <c r="N730" s="198"/>
      <c r="O730" s="198"/>
      <c r="P730" s="198"/>
      <c r="Q730" s="198"/>
      <c r="R730" s="198"/>
      <c r="S730" s="198"/>
      <c r="T730" s="198"/>
      <c r="U730" s="198"/>
      <c r="V730" s="198"/>
      <c r="W730" s="198"/>
      <c r="X730" s="198"/>
      <c r="Y730" s="198"/>
      <c r="Z730" s="198"/>
    </row>
    <row r="731" spans="1:26" ht="15.75" hidden="1" customHeight="1" x14ac:dyDescent="0.25">
      <c r="A731" s="213">
        <v>43982</v>
      </c>
      <c r="B731" s="214" t="s">
        <v>9221</v>
      </c>
      <c r="C731" s="215" t="s">
        <v>580</v>
      </c>
      <c r="D731" s="216">
        <v>12896.96</v>
      </c>
      <c r="E731" s="198"/>
      <c r="F731" s="198"/>
      <c r="G731" s="198"/>
      <c r="H731" s="198"/>
      <c r="I731" s="198"/>
      <c r="J731" s="198"/>
      <c r="K731" s="198"/>
      <c r="L731" s="198"/>
      <c r="M731" s="198"/>
      <c r="N731" s="198"/>
      <c r="O731" s="198"/>
      <c r="P731" s="198"/>
      <c r="Q731" s="198"/>
      <c r="R731" s="198"/>
      <c r="S731" s="198"/>
      <c r="T731" s="198"/>
      <c r="U731" s="198"/>
      <c r="V731" s="198"/>
      <c r="W731" s="198"/>
      <c r="X731" s="198"/>
      <c r="Y731" s="198"/>
      <c r="Z731" s="198"/>
    </row>
    <row r="732" spans="1:26" ht="15.75" hidden="1" customHeight="1" x14ac:dyDescent="0.25">
      <c r="A732" s="213">
        <v>43978</v>
      </c>
      <c r="B732" s="214" t="s">
        <v>9222</v>
      </c>
      <c r="C732" s="215" t="s">
        <v>580</v>
      </c>
      <c r="D732" s="216">
        <v>2015.17</v>
      </c>
      <c r="E732" s="198"/>
      <c r="F732" s="198"/>
      <c r="G732" s="198"/>
      <c r="H732" s="198"/>
      <c r="I732" s="198"/>
      <c r="J732" s="198"/>
      <c r="K732" s="198"/>
      <c r="L732" s="198"/>
      <c r="M732" s="198"/>
      <c r="N732" s="198"/>
      <c r="O732" s="198"/>
      <c r="P732" s="198"/>
      <c r="Q732" s="198"/>
      <c r="R732" s="198"/>
      <c r="S732" s="198"/>
      <c r="T732" s="198"/>
      <c r="U732" s="198"/>
      <c r="V732" s="198"/>
      <c r="W732" s="198"/>
      <c r="X732" s="198"/>
      <c r="Y732" s="198"/>
      <c r="Z732" s="198"/>
    </row>
    <row r="733" spans="1:26" ht="15.75" hidden="1" customHeight="1" x14ac:dyDescent="0.25">
      <c r="A733" s="213">
        <v>11871</v>
      </c>
      <c r="B733" s="214" t="s">
        <v>9223</v>
      </c>
      <c r="C733" s="215" t="s">
        <v>580</v>
      </c>
      <c r="D733" s="216">
        <v>505.06</v>
      </c>
      <c r="E733" s="198"/>
      <c r="F733" s="198"/>
      <c r="G733" s="198"/>
      <c r="H733" s="198"/>
      <c r="I733" s="198"/>
      <c r="J733" s="198"/>
      <c r="K733" s="198"/>
      <c r="L733" s="198"/>
      <c r="M733" s="198"/>
      <c r="N733" s="198"/>
      <c r="O733" s="198"/>
      <c r="P733" s="198"/>
      <c r="Q733" s="198"/>
      <c r="R733" s="198"/>
      <c r="S733" s="198"/>
      <c r="T733" s="198"/>
      <c r="U733" s="198"/>
      <c r="V733" s="198"/>
      <c r="W733" s="198"/>
      <c r="X733" s="198"/>
      <c r="Y733" s="198"/>
      <c r="Z733" s="198"/>
    </row>
    <row r="734" spans="1:26" ht="15.75" hidden="1" customHeight="1" x14ac:dyDescent="0.25">
      <c r="A734" s="213">
        <v>37105</v>
      </c>
      <c r="B734" s="214" t="s">
        <v>9224</v>
      </c>
      <c r="C734" s="215" t="s">
        <v>580</v>
      </c>
      <c r="D734" s="216">
        <v>3107.62</v>
      </c>
      <c r="E734" s="198"/>
      <c r="F734" s="198"/>
      <c r="G734" s="198"/>
      <c r="H734" s="198"/>
      <c r="I734" s="198"/>
      <c r="J734" s="198"/>
      <c r="K734" s="198"/>
      <c r="L734" s="198"/>
      <c r="M734" s="198"/>
      <c r="N734" s="198"/>
      <c r="O734" s="198"/>
      <c r="P734" s="198"/>
      <c r="Q734" s="198"/>
      <c r="R734" s="198"/>
      <c r="S734" s="198"/>
      <c r="T734" s="198"/>
      <c r="U734" s="198"/>
      <c r="V734" s="198"/>
      <c r="W734" s="198"/>
      <c r="X734" s="198"/>
      <c r="Y734" s="198"/>
      <c r="Z734" s="198"/>
    </row>
    <row r="735" spans="1:26" ht="15.75" hidden="1" customHeight="1" x14ac:dyDescent="0.25">
      <c r="A735" s="213">
        <v>43980</v>
      </c>
      <c r="B735" s="214" t="s">
        <v>9225</v>
      </c>
      <c r="C735" s="215" t="s">
        <v>580</v>
      </c>
      <c r="D735" s="216">
        <v>3870.21</v>
      </c>
      <c r="E735" s="198"/>
      <c r="F735" s="198"/>
      <c r="G735" s="198"/>
      <c r="H735" s="198"/>
      <c r="I735" s="198"/>
      <c r="J735" s="198"/>
      <c r="K735" s="198"/>
      <c r="L735" s="198"/>
      <c r="M735" s="198"/>
      <c r="N735" s="198"/>
      <c r="O735" s="198"/>
      <c r="P735" s="198"/>
      <c r="Q735" s="198"/>
      <c r="R735" s="198"/>
      <c r="S735" s="198"/>
      <c r="T735" s="198"/>
      <c r="U735" s="198"/>
      <c r="V735" s="198"/>
      <c r="W735" s="198"/>
      <c r="X735" s="198"/>
      <c r="Y735" s="198"/>
      <c r="Z735" s="198"/>
    </row>
    <row r="736" spans="1:26" ht="15.75" hidden="1" customHeight="1" x14ac:dyDescent="0.25">
      <c r="A736" s="213">
        <v>43979</v>
      </c>
      <c r="B736" s="214" t="s">
        <v>9226</v>
      </c>
      <c r="C736" s="215" t="s">
        <v>580</v>
      </c>
      <c r="D736" s="216">
        <v>727.17</v>
      </c>
      <c r="E736" s="198"/>
      <c r="F736" s="198"/>
      <c r="G736" s="198"/>
      <c r="H736" s="198"/>
      <c r="I736" s="198"/>
      <c r="J736" s="198"/>
      <c r="K736" s="198"/>
      <c r="L736" s="198"/>
      <c r="M736" s="198"/>
      <c r="N736" s="198"/>
      <c r="O736" s="198"/>
      <c r="P736" s="198"/>
      <c r="Q736" s="198"/>
      <c r="R736" s="198"/>
      <c r="S736" s="198"/>
      <c r="T736" s="198"/>
      <c r="U736" s="198"/>
      <c r="V736" s="198"/>
      <c r="W736" s="198"/>
      <c r="X736" s="198"/>
      <c r="Y736" s="198"/>
      <c r="Z736" s="198"/>
    </row>
    <row r="737" spans="1:26" ht="15.75" hidden="1" customHeight="1" x14ac:dyDescent="0.25">
      <c r="A737" s="213">
        <v>11868</v>
      </c>
      <c r="B737" s="214" t="s">
        <v>9227</v>
      </c>
      <c r="C737" s="215" t="s">
        <v>580</v>
      </c>
      <c r="D737" s="216">
        <v>703.25</v>
      </c>
      <c r="E737" s="198"/>
      <c r="F737" s="198"/>
      <c r="G737" s="198"/>
      <c r="H737" s="198"/>
      <c r="I737" s="198"/>
      <c r="J737" s="198"/>
      <c r="K737" s="198"/>
      <c r="L737" s="198"/>
      <c r="M737" s="198"/>
      <c r="N737" s="198"/>
      <c r="O737" s="198"/>
      <c r="P737" s="198"/>
      <c r="Q737" s="198"/>
      <c r="R737" s="198"/>
      <c r="S737" s="198"/>
      <c r="T737" s="198"/>
      <c r="U737" s="198"/>
      <c r="V737" s="198"/>
      <c r="W737" s="198"/>
      <c r="X737" s="198"/>
      <c r="Y737" s="198"/>
      <c r="Z737" s="198"/>
    </row>
    <row r="738" spans="1:26" ht="15.75" hidden="1" customHeight="1" x14ac:dyDescent="0.25">
      <c r="A738" s="213">
        <v>34636</v>
      </c>
      <c r="B738" s="214" t="s">
        <v>9228</v>
      </c>
      <c r="C738" s="215" t="s">
        <v>580</v>
      </c>
      <c r="D738" s="216">
        <v>499.4</v>
      </c>
      <c r="E738" s="198"/>
      <c r="F738" s="198"/>
      <c r="G738" s="198"/>
      <c r="H738" s="198"/>
      <c r="I738" s="198"/>
      <c r="J738" s="198"/>
      <c r="K738" s="198"/>
      <c r="L738" s="198"/>
      <c r="M738" s="198"/>
      <c r="N738" s="198"/>
      <c r="O738" s="198"/>
      <c r="P738" s="198"/>
      <c r="Q738" s="198"/>
      <c r="R738" s="198"/>
      <c r="S738" s="198"/>
      <c r="T738" s="198"/>
      <c r="U738" s="198"/>
      <c r="V738" s="198"/>
      <c r="W738" s="198"/>
      <c r="X738" s="198"/>
      <c r="Y738" s="198"/>
      <c r="Z738" s="198"/>
    </row>
    <row r="739" spans="1:26" ht="15.75" hidden="1" customHeight="1" x14ac:dyDescent="0.25">
      <c r="A739" s="213">
        <v>34639</v>
      </c>
      <c r="B739" s="214" t="s">
        <v>9229</v>
      </c>
      <c r="C739" s="215" t="s">
        <v>580</v>
      </c>
      <c r="D739" s="216">
        <v>1152.7</v>
      </c>
      <c r="E739" s="198"/>
      <c r="F739" s="198"/>
      <c r="G739" s="198"/>
      <c r="H739" s="198"/>
      <c r="I739" s="198"/>
      <c r="J739" s="198"/>
      <c r="K739" s="198"/>
      <c r="L739" s="198"/>
      <c r="M739" s="198"/>
      <c r="N739" s="198"/>
      <c r="O739" s="198"/>
      <c r="P739" s="198"/>
      <c r="Q739" s="198"/>
      <c r="R739" s="198"/>
      <c r="S739" s="198"/>
      <c r="T739" s="198"/>
      <c r="U739" s="198"/>
      <c r="V739" s="198"/>
      <c r="W739" s="198"/>
      <c r="X739" s="198"/>
      <c r="Y739" s="198"/>
      <c r="Z739" s="198"/>
    </row>
    <row r="740" spans="1:26" ht="15.75" hidden="1" customHeight="1" x14ac:dyDescent="0.25">
      <c r="A740" s="213">
        <v>34640</v>
      </c>
      <c r="B740" s="214" t="s">
        <v>9230</v>
      </c>
      <c r="C740" s="215" t="s">
        <v>580</v>
      </c>
      <c r="D740" s="216">
        <v>1307.56</v>
      </c>
      <c r="E740" s="198"/>
      <c r="F740" s="198"/>
      <c r="G740" s="198"/>
      <c r="H740" s="198"/>
      <c r="I740" s="198"/>
      <c r="J740" s="198"/>
      <c r="K740" s="198"/>
      <c r="L740" s="198"/>
      <c r="M740" s="198"/>
      <c r="N740" s="198"/>
      <c r="O740" s="198"/>
      <c r="P740" s="198"/>
      <c r="Q740" s="198"/>
      <c r="R740" s="198"/>
      <c r="S740" s="198"/>
      <c r="T740" s="198"/>
      <c r="U740" s="198"/>
      <c r="V740" s="198"/>
      <c r="W740" s="198"/>
      <c r="X740" s="198"/>
      <c r="Y740" s="198"/>
      <c r="Z740" s="198"/>
    </row>
    <row r="741" spans="1:26" ht="15.75" hidden="1" customHeight="1" x14ac:dyDescent="0.25">
      <c r="A741" s="213">
        <v>43977</v>
      </c>
      <c r="B741" s="214" t="s">
        <v>9231</v>
      </c>
      <c r="C741" s="215" t="s">
        <v>580</v>
      </c>
      <c r="D741" s="216">
        <v>2254.16</v>
      </c>
      <c r="E741" s="198"/>
      <c r="F741" s="198"/>
      <c r="G741" s="198"/>
      <c r="H741" s="198"/>
      <c r="I741" s="198"/>
      <c r="J741" s="198"/>
      <c r="K741" s="198"/>
      <c r="L741" s="198"/>
      <c r="M741" s="198"/>
      <c r="N741" s="198"/>
      <c r="O741" s="198"/>
      <c r="P741" s="198"/>
      <c r="Q741" s="198"/>
      <c r="R741" s="198"/>
      <c r="S741" s="198"/>
      <c r="T741" s="198"/>
      <c r="U741" s="198"/>
      <c r="V741" s="198"/>
      <c r="W741" s="198"/>
      <c r="X741" s="198"/>
      <c r="Y741" s="198"/>
      <c r="Z741" s="198"/>
    </row>
    <row r="742" spans="1:26" ht="15.75" hidden="1" customHeight="1" x14ac:dyDescent="0.25">
      <c r="A742" s="213">
        <v>34637</v>
      </c>
      <c r="B742" s="214" t="s">
        <v>9232</v>
      </c>
      <c r="C742" s="215" t="s">
        <v>580</v>
      </c>
      <c r="D742" s="216">
        <v>302.01</v>
      </c>
      <c r="E742" s="198"/>
      <c r="F742" s="198"/>
      <c r="G742" s="198"/>
      <c r="H742" s="198"/>
      <c r="I742" s="198"/>
      <c r="J742" s="198"/>
      <c r="K742" s="198"/>
      <c r="L742" s="198"/>
      <c r="M742" s="198"/>
      <c r="N742" s="198"/>
      <c r="O742" s="198"/>
      <c r="P742" s="198"/>
      <c r="Q742" s="198"/>
      <c r="R742" s="198"/>
      <c r="S742" s="198"/>
      <c r="T742" s="198"/>
      <c r="U742" s="198"/>
      <c r="V742" s="198"/>
      <c r="W742" s="198"/>
      <c r="X742" s="198"/>
      <c r="Y742" s="198"/>
      <c r="Z742" s="198"/>
    </row>
    <row r="743" spans="1:26" ht="15.75" hidden="1" customHeight="1" x14ac:dyDescent="0.25">
      <c r="A743" s="213">
        <v>34638</v>
      </c>
      <c r="B743" s="214" t="s">
        <v>9233</v>
      </c>
      <c r="C743" s="215" t="s">
        <v>580</v>
      </c>
      <c r="D743" s="216">
        <v>467.15</v>
      </c>
      <c r="E743" s="198"/>
      <c r="F743" s="198"/>
      <c r="G743" s="198"/>
      <c r="H743" s="198"/>
      <c r="I743" s="198"/>
      <c r="J743" s="198"/>
      <c r="K743" s="198"/>
      <c r="L743" s="198"/>
      <c r="M743" s="198"/>
      <c r="N743" s="198"/>
      <c r="O743" s="198"/>
      <c r="P743" s="198"/>
      <c r="Q743" s="198"/>
      <c r="R743" s="198"/>
      <c r="S743" s="198"/>
      <c r="T743" s="198"/>
      <c r="U743" s="198"/>
      <c r="V743" s="198"/>
      <c r="W743" s="198"/>
      <c r="X743" s="198"/>
      <c r="Y743" s="198"/>
      <c r="Z743" s="198"/>
    </row>
    <row r="744" spans="1:26" ht="15.75" hidden="1" customHeight="1" x14ac:dyDescent="0.25">
      <c r="A744" s="213">
        <v>43094</v>
      </c>
      <c r="B744" s="214" t="s">
        <v>9234</v>
      </c>
      <c r="C744" s="215" t="s">
        <v>580</v>
      </c>
      <c r="D744" s="216">
        <v>400.73</v>
      </c>
      <c r="E744" s="198"/>
      <c r="F744" s="198"/>
      <c r="G744" s="198"/>
      <c r="H744" s="198"/>
      <c r="I744" s="198"/>
      <c r="J744" s="198"/>
      <c r="K744" s="198"/>
      <c r="L744" s="198"/>
      <c r="M744" s="198"/>
      <c r="N744" s="198"/>
      <c r="O744" s="198"/>
      <c r="P744" s="198"/>
      <c r="Q744" s="198"/>
      <c r="R744" s="198"/>
      <c r="S744" s="198"/>
      <c r="T744" s="198"/>
      <c r="U744" s="198"/>
      <c r="V744" s="198"/>
      <c r="W744" s="198"/>
      <c r="X744" s="198"/>
      <c r="Y744" s="198"/>
      <c r="Z744" s="198"/>
    </row>
    <row r="745" spans="1:26" ht="15.75" hidden="1" customHeight="1" x14ac:dyDescent="0.25">
      <c r="A745" s="213">
        <v>43093</v>
      </c>
      <c r="B745" s="214" t="s">
        <v>9235</v>
      </c>
      <c r="C745" s="215" t="s">
        <v>580</v>
      </c>
      <c r="D745" s="216">
        <v>425.85</v>
      </c>
      <c r="E745" s="198"/>
      <c r="F745" s="198"/>
      <c r="G745" s="198"/>
      <c r="H745" s="198"/>
      <c r="I745" s="198"/>
      <c r="J745" s="198"/>
      <c r="K745" s="198"/>
      <c r="L745" s="198"/>
      <c r="M745" s="198"/>
      <c r="N745" s="198"/>
      <c r="O745" s="198"/>
      <c r="P745" s="198"/>
      <c r="Q745" s="198"/>
      <c r="R745" s="198"/>
      <c r="S745" s="198"/>
      <c r="T745" s="198"/>
      <c r="U745" s="198"/>
      <c r="V745" s="198"/>
      <c r="W745" s="198"/>
      <c r="X745" s="198"/>
      <c r="Y745" s="198"/>
      <c r="Z745" s="198"/>
    </row>
    <row r="746" spans="1:26" ht="15.75" hidden="1" customHeight="1" x14ac:dyDescent="0.25">
      <c r="A746" s="213">
        <v>11694</v>
      </c>
      <c r="B746" s="214" t="s">
        <v>9236</v>
      </c>
      <c r="C746" s="215" t="s">
        <v>580</v>
      </c>
      <c r="D746" s="216">
        <v>1065.03</v>
      </c>
      <c r="E746" s="198"/>
      <c r="F746" s="198"/>
      <c r="G746" s="198"/>
      <c r="H746" s="198"/>
      <c r="I746" s="198"/>
      <c r="J746" s="198"/>
      <c r="K746" s="198"/>
      <c r="L746" s="198"/>
      <c r="M746" s="198"/>
      <c r="N746" s="198"/>
      <c r="O746" s="198"/>
      <c r="P746" s="198"/>
      <c r="Q746" s="198"/>
      <c r="R746" s="198"/>
      <c r="S746" s="198"/>
      <c r="T746" s="198"/>
      <c r="U746" s="198"/>
      <c r="V746" s="198"/>
      <c r="W746" s="198"/>
      <c r="X746" s="198"/>
      <c r="Y746" s="198"/>
      <c r="Z746" s="198"/>
    </row>
    <row r="747" spans="1:26" ht="15.75" hidden="1" customHeight="1" x14ac:dyDescent="0.25">
      <c r="A747" s="213">
        <v>1030</v>
      </c>
      <c r="B747" s="214" t="s">
        <v>9237</v>
      </c>
      <c r="C747" s="215" t="s">
        <v>580</v>
      </c>
      <c r="D747" s="216">
        <v>48.18</v>
      </c>
      <c r="E747" s="198"/>
      <c r="F747" s="198"/>
      <c r="G747" s="198"/>
      <c r="H747" s="198"/>
      <c r="I747" s="198"/>
      <c r="J747" s="198"/>
      <c r="K747" s="198"/>
      <c r="L747" s="198"/>
      <c r="M747" s="198"/>
      <c r="N747" s="198"/>
      <c r="O747" s="198"/>
      <c r="P747" s="198"/>
      <c r="Q747" s="198"/>
      <c r="R747" s="198"/>
      <c r="S747" s="198"/>
      <c r="T747" s="198"/>
      <c r="U747" s="198"/>
      <c r="V747" s="198"/>
      <c r="W747" s="198"/>
      <c r="X747" s="198"/>
      <c r="Y747" s="198"/>
      <c r="Z747" s="198"/>
    </row>
    <row r="748" spans="1:26" ht="15.75" hidden="1" customHeight="1" x14ac:dyDescent="0.25">
      <c r="A748" s="213">
        <v>35277</v>
      </c>
      <c r="B748" s="214" t="s">
        <v>9238</v>
      </c>
      <c r="C748" s="215" t="s">
        <v>580</v>
      </c>
      <c r="D748" s="216">
        <v>365.8</v>
      </c>
      <c r="E748" s="198"/>
      <c r="F748" s="198"/>
      <c r="G748" s="198"/>
      <c r="H748" s="198"/>
      <c r="I748" s="198"/>
      <c r="J748" s="198"/>
      <c r="K748" s="198"/>
      <c r="L748" s="198"/>
      <c r="M748" s="198"/>
      <c r="N748" s="198"/>
      <c r="O748" s="198"/>
      <c r="P748" s="198"/>
      <c r="Q748" s="198"/>
      <c r="R748" s="198"/>
      <c r="S748" s="198"/>
      <c r="T748" s="198"/>
      <c r="U748" s="198"/>
      <c r="V748" s="198"/>
      <c r="W748" s="198"/>
      <c r="X748" s="198"/>
      <c r="Y748" s="198"/>
      <c r="Z748" s="198"/>
    </row>
    <row r="749" spans="1:26" ht="15.75" hidden="1" customHeight="1" x14ac:dyDescent="0.25">
      <c r="A749" s="213">
        <v>10521</v>
      </c>
      <c r="B749" s="214" t="s">
        <v>9239</v>
      </c>
      <c r="C749" s="215" t="s">
        <v>580</v>
      </c>
      <c r="D749" s="216">
        <v>448.63</v>
      </c>
      <c r="E749" s="198"/>
      <c r="F749" s="198"/>
      <c r="G749" s="198"/>
      <c r="H749" s="198"/>
      <c r="I749" s="198"/>
      <c r="J749" s="198"/>
      <c r="K749" s="198"/>
      <c r="L749" s="198"/>
      <c r="M749" s="198"/>
      <c r="N749" s="198"/>
      <c r="O749" s="198"/>
      <c r="P749" s="198"/>
      <c r="Q749" s="198"/>
      <c r="R749" s="198"/>
      <c r="S749" s="198"/>
      <c r="T749" s="198"/>
      <c r="U749" s="198"/>
      <c r="V749" s="198"/>
      <c r="W749" s="198"/>
      <c r="X749" s="198"/>
      <c r="Y749" s="198"/>
      <c r="Z749" s="198"/>
    </row>
    <row r="750" spans="1:26" ht="15.75" hidden="1" customHeight="1" x14ac:dyDescent="0.25">
      <c r="A750" s="213">
        <v>10885</v>
      </c>
      <c r="B750" s="214" t="s">
        <v>9240</v>
      </c>
      <c r="C750" s="215" t="s">
        <v>580</v>
      </c>
      <c r="D750" s="216">
        <v>567.47</v>
      </c>
      <c r="E750" s="198"/>
      <c r="F750" s="198"/>
      <c r="G750" s="198"/>
      <c r="H750" s="198"/>
      <c r="I750" s="198"/>
      <c r="J750" s="198"/>
      <c r="K750" s="198"/>
      <c r="L750" s="198"/>
      <c r="M750" s="198"/>
      <c r="N750" s="198"/>
      <c r="O750" s="198"/>
      <c r="P750" s="198"/>
      <c r="Q750" s="198"/>
      <c r="R750" s="198"/>
      <c r="S750" s="198"/>
      <c r="T750" s="198"/>
      <c r="U750" s="198"/>
      <c r="V750" s="198"/>
      <c r="W750" s="198"/>
      <c r="X750" s="198"/>
      <c r="Y750" s="198"/>
      <c r="Z750" s="198"/>
    </row>
    <row r="751" spans="1:26" ht="15.75" hidden="1" customHeight="1" x14ac:dyDescent="0.25">
      <c r="A751" s="213">
        <v>20962</v>
      </c>
      <c r="B751" s="214" t="s">
        <v>9241</v>
      </c>
      <c r="C751" s="215" t="s">
        <v>580</v>
      </c>
      <c r="D751" s="216">
        <v>470</v>
      </c>
      <c r="E751" s="198"/>
      <c r="F751" s="198"/>
      <c r="G751" s="198"/>
      <c r="H751" s="198"/>
      <c r="I751" s="198"/>
      <c r="J751" s="198"/>
      <c r="K751" s="198"/>
      <c r="L751" s="198"/>
      <c r="M751" s="198"/>
      <c r="N751" s="198"/>
      <c r="O751" s="198"/>
      <c r="P751" s="198"/>
      <c r="Q751" s="198"/>
      <c r="R751" s="198"/>
      <c r="S751" s="198"/>
      <c r="T751" s="198"/>
      <c r="U751" s="198"/>
      <c r="V751" s="198"/>
      <c r="W751" s="198"/>
      <c r="X751" s="198"/>
      <c r="Y751" s="198"/>
      <c r="Z751" s="198"/>
    </row>
    <row r="752" spans="1:26" ht="15.75" hidden="1" customHeight="1" x14ac:dyDescent="0.25">
      <c r="A752" s="213">
        <v>20963</v>
      </c>
      <c r="B752" s="214" t="s">
        <v>9242</v>
      </c>
      <c r="C752" s="215" t="s">
        <v>580</v>
      </c>
      <c r="D752" s="216">
        <v>574.14</v>
      </c>
      <c r="E752" s="198"/>
      <c r="F752" s="198"/>
      <c r="G752" s="198"/>
      <c r="H752" s="198"/>
      <c r="I752" s="198"/>
      <c r="J752" s="198"/>
      <c r="K752" s="198"/>
      <c r="L752" s="198"/>
      <c r="M752" s="198"/>
      <c r="N752" s="198"/>
      <c r="O752" s="198"/>
      <c r="P752" s="198"/>
      <c r="Q752" s="198"/>
      <c r="R752" s="198"/>
      <c r="S752" s="198"/>
      <c r="T752" s="198"/>
      <c r="U752" s="198"/>
      <c r="V752" s="198"/>
      <c r="W752" s="198"/>
      <c r="X752" s="198"/>
      <c r="Y752" s="198"/>
      <c r="Z752" s="198"/>
    </row>
    <row r="753" spans="1:26" ht="15.75" hidden="1" customHeight="1" x14ac:dyDescent="0.25">
      <c r="A753" s="213">
        <v>34643</v>
      </c>
      <c r="B753" s="214" t="s">
        <v>9243</v>
      </c>
      <c r="C753" s="215" t="s">
        <v>580</v>
      </c>
      <c r="D753" s="216">
        <v>42.13</v>
      </c>
      <c r="E753" s="198"/>
      <c r="F753" s="198"/>
      <c r="G753" s="198"/>
      <c r="H753" s="198"/>
      <c r="I753" s="198"/>
      <c r="J753" s="198"/>
      <c r="K753" s="198"/>
      <c r="L753" s="198"/>
      <c r="M753" s="198"/>
      <c r="N753" s="198"/>
      <c r="O753" s="198"/>
      <c r="P753" s="198"/>
      <c r="Q753" s="198"/>
      <c r="R753" s="198"/>
      <c r="S753" s="198"/>
      <c r="T753" s="198"/>
      <c r="U753" s="198"/>
      <c r="V753" s="198"/>
      <c r="W753" s="198"/>
      <c r="X753" s="198"/>
      <c r="Y753" s="198"/>
      <c r="Z753" s="198"/>
    </row>
    <row r="754" spans="1:26" ht="15.75" hidden="1" customHeight="1" x14ac:dyDescent="0.25">
      <c r="A754" s="213">
        <v>41480</v>
      </c>
      <c r="B754" s="214" t="s">
        <v>9244</v>
      </c>
      <c r="C754" s="215" t="s">
        <v>580</v>
      </c>
      <c r="D754" s="216">
        <v>48.84</v>
      </c>
      <c r="E754" s="198"/>
      <c r="F754" s="198"/>
      <c r="G754" s="198"/>
      <c r="H754" s="198"/>
      <c r="I754" s="198"/>
      <c r="J754" s="198"/>
      <c r="K754" s="198"/>
      <c r="L754" s="198"/>
      <c r="M754" s="198"/>
      <c r="N754" s="198"/>
      <c r="O754" s="198"/>
      <c r="P754" s="198"/>
      <c r="Q754" s="198"/>
      <c r="R754" s="198"/>
      <c r="S754" s="198"/>
      <c r="T754" s="198"/>
      <c r="U754" s="198"/>
      <c r="V754" s="198"/>
      <c r="W754" s="198"/>
      <c r="X754" s="198"/>
      <c r="Y754" s="198"/>
      <c r="Z754" s="198"/>
    </row>
    <row r="755" spans="1:26" ht="15.75" hidden="1" customHeight="1" x14ac:dyDescent="0.25">
      <c r="A755" s="213">
        <v>41474</v>
      </c>
      <c r="B755" s="214" t="s">
        <v>9245</v>
      </c>
      <c r="C755" s="215" t="s">
        <v>580</v>
      </c>
      <c r="D755" s="216">
        <v>78.03</v>
      </c>
      <c r="E755" s="198"/>
      <c r="F755" s="198"/>
      <c r="G755" s="198"/>
      <c r="H755" s="198"/>
      <c r="I755" s="198"/>
      <c r="J755" s="198"/>
      <c r="K755" s="198"/>
      <c r="L755" s="198"/>
      <c r="M755" s="198"/>
      <c r="N755" s="198"/>
      <c r="O755" s="198"/>
      <c r="P755" s="198"/>
      <c r="Q755" s="198"/>
      <c r="R755" s="198"/>
      <c r="S755" s="198"/>
      <c r="T755" s="198"/>
      <c r="U755" s="198"/>
      <c r="V755" s="198"/>
      <c r="W755" s="198"/>
      <c r="X755" s="198"/>
      <c r="Y755" s="198"/>
      <c r="Z755" s="198"/>
    </row>
    <row r="756" spans="1:26" ht="15.75" hidden="1" customHeight="1" x14ac:dyDescent="0.25">
      <c r="A756" s="213">
        <v>41475</v>
      </c>
      <c r="B756" s="214" t="s">
        <v>9246</v>
      </c>
      <c r="C756" s="215" t="s">
        <v>580</v>
      </c>
      <c r="D756" s="216">
        <v>66.569999999999993</v>
      </c>
      <c r="E756" s="198"/>
      <c r="F756" s="198"/>
      <c r="G756" s="198"/>
      <c r="H756" s="198"/>
      <c r="I756" s="198"/>
      <c r="J756" s="198"/>
      <c r="K756" s="198"/>
      <c r="L756" s="198"/>
      <c r="M756" s="198"/>
      <c r="N756" s="198"/>
      <c r="O756" s="198"/>
      <c r="P756" s="198"/>
      <c r="Q756" s="198"/>
      <c r="R756" s="198"/>
      <c r="S756" s="198"/>
      <c r="T756" s="198"/>
      <c r="U756" s="198"/>
      <c r="V756" s="198"/>
      <c r="W756" s="198"/>
      <c r="X756" s="198"/>
      <c r="Y756" s="198"/>
      <c r="Z756" s="198"/>
    </row>
    <row r="757" spans="1:26" ht="15.75" hidden="1" customHeight="1" x14ac:dyDescent="0.25">
      <c r="A757" s="213">
        <v>41476</v>
      </c>
      <c r="B757" s="214" t="s">
        <v>9247</v>
      </c>
      <c r="C757" s="215" t="s">
        <v>580</v>
      </c>
      <c r="D757" s="216">
        <v>145.78</v>
      </c>
      <c r="E757" s="198"/>
      <c r="F757" s="198"/>
      <c r="G757" s="198"/>
      <c r="H757" s="198"/>
      <c r="I757" s="198"/>
      <c r="J757" s="198"/>
      <c r="K757" s="198"/>
      <c r="L757" s="198"/>
      <c r="M757" s="198"/>
      <c r="N757" s="198"/>
      <c r="O757" s="198"/>
      <c r="P757" s="198"/>
      <c r="Q757" s="198"/>
      <c r="R757" s="198"/>
      <c r="S757" s="198"/>
      <c r="T757" s="198"/>
      <c r="U757" s="198"/>
      <c r="V757" s="198"/>
      <c r="W757" s="198"/>
      <c r="X757" s="198"/>
      <c r="Y757" s="198"/>
      <c r="Z757" s="198"/>
    </row>
    <row r="758" spans="1:26" ht="15.75" hidden="1" customHeight="1" x14ac:dyDescent="0.25">
      <c r="A758" s="213">
        <v>39810</v>
      </c>
      <c r="B758" s="214" t="s">
        <v>9248</v>
      </c>
      <c r="C758" s="215" t="s">
        <v>580</v>
      </c>
      <c r="D758" s="216">
        <v>54.08</v>
      </c>
      <c r="E758" s="198"/>
      <c r="F758" s="198"/>
      <c r="G758" s="198"/>
      <c r="H758" s="198"/>
      <c r="I758" s="198"/>
      <c r="J758" s="198"/>
      <c r="K758" s="198"/>
      <c r="L758" s="198"/>
      <c r="M758" s="198"/>
      <c r="N758" s="198"/>
      <c r="O758" s="198"/>
      <c r="P758" s="198"/>
      <c r="Q758" s="198"/>
      <c r="R758" s="198"/>
      <c r="S758" s="198"/>
      <c r="T758" s="198"/>
      <c r="U758" s="198"/>
      <c r="V758" s="198"/>
      <c r="W758" s="198"/>
      <c r="X758" s="198"/>
      <c r="Y758" s="198"/>
      <c r="Z758" s="198"/>
    </row>
    <row r="759" spans="1:26" ht="15.75" hidden="1" customHeight="1" x14ac:dyDescent="0.25">
      <c r="A759" s="213">
        <v>39811</v>
      </c>
      <c r="B759" s="214" t="s">
        <v>9249</v>
      </c>
      <c r="C759" s="215" t="s">
        <v>580</v>
      </c>
      <c r="D759" s="216">
        <v>66.150000000000006</v>
      </c>
      <c r="E759" s="198"/>
      <c r="F759" s="198"/>
      <c r="G759" s="198"/>
      <c r="H759" s="198"/>
      <c r="I759" s="198"/>
      <c r="J759" s="198"/>
      <c r="K759" s="198"/>
      <c r="L759" s="198"/>
      <c r="M759" s="198"/>
      <c r="N759" s="198"/>
      <c r="O759" s="198"/>
      <c r="P759" s="198"/>
      <c r="Q759" s="198"/>
      <c r="R759" s="198"/>
      <c r="S759" s="198"/>
      <c r="T759" s="198"/>
      <c r="U759" s="198"/>
      <c r="V759" s="198"/>
      <c r="W759" s="198"/>
      <c r="X759" s="198"/>
      <c r="Y759" s="198"/>
      <c r="Z759" s="198"/>
    </row>
    <row r="760" spans="1:26" ht="15.75" hidden="1" customHeight="1" x14ac:dyDescent="0.25">
      <c r="A760" s="213">
        <v>39812</v>
      </c>
      <c r="B760" s="214" t="s">
        <v>9250</v>
      </c>
      <c r="C760" s="215" t="s">
        <v>580</v>
      </c>
      <c r="D760" s="216">
        <v>108.76</v>
      </c>
      <c r="E760" s="198"/>
      <c r="F760" s="198"/>
      <c r="G760" s="198"/>
      <c r="H760" s="198"/>
      <c r="I760" s="198"/>
      <c r="J760" s="198"/>
      <c r="K760" s="198"/>
      <c r="L760" s="198"/>
      <c r="M760" s="198"/>
      <c r="N760" s="198"/>
      <c r="O760" s="198"/>
      <c r="P760" s="198"/>
      <c r="Q760" s="198"/>
      <c r="R760" s="198"/>
      <c r="S760" s="198"/>
      <c r="T760" s="198"/>
      <c r="U760" s="198"/>
      <c r="V760" s="198"/>
      <c r="W760" s="198"/>
      <c r="X760" s="198"/>
      <c r="Y760" s="198"/>
      <c r="Z760" s="198"/>
    </row>
    <row r="761" spans="1:26" ht="15.75" hidden="1" customHeight="1" x14ac:dyDescent="0.25">
      <c r="A761" s="213">
        <v>43096</v>
      </c>
      <c r="B761" s="214" t="s">
        <v>9251</v>
      </c>
      <c r="C761" s="215" t="s">
        <v>580</v>
      </c>
      <c r="D761" s="216">
        <v>360.53</v>
      </c>
      <c r="E761" s="198"/>
      <c r="F761" s="198"/>
      <c r="G761" s="198"/>
      <c r="H761" s="198"/>
      <c r="I761" s="198"/>
      <c r="J761" s="198"/>
      <c r="K761" s="198"/>
      <c r="L761" s="198"/>
      <c r="M761" s="198"/>
      <c r="N761" s="198"/>
      <c r="O761" s="198"/>
      <c r="P761" s="198"/>
      <c r="Q761" s="198"/>
      <c r="R761" s="198"/>
      <c r="S761" s="198"/>
      <c r="T761" s="198"/>
      <c r="U761" s="198"/>
      <c r="V761" s="198"/>
      <c r="W761" s="198"/>
      <c r="X761" s="198"/>
      <c r="Y761" s="198"/>
      <c r="Z761" s="198"/>
    </row>
    <row r="762" spans="1:26" ht="15.75" hidden="1" customHeight="1" x14ac:dyDescent="0.25">
      <c r="A762" s="213">
        <v>43102</v>
      </c>
      <c r="B762" s="214" t="s">
        <v>9252</v>
      </c>
      <c r="C762" s="215" t="s">
        <v>580</v>
      </c>
      <c r="D762" s="216">
        <v>219.22</v>
      </c>
      <c r="E762" s="198"/>
      <c r="F762" s="198"/>
      <c r="G762" s="198"/>
      <c r="H762" s="198"/>
      <c r="I762" s="198"/>
      <c r="J762" s="198"/>
      <c r="K762" s="198"/>
      <c r="L762" s="198"/>
      <c r="M762" s="198"/>
      <c r="N762" s="198"/>
      <c r="O762" s="198"/>
      <c r="P762" s="198"/>
      <c r="Q762" s="198"/>
      <c r="R762" s="198"/>
      <c r="S762" s="198"/>
      <c r="T762" s="198"/>
      <c r="U762" s="198"/>
      <c r="V762" s="198"/>
      <c r="W762" s="198"/>
      <c r="X762" s="198"/>
      <c r="Y762" s="198"/>
      <c r="Z762" s="198"/>
    </row>
    <row r="763" spans="1:26" ht="15.75" hidden="1" customHeight="1" x14ac:dyDescent="0.25">
      <c r="A763" s="213">
        <v>43103</v>
      </c>
      <c r="B763" s="214" t="s">
        <v>9253</v>
      </c>
      <c r="C763" s="215" t="s">
        <v>580</v>
      </c>
      <c r="D763" s="216">
        <v>322.81</v>
      </c>
      <c r="E763" s="198"/>
      <c r="F763" s="198"/>
      <c r="G763" s="198"/>
      <c r="H763" s="198"/>
      <c r="I763" s="198"/>
      <c r="J763" s="198"/>
      <c r="K763" s="198"/>
      <c r="L763" s="198"/>
      <c r="M763" s="198"/>
      <c r="N763" s="198"/>
      <c r="O763" s="198"/>
      <c r="P763" s="198"/>
      <c r="Q763" s="198"/>
      <c r="R763" s="198"/>
      <c r="S763" s="198"/>
      <c r="T763" s="198"/>
      <c r="U763" s="198"/>
      <c r="V763" s="198"/>
      <c r="W763" s="198"/>
      <c r="X763" s="198"/>
      <c r="Y763" s="198"/>
      <c r="Z763" s="198"/>
    </row>
    <row r="764" spans="1:26" ht="15.75" hidden="1" customHeight="1" x14ac:dyDescent="0.25">
      <c r="A764" s="213">
        <v>43098</v>
      </c>
      <c r="B764" s="214" t="s">
        <v>9254</v>
      </c>
      <c r="C764" s="215" t="s">
        <v>580</v>
      </c>
      <c r="D764" s="216">
        <v>122.12</v>
      </c>
      <c r="E764" s="198"/>
      <c r="F764" s="198"/>
      <c r="G764" s="198"/>
      <c r="H764" s="198"/>
      <c r="I764" s="198"/>
      <c r="J764" s="198"/>
      <c r="K764" s="198"/>
      <c r="L764" s="198"/>
      <c r="M764" s="198"/>
      <c r="N764" s="198"/>
      <c r="O764" s="198"/>
      <c r="P764" s="198"/>
      <c r="Q764" s="198"/>
      <c r="R764" s="198"/>
      <c r="S764" s="198"/>
      <c r="T764" s="198"/>
      <c r="U764" s="198"/>
      <c r="V764" s="198"/>
      <c r="W764" s="198"/>
      <c r="X764" s="198"/>
      <c r="Y764" s="198"/>
      <c r="Z764" s="198"/>
    </row>
    <row r="765" spans="1:26" ht="15.75" hidden="1" customHeight="1" x14ac:dyDescent="0.25">
      <c r="A765" s="213">
        <v>43097</v>
      </c>
      <c r="B765" s="214" t="s">
        <v>9255</v>
      </c>
      <c r="C765" s="215" t="s">
        <v>580</v>
      </c>
      <c r="D765" s="216">
        <v>72.349999999999994</v>
      </c>
      <c r="E765" s="198"/>
      <c r="F765" s="198"/>
      <c r="G765" s="198"/>
      <c r="H765" s="198"/>
      <c r="I765" s="198"/>
      <c r="J765" s="198"/>
      <c r="K765" s="198"/>
      <c r="L765" s="198"/>
      <c r="M765" s="198"/>
      <c r="N765" s="198"/>
      <c r="O765" s="198"/>
      <c r="P765" s="198"/>
      <c r="Q765" s="198"/>
      <c r="R765" s="198"/>
      <c r="S765" s="198"/>
      <c r="T765" s="198"/>
      <c r="U765" s="198"/>
      <c r="V765" s="198"/>
      <c r="W765" s="198"/>
      <c r="X765" s="198"/>
      <c r="Y765" s="198"/>
      <c r="Z765" s="198"/>
    </row>
    <row r="766" spans="1:26" ht="15.75" hidden="1" customHeight="1" x14ac:dyDescent="0.25">
      <c r="A766" s="213">
        <v>43104</v>
      </c>
      <c r="B766" s="214" t="s">
        <v>9256</v>
      </c>
      <c r="C766" s="215" t="s">
        <v>580</v>
      </c>
      <c r="D766" s="216">
        <v>855.84</v>
      </c>
      <c r="E766" s="198"/>
      <c r="F766" s="198"/>
      <c r="G766" s="198"/>
      <c r="H766" s="198"/>
      <c r="I766" s="198"/>
      <c r="J766" s="198"/>
      <c r="K766" s="198"/>
      <c r="L766" s="198"/>
      <c r="M766" s="198"/>
      <c r="N766" s="198"/>
      <c r="O766" s="198"/>
      <c r="P766" s="198"/>
      <c r="Q766" s="198"/>
      <c r="R766" s="198"/>
      <c r="S766" s="198"/>
      <c r="T766" s="198"/>
      <c r="U766" s="198"/>
      <c r="V766" s="198"/>
      <c r="W766" s="198"/>
      <c r="X766" s="198"/>
      <c r="Y766" s="198"/>
      <c r="Z766" s="198"/>
    </row>
    <row r="767" spans="1:26" ht="15.75" hidden="1" customHeight="1" x14ac:dyDescent="0.25">
      <c r="A767" s="213">
        <v>1872</v>
      </c>
      <c r="B767" s="214" t="s">
        <v>9257</v>
      </c>
      <c r="C767" s="215" t="s">
        <v>580</v>
      </c>
      <c r="D767" s="216">
        <v>3.88</v>
      </c>
      <c r="E767" s="198"/>
      <c r="F767" s="198"/>
      <c r="G767" s="198"/>
      <c r="H767" s="198"/>
      <c r="I767" s="198"/>
      <c r="J767" s="198"/>
      <c r="K767" s="198"/>
      <c r="L767" s="198"/>
      <c r="M767" s="198"/>
      <c r="N767" s="198"/>
      <c r="O767" s="198"/>
      <c r="P767" s="198"/>
      <c r="Q767" s="198"/>
      <c r="R767" s="198"/>
      <c r="S767" s="198"/>
      <c r="T767" s="198"/>
      <c r="U767" s="198"/>
      <c r="V767" s="198"/>
      <c r="W767" s="198"/>
      <c r="X767" s="198"/>
      <c r="Y767" s="198"/>
      <c r="Z767" s="198"/>
    </row>
    <row r="768" spans="1:26" ht="15.75" hidden="1" customHeight="1" x14ac:dyDescent="0.25">
      <c r="A768" s="213">
        <v>1873</v>
      </c>
      <c r="B768" s="214" t="s">
        <v>9258</v>
      </c>
      <c r="C768" s="215" t="s">
        <v>580</v>
      </c>
      <c r="D768" s="216">
        <v>7.72</v>
      </c>
      <c r="E768" s="198"/>
      <c r="F768" s="198"/>
      <c r="G768" s="198"/>
      <c r="H768" s="198"/>
      <c r="I768" s="198"/>
      <c r="J768" s="198"/>
      <c r="K768" s="198"/>
      <c r="L768" s="198"/>
      <c r="M768" s="198"/>
      <c r="N768" s="198"/>
      <c r="O768" s="198"/>
      <c r="P768" s="198"/>
      <c r="Q768" s="198"/>
      <c r="R768" s="198"/>
      <c r="S768" s="198"/>
      <c r="T768" s="198"/>
      <c r="U768" s="198"/>
      <c r="V768" s="198"/>
      <c r="W768" s="198"/>
      <c r="X768" s="198"/>
      <c r="Y768" s="198"/>
      <c r="Z768" s="198"/>
    </row>
    <row r="769" spans="1:26" ht="15.75" hidden="1" customHeight="1" x14ac:dyDescent="0.25">
      <c r="A769" s="213">
        <v>43095</v>
      </c>
      <c r="B769" s="214" t="s">
        <v>9259</v>
      </c>
      <c r="C769" s="215" t="s">
        <v>580</v>
      </c>
      <c r="D769" s="216">
        <v>237.57</v>
      </c>
      <c r="E769" s="198"/>
      <c r="F769" s="198"/>
      <c r="G769" s="198"/>
      <c r="H769" s="198"/>
      <c r="I769" s="198"/>
      <c r="J769" s="198"/>
      <c r="K769" s="198"/>
      <c r="L769" s="198"/>
      <c r="M769" s="198"/>
      <c r="N769" s="198"/>
      <c r="O769" s="198"/>
      <c r="P769" s="198"/>
      <c r="Q769" s="198"/>
      <c r="R769" s="198"/>
      <c r="S769" s="198"/>
      <c r="T769" s="198"/>
      <c r="U769" s="198"/>
      <c r="V769" s="198"/>
      <c r="W769" s="198"/>
      <c r="X769" s="198"/>
      <c r="Y769" s="198"/>
      <c r="Z769" s="198"/>
    </row>
    <row r="770" spans="1:26" ht="15.75" hidden="1" customHeight="1" x14ac:dyDescent="0.25">
      <c r="A770" s="213">
        <v>1871</v>
      </c>
      <c r="B770" s="214" t="s">
        <v>9260</v>
      </c>
      <c r="C770" s="215" t="s">
        <v>580</v>
      </c>
      <c r="D770" s="216">
        <v>6.94</v>
      </c>
      <c r="E770" s="198"/>
      <c r="F770" s="198"/>
      <c r="G770" s="198"/>
      <c r="H770" s="198"/>
      <c r="I770" s="198"/>
      <c r="J770" s="198"/>
      <c r="K770" s="198"/>
      <c r="L770" s="198"/>
      <c r="M770" s="198"/>
      <c r="N770" s="198"/>
      <c r="O770" s="198"/>
      <c r="P770" s="198"/>
      <c r="Q770" s="198"/>
      <c r="R770" s="198"/>
      <c r="S770" s="198"/>
      <c r="T770" s="198"/>
      <c r="U770" s="198"/>
      <c r="V770" s="198"/>
      <c r="W770" s="198"/>
      <c r="X770" s="198"/>
      <c r="Y770" s="198"/>
      <c r="Z770" s="198"/>
    </row>
    <row r="771" spans="1:26" ht="15.75" hidden="1" customHeight="1" x14ac:dyDescent="0.25">
      <c r="A771" s="213">
        <v>12001</v>
      </c>
      <c r="B771" s="214" t="s">
        <v>9261</v>
      </c>
      <c r="C771" s="215" t="s">
        <v>580</v>
      </c>
      <c r="D771" s="216">
        <v>10.029999999999999</v>
      </c>
      <c r="E771" s="198"/>
      <c r="F771" s="198"/>
      <c r="G771" s="198"/>
      <c r="H771" s="198"/>
      <c r="I771" s="198"/>
      <c r="J771" s="198"/>
      <c r="K771" s="198"/>
      <c r="L771" s="198"/>
      <c r="M771" s="198"/>
      <c r="N771" s="198"/>
      <c r="O771" s="198"/>
      <c r="P771" s="198"/>
      <c r="Q771" s="198"/>
      <c r="R771" s="198"/>
      <c r="S771" s="198"/>
      <c r="T771" s="198"/>
      <c r="U771" s="198"/>
      <c r="V771" s="198"/>
      <c r="W771" s="198"/>
      <c r="X771" s="198"/>
      <c r="Y771" s="198"/>
      <c r="Z771" s="198"/>
    </row>
    <row r="772" spans="1:26" ht="15.75" hidden="1" customHeight="1" x14ac:dyDescent="0.25">
      <c r="A772" s="213">
        <v>39808</v>
      </c>
      <c r="B772" s="214" t="s">
        <v>9262</v>
      </c>
      <c r="C772" s="215" t="s">
        <v>580</v>
      </c>
      <c r="D772" s="216">
        <v>124.03</v>
      </c>
      <c r="E772" s="198"/>
      <c r="F772" s="198"/>
      <c r="G772" s="198"/>
      <c r="H772" s="198"/>
      <c r="I772" s="198"/>
      <c r="J772" s="198"/>
      <c r="K772" s="198"/>
      <c r="L772" s="198"/>
      <c r="M772" s="198"/>
      <c r="N772" s="198"/>
      <c r="O772" s="198"/>
      <c r="P772" s="198"/>
      <c r="Q772" s="198"/>
      <c r="R772" s="198"/>
      <c r="S772" s="198"/>
      <c r="T772" s="198"/>
      <c r="U772" s="198"/>
      <c r="V772" s="198"/>
      <c r="W772" s="198"/>
      <c r="X772" s="198"/>
      <c r="Y772" s="198"/>
      <c r="Z772" s="198"/>
    </row>
    <row r="773" spans="1:26" ht="15.75" hidden="1" customHeight="1" x14ac:dyDescent="0.25">
      <c r="A773" s="213">
        <v>39809</v>
      </c>
      <c r="B773" s="214" t="s">
        <v>9263</v>
      </c>
      <c r="C773" s="215" t="s">
        <v>580</v>
      </c>
      <c r="D773" s="216">
        <v>294.18</v>
      </c>
      <c r="E773" s="198"/>
      <c r="F773" s="198"/>
      <c r="G773" s="198"/>
      <c r="H773" s="198"/>
      <c r="I773" s="198"/>
      <c r="J773" s="198"/>
      <c r="K773" s="198"/>
      <c r="L773" s="198"/>
      <c r="M773" s="198"/>
      <c r="N773" s="198"/>
      <c r="O773" s="198"/>
      <c r="P773" s="198"/>
      <c r="Q773" s="198"/>
      <c r="R773" s="198"/>
      <c r="S773" s="198"/>
      <c r="T773" s="198"/>
      <c r="U773" s="198"/>
      <c r="V773" s="198"/>
      <c r="W773" s="198"/>
      <c r="X773" s="198"/>
      <c r="Y773" s="198"/>
      <c r="Z773" s="198"/>
    </row>
    <row r="774" spans="1:26" ht="15.75" hidden="1" customHeight="1" x14ac:dyDescent="0.25">
      <c r="A774" s="213">
        <v>5103</v>
      </c>
      <c r="B774" s="214" t="s">
        <v>9264</v>
      </c>
      <c r="C774" s="215" t="s">
        <v>580</v>
      </c>
      <c r="D774" s="216">
        <v>23.16</v>
      </c>
      <c r="E774" s="198"/>
      <c r="F774" s="198"/>
      <c r="G774" s="198"/>
      <c r="H774" s="198"/>
      <c r="I774" s="198"/>
      <c r="J774" s="198"/>
      <c r="K774" s="198"/>
      <c r="L774" s="198"/>
      <c r="M774" s="198"/>
      <c r="N774" s="198"/>
      <c r="O774" s="198"/>
      <c r="P774" s="198"/>
      <c r="Q774" s="198"/>
      <c r="R774" s="198"/>
      <c r="S774" s="198"/>
      <c r="T774" s="198"/>
      <c r="U774" s="198"/>
      <c r="V774" s="198"/>
      <c r="W774" s="198"/>
      <c r="X774" s="198"/>
      <c r="Y774" s="198"/>
      <c r="Z774" s="198"/>
    </row>
    <row r="775" spans="1:26" ht="15.75" hidden="1" customHeight="1" x14ac:dyDescent="0.25">
      <c r="A775" s="213">
        <v>11880</v>
      </c>
      <c r="B775" s="214" t="s">
        <v>9265</v>
      </c>
      <c r="C775" s="215" t="s">
        <v>580</v>
      </c>
      <c r="D775" s="216">
        <v>97.4</v>
      </c>
      <c r="E775" s="198"/>
      <c r="F775" s="198"/>
      <c r="G775" s="198"/>
      <c r="H775" s="198"/>
      <c r="I775" s="198"/>
      <c r="J775" s="198"/>
      <c r="K775" s="198"/>
      <c r="L775" s="198"/>
      <c r="M775" s="198"/>
      <c r="N775" s="198"/>
      <c r="O775" s="198"/>
      <c r="P775" s="198"/>
      <c r="Q775" s="198"/>
      <c r="R775" s="198"/>
      <c r="S775" s="198"/>
      <c r="T775" s="198"/>
      <c r="U775" s="198"/>
      <c r="V775" s="198"/>
      <c r="W775" s="198"/>
      <c r="X775" s="198"/>
      <c r="Y775" s="198"/>
      <c r="Z775" s="198"/>
    </row>
    <row r="776" spans="1:26" ht="15.75" hidden="1" customHeight="1" x14ac:dyDescent="0.25">
      <c r="A776" s="213">
        <v>11714</v>
      </c>
      <c r="B776" s="214" t="s">
        <v>9266</v>
      </c>
      <c r="C776" s="215" t="s">
        <v>580</v>
      </c>
      <c r="D776" s="216">
        <v>66.349999999999994</v>
      </c>
      <c r="E776" s="198"/>
      <c r="F776" s="198"/>
      <c r="G776" s="198"/>
      <c r="H776" s="198"/>
      <c r="I776" s="198"/>
      <c r="J776" s="198"/>
      <c r="K776" s="198"/>
      <c r="L776" s="198"/>
      <c r="M776" s="198"/>
      <c r="N776" s="198"/>
      <c r="O776" s="198"/>
      <c r="P776" s="198"/>
      <c r="Q776" s="198"/>
      <c r="R776" s="198"/>
      <c r="S776" s="198"/>
      <c r="T776" s="198"/>
      <c r="U776" s="198"/>
      <c r="V776" s="198"/>
      <c r="W776" s="198"/>
      <c r="X776" s="198"/>
      <c r="Y776" s="198"/>
      <c r="Z776" s="198"/>
    </row>
    <row r="777" spans="1:26" ht="15.75" hidden="1" customHeight="1" x14ac:dyDescent="0.25">
      <c r="A777" s="213">
        <v>11712</v>
      </c>
      <c r="B777" s="214" t="s">
        <v>9267</v>
      </c>
      <c r="C777" s="215" t="s">
        <v>580</v>
      </c>
      <c r="D777" s="216">
        <v>43.33</v>
      </c>
      <c r="E777" s="198"/>
      <c r="F777" s="198"/>
      <c r="G777" s="198"/>
      <c r="H777" s="198"/>
      <c r="I777" s="198"/>
      <c r="J777" s="198"/>
      <c r="K777" s="198"/>
      <c r="L777" s="198"/>
      <c r="M777" s="198"/>
      <c r="N777" s="198"/>
      <c r="O777" s="198"/>
      <c r="P777" s="198"/>
      <c r="Q777" s="198"/>
      <c r="R777" s="198"/>
      <c r="S777" s="198"/>
      <c r="T777" s="198"/>
      <c r="U777" s="198"/>
      <c r="V777" s="198"/>
      <c r="W777" s="198"/>
      <c r="X777" s="198"/>
      <c r="Y777" s="198"/>
      <c r="Z777" s="198"/>
    </row>
    <row r="778" spans="1:26" ht="15.75" hidden="1" customHeight="1" x14ac:dyDescent="0.25">
      <c r="A778" s="213">
        <v>11717</v>
      </c>
      <c r="B778" s="214" t="s">
        <v>9268</v>
      </c>
      <c r="C778" s="215" t="s">
        <v>580</v>
      </c>
      <c r="D778" s="216">
        <v>52.23</v>
      </c>
      <c r="E778" s="198"/>
      <c r="F778" s="198"/>
      <c r="G778" s="198"/>
      <c r="H778" s="198"/>
      <c r="I778" s="198"/>
      <c r="J778" s="198"/>
      <c r="K778" s="198"/>
      <c r="L778" s="198"/>
      <c r="M778" s="198"/>
      <c r="N778" s="198"/>
      <c r="O778" s="198"/>
      <c r="P778" s="198"/>
      <c r="Q778" s="198"/>
      <c r="R778" s="198"/>
      <c r="S778" s="198"/>
      <c r="T778" s="198"/>
      <c r="U778" s="198"/>
      <c r="V778" s="198"/>
      <c r="W778" s="198"/>
      <c r="X778" s="198"/>
      <c r="Y778" s="198"/>
      <c r="Z778" s="198"/>
    </row>
    <row r="779" spans="1:26" ht="15.75" hidden="1" customHeight="1" x14ac:dyDescent="0.25">
      <c r="A779" s="213">
        <v>1106</v>
      </c>
      <c r="B779" s="214" t="s">
        <v>9269</v>
      </c>
      <c r="C779" s="215" t="s">
        <v>823</v>
      </c>
      <c r="D779" s="216">
        <v>0.82</v>
      </c>
      <c r="E779" s="198"/>
      <c r="F779" s="198"/>
      <c r="G779" s="198"/>
      <c r="H779" s="198"/>
      <c r="I779" s="198"/>
      <c r="J779" s="198"/>
      <c r="K779" s="198"/>
      <c r="L779" s="198"/>
      <c r="M779" s="198"/>
      <c r="N779" s="198"/>
      <c r="O779" s="198"/>
      <c r="P779" s="198"/>
      <c r="Q779" s="198"/>
      <c r="R779" s="198"/>
      <c r="S779" s="198"/>
      <c r="T779" s="198"/>
      <c r="U779" s="198"/>
      <c r="V779" s="198"/>
      <c r="W779" s="198"/>
      <c r="X779" s="198"/>
      <c r="Y779" s="198"/>
      <c r="Z779" s="198"/>
    </row>
    <row r="780" spans="1:26" ht="15.75" hidden="1" customHeight="1" x14ac:dyDescent="0.25">
      <c r="A780" s="213">
        <v>11161</v>
      </c>
      <c r="B780" s="214" t="s">
        <v>9270</v>
      </c>
      <c r="C780" s="215" t="s">
        <v>823</v>
      </c>
      <c r="D780" s="216">
        <v>1.37</v>
      </c>
      <c r="E780" s="198"/>
      <c r="F780" s="198"/>
      <c r="G780" s="198"/>
      <c r="H780" s="198"/>
      <c r="I780" s="198"/>
      <c r="J780" s="198"/>
      <c r="K780" s="198"/>
      <c r="L780" s="198"/>
      <c r="M780" s="198"/>
      <c r="N780" s="198"/>
      <c r="O780" s="198"/>
      <c r="P780" s="198"/>
      <c r="Q780" s="198"/>
      <c r="R780" s="198"/>
      <c r="S780" s="198"/>
      <c r="T780" s="198"/>
      <c r="U780" s="198"/>
      <c r="V780" s="198"/>
      <c r="W780" s="198"/>
      <c r="X780" s="198"/>
      <c r="Y780" s="198"/>
      <c r="Z780" s="198"/>
    </row>
    <row r="781" spans="1:26" ht="15.75" hidden="1" customHeight="1" x14ac:dyDescent="0.25">
      <c r="A781" s="213">
        <v>1107</v>
      </c>
      <c r="B781" s="214" t="s">
        <v>9271</v>
      </c>
      <c r="C781" s="215" t="s">
        <v>823</v>
      </c>
      <c r="D781" s="216">
        <v>0.69</v>
      </c>
      <c r="E781" s="198"/>
      <c r="F781" s="198"/>
      <c r="G781" s="198"/>
      <c r="H781" s="198"/>
      <c r="I781" s="198"/>
      <c r="J781" s="198"/>
      <c r="K781" s="198"/>
      <c r="L781" s="198"/>
      <c r="M781" s="198"/>
      <c r="N781" s="198"/>
      <c r="O781" s="198"/>
      <c r="P781" s="198"/>
      <c r="Q781" s="198"/>
      <c r="R781" s="198"/>
      <c r="S781" s="198"/>
      <c r="T781" s="198"/>
      <c r="U781" s="198"/>
      <c r="V781" s="198"/>
      <c r="W781" s="198"/>
      <c r="X781" s="198"/>
      <c r="Y781" s="198"/>
      <c r="Z781" s="198"/>
    </row>
    <row r="782" spans="1:26" ht="15.75" hidden="1" customHeight="1" x14ac:dyDescent="0.25">
      <c r="A782" s="213">
        <v>44479</v>
      </c>
      <c r="B782" s="214" t="s">
        <v>9272</v>
      </c>
      <c r="C782" s="215" t="s">
        <v>823</v>
      </c>
      <c r="D782" s="216">
        <v>0.09</v>
      </c>
      <c r="E782" s="198"/>
      <c r="F782" s="198"/>
      <c r="G782" s="198"/>
      <c r="H782" s="198"/>
      <c r="I782" s="198"/>
      <c r="J782" s="198"/>
      <c r="K782" s="198"/>
      <c r="L782" s="198"/>
      <c r="M782" s="198"/>
      <c r="N782" s="198"/>
      <c r="O782" s="198"/>
      <c r="P782" s="198"/>
      <c r="Q782" s="198"/>
      <c r="R782" s="198"/>
      <c r="S782" s="198"/>
      <c r="T782" s="198"/>
      <c r="U782" s="198"/>
      <c r="V782" s="198"/>
      <c r="W782" s="198"/>
      <c r="X782" s="198"/>
      <c r="Y782" s="198"/>
      <c r="Z782" s="198"/>
    </row>
    <row r="783" spans="1:26" ht="15.75" hidden="1" customHeight="1" x14ac:dyDescent="0.25">
      <c r="A783" s="213">
        <v>4759</v>
      </c>
      <c r="B783" s="214" t="s">
        <v>9273</v>
      </c>
      <c r="C783" s="215" t="s">
        <v>2193</v>
      </c>
      <c r="D783" s="216">
        <v>22.97</v>
      </c>
      <c r="E783" s="198"/>
      <c r="F783" s="198"/>
      <c r="G783" s="198"/>
      <c r="H783" s="198"/>
      <c r="I783" s="198"/>
      <c r="J783" s="198"/>
      <c r="K783" s="198"/>
      <c r="L783" s="198"/>
      <c r="M783" s="198"/>
      <c r="N783" s="198"/>
      <c r="O783" s="198"/>
      <c r="P783" s="198"/>
      <c r="Q783" s="198"/>
      <c r="R783" s="198"/>
      <c r="S783" s="198"/>
      <c r="T783" s="198"/>
      <c r="U783" s="198"/>
      <c r="V783" s="198"/>
      <c r="W783" s="198"/>
      <c r="X783" s="198"/>
      <c r="Y783" s="198"/>
      <c r="Z783" s="198"/>
    </row>
    <row r="784" spans="1:26" ht="15.75" hidden="1" customHeight="1" x14ac:dyDescent="0.25">
      <c r="A784" s="213">
        <v>41068</v>
      </c>
      <c r="B784" s="214" t="s">
        <v>9274</v>
      </c>
      <c r="C784" s="215" t="s">
        <v>6214</v>
      </c>
      <c r="D784" s="216">
        <v>4033.53</v>
      </c>
      <c r="E784" s="198"/>
      <c r="F784" s="198"/>
      <c r="G784" s="198"/>
      <c r="H784" s="198"/>
      <c r="I784" s="198"/>
      <c r="J784" s="198"/>
      <c r="K784" s="198"/>
      <c r="L784" s="198"/>
      <c r="M784" s="198"/>
      <c r="N784" s="198"/>
      <c r="O784" s="198"/>
      <c r="P784" s="198"/>
      <c r="Q784" s="198"/>
      <c r="R784" s="198"/>
      <c r="S784" s="198"/>
      <c r="T784" s="198"/>
      <c r="U784" s="198"/>
      <c r="V784" s="198"/>
      <c r="W784" s="198"/>
      <c r="X784" s="198"/>
      <c r="Y784" s="198"/>
      <c r="Z784" s="198"/>
    </row>
    <row r="785" spans="1:26" ht="15.75" hidden="1" customHeight="1" x14ac:dyDescent="0.25">
      <c r="A785" s="213">
        <v>12618</v>
      </c>
      <c r="B785" s="214" t="s">
        <v>9275</v>
      </c>
      <c r="C785" s="215" t="s">
        <v>580</v>
      </c>
      <c r="D785" s="216">
        <v>160.99</v>
      </c>
      <c r="E785" s="198"/>
      <c r="F785" s="198"/>
      <c r="G785" s="198"/>
      <c r="H785" s="198"/>
      <c r="I785" s="198"/>
      <c r="J785" s="198"/>
      <c r="K785" s="198"/>
      <c r="L785" s="198"/>
      <c r="M785" s="198"/>
      <c r="N785" s="198"/>
      <c r="O785" s="198"/>
      <c r="P785" s="198"/>
      <c r="Q785" s="198"/>
      <c r="R785" s="198"/>
      <c r="S785" s="198"/>
      <c r="T785" s="198"/>
      <c r="U785" s="198"/>
      <c r="V785" s="198"/>
      <c r="W785" s="198"/>
      <c r="X785" s="198"/>
      <c r="Y785" s="198"/>
      <c r="Z785" s="198"/>
    </row>
    <row r="786" spans="1:26" ht="15.75" hidden="1" customHeight="1" x14ac:dyDescent="0.25">
      <c r="A786" s="213">
        <v>13115</v>
      </c>
      <c r="B786" s="214" t="s">
        <v>9276</v>
      </c>
      <c r="C786" s="215" t="s">
        <v>585</v>
      </c>
      <c r="D786" s="216">
        <v>12.77</v>
      </c>
      <c r="E786" s="198"/>
      <c r="F786" s="198"/>
      <c r="G786" s="198"/>
      <c r="H786" s="198"/>
      <c r="I786" s="198"/>
      <c r="J786" s="198"/>
      <c r="K786" s="198"/>
      <c r="L786" s="198"/>
      <c r="M786" s="198"/>
      <c r="N786" s="198"/>
      <c r="O786" s="198"/>
      <c r="P786" s="198"/>
      <c r="Q786" s="198"/>
      <c r="R786" s="198"/>
      <c r="S786" s="198"/>
      <c r="T786" s="198"/>
      <c r="U786" s="198"/>
      <c r="V786" s="198"/>
      <c r="W786" s="198"/>
      <c r="X786" s="198"/>
      <c r="Y786" s="198"/>
      <c r="Z786" s="198"/>
    </row>
    <row r="787" spans="1:26" ht="15.75" hidden="1" customHeight="1" x14ac:dyDescent="0.25">
      <c r="A787" s="213">
        <v>10541</v>
      </c>
      <c r="B787" s="214" t="s">
        <v>9277</v>
      </c>
      <c r="C787" s="215" t="s">
        <v>585</v>
      </c>
      <c r="D787" s="216">
        <v>15.6</v>
      </c>
      <c r="E787" s="198"/>
      <c r="F787" s="198"/>
      <c r="G787" s="198"/>
      <c r="H787" s="198"/>
      <c r="I787" s="198"/>
      <c r="J787" s="198"/>
      <c r="K787" s="198"/>
      <c r="L787" s="198"/>
      <c r="M787" s="198"/>
      <c r="N787" s="198"/>
      <c r="O787" s="198"/>
      <c r="P787" s="198"/>
      <c r="Q787" s="198"/>
      <c r="R787" s="198"/>
      <c r="S787" s="198"/>
      <c r="T787" s="198"/>
      <c r="U787" s="198"/>
      <c r="V787" s="198"/>
      <c r="W787" s="198"/>
      <c r="X787" s="198"/>
      <c r="Y787" s="198"/>
      <c r="Z787" s="198"/>
    </row>
    <row r="788" spans="1:26" ht="15.75" hidden="1" customHeight="1" x14ac:dyDescent="0.25">
      <c r="A788" s="213">
        <v>10542</v>
      </c>
      <c r="B788" s="214" t="s">
        <v>9278</v>
      </c>
      <c r="C788" s="215" t="s">
        <v>585</v>
      </c>
      <c r="D788" s="216">
        <v>20.399999999999999</v>
      </c>
      <c r="E788" s="198"/>
      <c r="F788" s="198"/>
      <c r="G788" s="198"/>
      <c r="H788" s="198"/>
      <c r="I788" s="198"/>
      <c r="J788" s="198"/>
      <c r="K788" s="198"/>
      <c r="L788" s="198"/>
      <c r="M788" s="198"/>
      <c r="N788" s="198"/>
      <c r="O788" s="198"/>
      <c r="P788" s="198"/>
      <c r="Q788" s="198"/>
      <c r="R788" s="198"/>
      <c r="S788" s="198"/>
      <c r="T788" s="198"/>
      <c r="U788" s="198"/>
      <c r="V788" s="198"/>
      <c r="W788" s="198"/>
      <c r="X788" s="198"/>
      <c r="Y788" s="198"/>
      <c r="Z788" s="198"/>
    </row>
    <row r="789" spans="1:26" ht="15.75" hidden="1" customHeight="1" x14ac:dyDescent="0.25">
      <c r="A789" s="213">
        <v>10543</v>
      </c>
      <c r="B789" s="214" t="s">
        <v>9279</v>
      </c>
      <c r="C789" s="215" t="s">
        <v>585</v>
      </c>
      <c r="D789" s="216">
        <v>33.1</v>
      </c>
      <c r="E789" s="198"/>
      <c r="F789" s="198"/>
      <c r="G789" s="198"/>
      <c r="H789" s="198"/>
      <c r="I789" s="198"/>
      <c r="J789" s="198"/>
      <c r="K789" s="198"/>
      <c r="L789" s="198"/>
      <c r="M789" s="198"/>
      <c r="N789" s="198"/>
      <c r="O789" s="198"/>
      <c r="P789" s="198"/>
      <c r="Q789" s="198"/>
      <c r="R789" s="198"/>
      <c r="S789" s="198"/>
      <c r="T789" s="198"/>
      <c r="U789" s="198"/>
      <c r="V789" s="198"/>
      <c r="W789" s="198"/>
      <c r="X789" s="198"/>
      <c r="Y789" s="198"/>
      <c r="Z789" s="198"/>
    </row>
    <row r="790" spans="1:26" ht="15.75" hidden="1" customHeight="1" x14ac:dyDescent="0.25">
      <c r="A790" s="213">
        <v>10544</v>
      </c>
      <c r="B790" s="214" t="s">
        <v>9280</v>
      </c>
      <c r="C790" s="215" t="s">
        <v>585</v>
      </c>
      <c r="D790" s="216">
        <v>42.82</v>
      </c>
      <c r="E790" s="198"/>
      <c r="F790" s="198"/>
      <c r="G790" s="198"/>
      <c r="H790" s="198"/>
      <c r="I790" s="198"/>
      <c r="J790" s="198"/>
      <c r="K790" s="198"/>
      <c r="L790" s="198"/>
      <c r="M790" s="198"/>
      <c r="N790" s="198"/>
      <c r="O790" s="198"/>
      <c r="P790" s="198"/>
      <c r="Q790" s="198"/>
      <c r="R790" s="198"/>
      <c r="S790" s="198"/>
      <c r="T790" s="198"/>
      <c r="U790" s="198"/>
      <c r="V790" s="198"/>
      <c r="W790" s="198"/>
      <c r="X790" s="198"/>
      <c r="Y790" s="198"/>
      <c r="Z790" s="198"/>
    </row>
    <row r="791" spans="1:26" ht="15.75" hidden="1" customHeight="1" x14ac:dyDescent="0.25">
      <c r="A791" s="213">
        <v>10545</v>
      </c>
      <c r="B791" s="214" t="s">
        <v>9281</v>
      </c>
      <c r="C791" s="215" t="s">
        <v>585</v>
      </c>
      <c r="D791" s="216">
        <v>80.02</v>
      </c>
      <c r="E791" s="198"/>
      <c r="F791" s="198"/>
      <c r="G791" s="198"/>
      <c r="H791" s="198"/>
      <c r="I791" s="198"/>
      <c r="J791" s="198"/>
      <c r="K791" s="198"/>
      <c r="L791" s="198"/>
      <c r="M791" s="198"/>
      <c r="N791" s="198"/>
      <c r="O791" s="198"/>
      <c r="P791" s="198"/>
      <c r="Q791" s="198"/>
      <c r="R791" s="198"/>
      <c r="S791" s="198"/>
      <c r="T791" s="198"/>
      <c r="U791" s="198"/>
      <c r="V791" s="198"/>
      <c r="W791" s="198"/>
      <c r="X791" s="198"/>
      <c r="Y791" s="198"/>
      <c r="Z791" s="198"/>
    </row>
    <row r="792" spans="1:26" ht="15.75" hidden="1" customHeight="1" x14ac:dyDescent="0.25">
      <c r="A792" s="213">
        <v>38365</v>
      </c>
      <c r="B792" s="214" t="s">
        <v>9282</v>
      </c>
      <c r="C792" s="215" t="s">
        <v>578</v>
      </c>
      <c r="D792" s="216">
        <v>2.31</v>
      </c>
      <c r="E792" s="198"/>
      <c r="F792" s="198"/>
      <c r="G792" s="198"/>
      <c r="H792" s="198"/>
      <c r="I792" s="198"/>
      <c r="J792" s="198"/>
      <c r="K792" s="198"/>
      <c r="L792" s="198"/>
      <c r="M792" s="198"/>
      <c r="N792" s="198"/>
      <c r="O792" s="198"/>
      <c r="P792" s="198"/>
      <c r="Q792" s="198"/>
      <c r="R792" s="198"/>
      <c r="S792" s="198"/>
      <c r="T792" s="198"/>
      <c r="U792" s="198"/>
      <c r="V792" s="198"/>
      <c r="W792" s="198"/>
      <c r="X792" s="198"/>
      <c r="Y792" s="198"/>
      <c r="Z792" s="198"/>
    </row>
    <row r="793" spans="1:26" ht="15.75" hidden="1" customHeight="1" x14ac:dyDescent="0.25">
      <c r="A793" s="213">
        <v>1159</v>
      </c>
      <c r="B793" s="214" t="s">
        <v>9283</v>
      </c>
      <c r="C793" s="215" t="s">
        <v>580</v>
      </c>
      <c r="D793" s="216">
        <v>265433.83</v>
      </c>
      <c r="E793" s="198"/>
      <c r="F793" s="198"/>
      <c r="G793" s="198"/>
      <c r="H793" s="198"/>
      <c r="I793" s="198"/>
      <c r="J793" s="198"/>
      <c r="K793" s="198"/>
      <c r="L793" s="198"/>
      <c r="M793" s="198"/>
      <c r="N793" s="198"/>
      <c r="O793" s="198"/>
      <c r="P793" s="198"/>
      <c r="Q793" s="198"/>
      <c r="R793" s="198"/>
      <c r="S793" s="198"/>
      <c r="T793" s="198"/>
      <c r="U793" s="198"/>
      <c r="V793" s="198"/>
      <c r="W793" s="198"/>
      <c r="X793" s="198"/>
      <c r="Y793" s="198"/>
      <c r="Z793" s="198"/>
    </row>
    <row r="794" spans="1:26" ht="15.75" hidden="1" customHeight="1" x14ac:dyDescent="0.25">
      <c r="A794" s="213">
        <v>12114</v>
      </c>
      <c r="B794" s="214" t="s">
        <v>9284</v>
      </c>
      <c r="C794" s="215" t="s">
        <v>580</v>
      </c>
      <c r="D794" s="216">
        <v>150.12</v>
      </c>
      <c r="E794" s="198"/>
      <c r="F794" s="198"/>
      <c r="G794" s="198"/>
      <c r="H794" s="198"/>
      <c r="I794" s="198"/>
      <c r="J794" s="198"/>
      <c r="K794" s="198"/>
      <c r="L794" s="198"/>
      <c r="M794" s="198"/>
      <c r="N794" s="198"/>
      <c r="O794" s="198"/>
      <c r="P794" s="198"/>
      <c r="Q794" s="198"/>
      <c r="R794" s="198"/>
      <c r="S794" s="198"/>
      <c r="T794" s="198"/>
      <c r="U794" s="198"/>
      <c r="V794" s="198"/>
      <c r="W794" s="198"/>
      <c r="X794" s="198"/>
      <c r="Y794" s="198"/>
      <c r="Z794" s="198"/>
    </row>
    <row r="795" spans="1:26" ht="15.75" hidden="1" customHeight="1" x14ac:dyDescent="0.25">
      <c r="A795" s="213">
        <v>38106</v>
      </c>
      <c r="B795" s="214" t="s">
        <v>9285</v>
      </c>
      <c r="C795" s="215" t="s">
        <v>580</v>
      </c>
      <c r="D795" s="216">
        <v>20.399999999999999</v>
      </c>
      <c r="E795" s="198"/>
      <c r="F795" s="198"/>
      <c r="G795" s="198"/>
      <c r="H795" s="198"/>
      <c r="I795" s="198"/>
      <c r="J795" s="198"/>
      <c r="K795" s="198"/>
      <c r="L795" s="198"/>
      <c r="M795" s="198"/>
      <c r="N795" s="198"/>
      <c r="O795" s="198"/>
      <c r="P795" s="198"/>
      <c r="Q795" s="198"/>
      <c r="R795" s="198"/>
      <c r="S795" s="198"/>
      <c r="T795" s="198"/>
      <c r="U795" s="198"/>
      <c r="V795" s="198"/>
      <c r="W795" s="198"/>
      <c r="X795" s="198"/>
      <c r="Y795" s="198"/>
      <c r="Z795" s="198"/>
    </row>
    <row r="796" spans="1:26" ht="15.75" hidden="1" customHeight="1" x14ac:dyDescent="0.25">
      <c r="A796" s="213">
        <v>38085</v>
      </c>
      <c r="B796" s="214" t="s">
        <v>9286</v>
      </c>
      <c r="C796" s="215" t="s">
        <v>580</v>
      </c>
      <c r="D796" s="216">
        <v>24.1</v>
      </c>
      <c r="E796" s="198"/>
      <c r="F796" s="198"/>
      <c r="G796" s="198"/>
      <c r="H796" s="198"/>
      <c r="I796" s="198"/>
      <c r="J796" s="198"/>
      <c r="K796" s="198"/>
      <c r="L796" s="198"/>
      <c r="M796" s="198"/>
      <c r="N796" s="198"/>
      <c r="O796" s="198"/>
      <c r="P796" s="198"/>
      <c r="Q796" s="198"/>
      <c r="R796" s="198"/>
      <c r="S796" s="198"/>
      <c r="T796" s="198"/>
      <c r="U796" s="198"/>
      <c r="V796" s="198"/>
      <c r="W796" s="198"/>
      <c r="X796" s="198"/>
      <c r="Y796" s="198"/>
      <c r="Z796" s="198"/>
    </row>
    <row r="797" spans="1:26" ht="15.75" hidden="1" customHeight="1" x14ac:dyDescent="0.25">
      <c r="A797" s="213">
        <v>659</v>
      </c>
      <c r="B797" s="214" t="s">
        <v>9287</v>
      </c>
      <c r="C797" s="215" t="s">
        <v>580</v>
      </c>
      <c r="D797" s="216">
        <v>2.4</v>
      </c>
      <c r="E797" s="198"/>
      <c r="F797" s="198"/>
      <c r="G797" s="198"/>
      <c r="H797" s="198"/>
      <c r="I797" s="198"/>
      <c r="J797" s="198"/>
      <c r="K797" s="198"/>
      <c r="L797" s="198"/>
      <c r="M797" s="198"/>
      <c r="N797" s="198"/>
      <c r="O797" s="198"/>
      <c r="P797" s="198"/>
      <c r="Q797" s="198"/>
      <c r="R797" s="198"/>
      <c r="S797" s="198"/>
      <c r="T797" s="198"/>
      <c r="U797" s="198"/>
      <c r="V797" s="198"/>
      <c r="W797" s="198"/>
      <c r="X797" s="198"/>
      <c r="Y797" s="198"/>
      <c r="Z797" s="198"/>
    </row>
    <row r="798" spans="1:26" ht="15.75" hidden="1" customHeight="1" x14ac:dyDescent="0.25">
      <c r="A798" s="213">
        <v>660</v>
      </c>
      <c r="B798" s="214" t="s">
        <v>9288</v>
      </c>
      <c r="C798" s="215" t="s">
        <v>580</v>
      </c>
      <c r="D798" s="216">
        <v>2.88</v>
      </c>
      <c r="E798" s="198"/>
      <c r="F798" s="198"/>
      <c r="G798" s="198"/>
      <c r="H798" s="198"/>
      <c r="I798" s="198"/>
      <c r="J798" s="198"/>
      <c r="K798" s="198"/>
      <c r="L798" s="198"/>
      <c r="M798" s="198"/>
      <c r="N798" s="198"/>
      <c r="O798" s="198"/>
      <c r="P798" s="198"/>
      <c r="Q798" s="198"/>
      <c r="R798" s="198"/>
      <c r="S798" s="198"/>
      <c r="T798" s="198"/>
      <c r="U798" s="198"/>
      <c r="V798" s="198"/>
      <c r="W798" s="198"/>
      <c r="X798" s="198"/>
      <c r="Y798" s="198"/>
      <c r="Z798" s="198"/>
    </row>
    <row r="799" spans="1:26" ht="15.75" hidden="1" customHeight="1" x14ac:dyDescent="0.25">
      <c r="A799" s="213">
        <v>658</v>
      </c>
      <c r="B799" s="214" t="s">
        <v>9289</v>
      </c>
      <c r="C799" s="215" t="s">
        <v>580</v>
      </c>
      <c r="D799" s="216">
        <v>1.62</v>
      </c>
      <c r="E799" s="198"/>
      <c r="F799" s="198"/>
      <c r="G799" s="198"/>
      <c r="H799" s="198"/>
      <c r="I799" s="198"/>
      <c r="J799" s="198"/>
      <c r="K799" s="198"/>
      <c r="L799" s="198"/>
      <c r="M799" s="198"/>
      <c r="N799" s="198"/>
      <c r="O799" s="198"/>
      <c r="P799" s="198"/>
      <c r="Q799" s="198"/>
      <c r="R799" s="198"/>
      <c r="S799" s="198"/>
      <c r="T799" s="198"/>
      <c r="U799" s="198"/>
      <c r="V799" s="198"/>
      <c r="W799" s="198"/>
      <c r="X799" s="198"/>
      <c r="Y799" s="198"/>
      <c r="Z799" s="198"/>
    </row>
    <row r="800" spans="1:26" ht="15.75" hidden="1" customHeight="1" x14ac:dyDescent="0.25">
      <c r="A800" s="213">
        <v>38599</v>
      </c>
      <c r="B800" s="214" t="s">
        <v>9290</v>
      </c>
      <c r="C800" s="215" t="s">
        <v>580</v>
      </c>
      <c r="D800" s="216">
        <v>5</v>
      </c>
      <c r="E800" s="198"/>
      <c r="F800" s="198"/>
      <c r="G800" s="198"/>
      <c r="H800" s="198"/>
      <c r="I800" s="198"/>
      <c r="J800" s="198"/>
      <c r="K800" s="198"/>
      <c r="L800" s="198"/>
      <c r="M800" s="198"/>
      <c r="N800" s="198"/>
      <c r="O800" s="198"/>
      <c r="P800" s="198"/>
      <c r="Q800" s="198"/>
      <c r="R800" s="198"/>
      <c r="S800" s="198"/>
      <c r="T800" s="198"/>
      <c r="U800" s="198"/>
      <c r="V800" s="198"/>
      <c r="W800" s="198"/>
      <c r="X800" s="198"/>
      <c r="Y800" s="198"/>
      <c r="Z800" s="198"/>
    </row>
    <row r="801" spans="1:26" ht="15.75" hidden="1" customHeight="1" x14ac:dyDescent="0.25">
      <c r="A801" s="213">
        <v>38596</v>
      </c>
      <c r="B801" s="214" t="s">
        <v>9291</v>
      </c>
      <c r="C801" s="215" t="s">
        <v>580</v>
      </c>
      <c r="D801" s="216">
        <v>4.1500000000000004</v>
      </c>
      <c r="E801" s="198"/>
      <c r="F801" s="198"/>
      <c r="G801" s="198"/>
      <c r="H801" s="198"/>
      <c r="I801" s="198"/>
      <c r="J801" s="198"/>
      <c r="K801" s="198"/>
      <c r="L801" s="198"/>
      <c r="M801" s="198"/>
      <c r="N801" s="198"/>
      <c r="O801" s="198"/>
      <c r="P801" s="198"/>
      <c r="Q801" s="198"/>
      <c r="R801" s="198"/>
      <c r="S801" s="198"/>
      <c r="T801" s="198"/>
      <c r="U801" s="198"/>
      <c r="V801" s="198"/>
      <c r="W801" s="198"/>
      <c r="X801" s="198"/>
      <c r="Y801" s="198"/>
      <c r="Z801" s="198"/>
    </row>
    <row r="802" spans="1:26" ht="15.75" hidden="1" customHeight="1" x14ac:dyDescent="0.25">
      <c r="A802" s="213">
        <v>38600</v>
      </c>
      <c r="B802" s="214" t="s">
        <v>9292</v>
      </c>
      <c r="C802" s="215" t="s">
        <v>580</v>
      </c>
      <c r="D802" s="216">
        <v>5.3</v>
      </c>
      <c r="E802" s="198"/>
      <c r="F802" s="198"/>
      <c r="G802" s="198"/>
      <c r="H802" s="198"/>
      <c r="I802" s="198"/>
      <c r="J802" s="198"/>
      <c r="K802" s="198"/>
      <c r="L802" s="198"/>
      <c r="M802" s="198"/>
      <c r="N802" s="198"/>
      <c r="O802" s="198"/>
      <c r="P802" s="198"/>
      <c r="Q802" s="198"/>
      <c r="R802" s="198"/>
      <c r="S802" s="198"/>
      <c r="T802" s="198"/>
      <c r="U802" s="198"/>
      <c r="V802" s="198"/>
      <c r="W802" s="198"/>
      <c r="X802" s="198"/>
      <c r="Y802" s="198"/>
      <c r="Z802" s="198"/>
    </row>
    <row r="803" spans="1:26" ht="15.75" hidden="1" customHeight="1" x14ac:dyDescent="0.25">
      <c r="A803" s="213">
        <v>38597</v>
      </c>
      <c r="B803" s="214" t="s">
        <v>9293</v>
      </c>
      <c r="C803" s="215" t="s">
        <v>580</v>
      </c>
      <c r="D803" s="216">
        <v>4.18</v>
      </c>
      <c r="E803" s="198"/>
      <c r="F803" s="198"/>
      <c r="G803" s="198"/>
      <c r="H803" s="198"/>
      <c r="I803" s="198"/>
      <c r="J803" s="198"/>
      <c r="K803" s="198"/>
      <c r="L803" s="198"/>
      <c r="M803" s="198"/>
      <c r="N803" s="198"/>
      <c r="O803" s="198"/>
      <c r="P803" s="198"/>
      <c r="Q803" s="198"/>
      <c r="R803" s="198"/>
      <c r="S803" s="198"/>
      <c r="T803" s="198"/>
      <c r="U803" s="198"/>
      <c r="V803" s="198"/>
      <c r="W803" s="198"/>
      <c r="X803" s="198"/>
      <c r="Y803" s="198"/>
      <c r="Z803" s="198"/>
    </row>
    <row r="804" spans="1:26" ht="15.75" hidden="1" customHeight="1" x14ac:dyDescent="0.25">
      <c r="A804" s="213">
        <v>38548</v>
      </c>
      <c r="B804" s="214" t="s">
        <v>9294</v>
      </c>
      <c r="C804" s="215" t="s">
        <v>580</v>
      </c>
      <c r="D804" s="216">
        <v>1.79</v>
      </c>
      <c r="E804" s="198"/>
      <c r="F804" s="198"/>
      <c r="G804" s="198"/>
      <c r="H804" s="198"/>
      <c r="I804" s="198"/>
      <c r="J804" s="198"/>
      <c r="K804" s="198"/>
      <c r="L804" s="198"/>
      <c r="M804" s="198"/>
      <c r="N804" s="198"/>
      <c r="O804" s="198"/>
      <c r="P804" s="198"/>
      <c r="Q804" s="198"/>
      <c r="R804" s="198"/>
      <c r="S804" s="198"/>
      <c r="T804" s="198"/>
      <c r="U804" s="198"/>
      <c r="V804" s="198"/>
      <c r="W804" s="198"/>
      <c r="X804" s="198"/>
      <c r="Y804" s="198"/>
      <c r="Z804" s="198"/>
    </row>
    <row r="805" spans="1:26" ht="15.75" hidden="1" customHeight="1" x14ac:dyDescent="0.25">
      <c r="A805" s="213">
        <v>34649</v>
      </c>
      <c r="B805" s="214" t="s">
        <v>9295</v>
      </c>
      <c r="C805" s="215" t="s">
        <v>580</v>
      </c>
      <c r="D805" s="216">
        <v>2.63</v>
      </c>
      <c r="E805" s="198"/>
      <c r="F805" s="198"/>
      <c r="G805" s="198"/>
      <c r="H805" s="198"/>
      <c r="I805" s="198"/>
      <c r="J805" s="198"/>
      <c r="K805" s="198"/>
      <c r="L805" s="198"/>
      <c r="M805" s="198"/>
      <c r="N805" s="198"/>
      <c r="O805" s="198"/>
      <c r="P805" s="198"/>
      <c r="Q805" s="198"/>
      <c r="R805" s="198"/>
      <c r="S805" s="198"/>
      <c r="T805" s="198"/>
      <c r="U805" s="198"/>
      <c r="V805" s="198"/>
      <c r="W805" s="198"/>
      <c r="X805" s="198"/>
      <c r="Y805" s="198"/>
      <c r="Z805" s="198"/>
    </row>
    <row r="806" spans="1:26" ht="15.75" hidden="1" customHeight="1" x14ac:dyDescent="0.25">
      <c r="A806" s="213">
        <v>34655</v>
      </c>
      <c r="B806" s="214" t="s">
        <v>9296</v>
      </c>
      <c r="C806" s="215" t="s">
        <v>580</v>
      </c>
      <c r="D806" s="216">
        <v>3.86</v>
      </c>
      <c r="E806" s="198"/>
      <c r="F806" s="198"/>
      <c r="G806" s="198"/>
      <c r="H806" s="198"/>
      <c r="I806" s="198"/>
      <c r="J806" s="198"/>
      <c r="K806" s="198"/>
      <c r="L806" s="198"/>
      <c r="M806" s="198"/>
      <c r="N806" s="198"/>
      <c r="O806" s="198"/>
      <c r="P806" s="198"/>
      <c r="Q806" s="198"/>
      <c r="R806" s="198"/>
      <c r="S806" s="198"/>
      <c r="T806" s="198"/>
      <c r="U806" s="198"/>
      <c r="V806" s="198"/>
      <c r="W806" s="198"/>
      <c r="X806" s="198"/>
      <c r="Y806" s="198"/>
      <c r="Z806" s="198"/>
    </row>
    <row r="807" spans="1:26" ht="15.75" hidden="1" customHeight="1" x14ac:dyDescent="0.25">
      <c r="A807" s="213">
        <v>40607</v>
      </c>
      <c r="B807" s="214" t="s">
        <v>9297</v>
      </c>
      <c r="C807" s="215" t="s">
        <v>580</v>
      </c>
      <c r="D807" s="216">
        <v>10.38</v>
      </c>
      <c r="E807" s="198"/>
      <c r="F807" s="198"/>
      <c r="G807" s="198"/>
      <c r="H807" s="198"/>
      <c r="I807" s="198"/>
      <c r="J807" s="198"/>
      <c r="K807" s="198"/>
      <c r="L807" s="198"/>
      <c r="M807" s="198"/>
      <c r="N807" s="198"/>
      <c r="O807" s="198"/>
      <c r="P807" s="198"/>
      <c r="Q807" s="198"/>
      <c r="R807" s="198"/>
      <c r="S807" s="198"/>
      <c r="T807" s="198"/>
      <c r="U807" s="198"/>
      <c r="V807" s="198"/>
      <c r="W807" s="198"/>
      <c r="X807" s="198"/>
      <c r="Y807" s="198"/>
      <c r="Z807" s="198"/>
    </row>
    <row r="808" spans="1:26" ht="15.75" hidden="1" customHeight="1" x14ac:dyDescent="0.25">
      <c r="A808" s="213">
        <v>567</v>
      </c>
      <c r="B808" s="214" t="s">
        <v>9298</v>
      </c>
      <c r="C808" s="215" t="s">
        <v>585</v>
      </c>
      <c r="D808" s="216">
        <v>12.34</v>
      </c>
      <c r="E808" s="198"/>
      <c r="F808" s="198"/>
      <c r="G808" s="198"/>
      <c r="H808" s="198"/>
      <c r="I808" s="198"/>
      <c r="J808" s="198"/>
      <c r="K808" s="198"/>
      <c r="L808" s="198"/>
      <c r="M808" s="198"/>
      <c r="N808" s="198"/>
      <c r="O808" s="198"/>
      <c r="P808" s="198"/>
      <c r="Q808" s="198"/>
      <c r="R808" s="198"/>
      <c r="S808" s="198"/>
      <c r="T808" s="198"/>
      <c r="U808" s="198"/>
      <c r="V808" s="198"/>
      <c r="W808" s="198"/>
      <c r="X808" s="198"/>
      <c r="Y808" s="198"/>
      <c r="Z808" s="198"/>
    </row>
    <row r="809" spans="1:26" ht="15.75" hidden="1" customHeight="1" x14ac:dyDescent="0.25">
      <c r="A809" s="213">
        <v>574</v>
      </c>
      <c r="B809" s="214" t="s">
        <v>9299</v>
      </c>
      <c r="C809" s="215" t="s">
        <v>585</v>
      </c>
      <c r="D809" s="216">
        <v>32.44</v>
      </c>
      <c r="E809" s="198"/>
      <c r="F809" s="198"/>
      <c r="G809" s="198"/>
      <c r="H809" s="198"/>
      <c r="I809" s="198"/>
      <c r="J809" s="198"/>
      <c r="K809" s="198"/>
      <c r="L809" s="198"/>
      <c r="M809" s="198"/>
      <c r="N809" s="198"/>
      <c r="O809" s="198"/>
      <c r="P809" s="198"/>
      <c r="Q809" s="198"/>
      <c r="R809" s="198"/>
      <c r="S809" s="198"/>
      <c r="T809" s="198"/>
      <c r="U809" s="198"/>
      <c r="V809" s="198"/>
      <c r="W809" s="198"/>
      <c r="X809" s="198"/>
      <c r="Y809" s="198"/>
      <c r="Z809" s="198"/>
    </row>
    <row r="810" spans="1:26" ht="15.75" hidden="1" customHeight="1" x14ac:dyDescent="0.25">
      <c r="A810" s="213">
        <v>568</v>
      </c>
      <c r="B810" s="214" t="s">
        <v>9300</v>
      </c>
      <c r="C810" s="215" t="s">
        <v>585</v>
      </c>
      <c r="D810" s="216">
        <v>68.349999999999994</v>
      </c>
      <c r="E810" s="198"/>
      <c r="F810" s="198"/>
      <c r="G810" s="198"/>
      <c r="H810" s="198"/>
      <c r="I810" s="198"/>
      <c r="J810" s="198"/>
      <c r="K810" s="198"/>
      <c r="L810" s="198"/>
      <c r="M810" s="198"/>
      <c r="N810" s="198"/>
      <c r="O810" s="198"/>
      <c r="P810" s="198"/>
      <c r="Q810" s="198"/>
      <c r="R810" s="198"/>
      <c r="S810" s="198"/>
      <c r="T810" s="198"/>
      <c r="U810" s="198"/>
      <c r="V810" s="198"/>
      <c r="W810" s="198"/>
      <c r="X810" s="198"/>
      <c r="Y810" s="198"/>
      <c r="Z810" s="198"/>
    </row>
    <row r="811" spans="1:26" ht="15.75" hidden="1" customHeight="1" x14ac:dyDescent="0.25">
      <c r="A811" s="213">
        <v>592</v>
      </c>
      <c r="B811" s="214" t="s">
        <v>9301</v>
      </c>
      <c r="C811" s="215" t="s">
        <v>823</v>
      </c>
      <c r="D811" s="216">
        <v>49.39</v>
      </c>
      <c r="E811" s="198"/>
      <c r="F811" s="198"/>
      <c r="G811" s="198"/>
      <c r="H811" s="198"/>
      <c r="I811" s="198"/>
      <c r="J811" s="198"/>
      <c r="K811" s="198"/>
      <c r="L811" s="198"/>
      <c r="M811" s="198"/>
      <c r="N811" s="198"/>
      <c r="O811" s="198"/>
      <c r="P811" s="198"/>
      <c r="Q811" s="198"/>
      <c r="R811" s="198"/>
      <c r="S811" s="198"/>
      <c r="T811" s="198"/>
      <c r="U811" s="198"/>
      <c r="V811" s="198"/>
      <c r="W811" s="198"/>
      <c r="X811" s="198"/>
      <c r="Y811" s="198"/>
      <c r="Z811" s="198"/>
    </row>
    <row r="812" spans="1:26" ht="15.75" hidden="1" customHeight="1" x14ac:dyDescent="0.25">
      <c r="A812" s="213">
        <v>586</v>
      </c>
      <c r="B812" s="214" t="s">
        <v>9302</v>
      </c>
      <c r="C812" s="215" t="s">
        <v>585</v>
      </c>
      <c r="D812" s="216">
        <v>29.04</v>
      </c>
      <c r="E812" s="198"/>
      <c r="F812" s="198"/>
      <c r="G812" s="198"/>
      <c r="H812" s="198"/>
      <c r="I812" s="198"/>
      <c r="J812" s="198"/>
      <c r="K812" s="198"/>
      <c r="L812" s="198"/>
      <c r="M812" s="198"/>
      <c r="N812" s="198"/>
      <c r="O812" s="198"/>
      <c r="P812" s="198"/>
      <c r="Q812" s="198"/>
      <c r="R812" s="198"/>
      <c r="S812" s="198"/>
      <c r="T812" s="198"/>
      <c r="U812" s="198"/>
      <c r="V812" s="198"/>
      <c r="W812" s="198"/>
      <c r="X812" s="198"/>
      <c r="Y812" s="198"/>
      <c r="Z812" s="198"/>
    </row>
    <row r="813" spans="1:26" ht="15.75" hidden="1" customHeight="1" x14ac:dyDescent="0.25">
      <c r="A813" s="213">
        <v>588</v>
      </c>
      <c r="B813" s="214" t="s">
        <v>9303</v>
      </c>
      <c r="C813" s="215" t="s">
        <v>585</v>
      </c>
      <c r="D813" s="216">
        <v>45.93</v>
      </c>
      <c r="E813" s="198"/>
      <c r="F813" s="198"/>
      <c r="G813" s="198"/>
      <c r="H813" s="198"/>
      <c r="I813" s="198"/>
      <c r="J813" s="198"/>
      <c r="K813" s="198"/>
      <c r="L813" s="198"/>
      <c r="M813" s="198"/>
      <c r="N813" s="198"/>
      <c r="O813" s="198"/>
      <c r="P813" s="198"/>
      <c r="Q813" s="198"/>
      <c r="R813" s="198"/>
      <c r="S813" s="198"/>
      <c r="T813" s="198"/>
      <c r="U813" s="198"/>
      <c r="V813" s="198"/>
      <c r="W813" s="198"/>
      <c r="X813" s="198"/>
      <c r="Y813" s="198"/>
      <c r="Z813" s="198"/>
    </row>
    <row r="814" spans="1:26" ht="15.75" hidden="1" customHeight="1" x14ac:dyDescent="0.25">
      <c r="A814" s="213">
        <v>591</v>
      </c>
      <c r="B814" s="214" t="s">
        <v>9304</v>
      </c>
      <c r="C814" s="215" t="s">
        <v>823</v>
      </c>
      <c r="D814" s="216">
        <v>46.09</v>
      </c>
      <c r="E814" s="198"/>
      <c r="F814" s="198"/>
      <c r="G814" s="198"/>
      <c r="H814" s="198"/>
      <c r="I814" s="198"/>
      <c r="J814" s="198"/>
      <c r="K814" s="198"/>
      <c r="L814" s="198"/>
      <c r="M814" s="198"/>
      <c r="N814" s="198"/>
      <c r="O814" s="198"/>
      <c r="P814" s="198"/>
      <c r="Q814" s="198"/>
      <c r="R814" s="198"/>
      <c r="S814" s="198"/>
      <c r="T814" s="198"/>
      <c r="U814" s="198"/>
      <c r="V814" s="198"/>
      <c r="W814" s="198"/>
      <c r="X814" s="198"/>
      <c r="Y814" s="198"/>
      <c r="Z814" s="198"/>
    </row>
    <row r="815" spans="1:26" ht="15.75" hidden="1" customHeight="1" x14ac:dyDescent="0.25">
      <c r="A815" s="213">
        <v>584</v>
      </c>
      <c r="B815" s="214" t="s">
        <v>9305</v>
      </c>
      <c r="C815" s="215" t="s">
        <v>585</v>
      </c>
      <c r="D815" s="216">
        <v>49.06</v>
      </c>
      <c r="E815" s="198"/>
      <c r="F815" s="198"/>
      <c r="G815" s="198"/>
      <c r="H815" s="198"/>
      <c r="I815" s="198"/>
      <c r="J815" s="198"/>
      <c r="K815" s="198"/>
      <c r="L815" s="198"/>
      <c r="M815" s="198"/>
      <c r="N815" s="198"/>
      <c r="O815" s="198"/>
      <c r="P815" s="198"/>
      <c r="Q815" s="198"/>
      <c r="R815" s="198"/>
      <c r="S815" s="198"/>
      <c r="T815" s="198"/>
      <c r="U815" s="198"/>
      <c r="V815" s="198"/>
      <c r="W815" s="198"/>
      <c r="X815" s="198"/>
      <c r="Y815" s="198"/>
      <c r="Z815" s="198"/>
    </row>
    <row r="816" spans="1:26" ht="15.75" hidden="1" customHeight="1" x14ac:dyDescent="0.25">
      <c r="A816" s="213">
        <v>589</v>
      </c>
      <c r="B816" s="214" t="s">
        <v>9306</v>
      </c>
      <c r="C816" s="215" t="s">
        <v>585</v>
      </c>
      <c r="D816" s="216">
        <v>77.64</v>
      </c>
      <c r="E816" s="198"/>
      <c r="F816" s="198"/>
      <c r="G816" s="198"/>
      <c r="H816" s="198"/>
      <c r="I816" s="198"/>
      <c r="J816" s="198"/>
      <c r="K816" s="198"/>
      <c r="L816" s="198"/>
      <c r="M816" s="198"/>
      <c r="N816" s="198"/>
      <c r="O816" s="198"/>
      <c r="P816" s="198"/>
      <c r="Q816" s="198"/>
      <c r="R816" s="198"/>
      <c r="S816" s="198"/>
      <c r="T816" s="198"/>
      <c r="U816" s="198"/>
      <c r="V816" s="198"/>
      <c r="W816" s="198"/>
      <c r="X816" s="198"/>
      <c r="Y816" s="198"/>
      <c r="Z816" s="198"/>
    </row>
    <row r="817" spans="1:26" ht="15.75" hidden="1" customHeight="1" x14ac:dyDescent="0.25">
      <c r="A817" s="213">
        <v>36331</v>
      </c>
      <c r="B817" s="214" t="s">
        <v>9307</v>
      </c>
      <c r="C817" s="215" t="s">
        <v>580</v>
      </c>
      <c r="D817" s="216">
        <v>2.99</v>
      </c>
      <c r="E817" s="198"/>
      <c r="F817" s="198"/>
      <c r="G817" s="198"/>
      <c r="H817" s="198"/>
      <c r="I817" s="198"/>
      <c r="J817" s="198"/>
      <c r="K817" s="198"/>
      <c r="L817" s="198"/>
      <c r="M817" s="198"/>
      <c r="N817" s="198"/>
      <c r="O817" s="198"/>
      <c r="P817" s="198"/>
      <c r="Q817" s="198"/>
      <c r="R817" s="198"/>
      <c r="S817" s="198"/>
      <c r="T817" s="198"/>
      <c r="U817" s="198"/>
      <c r="V817" s="198"/>
      <c r="W817" s="198"/>
      <c r="X817" s="198"/>
      <c r="Y817" s="198"/>
      <c r="Z817" s="198"/>
    </row>
    <row r="818" spans="1:26" ht="15.75" hidden="1" customHeight="1" x14ac:dyDescent="0.25">
      <c r="A818" s="213">
        <v>36346</v>
      </c>
      <c r="B818" s="214" t="s">
        <v>9308</v>
      </c>
      <c r="C818" s="215" t="s">
        <v>580</v>
      </c>
      <c r="D818" s="216">
        <v>4.4800000000000004</v>
      </c>
      <c r="E818" s="198"/>
      <c r="F818" s="198"/>
      <c r="G818" s="198"/>
      <c r="H818" s="198"/>
      <c r="I818" s="198"/>
      <c r="J818" s="198"/>
      <c r="K818" s="198"/>
      <c r="L818" s="198"/>
      <c r="M818" s="198"/>
      <c r="N818" s="198"/>
      <c r="O818" s="198"/>
      <c r="P818" s="198"/>
      <c r="Q818" s="198"/>
      <c r="R818" s="198"/>
      <c r="S818" s="198"/>
      <c r="T818" s="198"/>
      <c r="U818" s="198"/>
      <c r="V818" s="198"/>
      <c r="W818" s="198"/>
      <c r="X818" s="198"/>
      <c r="Y818" s="198"/>
      <c r="Z818" s="198"/>
    </row>
    <row r="819" spans="1:26" ht="15.75" hidden="1" customHeight="1" x14ac:dyDescent="0.25">
      <c r="A819" s="213">
        <v>1202</v>
      </c>
      <c r="B819" s="214" t="s">
        <v>9309</v>
      </c>
      <c r="C819" s="215" t="s">
        <v>580</v>
      </c>
      <c r="D819" s="216">
        <v>4.1900000000000004</v>
      </c>
      <c r="E819" s="198"/>
      <c r="F819" s="198"/>
      <c r="G819" s="198"/>
      <c r="H819" s="198"/>
      <c r="I819" s="198"/>
      <c r="J819" s="198"/>
      <c r="K819" s="198"/>
      <c r="L819" s="198"/>
      <c r="M819" s="198"/>
      <c r="N819" s="198"/>
      <c r="O819" s="198"/>
      <c r="P819" s="198"/>
      <c r="Q819" s="198"/>
      <c r="R819" s="198"/>
      <c r="S819" s="198"/>
      <c r="T819" s="198"/>
      <c r="U819" s="198"/>
      <c r="V819" s="198"/>
      <c r="W819" s="198"/>
      <c r="X819" s="198"/>
      <c r="Y819" s="198"/>
      <c r="Z819" s="198"/>
    </row>
    <row r="820" spans="1:26" ht="15.75" hidden="1" customHeight="1" x14ac:dyDescent="0.25">
      <c r="A820" s="213">
        <v>1197</v>
      </c>
      <c r="B820" s="214" t="s">
        <v>9310</v>
      </c>
      <c r="C820" s="215" t="s">
        <v>580</v>
      </c>
      <c r="D820" s="216">
        <v>1.48</v>
      </c>
      <c r="E820" s="198"/>
      <c r="F820" s="198"/>
      <c r="G820" s="198"/>
      <c r="H820" s="198"/>
      <c r="I820" s="198"/>
      <c r="J820" s="198"/>
      <c r="K820" s="198"/>
      <c r="L820" s="198"/>
      <c r="M820" s="198"/>
      <c r="N820" s="198"/>
      <c r="O820" s="198"/>
      <c r="P820" s="198"/>
      <c r="Q820" s="198"/>
      <c r="R820" s="198"/>
      <c r="S820" s="198"/>
      <c r="T820" s="198"/>
      <c r="U820" s="198"/>
      <c r="V820" s="198"/>
      <c r="W820" s="198"/>
      <c r="X820" s="198"/>
      <c r="Y820" s="198"/>
      <c r="Z820" s="198"/>
    </row>
    <row r="821" spans="1:26" ht="15.75" hidden="1" customHeight="1" x14ac:dyDescent="0.25">
      <c r="A821" s="213">
        <v>1198</v>
      </c>
      <c r="B821" s="214" t="s">
        <v>9311</v>
      </c>
      <c r="C821" s="215" t="s">
        <v>580</v>
      </c>
      <c r="D821" s="216">
        <v>1.93</v>
      </c>
      <c r="E821" s="198"/>
      <c r="F821" s="198"/>
      <c r="G821" s="198"/>
      <c r="H821" s="198"/>
      <c r="I821" s="198"/>
      <c r="J821" s="198"/>
      <c r="K821" s="198"/>
      <c r="L821" s="198"/>
      <c r="M821" s="198"/>
      <c r="N821" s="198"/>
      <c r="O821" s="198"/>
      <c r="P821" s="198"/>
      <c r="Q821" s="198"/>
      <c r="R821" s="198"/>
      <c r="S821" s="198"/>
      <c r="T821" s="198"/>
      <c r="U821" s="198"/>
      <c r="V821" s="198"/>
      <c r="W821" s="198"/>
      <c r="X821" s="198"/>
      <c r="Y821" s="198"/>
      <c r="Z821" s="198"/>
    </row>
    <row r="822" spans="1:26" ht="15.75" hidden="1" customHeight="1" x14ac:dyDescent="0.25">
      <c r="A822" s="213">
        <v>20088</v>
      </c>
      <c r="B822" s="214" t="s">
        <v>9312</v>
      </c>
      <c r="C822" s="215" t="s">
        <v>580</v>
      </c>
      <c r="D822" s="216">
        <v>12.39</v>
      </c>
      <c r="E822" s="198"/>
      <c r="F822" s="198"/>
      <c r="G822" s="198"/>
      <c r="H822" s="198"/>
      <c r="I822" s="198"/>
      <c r="J822" s="198"/>
      <c r="K822" s="198"/>
      <c r="L822" s="198"/>
      <c r="M822" s="198"/>
      <c r="N822" s="198"/>
      <c r="O822" s="198"/>
      <c r="P822" s="198"/>
      <c r="Q822" s="198"/>
      <c r="R822" s="198"/>
      <c r="S822" s="198"/>
      <c r="T822" s="198"/>
      <c r="U822" s="198"/>
      <c r="V822" s="198"/>
      <c r="W822" s="198"/>
      <c r="X822" s="198"/>
      <c r="Y822" s="198"/>
      <c r="Z822" s="198"/>
    </row>
    <row r="823" spans="1:26" ht="15.75" hidden="1" customHeight="1" x14ac:dyDescent="0.25">
      <c r="A823" s="213">
        <v>20089</v>
      </c>
      <c r="B823" s="214" t="s">
        <v>9313</v>
      </c>
      <c r="C823" s="215" t="s">
        <v>580</v>
      </c>
      <c r="D823" s="216">
        <v>60.72</v>
      </c>
      <c r="E823" s="198"/>
      <c r="F823" s="198"/>
      <c r="G823" s="198"/>
      <c r="H823" s="198"/>
      <c r="I823" s="198"/>
      <c r="J823" s="198"/>
      <c r="K823" s="198"/>
      <c r="L823" s="198"/>
      <c r="M823" s="198"/>
      <c r="N823" s="198"/>
      <c r="O823" s="198"/>
      <c r="P823" s="198"/>
      <c r="Q823" s="198"/>
      <c r="R823" s="198"/>
      <c r="S823" s="198"/>
      <c r="T823" s="198"/>
      <c r="U823" s="198"/>
      <c r="V823" s="198"/>
      <c r="W823" s="198"/>
      <c r="X823" s="198"/>
      <c r="Y823" s="198"/>
      <c r="Z823" s="198"/>
    </row>
    <row r="824" spans="1:26" ht="15.75" hidden="1" customHeight="1" x14ac:dyDescent="0.25">
      <c r="A824" s="213">
        <v>20087</v>
      </c>
      <c r="B824" s="214" t="s">
        <v>9314</v>
      </c>
      <c r="C824" s="215" t="s">
        <v>580</v>
      </c>
      <c r="D824" s="216">
        <v>10.25</v>
      </c>
      <c r="E824" s="198"/>
      <c r="F824" s="198"/>
      <c r="G824" s="198"/>
      <c r="H824" s="198"/>
      <c r="I824" s="198"/>
      <c r="J824" s="198"/>
      <c r="K824" s="198"/>
      <c r="L824" s="198"/>
      <c r="M824" s="198"/>
      <c r="N824" s="198"/>
      <c r="O824" s="198"/>
      <c r="P824" s="198"/>
      <c r="Q824" s="198"/>
      <c r="R824" s="198"/>
      <c r="S824" s="198"/>
      <c r="T824" s="198"/>
      <c r="U824" s="198"/>
      <c r="V824" s="198"/>
      <c r="W824" s="198"/>
      <c r="X824" s="198"/>
      <c r="Y824" s="198"/>
      <c r="Z824" s="198"/>
    </row>
    <row r="825" spans="1:26" ht="15.75" hidden="1" customHeight="1" x14ac:dyDescent="0.25">
      <c r="A825" s="213">
        <v>1191</v>
      </c>
      <c r="B825" s="214" t="s">
        <v>9315</v>
      </c>
      <c r="C825" s="215" t="s">
        <v>580</v>
      </c>
      <c r="D825" s="216">
        <v>1.05</v>
      </c>
      <c r="E825" s="198"/>
      <c r="F825" s="198"/>
      <c r="G825" s="198"/>
      <c r="H825" s="198"/>
      <c r="I825" s="198"/>
      <c r="J825" s="198"/>
      <c r="K825" s="198"/>
      <c r="L825" s="198"/>
      <c r="M825" s="198"/>
      <c r="N825" s="198"/>
      <c r="O825" s="198"/>
      <c r="P825" s="198"/>
      <c r="Q825" s="198"/>
      <c r="R825" s="198"/>
      <c r="S825" s="198"/>
      <c r="T825" s="198"/>
      <c r="U825" s="198"/>
      <c r="V825" s="198"/>
      <c r="W825" s="198"/>
      <c r="X825" s="198"/>
      <c r="Y825" s="198"/>
      <c r="Z825" s="198"/>
    </row>
    <row r="826" spans="1:26" ht="15.75" hidden="1" customHeight="1" x14ac:dyDescent="0.25">
      <c r="A826" s="213">
        <v>1185</v>
      </c>
      <c r="B826" s="214" t="s">
        <v>9316</v>
      </c>
      <c r="C826" s="215" t="s">
        <v>580</v>
      </c>
      <c r="D826" s="216">
        <v>1.05</v>
      </c>
      <c r="E826" s="198"/>
      <c r="F826" s="198"/>
      <c r="G826" s="198"/>
      <c r="H826" s="198"/>
      <c r="I826" s="198"/>
      <c r="J826" s="198"/>
      <c r="K826" s="198"/>
      <c r="L826" s="198"/>
      <c r="M826" s="198"/>
      <c r="N826" s="198"/>
      <c r="O826" s="198"/>
      <c r="P826" s="198"/>
      <c r="Q826" s="198"/>
      <c r="R826" s="198"/>
      <c r="S826" s="198"/>
      <c r="T826" s="198"/>
      <c r="U826" s="198"/>
      <c r="V826" s="198"/>
      <c r="W826" s="198"/>
      <c r="X826" s="198"/>
      <c r="Y826" s="198"/>
      <c r="Z826" s="198"/>
    </row>
    <row r="827" spans="1:26" ht="15.75" hidden="1" customHeight="1" x14ac:dyDescent="0.25">
      <c r="A827" s="213">
        <v>1189</v>
      </c>
      <c r="B827" s="214" t="s">
        <v>9317</v>
      </c>
      <c r="C827" s="215" t="s">
        <v>580</v>
      </c>
      <c r="D827" s="216">
        <v>1.72</v>
      </c>
      <c r="E827" s="198"/>
      <c r="F827" s="198"/>
      <c r="G827" s="198"/>
      <c r="H827" s="198"/>
      <c r="I827" s="198"/>
      <c r="J827" s="198"/>
      <c r="K827" s="198"/>
      <c r="L827" s="198"/>
      <c r="M827" s="198"/>
      <c r="N827" s="198"/>
      <c r="O827" s="198"/>
      <c r="P827" s="198"/>
      <c r="Q827" s="198"/>
      <c r="R827" s="198"/>
      <c r="S827" s="198"/>
      <c r="T827" s="198"/>
      <c r="U827" s="198"/>
      <c r="V827" s="198"/>
      <c r="W827" s="198"/>
      <c r="X827" s="198"/>
      <c r="Y827" s="198"/>
      <c r="Z827" s="198"/>
    </row>
    <row r="828" spans="1:26" ht="15.75" hidden="1" customHeight="1" x14ac:dyDescent="0.25">
      <c r="A828" s="213">
        <v>1193</v>
      </c>
      <c r="B828" s="214" t="s">
        <v>9318</v>
      </c>
      <c r="C828" s="215" t="s">
        <v>580</v>
      </c>
      <c r="D828" s="216">
        <v>3.31</v>
      </c>
      <c r="E828" s="198"/>
      <c r="F828" s="198"/>
      <c r="G828" s="198"/>
      <c r="H828" s="198"/>
      <c r="I828" s="198"/>
      <c r="J828" s="198"/>
      <c r="K828" s="198"/>
      <c r="L828" s="198"/>
      <c r="M828" s="198"/>
      <c r="N828" s="198"/>
      <c r="O828" s="198"/>
      <c r="P828" s="198"/>
      <c r="Q828" s="198"/>
      <c r="R828" s="198"/>
      <c r="S828" s="198"/>
      <c r="T828" s="198"/>
      <c r="U828" s="198"/>
      <c r="V828" s="198"/>
      <c r="W828" s="198"/>
      <c r="X828" s="198"/>
      <c r="Y828" s="198"/>
      <c r="Z828" s="198"/>
    </row>
    <row r="829" spans="1:26" ht="15.75" hidden="1" customHeight="1" x14ac:dyDescent="0.25">
      <c r="A829" s="213">
        <v>1194</v>
      </c>
      <c r="B829" s="214" t="s">
        <v>9319</v>
      </c>
      <c r="C829" s="215" t="s">
        <v>580</v>
      </c>
      <c r="D829" s="216">
        <v>5.98</v>
      </c>
      <c r="E829" s="198"/>
      <c r="F829" s="198"/>
      <c r="G829" s="198"/>
      <c r="H829" s="198"/>
      <c r="I829" s="198"/>
      <c r="J829" s="198"/>
      <c r="K829" s="198"/>
      <c r="L829" s="198"/>
      <c r="M829" s="198"/>
      <c r="N829" s="198"/>
      <c r="O829" s="198"/>
      <c r="P829" s="198"/>
      <c r="Q829" s="198"/>
      <c r="R829" s="198"/>
      <c r="S829" s="198"/>
      <c r="T829" s="198"/>
      <c r="U829" s="198"/>
      <c r="V829" s="198"/>
      <c r="W829" s="198"/>
      <c r="X829" s="198"/>
      <c r="Y829" s="198"/>
      <c r="Z829" s="198"/>
    </row>
    <row r="830" spans="1:26" ht="15.75" hidden="1" customHeight="1" x14ac:dyDescent="0.25">
      <c r="A830" s="213">
        <v>1195</v>
      </c>
      <c r="B830" s="214" t="s">
        <v>9320</v>
      </c>
      <c r="C830" s="215" t="s">
        <v>580</v>
      </c>
      <c r="D830" s="216">
        <v>10.06</v>
      </c>
      <c r="E830" s="198"/>
      <c r="F830" s="198"/>
      <c r="G830" s="198"/>
      <c r="H830" s="198"/>
      <c r="I830" s="198"/>
      <c r="J830" s="198"/>
      <c r="K830" s="198"/>
      <c r="L830" s="198"/>
      <c r="M830" s="198"/>
      <c r="N830" s="198"/>
      <c r="O830" s="198"/>
      <c r="P830" s="198"/>
      <c r="Q830" s="198"/>
      <c r="R830" s="198"/>
      <c r="S830" s="198"/>
      <c r="T830" s="198"/>
      <c r="U830" s="198"/>
      <c r="V830" s="198"/>
      <c r="W830" s="198"/>
      <c r="X830" s="198"/>
      <c r="Y830" s="198"/>
      <c r="Z830" s="198"/>
    </row>
    <row r="831" spans="1:26" ht="15.75" hidden="1" customHeight="1" x14ac:dyDescent="0.25">
      <c r="A831" s="213">
        <v>1204</v>
      </c>
      <c r="B831" s="214" t="s">
        <v>9321</v>
      </c>
      <c r="C831" s="215" t="s">
        <v>580</v>
      </c>
      <c r="D831" s="216">
        <v>17.600000000000001</v>
      </c>
      <c r="E831" s="198"/>
      <c r="F831" s="198"/>
      <c r="G831" s="198"/>
      <c r="H831" s="198"/>
      <c r="I831" s="198"/>
      <c r="J831" s="198"/>
      <c r="K831" s="198"/>
      <c r="L831" s="198"/>
      <c r="M831" s="198"/>
      <c r="N831" s="198"/>
      <c r="O831" s="198"/>
      <c r="P831" s="198"/>
      <c r="Q831" s="198"/>
      <c r="R831" s="198"/>
      <c r="S831" s="198"/>
      <c r="T831" s="198"/>
      <c r="U831" s="198"/>
      <c r="V831" s="198"/>
      <c r="W831" s="198"/>
      <c r="X831" s="198"/>
      <c r="Y831" s="198"/>
      <c r="Z831" s="198"/>
    </row>
    <row r="832" spans="1:26" ht="15.75" hidden="1" customHeight="1" x14ac:dyDescent="0.25">
      <c r="A832" s="213">
        <v>1200</v>
      </c>
      <c r="B832" s="214" t="s">
        <v>9322</v>
      </c>
      <c r="C832" s="215" t="s">
        <v>580</v>
      </c>
      <c r="D832" s="216">
        <v>9.31</v>
      </c>
      <c r="E832" s="198"/>
      <c r="F832" s="198"/>
      <c r="G832" s="198"/>
      <c r="H832" s="198"/>
      <c r="I832" s="198"/>
      <c r="J832" s="198"/>
      <c r="K832" s="198"/>
      <c r="L832" s="198"/>
      <c r="M832" s="198"/>
      <c r="N832" s="198"/>
      <c r="O832" s="198"/>
      <c r="P832" s="198"/>
      <c r="Q832" s="198"/>
      <c r="R832" s="198"/>
      <c r="S832" s="198"/>
      <c r="T832" s="198"/>
      <c r="U832" s="198"/>
      <c r="V832" s="198"/>
      <c r="W832" s="198"/>
      <c r="X832" s="198"/>
      <c r="Y832" s="198"/>
      <c r="Z832" s="198"/>
    </row>
    <row r="833" spans="1:26" ht="15.75" hidden="1" customHeight="1" x14ac:dyDescent="0.25">
      <c r="A833" s="213">
        <v>12909</v>
      </c>
      <c r="B833" s="214" t="s">
        <v>9323</v>
      </c>
      <c r="C833" s="215" t="s">
        <v>580</v>
      </c>
      <c r="D833" s="216">
        <v>4.32</v>
      </c>
      <c r="E833" s="198"/>
      <c r="F833" s="198"/>
      <c r="G833" s="198"/>
      <c r="H833" s="198"/>
      <c r="I833" s="198"/>
      <c r="J833" s="198"/>
      <c r="K833" s="198"/>
      <c r="L833" s="198"/>
      <c r="M833" s="198"/>
      <c r="N833" s="198"/>
      <c r="O833" s="198"/>
      <c r="P833" s="198"/>
      <c r="Q833" s="198"/>
      <c r="R833" s="198"/>
      <c r="S833" s="198"/>
      <c r="T833" s="198"/>
      <c r="U833" s="198"/>
      <c r="V833" s="198"/>
      <c r="W833" s="198"/>
      <c r="X833" s="198"/>
      <c r="Y833" s="198"/>
      <c r="Z833" s="198"/>
    </row>
    <row r="834" spans="1:26" ht="15.75" hidden="1" customHeight="1" x14ac:dyDescent="0.25">
      <c r="A834" s="213">
        <v>12910</v>
      </c>
      <c r="B834" s="214" t="s">
        <v>9324</v>
      </c>
      <c r="C834" s="215" t="s">
        <v>580</v>
      </c>
      <c r="D834" s="216">
        <v>7.76</v>
      </c>
      <c r="E834" s="198"/>
      <c r="F834" s="198"/>
      <c r="G834" s="198"/>
      <c r="H834" s="198"/>
      <c r="I834" s="198"/>
      <c r="J834" s="198"/>
      <c r="K834" s="198"/>
      <c r="L834" s="198"/>
      <c r="M834" s="198"/>
      <c r="N834" s="198"/>
      <c r="O834" s="198"/>
      <c r="P834" s="198"/>
      <c r="Q834" s="198"/>
      <c r="R834" s="198"/>
      <c r="S834" s="198"/>
      <c r="T834" s="198"/>
      <c r="U834" s="198"/>
      <c r="V834" s="198"/>
      <c r="W834" s="198"/>
      <c r="X834" s="198"/>
      <c r="Y834" s="198"/>
      <c r="Z834" s="198"/>
    </row>
    <row r="835" spans="1:26" ht="15.75" hidden="1" customHeight="1" x14ac:dyDescent="0.25">
      <c r="A835" s="213">
        <v>42685</v>
      </c>
      <c r="B835" s="214" t="s">
        <v>9325</v>
      </c>
      <c r="C835" s="215" t="s">
        <v>580</v>
      </c>
      <c r="D835" s="216">
        <v>62.93</v>
      </c>
      <c r="E835" s="198"/>
      <c r="F835" s="198"/>
      <c r="G835" s="198"/>
      <c r="H835" s="198"/>
      <c r="I835" s="198"/>
      <c r="J835" s="198"/>
      <c r="K835" s="198"/>
      <c r="L835" s="198"/>
      <c r="M835" s="198"/>
      <c r="N835" s="198"/>
      <c r="O835" s="198"/>
      <c r="P835" s="198"/>
      <c r="Q835" s="198"/>
      <c r="R835" s="198"/>
      <c r="S835" s="198"/>
      <c r="T835" s="198"/>
      <c r="U835" s="198"/>
      <c r="V835" s="198"/>
      <c r="W835" s="198"/>
      <c r="X835" s="198"/>
      <c r="Y835" s="198"/>
      <c r="Z835" s="198"/>
    </row>
    <row r="836" spans="1:26" ht="15.75" hidden="1" customHeight="1" x14ac:dyDescent="0.25">
      <c r="A836" s="213">
        <v>42686</v>
      </c>
      <c r="B836" s="214" t="s">
        <v>9326</v>
      </c>
      <c r="C836" s="215" t="s">
        <v>580</v>
      </c>
      <c r="D836" s="216">
        <v>69.31</v>
      </c>
      <c r="E836" s="198"/>
      <c r="F836" s="198"/>
      <c r="G836" s="198"/>
      <c r="H836" s="198"/>
      <c r="I836" s="198"/>
      <c r="J836" s="198"/>
      <c r="K836" s="198"/>
      <c r="L836" s="198"/>
      <c r="M836" s="198"/>
      <c r="N836" s="198"/>
      <c r="O836" s="198"/>
      <c r="P836" s="198"/>
      <c r="Q836" s="198"/>
      <c r="R836" s="198"/>
      <c r="S836" s="198"/>
      <c r="T836" s="198"/>
      <c r="U836" s="198"/>
      <c r="V836" s="198"/>
      <c r="W836" s="198"/>
      <c r="X836" s="198"/>
      <c r="Y836" s="198"/>
      <c r="Z836" s="198"/>
    </row>
    <row r="837" spans="1:26" ht="15.75" hidden="1" customHeight="1" x14ac:dyDescent="0.25">
      <c r="A837" s="213">
        <v>12894</v>
      </c>
      <c r="B837" s="214" t="s">
        <v>9327</v>
      </c>
      <c r="C837" s="215" t="s">
        <v>580</v>
      </c>
      <c r="D837" s="216">
        <v>20.67</v>
      </c>
      <c r="E837" s="198"/>
      <c r="F837" s="198"/>
      <c r="G837" s="198"/>
      <c r="H837" s="198"/>
      <c r="I837" s="198"/>
      <c r="J837" s="198"/>
      <c r="K837" s="198"/>
      <c r="L837" s="198"/>
      <c r="M837" s="198"/>
      <c r="N837" s="198"/>
      <c r="O837" s="198"/>
      <c r="P837" s="198"/>
      <c r="Q837" s="198"/>
      <c r="R837" s="198"/>
      <c r="S837" s="198"/>
      <c r="T837" s="198"/>
      <c r="U837" s="198"/>
      <c r="V837" s="198"/>
      <c r="W837" s="198"/>
      <c r="X837" s="198"/>
      <c r="Y837" s="198"/>
      <c r="Z837" s="198"/>
    </row>
    <row r="838" spans="1:26" ht="15.75" hidden="1" customHeight="1" x14ac:dyDescent="0.25">
      <c r="A838" s="213">
        <v>12895</v>
      </c>
      <c r="B838" s="214" t="s">
        <v>9328</v>
      </c>
      <c r="C838" s="215" t="s">
        <v>580</v>
      </c>
      <c r="D838" s="216">
        <v>15.9</v>
      </c>
      <c r="E838" s="198"/>
      <c r="F838" s="198"/>
      <c r="G838" s="198"/>
      <c r="H838" s="198"/>
      <c r="I838" s="198"/>
      <c r="J838" s="198"/>
      <c r="K838" s="198"/>
      <c r="L838" s="198"/>
      <c r="M838" s="198"/>
      <c r="N838" s="198"/>
      <c r="O838" s="198"/>
      <c r="P838" s="198"/>
      <c r="Q838" s="198"/>
      <c r="R838" s="198"/>
      <c r="S838" s="198"/>
      <c r="T838" s="198"/>
      <c r="U838" s="198"/>
      <c r="V838" s="198"/>
      <c r="W838" s="198"/>
      <c r="X838" s="198"/>
      <c r="Y838" s="198"/>
      <c r="Z838" s="198"/>
    </row>
    <row r="839" spans="1:26" ht="15.75" hidden="1" customHeight="1" x14ac:dyDescent="0.25">
      <c r="A839" s="213">
        <v>1631</v>
      </c>
      <c r="B839" s="214" t="s">
        <v>9329</v>
      </c>
      <c r="C839" s="215" t="s">
        <v>580</v>
      </c>
      <c r="D839" s="216">
        <v>232.59</v>
      </c>
      <c r="E839" s="198"/>
      <c r="F839" s="198"/>
      <c r="G839" s="198"/>
      <c r="H839" s="198"/>
      <c r="I839" s="198"/>
      <c r="J839" s="198"/>
      <c r="K839" s="198"/>
      <c r="L839" s="198"/>
      <c r="M839" s="198"/>
      <c r="N839" s="198"/>
      <c r="O839" s="198"/>
      <c r="P839" s="198"/>
      <c r="Q839" s="198"/>
      <c r="R839" s="198"/>
      <c r="S839" s="198"/>
      <c r="T839" s="198"/>
      <c r="U839" s="198"/>
      <c r="V839" s="198"/>
      <c r="W839" s="198"/>
      <c r="X839" s="198"/>
      <c r="Y839" s="198"/>
      <c r="Z839" s="198"/>
    </row>
    <row r="840" spans="1:26" ht="15.75" hidden="1" customHeight="1" x14ac:dyDescent="0.25">
      <c r="A840" s="213">
        <v>1633</v>
      </c>
      <c r="B840" s="214" t="s">
        <v>9330</v>
      </c>
      <c r="C840" s="215" t="s">
        <v>580</v>
      </c>
      <c r="D840" s="216">
        <v>395.19</v>
      </c>
      <c r="E840" s="198"/>
      <c r="F840" s="198"/>
      <c r="G840" s="198"/>
      <c r="H840" s="198"/>
      <c r="I840" s="198"/>
      <c r="J840" s="198"/>
      <c r="K840" s="198"/>
      <c r="L840" s="198"/>
      <c r="M840" s="198"/>
      <c r="N840" s="198"/>
      <c r="O840" s="198"/>
      <c r="P840" s="198"/>
      <c r="Q840" s="198"/>
      <c r="R840" s="198"/>
      <c r="S840" s="198"/>
      <c r="T840" s="198"/>
      <c r="U840" s="198"/>
      <c r="V840" s="198"/>
      <c r="W840" s="198"/>
      <c r="X840" s="198"/>
      <c r="Y840" s="198"/>
      <c r="Z840" s="198"/>
    </row>
    <row r="841" spans="1:26" ht="15.75" hidden="1" customHeight="1" x14ac:dyDescent="0.25">
      <c r="A841" s="213">
        <v>10818</v>
      </c>
      <c r="B841" s="214" t="s">
        <v>9331</v>
      </c>
      <c r="C841" s="215" t="s">
        <v>823</v>
      </c>
      <c r="D841" s="216">
        <v>31.21</v>
      </c>
      <c r="E841" s="198"/>
      <c r="F841" s="198"/>
      <c r="G841" s="198"/>
      <c r="H841" s="198"/>
      <c r="I841" s="198"/>
      <c r="J841" s="198"/>
      <c r="K841" s="198"/>
      <c r="L841" s="198"/>
      <c r="M841" s="198"/>
      <c r="N841" s="198"/>
      <c r="O841" s="198"/>
      <c r="P841" s="198"/>
      <c r="Q841" s="198"/>
      <c r="R841" s="198"/>
      <c r="S841" s="198"/>
      <c r="T841" s="198"/>
      <c r="U841" s="198"/>
      <c r="V841" s="198"/>
      <c r="W841" s="198"/>
      <c r="X841" s="198"/>
      <c r="Y841" s="198"/>
      <c r="Z841" s="198"/>
    </row>
    <row r="842" spans="1:26" ht="15.75" hidden="1" customHeight="1" x14ac:dyDescent="0.25">
      <c r="A842" s="213">
        <v>10710</v>
      </c>
      <c r="B842" s="214" t="s">
        <v>9332</v>
      </c>
      <c r="C842" s="215" t="s">
        <v>578</v>
      </c>
      <c r="D842" s="216">
        <v>220</v>
      </c>
      <c r="E842" s="198"/>
      <c r="F842" s="198"/>
      <c r="G842" s="198"/>
      <c r="H842" s="198"/>
      <c r="I842" s="198"/>
      <c r="J842" s="198"/>
      <c r="K842" s="198"/>
      <c r="L842" s="198"/>
      <c r="M842" s="198"/>
      <c r="N842" s="198"/>
      <c r="O842" s="198"/>
      <c r="P842" s="198"/>
      <c r="Q842" s="198"/>
      <c r="R842" s="198"/>
      <c r="S842" s="198"/>
      <c r="T842" s="198"/>
      <c r="U842" s="198"/>
      <c r="V842" s="198"/>
      <c r="W842" s="198"/>
      <c r="X842" s="198"/>
      <c r="Y842" s="198"/>
      <c r="Z842" s="198"/>
    </row>
    <row r="843" spans="1:26" ht="15.75" hidden="1" customHeight="1" x14ac:dyDescent="0.25">
      <c r="A843" s="213">
        <v>10709</v>
      </c>
      <c r="B843" s="214" t="s">
        <v>9333</v>
      </c>
      <c r="C843" s="215" t="s">
        <v>578</v>
      </c>
      <c r="D843" s="216">
        <v>270.27999999999997</v>
      </c>
      <c r="E843" s="198"/>
      <c r="F843" s="198"/>
      <c r="G843" s="198"/>
      <c r="H843" s="198"/>
      <c r="I843" s="198"/>
      <c r="J843" s="198"/>
      <c r="K843" s="198"/>
      <c r="L843" s="198"/>
      <c r="M843" s="198"/>
      <c r="N843" s="198"/>
      <c r="O843" s="198"/>
      <c r="P843" s="198"/>
      <c r="Q843" s="198"/>
      <c r="R843" s="198"/>
      <c r="S843" s="198"/>
      <c r="T843" s="198"/>
      <c r="U843" s="198"/>
      <c r="V843" s="198"/>
      <c r="W843" s="198"/>
      <c r="X843" s="198"/>
      <c r="Y843" s="198"/>
      <c r="Z843" s="198"/>
    </row>
    <row r="844" spans="1:26" ht="15.75" hidden="1" customHeight="1" x14ac:dyDescent="0.25">
      <c r="A844" s="213">
        <v>39636</v>
      </c>
      <c r="B844" s="214" t="s">
        <v>9334</v>
      </c>
      <c r="C844" s="215" t="s">
        <v>578</v>
      </c>
      <c r="D844" s="216">
        <v>276</v>
      </c>
      <c r="E844" s="198"/>
      <c r="F844" s="198"/>
      <c r="G844" s="198"/>
      <c r="H844" s="198"/>
      <c r="I844" s="198"/>
      <c r="J844" s="198"/>
      <c r="K844" s="198"/>
      <c r="L844" s="198"/>
      <c r="M844" s="198"/>
      <c r="N844" s="198"/>
      <c r="O844" s="198"/>
      <c r="P844" s="198"/>
      <c r="Q844" s="198"/>
      <c r="R844" s="198"/>
      <c r="S844" s="198"/>
      <c r="T844" s="198"/>
      <c r="U844" s="198"/>
      <c r="V844" s="198"/>
      <c r="W844" s="198"/>
      <c r="X844" s="198"/>
      <c r="Y844" s="198"/>
      <c r="Z844" s="198"/>
    </row>
    <row r="845" spans="1:26" ht="15.75" hidden="1" customHeight="1" x14ac:dyDescent="0.25">
      <c r="A845" s="213">
        <v>10708</v>
      </c>
      <c r="B845" s="214" t="s">
        <v>9335</v>
      </c>
      <c r="C845" s="215" t="s">
        <v>578</v>
      </c>
      <c r="D845" s="216">
        <v>85.17</v>
      </c>
      <c r="E845" s="198"/>
      <c r="F845" s="198"/>
      <c r="G845" s="198"/>
      <c r="H845" s="198"/>
      <c r="I845" s="198"/>
      <c r="J845" s="198"/>
      <c r="K845" s="198"/>
      <c r="L845" s="198"/>
      <c r="M845" s="198"/>
      <c r="N845" s="198"/>
      <c r="O845" s="198"/>
      <c r="P845" s="198"/>
      <c r="Q845" s="198"/>
      <c r="R845" s="198"/>
      <c r="S845" s="198"/>
      <c r="T845" s="198"/>
      <c r="U845" s="198"/>
      <c r="V845" s="198"/>
      <c r="W845" s="198"/>
      <c r="X845" s="198"/>
      <c r="Y845" s="198"/>
      <c r="Z845" s="198"/>
    </row>
    <row r="846" spans="1:26" ht="15.75" hidden="1" customHeight="1" x14ac:dyDescent="0.25">
      <c r="A846" s="213">
        <v>39635</v>
      </c>
      <c r="B846" s="214" t="s">
        <v>9336</v>
      </c>
      <c r="C846" s="215" t="s">
        <v>578</v>
      </c>
      <c r="D846" s="216">
        <v>144.99</v>
      </c>
      <c r="E846" s="198"/>
      <c r="F846" s="198"/>
      <c r="G846" s="198"/>
      <c r="H846" s="198"/>
      <c r="I846" s="198"/>
      <c r="J846" s="198"/>
      <c r="K846" s="198"/>
      <c r="L846" s="198"/>
      <c r="M846" s="198"/>
      <c r="N846" s="198"/>
      <c r="O846" s="198"/>
      <c r="P846" s="198"/>
      <c r="Q846" s="198"/>
      <c r="R846" s="198"/>
      <c r="S846" s="198"/>
      <c r="T846" s="198"/>
      <c r="U846" s="198"/>
      <c r="V846" s="198"/>
      <c r="W846" s="198"/>
      <c r="X846" s="198"/>
      <c r="Y846" s="198"/>
      <c r="Z846" s="198"/>
    </row>
    <row r="847" spans="1:26" ht="15.75" hidden="1" customHeight="1" x14ac:dyDescent="0.25">
      <c r="A847" s="213">
        <v>6117</v>
      </c>
      <c r="B847" s="214" t="s">
        <v>9337</v>
      </c>
      <c r="C847" s="215" t="s">
        <v>2193</v>
      </c>
      <c r="D847" s="216">
        <v>20.72</v>
      </c>
      <c r="E847" s="198"/>
      <c r="F847" s="198"/>
      <c r="G847" s="198"/>
      <c r="H847" s="198"/>
      <c r="I847" s="198"/>
      <c r="J847" s="198"/>
      <c r="K847" s="198"/>
      <c r="L847" s="198"/>
      <c r="M847" s="198"/>
      <c r="N847" s="198"/>
      <c r="O847" s="198"/>
      <c r="P847" s="198"/>
      <c r="Q847" s="198"/>
      <c r="R847" s="198"/>
      <c r="S847" s="198"/>
      <c r="T847" s="198"/>
      <c r="U847" s="198"/>
      <c r="V847" s="198"/>
      <c r="W847" s="198"/>
      <c r="X847" s="198"/>
      <c r="Y847" s="198"/>
      <c r="Z847" s="198"/>
    </row>
    <row r="848" spans="1:26" ht="15.75" hidden="1" customHeight="1" x14ac:dyDescent="0.25">
      <c r="A848" s="213">
        <v>40913</v>
      </c>
      <c r="B848" s="214" t="s">
        <v>9338</v>
      </c>
      <c r="C848" s="215" t="s">
        <v>6214</v>
      </c>
      <c r="D848" s="216">
        <v>3637.57</v>
      </c>
      <c r="E848" s="198"/>
      <c r="F848" s="198"/>
      <c r="G848" s="198"/>
      <c r="H848" s="198"/>
      <c r="I848" s="198"/>
      <c r="J848" s="198"/>
      <c r="K848" s="198"/>
      <c r="L848" s="198"/>
      <c r="M848" s="198"/>
      <c r="N848" s="198"/>
      <c r="O848" s="198"/>
      <c r="P848" s="198"/>
      <c r="Q848" s="198"/>
      <c r="R848" s="198"/>
      <c r="S848" s="198"/>
      <c r="T848" s="198"/>
      <c r="U848" s="198"/>
      <c r="V848" s="198"/>
      <c r="W848" s="198"/>
      <c r="X848" s="198"/>
      <c r="Y848" s="198"/>
      <c r="Z848" s="198"/>
    </row>
    <row r="849" spans="1:26" ht="15.75" hidden="1" customHeight="1" x14ac:dyDescent="0.25">
      <c r="A849" s="213">
        <v>1214</v>
      </c>
      <c r="B849" s="214" t="s">
        <v>9339</v>
      </c>
      <c r="C849" s="215" t="s">
        <v>2193</v>
      </c>
      <c r="D849" s="216">
        <v>25.48</v>
      </c>
      <c r="E849" s="198"/>
      <c r="F849" s="198"/>
      <c r="G849" s="198"/>
      <c r="H849" s="198"/>
      <c r="I849" s="198"/>
      <c r="J849" s="198"/>
      <c r="K849" s="198"/>
      <c r="L849" s="198"/>
      <c r="M849" s="198"/>
      <c r="N849" s="198"/>
      <c r="O849" s="198"/>
      <c r="P849" s="198"/>
      <c r="Q849" s="198"/>
      <c r="R849" s="198"/>
      <c r="S849" s="198"/>
      <c r="T849" s="198"/>
      <c r="U849" s="198"/>
      <c r="V849" s="198"/>
      <c r="W849" s="198"/>
      <c r="X849" s="198"/>
      <c r="Y849" s="198"/>
      <c r="Z849" s="198"/>
    </row>
    <row r="850" spans="1:26" ht="15.75" hidden="1" customHeight="1" x14ac:dyDescent="0.25">
      <c r="A850" s="213">
        <v>40915</v>
      </c>
      <c r="B850" s="214" t="s">
        <v>9340</v>
      </c>
      <c r="C850" s="215" t="s">
        <v>6214</v>
      </c>
      <c r="D850" s="216">
        <v>4470.5200000000004</v>
      </c>
      <c r="E850" s="198"/>
      <c r="F850" s="198"/>
      <c r="G850" s="198"/>
      <c r="H850" s="198"/>
      <c r="I850" s="198"/>
      <c r="J850" s="198"/>
      <c r="K850" s="198"/>
      <c r="L850" s="198"/>
      <c r="M850" s="198"/>
      <c r="N850" s="198"/>
      <c r="O850" s="198"/>
      <c r="P850" s="198"/>
      <c r="Q850" s="198"/>
      <c r="R850" s="198"/>
      <c r="S850" s="198"/>
      <c r="T850" s="198"/>
      <c r="U850" s="198"/>
      <c r="V850" s="198"/>
      <c r="W850" s="198"/>
      <c r="X850" s="198"/>
      <c r="Y850" s="198"/>
      <c r="Z850" s="198"/>
    </row>
    <row r="851" spans="1:26" ht="15.75" hidden="1" customHeight="1" x14ac:dyDescent="0.25">
      <c r="A851" s="213">
        <v>40914</v>
      </c>
      <c r="B851" s="214" t="s">
        <v>9341</v>
      </c>
      <c r="C851" s="215" t="s">
        <v>6214</v>
      </c>
      <c r="D851" s="216">
        <v>4747.54</v>
      </c>
      <c r="E851" s="198"/>
      <c r="F851" s="198"/>
      <c r="G851" s="198"/>
      <c r="H851" s="198"/>
      <c r="I851" s="198"/>
      <c r="J851" s="198"/>
      <c r="K851" s="198"/>
      <c r="L851" s="198"/>
      <c r="M851" s="198"/>
      <c r="N851" s="198"/>
      <c r="O851" s="198"/>
      <c r="P851" s="198"/>
      <c r="Q851" s="198"/>
      <c r="R851" s="198"/>
      <c r="S851" s="198"/>
      <c r="T851" s="198"/>
      <c r="U851" s="198"/>
      <c r="V851" s="198"/>
      <c r="W851" s="198"/>
      <c r="X851" s="198"/>
      <c r="Y851" s="198"/>
      <c r="Z851" s="198"/>
    </row>
    <row r="852" spans="1:26" ht="15.75" hidden="1" customHeight="1" x14ac:dyDescent="0.25">
      <c r="A852" s="213">
        <v>1213</v>
      </c>
      <c r="B852" s="214" t="s">
        <v>9342</v>
      </c>
      <c r="C852" s="215" t="s">
        <v>2193</v>
      </c>
      <c r="D852" s="216">
        <v>27.06</v>
      </c>
      <c r="E852" s="198"/>
      <c r="F852" s="198"/>
      <c r="G852" s="198"/>
      <c r="H852" s="198"/>
      <c r="I852" s="198"/>
      <c r="J852" s="198"/>
      <c r="K852" s="198"/>
      <c r="L852" s="198"/>
      <c r="M852" s="198"/>
      <c r="N852" s="198"/>
      <c r="O852" s="198"/>
      <c r="P852" s="198"/>
      <c r="Q852" s="198"/>
      <c r="R852" s="198"/>
      <c r="S852" s="198"/>
      <c r="T852" s="198"/>
      <c r="U852" s="198"/>
      <c r="V852" s="198"/>
      <c r="W852" s="198"/>
      <c r="X852" s="198"/>
      <c r="Y852" s="198"/>
      <c r="Z852" s="198"/>
    </row>
    <row r="853" spans="1:26" ht="15.75" hidden="1" customHeight="1" x14ac:dyDescent="0.25">
      <c r="A853" s="213">
        <v>5091</v>
      </c>
      <c r="B853" s="214" t="s">
        <v>9343</v>
      </c>
      <c r="C853" s="215" t="s">
        <v>580</v>
      </c>
      <c r="D853" s="216">
        <v>19.04</v>
      </c>
      <c r="E853" s="198"/>
      <c r="F853" s="198"/>
      <c r="G853" s="198"/>
      <c r="H853" s="198"/>
      <c r="I853" s="198"/>
      <c r="J853" s="198"/>
      <c r="K853" s="198"/>
      <c r="L853" s="198"/>
      <c r="M853" s="198"/>
      <c r="N853" s="198"/>
      <c r="O853" s="198"/>
      <c r="P853" s="198"/>
      <c r="Q853" s="198"/>
      <c r="R853" s="198"/>
      <c r="S853" s="198"/>
      <c r="T853" s="198"/>
      <c r="U853" s="198"/>
      <c r="V853" s="198"/>
      <c r="W853" s="198"/>
      <c r="X853" s="198"/>
      <c r="Y853" s="198"/>
      <c r="Z853" s="198"/>
    </row>
    <row r="854" spans="1:26" ht="15.75" hidden="1" customHeight="1" x14ac:dyDescent="0.25">
      <c r="A854" s="213">
        <v>2711</v>
      </c>
      <c r="B854" s="214" t="s">
        <v>9344</v>
      </c>
      <c r="C854" s="215" t="s">
        <v>580</v>
      </c>
      <c r="D854" s="216">
        <v>149.9</v>
      </c>
      <c r="E854" s="198"/>
      <c r="F854" s="198"/>
      <c r="G854" s="198"/>
      <c r="H854" s="198"/>
      <c r="I854" s="198"/>
      <c r="J854" s="198"/>
      <c r="K854" s="198"/>
      <c r="L854" s="198"/>
      <c r="M854" s="198"/>
      <c r="N854" s="198"/>
      <c r="O854" s="198"/>
      <c r="P854" s="198"/>
      <c r="Q854" s="198"/>
      <c r="R854" s="198"/>
      <c r="S854" s="198"/>
      <c r="T854" s="198"/>
      <c r="U854" s="198"/>
      <c r="V854" s="198"/>
      <c r="W854" s="198"/>
      <c r="X854" s="198"/>
      <c r="Y854" s="198"/>
      <c r="Z854" s="198"/>
    </row>
    <row r="855" spans="1:26" ht="15.75" hidden="1" customHeight="1" x14ac:dyDescent="0.25">
      <c r="A855" s="213">
        <v>37727</v>
      </c>
      <c r="B855" s="214" t="s">
        <v>9345</v>
      </c>
      <c r="C855" s="215" t="s">
        <v>580</v>
      </c>
      <c r="D855" s="216">
        <v>16990</v>
      </c>
      <c r="E855" s="198"/>
      <c r="F855" s="198"/>
      <c r="G855" s="198"/>
      <c r="H855" s="198"/>
      <c r="I855" s="198"/>
      <c r="J855" s="198"/>
      <c r="K855" s="198"/>
      <c r="L855" s="198"/>
      <c r="M855" s="198"/>
      <c r="N855" s="198"/>
      <c r="O855" s="198"/>
      <c r="P855" s="198"/>
      <c r="Q855" s="198"/>
      <c r="R855" s="198"/>
      <c r="S855" s="198"/>
      <c r="T855" s="198"/>
      <c r="U855" s="198"/>
      <c r="V855" s="198"/>
      <c r="W855" s="198"/>
      <c r="X855" s="198"/>
      <c r="Y855" s="198"/>
      <c r="Z855" s="198"/>
    </row>
    <row r="856" spans="1:26" ht="15.75" hidden="1" customHeight="1" x14ac:dyDescent="0.25">
      <c r="A856" s="213">
        <v>37728</v>
      </c>
      <c r="B856" s="214" t="s">
        <v>9346</v>
      </c>
      <c r="C856" s="215" t="s">
        <v>580</v>
      </c>
      <c r="D856" s="216">
        <v>23049.37</v>
      </c>
      <c r="E856" s="198"/>
      <c r="F856" s="198"/>
      <c r="G856" s="198"/>
      <c r="H856" s="198"/>
      <c r="I856" s="198"/>
      <c r="J856" s="198"/>
      <c r="K856" s="198"/>
      <c r="L856" s="198"/>
      <c r="M856" s="198"/>
      <c r="N856" s="198"/>
      <c r="O856" s="198"/>
      <c r="P856" s="198"/>
      <c r="Q856" s="198"/>
      <c r="R856" s="198"/>
      <c r="S856" s="198"/>
      <c r="T856" s="198"/>
      <c r="U856" s="198"/>
      <c r="V856" s="198"/>
      <c r="W856" s="198"/>
      <c r="X856" s="198"/>
      <c r="Y856" s="198"/>
      <c r="Z856" s="198"/>
    </row>
    <row r="857" spans="1:26" ht="15.75" hidden="1" customHeight="1" x14ac:dyDescent="0.25">
      <c r="A857" s="213">
        <v>37729</v>
      </c>
      <c r="B857" s="214" t="s">
        <v>9347</v>
      </c>
      <c r="C857" s="215" t="s">
        <v>580</v>
      </c>
      <c r="D857" s="216">
        <v>24950.35</v>
      </c>
      <c r="E857" s="198"/>
      <c r="F857" s="198"/>
      <c r="G857" s="198"/>
      <c r="H857" s="198"/>
      <c r="I857" s="198"/>
      <c r="J857" s="198"/>
      <c r="K857" s="198"/>
      <c r="L857" s="198"/>
      <c r="M857" s="198"/>
      <c r="N857" s="198"/>
      <c r="O857" s="198"/>
      <c r="P857" s="198"/>
      <c r="Q857" s="198"/>
      <c r="R857" s="198"/>
      <c r="S857" s="198"/>
      <c r="T857" s="198"/>
      <c r="U857" s="198"/>
      <c r="V857" s="198"/>
      <c r="W857" s="198"/>
      <c r="X857" s="198"/>
      <c r="Y857" s="198"/>
      <c r="Z857" s="198"/>
    </row>
    <row r="858" spans="1:26" ht="15.75" hidden="1" customHeight="1" x14ac:dyDescent="0.25">
      <c r="A858" s="213">
        <v>37730</v>
      </c>
      <c r="B858" s="214" t="s">
        <v>9348</v>
      </c>
      <c r="C858" s="215" t="s">
        <v>580</v>
      </c>
      <c r="D858" s="216">
        <v>26851.32</v>
      </c>
      <c r="E858" s="198"/>
      <c r="F858" s="198"/>
      <c r="G858" s="198"/>
      <c r="H858" s="198"/>
      <c r="I858" s="198"/>
      <c r="J858" s="198"/>
      <c r="K858" s="198"/>
      <c r="L858" s="198"/>
      <c r="M858" s="198"/>
      <c r="N858" s="198"/>
      <c r="O858" s="198"/>
      <c r="P858" s="198"/>
      <c r="Q858" s="198"/>
      <c r="R858" s="198"/>
      <c r="S858" s="198"/>
      <c r="T858" s="198"/>
      <c r="U858" s="198"/>
      <c r="V858" s="198"/>
      <c r="W858" s="198"/>
      <c r="X858" s="198"/>
      <c r="Y858" s="198"/>
      <c r="Z858" s="198"/>
    </row>
    <row r="859" spans="1:26" ht="15.75" hidden="1" customHeight="1" x14ac:dyDescent="0.25">
      <c r="A859" s="213">
        <v>37731</v>
      </c>
      <c r="B859" s="214" t="s">
        <v>9349</v>
      </c>
      <c r="C859" s="215" t="s">
        <v>580</v>
      </c>
      <c r="D859" s="216">
        <v>28752.3</v>
      </c>
      <c r="E859" s="198"/>
      <c r="F859" s="198"/>
      <c r="G859" s="198"/>
      <c r="H859" s="198"/>
      <c r="I859" s="198"/>
      <c r="J859" s="198"/>
      <c r="K859" s="198"/>
      <c r="L859" s="198"/>
      <c r="M859" s="198"/>
      <c r="N859" s="198"/>
      <c r="O859" s="198"/>
      <c r="P859" s="198"/>
      <c r="Q859" s="198"/>
      <c r="R859" s="198"/>
      <c r="S859" s="198"/>
      <c r="T859" s="198"/>
      <c r="U859" s="198"/>
      <c r="V859" s="198"/>
      <c r="W859" s="198"/>
      <c r="X859" s="198"/>
      <c r="Y859" s="198"/>
      <c r="Z859" s="198"/>
    </row>
    <row r="860" spans="1:26" ht="15.75" hidden="1" customHeight="1" x14ac:dyDescent="0.25">
      <c r="A860" s="213">
        <v>37732</v>
      </c>
      <c r="B860" s="214" t="s">
        <v>9350</v>
      </c>
      <c r="C860" s="215" t="s">
        <v>580</v>
      </c>
      <c r="D860" s="216">
        <v>32791.879999999997</v>
      </c>
      <c r="E860" s="198"/>
      <c r="F860" s="198"/>
      <c r="G860" s="198"/>
      <c r="H860" s="198"/>
      <c r="I860" s="198"/>
      <c r="J860" s="198"/>
      <c r="K860" s="198"/>
      <c r="L860" s="198"/>
      <c r="M860" s="198"/>
      <c r="N860" s="198"/>
      <c r="O860" s="198"/>
      <c r="P860" s="198"/>
      <c r="Q860" s="198"/>
      <c r="R860" s="198"/>
      <c r="S860" s="198"/>
      <c r="T860" s="198"/>
      <c r="U860" s="198"/>
      <c r="V860" s="198"/>
      <c r="W860" s="198"/>
      <c r="X860" s="198"/>
      <c r="Y860" s="198"/>
      <c r="Z860" s="198"/>
    </row>
    <row r="861" spans="1:26" ht="15.75" hidden="1" customHeight="1" x14ac:dyDescent="0.25">
      <c r="A861" s="213">
        <v>37762</v>
      </c>
      <c r="B861" s="214" t="s">
        <v>9351</v>
      </c>
      <c r="C861" s="215" t="s">
        <v>580</v>
      </c>
      <c r="D861" s="216">
        <v>708321.63</v>
      </c>
      <c r="E861" s="198"/>
      <c r="F861" s="198"/>
      <c r="G861" s="198"/>
      <c r="H861" s="198"/>
      <c r="I861" s="198"/>
      <c r="J861" s="198"/>
      <c r="K861" s="198"/>
      <c r="L861" s="198"/>
      <c r="M861" s="198"/>
      <c r="N861" s="198"/>
      <c r="O861" s="198"/>
      <c r="P861" s="198"/>
      <c r="Q861" s="198"/>
      <c r="R861" s="198"/>
      <c r="S861" s="198"/>
      <c r="T861" s="198"/>
      <c r="U861" s="198"/>
      <c r="V861" s="198"/>
      <c r="W861" s="198"/>
      <c r="X861" s="198"/>
      <c r="Y861" s="198"/>
      <c r="Z861" s="198"/>
    </row>
    <row r="862" spans="1:26" ht="15.75" hidden="1" customHeight="1" x14ac:dyDescent="0.25">
      <c r="A862" s="213">
        <v>37763</v>
      </c>
      <c r="B862" s="214" t="s">
        <v>9352</v>
      </c>
      <c r="C862" s="215" t="s">
        <v>580</v>
      </c>
      <c r="D862" s="216">
        <v>716924.61</v>
      </c>
      <c r="E862" s="198"/>
      <c r="F862" s="198"/>
      <c r="G862" s="198"/>
      <c r="H862" s="198"/>
      <c r="I862" s="198"/>
      <c r="J862" s="198"/>
      <c r="K862" s="198"/>
      <c r="L862" s="198"/>
      <c r="M862" s="198"/>
      <c r="N862" s="198"/>
      <c r="O862" s="198"/>
      <c r="P862" s="198"/>
      <c r="Q862" s="198"/>
      <c r="R862" s="198"/>
      <c r="S862" s="198"/>
      <c r="T862" s="198"/>
      <c r="U862" s="198"/>
      <c r="V862" s="198"/>
      <c r="W862" s="198"/>
      <c r="X862" s="198"/>
      <c r="Y862" s="198"/>
      <c r="Z862" s="198"/>
    </row>
    <row r="863" spans="1:26" ht="15.75" hidden="1" customHeight="1" x14ac:dyDescent="0.25">
      <c r="A863" s="213">
        <v>41992</v>
      </c>
      <c r="B863" s="214" t="s">
        <v>9353</v>
      </c>
      <c r="C863" s="215" t="s">
        <v>580</v>
      </c>
      <c r="D863" s="216">
        <v>815000</v>
      </c>
      <c r="E863" s="198"/>
      <c r="F863" s="198"/>
      <c r="G863" s="198"/>
      <c r="H863" s="198"/>
      <c r="I863" s="198"/>
      <c r="J863" s="198"/>
      <c r="K863" s="198"/>
      <c r="L863" s="198"/>
      <c r="M863" s="198"/>
      <c r="N863" s="198"/>
      <c r="O863" s="198"/>
      <c r="P863" s="198"/>
      <c r="Q863" s="198"/>
      <c r="R863" s="198"/>
      <c r="S863" s="198"/>
      <c r="T863" s="198"/>
      <c r="U863" s="198"/>
      <c r="V863" s="198"/>
      <c r="W863" s="198"/>
      <c r="X863" s="198"/>
      <c r="Y863" s="198"/>
      <c r="Z863" s="198"/>
    </row>
    <row r="864" spans="1:26" ht="15.75" hidden="1" customHeight="1" x14ac:dyDescent="0.25">
      <c r="A864" s="213">
        <v>10630</v>
      </c>
      <c r="B864" s="214" t="s">
        <v>9354</v>
      </c>
      <c r="C864" s="215" t="s">
        <v>580</v>
      </c>
      <c r="D864" s="216">
        <v>825897.12</v>
      </c>
      <c r="E864" s="198"/>
      <c r="F864" s="198"/>
      <c r="G864" s="198"/>
      <c r="H864" s="198"/>
      <c r="I864" s="198"/>
      <c r="J864" s="198"/>
      <c r="K864" s="198"/>
      <c r="L864" s="198"/>
      <c r="M864" s="198"/>
      <c r="N864" s="198"/>
      <c r="O864" s="198"/>
      <c r="P864" s="198"/>
      <c r="Q864" s="198"/>
      <c r="R864" s="198"/>
      <c r="S864" s="198"/>
      <c r="T864" s="198"/>
      <c r="U864" s="198"/>
      <c r="V864" s="198"/>
      <c r="W864" s="198"/>
      <c r="X864" s="198"/>
      <c r="Y864" s="198"/>
      <c r="Z864" s="198"/>
    </row>
    <row r="865" spans="1:26" ht="15.75" hidden="1" customHeight="1" x14ac:dyDescent="0.25">
      <c r="A865" s="213">
        <v>13215</v>
      </c>
      <c r="B865" s="214" t="s">
        <v>9355</v>
      </c>
      <c r="C865" s="215" t="s">
        <v>580</v>
      </c>
      <c r="D865" s="216">
        <v>999392.93</v>
      </c>
      <c r="E865" s="198"/>
      <c r="F865" s="198"/>
      <c r="G865" s="198"/>
      <c r="H865" s="198"/>
      <c r="I865" s="198"/>
      <c r="J865" s="198"/>
      <c r="K865" s="198"/>
      <c r="L865" s="198"/>
      <c r="M865" s="198"/>
      <c r="N865" s="198"/>
      <c r="O865" s="198"/>
      <c r="P865" s="198"/>
      <c r="Q865" s="198"/>
      <c r="R865" s="198"/>
      <c r="S865" s="198"/>
      <c r="T865" s="198"/>
      <c r="U865" s="198"/>
      <c r="V865" s="198"/>
      <c r="W865" s="198"/>
      <c r="X865" s="198"/>
      <c r="Y865" s="198"/>
      <c r="Z865" s="198"/>
    </row>
    <row r="866" spans="1:26" ht="15.75" hidden="1" customHeight="1" x14ac:dyDescent="0.25">
      <c r="A866" s="213">
        <v>4235</v>
      </c>
      <c r="B866" s="214" t="s">
        <v>9356</v>
      </c>
      <c r="C866" s="215" t="s">
        <v>2193</v>
      </c>
      <c r="D866" s="216">
        <v>21.55</v>
      </c>
      <c r="E866" s="198"/>
      <c r="F866" s="198"/>
      <c r="G866" s="198"/>
      <c r="H866" s="198"/>
      <c r="I866" s="198"/>
      <c r="J866" s="198"/>
      <c r="K866" s="198"/>
      <c r="L866" s="198"/>
      <c r="M866" s="198"/>
      <c r="N866" s="198"/>
      <c r="O866" s="198"/>
      <c r="P866" s="198"/>
      <c r="Q866" s="198"/>
      <c r="R866" s="198"/>
      <c r="S866" s="198"/>
      <c r="T866" s="198"/>
      <c r="U866" s="198"/>
      <c r="V866" s="198"/>
      <c r="W866" s="198"/>
      <c r="X866" s="198"/>
      <c r="Y866" s="198"/>
      <c r="Z866" s="198"/>
    </row>
    <row r="867" spans="1:26" ht="15.75" hidden="1" customHeight="1" x14ac:dyDescent="0.25">
      <c r="A867" s="213">
        <v>40976</v>
      </c>
      <c r="B867" s="214" t="s">
        <v>9357</v>
      </c>
      <c r="C867" s="215" t="s">
        <v>6214</v>
      </c>
      <c r="D867" s="216">
        <v>3780.09</v>
      </c>
      <c r="E867" s="198"/>
      <c r="F867" s="198"/>
      <c r="G867" s="198"/>
      <c r="H867" s="198"/>
      <c r="I867" s="198"/>
      <c r="J867" s="198"/>
      <c r="K867" s="198"/>
      <c r="L867" s="198"/>
      <c r="M867" s="198"/>
      <c r="N867" s="198"/>
      <c r="O867" s="198"/>
      <c r="P867" s="198"/>
      <c r="Q867" s="198"/>
      <c r="R867" s="198"/>
      <c r="S867" s="198"/>
      <c r="T867" s="198"/>
      <c r="U867" s="198"/>
      <c r="V867" s="198"/>
      <c r="W867" s="198"/>
      <c r="X867" s="198"/>
      <c r="Y867" s="198"/>
      <c r="Z867" s="198"/>
    </row>
    <row r="868" spans="1:26" ht="15.75" hidden="1" customHeight="1" x14ac:dyDescent="0.25">
      <c r="A868" s="213">
        <v>43091</v>
      </c>
      <c r="B868" s="214" t="s">
        <v>9358</v>
      </c>
      <c r="C868" s="215" t="s">
        <v>580</v>
      </c>
      <c r="D868" s="216">
        <v>9922.85</v>
      </c>
      <c r="E868" s="198"/>
      <c r="F868" s="198"/>
      <c r="G868" s="198"/>
      <c r="H868" s="198"/>
      <c r="I868" s="198"/>
      <c r="J868" s="198"/>
      <c r="K868" s="198"/>
      <c r="L868" s="198"/>
      <c r="M868" s="198"/>
      <c r="N868" s="198"/>
      <c r="O868" s="198"/>
      <c r="P868" s="198"/>
      <c r="Q868" s="198"/>
      <c r="R868" s="198"/>
      <c r="S868" s="198"/>
      <c r="T868" s="198"/>
      <c r="U868" s="198"/>
      <c r="V868" s="198"/>
      <c r="W868" s="198"/>
      <c r="X868" s="198"/>
      <c r="Y868" s="198"/>
      <c r="Z868" s="198"/>
    </row>
    <row r="869" spans="1:26" ht="15.75" hidden="1" customHeight="1" x14ac:dyDescent="0.25">
      <c r="A869" s="213">
        <v>43092</v>
      </c>
      <c r="B869" s="214" t="s">
        <v>9359</v>
      </c>
      <c r="C869" s="215" t="s">
        <v>580</v>
      </c>
      <c r="D869" s="216">
        <v>13230.47</v>
      </c>
      <c r="E869" s="198"/>
      <c r="F869" s="198"/>
      <c r="G869" s="198"/>
      <c r="H869" s="198"/>
      <c r="I869" s="198"/>
      <c r="J869" s="198"/>
      <c r="K869" s="198"/>
      <c r="L869" s="198"/>
      <c r="M869" s="198"/>
      <c r="N869" s="198"/>
      <c r="O869" s="198"/>
      <c r="P869" s="198"/>
      <c r="Q869" s="198"/>
      <c r="R869" s="198"/>
      <c r="S869" s="198"/>
      <c r="T869" s="198"/>
      <c r="U869" s="198"/>
      <c r="V869" s="198"/>
      <c r="W869" s="198"/>
      <c r="X869" s="198"/>
      <c r="Y869" s="198"/>
      <c r="Z869" s="198"/>
    </row>
    <row r="870" spans="1:26" ht="15.75" hidden="1" customHeight="1" x14ac:dyDescent="0.25">
      <c r="A870" s="213">
        <v>43089</v>
      </c>
      <c r="B870" s="214" t="s">
        <v>9360</v>
      </c>
      <c r="C870" s="215" t="s">
        <v>580</v>
      </c>
      <c r="D870" s="216">
        <v>2305.79</v>
      </c>
      <c r="E870" s="198"/>
      <c r="F870" s="198"/>
      <c r="G870" s="198"/>
      <c r="H870" s="198"/>
      <c r="I870" s="198"/>
      <c r="J870" s="198"/>
      <c r="K870" s="198"/>
      <c r="L870" s="198"/>
      <c r="M870" s="198"/>
      <c r="N870" s="198"/>
      <c r="O870" s="198"/>
      <c r="P870" s="198"/>
      <c r="Q870" s="198"/>
      <c r="R870" s="198"/>
      <c r="S870" s="198"/>
      <c r="T870" s="198"/>
      <c r="U870" s="198"/>
      <c r="V870" s="198"/>
      <c r="W870" s="198"/>
      <c r="X870" s="198"/>
      <c r="Y870" s="198"/>
      <c r="Z870" s="198"/>
    </row>
    <row r="871" spans="1:26" ht="15.75" hidden="1" customHeight="1" x14ac:dyDescent="0.25">
      <c r="A871" s="213">
        <v>43090</v>
      </c>
      <c r="B871" s="214" t="s">
        <v>9361</v>
      </c>
      <c r="C871" s="215" t="s">
        <v>580</v>
      </c>
      <c r="D871" s="216">
        <v>5088.6400000000003</v>
      </c>
      <c r="E871" s="198"/>
      <c r="F871" s="198"/>
      <c r="G871" s="198"/>
      <c r="H871" s="198"/>
      <c r="I871" s="198"/>
      <c r="J871" s="198"/>
      <c r="K871" s="198"/>
      <c r="L871" s="198"/>
      <c r="M871" s="198"/>
      <c r="N871" s="198"/>
      <c r="O871" s="198"/>
      <c r="P871" s="198"/>
      <c r="Q871" s="198"/>
      <c r="R871" s="198"/>
      <c r="S871" s="198"/>
      <c r="T871" s="198"/>
      <c r="U871" s="198"/>
      <c r="V871" s="198"/>
      <c r="W871" s="198"/>
      <c r="X871" s="198"/>
      <c r="Y871" s="198"/>
      <c r="Z871" s="198"/>
    </row>
    <row r="872" spans="1:26" ht="15.75" hidden="1" customHeight="1" x14ac:dyDescent="0.25">
      <c r="A872" s="213">
        <v>41967</v>
      </c>
      <c r="B872" s="214" t="s">
        <v>9362</v>
      </c>
      <c r="C872" s="215" t="s">
        <v>517</v>
      </c>
      <c r="D872" s="216">
        <v>20.25</v>
      </c>
      <c r="E872" s="198"/>
      <c r="F872" s="198"/>
      <c r="G872" s="198"/>
      <c r="H872" s="198"/>
      <c r="I872" s="198"/>
      <c r="J872" s="198"/>
      <c r="K872" s="198"/>
      <c r="L872" s="198"/>
      <c r="M872" s="198"/>
      <c r="N872" s="198"/>
      <c r="O872" s="198"/>
      <c r="P872" s="198"/>
      <c r="Q872" s="198"/>
      <c r="R872" s="198"/>
      <c r="S872" s="198"/>
      <c r="T872" s="198"/>
      <c r="U872" s="198"/>
      <c r="V872" s="198"/>
      <c r="W872" s="198"/>
      <c r="X872" s="198"/>
      <c r="Y872" s="198"/>
      <c r="Z872" s="198"/>
    </row>
    <row r="873" spans="1:26" ht="15.75" hidden="1" customHeight="1" x14ac:dyDescent="0.25">
      <c r="A873" s="213">
        <v>12760</v>
      </c>
      <c r="B873" s="214" t="s">
        <v>9363</v>
      </c>
      <c r="C873" s="215" t="s">
        <v>578</v>
      </c>
      <c r="D873" s="216">
        <v>1689.72</v>
      </c>
      <c r="E873" s="198"/>
      <c r="F873" s="198"/>
      <c r="G873" s="198"/>
      <c r="H873" s="198"/>
      <c r="I873" s="198"/>
      <c r="J873" s="198"/>
      <c r="K873" s="198"/>
      <c r="L873" s="198"/>
      <c r="M873" s="198"/>
      <c r="N873" s="198"/>
      <c r="O873" s="198"/>
      <c r="P873" s="198"/>
      <c r="Q873" s="198"/>
      <c r="R873" s="198"/>
      <c r="S873" s="198"/>
      <c r="T873" s="198"/>
      <c r="U873" s="198"/>
      <c r="V873" s="198"/>
      <c r="W873" s="198"/>
      <c r="X873" s="198"/>
      <c r="Y873" s="198"/>
      <c r="Z873" s="198"/>
    </row>
    <row r="874" spans="1:26" ht="15.75" hidden="1" customHeight="1" x14ac:dyDescent="0.25">
      <c r="A874" s="213">
        <v>12759</v>
      </c>
      <c r="B874" s="214" t="s">
        <v>9364</v>
      </c>
      <c r="C874" s="215" t="s">
        <v>578</v>
      </c>
      <c r="D874" s="216">
        <v>1126.46</v>
      </c>
      <c r="E874" s="198"/>
      <c r="F874" s="198"/>
      <c r="G874" s="198"/>
      <c r="H874" s="198"/>
      <c r="I874" s="198"/>
      <c r="J874" s="198"/>
      <c r="K874" s="198"/>
      <c r="L874" s="198"/>
      <c r="M874" s="198"/>
      <c r="N874" s="198"/>
      <c r="O874" s="198"/>
      <c r="P874" s="198"/>
      <c r="Q874" s="198"/>
      <c r="R874" s="198"/>
      <c r="S874" s="198"/>
      <c r="T874" s="198"/>
      <c r="U874" s="198"/>
      <c r="V874" s="198"/>
      <c r="W874" s="198"/>
      <c r="X874" s="198"/>
      <c r="Y874" s="198"/>
      <c r="Z874" s="198"/>
    </row>
    <row r="875" spans="1:26" ht="15.75" hidden="1" customHeight="1" x14ac:dyDescent="0.25">
      <c r="A875" s="213">
        <v>1345</v>
      </c>
      <c r="B875" s="214" t="s">
        <v>9365</v>
      </c>
      <c r="C875" s="215" t="s">
        <v>578</v>
      </c>
      <c r="D875" s="216">
        <v>74.959999999999994</v>
      </c>
      <c r="E875" s="198"/>
      <c r="F875" s="198"/>
      <c r="G875" s="198"/>
      <c r="H875" s="198"/>
      <c r="I875" s="198"/>
      <c r="J875" s="198"/>
      <c r="K875" s="198"/>
      <c r="L875" s="198"/>
      <c r="M875" s="198"/>
      <c r="N875" s="198"/>
      <c r="O875" s="198"/>
      <c r="P875" s="198"/>
      <c r="Q875" s="198"/>
      <c r="R875" s="198"/>
      <c r="S875" s="198"/>
      <c r="T875" s="198"/>
      <c r="U875" s="198"/>
      <c r="V875" s="198"/>
      <c r="W875" s="198"/>
      <c r="X875" s="198"/>
      <c r="Y875" s="198"/>
      <c r="Z875" s="198"/>
    </row>
    <row r="876" spans="1:26" ht="15.75" hidden="1" customHeight="1" x14ac:dyDescent="0.25">
      <c r="A876" s="213">
        <v>1346</v>
      </c>
      <c r="B876" s="214" t="s">
        <v>9366</v>
      </c>
      <c r="C876" s="215" t="s">
        <v>578</v>
      </c>
      <c r="D876" s="216">
        <v>43.6</v>
      </c>
      <c r="E876" s="198"/>
      <c r="F876" s="198"/>
      <c r="G876" s="198"/>
      <c r="H876" s="198"/>
      <c r="I876" s="198"/>
      <c r="J876" s="198"/>
      <c r="K876" s="198"/>
      <c r="L876" s="198"/>
      <c r="M876" s="198"/>
      <c r="N876" s="198"/>
      <c r="O876" s="198"/>
      <c r="P876" s="198"/>
      <c r="Q876" s="198"/>
      <c r="R876" s="198"/>
      <c r="S876" s="198"/>
      <c r="T876" s="198"/>
      <c r="U876" s="198"/>
      <c r="V876" s="198"/>
      <c r="W876" s="198"/>
      <c r="X876" s="198"/>
      <c r="Y876" s="198"/>
      <c r="Z876" s="198"/>
    </row>
    <row r="877" spans="1:26" ht="15.75" hidden="1" customHeight="1" x14ac:dyDescent="0.25">
      <c r="A877" s="213">
        <v>1347</v>
      </c>
      <c r="B877" s="214" t="s">
        <v>9367</v>
      </c>
      <c r="C877" s="215" t="s">
        <v>578</v>
      </c>
      <c r="D877" s="216">
        <v>54.03</v>
      </c>
      <c r="E877" s="198"/>
      <c r="F877" s="198"/>
      <c r="G877" s="198"/>
      <c r="H877" s="198"/>
      <c r="I877" s="198"/>
      <c r="J877" s="198"/>
      <c r="K877" s="198"/>
      <c r="L877" s="198"/>
      <c r="M877" s="198"/>
      <c r="N877" s="198"/>
      <c r="O877" s="198"/>
      <c r="P877" s="198"/>
      <c r="Q877" s="198"/>
      <c r="R877" s="198"/>
      <c r="S877" s="198"/>
      <c r="T877" s="198"/>
      <c r="U877" s="198"/>
      <c r="V877" s="198"/>
      <c r="W877" s="198"/>
      <c r="X877" s="198"/>
      <c r="Y877" s="198"/>
      <c r="Z877" s="198"/>
    </row>
    <row r="878" spans="1:26" ht="15.75" hidden="1" customHeight="1" x14ac:dyDescent="0.25">
      <c r="A878" s="213">
        <v>43678</v>
      </c>
      <c r="B878" s="214" t="s">
        <v>9368</v>
      </c>
      <c r="C878" s="215" t="s">
        <v>578</v>
      </c>
      <c r="D878" s="216">
        <v>62.67</v>
      </c>
      <c r="E878" s="198"/>
      <c r="F878" s="198"/>
      <c r="G878" s="198"/>
      <c r="H878" s="198"/>
      <c r="I878" s="198"/>
      <c r="J878" s="198"/>
      <c r="K878" s="198"/>
      <c r="L878" s="198"/>
      <c r="M878" s="198"/>
      <c r="N878" s="198"/>
      <c r="O878" s="198"/>
      <c r="P878" s="198"/>
      <c r="Q878" s="198"/>
      <c r="R878" s="198"/>
      <c r="S878" s="198"/>
      <c r="T878" s="198"/>
      <c r="U878" s="198"/>
      <c r="V878" s="198"/>
      <c r="W878" s="198"/>
      <c r="X878" s="198"/>
      <c r="Y878" s="198"/>
      <c r="Z878" s="198"/>
    </row>
    <row r="879" spans="1:26" ht="15.75" hidden="1" customHeight="1" x14ac:dyDescent="0.25">
      <c r="A879" s="213">
        <v>43680</v>
      </c>
      <c r="B879" s="214" t="s">
        <v>9369</v>
      </c>
      <c r="C879" s="215" t="s">
        <v>578</v>
      </c>
      <c r="D879" s="216">
        <v>90.28</v>
      </c>
      <c r="E879" s="198"/>
      <c r="F879" s="198"/>
      <c r="G879" s="198"/>
      <c r="H879" s="198"/>
      <c r="I879" s="198"/>
      <c r="J879" s="198"/>
      <c r="K879" s="198"/>
      <c r="L879" s="198"/>
      <c r="M879" s="198"/>
      <c r="N879" s="198"/>
      <c r="O879" s="198"/>
      <c r="P879" s="198"/>
      <c r="Q879" s="198"/>
      <c r="R879" s="198"/>
      <c r="S879" s="198"/>
      <c r="T879" s="198"/>
      <c r="U879" s="198"/>
      <c r="V879" s="198"/>
      <c r="W879" s="198"/>
      <c r="X879" s="198"/>
      <c r="Y879" s="198"/>
      <c r="Z879" s="198"/>
    </row>
    <row r="880" spans="1:26" ht="15.75" hidden="1" customHeight="1" x14ac:dyDescent="0.25">
      <c r="A880" s="213">
        <v>43679</v>
      </c>
      <c r="B880" s="214" t="s">
        <v>9370</v>
      </c>
      <c r="C880" s="215" t="s">
        <v>578</v>
      </c>
      <c r="D880" s="216">
        <v>31.68</v>
      </c>
      <c r="E880" s="198"/>
      <c r="F880" s="198"/>
      <c r="G880" s="198"/>
      <c r="H880" s="198"/>
      <c r="I880" s="198"/>
      <c r="J880" s="198"/>
      <c r="K880" s="198"/>
      <c r="L880" s="198"/>
      <c r="M880" s="198"/>
      <c r="N880" s="198"/>
      <c r="O880" s="198"/>
      <c r="P880" s="198"/>
      <c r="Q880" s="198"/>
      <c r="R880" s="198"/>
      <c r="S880" s="198"/>
      <c r="T880" s="198"/>
      <c r="U880" s="198"/>
      <c r="V880" s="198"/>
      <c r="W880" s="198"/>
      <c r="X880" s="198"/>
      <c r="Y880" s="198"/>
      <c r="Z880" s="198"/>
    </row>
    <row r="881" spans="1:26" ht="15.75" hidden="1" customHeight="1" x14ac:dyDescent="0.25">
      <c r="A881" s="213">
        <v>1355</v>
      </c>
      <c r="B881" s="214" t="s">
        <v>9371</v>
      </c>
      <c r="C881" s="215" t="s">
        <v>578</v>
      </c>
      <c r="D881" s="216">
        <v>36.06</v>
      </c>
      <c r="E881" s="198"/>
      <c r="F881" s="198"/>
      <c r="G881" s="198"/>
      <c r="H881" s="198"/>
      <c r="I881" s="198"/>
      <c r="J881" s="198"/>
      <c r="K881" s="198"/>
      <c r="L881" s="198"/>
      <c r="M881" s="198"/>
      <c r="N881" s="198"/>
      <c r="O881" s="198"/>
      <c r="P881" s="198"/>
      <c r="Q881" s="198"/>
      <c r="R881" s="198"/>
      <c r="S881" s="198"/>
      <c r="T881" s="198"/>
      <c r="U881" s="198"/>
      <c r="V881" s="198"/>
      <c r="W881" s="198"/>
      <c r="X881" s="198"/>
      <c r="Y881" s="198"/>
      <c r="Z881" s="198"/>
    </row>
    <row r="882" spans="1:26" ht="15.75" hidden="1" customHeight="1" x14ac:dyDescent="0.25">
      <c r="A882" s="213">
        <v>1358</v>
      </c>
      <c r="B882" s="214" t="s">
        <v>9372</v>
      </c>
      <c r="C882" s="215" t="s">
        <v>578</v>
      </c>
      <c r="D882" s="216">
        <v>44.26</v>
      </c>
      <c r="E882" s="198"/>
      <c r="F882" s="198"/>
      <c r="G882" s="198"/>
      <c r="H882" s="198"/>
      <c r="I882" s="198"/>
      <c r="J882" s="198"/>
      <c r="K882" s="198"/>
      <c r="L882" s="198"/>
      <c r="M882" s="198"/>
      <c r="N882" s="198"/>
      <c r="O882" s="198"/>
      <c r="P882" s="198"/>
      <c r="Q882" s="198"/>
      <c r="R882" s="198"/>
      <c r="S882" s="198"/>
      <c r="T882" s="198"/>
      <c r="U882" s="198"/>
      <c r="V882" s="198"/>
      <c r="W882" s="198"/>
      <c r="X882" s="198"/>
      <c r="Y882" s="198"/>
      <c r="Z882" s="198"/>
    </row>
    <row r="883" spans="1:26" ht="15.75" hidden="1" customHeight="1" x14ac:dyDescent="0.25">
      <c r="A883" s="213">
        <v>43677</v>
      </c>
      <c r="B883" s="214" t="s">
        <v>9373</v>
      </c>
      <c r="C883" s="215" t="s">
        <v>578</v>
      </c>
      <c r="D883" s="216">
        <v>54.92</v>
      </c>
      <c r="E883" s="198"/>
      <c r="F883" s="198"/>
      <c r="G883" s="198"/>
      <c r="H883" s="198"/>
      <c r="I883" s="198"/>
      <c r="J883" s="198"/>
      <c r="K883" s="198"/>
      <c r="L883" s="198"/>
      <c r="M883" s="198"/>
      <c r="N883" s="198"/>
      <c r="O883" s="198"/>
      <c r="P883" s="198"/>
      <c r="Q883" s="198"/>
      <c r="R883" s="198"/>
      <c r="S883" s="198"/>
      <c r="T883" s="198"/>
      <c r="U883" s="198"/>
      <c r="V883" s="198"/>
      <c r="W883" s="198"/>
      <c r="X883" s="198"/>
      <c r="Y883" s="198"/>
      <c r="Z883" s="198"/>
    </row>
    <row r="884" spans="1:26" ht="15.75" hidden="1" customHeight="1" x14ac:dyDescent="0.25">
      <c r="A884" s="213">
        <v>43682</v>
      </c>
      <c r="B884" s="214" t="s">
        <v>9374</v>
      </c>
      <c r="C884" s="215" t="s">
        <v>578</v>
      </c>
      <c r="D884" s="216">
        <v>16.829999999999998</v>
      </c>
      <c r="E884" s="198"/>
      <c r="F884" s="198"/>
      <c r="G884" s="198"/>
      <c r="H884" s="198"/>
      <c r="I884" s="198"/>
      <c r="J884" s="198"/>
      <c r="K884" s="198"/>
      <c r="L884" s="198"/>
      <c r="M884" s="198"/>
      <c r="N884" s="198"/>
      <c r="O884" s="198"/>
      <c r="P884" s="198"/>
      <c r="Q884" s="198"/>
      <c r="R884" s="198"/>
      <c r="S884" s="198"/>
      <c r="T884" s="198"/>
      <c r="U884" s="198"/>
      <c r="V884" s="198"/>
      <c r="W884" s="198"/>
      <c r="X884" s="198"/>
      <c r="Y884" s="198"/>
      <c r="Z884" s="198"/>
    </row>
    <row r="885" spans="1:26" ht="15.75" hidden="1" customHeight="1" x14ac:dyDescent="0.25">
      <c r="A885" s="213">
        <v>43681</v>
      </c>
      <c r="B885" s="214" t="s">
        <v>9375</v>
      </c>
      <c r="C885" s="215" t="s">
        <v>578</v>
      </c>
      <c r="D885" s="216">
        <v>27.89</v>
      </c>
      <c r="E885" s="198"/>
      <c r="F885" s="198"/>
      <c r="G885" s="198"/>
      <c r="H885" s="198"/>
      <c r="I885" s="198"/>
      <c r="J885" s="198"/>
      <c r="K885" s="198"/>
      <c r="L885" s="198"/>
      <c r="M885" s="198"/>
      <c r="N885" s="198"/>
      <c r="O885" s="198"/>
      <c r="P885" s="198"/>
      <c r="Q885" s="198"/>
      <c r="R885" s="198"/>
      <c r="S885" s="198"/>
      <c r="T885" s="198"/>
      <c r="U885" s="198"/>
      <c r="V885" s="198"/>
      <c r="W885" s="198"/>
      <c r="X885" s="198"/>
      <c r="Y885" s="198"/>
      <c r="Z885" s="198"/>
    </row>
    <row r="886" spans="1:26" ht="15.75" hidden="1" customHeight="1" x14ac:dyDescent="0.25">
      <c r="A886" s="213">
        <v>20971</v>
      </c>
      <c r="B886" s="214" t="s">
        <v>9376</v>
      </c>
      <c r="C886" s="215" t="s">
        <v>580</v>
      </c>
      <c r="D886" s="216">
        <v>26.66</v>
      </c>
      <c r="E886" s="198"/>
      <c r="F886" s="198"/>
      <c r="G886" s="198"/>
      <c r="H886" s="198"/>
      <c r="I886" s="198"/>
      <c r="J886" s="198"/>
      <c r="K886" s="198"/>
      <c r="L886" s="198"/>
      <c r="M886" s="198"/>
      <c r="N886" s="198"/>
      <c r="O886" s="198"/>
      <c r="P886" s="198"/>
      <c r="Q886" s="198"/>
      <c r="R886" s="198"/>
      <c r="S886" s="198"/>
      <c r="T886" s="198"/>
      <c r="U886" s="198"/>
      <c r="V886" s="198"/>
      <c r="W886" s="198"/>
      <c r="X886" s="198"/>
      <c r="Y886" s="198"/>
      <c r="Z886" s="198"/>
    </row>
    <row r="887" spans="1:26" ht="15.75" hidden="1" customHeight="1" x14ac:dyDescent="0.25">
      <c r="A887" s="213">
        <v>39746</v>
      </c>
      <c r="B887" s="214" t="s">
        <v>9377</v>
      </c>
      <c r="C887" s="215" t="s">
        <v>580</v>
      </c>
      <c r="D887" s="216">
        <v>73.66</v>
      </c>
      <c r="E887" s="198"/>
      <c r="F887" s="198"/>
      <c r="G887" s="198"/>
      <c r="H887" s="198"/>
      <c r="I887" s="198"/>
      <c r="J887" s="198"/>
      <c r="K887" s="198"/>
      <c r="L887" s="198"/>
      <c r="M887" s="198"/>
      <c r="N887" s="198"/>
      <c r="O887" s="198"/>
      <c r="P887" s="198"/>
      <c r="Q887" s="198"/>
      <c r="R887" s="198"/>
      <c r="S887" s="198"/>
      <c r="T887" s="198"/>
      <c r="U887" s="198"/>
      <c r="V887" s="198"/>
      <c r="W887" s="198"/>
      <c r="X887" s="198"/>
      <c r="Y887" s="198"/>
      <c r="Z887" s="198"/>
    </row>
    <row r="888" spans="1:26" ht="15.75" hidden="1" customHeight="1" x14ac:dyDescent="0.25">
      <c r="A888" s="213">
        <v>13279</v>
      </c>
      <c r="B888" s="214" t="s">
        <v>9378</v>
      </c>
      <c r="C888" s="215" t="s">
        <v>823</v>
      </c>
      <c r="D888" s="216">
        <v>18.649999999999999</v>
      </c>
      <c r="E888" s="198"/>
      <c r="F888" s="198"/>
      <c r="G888" s="198"/>
      <c r="H888" s="198"/>
      <c r="I888" s="198"/>
      <c r="J888" s="198"/>
      <c r="K888" s="198"/>
      <c r="L888" s="198"/>
      <c r="M888" s="198"/>
      <c r="N888" s="198"/>
      <c r="O888" s="198"/>
      <c r="P888" s="198"/>
      <c r="Q888" s="198"/>
      <c r="R888" s="198"/>
      <c r="S888" s="198"/>
      <c r="T888" s="198"/>
      <c r="U888" s="198"/>
      <c r="V888" s="198"/>
      <c r="W888" s="198"/>
      <c r="X888" s="198"/>
      <c r="Y888" s="198"/>
      <c r="Z888" s="198"/>
    </row>
    <row r="889" spans="1:26" ht="15.75" hidden="1" customHeight="1" x14ac:dyDescent="0.25">
      <c r="A889" s="213">
        <v>11977</v>
      </c>
      <c r="B889" s="214" t="s">
        <v>9379</v>
      </c>
      <c r="C889" s="215" t="s">
        <v>580</v>
      </c>
      <c r="D889" s="216">
        <v>9.66</v>
      </c>
      <c r="E889" s="198"/>
      <c r="F889" s="198"/>
      <c r="G889" s="198"/>
      <c r="H889" s="198"/>
      <c r="I889" s="198"/>
      <c r="J889" s="198"/>
      <c r="K889" s="198"/>
      <c r="L889" s="198"/>
      <c r="M889" s="198"/>
      <c r="N889" s="198"/>
      <c r="O889" s="198"/>
      <c r="P889" s="198"/>
      <c r="Q889" s="198"/>
      <c r="R889" s="198"/>
      <c r="S889" s="198"/>
      <c r="T889" s="198"/>
      <c r="U889" s="198"/>
      <c r="V889" s="198"/>
      <c r="W889" s="198"/>
      <c r="X889" s="198"/>
      <c r="Y889" s="198"/>
      <c r="Z889" s="198"/>
    </row>
    <row r="890" spans="1:26" ht="15.75" hidden="1" customHeight="1" x14ac:dyDescent="0.25">
      <c r="A890" s="213">
        <v>11976</v>
      </c>
      <c r="B890" s="214" t="s">
        <v>9380</v>
      </c>
      <c r="C890" s="215" t="s">
        <v>580</v>
      </c>
      <c r="D890" s="216">
        <v>1.08</v>
      </c>
      <c r="E890" s="198"/>
      <c r="F890" s="198"/>
      <c r="G890" s="198"/>
      <c r="H890" s="198"/>
      <c r="I890" s="198"/>
      <c r="J890" s="198"/>
      <c r="K890" s="198"/>
      <c r="L890" s="198"/>
      <c r="M890" s="198"/>
      <c r="N890" s="198"/>
      <c r="O890" s="198"/>
      <c r="P890" s="198"/>
      <c r="Q890" s="198"/>
      <c r="R890" s="198"/>
      <c r="S890" s="198"/>
      <c r="T890" s="198"/>
      <c r="U890" s="198"/>
      <c r="V890" s="198"/>
      <c r="W890" s="198"/>
      <c r="X890" s="198"/>
      <c r="Y890" s="198"/>
      <c r="Z890" s="198"/>
    </row>
    <row r="891" spans="1:26" ht="15.75" hidden="1" customHeight="1" x14ac:dyDescent="0.25">
      <c r="A891" s="213">
        <v>11975</v>
      </c>
      <c r="B891" s="214" t="s">
        <v>9381</v>
      </c>
      <c r="C891" s="215" t="s">
        <v>580</v>
      </c>
      <c r="D891" s="216">
        <v>21.17</v>
      </c>
      <c r="E891" s="198"/>
      <c r="F891" s="198"/>
      <c r="G891" s="198"/>
      <c r="H891" s="198"/>
      <c r="I891" s="198"/>
      <c r="J891" s="198"/>
      <c r="K891" s="198"/>
      <c r="L891" s="198"/>
      <c r="M891" s="198"/>
      <c r="N891" s="198"/>
      <c r="O891" s="198"/>
      <c r="P891" s="198"/>
      <c r="Q891" s="198"/>
      <c r="R891" s="198"/>
      <c r="S891" s="198"/>
      <c r="T891" s="198"/>
      <c r="U891" s="198"/>
      <c r="V891" s="198"/>
      <c r="W891" s="198"/>
      <c r="X891" s="198"/>
      <c r="Y891" s="198"/>
      <c r="Z891" s="198"/>
    </row>
    <row r="892" spans="1:26" ht="15.75" hidden="1" customHeight="1" x14ac:dyDescent="0.25">
      <c r="A892" s="213">
        <v>1368</v>
      </c>
      <c r="B892" s="214" t="s">
        <v>9382</v>
      </c>
      <c r="C892" s="215" t="s">
        <v>580</v>
      </c>
      <c r="D892" s="216">
        <v>97.05</v>
      </c>
      <c r="E892" s="198"/>
      <c r="F892" s="198"/>
      <c r="G892" s="198"/>
      <c r="H892" s="198"/>
      <c r="I892" s="198"/>
      <c r="J892" s="198"/>
      <c r="K892" s="198"/>
      <c r="L892" s="198"/>
      <c r="M892" s="198"/>
      <c r="N892" s="198"/>
      <c r="O892" s="198"/>
      <c r="P892" s="198"/>
      <c r="Q892" s="198"/>
      <c r="R892" s="198"/>
      <c r="S892" s="198"/>
      <c r="T892" s="198"/>
      <c r="U892" s="198"/>
      <c r="V892" s="198"/>
      <c r="W892" s="198"/>
      <c r="X892" s="198"/>
      <c r="Y892" s="198"/>
      <c r="Z892" s="198"/>
    </row>
    <row r="893" spans="1:26" ht="15.75" hidden="1" customHeight="1" x14ac:dyDescent="0.25">
      <c r="A893" s="213">
        <v>1367</v>
      </c>
      <c r="B893" s="214" t="s">
        <v>9383</v>
      </c>
      <c r="C893" s="215" t="s">
        <v>580</v>
      </c>
      <c r="D893" s="216">
        <v>313.93</v>
      </c>
      <c r="E893" s="198"/>
      <c r="F893" s="198"/>
      <c r="G893" s="198"/>
      <c r="H893" s="198"/>
      <c r="I893" s="198"/>
      <c r="J893" s="198"/>
      <c r="K893" s="198"/>
      <c r="L893" s="198"/>
      <c r="M893" s="198"/>
      <c r="N893" s="198"/>
      <c r="O893" s="198"/>
      <c r="P893" s="198"/>
      <c r="Q893" s="198"/>
      <c r="R893" s="198"/>
      <c r="S893" s="198"/>
      <c r="T893" s="198"/>
      <c r="U893" s="198"/>
      <c r="V893" s="198"/>
      <c r="W893" s="198"/>
      <c r="X893" s="198"/>
      <c r="Y893" s="198"/>
      <c r="Z893" s="198"/>
    </row>
    <row r="894" spans="1:26" ht="15.75" hidden="1" customHeight="1" x14ac:dyDescent="0.25">
      <c r="A894" s="213">
        <v>1380</v>
      </c>
      <c r="B894" s="214" t="s">
        <v>9384</v>
      </c>
      <c r="C894" s="215" t="s">
        <v>823</v>
      </c>
      <c r="D894" s="216">
        <v>4.55</v>
      </c>
      <c r="E894" s="198"/>
      <c r="F894" s="198"/>
      <c r="G894" s="198"/>
      <c r="H894" s="198"/>
      <c r="I894" s="198"/>
      <c r="J894" s="198"/>
      <c r="K894" s="198"/>
      <c r="L894" s="198"/>
      <c r="M894" s="198"/>
      <c r="N894" s="198"/>
      <c r="O894" s="198"/>
      <c r="P894" s="198"/>
      <c r="Q894" s="198"/>
      <c r="R894" s="198"/>
      <c r="S894" s="198"/>
      <c r="T894" s="198"/>
      <c r="U894" s="198"/>
      <c r="V894" s="198"/>
      <c r="W894" s="198"/>
      <c r="X894" s="198"/>
      <c r="Y894" s="198"/>
      <c r="Z894" s="198"/>
    </row>
    <row r="895" spans="1:26" ht="15.75" hidden="1" customHeight="1" x14ac:dyDescent="0.25">
      <c r="A895" s="213">
        <v>1375</v>
      </c>
      <c r="B895" s="214" t="s">
        <v>9385</v>
      </c>
      <c r="C895" s="215" t="s">
        <v>823</v>
      </c>
      <c r="D895" s="216">
        <v>16.53</v>
      </c>
      <c r="E895" s="198"/>
      <c r="F895" s="198"/>
      <c r="G895" s="198"/>
      <c r="H895" s="198"/>
      <c r="I895" s="198"/>
      <c r="J895" s="198"/>
      <c r="K895" s="198"/>
      <c r="L895" s="198"/>
      <c r="M895" s="198"/>
      <c r="N895" s="198"/>
      <c r="O895" s="198"/>
      <c r="P895" s="198"/>
      <c r="Q895" s="198"/>
      <c r="R895" s="198"/>
      <c r="S895" s="198"/>
      <c r="T895" s="198"/>
      <c r="U895" s="198"/>
      <c r="V895" s="198"/>
      <c r="W895" s="198"/>
      <c r="X895" s="198"/>
      <c r="Y895" s="198"/>
      <c r="Z895" s="198"/>
    </row>
    <row r="896" spans="1:26" ht="15.75" hidden="1" customHeight="1" x14ac:dyDescent="0.25">
      <c r="A896" s="213">
        <v>1379</v>
      </c>
      <c r="B896" s="214" t="s">
        <v>9386</v>
      </c>
      <c r="C896" s="215" t="s">
        <v>823</v>
      </c>
      <c r="D896" s="216">
        <v>0.68</v>
      </c>
      <c r="E896" s="198"/>
      <c r="F896" s="198"/>
      <c r="G896" s="198"/>
      <c r="H896" s="198"/>
      <c r="I896" s="198"/>
      <c r="J896" s="198"/>
      <c r="K896" s="198"/>
      <c r="L896" s="198"/>
      <c r="M896" s="198"/>
      <c r="N896" s="198"/>
      <c r="O896" s="198"/>
      <c r="P896" s="198"/>
      <c r="Q896" s="198"/>
      <c r="R896" s="198"/>
      <c r="S896" s="198"/>
      <c r="T896" s="198"/>
      <c r="U896" s="198"/>
      <c r="V896" s="198"/>
      <c r="W896" s="198"/>
      <c r="X896" s="198"/>
      <c r="Y896" s="198"/>
      <c r="Z896" s="198"/>
    </row>
    <row r="897" spans="1:26" ht="15.75" hidden="1" customHeight="1" x14ac:dyDescent="0.25">
      <c r="A897" s="213">
        <v>13284</v>
      </c>
      <c r="B897" s="214" t="s">
        <v>9387</v>
      </c>
      <c r="C897" s="215" t="s">
        <v>823</v>
      </c>
      <c r="D897" s="216">
        <v>0.61</v>
      </c>
      <c r="E897" s="198"/>
      <c r="F897" s="198"/>
      <c r="G897" s="198"/>
      <c r="H897" s="198"/>
      <c r="I897" s="198"/>
      <c r="J897" s="198"/>
      <c r="K897" s="198"/>
      <c r="L897" s="198"/>
      <c r="M897" s="198"/>
      <c r="N897" s="198"/>
      <c r="O897" s="198"/>
      <c r="P897" s="198"/>
      <c r="Q897" s="198"/>
      <c r="R897" s="198"/>
      <c r="S897" s="198"/>
      <c r="T897" s="198"/>
      <c r="U897" s="198"/>
      <c r="V897" s="198"/>
      <c r="W897" s="198"/>
      <c r="X897" s="198"/>
      <c r="Y897" s="198"/>
      <c r="Z897" s="198"/>
    </row>
    <row r="898" spans="1:26" ht="15.75" hidden="1" customHeight="1" x14ac:dyDescent="0.25">
      <c r="A898" s="213">
        <v>44528</v>
      </c>
      <c r="B898" s="214" t="s">
        <v>9388</v>
      </c>
      <c r="C898" s="215" t="s">
        <v>823</v>
      </c>
      <c r="D898" s="216">
        <v>3.62</v>
      </c>
      <c r="E898" s="198"/>
      <c r="F898" s="198"/>
      <c r="G898" s="198"/>
      <c r="H898" s="198"/>
      <c r="I898" s="198"/>
      <c r="J898" s="198"/>
      <c r="K898" s="198"/>
      <c r="L898" s="198"/>
      <c r="M898" s="198"/>
      <c r="N898" s="198"/>
      <c r="O898" s="198"/>
      <c r="P898" s="198"/>
      <c r="Q898" s="198"/>
      <c r="R898" s="198"/>
      <c r="S898" s="198"/>
      <c r="T898" s="198"/>
      <c r="U898" s="198"/>
      <c r="V898" s="198"/>
      <c r="W898" s="198"/>
      <c r="X898" s="198"/>
      <c r="Y898" s="198"/>
      <c r="Z898" s="198"/>
    </row>
    <row r="899" spans="1:26" ht="15.75" hidden="1" customHeight="1" x14ac:dyDescent="0.25">
      <c r="A899" s="213">
        <v>34753</v>
      </c>
      <c r="B899" s="214" t="s">
        <v>9389</v>
      </c>
      <c r="C899" s="215" t="s">
        <v>823</v>
      </c>
      <c r="D899" s="216">
        <v>0.66</v>
      </c>
      <c r="E899" s="198"/>
      <c r="F899" s="198"/>
      <c r="G899" s="198"/>
      <c r="H899" s="198"/>
      <c r="I899" s="198"/>
      <c r="J899" s="198"/>
      <c r="K899" s="198"/>
      <c r="L899" s="198"/>
      <c r="M899" s="198"/>
      <c r="N899" s="198"/>
      <c r="O899" s="198"/>
      <c r="P899" s="198"/>
      <c r="Q899" s="198"/>
      <c r="R899" s="198"/>
      <c r="S899" s="198"/>
      <c r="T899" s="198"/>
      <c r="U899" s="198"/>
      <c r="V899" s="198"/>
      <c r="W899" s="198"/>
      <c r="X899" s="198"/>
      <c r="Y899" s="198"/>
      <c r="Z899" s="198"/>
    </row>
    <row r="900" spans="1:26" ht="15.75" hidden="1" customHeight="1" x14ac:dyDescent="0.25">
      <c r="A900" s="213">
        <v>420</v>
      </c>
      <c r="B900" s="214" t="s">
        <v>9390</v>
      </c>
      <c r="C900" s="215" t="s">
        <v>580</v>
      </c>
      <c r="D900" s="216">
        <v>24.54</v>
      </c>
      <c r="E900" s="198"/>
      <c r="F900" s="198"/>
      <c r="G900" s="198"/>
      <c r="H900" s="198"/>
      <c r="I900" s="198"/>
      <c r="J900" s="198"/>
      <c r="K900" s="198"/>
      <c r="L900" s="198"/>
      <c r="M900" s="198"/>
      <c r="N900" s="198"/>
      <c r="O900" s="198"/>
      <c r="P900" s="198"/>
      <c r="Q900" s="198"/>
      <c r="R900" s="198"/>
      <c r="S900" s="198"/>
      <c r="T900" s="198"/>
      <c r="U900" s="198"/>
      <c r="V900" s="198"/>
      <c r="W900" s="198"/>
      <c r="X900" s="198"/>
      <c r="Y900" s="198"/>
      <c r="Z900" s="198"/>
    </row>
    <row r="901" spans="1:26" ht="15.75" hidden="1" customHeight="1" x14ac:dyDescent="0.25">
      <c r="A901" s="213">
        <v>12327</v>
      </c>
      <c r="B901" s="214" t="s">
        <v>9391</v>
      </c>
      <c r="C901" s="215" t="s">
        <v>580</v>
      </c>
      <c r="D901" s="216">
        <v>29.23</v>
      </c>
      <c r="E901" s="198"/>
      <c r="F901" s="198"/>
      <c r="G901" s="198"/>
      <c r="H901" s="198"/>
      <c r="I901" s="198"/>
      <c r="J901" s="198"/>
      <c r="K901" s="198"/>
      <c r="L901" s="198"/>
      <c r="M901" s="198"/>
      <c r="N901" s="198"/>
      <c r="O901" s="198"/>
      <c r="P901" s="198"/>
      <c r="Q901" s="198"/>
      <c r="R901" s="198"/>
      <c r="S901" s="198"/>
      <c r="T901" s="198"/>
      <c r="U901" s="198"/>
      <c r="V901" s="198"/>
      <c r="W901" s="198"/>
      <c r="X901" s="198"/>
      <c r="Y901" s="198"/>
      <c r="Z901" s="198"/>
    </row>
    <row r="902" spans="1:26" ht="15.75" hidden="1" customHeight="1" x14ac:dyDescent="0.25">
      <c r="A902" s="213">
        <v>36148</v>
      </c>
      <c r="B902" s="214" t="s">
        <v>9392</v>
      </c>
      <c r="C902" s="215" t="s">
        <v>580</v>
      </c>
      <c r="D902" s="216">
        <v>76.319999999999993</v>
      </c>
      <c r="E902" s="198"/>
      <c r="F902" s="198"/>
      <c r="G902" s="198"/>
      <c r="H902" s="198"/>
      <c r="I902" s="198"/>
      <c r="J902" s="198"/>
      <c r="K902" s="198"/>
      <c r="L902" s="198"/>
      <c r="M902" s="198"/>
      <c r="N902" s="198"/>
      <c r="O902" s="198"/>
      <c r="P902" s="198"/>
      <c r="Q902" s="198"/>
      <c r="R902" s="198"/>
      <c r="S902" s="198"/>
      <c r="T902" s="198"/>
      <c r="U902" s="198"/>
      <c r="V902" s="198"/>
      <c r="W902" s="198"/>
      <c r="X902" s="198"/>
      <c r="Y902" s="198"/>
      <c r="Z902" s="198"/>
    </row>
    <row r="903" spans="1:26" ht="15.75" hidden="1" customHeight="1" x14ac:dyDescent="0.25">
      <c r="A903" s="213">
        <v>12329</v>
      </c>
      <c r="B903" s="214" t="s">
        <v>9393</v>
      </c>
      <c r="C903" s="215" t="s">
        <v>823</v>
      </c>
      <c r="D903" s="216">
        <v>127.11</v>
      </c>
      <c r="E903" s="198"/>
      <c r="F903" s="198"/>
      <c r="G903" s="198"/>
      <c r="H903" s="198"/>
      <c r="I903" s="198"/>
      <c r="J903" s="198"/>
      <c r="K903" s="198"/>
      <c r="L903" s="198"/>
      <c r="M903" s="198"/>
      <c r="N903" s="198"/>
      <c r="O903" s="198"/>
      <c r="P903" s="198"/>
      <c r="Q903" s="198"/>
      <c r="R903" s="198"/>
      <c r="S903" s="198"/>
      <c r="T903" s="198"/>
      <c r="U903" s="198"/>
      <c r="V903" s="198"/>
      <c r="W903" s="198"/>
      <c r="X903" s="198"/>
      <c r="Y903" s="198"/>
      <c r="Z903" s="198"/>
    </row>
    <row r="904" spans="1:26" ht="15.75" hidden="1" customHeight="1" x14ac:dyDescent="0.25">
      <c r="A904" s="213">
        <v>44396</v>
      </c>
      <c r="B904" s="214" t="s">
        <v>9394</v>
      </c>
      <c r="C904" s="215" t="s">
        <v>823</v>
      </c>
      <c r="D904" s="216">
        <v>34.619999999999997</v>
      </c>
      <c r="E904" s="198"/>
      <c r="F904" s="198"/>
      <c r="G904" s="198"/>
      <c r="H904" s="198"/>
      <c r="I904" s="198"/>
      <c r="J904" s="198"/>
      <c r="K904" s="198"/>
      <c r="L904" s="198"/>
      <c r="M904" s="198"/>
      <c r="N904" s="198"/>
      <c r="O904" s="198"/>
      <c r="P904" s="198"/>
      <c r="Q904" s="198"/>
      <c r="R904" s="198"/>
      <c r="S904" s="198"/>
      <c r="T904" s="198"/>
      <c r="U904" s="198"/>
      <c r="V904" s="198"/>
      <c r="W904" s="198"/>
      <c r="X904" s="198"/>
      <c r="Y904" s="198"/>
      <c r="Z904" s="198"/>
    </row>
    <row r="905" spans="1:26" ht="15.75" hidden="1" customHeight="1" x14ac:dyDescent="0.25">
      <c r="A905" s="213">
        <v>44327</v>
      </c>
      <c r="B905" s="214" t="s">
        <v>9395</v>
      </c>
      <c r="C905" s="215" t="s">
        <v>517</v>
      </c>
      <c r="D905" s="216">
        <v>117.73</v>
      </c>
      <c r="E905" s="198"/>
      <c r="F905" s="198"/>
      <c r="G905" s="198"/>
      <c r="H905" s="198"/>
      <c r="I905" s="198"/>
      <c r="J905" s="198"/>
      <c r="K905" s="198"/>
      <c r="L905" s="198"/>
      <c r="M905" s="198"/>
      <c r="N905" s="198"/>
      <c r="O905" s="198"/>
      <c r="P905" s="198"/>
      <c r="Q905" s="198"/>
      <c r="R905" s="198"/>
      <c r="S905" s="198"/>
      <c r="T905" s="198"/>
      <c r="U905" s="198"/>
      <c r="V905" s="198"/>
      <c r="W905" s="198"/>
      <c r="X905" s="198"/>
      <c r="Y905" s="198"/>
      <c r="Z905" s="198"/>
    </row>
    <row r="906" spans="1:26" ht="15.75" hidden="1" customHeight="1" x14ac:dyDescent="0.25">
      <c r="A906" s="213">
        <v>11134</v>
      </c>
      <c r="B906" s="214" t="s">
        <v>9396</v>
      </c>
      <c r="C906" s="215" t="s">
        <v>578</v>
      </c>
      <c r="D906" s="216">
        <v>62.12</v>
      </c>
      <c r="E906" s="198"/>
      <c r="F906" s="198"/>
      <c r="G906" s="198"/>
      <c r="H906" s="198"/>
      <c r="I906" s="198"/>
      <c r="J906" s="198"/>
      <c r="K906" s="198"/>
      <c r="L906" s="198"/>
      <c r="M906" s="198"/>
      <c r="N906" s="198"/>
      <c r="O906" s="198"/>
      <c r="P906" s="198"/>
      <c r="Q906" s="198"/>
      <c r="R906" s="198"/>
      <c r="S906" s="198"/>
      <c r="T906" s="198"/>
      <c r="U906" s="198"/>
      <c r="V906" s="198"/>
      <c r="W906" s="198"/>
      <c r="X906" s="198"/>
      <c r="Y906" s="198"/>
      <c r="Z906" s="198"/>
    </row>
    <row r="907" spans="1:26" ht="15.75" hidden="1" customHeight="1" x14ac:dyDescent="0.25">
      <c r="A907" s="213">
        <v>11135</v>
      </c>
      <c r="B907" s="214" t="s">
        <v>9397</v>
      </c>
      <c r="C907" s="215" t="s">
        <v>578</v>
      </c>
      <c r="D907" s="216">
        <v>67.069999999999993</v>
      </c>
      <c r="E907" s="198"/>
      <c r="F907" s="198"/>
      <c r="G907" s="198"/>
      <c r="H907" s="198"/>
      <c r="I907" s="198"/>
      <c r="J907" s="198"/>
      <c r="K907" s="198"/>
      <c r="L907" s="198"/>
      <c r="M907" s="198"/>
      <c r="N907" s="198"/>
      <c r="O907" s="198"/>
      <c r="P907" s="198"/>
      <c r="Q907" s="198"/>
      <c r="R907" s="198"/>
      <c r="S907" s="198"/>
      <c r="T907" s="198"/>
      <c r="U907" s="198"/>
      <c r="V907" s="198"/>
      <c r="W907" s="198"/>
      <c r="X907" s="198"/>
      <c r="Y907" s="198"/>
      <c r="Z907" s="198"/>
    </row>
    <row r="908" spans="1:26" ht="15.75" hidden="1" customHeight="1" x14ac:dyDescent="0.25">
      <c r="A908" s="213">
        <v>11136</v>
      </c>
      <c r="B908" s="214" t="s">
        <v>9398</v>
      </c>
      <c r="C908" s="215" t="s">
        <v>578</v>
      </c>
      <c r="D908" s="216">
        <v>76.8</v>
      </c>
      <c r="E908" s="198"/>
      <c r="F908" s="198"/>
      <c r="G908" s="198"/>
      <c r="H908" s="198"/>
      <c r="I908" s="198"/>
      <c r="J908" s="198"/>
      <c r="K908" s="198"/>
      <c r="L908" s="198"/>
      <c r="M908" s="198"/>
      <c r="N908" s="198"/>
      <c r="O908" s="198"/>
      <c r="P908" s="198"/>
      <c r="Q908" s="198"/>
      <c r="R908" s="198"/>
      <c r="S908" s="198"/>
      <c r="T908" s="198"/>
      <c r="U908" s="198"/>
      <c r="V908" s="198"/>
      <c r="W908" s="198"/>
      <c r="X908" s="198"/>
      <c r="Y908" s="198"/>
      <c r="Z908" s="198"/>
    </row>
    <row r="909" spans="1:26" ht="15.75" hidden="1" customHeight="1" x14ac:dyDescent="0.25">
      <c r="A909" s="213">
        <v>34743</v>
      </c>
      <c r="B909" s="214" t="s">
        <v>9399</v>
      </c>
      <c r="C909" s="215" t="s">
        <v>578</v>
      </c>
      <c r="D909" s="216">
        <v>92.66</v>
      </c>
      <c r="E909" s="198"/>
      <c r="F909" s="198"/>
      <c r="G909" s="198"/>
      <c r="H909" s="198"/>
      <c r="I909" s="198"/>
      <c r="J909" s="198"/>
      <c r="K909" s="198"/>
      <c r="L909" s="198"/>
      <c r="M909" s="198"/>
      <c r="N909" s="198"/>
      <c r="O909" s="198"/>
      <c r="P909" s="198"/>
      <c r="Q909" s="198"/>
      <c r="R909" s="198"/>
      <c r="S909" s="198"/>
      <c r="T909" s="198"/>
      <c r="U909" s="198"/>
      <c r="V909" s="198"/>
      <c r="W909" s="198"/>
      <c r="X909" s="198"/>
      <c r="Y909" s="198"/>
      <c r="Z909" s="198"/>
    </row>
    <row r="910" spans="1:26" ht="15.75" hidden="1" customHeight="1" x14ac:dyDescent="0.25">
      <c r="A910" s="213">
        <v>11137</v>
      </c>
      <c r="B910" s="214" t="s">
        <v>9400</v>
      </c>
      <c r="C910" s="215" t="s">
        <v>578</v>
      </c>
      <c r="D910" s="216">
        <v>105.24</v>
      </c>
      <c r="E910" s="198"/>
      <c r="F910" s="198"/>
      <c r="G910" s="198"/>
      <c r="H910" s="198"/>
      <c r="I910" s="198"/>
      <c r="J910" s="198"/>
      <c r="K910" s="198"/>
      <c r="L910" s="198"/>
      <c r="M910" s="198"/>
      <c r="N910" s="198"/>
      <c r="O910" s="198"/>
      <c r="P910" s="198"/>
      <c r="Q910" s="198"/>
      <c r="R910" s="198"/>
      <c r="S910" s="198"/>
      <c r="T910" s="198"/>
      <c r="U910" s="198"/>
      <c r="V910" s="198"/>
      <c r="W910" s="198"/>
      <c r="X910" s="198"/>
      <c r="Y910" s="198"/>
      <c r="Z910" s="198"/>
    </row>
    <row r="911" spans="1:26" ht="15.75" hidden="1" customHeight="1" x14ac:dyDescent="0.25">
      <c r="A911" s="213">
        <v>34745</v>
      </c>
      <c r="B911" s="214" t="s">
        <v>9401</v>
      </c>
      <c r="C911" s="215" t="s">
        <v>578</v>
      </c>
      <c r="D911" s="216">
        <v>125.15</v>
      </c>
      <c r="E911" s="198"/>
      <c r="F911" s="198"/>
      <c r="G911" s="198"/>
      <c r="H911" s="198"/>
      <c r="I911" s="198"/>
      <c r="J911" s="198"/>
      <c r="K911" s="198"/>
      <c r="L911" s="198"/>
      <c r="M911" s="198"/>
      <c r="N911" s="198"/>
      <c r="O911" s="198"/>
      <c r="P911" s="198"/>
      <c r="Q911" s="198"/>
      <c r="R911" s="198"/>
      <c r="S911" s="198"/>
      <c r="T911" s="198"/>
      <c r="U911" s="198"/>
      <c r="V911" s="198"/>
      <c r="W911" s="198"/>
      <c r="X911" s="198"/>
      <c r="Y911" s="198"/>
      <c r="Z911" s="198"/>
    </row>
    <row r="912" spans="1:26" ht="15.75" hidden="1" customHeight="1" x14ac:dyDescent="0.25">
      <c r="A912" s="213">
        <v>34746</v>
      </c>
      <c r="B912" s="214" t="s">
        <v>9402</v>
      </c>
      <c r="C912" s="215" t="s">
        <v>578</v>
      </c>
      <c r="D912" s="216">
        <v>34.130000000000003</v>
      </c>
      <c r="E912" s="198"/>
      <c r="F912" s="198"/>
      <c r="G912" s="198"/>
      <c r="H912" s="198"/>
      <c r="I912" s="198"/>
      <c r="J912" s="198"/>
      <c r="K912" s="198"/>
      <c r="L912" s="198"/>
      <c r="M912" s="198"/>
      <c r="N912" s="198"/>
      <c r="O912" s="198"/>
      <c r="P912" s="198"/>
      <c r="Q912" s="198"/>
      <c r="R912" s="198"/>
      <c r="S912" s="198"/>
      <c r="T912" s="198"/>
      <c r="U912" s="198"/>
      <c r="V912" s="198"/>
      <c r="W912" s="198"/>
      <c r="X912" s="198"/>
      <c r="Y912" s="198"/>
      <c r="Z912" s="198"/>
    </row>
    <row r="913" spans="1:26" ht="15.75" hidden="1" customHeight="1" x14ac:dyDescent="0.25">
      <c r="A913" s="213">
        <v>1360</v>
      </c>
      <c r="B913" s="214" t="s">
        <v>9403</v>
      </c>
      <c r="C913" s="215" t="s">
        <v>578</v>
      </c>
      <c r="D913" s="216">
        <v>39.82</v>
      </c>
      <c r="E913" s="198"/>
      <c r="F913" s="198"/>
      <c r="G913" s="198"/>
      <c r="H913" s="198"/>
      <c r="I913" s="198"/>
      <c r="J913" s="198"/>
      <c r="K913" s="198"/>
      <c r="L913" s="198"/>
      <c r="M913" s="198"/>
      <c r="N913" s="198"/>
      <c r="O913" s="198"/>
      <c r="P913" s="198"/>
      <c r="Q913" s="198"/>
      <c r="R913" s="198"/>
      <c r="S913" s="198"/>
      <c r="T913" s="198"/>
      <c r="U913" s="198"/>
      <c r="V913" s="198"/>
      <c r="W913" s="198"/>
      <c r="X913" s="198"/>
      <c r="Y913" s="198"/>
      <c r="Z913" s="198"/>
    </row>
    <row r="914" spans="1:26" ht="15.75" hidden="1" customHeight="1" x14ac:dyDescent="0.25">
      <c r="A914" s="213">
        <v>34348</v>
      </c>
      <c r="B914" s="214" t="s">
        <v>9404</v>
      </c>
      <c r="C914" s="215" t="s">
        <v>585</v>
      </c>
      <c r="D914" s="216">
        <v>27.7</v>
      </c>
      <c r="E914" s="198"/>
      <c r="F914" s="198"/>
      <c r="G914" s="198"/>
      <c r="H914" s="198"/>
      <c r="I914" s="198"/>
      <c r="J914" s="198"/>
      <c r="K914" s="198"/>
      <c r="L914" s="198"/>
      <c r="M914" s="198"/>
      <c r="N914" s="198"/>
      <c r="O914" s="198"/>
      <c r="P914" s="198"/>
      <c r="Q914" s="198"/>
      <c r="R914" s="198"/>
      <c r="S914" s="198"/>
      <c r="T914" s="198"/>
      <c r="U914" s="198"/>
      <c r="V914" s="198"/>
      <c r="W914" s="198"/>
      <c r="X914" s="198"/>
      <c r="Y914" s="198"/>
      <c r="Z914" s="198"/>
    </row>
    <row r="915" spans="1:26" ht="15.75" hidden="1" customHeight="1" x14ac:dyDescent="0.25">
      <c r="A915" s="213">
        <v>34347</v>
      </c>
      <c r="B915" s="214" t="s">
        <v>9405</v>
      </c>
      <c r="C915" s="215" t="s">
        <v>585</v>
      </c>
      <c r="D915" s="216">
        <v>19.8</v>
      </c>
      <c r="E915" s="198"/>
      <c r="F915" s="198"/>
      <c r="G915" s="198"/>
      <c r="H915" s="198"/>
      <c r="I915" s="198"/>
      <c r="J915" s="198"/>
      <c r="K915" s="198"/>
      <c r="L915" s="198"/>
      <c r="M915" s="198"/>
      <c r="N915" s="198"/>
      <c r="O915" s="198"/>
      <c r="P915" s="198"/>
      <c r="Q915" s="198"/>
      <c r="R915" s="198"/>
      <c r="S915" s="198"/>
      <c r="T915" s="198"/>
      <c r="U915" s="198"/>
      <c r="V915" s="198"/>
      <c r="W915" s="198"/>
      <c r="X915" s="198"/>
      <c r="Y915" s="198"/>
      <c r="Z915" s="198"/>
    </row>
    <row r="916" spans="1:26" ht="15.75" hidden="1" customHeight="1" x14ac:dyDescent="0.25">
      <c r="A916" s="213">
        <v>11146</v>
      </c>
      <c r="B916" s="214" t="s">
        <v>9406</v>
      </c>
      <c r="C916" s="215" t="s">
        <v>664</v>
      </c>
      <c r="D916" s="216">
        <v>507.29</v>
      </c>
      <c r="E916" s="198"/>
      <c r="F916" s="198"/>
      <c r="G916" s="198"/>
      <c r="H916" s="198"/>
      <c r="I916" s="198"/>
      <c r="J916" s="198"/>
      <c r="K916" s="198"/>
      <c r="L916" s="198"/>
      <c r="M916" s="198"/>
      <c r="N916" s="198"/>
      <c r="O916" s="198"/>
      <c r="P916" s="198"/>
      <c r="Q916" s="198"/>
      <c r="R916" s="198"/>
      <c r="S916" s="198"/>
      <c r="T916" s="198"/>
      <c r="U916" s="198"/>
      <c r="V916" s="198"/>
      <c r="W916" s="198"/>
      <c r="X916" s="198"/>
      <c r="Y916" s="198"/>
      <c r="Z916" s="198"/>
    </row>
    <row r="917" spans="1:26" ht="15.75" hidden="1" customHeight="1" x14ac:dyDescent="0.25">
      <c r="A917" s="213">
        <v>11147</v>
      </c>
      <c r="B917" s="214" t="s">
        <v>9407</v>
      </c>
      <c r="C917" s="215" t="s">
        <v>664</v>
      </c>
      <c r="D917" s="216">
        <v>527.15</v>
      </c>
      <c r="E917" s="198"/>
      <c r="F917" s="198"/>
      <c r="G917" s="198"/>
      <c r="H917" s="198"/>
      <c r="I917" s="198"/>
      <c r="J917" s="198"/>
      <c r="K917" s="198"/>
      <c r="L917" s="198"/>
      <c r="M917" s="198"/>
      <c r="N917" s="198"/>
      <c r="O917" s="198"/>
      <c r="P917" s="198"/>
      <c r="Q917" s="198"/>
      <c r="R917" s="198"/>
      <c r="S917" s="198"/>
      <c r="T917" s="198"/>
      <c r="U917" s="198"/>
      <c r="V917" s="198"/>
      <c r="W917" s="198"/>
      <c r="X917" s="198"/>
      <c r="Y917" s="198"/>
      <c r="Z917" s="198"/>
    </row>
    <row r="918" spans="1:26" ht="15.75" hidden="1" customHeight="1" x14ac:dyDescent="0.25">
      <c r="A918" s="213">
        <v>34872</v>
      </c>
      <c r="B918" s="214" t="s">
        <v>9408</v>
      </c>
      <c r="C918" s="215" t="s">
        <v>664</v>
      </c>
      <c r="D918" s="216">
        <v>533.07000000000005</v>
      </c>
      <c r="E918" s="198"/>
      <c r="F918" s="198"/>
      <c r="G918" s="198"/>
      <c r="H918" s="198"/>
      <c r="I918" s="198"/>
      <c r="J918" s="198"/>
      <c r="K918" s="198"/>
      <c r="L918" s="198"/>
      <c r="M918" s="198"/>
      <c r="N918" s="198"/>
      <c r="O918" s="198"/>
      <c r="P918" s="198"/>
      <c r="Q918" s="198"/>
      <c r="R918" s="198"/>
      <c r="S918" s="198"/>
      <c r="T918" s="198"/>
      <c r="U918" s="198"/>
      <c r="V918" s="198"/>
      <c r="W918" s="198"/>
      <c r="X918" s="198"/>
      <c r="Y918" s="198"/>
      <c r="Z918" s="198"/>
    </row>
    <row r="919" spans="1:26" ht="15.75" hidden="1" customHeight="1" x14ac:dyDescent="0.25">
      <c r="A919" s="213">
        <v>34491</v>
      </c>
      <c r="B919" s="214" t="s">
        <v>9409</v>
      </c>
      <c r="C919" s="215" t="s">
        <v>664</v>
      </c>
      <c r="D919" s="216">
        <v>548.51</v>
      </c>
      <c r="E919" s="198"/>
      <c r="F919" s="198"/>
      <c r="G919" s="198"/>
      <c r="H919" s="198"/>
      <c r="I919" s="198"/>
      <c r="J919" s="198"/>
      <c r="K919" s="198"/>
      <c r="L919" s="198"/>
      <c r="M919" s="198"/>
      <c r="N919" s="198"/>
      <c r="O919" s="198"/>
      <c r="P919" s="198"/>
      <c r="Q919" s="198"/>
      <c r="R919" s="198"/>
      <c r="S919" s="198"/>
      <c r="T919" s="198"/>
      <c r="U919" s="198"/>
      <c r="V919" s="198"/>
      <c r="W919" s="198"/>
      <c r="X919" s="198"/>
      <c r="Y919" s="198"/>
      <c r="Z919" s="198"/>
    </row>
    <row r="920" spans="1:26" ht="15.75" hidden="1" customHeight="1" x14ac:dyDescent="0.25">
      <c r="A920" s="213">
        <v>34770</v>
      </c>
      <c r="B920" s="214" t="s">
        <v>9410</v>
      </c>
      <c r="C920" s="215" t="s">
        <v>8106</v>
      </c>
      <c r="D920" s="216">
        <v>524.77</v>
      </c>
      <c r="E920" s="198"/>
      <c r="F920" s="198"/>
      <c r="G920" s="198"/>
      <c r="H920" s="198"/>
      <c r="I920" s="198"/>
      <c r="J920" s="198"/>
      <c r="K920" s="198"/>
      <c r="L920" s="198"/>
      <c r="M920" s="198"/>
      <c r="N920" s="198"/>
      <c r="O920" s="198"/>
      <c r="P920" s="198"/>
      <c r="Q920" s="198"/>
      <c r="R920" s="198"/>
      <c r="S920" s="198"/>
      <c r="T920" s="198"/>
      <c r="U920" s="198"/>
      <c r="V920" s="198"/>
      <c r="W920" s="198"/>
      <c r="X920" s="198"/>
      <c r="Y920" s="198"/>
      <c r="Z920" s="198"/>
    </row>
    <row r="921" spans="1:26" ht="15.75" hidden="1" customHeight="1" x14ac:dyDescent="0.25">
      <c r="A921" s="213">
        <v>1518</v>
      </c>
      <c r="B921" s="214" t="s">
        <v>9411</v>
      </c>
      <c r="C921" s="215" t="s">
        <v>8106</v>
      </c>
      <c r="D921" s="216">
        <v>535</v>
      </c>
      <c r="E921" s="198"/>
      <c r="F921" s="198"/>
      <c r="G921" s="198"/>
      <c r="H921" s="198"/>
      <c r="I921" s="198"/>
      <c r="J921" s="198"/>
      <c r="K921" s="198"/>
      <c r="L921" s="198"/>
      <c r="M921" s="198"/>
      <c r="N921" s="198"/>
      <c r="O921" s="198"/>
      <c r="P921" s="198"/>
      <c r="Q921" s="198"/>
      <c r="R921" s="198"/>
      <c r="S921" s="198"/>
      <c r="T921" s="198"/>
      <c r="U921" s="198"/>
      <c r="V921" s="198"/>
      <c r="W921" s="198"/>
      <c r="X921" s="198"/>
      <c r="Y921" s="198"/>
      <c r="Z921" s="198"/>
    </row>
    <row r="922" spans="1:26" ht="15.75" hidden="1" customHeight="1" x14ac:dyDescent="0.25">
      <c r="A922" s="213">
        <v>41965</v>
      </c>
      <c r="B922" s="214" t="s">
        <v>9412</v>
      </c>
      <c r="C922" s="215" t="s">
        <v>8106</v>
      </c>
      <c r="D922" s="216">
        <v>469.1</v>
      </c>
      <c r="E922" s="198"/>
      <c r="F922" s="198"/>
      <c r="G922" s="198"/>
      <c r="H922" s="198"/>
      <c r="I922" s="198"/>
      <c r="J922" s="198"/>
      <c r="K922" s="198"/>
      <c r="L922" s="198"/>
      <c r="M922" s="198"/>
      <c r="N922" s="198"/>
      <c r="O922" s="198"/>
      <c r="P922" s="198"/>
      <c r="Q922" s="198"/>
      <c r="R922" s="198"/>
      <c r="S922" s="198"/>
      <c r="T922" s="198"/>
      <c r="U922" s="198"/>
      <c r="V922" s="198"/>
      <c r="W922" s="198"/>
      <c r="X922" s="198"/>
      <c r="Y922" s="198"/>
      <c r="Z922" s="198"/>
    </row>
    <row r="923" spans="1:26" ht="15.75" hidden="1" customHeight="1" x14ac:dyDescent="0.25">
      <c r="A923" s="213">
        <v>1524</v>
      </c>
      <c r="B923" s="214" t="s">
        <v>9413</v>
      </c>
      <c r="C923" s="215" t="s">
        <v>664</v>
      </c>
      <c r="D923" s="216">
        <v>486.71</v>
      </c>
      <c r="E923" s="198"/>
      <c r="F923" s="198"/>
      <c r="G923" s="198"/>
      <c r="H923" s="198"/>
      <c r="I923" s="198"/>
      <c r="J923" s="198"/>
      <c r="K923" s="198"/>
      <c r="L923" s="198"/>
      <c r="M923" s="198"/>
      <c r="N923" s="198"/>
      <c r="O923" s="198"/>
      <c r="P923" s="198"/>
      <c r="Q923" s="198"/>
      <c r="R923" s="198"/>
      <c r="S923" s="198"/>
      <c r="T923" s="198"/>
      <c r="U923" s="198"/>
      <c r="V923" s="198"/>
      <c r="W923" s="198"/>
      <c r="X923" s="198"/>
      <c r="Y923" s="198"/>
      <c r="Z923" s="198"/>
    </row>
    <row r="924" spans="1:26" ht="15.75" hidden="1" customHeight="1" x14ac:dyDescent="0.25">
      <c r="A924" s="213">
        <v>34492</v>
      </c>
      <c r="B924" s="214" t="s">
        <v>9414</v>
      </c>
      <c r="C924" s="215" t="s">
        <v>664</v>
      </c>
      <c r="D924" s="216">
        <v>450.83</v>
      </c>
      <c r="E924" s="198"/>
      <c r="F924" s="198"/>
      <c r="G924" s="198"/>
      <c r="H924" s="198"/>
      <c r="I924" s="198"/>
      <c r="J924" s="198"/>
      <c r="K924" s="198"/>
      <c r="L924" s="198"/>
      <c r="M924" s="198"/>
      <c r="N924" s="198"/>
      <c r="O924" s="198"/>
      <c r="P924" s="198"/>
      <c r="Q924" s="198"/>
      <c r="R924" s="198"/>
      <c r="S924" s="198"/>
      <c r="T924" s="198"/>
      <c r="U924" s="198"/>
      <c r="V924" s="198"/>
      <c r="W924" s="198"/>
      <c r="X924" s="198"/>
      <c r="Y924" s="198"/>
      <c r="Z924" s="198"/>
    </row>
    <row r="925" spans="1:26" ht="15.75" hidden="1" customHeight="1" x14ac:dyDescent="0.25">
      <c r="A925" s="213">
        <v>38404</v>
      </c>
      <c r="B925" s="214" t="s">
        <v>9415</v>
      </c>
      <c r="C925" s="215" t="s">
        <v>664</v>
      </c>
      <c r="D925" s="216">
        <v>466.97</v>
      </c>
      <c r="E925" s="198"/>
      <c r="F925" s="198"/>
      <c r="G925" s="198"/>
      <c r="H925" s="198"/>
      <c r="I925" s="198"/>
      <c r="J925" s="198"/>
      <c r="K925" s="198"/>
      <c r="L925" s="198"/>
      <c r="M925" s="198"/>
      <c r="N925" s="198"/>
      <c r="O925" s="198"/>
      <c r="P925" s="198"/>
      <c r="Q925" s="198"/>
      <c r="R925" s="198"/>
      <c r="S925" s="198"/>
      <c r="T925" s="198"/>
      <c r="U925" s="198"/>
      <c r="V925" s="198"/>
      <c r="W925" s="198"/>
      <c r="X925" s="198"/>
      <c r="Y925" s="198"/>
      <c r="Z925" s="198"/>
    </row>
    <row r="926" spans="1:26" ht="15.75" hidden="1" customHeight="1" x14ac:dyDescent="0.25">
      <c r="A926" s="213">
        <v>39849</v>
      </c>
      <c r="B926" s="214" t="s">
        <v>9416</v>
      </c>
      <c r="C926" s="215" t="s">
        <v>664</v>
      </c>
      <c r="D926" s="216">
        <v>535.15</v>
      </c>
      <c r="E926" s="198"/>
      <c r="F926" s="198"/>
      <c r="G926" s="198"/>
      <c r="H926" s="198"/>
      <c r="I926" s="198"/>
      <c r="J926" s="198"/>
      <c r="K926" s="198"/>
      <c r="L926" s="198"/>
      <c r="M926" s="198"/>
      <c r="N926" s="198"/>
      <c r="O926" s="198"/>
      <c r="P926" s="198"/>
      <c r="Q926" s="198"/>
      <c r="R926" s="198"/>
      <c r="S926" s="198"/>
      <c r="T926" s="198"/>
      <c r="U926" s="198"/>
      <c r="V926" s="198"/>
      <c r="W926" s="198"/>
      <c r="X926" s="198"/>
      <c r="Y926" s="198"/>
      <c r="Z926" s="198"/>
    </row>
    <row r="927" spans="1:26" ht="15.75" hidden="1" customHeight="1" x14ac:dyDescent="0.25">
      <c r="A927" s="213">
        <v>38464</v>
      </c>
      <c r="B927" s="214" t="s">
        <v>9417</v>
      </c>
      <c r="C927" s="215" t="s">
        <v>664</v>
      </c>
      <c r="D927" s="216">
        <v>542.91999999999996</v>
      </c>
      <c r="E927" s="198"/>
      <c r="F927" s="198"/>
      <c r="G927" s="198"/>
      <c r="H927" s="198"/>
      <c r="I927" s="198"/>
      <c r="J927" s="198"/>
      <c r="K927" s="198"/>
      <c r="L927" s="198"/>
      <c r="M927" s="198"/>
      <c r="N927" s="198"/>
      <c r="O927" s="198"/>
      <c r="P927" s="198"/>
      <c r="Q927" s="198"/>
      <c r="R927" s="198"/>
      <c r="S927" s="198"/>
      <c r="T927" s="198"/>
      <c r="U927" s="198"/>
      <c r="V927" s="198"/>
      <c r="W927" s="198"/>
      <c r="X927" s="198"/>
      <c r="Y927" s="198"/>
      <c r="Z927" s="198"/>
    </row>
    <row r="928" spans="1:26" ht="15.75" hidden="1" customHeight="1" x14ac:dyDescent="0.25">
      <c r="A928" s="213">
        <v>1527</v>
      </c>
      <c r="B928" s="214" t="s">
        <v>9418</v>
      </c>
      <c r="C928" s="215" t="s">
        <v>664</v>
      </c>
      <c r="D928" s="216">
        <v>502.16</v>
      </c>
      <c r="E928" s="198"/>
      <c r="F928" s="198"/>
      <c r="G928" s="198"/>
      <c r="H928" s="198"/>
      <c r="I928" s="198"/>
      <c r="J928" s="198"/>
      <c r="K928" s="198"/>
      <c r="L928" s="198"/>
      <c r="M928" s="198"/>
      <c r="N928" s="198"/>
      <c r="O928" s="198"/>
      <c r="P928" s="198"/>
      <c r="Q928" s="198"/>
      <c r="R928" s="198"/>
      <c r="S928" s="198"/>
      <c r="T928" s="198"/>
      <c r="U928" s="198"/>
      <c r="V928" s="198"/>
      <c r="W928" s="198"/>
      <c r="X928" s="198"/>
      <c r="Y928" s="198"/>
      <c r="Z928" s="198"/>
    </row>
    <row r="929" spans="1:26" ht="15.75" hidden="1" customHeight="1" x14ac:dyDescent="0.25">
      <c r="A929" s="213">
        <v>34493</v>
      </c>
      <c r="B929" s="214" t="s">
        <v>9419</v>
      </c>
      <c r="C929" s="215" t="s">
        <v>664</v>
      </c>
      <c r="D929" s="216">
        <v>463.53</v>
      </c>
      <c r="E929" s="198"/>
      <c r="F929" s="198"/>
      <c r="G929" s="198"/>
      <c r="H929" s="198"/>
      <c r="I929" s="198"/>
      <c r="J929" s="198"/>
      <c r="K929" s="198"/>
      <c r="L929" s="198"/>
      <c r="M929" s="198"/>
      <c r="N929" s="198"/>
      <c r="O929" s="198"/>
      <c r="P929" s="198"/>
      <c r="Q929" s="198"/>
      <c r="R929" s="198"/>
      <c r="S929" s="198"/>
      <c r="T929" s="198"/>
      <c r="U929" s="198"/>
      <c r="V929" s="198"/>
      <c r="W929" s="198"/>
      <c r="X929" s="198"/>
      <c r="Y929" s="198"/>
      <c r="Z929" s="198"/>
    </row>
    <row r="930" spans="1:26" ht="15.75" hidden="1" customHeight="1" x14ac:dyDescent="0.25">
      <c r="A930" s="213">
        <v>38405</v>
      </c>
      <c r="B930" s="214" t="s">
        <v>9420</v>
      </c>
      <c r="C930" s="215" t="s">
        <v>664</v>
      </c>
      <c r="D930" s="216">
        <v>481.37</v>
      </c>
      <c r="E930" s="198"/>
      <c r="F930" s="198"/>
      <c r="G930" s="198"/>
      <c r="H930" s="198"/>
      <c r="I930" s="198"/>
      <c r="J930" s="198"/>
      <c r="K930" s="198"/>
      <c r="L930" s="198"/>
      <c r="M930" s="198"/>
      <c r="N930" s="198"/>
      <c r="O930" s="198"/>
      <c r="P930" s="198"/>
      <c r="Q930" s="198"/>
      <c r="R930" s="198"/>
      <c r="S930" s="198"/>
      <c r="T930" s="198"/>
      <c r="U930" s="198"/>
      <c r="V930" s="198"/>
      <c r="W930" s="198"/>
      <c r="X930" s="198"/>
      <c r="Y930" s="198"/>
      <c r="Z930" s="198"/>
    </row>
    <row r="931" spans="1:26" ht="15.75" hidden="1" customHeight="1" x14ac:dyDescent="0.25">
      <c r="A931" s="213">
        <v>38408</v>
      </c>
      <c r="B931" s="214" t="s">
        <v>9421</v>
      </c>
      <c r="C931" s="215" t="s">
        <v>664</v>
      </c>
      <c r="D931" s="216">
        <v>532.83000000000004</v>
      </c>
      <c r="E931" s="198"/>
      <c r="F931" s="198"/>
      <c r="G931" s="198"/>
      <c r="H931" s="198"/>
      <c r="I931" s="198"/>
      <c r="J931" s="198"/>
      <c r="K931" s="198"/>
      <c r="L931" s="198"/>
      <c r="M931" s="198"/>
      <c r="N931" s="198"/>
      <c r="O931" s="198"/>
      <c r="P931" s="198"/>
      <c r="Q931" s="198"/>
      <c r="R931" s="198"/>
      <c r="S931" s="198"/>
      <c r="T931" s="198"/>
      <c r="U931" s="198"/>
      <c r="V931" s="198"/>
      <c r="W931" s="198"/>
      <c r="X931" s="198"/>
      <c r="Y931" s="198"/>
      <c r="Z931" s="198"/>
    </row>
    <row r="932" spans="1:26" ht="15.75" hidden="1" customHeight="1" x14ac:dyDescent="0.25">
      <c r="A932" s="213">
        <v>1525</v>
      </c>
      <c r="B932" s="214" t="s">
        <v>9422</v>
      </c>
      <c r="C932" s="215" t="s">
        <v>664</v>
      </c>
      <c r="D932" s="216">
        <v>517.61</v>
      </c>
      <c r="E932" s="198"/>
      <c r="F932" s="198"/>
      <c r="G932" s="198"/>
      <c r="H932" s="198"/>
      <c r="I932" s="198"/>
      <c r="J932" s="198"/>
      <c r="K932" s="198"/>
      <c r="L932" s="198"/>
      <c r="M932" s="198"/>
      <c r="N932" s="198"/>
      <c r="O932" s="198"/>
      <c r="P932" s="198"/>
      <c r="Q932" s="198"/>
      <c r="R932" s="198"/>
      <c r="S932" s="198"/>
      <c r="T932" s="198"/>
      <c r="U932" s="198"/>
      <c r="V932" s="198"/>
      <c r="W932" s="198"/>
      <c r="X932" s="198"/>
      <c r="Y932" s="198"/>
      <c r="Z932" s="198"/>
    </row>
    <row r="933" spans="1:26" ht="15.75" hidden="1" customHeight="1" x14ac:dyDescent="0.25">
      <c r="A933" s="213">
        <v>34494</v>
      </c>
      <c r="B933" s="214" t="s">
        <v>9423</v>
      </c>
      <c r="C933" s="215" t="s">
        <v>664</v>
      </c>
      <c r="D933" s="216">
        <v>478.99</v>
      </c>
      <c r="E933" s="198"/>
      <c r="F933" s="198"/>
      <c r="G933" s="198"/>
      <c r="H933" s="198"/>
      <c r="I933" s="198"/>
      <c r="J933" s="198"/>
      <c r="K933" s="198"/>
      <c r="L933" s="198"/>
      <c r="M933" s="198"/>
      <c r="N933" s="198"/>
      <c r="O933" s="198"/>
      <c r="P933" s="198"/>
      <c r="Q933" s="198"/>
      <c r="R933" s="198"/>
      <c r="S933" s="198"/>
      <c r="T933" s="198"/>
      <c r="U933" s="198"/>
      <c r="V933" s="198"/>
      <c r="W933" s="198"/>
      <c r="X933" s="198"/>
      <c r="Y933" s="198"/>
      <c r="Z933" s="198"/>
    </row>
    <row r="934" spans="1:26" ht="15.75" hidden="1" customHeight="1" x14ac:dyDescent="0.25">
      <c r="A934" s="213">
        <v>38406</v>
      </c>
      <c r="B934" s="214" t="s">
        <v>9424</v>
      </c>
      <c r="C934" s="215" t="s">
        <v>664</v>
      </c>
      <c r="D934" s="216">
        <v>508.3</v>
      </c>
      <c r="E934" s="198"/>
      <c r="F934" s="198"/>
      <c r="G934" s="198"/>
      <c r="H934" s="198"/>
      <c r="I934" s="198"/>
      <c r="J934" s="198"/>
      <c r="K934" s="198"/>
      <c r="L934" s="198"/>
      <c r="M934" s="198"/>
      <c r="N934" s="198"/>
      <c r="O934" s="198"/>
      <c r="P934" s="198"/>
      <c r="Q934" s="198"/>
      <c r="R934" s="198"/>
      <c r="S934" s="198"/>
      <c r="T934" s="198"/>
      <c r="U934" s="198"/>
      <c r="V934" s="198"/>
      <c r="W934" s="198"/>
      <c r="X934" s="198"/>
      <c r="Y934" s="198"/>
      <c r="Z934" s="198"/>
    </row>
    <row r="935" spans="1:26" ht="15.75" hidden="1" customHeight="1" x14ac:dyDescent="0.25">
      <c r="A935" s="213">
        <v>38409</v>
      </c>
      <c r="B935" s="214" t="s">
        <v>9425</v>
      </c>
      <c r="C935" s="215" t="s">
        <v>664</v>
      </c>
      <c r="D935" s="216">
        <v>536.46</v>
      </c>
      <c r="E935" s="198"/>
      <c r="F935" s="198"/>
      <c r="G935" s="198"/>
      <c r="H935" s="198"/>
      <c r="I935" s="198"/>
      <c r="J935" s="198"/>
      <c r="K935" s="198"/>
      <c r="L935" s="198"/>
      <c r="M935" s="198"/>
      <c r="N935" s="198"/>
      <c r="O935" s="198"/>
      <c r="P935" s="198"/>
      <c r="Q935" s="198"/>
      <c r="R935" s="198"/>
      <c r="S935" s="198"/>
      <c r="T935" s="198"/>
      <c r="U935" s="198"/>
      <c r="V935" s="198"/>
      <c r="W935" s="198"/>
      <c r="X935" s="198"/>
      <c r="Y935" s="198"/>
      <c r="Z935" s="198"/>
    </row>
    <row r="936" spans="1:26" ht="15.75" hidden="1" customHeight="1" x14ac:dyDescent="0.25">
      <c r="A936" s="213">
        <v>43360</v>
      </c>
      <c r="B936" s="214" t="s">
        <v>9426</v>
      </c>
      <c r="C936" s="215" t="s">
        <v>664</v>
      </c>
      <c r="D936" s="216">
        <v>559.38</v>
      </c>
      <c r="E936" s="198"/>
      <c r="F936" s="198"/>
      <c r="G936" s="198"/>
      <c r="H936" s="198"/>
      <c r="I936" s="198"/>
      <c r="J936" s="198"/>
      <c r="K936" s="198"/>
      <c r="L936" s="198"/>
      <c r="M936" s="198"/>
      <c r="N936" s="198"/>
      <c r="O936" s="198"/>
      <c r="P936" s="198"/>
      <c r="Q936" s="198"/>
      <c r="R936" s="198"/>
      <c r="S936" s="198"/>
      <c r="T936" s="198"/>
      <c r="U936" s="198"/>
      <c r="V936" s="198"/>
      <c r="W936" s="198"/>
      <c r="X936" s="198"/>
      <c r="Y936" s="198"/>
      <c r="Z936" s="198"/>
    </row>
    <row r="937" spans="1:26" ht="15.75" hidden="1" customHeight="1" x14ac:dyDescent="0.25">
      <c r="A937" s="213">
        <v>11145</v>
      </c>
      <c r="B937" s="214" t="s">
        <v>9427</v>
      </c>
      <c r="C937" s="215" t="s">
        <v>664</v>
      </c>
      <c r="D937" s="216">
        <v>533.07000000000005</v>
      </c>
      <c r="E937" s="198"/>
      <c r="F937" s="198"/>
      <c r="G937" s="198"/>
      <c r="H937" s="198"/>
      <c r="I937" s="198"/>
      <c r="J937" s="198"/>
      <c r="K937" s="198"/>
      <c r="L937" s="198"/>
      <c r="M937" s="198"/>
      <c r="N937" s="198"/>
      <c r="O937" s="198"/>
      <c r="P937" s="198"/>
      <c r="Q937" s="198"/>
      <c r="R937" s="198"/>
      <c r="S937" s="198"/>
      <c r="T937" s="198"/>
      <c r="U937" s="198"/>
      <c r="V937" s="198"/>
      <c r="W937" s="198"/>
      <c r="X937" s="198"/>
      <c r="Y937" s="198"/>
      <c r="Z937" s="198"/>
    </row>
    <row r="938" spans="1:26" ht="15.75" hidden="1" customHeight="1" x14ac:dyDescent="0.25">
      <c r="A938" s="213">
        <v>34495</v>
      </c>
      <c r="B938" s="214" t="s">
        <v>9428</v>
      </c>
      <c r="C938" s="215" t="s">
        <v>664</v>
      </c>
      <c r="D938" s="216">
        <v>494.43</v>
      </c>
      <c r="E938" s="198"/>
      <c r="F938" s="198"/>
      <c r="G938" s="198"/>
      <c r="H938" s="198"/>
      <c r="I938" s="198"/>
      <c r="J938" s="198"/>
      <c r="K938" s="198"/>
      <c r="L938" s="198"/>
      <c r="M938" s="198"/>
      <c r="N938" s="198"/>
      <c r="O938" s="198"/>
      <c r="P938" s="198"/>
      <c r="Q938" s="198"/>
      <c r="R938" s="198"/>
      <c r="S938" s="198"/>
      <c r="T938" s="198"/>
      <c r="U938" s="198"/>
      <c r="V938" s="198"/>
      <c r="W938" s="198"/>
      <c r="X938" s="198"/>
      <c r="Y938" s="198"/>
      <c r="Z938" s="198"/>
    </row>
    <row r="939" spans="1:26" ht="15.75" hidden="1" customHeight="1" x14ac:dyDescent="0.25">
      <c r="A939" s="213">
        <v>34479</v>
      </c>
      <c r="B939" s="214" t="s">
        <v>9429</v>
      </c>
      <c r="C939" s="215" t="s">
        <v>664</v>
      </c>
      <c r="D939" s="216">
        <v>548.51</v>
      </c>
      <c r="E939" s="198"/>
      <c r="F939" s="198"/>
      <c r="G939" s="198"/>
      <c r="H939" s="198"/>
      <c r="I939" s="198"/>
      <c r="J939" s="198"/>
      <c r="K939" s="198"/>
      <c r="L939" s="198"/>
      <c r="M939" s="198"/>
      <c r="N939" s="198"/>
      <c r="O939" s="198"/>
      <c r="P939" s="198"/>
      <c r="Q939" s="198"/>
      <c r="R939" s="198"/>
      <c r="S939" s="198"/>
      <c r="T939" s="198"/>
      <c r="U939" s="198"/>
      <c r="V939" s="198"/>
      <c r="W939" s="198"/>
      <c r="X939" s="198"/>
      <c r="Y939" s="198"/>
      <c r="Z939" s="198"/>
    </row>
    <row r="940" spans="1:26" ht="15.75" hidden="1" customHeight="1" x14ac:dyDescent="0.25">
      <c r="A940" s="213">
        <v>34496</v>
      </c>
      <c r="B940" s="214" t="s">
        <v>9430</v>
      </c>
      <c r="C940" s="215" t="s">
        <v>664</v>
      </c>
      <c r="D940" s="216">
        <v>515.78</v>
      </c>
      <c r="E940" s="198"/>
      <c r="F940" s="198"/>
      <c r="G940" s="198"/>
      <c r="H940" s="198"/>
      <c r="I940" s="198"/>
      <c r="J940" s="198"/>
      <c r="K940" s="198"/>
      <c r="L940" s="198"/>
      <c r="M940" s="198"/>
      <c r="N940" s="198"/>
      <c r="O940" s="198"/>
      <c r="P940" s="198"/>
      <c r="Q940" s="198"/>
      <c r="R940" s="198"/>
      <c r="S940" s="198"/>
      <c r="T940" s="198"/>
      <c r="U940" s="198"/>
      <c r="V940" s="198"/>
      <c r="W940" s="198"/>
      <c r="X940" s="198"/>
      <c r="Y940" s="198"/>
      <c r="Z940" s="198"/>
    </row>
    <row r="941" spans="1:26" ht="15.75" hidden="1" customHeight="1" x14ac:dyDescent="0.25">
      <c r="A941" s="213">
        <v>34481</v>
      </c>
      <c r="B941" s="214" t="s">
        <v>9431</v>
      </c>
      <c r="C941" s="215" t="s">
        <v>664</v>
      </c>
      <c r="D941" s="216">
        <v>573.13</v>
      </c>
      <c r="E941" s="198"/>
      <c r="F941" s="198"/>
      <c r="G941" s="198"/>
      <c r="H941" s="198"/>
      <c r="I941" s="198"/>
      <c r="J941" s="198"/>
      <c r="K941" s="198"/>
      <c r="L941" s="198"/>
      <c r="M941" s="198"/>
      <c r="N941" s="198"/>
      <c r="O941" s="198"/>
      <c r="P941" s="198"/>
      <c r="Q941" s="198"/>
      <c r="R941" s="198"/>
      <c r="S941" s="198"/>
      <c r="T941" s="198"/>
      <c r="U941" s="198"/>
      <c r="V941" s="198"/>
      <c r="W941" s="198"/>
      <c r="X941" s="198"/>
      <c r="Y941" s="198"/>
      <c r="Z941" s="198"/>
    </row>
    <row r="942" spans="1:26" ht="15.75" hidden="1" customHeight="1" x14ac:dyDescent="0.25">
      <c r="A942" s="213">
        <v>34483</v>
      </c>
      <c r="B942" s="214" t="s">
        <v>9432</v>
      </c>
      <c r="C942" s="215" t="s">
        <v>664</v>
      </c>
      <c r="D942" s="216">
        <v>612.35</v>
      </c>
      <c r="E942" s="198"/>
      <c r="F942" s="198"/>
      <c r="G942" s="198"/>
      <c r="H942" s="198"/>
      <c r="I942" s="198"/>
      <c r="J942" s="198"/>
      <c r="K942" s="198"/>
      <c r="L942" s="198"/>
      <c r="M942" s="198"/>
      <c r="N942" s="198"/>
      <c r="O942" s="198"/>
      <c r="P942" s="198"/>
      <c r="Q942" s="198"/>
      <c r="R942" s="198"/>
      <c r="S942" s="198"/>
      <c r="T942" s="198"/>
      <c r="U942" s="198"/>
      <c r="V942" s="198"/>
      <c r="W942" s="198"/>
      <c r="X942" s="198"/>
      <c r="Y942" s="198"/>
      <c r="Z942" s="198"/>
    </row>
    <row r="943" spans="1:26" ht="15.75" hidden="1" customHeight="1" x14ac:dyDescent="0.25">
      <c r="A943" s="213">
        <v>34485</v>
      </c>
      <c r="B943" s="214" t="s">
        <v>9433</v>
      </c>
      <c r="C943" s="215" t="s">
        <v>664</v>
      </c>
      <c r="D943" s="216">
        <v>654.84</v>
      </c>
      <c r="E943" s="198"/>
      <c r="F943" s="198"/>
      <c r="G943" s="198"/>
      <c r="H943" s="198"/>
      <c r="I943" s="198"/>
      <c r="J943" s="198"/>
      <c r="K943" s="198"/>
      <c r="L943" s="198"/>
      <c r="M943" s="198"/>
      <c r="N943" s="198"/>
      <c r="O943" s="198"/>
      <c r="P943" s="198"/>
      <c r="Q943" s="198"/>
      <c r="R943" s="198"/>
      <c r="S943" s="198"/>
      <c r="T943" s="198"/>
      <c r="U943" s="198"/>
      <c r="V943" s="198"/>
      <c r="W943" s="198"/>
      <c r="X943" s="198"/>
      <c r="Y943" s="198"/>
      <c r="Z943" s="198"/>
    </row>
    <row r="944" spans="1:26" ht="15.75" hidden="1" customHeight="1" x14ac:dyDescent="0.25">
      <c r="A944" s="213">
        <v>14041</v>
      </c>
      <c r="B944" s="214" t="s">
        <v>9434</v>
      </c>
      <c r="C944" s="215" t="s">
        <v>664</v>
      </c>
      <c r="D944" s="216">
        <v>425.68</v>
      </c>
      <c r="E944" s="198"/>
      <c r="F944" s="198"/>
      <c r="G944" s="198"/>
      <c r="H944" s="198"/>
      <c r="I944" s="198"/>
      <c r="J944" s="198"/>
      <c r="K944" s="198"/>
      <c r="L944" s="198"/>
      <c r="M944" s="198"/>
      <c r="N944" s="198"/>
      <c r="O944" s="198"/>
      <c r="P944" s="198"/>
      <c r="Q944" s="198"/>
      <c r="R944" s="198"/>
      <c r="S944" s="198"/>
      <c r="T944" s="198"/>
      <c r="U944" s="198"/>
      <c r="V944" s="198"/>
      <c r="W944" s="198"/>
      <c r="X944" s="198"/>
      <c r="Y944" s="198"/>
      <c r="Z944" s="198"/>
    </row>
    <row r="945" spans="1:26" ht="15.75" hidden="1" customHeight="1" x14ac:dyDescent="0.25">
      <c r="A945" s="213">
        <v>1523</v>
      </c>
      <c r="B945" s="214" t="s">
        <v>9435</v>
      </c>
      <c r="C945" s="215" t="s">
        <v>664</v>
      </c>
      <c r="D945" s="216">
        <v>432.63</v>
      </c>
      <c r="E945" s="198"/>
      <c r="F945" s="198"/>
      <c r="G945" s="198"/>
      <c r="H945" s="198"/>
      <c r="I945" s="198"/>
      <c r="J945" s="198"/>
      <c r="K945" s="198"/>
      <c r="L945" s="198"/>
      <c r="M945" s="198"/>
      <c r="N945" s="198"/>
      <c r="O945" s="198"/>
      <c r="P945" s="198"/>
      <c r="Q945" s="198"/>
      <c r="R945" s="198"/>
      <c r="S945" s="198"/>
      <c r="T945" s="198"/>
      <c r="U945" s="198"/>
      <c r="V945" s="198"/>
      <c r="W945" s="198"/>
      <c r="X945" s="198"/>
      <c r="Y945" s="198"/>
      <c r="Z945" s="198"/>
    </row>
    <row r="946" spans="1:26" ht="15.75" hidden="1" customHeight="1" x14ac:dyDescent="0.25">
      <c r="A946" s="213">
        <v>14054</v>
      </c>
      <c r="B946" s="214" t="s">
        <v>9436</v>
      </c>
      <c r="C946" s="215" t="s">
        <v>580</v>
      </c>
      <c r="D946" s="216">
        <v>19.62</v>
      </c>
      <c r="E946" s="198"/>
      <c r="F946" s="198"/>
      <c r="G946" s="198"/>
      <c r="H946" s="198"/>
      <c r="I946" s="198"/>
      <c r="J946" s="198"/>
      <c r="K946" s="198"/>
      <c r="L946" s="198"/>
      <c r="M946" s="198"/>
      <c r="N946" s="198"/>
      <c r="O946" s="198"/>
      <c r="P946" s="198"/>
      <c r="Q946" s="198"/>
      <c r="R946" s="198"/>
      <c r="S946" s="198"/>
      <c r="T946" s="198"/>
      <c r="U946" s="198"/>
      <c r="V946" s="198"/>
      <c r="W946" s="198"/>
      <c r="X946" s="198"/>
      <c r="Y946" s="198"/>
      <c r="Z946" s="198"/>
    </row>
    <row r="947" spans="1:26" ht="15.75" hidden="1" customHeight="1" x14ac:dyDescent="0.25">
      <c r="A947" s="213">
        <v>14052</v>
      </c>
      <c r="B947" s="214" t="s">
        <v>9437</v>
      </c>
      <c r="C947" s="215" t="s">
        <v>580</v>
      </c>
      <c r="D947" s="216">
        <v>15.09</v>
      </c>
      <c r="E947" s="198"/>
      <c r="F947" s="198"/>
      <c r="G947" s="198"/>
      <c r="H947" s="198"/>
      <c r="I947" s="198"/>
      <c r="J947" s="198"/>
      <c r="K947" s="198"/>
      <c r="L947" s="198"/>
      <c r="M947" s="198"/>
      <c r="N947" s="198"/>
      <c r="O947" s="198"/>
      <c r="P947" s="198"/>
      <c r="Q947" s="198"/>
      <c r="R947" s="198"/>
      <c r="S947" s="198"/>
      <c r="T947" s="198"/>
      <c r="U947" s="198"/>
      <c r="V947" s="198"/>
      <c r="W947" s="198"/>
      <c r="X947" s="198"/>
      <c r="Y947" s="198"/>
      <c r="Z947" s="198"/>
    </row>
    <row r="948" spans="1:26" ht="15.75" hidden="1" customHeight="1" x14ac:dyDescent="0.25">
      <c r="A948" s="213">
        <v>14053</v>
      </c>
      <c r="B948" s="214" t="s">
        <v>9438</v>
      </c>
      <c r="C948" s="215" t="s">
        <v>580</v>
      </c>
      <c r="D948" s="216">
        <v>15.32</v>
      </c>
      <c r="E948" s="198"/>
      <c r="F948" s="198"/>
      <c r="G948" s="198"/>
      <c r="H948" s="198"/>
      <c r="I948" s="198"/>
      <c r="J948" s="198"/>
      <c r="K948" s="198"/>
      <c r="L948" s="198"/>
      <c r="M948" s="198"/>
      <c r="N948" s="198"/>
      <c r="O948" s="198"/>
      <c r="P948" s="198"/>
      <c r="Q948" s="198"/>
      <c r="R948" s="198"/>
      <c r="S948" s="198"/>
      <c r="T948" s="198"/>
      <c r="U948" s="198"/>
      <c r="V948" s="198"/>
      <c r="W948" s="198"/>
      <c r="X948" s="198"/>
      <c r="Y948" s="198"/>
      <c r="Z948" s="198"/>
    </row>
    <row r="949" spans="1:26" ht="15.75" hidden="1" customHeight="1" x14ac:dyDescent="0.25">
      <c r="A949" s="213">
        <v>2560</v>
      </c>
      <c r="B949" s="214" t="s">
        <v>9439</v>
      </c>
      <c r="C949" s="215" t="s">
        <v>580</v>
      </c>
      <c r="D949" s="216">
        <v>20.309999999999999</v>
      </c>
      <c r="E949" s="198"/>
      <c r="F949" s="198"/>
      <c r="G949" s="198"/>
      <c r="H949" s="198"/>
      <c r="I949" s="198"/>
      <c r="J949" s="198"/>
      <c r="K949" s="198"/>
      <c r="L949" s="198"/>
      <c r="M949" s="198"/>
      <c r="N949" s="198"/>
      <c r="O949" s="198"/>
      <c r="P949" s="198"/>
      <c r="Q949" s="198"/>
      <c r="R949" s="198"/>
      <c r="S949" s="198"/>
      <c r="T949" s="198"/>
      <c r="U949" s="198"/>
      <c r="V949" s="198"/>
      <c r="W949" s="198"/>
      <c r="X949" s="198"/>
      <c r="Y949" s="198"/>
      <c r="Z949" s="198"/>
    </row>
    <row r="950" spans="1:26" ht="15.75" hidden="1" customHeight="1" x14ac:dyDescent="0.25">
      <c r="A950" s="213">
        <v>2558</v>
      </c>
      <c r="B950" s="214" t="s">
        <v>9440</v>
      </c>
      <c r="C950" s="215" t="s">
        <v>580</v>
      </c>
      <c r="D950" s="216">
        <v>11.54</v>
      </c>
      <c r="E950" s="198"/>
      <c r="F950" s="198"/>
      <c r="G950" s="198"/>
      <c r="H950" s="198"/>
      <c r="I950" s="198"/>
      <c r="J950" s="198"/>
      <c r="K950" s="198"/>
      <c r="L950" s="198"/>
      <c r="M950" s="198"/>
      <c r="N950" s="198"/>
      <c r="O950" s="198"/>
      <c r="P950" s="198"/>
      <c r="Q950" s="198"/>
      <c r="R950" s="198"/>
      <c r="S950" s="198"/>
      <c r="T950" s="198"/>
      <c r="U950" s="198"/>
      <c r="V950" s="198"/>
      <c r="W950" s="198"/>
      <c r="X950" s="198"/>
      <c r="Y950" s="198"/>
      <c r="Z950" s="198"/>
    </row>
    <row r="951" spans="1:26" ht="15.75" hidden="1" customHeight="1" x14ac:dyDescent="0.25">
      <c r="A951" s="213">
        <v>2559</v>
      </c>
      <c r="B951" s="214" t="s">
        <v>9441</v>
      </c>
      <c r="C951" s="215" t="s">
        <v>580</v>
      </c>
      <c r="D951" s="216">
        <v>16.239999999999998</v>
      </c>
      <c r="E951" s="198"/>
      <c r="F951" s="198"/>
      <c r="G951" s="198"/>
      <c r="H951" s="198"/>
      <c r="I951" s="198"/>
      <c r="J951" s="198"/>
      <c r="K951" s="198"/>
      <c r="L951" s="198"/>
      <c r="M951" s="198"/>
      <c r="N951" s="198"/>
      <c r="O951" s="198"/>
      <c r="P951" s="198"/>
      <c r="Q951" s="198"/>
      <c r="R951" s="198"/>
      <c r="S951" s="198"/>
      <c r="T951" s="198"/>
      <c r="U951" s="198"/>
      <c r="V951" s="198"/>
      <c r="W951" s="198"/>
      <c r="X951" s="198"/>
      <c r="Y951" s="198"/>
      <c r="Z951" s="198"/>
    </row>
    <row r="952" spans="1:26" ht="15.75" hidden="1" customHeight="1" x14ac:dyDescent="0.25">
      <c r="A952" s="213">
        <v>2592</v>
      </c>
      <c r="B952" s="214" t="s">
        <v>9442</v>
      </c>
      <c r="C952" s="215" t="s">
        <v>580</v>
      </c>
      <c r="D952" s="216">
        <v>269.22000000000003</v>
      </c>
      <c r="E952" s="198"/>
      <c r="F952" s="198"/>
      <c r="G952" s="198"/>
      <c r="H952" s="198"/>
      <c r="I952" s="198"/>
      <c r="J952" s="198"/>
      <c r="K952" s="198"/>
      <c r="L952" s="198"/>
      <c r="M952" s="198"/>
      <c r="N952" s="198"/>
      <c r="O952" s="198"/>
      <c r="P952" s="198"/>
      <c r="Q952" s="198"/>
      <c r="R952" s="198"/>
      <c r="S952" s="198"/>
      <c r="T952" s="198"/>
      <c r="U952" s="198"/>
      <c r="V952" s="198"/>
      <c r="W952" s="198"/>
      <c r="X952" s="198"/>
      <c r="Y952" s="198"/>
      <c r="Z952" s="198"/>
    </row>
    <row r="953" spans="1:26" ht="15.75" hidden="1" customHeight="1" x14ac:dyDescent="0.25">
      <c r="A953" s="213">
        <v>2589</v>
      </c>
      <c r="B953" s="214" t="s">
        <v>9443</v>
      </c>
      <c r="C953" s="215" t="s">
        <v>580</v>
      </c>
      <c r="D953" s="216">
        <v>36.01</v>
      </c>
      <c r="E953" s="198"/>
      <c r="F953" s="198"/>
      <c r="G953" s="198"/>
      <c r="H953" s="198"/>
      <c r="I953" s="198"/>
      <c r="J953" s="198"/>
      <c r="K953" s="198"/>
      <c r="L953" s="198"/>
      <c r="M953" s="198"/>
      <c r="N953" s="198"/>
      <c r="O953" s="198"/>
      <c r="P953" s="198"/>
      <c r="Q953" s="198"/>
      <c r="R953" s="198"/>
      <c r="S953" s="198"/>
      <c r="T953" s="198"/>
      <c r="U953" s="198"/>
      <c r="V953" s="198"/>
      <c r="W953" s="198"/>
      <c r="X953" s="198"/>
      <c r="Y953" s="198"/>
      <c r="Z953" s="198"/>
    </row>
    <row r="954" spans="1:26" ht="15.75" hidden="1" customHeight="1" x14ac:dyDescent="0.25">
      <c r="A954" s="213">
        <v>2566</v>
      </c>
      <c r="B954" s="214" t="s">
        <v>9444</v>
      </c>
      <c r="C954" s="215" t="s">
        <v>580</v>
      </c>
      <c r="D954" s="216">
        <v>27.09</v>
      </c>
      <c r="E954" s="198"/>
      <c r="F954" s="198"/>
      <c r="G954" s="198"/>
      <c r="H954" s="198"/>
      <c r="I954" s="198"/>
      <c r="J954" s="198"/>
      <c r="K954" s="198"/>
      <c r="L954" s="198"/>
      <c r="M954" s="198"/>
      <c r="N954" s="198"/>
      <c r="O954" s="198"/>
      <c r="P954" s="198"/>
      <c r="Q954" s="198"/>
      <c r="R954" s="198"/>
      <c r="S954" s="198"/>
      <c r="T954" s="198"/>
      <c r="U954" s="198"/>
      <c r="V954" s="198"/>
      <c r="W954" s="198"/>
      <c r="X954" s="198"/>
      <c r="Y954" s="198"/>
      <c r="Z954" s="198"/>
    </row>
    <row r="955" spans="1:26" ht="15.75" hidden="1" customHeight="1" x14ac:dyDescent="0.25">
      <c r="A955" s="213">
        <v>2590</v>
      </c>
      <c r="B955" s="214" t="s">
        <v>9445</v>
      </c>
      <c r="C955" s="215" t="s">
        <v>580</v>
      </c>
      <c r="D955" s="216">
        <v>22.1</v>
      </c>
      <c r="E955" s="198"/>
      <c r="F955" s="198"/>
      <c r="G955" s="198"/>
      <c r="H955" s="198"/>
      <c r="I955" s="198"/>
      <c r="J955" s="198"/>
      <c r="K955" s="198"/>
      <c r="L955" s="198"/>
      <c r="M955" s="198"/>
      <c r="N955" s="198"/>
      <c r="O955" s="198"/>
      <c r="P955" s="198"/>
      <c r="Q955" s="198"/>
      <c r="R955" s="198"/>
      <c r="S955" s="198"/>
      <c r="T955" s="198"/>
      <c r="U955" s="198"/>
      <c r="V955" s="198"/>
      <c r="W955" s="198"/>
      <c r="X955" s="198"/>
      <c r="Y955" s="198"/>
      <c r="Z955" s="198"/>
    </row>
    <row r="956" spans="1:26" ht="15.75" hidden="1" customHeight="1" x14ac:dyDescent="0.25">
      <c r="A956" s="213">
        <v>2591</v>
      </c>
      <c r="B956" s="214" t="s">
        <v>9446</v>
      </c>
      <c r="C956" s="215" t="s">
        <v>580</v>
      </c>
      <c r="D956" s="216">
        <v>13.13</v>
      </c>
      <c r="E956" s="198"/>
      <c r="F956" s="198"/>
      <c r="G956" s="198"/>
      <c r="H956" s="198"/>
      <c r="I956" s="198"/>
      <c r="J956" s="198"/>
      <c r="K956" s="198"/>
      <c r="L956" s="198"/>
      <c r="M956" s="198"/>
      <c r="N956" s="198"/>
      <c r="O956" s="198"/>
      <c r="P956" s="198"/>
      <c r="Q956" s="198"/>
      <c r="R956" s="198"/>
      <c r="S956" s="198"/>
      <c r="T956" s="198"/>
      <c r="U956" s="198"/>
      <c r="V956" s="198"/>
      <c r="W956" s="198"/>
      <c r="X956" s="198"/>
      <c r="Y956" s="198"/>
      <c r="Z956" s="198"/>
    </row>
    <row r="957" spans="1:26" ht="15.75" hidden="1" customHeight="1" x14ac:dyDescent="0.25">
      <c r="A957" s="213">
        <v>2567</v>
      </c>
      <c r="B957" s="214" t="s">
        <v>9447</v>
      </c>
      <c r="C957" s="215" t="s">
        <v>580</v>
      </c>
      <c r="D957" s="216">
        <v>52.82</v>
      </c>
      <c r="E957" s="198"/>
      <c r="F957" s="198"/>
      <c r="G957" s="198"/>
      <c r="H957" s="198"/>
      <c r="I957" s="198"/>
      <c r="J957" s="198"/>
      <c r="K957" s="198"/>
      <c r="L957" s="198"/>
      <c r="M957" s="198"/>
      <c r="N957" s="198"/>
      <c r="O957" s="198"/>
      <c r="P957" s="198"/>
      <c r="Q957" s="198"/>
      <c r="R957" s="198"/>
      <c r="S957" s="198"/>
      <c r="T957" s="198"/>
      <c r="U957" s="198"/>
      <c r="V957" s="198"/>
      <c r="W957" s="198"/>
      <c r="X957" s="198"/>
      <c r="Y957" s="198"/>
      <c r="Z957" s="198"/>
    </row>
    <row r="958" spans="1:26" ht="15.75" hidden="1" customHeight="1" x14ac:dyDescent="0.25">
      <c r="A958" s="213">
        <v>2568</v>
      </c>
      <c r="B958" s="214" t="s">
        <v>9448</v>
      </c>
      <c r="C958" s="215" t="s">
        <v>580</v>
      </c>
      <c r="D958" s="216">
        <v>146.68</v>
      </c>
      <c r="E958" s="198"/>
      <c r="F958" s="198"/>
      <c r="G958" s="198"/>
      <c r="H958" s="198"/>
      <c r="I958" s="198"/>
      <c r="J958" s="198"/>
      <c r="K958" s="198"/>
      <c r="L958" s="198"/>
      <c r="M958" s="198"/>
      <c r="N958" s="198"/>
      <c r="O958" s="198"/>
      <c r="P958" s="198"/>
      <c r="Q958" s="198"/>
      <c r="R958" s="198"/>
      <c r="S958" s="198"/>
      <c r="T958" s="198"/>
      <c r="U958" s="198"/>
      <c r="V958" s="198"/>
      <c r="W958" s="198"/>
      <c r="X958" s="198"/>
      <c r="Y958" s="198"/>
      <c r="Z958" s="198"/>
    </row>
    <row r="959" spans="1:26" ht="15.75" hidden="1" customHeight="1" x14ac:dyDescent="0.25">
      <c r="A959" s="213">
        <v>2565</v>
      </c>
      <c r="B959" s="214" t="s">
        <v>9449</v>
      </c>
      <c r="C959" s="215" t="s">
        <v>580</v>
      </c>
      <c r="D959" s="216">
        <v>13.16</v>
      </c>
      <c r="E959" s="198"/>
      <c r="F959" s="198"/>
      <c r="G959" s="198"/>
      <c r="H959" s="198"/>
      <c r="I959" s="198"/>
      <c r="J959" s="198"/>
      <c r="K959" s="198"/>
      <c r="L959" s="198"/>
      <c r="M959" s="198"/>
      <c r="N959" s="198"/>
      <c r="O959" s="198"/>
      <c r="P959" s="198"/>
      <c r="Q959" s="198"/>
      <c r="R959" s="198"/>
      <c r="S959" s="198"/>
      <c r="T959" s="198"/>
      <c r="U959" s="198"/>
      <c r="V959" s="198"/>
      <c r="W959" s="198"/>
      <c r="X959" s="198"/>
      <c r="Y959" s="198"/>
      <c r="Z959" s="198"/>
    </row>
    <row r="960" spans="1:26" ht="15.75" hidden="1" customHeight="1" x14ac:dyDescent="0.25">
      <c r="A960" s="213">
        <v>2594</v>
      </c>
      <c r="B960" s="214" t="s">
        <v>9450</v>
      </c>
      <c r="C960" s="215" t="s">
        <v>580</v>
      </c>
      <c r="D960" s="216">
        <v>244.36</v>
      </c>
      <c r="E960" s="198"/>
      <c r="F960" s="198"/>
      <c r="G960" s="198"/>
      <c r="H960" s="198"/>
      <c r="I960" s="198"/>
      <c r="J960" s="198"/>
      <c r="K960" s="198"/>
      <c r="L960" s="198"/>
      <c r="M960" s="198"/>
      <c r="N960" s="198"/>
      <c r="O960" s="198"/>
      <c r="P960" s="198"/>
      <c r="Q960" s="198"/>
      <c r="R960" s="198"/>
      <c r="S960" s="198"/>
      <c r="T960" s="198"/>
      <c r="U960" s="198"/>
      <c r="V960" s="198"/>
      <c r="W960" s="198"/>
      <c r="X960" s="198"/>
      <c r="Y960" s="198"/>
      <c r="Z960" s="198"/>
    </row>
    <row r="961" spans="1:26" ht="15.75" hidden="1" customHeight="1" x14ac:dyDescent="0.25">
      <c r="A961" s="213">
        <v>2587</v>
      </c>
      <c r="B961" s="214" t="s">
        <v>9451</v>
      </c>
      <c r="C961" s="215" t="s">
        <v>580</v>
      </c>
      <c r="D961" s="216">
        <v>41.64</v>
      </c>
      <c r="E961" s="198"/>
      <c r="F961" s="198"/>
      <c r="G961" s="198"/>
      <c r="H961" s="198"/>
      <c r="I961" s="198"/>
      <c r="J961" s="198"/>
      <c r="K961" s="198"/>
      <c r="L961" s="198"/>
      <c r="M961" s="198"/>
      <c r="N961" s="198"/>
      <c r="O961" s="198"/>
      <c r="P961" s="198"/>
      <c r="Q961" s="198"/>
      <c r="R961" s="198"/>
      <c r="S961" s="198"/>
      <c r="T961" s="198"/>
      <c r="U961" s="198"/>
      <c r="V961" s="198"/>
      <c r="W961" s="198"/>
      <c r="X961" s="198"/>
      <c r="Y961" s="198"/>
      <c r="Z961" s="198"/>
    </row>
    <row r="962" spans="1:26" ht="15.75" hidden="1" customHeight="1" x14ac:dyDescent="0.25">
      <c r="A962" s="213">
        <v>2588</v>
      </c>
      <c r="B962" s="214" t="s">
        <v>9452</v>
      </c>
      <c r="C962" s="215" t="s">
        <v>580</v>
      </c>
      <c r="D962" s="216">
        <v>33.08</v>
      </c>
      <c r="E962" s="198"/>
      <c r="F962" s="198"/>
      <c r="G962" s="198"/>
      <c r="H962" s="198"/>
      <c r="I962" s="198"/>
      <c r="J962" s="198"/>
      <c r="K962" s="198"/>
      <c r="L962" s="198"/>
      <c r="M962" s="198"/>
      <c r="N962" s="198"/>
      <c r="O962" s="198"/>
      <c r="P962" s="198"/>
      <c r="Q962" s="198"/>
      <c r="R962" s="198"/>
      <c r="S962" s="198"/>
      <c r="T962" s="198"/>
      <c r="U962" s="198"/>
      <c r="V962" s="198"/>
      <c r="W962" s="198"/>
      <c r="X962" s="198"/>
      <c r="Y962" s="198"/>
      <c r="Z962" s="198"/>
    </row>
    <row r="963" spans="1:26" ht="15.75" hidden="1" customHeight="1" x14ac:dyDescent="0.25">
      <c r="A963" s="213">
        <v>2570</v>
      </c>
      <c r="B963" s="214" t="s">
        <v>9453</v>
      </c>
      <c r="C963" s="215" t="s">
        <v>580</v>
      </c>
      <c r="D963" s="216">
        <v>21.37</v>
      </c>
      <c r="E963" s="198"/>
      <c r="F963" s="198"/>
      <c r="G963" s="198"/>
      <c r="H963" s="198"/>
      <c r="I963" s="198"/>
      <c r="J963" s="198"/>
      <c r="K963" s="198"/>
      <c r="L963" s="198"/>
      <c r="M963" s="198"/>
      <c r="N963" s="198"/>
      <c r="O963" s="198"/>
      <c r="P963" s="198"/>
      <c r="Q963" s="198"/>
      <c r="R963" s="198"/>
      <c r="S963" s="198"/>
      <c r="T963" s="198"/>
      <c r="U963" s="198"/>
      <c r="V963" s="198"/>
      <c r="W963" s="198"/>
      <c r="X963" s="198"/>
      <c r="Y963" s="198"/>
      <c r="Z963" s="198"/>
    </row>
    <row r="964" spans="1:26" ht="15.75" hidden="1" customHeight="1" x14ac:dyDescent="0.25">
      <c r="A964" s="213">
        <v>2569</v>
      </c>
      <c r="B964" s="214" t="s">
        <v>9454</v>
      </c>
      <c r="C964" s="215" t="s">
        <v>580</v>
      </c>
      <c r="D964" s="216">
        <v>12.75</v>
      </c>
      <c r="E964" s="198"/>
      <c r="F964" s="198"/>
      <c r="G964" s="198"/>
      <c r="H964" s="198"/>
      <c r="I964" s="198"/>
      <c r="J964" s="198"/>
      <c r="K964" s="198"/>
      <c r="L964" s="198"/>
      <c r="M964" s="198"/>
      <c r="N964" s="198"/>
      <c r="O964" s="198"/>
      <c r="P964" s="198"/>
      <c r="Q964" s="198"/>
      <c r="R964" s="198"/>
      <c r="S964" s="198"/>
      <c r="T964" s="198"/>
      <c r="U964" s="198"/>
      <c r="V964" s="198"/>
      <c r="W964" s="198"/>
      <c r="X964" s="198"/>
      <c r="Y964" s="198"/>
      <c r="Z964" s="198"/>
    </row>
    <row r="965" spans="1:26" ht="15.75" hidden="1" customHeight="1" x14ac:dyDescent="0.25">
      <c r="A965" s="213">
        <v>2571</v>
      </c>
      <c r="B965" s="214" t="s">
        <v>9455</v>
      </c>
      <c r="C965" s="215" t="s">
        <v>580</v>
      </c>
      <c r="D965" s="216">
        <v>63.43</v>
      </c>
      <c r="E965" s="198"/>
      <c r="F965" s="198"/>
      <c r="G965" s="198"/>
      <c r="H965" s="198"/>
      <c r="I965" s="198"/>
      <c r="J965" s="198"/>
      <c r="K965" s="198"/>
      <c r="L965" s="198"/>
      <c r="M965" s="198"/>
      <c r="N965" s="198"/>
      <c r="O965" s="198"/>
      <c r="P965" s="198"/>
      <c r="Q965" s="198"/>
      <c r="R965" s="198"/>
      <c r="S965" s="198"/>
      <c r="T965" s="198"/>
      <c r="U965" s="198"/>
      <c r="V965" s="198"/>
      <c r="W965" s="198"/>
      <c r="X965" s="198"/>
      <c r="Y965" s="198"/>
      <c r="Z965" s="198"/>
    </row>
    <row r="966" spans="1:26" ht="15.75" hidden="1" customHeight="1" x14ac:dyDescent="0.25">
      <c r="A966" s="213">
        <v>2572</v>
      </c>
      <c r="B966" s="214" t="s">
        <v>9456</v>
      </c>
      <c r="C966" s="215" t="s">
        <v>580</v>
      </c>
      <c r="D966" s="216">
        <v>187.58</v>
      </c>
      <c r="E966" s="198"/>
      <c r="F966" s="198"/>
      <c r="G966" s="198"/>
      <c r="H966" s="198"/>
      <c r="I966" s="198"/>
      <c r="J966" s="198"/>
      <c r="K966" s="198"/>
      <c r="L966" s="198"/>
      <c r="M966" s="198"/>
      <c r="N966" s="198"/>
      <c r="O966" s="198"/>
      <c r="P966" s="198"/>
      <c r="Q966" s="198"/>
      <c r="R966" s="198"/>
      <c r="S966" s="198"/>
      <c r="T966" s="198"/>
      <c r="U966" s="198"/>
      <c r="V966" s="198"/>
      <c r="W966" s="198"/>
      <c r="X966" s="198"/>
      <c r="Y966" s="198"/>
      <c r="Z966" s="198"/>
    </row>
    <row r="967" spans="1:26" ht="15.75" hidden="1" customHeight="1" x14ac:dyDescent="0.25">
      <c r="A967" s="213">
        <v>2593</v>
      </c>
      <c r="B967" s="214" t="s">
        <v>9457</v>
      </c>
      <c r="C967" s="215" t="s">
        <v>580</v>
      </c>
      <c r="D967" s="216">
        <v>13.59</v>
      </c>
      <c r="E967" s="198"/>
      <c r="F967" s="198"/>
      <c r="G967" s="198"/>
      <c r="H967" s="198"/>
      <c r="I967" s="198"/>
      <c r="J967" s="198"/>
      <c r="K967" s="198"/>
      <c r="L967" s="198"/>
      <c r="M967" s="198"/>
      <c r="N967" s="198"/>
      <c r="O967" s="198"/>
      <c r="P967" s="198"/>
      <c r="Q967" s="198"/>
      <c r="R967" s="198"/>
      <c r="S967" s="198"/>
      <c r="T967" s="198"/>
      <c r="U967" s="198"/>
      <c r="V967" s="198"/>
      <c r="W967" s="198"/>
      <c r="X967" s="198"/>
      <c r="Y967" s="198"/>
      <c r="Z967" s="198"/>
    </row>
    <row r="968" spans="1:26" ht="15.75" hidden="1" customHeight="1" x14ac:dyDescent="0.25">
      <c r="A968" s="213">
        <v>2595</v>
      </c>
      <c r="B968" s="214" t="s">
        <v>9458</v>
      </c>
      <c r="C968" s="215" t="s">
        <v>580</v>
      </c>
      <c r="D968" s="216">
        <v>292.66000000000003</v>
      </c>
      <c r="E968" s="198"/>
      <c r="F968" s="198"/>
      <c r="G968" s="198"/>
      <c r="H968" s="198"/>
      <c r="I968" s="198"/>
      <c r="J968" s="198"/>
      <c r="K968" s="198"/>
      <c r="L968" s="198"/>
      <c r="M968" s="198"/>
      <c r="N968" s="198"/>
      <c r="O968" s="198"/>
      <c r="P968" s="198"/>
      <c r="Q968" s="198"/>
      <c r="R968" s="198"/>
      <c r="S968" s="198"/>
      <c r="T968" s="198"/>
      <c r="U968" s="198"/>
      <c r="V968" s="198"/>
      <c r="W968" s="198"/>
      <c r="X968" s="198"/>
      <c r="Y968" s="198"/>
      <c r="Z968" s="198"/>
    </row>
    <row r="969" spans="1:26" ht="15.75" hidden="1" customHeight="1" x14ac:dyDescent="0.25">
      <c r="A969" s="213">
        <v>2576</v>
      </c>
      <c r="B969" s="214" t="s">
        <v>9459</v>
      </c>
      <c r="C969" s="215" t="s">
        <v>580</v>
      </c>
      <c r="D969" s="216">
        <v>49.89</v>
      </c>
      <c r="E969" s="198"/>
      <c r="F969" s="198"/>
      <c r="G969" s="198"/>
      <c r="H969" s="198"/>
      <c r="I969" s="198"/>
      <c r="J969" s="198"/>
      <c r="K969" s="198"/>
      <c r="L969" s="198"/>
      <c r="M969" s="198"/>
      <c r="N969" s="198"/>
      <c r="O969" s="198"/>
      <c r="P969" s="198"/>
      <c r="Q969" s="198"/>
      <c r="R969" s="198"/>
      <c r="S969" s="198"/>
      <c r="T969" s="198"/>
      <c r="U969" s="198"/>
      <c r="V969" s="198"/>
      <c r="W969" s="198"/>
      <c r="X969" s="198"/>
      <c r="Y969" s="198"/>
      <c r="Z969" s="198"/>
    </row>
    <row r="970" spans="1:26" ht="15.75" hidden="1" customHeight="1" x14ac:dyDescent="0.25">
      <c r="A970" s="213">
        <v>2575</v>
      </c>
      <c r="B970" s="214" t="s">
        <v>9460</v>
      </c>
      <c r="C970" s="215" t="s">
        <v>580</v>
      </c>
      <c r="D970" s="216">
        <v>37.5</v>
      </c>
      <c r="E970" s="198"/>
      <c r="F970" s="198"/>
      <c r="G970" s="198"/>
      <c r="H970" s="198"/>
      <c r="I970" s="198"/>
      <c r="J970" s="198"/>
      <c r="K970" s="198"/>
      <c r="L970" s="198"/>
      <c r="M970" s="198"/>
      <c r="N970" s="198"/>
      <c r="O970" s="198"/>
      <c r="P970" s="198"/>
      <c r="Q970" s="198"/>
      <c r="R970" s="198"/>
      <c r="S970" s="198"/>
      <c r="T970" s="198"/>
      <c r="U970" s="198"/>
      <c r="V970" s="198"/>
      <c r="W970" s="198"/>
      <c r="X970" s="198"/>
      <c r="Y970" s="198"/>
      <c r="Z970" s="198"/>
    </row>
    <row r="971" spans="1:26" ht="15.75" hidden="1" customHeight="1" x14ac:dyDescent="0.25">
      <c r="A971" s="213">
        <v>2586</v>
      </c>
      <c r="B971" s="214" t="s">
        <v>9461</v>
      </c>
      <c r="C971" s="215" t="s">
        <v>580</v>
      </c>
      <c r="D971" s="216">
        <v>25.24</v>
      </c>
      <c r="E971" s="198"/>
      <c r="F971" s="198"/>
      <c r="G971" s="198"/>
      <c r="H971" s="198"/>
      <c r="I971" s="198"/>
      <c r="J971" s="198"/>
      <c r="K971" s="198"/>
      <c r="L971" s="198"/>
      <c r="M971" s="198"/>
      <c r="N971" s="198"/>
      <c r="O971" s="198"/>
      <c r="P971" s="198"/>
      <c r="Q971" s="198"/>
      <c r="R971" s="198"/>
      <c r="S971" s="198"/>
      <c r="T971" s="198"/>
      <c r="U971" s="198"/>
      <c r="V971" s="198"/>
      <c r="W971" s="198"/>
      <c r="X971" s="198"/>
      <c r="Y971" s="198"/>
      <c r="Z971" s="198"/>
    </row>
    <row r="972" spans="1:26" ht="15.75" hidden="1" customHeight="1" x14ac:dyDescent="0.25">
      <c r="A972" s="213">
        <v>2573</v>
      </c>
      <c r="B972" s="214" t="s">
        <v>9462</v>
      </c>
      <c r="C972" s="215" t="s">
        <v>580</v>
      </c>
      <c r="D972" s="216">
        <v>15.57</v>
      </c>
      <c r="E972" s="198"/>
      <c r="F972" s="198"/>
      <c r="G972" s="198"/>
      <c r="H972" s="198"/>
      <c r="I972" s="198"/>
      <c r="J972" s="198"/>
      <c r="K972" s="198"/>
      <c r="L972" s="198"/>
      <c r="M972" s="198"/>
      <c r="N972" s="198"/>
      <c r="O972" s="198"/>
      <c r="P972" s="198"/>
      <c r="Q972" s="198"/>
      <c r="R972" s="198"/>
      <c r="S972" s="198"/>
      <c r="T972" s="198"/>
      <c r="U972" s="198"/>
      <c r="V972" s="198"/>
      <c r="W972" s="198"/>
      <c r="X972" s="198"/>
      <c r="Y972" s="198"/>
      <c r="Z972" s="198"/>
    </row>
    <row r="973" spans="1:26" ht="15.75" hidden="1" customHeight="1" x14ac:dyDescent="0.25">
      <c r="A973" s="213">
        <v>2577</v>
      </c>
      <c r="B973" s="214" t="s">
        <v>9463</v>
      </c>
      <c r="C973" s="215" t="s">
        <v>580</v>
      </c>
      <c r="D973" s="216">
        <v>67.599999999999994</v>
      </c>
      <c r="E973" s="198"/>
      <c r="F973" s="198"/>
      <c r="G973" s="198"/>
      <c r="H973" s="198"/>
      <c r="I973" s="198"/>
      <c r="J973" s="198"/>
      <c r="K973" s="198"/>
      <c r="L973" s="198"/>
      <c r="M973" s="198"/>
      <c r="N973" s="198"/>
      <c r="O973" s="198"/>
      <c r="P973" s="198"/>
      <c r="Q973" s="198"/>
      <c r="R973" s="198"/>
      <c r="S973" s="198"/>
      <c r="T973" s="198"/>
      <c r="U973" s="198"/>
      <c r="V973" s="198"/>
      <c r="W973" s="198"/>
      <c r="X973" s="198"/>
      <c r="Y973" s="198"/>
      <c r="Z973" s="198"/>
    </row>
    <row r="974" spans="1:26" ht="15.75" hidden="1" customHeight="1" x14ac:dyDescent="0.25">
      <c r="A974" s="213">
        <v>2578</v>
      </c>
      <c r="B974" s="214" t="s">
        <v>9464</v>
      </c>
      <c r="C974" s="215" t="s">
        <v>580</v>
      </c>
      <c r="D974" s="216">
        <v>211.06</v>
      </c>
      <c r="E974" s="198"/>
      <c r="F974" s="198"/>
      <c r="G974" s="198"/>
      <c r="H974" s="198"/>
      <c r="I974" s="198"/>
      <c r="J974" s="198"/>
      <c r="K974" s="198"/>
      <c r="L974" s="198"/>
      <c r="M974" s="198"/>
      <c r="N974" s="198"/>
      <c r="O974" s="198"/>
      <c r="P974" s="198"/>
      <c r="Q974" s="198"/>
      <c r="R974" s="198"/>
      <c r="S974" s="198"/>
      <c r="T974" s="198"/>
      <c r="U974" s="198"/>
      <c r="V974" s="198"/>
      <c r="W974" s="198"/>
      <c r="X974" s="198"/>
      <c r="Y974" s="198"/>
      <c r="Z974" s="198"/>
    </row>
    <row r="975" spans="1:26" ht="15.75" hidden="1" customHeight="1" x14ac:dyDescent="0.25">
      <c r="A975" s="213">
        <v>2574</v>
      </c>
      <c r="B975" s="214" t="s">
        <v>9465</v>
      </c>
      <c r="C975" s="215" t="s">
        <v>580</v>
      </c>
      <c r="D975" s="216">
        <v>15.68</v>
      </c>
      <c r="E975" s="198"/>
      <c r="F975" s="198"/>
      <c r="G975" s="198"/>
      <c r="H975" s="198"/>
      <c r="I975" s="198"/>
      <c r="J975" s="198"/>
      <c r="K975" s="198"/>
      <c r="L975" s="198"/>
      <c r="M975" s="198"/>
      <c r="N975" s="198"/>
      <c r="O975" s="198"/>
      <c r="P975" s="198"/>
      <c r="Q975" s="198"/>
      <c r="R975" s="198"/>
      <c r="S975" s="198"/>
      <c r="T975" s="198"/>
      <c r="U975" s="198"/>
      <c r="V975" s="198"/>
      <c r="W975" s="198"/>
      <c r="X975" s="198"/>
      <c r="Y975" s="198"/>
      <c r="Z975" s="198"/>
    </row>
    <row r="976" spans="1:26" ht="15.75" hidden="1" customHeight="1" x14ac:dyDescent="0.25">
      <c r="A976" s="213">
        <v>2585</v>
      </c>
      <c r="B976" s="214" t="s">
        <v>9466</v>
      </c>
      <c r="C976" s="215" t="s">
        <v>580</v>
      </c>
      <c r="D976" s="216">
        <v>289.62</v>
      </c>
      <c r="E976" s="198"/>
      <c r="F976" s="198"/>
      <c r="G976" s="198"/>
      <c r="H976" s="198"/>
      <c r="I976" s="198"/>
      <c r="J976" s="198"/>
      <c r="K976" s="198"/>
      <c r="L976" s="198"/>
      <c r="M976" s="198"/>
      <c r="N976" s="198"/>
      <c r="O976" s="198"/>
      <c r="P976" s="198"/>
      <c r="Q976" s="198"/>
      <c r="R976" s="198"/>
      <c r="S976" s="198"/>
      <c r="T976" s="198"/>
      <c r="U976" s="198"/>
      <c r="V976" s="198"/>
      <c r="W976" s="198"/>
      <c r="X976" s="198"/>
      <c r="Y976" s="198"/>
      <c r="Z976" s="198"/>
    </row>
    <row r="977" spans="1:26" ht="15.75" hidden="1" customHeight="1" x14ac:dyDescent="0.25">
      <c r="A977" s="213">
        <v>12008</v>
      </c>
      <c r="B977" s="214" t="s">
        <v>9467</v>
      </c>
      <c r="C977" s="215" t="s">
        <v>580</v>
      </c>
      <c r="D977" s="216">
        <v>155.38999999999999</v>
      </c>
      <c r="E977" s="198"/>
      <c r="F977" s="198"/>
      <c r="G977" s="198"/>
      <c r="H977" s="198"/>
      <c r="I977" s="198"/>
      <c r="J977" s="198"/>
      <c r="K977" s="198"/>
      <c r="L977" s="198"/>
      <c r="M977" s="198"/>
      <c r="N977" s="198"/>
      <c r="O977" s="198"/>
      <c r="P977" s="198"/>
      <c r="Q977" s="198"/>
      <c r="R977" s="198"/>
      <c r="S977" s="198"/>
      <c r="T977" s="198"/>
      <c r="U977" s="198"/>
      <c r="V977" s="198"/>
      <c r="W977" s="198"/>
      <c r="X977" s="198"/>
      <c r="Y977" s="198"/>
      <c r="Z977" s="198"/>
    </row>
    <row r="978" spans="1:26" ht="15.75" hidden="1" customHeight="1" x14ac:dyDescent="0.25">
      <c r="A978" s="213">
        <v>2582</v>
      </c>
      <c r="B978" s="214" t="s">
        <v>9468</v>
      </c>
      <c r="C978" s="215" t="s">
        <v>580</v>
      </c>
      <c r="D978" s="216">
        <v>46.27</v>
      </c>
      <c r="E978" s="198"/>
      <c r="F978" s="198"/>
      <c r="G978" s="198"/>
      <c r="H978" s="198"/>
      <c r="I978" s="198"/>
      <c r="J978" s="198"/>
      <c r="K978" s="198"/>
      <c r="L978" s="198"/>
      <c r="M978" s="198"/>
      <c r="N978" s="198"/>
      <c r="O978" s="198"/>
      <c r="P978" s="198"/>
      <c r="Q978" s="198"/>
      <c r="R978" s="198"/>
      <c r="S978" s="198"/>
      <c r="T978" s="198"/>
      <c r="U978" s="198"/>
      <c r="V978" s="198"/>
      <c r="W978" s="198"/>
      <c r="X978" s="198"/>
      <c r="Y978" s="198"/>
      <c r="Z978" s="198"/>
    </row>
    <row r="979" spans="1:26" ht="15.75" hidden="1" customHeight="1" x14ac:dyDescent="0.25">
      <c r="A979" s="213">
        <v>2597</v>
      </c>
      <c r="B979" s="214" t="s">
        <v>9469</v>
      </c>
      <c r="C979" s="215" t="s">
        <v>580</v>
      </c>
      <c r="D979" s="216">
        <v>39.659999999999997</v>
      </c>
      <c r="E979" s="198"/>
      <c r="F979" s="198"/>
      <c r="G979" s="198"/>
      <c r="H979" s="198"/>
      <c r="I979" s="198"/>
      <c r="J979" s="198"/>
      <c r="K979" s="198"/>
      <c r="L979" s="198"/>
      <c r="M979" s="198"/>
      <c r="N979" s="198"/>
      <c r="O979" s="198"/>
      <c r="P979" s="198"/>
      <c r="Q979" s="198"/>
      <c r="R979" s="198"/>
      <c r="S979" s="198"/>
      <c r="T979" s="198"/>
      <c r="U979" s="198"/>
      <c r="V979" s="198"/>
      <c r="W979" s="198"/>
      <c r="X979" s="198"/>
      <c r="Y979" s="198"/>
      <c r="Z979" s="198"/>
    </row>
    <row r="980" spans="1:26" ht="15.75" hidden="1" customHeight="1" x14ac:dyDescent="0.25">
      <c r="A980" s="213">
        <v>2581</v>
      </c>
      <c r="B980" s="214" t="s">
        <v>9470</v>
      </c>
      <c r="C980" s="215" t="s">
        <v>580</v>
      </c>
      <c r="D980" s="216">
        <v>24.16</v>
      </c>
      <c r="E980" s="198"/>
      <c r="F980" s="198"/>
      <c r="G980" s="198"/>
      <c r="H980" s="198"/>
      <c r="I980" s="198"/>
      <c r="J980" s="198"/>
      <c r="K980" s="198"/>
      <c r="L980" s="198"/>
      <c r="M980" s="198"/>
      <c r="N980" s="198"/>
      <c r="O980" s="198"/>
      <c r="P980" s="198"/>
      <c r="Q980" s="198"/>
      <c r="R980" s="198"/>
      <c r="S980" s="198"/>
      <c r="T980" s="198"/>
      <c r="U980" s="198"/>
      <c r="V980" s="198"/>
      <c r="W980" s="198"/>
      <c r="X980" s="198"/>
      <c r="Y980" s="198"/>
      <c r="Z980" s="198"/>
    </row>
    <row r="981" spans="1:26" ht="15.75" hidden="1" customHeight="1" x14ac:dyDescent="0.25">
      <c r="A981" s="213">
        <v>2579</v>
      </c>
      <c r="B981" s="214" t="s">
        <v>9471</v>
      </c>
      <c r="C981" s="215" t="s">
        <v>580</v>
      </c>
      <c r="D981" s="216">
        <v>18.88</v>
      </c>
      <c r="E981" s="198"/>
      <c r="F981" s="198"/>
      <c r="G981" s="198"/>
      <c r="H981" s="198"/>
      <c r="I981" s="198"/>
      <c r="J981" s="198"/>
      <c r="K981" s="198"/>
      <c r="L981" s="198"/>
      <c r="M981" s="198"/>
      <c r="N981" s="198"/>
      <c r="O981" s="198"/>
      <c r="P981" s="198"/>
      <c r="Q981" s="198"/>
      <c r="R981" s="198"/>
      <c r="S981" s="198"/>
      <c r="T981" s="198"/>
      <c r="U981" s="198"/>
      <c r="V981" s="198"/>
      <c r="W981" s="198"/>
      <c r="X981" s="198"/>
      <c r="Y981" s="198"/>
      <c r="Z981" s="198"/>
    </row>
    <row r="982" spans="1:26" ht="15.75" hidden="1" customHeight="1" x14ac:dyDescent="0.25">
      <c r="A982" s="213">
        <v>2596</v>
      </c>
      <c r="B982" s="214" t="s">
        <v>9472</v>
      </c>
      <c r="C982" s="215" t="s">
        <v>580</v>
      </c>
      <c r="D982" s="216">
        <v>71.459999999999994</v>
      </c>
      <c r="E982" s="198"/>
      <c r="F982" s="198"/>
      <c r="G982" s="198"/>
      <c r="H982" s="198"/>
      <c r="I982" s="198"/>
      <c r="J982" s="198"/>
      <c r="K982" s="198"/>
      <c r="L982" s="198"/>
      <c r="M982" s="198"/>
      <c r="N982" s="198"/>
      <c r="O982" s="198"/>
      <c r="P982" s="198"/>
      <c r="Q982" s="198"/>
      <c r="R982" s="198"/>
      <c r="S982" s="198"/>
      <c r="T982" s="198"/>
      <c r="U982" s="198"/>
      <c r="V982" s="198"/>
      <c r="W982" s="198"/>
      <c r="X982" s="198"/>
      <c r="Y982" s="198"/>
      <c r="Z982" s="198"/>
    </row>
    <row r="983" spans="1:26" ht="15.75" hidden="1" customHeight="1" x14ac:dyDescent="0.25">
      <c r="A983" s="213">
        <v>2583</v>
      </c>
      <c r="B983" s="214" t="s">
        <v>9473</v>
      </c>
      <c r="C983" s="215" t="s">
        <v>580</v>
      </c>
      <c r="D983" s="216">
        <v>173.8</v>
      </c>
      <c r="E983" s="198"/>
      <c r="F983" s="198"/>
      <c r="G983" s="198"/>
      <c r="H983" s="198"/>
      <c r="I983" s="198"/>
      <c r="J983" s="198"/>
      <c r="K983" s="198"/>
      <c r="L983" s="198"/>
      <c r="M983" s="198"/>
      <c r="N983" s="198"/>
      <c r="O983" s="198"/>
      <c r="P983" s="198"/>
      <c r="Q983" s="198"/>
      <c r="R983" s="198"/>
      <c r="S983" s="198"/>
      <c r="T983" s="198"/>
      <c r="U983" s="198"/>
      <c r="V983" s="198"/>
      <c r="W983" s="198"/>
      <c r="X983" s="198"/>
      <c r="Y983" s="198"/>
      <c r="Z983" s="198"/>
    </row>
    <row r="984" spans="1:26" ht="15.75" hidden="1" customHeight="1" x14ac:dyDescent="0.25">
      <c r="A984" s="213">
        <v>2580</v>
      </c>
      <c r="B984" s="214" t="s">
        <v>9474</v>
      </c>
      <c r="C984" s="215" t="s">
        <v>580</v>
      </c>
      <c r="D984" s="216">
        <v>20.69</v>
      </c>
      <c r="E984" s="198"/>
      <c r="F984" s="198"/>
      <c r="G984" s="198"/>
      <c r="H984" s="198"/>
      <c r="I984" s="198"/>
      <c r="J984" s="198"/>
      <c r="K984" s="198"/>
      <c r="L984" s="198"/>
      <c r="M984" s="198"/>
      <c r="N984" s="198"/>
      <c r="O984" s="198"/>
      <c r="P984" s="198"/>
      <c r="Q984" s="198"/>
      <c r="R984" s="198"/>
      <c r="S984" s="198"/>
      <c r="T984" s="198"/>
      <c r="U984" s="198"/>
      <c r="V984" s="198"/>
      <c r="W984" s="198"/>
      <c r="X984" s="198"/>
      <c r="Y984" s="198"/>
      <c r="Z984" s="198"/>
    </row>
    <row r="985" spans="1:26" ht="15.75" hidden="1" customHeight="1" x14ac:dyDescent="0.25">
      <c r="A985" s="213">
        <v>2584</v>
      </c>
      <c r="B985" s="214" t="s">
        <v>9475</v>
      </c>
      <c r="C985" s="215" t="s">
        <v>580</v>
      </c>
      <c r="D985" s="216">
        <v>289.33</v>
      </c>
      <c r="E985" s="198"/>
      <c r="F985" s="198"/>
      <c r="G985" s="198"/>
      <c r="H985" s="198"/>
      <c r="I985" s="198"/>
      <c r="J985" s="198"/>
      <c r="K985" s="198"/>
      <c r="L985" s="198"/>
      <c r="M985" s="198"/>
      <c r="N985" s="198"/>
      <c r="O985" s="198"/>
      <c r="P985" s="198"/>
      <c r="Q985" s="198"/>
      <c r="R985" s="198"/>
      <c r="S985" s="198"/>
      <c r="T985" s="198"/>
      <c r="U985" s="198"/>
      <c r="V985" s="198"/>
      <c r="W985" s="198"/>
      <c r="X985" s="198"/>
      <c r="Y985" s="198"/>
      <c r="Z985" s="198"/>
    </row>
    <row r="986" spans="1:26" ht="15.75" hidden="1" customHeight="1" x14ac:dyDescent="0.25">
      <c r="A986" s="213">
        <v>39329</v>
      </c>
      <c r="B986" s="214" t="s">
        <v>9476</v>
      </c>
      <c r="C986" s="215" t="s">
        <v>580</v>
      </c>
      <c r="D986" s="216">
        <v>17.059999999999999</v>
      </c>
      <c r="E986" s="198"/>
      <c r="F986" s="198"/>
      <c r="G986" s="198"/>
      <c r="H986" s="198"/>
      <c r="I986" s="198"/>
      <c r="J986" s="198"/>
      <c r="K986" s="198"/>
      <c r="L986" s="198"/>
      <c r="M986" s="198"/>
      <c r="N986" s="198"/>
      <c r="O986" s="198"/>
      <c r="P986" s="198"/>
      <c r="Q986" s="198"/>
      <c r="R986" s="198"/>
      <c r="S986" s="198"/>
      <c r="T986" s="198"/>
      <c r="U986" s="198"/>
      <c r="V986" s="198"/>
      <c r="W986" s="198"/>
      <c r="X986" s="198"/>
      <c r="Y986" s="198"/>
      <c r="Z986" s="198"/>
    </row>
    <row r="987" spans="1:26" ht="15.75" hidden="1" customHeight="1" x14ac:dyDescent="0.25">
      <c r="A987" s="213">
        <v>12010</v>
      </c>
      <c r="B987" s="214" t="s">
        <v>9477</v>
      </c>
      <c r="C987" s="215" t="s">
        <v>580</v>
      </c>
      <c r="D987" s="216">
        <v>16.309999999999999</v>
      </c>
      <c r="E987" s="198"/>
      <c r="F987" s="198"/>
      <c r="G987" s="198"/>
      <c r="H987" s="198"/>
      <c r="I987" s="198"/>
      <c r="J987" s="198"/>
      <c r="K987" s="198"/>
      <c r="L987" s="198"/>
      <c r="M987" s="198"/>
      <c r="N987" s="198"/>
      <c r="O987" s="198"/>
      <c r="P987" s="198"/>
      <c r="Q987" s="198"/>
      <c r="R987" s="198"/>
      <c r="S987" s="198"/>
      <c r="T987" s="198"/>
      <c r="U987" s="198"/>
      <c r="V987" s="198"/>
      <c r="W987" s="198"/>
      <c r="X987" s="198"/>
      <c r="Y987" s="198"/>
      <c r="Z987" s="198"/>
    </row>
    <row r="988" spans="1:26" ht="15.75" hidden="1" customHeight="1" x14ac:dyDescent="0.25">
      <c r="A988" s="213">
        <v>39332</v>
      </c>
      <c r="B988" s="214" t="s">
        <v>9478</v>
      </c>
      <c r="C988" s="215" t="s">
        <v>580</v>
      </c>
      <c r="D988" s="216">
        <v>20.059999999999999</v>
      </c>
      <c r="E988" s="198"/>
      <c r="F988" s="198"/>
      <c r="G988" s="198"/>
      <c r="H988" s="198"/>
      <c r="I988" s="198"/>
      <c r="J988" s="198"/>
      <c r="K988" s="198"/>
      <c r="L988" s="198"/>
      <c r="M988" s="198"/>
      <c r="N988" s="198"/>
      <c r="O988" s="198"/>
      <c r="P988" s="198"/>
      <c r="Q988" s="198"/>
      <c r="R988" s="198"/>
      <c r="S988" s="198"/>
      <c r="T988" s="198"/>
      <c r="U988" s="198"/>
      <c r="V988" s="198"/>
      <c r="W988" s="198"/>
      <c r="X988" s="198"/>
      <c r="Y988" s="198"/>
      <c r="Z988" s="198"/>
    </row>
    <row r="989" spans="1:26" ht="15.75" hidden="1" customHeight="1" x14ac:dyDescent="0.25">
      <c r="A989" s="213">
        <v>39330</v>
      </c>
      <c r="B989" s="214" t="s">
        <v>9479</v>
      </c>
      <c r="C989" s="215" t="s">
        <v>580</v>
      </c>
      <c r="D989" s="216">
        <v>17.95</v>
      </c>
      <c r="E989" s="198"/>
      <c r="F989" s="198"/>
      <c r="G989" s="198"/>
      <c r="H989" s="198"/>
      <c r="I989" s="198"/>
      <c r="J989" s="198"/>
      <c r="K989" s="198"/>
      <c r="L989" s="198"/>
      <c r="M989" s="198"/>
      <c r="N989" s="198"/>
      <c r="O989" s="198"/>
      <c r="P989" s="198"/>
      <c r="Q989" s="198"/>
      <c r="R989" s="198"/>
      <c r="S989" s="198"/>
      <c r="T989" s="198"/>
      <c r="U989" s="198"/>
      <c r="V989" s="198"/>
      <c r="W989" s="198"/>
      <c r="X989" s="198"/>
      <c r="Y989" s="198"/>
      <c r="Z989" s="198"/>
    </row>
    <row r="990" spans="1:26" ht="15.75" hidden="1" customHeight="1" x14ac:dyDescent="0.25">
      <c r="A990" s="213">
        <v>39331</v>
      </c>
      <c r="B990" s="214" t="s">
        <v>9480</v>
      </c>
      <c r="C990" s="215" t="s">
        <v>580</v>
      </c>
      <c r="D990" s="216">
        <v>15.97</v>
      </c>
      <c r="E990" s="198"/>
      <c r="F990" s="198"/>
      <c r="G990" s="198"/>
      <c r="H990" s="198"/>
      <c r="I990" s="198"/>
      <c r="J990" s="198"/>
      <c r="K990" s="198"/>
      <c r="L990" s="198"/>
      <c r="M990" s="198"/>
      <c r="N990" s="198"/>
      <c r="O990" s="198"/>
      <c r="P990" s="198"/>
      <c r="Q990" s="198"/>
      <c r="R990" s="198"/>
      <c r="S990" s="198"/>
      <c r="T990" s="198"/>
      <c r="U990" s="198"/>
      <c r="V990" s="198"/>
      <c r="W990" s="198"/>
      <c r="X990" s="198"/>
      <c r="Y990" s="198"/>
      <c r="Z990" s="198"/>
    </row>
    <row r="991" spans="1:26" ht="15.75" hidden="1" customHeight="1" x14ac:dyDescent="0.25">
      <c r="A991" s="213">
        <v>39335</v>
      </c>
      <c r="B991" s="214" t="s">
        <v>9481</v>
      </c>
      <c r="C991" s="215" t="s">
        <v>580</v>
      </c>
      <c r="D991" s="216">
        <v>18.010000000000002</v>
      </c>
      <c r="E991" s="198"/>
      <c r="F991" s="198"/>
      <c r="G991" s="198"/>
      <c r="H991" s="198"/>
      <c r="I991" s="198"/>
      <c r="J991" s="198"/>
      <c r="K991" s="198"/>
      <c r="L991" s="198"/>
      <c r="M991" s="198"/>
      <c r="N991" s="198"/>
      <c r="O991" s="198"/>
      <c r="P991" s="198"/>
      <c r="Q991" s="198"/>
      <c r="R991" s="198"/>
      <c r="S991" s="198"/>
      <c r="T991" s="198"/>
      <c r="U991" s="198"/>
      <c r="V991" s="198"/>
      <c r="W991" s="198"/>
      <c r="X991" s="198"/>
      <c r="Y991" s="198"/>
      <c r="Z991" s="198"/>
    </row>
    <row r="992" spans="1:26" ht="15.75" hidden="1" customHeight="1" x14ac:dyDescent="0.25">
      <c r="A992" s="213">
        <v>39333</v>
      </c>
      <c r="B992" s="214" t="s">
        <v>9482</v>
      </c>
      <c r="C992" s="215" t="s">
        <v>580</v>
      </c>
      <c r="D992" s="216">
        <v>15.57</v>
      </c>
      <c r="E992" s="198"/>
      <c r="F992" s="198"/>
      <c r="G992" s="198"/>
      <c r="H992" s="198"/>
      <c r="I992" s="198"/>
      <c r="J992" s="198"/>
      <c r="K992" s="198"/>
      <c r="L992" s="198"/>
      <c r="M992" s="198"/>
      <c r="N992" s="198"/>
      <c r="O992" s="198"/>
      <c r="P992" s="198"/>
      <c r="Q992" s="198"/>
      <c r="R992" s="198"/>
      <c r="S992" s="198"/>
      <c r="T992" s="198"/>
      <c r="U992" s="198"/>
      <c r="V992" s="198"/>
      <c r="W992" s="198"/>
      <c r="X992" s="198"/>
      <c r="Y992" s="198"/>
      <c r="Z992" s="198"/>
    </row>
    <row r="993" spans="1:26" ht="15.75" hidden="1" customHeight="1" x14ac:dyDescent="0.25">
      <c r="A993" s="213">
        <v>39334</v>
      </c>
      <c r="B993" s="214" t="s">
        <v>9483</v>
      </c>
      <c r="C993" s="215" t="s">
        <v>580</v>
      </c>
      <c r="D993" s="216">
        <v>14.32</v>
      </c>
      <c r="E993" s="198"/>
      <c r="F993" s="198"/>
      <c r="G993" s="198"/>
      <c r="H993" s="198"/>
      <c r="I993" s="198"/>
      <c r="J993" s="198"/>
      <c r="K993" s="198"/>
      <c r="L993" s="198"/>
      <c r="M993" s="198"/>
      <c r="N993" s="198"/>
      <c r="O993" s="198"/>
      <c r="P993" s="198"/>
      <c r="Q993" s="198"/>
      <c r="R993" s="198"/>
      <c r="S993" s="198"/>
      <c r="T993" s="198"/>
      <c r="U993" s="198"/>
      <c r="V993" s="198"/>
      <c r="W993" s="198"/>
      <c r="X993" s="198"/>
      <c r="Y993" s="198"/>
      <c r="Z993" s="198"/>
    </row>
    <row r="994" spans="1:26" ht="15.75" hidden="1" customHeight="1" x14ac:dyDescent="0.25">
      <c r="A994" s="213">
        <v>12015</v>
      </c>
      <c r="B994" s="214" t="s">
        <v>9484</v>
      </c>
      <c r="C994" s="215" t="s">
        <v>580</v>
      </c>
      <c r="D994" s="216">
        <v>20.92</v>
      </c>
      <c r="E994" s="198"/>
      <c r="F994" s="198"/>
      <c r="G994" s="198"/>
      <c r="H994" s="198"/>
      <c r="I994" s="198"/>
      <c r="J994" s="198"/>
      <c r="K994" s="198"/>
      <c r="L994" s="198"/>
      <c r="M994" s="198"/>
      <c r="N994" s="198"/>
      <c r="O994" s="198"/>
      <c r="P994" s="198"/>
      <c r="Q994" s="198"/>
      <c r="R994" s="198"/>
      <c r="S994" s="198"/>
      <c r="T994" s="198"/>
      <c r="U994" s="198"/>
      <c r="V994" s="198"/>
      <c r="W994" s="198"/>
      <c r="X994" s="198"/>
      <c r="Y994" s="198"/>
      <c r="Z994" s="198"/>
    </row>
    <row r="995" spans="1:26" ht="15.75" hidden="1" customHeight="1" x14ac:dyDescent="0.25">
      <c r="A995" s="213">
        <v>12016</v>
      </c>
      <c r="B995" s="214" t="s">
        <v>9485</v>
      </c>
      <c r="C995" s="215" t="s">
        <v>580</v>
      </c>
      <c r="D995" s="216">
        <v>17.97</v>
      </c>
      <c r="E995" s="198"/>
      <c r="F995" s="198"/>
      <c r="G995" s="198"/>
      <c r="H995" s="198"/>
      <c r="I995" s="198"/>
      <c r="J995" s="198"/>
      <c r="K995" s="198"/>
      <c r="L995" s="198"/>
      <c r="M995" s="198"/>
      <c r="N995" s="198"/>
      <c r="O995" s="198"/>
      <c r="P995" s="198"/>
      <c r="Q995" s="198"/>
      <c r="R995" s="198"/>
      <c r="S995" s="198"/>
      <c r="T995" s="198"/>
      <c r="U995" s="198"/>
      <c r="V995" s="198"/>
      <c r="W995" s="198"/>
      <c r="X995" s="198"/>
      <c r="Y995" s="198"/>
      <c r="Z995" s="198"/>
    </row>
    <row r="996" spans="1:26" ht="15.75" hidden="1" customHeight="1" x14ac:dyDescent="0.25">
      <c r="A996" s="213">
        <v>12019</v>
      </c>
      <c r="B996" s="214" t="s">
        <v>9486</v>
      </c>
      <c r="C996" s="215" t="s">
        <v>580</v>
      </c>
      <c r="D996" s="216">
        <v>20.92</v>
      </c>
      <c r="E996" s="198"/>
      <c r="F996" s="198"/>
      <c r="G996" s="198"/>
      <c r="H996" s="198"/>
      <c r="I996" s="198"/>
      <c r="J996" s="198"/>
      <c r="K996" s="198"/>
      <c r="L996" s="198"/>
      <c r="M996" s="198"/>
      <c r="N996" s="198"/>
      <c r="O996" s="198"/>
      <c r="P996" s="198"/>
      <c r="Q996" s="198"/>
      <c r="R996" s="198"/>
      <c r="S996" s="198"/>
      <c r="T996" s="198"/>
      <c r="U996" s="198"/>
      <c r="V996" s="198"/>
      <c r="W996" s="198"/>
      <c r="X996" s="198"/>
      <c r="Y996" s="198"/>
      <c r="Z996" s="198"/>
    </row>
    <row r="997" spans="1:26" ht="15.75" hidden="1" customHeight="1" x14ac:dyDescent="0.25">
      <c r="A997" s="213">
        <v>12020</v>
      </c>
      <c r="B997" s="214" t="s">
        <v>9487</v>
      </c>
      <c r="C997" s="215" t="s">
        <v>580</v>
      </c>
      <c r="D997" s="216">
        <v>17.97</v>
      </c>
      <c r="E997" s="198"/>
      <c r="F997" s="198"/>
      <c r="G997" s="198"/>
      <c r="H997" s="198"/>
      <c r="I997" s="198"/>
      <c r="J997" s="198"/>
      <c r="K997" s="198"/>
      <c r="L997" s="198"/>
      <c r="M997" s="198"/>
      <c r="N997" s="198"/>
      <c r="O997" s="198"/>
      <c r="P997" s="198"/>
      <c r="Q997" s="198"/>
      <c r="R997" s="198"/>
      <c r="S997" s="198"/>
      <c r="T997" s="198"/>
      <c r="U997" s="198"/>
      <c r="V997" s="198"/>
      <c r="W997" s="198"/>
      <c r="X997" s="198"/>
      <c r="Y997" s="198"/>
      <c r="Z997" s="198"/>
    </row>
    <row r="998" spans="1:26" ht="15.75" hidden="1" customHeight="1" x14ac:dyDescent="0.25">
      <c r="A998" s="213">
        <v>39338</v>
      </c>
      <c r="B998" s="214" t="s">
        <v>9488</v>
      </c>
      <c r="C998" s="215" t="s">
        <v>580</v>
      </c>
      <c r="D998" s="216">
        <v>20.059999999999999</v>
      </c>
      <c r="E998" s="198"/>
      <c r="F998" s="198"/>
      <c r="G998" s="198"/>
      <c r="H998" s="198"/>
      <c r="I998" s="198"/>
      <c r="J998" s="198"/>
      <c r="K998" s="198"/>
      <c r="L998" s="198"/>
      <c r="M998" s="198"/>
      <c r="N998" s="198"/>
      <c r="O998" s="198"/>
      <c r="P998" s="198"/>
      <c r="Q998" s="198"/>
      <c r="R998" s="198"/>
      <c r="S998" s="198"/>
      <c r="T998" s="198"/>
      <c r="U998" s="198"/>
      <c r="V998" s="198"/>
      <c r="W998" s="198"/>
      <c r="X998" s="198"/>
      <c r="Y998" s="198"/>
      <c r="Z998" s="198"/>
    </row>
    <row r="999" spans="1:26" ht="15.75" hidden="1" customHeight="1" x14ac:dyDescent="0.25">
      <c r="A999" s="213">
        <v>39336</v>
      </c>
      <c r="B999" s="214" t="s">
        <v>9489</v>
      </c>
      <c r="C999" s="215" t="s">
        <v>580</v>
      </c>
      <c r="D999" s="216">
        <v>17.95</v>
      </c>
      <c r="E999" s="198"/>
      <c r="F999" s="198"/>
      <c r="G999" s="198"/>
      <c r="H999" s="198"/>
      <c r="I999" s="198"/>
      <c r="J999" s="198"/>
      <c r="K999" s="198"/>
      <c r="L999" s="198"/>
      <c r="M999" s="198"/>
      <c r="N999" s="198"/>
      <c r="O999" s="198"/>
      <c r="P999" s="198"/>
      <c r="Q999" s="198"/>
      <c r="R999" s="198"/>
      <c r="S999" s="198"/>
      <c r="T999" s="198"/>
      <c r="U999" s="198"/>
      <c r="V999" s="198"/>
      <c r="W999" s="198"/>
      <c r="X999" s="198"/>
      <c r="Y999" s="198"/>
      <c r="Z999" s="198"/>
    </row>
    <row r="1000" spans="1:26" ht="15.75" hidden="1" customHeight="1" x14ac:dyDescent="0.25">
      <c r="A1000" s="213">
        <v>39337</v>
      </c>
      <c r="B1000" s="214" t="s">
        <v>9490</v>
      </c>
      <c r="C1000" s="215" t="s">
        <v>580</v>
      </c>
      <c r="D1000" s="216">
        <v>15.97</v>
      </c>
      <c r="E1000" s="198"/>
      <c r="F1000" s="198"/>
      <c r="G1000" s="198"/>
      <c r="H1000" s="198"/>
      <c r="I1000" s="198"/>
      <c r="J1000" s="198"/>
      <c r="K1000" s="198"/>
      <c r="L1000" s="198"/>
      <c r="M1000" s="198"/>
      <c r="N1000" s="198"/>
      <c r="O1000" s="198"/>
      <c r="P1000" s="198"/>
      <c r="Q1000" s="198"/>
      <c r="R1000" s="198"/>
      <c r="S1000" s="198"/>
      <c r="T1000" s="198"/>
      <c r="U1000" s="198"/>
      <c r="V1000" s="198"/>
      <c r="W1000" s="198"/>
      <c r="X1000" s="198"/>
      <c r="Y1000" s="198"/>
      <c r="Z1000" s="198"/>
    </row>
    <row r="1001" spans="1:26" ht="15.75" hidden="1" customHeight="1" x14ac:dyDescent="0.25">
      <c r="A1001" s="213">
        <v>39341</v>
      </c>
      <c r="B1001" s="214" t="s">
        <v>9491</v>
      </c>
      <c r="C1001" s="215" t="s">
        <v>580</v>
      </c>
      <c r="D1001" s="216">
        <v>26.15</v>
      </c>
      <c r="E1001" s="198"/>
      <c r="F1001" s="198"/>
      <c r="G1001" s="198"/>
      <c r="H1001" s="198"/>
      <c r="I1001" s="198"/>
      <c r="J1001" s="198"/>
      <c r="K1001" s="198"/>
      <c r="L1001" s="198"/>
      <c r="M1001" s="198"/>
      <c r="N1001" s="198"/>
      <c r="O1001" s="198"/>
      <c r="P1001" s="198"/>
      <c r="Q1001" s="198"/>
      <c r="R1001" s="198"/>
      <c r="S1001" s="198"/>
      <c r="T1001" s="198"/>
      <c r="U1001" s="198"/>
      <c r="V1001" s="198"/>
      <c r="W1001" s="198"/>
      <c r="X1001" s="198"/>
      <c r="Y1001" s="198"/>
      <c r="Z1001" s="198"/>
    </row>
    <row r="1002" spans="1:26" ht="15.75" hidden="1" customHeight="1" x14ac:dyDescent="0.25">
      <c r="A1002" s="213">
        <v>39340</v>
      </c>
      <c r="B1002" s="214" t="s">
        <v>9492</v>
      </c>
      <c r="C1002" s="215" t="s">
        <v>580</v>
      </c>
      <c r="D1002" s="216">
        <v>19.2</v>
      </c>
      <c r="E1002" s="198"/>
      <c r="F1002" s="198"/>
      <c r="G1002" s="198"/>
      <c r="H1002" s="198"/>
      <c r="I1002" s="198"/>
      <c r="J1002" s="198"/>
      <c r="K1002" s="198"/>
      <c r="L1002" s="198"/>
      <c r="M1002" s="198"/>
      <c r="N1002" s="198"/>
      <c r="O1002" s="198"/>
      <c r="P1002" s="198"/>
      <c r="Q1002" s="198"/>
      <c r="R1002" s="198"/>
      <c r="S1002" s="198"/>
      <c r="T1002" s="198"/>
      <c r="U1002" s="198"/>
      <c r="V1002" s="198"/>
      <c r="W1002" s="198"/>
      <c r="X1002" s="198"/>
      <c r="Y1002" s="198"/>
      <c r="Z1002" s="198"/>
    </row>
    <row r="1003" spans="1:26" ht="15.75" hidden="1" customHeight="1" x14ac:dyDescent="0.25">
      <c r="A1003" s="213">
        <v>39342</v>
      </c>
      <c r="B1003" s="214" t="s">
        <v>9493</v>
      </c>
      <c r="C1003" s="215" t="s">
        <v>580</v>
      </c>
      <c r="D1003" s="216">
        <v>26.15</v>
      </c>
      <c r="E1003" s="198"/>
      <c r="F1003" s="198"/>
      <c r="G1003" s="198"/>
      <c r="H1003" s="198"/>
      <c r="I1003" s="198"/>
      <c r="J1003" s="198"/>
      <c r="K1003" s="198"/>
      <c r="L1003" s="198"/>
      <c r="M1003" s="198"/>
      <c r="N1003" s="198"/>
      <c r="O1003" s="198"/>
      <c r="P1003" s="198"/>
      <c r="Q1003" s="198"/>
      <c r="R1003" s="198"/>
      <c r="S1003" s="198"/>
      <c r="T1003" s="198"/>
      <c r="U1003" s="198"/>
      <c r="V1003" s="198"/>
      <c r="W1003" s="198"/>
      <c r="X1003" s="198"/>
      <c r="Y1003" s="198"/>
      <c r="Z1003" s="198"/>
    </row>
    <row r="1004" spans="1:26" ht="15.75" hidden="1" customHeight="1" x14ac:dyDescent="0.25">
      <c r="A1004" s="213">
        <v>12025</v>
      </c>
      <c r="B1004" s="214" t="s">
        <v>9494</v>
      </c>
      <c r="C1004" s="215" t="s">
        <v>580</v>
      </c>
      <c r="D1004" s="216">
        <v>19.829999999999998</v>
      </c>
      <c r="E1004" s="198"/>
      <c r="F1004" s="198"/>
      <c r="G1004" s="198"/>
      <c r="H1004" s="198"/>
      <c r="I1004" s="198"/>
      <c r="J1004" s="198"/>
      <c r="K1004" s="198"/>
      <c r="L1004" s="198"/>
      <c r="M1004" s="198"/>
      <c r="N1004" s="198"/>
      <c r="O1004" s="198"/>
      <c r="P1004" s="198"/>
      <c r="Q1004" s="198"/>
      <c r="R1004" s="198"/>
      <c r="S1004" s="198"/>
      <c r="T1004" s="198"/>
      <c r="U1004" s="198"/>
      <c r="V1004" s="198"/>
      <c r="W1004" s="198"/>
      <c r="X1004" s="198"/>
      <c r="Y1004" s="198"/>
      <c r="Z1004" s="198"/>
    </row>
    <row r="1005" spans="1:26" ht="15.75" hidden="1" customHeight="1" x14ac:dyDescent="0.25">
      <c r="A1005" s="213">
        <v>39345</v>
      </c>
      <c r="B1005" s="214" t="s">
        <v>9495</v>
      </c>
      <c r="C1005" s="215" t="s">
        <v>580</v>
      </c>
      <c r="D1005" s="216">
        <v>29.88</v>
      </c>
      <c r="E1005" s="198"/>
      <c r="F1005" s="198"/>
      <c r="G1005" s="198"/>
      <c r="H1005" s="198"/>
      <c r="I1005" s="198"/>
      <c r="J1005" s="198"/>
      <c r="K1005" s="198"/>
      <c r="L1005" s="198"/>
      <c r="M1005" s="198"/>
      <c r="N1005" s="198"/>
      <c r="O1005" s="198"/>
      <c r="P1005" s="198"/>
      <c r="Q1005" s="198"/>
      <c r="R1005" s="198"/>
      <c r="S1005" s="198"/>
      <c r="T1005" s="198"/>
      <c r="U1005" s="198"/>
      <c r="V1005" s="198"/>
      <c r="W1005" s="198"/>
      <c r="X1005" s="198"/>
      <c r="Y1005" s="198"/>
      <c r="Z1005" s="198"/>
    </row>
    <row r="1006" spans="1:26" ht="15.75" hidden="1" customHeight="1" x14ac:dyDescent="0.25">
      <c r="A1006" s="213">
        <v>39343</v>
      </c>
      <c r="B1006" s="214" t="s">
        <v>9496</v>
      </c>
      <c r="C1006" s="215" t="s">
        <v>580</v>
      </c>
      <c r="D1006" s="216">
        <v>22.08</v>
      </c>
      <c r="E1006" s="198"/>
      <c r="F1006" s="198"/>
      <c r="G1006" s="198"/>
      <c r="H1006" s="198"/>
      <c r="I1006" s="198"/>
      <c r="J1006" s="198"/>
      <c r="K1006" s="198"/>
      <c r="L1006" s="198"/>
      <c r="M1006" s="198"/>
      <c r="N1006" s="198"/>
      <c r="O1006" s="198"/>
      <c r="P1006" s="198"/>
      <c r="Q1006" s="198"/>
      <c r="R1006" s="198"/>
      <c r="S1006" s="198"/>
      <c r="T1006" s="198"/>
      <c r="U1006" s="198"/>
      <c r="V1006" s="198"/>
      <c r="W1006" s="198"/>
      <c r="X1006" s="198"/>
      <c r="Y1006" s="198"/>
      <c r="Z1006" s="198"/>
    </row>
    <row r="1007" spans="1:26" ht="15.75" hidden="1" customHeight="1" x14ac:dyDescent="0.25">
      <c r="A1007" s="213">
        <v>39344</v>
      </c>
      <c r="B1007" s="214" t="s">
        <v>9497</v>
      </c>
      <c r="C1007" s="215" t="s">
        <v>580</v>
      </c>
      <c r="D1007" s="216">
        <v>21.35</v>
      </c>
      <c r="E1007" s="198"/>
      <c r="F1007" s="198"/>
      <c r="G1007" s="198"/>
      <c r="H1007" s="198"/>
      <c r="I1007" s="198"/>
      <c r="J1007" s="198"/>
      <c r="K1007" s="198"/>
      <c r="L1007" s="198"/>
      <c r="M1007" s="198"/>
      <c r="N1007" s="198"/>
      <c r="O1007" s="198"/>
      <c r="P1007" s="198"/>
      <c r="Q1007" s="198"/>
      <c r="R1007" s="198"/>
      <c r="S1007" s="198"/>
      <c r="T1007" s="198"/>
      <c r="U1007" s="198"/>
      <c r="V1007" s="198"/>
      <c r="W1007" s="198"/>
      <c r="X1007" s="198"/>
      <c r="Y1007" s="198"/>
      <c r="Z1007" s="198"/>
    </row>
    <row r="1008" spans="1:26" ht="15.75" hidden="1" customHeight="1" x14ac:dyDescent="0.25">
      <c r="A1008" s="213">
        <v>12623</v>
      </c>
      <c r="B1008" s="214" t="s">
        <v>9498</v>
      </c>
      <c r="C1008" s="215" t="s">
        <v>585</v>
      </c>
      <c r="D1008" s="216">
        <v>42.44</v>
      </c>
      <c r="E1008" s="198"/>
      <c r="F1008" s="198"/>
      <c r="G1008" s="198"/>
      <c r="H1008" s="198"/>
      <c r="I1008" s="198"/>
      <c r="J1008" s="198"/>
      <c r="K1008" s="198"/>
      <c r="L1008" s="198"/>
      <c r="M1008" s="198"/>
      <c r="N1008" s="198"/>
      <c r="O1008" s="198"/>
      <c r="P1008" s="198"/>
      <c r="Q1008" s="198"/>
      <c r="R1008" s="198"/>
      <c r="S1008" s="198"/>
      <c r="T1008" s="198"/>
      <c r="U1008" s="198"/>
      <c r="V1008" s="198"/>
      <c r="W1008" s="198"/>
      <c r="X1008" s="198"/>
      <c r="Y1008" s="198"/>
      <c r="Z1008" s="198"/>
    </row>
    <row r="1009" spans="1:26" ht="15.75" hidden="1" customHeight="1" x14ac:dyDescent="0.25">
      <c r="A1009" s="213">
        <v>34498</v>
      </c>
      <c r="B1009" s="214" t="s">
        <v>9499</v>
      </c>
      <c r="C1009" s="215" t="s">
        <v>580</v>
      </c>
      <c r="D1009" s="216">
        <v>86.87</v>
      </c>
      <c r="E1009" s="198"/>
      <c r="F1009" s="198"/>
      <c r="G1009" s="198"/>
      <c r="H1009" s="198"/>
      <c r="I1009" s="198"/>
      <c r="J1009" s="198"/>
      <c r="K1009" s="198"/>
      <c r="L1009" s="198"/>
      <c r="M1009" s="198"/>
      <c r="N1009" s="198"/>
      <c r="O1009" s="198"/>
      <c r="P1009" s="198"/>
      <c r="Q1009" s="198"/>
      <c r="R1009" s="198"/>
      <c r="S1009" s="198"/>
      <c r="T1009" s="198"/>
      <c r="U1009" s="198"/>
      <c r="V1009" s="198"/>
      <c r="W1009" s="198"/>
      <c r="X1009" s="198"/>
      <c r="Y1009" s="198"/>
      <c r="Z1009" s="198"/>
    </row>
    <row r="1010" spans="1:26" ht="15.75" hidden="1" customHeight="1" x14ac:dyDescent="0.25">
      <c r="A1010" s="213">
        <v>13244</v>
      </c>
      <c r="B1010" s="214" t="s">
        <v>9500</v>
      </c>
      <c r="C1010" s="215" t="s">
        <v>580</v>
      </c>
      <c r="D1010" s="216">
        <v>36.57</v>
      </c>
      <c r="E1010" s="198"/>
      <c r="F1010" s="198"/>
      <c r="G1010" s="198"/>
      <c r="H1010" s="198"/>
      <c r="I1010" s="198"/>
      <c r="J1010" s="198"/>
      <c r="K1010" s="198"/>
      <c r="L1010" s="198"/>
      <c r="M1010" s="198"/>
      <c r="N1010" s="198"/>
      <c r="O1010" s="198"/>
      <c r="P1010" s="198"/>
      <c r="Q1010" s="198"/>
      <c r="R1010" s="198"/>
      <c r="S1010" s="198"/>
      <c r="T1010" s="198"/>
      <c r="U1010" s="198"/>
      <c r="V1010" s="198"/>
      <c r="W1010" s="198"/>
      <c r="X1010" s="198"/>
      <c r="Y1010" s="198"/>
      <c r="Z1010" s="198"/>
    </row>
    <row r="1011" spans="1:26" ht="15.75" hidden="1" customHeight="1" x14ac:dyDescent="0.25">
      <c r="A1011" s="213">
        <v>38998</v>
      </c>
      <c r="B1011" s="214" t="s">
        <v>9501</v>
      </c>
      <c r="C1011" s="215" t="s">
        <v>580</v>
      </c>
      <c r="D1011" s="216">
        <v>13.45</v>
      </c>
      <c r="E1011" s="198"/>
      <c r="F1011" s="198"/>
      <c r="G1011" s="198"/>
      <c r="H1011" s="198"/>
      <c r="I1011" s="198"/>
      <c r="J1011" s="198"/>
      <c r="K1011" s="198"/>
      <c r="L1011" s="198"/>
      <c r="M1011" s="198"/>
      <c r="N1011" s="198"/>
      <c r="O1011" s="198"/>
      <c r="P1011" s="198"/>
      <c r="Q1011" s="198"/>
      <c r="R1011" s="198"/>
      <c r="S1011" s="198"/>
      <c r="T1011" s="198"/>
      <c r="U1011" s="198"/>
      <c r="V1011" s="198"/>
      <c r="W1011" s="198"/>
      <c r="X1011" s="198"/>
      <c r="Y1011" s="198"/>
      <c r="Z1011" s="198"/>
    </row>
    <row r="1012" spans="1:26" ht="15.75" hidden="1" customHeight="1" x14ac:dyDescent="0.25">
      <c r="A1012" s="213">
        <v>38999</v>
      </c>
      <c r="B1012" s="214" t="s">
        <v>9502</v>
      </c>
      <c r="C1012" s="215" t="s">
        <v>580</v>
      </c>
      <c r="D1012" s="216">
        <v>34</v>
      </c>
      <c r="E1012" s="198"/>
      <c r="F1012" s="198"/>
      <c r="G1012" s="198"/>
      <c r="H1012" s="198"/>
      <c r="I1012" s="198"/>
      <c r="J1012" s="198"/>
      <c r="K1012" s="198"/>
      <c r="L1012" s="198"/>
      <c r="M1012" s="198"/>
      <c r="N1012" s="198"/>
      <c r="O1012" s="198"/>
      <c r="P1012" s="198"/>
      <c r="Q1012" s="198"/>
      <c r="R1012" s="198"/>
      <c r="S1012" s="198"/>
      <c r="T1012" s="198"/>
      <c r="U1012" s="198"/>
      <c r="V1012" s="198"/>
      <c r="W1012" s="198"/>
      <c r="X1012" s="198"/>
      <c r="Y1012" s="198"/>
      <c r="Z1012" s="198"/>
    </row>
    <row r="1013" spans="1:26" ht="15.75" hidden="1" customHeight="1" x14ac:dyDescent="0.25">
      <c r="A1013" s="213">
        <v>38996</v>
      </c>
      <c r="B1013" s="214" t="s">
        <v>9503</v>
      </c>
      <c r="C1013" s="215" t="s">
        <v>580</v>
      </c>
      <c r="D1013" s="216">
        <v>24.03</v>
      </c>
      <c r="E1013" s="198"/>
      <c r="F1013" s="198"/>
      <c r="G1013" s="198"/>
      <c r="H1013" s="198"/>
      <c r="I1013" s="198"/>
      <c r="J1013" s="198"/>
      <c r="K1013" s="198"/>
      <c r="L1013" s="198"/>
      <c r="M1013" s="198"/>
      <c r="N1013" s="198"/>
      <c r="O1013" s="198"/>
      <c r="P1013" s="198"/>
      <c r="Q1013" s="198"/>
      <c r="R1013" s="198"/>
      <c r="S1013" s="198"/>
      <c r="T1013" s="198"/>
      <c r="U1013" s="198"/>
      <c r="V1013" s="198"/>
      <c r="W1013" s="198"/>
      <c r="X1013" s="198"/>
      <c r="Y1013" s="198"/>
      <c r="Z1013" s="198"/>
    </row>
    <row r="1014" spans="1:26" ht="15.75" hidden="1" customHeight="1" x14ac:dyDescent="0.25">
      <c r="A1014" s="213">
        <v>44173</v>
      </c>
      <c r="B1014" s="214" t="s">
        <v>9504</v>
      </c>
      <c r="C1014" s="215" t="s">
        <v>580</v>
      </c>
      <c r="D1014" s="216">
        <v>23.37</v>
      </c>
      <c r="E1014" s="198"/>
      <c r="F1014" s="198"/>
      <c r="G1014" s="198"/>
      <c r="H1014" s="198"/>
      <c r="I1014" s="198"/>
      <c r="J1014" s="198"/>
      <c r="K1014" s="198"/>
      <c r="L1014" s="198"/>
      <c r="M1014" s="198"/>
      <c r="N1014" s="198"/>
      <c r="O1014" s="198"/>
      <c r="P1014" s="198"/>
      <c r="Q1014" s="198"/>
      <c r="R1014" s="198"/>
      <c r="S1014" s="198"/>
      <c r="T1014" s="198"/>
      <c r="U1014" s="198"/>
      <c r="V1014" s="198"/>
      <c r="W1014" s="198"/>
      <c r="X1014" s="198"/>
      <c r="Y1014" s="198"/>
      <c r="Z1014" s="198"/>
    </row>
    <row r="1015" spans="1:26" ht="15.75" hidden="1" customHeight="1" x14ac:dyDescent="0.25">
      <c r="A1015" s="213">
        <v>44174</v>
      </c>
      <c r="B1015" s="214" t="s">
        <v>9505</v>
      </c>
      <c r="C1015" s="215" t="s">
        <v>580</v>
      </c>
      <c r="D1015" s="216">
        <v>38.25</v>
      </c>
      <c r="E1015" s="198"/>
      <c r="F1015" s="198"/>
      <c r="G1015" s="198"/>
      <c r="H1015" s="198"/>
      <c r="I1015" s="198"/>
      <c r="J1015" s="198"/>
      <c r="K1015" s="198"/>
      <c r="L1015" s="198"/>
      <c r="M1015" s="198"/>
      <c r="N1015" s="198"/>
      <c r="O1015" s="198"/>
      <c r="P1015" s="198"/>
      <c r="Q1015" s="198"/>
      <c r="R1015" s="198"/>
      <c r="S1015" s="198"/>
      <c r="T1015" s="198"/>
      <c r="U1015" s="198"/>
      <c r="V1015" s="198"/>
      <c r="W1015" s="198"/>
      <c r="X1015" s="198"/>
      <c r="Y1015" s="198"/>
      <c r="Z1015" s="198"/>
    </row>
    <row r="1016" spans="1:26" ht="15.75" hidden="1" customHeight="1" x14ac:dyDescent="0.25">
      <c r="A1016" s="213">
        <v>38997</v>
      </c>
      <c r="B1016" s="214" t="s">
        <v>9506</v>
      </c>
      <c r="C1016" s="215" t="s">
        <v>580</v>
      </c>
      <c r="D1016" s="216">
        <v>34.380000000000003</v>
      </c>
      <c r="E1016" s="198"/>
      <c r="F1016" s="198"/>
      <c r="G1016" s="198"/>
      <c r="H1016" s="198"/>
      <c r="I1016" s="198"/>
      <c r="J1016" s="198"/>
      <c r="K1016" s="198"/>
      <c r="L1016" s="198"/>
      <c r="M1016" s="198"/>
      <c r="N1016" s="198"/>
      <c r="O1016" s="198"/>
      <c r="P1016" s="198"/>
      <c r="Q1016" s="198"/>
      <c r="R1016" s="198"/>
      <c r="S1016" s="198"/>
      <c r="T1016" s="198"/>
      <c r="U1016" s="198"/>
      <c r="V1016" s="198"/>
      <c r="W1016" s="198"/>
      <c r="X1016" s="198"/>
      <c r="Y1016" s="198"/>
      <c r="Z1016" s="198"/>
    </row>
    <row r="1017" spans="1:26" ht="15.75" hidden="1" customHeight="1" x14ac:dyDescent="0.25">
      <c r="A1017" s="213">
        <v>39600</v>
      </c>
      <c r="B1017" s="214" t="s">
        <v>9507</v>
      </c>
      <c r="C1017" s="215" t="s">
        <v>580</v>
      </c>
      <c r="D1017" s="216">
        <v>20.079999999999998</v>
      </c>
      <c r="E1017" s="198"/>
      <c r="F1017" s="198"/>
      <c r="G1017" s="198"/>
      <c r="H1017" s="198"/>
      <c r="I1017" s="198"/>
      <c r="J1017" s="198"/>
      <c r="K1017" s="198"/>
      <c r="L1017" s="198"/>
      <c r="M1017" s="198"/>
      <c r="N1017" s="198"/>
      <c r="O1017" s="198"/>
      <c r="P1017" s="198"/>
      <c r="Q1017" s="198"/>
      <c r="R1017" s="198"/>
      <c r="S1017" s="198"/>
      <c r="T1017" s="198"/>
      <c r="U1017" s="198"/>
      <c r="V1017" s="198"/>
      <c r="W1017" s="198"/>
      <c r="X1017" s="198"/>
      <c r="Y1017" s="198"/>
      <c r="Z1017" s="198"/>
    </row>
    <row r="1018" spans="1:26" ht="15.75" hidden="1" customHeight="1" x14ac:dyDescent="0.25">
      <c r="A1018" s="213">
        <v>39601</v>
      </c>
      <c r="B1018" s="214" t="s">
        <v>9508</v>
      </c>
      <c r="C1018" s="215" t="s">
        <v>580</v>
      </c>
      <c r="D1018" s="216">
        <v>42.6</v>
      </c>
      <c r="E1018" s="198"/>
      <c r="F1018" s="198"/>
      <c r="G1018" s="198"/>
      <c r="H1018" s="198"/>
      <c r="I1018" s="198"/>
      <c r="J1018" s="198"/>
      <c r="K1018" s="198"/>
      <c r="L1018" s="198"/>
      <c r="M1018" s="198"/>
      <c r="N1018" s="198"/>
      <c r="O1018" s="198"/>
      <c r="P1018" s="198"/>
      <c r="Q1018" s="198"/>
      <c r="R1018" s="198"/>
      <c r="S1018" s="198"/>
      <c r="T1018" s="198"/>
      <c r="U1018" s="198"/>
      <c r="V1018" s="198"/>
      <c r="W1018" s="198"/>
      <c r="X1018" s="198"/>
      <c r="Y1018" s="198"/>
      <c r="Z1018" s="198"/>
    </row>
    <row r="1019" spans="1:26" ht="15.75" hidden="1" customHeight="1" x14ac:dyDescent="0.25">
      <c r="A1019" s="213">
        <v>2517</v>
      </c>
      <c r="B1019" s="214" t="s">
        <v>9509</v>
      </c>
      <c r="C1019" s="215" t="s">
        <v>580</v>
      </c>
      <c r="D1019" s="216">
        <v>28.83</v>
      </c>
      <c r="E1019" s="198"/>
      <c r="F1019" s="198"/>
      <c r="G1019" s="198"/>
      <c r="H1019" s="198"/>
      <c r="I1019" s="198"/>
      <c r="J1019" s="198"/>
      <c r="K1019" s="198"/>
      <c r="L1019" s="198"/>
      <c r="M1019" s="198"/>
      <c r="N1019" s="198"/>
      <c r="O1019" s="198"/>
      <c r="P1019" s="198"/>
      <c r="Q1019" s="198"/>
      <c r="R1019" s="198"/>
      <c r="S1019" s="198"/>
      <c r="T1019" s="198"/>
      <c r="U1019" s="198"/>
      <c r="V1019" s="198"/>
      <c r="W1019" s="198"/>
      <c r="X1019" s="198"/>
      <c r="Y1019" s="198"/>
      <c r="Z1019" s="198"/>
    </row>
    <row r="1020" spans="1:26" ht="15.75" hidden="1" customHeight="1" x14ac:dyDescent="0.25">
      <c r="A1020" s="213">
        <v>2522</v>
      </c>
      <c r="B1020" s="214" t="s">
        <v>9510</v>
      </c>
      <c r="C1020" s="215" t="s">
        <v>580</v>
      </c>
      <c r="D1020" s="216">
        <v>18.63</v>
      </c>
      <c r="E1020" s="198"/>
      <c r="F1020" s="198"/>
      <c r="G1020" s="198"/>
      <c r="H1020" s="198"/>
      <c r="I1020" s="198"/>
      <c r="J1020" s="198"/>
      <c r="K1020" s="198"/>
      <c r="L1020" s="198"/>
      <c r="M1020" s="198"/>
      <c r="N1020" s="198"/>
      <c r="O1020" s="198"/>
      <c r="P1020" s="198"/>
      <c r="Q1020" s="198"/>
      <c r="R1020" s="198"/>
      <c r="S1020" s="198"/>
      <c r="T1020" s="198"/>
      <c r="U1020" s="198"/>
      <c r="V1020" s="198"/>
      <c r="W1020" s="198"/>
      <c r="X1020" s="198"/>
      <c r="Y1020" s="198"/>
      <c r="Z1020" s="198"/>
    </row>
    <row r="1021" spans="1:26" ht="15.75" hidden="1" customHeight="1" x14ac:dyDescent="0.25">
      <c r="A1021" s="213">
        <v>2516</v>
      </c>
      <c r="B1021" s="214" t="s">
        <v>9511</v>
      </c>
      <c r="C1021" s="215" t="s">
        <v>580</v>
      </c>
      <c r="D1021" s="216">
        <v>14.96</v>
      </c>
      <c r="E1021" s="198"/>
      <c r="F1021" s="198"/>
      <c r="G1021" s="198"/>
      <c r="H1021" s="198"/>
      <c r="I1021" s="198"/>
      <c r="J1021" s="198"/>
      <c r="K1021" s="198"/>
      <c r="L1021" s="198"/>
      <c r="M1021" s="198"/>
      <c r="N1021" s="198"/>
      <c r="O1021" s="198"/>
      <c r="P1021" s="198"/>
      <c r="Q1021" s="198"/>
      <c r="R1021" s="198"/>
      <c r="S1021" s="198"/>
      <c r="T1021" s="198"/>
      <c r="U1021" s="198"/>
      <c r="V1021" s="198"/>
      <c r="W1021" s="198"/>
      <c r="X1021" s="198"/>
      <c r="Y1021" s="198"/>
      <c r="Z1021" s="198"/>
    </row>
    <row r="1022" spans="1:26" ht="15.75" hidden="1" customHeight="1" x14ac:dyDescent="0.25">
      <c r="A1022" s="213">
        <v>2548</v>
      </c>
      <c r="B1022" s="214" t="s">
        <v>9512</v>
      </c>
      <c r="C1022" s="215" t="s">
        <v>580</v>
      </c>
      <c r="D1022" s="216">
        <v>11.46</v>
      </c>
      <c r="E1022" s="198"/>
      <c r="F1022" s="198"/>
      <c r="G1022" s="198"/>
      <c r="H1022" s="198"/>
      <c r="I1022" s="198"/>
      <c r="J1022" s="198"/>
      <c r="K1022" s="198"/>
      <c r="L1022" s="198"/>
      <c r="M1022" s="198"/>
      <c r="N1022" s="198"/>
      <c r="O1022" s="198"/>
      <c r="P1022" s="198"/>
      <c r="Q1022" s="198"/>
      <c r="R1022" s="198"/>
      <c r="S1022" s="198"/>
      <c r="T1022" s="198"/>
      <c r="U1022" s="198"/>
      <c r="V1022" s="198"/>
      <c r="W1022" s="198"/>
      <c r="X1022" s="198"/>
      <c r="Y1022" s="198"/>
      <c r="Z1022" s="198"/>
    </row>
    <row r="1023" spans="1:26" ht="15.75" hidden="1" customHeight="1" x14ac:dyDescent="0.25">
      <c r="A1023" s="213">
        <v>2518</v>
      </c>
      <c r="B1023" s="214" t="s">
        <v>9513</v>
      </c>
      <c r="C1023" s="215" t="s">
        <v>580</v>
      </c>
      <c r="D1023" s="216">
        <v>137.21</v>
      </c>
      <c r="E1023" s="198"/>
      <c r="F1023" s="198"/>
      <c r="G1023" s="198"/>
      <c r="H1023" s="198"/>
      <c r="I1023" s="198"/>
      <c r="J1023" s="198"/>
      <c r="K1023" s="198"/>
      <c r="L1023" s="198"/>
      <c r="M1023" s="198"/>
      <c r="N1023" s="198"/>
      <c r="O1023" s="198"/>
      <c r="P1023" s="198"/>
      <c r="Q1023" s="198"/>
      <c r="R1023" s="198"/>
      <c r="S1023" s="198"/>
      <c r="T1023" s="198"/>
      <c r="U1023" s="198"/>
      <c r="V1023" s="198"/>
      <c r="W1023" s="198"/>
      <c r="X1023" s="198"/>
      <c r="Y1023" s="198"/>
      <c r="Z1023" s="198"/>
    </row>
    <row r="1024" spans="1:26" ht="15.75" hidden="1" customHeight="1" x14ac:dyDescent="0.25">
      <c r="A1024" s="213">
        <v>2521</v>
      </c>
      <c r="B1024" s="214" t="s">
        <v>9514</v>
      </c>
      <c r="C1024" s="215" t="s">
        <v>580</v>
      </c>
      <c r="D1024" s="216">
        <v>58.41</v>
      </c>
      <c r="E1024" s="198"/>
      <c r="F1024" s="198"/>
      <c r="G1024" s="198"/>
      <c r="H1024" s="198"/>
      <c r="I1024" s="198"/>
      <c r="J1024" s="198"/>
      <c r="K1024" s="198"/>
      <c r="L1024" s="198"/>
      <c r="M1024" s="198"/>
      <c r="N1024" s="198"/>
      <c r="O1024" s="198"/>
      <c r="P1024" s="198"/>
      <c r="Q1024" s="198"/>
      <c r="R1024" s="198"/>
      <c r="S1024" s="198"/>
      <c r="T1024" s="198"/>
      <c r="U1024" s="198"/>
      <c r="V1024" s="198"/>
      <c r="W1024" s="198"/>
      <c r="X1024" s="198"/>
      <c r="Y1024" s="198"/>
      <c r="Z1024" s="198"/>
    </row>
    <row r="1025" spans="1:26" ht="15.75" hidden="1" customHeight="1" x14ac:dyDescent="0.25">
      <c r="A1025" s="213">
        <v>2519</v>
      </c>
      <c r="B1025" s="214" t="s">
        <v>9515</v>
      </c>
      <c r="C1025" s="215" t="s">
        <v>580</v>
      </c>
      <c r="D1025" s="216">
        <v>165.45</v>
      </c>
      <c r="E1025" s="198"/>
      <c r="F1025" s="198"/>
      <c r="G1025" s="198"/>
      <c r="H1025" s="198"/>
      <c r="I1025" s="198"/>
      <c r="J1025" s="198"/>
      <c r="K1025" s="198"/>
      <c r="L1025" s="198"/>
      <c r="M1025" s="198"/>
      <c r="N1025" s="198"/>
      <c r="O1025" s="198"/>
      <c r="P1025" s="198"/>
      <c r="Q1025" s="198"/>
      <c r="R1025" s="198"/>
      <c r="S1025" s="198"/>
      <c r="T1025" s="198"/>
      <c r="U1025" s="198"/>
      <c r="V1025" s="198"/>
      <c r="W1025" s="198"/>
      <c r="X1025" s="198"/>
      <c r="Y1025" s="198"/>
      <c r="Z1025" s="198"/>
    </row>
    <row r="1026" spans="1:26" ht="15.75" hidden="1" customHeight="1" x14ac:dyDescent="0.25">
      <c r="A1026" s="213">
        <v>2515</v>
      </c>
      <c r="B1026" s="214" t="s">
        <v>9516</v>
      </c>
      <c r="C1026" s="215" t="s">
        <v>580</v>
      </c>
      <c r="D1026" s="216">
        <v>12.45</v>
      </c>
      <c r="E1026" s="198"/>
      <c r="F1026" s="198"/>
      <c r="G1026" s="198"/>
      <c r="H1026" s="198"/>
      <c r="I1026" s="198"/>
      <c r="J1026" s="198"/>
      <c r="K1026" s="198"/>
      <c r="L1026" s="198"/>
      <c r="M1026" s="198"/>
      <c r="N1026" s="198"/>
      <c r="O1026" s="198"/>
      <c r="P1026" s="198"/>
      <c r="Q1026" s="198"/>
      <c r="R1026" s="198"/>
      <c r="S1026" s="198"/>
      <c r="T1026" s="198"/>
      <c r="U1026" s="198"/>
      <c r="V1026" s="198"/>
      <c r="W1026" s="198"/>
      <c r="X1026" s="198"/>
      <c r="Y1026" s="198"/>
      <c r="Z1026" s="198"/>
    </row>
    <row r="1027" spans="1:26" ht="15.75" hidden="1" customHeight="1" x14ac:dyDescent="0.25">
      <c r="A1027" s="213">
        <v>2520</v>
      </c>
      <c r="B1027" s="214" t="s">
        <v>9517</v>
      </c>
      <c r="C1027" s="215" t="s">
        <v>580</v>
      </c>
      <c r="D1027" s="216">
        <v>304.52</v>
      </c>
      <c r="E1027" s="198"/>
      <c r="F1027" s="198"/>
      <c r="G1027" s="198"/>
      <c r="H1027" s="198"/>
      <c r="I1027" s="198"/>
      <c r="J1027" s="198"/>
      <c r="K1027" s="198"/>
      <c r="L1027" s="198"/>
      <c r="M1027" s="198"/>
      <c r="N1027" s="198"/>
      <c r="O1027" s="198"/>
      <c r="P1027" s="198"/>
      <c r="Q1027" s="198"/>
      <c r="R1027" s="198"/>
      <c r="S1027" s="198"/>
      <c r="T1027" s="198"/>
      <c r="U1027" s="198"/>
      <c r="V1027" s="198"/>
      <c r="W1027" s="198"/>
      <c r="X1027" s="198"/>
      <c r="Y1027" s="198"/>
      <c r="Z1027" s="198"/>
    </row>
    <row r="1028" spans="1:26" ht="15.75" hidden="1" customHeight="1" x14ac:dyDescent="0.25">
      <c r="A1028" s="213">
        <v>1602</v>
      </c>
      <c r="B1028" s="214" t="s">
        <v>9518</v>
      </c>
      <c r="C1028" s="215" t="s">
        <v>580</v>
      </c>
      <c r="D1028" s="216">
        <v>55.08</v>
      </c>
      <c r="E1028" s="198"/>
      <c r="F1028" s="198"/>
      <c r="G1028" s="198"/>
      <c r="H1028" s="198"/>
      <c r="I1028" s="198"/>
      <c r="J1028" s="198"/>
      <c r="K1028" s="198"/>
      <c r="L1028" s="198"/>
      <c r="M1028" s="198"/>
      <c r="N1028" s="198"/>
      <c r="O1028" s="198"/>
      <c r="P1028" s="198"/>
      <c r="Q1028" s="198"/>
      <c r="R1028" s="198"/>
      <c r="S1028" s="198"/>
      <c r="T1028" s="198"/>
      <c r="U1028" s="198"/>
      <c r="V1028" s="198"/>
      <c r="W1028" s="198"/>
      <c r="X1028" s="198"/>
      <c r="Y1028" s="198"/>
      <c r="Z1028" s="198"/>
    </row>
    <row r="1029" spans="1:26" ht="15.75" hidden="1" customHeight="1" x14ac:dyDescent="0.25">
      <c r="A1029" s="213">
        <v>1601</v>
      </c>
      <c r="B1029" s="214" t="s">
        <v>9519</v>
      </c>
      <c r="C1029" s="215" t="s">
        <v>580</v>
      </c>
      <c r="D1029" s="216">
        <v>49.09</v>
      </c>
      <c r="E1029" s="198"/>
      <c r="F1029" s="198"/>
      <c r="G1029" s="198"/>
      <c r="H1029" s="198"/>
      <c r="I1029" s="198"/>
      <c r="J1029" s="198"/>
      <c r="K1029" s="198"/>
      <c r="L1029" s="198"/>
      <c r="M1029" s="198"/>
      <c r="N1029" s="198"/>
      <c r="O1029" s="198"/>
      <c r="P1029" s="198"/>
      <c r="Q1029" s="198"/>
      <c r="R1029" s="198"/>
      <c r="S1029" s="198"/>
      <c r="T1029" s="198"/>
      <c r="U1029" s="198"/>
      <c r="V1029" s="198"/>
      <c r="W1029" s="198"/>
      <c r="X1029" s="198"/>
      <c r="Y1029" s="198"/>
      <c r="Z1029" s="198"/>
    </row>
    <row r="1030" spans="1:26" ht="15.75" hidden="1" customHeight="1" x14ac:dyDescent="0.25">
      <c r="A1030" s="213">
        <v>1600</v>
      </c>
      <c r="B1030" s="214" t="s">
        <v>9520</v>
      </c>
      <c r="C1030" s="215" t="s">
        <v>580</v>
      </c>
      <c r="D1030" s="216">
        <v>21.44</v>
      </c>
      <c r="E1030" s="198"/>
      <c r="F1030" s="198"/>
      <c r="G1030" s="198"/>
      <c r="H1030" s="198"/>
      <c r="I1030" s="198"/>
      <c r="J1030" s="198"/>
      <c r="K1030" s="198"/>
      <c r="L1030" s="198"/>
      <c r="M1030" s="198"/>
      <c r="N1030" s="198"/>
      <c r="O1030" s="198"/>
      <c r="P1030" s="198"/>
      <c r="Q1030" s="198"/>
      <c r="R1030" s="198"/>
      <c r="S1030" s="198"/>
      <c r="T1030" s="198"/>
      <c r="U1030" s="198"/>
      <c r="V1030" s="198"/>
      <c r="W1030" s="198"/>
      <c r="X1030" s="198"/>
      <c r="Y1030" s="198"/>
      <c r="Z1030" s="198"/>
    </row>
    <row r="1031" spans="1:26" ht="15.75" hidden="1" customHeight="1" x14ac:dyDescent="0.25">
      <c r="A1031" s="213">
        <v>1598</v>
      </c>
      <c r="B1031" s="214" t="s">
        <v>9521</v>
      </c>
      <c r="C1031" s="215" t="s">
        <v>580</v>
      </c>
      <c r="D1031" s="216">
        <v>14.53</v>
      </c>
      <c r="E1031" s="198"/>
      <c r="F1031" s="198"/>
      <c r="G1031" s="198"/>
      <c r="H1031" s="198"/>
      <c r="I1031" s="198"/>
      <c r="J1031" s="198"/>
      <c r="K1031" s="198"/>
      <c r="L1031" s="198"/>
      <c r="M1031" s="198"/>
      <c r="N1031" s="198"/>
      <c r="O1031" s="198"/>
      <c r="P1031" s="198"/>
      <c r="Q1031" s="198"/>
      <c r="R1031" s="198"/>
      <c r="S1031" s="198"/>
      <c r="T1031" s="198"/>
      <c r="U1031" s="198"/>
      <c r="V1031" s="198"/>
      <c r="W1031" s="198"/>
      <c r="X1031" s="198"/>
      <c r="Y1031" s="198"/>
      <c r="Z1031" s="198"/>
    </row>
    <row r="1032" spans="1:26" ht="15.75" hidden="1" customHeight="1" x14ac:dyDescent="0.25">
      <c r="A1032" s="213">
        <v>1603</v>
      </c>
      <c r="B1032" s="214" t="s">
        <v>9522</v>
      </c>
      <c r="C1032" s="215" t="s">
        <v>580</v>
      </c>
      <c r="D1032" s="216">
        <v>83.16</v>
      </c>
      <c r="E1032" s="198"/>
      <c r="F1032" s="198"/>
      <c r="G1032" s="198"/>
      <c r="H1032" s="198"/>
      <c r="I1032" s="198"/>
      <c r="J1032" s="198"/>
      <c r="K1032" s="198"/>
      <c r="L1032" s="198"/>
      <c r="M1032" s="198"/>
      <c r="N1032" s="198"/>
      <c r="O1032" s="198"/>
      <c r="P1032" s="198"/>
      <c r="Q1032" s="198"/>
      <c r="R1032" s="198"/>
      <c r="S1032" s="198"/>
      <c r="T1032" s="198"/>
      <c r="U1032" s="198"/>
      <c r="V1032" s="198"/>
      <c r="W1032" s="198"/>
      <c r="X1032" s="198"/>
      <c r="Y1032" s="198"/>
      <c r="Z1032" s="198"/>
    </row>
    <row r="1033" spans="1:26" ht="15.75" hidden="1" customHeight="1" x14ac:dyDescent="0.25">
      <c r="A1033" s="213">
        <v>1599</v>
      </c>
      <c r="B1033" s="214" t="s">
        <v>9523</v>
      </c>
      <c r="C1033" s="215" t="s">
        <v>580</v>
      </c>
      <c r="D1033" s="216">
        <v>16.86</v>
      </c>
      <c r="E1033" s="198"/>
      <c r="F1033" s="198"/>
      <c r="G1033" s="198"/>
      <c r="H1033" s="198"/>
      <c r="I1033" s="198"/>
      <c r="J1033" s="198"/>
      <c r="K1033" s="198"/>
      <c r="L1033" s="198"/>
      <c r="M1033" s="198"/>
      <c r="N1033" s="198"/>
      <c r="O1033" s="198"/>
      <c r="P1033" s="198"/>
      <c r="Q1033" s="198"/>
      <c r="R1033" s="198"/>
      <c r="S1033" s="198"/>
      <c r="T1033" s="198"/>
      <c r="U1033" s="198"/>
      <c r="V1033" s="198"/>
      <c r="W1033" s="198"/>
      <c r="X1033" s="198"/>
      <c r="Y1033" s="198"/>
      <c r="Z1033" s="198"/>
    </row>
    <row r="1034" spans="1:26" ht="15.75" hidden="1" customHeight="1" x14ac:dyDescent="0.25">
      <c r="A1034" s="213">
        <v>1597</v>
      </c>
      <c r="B1034" s="214" t="s">
        <v>9524</v>
      </c>
      <c r="C1034" s="215" t="s">
        <v>580</v>
      </c>
      <c r="D1034" s="216">
        <v>13.66</v>
      </c>
      <c r="E1034" s="198"/>
      <c r="F1034" s="198"/>
      <c r="G1034" s="198"/>
      <c r="H1034" s="198"/>
      <c r="I1034" s="198"/>
      <c r="J1034" s="198"/>
      <c r="K1034" s="198"/>
      <c r="L1034" s="198"/>
      <c r="M1034" s="198"/>
      <c r="N1034" s="198"/>
      <c r="O1034" s="198"/>
      <c r="P1034" s="198"/>
      <c r="Q1034" s="198"/>
      <c r="R1034" s="198"/>
      <c r="S1034" s="198"/>
      <c r="T1034" s="198"/>
      <c r="U1034" s="198"/>
      <c r="V1034" s="198"/>
      <c r="W1034" s="198"/>
      <c r="X1034" s="198"/>
      <c r="Y1034" s="198"/>
      <c r="Z1034" s="198"/>
    </row>
    <row r="1035" spans="1:26" ht="15.75" hidden="1" customHeight="1" x14ac:dyDescent="0.25">
      <c r="A1035" s="213">
        <v>39602</v>
      </c>
      <c r="B1035" s="214" t="s">
        <v>9525</v>
      </c>
      <c r="C1035" s="215" t="s">
        <v>580</v>
      </c>
      <c r="D1035" s="216">
        <v>2.13</v>
      </c>
      <c r="E1035" s="198"/>
      <c r="F1035" s="198"/>
      <c r="G1035" s="198"/>
      <c r="H1035" s="198"/>
      <c r="I1035" s="198"/>
      <c r="J1035" s="198"/>
      <c r="K1035" s="198"/>
      <c r="L1035" s="198"/>
      <c r="M1035" s="198"/>
      <c r="N1035" s="198"/>
      <c r="O1035" s="198"/>
      <c r="P1035" s="198"/>
      <c r="Q1035" s="198"/>
      <c r="R1035" s="198"/>
      <c r="S1035" s="198"/>
      <c r="T1035" s="198"/>
      <c r="U1035" s="198"/>
      <c r="V1035" s="198"/>
      <c r="W1035" s="198"/>
      <c r="X1035" s="198"/>
      <c r="Y1035" s="198"/>
      <c r="Z1035" s="198"/>
    </row>
    <row r="1036" spans="1:26" ht="15.75" hidden="1" customHeight="1" x14ac:dyDescent="0.25">
      <c r="A1036" s="213">
        <v>39603</v>
      </c>
      <c r="B1036" s="214" t="s">
        <v>9526</v>
      </c>
      <c r="C1036" s="215" t="s">
        <v>580</v>
      </c>
      <c r="D1036" s="216">
        <v>4.54</v>
      </c>
      <c r="E1036" s="198"/>
      <c r="F1036" s="198"/>
      <c r="G1036" s="198"/>
      <c r="H1036" s="198"/>
      <c r="I1036" s="198"/>
      <c r="J1036" s="198"/>
      <c r="K1036" s="198"/>
      <c r="L1036" s="198"/>
      <c r="M1036" s="198"/>
      <c r="N1036" s="198"/>
      <c r="O1036" s="198"/>
      <c r="P1036" s="198"/>
      <c r="Q1036" s="198"/>
      <c r="R1036" s="198"/>
      <c r="S1036" s="198"/>
      <c r="T1036" s="198"/>
      <c r="U1036" s="198"/>
      <c r="V1036" s="198"/>
      <c r="W1036" s="198"/>
      <c r="X1036" s="198"/>
      <c r="Y1036" s="198"/>
      <c r="Z1036" s="198"/>
    </row>
    <row r="1037" spans="1:26" ht="15.75" hidden="1" customHeight="1" x14ac:dyDescent="0.25">
      <c r="A1037" s="213">
        <v>11821</v>
      </c>
      <c r="B1037" s="214" t="s">
        <v>9527</v>
      </c>
      <c r="C1037" s="215" t="s">
        <v>580</v>
      </c>
      <c r="D1037" s="216">
        <v>11.22</v>
      </c>
      <c r="E1037" s="198"/>
      <c r="F1037" s="198"/>
      <c r="G1037" s="198"/>
      <c r="H1037" s="198"/>
      <c r="I1037" s="198"/>
      <c r="J1037" s="198"/>
      <c r="K1037" s="198"/>
      <c r="L1037" s="198"/>
      <c r="M1037" s="198"/>
      <c r="N1037" s="198"/>
      <c r="O1037" s="198"/>
      <c r="P1037" s="198"/>
      <c r="Q1037" s="198"/>
      <c r="R1037" s="198"/>
      <c r="S1037" s="198"/>
      <c r="T1037" s="198"/>
      <c r="U1037" s="198"/>
      <c r="V1037" s="198"/>
      <c r="W1037" s="198"/>
      <c r="X1037" s="198"/>
      <c r="Y1037" s="198"/>
      <c r="Z1037" s="198"/>
    </row>
    <row r="1038" spans="1:26" ht="15.75" hidden="1" customHeight="1" x14ac:dyDescent="0.25">
      <c r="A1038" s="213">
        <v>1562</v>
      </c>
      <c r="B1038" s="214" t="s">
        <v>9528</v>
      </c>
      <c r="C1038" s="215" t="s">
        <v>580</v>
      </c>
      <c r="D1038" s="216">
        <v>18.37</v>
      </c>
      <c r="E1038" s="198"/>
      <c r="F1038" s="198"/>
      <c r="G1038" s="198"/>
      <c r="H1038" s="198"/>
      <c r="I1038" s="198"/>
      <c r="J1038" s="198"/>
      <c r="K1038" s="198"/>
      <c r="L1038" s="198"/>
      <c r="M1038" s="198"/>
      <c r="N1038" s="198"/>
      <c r="O1038" s="198"/>
      <c r="P1038" s="198"/>
      <c r="Q1038" s="198"/>
      <c r="R1038" s="198"/>
      <c r="S1038" s="198"/>
      <c r="T1038" s="198"/>
      <c r="U1038" s="198"/>
      <c r="V1038" s="198"/>
      <c r="W1038" s="198"/>
      <c r="X1038" s="198"/>
      <c r="Y1038" s="198"/>
      <c r="Z1038" s="198"/>
    </row>
    <row r="1039" spans="1:26" ht="15.75" hidden="1" customHeight="1" x14ac:dyDescent="0.25">
      <c r="A1039" s="213">
        <v>1563</v>
      </c>
      <c r="B1039" s="214" t="s">
        <v>9529</v>
      </c>
      <c r="C1039" s="215" t="s">
        <v>580</v>
      </c>
      <c r="D1039" s="216">
        <v>24.65</v>
      </c>
      <c r="E1039" s="198"/>
      <c r="F1039" s="198"/>
      <c r="G1039" s="198"/>
      <c r="H1039" s="198"/>
      <c r="I1039" s="198"/>
      <c r="J1039" s="198"/>
      <c r="K1039" s="198"/>
      <c r="L1039" s="198"/>
      <c r="M1039" s="198"/>
      <c r="N1039" s="198"/>
      <c r="O1039" s="198"/>
      <c r="P1039" s="198"/>
      <c r="Q1039" s="198"/>
      <c r="R1039" s="198"/>
      <c r="S1039" s="198"/>
      <c r="T1039" s="198"/>
      <c r="U1039" s="198"/>
      <c r="V1039" s="198"/>
      <c r="W1039" s="198"/>
      <c r="X1039" s="198"/>
      <c r="Y1039" s="198"/>
      <c r="Z1039" s="198"/>
    </row>
    <row r="1040" spans="1:26" ht="15.75" hidden="1" customHeight="1" x14ac:dyDescent="0.25">
      <c r="A1040" s="213">
        <v>11856</v>
      </c>
      <c r="B1040" s="214" t="s">
        <v>9530</v>
      </c>
      <c r="C1040" s="215" t="s">
        <v>580</v>
      </c>
      <c r="D1040" s="216">
        <v>7.35</v>
      </c>
      <c r="E1040" s="198"/>
      <c r="F1040" s="198"/>
      <c r="G1040" s="198"/>
      <c r="H1040" s="198"/>
      <c r="I1040" s="198"/>
      <c r="J1040" s="198"/>
      <c r="K1040" s="198"/>
      <c r="L1040" s="198"/>
      <c r="M1040" s="198"/>
      <c r="N1040" s="198"/>
      <c r="O1040" s="198"/>
      <c r="P1040" s="198"/>
      <c r="Q1040" s="198"/>
      <c r="R1040" s="198"/>
      <c r="S1040" s="198"/>
      <c r="T1040" s="198"/>
      <c r="U1040" s="198"/>
      <c r="V1040" s="198"/>
      <c r="W1040" s="198"/>
      <c r="X1040" s="198"/>
      <c r="Y1040" s="198"/>
      <c r="Z1040" s="198"/>
    </row>
    <row r="1041" spans="1:26" ht="15.75" hidden="1" customHeight="1" x14ac:dyDescent="0.25">
      <c r="A1041" s="213">
        <v>11857</v>
      </c>
      <c r="B1041" s="214" t="s">
        <v>9531</v>
      </c>
      <c r="C1041" s="215" t="s">
        <v>580</v>
      </c>
      <c r="D1041" s="216">
        <v>38.68</v>
      </c>
      <c r="E1041" s="198"/>
      <c r="F1041" s="198"/>
      <c r="G1041" s="198"/>
      <c r="H1041" s="198"/>
      <c r="I1041" s="198"/>
      <c r="J1041" s="198"/>
      <c r="K1041" s="198"/>
      <c r="L1041" s="198"/>
      <c r="M1041" s="198"/>
      <c r="N1041" s="198"/>
      <c r="O1041" s="198"/>
      <c r="P1041" s="198"/>
      <c r="Q1041" s="198"/>
      <c r="R1041" s="198"/>
      <c r="S1041" s="198"/>
      <c r="T1041" s="198"/>
      <c r="U1041" s="198"/>
      <c r="V1041" s="198"/>
      <c r="W1041" s="198"/>
      <c r="X1041" s="198"/>
      <c r="Y1041" s="198"/>
      <c r="Z1041" s="198"/>
    </row>
    <row r="1042" spans="1:26" ht="15.75" hidden="1" customHeight="1" x14ac:dyDescent="0.25">
      <c r="A1042" s="213">
        <v>11858</v>
      </c>
      <c r="B1042" s="214" t="s">
        <v>9532</v>
      </c>
      <c r="C1042" s="215" t="s">
        <v>580</v>
      </c>
      <c r="D1042" s="216">
        <v>48.01</v>
      </c>
      <c r="E1042" s="198"/>
      <c r="F1042" s="198"/>
      <c r="G1042" s="198"/>
      <c r="H1042" s="198"/>
      <c r="I1042" s="198"/>
      <c r="J1042" s="198"/>
      <c r="K1042" s="198"/>
      <c r="L1042" s="198"/>
      <c r="M1042" s="198"/>
      <c r="N1042" s="198"/>
      <c r="O1042" s="198"/>
      <c r="P1042" s="198"/>
      <c r="Q1042" s="198"/>
      <c r="R1042" s="198"/>
      <c r="S1042" s="198"/>
      <c r="T1042" s="198"/>
      <c r="U1042" s="198"/>
      <c r="V1042" s="198"/>
      <c r="W1042" s="198"/>
      <c r="X1042" s="198"/>
      <c r="Y1042" s="198"/>
      <c r="Z1042" s="198"/>
    </row>
    <row r="1043" spans="1:26" ht="15.75" hidden="1" customHeight="1" x14ac:dyDescent="0.25">
      <c r="A1043" s="213">
        <v>1539</v>
      </c>
      <c r="B1043" s="214" t="s">
        <v>9533</v>
      </c>
      <c r="C1043" s="215" t="s">
        <v>580</v>
      </c>
      <c r="D1043" s="216">
        <v>8.64</v>
      </c>
      <c r="E1043" s="198"/>
      <c r="F1043" s="198"/>
      <c r="G1043" s="198"/>
      <c r="H1043" s="198"/>
      <c r="I1043" s="198"/>
      <c r="J1043" s="198"/>
      <c r="K1043" s="198"/>
      <c r="L1043" s="198"/>
      <c r="M1043" s="198"/>
      <c r="N1043" s="198"/>
      <c r="O1043" s="198"/>
      <c r="P1043" s="198"/>
      <c r="Q1043" s="198"/>
      <c r="R1043" s="198"/>
      <c r="S1043" s="198"/>
      <c r="T1043" s="198"/>
      <c r="U1043" s="198"/>
      <c r="V1043" s="198"/>
      <c r="W1043" s="198"/>
      <c r="X1043" s="198"/>
      <c r="Y1043" s="198"/>
      <c r="Z1043" s="198"/>
    </row>
    <row r="1044" spans="1:26" ht="15.75" hidden="1" customHeight="1" x14ac:dyDescent="0.25">
      <c r="A1044" s="213">
        <v>11859</v>
      </c>
      <c r="B1044" s="214" t="s">
        <v>9534</v>
      </c>
      <c r="C1044" s="215" t="s">
        <v>580</v>
      </c>
      <c r="D1044" s="216">
        <v>65.319999999999993</v>
      </c>
      <c r="E1044" s="198"/>
      <c r="F1044" s="198"/>
      <c r="G1044" s="198"/>
      <c r="H1044" s="198"/>
      <c r="I1044" s="198"/>
      <c r="J1044" s="198"/>
      <c r="K1044" s="198"/>
      <c r="L1044" s="198"/>
      <c r="M1044" s="198"/>
      <c r="N1044" s="198"/>
      <c r="O1044" s="198"/>
      <c r="P1044" s="198"/>
      <c r="Q1044" s="198"/>
      <c r="R1044" s="198"/>
      <c r="S1044" s="198"/>
      <c r="T1044" s="198"/>
      <c r="U1044" s="198"/>
      <c r="V1044" s="198"/>
      <c r="W1044" s="198"/>
      <c r="X1044" s="198"/>
      <c r="Y1044" s="198"/>
      <c r="Z1044" s="198"/>
    </row>
    <row r="1045" spans="1:26" ht="15.75" hidden="1" customHeight="1" x14ac:dyDescent="0.25">
      <c r="A1045" s="213">
        <v>1550</v>
      </c>
      <c r="B1045" s="214" t="s">
        <v>9535</v>
      </c>
      <c r="C1045" s="215" t="s">
        <v>580</v>
      </c>
      <c r="D1045" s="216">
        <v>9.11</v>
      </c>
      <c r="E1045" s="198"/>
      <c r="F1045" s="198"/>
      <c r="G1045" s="198"/>
      <c r="H1045" s="198"/>
      <c r="I1045" s="198"/>
      <c r="J1045" s="198"/>
      <c r="K1045" s="198"/>
      <c r="L1045" s="198"/>
      <c r="M1045" s="198"/>
      <c r="N1045" s="198"/>
      <c r="O1045" s="198"/>
      <c r="P1045" s="198"/>
      <c r="Q1045" s="198"/>
      <c r="R1045" s="198"/>
      <c r="S1045" s="198"/>
      <c r="T1045" s="198"/>
      <c r="U1045" s="198"/>
      <c r="V1045" s="198"/>
      <c r="W1045" s="198"/>
      <c r="X1045" s="198"/>
      <c r="Y1045" s="198"/>
      <c r="Z1045" s="198"/>
    </row>
    <row r="1046" spans="1:26" ht="15.75" hidden="1" customHeight="1" x14ac:dyDescent="0.25">
      <c r="A1046" s="213">
        <v>11854</v>
      </c>
      <c r="B1046" s="214" t="s">
        <v>9536</v>
      </c>
      <c r="C1046" s="215" t="s">
        <v>580</v>
      </c>
      <c r="D1046" s="216">
        <v>11.38</v>
      </c>
      <c r="E1046" s="198"/>
      <c r="F1046" s="198"/>
      <c r="G1046" s="198"/>
      <c r="H1046" s="198"/>
      <c r="I1046" s="198"/>
      <c r="J1046" s="198"/>
      <c r="K1046" s="198"/>
      <c r="L1046" s="198"/>
      <c r="M1046" s="198"/>
      <c r="N1046" s="198"/>
      <c r="O1046" s="198"/>
      <c r="P1046" s="198"/>
      <c r="Q1046" s="198"/>
      <c r="R1046" s="198"/>
      <c r="S1046" s="198"/>
      <c r="T1046" s="198"/>
      <c r="U1046" s="198"/>
      <c r="V1046" s="198"/>
      <c r="W1046" s="198"/>
      <c r="X1046" s="198"/>
      <c r="Y1046" s="198"/>
      <c r="Z1046" s="198"/>
    </row>
    <row r="1047" spans="1:26" ht="15.75" hidden="1" customHeight="1" x14ac:dyDescent="0.25">
      <c r="A1047" s="213">
        <v>11862</v>
      </c>
      <c r="B1047" s="214" t="s">
        <v>9537</v>
      </c>
      <c r="C1047" s="215" t="s">
        <v>580</v>
      </c>
      <c r="D1047" s="216">
        <v>15.97</v>
      </c>
      <c r="E1047" s="198"/>
      <c r="F1047" s="198"/>
      <c r="G1047" s="198"/>
      <c r="H1047" s="198"/>
      <c r="I1047" s="198"/>
      <c r="J1047" s="198"/>
      <c r="K1047" s="198"/>
      <c r="L1047" s="198"/>
      <c r="M1047" s="198"/>
      <c r="N1047" s="198"/>
      <c r="O1047" s="198"/>
      <c r="P1047" s="198"/>
      <c r="Q1047" s="198"/>
      <c r="R1047" s="198"/>
      <c r="S1047" s="198"/>
      <c r="T1047" s="198"/>
      <c r="U1047" s="198"/>
      <c r="V1047" s="198"/>
      <c r="W1047" s="198"/>
      <c r="X1047" s="198"/>
      <c r="Y1047" s="198"/>
      <c r="Z1047" s="198"/>
    </row>
    <row r="1048" spans="1:26" ht="15.75" hidden="1" customHeight="1" x14ac:dyDescent="0.25">
      <c r="A1048" s="213">
        <v>11863</v>
      </c>
      <c r="B1048" s="214" t="s">
        <v>9538</v>
      </c>
      <c r="C1048" s="215" t="s">
        <v>580</v>
      </c>
      <c r="D1048" s="216">
        <v>6.45</v>
      </c>
      <c r="E1048" s="198"/>
      <c r="F1048" s="198"/>
      <c r="G1048" s="198"/>
      <c r="H1048" s="198"/>
      <c r="I1048" s="198"/>
      <c r="J1048" s="198"/>
      <c r="K1048" s="198"/>
      <c r="L1048" s="198"/>
      <c r="M1048" s="198"/>
      <c r="N1048" s="198"/>
      <c r="O1048" s="198"/>
      <c r="P1048" s="198"/>
      <c r="Q1048" s="198"/>
      <c r="R1048" s="198"/>
      <c r="S1048" s="198"/>
      <c r="T1048" s="198"/>
      <c r="U1048" s="198"/>
      <c r="V1048" s="198"/>
      <c r="W1048" s="198"/>
      <c r="X1048" s="198"/>
      <c r="Y1048" s="198"/>
      <c r="Z1048" s="198"/>
    </row>
    <row r="1049" spans="1:26" ht="15.75" hidden="1" customHeight="1" x14ac:dyDescent="0.25">
      <c r="A1049" s="213">
        <v>11855</v>
      </c>
      <c r="B1049" s="214" t="s">
        <v>9539</v>
      </c>
      <c r="C1049" s="215" t="s">
        <v>580</v>
      </c>
      <c r="D1049" s="216">
        <v>23.84</v>
      </c>
      <c r="E1049" s="198"/>
      <c r="F1049" s="198"/>
      <c r="G1049" s="198"/>
      <c r="H1049" s="198"/>
      <c r="I1049" s="198"/>
      <c r="J1049" s="198"/>
      <c r="K1049" s="198"/>
      <c r="L1049" s="198"/>
      <c r="M1049" s="198"/>
      <c r="N1049" s="198"/>
      <c r="O1049" s="198"/>
      <c r="P1049" s="198"/>
      <c r="Q1049" s="198"/>
      <c r="R1049" s="198"/>
      <c r="S1049" s="198"/>
      <c r="T1049" s="198"/>
      <c r="U1049" s="198"/>
      <c r="V1049" s="198"/>
      <c r="W1049" s="198"/>
      <c r="X1049" s="198"/>
      <c r="Y1049" s="198"/>
      <c r="Z1049" s="198"/>
    </row>
    <row r="1050" spans="1:26" ht="15.75" hidden="1" customHeight="1" x14ac:dyDescent="0.25">
      <c r="A1050" s="213">
        <v>11864</v>
      </c>
      <c r="B1050" s="214" t="s">
        <v>9540</v>
      </c>
      <c r="C1050" s="215" t="s">
        <v>580</v>
      </c>
      <c r="D1050" s="216">
        <v>36.04</v>
      </c>
      <c r="E1050" s="198"/>
      <c r="F1050" s="198"/>
      <c r="G1050" s="198"/>
      <c r="H1050" s="198"/>
      <c r="I1050" s="198"/>
      <c r="J1050" s="198"/>
      <c r="K1050" s="198"/>
      <c r="L1050" s="198"/>
      <c r="M1050" s="198"/>
      <c r="N1050" s="198"/>
      <c r="O1050" s="198"/>
      <c r="P1050" s="198"/>
      <c r="Q1050" s="198"/>
      <c r="R1050" s="198"/>
      <c r="S1050" s="198"/>
      <c r="T1050" s="198"/>
      <c r="U1050" s="198"/>
      <c r="V1050" s="198"/>
      <c r="W1050" s="198"/>
      <c r="X1050" s="198"/>
      <c r="Y1050" s="198"/>
      <c r="Z1050" s="198"/>
    </row>
    <row r="1051" spans="1:26" ht="15.75" hidden="1" customHeight="1" x14ac:dyDescent="0.25">
      <c r="A1051" s="213">
        <v>2527</v>
      </c>
      <c r="B1051" s="214" t="s">
        <v>9541</v>
      </c>
      <c r="C1051" s="215" t="s">
        <v>580</v>
      </c>
      <c r="D1051" s="216">
        <v>10.32</v>
      </c>
      <c r="E1051" s="198"/>
      <c r="F1051" s="198"/>
      <c r="G1051" s="198"/>
      <c r="H1051" s="198"/>
      <c r="I1051" s="198"/>
      <c r="J1051" s="198"/>
      <c r="K1051" s="198"/>
      <c r="L1051" s="198"/>
      <c r="M1051" s="198"/>
      <c r="N1051" s="198"/>
      <c r="O1051" s="198"/>
      <c r="P1051" s="198"/>
      <c r="Q1051" s="198"/>
      <c r="R1051" s="198"/>
      <c r="S1051" s="198"/>
      <c r="T1051" s="198"/>
      <c r="U1051" s="198"/>
      <c r="V1051" s="198"/>
      <c r="W1051" s="198"/>
      <c r="X1051" s="198"/>
      <c r="Y1051" s="198"/>
      <c r="Z1051" s="198"/>
    </row>
    <row r="1052" spans="1:26" ht="15.75" hidden="1" customHeight="1" x14ac:dyDescent="0.25">
      <c r="A1052" s="213">
        <v>2526</v>
      </c>
      <c r="B1052" s="214" t="s">
        <v>9542</v>
      </c>
      <c r="C1052" s="215" t="s">
        <v>580</v>
      </c>
      <c r="D1052" s="216">
        <v>6.61</v>
      </c>
      <c r="E1052" s="198"/>
      <c r="F1052" s="198"/>
      <c r="G1052" s="198"/>
      <c r="H1052" s="198"/>
      <c r="I1052" s="198"/>
      <c r="J1052" s="198"/>
      <c r="K1052" s="198"/>
      <c r="L1052" s="198"/>
      <c r="M1052" s="198"/>
      <c r="N1052" s="198"/>
      <c r="O1052" s="198"/>
      <c r="P1052" s="198"/>
      <c r="Q1052" s="198"/>
      <c r="R1052" s="198"/>
      <c r="S1052" s="198"/>
      <c r="T1052" s="198"/>
      <c r="U1052" s="198"/>
      <c r="V1052" s="198"/>
      <c r="W1052" s="198"/>
      <c r="X1052" s="198"/>
      <c r="Y1052" s="198"/>
      <c r="Z1052" s="198"/>
    </row>
    <row r="1053" spans="1:26" ht="15.75" hidden="1" customHeight="1" x14ac:dyDescent="0.25">
      <c r="A1053" s="213">
        <v>2483</v>
      </c>
      <c r="B1053" s="214" t="s">
        <v>9543</v>
      </c>
      <c r="C1053" s="215" t="s">
        <v>580</v>
      </c>
      <c r="D1053" s="216">
        <v>4.71</v>
      </c>
      <c r="E1053" s="198"/>
      <c r="F1053" s="198"/>
      <c r="G1053" s="198"/>
      <c r="H1053" s="198"/>
      <c r="I1053" s="198"/>
      <c r="J1053" s="198"/>
      <c r="K1053" s="198"/>
      <c r="L1053" s="198"/>
      <c r="M1053" s="198"/>
      <c r="N1053" s="198"/>
      <c r="O1053" s="198"/>
      <c r="P1053" s="198"/>
      <c r="Q1053" s="198"/>
      <c r="R1053" s="198"/>
      <c r="S1053" s="198"/>
      <c r="T1053" s="198"/>
      <c r="U1053" s="198"/>
      <c r="V1053" s="198"/>
      <c r="W1053" s="198"/>
      <c r="X1053" s="198"/>
      <c r="Y1053" s="198"/>
      <c r="Z1053" s="198"/>
    </row>
    <row r="1054" spans="1:26" ht="15.75" hidden="1" customHeight="1" x14ac:dyDescent="0.25">
      <c r="A1054" s="213">
        <v>2487</v>
      </c>
      <c r="B1054" s="214" t="s">
        <v>9544</v>
      </c>
      <c r="C1054" s="215" t="s">
        <v>580</v>
      </c>
      <c r="D1054" s="216">
        <v>2.25</v>
      </c>
      <c r="E1054" s="198"/>
      <c r="F1054" s="198"/>
      <c r="G1054" s="198"/>
      <c r="H1054" s="198"/>
      <c r="I1054" s="198"/>
      <c r="J1054" s="198"/>
      <c r="K1054" s="198"/>
      <c r="L1054" s="198"/>
      <c r="M1054" s="198"/>
      <c r="N1054" s="198"/>
      <c r="O1054" s="198"/>
      <c r="P1054" s="198"/>
      <c r="Q1054" s="198"/>
      <c r="R1054" s="198"/>
      <c r="S1054" s="198"/>
      <c r="T1054" s="198"/>
      <c r="U1054" s="198"/>
      <c r="V1054" s="198"/>
      <c r="W1054" s="198"/>
      <c r="X1054" s="198"/>
      <c r="Y1054" s="198"/>
      <c r="Z1054" s="198"/>
    </row>
    <row r="1055" spans="1:26" ht="15.75" hidden="1" customHeight="1" x14ac:dyDescent="0.25">
      <c r="A1055" s="213">
        <v>2528</v>
      </c>
      <c r="B1055" s="214" t="s">
        <v>9545</v>
      </c>
      <c r="C1055" s="215" t="s">
        <v>580</v>
      </c>
      <c r="D1055" s="216">
        <v>25.96</v>
      </c>
      <c r="E1055" s="198"/>
      <c r="F1055" s="198"/>
      <c r="G1055" s="198"/>
      <c r="H1055" s="198"/>
      <c r="I1055" s="198"/>
      <c r="J1055" s="198"/>
      <c r="K1055" s="198"/>
      <c r="L1055" s="198"/>
      <c r="M1055" s="198"/>
      <c r="N1055" s="198"/>
      <c r="O1055" s="198"/>
      <c r="P1055" s="198"/>
      <c r="Q1055" s="198"/>
      <c r="R1055" s="198"/>
      <c r="S1055" s="198"/>
      <c r="T1055" s="198"/>
      <c r="U1055" s="198"/>
      <c r="V1055" s="198"/>
      <c r="W1055" s="198"/>
      <c r="X1055" s="198"/>
      <c r="Y1055" s="198"/>
      <c r="Z1055" s="198"/>
    </row>
    <row r="1056" spans="1:26" ht="15.75" hidden="1" customHeight="1" x14ac:dyDescent="0.25">
      <c r="A1056" s="213">
        <v>2489</v>
      </c>
      <c r="B1056" s="214" t="s">
        <v>9546</v>
      </c>
      <c r="C1056" s="215" t="s">
        <v>580</v>
      </c>
      <c r="D1056" s="216">
        <v>11.43</v>
      </c>
      <c r="E1056" s="198"/>
      <c r="F1056" s="198"/>
      <c r="G1056" s="198"/>
      <c r="H1056" s="198"/>
      <c r="I1056" s="198"/>
      <c r="J1056" s="198"/>
      <c r="K1056" s="198"/>
      <c r="L1056" s="198"/>
      <c r="M1056" s="198"/>
      <c r="N1056" s="198"/>
      <c r="O1056" s="198"/>
      <c r="P1056" s="198"/>
      <c r="Q1056" s="198"/>
      <c r="R1056" s="198"/>
      <c r="S1056" s="198"/>
      <c r="T1056" s="198"/>
      <c r="U1056" s="198"/>
      <c r="V1056" s="198"/>
      <c r="W1056" s="198"/>
      <c r="X1056" s="198"/>
      <c r="Y1056" s="198"/>
      <c r="Z1056" s="198"/>
    </row>
    <row r="1057" spans="1:26" ht="15.75" hidden="1" customHeight="1" x14ac:dyDescent="0.25">
      <c r="A1057" s="213">
        <v>2484</v>
      </c>
      <c r="B1057" s="214" t="s">
        <v>9547</v>
      </c>
      <c r="C1057" s="215" t="s">
        <v>580</v>
      </c>
      <c r="D1057" s="216">
        <v>37.71</v>
      </c>
      <c r="E1057" s="198"/>
      <c r="F1057" s="198"/>
      <c r="G1057" s="198"/>
      <c r="H1057" s="198"/>
      <c r="I1057" s="198"/>
      <c r="J1057" s="198"/>
      <c r="K1057" s="198"/>
      <c r="L1057" s="198"/>
      <c r="M1057" s="198"/>
      <c r="N1057" s="198"/>
      <c r="O1057" s="198"/>
      <c r="P1057" s="198"/>
      <c r="Q1057" s="198"/>
      <c r="R1057" s="198"/>
      <c r="S1057" s="198"/>
      <c r="T1057" s="198"/>
      <c r="U1057" s="198"/>
      <c r="V1057" s="198"/>
      <c r="W1057" s="198"/>
      <c r="X1057" s="198"/>
      <c r="Y1057" s="198"/>
      <c r="Z1057" s="198"/>
    </row>
    <row r="1058" spans="1:26" ht="15.75" hidden="1" customHeight="1" x14ac:dyDescent="0.25">
      <c r="A1058" s="213">
        <v>2488</v>
      </c>
      <c r="B1058" s="214" t="s">
        <v>9548</v>
      </c>
      <c r="C1058" s="215" t="s">
        <v>580</v>
      </c>
      <c r="D1058" s="216">
        <v>2.64</v>
      </c>
      <c r="E1058" s="198"/>
      <c r="F1058" s="198"/>
      <c r="G1058" s="198"/>
      <c r="H1058" s="198"/>
      <c r="I1058" s="198"/>
      <c r="J1058" s="198"/>
      <c r="K1058" s="198"/>
      <c r="L1058" s="198"/>
      <c r="M1058" s="198"/>
      <c r="N1058" s="198"/>
      <c r="O1058" s="198"/>
      <c r="P1058" s="198"/>
      <c r="Q1058" s="198"/>
      <c r="R1058" s="198"/>
      <c r="S1058" s="198"/>
      <c r="T1058" s="198"/>
      <c r="U1058" s="198"/>
      <c r="V1058" s="198"/>
      <c r="W1058" s="198"/>
      <c r="X1058" s="198"/>
      <c r="Y1058" s="198"/>
      <c r="Z1058" s="198"/>
    </row>
    <row r="1059" spans="1:26" ht="15.75" hidden="1" customHeight="1" x14ac:dyDescent="0.25">
      <c r="A1059" s="213">
        <v>2485</v>
      </c>
      <c r="B1059" s="214" t="s">
        <v>9549</v>
      </c>
      <c r="C1059" s="215" t="s">
        <v>580</v>
      </c>
      <c r="D1059" s="216">
        <v>59.1</v>
      </c>
      <c r="E1059" s="198"/>
      <c r="F1059" s="198"/>
      <c r="G1059" s="198"/>
      <c r="H1059" s="198"/>
      <c r="I1059" s="198"/>
      <c r="J1059" s="198"/>
      <c r="K1059" s="198"/>
      <c r="L1059" s="198"/>
      <c r="M1059" s="198"/>
      <c r="N1059" s="198"/>
      <c r="O1059" s="198"/>
      <c r="P1059" s="198"/>
      <c r="Q1059" s="198"/>
      <c r="R1059" s="198"/>
      <c r="S1059" s="198"/>
      <c r="T1059" s="198"/>
      <c r="U1059" s="198"/>
      <c r="V1059" s="198"/>
      <c r="W1059" s="198"/>
      <c r="X1059" s="198"/>
      <c r="Y1059" s="198"/>
      <c r="Z1059" s="198"/>
    </row>
    <row r="1060" spans="1:26" ht="15.75" hidden="1" customHeight="1" x14ac:dyDescent="0.25">
      <c r="A1060" s="213">
        <v>44247</v>
      </c>
      <c r="B1060" s="214" t="s">
        <v>9550</v>
      </c>
      <c r="C1060" s="215" t="s">
        <v>580</v>
      </c>
      <c r="D1060" s="216">
        <v>1762.6</v>
      </c>
      <c r="E1060" s="198"/>
      <c r="F1060" s="198"/>
      <c r="G1060" s="198"/>
      <c r="H1060" s="198"/>
      <c r="I1060" s="198"/>
      <c r="J1060" s="198"/>
      <c r="K1060" s="198"/>
      <c r="L1060" s="198"/>
      <c r="M1060" s="198"/>
      <c r="N1060" s="198"/>
      <c r="O1060" s="198"/>
      <c r="P1060" s="198"/>
      <c r="Q1060" s="198"/>
      <c r="R1060" s="198"/>
      <c r="S1060" s="198"/>
      <c r="T1060" s="198"/>
      <c r="U1060" s="198"/>
      <c r="V1060" s="198"/>
      <c r="W1060" s="198"/>
      <c r="X1060" s="198"/>
      <c r="Y1060" s="198"/>
      <c r="Z1060" s="198"/>
    </row>
    <row r="1061" spans="1:26" ht="15.75" hidden="1" customHeight="1" x14ac:dyDescent="0.25">
      <c r="A1061" s="213">
        <v>38005</v>
      </c>
      <c r="B1061" s="214" t="s">
        <v>9551</v>
      </c>
      <c r="C1061" s="215" t="s">
        <v>580</v>
      </c>
      <c r="D1061" s="216">
        <v>20.96</v>
      </c>
      <c r="E1061" s="198"/>
      <c r="F1061" s="198"/>
      <c r="G1061" s="198"/>
      <c r="H1061" s="198"/>
      <c r="I1061" s="198"/>
      <c r="J1061" s="198"/>
      <c r="K1061" s="198"/>
      <c r="L1061" s="198"/>
      <c r="M1061" s="198"/>
      <c r="N1061" s="198"/>
      <c r="O1061" s="198"/>
      <c r="P1061" s="198"/>
      <c r="Q1061" s="198"/>
      <c r="R1061" s="198"/>
      <c r="S1061" s="198"/>
      <c r="T1061" s="198"/>
      <c r="U1061" s="198"/>
      <c r="V1061" s="198"/>
      <c r="W1061" s="198"/>
      <c r="X1061" s="198"/>
      <c r="Y1061" s="198"/>
      <c r="Z1061" s="198"/>
    </row>
    <row r="1062" spans="1:26" ht="15.75" hidden="1" customHeight="1" x14ac:dyDescent="0.25">
      <c r="A1062" s="213">
        <v>38006</v>
      </c>
      <c r="B1062" s="214" t="s">
        <v>9552</v>
      </c>
      <c r="C1062" s="215" t="s">
        <v>580</v>
      </c>
      <c r="D1062" s="216">
        <v>27.85</v>
      </c>
      <c r="E1062" s="198"/>
      <c r="F1062" s="198"/>
      <c r="G1062" s="198"/>
      <c r="H1062" s="198"/>
      <c r="I1062" s="198"/>
      <c r="J1062" s="198"/>
      <c r="K1062" s="198"/>
      <c r="L1062" s="198"/>
      <c r="M1062" s="198"/>
      <c r="N1062" s="198"/>
      <c r="O1062" s="198"/>
      <c r="P1062" s="198"/>
      <c r="Q1062" s="198"/>
      <c r="R1062" s="198"/>
      <c r="S1062" s="198"/>
      <c r="T1062" s="198"/>
      <c r="U1062" s="198"/>
      <c r="V1062" s="198"/>
      <c r="W1062" s="198"/>
      <c r="X1062" s="198"/>
      <c r="Y1062" s="198"/>
      <c r="Z1062" s="198"/>
    </row>
    <row r="1063" spans="1:26" ht="15.75" hidden="1" customHeight="1" x14ac:dyDescent="0.25">
      <c r="A1063" s="213">
        <v>38428</v>
      </c>
      <c r="B1063" s="214" t="s">
        <v>9553</v>
      </c>
      <c r="C1063" s="215" t="s">
        <v>580</v>
      </c>
      <c r="D1063" s="216">
        <v>24.94</v>
      </c>
      <c r="E1063" s="198"/>
      <c r="F1063" s="198"/>
      <c r="G1063" s="198"/>
      <c r="H1063" s="198"/>
      <c r="I1063" s="198"/>
      <c r="J1063" s="198"/>
      <c r="K1063" s="198"/>
      <c r="L1063" s="198"/>
      <c r="M1063" s="198"/>
      <c r="N1063" s="198"/>
      <c r="O1063" s="198"/>
      <c r="P1063" s="198"/>
      <c r="Q1063" s="198"/>
      <c r="R1063" s="198"/>
      <c r="S1063" s="198"/>
      <c r="T1063" s="198"/>
      <c r="U1063" s="198"/>
      <c r="V1063" s="198"/>
      <c r="W1063" s="198"/>
      <c r="X1063" s="198"/>
      <c r="Y1063" s="198"/>
      <c r="Z1063" s="198"/>
    </row>
    <row r="1064" spans="1:26" ht="15.75" hidden="1" customHeight="1" x14ac:dyDescent="0.25">
      <c r="A1064" s="213">
        <v>38007</v>
      </c>
      <c r="B1064" s="214" t="s">
        <v>9554</v>
      </c>
      <c r="C1064" s="215" t="s">
        <v>580</v>
      </c>
      <c r="D1064" s="216">
        <v>32.130000000000003</v>
      </c>
      <c r="E1064" s="198"/>
      <c r="F1064" s="198"/>
      <c r="G1064" s="198"/>
      <c r="H1064" s="198"/>
      <c r="I1064" s="198"/>
      <c r="J1064" s="198"/>
      <c r="K1064" s="198"/>
      <c r="L1064" s="198"/>
      <c r="M1064" s="198"/>
      <c r="N1064" s="198"/>
      <c r="O1064" s="198"/>
      <c r="P1064" s="198"/>
      <c r="Q1064" s="198"/>
      <c r="R1064" s="198"/>
      <c r="S1064" s="198"/>
      <c r="T1064" s="198"/>
      <c r="U1064" s="198"/>
      <c r="V1064" s="198"/>
      <c r="W1064" s="198"/>
      <c r="X1064" s="198"/>
      <c r="Y1064" s="198"/>
      <c r="Z1064" s="198"/>
    </row>
    <row r="1065" spans="1:26" ht="15.75" hidden="1" customHeight="1" x14ac:dyDescent="0.25">
      <c r="A1065" s="213">
        <v>38008</v>
      </c>
      <c r="B1065" s="214" t="s">
        <v>9555</v>
      </c>
      <c r="C1065" s="215" t="s">
        <v>580</v>
      </c>
      <c r="D1065" s="216">
        <v>51.42</v>
      </c>
      <c r="E1065" s="198"/>
      <c r="F1065" s="198"/>
      <c r="G1065" s="198"/>
      <c r="H1065" s="198"/>
      <c r="I1065" s="198"/>
      <c r="J1065" s="198"/>
      <c r="K1065" s="198"/>
      <c r="L1065" s="198"/>
      <c r="M1065" s="198"/>
      <c r="N1065" s="198"/>
      <c r="O1065" s="198"/>
      <c r="P1065" s="198"/>
      <c r="Q1065" s="198"/>
      <c r="R1065" s="198"/>
      <c r="S1065" s="198"/>
      <c r="T1065" s="198"/>
      <c r="U1065" s="198"/>
      <c r="V1065" s="198"/>
      <c r="W1065" s="198"/>
      <c r="X1065" s="198"/>
      <c r="Y1065" s="198"/>
      <c r="Z1065" s="198"/>
    </row>
    <row r="1066" spans="1:26" ht="15.75" hidden="1" customHeight="1" x14ac:dyDescent="0.25">
      <c r="A1066" s="213">
        <v>38009</v>
      </c>
      <c r="B1066" s="214" t="s">
        <v>9556</v>
      </c>
      <c r="C1066" s="215" t="s">
        <v>580</v>
      </c>
      <c r="D1066" s="216">
        <v>62.95</v>
      </c>
      <c r="E1066" s="198"/>
      <c r="F1066" s="198"/>
      <c r="G1066" s="198"/>
      <c r="H1066" s="198"/>
      <c r="I1066" s="198"/>
      <c r="J1066" s="198"/>
      <c r="K1066" s="198"/>
      <c r="L1066" s="198"/>
      <c r="M1066" s="198"/>
      <c r="N1066" s="198"/>
      <c r="O1066" s="198"/>
      <c r="P1066" s="198"/>
      <c r="Q1066" s="198"/>
      <c r="R1066" s="198"/>
      <c r="S1066" s="198"/>
      <c r="T1066" s="198"/>
      <c r="U1066" s="198"/>
      <c r="V1066" s="198"/>
      <c r="W1066" s="198"/>
      <c r="X1066" s="198"/>
      <c r="Y1066" s="198"/>
      <c r="Z1066" s="198"/>
    </row>
    <row r="1067" spans="1:26" ht="15.75" hidden="1" customHeight="1" x14ac:dyDescent="0.25">
      <c r="A1067" s="213">
        <v>44248</v>
      </c>
      <c r="B1067" s="214" t="s">
        <v>9557</v>
      </c>
      <c r="C1067" s="215" t="s">
        <v>580</v>
      </c>
      <c r="D1067" s="216">
        <v>102.6</v>
      </c>
      <c r="E1067" s="198"/>
      <c r="F1067" s="198"/>
      <c r="G1067" s="198"/>
      <c r="H1067" s="198"/>
      <c r="I1067" s="198"/>
      <c r="J1067" s="198"/>
      <c r="K1067" s="198"/>
      <c r="L1067" s="198"/>
      <c r="M1067" s="198"/>
      <c r="N1067" s="198"/>
      <c r="O1067" s="198"/>
      <c r="P1067" s="198"/>
      <c r="Q1067" s="198"/>
      <c r="R1067" s="198"/>
      <c r="S1067" s="198"/>
      <c r="T1067" s="198"/>
      <c r="U1067" s="198"/>
      <c r="V1067" s="198"/>
      <c r="W1067" s="198"/>
      <c r="X1067" s="198"/>
      <c r="Y1067" s="198"/>
      <c r="Z1067" s="198"/>
    </row>
    <row r="1068" spans="1:26" ht="15.75" hidden="1" customHeight="1" x14ac:dyDescent="0.25">
      <c r="A1068" s="213">
        <v>44249</v>
      </c>
      <c r="B1068" s="214" t="s">
        <v>9558</v>
      </c>
      <c r="C1068" s="215" t="s">
        <v>580</v>
      </c>
      <c r="D1068" s="216">
        <v>395.86</v>
      </c>
      <c r="E1068" s="198"/>
      <c r="F1068" s="198"/>
      <c r="G1068" s="198"/>
      <c r="H1068" s="198"/>
      <c r="I1068" s="198"/>
      <c r="J1068" s="198"/>
      <c r="K1068" s="198"/>
      <c r="L1068" s="198"/>
      <c r="M1068" s="198"/>
      <c r="N1068" s="198"/>
      <c r="O1068" s="198"/>
      <c r="P1068" s="198"/>
      <c r="Q1068" s="198"/>
      <c r="R1068" s="198"/>
      <c r="S1068" s="198"/>
      <c r="T1068" s="198"/>
      <c r="U1068" s="198"/>
      <c r="V1068" s="198"/>
      <c r="W1068" s="198"/>
      <c r="X1068" s="198"/>
      <c r="Y1068" s="198"/>
      <c r="Z1068" s="198"/>
    </row>
    <row r="1069" spans="1:26" ht="15.75" hidden="1" customHeight="1" x14ac:dyDescent="0.25">
      <c r="A1069" s="213">
        <v>44250</v>
      </c>
      <c r="B1069" s="214" t="s">
        <v>9559</v>
      </c>
      <c r="C1069" s="215" t="s">
        <v>580</v>
      </c>
      <c r="D1069" s="216">
        <v>574.87</v>
      </c>
      <c r="E1069" s="198"/>
      <c r="F1069" s="198"/>
      <c r="G1069" s="198"/>
      <c r="H1069" s="198"/>
      <c r="I1069" s="198"/>
      <c r="J1069" s="198"/>
      <c r="K1069" s="198"/>
      <c r="L1069" s="198"/>
      <c r="M1069" s="198"/>
      <c r="N1069" s="198"/>
      <c r="O1069" s="198"/>
      <c r="P1069" s="198"/>
      <c r="Q1069" s="198"/>
      <c r="R1069" s="198"/>
      <c r="S1069" s="198"/>
      <c r="T1069" s="198"/>
      <c r="U1069" s="198"/>
      <c r="V1069" s="198"/>
      <c r="W1069" s="198"/>
      <c r="X1069" s="198"/>
      <c r="Y1069" s="198"/>
      <c r="Z1069" s="198"/>
    </row>
    <row r="1070" spans="1:26" ht="15.75" hidden="1" customHeight="1" x14ac:dyDescent="0.25">
      <c r="A1070" s="213">
        <v>3104</v>
      </c>
      <c r="B1070" s="214" t="s">
        <v>9560</v>
      </c>
      <c r="C1070" s="215" t="s">
        <v>9561</v>
      </c>
      <c r="D1070" s="216">
        <v>157.28</v>
      </c>
      <c r="E1070" s="198"/>
      <c r="F1070" s="198"/>
      <c r="G1070" s="198"/>
      <c r="H1070" s="198"/>
      <c r="I1070" s="198"/>
      <c r="J1070" s="198"/>
      <c r="K1070" s="198"/>
      <c r="L1070" s="198"/>
      <c r="M1070" s="198"/>
      <c r="N1070" s="198"/>
      <c r="O1070" s="198"/>
      <c r="P1070" s="198"/>
      <c r="Q1070" s="198"/>
      <c r="R1070" s="198"/>
      <c r="S1070" s="198"/>
      <c r="T1070" s="198"/>
      <c r="U1070" s="198"/>
      <c r="V1070" s="198"/>
      <c r="W1070" s="198"/>
      <c r="X1070" s="198"/>
      <c r="Y1070" s="198"/>
      <c r="Z1070" s="198"/>
    </row>
    <row r="1071" spans="1:26" ht="15.75" hidden="1" customHeight="1" x14ac:dyDescent="0.25">
      <c r="A1071" s="213">
        <v>1607</v>
      </c>
      <c r="B1071" s="214" t="s">
        <v>9562</v>
      </c>
      <c r="C1071" s="215" t="s">
        <v>9561</v>
      </c>
      <c r="D1071" s="216">
        <v>0.19</v>
      </c>
      <c r="E1071" s="198"/>
      <c r="F1071" s="198"/>
      <c r="G1071" s="198"/>
      <c r="H1071" s="198"/>
      <c r="I1071" s="198"/>
      <c r="J1071" s="198"/>
      <c r="K1071" s="198"/>
      <c r="L1071" s="198"/>
      <c r="M1071" s="198"/>
      <c r="N1071" s="198"/>
      <c r="O1071" s="198"/>
      <c r="P1071" s="198"/>
      <c r="Q1071" s="198"/>
      <c r="R1071" s="198"/>
      <c r="S1071" s="198"/>
      <c r="T1071" s="198"/>
      <c r="U1071" s="198"/>
      <c r="V1071" s="198"/>
      <c r="W1071" s="198"/>
      <c r="X1071" s="198"/>
      <c r="Y1071" s="198"/>
      <c r="Z1071" s="198"/>
    </row>
    <row r="1072" spans="1:26" ht="15.75" hidden="1" customHeight="1" x14ac:dyDescent="0.25">
      <c r="A1072" s="213">
        <v>38169</v>
      </c>
      <c r="B1072" s="214" t="s">
        <v>9563</v>
      </c>
      <c r="C1072" s="215" t="s">
        <v>9561</v>
      </c>
      <c r="D1072" s="216">
        <v>77.069999999999993</v>
      </c>
      <c r="E1072" s="198"/>
      <c r="F1072" s="198"/>
      <c r="G1072" s="198"/>
      <c r="H1072" s="198"/>
      <c r="I1072" s="198"/>
      <c r="J1072" s="198"/>
      <c r="K1072" s="198"/>
      <c r="L1072" s="198"/>
      <c r="M1072" s="198"/>
      <c r="N1072" s="198"/>
      <c r="O1072" s="198"/>
      <c r="P1072" s="198"/>
      <c r="Q1072" s="198"/>
      <c r="R1072" s="198"/>
      <c r="S1072" s="198"/>
      <c r="T1072" s="198"/>
      <c r="U1072" s="198"/>
      <c r="V1072" s="198"/>
      <c r="W1072" s="198"/>
      <c r="X1072" s="198"/>
      <c r="Y1072" s="198"/>
      <c r="Z1072" s="198"/>
    </row>
    <row r="1073" spans="1:26" ht="15.75" hidden="1" customHeight="1" x14ac:dyDescent="0.25">
      <c r="A1073" s="213">
        <v>6142</v>
      </c>
      <c r="B1073" s="214" t="s">
        <v>9564</v>
      </c>
      <c r="C1073" s="215" t="s">
        <v>580</v>
      </c>
      <c r="D1073" s="216">
        <v>9.11</v>
      </c>
      <c r="E1073" s="198"/>
      <c r="F1073" s="198"/>
      <c r="G1073" s="198"/>
      <c r="H1073" s="198"/>
      <c r="I1073" s="198"/>
      <c r="J1073" s="198"/>
      <c r="K1073" s="198"/>
      <c r="L1073" s="198"/>
      <c r="M1073" s="198"/>
      <c r="N1073" s="198"/>
      <c r="O1073" s="198"/>
      <c r="P1073" s="198"/>
      <c r="Q1073" s="198"/>
      <c r="R1073" s="198"/>
      <c r="S1073" s="198"/>
      <c r="T1073" s="198"/>
      <c r="U1073" s="198"/>
      <c r="V1073" s="198"/>
      <c r="W1073" s="198"/>
      <c r="X1073" s="198"/>
      <c r="Y1073" s="198"/>
      <c r="Z1073" s="198"/>
    </row>
    <row r="1074" spans="1:26" ht="15.75" hidden="1" customHeight="1" x14ac:dyDescent="0.25">
      <c r="A1074" s="213">
        <v>11686</v>
      </c>
      <c r="B1074" s="214" t="s">
        <v>9565</v>
      </c>
      <c r="C1074" s="215" t="s">
        <v>580</v>
      </c>
      <c r="D1074" s="216">
        <v>12.65</v>
      </c>
      <c r="E1074" s="198"/>
      <c r="F1074" s="198"/>
      <c r="G1074" s="198"/>
      <c r="H1074" s="198"/>
      <c r="I1074" s="198"/>
      <c r="J1074" s="198"/>
      <c r="K1074" s="198"/>
      <c r="L1074" s="198"/>
      <c r="M1074" s="198"/>
      <c r="N1074" s="198"/>
      <c r="O1074" s="198"/>
      <c r="P1074" s="198"/>
      <c r="Q1074" s="198"/>
      <c r="R1074" s="198"/>
      <c r="S1074" s="198"/>
      <c r="T1074" s="198"/>
      <c r="U1074" s="198"/>
      <c r="V1074" s="198"/>
      <c r="W1074" s="198"/>
      <c r="X1074" s="198"/>
      <c r="Y1074" s="198"/>
      <c r="Z1074" s="198"/>
    </row>
    <row r="1075" spans="1:26" ht="15.75" hidden="1" customHeight="1" x14ac:dyDescent="0.25">
      <c r="A1075" s="213">
        <v>10667</v>
      </c>
      <c r="B1075" s="214" t="s">
        <v>9566</v>
      </c>
      <c r="C1075" s="215" t="s">
        <v>580</v>
      </c>
      <c r="D1075" s="216">
        <v>18000</v>
      </c>
      <c r="E1075" s="198"/>
      <c r="F1075" s="198"/>
      <c r="G1075" s="198"/>
      <c r="H1075" s="198"/>
      <c r="I1075" s="198"/>
      <c r="J1075" s="198"/>
      <c r="K1075" s="198"/>
      <c r="L1075" s="198"/>
      <c r="M1075" s="198"/>
      <c r="N1075" s="198"/>
      <c r="O1075" s="198"/>
      <c r="P1075" s="198"/>
      <c r="Q1075" s="198"/>
      <c r="R1075" s="198"/>
      <c r="S1075" s="198"/>
      <c r="T1075" s="198"/>
      <c r="U1075" s="198"/>
      <c r="V1075" s="198"/>
      <c r="W1075" s="198"/>
      <c r="X1075" s="198"/>
      <c r="Y1075" s="198"/>
      <c r="Z1075" s="198"/>
    </row>
    <row r="1076" spans="1:26" ht="15.75" hidden="1" customHeight="1" x14ac:dyDescent="0.25">
      <c r="A1076" s="213">
        <v>1613</v>
      </c>
      <c r="B1076" s="214" t="s">
        <v>9567</v>
      </c>
      <c r="C1076" s="215" t="s">
        <v>580</v>
      </c>
      <c r="D1076" s="216">
        <v>2334.4299999999998</v>
      </c>
      <c r="E1076" s="198"/>
      <c r="F1076" s="198"/>
      <c r="G1076" s="198"/>
      <c r="H1076" s="198"/>
      <c r="I1076" s="198"/>
      <c r="J1076" s="198"/>
      <c r="K1076" s="198"/>
      <c r="L1076" s="198"/>
      <c r="M1076" s="198"/>
      <c r="N1076" s="198"/>
      <c r="O1076" s="198"/>
      <c r="P1076" s="198"/>
      <c r="Q1076" s="198"/>
      <c r="R1076" s="198"/>
      <c r="S1076" s="198"/>
      <c r="T1076" s="198"/>
      <c r="U1076" s="198"/>
      <c r="V1076" s="198"/>
      <c r="W1076" s="198"/>
      <c r="X1076" s="198"/>
      <c r="Y1076" s="198"/>
      <c r="Z1076" s="198"/>
    </row>
    <row r="1077" spans="1:26" ht="15.75" hidden="1" customHeight="1" x14ac:dyDescent="0.25">
      <c r="A1077" s="213">
        <v>1626</v>
      </c>
      <c r="B1077" s="214" t="s">
        <v>9568</v>
      </c>
      <c r="C1077" s="215" t="s">
        <v>580</v>
      </c>
      <c r="D1077" s="216">
        <v>3491.43</v>
      </c>
      <c r="E1077" s="198"/>
      <c r="F1077" s="198"/>
      <c r="G1077" s="198"/>
      <c r="H1077" s="198"/>
      <c r="I1077" s="198"/>
      <c r="J1077" s="198"/>
      <c r="K1077" s="198"/>
      <c r="L1077" s="198"/>
      <c r="M1077" s="198"/>
      <c r="N1077" s="198"/>
      <c r="O1077" s="198"/>
      <c r="P1077" s="198"/>
      <c r="Q1077" s="198"/>
      <c r="R1077" s="198"/>
      <c r="S1077" s="198"/>
      <c r="T1077" s="198"/>
      <c r="U1077" s="198"/>
      <c r="V1077" s="198"/>
      <c r="W1077" s="198"/>
      <c r="X1077" s="198"/>
      <c r="Y1077" s="198"/>
      <c r="Z1077" s="198"/>
    </row>
    <row r="1078" spans="1:26" ht="15.75" hidden="1" customHeight="1" x14ac:dyDescent="0.25">
      <c r="A1078" s="213">
        <v>1625</v>
      </c>
      <c r="B1078" s="214" t="s">
        <v>9569</v>
      </c>
      <c r="C1078" s="215" t="s">
        <v>580</v>
      </c>
      <c r="D1078" s="216">
        <v>243.86</v>
      </c>
      <c r="E1078" s="198"/>
      <c r="F1078" s="198"/>
      <c r="G1078" s="198"/>
      <c r="H1078" s="198"/>
      <c r="I1078" s="198"/>
      <c r="J1078" s="198"/>
      <c r="K1078" s="198"/>
      <c r="L1078" s="198"/>
      <c r="M1078" s="198"/>
      <c r="N1078" s="198"/>
      <c r="O1078" s="198"/>
      <c r="P1078" s="198"/>
      <c r="Q1078" s="198"/>
      <c r="R1078" s="198"/>
      <c r="S1078" s="198"/>
      <c r="T1078" s="198"/>
      <c r="U1078" s="198"/>
      <c r="V1078" s="198"/>
      <c r="W1078" s="198"/>
      <c r="X1078" s="198"/>
      <c r="Y1078" s="198"/>
      <c r="Z1078" s="198"/>
    </row>
    <row r="1079" spans="1:26" ht="15.75" hidden="1" customHeight="1" x14ac:dyDescent="0.25">
      <c r="A1079" s="213">
        <v>1622</v>
      </c>
      <c r="B1079" s="214" t="s">
        <v>9570</v>
      </c>
      <c r="C1079" s="215" t="s">
        <v>580</v>
      </c>
      <c r="D1079" s="216">
        <v>7878.72</v>
      </c>
      <c r="E1079" s="198"/>
      <c r="F1079" s="198"/>
      <c r="G1079" s="198"/>
      <c r="H1079" s="198"/>
      <c r="I1079" s="198"/>
      <c r="J1079" s="198"/>
      <c r="K1079" s="198"/>
      <c r="L1079" s="198"/>
      <c r="M1079" s="198"/>
      <c r="N1079" s="198"/>
      <c r="O1079" s="198"/>
      <c r="P1079" s="198"/>
      <c r="Q1079" s="198"/>
      <c r="R1079" s="198"/>
      <c r="S1079" s="198"/>
      <c r="T1079" s="198"/>
      <c r="U1079" s="198"/>
      <c r="V1079" s="198"/>
      <c r="W1079" s="198"/>
      <c r="X1079" s="198"/>
      <c r="Y1079" s="198"/>
      <c r="Z1079" s="198"/>
    </row>
    <row r="1080" spans="1:26" ht="15.75" hidden="1" customHeight="1" x14ac:dyDescent="0.25">
      <c r="A1080" s="213">
        <v>1620</v>
      </c>
      <c r="B1080" s="214" t="s">
        <v>9571</v>
      </c>
      <c r="C1080" s="215" t="s">
        <v>580</v>
      </c>
      <c r="D1080" s="216">
        <v>513.70000000000005</v>
      </c>
      <c r="E1080" s="198"/>
      <c r="F1080" s="198"/>
      <c r="G1080" s="198"/>
      <c r="H1080" s="198"/>
      <c r="I1080" s="198"/>
      <c r="J1080" s="198"/>
      <c r="K1080" s="198"/>
      <c r="L1080" s="198"/>
      <c r="M1080" s="198"/>
      <c r="N1080" s="198"/>
      <c r="O1080" s="198"/>
      <c r="P1080" s="198"/>
      <c r="Q1080" s="198"/>
      <c r="R1080" s="198"/>
      <c r="S1080" s="198"/>
      <c r="T1080" s="198"/>
      <c r="U1080" s="198"/>
      <c r="V1080" s="198"/>
      <c r="W1080" s="198"/>
      <c r="X1080" s="198"/>
      <c r="Y1080" s="198"/>
      <c r="Z1080" s="198"/>
    </row>
    <row r="1081" spans="1:26" ht="15.75" hidden="1" customHeight="1" x14ac:dyDescent="0.25">
      <c r="A1081" s="213">
        <v>1629</v>
      </c>
      <c r="B1081" s="214" t="s">
        <v>9572</v>
      </c>
      <c r="C1081" s="215" t="s">
        <v>580</v>
      </c>
      <c r="D1081" s="216">
        <v>19174.919999999998</v>
      </c>
      <c r="E1081" s="198"/>
      <c r="F1081" s="198"/>
      <c r="G1081" s="198"/>
      <c r="H1081" s="198"/>
      <c r="I1081" s="198"/>
      <c r="J1081" s="198"/>
      <c r="K1081" s="198"/>
      <c r="L1081" s="198"/>
      <c r="M1081" s="198"/>
      <c r="N1081" s="198"/>
      <c r="O1081" s="198"/>
      <c r="P1081" s="198"/>
      <c r="Q1081" s="198"/>
      <c r="R1081" s="198"/>
      <c r="S1081" s="198"/>
      <c r="T1081" s="198"/>
      <c r="U1081" s="198"/>
      <c r="V1081" s="198"/>
      <c r="W1081" s="198"/>
      <c r="X1081" s="198"/>
      <c r="Y1081" s="198"/>
      <c r="Z1081" s="198"/>
    </row>
    <row r="1082" spans="1:26" ht="15.75" hidden="1" customHeight="1" x14ac:dyDescent="0.25">
      <c r="A1082" s="213">
        <v>1627</v>
      </c>
      <c r="B1082" s="214" t="s">
        <v>9573</v>
      </c>
      <c r="C1082" s="215" t="s">
        <v>580</v>
      </c>
      <c r="D1082" s="216">
        <v>981.93</v>
      </c>
      <c r="E1082" s="198"/>
      <c r="F1082" s="198"/>
      <c r="G1082" s="198"/>
      <c r="H1082" s="198"/>
      <c r="I1082" s="198"/>
      <c r="J1082" s="198"/>
      <c r="K1082" s="198"/>
      <c r="L1082" s="198"/>
      <c r="M1082" s="198"/>
      <c r="N1082" s="198"/>
      <c r="O1082" s="198"/>
      <c r="P1082" s="198"/>
      <c r="Q1082" s="198"/>
      <c r="R1082" s="198"/>
      <c r="S1082" s="198"/>
      <c r="T1082" s="198"/>
      <c r="U1082" s="198"/>
      <c r="V1082" s="198"/>
      <c r="W1082" s="198"/>
      <c r="X1082" s="198"/>
      <c r="Y1082" s="198"/>
      <c r="Z1082" s="198"/>
    </row>
    <row r="1083" spans="1:26" ht="15.75" hidden="1" customHeight="1" x14ac:dyDescent="0.25">
      <c r="A1083" s="213">
        <v>1623</v>
      </c>
      <c r="B1083" s="214" t="s">
        <v>9574</v>
      </c>
      <c r="C1083" s="215" t="s">
        <v>580</v>
      </c>
      <c r="D1083" s="216">
        <v>198.88</v>
      </c>
      <c r="E1083" s="198"/>
      <c r="F1083" s="198"/>
      <c r="G1083" s="198"/>
      <c r="H1083" s="198"/>
      <c r="I1083" s="198"/>
      <c r="J1083" s="198"/>
      <c r="K1083" s="198"/>
      <c r="L1083" s="198"/>
      <c r="M1083" s="198"/>
      <c r="N1083" s="198"/>
      <c r="O1083" s="198"/>
      <c r="P1083" s="198"/>
      <c r="Q1083" s="198"/>
      <c r="R1083" s="198"/>
      <c r="S1083" s="198"/>
      <c r="T1083" s="198"/>
      <c r="U1083" s="198"/>
      <c r="V1083" s="198"/>
      <c r="W1083" s="198"/>
      <c r="X1083" s="198"/>
      <c r="Y1083" s="198"/>
      <c r="Z1083" s="198"/>
    </row>
    <row r="1084" spans="1:26" ht="15.75" hidden="1" customHeight="1" x14ac:dyDescent="0.25">
      <c r="A1084" s="213">
        <v>1619</v>
      </c>
      <c r="B1084" s="214" t="s">
        <v>9575</v>
      </c>
      <c r="C1084" s="215" t="s">
        <v>580</v>
      </c>
      <c r="D1084" s="216">
        <v>273.57</v>
      </c>
      <c r="E1084" s="198"/>
      <c r="F1084" s="198"/>
      <c r="G1084" s="198"/>
      <c r="H1084" s="198"/>
      <c r="I1084" s="198"/>
      <c r="J1084" s="198"/>
      <c r="K1084" s="198"/>
      <c r="L1084" s="198"/>
      <c r="M1084" s="198"/>
      <c r="N1084" s="198"/>
      <c r="O1084" s="198"/>
      <c r="P1084" s="198"/>
      <c r="Q1084" s="198"/>
      <c r="R1084" s="198"/>
      <c r="S1084" s="198"/>
      <c r="T1084" s="198"/>
      <c r="U1084" s="198"/>
      <c r="V1084" s="198"/>
      <c r="W1084" s="198"/>
      <c r="X1084" s="198"/>
      <c r="Y1084" s="198"/>
      <c r="Z1084" s="198"/>
    </row>
    <row r="1085" spans="1:26" ht="15.75" hidden="1" customHeight="1" x14ac:dyDescent="0.25">
      <c r="A1085" s="213">
        <v>1630</v>
      </c>
      <c r="B1085" s="214" t="s">
        <v>9576</v>
      </c>
      <c r="C1085" s="215" t="s">
        <v>580</v>
      </c>
      <c r="D1085" s="216">
        <v>6023.44</v>
      </c>
      <c r="E1085" s="198"/>
      <c r="F1085" s="198"/>
      <c r="G1085" s="198"/>
      <c r="H1085" s="198"/>
      <c r="I1085" s="198"/>
      <c r="J1085" s="198"/>
      <c r="K1085" s="198"/>
      <c r="L1085" s="198"/>
      <c r="M1085" s="198"/>
      <c r="N1085" s="198"/>
      <c r="O1085" s="198"/>
      <c r="P1085" s="198"/>
      <c r="Q1085" s="198"/>
      <c r="R1085" s="198"/>
      <c r="S1085" s="198"/>
      <c r="T1085" s="198"/>
      <c r="U1085" s="198"/>
      <c r="V1085" s="198"/>
      <c r="W1085" s="198"/>
      <c r="X1085" s="198"/>
      <c r="Y1085" s="198"/>
      <c r="Z1085" s="198"/>
    </row>
    <row r="1086" spans="1:26" ht="15.75" hidden="1" customHeight="1" x14ac:dyDescent="0.25">
      <c r="A1086" s="213">
        <v>1616</v>
      </c>
      <c r="B1086" s="214" t="s">
        <v>9577</v>
      </c>
      <c r="C1086" s="215" t="s">
        <v>580</v>
      </c>
      <c r="D1086" s="216">
        <v>9264.16</v>
      </c>
      <c r="E1086" s="198"/>
      <c r="F1086" s="198"/>
      <c r="G1086" s="198"/>
      <c r="H1086" s="198"/>
      <c r="I1086" s="198"/>
      <c r="J1086" s="198"/>
      <c r="K1086" s="198"/>
      <c r="L1086" s="198"/>
      <c r="M1086" s="198"/>
      <c r="N1086" s="198"/>
      <c r="O1086" s="198"/>
      <c r="P1086" s="198"/>
      <c r="Q1086" s="198"/>
      <c r="R1086" s="198"/>
      <c r="S1086" s="198"/>
      <c r="T1086" s="198"/>
      <c r="U1086" s="198"/>
      <c r="V1086" s="198"/>
      <c r="W1086" s="198"/>
      <c r="X1086" s="198"/>
      <c r="Y1086" s="198"/>
      <c r="Z1086" s="198"/>
    </row>
    <row r="1087" spans="1:26" ht="15.75" hidden="1" customHeight="1" x14ac:dyDescent="0.25">
      <c r="A1087" s="213">
        <v>1614</v>
      </c>
      <c r="B1087" s="214" t="s">
        <v>9578</v>
      </c>
      <c r="C1087" s="215" t="s">
        <v>580</v>
      </c>
      <c r="D1087" s="216">
        <v>423.4</v>
      </c>
      <c r="E1087" s="198"/>
      <c r="F1087" s="198"/>
      <c r="G1087" s="198"/>
      <c r="H1087" s="198"/>
      <c r="I1087" s="198"/>
      <c r="J1087" s="198"/>
      <c r="K1087" s="198"/>
      <c r="L1087" s="198"/>
      <c r="M1087" s="198"/>
      <c r="N1087" s="198"/>
      <c r="O1087" s="198"/>
      <c r="P1087" s="198"/>
      <c r="Q1087" s="198"/>
      <c r="R1087" s="198"/>
      <c r="S1087" s="198"/>
      <c r="T1087" s="198"/>
      <c r="U1087" s="198"/>
      <c r="V1087" s="198"/>
      <c r="W1087" s="198"/>
      <c r="X1087" s="198"/>
      <c r="Y1087" s="198"/>
      <c r="Z1087" s="198"/>
    </row>
    <row r="1088" spans="1:26" ht="15.75" hidden="1" customHeight="1" x14ac:dyDescent="0.25">
      <c r="A1088" s="213">
        <v>1617</v>
      </c>
      <c r="B1088" s="214" t="s">
        <v>9579</v>
      </c>
      <c r="C1088" s="215" t="s">
        <v>580</v>
      </c>
      <c r="D1088" s="216">
        <v>11059.4</v>
      </c>
      <c r="E1088" s="198"/>
      <c r="F1088" s="198"/>
      <c r="G1088" s="198"/>
      <c r="H1088" s="198"/>
      <c r="I1088" s="198"/>
      <c r="J1088" s="198"/>
      <c r="K1088" s="198"/>
      <c r="L1088" s="198"/>
      <c r="M1088" s="198"/>
      <c r="N1088" s="198"/>
      <c r="O1088" s="198"/>
      <c r="P1088" s="198"/>
      <c r="Q1088" s="198"/>
      <c r="R1088" s="198"/>
      <c r="S1088" s="198"/>
      <c r="T1088" s="198"/>
      <c r="U1088" s="198"/>
      <c r="V1088" s="198"/>
      <c r="W1088" s="198"/>
      <c r="X1088" s="198"/>
      <c r="Y1088" s="198"/>
      <c r="Z1088" s="198"/>
    </row>
    <row r="1089" spans="1:26" ht="15.75" hidden="1" customHeight="1" x14ac:dyDescent="0.25">
      <c r="A1089" s="213">
        <v>1621</v>
      </c>
      <c r="B1089" s="214" t="s">
        <v>9580</v>
      </c>
      <c r="C1089" s="215" t="s">
        <v>580</v>
      </c>
      <c r="D1089" s="216">
        <v>757.25</v>
      </c>
      <c r="E1089" s="198"/>
      <c r="F1089" s="198"/>
      <c r="G1089" s="198"/>
      <c r="H1089" s="198"/>
      <c r="I1089" s="198"/>
      <c r="J1089" s="198"/>
      <c r="K1089" s="198"/>
      <c r="L1089" s="198"/>
      <c r="M1089" s="198"/>
      <c r="N1089" s="198"/>
      <c r="O1089" s="198"/>
      <c r="P1089" s="198"/>
      <c r="Q1089" s="198"/>
      <c r="R1089" s="198"/>
      <c r="S1089" s="198"/>
      <c r="T1089" s="198"/>
      <c r="U1089" s="198"/>
      <c r="V1089" s="198"/>
      <c r="W1089" s="198"/>
      <c r="X1089" s="198"/>
      <c r="Y1089" s="198"/>
      <c r="Z1089" s="198"/>
    </row>
    <row r="1090" spans="1:26" ht="15.75" hidden="1" customHeight="1" x14ac:dyDescent="0.25">
      <c r="A1090" s="213">
        <v>1624</v>
      </c>
      <c r="B1090" s="214" t="s">
        <v>9581</v>
      </c>
      <c r="C1090" s="215" t="s">
        <v>580</v>
      </c>
      <c r="D1090" s="216">
        <v>27184.55</v>
      </c>
      <c r="E1090" s="198"/>
      <c r="F1090" s="198"/>
      <c r="G1090" s="198"/>
      <c r="H1090" s="198"/>
      <c r="I1090" s="198"/>
      <c r="J1090" s="198"/>
      <c r="K1090" s="198"/>
      <c r="L1090" s="198"/>
      <c r="M1090" s="198"/>
      <c r="N1090" s="198"/>
      <c r="O1090" s="198"/>
      <c r="P1090" s="198"/>
      <c r="Q1090" s="198"/>
      <c r="R1090" s="198"/>
      <c r="S1090" s="198"/>
      <c r="T1090" s="198"/>
      <c r="U1090" s="198"/>
      <c r="V1090" s="198"/>
      <c r="W1090" s="198"/>
      <c r="X1090" s="198"/>
      <c r="Y1090" s="198"/>
      <c r="Z1090" s="198"/>
    </row>
    <row r="1091" spans="1:26" ht="15.75" hidden="1" customHeight="1" x14ac:dyDescent="0.25">
      <c r="A1091" s="213">
        <v>1615</v>
      </c>
      <c r="B1091" s="214" t="s">
        <v>9582</v>
      </c>
      <c r="C1091" s="215" t="s">
        <v>580</v>
      </c>
      <c r="D1091" s="216">
        <v>1421.99</v>
      </c>
      <c r="E1091" s="198"/>
      <c r="F1091" s="198"/>
      <c r="G1091" s="198"/>
      <c r="H1091" s="198"/>
      <c r="I1091" s="198"/>
      <c r="J1091" s="198"/>
      <c r="K1091" s="198"/>
      <c r="L1091" s="198"/>
      <c r="M1091" s="198"/>
      <c r="N1091" s="198"/>
      <c r="O1091" s="198"/>
      <c r="P1091" s="198"/>
      <c r="Q1091" s="198"/>
      <c r="R1091" s="198"/>
      <c r="S1091" s="198"/>
      <c r="T1091" s="198"/>
      <c r="U1091" s="198"/>
      <c r="V1091" s="198"/>
      <c r="W1091" s="198"/>
      <c r="X1091" s="198"/>
      <c r="Y1091" s="198"/>
      <c r="Z1091" s="198"/>
    </row>
    <row r="1092" spans="1:26" ht="15.75" hidden="1" customHeight="1" x14ac:dyDescent="0.25">
      <c r="A1092" s="213">
        <v>1612</v>
      </c>
      <c r="B1092" s="214" t="s">
        <v>9583</v>
      </c>
      <c r="C1092" s="215" t="s">
        <v>580</v>
      </c>
      <c r="D1092" s="216">
        <v>187.29</v>
      </c>
      <c r="E1092" s="198"/>
      <c r="F1092" s="198"/>
      <c r="G1092" s="198"/>
      <c r="H1092" s="198"/>
      <c r="I1092" s="198"/>
      <c r="J1092" s="198"/>
      <c r="K1092" s="198"/>
      <c r="L1092" s="198"/>
      <c r="M1092" s="198"/>
      <c r="N1092" s="198"/>
      <c r="O1092" s="198"/>
      <c r="P1092" s="198"/>
      <c r="Q1092" s="198"/>
      <c r="R1092" s="198"/>
      <c r="S1092" s="198"/>
      <c r="T1092" s="198"/>
      <c r="U1092" s="198"/>
      <c r="V1092" s="198"/>
      <c r="W1092" s="198"/>
      <c r="X1092" s="198"/>
      <c r="Y1092" s="198"/>
      <c r="Z1092" s="198"/>
    </row>
    <row r="1093" spans="1:26" ht="15.75" hidden="1" customHeight="1" x14ac:dyDescent="0.25">
      <c r="A1093" s="213">
        <v>1618</v>
      </c>
      <c r="B1093" s="214" t="s">
        <v>9584</v>
      </c>
      <c r="C1093" s="215" t="s">
        <v>580</v>
      </c>
      <c r="D1093" s="216">
        <v>1954.03</v>
      </c>
      <c r="E1093" s="198"/>
      <c r="F1093" s="198"/>
      <c r="G1093" s="198"/>
      <c r="H1093" s="198"/>
      <c r="I1093" s="198"/>
      <c r="J1093" s="198"/>
      <c r="K1093" s="198"/>
      <c r="L1093" s="198"/>
      <c r="M1093" s="198"/>
      <c r="N1093" s="198"/>
      <c r="O1093" s="198"/>
      <c r="P1093" s="198"/>
      <c r="Q1093" s="198"/>
      <c r="R1093" s="198"/>
      <c r="S1093" s="198"/>
      <c r="T1093" s="198"/>
      <c r="U1093" s="198"/>
      <c r="V1093" s="198"/>
      <c r="W1093" s="198"/>
      <c r="X1093" s="198"/>
      <c r="Y1093" s="198"/>
      <c r="Z1093" s="198"/>
    </row>
    <row r="1094" spans="1:26" ht="15.75" hidden="1" customHeight="1" x14ac:dyDescent="0.25">
      <c r="A1094" s="213">
        <v>14211</v>
      </c>
      <c r="B1094" s="214" t="s">
        <v>9585</v>
      </c>
      <c r="C1094" s="215" t="s">
        <v>580</v>
      </c>
      <c r="D1094" s="216">
        <v>40.35</v>
      </c>
      <c r="E1094" s="198"/>
      <c r="F1094" s="198"/>
      <c r="G1094" s="198"/>
      <c r="H1094" s="198"/>
      <c r="I1094" s="198"/>
      <c r="J1094" s="198"/>
      <c r="K1094" s="198"/>
      <c r="L1094" s="198"/>
      <c r="M1094" s="198"/>
      <c r="N1094" s="198"/>
      <c r="O1094" s="198"/>
      <c r="P1094" s="198"/>
      <c r="Q1094" s="198"/>
      <c r="R1094" s="198"/>
      <c r="S1094" s="198"/>
      <c r="T1094" s="198"/>
      <c r="U1094" s="198"/>
      <c r="V1094" s="198"/>
      <c r="W1094" s="198"/>
      <c r="X1094" s="198"/>
      <c r="Y1094" s="198"/>
      <c r="Z1094" s="198"/>
    </row>
    <row r="1095" spans="1:26" ht="15.75" hidden="1" customHeight="1" x14ac:dyDescent="0.25">
      <c r="A1095" s="213">
        <v>43657</v>
      </c>
      <c r="B1095" s="214" t="s">
        <v>9586</v>
      </c>
      <c r="C1095" s="215" t="s">
        <v>585</v>
      </c>
      <c r="D1095" s="216">
        <v>14.37</v>
      </c>
      <c r="E1095" s="198"/>
      <c r="F1095" s="198"/>
      <c r="G1095" s="198"/>
      <c r="H1095" s="198"/>
      <c r="I1095" s="198"/>
      <c r="J1095" s="198"/>
      <c r="K1095" s="198"/>
      <c r="L1095" s="198"/>
      <c r="M1095" s="198"/>
      <c r="N1095" s="198"/>
      <c r="O1095" s="198"/>
      <c r="P1095" s="198"/>
      <c r="Q1095" s="198"/>
      <c r="R1095" s="198"/>
      <c r="S1095" s="198"/>
      <c r="T1095" s="198"/>
      <c r="U1095" s="198"/>
      <c r="V1095" s="198"/>
      <c r="W1095" s="198"/>
      <c r="X1095" s="198"/>
      <c r="Y1095" s="198"/>
      <c r="Z1095" s="198"/>
    </row>
    <row r="1096" spans="1:26" ht="15.75" hidden="1" customHeight="1" x14ac:dyDescent="0.25">
      <c r="A1096" s="213">
        <v>38200</v>
      </c>
      <c r="B1096" s="214" t="s">
        <v>9587</v>
      </c>
      <c r="C1096" s="215" t="s">
        <v>9588</v>
      </c>
      <c r="D1096" s="216">
        <v>678.65</v>
      </c>
      <c r="E1096" s="198"/>
      <c r="F1096" s="198"/>
      <c r="G1096" s="198"/>
      <c r="H1096" s="198"/>
      <c r="I1096" s="198"/>
      <c r="J1096" s="198"/>
      <c r="K1096" s="198"/>
      <c r="L1096" s="198"/>
      <c r="M1096" s="198"/>
      <c r="N1096" s="198"/>
      <c r="O1096" s="198"/>
      <c r="P1096" s="198"/>
      <c r="Q1096" s="198"/>
      <c r="R1096" s="198"/>
      <c r="S1096" s="198"/>
      <c r="T1096" s="198"/>
      <c r="U1096" s="198"/>
      <c r="V1096" s="198"/>
      <c r="W1096" s="198"/>
      <c r="X1096" s="198"/>
      <c r="Y1096" s="198"/>
      <c r="Z1096" s="198"/>
    </row>
    <row r="1097" spans="1:26" ht="15.75" hidden="1" customHeight="1" x14ac:dyDescent="0.25">
      <c r="A1097" s="213">
        <v>39269</v>
      </c>
      <c r="B1097" s="214" t="s">
        <v>9589</v>
      </c>
      <c r="C1097" s="215" t="s">
        <v>585</v>
      </c>
      <c r="D1097" s="216">
        <v>1.34</v>
      </c>
      <c r="E1097" s="198"/>
      <c r="F1097" s="198"/>
      <c r="G1097" s="198"/>
      <c r="H1097" s="198"/>
      <c r="I1097" s="198"/>
      <c r="J1097" s="198"/>
      <c r="K1097" s="198"/>
      <c r="L1097" s="198"/>
      <c r="M1097" s="198"/>
      <c r="N1097" s="198"/>
      <c r="O1097" s="198"/>
      <c r="P1097" s="198"/>
      <c r="Q1097" s="198"/>
      <c r="R1097" s="198"/>
      <c r="S1097" s="198"/>
      <c r="T1097" s="198"/>
      <c r="U1097" s="198"/>
      <c r="V1097" s="198"/>
      <c r="W1097" s="198"/>
      <c r="X1097" s="198"/>
      <c r="Y1097" s="198"/>
      <c r="Z1097" s="198"/>
    </row>
    <row r="1098" spans="1:26" ht="15.75" hidden="1" customHeight="1" x14ac:dyDescent="0.25">
      <c r="A1098" s="213">
        <v>11889</v>
      </c>
      <c r="B1098" s="214" t="s">
        <v>9590</v>
      </c>
      <c r="C1098" s="215" t="s">
        <v>585</v>
      </c>
      <c r="D1098" s="216">
        <v>1.84</v>
      </c>
      <c r="E1098" s="198"/>
      <c r="F1098" s="198"/>
      <c r="G1098" s="198"/>
      <c r="H1098" s="198"/>
      <c r="I1098" s="198"/>
      <c r="J1098" s="198"/>
      <c r="K1098" s="198"/>
      <c r="L1098" s="198"/>
      <c r="M1098" s="198"/>
      <c r="N1098" s="198"/>
      <c r="O1098" s="198"/>
      <c r="P1098" s="198"/>
      <c r="Q1098" s="198"/>
      <c r="R1098" s="198"/>
      <c r="S1098" s="198"/>
      <c r="T1098" s="198"/>
      <c r="U1098" s="198"/>
      <c r="V1098" s="198"/>
      <c r="W1098" s="198"/>
      <c r="X1098" s="198"/>
      <c r="Y1098" s="198"/>
      <c r="Z1098" s="198"/>
    </row>
    <row r="1099" spans="1:26" ht="15.75" hidden="1" customHeight="1" x14ac:dyDescent="0.25">
      <c r="A1099" s="213">
        <v>39270</v>
      </c>
      <c r="B1099" s="214" t="s">
        <v>9591</v>
      </c>
      <c r="C1099" s="215" t="s">
        <v>585</v>
      </c>
      <c r="D1099" s="216">
        <v>2.39</v>
      </c>
      <c r="E1099" s="198"/>
      <c r="F1099" s="198"/>
      <c r="G1099" s="198"/>
      <c r="H1099" s="198"/>
      <c r="I1099" s="198"/>
      <c r="J1099" s="198"/>
      <c r="K1099" s="198"/>
      <c r="L1099" s="198"/>
      <c r="M1099" s="198"/>
      <c r="N1099" s="198"/>
      <c r="O1099" s="198"/>
      <c r="P1099" s="198"/>
      <c r="Q1099" s="198"/>
      <c r="R1099" s="198"/>
      <c r="S1099" s="198"/>
      <c r="T1099" s="198"/>
      <c r="U1099" s="198"/>
      <c r="V1099" s="198"/>
      <c r="W1099" s="198"/>
      <c r="X1099" s="198"/>
      <c r="Y1099" s="198"/>
      <c r="Z1099" s="198"/>
    </row>
    <row r="1100" spans="1:26" ht="15.75" hidden="1" customHeight="1" x14ac:dyDescent="0.25">
      <c r="A1100" s="213">
        <v>11890</v>
      </c>
      <c r="B1100" s="214" t="s">
        <v>9592</v>
      </c>
      <c r="C1100" s="215" t="s">
        <v>585</v>
      </c>
      <c r="D1100" s="216">
        <v>3.25</v>
      </c>
      <c r="E1100" s="198"/>
      <c r="F1100" s="198"/>
      <c r="G1100" s="198"/>
      <c r="H1100" s="198"/>
      <c r="I1100" s="198"/>
      <c r="J1100" s="198"/>
      <c r="K1100" s="198"/>
      <c r="L1100" s="198"/>
      <c r="M1100" s="198"/>
      <c r="N1100" s="198"/>
      <c r="O1100" s="198"/>
      <c r="P1100" s="198"/>
      <c r="Q1100" s="198"/>
      <c r="R1100" s="198"/>
      <c r="S1100" s="198"/>
      <c r="T1100" s="198"/>
      <c r="U1100" s="198"/>
      <c r="V1100" s="198"/>
      <c r="W1100" s="198"/>
      <c r="X1100" s="198"/>
      <c r="Y1100" s="198"/>
      <c r="Z1100" s="198"/>
    </row>
    <row r="1101" spans="1:26" ht="15.75" hidden="1" customHeight="1" x14ac:dyDescent="0.25">
      <c r="A1101" s="213">
        <v>11891</v>
      </c>
      <c r="B1101" s="214" t="s">
        <v>9593</v>
      </c>
      <c r="C1101" s="215" t="s">
        <v>585</v>
      </c>
      <c r="D1101" s="216">
        <v>5.27</v>
      </c>
      <c r="E1101" s="198"/>
      <c r="F1101" s="198"/>
      <c r="G1101" s="198"/>
      <c r="H1101" s="198"/>
      <c r="I1101" s="198"/>
      <c r="J1101" s="198"/>
      <c r="K1101" s="198"/>
      <c r="L1101" s="198"/>
      <c r="M1101" s="198"/>
      <c r="N1101" s="198"/>
      <c r="O1101" s="198"/>
      <c r="P1101" s="198"/>
      <c r="Q1101" s="198"/>
      <c r="R1101" s="198"/>
      <c r="S1101" s="198"/>
      <c r="T1101" s="198"/>
      <c r="U1101" s="198"/>
      <c r="V1101" s="198"/>
      <c r="W1101" s="198"/>
      <c r="X1101" s="198"/>
      <c r="Y1101" s="198"/>
      <c r="Z1101" s="198"/>
    </row>
    <row r="1102" spans="1:26" ht="15.75" hidden="1" customHeight="1" x14ac:dyDescent="0.25">
      <c r="A1102" s="213">
        <v>11892</v>
      </c>
      <c r="B1102" s="214" t="s">
        <v>9594</v>
      </c>
      <c r="C1102" s="215" t="s">
        <v>585</v>
      </c>
      <c r="D1102" s="216">
        <v>8.6199999999999992</v>
      </c>
      <c r="E1102" s="198"/>
      <c r="F1102" s="198"/>
      <c r="G1102" s="198"/>
      <c r="H1102" s="198"/>
      <c r="I1102" s="198"/>
      <c r="J1102" s="198"/>
      <c r="K1102" s="198"/>
      <c r="L1102" s="198"/>
      <c r="M1102" s="198"/>
      <c r="N1102" s="198"/>
      <c r="O1102" s="198"/>
      <c r="P1102" s="198"/>
      <c r="Q1102" s="198"/>
      <c r="R1102" s="198"/>
      <c r="S1102" s="198"/>
      <c r="T1102" s="198"/>
      <c r="U1102" s="198"/>
      <c r="V1102" s="198"/>
      <c r="W1102" s="198"/>
      <c r="X1102" s="198"/>
      <c r="Y1102" s="198"/>
      <c r="Z1102" s="198"/>
    </row>
    <row r="1103" spans="1:26" ht="15.75" hidden="1" customHeight="1" x14ac:dyDescent="0.25">
      <c r="A1103" s="213">
        <v>44274</v>
      </c>
      <c r="B1103" s="214" t="s">
        <v>9595</v>
      </c>
      <c r="C1103" s="215" t="s">
        <v>580</v>
      </c>
      <c r="D1103" s="216">
        <v>743.49</v>
      </c>
      <c r="E1103" s="198"/>
      <c r="F1103" s="198"/>
      <c r="G1103" s="198"/>
      <c r="H1103" s="198"/>
      <c r="I1103" s="198"/>
      <c r="J1103" s="198"/>
      <c r="K1103" s="198"/>
      <c r="L1103" s="198"/>
      <c r="M1103" s="198"/>
      <c r="N1103" s="198"/>
      <c r="O1103" s="198"/>
      <c r="P1103" s="198"/>
      <c r="Q1103" s="198"/>
      <c r="R1103" s="198"/>
      <c r="S1103" s="198"/>
      <c r="T1103" s="198"/>
      <c r="U1103" s="198"/>
      <c r="V1103" s="198"/>
      <c r="W1103" s="198"/>
      <c r="X1103" s="198"/>
      <c r="Y1103" s="198"/>
      <c r="Z1103" s="198"/>
    </row>
    <row r="1104" spans="1:26" ht="15.75" hidden="1" customHeight="1" x14ac:dyDescent="0.25">
      <c r="A1104" s="213">
        <v>5086</v>
      </c>
      <c r="B1104" s="214" t="s">
        <v>9596</v>
      </c>
      <c r="C1104" s="215" t="s">
        <v>823</v>
      </c>
      <c r="D1104" s="216">
        <v>31.9</v>
      </c>
      <c r="E1104" s="198"/>
      <c r="F1104" s="198"/>
      <c r="G1104" s="198"/>
      <c r="H1104" s="198"/>
      <c r="I1104" s="198"/>
      <c r="J1104" s="198"/>
      <c r="K1104" s="198"/>
      <c r="L1104" s="198"/>
      <c r="M1104" s="198"/>
      <c r="N1104" s="198"/>
      <c r="O1104" s="198"/>
      <c r="P1104" s="198"/>
      <c r="Q1104" s="198"/>
      <c r="R1104" s="198"/>
      <c r="S1104" s="198"/>
      <c r="T1104" s="198"/>
      <c r="U1104" s="198"/>
      <c r="V1104" s="198"/>
      <c r="W1104" s="198"/>
      <c r="X1104" s="198"/>
      <c r="Y1104" s="198"/>
      <c r="Z1104" s="198"/>
    </row>
    <row r="1105" spans="1:26" ht="15.75" hidden="1" customHeight="1" x14ac:dyDescent="0.25">
      <c r="A1105" s="213">
        <v>11280</v>
      </c>
      <c r="B1105" s="214" t="s">
        <v>9597</v>
      </c>
      <c r="C1105" s="215" t="s">
        <v>580</v>
      </c>
      <c r="D1105" s="216">
        <v>12081.7</v>
      </c>
      <c r="E1105" s="198"/>
      <c r="F1105" s="198"/>
      <c r="G1105" s="198"/>
      <c r="H1105" s="198"/>
      <c r="I1105" s="198"/>
      <c r="J1105" s="198"/>
      <c r="K1105" s="198"/>
      <c r="L1105" s="198"/>
      <c r="M1105" s="198"/>
      <c r="N1105" s="198"/>
      <c r="O1105" s="198"/>
      <c r="P1105" s="198"/>
      <c r="Q1105" s="198"/>
      <c r="R1105" s="198"/>
      <c r="S1105" s="198"/>
      <c r="T1105" s="198"/>
      <c r="U1105" s="198"/>
      <c r="V1105" s="198"/>
      <c r="W1105" s="198"/>
      <c r="X1105" s="198"/>
      <c r="Y1105" s="198"/>
      <c r="Z1105" s="198"/>
    </row>
    <row r="1106" spans="1:26" ht="15.75" customHeight="1" x14ac:dyDescent="0.25">
      <c r="A1106" s="213">
        <v>40519</v>
      </c>
      <c r="B1106" s="214" t="s">
        <v>9598</v>
      </c>
      <c r="C1106" s="215" t="s">
        <v>580</v>
      </c>
      <c r="D1106" s="216">
        <v>99597.46</v>
      </c>
      <c r="E1106" s="198"/>
      <c r="F1106" s="198"/>
      <c r="G1106" s="198"/>
      <c r="H1106" s="198"/>
      <c r="I1106" s="198"/>
      <c r="J1106" s="198"/>
      <c r="K1106" s="198"/>
      <c r="L1106" s="198"/>
      <c r="M1106" s="198"/>
      <c r="N1106" s="198"/>
      <c r="O1106" s="198"/>
      <c r="P1106" s="198"/>
      <c r="Q1106" s="198"/>
      <c r="R1106" s="198"/>
      <c r="S1106" s="198"/>
      <c r="T1106" s="198"/>
      <c r="U1106" s="198"/>
      <c r="V1106" s="198"/>
      <c r="W1106" s="198"/>
      <c r="X1106" s="198"/>
      <c r="Y1106" s="198"/>
      <c r="Z1106" s="198"/>
    </row>
    <row r="1107" spans="1:26" ht="15.75" hidden="1" customHeight="1" x14ac:dyDescent="0.25">
      <c r="A1107" s="213">
        <v>43590</v>
      </c>
      <c r="B1107" s="214" t="s">
        <v>9599</v>
      </c>
      <c r="C1107" s="215" t="s">
        <v>580</v>
      </c>
      <c r="D1107" s="216">
        <v>148.33000000000001</v>
      </c>
      <c r="E1107" s="198"/>
      <c r="F1107" s="198"/>
      <c r="G1107" s="198"/>
      <c r="H1107" s="198"/>
      <c r="I1107" s="198"/>
      <c r="J1107" s="198"/>
      <c r="K1107" s="198"/>
      <c r="L1107" s="198"/>
      <c r="M1107" s="198"/>
      <c r="N1107" s="198"/>
      <c r="O1107" s="198"/>
      <c r="P1107" s="198"/>
      <c r="Q1107" s="198"/>
      <c r="R1107" s="198"/>
      <c r="S1107" s="198"/>
      <c r="T1107" s="198"/>
      <c r="U1107" s="198"/>
      <c r="V1107" s="198"/>
      <c r="W1107" s="198"/>
      <c r="X1107" s="198"/>
      <c r="Y1107" s="198"/>
      <c r="Z1107" s="198"/>
    </row>
    <row r="1108" spans="1:26" ht="15.75" hidden="1" customHeight="1" x14ac:dyDescent="0.25">
      <c r="A1108" s="213">
        <v>43589</v>
      </c>
      <c r="B1108" s="214" t="s">
        <v>9600</v>
      </c>
      <c r="C1108" s="215" t="s">
        <v>580</v>
      </c>
      <c r="D1108" s="216">
        <v>26.83</v>
      </c>
      <c r="E1108" s="198"/>
      <c r="F1108" s="198"/>
      <c r="G1108" s="198"/>
      <c r="H1108" s="198"/>
      <c r="I1108" s="198"/>
      <c r="J1108" s="198"/>
      <c r="K1108" s="198"/>
      <c r="L1108" s="198"/>
      <c r="M1108" s="198"/>
      <c r="N1108" s="198"/>
      <c r="O1108" s="198"/>
      <c r="P1108" s="198"/>
      <c r="Q1108" s="198"/>
      <c r="R1108" s="198"/>
      <c r="S1108" s="198"/>
      <c r="T1108" s="198"/>
      <c r="U1108" s="198"/>
      <c r="V1108" s="198"/>
      <c r="W1108" s="198"/>
      <c r="X1108" s="198"/>
      <c r="Y1108" s="198"/>
      <c r="Z1108" s="198"/>
    </row>
    <row r="1109" spans="1:26" ht="15.75" hidden="1" customHeight="1" x14ac:dyDescent="0.25">
      <c r="A1109" s="213">
        <v>10510</v>
      </c>
      <c r="B1109" s="214" t="s">
        <v>9601</v>
      </c>
      <c r="C1109" s="215" t="s">
        <v>580</v>
      </c>
      <c r="D1109" s="216">
        <v>193.82</v>
      </c>
      <c r="E1109" s="198"/>
      <c r="F1109" s="198"/>
      <c r="G1109" s="198"/>
      <c r="H1109" s="198"/>
      <c r="I1109" s="198"/>
      <c r="J1109" s="198"/>
      <c r="K1109" s="198"/>
      <c r="L1109" s="198"/>
      <c r="M1109" s="198"/>
      <c r="N1109" s="198"/>
      <c r="O1109" s="198"/>
      <c r="P1109" s="198"/>
      <c r="Q1109" s="198"/>
      <c r="R1109" s="198"/>
      <c r="S1109" s="198"/>
      <c r="T1109" s="198"/>
      <c r="U1109" s="198"/>
      <c r="V1109" s="198"/>
      <c r="W1109" s="198"/>
      <c r="X1109" s="198"/>
      <c r="Y1109" s="198"/>
      <c r="Z1109" s="198"/>
    </row>
    <row r="1110" spans="1:26" ht="15.75" hidden="1" customHeight="1" x14ac:dyDescent="0.25">
      <c r="A1110" s="213">
        <v>1744</v>
      </c>
      <c r="B1110" s="214" t="s">
        <v>9602</v>
      </c>
      <c r="C1110" s="215" t="s">
        <v>580</v>
      </c>
      <c r="D1110" s="216">
        <v>160.55000000000001</v>
      </c>
      <c r="E1110" s="198"/>
      <c r="F1110" s="198"/>
      <c r="G1110" s="198"/>
      <c r="H1110" s="198"/>
      <c r="I1110" s="198"/>
      <c r="J1110" s="198"/>
      <c r="K1110" s="198"/>
      <c r="L1110" s="198"/>
      <c r="M1110" s="198"/>
      <c r="N1110" s="198"/>
      <c r="O1110" s="198"/>
      <c r="P1110" s="198"/>
      <c r="Q1110" s="198"/>
      <c r="R1110" s="198"/>
      <c r="S1110" s="198"/>
      <c r="T1110" s="198"/>
      <c r="U1110" s="198"/>
      <c r="V1110" s="198"/>
      <c r="W1110" s="198"/>
      <c r="X1110" s="198"/>
      <c r="Y1110" s="198"/>
      <c r="Z1110" s="198"/>
    </row>
    <row r="1111" spans="1:26" ht="15.75" hidden="1" customHeight="1" x14ac:dyDescent="0.25">
      <c r="A1111" s="213">
        <v>1743</v>
      </c>
      <c r="B1111" s="214" t="s">
        <v>9603</v>
      </c>
      <c r="C1111" s="215" t="s">
        <v>580</v>
      </c>
      <c r="D1111" s="216">
        <v>210.83</v>
      </c>
      <c r="E1111" s="198"/>
      <c r="F1111" s="198"/>
      <c r="G1111" s="198"/>
      <c r="H1111" s="198"/>
      <c r="I1111" s="198"/>
      <c r="J1111" s="198"/>
      <c r="K1111" s="198"/>
      <c r="L1111" s="198"/>
      <c r="M1111" s="198"/>
      <c r="N1111" s="198"/>
      <c r="O1111" s="198"/>
      <c r="P1111" s="198"/>
      <c r="Q1111" s="198"/>
      <c r="R1111" s="198"/>
      <c r="S1111" s="198"/>
      <c r="T1111" s="198"/>
      <c r="U1111" s="198"/>
      <c r="V1111" s="198"/>
      <c r="W1111" s="198"/>
      <c r="X1111" s="198"/>
      <c r="Y1111" s="198"/>
      <c r="Z1111" s="198"/>
    </row>
    <row r="1112" spans="1:26" ht="15.75" hidden="1" customHeight="1" x14ac:dyDescent="0.25">
      <c r="A1112" s="213">
        <v>1747</v>
      </c>
      <c r="B1112" s="214" t="s">
        <v>9604</v>
      </c>
      <c r="C1112" s="215" t="s">
        <v>580</v>
      </c>
      <c r="D1112" s="216">
        <v>231.79</v>
      </c>
      <c r="E1112" s="198"/>
      <c r="F1112" s="198"/>
      <c r="G1112" s="198"/>
      <c r="H1112" s="198"/>
      <c r="I1112" s="198"/>
      <c r="J1112" s="198"/>
      <c r="K1112" s="198"/>
      <c r="L1112" s="198"/>
      <c r="M1112" s="198"/>
      <c r="N1112" s="198"/>
      <c r="O1112" s="198"/>
      <c r="P1112" s="198"/>
      <c r="Q1112" s="198"/>
      <c r="R1112" s="198"/>
      <c r="S1112" s="198"/>
      <c r="T1112" s="198"/>
      <c r="U1112" s="198"/>
      <c r="V1112" s="198"/>
      <c r="W1112" s="198"/>
      <c r="X1112" s="198"/>
      <c r="Y1112" s="198"/>
      <c r="Z1112" s="198"/>
    </row>
    <row r="1113" spans="1:26" ht="15.75" hidden="1" customHeight="1" x14ac:dyDescent="0.25">
      <c r="A1113" s="213">
        <v>39640</v>
      </c>
      <c r="B1113" s="214" t="s">
        <v>9605</v>
      </c>
      <c r="C1113" s="215" t="s">
        <v>580</v>
      </c>
      <c r="D1113" s="216">
        <v>12.26</v>
      </c>
      <c r="E1113" s="198"/>
      <c r="F1113" s="198"/>
      <c r="G1113" s="198"/>
      <c r="H1113" s="198"/>
      <c r="I1113" s="198"/>
      <c r="J1113" s="198"/>
      <c r="K1113" s="198"/>
      <c r="L1113" s="198"/>
      <c r="M1113" s="198"/>
      <c r="N1113" s="198"/>
      <c r="O1113" s="198"/>
      <c r="P1113" s="198"/>
      <c r="Q1113" s="198"/>
      <c r="R1113" s="198"/>
      <c r="S1113" s="198"/>
      <c r="T1113" s="198"/>
      <c r="U1113" s="198"/>
      <c r="V1113" s="198"/>
      <c r="W1113" s="198"/>
      <c r="X1113" s="198"/>
      <c r="Y1113" s="198"/>
      <c r="Z1113" s="198"/>
    </row>
    <row r="1114" spans="1:26" ht="15.75" hidden="1" customHeight="1" x14ac:dyDescent="0.25">
      <c r="A1114" s="213">
        <v>7216</v>
      </c>
      <c r="B1114" s="214" t="s">
        <v>9606</v>
      </c>
      <c r="C1114" s="215" t="s">
        <v>580</v>
      </c>
      <c r="D1114" s="216">
        <v>65.86</v>
      </c>
      <c r="E1114" s="198"/>
      <c r="F1114" s="198"/>
      <c r="G1114" s="198"/>
      <c r="H1114" s="198"/>
      <c r="I1114" s="198"/>
      <c r="J1114" s="198"/>
      <c r="K1114" s="198"/>
      <c r="L1114" s="198"/>
      <c r="M1114" s="198"/>
      <c r="N1114" s="198"/>
      <c r="O1114" s="198"/>
      <c r="P1114" s="198"/>
      <c r="Q1114" s="198"/>
      <c r="R1114" s="198"/>
      <c r="S1114" s="198"/>
      <c r="T1114" s="198"/>
      <c r="U1114" s="198"/>
      <c r="V1114" s="198"/>
      <c r="W1114" s="198"/>
      <c r="X1114" s="198"/>
      <c r="Y1114" s="198"/>
      <c r="Z1114" s="198"/>
    </row>
    <row r="1115" spans="1:26" ht="15.75" hidden="1" customHeight="1" x14ac:dyDescent="0.25">
      <c r="A1115" s="213">
        <v>20235</v>
      </c>
      <c r="B1115" s="214" t="s">
        <v>9607</v>
      </c>
      <c r="C1115" s="215" t="s">
        <v>580</v>
      </c>
      <c r="D1115" s="216">
        <v>52.95</v>
      </c>
      <c r="E1115" s="198"/>
      <c r="F1115" s="198"/>
      <c r="G1115" s="198"/>
      <c r="H1115" s="198"/>
      <c r="I1115" s="198"/>
      <c r="J1115" s="198"/>
      <c r="K1115" s="198"/>
      <c r="L1115" s="198"/>
      <c r="M1115" s="198"/>
      <c r="N1115" s="198"/>
      <c r="O1115" s="198"/>
      <c r="P1115" s="198"/>
      <c r="Q1115" s="198"/>
      <c r="R1115" s="198"/>
      <c r="S1115" s="198"/>
      <c r="T1115" s="198"/>
      <c r="U1115" s="198"/>
      <c r="V1115" s="198"/>
      <c r="W1115" s="198"/>
      <c r="X1115" s="198"/>
      <c r="Y1115" s="198"/>
      <c r="Z1115" s="198"/>
    </row>
    <row r="1116" spans="1:26" ht="15.75" hidden="1" customHeight="1" x14ac:dyDescent="0.25">
      <c r="A1116" s="213">
        <v>7181</v>
      </c>
      <c r="B1116" s="214" t="s">
        <v>9608</v>
      </c>
      <c r="C1116" s="215" t="s">
        <v>580</v>
      </c>
      <c r="D1116" s="216">
        <v>4.0199999999999996</v>
      </c>
      <c r="E1116" s="198"/>
      <c r="F1116" s="198"/>
      <c r="G1116" s="198"/>
      <c r="H1116" s="198"/>
      <c r="I1116" s="198"/>
      <c r="J1116" s="198"/>
      <c r="K1116" s="198"/>
      <c r="L1116" s="198"/>
      <c r="M1116" s="198"/>
      <c r="N1116" s="198"/>
      <c r="O1116" s="198"/>
      <c r="P1116" s="198"/>
      <c r="Q1116" s="198"/>
      <c r="R1116" s="198"/>
      <c r="S1116" s="198"/>
      <c r="T1116" s="198"/>
      <c r="U1116" s="198"/>
      <c r="V1116" s="198"/>
      <c r="W1116" s="198"/>
      <c r="X1116" s="198"/>
      <c r="Y1116" s="198"/>
      <c r="Z1116" s="198"/>
    </row>
    <row r="1117" spans="1:26" ht="15.75" hidden="1" customHeight="1" x14ac:dyDescent="0.25">
      <c r="A1117" s="213">
        <v>40742</v>
      </c>
      <c r="B1117" s="214" t="s">
        <v>9609</v>
      </c>
      <c r="C1117" s="215" t="s">
        <v>580</v>
      </c>
      <c r="D1117" s="216">
        <v>9.7200000000000006</v>
      </c>
      <c r="E1117" s="198"/>
      <c r="F1117" s="198"/>
      <c r="G1117" s="198"/>
      <c r="H1117" s="198"/>
      <c r="I1117" s="198"/>
      <c r="J1117" s="198"/>
      <c r="K1117" s="198"/>
      <c r="L1117" s="198"/>
      <c r="M1117" s="198"/>
      <c r="N1117" s="198"/>
      <c r="O1117" s="198"/>
      <c r="P1117" s="198"/>
      <c r="Q1117" s="198"/>
      <c r="R1117" s="198"/>
      <c r="S1117" s="198"/>
      <c r="T1117" s="198"/>
      <c r="U1117" s="198"/>
      <c r="V1117" s="198"/>
      <c r="W1117" s="198"/>
      <c r="X1117" s="198"/>
      <c r="Y1117" s="198"/>
      <c r="Z1117" s="198"/>
    </row>
    <row r="1118" spans="1:26" ht="15.75" hidden="1" customHeight="1" x14ac:dyDescent="0.25">
      <c r="A1118" s="213">
        <v>7214</v>
      </c>
      <c r="B1118" s="214" t="s">
        <v>9610</v>
      </c>
      <c r="C1118" s="215" t="s">
        <v>580</v>
      </c>
      <c r="D1118" s="216">
        <v>64.319999999999993</v>
      </c>
      <c r="E1118" s="198"/>
      <c r="F1118" s="198"/>
      <c r="G1118" s="198"/>
      <c r="H1118" s="198"/>
      <c r="I1118" s="198"/>
      <c r="J1118" s="198"/>
      <c r="K1118" s="198"/>
      <c r="L1118" s="198"/>
      <c r="M1118" s="198"/>
      <c r="N1118" s="198"/>
      <c r="O1118" s="198"/>
      <c r="P1118" s="198"/>
      <c r="Q1118" s="198"/>
      <c r="R1118" s="198"/>
      <c r="S1118" s="198"/>
      <c r="T1118" s="198"/>
      <c r="U1118" s="198"/>
      <c r="V1118" s="198"/>
      <c r="W1118" s="198"/>
      <c r="X1118" s="198"/>
      <c r="Y1118" s="198"/>
      <c r="Z1118" s="198"/>
    </row>
    <row r="1119" spans="1:26" ht="15.75" hidden="1" customHeight="1" x14ac:dyDescent="0.25">
      <c r="A1119" s="213">
        <v>7219</v>
      </c>
      <c r="B1119" s="214" t="s">
        <v>9611</v>
      </c>
      <c r="C1119" s="215" t="s">
        <v>580</v>
      </c>
      <c r="D1119" s="216">
        <v>57.05</v>
      </c>
      <c r="E1119" s="198"/>
      <c r="F1119" s="198"/>
      <c r="G1119" s="198"/>
      <c r="H1119" s="198"/>
      <c r="I1119" s="198"/>
      <c r="J1119" s="198"/>
      <c r="K1119" s="198"/>
      <c r="L1119" s="198"/>
      <c r="M1119" s="198"/>
      <c r="N1119" s="198"/>
      <c r="O1119" s="198"/>
      <c r="P1119" s="198"/>
      <c r="Q1119" s="198"/>
      <c r="R1119" s="198"/>
      <c r="S1119" s="198"/>
      <c r="T1119" s="198"/>
      <c r="U1119" s="198"/>
      <c r="V1119" s="198"/>
      <c r="W1119" s="198"/>
      <c r="X1119" s="198"/>
      <c r="Y1119" s="198"/>
      <c r="Z1119" s="198"/>
    </row>
    <row r="1120" spans="1:26" ht="15.75" hidden="1" customHeight="1" x14ac:dyDescent="0.25">
      <c r="A1120" s="213">
        <v>2628</v>
      </c>
      <c r="B1120" s="214" t="s">
        <v>9612</v>
      </c>
      <c r="C1120" s="215" t="s">
        <v>580</v>
      </c>
      <c r="D1120" s="216">
        <v>222.31</v>
      </c>
      <c r="E1120" s="198"/>
      <c r="F1120" s="198"/>
      <c r="G1120" s="198"/>
      <c r="H1120" s="198"/>
      <c r="I1120" s="198"/>
      <c r="J1120" s="198"/>
      <c r="K1120" s="198"/>
      <c r="L1120" s="198"/>
      <c r="M1120" s="198"/>
      <c r="N1120" s="198"/>
      <c r="O1120" s="198"/>
      <c r="P1120" s="198"/>
      <c r="Q1120" s="198"/>
      <c r="R1120" s="198"/>
      <c r="S1120" s="198"/>
      <c r="T1120" s="198"/>
      <c r="U1120" s="198"/>
      <c r="V1120" s="198"/>
      <c r="W1120" s="198"/>
      <c r="X1120" s="198"/>
      <c r="Y1120" s="198"/>
      <c r="Z1120" s="198"/>
    </row>
    <row r="1121" spans="1:26" ht="15.75" hidden="1" customHeight="1" x14ac:dyDescent="0.25">
      <c r="A1121" s="213">
        <v>2622</v>
      </c>
      <c r="B1121" s="214" t="s">
        <v>9613</v>
      </c>
      <c r="C1121" s="215" t="s">
        <v>580</v>
      </c>
      <c r="D1121" s="216">
        <v>5.28</v>
      </c>
      <c r="E1121" s="198"/>
      <c r="F1121" s="198"/>
      <c r="G1121" s="198"/>
      <c r="H1121" s="198"/>
      <c r="I1121" s="198"/>
      <c r="J1121" s="198"/>
      <c r="K1121" s="198"/>
      <c r="L1121" s="198"/>
      <c r="M1121" s="198"/>
      <c r="N1121" s="198"/>
      <c r="O1121" s="198"/>
      <c r="P1121" s="198"/>
      <c r="Q1121" s="198"/>
      <c r="R1121" s="198"/>
      <c r="S1121" s="198"/>
      <c r="T1121" s="198"/>
      <c r="U1121" s="198"/>
      <c r="V1121" s="198"/>
      <c r="W1121" s="198"/>
      <c r="X1121" s="198"/>
      <c r="Y1121" s="198"/>
      <c r="Z1121" s="198"/>
    </row>
    <row r="1122" spans="1:26" ht="15.75" hidden="1" customHeight="1" x14ac:dyDescent="0.25">
      <c r="A1122" s="213">
        <v>2623</v>
      </c>
      <c r="B1122" s="214" t="s">
        <v>9614</v>
      </c>
      <c r="C1122" s="215" t="s">
        <v>580</v>
      </c>
      <c r="D1122" s="216">
        <v>6.35</v>
      </c>
      <c r="E1122" s="198"/>
      <c r="F1122" s="198"/>
      <c r="G1122" s="198"/>
      <c r="H1122" s="198"/>
      <c r="I1122" s="198"/>
      <c r="J1122" s="198"/>
      <c r="K1122" s="198"/>
      <c r="L1122" s="198"/>
      <c r="M1122" s="198"/>
      <c r="N1122" s="198"/>
      <c r="O1122" s="198"/>
      <c r="P1122" s="198"/>
      <c r="Q1122" s="198"/>
      <c r="R1122" s="198"/>
      <c r="S1122" s="198"/>
      <c r="T1122" s="198"/>
      <c r="U1122" s="198"/>
      <c r="V1122" s="198"/>
      <c r="W1122" s="198"/>
      <c r="X1122" s="198"/>
      <c r="Y1122" s="198"/>
      <c r="Z1122" s="198"/>
    </row>
    <row r="1123" spans="1:26" ht="15.75" hidden="1" customHeight="1" x14ac:dyDescent="0.25">
      <c r="A1123" s="213">
        <v>2624</v>
      </c>
      <c r="B1123" s="214" t="s">
        <v>9615</v>
      </c>
      <c r="C1123" s="215" t="s">
        <v>580</v>
      </c>
      <c r="D1123" s="216">
        <v>10.1</v>
      </c>
      <c r="E1123" s="198"/>
      <c r="F1123" s="198"/>
      <c r="G1123" s="198"/>
      <c r="H1123" s="198"/>
      <c r="I1123" s="198"/>
      <c r="J1123" s="198"/>
      <c r="K1123" s="198"/>
      <c r="L1123" s="198"/>
      <c r="M1123" s="198"/>
      <c r="N1123" s="198"/>
      <c r="O1123" s="198"/>
      <c r="P1123" s="198"/>
      <c r="Q1123" s="198"/>
      <c r="R1123" s="198"/>
      <c r="S1123" s="198"/>
      <c r="T1123" s="198"/>
      <c r="U1123" s="198"/>
      <c r="V1123" s="198"/>
      <c r="W1123" s="198"/>
      <c r="X1123" s="198"/>
      <c r="Y1123" s="198"/>
      <c r="Z1123" s="198"/>
    </row>
    <row r="1124" spans="1:26" ht="15.75" hidden="1" customHeight="1" x14ac:dyDescent="0.25">
      <c r="A1124" s="213">
        <v>2625</v>
      </c>
      <c r="B1124" s="214" t="s">
        <v>9616</v>
      </c>
      <c r="C1124" s="215" t="s">
        <v>580</v>
      </c>
      <c r="D1124" s="216">
        <v>21.33</v>
      </c>
      <c r="E1124" s="198"/>
      <c r="F1124" s="198"/>
      <c r="G1124" s="198"/>
      <c r="H1124" s="198"/>
      <c r="I1124" s="198"/>
      <c r="J1124" s="198"/>
      <c r="K1124" s="198"/>
      <c r="L1124" s="198"/>
      <c r="M1124" s="198"/>
      <c r="N1124" s="198"/>
      <c r="O1124" s="198"/>
      <c r="P1124" s="198"/>
      <c r="Q1124" s="198"/>
      <c r="R1124" s="198"/>
      <c r="S1124" s="198"/>
      <c r="T1124" s="198"/>
      <c r="U1124" s="198"/>
      <c r="V1124" s="198"/>
      <c r="W1124" s="198"/>
      <c r="X1124" s="198"/>
      <c r="Y1124" s="198"/>
      <c r="Z1124" s="198"/>
    </row>
    <row r="1125" spans="1:26" ht="15.75" hidden="1" customHeight="1" x14ac:dyDescent="0.25">
      <c r="A1125" s="213">
        <v>2626</v>
      </c>
      <c r="B1125" s="214" t="s">
        <v>9617</v>
      </c>
      <c r="C1125" s="215" t="s">
        <v>580</v>
      </c>
      <c r="D1125" s="216">
        <v>31.25</v>
      </c>
      <c r="E1125" s="198"/>
      <c r="F1125" s="198"/>
      <c r="G1125" s="198"/>
      <c r="H1125" s="198"/>
      <c r="I1125" s="198"/>
      <c r="J1125" s="198"/>
      <c r="K1125" s="198"/>
      <c r="L1125" s="198"/>
      <c r="M1125" s="198"/>
      <c r="N1125" s="198"/>
      <c r="O1125" s="198"/>
      <c r="P1125" s="198"/>
      <c r="Q1125" s="198"/>
      <c r="R1125" s="198"/>
      <c r="S1125" s="198"/>
      <c r="T1125" s="198"/>
      <c r="U1125" s="198"/>
      <c r="V1125" s="198"/>
      <c r="W1125" s="198"/>
      <c r="X1125" s="198"/>
      <c r="Y1125" s="198"/>
      <c r="Z1125" s="198"/>
    </row>
    <row r="1126" spans="1:26" ht="15.75" hidden="1" customHeight="1" x14ac:dyDescent="0.25">
      <c r="A1126" s="213">
        <v>2630</v>
      </c>
      <c r="B1126" s="214" t="s">
        <v>9618</v>
      </c>
      <c r="C1126" s="215" t="s">
        <v>580</v>
      </c>
      <c r="D1126" s="216">
        <v>47.54</v>
      </c>
      <c r="E1126" s="198"/>
      <c r="F1126" s="198"/>
      <c r="G1126" s="198"/>
      <c r="H1126" s="198"/>
      <c r="I1126" s="198"/>
      <c r="J1126" s="198"/>
      <c r="K1126" s="198"/>
      <c r="L1126" s="198"/>
      <c r="M1126" s="198"/>
      <c r="N1126" s="198"/>
      <c r="O1126" s="198"/>
      <c r="P1126" s="198"/>
      <c r="Q1126" s="198"/>
      <c r="R1126" s="198"/>
      <c r="S1126" s="198"/>
      <c r="T1126" s="198"/>
      <c r="U1126" s="198"/>
      <c r="V1126" s="198"/>
      <c r="W1126" s="198"/>
      <c r="X1126" s="198"/>
      <c r="Y1126" s="198"/>
      <c r="Z1126" s="198"/>
    </row>
    <row r="1127" spans="1:26" ht="15.75" hidden="1" customHeight="1" x14ac:dyDescent="0.25">
      <c r="A1127" s="213">
        <v>2627</v>
      </c>
      <c r="B1127" s="214" t="s">
        <v>9619</v>
      </c>
      <c r="C1127" s="215" t="s">
        <v>580</v>
      </c>
      <c r="D1127" s="216">
        <v>83.73</v>
      </c>
      <c r="E1127" s="198"/>
      <c r="F1127" s="198"/>
      <c r="G1127" s="198"/>
      <c r="H1127" s="198"/>
      <c r="I1127" s="198"/>
      <c r="J1127" s="198"/>
      <c r="K1127" s="198"/>
      <c r="L1127" s="198"/>
      <c r="M1127" s="198"/>
      <c r="N1127" s="198"/>
      <c r="O1127" s="198"/>
      <c r="P1127" s="198"/>
      <c r="Q1127" s="198"/>
      <c r="R1127" s="198"/>
      <c r="S1127" s="198"/>
      <c r="T1127" s="198"/>
      <c r="U1127" s="198"/>
      <c r="V1127" s="198"/>
      <c r="W1127" s="198"/>
      <c r="X1127" s="198"/>
      <c r="Y1127" s="198"/>
      <c r="Z1127" s="198"/>
    </row>
    <row r="1128" spans="1:26" ht="15.75" hidden="1" customHeight="1" x14ac:dyDescent="0.25">
      <c r="A1128" s="213">
        <v>2629</v>
      </c>
      <c r="B1128" s="214" t="s">
        <v>9620</v>
      </c>
      <c r="C1128" s="215" t="s">
        <v>580</v>
      </c>
      <c r="D1128" s="216">
        <v>113.25</v>
      </c>
      <c r="E1128" s="198"/>
      <c r="F1128" s="198"/>
      <c r="G1128" s="198"/>
      <c r="H1128" s="198"/>
      <c r="I1128" s="198"/>
      <c r="J1128" s="198"/>
      <c r="K1128" s="198"/>
      <c r="L1128" s="198"/>
      <c r="M1128" s="198"/>
      <c r="N1128" s="198"/>
      <c r="O1128" s="198"/>
      <c r="P1128" s="198"/>
      <c r="Q1128" s="198"/>
      <c r="R1128" s="198"/>
      <c r="S1128" s="198"/>
      <c r="T1128" s="198"/>
      <c r="U1128" s="198"/>
      <c r="V1128" s="198"/>
      <c r="W1128" s="198"/>
      <c r="X1128" s="198"/>
      <c r="Y1128" s="198"/>
      <c r="Z1128" s="198"/>
    </row>
    <row r="1129" spans="1:26" ht="15.75" hidden="1" customHeight="1" x14ac:dyDescent="0.25">
      <c r="A1129" s="213">
        <v>1880</v>
      </c>
      <c r="B1129" s="214" t="s">
        <v>9621</v>
      </c>
      <c r="C1129" s="215" t="s">
        <v>580</v>
      </c>
      <c r="D1129" s="216">
        <v>5.34</v>
      </c>
      <c r="E1129" s="198"/>
      <c r="F1129" s="198"/>
      <c r="G1129" s="198"/>
      <c r="H1129" s="198"/>
      <c r="I1129" s="198"/>
      <c r="J1129" s="198"/>
      <c r="K1129" s="198"/>
      <c r="L1129" s="198"/>
      <c r="M1129" s="198"/>
      <c r="N1129" s="198"/>
      <c r="O1129" s="198"/>
      <c r="P1129" s="198"/>
      <c r="Q1129" s="198"/>
      <c r="R1129" s="198"/>
      <c r="S1129" s="198"/>
      <c r="T1129" s="198"/>
      <c r="U1129" s="198"/>
      <c r="V1129" s="198"/>
      <c r="W1129" s="198"/>
      <c r="X1129" s="198"/>
      <c r="Y1129" s="198"/>
      <c r="Z1129" s="198"/>
    </row>
    <row r="1130" spans="1:26" ht="15.75" hidden="1" customHeight="1" x14ac:dyDescent="0.25">
      <c r="A1130" s="213">
        <v>39274</v>
      </c>
      <c r="B1130" s="214" t="s">
        <v>9622</v>
      </c>
      <c r="C1130" s="215" t="s">
        <v>580</v>
      </c>
      <c r="D1130" s="216">
        <v>4.1399999999999997</v>
      </c>
      <c r="E1130" s="198"/>
      <c r="F1130" s="198"/>
      <c r="G1130" s="198"/>
      <c r="H1130" s="198"/>
      <c r="I1130" s="198"/>
      <c r="J1130" s="198"/>
      <c r="K1130" s="198"/>
      <c r="L1130" s="198"/>
      <c r="M1130" s="198"/>
      <c r="N1130" s="198"/>
      <c r="O1130" s="198"/>
      <c r="P1130" s="198"/>
      <c r="Q1130" s="198"/>
      <c r="R1130" s="198"/>
      <c r="S1130" s="198"/>
      <c r="T1130" s="198"/>
      <c r="U1130" s="198"/>
      <c r="V1130" s="198"/>
      <c r="W1130" s="198"/>
      <c r="X1130" s="198"/>
      <c r="Y1130" s="198"/>
      <c r="Z1130" s="198"/>
    </row>
    <row r="1131" spans="1:26" ht="15.75" hidden="1" customHeight="1" x14ac:dyDescent="0.25">
      <c r="A1131" s="213">
        <v>12033</v>
      </c>
      <c r="B1131" s="214" t="s">
        <v>9623</v>
      </c>
      <c r="C1131" s="215" t="s">
        <v>580</v>
      </c>
      <c r="D1131" s="216">
        <v>17.03</v>
      </c>
      <c r="E1131" s="198"/>
      <c r="F1131" s="198"/>
      <c r="G1131" s="198"/>
      <c r="H1131" s="198"/>
      <c r="I1131" s="198"/>
      <c r="J1131" s="198"/>
      <c r="K1131" s="198"/>
      <c r="L1131" s="198"/>
      <c r="M1131" s="198"/>
      <c r="N1131" s="198"/>
      <c r="O1131" s="198"/>
      <c r="P1131" s="198"/>
      <c r="Q1131" s="198"/>
      <c r="R1131" s="198"/>
      <c r="S1131" s="198"/>
      <c r="T1131" s="198"/>
      <c r="U1131" s="198"/>
      <c r="V1131" s="198"/>
      <c r="W1131" s="198"/>
      <c r="X1131" s="198"/>
      <c r="Y1131" s="198"/>
      <c r="Z1131" s="198"/>
    </row>
    <row r="1132" spans="1:26" ht="15.75" hidden="1" customHeight="1" x14ac:dyDescent="0.25">
      <c r="A1132" s="213">
        <v>40408</v>
      </c>
      <c r="B1132" s="214" t="s">
        <v>9624</v>
      </c>
      <c r="C1132" s="215" t="s">
        <v>580</v>
      </c>
      <c r="D1132" s="216">
        <v>11.19</v>
      </c>
      <c r="E1132" s="198"/>
      <c r="F1132" s="198"/>
      <c r="G1132" s="198"/>
      <c r="H1132" s="198"/>
      <c r="I1132" s="198"/>
      <c r="J1132" s="198"/>
      <c r="K1132" s="198"/>
      <c r="L1132" s="198"/>
      <c r="M1132" s="198"/>
      <c r="N1132" s="198"/>
      <c r="O1132" s="198"/>
      <c r="P1132" s="198"/>
      <c r="Q1132" s="198"/>
      <c r="R1132" s="198"/>
      <c r="S1132" s="198"/>
      <c r="T1132" s="198"/>
      <c r="U1132" s="198"/>
      <c r="V1132" s="198"/>
      <c r="W1132" s="198"/>
      <c r="X1132" s="198"/>
      <c r="Y1132" s="198"/>
      <c r="Z1132" s="198"/>
    </row>
    <row r="1133" spans="1:26" ht="15.75" hidden="1" customHeight="1" x14ac:dyDescent="0.25">
      <c r="A1133" s="213">
        <v>39276</v>
      </c>
      <c r="B1133" s="214" t="s">
        <v>9625</v>
      </c>
      <c r="C1133" s="215" t="s">
        <v>580</v>
      </c>
      <c r="D1133" s="216">
        <v>10.08</v>
      </c>
      <c r="E1133" s="198"/>
      <c r="F1133" s="198"/>
      <c r="G1133" s="198"/>
      <c r="H1133" s="198"/>
      <c r="I1133" s="198"/>
      <c r="J1133" s="198"/>
      <c r="K1133" s="198"/>
      <c r="L1133" s="198"/>
      <c r="M1133" s="198"/>
      <c r="N1133" s="198"/>
      <c r="O1133" s="198"/>
      <c r="P1133" s="198"/>
      <c r="Q1133" s="198"/>
      <c r="R1133" s="198"/>
      <c r="S1133" s="198"/>
      <c r="T1133" s="198"/>
      <c r="U1133" s="198"/>
      <c r="V1133" s="198"/>
      <c r="W1133" s="198"/>
      <c r="X1133" s="198"/>
      <c r="Y1133" s="198"/>
      <c r="Z1133" s="198"/>
    </row>
    <row r="1134" spans="1:26" ht="15.75" hidden="1" customHeight="1" x14ac:dyDescent="0.25">
      <c r="A1134" s="213">
        <v>40409</v>
      </c>
      <c r="B1134" s="214" t="s">
        <v>9626</v>
      </c>
      <c r="C1134" s="215" t="s">
        <v>580</v>
      </c>
      <c r="D1134" s="216">
        <v>3.96</v>
      </c>
      <c r="E1134" s="198"/>
      <c r="F1134" s="198"/>
      <c r="G1134" s="198"/>
      <c r="H1134" s="198"/>
      <c r="I1134" s="198"/>
      <c r="J1134" s="198"/>
      <c r="K1134" s="198"/>
      <c r="L1134" s="198"/>
      <c r="M1134" s="198"/>
      <c r="N1134" s="198"/>
      <c r="O1134" s="198"/>
      <c r="P1134" s="198"/>
      <c r="Q1134" s="198"/>
      <c r="R1134" s="198"/>
      <c r="S1134" s="198"/>
      <c r="T1134" s="198"/>
      <c r="U1134" s="198"/>
      <c r="V1134" s="198"/>
      <c r="W1134" s="198"/>
      <c r="X1134" s="198"/>
      <c r="Y1134" s="198"/>
      <c r="Z1134" s="198"/>
    </row>
    <row r="1135" spans="1:26" ht="15.75" hidden="1" customHeight="1" x14ac:dyDescent="0.25">
      <c r="A1135" s="213">
        <v>39277</v>
      </c>
      <c r="B1135" s="214" t="s">
        <v>9627</v>
      </c>
      <c r="C1135" s="215" t="s">
        <v>580</v>
      </c>
      <c r="D1135" s="216">
        <v>27.23</v>
      </c>
      <c r="E1135" s="198"/>
      <c r="F1135" s="198"/>
      <c r="G1135" s="198"/>
      <c r="H1135" s="198"/>
      <c r="I1135" s="198"/>
      <c r="J1135" s="198"/>
      <c r="K1135" s="198"/>
      <c r="L1135" s="198"/>
      <c r="M1135" s="198"/>
      <c r="N1135" s="198"/>
      <c r="O1135" s="198"/>
      <c r="P1135" s="198"/>
      <c r="Q1135" s="198"/>
      <c r="R1135" s="198"/>
      <c r="S1135" s="198"/>
      <c r="T1135" s="198"/>
      <c r="U1135" s="198"/>
      <c r="V1135" s="198"/>
      <c r="W1135" s="198"/>
      <c r="X1135" s="198"/>
      <c r="Y1135" s="198"/>
      <c r="Z1135" s="198"/>
    </row>
    <row r="1136" spans="1:26" ht="15.75" hidden="1" customHeight="1" x14ac:dyDescent="0.25">
      <c r="A1136" s="213">
        <v>12034</v>
      </c>
      <c r="B1136" s="214" t="s">
        <v>9628</v>
      </c>
      <c r="C1136" s="215" t="s">
        <v>580</v>
      </c>
      <c r="D1136" s="216">
        <v>7.72</v>
      </c>
      <c r="E1136" s="198"/>
      <c r="F1136" s="198"/>
      <c r="G1136" s="198"/>
      <c r="H1136" s="198"/>
      <c r="I1136" s="198"/>
      <c r="J1136" s="198"/>
      <c r="K1136" s="198"/>
      <c r="L1136" s="198"/>
      <c r="M1136" s="198"/>
      <c r="N1136" s="198"/>
      <c r="O1136" s="198"/>
      <c r="P1136" s="198"/>
      <c r="Q1136" s="198"/>
      <c r="R1136" s="198"/>
      <c r="S1136" s="198"/>
      <c r="T1136" s="198"/>
      <c r="U1136" s="198"/>
      <c r="V1136" s="198"/>
      <c r="W1136" s="198"/>
      <c r="X1136" s="198"/>
      <c r="Y1136" s="198"/>
      <c r="Z1136" s="198"/>
    </row>
    <row r="1137" spans="1:26" ht="15.75" hidden="1" customHeight="1" x14ac:dyDescent="0.25">
      <c r="A1137" s="213">
        <v>2609</v>
      </c>
      <c r="B1137" s="214" t="s">
        <v>9629</v>
      </c>
      <c r="C1137" s="215" t="s">
        <v>580</v>
      </c>
      <c r="D1137" s="216">
        <v>4.96</v>
      </c>
      <c r="E1137" s="198"/>
      <c r="F1137" s="198"/>
      <c r="G1137" s="198"/>
      <c r="H1137" s="198"/>
      <c r="I1137" s="198"/>
      <c r="J1137" s="198"/>
      <c r="K1137" s="198"/>
      <c r="L1137" s="198"/>
      <c r="M1137" s="198"/>
      <c r="N1137" s="198"/>
      <c r="O1137" s="198"/>
      <c r="P1137" s="198"/>
      <c r="Q1137" s="198"/>
      <c r="R1137" s="198"/>
      <c r="S1137" s="198"/>
      <c r="T1137" s="198"/>
      <c r="U1137" s="198"/>
      <c r="V1137" s="198"/>
      <c r="W1137" s="198"/>
      <c r="X1137" s="198"/>
      <c r="Y1137" s="198"/>
      <c r="Z1137" s="198"/>
    </row>
    <row r="1138" spans="1:26" ht="15.75" hidden="1" customHeight="1" x14ac:dyDescent="0.25">
      <c r="A1138" s="213">
        <v>2634</v>
      </c>
      <c r="B1138" s="214" t="s">
        <v>9630</v>
      </c>
      <c r="C1138" s="215" t="s">
        <v>580</v>
      </c>
      <c r="D1138" s="216">
        <v>6.51</v>
      </c>
      <c r="E1138" s="198"/>
      <c r="F1138" s="198"/>
      <c r="G1138" s="198"/>
      <c r="H1138" s="198"/>
      <c r="I1138" s="198"/>
      <c r="J1138" s="198"/>
      <c r="K1138" s="198"/>
      <c r="L1138" s="198"/>
      <c r="M1138" s="198"/>
      <c r="N1138" s="198"/>
      <c r="O1138" s="198"/>
      <c r="P1138" s="198"/>
      <c r="Q1138" s="198"/>
      <c r="R1138" s="198"/>
      <c r="S1138" s="198"/>
      <c r="T1138" s="198"/>
      <c r="U1138" s="198"/>
      <c r="V1138" s="198"/>
      <c r="W1138" s="198"/>
      <c r="X1138" s="198"/>
      <c r="Y1138" s="198"/>
      <c r="Z1138" s="198"/>
    </row>
    <row r="1139" spans="1:26" ht="15.75" hidden="1" customHeight="1" x14ac:dyDescent="0.25">
      <c r="A1139" s="213">
        <v>2611</v>
      </c>
      <c r="B1139" s="214" t="s">
        <v>9631</v>
      </c>
      <c r="C1139" s="215" t="s">
        <v>580</v>
      </c>
      <c r="D1139" s="216">
        <v>18.36</v>
      </c>
      <c r="E1139" s="198"/>
      <c r="F1139" s="198"/>
      <c r="G1139" s="198"/>
      <c r="H1139" s="198"/>
      <c r="I1139" s="198"/>
      <c r="J1139" s="198"/>
      <c r="K1139" s="198"/>
      <c r="L1139" s="198"/>
      <c r="M1139" s="198"/>
      <c r="N1139" s="198"/>
      <c r="O1139" s="198"/>
      <c r="P1139" s="198"/>
      <c r="Q1139" s="198"/>
      <c r="R1139" s="198"/>
      <c r="S1139" s="198"/>
      <c r="T1139" s="198"/>
      <c r="U1139" s="198"/>
      <c r="V1139" s="198"/>
      <c r="W1139" s="198"/>
      <c r="X1139" s="198"/>
      <c r="Y1139" s="198"/>
      <c r="Z1139" s="198"/>
    </row>
    <row r="1140" spans="1:26" ht="15.75" hidden="1" customHeight="1" x14ac:dyDescent="0.25">
      <c r="A1140" s="213">
        <v>34359</v>
      </c>
      <c r="B1140" s="214" t="s">
        <v>9632</v>
      </c>
      <c r="C1140" s="215" t="s">
        <v>580</v>
      </c>
      <c r="D1140" s="216">
        <v>14.65</v>
      </c>
      <c r="E1140" s="198"/>
      <c r="F1140" s="198"/>
      <c r="G1140" s="198"/>
      <c r="H1140" s="198"/>
      <c r="I1140" s="198"/>
      <c r="J1140" s="198"/>
      <c r="K1140" s="198"/>
      <c r="L1140" s="198"/>
      <c r="M1140" s="198"/>
      <c r="N1140" s="198"/>
      <c r="O1140" s="198"/>
      <c r="P1140" s="198"/>
      <c r="Q1140" s="198"/>
      <c r="R1140" s="198"/>
      <c r="S1140" s="198"/>
      <c r="T1140" s="198"/>
      <c r="U1140" s="198"/>
      <c r="V1140" s="198"/>
      <c r="W1140" s="198"/>
      <c r="X1140" s="198"/>
      <c r="Y1140" s="198"/>
      <c r="Z1140" s="198"/>
    </row>
    <row r="1141" spans="1:26" ht="15.75" hidden="1" customHeight="1" x14ac:dyDescent="0.25">
      <c r="A1141" s="213">
        <v>2621</v>
      </c>
      <c r="B1141" s="214" t="s">
        <v>9633</v>
      </c>
      <c r="C1141" s="215" t="s">
        <v>580</v>
      </c>
      <c r="D1141" s="216">
        <v>157.07</v>
      </c>
      <c r="E1141" s="198"/>
      <c r="F1141" s="198"/>
      <c r="G1141" s="198"/>
      <c r="H1141" s="198"/>
      <c r="I1141" s="198"/>
      <c r="J1141" s="198"/>
      <c r="K1141" s="198"/>
      <c r="L1141" s="198"/>
      <c r="M1141" s="198"/>
      <c r="N1141" s="198"/>
      <c r="O1141" s="198"/>
      <c r="P1141" s="198"/>
      <c r="Q1141" s="198"/>
      <c r="R1141" s="198"/>
      <c r="S1141" s="198"/>
      <c r="T1141" s="198"/>
      <c r="U1141" s="198"/>
      <c r="V1141" s="198"/>
      <c r="W1141" s="198"/>
      <c r="X1141" s="198"/>
      <c r="Y1141" s="198"/>
      <c r="Z1141" s="198"/>
    </row>
    <row r="1142" spans="1:26" ht="15.75" hidden="1" customHeight="1" x14ac:dyDescent="0.25">
      <c r="A1142" s="213">
        <v>2616</v>
      </c>
      <c r="B1142" s="214" t="s">
        <v>9634</v>
      </c>
      <c r="C1142" s="215" t="s">
        <v>580</v>
      </c>
      <c r="D1142" s="216">
        <v>4.4400000000000004</v>
      </c>
      <c r="E1142" s="198"/>
      <c r="F1142" s="198"/>
      <c r="G1142" s="198"/>
      <c r="H1142" s="198"/>
      <c r="I1142" s="198"/>
      <c r="J1142" s="198"/>
      <c r="K1142" s="198"/>
      <c r="L1142" s="198"/>
      <c r="M1142" s="198"/>
      <c r="N1142" s="198"/>
      <c r="O1142" s="198"/>
      <c r="P1142" s="198"/>
      <c r="Q1142" s="198"/>
      <c r="R1142" s="198"/>
      <c r="S1142" s="198"/>
      <c r="T1142" s="198"/>
      <c r="U1142" s="198"/>
      <c r="V1142" s="198"/>
      <c r="W1142" s="198"/>
      <c r="X1142" s="198"/>
      <c r="Y1142" s="198"/>
      <c r="Z1142" s="198"/>
    </row>
    <row r="1143" spans="1:26" ht="15.75" hidden="1" customHeight="1" x14ac:dyDescent="0.25">
      <c r="A1143" s="213">
        <v>2633</v>
      </c>
      <c r="B1143" s="214" t="s">
        <v>9635</v>
      </c>
      <c r="C1143" s="215" t="s">
        <v>580</v>
      </c>
      <c r="D1143" s="216">
        <v>5.03</v>
      </c>
      <c r="E1143" s="198"/>
      <c r="F1143" s="198"/>
      <c r="G1143" s="198"/>
      <c r="H1143" s="198"/>
      <c r="I1143" s="198"/>
      <c r="J1143" s="198"/>
      <c r="K1143" s="198"/>
      <c r="L1143" s="198"/>
      <c r="M1143" s="198"/>
      <c r="N1143" s="198"/>
      <c r="O1143" s="198"/>
      <c r="P1143" s="198"/>
      <c r="Q1143" s="198"/>
      <c r="R1143" s="198"/>
      <c r="S1143" s="198"/>
      <c r="T1143" s="198"/>
      <c r="U1143" s="198"/>
      <c r="V1143" s="198"/>
      <c r="W1143" s="198"/>
      <c r="X1143" s="198"/>
      <c r="Y1143" s="198"/>
      <c r="Z1143" s="198"/>
    </row>
    <row r="1144" spans="1:26" ht="15.75" hidden="1" customHeight="1" x14ac:dyDescent="0.25">
      <c r="A1144" s="213">
        <v>2617</v>
      </c>
      <c r="B1144" s="214" t="s">
        <v>9636</v>
      </c>
      <c r="C1144" s="215" t="s">
        <v>580</v>
      </c>
      <c r="D1144" s="216">
        <v>6.83</v>
      </c>
      <c r="E1144" s="198"/>
      <c r="F1144" s="198"/>
      <c r="G1144" s="198"/>
      <c r="H1144" s="198"/>
      <c r="I1144" s="198"/>
      <c r="J1144" s="198"/>
      <c r="K1144" s="198"/>
      <c r="L1144" s="198"/>
      <c r="M1144" s="198"/>
      <c r="N1144" s="198"/>
      <c r="O1144" s="198"/>
      <c r="P1144" s="198"/>
      <c r="Q1144" s="198"/>
      <c r="R1144" s="198"/>
      <c r="S1144" s="198"/>
      <c r="T1144" s="198"/>
      <c r="U1144" s="198"/>
      <c r="V1144" s="198"/>
      <c r="W1144" s="198"/>
      <c r="X1144" s="198"/>
      <c r="Y1144" s="198"/>
      <c r="Z1144" s="198"/>
    </row>
    <row r="1145" spans="1:26" ht="15.75" hidden="1" customHeight="1" x14ac:dyDescent="0.25">
      <c r="A1145" s="213">
        <v>2618</v>
      </c>
      <c r="B1145" s="214" t="s">
        <v>9637</v>
      </c>
      <c r="C1145" s="215" t="s">
        <v>580</v>
      </c>
      <c r="D1145" s="216">
        <v>15.56</v>
      </c>
      <c r="E1145" s="198"/>
      <c r="F1145" s="198"/>
      <c r="G1145" s="198"/>
      <c r="H1145" s="198"/>
      <c r="I1145" s="198"/>
      <c r="J1145" s="198"/>
      <c r="K1145" s="198"/>
      <c r="L1145" s="198"/>
      <c r="M1145" s="198"/>
      <c r="N1145" s="198"/>
      <c r="O1145" s="198"/>
      <c r="P1145" s="198"/>
      <c r="Q1145" s="198"/>
      <c r="R1145" s="198"/>
      <c r="S1145" s="198"/>
      <c r="T1145" s="198"/>
      <c r="U1145" s="198"/>
      <c r="V1145" s="198"/>
      <c r="W1145" s="198"/>
      <c r="X1145" s="198"/>
      <c r="Y1145" s="198"/>
      <c r="Z1145" s="198"/>
    </row>
    <row r="1146" spans="1:26" ht="15.75" hidden="1" customHeight="1" x14ac:dyDescent="0.25">
      <c r="A1146" s="213">
        <v>2632</v>
      </c>
      <c r="B1146" s="214" t="s">
        <v>9638</v>
      </c>
      <c r="C1146" s="215" t="s">
        <v>580</v>
      </c>
      <c r="D1146" s="216">
        <v>18.97</v>
      </c>
      <c r="E1146" s="198"/>
      <c r="F1146" s="198"/>
      <c r="G1146" s="198"/>
      <c r="H1146" s="198"/>
      <c r="I1146" s="198"/>
      <c r="J1146" s="198"/>
      <c r="K1146" s="198"/>
      <c r="L1146" s="198"/>
      <c r="M1146" s="198"/>
      <c r="N1146" s="198"/>
      <c r="O1146" s="198"/>
      <c r="P1146" s="198"/>
      <c r="Q1146" s="198"/>
      <c r="R1146" s="198"/>
      <c r="S1146" s="198"/>
      <c r="T1146" s="198"/>
      <c r="U1146" s="198"/>
      <c r="V1146" s="198"/>
      <c r="W1146" s="198"/>
      <c r="X1146" s="198"/>
      <c r="Y1146" s="198"/>
      <c r="Z1146" s="198"/>
    </row>
    <row r="1147" spans="1:26" ht="15.75" hidden="1" customHeight="1" x14ac:dyDescent="0.25">
      <c r="A1147" s="213">
        <v>2631</v>
      </c>
      <c r="B1147" s="214" t="s">
        <v>9639</v>
      </c>
      <c r="C1147" s="215" t="s">
        <v>580</v>
      </c>
      <c r="D1147" s="216">
        <v>27.86</v>
      </c>
      <c r="E1147" s="198"/>
      <c r="F1147" s="198"/>
      <c r="G1147" s="198"/>
      <c r="H1147" s="198"/>
      <c r="I1147" s="198"/>
      <c r="J1147" s="198"/>
      <c r="K1147" s="198"/>
      <c r="L1147" s="198"/>
      <c r="M1147" s="198"/>
      <c r="N1147" s="198"/>
      <c r="O1147" s="198"/>
      <c r="P1147" s="198"/>
      <c r="Q1147" s="198"/>
      <c r="R1147" s="198"/>
      <c r="S1147" s="198"/>
      <c r="T1147" s="198"/>
      <c r="U1147" s="198"/>
      <c r="V1147" s="198"/>
      <c r="W1147" s="198"/>
      <c r="X1147" s="198"/>
      <c r="Y1147" s="198"/>
      <c r="Z1147" s="198"/>
    </row>
    <row r="1148" spans="1:26" ht="15.75" hidden="1" customHeight="1" x14ac:dyDescent="0.25">
      <c r="A1148" s="213">
        <v>2619</v>
      </c>
      <c r="B1148" s="214" t="s">
        <v>9640</v>
      </c>
      <c r="C1148" s="215" t="s">
        <v>580</v>
      </c>
      <c r="D1148" s="216">
        <v>70.540000000000006</v>
      </c>
      <c r="E1148" s="198"/>
      <c r="F1148" s="198"/>
      <c r="G1148" s="198"/>
      <c r="H1148" s="198"/>
      <c r="I1148" s="198"/>
      <c r="J1148" s="198"/>
      <c r="K1148" s="198"/>
      <c r="L1148" s="198"/>
      <c r="M1148" s="198"/>
      <c r="N1148" s="198"/>
      <c r="O1148" s="198"/>
      <c r="P1148" s="198"/>
      <c r="Q1148" s="198"/>
      <c r="R1148" s="198"/>
      <c r="S1148" s="198"/>
      <c r="T1148" s="198"/>
      <c r="U1148" s="198"/>
      <c r="V1148" s="198"/>
      <c r="W1148" s="198"/>
      <c r="X1148" s="198"/>
      <c r="Y1148" s="198"/>
      <c r="Z1148" s="198"/>
    </row>
    <row r="1149" spans="1:26" ht="15.75" hidden="1" customHeight="1" x14ac:dyDescent="0.25">
      <c r="A1149" s="213">
        <v>2620</v>
      </c>
      <c r="B1149" s="214" t="s">
        <v>9641</v>
      </c>
      <c r="C1149" s="215" t="s">
        <v>580</v>
      </c>
      <c r="D1149" s="216">
        <v>92.61</v>
      </c>
      <c r="E1149" s="198"/>
      <c r="F1149" s="198"/>
      <c r="G1149" s="198"/>
      <c r="H1149" s="198"/>
      <c r="I1149" s="198"/>
      <c r="J1149" s="198"/>
      <c r="K1149" s="198"/>
      <c r="L1149" s="198"/>
      <c r="M1149" s="198"/>
      <c r="N1149" s="198"/>
      <c r="O1149" s="198"/>
      <c r="P1149" s="198"/>
      <c r="Q1149" s="198"/>
      <c r="R1149" s="198"/>
      <c r="S1149" s="198"/>
      <c r="T1149" s="198"/>
      <c r="U1149" s="198"/>
      <c r="V1149" s="198"/>
      <c r="W1149" s="198"/>
      <c r="X1149" s="198"/>
      <c r="Y1149" s="198"/>
      <c r="Z1149" s="198"/>
    </row>
    <row r="1150" spans="1:26" ht="15.75" hidden="1" customHeight="1" x14ac:dyDescent="0.25">
      <c r="A1150" s="213">
        <v>39273</v>
      </c>
      <c r="B1150" s="214" t="s">
        <v>9642</v>
      </c>
      <c r="C1150" s="215" t="s">
        <v>580</v>
      </c>
      <c r="D1150" s="216">
        <v>5.82</v>
      </c>
      <c r="E1150" s="198"/>
      <c r="F1150" s="198"/>
      <c r="G1150" s="198"/>
      <c r="H1150" s="198"/>
      <c r="I1150" s="198"/>
      <c r="J1150" s="198"/>
      <c r="K1150" s="198"/>
      <c r="L1150" s="198"/>
      <c r="M1150" s="198"/>
      <c r="N1150" s="198"/>
      <c r="O1150" s="198"/>
      <c r="P1150" s="198"/>
      <c r="Q1150" s="198"/>
      <c r="R1150" s="198"/>
      <c r="S1150" s="198"/>
      <c r="T1150" s="198"/>
      <c r="U1150" s="198"/>
      <c r="V1150" s="198"/>
      <c r="W1150" s="198"/>
      <c r="X1150" s="198"/>
      <c r="Y1150" s="198"/>
      <c r="Z1150" s="198"/>
    </row>
    <row r="1151" spans="1:26" ht="15.75" hidden="1" customHeight="1" x14ac:dyDescent="0.25">
      <c r="A1151" s="213">
        <v>39271</v>
      </c>
      <c r="B1151" s="214" t="s">
        <v>9643</v>
      </c>
      <c r="C1151" s="215" t="s">
        <v>580</v>
      </c>
      <c r="D1151" s="216">
        <v>3.43</v>
      </c>
      <c r="E1151" s="198"/>
      <c r="F1151" s="198"/>
      <c r="G1151" s="198"/>
      <c r="H1151" s="198"/>
      <c r="I1151" s="198"/>
      <c r="J1151" s="198"/>
      <c r="K1151" s="198"/>
      <c r="L1151" s="198"/>
      <c r="M1151" s="198"/>
      <c r="N1151" s="198"/>
      <c r="O1151" s="198"/>
      <c r="P1151" s="198"/>
      <c r="Q1151" s="198"/>
      <c r="R1151" s="198"/>
      <c r="S1151" s="198"/>
      <c r="T1151" s="198"/>
      <c r="U1151" s="198"/>
      <c r="V1151" s="198"/>
      <c r="W1151" s="198"/>
      <c r="X1151" s="198"/>
      <c r="Y1151" s="198"/>
      <c r="Z1151" s="198"/>
    </row>
    <row r="1152" spans="1:26" ht="15.75" hidden="1" customHeight="1" x14ac:dyDescent="0.25">
      <c r="A1152" s="213">
        <v>39272</v>
      </c>
      <c r="B1152" s="214" t="s">
        <v>9644</v>
      </c>
      <c r="C1152" s="215" t="s">
        <v>580</v>
      </c>
      <c r="D1152" s="216">
        <v>4.22</v>
      </c>
      <c r="E1152" s="198"/>
      <c r="F1152" s="198"/>
      <c r="G1152" s="198"/>
      <c r="H1152" s="198"/>
      <c r="I1152" s="198"/>
      <c r="J1152" s="198"/>
      <c r="K1152" s="198"/>
      <c r="L1152" s="198"/>
      <c r="M1152" s="198"/>
      <c r="N1152" s="198"/>
      <c r="O1152" s="198"/>
      <c r="P1152" s="198"/>
      <c r="Q1152" s="198"/>
      <c r="R1152" s="198"/>
      <c r="S1152" s="198"/>
      <c r="T1152" s="198"/>
      <c r="U1152" s="198"/>
      <c r="V1152" s="198"/>
      <c r="W1152" s="198"/>
      <c r="X1152" s="198"/>
      <c r="Y1152" s="198"/>
      <c r="Z1152" s="198"/>
    </row>
    <row r="1153" spans="1:26" ht="15.75" hidden="1" customHeight="1" x14ac:dyDescent="0.25">
      <c r="A1153" s="213">
        <v>1875</v>
      </c>
      <c r="B1153" s="214" t="s">
        <v>9645</v>
      </c>
      <c r="C1153" s="215" t="s">
        <v>580</v>
      </c>
      <c r="D1153" s="216">
        <v>9.31</v>
      </c>
      <c r="E1153" s="198"/>
      <c r="F1153" s="198"/>
      <c r="G1153" s="198"/>
      <c r="H1153" s="198"/>
      <c r="I1153" s="198"/>
      <c r="J1153" s="198"/>
      <c r="K1153" s="198"/>
      <c r="L1153" s="198"/>
      <c r="M1153" s="198"/>
      <c r="N1153" s="198"/>
      <c r="O1153" s="198"/>
      <c r="P1153" s="198"/>
      <c r="Q1153" s="198"/>
      <c r="R1153" s="198"/>
      <c r="S1153" s="198"/>
      <c r="T1153" s="198"/>
      <c r="U1153" s="198"/>
      <c r="V1153" s="198"/>
      <c r="W1153" s="198"/>
      <c r="X1153" s="198"/>
      <c r="Y1153" s="198"/>
      <c r="Z1153" s="198"/>
    </row>
    <row r="1154" spans="1:26" ht="15.75" hidden="1" customHeight="1" x14ac:dyDescent="0.25">
      <c r="A1154" s="213">
        <v>1874</v>
      </c>
      <c r="B1154" s="214" t="s">
        <v>9646</v>
      </c>
      <c r="C1154" s="215" t="s">
        <v>580</v>
      </c>
      <c r="D1154" s="216">
        <v>7.69</v>
      </c>
      <c r="E1154" s="198"/>
      <c r="F1154" s="198"/>
      <c r="G1154" s="198"/>
      <c r="H1154" s="198"/>
      <c r="I1154" s="198"/>
      <c r="J1154" s="198"/>
      <c r="K1154" s="198"/>
      <c r="L1154" s="198"/>
      <c r="M1154" s="198"/>
      <c r="N1154" s="198"/>
      <c r="O1154" s="198"/>
      <c r="P1154" s="198"/>
      <c r="Q1154" s="198"/>
      <c r="R1154" s="198"/>
      <c r="S1154" s="198"/>
      <c r="T1154" s="198"/>
      <c r="U1154" s="198"/>
      <c r="V1154" s="198"/>
      <c r="W1154" s="198"/>
      <c r="X1154" s="198"/>
      <c r="Y1154" s="198"/>
      <c r="Z1154" s="198"/>
    </row>
    <row r="1155" spans="1:26" ht="15.75" hidden="1" customHeight="1" x14ac:dyDescent="0.25">
      <c r="A1155" s="213">
        <v>1884</v>
      </c>
      <c r="B1155" s="214" t="s">
        <v>9647</v>
      </c>
      <c r="C1155" s="215" t="s">
        <v>580</v>
      </c>
      <c r="D1155" s="216">
        <v>6.82</v>
      </c>
      <c r="E1155" s="198"/>
      <c r="F1155" s="198"/>
      <c r="G1155" s="198"/>
      <c r="H1155" s="198"/>
      <c r="I1155" s="198"/>
      <c r="J1155" s="198"/>
      <c r="K1155" s="198"/>
      <c r="L1155" s="198"/>
      <c r="M1155" s="198"/>
      <c r="N1155" s="198"/>
      <c r="O1155" s="198"/>
      <c r="P1155" s="198"/>
      <c r="Q1155" s="198"/>
      <c r="R1155" s="198"/>
      <c r="S1155" s="198"/>
      <c r="T1155" s="198"/>
      <c r="U1155" s="198"/>
      <c r="V1155" s="198"/>
      <c r="W1155" s="198"/>
      <c r="X1155" s="198"/>
      <c r="Y1155" s="198"/>
      <c r="Z1155" s="198"/>
    </row>
    <row r="1156" spans="1:26" ht="15.75" hidden="1" customHeight="1" x14ac:dyDescent="0.25">
      <c r="A1156" s="213">
        <v>1870</v>
      </c>
      <c r="B1156" s="214" t="s">
        <v>9648</v>
      </c>
      <c r="C1156" s="215" t="s">
        <v>580</v>
      </c>
      <c r="D1156" s="216">
        <v>4.4400000000000004</v>
      </c>
      <c r="E1156" s="198"/>
      <c r="F1156" s="198"/>
      <c r="G1156" s="198"/>
      <c r="H1156" s="198"/>
      <c r="I1156" s="198"/>
      <c r="J1156" s="198"/>
      <c r="K1156" s="198"/>
      <c r="L1156" s="198"/>
      <c r="M1156" s="198"/>
      <c r="N1156" s="198"/>
      <c r="O1156" s="198"/>
      <c r="P1156" s="198"/>
      <c r="Q1156" s="198"/>
      <c r="R1156" s="198"/>
      <c r="S1156" s="198"/>
      <c r="T1156" s="198"/>
      <c r="U1156" s="198"/>
      <c r="V1156" s="198"/>
      <c r="W1156" s="198"/>
      <c r="X1156" s="198"/>
      <c r="Y1156" s="198"/>
      <c r="Z1156" s="198"/>
    </row>
    <row r="1157" spans="1:26" ht="15.75" hidden="1" customHeight="1" x14ac:dyDescent="0.25">
      <c r="A1157" s="213">
        <v>1887</v>
      </c>
      <c r="B1157" s="214" t="s">
        <v>9649</v>
      </c>
      <c r="C1157" s="215" t="s">
        <v>580</v>
      </c>
      <c r="D1157" s="216">
        <v>38.6</v>
      </c>
      <c r="E1157" s="198"/>
      <c r="F1157" s="198"/>
      <c r="G1157" s="198"/>
      <c r="H1157" s="198"/>
      <c r="I1157" s="198"/>
      <c r="J1157" s="198"/>
      <c r="K1157" s="198"/>
      <c r="L1157" s="198"/>
      <c r="M1157" s="198"/>
      <c r="N1157" s="198"/>
      <c r="O1157" s="198"/>
      <c r="P1157" s="198"/>
      <c r="Q1157" s="198"/>
      <c r="R1157" s="198"/>
      <c r="S1157" s="198"/>
      <c r="T1157" s="198"/>
      <c r="U1157" s="198"/>
      <c r="V1157" s="198"/>
      <c r="W1157" s="198"/>
      <c r="X1157" s="198"/>
      <c r="Y1157" s="198"/>
      <c r="Z1157" s="198"/>
    </row>
    <row r="1158" spans="1:26" ht="15.75" hidden="1" customHeight="1" x14ac:dyDescent="0.25">
      <c r="A1158" s="213">
        <v>1876</v>
      </c>
      <c r="B1158" s="214" t="s">
        <v>9650</v>
      </c>
      <c r="C1158" s="215" t="s">
        <v>580</v>
      </c>
      <c r="D1158" s="216">
        <v>15.13</v>
      </c>
      <c r="E1158" s="198"/>
      <c r="F1158" s="198"/>
      <c r="G1158" s="198"/>
      <c r="H1158" s="198"/>
      <c r="I1158" s="198"/>
      <c r="J1158" s="198"/>
      <c r="K1158" s="198"/>
      <c r="L1158" s="198"/>
      <c r="M1158" s="198"/>
      <c r="N1158" s="198"/>
      <c r="O1158" s="198"/>
      <c r="P1158" s="198"/>
      <c r="Q1158" s="198"/>
      <c r="R1158" s="198"/>
      <c r="S1158" s="198"/>
      <c r="T1158" s="198"/>
      <c r="U1158" s="198"/>
      <c r="V1158" s="198"/>
      <c r="W1158" s="198"/>
      <c r="X1158" s="198"/>
      <c r="Y1158" s="198"/>
      <c r="Z1158" s="198"/>
    </row>
    <row r="1159" spans="1:26" ht="15.75" hidden="1" customHeight="1" x14ac:dyDescent="0.25">
      <c r="A1159" s="213">
        <v>1877</v>
      </c>
      <c r="B1159" s="214" t="s">
        <v>9651</v>
      </c>
      <c r="C1159" s="215" t="s">
        <v>580</v>
      </c>
      <c r="D1159" s="216">
        <v>38.659999999999997</v>
      </c>
      <c r="E1159" s="198"/>
      <c r="F1159" s="198"/>
      <c r="G1159" s="198"/>
      <c r="H1159" s="198"/>
      <c r="I1159" s="198"/>
      <c r="J1159" s="198"/>
      <c r="K1159" s="198"/>
      <c r="L1159" s="198"/>
      <c r="M1159" s="198"/>
      <c r="N1159" s="198"/>
      <c r="O1159" s="198"/>
      <c r="P1159" s="198"/>
      <c r="Q1159" s="198"/>
      <c r="R1159" s="198"/>
      <c r="S1159" s="198"/>
      <c r="T1159" s="198"/>
      <c r="U1159" s="198"/>
      <c r="V1159" s="198"/>
      <c r="W1159" s="198"/>
      <c r="X1159" s="198"/>
      <c r="Y1159" s="198"/>
      <c r="Z1159" s="198"/>
    </row>
    <row r="1160" spans="1:26" ht="15.75" hidden="1" customHeight="1" x14ac:dyDescent="0.25">
      <c r="A1160" s="213">
        <v>1879</v>
      </c>
      <c r="B1160" s="214" t="s">
        <v>9652</v>
      </c>
      <c r="C1160" s="215" t="s">
        <v>580</v>
      </c>
      <c r="D1160" s="216">
        <v>4.5</v>
      </c>
      <c r="E1160" s="198"/>
      <c r="F1160" s="198"/>
      <c r="G1160" s="198"/>
      <c r="H1160" s="198"/>
      <c r="I1160" s="198"/>
      <c r="J1160" s="198"/>
      <c r="K1160" s="198"/>
      <c r="L1160" s="198"/>
      <c r="M1160" s="198"/>
      <c r="N1160" s="198"/>
      <c r="O1160" s="198"/>
      <c r="P1160" s="198"/>
      <c r="Q1160" s="198"/>
      <c r="R1160" s="198"/>
      <c r="S1160" s="198"/>
      <c r="T1160" s="198"/>
      <c r="U1160" s="198"/>
      <c r="V1160" s="198"/>
      <c r="W1160" s="198"/>
      <c r="X1160" s="198"/>
      <c r="Y1160" s="198"/>
      <c r="Z1160" s="198"/>
    </row>
    <row r="1161" spans="1:26" ht="15.75" hidden="1" customHeight="1" x14ac:dyDescent="0.25">
      <c r="A1161" s="213">
        <v>1878</v>
      </c>
      <c r="B1161" s="214" t="s">
        <v>9653</v>
      </c>
      <c r="C1161" s="215" t="s">
        <v>580</v>
      </c>
      <c r="D1161" s="216">
        <v>77.66</v>
      </c>
      <c r="E1161" s="198"/>
      <c r="F1161" s="198"/>
      <c r="G1161" s="198"/>
      <c r="H1161" s="198"/>
      <c r="I1161" s="198"/>
      <c r="J1161" s="198"/>
      <c r="K1161" s="198"/>
      <c r="L1161" s="198"/>
      <c r="M1161" s="198"/>
      <c r="N1161" s="198"/>
      <c r="O1161" s="198"/>
      <c r="P1161" s="198"/>
      <c r="Q1161" s="198"/>
      <c r="R1161" s="198"/>
      <c r="S1161" s="198"/>
      <c r="T1161" s="198"/>
      <c r="U1161" s="198"/>
      <c r="V1161" s="198"/>
      <c r="W1161" s="198"/>
      <c r="X1161" s="198"/>
      <c r="Y1161" s="198"/>
      <c r="Z1161" s="198"/>
    </row>
    <row r="1162" spans="1:26" ht="15.75" hidden="1" customHeight="1" x14ac:dyDescent="0.25">
      <c r="A1162" s="213">
        <v>37971</v>
      </c>
      <c r="B1162" s="214" t="s">
        <v>9654</v>
      </c>
      <c r="C1162" s="215" t="s">
        <v>580</v>
      </c>
      <c r="D1162" s="216">
        <v>5.69</v>
      </c>
      <c r="E1162" s="198"/>
      <c r="F1162" s="198"/>
      <c r="G1162" s="198"/>
      <c r="H1162" s="198"/>
      <c r="I1162" s="198"/>
      <c r="J1162" s="198"/>
      <c r="K1162" s="198"/>
      <c r="L1162" s="198"/>
      <c r="M1162" s="198"/>
      <c r="N1162" s="198"/>
      <c r="O1162" s="198"/>
      <c r="P1162" s="198"/>
      <c r="Q1162" s="198"/>
      <c r="R1162" s="198"/>
      <c r="S1162" s="198"/>
      <c r="T1162" s="198"/>
      <c r="U1162" s="198"/>
      <c r="V1162" s="198"/>
      <c r="W1162" s="198"/>
      <c r="X1162" s="198"/>
      <c r="Y1162" s="198"/>
      <c r="Z1162" s="198"/>
    </row>
    <row r="1163" spans="1:26" ht="15.75" hidden="1" customHeight="1" x14ac:dyDescent="0.25">
      <c r="A1163" s="213">
        <v>37972</v>
      </c>
      <c r="B1163" s="214" t="s">
        <v>9655</v>
      </c>
      <c r="C1163" s="215" t="s">
        <v>580</v>
      </c>
      <c r="D1163" s="216">
        <v>8.08</v>
      </c>
      <c r="E1163" s="198"/>
      <c r="F1163" s="198"/>
      <c r="G1163" s="198"/>
      <c r="H1163" s="198"/>
      <c r="I1163" s="198"/>
      <c r="J1163" s="198"/>
      <c r="K1163" s="198"/>
      <c r="L1163" s="198"/>
      <c r="M1163" s="198"/>
      <c r="N1163" s="198"/>
      <c r="O1163" s="198"/>
      <c r="P1163" s="198"/>
      <c r="Q1163" s="198"/>
      <c r="R1163" s="198"/>
      <c r="S1163" s="198"/>
      <c r="T1163" s="198"/>
      <c r="U1163" s="198"/>
      <c r="V1163" s="198"/>
      <c r="W1163" s="198"/>
      <c r="X1163" s="198"/>
      <c r="Y1163" s="198"/>
      <c r="Z1163" s="198"/>
    </row>
    <row r="1164" spans="1:26" ht="15.75" hidden="1" customHeight="1" x14ac:dyDescent="0.25">
      <c r="A1164" s="213">
        <v>37973</v>
      </c>
      <c r="B1164" s="214" t="s">
        <v>9656</v>
      </c>
      <c r="C1164" s="215" t="s">
        <v>580</v>
      </c>
      <c r="D1164" s="216">
        <v>15.18</v>
      </c>
      <c r="E1164" s="198"/>
      <c r="F1164" s="198"/>
      <c r="G1164" s="198"/>
      <c r="H1164" s="198"/>
      <c r="I1164" s="198"/>
      <c r="J1164" s="198"/>
      <c r="K1164" s="198"/>
      <c r="L1164" s="198"/>
      <c r="M1164" s="198"/>
      <c r="N1164" s="198"/>
      <c r="O1164" s="198"/>
      <c r="P1164" s="198"/>
      <c r="Q1164" s="198"/>
      <c r="R1164" s="198"/>
      <c r="S1164" s="198"/>
      <c r="T1164" s="198"/>
      <c r="U1164" s="198"/>
      <c r="V1164" s="198"/>
      <c r="W1164" s="198"/>
      <c r="X1164" s="198"/>
      <c r="Y1164" s="198"/>
      <c r="Z1164" s="198"/>
    </row>
    <row r="1165" spans="1:26" ht="15.75" hidden="1" customHeight="1" x14ac:dyDescent="0.25">
      <c r="A1165" s="213">
        <v>1926</v>
      </c>
      <c r="B1165" s="214" t="s">
        <v>9657</v>
      </c>
      <c r="C1165" s="215" t="s">
        <v>580</v>
      </c>
      <c r="D1165" s="216">
        <v>1.84</v>
      </c>
      <c r="E1165" s="198"/>
      <c r="F1165" s="198"/>
      <c r="G1165" s="198"/>
      <c r="H1165" s="198"/>
      <c r="I1165" s="198"/>
      <c r="J1165" s="198"/>
      <c r="K1165" s="198"/>
      <c r="L1165" s="198"/>
      <c r="M1165" s="198"/>
      <c r="N1165" s="198"/>
      <c r="O1165" s="198"/>
      <c r="P1165" s="198"/>
      <c r="Q1165" s="198"/>
      <c r="R1165" s="198"/>
      <c r="S1165" s="198"/>
      <c r="T1165" s="198"/>
      <c r="U1165" s="198"/>
      <c r="V1165" s="198"/>
      <c r="W1165" s="198"/>
      <c r="X1165" s="198"/>
      <c r="Y1165" s="198"/>
      <c r="Z1165" s="198"/>
    </row>
    <row r="1166" spans="1:26" ht="15.75" hidden="1" customHeight="1" x14ac:dyDescent="0.25">
      <c r="A1166" s="213">
        <v>1927</v>
      </c>
      <c r="B1166" s="214" t="s">
        <v>9658</v>
      </c>
      <c r="C1166" s="215" t="s">
        <v>580</v>
      </c>
      <c r="D1166" s="216">
        <v>2.0699999999999998</v>
      </c>
      <c r="E1166" s="198"/>
      <c r="F1166" s="198"/>
      <c r="G1166" s="198"/>
      <c r="H1166" s="198"/>
      <c r="I1166" s="198"/>
      <c r="J1166" s="198"/>
      <c r="K1166" s="198"/>
      <c r="L1166" s="198"/>
      <c r="M1166" s="198"/>
      <c r="N1166" s="198"/>
      <c r="O1166" s="198"/>
      <c r="P1166" s="198"/>
      <c r="Q1166" s="198"/>
      <c r="R1166" s="198"/>
      <c r="S1166" s="198"/>
      <c r="T1166" s="198"/>
      <c r="U1166" s="198"/>
      <c r="V1166" s="198"/>
      <c r="W1166" s="198"/>
      <c r="X1166" s="198"/>
      <c r="Y1166" s="198"/>
      <c r="Z1166" s="198"/>
    </row>
    <row r="1167" spans="1:26" ht="15.75" hidden="1" customHeight="1" x14ac:dyDescent="0.25">
      <c r="A1167" s="213">
        <v>1923</v>
      </c>
      <c r="B1167" s="214" t="s">
        <v>9659</v>
      </c>
      <c r="C1167" s="215" t="s">
        <v>580</v>
      </c>
      <c r="D1167" s="216">
        <v>3.76</v>
      </c>
      <c r="E1167" s="198"/>
      <c r="F1167" s="198"/>
      <c r="G1167" s="198"/>
      <c r="H1167" s="198"/>
      <c r="I1167" s="198"/>
      <c r="J1167" s="198"/>
      <c r="K1167" s="198"/>
      <c r="L1167" s="198"/>
      <c r="M1167" s="198"/>
      <c r="N1167" s="198"/>
      <c r="O1167" s="198"/>
      <c r="P1167" s="198"/>
      <c r="Q1167" s="198"/>
      <c r="R1167" s="198"/>
      <c r="S1167" s="198"/>
      <c r="T1167" s="198"/>
      <c r="U1167" s="198"/>
      <c r="V1167" s="198"/>
      <c r="W1167" s="198"/>
      <c r="X1167" s="198"/>
      <c r="Y1167" s="198"/>
      <c r="Z1167" s="198"/>
    </row>
    <row r="1168" spans="1:26" ht="15.75" hidden="1" customHeight="1" x14ac:dyDescent="0.25">
      <c r="A1168" s="213">
        <v>1929</v>
      </c>
      <c r="B1168" s="214" t="s">
        <v>9660</v>
      </c>
      <c r="C1168" s="215" t="s">
        <v>580</v>
      </c>
      <c r="D1168" s="216">
        <v>4.57</v>
      </c>
      <c r="E1168" s="198"/>
      <c r="F1168" s="198"/>
      <c r="G1168" s="198"/>
      <c r="H1168" s="198"/>
      <c r="I1168" s="198"/>
      <c r="J1168" s="198"/>
      <c r="K1168" s="198"/>
      <c r="L1168" s="198"/>
      <c r="M1168" s="198"/>
      <c r="N1168" s="198"/>
      <c r="O1168" s="198"/>
      <c r="P1168" s="198"/>
      <c r="Q1168" s="198"/>
      <c r="R1168" s="198"/>
      <c r="S1168" s="198"/>
      <c r="T1168" s="198"/>
      <c r="U1168" s="198"/>
      <c r="V1168" s="198"/>
      <c r="W1168" s="198"/>
      <c r="X1168" s="198"/>
      <c r="Y1168" s="198"/>
      <c r="Z1168" s="198"/>
    </row>
    <row r="1169" spans="1:26" ht="15.75" hidden="1" customHeight="1" x14ac:dyDescent="0.25">
      <c r="A1169" s="213">
        <v>1930</v>
      </c>
      <c r="B1169" s="214" t="s">
        <v>9661</v>
      </c>
      <c r="C1169" s="215" t="s">
        <v>580</v>
      </c>
      <c r="D1169" s="216">
        <v>7.81</v>
      </c>
      <c r="E1169" s="198"/>
      <c r="F1169" s="198"/>
      <c r="G1169" s="198"/>
      <c r="H1169" s="198"/>
      <c r="I1169" s="198"/>
      <c r="J1169" s="198"/>
      <c r="K1169" s="198"/>
      <c r="L1169" s="198"/>
      <c r="M1169" s="198"/>
      <c r="N1169" s="198"/>
      <c r="O1169" s="198"/>
      <c r="P1169" s="198"/>
      <c r="Q1169" s="198"/>
      <c r="R1169" s="198"/>
      <c r="S1169" s="198"/>
      <c r="T1169" s="198"/>
      <c r="U1169" s="198"/>
      <c r="V1169" s="198"/>
      <c r="W1169" s="198"/>
      <c r="X1169" s="198"/>
      <c r="Y1169" s="198"/>
      <c r="Z1169" s="198"/>
    </row>
    <row r="1170" spans="1:26" ht="15.75" hidden="1" customHeight="1" x14ac:dyDescent="0.25">
      <c r="A1170" s="213">
        <v>1924</v>
      </c>
      <c r="B1170" s="214" t="s">
        <v>9662</v>
      </c>
      <c r="C1170" s="215" t="s">
        <v>580</v>
      </c>
      <c r="D1170" s="216">
        <v>12.61</v>
      </c>
      <c r="E1170" s="198"/>
      <c r="F1170" s="198"/>
      <c r="G1170" s="198"/>
      <c r="H1170" s="198"/>
      <c r="I1170" s="198"/>
      <c r="J1170" s="198"/>
      <c r="K1170" s="198"/>
      <c r="L1170" s="198"/>
      <c r="M1170" s="198"/>
      <c r="N1170" s="198"/>
      <c r="O1170" s="198"/>
      <c r="P1170" s="198"/>
      <c r="Q1170" s="198"/>
      <c r="R1170" s="198"/>
      <c r="S1170" s="198"/>
      <c r="T1170" s="198"/>
      <c r="U1170" s="198"/>
      <c r="V1170" s="198"/>
      <c r="W1170" s="198"/>
      <c r="X1170" s="198"/>
      <c r="Y1170" s="198"/>
      <c r="Z1170" s="198"/>
    </row>
    <row r="1171" spans="1:26" ht="15.75" hidden="1" customHeight="1" x14ac:dyDescent="0.25">
      <c r="A1171" s="213">
        <v>1922</v>
      </c>
      <c r="B1171" s="214" t="s">
        <v>9663</v>
      </c>
      <c r="C1171" s="215" t="s">
        <v>580</v>
      </c>
      <c r="D1171" s="216">
        <v>26.09</v>
      </c>
      <c r="E1171" s="198"/>
      <c r="F1171" s="198"/>
      <c r="G1171" s="198"/>
      <c r="H1171" s="198"/>
      <c r="I1171" s="198"/>
      <c r="J1171" s="198"/>
      <c r="K1171" s="198"/>
      <c r="L1171" s="198"/>
      <c r="M1171" s="198"/>
      <c r="N1171" s="198"/>
      <c r="O1171" s="198"/>
      <c r="P1171" s="198"/>
      <c r="Q1171" s="198"/>
      <c r="R1171" s="198"/>
      <c r="S1171" s="198"/>
      <c r="T1171" s="198"/>
      <c r="U1171" s="198"/>
      <c r="V1171" s="198"/>
      <c r="W1171" s="198"/>
      <c r="X1171" s="198"/>
      <c r="Y1171" s="198"/>
      <c r="Z1171" s="198"/>
    </row>
    <row r="1172" spans="1:26" ht="15.75" hidden="1" customHeight="1" x14ac:dyDescent="0.25">
      <c r="A1172" s="213">
        <v>1953</v>
      </c>
      <c r="B1172" s="214" t="s">
        <v>9664</v>
      </c>
      <c r="C1172" s="215" t="s">
        <v>580</v>
      </c>
      <c r="D1172" s="216">
        <v>31.85</v>
      </c>
      <c r="E1172" s="198"/>
      <c r="F1172" s="198"/>
      <c r="G1172" s="198"/>
      <c r="H1172" s="198"/>
      <c r="I1172" s="198"/>
      <c r="J1172" s="198"/>
      <c r="K1172" s="198"/>
      <c r="L1172" s="198"/>
      <c r="M1172" s="198"/>
      <c r="N1172" s="198"/>
      <c r="O1172" s="198"/>
      <c r="P1172" s="198"/>
      <c r="Q1172" s="198"/>
      <c r="R1172" s="198"/>
      <c r="S1172" s="198"/>
      <c r="T1172" s="198"/>
      <c r="U1172" s="198"/>
      <c r="V1172" s="198"/>
      <c r="W1172" s="198"/>
      <c r="X1172" s="198"/>
      <c r="Y1172" s="198"/>
      <c r="Z1172" s="198"/>
    </row>
    <row r="1173" spans="1:26" ht="15.75" hidden="1" customHeight="1" x14ac:dyDescent="0.25">
      <c r="A1173" s="213">
        <v>1962</v>
      </c>
      <c r="B1173" s="214" t="s">
        <v>9665</v>
      </c>
      <c r="C1173" s="215" t="s">
        <v>580</v>
      </c>
      <c r="D1173" s="216">
        <v>154.72</v>
      </c>
      <c r="E1173" s="198"/>
      <c r="F1173" s="198"/>
      <c r="G1173" s="198"/>
      <c r="H1173" s="198"/>
      <c r="I1173" s="198"/>
      <c r="J1173" s="198"/>
      <c r="K1173" s="198"/>
      <c r="L1173" s="198"/>
      <c r="M1173" s="198"/>
      <c r="N1173" s="198"/>
      <c r="O1173" s="198"/>
      <c r="P1173" s="198"/>
      <c r="Q1173" s="198"/>
      <c r="R1173" s="198"/>
      <c r="S1173" s="198"/>
      <c r="T1173" s="198"/>
      <c r="U1173" s="198"/>
      <c r="V1173" s="198"/>
      <c r="W1173" s="198"/>
      <c r="X1173" s="198"/>
      <c r="Y1173" s="198"/>
      <c r="Z1173" s="198"/>
    </row>
    <row r="1174" spans="1:26" ht="15.75" hidden="1" customHeight="1" x14ac:dyDescent="0.25">
      <c r="A1174" s="213">
        <v>1955</v>
      </c>
      <c r="B1174" s="214" t="s">
        <v>9666</v>
      </c>
      <c r="C1174" s="215" t="s">
        <v>580</v>
      </c>
      <c r="D1174" s="216">
        <v>1.78</v>
      </c>
      <c r="E1174" s="198"/>
      <c r="F1174" s="198"/>
      <c r="G1174" s="198"/>
      <c r="H1174" s="198"/>
      <c r="I1174" s="198"/>
      <c r="J1174" s="198"/>
      <c r="K1174" s="198"/>
      <c r="L1174" s="198"/>
      <c r="M1174" s="198"/>
      <c r="N1174" s="198"/>
      <c r="O1174" s="198"/>
      <c r="P1174" s="198"/>
      <c r="Q1174" s="198"/>
      <c r="R1174" s="198"/>
      <c r="S1174" s="198"/>
      <c r="T1174" s="198"/>
      <c r="U1174" s="198"/>
      <c r="V1174" s="198"/>
      <c r="W1174" s="198"/>
      <c r="X1174" s="198"/>
      <c r="Y1174" s="198"/>
      <c r="Z1174" s="198"/>
    </row>
    <row r="1175" spans="1:26" ht="15.75" hidden="1" customHeight="1" x14ac:dyDescent="0.25">
      <c r="A1175" s="213">
        <v>1956</v>
      </c>
      <c r="B1175" s="214" t="s">
        <v>9667</v>
      </c>
      <c r="C1175" s="215" t="s">
        <v>580</v>
      </c>
      <c r="D1175" s="216">
        <v>2.5099999999999998</v>
      </c>
      <c r="E1175" s="198"/>
      <c r="F1175" s="198"/>
      <c r="G1175" s="198"/>
      <c r="H1175" s="198"/>
      <c r="I1175" s="198"/>
      <c r="J1175" s="198"/>
      <c r="K1175" s="198"/>
      <c r="L1175" s="198"/>
      <c r="M1175" s="198"/>
      <c r="N1175" s="198"/>
      <c r="O1175" s="198"/>
      <c r="P1175" s="198"/>
      <c r="Q1175" s="198"/>
      <c r="R1175" s="198"/>
      <c r="S1175" s="198"/>
      <c r="T1175" s="198"/>
      <c r="U1175" s="198"/>
      <c r="V1175" s="198"/>
      <c r="W1175" s="198"/>
      <c r="X1175" s="198"/>
      <c r="Y1175" s="198"/>
      <c r="Z1175" s="198"/>
    </row>
    <row r="1176" spans="1:26" ht="15.75" hidden="1" customHeight="1" x14ac:dyDescent="0.25">
      <c r="A1176" s="213">
        <v>1957</v>
      </c>
      <c r="B1176" s="214" t="s">
        <v>9668</v>
      </c>
      <c r="C1176" s="215" t="s">
        <v>580</v>
      </c>
      <c r="D1176" s="216">
        <v>5.44</v>
      </c>
      <c r="E1176" s="198"/>
      <c r="F1176" s="198"/>
      <c r="G1176" s="198"/>
      <c r="H1176" s="198"/>
      <c r="I1176" s="198"/>
      <c r="J1176" s="198"/>
      <c r="K1176" s="198"/>
      <c r="L1176" s="198"/>
      <c r="M1176" s="198"/>
      <c r="N1176" s="198"/>
      <c r="O1176" s="198"/>
      <c r="P1176" s="198"/>
      <c r="Q1176" s="198"/>
      <c r="R1176" s="198"/>
      <c r="S1176" s="198"/>
      <c r="T1176" s="198"/>
      <c r="U1176" s="198"/>
      <c r="V1176" s="198"/>
      <c r="W1176" s="198"/>
      <c r="X1176" s="198"/>
      <c r="Y1176" s="198"/>
      <c r="Z1176" s="198"/>
    </row>
    <row r="1177" spans="1:26" ht="15.75" hidden="1" customHeight="1" x14ac:dyDescent="0.25">
      <c r="A1177" s="213">
        <v>1958</v>
      </c>
      <c r="B1177" s="214" t="s">
        <v>9669</v>
      </c>
      <c r="C1177" s="215" t="s">
        <v>580</v>
      </c>
      <c r="D1177" s="216">
        <v>10.130000000000001</v>
      </c>
      <c r="E1177" s="198"/>
      <c r="F1177" s="198"/>
      <c r="G1177" s="198"/>
      <c r="H1177" s="198"/>
      <c r="I1177" s="198"/>
      <c r="J1177" s="198"/>
      <c r="K1177" s="198"/>
      <c r="L1177" s="198"/>
      <c r="M1177" s="198"/>
      <c r="N1177" s="198"/>
      <c r="O1177" s="198"/>
      <c r="P1177" s="198"/>
      <c r="Q1177" s="198"/>
      <c r="R1177" s="198"/>
      <c r="S1177" s="198"/>
      <c r="T1177" s="198"/>
      <c r="U1177" s="198"/>
      <c r="V1177" s="198"/>
      <c r="W1177" s="198"/>
      <c r="X1177" s="198"/>
      <c r="Y1177" s="198"/>
      <c r="Z1177" s="198"/>
    </row>
    <row r="1178" spans="1:26" ht="15.75" hidden="1" customHeight="1" x14ac:dyDescent="0.25">
      <c r="A1178" s="213">
        <v>1959</v>
      </c>
      <c r="B1178" s="214" t="s">
        <v>9670</v>
      </c>
      <c r="C1178" s="215" t="s">
        <v>580</v>
      </c>
      <c r="D1178" s="216">
        <v>10.99</v>
      </c>
      <c r="E1178" s="198"/>
      <c r="F1178" s="198"/>
      <c r="G1178" s="198"/>
      <c r="H1178" s="198"/>
      <c r="I1178" s="198"/>
      <c r="J1178" s="198"/>
      <c r="K1178" s="198"/>
      <c r="L1178" s="198"/>
      <c r="M1178" s="198"/>
      <c r="N1178" s="198"/>
      <c r="O1178" s="198"/>
      <c r="P1178" s="198"/>
      <c r="Q1178" s="198"/>
      <c r="R1178" s="198"/>
      <c r="S1178" s="198"/>
      <c r="T1178" s="198"/>
      <c r="U1178" s="198"/>
      <c r="V1178" s="198"/>
      <c r="W1178" s="198"/>
      <c r="X1178" s="198"/>
      <c r="Y1178" s="198"/>
      <c r="Z1178" s="198"/>
    </row>
    <row r="1179" spans="1:26" ht="15.75" hidden="1" customHeight="1" x14ac:dyDescent="0.25">
      <c r="A1179" s="213">
        <v>1925</v>
      </c>
      <c r="B1179" s="214" t="s">
        <v>9671</v>
      </c>
      <c r="C1179" s="215" t="s">
        <v>580</v>
      </c>
      <c r="D1179" s="216">
        <v>28.73</v>
      </c>
      <c r="E1179" s="198"/>
      <c r="F1179" s="198"/>
      <c r="G1179" s="198"/>
      <c r="H1179" s="198"/>
      <c r="I1179" s="198"/>
      <c r="J1179" s="198"/>
      <c r="K1179" s="198"/>
      <c r="L1179" s="198"/>
      <c r="M1179" s="198"/>
      <c r="N1179" s="198"/>
      <c r="O1179" s="198"/>
      <c r="P1179" s="198"/>
      <c r="Q1179" s="198"/>
      <c r="R1179" s="198"/>
      <c r="S1179" s="198"/>
      <c r="T1179" s="198"/>
      <c r="U1179" s="198"/>
      <c r="V1179" s="198"/>
      <c r="W1179" s="198"/>
      <c r="X1179" s="198"/>
      <c r="Y1179" s="198"/>
      <c r="Z1179" s="198"/>
    </row>
    <row r="1180" spans="1:26" ht="15.75" hidden="1" customHeight="1" x14ac:dyDescent="0.25">
      <c r="A1180" s="213">
        <v>1960</v>
      </c>
      <c r="B1180" s="214" t="s">
        <v>9672</v>
      </c>
      <c r="C1180" s="215" t="s">
        <v>580</v>
      </c>
      <c r="D1180" s="216">
        <v>44.12</v>
      </c>
      <c r="E1180" s="198"/>
      <c r="F1180" s="198"/>
      <c r="G1180" s="198"/>
      <c r="H1180" s="198"/>
      <c r="I1180" s="198"/>
      <c r="J1180" s="198"/>
      <c r="K1180" s="198"/>
      <c r="L1180" s="198"/>
      <c r="M1180" s="198"/>
      <c r="N1180" s="198"/>
      <c r="O1180" s="198"/>
      <c r="P1180" s="198"/>
      <c r="Q1180" s="198"/>
      <c r="R1180" s="198"/>
      <c r="S1180" s="198"/>
      <c r="T1180" s="198"/>
      <c r="U1180" s="198"/>
      <c r="V1180" s="198"/>
      <c r="W1180" s="198"/>
      <c r="X1180" s="198"/>
      <c r="Y1180" s="198"/>
      <c r="Z1180" s="198"/>
    </row>
    <row r="1181" spans="1:26" ht="15.75" hidden="1" customHeight="1" x14ac:dyDescent="0.25">
      <c r="A1181" s="213">
        <v>1961</v>
      </c>
      <c r="B1181" s="214" t="s">
        <v>9673</v>
      </c>
      <c r="C1181" s="215" t="s">
        <v>580</v>
      </c>
      <c r="D1181" s="216">
        <v>56.52</v>
      </c>
      <c r="E1181" s="198"/>
      <c r="F1181" s="198"/>
      <c r="G1181" s="198"/>
      <c r="H1181" s="198"/>
      <c r="I1181" s="198"/>
      <c r="J1181" s="198"/>
      <c r="K1181" s="198"/>
      <c r="L1181" s="198"/>
      <c r="M1181" s="198"/>
      <c r="N1181" s="198"/>
      <c r="O1181" s="198"/>
      <c r="P1181" s="198"/>
      <c r="Q1181" s="198"/>
      <c r="R1181" s="198"/>
      <c r="S1181" s="198"/>
      <c r="T1181" s="198"/>
      <c r="U1181" s="198"/>
      <c r="V1181" s="198"/>
      <c r="W1181" s="198"/>
      <c r="X1181" s="198"/>
      <c r="Y1181" s="198"/>
      <c r="Z1181" s="198"/>
    </row>
    <row r="1182" spans="1:26" ht="15.75" hidden="1" customHeight="1" x14ac:dyDescent="0.25">
      <c r="A1182" s="213">
        <v>38423</v>
      </c>
      <c r="B1182" s="214" t="s">
        <v>9674</v>
      </c>
      <c r="C1182" s="215" t="s">
        <v>580</v>
      </c>
      <c r="D1182" s="216">
        <v>34.19</v>
      </c>
      <c r="E1182" s="198"/>
      <c r="F1182" s="198"/>
      <c r="G1182" s="198"/>
      <c r="H1182" s="198"/>
      <c r="I1182" s="198"/>
      <c r="J1182" s="198"/>
      <c r="K1182" s="198"/>
      <c r="L1182" s="198"/>
      <c r="M1182" s="198"/>
      <c r="N1182" s="198"/>
      <c r="O1182" s="198"/>
      <c r="P1182" s="198"/>
      <c r="Q1182" s="198"/>
      <c r="R1182" s="198"/>
      <c r="S1182" s="198"/>
      <c r="T1182" s="198"/>
      <c r="U1182" s="198"/>
      <c r="V1182" s="198"/>
      <c r="W1182" s="198"/>
      <c r="X1182" s="198"/>
      <c r="Y1182" s="198"/>
      <c r="Z1182" s="198"/>
    </row>
    <row r="1183" spans="1:26" ht="15.75" hidden="1" customHeight="1" x14ac:dyDescent="0.25">
      <c r="A1183" s="213">
        <v>37999</v>
      </c>
      <c r="B1183" s="214" t="s">
        <v>9675</v>
      </c>
      <c r="C1183" s="215" t="s">
        <v>580</v>
      </c>
      <c r="D1183" s="216">
        <v>9.6</v>
      </c>
      <c r="E1183" s="198"/>
      <c r="F1183" s="198"/>
      <c r="G1183" s="198"/>
      <c r="H1183" s="198"/>
      <c r="I1183" s="198"/>
      <c r="J1183" s="198"/>
      <c r="K1183" s="198"/>
      <c r="L1183" s="198"/>
      <c r="M1183" s="198"/>
      <c r="N1183" s="198"/>
      <c r="O1183" s="198"/>
      <c r="P1183" s="198"/>
      <c r="Q1183" s="198"/>
      <c r="R1183" s="198"/>
      <c r="S1183" s="198"/>
      <c r="T1183" s="198"/>
      <c r="U1183" s="198"/>
      <c r="V1183" s="198"/>
      <c r="W1183" s="198"/>
      <c r="X1183" s="198"/>
      <c r="Y1183" s="198"/>
      <c r="Z1183" s="198"/>
    </row>
    <row r="1184" spans="1:26" ht="15.75" hidden="1" customHeight="1" x14ac:dyDescent="0.25">
      <c r="A1184" s="213">
        <v>38000</v>
      </c>
      <c r="B1184" s="214" t="s">
        <v>9676</v>
      </c>
      <c r="C1184" s="215" t="s">
        <v>580</v>
      </c>
      <c r="D1184" s="216">
        <v>11.21</v>
      </c>
      <c r="E1184" s="198"/>
      <c r="F1184" s="198"/>
      <c r="G1184" s="198"/>
      <c r="H1184" s="198"/>
      <c r="I1184" s="198"/>
      <c r="J1184" s="198"/>
      <c r="K1184" s="198"/>
      <c r="L1184" s="198"/>
      <c r="M1184" s="198"/>
      <c r="N1184" s="198"/>
      <c r="O1184" s="198"/>
      <c r="P1184" s="198"/>
      <c r="Q1184" s="198"/>
      <c r="R1184" s="198"/>
      <c r="S1184" s="198"/>
      <c r="T1184" s="198"/>
      <c r="U1184" s="198"/>
      <c r="V1184" s="198"/>
      <c r="W1184" s="198"/>
      <c r="X1184" s="198"/>
      <c r="Y1184" s="198"/>
      <c r="Z1184" s="198"/>
    </row>
    <row r="1185" spans="1:26" ht="15.75" hidden="1" customHeight="1" x14ac:dyDescent="0.25">
      <c r="A1185" s="213">
        <v>38129</v>
      </c>
      <c r="B1185" s="214" t="s">
        <v>9677</v>
      </c>
      <c r="C1185" s="215" t="s">
        <v>580</v>
      </c>
      <c r="D1185" s="216">
        <v>4.1500000000000004</v>
      </c>
      <c r="E1185" s="198"/>
      <c r="F1185" s="198"/>
      <c r="G1185" s="198"/>
      <c r="H1185" s="198"/>
      <c r="I1185" s="198"/>
      <c r="J1185" s="198"/>
      <c r="K1185" s="198"/>
      <c r="L1185" s="198"/>
      <c r="M1185" s="198"/>
      <c r="N1185" s="198"/>
      <c r="O1185" s="198"/>
      <c r="P1185" s="198"/>
      <c r="Q1185" s="198"/>
      <c r="R1185" s="198"/>
      <c r="S1185" s="198"/>
      <c r="T1185" s="198"/>
      <c r="U1185" s="198"/>
      <c r="V1185" s="198"/>
      <c r="W1185" s="198"/>
      <c r="X1185" s="198"/>
      <c r="Y1185" s="198"/>
      <c r="Z1185" s="198"/>
    </row>
    <row r="1186" spans="1:26" ht="15.75" hidden="1" customHeight="1" x14ac:dyDescent="0.25">
      <c r="A1186" s="213">
        <v>38025</v>
      </c>
      <c r="B1186" s="214" t="s">
        <v>9678</v>
      </c>
      <c r="C1186" s="215" t="s">
        <v>580</v>
      </c>
      <c r="D1186" s="216">
        <v>5.63</v>
      </c>
      <c r="E1186" s="198"/>
      <c r="F1186" s="198"/>
      <c r="G1186" s="198"/>
      <c r="H1186" s="198"/>
      <c r="I1186" s="198"/>
      <c r="J1186" s="198"/>
      <c r="K1186" s="198"/>
      <c r="L1186" s="198"/>
      <c r="M1186" s="198"/>
      <c r="N1186" s="198"/>
      <c r="O1186" s="198"/>
      <c r="P1186" s="198"/>
      <c r="Q1186" s="198"/>
      <c r="R1186" s="198"/>
      <c r="S1186" s="198"/>
      <c r="T1186" s="198"/>
      <c r="U1186" s="198"/>
      <c r="V1186" s="198"/>
      <c r="W1186" s="198"/>
      <c r="X1186" s="198"/>
      <c r="Y1186" s="198"/>
      <c r="Z1186" s="198"/>
    </row>
    <row r="1187" spans="1:26" ht="15.75" hidden="1" customHeight="1" x14ac:dyDescent="0.25">
      <c r="A1187" s="213">
        <v>38026</v>
      </c>
      <c r="B1187" s="214" t="s">
        <v>9679</v>
      </c>
      <c r="C1187" s="215" t="s">
        <v>580</v>
      </c>
      <c r="D1187" s="216">
        <v>13.9</v>
      </c>
      <c r="E1187" s="198"/>
      <c r="F1187" s="198"/>
      <c r="G1187" s="198"/>
      <c r="H1187" s="198"/>
      <c r="I1187" s="198"/>
      <c r="J1187" s="198"/>
      <c r="K1187" s="198"/>
      <c r="L1187" s="198"/>
      <c r="M1187" s="198"/>
      <c r="N1187" s="198"/>
      <c r="O1187" s="198"/>
      <c r="P1187" s="198"/>
      <c r="Q1187" s="198"/>
      <c r="R1187" s="198"/>
      <c r="S1187" s="198"/>
      <c r="T1187" s="198"/>
      <c r="U1187" s="198"/>
      <c r="V1187" s="198"/>
      <c r="W1187" s="198"/>
      <c r="X1187" s="198"/>
      <c r="Y1187" s="198"/>
      <c r="Z1187" s="198"/>
    </row>
    <row r="1188" spans="1:26" ht="15.75" hidden="1" customHeight="1" x14ac:dyDescent="0.25">
      <c r="A1188" s="213">
        <v>1858</v>
      </c>
      <c r="B1188" s="214" t="s">
        <v>9680</v>
      </c>
      <c r="C1188" s="215" t="s">
        <v>580</v>
      </c>
      <c r="D1188" s="216">
        <v>52.98</v>
      </c>
      <c r="E1188" s="198"/>
      <c r="F1188" s="198"/>
      <c r="G1188" s="198"/>
      <c r="H1188" s="198"/>
      <c r="I1188" s="198"/>
      <c r="J1188" s="198"/>
      <c r="K1188" s="198"/>
      <c r="L1188" s="198"/>
      <c r="M1188" s="198"/>
      <c r="N1188" s="198"/>
      <c r="O1188" s="198"/>
      <c r="P1188" s="198"/>
      <c r="Q1188" s="198"/>
      <c r="R1188" s="198"/>
      <c r="S1188" s="198"/>
      <c r="T1188" s="198"/>
      <c r="U1188" s="198"/>
      <c r="V1188" s="198"/>
      <c r="W1188" s="198"/>
      <c r="X1188" s="198"/>
      <c r="Y1188" s="198"/>
      <c r="Z1188" s="198"/>
    </row>
    <row r="1189" spans="1:26" ht="15.75" hidden="1" customHeight="1" x14ac:dyDescent="0.25">
      <c r="A1189" s="213">
        <v>1844</v>
      </c>
      <c r="B1189" s="214" t="s">
        <v>9681</v>
      </c>
      <c r="C1189" s="215" t="s">
        <v>580</v>
      </c>
      <c r="D1189" s="216">
        <v>121.34</v>
      </c>
      <c r="E1189" s="198"/>
      <c r="F1189" s="198"/>
      <c r="G1189" s="198"/>
      <c r="H1189" s="198"/>
      <c r="I1189" s="198"/>
      <c r="J1189" s="198"/>
      <c r="K1189" s="198"/>
      <c r="L1189" s="198"/>
      <c r="M1189" s="198"/>
      <c r="N1189" s="198"/>
      <c r="O1189" s="198"/>
      <c r="P1189" s="198"/>
      <c r="Q1189" s="198"/>
      <c r="R1189" s="198"/>
      <c r="S1189" s="198"/>
      <c r="T1189" s="198"/>
      <c r="U1189" s="198"/>
      <c r="V1189" s="198"/>
      <c r="W1189" s="198"/>
      <c r="X1189" s="198"/>
      <c r="Y1189" s="198"/>
      <c r="Z1189" s="198"/>
    </row>
    <row r="1190" spans="1:26" ht="15.75" hidden="1" customHeight="1" x14ac:dyDescent="0.25">
      <c r="A1190" s="213">
        <v>1863</v>
      </c>
      <c r="B1190" s="214" t="s">
        <v>9682</v>
      </c>
      <c r="C1190" s="215" t="s">
        <v>580</v>
      </c>
      <c r="D1190" s="216">
        <v>56.38</v>
      </c>
      <c r="E1190" s="198"/>
      <c r="F1190" s="198"/>
      <c r="G1190" s="198"/>
      <c r="H1190" s="198"/>
      <c r="I1190" s="198"/>
      <c r="J1190" s="198"/>
      <c r="K1190" s="198"/>
      <c r="L1190" s="198"/>
      <c r="M1190" s="198"/>
      <c r="N1190" s="198"/>
      <c r="O1190" s="198"/>
      <c r="P1190" s="198"/>
      <c r="Q1190" s="198"/>
      <c r="R1190" s="198"/>
      <c r="S1190" s="198"/>
      <c r="T1190" s="198"/>
      <c r="U1190" s="198"/>
      <c r="V1190" s="198"/>
      <c r="W1190" s="198"/>
      <c r="X1190" s="198"/>
      <c r="Y1190" s="198"/>
      <c r="Z1190" s="198"/>
    </row>
    <row r="1191" spans="1:26" ht="15.75" hidden="1" customHeight="1" x14ac:dyDescent="0.25">
      <c r="A1191" s="213">
        <v>1865</v>
      </c>
      <c r="B1191" s="214" t="s">
        <v>9683</v>
      </c>
      <c r="C1191" s="215" t="s">
        <v>580</v>
      </c>
      <c r="D1191" s="216">
        <v>146.9</v>
      </c>
      <c r="E1191" s="198"/>
      <c r="F1191" s="198"/>
      <c r="G1191" s="198"/>
      <c r="H1191" s="198"/>
      <c r="I1191" s="198"/>
      <c r="J1191" s="198"/>
      <c r="K1191" s="198"/>
      <c r="L1191" s="198"/>
      <c r="M1191" s="198"/>
      <c r="N1191" s="198"/>
      <c r="O1191" s="198"/>
      <c r="P1191" s="198"/>
      <c r="Q1191" s="198"/>
      <c r="R1191" s="198"/>
      <c r="S1191" s="198"/>
      <c r="T1191" s="198"/>
      <c r="U1191" s="198"/>
      <c r="V1191" s="198"/>
      <c r="W1191" s="198"/>
      <c r="X1191" s="198"/>
      <c r="Y1191" s="198"/>
      <c r="Z1191" s="198"/>
    </row>
    <row r="1192" spans="1:26" ht="15.75" hidden="1" customHeight="1" x14ac:dyDescent="0.25">
      <c r="A1192" s="213">
        <v>36355</v>
      </c>
      <c r="B1192" s="214" t="s">
        <v>9684</v>
      </c>
      <c r="C1192" s="215" t="s">
        <v>580</v>
      </c>
      <c r="D1192" s="216">
        <v>12.76</v>
      </c>
      <c r="E1192" s="198"/>
      <c r="F1192" s="198"/>
      <c r="G1192" s="198"/>
      <c r="H1192" s="198"/>
      <c r="I1192" s="198"/>
      <c r="J1192" s="198"/>
      <c r="K1192" s="198"/>
      <c r="L1192" s="198"/>
      <c r="M1192" s="198"/>
      <c r="N1192" s="198"/>
      <c r="O1192" s="198"/>
      <c r="P1192" s="198"/>
      <c r="Q1192" s="198"/>
      <c r="R1192" s="198"/>
      <c r="S1192" s="198"/>
      <c r="T1192" s="198"/>
      <c r="U1192" s="198"/>
      <c r="V1192" s="198"/>
      <c r="W1192" s="198"/>
      <c r="X1192" s="198"/>
      <c r="Y1192" s="198"/>
      <c r="Z1192" s="198"/>
    </row>
    <row r="1193" spans="1:26" ht="15.75" hidden="1" customHeight="1" x14ac:dyDescent="0.25">
      <c r="A1193" s="213">
        <v>36356</v>
      </c>
      <c r="B1193" s="214" t="s">
        <v>9685</v>
      </c>
      <c r="C1193" s="215" t="s">
        <v>580</v>
      </c>
      <c r="D1193" s="216">
        <v>20.53</v>
      </c>
      <c r="E1193" s="198"/>
      <c r="F1193" s="198"/>
      <c r="G1193" s="198"/>
      <c r="H1193" s="198"/>
      <c r="I1193" s="198"/>
      <c r="J1193" s="198"/>
      <c r="K1193" s="198"/>
      <c r="L1193" s="198"/>
      <c r="M1193" s="198"/>
      <c r="N1193" s="198"/>
      <c r="O1193" s="198"/>
      <c r="P1193" s="198"/>
      <c r="Q1193" s="198"/>
      <c r="R1193" s="198"/>
      <c r="S1193" s="198"/>
      <c r="T1193" s="198"/>
      <c r="U1193" s="198"/>
      <c r="V1193" s="198"/>
      <c r="W1193" s="198"/>
      <c r="X1193" s="198"/>
      <c r="Y1193" s="198"/>
      <c r="Z1193" s="198"/>
    </row>
    <row r="1194" spans="1:26" ht="15.75" hidden="1" customHeight="1" x14ac:dyDescent="0.25">
      <c r="A1194" s="213">
        <v>1940</v>
      </c>
      <c r="B1194" s="214" t="s">
        <v>9686</v>
      </c>
      <c r="C1194" s="215" t="s">
        <v>580</v>
      </c>
      <c r="D1194" s="216">
        <v>28.07</v>
      </c>
      <c r="E1194" s="198"/>
      <c r="F1194" s="198"/>
      <c r="G1194" s="198"/>
      <c r="H1194" s="198"/>
      <c r="I1194" s="198"/>
      <c r="J1194" s="198"/>
      <c r="K1194" s="198"/>
      <c r="L1194" s="198"/>
      <c r="M1194" s="198"/>
      <c r="N1194" s="198"/>
      <c r="O1194" s="198"/>
      <c r="P1194" s="198"/>
      <c r="Q1194" s="198"/>
      <c r="R1194" s="198"/>
      <c r="S1194" s="198"/>
      <c r="T1194" s="198"/>
      <c r="U1194" s="198"/>
      <c r="V1194" s="198"/>
      <c r="W1194" s="198"/>
      <c r="X1194" s="198"/>
      <c r="Y1194" s="198"/>
      <c r="Z1194" s="198"/>
    </row>
    <row r="1195" spans="1:26" ht="15.75" hidden="1" customHeight="1" x14ac:dyDescent="0.25">
      <c r="A1195" s="213">
        <v>1939</v>
      </c>
      <c r="B1195" s="214" t="s">
        <v>9687</v>
      </c>
      <c r="C1195" s="215" t="s">
        <v>580</v>
      </c>
      <c r="D1195" s="216">
        <v>7.7</v>
      </c>
      <c r="E1195" s="198"/>
      <c r="F1195" s="198"/>
      <c r="G1195" s="198"/>
      <c r="H1195" s="198"/>
      <c r="I1195" s="198"/>
      <c r="J1195" s="198"/>
      <c r="K1195" s="198"/>
      <c r="L1195" s="198"/>
      <c r="M1195" s="198"/>
      <c r="N1195" s="198"/>
      <c r="O1195" s="198"/>
      <c r="P1195" s="198"/>
      <c r="Q1195" s="198"/>
      <c r="R1195" s="198"/>
      <c r="S1195" s="198"/>
      <c r="T1195" s="198"/>
      <c r="U1195" s="198"/>
      <c r="V1195" s="198"/>
      <c r="W1195" s="198"/>
      <c r="X1195" s="198"/>
      <c r="Y1195" s="198"/>
      <c r="Z1195" s="198"/>
    </row>
    <row r="1196" spans="1:26" ht="15.75" hidden="1" customHeight="1" x14ac:dyDescent="0.25">
      <c r="A1196" s="213">
        <v>1937</v>
      </c>
      <c r="B1196" s="214" t="s">
        <v>9688</v>
      </c>
      <c r="C1196" s="215" t="s">
        <v>580</v>
      </c>
      <c r="D1196" s="216">
        <v>4.74</v>
      </c>
      <c r="E1196" s="198"/>
      <c r="F1196" s="198"/>
      <c r="G1196" s="198"/>
      <c r="H1196" s="198"/>
      <c r="I1196" s="198"/>
      <c r="J1196" s="198"/>
      <c r="K1196" s="198"/>
      <c r="L1196" s="198"/>
      <c r="M1196" s="198"/>
      <c r="N1196" s="198"/>
      <c r="O1196" s="198"/>
      <c r="P1196" s="198"/>
      <c r="Q1196" s="198"/>
      <c r="R1196" s="198"/>
      <c r="S1196" s="198"/>
      <c r="T1196" s="198"/>
      <c r="U1196" s="198"/>
      <c r="V1196" s="198"/>
      <c r="W1196" s="198"/>
      <c r="X1196" s="198"/>
      <c r="Y1196" s="198"/>
      <c r="Z1196" s="198"/>
    </row>
    <row r="1197" spans="1:26" ht="15.75" hidden="1" customHeight="1" x14ac:dyDescent="0.25">
      <c r="A1197" s="213">
        <v>1938</v>
      </c>
      <c r="B1197" s="214" t="s">
        <v>9689</v>
      </c>
      <c r="C1197" s="215" t="s">
        <v>580</v>
      </c>
      <c r="D1197" s="216">
        <v>5.39</v>
      </c>
      <c r="E1197" s="198"/>
      <c r="F1197" s="198"/>
      <c r="G1197" s="198"/>
      <c r="H1197" s="198"/>
      <c r="I1197" s="198"/>
      <c r="J1197" s="198"/>
      <c r="K1197" s="198"/>
      <c r="L1197" s="198"/>
      <c r="M1197" s="198"/>
      <c r="N1197" s="198"/>
      <c r="O1197" s="198"/>
      <c r="P1197" s="198"/>
      <c r="Q1197" s="198"/>
      <c r="R1197" s="198"/>
      <c r="S1197" s="198"/>
      <c r="T1197" s="198"/>
      <c r="U1197" s="198"/>
      <c r="V1197" s="198"/>
      <c r="W1197" s="198"/>
      <c r="X1197" s="198"/>
      <c r="Y1197" s="198"/>
      <c r="Z1197" s="198"/>
    </row>
    <row r="1198" spans="1:26" ht="15.75" hidden="1" customHeight="1" x14ac:dyDescent="0.25">
      <c r="A1198" s="213">
        <v>1966</v>
      </c>
      <c r="B1198" s="214" t="s">
        <v>9690</v>
      </c>
      <c r="C1198" s="215" t="s">
        <v>580</v>
      </c>
      <c r="D1198" s="216">
        <v>22.48</v>
      </c>
      <c r="E1198" s="198"/>
      <c r="F1198" s="198"/>
      <c r="G1198" s="198"/>
      <c r="H1198" s="198"/>
      <c r="I1198" s="198"/>
      <c r="J1198" s="198"/>
      <c r="K1198" s="198"/>
      <c r="L1198" s="198"/>
      <c r="M1198" s="198"/>
      <c r="N1198" s="198"/>
      <c r="O1198" s="198"/>
      <c r="P1198" s="198"/>
      <c r="Q1198" s="198"/>
      <c r="R1198" s="198"/>
      <c r="S1198" s="198"/>
      <c r="T1198" s="198"/>
      <c r="U1198" s="198"/>
      <c r="V1198" s="198"/>
      <c r="W1198" s="198"/>
      <c r="X1198" s="198"/>
      <c r="Y1198" s="198"/>
      <c r="Z1198" s="198"/>
    </row>
    <row r="1199" spans="1:26" ht="15.75" hidden="1" customHeight="1" x14ac:dyDescent="0.25">
      <c r="A1199" s="213">
        <v>1933</v>
      </c>
      <c r="B1199" s="214" t="s">
        <v>9691</v>
      </c>
      <c r="C1199" s="215" t="s">
        <v>580</v>
      </c>
      <c r="D1199" s="216">
        <v>4.84</v>
      </c>
      <c r="E1199" s="198"/>
      <c r="F1199" s="198"/>
      <c r="G1199" s="198"/>
      <c r="H1199" s="198"/>
      <c r="I1199" s="198"/>
      <c r="J1199" s="198"/>
      <c r="K1199" s="198"/>
      <c r="L1199" s="198"/>
      <c r="M1199" s="198"/>
      <c r="N1199" s="198"/>
      <c r="O1199" s="198"/>
      <c r="P1199" s="198"/>
      <c r="Q1199" s="198"/>
      <c r="R1199" s="198"/>
      <c r="S1199" s="198"/>
      <c r="T1199" s="198"/>
      <c r="U1199" s="198"/>
      <c r="V1199" s="198"/>
      <c r="W1199" s="198"/>
      <c r="X1199" s="198"/>
      <c r="Y1199" s="198"/>
      <c r="Z1199" s="198"/>
    </row>
    <row r="1200" spans="1:26" ht="15.75" hidden="1" customHeight="1" x14ac:dyDescent="0.25">
      <c r="A1200" s="213">
        <v>1932</v>
      </c>
      <c r="B1200" s="214" t="s">
        <v>9692</v>
      </c>
      <c r="C1200" s="215" t="s">
        <v>580</v>
      </c>
      <c r="D1200" s="216">
        <v>11.09</v>
      </c>
      <c r="E1200" s="198"/>
      <c r="F1200" s="198"/>
      <c r="G1200" s="198"/>
      <c r="H1200" s="198"/>
      <c r="I1200" s="198"/>
      <c r="J1200" s="198"/>
      <c r="K1200" s="198"/>
      <c r="L1200" s="198"/>
      <c r="M1200" s="198"/>
      <c r="N1200" s="198"/>
      <c r="O1200" s="198"/>
      <c r="P1200" s="198"/>
      <c r="Q1200" s="198"/>
      <c r="R1200" s="198"/>
      <c r="S1200" s="198"/>
      <c r="T1200" s="198"/>
      <c r="U1200" s="198"/>
      <c r="V1200" s="198"/>
      <c r="W1200" s="198"/>
      <c r="X1200" s="198"/>
      <c r="Y1200" s="198"/>
      <c r="Z1200" s="198"/>
    </row>
    <row r="1201" spans="1:26" ht="15.75" hidden="1" customHeight="1" x14ac:dyDescent="0.25">
      <c r="A1201" s="213">
        <v>1951</v>
      </c>
      <c r="B1201" s="214" t="s">
        <v>9693</v>
      </c>
      <c r="C1201" s="215" t="s">
        <v>580</v>
      </c>
      <c r="D1201" s="216">
        <v>23.13</v>
      </c>
      <c r="E1201" s="198"/>
      <c r="F1201" s="198"/>
      <c r="G1201" s="198"/>
      <c r="H1201" s="198"/>
      <c r="I1201" s="198"/>
      <c r="J1201" s="198"/>
      <c r="K1201" s="198"/>
      <c r="L1201" s="198"/>
      <c r="M1201" s="198"/>
      <c r="N1201" s="198"/>
      <c r="O1201" s="198"/>
      <c r="P1201" s="198"/>
      <c r="Q1201" s="198"/>
      <c r="R1201" s="198"/>
      <c r="S1201" s="198"/>
      <c r="T1201" s="198"/>
      <c r="U1201" s="198"/>
      <c r="V1201" s="198"/>
      <c r="W1201" s="198"/>
      <c r="X1201" s="198"/>
      <c r="Y1201" s="198"/>
      <c r="Z1201" s="198"/>
    </row>
    <row r="1202" spans="1:26" ht="15.75" hidden="1" customHeight="1" x14ac:dyDescent="0.25">
      <c r="A1202" s="213">
        <v>1970</v>
      </c>
      <c r="B1202" s="214" t="s">
        <v>9694</v>
      </c>
      <c r="C1202" s="215" t="s">
        <v>580</v>
      </c>
      <c r="D1202" s="216">
        <v>56.2</v>
      </c>
      <c r="E1202" s="198"/>
      <c r="F1202" s="198"/>
      <c r="G1202" s="198"/>
      <c r="H1202" s="198"/>
      <c r="I1202" s="198"/>
      <c r="J1202" s="198"/>
      <c r="K1202" s="198"/>
      <c r="L1202" s="198"/>
      <c r="M1202" s="198"/>
      <c r="N1202" s="198"/>
      <c r="O1202" s="198"/>
      <c r="P1202" s="198"/>
      <c r="Q1202" s="198"/>
      <c r="R1202" s="198"/>
      <c r="S1202" s="198"/>
      <c r="T1202" s="198"/>
      <c r="U1202" s="198"/>
      <c r="V1202" s="198"/>
      <c r="W1202" s="198"/>
      <c r="X1202" s="198"/>
      <c r="Y1202" s="198"/>
      <c r="Z1202" s="198"/>
    </row>
    <row r="1203" spans="1:26" ht="15.75" hidden="1" customHeight="1" x14ac:dyDescent="0.25">
      <c r="A1203" s="213">
        <v>1967</v>
      </c>
      <c r="B1203" s="214" t="s">
        <v>9695</v>
      </c>
      <c r="C1203" s="215" t="s">
        <v>580</v>
      </c>
      <c r="D1203" s="216">
        <v>6.67</v>
      </c>
      <c r="E1203" s="198"/>
      <c r="F1203" s="198"/>
      <c r="G1203" s="198"/>
      <c r="H1203" s="198"/>
      <c r="I1203" s="198"/>
      <c r="J1203" s="198"/>
      <c r="K1203" s="198"/>
      <c r="L1203" s="198"/>
      <c r="M1203" s="198"/>
      <c r="N1203" s="198"/>
      <c r="O1203" s="198"/>
      <c r="P1203" s="198"/>
      <c r="Q1203" s="198"/>
      <c r="R1203" s="198"/>
      <c r="S1203" s="198"/>
      <c r="T1203" s="198"/>
      <c r="U1203" s="198"/>
      <c r="V1203" s="198"/>
      <c r="W1203" s="198"/>
      <c r="X1203" s="198"/>
      <c r="Y1203" s="198"/>
      <c r="Z1203" s="198"/>
    </row>
    <row r="1204" spans="1:26" ht="15.75" hidden="1" customHeight="1" x14ac:dyDescent="0.25">
      <c r="A1204" s="213">
        <v>1968</v>
      </c>
      <c r="B1204" s="214" t="s">
        <v>9696</v>
      </c>
      <c r="C1204" s="215" t="s">
        <v>580</v>
      </c>
      <c r="D1204" s="216">
        <v>13.19</v>
      </c>
      <c r="E1204" s="198"/>
      <c r="F1204" s="198"/>
      <c r="G1204" s="198"/>
      <c r="H1204" s="198"/>
      <c r="I1204" s="198"/>
      <c r="J1204" s="198"/>
      <c r="K1204" s="198"/>
      <c r="L1204" s="198"/>
      <c r="M1204" s="198"/>
      <c r="N1204" s="198"/>
      <c r="O1204" s="198"/>
      <c r="P1204" s="198"/>
      <c r="Q1204" s="198"/>
      <c r="R1204" s="198"/>
      <c r="S1204" s="198"/>
      <c r="T1204" s="198"/>
      <c r="U1204" s="198"/>
      <c r="V1204" s="198"/>
      <c r="W1204" s="198"/>
      <c r="X1204" s="198"/>
      <c r="Y1204" s="198"/>
      <c r="Z1204" s="198"/>
    </row>
    <row r="1205" spans="1:26" ht="15.75" hidden="1" customHeight="1" x14ac:dyDescent="0.25">
      <c r="A1205" s="213">
        <v>1969</v>
      </c>
      <c r="B1205" s="214" t="s">
        <v>9697</v>
      </c>
      <c r="C1205" s="215" t="s">
        <v>580</v>
      </c>
      <c r="D1205" s="216">
        <v>42.94</v>
      </c>
      <c r="E1205" s="198"/>
      <c r="F1205" s="198"/>
      <c r="G1205" s="198"/>
      <c r="H1205" s="198"/>
      <c r="I1205" s="198"/>
      <c r="J1205" s="198"/>
      <c r="K1205" s="198"/>
      <c r="L1205" s="198"/>
      <c r="M1205" s="198"/>
      <c r="N1205" s="198"/>
      <c r="O1205" s="198"/>
      <c r="P1205" s="198"/>
      <c r="Q1205" s="198"/>
      <c r="R1205" s="198"/>
      <c r="S1205" s="198"/>
      <c r="T1205" s="198"/>
      <c r="U1205" s="198"/>
      <c r="V1205" s="198"/>
      <c r="W1205" s="198"/>
      <c r="X1205" s="198"/>
      <c r="Y1205" s="198"/>
      <c r="Z1205" s="198"/>
    </row>
    <row r="1206" spans="1:26" ht="15.75" hidden="1" customHeight="1" x14ac:dyDescent="0.25">
      <c r="A1206" s="213">
        <v>42693</v>
      </c>
      <c r="B1206" s="214" t="s">
        <v>9698</v>
      </c>
      <c r="C1206" s="215" t="s">
        <v>580</v>
      </c>
      <c r="D1206" s="216">
        <v>412.68</v>
      </c>
      <c r="E1206" s="198"/>
      <c r="F1206" s="198"/>
      <c r="G1206" s="198"/>
      <c r="H1206" s="198"/>
      <c r="I1206" s="198"/>
      <c r="J1206" s="198"/>
      <c r="K1206" s="198"/>
      <c r="L1206" s="198"/>
      <c r="M1206" s="198"/>
      <c r="N1206" s="198"/>
      <c r="O1206" s="198"/>
      <c r="P1206" s="198"/>
      <c r="Q1206" s="198"/>
      <c r="R1206" s="198"/>
      <c r="S1206" s="198"/>
      <c r="T1206" s="198"/>
      <c r="U1206" s="198"/>
      <c r="V1206" s="198"/>
      <c r="W1206" s="198"/>
      <c r="X1206" s="198"/>
      <c r="Y1206" s="198"/>
      <c r="Z1206" s="198"/>
    </row>
    <row r="1207" spans="1:26" ht="15.75" hidden="1" customHeight="1" x14ac:dyDescent="0.25">
      <c r="A1207" s="213">
        <v>42695</v>
      </c>
      <c r="B1207" s="214" t="s">
        <v>9699</v>
      </c>
      <c r="C1207" s="215" t="s">
        <v>580</v>
      </c>
      <c r="D1207" s="216">
        <v>288.32</v>
      </c>
      <c r="E1207" s="198"/>
      <c r="F1207" s="198"/>
      <c r="G1207" s="198"/>
      <c r="H1207" s="198"/>
      <c r="I1207" s="198"/>
      <c r="J1207" s="198"/>
      <c r="K1207" s="198"/>
      <c r="L1207" s="198"/>
      <c r="M1207" s="198"/>
      <c r="N1207" s="198"/>
      <c r="O1207" s="198"/>
      <c r="P1207" s="198"/>
      <c r="Q1207" s="198"/>
      <c r="R1207" s="198"/>
      <c r="S1207" s="198"/>
      <c r="T1207" s="198"/>
      <c r="U1207" s="198"/>
      <c r="V1207" s="198"/>
      <c r="W1207" s="198"/>
      <c r="X1207" s="198"/>
      <c r="Y1207" s="198"/>
      <c r="Z1207" s="198"/>
    </row>
    <row r="1208" spans="1:26" ht="15.75" hidden="1" customHeight="1" x14ac:dyDescent="0.25">
      <c r="A1208" s="213">
        <v>42694</v>
      </c>
      <c r="B1208" s="214" t="s">
        <v>9700</v>
      </c>
      <c r="C1208" s="215" t="s">
        <v>580</v>
      </c>
      <c r="D1208" s="216">
        <v>552.25</v>
      </c>
      <c r="E1208" s="198"/>
      <c r="F1208" s="198"/>
      <c r="G1208" s="198"/>
      <c r="H1208" s="198"/>
      <c r="I1208" s="198"/>
      <c r="J1208" s="198"/>
      <c r="K1208" s="198"/>
      <c r="L1208" s="198"/>
      <c r="M1208" s="198"/>
      <c r="N1208" s="198"/>
      <c r="O1208" s="198"/>
      <c r="P1208" s="198"/>
      <c r="Q1208" s="198"/>
      <c r="R1208" s="198"/>
      <c r="S1208" s="198"/>
      <c r="T1208" s="198"/>
      <c r="U1208" s="198"/>
      <c r="V1208" s="198"/>
      <c r="W1208" s="198"/>
      <c r="X1208" s="198"/>
      <c r="Y1208" s="198"/>
      <c r="Z1208" s="198"/>
    </row>
    <row r="1209" spans="1:26" ht="15.75" hidden="1" customHeight="1" x14ac:dyDescent="0.25">
      <c r="A1209" s="213">
        <v>20097</v>
      </c>
      <c r="B1209" s="214" t="s">
        <v>9701</v>
      </c>
      <c r="C1209" s="215" t="s">
        <v>580</v>
      </c>
      <c r="D1209" s="216">
        <v>23.94</v>
      </c>
      <c r="E1209" s="198"/>
      <c r="F1209" s="198"/>
      <c r="G1209" s="198"/>
      <c r="H1209" s="198"/>
      <c r="I1209" s="198"/>
      <c r="J1209" s="198"/>
      <c r="K1209" s="198"/>
      <c r="L1209" s="198"/>
      <c r="M1209" s="198"/>
      <c r="N1209" s="198"/>
      <c r="O1209" s="198"/>
      <c r="P1209" s="198"/>
      <c r="Q1209" s="198"/>
      <c r="R1209" s="198"/>
      <c r="S1209" s="198"/>
      <c r="T1209" s="198"/>
      <c r="U1209" s="198"/>
      <c r="V1209" s="198"/>
      <c r="W1209" s="198"/>
      <c r="X1209" s="198"/>
      <c r="Y1209" s="198"/>
      <c r="Z1209" s="198"/>
    </row>
    <row r="1210" spans="1:26" ht="15.75" hidden="1" customHeight="1" x14ac:dyDescent="0.25">
      <c r="A1210" s="213">
        <v>20098</v>
      </c>
      <c r="B1210" s="214" t="s">
        <v>9702</v>
      </c>
      <c r="C1210" s="215" t="s">
        <v>580</v>
      </c>
      <c r="D1210" s="216">
        <v>97.86</v>
      </c>
      <c r="E1210" s="198"/>
      <c r="F1210" s="198"/>
      <c r="G1210" s="198"/>
      <c r="H1210" s="198"/>
      <c r="I1210" s="198"/>
      <c r="J1210" s="198"/>
      <c r="K1210" s="198"/>
      <c r="L1210" s="198"/>
      <c r="M1210" s="198"/>
      <c r="N1210" s="198"/>
      <c r="O1210" s="198"/>
      <c r="P1210" s="198"/>
      <c r="Q1210" s="198"/>
      <c r="R1210" s="198"/>
      <c r="S1210" s="198"/>
      <c r="T1210" s="198"/>
      <c r="U1210" s="198"/>
      <c r="V1210" s="198"/>
      <c r="W1210" s="198"/>
      <c r="X1210" s="198"/>
      <c r="Y1210" s="198"/>
      <c r="Z1210" s="198"/>
    </row>
    <row r="1211" spans="1:26" ht="15.75" hidden="1" customHeight="1" x14ac:dyDescent="0.25">
      <c r="A1211" s="213">
        <v>20096</v>
      </c>
      <c r="B1211" s="214" t="s">
        <v>9703</v>
      </c>
      <c r="C1211" s="215" t="s">
        <v>580</v>
      </c>
      <c r="D1211" s="216">
        <v>24.78</v>
      </c>
      <c r="E1211" s="198"/>
      <c r="F1211" s="198"/>
      <c r="G1211" s="198"/>
      <c r="H1211" s="198"/>
      <c r="I1211" s="198"/>
      <c r="J1211" s="198"/>
      <c r="K1211" s="198"/>
      <c r="L1211" s="198"/>
      <c r="M1211" s="198"/>
      <c r="N1211" s="198"/>
      <c r="O1211" s="198"/>
      <c r="P1211" s="198"/>
      <c r="Q1211" s="198"/>
      <c r="R1211" s="198"/>
      <c r="S1211" s="198"/>
      <c r="T1211" s="198"/>
      <c r="U1211" s="198"/>
      <c r="V1211" s="198"/>
      <c r="W1211" s="198"/>
      <c r="X1211" s="198"/>
      <c r="Y1211" s="198"/>
      <c r="Z1211" s="198"/>
    </row>
    <row r="1212" spans="1:26" ht="15.75" hidden="1" customHeight="1" x14ac:dyDescent="0.25">
      <c r="A1212" s="213">
        <v>38369</v>
      </c>
      <c r="B1212" s="214" t="s">
        <v>9704</v>
      </c>
      <c r="C1212" s="215" t="s">
        <v>580</v>
      </c>
      <c r="D1212" s="216">
        <v>15</v>
      </c>
      <c r="E1212" s="198"/>
      <c r="F1212" s="198"/>
      <c r="G1212" s="198"/>
      <c r="H1212" s="198"/>
      <c r="I1212" s="198"/>
      <c r="J1212" s="198"/>
      <c r="K1212" s="198"/>
      <c r="L1212" s="198"/>
      <c r="M1212" s="198"/>
      <c r="N1212" s="198"/>
      <c r="O1212" s="198"/>
      <c r="P1212" s="198"/>
      <c r="Q1212" s="198"/>
      <c r="R1212" s="198"/>
      <c r="S1212" s="198"/>
      <c r="T1212" s="198"/>
      <c r="U1212" s="198"/>
      <c r="V1212" s="198"/>
      <c r="W1212" s="198"/>
      <c r="X1212" s="198"/>
      <c r="Y1212" s="198"/>
      <c r="Z1212" s="198"/>
    </row>
    <row r="1213" spans="1:26" ht="15.75" hidden="1" customHeight="1" x14ac:dyDescent="0.25">
      <c r="A1213" s="213">
        <v>38370</v>
      </c>
      <c r="B1213" s="214" t="s">
        <v>9705</v>
      </c>
      <c r="C1213" s="215" t="s">
        <v>580</v>
      </c>
      <c r="D1213" s="216">
        <v>15</v>
      </c>
      <c r="E1213" s="198"/>
      <c r="F1213" s="198"/>
      <c r="G1213" s="198"/>
      <c r="H1213" s="198"/>
      <c r="I1213" s="198"/>
      <c r="J1213" s="198"/>
      <c r="K1213" s="198"/>
      <c r="L1213" s="198"/>
      <c r="M1213" s="198"/>
      <c r="N1213" s="198"/>
      <c r="O1213" s="198"/>
      <c r="P1213" s="198"/>
      <c r="Q1213" s="198"/>
      <c r="R1213" s="198"/>
      <c r="S1213" s="198"/>
      <c r="T1213" s="198"/>
      <c r="U1213" s="198"/>
      <c r="V1213" s="198"/>
      <c r="W1213" s="198"/>
      <c r="X1213" s="198"/>
      <c r="Y1213" s="198"/>
      <c r="Z1213" s="198"/>
    </row>
    <row r="1214" spans="1:26" ht="15.75" hidden="1" customHeight="1" x14ac:dyDescent="0.25">
      <c r="A1214" s="213">
        <v>38372</v>
      </c>
      <c r="B1214" s="214" t="s">
        <v>9706</v>
      </c>
      <c r="C1214" s="215" t="s">
        <v>580</v>
      </c>
      <c r="D1214" s="216">
        <v>18.440000000000001</v>
      </c>
      <c r="E1214" s="198"/>
      <c r="F1214" s="198"/>
      <c r="G1214" s="198"/>
      <c r="H1214" s="198"/>
      <c r="I1214" s="198"/>
      <c r="J1214" s="198"/>
      <c r="K1214" s="198"/>
      <c r="L1214" s="198"/>
      <c r="M1214" s="198"/>
      <c r="N1214" s="198"/>
      <c r="O1214" s="198"/>
      <c r="P1214" s="198"/>
      <c r="Q1214" s="198"/>
      <c r="R1214" s="198"/>
      <c r="S1214" s="198"/>
      <c r="T1214" s="198"/>
      <c r="U1214" s="198"/>
      <c r="V1214" s="198"/>
      <c r="W1214" s="198"/>
      <c r="X1214" s="198"/>
      <c r="Y1214" s="198"/>
      <c r="Z1214" s="198"/>
    </row>
    <row r="1215" spans="1:26" ht="15.75" hidden="1" customHeight="1" x14ac:dyDescent="0.25">
      <c r="A1215" s="213">
        <v>2358</v>
      </c>
      <c r="B1215" s="214" t="s">
        <v>9707</v>
      </c>
      <c r="C1215" s="215" t="s">
        <v>2193</v>
      </c>
      <c r="D1215" s="216">
        <v>22.17</v>
      </c>
      <c r="E1215" s="198"/>
      <c r="F1215" s="198"/>
      <c r="G1215" s="198"/>
      <c r="H1215" s="198"/>
      <c r="I1215" s="198"/>
      <c r="J1215" s="198"/>
      <c r="K1215" s="198"/>
      <c r="L1215" s="198"/>
      <c r="M1215" s="198"/>
      <c r="N1215" s="198"/>
      <c r="O1215" s="198"/>
      <c r="P1215" s="198"/>
      <c r="Q1215" s="198"/>
      <c r="R1215" s="198"/>
      <c r="S1215" s="198"/>
      <c r="T1215" s="198"/>
      <c r="U1215" s="198"/>
      <c r="V1215" s="198"/>
      <c r="W1215" s="198"/>
      <c r="X1215" s="198"/>
      <c r="Y1215" s="198"/>
      <c r="Z1215" s="198"/>
    </row>
    <row r="1216" spans="1:26" ht="15.75" hidden="1" customHeight="1" x14ac:dyDescent="0.25">
      <c r="A1216" s="213">
        <v>40807</v>
      </c>
      <c r="B1216" s="214" t="s">
        <v>9708</v>
      </c>
      <c r="C1216" s="215" t="s">
        <v>6214</v>
      </c>
      <c r="D1216" s="216">
        <v>3892.32</v>
      </c>
      <c r="E1216" s="198"/>
      <c r="F1216" s="198"/>
      <c r="G1216" s="198"/>
      <c r="H1216" s="198"/>
      <c r="I1216" s="198"/>
      <c r="J1216" s="198"/>
      <c r="K1216" s="198"/>
      <c r="L1216" s="198"/>
      <c r="M1216" s="198"/>
      <c r="N1216" s="198"/>
      <c r="O1216" s="198"/>
      <c r="P1216" s="198"/>
      <c r="Q1216" s="198"/>
      <c r="R1216" s="198"/>
      <c r="S1216" s="198"/>
      <c r="T1216" s="198"/>
      <c r="U1216" s="198"/>
      <c r="V1216" s="198"/>
      <c r="W1216" s="198"/>
      <c r="X1216" s="198"/>
      <c r="Y1216" s="198"/>
      <c r="Z1216" s="198"/>
    </row>
    <row r="1217" spans="1:26" ht="15.75" hidden="1" customHeight="1" x14ac:dyDescent="0.25">
      <c r="A1217" s="213">
        <v>44330</v>
      </c>
      <c r="B1217" s="214" t="s">
        <v>9709</v>
      </c>
      <c r="C1217" s="215" t="s">
        <v>517</v>
      </c>
      <c r="D1217" s="216">
        <v>9.15</v>
      </c>
      <c r="E1217" s="198"/>
      <c r="F1217" s="198"/>
      <c r="G1217" s="198"/>
      <c r="H1217" s="198"/>
      <c r="I1217" s="198"/>
      <c r="J1217" s="198"/>
      <c r="K1217" s="198"/>
      <c r="L1217" s="198"/>
      <c r="M1217" s="198"/>
      <c r="N1217" s="198"/>
      <c r="O1217" s="198"/>
      <c r="P1217" s="198"/>
      <c r="Q1217" s="198"/>
      <c r="R1217" s="198"/>
      <c r="S1217" s="198"/>
      <c r="T1217" s="198"/>
      <c r="U1217" s="198"/>
      <c r="V1217" s="198"/>
      <c r="W1217" s="198"/>
      <c r="X1217" s="198"/>
      <c r="Y1217" s="198"/>
      <c r="Z1217" s="198"/>
    </row>
    <row r="1218" spans="1:26" ht="15.75" hidden="1" customHeight="1" x14ac:dyDescent="0.25">
      <c r="A1218" s="213">
        <v>43144</v>
      </c>
      <c r="B1218" s="214" t="s">
        <v>9710</v>
      </c>
      <c r="C1218" s="215" t="s">
        <v>823</v>
      </c>
      <c r="D1218" s="216">
        <v>36.68</v>
      </c>
      <c r="E1218" s="198"/>
      <c r="F1218" s="198"/>
      <c r="G1218" s="198"/>
      <c r="H1218" s="198"/>
      <c r="I1218" s="198"/>
      <c r="J1218" s="198"/>
      <c r="K1218" s="198"/>
      <c r="L1218" s="198"/>
      <c r="M1218" s="198"/>
      <c r="N1218" s="198"/>
      <c r="O1218" s="198"/>
      <c r="P1218" s="198"/>
      <c r="Q1218" s="198"/>
      <c r="R1218" s="198"/>
      <c r="S1218" s="198"/>
      <c r="T1218" s="198"/>
      <c r="U1218" s="198"/>
      <c r="V1218" s="198"/>
      <c r="W1218" s="198"/>
      <c r="X1218" s="198"/>
      <c r="Y1218" s="198"/>
      <c r="Z1218" s="198"/>
    </row>
    <row r="1219" spans="1:26" ht="15.75" hidden="1" customHeight="1" x14ac:dyDescent="0.25">
      <c r="A1219" s="213">
        <v>39397</v>
      </c>
      <c r="B1219" s="214" t="s">
        <v>9711</v>
      </c>
      <c r="C1219" s="215" t="s">
        <v>517</v>
      </c>
      <c r="D1219" s="216">
        <v>16.72</v>
      </c>
      <c r="E1219" s="198"/>
      <c r="F1219" s="198"/>
      <c r="G1219" s="198"/>
      <c r="H1219" s="198"/>
      <c r="I1219" s="198"/>
      <c r="J1219" s="198"/>
      <c r="K1219" s="198"/>
      <c r="L1219" s="198"/>
      <c r="M1219" s="198"/>
      <c r="N1219" s="198"/>
      <c r="O1219" s="198"/>
      <c r="P1219" s="198"/>
      <c r="Q1219" s="198"/>
      <c r="R1219" s="198"/>
      <c r="S1219" s="198"/>
      <c r="T1219" s="198"/>
      <c r="U1219" s="198"/>
      <c r="V1219" s="198"/>
      <c r="W1219" s="198"/>
      <c r="X1219" s="198"/>
      <c r="Y1219" s="198"/>
      <c r="Z1219" s="198"/>
    </row>
    <row r="1220" spans="1:26" ht="15.75" hidden="1" customHeight="1" x14ac:dyDescent="0.25">
      <c r="A1220" s="213">
        <v>2692</v>
      </c>
      <c r="B1220" s="214" t="s">
        <v>9712</v>
      </c>
      <c r="C1220" s="215" t="s">
        <v>517</v>
      </c>
      <c r="D1220" s="216">
        <v>6.74</v>
      </c>
      <c r="E1220" s="198"/>
      <c r="F1220" s="198"/>
      <c r="G1220" s="198"/>
      <c r="H1220" s="198"/>
      <c r="I1220" s="198"/>
      <c r="J1220" s="198"/>
      <c r="K1220" s="198"/>
      <c r="L1220" s="198"/>
      <c r="M1220" s="198"/>
      <c r="N1220" s="198"/>
      <c r="O1220" s="198"/>
      <c r="P1220" s="198"/>
      <c r="Q1220" s="198"/>
      <c r="R1220" s="198"/>
      <c r="S1220" s="198"/>
      <c r="T1220" s="198"/>
      <c r="U1220" s="198"/>
      <c r="V1220" s="198"/>
      <c r="W1220" s="198"/>
      <c r="X1220" s="198"/>
      <c r="Y1220" s="198"/>
      <c r="Z1220" s="198"/>
    </row>
    <row r="1221" spans="1:26" ht="15.75" hidden="1" customHeight="1" x14ac:dyDescent="0.25">
      <c r="A1221" s="213">
        <v>44329</v>
      </c>
      <c r="B1221" s="214" t="s">
        <v>9713</v>
      </c>
      <c r="C1221" s="215" t="s">
        <v>517</v>
      </c>
      <c r="D1221" s="216">
        <v>12</v>
      </c>
      <c r="E1221" s="198"/>
      <c r="F1221" s="198"/>
      <c r="G1221" s="198"/>
      <c r="H1221" s="198"/>
      <c r="I1221" s="198"/>
      <c r="J1221" s="198"/>
      <c r="K1221" s="198"/>
      <c r="L1221" s="198"/>
      <c r="M1221" s="198"/>
      <c r="N1221" s="198"/>
      <c r="O1221" s="198"/>
      <c r="P1221" s="198"/>
      <c r="Q1221" s="198"/>
      <c r="R1221" s="198"/>
      <c r="S1221" s="198"/>
      <c r="T1221" s="198"/>
      <c r="U1221" s="198"/>
      <c r="V1221" s="198"/>
      <c r="W1221" s="198"/>
      <c r="X1221" s="198"/>
      <c r="Y1221" s="198"/>
      <c r="Z1221" s="198"/>
    </row>
    <row r="1222" spans="1:26" ht="15.75" hidden="1" customHeight="1" x14ac:dyDescent="0.25">
      <c r="A1222" s="213">
        <v>5318</v>
      </c>
      <c r="B1222" s="214" t="s">
        <v>9714</v>
      </c>
      <c r="C1222" s="215" t="s">
        <v>517</v>
      </c>
      <c r="D1222" s="216">
        <v>19.399999999999999</v>
      </c>
      <c r="E1222" s="198"/>
      <c r="F1222" s="198"/>
      <c r="G1222" s="198"/>
      <c r="H1222" s="198"/>
      <c r="I1222" s="198"/>
      <c r="J1222" s="198"/>
      <c r="K1222" s="198"/>
      <c r="L1222" s="198"/>
      <c r="M1222" s="198"/>
      <c r="N1222" s="198"/>
      <c r="O1222" s="198"/>
      <c r="P1222" s="198"/>
      <c r="Q1222" s="198"/>
      <c r="R1222" s="198"/>
      <c r="S1222" s="198"/>
      <c r="T1222" s="198"/>
      <c r="U1222" s="198"/>
      <c r="V1222" s="198"/>
      <c r="W1222" s="198"/>
      <c r="X1222" s="198"/>
      <c r="Y1222" s="198"/>
      <c r="Z1222" s="198"/>
    </row>
    <row r="1223" spans="1:26" ht="15.75" hidden="1" customHeight="1" x14ac:dyDescent="0.25">
      <c r="A1223" s="213">
        <v>5330</v>
      </c>
      <c r="B1223" s="214" t="s">
        <v>9715</v>
      </c>
      <c r="C1223" s="215" t="s">
        <v>517</v>
      </c>
      <c r="D1223" s="216">
        <v>44.22</v>
      </c>
      <c r="E1223" s="198"/>
      <c r="F1223" s="198"/>
      <c r="G1223" s="198"/>
      <c r="H1223" s="198"/>
      <c r="I1223" s="198"/>
      <c r="J1223" s="198"/>
      <c r="K1223" s="198"/>
      <c r="L1223" s="198"/>
      <c r="M1223" s="198"/>
      <c r="N1223" s="198"/>
      <c r="O1223" s="198"/>
      <c r="P1223" s="198"/>
      <c r="Q1223" s="198"/>
      <c r="R1223" s="198"/>
      <c r="S1223" s="198"/>
      <c r="T1223" s="198"/>
      <c r="U1223" s="198"/>
      <c r="V1223" s="198"/>
      <c r="W1223" s="198"/>
      <c r="X1223" s="198"/>
      <c r="Y1223" s="198"/>
      <c r="Z1223" s="198"/>
    </row>
    <row r="1224" spans="1:26" ht="15.75" hidden="1" customHeight="1" x14ac:dyDescent="0.25">
      <c r="A1224" s="213">
        <v>44532</v>
      </c>
      <c r="B1224" s="214" t="s">
        <v>9716</v>
      </c>
      <c r="C1224" s="215" t="s">
        <v>580</v>
      </c>
      <c r="D1224" s="216">
        <v>27.24</v>
      </c>
      <c r="E1224" s="198"/>
      <c r="F1224" s="198"/>
      <c r="G1224" s="198"/>
      <c r="H1224" s="198"/>
      <c r="I1224" s="198"/>
      <c r="J1224" s="198"/>
      <c r="K1224" s="198"/>
      <c r="L1224" s="198"/>
      <c r="M1224" s="198"/>
      <c r="N1224" s="198"/>
      <c r="O1224" s="198"/>
      <c r="P1224" s="198"/>
      <c r="Q1224" s="198"/>
      <c r="R1224" s="198"/>
      <c r="S1224" s="198"/>
      <c r="T1224" s="198"/>
      <c r="U1224" s="198"/>
      <c r="V1224" s="198"/>
      <c r="W1224" s="198"/>
      <c r="X1224" s="198"/>
      <c r="Y1224" s="198"/>
      <c r="Z1224" s="198"/>
    </row>
    <row r="1225" spans="1:26" ht="15.75" hidden="1" customHeight="1" x14ac:dyDescent="0.25">
      <c r="A1225" s="213">
        <v>44531</v>
      </c>
      <c r="B1225" s="214" t="s">
        <v>9717</v>
      </c>
      <c r="C1225" s="215" t="s">
        <v>580</v>
      </c>
      <c r="D1225" s="216">
        <v>86.59</v>
      </c>
      <c r="E1225" s="198"/>
      <c r="F1225" s="198"/>
      <c r="G1225" s="198"/>
      <c r="H1225" s="198"/>
      <c r="I1225" s="198"/>
      <c r="J1225" s="198"/>
      <c r="K1225" s="198"/>
      <c r="L1225" s="198"/>
      <c r="M1225" s="198"/>
      <c r="N1225" s="198"/>
      <c r="O1225" s="198"/>
      <c r="P1225" s="198"/>
      <c r="Q1225" s="198"/>
      <c r="R1225" s="198"/>
      <c r="S1225" s="198"/>
      <c r="T1225" s="198"/>
      <c r="U1225" s="198"/>
      <c r="V1225" s="198"/>
      <c r="W1225" s="198"/>
      <c r="X1225" s="198"/>
      <c r="Y1225" s="198"/>
      <c r="Z1225" s="198"/>
    </row>
    <row r="1226" spans="1:26" ht="15.75" hidden="1" customHeight="1" x14ac:dyDescent="0.25">
      <c r="A1226" s="213">
        <v>13887</v>
      </c>
      <c r="B1226" s="214" t="s">
        <v>9718</v>
      </c>
      <c r="C1226" s="215" t="s">
        <v>580</v>
      </c>
      <c r="D1226" s="216">
        <v>497.19</v>
      </c>
      <c r="E1226" s="198"/>
      <c r="F1226" s="198"/>
      <c r="G1226" s="198"/>
      <c r="H1226" s="198"/>
      <c r="I1226" s="198"/>
      <c r="J1226" s="198"/>
      <c r="K1226" s="198"/>
      <c r="L1226" s="198"/>
      <c r="M1226" s="198"/>
      <c r="N1226" s="198"/>
      <c r="O1226" s="198"/>
      <c r="P1226" s="198"/>
      <c r="Q1226" s="198"/>
      <c r="R1226" s="198"/>
      <c r="S1226" s="198"/>
      <c r="T1226" s="198"/>
      <c r="U1226" s="198"/>
      <c r="V1226" s="198"/>
      <c r="W1226" s="198"/>
      <c r="X1226" s="198"/>
      <c r="Y1226" s="198"/>
      <c r="Z1226" s="198"/>
    </row>
    <row r="1227" spans="1:26" ht="15.75" hidden="1" customHeight="1" x14ac:dyDescent="0.25">
      <c r="A1227" s="213">
        <v>38140</v>
      </c>
      <c r="B1227" s="214" t="s">
        <v>9719</v>
      </c>
      <c r="C1227" s="215" t="s">
        <v>580</v>
      </c>
      <c r="D1227" s="216">
        <v>21</v>
      </c>
      <c r="E1227" s="198"/>
      <c r="F1227" s="198"/>
      <c r="G1227" s="198"/>
      <c r="H1227" s="198"/>
      <c r="I1227" s="198"/>
      <c r="J1227" s="198"/>
      <c r="K1227" s="198"/>
      <c r="L1227" s="198"/>
      <c r="M1227" s="198"/>
      <c r="N1227" s="198"/>
      <c r="O1227" s="198"/>
      <c r="P1227" s="198"/>
      <c r="Q1227" s="198"/>
      <c r="R1227" s="198"/>
      <c r="S1227" s="198"/>
      <c r="T1227" s="198"/>
      <c r="U1227" s="198"/>
      <c r="V1227" s="198"/>
      <c r="W1227" s="198"/>
      <c r="X1227" s="198"/>
      <c r="Y1227" s="198"/>
      <c r="Z1227" s="198"/>
    </row>
    <row r="1228" spans="1:26" ht="15.75" hidden="1" customHeight="1" x14ac:dyDescent="0.25">
      <c r="A1228" s="213">
        <v>44495</v>
      </c>
      <c r="B1228" s="214" t="s">
        <v>9720</v>
      </c>
      <c r="C1228" s="215" t="s">
        <v>580</v>
      </c>
      <c r="D1228" s="216">
        <v>22.13</v>
      </c>
      <c r="E1228" s="198"/>
      <c r="F1228" s="198"/>
      <c r="G1228" s="198"/>
      <c r="H1228" s="198"/>
      <c r="I1228" s="198"/>
      <c r="J1228" s="198"/>
      <c r="K1228" s="198"/>
      <c r="L1228" s="198"/>
      <c r="M1228" s="198"/>
      <c r="N1228" s="198"/>
      <c r="O1228" s="198"/>
      <c r="P1228" s="198"/>
      <c r="Q1228" s="198"/>
      <c r="R1228" s="198"/>
      <c r="S1228" s="198"/>
      <c r="T1228" s="198"/>
      <c r="U1228" s="198"/>
      <c r="V1228" s="198"/>
      <c r="W1228" s="198"/>
      <c r="X1228" s="198"/>
      <c r="Y1228" s="198"/>
      <c r="Z1228" s="198"/>
    </row>
    <row r="1229" spans="1:26" ht="15.75" hidden="1" customHeight="1" x14ac:dyDescent="0.25">
      <c r="A1229" s="213">
        <v>44533</v>
      </c>
      <c r="B1229" s="214" t="s">
        <v>9721</v>
      </c>
      <c r="C1229" s="215" t="s">
        <v>580</v>
      </c>
      <c r="D1229" s="216">
        <v>20.9</v>
      </c>
      <c r="E1229" s="198"/>
      <c r="F1229" s="198"/>
      <c r="G1229" s="198"/>
      <c r="H1229" s="198"/>
      <c r="I1229" s="198"/>
      <c r="J1229" s="198"/>
      <c r="K1229" s="198"/>
      <c r="L1229" s="198"/>
      <c r="M1229" s="198"/>
      <c r="N1229" s="198"/>
      <c r="O1229" s="198"/>
      <c r="P1229" s="198"/>
      <c r="Q1229" s="198"/>
      <c r="R1229" s="198"/>
      <c r="S1229" s="198"/>
      <c r="T1229" s="198"/>
      <c r="U1229" s="198"/>
      <c r="V1229" s="198"/>
      <c r="W1229" s="198"/>
      <c r="X1229" s="198"/>
      <c r="Y1229" s="198"/>
      <c r="Z1229" s="198"/>
    </row>
    <row r="1230" spans="1:26" ht="15.75" hidden="1" customHeight="1" x14ac:dyDescent="0.25">
      <c r="A1230" s="213">
        <v>44534</v>
      </c>
      <c r="B1230" s="214" t="s">
        <v>9722</v>
      </c>
      <c r="C1230" s="215" t="s">
        <v>580</v>
      </c>
      <c r="D1230" s="216">
        <v>5.44</v>
      </c>
      <c r="E1230" s="198"/>
      <c r="F1230" s="198"/>
      <c r="G1230" s="198"/>
      <c r="H1230" s="198"/>
      <c r="I1230" s="198"/>
      <c r="J1230" s="198"/>
      <c r="K1230" s="198"/>
      <c r="L1230" s="198"/>
      <c r="M1230" s="198"/>
      <c r="N1230" s="198"/>
      <c r="O1230" s="198"/>
      <c r="P1230" s="198"/>
      <c r="Q1230" s="198"/>
      <c r="R1230" s="198"/>
      <c r="S1230" s="198"/>
      <c r="T1230" s="198"/>
      <c r="U1230" s="198"/>
      <c r="V1230" s="198"/>
      <c r="W1230" s="198"/>
      <c r="X1230" s="198"/>
      <c r="Y1230" s="198"/>
      <c r="Z1230" s="198"/>
    </row>
    <row r="1231" spans="1:26" ht="15.75" hidden="1" customHeight="1" x14ac:dyDescent="0.25">
      <c r="A1231" s="213">
        <v>34729</v>
      </c>
      <c r="B1231" s="214" t="s">
        <v>9723</v>
      </c>
      <c r="C1231" s="215" t="s">
        <v>580</v>
      </c>
      <c r="D1231" s="216">
        <v>1250.6199999999999</v>
      </c>
      <c r="E1231" s="198"/>
      <c r="F1231" s="198"/>
      <c r="G1231" s="198"/>
      <c r="H1231" s="198"/>
      <c r="I1231" s="198"/>
      <c r="J1231" s="198"/>
      <c r="K1231" s="198"/>
      <c r="L1231" s="198"/>
      <c r="M1231" s="198"/>
      <c r="N1231" s="198"/>
      <c r="O1231" s="198"/>
      <c r="P1231" s="198"/>
      <c r="Q1231" s="198"/>
      <c r="R1231" s="198"/>
      <c r="S1231" s="198"/>
      <c r="T1231" s="198"/>
      <c r="U1231" s="198"/>
      <c r="V1231" s="198"/>
      <c r="W1231" s="198"/>
      <c r="X1231" s="198"/>
      <c r="Y1231" s="198"/>
      <c r="Z1231" s="198"/>
    </row>
    <row r="1232" spans="1:26" ht="15.75" hidden="1" customHeight="1" x14ac:dyDescent="0.25">
      <c r="A1232" s="213">
        <v>34734</v>
      </c>
      <c r="B1232" s="214" t="s">
        <v>9724</v>
      </c>
      <c r="C1232" s="215" t="s">
        <v>580</v>
      </c>
      <c r="D1232" s="216">
        <v>1936.36</v>
      </c>
      <c r="E1232" s="198"/>
      <c r="F1232" s="198"/>
      <c r="G1232" s="198"/>
      <c r="H1232" s="198"/>
      <c r="I1232" s="198"/>
      <c r="J1232" s="198"/>
      <c r="K1232" s="198"/>
      <c r="L1232" s="198"/>
      <c r="M1232" s="198"/>
      <c r="N1232" s="198"/>
      <c r="O1232" s="198"/>
      <c r="P1232" s="198"/>
      <c r="Q1232" s="198"/>
      <c r="R1232" s="198"/>
      <c r="S1232" s="198"/>
      <c r="T1232" s="198"/>
      <c r="U1232" s="198"/>
      <c r="V1232" s="198"/>
      <c r="W1232" s="198"/>
      <c r="X1232" s="198"/>
      <c r="Y1232" s="198"/>
      <c r="Z1232" s="198"/>
    </row>
    <row r="1233" spans="1:26" ht="15.75" hidden="1" customHeight="1" x14ac:dyDescent="0.25">
      <c r="A1233" s="213">
        <v>34738</v>
      </c>
      <c r="B1233" s="214" t="s">
        <v>9725</v>
      </c>
      <c r="C1233" s="215" t="s">
        <v>580</v>
      </c>
      <c r="D1233" s="216">
        <v>4523.95</v>
      </c>
      <c r="E1233" s="198"/>
      <c r="F1233" s="198"/>
      <c r="G1233" s="198"/>
      <c r="H1233" s="198"/>
      <c r="I1233" s="198"/>
      <c r="J1233" s="198"/>
      <c r="K1233" s="198"/>
      <c r="L1233" s="198"/>
      <c r="M1233" s="198"/>
      <c r="N1233" s="198"/>
      <c r="O1233" s="198"/>
      <c r="P1233" s="198"/>
      <c r="Q1233" s="198"/>
      <c r="R1233" s="198"/>
      <c r="S1233" s="198"/>
      <c r="T1233" s="198"/>
      <c r="U1233" s="198"/>
      <c r="V1233" s="198"/>
      <c r="W1233" s="198"/>
      <c r="X1233" s="198"/>
      <c r="Y1233" s="198"/>
      <c r="Z1233" s="198"/>
    </row>
    <row r="1234" spans="1:26" ht="15.75" hidden="1" customHeight="1" x14ac:dyDescent="0.25">
      <c r="A1234" s="213">
        <v>34623</v>
      </c>
      <c r="B1234" s="214" t="s">
        <v>9726</v>
      </c>
      <c r="C1234" s="215" t="s">
        <v>580</v>
      </c>
      <c r="D1234" s="216">
        <v>54.21</v>
      </c>
      <c r="E1234" s="198"/>
      <c r="F1234" s="198"/>
      <c r="G1234" s="198"/>
      <c r="H1234" s="198"/>
      <c r="I1234" s="198"/>
      <c r="J1234" s="198"/>
      <c r="K1234" s="198"/>
      <c r="L1234" s="198"/>
      <c r="M1234" s="198"/>
      <c r="N1234" s="198"/>
      <c r="O1234" s="198"/>
      <c r="P1234" s="198"/>
      <c r="Q1234" s="198"/>
      <c r="R1234" s="198"/>
      <c r="S1234" s="198"/>
      <c r="T1234" s="198"/>
      <c r="U1234" s="198"/>
      <c r="V1234" s="198"/>
      <c r="W1234" s="198"/>
      <c r="X1234" s="198"/>
      <c r="Y1234" s="198"/>
      <c r="Z1234" s="198"/>
    </row>
    <row r="1235" spans="1:26" ht="15.75" hidden="1" customHeight="1" x14ac:dyDescent="0.25">
      <c r="A1235" s="213">
        <v>34616</v>
      </c>
      <c r="B1235" s="214" t="s">
        <v>9727</v>
      </c>
      <c r="C1235" s="215" t="s">
        <v>580</v>
      </c>
      <c r="D1235" s="216">
        <v>55.06</v>
      </c>
      <c r="E1235" s="198"/>
      <c r="F1235" s="198"/>
      <c r="G1235" s="198"/>
      <c r="H1235" s="198"/>
      <c r="I1235" s="198"/>
      <c r="J1235" s="198"/>
      <c r="K1235" s="198"/>
      <c r="L1235" s="198"/>
      <c r="M1235" s="198"/>
      <c r="N1235" s="198"/>
      <c r="O1235" s="198"/>
      <c r="P1235" s="198"/>
      <c r="Q1235" s="198"/>
      <c r="R1235" s="198"/>
      <c r="S1235" s="198"/>
      <c r="T1235" s="198"/>
      <c r="U1235" s="198"/>
      <c r="V1235" s="198"/>
      <c r="W1235" s="198"/>
      <c r="X1235" s="198"/>
      <c r="Y1235" s="198"/>
      <c r="Z1235" s="198"/>
    </row>
    <row r="1236" spans="1:26" ht="15.75" hidden="1" customHeight="1" x14ac:dyDescent="0.25">
      <c r="A1236" s="213">
        <v>34628</v>
      </c>
      <c r="B1236" s="214" t="s">
        <v>9728</v>
      </c>
      <c r="C1236" s="215" t="s">
        <v>580</v>
      </c>
      <c r="D1236" s="216">
        <v>77.650000000000006</v>
      </c>
      <c r="E1236" s="198"/>
      <c r="F1236" s="198"/>
      <c r="G1236" s="198"/>
      <c r="H1236" s="198"/>
      <c r="I1236" s="198"/>
      <c r="J1236" s="198"/>
      <c r="K1236" s="198"/>
      <c r="L1236" s="198"/>
      <c r="M1236" s="198"/>
      <c r="N1236" s="198"/>
      <c r="O1236" s="198"/>
      <c r="P1236" s="198"/>
      <c r="Q1236" s="198"/>
      <c r="R1236" s="198"/>
      <c r="S1236" s="198"/>
      <c r="T1236" s="198"/>
      <c r="U1236" s="198"/>
      <c r="V1236" s="198"/>
      <c r="W1236" s="198"/>
      <c r="X1236" s="198"/>
      <c r="Y1236" s="198"/>
      <c r="Z1236" s="198"/>
    </row>
    <row r="1237" spans="1:26" ht="15.75" hidden="1" customHeight="1" x14ac:dyDescent="0.25">
      <c r="A1237" s="213">
        <v>34686</v>
      </c>
      <c r="B1237" s="214" t="s">
        <v>9729</v>
      </c>
      <c r="C1237" s="215" t="s">
        <v>580</v>
      </c>
      <c r="D1237" s="216">
        <v>14.24</v>
      </c>
      <c r="E1237" s="198"/>
      <c r="F1237" s="198"/>
      <c r="G1237" s="198"/>
      <c r="H1237" s="198"/>
      <c r="I1237" s="198"/>
      <c r="J1237" s="198"/>
      <c r="K1237" s="198"/>
      <c r="L1237" s="198"/>
      <c r="M1237" s="198"/>
      <c r="N1237" s="198"/>
      <c r="O1237" s="198"/>
      <c r="P1237" s="198"/>
      <c r="Q1237" s="198"/>
      <c r="R1237" s="198"/>
      <c r="S1237" s="198"/>
      <c r="T1237" s="198"/>
      <c r="U1237" s="198"/>
      <c r="V1237" s="198"/>
      <c r="W1237" s="198"/>
      <c r="X1237" s="198"/>
      <c r="Y1237" s="198"/>
      <c r="Z1237" s="198"/>
    </row>
    <row r="1238" spans="1:26" ht="15.75" hidden="1" customHeight="1" x14ac:dyDescent="0.25">
      <c r="A1238" s="213">
        <v>34653</v>
      </c>
      <c r="B1238" s="214" t="s">
        <v>9730</v>
      </c>
      <c r="C1238" s="215" t="s">
        <v>580</v>
      </c>
      <c r="D1238" s="216">
        <v>9.6</v>
      </c>
      <c r="E1238" s="198"/>
      <c r="F1238" s="198"/>
      <c r="G1238" s="198"/>
      <c r="H1238" s="198"/>
      <c r="I1238" s="198"/>
      <c r="J1238" s="198"/>
      <c r="K1238" s="198"/>
      <c r="L1238" s="198"/>
      <c r="M1238" s="198"/>
      <c r="N1238" s="198"/>
      <c r="O1238" s="198"/>
      <c r="P1238" s="198"/>
      <c r="Q1238" s="198"/>
      <c r="R1238" s="198"/>
      <c r="S1238" s="198"/>
      <c r="T1238" s="198"/>
      <c r="U1238" s="198"/>
      <c r="V1238" s="198"/>
      <c r="W1238" s="198"/>
      <c r="X1238" s="198"/>
      <c r="Y1238" s="198"/>
      <c r="Z1238" s="198"/>
    </row>
    <row r="1239" spans="1:26" ht="15.75" hidden="1" customHeight="1" x14ac:dyDescent="0.25">
      <c r="A1239" s="213">
        <v>34688</v>
      </c>
      <c r="B1239" s="214" t="s">
        <v>9731</v>
      </c>
      <c r="C1239" s="215" t="s">
        <v>580</v>
      </c>
      <c r="D1239" s="216">
        <v>17.399999999999999</v>
      </c>
      <c r="E1239" s="198"/>
      <c r="F1239" s="198"/>
      <c r="G1239" s="198"/>
      <c r="H1239" s="198"/>
      <c r="I1239" s="198"/>
      <c r="J1239" s="198"/>
      <c r="K1239" s="198"/>
      <c r="L1239" s="198"/>
      <c r="M1239" s="198"/>
      <c r="N1239" s="198"/>
      <c r="O1239" s="198"/>
      <c r="P1239" s="198"/>
      <c r="Q1239" s="198"/>
      <c r="R1239" s="198"/>
      <c r="S1239" s="198"/>
      <c r="T1239" s="198"/>
      <c r="U1239" s="198"/>
      <c r="V1239" s="198"/>
      <c r="W1239" s="198"/>
      <c r="X1239" s="198"/>
      <c r="Y1239" s="198"/>
      <c r="Z1239" s="198"/>
    </row>
    <row r="1240" spans="1:26" ht="15.75" hidden="1" customHeight="1" x14ac:dyDescent="0.25">
      <c r="A1240" s="213">
        <v>34709</v>
      </c>
      <c r="B1240" s="214" t="s">
        <v>9732</v>
      </c>
      <c r="C1240" s="215" t="s">
        <v>580</v>
      </c>
      <c r="D1240" s="216">
        <v>67.45</v>
      </c>
      <c r="E1240" s="198"/>
      <c r="F1240" s="198"/>
      <c r="G1240" s="198"/>
      <c r="H1240" s="198"/>
      <c r="I1240" s="198"/>
      <c r="J1240" s="198"/>
      <c r="K1240" s="198"/>
      <c r="L1240" s="198"/>
      <c r="M1240" s="198"/>
      <c r="N1240" s="198"/>
      <c r="O1240" s="198"/>
      <c r="P1240" s="198"/>
      <c r="Q1240" s="198"/>
      <c r="R1240" s="198"/>
      <c r="S1240" s="198"/>
      <c r="T1240" s="198"/>
      <c r="U1240" s="198"/>
      <c r="V1240" s="198"/>
      <c r="W1240" s="198"/>
      <c r="X1240" s="198"/>
      <c r="Y1240" s="198"/>
      <c r="Z1240" s="198"/>
    </row>
    <row r="1241" spans="1:26" ht="15.75" hidden="1" customHeight="1" x14ac:dyDescent="0.25">
      <c r="A1241" s="213">
        <v>34714</v>
      </c>
      <c r="B1241" s="214" t="s">
        <v>9733</v>
      </c>
      <c r="C1241" s="215" t="s">
        <v>580</v>
      </c>
      <c r="D1241" s="216">
        <v>80.569999999999993</v>
      </c>
      <c r="E1241" s="198"/>
      <c r="F1241" s="198"/>
      <c r="G1241" s="198"/>
      <c r="H1241" s="198"/>
      <c r="I1241" s="198"/>
      <c r="J1241" s="198"/>
      <c r="K1241" s="198"/>
      <c r="L1241" s="198"/>
      <c r="M1241" s="198"/>
      <c r="N1241" s="198"/>
      <c r="O1241" s="198"/>
      <c r="P1241" s="198"/>
      <c r="Q1241" s="198"/>
      <c r="R1241" s="198"/>
      <c r="S1241" s="198"/>
      <c r="T1241" s="198"/>
      <c r="U1241" s="198"/>
      <c r="V1241" s="198"/>
      <c r="W1241" s="198"/>
      <c r="X1241" s="198"/>
      <c r="Y1241" s="198"/>
      <c r="Z1241" s="198"/>
    </row>
    <row r="1242" spans="1:26" ht="15.75" hidden="1" customHeight="1" x14ac:dyDescent="0.25">
      <c r="A1242" s="213">
        <v>2391</v>
      </c>
      <c r="B1242" s="214" t="s">
        <v>9734</v>
      </c>
      <c r="C1242" s="215" t="s">
        <v>580</v>
      </c>
      <c r="D1242" s="216">
        <v>367.94</v>
      </c>
      <c r="E1242" s="198"/>
      <c r="F1242" s="198"/>
      <c r="G1242" s="198"/>
      <c r="H1242" s="198"/>
      <c r="I1242" s="198"/>
      <c r="J1242" s="198"/>
      <c r="K1242" s="198"/>
      <c r="L1242" s="198"/>
      <c r="M1242" s="198"/>
      <c r="N1242" s="198"/>
      <c r="O1242" s="198"/>
      <c r="P1242" s="198"/>
      <c r="Q1242" s="198"/>
      <c r="R1242" s="198"/>
      <c r="S1242" s="198"/>
      <c r="T1242" s="198"/>
      <c r="U1242" s="198"/>
      <c r="V1242" s="198"/>
      <c r="W1242" s="198"/>
      <c r="X1242" s="198"/>
      <c r="Y1242" s="198"/>
      <c r="Z1242" s="198"/>
    </row>
    <row r="1243" spans="1:26" ht="15.75" hidden="1" customHeight="1" x14ac:dyDescent="0.25">
      <c r="A1243" s="213">
        <v>2374</v>
      </c>
      <c r="B1243" s="214" t="s">
        <v>9735</v>
      </c>
      <c r="C1243" s="215" t="s">
        <v>580</v>
      </c>
      <c r="D1243" s="216">
        <v>417.42</v>
      </c>
      <c r="E1243" s="198"/>
      <c r="F1243" s="198"/>
      <c r="G1243" s="198"/>
      <c r="H1243" s="198"/>
      <c r="I1243" s="198"/>
      <c r="J1243" s="198"/>
      <c r="K1243" s="198"/>
      <c r="L1243" s="198"/>
      <c r="M1243" s="198"/>
      <c r="N1243" s="198"/>
      <c r="O1243" s="198"/>
      <c r="P1243" s="198"/>
      <c r="Q1243" s="198"/>
      <c r="R1243" s="198"/>
      <c r="S1243" s="198"/>
      <c r="T1243" s="198"/>
      <c r="U1243" s="198"/>
      <c r="V1243" s="198"/>
      <c r="W1243" s="198"/>
      <c r="X1243" s="198"/>
      <c r="Y1243" s="198"/>
      <c r="Z1243" s="198"/>
    </row>
    <row r="1244" spans="1:26" ht="15.75" hidden="1" customHeight="1" x14ac:dyDescent="0.25">
      <c r="A1244" s="213">
        <v>2377</v>
      </c>
      <c r="B1244" s="214" t="s">
        <v>9736</v>
      </c>
      <c r="C1244" s="215" t="s">
        <v>580</v>
      </c>
      <c r="D1244" s="216">
        <v>585.80999999999995</v>
      </c>
      <c r="E1244" s="198"/>
      <c r="F1244" s="198"/>
      <c r="G1244" s="198"/>
      <c r="H1244" s="198"/>
      <c r="I1244" s="198"/>
      <c r="J1244" s="198"/>
      <c r="K1244" s="198"/>
      <c r="L1244" s="198"/>
      <c r="M1244" s="198"/>
      <c r="N1244" s="198"/>
      <c r="O1244" s="198"/>
      <c r="P1244" s="198"/>
      <c r="Q1244" s="198"/>
      <c r="R1244" s="198"/>
      <c r="S1244" s="198"/>
      <c r="T1244" s="198"/>
      <c r="U1244" s="198"/>
      <c r="V1244" s="198"/>
      <c r="W1244" s="198"/>
      <c r="X1244" s="198"/>
      <c r="Y1244" s="198"/>
      <c r="Z1244" s="198"/>
    </row>
    <row r="1245" spans="1:26" ht="15.75" hidden="1" customHeight="1" x14ac:dyDescent="0.25">
      <c r="A1245" s="213">
        <v>2393</v>
      </c>
      <c r="B1245" s="214" t="s">
        <v>9737</v>
      </c>
      <c r="C1245" s="215" t="s">
        <v>580</v>
      </c>
      <c r="D1245" s="216">
        <v>981.02</v>
      </c>
      <c r="E1245" s="198"/>
      <c r="F1245" s="198"/>
      <c r="G1245" s="198"/>
      <c r="H1245" s="198"/>
      <c r="I1245" s="198"/>
      <c r="J1245" s="198"/>
      <c r="K1245" s="198"/>
      <c r="L1245" s="198"/>
      <c r="M1245" s="198"/>
      <c r="N1245" s="198"/>
      <c r="O1245" s="198"/>
      <c r="P1245" s="198"/>
      <c r="Q1245" s="198"/>
      <c r="R1245" s="198"/>
      <c r="S1245" s="198"/>
      <c r="T1245" s="198"/>
      <c r="U1245" s="198"/>
      <c r="V1245" s="198"/>
      <c r="W1245" s="198"/>
      <c r="X1245" s="198"/>
      <c r="Y1245" s="198"/>
      <c r="Z1245" s="198"/>
    </row>
    <row r="1246" spans="1:26" ht="15.75" hidden="1" customHeight="1" x14ac:dyDescent="0.25">
      <c r="A1246" s="213">
        <v>34705</v>
      </c>
      <c r="B1246" s="214" t="s">
        <v>9738</v>
      </c>
      <c r="C1246" s="215" t="s">
        <v>580</v>
      </c>
      <c r="D1246" s="216">
        <v>858.04</v>
      </c>
      <c r="E1246" s="198"/>
      <c r="F1246" s="198"/>
      <c r="G1246" s="198"/>
      <c r="H1246" s="198"/>
      <c r="I1246" s="198"/>
      <c r="J1246" s="198"/>
      <c r="K1246" s="198"/>
      <c r="L1246" s="198"/>
      <c r="M1246" s="198"/>
      <c r="N1246" s="198"/>
      <c r="O1246" s="198"/>
      <c r="P1246" s="198"/>
      <c r="Q1246" s="198"/>
      <c r="R1246" s="198"/>
      <c r="S1246" s="198"/>
      <c r="T1246" s="198"/>
      <c r="U1246" s="198"/>
      <c r="V1246" s="198"/>
      <c r="W1246" s="198"/>
      <c r="X1246" s="198"/>
      <c r="Y1246" s="198"/>
      <c r="Z1246" s="198"/>
    </row>
    <row r="1247" spans="1:26" ht="15.75" hidden="1" customHeight="1" x14ac:dyDescent="0.25">
      <c r="A1247" s="213">
        <v>34707</v>
      </c>
      <c r="B1247" s="214" t="s">
        <v>9739</v>
      </c>
      <c r="C1247" s="215" t="s">
        <v>580</v>
      </c>
      <c r="D1247" s="216">
        <v>1589.96</v>
      </c>
      <c r="E1247" s="198"/>
      <c r="F1247" s="198"/>
      <c r="G1247" s="198"/>
      <c r="H1247" s="198"/>
      <c r="I1247" s="198"/>
      <c r="J1247" s="198"/>
      <c r="K1247" s="198"/>
      <c r="L1247" s="198"/>
      <c r="M1247" s="198"/>
      <c r="N1247" s="198"/>
      <c r="O1247" s="198"/>
      <c r="P1247" s="198"/>
      <c r="Q1247" s="198"/>
      <c r="R1247" s="198"/>
      <c r="S1247" s="198"/>
      <c r="T1247" s="198"/>
      <c r="U1247" s="198"/>
      <c r="V1247" s="198"/>
      <c r="W1247" s="198"/>
      <c r="X1247" s="198"/>
      <c r="Y1247" s="198"/>
      <c r="Z1247" s="198"/>
    </row>
    <row r="1248" spans="1:26" ht="15.75" hidden="1" customHeight="1" x14ac:dyDescent="0.25">
      <c r="A1248" s="213">
        <v>34544</v>
      </c>
      <c r="B1248" s="214" t="s">
        <v>9740</v>
      </c>
      <c r="C1248" s="215" t="s">
        <v>580</v>
      </c>
      <c r="D1248" s="216">
        <v>1589.8</v>
      </c>
      <c r="E1248" s="198"/>
      <c r="F1248" s="198"/>
      <c r="G1248" s="198"/>
      <c r="H1248" s="198"/>
      <c r="I1248" s="198"/>
      <c r="J1248" s="198"/>
      <c r="K1248" s="198"/>
      <c r="L1248" s="198"/>
      <c r="M1248" s="198"/>
      <c r="N1248" s="198"/>
      <c r="O1248" s="198"/>
      <c r="P1248" s="198"/>
      <c r="Q1248" s="198"/>
      <c r="R1248" s="198"/>
      <c r="S1248" s="198"/>
      <c r="T1248" s="198"/>
      <c r="U1248" s="198"/>
      <c r="V1248" s="198"/>
      <c r="W1248" s="198"/>
      <c r="X1248" s="198"/>
      <c r="Y1248" s="198"/>
      <c r="Z1248" s="198"/>
    </row>
    <row r="1249" spans="1:26" ht="15.75" hidden="1" customHeight="1" x14ac:dyDescent="0.25">
      <c r="A1249" s="213">
        <v>2378</v>
      </c>
      <c r="B1249" s="214" t="s">
        <v>9741</v>
      </c>
      <c r="C1249" s="215" t="s">
        <v>580</v>
      </c>
      <c r="D1249" s="216">
        <v>1347.56</v>
      </c>
      <c r="E1249" s="198"/>
      <c r="F1249" s="198"/>
      <c r="G1249" s="198"/>
      <c r="H1249" s="198"/>
      <c r="I1249" s="198"/>
      <c r="J1249" s="198"/>
      <c r="K1249" s="198"/>
      <c r="L1249" s="198"/>
      <c r="M1249" s="198"/>
      <c r="N1249" s="198"/>
      <c r="O1249" s="198"/>
      <c r="P1249" s="198"/>
      <c r="Q1249" s="198"/>
      <c r="R1249" s="198"/>
      <c r="S1249" s="198"/>
      <c r="T1249" s="198"/>
      <c r="U1249" s="198"/>
      <c r="V1249" s="198"/>
      <c r="W1249" s="198"/>
      <c r="X1249" s="198"/>
      <c r="Y1249" s="198"/>
      <c r="Z1249" s="198"/>
    </row>
    <row r="1250" spans="1:26" ht="15.75" hidden="1" customHeight="1" x14ac:dyDescent="0.25">
      <c r="A1250" s="213">
        <v>2379</v>
      </c>
      <c r="B1250" s="214" t="s">
        <v>9742</v>
      </c>
      <c r="C1250" s="215" t="s">
        <v>580</v>
      </c>
      <c r="D1250" s="216">
        <v>1347.56</v>
      </c>
      <c r="E1250" s="198"/>
      <c r="F1250" s="198"/>
      <c r="G1250" s="198"/>
      <c r="H1250" s="198"/>
      <c r="I1250" s="198"/>
      <c r="J1250" s="198"/>
      <c r="K1250" s="198"/>
      <c r="L1250" s="198"/>
      <c r="M1250" s="198"/>
      <c r="N1250" s="198"/>
      <c r="O1250" s="198"/>
      <c r="P1250" s="198"/>
      <c r="Q1250" s="198"/>
      <c r="R1250" s="198"/>
      <c r="S1250" s="198"/>
      <c r="T1250" s="198"/>
      <c r="U1250" s="198"/>
      <c r="V1250" s="198"/>
      <c r="W1250" s="198"/>
      <c r="X1250" s="198"/>
      <c r="Y1250" s="198"/>
      <c r="Z1250" s="198"/>
    </row>
    <row r="1251" spans="1:26" ht="15.75" hidden="1" customHeight="1" x14ac:dyDescent="0.25">
      <c r="A1251" s="213">
        <v>2376</v>
      </c>
      <c r="B1251" s="214" t="s">
        <v>9743</v>
      </c>
      <c r="C1251" s="215" t="s">
        <v>580</v>
      </c>
      <c r="D1251" s="216">
        <v>2219.42</v>
      </c>
      <c r="E1251" s="198"/>
      <c r="F1251" s="198"/>
      <c r="G1251" s="198"/>
      <c r="H1251" s="198"/>
      <c r="I1251" s="198"/>
      <c r="J1251" s="198"/>
      <c r="K1251" s="198"/>
      <c r="L1251" s="198"/>
      <c r="M1251" s="198"/>
      <c r="N1251" s="198"/>
      <c r="O1251" s="198"/>
      <c r="P1251" s="198"/>
      <c r="Q1251" s="198"/>
      <c r="R1251" s="198"/>
      <c r="S1251" s="198"/>
      <c r="T1251" s="198"/>
      <c r="U1251" s="198"/>
      <c r="V1251" s="198"/>
      <c r="W1251" s="198"/>
      <c r="X1251" s="198"/>
      <c r="Y1251" s="198"/>
      <c r="Z1251" s="198"/>
    </row>
    <row r="1252" spans="1:26" ht="15.75" hidden="1" customHeight="1" x14ac:dyDescent="0.25">
      <c r="A1252" s="213">
        <v>2394</v>
      </c>
      <c r="B1252" s="214" t="s">
        <v>9744</v>
      </c>
      <c r="C1252" s="215" t="s">
        <v>580</v>
      </c>
      <c r="D1252" s="216">
        <v>4744.71</v>
      </c>
      <c r="E1252" s="198"/>
      <c r="F1252" s="198"/>
      <c r="G1252" s="198"/>
      <c r="H1252" s="198"/>
      <c r="I1252" s="198"/>
      <c r="J1252" s="198"/>
      <c r="K1252" s="198"/>
      <c r="L1252" s="198"/>
      <c r="M1252" s="198"/>
      <c r="N1252" s="198"/>
      <c r="O1252" s="198"/>
      <c r="P1252" s="198"/>
      <c r="Q1252" s="198"/>
      <c r="R1252" s="198"/>
      <c r="S1252" s="198"/>
      <c r="T1252" s="198"/>
      <c r="U1252" s="198"/>
      <c r="V1252" s="198"/>
      <c r="W1252" s="198"/>
      <c r="X1252" s="198"/>
      <c r="Y1252" s="198"/>
      <c r="Z1252" s="198"/>
    </row>
    <row r="1253" spans="1:26" ht="15.75" hidden="1" customHeight="1" x14ac:dyDescent="0.25">
      <c r="A1253" s="213">
        <v>2388</v>
      </c>
      <c r="B1253" s="214" t="s">
        <v>9745</v>
      </c>
      <c r="C1253" s="215" t="s">
        <v>580</v>
      </c>
      <c r="D1253" s="216">
        <v>66.95</v>
      </c>
      <c r="E1253" s="198"/>
      <c r="F1253" s="198"/>
      <c r="G1253" s="198"/>
      <c r="H1253" s="198"/>
      <c r="I1253" s="198"/>
      <c r="J1253" s="198"/>
      <c r="K1253" s="198"/>
      <c r="L1253" s="198"/>
      <c r="M1253" s="198"/>
      <c r="N1253" s="198"/>
      <c r="O1253" s="198"/>
      <c r="P1253" s="198"/>
      <c r="Q1253" s="198"/>
      <c r="R1253" s="198"/>
      <c r="S1253" s="198"/>
      <c r="T1253" s="198"/>
      <c r="U1253" s="198"/>
      <c r="V1253" s="198"/>
      <c r="W1253" s="198"/>
      <c r="X1253" s="198"/>
      <c r="Y1253" s="198"/>
      <c r="Z1253" s="198"/>
    </row>
    <row r="1254" spans="1:26" ht="15.75" hidden="1" customHeight="1" x14ac:dyDescent="0.25">
      <c r="A1254" s="213">
        <v>34606</v>
      </c>
      <c r="B1254" s="214" t="s">
        <v>9746</v>
      </c>
      <c r="C1254" s="215" t="s">
        <v>580</v>
      </c>
      <c r="D1254" s="216">
        <v>102.7</v>
      </c>
      <c r="E1254" s="198"/>
      <c r="F1254" s="198"/>
      <c r="G1254" s="198"/>
      <c r="H1254" s="198"/>
      <c r="I1254" s="198"/>
      <c r="J1254" s="198"/>
      <c r="K1254" s="198"/>
      <c r="L1254" s="198"/>
      <c r="M1254" s="198"/>
      <c r="N1254" s="198"/>
      <c r="O1254" s="198"/>
      <c r="P1254" s="198"/>
      <c r="Q1254" s="198"/>
      <c r="R1254" s="198"/>
      <c r="S1254" s="198"/>
      <c r="T1254" s="198"/>
      <c r="U1254" s="198"/>
      <c r="V1254" s="198"/>
      <c r="W1254" s="198"/>
      <c r="X1254" s="198"/>
      <c r="Y1254" s="198"/>
      <c r="Z1254" s="198"/>
    </row>
    <row r="1255" spans="1:26" ht="15.75" hidden="1" customHeight="1" x14ac:dyDescent="0.25">
      <c r="A1255" s="213">
        <v>2370</v>
      </c>
      <c r="B1255" s="214" t="s">
        <v>9747</v>
      </c>
      <c r="C1255" s="215" t="s">
        <v>580</v>
      </c>
      <c r="D1255" s="216">
        <v>12.44</v>
      </c>
      <c r="E1255" s="198"/>
      <c r="F1255" s="198"/>
      <c r="G1255" s="198"/>
      <c r="H1255" s="198"/>
      <c r="I1255" s="198"/>
      <c r="J1255" s="198"/>
      <c r="K1255" s="198"/>
      <c r="L1255" s="198"/>
      <c r="M1255" s="198"/>
      <c r="N1255" s="198"/>
      <c r="O1255" s="198"/>
      <c r="P1255" s="198"/>
      <c r="Q1255" s="198"/>
      <c r="R1255" s="198"/>
      <c r="S1255" s="198"/>
      <c r="T1255" s="198"/>
      <c r="U1255" s="198"/>
      <c r="V1255" s="198"/>
      <c r="W1255" s="198"/>
      <c r="X1255" s="198"/>
      <c r="Y1255" s="198"/>
      <c r="Z1255" s="198"/>
    </row>
    <row r="1256" spans="1:26" ht="15.75" hidden="1" customHeight="1" x14ac:dyDescent="0.25">
      <c r="A1256" s="213">
        <v>2386</v>
      </c>
      <c r="B1256" s="214" t="s">
        <v>9748</v>
      </c>
      <c r="C1256" s="215" t="s">
        <v>580</v>
      </c>
      <c r="D1256" s="216">
        <v>20.87</v>
      </c>
      <c r="E1256" s="198"/>
      <c r="F1256" s="198"/>
      <c r="G1256" s="198"/>
      <c r="H1256" s="198"/>
      <c r="I1256" s="198"/>
      <c r="J1256" s="198"/>
      <c r="K1256" s="198"/>
      <c r="L1256" s="198"/>
      <c r="M1256" s="198"/>
      <c r="N1256" s="198"/>
      <c r="O1256" s="198"/>
      <c r="P1256" s="198"/>
      <c r="Q1256" s="198"/>
      <c r="R1256" s="198"/>
      <c r="S1256" s="198"/>
      <c r="T1256" s="198"/>
      <c r="U1256" s="198"/>
      <c r="V1256" s="198"/>
      <c r="W1256" s="198"/>
      <c r="X1256" s="198"/>
      <c r="Y1256" s="198"/>
      <c r="Z1256" s="198"/>
    </row>
    <row r="1257" spans="1:26" ht="15.75" hidden="1" customHeight="1" x14ac:dyDescent="0.25">
      <c r="A1257" s="213">
        <v>34689</v>
      </c>
      <c r="B1257" s="214" t="s">
        <v>9749</v>
      </c>
      <c r="C1257" s="215" t="s">
        <v>580</v>
      </c>
      <c r="D1257" s="216">
        <v>32.69</v>
      </c>
      <c r="E1257" s="198"/>
      <c r="F1257" s="198"/>
      <c r="G1257" s="198"/>
      <c r="H1257" s="198"/>
      <c r="I1257" s="198"/>
      <c r="J1257" s="198"/>
      <c r="K1257" s="198"/>
      <c r="L1257" s="198"/>
      <c r="M1257" s="198"/>
      <c r="N1257" s="198"/>
      <c r="O1257" s="198"/>
      <c r="P1257" s="198"/>
      <c r="Q1257" s="198"/>
      <c r="R1257" s="198"/>
      <c r="S1257" s="198"/>
      <c r="T1257" s="198"/>
      <c r="U1257" s="198"/>
      <c r="V1257" s="198"/>
      <c r="W1257" s="198"/>
      <c r="X1257" s="198"/>
      <c r="Y1257" s="198"/>
      <c r="Z1257" s="198"/>
    </row>
    <row r="1258" spans="1:26" ht="15.75" hidden="1" customHeight="1" x14ac:dyDescent="0.25">
      <c r="A1258" s="213">
        <v>2392</v>
      </c>
      <c r="B1258" s="214" t="s">
        <v>9750</v>
      </c>
      <c r="C1258" s="215" t="s">
        <v>580</v>
      </c>
      <c r="D1258" s="216">
        <v>83.51</v>
      </c>
      <c r="E1258" s="198"/>
      <c r="F1258" s="198"/>
      <c r="G1258" s="198"/>
      <c r="H1258" s="198"/>
      <c r="I1258" s="198"/>
      <c r="J1258" s="198"/>
      <c r="K1258" s="198"/>
      <c r="L1258" s="198"/>
      <c r="M1258" s="198"/>
      <c r="N1258" s="198"/>
      <c r="O1258" s="198"/>
      <c r="P1258" s="198"/>
      <c r="Q1258" s="198"/>
      <c r="R1258" s="198"/>
      <c r="S1258" s="198"/>
      <c r="T1258" s="198"/>
      <c r="U1258" s="198"/>
      <c r="V1258" s="198"/>
      <c r="W1258" s="198"/>
      <c r="X1258" s="198"/>
      <c r="Y1258" s="198"/>
      <c r="Z1258" s="198"/>
    </row>
    <row r="1259" spans="1:26" ht="15.75" hidden="1" customHeight="1" x14ac:dyDescent="0.25">
      <c r="A1259" s="213">
        <v>2373</v>
      </c>
      <c r="B1259" s="214" t="s">
        <v>9751</v>
      </c>
      <c r="C1259" s="215" t="s">
        <v>580</v>
      </c>
      <c r="D1259" s="216">
        <v>117.65</v>
      </c>
      <c r="E1259" s="198"/>
      <c r="F1259" s="198"/>
      <c r="G1259" s="198"/>
      <c r="H1259" s="198"/>
      <c r="I1259" s="198"/>
      <c r="J1259" s="198"/>
      <c r="K1259" s="198"/>
      <c r="L1259" s="198"/>
      <c r="M1259" s="198"/>
      <c r="N1259" s="198"/>
      <c r="O1259" s="198"/>
      <c r="P1259" s="198"/>
      <c r="Q1259" s="198"/>
      <c r="R1259" s="198"/>
      <c r="S1259" s="198"/>
      <c r="T1259" s="198"/>
      <c r="U1259" s="198"/>
      <c r="V1259" s="198"/>
      <c r="W1259" s="198"/>
      <c r="X1259" s="198"/>
      <c r="Y1259" s="198"/>
      <c r="Z1259" s="198"/>
    </row>
    <row r="1260" spans="1:26" ht="15.75" hidden="1" customHeight="1" x14ac:dyDescent="0.25">
      <c r="A1260" s="213">
        <v>39465</v>
      </c>
      <c r="B1260" s="214" t="s">
        <v>9752</v>
      </c>
      <c r="C1260" s="215" t="s">
        <v>580</v>
      </c>
      <c r="D1260" s="216">
        <v>71.87</v>
      </c>
      <c r="E1260" s="198"/>
      <c r="F1260" s="198"/>
      <c r="G1260" s="198"/>
      <c r="H1260" s="198"/>
      <c r="I1260" s="198"/>
      <c r="J1260" s="198"/>
      <c r="K1260" s="198"/>
      <c r="L1260" s="198"/>
      <c r="M1260" s="198"/>
      <c r="N1260" s="198"/>
      <c r="O1260" s="198"/>
      <c r="P1260" s="198"/>
      <c r="Q1260" s="198"/>
      <c r="R1260" s="198"/>
      <c r="S1260" s="198"/>
      <c r="T1260" s="198"/>
      <c r="U1260" s="198"/>
      <c r="V1260" s="198"/>
      <c r="W1260" s="198"/>
      <c r="X1260" s="198"/>
      <c r="Y1260" s="198"/>
      <c r="Z1260" s="198"/>
    </row>
    <row r="1261" spans="1:26" ht="15.75" hidden="1" customHeight="1" x14ac:dyDescent="0.25">
      <c r="A1261" s="213">
        <v>39466</v>
      </c>
      <c r="B1261" s="214" t="s">
        <v>9753</v>
      </c>
      <c r="C1261" s="215" t="s">
        <v>580</v>
      </c>
      <c r="D1261" s="216">
        <v>80.86</v>
      </c>
      <c r="E1261" s="198"/>
      <c r="F1261" s="198"/>
      <c r="G1261" s="198"/>
      <c r="H1261" s="198"/>
      <c r="I1261" s="198"/>
      <c r="J1261" s="198"/>
      <c r="K1261" s="198"/>
      <c r="L1261" s="198"/>
      <c r="M1261" s="198"/>
      <c r="N1261" s="198"/>
      <c r="O1261" s="198"/>
      <c r="P1261" s="198"/>
      <c r="Q1261" s="198"/>
      <c r="R1261" s="198"/>
      <c r="S1261" s="198"/>
      <c r="T1261" s="198"/>
      <c r="U1261" s="198"/>
      <c r="V1261" s="198"/>
      <c r="W1261" s="198"/>
      <c r="X1261" s="198"/>
      <c r="Y1261" s="198"/>
      <c r="Z1261" s="198"/>
    </row>
    <row r="1262" spans="1:26" ht="15.75" hidden="1" customHeight="1" x14ac:dyDescent="0.25">
      <c r="A1262" s="213">
        <v>39467</v>
      </c>
      <c r="B1262" s="214" t="s">
        <v>9754</v>
      </c>
      <c r="C1262" s="215" t="s">
        <v>580</v>
      </c>
      <c r="D1262" s="216">
        <v>103.43</v>
      </c>
      <c r="E1262" s="198"/>
      <c r="F1262" s="198"/>
      <c r="G1262" s="198"/>
      <c r="H1262" s="198"/>
      <c r="I1262" s="198"/>
      <c r="J1262" s="198"/>
      <c r="K1262" s="198"/>
      <c r="L1262" s="198"/>
      <c r="M1262" s="198"/>
      <c r="N1262" s="198"/>
      <c r="O1262" s="198"/>
      <c r="P1262" s="198"/>
      <c r="Q1262" s="198"/>
      <c r="R1262" s="198"/>
      <c r="S1262" s="198"/>
      <c r="T1262" s="198"/>
      <c r="U1262" s="198"/>
      <c r="V1262" s="198"/>
      <c r="W1262" s="198"/>
      <c r="X1262" s="198"/>
      <c r="Y1262" s="198"/>
      <c r="Z1262" s="198"/>
    </row>
    <row r="1263" spans="1:26" ht="15.75" hidden="1" customHeight="1" x14ac:dyDescent="0.25">
      <c r="A1263" s="213">
        <v>39468</v>
      </c>
      <c r="B1263" s="214" t="s">
        <v>9755</v>
      </c>
      <c r="C1263" s="215" t="s">
        <v>580</v>
      </c>
      <c r="D1263" s="216">
        <v>183.84</v>
      </c>
      <c r="E1263" s="198"/>
      <c r="F1263" s="198"/>
      <c r="G1263" s="198"/>
      <c r="H1263" s="198"/>
      <c r="I1263" s="198"/>
      <c r="J1263" s="198"/>
      <c r="K1263" s="198"/>
      <c r="L1263" s="198"/>
      <c r="M1263" s="198"/>
      <c r="N1263" s="198"/>
      <c r="O1263" s="198"/>
      <c r="P1263" s="198"/>
      <c r="Q1263" s="198"/>
      <c r="R1263" s="198"/>
      <c r="S1263" s="198"/>
      <c r="T1263" s="198"/>
      <c r="U1263" s="198"/>
      <c r="V1263" s="198"/>
      <c r="W1263" s="198"/>
      <c r="X1263" s="198"/>
      <c r="Y1263" s="198"/>
      <c r="Z1263" s="198"/>
    </row>
    <row r="1264" spans="1:26" ht="15.75" hidden="1" customHeight="1" x14ac:dyDescent="0.25">
      <c r="A1264" s="213">
        <v>39469</v>
      </c>
      <c r="B1264" s="214" t="s">
        <v>9756</v>
      </c>
      <c r="C1264" s="215" t="s">
        <v>580</v>
      </c>
      <c r="D1264" s="216">
        <v>74.88</v>
      </c>
      <c r="E1264" s="198"/>
      <c r="F1264" s="198"/>
      <c r="G1264" s="198"/>
      <c r="H1264" s="198"/>
      <c r="I1264" s="198"/>
      <c r="J1264" s="198"/>
      <c r="K1264" s="198"/>
      <c r="L1264" s="198"/>
      <c r="M1264" s="198"/>
      <c r="N1264" s="198"/>
      <c r="O1264" s="198"/>
      <c r="P1264" s="198"/>
      <c r="Q1264" s="198"/>
      <c r="R1264" s="198"/>
      <c r="S1264" s="198"/>
      <c r="T1264" s="198"/>
      <c r="U1264" s="198"/>
      <c r="V1264" s="198"/>
      <c r="W1264" s="198"/>
      <c r="X1264" s="198"/>
      <c r="Y1264" s="198"/>
      <c r="Z1264" s="198"/>
    </row>
    <row r="1265" spans="1:26" ht="15.75" hidden="1" customHeight="1" x14ac:dyDescent="0.25">
      <c r="A1265" s="213">
        <v>39470</v>
      </c>
      <c r="B1265" s="214" t="s">
        <v>9757</v>
      </c>
      <c r="C1265" s="215" t="s">
        <v>580</v>
      </c>
      <c r="D1265" s="216">
        <v>92.01</v>
      </c>
      <c r="E1265" s="198"/>
      <c r="F1265" s="198"/>
      <c r="G1265" s="198"/>
      <c r="H1265" s="198"/>
      <c r="I1265" s="198"/>
      <c r="J1265" s="198"/>
      <c r="K1265" s="198"/>
      <c r="L1265" s="198"/>
      <c r="M1265" s="198"/>
      <c r="N1265" s="198"/>
      <c r="O1265" s="198"/>
      <c r="P1265" s="198"/>
      <c r="Q1265" s="198"/>
      <c r="R1265" s="198"/>
      <c r="S1265" s="198"/>
      <c r="T1265" s="198"/>
      <c r="U1265" s="198"/>
      <c r="V1265" s="198"/>
      <c r="W1265" s="198"/>
      <c r="X1265" s="198"/>
      <c r="Y1265" s="198"/>
      <c r="Z1265" s="198"/>
    </row>
    <row r="1266" spans="1:26" ht="15.75" hidden="1" customHeight="1" x14ac:dyDescent="0.25">
      <c r="A1266" s="213">
        <v>39471</v>
      </c>
      <c r="B1266" s="214" t="s">
        <v>9758</v>
      </c>
      <c r="C1266" s="215" t="s">
        <v>580</v>
      </c>
      <c r="D1266" s="216">
        <v>110.57</v>
      </c>
      <c r="E1266" s="198"/>
      <c r="F1266" s="198"/>
      <c r="G1266" s="198"/>
      <c r="H1266" s="198"/>
      <c r="I1266" s="198"/>
      <c r="J1266" s="198"/>
      <c r="K1266" s="198"/>
      <c r="L1266" s="198"/>
      <c r="M1266" s="198"/>
      <c r="N1266" s="198"/>
      <c r="O1266" s="198"/>
      <c r="P1266" s="198"/>
      <c r="Q1266" s="198"/>
      <c r="R1266" s="198"/>
      <c r="S1266" s="198"/>
      <c r="T1266" s="198"/>
      <c r="U1266" s="198"/>
      <c r="V1266" s="198"/>
      <c r="W1266" s="198"/>
      <c r="X1266" s="198"/>
      <c r="Y1266" s="198"/>
      <c r="Z1266" s="198"/>
    </row>
    <row r="1267" spans="1:26" ht="15.75" hidden="1" customHeight="1" x14ac:dyDescent="0.25">
      <c r="A1267" s="213">
        <v>39472</v>
      </c>
      <c r="B1267" s="214" t="s">
        <v>9759</v>
      </c>
      <c r="C1267" s="215" t="s">
        <v>580</v>
      </c>
      <c r="D1267" s="216">
        <v>192.12</v>
      </c>
      <c r="E1267" s="198"/>
      <c r="F1267" s="198"/>
      <c r="G1267" s="198"/>
      <c r="H1267" s="198"/>
      <c r="I1267" s="198"/>
      <c r="J1267" s="198"/>
      <c r="K1267" s="198"/>
      <c r="L1267" s="198"/>
      <c r="M1267" s="198"/>
      <c r="N1267" s="198"/>
      <c r="O1267" s="198"/>
      <c r="P1267" s="198"/>
      <c r="Q1267" s="198"/>
      <c r="R1267" s="198"/>
      <c r="S1267" s="198"/>
      <c r="T1267" s="198"/>
      <c r="U1267" s="198"/>
      <c r="V1267" s="198"/>
      <c r="W1267" s="198"/>
      <c r="X1267" s="198"/>
      <c r="Y1267" s="198"/>
      <c r="Z1267" s="198"/>
    </row>
    <row r="1268" spans="1:26" ht="15.75" hidden="1" customHeight="1" x14ac:dyDescent="0.25">
      <c r="A1268" s="213">
        <v>39473</v>
      </c>
      <c r="B1268" s="214" t="s">
        <v>9760</v>
      </c>
      <c r="C1268" s="215" t="s">
        <v>580</v>
      </c>
      <c r="D1268" s="216">
        <v>124.11</v>
      </c>
      <c r="E1268" s="198"/>
      <c r="F1268" s="198"/>
      <c r="G1268" s="198"/>
      <c r="H1268" s="198"/>
      <c r="I1268" s="198"/>
      <c r="J1268" s="198"/>
      <c r="K1268" s="198"/>
      <c r="L1268" s="198"/>
      <c r="M1268" s="198"/>
      <c r="N1268" s="198"/>
      <c r="O1268" s="198"/>
      <c r="P1268" s="198"/>
      <c r="Q1268" s="198"/>
      <c r="R1268" s="198"/>
      <c r="S1268" s="198"/>
      <c r="T1268" s="198"/>
      <c r="U1268" s="198"/>
      <c r="V1268" s="198"/>
      <c r="W1268" s="198"/>
      <c r="X1268" s="198"/>
      <c r="Y1268" s="198"/>
      <c r="Z1268" s="198"/>
    </row>
    <row r="1269" spans="1:26" ht="15.75" hidden="1" customHeight="1" x14ac:dyDescent="0.25">
      <c r="A1269" s="213">
        <v>39474</v>
      </c>
      <c r="B1269" s="214" t="s">
        <v>9761</v>
      </c>
      <c r="C1269" s="215" t="s">
        <v>580</v>
      </c>
      <c r="D1269" s="216">
        <v>132.31</v>
      </c>
      <c r="E1269" s="198"/>
      <c r="F1269" s="198"/>
      <c r="G1269" s="198"/>
      <c r="H1269" s="198"/>
      <c r="I1269" s="198"/>
      <c r="J1269" s="198"/>
      <c r="K1269" s="198"/>
      <c r="L1269" s="198"/>
      <c r="M1269" s="198"/>
      <c r="N1269" s="198"/>
      <c r="O1269" s="198"/>
      <c r="P1269" s="198"/>
      <c r="Q1269" s="198"/>
      <c r="R1269" s="198"/>
      <c r="S1269" s="198"/>
      <c r="T1269" s="198"/>
      <c r="U1269" s="198"/>
      <c r="V1269" s="198"/>
      <c r="W1269" s="198"/>
      <c r="X1269" s="198"/>
      <c r="Y1269" s="198"/>
      <c r="Z1269" s="198"/>
    </row>
    <row r="1270" spans="1:26" ht="15.75" hidden="1" customHeight="1" x14ac:dyDescent="0.25">
      <c r="A1270" s="213">
        <v>39475</v>
      </c>
      <c r="B1270" s="214" t="s">
        <v>9762</v>
      </c>
      <c r="C1270" s="215" t="s">
        <v>580</v>
      </c>
      <c r="D1270" s="216">
        <v>150.12</v>
      </c>
      <c r="E1270" s="198"/>
      <c r="F1270" s="198"/>
      <c r="G1270" s="198"/>
      <c r="H1270" s="198"/>
      <c r="I1270" s="198"/>
      <c r="J1270" s="198"/>
      <c r="K1270" s="198"/>
      <c r="L1270" s="198"/>
      <c r="M1270" s="198"/>
      <c r="N1270" s="198"/>
      <c r="O1270" s="198"/>
      <c r="P1270" s="198"/>
      <c r="Q1270" s="198"/>
      <c r="R1270" s="198"/>
      <c r="S1270" s="198"/>
      <c r="T1270" s="198"/>
      <c r="U1270" s="198"/>
      <c r="V1270" s="198"/>
      <c r="W1270" s="198"/>
      <c r="X1270" s="198"/>
      <c r="Y1270" s="198"/>
      <c r="Z1270" s="198"/>
    </row>
    <row r="1271" spans="1:26" ht="15.75" hidden="1" customHeight="1" x14ac:dyDescent="0.25">
      <c r="A1271" s="213">
        <v>39476</v>
      </c>
      <c r="B1271" s="214" t="s">
        <v>9763</v>
      </c>
      <c r="C1271" s="215" t="s">
        <v>580</v>
      </c>
      <c r="D1271" s="216">
        <v>282.58999999999997</v>
      </c>
      <c r="E1271" s="198"/>
      <c r="F1271" s="198"/>
      <c r="G1271" s="198"/>
      <c r="H1271" s="198"/>
      <c r="I1271" s="198"/>
      <c r="J1271" s="198"/>
      <c r="K1271" s="198"/>
      <c r="L1271" s="198"/>
      <c r="M1271" s="198"/>
      <c r="N1271" s="198"/>
      <c r="O1271" s="198"/>
      <c r="P1271" s="198"/>
      <c r="Q1271" s="198"/>
      <c r="R1271" s="198"/>
      <c r="S1271" s="198"/>
      <c r="T1271" s="198"/>
      <c r="U1271" s="198"/>
      <c r="V1271" s="198"/>
      <c r="W1271" s="198"/>
      <c r="X1271" s="198"/>
      <c r="Y1271" s="198"/>
      <c r="Z1271" s="198"/>
    </row>
    <row r="1272" spans="1:26" ht="15.75" hidden="1" customHeight="1" x14ac:dyDescent="0.25">
      <c r="A1272" s="213">
        <v>39477</v>
      </c>
      <c r="B1272" s="214" t="s">
        <v>9764</v>
      </c>
      <c r="C1272" s="215" t="s">
        <v>580</v>
      </c>
      <c r="D1272" s="216">
        <v>138.46</v>
      </c>
      <c r="E1272" s="198"/>
      <c r="F1272" s="198"/>
      <c r="G1272" s="198"/>
      <c r="H1272" s="198"/>
      <c r="I1272" s="198"/>
      <c r="J1272" s="198"/>
      <c r="K1272" s="198"/>
      <c r="L1272" s="198"/>
      <c r="M1272" s="198"/>
      <c r="N1272" s="198"/>
      <c r="O1272" s="198"/>
      <c r="P1272" s="198"/>
      <c r="Q1272" s="198"/>
      <c r="R1272" s="198"/>
      <c r="S1272" s="198"/>
      <c r="T1272" s="198"/>
      <c r="U1272" s="198"/>
      <c r="V1272" s="198"/>
      <c r="W1272" s="198"/>
      <c r="X1272" s="198"/>
      <c r="Y1272" s="198"/>
      <c r="Z1272" s="198"/>
    </row>
    <row r="1273" spans="1:26" ht="15.75" hidden="1" customHeight="1" x14ac:dyDescent="0.25">
      <c r="A1273" s="213">
        <v>39478</v>
      </c>
      <c r="B1273" s="214" t="s">
        <v>9765</v>
      </c>
      <c r="C1273" s="215" t="s">
        <v>580</v>
      </c>
      <c r="D1273" s="216">
        <v>142.74</v>
      </c>
      <c r="E1273" s="198"/>
      <c r="F1273" s="198"/>
      <c r="G1273" s="198"/>
      <c r="H1273" s="198"/>
      <c r="I1273" s="198"/>
      <c r="J1273" s="198"/>
      <c r="K1273" s="198"/>
      <c r="L1273" s="198"/>
      <c r="M1273" s="198"/>
      <c r="N1273" s="198"/>
      <c r="O1273" s="198"/>
      <c r="P1273" s="198"/>
      <c r="Q1273" s="198"/>
      <c r="R1273" s="198"/>
      <c r="S1273" s="198"/>
      <c r="T1273" s="198"/>
      <c r="U1273" s="198"/>
      <c r="V1273" s="198"/>
      <c r="W1273" s="198"/>
      <c r="X1273" s="198"/>
      <c r="Y1273" s="198"/>
      <c r="Z1273" s="198"/>
    </row>
    <row r="1274" spans="1:26" ht="15.75" hidden="1" customHeight="1" x14ac:dyDescent="0.25">
      <c r="A1274" s="213">
        <v>39479</v>
      </c>
      <c r="B1274" s="214" t="s">
        <v>9766</v>
      </c>
      <c r="C1274" s="215" t="s">
        <v>580</v>
      </c>
      <c r="D1274" s="216">
        <v>168.18</v>
      </c>
      <c r="E1274" s="198"/>
      <c r="F1274" s="198"/>
      <c r="G1274" s="198"/>
      <c r="H1274" s="198"/>
      <c r="I1274" s="198"/>
      <c r="J1274" s="198"/>
      <c r="K1274" s="198"/>
      <c r="L1274" s="198"/>
      <c r="M1274" s="198"/>
      <c r="N1274" s="198"/>
      <c r="O1274" s="198"/>
      <c r="P1274" s="198"/>
      <c r="Q1274" s="198"/>
      <c r="R1274" s="198"/>
      <c r="S1274" s="198"/>
      <c r="T1274" s="198"/>
      <c r="U1274" s="198"/>
      <c r="V1274" s="198"/>
      <c r="W1274" s="198"/>
      <c r="X1274" s="198"/>
      <c r="Y1274" s="198"/>
      <c r="Z1274" s="198"/>
    </row>
    <row r="1275" spans="1:26" ht="15.75" hidden="1" customHeight="1" x14ac:dyDescent="0.25">
      <c r="A1275" s="213">
        <v>39480</v>
      </c>
      <c r="B1275" s="214" t="s">
        <v>9767</v>
      </c>
      <c r="C1275" s="215" t="s">
        <v>580</v>
      </c>
      <c r="D1275" s="216">
        <v>347.04</v>
      </c>
      <c r="E1275" s="198"/>
      <c r="F1275" s="198"/>
      <c r="G1275" s="198"/>
      <c r="H1275" s="198"/>
      <c r="I1275" s="198"/>
      <c r="J1275" s="198"/>
      <c r="K1275" s="198"/>
      <c r="L1275" s="198"/>
      <c r="M1275" s="198"/>
      <c r="N1275" s="198"/>
      <c r="O1275" s="198"/>
      <c r="P1275" s="198"/>
      <c r="Q1275" s="198"/>
      <c r="R1275" s="198"/>
      <c r="S1275" s="198"/>
      <c r="T1275" s="198"/>
      <c r="U1275" s="198"/>
      <c r="V1275" s="198"/>
      <c r="W1275" s="198"/>
      <c r="X1275" s="198"/>
      <c r="Y1275" s="198"/>
      <c r="Z1275" s="198"/>
    </row>
    <row r="1276" spans="1:26" ht="15.75" hidden="1" customHeight="1" x14ac:dyDescent="0.25">
      <c r="A1276" s="213">
        <v>39459</v>
      </c>
      <c r="B1276" s="214" t="s">
        <v>9768</v>
      </c>
      <c r="C1276" s="215" t="s">
        <v>580</v>
      </c>
      <c r="D1276" s="216">
        <v>294.55</v>
      </c>
      <c r="E1276" s="198"/>
      <c r="F1276" s="198"/>
      <c r="G1276" s="198"/>
      <c r="H1276" s="198"/>
      <c r="I1276" s="198"/>
      <c r="J1276" s="198"/>
      <c r="K1276" s="198"/>
      <c r="L1276" s="198"/>
      <c r="M1276" s="198"/>
      <c r="N1276" s="198"/>
      <c r="O1276" s="198"/>
      <c r="P1276" s="198"/>
      <c r="Q1276" s="198"/>
      <c r="R1276" s="198"/>
      <c r="S1276" s="198"/>
      <c r="T1276" s="198"/>
      <c r="U1276" s="198"/>
      <c r="V1276" s="198"/>
      <c r="W1276" s="198"/>
      <c r="X1276" s="198"/>
      <c r="Y1276" s="198"/>
      <c r="Z1276" s="198"/>
    </row>
    <row r="1277" spans="1:26" ht="15.75" hidden="1" customHeight="1" x14ac:dyDescent="0.25">
      <c r="A1277" s="213">
        <v>39445</v>
      </c>
      <c r="B1277" s="214" t="s">
        <v>9769</v>
      </c>
      <c r="C1277" s="215" t="s">
        <v>580</v>
      </c>
      <c r="D1277" s="216">
        <v>147.88999999999999</v>
      </c>
      <c r="E1277" s="198"/>
      <c r="F1277" s="198"/>
      <c r="G1277" s="198"/>
      <c r="H1277" s="198"/>
      <c r="I1277" s="198"/>
      <c r="J1277" s="198"/>
      <c r="K1277" s="198"/>
      <c r="L1277" s="198"/>
      <c r="M1277" s="198"/>
      <c r="N1277" s="198"/>
      <c r="O1277" s="198"/>
      <c r="P1277" s="198"/>
      <c r="Q1277" s="198"/>
      <c r="R1277" s="198"/>
      <c r="S1277" s="198"/>
      <c r="T1277" s="198"/>
      <c r="U1277" s="198"/>
      <c r="V1277" s="198"/>
      <c r="W1277" s="198"/>
      <c r="X1277" s="198"/>
      <c r="Y1277" s="198"/>
      <c r="Z1277" s="198"/>
    </row>
    <row r="1278" spans="1:26" ht="15.75" hidden="1" customHeight="1" x14ac:dyDescent="0.25">
      <c r="A1278" s="213">
        <v>39446</v>
      </c>
      <c r="B1278" s="214" t="s">
        <v>9770</v>
      </c>
      <c r="C1278" s="215" t="s">
        <v>580</v>
      </c>
      <c r="D1278" s="216">
        <v>150.53</v>
      </c>
      <c r="E1278" s="198"/>
      <c r="F1278" s="198"/>
      <c r="G1278" s="198"/>
      <c r="H1278" s="198"/>
      <c r="I1278" s="198"/>
      <c r="J1278" s="198"/>
      <c r="K1278" s="198"/>
      <c r="L1278" s="198"/>
      <c r="M1278" s="198"/>
      <c r="N1278" s="198"/>
      <c r="O1278" s="198"/>
      <c r="P1278" s="198"/>
      <c r="Q1278" s="198"/>
      <c r="R1278" s="198"/>
      <c r="S1278" s="198"/>
      <c r="T1278" s="198"/>
      <c r="U1278" s="198"/>
      <c r="V1278" s="198"/>
      <c r="W1278" s="198"/>
      <c r="X1278" s="198"/>
      <c r="Y1278" s="198"/>
      <c r="Z1278" s="198"/>
    </row>
    <row r="1279" spans="1:26" ht="15.75" hidden="1" customHeight="1" x14ac:dyDescent="0.25">
      <c r="A1279" s="213">
        <v>39447</v>
      </c>
      <c r="B1279" s="214" t="s">
        <v>9771</v>
      </c>
      <c r="C1279" s="215" t="s">
        <v>580</v>
      </c>
      <c r="D1279" s="216">
        <v>160.97</v>
      </c>
      <c r="E1279" s="198"/>
      <c r="F1279" s="198"/>
      <c r="G1279" s="198"/>
      <c r="H1279" s="198"/>
      <c r="I1279" s="198"/>
      <c r="J1279" s="198"/>
      <c r="K1279" s="198"/>
      <c r="L1279" s="198"/>
      <c r="M1279" s="198"/>
      <c r="N1279" s="198"/>
      <c r="O1279" s="198"/>
      <c r="P1279" s="198"/>
      <c r="Q1279" s="198"/>
      <c r="R1279" s="198"/>
      <c r="S1279" s="198"/>
      <c r="T1279" s="198"/>
      <c r="U1279" s="198"/>
      <c r="V1279" s="198"/>
      <c r="W1279" s="198"/>
      <c r="X1279" s="198"/>
      <c r="Y1279" s="198"/>
      <c r="Z1279" s="198"/>
    </row>
    <row r="1280" spans="1:26" ht="15.75" hidden="1" customHeight="1" x14ac:dyDescent="0.25">
      <c r="A1280" s="213">
        <v>39448</v>
      </c>
      <c r="B1280" s="214" t="s">
        <v>9772</v>
      </c>
      <c r="C1280" s="215" t="s">
        <v>580</v>
      </c>
      <c r="D1280" s="216">
        <v>274.48</v>
      </c>
      <c r="E1280" s="198"/>
      <c r="F1280" s="198"/>
      <c r="G1280" s="198"/>
      <c r="H1280" s="198"/>
      <c r="I1280" s="198"/>
      <c r="J1280" s="198"/>
      <c r="K1280" s="198"/>
      <c r="L1280" s="198"/>
      <c r="M1280" s="198"/>
      <c r="N1280" s="198"/>
      <c r="O1280" s="198"/>
      <c r="P1280" s="198"/>
      <c r="Q1280" s="198"/>
      <c r="R1280" s="198"/>
      <c r="S1280" s="198"/>
      <c r="T1280" s="198"/>
      <c r="U1280" s="198"/>
      <c r="V1280" s="198"/>
      <c r="W1280" s="198"/>
      <c r="X1280" s="198"/>
      <c r="Y1280" s="198"/>
      <c r="Z1280" s="198"/>
    </row>
    <row r="1281" spans="1:26" ht="15.75" hidden="1" customHeight="1" x14ac:dyDescent="0.25">
      <c r="A1281" s="213">
        <v>39450</v>
      </c>
      <c r="B1281" s="214" t="s">
        <v>9773</v>
      </c>
      <c r="C1281" s="215" t="s">
        <v>580</v>
      </c>
      <c r="D1281" s="216">
        <v>167.47</v>
      </c>
      <c r="E1281" s="198"/>
      <c r="F1281" s="198"/>
      <c r="G1281" s="198"/>
      <c r="H1281" s="198"/>
      <c r="I1281" s="198"/>
      <c r="J1281" s="198"/>
      <c r="K1281" s="198"/>
      <c r="L1281" s="198"/>
      <c r="M1281" s="198"/>
      <c r="N1281" s="198"/>
      <c r="O1281" s="198"/>
      <c r="P1281" s="198"/>
      <c r="Q1281" s="198"/>
      <c r="R1281" s="198"/>
      <c r="S1281" s="198"/>
      <c r="T1281" s="198"/>
      <c r="U1281" s="198"/>
      <c r="V1281" s="198"/>
      <c r="W1281" s="198"/>
      <c r="X1281" s="198"/>
      <c r="Y1281" s="198"/>
      <c r="Z1281" s="198"/>
    </row>
    <row r="1282" spans="1:26" ht="15.75" hidden="1" customHeight="1" x14ac:dyDescent="0.25">
      <c r="A1282" s="213">
        <v>39451</v>
      </c>
      <c r="B1282" s="214" t="s">
        <v>9774</v>
      </c>
      <c r="C1282" s="215" t="s">
        <v>580</v>
      </c>
      <c r="D1282" s="216">
        <v>182.66</v>
      </c>
      <c r="E1282" s="198"/>
      <c r="F1282" s="198"/>
      <c r="G1282" s="198"/>
      <c r="H1282" s="198"/>
      <c r="I1282" s="198"/>
      <c r="J1282" s="198"/>
      <c r="K1282" s="198"/>
      <c r="L1282" s="198"/>
      <c r="M1282" s="198"/>
      <c r="N1282" s="198"/>
      <c r="O1282" s="198"/>
      <c r="P1282" s="198"/>
      <c r="Q1282" s="198"/>
      <c r="R1282" s="198"/>
      <c r="S1282" s="198"/>
      <c r="T1282" s="198"/>
      <c r="U1282" s="198"/>
      <c r="V1282" s="198"/>
      <c r="W1282" s="198"/>
      <c r="X1282" s="198"/>
      <c r="Y1282" s="198"/>
      <c r="Z1282" s="198"/>
    </row>
    <row r="1283" spans="1:26" ht="15.75" hidden="1" customHeight="1" x14ac:dyDescent="0.25">
      <c r="A1283" s="213">
        <v>39452</v>
      </c>
      <c r="B1283" s="214" t="s">
        <v>9775</v>
      </c>
      <c r="C1283" s="215" t="s">
        <v>580</v>
      </c>
      <c r="D1283" s="216">
        <v>183.75</v>
      </c>
      <c r="E1283" s="198"/>
      <c r="F1283" s="198"/>
      <c r="G1283" s="198"/>
      <c r="H1283" s="198"/>
      <c r="I1283" s="198"/>
      <c r="J1283" s="198"/>
      <c r="K1283" s="198"/>
      <c r="L1283" s="198"/>
      <c r="M1283" s="198"/>
      <c r="N1283" s="198"/>
      <c r="O1283" s="198"/>
      <c r="P1283" s="198"/>
      <c r="Q1283" s="198"/>
      <c r="R1283" s="198"/>
      <c r="S1283" s="198"/>
      <c r="T1283" s="198"/>
      <c r="U1283" s="198"/>
      <c r="V1283" s="198"/>
      <c r="W1283" s="198"/>
      <c r="X1283" s="198"/>
      <c r="Y1283" s="198"/>
      <c r="Z1283" s="198"/>
    </row>
    <row r="1284" spans="1:26" ht="15.75" hidden="1" customHeight="1" x14ac:dyDescent="0.25">
      <c r="A1284" s="213">
        <v>39523</v>
      </c>
      <c r="B1284" s="214" t="s">
        <v>9776</v>
      </c>
      <c r="C1284" s="215" t="s">
        <v>580</v>
      </c>
      <c r="D1284" s="216">
        <v>307.5</v>
      </c>
      <c r="E1284" s="198"/>
      <c r="F1284" s="198"/>
      <c r="G1284" s="198"/>
      <c r="H1284" s="198"/>
      <c r="I1284" s="198"/>
      <c r="J1284" s="198"/>
      <c r="K1284" s="198"/>
      <c r="L1284" s="198"/>
      <c r="M1284" s="198"/>
      <c r="N1284" s="198"/>
      <c r="O1284" s="198"/>
      <c r="P1284" s="198"/>
      <c r="Q1284" s="198"/>
      <c r="R1284" s="198"/>
      <c r="S1284" s="198"/>
      <c r="T1284" s="198"/>
      <c r="U1284" s="198"/>
      <c r="V1284" s="198"/>
      <c r="W1284" s="198"/>
      <c r="X1284" s="198"/>
      <c r="Y1284" s="198"/>
      <c r="Z1284" s="198"/>
    </row>
    <row r="1285" spans="1:26" ht="15.75" hidden="1" customHeight="1" x14ac:dyDescent="0.25">
      <c r="A1285" s="213">
        <v>39449</v>
      </c>
      <c r="B1285" s="214" t="s">
        <v>9777</v>
      </c>
      <c r="C1285" s="215" t="s">
        <v>580</v>
      </c>
      <c r="D1285" s="216">
        <v>340.53</v>
      </c>
      <c r="E1285" s="198"/>
      <c r="F1285" s="198"/>
      <c r="G1285" s="198"/>
      <c r="H1285" s="198"/>
      <c r="I1285" s="198"/>
      <c r="J1285" s="198"/>
      <c r="K1285" s="198"/>
      <c r="L1285" s="198"/>
      <c r="M1285" s="198"/>
      <c r="N1285" s="198"/>
      <c r="O1285" s="198"/>
      <c r="P1285" s="198"/>
      <c r="Q1285" s="198"/>
      <c r="R1285" s="198"/>
      <c r="S1285" s="198"/>
      <c r="T1285" s="198"/>
      <c r="U1285" s="198"/>
      <c r="V1285" s="198"/>
      <c r="W1285" s="198"/>
      <c r="X1285" s="198"/>
      <c r="Y1285" s="198"/>
      <c r="Z1285" s="198"/>
    </row>
    <row r="1286" spans="1:26" ht="15.75" hidden="1" customHeight="1" x14ac:dyDescent="0.25">
      <c r="A1286" s="213">
        <v>39455</v>
      </c>
      <c r="B1286" s="214" t="s">
        <v>9778</v>
      </c>
      <c r="C1286" s="215" t="s">
        <v>580</v>
      </c>
      <c r="D1286" s="216">
        <v>168.5</v>
      </c>
      <c r="E1286" s="198"/>
      <c r="F1286" s="198"/>
      <c r="G1286" s="198"/>
      <c r="H1286" s="198"/>
      <c r="I1286" s="198"/>
      <c r="J1286" s="198"/>
      <c r="K1286" s="198"/>
      <c r="L1286" s="198"/>
      <c r="M1286" s="198"/>
      <c r="N1286" s="198"/>
      <c r="O1286" s="198"/>
      <c r="P1286" s="198"/>
      <c r="Q1286" s="198"/>
      <c r="R1286" s="198"/>
      <c r="S1286" s="198"/>
      <c r="T1286" s="198"/>
      <c r="U1286" s="198"/>
      <c r="V1286" s="198"/>
      <c r="W1286" s="198"/>
      <c r="X1286" s="198"/>
      <c r="Y1286" s="198"/>
      <c r="Z1286" s="198"/>
    </row>
    <row r="1287" spans="1:26" ht="15.75" hidden="1" customHeight="1" x14ac:dyDescent="0.25">
      <c r="A1287" s="213">
        <v>39456</v>
      </c>
      <c r="B1287" s="214" t="s">
        <v>9779</v>
      </c>
      <c r="C1287" s="215" t="s">
        <v>580</v>
      </c>
      <c r="D1287" s="216">
        <v>168.63</v>
      </c>
      <c r="E1287" s="198"/>
      <c r="F1287" s="198"/>
      <c r="G1287" s="198"/>
      <c r="H1287" s="198"/>
      <c r="I1287" s="198"/>
      <c r="J1287" s="198"/>
      <c r="K1287" s="198"/>
      <c r="L1287" s="198"/>
      <c r="M1287" s="198"/>
      <c r="N1287" s="198"/>
      <c r="O1287" s="198"/>
      <c r="P1287" s="198"/>
      <c r="Q1287" s="198"/>
      <c r="R1287" s="198"/>
      <c r="S1287" s="198"/>
      <c r="T1287" s="198"/>
      <c r="U1287" s="198"/>
      <c r="V1287" s="198"/>
      <c r="W1287" s="198"/>
      <c r="X1287" s="198"/>
      <c r="Y1287" s="198"/>
      <c r="Z1287" s="198"/>
    </row>
    <row r="1288" spans="1:26" ht="15.75" hidden="1" customHeight="1" x14ac:dyDescent="0.25">
      <c r="A1288" s="213">
        <v>39457</v>
      </c>
      <c r="B1288" s="214" t="s">
        <v>9780</v>
      </c>
      <c r="C1288" s="215" t="s">
        <v>580</v>
      </c>
      <c r="D1288" s="216">
        <v>183.83</v>
      </c>
      <c r="E1288" s="198"/>
      <c r="F1288" s="198"/>
      <c r="G1288" s="198"/>
      <c r="H1288" s="198"/>
      <c r="I1288" s="198"/>
      <c r="J1288" s="198"/>
      <c r="K1288" s="198"/>
      <c r="L1288" s="198"/>
      <c r="M1288" s="198"/>
      <c r="N1288" s="198"/>
      <c r="O1288" s="198"/>
      <c r="P1288" s="198"/>
      <c r="Q1288" s="198"/>
      <c r="R1288" s="198"/>
      <c r="S1288" s="198"/>
      <c r="T1288" s="198"/>
      <c r="U1288" s="198"/>
      <c r="V1288" s="198"/>
      <c r="W1288" s="198"/>
      <c r="X1288" s="198"/>
      <c r="Y1288" s="198"/>
      <c r="Z1288" s="198"/>
    </row>
    <row r="1289" spans="1:26" ht="15.75" hidden="1" customHeight="1" x14ac:dyDescent="0.25">
      <c r="A1289" s="213">
        <v>39458</v>
      </c>
      <c r="B1289" s="214" t="s">
        <v>9781</v>
      </c>
      <c r="C1289" s="215" t="s">
        <v>580</v>
      </c>
      <c r="D1289" s="216">
        <v>343.04</v>
      </c>
      <c r="E1289" s="198"/>
      <c r="F1289" s="198"/>
      <c r="G1289" s="198"/>
      <c r="H1289" s="198"/>
      <c r="I1289" s="198"/>
      <c r="J1289" s="198"/>
      <c r="K1289" s="198"/>
      <c r="L1289" s="198"/>
      <c r="M1289" s="198"/>
      <c r="N1289" s="198"/>
      <c r="O1289" s="198"/>
      <c r="P1289" s="198"/>
      <c r="Q1289" s="198"/>
      <c r="R1289" s="198"/>
      <c r="S1289" s="198"/>
      <c r="T1289" s="198"/>
      <c r="U1289" s="198"/>
      <c r="V1289" s="198"/>
      <c r="W1289" s="198"/>
      <c r="X1289" s="198"/>
      <c r="Y1289" s="198"/>
      <c r="Z1289" s="198"/>
    </row>
    <row r="1290" spans="1:26" ht="15.75" hidden="1" customHeight="1" x14ac:dyDescent="0.25">
      <c r="A1290" s="213">
        <v>39464</v>
      </c>
      <c r="B1290" s="214" t="s">
        <v>9782</v>
      </c>
      <c r="C1290" s="215" t="s">
        <v>580</v>
      </c>
      <c r="D1290" s="216">
        <v>551.64</v>
      </c>
      <c r="E1290" s="198"/>
      <c r="F1290" s="198"/>
      <c r="G1290" s="198"/>
      <c r="H1290" s="198"/>
      <c r="I1290" s="198"/>
      <c r="J1290" s="198"/>
      <c r="K1290" s="198"/>
      <c r="L1290" s="198"/>
      <c r="M1290" s="198"/>
      <c r="N1290" s="198"/>
      <c r="O1290" s="198"/>
      <c r="P1290" s="198"/>
      <c r="Q1290" s="198"/>
      <c r="R1290" s="198"/>
      <c r="S1290" s="198"/>
      <c r="T1290" s="198"/>
      <c r="U1290" s="198"/>
      <c r="V1290" s="198"/>
      <c r="W1290" s="198"/>
      <c r="X1290" s="198"/>
      <c r="Y1290" s="198"/>
      <c r="Z1290" s="198"/>
    </row>
    <row r="1291" spans="1:26" ht="15.75" hidden="1" customHeight="1" x14ac:dyDescent="0.25">
      <c r="A1291" s="213">
        <v>39460</v>
      </c>
      <c r="B1291" s="214" t="s">
        <v>9783</v>
      </c>
      <c r="C1291" s="215" t="s">
        <v>580</v>
      </c>
      <c r="D1291" s="216">
        <v>209.22</v>
      </c>
      <c r="E1291" s="198"/>
      <c r="F1291" s="198"/>
      <c r="G1291" s="198"/>
      <c r="H1291" s="198"/>
      <c r="I1291" s="198"/>
      <c r="J1291" s="198"/>
      <c r="K1291" s="198"/>
      <c r="L1291" s="198"/>
      <c r="M1291" s="198"/>
      <c r="N1291" s="198"/>
      <c r="O1291" s="198"/>
      <c r="P1291" s="198"/>
      <c r="Q1291" s="198"/>
      <c r="R1291" s="198"/>
      <c r="S1291" s="198"/>
      <c r="T1291" s="198"/>
      <c r="U1291" s="198"/>
      <c r="V1291" s="198"/>
      <c r="W1291" s="198"/>
      <c r="X1291" s="198"/>
      <c r="Y1291" s="198"/>
      <c r="Z1291" s="198"/>
    </row>
    <row r="1292" spans="1:26" ht="15.75" hidden="1" customHeight="1" x14ac:dyDescent="0.25">
      <c r="A1292" s="213">
        <v>39461</v>
      </c>
      <c r="B1292" s="214" t="s">
        <v>9784</v>
      </c>
      <c r="C1292" s="215" t="s">
        <v>580</v>
      </c>
      <c r="D1292" s="216">
        <v>245.16</v>
      </c>
      <c r="E1292" s="198"/>
      <c r="F1292" s="198"/>
      <c r="G1292" s="198"/>
      <c r="H1292" s="198"/>
      <c r="I1292" s="198"/>
      <c r="J1292" s="198"/>
      <c r="K1292" s="198"/>
      <c r="L1292" s="198"/>
      <c r="M1292" s="198"/>
      <c r="N1292" s="198"/>
      <c r="O1292" s="198"/>
      <c r="P1292" s="198"/>
      <c r="Q1292" s="198"/>
      <c r="R1292" s="198"/>
      <c r="S1292" s="198"/>
      <c r="T1292" s="198"/>
      <c r="U1292" s="198"/>
      <c r="V1292" s="198"/>
      <c r="W1292" s="198"/>
      <c r="X1292" s="198"/>
      <c r="Y1292" s="198"/>
      <c r="Z1292" s="198"/>
    </row>
    <row r="1293" spans="1:26" ht="15.75" hidden="1" customHeight="1" x14ac:dyDescent="0.25">
      <c r="A1293" s="213">
        <v>39462</v>
      </c>
      <c r="B1293" s="214" t="s">
        <v>9785</v>
      </c>
      <c r="C1293" s="215" t="s">
        <v>580</v>
      </c>
      <c r="D1293" s="216">
        <v>236.27</v>
      </c>
      <c r="E1293" s="198"/>
      <c r="F1293" s="198"/>
      <c r="G1293" s="198"/>
      <c r="H1293" s="198"/>
      <c r="I1293" s="198"/>
      <c r="J1293" s="198"/>
      <c r="K1293" s="198"/>
      <c r="L1293" s="198"/>
      <c r="M1293" s="198"/>
      <c r="N1293" s="198"/>
      <c r="O1293" s="198"/>
      <c r="P1293" s="198"/>
      <c r="Q1293" s="198"/>
      <c r="R1293" s="198"/>
      <c r="S1293" s="198"/>
      <c r="T1293" s="198"/>
      <c r="U1293" s="198"/>
      <c r="V1293" s="198"/>
      <c r="W1293" s="198"/>
      <c r="X1293" s="198"/>
      <c r="Y1293" s="198"/>
      <c r="Z1293" s="198"/>
    </row>
    <row r="1294" spans="1:26" ht="15.75" hidden="1" customHeight="1" x14ac:dyDescent="0.25">
      <c r="A1294" s="213">
        <v>39463</v>
      </c>
      <c r="B1294" s="214" t="s">
        <v>9786</v>
      </c>
      <c r="C1294" s="215" t="s">
        <v>580</v>
      </c>
      <c r="D1294" s="216">
        <v>547.36</v>
      </c>
      <c r="E1294" s="198"/>
      <c r="F1294" s="198"/>
      <c r="G1294" s="198"/>
      <c r="H1294" s="198"/>
      <c r="I1294" s="198"/>
      <c r="J1294" s="198"/>
      <c r="K1294" s="198"/>
      <c r="L1294" s="198"/>
      <c r="M1294" s="198"/>
      <c r="N1294" s="198"/>
      <c r="O1294" s="198"/>
      <c r="P1294" s="198"/>
      <c r="Q1294" s="198"/>
      <c r="R1294" s="198"/>
      <c r="S1294" s="198"/>
      <c r="T1294" s="198"/>
      <c r="U1294" s="198"/>
      <c r="V1294" s="198"/>
      <c r="W1294" s="198"/>
      <c r="X1294" s="198"/>
      <c r="Y1294" s="198"/>
      <c r="Z1294" s="198"/>
    </row>
    <row r="1295" spans="1:26" ht="15.75" hidden="1" customHeight="1" x14ac:dyDescent="0.25">
      <c r="A1295" s="213">
        <v>44476</v>
      </c>
      <c r="B1295" s="214" t="s">
        <v>9787</v>
      </c>
      <c r="C1295" s="215" t="s">
        <v>578</v>
      </c>
      <c r="D1295" s="216">
        <v>752.83</v>
      </c>
      <c r="E1295" s="198"/>
      <c r="F1295" s="198"/>
      <c r="G1295" s="198"/>
      <c r="H1295" s="198"/>
      <c r="I1295" s="198"/>
      <c r="J1295" s="198"/>
      <c r="K1295" s="198"/>
      <c r="L1295" s="198"/>
      <c r="M1295" s="198"/>
      <c r="N1295" s="198"/>
      <c r="O1295" s="198"/>
      <c r="P1295" s="198"/>
      <c r="Q1295" s="198"/>
      <c r="R1295" s="198"/>
      <c r="S1295" s="198"/>
      <c r="T1295" s="198"/>
      <c r="U1295" s="198"/>
      <c r="V1295" s="198"/>
      <c r="W1295" s="198"/>
      <c r="X1295" s="198"/>
      <c r="Y1295" s="198"/>
      <c r="Z1295" s="198"/>
    </row>
    <row r="1296" spans="1:26" ht="15.75" hidden="1" customHeight="1" x14ac:dyDescent="0.25">
      <c r="A1296" s="213">
        <v>10629</v>
      </c>
      <c r="B1296" s="214" t="s">
        <v>9788</v>
      </c>
      <c r="C1296" s="215" t="s">
        <v>578</v>
      </c>
      <c r="D1296" s="216">
        <v>655.44</v>
      </c>
      <c r="E1296" s="198"/>
      <c r="F1296" s="198"/>
      <c r="G1296" s="198"/>
      <c r="H1296" s="198"/>
      <c r="I1296" s="198"/>
      <c r="J1296" s="198"/>
      <c r="K1296" s="198"/>
      <c r="L1296" s="198"/>
      <c r="M1296" s="198"/>
      <c r="N1296" s="198"/>
      <c r="O1296" s="198"/>
      <c r="P1296" s="198"/>
      <c r="Q1296" s="198"/>
      <c r="R1296" s="198"/>
      <c r="S1296" s="198"/>
      <c r="T1296" s="198"/>
      <c r="U1296" s="198"/>
      <c r="V1296" s="198"/>
      <c r="W1296" s="198"/>
      <c r="X1296" s="198"/>
      <c r="Y1296" s="198"/>
      <c r="Z1296" s="198"/>
    </row>
    <row r="1297" spans="1:26" ht="15.75" customHeight="1" x14ac:dyDescent="0.25">
      <c r="A1297" s="213">
        <v>40521</v>
      </c>
      <c r="B1297" s="214" t="s">
        <v>9789</v>
      </c>
      <c r="C1297" s="215" t="s">
        <v>580</v>
      </c>
      <c r="D1297" s="216">
        <v>105557.29</v>
      </c>
      <c r="E1297" s="198"/>
      <c r="F1297" s="198"/>
      <c r="G1297" s="198"/>
      <c r="H1297" s="198"/>
      <c r="I1297" s="198"/>
      <c r="J1297" s="198"/>
      <c r="K1297" s="198"/>
      <c r="L1297" s="198"/>
      <c r="M1297" s="198"/>
      <c r="N1297" s="198"/>
      <c r="O1297" s="198"/>
      <c r="P1297" s="198"/>
      <c r="Q1297" s="198"/>
      <c r="R1297" s="198"/>
      <c r="S1297" s="198"/>
      <c r="T1297" s="198"/>
      <c r="U1297" s="198"/>
      <c r="V1297" s="198"/>
      <c r="W1297" s="198"/>
      <c r="X1297" s="198"/>
      <c r="Y1297" s="198"/>
      <c r="Z1297" s="198"/>
    </row>
    <row r="1298" spans="1:26" ht="15.75" hidden="1" customHeight="1" x14ac:dyDescent="0.25">
      <c r="A1298" s="213">
        <v>2432</v>
      </c>
      <c r="B1298" s="214" t="s">
        <v>9790</v>
      </c>
      <c r="C1298" s="215" t="s">
        <v>580</v>
      </c>
      <c r="D1298" s="216">
        <v>28.67</v>
      </c>
      <c r="E1298" s="198"/>
      <c r="F1298" s="198"/>
      <c r="G1298" s="198"/>
      <c r="H1298" s="198"/>
      <c r="I1298" s="198"/>
      <c r="J1298" s="198"/>
      <c r="K1298" s="198"/>
      <c r="L1298" s="198"/>
      <c r="M1298" s="198"/>
      <c r="N1298" s="198"/>
      <c r="O1298" s="198"/>
      <c r="P1298" s="198"/>
      <c r="Q1298" s="198"/>
      <c r="R1298" s="198"/>
      <c r="S1298" s="198"/>
      <c r="T1298" s="198"/>
      <c r="U1298" s="198"/>
      <c r="V1298" s="198"/>
      <c r="W1298" s="198"/>
      <c r="X1298" s="198"/>
      <c r="Y1298" s="198"/>
      <c r="Z1298" s="198"/>
    </row>
    <row r="1299" spans="1:26" ht="15.75" hidden="1" customHeight="1" x14ac:dyDescent="0.25">
      <c r="A1299" s="213">
        <v>2418</v>
      </c>
      <c r="B1299" s="214" t="s">
        <v>9791</v>
      </c>
      <c r="C1299" s="215" t="s">
        <v>580</v>
      </c>
      <c r="D1299" s="216">
        <v>13.3</v>
      </c>
      <c r="E1299" s="198"/>
      <c r="F1299" s="198"/>
      <c r="G1299" s="198"/>
      <c r="H1299" s="198"/>
      <c r="I1299" s="198"/>
      <c r="J1299" s="198"/>
      <c r="K1299" s="198"/>
      <c r="L1299" s="198"/>
      <c r="M1299" s="198"/>
      <c r="N1299" s="198"/>
      <c r="O1299" s="198"/>
      <c r="P1299" s="198"/>
      <c r="Q1299" s="198"/>
      <c r="R1299" s="198"/>
      <c r="S1299" s="198"/>
      <c r="T1299" s="198"/>
      <c r="U1299" s="198"/>
      <c r="V1299" s="198"/>
      <c r="W1299" s="198"/>
      <c r="X1299" s="198"/>
      <c r="Y1299" s="198"/>
      <c r="Z1299" s="198"/>
    </row>
    <row r="1300" spans="1:26" ht="15.75" hidden="1" customHeight="1" x14ac:dyDescent="0.25">
      <c r="A1300" s="213">
        <v>2433</v>
      </c>
      <c r="B1300" s="214" t="s">
        <v>9792</v>
      </c>
      <c r="C1300" s="215" t="s">
        <v>580</v>
      </c>
      <c r="D1300" s="216">
        <v>9.7100000000000009</v>
      </c>
      <c r="E1300" s="198"/>
      <c r="F1300" s="198"/>
      <c r="G1300" s="198"/>
      <c r="H1300" s="198"/>
      <c r="I1300" s="198"/>
      <c r="J1300" s="198"/>
      <c r="K1300" s="198"/>
      <c r="L1300" s="198"/>
      <c r="M1300" s="198"/>
      <c r="N1300" s="198"/>
      <c r="O1300" s="198"/>
      <c r="P1300" s="198"/>
      <c r="Q1300" s="198"/>
      <c r="R1300" s="198"/>
      <c r="S1300" s="198"/>
      <c r="T1300" s="198"/>
      <c r="U1300" s="198"/>
      <c r="V1300" s="198"/>
      <c r="W1300" s="198"/>
      <c r="X1300" s="198"/>
      <c r="Y1300" s="198"/>
      <c r="Z1300" s="198"/>
    </row>
    <row r="1301" spans="1:26" ht="15.75" hidden="1" customHeight="1" x14ac:dyDescent="0.25">
      <c r="A1301" s="213">
        <v>2420</v>
      </c>
      <c r="B1301" s="214" t="s">
        <v>9793</v>
      </c>
      <c r="C1301" s="215" t="s">
        <v>580</v>
      </c>
      <c r="D1301" s="216">
        <v>16.68</v>
      </c>
      <c r="E1301" s="198"/>
      <c r="F1301" s="198"/>
      <c r="G1301" s="198"/>
      <c r="H1301" s="198"/>
      <c r="I1301" s="198"/>
      <c r="J1301" s="198"/>
      <c r="K1301" s="198"/>
      <c r="L1301" s="198"/>
      <c r="M1301" s="198"/>
      <c r="N1301" s="198"/>
      <c r="O1301" s="198"/>
      <c r="P1301" s="198"/>
      <c r="Q1301" s="198"/>
      <c r="R1301" s="198"/>
      <c r="S1301" s="198"/>
      <c r="T1301" s="198"/>
      <c r="U1301" s="198"/>
      <c r="V1301" s="198"/>
      <c r="W1301" s="198"/>
      <c r="X1301" s="198"/>
      <c r="Y1301" s="198"/>
      <c r="Z1301" s="198"/>
    </row>
    <row r="1302" spans="1:26" ht="15.75" hidden="1" customHeight="1" x14ac:dyDescent="0.25">
      <c r="A1302" s="213">
        <v>11447</v>
      </c>
      <c r="B1302" s="214" t="s">
        <v>9794</v>
      </c>
      <c r="C1302" s="215" t="s">
        <v>580</v>
      </c>
      <c r="D1302" s="216">
        <v>32.96</v>
      </c>
      <c r="E1302" s="198"/>
      <c r="F1302" s="198"/>
      <c r="G1302" s="198"/>
      <c r="H1302" s="198"/>
      <c r="I1302" s="198"/>
      <c r="J1302" s="198"/>
      <c r="K1302" s="198"/>
      <c r="L1302" s="198"/>
      <c r="M1302" s="198"/>
      <c r="N1302" s="198"/>
      <c r="O1302" s="198"/>
      <c r="P1302" s="198"/>
      <c r="Q1302" s="198"/>
      <c r="R1302" s="198"/>
      <c r="S1302" s="198"/>
      <c r="T1302" s="198"/>
      <c r="U1302" s="198"/>
      <c r="V1302" s="198"/>
      <c r="W1302" s="198"/>
      <c r="X1302" s="198"/>
      <c r="Y1302" s="198"/>
      <c r="Z1302" s="198"/>
    </row>
    <row r="1303" spans="1:26" ht="15.75" hidden="1" customHeight="1" x14ac:dyDescent="0.25">
      <c r="A1303" s="213">
        <v>11451</v>
      </c>
      <c r="B1303" s="214" t="s">
        <v>9795</v>
      </c>
      <c r="C1303" s="215" t="s">
        <v>580</v>
      </c>
      <c r="D1303" s="216">
        <v>88.38</v>
      </c>
      <c r="E1303" s="198"/>
      <c r="F1303" s="198"/>
      <c r="G1303" s="198"/>
      <c r="H1303" s="198"/>
      <c r="I1303" s="198"/>
      <c r="J1303" s="198"/>
      <c r="K1303" s="198"/>
      <c r="L1303" s="198"/>
      <c r="M1303" s="198"/>
      <c r="N1303" s="198"/>
      <c r="O1303" s="198"/>
      <c r="P1303" s="198"/>
      <c r="Q1303" s="198"/>
      <c r="R1303" s="198"/>
      <c r="S1303" s="198"/>
      <c r="T1303" s="198"/>
      <c r="U1303" s="198"/>
      <c r="V1303" s="198"/>
      <c r="W1303" s="198"/>
      <c r="X1303" s="198"/>
      <c r="Y1303" s="198"/>
      <c r="Z1303" s="198"/>
    </row>
    <row r="1304" spans="1:26" ht="15.75" hidden="1" customHeight="1" x14ac:dyDescent="0.25">
      <c r="A1304" s="213">
        <v>11116</v>
      </c>
      <c r="B1304" s="214" t="s">
        <v>9796</v>
      </c>
      <c r="C1304" s="215" t="s">
        <v>580</v>
      </c>
      <c r="D1304" s="216">
        <v>796.02</v>
      </c>
      <c r="E1304" s="198"/>
      <c r="F1304" s="198"/>
      <c r="G1304" s="198"/>
      <c r="H1304" s="198"/>
      <c r="I1304" s="198"/>
      <c r="J1304" s="198"/>
      <c r="K1304" s="198"/>
      <c r="L1304" s="198"/>
      <c r="M1304" s="198"/>
      <c r="N1304" s="198"/>
      <c r="O1304" s="198"/>
      <c r="P1304" s="198"/>
      <c r="Q1304" s="198"/>
      <c r="R1304" s="198"/>
      <c r="S1304" s="198"/>
      <c r="T1304" s="198"/>
      <c r="U1304" s="198"/>
      <c r="V1304" s="198"/>
      <c r="W1304" s="198"/>
      <c r="X1304" s="198"/>
      <c r="Y1304" s="198"/>
      <c r="Z1304" s="198"/>
    </row>
    <row r="1305" spans="1:26" ht="15.75" hidden="1" customHeight="1" x14ac:dyDescent="0.25">
      <c r="A1305" s="213">
        <v>38411</v>
      </c>
      <c r="B1305" s="214" t="s">
        <v>9797</v>
      </c>
      <c r="C1305" s="215" t="s">
        <v>580</v>
      </c>
      <c r="D1305" s="216">
        <v>1590.28</v>
      </c>
      <c r="E1305" s="198"/>
      <c r="F1305" s="198"/>
      <c r="G1305" s="198"/>
      <c r="H1305" s="198"/>
      <c r="I1305" s="198"/>
      <c r="J1305" s="198"/>
      <c r="K1305" s="198"/>
      <c r="L1305" s="198"/>
      <c r="M1305" s="198"/>
      <c r="N1305" s="198"/>
      <c r="O1305" s="198"/>
      <c r="P1305" s="198"/>
      <c r="Q1305" s="198"/>
      <c r="R1305" s="198"/>
      <c r="S1305" s="198"/>
      <c r="T1305" s="198"/>
      <c r="U1305" s="198"/>
      <c r="V1305" s="198"/>
      <c r="W1305" s="198"/>
      <c r="X1305" s="198"/>
      <c r="Y1305" s="198"/>
      <c r="Z1305" s="198"/>
    </row>
    <row r="1306" spans="1:26" ht="15.75" hidden="1" customHeight="1" x14ac:dyDescent="0.25">
      <c r="A1306" s="213">
        <v>38189</v>
      </c>
      <c r="B1306" s="214" t="s">
        <v>9798</v>
      </c>
      <c r="C1306" s="215" t="s">
        <v>580</v>
      </c>
      <c r="D1306" s="216">
        <v>158.53</v>
      </c>
      <c r="E1306" s="198"/>
      <c r="F1306" s="198"/>
      <c r="G1306" s="198"/>
      <c r="H1306" s="198"/>
      <c r="I1306" s="198"/>
      <c r="J1306" s="198"/>
      <c r="K1306" s="198"/>
      <c r="L1306" s="198"/>
      <c r="M1306" s="198"/>
      <c r="N1306" s="198"/>
      <c r="O1306" s="198"/>
      <c r="P1306" s="198"/>
      <c r="Q1306" s="198"/>
      <c r="R1306" s="198"/>
      <c r="S1306" s="198"/>
      <c r="T1306" s="198"/>
      <c r="U1306" s="198"/>
      <c r="V1306" s="198"/>
      <c r="W1306" s="198"/>
      <c r="X1306" s="198"/>
      <c r="Y1306" s="198"/>
      <c r="Z1306" s="198"/>
    </row>
    <row r="1307" spans="1:26" ht="15.75" hidden="1" customHeight="1" x14ac:dyDescent="0.25">
      <c r="A1307" s="213">
        <v>38190</v>
      </c>
      <c r="B1307" s="214" t="s">
        <v>9799</v>
      </c>
      <c r="C1307" s="215" t="s">
        <v>580</v>
      </c>
      <c r="D1307" s="216">
        <v>333.98</v>
      </c>
      <c r="E1307" s="198"/>
      <c r="F1307" s="198"/>
      <c r="G1307" s="198"/>
      <c r="H1307" s="198"/>
      <c r="I1307" s="198"/>
      <c r="J1307" s="198"/>
      <c r="K1307" s="198"/>
      <c r="L1307" s="198"/>
      <c r="M1307" s="198"/>
      <c r="N1307" s="198"/>
      <c r="O1307" s="198"/>
      <c r="P1307" s="198"/>
      <c r="Q1307" s="198"/>
      <c r="R1307" s="198"/>
      <c r="S1307" s="198"/>
      <c r="T1307" s="198"/>
      <c r="U1307" s="198"/>
      <c r="V1307" s="198"/>
      <c r="W1307" s="198"/>
      <c r="X1307" s="198"/>
      <c r="Y1307" s="198"/>
      <c r="Z1307" s="198"/>
    </row>
    <row r="1308" spans="1:26" ht="15.75" hidden="1" customHeight="1" x14ac:dyDescent="0.25">
      <c r="A1308" s="213">
        <v>7608</v>
      </c>
      <c r="B1308" s="214" t="s">
        <v>9800</v>
      </c>
      <c r="C1308" s="215" t="s">
        <v>580</v>
      </c>
      <c r="D1308" s="216">
        <v>11.85</v>
      </c>
      <c r="E1308" s="198"/>
      <c r="F1308" s="198"/>
      <c r="G1308" s="198"/>
      <c r="H1308" s="198"/>
      <c r="I1308" s="198"/>
      <c r="J1308" s="198"/>
      <c r="K1308" s="198"/>
      <c r="L1308" s="198"/>
      <c r="M1308" s="198"/>
      <c r="N1308" s="198"/>
      <c r="O1308" s="198"/>
      <c r="P1308" s="198"/>
      <c r="Q1308" s="198"/>
      <c r="R1308" s="198"/>
      <c r="S1308" s="198"/>
      <c r="T1308" s="198"/>
      <c r="U1308" s="198"/>
      <c r="V1308" s="198"/>
      <c r="W1308" s="198"/>
      <c r="X1308" s="198"/>
      <c r="Y1308" s="198"/>
      <c r="Z1308" s="198"/>
    </row>
    <row r="1309" spans="1:26" ht="15.75" hidden="1" customHeight="1" x14ac:dyDescent="0.25">
      <c r="A1309" s="213">
        <v>1370</v>
      </c>
      <c r="B1309" s="214" t="s">
        <v>9801</v>
      </c>
      <c r="C1309" s="215" t="s">
        <v>580</v>
      </c>
      <c r="D1309" s="216">
        <v>132.16</v>
      </c>
      <c r="E1309" s="198"/>
      <c r="F1309" s="198"/>
      <c r="G1309" s="198"/>
      <c r="H1309" s="198"/>
      <c r="I1309" s="198"/>
      <c r="J1309" s="198"/>
      <c r="K1309" s="198"/>
      <c r="L1309" s="198"/>
      <c r="M1309" s="198"/>
      <c r="N1309" s="198"/>
      <c r="O1309" s="198"/>
      <c r="P1309" s="198"/>
      <c r="Q1309" s="198"/>
      <c r="R1309" s="198"/>
      <c r="S1309" s="198"/>
      <c r="T1309" s="198"/>
      <c r="U1309" s="198"/>
      <c r="V1309" s="198"/>
      <c r="W1309" s="198"/>
      <c r="X1309" s="198"/>
      <c r="Y1309" s="198"/>
      <c r="Z1309" s="198"/>
    </row>
    <row r="1310" spans="1:26" ht="15.75" hidden="1" customHeight="1" x14ac:dyDescent="0.25">
      <c r="A1310" s="213">
        <v>34777</v>
      </c>
      <c r="B1310" s="214" t="s">
        <v>9802</v>
      </c>
      <c r="C1310" s="215" t="s">
        <v>580</v>
      </c>
      <c r="D1310" s="216">
        <v>2.95</v>
      </c>
      <c r="E1310" s="198"/>
      <c r="F1310" s="198"/>
      <c r="G1310" s="198"/>
      <c r="H1310" s="198"/>
      <c r="I1310" s="198"/>
      <c r="J1310" s="198"/>
      <c r="K1310" s="198"/>
      <c r="L1310" s="198"/>
      <c r="M1310" s="198"/>
      <c r="N1310" s="198"/>
      <c r="O1310" s="198"/>
      <c r="P1310" s="198"/>
      <c r="Q1310" s="198"/>
      <c r="R1310" s="198"/>
      <c r="S1310" s="198"/>
      <c r="T1310" s="198"/>
      <c r="U1310" s="198"/>
      <c r="V1310" s="198"/>
      <c r="W1310" s="198"/>
      <c r="X1310" s="198"/>
      <c r="Y1310" s="198"/>
      <c r="Z1310" s="198"/>
    </row>
    <row r="1311" spans="1:26" ht="15.75" hidden="1" customHeight="1" x14ac:dyDescent="0.25">
      <c r="A1311" s="213">
        <v>7272</v>
      </c>
      <c r="B1311" s="214" t="s">
        <v>9803</v>
      </c>
      <c r="C1311" s="215" t="s">
        <v>580</v>
      </c>
      <c r="D1311" s="216">
        <v>2.2200000000000002</v>
      </c>
      <c r="E1311" s="198"/>
      <c r="F1311" s="198"/>
      <c r="G1311" s="198"/>
      <c r="H1311" s="198"/>
      <c r="I1311" s="198"/>
      <c r="J1311" s="198"/>
      <c r="K1311" s="198"/>
      <c r="L1311" s="198"/>
      <c r="M1311" s="198"/>
      <c r="N1311" s="198"/>
      <c r="O1311" s="198"/>
      <c r="P1311" s="198"/>
      <c r="Q1311" s="198"/>
      <c r="R1311" s="198"/>
      <c r="S1311" s="198"/>
      <c r="T1311" s="198"/>
      <c r="U1311" s="198"/>
      <c r="V1311" s="198"/>
      <c r="W1311" s="198"/>
      <c r="X1311" s="198"/>
      <c r="Y1311" s="198"/>
      <c r="Z1311" s="198"/>
    </row>
    <row r="1312" spans="1:26" ht="15.75" hidden="1" customHeight="1" x14ac:dyDescent="0.25">
      <c r="A1312" s="213">
        <v>10605</v>
      </c>
      <c r="B1312" s="214" t="s">
        <v>9804</v>
      </c>
      <c r="C1312" s="215" t="s">
        <v>580</v>
      </c>
      <c r="D1312" s="216">
        <v>4.55</v>
      </c>
      <c r="E1312" s="198"/>
      <c r="F1312" s="198"/>
      <c r="G1312" s="198"/>
      <c r="H1312" s="198"/>
      <c r="I1312" s="198"/>
      <c r="J1312" s="198"/>
      <c r="K1312" s="198"/>
      <c r="L1312" s="198"/>
      <c r="M1312" s="198"/>
      <c r="N1312" s="198"/>
      <c r="O1312" s="198"/>
      <c r="P1312" s="198"/>
      <c r="Q1312" s="198"/>
      <c r="R1312" s="198"/>
      <c r="S1312" s="198"/>
      <c r="T1312" s="198"/>
      <c r="U1312" s="198"/>
      <c r="V1312" s="198"/>
      <c r="W1312" s="198"/>
      <c r="X1312" s="198"/>
      <c r="Y1312" s="198"/>
      <c r="Z1312" s="198"/>
    </row>
    <row r="1313" spans="1:26" ht="15.75" hidden="1" customHeight="1" x14ac:dyDescent="0.25">
      <c r="A1313" s="213">
        <v>10604</v>
      </c>
      <c r="B1313" s="214" t="s">
        <v>9805</v>
      </c>
      <c r="C1313" s="215" t="s">
        <v>580</v>
      </c>
      <c r="D1313" s="216">
        <v>10.61</v>
      </c>
      <c r="E1313" s="198"/>
      <c r="F1313" s="198"/>
      <c r="G1313" s="198"/>
      <c r="H1313" s="198"/>
      <c r="I1313" s="198"/>
      <c r="J1313" s="198"/>
      <c r="K1313" s="198"/>
      <c r="L1313" s="198"/>
      <c r="M1313" s="198"/>
      <c r="N1313" s="198"/>
      <c r="O1313" s="198"/>
      <c r="P1313" s="198"/>
      <c r="Q1313" s="198"/>
      <c r="R1313" s="198"/>
      <c r="S1313" s="198"/>
      <c r="T1313" s="198"/>
      <c r="U1313" s="198"/>
      <c r="V1313" s="198"/>
      <c r="W1313" s="198"/>
      <c r="X1313" s="198"/>
      <c r="Y1313" s="198"/>
      <c r="Z1313" s="198"/>
    </row>
    <row r="1314" spans="1:26" ht="15.75" hidden="1" customHeight="1" x14ac:dyDescent="0.25">
      <c r="A1314" s="213">
        <v>672</v>
      </c>
      <c r="B1314" s="214" t="s">
        <v>9806</v>
      </c>
      <c r="C1314" s="215" t="s">
        <v>580</v>
      </c>
      <c r="D1314" s="216">
        <v>14.59</v>
      </c>
      <c r="E1314" s="198"/>
      <c r="F1314" s="198"/>
      <c r="G1314" s="198"/>
      <c r="H1314" s="198"/>
      <c r="I1314" s="198"/>
      <c r="J1314" s="198"/>
      <c r="K1314" s="198"/>
      <c r="L1314" s="198"/>
      <c r="M1314" s="198"/>
      <c r="N1314" s="198"/>
      <c r="O1314" s="198"/>
      <c r="P1314" s="198"/>
      <c r="Q1314" s="198"/>
      <c r="R1314" s="198"/>
      <c r="S1314" s="198"/>
      <c r="T1314" s="198"/>
      <c r="U1314" s="198"/>
      <c r="V1314" s="198"/>
      <c r="W1314" s="198"/>
      <c r="X1314" s="198"/>
      <c r="Y1314" s="198"/>
      <c r="Z1314" s="198"/>
    </row>
    <row r="1315" spans="1:26" ht="15.75" hidden="1" customHeight="1" x14ac:dyDescent="0.25">
      <c r="A1315" s="213">
        <v>668</v>
      </c>
      <c r="B1315" s="214" t="s">
        <v>9807</v>
      </c>
      <c r="C1315" s="215" t="s">
        <v>580</v>
      </c>
      <c r="D1315" s="216">
        <v>17.61</v>
      </c>
      <c r="E1315" s="198"/>
      <c r="F1315" s="198"/>
      <c r="G1315" s="198"/>
      <c r="H1315" s="198"/>
      <c r="I1315" s="198"/>
      <c r="J1315" s="198"/>
      <c r="K1315" s="198"/>
      <c r="L1315" s="198"/>
      <c r="M1315" s="198"/>
      <c r="N1315" s="198"/>
      <c r="O1315" s="198"/>
      <c r="P1315" s="198"/>
      <c r="Q1315" s="198"/>
      <c r="R1315" s="198"/>
      <c r="S1315" s="198"/>
      <c r="T1315" s="198"/>
      <c r="U1315" s="198"/>
      <c r="V1315" s="198"/>
      <c r="W1315" s="198"/>
      <c r="X1315" s="198"/>
      <c r="Y1315" s="198"/>
      <c r="Z1315" s="198"/>
    </row>
    <row r="1316" spans="1:26" ht="15.75" hidden="1" customHeight="1" x14ac:dyDescent="0.25">
      <c r="A1316" s="213">
        <v>10578</v>
      </c>
      <c r="B1316" s="214" t="s">
        <v>9808</v>
      </c>
      <c r="C1316" s="215" t="s">
        <v>580</v>
      </c>
      <c r="D1316" s="216">
        <v>20.51</v>
      </c>
      <c r="E1316" s="198"/>
      <c r="F1316" s="198"/>
      <c r="G1316" s="198"/>
      <c r="H1316" s="198"/>
      <c r="I1316" s="198"/>
      <c r="J1316" s="198"/>
      <c r="K1316" s="198"/>
      <c r="L1316" s="198"/>
      <c r="M1316" s="198"/>
      <c r="N1316" s="198"/>
      <c r="O1316" s="198"/>
      <c r="P1316" s="198"/>
      <c r="Q1316" s="198"/>
      <c r="R1316" s="198"/>
      <c r="S1316" s="198"/>
      <c r="T1316" s="198"/>
      <c r="U1316" s="198"/>
      <c r="V1316" s="198"/>
      <c r="W1316" s="198"/>
      <c r="X1316" s="198"/>
      <c r="Y1316" s="198"/>
      <c r="Z1316" s="198"/>
    </row>
    <row r="1317" spans="1:26" ht="15.75" hidden="1" customHeight="1" x14ac:dyDescent="0.25">
      <c r="A1317" s="213">
        <v>666</v>
      </c>
      <c r="B1317" s="214" t="s">
        <v>9809</v>
      </c>
      <c r="C1317" s="215" t="s">
        <v>580</v>
      </c>
      <c r="D1317" s="216">
        <v>22.81</v>
      </c>
      <c r="E1317" s="198"/>
      <c r="F1317" s="198"/>
      <c r="G1317" s="198"/>
      <c r="H1317" s="198"/>
      <c r="I1317" s="198"/>
      <c r="J1317" s="198"/>
      <c r="K1317" s="198"/>
      <c r="L1317" s="198"/>
      <c r="M1317" s="198"/>
      <c r="N1317" s="198"/>
      <c r="O1317" s="198"/>
      <c r="P1317" s="198"/>
      <c r="Q1317" s="198"/>
      <c r="R1317" s="198"/>
      <c r="S1317" s="198"/>
      <c r="T1317" s="198"/>
      <c r="U1317" s="198"/>
      <c r="V1317" s="198"/>
      <c r="W1317" s="198"/>
      <c r="X1317" s="198"/>
      <c r="Y1317" s="198"/>
      <c r="Z1317" s="198"/>
    </row>
    <row r="1318" spans="1:26" ht="15.75" hidden="1" customHeight="1" x14ac:dyDescent="0.25">
      <c r="A1318" s="213">
        <v>665</v>
      </c>
      <c r="B1318" s="214" t="s">
        <v>9810</v>
      </c>
      <c r="C1318" s="215" t="s">
        <v>580</v>
      </c>
      <c r="D1318" s="216">
        <v>30.51</v>
      </c>
      <c r="E1318" s="198"/>
      <c r="F1318" s="198"/>
      <c r="G1318" s="198"/>
      <c r="H1318" s="198"/>
      <c r="I1318" s="198"/>
      <c r="J1318" s="198"/>
      <c r="K1318" s="198"/>
      <c r="L1318" s="198"/>
      <c r="M1318" s="198"/>
      <c r="N1318" s="198"/>
      <c r="O1318" s="198"/>
      <c r="P1318" s="198"/>
      <c r="Q1318" s="198"/>
      <c r="R1318" s="198"/>
      <c r="S1318" s="198"/>
      <c r="T1318" s="198"/>
      <c r="U1318" s="198"/>
      <c r="V1318" s="198"/>
      <c r="W1318" s="198"/>
      <c r="X1318" s="198"/>
      <c r="Y1318" s="198"/>
      <c r="Z1318" s="198"/>
    </row>
    <row r="1319" spans="1:26" ht="15.75" hidden="1" customHeight="1" x14ac:dyDescent="0.25">
      <c r="A1319" s="213">
        <v>10577</v>
      </c>
      <c r="B1319" s="214" t="s">
        <v>9811</v>
      </c>
      <c r="C1319" s="215" t="s">
        <v>580</v>
      </c>
      <c r="D1319" s="216">
        <v>27.06</v>
      </c>
      <c r="E1319" s="198"/>
      <c r="F1319" s="198"/>
      <c r="G1319" s="198"/>
      <c r="H1319" s="198"/>
      <c r="I1319" s="198"/>
      <c r="J1319" s="198"/>
      <c r="K1319" s="198"/>
      <c r="L1319" s="198"/>
      <c r="M1319" s="198"/>
      <c r="N1319" s="198"/>
      <c r="O1319" s="198"/>
      <c r="P1319" s="198"/>
      <c r="Q1319" s="198"/>
      <c r="R1319" s="198"/>
      <c r="S1319" s="198"/>
      <c r="T1319" s="198"/>
      <c r="U1319" s="198"/>
      <c r="V1319" s="198"/>
      <c r="W1319" s="198"/>
      <c r="X1319" s="198"/>
      <c r="Y1319" s="198"/>
      <c r="Z1319" s="198"/>
    </row>
    <row r="1320" spans="1:26" ht="15.75" hidden="1" customHeight="1" x14ac:dyDescent="0.25">
      <c r="A1320" s="213">
        <v>10583</v>
      </c>
      <c r="B1320" s="214" t="s">
        <v>9812</v>
      </c>
      <c r="C1320" s="215" t="s">
        <v>580</v>
      </c>
      <c r="D1320" s="216">
        <v>14.06</v>
      </c>
      <c r="E1320" s="198"/>
      <c r="F1320" s="198"/>
      <c r="G1320" s="198"/>
      <c r="H1320" s="198"/>
      <c r="I1320" s="198"/>
      <c r="J1320" s="198"/>
      <c r="K1320" s="198"/>
      <c r="L1320" s="198"/>
      <c r="M1320" s="198"/>
      <c r="N1320" s="198"/>
      <c r="O1320" s="198"/>
      <c r="P1320" s="198"/>
      <c r="Q1320" s="198"/>
      <c r="R1320" s="198"/>
      <c r="S1320" s="198"/>
      <c r="T1320" s="198"/>
      <c r="U1320" s="198"/>
      <c r="V1320" s="198"/>
      <c r="W1320" s="198"/>
      <c r="X1320" s="198"/>
      <c r="Y1320" s="198"/>
      <c r="Z1320" s="198"/>
    </row>
    <row r="1321" spans="1:26" ht="15.75" hidden="1" customHeight="1" x14ac:dyDescent="0.25">
      <c r="A1321" s="213">
        <v>10579</v>
      </c>
      <c r="B1321" s="214" t="s">
        <v>9813</v>
      </c>
      <c r="C1321" s="215" t="s">
        <v>580</v>
      </c>
      <c r="D1321" s="216">
        <v>24.5</v>
      </c>
      <c r="E1321" s="198"/>
      <c r="F1321" s="198"/>
      <c r="G1321" s="198"/>
      <c r="H1321" s="198"/>
      <c r="I1321" s="198"/>
      <c r="J1321" s="198"/>
      <c r="K1321" s="198"/>
      <c r="L1321" s="198"/>
      <c r="M1321" s="198"/>
      <c r="N1321" s="198"/>
      <c r="O1321" s="198"/>
      <c r="P1321" s="198"/>
      <c r="Q1321" s="198"/>
      <c r="R1321" s="198"/>
      <c r="S1321" s="198"/>
      <c r="T1321" s="198"/>
      <c r="U1321" s="198"/>
      <c r="V1321" s="198"/>
      <c r="W1321" s="198"/>
      <c r="X1321" s="198"/>
      <c r="Y1321" s="198"/>
      <c r="Z1321" s="198"/>
    </row>
    <row r="1322" spans="1:26" ht="15.75" hidden="1" customHeight="1" x14ac:dyDescent="0.25">
      <c r="A1322" s="213">
        <v>10582</v>
      </c>
      <c r="B1322" s="214" t="s">
        <v>9814</v>
      </c>
      <c r="C1322" s="215" t="s">
        <v>580</v>
      </c>
      <c r="D1322" s="216">
        <v>12.38</v>
      </c>
      <c r="E1322" s="198"/>
      <c r="F1322" s="198"/>
      <c r="G1322" s="198"/>
      <c r="H1322" s="198"/>
      <c r="I1322" s="198"/>
      <c r="J1322" s="198"/>
      <c r="K1322" s="198"/>
      <c r="L1322" s="198"/>
      <c r="M1322" s="198"/>
      <c r="N1322" s="198"/>
      <c r="O1322" s="198"/>
      <c r="P1322" s="198"/>
      <c r="Q1322" s="198"/>
      <c r="R1322" s="198"/>
      <c r="S1322" s="198"/>
      <c r="T1322" s="198"/>
      <c r="U1322" s="198"/>
      <c r="V1322" s="198"/>
      <c r="W1322" s="198"/>
      <c r="X1322" s="198"/>
      <c r="Y1322" s="198"/>
      <c r="Z1322" s="198"/>
    </row>
    <row r="1323" spans="1:26" ht="15.75" hidden="1" customHeight="1" x14ac:dyDescent="0.25">
      <c r="A1323" s="213">
        <v>2436</v>
      </c>
      <c r="B1323" s="214" t="s">
        <v>9815</v>
      </c>
      <c r="C1323" s="215" t="s">
        <v>2193</v>
      </c>
      <c r="D1323" s="216">
        <v>27.06</v>
      </c>
      <c r="E1323" s="198"/>
      <c r="F1323" s="198"/>
      <c r="G1323" s="198"/>
      <c r="H1323" s="198"/>
      <c r="I1323" s="198"/>
      <c r="J1323" s="198"/>
      <c r="K1323" s="198"/>
      <c r="L1323" s="198"/>
      <c r="M1323" s="198"/>
      <c r="N1323" s="198"/>
      <c r="O1323" s="198"/>
      <c r="P1323" s="198"/>
      <c r="Q1323" s="198"/>
      <c r="R1323" s="198"/>
      <c r="S1323" s="198"/>
      <c r="T1323" s="198"/>
      <c r="U1323" s="198"/>
      <c r="V1323" s="198"/>
      <c r="W1323" s="198"/>
      <c r="X1323" s="198"/>
      <c r="Y1323" s="198"/>
      <c r="Z1323" s="198"/>
    </row>
    <row r="1324" spans="1:26" ht="15.75" hidden="1" customHeight="1" x14ac:dyDescent="0.25">
      <c r="A1324" s="213">
        <v>40918</v>
      </c>
      <c r="B1324" s="214" t="s">
        <v>9816</v>
      </c>
      <c r="C1324" s="215" t="s">
        <v>6214</v>
      </c>
      <c r="D1324" s="216">
        <v>4747.54</v>
      </c>
      <c r="E1324" s="198"/>
      <c r="F1324" s="198"/>
      <c r="G1324" s="198"/>
      <c r="H1324" s="198"/>
      <c r="I1324" s="198"/>
      <c r="J1324" s="198"/>
      <c r="K1324" s="198"/>
      <c r="L1324" s="198"/>
      <c r="M1324" s="198"/>
      <c r="N1324" s="198"/>
      <c r="O1324" s="198"/>
      <c r="P1324" s="198"/>
      <c r="Q1324" s="198"/>
      <c r="R1324" s="198"/>
      <c r="S1324" s="198"/>
      <c r="T1324" s="198"/>
      <c r="U1324" s="198"/>
      <c r="V1324" s="198"/>
      <c r="W1324" s="198"/>
      <c r="X1324" s="198"/>
      <c r="Y1324" s="198"/>
      <c r="Z1324" s="198"/>
    </row>
    <row r="1325" spans="1:26" ht="15.75" hidden="1" customHeight="1" x14ac:dyDescent="0.25">
      <c r="A1325" s="213">
        <v>10998</v>
      </c>
      <c r="B1325" s="214" t="s">
        <v>9817</v>
      </c>
      <c r="C1325" s="215" t="s">
        <v>823</v>
      </c>
      <c r="D1325" s="216">
        <v>41.57</v>
      </c>
      <c r="E1325" s="198"/>
      <c r="F1325" s="198"/>
      <c r="G1325" s="198"/>
      <c r="H1325" s="198"/>
      <c r="I1325" s="198"/>
      <c r="J1325" s="198"/>
      <c r="K1325" s="198"/>
      <c r="L1325" s="198"/>
      <c r="M1325" s="198"/>
      <c r="N1325" s="198"/>
      <c r="O1325" s="198"/>
      <c r="P1325" s="198"/>
      <c r="Q1325" s="198"/>
      <c r="R1325" s="198"/>
      <c r="S1325" s="198"/>
      <c r="T1325" s="198"/>
      <c r="U1325" s="198"/>
      <c r="V1325" s="198"/>
      <c r="W1325" s="198"/>
      <c r="X1325" s="198"/>
      <c r="Y1325" s="198"/>
      <c r="Z1325" s="198"/>
    </row>
    <row r="1326" spans="1:26" ht="15.75" hidden="1" customHeight="1" x14ac:dyDescent="0.25">
      <c r="A1326" s="213">
        <v>11002</v>
      </c>
      <c r="B1326" s="214" t="s">
        <v>9818</v>
      </c>
      <c r="C1326" s="215" t="s">
        <v>823</v>
      </c>
      <c r="D1326" s="216">
        <v>38.08</v>
      </c>
      <c r="E1326" s="198"/>
      <c r="F1326" s="198"/>
      <c r="G1326" s="198"/>
      <c r="H1326" s="198"/>
      <c r="I1326" s="198"/>
      <c r="J1326" s="198"/>
      <c r="K1326" s="198"/>
      <c r="L1326" s="198"/>
      <c r="M1326" s="198"/>
      <c r="N1326" s="198"/>
      <c r="O1326" s="198"/>
      <c r="P1326" s="198"/>
      <c r="Q1326" s="198"/>
      <c r="R1326" s="198"/>
      <c r="S1326" s="198"/>
      <c r="T1326" s="198"/>
      <c r="U1326" s="198"/>
      <c r="V1326" s="198"/>
      <c r="W1326" s="198"/>
      <c r="X1326" s="198"/>
      <c r="Y1326" s="198"/>
      <c r="Z1326" s="198"/>
    </row>
    <row r="1327" spans="1:26" ht="15.75" hidden="1" customHeight="1" x14ac:dyDescent="0.25">
      <c r="A1327" s="213">
        <v>10999</v>
      </c>
      <c r="B1327" s="214" t="s">
        <v>9819</v>
      </c>
      <c r="C1327" s="215" t="s">
        <v>823</v>
      </c>
      <c r="D1327" s="216">
        <v>36.590000000000003</v>
      </c>
      <c r="E1327" s="198"/>
      <c r="F1327" s="198"/>
      <c r="G1327" s="198"/>
      <c r="H1327" s="198"/>
      <c r="I1327" s="198"/>
      <c r="J1327" s="198"/>
      <c r="K1327" s="198"/>
      <c r="L1327" s="198"/>
      <c r="M1327" s="198"/>
      <c r="N1327" s="198"/>
      <c r="O1327" s="198"/>
      <c r="P1327" s="198"/>
      <c r="Q1327" s="198"/>
      <c r="R1327" s="198"/>
      <c r="S1327" s="198"/>
      <c r="T1327" s="198"/>
      <c r="U1327" s="198"/>
      <c r="V1327" s="198"/>
      <c r="W1327" s="198"/>
      <c r="X1327" s="198"/>
      <c r="Y1327" s="198"/>
      <c r="Z1327" s="198"/>
    </row>
    <row r="1328" spans="1:26" ht="15.75" hidden="1" customHeight="1" x14ac:dyDescent="0.25">
      <c r="A1328" s="213">
        <v>10997</v>
      </c>
      <c r="B1328" s="214" t="s">
        <v>9820</v>
      </c>
      <c r="C1328" s="215" t="s">
        <v>823</v>
      </c>
      <c r="D1328" s="216">
        <v>39.659999999999997</v>
      </c>
      <c r="E1328" s="198"/>
      <c r="F1328" s="198"/>
      <c r="G1328" s="198"/>
      <c r="H1328" s="198"/>
      <c r="I1328" s="198"/>
      <c r="J1328" s="198"/>
      <c r="K1328" s="198"/>
      <c r="L1328" s="198"/>
      <c r="M1328" s="198"/>
      <c r="N1328" s="198"/>
      <c r="O1328" s="198"/>
      <c r="P1328" s="198"/>
      <c r="Q1328" s="198"/>
      <c r="R1328" s="198"/>
      <c r="S1328" s="198"/>
      <c r="T1328" s="198"/>
      <c r="U1328" s="198"/>
      <c r="V1328" s="198"/>
      <c r="W1328" s="198"/>
      <c r="X1328" s="198"/>
      <c r="Y1328" s="198"/>
      <c r="Z1328" s="198"/>
    </row>
    <row r="1329" spans="1:26" ht="15.75" hidden="1" customHeight="1" x14ac:dyDescent="0.25">
      <c r="A1329" s="213">
        <v>2685</v>
      </c>
      <c r="B1329" s="214" t="s">
        <v>9821</v>
      </c>
      <c r="C1329" s="215" t="s">
        <v>585</v>
      </c>
      <c r="D1329" s="216">
        <v>11.66</v>
      </c>
      <c r="E1329" s="198"/>
      <c r="F1329" s="198"/>
      <c r="G1329" s="198"/>
      <c r="H1329" s="198"/>
      <c r="I1329" s="198"/>
      <c r="J1329" s="198"/>
      <c r="K1329" s="198"/>
      <c r="L1329" s="198"/>
      <c r="M1329" s="198"/>
      <c r="N1329" s="198"/>
      <c r="O1329" s="198"/>
      <c r="P1329" s="198"/>
      <c r="Q1329" s="198"/>
      <c r="R1329" s="198"/>
      <c r="S1329" s="198"/>
      <c r="T1329" s="198"/>
      <c r="U1329" s="198"/>
      <c r="V1329" s="198"/>
      <c r="W1329" s="198"/>
      <c r="X1329" s="198"/>
      <c r="Y1329" s="198"/>
      <c r="Z1329" s="198"/>
    </row>
    <row r="1330" spans="1:26" ht="15.75" hidden="1" customHeight="1" x14ac:dyDescent="0.25">
      <c r="A1330" s="213">
        <v>2680</v>
      </c>
      <c r="B1330" s="214" t="s">
        <v>9822</v>
      </c>
      <c r="C1330" s="215" t="s">
        <v>585</v>
      </c>
      <c r="D1330" s="216">
        <v>17.059999999999999</v>
      </c>
      <c r="E1330" s="198"/>
      <c r="F1330" s="198"/>
      <c r="G1330" s="198"/>
      <c r="H1330" s="198"/>
      <c r="I1330" s="198"/>
      <c r="J1330" s="198"/>
      <c r="K1330" s="198"/>
      <c r="L1330" s="198"/>
      <c r="M1330" s="198"/>
      <c r="N1330" s="198"/>
      <c r="O1330" s="198"/>
      <c r="P1330" s="198"/>
      <c r="Q1330" s="198"/>
      <c r="R1330" s="198"/>
      <c r="S1330" s="198"/>
      <c r="T1330" s="198"/>
      <c r="U1330" s="198"/>
      <c r="V1330" s="198"/>
      <c r="W1330" s="198"/>
      <c r="X1330" s="198"/>
      <c r="Y1330" s="198"/>
      <c r="Z1330" s="198"/>
    </row>
    <row r="1331" spans="1:26" ht="15.75" hidden="1" customHeight="1" x14ac:dyDescent="0.25">
      <c r="A1331" s="213">
        <v>2684</v>
      </c>
      <c r="B1331" s="214" t="s">
        <v>9823</v>
      </c>
      <c r="C1331" s="215" t="s">
        <v>585</v>
      </c>
      <c r="D1331" s="216">
        <v>15.52</v>
      </c>
      <c r="E1331" s="198"/>
      <c r="F1331" s="198"/>
      <c r="G1331" s="198"/>
      <c r="H1331" s="198"/>
      <c r="I1331" s="198"/>
      <c r="J1331" s="198"/>
      <c r="K1331" s="198"/>
      <c r="L1331" s="198"/>
      <c r="M1331" s="198"/>
      <c r="N1331" s="198"/>
      <c r="O1331" s="198"/>
      <c r="P1331" s="198"/>
      <c r="Q1331" s="198"/>
      <c r="R1331" s="198"/>
      <c r="S1331" s="198"/>
      <c r="T1331" s="198"/>
      <c r="U1331" s="198"/>
      <c r="V1331" s="198"/>
      <c r="W1331" s="198"/>
      <c r="X1331" s="198"/>
      <c r="Y1331" s="198"/>
      <c r="Z1331" s="198"/>
    </row>
    <row r="1332" spans="1:26" ht="15.75" hidden="1" customHeight="1" x14ac:dyDescent="0.25">
      <c r="A1332" s="213">
        <v>2673</v>
      </c>
      <c r="B1332" s="214" t="s">
        <v>9824</v>
      </c>
      <c r="C1332" s="215" t="s">
        <v>585</v>
      </c>
      <c r="D1332" s="216">
        <v>5.99</v>
      </c>
      <c r="E1332" s="198"/>
      <c r="F1332" s="198"/>
      <c r="G1332" s="198"/>
      <c r="H1332" s="198"/>
      <c r="I1332" s="198"/>
      <c r="J1332" s="198"/>
      <c r="K1332" s="198"/>
      <c r="L1332" s="198"/>
      <c r="M1332" s="198"/>
      <c r="N1332" s="198"/>
      <c r="O1332" s="198"/>
      <c r="P1332" s="198"/>
      <c r="Q1332" s="198"/>
      <c r="R1332" s="198"/>
      <c r="S1332" s="198"/>
      <c r="T1332" s="198"/>
      <c r="U1332" s="198"/>
      <c r="V1332" s="198"/>
      <c r="W1332" s="198"/>
      <c r="X1332" s="198"/>
      <c r="Y1332" s="198"/>
      <c r="Z1332" s="198"/>
    </row>
    <row r="1333" spans="1:26" ht="15.75" hidden="1" customHeight="1" x14ac:dyDescent="0.25">
      <c r="A1333" s="213">
        <v>2681</v>
      </c>
      <c r="B1333" s="214" t="s">
        <v>9825</v>
      </c>
      <c r="C1333" s="215" t="s">
        <v>585</v>
      </c>
      <c r="D1333" s="216">
        <v>27.87</v>
      </c>
      <c r="E1333" s="198"/>
      <c r="F1333" s="198"/>
      <c r="G1333" s="198"/>
      <c r="H1333" s="198"/>
      <c r="I1333" s="198"/>
      <c r="J1333" s="198"/>
      <c r="K1333" s="198"/>
      <c r="L1333" s="198"/>
      <c r="M1333" s="198"/>
      <c r="N1333" s="198"/>
      <c r="O1333" s="198"/>
      <c r="P1333" s="198"/>
      <c r="Q1333" s="198"/>
      <c r="R1333" s="198"/>
      <c r="S1333" s="198"/>
      <c r="T1333" s="198"/>
      <c r="U1333" s="198"/>
      <c r="V1333" s="198"/>
      <c r="W1333" s="198"/>
      <c r="X1333" s="198"/>
      <c r="Y1333" s="198"/>
      <c r="Z1333" s="198"/>
    </row>
    <row r="1334" spans="1:26" ht="15.75" hidden="1" customHeight="1" x14ac:dyDescent="0.25">
      <c r="A1334" s="213">
        <v>2682</v>
      </c>
      <c r="B1334" s="214" t="s">
        <v>9826</v>
      </c>
      <c r="C1334" s="215" t="s">
        <v>585</v>
      </c>
      <c r="D1334" s="216">
        <v>40.67</v>
      </c>
      <c r="E1334" s="198"/>
      <c r="F1334" s="198"/>
      <c r="G1334" s="198"/>
      <c r="H1334" s="198"/>
      <c r="I1334" s="198"/>
      <c r="J1334" s="198"/>
      <c r="K1334" s="198"/>
      <c r="L1334" s="198"/>
      <c r="M1334" s="198"/>
      <c r="N1334" s="198"/>
      <c r="O1334" s="198"/>
      <c r="P1334" s="198"/>
      <c r="Q1334" s="198"/>
      <c r="R1334" s="198"/>
      <c r="S1334" s="198"/>
      <c r="T1334" s="198"/>
      <c r="U1334" s="198"/>
      <c r="V1334" s="198"/>
      <c r="W1334" s="198"/>
      <c r="X1334" s="198"/>
      <c r="Y1334" s="198"/>
      <c r="Z1334" s="198"/>
    </row>
    <row r="1335" spans="1:26" ht="15.75" hidden="1" customHeight="1" x14ac:dyDescent="0.25">
      <c r="A1335" s="213">
        <v>2686</v>
      </c>
      <c r="B1335" s="214" t="s">
        <v>9827</v>
      </c>
      <c r="C1335" s="215" t="s">
        <v>585</v>
      </c>
      <c r="D1335" s="216">
        <v>51</v>
      </c>
      <c r="E1335" s="198"/>
      <c r="F1335" s="198"/>
      <c r="G1335" s="198"/>
      <c r="H1335" s="198"/>
      <c r="I1335" s="198"/>
      <c r="J1335" s="198"/>
      <c r="K1335" s="198"/>
      <c r="L1335" s="198"/>
      <c r="M1335" s="198"/>
      <c r="N1335" s="198"/>
      <c r="O1335" s="198"/>
      <c r="P1335" s="198"/>
      <c r="Q1335" s="198"/>
      <c r="R1335" s="198"/>
      <c r="S1335" s="198"/>
      <c r="T1335" s="198"/>
      <c r="U1335" s="198"/>
      <c r="V1335" s="198"/>
      <c r="W1335" s="198"/>
      <c r="X1335" s="198"/>
      <c r="Y1335" s="198"/>
      <c r="Z1335" s="198"/>
    </row>
    <row r="1336" spans="1:26" ht="15.75" hidden="1" customHeight="1" x14ac:dyDescent="0.25">
      <c r="A1336" s="213">
        <v>2674</v>
      </c>
      <c r="B1336" s="214" t="s">
        <v>9828</v>
      </c>
      <c r="C1336" s="215" t="s">
        <v>585</v>
      </c>
      <c r="D1336" s="216">
        <v>7.46</v>
      </c>
      <c r="E1336" s="198"/>
      <c r="F1336" s="198"/>
      <c r="G1336" s="198"/>
      <c r="H1336" s="198"/>
      <c r="I1336" s="198"/>
      <c r="J1336" s="198"/>
      <c r="K1336" s="198"/>
      <c r="L1336" s="198"/>
      <c r="M1336" s="198"/>
      <c r="N1336" s="198"/>
      <c r="O1336" s="198"/>
      <c r="P1336" s="198"/>
      <c r="Q1336" s="198"/>
      <c r="R1336" s="198"/>
      <c r="S1336" s="198"/>
      <c r="T1336" s="198"/>
      <c r="U1336" s="198"/>
      <c r="V1336" s="198"/>
      <c r="W1336" s="198"/>
      <c r="X1336" s="198"/>
      <c r="Y1336" s="198"/>
      <c r="Z1336" s="198"/>
    </row>
    <row r="1337" spans="1:26" ht="15.75" hidden="1" customHeight="1" x14ac:dyDescent="0.25">
      <c r="A1337" s="213">
        <v>2683</v>
      </c>
      <c r="B1337" s="214" t="s">
        <v>9829</v>
      </c>
      <c r="C1337" s="215" t="s">
        <v>585</v>
      </c>
      <c r="D1337" s="216">
        <v>80.36</v>
      </c>
      <c r="E1337" s="198"/>
      <c r="F1337" s="198"/>
      <c r="G1337" s="198"/>
      <c r="H1337" s="198"/>
      <c r="I1337" s="198"/>
      <c r="J1337" s="198"/>
      <c r="K1337" s="198"/>
      <c r="L1337" s="198"/>
      <c r="M1337" s="198"/>
      <c r="N1337" s="198"/>
      <c r="O1337" s="198"/>
      <c r="P1337" s="198"/>
      <c r="Q1337" s="198"/>
      <c r="R1337" s="198"/>
      <c r="S1337" s="198"/>
      <c r="T1337" s="198"/>
      <c r="U1337" s="198"/>
      <c r="V1337" s="198"/>
      <c r="W1337" s="198"/>
      <c r="X1337" s="198"/>
      <c r="Y1337" s="198"/>
      <c r="Z1337" s="198"/>
    </row>
    <row r="1338" spans="1:26" ht="15.75" hidden="1" customHeight="1" x14ac:dyDescent="0.25">
      <c r="A1338" s="213">
        <v>2676</v>
      </c>
      <c r="B1338" s="214" t="s">
        <v>9830</v>
      </c>
      <c r="C1338" s="215" t="s">
        <v>585</v>
      </c>
      <c r="D1338" s="216">
        <v>3.48</v>
      </c>
      <c r="E1338" s="198"/>
      <c r="F1338" s="198"/>
      <c r="G1338" s="198"/>
      <c r="H1338" s="198"/>
      <c r="I1338" s="198"/>
      <c r="J1338" s="198"/>
      <c r="K1338" s="198"/>
      <c r="L1338" s="198"/>
      <c r="M1338" s="198"/>
      <c r="N1338" s="198"/>
      <c r="O1338" s="198"/>
      <c r="P1338" s="198"/>
      <c r="Q1338" s="198"/>
      <c r="R1338" s="198"/>
      <c r="S1338" s="198"/>
      <c r="T1338" s="198"/>
      <c r="U1338" s="198"/>
      <c r="V1338" s="198"/>
      <c r="W1338" s="198"/>
      <c r="X1338" s="198"/>
      <c r="Y1338" s="198"/>
      <c r="Z1338" s="198"/>
    </row>
    <row r="1339" spans="1:26" ht="15.75" hidden="1" customHeight="1" x14ac:dyDescent="0.25">
      <c r="A1339" s="213">
        <v>2678</v>
      </c>
      <c r="B1339" s="214" t="s">
        <v>9831</v>
      </c>
      <c r="C1339" s="215" t="s">
        <v>585</v>
      </c>
      <c r="D1339" s="216">
        <v>4.3600000000000003</v>
      </c>
      <c r="E1339" s="198"/>
      <c r="F1339" s="198"/>
      <c r="G1339" s="198"/>
      <c r="H1339" s="198"/>
      <c r="I1339" s="198"/>
      <c r="J1339" s="198"/>
      <c r="K1339" s="198"/>
      <c r="L1339" s="198"/>
      <c r="M1339" s="198"/>
      <c r="N1339" s="198"/>
      <c r="O1339" s="198"/>
      <c r="P1339" s="198"/>
      <c r="Q1339" s="198"/>
      <c r="R1339" s="198"/>
      <c r="S1339" s="198"/>
      <c r="T1339" s="198"/>
      <c r="U1339" s="198"/>
      <c r="V1339" s="198"/>
      <c r="W1339" s="198"/>
      <c r="X1339" s="198"/>
      <c r="Y1339" s="198"/>
      <c r="Z1339" s="198"/>
    </row>
    <row r="1340" spans="1:26" ht="15.75" hidden="1" customHeight="1" x14ac:dyDescent="0.25">
      <c r="A1340" s="213">
        <v>2679</v>
      </c>
      <c r="B1340" s="214" t="s">
        <v>9832</v>
      </c>
      <c r="C1340" s="215" t="s">
        <v>585</v>
      </c>
      <c r="D1340" s="216">
        <v>6.73</v>
      </c>
      <c r="E1340" s="198"/>
      <c r="F1340" s="198"/>
      <c r="G1340" s="198"/>
      <c r="H1340" s="198"/>
      <c r="I1340" s="198"/>
      <c r="J1340" s="198"/>
      <c r="K1340" s="198"/>
      <c r="L1340" s="198"/>
      <c r="M1340" s="198"/>
      <c r="N1340" s="198"/>
      <c r="O1340" s="198"/>
      <c r="P1340" s="198"/>
      <c r="Q1340" s="198"/>
      <c r="R1340" s="198"/>
      <c r="S1340" s="198"/>
      <c r="T1340" s="198"/>
      <c r="U1340" s="198"/>
      <c r="V1340" s="198"/>
      <c r="W1340" s="198"/>
      <c r="X1340" s="198"/>
      <c r="Y1340" s="198"/>
      <c r="Z1340" s="198"/>
    </row>
    <row r="1341" spans="1:26" ht="15.75" hidden="1" customHeight="1" x14ac:dyDescent="0.25">
      <c r="A1341" s="213">
        <v>12070</v>
      </c>
      <c r="B1341" s="214" t="s">
        <v>9833</v>
      </c>
      <c r="C1341" s="215" t="s">
        <v>585</v>
      </c>
      <c r="D1341" s="216">
        <v>9.36</v>
      </c>
      <c r="E1341" s="198"/>
      <c r="F1341" s="198"/>
      <c r="G1341" s="198"/>
      <c r="H1341" s="198"/>
      <c r="I1341" s="198"/>
      <c r="J1341" s="198"/>
      <c r="K1341" s="198"/>
      <c r="L1341" s="198"/>
      <c r="M1341" s="198"/>
      <c r="N1341" s="198"/>
      <c r="O1341" s="198"/>
      <c r="P1341" s="198"/>
      <c r="Q1341" s="198"/>
      <c r="R1341" s="198"/>
      <c r="S1341" s="198"/>
      <c r="T1341" s="198"/>
      <c r="U1341" s="198"/>
      <c r="V1341" s="198"/>
      <c r="W1341" s="198"/>
      <c r="X1341" s="198"/>
      <c r="Y1341" s="198"/>
      <c r="Z1341" s="198"/>
    </row>
    <row r="1342" spans="1:26" ht="15.75" hidden="1" customHeight="1" x14ac:dyDescent="0.25">
      <c r="A1342" s="213">
        <v>2675</v>
      </c>
      <c r="B1342" s="214" t="s">
        <v>9834</v>
      </c>
      <c r="C1342" s="215" t="s">
        <v>585</v>
      </c>
      <c r="D1342" s="216">
        <v>12.17</v>
      </c>
      <c r="E1342" s="198"/>
      <c r="F1342" s="198"/>
      <c r="G1342" s="198"/>
      <c r="H1342" s="198"/>
      <c r="I1342" s="198"/>
      <c r="J1342" s="198"/>
      <c r="K1342" s="198"/>
      <c r="L1342" s="198"/>
      <c r="M1342" s="198"/>
      <c r="N1342" s="198"/>
      <c r="O1342" s="198"/>
      <c r="P1342" s="198"/>
      <c r="Q1342" s="198"/>
      <c r="R1342" s="198"/>
      <c r="S1342" s="198"/>
      <c r="T1342" s="198"/>
      <c r="U1342" s="198"/>
      <c r="V1342" s="198"/>
      <c r="W1342" s="198"/>
      <c r="X1342" s="198"/>
      <c r="Y1342" s="198"/>
      <c r="Z1342" s="198"/>
    </row>
    <row r="1343" spans="1:26" ht="15.75" hidden="1" customHeight="1" x14ac:dyDescent="0.25">
      <c r="A1343" s="213">
        <v>12067</v>
      </c>
      <c r="B1343" s="214" t="s">
        <v>9835</v>
      </c>
      <c r="C1343" s="215" t="s">
        <v>585</v>
      </c>
      <c r="D1343" s="216">
        <v>16.510000000000002</v>
      </c>
      <c r="E1343" s="198"/>
      <c r="F1343" s="198"/>
      <c r="G1343" s="198"/>
      <c r="H1343" s="198"/>
      <c r="I1343" s="198"/>
      <c r="J1343" s="198"/>
      <c r="K1343" s="198"/>
      <c r="L1343" s="198"/>
      <c r="M1343" s="198"/>
      <c r="N1343" s="198"/>
      <c r="O1343" s="198"/>
      <c r="P1343" s="198"/>
      <c r="Q1343" s="198"/>
      <c r="R1343" s="198"/>
      <c r="S1343" s="198"/>
      <c r="T1343" s="198"/>
      <c r="U1343" s="198"/>
      <c r="V1343" s="198"/>
      <c r="W1343" s="198"/>
      <c r="X1343" s="198"/>
      <c r="Y1343" s="198"/>
      <c r="Z1343" s="198"/>
    </row>
    <row r="1344" spans="1:26" ht="15.75" hidden="1" customHeight="1" x14ac:dyDescent="0.25">
      <c r="A1344" s="213">
        <v>21128</v>
      </c>
      <c r="B1344" s="214" t="s">
        <v>9836</v>
      </c>
      <c r="C1344" s="215" t="s">
        <v>585</v>
      </c>
      <c r="D1344" s="216">
        <v>10.29</v>
      </c>
      <c r="E1344" s="198"/>
      <c r="F1344" s="198"/>
      <c r="G1344" s="198"/>
      <c r="H1344" s="198"/>
      <c r="I1344" s="198"/>
      <c r="J1344" s="198"/>
      <c r="K1344" s="198"/>
      <c r="L1344" s="198"/>
      <c r="M1344" s="198"/>
      <c r="N1344" s="198"/>
      <c r="O1344" s="198"/>
      <c r="P1344" s="198"/>
      <c r="Q1344" s="198"/>
      <c r="R1344" s="198"/>
      <c r="S1344" s="198"/>
      <c r="T1344" s="198"/>
      <c r="U1344" s="198"/>
      <c r="V1344" s="198"/>
      <c r="W1344" s="198"/>
      <c r="X1344" s="198"/>
      <c r="Y1344" s="198"/>
      <c r="Z1344" s="198"/>
    </row>
    <row r="1345" spans="1:26" ht="15.75" hidden="1" customHeight="1" x14ac:dyDescent="0.25">
      <c r="A1345" s="213">
        <v>40400</v>
      </c>
      <c r="B1345" s="214" t="s">
        <v>9837</v>
      </c>
      <c r="C1345" s="215" t="s">
        <v>585</v>
      </c>
      <c r="D1345" s="216">
        <v>2.33</v>
      </c>
      <c r="E1345" s="198"/>
      <c r="F1345" s="198"/>
      <c r="G1345" s="198"/>
      <c r="H1345" s="198"/>
      <c r="I1345" s="198"/>
      <c r="J1345" s="198"/>
      <c r="K1345" s="198"/>
      <c r="L1345" s="198"/>
      <c r="M1345" s="198"/>
      <c r="N1345" s="198"/>
      <c r="O1345" s="198"/>
      <c r="P1345" s="198"/>
      <c r="Q1345" s="198"/>
      <c r="R1345" s="198"/>
      <c r="S1345" s="198"/>
      <c r="T1345" s="198"/>
      <c r="U1345" s="198"/>
      <c r="V1345" s="198"/>
      <c r="W1345" s="198"/>
      <c r="X1345" s="198"/>
      <c r="Y1345" s="198"/>
      <c r="Z1345" s="198"/>
    </row>
    <row r="1346" spans="1:26" ht="15.75" hidden="1" customHeight="1" x14ac:dyDescent="0.25">
      <c r="A1346" s="213">
        <v>40401</v>
      </c>
      <c r="B1346" s="214" t="s">
        <v>9838</v>
      </c>
      <c r="C1346" s="215" t="s">
        <v>585</v>
      </c>
      <c r="D1346" s="216">
        <v>3.44</v>
      </c>
      <c r="E1346" s="198"/>
      <c r="F1346" s="198"/>
      <c r="G1346" s="198"/>
      <c r="H1346" s="198"/>
      <c r="I1346" s="198"/>
      <c r="J1346" s="198"/>
      <c r="K1346" s="198"/>
      <c r="L1346" s="198"/>
      <c r="M1346" s="198"/>
      <c r="N1346" s="198"/>
      <c r="O1346" s="198"/>
      <c r="P1346" s="198"/>
      <c r="Q1346" s="198"/>
      <c r="R1346" s="198"/>
      <c r="S1346" s="198"/>
      <c r="T1346" s="198"/>
      <c r="U1346" s="198"/>
      <c r="V1346" s="198"/>
      <c r="W1346" s="198"/>
      <c r="X1346" s="198"/>
      <c r="Y1346" s="198"/>
      <c r="Z1346" s="198"/>
    </row>
    <row r="1347" spans="1:26" ht="15.75" hidden="1" customHeight="1" x14ac:dyDescent="0.25">
      <c r="A1347" s="213">
        <v>40402</v>
      </c>
      <c r="B1347" s="214" t="s">
        <v>9839</v>
      </c>
      <c r="C1347" s="215" t="s">
        <v>585</v>
      </c>
      <c r="D1347" s="216">
        <v>4.41</v>
      </c>
      <c r="E1347" s="198"/>
      <c r="F1347" s="198"/>
      <c r="G1347" s="198"/>
      <c r="H1347" s="198"/>
      <c r="I1347" s="198"/>
      <c r="J1347" s="198"/>
      <c r="K1347" s="198"/>
      <c r="L1347" s="198"/>
      <c r="M1347" s="198"/>
      <c r="N1347" s="198"/>
      <c r="O1347" s="198"/>
      <c r="P1347" s="198"/>
      <c r="Q1347" s="198"/>
      <c r="R1347" s="198"/>
      <c r="S1347" s="198"/>
      <c r="T1347" s="198"/>
      <c r="U1347" s="198"/>
      <c r="V1347" s="198"/>
      <c r="W1347" s="198"/>
      <c r="X1347" s="198"/>
      <c r="Y1347" s="198"/>
      <c r="Z1347" s="198"/>
    </row>
    <row r="1348" spans="1:26" ht="15.75" hidden="1" customHeight="1" x14ac:dyDescent="0.25">
      <c r="A1348" s="213">
        <v>21137</v>
      </c>
      <c r="B1348" s="214" t="s">
        <v>9840</v>
      </c>
      <c r="C1348" s="215" t="s">
        <v>585</v>
      </c>
      <c r="D1348" s="216">
        <v>10.53</v>
      </c>
      <c r="E1348" s="198"/>
      <c r="F1348" s="198"/>
      <c r="G1348" s="198"/>
      <c r="H1348" s="198"/>
      <c r="I1348" s="198"/>
      <c r="J1348" s="198"/>
      <c r="K1348" s="198"/>
      <c r="L1348" s="198"/>
      <c r="M1348" s="198"/>
      <c r="N1348" s="198"/>
      <c r="O1348" s="198"/>
      <c r="P1348" s="198"/>
      <c r="Q1348" s="198"/>
      <c r="R1348" s="198"/>
      <c r="S1348" s="198"/>
      <c r="T1348" s="198"/>
      <c r="U1348" s="198"/>
      <c r="V1348" s="198"/>
      <c r="W1348" s="198"/>
      <c r="X1348" s="198"/>
      <c r="Y1348" s="198"/>
      <c r="Z1348" s="198"/>
    </row>
    <row r="1349" spans="1:26" ht="15.75" hidden="1" customHeight="1" x14ac:dyDescent="0.25">
      <c r="A1349" s="213">
        <v>2504</v>
      </c>
      <c r="B1349" s="214" t="s">
        <v>9841</v>
      </c>
      <c r="C1349" s="215" t="s">
        <v>585</v>
      </c>
      <c r="D1349" s="216">
        <v>11.42</v>
      </c>
      <c r="E1349" s="198"/>
      <c r="F1349" s="198"/>
      <c r="G1349" s="198"/>
      <c r="H1349" s="198"/>
      <c r="I1349" s="198"/>
      <c r="J1349" s="198"/>
      <c r="K1349" s="198"/>
      <c r="L1349" s="198"/>
      <c r="M1349" s="198"/>
      <c r="N1349" s="198"/>
      <c r="O1349" s="198"/>
      <c r="P1349" s="198"/>
      <c r="Q1349" s="198"/>
      <c r="R1349" s="198"/>
      <c r="S1349" s="198"/>
      <c r="T1349" s="198"/>
      <c r="U1349" s="198"/>
      <c r="V1349" s="198"/>
      <c r="W1349" s="198"/>
      <c r="X1349" s="198"/>
      <c r="Y1349" s="198"/>
      <c r="Z1349" s="198"/>
    </row>
    <row r="1350" spans="1:26" ht="15.75" hidden="1" customHeight="1" x14ac:dyDescent="0.25">
      <c r="A1350" s="213">
        <v>2501</v>
      </c>
      <c r="B1350" s="214" t="s">
        <v>9842</v>
      </c>
      <c r="C1350" s="215" t="s">
        <v>585</v>
      </c>
      <c r="D1350" s="216">
        <v>14.97</v>
      </c>
      <c r="E1350" s="198"/>
      <c r="F1350" s="198"/>
      <c r="G1350" s="198"/>
      <c r="H1350" s="198"/>
      <c r="I1350" s="198"/>
      <c r="J1350" s="198"/>
      <c r="K1350" s="198"/>
      <c r="L1350" s="198"/>
      <c r="M1350" s="198"/>
      <c r="N1350" s="198"/>
      <c r="O1350" s="198"/>
      <c r="P1350" s="198"/>
      <c r="Q1350" s="198"/>
      <c r="R1350" s="198"/>
      <c r="S1350" s="198"/>
      <c r="T1350" s="198"/>
      <c r="U1350" s="198"/>
      <c r="V1350" s="198"/>
      <c r="W1350" s="198"/>
      <c r="X1350" s="198"/>
      <c r="Y1350" s="198"/>
      <c r="Z1350" s="198"/>
    </row>
    <row r="1351" spans="1:26" ht="15.75" hidden="1" customHeight="1" x14ac:dyDescent="0.25">
      <c r="A1351" s="213">
        <v>2502</v>
      </c>
      <c r="B1351" s="214" t="s">
        <v>9843</v>
      </c>
      <c r="C1351" s="215" t="s">
        <v>585</v>
      </c>
      <c r="D1351" s="216">
        <v>22.59</v>
      </c>
      <c r="E1351" s="198"/>
      <c r="F1351" s="198"/>
      <c r="G1351" s="198"/>
      <c r="H1351" s="198"/>
      <c r="I1351" s="198"/>
      <c r="J1351" s="198"/>
      <c r="K1351" s="198"/>
      <c r="L1351" s="198"/>
      <c r="M1351" s="198"/>
      <c r="N1351" s="198"/>
      <c r="O1351" s="198"/>
      <c r="P1351" s="198"/>
      <c r="Q1351" s="198"/>
      <c r="R1351" s="198"/>
      <c r="S1351" s="198"/>
      <c r="T1351" s="198"/>
      <c r="U1351" s="198"/>
      <c r="V1351" s="198"/>
      <c r="W1351" s="198"/>
      <c r="X1351" s="198"/>
      <c r="Y1351" s="198"/>
      <c r="Z1351" s="198"/>
    </row>
    <row r="1352" spans="1:26" ht="15.75" hidden="1" customHeight="1" x14ac:dyDescent="0.25">
      <c r="A1352" s="213">
        <v>2503</v>
      </c>
      <c r="B1352" s="214" t="s">
        <v>9844</v>
      </c>
      <c r="C1352" s="215" t="s">
        <v>585</v>
      </c>
      <c r="D1352" s="216">
        <v>29.07</v>
      </c>
      <c r="E1352" s="198"/>
      <c r="F1352" s="198"/>
      <c r="G1352" s="198"/>
      <c r="H1352" s="198"/>
      <c r="I1352" s="198"/>
      <c r="J1352" s="198"/>
      <c r="K1352" s="198"/>
      <c r="L1352" s="198"/>
      <c r="M1352" s="198"/>
      <c r="N1352" s="198"/>
      <c r="O1352" s="198"/>
      <c r="P1352" s="198"/>
      <c r="Q1352" s="198"/>
      <c r="R1352" s="198"/>
      <c r="S1352" s="198"/>
      <c r="T1352" s="198"/>
      <c r="U1352" s="198"/>
      <c r="V1352" s="198"/>
      <c r="W1352" s="198"/>
      <c r="X1352" s="198"/>
      <c r="Y1352" s="198"/>
      <c r="Z1352" s="198"/>
    </row>
    <row r="1353" spans="1:26" ht="15.75" hidden="1" customHeight="1" x14ac:dyDescent="0.25">
      <c r="A1353" s="213">
        <v>2500</v>
      </c>
      <c r="B1353" s="214" t="s">
        <v>9845</v>
      </c>
      <c r="C1353" s="215" t="s">
        <v>585</v>
      </c>
      <c r="D1353" s="216">
        <v>38.729999999999997</v>
      </c>
      <c r="E1353" s="198"/>
      <c r="F1353" s="198"/>
      <c r="G1353" s="198"/>
      <c r="H1353" s="198"/>
      <c r="I1353" s="198"/>
      <c r="J1353" s="198"/>
      <c r="K1353" s="198"/>
      <c r="L1353" s="198"/>
      <c r="M1353" s="198"/>
      <c r="N1353" s="198"/>
      <c r="O1353" s="198"/>
      <c r="P1353" s="198"/>
      <c r="Q1353" s="198"/>
      <c r="R1353" s="198"/>
      <c r="S1353" s="198"/>
      <c r="T1353" s="198"/>
      <c r="U1353" s="198"/>
      <c r="V1353" s="198"/>
      <c r="W1353" s="198"/>
      <c r="X1353" s="198"/>
      <c r="Y1353" s="198"/>
      <c r="Z1353" s="198"/>
    </row>
    <row r="1354" spans="1:26" ht="15.75" hidden="1" customHeight="1" x14ac:dyDescent="0.25">
      <c r="A1354" s="213">
        <v>2505</v>
      </c>
      <c r="B1354" s="214" t="s">
        <v>9846</v>
      </c>
      <c r="C1354" s="215" t="s">
        <v>585</v>
      </c>
      <c r="D1354" s="216">
        <v>60.36</v>
      </c>
      <c r="E1354" s="198"/>
      <c r="F1354" s="198"/>
      <c r="G1354" s="198"/>
      <c r="H1354" s="198"/>
      <c r="I1354" s="198"/>
      <c r="J1354" s="198"/>
      <c r="K1354" s="198"/>
      <c r="L1354" s="198"/>
      <c r="M1354" s="198"/>
      <c r="N1354" s="198"/>
      <c r="O1354" s="198"/>
      <c r="P1354" s="198"/>
      <c r="Q1354" s="198"/>
      <c r="R1354" s="198"/>
      <c r="S1354" s="198"/>
      <c r="T1354" s="198"/>
      <c r="U1354" s="198"/>
      <c r="V1354" s="198"/>
      <c r="W1354" s="198"/>
      <c r="X1354" s="198"/>
      <c r="Y1354" s="198"/>
      <c r="Z1354" s="198"/>
    </row>
    <row r="1355" spans="1:26" ht="15.75" hidden="1" customHeight="1" x14ac:dyDescent="0.25">
      <c r="A1355" s="213">
        <v>12056</v>
      </c>
      <c r="B1355" s="214" t="s">
        <v>9847</v>
      </c>
      <c r="C1355" s="215" t="s">
        <v>585</v>
      </c>
      <c r="D1355" s="216">
        <v>24.39</v>
      </c>
      <c r="E1355" s="198"/>
      <c r="F1355" s="198"/>
      <c r="G1355" s="198"/>
      <c r="H1355" s="198"/>
      <c r="I1355" s="198"/>
      <c r="J1355" s="198"/>
      <c r="K1355" s="198"/>
      <c r="L1355" s="198"/>
      <c r="M1355" s="198"/>
      <c r="N1355" s="198"/>
      <c r="O1355" s="198"/>
      <c r="P1355" s="198"/>
      <c r="Q1355" s="198"/>
      <c r="R1355" s="198"/>
      <c r="S1355" s="198"/>
      <c r="T1355" s="198"/>
      <c r="U1355" s="198"/>
      <c r="V1355" s="198"/>
      <c r="W1355" s="198"/>
      <c r="X1355" s="198"/>
      <c r="Y1355" s="198"/>
      <c r="Z1355" s="198"/>
    </row>
    <row r="1356" spans="1:26" ht="15.75" hidden="1" customHeight="1" x14ac:dyDescent="0.25">
      <c r="A1356" s="213">
        <v>12057</v>
      </c>
      <c r="B1356" s="214" t="s">
        <v>9848</v>
      </c>
      <c r="C1356" s="215" t="s">
        <v>585</v>
      </c>
      <c r="D1356" s="216">
        <v>20.71</v>
      </c>
      <c r="E1356" s="198"/>
      <c r="F1356" s="198"/>
      <c r="G1356" s="198"/>
      <c r="H1356" s="198"/>
      <c r="I1356" s="198"/>
      <c r="J1356" s="198"/>
      <c r="K1356" s="198"/>
      <c r="L1356" s="198"/>
      <c r="M1356" s="198"/>
      <c r="N1356" s="198"/>
      <c r="O1356" s="198"/>
      <c r="P1356" s="198"/>
      <c r="Q1356" s="198"/>
      <c r="R1356" s="198"/>
      <c r="S1356" s="198"/>
      <c r="T1356" s="198"/>
      <c r="U1356" s="198"/>
      <c r="V1356" s="198"/>
      <c r="W1356" s="198"/>
      <c r="X1356" s="198"/>
      <c r="Y1356" s="198"/>
      <c r="Z1356" s="198"/>
    </row>
    <row r="1357" spans="1:26" ht="15.75" hidden="1" customHeight="1" x14ac:dyDescent="0.25">
      <c r="A1357" s="213">
        <v>12058</v>
      </c>
      <c r="B1357" s="214" t="s">
        <v>9849</v>
      </c>
      <c r="C1357" s="215" t="s">
        <v>585</v>
      </c>
      <c r="D1357" s="216">
        <v>12.91</v>
      </c>
      <c r="E1357" s="198"/>
      <c r="F1357" s="198"/>
      <c r="G1357" s="198"/>
      <c r="H1357" s="198"/>
      <c r="I1357" s="198"/>
      <c r="J1357" s="198"/>
      <c r="K1357" s="198"/>
      <c r="L1357" s="198"/>
      <c r="M1357" s="198"/>
      <c r="N1357" s="198"/>
      <c r="O1357" s="198"/>
      <c r="P1357" s="198"/>
      <c r="Q1357" s="198"/>
      <c r="R1357" s="198"/>
      <c r="S1357" s="198"/>
      <c r="T1357" s="198"/>
      <c r="U1357" s="198"/>
      <c r="V1357" s="198"/>
      <c r="W1357" s="198"/>
      <c r="X1357" s="198"/>
      <c r="Y1357" s="198"/>
      <c r="Z1357" s="198"/>
    </row>
    <row r="1358" spans="1:26" ht="15.75" hidden="1" customHeight="1" x14ac:dyDescent="0.25">
      <c r="A1358" s="213">
        <v>12059</v>
      </c>
      <c r="B1358" s="214" t="s">
        <v>9850</v>
      </c>
      <c r="C1358" s="215" t="s">
        <v>585</v>
      </c>
      <c r="D1358" s="216">
        <v>7.27</v>
      </c>
      <c r="E1358" s="198"/>
      <c r="F1358" s="198"/>
      <c r="G1358" s="198"/>
      <c r="H1358" s="198"/>
      <c r="I1358" s="198"/>
      <c r="J1358" s="198"/>
      <c r="K1358" s="198"/>
      <c r="L1358" s="198"/>
      <c r="M1358" s="198"/>
      <c r="N1358" s="198"/>
      <c r="O1358" s="198"/>
      <c r="P1358" s="198"/>
      <c r="Q1358" s="198"/>
      <c r="R1358" s="198"/>
      <c r="S1358" s="198"/>
      <c r="T1358" s="198"/>
      <c r="U1358" s="198"/>
      <c r="V1358" s="198"/>
      <c r="W1358" s="198"/>
      <c r="X1358" s="198"/>
      <c r="Y1358" s="198"/>
      <c r="Z1358" s="198"/>
    </row>
    <row r="1359" spans="1:26" ht="15.75" hidden="1" customHeight="1" x14ac:dyDescent="0.25">
      <c r="A1359" s="213">
        <v>12060</v>
      </c>
      <c r="B1359" s="214" t="s">
        <v>9851</v>
      </c>
      <c r="C1359" s="215" t="s">
        <v>585</v>
      </c>
      <c r="D1359" s="216">
        <v>53.82</v>
      </c>
      <c r="E1359" s="198"/>
      <c r="F1359" s="198"/>
      <c r="G1359" s="198"/>
      <c r="H1359" s="198"/>
      <c r="I1359" s="198"/>
      <c r="J1359" s="198"/>
      <c r="K1359" s="198"/>
      <c r="L1359" s="198"/>
      <c r="M1359" s="198"/>
      <c r="N1359" s="198"/>
      <c r="O1359" s="198"/>
      <c r="P1359" s="198"/>
      <c r="Q1359" s="198"/>
      <c r="R1359" s="198"/>
      <c r="S1359" s="198"/>
      <c r="T1359" s="198"/>
      <c r="U1359" s="198"/>
      <c r="V1359" s="198"/>
      <c r="W1359" s="198"/>
      <c r="X1359" s="198"/>
      <c r="Y1359" s="198"/>
      <c r="Z1359" s="198"/>
    </row>
    <row r="1360" spans="1:26" ht="15.75" hidden="1" customHeight="1" x14ac:dyDescent="0.25">
      <c r="A1360" s="213">
        <v>12061</v>
      </c>
      <c r="B1360" s="214" t="s">
        <v>9852</v>
      </c>
      <c r="C1360" s="215" t="s">
        <v>585</v>
      </c>
      <c r="D1360" s="216">
        <v>32.86</v>
      </c>
      <c r="E1360" s="198"/>
      <c r="F1360" s="198"/>
      <c r="G1360" s="198"/>
      <c r="H1360" s="198"/>
      <c r="I1360" s="198"/>
      <c r="J1360" s="198"/>
      <c r="K1360" s="198"/>
      <c r="L1360" s="198"/>
      <c r="M1360" s="198"/>
      <c r="N1360" s="198"/>
      <c r="O1360" s="198"/>
      <c r="P1360" s="198"/>
      <c r="Q1360" s="198"/>
      <c r="R1360" s="198"/>
      <c r="S1360" s="198"/>
      <c r="T1360" s="198"/>
      <c r="U1360" s="198"/>
      <c r="V1360" s="198"/>
      <c r="W1360" s="198"/>
      <c r="X1360" s="198"/>
      <c r="Y1360" s="198"/>
      <c r="Z1360" s="198"/>
    </row>
    <row r="1361" spans="1:26" ht="15.75" hidden="1" customHeight="1" x14ac:dyDescent="0.25">
      <c r="A1361" s="213">
        <v>12062</v>
      </c>
      <c r="B1361" s="214" t="s">
        <v>9853</v>
      </c>
      <c r="C1361" s="215" t="s">
        <v>585</v>
      </c>
      <c r="D1361" s="216">
        <v>60.6</v>
      </c>
      <c r="E1361" s="198"/>
      <c r="F1361" s="198"/>
      <c r="G1361" s="198"/>
      <c r="H1361" s="198"/>
      <c r="I1361" s="198"/>
      <c r="J1361" s="198"/>
      <c r="K1361" s="198"/>
      <c r="L1361" s="198"/>
      <c r="M1361" s="198"/>
      <c r="N1361" s="198"/>
      <c r="O1361" s="198"/>
      <c r="P1361" s="198"/>
      <c r="Q1361" s="198"/>
      <c r="R1361" s="198"/>
      <c r="S1361" s="198"/>
      <c r="T1361" s="198"/>
      <c r="U1361" s="198"/>
      <c r="V1361" s="198"/>
      <c r="W1361" s="198"/>
      <c r="X1361" s="198"/>
      <c r="Y1361" s="198"/>
      <c r="Z1361" s="198"/>
    </row>
    <row r="1362" spans="1:26" ht="15.75" hidden="1" customHeight="1" x14ac:dyDescent="0.25">
      <c r="A1362" s="213">
        <v>2687</v>
      </c>
      <c r="B1362" s="214" t="s">
        <v>9854</v>
      </c>
      <c r="C1362" s="215" t="s">
        <v>585</v>
      </c>
      <c r="D1362" s="216">
        <v>3.04</v>
      </c>
      <c r="E1362" s="198"/>
      <c r="F1362" s="198"/>
      <c r="G1362" s="198"/>
      <c r="H1362" s="198"/>
      <c r="I1362" s="198"/>
      <c r="J1362" s="198"/>
      <c r="K1362" s="198"/>
      <c r="L1362" s="198"/>
      <c r="M1362" s="198"/>
      <c r="N1362" s="198"/>
      <c r="O1362" s="198"/>
      <c r="P1362" s="198"/>
      <c r="Q1362" s="198"/>
      <c r="R1362" s="198"/>
      <c r="S1362" s="198"/>
      <c r="T1362" s="198"/>
      <c r="U1362" s="198"/>
      <c r="V1362" s="198"/>
      <c r="W1362" s="198"/>
      <c r="X1362" s="198"/>
      <c r="Y1362" s="198"/>
      <c r="Z1362" s="198"/>
    </row>
    <row r="1363" spans="1:26" ht="15.75" hidden="1" customHeight="1" x14ac:dyDescent="0.25">
      <c r="A1363" s="213">
        <v>2689</v>
      </c>
      <c r="B1363" s="214" t="s">
        <v>9855</v>
      </c>
      <c r="C1363" s="215" t="s">
        <v>585</v>
      </c>
      <c r="D1363" s="216">
        <v>3.62</v>
      </c>
      <c r="E1363" s="198"/>
      <c r="F1363" s="198"/>
      <c r="G1363" s="198"/>
      <c r="H1363" s="198"/>
      <c r="I1363" s="198"/>
      <c r="J1363" s="198"/>
      <c r="K1363" s="198"/>
      <c r="L1363" s="198"/>
      <c r="M1363" s="198"/>
      <c r="N1363" s="198"/>
      <c r="O1363" s="198"/>
      <c r="P1363" s="198"/>
      <c r="Q1363" s="198"/>
      <c r="R1363" s="198"/>
      <c r="S1363" s="198"/>
      <c r="T1363" s="198"/>
      <c r="U1363" s="198"/>
      <c r="V1363" s="198"/>
      <c r="W1363" s="198"/>
      <c r="X1363" s="198"/>
      <c r="Y1363" s="198"/>
      <c r="Z1363" s="198"/>
    </row>
    <row r="1364" spans="1:26" ht="15.75" hidden="1" customHeight="1" x14ac:dyDescent="0.25">
      <c r="A1364" s="213">
        <v>2688</v>
      </c>
      <c r="B1364" s="214" t="s">
        <v>9856</v>
      </c>
      <c r="C1364" s="215" t="s">
        <v>585</v>
      </c>
      <c r="D1364" s="216">
        <v>3.92</v>
      </c>
      <c r="E1364" s="198"/>
      <c r="F1364" s="198"/>
      <c r="G1364" s="198"/>
      <c r="H1364" s="198"/>
      <c r="I1364" s="198"/>
      <c r="J1364" s="198"/>
      <c r="K1364" s="198"/>
      <c r="L1364" s="198"/>
      <c r="M1364" s="198"/>
      <c r="N1364" s="198"/>
      <c r="O1364" s="198"/>
      <c r="P1364" s="198"/>
      <c r="Q1364" s="198"/>
      <c r="R1364" s="198"/>
      <c r="S1364" s="198"/>
      <c r="T1364" s="198"/>
      <c r="U1364" s="198"/>
      <c r="V1364" s="198"/>
      <c r="W1364" s="198"/>
      <c r="X1364" s="198"/>
      <c r="Y1364" s="198"/>
      <c r="Z1364" s="198"/>
    </row>
    <row r="1365" spans="1:26" ht="15.75" hidden="1" customHeight="1" x14ac:dyDescent="0.25">
      <c r="A1365" s="213">
        <v>2690</v>
      </c>
      <c r="B1365" s="214" t="s">
        <v>9857</v>
      </c>
      <c r="C1365" s="215" t="s">
        <v>585</v>
      </c>
      <c r="D1365" s="216">
        <v>6.71</v>
      </c>
      <c r="E1365" s="198"/>
      <c r="F1365" s="198"/>
      <c r="G1365" s="198"/>
      <c r="H1365" s="198"/>
      <c r="I1365" s="198"/>
      <c r="J1365" s="198"/>
      <c r="K1365" s="198"/>
      <c r="L1365" s="198"/>
      <c r="M1365" s="198"/>
      <c r="N1365" s="198"/>
      <c r="O1365" s="198"/>
      <c r="P1365" s="198"/>
      <c r="Q1365" s="198"/>
      <c r="R1365" s="198"/>
      <c r="S1365" s="198"/>
      <c r="T1365" s="198"/>
      <c r="U1365" s="198"/>
      <c r="V1365" s="198"/>
      <c r="W1365" s="198"/>
      <c r="X1365" s="198"/>
      <c r="Y1365" s="198"/>
      <c r="Z1365" s="198"/>
    </row>
    <row r="1366" spans="1:26" ht="15.75" hidden="1" customHeight="1" x14ac:dyDescent="0.25">
      <c r="A1366" s="213">
        <v>39243</v>
      </c>
      <c r="B1366" s="214" t="s">
        <v>9858</v>
      </c>
      <c r="C1366" s="215" t="s">
        <v>585</v>
      </c>
      <c r="D1366" s="216">
        <v>4.42</v>
      </c>
      <c r="E1366" s="198"/>
      <c r="F1366" s="198"/>
      <c r="G1366" s="198"/>
      <c r="H1366" s="198"/>
      <c r="I1366" s="198"/>
      <c r="J1366" s="198"/>
      <c r="K1366" s="198"/>
      <c r="L1366" s="198"/>
      <c r="M1366" s="198"/>
      <c r="N1366" s="198"/>
      <c r="O1366" s="198"/>
      <c r="P1366" s="198"/>
      <c r="Q1366" s="198"/>
      <c r="R1366" s="198"/>
      <c r="S1366" s="198"/>
      <c r="T1366" s="198"/>
      <c r="U1366" s="198"/>
      <c r="V1366" s="198"/>
      <c r="W1366" s="198"/>
      <c r="X1366" s="198"/>
      <c r="Y1366" s="198"/>
      <c r="Z1366" s="198"/>
    </row>
    <row r="1367" spans="1:26" ht="15.75" hidden="1" customHeight="1" x14ac:dyDescent="0.25">
      <c r="A1367" s="213">
        <v>39244</v>
      </c>
      <c r="B1367" s="214" t="s">
        <v>9859</v>
      </c>
      <c r="C1367" s="215" t="s">
        <v>585</v>
      </c>
      <c r="D1367" s="216">
        <v>5.98</v>
      </c>
      <c r="E1367" s="198"/>
      <c r="F1367" s="198"/>
      <c r="G1367" s="198"/>
      <c r="H1367" s="198"/>
      <c r="I1367" s="198"/>
      <c r="J1367" s="198"/>
      <c r="K1367" s="198"/>
      <c r="L1367" s="198"/>
      <c r="M1367" s="198"/>
      <c r="N1367" s="198"/>
      <c r="O1367" s="198"/>
      <c r="P1367" s="198"/>
      <c r="Q1367" s="198"/>
      <c r="R1367" s="198"/>
      <c r="S1367" s="198"/>
      <c r="T1367" s="198"/>
      <c r="U1367" s="198"/>
      <c r="V1367" s="198"/>
      <c r="W1367" s="198"/>
      <c r="X1367" s="198"/>
      <c r="Y1367" s="198"/>
      <c r="Z1367" s="198"/>
    </row>
    <row r="1368" spans="1:26" ht="15.75" hidden="1" customHeight="1" x14ac:dyDescent="0.25">
      <c r="A1368" s="213">
        <v>39245</v>
      </c>
      <c r="B1368" s="214" t="s">
        <v>9860</v>
      </c>
      <c r="C1368" s="215" t="s">
        <v>585</v>
      </c>
      <c r="D1368" s="216">
        <v>11.5</v>
      </c>
      <c r="E1368" s="198"/>
      <c r="F1368" s="198"/>
      <c r="G1368" s="198"/>
      <c r="H1368" s="198"/>
      <c r="I1368" s="198"/>
      <c r="J1368" s="198"/>
      <c r="K1368" s="198"/>
      <c r="L1368" s="198"/>
      <c r="M1368" s="198"/>
      <c r="N1368" s="198"/>
      <c r="O1368" s="198"/>
      <c r="P1368" s="198"/>
      <c r="Q1368" s="198"/>
      <c r="R1368" s="198"/>
      <c r="S1368" s="198"/>
      <c r="T1368" s="198"/>
      <c r="U1368" s="198"/>
      <c r="V1368" s="198"/>
      <c r="W1368" s="198"/>
      <c r="X1368" s="198"/>
      <c r="Y1368" s="198"/>
      <c r="Z1368" s="198"/>
    </row>
    <row r="1369" spans="1:26" ht="15.75" hidden="1" customHeight="1" x14ac:dyDescent="0.25">
      <c r="A1369" s="213">
        <v>39255</v>
      </c>
      <c r="B1369" s="214" t="s">
        <v>9861</v>
      </c>
      <c r="C1369" s="215" t="s">
        <v>585</v>
      </c>
      <c r="D1369" s="216">
        <v>31.83</v>
      </c>
      <c r="E1369" s="198"/>
      <c r="F1369" s="198"/>
      <c r="G1369" s="198"/>
      <c r="H1369" s="198"/>
      <c r="I1369" s="198"/>
      <c r="J1369" s="198"/>
      <c r="K1369" s="198"/>
      <c r="L1369" s="198"/>
      <c r="M1369" s="198"/>
      <c r="N1369" s="198"/>
      <c r="O1369" s="198"/>
      <c r="P1369" s="198"/>
      <c r="Q1369" s="198"/>
      <c r="R1369" s="198"/>
      <c r="S1369" s="198"/>
      <c r="T1369" s="198"/>
      <c r="U1369" s="198"/>
      <c r="V1369" s="198"/>
      <c r="W1369" s="198"/>
      <c r="X1369" s="198"/>
      <c r="Y1369" s="198"/>
      <c r="Z1369" s="198"/>
    </row>
    <row r="1370" spans="1:26" ht="15.75" hidden="1" customHeight="1" x14ac:dyDescent="0.25">
      <c r="A1370" s="213">
        <v>39254</v>
      </c>
      <c r="B1370" s="214" t="s">
        <v>9862</v>
      </c>
      <c r="C1370" s="215" t="s">
        <v>585</v>
      </c>
      <c r="D1370" s="216">
        <v>17.2</v>
      </c>
      <c r="E1370" s="198"/>
      <c r="F1370" s="198"/>
      <c r="G1370" s="198"/>
      <c r="H1370" s="198"/>
      <c r="I1370" s="198"/>
      <c r="J1370" s="198"/>
      <c r="K1370" s="198"/>
      <c r="L1370" s="198"/>
      <c r="M1370" s="198"/>
      <c r="N1370" s="198"/>
      <c r="O1370" s="198"/>
      <c r="P1370" s="198"/>
      <c r="Q1370" s="198"/>
      <c r="R1370" s="198"/>
      <c r="S1370" s="198"/>
      <c r="T1370" s="198"/>
      <c r="U1370" s="198"/>
      <c r="V1370" s="198"/>
      <c r="W1370" s="198"/>
      <c r="X1370" s="198"/>
      <c r="Y1370" s="198"/>
      <c r="Z1370" s="198"/>
    </row>
    <row r="1371" spans="1:26" ht="15.75" hidden="1" customHeight="1" x14ac:dyDescent="0.25">
      <c r="A1371" s="213">
        <v>39253</v>
      </c>
      <c r="B1371" s="214" t="s">
        <v>9863</v>
      </c>
      <c r="C1371" s="215" t="s">
        <v>585</v>
      </c>
      <c r="D1371" s="216">
        <v>21.92</v>
      </c>
      <c r="E1371" s="198"/>
      <c r="F1371" s="198"/>
      <c r="G1371" s="198"/>
      <c r="H1371" s="198"/>
      <c r="I1371" s="198"/>
      <c r="J1371" s="198"/>
      <c r="K1371" s="198"/>
      <c r="L1371" s="198"/>
      <c r="M1371" s="198"/>
      <c r="N1371" s="198"/>
      <c r="O1371" s="198"/>
      <c r="P1371" s="198"/>
      <c r="Q1371" s="198"/>
      <c r="R1371" s="198"/>
      <c r="S1371" s="198"/>
      <c r="T1371" s="198"/>
      <c r="U1371" s="198"/>
      <c r="V1371" s="198"/>
      <c r="W1371" s="198"/>
      <c r="X1371" s="198"/>
      <c r="Y1371" s="198"/>
      <c r="Z1371" s="198"/>
    </row>
    <row r="1372" spans="1:26" ht="15.75" hidden="1" customHeight="1" x14ac:dyDescent="0.25">
      <c r="A1372" s="213">
        <v>39246</v>
      </c>
      <c r="B1372" s="214" t="s">
        <v>9864</v>
      </c>
      <c r="C1372" s="215" t="s">
        <v>585</v>
      </c>
      <c r="D1372" s="216">
        <v>5.97</v>
      </c>
      <c r="E1372" s="198"/>
      <c r="F1372" s="198"/>
      <c r="G1372" s="198"/>
      <c r="H1372" s="198"/>
      <c r="I1372" s="198"/>
      <c r="J1372" s="198"/>
      <c r="K1372" s="198"/>
      <c r="L1372" s="198"/>
      <c r="M1372" s="198"/>
      <c r="N1372" s="198"/>
      <c r="O1372" s="198"/>
      <c r="P1372" s="198"/>
      <c r="Q1372" s="198"/>
      <c r="R1372" s="198"/>
      <c r="S1372" s="198"/>
      <c r="T1372" s="198"/>
      <c r="U1372" s="198"/>
      <c r="V1372" s="198"/>
      <c r="W1372" s="198"/>
      <c r="X1372" s="198"/>
      <c r="Y1372" s="198"/>
      <c r="Z1372" s="198"/>
    </row>
    <row r="1373" spans="1:26" ht="15.75" hidden="1" customHeight="1" x14ac:dyDescent="0.25">
      <c r="A1373" s="213">
        <v>39247</v>
      </c>
      <c r="B1373" s="214" t="s">
        <v>9865</v>
      </c>
      <c r="C1373" s="215" t="s">
        <v>585</v>
      </c>
      <c r="D1373" s="216">
        <v>5.21</v>
      </c>
      <c r="E1373" s="198"/>
      <c r="F1373" s="198"/>
      <c r="G1373" s="198"/>
      <c r="H1373" s="198"/>
      <c r="I1373" s="198"/>
      <c r="J1373" s="198"/>
      <c r="K1373" s="198"/>
      <c r="L1373" s="198"/>
      <c r="M1373" s="198"/>
      <c r="N1373" s="198"/>
      <c r="O1373" s="198"/>
      <c r="P1373" s="198"/>
      <c r="Q1373" s="198"/>
      <c r="R1373" s="198"/>
      <c r="S1373" s="198"/>
      <c r="T1373" s="198"/>
      <c r="U1373" s="198"/>
      <c r="V1373" s="198"/>
      <c r="W1373" s="198"/>
      <c r="X1373" s="198"/>
      <c r="Y1373" s="198"/>
      <c r="Z1373" s="198"/>
    </row>
    <row r="1374" spans="1:26" ht="15.75" hidden="1" customHeight="1" x14ac:dyDescent="0.25">
      <c r="A1374" s="213">
        <v>2446</v>
      </c>
      <c r="B1374" s="214" t="s">
        <v>9866</v>
      </c>
      <c r="C1374" s="215" t="s">
        <v>585</v>
      </c>
      <c r="D1374" s="216">
        <v>8.58</v>
      </c>
      <c r="E1374" s="198"/>
      <c r="F1374" s="198"/>
      <c r="G1374" s="198"/>
      <c r="H1374" s="198"/>
      <c r="I1374" s="198"/>
      <c r="J1374" s="198"/>
      <c r="K1374" s="198"/>
      <c r="L1374" s="198"/>
      <c r="M1374" s="198"/>
      <c r="N1374" s="198"/>
      <c r="O1374" s="198"/>
      <c r="P1374" s="198"/>
      <c r="Q1374" s="198"/>
      <c r="R1374" s="198"/>
      <c r="S1374" s="198"/>
      <c r="T1374" s="198"/>
      <c r="U1374" s="198"/>
      <c r="V1374" s="198"/>
      <c r="W1374" s="198"/>
      <c r="X1374" s="198"/>
      <c r="Y1374" s="198"/>
      <c r="Z1374" s="198"/>
    </row>
    <row r="1375" spans="1:26" ht="15.75" hidden="1" customHeight="1" x14ac:dyDescent="0.25">
      <c r="A1375" s="213">
        <v>2442</v>
      </c>
      <c r="B1375" s="214" t="s">
        <v>9867</v>
      </c>
      <c r="C1375" s="215" t="s">
        <v>585</v>
      </c>
      <c r="D1375" s="216">
        <v>12.02</v>
      </c>
      <c r="E1375" s="198"/>
      <c r="F1375" s="198"/>
      <c r="G1375" s="198"/>
      <c r="H1375" s="198"/>
      <c r="I1375" s="198"/>
      <c r="J1375" s="198"/>
      <c r="K1375" s="198"/>
      <c r="L1375" s="198"/>
      <c r="M1375" s="198"/>
      <c r="N1375" s="198"/>
      <c r="O1375" s="198"/>
      <c r="P1375" s="198"/>
      <c r="Q1375" s="198"/>
      <c r="R1375" s="198"/>
      <c r="S1375" s="198"/>
      <c r="T1375" s="198"/>
      <c r="U1375" s="198"/>
      <c r="V1375" s="198"/>
      <c r="W1375" s="198"/>
      <c r="X1375" s="198"/>
      <c r="Y1375" s="198"/>
      <c r="Z1375" s="198"/>
    </row>
    <row r="1376" spans="1:26" ht="15.75" hidden="1" customHeight="1" x14ac:dyDescent="0.25">
      <c r="A1376" s="213">
        <v>39248</v>
      </c>
      <c r="B1376" s="214" t="s">
        <v>9868</v>
      </c>
      <c r="C1376" s="215" t="s">
        <v>585</v>
      </c>
      <c r="D1376" s="216">
        <v>16.75</v>
      </c>
      <c r="E1376" s="198"/>
      <c r="F1376" s="198"/>
      <c r="G1376" s="198"/>
      <c r="H1376" s="198"/>
      <c r="I1376" s="198"/>
      <c r="J1376" s="198"/>
      <c r="K1376" s="198"/>
      <c r="L1376" s="198"/>
      <c r="M1376" s="198"/>
      <c r="N1376" s="198"/>
      <c r="O1376" s="198"/>
      <c r="P1376" s="198"/>
      <c r="Q1376" s="198"/>
      <c r="R1376" s="198"/>
      <c r="S1376" s="198"/>
      <c r="T1376" s="198"/>
      <c r="U1376" s="198"/>
      <c r="V1376" s="198"/>
      <c r="W1376" s="198"/>
      <c r="X1376" s="198"/>
      <c r="Y1376" s="198"/>
      <c r="Z1376" s="198"/>
    </row>
    <row r="1377" spans="1:26" ht="15.75" hidden="1" customHeight="1" x14ac:dyDescent="0.25">
      <c r="A1377" s="213">
        <v>2438</v>
      </c>
      <c r="B1377" s="214" t="s">
        <v>9869</v>
      </c>
      <c r="C1377" s="215" t="s">
        <v>2193</v>
      </c>
      <c r="D1377" s="216">
        <v>34.03</v>
      </c>
      <c r="E1377" s="198"/>
      <c r="F1377" s="198"/>
      <c r="G1377" s="198"/>
      <c r="H1377" s="198"/>
      <c r="I1377" s="198"/>
      <c r="J1377" s="198"/>
      <c r="K1377" s="198"/>
      <c r="L1377" s="198"/>
      <c r="M1377" s="198"/>
      <c r="N1377" s="198"/>
      <c r="O1377" s="198"/>
      <c r="P1377" s="198"/>
      <c r="Q1377" s="198"/>
      <c r="R1377" s="198"/>
      <c r="S1377" s="198"/>
      <c r="T1377" s="198"/>
      <c r="U1377" s="198"/>
      <c r="V1377" s="198"/>
      <c r="W1377" s="198"/>
      <c r="X1377" s="198"/>
      <c r="Y1377" s="198"/>
      <c r="Z1377" s="198"/>
    </row>
    <row r="1378" spans="1:26" ht="15.75" hidden="1" customHeight="1" x14ac:dyDescent="0.25">
      <c r="A1378" s="213">
        <v>40922</v>
      </c>
      <c r="B1378" s="214" t="s">
        <v>9870</v>
      </c>
      <c r="C1378" s="215" t="s">
        <v>6214</v>
      </c>
      <c r="D1378" s="216">
        <v>5973.26</v>
      </c>
      <c r="E1378" s="198"/>
      <c r="F1378" s="198"/>
      <c r="G1378" s="198"/>
      <c r="H1378" s="198"/>
      <c r="I1378" s="198"/>
      <c r="J1378" s="198"/>
      <c r="K1378" s="198"/>
      <c r="L1378" s="198"/>
      <c r="M1378" s="198"/>
      <c r="N1378" s="198"/>
      <c r="O1378" s="198"/>
      <c r="P1378" s="198"/>
      <c r="Q1378" s="198"/>
      <c r="R1378" s="198"/>
      <c r="S1378" s="198"/>
      <c r="T1378" s="198"/>
      <c r="U1378" s="198"/>
      <c r="V1378" s="198"/>
      <c r="W1378" s="198"/>
      <c r="X1378" s="198"/>
      <c r="Y1378" s="198"/>
      <c r="Z1378" s="198"/>
    </row>
    <row r="1379" spans="1:26" ht="15.75" hidden="1" customHeight="1" x14ac:dyDescent="0.25">
      <c r="A1379" s="213">
        <v>12624</v>
      </c>
      <c r="B1379" s="214" t="s">
        <v>9871</v>
      </c>
      <c r="C1379" s="215" t="s">
        <v>580</v>
      </c>
      <c r="D1379" s="216">
        <v>30.91</v>
      </c>
      <c r="E1379" s="198"/>
      <c r="F1379" s="198"/>
      <c r="G1379" s="198"/>
      <c r="H1379" s="198"/>
      <c r="I1379" s="198"/>
      <c r="J1379" s="198"/>
      <c r="K1379" s="198"/>
      <c r="L1379" s="198"/>
      <c r="M1379" s="198"/>
      <c r="N1379" s="198"/>
      <c r="O1379" s="198"/>
      <c r="P1379" s="198"/>
      <c r="Q1379" s="198"/>
      <c r="R1379" s="198"/>
      <c r="S1379" s="198"/>
      <c r="T1379" s="198"/>
      <c r="U1379" s="198"/>
      <c r="V1379" s="198"/>
      <c r="W1379" s="198"/>
      <c r="X1379" s="198"/>
      <c r="Y1379" s="198"/>
      <c r="Z1379" s="198"/>
    </row>
    <row r="1380" spans="1:26" ht="15.75" hidden="1" customHeight="1" x14ac:dyDescent="0.25">
      <c r="A1380" s="213">
        <v>517</v>
      </c>
      <c r="B1380" s="214" t="s">
        <v>9872</v>
      </c>
      <c r="C1380" s="215" t="s">
        <v>517</v>
      </c>
      <c r="D1380" s="216">
        <v>9.19</v>
      </c>
      <c r="E1380" s="198"/>
      <c r="F1380" s="198"/>
      <c r="G1380" s="198"/>
      <c r="H1380" s="198"/>
      <c r="I1380" s="198"/>
      <c r="J1380" s="198"/>
      <c r="K1380" s="198"/>
      <c r="L1380" s="198"/>
      <c r="M1380" s="198"/>
      <c r="N1380" s="198"/>
      <c r="O1380" s="198"/>
      <c r="P1380" s="198"/>
      <c r="Q1380" s="198"/>
      <c r="R1380" s="198"/>
      <c r="S1380" s="198"/>
      <c r="T1380" s="198"/>
      <c r="U1380" s="198"/>
      <c r="V1380" s="198"/>
      <c r="W1380" s="198"/>
      <c r="X1380" s="198"/>
      <c r="Y1380" s="198"/>
      <c r="Z1380" s="198"/>
    </row>
    <row r="1381" spans="1:26" ht="15.75" hidden="1" customHeight="1" x14ac:dyDescent="0.25">
      <c r="A1381" s="213">
        <v>2696</v>
      </c>
      <c r="B1381" s="214" t="s">
        <v>9873</v>
      </c>
      <c r="C1381" s="215" t="s">
        <v>2193</v>
      </c>
      <c r="D1381" s="216">
        <v>27.06</v>
      </c>
      <c r="E1381" s="198"/>
      <c r="F1381" s="198"/>
      <c r="G1381" s="198"/>
      <c r="H1381" s="198"/>
      <c r="I1381" s="198"/>
      <c r="J1381" s="198"/>
      <c r="K1381" s="198"/>
      <c r="L1381" s="198"/>
      <c r="M1381" s="198"/>
      <c r="N1381" s="198"/>
      <c r="O1381" s="198"/>
      <c r="P1381" s="198"/>
      <c r="Q1381" s="198"/>
      <c r="R1381" s="198"/>
      <c r="S1381" s="198"/>
      <c r="T1381" s="198"/>
      <c r="U1381" s="198"/>
      <c r="V1381" s="198"/>
      <c r="W1381" s="198"/>
      <c r="X1381" s="198"/>
      <c r="Y1381" s="198"/>
      <c r="Z1381" s="198"/>
    </row>
    <row r="1382" spans="1:26" ht="15.75" hidden="1" customHeight="1" x14ac:dyDescent="0.25">
      <c r="A1382" s="213">
        <v>40928</v>
      </c>
      <c r="B1382" s="214" t="s">
        <v>9874</v>
      </c>
      <c r="C1382" s="215" t="s">
        <v>6214</v>
      </c>
      <c r="D1382" s="216">
        <v>4747.54</v>
      </c>
      <c r="E1382" s="198"/>
      <c r="F1382" s="198"/>
      <c r="G1382" s="198"/>
      <c r="H1382" s="198"/>
      <c r="I1382" s="198"/>
      <c r="J1382" s="198"/>
      <c r="K1382" s="198"/>
      <c r="L1382" s="198"/>
      <c r="M1382" s="198"/>
      <c r="N1382" s="198"/>
      <c r="O1382" s="198"/>
      <c r="P1382" s="198"/>
      <c r="Q1382" s="198"/>
      <c r="R1382" s="198"/>
      <c r="S1382" s="198"/>
      <c r="T1382" s="198"/>
      <c r="U1382" s="198"/>
      <c r="V1382" s="198"/>
      <c r="W1382" s="198"/>
      <c r="X1382" s="198"/>
      <c r="Y1382" s="198"/>
      <c r="Z1382" s="198"/>
    </row>
    <row r="1383" spans="1:26" ht="15.75" hidden="1" customHeight="1" x14ac:dyDescent="0.25">
      <c r="A1383" s="213">
        <v>4083</v>
      </c>
      <c r="B1383" s="214" t="s">
        <v>9875</v>
      </c>
      <c r="C1383" s="215" t="s">
        <v>2193</v>
      </c>
      <c r="D1383" s="216">
        <v>38.229999999999997</v>
      </c>
      <c r="E1383" s="198"/>
      <c r="F1383" s="198"/>
      <c r="G1383" s="198"/>
      <c r="H1383" s="198"/>
      <c r="I1383" s="198"/>
      <c r="J1383" s="198"/>
      <c r="K1383" s="198"/>
      <c r="L1383" s="198"/>
      <c r="M1383" s="198"/>
      <c r="N1383" s="198"/>
      <c r="O1383" s="198"/>
      <c r="P1383" s="198"/>
      <c r="Q1383" s="198"/>
      <c r="R1383" s="198"/>
      <c r="S1383" s="198"/>
      <c r="T1383" s="198"/>
      <c r="U1383" s="198"/>
      <c r="V1383" s="198"/>
      <c r="W1383" s="198"/>
      <c r="X1383" s="198"/>
      <c r="Y1383" s="198"/>
      <c r="Z1383" s="198"/>
    </row>
    <row r="1384" spans="1:26" ht="15.75" hidden="1" customHeight="1" x14ac:dyDescent="0.25">
      <c r="A1384" s="213">
        <v>40818</v>
      </c>
      <c r="B1384" s="214" t="s">
        <v>9876</v>
      </c>
      <c r="C1384" s="215" t="s">
        <v>6214</v>
      </c>
      <c r="D1384" s="216">
        <v>6705.76</v>
      </c>
      <c r="E1384" s="198"/>
      <c r="F1384" s="198"/>
      <c r="G1384" s="198"/>
      <c r="H1384" s="198"/>
      <c r="I1384" s="198"/>
      <c r="J1384" s="198"/>
      <c r="K1384" s="198"/>
      <c r="L1384" s="198"/>
      <c r="M1384" s="198"/>
      <c r="N1384" s="198"/>
      <c r="O1384" s="198"/>
      <c r="P1384" s="198"/>
      <c r="Q1384" s="198"/>
      <c r="R1384" s="198"/>
      <c r="S1384" s="198"/>
      <c r="T1384" s="198"/>
      <c r="U1384" s="198"/>
      <c r="V1384" s="198"/>
      <c r="W1384" s="198"/>
      <c r="X1384" s="198"/>
      <c r="Y1384" s="198"/>
      <c r="Z1384" s="198"/>
    </row>
    <row r="1385" spans="1:26" ht="15.75" hidden="1" customHeight="1" x14ac:dyDescent="0.25">
      <c r="A1385" s="213">
        <v>43146</v>
      </c>
      <c r="B1385" s="214" t="s">
        <v>9877</v>
      </c>
      <c r="C1385" s="215" t="s">
        <v>823</v>
      </c>
      <c r="D1385" s="216">
        <v>8.64</v>
      </c>
      <c r="E1385" s="198"/>
      <c r="F1385" s="198"/>
      <c r="G1385" s="198"/>
      <c r="H1385" s="198"/>
      <c r="I1385" s="198"/>
      <c r="J1385" s="198"/>
      <c r="K1385" s="198"/>
      <c r="L1385" s="198"/>
      <c r="M1385" s="198"/>
      <c r="N1385" s="198"/>
      <c r="O1385" s="198"/>
      <c r="P1385" s="198"/>
      <c r="Q1385" s="198"/>
      <c r="R1385" s="198"/>
      <c r="S1385" s="198"/>
      <c r="T1385" s="198"/>
      <c r="U1385" s="198"/>
      <c r="V1385" s="198"/>
      <c r="W1385" s="198"/>
      <c r="X1385" s="198"/>
      <c r="Y1385" s="198"/>
      <c r="Z1385" s="198"/>
    </row>
    <row r="1386" spans="1:26" ht="15.75" hidden="1" customHeight="1" x14ac:dyDescent="0.25">
      <c r="A1386" s="213">
        <v>2705</v>
      </c>
      <c r="B1386" s="214" t="s">
        <v>9878</v>
      </c>
      <c r="C1386" s="215" t="s">
        <v>9879</v>
      </c>
      <c r="D1386" s="216">
        <v>0.71</v>
      </c>
      <c r="E1386" s="198"/>
      <c r="F1386" s="198"/>
      <c r="G1386" s="198"/>
      <c r="H1386" s="198"/>
      <c r="I1386" s="198"/>
      <c r="J1386" s="198"/>
      <c r="K1386" s="198"/>
      <c r="L1386" s="198"/>
      <c r="M1386" s="198"/>
      <c r="N1386" s="198"/>
      <c r="O1386" s="198"/>
      <c r="P1386" s="198"/>
      <c r="Q1386" s="198"/>
      <c r="R1386" s="198"/>
      <c r="S1386" s="198"/>
      <c r="T1386" s="198"/>
      <c r="U1386" s="198"/>
      <c r="V1386" s="198"/>
      <c r="W1386" s="198"/>
      <c r="X1386" s="198"/>
      <c r="Y1386" s="198"/>
      <c r="Z1386" s="198"/>
    </row>
    <row r="1387" spans="1:26" ht="15.75" hidden="1" customHeight="1" x14ac:dyDescent="0.25">
      <c r="A1387" s="213">
        <v>14250</v>
      </c>
      <c r="B1387" s="214" t="s">
        <v>9880</v>
      </c>
      <c r="C1387" s="215" t="s">
        <v>9879</v>
      </c>
      <c r="D1387" s="216">
        <v>0.73</v>
      </c>
      <c r="E1387" s="198"/>
      <c r="F1387" s="198"/>
      <c r="G1387" s="198"/>
      <c r="H1387" s="198"/>
      <c r="I1387" s="198"/>
      <c r="J1387" s="198"/>
      <c r="K1387" s="198"/>
      <c r="L1387" s="198"/>
      <c r="M1387" s="198"/>
      <c r="N1387" s="198"/>
      <c r="O1387" s="198"/>
      <c r="P1387" s="198"/>
      <c r="Q1387" s="198"/>
      <c r="R1387" s="198"/>
      <c r="S1387" s="198"/>
      <c r="T1387" s="198"/>
      <c r="U1387" s="198"/>
      <c r="V1387" s="198"/>
      <c r="W1387" s="198"/>
      <c r="X1387" s="198"/>
      <c r="Y1387" s="198"/>
      <c r="Z1387" s="198"/>
    </row>
    <row r="1388" spans="1:26" ht="15.75" hidden="1" customHeight="1" x14ac:dyDescent="0.25">
      <c r="A1388" s="213">
        <v>11683</v>
      </c>
      <c r="B1388" s="214" t="s">
        <v>9881</v>
      </c>
      <c r="C1388" s="215" t="s">
        <v>580</v>
      </c>
      <c r="D1388" s="216">
        <v>67.510000000000005</v>
      </c>
      <c r="E1388" s="198"/>
      <c r="F1388" s="198"/>
      <c r="G1388" s="198"/>
      <c r="H1388" s="198"/>
      <c r="I1388" s="198"/>
      <c r="J1388" s="198"/>
      <c r="K1388" s="198"/>
      <c r="L1388" s="198"/>
      <c r="M1388" s="198"/>
      <c r="N1388" s="198"/>
      <c r="O1388" s="198"/>
      <c r="P1388" s="198"/>
      <c r="Q1388" s="198"/>
      <c r="R1388" s="198"/>
      <c r="S1388" s="198"/>
      <c r="T1388" s="198"/>
      <c r="U1388" s="198"/>
      <c r="V1388" s="198"/>
      <c r="W1388" s="198"/>
      <c r="X1388" s="198"/>
      <c r="Y1388" s="198"/>
      <c r="Z1388" s="198"/>
    </row>
    <row r="1389" spans="1:26" ht="15.75" hidden="1" customHeight="1" x14ac:dyDescent="0.25">
      <c r="A1389" s="213">
        <v>11684</v>
      </c>
      <c r="B1389" s="214" t="s">
        <v>9882</v>
      </c>
      <c r="C1389" s="215" t="s">
        <v>580</v>
      </c>
      <c r="D1389" s="216">
        <v>73.900000000000006</v>
      </c>
      <c r="E1389" s="198"/>
      <c r="F1389" s="198"/>
      <c r="G1389" s="198"/>
      <c r="H1389" s="198"/>
      <c r="I1389" s="198"/>
      <c r="J1389" s="198"/>
      <c r="K1389" s="198"/>
      <c r="L1389" s="198"/>
      <c r="M1389" s="198"/>
      <c r="N1389" s="198"/>
      <c r="O1389" s="198"/>
      <c r="P1389" s="198"/>
      <c r="Q1389" s="198"/>
      <c r="R1389" s="198"/>
      <c r="S1389" s="198"/>
      <c r="T1389" s="198"/>
      <c r="U1389" s="198"/>
      <c r="V1389" s="198"/>
      <c r="W1389" s="198"/>
      <c r="X1389" s="198"/>
      <c r="Y1389" s="198"/>
      <c r="Z1389" s="198"/>
    </row>
    <row r="1390" spans="1:26" ht="15.75" hidden="1" customHeight="1" x14ac:dyDescent="0.25">
      <c r="A1390" s="213">
        <v>6141</v>
      </c>
      <c r="B1390" s="214" t="s">
        <v>9883</v>
      </c>
      <c r="C1390" s="215" t="s">
        <v>580</v>
      </c>
      <c r="D1390" s="216">
        <v>4.78</v>
      </c>
      <c r="E1390" s="198"/>
      <c r="F1390" s="198"/>
      <c r="G1390" s="198"/>
      <c r="H1390" s="198"/>
      <c r="I1390" s="198"/>
      <c r="J1390" s="198"/>
      <c r="K1390" s="198"/>
      <c r="L1390" s="198"/>
      <c r="M1390" s="198"/>
      <c r="N1390" s="198"/>
      <c r="O1390" s="198"/>
      <c r="P1390" s="198"/>
      <c r="Q1390" s="198"/>
      <c r="R1390" s="198"/>
      <c r="S1390" s="198"/>
      <c r="T1390" s="198"/>
      <c r="U1390" s="198"/>
      <c r="V1390" s="198"/>
      <c r="W1390" s="198"/>
      <c r="X1390" s="198"/>
      <c r="Y1390" s="198"/>
      <c r="Z1390" s="198"/>
    </row>
    <row r="1391" spans="1:26" ht="15.75" hidden="1" customHeight="1" x14ac:dyDescent="0.25">
      <c r="A1391" s="213">
        <v>11681</v>
      </c>
      <c r="B1391" s="214" t="s">
        <v>9884</v>
      </c>
      <c r="C1391" s="215" t="s">
        <v>580</v>
      </c>
      <c r="D1391" s="216">
        <v>6.02</v>
      </c>
      <c r="E1391" s="198"/>
      <c r="F1391" s="198"/>
      <c r="G1391" s="198"/>
      <c r="H1391" s="198"/>
      <c r="I1391" s="198"/>
      <c r="J1391" s="198"/>
      <c r="K1391" s="198"/>
      <c r="L1391" s="198"/>
      <c r="M1391" s="198"/>
      <c r="N1391" s="198"/>
      <c r="O1391" s="198"/>
      <c r="P1391" s="198"/>
      <c r="Q1391" s="198"/>
      <c r="R1391" s="198"/>
      <c r="S1391" s="198"/>
      <c r="T1391" s="198"/>
      <c r="U1391" s="198"/>
      <c r="V1391" s="198"/>
      <c r="W1391" s="198"/>
      <c r="X1391" s="198"/>
      <c r="Y1391" s="198"/>
      <c r="Z1391" s="198"/>
    </row>
    <row r="1392" spans="1:26" ht="15.75" hidden="1" customHeight="1" x14ac:dyDescent="0.25">
      <c r="A1392" s="213">
        <v>2706</v>
      </c>
      <c r="B1392" s="214" t="s">
        <v>9885</v>
      </c>
      <c r="C1392" s="215" t="s">
        <v>2193</v>
      </c>
      <c r="D1392" s="216">
        <v>126.9</v>
      </c>
      <c r="E1392" s="198"/>
      <c r="F1392" s="198"/>
      <c r="G1392" s="198"/>
      <c r="H1392" s="198"/>
      <c r="I1392" s="198"/>
      <c r="J1392" s="198"/>
      <c r="K1392" s="198"/>
      <c r="L1392" s="198"/>
      <c r="M1392" s="198"/>
      <c r="N1392" s="198"/>
      <c r="O1392" s="198"/>
      <c r="P1392" s="198"/>
      <c r="Q1392" s="198"/>
      <c r="R1392" s="198"/>
      <c r="S1392" s="198"/>
      <c r="T1392" s="198"/>
      <c r="U1392" s="198"/>
      <c r="V1392" s="198"/>
      <c r="W1392" s="198"/>
      <c r="X1392" s="198"/>
      <c r="Y1392" s="198"/>
      <c r="Z1392" s="198"/>
    </row>
    <row r="1393" spans="1:26" ht="15.75" hidden="1" customHeight="1" x14ac:dyDescent="0.25">
      <c r="A1393" s="213">
        <v>40811</v>
      </c>
      <c r="B1393" s="214" t="s">
        <v>9886</v>
      </c>
      <c r="C1393" s="215" t="s">
        <v>6214</v>
      </c>
      <c r="D1393" s="216">
        <v>22257.67</v>
      </c>
      <c r="E1393" s="198"/>
      <c r="F1393" s="198"/>
      <c r="G1393" s="198"/>
      <c r="H1393" s="198"/>
      <c r="I1393" s="198"/>
      <c r="J1393" s="198"/>
      <c r="K1393" s="198"/>
      <c r="L1393" s="198"/>
      <c r="M1393" s="198"/>
      <c r="N1393" s="198"/>
      <c r="O1393" s="198"/>
      <c r="P1393" s="198"/>
      <c r="Q1393" s="198"/>
      <c r="R1393" s="198"/>
      <c r="S1393" s="198"/>
      <c r="T1393" s="198"/>
      <c r="U1393" s="198"/>
      <c r="V1393" s="198"/>
      <c r="W1393" s="198"/>
      <c r="X1393" s="198"/>
      <c r="Y1393" s="198"/>
      <c r="Z1393" s="198"/>
    </row>
    <row r="1394" spans="1:26" ht="15.75" hidden="1" customHeight="1" x14ac:dyDescent="0.25">
      <c r="A1394" s="213">
        <v>2707</v>
      </c>
      <c r="B1394" s="214" t="s">
        <v>9887</v>
      </c>
      <c r="C1394" s="215" t="s">
        <v>2193</v>
      </c>
      <c r="D1394" s="216">
        <v>141.57</v>
      </c>
      <c r="E1394" s="198"/>
      <c r="F1394" s="198"/>
      <c r="G1394" s="198"/>
      <c r="H1394" s="198"/>
      <c r="I1394" s="198"/>
      <c r="J1394" s="198"/>
      <c r="K1394" s="198"/>
      <c r="L1394" s="198"/>
      <c r="M1394" s="198"/>
      <c r="N1394" s="198"/>
      <c r="O1394" s="198"/>
      <c r="P1394" s="198"/>
      <c r="Q1394" s="198"/>
      <c r="R1394" s="198"/>
      <c r="S1394" s="198"/>
      <c r="T1394" s="198"/>
      <c r="U1394" s="198"/>
      <c r="V1394" s="198"/>
      <c r="W1394" s="198"/>
      <c r="X1394" s="198"/>
      <c r="Y1394" s="198"/>
      <c r="Z1394" s="198"/>
    </row>
    <row r="1395" spans="1:26" ht="15.75" hidden="1" customHeight="1" x14ac:dyDescent="0.25">
      <c r="A1395" s="213">
        <v>40813</v>
      </c>
      <c r="B1395" s="214" t="s">
        <v>9888</v>
      </c>
      <c r="C1395" s="215" t="s">
        <v>6214</v>
      </c>
      <c r="D1395" s="216">
        <v>24831.32</v>
      </c>
      <c r="E1395" s="198"/>
      <c r="F1395" s="198"/>
      <c r="G1395" s="198"/>
      <c r="H1395" s="198"/>
      <c r="I1395" s="198"/>
      <c r="J1395" s="198"/>
      <c r="K1395" s="198"/>
      <c r="L1395" s="198"/>
      <c r="M1395" s="198"/>
      <c r="N1395" s="198"/>
      <c r="O1395" s="198"/>
      <c r="P1395" s="198"/>
      <c r="Q1395" s="198"/>
      <c r="R1395" s="198"/>
      <c r="S1395" s="198"/>
      <c r="T1395" s="198"/>
      <c r="U1395" s="198"/>
      <c r="V1395" s="198"/>
      <c r="W1395" s="198"/>
      <c r="X1395" s="198"/>
      <c r="Y1395" s="198"/>
      <c r="Z1395" s="198"/>
    </row>
    <row r="1396" spans="1:26" ht="15.75" hidden="1" customHeight="1" x14ac:dyDescent="0.25">
      <c r="A1396" s="213">
        <v>2708</v>
      </c>
      <c r="B1396" s="214" t="s">
        <v>9889</v>
      </c>
      <c r="C1396" s="215" t="s">
        <v>2193</v>
      </c>
      <c r="D1396" s="216">
        <v>156.37</v>
      </c>
      <c r="E1396" s="198"/>
      <c r="F1396" s="198"/>
      <c r="G1396" s="198"/>
      <c r="H1396" s="198"/>
      <c r="I1396" s="198"/>
      <c r="J1396" s="198"/>
      <c r="K1396" s="198"/>
      <c r="L1396" s="198"/>
      <c r="M1396" s="198"/>
      <c r="N1396" s="198"/>
      <c r="O1396" s="198"/>
      <c r="P1396" s="198"/>
      <c r="Q1396" s="198"/>
      <c r="R1396" s="198"/>
      <c r="S1396" s="198"/>
      <c r="T1396" s="198"/>
      <c r="U1396" s="198"/>
      <c r="V1396" s="198"/>
      <c r="W1396" s="198"/>
      <c r="X1396" s="198"/>
      <c r="Y1396" s="198"/>
      <c r="Z1396" s="198"/>
    </row>
    <row r="1397" spans="1:26" ht="15.75" hidden="1" customHeight="1" x14ac:dyDescent="0.25">
      <c r="A1397" s="213">
        <v>40814</v>
      </c>
      <c r="B1397" s="214" t="s">
        <v>9890</v>
      </c>
      <c r="C1397" s="215" t="s">
        <v>6214</v>
      </c>
      <c r="D1397" s="216">
        <v>27428.69</v>
      </c>
      <c r="E1397" s="198"/>
      <c r="F1397" s="198"/>
      <c r="G1397" s="198"/>
      <c r="H1397" s="198"/>
      <c r="I1397" s="198"/>
      <c r="J1397" s="198"/>
      <c r="K1397" s="198"/>
      <c r="L1397" s="198"/>
      <c r="M1397" s="198"/>
      <c r="N1397" s="198"/>
      <c r="O1397" s="198"/>
      <c r="P1397" s="198"/>
      <c r="Q1397" s="198"/>
      <c r="R1397" s="198"/>
      <c r="S1397" s="198"/>
      <c r="T1397" s="198"/>
      <c r="U1397" s="198"/>
      <c r="V1397" s="198"/>
      <c r="W1397" s="198"/>
      <c r="X1397" s="198"/>
      <c r="Y1397" s="198"/>
      <c r="Z1397" s="198"/>
    </row>
    <row r="1398" spans="1:26" ht="15.75" hidden="1" customHeight="1" x14ac:dyDescent="0.25">
      <c r="A1398" s="213">
        <v>38403</v>
      </c>
      <c r="B1398" s="214" t="s">
        <v>9891</v>
      </c>
      <c r="C1398" s="215" t="s">
        <v>580</v>
      </c>
      <c r="D1398" s="216">
        <v>37.130000000000003</v>
      </c>
      <c r="E1398" s="198"/>
      <c r="F1398" s="198"/>
      <c r="G1398" s="198"/>
      <c r="H1398" s="198"/>
      <c r="I1398" s="198"/>
      <c r="J1398" s="198"/>
      <c r="K1398" s="198"/>
      <c r="L1398" s="198"/>
      <c r="M1398" s="198"/>
      <c r="N1398" s="198"/>
      <c r="O1398" s="198"/>
      <c r="P1398" s="198"/>
      <c r="Q1398" s="198"/>
      <c r="R1398" s="198"/>
      <c r="S1398" s="198"/>
      <c r="T1398" s="198"/>
      <c r="U1398" s="198"/>
      <c r="V1398" s="198"/>
      <c r="W1398" s="198"/>
      <c r="X1398" s="198"/>
      <c r="Y1398" s="198"/>
      <c r="Z1398" s="198"/>
    </row>
    <row r="1399" spans="1:26" ht="15.75" hidden="1" customHeight="1" x14ac:dyDescent="0.25">
      <c r="A1399" s="213">
        <v>43482</v>
      </c>
      <c r="B1399" s="214" t="s">
        <v>9892</v>
      </c>
      <c r="C1399" s="215" t="s">
        <v>2193</v>
      </c>
      <c r="D1399" s="216">
        <v>0.81</v>
      </c>
      <c r="E1399" s="198"/>
      <c r="F1399" s="198"/>
      <c r="G1399" s="198"/>
      <c r="H1399" s="198"/>
      <c r="I1399" s="198"/>
      <c r="J1399" s="198"/>
      <c r="K1399" s="198"/>
      <c r="L1399" s="198"/>
      <c r="M1399" s="198"/>
      <c r="N1399" s="198"/>
      <c r="O1399" s="198"/>
      <c r="P1399" s="198"/>
      <c r="Q1399" s="198"/>
      <c r="R1399" s="198"/>
      <c r="S1399" s="198"/>
      <c r="T1399" s="198"/>
      <c r="U1399" s="198"/>
      <c r="V1399" s="198"/>
      <c r="W1399" s="198"/>
      <c r="X1399" s="198"/>
      <c r="Y1399" s="198"/>
      <c r="Z1399" s="198"/>
    </row>
    <row r="1400" spans="1:26" ht="15.75" hidden="1" customHeight="1" x14ac:dyDescent="0.25">
      <c r="A1400" s="213">
        <v>43494</v>
      </c>
      <c r="B1400" s="214" t="s">
        <v>9893</v>
      </c>
      <c r="C1400" s="215" t="s">
        <v>6214</v>
      </c>
      <c r="D1400" s="216">
        <v>153.54</v>
      </c>
      <c r="E1400" s="198"/>
      <c r="F1400" s="198"/>
      <c r="G1400" s="198"/>
      <c r="H1400" s="198"/>
      <c r="I1400" s="198"/>
      <c r="J1400" s="198"/>
      <c r="K1400" s="198"/>
      <c r="L1400" s="198"/>
      <c r="M1400" s="198"/>
      <c r="N1400" s="198"/>
      <c r="O1400" s="198"/>
      <c r="P1400" s="198"/>
      <c r="Q1400" s="198"/>
      <c r="R1400" s="198"/>
      <c r="S1400" s="198"/>
      <c r="T1400" s="198"/>
      <c r="U1400" s="198"/>
      <c r="V1400" s="198"/>
      <c r="W1400" s="198"/>
      <c r="X1400" s="198"/>
      <c r="Y1400" s="198"/>
      <c r="Z1400" s="198"/>
    </row>
    <row r="1401" spans="1:26" ht="15.75" hidden="1" customHeight="1" x14ac:dyDescent="0.25">
      <c r="A1401" s="213">
        <v>43483</v>
      </c>
      <c r="B1401" s="214" t="s">
        <v>9894</v>
      </c>
      <c r="C1401" s="215" t="s">
        <v>2193</v>
      </c>
      <c r="D1401" s="216">
        <v>1.43</v>
      </c>
      <c r="E1401" s="198"/>
      <c r="F1401" s="198"/>
      <c r="G1401" s="198"/>
      <c r="H1401" s="198"/>
      <c r="I1401" s="198"/>
      <c r="J1401" s="198"/>
      <c r="K1401" s="198"/>
      <c r="L1401" s="198"/>
      <c r="M1401" s="198"/>
      <c r="N1401" s="198"/>
      <c r="O1401" s="198"/>
      <c r="P1401" s="198"/>
      <c r="Q1401" s="198"/>
      <c r="R1401" s="198"/>
      <c r="S1401" s="198"/>
      <c r="T1401" s="198"/>
      <c r="U1401" s="198"/>
      <c r="V1401" s="198"/>
      <c r="W1401" s="198"/>
      <c r="X1401" s="198"/>
      <c r="Y1401" s="198"/>
      <c r="Z1401" s="198"/>
    </row>
    <row r="1402" spans="1:26" ht="15.75" hidden="1" customHeight="1" x14ac:dyDescent="0.25">
      <c r="A1402" s="213">
        <v>43495</v>
      </c>
      <c r="B1402" s="214" t="s">
        <v>9895</v>
      </c>
      <c r="C1402" s="215" t="s">
        <v>6214</v>
      </c>
      <c r="D1402" s="216">
        <v>270.51</v>
      </c>
      <c r="E1402" s="198"/>
      <c r="F1402" s="198"/>
      <c r="G1402" s="198"/>
      <c r="H1402" s="198"/>
      <c r="I1402" s="198"/>
      <c r="J1402" s="198"/>
      <c r="K1402" s="198"/>
      <c r="L1402" s="198"/>
      <c r="M1402" s="198"/>
      <c r="N1402" s="198"/>
      <c r="O1402" s="198"/>
      <c r="P1402" s="198"/>
      <c r="Q1402" s="198"/>
      <c r="R1402" s="198"/>
      <c r="S1402" s="198"/>
      <c r="T1402" s="198"/>
      <c r="U1402" s="198"/>
      <c r="V1402" s="198"/>
      <c r="W1402" s="198"/>
      <c r="X1402" s="198"/>
      <c r="Y1402" s="198"/>
      <c r="Z1402" s="198"/>
    </row>
    <row r="1403" spans="1:26" ht="15.75" hidden="1" customHeight="1" x14ac:dyDescent="0.25">
      <c r="A1403" s="213">
        <v>43484</v>
      </c>
      <c r="B1403" s="214" t="s">
        <v>9896</v>
      </c>
      <c r="C1403" s="215" t="s">
        <v>2193</v>
      </c>
      <c r="D1403" s="216">
        <v>1.26</v>
      </c>
      <c r="E1403" s="198"/>
      <c r="F1403" s="198"/>
      <c r="G1403" s="198"/>
      <c r="H1403" s="198"/>
      <c r="I1403" s="198"/>
      <c r="J1403" s="198"/>
      <c r="K1403" s="198"/>
      <c r="L1403" s="198"/>
      <c r="M1403" s="198"/>
      <c r="N1403" s="198"/>
      <c r="O1403" s="198"/>
      <c r="P1403" s="198"/>
      <c r="Q1403" s="198"/>
      <c r="R1403" s="198"/>
      <c r="S1403" s="198"/>
      <c r="T1403" s="198"/>
      <c r="U1403" s="198"/>
      <c r="V1403" s="198"/>
      <c r="W1403" s="198"/>
      <c r="X1403" s="198"/>
      <c r="Y1403" s="198"/>
      <c r="Z1403" s="198"/>
    </row>
    <row r="1404" spans="1:26" ht="15.75" hidden="1" customHeight="1" x14ac:dyDescent="0.25">
      <c r="A1404" s="213">
        <v>43496</v>
      </c>
      <c r="B1404" s="214" t="s">
        <v>9897</v>
      </c>
      <c r="C1404" s="215" t="s">
        <v>6214</v>
      </c>
      <c r="D1404" s="216">
        <v>238.02</v>
      </c>
      <c r="E1404" s="198"/>
      <c r="F1404" s="198"/>
      <c r="G1404" s="198"/>
      <c r="H1404" s="198"/>
      <c r="I1404" s="198"/>
      <c r="J1404" s="198"/>
      <c r="K1404" s="198"/>
      <c r="L1404" s="198"/>
      <c r="M1404" s="198"/>
      <c r="N1404" s="198"/>
      <c r="O1404" s="198"/>
      <c r="P1404" s="198"/>
      <c r="Q1404" s="198"/>
      <c r="R1404" s="198"/>
      <c r="S1404" s="198"/>
      <c r="T1404" s="198"/>
      <c r="U1404" s="198"/>
      <c r="V1404" s="198"/>
      <c r="W1404" s="198"/>
      <c r="X1404" s="198"/>
      <c r="Y1404" s="198"/>
      <c r="Z1404" s="198"/>
    </row>
    <row r="1405" spans="1:26" ht="15.75" hidden="1" customHeight="1" x14ac:dyDescent="0.25">
      <c r="A1405" s="213">
        <v>43485</v>
      </c>
      <c r="B1405" s="214" t="s">
        <v>9898</v>
      </c>
      <c r="C1405" s="215" t="s">
        <v>2193</v>
      </c>
      <c r="D1405" s="216">
        <v>1.1299999999999999</v>
      </c>
      <c r="E1405" s="198"/>
      <c r="F1405" s="198"/>
      <c r="G1405" s="198"/>
      <c r="H1405" s="198"/>
      <c r="I1405" s="198"/>
      <c r="J1405" s="198"/>
      <c r="K1405" s="198"/>
      <c r="L1405" s="198"/>
      <c r="M1405" s="198"/>
      <c r="N1405" s="198"/>
      <c r="O1405" s="198"/>
      <c r="P1405" s="198"/>
      <c r="Q1405" s="198"/>
      <c r="R1405" s="198"/>
      <c r="S1405" s="198"/>
      <c r="T1405" s="198"/>
      <c r="U1405" s="198"/>
      <c r="V1405" s="198"/>
      <c r="W1405" s="198"/>
      <c r="X1405" s="198"/>
      <c r="Y1405" s="198"/>
      <c r="Z1405" s="198"/>
    </row>
    <row r="1406" spans="1:26" ht="15.75" hidden="1" customHeight="1" x14ac:dyDescent="0.25">
      <c r="A1406" s="213">
        <v>43497</v>
      </c>
      <c r="B1406" s="214" t="s">
        <v>9899</v>
      </c>
      <c r="C1406" s="215" t="s">
        <v>6214</v>
      </c>
      <c r="D1406" s="216">
        <v>212.45</v>
      </c>
      <c r="E1406" s="198"/>
      <c r="F1406" s="198"/>
      <c r="G1406" s="198"/>
      <c r="H1406" s="198"/>
      <c r="I1406" s="198"/>
      <c r="J1406" s="198"/>
      <c r="K1406" s="198"/>
      <c r="L1406" s="198"/>
      <c r="M1406" s="198"/>
      <c r="N1406" s="198"/>
      <c r="O1406" s="198"/>
      <c r="P1406" s="198"/>
      <c r="Q1406" s="198"/>
      <c r="R1406" s="198"/>
      <c r="S1406" s="198"/>
      <c r="T1406" s="198"/>
      <c r="U1406" s="198"/>
      <c r="V1406" s="198"/>
      <c r="W1406" s="198"/>
      <c r="X1406" s="198"/>
      <c r="Y1406" s="198"/>
      <c r="Z1406" s="198"/>
    </row>
    <row r="1407" spans="1:26" ht="15.75" hidden="1" customHeight="1" x14ac:dyDescent="0.25">
      <c r="A1407" s="213">
        <v>43487</v>
      </c>
      <c r="B1407" s="214" t="s">
        <v>9900</v>
      </c>
      <c r="C1407" s="215" t="s">
        <v>2193</v>
      </c>
      <c r="D1407" s="216">
        <v>1.28</v>
      </c>
      <c r="E1407" s="198"/>
      <c r="F1407" s="198"/>
      <c r="G1407" s="198"/>
      <c r="H1407" s="198"/>
      <c r="I1407" s="198"/>
      <c r="J1407" s="198"/>
      <c r="K1407" s="198"/>
      <c r="L1407" s="198"/>
      <c r="M1407" s="198"/>
      <c r="N1407" s="198"/>
      <c r="O1407" s="198"/>
      <c r="P1407" s="198"/>
      <c r="Q1407" s="198"/>
      <c r="R1407" s="198"/>
      <c r="S1407" s="198"/>
      <c r="T1407" s="198"/>
      <c r="U1407" s="198"/>
      <c r="V1407" s="198"/>
      <c r="W1407" s="198"/>
      <c r="X1407" s="198"/>
      <c r="Y1407" s="198"/>
      <c r="Z1407" s="198"/>
    </row>
    <row r="1408" spans="1:26" ht="15.75" hidden="1" customHeight="1" x14ac:dyDescent="0.25">
      <c r="A1408" s="213">
        <v>43499</v>
      </c>
      <c r="B1408" s="214" t="s">
        <v>9901</v>
      </c>
      <c r="C1408" s="215" t="s">
        <v>6214</v>
      </c>
      <c r="D1408" s="216">
        <v>241.99</v>
      </c>
      <c r="E1408" s="198"/>
      <c r="F1408" s="198"/>
      <c r="G1408" s="198"/>
      <c r="H1408" s="198"/>
      <c r="I1408" s="198"/>
      <c r="J1408" s="198"/>
      <c r="K1408" s="198"/>
      <c r="L1408" s="198"/>
      <c r="M1408" s="198"/>
      <c r="N1408" s="198"/>
      <c r="O1408" s="198"/>
      <c r="P1408" s="198"/>
      <c r="Q1408" s="198"/>
      <c r="R1408" s="198"/>
      <c r="S1408" s="198"/>
      <c r="T1408" s="198"/>
      <c r="U1408" s="198"/>
      <c r="V1408" s="198"/>
      <c r="W1408" s="198"/>
      <c r="X1408" s="198"/>
      <c r="Y1408" s="198"/>
      <c r="Z1408" s="198"/>
    </row>
    <row r="1409" spans="1:26" ht="15.75" hidden="1" customHeight="1" x14ac:dyDescent="0.25">
      <c r="A1409" s="213">
        <v>43486</v>
      </c>
      <c r="B1409" s="214" t="s">
        <v>9902</v>
      </c>
      <c r="C1409" s="215" t="s">
        <v>2193</v>
      </c>
      <c r="D1409" s="216">
        <v>0.77</v>
      </c>
      <c r="E1409" s="198"/>
      <c r="F1409" s="198"/>
      <c r="G1409" s="198"/>
      <c r="H1409" s="198"/>
      <c r="I1409" s="198"/>
      <c r="J1409" s="198"/>
      <c r="K1409" s="198"/>
      <c r="L1409" s="198"/>
      <c r="M1409" s="198"/>
      <c r="N1409" s="198"/>
      <c r="O1409" s="198"/>
      <c r="P1409" s="198"/>
      <c r="Q1409" s="198"/>
      <c r="R1409" s="198"/>
      <c r="S1409" s="198"/>
      <c r="T1409" s="198"/>
      <c r="U1409" s="198"/>
      <c r="V1409" s="198"/>
      <c r="W1409" s="198"/>
      <c r="X1409" s="198"/>
      <c r="Y1409" s="198"/>
      <c r="Z1409" s="198"/>
    </row>
    <row r="1410" spans="1:26" ht="15.75" hidden="1" customHeight="1" x14ac:dyDescent="0.25">
      <c r="A1410" s="213">
        <v>43498</v>
      </c>
      <c r="B1410" s="214" t="s">
        <v>9903</v>
      </c>
      <c r="C1410" s="215" t="s">
        <v>6214</v>
      </c>
      <c r="D1410" s="216">
        <v>146</v>
      </c>
      <c r="E1410" s="198"/>
      <c r="F1410" s="198"/>
      <c r="G1410" s="198"/>
      <c r="H1410" s="198"/>
      <c r="I1410" s="198"/>
      <c r="J1410" s="198"/>
      <c r="K1410" s="198"/>
      <c r="L1410" s="198"/>
      <c r="M1410" s="198"/>
      <c r="N1410" s="198"/>
      <c r="O1410" s="198"/>
      <c r="P1410" s="198"/>
      <c r="Q1410" s="198"/>
      <c r="R1410" s="198"/>
      <c r="S1410" s="198"/>
      <c r="T1410" s="198"/>
      <c r="U1410" s="198"/>
      <c r="V1410" s="198"/>
      <c r="W1410" s="198"/>
      <c r="X1410" s="198"/>
      <c r="Y1410" s="198"/>
      <c r="Z1410" s="198"/>
    </row>
    <row r="1411" spans="1:26" ht="15.75" hidden="1" customHeight="1" x14ac:dyDescent="0.25">
      <c r="A1411" s="213">
        <v>43488</v>
      </c>
      <c r="B1411" s="214" t="s">
        <v>9904</v>
      </c>
      <c r="C1411" s="215" t="s">
        <v>2193</v>
      </c>
      <c r="D1411" s="216">
        <v>0.89</v>
      </c>
      <c r="E1411" s="198"/>
      <c r="F1411" s="198"/>
      <c r="G1411" s="198"/>
      <c r="H1411" s="198"/>
      <c r="I1411" s="198"/>
      <c r="J1411" s="198"/>
      <c r="K1411" s="198"/>
      <c r="L1411" s="198"/>
      <c r="M1411" s="198"/>
      <c r="N1411" s="198"/>
      <c r="O1411" s="198"/>
      <c r="P1411" s="198"/>
      <c r="Q1411" s="198"/>
      <c r="R1411" s="198"/>
      <c r="S1411" s="198"/>
      <c r="T1411" s="198"/>
      <c r="U1411" s="198"/>
      <c r="V1411" s="198"/>
      <c r="W1411" s="198"/>
      <c r="X1411" s="198"/>
      <c r="Y1411" s="198"/>
      <c r="Z1411" s="198"/>
    </row>
    <row r="1412" spans="1:26" ht="15.75" hidden="1" customHeight="1" x14ac:dyDescent="0.25">
      <c r="A1412" s="213">
        <v>43500</v>
      </c>
      <c r="B1412" s="214" t="s">
        <v>9905</v>
      </c>
      <c r="C1412" s="215" t="s">
        <v>6214</v>
      </c>
      <c r="D1412" s="216">
        <v>167.95</v>
      </c>
      <c r="E1412" s="198"/>
      <c r="F1412" s="198"/>
      <c r="G1412" s="198"/>
      <c r="H1412" s="198"/>
      <c r="I1412" s="198"/>
      <c r="J1412" s="198"/>
      <c r="K1412" s="198"/>
      <c r="L1412" s="198"/>
      <c r="M1412" s="198"/>
      <c r="N1412" s="198"/>
      <c r="O1412" s="198"/>
      <c r="P1412" s="198"/>
      <c r="Q1412" s="198"/>
      <c r="R1412" s="198"/>
      <c r="S1412" s="198"/>
      <c r="T1412" s="198"/>
      <c r="U1412" s="198"/>
      <c r="V1412" s="198"/>
      <c r="W1412" s="198"/>
      <c r="X1412" s="198"/>
      <c r="Y1412" s="198"/>
      <c r="Z1412" s="198"/>
    </row>
    <row r="1413" spans="1:26" ht="15.75" hidden="1" customHeight="1" x14ac:dyDescent="0.25">
      <c r="A1413" s="213">
        <v>43489</v>
      </c>
      <c r="B1413" s="214" t="s">
        <v>9906</v>
      </c>
      <c r="C1413" s="215" t="s">
        <v>2193</v>
      </c>
      <c r="D1413" s="216">
        <v>1.31</v>
      </c>
      <c r="E1413" s="198"/>
      <c r="F1413" s="198"/>
      <c r="G1413" s="198"/>
      <c r="H1413" s="198"/>
      <c r="I1413" s="198"/>
      <c r="J1413" s="198"/>
      <c r="K1413" s="198"/>
      <c r="L1413" s="198"/>
      <c r="M1413" s="198"/>
      <c r="N1413" s="198"/>
      <c r="O1413" s="198"/>
      <c r="P1413" s="198"/>
      <c r="Q1413" s="198"/>
      <c r="R1413" s="198"/>
      <c r="S1413" s="198"/>
      <c r="T1413" s="198"/>
      <c r="U1413" s="198"/>
      <c r="V1413" s="198"/>
      <c r="W1413" s="198"/>
      <c r="X1413" s="198"/>
      <c r="Y1413" s="198"/>
      <c r="Z1413" s="198"/>
    </row>
    <row r="1414" spans="1:26" ht="15.75" hidden="1" customHeight="1" x14ac:dyDescent="0.25">
      <c r="A1414" s="213">
        <v>43501</v>
      </c>
      <c r="B1414" s="214" t="s">
        <v>9907</v>
      </c>
      <c r="C1414" s="215" t="s">
        <v>6214</v>
      </c>
      <c r="D1414" s="216">
        <v>247.11</v>
      </c>
      <c r="E1414" s="198"/>
      <c r="F1414" s="198"/>
      <c r="G1414" s="198"/>
      <c r="H1414" s="198"/>
      <c r="I1414" s="198"/>
      <c r="J1414" s="198"/>
      <c r="K1414" s="198"/>
      <c r="L1414" s="198"/>
      <c r="M1414" s="198"/>
      <c r="N1414" s="198"/>
      <c r="O1414" s="198"/>
      <c r="P1414" s="198"/>
      <c r="Q1414" s="198"/>
      <c r="R1414" s="198"/>
      <c r="S1414" s="198"/>
      <c r="T1414" s="198"/>
      <c r="U1414" s="198"/>
      <c r="V1414" s="198"/>
      <c r="W1414" s="198"/>
      <c r="X1414" s="198"/>
      <c r="Y1414" s="198"/>
      <c r="Z1414" s="198"/>
    </row>
    <row r="1415" spans="1:26" ht="15.75" hidden="1" customHeight="1" x14ac:dyDescent="0.25">
      <c r="A1415" s="213">
        <v>43490</v>
      </c>
      <c r="B1415" s="214" t="s">
        <v>9908</v>
      </c>
      <c r="C1415" s="215" t="s">
        <v>2193</v>
      </c>
      <c r="D1415" s="216">
        <v>1.85</v>
      </c>
      <c r="E1415" s="198"/>
      <c r="F1415" s="198"/>
      <c r="G1415" s="198"/>
      <c r="H1415" s="198"/>
      <c r="I1415" s="198"/>
      <c r="J1415" s="198"/>
      <c r="K1415" s="198"/>
      <c r="L1415" s="198"/>
      <c r="M1415" s="198"/>
      <c r="N1415" s="198"/>
      <c r="O1415" s="198"/>
      <c r="P1415" s="198"/>
      <c r="Q1415" s="198"/>
      <c r="R1415" s="198"/>
      <c r="S1415" s="198"/>
      <c r="T1415" s="198"/>
      <c r="U1415" s="198"/>
      <c r="V1415" s="198"/>
      <c r="W1415" s="198"/>
      <c r="X1415" s="198"/>
      <c r="Y1415" s="198"/>
      <c r="Z1415" s="198"/>
    </row>
    <row r="1416" spans="1:26" ht="15.75" hidden="1" customHeight="1" x14ac:dyDescent="0.25">
      <c r="A1416" s="213">
        <v>43502</v>
      </c>
      <c r="B1416" s="214" t="s">
        <v>9909</v>
      </c>
      <c r="C1416" s="215" t="s">
        <v>6214</v>
      </c>
      <c r="D1416" s="216">
        <v>348.39</v>
      </c>
      <c r="E1416" s="198"/>
      <c r="F1416" s="198"/>
      <c r="G1416" s="198"/>
      <c r="H1416" s="198"/>
      <c r="I1416" s="198"/>
      <c r="J1416" s="198"/>
      <c r="K1416" s="198"/>
      <c r="L1416" s="198"/>
      <c r="M1416" s="198"/>
      <c r="N1416" s="198"/>
      <c r="O1416" s="198"/>
      <c r="P1416" s="198"/>
      <c r="Q1416" s="198"/>
      <c r="R1416" s="198"/>
      <c r="S1416" s="198"/>
      <c r="T1416" s="198"/>
      <c r="U1416" s="198"/>
      <c r="V1416" s="198"/>
      <c r="W1416" s="198"/>
      <c r="X1416" s="198"/>
      <c r="Y1416" s="198"/>
      <c r="Z1416" s="198"/>
    </row>
    <row r="1417" spans="1:26" ht="15.75" hidden="1" customHeight="1" x14ac:dyDescent="0.25">
      <c r="A1417" s="213">
        <v>43491</v>
      </c>
      <c r="B1417" s="214" t="s">
        <v>9910</v>
      </c>
      <c r="C1417" s="215" t="s">
        <v>2193</v>
      </c>
      <c r="D1417" s="216">
        <v>1.39</v>
      </c>
      <c r="E1417" s="198"/>
      <c r="F1417" s="198"/>
      <c r="G1417" s="198"/>
      <c r="H1417" s="198"/>
      <c r="I1417" s="198"/>
      <c r="J1417" s="198"/>
      <c r="K1417" s="198"/>
      <c r="L1417" s="198"/>
      <c r="M1417" s="198"/>
      <c r="N1417" s="198"/>
      <c r="O1417" s="198"/>
      <c r="P1417" s="198"/>
      <c r="Q1417" s="198"/>
      <c r="R1417" s="198"/>
      <c r="S1417" s="198"/>
      <c r="T1417" s="198"/>
      <c r="U1417" s="198"/>
      <c r="V1417" s="198"/>
      <c r="W1417" s="198"/>
      <c r="X1417" s="198"/>
      <c r="Y1417" s="198"/>
      <c r="Z1417" s="198"/>
    </row>
    <row r="1418" spans="1:26" ht="15.75" hidden="1" customHeight="1" x14ac:dyDescent="0.25">
      <c r="A1418" s="213">
        <v>43503</v>
      </c>
      <c r="B1418" s="214" t="s">
        <v>9911</v>
      </c>
      <c r="C1418" s="215" t="s">
        <v>6214</v>
      </c>
      <c r="D1418" s="216">
        <v>261.93</v>
      </c>
      <c r="E1418" s="198"/>
      <c r="F1418" s="198"/>
      <c r="G1418" s="198"/>
      <c r="H1418" s="198"/>
      <c r="I1418" s="198"/>
      <c r="J1418" s="198"/>
      <c r="K1418" s="198"/>
      <c r="L1418" s="198"/>
      <c r="M1418" s="198"/>
      <c r="N1418" s="198"/>
      <c r="O1418" s="198"/>
      <c r="P1418" s="198"/>
      <c r="Q1418" s="198"/>
      <c r="R1418" s="198"/>
      <c r="S1418" s="198"/>
      <c r="T1418" s="198"/>
      <c r="U1418" s="198"/>
      <c r="V1418" s="198"/>
      <c r="W1418" s="198"/>
      <c r="X1418" s="198"/>
      <c r="Y1418" s="198"/>
      <c r="Z1418" s="198"/>
    </row>
    <row r="1419" spans="1:26" ht="15.75" hidden="1" customHeight="1" x14ac:dyDescent="0.25">
      <c r="A1419" s="213">
        <v>43492</v>
      </c>
      <c r="B1419" s="214" t="s">
        <v>9912</v>
      </c>
      <c r="C1419" s="215" t="s">
        <v>2193</v>
      </c>
      <c r="D1419" s="216">
        <v>1.82</v>
      </c>
      <c r="E1419" s="198"/>
      <c r="F1419" s="198"/>
      <c r="G1419" s="198"/>
      <c r="H1419" s="198"/>
      <c r="I1419" s="198"/>
      <c r="J1419" s="198"/>
      <c r="K1419" s="198"/>
      <c r="L1419" s="198"/>
      <c r="M1419" s="198"/>
      <c r="N1419" s="198"/>
      <c r="O1419" s="198"/>
      <c r="P1419" s="198"/>
      <c r="Q1419" s="198"/>
      <c r="R1419" s="198"/>
      <c r="S1419" s="198"/>
      <c r="T1419" s="198"/>
      <c r="U1419" s="198"/>
      <c r="V1419" s="198"/>
      <c r="W1419" s="198"/>
      <c r="X1419" s="198"/>
      <c r="Y1419" s="198"/>
      <c r="Z1419" s="198"/>
    </row>
    <row r="1420" spans="1:26" ht="15.75" hidden="1" customHeight="1" x14ac:dyDescent="0.25">
      <c r="A1420" s="213">
        <v>43504</v>
      </c>
      <c r="B1420" s="214" t="s">
        <v>9913</v>
      </c>
      <c r="C1420" s="215" t="s">
        <v>6214</v>
      </c>
      <c r="D1420" s="216">
        <v>342.83</v>
      </c>
      <c r="E1420" s="198"/>
      <c r="F1420" s="198"/>
      <c r="G1420" s="198"/>
      <c r="H1420" s="198"/>
      <c r="I1420" s="198"/>
      <c r="J1420" s="198"/>
      <c r="K1420" s="198"/>
      <c r="L1420" s="198"/>
      <c r="M1420" s="198"/>
      <c r="N1420" s="198"/>
      <c r="O1420" s="198"/>
      <c r="P1420" s="198"/>
      <c r="Q1420" s="198"/>
      <c r="R1420" s="198"/>
      <c r="S1420" s="198"/>
      <c r="T1420" s="198"/>
      <c r="U1420" s="198"/>
      <c r="V1420" s="198"/>
      <c r="W1420" s="198"/>
      <c r="X1420" s="198"/>
      <c r="Y1420" s="198"/>
      <c r="Z1420" s="198"/>
    </row>
    <row r="1421" spans="1:26" ht="15.75" hidden="1" customHeight="1" x14ac:dyDescent="0.25">
      <c r="A1421" s="213">
        <v>43493</v>
      </c>
      <c r="B1421" s="214" t="s">
        <v>9914</v>
      </c>
      <c r="C1421" s="215" t="s">
        <v>2193</v>
      </c>
      <c r="D1421" s="216">
        <v>0.74</v>
      </c>
      <c r="E1421" s="198"/>
      <c r="F1421" s="198"/>
      <c r="G1421" s="198"/>
      <c r="H1421" s="198"/>
      <c r="I1421" s="198"/>
      <c r="J1421" s="198"/>
      <c r="K1421" s="198"/>
      <c r="L1421" s="198"/>
      <c r="M1421" s="198"/>
      <c r="N1421" s="198"/>
      <c r="O1421" s="198"/>
      <c r="P1421" s="198"/>
      <c r="Q1421" s="198"/>
      <c r="R1421" s="198"/>
      <c r="S1421" s="198"/>
      <c r="T1421" s="198"/>
      <c r="U1421" s="198"/>
      <c r="V1421" s="198"/>
      <c r="W1421" s="198"/>
      <c r="X1421" s="198"/>
      <c r="Y1421" s="198"/>
      <c r="Z1421" s="198"/>
    </row>
    <row r="1422" spans="1:26" ht="15.75" hidden="1" customHeight="1" x14ac:dyDescent="0.25">
      <c r="A1422" s="213">
        <v>43505</v>
      </c>
      <c r="B1422" s="214" t="s">
        <v>9915</v>
      </c>
      <c r="C1422" s="215" t="s">
        <v>6214</v>
      </c>
      <c r="D1422" s="216">
        <v>138.97999999999999</v>
      </c>
      <c r="E1422" s="198"/>
      <c r="F1422" s="198"/>
      <c r="G1422" s="198"/>
      <c r="H1422" s="198"/>
      <c r="I1422" s="198"/>
      <c r="J1422" s="198"/>
      <c r="K1422" s="198"/>
      <c r="L1422" s="198"/>
      <c r="M1422" s="198"/>
      <c r="N1422" s="198"/>
      <c r="O1422" s="198"/>
      <c r="P1422" s="198"/>
      <c r="Q1422" s="198"/>
      <c r="R1422" s="198"/>
      <c r="S1422" s="198"/>
      <c r="T1422" s="198"/>
      <c r="U1422" s="198"/>
      <c r="V1422" s="198"/>
      <c r="W1422" s="198"/>
      <c r="X1422" s="198"/>
      <c r="Y1422" s="198"/>
      <c r="Z1422" s="198"/>
    </row>
    <row r="1423" spans="1:26" ht="15.75" hidden="1" customHeight="1" x14ac:dyDescent="0.25">
      <c r="A1423" s="213">
        <v>38629</v>
      </c>
      <c r="B1423" s="214" t="s">
        <v>9916</v>
      </c>
      <c r="C1423" s="215" t="s">
        <v>580</v>
      </c>
      <c r="D1423" s="216">
        <v>2588320.31</v>
      </c>
      <c r="E1423" s="198"/>
      <c r="F1423" s="198"/>
      <c r="G1423" s="198"/>
      <c r="H1423" s="198"/>
      <c r="I1423" s="198"/>
      <c r="J1423" s="198"/>
      <c r="K1423" s="198"/>
      <c r="L1423" s="198"/>
      <c r="M1423" s="198"/>
      <c r="N1423" s="198"/>
      <c r="O1423" s="198"/>
      <c r="P1423" s="198"/>
      <c r="Q1423" s="198"/>
      <c r="R1423" s="198"/>
      <c r="S1423" s="198"/>
      <c r="T1423" s="198"/>
      <c r="U1423" s="198"/>
      <c r="V1423" s="198"/>
      <c r="W1423" s="198"/>
      <c r="X1423" s="198"/>
      <c r="Y1423" s="198"/>
      <c r="Z1423" s="198"/>
    </row>
    <row r="1424" spans="1:26" ht="15.75" hidden="1" customHeight="1" x14ac:dyDescent="0.25">
      <c r="A1424" s="213">
        <v>38630</v>
      </c>
      <c r="B1424" s="214" t="s">
        <v>9917</v>
      </c>
      <c r="C1424" s="215" t="s">
        <v>580</v>
      </c>
      <c r="D1424" s="216">
        <v>1738820.31</v>
      </c>
      <c r="E1424" s="198"/>
      <c r="F1424" s="198"/>
      <c r="G1424" s="198"/>
      <c r="H1424" s="198"/>
      <c r="I1424" s="198"/>
      <c r="J1424" s="198"/>
      <c r="K1424" s="198"/>
      <c r="L1424" s="198"/>
      <c r="M1424" s="198"/>
      <c r="N1424" s="198"/>
      <c r="O1424" s="198"/>
      <c r="P1424" s="198"/>
      <c r="Q1424" s="198"/>
      <c r="R1424" s="198"/>
      <c r="S1424" s="198"/>
      <c r="T1424" s="198"/>
      <c r="U1424" s="198"/>
      <c r="V1424" s="198"/>
      <c r="W1424" s="198"/>
      <c r="X1424" s="198"/>
      <c r="Y1424" s="198"/>
      <c r="Z1424" s="198"/>
    </row>
    <row r="1425" spans="1:26" ht="15.75" hidden="1" customHeight="1" x14ac:dyDescent="0.25">
      <c r="A1425" s="213">
        <v>38476</v>
      </c>
      <c r="B1425" s="214" t="s">
        <v>9918</v>
      </c>
      <c r="C1425" s="215" t="s">
        <v>580</v>
      </c>
      <c r="D1425" s="216">
        <v>279.08999999999997</v>
      </c>
      <c r="E1425" s="198"/>
      <c r="F1425" s="198"/>
      <c r="G1425" s="198"/>
      <c r="H1425" s="198"/>
      <c r="I1425" s="198"/>
      <c r="J1425" s="198"/>
      <c r="K1425" s="198"/>
      <c r="L1425" s="198"/>
      <c r="M1425" s="198"/>
      <c r="N1425" s="198"/>
      <c r="O1425" s="198"/>
      <c r="P1425" s="198"/>
      <c r="Q1425" s="198"/>
      <c r="R1425" s="198"/>
      <c r="S1425" s="198"/>
      <c r="T1425" s="198"/>
      <c r="U1425" s="198"/>
      <c r="V1425" s="198"/>
      <c r="W1425" s="198"/>
      <c r="X1425" s="198"/>
      <c r="Y1425" s="198"/>
      <c r="Z1425" s="198"/>
    </row>
    <row r="1426" spans="1:26" ht="15.75" hidden="1" customHeight="1" x14ac:dyDescent="0.25">
      <c r="A1426" s="213">
        <v>38477</v>
      </c>
      <c r="B1426" s="214" t="s">
        <v>9919</v>
      </c>
      <c r="C1426" s="215" t="s">
        <v>580</v>
      </c>
      <c r="D1426" s="216">
        <v>790.38</v>
      </c>
      <c r="E1426" s="198"/>
      <c r="F1426" s="198"/>
      <c r="G1426" s="198"/>
      <c r="H1426" s="198"/>
      <c r="I1426" s="198"/>
      <c r="J1426" s="198"/>
      <c r="K1426" s="198"/>
      <c r="L1426" s="198"/>
      <c r="M1426" s="198"/>
      <c r="N1426" s="198"/>
      <c r="O1426" s="198"/>
      <c r="P1426" s="198"/>
      <c r="Q1426" s="198"/>
      <c r="R1426" s="198"/>
      <c r="S1426" s="198"/>
      <c r="T1426" s="198"/>
      <c r="U1426" s="198"/>
      <c r="V1426" s="198"/>
      <c r="W1426" s="198"/>
      <c r="X1426" s="198"/>
      <c r="Y1426" s="198"/>
      <c r="Z1426" s="198"/>
    </row>
    <row r="1427" spans="1:26" ht="15.75" hidden="1" customHeight="1" x14ac:dyDescent="0.25">
      <c r="A1427" s="213">
        <v>45112</v>
      </c>
      <c r="B1427" s="214" t="s">
        <v>9920</v>
      </c>
      <c r="C1427" s="215" t="s">
        <v>580</v>
      </c>
      <c r="D1427" s="216">
        <v>1171351.3500000001</v>
      </c>
      <c r="E1427" s="198"/>
      <c r="F1427" s="198"/>
      <c r="G1427" s="198"/>
      <c r="H1427" s="198"/>
      <c r="I1427" s="198"/>
      <c r="J1427" s="198"/>
      <c r="K1427" s="198"/>
      <c r="L1427" s="198"/>
      <c r="M1427" s="198"/>
      <c r="N1427" s="198"/>
      <c r="O1427" s="198"/>
      <c r="P1427" s="198"/>
      <c r="Q1427" s="198"/>
      <c r="R1427" s="198"/>
      <c r="S1427" s="198"/>
      <c r="T1427" s="198"/>
      <c r="U1427" s="198"/>
      <c r="V1427" s="198"/>
      <c r="W1427" s="198"/>
      <c r="X1427" s="198"/>
      <c r="Y1427" s="198"/>
      <c r="Z1427" s="198"/>
    </row>
    <row r="1428" spans="1:26" ht="15.75" hidden="1" customHeight="1" x14ac:dyDescent="0.25">
      <c r="A1428" s="213">
        <v>14525</v>
      </c>
      <c r="B1428" s="214" t="s">
        <v>9921</v>
      </c>
      <c r="C1428" s="215" t="s">
        <v>580</v>
      </c>
      <c r="D1428" s="216">
        <v>1018378.35</v>
      </c>
      <c r="E1428" s="198"/>
      <c r="F1428" s="198"/>
      <c r="G1428" s="198"/>
      <c r="H1428" s="198"/>
      <c r="I1428" s="198"/>
      <c r="J1428" s="198"/>
      <c r="K1428" s="198"/>
      <c r="L1428" s="198"/>
      <c r="M1428" s="198"/>
      <c r="N1428" s="198"/>
      <c r="O1428" s="198"/>
      <c r="P1428" s="198"/>
      <c r="Q1428" s="198"/>
      <c r="R1428" s="198"/>
      <c r="S1428" s="198"/>
      <c r="T1428" s="198"/>
      <c r="U1428" s="198"/>
      <c r="V1428" s="198"/>
      <c r="W1428" s="198"/>
      <c r="X1428" s="198"/>
      <c r="Y1428" s="198"/>
      <c r="Z1428" s="198"/>
    </row>
    <row r="1429" spans="1:26" ht="15.75" hidden="1" customHeight="1" x14ac:dyDescent="0.25">
      <c r="A1429" s="213">
        <v>36408</v>
      </c>
      <c r="B1429" s="214" t="s">
        <v>9922</v>
      </c>
      <c r="C1429" s="215" t="s">
        <v>580</v>
      </c>
      <c r="D1429" s="216">
        <v>1243243.26</v>
      </c>
      <c r="E1429" s="198"/>
      <c r="F1429" s="198"/>
      <c r="G1429" s="198"/>
      <c r="H1429" s="198"/>
      <c r="I1429" s="198"/>
      <c r="J1429" s="198"/>
      <c r="K1429" s="198"/>
      <c r="L1429" s="198"/>
      <c r="M1429" s="198"/>
      <c r="N1429" s="198"/>
      <c r="O1429" s="198"/>
      <c r="P1429" s="198"/>
      <c r="Q1429" s="198"/>
      <c r="R1429" s="198"/>
      <c r="S1429" s="198"/>
      <c r="T1429" s="198"/>
      <c r="U1429" s="198"/>
      <c r="V1429" s="198"/>
      <c r="W1429" s="198"/>
      <c r="X1429" s="198"/>
      <c r="Y1429" s="198"/>
      <c r="Z1429" s="198"/>
    </row>
    <row r="1430" spans="1:26" ht="15.75" hidden="1" customHeight="1" x14ac:dyDescent="0.25">
      <c r="A1430" s="213">
        <v>2723</v>
      </c>
      <c r="B1430" s="214" t="s">
        <v>9923</v>
      </c>
      <c r="C1430" s="215" t="s">
        <v>580</v>
      </c>
      <c r="D1430" s="216">
        <v>756756.72</v>
      </c>
      <c r="E1430" s="198"/>
      <c r="F1430" s="198"/>
      <c r="G1430" s="198"/>
      <c r="H1430" s="198"/>
      <c r="I1430" s="198"/>
      <c r="J1430" s="198"/>
      <c r="K1430" s="198"/>
      <c r="L1430" s="198"/>
      <c r="M1430" s="198"/>
      <c r="N1430" s="198"/>
      <c r="O1430" s="198"/>
      <c r="P1430" s="198"/>
      <c r="Q1430" s="198"/>
      <c r="R1430" s="198"/>
      <c r="S1430" s="198"/>
      <c r="T1430" s="198"/>
      <c r="U1430" s="198"/>
      <c r="V1430" s="198"/>
      <c r="W1430" s="198"/>
      <c r="X1430" s="198"/>
      <c r="Y1430" s="198"/>
      <c r="Z1430" s="198"/>
    </row>
    <row r="1431" spans="1:26" ht="15.75" hidden="1" customHeight="1" x14ac:dyDescent="0.25">
      <c r="A1431" s="213">
        <v>10685</v>
      </c>
      <c r="B1431" s="214" t="s">
        <v>9924</v>
      </c>
      <c r="C1431" s="215" t="s">
        <v>580</v>
      </c>
      <c r="D1431" s="216">
        <v>900000</v>
      </c>
      <c r="E1431" s="198"/>
      <c r="F1431" s="198"/>
      <c r="G1431" s="198"/>
      <c r="H1431" s="198"/>
      <c r="I1431" s="198"/>
      <c r="J1431" s="198"/>
      <c r="K1431" s="198"/>
      <c r="L1431" s="198"/>
      <c r="M1431" s="198"/>
      <c r="N1431" s="198"/>
      <c r="O1431" s="198"/>
      <c r="P1431" s="198"/>
      <c r="Q1431" s="198"/>
      <c r="R1431" s="198"/>
      <c r="S1431" s="198"/>
      <c r="T1431" s="198"/>
      <c r="U1431" s="198"/>
      <c r="V1431" s="198"/>
      <c r="W1431" s="198"/>
      <c r="X1431" s="198"/>
      <c r="Y1431" s="198"/>
      <c r="Z1431" s="198"/>
    </row>
    <row r="1432" spans="1:26" ht="15.75" hidden="1" customHeight="1" x14ac:dyDescent="0.25">
      <c r="A1432" s="213">
        <v>40636</v>
      </c>
      <c r="B1432" s="214" t="s">
        <v>9925</v>
      </c>
      <c r="C1432" s="215" t="s">
        <v>580</v>
      </c>
      <c r="D1432" s="216">
        <v>1246273.83</v>
      </c>
      <c r="E1432" s="198"/>
      <c r="F1432" s="198"/>
      <c r="G1432" s="198"/>
      <c r="H1432" s="198"/>
      <c r="I1432" s="198"/>
      <c r="J1432" s="198"/>
      <c r="K1432" s="198"/>
      <c r="L1432" s="198"/>
      <c r="M1432" s="198"/>
      <c r="N1432" s="198"/>
      <c r="O1432" s="198"/>
      <c r="P1432" s="198"/>
      <c r="Q1432" s="198"/>
      <c r="R1432" s="198"/>
      <c r="S1432" s="198"/>
      <c r="T1432" s="198"/>
      <c r="U1432" s="198"/>
      <c r="V1432" s="198"/>
      <c r="W1432" s="198"/>
      <c r="X1432" s="198"/>
      <c r="Y1432" s="198"/>
      <c r="Z1432" s="198"/>
    </row>
    <row r="1433" spans="1:26" ht="15.75" hidden="1" customHeight="1" x14ac:dyDescent="0.25">
      <c r="A1433" s="213">
        <v>4111</v>
      </c>
      <c r="B1433" s="214" t="s">
        <v>9926</v>
      </c>
      <c r="C1433" s="215" t="s">
        <v>580</v>
      </c>
      <c r="D1433" s="216">
        <v>51.56</v>
      </c>
      <c r="E1433" s="198"/>
      <c r="F1433" s="198"/>
      <c r="G1433" s="198"/>
      <c r="H1433" s="198"/>
      <c r="I1433" s="198"/>
      <c r="J1433" s="198"/>
      <c r="K1433" s="198"/>
      <c r="L1433" s="198"/>
      <c r="M1433" s="198"/>
      <c r="N1433" s="198"/>
      <c r="O1433" s="198"/>
      <c r="P1433" s="198"/>
      <c r="Q1433" s="198"/>
      <c r="R1433" s="198"/>
      <c r="S1433" s="198"/>
      <c r="T1433" s="198"/>
      <c r="U1433" s="198"/>
      <c r="V1433" s="198"/>
      <c r="W1433" s="198"/>
      <c r="X1433" s="198"/>
      <c r="Y1433" s="198"/>
      <c r="Z1433" s="198"/>
    </row>
    <row r="1434" spans="1:26" ht="15.75" hidden="1" customHeight="1" x14ac:dyDescent="0.25">
      <c r="A1434" s="213">
        <v>44538</v>
      </c>
      <c r="B1434" s="214" t="s">
        <v>9927</v>
      </c>
      <c r="C1434" s="215" t="s">
        <v>580</v>
      </c>
      <c r="D1434" s="216">
        <v>50.31</v>
      </c>
      <c r="E1434" s="198"/>
      <c r="F1434" s="198"/>
      <c r="G1434" s="198"/>
      <c r="H1434" s="198"/>
      <c r="I1434" s="198"/>
      <c r="J1434" s="198"/>
      <c r="K1434" s="198"/>
      <c r="L1434" s="198"/>
      <c r="M1434" s="198"/>
      <c r="N1434" s="198"/>
      <c r="O1434" s="198"/>
      <c r="P1434" s="198"/>
      <c r="Q1434" s="198"/>
      <c r="R1434" s="198"/>
      <c r="S1434" s="198"/>
      <c r="T1434" s="198"/>
      <c r="U1434" s="198"/>
      <c r="V1434" s="198"/>
      <c r="W1434" s="198"/>
      <c r="X1434" s="198"/>
      <c r="Y1434" s="198"/>
      <c r="Z1434" s="198"/>
    </row>
    <row r="1435" spans="1:26" ht="15.75" hidden="1" customHeight="1" x14ac:dyDescent="0.25">
      <c r="A1435" s="213">
        <v>12</v>
      </c>
      <c r="B1435" s="214" t="s">
        <v>9928</v>
      </c>
      <c r="C1435" s="215" t="s">
        <v>580</v>
      </c>
      <c r="D1435" s="216">
        <v>13.9</v>
      </c>
      <c r="E1435" s="198"/>
      <c r="F1435" s="198"/>
      <c r="G1435" s="198"/>
      <c r="H1435" s="198"/>
      <c r="I1435" s="198"/>
      <c r="J1435" s="198"/>
      <c r="K1435" s="198"/>
      <c r="L1435" s="198"/>
      <c r="M1435" s="198"/>
      <c r="N1435" s="198"/>
      <c r="O1435" s="198"/>
      <c r="P1435" s="198"/>
      <c r="Q1435" s="198"/>
      <c r="R1435" s="198"/>
      <c r="S1435" s="198"/>
      <c r="T1435" s="198"/>
      <c r="U1435" s="198"/>
      <c r="V1435" s="198"/>
      <c r="W1435" s="198"/>
      <c r="X1435" s="198"/>
      <c r="Y1435" s="198"/>
      <c r="Z1435" s="198"/>
    </row>
    <row r="1436" spans="1:26" ht="15.75" hidden="1" customHeight="1" x14ac:dyDescent="0.25">
      <c r="A1436" s="213">
        <v>37554</v>
      </c>
      <c r="B1436" s="214" t="s">
        <v>9929</v>
      </c>
      <c r="C1436" s="215" t="s">
        <v>580</v>
      </c>
      <c r="D1436" s="216">
        <v>328.82</v>
      </c>
      <c r="E1436" s="198"/>
      <c r="F1436" s="198"/>
      <c r="G1436" s="198"/>
      <c r="H1436" s="198"/>
      <c r="I1436" s="198"/>
      <c r="J1436" s="198"/>
      <c r="K1436" s="198"/>
      <c r="L1436" s="198"/>
      <c r="M1436" s="198"/>
      <c r="N1436" s="198"/>
      <c r="O1436" s="198"/>
      <c r="P1436" s="198"/>
      <c r="Q1436" s="198"/>
      <c r="R1436" s="198"/>
      <c r="S1436" s="198"/>
      <c r="T1436" s="198"/>
      <c r="U1436" s="198"/>
      <c r="V1436" s="198"/>
      <c r="W1436" s="198"/>
      <c r="X1436" s="198"/>
      <c r="Y1436" s="198"/>
      <c r="Z1436" s="198"/>
    </row>
    <row r="1437" spans="1:26" ht="15.75" hidden="1" customHeight="1" x14ac:dyDescent="0.25">
      <c r="A1437" s="213">
        <v>37555</v>
      </c>
      <c r="B1437" s="214" t="s">
        <v>9930</v>
      </c>
      <c r="C1437" s="215" t="s">
        <v>580</v>
      </c>
      <c r="D1437" s="216">
        <v>399.99</v>
      </c>
      <c r="E1437" s="198"/>
      <c r="F1437" s="198"/>
      <c r="G1437" s="198"/>
      <c r="H1437" s="198"/>
      <c r="I1437" s="198"/>
      <c r="J1437" s="198"/>
      <c r="K1437" s="198"/>
      <c r="L1437" s="198"/>
      <c r="M1437" s="198"/>
      <c r="N1437" s="198"/>
      <c r="O1437" s="198"/>
      <c r="P1437" s="198"/>
      <c r="Q1437" s="198"/>
      <c r="R1437" s="198"/>
      <c r="S1437" s="198"/>
      <c r="T1437" s="198"/>
      <c r="U1437" s="198"/>
      <c r="V1437" s="198"/>
      <c r="W1437" s="198"/>
      <c r="X1437" s="198"/>
      <c r="Y1437" s="198"/>
      <c r="Z1437" s="198"/>
    </row>
    <row r="1438" spans="1:26" ht="15.75" hidden="1" customHeight="1" x14ac:dyDescent="0.25">
      <c r="A1438" s="213">
        <v>10902</v>
      </c>
      <c r="B1438" s="214" t="s">
        <v>9931</v>
      </c>
      <c r="C1438" s="215" t="s">
        <v>580</v>
      </c>
      <c r="D1438" s="216">
        <v>100.37</v>
      </c>
      <c r="E1438" s="198"/>
      <c r="F1438" s="198"/>
      <c r="G1438" s="198"/>
      <c r="H1438" s="198"/>
      <c r="I1438" s="198"/>
      <c r="J1438" s="198"/>
      <c r="K1438" s="198"/>
      <c r="L1438" s="198"/>
      <c r="M1438" s="198"/>
      <c r="N1438" s="198"/>
      <c r="O1438" s="198"/>
      <c r="P1438" s="198"/>
      <c r="Q1438" s="198"/>
      <c r="R1438" s="198"/>
      <c r="S1438" s="198"/>
      <c r="T1438" s="198"/>
      <c r="U1438" s="198"/>
      <c r="V1438" s="198"/>
      <c r="W1438" s="198"/>
      <c r="X1438" s="198"/>
      <c r="Y1438" s="198"/>
      <c r="Z1438" s="198"/>
    </row>
    <row r="1439" spans="1:26" ht="15.75" hidden="1" customHeight="1" x14ac:dyDescent="0.25">
      <c r="A1439" s="213">
        <v>20965</v>
      </c>
      <c r="B1439" s="214" t="s">
        <v>9932</v>
      </c>
      <c r="C1439" s="215" t="s">
        <v>580</v>
      </c>
      <c r="D1439" s="216">
        <v>101.3</v>
      </c>
      <c r="E1439" s="198"/>
      <c r="F1439" s="198"/>
      <c r="G1439" s="198"/>
      <c r="H1439" s="198"/>
      <c r="I1439" s="198"/>
      <c r="J1439" s="198"/>
      <c r="K1439" s="198"/>
      <c r="L1439" s="198"/>
      <c r="M1439" s="198"/>
      <c r="N1439" s="198"/>
      <c r="O1439" s="198"/>
      <c r="P1439" s="198"/>
      <c r="Q1439" s="198"/>
      <c r="R1439" s="198"/>
      <c r="S1439" s="198"/>
      <c r="T1439" s="198"/>
      <c r="U1439" s="198"/>
      <c r="V1439" s="198"/>
      <c r="W1439" s="198"/>
      <c r="X1439" s="198"/>
      <c r="Y1439" s="198"/>
      <c r="Z1439" s="198"/>
    </row>
    <row r="1440" spans="1:26" ht="15.75" hidden="1" customHeight="1" x14ac:dyDescent="0.25">
      <c r="A1440" s="213">
        <v>20966</v>
      </c>
      <c r="B1440" s="214" t="s">
        <v>9933</v>
      </c>
      <c r="C1440" s="215" t="s">
        <v>580</v>
      </c>
      <c r="D1440" s="216">
        <v>109.07</v>
      </c>
      <c r="E1440" s="198"/>
      <c r="F1440" s="198"/>
      <c r="G1440" s="198"/>
      <c r="H1440" s="198"/>
      <c r="I1440" s="198"/>
      <c r="J1440" s="198"/>
      <c r="K1440" s="198"/>
      <c r="L1440" s="198"/>
      <c r="M1440" s="198"/>
      <c r="N1440" s="198"/>
      <c r="O1440" s="198"/>
      <c r="P1440" s="198"/>
      <c r="Q1440" s="198"/>
      <c r="R1440" s="198"/>
      <c r="S1440" s="198"/>
      <c r="T1440" s="198"/>
      <c r="U1440" s="198"/>
      <c r="V1440" s="198"/>
      <c r="W1440" s="198"/>
      <c r="X1440" s="198"/>
      <c r="Y1440" s="198"/>
      <c r="Z1440" s="198"/>
    </row>
    <row r="1441" spans="1:26" ht="15.75" hidden="1" customHeight="1" x14ac:dyDescent="0.25">
      <c r="A1441" s="213">
        <v>10903</v>
      </c>
      <c r="B1441" s="214" t="s">
        <v>9934</v>
      </c>
      <c r="C1441" s="215" t="s">
        <v>580</v>
      </c>
      <c r="D1441" s="216">
        <v>165.33</v>
      </c>
      <c r="E1441" s="198"/>
      <c r="F1441" s="198"/>
      <c r="G1441" s="198"/>
      <c r="H1441" s="198"/>
      <c r="I1441" s="198"/>
      <c r="J1441" s="198"/>
      <c r="K1441" s="198"/>
      <c r="L1441" s="198"/>
      <c r="M1441" s="198"/>
      <c r="N1441" s="198"/>
      <c r="O1441" s="198"/>
      <c r="P1441" s="198"/>
      <c r="Q1441" s="198"/>
      <c r="R1441" s="198"/>
      <c r="S1441" s="198"/>
      <c r="T1441" s="198"/>
      <c r="U1441" s="198"/>
      <c r="V1441" s="198"/>
      <c r="W1441" s="198"/>
      <c r="X1441" s="198"/>
      <c r="Y1441" s="198"/>
      <c r="Z1441" s="198"/>
    </row>
    <row r="1442" spans="1:26" ht="15.75" hidden="1" customHeight="1" x14ac:dyDescent="0.25">
      <c r="A1442" s="213">
        <v>20967</v>
      </c>
      <c r="B1442" s="214" t="s">
        <v>9935</v>
      </c>
      <c r="C1442" s="215" t="s">
        <v>580</v>
      </c>
      <c r="D1442" s="216">
        <v>165.33</v>
      </c>
      <c r="E1442" s="198"/>
      <c r="F1442" s="198"/>
      <c r="G1442" s="198"/>
      <c r="H1442" s="198"/>
      <c r="I1442" s="198"/>
      <c r="J1442" s="198"/>
      <c r="K1442" s="198"/>
      <c r="L1442" s="198"/>
      <c r="M1442" s="198"/>
      <c r="N1442" s="198"/>
      <c r="O1442" s="198"/>
      <c r="P1442" s="198"/>
      <c r="Q1442" s="198"/>
      <c r="R1442" s="198"/>
      <c r="S1442" s="198"/>
      <c r="T1442" s="198"/>
      <c r="U1442" s="198"/>
      <c r="V1442" s="198"/>
      <c r="W1442" s="198"/>
      <c r="X1442" s="198"/>
      <c r="Y1442" s="198"/>
      <c r="Z1442" s="198"/>
    </row>
    <row r="1443" spans="1:26" ht="15.75" hidden="1" customHeight="1" x14ac:dyDescent="0.25">
      <c r="A1443" s="213">
        <v>20968</v>
      </c>
      <c r="B1443" s="214" t="s">
        <v>9936</v>
      </c>
      <c r="C1443" s="215" t="s">
        <v>580</v>
      </c>
      <c r="D1443" s="216">
        <v>181.33</v>
      </c>
      <c r="E1443" s="198"/>
      <c r="F1443" s="198"/>
      <c r="G1443" s="198"/>
      <c r="H1443" s="198"/>
      <c r="I1443" s="198"/>
      <c r="J1443" s="198"/>
      <c r="K1443" s="198"/>
      <c r="L1443" s="198"/>
      <c r="M1443" s="198"/>
      <c r="N1443" s="198"/>
      <c r="O1443" s="198"/>
      <c r="P1443" s="198"/>
      <c r="Q1443" s="198"/>
      <c r="R1443" s="198"/>
      <c r="S1443" s="198"/>
      <c r="T1443" s="198"/>
      <c r="U1443" s="198"/>
      <c r="V1443" s="198"/>
      <c r="W1443" s="198"/>
      <c r="X1443" s="198"/>
      <c r="Y1443" s="198"/>
      <c r="Z1443" s="198"/>
    </row>
    <row r="1444" spans="1:26" ht="15.75" hidden="1" customHeight="1" x14ac:dyDescent="0.25">
      <c r="A1444" s="213">
        <v>11359</v>
      </c>
      <c r="B1444" s="214" t="s">
        <v>9937</v>
      </c>
      <c r="C1444" s="215" t="s">
        <v>580</v>
      </c>
      <c r="D1444" s="216">
        <v>874.5</v>
      </c>
      <c r="E1444" s="198"/>
      <c r="F1444" s="198"/>
      <c r="G1444" s="198"/>
      <c r="H1444" s="198"/>
      <c r="I1444" s="198"/>
      <c r="J1444" s="198"/>
      <c r="K1444" s="198"/>
      <c r="L1444" s="198"/>
      <c r="M1444" s="198"/>
      <c r="N1444" s="198"/>
      <c r="O1444" s="198"/>
      <c r="P1444" s="198"/>
      <c r="Q1444" s="198"/>
      <c r="R1444" s="198"/>
      <c r="S1444" s="198"/>
      <c r="T1444" s="198"/>
      <c r="U1444" s="198"/>
      <c r="V1444" s="198"/>
      <c r="W1444" s="198"/>
      <c r="X1444" s="198"/>
      <c r="Y1444" s="198"/>
      <c r="Z1444" s="198"/>
    </row>
    <row r="1445" spans="1:26" ht="15.75" hidden="1" customHeight="1" x14ac:dyDescent="0.25">
      <c r="A1445" s="213">
        <v>38368</v>
      </c>
      <c r="B1445" s="214" t="s">
        <v>9938</v>
      </c>
      <c r="C1445" s="215" t="s">
        <v>580</v>
      </c>
      <c r="D1445" s="216">
        <v>7.17</v>
      </c>
      <c r="E1445" s="198"/>
      <c r="F1445" s="198"/>
      <c r="G1445" s="198"/>
      <c r="H1445" s="198"/>
      <c r="I1445" s="198"/>
      <c r="J1445" s="198"/>
      <c r="K1445" s="198"/>
      <c r="L1445" s="198"/>
      <c r="M1445" s="198"/>
      <c r="N1445" s="198"/>
      <c r="O1445" s="198"/>
      <c r="P1445" s="198"/>
      <c r="Q1445" s="198"/>
      <c r="R1445" s="198"/>
      <c r="S1445" s="198"/>
      <c r="T1445" s="198"/>
      <c r="U1445" s="198"/>
      <c r="V1445" s="198"/>
      <c r="W1445" s="198"/>
      <c r="X1445" s="198"/>
      <c r="Y1445" s="198"/>
      <c r="Z1445" s="198"/>
    </row>
    <row r="1446" spans="1:26" ht="15.75" hidden="1" customHeight="1" x14ac:dyDescent="0.25">
      <c r="A1446" s="213">
        <v>38367</v>
      </c>
      <c r="B1446" s="214" t="s">
        <v>9939</v>
      </c>
      <c r="C1446" s="215" t="s">
        <v>580</v>
      </c>
      <c r="D1446" s="216">
        <v>14.99</v>
      </c>
      <c r="E1446" s="198"/>
      <c r="F1446" s="198"/>
      <c r="G1446" s="198"/>
      <c r="H1446" s="198"/>
      <c r="I1446" s="198"/>
      <c r="J1446" s="198"/>
      <c r="K1446" s="198"/>
      <c r="L1446" s="198"/>
      <c r="M1446" s="198"/>
      <c r="N1446" s="198"/>
      <c r="O1446" s="198"/>
      <c r="P1446" s="198"/>
      <c r="Q1446" s="198"/>
      <c r="R1446" s="198"/>
      <c r="S1446" s="198"/>
      <c r="T1446" s="198"/>
      <c r="U1446" s="198"/>
      <c r="V1446" s="198"/>
      <c r="W1446" s="198"/>
      <c r="X1446" s="198"/>
      <c r="Y1446" s="198"/>
      <c r="Z1446" s="198"/>
    </row>
    <row r="1447" spans="1:26" ht="15.75" hidden="1" customHeight="1" x14ac:dyDescent="0.25">
      <c r="A1447" s="213">
        <v>38091</v>
      </c>
      <c r="B1447" s="214" t="s">
        <v>9940</v>
      </c>
      <c r="C1447" s="215" t="s">
        <v>580</v>
      </c>
      <c r="D1447" s="216">
        <v>2.68</v>
      </c>
      <c r="E1447" s="198"/>
      <c r="F1447" s="198"/>
      <c r="G1447" s="198"/>
      <c r="H1447" s="198"/>
      <c r="I1447" s="198"/>
      <c r="J1447" s="198"/>
      <c r="K1447" s="198"/>
      <c r="L1447" s="198"/>
      <c r="M1447" s="198"/>
      <c r="N1447" s="198"/>
      <c r="O1447" s="198"/>
      <c r="P1447" s="198"/>
      <c r="Q1447" s="198"/>
      <c r="R1447" s="198"/>
      <c r="S1447" s="198"/>
      <c r="T1447" s="198"/>
      <c r="U1447" s="198"/>
      <c r="V1447" s="198"/>
      <c r="W1447" s="198"/>
      <c r="X1447" s="198"/>
      <c r="Y1447" s="198"/>
      <c r="Z1447" s="198"/>
    </row>
    <row r="1448" spans="1:26" ht="15.75" hidden="1" customHeight="1" x14ac:dyDescent="0.25">
      <c r="A1448" s="213">
        <v>38095</v>
      </c>
      <c r="B1448" s="214" t="s">
        <v>9941</v>
      </c>
      <c r="C1448" s="215" t="s">
        <v>580</v>
      </c>
      <c r="D1448" s="216">
        <v>5.68</v>
      </c>
      <c r="E1448" s="198"/>
      <c r="F1448" s="198"/>
      <c r="G1448" s="198"/>
      <c r="H1448" s="198"/>
      <c r="I1448" s="198"/>
      <c r="J1448" s="198"/>
      <c r="K1448" s="198"/>
      <c r="L1448" s="198"/>
      <c r="M1448" s="198"/>
      <c r="N1448" s="198"/>
      <c r="O1448" s="198"/>
      <c r="P1448" s="198"/>
      <c r="Q1448" s="198"/>
      <c r="R1448" s="198"/>
      <c r="S1448" s="198"/>
      <c r="T1448" s="198"/>
      <c r="U1448" s="198"/>
      <c r="V1448" s="198"/>
      <c r="W1448" s="198"/>
      <c r="X1448" s="198"/>
      <c r="Y1448" s="198"/>
      <c r="Z1448" s="198"/>
    </row>
    <row r="1449" spans="1:26" ht="15.75" hidden="1" customHeight="1" x14ac:dyDescent="0.25">
      <c r="A1449" s="213">
        <v>38092</v>
      </c>
      <c r="B1449" s="214" t="s">
        <v>9942</v>
      </c>
      <c r="C1449" s="215" t="s">
        <v>580</v>
      </c>
      <c r="D1449" s="216">
        <v>2.54</v>
      </c>
      <c r="E1449" s="198"/>
      <c r="F1449" s="198"/>
      <c r="G1449" s="198"/>
      <c r="H1449" s="198"/>
      <c r="I1449" s="198"/>
      <c r="J1449" s="198"/>
      <c r="K1449" s="198"/>
      <c r="L1449" s="198"/>
      <c r="M1449" s="198"/>
      <c r="N1449" s="198"/>
      <c r="O1449" s="198"/>
      <c r="P1449" s="198"/>
      <c r="Q1449" s="198"/>
      <c r="R1449" s="198"/>
      <c r="S1449" s="198"/>
      <c r="T1449" s="198"/>
      <c r="U1449" s="198"/>
      <c r="V1449" s="198"/>
      <c r="W1449" s="198"/>
      <c r="X1449" s="198"/>
      <c r="Y1449" s="198"/>
      <c r="Z1449" s="198"/>
    </row>
    <row r="1450" spans="1:26" ht="15.75" hidden="1" customHeight="1" x14ac:dyDescent="0.25">
      <c r="A1450" s="213">
        <v>38093</v>
      </c>
      <c r="B1450" s="214" t="s">
        <v>9943</v>
      </c>
      <c r="C1450" s="215" t="s">
        <v>580</v>
      </c>
      <c r="D1450" s="216">
        <v>2.63</v>
      </c>
      <c r="E1450" s="198"/>
      <c r="F1450" s="198"/>
      <c r="G1450" s="198"/>
      <c r="H1450" s="198"/>
      <c r="I1450" s="198"/>
      <c r="J1450" s="198"/>
      <c r="K1450" s="198"/>
      <c r="L1450" s="198"/>
      <c r="M1450" s="198"/>
      <c r="N1450" s="198"/>
      <c r="O1450" s="198"/>
      <c r="P1450" s="198"/>
      <c r="Q1450" s="198"/>
      <c r="R1450" s="198"/>
      <c r="S1450" s="198"/>
      <c r="T1450" s="198"/>
      <c r="U1450" s="198"/>
      <c r="V1450" s="198"/>
      <c r="W1450" s="198"/>
      <c r="X1450" s="198"/>
      <c r="Y1450" s="198"/>
      <c r="Z1450" s="198"/>
    </row>
    <row r="1451" spans="1:26" ht="15.75" hidden="1" customHeight="1" x14ac:dyDescent="0.25">
      <c r="A1451" s="213">
        <v>38096</v>
      </c>
      <c r="B1451" s="214" t="s">
        <v>9944</v>
      </c>
      <c r="C1451" s="215" t="s">
        <v>580</v>
      </c>
      <c r="D1451" s="216">
        <v>6.11</v>
      </c>
      <c r="E1451" s="198"/>
      <c r="F1451" s="198"/>
      <c r="G1451" s="198"/>
      <c r="H1451" s="198"/>
      <c r="I1451" s="198"/>
      <c r="J1451" s="198"/>
      <c r="K1451" s="198"/>
      <c r="L1451" s="198"/>
      <c r="M1451" s="198"/>
      <c r="N1451" s="198"/>
      <c r="O1451" s="198"/>
      <c r="P1451" s="198"/>
      <c r="Q1451" s="198"/>
      <c r="R1451" s="198"/>
      <c r="S1451" s="198"/>
      <c r="T1451" s="198"/>
      <c r="U1451" s="198"/>
      <c r="V1451" s="198"/>
      <c r="W1451" s="198"/>
      <c r="X1451" s="198"/>
      <c r="Y1451" s="198"/>
      <c r="Z1451" s="198"/>
    </row>
    <row r="1452" spans="1:26" ht="15.75" hidden="1" customHeight="1" x14ac:dyDescent="0.25">
      <c r="A1452" s="213">
        <v>38094</v>
      </c>
      <c r="B1452" s="214" t="s">
        <v>9945</v>
      </c>
      <c r="C1452" s="215" t="s">
        <v>580</v>
      </c>
      <c r="D1452" s="216">
        <v>3.22</v>
      </c>
      <c r="E1452" s="198"/>
      <c r="F1452" s="198"/>
      <c r="G1452" s="198"/>
      <c r="H1452" s="198"/>
      <c r="I1452" s="198"/>
      <c r="J1452" s="198"/>
      <c r="K1452" s="198"/>
      <c r="L1452" s="198"/>
      <c r="M1452" s="198"/>
      <c r="N1452" s="198"/>
      <c r="O1452" s="198"/>
      <c r="P1452" s="198"/>
      <c r="Q1452" s="198"/>
      <c r="R1452" s="198"/>
      <c r="S1452" s="198"/>
      <c r="T1452" s="198"/>
      <c r="U1452" s="198"/>
      <c r="V1452" s="198"/>
      <c r="W1452" s="198"/>
      <c r="X1452" s="198"/>
      <c r="Y1452" s="198"/>
      <c r="Z1452" s="198"/>
    </row>
    <row r="1453" spans="1:26" ht="15.75" hidden="1" customHeight="1" x14ac:dyDescent="0.25">
      <c r="A1453" s="213">
        <v>38097</v>
      </c>
      <c r="B1453" s="214" t="s">
        <v>9946</v>
      </c>
      <c r="C1453" s="215" t="s">
        <v>580</v>
      </c>
      <c r="D1453" s="216">
        <v>6.55</v>
      </c>
      <c r="E1453" s="198"/>
      <c r="F1453" s="198"/>
      <c r="G1453" s="198"/>
      <c r="H1453" s="198"/>
      <c r="I1453" s="198"/>
      <c r="J1453" s="198"/>
      <c r="K1453" s="198"/>
      <c r="L1453" s="198"/>
      <c r="M1453" s="198"/>
      <c r="N1453" s="198"/>
      <c r="O1453" s="198"/>
      <c r="P1453" s="198"/>
      <c r="Q1453" s="198"/>
      <c r="R1453" s="198"/>
      <c r="S1453" s="198"/>
      <c r="T1453" s="198"/>
      <c r="U1453" s="198"/>
      <c r="V1453" s="198"/>
      <c r="W1453" s="198"/>
      <c r="X1453" s="198"/>
      <c r="Y1453" s="198"/>
      <c r="Z1453" s="198"/>
    </row>
    <row r="1454" spans="1:26" ht="15.75" hidden="1" customHeight="1" x14ac:dyDescent="0.25">
      <c r="A1454" s="213">
        <v>38098</v>
      </c>
      <c r="B1454" s="214" t="s">
        <v>9947</v>
      </c>
      <c r="C1454" s="215" t="s">
        <v>580</v>
      </c>
      <c r="D1454" s="216">
        <v>6.55</v>
      </c>
      <c r="E1454" s="198"/>
      <c r="F1454" s="198"/>
      <c r="G1454" s="198"/>
      <c r="H1454" s="198"/>
      <c r="I1454" s="198"/>
      <c r="J1454" s="198"/>
      <c r="K1454" s="198"/>
      <c r="L1454" s="198"/>
      <c r="M1454" s="198"/>
      <c r="N1454" s="198"/>
      <c r="O1454" s="198"/>
      <c r="P1454" s="198"/>
      <c r="Q1454" s="198"/>
      <c r="R1454" s="198"/>
      <c r="S1454" s="198"/>
      <c r="T1454" s="198"/>
      <c r="U1454" s="198"/>
      <c r="V1454" s="198"/>
      <c r="W1454" s="198"/>
      <c r="X1454" s="198"/>
      <c r="Y1454" s="198"/>
      <c r="Z1454" s="198"/>
    </row>
    <row r="1455" spans="1:26" ht="15.75" hidden="1" customHeight="1" x14ac:dyDescent="0.25">
      <c r="A1455" s="213">
        <v>11186</v>
      </c>
      <c r="B1455" s="214" t="s">
        <v>9948</v>
      </c>
      <c r="C1455" s="215" t="s">
        <v>578</v>
      </c>
      <c r="D1455" s="216">
        <v>415.66</v>
      </c>
      <c r="E1455" s="198"/>
      <c r="F1455" s="198"/>
      <c r="G1455" s="198"/>
      <c r="H1455" s="198"/>
      <c r="I1455" s="198"/>
      <c r="J1455" s="198"/>
      <c r="K1455" s="198"/>
      <c r="L1455" s="198"/>
      <c r="M1455" s="198"/>
      <c r="N1455" s="198"/>
      <c r="O1455" s="198"/>
      <c r="P1455" s="198"/>
      <c r="Q1455" s="198"/>
      <c r="R1455" s="198"/>
      <c r="S1455" s="198"/>
      <c r="T1455" s="198"/>
      <c r="U1455" s="198"/>
      <c r="V1455" s="198"/>
      <c r="W1455" s="198"/>
      <c r="X1455" s="198"/>
      <c r="Y1455" s="198"/>
      <c r="Z1455" s="198"/>
    </row>
    <row r="1456" spans="1:26" ht="15.75" hidden="1" customHeight="1" x14ac:dyDescent="0.25">
      <c r="A1456" s="213">
        <v>11558</v>
      </c>
      <c r="B1456" s="214" t="s">
        <v>9949</v>
      </c>
      <c r="C1456" s="215" t="s">
        <v>8838</v>
      </c>
      <c r="D1456" s="216">
        <v>13.98</v>
      </c>
      <c r="E1456" s="198"/>
      <c r="F1456" s="198"/>
      <c r="G1456" s="198"/>
      <c r="H1456" s="198"/>
      <c r="I1456" s="198"/>
      <c r="J1456" s="198"/>
      <c r="K1456" s="198"/>
      <c r="L1456" s="198"/>
      <c r="M1456" s="198"/>
      <c r="N1456" s="198"/>
      <c r="O1456" s="198"/>
      <c r="P1456" s="198"/>
      <c r="Q1456" s="198"/>
      <c r="R1456" s="198"/>
      <c r="S1456" s="198"/>
      <c r="T1456" s="198"/>
      <c r="U1456" s="198"/>
      <c r="V1456" s="198"/>
      <c r="W1456" s="198"/>
      <c r="X1456" s="198"/>
      <c r="Y1456" s="198"/>
      <c r="Z1456" s="198"/>
    </row>
    <row r="1457" spans="1:26" ht="15.75" hidden="1" customHeight="1" x14ac:dyDescent="0.25">
      <c r="A1457" s="213">
        <v>11557</v>
      </c>
      <c r="B1457" s="214" t="s">
        <v>9950</v>
      </c>
      <c r="C1457" s="215" t="s">
        <v>8838</v>
      </c>
      <c r="D1457" s="216">
        <v>35.39</v>
      </c>
      <c r="E1457" s="198"/>
      <c r="F1457" s="198"/>
      <c r="G1457" s="198"/>
      <c r="H1457" s="198"/>
      <c r="I1457" s="198"/>
      <c r="J1457" s="198"/>
      <c r="K1457" s="198"/>
      <c r="L1457" s="198"/>
      <c r="M1457" s="198"/>
      <c r="N1457" s="198"/>
      <c r="O1457" s="198"/>
      <c r="P1457" s="198"/>
      <c r="Q1457" s="198"/>
      <c r="R1457" s="198"/>
      <c r="S1457" s="198"/>
      <c r="T1457" s="198"/>
      <c r="U1457" s="198"/>
      <c r="V1457" s="198"/>
      <c r="W1457" s="198"/>
      <c r="X1457" s="198"/>
      <c r="Y1457" s="198"/>
      <c r="Z1457" s="198"/>
    </row>
    <row r="1458" spans="1:26" ht="15.75" hidden="1" customHeight="1" x14ac:dyDescent="0.25">
      <c r="A1458" s="213">
        <v>38124</v>
      </c>
      <c r="B1458" s="214" t="s">
        <v>9951</v>
      </c>
      <c r="C1458" s="215" t="s">
        <v>580</v>
      </c>
      <c r="D1458" s="216">
        <v>27.5</v>
      </c>
      <c r="E1458" s="198"/>
      <c r="F1458" s="198"/>
      <c r="G1458" s="198"/>
      <c r="H1458" s="198"/>
      <c r="I1458" s="198"/>
      <c r="J1458" s="198"/>
      <c r="K1458" s="198"/>
      <c r="L1458" s="198"/>
      <c r="M1458" s="198"/>
      <c r="N1458" s="198"/>
      <c r="O1458" s="198"/>
      <c r="P1458" s="198"/>
      <c r="Q1458" s="198"/>
      <c r="R1458" s="198"/>
      <c r="S1458" s="198"/>
      <c r="T1458" s="198"/>
      <c r="U1458" s="198"/>
      <c r="V1458" s="198"/>
      <c r="W1458" s="198"/>
      <c r="X1458" s="198"/>
      <c r="Y1458" s="198"/>
      <c r="Z1458" s="198"/>
    </row>
    <row r="1459" spans="1:26" ht="15.75" hidden="1" customHeight="1" x14ac:dyDescent="0.25">
      <c r="A1459" s="213">
        <v>38380</v>
      </c>
      <c r="B1459" s="214" t="s">
        <v>9952</v>
      </c>
      <c r="C1459" s="215" t="s">
        <v>580</v>
      </c>
      <c r="D1459" s="216">
        <v>23.82</v>
      </c>
      <c r="E1459" s="198"/>
      <c r="F1459" s="198"/>
      <c r="G1459" s="198"/>
      <c r="H1459" s="198"/>
      <c r="I1459" s="198"/>
      <c r="J1459" s="198"/>
      <c r="K1459" s="198"/>
      <c r="L1459" s="198"/>
      <c r="M1459" s="198"/>
      <c r="N1459" s="198"/>
      <c r="O1459" s="198"/>
      <c r="P1459" s="198"/>
      <c r="Q1459" s="198"/>
      <c r="R1459" s="198"/>
      <c r="S1459" s="198"/>
      <c r="T1459" s="198"/>
      <c r="U1459" s="198"/>
      <c r="V1459" s="198"/>
      <c r="W1459" s="198"/>
      <c r="X1459" s="198"/>
      <c r="Y1459" s="198"/>
      <c r="Z1459" s="198"/>
    </row>
    <row r="1460" spans="1:26" ht="15.75" hidden="1" customHeight="1" x14ac:dyDescent="0.25">
      <c r="A1460" s="213">
        <v>38384</v>
      </c>
      <c r="B1460" s="214" t="s">
        <v>9953</v>
      </c>
      <c r="C1460" s="215" t="s">
        <v>580</v>
      </c>
      <c r="D1460" s="216">
        <v>18.579999999999998</v>
      </c>
      <c r="E1460" s="198"/>
      <c r="F1460" s="198"/>
      <c r="G1460" s="198"/>
      <c r="H1460" s="198"/>
      <c r="I1460" s="198"/>
      <c r="J1460" s="198"/>
      <c r="K1460" s="198"/>
      <c r="L1460" s="198"/>
      <c r="M1460" s="198"/>
      <c r="N1460" s="198"/>
      <c r="O1460" s="198"/>
      <c r="P1460" s="198"/>
      <c r="Q1460" s="198"/>
      <c r="R1460" s="198"/>
      <c r="S1460" s="198"/>
      <c r="T1460" s="198"/>
      <c r="U1460" s="198"/>
      <c r="V1460" s="198"/>
      <c r="W1460" s="198"/>
      <c r="X1460" s="198"/>
      <c r="Y1460" s="198"/>
      <c r="Z1460" s="198"/>
    </row>
    <row r="1461" spans="1:26" ht="15.75" hidden="1" customHeight="1" x14ac:dyDescent="0.25">
      <c r="A1461" s="213">
        <v>13</v>
      </c>
      <c r="B1461" s="214" t="s">
        <v>9954</v>
      </c>
      <c r="C1461" s="215" t="s">
        <v>823</v>
      </c>
      <c r="D1461" s="216">
        <v>21.4</v>
      </c>
      <c r="E1461" s="198"/>
      <c r="F1461" s="198"/>
      <c r="G1461" s="198"/>
      <c r="H1461" s="198"/>
      <c r="I1461" s="198"/>
      <c r="J1461" s="198"/>
      <c r="K1461" s="198"/>
      <c r="L1461" s="198"/>
      <c r="M1461" s="198"/>
      <c r="N1461" s="198"/>
      <c r="O1461" s="198"/>
      <c r="P1461" s="198"/>
      <c r="Q1461" s="198"/>
      <c r="R1461" s="198"/>
      <c r="S1461" s="198"/>
      <c r="T1461" s="198"/>
      <c r="U1461" s="198"/>
      <c r="V1461" s="198"/>
      <c r="W1461" s="198"/>
      <c r="X1461" s="198"/>
      <c r="Y1461" s="198"/>
      <c r="Z1461" s="198"/>
    </row>
    <row r="1462" spans="1:26" ht="15.75" hidden="1" customHeight="1" x14ac:dyDescent="0.25">
      <c r="A1462" s="213">
        <v>21142</v>
      </c>
      <c r="B1462" s="214" t="s">
        <v>9955</v>
      </c>
      <c r="C1462" s="215" t="s">
        <v>580</v>
      </c>
      <c r="D1462" s="216">
        <v>23.57</v>
      </c>
      <c r="E1462" s="198"/>
      <c r="F1462" s="198"/>
      <c r="G1462" s="198"/>
      <c r="H1462" s="198"/>
      <c r="I1462" s="198"/>
      <c r="J1462" s="198"/>
      <c r="K1462" s="198"/>
      <c r="L1462" s="198"/>
      <c r="M1462" s="198"/>
      <c r="N1462" s="198"/>
      <c r="O1462" s="198"/>
      <c r="P1462" s="198"/>
      <c r="Q1462" s="198"/>
      <c r="R1462" s="198"/>
      <c r="S1462" s="198"/>
      <c r="T1462" s="198"/>
      <c r="U1462" s="198"/>
      <c r="V1462" s="198"/>
      <c r="W1462" s="198"/>
      <c r="X1462" s="198"/>
      <c r="Y1462" s="198"/>
      <c r="Z1462" s="198"/>
    </row>
    <row r="1463" spans="1:26" ht="15.75" hidden="1" customHeight="1" x14ac:dyDescent="0.25">
      <c r="A1463" s="213">
        <v>4223</v>
      </c>
      <c r="B1463" s="214" t="s">
        <v>9956</v>
      </c>
      <c r="C1463" s="215" t="s">
        <v>517</v>
      </c>
      <c r="D1463" s="216">
        <v>4.59</v>
      </c>
      <c r="E1463" s="198"/>
      <c r="F1463" s="198"/>
      <c r="G1463" s="198"/>
      <c r="H1463" s="198"/>
      <c r="I1463" s="198"/>
      <c r="J1463" s="198"/>
      <c r="K1463" s="198"/>
      <c r="L1463" s="198"/>
      <c r="M1463" s="198"/>
      <c r="N1463" s="198"/>
      <c r="O1463" s="198"/>
      <c r="P1463" s="198"/>
      <c r="Q1463" s="198"/>
      <c r="R1463" s="198"/>
      <c r="S1463" s="198"/>
      <c r="T1463" s="198"/>
      <c r="U1463" s="198"/>
      <c r="V1463" s="198"/>
      <c r="W1463" s="198"/>
      <c r="X1463" s="198"/>
      <c r="Y1463" s="198"/>
      <c r="Z1463" s="198"/>
    </row>
    <row r="1464" spans="1:26" ht="15.75" hidden="1" customHeight="1" x14ac:dyDescent="0.25">
      <c r="A1464" s="213">
        <v>37372</v>
      </c>
      <c r="B1464" s="214" t="s">
        <v>9957</v>
      </c>
      <c r="C1464" s="215" t="s">
        <v>2193</v>
      </c>
      <c r="D1464" s="216">
        <v>1.43</v>
      </c>
      <c r="E1464" s="198"/>
      <c r="F1464" s="198"/>
      <c r="G1464" s="198"/>
      <c r="H1464" s="198"/>
      <c r="I1464" s="198"/>
      <c r="J1464" s="198"/>
      <c r="K1464" s="198"/>
      <c r="L1464" s="198"/>
      <c r="M1464" s="198"/>
      <c r="N1464" s="198"/>
      <c r="O1464" s="198"/>
      <c r="P1464" s="198"/>
      <c r="Q1464" s="198"/>
      <c r="R1464" s="198"/>
      <c r="S1464" s="198"/>
      <c r="T1464" s="198"/>
      <c r="U1464" s="198"/>
      <c r="V1464" s="198"/>
      <c r="W1464" s="198"/>
      <c r="X1464" s="198"/>
      <c r="Y1464" s="198"/>
      <c r="Z1464" s="198"/>
    </row>
    <row r="1465" spans="1:26" ht="15.75" hidden="1" customHeight="1" x14ac:dyDescent="0.25">
      <c r="A1465" s="213">
        <v>40863</v>
      </c>
      <c r="B1465" s="214" t="s">
        <v>9958</v>
      </c>
      <c r="C1465" s="215" t="s">
        <v>6214</v>
      </c>
      <c r="D1465" s="216">
        <v>270.51</v>
      </c>
      <c r="E1465" s="198"/>
      <c r="F1465" s="198"/>
      <c r="G1465" s="198"/>
      <c r="H1465" s="198"/>
      <c r="I1465" s="198"/>
      <c r="J1465" s="198"/>
      <c r="K1465" s="198"/>
      <c r="L1465" s="198"/>
      <c r="M1465" s="198"/>
      <c r="N1465" s="198"/>
      <c r="O1465" s="198"/>
      <c r="P1465" s="198"/>
      <c r="Q1465" s="198"/>
      <c r="R1465" s="198"/>
      <c r="S1465" s="198"/>
      <c r="T1465" s="198"/>
      <c r="U1465" s="198"/>
      <c r="V1465" s="198"/>
      <c r="W1465" s="198"/>
      <c r="X1465" s="198"/>
      <c r="Y1465" s="198"/>
      <c r="Z1465" s="198"/>
    </row>
    <row r="1466" spans="1:26" ht="15.75" hidden="1" customHeight="1" x14ac:dyDescent="0.25">
      <c r="A1466" s="213">
        <v>38475</v>
      </c>
      <c r="B1466" s="214" t="s">
        <v>9959</v>
      </c>
      <c r="C1466" s="215" t="s">
        <v>580</v>
      </c>
      <c r="D1466" s="216">
        <v>30.09</v>
      </c>
      <c r="E1466" s="198"/>
      <c r="F1466" s="198"/>
      <c r="G1466" s="198"/>
      <c r="H1466" s="198"/>
      <c r="I1466" s="198"/>
      <c r="J1466" s="198"/>
      <c r="K1466" s="198"/>
      <c r="L1466" s="198"/>
      <c r="M1466" s="198"/>
      <c r="N1466" s="198"/>
      <c r="O1466" s="198"/>
      <c r="P1466" s="198"/>
      <c r="Q1466" s="198"/>
      <c r="R1466" s="198"/>
      <c r="S1466" s="198"/>
      <c r="T1466" s="198"/>
      <c r="U1466" s="198"/>
      <c r="V1466" s="198"/>
      <c r="W1466" s="198"/>
      <c r="X1466" s="198"/>
      <c r="Y1466" s="198"/>
      <c r="Z1466" s="198"/>
    </row>
    <row r="1467" spans="1:26" ht="15.75" hidden="1" customHeight="1" x14ac:dyDescent="0.25">
      <c r="A1467" s="213">
        <v>38474</v>
      </c>
      <c r="B1467" s="214" t="s">
        <v>9960</v>
      </c>
      <c r="C1467" s="215" t="s">
        <v>580</v>
      </c>
      <c r="D1467" s="216">
        <v>37.200000000000003</v>
      </c>
      <c r="E1467" s="198"/>
      <c r="F1467" s="198"/>
      <c r="G1467" s="198"/>
      <c r="H1467" s="198"/>
      <c r="I1467" s="198"/>
      <c r="J1467" s="198"/>
      <c r="K1467" s="198"/>
      <c r="L1467" s="198"/>
      <c r="M1467" s="198"/>
      <c r="N1467" s="198"/>
      <c r="O1467" s="198"/>
      <c r="P1467" s="198"/>
      <c r="Q1467" s="198"/>
      <c r="R1467" s="198"/>
      <c r="S1467" s="198"/>
      <c r="T1467" s="198"/>
      <c r="U1467" s="198"/>
      <c r="V1467" s="198"/>
      <c r="W1467" s="198"/>
      <c r="X1467" s="198"/>
      <c r="Y1467" s="198"/>
      <c r="Z1467" s="198"/>
    </row>
    <row r="1468" spans="1:26" ht="15.75" hidden="1" customHeight="1" x14ac:dyDescent="0.25">
      <c r="A1468" s="213">
        <v>10886</v>
      </c>
      <c r="B1468" s="214" t="s">
        <v>9961</v>
      </c>
      <c r="C1468" s="215" t="s">
        <v>580</v>
      </c>
      <c r="D1468" s="216">
        <v>192.5</v>
      </c>
      <c r="E1468" s="198"/>
      <c r="F1468" s="198"/>
      <c r="G1468" s="198"/>
      <c r="H1468" s="198"/>
      <c r="I1468" s="198"/>
      <c r="J1468" s="198"/>
      <c r="K1468" s="198"/>
      <c r="L1468" s="198"/>
      <c r="M1468" s="198"/>
      <c r="N1468" s="198"/>
      <c r="O1468" s="198"/>
      <c r="P1468" s="198"/>
      <c r="Q1468" s="198"/>
      <c r="R1468" s="198"/>
      <c r="S1468" s="198"/>
      <c r="T1468" s="198"/>
      <c r="U1468" s="198"/>
      <c r="V1468" s="198"/>
      <c r="W1468" s="198"/>
      <c r="X1468" s="198"/>
      <c r="Y1468" s="198"/>
      <c r="Z1468" s="198"/>
    </row>
    <row r="1469" spans="1:26" ht="15.75" hidden="1" customHeight="1" x14ac:dyDescent="0.25">
      <c r="A1469" s="213">
        <v>10888</v>
      </c>
      <c r="B1469" s="214" t="s">
        <v>9962</v>
      </c>
      <c r="C1469" s="215" t="s">
        <v>580</v>
      </c>
      <c r="D1469" s="216">
        <v>609.23</v>
      </c>
      <c r="E1469" s="198"/>
      <c r="F1469" s="198"/>
      <c r="G1469" s="198"/>
      <c r="H1469" s="198"/>
      <c r="I1469" s="198"/>
      <c r="J1469" s="198"/>
      <c r="K1469" s="198"/>
      <c r="L1469" s="198"/>
      <c r="M1469" s="198"/>
      <c r="N1469" s="198"/>
      <c r="O1469" s="198"/>
      <c r="P1469" s="198"/>
      <c r="Q1469" s="198"/>
      <c r="R1469" s="198"/>
      <c r="S1469" s="198"/>
      <c r="T1469" s="198"/>
      <c r="U1469" s="198"/>
      <c r="V1469" s="198"/>
      <c r="W1469" s="198"/>
      <c r="X1469" s="198"/>
      <c r="Y1469" s="198"/>
      <c r="Z1469" s="198"/>
    </row>
    <row r="1470" spans="1:26" ht="15.75" hidden="1" customHeight="1" x14ac:dyDescent="0.25">
      <c r="A1470" s="213">
        <v>10889</v>
      </c>
      <c r="B1470" s="214" t="s">
        <v>9963</v>
      </c>
      <c r="C1470" s="215" t="s">
        <v>580</v>
      </c>
      <c r="D1470" s="216">
        <v>660</v>
      </c>
      <c r="E1470" s="198"/>
      <c r="F1470" s="198"/>
      <c r="G1470" s="198"/>
      <c r="H1470" s="198"/>
      <c r="I1470" s="198"/>
      <c r="J1470" s="198"/>
      <c r="K1470" s="198"/>
      <c r="L1470" s="198"/>
      <c r="M1470" s="198"/>
      <c r="N1470" s="198"/>
      <c r="O1470" s="198"/>
      <c r="P1470" s="198"/>
      <c r="Q1470" s="198"/>
      <c r="R1470" s="198"/>
      <c r="S1470" s="198"/>
      <c r="T1470" s="198"/>
      <c r="U1470" s="198"/>
      <c r="V1470" s="198"/>
      <c r="W1470" s="198"/>
      <c r="X1470" s="198"/>
      <c r="Y1470" s="198"/>
      <c r="Z1470" s="198"/>
    </row>
    <row r="1471" spans="1:26" ht="15.75" hidden="1" customHeight="1" x14ac:dyDescent="0.25">
      <c r="A1471" s="213">
        <v>10890</v>
      </c>
      <c r="B1471" s="214" t="s">
        <v>9964</v>
      </c>
      <c r="C1471" s="215" t="s">
        <v>580</v>
      </c>
      <c r="D1471" s="216">
        <v>304.61</v>
      </c>
      <c r="E1471" s="198"/>
      <c r="F1471" s="198"/>
      <c r="G1471" s="198"/>
      <c r="H1471" s="198"/>
      <c r="I1471" s="198"/>
      <c r="J1471" s="198"/>
      <c r="K1471" s="198"/>
      <c r="L1471" s="198"/>
      <c r="M1471" s="198"/>
      <c r="N1471" s="198"/>
      <c r="O1471" s="198"/>
      <c r="P1471" s="198"/>
      <c r="Q1471" s="198"/>
      <c r="R1471" s="198"/>
      <c r="S1471" s="198"/>
      <c r="T1471" s="198"/>
      <c r="U1471" s="198"/>
      <c r="V1471" s="198"/>
      <c r="W1471" s="198"/>
      <c r="X1471" s="198"/>
      <c r="Y1471" s="198"/>
      <c r="Z1471" s="198"/>
    </row>
    <row r="1472" spans="1:26" ht="15.75" hidden="1" customHeight="1" x14ac:dyDescent="0.25">
      <c r="A1472" s="213">
        <v>10891</v>
      </c>
      <c r="B1472" s="214" t="s">
        <v>9965</v>
      </c>
      <c r="C1472" s="215" t="s">
        <v>580</v>
      </c>
      <c r="D1472" s="216">
        <v>186.15</v>
      </c>
      <c r="E1472" s="198"/>
      <c r="F1472" s="198"/>
      <c r="G1472" s="198"/>
      <c r="H1472" s="198"/>
      <c r="I1472" s="198"/>
      <c r="J1472" s="198"/>
      <c r="K1472" s="198"/>
      <c r="L1472" s="198"/>
      <c r="M1472" s="198"/>
      <c r="N1472" s="198"/>
      <c r="O1472" s="198"/>
      <c r="P1472" s="198"/>
      <c r="Q1472" s="198"/>
      <c r="R1472" s="198"/>
      <c r="S1472" s="198"/>
      <c r="T1472" s="198"/>
      <c r="U1472" s="198"/>
      <c r="V1472" s="198"/>
      <c r="W1472" s="198"/>
      <c r="X1472" s="198"/>
      <c r="Y1472" s="198"/>
      <c r="Z1472" s="198"/>
    </row>
    <row r="1473" spans="1:26" ht="15.75" hidden="1" customHeight="1" x14ac:dyDescent="0.25">
      <c r="A1473" s="213">
        <v>10892</v>
      </c>
      <c r="B1473" s="214" t="s">
        <v>9966</v>
      </c>
      <c r="C1473" s="215" t="s">
        <v>580</v>
      </c>
      <c r="D1473" s="216">
        <v>220</v>
      </c>
      <c r="E1473" s="198"/>
      <c r="F1473" s="198"/>
      <c r="G1473" s="198"/>
      <c r="H1473" s="198"/>
      <c r="I1473" s="198"/>
      <c r="J1473" s="198"/>
      <c r="K1473" s="198"/>
      <c r="L1473" s="198"/>
      <c r="M1473" s="198"/>
      <c r="N1473" s="198"/>
      <c r="O1473" s="198"/>
      <c r="P1473" s="198"/>
      <c r="Q1473" s="198"/>
      <c r="R1473" s="198"/>
      <c r="S1473" s="198"/>
      <c r="T1473" s="198"/>
      <c r="U1473" s="198"/>
      <c r="V1473" s="198"/>
      <c r="W1473" s="198"/>
      <c r="X1473" s="198"/>
      <c r="Y1473" s="198"/>
      <c r="Z1473" s="198"/>
    </row>
    <row r="1474" spans="1:26" ht="15.75" hidden="1" customHeight="1" x14ac:dyDescent="0.25">
      <c r="A1474" s="213">
        <v>20977</v>
      </c>
      <c r="B1474" s="214" t="s">
        <v>9967</v>
      </c>
      <c r="C1474" s="215" t="s">
        <v>580</v>
      </c>
      <c r="D1474" s="216">
        <v>262.3</v>
      </c>
      <c r="E1474" s="198"/>
      <c r="F1474" s="198"/>
      <c r="G1474" s="198"/>
      <c r="H1474" s="198"/>
      <c r="I1474" s="198"/>
      <c r="J1474" s="198"/>
      <c r="K1474" s="198"/>
      <c r="L1474" s="198"/>
      <c r="M1474" s="198"/>
      <c r="N1474" s="198"/>
      <c r="O1474" s="198"/>
      <c r="P1474" s="198"/>
      <c r="Q1474" s="198"/>
      <c r="R1474" s="198"/>
      <c r="S1474" s="198"/>
      <c r="T1474" s="198"/>
      <c r="U1474" s="198"/>
      <c r="V1474" s="198"/>
      <c r="W1474" s="198"/>
      <c r="X1474" s="198"/>
      <c r="Y1474" s="198"/>
      <c r="Z1474" s="198"/>
    </row>
    <row r="1475" spans="1:26" ht="15.75" hidden="1" customHeight="1" x14ac:dyDescent="0.25">
      <c r="A1475" s="213">
        <v>11480</v>
      </c>
      <c r="B1475" s="214" t="s">
        <v>9968</v>
      </c>
      <c r="C1475" s="215" t="s">
        <v>9561</v>
      </c>
      <c r="D1475" s="216">
        <v>126.21</v>
      </c>
      <c r="E1475" s="198"/>
      <c r="F1475" s="198"/>
      <c r="G1475" s="198"/>
      <c r="H1475" s="198"/>
      <c r="I1475" s="198"/>
      <c r="J1475" s="198"/>
      <c r="K1475" s="198"/>
      <c r="L1475" s="198"/>
      <c r="M1475" s="198"/>
      <c r="N1475" s="198"/>
      <c r="O1475" s="198"/>
      <c r="P1475" s="198"/>
      <c r="Q1475" s="198"/>
      <c r="R1475" s="198"/>
      <c r="S1475" s="198"/>
      <c r="T1475" s="198"/>
      <c r="U1475" s="198"/>
      <c r="V1475" s="198"/>
      <c r="W1475" s="198"/>
      <c r="X1475" s="198"/>
      <c r="Y1475" s="198"/>
      <c r="Z1475" s="198"/>
    </row>
    <row r="1476" spans="1:26" ht="15.75" hidden="1" customHeight="1" x14ac:dyDescent="0.25">
      <c r="A1476" s="213">
        <v>43612</v>
      </c>
      <c r="B1476" s="214" t="s">
        <v>9969</v>
      </c>
      <c r="C1476" s="215" t="s">
        <v>9561</v>
      </c>
      <c r="D1476" s="216">
        <v>99.34</v>
      </c>
      <c r="E1476" s="198"/>
      <c r="F1476" s="198"/>
      <c r="G1476" s="198"/>
      <c r="H1476" s="198"/>
      <c r="I1476" s="198"/>
      <c r="J1476" s="198"/>
      <c r="K1476" s="198"/>
      <c r="L1476" s="198"/>
      <c r="M1476" s="198"/>
      <c r="N1476" s="198"/>
      <c r="O1476" s="198"/>
      <c r="P1476" s="198"/>
      <c r="Q1476" s="198"/>
      <c r="R1476" s="198"/>
      <c r="S1476" s="198"/>
      <c r="T1476" s="198"/>
      <c r="U1476" s="198"/>
      <c r="V1476" s="198"/>
      <c r="W1476" s="198"/>
      <c r="X1476" s="198"/>
      <c r="Y1476" s="198"/>
      <c r="Z1476" s="198"/>
    </row>
    <row r="1477" spans="1:26" ht="15.75" hidden="1" customHeight="1" x14ac:dyDescent="0.25">
      <c r="A1477" s="213">
        <v>43613</v>
      </c>
      <c r="B1477" s="214" t="s">
        <v>9970</v>
      </c>
      <c r="C1477" s="215" t="s">
        <v>9561</v>
      </c>
      <c r="D1477" s="216">
        <v>82.24</v>
      </c>
      <c r="E1477" s="198"/>
      <c r="F1477" s="198"/>
      <c r="G1477" s="198"/>
      <c r="H1477" s="198"/>
      <c r="I1477" s="198"/>
      <c r="J1477" s="198"/>
      <c r="K1477" s="198"/>
      <c r="L1477" s="198"/>
      <c r="M1477" s="198"/>
      <c r="N1477" s="198"/>
      <c r="O1477" s="198"/>
      <c r="P1477" s="198"/>
      <c r="Q1477" s="198"/>
      <c r="R1477" s="198"/>
      <c r="S1477" s="198"/>
      <c r="T1477" s="198"/>
      <c r="U1477" s="198"/>
      <c r="V1477" s="198"/>
      <c r="W1477" s="198"/>
      <c r="X1477" s="198"/>
      <c r="Y1477" s="198"/>
      <c r="Z1477" s="198"/>
    </row>
    <row r="1478" spans="1:26" ht="15.75" hidden="1" customHeight="1" x14ac:dyDescent="0.25">
      <c r="A1478" s="213">
        <v>11469</v>
      </c>
      <c r="B1478" s="214" t="s">
        <v>9971</v>
      </c>
      <c r="C1478" s="215" t="s">
        <v>580</v>
      </c>
      <c r="D1478" s="216">
        <v>13.47</v>
      </c>
      <c r="E1478" s="198"/>
      <c r="F1478" s="198"/>
      <c r="G1478" s="198"/>
      <c r="H1478" s="198"/>
      <c r="I1478" s="198"/>
      <c r="J1478" s="198"/>
      <c r="K1478" s="198"/>
      <c r="L1478" s="198"/>
      <c r="M1478" s="198"/>
      <c r="N1478" s="198"/>
      <c r="O1478" s="198"/>
      <c r="P1478" s="198"/>
      <c r="Q1478" s="198"/>
      <c r="R1478" s="198"/>
      <c r="S1478" s="198"/>
      <c r="T1478" s="198"/>
      <c r="U1478" s="198"/>
      <c r="V1478" s="198"/>
      <c r="W1478" s="198"/>
      <c r="X1478" s="198"/>
      <c r="Y1478" s="198"/>
      <c r="Z1478" s="198"/>
    </row>
    <row r="1479" spans="1:26" ht="15.75" hidden="1" customHeight="1" x14ac:dyDescent="0.25">
      <c r="A1479" s="213">
        <v>11468</v>
      </c>
      <c r="B1479" s="214" t="s">
        <v>9972</v>
      </c>
      <c r="C1479" s="215" t="s">
        <v>580</v>
      </c>
      <c r="D1479" s="216">
        <v>13.48</v>
      </c>
      <c r="E1479" s="198"/>
      <c r="F1479" s="198"/>
      <c r="G1479" s="198"/>
      <c r="H1479" s="198"/>
      <c r="I1479" s="198"/>
      <c r="J1479" s="198"/>
      <c r="K1479" s="198"/>
      <c r="L1479" s="198"/>
      <c r="M1479" s="198"/>
      <c r="N1479" s="198"/>
      <c r="O1479" s="198"/>
      <c r="P1479" s="198"/>
      <c r="Q1479" s="198"/>
      <c r="R1479" s="198"/>
      <c r="S1479" s="198"/>
      <c r="T1479" s="198"/>
      <c r="U1479" s="198"/>
      <c r="V1479" s="198"/>
      <c r="W1479" s="198"/>
      <c r="X1479" s="198"/>
      <c r="Y1479" s="198"/>
      <c r="Z1479" s="198"/>
    </row>
    <row r="1480" spans="1:26" ht="15.75" hidden="1" customHeight="1" x14ac:dyDescent="0.25">
      <c r="A1480" s="213">
        <v>11484</v>
      </c>
      <c r="B1480" s="214" t="s">
        <v>9973</v>
      </c>
      <c r="C1480" s="215" t="s">
        <v>580</v>
      </c>
      <c r="D1480" s="216">
        <v>59.21</v>
      </c>
      <c r="E1480" s="198"/>
      <c r="F1480" s="198"/>
      <c r="G1480" s="198"/>
      <c r="H1480" s="198"/>
      <c r="I1480" s="198"/>
      <c r="J1480" s="198"/>
      <c r="K1480" s="198"/>
      <c r="L1480" s="198"/>
      <c r="M1480" s="198"/>
      <c r="N1480" s="198"/>
      <c r="O1480" s="198"/>
      <c r="P1480" s="198"/>
      <c r="Q1480" s="198"/>
      <c r="R1480" s="198"/>
      <c r="S1480" s="198"/>
      <c r="T1480" s="198"/>
      <c r="U1480" s="198"/>
      <c r="V1480" s="198"/>
      <c r="W1480" s="198"/>
      <c r="X1480" s="198"/>
      <c r="Y1480" s="198"/>
      <c r="Z1480" s="198"/>
    </row>
    <row r="1481" spans="1:26" ht="15.75" hidden="1" customHeight="1" x14ac:dyDescent="0.25">
      <c r="A1481" s="213">
        <v>38155</v>
      </c>
      <c r="B1481" s="214" t="s">
        <v>9974</v>
      </c>
      <c r="C1481" s="215" t="s">
        <v>580</v>
      </c>
      <c r="D1481" s="216">
        <v>91.93</v>
      </c>
      <c r="E1481" s="198"/>
      <c r="F1481" s="198"/>
      <c r="G1481" s="198"/>
      <c r="H1481" s="198"/>
      <c r="I1481" s="198"/>
      <c r="J1481" s="198"/>
      <c r="K1481" s="198"/>
      <c r="L1481" s="198"/>
      <c r="M1481" s="198"/>
      <c r="N1481" s="198"/>
      <c r="O1481" s="198"/>
      <c r="P1481" s="198"/>
      <c r="Q1481" s="198"/>
      <c r="R1481" s="198"/>
      <c r="S1481" s="198"/>
      <c r="T1481" s="198"/>
      <c r="U1481" s="198"/>
      <c r="V1481" s="198"/>
      <c r="W1481" s="198"/>
      <c r="X1481" s="198"/>
      <c r="Y1481" s="198"/>
      <c r="Z1481" s="198"/>
    </row>
    <row r="1482" spans="1:26" ht="15.75" hidden="1" customHeight="1" x14ac:dyDescent="0.25">
      <c r="A1482" s="213">
        <v>11467</v>
      </c>
      <c r="B1482" s="214" t="s">
        <v>9975</v>
      </c>
      <c r="C1482" s="215" t="s">
        <v>580</v>
      </c>
      <c r="D1482" s="216">
        <v>21</v>
      </c>
      <c r="E1482" s="198"/>
      <c r="F1482" s="198"/>
      <c r="G1482" s="198"/>
      <c r="H1482" s="198"/>
      <c r="I1482" s="198"/>
      <c r="J1482" s="198"/>
      <c r="K1482" s="198"/>
      <c r="L1482" s="198"/>
      <c r="M1482" s="198"/>
      <c r="N1482" s="198"/>
      <c r="O1482" s="198"/>
      <c r="P1482" s="198"/>
      <c r="Q1482" s="198"/>
      <c r="R1482" s="198"/>
      <c r="S1482" s="198"/>
      <c r="T1482" s="198"/>
      <c r="U1482" s="198"/>
      <c r="V1482" s="198"/>
      <c r="W1482" s="198"/>
      <c r="X1482" s="198"/>
      <c r="Y1482" s="198"/>
      <c r="Z1482" s="198"/>
    </row>
    <row r="1483" spans="1:26" ht="15.75" hidden="1" customHeight="1" x14ac:dyDescent="0.25">
      <c r="A1483" s="213">
        <v>38153</v>
      </c>
      <c r="B1483" s="214" t="s">
        <v>9976</v>
      </c>
      <c r="C1483" s="215" t="s">
        <v>9561</v>
      </c>
      <c r="D1483" s="216">
        <v>53.66</v>
      </c>
      <c r="E1483" s="198"/>
      <c r="F1483" s="198"/>
      <c r="G1483" s="198"/>
      <c r="H1483" s="198"/>
      <c r="I1483" s="198"/>
      <c r="J1483" s="198"/>
      <c r="K1483" s="198"/>
      <c r="L1483" s="198"/>
      <c r="M1483" s="198"/>
      <c r="N1483" s="198"/>
      <c r="O1483" s="198"/>
      <c r="P1483" s="198"/>
      <c r="Q1483" s="198"/>
      <c r="R1483" s="198"/>
      <c r="S1483" s="198"/>
      <c r="T1483" s="198"/>
      <c r="U1483" s="198"/>
      <c r="V1483" s="198"/>
      <c r="W1483" s="198"/>
      <c r="X1483" s="198"/>
      <c r="Y1483" s="198"/>
      <c r="Z1483" s="198"/>
    </row>
    <row r="1484" spans="1:26" ht="15.75" hidden="1" customHeight="1" x14ac:dyDescent="0.25">
      <c r="A1484" s="213">
        <v>43607</v>
      </c>
      <c r="B1484" s="214" t="s">
        <v>9977</v>
      </c>
      <c r="C1484" s="215" t="s">
        <v>9561</v>
      </c>
      <c r="D1484" s="216">
        <v>101.49</v>
      </c>
      <c r="E1484" s="198"/>
      <c r="F1484" s="198"/>
      <c r="G1484" s="198"/>
      <c r="H1484" s="198"/>
      <c r="I1484" s="198"/>
      <c r="J1484" s="198"/>
      <c r="K1484" s="198"/>
      <c r="L1484" s="198"/>
      <c r="M1484" s="198"/>
      <c r="N1484" s="198"/>
      <c r="O1484" s="198"/>
      <c r="P1484" s="198"/>
      <c r="Q1484" s="198"/>
      <c r="R1484" s="198"/>
      <c r="S1484" s="198"/>
      <c r="T1484" s="198"/>
      <c r="U1484" s="198"/>
      <c r="V1484" s="198"/>
      <c r="W1484" s="198"/>
      <c r="X1484" s="198"/>
      <c r="Y1484" s="198"/>
      <c r="Z1484" s="198"/>
    </row>
    <row r="1485" spans="1:26" ht="15.75" hidden="1" customHeight="1" x14ac:dyDescent="0.25">
      <c r="A1485" s="213">
        <v>3080</v>
      </c>
      <c r="B1485" s="214" t="s">
        <v>9978</v>
      </c>
      <c r="C1485" s="215" t="s">
        <v>9561</v>
      </c>
      <c r="D1485" s="216">
        <v>68.239999999999995</v>
      </c>
      <c r="E1485" s="198"/>
      <c r="F1485" s="198"/>
      <c r="G1485" s="198"/>
      <c r="H1485" s="198"/>
      <c r="I1485" s="198"/>
      <c r="J1485" s="198"/>
      <c r="K1485" s="198"/>
      <c r="L1485" s="198"/>
      <c r="M1485" s="198"/>
      <c r="N1485" s="198"/>
      <c r="O1485" s="198"/>
      <c r="P1485" s="198"/>
      <c r="Q1485" s="198"/>
      <c r="R1485" s="198"/>
      <c r="S1485" s="198"/>
      <c r="T1485" s="198"/>
      <c r="U1485" s="198"/>
      <c r="V1485" s="198"/>
      <c r="W1485" s="198"/>
      <c r="X1485" s="198"/>
      <c r="Y1485" s="198"/>
      <c r="Z1485" s="198"/>
    </row>
    <row r="1486" spans="1:26" ht="15.75" hidden="1" customHeight="1" x14ac:dyDescent="0.25">
      <c r="A1486" s="213">
        <v>3081</v>
      </c>
      <c r="B1486" s="214" t="s">
        <v>9979</v>
      </c>
      <c r="C1486" s="215" t="s">
        <v>9561</v>
      </c>
      <c r="D1486" s="216">
        <v>135.01</v>
      </c>
      <c r="E1486" s="198"/>
      <c r="F1486" s="198"/>
      <c r="G1486" s="198"/>
      <c r="H1486" s="198"/>
      <c r="I1486" s="198"/>
      <c r="J1486" s="198"/>
      <c r="K1486" s="198"/>
      <c r="L1486" s="198"/>
      <c r="M1486" s="198"/>
      <c r="N1486" s="198"/>
      <c r="O1486" s="198"/>
      <c r="P1486" s="198"/>
      <c r="Q1486" s="198"/>
      <c r="R1486" s="198"/>
      <c r="S1486" s="198"/>
      <c r="T1486" s="198"/>
      <c r="U1486" s="198"/>
      <c r="V1486" s="198"/>
      <c r="W1486" s="198"/>
      <c r="X1486" s="198"/>
      <c r="Y1486" s="198"/>
      <c r="Z1486" s="198"/>
    </row>
    <row r="1487" spans="1:26" ht="15.75" hidden="1" customHeight="1" x14ac:dyDescent="0.25">
      <c r="A1487" s="213">
        <v>3090</v>
      </c>
      <c r="B1487" s="214" t="s">
        <v>9980</v>
      </c>
      <c r="C1487" s="215" t="s">
        <v>9561</v>
      </c>
      <c r="D1487" s="216">
        <v>60.91</v>
      </c>
      <c r="E1487" s="198"/>
      <c r="F1487" s="198"/>
      <c r="G1487" s="198"/>
      <c r="H1487" s="198"/>
      <c r="I1487" s="198"/>
      <c r="J1487" s="198"/>
      <c r="K1487" s="198"/>
      <c r="L1487" s="198"/>
      <c r="M1487" s="198"/>
      <c r="N1487" s="198"/>
      <c r="O1487" s="198"/>
      <c r="P1487" s="198"/>
      <c r="Q1487" s="198"/>
      <c r="R1487" s="198"/>
      <c r="S1487" s="198"/>
      <c r="T1487" s="198"/>
      <c r="U1487" s="198"/>
      <c r="V1487" s="198"/>
      <c r="W1487" s="198"/>
      <c r="X1487" s="198"/>
      <c r="Y1487" s="198"/>
      <c r="Z1487" s="198"/>
    </row>
    <row r="1488" spans="1:26" ht="15.75" hidden="1" customHeight="1" x14ac:dyDescent="0.25">
      <c r="A1488" s="213">
        <v>43611</v>
      </c>
      <c r="B1488" s="214" t="s">
        <v>9981</v>
      </c>
      <c r="C1488" s="215" t="s">
        <v>9561</v>
      </c>
      <c r="D1488" s="216">
        <v>101.07</v>
      </c>
      <c r="E1488" s="198"/>
      <c r="F1488" s="198"/>
      <c r="G1488" s="198"/>
      <c r="H1488" s="198"/>
      <c r="I1488" s="198"/>
      <c r="J1488" s="198"/>
      <c r="K1488" s="198"/>
      <c r="L1488" s="198"/>
      <c r="M1488" s="198"/>
      <c r="N1488" s="198"/>
      <c r="O1488" s="198"/>
      <c r="P1488" s="198"/>
      <c r="Q1488" s="198"/>
      <c r="R1488" s="198"/>
      <c r="S1488" s="198"/>
      <c r="T1488" s="198"/>
      <c r="U1488" s="198"/>
      <c r="V1488" s="198"/>
      <c r="W1488" s="198"/>
      <c r="X1488" s="198"/>
      <c r="Y1488" s="198"/>
      <c r="Z1488" s="198"/>
    </row>
    <row r="1489" spans="1:26" ht="15.75" hidden="1" customHeight="1" x14ac:dyDescent="0.25">
      <c r="A1489" s="213">
        <v>3103</v>
      </c>
      <c r="B1489" s="214" t="s">
        <v>9982</v>
      </c>
      <c r="C1489" s="215" t="s">
        <v>580</v>
      </c>
      <c r="D1489" s="216">
        <v>50.5</v>
      </c>
      <c r="E1489" s="198"/>
      <c r="F1489" s="198"/>
      <c r="G1489" s="198"/>
      <c r="H1489" s="198"/>
      <c r="I1489" s="198"/>
      <c r="J1489" s="198"/>
      <c r="K1489" s="198"/>
      <c r="L1489" s="198"/>
      <c r="M1489" s="198"/>
      <c r="N1489" s="198"/>
      <c r="O1489" s="198"/>
      <c r="P1489" s="198"/>
      <c r="Q1489" s="198"/>
      <c r="R1489" s="198"/>
      <c r="S1489" s="198"/>
      <c r="T1489" s="198"/>
      <c r="U1489" s="198"/>
      <c r="V1489" s="198"/>
      <c r="W1489" s="198"/>
      <c r="X1489" s="198"/>
      <c r="Y1489" s="198"/>
      <c r="Z1489" s="198"/>
    </row>
    <row r="1490" spans="1:26" ht="15.75" hidden="1" customHeight="1" x14ac:dyDescent="0.25">
      <c r="A1490" s="213">
        <v>3097</v>
      </c>
      <c r="B1490" s="214" t="s">
        <v>9983</v>
      </c>
      <c r="C1490" s="215" t="s">
        <v>9561</v>
      </c>
      <c r="D1490" s="216">
        <v>76.400000000000006</v>
      </c>
      <c r="E1490" s="198"/>
      <c r="F1490" s="198"/>
      <c r="G1490" s="198"/>
      <c r="H1490" s="198"/>
      <c r="I1490" s="198"/>
      <c r="J1490" s="198"/>
      <c r="K1490" s="198"/>
      <c r="L1490" s="198"/>
      <c r="M1490" s="198"/>
      <c r="N1490" s="198"/>
      <c r="O1490" s="198"/>
      <c r="P1490" s="198"/>
      <c r="Q1490" s="198"/>
      <c r="R1490" s="198"/>
      <c r="S1490" s="198"/>
      <c r="T1490" s="198"/>
      <c r="U1490" s="198"/>
      <c r="V1490" s="198"/>
      <c r="W1490" s="198"/>
      <c r="X1490" s="198"/>
      <c r="Y1490" s="198"/>
      <c r="Z1490" s="198"/>
    </row>
    <row r="1491" spans="1:26" ht="15.75" hidden="1" customHeight="1" x14ac:dyDescent="0.25">
      <c r="A1491" s="213">
        <v>3099</v>
      </c>
      <c r="B1491" s="214" t="s">
        <v>9984</v>
      </c>
      <c r="C1491" s="215" t="s">
        <v>9561</v>
      </c>
      <c r="D1491" s="216">
        <v>122.34</v>
      </c>
      <c r="E1491" s="198"/>
      <c r="F1491" s="198"/>
      <c r="G1491" s="198"/>
      <c r="H1491" s="198"/>
      <c r="I1491" s="198"/>
      <c r="J1491" s="198"/>
      <c r="K1491" s="198"/>
      <c r="L1491" s="198"/>
      <c r="M1491" s="198"/>
      <c r="N1491" s="198"/>
      <c r="O1491" s="198"/>
      <c r="P1491" s="198"/>
      <c r="Q1491" s="198"/>
      <c r="R1491" s="198"/>
      <c r="S1491" s="198"/>
      <c r="T1491" s="198"/>
      <c r="U1491" s="198"/>
      <c r="V1491" s="198"/>
      <c r="W1491" s="198"/>
      <c r="X1491" s="198"/>
      <c r="Y1491" s="198"/>
      <c r="Z1491" s="198"/>
    </row>
    <row r="1492" spans="1:26" ht="15.75" hidden="1" customHeight="1" x14ac:dyDescent="0.25">
      <c r="A1492" s="213">
        <v>38151</v>
      </c>
      <c r="B1492" s="214" t="s">
        <v>9985</v>
      </c>
      <c r="C1492" s="215" t="s">
        <v>9561</v>
      </c>
      <c r="D1492" s="216">
        <v>88.69</v>
      </c>
      <c r="E1492" s="198"/>
      <c r="F1492" s="198"/>
      <c r="G1492" s="198"/>
      <c r="H1492" s="198"/>
      <c r="I1492" s="198"/>
      <c r="J1492" s="198"/>
      <c r="K1492" s="198"/>
      <c r="L1492" s="198"/>
      <c r="M1492" s="198"/>
      <c r="N1492" s="198"/>
      <c r="O1492" s="198"/>
      <c r="P1492" s="198"/>
      <c r="Q1492" s="198"/>
      <c r="R1492" s="198"/>
      <c r="S1492" s="198"/>
      <c r="T1492" s="198"/>
      <c r="U1492" s="198"/>
      <c r="V1492" s="198"/>
      <c r="W1492" s="198"/>
      <c r="X1492" s="198"/>
      <c r="Y1492" s="198"/>
      <c r="Z1492" s="198"/>
    </row>
    <row r="1493" spans="1:26" ht="15.75" hidden="1" customHeight="1" x14ac:dyDescent="0.25">
      <c r="A1493" s="213">
        <v>38152</v>
      </c>
      <c r="B1493" s="214" t="s">
        <v>9986</v>
      </c>
      <c r="C1493" s="215" t="s">
        <v>9561</v>
      </c>
      <c r="D1493" s="216">
        <v>143.07</v>
      </c>
      <c r="E1493" s="198"/>
      <c r="F1493" s="198"/>
      <c r="G1493" s="198"/>
      <c r="H1493" s="198"/>
      <c r="I1493" s="198"/>
      <c r="J1493" s="198"/>
      <c r="K1493" s="198"/>
      <c r="L1493" s="198"/>
      <c r="M1493" s="198"/>
      <c r="N1493" s="198"/>
      <c r="O1493" s="198"/>
      <c r="P1493" s="198"/>
      <c r="Q1493" s="198"/>
      <c r="R1493" s="198"/>
      <c r="S1493" s="198"/>
      <c r="T1493" s="198"/>
      <c r="U1493" s="198"/>
      <c r="V1493" s="198"/>
      <c r="W1493" s="198"/>
      <c r="X1493" s="198"/>
      <c r="Y1493" s="198"/>
      <c r="Z1493" s="198"/>
    </row>
    <row r="1494" spans="1:26" ht="15.75" hidden="1" customHeight="1" x14ac:dyDescent="0.25">
      <c r="A1494" s="213">
        <v>43610</v>
      </c>
      <c r="B1494" s="214" t="s">
        <v>9987</v>
      </c>
      <c r="C1494" s="215" t="s">
        <v>9561</v>
      </c>
      <c r="D1494" s="216">
        <v>75.81</v>
      </c>
      <c r="E1494" s="198"/>
      <c r="F1494" s="198"/>
      <c r="G1494" s="198"/>
      <c r="H1494" s="198"/>
      <c r="I1494" s="198"/>
      <c r="J1494" s="198"/>
      <c r="K1494" s="198"/>
      <c r="L1494" s="198"/>
      <c r="M1494" s="198"/>
      <c r="N1494" s="198"/>
      <c r="O1494" s="198"/>
      <c r="P1494" s="198"/>
      <c r="Q1494" s="198"/>
      <c r="R1494" s="198"/>
      <c r="S1494" s="198"/>
      <c r="T1494" s="198"/>
      <c r="U1494" s="198"/>
      <c r="V1494" s="198"/>
      <c r="W1494" s="198"/>
      <c r="X1494" s="198"/>
      <c r="Y1494" s="198"/>
      <c r="Z1494" s="198"/>
    </row>
    <row r="1495" spans="1:26" ht="15.75" hidden="1" customHeight="1" x14ac:dyDescent="0.25">
      <c r="A1495" s="213">
        <v>3093</v>
      </c>
      <c r="B1495" s="214" t="s">
        <v>9988</v>
      </c>
      <c r="C1495" s="215" t="s">
        <v>9561</v>
      </c>
      <c r="D1495" s="216">
        <v>122.34</v>
      </c>
      <c r="E1495" s="198"/>
      <c r="F1495" s="198"/>
      <c r="G1495" s="198"/>
      <c r="H1495" s="198"/>
      <c r="I1495" s="198"/>
      <c r="J1495" s="198"/>
      <c r="K1495" s="198"/>
      <c r="L1495" s="198"/>
      <c r="M1495" s="198"/>
      <c r="N1495" s="198"/>
      <c r="O1495" s="198"/>
      <c r="P1495" s="198"/>
      <c r="Q1495" s="198"/>
      <c r="R1495" s="198"/>
      <c r="S1495" s="198"/>
      <c r="T1495" s="198"/>
      <c r="U1495" s="198"/>
      <c r="V1495" s="198"/>
      <c r="W1495" s="198"/>
      <c r="X1495" s="198"/>
      <c r="Y1495" s="198"/>
      <c r="Z1495" s="198"/>
    </row>
    <row r="1496" spans="1:26" ht="15.75" hidden="1" customHeight="1" x14ac:dyDescent="0.25">
      <c r="A1496" s="213">
        <v>38165</v>
      </c>
      <c r="B1496" s="214" t="s">
        <v>9989</v>
      </c>
      <c r="C1496" s="215" t="s">
        <v>9561</v>
      </c>
      <c r="D1496" s="216">
        <v>67.239999999999995</v>
      </c>
      <c r="E1496" s="198"/>
      <c r="F1496" s="198"/>
      <c r="G1496" s="198"/>
      <c r="H1496" s="198"/>
      <c r="I1496" s="198"/>
      <c r="J1496" s="198"/>
      <c r="K1496" s="198"/>
      <c r="L1496" s="198"/>
      <c r="M1496" s="198"/>
      <c r="N1496" s="198"/>
      <c r="O1496" s="198"/>
      <c r="P1496" s="198"/>
      <c r="Q1496" s="198"/>
      <c r="R1496" s="198"/>
      <c r="S1496" s="198"/>
      <c r="T1496" s="198"/>
      <c r="U1496" s="198"/>
      <c r="V1496" s="198"/>
      <c r="W1496" s="198"/>
      <c r="X1496" s="198"/>
      <c r="Y1496" s="198"/>
      <c r="Z1496" s="198"/>
    </row>
    <row r="1497" spans="1:26" ht="15.75" hidden="1" customHeight="1" x14ac:dyDescent="0.25">
      <c r="A1497" s="213">
        <v>38177</v>
      </c>
      <c r="B1497" s="214" t="s">
        <v>9990</v>
      </c>
      <c r="C1497" s="215" t="s">
        <v>580</v>
      </c>
      <c r="D1497" s="216">
        <v>19.98</v>
      </c>
      <c r="E1497" s="198"/>
      <c r="F1497" s="198"/>
      <c r="G1497" s="198"/>
      <c r="H1497" s="198"/>
      <c r="I1497" s="198"/>
      <c r="J1497" s="198"/>
      <c r="K1497" s="198"/>
      <c r="L1497" s="198"/>
      <c r="M1497" s="198"/>
      <c r="N1497" s="198"/>
      <c r="O1497" s="198"/>
      <c r="P1497" s="198"/>
      <c r="Q1497" s="198"/>
      <c r="R1497" s="198"/>
      <c r="S1497" s="198"/>
      <c r="T1497" s="198"/>
      <c r="U1497" s="198"/>
      <c r="V1497" s="198"/>
      <c r="W1497" s="198"/>
      <c r="X1497" s="198"/>
      <c r="Y1497" s="198"/>
      <c r="Z1497" s="198"/>
    </row>
    <row r="1498" spans="1:26" ht="15.75" hidden="1" customHeight="1" x14ac:dyDescent="0.25">
      <c r="A1498" s="213">
        <v>11458</v>
      </c>
      <c r="B1498" s="214" t="s">
        <v>9991</v>
      </c>
      <c r="C1498" s="215" t="s">
        <v>580</v>
      </c>
      <c r="D1498" s="216">
        <v>23.86</v>
      </c>
      <c r="E1498" s="198"/>
      <c r="F1498" s="198"/>
      <c r="G1498" s="198"/>
      <c r="H1498" s="198"/>
      <c r="I1498" s="198"/>
      <c r="J1498" s="198"/>
      <c r="K1498" s="198"/>
      <c r="L1498" s="198"/>
      <c r="M1498" s="198"/>
      <c r="N1498" s="198"/>
      <c r="O1498" s="198"/>
      <c r="P1498" s="198"/>
      <c r="Q1498" s="198"/>
      <c r="R1498" s="198"/>
      <c r="S1498" s="198"/>
      <c r="T1498" s="198"/>
      <c r="U1498" s="198"/>
      <c r="V1498" s="198"/>
      <c r="W1498" s="198"/>
      <c r="X1498" s="198"/>
      <c r="Y1498" s="198"/>
      <c r="Z1498" s="198"/>
    </row>
    <row r="1499" spans="1:26" ht="15.75" hidden="1" customHeight="1" x14ac:dyDescent="0.25">
      <c r="A1499" s="213">
        <v>3108</v>
      </c>
      <c r="B1499" s="214" t="s">
        <v>9992</v>
      </c>
      <c r="C1499" s="215" t="s">
        <v>580</v>
      </c>
      <c r="D1499" s="216">
        <v>101.41</v>
      </c>
      <c r="E1499" s="198"/>
      <c r="F1499" s="198"/>
      <c r="G1499" s="198"/>
      <c r="H1499" s="198"/>
      <c r="I1499" s="198"/>
      <c r="J1499" s="198"/>
      <c r="K1499" s="198"/>
      <c r="L1499" s="198"/>
      <c r="M1499" s="198"/>
      <c r="N1499" s="198"/>
      <c r="O1499" s="198"/>
      <c r="P1499" s="198"/>
      <c r="Q1499" s="198"/>
      <c r="R1499" s="198"/>
      <c r="S1499" s="198"/>
      <c r="T1499" s="198"/>
      <c r="U1499" s="198"/>
      <c r="V1499" s="198"/>
      <c r="W1499" s="198"/>
      <c r="X1499" s="198"/>
      <c r="Y1499" s="198"/>
      <c r="Z1499" s="198"/>
    </row>
    <row r="1500" spans="1:26" ht="15.75" hidden="1" customHeight="1" x14ac:dyDescent="0.25">
      <c r="A1500" s="213">
        <v>3105</v>
      </c>
      <c r="B1500" s="214" t="s">
        <v>9993</v>
      </c>
      <c r="C1500" s="215" t="s">
        <v>580</v>
      </c>
      <c r="D1500" s="216">
        <v>132.63999999999999</v>
      </c>
      <c r="E1500" s="198"/>
      <c r="F1500" s="198"/>
      <c r="G1500" s="198"/>
      <c r="H1500" s="198"/>
      <c r="I1500" s="198"/>
      <c r="J1500" s="198"/>
      <c r="K1500" s="198"/>
      <c r="L1500" s="198"/>
      <c r="M1500" s="198"/>
      <c r="N1500" s="198"/>
      <c r="O1500" s="198"/>
      <c r="P1500" s="198"/>
      <c r="Q1500" s="198"/>
      <c r="R1500" s="198"/>
      <c r="S1500" s="198"/>
      <c r="T1500" s="198"/>
      <c r="U1500" s="198"/>
      <c r="V1500" s="198"/>
      <c r="W1500" s="198"/>
      <c r="X1500" s="198"/>
      <c r="Y1500" s="198"/>
      <c r="Z1500" s="198"/>
    </row>
    <row r="1501" spans="1:26" ht="15.75" hidden="1" customHeight="1" x14ac:dyDescent="0.25">
      <c r="A1501" s="213">
        <v>38178</v>
      </c>
      <c r="B1501" s="214" t="s">
        <v>9994</v>
      </c>
      <c r="C1501" s="215" t="s">
        <v>580</v>
      </c>
      <c r="D1501" s="216">
        <v>21.98</v>
      </c>
      <c r="E1501" s="198"/>
      <c r="F1501" s="198"/>
      <c r="G1501" s="198"/>
      <c r="H1501" s="198"/>
      <c r="I1501" s="198"/>
      <c r="J1501" s="198"/>
      <c r="K1501" s="198"/>
      <c r="L1501" s="198"/>
      <c r="M1501" s="198"/>
      <c r="N1501" s="198"/>
      <c r="O1501" s="198"/>
      <c r="P1501" s="198"/>
      <c r="Q1501" s="198"/>
      <c r="R1501" s="198"/>
      <c r="S1501" s="198"/>
      <c r="T1501" s="198"/>
      <c r="U1501" s="198"/>
      <c r="V1501" s="198"/>
      <c r="W1501" s="198"/>
      <c r="X1501" s="198"/>
      <c r="Y1501" s="198"/>
      <c r="Z1501" s="198"/>
    </row>
    <row r="1502" spans="1:26" ht="15.75" hidden="1" customHeight="1" x14ac:dyDescent="0.25">
      <c r="A1502" s="213">
        <v>43575</v>
      </c>
      <c r="B1502" s="214" t="s">
        <v>9995</v>
      </c>
      <c r="C1502" s="215" t="s">
        <v>580</v>
      </c>
      <c r="D1502" s="216">
        <v>47.63</v>
      </c>
      <c r="E1502" s="198"/>
      <c r="F1502" s="198"/>
      <c r="G1502" s="198"/>
      <c r="H1502" s="198"/>
      <c r="I1502" s="198"/>
      <c r="J1502" s="198"/>
      <c r="K1502" s="198"/>
      <c r="L1502" s="198"/>
      <c r="M1502" s="198"/>
      <c r="N1502" s="198"/>
      <c r="O1502" s="198"/>
      <c r="P1502" s="198"/>
      <c r="Q1502" s="198"/>
      <c r="R1502" s="198"/>
      <c r="S1502" s="198"/>
      <c r="T1502" s="198"/>
      <c r="U1502" s="198"/>
      <c r="V1502" s="198"/>
      <c r="W1502" s="198"/>
      <c r="X1502" s="198"/>
      <c r="Y1502" s="198"/>
      <c r="Z1502" s="198"/>
    </row>
    <row r="1503" spans="1:26" ht="15.75" hidden="1" customHeight="1" x14ac:dyDescent="0.25">
      <c r="A1503" s="213">
        <v>43577</v>
      </c>
      <c r="B1503" s="214" t="s">
        <v>9996</v>
      </c>
      <c r="C1503" s="215" t="s">
        <v>580</v>
      </c>
      <c r="D1503" s="216">
        <v>82.82</v>
      </c>
      <c r="E1503" s="198"/>
      <c r="F1503" s="198"/>
      <c r="G1503" s="198"/>
      <c r="H1503" s="198"/>
      <c r="I1503" s="198"/>
      <c r="J1503" s="198"/>
      <c r="K1503" s="198"/>
      <c r="L1503" s="198"/>
      <c r="M1503" s="198"/>
      <c r="N1503" s="198"/>
      <c r="O1503" s="198"/>
      <c r="P1503" s="198"/>
      <c r="Q1503" s="198"/>
      <c r="R1503" s="198"/>
      <c r="S1503" s="198"/>
      <c r="T1503" s="198"/>
      <c r="U1503" s="198"/>
      <c r="V1503" s="198"/>
      <c r="W1503" s="198"/>
      <c r="X1503" s="198"/>
      <c r="Y1503" s="198"/>
      <c r="Z1503" s="198"/>
    </row>
    <row r="1504" spans="1:26" ht="15.75" hidden="1" customHeight="1" x14ac:dyDescent="0.25">
      <c r="A1504" s="213">
        <v>43458</v>
      </c>
      <c r="B1504" s="214" t="s">
        <v>9997</v>
      </c>
      <c r="C1504" s="215" t="s">
        <v>2193</v>
      </c>
      <c r="D1504" s="216">
        <v>0.06</v>
      </c>
      <c r="E1504" s="198"/>
      <c r="F1504" s="198"/>
      <c r="G1504" s="198"/>
      <c r="H1504" s="198"/>
      <c r="I1504" s="198"/>
      <c r="J1504" s="198"/>
      <c r="K1504" s="198"/>
      <c r="L1504" s="198"/>
      <c r="M1504" s="198"/>
      <c r="N1504" s="198"/>
      <c r="O1504" s="198"/>
      <c r="P1504" s="198"/>
      <c r="Q1504" s="198"/>
      <c r="R1504" s="198"/>
      <c r="S1504" s="198"/>
      <c r="T1504" s="198"/>
      <c r="U1504" s="198"/>
      <c r="V1504" s="198"/>
      <c r="W1504" s="198"/>
      <c r="X1504" s="198"/>
      <c r="Y1504" s="198"/>
      <c r="Z1504" s="198"/>
    </row>
    <row r="1505" spans="1:26" ht="15.75" hidden="1" customHeight="1" x14ac:dyDescent="0.25">
      <c r="A1505" s="213">
        <v>43470</v>
      </c>
      <c r="B1505" s="214" t="s">
        <v>9998</v>
      </c>
      <c r="C1505" s="215" t="s">
        <v>6214</v>
      </c>
      <c r="D1505" s="216">
        <v>11.14</v>
      </c>
      <c r="E1505" s="198"/>
      <c r="F1505" s="198"/>
      <c r="G1505" s="198"/>
      <c r="H1505" s="198"/>
      <c r="I1505" s="198"/>
      <c r="J1505" s="198"/>
      <c r="K1505" s="198"/>
      <c r="L1505" s="198"/>
      <c r="M1505" s="198"/>
      <c r="N1505" s="198"/>
      <c r="O1505" s="198"/>
      <c r="P1505" s="198"/>
      <c r="Q1505" s="198"/>
      <c r="R1505" s="198"/>
      <c r="S1505" s="198"/>
      <c r="T1505" s="198"/>
      <c r="U1505" s="198"/>
      <c r="V1505" s="198"/>
      <c r="W1505" s="198"/>
      <c r="X1505" s="198"/>
      <c r="Y1505" s="198"/>
      <c r="Z1505" s="198"/>
    </row>
    <row r="1506" spans="1:26" ht="15.75" hidden="1" customHeight="1" x14ac:dyDescent="0.25">
      <c r="A1506" s="213">
        <v>43459</v>
      </c>
      <c r="B1506" s="214" t="s">
        <v>9999</v>
      </c>
      <c r="C1506" s="215" t="s">
        <v>2193</v>
      </c>
      <c r="D1506" s="216">
        <v>0.44</v>
      </c>
      <c r="E1506" s="198"/>
      <c r="F1506" s="198"/>
      <c r="G1506" s="198"/>
      <c r="H1506" s="198"/>
      <c r="I1506" s="198"/>
      <c r="J1506" s="198"/>
      <c r="K1506" s="198"/>
      <c r="L1506" s="198"/>
      <c r="M1506" s="198"/>
      <c r="N1506" s="198"/>
      <c r="O1506" s="198"/>
      <c r="P1506" s="198"/>
      <c r="Q1506" s="198"/>
      <c r="R1506" s="198"/>
      <c r="S1506" s="198"/>
      <c r="T1506" s="198"/>
      <c r="U1506" s="198"/>
      <c r="V1506" s="198"/>
      <c r="W1506" s="198"/>
      <c r="X1506" s="198"/>
      <c r="Y1506" s="198"/>
      <c r="Z1506" s="198"/>
    </row>
    <row r="1507" spans="1:26" ht="15.75" hidden="1" customHeight="1" x14ac:dyDescent="0.25">
      <c r="A1507" s="213">
        <v>43471</v>
      </c>
      <c r="B1507" s="214" t="s">
        <v>10000</v>
      </c>
      <c r="C1507" s="215" t="s">
        <v>6214</v>
      </c>
      <c r="D1507" s="216">
        <v>82.31</v>
      </c>
      <c r="E1507" s="198"/>
      <c r="F1507" s="198"/>
      <c r="G1507" s="198"/>
      <c r="H1507" s="198"/>
      <c r="I1507" s="198"/>
      <c r="J1507" s="198"/>
      <c r="K1507" s="198"/>
      <c r="L1507" s="198"/>
      <c r="M1507" s="198"/>
      <c r="N1507" s="198"/>
      <c r="O1507" s="198"/>
      <c r="P1507" s="198"/>
      <c r="Q1507" s="198"/>
      <c r="R1507" s="198"/>
      <c r="S1507" s="198"/>
      <c r="T1507" s="198"/>
      <c r="U1507" s="198"/>
      <c r="V1507" s="198"/>
      <c r="W1507" s="198"/>
      <c r="X1507" s="198"/>
      <c r="Y1507" s="198"/>
      <c r="Z1507" s="198"/>
    </row>
    <row r="1508" spans="1:26" ht="15.75" hidden="1" customHeight="1" x14ac:dyDescent="0.25">
      <c r="A1508" s="213">
        <v>43460</v>
      </c>
      <c r="B1508" s="214" t="s">
        <v>10001</v>
      </c>
      <c r="C1508" s="215" t="s">
        <v>2193</v>
      </c>
      <c r="D1508" s="216">
        <v>0.86</v>
      </c>
      <c r="E1508" s="198"/>
      <c r="F1508" s="198"/>
      <c r="G1508" s="198"/>
      <c r="H1508" s="198"/>
      <c r="I1508" s="198"/>
      <c r="J1508" s="198"/>
      <c r="K1508" s="198"/>
      <c r="L1508" s="198"/>
      <c r="M1508" s="198"/>
      <c r="N1508" s="198"/>
      <c r="O1508" s="198"/>
      <c r="P1508" s="198"/>
      <c r="Q1508" s="198"/>
      <c r="R1508" s="198"/>
      <c r="S1508" s="198"/>
      <c r="T1508" s="198"/>
      <c r="U1508" s="198"/>
      <c r="V1508" s="198"/>
      <c r="W1508" s="198"/>
      <c r="X1508" s="198"/>
      <c r="Y1508" s="198"/>
      <c r="Z1508" s="198"/>
    </row>
    <row r="1509" spans="1:26" ht="15.75" hidden="1" customHeight="1" x14ac:dyDescent="0.25">
      <c r="A1509" s="213">
        <v>43472</v>
      </c>
      <c r="B1509" s="214" t="s">
        <v>10002</v>
      </c>
      <c r="C1509" s="215" t="s">
        <v>6214</v>
      </c>
      <c r="D1509" s="216">
        <v>161.72999999999999</v>
      </c>
      <c r="E1509" s="198"/>
      <c r="F1509" s="198"/>
      <c r="G1509" s="198"/>
      <c r="H1509" s="198"/>
      <c r="I1509" s="198"/>
      <c r="J1509" s="198"/>
      <c r="K1509" s="198"/>
      <c r="L1509" s="198"/>
      <c r="M1509" s="198"/>
      <c r="N1509" s="198"/>
      <c r="O1509" s="198"/>
      <c r="P1509" s="198"/>
      <c r="Q1509" s="198"/>
      <c r="R1509" s="198"/>
      <c r="S1509" s="198"/>
      <c r="T1509" s="198"/>
      <c r="U1509" s="198"/>
      <c r="V1509" s="198"/>
      <c r="W1509" s="198"/>
      <c r="X1509" s="198"/>
      <c r="Y1509" s="198"/>
      <c r="Z1509" s="198"/>
    </row>
    <row r="1510" spans="1:26" ht="15.75" hidden="1" customHeight="1" x14ac:dyDescent="0.25">
      <c r="A1510" s="213">
        <v>43461</v>
      </c>
      <c r="B1510" s="214" t="s">
        <v>10003</v>
      </c>
      <c r="C1510" s="215" t="s">
        <v>2193</v>
      </c>
      <c r="D1510" s="216">
        <v>0.31</v>
      </c>
      <c r="E1510" s="198"/>
      <c r="F1510" s="198"/>
      <c r="G1510" s="198"/>
      <c r="H1510" s="198"/>
      <c r="I1510" s="198"/>
      <c r="J1510" s="198"/>
      <c r="K1510" s="198"/>
      <c r="L1510" s="198"/>
      <c r="M1510" s="198"/>
      <c r="N1510" s="198"/>
      <c r="O1510" s="198"/>
      <c r="P1510" s="198"/>
      <c r="Q1510" s="198"/>
      <c r="R1510" s="198"/>
      <c r="S1510" s="198"/>
      <c r="T1510" s="198"/>
      <c r="U1510" s="198"/>
      <c r="V1510" s="198"/>
      <c r="W1510" s="198"/>
      <c r="X1510" s="198"/>
      <c r="Y1510" s="198"/>
      <c r="Z1510" s="198"/>
    </row>
    <row r="1511" spans="1:26" ht="15.75" hidden="1" customHeight="1" x14ac:dyDescent="0.25">
      <c r="A1511" s="213">
        <v>43473</v>
      </c>
      <c r="B1511" s="214" t="s">
        <v>10004</v>
      </c>
      <c r="C1511" s="215" t="s">
        <v>6214</v>
      </c>
      <c r="D1511" s="216">
        <v>59.01</v>
      </c>
      <c r="E1511" s="198"/>
      <c r="F1511" s="198"/>
      <c r="G1511" s="198"/>
      <c r="H1511" s="198"/>
      <c r="I1511" s="198"/>
      <c r="J1511" s="198"/>
      <c r="K1511" s="198"/>
      <c r="L1511" s="198"/>
      <c r="M1511" s="198"/>
      <c r="N1511" s="198"/>
      <c r="O1511" s="198"/>
      <c r="P1511" s="198"/>
      <c r="Q1511" s="198"/>
      <c r="R1511" s="198"/>
      <c r="S1511" s="198"/>
      <c r="T1511" s="198"/>
      <c r="U1511" s="198"/>
      <c r="V1511" s="198"/>
      <c r="W1511" s="198"/>
      <c r="X1511" s="198"/>
      <c r="Y1511" s="198"/>
      <c r="Z1511" s="198"/>
    </row>
    <row r="1512" spans="1:26" ht="15.75" hidden="1" customHeight="1" x14ac:dyDescent="0.25">
      <c r="A1512" s="213">
        <v>43463</v>
      </c>
      <c r="B1512" s="214" t="s">
        <v>10005</v>
      </c>
      <c r="C1512" s="215" t="s">
        <v>2193</v>
      </c>
      <c r="D1512" s="216">
        <v>0.08</v>
      </c>
      <c r="E1512" s="198"/>
      <c r="F1512" s="198"/>
      <c r="G1512" s="198"/>
      <c r="H1512" s="198"/>
      <c r="I1512" s="198"/>
      <c r="J1512" s="198"/>
      <c r="K1512" s="198"/>
      <c r="L1512" s="198"/>
      <c r="M1512" s="198"/>
      <c r="N1512" s="198"/>
      <c r="O1512" s="198"/>
      <c r="P1512" s="198"/>
      <c r="Q1512" s="198"/>
      <c r="R1512" s="198"/>
      <c r="S1512" s="198"/>
      <c r="T1512" s="198"/>
      <c r="U1512" s="198"/>
      <c r="V1512" s="198"/>
      <c r="W1512" s="198"/>
      <c r="X1512" s="198"/>
      <c r="Y1512" s="198"/>
      <c r="Z1512" s="198"/>
    </row>
    <row r="1513" spans="1:26" ht="15.75" hidden="1" customHeight="1" x14ac:dyDescent="0.25">
      <c r="A1513" s="213">
        <v>43475</v>
      </c>
      <c r="B1513" s="214" t="s">
        <v>10006</v>
      </c>
      <c r="C1513" s="215" t="s">
        <v>6214</v>
      </c>
      <c r="D1513" s="216">
        <v>15.46</v>
      </c>
      <c r="E1513" s="198"/>
      <c r="F1513" s="198"/>
      <c r="G1513" s="198"/>
      <c r="H1513" s="198"/>
      <c r="I1513" s="198"/>
      <c r="J1513" s="198"/>
      <c r="K1513" s="198"/>
      <c r="L1513" s="198"/>
      <c r="M1513" s="198"/>
      <c r="N1513" s="198"/>
      <c r="O1513" s="198"/>
      <c r="P1513" s="198"/>
      <c r="Q1513" s="198"/>
      <c r="R1513" s="198"/>
      <c r="S1513" s="198"/>
      <c r="T1513" s="198"/>
      <c r="U1513" s="198"/>
      <c r="V1513" s="198"/>
      <c r="W1513" s="198"/>
      <c r="X1513" s="198"/>
      <c r="Y1513" s="198"/>
      <c r="Z1513" s="198"/>
    </row>
    <row r="1514" spans="1:26" ht="15.75" hidden="1" customHeight="1" x14ac:dyDescent="0.25">
      <c r="A1514" s="213">
        <v>43462</v>
      </c>
      <c r="B1514" s="214" t="s">
        <v>10007</v>
      </c>
      <c r="C1514" s="215" t="s">
        <v>2193</v>
      </c>
      <c r="D1514" s="216">
        <v>0.01</v>
      </c>
      <c r="E1514" s="198"/>
      <c r="F1514" s="198"/>
      <c r="G1514" s="198"/>
      <c r="H1514" s="198"/>
      <c r="I1514" s="198"/>
      <c r="J1514" s="198"/>
      <c r="K1514" s="198"/>
      <c r="L1514" s="198"/>
      <c r="M1514" s="198"/>
      <c r="N1514" s="198"/>
      <c r="O1514" s="198"/>
      <c r="P1514" s="198"/>
      <c r="Q1514" s="198"/>
      <c r="R1514" s="198"/>
      <c r="S1514" s="198"/>
      <c r="T1514" s="198"/>
      <c r="U1514" s="198"/>
      <c r="V1514" s="198"/>
      <c r="W1514" s="198"/>
      <c r="X1514" s="198"/>
      <c r="Y1514" s="198"/>
      <c r="Z1514" s="198"/>
    </row>
    <row r="1515" spans="1:26" ht="15.75" hidden="1" customHeight="1" x14ac:dyDescent="0.25">
      <c r="A1515" s="213">
        <v>43474</v>
      </c>
      <c r="B1515" s="214" t="s">
        <v>10008</v>
      </c>
      <c r="C1515" s="215" t="s">
        <v>6214</v>
      </c>
      <c r="D1515" s="216">
        <v>2.35</v>
      </c>
      <c r="E1515" s="198"/>
      <c r="F1515" s="198"/>
      <c r="G1515" s="198"/>
      <c r="H1515" s="198"/>
      <c r="I1515" s="198"/>
      <c r="J1515" s="198"/>
      <c r="K1515" s="198"/>
      <c r="L1515" s="198"/>
      <c r="M1515" s="198"/>
      <c r="N1515" s="198"/>
      <c r="O1515" s="198"/>
      <c r="P1515" s="198"/>
      <c r="Q1515" s="198"/>
      <c r="R1515" s="198"/>
      <c r="S1515" s="198"/>
      <c r="T1515" s="198"/>
      <c r="U1515" s="198"/>
      <c r="V1515" s="198"/>
      <c r="W1515" s="198"/>
      <c r="X1515" s="198"/>
      <c r="Y1515" s="198"/>
      <c r="Z1515" s="198"/>
    </row>
    <row r="1516" spans="1:26" ht="15.75" hidden="1" customHeight="1" x14ac:dyDescent="0.25">
      <c r="A1516" s="213">
        <v>43464</v>
      </c>
      <c r="B1516" s="214" t="s">
        <v>10009</v>
      </c>
      <c r="C1516" s="215" t="s">
        <v>2193</v>
      </c>
      <c r="D1516" s="216">
        <v>0.01</v>
      </c>
      <c r="E1516" s="198"/>
      <c r="F1516" s="198"/>
      <c r="G1516" s="198"/>
      <c r="H1516" s="198"/>
      <c r="I1516" s="198"/>
      <c r="J1516" s="198"/>
      <c r="K1516" s="198"/>
      <c r="L1516" s="198"/>
      <c r="M1516" s="198"/>
      <c r="N1516" s="198"/>
      <c r="O1516" s="198"/>
      <c r="P1516" s="198"/>
      <c r="Q1516" s="198"/>
      <c r="R1516" s="198"/>
      <c r="S1516" s="198"/>
      <c r="T1516" s="198"/>
      <c r="U1516" s="198"/>
      <c r="V1516" s="198"/>
      <c r="W1516" s="198"/>
      <c r="X1516" s="198"/>
      <c r="Y1516" s="198"/>
      <c r="Z1516" s="198"/>
    </row>
    <row r="1517" spans="1:26" ht="15.75" hidden="1" customHeight="1" x14ac:dyDescent="0.25">
      <c r="A1517" s="213">
        <v>43476</v>
      </c>
      <c r="B1517" s="214" t="s">
        <v>10010</v>
      </c>
      <c r="C1517" s="215" t="s">
        <v>6214</v>
      </c>
      <c r="D1517" s="216">
        <v>0.01</v>
      </c>
      <c r="E1517" s="198"/>
      <c r="F1517" s="198"/>
      <c r="G1517" s="198"/>
      <c r="H1517" s="198"/>
      <c r="I1517" s="198"/>
      <c r="J1517" s="198"/>
      <c r="K1517" s="198"/>
      <c r="L1517" s="198"/>
      <c r="M1517" s="198"/>
      <c r="N1517" s="198"/>
      <c r="O1517" s="198"/>
      <c r="P1517" s="198"/>
      <c r="Q1517" s="198"/>
      <c r="R1517" s="198"/>
      <c r="S1517" s="198"/>
      <c r="T1517" s="198"/>
      <c r="U1517" s="198"/>
      <c r="V1517" s="198"/>
      <c r="W1517" s="198"/>
      <c r="X1517" s="198"/>
      <c r="Y1517" s="198"/>
      <c r="Z1517" s="198"/>
    </row>
    <row r="1518" spans="1:26" ht="15.75" hidden="1" customHeight="1" x14ac:dyDescent="0.25">
      <c r="A1518" s="213">
        <v>43465</v>
      </c>
      <c r="B1518" s="214" t="s">
        <v>10011</v>
      </c>
      <c r="C1518" s="215" t="s">
        <v>2193</v>
      </c>
      <c r="D1518" s="216">
        <v>0.78</v>
      </c>
      <c r="E1518" s="198"/>
      <c r="F1518" s="198"/>
      <c r="G1518" s="198"/>
      <c r="H1518" s="198"/>
      <c r="I1518" s="198"/>
      <c r="J1518" s="198"/>
      <c r="K1518" s="198"/>
      <c r="L1518" s="198"/>
      <c r="M1518" s="198"/>
      <c r="N1518" s="198"/>
      <c r="O1518" s="198"/>
      <c r="P1518" s="198"/>
      <c r="Q1518" s="198"/>
      <c r="R1518" s="198"/>
      <c r="S1518" s="198"/>
      <c r="T1518" s="198"/>
      <c r="U1518" s="198"/>
      <c r="V1518" s="198"/>
      <c r="W1518" s="198"/>
      <c r="X1518" s="198"/>
      <c r="Y1518" s="198"/>
      <c r="Z1518" s="198"/>
    </row>
    <row r="1519" spans="1:26" ht="15.75" hidden="1" customHeight="1" x14ac:dyDescent="0.25">
      <c r="A1519" s="213">
        <v>43477</v>
      </c>
      <c r="B1519" s="214" t="s">
        <v>10012</v>
      </c>
      <c r="C1519" s="215" t="s">
        <v>6214</v>
      </c>
      <c r="D1519" s="216">
        <v>147.87</v>
      </c>
      <c r="E1519" s="198"/>
      <c r="F1519" s="198"/>
      <c r="G1519" s="198"/>
      <c r="H1519" s="198"/>
      <c r="I1519" s="198"/>
      <c r="J1519" s="198"/>
      <c r="K1519" s="198"/>
      <c r="L1519" s="198"/>
      <c r="M1519" s="198"/>
      <c r="N1519" s="198"/>
      <c r="O1519" s="198"/>
      <c r="P1519" s="198"/>
      <c r="Q1519" s="198"/>
      <c r="R1519" s="198"/>
      <c r="S1519" s="198"/>
      <c r="T1519" s="198"/>
      <c r="U1519" s="198"/>
      <c r="V1519" s="198"/>
      <c r="W1519" s="198"/>
      <c r="X1519" s="198"/>
      <c r="Y1519" s="198"/>
      <c r="Z1519" s="198"/>
    </row>
    <row r="1520" spans="1:26" ht="15.75" hidden="1" customHeight="1" x14ac:dyDescent="0.25">
      <c r="A1520" s="213">
        <v>43466</v>
      </c>
      <c r="B1520" s="214" t="s">
        <v>10013</v>
      </c>
      <c r="C1520" s="215" t="s">
        <v>2193</v>
      </c>
      <c r="D1520" s="216">
        <v>2.0499999999999998</v>
      </c>
      <c r="E1520" s="198"/>
      <c r="F1520" s="198"/>
      <c r="G1520" s="198"/>
      <c r="H1520" s="198"/>
      <c r="I1520" s="198"/>
      <c r="J1520" s="198"/>
      <c r="K1520" s="198"/>
      <c r="L1520" s="198"/>
      <c r="M1520" s="198"/>
      <c r="N1520" s="198"/>
      <c r="O1520" s="198"/>
      <c r="P1520" s="198"/>
      <c r="Q1520" s="198"/>
      <c r="R1520" s="198"/>
      <c r="S1520" s="198"/>
      <c r="T1520" s="198"/>
      <c r="U1520" s="198"/>
      <c r="V1520" s="198"/>
      <c r="W1520" s="198"/>
      <c r="X1520" s="198"/>
      <c r="Y1520" s="198"/>
      <c r="Z1520" s="198"/>
    </row>
    <row r="1521" spans="1:26" ht="15.75" hidden="1" customHeight="1" x14ac:dyDescent="0.25">
      <c r="A1521" s="213">
        <v>43478</v>
      </c>
      <c r="B1521" s="214" t="s">
        <v>10014</v>
      </c>
      <c r="C1521" s="215" t="s">
        <v>6214</v>
      </c>
      <c r="D1521" s="216">
        <v>387.36</v>
      </c>
      <c r="E1521" s="198"/>
      <c r="F1521" s="198"/>
      <c r="G1521" s="198"/>
      <c r="H1521" s="198"/>
      <c r="I1521" s="198"/>
      <c r="J1521" s="198"/>
      <c r="K1521" s="198"/>
      <c r="L1521" s="198"/>
      <c r="M1521" s="198"/>
      <c r="N1521" s="198"/>
      <c r="O1521" s="198"/>
      <c r="P1521" s="198"/>
      <c r="Q1521" s="198"/>
      <c r="R1521" s="198"/>
      <c r="S1521" s="198"/>
      <c r="T1521" s="198"/>
      <c r="U1521" s="198"/>
      <c r="V1521" s="198"/>
      <c r="W1521" s="198"/>
      <c r="X1521" s="198"/>
      <c r="Y1521" s="198"/>
      <c r="Z1521" s="198"/>
    </row>
    <row r="1522" spans="1:26" ht="15.75" hidden="1" customHeight="1" x14ac:dyDescent="0.25">
      <c r="A1522" s="213">
        <v>43467</v>
      </c>
      <c r="B1522" s="214" t="s">
        <v>10015</v>
      </c>
      <c r="C1522" s="215" t="s">
        <v>2193</v>
      </c>
      <c r="D1522" s="216">
        <v>0.61</v>
      </c>
      <c r="E1522" s="198"/>
      <c r="F1522" s="198"/>
      <c r="G1522" s="198"/>
      <c r="H1522" s="198"/>
      <c r="I1522" s="198"/>
      <c r="J1522" s="198"/>
      <c r="K1522" s="198"/>
      <c r="L1522" s="198"/>
      <c r="M1522" s="198"/>
      <c r="N1522" s="198"/>
      <c r="O1522" s="198"/>
      <c r="P1522" s="198"/>
      <c r="Q1522" s="198"/>
      <c r="R1522" s="198"/>
      <c r="S1522" s="198"/>
      <c r="T1522" s="198"/>
      <c r="U1522" s="198"/>
      <c r="V1522" s="198"/>
      <c r="W1522" s="198"/>
      <c r="X1522" s="198"/>
      <c r="Y1522" s="198"/>
      <c r="Z1522" s="198"/>
    </row>
    <row r="1523" spans="1:26" ht="15.75" hidden="1" customHeight="1" x14ac:dyDescent="0.25">
      <c r="A1523" s="213">
        <v>43479</v>
      </c>
      <c r="B1523" s="214" t="s">
        <v>10016</v>
      </c>
      <c r="C1523" s="215" t="s">
        <v>6214</v>
      </c>
      <c r="D1523" s="216">
        <v>114.77</v>
      </c>
      <c r="E1523" s="198"/>
      <c r="F1523" s="198"/>
      <c r="G1523" s="198"/>
      <c r="H1523" s="198"/>
      <c r="I1523" s="198"/>
      <c r="J1523" s="198"/>
      <c r="K1523" s="198"/>
      <c r="L1523" s="198"/>
      <c r="M1523" s="198"/>
      <c r="N1523" s="198"/>
      <c r="O1523" s="198"/>
      <c r="P1523" s="198"/>
      <c r="Q1523" s="198"/>
      <c r="R1523" s="198"/>
      <c r="S1523" s="198"/>
      <c r="T1523" s="198"/>
      <c r="U1523" s="198"/>
      <c r="V1523" s="198"/>
      <c r="W1523" s="198"/>
      <c r="X1523" s="198"/>
      <c r="Y1523" s="198"/>
      <c r="Z1523" s="198"/>
    </row>
    <row r="1524" spans="1:26" ht="15.75" hidden="1" customHeight="1" x14ac:dyDescent="0.25">
      <c r="A1524" s="213">
        <v>43468</v>
      </c>
      <c r="B1524" s="214" t="s">
        <v>10017</v>
      </c>
      <c r="C1524" s="215" t="s">
        <v>2193</v>
      </c>
      <c r="D1524" s="216">
        <v>1.21</v>
      </c>
      <c r="E1524" s="198"/>
      <c r="F1524" s="198"/>
      <c r="G1524" s="198"/>
      <c r="H1524" s="198"/>
      <c r="I1524" s="198"/>
      <c r="J1524" s="198"/>
      <c r="K1524" s="198"/>
      <c r="L1524" s="198"/>
      <c r="M1524" s="198"/>
      <c r="N1524" s="198"/>
      <c r="O1524" s="198"/>
      <c r="P1524" s="198"/>
      <c r="Q1524" s="198"/>
      <c r="R1524" s="198"/>
      <c r="S1524" s="198"/>
      <c r="T1524" s="198"/>
      <c r="U1524" s="198"/>
      <c r="V1524" s="198"/>
      <c r="W1524" s="198"/>
      <c r="X1524" s="198"/>
      <c r="Y1524" s="198"/>
      <c r="Z1524" s="198"/>
    </row>
    <row r="1525" spans="1:26" ht="15.75" hidden="1" customHeight="1" x14ac:dyDescent="0.25">
      <c r="A1525" s="213">
        <v>43480</v>
      </c>
      <c r="B1525" s="214" t="s">
        <v>10018</v>
      </c>
      <c r="C1525" s="215" t="s">
        <v>6214</v>
      </c>
      <c r="D1525" s="216">
        <v>228.92</v>
      </c>
      <c r="E1525" s="198"/>
      <c r="F1525" s="198"/>
      <c r="G1525" s="198"/>
      <c r="H1525" s="198"/>
      <c r="I1525" s="198"/>
      <c r="J1525" s="198"/>
      <c r="K1525" s="198"/>
      <c r="L1525" s="198"/>
      <c r="M1525" s="198"/>
      <c r="N1525" s="198"/>
      <c r="O1525" s="198"/>
      <c r="P1525" s="198"/>
      <c r="Q1525" s="198"/>
      <c r="R1525" s="198"/>
      <c r="S1525" s="198"/>
      <c r="T1525" s="198"/>
      <c r="U1525" s="198"/>
      <c r="V1525" s="198"/>
      <c r="W1525" s="198"/>
      <c r="X1525" s="198"/>
      <c r="Y1525" s="198"/>
      <c r="Z1525" s="198"/>
    </row>
    <row r="1526" spans="1:26" ht="15.75" hidden="1" customHeight="1" x14ac:dyDescent="0.25">
      <c r="A1526" s="213">
        <v>43469</v>
      </c>
      <c r="B1526" s="214" t="s">
        <v>10019</v>
      </c>
      <c r="C1526" s="215" t="s">
        <v>2193</v>
      </c>
      <c r="D1526" s="216">
        <v>0.05</v>
      </c>
      <c r="E1526" s="198"/>
      <c r="F1526" s="198"/>
      <c r="G1526" s="198"/>
      <c r="H1526" s="198"/>
      <c r="I1526" s="198"/>
      <c r="J1526" s="198"/>
      <c r="K1526" s="198"/>
      <c r="L1526" s="198"/>
      <c r="M1526" s="198"/>
      <c r="N1526" s="198"/>
      <c r="O1526" s="198"/>
      <c r="P1526" s="198"/>
      <c r="Q1526" s="198"/>
      <c r="R1526" s="198"/>
      <c r="S1526" s="198"/>
      <c r="T1526" s="198"/>
      <c r="U1526" s="198"/>
      <c r="V1526" s="198"/>
      <c r="W1526" s="198"/>
      <c r="X1526" s="198"/>
      <c r="Y1526" s="198"/>
      <c r="Z1526" s="198"/>
    </row>
    <row r="1527" spans="1:26" ht="15.75" hidden="1" customHeight="1" x14ac:dyDescent="0.25">
      <c r="A1527" s="213">
        <v>43481</v>
      </c>
      <c r="B1527" s="214" t="s">
        <v>10020</v>
      </c>
      <c r="C1527" s="215" t="s">
        <v>6214</v>
      </c>
      <c r="D1527" s="216">
        <v>9.89</v>
      </c>
      <c r="E1527" s="198"/>
      <c r="F1527" s="198"/>
      <c r="G1527" s="198"/>
      <c r="H1527" s="198"/>
      <c r="I1527" s="198"/>
      <c r="J1527" s="198"/>
      <c r="K1527" s="198"/>
      <c r="L1527" s="198"/>
      <c r="M1527" s="198"/>
      <c r="N1527" s="198"/>
      <c r="O1527" s="198"/>
      <c r="P1527" s="198"/>
      <c r="Q1527" s="198"/>
      <c r="R1527" s="198"/>
      <c r="S1527" s="198"/>
      <c r="T1527" s="198"/>
      <c r="U1527" s="198"/>
      <c r="V1527" s="198"/>
      <c r="W1527" s="198"/>
      <c r="X1527" s="198"/>
      <c r="Y1527" s="198"/>
      <c r="Z1527" s="198"/>
    </row>
    <row r="1528" spans="1:26" ht="15.75" hidden="1" customHeight="1" x14ac:dyDescent="0.25">
      <c r="A1528" s="213">
        <v>3119</v>
      </c>
      <c r="B1528" s="214" t="s">
        <v>10021</v>
      </c>
      <c r="C1528" s="215" t="s">
        <v>580</v>
      </c>
      <c r="D1528" s="216">
        <v>2.58</v>
      </c>
      <c r="E1528" s="198"/>
      <c r="F1528" s="198"/>
      <c r="G1528" s="198"/>
      <c r="H1528" s="198"/>
      <c r="I1528" s="198"/>
      <c r="J1528" s="198"/>
      <c r="K1528" s="198"/>
      <c r="L1528" s="198"/>
      <c r="M1528" s="198"/>
      <c r="N1528" s="198"/>
      <c r="O1528" s="198"/>
      <c r="P1528" s="198"/>
      <c r="Q1528" s="198"/>
      <c r="R1528" s="198"/>
      <c r="S1528" s="198"/>
      <c r="T1528" s="198"/>
      <c r="U1528" s="198"/>
      <c r="V1528" s="198"/>
      <c r="W1528" s="198"/>
      <c r="X1528" s="198"/>
      <c r="Y1528" s="198"/>
      <c r="Z1528" s="198"/>
    </row>
    <row r="1529" spans="1:26" ht="15.75" hidden="1" customHeight="1" x14ac:dyDescent="0.25">
      <c r="A1529" s="213">
        <v>3122</v>
      </c>
      <c r="B1529" s="214" t="s">
        <v>10022</v>
      </c>
      <c r="C1529" s="215" t="s">
        <v>580</v>
      </c>
      <c r="D1529" s="216">
        <v>5.25</v>
      </c>
      <c r="E1529" s="198"/>
      <c r="F1529" s="198"/>
      <c r="G1529" s="198"/>
      <c r="H1529" s="198"/>
      <c r="I1529" s="198"/>
      <c r="J1529" s="198"/>
      <c r="K1529" s="198"/>
      <c r="L1529" s="198"/>
      <c r="M1529" s="198"/>
      <c r="N1529" s="198"/>
      <c r="O1529" s="198"/>
      <c r="P1529" s="198"/>
      <c r="Q1529" s="198"/>
      <c r="R1529" s="198"/>
      <c r="S1529" s="198"/>
      <c r="T1529" s="198"/>
      <c r="U1529" s="198"/>
      <c r="V1529" s="198"/>
      <c r="W1529" s="198"/>
      <c r="X1529" s="198"/>
      <c r="Y1529" s="198"/>
      <c r="Z1529" s="198"/>
    </row>
    <row r="1530" spans="1:26" ht="15.75" hidden="1" customHeight="1" x14ac:dyDescent="0.25">
      <c r="A1530" s="213">
        <v>3121</v>
      </c>
      <c r="B1530" s="214" t="s">
        <v>10023</v>
      </c>
      <c r="C1530" s="215" t="s">
        <v>580</v>
      </c>
      <c r="D1530" s="216">
        <v>5.95</v>
      </c>
      <c r="E1530" s="198"/>
      <c r="F1530" s="198"/>
      <c r="G1530" s="198"/>
      <c r="H1530" s="198"/>
      <c r="I1530" s="198"/>
      <c r="J1530" s="198"/>
      <c r="K1530" s="198"/>
      <c r="L1530" s="198"/>
      <c r="M1530" s="198"/>
      <c r="N1530" s="198"/>
      <c r="O1530" s="198"/>
      <c r="P1530" s="198"/>
      <c r="Q1530" s="198"/>
      <c r="R1530" s="198"/>
      <c r="S1530" s="198"/>
      <c r="T1530" s="198"/>
      <c r="U1530" s="198"/>
      <c r="V1530" s="198"/>
      <c r="W1530" s="198"/>
      <c r="X1530" s="198"/>
      <c r="Y1530" s="198"/>
      <c r="Z1530" s="198"/>
    </row>
    <row r="1531" spans="1:26" ht="15.75" hidden="1" customHeight="1" x14ac:dyDescent="0.25">
      <c r="A1531" s="213">
        <v>3120</v>
      </c>
      <c r="B1531" s="214" t="s">
        <v>10024</v>
      </c>
      <c r="C1531" s="215" t="s">
        <v>580</v>
      </c>
      <c r="D1531" s="216">
        <v>11.29</v>
      </c>
      <c r="E1531" s="198"/>
      <c r="F1531" s="198"/>
      <c r="G1531" s="198"/>
      <c r="H1531" s="198"/>
      <c r="I1531" s="198"/>
      <c r="J1531" s="198"/>
      <c r="K1531" s="198"/>
      <c r="L1531" s="198"/>
      <c r="M1531" s="198"/>
      <c r="N1531" s="198"/>
      <c r="O1531" s="198"/>
      <c r="P1531" s="198"/>
      <c r="Q1531" s="198"/>
      <c r="R1531" s="198"/>
      <c r="S1531" s="198"/>
      <c r="T1531" s="198"/>
      <c r="U1531" s="198"/>
      <c r="V1531" s="198"/>
      <c r="W1531" s="198"/>
      <c r="X1531" s="198"/>
      <c r="Y1531" s="198"/>
      <c r="Z1531" s="198"/>
    </row>
    <row r="1532" spans="1:26" ht="15.75" hidden="1" customHeight="1" x14ac:dyDescent="0.25">
      <c r="A1532" s="213">
        <v>11455</v>
      </c>
      <c r="B1532" s="214" t="s">
        <v>10025</v>
      </c>
      <c r="C1532" s="215" t="s">
        <v>580</v>
      </c>
      <c r="D1532" s="216">
        <v>16.329999999999998</v>
      </c>
      <c r="E1532" s="198"/>
      <c r="F1532" s="198"/>
      <c r="G1532" s="198"/>
      <c r="H1532" s="198"/>
      <c r="I1532" s="198"/>
      <c r="J1532" s="198"/>
      <c r="K1532" s="198"/>
      <c r="L1532" s="198"/>
      <c r="M1532" s="198"/>
      <c r="N1532" s="198"/>
      <c r="O1532" s="198"/>
      <c r="P1532" s="198"/>
      <c r="Q1532" s="198"/>
      <c r="R1532" s="198"/>
      <c r="S1532" s="198"/>
      <c r="T1532" s="198"/>
      <c r="U1532" s="198"/>
      <c r="V1532" s="198"/>
      <c r="W1532" s="198"/>
      <c r="X1532" s="198"/>
      <c r="Y1532" s="198"/>
      <c r="Z1532" s="198"/>
    </row>
    <row r="1533" spans="1:26" ht="15.75" hidden="1" customHeight="1" x14ac:dyDescent="0.25">
      <c r="A1533" s="213">
        <v>11456</v>
      </c>
      <c r="B1533" s="214" t="s">
        <v>10026</v>
      </c>
      <c r="C1533" s="215" t="s">
        <v>580</v>
      </c>
      <c r="D1533" s="216">
        <v>19.52</v>
      </c>
      <c r="E1533" s="198"/>
      <c r="F1533" s="198"/>
      <c r="G1533" s="198"/>
      <c r="H1533" s="198"/>
      <c r="I1533" s="198"/>
      <c r="J1533" s="198"/>
      <c r="K1533" s="198"/>
      <c r="L1533" s="198"/>
      <c r="M1533" s="198"/>
      <c r="N1533" s="198"/>
      <c r="O1533" s="198"/>
      <c r="P1533" s="198"/>
      <c r="Q1533" s="198"/>
      <c r="R1533" s="198"/>
      <c r="S1533" s="198"/>
      <c r="T1533" s="198"/>
      <c r="U1533" s="198"/>
      <c r="V1533" s="198"/>
      <c r="W1533" s="198"/>
      <c r="X1533" s="198"/>
      <c r="Y1533" s="198"/>
      <c r="Z1533" s="198"/>
    </row>
    <row r="1534" spans="1:26" ht="15.75" hidden="1" customHeight="1" x14ac:dyDescent="0.25">
      <c r="A1534" s="213">
        <v>3107</v>
      </c>
      <c r="B1534" s="214" t="s">
        <v>10027</v>
      </c>
      <c r="C1534" s="215" t="s">
        <v>580</v>
      </c>
      <c r="D1534" s="216">
        <v>8.23</v>
      </c>
      <c r="E1534" s="198"/>
      <c r="F1534" s="198"/>
      <c r="G1534" s="198"/>
      <c r="H1534" s="198"/>
      <c r="I1534" s="198"/>
      <c r="J1534" s="198"/>
      <c r="K1534" s="198"/>
      <c r="L1534" s="198"/>
      <c r="M1534" s="198"/>
      <c r="N1534" s="198"/>
      <c r="O1534" s="198"/>
      <c r="P1534" s="198"/>
      <c r="Q1534" s="198"/>
      <c r="R1534" s="198"/>
      <c r="S1534" s="198"/>
      <c r="T1534" s="198"/>
      <c r="U1534" s="198"/>
      <c r="V1534" s="198"/>
      <c r="W1534" s="198"/>
      <c r="X1534" s="198"/>
      <c r="Y1534" s="198"/>
      <c r="Z1534" s="198"/>
    </row>
    <row r="1535" spans="1:26" ht="15.75" hidden="1" customHeight="1" x14ac:dyDescent="0.25">
      <c r="A1535" s="213">
        <v>43583</v>
      </c>
      <c r="B1535" s="214" t="s">
        <v>10028</v>
      </c>
      <c r="C1535" s="215" t="s">
        <v>580</v>
      </c>
      <c r="D1535" s="216">
        <v>9.2899999999999991</v>
      </c>
      <c r="E1535" s="198"/>
      <c r="F1535" s="198"/>
      <c r="G1535" s="198"/>
      <c r="H1535" s="198"/>
      <c r="I1535" s="198"/>
      <c r="J1535" s="198"/>
      <c r="K1535" s="198"/>
      <c r="L1535" s="198"/>
      <c r="M1535" s="198"/>
      <c r="N1535" s="198"/>
      <c r="O1535" s="198"/>
      <c r="P1535" s="198"/>
      <c r="Q1535" s="198"/>
      <c r="R1535" s="198"/>
      <c r="S1535" s="198"/>
      <c r="T1535" s="198"/>
      <c r="U1535" s="198"/>
      <c r="V1535" s="198"/>
      <c r="W1535" s="198"/>
      <c r="X1535" s="198"/>
      <c r="Y1535" s="198"/>
      <c r="Z1535" s="198"/>
    </row>
    <row r="1536" spans="1:26" ht="15.75" hidden="1" customHeight="1" x14ac:dyDescent="0.25">
      <c r="A1536" s="213">
        <v>43586</v>
      </c>
      <c r="B1536" s="214" t="s">
        <v>10029</v>
      </c>
      <c r="C1536" s="215" t="s">
        <v>580</v>
      </c>
      <c r="D1536" s="216">
        <v>9.52</v>
      </c>
      <c r="E1536" s="198"/>
      <c r="F1536" s="198"/>
      <c r="G1536" s="198"/>
      <c r="H1536" s="198"/>
      <c r="I1536" s="198"/>
      <c r="J1536" s="198"/>
      <c r="K1536" s="198"/>
      <c r="L1536" s="198"/>
      <c r="M1536" s="198"/>
      <c r="N1536" s="198"/>
      <c r="O1536" s="198"/>
      <c r="P1536" s="198"/>
      <c r="Q1536" s="198"/>
      <c r="R1536" s="198"/>
      <c r="S1536" s="198"/>
      <c r="T1536" s="198"/>
      <c r="U1536" s="198"/>
      <c r="V1536" s="198"/>
      <c r="W1536" s="198"/>
      <c r="X1536" s="198"/>
      <c r="Y1536" s="198"/>
      <c r="Z1536" s="198"/>
    </row>
    <row r="1537" spans="1:26" ht="15.75" hidden="1" customHeight="1" x14ac:dyDescent="0.25">
      <c r="A1537" s="213">
        <v>11461</v>
      </c>
      <c r="B1537" s="214" t="s">
        <v>10030</v>
      </c>
      <c r="C1537" s="215" t="s">
        <v>580</v>
      </c>
      <c r="D1537" s="216">
        <v>10.37</v>
      </c>
      <c r="E1537" s="198"/>
      <c r="F1537" s="198"/>
      <c r="G1537" s="198"/>
      <c r="H1537" s="198"/>
      <c r="I1537" s="198"/>
      <c r="J1537" s="198"/>
      <c r="K1537" s="198"/>
      <c r="L1537" s="198"/>
      <c r="M1537" s="198"/>
      <c r="N1537" s="198"/>
      <c r="O1537" s="198"/>
      <c r="P1537" s="198"/>
      <c r="Q1537" s="198"/>
      <c r="R1537" s="198"/>
      <c r="S1537" s="198"/>
      <c r="T1537" s="198"/>
      <c r="U1537" s="198"/>
      <c r="V1537" s="198"/>
      <c r="W1537" s="198"/>
      <c r="X1537" s="198"/>
      <c r="Y1537" s="198"/>
      <c r="Z1537" s="198"/>
    </row>
    <row r="1538" spans="1:26" ht="15.75" hidden="1" customHeight="1" x14ac:dyDescent="0.25">
      <c r="A1538" s="213">
        <v>43587</v>
      </c>
      <c r="B1538" s="214" t="s">
        <v>10031</v>
      </c>
      <c r="C1538" s="215" t="s">
        <v>580</v>
      </c>
      <c r="D1538" s="216">
        <v>11.97</v>
      </c>
      <c r="E1538" s="198"/>
      <c r="F1538" s="198"/>
      <c r="G1538" s="198"/>
      <c r="H1538" s="198"/>
      <c r="I1538" s="198"/>
      <c r="J1538" s="198"/>
      <c r="K1538" s="198"/>
      <c r="L1538" s="198"/>
      <c r="M1538" s="198"/>
      <c r="N1538" s="198"/>
      <c r="O1538" s="198"/>
      <c r="P1538" s="198"/>
      <c r="Q1538" s="198"/>
      <c r="R1538" s="198"/>
      <c r="S1538" s="198"/>
      <c r="T1538" s="198"/>
      <c r="U1538" s="198"/>
      <c r="V1538" s="198"/>
      <c r="W1538" s="198"/>
      <c r="X1538" s="198"/>
      <c r="Y1538" s="198"/>
      <c r="Z1538" s="198"/>
    </row>
    <row r="1539" spans="1:26" ht="15.75" hidden="1" customHeight="1" x14ac:dyDescent="0.25">
      <c r="A1539" s="213">
        <v>3106</v>
      </c>
      <c r="B1539" s="214" t="s">
        <v>10032</v>
      </c>
      <c r="C1539" s="215" t="s">
        <v>580</v>
      </c>
      <c r="D1539" s="216">
        <v>15.18</v>
      </c>
      <c r="E1539" s="198"/>
      <c r="F1539" s="198"/>
      <c r="G1539" s="198"/>
      <c r="H1539" s="198"/>
      <c r="I1539" s="198"/>
      <c r="J1539" s="198"/>
      <c r="K1539" s="198"/>
      <c r="L1539" s="198"/>
      <c r="M1539" s="198"/>
      <c r="N1539" s="198"/>
      <c r="O1539" s="198"/>
      <c r="P1539" s="198"/>
      <c r="Q1539" s="198"/>
      <c r="R1539" s="198"/>
      <c r="S1539" s="198"/>
      <c r="T1539" s="198"/>
      <c r="U1539" s="198"/>
      <c r="V1539" s="198"/>
      <c r="W1539" s="198"/>
      <c r="X1539" s="198"/>
      <c r="Y1539" s="198"/>
      <c r="Z1539" s="198"/>
    </row>
    <row r="1540" spans="1:26" ht="15.75" hidden="1" customHeight="1" x14ac:dyDescent="0.25">
      <c r="A1540" s="213">
        <v>44539</v>
      </c>
      <c r="B1540" s="214" t="s">
        <v>10033</v>
      </c>
      <c r="C1540" s="215" t="s">
        <v>823</v>
      </c>
      <c r="D1540" s="216">
        <v>2.99</v>
      </c>
      <c r="E1540" s="198"/>
      <c r="F1540" s="198"/>
      <c r="G1540" s="198"/>
      <c r="H1540" s="198"/>
      <c r="I1540" s="198"/>
      <c r="J1540" s="198"/>
      <c r="K1540" s="198"/>
      <c r="L1540" s="198"/>
      <c r="M1540" s="198"/>
      <c r="N1540" s="198"/>
      <c r="O1540" s="198"/>
      <c r="P1540" s="198"/>
      <c r="Q1540" s="198"/>
      <c r="R1540" s="198"/>
      <c r="S1540" s="198"/>
      <c r="T1540" s="198"/>
      <c r="U1540" s="198"/>
      <c r="V1540" s="198"/>
      <c r="W1540" s="198"/>
      <c r="X1540" s="198"/>
      <c r="Y1540" s="198"/>
      <c r="Z1540" s="198"/>
    </row>
    <row r="1541" spans="1:26" ht="15.75" hidden="1" customHeight="1" x14ac:dyDescent="0.25">
      <c r="A1541" s="213">
        <v>3123</v>
      </c>
      <c r="B1541" s="214" t="s">
        <v>10034</v>
      </c>
      <c r="C1541" s="215" t="s">
        <v>823</v>
      </c>
      <c r="D1541" s="216">
        <v>2.79</v>
      </c>
      <c r="E1541" s="198"/>
      <c r="F1541" s="198"/>
      <c r="G1541" s="198"/>
      <c r="H1541" s="198"/>
      <c r="I1541" s="198"/>
      <c r="J1541" s="198"/>
      <c r="K1541" s="198"/>
      <c r="L1541" s="198"/>
      <c r="M1541" s="198"/>
      <c r="N1541" s="198"/>
      <c r="O1541" s="198"/>
      <c r="P1541" s="198"/>
      <c r="Q1541" s="198"/>
      <c r="R1541" s="198"/>
      <c r="S1541" s="198"/>
      <c r="T1541" s="198"/>
      <c r="U1541" s="198"/>
      <c r="V1541" s="198"/>
      <c r="W1541" s="198"/>
      <c r="X1541" s="198"/>
      <c r="Y1541" s="198"/>
      <c r="Z1541" s="198"/>
    </row>
    <row r="1542" spans="1:26" ht="15.75" hidden="1" customHeight="1" x14ac:dyDescent="0.25">
      <c r="A1542" s="213">
        <v>38125</v>
      </c>
      <c r="B1542" s="214" t="s">
        <v>10035</v>
      </c>
      <c r="C1542" s="215" t="s">
        <v>823</v>
      </c>
      <c r="D1542" s="216">
        <v>1.45</v>
      </c>
      <c r="E1542" s="198"/>
      <c r="F1542" s="198"/>
      <c r="G1542" s="198"/>
      <c r="H1542" s="198"/>
      <c r="I1542" s="198"/>
      <c r="J1542" s="198"/>
      <c r="K1542" s="198"/>
      <c r="L1542" s="198"/>
      <c r="M1542" s="198"/>
      <c r="N1542" s="198"/>
      <c r="O1542" s="198"/>
      <c r="P1542" s="198"/>
      <c r="Q1542" s="198"/>
      <c r="R1542" s="198"/>
      <c r="S1542" s="198"/>
      <c r="T1542" s="198"/>
      <c r="U1542" s="198"/>
      <c r="V1542" s="198"/>
      <c r="W1542" s="198"/>
      <c r="X1542" s="198"/>
      <c r="Y1542" s="198"/>
      <c r="Z1542" s="198"/>
    </row>
    <row r="1543" spans="1:26" ht="15.75" hidden="1" customHeight="1" x14ac:dyDescent="0.25">
      <c r="A1543" s="213">
        <v>39014</v>
      </c>
      <c r="B1543" s="214" t="s">
        <v>10036</v>
      </c>
      <c r="C1543" s="215" t="s">
        <v>823</v>
      </c>
      <c r="D1543" s="216">
        <v>10.68</v>
      </c>
      <c r="E1543" s="198"/>
      <c r="F1543" s="198"/>
      <c r="G1543" s="198"/>
      <c r="H1543" s="198"/>
      <c r="I1543" s="198"/>
      <c r="J1543" s="198"/>
      <c r="K1543" s="198"/>
      <c r="L1543" s="198"/>
      <c r="M1543" s="198"/>
      <c r="N1543" s="198"/>
      <c r="O1543" s="198"/>
      <c r="P1543" s="198"/>
      <c r="Q1543" s="198"/>
      <c r="R1543" s="198"/>
      <c r="S1543" s="198"/>
      <c r="T1543" s="198"/>
      <c r="U1543" s="198"/>
      <c r="V1543" s="198"/>
      <c r="W1543" s="198"/>
      <c r="X1543" s="198"/>
      <c r="Y1543" s="198"/>
      <c r="Z1543" s="198"/>
    </row>
    <row r="1544" spans="1:26" ht="15.75" hidden="1" customHeight="1" x14ac:dyDescent="0.25">
      <c r="A1544" s="213">
        <v>39365</v>
      </c>
      <c r="B1544" s="214" t="s">
        <v>10037</v>
      </c>
      <c r="C1544" s="215" t="s">
        <v>580</v>
      </c>
      <c r="D1544" s="216">
        <v>2141.5500000000002</v>
      </c>
      <c r="E1544" s="198"/>
      <c r="F1544" s="198"/>
      <c r="G1544" s="198"/>
      <c r="H1544" s="198"/>
      <c r="I1544" s="198"/>
      <c r="J1544" s="198"/>
      <c r="K1544" s="198"/>
      <c r="L1544" s="198"/>
      <c r="M1544" s="198"/>
      <c r="N1544" s="198"/>
      <c r="O1544" s="198"/>
      <c r="P1544" s="198"/>
      <c r="Q1544" s="198"/>
      <c r="R1544" s="198"/>
      <c r="S1544" s="198"/>
      <c r="T1544" s="198"/>
      <c r="U1544" s="198"/>
      <c r="V1544" s="198"/>
      <c r="W1544" s="198"/>
      <c r="X1544" s="198"/>
      <c r="Y1544" s="198"/>
      <c r="Z1544" s="198"/>
    </row>
    <row r="1545" spans="1:26" ht="15.75" hidden="1" customHeight="1" x14ac:dyDescent="0.25">
      <c r="A1545" s="213">
        <v>39366</v>
      </c>
      <c r="B1545" s="214" t="s">
        <v>10038</v>
      </c>
      <c r="C1545" s="215" t="s">
        <v>580</v>
      </c>
      <c r="D1545" s="216">
        <v>3249.09</v>
      </c>
      <c r="E1545" s="198"/>
      <c r="F1545" s="198"/>
      <c r="G1545" s="198"/>
      <c r="H1545" s="198"/>
      <c r="I1545" s="198"/>
      <c r="J1545" s="198"/>
      <c r="K1545" s="198"/>
      <c r="L1545" s="198"/>
      <c r="M1545" s="198"/>
      <c r="N1545" s="198"/>
      <c r="O1545" s="198"/>
      <c r="P1545" s="198"/>
      <c r="Q1545" s="198"/>
      <c r="R1545" s="198"/>
      <c r="S1545" s="198"/>
      <c r="T1545" s="198"/>
      <c r="U1545" s="198"/>
      <c r="V1545" s="198"/>
      <c r="W1545" s="198"/>
      <c r="X1545" s="198"/>
      <c r="Y1545" s="198"/>
      <c r="Z1545" s="198"/>
    </row>
    <row r="1546" spans="1:26" ht="15.75" hidden="1" customHeight="1" x14ac:dyDescent="0.25">
      <c r="A1546" s="213">
        <v>39367</v>
      </c>
      <c r="B1546" s="214" t="s">
        <v>10039</v>
      </c>
      <c r="C1546" s="215" t="s">
        <v>580</v>
      </c>
      <c r="D1546" s="216">
        <v>5567.09</v>
      </c>
      <c r="E1546" s="198"/>
      <c r="F1546" s="198"/>
      <c r="G1546" s="198"/>
      <c r="H1546" s="198"/>
      <c r="I1546" s="198"/>
      <c r="J1546" s="198"/>
      <c r="K1546" s="198"/>
      <c r="L1546" s="198"/>
      <c r="M1546" s="198"/>
      <c r="N1546" s="198"/>
      <c r="O1546" s="198"/>
      <c r="P1546" s="198"/>
      <c r="Q1546" s="198"/>
      <c r="R1546" s="198"/>
      <c r="S1546" s="198"/>
      <c r="T1546" s="198"/>
      <c r="U1546" s="198"/>
      <c r="V1546" s="198"/>
      <c r="W1546" s="198"/>
      <c r="X1546" s="198"/>
      <c r="Y1546" s="198"/>
      <c r="Z1546" s="198"/>
    </row>
    <row r="1547" spans="1:26" ht="15.75" hidden="1" customHeight="1" x14ac:dyDescent="0.25">
      <c r="A1547" s="213">
        <v>938</v>
      </c>
      <c r="B1547" s="214" t="s">
        <v>10040</v>
      </c>
      <c r="C1547" s="215" t="s">
        <v>585</v>
      </c>
      <c r="D1547" s="216">
        <v>1.54</v>
      </c>
      <c r="E1547" s="198"/>
      <c r="F1547" s="198"/>
      <c r="G1547" s="198"/>
      <c r="H1547" s="198"/>
      <c r="I1547" s="198"/>
      <c r="J1547" s="198"/>
      <c r="K1547" s="198"/>
      <c r="L1547" s="198"/>
      <c r="M1547" s="198"/>
      <c r="N1547" s="198"/>
      <c r="O1547" s="198"/>
      <c r="P1547" s="198"/>
      <c r="Q1547" s="198"/>
      <c r="R1547" s="198"/>
      <c r="S1547" s="198"/>
      <c r="T1547" s="198"/>
      <c r="U1547" s="198"/>
      <c r="V1547" s="198"/>
      <c r="W1547" s="198"/>
      <c r="X1547" s="198"/>
      <c r="Y1547" s="198"/>
      <c r="Z1547" s="198"/>
    </row>
    <row r="1548" spans="1:26" ht="15.75" hidden="1" customHeight="1" x14ac:dyDescent="0.25">
      <c r="A1548" s="213">
        <v>937</v>
      </c>
      <c r="B1548" s="214" t="s">
        <v>10041</v>
      </c>
      <c r="C1548" s="215" t="s">
        <v>585</v>
      </c>
      <c r="D1548" s="216">
        <v>8.98</v>
      </c>
      <c r="E1548" s="198"/>
      <c r="F1548" s="198"/>
      <c r="G1548" s="198"/>
      <c r="H1548" s="198"/>
      <c r="I1548" s="198"/>
      <c r="J1548" s="198"/>
      <c r="K1548" s="198"/>
      <c r="L1548" s="198"/>
      <c r="M1548" s="198"/>
      <c r="N1548" s="198"/>
      <c r="O1548" s="198"/>
      <c r="P1548" s="198"/>
      <c r="Q1548" s="198"/>
      <c r="R1548" s="198"/>
      <c r="S1548" s="198"/>
      <c r="T1548" s="198"/>
      <c r="U1548" s="198"/>
      <c r="V1548" s="198"/>
      <c r="W1548" s="198"/>
      <c r="X1548" s="198"/>
      <c r="Y1548" s="198"/>
      <c r="Z1548" s="198"/>
    </row>
    <row r="1549" spans="1:26" ht="15.75" hidden="1" customHeight="1" x14ac:dyDescent="0.25">
      <c r="A1549" s="213">
        <v>939</v>
      </c>
      <c r="B1549" s="214" t="s">
        <v>10042</v>
      </c>
      <c r="C1549" s="215" t="s">
        <v>585</v>
      </c>
      <c r="D1549" s="216">
        <v>2.4900000000000002</v>
      </c>
      <c r="E1549" s="198"/>
      <c r="F1549" s="198"/>
      <c r="G1549" s="198"/>
      <c r="H1549" s="198"/>
      <c r="I1549" s="198"/>
      <c r="J1549" s="198"/>
      <c r="K1549" s="198"/>
      <c r="L1549" s="198"/>
      <c r="M1549" s="198"/>
      <c r="N1549" s="198"/>
      <c r="O1549" s="198"/>
      <c r="P1549" s="198"/>
      <c r="Q1549" s="198"/>
      <c r="R1549" s="198"/>
      <c r="S1549" s="198"/>
      <c r="T1549" s="198"/>
      <c r="U1549" s="198"/>
      <c r="V1549" s="198"/>
      <c r="W1549" s="198"/>
      <c r="X1549" s="198"/>
      <c r="Y1549" s="198"/>
      <c r="Z1549" s="198"/>
    </row>
    <row r="1550" spans="1:26" ht="15.75" hidden="1" customHeight="1" x14ac:dyDescent="0.25">
      <c r="A1550" s="213">
        <v>944</v>
      </c>
      <c r="B1550" s="214" t="s">
        <v>10043</v>
      </c>
      <c r="C1550" s="215" t="s">
        <v>585</v>
      </c>
      <c r="D1550" s="216">
        <v>3.94</v>
      </c>
      <c r="E1550" s="198"/>
      <c r="F1550" s="198"/>
      <c r="G1550" s="198"/>
      <c r="H1550" s="198"/>
      <c r="I1550" s="198"/>
      <c r="J1550" s="198"/>
      <c r="K1550" s="198"/>
      <c r="L1550" s="198"/>
      <c r="M1550" s="198"/>
      <c r="N1550" s="198"/>
      <c r="O1550" s="198"/>
      <c r="P1550" s="198"/>
      <c r="Q1550" s="198"/>
      <c r="R1550" s="198"/>
      <c r="S1550" s="198"/>
      <c r="T1550" s="198"/>
      <c r="U1550" s="198"/>
      <c r="V1550" s="198"/>
      <c r="W1550" s="198"/>
      <c r="X1550" s="198"/>
      <c r="Y1550" s="198"/>
      <c r="Z1550" s="198"/>
    </row>
    <row r="1551" spans="1:26" ht="15.75" hidden="1" customHeight="1" x14ac:dyDescent="0.25">
      <c r="A1551" s="213">
        <v>940</v>
      </c>
      <c r="B1551" s="214" t="s">
        <v>10044</v>
      </c>
      <c r="C1551" s="215" t="s">
        <v>585</v>
      </c>
      <c r="D1551" s="216">
        <v>5.68</v>
      </c>
      <c r="E1551" s="198"/>
      <c r="F1551" s="198"/>
      <c r="G1551" s="198"/>
      <c r="H1551" s="198"/>
      <c r="I1551" s="198"/>
      <c r="J1551" s="198"/>
      <c r="K1551" s="198"/>
      <c r="L1551" s="198"/>
      <c r="M1551" s="198"/>
      <c r="N1551" s="198"/>
      <c r="O1551" s="198"/>
      <c r="P1551" s="198"/>
      <c r="Q1551" s="198"/>
      <c r="R1551" s="198"/>
      <c r="S1551" s="198"/>
      <c r="T1551" s="198"/>
      <c r="U1551" s="198"/>
      <c r="V1551" s="198"/>
      <c r="W1551" s="198"/>
      <c r="X1551" s="198"/>
      <c r="Y1551" s="198"/>
      <c r="Z1551" s="198"/>
    </row>
    <row r="1552" spans="1:26" ht="15.75" hidden="1" customHeight="1" x14ac:dyDescent="0.25">
      <c r="A1552" s="213">
        <v>44397</v>
      </c>
      <c r="B1552" s="214" t="s">
        <v>10045</v>
      </c>
      <c r="C1552" s="215" t="s">
        <v>585</v>
      </c>
      <c r="D1552" s="216">
        <v>3.04</v>
      </c>
      <c r="E1552" s="198"/>
      <c r="F1552" s="198"/>
      <c r="G1552" s="198"/>
      <c r="H1552" s="198"/>
      <c r="I1552" s="198"/>
      <c r="J1552" s="198"/>
      <c r="K1552" s="198"/>
      <c r="L1552" s="198"/>
      <c r="M1552" s="198"/>
      <c r="N1552" s="198"/>
      <c r="O1552" s="198"/>
      <c r="P1552" s="198"/>
      <c r="Q1552" s="198"/>
      <c r="R1552" s="198"/>
      <c r="S1552" s="198"/>
      <c r="T1552" s="198"/>
      <c r="U1552" s="198"/>
      <c r="V1552" s="198"/>
      <c r="W1552" s="198"/>
      <c r="X1552" s="198"/>
      <c r="Y1552" s="198"/>
      <c r="Z1552" s="198"/>
    </row>
    <row r="1553" spans="1:26" ht="15.75" hidden="1" customHeight="1" x14ac:dyDescent="0.25">
      <c r="A1553" s="213">
        <v>406</v>
      </c>
      <c r="B1553" s="214" t="s">
        <v>10046</v>
      </c>
      <c r="C1553" s="215" t="s">
        <v>580</v>
      </c>
      <c r="D1553" s="216">
        <v>100.16</v>
      </c>
      <c r="E1553" s="198"/>
      <c r="F1553" s="198"/>
      <c r="G1553" s="198"/>
      <c r="H1553" s="198"/>
      <c r="I1553" s="198"/>
      <c r="J1553" s="198"/>
      <c r="K1553" s="198"/>
      <c r="L1553" s="198"/>
      <c r="M1553" s="198"/>
      <c r="N1553" s="198"/>
      <c r="O1553" s="198"/>
      <c r="P1553" s="198"/>
      <c r="Q1553" s="198"/>
      <c r="R1553" s="198"/>
      <c r="S1553" s="198"/>
      <c r="T1553" s="198"/>
      <c r="U1553" s="198"/>
      <c r="V1553" s="198"/>
      <c r="W1553" s="198"/>
      <c r="X1553" s="198"/>
      <c r="Y1553" s="198"/>
      <c r="Z1553" s="198"/>
    </row>
    <row r="1554" spans="1:26" ht="15.75" hidden="1" customHeight="1" x14ac:dyDescent="0.25">
      <c r="A1554" s="213">
        <v>42529</v>
      </c>
      <c r="B1554" s="214" t="s">
        <v>10047</v>
      </c>
      <c r="C1554" s="215" t="s">
        <v>585</v>
      </c>
      <c r="D1554" s="216">
        <v>0.94</v>
      </c>
      <c r="E1554" s="198"/>
      <c r="F1554" s="198"/>
      <c r="G1554" s="198"/>
      <c r="H1554" s="198"/>
      <c r="I1554" s="198"/>
      <c r="J1554" s="198"/>
      <c r="K1554" s="198"/>
      <c r="L1554" s="198"/>
      <c r="M1554" s="198"/>
      <c r="N1554" s="198"/>
      <c r="O1554" s="198"/>
      <c r="P1554" s="198"/>
      <c r="Q1554" s="198"/>
      <c r="R1554" s="198"/>
      <c r="S1554" s="198"/>
      <c r="T1554" s="198"/>
      <c r="U1554" s="198"/>
      <c r="V1554" s="198"/>
      <c r="W1554" s="198"/>
      <c r="X1554" s="198"/>
      <c r="Y1554" s="198"/>
      <c r="Z1554" s="198"/>
    </row>
    <row r="1555" spans="1:26" ht="15.75" hidden="1" customHeight="1" x14ac:dyDescent="0.25">
      <c r="A1555" s="213">
        <v>39634</v>
      </c>
      <c r="B1555" s="214" t="s">
        <v>10048</v>
      </c>
      <c r="C1555" s="215" t="s">
        <v>585</v>
      </c>
      <c r="D1555" s="216">
        <v>10.23</v>
      </c>
      <c r="E1555" s="198"/>
      <c r="F1555" s="198"/>
      <c r="G1555" s="198"/>
      <c r="H1555" s="198"/>
      <c r="I1555" s="198"/>
      <c r="J1555" s="198"/>
      <c r="K1555" s="198"/>
      <c r="L1555" s="198"/>
      <c r="M1555" s="198"/>
      <c r="N1555" s="198"/>
      <c r="O1555" s="198"/>
      <c r="P1555" s="198"/>
      <c r="Q1555" s="198"/>
      <c r="R1555" s="198"/>
      <c r="S1555" s="198"/>
      <c r="T1555" s="198"/>
      <c r="U1555" s="198"/>
      <c r="V1555" s="198"/>
      <c r="W1555" s="198"/>
      <c r="X1555" s="198"/>
      <c r="Y1555" s="198"/>
      <c r="Z1555" s="198"/>
    </row>
    <row r="1556" spans="1:26" ht="15.75" hidden="1" customHeight="1" x14ac:dyDescent="0.25">
      <c r="A1556" s="213">
        <v>39701</v>
      </c>
      <c r="B1556" s="214" t="s">
        <v>10049</v>
      </c>
      <c r="C1556" s="215" t="s">
        <v>580</v>
      </c>
      <c r="D1556" s="216">
        <v>106.97</v>
      </c>
      <c r="E1556" s="198"/>
      <c r="F1556" s="198"/>
      <c r="G1556" s="198"/>
      <c r="H1556" s="198"/>
      <c r="I1556" s="198"/>
      <c r="J1556" s="198"/>
      <c r="K1556" s="198"/>
      <c r="L1556" s="198"/>
      <c r="M1556" s="198"/>
      <c r="N1556" s="198"/>
      <c r="O1556" s="198"/>
      <c r="P1556" s="198"/>
      <c r="Q1556" s="198"/>
      <c r="R1556" s="198"/>
      <c r="S1556" s="198"/>
      <c r="T1556" s="198"/>
      <c r="U1556" s="198"/>
      <c r="V1556" s="198"/>
      <c r="W1556" s="198"/>
      <c r="X1556" s="198"/>
      <c r="Y1556" s="198"/>
      <c r="Z1556" s="198"/>
    </row>
    <row r="1557" spans="1:26" ht="15.75" hidden="1" customHeight="1" x14ac:dyDescent="0.25">
      <c r="A1557" s="213">
        <v>12815</v>
      </c>
      <c r="B1557" s="214" t="s">
        <v>10050</v>
      </c>
      <c r="C1557" s="215" t="s">
        <v>580</v>
      </c>
      <c r="D1557" s="216">
        <v>8.18</v>
      </c>
      <c r="E1557" s="198"/>
      <c r="F1557" s="198"/>
      <c r="G1557" s="198"/>
      <c r="H1557" s="198"/>
      <c r="I1557" s="198"/>
      <c r="J1557" s="198"/>
      <c r="K1557" s="198"/>
      <c r="L1557" s="198"/>
      <c r="M1557" s="198"/>
      <c r="N1557" s="198"/>
      <c r="O1557" s="198"/>
      <c r="P1557" s="198"/>
      <c r="Q1557" s="198"/>
      <c r="R1557" s="198"/>
      <c r="S1557" s="198"/>
      <c r="T1557" s="198"/>
      <c r="U1557" s="198"/>
      <c r="V1557" s="198"/>
      <c r="W1557" s="198"/>
      <c r="X1557" s="198"/>
      <c r="Y1557" s="198"/>
      <c r="Z1557" s="198"/>
    </row>
    <row r="1558" spans="1:26" ht="15.75" hidden="1" customHeight="1" x14ac:dyDescent="0.25">
      <c r="A1558" s="213">
        <v>39431</v>
      </c>
      <c r="B1558" s="214" t="s">
        <v>10051</v>
      </c>
      <c r="C1558" s="215" t="s">
        <v>585</v>
      </c>
      <c r="D1558" s="216">
        <v>0.33</v>
      </c>
      <c r="E1558" s="198"/>
      <c r="F1558" s="198"/>
      <c r="G1558" s="198"/>
      <c r="H1558" s="198"/>
      <c r="I1558" s="198"/>
      <c r="J1558" s="198"/>
      <c r="K1558" s="198"/>
      <c r="L1558" s="198"/>
      <c r="M1558" s="198"/>
      <c r="N1558" s="198"/>
      <c r="O1558" s="198"/>
      <c r="P1558" s="198"/>
      <c r="Q1558" s="198"/>
      <c r="R1558" s="198"/>
      <c r="S1558" s="198"/>
      <c r="T1558" s="198"/>
      <c r="U1558" s="198"/>
      <c r="V1558" s="198"/>
      <c r="W1558" s="198"/>
      <c r="X1558" s="198"/>
      <c r="Y1558" s="198"/>
      <c r="Z1558" s="198"/>
    </row>
    <row r="1559" spans="1:26" ht="15.75" hidden="1" customHeight="1" x14ac:dyDescent="0.25">
      <c r="A1559" s="213">
        <v>39432</v>
      </c>
      <c r="B1559" s="214" t="s">
        <v>10052</v>
      </c>
      <c r="C1559" s="215" t="s">
        <v>585</v>
      </c>
      <c r="D1559" s="216">
        <v>2.97</v>
      </c>
      <c r="E1559" s="198"/>
      <c r="F1559" s="198"/>
      <c r="G1559" s="198"/>
      <c r="H1559" s="198"/>
      <c r="I1559" s="198"/>
      <c r="J1559" s="198"/>
      <c r="K1559" s="198"/>
      <c r="L1559" s="198"/>
      <c r="M1559" s="198"/>
      <c r="N1559" s="198"/>
      <c r="O1559" s="198"/>
      <c r="P1559" s="198"/>
      <c r="Q1559" s="198"/>
      <c r="R1559" s="198"/>
      <c r="S1559" s="198"/>
      <c r="T1559" s="198"/>
      <c r="U1559" s="198"/>
      <c r="V1559" s="198"/>
      <c r="W1559" s="198"/>
      <c r="X1559" s="198"/>
      <c r="Y1559" s="198"/>
      <c r="Z1559" s="198"/>
    </row>
    <row r="1560" spans="1:26" ht="15.75" hidden="1" customHeight="1" x14ac:dyDescent="0.25">
      <c r="A1560" s="213">
        <v>20111</v>
      </c>
      <c r="B1560" s="214" t="s">
        <v>10053</v>
      </c>
      <c r="C1560" s="215" t="s">
        <v>580</v>
      </c>
      <c r="D1560" s="216">
        <v>13.95</v>
      </c>
      <c r="E1560" s="198"/>
      <c r="F1560" s="198"/>
      <c r="G1560" s="198"/>
      <c r="H1560" s="198"/>
      <c r="I1560" s="198"/>
      <c r="J1560" s="198"/>
      <c r="K1560" s="198"/>
      <c r="L1560" s="198"/>
      <c r="M1560" s="198"/>
      <c r="N1560" s="198"/>
      <c r="O1560" s="198"/>
      <c r="P1560" s="198"/>
      <c r="Q1560" s="198"/>
      <c r="R1560" s="198"/>
      <c r="S1560" s="198"/>
      <c r="T1560" s="198"/>
      <c r="U1560" s="198"/>
      <c r="V1560" s="198"/>
      <c r="W1560" s="198"/>
      <c r="X1560" s="198"/>
      <c r="Y1560" s="198"/>
      <c r="Z1560" s="198"/>
    </row>
    <row r="1561" spans="1:26" ht="15.75" hidden="1" customHeight="1" x14ac:dyDescent="0.25">
      <c r="A1561" s="213">
        <v>21127</v>
      </c>
      <c r="B1561" s="214" t="s">
        <v>10054</v>
      </c>
      <c r="C1561" s="215" t="s">
        <v>580</v>
      </c>
      <c r="D1561" s="216">
        <v>5.27</v>
      </c>
      <c r="E1561" s="198"/>
      <c r="F1561" s="198"/>
      <c r="G1561" s="198"/>
      <c r="H1561" s="198"/>
      <c r="I1561" s="198"/>
      <c r="J1561" s="198"/>
      <c r="K1561" s="198"/>
      <c r="L1561" s="198"/>
      <c r="M1561" s="198"/>
      <c r="N1561" s="198"/>
      <c r="O1561" s="198"/>
      <c r="P1561" s="198"/>
      <c r="Q1561" s="198"/>
      <c r="R1561" s="198"/>
      <c r="S1561" s="198"/>
      <c r="T1561" s="198"/>
      <c r="U1561" s="198"/>
      <c r="V1561" s="198"/>
      <c r="W1561" s="198"/>
      <c r="X1561" s="198"/>
      <c r="Y1561" s="198"/>
      <c r="Z1561" s="198"/>
    </row>
    <row r="1562" spans="1:26" ht="15.75" hidden="1" customHeight="1" x14ac:dyDescent="0.25">
      <c r="A1562" s="213">
        <v>404</v>
      </c>
      <c r="B1562" s="214" t="s">
        <v>10055</v>
      </c>
      <c r="C1562" s="215" t="s">
        <v>585</v>
      </c>
      <c r="D1562" s="216">
        <v>1.9</v>
      </c>
      <c r="E1562" s="198"/>
      <c r="F1562" s="198"/>
      <c r="G1562" s="198"/>
      <c r="H1562" s="198"/>
      <c r="I1562" s="198"/>
      <c r="J1562" s="198"/>
      <c r="K1562" s="198"/>
      <c r="L1562" s="198"/>
      <c r="M1562" s="198"/>
      <c r="N1562" s="198"/>
      <c r="O1562" s="198"/>
      <c r="P1562" s="198"/>
      <c r="Q1562" s="198"/>
      <c r="R1562" s="198"/>
      <c r="S1562" s="198"/>
      <c r="T1562" s="198"/>
      <c r="U1562" s="198"/>
      <c r="V1562" s="198"/>
      <c r="W1562" s="198"/>
      <c r="X1562" s="198"/>
      <c r="Y1562" s="198"/>
      <c r="Z1562" s="198"/>
    </row>
    <row r="1563" spans="1:26" ht="15.75" hidden="1" customHeight="1" x14ac:dyDescent="0.25">
      <c r="A1563" s="213">
        <v>3143</v>
      </c>
      <c r="B1563" s="214" t="s">
        <v>10056</v>
      </c>
      <c r="C1563" s="215" t="s">
        <v>580</v>
      </c>
      <c r="D1563" s="216">
        <v>11.94</v>
      </c>
      <c r="E1563" s="198"/>
      <c r="F1563" s="198"/>
      <c r="G1563" s="198"/>
      <c r="H1563" s="198"/>
      <c r="I1563" s="198"/>
      <c r="J1563" s="198"/>
      <c r="K1563" s="198"/>
      <c r="L1563" s="198"/>
      <c r="M1563" s="198"/>
      <c r="N1563" s="198"/>
      <c r="O1563" s="198"/>
      <c r="P1563" s="198"/>
      <c r="Q1563" s="198"/>
      <c r="R1563" s="198"/>
      <c r="S1563" s="198"/>
      <c r="T1563" s="198"/>
      <c r="U1563" s="198"/>
      <c r="V1563" s="198"/>
      <c r="W1563" s="198"/>
      <c r="X1563" s="198"/>
      <c r="Y1563" s="198"/>
      <c r="Z1563" s="198"/>
    </row>
    <row r="1564" spans="1:26" ht="15.75" hidden="1" customHeight="1" x14ac:dyDescent="0.25">
      <c r="A1564" s="213">
        <v>3146</v>
      </c>
      <c r="B1564" s="214" t="s">
        <v>10057</v>
      </c>
      <c r="C1564" s="215" t="s">
        <v>580</v>
      </c>
      <c r="D1564" s="216">
        <v>5.25</v>
      </c>
      <c r="E1564" s="198"/>
      <c r="F1564" s="198"/>
      <c r="G1564" s="198"/>
      <c r="H1564" s="198"/>
      <c r="I1564" s="198"/>
      <c r="J1564" s="198"/>
      <c r="K1564" s="198"/>
      <c r="L1564" s="198"/>
      <c r="M1564" s="198"/>
      <c r="N1564" s="198"/>
      <c r="O1564" s="198"/>
      <c r="P1564" s="198"/>
      <c r="Q1564" s="198"/>
      <c r="R1564" s="198"/>
      <c r="S1564" s="198"/>
      <c r="T1564" s="198"/>
      <c r="U1564" s="198"/>
      <c r="V1564" s="198"/>
      <c r="W1564" s="198"/>
      <c r="X1564" s="198"/>
      <c r="Y1564" s="198"/>
      <c r="Z1564" s="198"/>
    </row>
    <row r="1565" spans="1:26" ht="15.75" hidden="1" customHeight="1" x14ac:dyDescent="0.25">
      <c r="A1565" s="213">
        <v>3148</v>
      </c>
      <c r="B1565" s="214" t="s">
        <v>10058</v>
      </c>
      <c r="C1565" s="215" t="s">
        <v>580</v>
      </c>
      <c r="D1565" s="216">
        <v>19.36</v>
      </c>
      <c r="E1565" s="198"/>
      <c r="F1565" s="198"/>
      <c r="G1565" s="198"/>
      <c r="H1565" s="198"/>
      <c r="I1565" s="198"/>
      <c r="J1565" s="198"/>
      <c r="K1565" s="198"/>
      <c r="L1565" s="198"/>
      <c r="M1565" s="198"/>
      <c r="N1565" s="198"/>
      <c r="O1565" s="198"/>
      <c r="P1565" s="198"/>
      <c r="Q1565" s="198"/>
      <c r="R1565" s="198"/>
      <c r="S1565" s="198"/>
      <c r="T1565" s="198"/>
      <c r="U1565" s="198"/>
      <c r="V1565" s="198"/>
      <c r="W1565" s="198"/>
      <c r="X1565" s="198"/>
      <c r="Y1565" s="198"/>
      <c r="Z1565" s="198"/>
    </row>
    <row r="1566" spans="1:26" ht="15.75" hidden="1" customHeight="1" x14ac:dyDescent="0.25">
      <c r="A1566" s="213">
        <v>4310</v>
      </c>
      <c r="B1566" s="214" t="s">
        <v>10059</v>
      </c>
      <c r="C1566" s="215" t="s">
        <v>580</v>
      </c>
      <c r="D1566" s="216">
        <v>2.25</v>
      </c>
      <c r="E1566" s="198"/>
      <c r="F1566" s="198"/>
      <c r="G1566" s="198"/>
      <c r="H1566" s="198"/>
      <c r="I1566" s="198"/>
      <c r="J1566" s="198"/>
      <c r="K1566" s="198"/>
      <c r="L1566" s="198"/>
      <c r="M1566" s="198"/>
      <c r="N1566" s="198"/>
      <c r="O1566" s="198"/>
      <c r="P1566" s="198"/>
      <c r="Q1566" s="198"/>
      <c r="R1566" s="198"/>
      <c r="S1566" s="198"/>
      <c r="T1566" s="198"/>
      <c r="U1566" s="198"/>
      <c r="V1566" s="198"/>
      <c r="W1566" s="198"/>
      <c r="X1566" s="198"/>
      <c r="Y1566" s="198"/>
      <c r="Z1566" s="198"/>
    </row>
    <row r="1567" spans="1:26" ht="15.75" hidden="1" customHeight="1" x14ac:dyDescent="0.25">
      <c r="A1567" s="213">
        <v>4311</v>
      </c>
      <c r="B1567" s="214" t="s">
        <v>10060</v>
      </c>
      <c r="C1567" s="215" t="s">
        <v>580</v>
      </c>
      <c r="D1567" s="216">
        <v>1.58</v>
      </c>
      <c r="E1567" s="198"/>
      <c r="F1567" s="198"/>
      <c r="G1567" s="198"/>
      <c r="H1567" s="198"/>
      <c r="I1567" s="198"/>
      <c r="J1567" s="198"/>
      <c r="K1567" s="198"/>
      <c r="L1567" s="198"/>
      <c r="M1567" s="198"/>
      <c r="N1567" s="198"/>
      <c r="O1567" s="198"/>
      <c r="P1567" s="198"/>
      <c r="Q1567" s="198"/>
      <c r="R1567" s="198"/>
      <c r="S1567" s="198"/>
      <c r="T1567" s="198"/>
      <c r="U1567" s="198"/>
      <c r="V1567" s="198"/>
      <c r="W1567" s="198"/>
      <c r="X1567" s="198"/>
      <c r="Y1567" s="198"/>
      <c r="Z1567" s="198"/>
    </row>
    <row r="1568" spans="1:26" ht="15.75" hidden="1" customHeight="1" x14ac:dyDescent="0.25">
      <c r="A1568" s="213">
        <v>4312</v>
      </c>
      <c r="B1568" s="214" t="s">
        <v>10061</v>
      </c>
      <c r="C1568" s="215" t="s">
        <v>580</v>
      </c>
      <c r="D1568" s="216">
        <v>2.2200000000000002</v>
      </c>
      <c r="E1568" s="198"/>
      <c r="F1568" s="198"/>
      <c r="G1568" s="198"/>
      <c r="H1568" s="198"/>
      <c r="I1568" s="198"/>
      <c r="J1568" s="198"/>
      <c r="K1568" s="198"/>
      <c r="L1568" s="198"/>
      <c r="M1568" s="198"/>
      <c r="N1568" s="198"/>
      <c r="O1568" s="198"/>
      <c r="P1568" s="198"/>
      <c r="Q1568" s="198"/>
      <c r="R1568" s="198"/>
      <c r="S1568" s="198"/>
      <c r="T1568" s="198"/>
      <c r="U1568" s="198"/>
      <c r="V1568" s="198"/>
      <c r="W1568" s="198"/>
      <c r="X1568" s="198"/>
      <c r="Y1568" s="198"/>
      <c r="Z1568" s="198"/>
    </row>
    <row r="1569" spans="1:26" ht="15.75" hidden="1" customHeight="1" x14ac:dyDescent="0.25">
      <c r="A1569" s="213">
        <v>13261</v>
      </c>
      <c r="B1569" s="214" t="s">
        <v>10062</v>
      </c>
      <c r="C1569" s="215" t="s">
        <v>580</v>
      </c>
      <c r="D1569" s="216">
        <v>3.29</v>
      </c>
      <c r="E1569" s="198"/>
      <c r="F1569" s="198"/>
      <c r="G1569" s="198"/>
      <c r="H1569" s="198"/>
      <c r="I1569" s="198"/>
      <c r="J1569" s="198"/>
      <c r="K1569" s="198"/>
      <c r="L1569" s="198"/>
      <c r="M1569" s="198"/>
      <c r="N1569" s="198"/>
      <c r="O1569" s="198"/>
      <c r="P1569" s="198"/>
      <c r="Q1569" s="198"/>
      <c r="R1569" s="198"/>
      <c r="S1569" s="198"/>
      <c r="T1569" s="198"/>
      <c r="U1569" s="198"/>
      <c r="V1569" s="198"/>
      <c r="W1569" s="198"/>
      <c r="X1569" s="198"/>
      <c r="Y1569" s="198"/>
      <c r="Z1569" s="198"/>
    </row>
    <row r="1570" spans="1:26" ht="15.75" hidden="1" customHeight="1" x14ac:dyDescent="0.25">
      <c r="A1570" s="213">
        <v>3275</v>
      </c>
      <c r="B1570" s="214" t="s">
        <v>10063</v>
      </c>
      <c r="C1570" s="215" t="s">
        <v>578</v>
      </c>
      <c r="D1570" s="216">
        <v>146.1</v>
      </c>
      <c r="E1570" s="198"/>
      <c r="F1570" s="198"/>
      <c r="G1570" s="198"/>
      <c r="H1570" s="198"/>
      <c r="I1570" s="198"/>
      <c r="J1570" s="198"/>
      <c r="K1570" s="198"/>
      <c r="L1570" s="198"/>
      <c r="M1570" s="198"/>
      <c r="N1570" s="198"/>
      <c r="O1570" s="198"/>
      <c r="P1570" s="198"/>
      <c r="Q1570" s="198"/>
      <c r="R1570" s="198"/>
      <c r="S1570" s="198"/>
      <c r="T1570" s="198"/>
      <c r="U1570" s="198"/>
      <c r="V1570" s="198"/>
      <c r="W1570" s="198"/>
      <c r="X1570" s="198"/>
      <c r="Y1570" s="198"/>
      <c r="Z1570" s="198"/>
    </row>
    <row r="1571" spans="1:26" ht="15.75" hidden="1" customHeight="1" x14ac:dyDescent="0.25">
      <c r="A1571" s="213">
        <v>3286</v>
      </c>
      <c r="B1571" s="214" t="s">
        <v>10064</v>
      </c>
      <c r="C1571" s="215" t="s">
        <v>578</v>
      </c>
      <c r="D1571" s="216">
        <v>99.26</v>
      </c>
      <c r="E1571" s="198"/>
      <c r="F1571" s="198"/>
      <c r="G1571" s="198"/>
      <c r="H1571" s="198"/>
      <c r="I1571" s="198"/>
      <c r="J1571" s="198"/>
      <c r="K1571" s="198"/>
      <c r="L1571" s="198"/>
      <c r="M1571" s="198"/>
      <c r="N1571" s="198"/>
      <c r="O1571" s="198"/>
      <c r="P1571" s="198"/>
      <c r="Q1571" s="198"/>
      <c r="R1571" s="198"/>
      <c r="S1571" s="198"/>
      <c r="T1571" s="198"/>
      <c r="U1571" s="198"/>
      <c r="V1571" s="198"/>
      <c r="W1571" s="198"/>
      <c r="X1571" s="198"/>
      <c r="Y1571" s="198"/>
      <c r="Z1571" s="198"/>
    </row>
    <row r="1572" spans="1:26" ht="15.75" hidden="1" customHeight="1" x14ac:dyDescent="0.25">
      <c r="A1572" s="213">
        <v>3287</v>
      </c>
      <c r="B1572" s="214" t="s">
        <v>10065</v>
      </c>
      <c r="C1572" s="215" t="s">
        <v>578</v>
      </c>
      <c r="D1572" s="216">
        <v>150</v>
      </c>
      <c r="E1572" s="198"/>
      <c r="F1572" s="198"/>
      <c r="G1572" s="198"/>
      <c r="H1572" s="198"/>
      <c r="I1572" s="198"/>
      <c r="J1572" s="198"/>
      <c r="K1572" s="198"/>
      <c r="L1572" s="198"/>
      <c r="M1572" s="198"/>
      <c r="N1572" s="198"/>
      <c r="O1572" s="198"/>
      <c r="P1572" s="198"/>
      <c r="Q1572" s="198"/>
      <c r="R1572" s="198"/>
      <c r="S1572" s="198"/>
      <c r="T1572" s="198"/>
      <c r="U1572" s="198"/>
      <c r="V1572" s="198"/>
      <c r="W1572" s="198"/>
      <c r="X1572" s="198"/>
      <c r="Y1572" s="198"/>
      <c r="Z1572" s="198"/>
    </row>
    <row r="1573" spans="1:26" ht="15.75" hidden="1" customHeight="1" x14ac:dyDescent="0.25">
      <c r="A1573" s="213">
        <v>3283</v>
      </c>
      <c r="B1573" s="214" t="s">
        <v>10066</v>
      </c>
      <c r="C1573" s="215" t="s">
        <v>578</v>
      </c>
      <c r="D1573" s="216">
        <v>31.51</v>
      </c>
      <c r="E1573" s="198"/>
      <c r="F1573" s="198"/>
      <c r="G1573" s="198"/>
      <c r="H1573" s="198"/>
      <c r="I1573" s="198"/>
      <c r="J1573" s="198"/>
      <c r="K1573" s="198"/>
      <c r="L1573" s="198"/>
      <c r="M1573" s="198"/>
      <c r="N1573" s="198"/>
      <c r="O1573" s="198"/>
      <c r="P1573" s="198"/>
      <c r="Q1573" s="198"/>
      <c r="R1573" s="198"/>
      <c r="S1573" s="198"/>
      <c r="T1573" s="198"/>
      <c r="U1573" s="198"/>
      <c r="V1573" s="198"/>
      <c r="W1573" s="198"/>
      <c r="X1573" s="198"/>
      <c r="Y1573" s="198"/>
      <c r="Z1573" s="198"/>
    </row>
    <row r="1574" spans="1:26" ht="15.75" hidden="1" customHeight="1" x14ac:dyDescent="0.25">
      <c r="A1574" s="213">
        <v>11587</v>
      </c>
      <c r="B1574" s="214" t="s">
        <v>10067</v>
      </c>
      <c r="C1574" s="215" t="s">
        <v>578</v>
      </c>
      <c r="D1574" s="216">
        <v>100.18</v>
      </c>
      <c r="E1574" s="198"/>
      <c r="F1574" s="198"/>
      <c r="G1574" s="198"/>
      <c r="H1574" s="198"/>
      <c r="I1574" s="198"/>
      <c r="J1574" s="198"/>
      <c r="K1574" s="198"/>
      <c r="L1574" s="198"/>
      <c r="M1574" s="198"/>
      <c r="N1574" s="198"/>
      <c r="O1574" s="198"/>
      <c r="P1574" s="198"/>
      <c r="Q1574" s="198"/>
      <c r="R1574" s="198"/>
      <c r="S1574" s="198"/>
      <c r="T1574" s="198"/>
      <c r="U1574" s="198"/>
      <c r="V1574" s="198"/>
      <c r="W1574" s="198"/>
      <c r="X1574" s="198"/>
      <c r="Y1574" s="198"/>
      <c r="Z1574" s="198"/>
    </row>
    <row r="1575" spans="1:26" ht="15.75" hidden="1" customHeight="1" x14ac:dyDescent="0.25">
      <c r="A1575" s="213">
        <v>36225</v>
      </c>
      <c r="B1575" s="214" t="s">
        <v>10068</v>
      </c>
      <c r="C1575" s="215" t="s">
        <v>578</v>
      </c>
      <c r="D1575" s="216">
        <v>40.700000000000003</v>
      </c>
      <c r="E1575" s="198"/>
      <c r="F1575" s="198"/>
      <c r="G1575" s="198"/>
      <c r="H1575" s="198"/>
      <c r="I1575" s="198"/>
      <c r="J1575" s="198"/>
      <c r="K1575" s="198"/>
      <c r="L1575" s="198"/>
      <c r="M1575" s="198"/>
      <c r="N1575" s="198"/>
      <c r="O1575" s="198"/>
      <c r="P1575" s="198"/>
      <c r="Q1575" s="198"/>
      <c r="R1575" s="198"/>
      <c r="S1575" s="198"/>
      <c r="T1575" s="198"/>
      <c r="U1575" s="198"/>
      <c r="V1575" s="198"/>
      <c r="W1575" s="198"/>
      <c r="X1575" s="198"/>
      <c r="Y1575" s="198"/>
      <c r="Z1575" s="198"/>
    </row>
    <row r="1576" spans="1:26" ht="15.75" hidden="1" customHeight="1" x14ac:dyDescent="0.25">
      <c r="A1576" s="213">
        <v>36230</v>
      </c>
      <c r="B1576" s="214" t="s">
        <v>10069</v>
      </c>
      <c r="C1576" s="215" t="s">
        <v>578</v>
      </c>
      <c r="D1576" s="216">
        <v>29.9</v>
      </c>
      <c r="E1576" s="198"/>
      <c r="F1576" s="198"/>
      <c r="G1576" s="198"/>
      <c r="H1576" s="198"/>
      <c r="I1576" s="198"/>
      <c r="J1576" s="198"/>
      <c r="K1576" s="198"/>
      <c r="L1576" s="198"/>
      <c r="M1576" s="198"/>
      <c r="N1576" s="198"/>
      <c r="O1576" s="198"/>
      <c r="P1576" s="198"/>
      <c r="Q1576" s="198"/>
      <c r="R1576" s="198"/>
      <c r="S1576" s="198"/>
      <c r="T1576" s="198"/>
      <c r="U1576" s="198"/>
      <c r="V1576" s="198"/>
      <c r="W1576" s="198"/>
      <c r="X1576" s="198"/>
      <c r="Y1576" s="198"/>
      <c r="Z1576" s="198"/>
    </row>
    <row r="1577" spans="1:26" ht="15.75" hidden="1" customHeight="1" x14ac:dyDescent="0.25">
      <c r="A1577" s="213">
        <v>36238</v>
      </c>
      <c r="B1577" s="214" t="s">
        <v>10070</v>
      </c>
      <c r="C1577" s="215" t="s">
        <v>578</v>
      </c>
      <c r="D1577" s="216">
        <v>29.22</v>
      </c>
      <c r="E1577" s="198"/>
      <c r="F1577" s="198"/>
      <c r="G1577" s="198"/>
      <c r="H1577" s="198"/>
      <c r="I1577" s="198"/>
      <c r="J1577" s="198"/>
      <c r="K1577" s="198"/>
      <c r="L1577" s="198"/>
      <c r="M1577" s="198"/>
      <c r="N1577" s="198"/>
      <c r="O1577" s="198"/>
      <c r="P1577" s="198"/>
      <c r="Q1577" s="198"/>
      <c r="R1577" s="198"/>
      <c r="S1577" s="198"/>
      <c r="T1577" s="198"/>
      <c r="U1577" s="198"/>
      <c r="V1577" s="198"/>
      <c r="W1577" s="198"/>
      <c r="X1577" s="198"/>
      <c r="Y1577" s="198"/>
      <c r="Z1577" s="198"/>
    </row>
    <row r="1578" spans="1:26" ht="15.75" hidden="1" customHeight="1" x14ac:dyDescent="0.25">
      <c r="A1578" s="213">
        <v>39363</v>
      </c>
      <c r="B1578" s="214" t="s">
        <v>10071</v>
      </c>
      <c r="C1578" s="215" t="s">
        <v>580</v>
      </c>
      <c r="D1578" s="216">
        <v>6312.56</v>
      </c>
      <c r="E1578" s="198"/>
      <c r="F1578" s="198"/>
      <c r="G1578" s="198"/>
      <c r="H1578" s="198"/>
      <c r="I1578" s="198"/>
      <c r="J1578" s="198"/>
      <c r="K1578" s="198"/>
      <c r="L1578" s="198"/>
      <c r="M1578" s="198"/>
      <c r="N1578" s="198"/>
      <c r="O1578" s="198"/>
      <c r="P1578" s="198"/>
      <c r="Q1578" s="198"/>
      <c r="R1578" s="198"/>
      <c r="S1578" s="198"/>
      <c r="T1578" s="198"/>
      <c r="U1578" s="198"/>
      <c r="V1578" s="198"/>
      <c r="W1578" s="198"/>
      <c r="X1578" s="198"/>
      <c r="Y1578" s="198"/>
      <c r="Z1578" s="198"/>
    </row>
    <row r="1579" spans="1:26" ht="15.75" hidden="1" customHeight="1" x14ac:dyDescent="0.25">
      <c r="A1579" s="213">
        <v>39361</v>
      </c>
      <c r="B1579" s="214" t="s">
        <v>10072</v>
      </c>
      <c r="C1579" s="215" t="s">
        <v>580</v>
      </c>
      <c r="D1579" s="216">
        <v>1928.53</v>
      </c>
      <c r="E1579" s="198"/>
      <c r="F1579" s="198"/>
      <c r="G1579" s="198"/>
      <c r="H1579" s="198"/>
      <c r="I1579" s="198"/>
      <c r="J1579" s="198"/>
      <c r="K1579" s="198"/>
      <c r="L1579" s="198"/>
      <c r="M1579" s="198"/>
      <c r="N1579" s="198"/>
      <c r="O1579" s="198"/>
      <c r="P1579" s="198"/>
      <c r="Q1579" s="198"/>
      <c r="R1579" s="198"/>
      <c r="S1579" s="198"/>
      <c r="T1579" s="198"/>
      <c r="U1579" s="198"/>
      <c r="V1579" s="198"/>
      <c r="W1579" s="198"/>
      <c r="X1579" s="198"/>
      <c r="Y1579" s="198"/>
      <c r="Z1579" s="198"/>
    </row>
    <row r="1580" spans="1:26" ht="15.75" hidden="1" customHeight="1" x14ac:dyDescent="0.25">
      <c r="A1580" s="213">
        <v>39362</v>
      </c>
      <c r="B1580" s="214" t="s">
        <v>10073</v>
      </c>
      <c r="C1580" s="215" t="s">
        <v>580</v>
      </c>
      <c r="D1580" s="216">
        <v>3406.85</v>
      </c>
      <c r="E1580" s="198"/>
      <c r="F1580" s="198"/>
      <c r="G1580" s="198"/>
      <c r="H1580" s="198"/>
      <c r="I1580" s="198"/>
      <c r="J1580" s="198"/>
      <c r="K1580" s="198"/>
      <c r="L1580" s="198"/>
      <c r="M1580" s="198"/>
      <c r="N1580" s="198"/>
      <c r="O1580" s="198"/>
      <c r="P1580" s="198"/>
      <c r="Q1580" s="198"/>
      <c r="R1580" s="198"/>
      <c r="S1580" s="198"/>
      <c r="T1580" s="198"/>
      <c r="U1580" s="198"/>
      <c r="V1580" s="198"/>
      <c r="W1580" s="198"/>
      <c r="X1580" s="198"/>
      <c r="Y1580" s="198"/>
      <c r="Z1580" s="198"/>
    </row>
    <row r="1581" spans="1:26" ht="15.75" hidden="1" customHeight="1" x14ac:dyDescent="0.25">
      <c r="A1581" s="213">
        <v>39364</v>
      </c>
      <c r="B1581" s="214" t="s">
        <v>10074</v>
      </c>
      <c r="C1581" s="215" t="s">
        <v>580</v>
      </c>
      <c r="D1581" s="216">
        <v>13314.87</v>
      </c>
      <c r="E1581" s="198"/>
      <c r="F1581" s="198"/>
      <c r="G1581" s="198"/>
      <c r="H1581" s="198"/>
      <c r="I1581" s="198"/>
      <c r="J1581" s="198"/>
      <c r="K1581" s="198"/>
      <c r="L1581" s="198"/>
      <c r="M1581" s="198"/>
      <c r="N1581" s="198"/>
      <c r="O1581" s="198"/>
      <c r="P1581" s="198"/>
      <c r="Q1581" s="198"/>
      <c r="R1581" s="198"/>
      <c r="S1581" s="198"/>
      <c r="T1581" s="198"/>
      <c r="U1581" s="198"/>
      <c r="V1581" s="198"/>
      <c r="W1581" s="198"/>
      <c r="X1581" s="198"/>
      <c r="Y1581" s="198"/>
      <c r="Z1581" s="198"/>
    </row>
    <row r="1582" spans="1:26" ht="15.75" hidden="1" customHeight="1" x14ac:dyDescent="0.25">
      <c r="A1582" s="213">
        <v>7307</v>
      </c>
      <c r="B1582" s="214" t="s">
        <v>10075</v>
      </c>
      <c r="C1582" s="215" t="s">
        <v>517</v>
      </c>
      <c r="D1582" s="216">
        <v>40.450000000000003</v>
      </c>
      <c r="E1582" s="198"/>
      <c r="F1582" s="198"/>
      <c r="G1582" s="198"/>
      <c r="H1582" s="198"/>
      <c r="I1582" s="198"/>
      <c r="J1582" s="198"/>
      <c r="K1582" s="198"/>
      <c r="L1582" s="198"/>
      <c r="M1582" s="198"/>
      <c r="N1582" s="198"/>
      <c r="O1582" s="198"/>
      <c r="P1582" s="198"/>
      <c r="Q1582" s="198"/>
      <c r="R1582" s="198"/>
      <c r="S1582" s="198"/>
      <c r="T1582" s="198"/>
      <c r="U1582" s="198"/>
      <c r="V1582" s="198"/>
      <c r="W1582" s="198"/>
      <c r="X1582" s="198"/>
      <c r="Y1582" s="198"/>
      <c r="Z1582" s="198"/>
    </row>
    <row r="1583" spans="1:26" ht="15.75" hidden="1" customHeight="1" x14ac:dyDescent="0.25">
      <c r="A1583" s="213">
        <v>38122</v>
      </c>
      <c r="B1583" s="214" t="s">
        <v>10076</v>
      </c>
      <c r="C1583" s="215" t="s">
        <v>517</v>
      </c>
      <c r="D1583" s="216">
        <v>15.91</v>
      </c>
      <c r="E1583" s="198"/>
      <c r="F1583" s="198"/>
      <c r="G1583" s="198"/>
      <c r="H1583" s="198"/>
      <c r="I1583" s="198"/>
      <c r="J1583" s="198"/>
      <c r="K1583" s="198"/>
      <c r="L1583" s="198"/>
      <c r="M1583" s="198"/>
      <c r="N1583" s="198"/>
      <c r="O1583" s="198"/>
      <c r="P1583" s="198"/>
      <c r="Q1583" s="198"/>
      <c r="R1583" s="198"/>
      <c r="S1583" s="198"/>
      <c r="T1583" s="198"/>
      <c r="U1583" s="198"/>
      <c r="V1583" s="198"/>
      <c r="W1583" s="198"/>
      <c r="X1583" s="198"/>
      <c r="Y1583" s="198"/>
      <c r="Z1583" s="198"/>
    </row>
    <row r="1584" spans="1:26" ht="15.75" hidden="1" customHeight="1" x14ac:dyDescent="0.25">
      <c r="A1584" s="213">
        <v>43653</v>
      </c>
      <c r="B1584" s="214" t="s">
        <v>10077</v>
      </c>
      <c r="C1584" s="215" t="s">
        <v>517</v>
      </c>
      <c r="D1584" s="216">
        <v>43.28</v>
      </c>
      <c r="E1584" s="198"/>
      <c r="F1584" s="198"/>
      <c r="G1584" s="198"/>
      <c r="H1584" s="198"/>
      <c r="I1584" s="198"/>
      <c r="J1584" s="198"/>
      <c r="K1584" s="198"/>
      <c r="L1584" s="198"/>
      <c r="M1584" s="198"/>
      <c r="N1584" s="198"/>
      <c r="O1584" s="198"/>
      <c r="P1584" s="198"/>
      <c r="Q1584" s="198"/>
      <c r="R1584" s="198"/>
      <c r="S1584" s="198"/>
      <c r="T1584" s="198"/>
      <c r="U1584" s="198"/>
      <c r="V1584" s="198"/>
      <c r="W1584" s="198"/>
      <c r="X1584" s="198"/>
      <c r="Y1584" s="198"/>
      <c r="Z1584" s="198"/>
    </row>
    <row r="1585" spans="1:26" ht="15.75" hidden="1" customHeight="1" x14ac:dyDescent="0.25">
      <c r="A1585" s="213">
        <v>34802</v>
      </c>
      <c r="B1585" s="214" t="s">
        <v>10078</v>
      </c>
      <c r="C1585" s="215" t="s">
        <v>580</v>
      </c>
      <c r="D1585" s="216">
        <v>1542.15</v>
      </c>
      <c r="E1585" s="198"/>
      <c r="F1585" s="198"/>
      <c r="G1585" s="198"/>
      <c r="H1585" s="198"/>
      <c r="I1585" s="198"/>
      <c r="J1585" s="198"/>
      <c r="K1585" s="198"/>
      <c r="L1585" s="198"/>
      <c r="M1585" s="198"/>
      <c r="N1585" s="198"/>
      <c r="O1585" s="198"/>
      <c r="P1585" s="198"/>
      <c r="Q1585" s="198"/>
      <c r="R1585" s="198"/>
      <c r="S1585" s="198"/>
      <c r="T1585" s="198"/>
      <c r="U1585" s="198"/>
      <c r="V1585" s="198"/>
      <c r="W1585" s="198"/>
      <c r="X1585" s="198"/>
      <c r="Y1585" s="198"/>
      <c r="Z1585" s="198"/>
    </row>
    <row r="1586" spans="1:26" ht="15.75" hidden="1" customHeight="1" x14ac:dyDescent="0.25">
      <c r="A1586" s="213">
        <v>11588</v>
      </c>
      <c r="B1586" s="214" t="s">
        <v>10079</v>
      </c>
      <c r="C1586" s="215" t="s">
        <v>580</v>
      </c>
      <c r="D1586" s="216">
        <v>1663.73</v>
      </c>
      <c r="E1586" s="198"/>
      <c r="F1586" s="198"/>
      <c r="G1586" s="198"/>
      <c r="H1586" s="198"/>
      <c r="I1586" s="198"/>
      <c r="J1586" s="198"/>
      <c r="K1586" s="198"/>
      <c r="L1586" s="198"/>
      <c r="M1586" s="198"/>
      <c r="N1586" s="198"/>
      <c r="O1586" s="198"/>
      <c r="P1586" s="198"/>
      <c r="Q1586" s="198"/>
      <c r="R1586" s="198"/>
      <c r="S1586" s="198"/>
      <c r="T1586" s="198"/>
      <c r="U1586" s="198"/>
      <c r="V1586" s="198"/>
      <c r="W1586" s="198"/>
      <c r="X1586" s="198"/>
      <c r="Y1586" s="198"/>
      <c r="Z1586" s="198"/>
    </row>
    <row r="1587" spans="1:26" ht="15.75" hidden="1" customHeight="1" x14ac:dyDescent="0.25">
      <c r="A1587" s="213">
        <v>34383</v>
      </c>
      <c r="B1587" s="214" t="s">
        <v>10080</v>
      </c>
      <c r="C1587" s="215" t="s">
        <v>580</v>
      </c>
      <c r="D1587" s="216">
        <v>1830.22</v>
      </c>
      <c r="E1587" s="198"/>
      <c r="F1587" s="198"/>
      <c r="G1587" s="198"/>
      <c r="H1587" s="198"/>
      <c r="I1587" s="198"/>
      <c r="J1587" s="198"/>
      <c r="K1587" s="198"/>
      <c r="L1587" s="198"/>
      <c r="M1587" s="198"/>
      <c r="N1587" s="198"/>
      <c r="O1587" s="198"/>
      <c r="P1587" s="198"/>
      <c r="Q1587" s="198"/>
      <c r="R1587" s="198"/>
      <c r="S1587" s="198"/>
      <c r="T1587" s="198"/>
      <c r="U1587" s="198"/>
      <c r="V1587" s="198"/>
      <c r="W1587" s="198"/>
      <c r="X1587" s="198"/>
      <c r="Y1587" s="198"/>
      <c r="Z1587" s="198"/>
    </row>
    <row r="1588" spans="1:26" ht="15.75" hidden="1" customHeight="1" x14ac:dyDescent="0.25">
      <c r="A1588" s="213">
        <v>40451</v>
      </c>
      <c r="B1588" s="214" t="s">
        <v>10081</v>
      </c>
      <c r="C1588" s="215" t="s">
        <v>578</v>
      </c>
      <c r="D1588" s="216">
        <v>147.94</v>
      </c>
      <c r="E1588" s="198"/>
      <c r="F1588" s="198"/>
      <c r="G1588" s="198"/>
      <c r="H1588" s="198"/>
      <c r="I1588" s="198"/>
      <c r="J1588" s="198"/>
      <c r="K1588" s="198"/>
      <c r="L1588" s="198"/>
      <c r="M1588" s="198"/>
      <c r="N1588" s="198"/>
      <c r="O1588" s="198"/>
      <c r="P1588" s="198"/>
      <c r="Q1588" s="198"/>
      <c r="R1588" s="198"/>
      <c r="S1588" s="198"/>
      <c r="T1588" s="198"/>
      <c r="U1588" s="198"/>
      <c r="V1588" s="198"/>
      <c r="W1588" s="198"/>
      <c r="X1588" s="198"/>
      <c r="Y1588" s="198"/>
      <c r="Z1588" s="198"/>
    </row>
    <row r="1589" spans="1:26" ht="15.75" hidden="1" customHeight="1" x14ac:dyDescent="0.25">
      <c r="A1589" s="213">
        <v>40453</v>
      </c>
      <c r="B1589" s="214" t="s">
        <v>10082</v>
      </c>
      <c r="C1589" s="215" t="s">
        <v>578</v>
      </c>
      <c r="D1589" s="216">
        <v>160.07</v>
      </c>
      <c r="E1589" s="198"/>
      <c r="F1589" s="198"/>
      <c r="G1589" s="198"/>
      <c r="H1589" s="198"/>
      <c r="I1589" s="198"/>
      <c r="J1589" s="198"/>
      <c r="K1589" s="198"/>
      <c r="L1589" s="198"/>
      <c r="M1589" s="198"/>
      <c r="N1589" s="198"/>
      <c r="O1589" s="198"/>
      <c r="P1589" s="198"/>
      <c r="Q1589" s="198"/>
      <c r="R1589" s="198"/>
      <c r="S1589" s="198"/>
      <c r="T1589" s="198"/>
      <c r="U1589" s="198"/>
      <c r="V1589" s="198"/>
      <c r="W1589" s="198"/>
      <c r="X1589" s="198"/>
      <c r="Y1589" s="198"/>
      <c r="Z1589" s="198"/>
    </row>
    <row r="1590" spans="1:26" ht="15.75" hidden="1" customHeight="1" x14ac:dyDescent="0.25">
      <c r="A1590" s="213">
        <v>40452</v>
      </c>
      <c r="B1590" s="214" t="s">
        <v>10083</v>
      </c>
      <c r="C1590" s="215" t="s">
        <v>578</v>
      </c>
      <c r="D1590" s="216">
        <v>175.58</v>
      </c>
      <c r="E1590" s="198"/>
      <c r="F1590" s="198"/>
      <c r="G1590" s="198"/>
      <c r="H1590" s="198"/>
      <c r="I1590" s="198"/>
      <c r="J1590" s="198"/>
      <c r="K1590" s="198"/>
      <c r="L1590" s="198"/>
      <c r="M1590" s="198"/>
      <c r="N1590" s="198"/>
      <c r="O1590" s="198"/>
      <c r="P1590" s="198"/>
      <c r="Q1590" s="198"/>
      <c r="R1590" s="198"/>
      <c r="S1590" s="198"/>
      <c r="T1590" s="198"/>
      <c r="U1590" s="198"/>
      <c r="V1590" s="198"/>
      <c r="W1590" s="198"/>
      <c r="X1590" s="198"/>
      <c r="Y1590" s="198"/>
      <c r="Z1590" s="198"/>
    </row>
    <row r="1591" spans="1:26" ht="15.75" hidden="1" customHeight="1" x14ac:dyDescent="0.25">
      <c r="A1591" s="213">
        <v>11594</v>
      </c>
      <c r="B1591" s="214" t="s">
        <v>10084</v>
      </c>
      <c r="C1591" s="215" t="s">
        <v>580</v>
      </c>
      <c r="D1591" s="216">
        <v>530.28</v>
      </c>
      <c r="E1591" s="198"/>
      <c r="F1591" s="198"/>
      <c r="G1591" s="198"/>
      <c r="H1591" s="198"/>
      <c r="I1591" s="198"/>
      <c r="J1591" s="198"/>
      <c r="K1591" s="198"/>
      <c r="L1591" s="198"/>
      <c r="M1591" s="198"/>
      <c r="N1591" s="198"/>
      <c r="O1591" s="198"/>
      <c r="P1591" s="198"/>
      <c r="Q1591" s="198"/>
      <c r="R1591" s="198"/>
      <c r="S1591" s="198"/>
      <c r="T1591" s="198"/>
      <c r="U1591" s="198"/>
      <c r="V1591" s="198"/>
      <c r="W1591" s="198"/>
      <c r="X1591" s="198"/>
      <c r="Y1591" s="198"/>
      <c r="Z1591" s="198"/>
    </row>
    <row r="1592" spans="1:26" ht="15.75" hidden="1" customHeight="1" x14ac:dyDescent="0.25">
      <c r="A1592" s="213">
        <v>3311</v>
      </c>
      <c r="B1592" s="214" t="s">
        <v>10085</v>
      </c>
      <c r="C1592" s="215" t="s">
        <v>664</v>
      </c>
      <c r="D1592" s="216">
        <v>530.28</v>
      </c>
      <c r="E1592" s="198"/>
      <c r="F1592" s="198"/>
      <c r="G1592" s="198"/>
      <c r="H1592" s="198"/>
      <c r="I1592" s="198"/>
      <c r="J1592" s="198"/>
      <c r="K1592" s="198"/>
      <c r="L1592" s="198"/>
      <c r="M1592" s="198"/>
      <c r="N1592" s="198"/>
      <c r="O1592" s="198"/>
      <c r="P1592" s="198"/>
      <c r="Q1592" s="198"/>
      <c r="R1592" s="198"/>
      <c r="S1592" s="198"/>
      <c r="T1592" s="198"/>
      <c r="U1592" s="198"/>
      <c r="V1592" s="198"/>
      <c r="W1592" s="198"/>
      <c r="X1592" s="198"/>
      <c r="Y1592" s="198"/>
      <c r="Z1592" s="198"/>
    </row>
    <row r="1593" spans="1:26" ht="15.75" hidden="1" customHeight="1" x14ac:dyDescent="0.25">
      <c r="A1593" s="213">
        <v>11599</v>
      </c>
      <c r="B1593" s="214" t="s">
        <v>10086</v>
      </c>
      <c r="C1593" s="215" t="s">
        <v>580</v>
      </c>
      <c r="D1593" s="216">
        <v>705.21</v>
      </c>
      <c r="E1593" s="198"/>
      <c r="F1593" s="198"/>
      <c r="G1593" s="198"/>
      <c r="H1593" s="198"/>
      <c r="I1593" s="198"/>
      <c r="J1593" s="198"/>
      <c r="K1593" s="198"/>
      <c r="L1593" s="198"/>
      <c r="M1593" s="198"/>
      <c r="N1593" s="198"/>
      <c r="O1593" s="198"/>
      <c r="P1593" s="198"/>
      <c r="Q1593" s="198"/>
      <c r="R1593" s="198"/>
      <c r="S1593" s="198"/>
      <c r="T1593" s="198"/>
      <c r="U1593" s="198"/>
      <c r="V1593" s="198"/>
      <c r="W1593" s="198"/>
      <c r="X1593" s="198"/>
      <c r="Y1593" s="198"/>
      <c r="Z1593" s="198"/>
    </row>
    <row r="1594" spans="1:26" ht="15.75" hidden="1" customHeight="1" x14ac:dyDescent="0.25">
      <c r="A1594" s="213">
        <v>11593</v>
      </c>
      <c r="B1594" s="214" t="s">
        <v>10087</v>
      </c>
      <c r="C1594" s="215" t="s">
        <v>580</v>
      </c>
      <c r="D1594" s="216">
        <v>988.66</v>
      </c>
      <c r="E1594" s="198"/>
      <c r="F1594" s="198"/>
      <c r="G1594" s="198"/>
      <c r="H1594" s="198"/>
      <c r="I1594" s="198"/>
      <c r="J1594" s="198"/>
      <c r="K1594" s="198"/>
      <c r="L1594" s="198"/>
      <c r="M1594" s="198"/>
      <c r="N1594" s="198"/>
      <c r="O1594" s="198"/>
      <c r="P1594" s="198"/>
      <c r="Q1594" s="198"/>
      <c r="R1594" s="198"/>
      <c r="S1594" s="198"/>
      <c r="T1594" s="198"/>
      <c r="U1594" s="198"/>
      <c r="V1594" s="198"/>
      <c r="W1594" s="198"/>
      <c r="X1594" s="198"/>
      <c r="Y1594" s="198"/>
      <c r="Z1594" s="198"/>
    </row>
    <row r="1595" spans="1:26" ht="15.75" hidden="1" customHeight="1" x14ac:dyDescent="0.25">
      <c r="A1595" s="213">
        <v>3314</v>
      </c>
      <c r="B1595" s="214" t="s">
        <v>10088</v>
      </c>
      <c r="C1595" s="215" t="s">
        <v>664</v>
      </c>
      <c r="D1595" s="216">
        <v>707.09</v>
      </c>
      <c r="E1595" s="198"/>
      <c r="F1595" s="198"/>
      <c r="G1595" s="198"/>
      <c r="H1595" s="198"/>
      <c r="I1595" s="198"/>
      <c r="J1595" s="198"/>
      <c r="K1595" s="198"/>
      <c r="L1595" s="198"/>
      <c r="M1595" s="198"/>
      <c r="N1595" s="198"/>
      <c r="O1595" s="198"/>
      <c r="P1595" s="198"/>
      <c r="Q1595" s="198"/>
      <c r="R1595" s="198"/>
      <c r="S1595" s="198"/>
      <c r="T1595" s="198"/>
      <c r="U1595" s="198"/>
      <c r="V1595" s="198"/>
      <c r="W1595" s="198"/>
      <c r="X1595" s="198"/>
      <c r="Y1595" s="198"/>
      <c r="Z1595" s="198"/>
    </row>
    <row r="1596" spans="1:26" ht="15.75" hidden="1" customHeight="1" x14ac:dyDescent="0.25">
      <c r="A1596" s="213">
        <v>11597</v>
      </c>
      <c r="B1596" s="214" t="s">
        <v>10089</v>
      </c>
      <c r="C1596" s="215" t="s">
        <v>580</v>
      </c>
      <c r="D1596" s="216">
        <v>822.26</v>
      </c>
      <c r="E1596" s="198"/>
      <c r="F1596" s="198"/>
      <c r="G1596" s="198"/>
      <c r="H1596" s="198"/>
      <c r="I1596" s="198"/>
      <c r="J1596" s="198"/>
      <c r="K1596" s="198"/>
      <c r="L1596" s="198"/>
      <c r="M1596" s="198"/>
      <c r="N1596" s="198"/>
      <c r="O1596" s="198"/>
      <c r="P1596" s="198"/>
      <c r="Q1596" s="198"/>
      <c r="R1596" s="198"/>
      <c r="S1596" s="198"/>
      <c r="T1596" s="198"/>
      <c r="U1596" s="198"/>
      <c r="V1596" s="198"/>
      <c r="W1596" s="198"/>
      <c r="X1596" s="198"/>
      <c r="Y1596" s="198"/>
      <c r="Z1596" s="198"/>
    </row>
    <row r="1597" spans="1:26" ht="15.75" hidden="1" customHeight="1" x14ac:dyDescent="0.25">
      <c r="A1597" s="213">
        <v>3309</v>
      </c>
      <c r="B1597" s="214" t="s">
        <v>10090</v>
      </c>
      <c r="C1597" s="215" t="s">
        <v>664</v>
      </c>
      <c r="D1597" s="216">
        <v>561.53</v>
      </c>
      <c r="E1597" s="198"/>
      <c r="F1597" s="198"/>
      <c r="G1597" s="198"/>
      <c r="H1597" s="198"/>
      <c r="I1597" s="198"/>
      <c r="J1597" s="198"/>
      <c r="K1597" s="198"/>
      <c r="L1597" s="198"/>
      <c r="M1597" s="198"/>
      <c r="N1597" s="198"/>
      <c r="O1597" s="198"/>
      <c r="P1597" s="198"/>
      <c r="Q1597" s="198"/>
      <c r="R1597" s="198"/>
      <c r="S1597" s="198"/>
      <c r="T1597" s="198"/>
      <c r="U1597" s="198"/>
      <c r="V1597" s="198"/>
      <c r="W1597" s="198"/>
      <c r="X1597" s="198"/>
      <c r="Y1597" s="198"/>
      <c r="Z1597" s="198"/>
    </row>
    <row r="1598" spans="1:26" ht="15.75" hidden="1" customHeight="1" x14ac:dyDescent="0.25">
      <c r="A1598" s="213">
        <v>40440</v>
      </c>
      <c r="B1598" s="214" t="s">
        <v>10091</v>
      </c>
      <c r="C1598" s="215" t="s">
        <v>664</v>
      </c>
      <c r="D1598" s="216">
        <v>736.51</v>
      </c>
      <c r="E1598" s="198"/>
      <c r="F1598" s="198"/>
      <c r="G1598" s="198"/>
      <c r="H1598" s="198"/>
      <c r="I1598" s="198"/>
      <c r="J1598" s="198"/>
      <c r="K1598" s="198"/>
      <c r="L1598" s="198"/>
      <c r="M1598" s="198"/>
      <c r="N1598" s="198"/>
      <c r="O1598" s="198"/>
      <c r="P1598" s="198"/>
      <c r="Q1598" s="198"/>
      <c r="R1598" s="198"/>
      <c r="S1598" s="198"/>
      <c r="T1598" s="198"/>
      <c r="U1598" s="198"/>
      <c r="V1598" s="198"/>
      <c r="W1598" s="198"/>
      <c r="X1598" s="198"/>
      <c r="Y1598" s="198"/>
      <c r="Z1598" s="198"/>
    </row>
    <row r="1599" spans="1:26" ht="15.75" hidden="1" customHeight="1" x14ac:dyDescent="0.25">
      <c r="A1599" s="213">
        <v>40441</v>
      </c>
      <c r="B1599" s="214" t="s">
        <v>10092</v>
      </c>
      <c r="C1599" s="215" t="s">
        <v>664</v>
      </c>
      <c r="D1599" s="216">
        <v>470.22</v>
      </c>
      <c r="E1599" s="198"/>
      <c r="F1599" s="198"/>
      <c r="G1599" s="198"/>
      <c r="H1599" s="198"/>
      <c r="I1599" s="198"/>
      <c r="J1599" s="198"/>
      <c r="K1599" s="198"/>
      <c r="L1599" s="198"/>
      <c r="M1599" s="198"/>
      <c r="N1599" s="198"/>
      <c r="O1599" s="198"/>
      <c r="P1599" s="198"/>
      <c r="Q1599" s="198"/>
      <c r="R1599" s="198"/>
      <c r="S1599" s="198"/>
      <c r="T1599" s="198"/>
      <c r="U1599" s="198"/>
      <c r="V1599" s="198"/>
      <c r="W1599" s="198"/>
      <c r="X1599" s="198"/>
      <c r="Y1599" s="198"/>
      <c r="Z1599" s="198"/>
    </row>
    <row r="1600" spans="1:26" ht="15.75" hidden="1" customHeight="1" x14ac:dyDescent="0.25">
      <c r="A1600" s="213">
        <v>34612</v>
      </c>
      <c r="B1600" s="214" t="s">
        <v>10093</v>
      </c>
      <c r="C1600" s="215" t="s">
        <v>580</v>
      </c>
      <c r="D1600" s="216">
        <v>1016.99</v>
      </c>
      <c r="E1600" s="198"/>
      <c r="F1600" s="198"/>
      <c r="G1600" s="198"/>
      <c r="H1600" s="198"/>
      <c r="I1600" s="198"/>
      <c r="J1600" s="198"/>
      <c r="K1600" s="198"/>
      <c r="L1600" s="198"/>
      <c r="M1600" s="198"/>
      <c r="N1600" s="198"/>
      <c r="O1600" s="198"/>
      <c r="P1600" s="198"/>
      <c r="Q1600" s="198"/>
      <c r="R1600" s="198"/>
      <c r="S1600" s="198"/>
      <c r="T1600" s="198"/>
      <c r="U1600" s="198"/>
      <c r="V1600" s="198"/>
      <c r="W1600" s="198"/>
      <c r="X1600" s="198"/>
      <c r="Y1600" s="198"/>
      <c r="Z1600" s="198"/>
    </row>
    <row r="1601" spans="1:26" ht="15.75" hidden="1" customHeight="1" x14ac:dyDescent="0.25">
      <c r="A1601" s="213">
        <v>34635</v>
      </c>
      <c r="B1601" s="214" t="s">
        <v>10094</v>
      </c>
      <c r="C1601" s="215" t="s">
        <v>580</v>
      </c>
      <c r="D1601" s="216">
        <v>1307.81</v>
      </c>
      <c r="E1601" s="198"/>
      <c r="F1601" s="198"/>
      <c r="G1601" s="198"/>
      <c r="H1601" s="198"/>
      <c r="I1601" s="198"/>
      <c r="J1601" s="198"/>
      <c r="K1601" s="198"/>
      <c r="L1601" s="198"/>
      <c r="M1601" s="198"/>
      <c r="N1601" s="198"/>
      <c r="O1601" s="198"/>
      <c r="P1601" s="198"/>
      <c r="Q1601" s="198"/>
      <c r="R1601" s="198"/>
      <c r="S1601" s="198"/>
      <c r="T1601" s="198"/>
      <c r="U1601" s="198"/>
      <c r="V1601" s="198"/>
      <c r="W1601" s="198"/>
      <c r="X1601" s="198"/>
      <c r="Y1601" s="198"/>
      <c r="Z1601" s="198"/>
    </row>
    <row r="1602" spans="1:26" ht="15.75" hidden="1" customHeight="1" x14ac:dyDescent="0.25">
      <c r="A1602" s="213">
        <v>34633</v>
      </c>
      <c r="B1602" s="214" t="s">
        <v>10095</v>
      </c>
      <c r="C1602" s="215" t="s">
        <v>580</v>
      </c>
      <c r="D1602" s="216">
        <v>1441.55</v>
      </c>
      <c r="E1602" s="198"/>
      <c r="F1602" s="198"/>
      <c r="G1602" s="198"/>
      <c r="H1602" s="198"/>
      <c r="I1602" s="198"/>
      <c r="J1602" s="198"/>
      <c r="K1602" s="198"/>
      <c r="L1602" s="198"/>
      <c r="M1602" s="198"/>
      <c r="N1602" s="198"/>
      <c r="O1602" s="198"/>
      <c r="P1602" s="198"/>
      <c r="Q1602" s="198"/>
      <c r="R1602" s="198"/>
      <c r="S1602" s="198"/>
      <c r="T1602" s="198"/>
      <c r="U1602" s="198"/>
      <c r="V1602" s="198"/>
      <c r="W1602" s="198"/>
      <c r="X1602" s="198"/>
      <c r="Y1602" s="198"/>
      <c r="Z1602" s="198"/>
    </row>
    <row r="1603" spans="1:26" ht="15.75" hidden="1" customHeight="1" x14ac:dyDescent="0.25">
      <c r="A1603" s="213">
        <v>40449</v>
      </c>
      <c r="B1603" s="214" t="s">
        <v>10096</v>
      </c>
      <c r="C1603" s="215" t="s">
        <v>664</v>
      </c>
      <c r="D1603" s="216">
        <v>395.3</v>
      </c>
      <c r="E1603" s="198"/>
      <c r="F1603" s="198"/>
      <c r="G1603" s="198"/>
      <c r="H1603" s="198"/>
      <c r="I1603" s="198"/>
      <c r="J1603" s="198"/>
      <c r="K1603" s="198"/>
      <c r="L1603" s="198"/>
      <c r="M1603" s="198"/>
      <c r="N1603" s="198"/>
      <c r="O1603" s="198"/>
      <c r="P1603" s="198"/>
      <c r="Q1603" s="198"/>
      <c r="R1603" s="198"/>
      <c r="S1603" s="198"/>
      <c r="T1603" s="198"/>
      <c r="U1603" s="198"/>
      <c r="V1603" s="198"/>
      <c r="W1603" s="198"/>
      <c r="X1603" s="198"/>
      <c r="Y1603" s="198"/>
      <c r="Z1603" s="198"/>
    </row>
    <row r="1604" spans="1:26" ht="15.75" hidden="1" customHeight="1" x14ac:dyDescent="0.25">
      <c r="A1604" s="213">
        <v>11592</v>
      </c>
      <c r="B1604" s="214" t="s">
        <v>10097</v>
      </c>
      <c r="C1604" s="215" t="s">
        <v>580</v>
      </c>
      <c r="D1604" s="216">
        <v>707.09</v>
      </c>
      <c r="E1604" s="198"/>
      <c r="F1604" s="198"/>
      <c r="G1604" s="198"/>
      <c r="H1604" s="198"/>
      <c r="I1604" s="198"/>
      <c r="J1604" s="198"/>
      <c r="K1604" s="198"/>
      <c r="L1604" s="198"/>
      <c r="M1604" s="198"/>
      <c r="N1604" s="198"/>
      <c r="O1604" s="198"/>
      <c r="P1604" s="198"/>
      <c r="Q1604" s="198"/>
      <c r="R1604" s="198"/>
      <c r="S1604" s="198"/>
      <c r="T1604" s="198"/>
      <c r="U1604" s="198"/>
      <c r="V1604" s="198"/>
      <c r="W1604" s="198"/>
      <c r="X1604" s="198"/>
      <c r="Y1604" s="198"/>
      <c r="Z1604" s="198"/>
    </row>
    <row r="1605" spans="1:26" ht="15.75" hidden="1" customHeight="1" x14ac:dyDescent="0.25">
      <c r="A1605" s="213">
        <v>34800</v>
      </c>
      <c r="B1605" s="214" t="s">
        <v>10098</v>
      </c>
      <c r="C1605" s="215" t="s">
        <v>664</v>
      </c>
      <c r="D1605" s="216">
        <v>494.32</v>
      </c>
      <c r="E1605" s="198"/>
      <c r="F1605" s="198"/>
      <c r="G1605" s="198"/>
      <c r="H1605" s="198"/>
      <c r="I1605" s="198"/>
      <c r="J1605" s="198"/>
      <c r="K1605" s="198"/>
      <c r="L1605" s="198"/>
      <c r="M1605" s="198"/>
      <c r="N1605" s="198"/>
      <c r="O1605" s="198"/>
      <c r="P1605" s="198"/>
      <c r="Q1605" s="198"/>
      <c r="R1605" s="198"/>
      <c r="S1605" s="198"/>
      <c r="T1605" s="198"/>
      <c r="U1605" s="198"/>
      <c r="V1605" s="198"/>
      <c r="W1605" s="198"/>
      <c r="X1605" s="198"/>
      <c r="Y1605" s="198"/>
      <c r="Z1605" s="198"/>
    </row>
    <row r="1606" spans="1:26" ht="15.75" hidden="1" customHeight="1" x14ac:dyDescent="0.25">
      <c r="A1606" s="213">
        <v>11596</v>
      </c>
      <c r="B1606" s="214" t="s">
        <v>10099</v>
      </c>
      <c r="C1606" s="215" t="s">
        <v>580</v>
      </c>
      <c r="D1606" s="216">
        <v>561.53</v>
      </c>
      <c r="E1606" s="198"/>
      <c r="F1606" s="198"/>
      <c r="G1606" s="198"/>
      <c r="H1606" s="198"/>
      <c r="I1606" s="198"/>
      <c r="J1606" s="198"/>
      <c r="K1606" s="198"/>
      <c r="L1606" s="198"/>
      <c r="M1606" s="198"/>
      <c r="N1606" s="198"/>
      <c r="O1606" s="198"/>
      <c r="P1606" s="198"/>
      <c r="Q1606" s="198"/>
      <c r="R1606" s="198"/>
      <c r="S1606" s="198"/>
      <c r="T1606" s="198"/>
      <c r="U1606" s="198"/>
      <c r="V1606" s="198"/>
      <c r="W1606" s="198"/>
      <c r="X1606" s="198"/>
      <c r="Y1606" s="198"/>
      <c r="Z1606" s="198"/>
    </row>
    <row r="1607" spans="1:26" ht="15.75" hidden="1" customHeight="1" x14ac:dyDescent="0.25">
      <c r="A1607" s="213">
        <v>40438</v>
      </c>
      <c r="B1607" s="214" t="s">
        <v>10100</v>
      </c>
      <c r="C1607" s="215" t="s">
        <v>664</v>
      </c>
      <c r="D1607" s="216">
        <v>329.33</v>
      </c>
      <c r="E1607" s="198"/>
      <c r="F1607" s="198"/>
      <c r="G1607" s="198"/>
      <c r="H1607" s="198"/>
      <c r="I1607" s="198"/>
      <c r="J1607" s="198"/>
      <c r="K1607" s="198"/>
      <c r="L1607" s="198"/>
      <c r="M1607" s="198"/>
      <c r="N1607" s="198"/>
      <c r="O1607" s="198"/>
      <c r="P1607" s="198"/>
      <c r="Q1607" s="198"/>
      <c r="R1607" s="198"/>
      <c r="S1607" s="198"/>
      <c r="T1607" s="198"/>
      <c r="U1607" s="198"/>
      <c r="V1607" s="198"/>
      <c r="W1607" s="198"/>
      <c r="X1607" s="198"/>
      <c r="Y1607" s="198"/>
      <c r="Z1607" s="198"/>
    </row>
    <row r="1608" spans="1:26" ht="15.75" hidden="1" customHeight="1" x14ac:dyDescent="0.25">
      <c r="A1608" s="213">
        <v>40436</v>
      </c>
      <c r="B1608" s="214" t="s">
        <v>10101</v>
      </c>
      <c r="C1608" s="215" t="s">
        <v>664</v>
      </c>
      <c r="D1608" s="216">
        <v>410.64</v>
      </c>
      <c r="E1608" s="198"/>
      <c r="F1608" s="198"/>
      <c r="G1608" s="198"/>
      <c r="H1608" s="198"/>
      <c r="I1608" s="198"/>
      <c r="J1608" s="198"/>
      <c r="K1608" s="198"/>
      <c r="L1608" s="198"/>
      <c r="M1608" s="198"/>
      <c r="N1608" s="198"/>
      <c r="O1608" s="198"/>
      <c r="P1608" s="198"/>
      <c r="Q1608" s="198"/>
      <c r="R1608" s="198"/>
      <c r="S1608" s="198"/>
      <c r="T1608" s="198"/>
      <c r="U1608" s="198"/>
      <c r="V1608" s="198"/>
      <c r="W1608" s="198"/>
      <c r="X1608" s="198"/>
      <c r="Y1608" s="198"/>
      <c r="Z1608" s="198"/>
    </row>
    <row r="1609" spans="1:26" ht="15.75" hidden="1" customHeight="1" x14ac:dyDescent="0.25">
      <c r="A1609" s="213">
        <v>4315</v>
      </c>
      <c r="B1609" s="214" t="s">
        <v>10102</v>
      </c>
      <c r="C1609" s="215" t="s">
        <v>580</v>
      </c>
      <c r="D1609" s="216">
        <v>1.63</v>
      </c>
      <c r="E1609" s="198"/>
      <c r="F1609" s="198"/>
      <c r="G1609" s="198"/>
      <c r="H1609" s="198"/>
      <c r="I1609" s="198"/>
      <c r="J1609" s="198"/>
      <c r="K1609" s="198"/>
      <c r="L1609" s="198"/>
      <c r="M1609" s="198"/>
      <c r="N1609" s="198"/>
      <c r="O1609" s="198"/>
      <c r="P1609" s="198"/>
      <c r="Q1609" s="198"/>
      <c r="R1609" s="198"/>
      <c r="S1609" s="198"/>
      <c r="T1609" s="198"/>
      <c r="U1609" s="198"/>
      <c r="V1609" s="198"/>
      <c r="W1609" s="198"/>
      <c r="X1609" s="198"/>
      <c r="Y1609" s="198"/>
      <c r="Z1609" s="198"/>
    </row>
    <row r="1610" spans="1:26" ht="15.75" hidden="1" customHeight="1" x14ac:dyDescent="0.25">
      <c r="A1610" s="213">
        <v>402</v>
      </c>
      <c r="B1610" s="214" t="s">
        <v>10103</v>
      </c>
      <c r="C1610" s="215" t="s">
        <v>580</v>
      </c>
      <c r="D1610" s="216">
        <v>10.93</v>
      </c>
      <c r="E1610" s="198"/>
      <c r="F1610" s="198"/>
      <c r="G1610" s="198"/>
      <c r="H1610" s="198"/>
      <c r="I1610" s="198"/>
      <c r="J1610" s="198"/>
      <c r="K1610" s="198"/>
      <c r="L1610" s="198"/>
      <c r="M1610" s="198"/>
      <c r="N1610" s="198"/>
      <c r="O1610" s="198"/>
      <c r="P1610" s="198"/>
      <c r="Q1610" s="198"/>
      <c r="R1610" s="198"/>
      <c r="S1610" s="198"/>
      <c r="T1610" s="198"/>
      <c r="U1610" s="198"/>
      <c r="V1610" s="198"/>
      <c r="W1610" s="198"/>
      <c r="X1610" s="198"/>
      <c r="Y1610" s="198"/>
      <c r="Z1610" s="198"/>
    </row>
    <row r="1611" spans="1:26" ht="15.75" hidden="1" customHeight="1" x14ac:dyDescent="0.25">
      <c r="A1611" s="213">
        <v>4226</v>
      </c>
      <c r="B1611" s="214" t="s">
        <v>10104</v>
      </c>
      <c r="C1611" s="215" t="s">
        <v>823</v>
      </c>
      <c r="D1611" s="216">
        <v>7.87</v>
      </c>
      <c r="E1611" s="198"/>
      <c r="F1611" s="198"/>
      <c r="G1611" s="198"/>
      <c r="H1611" s="198"/>
      <c r="I1611" s="198"/>
      <c r="J1611" s="198"/>
      <c r="K1611" s="198"/>
      <c r="L1611" s="198"/>
      <c r="M1611" s="198"/>
      <c r="N1611" s="198"/>
      <c r="O1611" s="198"/>
      <c r="P1611" s="198"/>
      <c r="Q1611" s="198"/>
      <c r="R1611" s="198"/>
      <c r="S1611" s="198"/>
      <c r="T1611" s="198"/>
      <c r="U1611" s="198"/>
      <c r="V1611" s="198"/>
      <c r="W1611" s="198"/>
      <c r="X1611" s="198"/>
      <c r="Y1611" s="198"/>
      <c r="Z1611" s="198"/>
    </row>
    <row r="1612" spans="1:26" ht="15.75" hidden="1" customHeight="1" x14ac:dyDescent="0.25">
      <c r="A1612" s="213">
        <v>4222</v>
      </c>
      <c r="B1612" s="214" t="s">
        <v>10105</v>
      </c>
      <c r="C1612" s="215" t="s">
        <v>517</v>
      </c>
      <c r="D1612" s="216">
        <v>6.68</v>
      </c>
      <c r="E1612" s="198"/>
      <c r="F1612" s="198"/>
      <c r="G1612" s="198"/>
      <c r="H1612" s="198"/>
      <c r="I1612" s="198"/>
      <c r="J1612" s="198"/>
      <c r="K1612" s="198"/>
      <c r="L1612" s="198"/>
      <c r="M1612" s="198"/>
      <c r="N1612" s="198"/>
      <c r="O1612" s="198"/>
      <c r="P1612" s="198"/>
      <c r="Q1612" s="198"/>
      <c r="R1612" s="198"/>
      <c r="S1612" s="198"/>
      <c r="T1612" s="198"/>
      <c r="U1612" s="198"/>
      <c r="V1612" s="198"/>
      <c r="W1612" s="198"/>
      <c r="X1612" s="198"/>
      <c r="Y1612" s="198"/>
      <c r="Z1612" s="198"/>
    </row>
    <row r="1613" spans="1:26" ht="15.75" hidden="1" customHeight="1" x14ac:dyDescent="0.25">
      <c r="A1613" s="213">
        <v>34804</v>
      </c>
      <c r="B1613" s="214" t="s">
        <v>10106</v>
      </c>
      <c r="C1613" s="215" t="s">
        <v>578</v>
      </c>
      <c r="D1613" s="216">
        <v>59.69</v>
      </c>
      <c r="E1613" s="198"/>
      <c r="F1613" s="198"/>
      <c r="G1613" s="198"/>
      <c r="H1613" s="198"/>
      <c r="I1613" s="198"/>
      <c r="J1613" s="198"/>
      <c r="K1613" s="198"/>
      <c r="L1613" s="198"/>
      <c r="M1613" s="198"/>
      <c r="N1613" s="198"/>
      <c r="O1613" s="198"/>
      <c r="P1613" s="198"/>
      <c r="Q1613" s="198"/>
      <c r="R1613" s="198"/>
      <c r="S1613" s="198"/>
      <c r="T1613" s="198"/>
      <c r="U1613" s="198"/>
      <c r="V1613" s="198"/>
      <c r="W1613" s="198"/>
      <c r="X1613" s="198"/>
      <c r="Y1613" s="198"/>
      <c r="Z1613" s="198"/>
    </row>
    <row r="1614" spans="1:26" ht="15.75" hidden="1" customHeight="1" x14ac:dyDescent="0.25">
      <c r="A1614" s="213">
        <v>4013</v>
      </c>
      <c r="B1614" s="214" t="s">
        <v>10107</v>
      </c>
      <c r="C1614" s="215" t="s">
        <v>578</v>
      </c>
      <c r="D1614" s="216">
        <v>7.54</v>
      </c>
      <c r="E1614" s="198"/>
      <c r="F1614" s="198"/>
      <c r="G1614" s="198"/>
      <c r="H1614" s="198"/>
      <c r="I1614" s="198"/>
      <c r="J1614" s="198"/>
      <c r="K1614" s="198"/>
      <c r="L1614" s="198"/>
      <c r="M1614" s="198"/>
      <c r="N1614" s="198"/>
      <c r="O1614" s="198"/>
      <c r="P1614" s="198"/>
      <c r="Q1614" s="198"/>
      <c r="R1614" s="198"/>
      <c r="S1614" s="198"/>
      <c r="T1614" s="198"/>
      <c r="U1614" s="198"/>
      <c r="V1614" s="198"/>
      <c r="W1614" s="198"/>
      <c r="X1614" s="198"/>
      <c r="Y1614" s="198"/>
      <c r="Z1614" s="198"/>
    </row>
    <row r="1615" spans="1:26" ht="15.75" hidden="1" customHeight="1" x14ac:dyDescent="0.25">
      <c r="A1615" s="213">
        <v>4011</v>
      </c>
      <c r="B1615" s="214" t="s">
        <v>10108</v>
      </c>
      <c r="C1615" s="215" t="s">
        <v>578</v>
      </c>
      <c r="D1615" s="216">
        <v>8.43</v>
      </c>
      <c r="E1615" s="198"/>
      <c r="F1615" s="198"/>
      <c r="G1615" s="198"/>
      <c r="H1615" s="198"/>
      <c r="I1615" s="198"/>
      <c r="J1615" s="198"/>
      <c r="K1615" s="198"/>
      <c r="L1615" s="198"/>
      <c r="M1615" s="198"/>
      <c r="N1615" s="198"/>
      <c r="O1615" s="198"/>
      <c r="P1615" s="198"/>
      <c r="Q1615" s="198"/>
      <c r="R1615" s="198"/>
      <c r="S1615" s="198"/>
      <c r="T1615" s="198"/>
      <c r="U1615" s="198"/>
      <c r="V1615" s="198"/>
      <c r="W1615" s="198"/>
      <c r="X1615" s="198"/>
      <c r="Y1615" s="198"/>
      <c r="Z1615" s="198"/>
    </row>
    <row r="1616" spans="1:26" ht="15.75" hidden="1" customHeight="1" x14ac:dyDescent="0.25">
      <c r="A1616" s="213">
        <v>4021</v>
      </c>
      <c r="B1616" s="214" t="s">
        <v>10109</v>
      </c>
      <c r="C1616" s="215" t="s">
        <v>578</v>
      </c>
      <c r="D1616" s="216">
        <v>10.51</v>
      </c>
      <c r="E1616" s="198"/>
      <c r="F1616" s="198"/>
      <c r="G1616" s="198"/>
      <c r="H1616" s="198"/>
      <c r="I1616" s="198"/>
      <c r="J1616" s="198"/>
      <c r="K1616" s="198"/>
      <c r="L1616" s="198"/>
      <c r="M1616" s="198"/>
      <c r="N1616" s="198"/>
      <c r="O1616" s="198"/>
      <c r="P1616" s="198"/>
      <c r="Q1616" s="198"/>
      <c r="R1616" s="198"/>
      <c r="S1616" s="198"/>
      <c r="T1616" s="198"/>
      <c r="U1616" s="198"/>
      <c r="V1616" s="198"/>
      <c r="W1616" s="198"/>
      <c r="X1616" s="198"/>
      <c r="Y1616" s="198"/>
      <c r="Z1616" s="198"/>
    </row>
    <row r="1617" spans="1:26" ht="15.75" hidden="1" customHeight="1" x14ac:dyDescent="0.25">
      <c r="A1617" s="213">
        <v>4019</v>
      </c>
      <c r="B1617" s="214" t="s">
        <v>10110</v>
      </c>
      <c r="C1617" s="215" t="s">
        <v>578</v>
      </c>
      <c r="D1617" s="216">
        <v>12.62</v>
      </c>
      <c r="E1617" s="198"/>
      <c r="F1617" s="198"/>
      <c r="G1617" s="198"/>
      <c r="H1617" s="198"/>
      <c r="I1617" s="198"/>
      <c r="J1617" s="198"/>
      <c r="K1617" s="198"/>
      <c r="L1617" s="198"/>
      <c r="M1617" s="198"/>
      <c r="N1617" s="198"/>
      <c r="O1617" s="198"/>
      <c r="P1617" s="198"/>
      <c r="Q1617" s="198"/>
      <c r="R1617" s="198"/>
      <c r="S1617" s="198"/>
      <c r="T1617" s="198"/>
      <c r="U1617" s="198"/>
      <c r="V1617" s="198"/>
      <c r="W1617" s="198"/>
      <c r="X1617" s="198"/>
      <c r="Y1617" s="198"/>
      <c r="Z1617" s="198"/>
    </row>
    <row r="1618" spans="1:26" ht="15.75" hidden="1" customHeight="1" x14ac:dyDescent="0.25">
      <c r="A1618" s="213">
        <v>4012</v>
      </c>
      <c r="B1618" s="214" t="s">
        <v>10111</v>
      </c>
      <c r="C1618" s="215" t="s">
        <v>578</v>
      </c>
      <c r="D1618" s="216">
        <v>16.899999999999999</v>
      </c>
      <c r="E1618" s="198"/>
      <c r="F1618" s="198"/>
      <c r="G1618" s="198"/>
      <c r="H1618" s="198"/>
      <c r="I1618" s="198"/>
      <c r="J1618" s="198"/>
      <c r="K1618" s="198"/>
      <c r="L1618" s="198"/>
      <c r="M1618" s="198"/>
      <c r="N1618" s="198"/>
      <c r="O1618" s="198"/>
      <c r="P1618" s="198"/>
      <c r="Q1618" s="198"/>
      <c r="R1618" s="198"/>
      <c r="S1618" s="198"/>
      <c r="T1618" s="198"/>
      <c r="U1618" s="198"/>
      <c r="V1618" s="198"/>
      <c r="W1618" s="198"/>
      <c r="X1618" s="198"/>
      <c r="Y1618" s="198"/>
      <c r="Z1618" s="198"/>
    </row>
    <row r="1619" spans="1:26" ht="15.75" hidden="1" customHeight="1" x14ac:dyDescent="0.25">
      <c r="A1619" s="213">
        <v>4020</v>
      </c>
      <c r="B1619" s="214" t="s">
        <v>10112</v>
      </c>
      <c r="C1619" s="215" t="s">
        <v>578</v>
      </c>
      <c r="D1619" s="216">
        <v>21.17</v>
      </c>
      <c r="E1619" s="198"/>
      <c r="F1619" s="198"/>
      <c r="G1619" s="198"/>
      <c r="H1619" s="198"/>
      <c r="I1619" s="198"/>
      <c r="J1619" s="198"/>
      <c r="K1619" s="198"/>
      <c r="L1619" s="198"/>
      <c r="M1619" s="198"/>
      <c r="N1619" s="198"/>
      <c r="O1619" s="198"/>
      <c r="P1619" s="198"/>
      <c r="Q1619" s="198"/>
      <c r="R1619" s="198"/>
      <c r="S1619" s="198"/>
      <c r="T1619" s="198"/>
      <c r="U1619" s="198"/>
      <c r="V1619" s="198"/>
      <c r="W1619" s="198"/>
      <c r="X1619" s="198"/>
      <c r="Y1619" s="198"/>
      <c r="Z1619" s="198"/>
    </row>
    <row r="1620" spans="1:26" ht="15.75" hidden="1" customHeight="1" x14ac:dyDescent="0.25">
      <c r="A1620" s="213">
        <v>4018</v>
      </c>
      <c r="B1620" s="214" t="s">
        <v>10113</v>
      </c>
      <c r="C1620" s="215" t="s">
        <v>578</v>
      </c>
      <c r="D1620" s="216">
        <v>25.36</v>
      </c>
      <c r="E1620" s="198"/>
      <c r="F1620" s="198"/>
      <c r="G1620" s="198"/>
      <c r="H1620" s="198"/>
      <c r="I1620" s="198"/>
      <c r="J1620" s="198"/>
      <c r="K1620" s="198"/>
      <c r="L1620" s="198"/>
      <c r="M1620" s="198"/>
      <c r="N1620" s="198"/>
      <c r="O1620" s="198"/>
      <c r="P1620" s="198"/>
      <c r="Q1620" s="198"/>
      <c r="R1620" s="198"/>
      <c r="S1620" s="198"/>
      <c r="T1620" s="198"/>
      <c r="U1620" s="198"/>
      <c r="V1620" s="198"/>
      <c r="W1620" s="198"/>
      <c r="X1620" s="198"/>
      <c r="Y1620" s="198"/>
      <c r="Z1620" s="198"/>
    </row>
    <row r="1621" spans="1:26" ht="15.75" hidden="1" customHeight="1" x14ac:dyDescent="0.25">
      <c r="A1621" s="213">
        <v>36498</v>
      </c>
      <c r="B1621" s="214" t="s">
        <v>10114</v>
      </c>
      <c r="C1621" s="215" t="s">
        <v>580</v>
      </c>
      <c r="D1621" s="216">
        <v>6792.77</v>
      </c>
      <c r="E1621" s="198"/>
      <c r="F1621" s="198"/>
      <c r="G1621" s="198"/>
      <c r="H1621" s="198"/>
      <c r="I1621" s="198"/>
      <c r="J1621" s="198"/>
      <c r="K1621" s="198"/>
      <c r="L1621" s="198"/>
      <c r="M1621" s="198"/>
      <c r="N1621" s="198"/>
      <c r="O1621" s="198"/>
      <c r="P1621" s="198"/>
      <c r="Q1621" s="198"/>
      <c r="R1621" s="198"/>
      <c r="S1621" s="198"/>
      <c r="T1621" s="198"/>
      <c r="U1621" s="198"/>
      <c r="V1621" s="198"/>
      <c r="W1621" s="198"/>
      <c r="X1621" s="198"/>
      <c r="Y1621" s="198"/>
      <c r="Z1621" s="198"/>
    </row>
    <row r="1622" spans="1:26" ht="15.75" hidden="1" customHeight="1" x14ac:dyDescent="0.25">
      <c r="A1622" s="213">
        <v>12872</v>
      </c>
      <c r="B1622" s="214" t="s">
        <v>10115</v>
      </c>
      <c r="C1622" s="215" t="s">
        <v>2193</v>
      </c>
      <c r="D1622" s="216">
        <v>25.79</v>
      </c>
      <c r="E1622" s="198"/>
      <c r="F1622" s="198"/>
      <c r="G1622" s="198"/>
      <c r="H1622" s="198"/>
      <c r="I1622" s="198"/>
      <c r="J1622" s="198"/>
      <c r="K1622" s="198"/>
      <c r="L1622" s="198"/>
      <c r="M1622" s="198"/>
      <c r="N1622" s="198"/>
      <c r="O1622" s="198"/>
      <c r="P1622" s="198"/>
      <c r="Q1622" s="198"/>
      <c r="R1622" s="198"/>
      <c r="S1622" s="198"/>
      <c r="T1622" s="198"/>
      <c r="U1622" s="198"/>
      <c r="V1622" s="198"/>
      <c r="W1622" s="198"/>
      <c r="X1622" s="198"/>
      <c r="Y1622" s="198"/>
      <c r="Z1622" s="198"/>
    </row>
    <row r="1623" spans="1:26" ht="15.75" hidden="1" customHeight="1" x14ac:dyDescent="0.25">
      <c r="A1623" s="213">
        <v>41075</v>
      </c>
      <c r="B1623" s="214" t="s">
        <v>10116</v>
      </c>
      <c r="C1623" s="215" t="s">
        <v>6214</v>
      </c>
      <c r="D1623" s="216">
        <v>4527.0200000000004</v>
      </c>
      <c r="E1623" s="198"/>
      <c r="F1623" s="198"/>
      <c r="G1623" s="198"/>
      <c r="H1623" s="198"/>
      <c r="I1623" s="198"/>
      <c r="J1623" s="198"/>
      <c r="K1623" s="198"/>
      <c r="L1623" s="198"/>
      <c r="M1623" s="198"/>
      <c r="N1623" s="198"/>
      <c r="O1623" s="198"/>
      <c r="P1623" s="198"/>
      <c r="Q1623" s="198"/>
      <c r="R1623" s="198"/>
      <c r="S1623" s="198"/>
      <c r="T1623" s="198"/>
      <c r="U1623" s="198"/>
      <c r="V1623" s="198"/>
      <c r="W1623" s="198"/>
      <c r="X1623" s="198"/>
      <c r="Y1623" s="198"/>
      <c r="Z1623" s="198"/>
    </row>
    <row r="1624" spans="1:26" ht="15.75" hidden="1" customHeight="1" x14ac:dyDescent="0.25">
      <c r="A1624" s="213">
        <v>44324</v>
      </c>
      <c r="B1624" s="214" t="s">
        <v>10117</v>
      </c>
      <c r="C1624" s="215" t="s">
        <v>823</v>
      </c>
      <c r="D1624" s="216">
        <v>2.94</v>
      </c>
      <c r="E1624" s="198"/>
      <c r="F1624" s="198"/>
      <c r="G1624" s="198"/>
      <c r="H1624" s="198"/>
      <c r="I1624" s="198"/>
      <c r="J1624" s="198"/>
      <c r="K1624" s="198"/>
      <c r="L1624" s="198"/>
      <c r="M1624" s="198"/>
      <c r="N1624" s="198"/>
      <c r="O1624" s="198"/>
      <c r="P1624" s="198"/>
      <c r="Q1624" s="198"/>
      <c r="R1624" s="198"/>
      <c r="S1624" s="198"/>
      <c r="T1624" s="198"/>
      <c r="U1624" s="198"/>
      <c r="V1624" s="198"/>
      <c r="W1624" s="198"/>
      <c r="X1624" s="198"/>
      <c r="Y1624" s="198"/>
      <c r="Z1624" s="198"/>
    </row>
    <row r="1625" spans="1:26" ht="15.75" hidden="1" customHeight="1" x14ac:dyDescent="0.25">
      <c r="A1625" s="213">
        <v>3315</v>
      </c>
      <c r="B1625" s="214" t="s">
        <v>10118</v>
      </c>
      <c r="C1625" s="215" t="s">
        <v>823</v>
      </c>
      <c r="D1625" s="216">
        <v>0.85</v>
      </c>
      <c r="E1625" s="198"/>
      <c r="F1625" s="198"/>
      <c r="G1625" s="198"/>
      <c r="H1625" s="198"/>
      <c r="I1625" s="198"/>
      <c r="J1625" s="198"/>
      <c r="K1625" s="198"/>
      <c r="L1625" s="198"/>
      <c r="M1625" s="198"/>
      <c r="N1625" s="198"/>
      <c r="O1625" s="198"/>
      <c r="P1625" s="198"/>
      <c r="Q1625" s="198"/>
      <c r="R1625" s="198"/>
      <c r="S1625" s="198"/>
      <c r="T1625" s="198"/>
      <c r="U1625" s="198"/>
      <c r="V1625" s="198"/>
      <c r="W1625" s="198"/>
      <c r="X1625" s="198"/>
      <c r="Y1625" s="198"/>
      <c r="Z1625" s="198"/>
    </row>
    <row r="1626" spans="1:26" ht="15.75" hidden="1" customHeight="1" x14ac:dyDescent="0.25">
      <c r="A1626" s="213">
        <v>36870</v>
      </c>
      <c r="B1626" s="214" t="s">
        <v>10119</v>
      </c>
      <c r="C1626" s="215" t="s">
        <v>823</v>
      </c>
      <c r="D1626" s="216">
        <v>0.66</v>
      </c>
      <c r="E1626" s="198"/>
      <c r="F1626" s="198"/>
      <c r="G1626" s="198"/>
      <c r="H1626" s="198"/>
      <c r="I1626" s="198"/>
      <c r="J1626" s="198"/>
      <c r="K1626" s="198"/>
      <c r="L1626" s="198"/>
      <c r="M1626" s="198"/>
      <c r="N1626" s="198"/>
      <c r="O1626" s="198"/>
      <c r="P1626" s="198"/>
      <c r="Q1626" s="198"/>
      <c r="R1626" s="198"/>
      <c r="S1626" s="198"/>
      <c r="T1626" s="198"/>
      <c r="U1626" s="198"/>
      <c r="V1626" s="198"/>
      <c r="W1626" s="198"/>
      <c r="X1626" s="198"/>
      <c r="Y1626" s="198"/>
      <c r="Z1626" s="198"/>
    </row>
    <row r="1627" spans="1:26" ht="15.75" hidden="1" customHeight="1" x14ac:dyDescent="0.25">
      <c r="A1627" s="213">
        <v>5092</v>
      </c>
      <c r="B1627" s="214" t="s">
        <v>10120</v>
      </c>
      <c r="C1627" s="215" t="s">
        <v>8838</v>
      </c>
      <c r="D1627" s="216">
        <v>17.11</v>
      </c>
      <c r="E1627" s="198"/>
      <c r="F1627" s="198"/>
      <c r="G1627" s="198"/>
      <c r="H1627" s="198"/>
      <c r="I1627" s="198"/>
      <c r="J1627" s="198"/>
      <c r="K1627" s="198"/>
      <c r="L1627" s="198"/>
      <c r="M1627" s="198"/>
      <c r="N1627" s="198"/>
      <c r="O1627" s="198"/>
      <c r="P1627" s="198"/>
      <c r="Q1627" s="198"/>
      <c r="R1627" s="198"/>
      <c r="S1627" s="198"/>
      <c r="T1627" s="198"/>
      <c r="U1627" s="198"/>
      <c r="V1627" s="198"/>
      <c r="W1627" s="198"/>
      <c r="X1627" s="198"/>
      <c r="Y1627" s="198"/>
      <c r="Z1627" s="198"/>
    </row>
    <row r="1628" spans="1:26" ht="15.75" hidden="1" customHeight="1" x14ac:dyDescent="0.25">
      <c r="A1628" s="213">
        <v>11462</v>
      </c>
      <c r="B1628" s="214" t="s">
        <v>10121</v>
      </c>
      <c r="C1628" s="215" t="s">
        <v>8838</v>
      </c>
      <c r="D1628" s="216">
        <v>17.489999999999998</v>
      </c>
      <c r="E1628" s="198"/>
      <c r="F1628" s="198"/>
      <c r="G1628" s="198"/>
      <c r="H1628" s="198"/>
      <c r="I1628" s="198"/>
      <c r="J1628" s="198"/>
      <c r="K1628" s="198"/>
      <c r="L1628" s="198"/>
      <c r="M1628" s="198"/>
      <c r="N1628" s="198"/>
      <c r="O1628" s="198"/>
      <c r="P1628" s="198"/>
      <c r="Q1628" s="198"/>
      <c r="R1628" s="198"/>
      <c r="S1628" s="198"/>
      <c r="T1628" s="198"/>
      <c r="U1628" s="198"/>
      <c r="V1628" s="198"/>
      <c r="W1628" s="198"/>
      <c r="X1628" s="198"/>
      <c r="Y1628" s="198"/>
      <c r="Z1628" s="198"/>
    </row>
    <row r="1629" spans="1:26" ht="15.75" hidden="1" customHeight="1" x14ac:dyDescent="0.25">
      <c r="A1629" s="213">
        <v>3324</v>
      </c>
      <c r="B1629" s="214" t="s">
        <v>10122</v>
      </c>
      <c r="C1629" s="215" t="s">
        <v>578</v>
      </c>
      <c r="D1629" s="216">
        <v>6.78</v>
      </c>
      <c r="E1629" s="198"/>
      <c r="F1629" s="198"/>
      <c r="G1629" s="198"/>
      <c r="H1629" s="198"/>
      <c r="I1629" s="198"/>
      <c r="J1629" s="198"/>
      <c r="K1629" s="198"/>
      <c r="L1629" s="198"/>
      <c r="M1629" s="198"/>
      <c r="N1629" s="198"/>
      <c r="O1629" s="198"/>
      <c r="P1629" s="198"/>
      <c r="Q1629" s="198"/>
      <c r="R1629" s="198"/>
      <c r="S1629" s="198"/>
      <c r="T1629" s="198"/>
      <c r="U1629" s="198"/>
      <c r="V1629" s="198"/>
      <c r="W1629" s="198"/>
      <c r="X1629" s="198"/>
      <c r="Y1629" s="198"/>
      <c r="Z1629" s="198"/>
    </row>
    <row r="1630" spans="1:26" ht="15.75" hidden="1" customHeight="1" x14ac:dyDescent="0.25">
      <c r="A1630" s="213">
        <v>3322</v>
      </c>
      <c r="B1630" s="214" t="s">
        <v>10123</v>
      </c>
      <c r="C1630" s="215" t="s">
        <v>578</v>
      </c>
      <c r="D1630" s="216">
        <v>9.5</v>
      </c>
      <c r="E1630" s="198"/>
      <c r="F1630" s="198"/>
      <c r="G1630" s="198"/>
      <c r="H1630" s="198"/>
      <c r="I1630" s="198"/>
      <c r="J1630" s="198"/>
      <c r="K1630" s="198"/>
      <c r="L1630" s="198"/>
      <c r="M1630" s="198"/>
      <c r="N1630" s="198"/>
      <c r="O1630" s="198"/>
      <c r="P1630" s="198"/>
      <c r="Q1630" s="198"/>
      <c r="R1630" s="198"/>
      <c r="S1630" s="198"/>
      <c r="T1630" s="198"/>
      <c r="U1630" s="198"/>
      <c r="V1630" s="198"/>
      <c r="W1630" s="198"/>
      <c r="X1630" s="198"/>
      <c r="Y1630" s="198"/>
      <c r="Z1630" s="198"/>
    </row>
    <row r="1631" spans="1:26" ht="15.75" hidden="1" customHeight="1" x14ac:dyDescent="0.25">
      <c r="A1631" s="213">
        <v>5076</v>
      </c>
      <c r="B1631" s="214" t="s">
        <v>10124</v>
      </c>
      <c r="C1631" s="215" t="s">
        <v>823</v>
      </c>
      <c r="D1631" s="216">
        <v>16.23</v>
      </c>
      <c r="E1631" s="198"/>
      <c r="F1631" s="198"/>
      <c r="G1631" s="198"/>
      <c r="H1631" s="198"/>
      <c r="I1631" s="198"/>
      <c r="J1631" s="198"/>
      <c r="K1631" s="198"/>
      <c r="L1631" s="198"/>
      <c r="M1631" s="198"/>
      <c r="N1631" s="198"/>
      <c r="O1631" s="198"/>
      <c r="P1631" s="198"/>
      <c r="Q1631" s="198"/>
      <c r="R1631" s="198"/>
      <c r="S1631" s="198"/>
      <c r="T1631" s="198"/>
      <c r="U1631" s="198"/>
      <c r="V1631" s="198"/>
      <c r="W1631" s="198"/>
      <c r="X1631" s="198"/>
      <c r="Y1631" s="198"/>
      <c r="Z1631" s="198"/>
    </row>
    <row r="1632" spans="1:26" ht="15.75" hidden="1" customHeight="1" x14ac:dyDescent="0.25">
      <c r="A1632" s="213">
        <v>5077</v>
      </c>
      <c r="B1632" s="214" t="s">
        <v>10125</v>
      </c>
      <c r="C1632" s="215" t="s">
        <v>823</v>
      </c>
      <c r="D1632" s="216">
        <v>17.940000000000001</v>
      </c>
      <c r="E1632" s="198"/>
      <c r="F1632" s="198"/>
      <c r="G1632" s="198"/>
      <c r="H1632" s="198"/>
      <c r="I1632" s="198"/>
      <c r="J1632" s="198"/>
      <c r="K1632" s="198"/>
      <c r="L1632" s="198"/>
      <c r="M1632" s="198"/>
      <c r="N1632" s="198"/>
      <c r="O1632" s="198"/>
      <c r="P1632" s="198"/>
      <c r="Q1632" s="198"/>
      <c r="R1632" s="198"/>
      <c r="S1632" s="198"/>
      <c r="T1632" s="198"/>
      <c r="U1632" s="198"/>
      <c r="V1632" s="198"/>
      <c r="W1632" s="198"/>
      <c r="X1632" s="198"/>
      <c r="Y1632" s="198"/>
      <c r="Z1632" s="198"/>
    </row>
    <row r="1633" spans="1:26" ht="15.75" hidden="1" customHeight="1" x14ac:dyDescent="0.25">
      <c r="A1633" s="213">
        <v>11837</v>
      </c>
      <c r="B1633" s="214" t="s">
        <v>10126</v>
      </c>
      <c r="C1633" s="215" t="s">
        <v>580</v>
      </c>
      <c r="D1633" s="216">
        <v>56.04</v>
      </c>
      <c r="E1633" s="198"/>
      <c r="F1633" s="198"/>
      <c r="G1633" s="198"/>
      <c r="H1633" s="198"/>
      <c r="I1633" s="198"/>
      <c r="J1633" s="198"/>
      <c r="K1633" s="198"/>
      <c r="L1633" s="198"/>
      <c r="M1633" s="198"/>
      <c r="N1633" s="198"/>
      <c r="O1633" s="198"/>
      <c r="P1633" s="198"/>
      <c r="Q1633" s="198"/>
      <c r="R1633" s="198"/>
      <c r="S1633" s="198"/>
      <c r="T1633" s="198"/>
      <c r="U1633" s="198"/>
      <c r="V1633" s="198"/>
      <c r="W1633" s="198"/>
      <c r="X1633" s="198"/>
      <c r="Y1633" s="198"/>
      <c r="Z1633" s="198"/>
    </row>
    <row r="1634" spans="1:26" ht="15.75" hidden="1" customHeight="1" x14ac:dyDescent="0.25">
      <c r="A1634" s="213">
        <v>415</v>
      </c>
      <c r="B1634" s="214" t="s">
        <v>10127</v>
      </c>
      <c r="C1634" s="215" t="s">
        <v>580</v>
      </c>
      <c r="D1634" s="216">
        <v>22.98</v>
      </c>
      <c r="E1634" s="198"/>
      <c r="F1634" s="198"/>
      <c r="G1634" s="198"/>
      <c r="H1634" s="198"/>
      <c r="I1634" s="198"/>
      <c r="J1634" s="198"/>
      <c r="K1634" s="198"/>
      <c r="L1634" s="198"/>
      <c r="M1634" s="198"/>
      <c r="N1634" s="198"/>
      <c r="O1634" s="198"/>
      <c r="P1634" s="198"/>
      <c r="Q1634" s="198"/>
      <c r="R1634" s="198"/>
      <c r="S1634" s="198"/>
      <c r="T1634" s="198"/>
      <c r="U1634" s="198"/>
      <c r="V1634" s="198"/>
      <c r="W1634" s="198"/>
      <c r="X1634" s="198"/>
      <c r="Y1634" s="198"/>
      <c r="Z1634" s="198"/>
    </row>
    <row r="1635" spans="1:26" ht="15.75" hidden="1" customHeight="1" x14ac:dyDescent="0.25">
      <c r="A1635" s="213">
        <v>38055</v>
      </c>
      <c r="B1635" s="214" t="s">
        <v>10128</v>
      </c>
      <c r="C1635" s="215" t="s">
        <v>580</v>
      </c>
      <c r="D1635" s="216">
        <v>5.08</v>
      </c>
      <c r="E1635" s="198"/>
      <c r="F1635" s="198"/>
      <c r="G1635" s="198"/>
      <c r="H1635" s="198"/>
      <c r="I1635" s="198"/>
      <c r="J1635" s="198"/>
      <c r="K1635" s="198"/>
      <c r="L1635" s="198"/>
      <c r="M1635" s="198"/>
      <c r="N1635" s="198"/>
      <c r="O1635" s="198"/>
      <c r="P1635" s="198"/>
      <c r="Q1635" s="198"/>
      <c r="R1635" s="198"/>
      <c r="S1635" s="198"/>
      <c r="T1635" s="198"/>
      <c r="U1635" s="198"/>
      <c r="V1635" s="198"/>
      <c r="W1635" s="198"/>
      <c r="X1635" s="198"/>
      <c r="Y1635" s="198"/>
      <c r="Z1635" s="198"/>
    </row>
    <row r="1636" spans="1:26" ht="15.75" hidden="1" customHeight="1" x14ac:dyDescent="0.25">
      <c r="A1636" s="213">
        <v>416</v>
      </c>
      <c r="B1636" s="214" t="s">
        <v>10129</v>
      </c>
      <c r="C1636" s="215" t="s">
        <v>580</v>
      </c>
      <c r="D1636" s="216">
        <v>8.41</v>
      </c>
      <c r="E1636" s="198"/>
      <c r="F1636" s="198"/>
      <c r="G1636" s="198"/>
      <c r="H1636" s="198"/>
      <c r="I1636" s="198"/>
      <c r="J1636" s="198"/>
      <c r="K1636" s="198"/>
      <c r="L1636" s="198"/>
      <c r="M1636" s="198"/>
      <c r="N1636" s="198"/>
      <c r="O1636" s="198"/>
      <c r="P1636" s="198"/>
      <c r="Q1636" s="198"/>
      <c r="R1636" s="198"/>
      <c r="S1636" s="198"/>
      <c r="T1636" s="198"/>
      <c r="U1636" s="198"/>
      <c r="V1636" s="198"/>
      <c r="W1636" s="198"/>
      <c r="X1636" s="198"/>
      <c r="Y1636" s="198"/>
      <c r="Z1636" s="198"/>
    </row>
    <row r="1637" spans="1:26" ht="15.75" hidden="1" customHeight="1" x14ac:dyDescent="0.25">
      <c r="A1637" s="213">
        <v>425</v>
      </c>
      <c r="B1637" s="214" t="s">
        <v>10130</v>
      </c>
      <c r="C1637" s="215" t="s">
        <v>580</v>
      </c>
      <c r="D1637" s="216">
        <v>5.21</v>
      </c>
      <c r="E1637" s="198"/>
      <c r="F1637" s="198"/>
      <c r="G1637" s="198"/>
      <c r="H1637" s="198"/>
      <c r="I1637" s="198"/>
      <c r="J1637" s="198"/>
      <c r="K1637" s="198"/>
      <c r="L1637" s="198"/>
      <c r="M1637" s="198"/>
      <c r="N1637" s="198"/>
      <c r="O1637" s="198"/>
      <c r="P1637" s="198"/>
      <c r="Q1637" s="198"/>
      <c r="R1637" s="198"/>
      <c r="S1637" s="198"/>
      <c r="T1637" s="198"/>
      <c r="U1637" s="198"/>
      <c r="V1637" s="198"/>
      <c r="W1637" s="198"/>
      <c r="X1637" s="198"/>
      <c r="Y1637" s="198"/>
      <c r="Z1637" s="198"/>
    </row>
    <row r="1638" spans="1:26" ht="15.75" hidden="1" customHeight="1" x14ac:dyDescent="0.25">
      <c r="A1638" s="213">
        <v>426</v>
      </c>
      <c r="B1638" s="214" t="s">
        <v>10131</v>
      </c>
      <c r="C1638" s="215" t="s">
        <v>580</v>
      </c>
      <c r="D1638" s="216">
        <v>28.72</v>
      </c>
      <c r="E1638" s="198"/>
      <c r="F1638" s="198"/>
      <c r="G1638" s="198"/>
      <c r="H1638" s="198"/>
      <c r="I1638" s="198"/>
      <c r="J1638" s="198"/>
      <c r="K1638" s="198"/>
      <c r="L1638" s="198"/>
      <c r="M1638" s="198"/>
      <c r="N1638" s="198"/>
      <c r="O1638" s="198"/>
      <c r="P1638" s="198"/>
      <c r="Q1638" s="198"/>
      <c r="R1638" s="198"/>
      <c r="S1638" s="198"/>
      <c r="T1638" s="198"/>
      <c r="U1638" s="198"/>
      <c r="V1638" s="198"/>
      <c r="W1638" s="198"/>
      <c r="X1638" s="198"/>
      <c r="Y1638" s="198"/>
      <c r="Z1638" s="198"/>
    </row>
    <row r="1639" spans="1:26" ht="15.75" hidden="1" customHeight="1" x14ac:dyDescent="0.25">
      <c r="A1639" s="213">
        <v>38056</v>
      </c>
      <c r="B1639" s="214" t="s">
        <v>10132</v>
      </c>
      <c r="C1639" s="215" t="s">
        <v>580</v>
      </c>
      <c r="D1639" s="216">
        <v>28.04</v>
      </c>
      <c r="E1639" s="198"/>
      <c r="F1639" s="198"/>
      <c r="G1639" s="198"/>
      <c r="H1639" s="198"/>
      <c r="I1639" s="198"/>
      <c r="J1639" s="198"/>
      <c r="K1639" s="198"/>
      <c r="L1639" s="198"/>
      <c r="M1639" s="198"/>
      <c r="N1639" s="198"/>
      <c r="O1639" s="198"/>
      <c r="P1639" s="198"/>
      <c r="Q1639" s="198"/>
      <c r="R1639" s="198"/>
      <c r="S1639" s="198"/>
      <c r="T1639" s="198"/>
      <c r="U1639" s="198"/>
      <c r="V1639" s="198"/>
      <c r="W1639" s="198"/>
      <c r="X1639" s="198"/>
      <c r="Y1639" s="198"/>
      <c r="Z1639" s="198"/>
    </row>
    <row r="1640" spans="1:26" ht="15.75" hidden="1" customHeight="1" x14ac:dyDescent="0.25">
      <c r="A1640" s="213">
        <v>1564</v>
      </c>
      <c r="B1640" s="214" t="s">
        <v>10133</v>
      </c>
      <c r="C1640" s="215" t="s">
        <v>580</v>
      </c>
      <c r="D1640" s="216">
        <v>10.7</v>
      </c>
      <c r="E1640" s="198"/>
      <c r="F1640" s="198"/>
      <c r="G1640" s="198"/>
      <c r="H1640" s="198"/>
      <c r="I1640" s="198"/>
      <c r="J1640" s="198"/>
      <c r="K1640" s="198"/>
      <c r="L1640" s="198"/>
      <c r="M1640" s="198"/>
      <c r="N1640" s="198"/>
      <c r="O1640" s="198"/>
      <c r="P1640" s="198"/>
      <c r="Q1640" s="198"/>
      <c r="R1640" s="198"/>
      <c r="S1640" s="198"/>
      <c r="T1640" s="198"/>
      <c r="U1640" s="198"/>
      <c r="V1640" s="198"/>
      <c r="W1640" s="198"/>
      <c r="X1640" s="198"/>
      <c r="Y1640" s="198"/>
      <c r="Z1640" s="198"/>
    </row>
    <row r="1641" spans="1:26" ht="15.75" hidden="1" customHeight="1" x14ac:dyDescent="0.25">
      <c r="A1641" s="213">
        <v>11032</v>
      </c>
      <c r="B1641" s="214" t="s">
        <v>10134</v>
      </c>
      <c r="C1641" s="215" t="s">
        <v>580</v>
      </c>
      <c r="D1641" s="216">
        <v>9.1999999999999993</v>
      </c>
      <c r="E1641" s="198"/>
      <c r="F1641" s="198"/>
      <c r="G1641" s="198"/>
      <c r="H1641" s="198"/>
      <c r="I1641" s="198"/>
      <c r="J1641" s="198"/>
      <c r="K1641" s="198"/>
      <c r="L1641" s="198"/>
      <c r="M1641" s="198"/>
      <c r="N1641" s="198"/>
      <c r="O1641" s="198"/>
      <c r="P1641" s="198"/>
      <c r="Q1641" s="198"/>
      <c r="R1641" s="198"/>
      <c r="S1641" s="198"/>
      <c r="T1641" s="198"/>
      <c r="U1641" s="198"/>
      <c r="V1641" s="198"/>
      <c r="W1641" s="198"/>
      <c r="X1641" s="198"/>
      <c r="Y1641" s="198"/>
      <c r="Z1641" s="198"/>
    </row>
    <row r="1642" spans="1:26" ht="15.75" hidden="1" customHeight="1" x14ac:dyDescent="0.25">
      <c r="A1642" s="213">
        <v>4824</v>
      </c>
      <c r="B1642" s="214" t="s">
        <v>10135</v>
      </c>
      <c r="C1642" s="215" t="s">
        <v>823</v>
      </c>
      <c r="D1642" s="216">
        <v>0.61</v>
      </c>
      <c r="E1642" s="198"/>
      <c r="F1642" s="198"/>
      <c r="G1642" s="198"/>
      <c r="H1642" s="198"/>
      <c r="I1642" s="198"/>
      <c r="J1642" s="198"/>
      <c r="K1642" s="198"/>
      <c r="L1642" s="198"/>
      <c r="M1642" s="198"/>
      <c r="N1642" s="198"/>
      <c r="O1642" s="198"/>
      <c r="P1642" s="198"/>
      <c r="Q1642" s="198"/>
      <c r="R1642" s="198"/>
      <c r="S1642" s="198"/>
      <c r="T1642" s="198"/>
      <c r="U1642" s="198"/>
      <c r="V1642" s="198"/>
      <c r="W1642" s="198"/>
      <c r="X1642" s="198"/>
      <c r="Y1642" s="198"/>
      <c r="Z1642" s="198"/>
    </row>
    <row r="1643" spans="1:26" ht="15.75" hidden="1" customHeight="1" x14ac:dyDescent="0.25">
      <c r="A1643" s="213">
        <v>11795</v>
      </c>
      <c r="B1643" s="214" t="s">
        <v>10136</v>
      </c>
      <c r="C1643" s="215" t="s">
        <v>578</v>
      </c>
      <c r="D1643" s="216">
        <v>679.24</v>
      </c>
      <c r="E1643" s="198"/>
      <c r="F1643" s="198"/>
      <c r="G1643" s="198"/>
      <c r="H1643" s="198"/>
      <c r="I1643" s="198"/>
      <c r="J1643" s="198"/>
      <c r="K1643" s="198"/>
      <c r="L1643" s="198"/>
      <c r="M1643" s="198"/>
      <c r="N1643" s="198"/>
      <c r="O1643" s="198"/>
      <c r="P1643" s="198"/>
      <c r="Q1643" s="198"/>
      <c r="R1643" s="198"/>
      <c r="S1643" s="198"/>
      <c r="T1643" s="198"/>
      <c r="U1643" s="198"/>
      <c r="V1643" s="198"/>
      <c r="W1643" s="198"/>
      <c r="X1643" s="198"/>
      <c r="Y1643" s="198"/>
      <c r="Z1643" s="198"/>
    </row>
    <row r="1644" spans="1:26" ht="15.75" hidden="1" customHeight="1" x14ac:dyDescent="0.25">
      <c r="A1644" s="213">
        <v>134</v>
      </c>
      <c r="B1644" s="214" t="s">
        <v>10137</v>
      </c>
      <c r="C1644" s="215" t="s">
        <v>823</v>
      </c>
      <c r="D1644" s="216">
        <v>1.65</v>
      </c>
      <c r="E1644" s="198"/>
      <c r="F1644" s="198"/>
      <c r="G1644" s="198"/>
      <c r="H1644" s="198"/>
      <c r="I1644" s="198"/>
      <c r="J1644" s="198"/>
      <c r="K1644" s="198"/>
      <c r="L1644" s="198"/>
      <c r="M1644" s="198"/>
      <c r="N1644" s="198"/>
      <c r="O1644" s="198"/>
      <c r="P1644" s="198"/>
      <c r="Q1644" s="198"/>
      <c r="R1644" s="198"/>
      <c r="S1644" s="198"/>
      <c r="T1644" s="198"/>
      <c r="U1644" s="198"/>
      <c r="V1644" s="198"/>
      <c r="W1644" s="198"/>
      <c r="X1644" s="198"/>
      <c r="Y1644" s="198"/>
      <c r="Z1644" s="198"/>
    </row>
    <row r="1645" spans="1:26" ht="15.75" hidden="1" customHeight="1" x14ac:dyDescent="0.25">
      <c r="A1645" s="213">
        <v>4229</v>
      </c>
      <c r="B1645" s="214" t="s">
        <v>10138</v>
      </c>
      <c r="C1645" s="215" t="s">
        <v>823</v>
      </c>
      <c r="D1645" s="216">
        <v>47.14</v>
      </c>
      <c r="E1645" s="198"/>
      <c r="F1645" s="198"/>
      <c r="G1645" s="198"/>
      <c r="H1645" s="198"/>
      <c r="I1645" s="198"/>
      <c r="J1645" s="198"/>
      <c r="K1645" s="198"/>
      <c r="L1645" s="198"/>
      <c r="M1645" s="198"/>
      <c r="N1645" s="198"/>
      <c r="O1645" s="198"/>
      <c r="P1645" s="198"/>
      <c r="Q1645" s="198"/>
      <c r="R1645" s="198"/>
      <c r="S1645" s="198"/>
      <c r="T1645" s="198"/>
      <c r="U1645" s="198"/>
      <c r="V1645" s="198"/>
      <c r="W1645" s="198"/>
      <c r="X1645" s="198"/>
      <c r="Y1645" s="198"/>
      <c r="Z1645" s="198"/>
    </row>
    <row r="1646" spans="1:26" ht="15.75" hidden="1" customHeight="1" x14ac:dyDescent="0.25">
      <c r="A1646" s="213">
        <v>11731</v>
      </c>
      <c r="B1646" s="214" t="s">
        <v>10139</v>
      </c>
      <c r="C1646" s="215" t="s">
        <v>580</v>
      </c>
      <c r="D1646" s="216">
        <v>9.89</v>
      </c>
      <c r="E1646" s="198"/>
      <c r="F1646" s="198"/>
      <c r="G1646" s="198"/>
      <c r="H1646" s="198"/>
      <c r="I1646" s="198"/>
      <c r="J1646" s="198"/>
      <c r="K1646" s="198"/>
      <c r="L1646" s="198"/>
      <c r="M1646" s="198"/>
      <c r="N1646" s="198"/>
      <c r="O1646" s="198"/>
      <c r="P1646" s="198"/>
      <c r="Q1646" s="198"/>
      <c r="R1646" s="198"/>
      <c r="S1646" s="198"/>
      <c r="T1646" s="198"/>
      <c r="U1646" s="198"/>
      <c r="V1646" s="198"/>
      <c r="W1646" s="198"/>
      <c r="X1646" s="198"/>
      <c r="Y1646" s="198"/>
      <c r="Z1646" s="198"/>
    </row>
    <row r="1647" spans="1:26" ht="15.75" hidden="1" customHeight="1" x14ac:dyDescent="0.25">
      <c r="A1647" s="213">
        <v>11732</v>
      </c>
      <c r="B1647" s="214" t="s">
        <v>10140</v>
      </c>
      <c r="C1647" s="215" t="s">
        <v>580</v>
      </c>
      <c r="D1647" s="216">
        <v>25.93</v>
      </c>
      <c r="E1647" s="198"/>
      <c r="F1647" s="198"/>
      <c r="G1647" s="198"/>
      <c r="H1647" s="198"/>
      <c r="I1647" s="198"/>
      <c r="J1647" s="198"/>
      <c r="K1647" s="198"/>
      <c r="L1647" s="198"/>
      <c r="M1647" s="198"/>
      <c r="N1647" s="198"/>
      <c r="O1647" s="198"/>
      <c r="P1647" s="198"/>
      <c r="Q1647" s="198"/>
      <c r="R1647" s="198"/>
      <c r="S1647" s="198"/>
      <c r="T1647" s="198"/>
      <c r="U1647" s="198"/>
      <c r="V1647" s="198"/>
      <c r="W1647" s="198"/>
      <c r="X1647" s="198"/>
      <c r="Y1647" s="198"/>
      <c r="Z1647" s="198"/>
    </row>
    <row r="1648" spans="1:26" ht="15.75" hidden="1" customHeight="1" x14ac:dyDescent="0.25">
      <c r="A1648" s="213">
        <v>11244</v>
      </c>
      <c r="B1648" s="214" t="s">
        <v>10141</v>
      </c>
      <c r="C1648" s="215" t="s">
        <v>580</v>
      </c>
      <c r="D1648" s="216">
        <v>299.38</v>
      </c>
      <c r="E1648" s="198"/>
      <c r="F1648" s="198"/>
      <c r="G1648" s="198"/>
      <c r="H1648" s="198"/>
      <c r="I1648" s="198"/>
      <c r="J1648" s="198"/>
      <c r="K1648" s="198"/>
      <c r="L1648" s="198"/>
      <c r="M1648" s="198"/>
      <c r="N1648" s="198"/>
      <c r="O1648" s="198"/>
      <c r="P1648" s="198"/>
      <c r="Q1648" s="198"/>
      <c r="R1648" s="198"/>
      <c r="S1648" s="198"/>
      <c r="T1648" s="198"/>
      <c r="U1648" s="198"/>
      <c r="V1648" s="198"/>
      <c r="W1648" s="198"/>
      <c r="X1648" s="198"/>
      <c r="Y1648" s="198"/>
      <c r="Z1648" s="198"/>
    </row>
    <row r="1649" spans="1:26" ht="15.75" hidden="1" customHeight="1" x14ac:dyDescent="0.25">
      <c r="A1649" s="213">
        <v>11235</v>
      </c>
      <c r="B1649" s="214" t="s">
        <v>10142</v>
      </c>
      <c r="C1649" s="215" t="s">
        <v>580</v>
      </c>
      <c r="D1649" s="216">
        <v>228.46</v>
      </c>
      <c r="E1649" s="198"/>
      <c r="F1649" s="198"/>
      <c r="G1649" s="198"/>
      <c r="H1649" s="198"/>
      <c r="I1649" s="198"/>
      <c r="J1649" s="198"/>
      <c r="K1649" s="198"/>
      <c r="L1649" s="198"/>
      <c r="M1649" s="198"/>
      <c r="N1649" s="198"/>
      <c r="O1649" s="198"/>
      <c r="P1649" s="198"/>
      <c r="Q1649" s="198"/>
      <c r="R1649" s="198"/>
      <c r="S1649" s="198"/>
      <c r="T1649" s="198"/>
      <c r="U1649" s="198"/>
      <c r="V1649" s="198"/>
      <c r="W1649" s="198"/>
      <c r="X1649" s="198"/>
      <c r="Y1649" s="198"/>
      <c r="Z1649" s="198"/>
    </row>
    <row r="1650" spans="1:26" ht="15.75" hidden="1" customHeight="1" x14ac:dyDescent="0.25">
      <c r="A1650" s="213">
        <v>11236</v>
      </c>
      <c r="B1650" s="214" t="s">
        <v>10143</v>
      </c>
      <c r="C1650" s="215" t="s">
        <v>580</v>
      </c>
      <c r="D1650" s="216">
        <v>290.33999999999997</v>
      </c>
      <c r="E1650" s="198"/>
      <c r="F1650" s="198"/>
      <c r="G1650" s="198"/>
      <c r="H1650" s="198"/>
      <c r="I1650" s="198"/>
      <c r="J1650" s="198"/>
      <c r="K1650" s="198"/>
      <c r="L1650" s="198"/>
      <c r="M1650" s="198"/>
      <c r="N1650" s="198"/>
      <c r="O1650" s="198"/>
      <c r="P1650" s="198"/>
      <c r="Q1650" s="198"/>
      <c r="R1650" s="198"/>
      <c r="S1650" s="198"/>
      <c r="T1650" s="198"/>
      <c r="U1650" s="198"/>
      <c r="V1650" s="198"/>
      <c r="W1650" s="198"/>
      <c r="X1650" s="198"/>
      <c r="Y1650" s="198"/>
      <c r="Z1650" s="198"/>
    </row>
    <row r="1651" spans="1:26" ht="15.75" hidden="1" customHeight="1" x14ac:dyDescent="0.25">
      <c r="A1651" s="213">
        <v>11245</v>
      </c>
      <c r="B1651" s="214" t="s">
        <v>10144</v>
      </c>
      <c r="C1651" s="215" t="s">
        <v>580</v>
      </c>
      <c r="D1651" s="216">
        <v>414.09</v>
      </c>
      <c r="E1651" s="198"/>
      <c r="F1651" s="198"/>
      <c r="G1651" s="198"/>
      <c r="H1651" s="198"/>
      <c r="I1651" s="198"/>
      <c r="J1651" s="198"/>
      <c r="K1651" s="198"/>
      <c r="L1651" s="198"/>
      <c r="M1651" s="198"/>
      <c r="N1651" s="198"/>
      <c r="O1651" s="198"/>
      <c r="P1651" s="198"/>
      <c r="Q1651" s="198"/>
      <c r="R1651" s="198"/>
      <c r="S1651" s="198"/>
      <c r="T1651" s="198"/>
      <c r="U1651" s="198"/>
      <c r="V1651" s="198"/>
      <c r="W1651" s="198"/>
      <c r="X1651" s="198"/>
      <c r="Y1651" s="198"/>
      <c r="Z1651" s="198"/>
    </row>
    <row r="1652" spans="1:26" ht="15.75" hidden="1" customHeight="1" x14ac:dyDescent="0.25">
      <c r="A1652" s="213">
        <v>36499</v>
      </c>
      <c r="B1652" s="214" t="s">
        <v>10145</v>
      </c>
      <c r="C1652" s="215" t="s">
        <v>580</v>
      </c>
      <c r="D1652" s="216">
        <v>3668.09</v>
      </c>
      <c r="E1652" s="198"/>
      <c r="F1652" s="198"/>
      <c r="G1652" s="198"/>
      <c r="H1652" s="198"/>
      <c r="I1652" s="198"/>
      <c r="J1652" s="198"/>
      <c r="K1652" s="198"/>
      <c r="L1652" s="198"/>
      <c r="M1652" s="198"/>
      <c r="N1652" s="198"/>
      <c r="O1652" s="198"/>
      <c r="P1652" s="198"/>
      <c r="Q1652" s="198"/>
      <c r="R1652" s="198"/>
      <c r="S1652" s="198"/>
      <c r="T1652" s="198"/>
      <c r="U1652" s="198"/>
      <c r="V1652" s="198"/>
      <c r="W1652" s="198"/>
      <c r="X1652" s="198"/>
      <c r="Y1652" s="198"/>
      <c r="Z1652" s="198"/>
    </row>
    <row r="1653" spans="1:26" ht="15.75" hidden="1" customHeight="1" x14ac:dyDescent="0.25">
      <c r="A1653" s="213">
        <v>13533</v>
      </c>
      <c r="B1653" s="214" t="s">
        <v>10146</v>
      </c>
      <c r="C1653" s="215" t="s">
        <v>580</v>
      </c>
      <c r="D1653" s="216">
        <v>168147.22</v>
      </c>
      <c r="E1653" s="198"/>
      <c r="F1653" s="198"/>
      <c r="G1653" s="198"/>
      <c r="H1653" s="198"/>
      <c r="I1653" s="198"/>
      <c r="J1653" s="198"/>
      <c r="K1653" s="198"/>
      <c r="L1653" s="198"/>
      <c r="M1653" s="198"/>
      <c r="N1653" s="198"/>
      <c r="O1653" s="198"/>
      <c r="P1653" s="198"/>
      <c r="Q1653" s="198"/>
      <c r="R1653" s="198"/>
      <c r="S1653" s="198"/>
      <c r="T1653" s="198"/>
      <c r="U1653" s="198"/>
      <c r="V1653" s="198"/>
      <c r="W1653" s="198"/>
      <c r="X1653" s="198"/>
      <c r="Y1653" s="198"/>
      <c r="Z1653" s="198"/>
    </row>
    <row r="1654" spans="1:26" ht="15.75" hidden="1" customHeight="1" x14ac:dyDescent="0.25">
      <c r="A1654" s="213">
        <v>13333</v>
      </c>
      <c r="B1654" s="214" t="s">
        <v>10147</v>
      </c>
      <c r="C1654" s="215" t="s">
        <v>580</v>
      </c>
      <c r="D1654" s="216">
        <v>188107.51999999999</v>
      </c>
      <c r="E1654" s="198"/>
      <c r="F1654" s="198"/>
      <c r="G1654" s="198"/>
      <c r="H1654" s="198"/>
      <c r="I1654" s="198"/>
      <c r="J1654" s="198"/>
      <c r="K1654" s="198"/>
      <c r="L1654" s="198"/>
      <c r="M1654" s="198"/>
      <c r="N1654" s="198"/>
      <c r="O1654" s="198"/>
      <c r="P1654" s="198"/>
      <c r="Q1654" s="198"/>
      <c r="R1654" s="198"/>
      <c r="S1654" s="198"/>
      <c r="T1654" s="198"/>
      <c r="U1654" s="198"/>
      <c r="V1654" s="198"/>
      <c r="W1654" s="198"/>
      <c r="X1654" s="198"/>
      <c r="Y1654" s="198"/>
      <c r="Z1654" s="198"/>
    </row>
    <row r="1655" spans="1:26" ht="15.75" hidden="1" customHeight="1" x14ac:dyDescent="0.25">
      <c r="A1655" s="213">
        <v>39585</v>
      </c>
      <c r="B1655" s="214" t="s">
        <v>10148</v>
      </c>
      <c r="C1655" s="215" t="s">
        <v>580</v>
      </c>
      <c r="D1655" s="216">
        <v>121461.02</v>
      </c>
      <c r="E1655" s="198"/>
      <c r="F1655" s="198"/>
      <c r="G1655" s="198"/>
      <c r="H1655" s="198"/>
      <c r="I1655" s="198"/>
      <c r="J1655" s="198"/>
      <c r="K1655" s="198"/>
      <c r="L1655" s="198"/>
      <c r="M1655" s="198"/>
      <c r="N1655" s="198"/>
      <c r="O1655" s="198"/>
      <c r="P1655" s="198"/>
      <c r="Q1655" s="198"/>
      <c r="R1655" s="198"/>
      <c r="S1655" s="198"/>
      <c r="T1655" s="198"/>
      <c r="U1655" s="198"/>
      <c r="V1655" s="198"/>
      <c r="W1655" s="198"/>
      <c r="X1655" s="198"/>
      <c r="Y1655" s="198"/>
      <c r="Z1655" s="198"/>
    </row>
    <row r="1656" spans="1:26" ht="15.75" hidden="1" customHeight="1" x14ac:dyDescent="0.25">
      <c r="A1656" s="213">
        <v>39586</v>
      </c>
      <c r="B1656" s="214" t="s">
        <v>10149</v>
      </c>
      <c r="C1656" s="215" t="s">
        <v>580</v>
      </c>
      <c r="D1656" s="216">
        <v>142465.54999999999</v>
      </c>
      <c r="E1656" s="198"/>
      <c r="F1656" s="198"/>
      <c r="G1656" s="198"/>
      <c r="H1656" s="198"/>
      <c r="I1656" s="198"/>
      <c r="J1656" s="198"/>
      <c r="K1656" s="198"/>
      <c r="L1656" s="198"/>
      <c r="M1656" s="198"/>
      <c r="N1656" s="198"/>
      <c r="O1656" s="198"/>
      <c r="P1656" s="198"/>
      <c r="Q1656" s="198"/>
      <c r="R1656" s="198"/>
      <c r="S1656" s="198"/>
      <c r="T1656" s="198"/>
      <c r="U1656" s="198"/>
      <c r="V1656" s="198"/>
      <c r="W1656" s="198"/>
      <c r="X1656" s="198"/>
      <c r="Y1656" s="198"/>
      <c r="Z1656" s="198"/>
    </row>
    <row r="1657" spans="1:26" ht="15.75" hidden="1" customHeight="1" x14ac:dyDescent="0.25">
      <c r="A1657" s="213">
        <v>39587</v>
      </c>
      <c r="B1657" s="214" t="s">
        <v>10150</v>
      </c>
      <c r="C1657" s="215" t="s">
        <v>580</v>
      </c>
      <c r="D1657" s="216">
        <v>173515.74</v>
      </c>
      <c r="E1657" s="198"/>
      <c r="F1657" s="198"/>
      <c r="G1657" s="198"/>
      <c r="H1657" s="198"/>
      <c r="I1657" s="198"/>
      <c r="J1657" s="198"/>
      <c r="K1657" s="198"/>
      <c r="L1657" s="198"/>
      <c r="M1657" s="198"/>
      <c r="N1657" s="198"/>
      <c r="O1657" s="198"/>
      <c r="P1657" s="198"/>
      <c r="Q1657" s="198"/>
      <c r="R1657" s="198"/>
      <c r="S1657" s="198"/>
      <c r="T1657" s="198"/>
      <c r="U1657" s="198"/>
      <c r="V1657" s="198"/>
      <c r="W1657" s="198"/>
      <c r="X1657" s="198"/>
      <c r="Y1657" s="198"/>
      <c r="Z1657" s="198"/>
    </row>
    <row r="1658" spans="1:26" ht="15.75" hidden="1" customHeight="1" x14ac:dyDescent="0.25">
      <c r="A1658" s="213">
        <v>39588</v>
      </c>
      <c r="B1658" s="214" t="s">
        <v>10151</v>
      </c>
      <c r="C1658" s="215" t="s">
        <v>580</v>
      </c>
      <c r="D1658" s="216">
        <v>200912.95</v>
      </c>
      <c r="E1658" s="198"/>
      <c r="F1658" s="198"/>
      <c r="G1658" s="198"/>
      <c r="H1658" s="198"/>
      <c r="I1658" s="198"/>
      <c r="J1658" s="198"/>
      <c r="K1658" s="198"/>
      <c r="L1658" s="198"/>
      <c r="M1658" s="198"/>
      <c r="N1658" s="198"/>
      <c r="O1658" s="198"/>
      <c r="P1658" s="198"/>
      <c r="Q1658" s="198"/>
      <c r="R1658" s="198"/>
      <c r="S1658" s="198"/>
      <c r="T1658" s="198"/>
      <c r="U1658" s="198"/>
      <c r="V1658" s="198"/>
      <c r="W1658" s="198"/>
      <c r="X1658" s="198"/>
      <c r="Y1658" s="198"/>
      <c r="Z1658" s="198"/>
    </row>
    <row r="1659" spans="1:26" ht="15.75" hidden="1" customHeight="1" x14ac:dyDescent="0.25">
      <c r="A1659" s="213">
        <v>39584</v>
      </c>
      <c r="B1659" s="214" t="s">
        <v>10152</v>
      </c>
      <c r="C1659" s="215" t="s">
        <v>580</v>
      </c>
      <c r="D1659" s="216">
        <v>108164.23</v>
      </c>
      <c r="E1659" s="198"/>
      <c r="F1659" s="198"/>
      <c r="G1659" s="198"/>
      <c r="H1659" s="198"/>
      <c r="I1659" s="198"/>
      <c r="J1659" s="198"/>
      <c r="K1659" s="198"/>
      <c r="L1659" s="198"/>
      <c r="M1659" s="198"/>
      <c r="N1659" s="198"/>
      <c r="O1659" s="198"/>
      <c r="P1659" s="198"/>
      <c r="Q1659" s="198"/>
      <c r="R1659" s="198"/>
      <c r="S1659" s="198"/>
      <c r="T1659" s="198"/>
      <c r="U1659" s="198"/>
      <c r="V1659" s="198"/>
      <c r="W1659" s="198"/>
      <c r="X1659" s="198"/>
      <c r="Y1659" s="198"/>
      <c r="Z1659" s="198"/>
    </row>
    <row r="1660" spans="1:26" ht="15.75" hidden="1" customHeight="1" x14ac:dyDescent="0.25">
      <c r="A1660" s="213">
        <v>39590</v>
      </c>
      <c r="B1660" s="214" t="s">
        <v>10153</v>
      </c>
      <c r="C1660" s="215" t="s">
        <v>580</v>
      </c>
      <c r="D1660" s="216">
        <v>105570.63</v>
      </c>
      <c r="E1660" s="198"/>
      <c r="F1660" s="198"/>
      <c r="G1660" s="198"/>
      <c r="H1660" s="198"/>
      <c r="I1660" s="198"/>
      <c r="J1660" s="198"/>
      <c r="K1660" s="198"/>
      <c r="L1660" s="198"/>
      <c r="M1660" s="198"/>
      <c r="N1660" s="198"/>
      <c r="O1660" s="198"/>
      <c r="P1660" s="198"/>
      <c r="Q1660" s="198"/>
      <c r="R1660" s="198"/>
      <c r="S1660" s="198"/>
      <c r="T1660" s="198"/>
      <c r="U1660" s="198"/>
      <c r="V1660" s="198"/>
      <c r="W1660" s="198"/>
      <c r="X1660" s="198"/>
      <c r="Y1660" s="198"/>
      <c r="Z1660" s="198"/>
    </row>
    <row r="1661" spans="1:26" ht="15.75" hidden="1" customHeight="1" x14ac:dyDescent="0.25">
      <c r="A1661" s="213">
        <v>39592</v>
      </c>
      <c r="B1661" s="214" t="s">
        <v>10154</v>
      </c>
      <c r="C1661" s="215" t="s">
        <v>580</v>
      </c>
      <c r="D1661" s="216">
        <v>151707.54</v>
      </c>
      <c r="E1661" s="198"/>
      <c r="F1661" s="198"/>
      <c r="G1661" s="198"/>
      <c r="H1661" s="198"/>
      <c r="I1661" s="198"/>
      <c r="J1661" s="198"/>
      <c r="K1661" s="198"/>
      <c r="L1661" s="198"/>
      <c r="M1661" s="198"/>
      <c r="N1661" s="198"/>
      <c r="O1661" s="198"/>
      <c r="P1661" s="198"/>
      <c r="Q1661" s="198"/>
      <c r="R1661" s="198"/>
      <c r="S1661" s="198"/>
      <c r="T1661" s="198"/>
      <c r="U1661" s="198"/>
      <c r="V1661" s="198"/>
      <c r="W1661" s="198"/>
      <c r="X1661" s="198"/>
      <c r="Y1661" s="198"/>
      <c r="Z1661" s="198"/>
    </row>
    <row r="1662" spans="1:26" ht="15.75" hidden="1" customHeight="1" x14ac:dyDescent="0.25">
      <c r="A1662" s="213">
        <v>39593</v>
      </c>
      <c r="B1662" s="214" t="s">
        <v>10155</v>
      </c>
      <c r="C1662" s="215" t="s">
        <v>580</v>
      </c>
      <c r="D1662" s="216">
        <v>173515.74</v>
      </c>
      <c r="E1662" s="198"/>
      <c r="F1662" s="198"/>
      <c r="G1662" s="198"/>
      <c r="H1662" s="198"/>
      <c r="I1662" s="198"/>
      <c r="J1662" s="198"/>
      <c r="K1662" s="198"/>
      <c r="L1662" s="198"/>
      <c r="M1662" s="198"/>
      <c r="N1662" s="198"/>
      <c r="O1662" s="198"/>
      <c r="P1662" s="198"/>
      <c r="Q1662" s="198"/>
      <c r="R1662" s="198"/>
      <c r="S1662" s="198"/>
      <c r="T1662" s="198"/>
      <c r="U1662" s="198"/>
      <c r="V1662" s="198"/>
      <c r="W1662" s="198"/>
      <c r="X1662" s="198"/>
      <c r="Y1662" s="198"/>
      <c r="Z1662" s="198"/>
    </row>
    <row r="1663" spans="1:26" ht="15.75" hidden="1" customHeight="1" x14ac:dyDescent="0.25">
      <c r="A1663" s="213">
        <v>14254</v>
      </c>
      <c r="B1663" s="214" t="s">
        <v>10156</v>
      </c>
      <c r="C1663" s="215" t="s">
        <v>580</v>
      </c>
      <c r="D1663" s="216">
        <v>98630</v>
      </c>
      <c r="E1663" s="198"/>
      <c r="F1663" s="198"/>
      <c r="G1663" s="198"/>
      <c r="H1663" s="198"/>
      <c r="I1663" s="198"/>
      <c r="J1663" s="198"/>
      <c r="K1663" s="198"/>
      <c r="L1663" s="198"/>
      <c r="M1663" s="198"/>
      <c r="N1663" s="198"/>
      <c r="O1663" s="198"/>
      <c r="P1663" s="198"/>
      <c r="Q1663" s="198"/>
      <c r="R1663" s="198"/>
      <c r="S1663" s="198"/>
      <c r="T1663" s="198"/>
      <c r="U1663" s="198"/>
      <c r="V1663" s="198"/>
      <c r="W1663" s="198"/>
      <c r="X1663" s="198"/>
      <c r="Y1663" s="198"/>
      <c r="Z1663" s="198"/>
    </row>
    <row r="1664" spans="1:26" ht="15.75" hidden="1" customHeight="1" x14ac:dyDescent="0.25">
      <c r="A1664" s="213">
        <v>44494</v>
      </c>
      <c r="B1664" s="214" t="s">
        <v>10157</v>
      </c>
      <c r="C1664" s="215" t="s">
        <v>580</v>
      </c>
      <c r="D1664" s="216">
        <v>82363.92</v>
      </c>
      <c r="E1664" s="198"/>
      <c r="F1664" s="198"/>
      <c r="G1664" s="198"/>
      <c r="H1664" s="198"/>
      <c r="I1664" s="198"/>
      <c r="J1664" s="198"/>
      <c r="K1664" s="198"/>
      <c r="L1664" s="198"/>
      <c r="M1664" s="198"/>
      <c r="N1664" s="198"/>
      <c r="O1664" s="198"/>
      <c r="P1664" s="198"/>
      <c r="Q1664" s="198"/>
      <c r="R1664" s="198"/>
      <c r="S1664" s="198"/>
      <c r="T1664" s="198"/>
      <c r="U1664" s="198"/>
      <c r="V1664" s="198"/>
      <c r="W1664" s="198"/>
      <c r="X1664" s="198"/>
      <c r="Y1664" s="198"/>
      <c r="Z1664" s="198"/>
    </row>
    <row r="1665" spans="1:26" ht="15.75" hidden="1" customHeight="1" x14ac:dyDescent="0.25">
      <c r="A1665" s="213">
        <v>25019</v>
      </c>
      <c r="B1665" s="214" t="s">
        <v>10158</v>
      </c>
      <c r="C1665" s="215" t="s">
        <v>580</v>
      </c>
      <c r="D1665" s="216">
        <v>141180.96</v>
      </c>
      <c r="E1665" s="198"/>
      <c r="F1665" s="198"/>
      <c r="G1665" s="198"/>
      <c r="H1665" s="198"/>
      <c r="I1665" s="198"/>
      <c r="J1665" s="198"/>
      <c r="K1665" s="198"/>
      <c r="L1665" s="198"/>
      <c r="M1665" s="198"/>
      <c r="N1665" s="198"/>
      <c r="O1665" s="198"/>
      <c r="P1665" s="198"/>
      <c r="Q1665" s="198"/>
      <c r="R1665" s="198"/>
      <c r="S1665" s="198"/>
      <c r="T1665" s="198"/>
      <c r="U1665" s="198"/>
      <c r="V1665" s="198"/>
      <c r="W1665" s="198"/>
      <c r="X1665" s="198"/>
      <c r="Y1665" s="198"/>
      <c r="Z1665" s="198"/>
    </row>
    <row r="1666" spans="1:26" ht="15.75" hidden="1" customHeight="1" x14ac:dyDescent="0.25">
      <c r="A1666" s="213">
        <v>36501</v>
      </c>
      <c r="B1666" s="214" t="s">
        <v>10159</v>
      </c>
      <c r="C1666" s="215" t="s">
        <v>580</v>
      </c>
      <c r="D1666" s="216">
        <v>125699.71</v>
      </c>
      <c r="E1666" s="198"/>
      <c r="F1666" s="198"/>
      <c r="G1666" s="198"/>
      <c r="H1666" s="198"/>
      <c r="I1666" s="198"/>
      <c r="J1666" s="198"/>
      <c r="K1666" s="198"/>
      <c r="L1666" s="198"/>
      <c r="M1666" s="198"/>
      <c r="N1666" s="198"/>
      <c r="O1666" s="198"/>
      <c r="P1666" s="198"/>
      <c r="Q1666" s="198"/>
      <c r="R1666" s="198"/>
      <c r="S1666" s="198"/>
      <c r="T1666" s="198"/>
      <c r="U1666" s="198"/>
      <c r="V1666" s="198"/>
      <c r="W1666" s="198"/>
      <c r="X1666" s="198"/>
      <c r="Y1666" s="198"/>
      <c r="Z1666" s="198"/>
    </row>
    <row r="1667" spans="1:26" ht="15.75" hidden="1" customHeight="1" x14ac:dyDescent="0.25">
      <c r="A1667" s="213">
        <v>44493</v>
      </c>
      <c r="B1667" s="214" t="s">
        <v>10160</v>
      </c>
      <c r="C1667" s="215" t="s">
        <v>580</v>
      </c>
      <c r="D1667" s="216">
        <v>151115.13</v>
      </c>
      <c r="E1667" s="198"/>
      <c r="F1667" s="198"/>
      <c r="G1667" s="198"/>
      <c r="H1667" s="198"/>
      <c r="I1667" s="198"/>
      <c r="J1667" s="198"/>
      <c r="K1667" s="198"/>
      <c r="L1667" s="198"/>
      <c r="M1667" s="198"/>
      <c r="N1667" s="198"/>
      <c r="O1667" s="198"/>
      <c r="P1667" s="198"/>
      <c r="Q1667" s="198"/>
      <c r="R1667" s="198"/>
      <c r="S1667" s="198"/>
      <c r="T1667" s="198"/>
      <c r="U1667" s="198"/>
      <c r="V1667" s="198"/>
      <c r="W1667" s="198"/>
      <c r="X1667" s="198"/>
      <c r="Y1667" s="198"/>
      <c r="Z1667" s="198"/>
    </row>
    <row r="1668" spans="1:26" ht="15.75" hidden="1" customHeight="1" x14ac:dyDescent="0.25">
      <c r="A1668" s="213">
        <v>36500</v>
      </c>
      <c r="B1668" s="214" t="s">
        <v>10161</v>
      </c>
      <c r="C1668" s="215" t="s">
        <v>580</v>
      </c>
      <c r="D1668" s="216">
        <v>88828.55</v>
      </c>
      <c r="E1668" s="198"/>
      <c r="F1668" s="198"/>
      <c r="G1668" s="198"/>
      <c r="H1668" s="198"/>
      <c r="I1668" s="198"/>
      <c r="J1668" s="198"/>
      <c r="K1668" s="198"/>
      <c r="L1668" s="198"/>
      <c r="M1668" s="198"/>
      <c r="N1668" s="198"/>
      <c r="O1668" s="198"/>
      <c r="P1668" s="198"/>
      <c r="Q1668" s="198"/>
      <c r="R1668" s="198"/>
      <c r="S1668" s="198"/>
      <c r="T1668" s="198"/>
      <c r="U1668" s="198"/>
      <c r="V1668" s="198"/>
      <c r="W1668" s="198"/>
      <c r="X1668" s="198"/>
      <c r="Y1668" s="198"/>
      <c r="Z1668" s="198"/>
    </row>
    <row r="1669" spans="1:26" ht="15.75" hidden="1" customHeight="1" x14ac:dyDescent="0.25">
      <c r="A1669" s="213">
        <v>20017</v>
      </c>
      <c r="B1669" s="214" t="s">
        <v>10162</v>
      </c>
      <c r="C1669" s="215" t="s">
        <v>585</v>
      </c>
      <c r="D1669" s="216">
        <v>10.18</v>
      </c>
      <c r="E1669" s="198"/>
      <c r="F1669" s="198"/>
      <c r="G1669" s="198"/>
      <c r="H1669" s="198"/>
      <c r="I1669" s="198"/>
      <c r="J1669" s="198"/>
      <c r="K1669" s="198"/>
      <c r="L1669" s="198"/>
      <c r="M1669" s="198"/>
      <c r="N1669" s="198"/>
      <c r="O1669" s="198"/>
      <c r="P1669" s="198"/>
      <c r="Q1669" s="198"/>
      <c r="R1669" s="198"/>
      <c r="S1669" s="198"/>
      <c r="T1669" s="198"/>
      <c r="U1669" s="198"/>
      <c r="V1669" s="198"/>
      <c r="W1669" s="198"/>
      <c r="X1669" s="198"/>
      <c r="Y1669" s="198"/>
      <c r="Z1669" s="198"/>
    </row>
    <row r="1670" spans="1:26" ht="15.75" hidden="1" customHeight="1" x14ac:dyDescent="0.25">
      <c r="A1670" s="213">
        <v>20007</v>
      </c>
      <c r="B1670" s="214" t="s">
        <v>10163</v>
      </c>
      <c r="C1670" s="215" t="s">
        <v>585</v>
      </c>
      <c r="D1670" s="216">
        <v>6.07</v>
      </c>
      <c r="E1670" s="198"/>
      <c r="F1670" s="198"/>
      <c r="G1670" s="198"/>
      <c r="H1670" s="198"/>
      <c r="I1670" s="198"/>
      <c r="J1670" s="198"/>
      <c r="K1670" s="198"/>
      <c r="L1670" s="198"/>
      <c r="M1670" s="198"/>
      <c r="N1670" s="198"/>
      <c r="O1670" s="198"/>
      <c r="P1670" s="198"/>
      <c r="Q1670" s="198"/>
      <c r="R1670" s="198"/>
      <c r="S1670" s="198"/>
      <c r="T1670" s="198"/>
      <c r="U1670" s="198"/>
      <c r="V1670" s="198"/>
      <c r="W1670" s="198"/>
      <c r="X1670" s="198"/>
      <c r="Y1670" s="198"/>
      <c r="Z1670" s="198"/>
    </row>
    <row r="1671" spans="1:26" ht="15.75" hidden="1" customHeight="1" x14ac:dyDescent="0.25">
      <c r="A1671" s="213">
        <v>39831</v>
      </c>
      <c r="B1671" s="214" t="s">
        <v>10164</v>
      </c>
      <c r="C1671" s="215" t="s">
        <v>8869</v>
      </c>
      <c r="D1671" s="216">
        <v>354.65</v>
      </c>
      <c r="E1671" s="198"/>
      <c r="F1671" s="198"/>
      <c r="G1671" s="198"/>
      <c r="H1671" s="198"/>
      <c r="I1671" s="198"/>
      <c r="J1671" s="198"/>
      <c r="K1671" s="198"/>
      <c r="L1671" s="198"/>
      <c r="M1671" s="198"/>
      <c r="N1671" s="198"/>
      <c r="O1671" s="198"/>
      <c r="P1671" s="198"/>
      <c r="Q1671" s="198"/>
      <c r="R1671" s="198"/>
      <c r="S1671" s="198"/>
      <c r="T1671" s="198"/>
      <c r="U1671" s="198"/>
      <c r="V1671" s="198"/>
      <c r="W1671" s="198"/>
      <c r="X1671" s="198"/>
      <c r="Y1671" s="198"/>
      <c r="Z1671" s="198"/>
    </row>
    <row r="1672" spans="1:26" ht="15.75" hidden="1" customHeight="1" x14ac:dyDescent="0.25">
      <c r="A1672" s="213">
        <v>36888</v>
      </c>
      <c r="B1672" s="214" t="s">
        <v>10165</v>
      </c>
      <c r="C1672" s="215" t="s">
        <v>585</v>
      </c>
      <c r="D1672" s="216">
        <v>54.77</v>
      </c>
      <c r="E1672" s="198"/>
      <c r="F1672" s="198"/>
      <c r="G1672" s="198"/>
      <c r="H1672" s="198"/>
      <c r="I1672" s="198"/>
      <c r="J1672" s="198"/>
      <c r="K1672" s="198"/>
      <c r="L1672" s="198"/>
      <c r="M1672" s="198"/>
      <c r="N1672" s="198"/>
      <c r="O1672" s="198"/>
      <c r="P1672" s="198"/>
      <c r="Q1672" s="198"/>
      <c r="R1672" s="198"/>
      <c r="S1672" s="198"/>
      <c r="T1672" s="198"/>
      <c r="U1672" s="198"/>
      <c r="V1672" s="198"/>
      <c r="W1672" s="198"/>
      <c r="X1672" s="198"/>
      <c r="Y1672" s="198"/>
      <c r="Z1672" s="198"/>
    </row>
    <row r="1673" spans="1:26" ht="15.75" hidden="1" customHeight="1" x14ac:dyDescent="0.25">
      <c r="A1673" s="213">
        <v>39836</v>
      </c>
      <c r="B1673" s="214" t="s">
        <v>10166</v>
      </c>
      <c r="C1673" s="215" t="s">
        <v>8869</v>
      </c>
      <c r="D1673" s="216">
        <v>311.63</v>
      </c>
      <c r="E1673" s="198"/>
      <c r="F1673" s="198"/>
      <c r="G1673" s="198"/>
      <c r="H1673" s="198"/>
      <c r="I1673" s="198"/>
      <c r="J1673" s="198"/>
      <c r="K1673" s="198"/>
      <c r="L1673" s="198"/>
      <c r="M1673" s="198"/>
      <c r="N1673" s="198"/>
      <c r="O1673" s="198"/>
      <c r="P1673" s="198"/>
      <c r="Q1673" s="198"/>
      <c r="R1673" s="198"/>
      <c r="S1673" s="198"/>
      <c r="T1673" s="198"/>
      <c r="U1673" s="198"/>
      <c r="V1673" s="198"/>
      <c r="W1673" s="198"/>
      <c r="X1673" s="198"/>
      <c r="Y1673" s="198"/>
      <c r="Z1673" s="198"/>
    </row>
    <row r="1674" spans="1:26" ht="15.75" hidden="1" customHeight="1" x14ac:dyDescent="0.25">
      <c r="A1674" s="213">
        <v>39830</v>
      </c>
      <c r="B1674" s="214" t="s">
        <v>10167</v>
      </c>
      <c r="C1674" s="215" t="s">
        <v>8869</v>
      </c>
      <c r="D1674" s="216">
        <v>355.41</v>
      </c>
      <c r="E1674" s="198"/>
      <c r="F1674" s="198"/>
      <c r="G1674" s="198"/>
      <c r="H1674" s="198"/>
      <c r="I1674" s="198"/>
      <c r="J1674" s="198"/>
      <c r="K1674" s="198"/>
      <c r="L1674" s="198"/>
      <c r="M1674" s="198"/>
      <c r="N1674" s="198"/>
      <c r="O1674" s="198"/>
      <c r="P1674" s="198"/>
      <c r="Q1674" s="198"/>
      <c r="R1674" s="198"/>
      <c r="S1674" s="198"/>
      <c r="T1674" s="198"/>
      <c r="U1674" s="198"/>
      <c r="V1674" s="198"/>
      <c r="W1674" s="198"/>
      <c r="X1674" s="198"/>
      <c r="Y1674" s="198"/>
      <c r="Z1674" s="198"/>
    </row>
    <row r="1675" spans="1:26" ht="15.75" hidden="1" customHeight="1" x14ac:dyDescent="0.25">
      <c r="A1675" s="213">
        <v>7569</v>
      </c>
      <c r="B1675" s="214" t="s">
        <v>10168</v>
      </c>
      <c r="C1675" s="215" t="s">
        <v>580</v>
      </c>
      <c r="D1675" s="216">
        <v>51.04</v>
      </c>
      <c r="E1675" s="198"/>
      <c r="F1675" s="198"/>
      <c r="G1675" s="198"/>
      <c r="H1675" s="198"/>
      <c r="I1675" s="198"/>
      <c r="J1675" s="198"/>
      <c r="K1675" s="198"/>
      <c r="L1675" s="198"/>
      <c r="M1675" s="198"/>
      <c r="N1675" s="198"/>
      <c r="O1675" s="198"/>
      <c r="P1675" s="198"/>
      <c r="Q1675" s="198"/>
      <c r="R1675" s="198"/>
      <c r="S1675" s="198"/>
      <c r="T1675" s="198"/>
      <c r="U1675" s="198"/>
      <c r="V1675" s="198"/>
      <c r="W1675" s="198"/>
      <c r="X1675" s="198"/>
      <c r="Y1675" s="198"/>
      <c r="Z1675" s="198"/>
    </row>
    <row r="1676" spans="1:26" ht="15.75" hidden="1" customHeight="1" x14ac:dyDescent="0.25">
      <c r="A1676" s="213">
        <v>3378</v>
      </c>
      <c r="B1676" s="214" t="s">
        <v>10169</v>
      </c>
      <c r="C1676" s="215" t="s">
        <v>580</v>
      </c>
      <c r="D1676" s="216">
        <v>81.34</v>
      </c>
      <c r="E1676" s="198"/>
      <c r="F1676" s="198"/>
      <c r="G1676" s="198"/>
      <c r="H1676" s="198"/>
      <c r="I1676" s="198"/>
      <c r="J1676" s="198"/>
      <c r="K1676" s="198"/>
      <c r="L1676" s="198"/>
      <c r="M1676" s="198"/>
      <c r="N1676" s="198"/>
      <c r="O1676" s="198"/>
      <c r="P1676" s="198"/>
      <c r="Q1676" s="198"/>
      <c r="R1676" s="198"/>
      <c r="S1676" s="198"/>
      <c r="T1676" s="198"/>
      <c r="U1676" s="198"/>
      <c r="V1676" s="198"/>
      <c r="W1676" s="198"/>
      <c r="X1676" s="198"/>
      <c r="Y1676" s="198"/>
      <c r="Z1676" s="198"/>
    </row>
    <row r="1677" spans="1:26" ht="15.75" hidden="1" customHeight="1" x14ac:dyDescent="0.25">
      <c r="A1677" s="213">
        <v>3380</v>
      </c>
      <c r="B1677" s="214" t="s">
        <v>10170</v>
      </c>
      <c r="C1677" s="215" t="s">
        <v>580</v>
      </c>
      <c r="D1677" s="216">
        <v>56.94</v>
      </c>
      <c r="E1677" s="198"/>
      <c r="F1677" s="198"/>
      <c r="G1677" s="198"/>
      <c r="H1677" s="198"/>
      <c r="I1677" s="198"/>
      <c r="J1677" s="198"/>
      <c r="K1677" s="198"/>
      <c r="L1677" s="198"/>
      <c r="M1677" s="198"/>
      <c r="N1677" s="198"/>
      <c r="O1677" s="198"/>
      <c r="P1677" s="198"/>
      <c r="Q1677" s="198"/>
      <c r="R1677" s="198"/>
      <c r="S1677" s="198"/>
      <c r="T1677" s="198"/>
      <c r="U1677" s="198"/>
      <c r="V1677" s="198"/>
      <c r="W1677" s="198"/>
      <c r="X1677" s="198"/>
      <c r="Y1677" s="198"/>
      <c r="Z1677" s="198"/>
    </row>
    <row r="1678" spans="1:26" ht="15.75" hidden="1" customHeight="1" x14ac:dyDescent="0.25">
      <c r="A1678" s="213">
        <v>3379</v>
      </c>
      <c r="B1678" s="214" t="s">
        <v>10171</v>
      </c>
      <c r="C1678" s="215" t="s">
        <v>580</v>
      </c>
      <c r="D1678" s="216">
        <v>54.97</v>
      </c>
      <c r="E1678" s="198"/>
      <c r="F1678" s="198"/>
      <c r="G1678" s="198"/>
      <c r="H1678" s="198"/>
      <c r="I1678" s="198"/>
      <c r="J1678" s="198"/>
      <c r="K1678" s="198"/>
      <c r="L1678" s="198"/>
      <c r="M1678" s="198"/>
      <c r="N1678" s="198"/>
      <c r="O1678" s="198"/>
      <c r="P1678" s="198"/>
      <c r="Q1678" s="198"/>
      <c r="R1678" s="198"/>
      <c r="S1678" s="198"/>
      <c r="T1678" s="198"/>
      <c r="U1678" s="198"/>
      <c r="V1678" s="198"/>
      <c r="W1678" s="198"/>
      <c r="X1678" s="198"/>
      <c r="Y1678" s="198"/>
      <c r="Z1678" s="198"/>
    </row>
    <row r="1679" spans="1:26" ht="15.75" hidden="1" customHeight="1" x14ac:dyDescent="0.25">
      <c r="A1679" s="213">
        <v>11991</v>
      </c>
      <c r="B1679" s="214" t="s">
        <v>10172</v>
      </c>
      <c r="C1679" s="215" t="s">
        <v>580</v>
      </c>
      <c r="D1679" s="216">
        <v>63.83</v>
      </c>
      <c r="E1679" s="198"/>
      <c r="F1679" s="198"/>
      <c r="G1679" s="198"/>
      <c r="H1679" s="198"/>
      <c r="I1679" s="198"/>
      <c r="J1679" s="198"/>
      <c r="K1679" s="198"/>
      <c r="L1679" s="198"/>
      <c r="M1679" s="198"/>
      <c r="N1679" s="198"/>
      <c r="O1679" s="198"/>
      <c r="P1679" s="198"/>
      <c r="Q1679" s="198"/>
      <c r="R1679" s="198"/>
      <c r="S1679" s="198"/>
      <c r="T1679" s="198"/>
      <c r="U1679" s="198"/>
      <c r="V1679" s="198"/>
      <c r="W1679" s="198"/>
      <c r="X1679" s="198"/>
      <c r="Y1679" s="198"/>
      <c r="Z1679" s="198"/>
    </row>
    <row r="1680" spans="1:26" ht="15.75" hidden="1" customHeight="1" x14ac:dyDescent="0.25">
      <c r="A1680" s="213">
        <v>44305</v>
      </c>
      <c r="B1680" s="214" t="s">
        <v>10173</v>
      </c>
      <c r="C1680" s="215" t="s">
        <v>580</v>
      </c>
      <c r="D1680" s="216">
        <v>2023.83</v>
      </c>
      <c r="E1680" s="198"/>
      <c r="F1680" s="198"/>
      <c r="G1680" s="198"/>
      <c r="H1680" s="198"/>
      <c r="I1680" s="198"/>
      <c r="J1680" s="198"/>
      <c r="K1680" s="198"/>
      <c r="L1680" s="198"/>
      <c r="M1680" s="198"/>
      <c r="N1680" s="198"/>
      <c r="O1680" s="198"/>
      <c r="P1680" s="198"/>
      <c r="Q1680" s="198"/>
      <c r="R1680" s="198"/>
      <c r="S1680" s="198"/>
      <c r="T1680" s="198"/>
      <c r="U1680" s="198"/>
      <c r="V1680" s="198"/>
      <c r="W1680" s="198"/>
      <c r="X1680" s="198"/>
      <c r="Y1680" s="198"/>
      <c r="Z1680" s="198"/>
    </row>
    <row r="1681" spans="1:26" ht="15.75" hidden="1" customHeight="1" x14ac:dyDescent="0.25">
      <c r="A1681" s="213">
        <v>34349</v>
      </c>
      <c r="B1681" s="214" t="s">
        <v>10174</v>
      </c>
      <c r="C1681" s="215" t="s">
        <v>580</v>
      </c>
      <c r="D1681" s="216">
        <v>33.909999999999997</v>
      </c>
      <c r="E1681" s="198"/>
      <c r="F1681" s="198"/>
      <c r="G1681" s="198"/>
      <c r="H1681" s="198"/>
      <c r="I1681" s="198"/>
      <c r="J1681" s="198"/>
      <c r="K1681" s="198"/>
      <c r="L1681" s="198"/>
      <c r="M1681" s="198"/>
      <c r="N1681" s="198"/>
      <c r="O1681" s="198"/>
      <c r="P1681" s="198"/>
      <c r="Q1681" s="198"/>
      <c r="R1681" s="198"/>
      <c r="S1681" s="198"/>
      <c r="T1681" s="198"/>
      <c r="U1681" s="198"/>
      <c r="V1681" s="198"/>
      <c r="W1681" s="198"/>
      <c r="X1681" s="198"/>
      <c r="Y1681" s="198"/>
      <c r="Z1681" s="198"/>
    </row>
    <row r="1682" spans="1:26" ht="15.75" hidden="1" customHeight="1" x14ac:dyDescent="0.25">
      <c r="A1682" s="213">
        <v>11029</v>
      </c>
      <c r="B1682" s="214" t="s">
        <v>10175</v>
      </c>
      <c r="C1682" s="215" t="s">
        <v>9561</v>
      </c>
      <c r="D1682" s="216">
        <v>1.41</v>
      </c>
      <c r="E1682" s="198"/>
      <c r="F1682" s="198"/>
      <c r="G1682" s="198"/>
      <c r="H1682" s="198"/>
      <c r="I1682" s="198"/>
      <c r="J1682" s="198"/>
      <c r="K1682" s="198"/>
      <c r="L1682" s="198"/>
      <c r="M1682" s="198"/>
      <c r="N1682" s="198"/>
      <c r="O1682" s="198"/>
      <c r="P1682" s="198"/>
      <c r="Q1682" s="198"/>
      <c r="R1682" s="198"/>
      <c r="S1682" s="198"/>
      <c r="T1682" s="198"/>
      <c r="U1682" s="198"/>
      <c r="V1682" s="198"/>
      <c r="W1682" s="198"/>
      <c r="X1682" s="198"/>
      <c r="Y1682" s="198"/>
      <c r="Z1682" s="198"/>
    </row>
    <row r="1683" spans="1:26" ht="15.75" hidden="1" customHeight="1" x14ac:dyDescent="0.25">
      <c r="A1683" s="213">
        <v>4316</v>
      </c>
      <c r="B1683" s="214" t="s">
        <v>10176</v>
      </c>
      <c r="C1683" s="215" t="s">
        <v>580</v>
      </c>
      <c r="D1683" s="216">
        <v>1.42</v>
      </c>
      <c r="E1683" s="198"/>
      <c r="F1683" s="198"/>
      <c r="G1683" s="198"/>
      <c r="H1683" s="198"/>
      <c r="I1683" s="198"/>
      <c r="J1683" s="198"/>
      <c r="K1683" s="198"/>
      <c r="L1683" s="198"/>
      <c r="M1683" s="198"/>
      <c r="N1683" s="198"/>
      <c r="O1683" s="198"/>
      <c r="P1683" s="198"/>
      <c r="Q1683" s="198"/>
      <c r="R1683" s="198"/>
      <c r="S1683" s="198"/>
      <c r="T1683" s="198"/>
      <c r="U1683" s="198"/>
      <c r="V1683" s="198"/>
      <c r="W1683" s="198"/>
      <c r="X1683" s="198"/>
      <c r="Y1683" s="198"/>
      <c r="Z1683" s="198"/>
    </row>
    <row r="1684" spans="1:26" ht="15.75" hidden="1" customHeight="1" x14ac:dyDescent="0.25">
      <c r="A1684" s="213">
        <v>4313</v>
      </c>
      <c r="B1684" s="214" t="s">
        <v>10177</v>
      </c>
      <c r="C1684" s="215" t="s">
        <v>9561</v>
      </c>
      <c r="D1684" s="216">
        <v>2.04</v>
      </c>
      <c r="E1684" s="198"/>
      <c r="F1684" s="198"/>
      <c r="G1684" s="198"/>
      <c r="H1684" s="198"/>
      <c r="I1684" s="198"/>
      <c r="J1684" s="198"/>
      <c r="K1684" s="198"/>
      <c r="L1684" s="198"/>
      <c r="M1684" s="198"/>
      <c r="N1684" s="198"/>
      <c r="O1684" s="198"/>
      <c r="P1684" s="198"/>
      <c r="Q1684" s="198"/>
      <c r="R1684" s="198"/>
      <c r="S1684" s="198"/>
      <c r="T1684" s="198"/>
      <c r="U1684" s="198"/>
      <c r="V1684" s="198"/>
      <c r="W1684" s="198"/>
      <c r="X1684" s="198"/>
      <c r="Y1684" s="198"/>
      <c r="Z1684" s="198"/>
    </row>
    <row r="1685" spans="1:26" ht="15.75" hidden="1" customHeight="1" x14ac:dyDescent="0.25">
      <c r="A1685" s="213">
        <v>4317</v>
      </c>
      <c r="B1685" s="214" t="s">
        <v>10178</v>
      </c>
      <c r="C1685" s="215" t="s">
        <v>580</v>
      </c>
      <c r="D1685" s="216">
        <v>2.33</v>
      </c>
      <c r="E1685" s="198"/>
      <c r="F1685" s="198"/>
      <c r="G1685" s="198"/>
      <c r="H1685" s="198"/>
      <c r="I1685" s="198"/>
      <c r="J1685" s="198"/>
      <c r="K1685" s="198"/>
      <c r="L1685" s="198"/>
      <c r="M1685" s="198"/>
      <c r="N1685" s="198"/>
      <c r="O1685" s="198"/>
      <c r="P1685" s="198"/>
      <c r="Q1685" s="198"/>
      <c r="R1685" s="198"/>
      <c r="S1685" s="198"/>
      <c r="T1685" s="198"/>
      <c r="U1685" s="198"/>
      <c r="V1685" s="198"/>
      <c r="W1685" s="198"/>
      <c r="X1685" s="198"/>
      <c r="Y1685" s="198"/>
      <c r="Z1685" s="198"/>
    </row>
    <row r="1686" spans="1:26" ht="15.75" hidden="1" customHeight="1" x14ac:dyDescent="0.25">
      <c r="A1686" s="213">
        <v>4314</v>
      </c>
      <c r="B1686" s="214" t="s">
        <v>10179</v>
      </c>
      <c r="C1686" s="215" t="s">
        <v>9561</v>
      </c>
      <c r="D1686" s="216">
        <v>2.73</v>
      </c>
      <c r="E1686" s="198"/>
      <c r="F1686" s="198"/>
      <c r="G1686" s="198"/>
      <c r="H1686" s="198"/>
      <c r="I1686" s="198"/>
      <c r="J1686" s="198"/>
      <c r="K1686" s="198"/>
      <c r="L1686" s="198"/>
      <c r="M1686" s="198"/>
      <c r="N1686" s="198"/>
      <c r="O1686" s="198"/>
      <c r="P1686" s="198"/>
      <c r="Q1686" s="198"/>
      <c r="R1686" s="198"/>
      <c r="S1686" s="198"/>
      <c r="T1686" s="198"/>
      <c r="U1686" s="198"/>
      <c r="V1686" s="198"/>
      <c r="W1686" s="198"/>
      <c r="X1686" s="198"/>
      <c r="Y1686" s="198"/>
      <c r="Z1686" s="198"/>
    </row>
    <row r="1687" spans="1:26" ht="15.75" hidden="1" customHeight="1" x14ac:dyDescent="0.25">
      <c r="A1687" s="213">
        <v>12873</v>
      </c>
      <c r="B1687" s="214" t="s">
        <v>10180</v>
      </c>
      <c r="C1687" s="215" t="s">
        <v>2193</v>
      </c>
      <c r="D1687" s="216">
        <v>27.06</v>
      </c>
      <c r="E1687" s="198"/>
      <c r="F1687" s="198"/>
      <c r="G1687" s="198"/>
      <c r="H1687" s="198"/>
      <c r="I1687" s="198"/>
      <c r="J1687" s="198"/>
      <c r="K1687" s="198"/>
      <c r="L1687" s="198"/>
      <c r="M1687" s="198"/>
      <c r="N1687" s="198"/>
      <c r="O1687" s="198"/>
      <c r="P1687" s="198"/>
      <c r="Q1687" s="198"/>
      <c r="R1687" s="198"/>
      <c r="S1687" s="198"/>
      <c r="T1687" s="198"/>
      <c r="U1687" s="198"/>
      <c r="V1687" s="198"/>
      <c r="W1687" s="198"/>
      <c r="X1687" s="198"/>
      <c r="Y1687" s="198"/>
      <c r="Z1687" s="198"/>
    </row>
    <row r="1688" spans="1:26" ht="15.75" hidden="1" customHeight="1" x14ac:dyDescent="0.25">
      <c r="A1688" s="213">
        <v>41076</v>
      </c>
      <c r="B1688" s="214" t="s">
        <v>10181</v>
      </c>
      <c r="C1688" s="215" t="s">
        <v>6214</v>
      </c>
      <c r="D1688" s="216">
        <v>4747.54</v>
      </c>
      <c r="E1688" s="198"/>
      <c r="F1688" s="198"/>
      <c r="G1688" s="198"/>
      <c r="H1688" s="198"/>
      <c r="I1688" s="198"/>
      <c r="J1688" s="198"/>
      <c r="K1688" s="198"/>
      <c r="L1688" s="198"/>
      <c r="M1688" s="198"/>
      <c r="N1688" s="198"/>
      <c r="O1688" s="198"/>
      <c r="P1688" s="198"/>
      <c r="Q1688" s="198"/>
      <c r="R1688" s="198"/>
      <c r="S1688" s="198"/>
      <c r="T1688" s="198"/>
      <c r="U1688" s="198"/>
      <c r="V1688" s="198"/>
      <c r="W1688" s="198"/>
      <c r="X1688" s="198"/>
      <c r="Y1688" s="198"/>
      <c r="Z1688" s="198"/>
    </row>
    <row r="1689" spans="1:26" ht="15.75" hidden="1" customHeight="1" x14ac:dyDescent="0.25">
      <c r="A1689" s="213">
        <v>140</v>
      </c>
      <c r="B1689" s="214" t="s">
        <v>10182</v>
      </c>
      <c r="C1689" s="215" t="s">
        <v>823</v>
      </c>
      <c r="D1689" s="216">
        <v>18.45</v>
      </c>
      <c r="E1689" s="198"/>
      <c r="F1689" s="198"/>
      <c r="G1689" s="198"/>
      <c r="H1689" s="198"/>
      <c r="I1689" s="198"/>
      <c r="J1689" s="198"/>
      <c r="K1689" s="198"/>
      <c r="L1689" s="198"/>
      <c r="M1689" s="198"/>
      <c r="N1689" s="198"/>
      <c r="O1689" s="198"/>
      <c r="P1689" s="198"/>
      <c r="Q1689" s="198"/>
      <c r="R1689" s="198"/>
      <c r="S1689" s="198"/>
      <c r="T1689" s="198"/>
      <c r="U1689" s="198"/>
      <c r="V1689" s="198"/>
      <c r="W1689" s="198"/>
      <c r="X1689" s="198"/>
      <c r="Y1689" s="198"/>
      <c r="Z1689" s="198"/>
    </row>
    <row r="1690" spans="1:26" ht="15.75" hidden="1" customHeight="1" x14ac:dyDescent="0.25">
      <c r="A1690" s="213">
        <v>151</v>
      </c>
      <c r="B1690" s="214" t="s">
        <v>10183</v>
      </c>
      <c r="C1690" s="215" t="s">
        <v>517</v>
      </c>
      <c r="D1690" s="216">
        <v>27.24</v>
      </c>
      <c r="E1690" s="198"/>
      <c r="F1690" s="198"/>
      <c r="G1690" s="198"/>
      <c r="H1690" s="198"/>
      <c r="I1690" s="198"/>
      <c r="J1690" s="198"/>
      <c r="K1690" s="198"/>
      <c r="L1690" s="198"/>
      <c r="M1690" s="198"/>
      <c r="N1690" s="198"/>
      <c r="O1690" s="198"/>
      <c r="P1690" s="198"/>
      <c r="Q1690" s="198"/>
      <c r="R1690" s="198"/>
      <c r="S1690" s="198"/>
      <c r="T1690" s="198"/>
      <c r="U1690" s="198"/>
      <c r="V1690" s="198"/>
      <c r="W1690" s="198"/>
      <c r="X1690" s="198"/>
      <c r="Y1690" s="198"/>
      <c r="Z1690" s="198"/>
    </row>
    <row r="1691" spans="1:26" ht="15.75" hidden="1" customHeight="1" x14ac:dyDescent="0.25">
      <c r="A1691" s="213">
        <v>7340</v>
      </c>
      <c r="B1691" s="214" t="s">
        <v>10184</v>
      </c>
      <c r="C1691" s="215" t="s">
        <v>517</v>
      </c>
      <c r="D1691" s="216">
        <v>28.03</v>
      </c>
      <c r="E1691" s="198"/>
      <c r="F1691" s="198"/>
      <c r="G1691" s="198"/>
      <c r="H1691" s="198"/>
      <c r="I1691" s="198"/>
      <c r="J1691" s="198"/>
      <c r="K1691" s="198"/>
      <c r="L1691" s="198"/>
      <c r="M1691" s="198"/>
      <c r="N1691" s="198"/>
      <c r="O1691" s="198"/>
      <c r="P1691" s="198"/>
      <c r="Q1691" s="198"/>
      <c r="R1691" s="198"/>
      <c r="S1691" s="198"/>
      <c r="T1691" s="198"/>
      <c r="U1691" s="198"/>
      <c r="V1691" s="198"/>
      <c r="W1691" s="198"/>
      <c r="X1691" s="198"/>
      <c r="Y1691" s="198"/>
      <c r="Z1691" s="198"/>
    </row>
    <row r="1692" spans="1:26" ht="15.75" hidden="1" customHeight="1" x14ac:dyDescent="0.25">
      <c r="A1692" s="213">
        <v>40929</v>
      </c>
      <c r="B1692" s="214" t="s">
        <v>10185</v>
      </c>
      <c r="C1692" s="215" t="s">
        <v>6214</v>
      </c>
      <c r="D1692" s="216">
        <v>5057.6400000000003</v>
      </c>
      <c r="E1692" s="198"/>
      <c r="F1692" s="198"/>
      <c r="G1692" s="198"/>
      <c r="H1692" s="198"/>
      <c r="I1692" s="198"/>
      <c r="J1692" s="198"/>
      <c r="K1692" s="198"/>
      <c r="L1692" s="198"/>
      <c r="M1692" s="198"/>
      <c r="N1692" s="198"/>
      <c r="O1692" s="198"/>
      <c r="P1692" s="198"/>
      <c r="Q1692" s="198"/>
      <c r="R1692" s="198"/>
      <c r="S1692" s="198"/>
      <c r="T1692" s="198"/>
      <c r="U1692" s="198"/>
      <c r="V1692" s="198"/>
      <c r="W1692" s="198"/>
      <c r="X1692" s="198"/>
      <c r="Y1692" s="198"/>
      <c r="Z1692" s="198"/>
    </row>
    <row r="1693" spans="1:26" ht="15.75" hidden="1" customHeight="1" x14ac:dyDescent="0.25">
      <c r="A1693" s="213">
        <v>2701</v>
      </c>
      <c r="B1693" s="214" t="s">
        <v>10186</v>
      </c>
      <c r="C1693" s="215" t="s">
        <v>2193</v>
      </c>
      <c r="D1693" s="216">
        <v>28.82</v>
      </c>
      <c r="E1693" s="198"/>
      <c r="F1693" s="198"/>
      <c r="G1693" s="198"/>
      <c r="H1693" s="198"/>
      <c r="I1693" s="198"/>
      <c r="J1693" s="198"/>
      <c r="K1693" s="198"/>
      <c r="L1693" s="198"/>
      <c r="M1693" s="198"/>
      <c r="N1693" s="198"/>
      <c r="O1693" s="198"/>
      <c r="P1693" s="198"/>
      <c r="Q1693" s="198"/>
      <c r="R1693" s="198"/>
      <c r="S1693" s="198"/>
      <c r="T1693" s="198"/>
      <c r="U1693" s="198"/>
      <c r="V1693" s="198"/>
      <c r="W1693" s="198"/>
      <c r="X1693" s="198"/>
      <c r="Y1693" s="198"/>
      <c r="Z1693" s="198"/>
    </row>
    <row r="1694" spans="1:26" ht="15.75" hidden="1" customHeight="1" x14ac:dyDescent="0.25">
      <c r="A1694" s="213">
        <v>38064</v>
      </c>
      <c r="B1694" s="214" t="s">
        <v>10187</v>
      </c>
      <c r="C1694" s="215" t="s">
        <v>580</v>
      </c>
      <c r="D1694" s="216">
        <v>22.05</v>
      </c>
      <c r="E1694" s="198"/>
      <c r="F1694" s="198"/>
      <c r="G1694" s="198"/>
      <c r="H1694" s="198"/>
      <c r="I1694" s="198"/>
      <c r="J1694" s="198"/>
      <c r="K1694" s="198"/>
      <c r="L1694" s="198"/>
      <c r="M1694" s="198"/>
      <c r="N1694" s="198"/>
      <c r="O1694" s="198"/>
      <c r="P1694" s="198"/>
      <c r="Q1694" s="198"/>
      <c r="R1694" s="198"/>
      <c r="S1694" s="198"/>
      <c r="T1694" s="198"/>
      <c r="U1694" s="198"/>
      <c r="V1694" s="198"/>
      <c r="W1694" s="198"/>
      <c r="X1694" s="198"/>
      <c r="Y1694" s="198"/>
      <c r="Z1694" s="198"/>
    </row>
    <row r="1695" spans="1:26" ht="15.75" hidden="1" customHeight="1" x14ac:dyDescent="0.25">
      <c r="A1695" s="213">
        <v>38114</v>
      </c>
      <c r="B1695" s="214" t="s">
        <v>10188</v>
      </c>
      <c r="C1695" s="215" t="s">
        <v>580</v>
      </c>
      <c r="D1695" s="216">
        <v>19.72</v>
      </c>
      <c r="E1695" s="198"/>
      <c r="F1695" s="198"/>
      <c r="G1695" s="198"/>
      <c r="H1695" s="198"/>
      <c r="I1695" s="198"/>
      <c r="J1695" s="198"/>
      <c r="K1695" s="198"/>
      <c r="L1695" s="198"/>
      <c r="M1695" s="198"/>
      <c r="N1695" s="198"/>
      <c r="O1695" s="198"/>
      <c r="P1695" s="198"/>
      <c r="Q1695" s="198"/>
      <c r="R1695" s="198"/>
      <c r="S1695" s="198"/>
      <c r="T1695" s="198"/>
      <c r="U1695" s="198"/>
      <c r="V1695" s="198"/>
      <c r="W1695" s="198"/>
      <c r="X1695" s="198"/>
      <c r="Y1695" s="198"/>
      <c r="Z1695" s="198"/>
    </row>
    <row r="1696" spans="1:26" ht="15.75" hidden="1" customHeight="1" x14ac:dyDescent="0.25">
      <c r="A1696" s="213">
        <v>38115</v>
      </c>
      <c r="B1696" s="214" t="s">
        <v>10189</v>
      </c>
      <c r="C1696" s="215" t="s">
        <v>580</v>
      </c>
      <c r="D1696" s="216">
        <v>21.06</v>
      </c>
      <c r="E1696" s="198"/>
      <c r="F1696" s="198"/>
      <c r="G1696" s="198"/>
      <c r="H1696" s="198"/>
      <c r="I1696" s="198"/>
      <c r="J1696" s="198"/>
      <c r="K1696" s="198"/>
      <c r="L1696" s="198"/>
      <c r="M1696" s="198"/>
      <c r="N1696" s="198"/>
      <c r="O1696" s="198"/>
      <c r="P1696" s="198"/>
      <c r="Q1696" s="198"/>
      <c r="R1696" s="198"/>
      <c r="S1696" s="198"/>
      <c r="T1696" s="198"/>
      <c r="U1696" s="198"/>
      <c r="V1696" s="198"/>
      <c r="W1696" s="198"/>
      <c r="X1696" s="198"/>
      <c r="Y1696" s="198"/>
      <c r="Z1696" s="198"/>
    </row>
    <row r="1697" spans="1:26" ht="15.75" hidden="1" customHeight="1" x14ac:dyDescent="0.25">
      <c r="A1697" s="213">
        <v>38065</v>
      </c>
      <c r="B1697" s="214" t="s">
        <v>10190</v>
      </c>
      <c r="C1697" s="215" t="s">
        <v>580</v>
      </c>
      <c r="D1697" s="216">
        <v>31.29</v>
      </c>
      <c r="E1697" s="198"/>
      <c r="F1697" s="198"/>
      <c r="G1697" s="198"/>
      <c r="H1697" s="198"/>
      <c r="I1697" s="198"/>
      <c r="J1697" s="198"/>
      <c r="K1697" s="198"/>
      <c r="L1697" s="198"/>
      <c r="M1697" s="198"/>
      <c r="N1697" s="198"/>
      <c r="O1697" s="198"/>
      <c r="P1697" s="198"/>
      <c r="Q1697" s="198"/>
      <c r="R1697" s="198"/>
      <c r="S1697" s="198"/>
      <c r="T1697" s="198"/>
      <c r="U1697" s="198"/>
      <c r="V1697" s="198"/>
      <c r="W1697" s="198"/>
      <c r="X1697" s="198"/>
      <c r="Y1697" s="198"/>
      <c r="Z1697" s="198"/>
    </row>
    <row r="1698" spans="1:26" ht="15.75" hidden="1" customHeight="1" x14ac:dyDescent="0.25">
      <c r="A1698" s="213">
        <v>38078</v>
      </c>
      <c r="B1698" s="214" t="s">
        <v>10191</v>
      </c>
      <c r="C1698" s="215" t="s">
        <v>580</v>
      </c>
      <c r="D1698" s="216">
        <v>18.25</v>
      </c>
      <c r="E1698" s="198"/>
      <c r="F1698" s="198"/>
      <c r="G1698" s="198"/>
      <c r="H1698" s="198"/>
      <c r="I1698" s="198"/>
      <c r="J1698" s="198"/>
      <c r="K1698" s="198"/>
      <c r="L1698" s="198"/>
      <c r="M1698" s="198"/>
      <c r="N1698" s="198"/>
      <c r="O1698" s="198"/>
      <c r="P1698" s="198"/>
      <c r="Q1698" s="198"/>
      <c r="R1698" s="198"/>
      <c r="S1698" s="198"/>
      <c r="T1698" s="198"/>
      <c r="U1698" s="198"/>
      <c r="V1698" s="198"/>
      <c r="W1698" s="198"/>
      <c r="X1698" s="198"/>
      <c r="Y1698" s="198"/>
      <c r="Z1698" s="198"/>
    </row>
    <row r="1699" spans="1:26" ht="15.75" hidden="1" customHeight="1" x14ac:dyDescent="0.25">
      <c r="A1699" s="213">
        <v>38113</v>
      </c>
      <c r="B1699" s="214" t="s">
        <v>10192</v>
      </c>
      <c r="C1699" s="215" t="s">
        <v>580</v>
      </c>
      <c r="D1699" s="216">
        <v>9.91</v>
      </c>
      <c r="E1699" s="198"/>
      <c r="F1699" s="198"/>
      <c r="G1699" s="198"/>
      <c r="H1699" s="198"/>
      <c r="I1699" s="198"/>
      <c r="J1699" s="198"/>
      <c r="K1699" s="198"/>
      <c r="L1699" s="198"/>
      <c r="M1699" s="198"/>
      <c r="N1699" s="198"/>
      <c r="O1699" s="198"/>
      <c r="P1699" s="198"/>
      <c r="Q1699" s="198"/>
      <c r="R1699" s="198"/>
      <c r="S1699" s="198"/>
      <c r="T1699" s="198"/>
      <c r="U1699" s="198"/>
      <c r="V1699" s="198"/>
      <c r="W1699" s="198"/>
      <c r="X1699" s="198"/>
      <c r="Y1699" s="198"/>
      <c r="Z1699" s="198"/>
    </row>
    <row r="1700" spans="1:26" ht="15.75" hidden="1" customHeight="1" x14ac:dyDescent="0.25">
      <c r="A1700" s="213">
        <v>38063</v>
      </c>
      <c r="B1700" s="214" t="s">
        <v>10193</v>
      </c>
      <c r="C1700" s="215" t="s">
        <v>580</v>
      </c>
      <c r="D1700" s="216">
        <v>10.64</v>
      </c>
      <c r="E1700" s="198"/>
      <c r="F1700" s="198"/>
      <c r="G1700" s="198"/>
      <c r="H1700" s="198"/>
      <c r="I1700" s="198"/>
      <c r="J1700" s="198"/>
      <c r="K1700" s="198"/>
      <c r="L1700" s="198"/>
      <c r="M1700" s="198"/>
      <c r="N1700" s="198"/>
      <c r="O1700" s="198"/>
      <c r="P1700" s="198"/>
      <c r="Q1700" s="198"/>
      <c r="R1700" s="198"/>
      <c r="S1700" s="198"/>
      <c r="T1700" s="198"/>
      <c r="U1700" s="198"/>
      <c r="V1700" s="198"/>
      <c r="W1700" s="198"/>
      <c r="X1700" s="198"/>
      <c r="Y1700" s="198"/>
      <c r="Z1700" s="198"/>
    </row>
    <row r="1701" spans="1:26" ht="15.75" hidden="1" customHeight="1" x14ac:dyDescent="0.25">
      <c r="A1701" s="213">
        <v>38073</v>
      </c>
      <c r="B1701" s="214" t="s">
        <v>10194</v>
      </c>
      <c r="C1701" s="215" t="s">
        <v>580</v>
      </c>
      <c r="D1701" s="216">
        <v>25.81</v>
      </c>
      <c r="E1701" s="198"/>
      <c r="F1701" s="198"/>
      <c r="G1701" s="198"/>
      <c r="H1701" s="198"/>
      <c r="I1701" s="198"/>
      <c r="J1701" s="198"/>
      <c r="K1701" s="198"/>
      <c r="L1701" s="198"/>
      <c r="M1701" s="198"/>
      <c r="N1701" s="198"/>
      <c r="O1701" s="198"/>
      <c r="P1701" s="198"/>
      <c r="Q1701" s="198"/>
      <c r="R1701" s="198"/>
      <c r="S1701" s="198"/>
      <c r="T1701" s="198"/>
      <c r="U1701" s="198"/>
      <c r="V1701" s="198"/>
      <c r="W1701" s="198"/>
      <c r="X1701" s="198"/>
      <c r="Y1701" s="198"/>
      <c r="Z1701" s="198"/>
    </row>
    <row r="1702" spans="1:26" ht="15.75" hidden="1" customHeight="1" x14ac:dyDescent="0.25">
      <c r="A1702" s="213">
        <v>38080</v>
      </c>
      <c r="B1702" s="214" t="s">
        <v>10195</v>
      </c>
      <c r="C1702" s="215" t="s">
        <v>580</v>
      </c>
      <c r="D1702" s="216">
        <v>31.7</v>
      </c>
      <c r="E1702" s="198"/>
      <c r="F1702" s="198"/>
      <c r="G1702" s="198"/>
      <c r="H1702" s="198"/>
      <c r="I1702" s="198"/>
      <c r="J1702" s="198"/>
      <c r="K1702" s="198"/>
      <c r="L1702" s="198"/>
      <c r="M1702" s="198"/>
      <c r="N1702" s="198"/>
      <c r="O1702" s="198"/>
      <c r="P1702" s="198"/>
      <c r="Q1702" s="198"/>
      <c r="R1702" s="198"/>
      <c r="S1702" s="198"/>
      <c r="T1702" s="198"/>
      <c r="U1702" s="198"/>
      <c r="V1702" s="198"/>
      <c r="W1702" s="198"/>
      <c r="X1702" s="198"/>
      <c r="Y1702" s="198"/>
      <c r="Z1702" s="198"/>
    </row>
    <row r="1703" spans="1:26" ht="15.75" hidden="1" customHeight="1" x14ac:dyDescent="0.25">
      <c r="A1703" s="213">
        <v>38069</v>
      </c>
      <c r="B1703" s="214" t="s">
        <v>10196</v>
      </c>
      <c r="C1703" s="215" t="s">
        <v>580</v>
      </c>
      <c r="D1703" s="216">
        <v>17.34</v>
      </c>
      <c r="E1703" s="198"/>
      <c r="F1703" s="198"/>
      <c r="G1703" s="198"/>
      <c r="H1703" s="198"/>
      <c r="I1703" s="198"/>
      <c r="J1703" s="198"/>
      <c r="K1703" s="198"/>
      <c r="L1703" s="198"/>
      <c r="M1703" s="198"/>
      <c r="N1703" s="198"/>
      <c r="O1703" s="198"/>
      <c r="P1703" s="198"/>
      <c r="Q1703" s="198"/>
      <c r="R1703" s="198"/>
      <c r="S1703" s="198"/>
      <c r="T1703" s="198"/>
      <c r="U1703" s="198"/>
      <c r="V1703" s="198"/>
      <c r="W1703" s="198"/>
      <c r="X1703" s="198"/>
      <c r="Y1703" s="198"/>
      <c r="Z1703" s="198"/>
    </row>
    <row r="1704" spans="1:26" ht="15.75" hidden="1" customHeight="1" x14ac:dyDescent="0.25">
      <c r="A1704" s="213">
        <v>38077</v>
      </c>
      <c r="B1704" s="214" t="s">
        <v>10197</v>
      </c>
      <c r="C1704" s="215" t="s">
        <v>580</v>
      </c>
      <c r="D1704" s="216">
        <v>16.940000000000001</v>
      </c>
      <c r="E1704" s="198"/>
      <c r="F1704" s="198"/>
      <c r="G1704" s="198"/>
      <c r="H1704" s="198"/>
      <c r="I1704" s="198"/>
      <c r="J1704" s="198"/>
      <c r="K1704" s="198"/>
      <c r="L1704" s="198"/>
      <c r="M1704" s="198"/>
      <c r="N1704" s="198"/>
      <c r="O1704" s="198"/>
      <c r="P1704" s="198"/>
      <c r="Q1704" s="198"/>
      <c r="R1704" s="198"/>
      <c r="S1704" s="198"/>
      <c r="T1704" s="198"/>
      <c r="U1704" s="198"/>
      <c r="V1704" s="198"/>
      <c r="W1704" s="198"/>
      <c r="X1704" s="198"/>
      <c r="Y1704" s="198"/>
      <c r="Z1704" s="198"/>
    </row>
    <row r="1705" spans="1:26" ht="15.75" hidden="1" customHeight="1" x14ac:dyDescent="0.25">
      <c r="A1705" s="213">
        <v>38112</v>
      </c>
      <c r="B1705" s="214" t="s">
        <v>10198</v>
      </c>
      <c r="C1705" s="215" t="s">
        <v>580</v>
      </c>
      <c r="D1705" s="216">
        <v>7.61</v>
      </c>
      <c r="E1705" s="198"/>
      <c r="F1705" s="198"/>
      <c r="G1705" s="198"/>
      <c r="H1705" s="198"/>
      <c r="I1705" s="198"/>
      <c r="J1705" s="198"/>
      <c r="K1705" s="198"/>
      <c r="L1705" s="198"/>
      <c r="M1705" s="198"/>
      <c r="N1705" s="198"/>
      <c r="O1705" s="198"/>
      <c r="P1705" s="198"/>
      <c r="Q1705" s="198"/>
      <c r="R1705" s="198"/>
      <c r="S1705" s="198"/>
      <c r="T1705" s="198"/>
      <c r="U1705" s="198"/>
      <c r="V1705" s="198"/>
      <c r="W1705" s="198"/>
      <c r="X1705" s="198"/>
      <c r="Y1705" s="198"/>
      <c r="Z1705" s="198"/>
    </row>
    <row r="1706" spans="1:26" ht="15.75" hidden="1" customHeight="1" x14ac:dyDescent="0.25">
      <c r="A1706" s="213">
        <v>38062</v>
      </c>
      <c r="B1706" s="214" t="s">
        <v>10199</v>
      </c>
      <c r="C1706" s="215" t="s">
        <v>580</v>
      </c>
      <c r="D1706" s="216">
        <v>7.81</v>
      </c>
      <c r="E1706" s="198"/>
      <c r="F1706" s="198"/>
      <c r="G1706" s="198"/>
      <c r="H1706" s="198"/>
      <c r="I1706" s="198"/>
      <c r="J1706" s="198"/>
      <c r="K1706" s="198"/>
      <c r="L1706" s="198"/>
      <c r="M1706" s="198"/>
      <c r="N1706" s="198"/>
      <c r="O1706" s="198"/>
      <c r="P1706" s="198"/>
      <c r="Q1706" s="198"/>
      <c r="R1706" s="198"/>
      <c r="S1706" s="198"/>
      <c r="T1706" s="198"/>
      <c r="U1706" s="198"/>
      <c r="V1706" s="198"/>
      <c r="W1706" s="198"/>
      <c r="X1706" s="198"/>
      <c r="Y1706" s="198"/>
      <c r="Z1706" s="198"/>
    </row>
    <row r="1707" spans="1:26" ht="15.75" hidden="1" customHeight="1" x14ac:dyDescent="0.25">
      <c r="A1707" s="213">
        <v>12129</v>
      </c>
      <c r="B1707" s="214" t="s">
        <v>10200</v>
      </c>
      <c r="C1707" s="215" t="s">
        <v>580</v>
      </c>
      <c r="D1707" s="216">
        <v>13.8</v>
      </c>
      <c r="E1707" s="198"/>
      <c r="F1707" s="198"/>
      <c r="G1707" s="198"/>
      <c r="H1707" s="198"/>
      <c r="I1707" s="198"/>
      <c r="J1707" s="198"/>
      <c r="K1707" s="198"/>
      <c r="L1707" s="198"/>
      <c r="M1707" s="198"/>
      <c r="N1707" s="198"/>
      <c r="O1707" s="198"/>
      <c r="P1707" s="198"/>
      <c r="Q1707" s="198"/>
      <c r="R1707" s="198"/>
      <c r="S1707" s="198"/>
      <c r="T1707" s="198"/>
      <c r="U1707" s="198"/>
      <c r="V1707" s="198"/>
      <c r="W1707" s="198"/>
      <c r="X1707" s="198"/>
      <c r="Y1707" s="198"/>
      <c r="Z1707" s="198"/>
    </row>
    <row r="1708" spans="1:26" ht="15.75" hidden="1" customHeight="1" x14ac:dyDescent="0.25">
      <c r="A1708" s="213">
        <v>12128</v>
      </c>
      <c r="B1708" s="214" t="s">
        <v>10201</v>
      </c>
      <c r="C1708" s="215" t="s">
        <v>580</v>
      </c>
      <c r="D1708" s="216">
        <v>10.44</v>
      </c>
      <c r="E1708" s="198"/>
      <c r="F1708" s="198"/>
      <c r="G1708" s="198"/>
      <c r="H1708" s="198"/>
      <c r="I1708" s="198"/>
      <c r="J1708" s="198"/>
      <c r="K1708" s="198"/>
      <c r="L1708" s="198"/>
      <c r="M1708" s="198"/>
      <c r="N1708" s="198"/>
      <c r="O1708" s="198"/>
      <c r="P1708" s="198"/>
      <c r="Q1708" s="198"/>
      <c r="R1708" s="198"/>
      <c r="S1708" s="198"/>
      <c r="T1708" s="198"/>
      <c r="U1708" s="198"/>
      <c r="V1708" s="198"/>
      <c r="W1708" s="198"/>
      <c r="X1708" s="198"/>
      <c r="Y1708" s="198"/>
      <c r="Z1708" s="198"/>
    </row>
    <row r="1709" spans="1:26" ht="15.75" hidden="1" customHeight="1" x14ac:dyDescent="0.25">
      <c r="A1709" s="213">
        <v>38081</v>
      </c>
      <c r="B1709" s="214" t="s">
        <v>10202</v>
      </c>
      <c r="C1709" s="215" t="s">
        <v>580</v>
      </c>
      <c r="D1709" s="216">
        <v>26.89</v>
      </c>
      <c r="E1709" s="198"/>
      <c r="F1709" s="198"/>
      <c r="G1709" s="198"/>
      <c r="H1709" s="198"/>
      <c r="I1709" s="198"/>
      <c r="J1709" s="198"/>
      <c r="K1709" s="198"/>
      <c r="L1709" s="198"/>
      <c r="M1709" s="198"/>
      <c r="N1709" s="198"/>
      <c r="O1709" s="198"/>
      <c r="P1709" s="198"/>
      <c r="Q1709" s="198"/>
      <c r="R1709" s="198"/>
      <c r="S1709" s="198"/>
      <c r="T1709" s="198"/>
      <c r="U1709" s="198"/>
      <c r="V1709" s="198"/>
      <c r="W1709" s="198"/>
      <c r="X1709" s="198"/>
      <c r="Y1709" s="198"/>
      <c r="Z1709" s="198"/>
    </row>
    <row r="1710" spans="1:26" ht="15.75" hidden="1" customHeight="1" x14ac:dyDescent="0.25">
      <c r="A1710" s="213">
        <v>38070</v>
      </c>
      <c r="B1710" s="214" t="s">
        <v>10203</v>
      </c>
      <c r="C1710" s="215" t="s">
        <v>580</v>
      </c>
      <c r="D1710" s="216">
        <v>18.53</v>
      </c>
      <c r="E1710" s="198"/>
      <c r="F1710" s="198"/>
      <c r="G1710" s="198"/>
      <c r="H1710" s="198"/>
      <c r="I1710" s="198"/>
      <c r="J1710" s="198"/>
      <c r="K1710" s="198"/>
      <c r="L1710" s="198"/>
      <c r="M1710" s="198"/>
      <c r="N1710" s="198"/>
      <c r="O1710" s="198"/>
      <c r="P1710" s="198"/>
      <c r="Q1710" s="198"/>
      <c r="R1710" s="198"/>
      <c r="S1710" s="198"/>
      <c r="T1710" s="198"/>
      <c r="U1710" s="198"/>
      <c r="V1710" s="198"/>
      <c r="W1710" s="198"/>
      <c r="X1710" s="198"/>
      <c r="Y1710" s="198"/>
      <c r="Z1710" s="198"/>
    </row>
    <row r="1711" spans="1:26" ht="15.75" hidden="1" customHeight="1" x14ac:dyDescent="0.25">
      <c r="A1711" s="213">
        <v>38074</v>
      </c>
      <c r="B1711" s="214" t="s">
        <v>10204</v>
      </c>
      <c r="C1711" s="215" t="s">
        <v>580</v>
      </c>
      <c r="D1711" s="216">
        <v>28.17</v>
      </c>
      <c r="E1711" s="198"/>
      <c r="F1711" s="198"/>
      <c r="G1711" s="198"/>
      <c r="H1711" s="198"/>
      <c r="I1711" s="198"/>
      <c r="J1711" s="198"/>
      <c r="K1711" s="198"/>
      <c r="L1711" s="198"/>
      <c r="M1711" s="198"/>
      <c r="N1711" s="198"/>
      <c r="O1711" s="198"/>
      <c r="P1711" s="198"/>
      <c r="Q1711" s="198"/>
      <c r="R1711" s="198"/>
      <c r="S1711" s="198"/>
      <c r="T1711" s="198"/>
      <c r="U1711" s="198"/>
      <c r="V1711" s="198"/>
      <c r="W1711" s="198"/>
      <c r="X1711" s="198"/>
      <c r="Y1711" s="198"/>
      <c r="Z1711" s="198"/>
    </row>
    <row r="1712" spans="1:26" ht="15.75" hidden="1" customHeight="1" x14ac:dyDescent="0.25">
      <c r="A1712" s="213">
        <v>38072</v>
      </c>
      <c r="B1712" s="214" t="s">
        <v>10205</v>
      </c>
      <c r="C1712" s="215" t="s">
        <v>580</v>
      </c>
      <c r="D1712" s="216">
        <v>23.24</v>
      </c>
      <c r="E1712" s="198"/>
      <c r="F1712" s="198"/>
      <c r="G1712" s="198"/>
      <c r="H1712" s="198"/>
      <c r="I1712" s="198"/>
      <c r="J1712" s="198"/>
      <c r="K1712" s="198"/>
      <c r="L1712" s="198"/>
      <c r="M1712" s="198"/>
      <c r="N1712" s="198"/>
      <c r="O1712" s="198"/>
      <c r="P1712" s="198"/>
      <c r="Q1712" s="198"/>
      <c r="R1712" s="198"/>
      <c r="S1712" s="198"/>
      <c r="T1712" s="198"/>
      <c r="U1712" s="198"/>
      <c r="V1712" s="198"/>
      <c r="W1712" s="198"/>
      <c r="X1712" s="198"/>
      <c r="Y1712" s="198"/>
      <c r="Z1712" s="198"/>
    </row>
    <row r="1713" spans="1:26" ht="15.75" hidden="1" customHeight="1" x14ac:dyDescent="0.25">
      <c r="A1713" s="213">
        <v>38079</v>
      </c>
      <c r="B1713" s="214" t="s">
        <v>10206</v>
      </c>
      <c r="C1713" s="215" t="s">
        <v>580</v>
      </c>
      <c r="D1713" s="216">
        <v>24.18</v>
      </c>
      <c r="E1713" s="198"/>
      <c r="F1713" s="198"/>
      <c r="G1713" s="198"/>
      <c r="H1713" s="198"/>
      <c r="I1713" s="198"/>
      <c r="J1713" s="198"/>
      <c r="K1713" s="198"/>
      <c r="L1713" s="198"/>
      <c r="M1713" s="198"/>
      <c r="N1713" s="198"/>
      <c r="O1713" s="198"/>
      <c r="P1713" s="198"/>
      <c r="Q1713" s="198"/>
      <c r="R1713" s="198"/>
      <c r="S1713" s="198"/>
      <c r="T1713" s="198"/>
      <c r="U1713" s="198"/>
      <c r="V1713" s="198"/>
      <c r="W1713" s="198"/>
      <c r="X1713" s="198"/>
      <c r="Y1713" s="198"/>
      <c r="Z1713" s="198"/>
    </row>
    <row r="1714" spans="1:26" ht="15.75" hidden="1" customHeight="1" x14ac:dyDescent="0.25">
      <c r="A1714" s="213">
        <v>38068</v>
      </c>
      <c r="B1714" s="214" t="s">
        <v>10207</v>
      </c>
      <c r="C1714" s="215" t="s">
        <v>580</v>
      </c>
      <c r="D1714" s="216">
        <v>16.04</v>
      </c>
      <c r="E1714" s="198"/>
      <c r="F1714" s="198"/>
      <c r="G1714" s="198"/>
      <c r="H1714" s="198"/>
      <c r="I1714" s="198"/>
      <c r="J1714" s="198"/>
      <c r="K1714" s="198"/>
      <c r="L1714" s="198"/>
      <c r="M1714" s="198"/>
      <c r="N1714" s="198"/>
      <c r="O1714" s="198"/>
      <c r="P1714" s="198"/>
      <c r="Q1714" s="198"/>
      <c r="R1714" s="198"/>
      <c r="S1714" s="198"/>
      <c r="T1714" s="198"/>
      <c r="U1714" s="198"/>
      <c r="V1714" s="198"/>
      <c r="W1714" s="198"/>
      <c r="X1714" s="198"/>
      <c r="Y1714" s="198"/>
      <c r="Z1714" s="198"/>
    </row>
    <row r="1715" spans="1:26" ht="15.75" hidden="1" customHeight="1" x14ac:dyDescent="0.25">
      <c r="A1715" s="213">
        <v>38071</v>
      </c>
      <c r="B1715" s="214" t="s">
        <v>10208</v>
      </c>
      <c r="C1715" s="215" t="s">
        <v>580</v>
      </c>
      <c r="D1715" s="216">
        <v>19.18</v>
      </c>
      <c r="E1715" s="198"/>
      <c r="F1715" s="198"/>
      <c r="G1715" s="198"/>
      <c r="H1715" s="198"/>
      <c r="I1715" s="198"/>
      <c r="J1715" s="198"/>
      <c r="K1715" s="198"/>
      <c r="L1715" s="198"/>
      <c r="M1715" s="198"/>
      <c r="N1715" s="198"/>
      <c r="O1715" s="198"/>
      <c r="P1715" s="198"/>
      <c r="Q1715" s="198"/>
      <c r="R1715" s="198"/>
      <c r="S1715" s="198"/>
      <c r="T1715" s="198"/>
      <c r="U1715" s="198"/>
      <c r="V1715" s="198"/>
      <c r="W1715" s="198"/>
      <c r="X1715" s="198"/>
      <c r="Y1715" s="198"/>
      <c r="Z1715" s="198"/>
    </row>
    <row r="1716" spans="1:26" ht="15.75" hidden="1" customHeight="1" x14ac:dyDescent="0.25">
      <c r="A1716" s="213">
        <v>38412</v>
      </c>
      <c r="B1716" s="214" t="s">
        <v>10209</v>
      </c>
      <c r="C1716" s="215" t="s">
        <v>580</v>
      </c>
      <c r="D1716" s="216">
        <v>986.32</v>
      </c>
      <c r="E1716" s="198"/>
      <c r="F1716" s="198"/>
      <c r="G1716" s="198"/>
      <c r="H1716" s="198"/>
      <c r="I1716" s="198"/>
      <c r="J1716" s="198"/>
      <c r="K1716" s="198"/>
      <c r="L1716" s="198"/>
      <c r="M1716" s="198"/>
      <c r="N1716" s="198"/>
      <c r="O1716" s="198"/>
      <c r="P1716" s="198"/>
      <c r="Q1716" s="198"/>
      <c r="R1716" s="198"/>
      <c r="S1716" s="198"/>
      <c r="T1716" s="198"/>
      <c r="U1716" s="198"/>
      <c r="V1716" s="198"/>
      <c r="W1716" s="198"/>
      <c r="X1716" s="198"/>
      <c r="Y1716" s="198"/>
      <c r="Z1716" s="198"/>
    </row>
    <row r="1717" spans="1:26" ht="15.75" hidden="1" customHeight="1" x14ac:dyDescent="0.25">
      <c r="A1717" s="213">
        <v>3405</v>
      </c>
      <c r="B1717" s="214" t="s">
        <v>10210</v>
      </c>
      <c r="C1717" s="215" t="s">
        <v>580</v>
      </c>
      <c r="D1717" s="216">
        <v>96.37</v>
      </c>
      <c r="E1717" s="198"/>
      <c r="F1717" s="198"/>
      <c r="G1717" s="198"/>
      <c r="H1717" s="198"/>
      <c r="I1717" s="198"/>
      <c r="J1717" s="198"/>
      <c r="K1717" s="198"/>
      <c r="L1717" s="198"/>
      <c r="M1717" s="198"/>
      <c r="N1717" s="198"/>
      <c r="O1717" s="198"/>
      <c r="P1717" s="198"/>
      <c r="Q1717" s="198"/>
      <c r="R1717" s="198"/>
      <c r="S1717" s="198"/>
      <c r="T1717" s="198"/>
      <c r="U1717" s="198"/>
      <c r="V1717" s="198"/>
      <c r="W1717" s="198"/>
      <c r="X1717" s="198"/>
      <c r="Y1717" s="198"/>
      <c r="Z1717" s="198"/>
    </row>
    <row r="1718" spans="1:26" ht="15.75" hidden="1" customHeight="1" x14ac:dyDescent="0.25">
      <c r="A1718" s="213">
        <v>3394</v>
      </c>
      <c r="B1718" s="214" t="s">
        <v>10211</v>
      </c>
      <c r="C1718" s="215" t="s">
        <v>580</v>
      </c>
      <c r="D1718" s="216">
        <v>508.74</v>
      </c>
      <c r="E1718" s="198"/>
      <c r="F1718" s="198"/>
      <c r="G1718" s="198"/>
      <c r="H1718" s="198"/>
      <c r="I1718" s="198"/>
      <c r="J1718" s="198"/>
      <c r="K1718" s="198"/>
      <c r="L1718" s="198"/>
      <c r="M1718" s="198"/>
      <c r="N1718" s="198"/>
      <c r="O1718" s="198"/>
      <c r="P1718" s="198"/>
      <c r="Q1718" s="198"/>
      <c r="R1718" s="198"/>
      <c r="S1718" s="198"/>
      <c r="T1718" s="198"/>
      <c r="U1718" s="198"/>
      <c r="V1718" s="198"/>
      <c r="W1718" s="198"/>
      <c r="X1718" s="198"/>
      <c r="Y1718" s="198"/>
      <c r="Z1718" s="198"/>
    </row>
    <row r="1719" spans="1:26" ht="15.75" hidden="1" customHeight="1" x14ac:dyDescent="0.25">
      <c r="A1719" s="213">
        <v>3393</v>
      </c>
      <c r="B1719" s="214" t="s">
        <v>10212</v>
      </c>
      <c r="C1719" s="215" t="s">
        <v>580</v>
      </c>
      <c r="D1719" s="216">
        <v>866.18</v>
      </c>
      <c r="E1719" s="198"/>
      <c r="F1719" s="198"/>
      <c r="G1719" s="198"/>
      <c r="H1719" s="198"/>
      <c r="I1719" s="198"/>
      <c r="J1719" s="198"/>
      <c r="K1719" s="198"/>
      <c r="L1719" s="198"/>
      <c r="M1719" s="198"/>
      <c r="N1719" s="198"/>
      <c r="O1719" s="198"/>
      <c r="P1719" s="198"/>
      <c r="Q1719" s="198"/>
      <c r="R1719" s="198"/>
      <c r="S1719" s="198"/>
      <c r="T1719" s="198"/>
      <c r="U1719" s="198"/>
      <c r="V1719" s="198"/>
      <c r="W1719" s="198"/>
      <c r="X1719" s="198"/>
      <c r="Y1719" s="198"/>
      <c r="Z1719" s="198"/>
    </row>
    <row r="1720" spans="1:26" ht="15.75" hidden="1" customHeight="1" x14ac:dyDescent="0.25">
      <c r="A1720" s="213">
        <v>3406</v>
      </c>
      <c r="B1720" s="214" t="s">
        <v>10213</v>
      </c>
      <c r="C1720" s="215" t="s">
        <v>580</v>
      </c>
      <c r="D1720" s="216">
        <v>29.5</v>
      </c>
      <c r="E1720" s="198"/>
      <c r="F1720" s="198"/>
      <c r="G1720" s="198"/>
      <c r="H1720" s="198"/>
      <c r="I1720" s="198"/>
      <c r="J1720" s="198"/>
      <c r="K1720" s="198"/>
      <c r="L1720" s="198"/>
      <c r="M1720" s="198"/>
      <c r="N1720" s="198"/>
      <c r="O1720" s="198"/>
      <c r="P1720" s="198"/>
      <c r="Q1720" s="198"/>
      <c r="R1720" s="198"/>
      <c r="S1720" s="198"/>
      <c r="T1720" s="198"/>
      <c r="U1720" s="198"/>
      <c r="V1720" s="198"/>
      <c r="W1720" s="198"/>
      <c r="X1720" s="198"/>
      <c r="Y1720" s="198"/>
      <c r="Z1720" s="198"/>
    </row>
    <row r="1721" spans="1:26" ht="15.75" hidden="1" customHeight="1" x14ac:dyDescent="0.25">
      <c r="A1721" s="213">
        <v>3395</v>
      </c>
      <c r="B1721" s="214" t="s">
        <v>10214</v>
      </c>
      <c r="C1721" s="215" t="s">
        <v>580</v>
      </c>
      <c r="D1721" s="216">
        <v>124.44</v>
      </c>
      <c r="E1721" s="198"/>
      <c r="F1721" s="198"/>
      <c r="G1721" s="198"/>
      <c r="H1721" s="198"/>
      <c r="I1721" s="198"/>
      <c r="J1721" s="198"/>
      <c r="K1721" s="198"/>
      <c r="L1721" s="198"/>
      <c r="M1721" s="198"/>
      <c r="N1721" s="198"/>
      <c r="O1721" s="198"/>
      <c r="P1721" s="198"/>
      <c r="Q1721" s="198"/>
      <c r="R1721" s="198"/>
      <c r="S1721" s="198"/>
      <c r="T1721" s="198"/>
      <c r="U1721" s="198"/>
      <c r="V1721" s="198"/>
      <c r="W1721" s="198"/>
      <c r="X1721" s="198"/>
      <c r="Y1721" s="198"/>
      <c r="Z1721" s="198"/>
    </row>
    <row r="1722" spans="1:26" ht="15.75" hidden="1" customHeight="1" x14ac:dyDescent="0.25">
      <c r="A1722" s="213">
        <v>3398</v>
      </c>
      <c r="B1722" s="214" t="s">
        <v>10215</v>
      </c>
      <c r="C1722" s="215" t="s">
        <v>580</v>
      </c>
      <c r="D1722" s="216">
        <v>5.91</v>
      </c>
      <c r="E1722" s="198"/>
      <c r="F1722" s="198"/>
      <c r="G1722" s="198"/>
      <c r="H1722" s="198"/>
      <c r="I1722" s="198"/>
      <c r="J1722" s="198"/>
      <c r="K1722" s="198"/>
      <c r="L1722" s="198"/>
      <c r="M1722" s="198"/>
      <c r="N1722" s="198"/>
      <c r="O1722" s="198"/>
      <c r="P1722" s="198"/>
      <c r="Q1722" s="198"/>
      <c r="R1722" s="198"/>
      <c r="S1722" s="198"/>
      <c r="T1722" s="198"/>
      <c r="U1722" s="198"/>
      <c r="V1722" s="198"/>
      <c r="W1722" s="198"/>
      <c r="X1722" s="198"/>
      <c r="Y1722" s="198"/>
      <c r="Z1722" s="198"/>
    </row>
    <row r="1723" spans="1:26" ht="15.75" hidden="1" customHeight="1" x14ac:dyDescent="0.25">
      <c r="A1723" s="213">
        <v>40662</v>
      </c>
      <c r="B1723" s="214" t="s">
        <v>10216</v>
      </c>
      <c r="C1723" s="215" t="s">
        <v>580</v>
      </c>
      <c r="D1723" s="216">
        <v>221.62</v>
      </c>
      <c r="E1723" s="198"/>
      <c r="F1723" s="198"/>
      <c r="G1723" s="198"/>
      <c r="H1723" s="198"/>
      <c r="I1723" s="198"/>
      <c r="J1723" s="198"/>
      <c r="K1723" s="198"/>
      <c r="L1723" s="198"/>
      <c r="M1723" s="198"/>
      <c r="N1723" s="198"/>
      <c r="O1723" s="198"/>
      <c r="P1723" s="198"/>
      <c r="Q1723" s="198"/>
      <c r="R1723" s="198"/>
      <c r="S1723" s="198"/>
      <c r="T1723" s="198"/>
      <c r="U1723" s="198"/>
      <c r="V1723" s="198"/>
      <c r="W1723" s="198"/>
      <c r="X1723" s="198"/>
      <c r="Y1723" s="198"/>
      <c r="Z1723" s="198"/>
    </row>
    <row r="1724" spans="1:26" ht="15.75" hidden="1" customHeight="1" x14ac:dyDescent="0.25">
      <c r="A1724" s="213">
        <v>3437</v>
      </c>
      <c r="B1724" s="214" t="s">
        <v>10217</v>
      </c>
      <c r="C1724" s="215" t="s">
        <v>578</v>
      </c>
      <c r="D1724" s="216">
        <v>615.63</v>
      </c>
      <c r="E1724" s="198"/>
      <c r="F1724" s="198"/>
      <c r="G1724" s="198"/>
      <c r="H1724" s="198"/>
      <c r="I1724" s="198"/>
      <c r="J1724" s="198"/>
      <c r="K1724" s="198"/>
      <c r="L1724" s="198"/>
      <c r="M1724" s="198"/>
      <c r="N1724" s="198"/>
      <c r="O1724" s="198"/>
      <c r="P1724" s="198"/>
      <c r="Q1724" s="198"/>
      <c r="R1724" s="198"/>
      <c r="S1724" s="198"/>
      <c r="T1724" s="198"/>
      <c r="U1724" s="198"/>
      <c r="V1724" s="198"/>
      <c r="W1724" s="198"/>
      <c r="X1724" s="198"/>
      <c r="Y1724" s="198"/>
      <c r="Z1724" s="198"/>
    </row>
    <row r="1725" spans="1:26" ht="15.75" hidden="1" customHeight="1" x14ac:dyDescent="0.25">
      <c r="A1725" s="213">
        <v>34377</v>
      </c>
      <c r="B1725" s="214" t="s">
        <v>10218</v>
      </c>
      <c r="C1725" s="215" t="s">
        <v>580</v>
      </c>
      <c r="D1725" s="216">
        <v>385.62</v>
      </c>
      <c r="E1725" s="198"/>
      <c r="F1725" s="198"/>
      <c r="G1725" s="198"/>
      <c r="H1725" s="198"/>
      <c r="I1725" s="198"/>
      <c r="J1725" s="198"/>
      <c r="K1725" s="198"/>
      <c r="L1725" s="198"/>
      <c r="M1725" s="198"/>
      <c r="N1725" s="198"/>
      <c r="O1725" s="198"/>
      <c r="P1725" s="198"/>
      <c r="Q1725" s="198"/>
      <c r="R1725" s="198"/>
      <c r="S1725" s="198"/>
      <c r="T1725" s="198"/>
      <c r="U1725" s="198"/>
      <c r="V1725" s="198"/>
      <c r="W1725" s="198"/>
      <c r="X1725" s="198"/>
      <c r="Y1725" s="198"/>
      <c r="Z1725" s="198"/>
    </row>
    <row r="1726" spans="1:26" ht="15.75" hidden="1" customHeight="1" x14ac:dyDescent="0.25">
      <c r="A1726" s="213">
        <v>40659</v>
      </c>
      <c r="B1726" s="214" t="s">
        <v>10219</v>
      </c>
      <c r="C1726" s="215" t="s">
        <v>578</v>
      </c>
      <c r="D1726" s="216">
        <v>871.03</v>
      </c>
      <c r="E1726" s="198"/>
      <c r="F1726" s="198"/>
      <c r="G1726" s="198"/>
      <c r="H1726" s="198"/>
      <c r="I1726" s="198"/>
      <c r="J1726" s="198"/>
      <c r="K1726" s="198"/>
      <c r="L1726" s="198"/>
      <c r="M1726" s="198"/>
      <c r="N1726" s="198"/>
      <c r="O1726" s="198"/>
      <c r="P1726" s="198"/>
      <c r="Q1726" s="198"/>
      <c r="R1726" s="198"/>
      <c r="S1726" s="198"/>
      <c r="T1726" s="198"/>
      <c r="U1726" s="198"/>
      <c r="V1726" s="198"/>
      <c r="W1726" s="198"/>
      <c r="X1726" s="198"/>
      <c r="Y1726" s="198"/>
      <c r="Z1726" s="198"/>
    </row>
    <row r="1727" spans="1:26" ht="15.75" hidden="1" customHeight="1" x14ac:dyDescent="0.25">
      <c r="A1727" s="213">
        <v>40660</v>
      </c>
      <c r="B1727" s="214" t="s">
        <v>10220</v>
      </c>
      <c r="C1727" s="215" t="s">
        <v>578</v>
      </c>
      <c r="D1727" s="216">
        <v>1103.93</v>
      </c>
      <c r="E1727" s="198"/>
      <c r="F1727" s="198"/>
      <c r="G1727" s="198"/>
      <c r="H1727" s="198"/>
      <c r="I1727" s="198"/>
      <c r="J1727" s="198"/>
      <c r="K1727" s="198"/>
      <c r="L1727" s="198"/>
      <c r="M1727" s="198"/>
      <c r="N1727" s="198"/>
      <c r="O1727" s="198"/>
      <c r="P1727" s="198"/>
      <c r="Q1727" s="198"/>
      <c r="R1727" s="198"/>
      <c r="S1727" s="198"/>
      <c r="T1727" s="198"/>
      <c r="U1727" s="198"/>
      <c r="V1727" s="198"/>
      <c r="W1727" s="198"/>
      <c r="X1727" s="198"/>
      <c r="Y1727" s="198"/>
      <c r="Z1727" s="198"/>
    </row>
    <row r="1728" spans="1:26" ht="15.75" hidden="1" customHeight="1" x14ac:dyDescent="0.25">
      <c r="A1728" s="213">
        <v>40661</v>
      </c>
      <c r="B1728" s="214" t="s">
        <v>10221</v>
      </c>
      <c r="C1728" s="215" t="s">
        <v>578</v>
      </c>
      <c r="D1728" s="216">
        <v>678.73</v>
      </c>
      <c r="E1728" s="198"/>
      <c r="F1728" s="198"/>
      <c r="G1728" s="198"/>
      <c r="H1728" s="198"/>
      <c r="I1728" s="198"/>
      <c r="J1728" s="198"/>
      <c r="K1728" s="198"/>
      <c r="L1728" s="198"/>
      <c r="M1728" s="198"/>
      <c r="N1728" s="198"/>
      <c r="O1728" s="198"/>
      <c r="P1728" s="198"/>
      <c r="Q1728" s="198"/>
      <c r="R1728" s="198"/>
      <c r="S1728" s="198"/>
      <c r="T1728" s="198"/>
      <c r="U1728" s="198"/>
      <c r="V1728" s="198"/>
      <c r="W1728" s="198"/>
      <c r="X1728" s="198"/>
      <c r="Y1728" s="198"/>
      <c r="Z1728" s="198"/>
    </row>
    <row r="1729" spans="1:26" ht="15.75" hidden="1" customHeight="1" x14ac:dyDescent="0.25">
      <c r="A1729" s="213">
        <v>3428</v>
      </c>
      <c r="B1729" s="214" t="s">
        <v>10222</v>
      </c>
      <c r="C1729" s="215" t="s">
        <v>578</v>
      </c>
      <c r="D1729" s="216">
        <v>913.19</v>
      </c>
      <c r="E1729" s="198"/>
      <c r="F1729" s="198"/>
      <c r="G1729" s="198"/>
      <c r="H1729" s="198"/>
      <c r="I1729" s="198"/>
      <c r="J1729" s="198"/>
      <c r="K1729" s="198"/>
      <c r="L1729" s="198"/>
      <c r="M1729" s="198"/>
      <c r="N1729" s="198"/>
      <c r="O1729" s="198"/>
      <c r="P1729" s="198"/>
      <c r="Q1729" s="198"/>
      <c r="R1729" s="198"/>
      <c r="S1729" s="198"/>
      <c r="T1729" s="198"/>
      <c r="U1729" s="198"/>
      <c r="V1729" s="198"/>
      <c r="W1729" s="198"/>
      <c r="X1729" s="198"/>
      <c r="Y1729" s="198"/>
      <c r="Z1729" s="198"/>
    </row>
    <row r="1730" spans="1:26" ht="15.75" hidden="1" customHeight="1" x14ac:dyDescent="0.25">
      <c r="A1730" s="213">
        <v>3429</v>
      </c>
      <c r="B1730" s="214" t="s">
        <v>10223</v>
      </c>
      <c r="C1730" s="215" t="s">
        <v>578</v>
      </c>
      <c r="D1730" s="216">
        <v>521.74</v>
      </c>
      <c r="E1730" s="198"/>
      <c r="F1730" s="198"/>
      <c r="G1730" s="198"/>
      <c r="H1730" s="198"/>
      <c r="I1730" s="198"/>
      <c r="J1730" s="198"/>
      <c r="K1730" s="198"/>
      <c r="L1730" s="198"/>
      <c r="M1730" s="198"/>
      <c r="N1730" s="198"/>
      <c r="O1730" s="198"/>
      <c r="P1730" s="198"/>
      <c r="Q1730" s="198"/>
      <c r="R1730" s="198"/>
      <c r="S1730" s="198"/>
      <c r="T1730" s="198"/>
      <c r="U1730" s="198"/>
      <c r="V1730" s="198"/>
      <c r="W1730" s="198"/>
      <c r="X1730" s="198"/>
      <c r="Y1730" s="198"/>
      <c r="Z1730" s="198"/>
    </row>
    <row r="1731" spans="1:26" ht="15.75" hidden="1" customHeight="1" x14ac:dyDescent="0.25">
      <c r="A1731" s="213">
        <v>36896</v>
      </c>
      <c r="B1731" s="214" t="s">
        <v>10224</v>
      </c>
      <c r="C1731" s="215" t="s">
        <v>580</v>
      </c>
      <c r="D1731" s="216">
        <v>746.87</v>
      </c>
      <c r="E1731" s="198"/>
      <c r="F1731" s="198"/>
      <c r="G1731" s="198"/>
      <c r="H1731" s="198"/>
      <c r="I1731" s="198"/>
      <c r="J1731" s="198"/>
      <c r="K1731" s="198"/>
      <c r="L1731" s="198"/>
      <c r="M1731" s="198"/>
      <c r="N1731" s="198"/>
      <c r="O1731" s="198"/>
      <c r="P1731" s="198"/>
      <c r="Q1731" s="198"/>
      <c r="R1731" s="198"/>
      <c r="S1731" s="198"/>
      <c r="T1731" s="198"/>
      <c r="U1731" s="198"/>
      <c r="V1731" s="198"/>
      <c r="W1731" s="198"/>
      <c r="X1731" s="198"/>
      <c r="Y1731" s="198"/>
      <c r="Z1731" s="198"/>
    </row>
    <row r="1732" spans="1:26" ht="15.75" hidden="1" customHeight="1" x14ac:dyDescent="0.25">
      <c r="A1732" s="213">
        <v>34367</v>
      </c>
      <c r="B1732" s="214" t="s">
        <v>10225</v>
      </c>
      <c r="C1732" s="215" t="s">
        <v>580</v>
      </c>
      <c r="D1732" s="216">
        <v>962.6</v>
      </c>
      <c r="E1732" s="198"/>
      <c r="F1732" s="198"/>
      <c r="G1732" s="198"/>
      <c r="H1732" s="198"/>
      <c r="I1732" s="198"/>
      <c r="J1732" s="198"/>
      <c r="K1732" s="198"/>
      <c r="L1732" s="198"/>
      <c r="M1732" s="198"/>
      <c r="N1732" s="198"/>
      <c r="O1732" s="198"/>
      <c r="P1732" s="198"/>
      <c r="Q1732" s="198"/>
      <c r="R1732" s="198"/>
      <c r="S1732" s="198"/>
      <c r="T1732" s="198"/>
      <c r="U1732" s="198"/>
      <c r="V1732" s="198"/>
      <c r="W1732" s="198"/>
      <c r="X1732" s="198"/>
      <c r="Y1732" s="198"/>
      <c r="Z1732" s="198"/>
    </row>
    <row r="1733" spans="1:26" ht="15.75" hidden="1" customHeight="1" x14ac:dyDescent="0.25">
      <c r="A1733" s="213">
        <v>36897</v>
      </c>
      <c r="B1733" s="214" t="s">
        <v>10226</v>
      </c>
      <c r="C1733" s="215" t="s">
        <v>580</v>
      </c>
      <c r="D1733" s="216">
        <v>1165.48</v>
      </c>
      <c r="E1733" s="198"/>
      <c r="F1733" s="198"/>
      <c r="G1733" s="198"/>
      <c r="H1733" s="198"/>
      <c r="I1733" s="198"/>
      <c r="J1733" s="198"/>
      <c r="K1733" s="198"/>
      <c r="L1733" s="198"/>
      <c r="M1733" s="198"/>
      <c r="N1733" s="198"/>
      <c r="O1733" s="198"/>
      <c r="P1733" s="198"/>
      <c r="Q1733" s="198"/>
      <c r="R1733" s="198"/>
      <c r="S1733" s="198"/>
      <c r="T1733" s="198"/>
      <c r="U1733" s="198"/>
      <c r="V1733" s="198"/>
      <c r="W1733" s="198"/>
      <c r="X1733" s="198"/>
      <c r="Y1733" s="198"/>
      <c r="Z1733" s="198"/>
    </row>
    <row r="1734" spans="1:26" ht="15.75" hidden="1" customHeight="1" x14ac:dyDescent="0.25">
      <c r="A1734" s="213">
        <v>34369</v>
      </c>
      <c r="B1734" s="214" t="s">
        <v>10227</v>
      </c>
      <c r="C1734" s="215" t="s">
        <v>580</v>
      </c>
      <c r="D1734" s="216">
        <v>1341.24</v>
      </c>
      <c r="E1734" s="198"/>
      <c r="F1734" s="198"/>
      <c r="G1734" s="198"/>
      <c r="H1734" s="198"/>
      <c r="I1734" s="198"/>
      <c r="J1734" s="198"/>
      <c r="K1734" s="198"/>
      <c r="L1734" s="198"/>
      <c r="M1734" s="198"/>
      <c r="N1734" s="198"/>
      <c r="O1734" s="198"/>
      <c r="P1734" s="198"/>
      <c r="Q1734" s="198"/>
      <c r="R1734" s="198"/>
      <c r="S1734" s="198"/>
      <c r="T1734" s="198"/>
      <c r="U1734" s="198"/>
      <c r="V1734" s="198"/>
      <c r="W1734" s="198"/>
      <c r="X1734" s="198"/>
      <c r="Y1734" s="198"/>
      <c r="Z1734" s="198"/>
    </row>
    <row r="1735" spans="1:26" ht="15.75" hidden="1" customHeight="1" x14ac:dyDescent="0.25">
      <c r="A1735" s="213">
        <v>34364</v>
      </c>
      <c r="B1735" s="214" t="s">
        <v>10228</v>
      </c>
      <c r="C1735" s="215" t="s">
        <v>580</v>
      </c>
      <c r="D1735" s="216">
        <v>1265.31</v>
      </c>
      <c r="E1735" s="198"/>
      <c r="F1735" s="198"/>
      <c r="G1735" s="198"/>
      <c r="H1735" s="198"/>
      <c r="I1735" s="198"/>
      <c r="J1735" s="198"/>
      <c r="K1735" s="198"/>
      <c r="L1735" s="198"/>
      <c r="M1735" s="198"/>
      <c r="N1735" s="198"/>
      <c r="O1735" s="198"/>
      <c r="P1735" s="198"/>
      <c r="Q1735" s="198"/>
      <c r="R1735" s="198"/>
      <c r="S1735" s="198"/>
      <c r="T1735" s="198"/>
      <c r="U1735" s="198"/>
      <c r="V1735" s="198"/>
      <c r="W1735" s="198"/>
      <c r="X1735" s="198"/>
      <c r="Y1735" s="198"/>
      <c r="Z1735" s="198"/>
    </row>
    <row r="1736" spans="1:26" ht="15.75" hidden="1" customHeight="1" x14ac:dyDescent="0.25">
      <c r="A1736" s="213">
        <v>3421</v>
      </c>
      <c r="B1736" s="214" t="s">
        <v>10229</v>
      </c>
      <c r="C1736" s="215" t="s">
        <v>578</v>
      </c>
      <c r="D1736" s="216">
        <v>683.92</v>
      </c>
      <c r="E1736" s="198"/>
      <c r="F1736" s="198"/>
      <c r="G1736" s="198"/>
      <c r="H1736" s="198"/>
      <c r="I1736" s="198"/>
      <c r="J1736" s="198"/>
      <c r="K1736" s="198"/>
      <c r="L1736" s="198"/>
      <c r="M1736" s="198"/>
      <c r="N1736" s="198"/>
      <c r="O1736" s="198"/>
      <c r="P1736" s="198"/>
      <c r="Q1736" s="198"/>
      <c r="R1736" s="198"/>
      <c r="S1736" s="198"/>
      <c r="T1736" s="198"/>
      <c r="U1736" s="198"/>
      <c r="V1736" s="198"/>
      <c r="W1736" s="198"/>
      <c r="X1736" s="198"/>
      <c r="Y1736" s="198"/>
      <c r="Z1736" s="198"/>
    </row>
    <row r="1737" spans="1:26" ht="15.75" hidden="1" customHeight="1" x14ac:dyDescent="0.25">
      <c r="A1737" s="213">
        <v>599</v>
      </c>
      <c r="B1737" s="214" t="s">
        <v>10230</v>
      </c>
      <c r="C1737" s="215" t="s">
        <v>578</v>
      </c>
      <c r="D1737" s="216">
        <v>1362.13</v>
      </c>
      <c r="E1737" s="198"/>
      <c r="F1737" s="198"/>
      <c r="G1737" s="198"/>
      <c r="H1737" s="198"/>
      <c r="I1737" s="198"/>
      <c r="J1737" s="198"/>
      <c r="K1737" s="198"/>
      <c r="L1737" s="198"/>
      <c r="M1737" s="198"/>
      <c r="N1737" s="198"/>
      <c r="O1737" s="198"/>
      <c r="P1737" s="198"/>
      <c r="Q1737" s="198"/>
      <c r="R1737" s="198"/>
      <c r="S1737" s="198"/>
      <c r="T1737" s="198"/>
      <c r="U1737" s="198"/>
      <c r="V1737" s="198"/>
      <c r="W1737" s="198"/>
      <c r="X1737" s="198"/>
      <c r="Y1737" s="198"/>
      <c r="Z1737" s="198"/>
    </row>
    <row r="1738" spans="1:26" ht="15.75" hidden="1" customHeight="1" x14ac:dyDescent="0.25">
      <c r="A1738" s="213">
        <v>44053</v>
      </c>
      <c r="B1738" s="214" t="s">
        <v>10231</v>
      </c>
      <c r="C1738" s="215" t="s">
        <v>580</v>
      </c>
      <c r="D1738" s="216">
        <v>3023.29</v>
      </c>
      <c r="E1738" s="198"/>
      <c r="F1738" s="198"/>
      <c r="G1738" s="198"/>
      <c r="H1738" s="198"/>
      <c r="I1738" s="198"/>
      <c r="J1738" s="198"/>
      <c r="K1738" s="198"/>
      <c r="L1738" s="198"/>
      <c r="M1738" s="198"/>
      <c r="N1738" s="198"/>
      <c r="O1738" s="198"/>
      <c r="P1738" s="198"/>
      <c r="Q1738" s="198"/>
      <c r="R1738" s="198"/>
      <c r="S1738" s="198"/>
      <c r="T1738" s="198"/>
      <c r="U1738" s="198"/>
      <c r="V1738" s="198"/>
      <c r="W1738" s="198"/>
      <c r="X1738" s="198"/>
      <c r="Y1738" s="198"/>
      <c r="Z1738" s="198"/>
    </row>
    <row r="1739" spans="1:26" ht="15.75" hidden="1" customHeight="1" x14ac:dyDescent="0.25">
      <c r="A1739" s="213">
        <v>3423</v>
      </c>
      <c r="B1739" s="214" t="s">
        <v>10232</v>
      </c>
      <c r="C1739" s="215" t="s">
        <v>578</v>
      </c>
      <c r="D1739" s="216">
        <v>964.49</v>
      </c>
      <c r="E1739" s="198"/>
      <c r="F1739" s="198"/>
      <c r="G1739" s="198"/>
      <c r="H1739" s="198"/>
      <c r="I1739" s="198"/>
      <c r="J1739" s="198"/>
      <c r="K1739" s="198"/>
      <c r="L1739" s="198"/>
      <c r="M1739" s="198"/>
      <c r="N1739" s="198"/>
      <c r="O1739" s="198"/>
      <c r="P1739" s="198"/>
      <c r="Q1739" s="198"/>
      <c r="R1739" s="198"/>
      <c r="S1739" s="198"/>
      <c r="T1739" s="198"/>
      <c r="U1739" s="198"/>
      <c r="V1739" s="198"/>
      <c r="W1739" s="198"/>
      <c r="X1739" s="198"/>
      <c r="Y1739" s="198"/>
      <c r="Z1739" s="198"/>
    </row>
    <row r="1740" spans="1:26" ht="15.75" hidden="1" customHeight="1" x14ac:dyDescent="0.25">
      <c r="A1740" s="213">
        <v>34381</v>
      </c>
      <c r="B1740" s="214" t="s">
        <v>10233</v>
      </c>
      <c r="C1740" s="215" t="s">
        <v>580</v>
      </c>
      <c r="D1740" s="216">
        <v>550</v>
      </c>
      <c r="E1740" s="198"/>
      <c r="F1740" s="198"/>
      <c r="G1740" s="198"/>
      <c r="H1740" s="198"/>
      <c r="I1740" s="198"/>
      <c r="J1740" s="198"/>
      <c r="K1740" s="198"/>
      <c r="L1740" s="198"/>
      <c r="M1740" s="198"/>
      <c r="N1740" s="198"/>
      <c r="O1740" s="198"/>
      <c r="P1740" s="198"/>
      <c r="Q1740" s="198"/>
      <c r="R1740" s="198"/>
      <c r="S1740" s="198"/>
      <c r="T1740" s="198"/>
      <c r="U1740" s="198"/>
      <c r="V1740" s="198"/>
      <c r="W1740" s="198"/>
      <c r="X1740" s="198"/>
      <c r="Y1740" s="198"/>
      <c r="Z1740" s="198"/>
    </row>
    <row r="1741" spans="1:26" ht="15.75" hidden="1" customHeight="1" x14ac:dyDescent="0.25">
      <c r="A1741" s="213">
        <v>44054</v>
      </c>
      <c r="B1741" s="214" t="s">
        <v>10234</v>
      </c>
      <c r="C1741" s="215" t="s">
        <v>580</v>
      </c>
      <c r="D1741" s="216">
        <v>1084.57</v>
      </c>
      <c r="E1741" s="198"/>
      <c r="F1741" s="198"/>
      <c r="G1741" s="198"/>
      <c r="H1741" s="198"/>
      <c r="I1741" s="198"/>
      <c r="J1741" s="198"/>
      <c r="K1741" s="198"/>
      <c r="L1741" s="198"/>
      <c r="M1741" s="198"/>
      <c r="N1741" s="198"/>
      <c r="O1741" s="198"/>
      <c r="P1741" s="198"/>
      <c r="Q1741" s="198"/>
      <c r="R1741" s="198"/>
      <c r="S1741" s="198"/>
      <c r="T1741" s="198"/>
      <c r="U1741" s="198"/>
      <c r="V1741" s="198"/>
      <c r="W1741" s="198"/>
      <c r="X1741" s="198"/>
      <c r="Y1741" s="198"/>
      <c r="Z1741" s="198"/>
    </row>
    <row r="1742" spans="1:26" ht="15.75" hidden="1" customHeight="1" x14ac:dyDescent="0.25">
      <c r="A1742" s="213">
        <v>44399</v>
      </c>
      <c r="B1742" s="214" t="s">
        <v>10235</v>
      </c>
      <c r="C1742" s="215" t="s">
        <v>580</v>
      </c>
      <c r="D1742" s="216">
        <v>1481.88</v>
      </c>
      <c r="E1742" s="198"/>
      <c r="F1742" s="198"/>
      <c r="G1742" s="198"/>
      <c r="H1742" s="198"/>
      <c r="I1742" s="198"/>
      <c r="J1742" s="198"/>
      <c r="K1742" s="198"/>
      <c r="L1742" s="198"/>
      <c r="M1742" s="198"/>
      <c r="N1742" s="198"/>
      <c r="O1742" s="198"/>
      <c r="P1742" s="198"/>
      <c r="Q1742" s="198"/>
      <c r="R1742" s="198"/>
      <c r="S1742" s="198"/>
      <c r="T1742" s="198"/>
      <c r="U1742" s="198"/>
      <c r="V1742" s="198"/>
      <c r="W1742" s="198"/>
      <c r="X1742" s="198"/>
      <c r="Y1742" s="198"/>
      <c r="Z1742" s="198"/>
    </row>
    <row r="1743" spans="1:26" ht="15.75" hidden="1" customHeight="1" x14ac:dyDescent="0.25">
      <c r="A1743" s="213">
        <v>44503</v>
      </c>
      <c r="B1743" s="214" t="s">
        <v>10236</v>
      </c>
      <c r="C1743" s="215" t="s">
        <v>2193</v>
      </c>
      <c r="D1743" s="216">
        <v>20.49</v>
      </c>
      <c r="E1743" s="198"/>
      <c r="F1743" s="198"/>
      <c r="G1743" s="198"/>
      <c r="H1743" s="198"/>
      <c r="I1743" s="198"/>
      <c r="J1743" s="198"/>
      <c r="K1743" s="198"/>
      <c r="L1743" s="198"/>
      <c r="M1743" s="198"/>
      <c r="N1743" s="198"/>
      <c r="O1743" s="198"/>
      <c r="P1743" s="198"/>
      <c r="Q1743" s="198"/>
      <c r="R1743" s="198"/>
      <c r="S1743" s="198"/>
      <c r="T1743" s="198"/>
      <c r="U1743" s="198"/>
      <c r="V1743" s="198"/>
      <c r="W1743" s="198"/>
      <c r="X1743" s="198"/>
      <c r="Y1743" s="198"/>
      <c r="Z1743" s="198"/>
    </row>
    <row r="1744" spans="1:26" ht="15.75" hidden="1" customHeight="1" x14ac:dyDescent="0.25">
      <c r="A1744" s="213">
        <v>41077</v>
      </c>
      <c r="B1744" s="214" t="s">
        <v>10237</v>
      </c>
      <c r="C1744" s="215" t="s">
        <v>6214</v>
      </c>
      <c r="D1744" s="216">
        <v>3596.52</v>
      </c>
      <c r="E1744" s="198"/>
      <c r="F1744" s="198"/>
      <c r="G1744" s="198"/>
      <c r="H1744" s="198"/>
      <c r="I1744" s="198"/>
      <c r="J1744" s="198"/>
      <c r="K1744" s="198"/>
      <c r="L1744" s="198"/>
      <c r="M1744" s="198"/>
      <c r="N1744" s="198"/>
      <c r="O1744" s="198"/>
      <c r="P1744" s="198"/>
      <c r="Q1744" s="198"/>
      <c r="R1744" s="198"/>
      <c r="S1744" s="198"/>
      <c r="T1744" s="198"/>
      <c r="U1744" s="198"/>
      <c r="V1744" s="198"/>
      <c r="W1744" s="198"/>
      <c r="X1744" s="198"/>
      <c r="Y1744" s="198"/>
      <c r="Z1744" s="198"/>
    </row>
    <row r="1745" spans="1:26" ht="15.75" hidden="1" customHeight="1" x14ac:dyDescent="0.25">
      <c r="A1745" s="213">
        <v>37963</v>
      </c>
      <c r="B1745" s="214" t="s">
        <v>10238</v>
      </c>
      <c r="C1745" s="215" t="s">
        <v>580</v>
      </c>
      <c r="D1745" s="216">
        <v>4.97</v>
      </c>
      <c r="E1745" s="198"/>
      <c r="F1745" s="198"/>
      <c r="G1745" s="198"/>
      <c r="H1745" s="198"/>
      <c r="I1745" s="198"/>
      <c r="J1745" s="198"/>
      <c r="K1745" s="198"/>
      <c r="L1745" s="198"/>
      <c r="M1745" s="198"/>
      <c r="N1745" s="198"/>
      <c r="O1745" s="198"/>
      <c r="P1745" s="198"/>
      <c r="Q1745" s="198"/>
      <c r="R1745" s="198"/>
      <c r="S1745" s="198"/>
      <c r="T1745" s="198"/>
      <c r="U1745" s="198"/>
      <c r="V1745" s="198"/>
      <c r="W1745" s="198"/>
      <c r="X1745" s="198"/>
      <c r="Y1745" s="198"/>
      <c r="Z1745" s="198"/>
    </row>
    <row r="1746" spans="1:26" ht="15.75" hidden="1" customHeight="1" x14ac:dyDescent="0.25">
      <c r="A1746" s="213">
        <v>37964</v>
      </c>
      <c r="B1746" s="214" t="s">
        <v>10239</v>
      </c>
      <c r="C1746" s="215" t="s">
        <v>580</v>
      </c>
      <c r="D1746" s="216">
        <v>6.65</v>
      </c>
      <c r="E1746" s="198"/>
      <c r="F1746" s="198"/>
      <c r="G1746" s="198"/>
      <c r="H1746" s="198"/>
      <c r="I1746" s="198"/>
      <c r="J1746" s="198"/>
      <c r="K1746" s="198"/>
      <c r="L1746" s="198"/>
      <c r="M1746" s="198"/>
      <c r="N1746" s="198"/>
      <c r="O1746" s="198"/>
      <c r="P1746" s="198"/>
      <c r="Q1746" s="198"/>
      <c r="R1746" s="198"/>
      <c r="S1746" s="198"/>
      <c r="T1746" s="198"/>
      <c r="U1746" s="198"/>
      <c r="V1746" s="198"/>
      <c r="W1746" s="198"/>
      <c r="X1746" s="198"/>
      <c r="Y1746" s="198"/>
      <c r="Z1746" s="198"/>
    </row>
    <row r="1747" spans="1:26" ht="15.75" hidden="1" customHeight="1" x14ac:dyDescent="0.25">
      <c r="A1747" s="213">
        <v>37965</v>
      </c>
      <c r="B1747" s="214" t="s">
        <v>10240</v>
      </c>
      <c r="C1747" s="215" t="s">
        <v>580</v>
      </c>
      <c r="D1747" s="216">
        <v>9.59</v>
      </c>
      <c r="E1747" s="198"/>
      <c r="F1747" s="198"/>
      <c r="G1747" s="198"/>
      <c r="H1747" s="198"/>
      <c r="I1747" s="198"/>
      <c r="J1747" s="198"/>
      <c r="K1747" s="198"/>
      <c r="L1747" s="198"/>
      <c r="M1747" s="198"/>
      <c r="N1747" s="198"/>
      <c r="O1747" s="198"/>
      <c r="P1747" s="198"/>
      <c r="Q1747" s="198"/>
      <c r="R1747" s="198"/>
      <c r="S1747" s="198"/>
      <c r="T1747" s="198"/>
      <c r="U1747" s="198"/>
      <c r="V1747" s="198"/>
      <c r="W1747" s="198"/>
      <c r="X1747" s="198"/>
      <c r="Y1747" s="198"/>
      <c r="Z1747" s="198"/>
    </row>
    <row r="1748" spans="1:26" ht="15.75" hidden="1" customHeight="1" x14ac:dyDescent="0.25">
      <c r="A1748" s="213">
        <v>37966</v>
      </c>
      <c r="B1748" s="214" t="s">
        <v>10241</v>
      </c>
      <c r="C1748" s="215" t="s">
        <v>580</v>
      </c>
      <c r="D1748" s="216">
        <v>16.84</v>
      </c>
      <c r="E1748" s="198"/>
      <c r="F1748" s="198"/>
      <c r="G1748" s="198"/>
      <c r="H1748" s="198"/>
      <c r="I1748" s="198"/>
      <c r="J1748" s="198"/>
      <c r="K1748" s="198"/>
      <c r="L1748" s="198"/>
      <c r="M1748" s="198"/>
      <c r="N1748" s="198"/>
      <c r="O1748" s="198"/>
      <c r="P1748" s="198"/>
      <c r="Q1748" s="198"/>
      <c r="R1748" s="198"/>
      <c r="S1748" s="198"/>
      <c r="T1748" s="198"/>
      <c r="U1748" s="198"/>
      <c r="V1748" s="198"/>
      <c r="W1748" s="198"/>
      <c r="X1748" s="198"/>
      <c r="Y1748" s="198"/>
      <c r="Z1748" s="198"/>
    </row>
    <row r="1749" spans="1:26" ht="15.75" hidden="1" customHeight="1" x14ac:dyDescent="0.25">
      <c r="A1749" s="213">
        <v>37967</v>
      </c>
      <c r="B1749" s="214" t="s">
        <v>10242</v>
      </c>
      <c r="C1749" s="215" t="s">
        <v>580</v>
      </c>
      <c r="D1749" s="216">
        <v>28.3</v>
      </c>
      <c r="E1749" s="198"/>
      <c r="F1749" s="198"/>
      <c r="G1749" s="198"/>
      <c r="H1749" s="198"/>
      <c r="I1749" s="198"/>
      <c r="J1749" s="198"/>
      <c r="K1749" s="198"/>
      <c r="L1749" s="198"/>
      <c r="M1749" s="198"/>
      <c r="N1749" s="198"/>
      <c r="O1749" s="198"/>
      <c r="P1749" s="198"/>
      <c r="Q1749" s="198"/>
      <c r="R1749" s="198"/>
      <c r="S1749" s="198"/>
      <c r="T1749" s="198"/>
      <c r="U1749" s="198"/>
      <c r="V1749" s="198"/>
      <c r="W1749" s="198"/>
      <c r="X1749" s="198"/>
      <c r="Y1749" s="198"/>
      <c r="Z1749" s="198"/>
    </row>
    <row r="1750" spans="1:26" ht="15.75" hidden="1" customHeight="1" x14ac:dyDescent="0.25">
      <c r="A1750" s="213">
        <v>37968</v>
      </c>
      <c r="B1750" s="214" t="s">
        <v>10243</v>
      </c>
      <c r="C1750" s="215" t="s">
        <v>580</v>
      </c>
      <c r="D1750" s="216">
        <v>60.09</v>
      </c>
      <c r="E1750" s="198"/>
      <c r="F1750" s="198"/>
      <c r="G1750" s="198"/>
      <c r="H1750" s="198"/>
      <c r="I1750" s="198"/>
      <c r="J1750" s="198"/>
      <c r="K1750" s="198"/>
      <c r="L1750" s="198"/>
      <c r="M1750" s="198"/>
      <c r="N1750" s="198"/>
      <c r="O1750" s="198"/>
      <c r="P1750" s="198"/>
      <c r="Q1750" s="198"/>
      <c r="R1750" s="198"/>
      <c r="S1750" s="198"/>
      <c r="T1750" s="198"/>
      <c r="U1750" s="198"/>
      <c r="V1750" s="198"/>
      <c r="W1750" s="198"/>
      <c r="X1750" s="198"/>
      <c r="Y1750" s="198"/>
      <c r="Z1750" s="198"/>
    </row>
    <row r="1751" spans="1:26" ht="15.75" hidden="1" customHeight="1" x14ac:dyDescent="0.25">
      <c r="A1751" s="213">
        <v>37969</v>
      </c>
      <c r="B1751" s="214" t="s">
        <v>10244</v>
      </c>
      <c r="C1751" s="215" t="s">
        <v>580</v>
      </c>
      <c r="D1751" s="216">
        <v>151.84</v>
      </c>
      <c r="E1751" s="198"/>
      <c r="F1751" s="198"/>
      <c r="G1751" s="198"/>
      <c r="H1751" s="198"/>
      <c r="I1751" s="198"/>
      <c r="J1751" s="198"/>
      <c r="K1751" s="198"/>
      <c r="L1751" s="198"/>
      <c r="M1751" s="198"/>
      <c r="N1751" s="198"/>
      <c r="O1751" s="198"/>
      <c r="P1751" s="198"/>
      <c r="Q1751" s="198"/>
      <c r="R1751" s="198"/>
      <c r="S1751" s="198"/>
      <c r="T1751" s="198"/>
      <c r="U1751" s="198"/>
      <c r="V1751" s="198"/>
      <c r="W1751" s="198"/>
      <c r="X1751" s="198"/>
      <c r="Y1751" s="198"/>
      <c r="Z1751" s="198"/>
    </row>
    <row r="1752" spans="1:26" ht="15.75" hidden="1" customHeight="1" x14ac:dyDescent="0.25">
      <c r="A1752" s="213">
        <v>37970</v>
      </c>
      <c r="B1752" s="214" t="s">
        <v>10245</v>
      </c>
      <c r="C1752" s="215" t="s">
        <v>580</v>
      </c>
      <c r="D1752" s="216">
        <v>219.67</v>
      </c>
      <c r="E1752" s="198"/>
      <c r="F1752" s="198"/>
      <c r="G1752" s="198"/>
      <c r="H1752" s="198"/>
      <c r="I1752" s="198"/>
      <c r="J1752" s="198"/>
      <c r="K1752" s="198"/>
      <c r="L1752" s="198"/>
      <c r="M1752" s="198"/>
      <c r="N1752" s="198"/>
      <c r="O1752" s="198"/>
      <c r="P1752" s="198"/>
      <c r="Q1752" s="198"/>
      <c r="R1752" s="198"/>
      <c r="S1752" s="198"/>
      <c r="T1752" s="198"/>
      <c r="U1752" s="198"/>
      <c r="V1752" s="198"/>
      <c r="W1752" s="198"/>
      <c r="X1752" s="198"/>
      <c r="Y1752" s="198"/>
      <c r="Z1752" s="198"/>
    </row>
    <row r="1753" spans="1:26" ht="15.75" hidden="1" customHeight="1" x14ac:dyDescent="0.25">
      <c r="A1753" s="213">
        <v>44251</v>
      </c>
      <c r="B1753" s="214" t="s">
        <v>10246</v>
      </c>
      <c r="C1753" s="215" t="s">
        <v>580</v>
      </c>
      <c r="D1753" s="216">
        <v>253.74</v>
      </c>
      <c r="E1753" s="198"/>
      <c r="F1753" s="198"/>
      <c r="G1753" s="198"/>
      <c r="H1753" s="198"/>
      <c r="I1753" s="198"/>
      <c r="J1753" s="198"/>
      <c r="K1753" s="198"/>
      <c r="L1753" s="198"/>
      <c r="M1753" s="198"/>
      <c r="N1753" s="198"/>
      <c r="O1753" s="198"/>
      <c r="P1753" s="198"/>
      <c r="Q1753" s="198"/>
      <c r="R1753" s="198"/>
      <c r="S1753" s="198"/>
      <c r="T1753" s="198"/>
      <c r="U1753" s="198"/>
      <c r="V1753" s="198"/>
      <c r="W1753" s="198"/>
      <c r="X1753" s="198"/>
      <c r="Y1753" s="198"/>
      <c r="Z1753" s="198"/>
    </row>
    <row r="1754" spans="1:26" ht="15.75" hidden="1" customHeight="1" x14ac:dyDescent="0.25">
      <c r="A1754" s="213">
        <v>21118</v>
      </c>
      <c r="B1754" s="214" t="s">
        <v>10247</v>
      </c>
      <c r="C1754" s="215" t="s">
        <v>580</v>
      </c>
      <c r="D1754" s="216">
        <v>3.95</v>
      </c>
      <c r="E1754" s="198"/>
      <c r="F1754" s="198"/>
      <c r="G1754" s="198"/>
      <c r="H1754" s="198"/>
      <c r="I1754" s="198"/>
      <c r="J1754" s="198"/>
      <c r="K1754" s="198"/>
      <c r="L1754" s="198"/>
      <c r="M1754" s="198"/>
      <c r="N1754" s="198"/>
      <c r="O1754" s="198"/>
      <c r="P1754" s="198"/>
      <c r="Q1754" s="198"/>
      <c r="R1754" s="198"/>
      <c r="S1754" s="198"/>
      <c r="T1754" s="198"/>
      <c r="U1754" s="198"/>
      <c r="V1754" s="198"/>
      <c r="W1754" s="198"/>
      <c r="X1754" s="198"/>
      <c r="Y1754" s="198"/>
      <c r="Z1754" s="198"/>
    </row>
    <row r="1755" spans="1:26" ht="15.75" hidden="1" customHeight="1" x14ac:dyDescent="0.25">
      <c r="A1755" s="213">
        <v>37956</v>
      </c>
      <c r="B1755" s="214" t="s">
        <v>10248</v>
      </c>
      <c r="C1755" s="215" t="s">
        <v>580</v>
      </c>
      <c r="D1755" s="216">
        <v>4.8600000000000003</v>
      </c>
      <c r="E1755" s="198"/>
      <c r="F1755" s="198"/>
      <c r="G1755" s="198"/>
      <c r="H1755" s="198"/>
      <c r="I1755" s="198"/>
      <c r="J1755" s="198"/>
      <c r="K1755" s="198"/>
      <c r="L1755" s="198"/>
      <c r="M1755" s="198"/>
      <c r="N1755" s="198"/>
      <c r="O1755" s="198"/>
      <c r="P1755" s="198"/>
      <c r="Q1755" s="198"/>
      <c r="R1755" s="198"/>
      <c r="S1755" s="198"/>
      <c r="T1755" s="198"/>
      <c r="U1755" s="198"/>
      <c r="V1755" s="198"/>
      <c r="W1755" s="198"/>
      <c r="X1755" s="198"/>
      <c r="Y1755" s="198"/>
      <c r="Z1755" s="198"/>
    </row>
    <row r="1756" spans="1:26" ht="15.75" hidden="1" customHeight="1" x14ac:dyDescent="0.25">
      <c r="A1756" s="213">
        <v>37957</v>
      </c>
      <c r="B1756" s="214" t="s">
        <v>10249</v>
      </c>
      <c r="C1756" s="215" t="s">
        <v>580</v>
      </c>
      <c r="D1756" s="216">
        <v>10.33</v>
      </c>
      <c r="E1756" s="198"/>
      <c r="F1756" s="198"/>
      <c r="G1756" s="198"/>
      <c r="H1756" s="198"/>
      <c r="I1756" s="198"/>
      <c r="J1756" s="198"/>
      <c r="K1756" s="198"/>
      <c r="L1756" s="198"/>
      <c r="M1756" s="198"/>
      <c r="N1756" s="198"/>
      <c r="O1756" s="198"/>
      <c r="P1756" s="198"/>
      <c r="Q1756" s="198"/>
      <c r="R1756" s="198"/>
      <c r="S1756" s="198"/>
      <c r="T1756" s="198"/>
      <c r="U1756" s="198"/>
      <c r="V1756" s="198"/>
      <c r="W1756" s="198"/>
      <c r="X1756" s="198"/>
      <c r="Y1756" s="198"/>
      <c r="Z1756" s="198"/>
    </row>
    <row r="1757" spans="1:26" ht="15.75" hidden="1" customHeight="1" x14ac:dyDescent="0.25">
      <c r="A1757" s="213">
        <v>37958</v>
      </c>
      <c r="B1757" s="214" t="s">
        <v>10250</v>
      </c>
      <c r="C1757" s="215" t="s">
        <v>580</v>
      </c>
      <c r="D1757" s="216">
        <v>18.68</v>
      </c>
      <c r="E1757" s="198"/>
      <c r="F1757" s="198"/>
      <c r="G1757" s="198"/>
      <c r="H1757" s="198"/>
      <c r="I1757" s="198"/>
      <c r="J1757" s="198"/>
      <c r="K1757" s="198"/>
      <c r="L1757" s="198"/>
      <c r="M1757" s="198"/>
      <c r="N1757" s="198"/>
      <c r="O1757" s="198"/>
      <c r="P1757" s="198"/>
      <c r="Q1757" s="198"/>
      <c r="R1757" s="198"/>
      <c r="S1757" s="198"/>
      <c r="T1757" s="198"/>
      <c r="U1757" s="198"/>
      <c r="V1757" s="198"/>
      <c r="W1757" s="198"/>
      <c r="X1757" s="198"/>
      <c r="Y1757" s="198"/>
      <c r="Z1757" s="198"/>
    </row>
    <row r="1758" spans="1:26" ht="15.75" hidden="1" customHeight="1" x14ac:dyDescent="0.25">
      <c r="A1758" s="213">
        <v>37959</v>
      </c>
      <c r="B1758" s="214" t="s">
        <v>10251</v>
      </c>
      <c r="C1758" s="215" t="s">
        <v>580</v>
      </c>
      <c r="D1758" s="216">
        <v>28.75</v>
      </c>
      <c r="E1758" s="198"/>
      <c r="F1758" s="198"/>
      <c r="G1758" s="198"/>
      <c r="H1758" s="198"/>
      <c r="I1758" s="198"/>
      <c r="J1758" s="198"/>
      <c r="K1758" s="198"/>
      <c r="L1758" s="198"/>
      <c r="M1758" s="198"/>
      <c r="N1758" s="198"/>
      <c r="O1758" s="198"/>
      <c r="P1758" s="198"/>
      <c r="Q1758" s="198"/>
      <c r="R1758" s="198"/>
      <c r="S1758" s="198"/>
      <c r="T1758" s="198"/>
      <c r="U1758" s="198"/>
      <c r="V1758" s="198"/>
      <c r="W1758" s="198"/>
      <c r="X1758" s="198"/>
      <c r="Y1758" s="198"/>
      <c r="Z1758" s="198"/>
    </row>
    <row r="1759" spans="1:26" ht="15.75" hidden="1" customHeight="1" x14ac:dyDescent="0.25">
      <c r="A1759" s="213">
        <v>37960</v>
      </c>
      <c r="B1759" s="214" t="s">
        <v>10252</v>
      </c>
      <c r="C1759" s="215" t="s">
        <v>580</v>
      </c>
      <c r="D1759" s="216">
        <v>73.47</v>
      </c>
      <c r="E1759" s="198"/>
      <c r="F1759" s="198"/>
      <c r="G1759" s="198"/>
      <c r="H1759" s="198"/>
      <c r="I1759" s="198"/>
      <c r="J1759" s="198"/>
      <c r="K1759" s="198"/>
      <c r="L1759" s="198"/>
      <c r="M1759" s="198"/>
      <c r="N1759" s="198"/>
      <c r="O1759" s="198"/>
      <c r="P1759" s="198"/>
      <c r="Q1759" s="198"/>
      <c r="R1759" s="198"/>
      <c r="S1759" s="198"/>
      <c r="T1759" s="198"/>
      <c r="U1759" s="198"/>
      <c r="V1759" s="198"/>
      <c r="W1759" s="198"/>
      <c r="X1759" s="198"/>
      <c r="Y1759" s="198"/>
      <c r="Z1759" s="198"/>
    </row>
    <row r="1760" spans="1:26" ht="15.75" hidden="1" customHeight="1" x14ac:dyDescent="0.25">
      <c r="A1760" s="213">
        <v>37961</v>
      </c>
      <c r="B1760" s="214" t="s">
        <v>10253</v>
      </c>
      <c r="C1760" s="215" t="s">
        <v>580</v>
      </c>
      <c r="D1760" s="216">
        <v>157.88999999999999</v>
      </c>
      <c r="E1760" s="198"/>
      <c r="F1760" s="198"/>
      <c r="G1760" s="198"/>
      <c r="H1760" s="198"/>
      <c r="I1760" s="198"/>
      <c r="J1760" s="198"/>
      <c r="K1760" s="198"/>
      <c r="L1760" s="198"/>
      <c r="M1760" s="198"/>
      <c r="N1760" s="198"/>
      <c r="O1760" s="198"/>
      <c r="P1760" s="198"/>
      <c r="Q1760" s="198"/>
      <c r="R1760" s="198"/>
      <c r="S1760" s="198"/>
      <c r="T1760" s="198"/>
      <c r="U1760" s="198"/>
      <c r="V1760" s="198"/>
      <c r="W1760" s="198"/>
      <c r="X1760" s="198"/>
      <c r="Y1760" s="198"/>
      <c r="Z1760" s="198"/>
    </row>
    <row r="1761" spans="1:26" ht="15.75" hidden="1" customHeight="1" x14ac:dyDescent="0.25">
      <c r="A1761" s="213">
        <v>37962</v>
      </c>
      <c r="B1761" s="214" t="s">
        <v>10254</v>
      </c>
      <c r="C1761" s="215" t="s">
        <v>580</v>
      </c>
      <c r="D1761" s="216">
        <v>182.02</v>
      </c>
      <c r="E1761" s="198"/>
      <c r="F1761" s="198"/>
      <c r="G1761" s="198"/>
      <c r="H1761" s="198"/>
      <c r="I1761" s="198"/>
      <c r="J1761" s="198"/>
      <c r="K1761" s="198"/>
      <c r="L1761" s="198"/>
      <c r="M1761" s="198"/>
      <c r="N1761" s="198"/>
      <c r="O1761" s="198"/>
      <c r="P1761" s="198"/>
      <c r="Q1761" s="198"/>
      <c r="R1761" s="198"/>
      <c r="S1761" s="198"/>
      <c r="T1761" s="198"/>
      <c r="U1761" s="198"/>
      <c r="V1761" s="198"/>
      <c r="W1761" s="198"/>
      <c r="X1761" s="198"/>
      <c r="Y1761" s="198"/>
      <c r="Z1761" s="198"/>
    </row>
    <row r="1762" spans="1:26" ht="15.75" hidden="1" customHeight="1" x14ac:dyDescent="0.25">
      <c r="A1762" s="213">
        <v>3533</v>
      </c>
      <c r="B1762" s="214" t="s">
        <v>10255</v>
      </c>
      <c r="C1762" s="215" t="s">
        <v>580</v>
      </c>
      <c r="D1762" s="216">
        <v>2.2999999999999998</v>
      </c>
      <c r="E1762" s="198"/>
      <c r="F1762" s="198"/>
      <c r="G1762" s="198"/>
      <c r="H1762" s="198"/>
      <c r="I1762" s="198"/>
      <c r="J1762" s="198"/>
      <c r="K1762" s="198"/>
      <c r="L1762" s="198"/>
      <c r="M1762" s="198"/>
      <c r="N1762" s="198"/>
      <c r="O1762" s="198"/>
      <c r="P1762" s="198"/>
      <c r="Q1762" s="198"/>
      <c r="R1762" s="198"/>
      <c r="S1762" s="198"/>
      <c r="T1762" s="198"/>
      <c r="U1762" s="198"/>
      <c r="V1762" s="198"/>
      <c r="W1762" s="198"/>
      <c r="X1762" s="198"/>
      <c r="Y1762" s="198"/>
      <c r="Z1762" s="198"/>
    </row>
    <row r="1763" spans="1:26" ht="15.75" hidden="1" customHeight="1" x14ac:dyDescent="0.25">
      <c r="A1763" s="213">
        <v>3538</v>
      </c>
      <c r="B1763" s="214" t="s">
        <v>10256</v>
      </c>
      <c r="C1763" s="215" t="s">
        <v>580</v>
      </c>
      <c r="D1763" s="216">
        <v>4.3600000000000003</v>
      </c>
      <c r="E1763" s="198"/>
      <c r="F1763" s="198"/>
      <c r="G1763" s="198"/>
      <c r="H1763" s="198"/>
      <c r="I1763" s="198"/>
      <c r="J1763" s="198"/>
      <c r="K1763" s="198"/>
      <c r="L1763" s="198"/>
      <c r="M1763" s="198"/>
      <c r="N1763" s="198"/>
      <c r="O1763" s="198"/>
      <c r="P1763" s="198"/>
      <c r="Q1763" s="198"/>
      <c r="R1763" s="198"/>
      <c r="S1763" s="198"/>
      <c r="T1763" s="198"/>
      <c r="U1763" s="198"/>
      <c r="V1763" s="198"/>
      <c r="W1763" s="198"/>
      <c r="X1763" s="198"/>
      <c r="Y1763" s="198"/>
      <c r="Z1763" s="198"/>
    </row>
    <row r="1764" spans="1:26" ht="15.75" hidden="1" customHeight="1" x14ac:dyDescent="0.25">
      <c r="A1764" s="213">
        <v>3498</v>
      </c>
      <c r="B1764" s="214" t="s">
        <v>10257</v>
      </c>
      <c r="C1764" s="215" t="s">
        <v>580</v>
      </c>
      <c r="D1764" s="216">
        <v>4.2300000000000004</v>
      </c>
      <c r="E1764" s="198"/>
      <c r="F1764" s="198"/>
      <c r="G1764" s="198"/>
      <c r="H1764" s="198"/>
      <c r="I1764" s="198"/>
      <c r="J1764" s="198"/>
      <c r="K1764" s="198"/>
      <c r="L1764" s="198"/>
      <c r="M1764" s="198"/>
      <c r="N1764" s="198"/>
      <c r="O1764" s="198"/>
      <c r="P1764" s="198"/>
      <c r="Q1764" s="198"/>
      <c r="R1764" s="198"/>
      <c r="S1764" s="198"/>
      <c r="T1764" s="198"/>
      <c r="U1764" s="198"/>
      <c r="V1764" s="198"/>
      <c r="W1764" s="198"/>
      <c r="X1764" s="198"/>
      <c r="Y1764" s="198"/>
      <c r="Z1764" s="198"/>
    </row>
    <row r="1765" spans="1:26" ht="15.75" hidden="1" customHeight="1" x14ac:dyDescent="0.25">
      <c r="A1765" s="213">
        <v>3496</v>
      </c>
      <c r="B1765" s="214" t="s">
        <v>10258</v>
      </c>
      <c r="C1765" s="215" t="s">
        <v>580</v>
      </c>
      <c r="D1765" s="216">
        <v>2.83</v>
      </c>
      <c r="E1765" s="198"/>
      <c r="F1765" s="198"/>
      <c r="G1765" s="198"/>
      <c r="H1765" s="198"/>
      <c r="I1765" s="198"/>
      <c r="J1765" s="198"/>
      <c r="K1765" s="198"/>
      <c r="L1765" s="198"/>
      <c r="M1765" s="198"/>
      <c r="N1765" s="198"/>
      <c r="O1765" s="198"/>
      <c r="P1765" s="198"/>
      <c r="Q1765" s="198"/>
      <c r="R1765" s="198"/>
      <c r="S1765" s="198"/>
      <c r="T1765" s="198"/>
      <c r="U1765" s="198"/>
      <c r="V1765" s="198"/>
      <c r="W1765" s="198"/>
      <c r="X1765" s="198"/>
      <c r="Y1765" s="198"/>
      <c r="Z1765" s="198"/>
    </row>
    <row r="1766" spans="1:26" ht="15.75" hidden="1" customHeight="1" x14ac:dyDescent="0.25">
      <c r="A1766" s="213">
        <v>38429</v>
      </c>
      <c r="B1766" s="214" t="s">
        <v>10259</v>
      </c>
      <c r="C1766" s="215" t="s">
        <v>580</v>
      </c>
      <c r="D1766" s="216">
        <v>13.44</v>
      </c>
      <c r="E1766" s="198"/>
      <c r="F1766" s="198"/>
      <c r="G1766" s="198"/>
      <c r="H1766" s="198"/>
      <c r="I1766" s="198"/>
      <c r="J1766" s="198"/>
      <c r="K1766" s="198"/>
      <c r="L1766" s="198"/>
      <c r="M1766" s="198"/>
      <c r="N1766" s="198"/>
      <c r="O1766" s="198"/>
      <c r="P1766" s="198"/>
      <c r="Q1766" s="198"/>
      <c r="R1766" s="198"/>
      <c r="S1766" s="198"/>
      <c r="T1766" s="198"/>
      <c r="U1766" s="198"/>
      <c r="V1766" s="198"/>
      <c r="W1766" s="198"/>
      <c r="X1766" s="198"/>
      <c r="Y1766" s="198"/>
      <c r="Z1766" s="198"/>
    </row>
    <row r="1767" spans="1:26" ht="15.75" hidden="1" customHeight="1" x14ac:dyDescent="0.25">
      <c r="A1767" s="213">
        <v>38431</v>
      </c>
      <c r="B1767" s="214" t="s">
        <v>10260</v>
      </c>
      <c r="C1767" s="215" t="s">
        <v>580</v>
      </c>
      <c r="D1767" s="216">
        <v>16.86</v>
      </c>
      <c r="E1767" s="198"/>
      <c r="F1767" s="198"/>
      <c r="G1767" s="198"/>
      <c r="H1767" s="198"/>
      <c r="I1767" s="198"/>
      <c r="J1767" s="198"/>
      <c r="K1767" s="198"/>
      <c r="L1767" s="198"/>
      <c r="M1767" s="198"/>
      <c r="N1767" s="198"/>
      <c r="O1767" s="198"/>
      <c r="P1767" s="198"/>
      <c r="Q1767" s="198"/>
      <c r="R1767" s="198"/>
      <c r="S1767" s="198"/>
      <c r="T1767" s="198"/>
      <c r="U1767" s="198"/>
      <c r="V1767" s="198"/>
      <c r="W1767" s="198"/>
      <c r="X1767" s="198"/>
      <c r="Y1767" s="198"/>
      <c r="Z1767" s="198"/>
    </row>
    <row r="1768" spans="1:26" ht="15.75" hidden="1" customHeight="1" x14ac:dyDescent="0.25">
      <c r="A1768" s="213">
        <v>38430</v>
      </c>
      <c r="B1768" s="214" t="s">
        <v>10261</v>
      </c>
      <c r="C1768" s="215" t="s">
        <v>580</v>
      </c>
      <c r="D1768" s="216">
        <v>26.14</v>
      </c>
      <c r="E1768" s="198"/>
      <c r="F1768" s="198"/>
      <c r="G1768" s="198"/>
      <c r="H1768" s="198"/>
      <c r="I1768" s="198"/>
      <c r="J1768" s="198"/>
      <c r="K1768" s="198"/>
      <c r="L1768" s="198"/>
      <c r="M1768" s="198"/>
      <c r="N1768" s="198"/>
      <c r="O1768" s="198"/>
      <c r="P1768" s="198"/>
      <c r="Q1768" s="198"/>
      <c r="R1768" s="198"/>
      <c r="S1768" s="198"/>
      <c r="T1768" s="198"/>
      <c r="U1768" s="198"/>
      <c r="V1768" s="198"/>
      <c r="W1768" s="198"/>
      <c r="X1768" s="198"/>
      <c r="Y1768" s="198"/>
      <c r="Z1768" s="198"/>
    </row>
    <row r="1769" spans="1:26" ht="15.75" hidden="1" customHeight="1" x14ac:dyDescent="0.25">
      <c r="A1769" s="213">
        <v>36348</v>
      </c>
      <c r="B1769" s="214" t="s">
        <v>10262</v>
      </c>
      <c r="C1769" s="215" t="s">
        <v>580</v>
      </c>
      <c r="D1769" s="216">
        <v>2.64</v>
      </c>
      <c r="E1769" s="198"/>
      <c r="F1769" s="198"/>
      <c r="G1769" s="198"/>
      <c r="H1769" s="198"/>
      <c r="I1769" s="198"/>
      <c r="J1769" s="198"/>
      <c r="K1769" s="198"/>
      <c r="L1769" s="198"/>
      <c r="M1769" s="198"/>
      <c r="N1769" s="198"/>
      <c r="O1769" s="198"/>
      <c r="P1769" s="198"/>
      <c r="Q1769" s="198"/>
      <c r="R1769" s="198"/>
      <c r="S1769" s="198"/>
      <c r="T1769" s="198"/>
      <c r="U1769" s="198"/>
      <c r="V1769" s="198"/>
      <c r="W1769" s="198"/>
      <c r="X1769" s="198"/>
      <c r="Y1769" s="198"/>
      <c r="Z1769" s="198"/>
    </row>
    <row r="1770" spans="1:26" ht="15.75" hidden="1" customHeight="1" x14ac:dyDescent="0.25">
      <c r="A1770" s="213">
        <v>36349</v>
      </c>
      <c r="B1770" s="214" t="s">
        <v>10263</v>
      </c>
      <c r="C1770" s="215" t="s">
        <v>580</v>
      </c>
      <c r="D1770" s="216">
        <v>3.64</v>
      </c>
      <c r="E1770" s="198"/>
      <c r="F1770" s="198"/>
      <c r="G1770" s="198"/>
      <c r="H1770" s="198"/>
      <c r="I1770" s="198"/>
      <c r="J1770" s="198"/>
      <c r="K1770" s="198"/>
      <c r="L1770" s="198"/>
      <c r="M1770" s="198"/>
      <c r="N1770" s="198"/>
      <c r="O1770" s="198"/>
      <c r="P1770" s="198"/>
      <c r="Q1770" s="198"/>
      <c r="R1770" s="198"/>
      <c r="S1770" s="198"/>
      <c r="T1770" s="198"/>
      <c r="U1770" s="198"/>
      <c r="V1770" s="198"/>
      <c r="W1770" s="198"/>
      <c r="X1770" s="198"/>
      <c r="Y1770" s="198"/>
      <c r="Z1770" s="198"/>
    </row>
    <row r="1771" spans="1:26" ht="15.75" hidden="1" customHeight="1" x14ac:dyDescent="0.25">
      <c r="A1771" s="213">
        <v>38987</v>
      </c>
      <c r="B1771" s="214" t="s">
        <v>10264</v>
      </c>
      <c r="C1771" s="215" t="s">
        <v>580</v>
      </c>
      <c r="D1771" s="216">
        <v>17.510000000000002</v>
      </c>
      <c r="E1771" s="198"/>
      <c r="F1771" s="198"/>
      <c r="G1771" s="198"/>
      <c r="H1771" s="198"/>
      <c r="I1771" s="198"/>
      <c r="J1771" s="198"/>
      <c r="K1771" s="198"/>
      <c r="L1771" s="198"/>
      <c r="M1771" s="198"/>
      <c r="N1771" s="198"/>
      <c r="O1771" s="198"/>
      <c r="P1771" s="198"/>
      <c r="Q1771" s="198"/>
      <c r="R1771" s="198"/>
      <c r="S1771" s="198"/>
      <c r="T1771" s="198"/>
      <c r="U1771" s="198"/>
      <c r="V1771" s="198"/>
      <c r="W1771" s="198"/>
      <c r="X1771" s="198"/>
      <c r="Y1771" s="198"/>
      <c r="Z1771" s="198"/>
    </row>
    <row r="1772" spans="1:26" ht="15.75" hidden="1" customHeight="1" x14ac:dyDescent="0.25">
      <c r="A1772" s="213">
        <v>38988</v>
      </c>
      <c r="B1772" s="214" t="s">
        <v>10265</v>
      </c>
      <c r="C1772" s="215" t="s">
        <v>580</v>
      </c>
      <c r="D1772" s="216">
        <v>28.53</v>
      </c>
      <c r="E1772" s="198"/>
      <c r="F1772" s="198"/>
      <c r="G1772" s="198"/>
      <c r="H1772" s="198"/>
      <c r="I1772" s="198"/>
      <c r="J1772" s="198"/>
      <c r="K1772" s="198"/>
      <c r="L1772" s="198"/>
      <c r="M1772" s="198"/>
      <c r="N1772" s="198"/>
      <c r="O1772" s="198"/>
      <c r="P1772" s="198"/>
      <c r="Q1772" s="198"/>
      <c r="R1772" s="198"/>
      <c r="S1772" s="198"/>
      <c r="T1772" s="198"/>
      <c r="U1772" s="198"/>
      <c r="V1772" s="198"/>
      <c r="W1772" s="198"/>
      <c r="X1772" s="198"/>
      <c r="Y1772" s="198"/>
      <c r="Z1772" s="198"/>
    </row>
    <row r="1773" spans="1:26" ht="15.75" hidden="1" customHeight="1" x14ac:dyDescent="0.25">
      <c r="A1773" s="213">
        <v>38989</v>
      </c>
      <c r="B1773" s="214" t="s">
        <v>10266</v>
      </c>
      <c r="C1773" s="215" t="s">
        <v>580</v>
      </c>
      <c r="D1773" s="216">
        <v>48.01</v>
      </c>
      <c r="E1773" s="198"/>
      <c r="F1773" s="198"/>
      <c r="G1773" s="198"/>
      <c r="H1773" s="198"/>
      <c r="I1773" s="198"/>
      <c r="J1773" s="198"/>
      <c r="K1773" s="198"/>
      <c r="L1773" s="198"/>
      <c r="M1773" s="198"/>
      <c r="N1773" s="198"/>
      <c r="O1773" s="198"/>
      <c r="P1773" s="198"/>
      <c r="Q1773" s="198"/>
      <c r="R1773" s="198"/>
      <c r="S1773" s="198"/>
      <c r="T1773" s="198"/>
      <c r="U1773" s="198"/>
      <c r="V1773" s="198"/>
      <c r="W1773" s="198"/>
      <c r="X1773" s="198"/>
      <c r="Y1773" s="198"/>
      <c r="Z1773" s="198"/>
    </row>
    <row r="1774" spans="1:26" ht="15.75" hidden="1" customHeight="1" x14ac:dyDescent="0.25">
      <c r="A1774" s="213">
        <v>38990</v>
      </c>
      <c r="B1774" s="214" t="s">
        <v>10267</v>
      </c>
      <c r="C1774" s="215" t="s">
        <v>580</v>
      </c>
      <c r="D1774" s="216">
        <v>95.94</v>
      </c>
      <c r="E1774" s="198"/>
      <c r="F1774" s="198"/>
      <c r="G1774" s="198"/>
      <c r="H1774" s="198"/>
      <c r="I1774" s="198"/>
      <c r="J1774" s="198"/>
      <c r="K1774" s="198"/>
      <c r="L1774" s="198"/>
      <c r="M1774" s="198"/>
      <c r="N1774" s="198"/>
      <c r="O1774" s="198"/>
      <c r="P1774" s="198"/>
      <c r="Q1774" s="198"/>
      <c r="R1774" s="198"/>
      <c r="S1774" s="198"/>
      <c r="T1774" s="198"/>
      <c r="U1774" s="198"/>
      <c r="V1774" s="198"/>
      <c r="W1774" s="198"/>
      <c r="X1774" s="198"/>
      <c r="Y1774" s="198"/>
      <c r="Z1774" s="198"/>
    </row>
    <row r="1775" spans="1:26" ht="15.75" hidden="1" customHeight="1" x14ac:dyDescent="0.25">
      <c r="A1775" s="213">
        <v>38991</v>
      </c>
      <c r="B1775" s="214" t="s">
        <v>10268</v>
      </c>
      <c r="C1775" s="215" t="s">
        <v>580</v>
      </c>
      <c r="D1775" s="216">
        <v>172.64</v>
      </c>
      <c r="E1775" s="198"/>
      <c r="F1775" s="198"/>
      <c r="G1775" s="198"/>
      <c r="H1775" s="198"/>
      <c r="I1775" s="198"/>
      <c r="J1775" s="198"/>
      <c r="K1775" s="198"/>
      <c r="L1775" s="198"/>
      <c r="M1775" s="198"/>
      <c r="N1775" s="198"/>
      <c r="O1775" s="198"/>
      <c r="P1775" s="198"/>
      <c r="Q1775" s="198"/>
      <c r="R1775" s="198"/>
      <c r="S1775" s="198"/>
      <c r="T1775" s="198"/>
      <c r="U1775" s="198"/>
      <c r="V1775" s="198"/>
      <c r="W1775" s="198"/>
      <c r="X1775" s="198"/>
      <c r="Y1775" s="198"/>
      <c r="Z1775" s="198"/>
    </row>
    <row r="1776" spans="1:26" ht="15.75" hidden="1" customHeight="1" x14ac:dyDescent="0.25">
      <c r="A1776" s="213">
        <v>38433</v>
      </c>
      <c r="B1776" s="214" t="s">
        <v>10269</v>
      </c>
      <c r="C1776" s="215" t="s">
        <v>580</v>
      </c>
      <c r="D1776" s="216">
        <v>8.92</v>
      </c>
      <c r="E1776" s="198"/>
      <c r="F1776" s="198"/>
      <c r="G1776" s="198"/>
      <c r="H1776" s="198"/>
      <c r="I1776" s="198"/>
      <c r="J1776" s="198"/>
      <c r="K1776" s="198"/>
      <c r="L1776" s="198"/>
      <c r="M1776" s="198"/>
      <c r="N1776" s="198"/>
      <c r="O1776" s="198"/>
      <c r="P1776" s="198"/>
      <c r="Q1776" s="198"/>
      <c r="R1776" s="198"/>
      <c r="S1776" s="198"/>
      <c r="T1776" s="198"/>
      <c r="U1776" s="198"/>
      <c r="V1776" s="198"/>
      <c r="W1776" s="198"/>
      <c r="X1776" s="198"/>
      <c r="Y1776" s="198"/>
      <c r="Z1776" s="198"/>
    </row>
    <row r="1777" spans="1:26" ht="15.75" hidden="1" customHeight="1" x14ac:dyDescent="0.25">
      <c r="A1777" s="213">
        <v>38440</v>
      </c>
      <c r="B1777" s="214" t="s">
        <v>10270</v>
      </c>
      <c r="C1777" s="215" t="s">
        <v>580</v>
      </c>
      <c r="D1777" s="216">
        <v>376.24</v>
      </c>
      <c r="E1777" s="198"/>
      <c r="F1777" s="198"/>
      <c r="G1777" s="198"/>
      <c r="H1777" s="198"/>
      <c r="I1777" s="198"/>
      <c r="J1777" s="198"/>
      <c r="K1777" s="198"/>
      <c r="L1777" s="198"/>
      <c r="M1777" s="198"/>
      <c r="N1777" s="198"/>
      <c r="O1777" s="198"/>
      <c r="P1777" s="198"/>
      <c r="Q1777" s="198"/>
      <c r="R1777" s="198"/>
      <c r="S1777" s="198"/>
      <c r="T1777" s="198"/>
      <c r="U1777" s="198"/>
      <c r="V1777" s="198"/>
      <c r="W1777" s="198"/>
      <c r="X1777" s="198"/>
      <c r="Y1777" s="198"/>
      <c r="Z1777" s="198"/>
    </row>
    <row r="1778" spans="1:26" ht="15.75" hidden="1" customHeight="1" x14ac:dyDescent="0.25">
      <c r="A1778" s="213">
        <v>36359</v>
      </c>
      <c r="B1778" s="214" t="s">
        <v>10271</v>
      </c>
      <c r="C1778" s="215" t="s">
        <v>580</v>
      </c>
      <c r="D1778" s="216">
        <v>2.35</v>
      </c>
      <c r="E1778" s="198"/>
      <c r="F1778" s="198"/>
      <c r="G1778" s="198"/>
      <c r="H1778" s="198"/>
      <c r="I1778" s="198"/>
      <c r="J1778" s="198"/>
      <c r="K1778" s="198"/>
      <c r="L1778" s="198"/>
      <c r="M1778" s="198"/>
      <c r="N1778" s="198"/>
      <c r="O1778" s="198"/>
      <c r="P1778" s="198"/>
      <c r="Q1778" s="198"/>
      <c r="R1778" s="198"/>
      <c r="S1778" s="198"/>
      <c r="T1778" s="198"/>
      <c r="U1778" s="198"/>
      <c r="V1778" s="198"/>
      <c r="W1778" s="198"/>
      <c r="X1778" s="198"/>
      <c r="Y1778" s="198"/>
      <c r="Z1778" s="198"/>
    </row>
    <row r="1779" spans="1:26" ht="15.75" hidden="1" customHeight="1" x14ac:dyDescent="0.25">
      <c r="A1779" s="213">
        <v>36360</v>
      </c>
      <c r="B1779" s="214" t="s">
        <v>10272</v>
      </c>
      <c r="C1779" s="215" t="s">
        <v>580</v>
      </c>
      <c r="D1779" s="216">
        <v>3.15</v>
      </c>
      <c r="E1779" s="198"/>
      <c r="F1779" s="198"/>
      <c r="G1779" s="198"/>
      <c r="H1779" s="198"/>
      <c r="I1779" s="198"/>
      <c r="J1779" s="198"/>
      <c r="K1779" s="198"/>
      <c r="L1779" s="198"/>
      <c r="M1779" s="198"/>
      <c r="N1779" s="198"/>
      <c r="O1779" s="198"/>
      <c r="P1779" s="198"/>
      <c r="Q1779" s="198"/>
      <c r="R1779" s="198"/>
      <c r="S1779" s="198"/>
      <c r="T1779" s="198"/>
      <c r="U1779" s="198"/>
      <c r="V1779" s="198"/>
      <c r="W1779" s="198"/>
      <c r="X1779" s="198"/>
      <c r="Y1779" s="198"/>
      <c r="Z1779" s="198"/>
    </row>
    <row r="1780" spans="1:26" ht="15.75" hidden="1" customHeight="1" x14ac:dyDescent="0.25">
      <c r="A1780" s="213">
        <v>38434</v>
      </c>
      <c r="B1780" s="214" t="s">
        <v>10273</v>
      </c>
      <c r="C1780" s="215" t="s">
        <v>580</v>
      </c>
      <c r="D1780" s="216">
        <v>4.8099999999999996</v>
      </c>
      <c r="E1780" s="198"/>
      <c r="F1780" s="198"/>
      <c r="G1780" s="198"/>
      <c r="H1780" s="198"/>
      <c r="I1780" s="198"/>
      <c r="J1780" s="198"/>
      <c r="K1780" s="198"/>
      <c r="L1780" s="198"/>
      <c r="M1780" s="198"/>
      <c r="N1780" s="198"/>
      <c r="O1780" s="198"/>
      <c r="P1780" s="198"/>
      <c r="Q1780" s="198"/>
      <c r="R1780" s="198"/>
      <c r="S1780" s="198"/>
      <c r="T1780" s="198"/>
      <c r="U1780" s="198"/>
      <c r="V1780" s="198"/>
      <c r="W1780" s="198"/>
      <c r="X1780" s="198"/>
      <c r="Y1780" s="198"/>
      <c r="Z1780" s="198"/>
    </row>
    <row r="1781" spans="1:26" ht="15.75" hidden="1" customHeight="1" x14ac:dyDescent="0.25">
      <c r="A1781" s="213">
        <v>38435</v>
      </c>
      <c r="B1781" s="214" t="s">
        <v>10274</v>
      </c>
      <c r="C1781" s="215" t="s">
        <v>580</v>
      </c>
      <c r="D1781" s="216">
        <v>10.82</v>
      </c>
      <c r="E1781" s="198"/>
      <c r="F1781" s="198"/>
      <c r="G1781" s="198"/>
      <c r="H1781" s="198"/>
      <c r="I1781" s="198"/>
      <c r="J1781" s="198"/>
      <c r="K1781" s="198"/>
      <c r="L1781" s="198"/>
      <c r="M1781" s="198"/>
      <c r="N1781" s="198"/>
      <c r="O1781" s="198"/>
      <c r="P1781" s="198"/>
      <c r="Q1781" s="198"/>
      <c r="R1781" s="198"/>
      <c r="S1781" s="198"/>
      <c r="T1781" s="198"/>
      <c r="U1781" s="198"/>
      <c r="V1781" s="198"/>
      <c r="W1781" s="198"/>
      <c r="X1781" s="198"/>
      <c r="Y1781" s="198"/>
      <c r="Z1781" s="198"/>
    </row>
    <row r="1782" spans="1:26" ht="15.75" hidden="1" customHeight="1" x14ac:dyDescent="0.25">
      <c r="A1782" s="213">
        <v>38436</v>
      </c>
      <c r="B1782" s="214" t="s">
        <v>10275</v>
      </c>
      <c r="C1782" s="215" t="s">
        <v>580</v>
      </c>
      <c r="D1782" s="216">
        <v>17.940000000000001</v>
      </c>
      <c r="E1782" s="198"/>
      <c r="F1782" s="198"/>
      <c r="G1782" s="198"/>
      <c r="H1782" s="198"/>
      <c r="I1782" s="198"/>
      <c r="J1782" s="198"/>
      <c r="K1782" s="198"/>
      <c r="L1782" s="198"/>
      <c r="M1782" s="198"/>
      <c r="N1782" s="198"/>
      <c r="O1782" s="198"/>
      <c r="P1782" s="198"/>
      <c r="Q1782" s="198"/>
      <c r="R1782" s="198"/>
      <c r="S1782" s="198"/>
      <c r="T1782" s="198"/>
      <c r="U1782" s="198"/>
      <c r="V1782" s="198"/>
      <c r="W1782" s="198"/>
      <c r="X1782" s="198"/>
      <c r="Y1782" s="198"/>
      <c r="Z1782" s="198"/>
    </row>
    <row r="1783" spans="1:26" ht="15.75" hidden="1" customHeight="1" x14ac:dyDescent="0.25">
      <c r="A1783" s="213">
        <v>38437</v>
      </c>
      <c r="B1783" s="214" t="s">
        <v>10276</v>
      </c>
      <c r="C1783" s="215" t="s">
        <v>580</v>
      </c>
      <c r="D1783" s="216">
        <v>29.1</v>
      </c>
      <c r="E1783" s="198"/>
      <c r="F1783" s="198"/>
      <c r="G1783" s="198"/>
      <c r="H1783" s="198"/>
      <c r="I1783" s="198"/>
      <c r="J1783" s="198"/>
      <c r="K1783" s="198"/>
      <c r="L1783" s="198"/>
      <c r="M1783" s="198"/>
      <c r="N1783" s="198"/>
      <c r="O1783" s="198"/>
      <c r="P1783" s="198"/>
      <c r="Q1783" s="198"/>
      <c r="R1783" s="198"/>
      <c r="S1783" s="198"/>
      <c r="T1783" s="198"/>
      <c r="U1783" s="198"/>
      <c r="V1783" s="198"/>
      <c r="W1783" s="198"/>
      <c r="X1783" s="198"/>
      <c r="Y1783" s="198"/>
      <c r="Z1783" s="198"/>
    </row>
    <row r="1784" spans="1:26" ht="15.75" hidden="1" customHeight="1" x14ac:dyDescent="0.25">
      <c r="A1784" s="213">
        <v>38438</v>
      </c>
      <c r="B1784" s="214" t="s">
        <v>10277</v>
      </c>
      <c r="C1784" s="215" t="s">
        <v>580</v>
      </c>
      <c r="D1784" s="216">
        <v>84.4</v>
      </c>
      <c r="E1784" s="198"/>
      <c r="F1784" s="198"/>
      <c r="G1784" s="198"/>
      <c r="H1784" s="198"/>
      <c r="I1784" s="198"/>
      <c r="J1784" s="198"/>
      <c r="K1784" s="198"/>
      <c r="L1784" s="198"/>
      <c r="M1784" s="198"/>
      <c r="N1784" s="198"/>
      <c r="O1784" s="198"/>
      <c r="P1784" s="198"/>
      <c r="Q1784" s="198"/>
      <c r="R1784" s="198"/>
      <c r="S1784" s="198"/>
      <c r="T1784" s="198"/>
      <c r="U1784" s="198"/>
      <c r="V1784" s="198"/>
      <c r="W1784" s="198"/>
      <c r="X1784" s="198"/>
      <c r="Y1784" s="198"/>
      <c r="Z1784" s="198"/>
    </row>
    <row r="1785" spans="1:26" ht="15.75" hidden="1" customHeight="1" x14ac:dyDescent="0.25">
      <c r="A1785" s="213">
        <v>38439</v>
      </c>
      <c r="B1785" s="214" t="s">
        <v>10278</v>
      </c>
      <c r="C1785" s="215" t="s">
        <v>580</v>
      </c>
      <c r="D1785" s="216">
        <v>107.25</v>
      </c>
      <c r="E1785" s="198"/>
      <c r="F1785" s="198"/>
      <c r="G1785" s="198"/>
      <c r="H1785" s="198"/>
      <c r="I1785" s="198"/>
      <c r="J1785" s="198"/>
      <c r="K1785" s="198"/>
      <c r="L1785" s="198"/>
      <c r="M1785" s="198"/>
      <c r="N1785" s="198"/>
      <c r="O1785" s="198"/>
      <c r="P1785" s="198"/>
      <c r="Q1785" s="198"/>
      <c r="R1785" s="198"/>
      <c r="S1785" s="198"/>
      <c r="T1785" s="198"/>
      <c r="U1785" s="198"/>
      <c r="V1785" s="198"/>
      <c r="W1785" s="198"/>
      <c r="X1785" s="198"/>
      <c r="Y1785" s="198"/>
      <c r="Z1785" s="198"/>
    </row>
    <row r="1786" spans="1:26" ht="15.75" hidden="1" customHeight="1" x14ac:dyDescent="0.25">
      <c r="A1786" s="213">
        <v>10836</v>
      </c>
      <c r="B1786" s="214" t="s">
        <v>10279</v>
      </c>
      <c r="C1786" s="215" t="s">
        <v>580</v>
      </c>
      <c r="D1786" s="216">
        <v>19.579999999999998</v>
      </c>
      <c r="E1786" s="198"/>
      <c r="F1786" s="198"/>
      <c r="G1786" s="198"/>
      <c r="H1786" s="198"/>
      <c r="I1786" s="198"/>
      <c r="J1786" s="198"/>
      <c r="K1786" s="198"/>
      <c r="L1786" s="198"/>
      <c r="M1786" s="198"/>
      <c r="N1786" s="198"/>
      <c r="O1786" s="198"/>
      <c r="P1786" s="198"/>
      <c r="Q1786" s="198"/>
      <c r="R1786" s="198"/>
      <c r="S1786" s="198"/>
      <c r="T1786" s="198"/>
      <c r="U1786" s="198"/>
      <c r="V1786" s="198"/>
      <c r="W1786" s="198"/>
      <c r="X1786" s="198"/>
      <c r="Y1786" s="198"/>
      <c r="Z1786" s="198"/>
    </row>
    <row r="1787" spans="1:26" ht="15.75" hidden="1" customHeight="1" x14ac:dyDescent="0.25">
      <c r="A1787" s="213">
        <v>3510</v>
      </c>
      <c r="B1787" s="214" t="s">
        <v>10280</v>
      </c>
      <c r="C1787" s="215" t="s">
        <v>580</v>
      </c>
      <c r="D1787" s="216">
        <v>10.62</v>
      </c>
      <c r="E1787" s="198"/>
      <c r="F1787" s="198"/>
      <c r="G1787" s="198"/>
      <c r="H1787" s="198"/>
      <c r="I1787" s="198"/>
      <c r="J1787" s="198"/>
      <c r="K1787" s="198"/>
      <c r="L1787" s="198"/>
      <c r="M1787" s="198"/>
      <c r="N1787" s="198"/>
      <c r="O1787" s="198"/>
      <c r="P1787" s="198"/>
      <c r="Q1787" s="198"/>
      <c r="R1787" s="198"/>
      <c r="S1787" s="198"/>
      <c r="T1787" s="198"/>
      <c r="U1787" s="198"/>
      <c r="V1787" s="198"/>
      <c r="W1787" s="198"/>
      <c r="X1787" s="198"/>
      <c r="Y1787" s="198"/>
      <c r="Z1787" s="198"/>
    </row>
    <row r="1788" spans="1:26" ht="15.75" hidden="1" customHeight="1" x14ac:dyDescent="0.25">
      <c r="A1788" s="213">
        <v>10835</v>
      </c>
      <c r="B1788" s="214" t="s">
        <v>10281</v>
      </c>
      <c r="C1788" s="215" t="s">
        <v>580</v>
      </c>
      <c r="D1788" s="216">
        <v>5.46</v>
      </c>
      <c r="E1788" s="198"/>
      <c r="F1788" s="198"/>
      <c r="G1788" s="198"/>
      <c r="H1788" s="198"/>
      <c r="I1788" s="198"/>
      <c r="J1788" s="198"/>
      <c r="K1788" s="198"/>
      <c r="L1788" s="198"/>
      <c r="M1788" s="198"/>
      <c r="N1788" s="198"/>
      <c r="O1788" s="198"/>
      <c r="P1788" s="198"/>
      <c r="Q1788" s="198"/>
      <c r="R1788" s="198"/>
      <c r="S1788" s="198"/>
      <c r="T1788" s="198"/>
      <c r="U1788" s="198"/>
      <c r="V1788" s="198"/>
      <c r="W1788" s="198"/>
      <c r="X1788" s="198"/>
      <c r="Y1788" s="198"/>
      <c r="Z1788" s="198"/>
    </row>
    <row r="1789" spans="1:26" ht="15.75" hidden="1" customHeight="1" x14ac:dyDescent="0.25">
      <c r="A1789" s="213">
        <v>3485</v>
      </c>
      <c r="B1789" s="214" t="s">
        <v>10282</v>
      </c>
      <c r="C1789" s="215" t="s">
        <v>580</v>
      </c>
      <c r="D1789" s="216">
        <v>11.17</v>
      </c>
      <c r="E1789" s="198"/>
      <c r="F1789" s="198"/>
      <c r="G1789" s="198"/>
      <c r="H1789" s="198"/>
      <c r="I1789" s="198"/>
      <c r="J1789" s="198"/>
      <c r="K1789" s="198"/>
      <c r="L1789" s="198"/>
      <c r="M1789" s="198"/>
      <c r="N1789" s="198"/>
      <c r="O1789" s="198"/>
      <c r="P1789" s="198"/>
      <c r="Q1789" s="198"/>
      <c r="R1789" s="198"/>
      <c r="S1789" s="198"/>
      <c r="T1789" s="198"/>
      <c r="U1789" s="198"/>
      <c r="V1789" s="198"/>
      <c r="W1789" s="198"/>
      <c r="X1789" s="198"/>
      <c r="Y1789" s="198"/>
      <c r="Z1789" s="198"/>
    </row>
    <row r="1790" spans="1:26" ht="15.75" hidden="1" customHeight="1" x14ac:dyDescent="0.25">
      <c r="A1790" s="213">
        <v>3475</v>
      </c>
      <c r="B1790" s="214" t="s">
        <v>10283</v>
      </c>
      <c r="C1790" s="215" t="s">
        <v>580</v>
      </c>
      <c r="D1790" s="216">
        <v>4.04</v>
      </c>
      <c r="E1790" s="198"/>
      <c r="F1790" s="198"/>
      <c r="G1790" s="198"/>
      <c r="H1790" s="198"/>
      <c r="I1790" s="198"/>
      <c r="J1790" s="198"/>
      <c r="K1790" s="198"/>
      <c r="L1790" s="198"/>
      <c r="M1790" s="198"/>
      <c r="N1790" s="198"/>
      <c r="O1790" s="198"/>
      <c r="P1790" s="198"/>
      <c r="Q1790" s="198"/>
      <c r="R1790" s="198"/>
      <c r="S1790" s="198"/>
      <c r="T1790" s="198"/>
      <c r="U1790" s="198"/>
      <c r="V1790" s="198"/>
      <c r="W1790" s="198"/>
      <c r="X1790" s="198"/>
      <c r="Y1790" s="198"/>
      <c r="Z1790" s="198"/>
    </row>
    <row r="1791" spans="1:26" ht="15.75" hidden="1" customHeight="1" x14ac:dyDescent="0.25">
      <c r="A1791" s="213">
        <v>3534</v>
      </c>
      <c r="B1791" s="214" t="s">
        <v>10284</v>
      </c>
      <c r="C1791" s="215" t="s">
        <v>580</v>
      </c>
      <c r="D1791" s="216">
        <v>6.4</v>
      </c>
      <c r="E1791" s="198"/>
      <c r="F1791" s="198"/>
      <c r="G1791" s="198"/>
      <c r="H1791" s="198"/>
      <c r="I1791" s="198"/>
      <c r="J1791" s="198"/>
      <c r="K1791" s="198"/>
      <c r="L1791" s="198"/>
      <c r="M1791" s="198"/>
      <c r="N1791" s="198"/>
      <c r="O1791" s="198"/>
      <c r="P1791" s="198"/>
      <c r="Q1791" s="198"/>
      <c r="R1791" s="198"/>
      <c r="S1791" s="198"/>
      <c r="T1791" s="198"/>
      <c r="U1791" s="198"/>
      <c r="V1791" s="198"/>
      <c r="W1791" s="198"/>
      <c r="X1791" s="198"/>
      <c r="Y1791" s="198"/>
      <c r="Z1791" s="198"/>
    </row>
    <row r="1792" spans="1:26" ht="15.75" hidden="1" customHeight="1" x14ac:dyDescent="0.25">
      <c r="A1792" s="213">
        <v>3482</v>
      </c>
      <c r="B1792" s="214" t="s">
        <v>10285</v>
      </c>
      <c r="C1792" s="215" t="s">
        <v>580</v>
      </c>
      <c r="D1792" s="216">
        <v>4.58</v>
      </c>
      <c r="E1792" s="198"/>
      <c r="F1792" s="198"/>
      <c r="G1792" s="198"/>
      <c r="H1792" s="198"/>
      <c r="I1792" s="198"/>
      <c r="J1792" s="198"/>
      <c r="K1792" s="198"/>
      <c r="L1792" s="198"/>
      <c r="M1792" s="198"/>
      <c r="N1792" s="198"/>
      <c r="O1792" s="198"/>
      <c r="P1792" s="198"/>
      <c r="Q1792" s="198"/>
      <c r="R1792" s="198"/>
      <c r="S1792" s="198"/>
      <c r="T1792" s="198"/>
      <c r="U1792" s="198"/>
      <c r="V1792" s="198"/>
      <c r="W1792" s="198"/>
      <c r="X1792" s="198"/>
      <c r="Y1792" s="198"/>
      <c r="Z1792" s="198"/>
    </row>
    <row r="1793" spans="1:26" ht="15.75" hidden="1" customHeight="1" x14ac:dyDescent="0.25">
      <c r="A1793" s="213">
        <v>3543</v>
      </c>
      <c r="B1793" s="214" t="s">
        <v>10286</v>
      </c>
      <c r="C1793" s="215" t="s">
        <v>580</v>
      </c>
      <c r="D1793" s="216">
        <v>1.48</v>
      </c>
      <c r="E1793" s="198"/>
      <c r="F1793" s="198"/>
      <c r="G1793" s="198"/>
      <c r="H1793" s="198"/>
      <c r="I1793" s="198"/>
      <c r="J1793" s="198"/>
      <c r="K1793" s="198"/>
      <c r="L1793" s="198"/>
      <c r="M1793" s="198"/>
      <c r="N1793" s="198"/>
      <c r="O1793" s="198"/>
      <c r="P1793" s="198"/>
      <c r="Q1793" s="198"/>
      <c r="R1793" s="198"/>
      <c r="S1793" s="198"/>
      <c r="T1793" s="198"/>
      <c r="U1793" s="198"/>
      <c r="V1793" s="198"/>
      <c r="W1793" s="198"/>
      <c r="X1793" s="198"/>
      <c r="Y1793" s="198"/>
      <c r="Z1793" s="198"/>
    </row>
    <row r="1794" spans="1:26" ht="15.75" hidden="1" customHeight="1" x14ac:dyDescent="0.25">
      <c r="A1794" s="213">
        <v>3505</v>
      </c>
      <c r="B1794" s="214" t="s">
        <v>10287</v>
      </c>
      <c r="C1794" s="215" t="s">
        <v>580</v>
      </c>
      <c r="D1794" s="216">
        <v>2.21</v>
      </c>
      <c r="E1794" s="198"/>
      <c r="F1794" s="198"/>
      <c r="G1794" s="198"/>
      <c r="H1794" s="198"/>
      <c r="I1794" s="198"/>
      <c r="J1794" s="198"/>
      <c r="K1794" s="198"/>
      <c r="L1794" s="198"/>
      <c r="M1794" s="198"/>
      <c r="N1794" s="198"/>
      <c r="O1794" s="198"/>
      <c r="P1794" s="198"/>
      <c r="Q1794" s="198"/>
      <c r="R1794" s="198"/>
      <c r="S1794" s="198"/>
      <c r="T1794" s="198"/>
      <c r="U1794" s="198"/>
      <c r="V1794" s="198"/>
      <c r="W1794" s="198"/>
      <c r="X1794" s="198"/>
      <c r="Y1794" s="198"/>
      <c r="Z1794" s="198"/>
    </row>
    <row r="1795" spans="1:26" ht="15.75" hidden="1" customHeight="1" x14ac:dyDescent="0.25">
      <c r="A1795" s="213">
        <v>3521</v>
      </c>
      <c r="B1795" s="214" t="s">
        <v>10288</v>
      </c>
      <c r="C1795" s="215" t="s">
        <v>580</v>
      </c>
      <c r="D1795" s="216">
        <v>1.66</v>
      </c>
      <c r="E1795" s="198"/>
      <c r="F1795" s="198"/>
      <c r="G1795" s="198"/>
      <c r="H1795" s="198"/>
      <c r="I1795" s="198"/>
      <c r="J1795" s="198"/>
      <c r="K1795" s="198"/>
      <c r="L1795" s="198"/>
      <c r="M1795" s="198"/>
      <c r="N1795" s="198"/>
      <c r="O1795" s="198"/>
      <c r="P1795" s="198"/>
      <c r="Q1795" s="198"/>
      <c r="R1795" s="198"/>
      <c r="S1795" s="198"/>
      <c r="T1795" s="198"/>
      <c r="U1795" s="198"/>
      <c r="V1795" s="198"/>
      <c r="W1795" s="198"/>
      <c r="X1795" s="198"/>
      <c r="Y1795" s="198"/>
      <c r="Z1795" s="198"/>
    </row>
    <row r="1796" spans="1:26" ht="15.75" hidden="1" customHeight="1" x14ac:dyDescent="0.25">
      <c r="A1796" s="213">
        <v>3531</v>
      </c>
      <c r="B1796" s="214" t="s">
        <v>10289</v>
      </c>
      <c r="C1796" s="215" t="s">
        <v>580</v>
      </c>
      <c r="D1796" s="216">
        <v>3.17</v>
      </c>
      <c r="E1796" s="198"/>
      <c r="F1796" s="198"/>
      <c r="G1796" s="198"/>
      <c r="H1796" s="198"/>
      <c r="I1796" s="198"/>
      <c r="J1796" s="198"/>
      <c r="K1796" s="198"/>
      <c r="L1796" s="198"/>
      <c r="M1796" s="198"/>
      <c r="N1796" s="198"/>
      <c r="O1796" s="198"/>
      <c r="P1796" s="198"/>
      <c r="Q1796" s="198"/>
      <c r="R1796" s="198"/>
      <c r="S1796" s="198"/>
      <c r="T1796" s="198"/>
      <c r="U1796" s="198"/>
      <c r="V1796" s="198"/>
      <c r="W1796" s="198"/>
      <c r="X1796" s="198"/>
      <c r="Y1796" s="198"/>
      <c r="Z1796" s="198"/>
    </row>
    <row r="1797" spans="1:26" ht="15.75" hidden="1" customHeight="1" x14ac:dyDescent="0.25">
      <c r="A1797" s="213">
        <v>3522</v>
      </c>
      <c r="B1797" s="214" t="s">
        <v>10290</v>
      </c>
      <c r="C1797" s="215" t="s">
        <v>580</v>
      </c>
      <c r="D1797" s="216">
        <v>2.04</v>
      </c>
      <c r="E1797" s="198"/>
      <c r="F1797" s="198"/>
      <c r="G1797" s="198"/>
      <c r="H1797" s="198"/>
      <c r="I1797" s="198"/>
      <c r="J1797" s="198"/>
      <c r="K1797" s="198"/>
      <c r="L1797" s="198"/>
      <c r="M1797" s="198"/>
      <c r="N1797" s="198"/>
      <c r="O1797" s="198"/>
      <c r="P1797" s="198"/>
      <c r="Q1797" s="198"/>
      <c r="R1797" s="198"/>
      <c r="S1797" s="198"/>
      <c r="T1797" s="198"/>
      <c r="U1797" s="198"/>
      <c r="V1797" s="198"/>
      <c r="W1797" s="198"/>
      <c r="X1797" s="198"/>
      <c r="Y1797" s="198"/>
      <c r="Z1797" s="198"/>
    </row>
    <row r="1798" spans="1:26" ht="15.75" hidden="1" customHeight="1" x14ac:dyDescent="0.25">
      <c r="A1798" s="213">
        <v>3527</v>
      </c>
      <c r="B1798" s="214" t="s">
        <v>10291</v>
      </c>
      <c r="C1798" s="215" t="s">
        <v>580</v>
      </c>
      <c r="D1798" s="216">
        <v>10.76</v>
      </c>
      <c r="E1798" s="198"/>
      <c r="F1798" s="198"/>
      <c r="G1798" s="198"/>
      <c r="H1798" s="198"/>
      <c r="I1798" s="198"/>
      <c r="J1798" s="198"/>
      <c r="K1798" s="198"/>
      <c r="L1798" s="198"/>
      <c r="M1798" s="198"/>
      <c r="N1798" s="198"/>
      <c r="O1798" s="198"/>
      <c r="P1798" s="198"/>
      <c r="Q1798" s="198"/>
      <c r="R1798" s="198"/>
      <c r="S1798" s="198"/>
      <c r="T1798" s="198"/>
      <c r="U1798" s="198"/>
      <c r="V1798" s="198"/>
      <c r="W1798" s="198"/>
      <c r="X1798" s="198"/>
      <c r="Y1798" s="198"/>
      <c r="Z1798" s="198"/>
    </row>
    <row r="1799" spans="1:26" ht="15.75" hidden="1" customHeight="1" x14ac:dyDescent="0.25">
      <c r="A1799" s="213">
        <v>3530</v>
      </c>
      <c r="B1799" s="214" t="s">
        <v>10292</v>
      </c>
      <c r="C1799" s="215" t="s">
        <v>580</v>
      </c>
      <c r="D1799" s="216">
        <v>174.3</v>
      </c>
      <c r="E1799" s="198"/>
      <c r="F1799" s="198"/>
      <c r="G1799" s="198"/>
      <c r="H1799" s="198"/>
      <c r="I1799" s="198"/>
      <c r="J1799" s="198"/>
      <c r="K1799" s="198"/>
      <c r="L1799" s="198"/>
      <c r="M1799" s="198"/>
      <c r="N1799" s="198"/>
      <c r="O1799" s="198"/>
      <c r="P1799" s="198"/>
      <c r="Q1799" s="198"/>
      <c r="R1799" s="198"/>
      <c r="S1799" s="198"/>
      <c r="T1799" s="198"/>
      <c r="U1799" s="198"/>
      <c r="V1799" s="198"/>
      <c r="W1799" s="198"/>
      <c r="X1799" s="198"/>
      <c r="Y1799" s="198"/>
      <c r="Z1799" s="198"/>
    </row>
    <row r="1800" spans="1:26" ht="15.75" hidden="1" customHeight="1" x14ac:dyDescent="0.25">
      <c r="A1800" s="213">
        <v>3542</v>
      </c>
      <c r="B1800" s="214" t="s">
        <v>10293</v>
      </c>
      <c r="C1800" s="215" t="s">
        <v>580</v>
      </c>
      <c r="D1800" s="216">
        <v>0.5</v>
      </c>
      <c r="E1800" s="198"/>
      <c r="F1800" s="198"/>
      <c r="G1800" s="198"/>
      <c r="H1800" s="198"/>
      <c r="I1800" s="198"/>
      <c r="J1800" s="198"/>
      <c r="K1800" s="198"/>
      <c r="L1800" s="198"/>
      <c r="M1800" s="198"/>
      <c r="N1800" s="198"/>
      <c r="O1800" s="198"/>
      <c r="P1800" s="198"/>
      <c r="Q1800" s="198"/>
      <c r="R1800" s="198"/>
      <c r="S1800" s="198"/>
      <c r="T1800" s="198"/>
      <c r="U1800" s="198"/>
      <c r="V1800" s="198"/>
      <c r="W1800" s="198"/>
      <c r="X1800" s="198"/>
      <c r="Y1800" s="198"/>
      <c r="Z1800" s="198"/>
    </row>
    <row r="1801" spans="1:26" ht="15.75" hidden="1" customHeight="1" x14ac:dyDescent="0.25">
      <c r="A1801" s="213">
        <v>3529</v>
      </c>
      <c r="B1801" s="214" t="s">
        <v>10294</v>
      </c>
      <c r="C1801" s="215" t="s">
        <v>580</v>
      </c>
      <c r="D1801" s="216">
        <v>0.61</v>
      </c>
      <c r="E1801" s="198"/>
      <c r="F1801" s="198"/>
      <c r="G1801" s="198"/>
      <c r="H1801" s="198"/>
      <c r="I1801" s="198"/>
      <c r="J1801" s="198"/>
      <c r="K1801" s="198"/>
      <c r="L1801" s="198"/>
      <c r="M1801" s="198"/>
      <c r="N1801" s="198"/>
      <c r="O1801" s="198"/>
      <c r="P1801" s="198"/>
      <c r="Q1801" s="198"/>
      <c r="R1801" s="198"/>
      <c r="S1801" s="198"/>
      <c r="T1801" s="198"/>
      <c r="U1801" s="198"/>
      <c r="V1801" s="198"/>
      <c r="W1801" s="198"/>
      <c r="X1801" s="198"/>
      <c r="Y1801" s="198"/>
      <c r="Z1801" s="198"/>
    </row>
    <row r="1802" spans="1:26" ht="15.75" hidden="1" customHeight="1" x14ac:dyDescent="0.25">
      <c r="A1802" s="213">
        <v>3536</v>
      </c>
      <c r="B1802" s="214" t="s">
        <v>10295</v>
      </c>
      <c r="C1802" s="215" t="s">
        <v>580</v>
      </c>
      <c r="D1802" s="216">
        <v>2.04</v>
      </c>
      <c r="E1802" s="198"/>
      <c r="F1802" s="198"/>
      <c r="G1802" s="198"/>
      <c r="H1802" s="198"/>
      <c r="I1802" s="198"/>
      <c r="J1802" s="198"/>
      <c r="K1802" s="198"/>
      <c r="L1802" s="198"/>
      <c r="M1802" s="198"/>
      <c r="N1802" s="198"/>
      <c r="O1802" s="198"/>
      <c r="P1802" s="198"/>
      <c r="Q1802" s="198"/>
      <c r="R1802" s="198"/>
      <c r="S1802" s="198"/>
      <c r="T1802" s="198"/>
      <c r="U1802" s="198"/>
      <c r="V1802" s="198"/>
      <c r="W1802" s="198"/>
      <c r="X1802" s="198"/>
      <c r="Y1802" s="198"/>
      <c r="Z1802" s="198"/>
    </row>
    <row r="1803" spans="1:26" ht="15.75" hidden="1" customHeight="1" x14ac:dyDescent="0.25">
      <c r="A1803" s="213">
        <v>3535</v>
      </c>
      <c r="B1803" s="214" t="s">
        <v>10296</v>
      </c>
      <c r="C1803" s="215" t="s">
        <v>580</v>
      </c>
      <c r="D1803" s="216">
        <v>4.97</v>
      </c>
      <c r="E1803" s="198"/>
      <c r="F1803" s="198"/>
      <c r="G1803" s="198"/>
      <c r="H1803" s="198"/>
      <c r="I1803" s="198"/>
      <c r="J1803" s="198"/>
      <c r="K1803" s="198"/>
      <c r="L1803" s="198"/>
      <c r="M1803" s="198"/>
      <c r="N1803" s="198"/>
      <c r="O1803" s="198"/>
      <c r="P1803" s="198"/>
      <c r="Q1803" s="198"/>
      <c r="R1803" s="198"/>
      <c r="S1803" s="198"/>
      <c r="T1803" s="198"/>
      <c r="U1803" s="198"/>
      <c r="V1803" s="198"/>
      <c r="W1803" s="198"/>
      <c r="X1803" s="198"/>
      <c r="Y1803" s="198"/>
      <c r="Z1803" s="198"/>
    </row>
    <row r="1804" spans="1:26" ht="15.75" hidden="1" customHeight="1" x14ac:dyDescent="0.25">
      <c r="A1804" s="213">
        <v>3540</v>
      </c>
      <c r="B1804" s="214" t="s">
        <v>10297</v>
      </c>
      <c r="C1804" s="215" t="s">
        <v>580</v>
      </c>
      <c r="D1804" s="216">
        <v>4.21</v>
      </c>
      <c r="E1804" s="198"/>
      <c r="F1804" s="198"/>
      <c r="G1804" s="198"/>
      <c r="H1804" s="198"/>
      <c r="I1804" s="198"/>
      <c r="J1804" s="198"/>
      <c r="K1804" s="198"/>
      <c r="L1804" s="198"/>
      <c r="M1804" s="198"/>
      <c r="N1804" s="198"/>
      <c r="O1804" s="198"/>
      <c r="P1804" s="198"/>
      <c r="Q1804" s="198"/>
      <c r="R1804" s="198"/>
      <c r="S1804" s="198"/>
      <c r="T1804" s="198"/>
      <c r="U1804" s="198"/>
      <c r="V1804" s="198"/>
      <c r="W1804" s="198"/>
      <c r="X1804" s="198"/>
      <c r="Y1804" s="198"/>
      <c r="Z1804" s="198"/>
    </row>
    <row r="1805" spans="1:26" ht="15.75" hidden="1" customHeight="1" x14ac:dyDescent="0.25">
      <c r="A1805" s="213">
        <v>3539</v>
      </c>
      <c r="B1805" s="214" t="s">
        <v>10298</v>
      </c>
      <c r="C1805" s="215" t="s">
        <v>580</v>
      </c>
      <c r="D1805" s="216">
        <v>24.39</v>
      </c>
      <c r="E1805" s="198"/>
      <c r="F1805" s="198"/>
      <c r="G1805" s="198"/>
      <c r="H1805" s="198"/>
      <c r="I1805" s="198"/>
      <c r="J1805" s="198"/>
      <c r="K1805" s="198"/>
      <c r="L1805" s="198"/>
      <c r="M1805" s="198"/>
      <c r="N1805" s="198"/>
      <c r="O1805" s="198"/>
      <c r="P1805" s="198"/>
      <c r="Q1805" s="198"/>
      <c r="R1805" s="198"/>
      <c r="S1805" s="198"/>
      <c r="T1805" s="198"/>
      <c r="U1805" s="198"/>
      <c r="V1805" s="198"/>
      <c r="W1805" s="198"/>
      <c r="X1805" s="198"/>
      <c r="Y1805" s="198"/>
      <c r="Z1805" s="198"/>
    </row>
    <row r="1806" spans="1:26" ht="15.75" hidden="1" customHeight="1" x14ac:dyDescent="0.25">
      <c r="A1806" s="213">
        <v>3513</v>
      </c>
      <c r="B1806" s="214" t="s">
        <v>10299</v>
      </c>
      <c r="C1806" s="215" t="s">
        <v>580</v>
      </c>
      <c r="D1806" s="216">
        <v>86.02</v>
      </c>
      <c r="E1806" s="198"/>
      <c r="F1806" s="198"/>
      <c r="G1806" s="198"/>
      <c r="H1806" s="198"/>
      <c r="I1806" s="198"/>
      <c r="J1806" s="198"/>
      <c r="K1806" s="198"/>
      <c r="L1806" s="198"/>
      <c r="M1806" s="198"/>
      <c r="N1806" s="198"/>
      <c r="O1806" s="198"/>
      <c r="P1806" s="198"/>
      <c r="Q1806" s="198"/>
      <c r="R1806" s="198"/>
      <c r="S1806" s="198"/>
      <c r="T1806" s="198"/>
      <c r="U1806" s="198"/>
      <c r="V1806" s="198"/>
      <c r="W1806" s="198"/>
      <c r="X1806" s="198"/>
      <c r="Y1806" s="198"/>
      <c r="Z1806" s="198"/>
    </row>
    <row r="1807" spans="1:26" ht="15.75" hidden="1" customHeight="1" x14ac:dyDescent="0.25">
      <c r="A1807" s="213">
        <v>3516</v>
      </c>
      <c r="B1807" s="214" t="s">
        <v>10300</v>
      </c>
      <c r="C1807" s="215" t="s">
        <v>580</v>
      </c>
      <c r="D1807" s="216">
        <v>2.2599999999999998</v>
      </c>
      <c r="E1807" s="198"/>
      <c r="F1807" s="198"/>
      <c r="G1807" s="198"/>
      <c r="H1807" s="198"/>
      <c r="I1807" s="198"/>
      <c r="J1807" s="198"/>
      <c r="K1807" s="198"/>
      <c r="L1807" s="198"/>
      <c r="M1807" s="198"/>
      <c r="N1807" s="198"/>
      <c r="O1807" s="198"/>
      <c r="P1807" s="198"/>
      <c r="Q1807" s="198"/>
      <c r="R1807" s="198"/>
      <c r="S1807" s="198"/>
      <c r="T1807" s="198"/>
      <c r="U1807" s="198"/>
      <c r="V1807" s="198"/>
      <c r="W1807" s="198"/>
      <c r="X1807" s="198"/>
      <c r="Y1807" s="198"/>
      <c r="Z1807" s="198"/>
    </row>
    <row r="1808" spans="1:26" ht="15.75" hidden="1" customHeight="1" x14ac:dyDescent="0.25">
      <c r="A1808" s="213">
        <v>3517</v>
      </c>
      <c r="B1808" s="214" t="s">
        <v>10301</v>
      </c>
      <c r="C1808" s="215" t="s">
        <v>580</v>
      </c>
      <c r="D1808" s="216">
        <v>2.04</v>
      </c>
      <c r="E1808" s="198"/>
      <c r="F1808" s="198"/>
      <c r="G1808" s="198"/>
      <c r="H1808" s="198"/>
      <c r="I1808" s="198"/>
      <c r="J1808" s="198"/>
      <c r="K1808" s="198"/>
      <c r="L1808" s="198"/>
      <c r="M1808" s="198"/>
      <c r="N1808" s="198"/>
      <c r="O1808" s="198"/>
      <c r="P1808" s="198"/>
      <c r="Q1808" s="198"/>
      <c r="R1808" s="198"/>
      <c r="S1808" s="198"/>
      <c r="T1808" s="198"/>
      <c r="U1808" s="198"/>
      <c r="V1808" s="198"/>
      <c r="W1808" s="198"/>
      <c r="X1808" s="198"/>
      <c r="Y1808" s="198"/>
      <c r="Z1808" s="198"/>
    </row>
    <row r="1809" spans="1:26" ht="15.75" hidden="1" customHeight="1" x14ac:dyDescent="0.25">
      <c r="A1809" s="213">
        <v>3515</v>
      </c>
      <c r="B1809" s="214" t="s">
        <v>10302</v>
      </c>
      <c r="C1809" s="215" t="s">
        <v>580</v>
      </c>
      <c r="D1809" s="216">
        <v>5.49</v>
      </c>
      <c r="E1809" s="198"/>
      <c r="F1809" s="198"/>
      <c r="G1809" s="198"/>
      <c r="H1809" s="198"/>
      <c r="I1809" s="198"/>
      <c r="J1809" s="198"/>
      <c r="K1809" s="198"/>
      <c r="L1809" s="198"/>
      <c r="M1809" s="198"/>
      <c r="N1809" s="198"/>
      <c r="O1809" s="198"/>
      <c r="P1809" s="198"/>
      <c r="Q1809" s="198"/>
      <c r="R1809" s="198"/>
      <c r="S1809" s="198"/>
      <c r="T1809" s="198"/>
      <c r="U1809" s="198"/>
      <c r="V1809" s="198"/>
      <c r="W1809" s="198"/>
      <c r="X1809" s="198"/>
      <c r="Y1809" s="198"/>
      <c r="Z1809" s="198"/>
    </row>
    <row r="1810" spans="1:26" ht="15.75" hidden="1" customHeight="1" x14ac:dyDescent="0.25">
      <c r="A1810" s="213">
        <v>20147</v>
      </c>
      <c r="B1810" s="214" t="s">
        <v>10303</v>
      </c>
      <c r="C1810" s="215" t="s">
        <v>580</v>
      </c>
      <c r="D1810" s="216">
        <v>4.51</v>
      </c>
      <c r="E1810" s="198"/>
      <c r="F1810" s="198"/>
      <c r="G1810" s="198"/>
      <c r="H1810" s="198"/>
      <c r="I1810" s="198"/>
      <c r="J1810" s="198"/>
      <c r="K1810" s="198"/>
      <c r="L1810" s="198"/>
      <c r="M1810" s="198"/>
      <c r="N1810" s="198"/>
      <c r="O1810" s="198"/>
      <c r="P1810" s="198"/>
      <c r="Q1810" s="198"/>
      <c r="R1810" s="198"/>
      <c r="S1810" s="198"/>
      <c r="T1810" s="198"/>
      <c r="U1810" s="198"/>
      <c r="V1810" s="198"/>
      <c r="W1810" s="198"/>
      <c r="X1810" s="198"/>
      <c r="Y1810" s="198"/>
      <c r="Z1810" s="198"/>
    </row>
    <row r="1811" spans="1:26" ht="15.75" hidden="1" customHeight="1" x14ac:dyDescent="0.25">
      <c r="A1811" s="213">
        <v>3524</v>
      </c>
      <c r="B1811" s="214" t="s">
        <v>10304</v>
      </c>
      <c r="C1811" s="215" t="s">
        <v>580</v>
      </c>
      <c r="D1811" s="216">
        <v>6.79</v>
      </c>
      <c r="E1811" s="198"/>
      <c r="F1811" s="198"/>
      <c r="G1811" s="198"/>
      <c r="H1811" s="198"/>
      <c r="I1811" s="198"/>
      <c r="J1811" s="198"/>
      <c r="K1811" s="198"/>
      <c r="L1811" s="198"/>
      <c r="M1811" s="198"/>
      <c r="N1811" s="198"/>
      <c r="O1811" s="198"/>
      <c r="P1811" s="198"/>
      <c r="Q1811" s="198"/>
      <c r="R1811" s="198"/>
      <c r="S1811" s="198"/>
      <c r="T1811" s="198"/>
      <c r="U1811" s="198"/>
      <c r="V1811" s="198"/>
      <c r="W1811" s="198"/>
      <c r="X1811" s="198"/>
      <c r="Y1811" s="198"/>
      <c r="Z1811" s="198"/>
    </row>
    <row r="1812" spans="1:26" ht="15.75" hidden="1" customHeight="1" x14ac:dyDescent="0.25">
      <c r="A1812" s="213">
        <v>3532</v>
      </c>
      <c r="B1812" s="214" t="s">
        <v>10305</v>
      </c>
      <c r="C1812" s="215" t="s">
        <v>580</v>
      </c>
      <c r="D1812" s="216">
        <v>15.7</v>
      </c>
      <c r="E1812" s="198"/>
      <c r="F1812" s="198"/>
      <c r="G1812" s="198"/>
      <c r="H1812" s="198"/>
      <c r="I1812" s="198"/>
      <c r="J1812" s="198"/>
      <c r="K1812" s="198"/>
      <c r="L1812" s="198"/>
      <c r="M1812" s="198"/>
      <c r="N1812" s="198"/>
      <c r="O1812" s="198"/>
      <c r="P1812" s="198"/>
      <c r="Q1812" s="198"/>
      <c r="R1812" s="198"/>
      <c r="S1812" s="198"/>
      <c r="T1812" s="198"/>
      <c r="U1812" s="198"/>
      <c r="V1812" s="198"/>
      <c r="W1812" s="198"/>
      <c r="X1812" s="198"/>
      <c r="Y1812" s="198"/>
      <c r="Z1812" s="198"/>
    </row>
    <row r="1813" spans="1:26" ht="15.75" hidden="1" customHeight="1" x14ac:dyDescent="0.25">
      <c r="A1813" s="213">
        <v>3528</v>
      </c>
      <c r="B1813" s="214" t="s">
        <v>10306</v>
      </c>
      <c r="C1813" s="215" t="s">
        <v>580</v>
      </c>
      <c r="D1813" s="216">
        <v>8.81</v>
      </c>
      <c r="E1813" s="198"/>
      <c r="F1813" s="198"/>
      <c r="G1813" s="198"/>
      <c r="H1813" s="198"/>
      <c r="I1813" s="198"/>
      <c r="J1813" s="198"/>
      <c r="K1813" s="198"/>
      <c r="L1813" s="198"/>
      <c r="M1813" s="198"/>
      <c r="N1813" s="198"/>
      <c r="O1813" s="198"/>
      <c r="P1813" s="198"/>
      <c r="Q1813" s="198"/>
      <c r="R1813" s="198"/>
      <c r="S1813" s="198"/>
      <c r="T1813" s="198"/>
      <c r="U1813" s="198"/>
      <c r="V1813" s="198"/>
      <c r="W1813" s="198"/>
      <c r="X1813" s="198"/>
      <c r="Y1813" s="198"/>
      <c r="Z1813" s="198"/>
    </row>
    <row r="1814" spans="1:26" ht="15.75" hidden="1" customHeight="1" x14ac:dyDescent="0.25">
      <c r="A1814" s="213">
        <v>37952</v>
      </c>
      <c r="B1814" s="214" t="s">
        <v>10307</v>
      </c>
      <c r="C1814" s="215" t="s">
        <v>580</v>
      </c>
      <c r="D1814" s="216">
        <v>63.17</v>
      </c>
      <c r="E1814" s="198"/>
      <c r="F1814" s="198"/>
      <c r="G1814" s="198"/>
      <c r="H1814" s="198"/>
      <c r="I1814" s="198"/>
      <c r="J1814" s="198"/>
      <c r="K1814" s="198"/>
      <c r="L1814" s="198"/>
      <c r="M1814" s="198"/>
      <c r="N1814" s="198"/>
      <c r="O1814" s="198"/>
      <c r="P1814" s="198"/>
      <c r="Q1814" s="198"/>
      <c r="R1814" s="198"/>
      <c r="S1814" s="198"/>
      <c r="T1814" s="198"/>
      <c r="U1814" s="198"/>
      <c r="V1814" s="198"/>
      <c r="W1814" s="198"/>
      <c r="X1814" s="198"/>
      <c r="Y1814" s="198"/>
      <c r="Z1814" s="198"/>
    </row>
    <row r="1815" spans="1:26" ht="15.75" hidden="1" customHeight="1" x14ac:dyDescent="0.25">
      <c r="A1815" s="213">
        <v>37951</v>
      </c>
      <c r="B1815" s="214" t="s">
        <v>10308</v>
      </c>
      <c r="C1815" s="215" t="s">
        <v>580</v>
      </c>
      <c r="D1815" s="216">
        <v>2.37</v>
      </c>
      <c r="E1815" s="198"/>
      <c r="F1815" s="198"/>
      <c r="G1815" s="198"/>
      <c r="H1815" s="198"/>
      <c r="I1815" s="198"/>
      <c r="J1815" s="198"/>
      <c r="K1815" s="198"/>
      <c r="L1815" s="198"/>
      <c r="M1815" s="198"/>
      <c r="N1815" s="198"/>
      <c r="O1815" s="198"/>
      <c r="P1815" s="198"/>
      <c r="Q1815" s="198"/>
      <c r="R1815" s="198"/>
      <c r="S1815" s="198"/>
      <c r="T1815" s="198"/>
      <c r="U1815" s="198"/>
      <c r="V1815" s="198"/>
      <c r="W1815" s="198"/>
      <c r="X1815" s="198"/>
      <c r="Y1815" s="198"/>
      <c r="Z1815" s="198"/>
    </row>
    <row r="1816" spans="1:26" ht="15.75" hidden="1" customHeight="1" x14ac:dyDescent="0.25">
      <c r="A1816" s="213">
        <v>3518</v>
      </c>
      <c r="B1816" s="214" t="s">
        <v>10309</v>
      </c>
      <c r="C1816" s="215" t="s">
        <v>580</v>
      </c>
      <c r="D1816" s="216">
        <v>3.65</v>
      </c>
      <c r="E1816" s="198"/>
      <c r="F1816" s="198"/>
      <c r="G1816" s="198"/>
      <c r="H1816" s="198"/>
      <c r="I1816" s="198"/>
      <c r="J1816" s="198"/>
      <c r="K1816" s="198"/>
      <c r="L1816" s="198"/>
      <c r="M1816" s="198"/>
      <c r="N1816" s="198"/>
      <c r="O1816" s="198"/>
      <c r="P1816" s="198"/>
      <c r="Q1816" s="198"/>
      <c r="R1816" s="198"/>
      <c r="S1816" s="198"/>
      <c r="T1816" s="198"/>
      <c r="U1816" s="198"/>
      <c r="V1816" s="198"/>
      <c r="W1816" s="198"/>
      <c r="X1816" s="198"/>
      <c r="Y1816" s="198"/>
      <c r="Z1816" s="198"/>
    </row>
    <row r="1817" spans="1:26" ht="15.75" hidden="1" customHeight="1" x14ac:dyDescent="0.25">
      <c r="A1817" s="213">
        <v>3519</v>
      </c>
      <c r="B1817" s="214" t="s">
        <v>10310</v>
      </c>
      <c r="C1817" s="215" t="s">
        <v>580</v>
      </c>
      <c r="D1817" s="216">
        <v>7.64</v>
      </c>
      <c r="E1817" s="198"/>
      <c r="F1817" s="198"/>
      <c r="G1817" s="198"/>
      <c r="H1817" s="198"/>
      <c r="I1817" s="198"/>
      <c r="J1817" s="198"/>
      <c r="K1817" s="198"/>
      <c r="L1817" s="198"/>
      <c r="M1817" s="198"/>
      <c r="N1817" s="198"/>
      <c r="O1817" s="198"/>
      <c r="P1817" s="198"/>
      <c r="Q1817" s="198"/>
      <c r="R1817" s="198"/>
      <c r="S1817" s="198"/>
      <c r="T1817" s="198"/>
      <c r="U1817" s="198"/>
      <c r="V1817" s="198"/>
      <c r="W1817" s="198"/>
      <c r="X1817" s="198"/>
      <c r="Y1817" s="198"/>
      <c r="Z1817" s="198"/>
    </row>
    <row r="1818" spans="1:26" ht="15.75" hidden="1" customHeight="1" x14ac:dyDescent="0.25">
      <c r="A1818" s="213">
        <v>3520</v>
      </c>
      <c r="B1818" s="214" t="s">
        <v>10311</v>
      </c>
      <c r="C1818" s="215" t="s">
        <v>580</v>
      </c>
      <c r="D1818" s="216">
        <v>8.01</v>
      </c>
      <c r="E1818" s="198"/>
      <c r="F1818" s="198"/>
      <c r="G1818" s="198"/>
      <c r="H1818" s="198"/>
      <c r="I1818" s="198"/>
      <c r="J1818" s="198"/>
      <c r="K1818" s="198"/>
      <c r="L1818" s="198"/>
      <c r="M1818" s="198"/>
      <c r="N1818" s="198"/>
      <c r="O1818" s="198"/>
      <c r="P1818" s="198"/>
      <c r="Q1818" s="198"/>
      <c r="R1818" s="198"/>
      <c r="S1818" s="198"/>
      <c r="T1818" s="198"/>
      <c r="U1818" s="198"/>
      <c r="V1818" s="198"/>
      <c r="W1818" s="198"/>
      <c r="X1818" s="198"/>
      <c r="Y1818" s="198"/>
      <c r="Z1818" s="198"/>
    </row>
    <row r="1819" spans="1:26" ht="15.75" hidden="1" customHeight="1" x14ac:dyDescent="0.25">
      <c r="A1819" s="213">
        <v>37950</v>
      </c>
      <c r="B1819" s="214" t="s">
        <v>10312</v>
      </c>
      <c r="C1819" s="215" t="s">
        <v>580</v>
      </c>
      <c r="D1819" s="216">
        <v>58.16</v>
      </c>
      <c r="E1819" s="198"/>
      <c r="F1819" s="198"/>
      <c r="G1819" s="198"/>
      <c r="H1819" s="198"/>
      <c r="I1819" s="198"/>
      <c r="J1819" s="198"/>
      <c r="K1819" s="198"/>
      <c r="L1819" s="198"/>
      <c r="M1819" s="198"/>
      <c r="N1819" s="198"/>
      <c r="O1819" s="198"/>
      <c r="P1819" s="198"/>
      <c r="Q1819" s="198"/>
      <c r="R1819" s="198"/>
      <c r="S1819" s="198"/>
      <c r="T1819" s="198"/>
      <c r="U1819" s="198"/>
      <c r="V1819" s="198"/>
      <c r="W1819" s="198"/>
      <c r="X1819" s="198"/>
      <c r="Y1819" s="198"/>
      <c r="Z1819" s="198"/>
    </row>
    <row r="1820" spans="1:26" ht="15.75" hidden="1" customHeight="1" x14ac:dyDescent="0.25">
      <c r="A1820" s="213">
        <v>37949</v>
      </c>
      <c r="B1820" s="214" t="s">
        <v>10313</v>
      </c>
      <c r="C1820" s="215" t="s">
        <v>580</v>
      </c>
      <c r="D1820" s="216">
        <v>2.14</v>
      </c>
      <c r="E1820" s="198"/>
      <c r="F1820" s="198"/>
      <c r="G1820" s="198"/>
      <c r="H1820" s="198"/>
      <c r="I1820" s="198"/>
      <c r="J1820" s="198"/>
      <c r="K1820" s="198"/>
      <c r="L1820" s="198"/>
      <c r="M1820" s="198"/>
      <c r="N1820" s="198"/>
      <c r="O1820" s="198"/>
      <c r="P1820" s="198"/>
      <c r="Q1820" s="198"/>
      <c r="R1820" s="198"/>
      <c r="S1820" s="198"/>
      <c r="T1820" s="198"/>
      <c r="U1820" s="198"/>
      <c r="V1820" s="198"/>
      <c r="W1820" s="198"/>
      <c r="X1820" s="198"/>
      <c r="Y1820" s="198"/>
      <c r="Z1820" s="198"/>
    </row>
    <row r="1821" spans="1:26" ht="15.75" hidden="1" customHeight="1" x14ac:dyDescent="0.25">
      <c r="A1821" s="213">
        <v>3526</v>
      </c>
      <c r="B1821" s="214" t="s">
        <v>10314</v>
      </c>
      <c r="C1821" s="215" t="s">
        <v>580</v>
      </c>
      <c r="D1821" s="216">
        <v>2.95</v>
      </c>
      <c r="E1821" s="198"/>
      <c r="F1821" s="198"/>
      <c r="G1821" s="198"/>
      <c r="H1821" s="198"/>
      <c r="I1821" s="198"/>
      <c r="J1821" s="198"/>
      <c r="K1821" s="198"/>
      <c r="L1821" s="198"/>
      <c r="M1821" s="198"/>
      <c r="N1821" s="198"/>
      <c r="O1821" s="198"/>
      <c r="P1821" s="198"/>
      <c r="Q1821" s="198"/>
      <c r="R1821" s="198"/>
      <c r="S1821" s="198"/>
      <c r="T1821" s="198"/>
      <c r="U1821" s="198"/>
      <c r="V1821" s="198"/>
      <c r="W1821" s="198"/>
      <c r="X1821" s="198"/>
      <c r="Y1821" s="198"/>
      <c r="Z1821" s="198"/>
    </row>
    <row r="1822" spans="1:26" ht="15.75" hidden="1" customHeight="1" x14ac:dyDescent="0.25">
      <c r="A1822" s="213">
        <v>3509</v>
      </c>
      <c r="B1822" s="214" t="s">
        <v>10315</v>
      </c>
      <c r="C1822" s="215" t="s">
        <v>580</v>
      </c>
      <c r="D1822" s="216">
        <v>6.7</v>
      </c>
      <c r="E1822" s="198"/>
      <c r="F1822" s="198"/>
      <c r="G1822" s="198"/>
      <c r="H1822" s="198"/>
      <c r="I1822" s="198"/>
      <c r="J1822" s="198"/>
      <c r="K1822" s="198"/>
      <c r="L1822" s="198"/>
      <c r="M1822" s="198"/>
      <c r="N1822" s="198"/>
      <c r="O1822" s="198"/>
      <c r="P1822" s="198"/>
      <c r="Q1822" s="198"/>
      <c r="R1822" s="198"/>
      <c r="S1822" s="198"/>
      <c r="T1822" s="198"/>
      <c r="U1822" s="198"/>
      <c r="V1822" s="198"/>
      <c r="W1822" s="198"/>
      <c r="X1822" s="198"/>
      <c r="Y1822" s="198"/>
      <c r="Z1822" s="198"/>
    </row>
    <row r="1823" spans="1:26" ht="15.75" hidden="1" customHeight="1" x14ac:dyDescent="0.25">
      <c r="A1823" s="213">
        <v>20151</v>
      </c>
      <c r="B1823" s="214" t="s">
        <v>10316</v>
      </c>
      <c r="C1823" s="215" t="s">
        <v>580</v>
      </c>
      <c r="D1823" s="216">
        <v>19.7</v>
      </c>
      <c r="E1823" s="198"/>
      <c r="F1823" s="198"/>
      <c r="G1823" s="198"/>
      <c r="H1823" s="198"/>
      <c r="I1823" s="198"/>
      <c r="J1823" s="198"/>
      <c r="K1823" s="198"/>
      <c r="L1823" s="198"/>
      <c r="M1823" s="198"/>
      <c r="N1823" s="198"/>
      <c r="O1823" s="198"/>
      <c r="P1823" s="198"/>
      <c r="Q1823" s="198"/>
      <c r="R1823" s="198"/>
      <c r="S1823" s="198"/>
      <c r="T1823" s="198"/>
      <c r="U1823" s="198"/>
      <c r="V1823" s="198"/>
      <c r="W1823" s="198"/>
      <c r="X1823" s="198"/>
      <c r="Y1823" s="198"/>
      <c r="Z1823" s="198"/>
    </row>
    <row r="1824" spans="1:26" ht="15.75" hidden="1" customHeight="1" x14ac:dyDescent="0.25">
      <c r="A1824" s="213">
        <v>20152</v>
      </c>
      <c r="B1824" s="214" t="s">
        <v>10317</v>
      </c>
      <c r="C1824" s="215" t="s">
        <v>580</v>
      </c>
      <c r="D1824" s="216">
        <v>71.290000000000006</v>
      </c>
      <c r="E1824" s="198"/>
      <c r="F1824" s="198"/>
      <c r="G1824" s="198"/>
      <c r="H1824" s="198"/>
      <c r="I1824" s="198"/>
      <c r="J1824" s="198"/>
      <c r="K1824" s="198"/>
      <c r="L1824" s="198"/>
      <c r="M1824" s="198"/>
      <c r="N1824" s="198"/>
      <c r="O1824" s="198"/>
      <c r="P1824" s="198"/>
      <c r="Q1824" s="198"/>
      <c r="R1824" s="198"/>
      <c r="S1824" s="198"/>
      <c r="T1824" s="198"/>
      <c r="U1824" s="198"/>
      <c r="V1824" s="198"/>
      <c r="W1824" s="198"/>
      <c r="X1824" s="198"/>
      <c r="Y1824" s="198"/>
      <c r="Z1824" s="198"/>
    </row>
    <row r="1825" spans="1:26" ht="15.75" hidden="1" customHeight="1" x14ac:dyDescent="0.25">
      <c r="A1825" s="213">
        <v>20148</v>
      </c>
      <c r="B1825" s="214" t="s">
        <v>10318</v>
      </c>
      <c r="C1825" s="215" t="s">
        <v>580</v>
      </c>
      <c r="D1825" s="216">
        <v>3.87</v>
      </c>
      <c r="E1825" s="198"/>
      <c r="F1825" s="198"/>
      <c r="G1825" s="198"/>
      <c r="H1825" s="198"/>
      <c r="I1825" s="198"/>
      <c r="J1825" s="198"/>
      <c r="K1825" s="198"/>
      <c r="L1825" s="198"/>
      <c r="M1825" s="198"/>
      <c r="N1825" s="198"/>
      <c r="O1825" s="198"/>
      <c r="P1825" s="198"/>
      <c r="Q1825" s="198"/>
      <c r="R1825" s="198"/>
      <c r="S1825" s="198"/>
      <c r="T1825" s="198"/>
      <c r="U1825" s="198"/>
      <c r="V1825" s="198"/>
      <c r="W1825" s="198"/>
      <c r="X1825" s="198"/>
      <c r="Y1825" s="198"/>
      <c r="Z1825" s="198"/>
    </row>
    <row r="1826" spans="1:26" ht="15.75" hidden="1" customHeight="1" x14ac:dyDescent="0.25">
      <c r="A1826" s="213">
        <v>20149</v>
      </c>
      <c r="B1826" s="214" t="s">
        <v>10319</v>
      </c>
      <c r="C1826" s="215" t="s">
        <v>580</v>
      </c>
      <c r="D1826" s="216">
        <v>6.47</v>
      </c>
      <c r="E1826" s="198"/>
      <c r="F1826" s="198"/>
      <c r="G1826" s="198"/>
      <c r="H1826" s="198"/>
      <c r="I1826" s="198"/>
      <c r="J1826" s="198"/>
      <c r="K1826" s="198"/>
      <c r="L1826" s="198"/>
      <c r="M1826" s="198"/>
      <c r="N1826" s="198"/>
      <c r="O1826" s="198"/>
      <c r="P1826" s="198"/>
      <c r="Q1826" s="198"/>
      <c r="R1826" s="198"/>
      <c r="S1826" s="198"/>
      <c r="T1826" s="198"/>
      <c r="U1826" s="198"/>
      <c r="V1826" s="198"/>
      <c r="W1826" s="198"/>
      <c r="X1826" s="198"/>
      <c r="Y1826" s="198"/>
      <c r="Z1826" s="198"/>
    </row>
    <row r="1827" spans="1:26" ht="15.75" hidden="1" customHeight="1" x14ac:dyDescent="0.25">
      <c r="A1827" s="213">
        <v>20150</v>
      </c>
      <c r="B1827" s="214" t="s">
        <v>10320</v>
      </c>
      <c r="C1827" s="215" t="s">
        <v>580</v>
      </c>
      <c r="D1827" s="216">
        <v>16.670000000000002</v>
      </c>
      <c r="E1827" s="198"/>
      <c r="F1827" s="198"/>
      <c r="G1827" s="198"/>
      <c r="H1827" s="198"/>
      <c r="I1827" s="198"/>
      <c r="J1827" s="198"/>
      <c r="K1827" s="198"/>
      <c r="L1827" s="198"/>
      <c r="M1827" s="198"/>
      <c r="N1827" s="198"/>
      <c r="O1827" s="198"/>
      <c r="P1827" s="198"/>
      <c r="Q1827" s="198"/>
      <c r="R1827" s="198"/>
      <c r="S1827" s="198"/>
      <c r="T1827" s="198"/>
      <c r="U1827" s="198"/>
      <c r="V1827" s="198"/>
      <c r="W1827" s="198"/>
      <c r="X1827" s="198"/>
      <c r="Y1827" s="198"/>
      <c r="Z1827" s="198"/>
    </row>
    <row r="1828" spans="1:26" ht="15.75" hidden="1" customHeight="1" x14ac:dyDescent="0.25">
      <c r="A1828" s="213">
        <v>20157</v>
      </c>
      <c r="B1828" s="214" t="s">
        <v>10321</v>
      </c>
      <c r="C1828" s="215" t="s">
        <v>580</v>
      </c>
      <c r="D1828" s="216">
        <v>18.71</v>
      </c>
      <c r="E1828" s="198"/>
      <c r="F1828" s="198"/>
      <c r="G1828" s="198"/>
      <c r="H1828" s="198"/>
      <c r="I1828" s="198"/>
      <c r="J1828" s="198"/>
      <c r="K1828" s="198"/>
      <c r="L1828" s="198"/>
      <c r="M1828" s="198"/>
      <c r="N1828" s="198"/>
      <c r="O1828" s="198"/>
      <c r="P1828" s="198"/>
      <c r="Q1828" s="198"/>
      <c r="R1828" s="198"/>
      <c r="S1828" s="198"/>
      <c r="T1828" s="198"/>
      <c r="U1828" s="198"/>
      <c r="V1828" s="198"/>
      <c r="W1828" s="198"/>
      <c r="X1828" s="198"/>
      <c r="Y1828" s="198"/>
      <c r="Z1828" s="198"/>
    </row>
    <row r="1829" spans="1:26" ht="15.75" hidden="1" customHeight="1" x14ac:dyDescent="0.25">
      <c r="A1829" s="213">
        <v>20158</v>
      </c>
      <c r="B1829" s="214" t="s">
        <v>10322</v>
      </c>
      <c r="C1829" s="215" t="s">
        <v>580</v>
      </c>
      <c r="D1829" s="216">
        <v>74.31</v>
      </c>
      <c r="E1829" s="198"/>
      <c r="F1829" s="198"/>
      <c r="G1829" s="198"/>
      <c r="H1829" s="198"/>
      <c r="I1829" s="198"/>
      <c r="J1829" s="198"/>
      <c r="K1829" s="198"/>
      <c r="L1829" s="198"/>
      <c r="M1829" s="198"/>
      <c r="N1829" s="198"/>
      <c r="O1829" s="198"/>
      <c r="P1829" s="198"/>
      <c r="Q1829" s="198"/>
      <c r="R1829" s="198"/>
      <c r="S1829" s="198"/>
      <c r="T1829" s="198"/>
      <c r="U1829" s="198"/>
      <c r="V1829" s="198"/>
      <c r="W1829" s="198"/>
      <c r="X1829" s="198"/>
      <c r="Y1829" s="198"/>
      <c r="Z1829" s="198"/>
    </row>
    <row r="1830" spans="1:26" ht="15.75" hidden="1" customHeight="1" x14ac:dyDescent="0.25">
      <c r="A1830" s="213">
        <v>20154</v>
      </c>
      <c r="B1830" s="214" t="s">
        <v>10323</v>
      </c>
      <c r="C1830" s="215" t="s">
        <v>580</v>
      </c>
      <c r="D1830" s="216">
        <v>3.79</v>
      </c>
      <c r="E1830" s="198"/>
      <c r="F1830" s="198"/>
      <c r="G1830" s="198"/>
      <c r="H1830" s="198"/>
      <c r="I1830" s="198"/>
      <c r="J1830" s="198"/>
      <c r="K1830" s="198"/>
      <c r="L1830" s="198"/>
      <c r="M1830" s="198"/>
      <c r="N1830" s="198"/>
      <c r="O1830" s="198"/>
      <c r="P1830" s="198"/>
      <c r="Q1830" s="198"/>
      <c r="R1830" s="198"/>
      <c r="S1830" s="198"/>
      <c r="T1830" s="198"/>
      <c r="U1830" s="198"/>
      <c r="V1830" s="198"/>
      <c r="W1830" s="198"/>
      <c r="X1830" s="198"/>
      <c r="Y1830" s="198"/>
      <c r="Z1830" s="198"/>
    </row>
    <row r="1831" spans="1:26" ht="15.75" hidden="1" customHeight="1" x14ac:dyDescent="0.25">
      <c r="A1831" s="213">
        <v>20155</v>
      </c>
      <c r="B1831" s="214" t="s">
        <v>10324</v>
      </c>
      <c r="C1831" s="215" t="s">
        <v>580</v>
      </c>
      <c r="D1831" s="216">
        <v>5.77</v>
      </c>
      <c r="E1831" s="198"/>
      <c r="F1831" s="198"/>
      <c r="G1831" s="198"/>
      <c r="H1831" s="198"/>
      <c r="I1831" s="198"/>
      <c r="J1831" s="198"/>
      <c r="K1831" s="198"/>
      <c r="L1831" s="198"/>
      <c r="M1831" s="198"/>
      <c r="N1831" s="198"/>
      <c r="O1831" s="198"/>
      <c r="P1831" s="198"/>
      <c r="Q1831" s="198"/>
      <c r="R1831" s="198"/>
      <c r="S1831" s="198"/>
      <c r="T1831" s="198"/>
      <c r="U1831" s="198"/>
      <c r="V1831" s="198"/>
      <c r="W1831" s="198"/>
      <c r="X1831" s="198"/>
      <c r="Y1831" s="198"/>
      <c r="Z1831" s="198"/>
    </row>
    <row r="1832" spans="1:26" ht="15.75" hidden="1" customHeight="1" x14ac:dyDescent="0.25">
      <c r="A1832" s="213">
        <v>20156</v>
      </c>
      <c r="B1832" s="214" t="s">
        <v>10325</v>
      </c>
      <c r="C1832" s="215" t="s">
        <v>580</v>
      </c>
      <c r="D1832" s="216">
        <v>16.23</v>
      </c>
      <c r="E1832" s="198"/>
      <c r="F1832" s="198"/>
      <c r="G1832" s="198"/>
      <c r="H1832" s="198"/>
      <c r="I1832" s="198"/>
      <c r="J1832" s="198"/>
      <c r="K1832" s="198"/>
      <c r="L1832" s="198"/>
      <c r="M1832" s="198"/>
      <c r="N1832" s="198"/>
      <c r="O1832" s="198"/>
      <c r="P1832" s="198"/>
      <c r="Q1832" s="198"/>
      <c r="R1832" s="198"/>
      <c r="S1832" s="198"/>
      <c r="T1832" s="198"/>
      <c r="U1832" s="198"/>
      <c r="V1832" s="198"/>
      <c r="W1832" s="198"/>
      <c r="X1832" s="198"/>
      <c r="Y1832" s="198"/>
      <c r="Z1832" s="198"/>
    </row>
    <row r="1833" spans="1:26" ht="15.75" hidden="1" customHeight="1" x14ac:dyDescent="0.25">
      <c r="A1833" s="213">
        <v>3499</v>
      </c>
      <c r="B1833" s="214" t="s">
        <v>10326</v>
      </c>
      <c r="C1833" s="215" t="s">
        <v>580</v>
      </c>
      <c r="D1833" s="216">
        <v>0.95</v>
      </c>
      <c r="E1833" s="198"/>
      <c r="F1833" s="198"/>
      <c r="G1833" s="198"/>
      <c r="H1833" s="198"/>
      <c r="I1833" s="198"/>
      <c r="J1833" s="198"/>
      <c r="K1833" s="198"/>
      <c r="L1833" s="198"/>
      <c r="M1833" s="198"/>
      <c r="N1833" s="198"/>
      <c r="O1833" s="198"/>
      <c r="P1833" s="198"/>
      <c r="Q1833" s="198"/>
      <c r="R1833" s="198"/>
      <c r="S1833" s="198"/>
      <c r="T1833" s="198"/>
      <c r="U1833" s="198"/>
      <c r="V1833" s="198"/>
      <c r="W1833" s="198"/>
      <c r="X1833" s="198"/>
      <c r="Y1833" s="198"/>
      <c r="Z1833" s="198"/>
    </row>
    <row r="1834" spans="1:26" ht="15.75" hidden="1" customHeight="1" x14ac:dyDescent="0.25">
      <c r="A1834" s="213">
        <v>3500</v>
      </c>
      <c r="B1834" s="214" t="s">
        <v>10327</v>
      </c>
      <c r="C1834" s="215" t="s">
        <v>580</v>
      </c>
      <c r="D1834" s="216">
        <v>1.26</v>
      </c>
      <c r="E1834" s="198"/>
      <c r="F1834" s="198"/>
      <c r="G1834" s="198"/>
      <c r="H1834" s="198"/>
      <c r="I1834" s="198"/>
      <c r="J1834" s="198"/>
      <c r="K1834" s="198"/>
      <c r="L1834" s="198"/>
      <c r="M1834" s="198"/>
      <c r="N1834" s="198"/>
      <c r="O1834" s="198"/>
      <c r="P1834" s="198"/>
      <c r="Q1834" s="198"/>
      <c r="R1834" s="198"/>
      <c r="S1834" s="198"/>
      <c r="T1834" s="198"/>
      <c r="U1834" s="198"/>
      <c r="V1834" s="198"/>
      <c r="W1834" s="198"/>
      <c r="X1834" s="198"/>
      <c r="Y1834" s="198"/>
      <c r="Z1834" s="198"/>
    </row>
    <row r="1835" spans="1:26" ht="15.75" hidden="1" customHeight="1" x14ac:dyDescent="0.25">
      <c r="A1835" s="213">
        <v>3501</v>
      </c>
      <c r="B1835" s="214" t="s">
        <v>10328</v>
      </c>
      <c r="C1835" s="215" t="s">
        <v>580</v>
      </c>
      <c r="D1835" s="216">
        <v>3.49</v>
      </c>
      <c r="E1835" s="198"/>
      <c r="F1835" s="198"/>
      <c r="G1835" s="198"/>
      <c r="H1835" s="198"/>
      <c r="I1835" s="198"/>
      <c r="J1835" s="198"/>
      <c r="K1835" s="198"/>
      <c r="L1835" s="198"/>
      <c r="M1835" s="198"/>
      <c r="N1835" s="198"/>
      <c r="O1835" s="198"/>
      <c r="P1835" s="198"/>
      <c r="Q1835" s="198"/>
      <c r="R1835" s="198"/>
      <c r="S1835" s="198"/>
      <c r="T1835" s="198"/>
      <c r="U1835" s="198"/>
      <c r="V1835" s="198"/>
      <c r="W1835" s="198"/>
      <c r="X1835" s="198"/>
      <c r="Y1835" s="198"/>
      <c r="Z1835" s="198"/>
    </row>
    <row r="1836" spans="1:26" ht="15.75" hidden="1" customHeight="1" x14ac:dyDescent="0.25">
      <c r="A1836" s="213">
        <v>3502</v>
      </c>
      <c r="B1836" s="214" t="s">
        <v>10329</v>
      </c>
      <c r="C1836" s="215" t="s">
        <v>580</v>
      </c>
      <c r="D1836" s="216">
        <v>5.0199999999999996</v>
      </c>
      <c r="E1836" s="198"/>
      <c r="F1836" s="198"/>
      <c r="G1836" s="198"/>
      <c r="H1836" s="198"/>
      <c r="I1836" s="198"/>
      <c r="J1836" s="198"/>
      <c r="K1836" s="198"/>
      <c r="L1836" s="198"/>
      <c r="M1836" s="198"/>
      <c r="N1836" s="198"/>
      <c r="O1836" s="198"/>
      <c r="P1836" s="198"/>
      <c r="Q1836" s="198"/>
      <c r="R1836" s="198"/>
      <c r="S1836" s="198"/>
      <c r="T1836" s="198"/>
      <c r="U1836" s="198"/>
      <c r="V1836" s="198"/>
      <c r="W1836" s="198"/>
      <c r="X1836" s="198"/>
      <c r="Y1836" s="198"/>
      <c r="Z1836" s="198"/>
    </row>
    <row r="1837" spans="1:26" ht="15.75" hidden="1" customHeight="1" x14ac:dyDescent="0.25">
      <c r="A1837" s="213">
        <v>3503</v>
      </c>
      <c r="B1837" s="214" t="s">
        <v>10330</v>
      </c>
      <c r="C1837" s="215" t="s">
        <v>580</v>
      </c>
      <c r="D1837" s="216">
        <v>6.31</v>
      </c>
      <c r="E1837" s="198"/>
      <c r="F1837" s="198"/>
      <c r="G1837" s="198"/>
      <c r="H1837" s="198"/>
      <c r="I1837" s="198"/>
      <c r="J1837" s="198"/>
      <c r="K1837" s="198"/>
      <c r="L1837" s="198"/>
      <c r="M1837" s="198"/>
      <c r="N1837" s="198"/>
      <c r="O1837" s="198"/>
      <c r="P1837" s="198"/>
      <c r="Q1837" s="198"/>
      <c r="R1837" s="198"/>
      <c r="S1837" s="198"/>
      <c r="T1837" s="198"/>
      <c r="U1837" s="198"/>
      <c r="V1837" s="198"/>
      <c r="W1837" s="198"/>
      <c r="X1837" s="198"/>
      <c r="Y1837" s="198"/>
      <c r="Z1837" s="198"/>
    </row>
    <row r="1838" spans="1:26" ht="15.75" hidden="1" customHeight="1" x14ac:dyDescent="0.25">
      <c r="A1838" s="213">
        <v>3477</v>
      </c>
      <c r="B1838" s="214" t="s">
        <v>10331</v>
      </c>
      <c r="C1838" s="215" t="s">
        <v>580</v>
      </c>
      <c r="D1838" s="216">
        <v>22.92</v>
      </c>
      <c r="E1838" s="198"/>
      <c r="F1838" s="198"/>
      <c r="G1838" s="198"/>
      <c r="H1838" s="198"/>
      <c r="I1838" s="198"/>
      <c r="J1838" s="198"/>
      <c r="K1838" s="198"/>
      <c r="L1838" s="198"/>
      <c r="M1838" s="198"/>
      <c r="N1838" s="198"/>
      <c r="O1838" s="198"/>
      <c r="P1838" s="198"/>
      <c r="Q1838" s="198"/>
      <c r="R1838" s="198"/>
      <c r="S1838" s="198"/>
      <c r="T1838" s="198"/>
      <c r="U1838" s="198"/>
      <c r="V1838" s="198"/>
      <c r="W1838" s="198"/>
      <c r="X1838" s="198"/>
      <c r="Y1838" s="198"/>
      <c r="Z1838" s="198"/>
    </row>
    <row r="1839" spans="1:26" ht="15.75" hidden="1" customHeight="1" x14ac:dyDescent="0.25">
      <c r="A1839" s="213">
        <v>3478</v>
      </c>
      <c r="B1839" s="214" t="s">
        <v>10332</v>
      </c>
      <c r="C1839" s="215" t="s">
        <v>580</v>
      </c>
      <c r="D1839" s="216">
        <v>54.96</v>
      </c>
      <c r="E1839" s="198"/>
      <c r="F1839" s="198"/>
      <c r="G1839" s="198"/>
      <c r="H1839" s="198"/>
      <c r="I1839" s="198"/>
      <c r="J1839" s="198"/>
      <c r="K1839" s="198"/>
      <c r="L1839" s="198"/>
      <c r="M1839" s="198"/>
      <c r="N1839" s="198"/>
      <c r="O1839" s="198"/>
      <c r="P1839" s="198"/>
      <c r="Q1839" s="198"/>
      <c r="R1839" s="198"/>
      <c r="S1839" s="198"/>
      <c r="T1839" s="198"/>
      <c r="U1839" s="198"/>
      <c r="V1839" s="198"/>
      <c r="W1839" s="198"/>
      <c r="X1839" s="198"/>
      <c r="Y1839" s="198"/>
      <c r="Z1839" s="198"/>
    </row>
    <row r="1840" spans="1:26" ht="15.75" hidden="1" customHeight="1" x14ac:dyDescent="0.25">
      <c r="A1840" s="213">
        <v>3525</v>
      </c>
      <c r="B1840" s="214" t="s">
        <v>10333</v>
      </c>
      <c r="C1840" s="215" t="s">
        <v>580</v>
      </c>
      <c r="D1840" s="216">
        <v>67.83</v>
      </c>
      <c r="E1840" s="198"/>
      <c r="F1840" s="198"/>
      <c r="G1840" s="198"/>
      <c r="H1840" s="198"/>
      <c r="I1840" s="198"/>
      <c r="J1840" s="198"/>
      <c r="K1840" s="198"/>
      <c r="L1840" s="198"/>
      <c r="M1840" s="198"/>
      <c r="N1840" s="198"/>
      <c r="O1840" s="198"/>
      <c r="P1840" s="198"/>
      <c r="Q1840" s="198"/>
      <c r="R1840" s="198"/>
      <c r="S1840" s="198"/>
      <c r="T1840" s="198"/>
      <c r="U1840" s="198"/>
      <c r="V1840" s="198"/>
      <c r="W1840" s="198"/>
      <c r="X1840" s="198"/>
      <c r="Y1840" s="198"/>
      <c r="Z1840" s="198"/>
    </row>
    <row r="1841" spans="1:26" ht="15.75" hidden="1" customHeight="1" x14ac:dyDescent="0.25">
      <c r="A1841" s="213">
        <v>3511</v>
      </c>
      <c r="B1841" s="214" t="s">
        <v>10334</v>
      </c>
      <c r="C1841" s="215" t="s">
        <v>580</v>
      </c>
      <c r="D1841" s="216">
        <v>71.95</v>
      </c>
      <c r="E1841" s="198"/>
      <c r="F1841" s="198"/>
      <c r="G1841" s="198"/>
      <c r="H1841" s="198"/>
      <c r="I1841" s="198"/>
      <c r="J1841" s="198"/>
      <c r="K1841" s="198"/>
      <c r="L1841" s="198"/>
      <c r="M1841" s="198"/>
      <c r="N1841" s="198"/>
      <c r="O1841" s="198"/>
      <c r="P1841" s="198"/>
      <c r="Q1841" s="198"/>
      <c r="R1841" s="198"/>
      <c r="S1841" s="198"/>
      <c r="T1841" s="198"/>
      <c r="U1841" s="198"/>
      <c r="V1841" s="198"/>
      <c r="W1841" s="198"/>
      <c r="X1841" s="198"/>
      <c r="Y1841" s="198"/>
      <c r="Z1841" s="198"/>
    </row>
    <row r="1842" spans="1:26" ht="15.75" hidden="1" customHeight="1" x14ac:dyDescent="0.25">
      <c r="A1842" s="213">
        <v>12032</v>
      </c>
      <c r="B1842" s="214" t="s">
        <v>10335</v>
      </c>
      <c r="C1842" s="215" t="s">
        <v>8869</v>
      </c>
      <c r="D1842" s="216">
        <v>53.25</v>
      </c>
      <c r="E1842" s="198"/>
      <c r="F1842" s="198"/>
      <c r="G1842" s="198"/>
      <c r="H1842" s="198"/>
      <c r="I1842" s="198"/>
      <c r="J1842" s="198"/>
      <c r="K1842" s="198"/>
      <c r="L1842" s="198"/>
      <c r="M1842" s="198"/>
      <c r="N1842" s="198"/>
      <c r="O1842" s="198"/>
      <c r="P1842" s="198"/>
      <c r="Q1842" s="198"/>
      <c r="R1842" s="198"/>
      <c r="S1842" s="198"/>
      <c r="T1842" s="198"/>
      <c r="U1842" s="198"/>
      <c r="V1842" s="198"/>
      <c r="W1842" s="198"/>
      <c r="X1842" s="198"/>
      <c r="Y1842" s="198"/>
      <c r="Z1842" s="198"/>
    </row>
    <row r="1843" spans="1:26" ht="15.75" hidden="1" customHeight="1" x14ac:dyDescent="0.25">
      <c r="A1843" s="213">
        <v>12030</v>
      </c>
      <c r="B1843" s="214" t="s">
        <v>10336</v>
      </c>
      <c r="C1843" s="215" t="s">
        <v>8869</v>
      </c>
      <c r="D1843" s="216">
        <v>50.03</v>
      </c>
      <c r="E1843" s="198"/>
      <c r="F1843" s="198"/>
      <c r="G1843" s="198"/>
      <c r="H1843" s="198"/>
      <c r="I1843" s="198"/>
      <c r="J1843" s="198"/>
      <c r="K1843" s="198"/>
      <c r="L1843" s="198"/>
      <c r="M1843" s="198"/>
      <c r="N1843" s="198"/>
      <c r="O1843" s="198"/>
      <c r="P1843" s="198"/>
      <c r="Q1843" s="198"/>
      <c r="R1843" s="198"/>
      <c r="S1843" s="198"/>
      <c r="T1843" s="198"/>
      <c r="U1843" s="198"/>
      <c r="V1843" s="198"/>
      <c r="W1843" s="198"/>
      <c r="X1843" s="198"/>
      <c r="Y1843" s="198"/>
      <c r="Z1843" s="198"/>
    </row>
    <row r="1844" spans="1:26" ht="15.75" hidden="1" customHeight="1" x14ac:dyDescent="0.25">
      <c r="A1844" s="213">
        <v>10908</v>
      </c>
      <c r="B1844" s="214" t="s">
        <v>10337</v>
      </c>
      <c r="C1844" s="215" t="s">
        <v>580</v>
      </c>
      <c r="D1844" s="216">
        <v>18.39</v>
      </c>
      <c r="E1844" s="198"/>
      <c r="F1844" s="198"/>
      <c r="G1844" s="198"/>
      <c r="H1844" s="198"/>
      <c r="I1844" s="198"/>
      <c r="J1844" s="198"/>
      <c r="K1844" s="198"/>
      <c r="L1844" s="198"/>
      <c r="M1844" s="198"/>
      <c r="N1844" s="198"/>
      <c r="O1844" s="198"/>
      <c r="P1844" s="198"/>
      <c r="Q1844" s="198"/>
      <c r="R1844" s="198"/>
      <c r="S1844" s="198"/>
      <c r="T1844" s="198"/>
      <c r="U1844" s="198"/>
      <c r="V1844" s="198"/>
      <c r="W1844" s="198"/>
      <c r="X1844" s="198"/>
      <c r="Y1844" s="198"/>
      <c r="Z1844" s="198"/>
    </row>
    <row r="1845" spans="1:26" ht="15.75" hidden="1" customHeight="1" x14ac:dyDescent="0.25">
      <c r="A1845" s="213">
        <v>10909</v>
      </c>
      <c r="B1845" s="214" t="s">
        <v>10338</v>
      </c>
      <c r="C1845" s="215" t="s">
        <v>580</v>
      </c>
      <c r="D1845" s="216">
        <v>21.4</v>
      </c>
      <c r="E1845" s="198"/>
      <c r="F1845" s="198"/>
      <c r="G1845" s="198"/>
      <c r="H1845" s="198"/>
      <c r="I1845" s="198"/>
      <c r="J1845" s="198"/>
      <c r="K1845" s="198"/>
      <c r="L1845" s="198"/>
      <c r="M1845" s="198"/>
      <c r="N1845" s="198"/>
      <c r="O1845" s="198"/>
      <c r="P1845" s="198"/>
      <c r="Q1845" s="198"/>
      <c r="R1845" s="198"/>
      <c r="S1845" s="198"/>
      <c r="T1845" s="198"/>
      <c r="U1845" s="198"/>
      <c r="V1845" s="198"/>
      <c r="W1845" s="198"/>
      <c r="X1845" s="198"/>
      <c r="Y1845" s="198"/>
      <c r="Z1845" s="198"/>
    </row>
    <row r="1846" spans="1:26" ht="15.75" hidden="1" customHeight="1" x14ac:dyDescent="0.25">
      <c r="A1846" s="213">
        <v>3669</v>
      </c>
      <c r="B1846" s="214" t="s">
        <v>10339</v>
      </c>
      <c r="C1846" s="215" t="s">
        <v>580</v>
      </c>
      <c r="D1846" s="216">
        <v>13.14</v>
      </c>
      <c r="E1846" s="198"/>
      <c r="F1846" s="198"/>
      <c r="G1846" s="198"/>
      <c r="H1846" s="198"/>
      <c r="I1846" s="198"/>
      <c r="J1846" s="198"/>
      <c r="K1846" s="198"/>
      <c r="L1846" s="198"/>
      <c r="M1846" s="198"/>
      <c r="N1846" s="198"/>
      <c r="O1846" s="198"/>
      <c r="P1846" s="198"/>
      <c r="Q1846" s="198"/>
      <c r="R1846" s="198"/>
      <c r="S1846" s="198"/>
      <c r="T1846" s="198"/>
      <c r="U1846" s="198"/>
      <c r="V1846" s="198"/>
      <c r="W1846" s="198"/>
      <c r="X1846" s="198"/>
      <c r="Y1846" s="198"/>
      <c r="Z1846" s="198"/>
    </row>
    <row r="1847" spans="1:26" ht="15.75" hidden="1" customHeight="1" x14ac:dyDescent="0.25">
      <c r="A1847" s="213">
        <v>20139</v>
      </c>
      <c r="B1847" s="214" t="s">
        <v>10340</v>
      </c>
      <c r="C1847" s="215" t="s">
        <v>580</v>
      </c>
      <c r="D1847" s="216">
        <v>113.05</v>
      </c>
      <c r="E1847" s="198"/>
      <c r="F1847" s="198"/>
      <c r="G1847" s="198"/>
      <c r="H1847" s="198"/>
      <c r="I1847" s="198"/>
      <c r="J1847" s="198"/>
      <c r="K1847" s="198"/>
      <c r="L1847" s="198"/>
      <c r="M1847" s="198"/>
      <c r="N1847" s="198"/>
      <c r="O1847" s="198"/>
      <c r="P1847" s="198"/>
      <c r="Q1847" s="198"/>
      <c r="R1847" s="198"/>
      <c r="S1847" s="198"/>
      <c r="T1847" s="198"/>
      <c r="U1847" s="198"/>
      <c r="V1847" s="198"/>
      <c r="W1847" s="198"/>
      <c r="X1847" s="198"/>
      <c r="Y1847" s="198"/>
      <c r="Z1847" s="198"/>
    </row>
    <row r="1848" spans="1:26" ht="15.75" hidden="1" customHeight="1" x14ac:dyDescent="0.25">
      <c r="A1848" s="213">
        <v>3668</v>
      </c>
      <c r="B1848" s="214" t="s">
        <v>10341</v>
      </c>
      <c r="C1848" s="215" t="s">
        <v>580</v>
      </c>
      <c r="D1848" s="216">
        <v>40.380000000000003</v>
      </c>
      <c r="E1848" s="198"/>
      <c r="F1848" s="198"/>
      <c r="G1848" s="198"/>
      <c r="H1848" s="198"/>
      <c r="I1848" s="198"/>
      <c r="J1848" s="198"/>
      <c r="K1848" s="198"/>
      <c r="L1848" s="198"/>
      <c r="M1848" s="198"/>
      <c r="N1848" s="198"/>
      <c r="O1848" s="198"/>
      <c r="P1848" s="198"/>
      <c r="Q1848" s="198"/>
      <c r="R1848" s="198"/>
      <c r="S1848" s="198"/>
      <c r="T1848" s="198"/>
      <c r="U1848" s="198"/>
      <c r="V1848" s="198"/>
      <c r="W1848" s="198"/>
      <c r="X1848" s="198"/>
      <c r="Y1848" s="198"/>
      <c r="Z1848" s="198"/>
    </row>
    <row r="1849" spans="1:26" ht="15.75" hidden="1" customHeight="1" x14ac:dyDescent="0.25">
      <c r="A1849" s="213">
        <v>10911</v>
      </c>
      <c r="B1849" s="214" t="s">
        <v>10342</v>
      </c>
      <c r="C1849" s="215" t="s">
        <v>580</v>
      </c>
      <c r="D1849" s="216">
        <v>17.7</v>
      </c>
      <c r="E1849" s="198"/>
      <c r="F1849" s="198"/>
      <c r="G1849" s="198"/>
      <c r="H1849" s="198"/>
      <c r="I1849" s="198"/>
      <c r="J1849" s="198"/>
      <c r="K1849" s="198"/>
      <c r="L1849" s="198"/>
      <c r="M1849" s="198"/>
      <c r="N1849" s="198"/>
      <c r="O1849" s="198"/>
      <c r="P1849" s="198"/>
      <c r="Q1849" s="198"/>
      <c r="R1849" s="198"/>
      <c r="S1849" s="198"/>
      <c r="T1849" s="198"/>
      <c r="U1849" s="198"/>
      <c r="V1849" s="198"/>
      <c r="W1849" s="198"/>
      <c r="X1849" s="198"/>
      <c r="Y1849" s="198"/>
      <c r="Z1849" s="198"/>
    </row>
    <row r="1850" spans="1:26" ht="15.75" hidden="1" customHeight="1" x14ac:dyDescent="0.25">
      <c r="A1850" s="213">
        <v>3659</v>
      </c>
      <c r="B1850" s="214" t="s">
        <v>10343</v>
      </c>
      <c r="C1850" s="215" t="s">
        <v>580</v>
      </c>
      <c r="D1850" s="216">
        <v>18.04</v>
      </c>
      <c r="E1850" s="198"/>
      <c r="F1850" s="198"/>
      <c r="G1850" s="198"/>
      <c r="H1850" s="198"/>
      <c r="I1850" s="198"/>
      <c r="J1850" s="198"/>
      <c r="K1850" s="198"/>
      <c r="L1850" s="198"/>
      <c r="M1850" s="198"/>
      <c r="N1850" s="198"/>
      <c r="O1850" s="198"/>
      <c r="P1850" s="198"/>
      <c r="Q1850" s="198"/>
      <c r="R1850" s="198"/>
      <c r="S1850" s="198"/>
      <c r="T1850" s="198"/>
      <c r="U1850" s="198"/>
      <c r="V1850" s="198"/>
      <c r="W1850" s="198"/>
      <c r="X1850" s="198"/>
      <c r="Y1850" s="198"/>
      <c r="Z1850" s="198"/>
    </row>
    <row r="1851" spans="1:26" ht="15.75" hidden="1" customHeight="1" x14ac:dyDescent="0.25">
      <c r="A1851" s="213">
        <v>3660</v>
      </c>
      <c r="B1851" s="214" t="s">
        <v>10344</v>
      </c>
      <c r="C1851" s="215" t="s">
        <v>580</v>
      </c>
      <c r="D1851" s="216">
        <v>23.32</v>
      </c>
      <c r="E1851" s="198"/>
      <c r="F1851" s="198"/>
      <c r="G1851" s="198"/>
      <c r="H1851" s="198"/>
      <c r="I1851" s="198"/>
      <c r="J1851" s="198"/>
      <c r="K1851" s="198"/>
      <c r="L1851" s="198"/>
      <c r="M1851" s="198"/>
      <c r="N1851" s="198"/>
      <c r="O1851" s="198"/>
      <c r="P1851" s="198"/>
      <c r="Q1851" s="198"/>
      <c r="R1851" s="198"/>
      <c r="S1851" s="198"/>
      <c r="T1851" s="198"/>
      <c r="U1851" s="198"/>
      <c r="V1851" s="198"/>
      <c r="W1851" s="198"/>
      <c r="X1851" s="198"/>
      <c r="Y1851" s="198"/>
      <c r="Z1851" s="198"/>
    </row>
    <row r="1852" spans="1:26" ht="15.75" hidden="1" customHeight="1" x14ac:dyDescent="0.25">
      <c r="A1852" s="213">
        <v>20144</v>
      </c>
      <c r="B1852" s="214" t="s">
        <v>10345</v>
      </c>
      <c r="C1852" s="215" t="s">
        <v>580</v>
      </c>
      <c r="D1852" s="216">
        <v>52.23</v>
      </c>
      <c r="E1852" s="198"/>
      <c r="F1852" s="198"/>
      <c r="G1852" s="198"/>
      <c r="H1852" s="198"/>
      <c r="I1852" s="198"/>
      <c r="J1852" s="198"/>
      <c r="K1852" s="198"/>
      <c r="L1852" s="198"/>
      <c r="M1852" s="198"/>
      <c r="N1852" s="198"/>
      <c r="O1852" s="198"/>
      <c r="P1852" s="198"/>
      <c r="Q1852" s="198"/>
      <c r="R1852" s="198"/>
      <c r="S1852" s="198"/>
      <c r="T1852" s="198"/>
      <c r="U1852" s="198"/>
      <c r="V1852" s="198"/>
      <c r="W1852" s="198"/>
      <c r="X1852" s="198"/>
      <c r="Y1852" s="198"/>
      <c r="Z1852" s="198"/>
    </row>
    <row r="1853" spans="1:26" ht="15.75" hidden="1" customHeight="1" x14ac:dyDescent="0.25">
      <c r="A1853" s="213">
        <v>20143</v>
      </c>
      <c r="B1853" s="214" t="s">
        <v>10346</v>
      </c>
      <c r="C1853" s="215" t="s">
        <v>580</v>
      </c>
      <c r="D1853" s="216">
        <v>66.83</v>
      </c>
      <c r="E1853" s="198"/>
      <c r="F1853" s="198"/>
      <c r="G1853" s="198"/>
      <c r="H1853" s="198"/>
      <c r="I1853" s="198"/>
      <c r="J1853" s="198"/>
      <c r="K1853" s="198"/>
      <c r="L1853" s="198"/>
      <c r="M1853" s="198"/>
      <c r="N1853" s="198"/>
      <c r="O1853" s="198"/>
      <c r="P1853" s="198"/>
      <c r="Q1853" s="198"/>
      <c r="R1853" s="198"/>
      <c r="S1853" s="198"/>
      <c r="T1853" s="198"/>
      <c r="U1853" s="198"/>
      <c r="V1853" s="198"/>
      <c r="W1853" s="198"/>
      <c r="X1853" s="198"/>
      <c r="Y1853" s="198"/>
      <c r="Z1853" s="198"/>
    </row>
    <row r="1854" spans="1:26" ht="15.75" hidden="1" customHeight="1" x14ac:dyDescent="0.25">
      <c r="A1854" s="213">
        <v>20145</v>
      </c>
      <c r="B1854" s="214" t="s">
        <v>10347</v>
      </c>
      <c r="C1854" s="215" t="s">
        <v>580</v>
      </c>
      <c r="D1854" s="216">
        <v>128.91</v>
      </c>
      <c r="E1854" s="198"/>
      <c r="F1854" s="198"/>
      <c r="G1854" s="198"/>
      <c r="H1854" s="198"/>
      <c r="I1854" s="198"/>
      <c r="J1854" s="198"/>
      <c r="K1854" s="198"/>
      <c r="L1854" s="198"/>
      <c r="M1854" s="198"/>
      <c r="N1854" s="198"/>
      <c r="O1854" s="198"/>
      <c r="P1854" s="198"/>
      <c r="Q1854" s="198"/>
      <c r="R1854" s="198"/>
      <c r="S1854" s="198"/>
      <c r="T1854" s="198"/>
      <c r="U1854" s="198"/>
      <c r="V1854" s="198"/>
      <c r="W1854" s="198"/>
      <c r="X1854" s="198"/>
      <c r="Y1854" s="198"/>
      <c r="Z1854" s="198"/>
    </row>
    <row r="1855" spans="1:26" ht="15.75" hidden="1" customHeight="1" x14ac:dyDescent="0.25">
      <c r="A1855" s="213">
        <v>20146</v>
      </c>
      <c r="B1855" s="214" t="s">
        <v>10348</v>
      </c>
      <c r="C1855" s="215" t="s">
        <v>580</v>
      </c>
      <c r="D1855" s="216">
        <v>176.22</v>
      </c>
      <c r="E1855" s="198"/>
      <c r="F1855" s="198"/>
      <c r="G1855" s="198"/>
      <c r="H1855" s="198"/>
      <c r="I1855" s="198"/>
      <c r="J1855" s="198"/>
      <c r="K1855" s="198"/>
      <c r="L1855" s="198"/>
      <c r="M1855" s="198"/>
      <c r="N1855" s="198"/>
      <c r="O1855" s="198"/>
      <c r="P1855" s="198"/>
      <c r="Q1855" s="198"/>
      <c r="R1855" s="198"/>
      <c r="S1855" s="198"/>
      <c r="T1855" s="198"/>
      <c r="U1855" s="198"/>
      <c r="V1855" s="198"/>
      <c r="W1855" s="198"/>
      <c r="X1855" s="198"/>
      <c r="Y1855" s="198"/>
      <c r="Z1855" s="198"/>
    </row>
    <row r="1856" spans="1:26" ht="15.75" hidden="1" customHeight="1" x14ac:dyDescent="0.25">
      <c r="A1856" s="213">
        <v>20140</v>
      </c>
      <c r="B1856" s="214" t="s">
        <v>10349</v>
      </c>
      <c r="C1856" s="215" t="s">
        <v>580</v>
      </c>
      <c r="D1856" s="216">
        <v>8.26</v>
      </c>
      <c r="E1856" s="198"/>
      <c r="F1856" s="198"/>
      <c r="G1856" s="198"/>
      <c r="H1856" s="198"/>
      <c r="I1856" s="198"/>
      <c r="J1856" s="198"/>
      <c r="K1856" s="198"/>
      <c r="L1856" s="198"/>
      <c r="M1856" s="198"/>
      <c r="N1856" s="198"/>
      <c r="O1856" s="198"/>
      <c r="P1856" s="198"/>
      <c r="Q1856" s="198"/>
      <c r="R1856" s="198"/>
      <c r="S1856" s="198"/>
      <c r="T1856" s="198"/>
      <c r="U1856" s="198"/>
      <c r="V1856" s="198"/>
      <c r="W1856" s="198"/>
      <c r="X1856" s="198"/>
      <c r="Y1856" s="198"/>
      <c r="Z1856" s="198"/>
    </row>
    <row r="1857" spans="1:26" ht="15.75" hidden="1" customHeight="1" x14ac:dyDescent="0.25">
      <c r="A1857" s="213">
        <v>20141</v>
      </c>
      <c r="B1857" s="214" t="s">
        <v>10350</v>
      </c>
      <c r="C1857" s="215" t="s">
        <v>580</v>
      </c>
      <c r="D1857" s="216">
        <v>20.25</v>
      </c>
      <c r="E1857" s="198"/>
      <c r="F1857" s="198"/>
      <c r="G1857" s="198"/>
      <c r="H1857" s="198"/>
      <c r="I1857" s="198"/>
      <c r="J1857" s="198"/>
      <c r="K1857" s="198"/>
      <c r="L1857" s="198"/>
      <c r="M1857" s="198"/>
      <c r="N1857" s="198"/>
      <c r="O1857" s="198"/>
      <c r="P1857" s="198"/>
      <c r="Q1857" s="198"/>
      <c r="R1857" s="198"/>
      <c r="S1857" s="198"/>
      <c r="T1857" s="198"/>
      <c r="U1857" s="198"/>
      <c r="V1857" s="198"/>
      <c r="W1857" s="198"/>
      <c r="X1857" s="198"/>
      <c r="Y1857" s="198"/>
      <c r="Z1857" s="198"/>
    </row>
    <row r="1858" spans="1:26" ht="15.75" hidden="1" customHeight="1" x14ac:dyDescent="0.25">
      <c r="A1858" s="213">
        <v>20142</v>
      </c>
      <c r="B1858" s="214" t="s">
        <v>10351</v>
      </c>
      <c r="C1858" s="215" t="s">
        <v>580</v>
      </c>
      <c r="D1858" s="216">
        <v>35.619999999999997</v>
      </c>
      <c r="E1858" s="198"/>
      <c r="F1858" s="198"/>
      <c r="G1858" s="198"/>
      <c r="H1858" s="198"/>
      <c r="I1858" s="198"/>
      <c r="J1858" s="198"/>
      <c r="K1858" s="198"/>
      <c r="L1858" s="198"/>
      <c r="M1858" s="198"/>
      <c r="N1858" s="198"/>
      <c r="O1858" s="198"/>
      <c r="P1858" s="198"/>
      <c r="Q1858" s="198"/>
      <c r="R1858" s="198"/>
      <c r="S1858" s="198"/>
      <c r="T1858" s="198"/>
      <c r="U1858" s="198"/>
      <c r="V1858" s="198"/>
      <c r="W1858" s="198"/>
      <c r="X1858" s="198"/>
      <c r="Y1858" s="198"/>
      <c r="Z1858" s="198"/>
    </row>
    <row r="1859" spans="1:26" ht="15.75" hidden="1" customHeight="1" x14ac:dyDescent="0.25">
      <c r="A1859" s="213">
        <v>3670</v>
      </c>
      <c r="B1859" s="214" t="s">
        <v>10352</v>
      </c>
      <c r="C1859" s="215" t="s">
        <v>580</v>
      </c>
      <c r="D1859" s="216">
        <v>23.16</v>
      </c>
      <c r="E1859" s="198"/>
      <c r="F1859" s="198"/>
      <c r="G1859" s="198"/>
      <c r="H1859" s="198"/>
      <c r="I1859" s="198"/>
      <c r="J1859" s="198"/>
      <c r="K1859" s="198"/>
      <c r="L1859" s="198"/>
      <c r="M1859" s="198"/>
      <c r="N1859" s="198"/>
      <c r="O1859" s="198"/>
      <c r="P1859" s="198"/>
      <c r="Q1859" s="198"/>
      <c r="R1859" s="198"/>
      <c r="S1859" s="198"/>
      <c r="T1859" s="198"/>
      <c r="U1859" s="198"/>
      <c r="V1859" s="198"/>
      <c r="W1859" s="198"/>
      <c r="X1859" s="198"/>
      <c r="Y1859" s="198"/>
      <c r="Z1859" s="198"/>
    </row>
    <row r="1860" spans="1:26" ht="15.75" hidden="1" customHeight="1" x14ac:dyDescent="0.25">
      <c r="A1860" s="213">
        <v>3666</v>
      </c>
      <c r="B1860" s="214" t="s">
        <v>10353</v>
      </c>
      <c r="C1860" s="215" t="s">
        <v>580</v>
      </c>
      <c r="D1860" s="216">
        <v>3.64</v>
      </c>
      <c r="E1860" s="198"/>
      <c r="F1860" s="198"/>
      <c r="G1860" s="198"/>
      <c r="H1860" s="198"/>
      <c r="I1860" s="198"/>
      <c r="J1860" s="198"/>
      <c r="K1860" s="198"/>
      <c r="L1860" s="198"/>
      <c r="M1860" s="198"/>
      <c r="N1860" s="198"/>
      <c r="O1860" s="198"/>
      <c r="P1860" s="198"/>
      <c r="Q1860" s="198"/>
      <c r="R1860" s="198"/>
      <c r="S1860" s="198"/>
      <c r="T1860" s="198"/>
      <c r="U1860" s="198"/>
      <c r="V1860" s="198"/>
      <c r="W1860" s="198"/>
      <c r="X1860" s="198"/>
      <c r="Y1860" s="198"/>
      <c r="Z1860" s="198"/>
    </row>
    <row r="1861" spans="1:26" ht="15.75" hidden="1" customHeight="1" x14ac:dyDescent="0.25">
      <c r="A1861" s="213">
        <v>3662</v>
      </c>
      <c r="B1861" s="214" t="s">
        <v>10354</v>
      </c>
      <c r="C1861" s="215" t="s">
        <v>580</v>
      </c>
      <c r="D1861" s="216">
        <v>9.5</v>
      </c>
      <c r="E1861" s="198"/>
      <c r="F1861" s="198"/>
      <c r="G1861" s="198"/>
      <c r="H1861" s="198"/>
      <c r="I1861" s="198"/>
      <c r="J1861" s="198"/>
      <c r="K1861" s="198"/>
      <c r="L1861" s="198"/>
      <c r="M1861" s="198"/>
      <c r="N1861" s="198"/>
      <c r="O1861" s="198"/>
      <c r="P1861" s="198"/>
      <c r="Q1861" s="198"/>
      <c r="R1861" s="198"/>
      <c r="S1861" s="198"/>
      <c r="T1861" s="198"/>
      <c r="U1861" s="198"/>
      <c r="V1861" s="198"/>
      <c r="W1861" s="198"/>
      <c r="X1861" s="198"/>
      <c r="Y1861" s="198"/>
      <c r="Z1861" s="198"/>
    </row>
    <row r="1862" spans="1:26" ht="15.75" hidden="1" customHeight="1" x14ac:dyDescent="0.25">
      <c r="A1862" s="213">
        <v>3658</v>
      </c>
      <c r="B1862" s="214" t="s">
        <v>10355</v>
      </c>
      <c r="C1862" s="215" t="s">
        <v>580</v>
      </c>
      <c r="D1862" s="216">
        <v>18.010000000000002</v>
      </c>
      <c r="E1862" s="198"/>
      <c r="F1862" s="198"/>
      <c r="G1862" s="198"/>
      <c r="H1862" s="198"/>
      <c r="I1862" s="198"/>
      <c r="J1862" s="198"/>
      <c r="K1862" s="198"/>
      <c r="L1862" s="198"/>
      <c r="M1862" s="198"/>
      <c r="N1862" s="198"/>
      <c r="O1862" s="198"/>
      <c r="P1862" s="198"/>
      <c r="Q1862" s="198"/>
      <c r="R1862" s="198"/>
      <c r="S1862" s="198"/>
      <c r="T1862" s="198"/>
      <c r="U1862" s="198"/>
      <c r="V1862" s="198"/>
      <c r="W1862" s="198"/>
      <c r="X1862" s="198"/>
      <c r="Y1862" s="198"/>
      <c r="Z1862" s="198"/>
    </row>
    <row r="1863" spans="1:26" ht="15.75" hidden="1" customHeight="1" x14ac:dyDescent="0.25">
      <c r="A1863" s="213">
        <v>42696</v>
      </c>
      <c r="B1863" s="214" t="s">
        <v>10356</v>
      </c>
      <c r="C1863" s="215" t="s">
        <v>580</v>
      </c>
      <c r="D1863" s="216">
        <v>142.80000000000001</v>
      </c>
      <c r="E1863" s="198"/>
      <c r="F1863" s="198"/>
      <c r="G1863" s="198"/>
      <c r="H1863" s="198"/>
      <c r="I1863" s="198"/>
      <c r="J1863" s="198"/>
      <c r="K1863" s="198"/>
      <c r="L1863" s="198"/>
      <c r="M1863" s="198"/>
      <c r="N1863" s="198"/>
      <c r="O1863" s="198"/>
      <c r="P1863" s="198"/>
      <c r="Q1863" s="198"/>
      <c r="R1863" s="198"/>
      <c r="S1863" s="198"/>
      <c r="T1863" s="198"/>
      <c r="U1863" s="198"/>
      <c r="V1863" s="198"/>
      <c r="W1863" s="198"/>
      <c r="X1863" s="198"/>
      <c r="Y1863" s="198"/>
      <c r="Z1863" s="198"/>
    </row>
    <row r="1864" spans="1:26" ht="15.75" hidden="1" customHeight="1" x14ac:dyDescent="0.25">
      <c r="A1864" s="213">
        <v>38394</v>
      </c>
      <c r="B1864" s="214" t="s">
        <v>10357</v>
      </c>
      <c r="C1864" s="215" t="s">
        <v>580</v>
      </c>
      <c r="D1864" s="216">
        <v>293.26</v>
      </c>
      <c r="E1864" s="198"/>
      <c r="F1864" s="198"/>
      <c r="G1864" s="198"/>
      <c r="H1864" s="198"/>
      <c r="I1864" s="198"/>
      <c r="J1864" s="198"/>
      <c r="K1864" s="198"/>
      <c r="L1864" s="198"/>
      <c r="M1864" s="198"/>
      <c r="N1864" s="198"/>
      <c r="O1864" s="198"/>
      <c r="P1864" s="198"/>
      <c r="Q1864" s="198"/>
      <c r="R1864" s="198"/>
      <c r="S1864" s="198"/>
      <c r="T1864" s="198"/>
      <c r="U1864" s="198"/>
      <c r="V1864" s="198"/>
      <c r="W1864" s="198"/>
      <c r="X1864" s="198"/>
      <c r="Y1864" s="198"/>
      <c r="Z1864" s="198"/>
    </row>
    <row r="1865" spans="1:26" ht="15.75" hidden="1" customHeight="1" x14ac:dyDescent="0.25">
      <c r="A1865" s="213">
        <v>3729</v>
      </c>
      <c r="B1865" s="214" t="s">
        <v>10358</v>
      </c>
      <c r="C1865" s="215" t="s">
        <v>580</v>
      </c>
      <c r="D1865" s="216">
        <v>116.87</v>
      </c>
      <c r="E1865" s="198"/>
      <c r="F1865" s="198"/>
      <c r="G1865" s="198"/>
      <c r="H1865" s="198"/>
      <c r="I1865" s="198"/>
      <c r="J1865" s="198"/>
      <c r="K1865" s="198"/>
      <c r="L1865" s="198"/>
      <c r="M1865" s="198"/>
      <c r="N1865" s="198"/>
      <c r="O1865" s="198"/>
      <c r="P1865" s="198"/>
      <c r="Q1865" s="198"/>
      <c r="R1865" s="198"/>
      <c r="S1865" s="198"/>
      <c r="T1865" s="198"/>
      <c r="U1865" s="198"/>
      <c r="V1865" s="198"/>
      <c r="W1865" s="198"/>
      <c r="X1865" s="198"/>
      <c r="Y1865" s="198"/>
      <c r="Z1865" s="198"/>
    </row>
    <row r="1866" spans="1:26" ht="15.75" hidden="1" customHeight="1" x14ac:dyDescent="0.25">
      <c r="A1866" s="213">
        <v>39398</v>
      </c>
      <c r="B1866" s="214" t="s">
        <v>10359</v>
      </c>
      <c r="C1866" s="215" t="s">
        <v>580</v>
      </c>
      <c r="D1866" s="216">
        <v>221.19</v>
      </c>
      <c r="E1866" s="198"/>
      <c r="F1866" s="198"/>
      <c r="G1866" s="198"/>
      <c r="H1866" s="198"/>
      <c r="I1866" s="198"/>
      <c r="J1866" s="198"/>
      <c r="K1866" s="198"/>
      <c r="L1866" s="198"/>
      <c r="M1866" s="198"/>
      <c r="N1866" s="198"/>
      <c r="O1866" s="198"/>
      <c r="P1866" s="198"/>
      <c r="Q1866" s="198"/>
      <c r="R1866" s="198"/>
      <c r="S1866" s="198"/>
      <c r="T1866" s="198"/>
      <c r="U1866" s="198"/>
      <c r="V1866" s="198"/>
      <c r="W1866" s="198"/>
      <c r="X1866" s="198"/>
      <c r="Y1866" s="198"/>
      <c r="Z1866" s="198"/>
    </row>
    <row r="1867" spans="1:26" ht="15.75" hidden="1" customHeight="1" x14ac:dyDescent="0.25">
      <c r="A1867" s="213">
        <v>13343</v>
      </c>
      <c r="B1867" s="214" t="s">
        <v>10360</v>
      </c>
      <c r="C1867" s="215" t="s">
        <v>580</v>
      </c>
      <c r="D1867" s="216">
        <v>40.18</v>
      </c>
      <c r="E1867" s="198"/>
      <c r="F1867" s="198"/>
      <c r="G1867" s="198"/>
      <c r="H1867" s="198"/>
      <c r="I1867" s="198"/>
      <c r="J1867" s="198"/>
      <c r="K1867" s="198"/>
      <c r="L1867" s="198"/>
      <c r="M1867" s="198"/>
      <c r="N1867" s="198"/>
      <c r="O1867" s="198"/>
      <c r="P1867" s="198"/>
      <c r="Q1867" s="198"/>
      <c r="R1867" s="198"/>
      <c r="S1867" s="198"/>
      <c r="T1867" s="198"/>
      <c r="U1867" s="198"/>
      <c r="V1867" s="198"/>
      <c r="W1867" s="198"/>
      <c r="X1867" s="198"/>
      <c r="Y1867" s="198"/>
      <c r="Z1867" s="198"/>
    </row>
    <row r="1868" spans="1:26" ht="15.75" hidden="1" customHeight="1" x14ac:dyDescent="0.25">
      <c r="A1868" s="213">
        <v>12118</v>
      </c>
      <c r="B1868" s="214" t="s">
        <v>10361</v>
      </c>
      <c r="C1868" s="215" t="s">
        <v>580</v>
      </c>
      <c r="D1868" s="216">
        <v>25.06</v>
      </c>
      <c r="E1868" s="198"/>
      <c r="F1868" s="198"/>
      <c r="G1868" s="198"/>
      <c r="H1868" s="198"/>
      <c r="I1868" s="198"/>
      <c r="J1868" s="198"/>
      <c r="K1868" s="198"/>
      <c r="L1868" s="198"/>
      <c r="M1868" s="198"/>
      <c r="N1868" s="198"/>
      <c r="O1868" s="198"/>
      <c r="P1868" s="198"/>
      <c r="Q1868" s="198"/>
      <c r="R1868" s="198"/>
      <c r="S1868" s="198"/>
      <c r="T1868" s="198"/>
      <c r="U1868" s="198"/>
      <c r="V1868" s="198"/>
      <c r="W1868" s="198"/>
      <c r="X1868" s="198"/>
      <c r="Y1868" s="198"/>
      <c r="Z1868" s="198"/>
    </row>
    <row r="1869" spans="1:26" ht="15.75" hidden="1" customHeight="1" x14ac:dyDescent="0.25">
      <c r="A1869" s="213">
        <v>39482</v>
      </c>
      <c r="B1869" s="214" t="s">
        <v>10362</v>
      </c>
      <c r="C1869" s="215" t="s">
        <v>580</v>
      </c>
      <c r="D1869" s="216">
        <v>718.33</v>
      </c>
      <c r="E1869" s="198"/>
      <c r="F1869" s="198"/>
      <c r="G1869" s="198"/>
      <c r="H1869" s="198"/>
      <c r="I1869" s="198"/>
      <c r="J1869" s="198"/>
      <c r="K1869" s="198"/>
      <c r="L1869" s="198"/>
      <c r="M1869" s="198"/>
      <c r="N1869" s="198"/>
      <c r="O1869" s="198"/>
      <c r="P1869" s="198"/>
      <c r="Q1869" s="198"/>
      <c r="R1869" s="198"/>
      <c r="S1869" s="198"/>
      <c r="T1869" s="198"/>
      <c r="U1869" s="198"/>
      <c r="V1869" s="198"/>
      <c r="W1869" s="198"/>
      <c r="X1869" s="198"/>
      <c r="Y1869" s="198"/>
      <c r="Z1869" s="198"/>
    </row>
    <row r="1870" spans="1:26" ht="15.75" hidden="1" customHeight="1" x14ac:dyDescent="0.25">
      <c r="A1870" s="213">
        <v>39486</v>
      </c>
      <c r="B1870" s="214" t="s">
        <v>10363</v>
      </c>
      <c r="C1870" s="215" t="s">
        <v>580</v>
      </c>
      <c r="D1870" s="216">
        <v>586.26</v>
      </c>
      <c r="E1870" s="198"/>
      <c r="F1870" s="198"/>
      <c r="G1870" s="198"/>
      <c r="H1870" s="198"/>
      <c r="I1870" s="198"/>
      <c r="J1870" s="198"/>
      <c r="K1870" s="198"/>
      <c r="L1870" s="198"/>
      <c r="M1870" s="198"/>
      <c r="N1870" s="198"/>
      <c r="O1870" s="198"/>
      <c r="P1870" s="198"/>
      <c r="Q1870" s="198"/>
      <c r="R1870" s="198"/>
      <c r="S1870" s="198"/>
      <c r="T1870" s="198"/>
      <c r="U1870" s="198"/>
      <c r="V1870" s="198"/>
      <c r="W1870" s="198"/>
      <c r="X1870" s="198"/>
      <c r="Y1870" s="198"/>
      <c r="Z1870" s="198"/>
    </row>
    <row r="1871" spans="1:26" ht="15.75" hidden="1" customHeight="1" x14ac:dyDescent="0.25">
      <c r="A1871" s="213">
        <v>39484</v>
      </c>
      <c r="B1871" s="214" t="s">
        <v>10364</v>
      </c>
      <c r="C1871" s="215" t="s">
        <v>580</v>
      </c>
      <c r="D1871" s="216">
        <v>718.33</v>
      </c>
      <c r="E1871" s="198"/>
      <c r="F1871" s="198"/>
      <c r="G1871" s="198"/>
      <c r="H1871" s="198"/>
      <c r="I1871" s="198"/>
      <c r="J1871" s="198"/>
      <c r="K1871" s="198"/>
      <c r="L1871" s="198"/>
      <c r="M1871" s="198"/>
      <c r="N1871" s="198"/>
      <c r="O1871" s="198"/>
      <c r="P1871" s="198"/>
      <c r="Q1871" s="198"/>
      <c r="R1871" s="198"/>
      <c r="S1871" s="198"/>
      <c r="T1871" s="198"/>
      <c r="U1871" s="198"/>
      <c r="V1871" s="198"/>
      <c r="W1871" s="198"/>
      <c r="X1871" s="198"/>
      <c r="Y1871" s="198"/>
      <c r="Z1871" s="198"/>
    </row>
    <row r="1872" spans="1:26" ht="15.75" hidden="1" customHeight="1" x14ac:dyDescent="0.25">
      <c r="A1872" s="213">
        <v>39488</v>
      </c>
      <c r="B1872" s="214" t="s">
        <v>10365</v>
      </c>
      <c r="C1872" s="215" t="s">
        <v>580</v>
      </c>
      <c r="D1872" s="216">
        <v>595.86</v>
      </c>
      <c r="E1872" s="198"/>
      <c r="F1872" s="198"/>
      <c r="G1872" s="198"/>
      <c r="H1872" s="198"/>
      <c r="I1872" s="198"/>
      <c r="J1872" s="198"/>
      <c r="K1872" s="198"/>
      <c r="L1872" s="198"/>
      <c r="M1872" s="198"/>
      <c r="N1872" s="198"/>
      <c r="O1872" s="198"/>
      <c r="P1872" s="198"/>
      <c r="Q1872" s="198"/>
      <c r="R1872" s="198"/>
      <c r="S1872" s="198"/>
      <c r="T1872" s="198"/>
      <c r="U1872" s="198"/>
      <c r="V1872" s="198"/>
      <c r="W1872" s="198"/>
      <c r="X1872" s="198"/>
      <c r="Y1872" s="198"/>
      <c r="Z1872" s="198"/>
    </row>
    <row r="1873" spans="1:26" ht="15.75" hidden="1" customHeight="1" x14ac:dyDescent="0.25">
      <c r="A1873" s="213">
        <v>39485</v>
      </c>
      <c r="B1873" s="214" t="s">
        <v>10366</v>
      </c>
      <c r="C1873" s="215" t="s">
        <v>580</v>
      </c>
      <c r="D1873" s="216">
        <v>718.33</v>
      </c>
      <c r="E1873" s="198"/>
      <c r="F1873" s="198"/>
      <c r="G1873" s="198"/>
      <c r="H1873" s="198"/>
      <c r="I1873" s="198"/>
      <c r="J1873" s="198"/>
      <c r="K1873" s="198"/>
      <c r="L1873" s="198"/>
      <c r="M1873" s="198"/>
      <c r="N1873" s="198"/>
      <c r="O1873" s="198"/>
      <c r="P1873" s="198"/>
      <c r="Q1873" s="198"/>
      <c r="R1873" s="198"/>
      <c r="S1873" s="198"/>
      <c r="T1873" s="198"/>
      <c r="U1873" s="198"/>
      <c r="V1873" s="198"/>
      <c r="W1873" s="198"/>
      <c r="X1873" s="198"/>
      <c r="Y1873" s="198"/>
      <c r="Z1873" s="198"/>
    </row>
    <row r="1874" spans="1:26" ht="15.75" hidden="1" customHeight="1" x14ac:dyDescent="0.25">
      <c r="A1874" s="213">
        <v>39489</v>
      </c>
      <c r="B1874" s="214" t="s">
        <v>10367</v>
      </c>
      <c r="C1874" s="215" t="s">
        <v>580</v>
      </c>
      <c r="D1874" s="216">
        <v>605.96</v>
      </c>
      <c r="E1874" s="198"/>
      <c r="F1874" s="198"/>
      <c r="G1874" s="198"/>
      <c r="H1874" s="198"/>
      <c r="I1874" s="198"/>
      <c r="J1874" s="198"/>
      <c r="K1874" s="198"/>
      <c r="L1874" s="198"/>
      <c r="M1874" s="198"/>
      <c r="N1874" s="198"/>
      <c r="O1874" s="198"/>
      <c r="P1874" s="198"/>
      <c r="Q1874" s="198"/>
      <c r="R1874" s="198"/>
      <c r="S1874" s="198"/>
      <c r="T1874" s="198"/>
      <c r="U1874" s="198"/>
      <c r="V1874" s="198"/>
      <c r="W1874" s="198"/>
      <c r="X1874" s="198"/>
      <c r="Y1874" s="198"/>
      <c r="Z1874" s="198"/>
    </row>
    <row r="1875" spans="1:26" ht="15.75" hidden="1" customHeight="1" x14ac:dyDescent="0.25">
      <c r="A1875" s="213">
        <v>39490</v>
      </c>
      <c r="B1875" s="214" t="s">
        <v>10368</v>
      </c>
      <c r="C1875" s="215" t="s">
        <v>580</v>
      </c>
      <c r="D1875" s="216">
        <v>902.96</v>
      </c>
      <c r="E1875" s="198"/>
      <c r="F1875" s="198"/>
      <c r="G1875" s="198"/>
      <c r="H1875" s="198"/>
      <c r="I1875" s="198"/>
      <c r="J1875" s="198"/>
      <c r="K1875" s="198"/>
      <c r="L1875" s="198"/>
      <c r="M1875" s="198"/>
      <c r="N1875" s="198"/>
      <c r="O1875" s="198"/>
      <c r="P1875" s="198"/>
      <c r="Q1875" s="198"/>
      <c r="R1875" s="198"/>
      <c r="S1875" s="198"/>
      <c r="T1875" s="198"/>
      <c r="U1875" s="198"/>
      <c r="V1875" s="198"/>
      <c r="W1875" s="198"/>
      <c r="X1875" s="198"/>
      <c r="Y1875" s="198"/>
      <c r="Z1875" s="198"/>
    </row>
    <row r="1876" spans="1:26" ht="15.75" hidden="1" customHeight="1" x14ac:dyDescent="0.25">
      <c r="A1876" s="213">
        <v>39494</v>
      </c>
      <c r="B1876" s="214" t="s">
        <v>10369</v>
      </c>
      <c r="C1876" s="215" t="s">
        <v>580</v>
      </c>
      <c r="D1876" s="216">
        <v>648.4</v>
      </c>
      <c r="E1876" s="198"/>
      <c r="F1876" s="198"/>
      <c r="G1876" s="198"/>
      <c r="H1876" s="198"/>
      <c r="I1876" s="198"/>
      <c r="J1876" s="198"/>
      <c r="K1876" s="198"/>
      <c r="L1876" s="198"/>
      <c r="M1876" s="198"/>
      <c r="N1876" s="198"/>
      <c r="O1876" s="198"/>
      <c r="P1876" s="198"/>
      <c r="Q1876" s="198"/>
      <c r="R1876" s="198"/>
      <c r="S1876" s="198"/>
      <c r="T1876" s="198"/>
      <c r="U1876" s="198"/>
      <c r="V1876" s="198"/>
      <c r="W1876" s="198"/>
      <c r="X1876" s="198"/>
      <c r="Y1876" s="198"/>
      <c r="Z1876" s="198"/>
    </row>
    <row r="1877" spans="1:26" ht="15.75" hidden="1" customHeight="1" x14ac:dyDescent="0.25">
      <c r="A1877" s="213">
        <v>39495</v>
      </c>
      <c r="B1877" s="214" t="s">
        <v>10370</v>
      </c>
      <c r="C1877" s="215" t="s">
        <v>580</v>
      </c>
      <c r="D1877" s="216">
        <v>730.66</v>
      </c>
      <c r="E1877" s="198"/>
      <c r="F1877" s="198"/>
      <c r="G1877" s="198"/>
      <c r="H1877" s="198"/>
      <c r="I1877" s="198"/>
      <c r="J1877" s="198"/>
      <c r="K1877" s="198"/>
      <c r="L1877" s="198"/>
      <c r="M1877" s="198"/>
      <c r="N1877" s="198"/>
      <c r="O1877" s="198"/>
      <c r="P1877" s="198"/>
      <c r="Q1877" s="198"/>
      <c r="R1877" s="198"/>
      <c r="S1877" s="198"/>
      <c r="T1877" s="198"/>
      <c r="U1877" s="198"/>
      <c r="V1877" s="198"/>
      <c r="W1877" s="198"/>
      <c r="X1877" s="198"/>
      <c r="Y1877" s="198"/>
      <c r="Z1877" s="198"/>
    </row>
    <row r="1878" spans="1:26" ht="15.75" hidden="1" customHeight="1" x14ac:dyDescent="0.25">
      <c r="A1878" s="213">
        <v>39496</v>
      </c>
      <c r="B1878" s="214" t="s">
        <v>10371</v>
      </c>
      <c r="C1878" s="215" t="s">
        <v>580</v>
      </c>
      <c r="D1878" s="216">
        <v>803.72</v>
      </c>
      <c r="E1878" s="198"/>
      <c r="F1878" s="198"/>
      <c r="G1878" s="198"/>
      <c r="H1878" s="198"/>
      <c r="I1878" s="198"/>
      <c r="J1878" s="198"/>
      <c r="K1878" s="198"/>
      <c r="L1878" s="198"/>
      <c r="M1878" s="198"/>
      <c r="N1878" s="198"/>
      <c r="O1878" s="198"/>
      <c r="P1878" s="198"/>
      <c r="Q1878" s="198"/>
      <c r="R1878" s="198"/>
      <c r="S1878" s="198"/>
      <c r="T1878" s="198"/>
      <c r="U1878" s="198"/>
      <c r="V1878" s="198"/>
      <c r="W1878" s="198"/>
      <c r="X1878" s="198"/>
      <c r="Y1878" s="198"/>
      <c r="Z1878" s="198"/>
    </row>
    <row r="1879" spans="1:26" ht="15.75" hidden="1" customHeight="1" x14ac:dyDescent="0.25">
      <c r="A1879" s="213">
        <v>39492</v>
      </c>
      <c r="B1879" s="214" t="s">
        <v>10372</v>
      </c>
      <c r="C1879" s="215" t="s">
        <v>580</v>
      </c>
      <c r="D1879" s="216">
        <v>930.49</v>
      </c>
      <c r="E1879" s="198"/>
      <c r="F1879" s="198"/>
      <c r="G1879" s="198"/>
      <c r="H1879" s="198"/>
      <c r="I1879" s="198"/>
      <c r="J1879" s="198"/>
      <c r="K1879" s="198"/>
      <c r="L1879" s="198"/>
      <c r="M1879" s="198"/>
      <c r="N1879" s="198"/>
      <c r="O1879" s="198"/>
      <c r="P1879" s="198"/>
      <c r="Q1879" s="198"/>
      <c r="R1879" s="198"/>
      <c r="S1879" s="198"/>
      <c r="T1879" s="198"/>
      <c r="U1879" s="198"/>
      <c r="V1879" s="198"/>
      <c r="W1879" s="198"/>
      <c r="X1879" s="198"/>
      <c r="Y1879" s="198"/>
      <c r="Z1879" s="198"/>
    </row>
    <row r="1880" spans="1:26" ht="15.75" hidden="1" customHeight="1" x14ac:dyDescent="0.25">
      <c r="A1880" s="213">
        <v>39497</v>
      </c>
      <c r="B1880" s="214" t="s">
        <v>10373</v>
      </c>
      <c r="C1880" s="215" t="s">
        <v>580</v>
      </c>
      <c r="D1880" s="216">
        <v>840.48</v>
      </c>
      <c r="E1880" s="198"/>
      <c r="F1880" s="198"/>
      <c r="G1880" s="198"/>
      <c r="H1880" s="198"/>
      <c r="I1880" s="198"/>
      <c r="J1880" s="198"/>
      <c r="K1880" s="198"/>
      <c r="L1880" s="198"/>
      <c r="M1880" s="198"/>
      <c r="N1880" s="198"/>
      <c r="O1880" s="198"/>
      <c r="P1880" s="198"/>
      <c r="Q1880" s="198"/>
      <c r="R1880" s="198"/>
      <c r="S1880" s="198"/>
      <c r="T1880" s="198"/>
      <c r="U1880" s="198"/>
      <c r="V1880" s="198"/>
      <c r="W1880" s="198"/>
      <c r="X1880" s="198"/>
      <c r="Y1880" s="198"/>
      <c r="Z1880" s="198"/>
    </row>
    <row r="1881" spans="1:26" ht="15.75" hidden="1" customHeight="1" x14ac:dyDescent="0.25">
      <c r="A1881" s="213">
        <v>39493</v>
      </c>
      <c r="B1881" s="214" t="s">
        <v>10374</v>
      </c>
      <c r="C1881" s="215" t="s">
        <v>580</v>
      </c>
      <c r="D1881" s="216">
        <v>998.04</v>
      </c>
      <c r="E1881" s="198"/>
      <c r="F1881" s="198"/>
      <c r="G1881" s="198"/>
      <c r="H1881" s="198"/>
      <c r="I1881" s="198"/>
      <c r="J1881" s="198"/>
      <c r="K1881" s="198"/>
      <c r="L1881" s="198"/>
      <c r="M1881" s="198"/>
      <c r="N1881" s="198"/>
      <c r="O1881" s="198"/>
      <c r="P1881" s="198"/>
      <c r="Q1881" s="198"/>
      <c r="R1881" s="198"/>
      <c r="S1881" s="198"/>
      <c r="T1881" s="198"/>
      <c r="U1881" s="198"/>
      <c r="V1881" s="198"/>
      <c r="W1881" s="198"/>
      <c r="X1881" s="198"/>
      <c r="Y1881" s="198"/>
      <c r="Z1881" s="198"/>
    </row>
    <row r="1882" spans="1:26" ht="15.75" hidden="1" customHeight="1" x14ac:dyDescent="0.25">
      <c r="A1882" s="213">
        <v>43628</v>
      </c>
      <c r="B1882" s="214" t="s">
        <v>10375</v>
      </c>
      <c r="C1882" s="215" t="s">
        <v>580</v>
      </c>
      <c r="D1882" s="216">
        <v>1058.5999999999999</v>
      </c>
      <c r="E1882" s="198"/>
      <c r="F1882" s="198"/>
      <c r="G1882" s="198"/>
      <c r="H1882" s="198"/>
      <c r="I1882" s="198"/>
      <c r="J1882" s="198"/>
      <c r="K1882" s="198"/>
      <c r="L1882" s="198"/>
      <c r="M1882" s="198"/>
      <c r="N1882" s="198"/>
      <c r="O1882" s="198"/>
      <c r="P1882" s="198"/>
      <c r="Q1882" s="198"/>
      <c r="R1882" s="198"/>
      <c r="S1882" s="198"/>
      <c r="T1882" s="198"/>
      <c r="U1882" s="198"/>
      <c r="V1882" s="198"/>
      <c r="W1882" s="198"/>
      <c r="X1882" s="198"/>
      <c r="Y1882" s="198"/>
      <c r="Z1882" s="198"/>
    </row>
    <row r="1883" spans="1:26" ht="15.75" hidden="1" customHeight="1" x14ac:dyDescent="0.25">
      <c r="A1883" s="213">
        <v>39500</v>
      </c>
      <c r="B1883" s="214" t="s">
        <v>10376</v>
      </c>
      <c r="C1883" s="215" t="s">
        <v>580</v>
      </c>
      <c r="D1883" s="216">
        <v>1088.95</v>
      </c>
      <c r="E1883" s="198"/>
      <c r="F1883" s="198"/>
      <c r="G1883" s="198"/>
      <c r="H1883" s="198"/>
      <c r="I1883" s="198"/>
      <c r="J1883" s="198"/>
      <c r="K1883" s="198"/>
      <c r="L1883" s="198"/>
      <c r="M1883" s="198"/>
      <c r="N1883" s="198"/>
      <c r="O1883" s="198"/>
      <c r="P1883" s="198"/>
      <c r="Q1883" s="198"/>
      <c r="R1883" s="198"/>
      <c r="S1883" s="198"/>
      <c r="T1883" s="198"/>
      <c r="U1883" s="198"/>
      <c r="V1883" s="198"/>
      <c r="W1883" s="198"/>
      <c r="X1883" s="198"/>
      <c r="Y1883" s="198"/>
      <c r="Z1883" s="198"/>
    </row>
    <row r="1884" spans="1:26" ht="15.75" hidden="1" customHeight="1" x14ac:dyDescent="0.25">
      <c r="A1884" s="213">
        <v>39498</v>
      </c>
      <c r="B1884" s="214" t="s">
        <v>10377</v>
      </c>
      <c r="C1884" s="215" t="s">
        <v>580</v>
      </c>
      <c r="D1884" s="216">
        <v>1343.03</v>
      </c>
      <c r="E1884" s="198"/>
      <c r="F1884" s="198"/>
      <c r="G1884" s="198"/>
      <c r="H1884" s="198"/>
      <c r="I1884" s="198"/>
      <c r="J1884" s="198"/>
      <c r="K1884" s="198"/>
      <c r="L1884" s="198"/>
      <c r="M1884" s="198"/>
      <c r="N1884" s="198"/>
      <c r="O1884" s="198"/>
      <c r="P1884" s="198"/>
      <c r="Q1884" s="198"/>
      <c r="R1884" s="198"/>
      <c r="S1884" s="198"/>
      <c r="T1884" s="198"/>
      <c r="U1884" s="198"/>
      <c r="V1884" s="198"/>
      <c r="W1884" s="198"/>
      <c r="X1884" s="198"/>
      <c r="Y1884" s="198"/>
      <c r="Z1884" s="198"/>
    </row>
    <row r="1885" spans="1:26" ht="15.75" hidden="1" customHeight="1" x14ac:dyDescent="0.25">
      <c r="A1885" s="213">
        <v>43621</v>
      </c>
      <c r="B1885" s="214" t="s">
        <v>10378</v>
      </c>
      <c r="C1885" s="215" t="s">
        <v>580</v>
      </c>
      <c r="D1885" s="216">
        <v>1124.76</v>
      </c>
      <c r="E1885" s="198"/>
      <c r="F1885" s="198"/>
      <c r="G1885" s="198"/>
      <c r="H1885" s="198"/>
      <c r="I1885" s="198"/>
      <c r="J1885" s="198"/>
      <c r="K1885" s="198"/>
      <c r="L1885" s="198"/>
      <c r="M1885" s="198"/>
      <c r="N1885" s="198"/>
      <c r="O1885" s="198"/>
      <c r="P1885" s="198"/>
      <c r="Q1885" s="198"/>
      <c r="R1885" s="198"/>
      <c r="S1885" s="198"/>
      <c r="T1885" s="198"/>
      <c r="U1885" s="198"/>
      <c r="V1885" s="198"/>
      <c r="W1885" s="198"/>
      <c r="X1885" s="198"/>
      <c r="Y1885" s="198"/>
      <c r="Z1885" s="198"/>
    </row>
    <row r="1886" spans="1:26" ht="15.75" hidden="1" customHeight="1" x14ac:dyDescent="0.25">
      <c r="A1886" s="213">
        <v>39501</v>
      </c>
      <c r="B1886" s="214" t="s">
        <v>10379</v>
      </c>
      <c r="C1886" s="215" t="s">
        <v>580</v>
      </c>
      <c r="D1886" s="216">
        <v>1118.44</v>
      </c>
      <c r="E1886" s="198"/>
      <c r="F1886" s="198"/>
      <c r="G1886" s="198"/>
      <c r="H1886" s="198"/>
      <c r="I1886" s="198"/>
      <c r="J1886" s="198"/>
      <c r="K1886" s="198"/>
      <c r="L1886" s="198"/>
      <c r="M1886" s="198"/>
      <c r="N1886" s="198"/>
      <c r="O1886" s="198"/>
      <c r="P1886" s="198"/>
      <c r="Q1886" s="198"/>
      <c r="R1886" s="198"/>
      <c r="S1886" s="198"/>
      <c r="T1886" s="198"/>
      <c r="U1886" s="198"/>
      <c r="V1886" s="198"/>
      <c r="W1886" s="198"/>
      <c r="X1886" s="198"/>
      <c r="Y1886" s="198"/>
      <c r="Z1886" s="198"/>
    </row>
    <row r="1887" spans="1:26" ht="15.75" hidden="1" customHeight="1" x14ac:dyDescent="0.25">
      <c r="A1887" s="213">
        <v>39499</v>
      </c>
      <c r="B1887" s="214" t="s">
        <v>10380</v>
      </c>
      <c r="C1887" s="215" t="s">
        <v>580</v>
      </c>
      <c r="D1887" s="216">
        <v>1362.1</v>
      </c>
      <c r="E1887" s="198"/>
      <c r="F1887" s="198"/>
      <c r="G1887" s="198"/>
      <c r="H1887" s="198"/>
      <c r="I1887" s="198"/>
      <c r="J1887" s="198"/>
      <c r="K1887" s="198"/>
      <c r="L1887" s="198"/>
      <c r="M1887" s="198"/>
      <c r="N1887" s="198"/>
      <c r="O1887" s="198"/>
      <c r="P1887" s="198"/>
      <c r="Q1887" s="198"/>
      <c r="R1887" s="198"/>
      <c r="S1887" s="198"/>
      <c r="T1887" s="198"/>
      <c r="U1887" s="198"/>
      <c r="V1887" s="198"/>
      <c r="W1887" s="198"/>
      <c r="X1887" s="198"/>
      <c r="Y1887" s="198"/>
      <c r="Z1887" s="198"/>
    </row>
    <row r="1888" spans="1:26" ht="15.75" hidden="1" customHeight="1" x14ac:dyDescent="0.25">
      <c r="A1888" s="213">
        <v>3733</v>
      </c>
      <c r="B1888" s="214" t="s">
        <v>10381</v>
      </c>
      <c r="C1888" s="215" t="s">
        <v>578</v>
      </c>
      <c r="D1888" s="216">
        <v>56.56</v>
      </c>
      <c r="E1888" s="198"/>
      <c r="F1888" s="198"/>
      <c r="G1888" s="198"/>
      <c r="H1888" s="198"/>
      <c r="I1888" s="198"/>
      <c r="J1888" s="198"/>
      <c r="K1888" s="198"/>
      <c r="L1888" s="198"/>
      <c r="M1888" s="198"/>
      <c r="N1888" s="198"/>
      <c r="O1888" s="198"/>
      <c r="P1888" s="198"/>
      <c r="Q1888" s="198"/>
      <c r="R1888" s="198"/>
      <c r="S1888" s="198"/>
      <c r="T1888" s="198"/>
      <c r="U1888" s="198"/>
      <c r="V1888" s="198"/>
      <c r="W1888" s="198"/>
      <c r="X1888" s="198"/>
      <c r="Y1888" s="198"/>
      <c r="Z1888" s="198"/>
    </row>
    <row r="1889" spans="1:26" ht="15.75" hidden="1" customHeight="1" x14ac:dyDescent="0.25">
      <c r="A1889" s="213">
        <v>3731</v>
      </c>
      <c r="B1889" s="214" t="s">
        <v>10382</v>
      </c>
      <c r="C1889" s="215" t="s">
        <v>578</v>
      </c>
      <c r="D1889" s="216">
        <v>52.5</v>
      </c>
      <c r="E1889" s="198"/>
      <c r="F1889" s="198"/>
      <c r="G1889" s="198"/>
      <c r="H1889" s="198"/>
      <c r="I1889" s="198"/>
      <c r="J1889" s="198"/>
      <c r="K1889" s="198"/>
      <c r="L1889" s="198"/>
      <c r="M1889" s="198"/>
      <c r="N1889" s="198"/>
      <c r="O1889" s="198"/>
      <c r="P1889" s="198"/>
      <c r="Q1889" s="198"/>
      <c r="R1889" s="198"/>
      <c r="S1889" s="198"/>
      <c r="T1889" s="198"/>
      <c r="U1889" s="198"/>
      <c r="V1889" s="198"/>
      <c r="W1889" s="198"/>
      <c r="X1889" s="198"/>
      <c r="Y1889" s="198"/>
      <c r="Z1889" s="198"/>
    </row>
    <row r="1890" spans="1:26" ht="15.75" hidden="1" customHeight="1" x14ac:dyDescent="0.25">
      <c r="A1890" s="213">
        <v>38137</v>
      </c>
      <c r="B1890" s="214" t="s">
        <v>10383</v>
      </c>
      <c r="C1890" s="215" t="s">
        <v>578</v>
      </c>
      <c r="D1890" s="216">
        <v>52.81</v>
      </c>
      <c r="E1890" s="198"/>
      <c r="F1890" s="198"/>
      <c r="G1890" s="198"/>
      <c r="H1890" s="198"/>
      <c r="I1890" s="198"/>
      <c r="J1890" s="198"/>
      <c r="K1890" s="198"/>
      <c r="L1890" s="198"/>
      <c r="M1890" s="198"/>
      <c r="N1890" s="198"/>
      <c r="O1890" s="198"/>
      <c r="P1890" s="198"/>
      <c r="Q1890" s="198"/>
      <c r="R1890" s="198"/>
      <c r="S1890" s="198"/>
      <c r="T1890" s="198"/>
      <c r="U1890" s="198"/>
      <c r="V1890" s="198"/>
      <c r="W1890" s="198"/>
      <c r="X1890" s="198"/>
      <c r="Y1890" s="198"/>
      <c r="Z1890" s="198"/>
    </row>
    <row r="1891" spans="1:26" ht="15.75" hidden="1" customHeight="1" x14ac:dyDescent="0.25">
      <c r="A1891" s="213">
        <v>38138</v>
      </c>
      <c r="B1891" s="214" t="s">
        <v>10384</v>
      </c>
      <c r="C1891" s="215" t="s">
        <v>578</v>
      </c>
      <c r="D1891" s="216">
        <v>51.86</v>
      </c>
      <c r="E1891" s="198"/>
      <c r="F1891" s="198"/>
      <c r="G1891" s="198"/>
      <c r="H1891" s="198"/>
      <c r="I1891" s="198"/>
      <c r="J1891" s="198"/>
      <c r="K1891" s="198"/>
      <c r="L1891" s="198"/>
      <c r="M1891" s="198"/>
      <c r="N1891" s="198"/>
      <c r="O1891" s="198"/>
      <c r="P1891" s="198"/>
      <c r="Q1891" s="198"/>
      <c r="R1891" s="198"/>
      <c r="S1891" s="198"/>
      <c r="T1891" s="198"/>
      <c r="U1891" s="198"/>
      <c r="V1891" s="198"/>
      <c r="W1891" s="198"/>
      <c r="X1891" s="198"/>
      <c r="Y1891" s="198"/>
      <c r="Z1891" s="198"/>
    </row>
    <row r="1892" spans="1:26" ht="15.75" hidden="1" customHeight="1" x14ac:dyDescent="0.25">
      <c r="A1892" s="213">
        <v>3745</v>
      </c>
      <c r="B1892" s="214" t="s">
        <v>10385</v>
      </c>
      <c r="C1892" s="215" t="s">
        <v>578</v>
      </c>
      <c r="D1892" s="216">
        <v>55.92</v>
      </c>
      <c r="E1892" s="198"/>
      <c r="F1892" s="198"/>
      <c r="G1892" s="198"/>
      <c r="H1892" s="198"/>
      <c r="I1892" s="198"/>
      <c r="J1892" s="198"/>
      <c r="K1892" s="198"/>
      <c r="L1892" s="198"/>
      <c r="M1892" s="198"/>
      <c r="N1892" s="198"/>
      <c r="O1892" s="198"/>
      <c r="P1892" s="198"/>
      <c r="Q1892" s="198"/>
      <c r="R1892" s="198"/>
      <c r="S1892" s="198"/>
      <c r="T1892" s="198"/>
      <c r="U1892" s="198"/>
      <c r="V1892" s="198"/>
      <c r="W1892" s="198"/>
      <c r="X1892" s="198"/>
      <c r="Y1892" s="198"/>
      <c r="Z1892" s="198"/>
    </row>
    <row r="1893" spans="1:26" ht="15.75" hidden="1" customHeight="1" x14ac:dyDescent="0.25">
      <c r="A1893" s="213">
        <v>3736</v>
      </c>
      <c r="B1893" s="214" t="s">
        <v>10386</v>
      </c>
      <c r="C1893" s="215" t="s">
        <v>578</v>
      </c>
      <c r="D1893" s="216">
        <v>49.75</v>
      </c>
      <c r="E1893" s="198"/>
      <c r="F1893" s="198"/>
      <c r="G1893" s="198"/>
      <c r="H1893" s="198"/>
      <c r="I1893" s="198"/>
      <c r="J1893" s="198"/>
      <c r="K1893" s="198"/>
      <c r="L1893" s="198"/>
      <c r="M1893" s="198"/>
      <c r="N1893" s="198"/>
      <c r="O1893" s="198"/>
      <c r="P1893" s="198"/>
      <c r="Q1893" s="198"/>
      <c r="R1893" s="198"/>
      <c r="S1893" s="198"/>
      <c r="T1893" s="198"/>
      <c r="U1893" s="198"/>
      <c r="V1893" s="198"/>
      <c r="W1893" s="198"/>
      <c r="X1893" s="198"/>
      <c r="Y1893" s="198"/>
      <c r="Z1893" s="198"/>
    </row>
    <row r="1894" spans="1:26" ht="15.75" hidden="1" customHeight="1" x14ac:dyDescent="0.25">
      <c r="A1894" s="213">
        <v>3741</v>
      </c>
      <c r="B1894" s="214" t="s">
        <v>10387</v>
      </c>
      <c r="C1894" s="215" t="s">
        <v>578</v>
      </c>
      <c r="D1894" s="216">
        <v>51.86</v>
      </c>
      <c r="E1894" s="198"/>
      <c r="F1894" s="198"/>
      <c r="G1894" s="198"/>
      <c r="H1894" s="198"/>
      <c r="I1894" s="198"/>
      <c r="J1894" s="198"/>
      <c r="K1894" s="198"/>
      <c r="L1894" s="198"/>
      <c r="M1894" s="198"/>
      <c r="N1894" s="198"/>
      <c r="O1894" s="198"/>
      <c r="P1894" s="198"/>
      <c r="Q1894" s="198"/>
      <c r="R1894" s="198"/>
      <c r="S1894" s="198"/>
      <c r="T1894" s="198"/>
      <c r="U1894" s="198"/>
      <c r="V1894" s="198"/>
      <c r="W1894" s="198"/>
      <c r="X1894" s="198"/>
      <c r="Y1894" s="198"/>
      <c r="Z1894" s="198"/>
    </row>
    <row r="1895" spans="1:26" ht="15.75" hidden="1" customHeight="1" x14ac:dyDescent="0.25">
      <c r="A1895" s="213">
        <v>3747</v>
      </c>
      <c r="B1895" s="214" t="s">
        <v>10388</v>
      </c>
      <c r="C1895" s="215" t="s">
        <v>578</v>
      </c>
      <c r="D1895" s="216">
        <v>56.88</v>
      </c>
      <c r="E1895" s="198"/>
      <c r="F1895" s="198"/>
      <c r="G1895" s="198"/>
      <c r="H1895" s="198"/>
      <c r="I1895" s="198"/>
      <c r="J1895" s="198"/>
      <c r="K1895" s="198"/>
      <c r="L1895" s="198"/>
      <c r="M1895" s="198"/>
      <c r="N1895" s="198"/>
      <c r="O1895" s="198"/>
      <c r="P1895" s="198"/>
      <c r="Q1895" s="198"/>
      <c r="R1895" s="198"/>
      <c r="S1895" s="198"/>
      <c r="T1895" s="198"/>
      <c r="U1895" s="198"/>
      <c r="V1895" s="198"/>
      <c r="W1895" s="198"/>
      <c r="X1895" s="198"/>
      <c r="Y1895" s="198"/>
      <c r="Z1895" s="198"/>
    </row>
    <row r="1896" spans="1:26" ht="15.75" hidden="1" customHeight="1" x14ac:dyDescent="0.25">
      <c r="A1896" s="213">
        <v>3743</v>
      </c>
      <c r="B1896" s="214" t="s">
        <v>10389</v>
      </c>
      <c r="C1896" s="215" t="s">
        <v>578</v>
      </c>
      <c r="D1896" s="216">
        <v>51.67</v>
      </c>
      <c r="E1896" s="198"/>
      <c r="F1896" s="198"/>
      <c r="G1896" s="198"/>
      <c r="H1896" s="198"/>
      <c r="I1896" s="198"/>
      <c r="J1896" s="198"/>
      <c r="K1896" s="198"/>
      <c r="L1896" s="198"/>
      <c r="M1896" s="198"/>
      <c r="N1896" s="198"/>
      <c r="O1896" s="198"/>
      <c r="P1896" s="198"/>
      <c r="Q1896" s="198"/>
      <c r="R1896" s="198"/>
      <c r="S1896" s="198"/>
      <c r="T1896" s="198"/>
      <c r="U1896" s="198"/>
      <c r="V1896" s="198"/>
      <c r="W1896" s="198"/>
      <c r="X1896" s="198"/>
      <c r="Y1896" s="198"/>
      <c r="Z1896" s="198"/>
    </row>
    <row r="1897" spans="1:26" ht="15.75" hidden="1" customHeight="1" x14ac:dyDescent="0.25">
      <c r="A1897" s="213">
        <v>3744</v>
      </c>
      <c r="B1897" s="214" t="s">
        <v>10390</v>
      </c>
      <c r="C1897" s="215" t="s">
        <v>578</v>
      </c>
      <c r="D1897" s="216">
        <v>56.88</v>
      </c>
      <c r="E1897" s="198"/>
      <c r="F1897" s="198"/>
      <c r="G1897" s="198"/>
      <c r="H1897" s="198"/>
      <c r="I1897" s="198"/>
      <c r="J1897" s="198"/>
      <c r="K1897" s="198"/>
      <c r="L1897" s="198"/>
      <c r="M1897" s="198"/>
      <c r="N1897" s="198"/>
      <c r="O1897" s="198"/>
      <c r="P1897" s="198"/>
      <c r="Q1897" s="198"/>
      <c r="R1897" s="198"/>
      <c r="S1897" s="198"/>
      <c r="T1897" s="198"/>
      <c r="U1897" s="198"/>
      <c r="V1897" s="198"/>
      <c r="W1897" s="198"/>
      <c r="X1897" s="198"/>
      <c r="Y1897" s="198"/>
      <c r="Z1897" s="198"/>
    </row>
    <row r="1898" spans="1:26" ht="15.75" hidden="1" customHeight="1" x14ac:dyDescent="0.25">
      <c r="A1898" s="213">
        <v>3739</v>
      </c>
      <c r="B1898" s="214" t="s">
        <v>10391</v>
      </c>
      <c r="C1898" s="215" t="s">
        <v>578</v>
      </c>
      <c r="D1898" s="216">
        <v>59.77</v>
      </c>
      <c r="E1898" s="198"/>
      <c r="F1898" s="198"/>
      <c r="G1898" s="198"/>
      <c r="H1898" s="198"/>
      <c r="I1898" s="198"/>
      <c r="J1898" s="198"/>
      <c r="K1898" s="198"/>
      <c r="L1898" s="198"/>
      <c r="M1898" s="198"/>
      <c r="N1898" s="198"/>
      <c r="O1898" s="198"/>
      <c r="P1898" s="198"/>
      <c r="Q1898" s="198"/>
      <c r="R1898" s="198"/>
      <c r="S1898" s="198"/>
      <c r="T1898" s="198"/>
      <c r="U1898" s="198"/>
      <c r="V1898" s="198"/>
      <c r="W1898" s="198"/>
      <c r="X1898" s="198"/>
      <c r="Y1898" s="198"/>
      <c r="Z1898" s="198"/>
    </row>
    <row r="1899" spans="1:26" ht="15.75" hidden="1" customHeight="1" x14ac:dyDescent="0.25">
      <c r="A1899" s="213">
        <v>3737</v>
      </c>
      <c r="B1899" s="214" t="s">
        <v>10392</v>
      </c>
      <c r="C1899" s="215" t="s">
        <v>578</v>
      </c>
      <c r="D1899" s="216">
        <v>62.66</v>
      </c>
      <c r="E1899" s="198"/>
      <c r="F1899" s="198"/>
      <c r="G1899" s="198"/>
      <c r="H1899" s="198"/>
      <c r="I1899" s="198"/>
      <c r="J1899" s="198"/>
      <c r="K1899" s="198"/>
      <c r="L1899" s="198"/>
      <c r="M1899" s="198"/>
      <c r="N1899" s="198"/>
      <c r="O1899" s="198"/>
      <c r="P1899" s="198"/>
      <c r="Q1899" s="198"/>
      <c r="R1899" s="198"/>
      <c r="S1899" s="198"/>
      <c r="T1899" s="198"/>
      <c r="U1899" s="198"/>
      <c r="V1899" s="198"/>
      <c r="W1899" s="198"/>
      <c r="X1899" s="198"/>
      <c r="Y1899" s="198"/>
      <c r="Z1899" s="198"/>
    </row>
    <row r="1900" spans="1:26" ht="15.75" hidden="1" customHeight="1" x14ac:dyDescent="0.25">
      <c r="A1900" s="213">
        <v>3738</v>
      </c>
      <c r="B1900" s="214" t="s">
        <v>10393</v>
      </c>
      <c r="C1900" s="215" t="s">
        <v>578</v>
      </c>
      <c r="D1900" s="216">
        <v>72.31</v>
      </c>
      <c r="E1900" s="198"/>
      <c r="F1900" s="198"/>
      <c r="G1900" s="198"/>
      <c r="H1900" s="198"/>
      <c r="I1900" s="198"/>
      <c r="J1900" s="198"/>
      <c r="K1900" s="198"/>
      <c r="L1900" s="198"/>
      <c r="M1900" s="198"/>
      <c r="N1900" s="198"/>
      <c r="O1900" s="198"/>
      <c r="P1900" s="198"/>
      <c r="Q1900" s="198"/>
      <c r="R1900" s="198"/>
      <c r="S1900" s="198"/>
      <c r="T1900" s="198"/>
      <c r="U1900" s="198"/>
      <c r="V1900" s="198"/>
      <c r="W1900" s="198"/>
      <c r="X1900" s="198"/>
      <c r="Y1900" s="198"/>
      <c r="Z1900" s="198"/>
    </row>
    <row r="1901" spans="1:26" ht="15.75" hidden="1" customHeight="1" x14ac:dyDescent="0.25">
      <c r="A1901" s="213">
        <v>11649</v>
      </c>
      <c r="B1901" s="214" t="s">
        <v>10394</v>
      </c>
      <c r="C1901" s="215" t="s">
        <v>580</v>
      </c>
      <c r="D1901" s="216">
        <v>412.65</v>
      </c>
      <c r="E1901" s="198"/>
      <c r="F1901" s="198"/>
      <c r="G1901" s="198"/>
      <c r="H1901" s="198"/>
      <c r="I1901" s="198"/>
      <c r="J1901" s="198"/>
      <c r="K1901" s="198"/>
      <c r="L1901" s="198"/>
      <c r="M1901" s="198"/>
      <c r="N1901" s="198"/>
      <c r="O1901" s="198"/>
      <c r="P1901" s="198"/>
      <c r="Q1901" s="198"/>
      <c r="R1901" s="198"/>
      <c r="S1901" s="198"/>
      <c r="T1901" s="198"/>
      <c r="U1901" s="198"/>
      <c r="V1901" s="198"/>
      <c r="W1901" s="198"/>
      <c r="X1901" s="198"/>
      <c r="Y1901" s="198"/>
      <c r="Z1901" s="198"/>
    </row>
    <row r="1902" spans="1:26" ht="15.75" hidden="1" customHeight="1" x14ac:dyDescent="0.25">
      <c r="A1902" s="213">
        <v>11650</v>
      </c>
      <c r="B1902" s="214" t="s">
        <v>10395</v>
      </c>
      <c r="C1902" s="215" t="s">
        <v>580</v>
      </c>
      <c r="D1902" s="216">
        <v>703.34</v>
      </c>
      <c r="E1902" s="198"/>
      <c r="F1902" s="198"/>
      <c r="G1902" s="198"/>
      <c r="H1902" s="198"/>
      <c r="I1902" s="198"/>
      <c r="J1902" s="198"/>
      <c r="K1902" s="198"/>
      <c r="L1902" s="198"/>
      <c r="M1902" s="198"/>
      <c r="N1902" s="198"/>
      <c r="O1902" s="198"/>
      <c r="P1902" s="198"/>
      <c r="Q1902" s="198"/>
      <c r="R1902" s="198"/>
      <c r="S1902" s="198"/>
      <c r="T1902" s="198"/>
      <c r="U1902" s="198"/>
      <c r="V1902" s="198"/>
      <c r="W1902" s="198"/>
      <c r="X1902" s="198"/>
      <c r="Y1902" s="198"/>
      <c r="Z1902" s="198"/>
    </row>
    <row r="1903" spans="1:26" ht="15.75" hidden="1" customHeight="1" x14ac:dyDescent="0.25">
      <c r="A1903" s="213">
        <v>3742</v>
      </c>
      <c r="B1903" s="214" t="s">
        <v>10396</v>
      </c>
      <c r="C1903" s="215" t="s">
        <v>578</v>
      </c>
      <c r="D1903" s="216">
        <v>75.010000000000005</v>
      </c>
      <c r="E1903" s="198"/>
      <c r="F1903" s="198"/>
      <c r="G1903" s="198"/>
      <c r="H1903" s="198"/>
      <c r="I1903" s="198"/>
      <c r="J1903" s="198"/>
      <c r="K1903" s="198"/>
      <c r="L1903" s="198"/>
      <c r="M1903" s="198"/>
      <c r="N1903" s="198"/>
      <c r="O1903" s="198"/>
      <c r="P1903" s="198"/>
      <c r="Q1903" s="198"/>
      <c r="R1903" s="198"/>
      <c r="S1903" s="198"/>
      <c r="T1903" s="198"/>
      <c r="U1903" s="198"/>
      <c r="V1903" s="198"/>
      <c r="W1903" s="198"/>
      <c r="X1903" s="198"/>
      <c r="Y1903" s="198"/>
      <c r="Z1903" s="198"/>
    </row>
    <row r="1904" spans="1:26" ht="15.75" hidden="1" customHeight="1" x14ac:dyDescent="0.25">
      <c r="A1904" s="213">
        <v>3746</v>
      </c>
      <c r="B1904" s="214" t="s">
        <v>10397</v>
      </c>
      <c r="C1904" s="215" t="s">
        <v>578</v>
      </c>
      <c r="D1904" s="216">
        <v>87.58</v>
      </c>
      <c r="E1904" s="198"/>
      <c r="F1904" s="198"/>
      <c r="G1904" s="198"/>
      <c r="H1904" s="198"/>
      <c r="I1904" s="198"/>
      <c r="J1904" s="198"/>
      <c r="K1904" s="198"/>
      <c r="L1904" s="198"/>
      <c r="M1904" s="198"/>
      <c r="N1904" s="198"/>
      <c r="O1904" s="198"/>
      <c r="P1904" s="198"/>
      <c r="Q1904" s="198"/>
      <c r="R1904" s="198"/>
      <c r="S1904" s="198"/>
      <c r="T1904" s="198"/>
      <c r="U1904" s="198"/>
      <c r="V1904" s="198"/>
      <c r="W1904" s="198"/>
      <c r="X1904" s="198"/>
      <c r="Y1904" s="198"/>
      <c r="Z1904" s="198"/>
    </row>
    <row r="1905" spans="1:26" ht="15.75" hidden="1" customHeight="1" x14ac:dyDescent="0.25">
      <c r="A1905" s="213">
        <v>38194</v>
      </c>
      <c r="B1905" s="214" t="s">
        <v>10398</v>
      </c>
      <c r="C1905" s="215" t="s">
        <v>580</v>
      </c>
      <c r="D1905" s="216">
        <v>5.41</v>
      </c>
      <c r="E1905" s="198"/>
      <c r="F1905" s="198"/>
      <c r="G1905" s="198"/>
      <c r="H1905" s="198"/>
      <c r="I1905" s="198"/>
      <c r="J1905" s="198"/>
      <c r="K1905" s="198"/>
      <c r="L1905" s="198"/>
      <c r="M1905" s="198"/>
      <c r="N1905" s="198"/>
      <c r="O1905" s="198"/>
      <c r="P1905" s="198"/>
      <c r="Q1905" s="198"/>
      <c r="R1905" s="198"/>
      <c r="S1905" s="198"/>
      <c r="T1905" s="198"/>
      <c r="U1905" s="198"/>
      <c r="V1905" s="198"/>
      <c r="W1905" s="198"/>
      <c r="X1905" s="198"/>
      <c r="Y1905" s="198"/>
      <c r="Z1905" s="198"/>
    </row>
    <row r="1906" spans="1:26" ht="15.75" hidden="1" customHeight="1" x14ac:dyDescent="0.25">
      <c r="A1906" s="213">
        <v>38193</v>
      </c>
      <c r="B1906" s="214" t="s">
        <v>10399</v>
      </c>
      <c r="C1906" s="215" t="s">
        <v>580</v>
      </c>
      <c r="D1906" s="216">
        <v>4.7</v>
      </c>
      <c r="E1906" s="198"/>
      <c r="F1906" s="198"/>
      <c r="G1906" s="198"/>
      <c r="H1906" s="198"/>
      <c r="I1906" s="198"/>
      <c r="J1906" s="198"/>
      <c r="K1906" s="198"/>
      <c r="L1906" s="198"/>
      <c r="M1906" s="198"/>
      <c r="N1906" s="198"/>
      <c r="O1906" s="198"/>
      <c r="P1906" s="198"/>
      <c r="Q1906" s="198"/>
      <c r="R1906" s="198"/>
      <c r="S1906" s="198"/>
      <c r="T1906" s="198"/>
      <c r="U1906" s="198"/>
      <c r="V1906" s="198"/>
      <c r="W1906" s="198"/>
      <c r="X1906" s="198"/>
      <c r="Y1906" s="198"/>
      <c r="Z1906" s="198"/>
    </row>
    <row r="1907" spans="1:26" ht="15.75" hidden="1" customHeight="1" x14ac:dyDescent="0.25">
      <c r="A1907" s="213">
        <v>39388</v>
      </c>
      <c r="B1907" s="214" t="s">
        <v>10400</v>
      </c>
      <c r="C1907" s="215" t="s">
        <v>580</v>
      </c>
      <c r="D1907" s="216">
        <v>6.65</v>
      </c>
      <c r="E1907" s="198"/>
      <c r="F1907" s="198"/>
      <c r="G1907" s="198"/>
      <c r="H1907" s="198"/>
      <c r="I1907" s="198"/>
      <c r="J1907" s="198"/>
      <c r="K1907" s="198"/>
      <c r="L1907" s="198"/>
      <c r="M1907" s="198"/>
      <c r="N1907" s="198"/>
      <c r="O1907" s="198"/>
      <c r="P1907" s="198"/>
      <c r="Q1907" s="198"/>
      <c r="R1907" s="198"/>
      <c r="S1907" s="198"/>
      <c r="T1907" s="198"/>
      <c r="U1907" s="198"/>
      <c r="V1907" s="198"/>
      <c r="W1907" s="198"/>
      <c r="X1907" s="198"/>
      <c r="Y1907" s="198"/>
      <c r="Z1907" s="198"/>
    </row>
    <row r="1908" spans="1:26" ht="15.75" hidden="1" customHeight="1" x14ac:dyDescent="0.25">
      <c r="A1908" s="213">
        <v>39387</v>
      </c>
      <c r="B1908" s="214" t="s">
        <v>10401</v>
      </c>
      <c r="C1908" s="215" t="s">
        <v>580</v>
      </c>
      <c r="D1908" s="216">
        <v>10.37</v>
      </c>
      <c r="E1908" s="198"/>
      <c r="F1908" s="198"/>
      <c r="G1908" s="198"/>
      <c r="H1908" s="198"/>
      <c r="I1908" s="198"/>
      <c r="J1908" s="198"/>
      <c r="K1908" s="198"/>
      <c r="L1908" s="198"/>
      <c r="M1908" s="198"/>
      <c r="N1908" s="198"/>
      <c r="O1908" s="198"/>
      <c r="P1908" s="198"/>
      <c r="Q1908" s="198"/>
      <c r="R1908" s="198"/>
      <c r="S1908" s="198"/>
      <c r="T1908" s="198"/>
      <c r="U1908" s="198"/>
      <c r="V1908" s="198"/>
      <c r="W1908" s="198"/>
      <c r="X1908" s="198"/>
      <c r="Y1908" s="198"/>
      <c r="Z1908" s="198"/>
    </row>
    <row r="1909" spans="1:26" ht="15.75" hidden="1" customHeight="1" x14ac:dyDescent="0.25">
      <c r="A1909" s="213">
        <v>39386</v>
      </c>
      <c r="B1909" s="214" t="s">
        <v>10402</v>
      </c>
      <c r="C1909" s="215" t="s">
        <v>580</v>
      </c>
      <c r="D1909" s="216">
        <v>7.23</v>
      </c>
      <c r="E1909" s="198"/>
      <c r="F1909" s="198"/>
      <c r="G1909" s="198"/>
      <c r="H1909" s="198"/>
      <c r="I1909" s="198"/>
      <c r="J1909" s="198"/>
      <c r="K1909" s="198"/>
      <c r="L1909" s="198"/>
      <c r="M1909" s="198"/>
      <c r="N1909" s="198"/>
      <c r="O1909" s="198"/>
      <c r="P1909" s="198"/>
      <c r="Q1909" s="198"/>
      <c r="R1909" s="198"/>
      <c r="S1909" s="198"/>
      <c r="T1909" s="198"/>
      <c r="U1909" s="198"/>
      <c r="V1909" s="198"/>
      <c r="W1909" s="198"/>
      <c r="X1909" s="198"/>
      <c r="Y1909" s="198"/>
      <c r="Z1909" s="198"/>
    </row>
    <row r="1910" spans="1:26" ht="15.75" hidden="1" customHeight="1" x14ac:dyDescent="0.25">
      <c r="A1910" s="213">
        <v>746</v>
      </c>
      <c r="B1910" s="214" t="s">
        <v>10403</v>
      </c>
      <c r="C1910" s="215" t="s">
        <v>580</v>
      </c>
      <c r="D1910" s="216">
        <v>2551.21</v>
      </c>
      <c r="E1910" s="198"/>
      <c r="F1910" s="198"/>
      <c r="G1910" s="198"/>
      <c r="H1910" s="198"/>
      <c r="I1910" s="198"/>
      <c r="J1910" s="198"/>
      <c r="K1910" s="198"/>
      <c r="L1910" s="198"/>
      <c r="M1910" s="198"/>
      <c r="N1910" s="198"/>
      <c r="O1910" s="198"/>
      <c r="P1910" s="198"/>
      <c r="Q1910" s="198"/>
      <c r="R1910" s="198"/>
      <c r="S1910" s="198"/>
      <c r="T1910" s="198"/>
      <c r="U1910" s="198"/>
      <c r="V1910" s="198"/>
      <c r="W1910" s="198"/>
      <c r="X1910" s="198"/>
      <c r="Y1910" s="198"/>
      <c r="Z1910" s="198"/>
    </row>
    <row r="1911" spans="1:26" ht="15.75" hidden="1" customHeight="1" x14ac:dyDescent="0.25">
      <c r="A1911" s="213">
        <v>20269</v>
      </c>
      <c r="B1911" s="214" t="s">
        <v>10404</v>
      </c>
      <c r="C1911" s="215" t="s">
        <v>580</v>
      </c>
      <c r="D1911" s="216">
        <v>115.21</v>
      </c>
      <c r="E1911" s="198"/>
      <c r="F1911" s="198"/>
      <c r="G1911" s="198"/>
      <c r="H1911" s="198"/>
      <c r="I1911" s="198"/>
      <c r="J1911" s="198"/>
      <c r="K1911" s="198"/>
      <c r="L1911" s="198"/>
      <c r="M1911" s="198"/>
      <c r="N1911" s="198"/>
      <c r="O1911" s="198"/>
      <c r="P1911" s="198"/>
      <c r="Q1911" s="198"/>
      <c r="R1911" s="198"/>
      <c r="S1911" s="198"/>
      <c r="T1911" s="198"/>
      <c r="U1911" s="198"/>
      <c r="V1911" s="198"/>
      <c r="W1911" s="198"/>
      <c r="X1911" s="198"/>
      <c r="Y1911" s="198"/>
      <c r="Z1911" s="198"/>
    </row>
    <row r="1912" spans="1:26" ht="15.75" hidden="1" customHeight="1" x14ac:dyDescent="0.25">
      <c r="A1912" s="213">
        <v>20270</v>
      </c>
      <c r="B1912" s="214" t="s">
        <v>10405</v>
      </c>
      <c r="C1912" s="215" t="s">
        <v>580</v>
      </c>
      <c r="D1912" s="216">
        <v>127.31</v>
      </c>
      <c r="E1912" s="198"/>
      <c r="F1912" s="198"/>
      <c r="G1912" s="198"/>
      <c r="H1912" s="198"/>
      <c r="I1912" s="198"/>
      <c r="J1912" s="198"/>
      <c r="K1912" s="198"/>
      <c r="L1912" s="198"/>
      <c r="M1912" s="198"/>
      <c r="N1912" s="198"/>
      <c r="O1912" s="198"/>
      <c r="P1912" s="198"/>
      <c r="Q1912" s="198"/>
      <c r="R1912" s="198"/>
      <c r="S1912" s="198"/>
      <c r="T1912" s="198"/>
      <c r="U1912" s="198"/>
      <c r="V1912" s="198"/>
      <c r="W1912" s="198"/>
      <c r="X1912" s="198"/>
      <c r="Y1912" s="198"/>
      <c r="Z1912" s="198"/>
    </row>
    <row r="1913" spans="1:26" ht="15.75" hidden="1" customHeight="1" x14ac:dyDescent="0.25">
      <c r="A1913" s="213">
        <v>11696</v>
      </c>
      <c r="B1913" s="214" t="s">
        <v>10406</v>
      </c>
      <c r="C1913" s="215" t="s">
        <v>580</v>
      </c>
      <c r="D1913" s="216">
        <v>203.79</v>
      </c>
      <c r="E1913" s="198"/>
      <c r="F1913" s="198"/>
      <c r="G1913" s="198"/>
      <c r="H1913" s="198"/>
      <c r="I1913" s="198"/>
      <c r="J1913" s="198"/>
      <c r="K1913" s="198"/>
      <c r="L1913" s="198"/>
      <c r="M1913" s="198"/>
      <c r="N1913" s="198"/>
      <c r="O1913" s="198"/>
      <c r="P1913" s="198"/>
      <c r="Q1913" s="198"/>
      <c r="R1913" s="198"/>
      <c r="S1913" s="198"/>
      <c r="T1913" s="198"/>
      <c r="U1913" s="198"/>
      <c r="V1913" s="198"/>
      <c r="W1913" s="198"/>
      <c r="X1913" s="198"/>
      <c r="Y1913" s="198"/>
      <c r="Z1913" s="198"/>
    </row>
    <row r="1914" spans="1:26" ht="15.75" hidden="1" customHeight="1" x14ac:dyDescent="0.25">
      <c r="A1914" s="213">
        <v>10427</v>
      </c>
      <c r="B1914" s="214" t="s">
        <v>10407</v>
      </c>
      <c r="C1914" s="215" t="s">
        <v>580</v>
      </c>
      <c r="D1914" s="216">
        <v>570.29</v>
      </c>
      <c r="E1914" s="198"/>
      <c r="F1914" s="198"/>
      <c r="G1914" s="198"/>
      <c r="H1914" s="198"/>
      <c r="I1914" s="198"/>
      <c r="J1914" s="198"/>
      <c r="K1914" s="198"/>
      <c r="L1914" s="198"/>
      <c r="M1914" s="198"/>
      <c r="N1914" s="198"/>
      <c r="O1914" s="198"/>
      <c r="P1914" s="198"/>
      <c r="Q1914" s="198"/>
      <c r="R1914" s="198"/>
      <c r="S1914" s="198"/>
      <c r="T1914" s="198"/>
      <c r="U1914" s="198"/>
      <c r="V1914" s="198"/>
      <c r="W1914" s="198"/>
      <c r="X1914" s="198"/>
      <c r="Y1914" s="198"/>
      <c r="Z1914" s="198"/>
    </row>
    <row r="1915" spans="1:26" ht="15.75" hidden="1" customHeight="1" x14ac:dyDescent="0.25">
      <c r="A1915" s="213">
        <v>10428</v>
      </c>
      <c r="B1915" s="214" t="s">
        <v>10408</v>
      </c>
      <c r="C1915" s="215" t="s">
        <v>580</v>
      </c>
      <c r="D1915" s="216">
        <v>587.58000000000004</v>
      </c>
      <c r="E1915" s="198"/>
      <c r="F1915" s="198"/>
      <c r="G1915" s="198"/>
      <c r="H1915" s="198"/>
      <c r="I1915" s="198"/>
      <c r="J1915" s="198"/>
      <c r="K1915" s="198"/>
      <c r="L1915" s="198"/>
      <c r="M1915" s="198"/>
      <c r="N1915" s="198"/>
      <c r="O1915" s="198"/>
      <c r="P1915" s="198"/>
      <c r="Q1915" s="198"/>
      <c r="R1915" s="198"/>
      <c r="S1915" s="198"/>
      <c r="T1915" s="198"/>
      <c r="U1915" s="198"/>
      <c r="V1915" s="198"/>
      <c r="W1915" s="198"/>
      <c r="X1915" s="198"/>
      <c r="Y1915" s="198"/>
      <c r="Z1915" s="198"/>
    </row>
    <row r="1916" spans="1:26" ht="15.75" hidden="1" customHeight="1" x14ac:dyDescent="0.25">
      <c r="A1916" s="213">
        <v>36521</v>
      </c>
      <c r="B1916" s="214" t="s">
        <v>10409</v>
      </c>
      <c r="C1916" s="215" t="s">
        <v>580</v>
      </c>
      <c r="D1916" s="216">
        <v>183.33</v>
      </c>
      <c r="E1916" s="198"/>
      <c r="F1916" s="198"/>
      <c r="G1916" s="198"/>
      <c r="H1916" s="198"/>
      <c r="I1916" s="198"/>
      <c r="J1916" s="198"/>
      <c r="K1916" s="198"/>
      <c r="L1916" s="198"/>
      <c r="M1916" s="198"/>
      <c r="N1916" s="198"/>
      <c r="O1916" s="198"/>
      <c r="P1916" s="198"/>
      <c r="Q1916" s="198"/>
      <c r="R1916" s="198"/>
      <c r="S1916" s="198"/>
      <c r="T1916" s="198"/>
      <c r="U1916" s="198"/>
      <c r="V1916" s="198"/>
      <c r="W1916" s="198"/>
      <c r="X1916" s="198"/>
      <c r="Y1916" s="198"/>
      <c r="Z1916" s="198"/>
    </row>
    <row r="1917" spans="1:26" ht="15.75" hidden="1" customHeight="1" x14ac:dyDescent="0.25">
      <c r="A1917" s="213">
        <v>36794</v>
      </c>
      <c r="B1917" s="214" t="s">
        <v>10410</v>
      </c>
      <c r="C1917" s="215" t="s">
        <v>580</v>
      </c>
      <c r="D1917" s="216">
        <v>195.17</v>
      </c>
      <c r="E1917" s="198"/>
      <c r="F1917" s="198"/>
      <c r="G1917" s="198"/>
      <c r="H1917" s="198"/>
      <c r="I1917" s="198"/>
      <c r="J1917" s="198"/>
      <c r="K1917" s="198"/>
      <c r="L1917" s="198"/>
      <c r="M1917" s="198"/>
      <c r="N1917" s="198"/>
      <c r="O1917" s="198"/>
      <c r="P1917" s="198"/>
      <c r="Q1917" s="198"/>
      <c r="R1917" s="198"/>
      <c r="S1917" s="198"/>
      <c r="T1917" s="198"/>
      <c r="U1917" s="198"/>
      <c r="V1917" s="198"/>
      <c r="W1917" s="198"/>
      <c r="X1917" s="198"/>
      <c r="Y1917" s="198"/>
      <c r="Z1917" s="198"/>
    </row>
    <row r="1918" spans="1:26" ht="15.75" hidden="1" customHeight="1" x14ac:dyDescent="0.25">
      <c r="A1918" s="213">
        <v>10426</v>
      </c>
      <c r="B1918" s="214" t="s">
        <v>10411</v>
      </c>
      <c r="C1918" s="215" t="s">
        <v>580</v>
      </c>
      <c r="D1918" s="216">
        <v>218.55</v>
      </c>
      <c r="E1918" s="198"/>
      <c r="F1918" s="198"/>
      <c r="G1918" s="198"/>
      <c r="H1918" s="198"/>
      <c r="I1918" s="198"/>
      <c r="J1918" s="198"/>
      <c r="K1918" s="198"/>
      <c r="L1918" s="198"/>
      <c r="M1918" s="198"/>
      <c r="N1918" s="198"/>
      <c r="O1918" s="198"/>
      <c r="P1918" s="198"/>
      <c r="Q1918" s="198"/>
      <c r="R1918" s="198"/>
      <c r="S1918" s="198"/>
      <c r="T1918" s="198"/>
      <c r="U1918" s="198"/>
      <c r="V1918" s="198"/>
      <c r="W1918" s="198"/>
      <c r="X1918" s="198"/>
      <c r="Y1918" s="198"/>
      <c r="Z1918" s="198"/>
    </row>
    <row r="1919" spans="1:26" ht="15.75" hidden="1" customHeight="1" x14ac:dyDescent="0.25">
      <c r="A1919" s="213">
        <v>10425</v>
      </c>
      <c r="B1919" s="214" t="s">
        <v>10412</v>
      </c>
      <c r="C1919" s="215" t="s">
        <v>580</v>
      </c>
      <c r="D1919" s="216">
        <v>110.87</v>
      </c>
      <c r="E1919" s="198"/>
      <c r="F1919" s="198"/>
      <c r="G1919" s="198"/>
      <c r="H1919" s="198"/>
      <c r="I1919" s="198"/>
      <c r="J1919" s="198"/>
      <c r="K1919" s="198"/>
      <c r="L1919" s="198"/>
      <c r="M1919" s="198"/>
      <c r="N1919" s="198"/>
      <c r="O1919" s="198"/>
      <c r="P1919" s="198"/>
      <c r="Q1919" s="198"/>
      <c r="R1919" s="198"/>
      <c r="S1919" s="198"/>
      <c r="T1919" s="198"/>
      <c r="U1919" s="198"/>
      <c r="V1919" s="198"/>
      <c r="W1919" s="198"/>
      <c r="X1919" s="198"/>
      <c r="Y1919" s="198"/>
      <c r="Z1919" s="198"/>
    </row>
    <row r="1920" spans="1:26" ht="15.75" hidden="1" customHeight="1" x14ac:dyDescent="0.25">
      <c r="A1920" s="213">
        <v>10431</v>
      </c>
      <c r="B1920" s="214" t="s">
        <v>10413</v>
      </c>
      <c r="C1920" s="215" t="s">
        <v>580</v>
      </c>
      <c r="D1920" s="216">
        <v>379.6</v>
      </c>
      <c r="E1920" s="198"/>
      <c r="F1920" s="198"/>
      <c r="G1920" s="198"/>
      <c r="H1920" s="198"/>
      <c r="I1920" s="198"/>
      <c r="J1920" s="198"/>
      <c r="K1920" s="198"/>
      <c r="L1920" s="198"/>
      <c r="M1920" s="198"/>
      <c r="N1920" s="198"/>
      <c r="O1920" s="198"/>
      <c r="P1920" s="198"/>
      <c r="Q1920" s="198"/>
      <c r="R1920" s="198"/>
      <c r="S1920" s="198"/>
      <c r="T1920" s="198"/>
      <c r="U1920" s="198"/>
      <c r="V1920" s="198"/>
      <c r="W1920" s="198"/>
      <c r="X1920" s="198"/>
      <c r="Y1920" s="198"/>
      <c r="Z1920" s="198"/>
    </row>
    <row r="1921" spans="1:26" ht="15.75" hidden="1" customHeight="1" x14ac:dyDescent="0.25">
      <c r="A1921" s="213">
        <v>10429</v>
      </c>
      <c r="B1921" s="214" t="s">
        <v>10414</v>
      </c>
      <c r="C1921" s="215" t="s">
        <v>580</v>
      </c>
      <c r="D1921" s="216">
        <v>187.26</v>
      </c>
      <c r="E1921" s="198"/>
      <c r="F1921" s="198"/>
      <c r="G1921" s="198"/>
      <c r="H1921" s="198"/>
      <c r="I1921" s="198"/>
      <c r="J1921" s="198"/>
      <c r="K1921" s="198"/>
      <c r="L1921" s="198"/>
      <c r="M1921" s="198"/>
      <c r="N1921" s="198"/>
      <c r="O1921" s="198"/>
      <c r="P1921" s="198"/>
      <c r="Q1921" s="198"/>
      <c r="R1921" s="198"/>
      <c r="S1921" s="198"/>
      <c r="T1921" s="198"/>
      <c r="U1921" s="198"/>
      <c r="V1921" s="198"/>
      <c r="W1921" s="198"/>
      <c r="X1921" s="198"/>
      <c r="Y1921" s="198"/>
      <c r="Z1921" s="198"/>
    </row>
    <row r="1922" spans="1:26" ht="15.75" hidden="1" customHeight="1" x14ac:dyDescent="0.25">
      <c r="A1922" s="213">
        <v>10853</v>
      </c>
      <c r="B1922" s="214" t="s">
        <v>10415</v>
      </c>
      <c r="C1922" s="215" t="s">
        <v>580</v>
      </c>
      <c r="D1922" s="216">
        <v>118.36</v>
      </c>
      <c r="E1922" s="198"/>
      <c r="F1922" s="198"/>
      <c r="G1922" s="198"/>
      <c r="H1922" s="198"/>
      <c r="I1922" s="198"/>
      <c r="J1922" s="198"/>
      <c r="K1922" s="198"/>
      <c r="L1922" s="198"/>
      <c r="M1922" s="198"/>
      <c r="N1922" s="198"/>
      <c r="O1922" s="198"/>
      <c r="P1922" s="198"/>
      <c r="Q1922" s="198"/>
      <c r="R1922" s="198"/>
      <c r="S1922" s="198"/>
      <c r="T1922" s="198"/>
      <c r="U1922" s="198"/>
      <c r="V1922" s="198"/>
      <c r="W1922" s="198"/>
      <c r="X1922" s="198"/>
      <c r="Y1922" s="198"/>
      <c r="Z1922" s="198"/>
    </row>
    <row r="1923" spans="1:26" ht="15.75" hidden="1" customHeight="1" x14ac:dyDescent="0.25">
      <c r="A1923" s="213">
        <v>5093</v>
      </c>
      <c r="B1923" s="214" t="s">
        <v>10416</v>
      </c>
      <c r="C1923" s="215" t="s">
        <v>8838</v>
      </c>
      <c r="D1923" s="216">
        <v>16.920000000000002</v>
      </c>
      <c r="E1923" s="198"/>
      <c r="F1923" s="198"/>
      <c r="G1923" s="198"/>
      <c r="H1923" s="198"/>
      <c r="I1923" s="198"/>
      <c r="J1923" s="198"/>
      <c r="K1923" s="198"/>
      <c r="L1923" s="198"/>
      <c r="M1923" s="198"/>
      <c r="N1923" s="198"/>
      <c r="O1923" s="198"/>
      <c r="P1923" s="198"/>
      <c r="Q1923" s="198"/>
      <c r="R1923" s="198"/>
      <c r="S1923" s="198"/>
      <c r="T1923" s="198"/>
      <c r="U1923" s="198"/>
      <c r="V1923" s="198"/>
      <c r="W1923" s="198"/>
      <c r="X1923" s="198"/>
      <c r="Y1923" s="198"/>
      <c r="Z1923" s="198"/>
    </row>
    <row r="1924" spans="1:26" ht="15.75" hidden="1" customHeight="1" x14ac:dyDescent="0.25">
      <c r="A1924" s="213">
        <v>44331</v>
      </c>
      <c r="B1924" s="214" t="s">
        <v>10417</v>
      </c>
      <c r="C1924" s="215" t="s">
        <v>517</v>
      </c>
      <c r="D1924" s="216">
        <v>47.79</v>
      </c>
      <c r="E1924" s="198"/>
      <c r="F1924" s="198"/>
      <c r="G1924" s="198"/>
      <c r="H1924" s="198"/>
      <c r="I1924" s="198"/>
      <c r="J1924" s="198"/>
      <c r="K1924" s="198"/>
      <c r="L1924" s="198"/>
      <c r="M1924" s="198"/>
      <c r="N1924" s="198"/>
      <c r="O1924" s="198"/>
      <c r="P1924" s="198"/>
      <c r="Q1924" s="198"/>
      <c r="R1924" s="198"/>
      <c r="S1924" s="198"/>
      <c r="T1924" s="198"/>
      <c r="U1924" s="198"/>
      <c r="V1924" s="198"/>
      <c r="W1924" s="198"/>
      <c r="X1924" s="198"/>
      <c r="Y1924" s="198"/>
      <c r="Z1924" s="198"/>
    </row>
    <row r="1925" spans="1:26" ht="15.75" hidden="1" customHeight="1" x14ac:dyDescent="0.25">
      <c r="A1925" s="213">
        <v>38382</v>
      </c>
      <c r="B1925" s="214" t="s">
        <v>10418</v>
      </c>
      <c r="C1925" s="215" t="s">
        <v>580</v>
      </c>
      <c r="D1925" s="216">
        <v>10.67</v>
      </c>
      <c r="E1925" s="198"/>
      <c r="F1925" s="198"/>
      <c r="G1925" s="198"/>
      <c r="H1925" s="198"/>
      <c r="I1925" s="198"/>
      <c r="J1925" s="198"/>
      <c r="K1925" s="198"/>
      <c r="L1925" s="198"/>
      <c r="M1925" s="198"/>
      <c r="N1925" s="198"/>
      <c r="O1925" s="198"/>
      <c r="P1925" s="198"/>
      <c r="Q1925" s="198"/>
      <c r="R1925" s="198"/>
      <c r="S1925" s="198"/>
      <c r="T1925" s="198"/>
      <c r="U1925" s="198"/>
      <c r="V1925" s="198"/>
      <c r="W1925" s="198"/>
      <c r="X1925" s="198"/>
      <c r="Y1925" s="198"/>
      <c r="Z1925" s="198"/>
    </row>
    <row r="1926" spans="1:26" ht="15.75" hidden="1" customHeight="1" x14ac:dyDescent="0.25">
      <c r="A1926" s="213">
        <v>38383</v>
      </c>
      <c r="B1926" s="214" t="s">
        <v>10419</v>
      </c>
      <c r="C1926" s="215" t="s">
        <v>580</v>
      </c>
      <c r="D1926" s="216">
        <v>1.99</v>
      </c>
      <c r="E1926" s="198"/>
      <c r="F1926" s="198"/>
      <c r="G1926" s="198"/>
      <c r="H1926" s="198"/>
      <c r="I1926" s="198"/>
      <c r="J1926" s="198"/>
      <c r="K1926" s="198"/>
      <c r="L1926" s="198"/>
      <c r="M1926" s="198"/>
      <c r="N1926" s="198"/>
      <c r="O1926" s="198"/>
      <c r="P1926" s="198"/>
      <c r="Q1926" s="198"/>
      <c r="R1926" s="198"/>
      <c r="S1926" s="198"/>
      <c r="T1926" s="198"/>
      <c r="U1926" s="198"/>
      <c r="V1926" s="198"/>
      <c r="W1926" s="198"/>
      <c r="X1926" s="198"/>
      <c r="Y1926" s="198"/>
      <c r="Z1926" s="198"/>
    </row>
    <row r="1927" spans="1:26" ht="15.75" hidden="1" customHeight="1" x14ac:dyDescent="0.25">
      <c r="A1927" s="213">
        <v>3768</v>
      </c>
      <c r="B1927" s="214" t="s">
        <v>10420</v>
      </c>
      <c r="C1927" s="215" t="s">
        <v>580</v>
      </c>
      <c r="D1927" s="216">
        <v>4.4400000000000004</v>
      </c>
      <c r="E1927" s="198"/>
      <c r="F1927" s="198"/>
      <c r="G1927" s="198"/>
      <c r="H1927" s="198"/>
      <c r="I1927" s="198"/>
      <c r="J1927" s="198"/>
      <c r="K1927" s="198"/>
      <c r="L1927" s="198"/>
      <c r="M1927" s="198"/>
      <c r="N1927" s="198"/>
      <c r="O1927" s="198"/>
      <c r="P1927" s="198"/>
      <c r="Q1927" s="198"/>
      <c r="R1927" s="198"/>
      <c r="S1927" s="198"/>
      <c r="T1927" s="198"/>
      <c r="U1927" s="198"/>
      <c r="V1927" s="198"/>
      <c r="W1927" s="198"/>
      <c r="X1927" s="198"/>
      <c r="Y1927" s="198"/>
      <c r="Z1927" s="198"/>
    </row>
    <row r="1928" spans="1:26" ht="15.75" hidden="1" customHeight="1" x14ac:dyDescent="0.25">
      <c r="A1928" s="213">
        <v>3767</v>
      </c>
      <c r="B1928" s="214" t="s">
        <v>10421</v>
      </c>
      <c r="C1928" s="215" t="s">
        <v>580</v>
      </c>
      <c r="D1928" s="216">
        <v>1.48</v>
      </c>
      <c r="E1928" s="198"/>
      <c r="F1928" s="198"/>
      <c r="G1928" s="198"/>
      <c r="H1928" s="198"/>
      <c r="I1928" s="198"/>
      <c r="J1928" s="198"/>
      <c r="K1928" s="198"/>
      <c r="L1928" s="198"/>
      <c r="M1928" s="198"/>
      <c r="N1928" s="198"/>
      <c r="O1928" s="198"/>
      <c r="P1928" s="198"/>
      <c r="Q1928" s="198"/>
      <c r="R1928" s="198"/>
      <c r="S1928" s="198"/>
      <c r="T1928" s="198"/>
      <c r="U1928" s="198"/>
      <c r="V1928" s="198"/>
      <c r="W1928" s="198"/>
      <c r="X1928" s="198"/>
      <c r="Y1928" s="198"/>
      <c r="Z1928" s="198"/>
    </row>
    <row r="1929" spans="1:26" ht="15.75" hidden="1" customHeight="1" x14ac:dyDescent="0.25">
      <c r="A1929" s="213">
        <v>13192</v>
      </c>
      <c r="B1929" s="214" t="s">
        <v>10422</v>
      </c>
      <c r="C1929" s="215" t="s">
        <v>580</v>
      </c>
      <c r="D1929" s="216">
        <v>5451.52</v>
      </c>
      <c r="E1929" s="198"/>
      <c r="F1929" s="198"/>
      <c r="G1929" s="198"/>
      <c r="H1929" s="198"/>
      <c r="I1929" s="198"/>
      <c r="J1929" s="198"/>
      <c r="K1929" s="198"/>
      <c r="L1929" s="198"/>
      <c r="M1929" s="198"/>
      <c r="N1929" s="198"/>
      <c r="O1929" s="198"/>
      <c r="P1929" s="198"/>
      <c r="Q1929" s="198"/>
      <c r="R1929" s="198"/>
      <c r="S1929" s="198"/>
      <c r="T1929" s="198"/>
      <c r="U1929" s="198"/>
      <c r="V1929" s="198"/>
      <c r="W1929" s="198"/>
      <c r="X1929" s="198"/>
      <c r="Y1929" s="198"/>
      <c r="Z1929" s="198"/>
    </row>
    <row r="1930" spans="1:26" ht="15.75" hidden="1" customHeight="1" x14ac:dyDescent="0.25">
      <c r="A1930" s="213">
        <v>38413</v>
      </c>
      <c r="B1930" s="214" t="s">
        <v>10423</v>
      </c>
      <c r="C1930" s="215" t="s">
        <v>580</v>
      </c>
      <c r="D1930" s="216">
        <v>901.6</v>
      </c>
      <c r="E1930" s="198"/>
      <c r="F1930" s="198"/>
      <c r="G1930" s="198"/>
      <c r="H1930" s="198"/>
      <c r="I1930" s="198"/>
      <c r="J1930" s="198"/>
      <c r="K1930" s="198"/>
      <c r="L1930" s="198"/>
      <c r="M1930" s="198"/>
      <c r="N1930" s="198"/>
      <c r="O1930" s="198"/>
      <c r="P1930" s="198"/>
      <c r="Q1930" s="198"/>
      <c r="R1930" s="198"/>
      <c r="S1930" s="198"/>
      <c r="T1930" s="198"/>
      <c r="U1930" s="198"/>
      <c r="V1930" s="198"/>
      <c r="W1930" s="198"/>
      <c r="X1930" s="198"/>
      <c r="Y1930" s="198"/>
      <c r="Z1930" s="198"/>
    </row>
    <row r="1931" spans="1:26" ht="15.75" hidden="1" customHeight="1" x14ac:dyDescent="0.25">
      <c r="A1931" s="213">
        <v>20193</v>
      </c>
      <c r="B1931" s="214" t="s">
        <v>10424</v>
      </c>
      <c r="C1931" s="215" t="s">
        <v>10425</v>
      </c>
      <c r="D1931" s="216">
        <v>21</v>
      </c>
      <c r="E1931" s="198"/>
      <c r="F1931" s="198"/>
      <c r="G1931" s="198"/>
      <c r="H1931" s="198"/>
      <c r="I1931" s="198"/>
      <c r="J1931" s="198"/>
      <c r="K1931" s="198"/>
      <c r="L1931" s="198"/>
      <c r="M1931" s="198"/>
      <c r="N1931" s="198"/>
      <c r="O1931" s="198"/>
      <c r="P1931" s="198"/>
      <c r="Q1931" s="198"/>
      <c r="R1931" s="198"/>
      <c r="S1931" s="198"/>
      <c r="T1931" s="198"/>
      <c r="U1931" s="198"/>
      <c r="V1931" s="198"/>
      <c r="W1931" s="198"/>
      <c r="X1931" s="198"/>
      <c r="Y1931" s="198"/>
      <c r="Z1931" s="198"/>
    </row>
    <row r="1932" spans="1:26" ht="15.75" hidden="1" customHeight="1" x14ac:dyDescent="0.25">
      <c r="A1932" s="213">
        <v>10527</v>
      </c>
      <c r="B1932" s="214" t="s">
        <v>10426</v>
      </c>
      <c r="C1932" s="215" t="s">
        <v>10427</v>
      </c>
      <c r="D1932" s="216">
        <v>28</v>
      </c>
      <c r="E1932" s="198"/>
      <c r="F1932" s="198"/>
      <c r="G1932" s="198"/>
      <c r="H1932" s="198"/>
      <c r="I1932" s="198"/>
      <c r="J1932" s="198"/>
      <c r="K1932" s="198"/>
      <c r="L1932" s="198"/>
      <c r="M1932" s="198"/>
      <c r="N1932" s="198"/>
      <c r="O1932" s="198"/>
      <c r="P1932" s="198"/>
      <c r="Q1932" s="198"/>
      <c r="R1932" s="198"/>
      <c r="S1932" s="198"/>
      <c r="T1932" s="198"/>
      <c r="U1932" s="198"/>
      <c r="V1932" s="198"/>
      <c r="W1932" s="198"/>
      <c r="X1932" s="198"/>
      <c r="Y1932" s="198"/>
      <c r="Z1932" s="198"/>
    </row>
    <row r="1933" spans="1:26" ht="15.75" hidden="1" customHeight="1" x14ac:dyDescent="0.25">
      <c r="A1933" s="213">
        <v>41805</v>
      </c>
      <c r="B1933" s="214" t="s">
        <v>10428</v>
      </c>
      <c r="C1933" s="215" t="s">
        <v>6214</v>
      </c>
      <c r="D1933" s="216">
        <v>805</v>
      </c>
      <c r="E1933" s="198"/>
      <c r="F1933" s="198"/>
      <c r="G1933" s="198"/>
      <c r="H1933" s="198"/>
      <c r="I1933" s="198"/>
      <c r="J1933" s="198"/>
      <c r="K1933" s="198"/>
      <c r="L1933" s="198"/>
      <c r="M1933" s="198"/>
      <c r="N1933" s="198"/>
      <c r="O1933" s="198"/>
      <c r="P1933" s="198"/>
      <c r="Q1933" s="198"/>
      <c r="R1933" s="198"/>
      <c r="S1933" s="198"/>
      <c r="T1933" s="198"/>
      <c r="U1933" s="198"/>
      <c r="V1933" s="198"/>
      <c r="W1933" s="198"/>
      <c r="X1933" s="198"/>
      <c r="Y1933" s="198"/>
      <c r="Z1933" s="198"/>
    </row>
    <row r="1934" spans="1:26" ht="15.75" hidden="1" customHeight="1" x14ac:dyDescent="0.25">
      <c r="A1934" s="213">
        <v>40271</v>
      </c>
      <c r="B1934" s="214" t="s">
        <v>10429</v>
      </c>
      <c r="C1934" s="215" t="s">
        <v>10430</v>
      </c>
      <c r="D1934" s="216">
        <v>21.43</v>
      </c>
      <c r="E1934" s="198"/>
      <c r="F1934" s="198"/>
      <c r="G1934" s="198"/>
      <c r="H1934" s="198"/>
      <c r="I1934" s="198"/>
      <c r="J1934" s="198"/>
      <c r="K1934" s="198"/>
      <c r="L1934" s="198"/>
      <c r="M1934" s="198"/>
      <c r="N1934" s="198"/>
      <c r="O1934" s="198"/>
      <c r="P1934" s="198"/>
      <c r="Q1934" s="198"/>
      <c r="R1934" s="198"/>
      <c r="S1934" s="198"/>
      <c r="T1934" s="198"/>
      <c r="U1934" s="198"/>
      <c r="V1934" s="198"/>
      <c r="W1934" s="198"/>
      <c r="X1934" s="198"/>
      <c r="Y1934" s="198"/>
      <c r="Z1934" s="198"/>
    </row>
    <row r="1935" spans="1:26" ht="15.75" hidden="1" customHeight="1" x14ac:dyDescent="0.25">
      <c r="A1935" s="213">
        <v>40287</v>
      </c>
      <c r="B1935" s="214" t="s">
        <v>10431</v>
      </c>
      <c r="C1935" s="215" t="s">
        <v>6214</v>
      </c>
      <c r="D1935" s="216">
        <v>8.25</v>
      </c>
      <c r="E1935" s="198"/>
      <c r="F1935" s="198"/>
      <c r="G1935" s="198"/>
      <c r="H1935" s="198"/>
      <c r="I1935" s="198"/>
      <c r="J1935" s="198"/>
      <c r="K1935" s="198"/>
      <c r="L1935" s="198"/>
      <c r="M1935" s="198"/>
      <c r="N1935" s="198"/>
      <c r="O1935" s="198"/>
      <c r="P1935" s="198"/>
      <c r="Q1935" s="198"/>
      <c r="R1935" s="198"/>
      <c r="S1935" s="198"/>
      <c r="T1935" s="198"/>
      <c r="U1935" s="198"/>
      <c r="V1935" s="198"/>
      <c r="W1935" s="198"/>
      <c r="X1935" s="198"/>
      <c r="Y1935" s="198"/>
      <c r="Z1935" s="198"/>
    </row>
    <row r="1936" spans="1:26" ht="15.75" hidden="1" customHeight="1" x14ac:dyDescent="0.25">
      <c r="A1936" s="213">
        <v>4084</v>
      </c>
      <c r="B1936" s="214" t="s">
        <v>10432</v>
      </c>
      <c r="C1936" s="215" t="s">
        <v>2193</v>
      </c>
      <c r="D1936" s="216">
        <v>1.62</v>
      </c>
      <c r="E1936" s="198"/>
      <c r="F1936" s="198"/>
      <c r="G1936" s="198"/>
      <c r="H1936" s="198"/>
      <c r="I1936" s="198"/>
      <c r="J1936" s="198"/>
      <c r="K1936" s="198"/>
      <c r="L1936" s="198"/>
      <c r="M1936" s="198"/>
      <c r="N1936" s="198"/>
      <c r="O1936" s="198"/>
      <c r="P1936" s="198"/>
      <c r="Q1936" s="198"/>
      <c r="R1936" s="198"/>
      <c r="S1936" s="198"/>
      <c r="T1936" s="198"/>
      <c r="U1936" s="198"/>
      <c r="V1936" s="198"/>
      <c r="W1936" s="198"/>
      <c r="X1936" s="198"/>
      <c r="Y1936" s="198"/>
      <c r="Z1936" s="198"/>
    </row>
    <row r="1937" spans="1:26" ht="15.75" hidden="1" customHeight="1" x14ac:dyDescent="0.25">
      <c r="A1937" s="213">
        <v>743</v>
      </c>
      <c r="B1937" s="214" t="s">
        <v>10433</v>
      </c>
      <c r="C1937" s="215" t="s">
        <v>2193</v>
      </c>
      <c r="D1937" s="216">
        <v>1.62</v>
      </c>
      <c r="E1937" s="198"/>
      <c r="F1937" s="198"/>
      <c r="G1937" s="198"/>
      <c r="H1937" s="198"/>
      <c r="I1937" s="198"/>
      <c r="J1937" s="198"/>
      <c r="K1937" s="198"/>
      <c r="L1937" s="198"/>
      <c r="M1937" s="198"/>
      <c r="N1937" s="198"/>
      <c r="O1937" s="198"/>
      <c r="P1937" s="198"/>
      <c r="Q1937" s="198"/>
      <c r="R1937" s="198"/>
      <c r="S1937" s="198"/>
      <c r="T1937" s="198"/>
      <c r="U1937" s="198"/>
      <c r="V1937" s="198"/>
      <c r="W1937" s="198"/>
      <c r="X1937" s="198"/>
      <c r="Y1937" s="198"/>
      <c r="Z1937" s="198"/>
    </row>
    <row r="1938" spans="1:26" ht="15.75" hidden="1" customHeight="1" x14ac:dyDescent="0.25">
      <c r="A1938" s="213">
        <v>40293</v>
      </c>
      <c r="B1938" s="214" t="s">
        <v>10434</v>
      </c>
      <c r="C1938" s="215" t="s">
        <v>2193</v>
      </c>
      <c r="D1938" s="216">
        <v>1.94</v>
      </c>
      <c r="E1938" s="198"/>
      <c r="F1938" s="198"/>
      <c r="G1938" s="198"/>
      <c r="H1938" s="198"/>
      <c r="I1938" s="198"/>
      <c r="J1938" s="198"/>
      <c r="K1938" s="198"/>
      <c r="L1938" s="198"/>
      <c r="M1938" s="198"/>
      <c r="N1938" s="198"/>
      <c r="O1938" s="198"/>
      <c r="P1938" s="198"/>
      <c r="Q1938" s="198"/>
      <c r="R1938" s="198"/>
      <c r="S1938" s="198"/>
      <c r="T1938" s="198"/>
      <c r="U1938" s="198"/>
      <c r="V1938" s="198"/>
      <c r="W1938" s="198"/>
      <c r="X1938" s="198"/>
      <c r="Y1938" s="198"/>
      <c r="Z1938" s="198"/>
    </row>
    <row r="1939" spans="1:26" ht="15.75" hidden="1" customHeight="1" x14ac:dyDescent="0.25">
      <c r="A1939" s="213">
        <v>40294</v>
      </c>
      <c r="B1939" s="214" t="s">
        <v>10435</v>
      </c>
      <c r="C1939" s="215" t="s">
        <v>2193</v>
      </c>
      <c r="D1939" s="216">
        <v>1.62</v>
      </c>
      <c r="E1939" s="198"/>
      <c r="F1939" s="198"/>
      <c r="G1939" s="198"/>
      <c r="H1939" s="198"/>
      <c r="I1939" s="198"/>
      <c r="J1939" s="198"/>
      <c r="K1939" s="198"/>
      <c r="L1939" s="198"/>
      <c r="M1939" s="198"/>
      <c r="N1939" s="198"/>
      <c r="O1939" s="198"/>
      <c r="P1939" s="198"/>
      <c r="Q1939" s="198"/>
      <c r="R1939" s="198"/>
      <c r="S1939" s="198"/>
      <c r="T1939" s="198"/>
      <c r="U1939" s="198"/>
      <c r="V1939" s="198"/>
      <c r="W1939" s="198"/>
      <c r="X1939" s="198"/>
      <c r="Y1939" s="198"/>
      <c r="Z1939" s="198"/>
    </row>
    <row r="1940" spans="1:26" ht="15.75" hidden="1" customHeight="1" x14ac:dyDescent="0.25">
      <c r="A1940" s="213">
        <v>4085</v>
      </c>
      <c r="B1940" s="214" t="s">
        <v>10436</v>
      </c>
      <c r="C1940" s="215" t="s">
        <v>2193</v>
      </c>
      <c r="D1940" s="216">
        <v>2.2599999999999998</v>
      </c>
      <c r="E1940" s="198"/>
      <c r="F1940" s="198"/>
      <c r="G1940" s="198"/>
      <c r="H1940" s="198"/>
      <c r="I1940" s="198"/>
      <c r="J1940" s="198"/>
      <c r="K1940" s="198"/>
      <c r="L1940" s="198"/>
      <c r="M1940" s="198"/>
      <c r="N1940" s="198"/>
      <c r="O1940" s="198"/>
      <c r="P1940" s="198"/>
      <c r="Q1940" s="198"/>
      <c r="R1940" s="198"/>
      <c r="S1940" s="198"/>
      <c r="T1940" s="198"/>
      <c r="U1940" s="198"/>
      <c r="V1940" s="198"/>
      <c r="W1940" s="198"/>
      <c r="X1940" s="198"/>
      <c r="Y1940" s="198"/>
      <c r="Z1940" s="198"/>
    </row>
    <row r="1941" spans="1:26" ht="15.75" hidden="1" customHeight="1" x14ac:dyDescent="0.25">
      <c r="A1941" s="213">
        <v>10779</v>
      </c>
      <c r="B1941" s="214" t="s">
        <v>10437</v>
      </c>
      <c r="C1941" s="215" t="s">
        <v>6214</v>
      </c>
      <c r="D1941" s="216">
        <v>962.5</v>
      </c>
      <c r="E1941" s="198"/>
      <c r="F1941" s="198"/>
      <c r="G1941" s="198"/>
      <c r="H1941" s="198"/>
      <c r="I1941" s="198"/>
      <c r="J1941" s="198"/>
      <c r="K1941" s="198"/>
      <c r="L1941" s="198"/>
      <c r="M1941" s="198"/>
      <c r="N1941" s="198"/>
      <c r="O1941" s="198"/>
      <c r="P1941" s="198"/>
      <c r="Q1941" s="198"/>
      <c r="R1941" s="198"/>
      <c r="S1941" s="198"/>
      <c r="T1941" s="198"/>
      <c r="U1941" s="198"/>
      <c r="V1941" s="198"/>
      <c r="W1941" s="198"/>
      <c r="X1941" s="198"/>
      <c r="Y1941" s="198"/>
      <c r="Z1941" s="198"/>
    </row>
    <row r="1942" spans="1:26" ht="15.75" hidden="1" customHeight="1" x14ac:dyDescent="0.25">
      <c r="A1942" s="213">
        <v>10777</v>
      </c>
      <c r="B1942" s="214" t="s">
        <v>10438</v>
      </c>
      <c r="C1942" s="215" t="s">
        <v>6214</v>
      </c>
      <c r="D1942" s="216">
        <v>874.27</v>
      </c>
      <c r="E1942" s="198"/>
      <c r="F1942" s="198"/>
      <c r="G1942" s="198"/>
      <c r="H1942" s="198"/>
      <c r="I1942" s="198"/>
      <c r="J1942" s="198"/>
      <c r="K1942" s="198"/>
      <c r="L1942" s="198"/>
      <c r="M1942" s="198"/>
      <c r="N1942" s="198"/>
      <c r="O1942" s="198"/>
      <c r="P1942" s="198"/>
      <c r="Q1942" s="198"/>
      <c r="R1942" s="198"/>
      <c r="S1942" s="198"/>
      <c r="T1942" s="198"/>
      <c r="U1942" s="198"/>
      <c r="V1942" s="198"/>
      <c r="W1942" s="198"/>
      <c r="X1942" s="198"/>
      <c r="Y1942" s="198"/>
      <c r="Z1942" s="198"/>
    </row>
    <row r="1943" spans="1:26" ht="15.75" hidden="1" customHeight="1" x14ac:dyDescent="0.25">
      <c r="A1943" s="213">
        <v>10775</v>
      </c>
      <c r="B1943" s="214" t="s">
        <v>10439</v>
      </c>
      <c r="C1943" s="215" t="s">
        <v>6214</v>
      </c>
      <c r="D1943" s="216">
        <v>770</v>
      </c>
      <c r="E1943" s="198"/>
      <c r="F1943" s="198"/>
      <c r="G1943" s="198"/>
      <c r="H1943" s="198"/>
      <c r="I1943" s="198"/>
      <c r="J1943" s="198"/>
      <c r="K1943" s="198"/>
      <c r="L1943" s="198"/>
      <c r="M1943" s="198"/>
      <c r="N1943" s="198"/>
      <c r="O1943" s="198"/>
      <c r="P1943" s="198"/>
      <c r="Q1943" s="198"/>
      <c r="R1943" s="198"/>
      <c r="S1943" s="198"/>
      <c r="T1943" s="198"/>
      <c r="U1943" s="198"/>
      <c r="V1943" s="198"/>
      <c r="W1943" s="198"/>
      <c r="X1943" s="198"/>
      <c r="Y1943" s="198"/>
      <c r="Z1943" s="198"/>
    </row>
    <row r="1944" spans="1:26" ht="15.75" hidden="1" customHeight="1" x14ac:dyDescent="0.25">
      <c r="A1944" s="213">
        <v>10776</v>
      </c>
      <c r="B1944" s="214" t="s">
        <v>10440</v>
      </c>
      <c r="C1944" s="215" t="s">
        <v>6214</v>
      </c>
      <c r="D1944" s="216">
        <v>601.55999999999995</v>
      </c>
      <c r="E1944" s="198"/>
      <c r="F1944" s="198"/>
      <c r="G1944" s="198"/>
      <c r="H1944" s="198"/>
      <c r="I1944" s="198"/>
      <c r="J1944" s="198"/>
      <c r="K1944" s="198"/>
      <c r="L1944" s="198"/>
      <c r="M1944" s="198"/>
      <c r="N1944" s="198"/>
      <c r="O1944" s="198"/>
      <c r="P1944" s="198"/>
      <c r="Q1944" s="198"/>
      <c r="R1944" s="198"/>
      <c r="S1944" s="198"/>
      <c r="T1944" s="198"/>
      <c r="U1944" s="198"/>
      <c r="V1944" s="198"/>
      <c r="W1944" s="198"/>
      <c r="X1944" s="198"/>
      <c r="Y1944" s="198"/>
      <c r="Z1944" s="198"/>
    </row>
    <row r="1945" spans="1:26" ht="15.75" hidden="1" customHeight="1" x14ac:dyDescent="0.25">
      <c r="A1945" s="213">
        <v>10778</v>
      </c>
      <c r="B1945" s="214" t="s">
        <v>10441</v>
      </c>
      <c r="C1945" s="215" t="s">
        <v>6214</v>
      </c>
      <c r="D1945" s="216">
        <v>962.5</v>
      </c>
      <c r="E1945" s="198"/>
      <c r="F1945" s="198"/>
      <c r="G1945" s="198"/>
      <c r="H1945" s="198"/>
      <c r="I1945" s="198"/>
      <c r="J1945" s="198"/>
      <c r="K1945" s="198"/>
      <c r="L1945" s="198"/>
      <c r="M1945" s="198"/>
      <c r="N1945" s="198"/>
      <c r="O1945" s="198"/>
      <c r="P1945" s="198"/>
      <c r="Q1945" s="198"/>
      <c r="R1945" s="198"/>
      <c r="S1945" s="198"/>
      <c r="T1945" s="198"/>
      <c r="U1945" s="198"/>
      <c r="V1945" s="198"/>
      <c r="W1945" s="198"/>
      <c r="X1945" s="198"/>
      <c r="Y1945" s="198"/>
      <c r="Z1945" s="198"/>
    </row>
    <row r="1946" spans="1:26" ht="15.75" hidden="1" customHeight="1" x14ac:dyDescent="0.25">
      <c r="A1946" s="213">
        <v>40339</v>
      </c>
      <c r="B1946" s="214" t="s">
        <v>10442</v>
      </c>
      <c r="C1946" s="215" t="s">
        <v>10430</v>
      </c>
      <c r="D1946" s="216">
        <v>7.51</v>
      </c>
      <c r="E1946" s="198"/>
      <c r="F1946" s="198"/>
      <c r="G1946" s="198"/>
      <c r="H1946" s="198"/>
      <c r="I1946" s="198"/>
      <c r="J1946" s="198"/>
      <c r="K1946" s="198"/>
      <c r="L1946" s="198"/>
      <c r="M1946" s="198"/>
      <c r="N1946" s="198"/>
      <c r="O1946" s="198"/>
      <c r="P1946" s="198"/>
      <c r="Q1946" s="198"/>
      <c r="R1946" s="198"/>
      <c r="S1946" s="198"/>
      <c r="T1946" s="198"/>
      <c r="U1946" s="198"/>
      <c r="V1946" s="198"/>
      <c r="W1946" s="198"/>
      <c r="X1946" s="198"/>
      <c r="Y1946" s="198"/>
      <c r="Z1946" s="198"/>
    </row>
    <row r="1947" spans="1:26" ht="15.75" hidden="1" customHeight="1" x14ac:dyDescent="0.25">
      <c r="A1947" s="213">
        <v>10749</v>
      </c>
      <c r="B1947" s="214" t="s">
        <v>10443</v>
      </c>
      <c r="C1947" s="215" t="s">
        <v>10430</v>
      </c>
      <c r="D1947" s="216">
        <v>24.85</v>
      </c>
      <c r="E1947" s="198"/>
      <c r="F1947" s="198"/>
      <c r="G1947" s="198"/>
      <c r="H1947" s="198"/>
      <c r="I1947" s="198"/>
      <c r="J1947" s="198"/>
      <c r="K1947" s="198"/>
      <c r="L1947" s="198"/>
      <c r="M1947" s="198"/>
      <c r="N1947" s="198"/>
      <c r="O1947" s="198"/>
      <c r="P1947" s="198"/>
      <c r="Q1947" s="198"/>
      <c r="R1947" s="198"/>
      <c r="S1947" s="198"/>
      <c r="T1947" s="198"/>
      <c r="U1947" s="198"/>
      <c r="V1947" s="198"/>
      <c r="W1947" s="198"/>
      <c r="X1947" s="198"/>
      <c r="Y1947" s="198"/>
      <c r="Z1947" s="198"/>
    </row>
    <row r="1948" spans="1:26" ht="15.75" hidden="1" customHeight="1" x14ac:dyDescent="0.25">
      <c r="A1948" s="213">
        <v>40290</v>
      </c>
      <c r="B1948" s="214" t="s">
        <v>10444</v>
      </c>
      <c r="C1948" s="215" t="s">
        <v>10430</v>
      </c>
      <c r="D1948" s="216">
        <v>13.44</v>
      </c>
      <c r="E1948" s="198"/>
      <c r="F1948" s="198"/>
      <c r="G1948" s="198"/>
      <c r="H1948" s="198"/>
      <c r="I1948" s="198"/>
      <c r="J1948" s="198"/>
      <c r="K1948" s="198"/>
      <c r="L1948" s="198"/>
      <c r="M1948" s="198"/>
      <c r="N1948" s="198"/>
      <c r="O1948" s="198"/>
      <c r="P1948" s="198"/>
      <c r="Q1948" s="198"/>
      <c r="R1948" s="198"/>
      <c r="S1948" s="198"/>
      <c r="T1948" s="198"/>
      <c r="U1948" s="198"/>
      <c r="V1948" s="198"/>
      <c r="W1948" s="198"/>
      <c r="X1948" s="198"/>
      <c r="Y1948" s="198"/>
      <c r="Z1948" s="198"/>
    </row>
    <row r="1949" spans="1:26" ht="15.75" hidden="1" customHeight="1" x14ac:dyDescent="0.25">
      <c r="A1949" s="213">
        <v>40291</v>
      </c>
      <c r="B1949" s="214" t="s">
        <v>10445</v>
      </c>
      <c r="C1949" s="215" t="s">
        <v>10430</v>
      </c>
      <c r="D1949" s="216">
        <v>700</v>
      </c>
      <c r="E1949" s="198"/>
      <c r="F1949" s="198"/>
      <c r="G1949" s="198"/>
      <c r="H1949" s="198"/>
      <c r="I1949" s="198"/>
      <c r="J1949" s="198"/>
      <c r="K1949" s="198"/>
      <c r="L1949" s="198"/>
      <c r="M1949" s="198"/>
      <c r="N1949" s="198"/>
      <c r="O1949" s="198"/>
      <c r="P1949" s="198"/>
      <c r="Q1949" s="198"/>
      <c r="R1949" s="198"/>
      <c r="S1949" s="198"/>
      <c r="T1949" s="198"/>
      <c r="U1949" s="198"/>
      <c r="V1949" s="198"/>
      <c r="W1949" s="198"/>
      <c r="X1949" s="198"/>
      <c r="Y1949" s="198"/>
      <c r="Z1949" s="198"/>
    </row>
    <row r="1950" spans="1:26" ht="15.75" hidden="1" customHeight="1" x14ac:dyDescent="0.25">
      <c r="A1950" s="213">
        <v>40275</v>
      </c>
      <c r="B1950" s="214" t="s">
        <v>10446</v>
      </c>
      <c r="C1950" s="215" t="s">
        <v>10430</v>
      </c>
      <c r="D1950" s="216">
        <v>22.4</v>
      </c>
      <c r="E1950" s="198"/>
      <c r="F1950" s="198"/>
      <c r="G1950" s="198"/>
      <c r="H1950" s="198"/>
      <c r="I1950" s="198"/>
      <c r="J1950" s="198"/>
      <c r="K1950" s="198"/>
      <c r="L1950" s="198"/>
      <c r="M1950" s="198"/>
      <c r="N1950" s="198"/>
      <c r="O1950" s="198"/>
      <c r="P1950" s="198"/>
      <c r="Q1950" s="198"/>
      <c r="R1950" s="198"/>
      <c r="S1950" s="198"/>
      <c r="T1950" s="198"/>
      <c r="U1950" s="198"/>
      <c r="V1950" s="198"/>
      <c r="W1950" s="198"/>
      <c r="X1950" s="198"/>
      <c r="Y1950" s="198"/>
      <c r="Z1950" s="198"/>
    </row>
    <row r="1951" spans="1:26" ht="15.75" hidden="1" customHeight="1" x14ac:dyDescent="0.25">
      <c r="A1951" s="213">
        <v>42408</v>
      </c>
      <c r="B1951" s="214" t="s">
        <v>10447</v>
      </c>
      <c r="C1951" s="215" t="s">
        <v>578</v>
      </c>
      <c r="D1951" s="216">
        <v>1.8</v>
      </c>
      <c r="E1951" s="198"/>
      <c r="F1951" s="198"/>
      <c r="G1951" s="198"/>
      <c r="H1951" s="198"/>
      <c r="I1951" s="198"/>
      <c r="J1951" s="198"/>
      <c r="K1951" s="198"/>
      <c r="L1951" s="198"/>
      <c r="M1951" s="198"/>
      <c r="N1951" s="198"/>
      <c r="O1951" s="198"/>
      <c r="P1951" s="198"/>
      <c r="Q1951" s="198"/>
      <c r="R1951" s="198"/>
      <c r="S1951" s="198"/>
      <c r="T1951" s="198"/>
      <c r="U1951" s="198"/>
      <c r="V1951" s="198"/>
      <c r="W1951" s="198"/>
      <c r="X1951" s="198"/>
      <c r="Y1951" s="198"/>
      <c r="Z1951" s="198"/>
    </row>
    <row r="1952" spans="1:26" ht="15.75" hidden="1" customHeight="1" x14ac:dyDescent="0.25">
      <c r="A1952" s="213">
        <v>3777</v>
      </c>
      <c r="B1952" s="214" t="s">
        <v>10448</v>
      </c>
      <c r="C1952" s="215" t="s">
        <v>578</v>
      </c>
      <c r="D1952" s="216">
        <v>1.3</v>
      </c>
      <c r="E1952" s="198"/>
      <c r="F1952" s="198"/>
      <c r="G1952" s="198"/>
      <c r="H1952" s="198"/>
      <c r="I1952" s="198"/>
      <c r="J1952" s="198"/>
      <c r="K1952" s="198"/>
      <c r="L1952" s="198"/>
      <c r="M1952" s="198"/>
      <c r="N1952" s="198"/>
      <c r="O1952" s="198"/>
      <c r="P1952" s="198"/>
      <c r="Q1952" s="198"/>
      <c r="R1952" s="198"/>
      <c r="S1952" s="198"/>
      <c r="T1952" s="198"/>
      <c r="U1952" s="198"/>
      <c r="V1952" s="198"/>
      <c r="W1952" s="198"/>
      <c r="X1952" s="198"/>
      <c r="Y1952" s="198"/>
      <c r="Z1952" s="198"/>
    </row>
    <row r="1953" spans="1:26" ht="15.75" hidden="1" customHeight="1" x14ac:dyDescent="0.25">
      <c r="A1953" s="213">
        <v>44699</v>
      </c>
      <c r="B1953" s="214" t="s">
        <v>10449</v>
      </c>
      <c r="C1953" s="215" t="s">
        <v>823</v>
      </c>
      <c r="D1953" s="216">
        <v>50.54</v>
      </c>
      <c r="E1953" s="198"/>
      <c r="F1953" s="198"/>
      <c r="G1953" s="198"/>
      <c r="H1953" s="198"/>
      <c r="I1953" s="198"/>
      <c r="J1953" s="198"/>
      <c r="K1953" s="198"/>
      <c r="L1953" s="198"/>
      <c r="M1953" s="198"/>
      <c r="N1953" s="198"/>
      <c r="O1953" s="198"/>
      <c r="P1953" s="198"/>
      <c r="Q1953" s="198"/>
      <c r="R1953" s="198"/>
      <c r="S1953" s="198"/>
      <c r="T1953" s="198"/>
      <c r="U1953" s="198"/>
      <c r="V1953" s="198"/>
      <c r="W1953" s="198"/>
      <c r="X1953" s="198"/>
      <c r="Y1953" s="198"/>
      <c r="Z1953" s="198"/>
    </row>
    <row r="1954" spans="1:26" ht="15.75" hidden="1" customHeight="1" x14ac:dyDescent="0.25">
      <c r="A1954" s="213">
        <v>38774</v>
      </c>
      <c r="B1954" s="214" t="s">
        <v>10450</v>
      </c>
      <c r="C1954" s="215" t="s">
        <v>580</v>
      </c>
      <c r="D1954" s="216">
        <v>13.59</v>
      </c>
      <c r="E1954" s="198"/>
      <c r="F1954" s="198"/>
      <c r="G1954" s="198"/>
      <c r="H1954" s="198"/>
      <c r="I1954" s="198"/>
      <c r="J1954" s="198"/>
      <c r="K1954" s="198"/>
      <c r="L1954" s="198"/>
      <c r="M1954" s="198"/>
      <c r="N1954" s="198"/>
      <c r="O1954" s="198"/>
      <c r="P1954" s="198"/>
      <c r="Q1954" s="198"/>
      <c r="R1954" s="198"/>
      <c r="S1954" s="198"/>
      <c r="T1954" s="198"/>
      <c r="U1954" s="198"/>
      <c r="V1954" s="198"/>
      <c r="W1954" s="198"/>
      <c r="X1954" s="198"/>
      <c r="Y1954" s="198"/>
      <c r="Z1954" s="198"/>
    </row>
    <row r="1955" spans="1:26" ht="15.75" hidden="1" customHeight="1" x14ac:dyDescent="0.25">
      <c r="A1955" s="213">
        <v>42247</v>
      </c>
      <c r="B1955" s="214" t="s">
        <v>10451</v>
      </c>
      <c r="C1955" s="215" t="s">
        <v>580</v>
      </c>
      <c r="D1955" s="216">
        <v>463.9</v>
      </c>
      <c r="E1955" s="198"/>
      <c r="F1955" s="198"/>
      <c r="G1955" s="198"/>
      <c r="H1955" s="198"/>
      <c r="I1955" s="198"/>
      <c r="J1955" s="198"/>
      <c r="K1955" s="198"/>
      <c r="L1955" s="198"/>
      <c r="M1955" s="198"/>
      <c r="N1955" s="198"/>
      <c r="O1955" s="198"/>
      <c r="P1955" s="198"/>
      <c r="Q1955" s="198"/>
      <c r="R1955" s="198"/>
      <c r="S1955" s="198"/>
      <c r="T1955" s="198"/>
      <c r="U1955" s="198"/>
      <c r="V1955" s="198"/>
      <c r="W1955" s="198"/>
      <c r="X1955" s="198"/>
      <c r="Y1955" s="198"/>
      <c r="Z1955" s="198"/>
    </row>
    <row r="1956" spans="1:26" ht="15.75" hidden="1" customHeight="1" x14ac:dyDescent="0.25">
      <c r="A1956" s="213">
        <v>42248</v>
      </c>
      <c r="B1956" s="214" t="s">
        <v>10452</v>
      </c>
      <c r="C1956" s="215" t="s">
        <v>580</v>
      </c>
      <c r="D1956" s="216">
        <v>538.85</v>
      </c>
      <c r="E1956" s="198"/>
      <c r="F1956" s="198"/>
      <c r="G1956" s="198"/>
      <c r="H1956" s="198"/>
      <c r="I1956" s="198"/>
      <c r="J1956" s="198"/>
      <c r="K1956" s="198"/>
      <c r="L1956" s="198"/>
      <c r="M1956" s="198"/>
      <c r="N1956" s="198"/>
      <c r="O1956" s="198"/>
      <c r="P1956" s="198"/>
      <c r="Q1956" s="198"/>
      <c r="R1956" s="198"/>
      <c r="S1956" s="198"/>
      <c r="T1956" s="198"/>
      <c r="U1956" s="198"/>
      <c r="V1956" s="198"/>
      <c r="W1956" s="198"/>
      <c r="X1956" s="198"/>
      <c r="Y1956" s="198"/>
      <c r="Z1956" s="198"/>
    </row>
    <row r="1957" spans="1:26" ht="15.75" hidden="1" customHeight="1" x14ac:dyDescent="0.25">
      <c r="A1957" s="213">
        <v>42249</v>
      </c>
      <c r="B1957" s="214" t="s">
        <v>10453</v>
      </c>
      <c r="C1957" s="215" t="s">
        <v>580</v>
      </c>
      <c r="D1957" s="216">
        <v>892.69</v>
      </c>
      <c r="E1957" s="198"/>
      <c r="F1957" s="198"/>
      <c r="G1957" s="198"/>
      <c r="H1957" s="198"/>
      <c r="I1957" s="198"/>
      <c r="J1957" s="198"/>
      <c r="K1957" s="198"/>
      <c r="L1957" s="198"/>
      <c r="M1957" s="198"/>
      <c r="N1957" s="198"/>
      <c r="O1957" s="198"/>
      <c r="P1957" s="198"/>
      <c r="Q1957" s="198"/>
      <c r="R1957" s="198"/>
      <c r="S1957" s="198"/>
      <c r="T1957" s="198"/>
      <c r="U1957" s="198"/>
      <c r="V1957" s="198"/>
      <c r="W1957" s="198"/>
      <c r="X1957" s="198"/>
      <c r="Y1957" s="198"/>
      <c r="Z1957" s="198"/>
    </row>
    <row r="1958" spans="1:26" ht="15.75" hidden="1" customHeight="1" x14ac:dyDescent="0.25">
      <c r="A1958" s="213">
        <v>42244</v>
      </c>
      <c r="B1958" s="214" t="s">
        <v>10454</v>
      </c>
      <c r="C1958" s="215" t="s">
        <v>580</v>
      </c>
      <c r="D1958" s="216">
        <v>139.41</v>
      </c>
      <c r="E1958" s="198"/>
      <c r="F1958" s="198"/>
      <c r="G1958" s="198"/>
      <c r="H1958" s="198"/>
      <c r="I1958" s="198"/>
      <c r="J1958" s="198"/>
      <c r="K1958" s="198"/>
      <c r="L1958" s="198"/>
      <c r="M1958" s="198"/>
      <c r="N1958" s="198"/>
      <c r="O1958" s="198"/>
      <c r="P1958" s="198"/>
      <c r="Q1958" s="198"/>
      <c r="R1958" s="198"/>
      <c r="S1958" s="198"/>
      <c r="T1958" s="198"/>
      <c r="U1958" s="198"/>
      <c r="V1958" s="198"/>
      <c r="W1958" s="198"/>
      <c r="X1958" s="198"/>
      <c r="Y1958" s="198"/>
      <c r="Z1958" s="198"/>
    </row>
    <row r="1959" spans="1:26" ht="15.75" hidden="1" customHeight="1" x14ac:dyDescent="0.25">
      <c r="A1959" s="213">
        <v>42245</v>
      </c>
      <c r="B1959" s="214" t="s">
        <v>10455</v>
      </c>
      <c r="C1959" s="215" t="s">
        <v>580</v>
      </c>
      <c r="D1959" s="216">
        <v>257.26</v>
      </c>
      <c r="E1959" s="198"/>
      <c r="F1959" s="198"/>
      <c r="G1959" s="198"/>
      <c r="H1959" s="198"/>
      <c r="I1959" s="198"/>
      <c r="J1959" s="198"/>
      <c r="K1959" s="198"/>
      <c r="L1959" s="198"/>
      <c r="M1959" s="198"/>
      <c r="N1959" s="198"/>
      <c r="O1959" s="198"/>
      <c r="P1959" s="198"/>
      <c r="Q1959" s="198"/>
      <c r="R1959" s="198"/>
      <c r="S1959" s="198"/>
      <c r="T1959" s="198"/>
      <c r="U1959" s="198"/>
      <c r="V1959" s="198"/>
      <c r="W1959" s="198"/>
      <c r="X1959" s="198"/>
      <c r="Y1959" s="198"/>
      <c r="Z1959" s="198"/>
    </row>
    <row r="1960" spans="1:26" ht="15.75" hidden="1" customHeight="1" x14ac:dyDescent="0.25">
      <c r="A1960" s="213">
        <v>42246</v>
      </c>
      <c r="B1960" s="214" t="s">
        <v>10456</v>
      </c>
      <c r="C1960" s="215" t="s">
        <v>580</v>
      </c>
      <c r="D1960" s="216">
        <v>284.77</v>
      </c>
      <c r="E1960" s="198"/>
      <c r="F1960" s="198"/>
      <c r="G1960" s="198"/>
      <c r="H1960" s="198"/>
      <c r="I1960" s="198"/>
      <c r="J1960" s="198"/>
      <c r="K1960" s="198"/>
      <c r="L1960" s="198"/>
      <c r="M1960" s="198"/>
      <c r="N1960" s="198"/>
      <c r="O1960" s="198"/>
      <c r="P1960" s="198"/>
      <c r="Q1960" s="198"/>
      <c r="R1960" s="198"/>
      <c r="S1960" s="198"/>
      <c r="T1960" s="198"/>
      <c r="U1960" s="198"/>
      <c r="V1960" s="198"/>
      <c r="W1960" s="198"/>
      <c r="X1960" s="198"/>
      <c r="Y1960" s="198"/>
      <c r="Z1960" s="198"/>
    </row>
    <row r="1961" spans="1:26" ht="15.75" hidden="1" customHeight="1" x14ac:dyDescent="0.25">
      <c r="A1961" s="213">
        <v>42243</v>
      </c>
      <c r="B1961" s="214" t="s">
        <v>10457</v>
      </c>
      <c r="C1961" s="215" t="s">
        <v>580</v>
      </c>
      <c r="D1961" s="216">
        <v>343.38</v>
      </c>
      <c r="E1961" s="198"/>
      <c r="F1961" s="198"/>
      <c r="G1961" s="198"/>
      <c r="H1961" s="198"/>
      <c r="I1961" s="198"/>
      <c r="J1961" s="198"/>
      <c r="K1961" s="198"/>
      <c r="L1961" s="198"/>
      <c r="M1961" s="198"/>
      <c r="N1961" s="198"/>
      <c r="O1961" s="198"/>
      <c r="P1961" s="198"/>
      <c r="Q1961" s="198"/>
      <c r="R1961" s="198"/>
      <c r="S1961" s="198"/>
      <c r="T1961" s="198"/>
      <c r="U1961" s="198"/>
      <c r="V1961" s="198"/>
      <c r="W1961" s="198"/>
      <c r="X1961" s="198"/>
      <c r="Y1961" s="198"/>
      <c r="Z1961" s="198"/>
    </row>
    <row r="1962" spans="1:26" ht="15.75" hidden="1" customHeight="1" x14ac:dyDescent="0.25">
      <c r="A1962" s="213">
        <v>39385</v>
      </c>
      <c r="B1962" s="214" t="s">
        <v>10458</v>
      </c>
      <c r="C1962" s="215" t="s">
        <v>580</v>
      </c>
      <c r="D1962" s="216">
        <v>12.43</v>
      </c>
      <c r="E1962" s="198"/>
      <c r="F1962" s="198"/>
      <c r="G1962" s="198"/>
      <c r="H1962" s="198"/>
      <c r="I1962" s="198"/>
      <c r="J1962" s="198"/>
      <c r="K1962" s="198"/>
      <c r="L1962" s="198"/>
      <c r="M1962" s="198"/>
      <c r="N1962" s="198"/>
      <c r="O1962" s="198"/>
      <c r="P1962" s="198"/>
      <c r="Q1962" s="198"/>
      <c r="R1962" s="198"/>
      <c r="S1962" s="198"/>
      <c r="T1962" s="198"/>
      <c r="U1962" s="198"/>
      <c r="V1962" s="198"/>
      <c r="W1962" s="198"/>
      <c r="X1962" s="198"/>
      <c r="Y1962" s="198"/>
      <c r="Z1962" s="198"/>
    </row>
    <row r="1963" spans="1:26" ht="15.75" hidden="1" customHeight="1" x14ac:dyDescent="0.25">
      <c r="A1963" s="213">
        <v>39389</v>
      </c>
      <c r="B1963" s="214" t="s">
        <v>10459</v>
      </c>
      <c r="C1963" s="215" t="s">
        <v>580</v>
      </c>
      <c r="D1963" s="216">
        <v>13.48</v>
      </c>
      <c r="E1963" s="198"/>
      <c r="F1963" s="198"/>
      <c r="G1963" s="198"/>
      <c r="H1963" s="198"/>
      <c r="I1963" s="198"/>
      <c r="J1963" s="198"/>
      <c r="K1963" s="198"/>
      <c r="L1963" s="198"/>
      <c r="M1963" s="198"/>
      <c r="N1963" s="198"/>
      <c r="O1963" s="198"/>
      <c r="P1963" s="198"/>
      <c r="Q1963" s="198"/>
      <c r="R1963" s="198"/>
      <c r="S1963" s="198"/>
      <c r="T1963" s="198"/>
      <c r="U1963" s="198"/>
      <c r="V1963" s="198"/>
      <c r="W1963" s="198"/>
      <c r="X1963" s="198"/>
      <c r="Y1963" s="198"/>
      <c r="Z1963" s="198"/>
    </row>
    <row r="1964" spans="1:26" ht="15.75" hidden="1" customHeight="1" x14ac:dyDescent="0.25">
      <c r="A1964" s="213">
        <v>39390</v>
      </c>
      <c r="B1964" s="214" t="s">
        <v>10460</v>
      </c>
      <c r="C1964" s="215" t="s">
        <v>580</v>
      </c>
      <c r="D1964" s="216">
        <v>28.27</v>
      </c>
      <c r="E1964" s="198"/>
      <c r="F1964" s="198"/>
      <c r="G1964" s="198"/>
      <c r="H1964" s="198"/>
      <c r="I1964" s="198"/>
      <c r="J1964" s="198"/>
      <c r="K1964" s="198"/>
      <c r="L1964" s="198"/>
      <c r="M1964" s="198"/>
      <c r="N1964" s="198"/>
      <c r="O1964" s="198"/>
      <c r="P1964" s="198"/>
      <c r="Q1964" s="198"/>
      <c r="R1964" s="198"/>
      <c r="S1964" s="198"/>
      <c r="T1964" s="198"/>
      <c r="U1964" s="198"/>
      <c r="V1964" s="198"/>
      <c r="W1964" s="198"/>
      <c r="X1964" s="198"/>
      <c r="Y1964" s="198"/>
      <c r="Z1964" s="198"/>
    </row>
    <row r="1965" spans="1:26" ht="15.75" hidden="1" customHeight="1" x14ac:dyDescent="0.25">
      <c r="A1965" s="213">
        <v>39391</v>
      </c>
      <c r="B1965" s="214" t="s">
        <v>10461</v>
      </c>
      <c r="C1965" s="215" t="s">
        <v>580</v>
      </c>
      <c r="D1965" s="216">
        <v>31.74</v>
      </c>
      <c r="E1965" s="198"/>
      <c r="F1965" s="198"/>
      <c r="G1965" s="198"/>
      <c r="H1965" s="198"/>
      <c r="I1965" s="198"/>
      <c r="J1965" s="198"/>
      <c r="K1965" s="198"/>
      <c r="L1965" s="198"/>
      <c r="M1965" s="198"/>
      <c r="N1965" s="198"/>
      <c r="O1965" s="198"/>
      <c r="P1965" s="198"/>
      <c r="Q1965" s="198"/>
      <c r="R1965" s="198"/>
      <c r="S1965" s="198"/>
      <c r="T1965" s="198"/>
      <c r="U1965" s="198"/>
      <c r="V1965" s="198"/>
      <c r="W1965" s="198"/>
      <c r="X1965" s="198"/>
      <c r="Y1965" s="198"/>
      <c r="Z1965" s="198"/>
    </row>
    <row r="1966" spans="1:26" ht="15.75" hidden="1" customHeight="1" x14ac:dyDescent="0.25">
      <c r="A1966" s="213">
        <v>43265</v>
      </c>
      <c r="B1966" s="214" t="s">
        <v>10462</v>
      </c>
      <c r="C1966" s="215" t="s">
        <v>580</v>
      </c>
      <c r="D1966" s="216">
        <v>38.869999999999997</v>
      </c>
      <c r="E1966" s="198"/>
      <c r="F1966" s="198"/>
      <c r="G1966" s="198"/>
      <c r="H1966" s="198"/>
      <c r="I1966" s="198"/>
      <c r="J1966" s="198"/>
      <c r="K1966" s="198"/>
      <c r="L1966" s="198"/>
      <c r="M1966" s="198"/>
      <c r="N1966" s="198"/>
      <c r="O1966" s="198"/>
      <c r="P1966" s="198"/>
      <c r="Q1966" s="198"/>
      <c r="R1966" s="198"/>
      <c r="S1966" s="198"/>
      <c r="T1966" s="198"/>
      <c r="U1966" s="198"/>
      <c r="V1966" s="198"/>
      <c r="W1966" s="198"/>
      <c r="X1966" s="198"/>
      <c r="Y1966" s="198"/>
      <c r="Z1966" s="198"/>
    </row>
    <row r="1967" spans="1:26" ht="15.75" hidden="1" customHeight="1" x14ac:dyDescent="0.25">
      <c r="A1967" s="213">
        <v>44252</v>
      </c>
      <c r="B1967" s="214" t="s">
        <v>10463</v>
      </c>
      <c r="C1967" s="215" t="s">
        <v>580</v>
      </c>
      <c r="D1967" s="216">
        <v>207.66</v>
      </c>
      <c r="E1967" s="198"/>
      <c r="F1967" s="198"/>
      <c r="G1967" s="198"/>
      <c r="H1967" s="198"/>
      <c r="I1967" s="198"/>
      <c r="J1967" s="198"/>
      <c r="K1967" s="198"/>
      <c r="L1967" s="198"/>
      <c r="M1967" s="198"/>
      <c r="N1967" s="198"/>
      <c r="O1967" s="198"/>
      <c r="P1967" s="198"/>
      <c r="Q1967" s="198"/>
      <c r="R1967" s="198"/>
      <c r="S1967" s="198"/>
      <c r="T1967" s="198"/>
      <c r="U1967" s="198"/>
      <c r="V1967" s="198"/>
      <c r="W1967" s="198"/>
      <c r="X1967" s="198"/>
      <c r="Y1967" s="198"/>
      <c r="Z1967" s="198"/>
    </row>
    <row r="1968" spans="1:26" ht="15.75" hidden="1" customHeight="1" x14ac:dyDescent="0.25">
      <c r="A1968" s="213">
        <v>21119</v>
      </c>
      <c r="B1968" s="214" t="s">
        <v>10464</v>
      </c>
      <c r="C1968" s="215" t="s">
        <v>580</v>
      </c>
      <c r="D1968" s="216">
        <v>2.08</v>
      </c>
      <c r="E1968" s="198"/>
      <c r="F1968" s="198"/>
      <c r="G1968" s="198"/>
      <c r="H1968" s="198"/>
      <c r="I1968" s="198"/>
      <c r="J1968" s="198"/>
      <c r="K1968" s="198"/>
      <c r="L1968" s="198"/>
      <c r="M1968" s="198"/>
      <c r="N1968" s="198"/>
      <c r="O1968" s="198"/>
      <c r="P1968" s="198"/>
      <c r="Q1968" s="198"/>
      <c r="R1968" s="198"/>
      <c r="S1968" s="198"/>
      <c r="T1968" s="198"/>
      <c r="U1968" s="198"/>
      <c r="V1968" s="198"/>
      <c r="W1968" s="198"/>
      <c r="X1968" s="198"/>
      <c r="Y1968" s="198"/>
      <c r="Z1968" s="198"/>
    </row>
    <row r="1969" spans="1:26" ht="15.75" hidden="1" customHeight="1" x14ac:dyDescent="0.25">
      <c r="A1969" s="213">
        <v>37974</v>
      </c>
      <c r="B1969" s="214" t="s">
        <v>10465</v>
      </c>
      <c r="C1969" s="215" t="s">
        <v>580</v>
      </c>
      <c r="D1969" s="216">
        <v>2.69</v>
      </c>
      <c r="E1969" s="198"/>
      <c r="F1969" s="198"/>
      <c r="G1969" s="198"/>
      <c r="H1969" s="198"/>
      <c r="I1969" s="198"/>
      <c r="J1969" s="198"/>
      <c r="K1969" s="198"/>
      <c r="L1969" s="198"/>
      <c r="M1969" s="198"/>
      <c r="N1969" s="198"/>
      <c r="O1969" s="198"/>
      <c r="P1969" s="198"/>
      <c r="Q1969" s="198"/>
      <c r="R1969" s="198"/>
      <c r="S1969" s="198"/>
      <c r="T1969" s="198"/>
      <c r="U1969" s="198"/>
      <c r="V1969" s="198"/>
      <c r="W1969" s="198"/>
      <c r="X1969" s="198"/>
      <c r="Y1969" s="198"/>
      <c r="Z1969" s="198"/>
    </row>
    <row r="1970" spans="1:26" ht="15.75" hidden="1" customHeight="1" x14ac:dyDescent="0.25">
      <c r="A1970" s="213">
        <v>37975</v>
      </c>
      <c r="B1970" s="214" t="s">
        <v>10466</v>
      </c>
      <c r="C1970" s="215" t="s">
        <v>580</v>
      </c>
      <c r="D1970" s="216">
        <v>6</v>
      </c>
      <c r="E1970" s="198"/>
      <c r="F1970" s="198"/>
      <c r="G1970" s="198"/>
      <c r="H1970" s="198"/>
      <c r="I1970" s="198"/>
      <c r="J1970" s="198"/>
      <c r="K1970" s="198"/>
      <c r="L1970" s="198"/>
      <c r="M1970" s="198"/>
      <c r="N1970" s="198"/>
      <c r="O1970" s="198"/>
      <c r="P1970" s="198"/>
      <c r="Q1970" s="198"/>
      <c r="R1970" s="198"/>
      <c r="S1970" s="198"/>
      <c r="T1970" s="198"/>
      <c r="U1970" s="198"/>
      <c r="V1970" s="198"/>
      <c r="W1970" s="198"/>
      <c r="X1970" s="198"/>
      <c r="Y1970" s="198"/>
      <c r="Z1970" s="198"/>
    </row>
    <row r="1971" spans="1:26" ht="15.75" hidden="1" customHeight="1" x14ac:dyDescent="0.25">
      <c r="A1971" s="213">
        <v>37976</v>
      </c>
      <c r="B1971" s="214" t="s">
        <v>10467</v>
      </c>
      <c r="C1971" s="215" t="s">
        <v>580</v>
      </c>
      <c r="D1971" s="216">
        <v>13.35</v>
      </c>
      <c r="E1971" s="198"/>
      <c r="F1971" s="198"/>
      <c r="G1971" s="198"/>
      <c r="H1971" s="198"/>
      <c r="I1971" s="198"/>
      <c r="J1971" s="198"/>
      <c r="K1971" s="198"/>
      <c r="L1971" s="198"/>
      <c r="M1971" s="198"/>
      <c r="N1971" s="198"/>
      <c r="O1971" s="198"/>
      <c r="P1971" s="198"/>
      <c r="Q1971" s="198"/>
      <c r="R1971" s="198"/>
      <c r="S1971" s="198"/>
      <c r="T1971" s="198"/>
      <c r="U1971" s="198"/>
      <c r="V1971" s="198"/>
      <c r="W1971" s="198"/>
      <c r="X1971" s="198"/>
      <c r="Y1971" s="198"/>
      <c r="Z1971" s="198"/>
    </row>
    <row r="1972" spans="1:26" ht="15.75" hidden="1" customHeight="1" x14ac:dyDescent="0.25">
      <c r="A1972" s="213">
        <v>37977</v>
      </c>
      <c r="B1972" s="214" t="s">
        <v>10468</v>
      </c>
      <c r="C1972" s="215" t="s">
        <v>580</v>
      </c>
      <c r="D1972" s="216">
        <v>18.47</v>
      </c>
      <c r="E1972" s="198"/>
      <c r="F1972" s="198"/>
      <c r="G1972" s="198"/>
      <c r="H1972" s="198"/>
      <c r="I1972" s="198"/>
      <c r="J1972" s="198"/>
      <c r="K1972" s="198"/>
      <c r="L1972" s="198"/>
      <c r="M1972" s="198"/>
      <c r="N1972" s="198"/>
      <c r="O1972" s="198"/>
      <c r="P1972" s="198"/>
      <c r="Q1972" s="198"/>
      <c r="R1972" s="198"/>
      <c r="S1972" s="198"/>
      <c r="T1972" s="198"/>
      <c r="U1972" s="198"/>
      <c r="V1972" s="198"/>
      <c r="W1972" s="198"/>
      <c r="X1972" s="198"/>
      <c r="Y1972" s="198"/>
      <c r="Z1972" s="198"/>
    </row>
    <row r="1973" spans="1:26" ht="15.75" hidden="1" customHeight="1" x14ac:dyDescent="0.25">
      <c r="A1973" s="213">
        <v>37978</v>
      </c>
      <c r="B1973" s="214" t="s">
        <v>10469</v>
      </c>
      <c r="C1973" s="215" t="s">
        <v>580</v>
      </c>
      <c r="D1973" s="216">
        <v>36.630000000000003</v>
      </c>
      <c r="E1973" s="198"/>
      <c r="F1973" s="198"/>
      <c r="G1973" s="198"/>
      <c r="H1973" s="198"/>
      <c r="I1973" s="198"/>
      <c r="J1973" s="198"/>
      <c r="K1973" s="198"/>
      <c r="L1973" s="198"/>
      <c r="M1973" s="198"/>
      <c r="N1973" s="198"/>
      <c r="O1973" s="198"/>
      <c r="P1973" s="198"/>
      <c r="Q1973" s="198"/>
      <c r="R1973" s="198"/>
      <c r="S1973" s="198"/>
      <c r="T1973" s="198"/>
      <c r="U1973" s="198"/>
      <c r="V1973" s="198"/>
      <c r="W1973" s="198"/>
      <c r="X1973" s="198"/>
      <c r="Y1973" s="198"/>
      <c r="Z1973" s="198"/>
    </row>
    <row r="1974" spans="1:26" ht="15.75" hidden="1" customHeight="1" x14ac:dyDescent="0.25">
      <c r="A1974" s="213">
        <v>37979</v>
      </c>
      <c r="B1974" s="214" t="s">
        <v>10470</v>
      </c>
      <c r="C1974" s="215" t="s">
        <v>580</v>
      </c>
      <c r="D1974" s="216">
        <v>155.47</v>
      </c>
      <c r="E1974" s="198"/>
      <c r="F1974" s="198"/>
      <c r="G1974" s="198"/>
      <c r="H1974" s="198"/>
      <c r="I1974" s="198"/>
      <c r="J1974" s="198"/>
      <c r="K1974" s="198"/>
      <c r="L1974" s="198"/>
      <c r="M1974" s="198"/>
      <c r="N1974" s="198"/>
      <c r="O1974" s="198"/>
      <c r="P1974" s="198"/>
      <c r="Q1974" s="198"/>
      <c r="R1974" s="198"/>
      <c r="S1974" s="198"/>
      <c r="T1974" s="198"/>
      <c r="U1974" s="198"/>
      <c r="V1974" s="198"/>
      <c r="W1974" s="198"/>
      <c r="X1974" s="198"/>
      <c r="Y1974" s="198"/>
      <c r="Z1974" s="198"/>
    </row>
    <row r="1975" spans="1:26" ht="15.75" hidden="1" customHeight="1" x14ac:dyDescent="0.25">
      <c r="A1975" s="213">
        <v>37980</v>
      </c>
      <c r="B1975" s="214" t="s">
        <v>10471</v>
      </c>
      <c r="C1975" s="215" t="s">
        <v>580</v>
      </c>
      <c r="D1975" s="216">
        <v>178.58</v>
      </c>
      <c r="E1975" s="198"/>
      <c r="F1975" s="198"/>
      <c r="G1975" s="198"/>
      <c r="H1975" s="198"/>
      <c r="I1975" s="198"/>
      <c r="J1975" s="198"/>
      <c r="K1975" s="198"/>
      <c r="L1975" s="198"/>
      <c r="M1975" s="198"/>
      <c r="N1975" s="198"/>
      <c r="O1975" s="198"/>
      <c r="P1975" s="198"/>
      <c r="Q1975" s="198"/>
      <c r="R1975" s="198"/>
      <c r="S1975" s="198"/>
      <c r="T1975" s="198"/>
      <c r="U1975" s="198"/>
      <c r="V1975" s="198"/>
      <c r="W1975" s="198"/>
      <c r="X1975" s="198"/>
      <c r="Y1975" s="198"/>
      <c r="Z1975" s="198"/>
    </row>
    <row r="1976" spans="1:26" ht="15.75" hidden="1" customHeight="1" x14ac:dyDescent="0.25">
      <c r="A1976" s="213">
        <v>36147</v>
      </c>
      <c r="B1976" s="214" t="s">
        <v>10472</v>
      </c>
      <c r="C1976" s="215" t="s">
        <v>8838</v>
      </c>
      <c r="D1976" s="216">
        <v>411.43</v>
      </c>
      <c r="E1976" s="198"/>
      <c r="F1976" s="198"/>
      <c r="G1976" s="198"/>
      <c r="H1976" s="198"/>
      <c r="I1976" s="198"/>
      <c r="J1976" s="198"/>
      <c r="K1976" s="198"/>
      <c r="L1976" s="198"/>
      <c r="M1976" s="198"/>
      <c r="N1976" s="198"/>
      <c r="O1976" s="198"/>
      <c r="P1976" s="198"/>
      <c r="Q1976" s="198"/>
      <c r="R1976" s="198"/>
      <c r="S1976" s="198"/>
      <c r="T1976" s="198"/>
      <c r="U1976" s="198"/>
      <c r="V1976" s="198"/>
      <c r="W1976" s="198"/>
      <c r="X1976" s="198"/>
      <c r="Y1976" s="198"/>
      <c r="Z1976" s="198"/>
    </row>
    <row r="1977" spans="1:26" ht="15.75" hidden="1" customHeight="1" x14ac:dyDescent="0.25">
      <c r="A1977" s="213">
        <v>3900</v>
      </c>
      <c r="B1977" s="214" t="s">
        <v>10473</v>
      </c>
      <c r="C1977" s="215" t="s">
        <v>580</v>
      </c>
      <c r="D1977" s="216">
        <v>39.29</v>
      </c>
      <c r="E1977" s="198"/>
      <c r="F1977" s="198"/>
      <c r="G1977" s="198"/>
      <c r="H1977" s="198"/>
      <c r="I1977" s="198"/>
      <c r="J1977" s="198"/>
      <c r="K1977" s="198"/>
      <c r="L1977" s="198"/>
      <c r="M1977" s="198"/>
      <c r="N1977" s="198"/>
      <c r="O1977" s="198"/>
      <c r="P1977" s="198"/>
      <c r="Q1977" s="198"/>
      <c r="R1977" s="198"/>
      <c r="S1977" s="198"/>
      <c r="T1977" s="198"/>
      <c r="U1977" s="198"/>
      <c r="V1977" s="198"/>
      <c r="W1977" s="198"/>
      <c r="X1977" s="198"/>
      <c r="Y1977" s="198"/>
      <c r="Z1977" s="198"/>
    </row>
    <row r="1978" spans="1:26" ht="15.75" hidden="1" customHeight="1" x14ac:dyDescent="0.25">
      <c r="A1978" s="213">
        <v>3846</v>
      </c>
      <c r="B1978" s="214" t="s">
        <v>10474</v>
      </c>
      <c r="C1978" s="215" t="s">
        <v>580</v>
      </c>
      <c r="D1978" s="216">
        <v>11.81</v>
      </c>
      <c r="E1978" s="198"/>
      <c r="F1978" s="198"/>
      <c r="G1978" s="198"/>
      <c r="H1978" s="198"/>
      <c r="I1978" s="198"/>
      <c r="J1978" s="198"/>
      <c r="K1978" s="198"/>
      <c r="L1978" s="198"/>
      <c r="M1978" s="198"/>
      <c r="N1978" s="198"/>
      <c r="O1978" s="198"/>
      <c r="P1978" s="198"/>
      <c r="Q1978" s="198"/>
      <c r="R1978" s="198"/>
      <c r="S1978" s="198"/>
      <c r="T1978" s="198"/>
      <c r="U1978" s="198"/>
      <c r="V1978" s="198"/>
      <c r="W1978" s="198"/>
      <c r="X1978" s="198"/>
      <c r="Y1978" s="198"/>
      <c r="Z1978" s="198"/>
    </row>
    <row r="1979" spans="1:26" ht="15.75" hidden="1" customHeight="1" x14ac:dyDescent="0.25">
      <c r="A1979" s="213">
        <v>3886</v>
      </c>
      <c r="B1979" s="214" t="s">
        <v>10475</v>
      </c>
      <c r="C1979" s="215" t="s">
        <v>580</v>
      </c>
      <c r="D1979" s="216">
        <v>15.67</v>
      </c>
      <c r="E1979" s="198"/>
      <c r="F1979" s="198"/>
      <c r="G1979" s="198"/>
      <c r="H1979" s="198"/>
      <c r="I1979" s="198"/>
      <c r="J1979" s="198"/>
      <c r="K1979" s="198"/>
      <c r="L1979" s="198"/>
      <c r="M1979" s="198"/>
      <c r="N1979" s="198"/>
      <c r="O1979" s="198"/>
      <c r="P1979" s="198"/>
      <c r="Q1979" s="198"/>
      <c r="R1979" s="198"/>
      <c r="S1979" s="198"/>
      <c r="T1979" s="198"/>
      <c r="U1979" s="198"/>
      <c r="V1979" s="198"/>
      <c r="W1979" s="198"/>
      <c r="X1979" s="198"/>
      <c r="Y1979" s="198"/>
      <c r="Z1979" s="198"/>
    </row>
    <row r="1980" spans="1:26" ht="15.75" hidden="1" customHeight="1" x14ac:dyDescent="0.25">
      <c r="A1980" s="213">
        <v>3854</v>
      </c>
      <c r="B1980" s="214" t="s">
        <v>10476</v>
      </c>
      <c r="C1980" s="215" t="s">
        <v>580</v>
      </c>
      <c r="D1980" s="216">
        <v>8.93</v>
      </c>
      <c r="E1980" s="198"/>
      <c r="F1980" s="198"/>
      <c r="G1980" s="198"/>
      <c r="H1980" s="198"/>
      <c r="I1980" s="198"/>
      <c r="J1980" s="198"/>
      <c r="K1980" s="198"/>
      <c r="L1980" s="198"/>
      <c r="M1980" s="198"/>
      <c r="N1980" s="198"/>
      <c r="O1980" s="198"/>
      <c r="P1980" s="198"/>
      <c r="Q1980" s="198"/>
      <c r="R1980" s="198"/>
      <c r="S1980" s="198"/>
      <c r="T1980" s="198"/>
      <c r="U1980" s="198"/>
      <c r="V1980" s="198"/>
      <c r="W1980" s="198"/>
      <c r="X1980" s="198"/>
      <c r="Y1980" s="198"/>
      <c r="Z1980" s="198"/>
    </row>
    <row r="1981" spans="1:26" ht="15.75" hidden="1" customHeight="1" x14ac:dyDescent="0.25">
      <c r="A1981" s="213">
        <v>3873</v>
      </c>
      <c r="B1981" s="214" t="s">
        <v>10477</v>
      </c>
      <c r="C1981" s="215" t="s">
        <v>580</v>
      </c>
      <c r="D1981" s="216">
        <v>10.4</v>
      </c>
      <c r="E1981" s="198"/>
      <c r="F1981" s="198"/>
      <c r="G1981" s="198"/>
      <c r="H1981" s="198"/>
      <c r="I1981" s="198"/>
      <c r="J1981" s="198"/>
      <c r="K1981" s="198"/>
      <c r="L1981" s="198"/>
      <c r="M1981" s="198"/>
      <c r="N1981" s="198"/>
      <c r="O1981" s="198"/>
      <c r="P1981" s="198"/>
      <c r="Q1981" s="198"/>
      <c r="R1981" s="198"/>
      <c r="S1981" s="198"/>
      <c r="T1981" s="198"/>
      <c r="U1981" s="198"/>
      <c r="V1981" s="198"/>
      <c r="W1981" s="198"/>
      <c r="X1981" s="198"/>
      <c r="Y1981" s="198"/>
      <c r="Z1981" s="198"/>
    </row>
    <row r="1982" spans="1:26" ht="15.75" hidden="1" customHeight="1" x14ac:dyDescent="0.25">
      <c r="A1982" s="213">
        <v>38021</v>
      </c>
      <c r="B1982" s="214" t="s">
        <v>10478</v>
      </c>
      <c r="C1982" s="215" t="s">
        <v>580</v>
      </c>
      <c r="D1982" s="216">
        <v>18.46</v>
      </c>
      <c r="E1982" s="198"/>
      <c r="F1982" s="198"/>
      <c r="G1982" s="198"/>
      <c r="H1982" s="198"/>
      <c r="I1982" s="198"/>
      <c r="J1982" s="198"/>
      <c r="K1982" s="198"/>
      <c r="L1982" s="198"/>
      <c r="M1982" s="198"/>
      <c r="N1982" s="198"/>
      <c r="O1982" s="198"/>
      <c r="P1982" s="198"/>
      <c r="Q1982" s="198"/>
      <c r="R1982" s="198"/>
      <c r="S1982" s="198"/>
      <c r="T1982" s="198"/>
      <c r="U1982" s="198"/>
      <c r="V1982" s="198"/>
      <c r="W1982" s="198"/>
      <c r="X1982" s="198"/>
      <c r="Y1982" s="198"/>
      <c r="Z1982" s="198"/>
    </row>
    <row r="1983" spans="1:26" ht="15.75" hidden="1" customHeight="1" x14ac:dyDescent="0.25">
      <c r="A1983" s="213">
        <v>43838</v>
      </c>
      <c r="B1983" s="214" t="s">
        <v>10479</v>
      </c>
      <c r="C1983" s="215" t="s">
        <v>580</v>
      </c>
      <c r="D1983" s="216">
        <v>23.87</v>
      </c>
      <c r="E1983" s="198"/>
      <c r="F1983" s="198"/>
      <c r="G1983" s="198"/>
      <c r="H1983" s="198"/>
      <c r="I1983" s="198"/>
      <c r="J1983" s="198"/>
      <c r="K1983" s="198"/>
      <c r="L1983" s="198"/>
      <c r="M1983" s="198"/>
      <c r="N1983" s="198"/>
      <c r="O1983" s="198"/>
      <c r="P1983" s="198"/>
      <c r="Q1983" s="198"/>
      <c r="R1983" s="198"/>
      <c r="S1983" s="198"/>
      <c r="T1983" s="198"/>
      <c r="U1983" s="198"/>
      <c r="V1983" s="198"/>
      <c r="W1983" s="198"/>
      <c r="X1983" s="198"/>
      <c r="Y1983" s="198"/>
      <c r="Z1983" s="198"/>
    </row>
    <row r="1984" spans="1:26" ht="15.75" hidden="1" customHeight="1" x14ac:dyDescent="0.25">
      <c r="A1984" s="213">
        <v>3847</v>
      </c>
      <c r="B1984" s="214" t="s">
        <v>10480</v>
      </c>
      <c r="C1984" s="215" t="s">
        <v>580</v>
      </c>
      <c r="D1984" s="216">
        <v>24.07</v>
      </c>
      <c r="E1984" s="198"/>
      <c r="F1984" s="198"/>
      <c r="G1984" s="198"/>
      <c r="H1984" s="198"/>
      <c r="I1984" s="198"/>
      <c r="J1984" s="198"/>
      <c r="K1984" s="198"/>
      <c r="L1984" s="198"/>
      <c r="M1984" s="198"/>
      <c r="N1984" s="198"/>
      <c r="O1984" s="198"/>
      <c r="P1984" s="198"/>
      <c r="Q1984" s="198"/>
      <c r="R1984" s="198"/>
      <c r="S1984" s="198"/>
      <c r="T1984" s="198"/>
      <c r="U1984" s="198"/>
      <c r="V1984" s="198"/>
      <c r="W1984" s="198"/>
      <c r="X1984" s="198"/>
      <c r="Y1984" s="198"/>
      <c r="Z1984" s="198"/>
    </row>
    <row r="1985" spans="1:26" ht="15.75" hidden="1" customHeight="1" x14ac:dyDescent="0.25">
      <c r="A1985" s="213">
        <v>38022</v>
      </c>
      <c r="B1985" s="214" t="s">
        <v>10481</v>
      </c>
      <c r="C1985" s="215" t="s">
        <v>580</v>
      </c>
      <c r="D1985" s="216">
        <v>33.08</v>
      </c>
      <c r="E1985" s="198"/>
      <c r="F1985" s="198"/>
      <c r="G1985" s="198"/>
      <c r="H1985" s="198"/>
      <c r="I1985" s="198"/>
      <c r="J1985" s="198"/>
      <c r="K1985" s="198"/>
      <c r="L1985" s="198"/>
      <c r="M1985" s="198"/>
      <c r="N1985" s="198"/>
      <c r="O1985" s="198"/>
      <c r="P1985" s="198"/>
      <c r="Q1985" s="198"/>
      <c r="R1985" s="198"/>
      <c r="S1985" s="198"/>
      <c r="T1985" s="198"/>
      <c r="U1985" s="198"/>
      <c r="V1985" s="198"/>
      <c r="W1985" s="198"/>
      <c r="X1985" s="198"/>
      <c r="Y1985" s="198"/>
      <c r="Z1985" s="198"/>
    </row>
    <row r="1986" spans="1:26" ht="15.75" hidden="1" customHeight="1" x14ac:dyDescent="0.25">
      <c r="A1986" s="213">
        <v>3830</v>
      </c>
      <c r="B1986" s="214" t="s">
        <v>10482</v>
      </c>
      <c r="C1986" s="215" t="s">
        <v>580</v>
      </c>
      <c r="D1986" s="216">
        <v>190.6</v>
      </c>
      <c r="E1986" s="198"/>
      <c r="F1986" s="198"/>
      <c r="G1986" s="198"/>
      <c r="H1986" s="198"/>
      <c r="I1986" s="198"/>
      <c r="J1986" s="198"/>
      <c r="K1986" s="198"/>
      <c r="L1986" s="198"/>
      <c r="M1986" s="198"/>
      <c r="N1986" s="198"/>
      <c r="O1986" s="198"/>
      <c r="P1986" s="198"/>
      <c r="Q1986" s="198"/>
      <c r="R1986" s="198"/>
      <c r="S1986" s="198"/>
      <c r="T1986" s="198"/>
      <c r="U1986" s="198"/>
      <c r="V1986" s="198"/>
      <c r="W1986" s="198"/>
      <c r="X1986" s="198"/>
      <c r="Y1986" s="198"/>
      <c r="Z1986" s="198"/>
    </row>
    <row r="1987" spans="1:26" ht="15.75" hidden="1" customHeight="1" x14ac:dyDescent="0.25">
      <c r="A1987" s="213">
        <v>37981</v>
      </c>
      <c r="B1987" s="214" t="s">
        <v>10483</v>
      </c>
      <c r="C1987" s="215" t="s">
        <v>580</v>
      </c>
      <c r="D1987" s="216">
        <v>7.78</v>
      </c>
      <c r="E1987" s="198"/>
      <c r="F1987" s="198"/>
      <c r="G1987" s="198"/>
      <c r="H1987" s="198"/>
      <c r="I1987" s="198"/>
      <c r="J1987" s="198"/>
      <c r="K1987" s="198"/>
      <c r="L1987" s="198"/>
      <c r="M1987" s="198"/>
      <c r="N1987" s="198"/>
      <c r="O1987" s="198"/>
      <c r="P1987" s="198"/>
      <c r="Q1987" s="198"/>
      <c r="R1987" s="198"/>
      <c r="S1987" s="198"/>
      <c r="T1987" s="198"/>
      <c r="U1987" s="198"/>
      <c r="V1987" s="198"/>
      <c r="W1987" s="198"/>
      <c r="X1987" s="198"/>
      <c r="Y1987" s="198"/>
      <c r="Z1987" s="198"/>
    </row>
    <row r="1988" spans="1:26" ht="15.75" hidden="1" customHeight="1" x14ac:dyDescent="0.25">
      <c r="A1988" s="213">
        <v>37982</v>
      </c>
      <c r="B1988" s="214" t="s">
        <v>10484</v>
      </c>
      <c r="C1988" s="215" t="s">
        <v>580</v>
      </c>
      <c r="D1988" s="216">
        <v>11.29</v>
      </c>
      <c r="E1988" s="198"/>
      <c r="F1988" s="198"/>
      <c r="G1988" s="198"/>
      <c r="H1988" s="198"/>
      <c r="I1988" s="198"/>
      <c r="J1988" s="198"/>
      <c r="K1988" s="198"/>
      <c r="L1988" s="198"/>
      <c r="M1988" s="198"/>
      <c r="N1988" s="198"/>
      <c r="O1988" s="198"/>
      <c r="P1988" s="198"/>
      <c r="Q1988" s="198"/>
      <c r="R1988" s="198"/>
      <c r="S1988" s="198"/>
      <c r="T1988" s="198"/>
      <c r="U1988" s="198"/>
      <c r="V1988" s="198"/>
      <c r="W1988" s="198"/>
      <c r="X1988" s="198"/>
      <c r="Y1988" s="198"/>
      <c r="Z1988" s="198"/>
    </row>
    <row r="1989" spans="1:26" ht="15.75" hidden="1" customHeight="1" x14ac:dyDescent="0.25">
      <c r="A1989" s="213">
        <v>37983</v>
      </c>
      <c r="B1989" s="214" t="s">
        <v>10485</v>
      </c>
      <c r="C1989" s="215" t="s">
        <v>580</v>
      </c>
      <c r="D1989" s="216">
        <v>16.690000000000001</v>
      </c>
      <c r="E1989" s="198"/>
      <c r="F1989" s="198"/>
      <c r="G1989" s="198"/>
      <c r="H1989" s="198"/>
      <c r="I1989" s="198"/>
      <c r="J1989" s="198"/>
      <c r="K1989" s="198"/>
      <c r="L1989" s="198"/>
      <c r="M1989" s="198"/>
      <c r="N1989" s="198"/>
      <c r="O1989" s="198"/>
      <c r="P1989" s="198"/>
      <c r="Q1989" s="198"/>
      <c r="R1989" s="198"/>
      <c r="S1989" s="198"/>
      <c r="T1989" s="198"/>
      <c r="U1989" s="198"/>
      <c r="V1989" s="198"/>
      <c r="W1989" s="198"/>
      <c r="X1989" s="198"/>
      <c r="Y1989" s="198"/>
      <c r="Z1989" s="198"/>
    </row>
    <row r="1990" spans="1:26" ht="15.75" hidden="1" customHeight="1" x14ac:dyDescent="0.25">
      <c r="A1990" s="213">
        <v>37984</v>
      </c>
      <c r="B1990" s="214" t="s">
        <v>10486</v>
      </c>
      <c r="C1990" s="215" t="s">
        <v>580</v>
      </c>
      <c r="D1990" s="216">
        <v>23.44</v>
      </c>
      <c r="E1990" s="198"/>
      <c r="F1990" s="198"/>
      <c r="G1990" s="198"/>
      <c r="H1990" s="198"/>
      <c r="I1990" s="198"/>
      <c r="J1990" s="198"/>
      <c r="K1990" s="198"/>
      <c r="L1990" s="198"/>
      <c r="M1990" s="198"/>
      <c r="N1990" s="198"/>
      <c r="O1990" s="198"/>
      <c r="P1990" s="198"/>
      <c r="Q1990" s="198"/>
      <c r="R1990" s="198"/>
      <c r="S1990" s="198"/>
      <c r="T1990" s="198"/>
      <c r="U1990" s="198"/>
      <c r="V1990" s="198"/>
      <c r="W1990" s="198"/>
      <c r="X1990" s="198"/>
      <c r="Y1990" s="198"/>
      <c r="Z1990" s="198"/>
    </row>
    <row r="1991" spans="1:26" ht="15.75" hidden="1" customHeight="1" x14ac:dyDescent="0.25">
      <c r="A1991" s="213">
        <v>37985</v>
      </c>
      <c r="B1991" s="214" t="s">
        <v>10487</v>
      </c>
      <c r="C1991" s="215" t="s">
        <v>580</v>
      </c>
      <c r="D1991" s="216">
        <v>33.299999999999997</v>
      </c>
      <c r="E1991" s="198"/>
      <c r="F1991" s="198"/>
      <c r="G1991" s="198"/>
      <c r="H1991" s="198"/>
      <c r="I1991" s="198"/>
      <c r="J1991" s="198"/>
      <c r="K1991" s="198"/>
      <c r="L1991" s="198"/>
      <c r="M1991" s="198"/>
      <c r="N1991" s="198"/>
      <c r="O1991" s="198"/>
      <c r="P1991" s="198"/>
      <c r="Q1991" s="198"/>
      <c r="R1991" s="198"/>
      <c r="S1991" s="198"/>
      <c r="T1991" s="198"/>
      <c r="U1991" s="198"/>
      <c r="V1991" s="198"/>
      <c r="W1991" s="198"/>
      <c r="X1991" s="198"/>
      <c r="Y1991" s="198"/>
      <c r="Z1991" s="198"/>
    </row>
    <row r="1992" spans="1:26" ht="15.75" hidden="1" customHeight="1" x14ac:dyDescent="0.25">
      <c r="A1992" s="213">
        <v>20165</v>
      </c>
      <c r="B1992" s="214" t="s">
        <v>10488</v>
      </c>
      <c r="C1992" s="215" t="s">
        <v>580</v>
      </c>
      <c r="D1992" s="216">
        <v>23.63</v>
      </c>
      <c r="E1992" s="198"/>
      <c r="F1992" s="198"/>
      <c r="G1992" s="198"/>
      <c r="H1992" s="198"/>
      <c r="I1992" s="198"/>
      <c r="J1992" s="198"/>
      <c r="K1992" s="198"/>
      <c r="L1992" s="198"/>
      <c r="M1992" s="198"/>
      <c r="N1992" s="198"/>
      <c r="O1992" s="198"/>
      <c r="P1992" s="198"/>
      <c r="Q1992" s="198"/>
      <c r="R1992" s="198"/>
      <c r="S1992" s="198"/>
      <c r="T1992" s="198"/>
      <c r="U1992" s="198"/>
      <c r="V1992" s="198"/>
      <c r="W1992" s="198"/>
      <c r="X1992" s="198"/>
      <c r="Y1992" s="198"/>
      <c r="Z1992" s="198"/>
    </row>
    <row r="1993" spans="1:26" ht="15.75" hidden="1" customHeight="1" x14ac:dyDescent="0.25">
      <c r="A1993" s="213">
        <v>20166</v>
      </c>
      <c r="B1993" s="214" t="s">
        <v>10489</v>
      </c>
      <c r="C1993" s="215" t="s">
        <v>580</v>
      </c>
      <c r="D1993" s="216">
        <v>72.16</v>
      </c>
      <c r="E1993" s="198"/>
      <c r="F1993" s="198"/>
      <c r="G1993" s="198"/>
      <c r="H1993" s="198"/>
      <c r="I1993" s="198"/>
      <c r="J1993" s="198"/>
      <c r="K1993" s="198"/>
      <c r="L1993" s="198"/>
      <c r="M1993" s="198"/>
      <c r="N1993" s="198"/>
      <c r="O1993" s="198"/>
      <c r="P1993" s="198"/>
      <c r="Q1993" s="198"/>
      <c r="R1993" s="198"/>
      <c r="S1993" s="198"/>
      <c r="T1993" s="198"/>
      <c r="U1993" s="198"/>
      <c r="V1993" s="198"/>
      <c r="W1993" s="198"/>
      <c r="X1993" s="198"/>
      <c r="Y1993" s="198"/>
      <c r="Z1993" s="198"/>
    </row>
    <row r="1994" spans="1:26" ht="15.75" hidden="1" customHeight="1" x14ac:dyDescent="0.25">
      <c r="A1994" s="213">
        <v>20164</v>
      </c>
      <c r="B1994" s="214" t="s">
        <v>10490</v>
      </c>
      <c r="C1994" s="215" t="s">
        <v>580</v>
      </c>
      <c r="D1994" s="216">
        <v>11.35</v>
      </c>
      <c r="E1994" s="198"/>
      <c r="F1994" s="198"/>
      <c r="G1994" s="198"/>
      <c r="H1994" s="198"/>
      <c r="I1994" s="198"/>
      <c r="J1994" s="198"/>
      <c r="K1994" s="198"/>
      <c r="L1994" s="198"/>
      <c r="M1994" s="198"/>
      <c r="N1994" s="198"/>
      <c r="O1994" s="198"/>
      <c r="P1994" s="198"/>
      <c r="Q1994" s="198"/>
      <c r="R1994" s="198"/>
      <c r="S1994" s="198"/>
      <c r="T1994" s="198"/>
      <c r="U1994" s="198"/>
      <c r="V1994" s="198"/>
      <c r="W1994" s="198"/>
      <c r="X1994" s="198"/>
      <c r="Y1994" s="198"/>
      <c r="Z1994" s="198"/>
    </row>
    <row r="1995" spans="1:26" ht="15.75" hidden="1" customHeight="1" x14ac:dyDescent="0.25">
      <c r="A1995" s="213">
        <v>3893</v>
      </c>
      <c r="B1995" s="214" t="s">
        <v>10491</v>
      </c>
      <c r="C1995" s="215" t="s">
        <v>580</v>
      </c>
      <c r="D1995" s="216">
        <v>17.79</v>
      </c>
      <c r="E1995" s="198"/>
      <c r="F1995" s="198"/>
      <c r="G1995" s="198"/>
      <c r="H1995" s="198"/>
      <c r="I1995" s="198"/>
      <c r="J1995" s="198"/>
      <c r="K1995" s="198"/>
      <c r="L1995" s="198"/>
      <c r="M1995" s="198"/>
      <c r="N1995" s="198"/>
      <c r="O1995" s="198"/>
      <c r="P1995" s="198"/>
      <c r="Q1995" s="198"/>
      <c r="R1995" s="198"/>
      <c r="S1995" s="198"/>
      <c r="T1995" s="198"/>
      <c r="U1995" s="198"/>
      <c r="V1995" s="198"/>
      <c r="W1995" s="198"/>
      <c r="X1995" s="198"/>
      <c r="Y1995" s="198"/>
      <c r="Z1995" s="198"/>
    </row>
    <row r="1996" spans="1:26" ht="15.75" hidden="1" customHeight="1" x14ac:dyDescent="0.25">
      <c r="A1996" s="213">
        <v>3848</v>
      </c>
      <c r="B1996" s="214" t="s">
        <v>10492</v>
      </c>
      <c r="C1996" s="215" t="s">
        <v>580</v>
      </c>
      <c r="D1996" s="216">
        <v>10.85</v>
      </c>
      <c r="E1996" s="198"/>
      <c r="F1996" s="198"/>
      <c r="G1996" s="198"/>
      <c r="H1996" s="198"/>
      <c r="I1996" s="198"/>
      <c r="J1996" s="198"/>
      <c r="K1996" s="198"/>
      <c r="L1996" s="198"/>
      <c r="M1996" s="198"/>
      <c r="N1996" s="198"/>
      <c r="O1996" s="198"/>
      <c r="P1996" s="198"/>
      <c r="Q1996" s="198"/>
      <c r="R1996" s="198"/>
      <c r="S1996" s="198"/>
      <c r="T1996" s="198"/>
      <c r="U1996" s="198"/>
      <c r="V1996" s="198"/>
      <c r="W1996" s="198"/>
      <c r="X1996" s="198"/>
      <c r="Y1996" s="198"/>
      <c r="Z1996" s="198"/>
    </row>
    <row r="1997" spans="1:26" ht="15.75" hidden="1" customHeight="1" x14ac:dyDescent="0.25">
      <c r="A1997" s="213">
        <v>3895</v>
      </c>
      <c r="B1997" s="214" t="s">
        <v>10493</v>
      </c>
      <c r="C1997" s="215" t="s">
        <v>580</v>
      </c>
      <c r="D1997" s="216">
        <v>12.05</v>
      </c>
      <c r="E1997" s="198"/>
      <c r="F1997" s="198"/>
      <c r="G1997" s="198"/>
      <c r="H1997" s="198"/>
      <c r="I1997" s="198"/>
      <c r="J1997" s="198"/>
      <c r="K1997" s="198"/>
      <c r="L1997" s="198"/>
      <c r="M1997" s="198"/>
      <c r="N1997" s="198"/>
      <c r="O1997" s="198"/>
      <c r="P1997" s="198"/>
      <c r="Q1997" s="198"/>
      <c r="R1997" s="198"/>
      <c r="S1997" s="198"/>
      <c r="T1997" s="198"/>
      <c r="U1997" s="198"/>
      <c r="V1997" s="198"/>
      <c r="W1997" s="198"/>
      <c r="X1997" s="198"/>
      <c r="Y1997" s="198"/>
      <c r="Z1997" s="198"/>
    </row>
    <row r="1998" spans="1:26" ht="15.75" hidden="1" customHeight="1" x14ac:dyDescent="0.25">
      <c r="A1998" s="213">
        <v>1904</v>
      </c>
      <c r="B1998" s="214" t="s">
        <v>10494</v>
      </c>
      <c r="C1998" s="215" t="s">
        <v>580</v>
      </c>
      <c r="D1998" s="216">
        <v>1.54</v>
      </c>
      <c r="E1998" s="198"/>
      <c r="F1998" s="198"/>
      <c r="G1998" s="198"/>
      <c r="H1998" s="198"/>
      <c r="I1998" s="198"/>
      <c r="J1998" s="198"/>
      <c r="K1998" s="198"/>
      <c r="L1998" s="198"/>
      <c r="M1998" s="198"/>
      <c r="N1998" s="198"/>
      <c r="O1998" s="198"/>
      <c r="P1998" s="198"/>
      <c r="Q1998" s="198"/>
      <c r="R1998" s="198"/>
      <c r="S1998" s="198"/>
      <c r="T1998" s="198"/>
      <c r="U1998" s="198"/>
      <c r="V1998" s="198"/>
      <c r="W1998" s="198"/>
      <c r="X1998" s="198"/>
      <c r="Y1998" s="198"/>
      <c r="Z1998" s="198"/>
    </row>
    <row r="1999" spans="1:26" ht="15.75" hidden="1" customHeight="1" x14ac:dyDescent="0.25">
      <c r="A1999" s="213">
        <v>1899</v>
      </c>
      <c r="B1999" s="214" t="s">
        <v>10495</v>
      </c>
      <c r="C1999" s="215" t="s">
        <v>580</v>
      </c>
      <c r="D1999" s="216">
        <v>1.75</v>
      </c>
      <c r="E1999" s="198"/>
      <c r="F1999" s="198"/>
      <c r="G1999" s="198"/>
      <c r="H1999" s="198"/>
      <c r="I1999" s="198"/>
      <c r="J1999" s="198"/>
      <c r="K1999" s="198"/>
      <c r="L1999" s="198"/>
      <c r="M1999" s="198"/>
      <c r="N1999" s="198"/>
      <c r="O1999" s="198"/>
      <c r="P1999" s="198"/>
      <c r="Q1999" s="198"/>
      <c r="R1999" s="198"/>
      <c r="S1999" s="198"/>
      <c r="T1999" s="198"/>
      <c r="U1999" s="198"/>
      <c r="V1999" s="198"/>
      <c r="W1999" s="198"/>
      <c r="X1999" s="198"/>
      <c r="Y1999" s="198"/>
      <c r="Z1999" s="198"/>
    </row>
    <row r="2000" spans="1:26" ht="15.75" hidden="1" customHeight="1" x14ac:dyDescent="0.25">
      <c r="A2000" s="213">
        <v>1900</v>
      </c>
      <c r="B2000" s="214" t="s">
        <v>10496</v>
      </c>
      <c r="C2000" s="215" t="s">
        <v>580</v>
      </c>
      <c r="D2000" s="216">
        <v>2.83</v>
      </c>
      <c r="E2000" s="198"/>
      <c r="F2000" s="198"/>
      <c r="G2000" s="198"/>
      <c r="H2000" s="198"/>
      <c r="I2000" s="198"/>
      <c r="J2000" s="198"/>
      <c r="K2000" s="198"/>
      <c r="L2000" s="198"/>
      <c r="M2000" s="198"/>
      <c r="N2000" s="198"/>
      <c r="O2000" s="198"/>
      <c r="P2000" s="198"/>
      <c r="Q2000" s="198"/>
      <c r="R2000" s="198"/>
      <c r="S2000" s="198"/>
      <c r="T2000" s="198"/>
      <c r="U2000" s="198"/>
      <c r="V2000" s="198"/>
      <c r="W2000" s="198"/>
      <c r="X2000" s="198"/>
      <c r="Y2000" s="198"/>
      <c r="Z2000" s="198"/>
    </row>
    <row r="2001" spans="1:26" ht="15.75" hidden="1" customHeight="1" x14ac:dyDescent="0.25">
      <c r="A2001" s="213">
        <v>3907</v>
      </c>
      <c r="B2001" s="214" t="s">
        <v>10497</v>
      </c>
      <c r="C2001" s="215" t="s">
        <v>580</v>
      </c>
      <c r="D2001" s="216">
        <v>4.5199999999999996</v>
      </c>
      <c r="E2001" s="198"/>
      <c r="F2001" s="198"/>
      <c r="G2001" s="198"/>
      <c r="H2001" s="198"/>
      <c r="I2001" s="198"/>
      <c r="J2001" s="198"/>
      <c r="K2001" s="198"/>
      <c r="L2001" s="198"/>
      <c r="M2001" s="198"/>
      <c r="N2001" s="198"/>
      <c r="O2001" s="198"/>
      <c r="P2001" s="198"/>
      <c r="Q2001" s="198"/>
      <c r="R2001" s="198"/>
      <c r="S2001" s="198"/>
      <c r="T2001" s="198"/>
      <c r="U2001" s="198"/>
      <c r="V2001" s="198"/>
      <c r="W2001" s="198"/>
      <c r="X2001" s="198"/>
      <c r="Y2001" s="198"/>
      <c r="Z2001" s="198"/>
    </row>
    <row r="2002" spans="1:26" ht="15.75" hidden="1" customHeight="1" x14ac:dyDescent="0.25">
      <c r="A2002" s="213">
        <v>3889</v>
      </c>
      <c r="B2002" s="214" t="s">
        <v>10498</v>
      </c>
      <c r="C2002" s="215" t="s">
        <v>580</v>
      </c>
      <c r="D2002" s="216">
        <v>3.22</v>
      </c>
      <c r="E2002" s="198"/>
      <c r="F2002" s="198"/>
      <c r="G2002" s="198"/>
      <c r="H2002" s="198"/>
      <c r="I2002" s="198"/>
      <c r="J2002" s="198"/>
      <c r="K2002" s="198"/>
      <c r="L2002" s="198"/>
      <c r="M2002" s="198"/>
      <c r="N2002" s="198"/>
      <c r="O2002" s="198"/>
      <c r="P2002" s="198"/>
      <c r="Q2002" s="198"/>
      <c r="R2002" s="198"/>
      <c r="S2002" s="198"/>
      <c r="T2002" s="198"/>
      <c r="U2002" s="198"/>
      <c r="V2002" s="198"/>
      <c r="W2002" s="198"/>
      <c r="X2002" s="198"/>
      <c r="Y2002" s="198"/>
      <c r="Z2002" s="198"/>
    </row>
    <row r="2003" spans="1:26" ht="15.75" hidden="1" customHeight="1" x14ac:dyDescent="0.25">
      <c r="A2003" s="213">
        <v>3868</v>
      </c>
      <c r="B2003" s="214" t="s">
        <v>10499</v>
      </c>
      <c r="C2003" s="215" t="s">
        <v>580</v>
      </c>
      <c r="D2003" s="216">
        <v>1.18</v>
      </c>
      <c r="E2003" s="198"/>
      <c r="F2003" s="198"/>
      <c r="G2003" s="198"/>
      <c r="H2003" s="198"/>
      <c r="I2003" s="198"/>
      <c r="J2003" s="198"/>
      <c r="K2003" s="198"/>
      <c r="L2003" s="198"/>
      <c r="M2003" s="198"/>
      <c r="N2003" s="198"/>
      <c r="O2003" s="198"/>
      <c r="P2003" s="198"/>
      <c r="Q2003" s="198"/>
      <c r="R2003" s="198"/>
      <c r="S2003" s="198"/>
      <c r="T2003" s="198"/>
      <c r="U2003" s="198"/>
      <c r="V2003" s="198"/>
      <c r="W2003" s="198"/>
      <c r="X2003" s="198"/>
      <c r="Y2003" s="198"/>
      <c r="Z2003" s="198"/>
    </row>
    <row r="2004" spans="1:26" ht="15.75" hidden="1" customHeight="1" x14ac:dyDescent="0.25">
      <c r="A2004" s="213">
        <v>3869</v>
      </c>
      <c r="B2004" s="214" t="s">
        <v>10500</v>
      </c>
      <c r="C2004" s="215" t="s">
        <v>580</v>
      </c>
      <c r="D2004" s="216">
        <v>2.62</v>
      </c>
      <c r="E2004" s="198"/>
      <c r="F2004" s="198"/>
      <c r="G2004" s="198"/>
      <c r="H2004" s="198"/>
      <c r="I2004" s="198"/>
      <c r="J2004" s="198"/>
      <c r="K2004" s="198"/>
      <c r="L2004" s="198"/>
      <c r="M2004" s="198"/>
      <c r="N2004" s="198"/>
      <c r="O2004" s="198"/>
      <c r="P2004" s="198"/>
      <c r="Q2004" s="198"/>
      <c r="R2004" s="198"/>
      <c r="S2004" s="198"/>
      <c r="T2004" s="198"/>
      <c r="U2004" s="198"/>
      <c r="V2004" s="198"/>
      <c r="W2004" s="198"/>
      <c r="X2004" s="198"/>
      <c r="Y2004" s="198"/>
      <c r="Z2004" s="198"/>
    </row>
    <row r="2005" spans="1:26" ht="15.75" hidden="1" customHeight="1" x14ac:dyDescent="0.25">
      <c r="A2005" s="213">
        <v>3872</v>
      </c>
      <c r="B2005" s="214" t="s">
        <v>10501</v>
      </c>
      <c r="C2005" s="215" t="s">
        <v>580</v>
      </c>
      <c r="D2005" s="216">
        <v>4.46</v>
      </c>
      <c r="E2005" s="198"/>
      <c r="F2005" s="198"/>
      <c r="G2005" s="198"/>
      <c r="H2005" s="198"/>
      <c r="I2005" s="198"/>
      <c r="J2005" s="198"/>
      <c r="K2005" s="198"/>
      <c r="L2005" s="198"/>
      <c r="M2005" s="198"/>
      <c r="N2005" s="198"/>
      <c r="O2005" s="198"/>
      <c r="P2005" s="198"/>
      <c r="Q2005" s="198"/>
      <c r="R2005" s="198"/>
      <c r="S2005" s="198"/>
      <c r="T2005" s="198"/>
      <c r="U2005" s="198"/>
      <c r="V2005" s="198"/>
      <c r="W2005" s="198"/>
      <c r="X2005" s="198"/>
      <c r="Y2005" s="198"/>
      <c r="Z2005" s="198"/>
    </row>
    <row r="2006" spans="1:26" ht="15.75" hidden="1" customHeight="1" x14ac:dyDescent="0.25">
      <c r="A2006" s="213">
        <v>3850</v>
      </c>
      <c r="B2006" s="214" t="s">
        <v>10502</v>
      </c>
      <c r="C2006" s="215" t="s">
        <v>580</v>
      </c>
      <c r="D2006" s="216">
        <v>10.3</v>
      </c>
      <c r="E2006" s="198"/>
      <c r="F2006" s="198"/>
      <c r="G2006" s="198"/>
      <c r="H2006" s="198"/>
      <c r="I2006" s="198"/>
      <c r="J2006" s="198"/>
      <c r="K2006" s="198"/>
      <c r="L2006" s="198"/>
      <c r="M2006" s="198"/>
      <c r="N2006" s="198"/>
      <c r="O2006" s="198"/>
      <c r="P2006" s="198"/>
      <c r="Q2006" s="198"/>
      <c r="R2006" s="198"/>
      <c r="S2006" s="198"/>
      <c r="T2006" s="198"/>
      <c r="U2006" s="198"/>
      <c r="V2006" s="198"/>
      <c r="W2006" s="198"/>
      <c r="X2006" s="198"/>
      <c r="Y2006" s="198"/>
      <c r="Z2006" s="198"/>
    </row>
    <row r="2007" spans="1:26" ht="15.75" hidden="1" customHeight="1" x14ac:dyDescent="0.25">
      <c r="A2007" s="213">
        <v>38023</v>
      </c>
      <c r="B2007" s="214" t="s">
        <v>10503</v>
      </c>
      <c r="C2007" s="215" t="s">
        <v>580</v>
      </c>
      <c r="D2007" s="216">
        <v>5.24</v>
      </c>
      <c r="E2007" s="198"/>
      <c r="F2007" s="198"/>
      <c r="G2007" s="198"/>
      <c r="H2007" s="198"/>
      <c r="I2007" s="198"/>
      <c r="J2007" s="198"/>
      <c r="K2007" s="198"/>
      <c r="L2007" s="198"/>
      <c r="M2007" s="198"/>
      <c r="N2007" s="198"/>
      <c r="O2007" s="198"/>
      <c r="P2007" s="198"/>
      <c r="Q2007" s="198"/>
      <c r="R2007" s="198"/>
      <c r="S2007" s="198"/>
      <c r="T2007" s="198"/>
      <c r="U2007" s="198"/>
      <c r="V2007" s="198"/>
      <c r="W2007" s="198"/>
      <c r="X2007" s="198"/>
      <c r="Y2007" s="198"/>
      <c r="Z2007" s="198"/>
    </row>
    <row r="2008" spans="1:26" ht="15.75" hidden="1" customHeight="1" x14ac:dyDescent="0.25">
      <c r="A2008" s="213">
        <v>37986</v>
      </c>
      <c r="B2008" s="214" t="s">
        <v>10504</v>
      </c>
      <c r="C2008" s="215" t="s">
        <v>580</v>
      </c>
      <c r="D2008" s="216">
        <v>2.65</v>
      </c>
      <c r="E2008" s="198"/>
      <c r="F2008" s="198"/>
      <c r="G2008" s="198"/>
      <c r="H2008" s="198"/>
      <c r="I2008" s="198"/>
      <c r="J2008" s="198"/>
      <c r="K2008" s="198"/>
      <c r="L2008" s="198"/>
      <c r="M2008" s="198"/>
      <c r="N2008" s="198"/>
      <c r="O2008" s="198"/>
      <c r="P2008" s="198"/>
      <c r="Q2008" s="198"/>
      <c r="R2008" s="198"/>
      <c r="S2008" s="198"/>
      <c r="T2008" s="198"/>
      <c r="U2008" s="198"/>
      <c r="V2008" s="198"/>
      <c r="W2008" s="198"/>
      <c r="X2008" s="198"/>
      <c r="Y2008" s="198"/>
      <c r="Z2008" s="198"/>
    </row>
    <row r="2009" spans="1:26" ht="15.75" hidden="1" customHeight="1" x14ac:dyDescent="0.25">
      <c r="A2009" s="213">
        <v>21120</v>
      </c>
      <c r="B2009" s="214" t="s">
        <v>10505</v>
      </c>
      <c r="C2009" s="215" t="s">
        <v>580</v>
      </c>
      <c r="D2009" s="216">
        <v>13.55</v>
      </c>
      <c r="E2009" s="198"/>
      <c r="F2009" s="198"/>
      <c r="G2009" s="198"/>
      <c r="H2009" s="198"/>
      <c r="I2009" s="198"/>
      <c r="J2009" s="198"/>
      <c r="K2009" s="198"/>
      <c r="L2009" s="198"/>
      <c r="M2009" s="198"/>
      <c r="N2009" s="198"/>
      <c r="O2009" s="198"/>
      <c r="P2009" s="198"/>
      <c r="Q2009" s="198"/>
      <c r="R2009" s="198"/>
      <c r="S2009" s="198"/>
      <c r="T2009" s="198"/>
      <c r="U2009" s="198"/>
      <c r="V2009" s="198"/>
      <c r="W2009" s="198"/>
      <c r="X2009" s="198"/>
      <c r="Y2009" s="198"/>
      <c r="Z2009" s="198"/>
    </row>
    <row r="2010" spans="1:26" ht="15.75" hidden="1" customHeight="1" x14ac:dyDescent="0.25">
      <c r="A2010" s="213">
        <v>39318</v>
      </c>
      <c r="B2010" s="214" t="s">
        <v>10506</v>
      </c>
      <c r="C2010" s="215" t="s">
        <v>580</v>
      </c>
      <c r="D2010" s="216">
        <v>12.6</v>
      </c>
      <c r="E2010" s="198"/>
      <c r="F2010" s="198"/>
      <c r="G2010" s="198"/>
      <c r="H2010" s="198"/>
      <c r="I2010" s="198"/>
      <c r="J2010" s="198"/>
      <c r="K2010" s="198"/>
      <c r="L2010" s="198"/>
      <c r="M2010" s="198"/>
      <c r="N2010" s="198"/>
      <c r="O2010" s="198"/>
      <c r="P2010" s="198"/>
      <c r="Q2010" s="198"/>
      <c r="R2010" s="198"/>
      <c r="S2010" s="198"/>
      <c r="T2010" s="198"/>
      <c r="U2010" s="198"/>
      <c r="V2010" s="198"/>
      <c r="W2010" s="198"/>
      <c r="X2010" s="198"/>
      <c r="Y2010" s="198"/>
      <c r="Z2010" s="198"/>
    </row>
    <row r="2011" spans="1:26" ht="15.75" hidden="1" customHeight="1" x14ac:dyDescent="0.25">
      <c r="A2011" s="213">
        <v>37987</v>
      </c>
      <c r="B2011" s="214" t="s">
        <v>10507</v>
      </c>
      <c r="C2011" s="215" t="s">
        <v>580</v>
      </c>
      <c r="D2011" s="216">
        <v>132.47</v>
      </c>
      <c r="E2011" s="198"/>
      <c r="F2011" s="198"/>
      <c r="G2011" s="198"/>
      <c r="H2011" s="198"/>
      <c r="I2011" s="198"/>
      <c r="J2011" s="198"/>
      <c r="K2011" s="198"/>
      <c r="L2011" s="198"/>
      <c r="M2011" s="198"/>
      <c r="N2011" s="198"/>
      <c r="O2011" s="198"/>
      <c r="P2011" s="198"/>
      <c r="Q2011" s="198"/>
      <c r="R2011" s="198"/>
      <c r="S2011" s="198"/>
      <c r="T2011" s="198"/>
      <c r="U2011" s="198"/>
      <c r="V2011" s="198"/>
      <c r="W2011" s="198"/>
      <c r="X2011" s="198"/>
      <c r="Y2011" s="198"/>
      <c r="Z2011" s="198"/>
    </row>
    <row r="2012" spans="1:26" ht="15.75" hidden="1" customHeight="1" x14ac:dyDescent="0.25">
      <c r="A2012" s="213">
        <v>37988</v>
      </c>
      <c r="B2012" s="214" t="s">
        <v>10508</v>
      </c>
      <c r="C2012" s="215" t="s">
        <v>580</v>
      </c>
      <c r="D2012" s="216">
        <v>210.5</v>
      </c>
      <c r="E2012" s="198"/>
      <c r="F2012" s="198"/>
      <c r="G2012" s="198"/>
      <c r="H2012" s="198"/>
      <c r="I2012" s="198"/>
      <c r="J2012" s="198"/>
      <c r="K2012" s="198"/>
      <c r="L2012" s="198"/>
      <c r="M2012" s="198"/>
      <c r="N2012" s="198"/>
      <c r="O2012" s="198"/>
      <c r="P2012" s="198"/>
      <c r="Q2012" s="198"/>
      <c r="R2012" s="198"/>
      <c r="S2012" s="198"/>
      <c r="T2012" s="198"/>
      <c r="U2012" s="198"/>
      <c r="V2012" s="198"/>
      <c r="W2012" s="198"/>
      <c r="X2012" s="198"/>
      <c r="Y2012" s="198"/>
      <c r="Z2012" s="198"/>
    </row>
    <row r="2013" spans="1:26" ht="15.75" hidden="1" customHeight="1" x14ac:dyDescent="0.25">
      <c r="A2013" s="213">
        <v>1893</v>
      </c>
      <c r="B2013" s="214" t="s">
        <v>10509</v>
      </c>
      <c r="C2013" s="215" t="s">
        <v>580</v>
      </c>
      <c r="D2013" s="216">
        <v>5.81</v>
      </c>
      <c r="E2013" s="198"/>
      <c r="F2013" s="198"/>
      <c r="G2013" s="198"/>
      <c r="H2013" s="198"/>
      <c r="I2013" s="198"/>
      <c r="J2013" s="198"/>
      <c r="K2013" s="198"/>
      <c r="L2013" s="198"/>
      <c r="M2013" s="198"/>
      <c r="N2013" s="198"/>
      <c r="O2013" s="198"/>
      <c r="P2013" s="198"/>
      <c r="Q2013" s="198"/>
      <c r="R2013" s="198"/>
      <c r="S2013" s="198"/>
      <c r="T2013" s="198"/>
      <c r="U2013" s="198"/>
      <c r="V2013" s="198"/>
      <c r="W2013" s="198"/>
      <c r="X2013" s="198"/>
      <c r="Y2013" s="198"/>
      <c r="Z2013" s="198"/>
    </row>
    <row r="2014" spans="1:26" ht="15.75" hidden="1" customHeight="1" x14ac:dyDescent="0.25">
      <c r="A2014" s="213">
        <v>1902</v>
      </c>
      <c r="B2014" s="214" t="s">
        <v>10510</v>
      </c>
      <c r="C2014" s="215" t="s">
        <v>580</v>
      </c>
      <c r="D2014" s="216">
        <v>4.2300000000000004</v>
      </c>
      <c r="E2014" s="198"/>
      <c r="F2014" s="198"/>
      <c r="G2014" s="198"/>
      <c r="H2014" s="198"/>
      <c r="I2014" s="198"/>
      <c r="J2014" s="198"/>
      <c r="K2014" s="198"/>
      <c r="L2014" s="198"/>
      <c r="M2014" s="198"/>
      <c r="N2014" s="198"/>
      <c r="O2014" s="198"/>
      <c r="P2014" s="198"/>
      <c r="Q2014" s="198"/>
      <c r="R2014" s="198"/>
      <c r="S2014" s="198"/>
      <c r="T2014" s="198"/>
      <c r="U2014" s="198"/>
      <c r="V2014" s="198"/>
      <c r="W2014" s="198"/>
      <c r="X2014" s="198"/>
      <c r="Y2014" s="198"/>
      <c r="Z2014" s="198"/>
    </row>
    <row r="2015" spans="1:26" ht="15.75" hidden="1" customHeight="1" x14ac:dyDescent="0.25">
      <c r="A2015" s="213">
        <v>1892</v>
      </c>
      <c r="B2015" s="214" t="s">
        <v>10511</v>
      </c>
      <c r="C2015" s="215" t="s">
        <v>580</v>
      </c>
      <c r="D2015" s="216">
        <v>2.72</v>
      </c>
      <c r="E2015" s="198"/>
      <c r="F2015" s="198"/>
      <c r="G2015" s="198"/>
      <c r="H2015" s="198"/>
      <c r="I2015" s="198"/>
      <c r="J2015" s="198"/>
      <c r="K2015" s="198"/>
      <c r="L2015" s="198"/>
      <c r="M2015" s="198"/>
      <c r="N2015" s="198"/>
      <c r="O2015" s="198"/>
      <c r="P2015" s="198"/>
      <c r="Q2015" s="198"/>
      <c r="R2015" s="198"/>
      <c r="S2015" s="198"/>
      <c r="T2015" s="198"/>
      <c r="U2015" s="198"/>
      <c r="V2015" s="198"/>
      <c r="W2015" s="198"/>
      <c r="X2015" s="198"/>
      <c r="Y2015" s="198"/>
      <c r="Z2015" s="198"/>
    </row>
    <row r="2016" spans="1:26" ht="15.75" hidden="1" customHeight="1" x14ac:dyDescent="0.25">
      <c r="A2016" s="213">
        <v>1901</v>
      </c>
      <c r="B2016" s="214" t="s">
        <v>10512</v>
      </c>
      <c r="C2016" s="215" t="s">
        <v>580</v>
      </c>
      <c r="D2016" s="216">
        <v>1.32</v>
      </c>
      <c r="E2016" s="198"/>
      <c r="F2016" s="198"/>
      <c r="G2016" s="198"/>
      <c r="H2016" s="198"/>
      <c r="I2016" s="198"/>
      <c r="J2016" s="198"/>
      <c r="K2016" s="198"/>
      <c r="L2016" s="198"/>
      <c r="M2016" s="198"/>
      <c r="N2016" s="198"/>
      <c r="O2016" s="198"/>
      <c r="P2016" s="198"/>
      <c r="Q2016" s="198"/>
      <c r="R2016" s="198"/>
      <c r="S2016" s="198"/>
      <c r="T2016" s="198"/>
      <c r="U2016" s="198"/>
      <c r="V2016" s="198"/>
      <c r="W2016" s="198"/>
      <c r="X2016" s="198"/>
      <c r="Y2016" s="198"/>
      <c r="Z2016" s="198"/>
    </row>
    <row r="2017" spans="1:26" ht="15.75" hidden="1" customHeight="1" x14ac:dyDescent="0.25">
      <c r="A2017" s="213">
        <v>1907</v>
      </c>
      <c r="B2017" s="214" t="s">
        <v>10513</v>
      </c>
      <c r="C2017" s="215" t="s">
        <v>580</v>
      </c>
      <c r="D2017" s="216">
        <v>18.71</v>
      </c>
      <c r="E2017" s="198"/>
      <c r="F2017" s="198"/>
      <c r="G2017" s="198"/>
      <c r="H2017" s="198"/>
      <c r="I2017" s="198"/>
      <c r="J2017" s="198"/>
      <c r="K2017" s="198"/>
      <c r="L2017" s="198"/>
      <c r="M2017" s="198"/>
      <c r="N2017" s="198"/>
      <c r="O2017" s="198"/>
      <c r="P2017" s="198"/>
      <c r="Q2017" s="198"/>
      <c r="R2017" s="198"/>
      <c r="S2017" s="198"/>
      <c r="T2017" s="198"/>
      <c r="U2017" s="198"/>
      <c r="V2017" s="198"/>
      <c r="W2017" s="198"/>
      <c r="X2017" s="198"/>
      <c r="Y2017" s="198"/>
      <c r="Z2017" s="198"/>
    </row>
    <row r="2018" spans="1:26" ht="15.75" hidden="1" customHeight="1" x14ac:dyDescent="0.25">
      <c r="A2018" s="213">
        <v>1894</v>
      </c>
      <c r="B2018" s="214" t="s">
        <v>10514</v>
      </c>
      <c r="C2018" s="215" t="s">
        <v>580</v>
      </c>
      <c r="D2018" s="216">
        <v>8.41</v>
      </c>
      <c r="E2018" s="198"/>
      <c r="F2018" s="198"/>
      <c r="G2018" s="198"/>
      <c r="H2018" s="198"/>
      <c r="I2018" s="198"/>
      <c r="J2018" s="198"/>
      <c r="K2018" s="198"/>
      <c r="L2018" s="198"/>
      <c r="M2018" s="198"/>
      <c r="N2018" s="198"/>
      <c r="O2018" s="198"/>
      <c r="P2018" s="198"/>
      <c r="Q2018" s="198"/>
      <c r="R2018" s="198"/>
      <c r="S2018" s="198"/>
      <c r="T2018" s="198"/>
      <c r="U2018" s="198"/>
      <c r="V2018" s="198"/>
      <c r="W2018" s="198"/>
      <c r="X2018" s="198"/>
      <c r="Y2018" s="198"/>
      <c r="Z2018" s="198"/>
    </row>
    <row r="2019" spans="1:26" ht="15.75" hidden="1" customHeight="1" x14ac:dyDescent="0.25">
      <c r="A2019" s="213">
        <v>1896</v>
      </c>
      <c r="B2019" s="214" t="s">
        <v>10515</v>
      </c>
      <c r="C2019" s="215" t="s">
        <v>580</v>
      </c>
      <c r="D2019" s="216">
        <v>25.12</v>
      </c>
      <c r="E2019" s="198"/>
      <c r="F2019" s="198"/>
      <c r="G2019" s="198"/>
      <c r="H2019" s="198"/>
      <c r="I2019" s="198"/>
      <c r="J2019" s="198"/>
      <c r="K2019" s="198"/>
      <c r="L2019" s="198"/>
      <c r="M2019" s="198"/>
      <c r="N2019" s="198"/>
      <c r="O2019" s="198"/>
      <c r="P2019" s="198"/>
      <c r="Q2019" s="198"/>
      <c r="R2019" s="198"/>
      <c r="S2019" s="198"/>
      <c r="T2019" s="198"/>
      <c r="U2019" s="198"/>
      <c r="V2019" s="198"/>
      <c r="W2019" s="198"/>
      <c r="X2019" s="198"/>
      <c r="Y2019" s="198"/>
      <c r="Z2019" s="198"/>
    </row>
    <row r="2020" spans="1:26" ht="15.75" hidden="1" customHeight="1" x14ac:dyDescent="0.25">
      <c r="A2020" s="213">
        <v>1891</v>
      </c>
      <c r="B2020" s="214" t="s">
        <v>10516</v>
      </c>
      <c r="C2020" s="215" t="s">
        <v>580</v>
      </c>
      <c r="D2020" s="216">
        <v>1.95</v>
      </c>
      <c r="E2020" s="198"/>
      <c r="F2020" s="198"/>
      <c r="G2020" s="198"/>
      <c r="H2020" s="198"/>
      <c r="I2020" s="198"/>
      <c r="J2020" s="198"/>
      <c r="K2020" s="198"/>
      <c r="L2020" s="198"/>
      <c r="M2020" s="198"/>
      <c r="N2020" s="198"/>
      <c r="O2020" s="198"/>
      <c r="P2020" s="198"/>
      <c r="Q2020" s="198"/>
      <c r="R2020" s="198"/>
      <c r="S2020" s="198"/>
      <c r="T2020" s="198"/>
      <c r="U2020" s="198"/>
      <c r="V2020" s="198"/>
      <c r="W2020" s="198"/>
      <c r="X2020" s="198"/>
      <c r="Y2020" s="198"/>
      <c r="Z2020" s="198"/>
    </row>
    <row r="2021" spans="1:26" ht="15.75" hidden="1" customHeight="1" x14ac:dyDescent="0.25">
      <c r="A2021" s="213">
        <v>1895</v>
      </c>
      <c r="B2021" s="214" t="s">
        <v>10517</v>
      </c>
      <c r="C2021" s="215" t="s">
        <v>580</v>
      </c>
      <c r="D2021" s="216">
        <v>44.14</v>
      </c>
      <c r="E2021" s="198"/>
      <c r="F2021" s="198"/>
      <c r="G2021" s="198"/>
      <c r="H2021" s="198"/>
      <c r="I2021" s="198"/>
      <c r="J2021" s="198"/>
      <c r="K2021" s="198"/>
      <c r="L2021" s="198"/>
      <c r="M2021" s="198"/>
      <c r="N2021" s="198"/>
      <c r="O2021" s="198"/>
      <c r="P2021" s="198"/>
      <c r="Q2021" s="198"/>
      <c r="R2021" s="198"/>
      <c r="S2021" s="198"/>
      <c r="T2021" s="198"/>
      <c r="U2021" s="198"/>
      <c r="V2021" s="198"/>
      <c r="W2021" s="198"/>
      <c r="X2021" s="198"/>
      <c r="Y2021" s="198"/>
      <c r="Z2021" s="198"/>
    </row>
    <row r="2022" spans="1:26" ht="15.75" hidden="1" customHeight="1" x14ac:dyDescent="0.25">
      <c r="A2022" s="213">
        <v>2641</v>
      </c>
      <c r="B2022" s="214" t="s">
        <v>10518</v>
      </c>
      <c r="C2022" s="215" t="s">
        <v>580</v>
      </c>
      <c r="D2022" s="216">
        <v>27.65</v>
      </c>
      <c r="E2022" s="198"/>
      <c r="F2022" s="198"/>
      <c r="G2022" s="198"/>
      <c r="H2022" s="198"/>
      <c r="I2022" s="198"/>
      <c r="J2022" s="198"/>
      <c r="K2022" s="198"/>
      <c r="L2022" s="198"/>
      <c r="M2022" s="198"/>
      <c r="N2022" s="198"/>
      <c r="O2022" s="198"/>
      <c r="P2022" s="198"/>
      <c r="Q2022" s="198"/>
      <c r="R2022" s="198"/>
      <c r="S2022" s="198"/>
      <c r="T2022" s="198"/>
      <c r="U2022" s="198"/>
      <c r="V2022" s="198"/>
      <c r="W2022" s="198"/>
      <c r="X2022" s="198"/>
      <c r="Y2022" s="198"/>
      <c r="Z2022" s="198"/>
    </row>
    <row r="2023" spans="1:26" ht="15.75" hidden="1" customHeight="1" x14ac:dyDescent="0.25">
      <c r="A2023" s="213">
        <v>2636</v>
      </c>
      <c r="B2023" s="214" t="s">
        <v>10519</v>
      </c>
      <c r="C2023" s="215" t="s">
        <v>580</v>
      </c>
      <c r="D2023" s="216">
        <v>1.78</v>
      </c>
      <c r="E2023" s="198"/>
      <c r="F2023" s="198"/>
      <c r="G2023" s="198"/>
      <c r="H2023" s="198"/>
      <c r="I2023" s="198"/>
      <c r="J2023" s="198"/>
      <c r="K2023" s="198"/>
      <c r="L2023" s="198"/>
      <c r="M2023" s="198"/>
      <c r="N2023" s="198"/>
      <c r="O2023" s="198"/>
      <c r="P2023" s="198"/>
      <c r="Q2023" s="198"/>
      <c r="R2023" s="198"/>
      <c r="S2023" s="198"/>
      <c r="T2023" s="198"/>
      <c r="U2023" s="198"/>
      <c r="V2023" s="198"/>
      <c r="W2023" s="198"/>
      <c r="X2023" s="198"/>
      <c r="Y2023" s="198"/>
      <c r="Z2023" s="198"/>
    </row>
    <row r="2024" spans="1:26" ht="15.75" hidden="1" customHeight="1" x14ac:dyDescent="0.25">
      <c r="A2024" s="213">
        <v>2637</v>
      </c>
      <c r="B2024" s="214" t="s">
        <v>10520</v>
      </c>
      <c r="C2024" s="215" t="s">
        <v>580</v>
      </c>
      <c r="D2024" s="216">
        <v>1.89</v>
      </c>
      <c r="E2024" s="198"/>
      <c r="F2024" s="198"/>
      <c r="G2024" s="198"/>
      <c r="H2024" s="198"/>
      <c r="I2024" s="198"/>
      <c r="J2024" s="198"/>
      <c r="K2024" s="198"/>
      <c r="L2024" s="198"/>
      <c r="M2024" s="198"/>
      <c r="N2024" s="198"/>
      <c r="O2024" s="198"/>
      <c r="P2024" s="198"/>
      <c r="Q2024" s="198"/>
      <c r="R2024" s="198"/>
      <c r="S2024" s="198"/>
      <c r="T2024" s="198"/>
      <c r="U2024" s="198"/>
      <c r="V2024" s="198"/>
      <c r="W2024" s="198"/>
      <c r="X2024" s="198"/>
      <c r="Y2024" s="198"/>
      <c r="Z2024" s="198"/>
    </row>
    <row r="2025" spans="1:26" ht="15.75" hidden="1" customHeight="1" x14ac:dyDescent="0.25">
      <c r="A2025" s="213">
        <v>2638</v>
      </c>
      <c r="B2025" s="214" t="s">
        <v>10521</v>
      </c>
      <c r="C2025" s="215" t="s">
        <v>580</v>
      </c>
      <c r="D2025" s="216">
        <v>2.2000000000000002</v>
      </c>
      <c r="E2025" s="198"/>
      <c r="F2025" s="198"/>
      <c r="G2025" s="198"/>
      <c r="H2025" s="198"/>
      <c r="I2025" s="198"/>
      <c r="J2025" s="198"/>
      <c r="K2025" s="198"/>
      <c r="L2025" s="198"/>
      <c r="M2025" s="198"/>
      <c r="N2025" s="198"/>
      <c r="O2025" s="198"/>
      <c r="P2025" s="198"/>
      <c r="Q2025" s="198"/>
      <c r="R2025" s="198"/>
      <c r="S2025" s="198"/>
      <c r="T2025" s="198"/>
      <c r="U2025" s="198"/>
      <c r="V2025" s="198"/>
      <c r="W2025" s="198"/>
      <c r="X2025" s="198"/>
      <c r="Y2025" s="198"/>
      <c r="Z2025" s="198"/>
    </row>
    <row r="2026" spans="1:26" ht="15.75" hidden="1" customHeight="1" x14ac:dyDescent="0.25">
      <c r="A2026" s="213">
        <v>2639</v>
      </c>
      <c r="B2026" s="214" t="s">
        <v>10522</v>
      </c>
      <c r="C2026" s="215" t="s">
        <v>580</v>
      </c>
      <c r="D2026" s="216">
        <v>3.91</v>
      </c>
      <c r="E2026" s="198"/>
      <c r="F2026" s="198"/>
      <c r="G2026" s="198"/>
      <c r="H2026" s="198"/>
      <c r="I2026" s="198"/>
      <c r="J2026" s="198"/>
      <c r="K2026" s="198"/>
      <c r="L2026" s="198"/>
      <c r="M2026" s="198"/>
      <c r="N2026" s="198"/>
      <c r="O2026" s="198"/>
      <c r="P2026" s="198"/>
      <c r="Q2026" s="198"/>
      <c r="R2026" s="198"/>
      <c r="S2026" s="198"/>
      <c r="T2026" s="198"/>
      <c r="U2026" s="198"/>
      <c r="V2026" s="198"/>
      <c r="W2026" s="198"/>
      <c r="X2026" s="198"/>
      <c r="Y2026" s="198"/>
      <c r="Z2026" s="198"/>
    </row>
    <row r="2027" spans="1:26" ht="15.75" hidden="1" customHeight="1" x14ac:dyDescent="0.25">
      <c r="A2027" s="213">
        <v>2644</v>
      </c>
      <c r="B2027" s="214" t="s">
        <v>10523</v>
      </c>
      <c r="C2027" s="215" t="s">
        <v>580</v>
      </c>
      <c r="D2027" s="216">
        <v>5.65</v>
      </c>
      <c r="E2027" s="198"/>
      <c r="F2027" s="198"/>
      <c r="G2027" s="198"/>
      <c r="H2027" s="198"/>
      <c r="I2027" s="198"/>
      <c r="J2027" s="198"/>
      <c r="K2027" s="198"/>
      <c r="L2027" s="198"/>
      <c r="M2027" s="198"/>
      <c r="N2027" s="198"/>
      <c r="O2027" s="198"/>
      <c r="P2027" s="198"/>
      <c r="Q2027" s="198"/>
      <c r="R2027" s="198"/>
      <c r="S2027" s="198"/>
      <c r="T2027" s="198"/>
      <c r="U2027" s="198"/>
      <c r="V2027" s="198"/>
      <c r="W2027" s="198"/>
      <c r="X2027" s="198"/>
      <c r="Y2027" s="198"/>
      <c r="Z2027" s="198"/>
    </row>
    <row r="2028" spans="1:26" ht="15.75" hidden="1" customHeight="1" x14ac:dyDescent="0.25">
      <c r="A2028" s="213">
        <v>2640</v>
      </c>
      <c r="B2028" s="214" t="s">
        <v>10524</v>
      </c>
      <c r="C2028" s="215" t="s">
        <v>580</v>
      </c>
      <c r="D2028" s="216">
        <v>11.51</v>
      </c>
      <c r="E2028" s="198"/>
      <c r="F2028" s="198"/>
      <c r="G2028" s="198"/>
      <c r="H2028" s="198"/>
      <c r="I2028" s="198"/>
      <c r="J2028" s="198"/>
      <c r="K2028" s="198"/>
      <c r="L2028" s="198"/>
      <c r="M2028" s="198"/>
      <c r="N2028" s="198"/>
      <c r="O2028" s="198"/>
      <c r="P2028" s="198"/>
      <c r="Q2028" s="198"/>
      <c r="R2028" s="198"/>
      <c r="S2028" s="198"/>
      <c r="T2028" s="198"/>
      <c r="U2028" s="198"/>
      <c r="V2028" s="198"/>
      <c r="W2028" s="198"/>
      <c r="X2028" s="198"/>
      <c r="Y2028" s="198"/>
      <c r="Z2028" s="198"/>
    </row>
    <row r="2029" spans="1:26" ht="15.75" hidden="1" customHeight="1" x14ac:dyDescent="0.25">
      <c r="A2029" s="213">
        <v>2642</v>
      </c>
      <c r="B2029" s="214" t="s">
        <v>10525</v>
      </c>
      <c r="C2029" s="215" t="s">
        <v>580</v>
      </c>
      <c r="D2029" s="216">
        <v>17.52</v>
      </c>
      <c r="E2029" s="198"/>
      <c r="F2029" s="198"/>
      <c r="G2029" s="198"/>
      <c r="H2029" s="198"/>
      <c r="I2029" s="198"/>
      <c r="J2029" s="198"/>
      <c r="K2029" s="198"/>
      <c r="L2029" s="198"/>
      <c r="M2029" s="198"/>
      <c r="N2029" s="198"/>
      <c r="O2029" s="198"/>
      <c r="P2029" s="198"/>
      <c r="Q2029" s="198"/>
      <c r="R2029" s="198"/>
      <c r="S2029" s="198"/>
      <c r="T2029" s="198"/>
      <c r="U2029" s="198"/>
      <c r="V2029" s="198"/>
      <c r="W2029" s="198"/>
      <c r="X2029" s="198"/>
      <c r="Y2029" s="198"/>
      <c r="Z2029" s="198"/>
    </row>
    <row r="2030" spans="1:26" ht="15.75" hidden="1" customHeight="1" x14ac:dyDescent="0.25">
      <c r="A2030" s="213">
        <v>2643</v>
      </c>
      <c r="B2030" s="214" t="s">
        <v>10526</v>
      </c>
      <c r="C2030" s="215" t="s">
        <v>580</v>
      </c>
      <c r="D2030" s="216">
        <v>7.88</v>
      </c>
      <c r="E2030" s="198"/>
      <c r="F2030" s="198"/>
      <c r="G2030" s="198"/>
      <c r="H2030" s="198"/>
      <c r="I2030" s="198"/>
      <c r="J2030" s="198"/>
      <c r="K2030" s="198"/>
      <c r="L2030" s="198"/>
      <c r="M2030" s="198"/>
      <c r="N2030" s="198"/>
      <c r="O2030" s="198"/>
      <c r="P2030" s="198"/>
      <c r="Q2030" s="198"/>
      <c r="R2030" s="198"/>
      <c r="S2030" s="198"/>
      <c r="T2030" s="198"/>
      <c r="U2030" s="198"/>
      <c r="V2030" s="198"/>
      <c r="W2030" s="198"/>
      <c r="X2030" s="198"/>
      <c r="Y2030" s="198"/>
      <c r="Z2030" s="198"/>
    </row>
    <row r="2031" spans="1:26" ht="15.75" hidden="1" customHeight="1" x14ac:dyDescent="0.25">
      <c r="A2031" s="213">
        <v>44281</v>
      </c>
      <c r="B2031" s="214" t="s">
        <v>10527</v>
      </c>
      <c r="C2031" s="215" t="s">
        <v>580</v>
      </c>
      <c r="D2031" s="216">
        <v>288.36</v>
      </c>
      <c r="E2031" s="198"/>
      <c r="F2031" s="198"/>
      <c r="G2031" s="198"/>
      <c r="H2031" s="198"/>
      <c r="I2031" s="198"/>
      <c r="J2031" s="198"/>
      <c r="K2031" s="198"/>
      <c r="L2031" s="198"/>
      <c r="M2031" s="198"/>
      <c r="N2031" s="198"/>
      <c r="O2031" s="198"/>
      <c r="P2031" s="198"/>
      <c r="Q2031" s="198"/>
      <c r="R2031" s="198"/>
      <c r="S2031" s="198"/>
      <c r="T2031" s="198"/>
      <c r="U2031" s="198"/>
      <c r="V2031" s="198"/>
      <c r="W2031" s="198"/>
      <c r="X2031" s="198"/>
      <c r="Y2031" s="198"/>
      <c r="Z2031" s="198"/>
    </row>
    <row r="2032" spans="1:26" ht="15.75" hidden="1" customHeight="1" x14ac:dyDescent="0.25">
      <c r="A2032" s="213">
        <v>3867</v>
      </c>
      <c r="B2032" s="214" t="s">
        <v>10528</v>
      </c>
      <c r="C2032" s="215" t="s">
        <v>580</v>
      </c>
      <c r="D2032" s="216">
        <v>62.76</v>
      </c>
      <c r="E2032" s="198"/>
      <c r="F2032" s="198"/>
      <c r="G2032" s="198"/>
      <c r="H2032" s="198"/>
      <c r="I2032" s="198"/>
      <c r="J2032" s="198"/>
      <c r="K2032" s="198"/>
      <c r="L2032" s="198"/>
      <c r="M2032" s="198"/>
      <c r="N2032" s="198"/>
      <c r="O2032" s="198"/>
      <c r="P2032" s="198"/>
      <c r="Q2032" s="198"/>
      <c r="R2032" s="198"/>
      <c r="S2032" s="198"/>
      <c r="T2032" s="198"/>
      <c r="U2032" s="198"/>
      <c r="V2032" s="198"/>
      <c r="W2032" s="198"/>
      <c r="X2032" s="198"/>
      <c r="Y2032" s="198"/>
      <c r="Z2032" s="198"/>
    </row>
    <row r="2033" spans="1:26" ht="15.75" hidden="1" customHeight="1" x14ac:dyDescent="0.25">
      <c r="A2033" s="213">
        <v>3861</v>
      </c>
      <c r="B2033" s="214" t="s">
        <v>10529</v>
      </c>
      <c r="C2033" s="215" t="s">
        <v>580</v>
      </c>
      <c r="D2033" s="216">
        <v>0.65</v>
      </c>
      <c r="E2033" s="198"/>
      <c r="F2033" s="198"/>
      <c r="G2033" s="198"/>
      <c r="H2033" s="198"/>
      <c r="I2033" s="198"/>
      <c r="J2033" s="198"/>
      <c r="K2033" s="198"/>
      <c r="L2033" s="198"/>
      <c r="M2033" s="198"/>
      <c r="N2033" s="198"/>
      <c r="O2033" s="198"/>
      <c r="P2033" s="198"/>
      <c r="Q2033" s="198"/>
      <c r="R2033" s="198"/>
      <c r="S2033" s="198"/>
      <c r="T2033" s="198"/>
      <c r="U2033" s="198"/>
      <c r="V2033" s="198"/>
      <c r="W2033" s="198"/>
      <c r="X2033" s="198"/>
      <c r="Y2033" s="198"/>
      <c r="Z2033" s="198"/>
    </row>
    <row r="2034" spans="1:26" ht="15.75" hidden="1" customHeight="1" x14ac:dyDescent="0.25">
      <c r="A2034" s="213">
        <v>3904</v>
      </c>
      <c r="B2034" s="214" t="s">
        <v>10530</v>
      </c>
      <c r="C2034" s="215" t="s">
        <v>580</v>
      </c>
      <c r="D2034" s="216">
        <v>0.69</v>
      </c>
      <c r="E2034" s="198"/>
      <c r="F2034" s="198"/>
      <c r="G2034" s="198"/>
      <c r="H2034" s="198"/>
      <c r="I2034" s="198"/>
      <c r="J2034" s="198"/>
      <c r="K2034" s="198"/>
      <c r="L2034" s="198"/>
      <c r="M2034" s="198"/>
      <c r="N2034" s="198"/>
      <c r="O2034" s="198"/>
      <c r="P2034" s="198"/>
      <c r="Q2034" s="198"/>
      <c r="R2034" s="198"/>
      <c r="S2034" s="198"/>
      <c r="T2034" s="198"/>
      <c r="U2034" s="198"/>
      <c r="V2034" s="198"/>
      <c r="W2034" s="198"/>
      <c r="X2034" s="198"/>
      <c r="Y2034" s="198"/>
      <c r="Z2034" s="198"/>
    </row>
    <row r="2035" spans="1:26" ht="15.75" hidden="1" customHeight="1" x14ac:dyDescent="0.25">
      <c r="A2035" s="213">
        <v>3903</v>
      </c>
      <c r="B2035" s="214" t="s">
        <v>10531</v>
      </c>
      <c r="C2035" s="215" t="s">
        <v>580</v>
      </c>
      <c r="D2035" s="216">
        <v>1.68</v>
      </c>
      <c r="E2035" s="198"/>
      <c r="F2035" s="198"/>
      <c r="G2035" s="198"/>
      <c r="H2035" s="198"/>
      <c r="I2035" s="198"/>
      <c r="J2035" s="198"/>
      <c r="K2035" s="198"/>
      <c r="L2035" s="198"/>
      <c r="M2035" s="198"/>
      <c r="N2035" s="198"/>
      <c r="O2035" s="198"/>
      <c r="P2035" s="198"/>
      <c r="Q2035" s="198"/>
      <c r="R2035" s="198"/>
      <c r="S2035" s="198"/>
      <c r="T2035" s="198"/>
      <c r="U2035" s="198"/>
      <c r="V2035" s="198"/>
      <c r="W2035" s="198"/>
      <c r="X2035" s="198"/>
      <c r="Y2035" s="198"/>
      <c r="Z2035" s="198"/>
    </row>
    <row r="2036" spans="1:26" ht="15.75" hidden="1" customHeight="1" x14ac:dyDescent="0.25">
      <c r="A2036" s="213">
        <v>3862</v>
      </c>
      <c r="B2036" s="214" t="s">
        <v>10532</v>
      </c>
      <c r="C2036" s="215" t="s">
        <v>580</v>
      </c>
      <c r="D2036" s="216">
        <v>3.58</v>
      </c>
      <c r="E2036" s="198"/>
      <c r="F2036" s="198"/>
      <c r="G2036" s="198"/>
      <c r="H2036" s="198"/>
      <c r="I2036" s="198"/>
      <c r="J2036" s="198"/>
      <c r="K2036" s="198"/>
      <c r="L2036" s="198"/>
      <c r="M2036" s="198"/>
      <c r="N2036" s="198"/>
      <c r="O2036" s="198"/>
      <c r="P2036" s="198"/>
      <c r="Q2036" s="198"/>
      <c r="R2036" s="198"/>
      <c r="S2036" s="198"/>
      <c r="T2036" s="198"/>
      <c r="U2036" s="198"/>
      <c r="V2036" s="198"/>
      <c r="W2036" s="198"/>
      <c r="X2036" s="198"/>
      <c r="Y2036" s="198"/>
      <c r="Z2036" s="198"/>
    </row>
    <row r="2037" spans="1:26" ht="15.75" hidden="1" customHeight="1" x14ac:dyDescent="0.25">
      <c r="A2037" s="213">
        <v>3863</v>
      </c>
      <c r="B2037" s="214" t="s">
        <v>10533</v>
      </c>
      <c r="C2037" s="215" t="s">
        <v>580</v>
      </c>
      <c r="D2037" s="216">
        <v>3.67</v>
      </c>
      <c r="E2037" s="198"/>
      <c r="F2037" s="198"/>
      <c r="G2037" s="198"/>
      <c r="H2037" s="198"/>
      <c r="I2037" s="198"/>
      <c r="J2037" s="198"/>
      <c r="K2037" s="198"/>
      <c r="L2037" s="198"/>
      <c r="M2037" s="198"/>
      <c r="N2037" s="198"/>
      <c r="O2037" s="198"/>
      <c r="P2037" s="198"/>
      <c r="Q2037" s="198"/>
      <c r="R2037" s="198"/>
      <c r="S2037" s="198"/>
      <c r="T2037" s="198"/>
      <c r="U2037" s="198"/>
      <c r="V2037" s="198"/>
      <c r="W2037" s="198"/>
      <c r="X2037" s="198"/>
      <c r="Y2037" s="198"/>
      <c r="Z2037" s="198"/>
    </row>
    <row r="2038" spans="1:26" ht="15.75" hidden="1" customHeight="1" x14ac:dyDescent="0.25">
      <c r="A2038" s="213">
        <v>3864</v>
      </c>
      <c r="B2038" s="214" t="s">
        <v>10534</v>
      </c>
      <c r="C2038" s="215" t="s">
        <v>580</v>
      </c>
      <c r="D2038" s="216">
        <v>11.25</v>
      </c>
      <c r="E2038" s="198"/>
      <c r="F2038" s="198"/>
      <c r="G2038" s="198"/>
      <c r="H2038" s="198"/>
      <c r="I2038" s="198"/>
      <c r="J2038" s="198"/>
      <c r="K2038" s="198"/>
      <c r="L2038" s="198"/>
      <c r="M2038" s="198"/>
      <c r="N2038" s="198"/>
      <c r="O2038" s="198"/>
      <c r="P2038" s="198"/>
      <c r="Q2038" s="198"/>
      <c r="R2038" s="198"/>
      <c r="S2038" s="198"/>
      <c r="T2038" s="198"/>
      <c r="U2038" s="198"/>
      <c r="V2038" s="198"/>
      <c r="W2038" s="198"/>
      <c r="X2038" s="198"/>
      <c r="Y2038" s="198"/>
      <c r="Z2038" s="198"/>
    </row>
    <row r="2039" spans="1:26" ht="15.75" hidden="1" customHeight="1" x14ac:dyDescent="0.25">
      <c r="A2039" s="213">
        <v>3865</v>
      </c>
      <c r="B2039" s="214" t="s">
        <v>10535</v>
      </c>
      <c r="C2039" s="215" t="s">
        <v>580</v>
      </c>
      <c r="D2039" s="216">
        <v>16.46</v>
      </c>
      <c r="E2039" s="198"/>
      <c r="F2039" s="198"/>
      <c r="G2039" s="198"/>
      <c r="H2039" s="198"/>
      <c r="I2039" s="198"/>
      <c r="J2039" s="198"/>
      <c r="K2039" s="198"/>
      <c r="L2039" s="198"/>
      <c r="M2039" s="198"/>
      <c r="N2039" s="198"/>
      <c r="O2039" s="198"/>
      <c r="P2039" s="198"/>
      <c r="Q2039" s="198"/>
      <c r="R2039" s="198"/>
      <c r="S2039" s="198"/>
      <c r="T2039" s="198"/>
      <c r="U2039" s="198"/>
      <c r="V2039" s="198"/>
      <c r="W2039" s="198"/>
      <c r="X2039" s="198"/>
      <c r="Y2039" s="198"/>
      <c r="Z2039" s="198"/>
    </row>
    <row r="2040" spans="1:26" ht="15.75" hidden="1" customHeight="1" x14ac:dyDescent="0.25">
      <c r="A2040" s="213">
        <v>3866</v>
      </c>
      <c r="B2040" s="214" t="s">
        <v>10536</v>
      </c>
      <c r="C2040" s="215" t="s">
        <v>580</v>
      </c>
      <c r="D2040" s="216">
        <v>36.96</v>
      </c>
      <c r="E2040" s="198"/>
      <c r="F2040" s="198"/>
      <c r="G2040" s="198"/>
      <c r="H2040" s="198"/>
      <c r="I2040" s="198"/>
      <c r="J2040" s="198"/>
      <c r="K2040" s="198"/>
      <c r="L2040" s="198"/>
      <c r="M2040" s="198"/>
      <c r="N2040" s="198"/>
      <c r="O2040" s="198"/>
      <c r="P2040" s="198"/>
      <c r="Q2040" s="198"/>
      <c r="R2040" s="198"/>
      <c r="S2040" s="198"/>
      <c r="T2040" s="198"/>
      <c r="U2040" s="198"/>
      <c r="V2040" s="198"/>
      <c r="W2040" s="198"/>
      <c r="X2040" s="198"/>
      <c r="Y2040" s="198"/>
      <c r="Z2040" s="198"/>
    </row>
    <row r="2041" spans="1:26" ht="15.75" hidden="1" customHeight="1" x14ac:dyDescent="0.25">
      <c r="A2041" s="213">
        <v>3878</v>
      </c>
      <c r="B2041" s="214" t="s">
        <v>10537</v>
      </c>
      <c r="C2041" s="215" t="s">
        <v>580</v>
      </c>
      <c r="D2041" s="216">
        <v>10.08</v>
      </c>
      <c r="E2041" s="198"/>
      <c r="F2041" s="198"/>
      <c r="G2041" s="198"/>
      <c r="H2041" s="198"/>
      <c r="I2041" s="198"/>
      <c r="J2041" s="198"/>
      <c r="K2041" s="198"/>
      <c r="L2041" s="198"/>
      <c r="M2041" s="198"/>
      <c r="N2041" s="198"/>
      <c r="O2041" s="198"/>
      <c r="P2041" s="198"/>
      <c r="Q2041" s="198"/>
      <c r="R2041" s="198"/>
      <c r="S2041" s="198"/>
      <c r="T2041" s="198"/>
      <c r="U2041" s="198"/>
      <c r="V2041" s="198"/>
      <c r="W2041" s="198"/>
      <c r="X2041" s="198"/>
      <c r="Y2041" s="198"/>
      <c r="Z2041" s="198"/>
    </row>
    <row r="2042" spans="1:26" ht="15.75" hidden="1" customHeight="1" x14ac:dyDescent="0.25">
      <c r="A2042" s="213">
        <v>3876</v>
      </c>
      <c r="B2042" s="214" t="s">
        <v>10538</v>
      </c>
      <c r="C2042" s="215" t="s">
        <v>580</v>
      </c>
      <c r="D2042" s="216">
        <v>4.01</v>
      </c>
      <c r="E2042" s="198"/>
      <c r="F2042" s="198"/>
      <c r="G2042" s="198"/>
      <c r="H2042" s="198"/>
      <c r="I2042" s="198"/>
      <c r="J2042" s="198"/>
      <c r="K2042" s="198"/>
      <c r="L2042" s="198"/>
      <c r="M2042" s="198"/>
      <c r="N2042" s="198"/>
      <c r="O2042" s="198"/>
      <c r="P2042" s="198"/>
      <c r="Q2042" s="198"/>
      <c r="R2042" s="198"/>
      <c r="S2042" s="198"/>
      <c r="T2042" s="198"/>
      <c r="U2042" s="198"/>
      <c r="V2042" s="198"/>
      <c r="W2042" s="198"/>
      <c r="X2042" s="198"/>
      <c r="Y2042" s="198"/>
      <c r="Z2042" s="198"/>
    </row>
    <row r="2043" spans="1:26" ht="15.75" hidden="1" customHeight="1" x14ac:dyDescent="0.25">
      <c r="A2043" s="213">
        <v>3883</v>
      </c>
      <c r="B2043" s="214" t="s">
        <v>10539</v>
      </c>
      <c r="C2043" s="215" t="s">
        <v>580</v>
      </c>
      <c r="D2043" s="216">
        <v>1.29</v>
      </c>
      <c r="E2043" s="198"/>
      <c r="F2043" s="198"/>
      <c r="G2043" s="198"/>
      <c r="H2043" s="198"/>
      <c r="I2043" s="198"/>
      <c r="J2043" s="198"/>
      <c r="K2043" s="198"/>
      <c r="L2043" s="198"/>
      <c r="M2043" s="198"/>
      <c r="N2043" s="198"/>
      <c r="O2043" s="198"/>
      <c r="P2043" s="198"/>
      <c r="Q2043" s="198"/>
      <c r="R2043" s="198"/>
      <c r="S2043" s="198"/>
      <c r="T2043" s="198"/>
      <c r="U2043" s="198"/>
      <c r="V2043" s="198"/>
      <c r="W2043" s="198"/>
      <c r="X2043" s="198"/>
      <c r="Y2043" s="198"/>
      <c r="Z2043" s="198"/>
    </row>
    <row r="2044" spans="1:26" ht="15.75" hidden="1" customHeight="1" x14ac:dyDescent="0.25">
      <c r="A2044" s="213">
        <v>3884</v>
      </c>
      <c r="B2044" s="214" t="s">
        <v>10540</v>
      </c>
      <c r="C2044" s="215" t="s">
        <v>580</v>
      </c>
      <c r="D2044" s="216">
        <v>2.04</v>
      </c>
      <c r="E2044" s="198"/>
      <c r="F2044" s="198"/>
      <c r="G2044" s="198"/>
      <c r="H2044" s="198"/>
      <c r="I2044" s="198"/>
      <c r="J2044" s="198"/>
      <c r="K2044" s="198"/>
      <c r="L2044" s="198"/>
      <c r="M2044" s="198"/>
      <c r="N2044" s="198"/>
      <c r="O2044" s="198"/>
      <c r="P2044" s="198"/>
      <c r="Q2044" s="198"/>
      <c r="R2044" s="198"/>
      <c r="S2044" s="198"/>
      <c r="T2044" s="198"/>
      <c r="U2044" s="198"/>
      <c r="V2044" s="198"/>
      <c r="W2044" s="198"/>
      <c r="X2044" s="198"/>
      <c r="Y2044" s="198"/>
      <c r="Z2044" s="198"/>
    </row>
    <row r="2045" spans="1:26" ht="15.75" hidden="1" customHeight="1" x14ac:dyDescent="0.25">
      <c r="A2045" s="213">
        <v>12892</v>
      </c>
      <c r="B2045" s="214" t="s">
        <v>10541</v>
      </c>
      <c r="C2045" s="215" t="s">
        <v>8838</v>
      </c>
      <c r="D2045" s="216">
        <v>14.31</v>
      </c>
      <c r="E2045" s="198"/>
      <c r="F2045" s="198"/>
      <c r="G2045" s="198"/>
      <c r="H2045" s="198"/>
      <c r="I2045" s="198"/>
      <c r="J2045" s="198"/>
      <c r="K2045" s="198"/>
      <c r="L2045" s="198"/>
      <c r="M2045" s="198"/>
      <c r="N2045" s="198"/>
      <c r="O2045" s="198"/>
      <c r="P2045" s="198"/>
      <c r="Q2045" s="198"/>
      <c r="R2045" s="198"/>
      <c r="S2045" s="198"/>
      <c r="T2045" s="198"/>
      <c r="U2045" s="198"/>
      <c r="V2045" s="198"/>
      <c r="W2045" s="198"/>
      <c r="X2045" s="198"/>
      <c r="Y2045" s="198"/>
      <c r="Z2045" s="198"/>
    </row>
    <row r="2046" spans="1:26" ht="15.75" hidden="1" customHeight="1" x14ac:dyDescent="0.25">
      <c r="A2046" s="213">
        <v>38447</v>
      </c>
      <c r="B2046" s="214" t="s">
        <v>10542</v>
      </c>
      <c r="C2046" s="215" t="s">
        <v>580</v>
      </c>
      <c r="D2046" s="216">
        <v>110.14</v>
      </c>
      <c r="E2046" s="198"/>
      <c r="F2046" s="198"/>
      <c r="G2046" s="198"/>
      <c r="H2046" s="198"/>
      <c r="I2046" s="198"/>
      <c r="J2046" s="198"/>
      <c r="K2046" s="198"/>
      <c r="L2046" s="198"/>
      <c r="M2046" s="198"/>
      <c r="N2046" s="198"/>
      <c r="O2046" s="198"/>
      <c r="P2046" s="198"/>
      <c r="Q2046" s="198"/>
      <c r="R2046" s="198"/>
      <c r="S2046" s="198"/>
      <c r="T2046" s="198"/>
      <c r="U2046" s="198"/>
      <c r="V2046" s="198"/>
      <c r="W2046" s="198"/>
      <c r="X2046" s="198"/>
      <c r="Y2046" s="198"/>
      <c r="Z2046" s="198"/>
    </row>
    <row r="2047" spans="1:26" ht="15.75" hidden="1" customHeight="1" x14ac:dyDescent="0.25">
      <c r="A2047" s="213">
        <v>36320</v>
      </c>
      <c r="B2047" s="214" t="s">
        <v>10543</v>
      </c>
      <c r="C2047" s="215" t="s">
        <v>580</v>
      </c>
      <c r="D2047" s="216">
        <v>2.96</v>
      </c>
      <c r="E2047" s="198"/>
      <c r="F2047" s="198"/>
      <c r="G2047" s="198"/>
      <c r="H2047" s="198"/>
      <c r="I2047" s="198"/>
      <c r="J2047" s="198"/>
      <c r="K2047" s="198"/>
      <c r="L2047" s="198"/>
      <c r="M2047" s="198"/>
      <c r="N2047" s="198"/>
      <c r="O2047" s="198"/>
      <c r="P2047" s="198"/>
      <c r="Q2047" s="198"/>
      <c r="R2047" s="198"/>
      <c r="S2047" s="198"/>
      <c r="T2047" s="198"/>
      <c r="U2047" s="198"/>
      <c r="V2047" s="198"/>
      <c r="W2047" s="198"/>
      <c r="X2047" s="198"/>
      <c r="Y2047" s="198"/>
      <c r="Z2047" s="198"/>
    </row>
    <row r="2048" spans="1:26" ht="15.75" hidden="1" customHeight="1" x14ac:dyDescent="0.25">
      <c r="A2048" s="213">
        <v>36324</v>
      </c>
      <c r="B2048" s="214" t="s">
        <v>10544</v>
      </c>
      <c r="C2048" s="215" t="s">
        <v>580</v>
      </c>
      <c r="D2048" s="216">
        <v>2.7</v>
      </c>
      <c r="E2048" s="198"/>
      <c r="F2048" s="198"/>
      <c r="G2048" s="198"/>
      <c r="H2048" s="198"/>
      <c r="I2048" s="198"/>
      <c r="J2048" s="198"/>
      <c r="K2048" s="198"/>
      <c r="L2048" s="198"/>
      <c r="M2048" s="198"/>
      <c r="N2048" s="198"/>
      <c r="O2048" s="198"/>
      <c r="P2048" s="198"/>
      <c r="Q2048" s="198"/>
      <c r="R2048" s="198"/>
      <c r="S2048" s="198"/>
      <c r="T2048" s="198"/>
      <c r="U2048" s="198"/>
      <c r="V2048" s="198"/>
      <c r="W2048" s="198"/>
      <c r="X2048" s="198"/>
      <c r="Y2048" s="198"/>
      <c r="Z2048" s="198"/>
    </row>
    <row r="2049" spans="1:26" ht="15.75" hidden="1" customHeight="1" x14ac:dyDescent="0.25">
      <c r="A2049" s="213">
        <v>38441</v>
      </c>
      <c r="B2049" s="214" t="s">
        <v>10545</v>
      </c>
      <c r="C2049" s="215" t="s">
        <v>580</v>
      </c>
      <c r="D2049" s="216">
        <v>4.84</v>
      </c>
      <c r="E2049" s="198"/>
      <c r="F2049" s="198"/>
      <c r="G2049" s="198"/>
      <c r="H2049" s="198"/>
      <c r="I2049" s="198"/>
      <c r="J2049" s="198"/>
      <c r="K2049" s="198"/>
      <c r="L2049" s="198"/>
      <c r="M2049" s="198"/>
      <c r="N2049" s="198"/>
      <c r="O2049" s="198"/>
      <c r="P2049" s="198"/>
      <c r="Q2049" s="198"/>
      <c r="R2049" s="198"/>
      <c r="S2049" s="198"/>
      <c r="T2049" s="198"/>
      <c r="U2049" s="198"/>
      <c r="V2049" s="198"/>
      <c r="W2049" s="198"/>
      <c r="X2049" s="198"/>
      <c r="Y2049" s="198"/>
      <c r="Z2049" s="198"/>
    </row>
    <row r="2050" spans="1:26" ht="15.75" hidden="1" customHeight="1" x14ac:dyDescent="0.25">
      <c r="A2050" s="213">
        <v>38442</v>
      </c>
      <c r="B2050" s="214" t="s">
        <v>10546</v>
      </c>
      <c r="C2050" s="215" t="s">
        <v>580</v>
      </c>
      <c r="D2050" s="216">
        <v>13.77</v>
      </c>
      <c r="E2050" s="198"/>
      <c r="F2050" s="198"/>
      <c r="G2050" s="198"/>
      <c r="H2050" s="198"/>
      <c r="I2050" s="198"/>
      <c r="J2050" s="198"/>
      <c r="K2050" s="198"/>
      <c r="L2050" s="198"/>
      <c r="M2050" s="198"/>
      <c r="N2050" s="198"/>
      <c r="O2050" s="198"/>
      <c r="P2050" s="198"/>
      <c r="Q2050" s="198"/>
      <c r="R2050" s="198"/>
      <c r="S2050" s="198"/>
      <c r="T2050" s="198"/>
      <c r="U2050" s="198"/>
      <c r="V2050" s="198"/>
      <c r="W2050" s="198"/>
      <c r="X2050" s="198"/>
      <c r="Y2050" s="198"/>
      <c r="Z2050" s="198"/>
    </row>
    <row r="2051" spans="1:26" ht="15.75" hidden="1" customHeight="1" x14ac:dyDescent="0.25">
      <c r="A2051" s="213">
        <v>38443</v>
      </c>
      <c r="B2051" s="214" t="s">
        <v>10547</v>
      </c>
      <c r="C2051" s="215" t="s">
        <v>580</v>
      </c>
      <c r="D2051" s="216">
        <v>16.7</v>
      </c>
      <c r="E2051" s="198"/>
      <c r="F2051" s="198"/>
      <c r="G2051" s="198"/>
      <c r="H2051" s="198"/>
      <c r="I2051" s="198"/>
      <c r="J2051" s="198"/>
      <c r="K2051" s="198"/>
      <c r="L2051" s="198"/>
      <c r="M2051" s="198"/>
      <c r="N2051" s="198"/>
      <c r="O2051" s="198"/>
      <c r="P2051" s="198"/>
      <c r="Q2051" s="198"/>
      <c r="R2051" s="198"/>
      <c r="S2051" s="198"/>
      <c r="T2051" s="198"/>
      <c r="U2051" s="198"/>
      <c r="V2051" s="198"/>
      <c r="W2051" s="198"/>
      <c r="X2051" s="198"/>
      <c r="Y2051" s="198"/>
      <c r="Z2051" s="198"/>
    </row>
    <row r="2052" spans="1:26" ht="15.75" hidden="1" customHeight="1" x14ac:dyDescent="0.25">
      <c r="A2052" s="213">
        <v>38444</v>
      </c>
      <c r="B2052" s="214" t="s">
        <v>10548</v>
      </c>
      <c r="C2052" s="215" t="s">
        <v>580</v>
      </c>
      <c r="D2052" s="216">
        <v>28.04</v>
      </c>
      <c r="E2052" s="198"/>
      <c r="F2052" s="198"/>
      <c r="G2052" s="198"/>
      <c r="H2052" s="198"/>
      <c r="I2052" s="198"/>
      <c r="J2052" s="198"/>
      <c r="K2052" s="198"/>
      <c r="L2052" s="198"/>
      <c r="M2052" s="198"/>
      <c r="N2052" s="198"/>
      <c r="O2052" s="198"/>
      <c r="P2052" s="198"/>
      <c r="Q2052" s="198"/>
      <c r="R2052" s="198"/>
      <c r="S2052" s="198"/>
      <c r="T2052" s="198"/>
      <c r="U2052" s="198"/>
      <c r="V2052" s="198"/>
      <c r="W2052" s="198"/>
      <c r="X2052" s="198"/>
      <c r="Y2052" s="198"/>
      <c r="Z2052" s="198"/>
    </row>
    <row r="2053" spans="1:26" ht="15.75" hidden="1" customHeight="1" x14ac:dyDescent="0.25">
      <c r="A2053" s="213">
        <v>38445</v>
      </c>
      <c r="B2053" s="214" t="s">
        <v>10549</v>
      </c>
      <c r="C2053" s="215" t="s">
        <v>580</v>
      </c>
      <c r="D2053" s="216">
        <v>52</v>
      </c>
      <c r="E2053" s="198"/>
      <c r="F2053" s="198"/>
      <c r="G2053" s="198"/>
      <c r="H2053" s="198"/>
      <c r="I2053" s="198"/>
      <c r="J2053" s="198"/>
      <c r="K2053" s="198"/>
      <c r="L2053" s="198"/>
      <c r="M2053" s="198"/>
      <c r="N2053" s="198"/>
      <c r="O2053" s="198"/>
      <c r="P2053" s="198"/>
      <c r="Q2053" s="198"/>
      <c r="R2053" s="198"/>
      <c r="S2053" s="198"/>
      <c r="T2053" s="198"/>
      <c r="U2053" s="198"/>
      <c r="V2053" s="198"/>
      <c r="W2053" s="198"/>
      <c r="X2053" s="198"/>
      <c r="Y2053" s="198"/>
      <c r="Z2053" s="198"/>
    </row>
    <row r="2054" spans="1:26" ht="15.75" hidden="1" customHeight="1" x14ac:dyDescent="0.25">
      <c r="A2054" s="213">
        <v>38446</v>
      </c>
      <c r="B2054" s="214" t="s">
        <v>10550</v>
      </c>
      <c r="C2054" s="215" t="s">
        <v>580</v>
      </c>
      <c r="D2054" s="216">
        <v>85.1</v>
      </c>
      <c r="E2054" s="198"/>
      <c r="F2054" s="198"/>
      <c r="G2054" s="198"/>
      <c r="H2054" s="198"/>
      <c r="I2054" s="198"/>
      <c r="J2054" s="198"/>
      <c r="K2054" s="198"/>
      <c r="L2054" s="198"/>
      <c r="M2054" s="198"/>
      <c r="N2054" s="198"/>
      <c r="O2054" s="198"/>
      <c r="P2054" s="198"/>
      <c r="Q2054" s="198"/>
      <c r="R2054" s="198"/>
      <c r="S2054" s="198"/>
      <c r="T2054" s="198"/>
      <c r="U2054" s="198"/>
      <c r="V2054" s="198"/>
      <c r="W2054" s="198"/>
      <c r="X2054" s="198"/>
      <c r="Y2054" s="198"/>
      <c r="Z2054" s="198"/>
    </row>
    <row r="2055" spans="1:26" ht="15.75" hidden="1" customHeight="1" x14ac:dyDescent="0.25">
      <c r="A2055" s="213">
        <v>20170</v>
      </c>
      <c r="B2055" s="214" t="s">
        <v>10551</v>
      </c>
      <c r="C2055" s="215" t="s">
        <v>580</v>
      </c>
      <c r="D2055" s="216">
        <v>13.09</v>
      </c>
      <c r="E2055" s="198"/>
      <c r="F2055" s="198"/>
      <c r="G2055" s="198"/>
      <c r="H2055" s="198"/>
      <c r="I2055" s="198"/>
      <c r="J2055" s="198"/>
      <c r="K2055" s="198"/>
      <c r="L2055" s="198"/>
      <c r="M2055" s="198"/>
      <c r="N2055" s="198"/>
      <c r="O2055" s="198"/>
      <c r="P2055" s="198"/>
      <c r="Q2055" s="198"/>
      <c r="R2055" s="198"/>
      <c r="S2055" s="198"/>
      <c r="T2055" s="198"/>
      <c r="U2055" s="198"/>
      <c r="V2055" s="198"/>
      <c r="W2055" s="198"/>
      <c r="X2055" s="198"/>
      <c r="Y2055" s="198"/>
      <c r="Z2055" s="198"/>
    </row>
    <row r="2056" spans="1:26" ht="15.75" hidden="1" customHeight="1" x14ac:dyDescent="0.25">
      <c r="A2056" s="213">
        <v>20171</v>
      </c>
      <c r="B2056" s="214" t="s">
        <v>10552</v>
      </c>
      <c r="C2056" s="215" t="s">
        <v>580</v>
      </c>
      <c r="D2056" s="216">
        <v>37.74</v>
      </c>
      <c r="E2056" s="198"/>
      <c r="F2056" s="198"/>
      <c r="G2056" s="198"/>
      <c r="H2056" s="198"/>
      <c r="I2056" s="198"/>
      <c r="J2056" s="198"/>
      <c r="K2056" s="198"/>
      <c r="L2056" s="198"/>
      <c r="M2056" s="198"/>
      <c r="N2056" s="198"/>
      <c r="O2056" s="198"/>
      <c r="P2056" s="198"/>
      <c r="Q2056" s="198"/>
      <c r="R2056" s="198"/>
      <c r="S2056" s="198"/>
      <c r="T2056" s="198"/>
      <c r="U2056" s="198"/>
      <c r="V2056" s="198"/>
      <c r="W2056" s="198"/>
      <c r="X2056" s="198"/>
      <c r="Y2056" s="198"/>
      <c r="Z2056" s="198"/>
    </row>
    <row r="2057" spans="1:26" ht="15.75" hidden="1" customHeight="1" x14ac:dyDescent="0.25">
      <c r="A2057" s="213">
        <v>20167</v>
      </c>
      <c r="B2057" s="214" t="s">
        <v>10553</v>
      </c>
      <c r="C2057" s="215" t="s">
        <v>580</v>
      </c>
      <c r="D2057" s="216">
        <v>4.75</v>
      </c>
      <c r="E2057" s="198"/>
      <c r="F2057" s="198"/>
      <c r="G2057" s="198"/>
      <c r="H2057" s="198"/>
      <c r="I2057" s="198"/>
      <c r="J2057" s="198"/>
      <c r="K2057" s="198"/>
      <c r="L2057" s="198"/>
      <c r="M2057" s="198"/>
      <c r="N2057" s="198"/>
      <c r="O2057" s="198"/>
      <c r="P2057" s="198"/>
      <c r="Q2057" s="198"/>
      <c r="R2057" s="198"/>
      <c r="S2057" s="198"/>
      <c r="T2057" s="198"/>
      <c r="U2057" s="198"/>
      <c r="V2057" s="198"/>
      <c r="W2057" s="198"/>
      <c r="X2057" s="198"/>
      <c r="Y2057" s="198"/>
      <c r="Z2057" s="198"/>
    </row>
    <row r="2058" spans="1:26" ht="15.75" hidden="1" customHeight="1" x14ac:dyDescent="0.25">
      <c r="A2058" s="213">
        <v>20168</v>
      </c>
      <c r="B2058" s="214" t="s">
        <v>10554</v>
      </c>
      <c r="C2058" s="215" t="s">
        <v>580</v>
      </c>
      <c r="D2058" s="216">
        <v>9.77</v>
      </c>
      <c r="E2058" s="198"/>
      <c r="F2058" s="198"/>
      <c r="G2058" s="198"/>
      <c r="H2058" s="198"/>
      <c r="I2058" s="198"/>
      <c r="J2058" s="198"/>
      <c r="K2058" s="198"/>
      <c r="L2058" s="198"/>
      <c r="M2058" s="198"/>
      <c r="N2058" s="198"/>
      <c r="O2058" s="198"/>
      <c r="P2058" s="198"/>
      <c r="Q2058" s="198"/>
      <c r="R2058" s="198"/>
      <c r="S2058" s="198"/>
      <c r="T2058" s="198"/>
      <c r="U2058" s="198"/>
      <c r="V2058" s="198"/>
      <c r="W2058" s="198"/>
      <c r="X2058" s="198"/>
      <c r="Y2058" s="198"/>
      <c r="Z2058" s="198"/>
    </row>
    <row r="2059" spans="1:26" ht="15.75" hidden="1" customHeight="1" x14ac:dyDescent="0.25">
      <c r="A2059" s="213">
        <v>20169</v>
      </c>
      <c r="B2059" s="214" t="s">
        <v>10555</v>
      </c>
      <c r="C2059" s="215" t="s">
        <v>580</v>
      </c>
      <c r="D2059" s="216">
        <v>11.4</v>
      </c>
      <c r="E2059" s="198"/>
      <c r="F2059" s="198"/>
      <c r="G2059" s="198"/>
      <c r="H2059" s="198"/>
      <c r="I2059" s="198"/>
      <c r="J2059" s="198"/>
      <c r="K2059" s="198"/>
      <c r="L2059" s="198"/>
      <c r="M2059" s="198"/>
      <c r="N2059" s="198"/>
      <c r="O2059" s="198"/>
      <c r="P2059" s="198"/>
      <c r="Q2059" s="198"/>
      <c r="R2059" s="198"/>
      <c r="S2059" s="198"/>
      <c r="T2059" s="198"/>
      <c r="U2059" s="198"/>
      <c r="V2059" s="198"/>
      <c r="W2059" s="198"/>
      <c r="X2059" s="198"/>
      <c r="Y2059" s="198"/>
      <c r="Z2059" s="198"/>
    </row>
    <row r="2060" spans="1:26" ht="15.75" hidden="1" customHeight="1" x14ac:dyDescent="0.25">
      <c r="A2060" s="213">
        <v>3899</v>
      </c>
      <c r="B2060" s="214" t="s">
        <v>10556</v>
      </c>
      <c r="C2060" s="215" t="s">
        <v>580</v>
      </c>
      <c r="D2060" s="216">
        <v>6.32</v>
      </c>
      <c r="E2060" s="198"/>
      <c r="F2060" s="198"/>
      <c r="G2060" s="198"/>
      <c r="H2060" s="198"/>
      <c r="I2060" s="198"/>
      <c r="J2060" s="198"/>
      <c r="K2060" s="198"/>
      <c r="L2060" s="198"/>
      <c r="M2060" s="198"/>
      <c r="N2060" s="198"/>
      <c r="O2060" s="198"/>
      <c r="P2060" s="198"/>
      <c r="Q2060" s="198"/>
      <c r="R2060" s="198"/>
      <c r="S2060" s="198"/>
      <c r="T2060" s="198"/>
      <c r="U2060" s="198"/>
      <c r="V2060" s="198"/>
      <c r="W2060" s="198"/>
      <c r="X2060" s="198"/>
      <c r="Y2060" s="198"/>
      <c r="Z2060" s="198"/>
    </row>
    <row r="2061" spans="1:26" ht="15.75" hidden="1" customHeight="1" x14ac:dyDescent="0.25">
      <c r="A2061" s="213">
        <v>38676</v>
      </c>
      <c r="B2061" s="214" t="s">
        <v>10557</v>
      </c>
      <c r="C2061" s="215" t="s">
        <v>580</v>
      </c>
      <c r="D2061" s="216">
        <v>31.62</v>
      </c>
      <c r="E2061" s="198"/>
      <c r="F2061" s="198"/>
      <c r="G2061" s="198"/>
      <c r="H2061" s="198"/>
      <c r="I2061" s="198"/>
      <c r="J2061" s="198"/>
      <c r="K2061" s="198"/>
      <c r="L2061" s="198"/>
      <c r="M2061" s="198"/>
      <c r="N2061" s="198"/>
      <c r="O2061" s="198"/>
      <c r="P2061" s="198"/>
      <c r="Q2061" s="198"/>
      <c r="R2061" s="198"/>
      <c r="S2061" s="198"/>
      <c r="T2061" s="198"/>
      <c r="U2061" s="198"/>
      <c r="V2061" s="198"/>
      <c r="W2061" s="198"/>
      <c r="X2061" s="198"/>
      <c r="Y2061" s="198"/>
      <c r="Z2061" s="198"/>
    </row>
    <row r="2062" spans="1:26" ht="15.75" hidden="1" customHeight="1" x14ac:dyDescent="0.25">
      <c r="A2062" s="213">
        <v>3897</v>
      </c>
      <c r="B2062" s="214" t="s">
        <v>10558</v>
      </c>
      <c r="C2062" s="215" t="s">
        <v>580</v>
      </c>
      <c r="D2062" s="216">
        <v>1.54</v>
      </c>
      <c r="E2062" s="198"/>
      <c r="F2062" s="198"/>
      <c r="G2062" s="198"/>
      <c r="H2062" s="198"/>
      <c r="I2062" s="198"/>
      <c r="J2062" s="198"/>
      <c r="K2062" s="198"/>
      <c r="L2062" s="198"/>
      <c r="M2062" s="198"/>
      <c r="N2062" s="198"/>
      <c r="O2062" s="198"/>
      <c r="P2062" s="198"/>
      <c r="Q2062" s="198"/>
      <c r="R2062" s="198"/>
      <c r="S2062" s="198"/>
      <c r="T2062" s="198"/>
      <c r="U2062" s="198"/>
      <c r="V2062" s="198"/>
      <c r="W2062" s="198"/>
      <c r="X2062" s="198"/>
      <c r="Y2062" s="198"/>
      <c r="Z2062" s="198"/>
    </row>
    <row r="2063" spans="1:26" ht="15.75" hidden="1" customHeight="1" x14ac:dyDescent="0.25">
      <c r="A2063" s="213">
        <v>3875</v>
      </c>
      <c r="B2063" s="214" t="s">
        <v>10559</v>
      </c>
      <c r="C2063" s="215" t="s">
        <v>580</v>
      </c>
      <c r="D2063" s="216">
        <v>3.19</v>
      </c>
      <c r="E2063" s="198"/>
      <c r="F2063" s="198"/>
      <c r="G2063" s="198"/>
      <c r="H2063" s="198"/>
      <c r="I2063" s="198"/>
      <c r="J2063" s="198"/>
      <c r="K2063" s="198"/>
      <c r="L2063" s="198"/>
      <c r="M2063" s="198"/>
      <c r="N2063" s="198"/>
      <c r="O2063" s="198"/>
      <c r="P2063" s="198"/>
      <c r="Q2063" s="198"/>
      <c r="R2063" s="198"/>
      <c r="S2063" s="198"/>
      <c r="T2063" s="198"/>
      <c r="U2063" s="198"/>
      <c r="V2063" s="198"/>
      <c r="W2063" s="198"/>
      <c r="X2063" s="198"/>
      <c r="Y2063" s="198"/>
      <c r="Z2063" s="198"/>
    </row>
    <row r="2064" spans="1:26" ht="15.75" hidden="1" customHeight="1" x14ac:dyDescent="0.25">
      <c r="A2064" s="213">
        <v>3898</v>
      </c>
      <c r="B2064" s="214" t="s">
        <v>10560</v>
      </c>
      <c r="C2064" s="215" t="s">
        <v>580</v>
      </c>
      <c r="D2064" s="216">
        <v>6.47</v>
      </c>
      <c r="E2064" s="198"/>
      <c r="F2064" s="198"/>
      <c r="G2064" s="198"/>
      <c r="H2064" s="198"/>
      <c r="I2064" s="198"/>
      <c r="J2064" s="198"/>
      <c r="K2064" s="198"/>
      <c r="L2064" s="198"/>
      <c r="M2064" s="198"/>
      <c r="N2064" s="198"/>
      <c r="O2064" s="198"/>
      <c r="P2064" s="198"/>
      <c r="Q2064" s="198"/>
      <c r="R2064" s="198"/>
      <c r="S2064" s="198"/>
      <c r="T2064" s="198"/>
      <c r="U2064" s="198"/>
      <c r="V2064" s="198"/>
      <c r="W2064" s="198"/>
      <c r="X2064" s="198"/>
      <c r="Y2064" s="198"/>
      <c r="Z2064" s="198"/>
    </row>
    <row r="2065" spans="1:26" ht="15.75" hidden="1" customHeight="1" x14ac:dyDescent="0.25">
      <c r="A2065" s="213">
        <v>3855</v>
      </c>
      <c r="B2065" s="214" t="s">
        <v>10561</v>
      </c>
      <c r="C2065" s="215" t="s">
        <v>580</v>
      </c>
      <c r="D2065" s="216">
        <v>4.3499999999999996</v>
      </c>
      <c r="E2065" s="198"/>
      <c r="F2065" s="198"/>
      <c r="G2065" s="198"/>
      <c r="H2065" s="198"/>
      <c r="I2065" s="198"/>
      <c r="J2065" s="198"/>
      <c r="K2065" s="198"/>
      <c r="L2065" s="198"/>
      <c r="M2065" s="198"/>
      <c r="N2065" s="198"/>
      <c r="O2065" s="198"/>
      <c r="P2065" s="198"/>
      <c r="Q2065" s="198"/>
      <c r="R2065" s="198"/>
      <c r="S2065" s="198"/>
      <c r="T2065" s="198"/>
      <c r="U2065" s="198"/>
      <c r="V2065" s="198"/>
      <c r="W2065" s="198"/>
      <c r="X2065" s="198"/>
      <c r="Y2065" s="198"/>
      <c r="Z2065" s="198"/>
    </row>
    <row r="2066" spans="1:26" ht="15.75" hidden="1" customHeight="1" x14ac:dyDescent="0.25">
      <c r="A2066" s="213">
        <v>3874</v>
      </c>
      <c r="B2066" s="214" t="s">
        <v>10562</v>
      </c>
      <c r="C2066" s="215" t="s">
        <v>580</v>
      </c>
      <c r="D2066" s="216">
        <v>5.04</v>
      </c>
      <c r="E2066" s="198"/>
      <c r="F2066" s="198"/>
      <c r="G2066" s="198"/>
      <c r="H2066" s="198"/>
      <c r="I2066" s="198"/>
      <c r="J2066" s="198"/>
      <c r="K2066" s="198"/>
      <c r="L2066" s="198"/>
      <c r="M2066" s="198"/>
      <c r="N2066" s="198"/>
      <c r="O2066" s="198"/>
      <c r="P2066" s="198"/>
      <c r="Q2066" s="198"/>
      <c r="R2066" s="198"/>
      <c r="S2066" s="198"/>
      <c r="T2066" s="198"/>
      <c r="U2066" s="198"/>
      <c r="V2066" s="198"/>
      <c r="W2066" s="198"/>
      <c r="X2066" s="198"/>
      <c r="Y2066" s="198"/>
      <c r="Z2066" s="198"/>
    </row>
    <row r="2067" spans="1:26" ht="15.75" hidden="1" customHeight="1" x14ac:dyDescent="0.25">
      <c r="A2067" s="213">
        <v>3870</v>
      </c>
      <c r="B2067" s="214" t="s">
        <v>10563</v>
      </c>
      <c r="C2067" s="215" t="s">
        <v>580</v>
      </c>
      <c r="D2067" s="216">
        <v>5.53</v>
      </c>
      <c r="E2067" s="198"/>
      <c r="F2067" s="198"/>
      <c r="G2067" s="198"/>
      <c r="H2067" s="198"/>
      <c r="I2067" s="198"/>
      <c r="J2067" s="198"/>
      <c r="K2067" s="198"/>
      <c r="L2067" s="198"/>
      <c r="M2067" s="198"/>
      <c r="N2067" s="198"/>
      <c r="O2067" s="198"/>
      <c r="P2067" s="198"/>
      <c r="Q2067" s="198"/>
      <c r="R2067" s="198"/>
      <c r="S2067" s="198"/>
      <c r="T2067" s="198"/>
      <c r="U2067" s="198"/>
      <c r="V2067" s="198"/>
      <c r="W2067" s="198"/>
      <c r="X2067" s="198"/>
      <c r="Y2067" s="198"/>
      <c r="Z2067" s="198"/>
    </row>
    <row r="2068" spans="1:26" ht="15.75" hidden="1" customHeight="1" x14ac:dyDescent="0.25">
      <c r="A2068" s="213">
        <v>38678</v>
      </c>
      <c r="B2068" s="214" t="s">
        <v>10564</v>
      </c>
      <c r="C2068" s="215" t="s">
        <v>580</v>
      </c>
      <c r="D2068" s="216">
        <v>14.64</v>
      </c>
      <c r="E2068" s="198"/>
      <c r="F2068" s="198"/>
      <c r="G2068" s="198"/>
      <c r="H2068" s="198"/>
      <c r="I2068" s="198"/>
      <c r="J2068" s="198"/>
      <c r="K2068" s="198"/>
      <c r="L2068" s="198"/>
      <c r="M2068" s="198"/>
      <c r="N2068" s="198"/>
      <c r="O2068" s="198"/>
      <c r="P2068" s="198"/>
      <c r="Q2068" s="198"/>
      <c r="R2068" s="198"/>
      <c r="S2068" s="198"/>
      <c r="T2068" s="198"/>
      <c r="U2068" s="198"/>
      <c r="V2068" s="198"/>
      <c r="W2068" s="198"/>
      <c r="X2068" s="198"/>
      <c r="Y2068" s="198"/>
      <c r="Z2068" s="198"/>
    </row>
    <row r="2069" spans="1:26" ht="15.75" hidden="1" customHeight="1" x14ac:dyDescent="0.25">
      <c r="A2069" s="213">
        <v>3859</v>
      </c>
      <c r="B2069" s="214" t="s">
        <v>10565</v>
      </c>
      <c r="C2069" s="215" t="s">
        <v>580</v>
      </c>
      <c r="D2069" s="216">
        <v>1.1100000000000001</v>
      </c>
      <c r="E2069" s="198"/>
      <c r="F2069" s="198"/>
      <c r="G2069" s="198"/>
      <c r="H2069" s="198"/>
      <c r="I2069" s="198"/>
      <c r="J2069" s="198"/>
      <c r="K2069" s="198"/>
      <c r="L2069" s="198"/>
      <c r="M2069" s="198"/>
      <c r="N2069" s="198"/>
      <c r="O2069" s="198"/>
      <c r="P2069" s="198"/>
      <c r="Q2069" s="198"/>
      <c r="R2069" s="198"/>
      <c r="S2069" s="198"/>
      <c r="T2069" s="198"/>
      <c r="U2069" s="198"/>
      <c r="V2069" s="198"/>
      <c r="W2069" s="198"/>
      <c r="X2069" s="198"/>
      <c r="Y2069" s="198"/>
      <c r="Z2069" s="198"/>
    </row>
    <row r="2070" spans="1:26" ht="15.75" hidden="1" customHeight="1" x14ac:dyDescent="0.25">
      <c r="A2070" s="213">
        <v>3856</v>
      </c>
      <c r="B2070" s="214" t="s">
        <v>10566</v>
      </c>
      <c r="C2070" s="215" t="s">
        <v>580</v>
      </c>
      <c r="D2070" s="216">
        <v>1.54</v>
      </c>
      <c r="E2070" s="198"/>
      <c r="F2070" s="198"/>
      <c r="G2070" s="198"/>
      <c r="H2070" s="198"/>
      <c r="I2070" s="198"/>
      <c r="J2070" s="198"/>
      <c r="K2070" s="198"/>
      <c r="L2070" s="198"/>
      <c r="M2070" s="198"/>
      <c r="N2070" s="198"/>
      <c r="O2070" s="198"/>
      <c r="P2070" s="198"/>
      <c r="Q2070" s="198"/>
      <c r="R2070" s="198"/>
      <c r="S2070" s="198"/>
      <c r="T2070" s="198"/>
      <c r="U2070" s="198"/>
      <c r="V2070" s="198"/>
      <c r="W2070" s="198"/>
      <c r="X2070" s="198"/>
      <c r="Y2070" s="198"/>
      <c r="Z2070" s="198"/>
    </row>
    <row r="2071" spans="1:26" ht="15.75" hidden="1" customHeight="1" x14ac:dyDescent="0.25">
      <c r="A2071" s="213">
        <v>3906</v>
      </c>
      <c r="B2071" s="214" t="s">
        <v>10567</v>
      </c>
      <c r="C2071" s="215" t="s">
        <v>580</v>
      </c>
      <c r="D2071" s="216">
        <v>1.28</v>
      </c>
      <c r="E2071" s="198"/>
      <c r="F2071" s="198"/>
      <c r="G2071" s="198"/>
      <c r="H2071" s="198"/>
      <c r="I2071" s="198"/>
      <c r="J2071" s="198"/>
      <c r="K2071" s="198"/>
      <c r="L2071" s="198"/>
      <c r="M2071" s="198"/>
      <c r="N2071" s="198"/>
      <c r="O2071" s="198"/>
      <c r="P2071" s="198"/>
      <c r="Q2071" s="198"/>
      <c r="R2071" s="198"/>
      <c r="S2071" s="198"/>
      <c r="T2071" s="198"/>
      <c r="U2071" s="198"/>
      <c r="V2071" s="198"/>
      <c r="W2071" s="198"/>
      <c r="X2071" s="198"/>
      <c r="Y2071" s="198"/>
      <c r="Z2071" s="198"/>
    </row>
    <row r="2072" spans="1:26" ht="15.75" hidden="1" customHeight="1" x14ac:dyDescent="0.25">
      <c r="A2072" s="213">
        <v>3860</v>
      </c>
      <c r="B2072" s="214" t="s">
        <v>10568</v>
      </c>
      <c r="C2072" s="215" t="s">
        <v>580</v>
      </c>
      <c r="D2072" s="216">
        <v>3.79</v>
      </c>
      <c r="E2072" s="198"/>
      <c r="F2072" s="198"/>
      <c r="G2072" s="198"/>
      <c r="H2072" s="198"/>
      <c r="I2072" s="198"/>
      <c r="J2072" s="198"/>
      <c r="K2072" s="198"/>
      <c r="L2072" s="198"/>
      <c r="M2072" s="198"/>
      <c r="N2072" s="198"/>
      <c r="O2072" s="198"/>
      <c r="P2072" s="198"/>
      <c r="Q2072" s="198"/>
      <c r="R2072" s="198"/>
      <c r="S2072" s="198"/>
      <c r="T2072" s="198"/>
      <c r="U2072" s="198"/>
      <c r="V2072" s="198"/>
      <c r="W2072" s="198"/>
      <c r="X2072" s="198"/>
      <c r="Y2072" s="198"/>
      <c r="Z2072" s="198"/>
    </row>
    <row r="2073" spans="1:26" ht="15.75" hidden="1" customHeight="1" x14ac:dyDescent="0.25">
      <c r="A2073" s="213">
        <v>3905</v>
      </c>
      <c r="B2073" s="214" t="s">
        <v>10569</v>
      </c>
      <c r="C2073" s="215" t="s">
        <v>580</v>
      </c>
      <c r="D2073" s="216">
        <v>8.6999999999999993</v>
      </c>
      <c r="E2073" s="198"/>
      <c r="F2073" s="198"/>
      <c r="G2073" s="198"/>
      <c r="H2073" s="198"/>
      <c r="I2073" s="198"/>
      <c r="J2073" s="198"/>
      <c r="K2073" s="198"/>
      <c r="L2073" s="198"/>
      <c r="M2073" s="198"/>
      <c r="N2073" s="198"/>
      <c r="O2073" s="198"/>
      <c r="P2073" s="198"/>
      <c r="Q2073" s="198"/>
      <c r="R2073" s="198"/>
      <c r="S2073" s="198"/>
      <c r="T2073" s="198"/>
      <c r="U2073" s="198"/>
      <c r="V2073" s="198"/>
      <c r="W2073" s="198"/>
      <c r="X2073" s="198"/>
      <c r="Y2073" s="198"/>
      <c r="Z2073" s="198"/>
    </row>
    <row r="2074" spans="1:26" ht="15.75" hidden="1" customHeight="1" x14ac:dyDescent="0.25">
      <c r="A2074" s="213">
        <v>3871</v>
      </c>
      <c r="B2074" s="214" t="s">
        <v>10570</v>
      </c>
      <c r="C2074" s="215" t="s">
        <v>580</v>
      </c>
      <c r="D2074" s="216">
        <v>15.4</v>
      </c>
      <c r="E2074" s="198"/>
      <c r="F2074" s="198"/>
      <c r="G2074" s="198"/>
      <c r="H2074" s="198"/>
      <c r="I2074" s="198"/>
      <c r="J2074" s="198"/>
      <c r="K2074" s="198"/>
      <c r="L2074" s="198"/>
      <c r="M2074" s="198"/>
      <c r="N2074" s="198"/>
      <c r="O2074" s="198"/>
      <c r="P2074" s="198"/>
      <c r="Q2074" s="198"/>
      <c r="R2074" s="198"/>
      <c r="S2074" s="198"/>
      <c r="T2074" s="198"/>
      <c r="U2074" s="198"/>
      <c r="V2074" s="198"/>
      <c r="W2074" s="198"/>
      <c r="X2074" s="198"/>
      <c r="Y2074" s="198"/>
      <c r="Z2074" s="198"/>
    </row>
    <row r="2075" spans="1:26" ht="15.75" hidden="1" customHeight="1" x14ac:dyDescent="0.25">
      <c r="A2075" s="213">
        <v>11519</v>
      </c>
      <c r="B2075" s="214" t="s">
        <v>10571</v>
      </c>
      <c r="C2075" s="215" t="s">
        <v>8838</v>
      </c>
      <c r="D2075" s="216">
        <v>51.07</v>
      </c>
      <c r="E2075" s="198"/>
      <c r="F2075" s="198"/>
      <c r="G2075" s="198"/>
      <c r="H2075" s="198"/>
      <c r="I2075" s="198"/>
      <c r="J2075" s="198"/>
      <c r="K2075" s="198"/>
      <c r="L2075" s="198"/>
      <c r="M2075" s="198"/>
      <c r="N2075" s="198"/>
      <c r="O2075" s="198"/>
      <c r="P2075" s="198"/>
      <c r="Q2075" s="198"/>
      <c r="R2075" s="198"/>
      <c r="S2075" s="198"/>
      <c r="T2075" s="198"/>
      <c r="U2075" s="198"/>
      <c r="V2075" s="198"/>
      <c r="W2075" s="198"/>
      <c r="X2075" s="198"/>
      <c r="Y2075" s="198"/>
      <c r="Z2075" s="198"/>
    </row>
    <row r="2076" spans="1:26" ht="15.75" hidden="1" customHeight="1" x14ac:dyDescent="0.25">
      <c r="A2076" s="213">
        <v>11520</v>
      </c>
      <c r="B2076" s="214" t="s">
        <v>10572</v>
      </c>
      <c r="C2076" s="215" t="s">
        <v>8838</v>
      </c>
      <c r="D2076" s="216">
        <v>23.61</v>
      </c>
      <c r="E2076" s="198"/>
      <c r="F2076" s="198"/>
      <c r="G2076" s="198"/>
      <c r="H2076" s="198"/>
      <c r="I2076" s="198"/>
      <c r="J2076" s="198"/>
      <c r="K2076" s="198"/>
      <c r="L2076" s="198"/>
      <c r="M2076" s="198"/>
      <c r="N2076" s="198"/>
      <c r="O2076" s="198"/>
      <c r="P2076" s="198"/>
      <c r="Q2076" s="198"/>
      <c r="R2076" s="198"/>
      <c r="S2076" s="198"/>
      <c r="T2076" s="198"/>
      <c r="U2076" s="198"/>
      <c r="V2076" s="198"/>
      <c r="W2076" s="198"/>
      <c r="X2076" s="198"/>
      <c r="Y2076" s="198"/>
      <c r="Z2076" s="198"/>
    </row>
    <row r="2077" spans="1:26" ht="15.75" hidden="1" customHeight="1" x14ac:dyDescent="0.25">
      <c r="A2077" s="213">
        <v>11518</v>
      </c>
      <c r="B2077" s="214" t="s">
        <v>10573</v>
      </c>
      <c r="C2077" s="215" t="s">
        <v>8838</v>
      </c>
      <c r="D2077" s="216">
        <v>85.85</v>
      </c>
      <c r="E2077" s="198"/>
      <c r="F2077" s="198"/>
      <c r="G2077" s="198"/>
      <c r="H2077" s="198"/>
      <c r="I2077" s="198"/>
      <c r="J2077" s="198"/>
      <c r="K2077" s="198"/>
      <c r="L2077" s="198"/>
      <c r="M2077" s="198"/>
      <c r="N2077" s="198"/>
      <c r="O2077" s="198"/>
      <c r="P2077" s="198"/>
      <c r="Q2077" s="198"/>
      <c r="R2077" s="198"/>
      <c r="S2077" s="198"/>
      <c r="T2077" s="198"/>
      <c r="U2077" s="198"/>
      <c r="V2077" s="198"/>
      <c r="W2077" s="198"/>
      <c r="X2077" s="198"/>
      <c r="Y2077" s="198"/>
      <c r="Z2077" s="198"/>
    </row>
    <row r="2078" spans="1:26" ht="15.75" hidden="1" customHeight="1" x14ac:dyDescent="0.25">
      <c r="A2078" s="213">
        <v>38473</v>
      </c>
      <c r="B2078" s="214" t="s">
        <v>10574</v>
      </c>
      <c r="C2078" s="215" t="s">
        <v>580</v>
      </c>
      <c r="D2078" s="216">
        <v>125.23</v>
      </c>
      <c r="E2078" s="198"/>
      <c r="F2078" s="198"/>
      <c r="G2078" s="198"/>
      <c r="H2078" s="198"/>
      <c r="I2078" s="198"/>
      <c r="J2078" s="198"/>
      <c r="K2078" s="198"/>
      <c r="L2078" s="198"/>
      <c r="M2078" s="198"/>
      <c r="N2078" s="198"/>
      <c r="O2078" s="198"/>
      <c r="P2078" s="198"/>
      <c r="Q2078" s="198"/>
      <c r="R2078" s="198"/>
      <c r="S2078" s="198"/>
      <c r="T2078" s="198"/>
      <c r="U2078" s="198"/>
      <c r="V2078" s="198"/>
      <c r="W2078" s="198"/>
      <c r="X2078" s="198"/>
      <c r="Y2078" s="198"/>
      <c r="Z2078" s="198"/>
    </row>
    <row r="2079" spans="1:26" ht="15.75" hidden="1" customHeight="1" x14ac:dyDescent="0.25">
      <c r="A2079" s="213">
        <v>4244</v>
      </c>
      <c r="B2079" s="214" t="s">
        <v>10575</v>
      </c>
      <c r="C2079" s="215" t="s">
        <v>2193</v>
      </c>
      <c r="D2079" s="216">
        <v>26.76</v>
      </c>
      <c r="E2079" s="198"/>
      <c r="F2079" s="198"/>
      <c r="G2079" s="198"/>
      <c r="H2079" s="198"/>
      <c r="I2079" s="198"/>
      <c r="J2079" s="198"/>
      <c r="K2079" s="198"/>
      <c r="L2079" s="198"/>
      <c r="M2079" s="198"/>
      <c r="N2079" s="198"/>
      <c r="O2079" s="198"/>
      <c r="P2079" s="198"/>
      <c r="Q2079" s="198"/>
      <c r="R2079" s="198"/>
      <c r="S2079" s="198"/>
      <c r="T2079" s="198"/>
      <c r="U2079" s="198"/>
      <c r="V2079" s="198"/>
      <c r="W2079" s="198"/>
      <c r="X2079" s="198"/>
      <c r="Y2079" s="198"/>
      <c r="Z2079" s="198"/>
    </row>
    <row r="2080" spans="1:26" ht="15.75" hidden="1" customHeight="1" x14ac:dyDescent="0.25">
      <c r="A2080" s="213">
        <v>40977</v>
      </c>
      <c r="B2080" s="214" t="s">
        <v>10576</v>
      </c>
      <c r="C2080" s="215" t="s">
        <v>6214</v>
      </c>
      <c r="D2080" s="216">
        <v>4694.67</v>
      </c>
      <c r="E2080" s="198"/>
      <c r="F2080" s="198"/>
      <c r="G2080" s="198"/>
      <c r="H2080" s="198"/>
      <c r="I2080" s="198"/>
      <c r="J2080" s="198"/>
      <c r="K2080" s="198"/>
      <c r="L2080" s="198"/>
      <c r="M2080" s="198"/>
      <c r="N2080" s="198"/>
      <c r="O2080" s="198"/>
      <c r="P2080" s="198"/>
      <c r="Q2080" s="198"/>
      <c r="R2080" s="198"/>
      <c r="S2080" s="198"/>
      <c r="T2080" s="198"/>
      <c r="U2080" s="198"/>
      <c r="V2080" s="198"/>
      <c r="W2080" s="198"/>
      <c r="X2080" s="198"/>
      <c r="Y2080" s="198"/>
      <c r="Z2080" s="198"/>
    </row>
    <row r="2081" spans="1:26" ht="15.75" hidden="1" customHeight="1" x14ac:dyDescent="0.25">
      <c r="A2081" s="213">
        <v>4115</v>
      </c>
      <c r="B2081" s="214" t="s">
        <v>10577</v>
      </c>
      <c r="C2081" s="215" t="s">
        <v>585</v>
      </c>
      <c r="D2081" s="216">
        <v>36.630000000000003</v>
      </c>
      <c r="E2081" s="198"/>
      <c r="F2081" s="198"/>
      <c r="G2081" s="198"/>
      <c r="H2081" s="198"/>
      <c r="I2081" s="198"/>
      <c r="J2081" s="198"/>
      <c r="K2081" s="198"/>
      <c r="L2081" s="198"/>
      <c r="M2081" s="198"/>
      <c r="N2081" s="198"/>
      <c r="O2081" s="198"/>
      <c r="P2081" s="198"/>
      <c r="Q2081" s="198"/>
      <c r="R2081" s="198"/>
      <c r="S2081" s="198"/>
      <c r="T2081" s="198"/>
      <c r="U2081" s="198"/>
      <c r="V2081" s="198"/>
      <c r="W2081" s="198"/>
      <c r="X2081" s="198"/>
      <c r="Y2081" s="198"/>
      <c r="Z2081" s="198"/>
    </row>
    <row r="2082" spans="1:26" ht="15.75" hidden="1" customHeight="1" x14ac:dyDescent="0.25">
      <c r="A2082" s="213">
        <v>4119</v>
      </c>
      <c r="B2082" s="214" t="s">
        <v>10578</v>
      </c>
      <c r="C2082" s="215" t="s">
        <v>585</v>
      </c>
      <c r="D2082" s="216">
        <v>73.97</v>
      </c>
      <c r="E2082" s="198"/>
      <c r="F2082" s="198"/>
      <c r="G2082" s="198"/>
      <c r="H2082" s="198"/>
      <c r="I2082" s="198"/>
      <c r="J2082" s="198"/>
      <c r="K2082" s="198"/>
      <c r="L2082" s="198"/>
      <c r="M2082" s="198"/>
      <c r="N2082" s="198"/>
      <c r="O2082" s="198"/>
      <c r="P2082" s="198"/>
      <c r="Q2082" s="198"/>
      <c r="R2082" s="198"/>
      <c r="S2082" s="198"/>
      <c r="T2082" s="198"/>
      <c r="U2082" s="198"/>
      <c r="V2082" s="198"/>
      <c r="W2082" s="198"/>
      <c r="X2082" s="198"/>
      <c r="Y2082" s="198"/>
      <c r="Z2082" s="198"/>
    </row>
    <row r="2083" spans="1:26" ht="15.75" hidden="1" customHeight="1" x14ac:dyDescent="0.25">
      <c r="A2083" s="213">
        <v>2794</v>
      </c>
      <c r="B2083" s="214" t="s">
        <v>10579</v>
      </c>
      <c r="C2083" s="215" t="s">
        <v>585</v>
      </c>
      <c r="D2083" s="216">
        <v>196.24</v>
      </c>
      <c r="E2083" s="198"/>
      <c r="F2083" s="198"/>
      <c r="G2083" s="198"/>
      <c r="H2083" s="198"/>
      <c r="I2083" s="198"/>
      <c r="J2083" s="198"/>
      <c r="K2083" s="198"/>
      <c r="L2083" s="198"/>
      <c r="M2083" s="198"/>
      <c r="N2083" s="198"/>
      <c r="O2083" s="198"/>
      <c r="P2083" s="198"/>
      <c r="Q2083" s="198"/>
      <c r="R2083" s="198"/>
      <c r="S2083" s="198"/>
      <c r="T2083" s="198"/>
      <c r="U2083" s="198"/>
      <c r="V2083" s="198"/>
      <c r="W2083" s="198"/>
      <c r="X2083" s="198"/>
      <c r="Y2083" s="198"/>
      <c r="Z2083" s="198"/>
    </row>
    <row r="2084" spans="1:26" ht="15.75" hidden="1" customHeight="1" x14ac:dyDescent="0.25">
      <c r="A2084" s="213">
        <v>2788</v>
      </c>
      <c r="B2084" s="214" t="s">
        <v>10580</v>
      </c>
      <c r="C2084" s="215" t="s">
        <v>585</v>
      </c>
      <c r="D2084" s="216">
        <v>285.88</v>
      </c>
      <c r="E2084" s="198"/>
      <c r="F2084" s="198"/>
      <c r="G2084" s="198"/>
      <c r="H2084" s="198"/>
      <c r="I2084" s="198"/>
      <c r="J2084" s="198"/>
      <c r="K2084" s="198"/>
      <c r="L2084" s="198"/>
      <c r="M2084" s="198"/>
      <c r="N2084" s="198"/>
      <c r="O2084" s="198"/>
      <c r="P2084" s="198"/>
      <c r="Q2084" s="198"/>
      <c r="R2084" s="198"/>
      <c r="S2084" s="198"/>
      <c r="T2084" s="198"/>
      <c r="U2084" s="198"/>
      <c r="V2084" s="198"/>
      <c r="W2084" s="198"/>
      <c r="X2084" s="198"/>
      <c r="Y2084" s="198"/>
      <c r="Z2084" s="198"/>
    </row>
    <row r="2085" spans="1:26" ht="15.75" hidden="1" customHeight="1" x14ac:dyDescent="0.25">
      <c r="A2085" s="213">
        <v>4006</v>
      </c>
      <c r="B2085" s="214" t="s">
        <v>10581</v>
      </c>
      <c r="C2085" s="215" t="s">
        <v>664</v>
      </c>
      <c r="D2085" s="216">
        <v>1574.6</v>
      </c>
      <c r="E2085" s="198"/>
      <c r="F2085" s="198"/>
      <c r="G2085" s="198"/>
      <c r="H2085" s="198"/>
      <c r="I2085" s="198"/>
      <c r="J2085" s="198"/>
      <c r="K2085" s="198"/>
      <c r="L2085" s="198"/>
      <c r="M2085" s="198"/>
      <c r="N2085" s="198"/>
      <c r="O2085" s="198"/>
      <c r="P2085" s="198"/>
      <c r="Q2085" s="198"/>
      <c r="R2085" s="198"/>
      <c r="S2085" s="198"/>
      <c r="T2085" s="198"/>
      <c r="U2085" s="198"/>
      <c r="V2085" s="198"/>
      <c r="W2085" s="198"/>
      <c r="X2085" s="198"/>
      <c r="Y2085" s="198"/>
      <c r="Z2085" s="198"/>
    </row>
    <row r="2086" spans="1:26" ht="15.75" hidden="1" customHeight="1" x14ac:dyDescent="0.25">
      <c r="A2086" s="213">
        <v>36151</v>
      </c>
      <c r="B2086" s="214" t="s">
        <v>10582</v>
      </c>
      <c r="C2086" s="215" t="s">
        <v>580</v>
      </c>
      <c r="D2086" s="216">
        <v>31.8</v>
      </c>
      <c r="E2086" s="198"/>
      <c r="F2086" s="198"/>
      <c r="G2086" s="198"/>
      <c r="H2086" s="198"/>
      <c r="I2086" s="198"/>
      <c r="J2086" s="198"/>
      <c r="K2086" s="198"/>
      <c r="L2086" s="198"/>
      <c r="M2086" s="198"/>
      <c r="N2086" s="198"/>
      <c r="O2086" s="198"/>
      <c r="P2086" s="198"/>
      <c r="Q2086" s="198"/>
      <c r="R2086" s="198"/>
      <c r="S2086" s="198"/>
      <c r="T2086" s="198"/>
      <c r="U2086" s="198"/>
      <c r="V2086" s="198"/>
      <c r="W2086" s="198"/>
      <c r="X2086" s="198"/>
      <c r="Y2086" s="198"/>
      <c r="Z2086" s="198"/>
    </row>
    <row r="2087" spans="1:26" ht="15.75" hidden="1" customHeight="1" x14ac:dyDescent="0.25">
      <c r="A2087" s="213">
        <v>37461</v>
      </c>
      <c r="B2087" s="214" t="s">
        <v>10583</v>
      </c>
      <c r="C2087" s="215" t="s">
        <v>585</v>
      </c>
      <c r="D2087" s="216">
        <v>22.18</v>
      </c>
      <c r="E2087" s="198"/>
      <c r="F2087" s="198"/>
      <c r="G2087" s="198"/>
      <c r="H2087" s="198"/>
      <c r="I2087" s="198"/>
      <c r="J2087" s="198"/>
      <c r="K2087" s="198"/>
      <c r="L2087" s="198"/>
      <c r="M2087" s="198"/>
      <c r="N2087" s="198"/>
      <c r="O2087" s="198"/>
      <c r="P2087" s="198"/>
      <c r="Q2087" s="198"/>
      <c r="R2087" s="198"/>
      <c r="S2087" s="198"/>
      <c r="T2087" s="198"/>
      <c r="U2087" s="198"/>
      <c r="V2087" s="198"/>
      <c r="W2087" s="198"/>
      <c r="X2087" s="198"/>
      <c r="Y2087" s="198"/>
      <c r="Z2087" s="198"/>
    </row>
    <row r="2088" spans="1:26" ht="15.75" hidden="1" customHeight="1" x14ac:dyDescent="0.25">
      <c r="A2088" s="213">
        <v>37460</v>
      </c>
      <c r="B2088" s="214" t="s">
        <v>10584</v>
      </c>
      <c r="C2088" s="215" t="s">
        <v>585</v>
      </c>
      <c r="D2088" s="216">
        <v>30.3</v>
      </c>
      <c r="E2088" s="198"/>
      <c r="F2088" s="198"/>
      <c r="G2088" s="198"/>
      <c r="H2088" s="198"/>
      <c r="I2088" s="198"/>
      <c r="J2088" s="198"/>
      <c r="K2088" s="198"/>
      <c r="L2088" s="198"/>
      <c r="M2088" s="198"/>
      <c r="N2088" s="198"/>
      <c r="O2088" s="198"/>
      <c r="P2088" s="198"/>
      <c r="Q2088" s="198"/>
      <c r="R2088" s="198"/>
      <c r="S2088" s="198"/>
      <c r="T2088" s="198"/>
      <c r="U2088" s="198"/>
      <c r="V2088" s="198"/>
      <c r="W2088" s="198"/>
      <c r="X2088" s="198"/>
      <c r="Y2088" s="198"/>
      <c r="Z2088" s="198"/>
    </row>
    <row r="2089" spans="1:26" ht="15.75" hidden="1" customHeight="1" x14ac:dyDescent="0.25">
      <c r="A2089" s="213">
        <v>37458</v>
      </c>
      <c r="B2089" s="214" t="s">
        <v>10585</v>
      </c>
      <c r="C2089" s="215" t="s">
        <v>585</v>
      </c>
      <c r="D2089" s="216">
        <v>8.8800000000000008</v>
      </c>
      <c r="E2089" s="198"/>
      <c r="F2089" s="198"/>
      <c r="G2089" s="198"/>
      <c r="H2089" s="198"/>
      <c r="I2089" s="198"/>
      <c r="J2089" s="198"/>
      <c r="K2089" s="198"/>
      <c r="L2089" s="198"/>
      <c r="M2089" s="198"/>
      <c r="N2089" s="198"/>
      <c r="O2089" s="198"/>
      <c r="P2089" s="198"/>
      <c r="Q2089" s="198"/>
      <c r="R2089" s="198"/>
      <c r="S2089" s="198"/>
      <c r="T2089" s="198"/>
      <c r="U2089" s="198"/>
      <c r="V2089" s="198"/>
      <c r="W2089" s="198"/>
      <c r="X2089" s="198"/>
      <c r="Y2089" s="198"/>
      <c r="Z2089" s="198"/>
    </row>
    <row r="2090" spans="1:26" ht="15.75" hidden="1" customHeight="1" x14ac:dyDescent="0.25">
      <c r="A2090" s="213">
        <v>37454</v>
      </c>
      <c r="B2090" s="214" t="s">
        <v>10586</v>
      </c>
      <c r="C2090" s="215" t="s">
        <v>585</v>
      </c>
      <c r="D2090" s="216">
        <v>2.33</v>
      </c>
      <c r="E2090" s="198"/>
      <c r="F2090" s="198"/>
      <c r="G2090" s="198"/>
      <c r="H2090" s="198"/>
      <c r="I2090" s="198"/>
      <c r="J2090" s="198"/>
      <c r="K2090" s="198"/>
      <c r="L2090" s="198"/>
      <c r="M2090" s="198"/>
      <c r="N2090" s="198"/>
      <c r="O2090" s="198"/>
      <c r="P2090" s="198"/>
      <c r="Q2090" s="198"/>
      <c r="R2090" s="198"/>
      <c r="S2090" s="198"/>
      <c r="T2090" s="198"/>
      <c r="U2090" s="198"/>
      <c r="V2090" s="198"/>
      <c r="W2090" s="198"/>
      <c r="X2090" s="198"/>
      <c r="Y2090" s="198"/>
      <c r="Z2090" s="198"/>
    </row>
    <row r="2091" spans="1:26" ht="15.75" hidden="1" customHeight="1" x14ac:dyDescent="0.25">
      <c r="A2091" s="213">
        <v>37455</v>
      </c>
      <c r="B2091" s="214" t="s">
        <v>10587</v>
      </c>
      <c r="C2091" s="215" t="s">
        <v>585</v>
      </c>
      <c r="D2091" s="216">
        <v>3.92</v>
      </c>
      <c r="E2091" s="198"/>
      <c r="F2091" s="198"/>
      <c r="G2091" s="198"/>
      <c r="H2091" s="198"/>
      <c r="I2091" s="198"/>
      <c r="J2091" s="198"/>
      <c r="K2091" s="198"/>
      <c r="L2091" s="198"/>
      <c r="M2091" s="198"/>
      <c r="N2091" s="198"/>
      <c r="O2091" s="198"/>
      <c r="P2091" s="198"/>
      <c r="Q2091" s="198"/>
      <c r="R2091" s="198"/>
      <c r="S2091" s="198"/>
      <c r="T2091" s="198"/>
      <c r="U2091" s="198"/>
      <c r="V2091" s="198"/>
      <c r="W2091" s="198"/>
      <c r="X2091" s="198"/>
      <c r="Y2091" s="198"/>
      <c r="Z2091" s="198"/>
    </row>
    <row r="2092" spans="1:26" ht="15.75" hidden="1" customHeight="1" x14ac:dyDescent="0.25">
      <c r="A2092" s="213">
        <v>37459</v>
      </c>
      <c r="B2092" s="214" t="s">
        <v>10588</v>
      </c>
      <c r="C2092" s="215" t="s">
        <v>585</v>
      </c>
      <c r="D2092" s="216">
        <v>12.47</v>
      </c>
      <c r="E2092" s="198"/>
      <c r="F2092" s="198"/>
      <c r="G2092" s="198"/>
      <c r="H2092" s="198"/>
      <c r="I2092" s="198"/>
      <c r="J2092" s="198"/>
      <c r="K2092" s="198"/>
      <c r="L2092" s="198"/>
      <c r="M2092" s="198"/>
      <c r="N2092" s="198"/>
      <c r="O2092" s="198"/>
      <c r="P2092" s="198"/>
      <c r="Q2092" s="198"/>
      <c r="R2092" s="198"/>
      <c r="S2092" s="198"/>
      <c r="T2092" s="198"/>
      <c r="U2092" s="198"/>
      <c r="V2092" s="198"/>
      <c r="W2092" s="198"/>
      <c r="X2092" s="198"/>
      <c r="Y2092" s="198"/>
      <c r="Z2092" s="198"/>
    </row>
    <row r="2093" spans="1:26" ht="15.75" hidden="1" customHeight="1" x14ac:dyDescent="0.25">
      <c r="A2093" s="213">
        <v>37457</v>
      </c>
      <c r="B2093" s="214" t="s">
        <v>10589</v>
      </c>
      <c r="C2093" s="215" t="s">
        <v>585</v>
      </c>
      <c r="D2093" s="216">
        <v>5.98</v>
      </c>
      <c r="E2093" s="198"/>
      <c r="F2093" s="198"/>
      <c r="G2093" s="198"/>
      <c r="H2093" s="198"/>
      <c r="I2093" s="198"/>
      <c r="J2093" s="198"/>
      <c r="K2093" s="198"/>
      <c r="L2093" s="198"/>
      <c r="M2093" s="198"/>
      <c r="N2093" s="198"/>
      <c r="O2093" s="198"/>
      <c r="P2093" s="198"/>
      <c r="Q2093" s="198"/>
      <c r="R2093" s="198"/>
      <c r="S2093" s="198"/>
      <c r="T2093" s="198"/>
      <c r="U2093" s="198"/>
      <c r="V2093" s="198"/>
      <c r="W2093" s="198"/>
      <c r="X2093" s="198"/>
      <c r="Y2093" s="198"/>
      <c r="Z2093" s="198"/>
    </row>
    <row r="2094" spans="1:26" ht="15.75" hidden="1" customHeight="1" x14ac:dyDescent="0.25">
      <c r="A2094" s="213">
        <v>37456</v>
      </c>
      <c r="B2094" s="214" t="s">
        <v>10590</v>
      </c>
      <c r="C2094" s="215" t="s">
        <v>585</v>
      </c>
      <c r="D2094" s="216">
        <v>3.15</v>
      </c>
      <c r="E2094" s="198"/>
      <c r="F2094" s="198"/>
      <c r="G2094" s="198"/>
      <c r="H2094" s="198"/>
      <c r="I2094" s="198"/>
      <c r="J2094" s="198"/>
      <c r="K2094" s="198"/>
      <c r="L2094" s="198"/>
      <c r="M2094" s="198"/>
      <c r="N2094" s="198"/>
      <c r="O2094" s="198"/>
      <c r="P2094" s="198"/>
      <c r="Q2094" s="198"/>
      <c r="R2094" s="198"/>
      <c r="S2094" s="198"/>
      <c r="T2094" s="198"/>
      <c r="U2094" s="198"/>
      <c r="V2094" s="198"/>
      <c r="W2094" s="198"/>
      <c r="X2094" s="198"/>
      <c r="Y2094" s="198"/>
      <c r="Z2094" s="198"/>
    </row>
    <row r="2095" spans="1:26" ht="15.75" hidden="1" customHeight="1" x14ac:dyDescent="0.25">
      <c r="A2095" s="213">
        <v>21029</v>
      </c>
      <c r="B2095" s="214" t="s">
        <v>10591</v>
      </c>
      <c r="C2095" s="215" t="s">
        <v>580</v>
      </c>
      <c r="D2095" s="216">
        <v>319</v>
      </c>
      <c r="E2095" s="198"/>
      <c r="F2095" s="198"/>
      <c r="G2095" s="198"/>
      <c r="H2095" s="198"/>
      <c r="I2095" s="198"/>
      <c r="J2095" s="198"/>
      <c r="K2095" s="198"/>
      <c r="L2095" s="198"/>
      <c r="M2095" s="198"/>
      <c r="N2095" s="198"/>
      <c r="O2095" s="198"/>
      <c r="P2095" s="198"/>
      <c r="Q2095" s="198"/>
      <c r="R2095" s="198"/>
      <c r="S2095" s="198"/>
      <c r="T2095" s="198"/>
      <c r="U2095" s="198"/>
      <c r="V2095" s="198"/>
      <c r="W2095" s="198"/>
      <c r="X2095" s="198"/>
      <c r="Y2095" s="198"/>
      <c r="Z2095" s="198"/>
    </row>
    <row r="2096" spans="1:26" ht="15.75" hidden="1" customHeight="1" x14ac:dyDescent="0.25">
      <c r="A2096" s="213">
        <v>21030</v>
      </c>
      <c r="B2096" s="214" t="s">
        <v>10592</v>
      </c>
      <c r="C2096" s="215" t="s">
        <v>580</v>
      </c>
      <c r="D2096" s="216">
        <v>393.22</v>
      </c>
      <c r="E2096" s="198"/>
      <c r="F2096" s="198"/>
      <c r="G2096" s="198"/>
      <c r="H2096" s="198"/>
      <c r="I2096" s="198"/>
      <c r="J2096" s="198"/>
      <c r="K2096" s="198"/>
      <c r="L2096" s="198"/>
      <c r="M2096" s="198"/>
      <c r="N2096" s="198"/>
      <c r="O2096" s="198"/>
      <c r="P2096" s="198"/>
      <c r="Q2096" s="198"/>
      <c r="R2096" s="198"/>
      <c r="S2096" s="198"/>
      <c r="T2096" s="198"/>
      <c r="U2096" s="198"/>
      <c r="V2096" s="198"/>
      <c r="W2096" s="198"/>
      <c r="X2096" s="198"/>
      <c r="Y2096" s="198"/>
      <c r="Z2096" s="198"/>
    </row>
    <row r="2097" spans="1:26" ht="15.75" hidden="1" customHeight="1" x14ac:dyDescent="0.25">
      <c r="A2097" s="213">
        <v>21031</v>
      </c>
      <c r="B2097" s="214" t="s">
        <v>10593</v>
      </c>
      <c r="C2097" s="215" t="s">
        <v>580</v>
      </c>
      <c r="D2097" s="216">
        <v>489.55</v>
      </c>
      <c r="E2097" s="198"/>
      <c r="F2097" s="198"/>
      <c r="G2097" s="198"/>
      <c r="H2097" s="198"/>
      <c r="I2097" s="198"/>
      <c r="J2097" s="198"/>
      <c r="K2097" s="198"/>
      <c r="L2097" s="198"/>
      <c r="M2097" s="198"/>
      <c r="N2097" s="198"/>
      <c r="O2097" s="198"/>
      <c r="P2097" s="198"/>
      <c r="Q2097" s="198"/>
      <c r="R2097" s="198"/>
      <c r="S2097" s="198"/>
      <c r="T2097" s="198"/>
      <c r="U2097" s="198"/>
      <c r="V2097" s="198"/>
      <c r="W2097" s="198"/>
      <c r="X2097" s="198"/>
      <c r="Y2097" s="198"/>
      <c r="Z2097" s="198"/>
    </row>
    <row r="2098" spans="1:26" ht="15.75" hidden="1" customHeight="1" x14ac:dyDescent="0.25">
      <c r="A2098" s="213">
        <v>21032</v>
      </c>
      <c r="B2098" s="214" t="s">
        <v>10594</v>
      </c>
      <c r="C2098" s="215" t="s">
        <v>580</v>
      </c>
      <c r="D2098" s="216">
        <v>522.71</v>
      </c>
      <c r="E2098" s="198"/>
      <c r="F2098" s="198"/>
      <c r="G2098" s="198"/>
      <c r="H2098" s="198"/>
      <c r="I2098" s="198"/>
      <c r="J2098" s="198"/>
      <c r="K2098" s="198"/>
      <c r="L2098" s="198"/>
      <c r="M2098" s="198"/>
      <c r="N2098" s="198"/>
      <c r="O2098" s="198"/>
      <c r="P2098" s="198"/>
      <c r="Q2098" s="198"/>
      <c r="R2098" s="198"/>
      <c r="S2098" s="198"/>
      <c r="T2098" s="198"/>
      <c r="U2098" s="198"/>
      <c r="V2098" s="198"/>
      <c r="W2098" s="198"/>
      <c r="X2098" s="198"/>
      <c r="Y2098" s="198"/>
      <c r="Z2098" s="198"/>
    </row>
    <row r="2099" spans="1:26" ht="15.75" hidden="1" customHeight="1" x14ac:dyDescent="0.25">
      <c r="A2099" s="213">
        <v>37527</v>
      </c>
      <c r="B2099" s="214" t="s">
        <v>10595</v>
      </c>
      <c r="C2099" s="215" t="s">
        <v>580</v>
      </c>
      <c r="D2099" s="216">
        <v>472.18</v>
      </c>
      <c r="E2099" s="198"/>
      <c r="F2099" s="198"/>
      <c r="G2099" s="198"/>
      <c r="H2099" s="198"/>
      <c r="I2099" s="198"/>
      <c r="J2099" s="198"/>
      <c r="K2099" s="198"/>
      <c r="L2099" s="198"/>
      <c r="M2099" s="198"/>
      <c r="N2099" s="198"/>
      <c r="O2099" s="198"/>
      <c r="P2099" s="198"/>
      <c r="Q2099" s="198"/>
      <c r="R2099" s="198"/>
      <c r="S2099" s="198"/>
      <c r="T2099" s="198"/>
      <c r="U2099" s="198"/>
      <c r="V2099" s="198"/>
      <c r="W2099" s="198"/>
      <c r="X2099" s="198"/>
      <c r="Y2099" s="198"/>
      <c r="Z2099" s="198"/>
    </row>
    <row r="2100" spans="1:26" ht="15.75" hidden="1" customHeight="1" x14ac:dyDescent="0.25">
      <c r="A2100" s="213">
        <v>37528</v>
      </c>
      <c r="B2100" s="214" t="s">
        <v>10596</v>
      </c>
      <c r="C2100" s="215" t="s">
        <v>580</v>
      </c>
      <c r="D2100" s="216">
        <v>562.98</v>
      </c>
      <c r="E2100" s="198"/>
      <c r="F2100" s="198"/>
      <c r="G2100" s="198"/>
      <c r="H2100" s="198"/>
      <c r="I2100" s="198"/>
      <c r="J2100" s="198"/>
      <c r="K2100" s="198"/>
      <c r="L2100" s="198"/>
      <c r="M2100" s="198"/>
      <c r="N2100" s="198"/>
      <c r="O2100" s="198"/>
      <c r="P2100" s="198"/>
      <c r="Q2100" s="198"/>
      <c r="R2100" s="198"/>
      <c r="S2100" s="198"/>
      <c r="T2100" s="198"/>
      <c r="U2100" s="198"/>
      <c r="V2100" s="198"/>
      <c r="W2100" s="198"/>
      <c r="X2100" s="198"/>
      <c r="Y2100" s="198"/>
      <c r="Z2100" s="198"/>
    </row>
    <row r="2101" spans="1:26" ht="15.75" hidden="1" customHeight="1" x14ac:dyDescent="0.25">
      <c r="A2101" s="213">
        <v>37529</v>
      </c>
      <c r="B2101" s="214" t="s">
        <v>10597</v>
      </c>
      <c r="C2101" s="215" t="s">
        <v>580</v>
      </c>
      <c r="D2101" s="216">
        <v>568.51</v>
      </c>
      <c r="E2101" s="198"/>
      <c r="F2101" s="198"/>
      <c r="G2101" s="198"/>
      <c r="H2101" s="198"/>
      <c r="I2101" s="198"/>
      <c r="J2101" s="198"/>
      <c r="K2101" s="198"/>
      <c r="L2101" s="198"/>
      <c r="M2101" s="198"/>
      <c r="N2101" s="198"/>
      <c r="O2101" s="198"/>
      <c r="P2101" s="198"/>
      <c r="Q2101" s="198"/>
      <c r="R2101" s="198"/>
      <c r="S2101" s="198"/>
      <c r="T2101" s="198"/>
      <c r="U2101" s="198"/>
      <c r="V2101" s="198"/>
      <c r="W2101" s="198"/>
      <c r="X2101" s="198"/>
      <c r="Y2101" s="198"/>
      <c r="Z2101" s="198"/>
    </row>
    <row r="2102" spans="1:26" ht="15.75" hidden="1" customHeight="1" x14ac:dyDescent="0.25">
      <c r="A2102" s="213">
        <v>37530</v>
      </c>
      <c r="B2102" s="214" t="s">
        <v>10598</v>
      </c>
      <c r="C2102" s="215" t="s">
        <v>580</v>
      </c>
      <c r="D2102" s="216">
        <v>742.22</v>
      </c>
      <c r="E2102" s="198"/>
      <c r="F2102" s="198"/>
      <c r="G2102" s="198"/>
      <c r="H2102" s="198"/>
      <c r="I2102" s="198"/>
      <c r="J2102" s="198"/>
      <c r="K2102" s="198"/>
      <c r="L2102" s="198"/>
      <c r="M2102" s="198"/>
      <c r="N2102" s="198"/>
      <c r="O2102" s="198"/>
      <c r="P2102" s="198"/>
      <c r="Q2102" s="198"/>
      <c r="R2102" s="198"/>
      <c r="S2102" s="198"/>
      <c r="T2102" s="198"/>
      <c r="U2102" s="198"/>
      <c r="V2102" s="198"/>
      <c r="W2102" s="198"/>
      <c r="X2102" s="198"/>
      <c r="Y2102" s="198"/>
      <c r="Z2102" s="198"/>
    </row>
    <row r="2103" spans="1:26" ht="15.75" hidden="1" customHeight="1" x14ac:dyDescent="0.25">
      <c r="A2103" s="213">
        <v>21034</v>
      </c>
      <c r="B2103" s="214" t="s">
        <v>10599</v>
      </c>
      <c r="C2103" s="215" t="s">
        <v>580</v>
      </c>
      <c r="D2103" s="216">
        <v>633.26</v>
      </c>
      <c r="E2103" s="198"/>
      <c r="F2103" s="198"/>
      <c r="G2103" s="198"/>
      <c r="H2103" s="198"/>
      <c r="I2103" s="198"/>
      <c r="J2103" s="198"/>
      <c r="K2103" s="198"/>
      <c r="L2103" s="198"/>
      <c r="M2103" s="198"/>
      <c r="N2103" s="198"/>
      <c r="O2103" s="198"/>
      <c r="P2103" s="198"/>
      <c r="Q2103" s="198"/>
      <c r="R2103" s="198"/>
      <c r="S2103" s="198"/>
      <c r="T2103" s="198"/>
      <c r="U2103" s="198"/>
      <c r="V2103" s="198"/>
      <c r="W2103" s="198"/>
      <c r="X2103" s="198"/>
      <c r="Y2103" s="198"/>
      <c r="Z2103" s="198"/>
    </row>
    <row r="2104" spans="1:26" ht="15.75" hidden="1" customHeight="1" x14ac:dyDescent="0.25">
      <c r="A2104" s="213">
        <v>37531</v>
      </c>
      <c r="B2104" s="214" t="s">
        <v>10600</v>
      </c>
      <c r="C2104" s="215" t="s">
        <v>580</v>
      </c>
      <c r="D2104" s="216">
        <v>797.5</v>
      </c>
      <c r="E2104" s="198"/>
      <c r="F2104" s="198"/>
      <c r="G2104" s="198"/>
      <c r="H2104" s="198"/>
      <c r="I2104" s="198"/>
      <c r="J2104" s="198"/>
      <c r="K2104" s="198"/>
      <c r="L2104" s="198"/>
      <c r="M2104" s="198"/>
      <c r="N2104" s="198"/>
      <c r="O2104" s="198"/>
      <c r="P2104" s="198"/>
      <c r="Q2104" s="198"/>
      <c r="R2104" s="198"/>
      <c r="S2104" s="198"/>
      <c r="T2104" s="198"/>
      <c r="U2104" s="198"/>
      <c r="V2104" s="198"/>
      <c r="W2104" s="198"/>
      <c r="X2104" s="198"/>
      <c r="Y2104" s="198"/>
      <c r="Z2104" s="198"/>
    </row>
    <row r="2105" spans="1:26" ht="15.75" hidden="1" customHeight="1" x14ac:dyDescent="0.25">
      <c r="A2105" s="213">
        <v>21036</v>
      </c>
      <c r="B2105" s="214" t="s">
        <v>10601</v>
      </c>
      <c r="C2105" s="215" t="s">
        <v>580</v>
      </c>
      <c r="D2105" s="216">
        <v>969.63</v>
      </c>
      <c r="E2105" s="198"/>
      <c r="F2105" s="198"/>
      <c r="G2105" s="198"/>
      <c r="H2105" s="198"/>
      <c r="I2105" s="198"/>
      <c r="J2105" s="198"/>
      <c r="K2105" s="198"/>
      <c r="L2105" s="198"/>
      <c r="M2105" s="198"/>
      <c r="N2105" s="198"/>
      <c r="O2105" s="198"/>
      <c r="P2105" s="198"/>
      <c r="Q2105" s="198"/>
      <c r="R2105" s="198"/>
      <c r="S2105" s="198"/>
      <c r="T2105" s="198"/>
      <c r="U2105" s="198"/>
      <c r="V2105" s="198"/>
      <c r="W2105" s="198"/>
      <c r="X2105" s="198"/>
      <c r="Y2105" s="198"/>
      <c r="Z2105" s="198"/>
    </row>
    <row r="2106" spans="1:26" ht="15.75" hidden="1" customHeight="1" x14ac:dyDescent="0.25">
      <c r="A2106" s="213">
        <v>21037</v>
      </c>
      <c r="B2106" s="214" t="s">
        <v>10602</v>
      </c>
      <c r="C2106" s="215" t="s">
        <v>580</v>
      </c>
      <c r="D2106" s="216">
        <v>1105.44</v>
      </c>
      <c r="E2106" s="198"/>
      <c r="F2106" s="198"/>
      <c r="G2106" s="198"/>
      <c r="H2106" s="198"/>
      <c r="I2106" s="198"/>
      <c r="J2106" s="198"/>
      <c r="K2106" s="198"/>
      <c r="L2106" s="198"/>
      <c r="M2106" s="198"/>
      <c r="N2106" s="198"/>
      <c r="O2106" s="198"/>
      <c r="P2106" s="198"/>
      <c r="Q2106" s="198"/>
      <c r="R2106" s="198"/>
      <c r="S2106" s="198"/>
      <c r="T2106" s="198"/>
      <c r="U2106" s="198"/>
      <c r="V2106" s="198"/>
      <c r="W2106" s="198"/>
      <c r="X2106" s="198"/>
      <c r="Y2106" s="198"/>
      <c r="Z2106" s="198"/>
    </row>
    <row r="2107" spans="1:26" ht="15.75" hidden="1" customHeight="1" x14ac:dyDescent="0.25">
      <c r="A2107" s="213">
        <v>20185</v>
      </c>
      <c r="B2107" s="214" t="s">
        <v>10603</v>
      </c>
      <c r="C2107" s="215" t="s">
        <v>585</v>
      </c>
      <c r="D2107" s="216">
        <v>36.07</v>
      </c>
      <c r="E2107" s="198"/>
      <c r="F2107" s="198"/>
      <c r="G2107" s="198"/>
      <c r="H2107" s="198"/>
      <c r="I2107" s="198"/>
      <c r="J2107" s="198"/>
      <c r="K2107" s="198"/>
      <c r="L2107" s="198"/>
      <c r="M2107" s="198"/>
      <c r="N2107" s="198"/>
      <c r="O2107" s="198"/>
      <c r="P2107" s="198"/>
      <c r="Q2107" s="198"/>
      <c r="R2107" s="198"/>
      <c r="S2107" s="198"/>
      <c r="T2107" s="198"/>
      <c r="U2107" s="198"/>
      <c r="V2107" s="198"/>
      <c r="W2107" s="198"/>
      <c r="X2107" s="198"/>
      <c r="Y2107" s="198"/>
      <c r="Z2107" s="198"/>
    </row>
    <row r="2108" spans="1:26" ht="15.75" hidden="1" customHeight="1" x14ac:dyDescent="0.25">
      <c r="A2108" s="213">
        <v>20260</v>
      </c>
      <c r="B2108" s="214" t="s">
        <v>10604</v>
      </c>
      <c r="C2108" s="215" t="s">
        <v>580</v>
      </c>
      <c r="D2108" s="216">
        <v>29.01</v>
      </c>
      <c r="E2108" s="198"/>
      <c r="F2108" s="198"/>
      <c r="G2108" s="198"/>
      <c r="H2108" s="198"/>
      <c r="I2108" s="198"/>
      <c r="J2108" s="198"/>
      <c r="K2108" s="198"/>
      <c r="L2108" s="198"/>
      <c r="M2108" s="198"/>
      <c r="N2108" s="198"/>
      <c r="O2108" s="198"/>
      <c r="P2108" s="198"/>
      <c r="Q2108" s="198"/>
      <c r="R2108" s="198"/>
      <c r="S2108" s="198"/>
      <c r="T2108" s="198"/>
      <c r="U2108" s="198"/>
      <c r="V2108" s="198"/>
      <c r="W2108" s="198"/>
      <c r="X2108" s="198"/>
      <c r="Y2108" s="198"/>
      <c r="Z2108" s="198"/>
    </row>
    <row r="2109" spans="1:26" ht="15.75" hidden="1" customHeight="1" x14ac:dyDescent="0.25">
      <c r="A2109" s="213">
        <v>39699</v>
      </c>
      <c r="B2109" s="214" t="s">
        <v>10605</v>
      </c>
      <c r="C2109" s="215" t="s">
        <v>578</v>
      </c>
      <c r="D2109" s="216">
        <v>15.42</v>
      </c>
      <c r="E2109" s="198"/>
      <c r="F2109" s="198"/>
      <c r="G2109" s="198"/>
      <c r="H2109" s="198"/>
      <c r="I2109" s="198"/>
      <c r="J2109" s="198"/>
      <c r="K2109" s="198"/>
      <c r="L2109" s="198"/>
      <c r="M2109" s="198"/>
      <c r="N2109" s="198"/>
      <c r="O2109" s="198"/>
      <c r="P2109" s="198"/>
      <c r="Q2109" s="198"/>
      <c r="R2109" s="198"/>
      <c r="S2109" s="198"/>
      <c r="T2109" s="198"/>
      <c r="U2109" s="198"/>
      <c r="V2109" s="198"/>
      <c r="W2109" s="198"/>
      <c r="X2109" s="198"/>
      <c r="Y2109" s="198"/>
      <c r="Z2109" s="198"/>
    </row>
    <row r="2110" spans="1:26" ht="15.75" hidden="1" customHeight="1" x14ac:dyDescent="0.25">
      <c r="A2110" s="213">
        <v>39696</v>
      </c>
      <c r="B2110" s="214" t="s">
        <v>10606</v>
      </c>
      <c r="C2110" s="215" t="s">
        <v>578</v>
      </c>
      <c r="D2110" s="216">
        <v>4.5</v>
      </c>
      <c r="E2110" s="198"/>
      <c r="F2110" s="198"/>
      <c r="G2110" s="198"/>
      <c r="H2110" s="198"/>
      <c r="I2110" s="198"/>
      <c r="J2110" s="198"/>
      <c r="K2110" s="198"/>
      <c r="L2110" s="198"/>
      <c r="M2110" s="198"/>
      <c r="N2110" s="198"/>
      <c r="O2110" s="198"/>
      <c r="P2110" s="198"/>
      <c r="Q2110" s="198"/>
      <c r="R2110" s="198"/>
      <c r="S2110" s="198"/>
      <c r="T2110" s="198"/>
      <c r="U2110" s="198"/>
      <c r="V2110" s="198"/>
      <c r="W2110" s="198"/>
      <c r="X2110" s="198"/>
      <c r="Y2110" s="198"/>
      <c r="Z2110" s="198"/>
    </row>
    <row r="2111" spans="1:26" ht="15.75" hidden="1" customHeight="1" x14ac:dyDescent="0.25">
      <c r="A2111" s="213">
        <v>42528</v>
      </c>
      <c r="B2111" s="214" t="s">
        <v>10607</v>
      </c>
      <c r="C2111" s="215" t="s">
        <v>578</v>
      </c>
      <c r="D2111" s="216">
        <v>6.4</v>
      </c>
      <c r="E2111" s="198"/>
      <c r="F2111" s="198"/>
      <c r="G2111" s="198"/>
      <c r="H2111" s="198"/>
      <c r="I2111" s="198"/>
      <c r="J2111" s="198"/>
      <c r="K2111" s="198"/>
      <c r="L2111" s="198"/>
      <c r="M2111" s="198"/>
      <c r="N2111" s="198"/>
      <c r="O2111" s="198"/>
      <c r="P2111" s="198"/>
      <c r="Q2111" s="198"/>
      <c r="R2111" s="198"/>
      <c r="S2111" s="198"/>
      <c r="T2111" s="198"/>
      <c r="U2111" s="198"/>
      <c r="V2111" s="198"/>
      <c r="W2111" s="198"/>
      <c r="X2111" s="198"/>
      <c r="Y2111" s="198"/>
      <c r="Z2111" s="198"/>
    </row>
    <row r="2112" spans="1:26" ht="15.75" hidden="1" customHeight="1" x14ac:dyDescent="0.25">
      <c r="A2112" s="213">
        <v>39700</v>
      </c>
      <c r="B2112" s="214" t="s">
        <v>10608</v>
      </c>
      <c r="C2112" s="215" t="s">
        <v>578</v>
      </c>
      <c r="D2112" s="216">
        <v>28.98</v>
      </c>
      <c r="E2112" s="198"/>
      <c r="F2112" s="198"/>
      <c r="G2112" s="198"/>
      <c r="H2112" s="198"/>
      <c r="I2112" s="198"/>
      <c r="J2112" s="198"/>
      <c r="K2112" s="198"/>
      <c r="L2112" s="198"/>
      <c r="M2112" s="198"/>
      <c r="N2112" s="198"/>
      <c r="O2112" s="198"/>
      <c r="P2112" s="198"/>
      <c r="Q2112" s="198"/>
      <c r="R2112" s="198"/>
      <c r="S2112" s="198"/>
      <c r="T2112" s="198"/>
      <c r="U2112" s="198"/>
      <c r="V2112" s="198"/>
      <c r="W2112" s="198"/>
      <c r="X2112" s="198"/>
      <c r="Y2112" s="198"/>
      <c r="Z2112" s="198"/>
    </row>
    <row r="2113" spans="1:26" ht="15.75" hidden="1" customHeight="1" x14ac:dyDescent="0.25">
      <c r="A2113" s="213">
        <v>4014</v>
      </c>
      <c r="B2113" s="214" t="s">
        <v>10609</v>
      </c>
      <c r="C2113" s="215" t="s">
        <v>578</v>
      </c>
      <c r="D2113" s="216">
        <v>59.67</v>
      </c>
      <c r="E2113" s="198"/>
      <c r="F2113" s="198"/>
      <c r="G2113" s="198"/>
      <c r="H2113" s="198"/>
      <c r="I2113" s="198"/>
      <c r="J2113" s="198"/>
      <c r="K2113" s="198"/>
      <c r="L2113" s="198"/>
      <c r="M2113" s="198"/>
      <c r="N2113" s="198"/>
      <c r="O2113" s="198"/>
      <c r="P2113" s="198"/>
      <c r="Q2113" s="198"/>
      <c r="R2113" s="198"/>
      <c r="S2113" s="198"/>
      <c r="T2113" s="198"/>
      <c r="U2113" s="198"/>
      <c r="V2113" s="198"/>
      <c r="W2113" s="198"/>
      <c r="X2113" s="198"/>
      <c r="Y2113" s="198"/>
      <c r="Z2113" s="198"/>
    </row>
    <row r="2114" spans="1:26" ht="15.75" hidden="1" customHeight="1" x14ac:dyDescent="0.25">
      <c r="A2114" s="213">
        <v>4015</v>
      </c>
      <c r="B2114" s="214" t="s">
        <v>10610</v>
      </c>
      <c r="C2114" s="215" t="s">
        <v>578</v>
      </c>
      <c r="D2114" s="216">
        <v>73.27</v>
      </c>
      <c r="E2114" s="198"/>
      <c r="F2114" s="198"/>
      <c r="G2114" s="198"/>
      <c r="H2114" s="198"/>
      <c r="I2114" s="198"/>
      <c r="J2114" s="198"/>
      <c r="K2114" s="198"/>
      <c r="L2114" s="198"/>
      <c r="M2114" s="198"/>
      <c r="N2114" s="198"/>
      <c r="O2114" s="198"/>
      <c r="P2114" s="198"/>
      <c r="Q2114" s="198"/>
      <c r="R2114" s="198"/>
      <c r="S2114" s="198"/>
      <c r="T2114" s="198"/>
      <c r="U2114" s="198"/>
      <c r="V2114" s="198"/>
      <c r="W2114" s="198"/>
      <c r="X2114" s="198"/>
      <c r="Y2114" s="198"/>
      <c r="Z2114" s="198"/>
    </row>
    <row r="2115" spans="1:26" ht="15.75" hidden="1" customHeight="1" x14ac:dyDescent="0.25">
      <c r="A2115" s="213">
        <v>4017</v>
      </c>
      <c r="B2115" s="214" t="s">
        <v>10611</v>
      </c>
      <c r="C2115" s="215" t="s">
        <v>578</v>
      </c>
      <c r="D2115" s="216">
        <v>106.61</v>
      </c>
      <c r="E2115" s="198"/>
      <c r="F2115" s="198"/>
      <c r="G2115" s="198"/>
      <c r="H2115" s="198"/>
      <c r="I2115" s="198"/>
      <c r="J2115" s="198"/>
      <c r="K2115" s="198"/>
      <c r="L2115" s="198"/>
      <c r="M2115" s="198"/>
      <c r="N2115" s="198"/>
      <c r="O2115" s="198"/>
      <c r="P2115" s="198"/>
      <c r="Q2115" s="198"/>
      <c r="R2115" s="198"/>
      <c r="S2115" s="198"/>
      <c r="T2115" s="198"/>
      <c r="U2115" s="198"/>
      <c r="V2115" s="198"/>
      <c r="W2115" s="198"/>
      <c r="X2115" s="198"/>
      <c r="Y2115" s="198"/>
      <c r="Z2115" s="198"/>
    </row>
    <row r="2116" spans="1:26" ht="15.75" hidden="1" customHeight="1" x14ac:dyDescent="0.25">
      <c r="A2116" s="213">
        <v>11621</v>
      </c>
      <c r="B2116" s="214" t="s">
        <v>10612</v>
      </c>
      <c r="C2116" s="215" t="s">
        <v>578</v>
      </c>
      <c r="D2116" s="216">
        <v>57.67</v>
      </c>
      <c r="E2116" s="198"/>
      <c r="F2116" s="198"/>
      <c r="G2116" s="198"/>
      <c r="H2116" s="198"/>
      <c r="I2116" s="198"/>
      <c r="J2116" s="198"/>
      <c r="K2116" s="198"/>
      <c r="L2116" s="198"/>
      <c r="M2116" s="198"/>
      <c r="N2116" s="198"/>
      <c r="O2116" s="198"/>
      <c r="P2116" s="198"/>
      <c r="Q2116" s="198"/>
      <c r="R2116" s="198"/>
      <c r="S2116" s="198"/>
      <c r="T2116" s="198"/>
      <c r="U2116" s="198"/>
      <c r="V2116" s="198"/>
      <c r="W2116" s="198"/>
      <c r="X2116" s="198"/>
      <c r="Y2116" s="198"/>
      <c r="Z2116" s="198"/>
    </row>
    <row r="2117" spans="1:26" ht="15.75" hidden="1" customHeight="1" x14ac:dyDescent="0.25">
      <c r="A2117" s="213">
        <v>4016</v>
      </c>
      <c r="B2117" s="214" t="s">
        <v>10613</v>
      </c>
      <c r="C2117" s="215" t="s">
        <v>578</v>
      </c>
      <c r="D2117" s="216">
        <v>42.11</v>
      </c>
      <c r="E2117" s="198"/>
      <c r="F2117" s="198"/>
      <c r="G2117" s="198"/>
      <c r="H2117" s="198"/>
      <c r="I2117" s="198"/>
      <c r="J2117" s="198"/>
      <c r="K2117" s="198"/>
      <c r="L2117" s="198"/>
      <c r="M2117" s="198"/>
      <c r="N2117" s="198"/>
      <c r="O2117" s="198"/>
      <c r="P2117" s="198"/>
      <c r="Q2117" s="198"/>
      <c r="R2117" s="198"/>
      <c r="S2117" s="198"/>
      <c r="T2117" s="198"/>
      <c r="U2117" s="198"/>
      <c r="V2117" s="198"/>
      <c r="W2117" s="198"/>
      <c r="X2117" s="198"/>
      <c r="Y2117" s="198"/>
      <c r="Z2117" s="198"/>
    </row>
    <row r="2118" spans="1:26" ht="15.75" hidden="1" customHeight="1" x14ac:dyDescent="0.25">
      <c r="A2118" s="213">
        <v>38544</v>
      </c>
      <c r="B2118" s="214" t="s">
        <v>10614</v>
      </c>
      <c r="C2118" s="215" t="s">
        <v>578</v>
      </c>
      <c r="D2118" s="216">
        <v>10.8</v>
      </c>
      <c r="E2118" s="198"/>
      <c r="F2118" s="198"/>
      <c r="G2118" s="198"/>
      <c r="H2118" s="198"/>
      <c r="I2118" s="198"/>
      <c r="J2118" s="198"/>
      <c r="K2118" s="198"/>
      <c r="L2118" s="198"/>
      <c r="M2118" s="198"/>
      <c r="N2118" s="198"/>
      <c r="O2118" s="198"/>
      <c r="P2118" s="198"/>
      <c r="Q2118" s="198"/>
      <c r="R2118" s="198"/>
      <c r="S2118" s="198"/>
      <c r="T2118" s="198"/>
      <c r="U2118" s="198"/>
      <c r="V2118" s="198"/>
      <c r="W2118" s="198"/>
      <c r="X2118" s="198"/>
      <c r="Y2118" s="198"/>
      <c r="Z2118" s="198"/>
    </row>
    <row r="2119" spans="1:26" ht="15.75" hidden="1" customHeight="1" x14ac:dyDescent="0.25">
      <c r="A2119" s="213">
        <v>38545</v>
      </c>
      <c r="B2119" s="214" t="s">
        <v>10615</v>
      </c>
      <c r="C2119" s="215" t="s">
        <v>578</v>
      </c>
      <c r="D2119" s="216">
        <v>6.94</v>
      </c>
      <c r="E2119" s="198"/>
      <c r="F2119" s="198"/>
      <c r="G2119" s="198"/>
      <c r="H2119" s="198"/>
      <c r="I2119" s="198"/>
      <c r="J2119" s="198"/>
      <c r="K2119" s="198"/>
      <c r="L2119" s="198"/>
      <c r="M2119" s="198"/>
      <c r="N2119" s="198"/>
      <c r="O2119" s="198"/>
      <c r="P2119" s="198"/>
      <c r="Q2119" s="198"/>
      <c r="R2119" s="198"/>
      <c r="S2119" s="198"/>
      <c r="T2119" s="198"/>
      <c r="U2119" s="198"/>
      <c r="V2119" s="198"/>
      <c r="W2119" s="198"/>
      <c r="X2119" s="198"/>
      <c r="Y2119" s="198"/>
      <c r="Z2119" s="198"/>
    </row>
    <row r="2120" spans="1:26" ht="15.75" hidden="1" customHeight="1" x14ac:dyDescent="0.25">
      <c r="A2120" s="213">
        <v>42527</v>
      </c>
      <c r="B2120" s="214" t="s">
        <v>10616</v>
      </c>
      <c r="C2120" s="215" t="s">
        <v>578</v>
      </c>
      <c r="D2120" s="216">
        <v>16.91</v>
      </c>
      <c r="E2120" s="198"/>
      <c r="F2120" s="198"/>
      <c r="G2120" s="198"/>
      <c r="H2120" s="198"/>
      <c r="I2120" s="198"/>
      <c r="J2120" s="198"/>
      <c r="K2120" s="198"/>
      <c r="L2120" s="198"/>
      <c r="M2120" s="198"/>
      <c r="N2120" s="198"/>
      <c r="O2120" s="198"/>
      <c r="P2120" s="198"/>
      <c r="Q2120" s="198"/>
      <c r="R2120" s="198"/>
      <c r="S2120" s="198"/>
      <c r="T2120" s="198"/>
      <c r="U2120" s="198"/>
      <c r="V2120" s="198"/>
      <c r="W2120" s="198"/>
      <c r="X2120" s="198"/>
      <c r="Y2120" s="198"/>
      <c r="Z2120" s="198"/>
    </row>
    <row r="2121" spans="1:26" ht="15.75" hidden="1" customHeight="1" x14ac:dyDescent="0.25">
      <c r="A2121" s="213">
        <v>39323</v>
      </c>
      <c r="B2121" s="214" t="s">
        <v>10617</v>
      </c>
      <c r="C2121" s="215" t="s">
        <v>578</v>
      </c>
      <c r="D2121" s="216">
        <v>26.49</v>
      </c>
      <c r="E2121" s="198"/>
      <c r="F2121" s="198"/>
      <c r="G2121" s="198"/>
      <c r="H2121" s="198"/>
      <c r="I2121" s="198"/>
      <c r="J2121" s="198"/>
      <c r="K2121" s="198"/>
      <c r="L2121" s="198"/>
      <c r="M2121" s="198"/>
      <c r="N2121" s="198"/>
      <c r="O2121" s="198"/>
      <c r="P2121" s="198"/>
      <c r="Q2121" s="198"/>
      <c r="R2121" s="198"/>
      <c r="S2121" s="198"/>
      <c r="T2121" s="198"/>
      <c r="U2121" s="198"/>
      <c r="V2121" s="198"/>
      <c r="W2121" s="198"/>
      <c r="X2121" s="198"/>
      <c r="Y2121" s="198"/>
      <c r="Z2121" s="198"/>
    </row>
    <row r="2122" spans="1:26" ht="15.75" hidden="1" customHeight="1" x14ac:dyDescent="0.25">
      <c r="A2122" s="213">
        <v>626</v>
      </c>
      <c r="B2122" s="214" t="s">
        <v>10618</v>
      </c>
      <c r="C2122" s="215" t="s">
        <v>823</v>
      </c>
      <c r="D2122" s="216">
        <v>18.54</v>
      </c>
      <c r="E2122" s="198"/>
      <c r="F2122" s="198"/>
      <c r="G2122" s="198"/>
      <c r="H2122" s="198"/>
      <c r="I2122" s="198"/>
      <c r="J2122" s="198"/>
      <c r="K2122" s="198"/>
      <c r="L2122" s="198"/>
      <c r="M2122" s="198"/>
      <c r="N2122" s="198"/>
      <c r="O2122" s="198"/>
      <c r="P2122" s="198"/>
      <c r="Q2122" s="198"/>
      <c r="R2122" s="198"/>
      <c r="S2122" s="198"/>
      <c r="T2122" s="198"/>
      <c r="U2122" s="198"/>
      <c r="V2122" s="198"/>
      <c r="W2122" s="198"/>
      <c r="X2122" s="198"/>
      <c r="Y2122" s="198"/>
      <c r="Z2122" s="198"/>
    </row>
    <row r="2123" spans="1:26" ht="15.75" hidden="1" customHeight="1" x14ac:dyDescent="0.25">
      <c r="A2123" s="213">
        <v>11479</v>
      </c>
      <c r="B2123" s="214" t="s">
        <v>10619</v>
      </c>
      <c r="C2123" s="215" t="s">
        <v>580</v>
      </c>
      <c r="D2123" s="216">
        <v>35.86</v>
      </c>
      <c r="E2123" s="198"/>
      <c r="F2123" s="198"/>
      <c r="G2123" s="198"/>
      <c r="H2123" s="198"/>
      <c r="I2123" s="198"/>
      <c r="J2123" s="198"/>
      <c r="K2123" s="198"/>
      <c r="L2123" s="198"/>
      <c r="M2123" s="198"/>
      <c r="N2123" s="198"/>
      <c r="O2123" s="198"/>
      <c r="P2123" s="198"/>
      <c r="Q2123" s="198"/>
      <c r="R2123" s="198"/>
      <c r="S2123" s="198"/>
      <c r="T2123" s="198"/>
      <c r="U2123" s="198"/>
      <c r="V2123" s="198"/>
      <c r="W2123" s="198"/>
      <c r="X2123" s="198"/>
      <c r="Y2123" s="198"/>
      <c r="Z2123" s="198"/>
    </row>
    <row r="2124" spans="1:26" ht="15.75" hidden="1" customHeight="1" x14ac:dyDescent="0.25">
      <c r="A2124" s="213">
        <v>11481</v>
      </c>
      <c r="B2124" s="214" t="s">
        <v>10620</v>
      </c>
      <c r="C2124" s="215" t="s">
        <v>580</v>
      </c>
      <c r="D2124" s="216">
        <v>32.44</v>
      </c>
      <c r="E2124" s="198"/>
      <c r="F2124" s="198"/>
      <c r="G2124" s="198"/>
      <c r="H2124" s="198"/>
      <c r="I2124" s="198"/>
      <c r="J2124" s="198"/>
      <c r="K2124" s="198"/>
      <c r="L2124" s="198"/>
      <c r="M2124" s="198"/>
      <c r="N2124" s="198"/>
      <c r="O2124" s="198"/>
      <c r="P2124" s="198"/>
      <c r="Q2124" s="198"/>
      <c r="R2124" s="198"/>
      <c r="S2124" s="198"/>
      <c r="T2124" s="198"/>
      <c r="U2124" s="198"/>
      <c r="V2124" s="198"/>
      <c r="W2124" s="198"/>
      <c r="X2124" s="198"/>
      <c r="Y2124" s="198"/>
      <c r="Z2124" s="198"/>
    </row>
    <row r="2125" spans="1:26" ht="15.75" hidden="1" customHeight="1" x14ac:dyDescent="0.25">
      <c r="A2125" s="213">
        <v>43609</v>
      </c>
      <c r="B2125" s="214" t="s">
        <v>10621</v>
      </c>
      <c r="C2125" s="215" t="s">
        <v>580</v>
      </c>
      <c r="D2125" s="216">
        <v>32.44</v>
      </c>
      <c r="E2125" s="198"/>
      <c r="F2125" s="198"/>
      <c r="G2125" s="198"/>
      <c r="H2125" s="198"/>
      <c r="I2125" s="198"/>
      <c r="J2125" s="198"/>
      <c r="K2125" s="198"/>
      <c r="L2125" s="198"/>
      <c r="M2125" s="198"/>
      <c r="N2125" s="198"/>
      <c r="O2125" s="198"/>
      <c r="P2125" s="198"/>
      <c r="Q2125" s="198"/>
      <c r="R2125" s="198"/>
      <c r="S2125" s="198"/>
      <c r="T2125" s="198"/>
      <c r="U2125" s="198"/>
      <c r="V2125" s="198"/>
      <c r="W2125" s="198"/>
      <c r="X2125" s="198"/>
      <c r="Y2125" s="198"/>
      <c r="Z2125" s="198"/>
    </row>
    <row r="2126" spans="1:26" ht="15.75" hidden="1" customHeight="1" x14ac:dyDescent="0.25">
      <c r="A2126" s="213">
        <v>11478</v>
      </c>
      <c r="B2126" s="214" t="s">
        <v>10622</v>
      </c>
      <c r="C2126" s="215" t="s">
        <v>580</v>
      </c>
      <c r="D2126" s="216">
        <v>61.53</v>
      </c>
      <c r="E2126" s="198"/>
      <c r="F2126" s="198"/>
      <c r="G2126" s="198"/>
      <c r="H2126" s="198"/>
      <c r="I2126" s="198"/>
      <c r="J2126" s="198"/>
      <c r="K2126" s="198"/>
      <c r="L2126" s="198"/>
      <c r="M2126" s="198"/>
      <c r="N2126" s="198"/>
      <c r="O2126" s="198"/>
      <c r="P2126" s="198"/>
      <c r="Q2126" s="198"/>
      <c r="R2126" s="198"/>
      <c r="S2126" s="198"/>
      <c r="T2126" s="198"/>
      <c r="U2126" s="198"/>
      <c r="V2126" s="198"/>
      <c r="W2126" s="198"/>
      <c r="X2126" s="198"/>
      <c r="Y2126" s="198"/>
      <c r="Z2126" s="198"/>
    </row>
    <row r="2127" spans="1:26" ht="15.75" hidden="1" customHeight="1" x14ac:dyDescent="0.25">
      <c r="A2127" s="213">
        <v>43608</v>
      </c>
      <c r="B2127" s="214" t="s">
        <v>10623</v>
      </c>
      <c r="C2127" s="215" t="s">
        <v>580</v>
      </c>
      <c r="D2127" s="216">
        <v>46.95</v>
      </c>
      <c r="E2127" s="198"/>
      <c r="F2127" s="198"/>
      <c r="G2127" s="198"/>
      <c r="H2127" s="198"/>
      <c r="I2127" s="198"/>
      <c r="J2127" s="198"/>
      <c r="K2127" s="198"/>
      <c r="L2127" s="198"/>
      <c r="M2127" s="198"/>
      <c r="N2127" s="198"/>
      <c r="O2127" s="198"/>
      <c r="P2127" s="198"/>
      <c r="Q2127" s="198"/>
      <c r="R2127" s="198"/>
      <c r="S2127" s="198"/>
      <c r="T2127" s="198"/>
      <c r="U2127" s="198"/>
      <c r="V2127" s="198"/>
      <c r="W2127" s="198"/>
      <c r="X2127" s="198"/>
      <c r="Y2127" s="198"/>
      <c r="Z2127" s="198"/>
    </row>
    <row r="2128" spans="1:26" ht="15.75" hidden="1" customHeight="1" x14ac:dyDescent="0.25">
      <c r="A2128" s="213">
        <v>11476</v>
      </c>
      <c r="B2128" s="214" t="s">
        <v>10624</v>
      </c>
      <c r="C2128" s="215" t="s">
        <v>580</v>
      </c>
      <c r="D2128" s="216">
        <v>46.95</v>
      </c>
      <c r="E2128" s="198"/>
      <c r="F2128" s="198"/>
      <c r="G2128" s="198"/>
      <c r="H2128" s="198"/>
      <c r="I2128" s="198"/>
      <c r="J2128" s="198"/>
      <c r="K2128" s="198"/>
      <c r="L2128" s="198"/>
      <c r="M2128" s="198"/>
      <c r="N2128" s="198"/>
      <c r="O2128" s="198"/>
      <c r="P2128" s="198"/>
      <c r="Q2128" s="198"/>
      <c r="R2128" s="198"/>
      <c r="S2128" s="198"/>
      <c r="T2128" s="198"/>
      <c r="U2128" s="198"/>
      <c r="V2128" s="198"/>
      <c r="W2128" s="198"/>
      <c r="X2128" s="198"/>
      <c r="Y2128" s="198"/>
      <c r="Z2128" s="198"/>
    </row>
    <row r="2129" spans="1:26" ht="15.75" hidden="1" customHeight="1" x14ac:dyDescent="0.25">
      <c r="A2129" s="213">
        <v>14619</v>
      </c>
      <c r="B2129" s="214" t="s">
        <v>10625</v>
      </c>
      <c r="C2129" s="215" t="s">
        <v>580</v>
      </c>
      <c r="D2129" s="216">
        <v>15409.96</v>
      </c>
      <c r="E2129" s="198"/>
      <c r="F2129" s="198"/>
      <c r="G2129" s="198"/>
      <c r="H2129" s="198"/>
      <c r="I2129" s="198"/>
      <c r="J2129" s="198"/>
      <c r="K2129" s="198"/>
      <c r="L2129" s="198"/>
      <c r="M2129" s="198"/>
      <c r="N2129" s="198"/>
      <c r="O2129" s="198"/>
      <c r="P2129" s="198"/>
      <c r="Q2129" s="198"/>
      <c r="R2129" s="198"/>
      <c r="S2129" s="198"/>
      <c r="T2129" s="198"/>
      <c r="U2129" s="198"/>
      <c r="V2129" s="198"/>
      <c r="W2129" s="198"/>
      <c r="X2129" s="198"/>
      <c r="Y2129" s="198"/>
      <c r="Z2129" s="198"/>
    </row>
    <row r="2130" spans="1:26" ht="15.75" hidden="1" customHeight="1" x14ac:dyDescent="0.25">
      <c r="A2130" s="213">
        <v>12868</v>
      </c>
      <c r="B2130" s="214" t="s">
        <v>10626</v>
      </c>
      <c r="C2130" s="215" t="s">
        <v>2193</v>
      </c>
      <c r="D2130" s="216">
        <v>24.81</v>
      </c>
      <c r="E2130" s="198"/>
      <c r="F2130" s="198"/>
      <c r="G2130" s="198"/>
      <c r="H2130" s="198"/>
      <c r="I2130" s="198"/>
      <c r="J2130" s="198"/>
      <c r="K2130" s="198"/>
      <c r="L2130" s="198"/>
      <c r="M2130" s="198"/>
      <c r="N2130" s="198"/>
      <c r="O2130" s="198"/>
      <c r="P2130" s="198"/>
      <c r="Q2130" s="198"/>
      <c r="R2130" s="198"/>
      <c r="S2130" s="198"/>
      <c r="T2130" s="198"/>
      <c r="U2130" s="198"/>
      <c r="V2130" s="198"/>
      <c r="W2130" s="198"/>
      <c r="X2130" s="198"/>
      <c r="Y2130" s="198"/>
      <c r="Z2130" s="198"/>
    </row>
    <row r="2131" spans="1:26" ht="15.75" hidden="1" customHeight="1" x14ac:dyDescent="0.25">
      <c r="A2131" s="213">
        <v>40916</v>
      </c>
      <c r="B2131" s="214" t="s">
        <v>10627</v>
      </c>
      <c r="C2131" s="215" t="s">
        <v>6214</v>
      </c>
      <c r="D2131" s="216">
        <v>4355.05</v>
      </c>
      <c r="E2131" s="198"/>
      <c r="F2131" s="198"/>
      <c r="G2131" s="198"/>
      <c r="H2131" s="198"/>
      <c r="I2131" s="198"/>
      <c r="J2131" s="198"/>
      <c r="K2131" s="198"/>
      <c r="L2131" s="198"/>
      <c r="M2131" s="198"/>
      <c r="N2131" s="198"/>
      <c r="O2131" s="198"/>
      <c r="P2131" s="198"/>
      <c r="Q2131" s="198"/>
      <c r="R2131" s="198"/>
      <c r="S2131" s="198"/>
      <c r="T2131" s="198"/>
      <c r="U2131" s="198"/>
      <c r="V2131" s="198"/>
      <c r="W2131" s="198"/>
      <c r="X2131" s="198"/>
      <c r="Y2131" s="198"/>
      <c r="Z2131" s="198"/>
    </row>
    <row r="2132" spans="1:26" ht="15.75" hidden="1" customHeight="1" x14ac:dyDescent="0.25">
      <c r="A2132" s="213">
        <v>4755</v>
      </c>
      <c r="B2132" s="214" t="s">
        <v>10628</v>
      </c>
      <c r="C2132" s="215" t="s">
        <v>2193</v>
      </c>
      <c r="D2132" s="216">
        <v>30.74</v>
      </c>
      <c r="E2132" s="198"/>
      <c r="F2132" s="198"/>
      <c r="G2132" s="198"/>
      <c r="H2132" s="198"/>
      <c r="I2132" s="198"/>
      <c r="J2132" s="198"/>
      <c r="K2132" s="198"/>
      <c r="L2132" s="198"/>
      <c r="M2132" s="198"/>
      <c r="N2132" s="198"/>
      <c r="O2132" s="198"/>
      <c r="P2132" s="198"/>
      <c r="Q2132" s="198"/>
      <c r="R2132" s="198"/>
      <c r="S2132" s="198"/>
      <c r="T2132" s="198"/>
      <c r="U2132" s="198"/>
      <c r="V2132" s="198"/>
      <c r="W2132" s="198"/>
      <c r="X2132" s="198"/>
      <c r="Y2132" s="198"/>
      <c r="Z2132" s="198"/>
    </row>
    <row r="2133" spans="1:26" ht="15.75" hidden="1" customHeight="1" x14ac:dyDescent="0.25">
      <c r="A2133" s="213">
        <v>41067</v>
      </c>
      <c r="B2133" s="214" t="s">
        <v>10629</v>
      </c>
      <c r="C2133" s="215" t="s">
        <v>6214</v>
      </c>
      <c r="D2133" s="216">
        <v>5395.78</v>
      </c>
      <c r="E2133" s="198"/>
      <c r="F2133" s="198"/>
      <c r="G2133" s="198"/>
      <c r="H2133" s="198"/>
      <c r="I2133" s="198"/>
      <c r="J2133" s="198"/>
      <c r="K2133" s="198"/>
      <c r="L2133" s="198"/>
      <c r="M2133" s="198"/>
      <c r="N2133" s="198"/>
      <c r="O2133" s="198"/>
      <c r="P2133" s="198"/>
      <c r="Q2133" s="198"/>
      <c r="R2133" s="198"/>
      <c r="S2133" s="198"/>
      <c r="T2133" s="198"/>
      <c r="U2133" s="198"/>
      <c r="V2133" s="198"/>
      <c r="W2133" s="198"/>
      <c r="X2133" s="198"/>
      <c r="Y2133" s="198"/>
      <c r="Z2133" s="198"/>
    </row>
    <row r="2134" spans="1:26" ht="15.75" hidden="1" customHeight="1" x14ac:dyDescent="0.25">
      <c r="A2134" s="213">
        <v>38463</v>
      </c>
      <c r="B2134" s="214" t="s">
        <v>10630</v>
      </c>
      <c r="C2134" s="215" t="s">
        <v>580</v>
      </c>
      <c r="D2134" s="216">
        <v>30.42</v>
      </c>
      <c r="E2134" s="198"/>
      <c r="F2134" s="198"/>
      <c r="G2134" s="198"/>
      <c r="H2134" s="198"/>
      <c r="I2134" s="198"/>
      <c r="J2134" s="198"/>
      <c r="K2134" s="198"/>
      <c r="L2134" s="198"/>
      <c r="M2134" s="198"/>
      <c r="N2134" s="198"/>
      <c r="O2134" s="198"/>
      <c r="P2134" s="198"/>
      <c r="Q2134" s="198"/>
      <c r="R2134" s="198"/>
      <c r="S2134" s="198"/>
      <c r="T2134" s="198"/>
      <c r="U2134" s="198"/>
      <c r="V2134" s="198"/>
      <c r="W2134" s="198"/>
      <c r="X2134" s="198"/>
      <c r="Y2134" s="198"/>
      <c r="Z2134" s="198"/>
    </row>
    <row r="2135" spans="1:26" ht="15.75" hidden="1" customHeight="1" x14ac:dyDescent="0.25">
      <c r="A2135" s="213">
        <v>40703</v>
      </c>
      <c r="B2135" s="214" t="s">
        <v>10631</v>
      </c>
      <c r="C2135" s="215" t="s">
        <v>580</v>
      </c>
      <c r="D2135" s="216">
        <v>10891.89</v>
      </c>
      <c r="E2135" s="198"/>
      <c r="F2135" s="198"/>
      <c r="G2135" s="198"/>
      <c r="H2135" s="198"/>
      <c r="I2135" s="198"/>
      <c r="J2135" s="198"/>
      <c r="K2135" s="198"/>
      <c r="L2135" s="198"/>
      <c r="M2135" s="198"/>
      <c r="N2135" s="198"/>
      <c r="O2135" s="198"/>
      <c r="P2135" s="198"/>
      <c r="Q2135" s="198"/>
      <c r="R2135" s="198"/>
      <c r="S2135" s="198"/>
      <c r="T2135" s="198"/>
      <c r="U2135" s="198"/>
      <c r="V2135" s="198"/>
      <c r="W2135" s="198"/>
      <c r="X2135" s="198"/>
      <c r="Y2135" s="198"/>
      <c r="Z2135" s="198"/>
    </row>
    <row r="2136" spans="1:26" ht="15.75" hidden="1" customHeight="1" x14ac:dyDescent="0.25">
      <c r="A2136" s="213">
        <v>14531</v>
      </c>
      <c r="B2136" s="214" t="s">
        <v>10632</v>
      </c>
      <c r="C2136" s="215" t="s">
        <v>580</v>
      </c>
      <c r="D2136" s="216">
        <v>20306.59</v>
      </c>
      <c r="E2136" s="198"/>
      <c r="F2136" s="198"/>
      <c r="G2136" s="198"/>
      <c r="H2136" s="198"/>
      <c r="I2136" s="198"/>
      <c r="J2136" s="198"/>
      <c r="K2136" s="198"/>
      <c r="L2136" s="198"/>
      <c r="M2136" s="198"/>
      <c r="N2136" s="198"/>
      <c r="O2136" s="198"/>
      <c r="P2136" s="198"/>
      <c r="Q2136" s="198"/>
      <c r="R2136" s="198"/>
      <c r="S2136" s="198"/>
      <c r="T2136" s="198"/>
      <c r="U2136" s="198"/>
      <c r="V2136" s="198"/>
      <c r="W2136" s="198"/>
      <c r="X2136" s="198"/>
      <c r="Y2136" s="198"/>
      <c r="Z2136" s="198"/>
    </row>
    <row r="2137" spans="1:26" ht="15.75" hidden="1" customHeight="1" x14ac:dyDescent="0.25">
      <c r="A2137" s="213">
        <v>36533</v>
      </c>
      <c r="B2137" s="214" t="s">
        <v>10633</v>
      </c>
      <c r="C2137" s="215" t="s">
        <v>580</v>
      </c>
      <c r="D2137" s="216">
        <v>23367.69</v>
      </c>
      <c r="E2137" s="198"/>
      <c r="F2137" s="198"/>
      <c r="G2137" s="198"/>
      <c r="H2137" s="198"/>
      <c r="I2137" s="198"/>
      <c r="J2137" s="198"/>
      <c r="K2137" s="198"/>
      <c r="L2137" s="198"/>
      <c r="M2137" s="198"/>
      <c r="N2137" s="198"/>
      <c r="O2137" s="198"/>
      <c r="P2137" s="198"/>
      <c r="Q2137" s="198"/>
      <c r="R2137" s="198"/>
      <c r="S2137" s="198"/>
      <c r="T2137" s="198"/>
      <c r="U2137" s="198"/>
      <c r="V2137" s="198"/>
      <c r="W2137" s="198"/>
      <c r="X2137" s="198"/>
      <c r="Y2137" s="198"/>
      <c r="Z2137" s="198"/>
    </row>
    <row r="2138" spans="1:26" ht="15.75" hidden="1" customHeight="1" x14ac:dyDescent="0.25">
      <c r="A2138" s="213">
        <v>11616</v>
      </c>
      <c r="B2138" s="214" t="s">
        <v>10634</v>
      </c>
      <c r="C2138" s="215" t="s">
        <v>580</v>
      </c>
      <c r="D2138" s="216">
        <v>22070.43</v>
      </c>
      <c r="E2138" s="198"/>
      <c r="F2138" s="198"/>
      <c r="G2138" s="198"/>
      <c r="H2138" s="198"/>
      <c r="I2138" s="198"/>
      <c r="J2138" s="198"/>
      <c r="K2138" s="198"/>
      <c r="L2138" s="198"/>
      <c r="M2138" s="198"/>
      <c r="N2138" s="198"/>
      <c r="O2138" s="198"/>
      <c r="P2138" s="198"/>
      <c r="Q2138" s="198"/>
      <c r="R2138" s="198"/>
      <c r="S2138" s="198"/>
      <c r="T2138" s="198"/>
      <c r="U2138" s="198"/>
      <c r="V2138" s="198"/>
      <c r="W2138" s="198"/>
      <c r="X2138" s="198"/>
      <c r="Y2138" s="198"/>
      <c r="Z2138" s="198"/>
    </row>
    <row r="2139" spans="1:26" ht="15.75" hidden="1" customHeight="1" x14ac:dyDescent="0.25">
      <c r="A2139" s="213">
        <v>41898</v>
      </c>
      <c r="B2139" s="214" t="s">
        <v>10635</v>
      </c>
      <c r="C2139" s="215" t="s">
        <v>580</v>
      </c>
      <c r="D2139" s="216">
        <v>24832.240000000002</v>
      </c>
      <c r="E2139" s="198"/>
      <c r="F2139" s="198"/>
      <c r="G2139" s="198"/>
      <c r="H2139" s="198"/>
      <c r="I2139" s="198"/>
      <c r="J2139" s="198"/>
      <c r="K2139" s="198"/>
      <c r="L2139" s="198"/>
      <c r="M2139" s="198"/>
      <c r="N2139" s="198"/>
      <c r="O2139" s="198"/>
      <c r="P2139" s="198"/>
      <c r="Q2139" s="198"/>
      <c r="R2139" s="198"/>
      <c r="S2139" s="198"/>
      <c r="T2139" s="198"/>
      <c r="U2139" s="198"/>
      <c r="V2139" s="198"/>
      <c r="W2139" s="198"/>
      <c r="X2139" s="198"/>
      <c r="Y2139" s="198"/>
      <c r="Z2139" s="198"/>
    </row>
    <row r="2140" spans="1:26" ht="15.75" hidden="1" customHeight="1" x14ac:dyDescent="0.25">
      <c r="A2140" s="213">
        <v>13447</v>
      </c>
      <c r="B2140" s="214" t="s">
        <v>10636</v>
      </c>
      <c r="C2140" s="215" t="s">
        <v>580</v>
      </c>
      <c r="D2140" s="216">
        <v>45693.03</v>
      </c>
      <c r="E2140" s="198"/>
      <c r="F2140" s="198"/>
      <c r="G2140" s="198"/>
      <c r="H2140" s="198"/>
      <c r="I2140" s="198"/>
      <c r="J2140" s="198"/>
      <c r="K2140" s="198"/>
      <c r="L2140" s="198"/>
      <c r="M2140" s="198"/>
      <c r="N2140" s="198"/>
      <c r="O2140" s="198"/>
      <c r="P2140" s="198"/>
      <c r="Q2140" s="198"/>
      <c r="R2140" s="198"/>
      <c r="S2140" s="198"/>
      <c r="T2140" s="198"/>
      <c r="U2140" s="198"/>
      <c r="V2140" s="198"/>
      <c r="W2140" s="198"/>
      <c r="X2140" s="198"/>
      <c r="Y2140" s="198"/>
      <c r="Z2140" s="198"/>
    </row>
    <row r="2141" spans="1:26" ht="15.75" hidden="1" customHeight="1" x14ac:dyDescent="0.25">
      <c r="A2141" s="213">
        <v>14529</v>
      </c>
      <c r="B2141" s="214" t="s">
        <v>10637</v>
      </c>
      <c r="C2141" s="215" t="s">
        <v>580</v>
      </c>
      <c r="D2141" s="216">
        <v>25554.95</v>
      </c>
      <c r="E2141" s="198"/>
      <c r="F2141" s="198"/>
      <c r="G2141" s="198"/>
      <c r="H2141" s="198"/>
      <c r="I2141" s="198"/>
      <c r="J2141" s="198"/>
      <c r="K2141" s="198"/>
      <c r="L2141" s="198"/>
      <c r="M2141" s="198"/>
      <c r="N2141" s="198"/>
      <c r="O2141" s="198"/>
      <c r="P2141" s="198"/>
      <c r="Q2141" s="198"/>
      <c r="R2141" s="198"/>
      <c r="S2141" s="198"/>
      <c r="T2141" s="198"/>
      <c r="U2141" s="198"/>
      <c r="V2141" s="198"/>
      <c r="W2141" s="198"/>
      <c r="X2141" s="198"/>
      <c r="Y2141" s="198"/>
      <c r="Z2141" s="198"/>
    </row>
    <row r="2142" spans="1:26" ht="15.75" hidden="1" customHeight="1" x14ac:dyDescent="0.25">
      <c r="A2142" s="213">
        <v>10747</v>
      </c>
      <c r="B2142" s="214" t="s">
        <v>10638</v>
      </c>
      <c r="C2142" s="215" t="s">
        <v>580</v>
      </c>
      <c r="D2142" s="216">
        <v>25073.31</v>
      </c>
      <c r="E2142" s="198"/>
      <c r="F2142" s="198"/>
      <c r="G2142" s="198"/>
      <c r="H2142" s="198"/>
      <c r="I2142" s="198"/>
      <c r="J2142" s="198"/>
      <c r="K2142" s="198"/>
      <c r="L2142" s="198"/>
      <c r="M2142" s="198"/>
      <c r="N2142" s="198"/>
      <c r="O2142" s="198"/>
      <c r="P2142" s="198"/>
      <c r="Q2142" s="198"/>
      <c r="R2142" s="198"/>
      <c r="S2142" s="198"/>
      <c r="T2142" s="198"/>
      <c r="U2142" s="198"/>
      <c r="V2142" s="198"/>
      <c r="W2142" s="198"/>
      <c r="X2142" s="198"/>
      <c r="Y2142" s="198"/>
      <c r="Z2142" s="198"/>
    </row>
    <row r="2143" spans="1:26" ht="15.75" hidden="1" customHeight="1" x14ac:dyDescent="0.25">
      <c r="A2143" s="213">
        <v>36141</v>
      </c>
      <c r="B2143" s="214" t="s">
        <v>10639</v>
      </c>
      <c r="C2143" s="215" t="s">
        <v>580</v>
      </c>
      <c r="D2143" s="216">
        <v>42.93</v>
      </c>
      <c r="E2143" s="198"/>
      <c r="F2143" s="198"/>
      <c r="G2143" s="198"/>
      <c r="H2143" s="198"/>
      <c r="I2143" s="198"/>
      <c r="J2143" s="198"/>
      <c r="K2143" s="198"/>
      <c r="L2143" s="198"/>
      <c r="M2143" s="198"/>
      <c r="N2143" s="198"/>
      <c r="O2143" s="198"/>
      <c r="P2143" s="198"/>
      <c r="Q2143" s="198"/>
      <c r="R2143" s="198"/>
      <c r="S2143" s="198"/>
      <c r="T2143" s="198"/>
      <c r="U2143" s="198"/>
      <c r="V2143" s="198"/>
      <c r="W2143" s="198"/>
      <c r="X2143" s="198"/>
      <c r="Y2143" s="198"/>
      <c r="Z2143" s="198"/>
    </row>
    <row r="2144" spans="1:26" ht="15.75" hidden="1" customHeight="1" x14ac:dyDescent="0.25">
      <c r="A2144" s="213">
        <v>43651</v>
      </c>
      <c r="B2144" s="214" t="s">
        <v>10640</v>
      </c>
      <c r="C2144" s="215" t="s">
        <v>823</v>
      </c>
      <c r="D2144" s="216">
        <v>7.91</v>
      </c>
      <c r="E2144" s="198"/>
      <c r="F2144" s="198"/>
      <c r="G2144" s="198"/>
      <c r="H2144" s="198"/>
      <c r="I2144" s="198"/>
      <c r="J2144" s="198"/>
      <c r="K2144" s="198"/>
      <c r="L2144" s="198"/>
      <c r="M2144" s="198"/>
      <c r="N2144" s="198"/>
      <c r="O2144" s="198"/>
      <c r="P2144" s="198"/>
      <c r="Q2144" s="198"/>
      <c r="R2144" s="198"/>
      <c r="S2144" s="198"/>
      <c r="T2144" s="198"/>
      <c r="U2144" s="198"/>
      <c r="V2144" s="198"/>
      <c r="W2144" s="198"/>
      <c r="X2144" s="198"/>
      <c r="Y2144" s="198"/>
      <c r="Z2144" s="198"/>
    </row>
    <row r="2145" spans="1:26" ht="15.75" hidden="1" customHeight="1" x14ac:dyDescent="0.25">
      <c r="A2145" s="213">
        <v>43626</v>
      </c>
      <c r="B2145" s="214" t="s">
        <v>10641</v>
      </c>
      <c r="C2145" s="215" t="s">
        <v>823</v>
      </c>
      <c r="D2145" s="216">
        <v>4.4000000000000004</v>
      </c>
      <c r="E2145" s="198"/>
      <c r="F2145" s="198"/>
      <c r="G2145" s="198"/>
      <c r="H2145" s="198"/>
      <c r="I2145" s="198"/>
      <c r="J2145" s="198"/>
      <c r="K2145" s="198"/>
      <c r="L2145" s="198"/>
      <c r="M2145" s="198"/>
      <c r="N2145" s="198"/>
      <c r="O2145" s="198"/>
      <c r="P2145" s="198"/>
      <c r="Q2145" s="198"/>
      <c r="R2145" s="198"/>
      <c r="S2145" s="198"/>
      <c r="T2145" s="198"/>
      <c r="U2145" s="198"/>
      <c r="V2145" s="198"/>
      <c r="W2145" s="198"/>
      <c r="X2145" s="198"/>
      <c r="Y2145" s="198"/>
      <c r="Z2145" s="198"/>
    </row>
    <row r="2146" spans="1:26" ht="15.75" hidden="1" customHeight="1" x14ac:dyDescent="0.25">
      <c r="A2146" s="213">
        <v>39434</v>
      </c>
      <c r="B2146" s="214" t="s">
        <v>10642</v>
      </c>
      <c r="C2146" s="215" t="s">
        <v>823</v>
      </c>
      <c r="D2146" s="216">
        <v>3.72</v>
      </c>
      <c r="E2146" s="198"/>
      <c r="F2146" s="198"/>
      <c r="G2146" s="198"/>
      <c r="H2146" s="198"/>
      <c r="I2146" s="198"/>
      <c r="J2146" s="198"/>
      <c r="K2146" s="198"/>
      <c r="L2146" s="198"/>
      <c r="M2146" s="198"/>
      <c r="N2146" s="198"/>
      <c r="O2146" s="198"/>
      <c r="P2146" s="198"/>
      <c r="Q2146" s="198"/>
      <c r="R2146" s="198"/>
      <c r="S2146" s="198"/>
      <c r="T2146" s="198"/>
      <c r="U2146" s="198"/>
      <c r="V2146" s="198"/>
      <c r="W2146" s="198"/>
      <c r="X2146" s="198"/>
      <c r="Y2146" s="198"/>
      <c r="Z2146" s="198"/>
    </row>
    <row r="2147" spans="1:26" ht="15.75" hidden="1" customHeight="1" x14ac:dyDescent="0.25">
      <c r="A2147" s="213">
        <v>39433</v>
      </c>
      <c r="B2147" s="214" t="s">
        <v>10643</v>
      </c>
      <c r="C2147" s="215" t="s">
        <v>823</v>
      </c>
      <c r="D2147" s="216">
        <v>2.96</v>
      </c>
      <c r="E2147" s="198"/>
      <c r="F2147" s="198"/>
      <c r="G2147" s="198"/>
      <c r="H2147" s="198"/>
      <c r="I2147" s="198"/>
      <c r="J2147" s="198"/>
      <c r="K2147" s="198"/>
      <c r="L2147" s="198"/>
      <c r="M2147" s="198"/>
      <c r="N2147" s="198"/>
      <c r="O2147" s="198"/>
      <c r="P2147" s="198"/>
      <c r="Q2147" s="198"/>
      <c r="R2147" s="198"/>
      <c r="S2147" s="198"/>
      <c r="T2147" s="198"/>
      <c r="U2147" s="198"/>
      <c r="V2147" s="198"/>
      <c r="W2147" s="198"/>
      <c r="X2147" s="198"/>
      <c r="Y2147" s="198"/>
      <c r="Z2147" s="198"/>
    </row>
    <row r="2148" spans="1:26" ht="15.75" hidden="1" customHeight="1" x14ac:dyDescent="0.25">
      <c r="A2148" s="213">
        <v>4049</v>
      </c>
      <c r="B2148" s="214" t="s">
        <v>10644</v>
      </c>
      <c r="C2148" s="215" t="s">
        <v>517</v>
      </c>
      <c r="D2148" s="216">
        <v>88.31</v>
      </c>
      <c r="E2148" s="198"/>
      <c r="F2148" s="198"/>
      <c r="G2148" s="198"/>
      <c r="H2148" s="198"/>
      <c r="I2148" s="198"/>
      <c r="J2148" s="198"/>
      <c r="K2148" s="198"/>
      <c r="L2148" s="198"/>
      <c r="M2148" s="198"/>
      <c r="N2148" s="198"/>
      <c r="O2148" s="198"/>
      <c r="P2148" s="198"/>
      <c r="Q2148" s="198"/>
      <c r="R2148" s="198"/>
      <c r="S2148" s="198"/>
      <c r="T2148" s="198"/>
      <c r="U2148" s="198"/>
      <c r="V2148" s="198"/>
      <c r="W2148" s="198"/>
      <c r="X2148" s="198"/>
      <c r="Y2148" s="198"/>
      <c r="Z2148" s="198"/>
    </row>
    <row r="2149" spans="1:26" ht="15.75" hidden="1" customHeight="1" x14ac:dyDescent="0.25">
      <c r="A2149" s="213">
        <v>38120</v>
      </c>
      <c r="B2149" s="214" t="s">
        <v>10645</v>
      </c>
      <c r="C2149" s="215" t="s">
        <v>823</v>
      </c>
      <c r="D2149" s="216">
        <v>131.94</v>
      </c>
      <c r="E2149" s="198"/>
      <c r="F2149" s="198"/>
      <c r="G2149" s="198"/>
      <c r="H2149" s="198"/>
      <c r="I2149" s="198"/>
      <c r="J2149" s="198"/>
      <c r="K2149" s="198"/>
      <c r="L2149" s="198"/>
      <c r="M2149" s="198"/>
      <c r="N2149" s="198"/>
      <c r="O2149" s="198"/>
      <c r="P2149" s="198"/>
      <c r="Q2149" s="198"/>
      <c r="R2149" s="198"/>
      <c r="S2149" s="198"/>
      <c r="T2149" s="198"/>
      <c r="U2149" s="198"/>
      <c r="V2149" s="198"/>
      <c r="W2149" s="198"/>
      <c r="X2149" s="198"/>
      <c r="Y2149" s="198"/>
      <c r="Z2149" s="198"/>
    </row>
    <row r="2150" spans="1:26" ht="15.75" hidden="1" customHeight="1" x14ac:dyDescent="0.25">
      <c r="A2150" s="213">
        <v>43652</v>
      </c>
      <c r="B2150" s="214" t="s">
        <v>10646</v>
      </c>
      <c r="C2150" s="215" t="s">
        <v>823</v>
      </c>
      <c r="D2150" s="216">
        <v>17.73</v>
      </c>
      <c r="E2150" s="198"/>
      <c r="F2150" s="198"/>
      <c r="G2150" s="198"/>
      <c r="H2150" s="198"/>
      <c r="I2150" s="198"/>
      <c r="J2150" s="198"/>
      <c r="K2150" s="198"/>
      <c r="L2150" s="198"/>
      <c r="M2150" s="198"/>
      <c r="N2150" s="198"/>
      <c r="O2150" s="198"/>
      <c r="P2150" s="198"/>
      <c r="Q2150" s="198"/>
      <c r="R2150" s="198"/>
      <c r="S2150" s="198"/>
      <c r="T2150" s="198"/>
      <c r="U2150" s="198"/>
      <c r="V2150" s="198"/>
      <c r="W2150" s="198"/>
      <c r="X2150" s="198"/>
      <c r="Y2150" s="198"/>
      <c r="Z2150" s="198"/>
    </row>
    <row r="2151" spans="1:26" ht="15.75" hidden="1" customHeight="1" x14ac:dyDescent="0.25">
      <c r="A2151" s="213">
        <v>10498</v>
      </c>
      <c r="B2151" s="214" t="s">
        <v>10647</v>
      </c>
      <c r="C2151" s="215" t="s">
        <v>823</v>
      </c>
      <c r="D2151" s="216">
        <v>9.23</v>
      </c>
      <c r="E2151" s="198"/>
      <c r="F2151" s="198"/>
      <c r="G2151" s="198"/>
      <c r="H2151" s="198"/>
      <c r="I2151" s="198"/>
      <c r="J2151" s="198"/>
      <c r="K2151" s="198"/>
      <c r="L2151" s="198"/>
      <c r="M2151" s="198"/>
      <c r="N2151" s="198"/>
      <c r="O2151" s="198"/>
      <c r="P2151" s="198"/>
      <c r="Q2151" s="198"/>
      <c r="R2151" s="198"/>
      <c r="S2151" s="198"/>
      <c r="T2151" s="198"/>
      <c r="U2151" s="198"/>
      <c r="V2151" s="198"/>
      <c r="W2151" s="198"/>
      <c r="X2151" s="198"/>
      <c r="Y2151" s="198"/>
      <c r="Z2151" s="198"/>
    </row>
    <row r="2152" spans="1:26" ht="15.75" hidden="1" customHeight="1" x14ac:dyDescent="0.25">
      <c r="A2152" s="213">
        <v>4823</v>
      </c>
      <c r="B2152" s="214" t="s">
        <v>10648</v>
      </c>
      <c r="C2152" s="215" t="s">
        <v>823</v>
      </c>
      <c r="D2152" s="216">
        <v>35.119999999999997</v>
      </c>
      <c r="E2152" s="198"/>
      <c r="F2152" s="198"/>
      <c r="G2152" s="198"/>
      <c r="H2152" s="198"/>
      <c r="I2152" s="198"/>
      <c r="J2152" s="198"/>
      <c r="K2152" s="198"/>
      <c r="L2152" s="198"/>
      <c r="M2152" s="198"/>
      <c r="N2152" s="198"/>
      <c r="O2152" s="198"/>
      <c r="P2152" s="198"/>
      <c r="Q2152" s="198"/>
      <c r="R2152" s="198"/>
      <c r="S2152" s="198"/>
      <c r="T2152" s="198"/>
      <c r="U2152" s="198"/>
      <c r="V2152" s="198"/>
      <c r="W2152" s="198"/>
      <c r="X2152" s="198"/>
      <c r="Y2152" s="198"/>
      <c r="Z2152" s="198"/>
    </row>
    <row r="2153" spans="1:26" ht="15.75" hidden="1" customHeight="1" x14ac:dyDescent="0.25">
      <c r="A2153" s="213">
        <v>38877</v>
      </c>
      <c r="B2153" s="214" t="s">
        <v>10649</v>
      </c>
      <c r="C2153" s="215" t="s">
        <v>823</v>
      </c>
      <c r="D2153" s="216">
        <v>6.66</v>
      </c>
      <c r="E2153" s="198"/>
      <c r="F2153" s="198"/>
      <c r="G2153" s="198"/>
      <c r="H2153" s="198"/>
      <c r="I2153" s="198"/>
      <c r="J2153" s="198"/>
      <c r="K2153" s="198"/>
      <c r="L2153" s="198"/>
      <c r="M2153" s="198"/>
      <c r="N2153" s="198"/>
      <c r="O2153" s="198"/>
      <c r="P2153" s="198"/>
      <c r="Q2153" s="198"/>
      <c r="R2153" s="198"/>
      <c r="S2153" s="198"/>
      <c r="T2153" s="198"/>
      <c r="U2153" s="198"/>
      <c r="V2153" s="198"/>
      <c r="W2153" s="198"/>
      <c r="X2153" s="198"/>
      <c r="Y2153" s="198"/>
      <c r="Z2153" s="198"/>
    </row>
    <row r="2154" spans="1:26" ht="15.75" hidden="1" customHeight="1" x14ac:dyDescent="0.25">
      <c r="A2154" s="213">
        <v>34546</v>
      </c>
      <c r="B2154" s="214" t="s">
        <v>10650</v>
      </c>
      <c r="C2154" s="215" t="s">
        <v>823</v>
      </c>
      <c r="D2154" s="216">
        <v>6.85</v>
      </c>
      <c r="E2154" s="198"/>
      <c r="F2154" s="198"/>
      <c r="G2154" s="198"/>
      <c r="H2154" s="198"/>
      <c r="I2154" s="198"/>
      <c r="J2154" s="198"/>
      <c r="K2154" s="198"/>
      <c r="L2154" s="198"/>
      <c r="M2154" s="198"/>
      <c r="N2154" s="198"/>
      <c r="O2154" s="198"/>
      <c r="P2154" s="198"/>
      <c r="Q2154" s="198"/>
      <c r="R2154" s="198"/>
      <c r="S2154" s="198"/>
      <c r="T2154" s="198"/>
      <c r="U2154" s="198"/>
      <c r="V2154" s="198"/>
      <c r="W2154" s="198"/>
      <c r="X2154" s="198"/>
      <c r="Y2154" s="198"/>
      <c r="Z2154" s="198"/>
    </row>
    <row r="2155" spans="1:26" ht="15.75" hidden="1" customHeight="1" x14ac:dyDescent="0.25">
      <c r="A2155" s="213">
        <v>4058</v>
      </c>
      <c r="B2155" s="214" t="s">
        <v>10651</v>
      </c>
      <c r="C2155" s="215" t="s">
        <v>2193</v>
      </c>
      <c r="D2155" s="216">
        <v>32.130000000000003</v>
      </c>
      <c r="E2155" s="198"/>
      <c r="F2155" s="198"/>
      <c r="G2155" s="198"/>
      <c r="H2155" s="198"/>
      <c r="I2155" s="198"/>
      <c r="J2155" s="198"/>
      <c r="K2155" s="198"/>
      <c r="L2155" s="198"/>
      <c r="M2155" s="198"/>
      <c r="N2155" s="198"/>
      <c r="O2155" s="198"/>
      <c r="P2155" s="198"/>
      <c r="Q2155" s="198"/>
      <c r="R2155" s="198"/>
      <c r="S2155" s="198"/>
      <c r="T2155" s="198"/>
      <c r="U2155" s="198"/>
      <c r="V2155" s="198"/>
      <c r="W2155" s="198"/>
      <c r="X2155" s="198"/>
      <c r="Y2155" s="198"/>
      <c r="Z2155" s="198"/>
    </row>
    <row r="2156" spans="1:26" ht="15.75" hidden="1" customHeight="1" x14ac:dyDescent="0.25">
      <c r="A2156" s="213">
        <v>40974</v>
      </c>
      <c r="B2156" s="214" t="s">
        <v>10652</v>
      </c>
      <c r="C2156" s="215" t="s">
        <v>6214</v>
      </c>
      <c r="D2156" s="216">
        <v>5638.3</v>
      </c>
      <c r="E2156" s="198"/>
      <c r="F2156" s="198"/>
      <c r="G2156" s="198"/>
      <c r="H2156" s="198"/>
      <c r="I2156" s="198"/>
      <c r="J2156" s="198"/>
      <c r="K2156" s="198"/>
      <c r="L2156" s="198"/>
      <c r="M2156" s="198"/>
      <c r="N2156" s="198"/>
      <c r="O2156" s="198"/>
      <c r="P2156" s="198"/>
      <c r="Q2156" s="198"/>
      <c r="R2156" s="198"/>
      <c r="S2156" s="198"/>
      <c r="T2156" s="198"/>
      <c r="U2156" s="198"/>
      <c r="V2156" s="198"/>
      <c r="W2156" s="198"/>
      <c r="X2156" s="198"/>
      <c r="Y2156" s="198"/>
      <c r="Z2156" s="198"/>
    </row>
    <row r="2157" spans="1:26" ht="15.75" hidden="1" customHeight="1" x14ac:dyDescent="0.25">
      <c r="A2157" s="213">
        <v>34794</v>
      </c>
      <c r="B2157" s="214" t="s">
        <v>10653</v>
      </c>
      <c r="C2157" s="215" t="s">
        <v>2193</v>
      </c>
      <c r="D2157" s="216">
        <v>30.05</v>
      </c>
      <c r="E2157" s="198"/>
      <c r="F2157" s="198"/>
      <c r="G2157" s="198"/>
      <c r="H2157" s="198"/>
      <c r="I2157" s="198"/>
      <c r="J2157" s="198"/>
      <c r="K2157" s="198"/>
      <c r="L2157" s="198"/>
      <c r="M2157" s="198"/>
      <c r="N2157" s="198"/>
      <c r="O2157" s="198"/>
      <c r="P2157" s="198"/>
      <c r="Q2157" s="198"/>
      <c r="R2157" s="198"/>
      <c r="S2157" s="198"/>
      <c r="T2157" s="198"/>
      <c r="U2157" s="198"/>
      <c r="V2157" s="198"/>
      <c r="W2157" s="198"/>
      <c r="X2157" s="198"/>
      <c r="Y2157" s="198"/>
      <c r="Z2157" s="198"/>
    </row>
    <row r="2158" spans="1:26" ht="15.75" hidden="1" customHeight="1" x14ac:dyDescent="0.25">
      <c r="A2158" s="213">
        <v>40925</v>
      </c>
      <c r="B2158" s="214" t="s">
        <v>10654</v>
      </c>
      <c r="C2158" s="215" t="s">
        <v>6214</v>
      </c>
      <c r="D2158" s="216">
        <v>5274.87</v>
      </c>
      <c r="E2158" s="198"/>
      <c r="F2158" s="198"/>
      <c r="G2158" s="198"/>
      <c r="H2158" s="198"/>
      <c r="I2158" s="198"/>
      <c r="J2158" s="198"/>
      <c r="K2158" s="198"/>
      <c r="L2158" s="198"/>
      <c r="M2158" s="198"/>
      <c r="N2158" s="198"/>
      <c r="O2158" s="198"/>
      <c r="P2158" s="198"/>
      <c r="Q2158" s="198"/>
      <c r="R2158" s="198"/>
      <c r="S2158" s="198"/>
      <c r="T2158" s="198"/>
      <c r="U2158" s="198"/>
      <c r="V2158" s="198"/>
      <c r="W2158" s="198"/>
      <c r="X2158" s="198"/>
      <c r="Y2158" s="198"/>
      <c r="Z2158" s="198"/>
    </row>
    <row r="2159" spans="1:26" ht="15.75" hidden="1" customHeight="1" x14ac:dyDescent="0.25">
      <c r="A2159" s="213">
        <v>13741</v>
      </c>
      <c r="B2159" s="214" t="s">
        <v>10655</v>
      </c>
      <c r="C2159" s="215" t="s">
        <v>580</v>
      </c>
      <c r="D2159" s="216">
        <v>2460.1</v>
      </c>
      <c r="E2159" s="198"/>
      <c r="F2159" s="198"/>
      <c r="G2159" s="198"/>
      <c r="H2159" s="198"/>
      <c r="I2159" s="198"/>
      <c r="J2159" s="198"/>
      <c r="K2159" s="198"/>
      <c r="L2159" s="198"/>
      <c r="M2159" s="198"/>
      <c r="N2159" s="198"/>
      <c r="O2159" s="198"/>
      <c r="P2159" s="198"/>
      <c r="Q2159" s="198"/>
      <c r="R2159" s="198"/>
      <c r="S2159" s="198"/>
      <c r="T2159" s="198"/>
      <c r="U2159" s="198"/>
      <c r="V2159" s="198"/>
      <c r="W2159" s="198"/>
      <c r="X2159" s="198"/>
      <c r="Y2159" s="198"/>
      <c r="Z2159" s="198"/>
    </row>
    <row r="2160" spans="1:26" ht="15.75" hidden="1" customHeight="1" x14ac:dyDescent="0.25">
      <c r="A2160" s="213">
        <v>3288</v>
      </c>
      <c r="B2160" s="214" t="s">
        <v>10656</v>
      </c>
      <c r="C2160" s="215" t="s">
        <v>585</v>
      </c>
      <c r="D2160" s="216">
        <v>7.5</v>
      </c>
      <c r="E2160" s="198"/>
      <c r="F2160" s="198"/>
      <c r="G2160" s="198"/>
      <c r="H2160" s="198"/>
      <c r="I2160" s="198"/>
      <c r="J2160" s="198"/>
      <c r="K2160" s="198"/>
      <c r="L2160" s="198"/>
      <c r="M2160" s="198"/>
      <c r="N2160" s="198"/>
      <c r="O2160" s="198"/>
      <c r="P2160" s="198"/>
      <c r="Q2160" s="198"/>
      <c r="R2160" s="198"/>
      <c r="S2160" s="198"/>
      <c r="T2160" s="198"/>
      <c r="U2160" s="198"/>
      <c r="V2160" s="198"/>
      <c r="W2160" s="198"/>
      <c r="X2160" s="198"/>
      <c r="Y2160" s="198"/>
      <c r="Z2160" s="198"/>
    </row>
    <row r="2161" spans="1:26" ht="15.75" hidden="1" customHeight="1" x14ac:dyDescent="0.25">
      <c r="A2161" s="213">
        <v>13587</v>
      </c>
      <c r="B2161" s="214" t="s">
        <v>10657</v>
      </c>
      <c r="C2161" s="215" t="s">
        <v>585</v>
      </c>
      <c r="D2161" s="216">
        <v>4.53</v>
      </c>
      <c r="E2161" s="198"/>
      <c r="F2161" s="198"/>
      <c r="G2161" s="198"/>
      <c r="H2161" s="198"/>
      <c r="I2161" s="198"/>
      <c r="J2161" s="198"/>
      <c r="K2161" s="198"/>
      <c r="L2161" s="198"/>
      <c r="M2161" s="198"/>
      <c r="N2161" s="198"/>
      <c r="O2161" s="198"/>
      <c r="P2161" s="198"/>
      <c r="Q2161" s="198"/>
      <c r="R2161" s="198"/>
      <c r="S2161" s="198"/>
      <c r="T2161" s="198"/>
      <c r="U2161" s="198"/>
      <c r="V2161" s="198"/>
      <c r="W2161" s="198"/>
      <c r="X2161" s="198"/>
      <c r="Y2161" s="198"/>
      <c r="Z2161" s="198"/>
    </row>
    <row r="2162" spans="1:26" ht="15.75" hidden="1" customHeight="1" x14ac:dyDescent="0.25">
      <c r="A2162" s="213">
        <v>38598</v>
      </c>
      <c r="B2162" s="214" t="s">
        <v>10658</v>
      </c>
      <c r="C2162" s="215" t="s">
        <v>580</v>
      </c>
      <c r="D2162" s="216">
        <v>2.95</v>
      </c>
      <c r="E2162" s="198"/>
      <c r="F2162" s="198"/>
      <c r="G2162" s="198"/>
      <c r="H2162" s="198"/>
      <c r="I2162" s="198"/>
      <c r="J2162" s="198"/>
      <c r="K2162" s="198"/>
      <c r="L2162" s="198"/>
      <c r="M2162" s="198"/>
      <c r="N2162" s="198"/>
      <c r="O2162" s="198"/>
      <c r="P2162" s="198"/>
      <c r="Q2162" s="198"/>
      <c r="R2162" s="198"/>
      <c r="S2162" s="198"/>
      <c r="T2162" s="198"/>
      <c r="U2162" s="198"/>
      <c r="V2162" s="198"/>
      <c r="W2162" s="198"/>
      <c r="X2162" s="198"/>
      <c r="Y2162" s="198"/>
      <c r="Z2162" s="198"/>
    </row>
    <row r="2163" spans="1:26" ht="15.75" hidden="1" customHeight="1" x14ac:dyDescent="0.25">
      <c r="A2163" s="213">
        <v>38595</v>
      </c>
      <c r="B2163" s="214" t="s">
        <v>10659</v>
      </c>
      <c r="C2163" s="215" t="s">
        <v>580</v>
      </c>
      <c r="D2163" s="216">
        <v>2.5</v>
      </c>
      <c r="E2163" s="198"/>
      <c r="F2163" s="198"/>
      <c r="G2163" s="198"/>
      <c r="H2163" s="198"/>
      <c r="I2163" s="198"/>
      <c r="J2163" s="198"/>
      <c r="K2163" s="198"/>
      <c r="L2163" s="198"/>
      <c r="M2163" s="198"/>
      <c r="N2163" s="198"/>
      <c r="O2163" s="198"/>
      <c r="P2163" s="198"/>
      <c r="Q2163" s="198"/>
      <c r="R2163" s="198"/>
      <c r="S2163" s="198"/>
      <c r="T2163" s="198"/>
      <c r="U2163" s="198"/>
      <c r="V2163" s="198"/>
      <c r="W2163" s="198"/>
      <c r="X2163" s="198"/>
      <c r="Y2163" s="198"/>
      <c r="Z2163" s="198"/>
    </row>
    <row r="2164" spans="1:26" ht="15.75" hidden="1" customHeight="1" x14ac:dyDescent="0.25">
      <c r="A2164" s="213">
        <v>38592</v>
      </c>
      <c r="B2164" s="214" t="s">
        <v>10660</v>
      </c>
      <c r="C2164" s="215" t="s">
        <v>580</v>
      </c>
      <c r="D2164" s="216">
        <v>2.52</v>
      </c>
      <c r="E2164" s="198"/>
      <c r="F2164" s="198"/>
      <c r="G2164" s="198"/>
      <c r="H2164" s="198"/>
      <c r="I2164" s="198"/>
      <c r="J2164" s="198"/>
      <c r="K2164" s="198"/>
      <c r="L2164" s="198"/>
      <c r="M2164" s="198"/>
      <c r="N2164" s="198"/>
      <c r="O2164" s="198"/>
      <c r="P2164" s="198"/>
      <c r="Q2164" s="198"/>
      <c r="R2164" s="198"/>
      <c r="S2164" s="198"/>
      <c r="T2164" s="198"/>
      <c r="U2164" s="198"/>
      <c r="V2164" s="198"/>
      <c r="W2164" s="198"/>
      <c r="X2164" s="198"/>
      <c r="Y2164" s="198"/>
      <c r="Z2164" s="198"/>
    </row>
    <row r="2165" spans="1:26" ht="15.75" hidden="1" customHeight="1" x14ac:dyDescent="0.25">
      <c r="A2165" s="213">
        <v>38588</v>
      </c>
      <c r="B2165" s="214" t="s">
        <v>10661</v>
      </c>
      <c r="C2165" s="215" t="s">
        <v>580</v>
      </c>
      <c r="D2165" s="216">
        <v>2.02</v>
      </c>
      <c r="E2165" s="198"/>
      <c r="F2165" s="198"/>
      <c r="G2165" s="198"/>
      <c r="H2165" s="198"/>
      <c r="I2165" s="198"/>
      <c r="J2165" s="198"/>
      <c r="K2165" s="198"/>
      <c r="L2165" s="198"/>
      <c r="M2165" s="198"/>
      <c r="N2165" s="198"/>
      <c r="O2165" s="198"/>
      <c r="P2165" s="198"/>
      <c r="Q2165" s="198"/>
      <c r="R2165" s="198"/>
      <c r="S2165" s="198"/>
      <c r="T2165" s="198"/>
      <c r="U2165" s="198"/>
      <c r="V2165" s="198"/>
      <c r="W2165" s="198"/>
      <c r="X2165" s="198"/>
      <c r="Y2165" s="198"/>
      <c r="Z2165" s="198"/>
    </row>
    <row r="2166" spans="1:26" ht="15.75" hidden="1" customHeight="1" x14ac:dyDescent="0.25">
      <c r="A2166" s="213">
        <v>38593</v>
      </c>
      <c r="B2166" s="214" t="s">
        <v>10662</v>
      </c>
      <c r="C2166" s="215" t="s">
        <v>580</v>
      </c>
      <c r="D2166" s="216">
        <v>2.79</v>
      </c>
      <c r="E2166" s="198"/>
      <c r="F2166" s="198"/>
      <c r="G2166" s="198"/>
      <c r="H2166" s="198"/>
      <c r="I2166" s="198"/>
      <c r="J2166" s="198"/>
      <c r="K2166" s="198"/>
      <c r="L2166" s="198"/>
      <c r="M2166" s="198"/>
      <c r="N2166" s="198"/>
      <c r="O2166" s="198"/>
      <c r="P2166" s="198"/>
      <c r="Q2166" s="198"/>
      <c r="R2166" s="198"/>
      <c r="S2166" s="198"/>
      <c r="T2166" s="198"/>
      <c r="U2166" s="198"/>
      <c r="V2166" s="198"/>
      <c r="W2166" s="198"/>
      <c r="X2166" s="198"/>
      <c r="Y2166" s="198"/>
      <c r="Z2166" s="198"/>
    </row>
    <row r="2167" spans="1:26" ht="15.75" hidden="1" customHeight="1" x14ac:dyDescent="0.25">
      <c r="A2167" s="213">
        <v>38589</v>
      </c>
      <c r="B2167" s="214" t="s">
        <v>10663</v>
      </c>
      <c r="C2167" s="215" t="s">
        <v>580</v>
      </c>
      <c r="D2167" s="216">
        <v>2.12</v>
      </c>
      <c r="E2167" s="198"/>
      <c r="F2167" s="198"/>
      <c r="G2167" s="198"/>
      <c r="H2167" s="198"/>
      <c r="I2167" s="198"/>
      <c r="J2167" s="198"/>
      <c r="K2167" s="198"/>
      <c r="L2167" s="198"/>
      <c r="M2167" s="198"/>
      <c r="N2167" s="198"/>
      <c r="O2167" s="198"/>
      <c r="P2167" s="198"/>
      <c r="Q2167" s="198"/>
      <c r="R2167" s="198"/>
      <c r="S2167" s="198"/>
      <c r="T2167" s="198"/>
      <c r="U2167" s="198"/>
      <c r="V2167" s="198"/>
      <c r="W2167" s="198"/>
      <c r="X2167" s="198"/>
      <c r="Y2167" s="198"/>
      <c r="Z2167" s="198"/>
    </row>
    <row r="2168" spans="1:26" ht="15.75" hidden="1" customHeight="1" x14ac:dyDescent="0.25">
      <c r="A2168" s="213">
        <v>38594</v>
      </c>
      <c r="B2168" s="214" t="s">
        <v>10664</v>
      </c>
      <c r="C2168" s="215" t="s">
        <v>580</v>
      </c>
      <c r="D2168" s="216">
        <v>4.4000000000000004</v>
      </c>
      <c r="E2168" s="198"/>
      <c r="F2168" s="198"/>
      <c r="G2168" s="198"/>
      <c r="H2168" s="198"/>
      <c r="I2168" s="198"/>
      <c r="J2168" s="198"/>
      <c r="K2168" s="198"/>
      <c r="L2168" s="198"/>
      <c r="M2168" s="198"/>
      <c r="N2168" s="198"/>
      <c r="O2168" s="198"/>
      <c r="P2168" s="198"/>
      <c r="Q2168" s="198"/>
      <c r="R2168" s="198"/>
      <c r="S2168" s="198"/>
      <c r="T2168" s="198"/>
      <c r="U2168" s="198"/>
      <c r="V2168" s="198"/>
      <c r="W2168" s="198"/>
      <c r="X2168" s="198"/>
      <c r="Y2168" s="198"/>
      <c r="Z2168" s="198"/>
    </row>
    <row r="2169" spans="1:26" ht="15.75" hidden="1" customHeight="1" x14ac:dyDescent="0.25">
      <c r="A2169" s="213">
        <v>34774</v>
      </c>
      <c r="B2169" s="214" t="s">
        <v>10665</v>
      </c>
      <c r="C2169" s="215" t="s">
        <v>580</v>
      </c>
      <c r="D2169" s="216">
        <v>1.98</v>
      </c>
      <c r="E2169" s="198"/>
      <c r="F2169" s="198"/>
      <c r="G2169" s="198"/>
      <c r="H2169" s="198"/>
      <c r="I2169" s="198"/>
      <c r="J2169" s="198"/>
      <c r="K2169" s="198"/>
      <c r="L2169" s="198"/>
      <c r="M2169" s="198"/>
      <c r="N2169" s="198"/>
      <c r="O2169" s="198"/>
      <c r="P2169" s="198"/>
      <c r="Q2169" s="198"/>
      <c r="R2169" s="198"/>
      <c r="S2169" s="198"/>
      <c r="T2169" s="198"/>
      <c r="U2169" s="198"/>
      <c r="V2169" s="198"/>
      <c r="W2169" s="198"/>
      <c r="X2169" s="198"/>
      <c r="Y2169" s="198"/>
      <c r="Z2169" s="198"/>
    </row>
    <row r="2170" spans="1:26" ht="15.75" hidden="1" customHeight="1" x14ac:dyDescent="0.25">
      <c r="A2170" s="213">
        <v>34771</v>
      </c>
      <c r="B2170" s="214" t="s">
        <v>10666</v>
      </c>
      <c r="C2170" s="215" t="s">
        <v>580</v>
      </c>
      <c r="D2170" s="216">
        <v>2.38</v>
      </c>
      <c r="E2170" s="198"/>
      <c r="F2170" s="198"/>
      <c r="G2170" s="198"/>
      <c r="H2170" s="198"/>
      <c r="I2170" s="198"/>
      <c r="J2170" s="198"/>
      <c r="K2170" s="198"/>
      <c r="L2170" s="198"/>
      <c r="M2170" s="198"/>
      <c r="N2170" s="198"/>
      <c r="O2170" s="198"/>
      <c r="P2170" s="198"/>
      <c r="Q2170" s="198"/>
      <c r="R2170" s="198"/>
      <c r="S2170" s="198"/>
      <c r="T2170" s="198"/>
      <c r="U2170" s="198"/>
      <c r="V2170" s="198"/>
      <c r="W2170" s="198"/>
      <c r="X2170" s="198"/>
      <c r="Y2170" s="198"/>
      <c r="Z2170" s="198"/>
    </row>
    <row r="2171" spans="1:26" ht="15.75" hidden="1" customHeight="1" x14ac:dyDescent="0.25">
      <c r="A2171" s="213">
        <v>34764</v>
      </c>
      <c r="B2171" s="214" t="s">
        <v>10667</v>
      </c>
      <c r="C2171" s="215" t="s">
        <v>580</v>
      </c>
      <c r="D2171" s="216">
        <v>1.56</v>
      </c>
      <c r="E2171" s="198"/>
      <c r="F2171" s="198"/>
      <c r="G2171" s="198"/>
      <c r="H2171" s="198"/>
      <c r="I2171" s="198"/>
      <c r="J2171" s="198"/>
      <c r="K2171" s="198"/>
      <c r="L2171" s="198"/>
      <c r="M2171" s="198"/>
      <c r="N2171" s="198"/>
      <c r="O2171" s="198"/>
      <c r="P2171" s="198"/>
      <c r="Q2171" s="198"/>
      <c r="R2171" s="198"/>
      <c r="S2171" s="198"/>
      <c r="T2171" s="198"/>
      <c r="U2171" s="198"/>
      <c r="V2171" s="198"/>
      <c r="W2171" s="198"/>
      <c r="X2171" s="198"/>
      <c r="Y2171" s="198"/>
      <c r="Z2171" s="198"/>
    </row>
    <row r="2172" spans="1:26" ht="15.75" hidden="1" customHeight="1" x14ac:dyDescent="0.25">
      <c r="A2172" s="213">
        <v>34773</v>
      </c>
      <c r="B2172" s="214" t="s">
        <v>10668</v>
      </c>
      <c r="C2172" s="215" t="s">
        <v>580</v>
      </c>
      <c r="D2172" s="216">
        <v>2.08</v>
      </c>
      <c r="E2172" s="198"/>
      <c r="F2172" s="198"/>
      <c r="G2172" s="198"/>
      <c r="H2172" s="198"/>
      <c r="I2172" s="198"/>
      <c r="J2172" s="198"/>
      <c r="K2172" s="198"/>
      <c r="L2172" s="198"/>
      <c r="M2172" s="198"/>
      <c r="N2172" s="198"/>
      <c r="O2172" s="198"/>
      <c r="P2172" s="198"/>
      <c r="Q2172" s="198"/>
      <c r="R2172" s="198"/>
      <c r="S2172" s="198"/>
      <c r="T2172" s="198"/>
      <c r="U2172" s="198"/>
      <c r="V2172" s="198"/>
      <c r="W2172" s="198"/>
      <c r="X2172" s="198"/>
      <c r="Y2172" s="198"/>
      <c r="Z2172" s="198"/>
    </row>
    <row r="2173" spans="1:26" ht="15.75" hidden="1" customHeight="1" x14ac:dyDescent="0.25">
      <c r="A2173" s="213">
        <v>34769</v>
      </c>
      <c r="B2173" s="214" t="s">
        <v>10669</v>
      </c>
      <c r="C2173" s="215" t="s">
        <v>580</v>
      </c>
      <c r="D2173" s="216">
        <v>2.58</v>
      </c>
      <c r="E2173" s="198"/>
      <c r="F2173" s="198"/>
      <c r="G2173" s="198"/>
      <c r="H2173" s="198"/>
      <c r="I2173" s="198"/>
      <c r="J2173" s="198"/>
      <c r="K2173" s="198"/>
      <c r="L2173" s="198"/>
      <c r="M2173" s="198"/>
      <c r="N2173" s="198"/>
      <c r="O2173" s="198"/>
      <c r="P2173" s="198"/>
      <c r="Q2173" s="198"/>
      <c r="R2173" s="198"/>
      <c r="S2173" s="198"/>
      <c r="T2173" s="198"/>
      <c r="U2173" s="198"/>
      <c r="V2173" s="198"/>
      <c r="W2173" s="198"/>
      <c r="X2173" s="198"/>
      <c r="Y2173" s="198"/>
      <c r="Z2173" s="198"/>
    </row>
    <row r="2174" spans="1:26" ht="15.75" hidden="1" customHeight="1" x14ac:dyDescent="0.25">
      <c r="A2174" s="213">
        <v>34763</v>
      </c>
      <c r="B2174" s="214" t="s">
        <v>10670</v>
      </c>
      <c r="C2174" s="215" t="s">
        <v>580</v>
      </c>
      <c r="D2174" s="216">
        <v>1.59</v>
      </c>
      <c r="E2174" s="198"/>
      <c r="F2174" s="198"/>
      <c r="G2174" s="198"/>
      <c r="H2174" s="198"/>
      <c r="I2174" s="198"/>
      <c r="J2174" s="198"/>
      <c r="K2174" s="198"/>
      <c r="L2174" s="198"/>
      <c r="M2174" s="198"/>
      <c r="N2174" s="198"/>
      <c r="O2174" s="198"/>
      <c r="P2174" s="198"/>
      <c r="Q2174" s="198"/>
      <c r="R2174" s="198"/>
      <c r="S2174" s="198"/>
      <c r="T2174" s="198"/>
      <c r="U2174" s="198"/>
      <c r="V2174" s="198"/>
      <c r="W2174" s="198"/>
      <c r="X2174" s="198"/>
      <c r="Y2174" s="198"/>
      <c r="Z2174" s="198"/>
    </row>
    <row r="2175" spans="1:26" ht="15.75" hidden="1" customHeight="1" x14ac:dyDescent="0.25">
      <c r="A2175" s="213">
        <v>34788</v>
      </c>
      <c r="B2175" s="214" t="s">
        <v>10671</v>
      </c>
      <c r="C2175" s="215" t="s">
        <v>580</v>
      </c>
      <c r="D2175" s="216">
        <v>1.21</v>
      </c>
      <c r="E2175" s="198"/>
      <c r="F2175" s="198"/>
      <c r="G2175" s="198"/>
      <c r="H2175" s="198"/>
      <c r="I2175" s="198"/>
      <c r="J2175" s="198"/>
      <c r="K2175" s="198"/>
      <c r="L2175" s="198"/>
      <c r="M2175" s="198"/>
      <c r="N2175" s="198"/>
      <c r="O2175" s="198"/>
      <c r="P2175" s="198"/>
      <c r="Q2175" s="198"/>
      <c r="R2175" s="198"/>
      <c r="S2175" s="198"/>
      <c r="T2175" s="198"/>
      <c r="U2175" s="198"/>
      <c r="V2175" s="198"/>
      <c r="W2175" s="198"/>
      <c r="X2175" s="198"/>
      <c r="Y2175" s="198"/>
      <c r="Z2175" s="198"/>
    </row>
    <row r="2176" spans="1:26" ht="15.75" hidden="1" customHeight="1" x14ac:dyDescent="0.25">
      <c r="A2176" s="213">
        <v>34781</v>
      </c>
      <c r="B2176" s="214" t="s">
        <v>10672</v>
      </c>
      <c r="C2176" s="215" t="s">
        <v>580</v>
      </c>
      <c r="D2176" s="216">
        <v>1.67</v>
      </c>
      <c r="E2176" s="198"/>
      <c r="F2176" s="198"/>
      <c r="G2176" s="198"/>
      <c r="H2176" s="198"/>
      <c r="I2176" s="198"/>
      <c r="J2176" s="198"/>
      <c r="K2176" s="198"/>
      <c r="L2176" s="198"/>
      <c r="M2176" s="198"/>
      <c r="N2176" s="198"/>
      <c r="O2176" s="198"/>
      <c r="P2176" s="198"/>
      <c r="Q2176" s="198"/>
      <c r="R2176" s="198"/>
      <c r="S2176" s="198"/>
      <c r="T2176" s="198"/>
      <c r="U2176" s="198"/>
      <c r="V2176" s="198"/>
      <c r="W2176" s="198"/>
      <c r="X2176" s="198"/>
      <c r="Y2176" s="198"/>
      <c r="Z2176" s="198"/>
    </row>
    <row r="2177" spans="1:26" ht="15.75" hidden="1" customHeight="1" x14ac:dyDescent="0.25">
      <c r="A2177" s="213">
        <v>41682</v>
      </c>
      <c r="B2177" s="214" t="s">
        <v>10673</v>
      </c>
      <c r="C2177" s="215" t="s">
        <v>580</v>
      </c>
      <c r="D2177" s="216">
        <v>31.93</v>
      </c>
      <c r="E2177" s="198"/>
      <c r="F2177" s="198"/>
      <c r="G2177" s="198"/>
      <c r="H2177" s="198"/>
      <c r="I2177" s="198"/>
      <c r="J2177" s="198"/>
      <c r="K2177" s="198"/>
      <c r="L2177" s="198"/>
      <c r="M2177" s="198"/>
      <c r="N2177" s="198"/>
      <c r="O2177" s="198"/>
      <c r="P2177" s="198"/>
      <c r="Q2177" s="198"/>
      <c r="R2177" s="198"/>
      <c r="S2177" s="198"/>
      <c r="T2177" s="198"/>
      <c r="U2177" s="198"/>
      <c r="V2177" s="198"/>
      <c r="W2177" s="198"/>
      <c r="X2177" s="198"/>
      <c r="Y2177" s="198"/>
      <c r="Z2177" s="198"/>
    </row>
    <row r="2178" spans="1:26" ht="15.75" hidden="1" customHeight="1" x14ac:dyDescent="0.25">
      <c r="A2178" s="213">
        <v>41683</v>
      </c>
      <c r="B2178" s="214" t="s">
        <v>10674</v>
      </c>
      <c r="C2178" s="215" t="s">
        <v>580</v>
      </c>
      <c r="D2178" s="216">
        <v>23.49</v>
      </c>
      <c r="E2178" s="198"/>
      <c r="F2178" s="198"/>
      <c r="G2178" s="198"/>
      <c r="H2178" s="198"/>
      <c r="I2178" s="198"/>
      <c r="J2178" s="198"/>
      <c r="K2178" s="198"/>
      <c r="L2178" s="198"/>
      <c r="M2178" s="198"/>
      <c r="N2178" s="198"/>
      <c r="O2178" s="198"/>
      <c r="P2178" s="198"/>
      <c r="Q2178" s="198"/>
      <c r="R2178" s="198"/>
      <c r="S2178" s="198"/>
      <c r="T2178" s="198"/>
      <c r="U2178" s="198"/>
      <c r="V2178" s="198"/>
      <c r="W2178" s="198"/>
      <c r="X2178" s="198"/>
      <c r="Y2178" s="198"/>
      <c r="Z2178" s="198"/>
    </row>
    <row r="2179" spans="1:26" ht="15.75" hidden="1" customHeight="1" x14ac:dyDescent="0.25">
      <c r="A2179" s="213">
        <v>41680</v>
      </c>
      <c r="B2179" s="214" t="s">
        <v>10675</v>
      </c>
      <c r="C2179" s="215" t="s">
        <v>580</v>
      </c>
      <c r="D2179" s="216">
        <v>12.65</v>
      </c>
      <c r="E2179" s="198"/>
      <c r="F2179" s="198"/>
      <c r="G2179" s="198"/>
      <c r="H2179" s="198"/>
      <c r="I2179" s="198"/>
      <c r="J2179" s="198"/>
      <c r="K2179" s="198"/>
      <c r="L2179" s="198"/>
      <c r="M2179" s="198"/>
      <c r="N2179" s="198"/>
      <c r="O2179" s="198"/>
      <c r="P2179" s="198"/>
      <c r="Q2179" s="198"/>
      <c r="R2179" s="198"/>
      <c r="S2179" s="198"/>
      <c r="T2179" s="198"/>
      <c r="U2179" s="198"/>
      <c r="V2179" s="198"/>
      <c r="W2179" s="198"/>
      <c r="X2179" s="198"/>
      <c r="Y2179" s="198"/>
      <c r="Z2179" s="198"/>
    </row>
    <row r="2180" spans="1:26" ht="15.75" hidden="1" customHeight="1" x14ac:dyDescent="0.25">
      <c r="A2180" s="213">
        <v>41679</v>
      </c>
      <c r="B2180" s="214" t="s">
        <v>10676</v>
      </c>
      <c r="C2180" s="215" t="s">
        <v>580</v>
      </c>
      <c r="D2180" s="216">
        <v>28.91</v>
      </c>
      <c r="E2180" s="198"/>
      <c r="F2180" s="198"/>
      <c r="G2180" s="198"/>
      <c r="H2180" s="198"/>
      <c r="I2180" s="198"/>
      <c r="J2180" s="198"/>
      <c r="K2180" s="198"/>
      <c r="L2180" s="198"/>
      <c r="M2180" s="198"/>
      <c r="N2180" s="198"/>
      <c r="O2180" s="198"/>
      <c r="P2180" s="198"/>
      <c r="Q2180" s="198"/>
      <c r="R2180" s="198"/>
      <c r="S2180" s="198"/>
      <c r="T2180" s="198"/>
      <c r="U2180" s="198"/>
      <c r="V2180" s="198"/>
      <c r="W2180" s="198"/>
      <c r="X2180" s="198"/>
      <c r="Y2180" s="198"/>
      <c r="Z2180" s="198"/>
    </row>
    <row r="2181" spans="1:26" ht="15.75" hidden="1" customHeight="1" x14ac:dyDescent="0.25">
      <c r="A2181" s="213">
        <v>41681</v>
      </c>
      <c r="B2181" s="214" t="s">
        <v>10677</v>
      </c>
      <c r="C2181" s="215" t="s">
        <v>580</v>
      </c>
      <c r="D2181" s="216">
        <v>19.78</v>
      </c>
      <c r="E2181" s="198"/>
      <c r="F2181" s="198"/>
      <c r="G2181" s="198"/>
      <c r="H2181" s="198"/>
      <c r="I2181" s="198"/>
      <c r="J2181" s="198"/>
      <c r="K2181" s="198"/>
      <c r="L2181" s="198"/>
      <c r="M2181" s="198"/>
      <c r="N2181" s="198"/>
      <c r="O2181" s="198"/>
      <c r="P2181" s="198"/>
      <c r="Q2181" s="198"/>
      <c r="R2181" s="198"/>
      <c r="S2181" s="198"/>
      <c r="T2181" s="198"/>
      <c r="U2181" s="198"/>
      <c r="V2181" s="198"/>
      <c r="W2181" s="198"/>
      <c r="X2181" s="198"/>
      <c r="Y2181" s="198"/>
      <c r="Z2181" s="198"/>
    </row>
    <row r="2182" spans="1:26" ht="15.75" hidden="1" customHeight="1" x14ac:dyDescent="0.25">
      <c r="A2182" s="213">
        <v>43386</v>
      </c>
      <c r="B2182" s="214" t="s">
        <v>10678</v>
      </c>
      <c r="C2182" s="215" t="s">
        <v>580</v>
      </c>
      <c r="D2182" s="216">
        <v>45.18</v>
      </c>
      <c r="E2182" s="198"/>
      <c r="F2182" s="198"/>
      <c r="G2182" s="198"/>
      <c r="H2182" s="198"/>
      <c r="I2182" s="198"/>
      <c r="J2182" s="198"/>
      <c r="K2182" s="198"/>
      <c r="L2182" s="198"/>
      <c r="M2182" s="198"/>
      <c r="N2182" s="198"/>
      <c r="O2182" s="198"/>
      <c r="P2182" s="198"/>
      <c r="Q2182" s="198"/>
      <c r="R2182" s="198"/>
      <c r="S2182" s="198"/>
      <c r="T2182" s="198"/>
      <c r="U2182" s="198"/>
      <c r="V2182" s="198"/>
      <c r="W2182" s="198"/>
      <c r="X2182" s="198"/>
      <c r="Y2182" s="198"/>
      <c r="Z2182" s="198"/>
    </row>
    <row r="2183" spans="1:26" ht="15.75" hidden="1" customHeight="1" x14ac:dyDescent="0.25">
      <c r="A2183" s="213">
        <v>4059</v>
      </c>
      <c r="B2183" s="214" t="s">
        <v>10679</v>
      </c>
      <c r="C2183" s="215" t="s">
        <v>585</v>
      </c>
      <c r="D2183" s="216">
        <v>31.93</v>
      </c>
      <c r="E2183" s="198"/>
      <c r="F2183" s="198"/>
      <c r="G2183" s="198"/>
      <c r="H2183" s="198"/>
      <c r="I2183" s="198"/>
      <c r="J2183" s="198"/>
      <c r="K2183" s="198"/>
      <c r="L2183" s="198"/>
      <c r="M2183" s="198"/>
      <c r="N2183" s="198"/>
      <c r="O2183" s="198"/>
      <c r="P2183" s="198"/>
      <c r="Q2183" s="198"/>
      <c r="R2183" s="198"/>
      <c r="S2183" s="198"/>
      <c r="T2183" s="198"/>
      <c r="U2183" s="198"/>
      <c r="V2183" s="198"/>
      <c r="W2183" s="198"/>
      <c r="X2183" s="198"/>
      <c r="Y2183" s="198"/>
      <c r="Z2183" s="198"/>
    </row>
    <row r="2184" spans="1:26" ht="15.75" hidden="1" customHeight="1" x14ac:dyDescent="0.25">
      <c r="A2184" s="213">
        <v>4062</v>
      </c>
      <c r="B2184" s="214" t="s">
        <v>10680</v>
      </c>
      <c r="C2184" s="215" t="s">
        <v>580</v>
      </c>
      <c r="D2184" s="216">
        <v>31.93</v>
      </c>
      <c r="E2184" s="198"/>
      <c r="F2184" s="198"/>
      <c r="G2184" s="198"/>
      <c r="H2184" s="198"/>
      <c r="I2184" s="198"/>
      <c r="J2184" s="198"/>
      <c r="K2184" s="198"/>
      <c r="L2184" s="198"/>
      <c r="M2184" s="198"/>
      <c r="N2184" s="198"/>
      <c r="O2184" s="198"/>
      <c r="P2184" s="198"/>
      <c r="Q2184" s="198"/>
      <c r="R2184" s="198"/>
      <c r="S2184" s="198"/>
      <c r="T2184" s="198"/>
      <c r="U2184" s="198"/>
      <c r="V2184" s="198"/>
      <c r="W2184" s="198"/>
      <c r="X2184" s="198"/>
      <c r="Y2184" s="198"/>
      <c r="Z2184" s="198"/>
    </row>
    <row r="2185" spans="1:26" ht="15.75" hidden="1" customHeight="1" x14ac:dyDescent="0.25">
      <c r="A2185" s="213">
        <v>4061</v>
      </c>
      <c r="B2185" s="214" t="s">
        <v>10681</v>
      </c>
      <c r="C2185" s="215" t="s">
        <v>580</v>
      </c>
      <c r="D2185" s="216">
        <v>39.75</v>
      </c>
      <c r="E2185" s="198"/>
      <c r="F2185" s="198"/>
      <c r="G2185" s="198"/>
      <c r="H2185" s="198"/>
      <c r="I2185" s="198"/>
      <c r="J2185" s="198"/>
      <c r="K2185" s="198"/>
      <c r="L2185" s="198"/>
      <c r="M2185" s="198"/>
      <c r="N2185" s="198"/>
      <c r="O2185" s="198"/>
      <c r="P2185" s="198"/>
      <c r="Q2185" s="198"/>
      <c r="R2185" s="198"/>
      <c r="S2185" s="198"/>
      <c r="T2185" s="198"/>
      <c r="U2185" s="198"/>
      <c r="V2185" s="198"/>
      <c r="W2185" s="198"/>
      <c r="X2185" s="198"/>
      <c r="Y2185" s="198"/>
      <c r="Z2185" s="198"/>
    </row>
    <row r="2186" spans="1:26" ht="15.75" hidden="1" customHeight="1" x14ac:dyDescent="0.25">
      <c r="A2186" s="213">
        <v>41315</v>
      </c>
      <c r="B2186" s="214" t="s">
        <v>10682</v>
      </c>
      <c r="C2186" s="215" t="s">
        <v>823</v>
      </c>
      <c r="D2186" s="216">
        <v>86.02</v>
      </c>
      <c r="E2186" s="198"/>
      <c r="F2186" s="198"/>
      <c r="G2186" s="198"/>
      <c r="H2186" s="198"/>
      <c r="I2186" s="198"/>
      <c r="J2186" s="198"/>
      <c r="K2186" s="198"/>
      <c r="L2186" s="198"/>
      <c r="M2186" s="198"/>
      <c r="N2186" s="198"/>
      <c r="O2186" s="198"/>
      <c r="P2186" s="198"/>
      <c r="Q2186" s="198"/>
      <c r="R2186" s="198"/>
      <c r="S2186" s="198"/>
      <c r="T2186" s="198"/>
      <c r="U2186" s="198"/>
      <c r="V2186" s="198"/>
      <c r="W2186" s="198"/>
      <c r="X2186" s="198"/>
      <c r="Y2186" s="198"/>
      <c r="Z2186" s="198"/>
    </row>
    <row r="2187" spans="1:26" ht="15.75" hidden="1" customHeight="1" x14ac:dyDescent="0.25">
      <c r="A2187" s="213">
        <v>43148</v>
      </c>
      <c r="B2187" s="214" t="s">
        <v>10683</v>
      </c>
      <c r="C2187" s="215" t="s">
        <v>823</v>
      </c>
      <c r="D2187" s="216">
        <v>58.39</v>
      </c>
      <c r="E2187" s="198"/>
      <c r="F2187" s="198"/>
      <c r="G2187" s="198"/>
      <c r="H2187" s="198"/>
      <c r="I2187" s="198"/>
      <c r="J2187" s="198"/>
      <c r="K2187" s="198"/>
      <c r="L2187" s="198"/>
      <c r="M2187" s="198"/>
      <c r="N2187" s="198"/>
      <c r="O2187" s="198"/>
      <c r="P2187" s="198"/>
      <c r="Q2187" s="198"/>
      <c r="R2187" s="198"/>
      <c r="S2187" s="198"/>
      <c r="T2187" s="198"/>
      <c r="U2187" s="198"/>
      <c r="V2187" s="198"/>
      <c r="W2187" s="198"/>
      <c r="X2187" s="198"/>
      <c r="Y2187" s="198"/>
      <c r="Z2187" s="198"/>
    </row>
    <row r="2188" spans="1:26" ht="15.75" hidden="1" customHeight="1" x14ac:dyDescent="0.25">
      <c r="A2188" s="213">
        <v>43147</v>
      </c>
      <c r="B2188" s="214" t="s">
        <v>10684</v>
      </c>
      <c r="C2188" s="215" t="s">
        <v>823</v>
      </c>
      <c r="D2188" s="216">
        <v>22.61</v>
      </c>
      <c r="E2188" s="198"/>
      <c r="F2188" s="198"/>
      <c r="G2188" s="198"/>
      <c r="H2188" s="198"/>
      <c r="I2188" s="198"/>
      <c r="J2188" s="198"/>
      <c r="K2188" s="198"/>
      <c r="L2188" s="198"/>
      <c r="M2188" s="198"/>
      <c r="N2188" s="198"/>
      <c r="O2188" s="198"/>
      <c r="P2188" s="198"/>
      <c r="Q2188" s="198"/>
      <c r="R2188" s="198"/>
      <c r="S2188" s="198"/>
      <c r="T2188" s="198"/>
      <c r="U2188" s="198"/>
      <c r="V2188" s="198"/>
      <c r="W2188" s="198"/>
      <c r="X2188" s="198"/>
      <c r="Y2188" s="198"/>
      <c r="Z2188" s="198"/>
    </row>
    <row r="2189" spans="1:26" ht="15.75" hidden="1" customHeight="1" x14ac:dyDescent="0.25">
      <c r="A2189" s="213">
        <v>4069</v>
      </c>
      <c r="B2189" s="214" t="s">
        <v>10685</v>
      </c>
      <c r="C2189" s="215" t="s">
        <v>2193</v>
      </c>
      <c r="D2189" s="216">
        <v>65.47</v>
      </c>
      <c r="E2189" s="198"/>
      <c r="F2189" s="198"/>
      <c r="G2189" s="198"/>
      <c r="H2189" s="198"/>
      <c r="I2189" s="198"/>
      <c r="J2189" s="198"/>
      <c r="K2189" s="198"/>
      <c r="L2189" s="198"/>
      <c r="M2189" s="198"/>
      <c r="N2189" s="198"/>
      <c r="O2189" s="198"/>
      <c r="P2189" s="198"/>
      <c r="Q2189" s="198"/>
      <c r="R2189" s="198"/>
      <c r="S2189" s="198"/>
      <c r="T2189" s="198"/>
      <c r="U2189" s="198"/>
      <c r="V2189" s="198"/>
      <c r="W2189" s="198"/>
      <c r="X2189" s="198"/>
      <c r="Y2189" s="198"/>
      <c r="Z2189" s="198"/>
    </row>
    <row r="2190" spans="1:26" ht="15.75" hidden="1" customHeight="1" x14ac:dyDescent="0.25">
      <c r="A2190" s="213">
        <v>40819</v>
      </c>
      <c r="B2190" s="214" t="s">
        <v>10686</v>
      </c>
      <c r="C2190" s="215" t="s">
        <v>6214</v>
      </c>
      <c r="D2190" s="216">
        <v>11484.86</v>
      </c>
      <c r="E2190" s="198"/>
      <c r="F2190" s="198"/>
      <c r="G2190" s="198"/>
      <c r="H2190" s="198"/>
      <c r="I2190" s="198"/>
      <c r="J2190" s="198"/>
      <c r="K2190" s="198"/>
      <c r="L2190" s="198"/>
      <c r="M2190" s="198"/>
      <c r="N2190" s="198"/>
      <c r="O2190" s="198"/>
      <c r="P2190" s="198"/>
      <c r="Q2190" s="198"/>
      <c r="R2190" s="198"/>
      <c r="S2190" s="198"/>
      <c r="T2190" s="198"/>
      <c r="U2190" s="198"/>
      <c r="V2190" s="198"/>
      <c r="W2190" s="198"/>
      <c r="X2190" s="198"/>
      <c r="Y2190" s="198"/>
      <c r="Z2190" s="198"/>
    </row>
    <row r="2191" spans="1:26" ht="15.75" hidden="1" customHeight="1" x14ac:dyDescent="0.25">
      <c r="A2191" s="213">
        <v>34361</v>
      </c>
      <c r="B2191" s="214" t="s">
        <v>10687</v>
      </c>
      <c r="C2191" s="215" t="s">
        <v>823</v>
      </c>
      <c r="D2191" s="216">
        <v>16.46</v>
      </c>
      <c r="E2191" s="198"/>
      <c r="F2191" s="198"/>
      <c r="G2191" s="198"/>
      <c r="H2191" s="198"/>
      <c r="I2191" s="198"/>
      <c r="J2191" s="198"/>
      <c r="K2191" s="198"/>
      <c r="L2191" s="198"/>
      <c r="M2191" s="198"/>
      <c r="N2191" s="198"/>
      <c r="O2191" s="198"/>
      <c r="P2191" s="198"/>
      <c r="Q2191" s="198"/>
      <c r="R2191" s="198"/>
      <c r="S2191" s="198"/>
      <c r="T2191" s="198"/>
      <c r="U2191" s="198"/>
      <c r="V2191" s="198"/>
      <c r="W2191" s="198"/>
      <c r="X2191" s="198"/>
      <c r="Y2191" s="198"/>
      <c r="Z2191" s="198"/>
    </row>
    <row r="2192" spans="1:26" ht="15.75" hidden="1" customHeight="1" x14ac:dyDescent="0.25">
      <c r="A2192" s="213">
        <v>44478</v>
      </c>
      <c r="B2192" s="214" t="s">
        <v>10688</v>
      </c>
      <c r="C2192" s="215" t="s">
        <v>823</v>
      </c>
      <c r="D2192" s="216">
        <v>12.08</v>
      </c>
      <c r="E2192" s="198"/>
      <c r="F2192" s="198"/>
      <c r="G2192" s="198"/>
      <c r="H2192" s="198"/>
      <c r="I2192" s="198"/>
      <c r="J2192" s="198"/>
      <c r="K2192" s="198"/>
      <c r="L2192" s="198"/>
      <c r="M2192" s="198"/>
      <c r="N2192" s="198"/>
      <c r="O2192" s="198"/>
      <c r="P2192" s="198"/>
      <c r="Q2192" s="198"/>
      <c r="R2192" s="198"/>
      <c r="S2192" s="198"/>
      <c r="T2192" s="198"/>
      <c r="U2192" s="198"/>
      <c r="V2192" s="198"/>
      <c r="W2192" s="198"/>
      <c r="X2192" s="198"/>
      <c r="Y2192" s="198"/>
      <c r="Z2192" s="198"/>
    </row>
    <row r="2193" spans="1:26" ht="15.75" hidden="1" customHeight="1" x14ac:dyDescent="0.25">
      <c r="A2193" s="213">
        <v>44477</v>
      </c>
      <c r="B2193" s="214" t="s">
        <v>10689</v>
      </c>
      <c r="C2193" s="215" t="s">
        <v>823</v>
      </c>
      <c r="D2193" s="216">
        <v>12.08</v>
      </c>
      <c r="E2193" s="198"/>
      <c r="F2193" s="198"/>
      <c r="G2193" s="198"/>
      <c r="H2193" s="198"/>
      <c r="I2193" s="198"/>
      <c r="J2193" s="198"/>
      <c r="K2193" s="198"/>
      <c r="L2193" s="198"/>
      <c r="M2193" s="198"/>
      <c r="N2193" s="198"/>
      <c r="O2193" s="198"/>
      <c r="P2193" s="198"/>
      <c r="Q2193" s="198"/>
      <c r="R2193" s="198"/>
      <c r="S2193" s="198"/>
      <c r="T2193" s="198"/>
      <c r="U2193" s="198"/>
      <c r="V2193" s="198"/>
      <c r="W2193" s="198"/>
      <c r="X2193" s="198"/>
      <c r="Y2193" s="198"/>
      <c r="Z2193" s="198"/>
    </row>
    <row r="2194" spans="1:26" ht="15.75" hidden="1" customHeight="1" x14ac:dyDescent="0.25">
      <c r="A2194" s="213">
        <v>11697</v>
      </c>
      <c r="B2194" s="214" t="s">
        <v>10690</v>
      </c>
      <c r="C2194" s="215" t="s">
        <v>580</v>
      </c>
      <c r="D2194" s="216">
        <v>809.82</v>
      </c>
      <c r="E2194" s="198"/>
      <c r="F2194" s="198"/>
      <c r="G2194" s="198"/>
      <c r="H2194" s="198"/>
      <c r="I2194" s="198"/>
      <c r="J2194" s="198"/>
      <c r="K2194" s="198"/>
      <c r="L2194" s="198"/>
      <c r="M2194" s="198"/>
      <c r="N2194" s="198"/>
      <c r="O2194" s="198"/>
      <c r="P2194" s="198"/>
      <c r="Q2194" s="198"/>
      <c r="R2194" s="198"/>
      <c r="S2194" s="198"/>
      <c r="T2194" s="198"/>
      <c r="U2194" s="198"/>
      <c r="V2194" s="198"/>
      <c r="W2194" s="198"/>
      <c r="X2194" s="198"/>
      <c r="Y2194" s="198"/>
      <c r="Z2194" s="198"/>
    </row>
    <row r="2195" spans="1:26" ht="15.75" hidden="1" customHeight="1" x14ac:dyDescent="0.25">
      <c r="A2195" s="213">
        <v>11698</v>
      </c>
      <c r="B2195" s="214" t="s">
        <v>10691</v>
      </c>
      <c r="C2195" s="215" t="s">
        <v>580</v>
      </c>
      <c r="D2195" s="216">
        <v>966.07</v>
      </c>
      <c r="E2195" s="198"/>
      <c r="F2195" s="198"/>
      <c r="G2195" s="198"/>
      <c r="H2195" s="198"/>
      <c r="I2195" s="198"/>
      <c r="J2195" s="198"/>
      <c r="K2195" s="198"/>
      <c r="L2195" s="198"/>
      <c r="M2195" s="198"/>
      <c r="N2195" s="198"/>
      <c r="O2195" s="198"/>
      <c r="P2195" s="198"/>
      <c r="Q2195" s="198"/>
      <c r="R2195" s="198"/>
      <c r="S2195" s="198"/>
      <c r="T2195" s="198"/>
      <c r="U2195" s="198"/>
      <c r="V2195" s="198"/>
      <c r="W2195" s="198"/>
      <c r="X2195" s="198"/>
      <c r="Y2195" s="198"/>
      <c r="Z2195" s="198"/>
    </row>
    <row r="2196" spans="1:26" ht="15.75" hidden="1" customHeight="1" x14ac:dyDescent="0.25">
      <c r="A2196" s="213">
        <v>11699</v>
      </c>
      <c r="B2196" s="214" t="s">
        <v>10692</v>
      </c>
      <c r="C2196" s="215" t="s">
        <v>580</v>
      </c>
      <c r="D2196" s="216">
        <v>1067.72</v>
      </c>
      <c r="E2196" s="198"/>
      <c r="F2196" s="198"/>
      <c r="G2196" s="198"/>
      <c r="H2196" s="198"/>
      <c r="I2196" s="198"/>
      <c r="J2196" s="198"/>
      <c r="K2196" s="198"/>
      <c r="L2196" s="198"/>
      <c r="M2196" s="198"/>
      <c r="N2196" s="198"/>
      <c r="O2196" s="198"/>
      <c r="P2196" s="198"/>
      <c r="Q2196" s="198"/>
      <c r="R2196" s="198"/>
      <c r="S2196" s="198"/>
      <c r="T2196" s="198"/>
      <c r="U2196" s="198"/>
      <c r="V2196" s="198"/>
      <c r="W2196" s="198"/>
      <c r="X2196" s="198"/>
      <c r="Y2196" s="198"/>
      <c r="Z2196" s="198"/>
    </row>
    <row r="2197" spans="1:26" ht="15.75" hidden="1" customHeight="1" x14ac:dyDescent="0.25">
      <c r="A2197" s="213">
        <v>10432</v>
      </c>
      <c r="B2197" s="214" t="s">
        <v>10693</v>
      </c>
      <c r="C2197" s="215" t="s">
        <v>580</v>
      </c>
      <c r="D2197" s="216">
        <v>426.39</v>
      </c>
      <c r="E2197" s="198"/>
      <c r="F2197" s="198"/>
      <c r="G2197" s="198"/>
      <c r="H2197" s="198"/>
      <c r="I2197" s="198"/>
      <c r="J2197" s="198"/>
      <c r="K2197" s="198"/>
      <c r="L2197" s="198"/>
      <c r="M2197" s="198"/>
      <c r="N2197" s="198"/>
      <c r="O2197" s="198"/>
      <c r="P2197" s="198"/>
      <c r="Q2197" s="198"/>
      <c r="R2197" s="198"/>
      <c r="S2197" s="198"/>
      <c r="T2197" s="198"/>
      <c r="U2197" s="198"/>
      <c r="V2197" s="198"/>
      <c r="W2197" s="198"/>
      <c r="X2197" s="198"/>
      <c r="Y2197" s="198"/>
      <c r="Z2197" s="198"/>
    </row>
    <row r="2198" spans="1:26" ht="15.75" hidden="1" customHeight="1" x14ac:dyDescent="0.25">
      <c r="A2198" s="213">
        <v>44020</v>
      </c>
      <c r="B2198" s="214" t="s">
        <v>10694</v>
      </c>
      <c r="C2198" s="215" t="s">
        <v>580</v>
      </c>
      <c r="D2198" s="216">
        <v>1051.95</v>
      </c>
      <c r="E2198" s="198"/>
      <c r="F2198" s="198"/>
      <c r="G2198" s="198"/>
      <c r="H2198" s="198"/>
      <c r="I2198" s="198"/>
      <c r="J2198" s="198"/>
      <c r="K2198" s="198"/>
      <c r="L2198" s="198"/>
      <c r="M2198" s="198"/>
      <c r="N2198" s="198"/>
      <c r="O2198" s="198"/>
      <c r="P2198" s="198"/>
      <c r="Q2198" s="198"/>
      <c r="R2198" s="198"/>
      <c r="S2198" s="198"/>
      <c r="T2198" s="198"/>
      <c r="U2198" s="198"/>
      <c r="V2198" s="198"/>
      <c r="W2198" s="198"/>
      <c r="X2198" s="198"/>
      <c r="Y2198" s="198"/>
      <c r="Z2198" s="198"/>
    </row>
    <row r="2199" spans="1:26" ht="15.75" hidden="1" customHeight="1" x14ac:dyDescent="0.25">
      <c r="A2199" s="213">
        <v>37546</v>
      </c>
      <c r="B2199" s="214" t="s">
        <v>10695</v>
      </c>
      <c r="C2199" s="215" t="s">
        <v>580</v>
      </c>
      <c r="D2199" s="216">
        <v>12028.63</v>
      </c>
      <c r="E2199" s="198"/>
      <c r="F2199" s="198"/>
      <c r="G2199" s="198"/>
      <c r="H2199" s="198"/>
      <c r="I2199" s="198"/>
      <c r="J2199" s="198"/>
      <c r="K2199" s="198"/>
      <c r="L2199" s="198"/>
      <c r="M2199" s="198"/>
      <c r="N2199" s="198"/>
      <c r="O2199" s="198"/>
      <c r="P2199" s="198"/>
      <c r="Q2199" s="198"/>
      <c r="R2199" s="198"/>
      <c r="S2199" s="198"/>
      <c r="T2199" s="198"/>
      <c r="U2199" s="198"/>
      <c r="V2199" s="198"/>
      <c r="W2199" s="198"/>
      <c r="X2199" s="198"/>
      <c r="Y2199" s="198"/>
      <c r="Z2199" s="198"/>
    </row>
    <row r="2200" spans="1:26" ht="15.75" hidden="1" customHeight="1" x14ac:dyDescent="0.25">
      <c r="A2200" s="213">
        <v>37544</v>
      </c>
      <c r="B2200" s="214" t="s">
        <v>10696</v>
      </c>
      <c r="C2200" s="215" t="s">
        <v>580</v>
      </c>
      <c r="D2200" s="216">
        <v>12722.3</v>
      </c>
      <c r="E2200" s="198"/>
      <c r="F2200" s="198"/>
      <c r="G2200" s="198"/>
      <c r="H2200" s="198"/>
      <c r="I2200" s="198"/>
      <c r="J2200" s="198"/>
      <c r="K2200" s="198"/>
      <c r="L2200" s="198"/>
      <c r="M2200" s="198"/>
      <c r="N2200" s="198"/>
      <c r="O2200" s="198"/>
      <c r="P2200" s="198"/>
      <c r="Q2200" s="198"/>
      <c r="R2200" s="198"/>
      <c r="S2200" s="198"/>
      <c r="T2200" s="198"/>
      <c r="U2200" s="198"/>
      <c r="V2200" s="198"/>
      <c r="W2200" s="198"/>
      <c r="X2200" s="198"/>
      <c r="Y2200" s="198"/>
      <c r="Z2200" s="198"/>
    </row>
    <row r="2201" spans="1:26" ht="15.75" hidden="1" customHeight="1" x14ac:dyDescent="0.25">
      <c r="A2201" s="213">
        <v>37545</v>
      </c>
      <c r="B2201" s="214" t="s">
        <v>10697</v>
      </c>
      <c r="C2201" s="215" t="s">
        <v>580</v>
      </c>
      <c r="D2201" s="216">
        <v>15137.83</v>
      </c>
      <c r="E2201" s="198"/>
      <c r="F2201" s="198"/>
      <c r="G2201" s="198"/>
      <c r="H2201" s="198"/>
      <c r="I2201" s="198"/>
      <c r="J2201" s="198"/>
      <c r="K2201" s="198"/>
      <c r="L2201" s="198"/>
      <c r="M2201" s="198"/>
      <c r="N2201" s="198"/>
      <c r="O2201" s="198"/>
      <c r="P2201" s="198"/>
      <c r="Q2201" s="198"/>
      <c r="R2201" s="198"/>
      <c r="S2201" s="198"/>
      <c r="T2201" s="198"/>
      <c r="U2201" s="198"/>
      <c r="V2201" s="198"/>
      <c r="W2201" s="198"/>
      <c r="X2201" s="198"/>
      <c r="Y2201" s="198"/>
      <c r="Z2201" s="198"/>
    </row>
    <row r="2202" spans="1:26" ht="15.75" hidden="1" customHeight="1" x14ac:dyDescent="0.25">
      <c r="A2202" s="213">
        <v>36793</v>
      </c>
      <c r="B2202" s="214" t="s">
        <v>10698</v>
      </c>
      <c r="C2202" s="215" t="s">
        <v>580</v>
      </c>
      <c r="D2202" s="216">
        <v>807.21</v>
      </c>
      <c r="E2202" s="198"/>
      <c r="F2202" s="198"/>
      <c r="G2202" s="198"/>
      <c r="H2202" s="198"/>
      <c r="I2202" s="198"/>
      <c r="J2202" s="198"/>
      <c r="K2202" s="198"/>
      <c r="L2202" s="198"/>
      <c r="M2202" s="198"/>
      <c r="N2202" s="198"/>
      <c r="O2202" s="198"/>
      <c r="P2202" s="198"/>
      <c r="Q2202" s="198"/>
      <c r="R2202" s="198"/>
      <c r="S2202" s="198"/>
      <c r="T2202" s="198"/>
      <c r="U2202" s="198"/>
      <c r="V2202" s="198"/>
      <c r="W2202" s="198"/>
      <c r="X2202" s="198"/>
      <c r="Y2202" s="198"/>
      <c r="Z2202" s="198"/>
    </row>
    <row r="2203" spans="1:26" ht="15.75" hidden="1" customHeight="1" x14ac:dyDescent="0.25">
      <c r="A2203" s="213">
        <v>11769</v>
      </c>
      <c r="B2203" s="214" t="s">
        <v>10699</v>
      </c>
      <c r="C2203" s="215" t="s">
        <v>580</v>
      </c>
      <c r="D2203" s="216">
        <v>356.72</v>
      </c>
      <c r="E2203" s="198"/>
      <c r="F2203" s="198"/>
      <c r="G2203" s="198"/>
      <c r="H2203" s="198"/>
      <c r="I2203" s="198"/>
      <c r="J2203" s="198"/>
      <c r="K2203" s="198"/>
      <c r="L2203" s="198"/>
      <c r="M2203" s="198"/>
      <c r="N2203" s="198"/>
      <c r="O2203" s="198"/>
      <c r="P2203" s="198"/>
      <c r="Q2203" s="198"/>
      <c r="R2203" s="198"/>
      <c r="S2203" s="198"/>
      <c r="T2203" s="198"/>
      <c r="U2203" s="198"/>
      <c r="V2203" s="198"/>
      <c r="W2203" s="198"/>
      <c r="X2203" s="198"/>
      <c r="Y2203" s="198"/>
      <c r="Z2203" s="198"/>
    </row>
    <row r="2204" spans="1:26" ht="15.75" hidden="1" customHeight="1" x14ac:dyDescent="0.25">
      <c r="A2204" s="213">
        <v>11771</v>
      </c>
      <c r="B2204" s="214" t="s">
        <v>10700</v>
      </c>
      <c r="C2204" s="215" t="s">
        <v>580</v>
      </c>
      <c r="D2204" s="216">
        <v>436.94</v>
      </c>
      <c r="E2204" s="198"/>
      <c r="F2204" s="198"/>
      <c r="G2204" s="198"/>
      <c r="H2204" s="198"/>
      <c r="I2204" s="198"/>
      <c r="J2204" s="198"/>
      <c r="K2204" s="198"/>
      <c r="L2204" s="198"/>
      <c r="M2204" s="198"/>
      <c r="N2204" s="198"/>
      <c r="O2204" s="198"/>
      <c r="P2204" s="198"/>
      <c r="Q2204" s="198"/>
      <c r="R2204" s="198"/>
      <c r="S2204" s="198"/>
      <c r="T2204" s="198"/>
      <c r="U2204" s="198"/>
      <c r="V2204" s="198"/>
      <c r="W2204" s="198"/>
      <c r="X2204" s="198"/>
      <c r="Y2204" s="198"/>
      <c r="Z2204" s="198"/>
    </row>
    <row r="2205" spans="1:26" ht="15.75" hidden="1" customHeight="1" x14ac:dyDescent="0.25">
      <c r="A2205" s="213">
        <v>39919</v>
      </c>
      <c r="B2205" s="214" t="s">
        <v>10701</v>
      </c>
      <c r="C2205" s="215" t="s">
        <v>580</v>
      </c>
      <c r="D2205" s="216">
        <v>60209.95</v>
      </c>
      <c r="E2205" s="198"/>
      <c r="F2205" s="198"/>
      <c r="G2205" s="198"/>
      <c r="H2205" s="198"/>
      <c r="I2205" s="198"/>
      <c r="J2205" s="198"/>
      <c r="K2205" s="198"/>
      <c r="L2205" s="198"/>
      <c r="M2205" s="198"/>
      <c r="N2205" s="198"/>
      <c r="O2205" s="198"/>
      <c r="P2205" s="198"/>
      <c r="Q2205" s="198"/>
      <c r="R2205" s="198"/>
      <c r="S2205" s="198"/>
      <c r="T2205" s="198"/>
      <c r="U2205" s="198"/>
      <c r="V2205" s="198"/>
      <c r="W2205" s="198"/>
      <c r="X2205" s="198"/>
      <c r="Y2205" s="198"/>
      <c r="Z2205" s="198"/>
    </row>
    <row r="2206" spans="1:26" ht="15.75" hidden="1" customHeight="1" x14ac:dyDescent="0.25">
      <c r="A2206" s="213">
        <v>38385</v>
      </c>
      <c r="B2206" s="214" t="s">
        <v>10702</v>
      </c>
      <c r="C2206" s="215" t="s">
        <v>580</v>
      </c>
      <c r="D2206" s="216">
        <v>43.73</v>
      </c>
      <c r="E2206" s="198"/>
      <c r="F2206" s="198"/>
      <c r="G2206" s="198"/>
      <c r="H2206" s="198"/>
      <c r="I2206" s="198"/>
      <c r="J2206" s="198"/>
      <c r="K2206" s="198"/>
      <c r="L2206" s="198"/>
      <c r="M2206" s="198"/>
      <c r="N2206" s="198"/>
      <c r="O2206" s="198"/>
      <c r="P2206" s="198"/>
      <c r="Q2206" s="198"/>
      <c r="R2206" s="198"/>
      <c r="S2206" s="198"/>
      <c r="T2206" s="198"/>
      <c r="U2206" s="198"/>
      <c r="V2206" s="198"/>
      <c r="W2206" s="198"/>
      <c r="X2206" s="198"/>
      <c r="Y2206" s="198"/>
      <c r="Z2206" s="198"/>
    </row>
    <row r="2207" spans="1:26" ht="15.75" hidden="1" customHeight="1" x14ac:dyDescent="0.25">
      <c r="A2207" s="213">
        <v>36800</v>
      </c>
      <c r="B2207" s="214" t="s">
        <v>10703</v>
      </c>
      <c r="C2207" s="215" t="s">
        <v>580</v>
      </c>
      <c r="D2207" s="216">
        <v>214.35</v>
      </c>
      <c r="E2207" s="198"/>
      <c r="F2207" s="198"/>
      <c r="G2207" s="198"/>
      <c r="H2207" s="198"/>
      <c r="I2207" s="198"/>
      <c r="J2207" s="198"/>
      <c r="K2207" s="198"/>
      <c r="L2207" s="198"/>
      <c r="M2207" s="198"/>
      <c r="N2207" s="198"/>
      <c r="O2207" s="198"/>
      <c r="P2207" s="198"/>
      <c r="Q2207" s="198"/>
      <c r="R2207" s="198"/>
      <c r="S2207" s="198"/>
      <c r="T2207" s="198"/>
      <c r="U2207" s="198"/>
      <c r="V2207" s="198"/>
      <c r="W2207" s="198"/>
      <c r="X2207" s="198"/>
      <c r="Y2207" s="198"/>
      <c r="Z2207" s="198"/>
    </row>
    <row r="2208" spans="1:26" ht="15.75" hidden="1" customHeight="1" x14ac:dyDescent="0.25">
      <c r="A2208" s="213">
        <v>37587</v>
      </c>
      <c r="B2208" s="214" t="s">
        <v>10704</v>
      </c>
      <c r="C2208" s="215" t="s">
        <v>580</v>
      </c>
      <c r="D2208" s="216">
        <v>470.92</v>
      </c>
      <c r="E2208" s="198"/>
      <c r="F2208" s="198"/>
      <c r="G2208" s="198"/>
      <c r="H2208" s="198"/>
      <c r="I2208" s="198"/>
      <c r="J2208" s="198"/>
      <c r="K2208" s="198"/>
      <c r="L2208" s="198"/>
      <c r="M2208" s="198"/>
      <c r="N2208" s="198"/>
      <c r="O2208" s="198"/>
      <c r="P2208" s="198"/>
      <c r="Q2208" s="198"/>
      <c r="R2208" s="198"/>
      <c r="S2208" s="198"/>
      <c r="T2208" s="198"/>
      <c r="U2208" s="198"/>
      <c r="V2208" s="198"/>
      <c r="W2208" s="198"/>
      <c r="X2208" s="198"/>
      <c r="Y2208" s="198"/>
      <c r="Z2208" s="198"/>
    </row>
    <row r="2209" spans="1:26" ht="15.75" hidden="1" customHeight="1" x14ac:dyDescent="0.25">
      <c r="A2209" s="213">
        <v>11561</v>
      </c>
      <c r="B2209" s="214" t="s">
        <v>10705</v>
      </c>
      <c r="C2209" s="215" t="s">
        <v>580</v>
      </c>
      <c r="D2209" s="216">
        <v>225.8</v>
      </c>
      <c r="E2209" s="198"/>
      <c r="F2209" s="198"/>
      <c r="G2209" s="198"/>
      <c r="H2209" s="198"/>
      <c r="I2209" s="198"/>
      <c r="J2209" s="198"/>
      <c r="K2209" s="198"/>
      <c r="L2209" s="198"/>
      <c r="M2209" s="198"/>
      <c r="N2209" s="198"/>
      <c r="O2209" s="198"/>
      <c r="P2209" s="198"/>
      <c r="Q2209" s="198"/>
      <c r="R2209" s="198"/>
      <c r="S2209" s="198"/>
      <c r="T2209" s="198"/>
      <c r="U2209" s="198"/>
      <c r="V2209" s="198"/>
      <c r="W2209" s="198"/>
      <c r="X2209" s="198"/>
      <c r="Y2209" s="198"/>
      <c r="Z2209" s="198"/>
    </row>
    <row r="2210" spans="1:26" ht="15.75" hidden="1" customHeight="1" x14ac:dyDescent="0.25">
      <c r="A2210" s="213">
        <v>43604</v>
      </c>
      <c r="B2210" s="214" t="s">
        <v>10706</v>
      </c>
      <c r="C2210" s="215" t="s">
        <v>580</v>
      </c>
      <c r="D2210" s="216">
        <v>120.38</v>
      </c>
      <c r="E2210" s="198"/>
      <c r="F2210" s="198"/>
      <c r="G2210" s="198"/>
      <c r="H2210" s="198"/>
      <c r="I2210" s="198"/>
      <c r="J2210" s="198"/>
      <c r="K2210" s="198"/>
      <c r="L2210" s="198"/>
      <c r="M2210" s="198"/>
      <c r="N2210" s="198"/>
      <c r="O2210" s="198"/>
      <c r="P2210" s="198"/>
      <c r="Q2210" s="198"/>
      <c r="R2210" s="198"/>
      <c r="S2210" s="198"/>
      <c r="T2210" s="198"/>
      <c r="U2210" s="198"/>
      <c r="V2210" s="198"/>
      <c r="W2210" s="198"/>
      <c r="X2210" s="198"/>
      <c r="Y2210" s="198"/>
      <c r="Z2210" s="198"/>
    </row>
    <row r="2211" spans="1:26" ht="15.75" hidden="1" customHeight="1" x14ac:dyDescent="0.25">
      <c r="A2211" s="213">
        <v>11560</v>
      </c>
      <c r="B2211" s="214" t="s">
        <v>10707</v>
      </c>
      <c r="C2211" s="215" t="s">
        <v>580</v>
      </c>
      <c r="D2211" s="216">
        <v>174.28</v>
      </c>
      <c r="E2211" s="198"/>
      <c r="F2211" s="198"/>
      <c r="G2211" s="198"/>
      <c r="H2211" s="198"/>
      <c r="I2211" s="198"/>
      <c r="J2211" s="198"/>
      <c r="K2211" s="198"/>
      <c r="L2211" s="198"/>
      <c r="M2211" s="198"/>
      <c r="N2211" s="198"/>
      <c r="O2211" s="198"/>
      <c r="P2211" s="198"/>
      <c r="Q2211" s="198"/>
      <c r="R2211" s="198"/>
      <c r="S2211" s="198"/>
      <c r="T2211" s="198"/>
      <c r="U2211" s="198"/>
      <c r="V2211" s="198"/>
      <c r="W2211" s="198"/>
      <c r="X2211" s="198"/>
      <c r="Y2211" s="198"/>
      <c r="Z2211" s="198"/>
    </row>
    <row r="2212" spans="1:26" ht="15.75" hidden="1" customHeight="1" x14ac:dyDescent="0.25">
      <c r="A2212" s="213">
        <v>11499</v>
      </c>
      <c r="B2212" s="214" t="s">
        <v>10708</v>
      </c>
      <c r="C2212" s="215" t="s">
        <v>580</v>
      </c>
      <c r="D2212" s="216">
        <v>847.61</v>
      </c>
      <c r="E2212" s="198"/>
      <c r="F2212" s="198"/>
      <c r="G2212" s="198"/>
      <c r="H2212" s="198"/>
      <c r="I2212" s="198"/>
      <c r="J2212" s="198"/>
      <c r="K2212" s="198"/>
      <c r="L2212" s="198"/>
      <c r="M2212" s="198"/>
      <c r="N2212" s="198"/>
      <c r="O2212" s="198"/>
      <c r="P2212" s="198"/>
      <c r="Q2212" s="198"/>
      <c r="R2212" s="198"/>
      <c r="S2212" s="198"/>
      <c r="T2212" s="198"/>
      <c r="U2212" s="198"/>
      <c r="V2212" s="198"/>
      <c r="W2212" s="198"/>
      <c r="X2212" s="198"/>
      <c r="Y2212" s="198"/>
      <c r="Z2212" s="198"/>
    </row>
    <row r="2213" spans="1:26" ht="15.75" hidden="1" customHeight="1" x14ac:dyDescent="0.25">
      <c r="A2213" s="213">
        <v>34761</v>
      </c>
      <c r="B2213" s="214" t="s">
        <v>10709</v>
      </c>
      <c r="C2213" s="215" t="s">
        <v>2193</v>
      </c>
      <c r="D2213" s="216">
        <v>22.91</v>
      </c>
      <c r="E2213" s="198"/>
      <c r="F2213" s="198"/>
      <c r="G2213" s="198"/>
      <c r="H2213" s="198"/>
      <c r="I2213" s="198"/>
      <c r="J2213" s="198"/>
      <c r="K2213" s="198"/>
      <c r="L2213" s="198"/>
      <c r="M2213" s="198"/>
      <c r="N2213" s="198"/>
      <c r="O2213" s="198"/>
      <c r="P2213" s="198"/>
      <c r="Q2213" s="198"/>
      <c r="R2213" s="198"/>
      <c r="S2213" s="198"/>
      <c r="T2213" s="198"/>
      <c r="U2213" s="198"/>
      <c r="V2213" s="198"/>
      <c r="W2213" s="198"/>
      <c r="X2213" s="198"/>
      <c r="Y2213" s="198"/>
      <c r="Z2213" s="198"/>
    </row>
    <row r="2214" spans="1:26" ht="15.75" hidden="1" customHeight="1" x14ac:dyDescent="0.25">
      <c r="A2214" s="213">
        <v>40924</v>
      </c>
      <c r="B2214" s="214" t="s">
        <v>10710</v>
      </c>
      <c r="C2214" s="215" t="s">
        <v>6214</v>
      </c>
      <c r="D2214" s="216">
        <v>4020.71</v>
      </c>
      <c r="E2214" s="198"/>
      <c r="F2214" s="198"/>
      <c r="G2214" s="198"/>
      <c r="H2214" s="198"/>
      <c r="I2214" s="198"/>
      <c r="J2214" s="198"/>
      <c r="K2214" s="198"/>
      <c r="L2214" s="198"/>
      <c r="M2214" s="198"/>
      <c r="N2214" s="198"/>
      <c r="O2214" s="198"/>
      <c r="P2214" s="198"/>
      <c r="Q2214" s="198"/>
      <c r="R2214" s="198"/>
      <c r="S2214" s="198"/>
      <c r="T2214" s="198"/>
      <c r="U2214" s="198"/>
      <c r="V2214" s="198"/>
      <c r="W2214" s="198"/>
      <c r="X2214" s="198"/>
      <c r="Y2214" s="198"/>
      <c r="Z2214" s="198"/>
    </row>
    <row r="2215" spans="1:26" ht="15.75" hidden="1" customHeight="1" x14ac:dyDescent="0.25">
      <c r="A2215" s="213">
        <v>40983</v>
      </c>
      <c r="B2215" s="214" t="s">
        <v>10711</v>
      </c>
      <c r="C2215" s="215" t="s">
        <v>6214</v>
      </c>
      <c r="D2215" s="216">
        <v>4189.57</v>
      </c>
      <c r="E2215" s="198"/>
      <c r="F2215" s="198"/>
      <c r="G2215" s="198"/>
      <c r="H2215" s="198"/>
      <c r="I2215" s="198"/>
      <c r="J2215" s="198"/>
      <c r="K2215" s="198"/>
      <c r="L2215" s="198"/>
      <c r="M2215" s="198"/>
      <c r="N2215" s="198"/>
      <c r="O2215" s="198"/>
      <c r="P2215" s="198"/>
      <c r="Q2215" s="198"/>
      <c r="R2215" s="198"/>
      <c r="S2215" s="198"/>
      <c r="T2215" s="198"/>
      <c r="U2215" s="198"/>
      <c r="V2215" s="198"/>
      <c r="W2215" s="198"/>
      <c r="X2215" s="198"/>
      <c r="Y2215" s="198"/>
      <c r="Z2215" s="198"/>
    </row>
    <row r="2216" spans="1:26" ht="15.75" hidden="1" customHeight="1" x14ac:dyDescent="0.25">
      <c r="A2216" s="213">
        <v>44497</v>
      </c>
      <c r="B2216" s="214" t="s">
        <v>10712</v>
      </c>
      <c r="C2216" s="215" t="s">
        <v>2193</v>
      </c>
      <c r="D2216" s="216">
        <v>23.86</v>
      </c>
      <c r="E2216" s="198"/>
      <c r="F2216" s="198"/>
      <c r="G2216" s="198"/>
      <c r="H2216" s="198"/>
      <c r="I2216" s="198"/>
      <c r="J2216" s="198"/>
      <c r="K2216" s="198"/>
      <c r="L2216" s="198"/>
      <c r="M2216" s="198"/>
      <c r="N2216" s="198"/>
      <c r="O2216" s="198"/>
      <c r="P2216" s="198"/>
      <c r="Q2216" s="198"/>
      <c r="R2216" s="198"/>
      <c r="S2216" s="198"/>
      <c r="T2216" s="198"/>
      <c r="U2216" s="198"/>
      <c r="V2216" s="198"/>
      <c r="W2216" s="198"/>
      <c r="X2216" s="198"/>
      <c r="Y2216" s="198"/>
      <c r="Z2216" s="198"/>
    </row>
    <row r="2217" spans="1:26" ht="15.75" hidden="1" customHeight="1" x14ac:dyDescent="0.25">
      <c r="A2217" s="213">
        <v>2437</v>
      </c>
      <c r="B2217" s="214" t="s">
        <v>10713</v>
      </c>
      <c r="C2217" s="215" t="s">
        <v>2193</v>
      </c>
      <c r="D2217" s="216">
        <v>28.82</v>
      </c>
      <c r="E2217" s="198"/>
      <c r="F2217" s="198"/>
      <c r="G2217" s="198"/>
      <c r="H2217" s="198"/>
      <c r="I2217" s="198"/>
      <c r="J2217" s="198"/>
      <c r="K2217" s="198"/>
      <c r="L2217" s="198"/>
      <c r="M2217" s="198"/>
      <c r="N2217" s="198"/>
      <c r="O2217" s="198"/>
      <c r="P2217" s="198"/>
      <c r="Q2217" s="198"/>
      <c r="R2217" s="198"/>
      <c r="S2217" s="198"/>
      <c r="T2217" s="198"/>
      <c r="U2217" s="198"/>
      <c r="V2217" s="198"/>
      <c r="W2217" s="198"/>
      <c r="X2217" s="198"/>
      <c r="Y2217" s="198"/>
      <c r="Z2217" s="198"/>
    </row>
    <row r="2218" spans="1:26" ht="15.75" hidden="1" customHeight="1" x14ac:dyDescent="0.25">
      <c r="A2218" s="213">
        <v>40921</v>
      </c>
      <c r="B2218" s="214" t="s">
        <v>10714</v>
      </c>
      <c r="C2218" s="215" t="s">
        <v>6214</v>
      </c>
      <c r="D2218" s="216">
        <v>5057.6400000000003</v>
      </c>
      <c r="E2218" s="198"/>
      <c r="F2218" s="198"/>
      <c r="G2218" s="198"/>
      <c r="H2218" s="198"/>
      <c r="I2218" s="198"/>
      <c r="J2218" s="198"/>
      <c r="K2218" s="198"/>
      <c r="L2218" s="198"/>
      <c r="M2218" s="198"/>
      <c r="N2218" s="198"/>
      <c r="O2218" s="198"/>
      <c r="P2218" s="198"/>
      <c r="Q2218" s="198"/>
      <c r="R2218" s="198"/>
      <c r="S2218" s="198"/>
      <c r="T2218" s="198"/>
      <c r="U2218" s="198"/>
      <c r="V2218" s="198"/>
      <c r="W2218" s="198"/>
      <c r="X2218" s="198"/>
      <c r="Y2218" s="198"/>
      <c r="Z2218" s="198"/>
    </row>
    <row r="2219" spans="1:26" ht="15.75" hidden="1" customHeight="1" x14ac:dyDescent="0.25">
      <c r="A2219" s="213">
        <v>14252</v>
      </c>
      <c r="B2219" s="214" t="s">
        <v>10715</v>
      </c>
      <c r="C2219" s="215" t="s">
        <v>580</v>
      </c>
      <c r="D2219" s="216">
        <v>2698.45</v>
      </c>
      <c r="E2219" s="198"/>
      <c r="F2219" s="198"/>
      <c r="G2219" s="198"/>
      <c r="H2219" s="198"/>
      <c r="I2219" s="198"/>
      <c r="J2219" s="198"/>
      <c r="K2219" s="198"/>
      <c r="L2219" s="198"/>
      <c r="M2219" s="198"/>
      <c r="N2219" s="198"/>
      <c r="O2219" s="198"/>
      <c r="P2219" s="198"/>
      <c r="Q2219" s="198"/>
      <c r="R2219" s="198"/>
      <c r="S2219" s="198"/>
      <c r="T2219" s="198"/>
      <c r="U2219" s="198"/>
      <c r="V2219" s="198"/>
      <c r="W2219" s="198"/>
      <c r="X2219" s="198"/>
      <c r="Y2219" s="198"/>
      <c r="Z2219" s="198"/>
    </row>
    <row r="2220" spans="1:26" ht="15.75" hidden="1" customHeight="1" x14ac:dyDescent="0.25">
      <c r="A2220" s="213">
        <v>730</v>
      </c>
      <c r="B2220" s="214" t="s">
        <v>10716</v>
      </c>
      <c r="C2220" s="215" t="s">
        <v>580</v>
      </c>
      <c r="D2220" s="216">
        <v>7209.76</v>
      </c>
      <c r="E2220" s="198"/>
      <c r="F2220" s="198"/>
      <c r="G2220" s="198"/>
      <c r="H2220" s="198"/>
      <c r="I2220" s="198"/>
      <c r="J2220" s="198"/>
      <c r="K2220" s="198"/>
      <c r="L2220" s="198"/>
      <c r="M2220" s="198"/>
      <c r="N2220" s="198"/>
      <c r="O2220" s="198"/>
      <c r="P2220" s="198"/>
      <c r="Q2220" s="198"/>
      <c r="R2220" s="198"/>
      <c r="S2220" s="198"/>
      <c r="T2220" s="198"/>
      <c r="U2220" s="198"/>
      <c r="V2220" s="198"/>
      <c r="W2220" s="198"/>
      <c r="X2220" s="198"/>
      <c r="Y2220" s="198"/>
      <c r="Z2220" s="198"/>
    </row>
    <row r="2221" spans="1:26" ht="15.75" hidden="1" customHeight="1" x14ac:dyDescent="0.25">
      <c r="A2221" s="213">
        <v>723</v>
      </c>
      <c r="B2221" s="214" t="s">
        <v>10717</v>
      </c>
      <c r="C2221" s="215" t="s">
        <v>580</v>
      </c>
      <c r="D2221" s="216">
        <v>3583.5</v>
      </c>
      <c r="E2221" s="198"/>
      <c r="F2221" s="198"/>
      <c r="G2221" s="198"/>
      <c r="H2221" s="198"/>
      <c r="I2221" s="198"/>
      <c r="J2221" s="198"/>
      <c r="K2221" s="198"/>
      <c r="L2221" s="198"/>
      <c r="M2221" s="198"/>
      <c r="N2221" s="198"/>
      <c r="O2221" s="198"/>
      <c r="P2221" s="198"/>
      <c r="Q2221" s="198"/>
      <c r="R2221" s="198"/>
      <c r="S2221" s="198"/>
      <c r="T2221" s="198"/>
      <c r="U2221" s="198"/>
      <c r="V2221" s="198"/>
      <c r="W2221" s="198"/>
      <c r="X2221" s="198"/>
      <c r="Y2221" s="198"/>
      <c r="Z2221" s="198"/>
    </row>
    <row r="2222" spans="1:26" ht="15.75" hidden="1" customHeight="1" x14ac:dyDescent="0.25">
      <c r="A2222" s="213">
        <v>36502</v>
      </c>
      <c r="B2222" s="214" t="s">
        <v>10718</v>
      </c>
      <c r="C2222" s="215" t="s">
        <v>580</v>
      </c>
      <c r="D2222" s="216">
        <v>3368.06</v>
      </c>
      <c r="E2222" s="198"/>
      <c r="F2222" s="198"/>
      <c r="G2222" s="198"/>
      <c r="H2222" s="198"/>
      <c r="I2222" s="198"/>
      <c r="J2222" s="198"/>
      <c r="K2222" s="198"/>
      <c r="L2222" s="198"/>
      <c r="M2222" s="198"/>
      <c r="N2222" s="198"/>
      <c r="O2222" s="198"/>
      <c r="P2222" s="198"/>
      <c r="Q2222" s="198"/>
      <c r="R2222" s="198"/>
      <c r="S2222" s="198"/>
      <c r="T2222" s="198"/>
      <c r="U2222" s="198"/>
      <c r="V2222" s="198"/>
      <c r="W2222" s="198"/>
      <c r="X2222" s="198"/>
      <c r="Y2222" s="198"/>
      <c r="Z2222" s="198"/>
    </row>
    <row r="2223" spans="1:26" ht="15.75" hidden="1" customHeight="1" x14ac:dyDescent="0.25">
      <c r="A2223" s="213">
        <v>36503</v>
      </c>
      <c r="B2223" s="214" t="s">
        <v>10719</v>
      </c>
      <c r="C2223" s="215" t="s">
        <v>580</v>
      </c>
      <c r="D2223" s="216">
        <v>4153.22</v>
      </c>
      <c r="E2223" s="198"/>
      <c r="F2223" s="198"/>
      <c r="G2223" s="198"/>
      <c r="H2223" s="198"/>
      <c r="I2223" s="198"/>
      <c r="J2223" s="198"/>
      <c r="K2223" s="198"/>
      <c r="L2223" s="198"/>
      <c r="M2223" s="198"/>
      <c r="N2223" s="198"/>
      <c r="O2223" s="198"/>
      <c r="P2223" s="198"/>
      <c r="Q2223" s="198"/>
      <c r="R2223" s="198"/>
      <c r="S2223" s="198"/>
      <c r="T2223" s="198"/>
      <c r="U2223" s="198"/>
      <c r="V2223" s="198"/>
      <c r="W2223" s="198"/>
      <c r="X2223" s="198"/>
      <c r="Y2223" s="198"/>
      <c r="Z2223" s="198"/>
    </row>
    <row r="2224" spans="1:26" ht="15.75" hidden="1" customHeight="1" x14ac:dyDescent="0.25">
      <c r="A2224" s="213">
        <v>4090</v>
      </c>
      <c r="B2224" s="214" t="s">
        <v>10720</v>
      </c>
      <c r="C2224" s="215" t="s">
        <v>580</v>
      </c>
      <c r="D2224" s="216">
        <v>1450000</v>
      </c>
      <c r="E2224" s="198"/>
      <c r="F2224" s="198"/>
      <c r="G2224" s="198"/>
      <c r="H2224" s="198"/>
      <c r="I2224" s="198"/>
      <c r="J2224" s="198"/>
      <c r="K2224" s="198"/>
      <c r="L2224" s="198"/>
      <c r="M2224" s="198"/>
      <c r="N2224" s="198"/>
      <c r="O2224" s="198"/>
      <c r="P2224" s="198"/>
      <c r="Q2224" s="198"/>
      <c r="R2224" s="198"/>
      <c r="S2224" s="198"/>
      <c r="T2224" s="198"/>
      <c r="U2224" s="198"/>
      <c r="V2224" s="198"/>
      <c r="W2224" s="198"/>
      <c r="X2224" s="198"/>
      <c r="Y2224" s="198"/>
      <c r="Z2224" s="198"/>
    </row>
    <row r="2225" spans="1:26" ht="15.75" hidden="1" customHeight="1" x14ac:dyDescent="0.25">
      <c r="A2225" s="213">
        <v>13227</v>
      </c>
      <c r="B2225" s="214" t="s">
        <v>10721</v>
      </c>
      <c r="C2225" s="215" t="s">
        <v>580</v>
      </c>
      <c r="D2225" s="216">
        <v>1801805.81</v>
      </c>
      <c r="E2225" s="198"/>
      <c r="F2225" s="198"/>
      <c r="G2225" s="198"/>
      <c r="H2225" s="198"/>
      <c r="I2225" s="198"/>
      <c r="J2225" s="198"/>
      <c r="K2225" s="198"/>
      <c r="L2225" s="198"/>
      <c r="M2225" s="198"/>
      <c r="N2225" s="198"/>
      <c r="O2225" s="198"/>
      <c r="P2225" s="198"/>
      <c r="Q2225" s="198"/>
      <c r="R2225" s="198"/>
      <c r="S2225" s="198"/>
      <c r="T2225" s="198"/>
      <c r="U2225" s="198"/>
      <c r="V2225" s="198"/>
      <c r="W2225" s="198"/>
      <c r="X2225" s="198"/>
      <c r="Y2225" s="198"/>
      <c r="Z2225" s="198"/>
    </row>
    <row r="2226" spans="1:26" ht="15.75" hidden="1" customHeight="1" x14ac:dyDescent="0.25">
      <c r="A2226" s="213">
        <v>10597</v>
      </c>
      <c r="B2226" s="214" t="s">
        <v>10722</v>
      </c>
      <c r="C2226" s="215" t="s">
        <v>580</v>
      </c>
      <c r="D2226" s="216">
        <v>1896633.06</v>
      </c>
      <c r="E2226" s="198"/>
      <c r="F2226" s="198"/>
      <c r="G2226" s="198"/>
      <c r="H2226" s="198"/>
      <c r="I2226" s="198"/>
      <c r="J2226" s="198"/>
      <c r="K2226" s="198"/>
      <c r="L2226" s="198"/>
      <c r="M2226" s="198"/>
      <c r="N2226" s="198"/>
      <c r="O2226" s="198"/>
      <c r="P2226" s="198"/>
      <c r="Q2226" s="198"/>
      <c r="R2226" s="198"/>
      <c r="S2226" s="198"/>
      <c r="T2226" s="198"/>
      <c r="U2226" s="198"/>
      <c r="V2226" s="198"/>
      <c r="W2226" s="198"/>
      <c r="X2226" s="198"/>
      <c r="Y2226" s="198"/>
      <c r="Z2226" s="198"/>
    </row>
    <row r="2227" spans="1:26" ht="15.75" hidden="1" customHeight="1" x14ac:dyDescent="0.25">
      <c r="A2227" s="213">
        <v>4093</v>
      </c>
      <c r="B2227" s="214" t="s">
        <v>10723</v>
      </c>
      <c r="C2227" s="215" t="s">
        <v>2193</v>
      </c>
      <c r="D2227" s="216">
        <v>27.82</v>
      </c>
      <c r="E2227" s="198"/>
      <c r="F2227" s="198"/>
      <c r="G2227" s="198"/>
      <c r="H2227" s="198"/>
      <c r="I2227" s="198"/>
      <c r="J2227" s="198"/>
      <c r="K2227" s="198"/>
      <c r="L2227" s="198"/>
      <c r="M2227" s="198"/>
      <c r="N2227" s="198"/>
      <c r="O2227" s="198"/>
      <c r="P2227" s="198"/>
      <c r="Q2227" s="198"/>
      <c r="R2227" s="198"/>
      <c r="S2227" s="198"/>
      <c r="T2227" s="198"/>
      <c r="U2227" s="198"/>
      <c r="V2227" s="198"/>
      <c r="W2227" s="198"/>
      <c r="X2227" s="198"/>
      <c r="Y2227" s="198"/>
      <c r="Z2227" s="198"/>
    </row>
    <row r="2228" spans="1:26" ht="15.75" hidden="1" customHeight="1" x14ac:dyDescent="0.25">
      <c r="A2228" s="213">
        <v>10512</v>
      </c>
      <c r="B2228" s="214" t="s">
        <v>10724</v>
      </c>
      <c r="C2228" s="215" t="s">
        <v>6214</v>
      </c>
      <c r="D2228" s="216">
        <v>4880.37</v>
      </c>
      <c r="E2228" s="198"/>
      <c r="F2228" s="198"/>
      <c r="G2228" s="198"/>
      <c r="H2228" s="198"/>
      <c r="I2228" s="198"/>
      <c r="J2228" s="198"/>
      <c r="K2228" s="198"/>
      <c r="L2228" s="198"/>
      <c r="M2228" s="198"/>
      <c r="N2228" s="198"/>
      <c r="O2228" s="198"/>
      <c r="P2228" s="198"/>
      <c r="Q2228" s="198"/>
      <c r="R2228" s="198"/>
      <c r="S2228" s="198"/>
      <c r="T2228" s="198"/>
      <c r="U2228" s="198"/>
      <c r="V2228" s="198"/>
      <c r="W2228" s="198"/>
      <c r="X2228" s="198"/>
      <c r="Y2228" s="198"/>
      <c r="Z2228" s="198"/>
    </row>
    <row r="2229" spans="1:26" ht="15.75" hidden="1" customHeight="1" x14ac:dyDescent="0.25">
      <c r="A2229" s="213">
        <v>4243</v>
      </c>
      <c r="B2229" s="214" t="s">
        <v>10725</v>
      </c>
      <c r="C2229" s="215" t="s">
        <v>2193</v>
      </c>
      <c r="D2229" s="216">
        <v>26.37</v>
      </c>
      <c r="E2229" s="198"/>
      <c r="F2229" s="198"/>
      <c r="G2229" s="198"/>
      <c r="H2229" s="198"/>
      <c r="I2229" s="198"/>
      <c r="J2229" s="198"/>
      <c r="K2229" s="198"/>
      <c r="L2229" s="198"/>
      <c r="M2229" s="198"/>
      <c r="N2229" s="198"/>
      <c r="O2229" s="198"/>
      <c r="P2229" s="198"/>
      <c r="Q2229" s="198"/>
      <c r="R2229" s="198"/>
      <c r="S2229" s="198"/>
      <c r="T2229" s="198"/>
      <c r="U2229" s="198"/>
      <c r="V2229" s="198"/>
      <c r="W2229" s="198"/>
      <c r="X2229" s="198"/>
      <c r="Y2229" s="198"/>
      <c r="Z2229" s="198"/>
    </row>
    <row r="2230" spans="1:26" ht="15.75" hidden="1" customHeight="1" x14ac:dyDescent="0.25">
      <c r="A2230" s="213">
        <v>20020</v>
      </c>
      <c r="B2230" s="214" t="s">
        <v>10726</v>
      </c>
      <c r="C2230" s="215" t="s">
        <v>2193</v>
      </c>
      <c r="D2230" s="216">
        <v>28.9</v>
      </c>
      <c r="E2230" s="198"/>
      <c r="F2230" s="198"/>
      <c r="G2230" s="198"/>
      <c r="H2230" s="198"/>
      <c r="I2230" s="198"/>
      <c r="J2230" s="198"/>
      <c r="K2230" s="198"/>
      <c r="L2230" s="198"/>
      <c r="M2230" s="198"/>
      <c r="N2230" s="198"/>
      <c r="O2230" s="198"/>
      <c r="P2230" s="198"/>
      <c r="Q2230" s="198"/>
      <c r="R2230" s="198"/>
      <c r="S2230" s="198"/>
      <c r="T2230" s="198"/>
      <c r="U2230" s="198"/>
      <c r="V2230" s="198"/>
      <c r="W2230" s="198"/>
      <c r="X2230" s="198"/>
      <c r="Y2230" s="198"/>
      <c r="Z2230" s="198"/>
    </row>
    <row r="2231" spans="1:26" ht="15.75" hidden="1" customHeight="1" x14ac:dyDescent="0.25">
      <c r="A2231" s="213">
        <v>41038</v>
      </c>
      <c r="B2231" s="214" t="s">
        <v>10727</v>
      </c>
      <c r="C2231" s="215" t="s">
        <v>6214</v>
      </c>
      <c r="D2231" s="216">
        <v>5071.68</v>
      </c>
      <c r="E2231" s="198"/>
      <c r="F2231" s="198"/>
      <c r="G2231" s="198"/>
      <c r="H2231" s="198"/>
      <c r="I2231" s="198"/>
      <c r="J2231" s="198"/>
      <c r="K2231" s="198"/>
      <c r="L2231" s="198"/>
      <c r="M2231" s="198"/>
      <c r="N2231" s="198"/>
      <c r="O2231" s="198"/>
      <c r="P2231" s="198"/>
      <c r="Q2231" s="198"/>
      <c r="R2231" s="198"/>
      <c r="S2231" s="198"/>
      <c r="T2231" s="198"/>
      <c r="U2231" s="198"/>
      <c r="V2231" s="198"/>
      <c r="W2231" s="198"/>
      <c r="X2231" s="198"/>
      <c r="Y2231" s="198"/>
      <c r="Z2231" s="198"/>
    </row>
    <row r="2232" spans="1:26" ht="15.75" hidden="1" customHeight="1" x14ac:dyDescent="0.25">
      <c r="A2232" s="213">
        <v>4094</v>
      </c>
      <c r="B2232" s="214" t="s">
        <v>10728</v>
      </c>
      <c r="C2232" s="215" t="s">
        <v>2193</v>
      </c>
      <c r="D2232" s="216">
        <v>34.590000000000003</v>
      </c>
      <c r="E2232" s="198"/>
      <c r="F2232" s="198"/>
      <c r="G2232" s="198"/>
      <c r="H2232" s="198"/>
      <c r="I2232" s="198"/>
      <c r="J2232" s="198"/>
      <c r="K2232" s="198"/>
      <c r="L2232" s="198"/>
      <c r="M2232" s="198"/>
      <c r="N2232" s="198"/>
      <c r="O2232" s="198"/>
      <c r="P2232" s="198"/>
      <c r="Q2232" s="198"/>
      <c r="R2232" s="198"/>
      <c r="S2232" s="198"/>
      <c r="T2232" s="198"/>
      <c r="U2232" s="198"/>
      <c r="V2232" s="198"/>
      <c r="W2232" s="198"/>
      <c r="X2232" s="198"/>
      <c r="Y2232" s="198"/>
      <c r="Z2232" s="198"/>
    </row>
    <row r="2233" spans="1:26" ht="15.75" hidden="1" customHeight="1" x14ac:dyDescent="0.25">
      <c r="A2233" s="213">
        <v>40988</v>
      </c>
      <c r="B2233" s="214" t="s">
        <v>10729</v>
      </c>
      <c r="C2233" s="215" t="s">
        <v>6214</v>
      </c>
      <c r="D2233" s="216">
        <v>6070.3</v>
      </c>
      <c r="E2233" s="198"/>
      <c r="F2233" s="198"/>
      <c r="G2233" s="198"/>
      <c r="H2233" s="198"/>
      <c r="I2233" s="198"/>
      <c r="J2233" s="198"/>
      <c r="K2233" s="198"/>
      <c r="L2233" s="198"/>
      <c r="M2233" s="198"/>
      <c r="N2233" s="198"/>
      <c r="O2233" s="198"/>
      <c r="P2233" s="198"/>
      <c r="Q2233" s="198"/>
      <c r="R2233" s="198"/>
      <c r="S2233" s="198"/>
      <c r="T2233" s="198"/>
      <c r="U2233" s="198"/>
      <c r="V2233" s="198"/>
      <c r="W2233" s="198"/>
      <c r="X2233" s="198"/>
      <c r="Y2233" s="198"/>
      <c r="Z2233" s="198"/>
    </row>
    <row r="2234" spans="1:26" ht="15.75" hidden="1" customHeight="1" x14ac:dyDescent="0.25">
      <c r="A2234" s="213">
        <v>4095</v>
      </c>
      <c r="B2234" s="214" t="s">
        <v>10730</v>
      </c>
      <c r="C2234" s="215" t="s">
        <v>2193</v>
      </c>
      <c r="D2234" s="216">
        <v>24.7</v>
      </c>
      <c r="E2234" s="198"/>
      <c r="F2234" s="198"/>
      <c r="G2234" s="198"/>
      <c r="H2234" s="198"/>
      <c r="I2234" s="198"/>
      <c r="J2234" s="198"/>
      <c r="K2234" s="198"/>
      <c r="L2234" s="198"/>
      <c r="M2234" s="198"/>
      <c r="N2234" s="198"/>
      <c r="O2234" s="198"/>
      <c r="P2234" s="198"/>
      <c r="Q2234" s="198"/>
      <c r="R2234" s="198"/>
      <c r="S2234" s="198"/>
      <c r="T2234" s="198"/>
      <c r="U2234" s="198"/>
      <c r="V2234" s="198"/>
      <c r="W2234" s="198"/>
      <c r="X2234" s="198"/>
      <c r="Y2234" s="198"/>
      <c r="Z2234" s="198"/>
    </row>
    <row r="2235" spans="1:26" ht="15.75" hidden="1" customHeight="1" x14ac:dyDescent="0.25">
      <c r="A2235" s="213">
        <v>40990</v>
      </c>
      <c r="B2235" s="214" t="s">
        <v>10731</v>
      </c>
      <c r="C2235" s="215" t="s">
        <v>6214</v>
      </c>
      <c r="D2235" s="216">
        <v>4334.71</v>
      </c>
      <c r="E2235" s="198"/>
      <c r="F2235" s="198"/>
      <c r="G2235" s="198"/>
      <c r="H2235" s="198"/>
      <c r="I2235" s="198"/>
      <c r="J2235" s="198"/>
      <c r="K2235" s="198"/>
      <c r="L2235" s="198"/>
      <c r="M2235" s="198"/>
      <c r="N2235" s="198"/>
      <c r="O2235" s="198"/>
      <c r="P2235" s="198"/>
      <c r="Q2235" s="198"/>
      <c r="R2235" s="198"/>
      <c r="S2235" s="198"/>
      <c r="T2235" s="198"/>
      <c r="U2235" s="198"/>
      <c r="V2235" s="198"/>
      <c r="W2235" s="198"/>
      <c r="X2235" s="198"/>
      <c r="Y2235" s="198"/>
      <c r="Z2235" s="198"/>
    </row>
    <row r="2236" spans="1:26" ht="15.75" hidden="1" customHeight="1" x14ac:dyDescent="0.25">
      <c r="A2236" s="213">
        <v>4096</v>
      </c>
      <c r="B2236" s="214" t="s">
        <v>10732</v>
      </c>
      <c r="C2236" s="215" t="s">
        <v>2193</v>
      </c>
      <c r="D2236" s="216">
        <v>31.2</v>
      </c>
      <c r="E2236" s="198"/>
      <c r="F2236" s="198"/>
      <c r="G2236" s="198"/>
      <c r="H2236" s="198"/>
      <c r="I2236" s="198"/>
      <c r="J2236" s="198"/>
      <c r="K2236" s="198"/>
      <c r="L2236" s="198"/>
      <c r="M2236" s="198"/>
      <c r="N2236" s="198"/>
      <c r="O2236" s="198"/>
      <c r="P2236" s="198"/>
      <c r="Q2236" s="198"/>
      <c r="R2236" s="198"/>
      <c r="S2236" s="198"/>
      <c r="T2236" s="198"/>
      <c r="U2236" s="198"/>
      <c r="V2236" s="198"/>
      <c r="W2236" s="198"/>
      <c r="X2236" s="198"/>
      <c r="Y2236" s="198"/>
      <c r="Z2236" s="198"/>
    </row>
    <row r="2237" spans="1:26" ht="15.75" hidden="1" customHeight="1" x14ac:dyDescent="0.25">
      <c r="A2237" s="213">
        <v>40992</v>
      </c>
      <c r="B2237" s="214" t="s">
        <v>10733</v>
      </c>
      <c r="C2237" s="215" t="s">
        <v>6214</v>
      </c>
      <c r="D2237" s="216">
        <v>5472.71</v>
      </c>
      <c r="E2237" s="198"/>
      <c r="F2237" s="198"/>
      <c r="G2237" s="198"/>
      <c r="H2237" s="198"/>
      <c r="I2237" s="198"/>
      <c r="J2237" s="198"/>
      <c r="K2237" s="198"/>
      <c r="L2237" s="198"/>
      <c r="M2237" s="198"/>
      <c r="N2237" s="198"/>
      <c r="O2237" s="198"/>
      <c r="P2237" s="198"/>
      <c r="Q2237" s="198"/>
      <c r="R2237" s="198"/>
      <c r="S2237" s="198"/>
      <c r="T2237" s="198"/>
      <c r="U2237" s="198"/>
      <c r="V2237" s="198"/>
      <c r="W2237" s="198"/>
      <c r="X2237" s="198"/>
      <c r="Y2237" s="198"/>
      <c r="Z2237" s="198"/>
    </row>
    <row r="2238" spans="1:26" ht="15.75" hidden="1" customHeight="1" x14ac:dyDescent="0.25">
      <c r="A2238" s="213">
        <v>4114</v>
      </c>
      <c r="B2238" s="214" t="s">
        <v>10734</v>
      </c>
      <c r="C2238" s="215" t="s">
        <v>580</v>
      </c>
      <c r="D2238" s="216">
        <v>73.19</v>
      </c>
      <c r="E2238" s="198"/>
      <c r="F2238" s="198"/>
      <c r="G2238" s="198"/>
      <c r="H2238" s="198"/>
      <c r="I2238" s="198"/>
      <c r="J2238" s="198"/>
      <c r="K2238" s="198"/>
      <c r="L2238" s="198"/>
      <c r="M2238" s="198"/>
      <c r="N2238" s="198"/>
      <c r="O2238" s="198"/>
      <c r="P2238" s="198"/>
      <c r="Q2238" s="198"/>
      <c r="R2238" s="198"/>
      <c r="S2238" s="198"/>
      <c r="T2238" s="198"/>
      <c r="U2238" s="198"/>
      <c r="V2238" s="198"/>
      <c r="W2238" s="198"/>
      <c r="X2238" s="198"/>
      <c r="Y2238" s="198"/>
      <c r="Z2238" s="198"/>
    </row>
    <row r="2239" spans="1:26" ht="15.75" hidden="1" customHeight="1" x14ac:dyDescent="0.25">
      <c r="A2239" s="213">
        <v>36797</v>
      </c>
      <c r="B2239" s="214" t="s">
        <v>10735</v>
      </c>
      <c r="C2239" s="215" t="s">
        <v>580</v>
      </c>
      <c r="D2239" s="216">
        <v>65.16</v>
      </c>
      <c r="E2239" s="198"/>
      <c r="F2239" s="198"/>
      <c r="G2239" s="198"/>
      <c r="H2239" s="198"/>
      <c r="I2239" s="198"/>
      <c r="J2239" s="198"/>
      <c r="K2239" s="198"/>
      <c r="L2239" s="198"/>
      <c r="M2239" s="198"/>
      <c r="N2239" s="198"/>
      <c r="O2239" s="198"/>
      <c r="P2239" s="198"/>
      <c r="Q2239" s="198"/>
      <c r="R2239" s="198"/>
      <c r="S2239" s="198"/>
      <c r="T2239" s="198"/>
      <c r="U2239" s="198"/>
      <c r="V2239" s="198"/>
      <c r="W2239" s="198"/>
      <c r="X2239" s="198"/>
      <c r="Y2239" s="198"/>
      <c r="Z2239" s="198"/>
    </row>
    <row r="2240" spans="1:26" ht="15.75" hidden="1" customHeight="1" x14ac:dyDescent="0.25">
      <c r="A2240" s="213">
        <v>4107</v>
      </c>
      <c r="B2240" s="214" t="s">
        <v>10736</v>
      </c>
      <c r="C2240" s="215" t="s">
        <v>580</v>
      </c>
      <c r="D2240" s="216">
        <v>61.44</v>
      </c>
      <c r="E2240" s="198"/>
      <c r="F2240" s="198"/>
      <c r="G2240" s="198"/>
      <c r="H2240" s="198"/>
      <c r="I2240" s="198"/>
      <c r="J2240" s="198"/>
      <c r="K2240" s="198"/>
      <c r="L2240" s="198"/>
      <c r="M2240" s="198"/>
      <c r="N2240" s="198"/>
      <c r="O2240" s="198"/>
      <c r="P2240" s="198"/>
      <c r="Q2240" s="198"/>
      <c r="R2240" s="198"/>
      <c r="S2240" s="198"/>
      <c r="T2240" s="198"/>
      <c r="U2240" s="198"/>
      <c r="V2240" s="198"/>
      <c r="W2240" s="198"/>
      <c r="X2240" s="198"/>
      <c r="Y2240" s="198"/>
      <c r="Z2240" s="198"/>
    </row>
    <row r="2241" spans="1:26" ht="15.75" hidden="1" customHeight="1" x14ac:dyDescent="0.25">
      <c r="A2241" s="213">
        <v>4102</v>
      </c>
      <c r="B2241" s="214" t="s">
        <v>10737</v>
      </c>
      <c r="C2241" s="215" t="s">
        <v>580</v>
      </c>
      <c r="D2241" s="216">
        <v>75</v>
      </c>
      <c r="E2241" s="198"/>
      <c r="F2241" s="198"/>
      <c r="G2241" s="198"/>
      <c r="H2241" s="198"/>
      <c r="I2241" s="198"/>
      <c r="J2241" s="198"/>
      <c r="K2241" s="198"/>
      <c r="L2241" s="198"/>
      <c r="M2241" s="198"/>
      <c r="N2241" s="198"/>
      <c r="O2241" s="198"/>
      <c r="P2241" s="198"/>
      <c r="Q2241" s="198"/>
      <c r="R2241" s="198"/>
      <c r="S2241" s="198"/>
      <c r="T2241" s="198"/>
      <c r="U2241" s="198"/>
      <c r="V2241" s="198"/>
      <c r="W2241" s="198"/>
      <c r="X2241" s="198"/>
      <c r="Y2241" s="198"/>
      <c r="Z2241" s="198"/>
    </row>
    <row r="2242" spans="1:26" ht="15.75" hidden="1" customHeight="1" x14ac:dyDescent="0.25">
      <c r="A2242" s="213">
        <v>36799</v>
      </c>
      <c r="B2242" s="214" t="s">
        <v>10738</v>
      </c>
      <c r="C2242" s="215" t="s">
        <v>580</v>
      </c>
      <c r="D2242" s="216">
        <v>63.25</v>
      </c>
      <c r="E2242" s="198"/>
      <c r="F2242" s="198"/>
      <c r="G2242" s="198"/>
      <c r="H2242" s="198"/>
      <c r="I2242" s="198"/>
      <c r="J2242" s="198"/>
      <c r="K2242" s="198"/>
      <c r="L2242" s="198"/>
      <c r="M2242" s="198"/>
      <c r="N2242" s="198"/>
      <c r="O2242" s="198"/>
      <c r="P2242" s="198"/>
      <c r="Q2242" s="198"/>
      <c r="R2242" s="198"/>
      <c r="S2242" s="198"/>
      <c r="T2242" s="198"/>
      <c r="U2242" s="198"/>
      <c r="V2242" s="198"/>
      <c r="W2242" s="198"/>
      <c r="X2242" s="198"/>
      <c r="Y2242" s="198"/>
      <c r="Z2242" s="198"/>
    </row>
    <row r="2243" spans="1:26" ht="15.75" hidden="1" customHeight="1" x14ac:dyDescent="0.25">
      <c r="A2243" s="213">
        <v>2747</v>
      </c>
      <c r="B2243" s="214" t="s">
        <v>10739</v>
      </c>
      <c r="C2243" s="215" t="s">
        <v>585</v>
      </c>
      <c r="D2243" s="216">
        <v>41.51</v>
      </c>
      <c r="E2243" s="198"/>
      <c r="F2243" s="198"/>
      <c r="G2243" s="198"/>
      <c r="H2243" s="198"/>
      <c r="I2243" s="198"/>
      <c r="J2243" s="198"/>
      <c r="K2243" s="198"/>
      <c r="L2243" s="198"/>
      <c r="M2243" s="198"/>
      <c r="N2243" s="198"/>
      <c r="O2243" s="198"/>
      <c r="P2243" s="198"/>
      <c r="Q2243" s="198"/>
      <c r="R2243" s="198"/>
      <c r="S2243" s="198"/>
      <c r="T2243" s="198"/>
      <c r="U2243" s="198"/>
      <c r="V2243" s="198"/>
      <c r="W2243" s="198"/>
      <c r="X2243" s="198"/>
      <c r="Y2243" s="198"/>
      <c r="Z2243" s="198"/>
    </row>
    <row r="2244" spans="1:26" ht="15.75" hidden="1" customHeight="1" x14ac:dyDescent="0.25">
      <c r="A2244" s="213">
        <v>21138</v>
      </c>
      <c r="B2244" s="214" t="s">
        <v>10740</v>
      </c>
      <c r="C2244" s="215" t="s">
        <v>585</v>
      </c>
      <c r="D2244" s="216">
        <v>13.16</v>
      </c>
      <c r="E2244" s="198"/>
      <c r="F2244" s="198"/>
      <c r="G2244" s="198"/>
      <c r="H2244" s="198"/>
      <c r="I2244" s="198"/>
      <c r="J2244" s="198"/>
      <c r="K2244" s="198"/>
      <c r="L2244" s="198"/>
      <c r="M2244" s="198"/>
      <c r="N2244" s="198"/>
      <c r="O2244" s="198"/>
      <c r="P2244" s="198"/>
      <c r="Q2244" s="198"/>
      <c r="R2244" s="198"/>
      <c r="S2244" s="198"/>
      <c r="T2244" s="198"/>
      <c r="U2244" s="198"/>
      <c r="V2244" s="198"/>
      <c r="W2244" s="198"/>
      <c r="X2244" s="198"/>
      <c r="Y2244" s="198"/>
      <c r="Z2244" s="198"/>
    </row>
    <row r="2245" spans="1:26" ht="15.75" hidden="1" customHeight="1" x14ac:dyDescent="0.25">
      <c r="A2245" s="213">
        <v>10826</v>
      </c>
      <c r="B2245" s="214" t="s">
        <v>10741</v>
      </c>
      <c r="C2245" s="215" t="s">
        <v>580</v>
      </c>
      <c r="D2245" s="216">
        <v>57.18</v>
      </c>
      <c r="E2245" s="198"/>
      <c r="F2245" s="198"/>
      <c r="G2245" s="198"/>
      <c r="H2245" s="198"/>
      <c r="I2245" s="198"/>
      <c r="J2245" s="198"/>
      <c r="K2245" s="198"/>
      <c r="L2245" s="198"/>
      <c r="M2245" s="198"/>
      <c r="N2245" s="198"/>
      <c r="O2245" s="198"/>
      <c r="P2245" s="198"/>
      <c r="Q2245" s="198"/>
      <c r="R2245" s="198"/>
      <c r="S2245" s="198"/>
      <c r="T2245" s="198"/>
      <c r="U2245" s="198"/>
      <c r="V2245" s="198"/>
      <c r="W2245" s="198"/>
      <c r="X2245" s="198"/>
      <c r="Y2245" s="198"/>
      <c r="Z2245" s="198"/>
    </row>
    <row r="2246" spans="1:26" ht="15.75" hidden="1" customHeight="1" x14ac:dyDescent="0.25">
      <c r="A2246" s="213">
        <v>365</v>
      </c>
      <c r="B2246" s="214" t="s">
        <v>10742</v>
      </c>
      <c r="C2246" s="215" t="s">
        <v>580</v>
      </c>
      <c r="D2246" s="216">
        <v>35.450000000000003</v>
      </c>
      <c r="E2246" s="198"/>
      <c r="F2246" s="198"/>
      <c r="G2246" s="198"/>
      <c r="H2246" s="198"/>
      <c r="I2246" s="198"/>
      <c r="J2246" s="198"/>
      <c r="K2246" s="198"/>
      <c r="L2246" s="198"/>
      <c r="M2246" s="198"/>
      <c r="N2246" s="198"/>
      <c r="O2246" s="198"/>
      <c r="P2246" s="198"/>
      <c r="Q2246" s="198"/>
      <c r="R2246" s="198"/>
      <c r="S2246" s="198"/>
      <c r="T2246" s="198"/>
      <c r="U2246" s="198"/>
      <c r="V2246" s="198"/>
      <c r="W2246" s="198"/>
      <c r="X2246" s="198"/>
      <c r="Y2246" s="198"/>
      <c r="Z2246" s="198"/>
    </row>
    <row r="2247" spans="1:26" ht="15.75" hidden="1" customHeight="1" x14ac:dyDescent="0.25">
      <c r="A2247" s="213">
        <v>38639</v>
      </c>
      <c r="B2247" s="214" t="s">
        <v>10743</v>
      </c>
      <c r="C2247" s="215" t="s">
        <v>580</v>
      </c>
      <c r="D2247" s="216">
        <v>137.24</v>
      </c>
      <c r="E2247" s="198"/>
      <c r="F2247" s="198"/>
      <c r="G2247" s="198"/>
      <c r="H2247" s="198"/>
      <c r="I2247" s="198"/>
      <c r="J2247" s="198"/>
      <c r="K2247" s="198"/>
      <c r="L2247" s="198"/>
      <c r="M2247" s="198"/>
      <c r="N2247" s="198"/>
      <c r="O2247" s="198"/>
      <c r="P2247" s="198"/>
      <c r="Q2247" s="198"/>
      <c r="R2247" s="198"/>
      <c r="S2247" s="198"/>
      <c r="T2247" s="198"/>
      <c r="U2247" s="198"/>
      <c r="V2247" s="198"/>
      <c r="W2247" s="198"/>
      <c r="X2247" s="198"/>
      <c r="Y2247" s="198"/>
      <c r="Z2247" s="198"/>
    </row>
    <row r="2248" spans="1:26" ht="15.75" hidden="1" customHeight="1" x14ac:dyDescent="0.25">
      <c r="A2248" s="213">
        <v>38640</v>
      </c>
      <c r="B2248" s="214" t="s">
        <v>10744</v>
      </c>
      <c r="C2248" s="215" t="s">
        <v>580</v>
      </c>
      <c r="D2248" s="216">
        <v>2.0499999999999998</v>
      </c>
      <c r="E2248" s="198"/>
      <c r="F2248" s="198"/>
      <c r="G2248" s="198"/>
      <c r="H2248" s="198"/>
      <c r="I2248" s="198"/>
      <c r="J2248" s="198"/>
      <c r="K2248" s="198"/>
      <c r="L2248" s="198"/>
      <c r="M2248" s="198"/>
      <c r="N2248" s="198"/>
      <c r="O2248" s="198"/>
      <c r="P2248" s="198"/>
      <c r="Q2248" s="198"/>
      <c r="R2248" s="198"/>
      <c r="S2248" s="198"/>
      <c r="T2248" s="198"/>
      <c r="U2248" s="198"/>
      <c r="V2248" s="198"/>
      <c r="W2248" s="198"/>
      <c r="X2248" s="198"/>
      <c r="Y2248" s="198"/>
      <c r="Z2248" s="198"/>
    </row>
    <row r="2249" spans="1:26" ht="15.75" hidden="1" customHeight="1" x14ac:dyDescent="0.25">
      <c r="A2249" s="213">
        <v>358</v>
      </c>
      <c r="B2249" s="214" t="s">
        <v>10745</v>
      </c>
      <c r="C2249" s="215" t="s">
        <v>580</v>
      </c>
      <c r="D2249" s="216">
        <v>42.31</v>
      </c>
      <c r="E2249" s="198"/>
      <c r="F2249" s="198"/>
      <c r="G2249" s="198"/>
      <c r="H2249" s="198"/>
      <c r="I2249" s="198"/>
      <c r="J2249" s="198"/>
      <c r="K2249" s="198"/>
      <c r="L2249" s="198"/>
      <c r="M2249" s="198"/>
      <c r="N2249" s="198"/>
      <c r="O2249" s="198"/>
      <c r="P2249" s="198"/>
      <c r="Q2249" s="198"/>
      <c r="R2249" s="198"/>
      <c r="S2249" s="198"/>
      <c r="T2249" s="198"/>
      <c r="U2249" s="198"/>
      <c r="V2249" s="198"/>
      <c r="W2249" s="198"/>
      <c r="X2249" s="198"/>
      <c r="Y2249" s="198"/>
      <c r="Z2249" s="198"/>
    </row>
    <row r="2250" spans="1:26" ht="15.75" hidden="1" customHeight="1" x14ac:dyDescent="0.25">
      <c r="A2250" s="213">
        <v>359</v>
      </c>
      <c r="B2250" s="214" t="s">
        <v>10746</v>
      </c>
      <c r="C2250" s="215" t="s">
        <v>580</v>
      </c>
      <c r="D2250" s="216">
        <v>86.91</v>
      </c>
      <c r="E2250" s="198"/>
      <c r="F2250" s="198"/>
      <c r="G2250" s="198"/>
      <c r="H2250" s="198"/>
      <c r="I2250" s="198"/>
      <c r="J2250" s="198"/>
      <c r="K2250" s="198"/>
      <c r="L2250" s="198"/>
      <c r="M2250" s="198"/>
      <c r="N2250" s="198"/>
      <c r="O2250" s="198"/>
      <c r="P2250" s="198"/>
      <c r="Q2250" s="198"/>
      <c r="R2250" s="198"/>
      <c r="S2250" s="198"/>
      <c r="T2250" s="198"/>
      <c r="U2250" s="198"/>
      <c r="V2250" s="198"/>
      <c r="W2250" s="198"/>
      <c r="X2250" s="198"/>
      <c r="Y2250" s="198"/>
      <c r="Z2250" s="198"/>
    </row>
    <row r="2251" spans="1:26" ht="15.75" hidden="1" customHeight="1" x14ac:dyDescent="0.25">
      <c r="A2251" s="213">
        <v>38641</v>
      </c>
      <c r="B2251" s="214" t="s">
        <v>10747</v>
      </c>
      <c r="C2251" s="215" t="s">
        <v>580</v>
      </c>
      <c r="D2251" s="216">
        <v>85.77</v>
      </c>
      <c r="E2251" s="198"/>
      <c r="F2251" s="198"/>
      <c r="G2251" s="198"/>
      <c r="H2251" s="198"/>
      <c r="I2251" s="198"/>
      <c r="J2251" s="198"/>
      <c r="K2251" s="198"/>
      <c r="L2251" s="198"/>
      <c r="M2251" s="198"/>
      <c r="N2251" s="198"/>
      <c r="O2251" s="198"/>
      <c r="P2251" s="198"/>
      <c r="Q2251" s="198"/>
      <c r="R2251" s="198"/>
      <c r="S2251" s="198"/>
      <c r="T2251" s="198"/>
      <c r="U2251" s="198"/>
      <c r="V2251" s="198"/>
      <c r="W2251" s="198"/>
      <c r="X2251" s="198"/>
      <c r="Y2251" s="198"/>
      <c r="Z2251" s="198"/>
    </row>
    <row r="2252" spans="1:26" ht="15.75" hidden="1" customHeight="1" x14ac:dyDescent="0.25">
      <c r="A2252" s="213">
        <v>360</v>
      </c>
      <c r="B2252" s="214" t="s">
        <v>10748</v>
      </c>
      <c r="C2252" s="215" t="s">
        <v>580</v>
      </c>
      <c r="D2252" s="216">
        <v>1.99</v>
      </c>
      <c r="E2252" s="198"/>
      <c r="F2252" s="198"/>
      <c r="G2252" s="198"/>
      <c r="H2252" s="198"/>
      <c r="I2252" s="198"/>
      <c r="J2252" s="198"/>
      <c r="K2252" s="198"/>
      <c r="L2252" s="198"/>
      <c r="M2252" s="198"/>
      <c r="N2252" s="198"/>
      <c r="O2252" s="198"/>
      <c r="P2252" s="198"/>
      <c r="Q2252" s="198"/>
      <c r="R2252" s="198"/>
      <c r="S2252" s="198"/>
      <c r="T2252" s="198"/>
      <c r="U2252" s="198"/>
      <c r="V2252" s="198"/>
      <c r="W2252" s="198"/>
      <c r="X2252" s="198"/>
      <c r="Y2252" s="198"/>
      <c r="Z2252" s="198"/>
    </row>
    <row r="2253" spans="1:26" ht="15.75" hidden="1" customHeight="1" x14ac:dyDescent="0.25">
      <c r="A2253" s="213">
        <v>7595</v>
      </c>
      <c r="B2253" s="214" t="s">
        <v>10749</v>
      </c>
      <c r="C2253" s="215" t="s">
        <v>2193</v>
      </c>
      <c r="D2253" s="216">
        <v>20.72</v>
      </c>
      <c r="E2253" s="198"/>
      <c r="F2253" s="198"/>
      <c r="G2253" s="198"/>
      <c r="H2253" s="198"/>
      <c r="I2253" s="198"/>
      <c r="J2253" s="198"/>
      <c r="K2253" s="198"/>
      <c r="L2253" s="198"/>
      <c r="M2253" s="198"/>
      <c r="N2253" s="198"/>
      <c r="O2253" s="198"/>
      <c r="P2253" s="198"/>
      <c r="Q2253" s="198"/>
      <c r="R2253" s="198"/>
      <c r="S2253" s="198"/>
      <c r="T2253" s="198"/>
      <c r="U2253" s="198"/>
      <c r="V2253" s="198"/>
      <c r="W2253" s="198"/>
      <c r="X2253" s="198"/>
      <c r="Y2253" s="198"/>
      <c r="Z2253" s="198"/>
    </row>
    <row r="2254" spans="1:26" ht="15.75" hidden="1" customHeight="1" x14ac:dyDescent="0.25">
      <c r="A2254" s="213">
        <v>41094</v>
      </c>
      <c r="B2254" s="214" t="s">
        <v>10750</v>
      </c>
      <c r="C2254" s="215" t="s">
        <v>6214</v>
      </c>
      <c r="D2254" s="216">
        <v>3637.57</v>
      </c>
      <c r="E2254" s="198"/>
      <c r="F2254" s="198"/>
      <c r="G2254" s="198"/>
      <c r="H2254" s="198"/>
      <c r="I2254" s="198"/>
      <c r="J2254" s="198"/>
      <c r="K2254" s="198"/>
      <c r="L2254" s="198"/>
      <c r="M2254" s="198"/>
      <c r="N2254" s="198"/>
      <c r="O2254" s="198"/>
      <c r="P2254" s="198"/>
      <c r="Q2254" s="198"/>
      <c r="R2254" s="198"/>
      <c r="S2254" s="198"/>
      <c r="T2254" s="198"/>
      <c r="U2254" s="198"/>
      <c r="V2254" s="198"/>
      <c r="W2254" s="198"/>
      <c r="X2254" s="198"/>
      <c r="Y2254" s="198"/>
      <c r="Z2254" s="198"/>
    </row>
    <row r="2255" spans="1:26" ht="15.75" hidden="1" customHeight="1" x14ac:dyDescent="0.25">
      <c r="A2255" s="213">
        <v>38175</v>
      </c>
      <c r="B2255" s="214" t="s">
        <v>10751</v>
      </c>
      <c r="C2255" s="215" t="s">
        <v>580</v>
      </c>
      <c r="D2255" s="216">
        <v>4.53</v>
      </c>
      <c r="E2255" s="198"/>
      <c r="F2255" s="198"/>
      <c r="G2255" s="198"/>
      <c r="H2255" s="198"/>
      <c r="I2255" s="198"/>
      <c r="J2255" s="198"/>
      <c r="K2255" s="198"/>
      <c r="L2255" s="198"/>
      <c r="M2255" s="198"/>
      <c r="N2255" s="198"/>
      <c r="O2255" s="198"/>
      <c r="P2255" s="198"/>
      <c r="Q2255" s="198"/>
      <c r="R2255" s="198"/>
      <c r="S2255" s="198"/>
      <c r="T2255" s="198"/>
      <c r="U2255" s="198"/>
      <c r="V2255" s="198"/>
      <c r="W2255" s="198"/>
      <c r="X2255" s="198"/>
      <c r="Y2255" s="198"/>
      <c r="Z2255" s="198"/>
    </row>
    <row r="2256" spans="1:26" ht="15.75" hidden="1" customHeight="1" x14ac:dyDescent="0.25">
      <c r="A2256" s="213">
        <v>38176</v>
      </c>
      <c r="B2256" s="214" t="s">
        <v>10752</v>
      </c>
      <c r="C2256" s="215" t="s">
        <v>580</v>
      </c>
      <c r="D2256" s="216">
        <v>13.32</v>
      </c>
      <c r="E2256" s="198"/>
      <c r="F2256" s="198"/>
      <c r="G2256" s="198"/>
      <c r="H2256" s="198"/>
      <c r="I2256" s="198"/>
      <c r="J2256" s="198"/>
      <c r="K2256" s="198"/>
      <c r="L2256" s="198"/>
      <c r="M2256" s="198"/>
      <c r="N2256" s="198"/>
      <c r="O2256" s="198"/>
      <c r="P2256" s="198"/>
      <c r="Q2256" s="198"/>
      <c r="R2256" s="198"/>
      <c r="S2256" s="198"/>
      <c r="T2256" s="198"/>
      <c r="U2256" s="198"/>
      <c r="V2256" s="198"/>
      <c r="W2256" s="198"/>
      <c r="X2256" s="198"/>
      <c r="Y2256" s="198"/>
      <c r="Z2256" s="198"/>
    </row>
    <row r="2257" spans="1:26" ht="15.75" hidden="1" customHeight="1" x14ac:dyDescent="0.25">
      <c r="A2257" s="213">
        <v>36152</v>
      </c>
      <c r="B2257" s="214" t="s">
        <v>10753</v>
      </c>
      <c r="C2257" s="215" t="s">
        <v>580</v>
      </c>
      <c r="D2257" s="216">
        <v>6.2</v>
      </c>
      <c r="E2257" s="198"/>
      <c r="F2257" s="198"/>
      <c r="G2257" s="198"/>
      <c r="H2257" s="198"/>
      <c r="I2257" s="198"/>
      <c r="J2257" s="198"/>
      <c r="K2257" s="198"/>
      <c r="L2257" s="198"/>
      <c r="M2257" s="198"/>
      <c r="N2257" s="198"/>
      <c r="O2257" s="198"/>
      <c r="P2257" s="198"/>
      <c r="Q2257" s="198"/>
      <c r="R2257" s="198"/>
      <c r="S2257" s="198"/>
      <c r="T2257" s="198"/>
      <c r="U2257" s="198"/>
      <c r="V2257" s="198"/>
      <c r="W2257" s="198"/>
      <c r="X2257" s="198"/>
      <c r="Y2257" s="198"/>
      <c r="Z2257" s="198"/>
    </row>
    <row r="2258" spans="1:26" ht="15.75" hidden="1" customHeight="1" x14ac:dyDescent="0.25">
      <c r="A2258" s="213">
        <v>4221</v>
      </c>
      <c r="B2258" s="214" t="s">
        <v>10754</v>
      </c>
      <c r="C2258" s="215" t="s">
        <v>517</v>
      </c>
      <c r="D2258" s="216">
        <v>6.33</v>
      </c>
      <c r="E2258" s="198"/>
      <c r="F2258" s="198"/>
      <c r="G2258" s="198"/>
      <c r="H2258" s="198"/>
      <c r="I2258" s="198"/>
      <c r="J2258" s="198"/>
      <c r="K2258" s="198"/>
      <c r="L2258" s="198"/>
      <c r="M2258" s="198"/>
      <c r="N2258" s="198"/>
      <c r="O2258" s="198"/>
      <c r="P2258" s="198"/>
      <c r="Q2258" s="198"/>
      <c r="R2258" s="198"/>
      <c r="S2258" s="198"/>
      <c r="T2258" s="198"/>
      <c r="U2258" s="198"/>
      <c r="V2258" s="198"/>
      <c r="W2258" s="198"/>
      <c r="X2258" s="198"/>
      <c r="Y2258" s="198"/>
      <c r="Z2258" s="198"/>
    </row>
    <row r="2259" spans="1:26" ht="15.75" hidden="1" customHeight="1" x14ac:dyDescent="0.25">
      <c r="A2259" s="213">
        <v>4227</v>
      </c>
      <c r="B2259" s="214" t="s">
        <v>10755</v>
      </c>
      <c r="C2259" s="215" t="s">
        <v>517</v>
      </c>
      <c r="D2259" s="216">
        <v>29.52</v>
      </c>
      <c r="E2259" s="198"/>
      <c r="F2259" s="198"/>
      <c r="G2259" s="198"/>
      <c r="H2259" s="198"/>
      <c r="I2259" s="198"/>
      <c r="J2259" s="198"/>
      <c r="K2259" s="198"/>
      <c r="L2259" s="198"/>
      <c r="M2259" s="198"/>
      <c r="N2259" s="198"/>
      <c r="O2259" s="198"/>
      <c r="P2259" s="198"/>
      <c r="Q2259" s="198"/>
      <c r="R2259" s="198"/>
      <c r="S2259" s="198"/>
      <c r="T2259" s="198"/>
      <c r="U2259" s="198"/>
      <c r="V2259" s="198"/>
      <c r="W2259" s="198"/>
      <c r="X2259" s="198"/>
      <c r="Y2259" s="198"/>
      <c r="Z2259" s="198"/>
    </row>
    <row r="2260" spans="1:26" ht="15.75" hidden="1" customHeight="1" x14ac:dyDescent="0.25">
      <c r="A2260" s="213">
        <v>38170</v>
      </c>
      <c r="B2260" s="214" t="s">
        <v>10756</v>
      </c>
      <c r="C2260" s="215" t="s">
        <v>580</v>
      </c>
      <c r="D2260" s="216">
        <v>19.79</v>
      </c>
      <c r="E2260" s="198"/>
      <c r="F2260" s="198"/>
      <c r="G2260" s="198"/>
      <c r="H2260" s="198"/>
      <c r="I2260" s="198"/>
      <c r="J2260" s="198"/>
      <c r="K2260" s="198"/>
      <c r="L2260" s="198"/>
      <c r="M2260" s="198"/>
      <c r="N2260" s="198"/>
      <c r="O2260" s="198"/>
      <c r="P2260" s="198"/>
      <c r="Q2260" s="198"/>
      <c r="R2260" s="198"/>
      <c r="S2260" s="198"/>
      <c r="T2260" s="198"/>
      <c r="U2260" s="198"/>
      <c r="V2260" s="198"/>
      <c r="W2260" s="198"/>
      <c r="X2260" s="198"/>
      <c r="Y2260" s="198"/>
      <c r="Z2260" s="198"/>
    </row>
    <row r="2261" spans="1:26" ht="15.75" hidden="1" customHeight="1" x14ac:dyDescent="0.25">
      <c r="A2261" s="213">
        <v>4252</v>
      </c>
      <c r="B2261" s="214" t="s">
        <v>10757</v>
      </c>
      <c r="C2261" s="215" t="s">
        <v>2193</v>
      </c>
      <c r="D2261" s="216">
        <v>27.21</v>
      </c>
      <c r="E2261" s="198"/>
      <c r="F2261" s="198"/>
      <c r="G2261" s="198"/>
      <c r="H2261" s="198"/>
      <c r="I2261" s="198"/>
      <c r="J2261" s="198"/>
      <c r="K2261" s="198"/>
      <c r="L2261" s="198"/>
      <c r="M2261" s="198"/>
      <c r="N2261" s="198"/>
      <c r="O2261" s="198"/>
      <c r="P2261" s="198"/>
      <c r="Q2261" s="198"/>
      <c r="R2261" s="198"/>
      <c r="S2261" s="198"/>
      <c r="T2261" s="198"/>
      <c r="U2261" s="198"/>
      <c r="V2261" s="198"/>
      <c r="W2261" s="198"/>
      <c r="X2261" s="198"/>
      <c r="Y2261" s="198"/>
      <c r="Z2261" s="198"/>
    </row>
    <row r="2262" spans="1:26" ht="15.75" hidden="1" customHeight="1" x14ac:dyDescent="0.25">
      <c r="A2262" s="213">
        <v>40980</v>
      </c>
      <c r="B2262" s="214" t="s">
        <v>10758</v>
      </c>
      <c r="C2262" s="215" t="s">
        <v>6214</v>
      </c>
      <c r="D2262" s="216">
        <v>4777.71</v>
      </c>
      <c r="E2262" s="198"/>
      <c r="F2262" s="198"/>
      <c r="G2262" s="198"/>
      <c r="H2262" s="198"/>
      <c r="I2262" s="198"/>
      <c r="J2262" s="198"/>
      <c r="K2262" s="198"/>
      <c r="L2262" s="198"/>
      <c r="M2262" s="198"/>
      <c r="N2262" s="198"/>
      <c r="O2262" s="198"/>
      <c r="P2262" s="198"/>
      <c r="Q2262" s="198"/>
      <c r="R2262" s="198"/>
      <c r="S2262" s="198"/>
      <c r="T2262" s="198"/>
      <c r="U2262" s="198"/>
      <c r="V2262" s="198"/>
      <c r="W2262" s="198"/>
      <c r="X2262" s="198"/>
      <c r="Y2262" s="198"/>
      <c r="Z2262" s="198"/>
    </row>
    <row r="2263" spans="1:26" ht="15.75" hidden="1" customHeight="1" x14ac:dyDescent="0.25">
      <c r="A2263" s="213">
        <v>41031</v>
      </c>
      <c r="B2263" s="214" t="s">
        <v>10759</v>
      </c>
      <c r="C2263" s="215" t="s">
        <v>6214</v>
      </c>
      <c r="D2263" s="216">
        <v>4628.1899999999996</v>
      </c>
      <c r="E2263" s="198"/>
      <c r="F2263" s="198"/>
      <c r="G2263" s="198"/>
      <c r="H2263" s="198"/>
      <c r="I2263" s="198"/>
      <c r="J2263" s="198"/>
      <c r="K2263" s="198"/>
      <c r="L2263" s="198"/>
      <c r="M2263" s="198"/>
      <c r="N2263" s="198"/>
      <c r="O2263" s="198"/>
      <c r="P2263" s="198"/>
      <c r="Q2263" s="198"/>
      <c r="R2263" s="198"/>
      <c r="S2263" s="198"/>
      <c r="T2263" s="198"/>
      <c r="U2263" s="198"/>
      <c r="V2263" s="198"/>
      <c r="W2263" s="198"/>
      <c r="X2263" s="198"/>
      <c r="Y2263" s="198"/>
      <c r="Z2263" s="198"/>
    </row>
    <row r="2264" spans="1:26" ht="15.75" hidden="1" customHeight="1" x14ac:dyDescent="0.25">
      <c r="A2264" s="213">
        <v>37666</v>
      </c>
      <c r="B2264" s="214" t="s">
        <v>10760</v>
      </c>
      <c r="C2264" s="215" t="s">
        <v>2193</v>
      </c>
      <c r="D2264" s="216">
        <v>24.77</v>
      </c>
      <c r="E2264" s="198"/>
      <c r="F2264" s="198"/>
      <c r="G2264" s="198"/>
      <c r="H2264" s="198"/>
      <c r="I2264" s="198"/>
      <c r="J2264" s="198"/>
      <c r="K2264" s="198"/>
      <c r="L2264" s="198"/>
      <c r="M2264" s="198"/>
      <c r="N2264" s="198"/>
      <c r="O2264" s="198"/>
      <c r="P2264" s="198"/>
      <c r="Q2264" s="198"/>
      <c r="R2264" s="198"/>
      <c r="S2264" s="198"/>
      <c r="T2264" s="198"/>
      <c r="U2264" s="198"/>
      <c r="V2264" s="198"/>
      <c r="W2264" s="198"/>
      <c r="X2264" s="198"/>
      <c r="Y2264" s="198"/>
      <c r="Z2264" s="198"/>
    </row>
    <row r="2265" spans="1:26" ht="15.75" hidden="1" customHeight="1" x14ac:dyDescent="0.25">
      <c r="A2265" s="213">
        <v>40986</v>
      </c>
      <c r="B2265" s="214" t="s">
        <v>10761</v>
      </c>
      <c r="C2265" s="215" t="s">
        <v>6214</v>
      </c>
      <c r="D2265" s="216">
        <v>4346.9399999999996</v>
      </c>
      <c r="E2265" s="198"/>
      <c r="F2265" s="198"/>
      <c r="G2265" s="198"/>
      <c r="H2265" s="198"/>
      <c r="I2265" s="198"/>
      <c r="J2265" s="198"/>
      <c r="K2265" s="198"/>
      <c r="L2265" s="198"/>
      <c r="M2265" s="198"/>
      <c r="N2265" s="198"/>
      <c r="O2265" s="198"/>
      <c r="P2265" s="198"/>
      <c r="Q2265" s="198"/>
      <c r="R2265" s="198"/>
      <c r="S2265" s="198"/>
      <c r="T2265" s="198"/>
      <c r="U2265" s="198"/>
      <c r="V2265" s="198"/>
      <c r="W2265" s="198"/>
      <c r="X2265" s="198"/>
      <c r="Y2265" s="198"/>
      <c r="Z2265" s="198"/>
    </row>
    <row r="2266" spans="1:26" ht="15.75" hidden="1" customHeight="1" x14ac:dyDescent="0.25">
      <c r="A2266" s="213">
        <v>4250</v>
      </c>
      <c r="B2266" s="214" t="s">
        <v>10762</v>
      </c>
      <c r="C2266" s="215" t="s">
        <v>2193</v>
      </c>
      <c r="D2266" s="216">
        <v>19.079999999999998</v>
      </c>
      <c r="E2266" s="198"/>
      <c r="F2266" s="198"/>
      <c r="G2266" s="198"/>
      <c r="H2266" s="198"/>
      <c r="I2266" s="198"/>
      <c r="J2266" s="198"/>
      <c r="K2266" s="198"/>
      <c r="L2266" s="198"/>
      <c r="M2266" s="198"/>
      <c r="N2266" s="198"/>
      <c r="O2266" s="198"/>
      <c r="P2266" s="198"/>
      <c r="Q2266" s="198"/>
      <c r="R2266" s="198"/>
      <c r="S2266" s="198"/>
      <c r="T2266" s="198"/>
      <c r="U2266" s="198"/>
      <c r="V2266" s="198"/>
      <c r="W2266" s="198"/>
      <c r="X2266" s="198"/>
      <c r="Y2266" s="198"/>
      <c r="Z2266" s="198"/>
    </row>
    <row r="2267" spans="1:26" ht="15.75" hidden="1" customHeight="1" x14ac:dyDescent="0.25">
      <c r="A2267" s="213">
        <v>40978</v>
      </c>
      <c r="B2267" s="214" t="s">
        <v>10763</v>
      </c>
      <c r="C2267" s="215" t="s">
        <v>6214</v>
      </c>
      <c r="D2267" s="216">
        <v>3349.7</v>
      </c>
      <c r="E2267" s="198"/>
      <c r="F2267" s="198"/>
      <c r="G2267" s="198"/>
      <c r="H2267" s="198"/>
      <c r="I2267" s="198"/>
      <c r="J2267" s="198"/>
      <c r="K2267" s="198"/>
      <c r="L2267" s="198"/>
      <c r="M2267" s="198"/>
      <c r="N2267" s="198"/>
      <c r="O2267" s="198"/>
      <c r="P2267" s="198"/>
      <c r="Q2267" s="198"/>
      <c r="R2267" s="198"/>
      <c r="S2267" s="198"/>
      <c r="T2267" s="198"/>
      <c r="U2267" s="198"/>
      <c r="V2267" s="198"/>
      <c r="W2267" s="198"/>
      <c r="X2267" s="198"/>
      <c r="Y2267" s="198"/>
      <c r="Z2267" s="198"/>
    </row>
    <row r="2268" spans="1:26" ht="15.75" hidden="1" customHeight="1" x14ac:dyDescent="0.25">
      <c r="A2268" s="213">
        <v>44501</v>
      </c>
      <c r="B2268" s="214" t="s">
        <v>10764</v>
      </c>
      <c r="C2268" s="215" t="s">
        <v>2193</v>
      </c>
      <c r="D2268" s="216">
        <v>26.37</v>
      </c>
      <c r="E2268" s="198"/>
      <c r="F2268" s="198"/>
      <c r="G2268" s="198"/>
      <c r="H2268" s="198"/>
      <c r="I2268" s="198"/>
      <c r="J2268" s="198"/>
      <c r="K2268" s="198"/>
      <c r="L2268" s="198"/>
      <c r="M2268" s="198"/>
      <c r="N2268" s="198"/>
      <c r="O2268" s="198"/>
      <c r="P2268" s="198"/>
      <c r="Q2268" s="198"/>
      <c r="R2268" s="198"/>
      <c r="S2268" s="198"/>
      <c r="T2268" s="198"/>
      <c r="U2268" s="198"/>
      <c r="V2268" s="198"/>
      <c r="W2268" s="198"/>
      <c r="X2268" s="198"/>
      <c r="Y2268" s="198"/>
      <c r="Z2268" s="198"/>
    </row>
    <row r="2269" spans="1:26" ht="15.75" hidden="1" customHeight="1" x14ac:dyDescent="0.25">
      <c r="A2269" s="213">
        <v>41043</v>
      </c>
      <c r="B2269" s="214" t="s">
        <v>10765</v>
      </c>
      <c r="C2269" s="215" t="s">
        <v>6214</v>
      </c>
      <c r="D2269" s="216">
        <v>4628.1899999999996</v>
      </c>
      <c r="E2269" s="198"/>
      <c r="F2269" s="198"/>
      <c r="G2269" s="198"/>
      <c r="H2269" s="198"/>
      <c r="I2269" s="198"/>
      <c r="J2269" s="198"/>
      <c r="K2269" s="198"/>
      <c r="L2269" s="198"/>
      <c r="M2269" s="198"/>
      <c r="N2269" s="198"/>
      <c r="O2269" s="198"/>
      <c r="P2269" s="198"/>
      <c r="Q2269" s="198"/>
      <c r="R2269" s="198"/>
      <c r="S2269" s="198"/>
      <c r="T2269" s="198"/>
      <c r="U2269" s="198"/>
      <c r="V2269" s="198"/>
      <c r="W2269" s="198"/>
      <c r="X2269" s="198"/>
      <c r="Y2269" s="198"/>
      <c r="Z2269" s="198"/>
    </row>
    <row r="2270" spans="1:26" ht="15.75" hidden="1" customHeight="1" x14ac:dyDescent="0.25">
      <c r="A2270" s="213">
        <v>4234</v>
      </c>
      <c r="B2270" s="214" t="s">
        <v>10766</v>
      </c>
      <c r="C2270" s="215" t="s">
        <v>2193</v>
      </c>
      <c r="D2270" s="216">
        <v>27.82</v>
      </c>
      <c r="E2270" s="198"/>
      <c r="F2270" s="198"/>
      <c r="G2270" s="198"/>
      <c r="H2270" s="198"/>
      <c r="I2270" s="198"/>
      <c r="J2270" s="198"/>
      <c r="K2270" s="198"/>
      <c r="L2270" s="198"/>
      <c r="M2270" s="198"/>
      <c r="N2270" s="198"/>
      <c r="O2270" s="198"/>
      <c r="P2270" s="198"/>
      <c r="Q2270" s="198"/>
      <c r="R2270" s="198"/>
      <c r="S2270" s="198"/>
      <c r="T2270" s="198"/>
      <c r="U2270" s="198"/>
      <c r="V2270" s="198"/>
      <c r="W2270" s="198"/>
      <c r="X2270" s="198"/>
      <c r="Y2270" s="198"/>
      <c r="Z2270" s="198"/>
    </row>
    <row r="2271" spans="1:26" ht="15.75" hidden="1" customHeight="1" x14ac:dyDescent="0.25">
      <c r="A2271" s="213">
        <v>40987</v>
      </c>
      <c r="B2271" s="214" t="s">
        <v>10767</v>
      </c>
      <c r="C2271" s="215" t="s">
        <v>6214</v>
      </c>
      <c r="D2271" s="216">
        <v>4880.37</v>
      </c>
      <c r="E2271" s="198"/>
      <c r="F2271" s="198"/>
      <c r="G2271" s="198"/>
      <c r="H2271" s="198"/>
      <c r="I2271" s="198"/>
      <c r="J2271" s="198"/>
      <c r="K2271" s="198"/>
      <c r="L2271" s="198"/>
      <c r="M2271" s="198"/>
      <c r="N2271" s="198"/>
      <c r="O2271" s="198"/>
      <c r="P2271" s="198"/>
      <c r="Q2271" s="198"/>
      <c r="R2271" s="198"/>
      <c r="S2271" s="198"/>
      <c r="T2271" s="198"/>
      <c r="U2271" s="198"/>
      <c r="V2271" s="198"/>
      <c r="W2271" s="198"/>
      <c r="X2271" s="198"/>
      <c r="Y2271" s="198"/>
      <c r="Z2271" s="198"/>
    </row>
    <row r="2272" spans="1:26" ht="15.75" hidden="1" customHeight="1" x14ac:dyDescent="0.25">
      <c r="A2272" s="213">
        <v>4253</v>
      </c>
      <c r="B2272" s="214" t="s">
        <v>10768</v>
      </c>
      <c r="C2272" s="215" t="s">
        <v>2193</v>
      </c>
      <c r="D2272" s="216">
        <v>25.87</v>
      </c>
      <c r="E2272" s="198"/>
      <c r="F2272" s="198"/>
      <c r="G2272" s="198"/>
      <c r="H2272" s="198"/>
      <c r="I2272" s="198"/>
      <c r="J2272" s="198"/>
      <c r="K2272" s="198"/>
      <c r="L2272" s="198"/>
      <c r="M2272" s="198"/>
      <c r="N2272" s="198"/>
      <c r="O2272" s="198"/>
      <c r="P2272" s="198"/>
      <c r="Q2272" s="198"/>
      <c r="R2272" s="198"/>
      <c r="S2272" s="198"/>
      <c r="T2272" s="198"/>
      <c r="U2272" s="198"/>
      <c r="V2272" s="198"/>
      <c r="W2272" s="198"/>
      <c r="X2272" s="198"/>
      <c r="Y2272" s="198"/>
      <c r="Z2272" s="198"/>
    </row>
    <row r="2273" spans="1:26" ht="15.75" hidden="1" customHeight="1" x14ac:dyDescent="0.25">
      <c r="A2273" s="213">
        <v>40981</v>
      </c>
      <c r="B2273" s="214" t="s">
        <v>10769</v>
      </c>
      <c r="C2273" s="215" t="s">
        <v>6214</v>
      </c>
      <c r="D2273" s="216">
        <v>4541.37</v>
      </c>
      <c r="E2273" s="198"/>
      <c r="F2273" s="198"/>
      <c r="G2273" s="198"/>
      <c r="H2273" s="198"/>
      <c r="I2273" s="198"/>
      <c r="J2273" s="198"/>
      <c r="K2273" s="198"/>
      <c r="L2273" s="198"/>
      <c r="M2273" s="198"/>
      <c r="N2273" s="198"/>
      <c r="O2273" s="198"/>
      <c r="P2273" s="198"/>
      <c r="Q2273" s="198"/>
      <c r="R2273" s="198"/>
      <c r="S2273" s="198"/>
      <c r="T2273" s="198"/>
      <c r="U2273" s="198"/>
      <c r="V2273" s="198"/>
      <c r="W2273" s="198"/>
      <c r="X2273" s="198"/>
      <c r="Y2273" s="198"/>
      <c r="Z2273" s="198"/>
    </row>
    <row r="2274" spans="1:26" ht="15.75" hidden="1" customHeight="1" x14ac:dyDescent="0.25">
      <c r="A2274" s="213">
        <v>4254</v>
      </c>
      <c r="B2274" s="214" t="s">
        <v>10770</v>
      </c>
      <c r="C2274" s="215" t="s">
        <v>2193</v>
      </c>
      <c r="D2274" s="216">
        <v>35.93</v>
      </c>
      <c r="E2274" s="198"/>
      <c r="F2274" s="198"/>
      <c r="G2274" s="198"/>
      <c r="H2274" s="198"/>
      <c r="I2274" s="198"/>
      <c r="J2274" s="198"/>
      <c r="K2274" s="198"/>
      <c r="L2274" s="198"/>
      <c r="M2274" s="198"/>
      <c r="N2274" s="198"/>
      <c r="O2274" s="198"/>
      <c r="P2274" s="198"/>
      <c r="Q2274" s="198"/>
      <c r="R2274" s="198"/>
      <c r="S2274" s="198"/>
      <c r="T2274" s="198"/>
      <c r="U2274" s="198"/>
      <c r="V2274" s="198"/>
      <c r="W2274" s="198"/>
      <c r="X2274" s="198"/>
      <c r="Y2274" s="198"/>
      <c r="Z2274" s="198"/>
    </row>
    <row r="2275" spans="1:26" ht="15.75" hidden="1" customHeight="1" x14ac:dyDescent="0.25">
      <c r="A2275" s="213">
        <v>41036</v>
      </c>
      <c r="B2275" s="214" t="s">
        <v>10771</v>
      </c>
      <c r="C2275" s="215" t="s">
        <v>6214</v>
      </c>
      <c r="D2275" s="216">
        <v>6306.89</v>
      </c>
      <c r="E2275" s="198"/>
      <c r="F2275" s="198"/>
      <c r="G2275" s="198"/>
      <c r="H2275" s="198"/>
      <c r="I2275" s="198"/>
      <c r="J2275" s="198"/>
      <c r="K2275" s="198"/>
      <c r="L2275" s="198"/>
      <c r="M2275" s="198"/>
      <c r="N2275" s="198"/>
      <c r="O2275" s="198"/>
      <c r="P2275" s="198"/>
      <c r="Q2275" s="198"/>
      <c r="R2275" s="198"/>
      <c r="S2275" s="198"/>
      <c r="T2275" s="198"/>
      <c r="U2275" s="198"/>
      <c r="V2275" s="198"/>
      <c r="W2275" s="198"/>
      <c r="X2275" s="198"/>
      <c r="Y2275" s="198"/>
      <c r="Z2275" s="198"/>
    </row>
    <row r="2276" spans="1:26" ht="15.75" hidden="1" customHeight="1" x14ac:dyDescent="0.25">
      <c r="A2276" s="213">
        <v>4251</v>
      </c>
      <c r="B2276" s="214" t="s">
        <v>10772</v>
      </c>
      <c r="C2276" s="215" t="s">
        <v>2193</v>
      </c>
      <c r="D2276" s="216">
        <v>24.03</v>
      </c>
      <c r="E2276" s="198"/>
      <c r="F2276" s="198"/>
      <c r="G2276" s="198"/>
      <c r="H2276" s="198"/>
      <c r="I2276" s="198"/>
      <c r="J2276" s="198"/>
      <c r="K2276" s="198"/>
      <c r="L2276" s="198"/>
      <c r="M2276" s="198"/>
      <c r="N2276" s="198"/>
      <c r="O2276" s="198"/>
      <c r="P2276" s="198"/>
      <c r="Q2276" s="198"/>
      <c r="R2276" s="198"/>
      <c r="S2276" s="198"/>
      <c r="T2276" s="198"/>
      <c r="U2276" s="198"/>
      <c r="V2276" s="198"/>
      <c r="W2276" s="198"/>
      <c r="X2276" s="198"/>
      <c r="Y2276" s="198"/>
      <c r="Z2276" s="198"/>
    </row>
    <row r="2277" spans="1:26" ht="15.75" hidden="1" customHeight="1" x14ac:dyDescent="0.25">
      <c r="A2277" s="213">
        <v>40979</v>
      </c>
      <c r="B2277" s="214" t="s">
        <v>10773</v>
      </c>
      <c r="C2277" s="215" t="s">
        <v>6214</v>
      </c>
      <c r="D2277" s="216">
        <v>4216.7700000000004</v>
      </c>
      <c r="E2277" s="198"/>
      <c r="F2277" s="198"/>
      <c r="G2277" s="198"/>
      <c r="H2277" s="198"/>
      <c r="I2277" s="198"/>
      <c r="J2277" s="198"/>
      <c r="K2277" s="198"/>
      <c r="L2277" s="198"/>
      <c r="M2277" s="198"/>
      <c r="N2277" s="198"/>
      <c r="O2277" s="198"/>
      <c r="P2277" s="198"/>
      <c r="Q2277" s="198"/>
      <c r="R2277" s="198"/>
      <c r="S2277" s="198"/>
      <c r="T2277" s="198"/>
      <c r="U2277" s="198"/>
      <c r="V2277" s="198"/>
      <c r="W2277" s="198"/>
      <c r="X2277" s="198"/>
      <c r="Y2277" s="198"/>
      <c r="Z2277" s="198"/>
    </row>
    <row r="2278" spans="1:26" ht="15.75" hidden="1" customHeight="1" x14ac:dyDescent="0.25">
      <c r="A2278" s="213">
        <v>4230</v>
      </c>
      <c r="B2278" s="214" t="s">
        <v>10774</v>
      </c>
      <c r="C2278" s="215" t="s">
        <v>2193</v>
      </c>
      <c r="D2278" s="216">
        <v>26.61</v>
      </c>
      <c r="E2278" s="198"/>
      <c r="F2278" s="198"/>
      <c r="G2278" s="198"/>
      <c r="H2278" s="198"/>
      <c r="I2278" s="198"/>
      <c r="J2278" s="198"/>
      <c r="K2278" s="198"/>
      <c r="L2278" s="198"/>
      <c r="M2278" s="198"/>
      <c r="N2278" s="198"/>
      <c r="O2278" s="198"/>
      <c r="P2278" s="198"/>
      <c r="Q2278" s="198"/>
      <c r="R2278" s="198"/>
      <c r="S2278" s="198"/>
      <c r="T2278" s="198"/>
      <c r="U2278" s="198"/>
      <c r="V2278" s="198"/>
      <c r="W2278" s="198"/>
      <c r="X2278" s="198"/>
      <c r="Y2278" s="198"/>
      <c r="Z2278" s="198"/>
    </row>
    <row r="2279" spans="1:26" ht="15.75" hidden="1" customHeight="1" x14ac:dyDescent="0.25">
      <c r="A2279" s="213">
        <v>40998</v>
      </c>
      <c r="B2279" s="214" t="s">
        <v>10775</v>
      </c>
      <c r="C2279" s="215" t="s">
        <v>6214</v>
      </c>
      <c r="D2279" s="216">
        <v>4669.29</v>
      </c>
      <c r="E2279" s="198"/>
      <c r="F2279" s="198"/>
      <c r="G2279" s="198"/>
      <c r="H2279" s="198"/>
      <c r="I2279" s="198"/>
      <c r="J2279" s="198"/>
      <c r="K2279" s="198"/>
      <c r="L2279" s="198"/>
      <c r="M2279" s="198"/>
      <c r="N2279" s="198"/>
      <c r="O2279" s="198"/>
      <c r="P2279" s="198"/>
      <c r="Q2279" s="198"/>
      <c r="R2279" s="198"/>
      <c r="S2279" s="198"/>
      <c r="T2279" s="198"/>
      <c r="U2279" s="198"/>
      <c r="V2279" s="198"/>
      <c r="W2279" s="198"/>
      <c r="X2279" s="198"/>
      <c r="Y2279" s="198"/>
      <c r="Z2279" s="198"/>
    </row>
    <row r="2280" spans="1:26" ht="15.75" hidden="1" customHeight="1" x14ac:dyDescent="0.25">
      <c r="A2280" s="213">
        <v>4257</v>
      </c>
      <c r="B2280" s="214" t="s">
        <v>10776</v>
      </c>
      <c r="C2280" s="215" t="s">
        <v>2193</v>
      </c>
      <c r="D2280" s="216">
        <v>23.62</v>
      </c>
      <c r="E2280" s="198"/>
      <c r="F2280" s="198"/>
      <c r="G2280" s="198"/>
      <c r="H2280" s="198"/>
      <c r="I2280" s="198"/>
      <c r="J2280" s="198"/>
      <c r="K2280" s="198"/>
      <c r="L2280" s="198"/>
      <c r="M2280" s="198"/>
      <c r="N2280" s="198"/>
      <c r="O2280" s="198"/>
      <c r="P2280" s="198"/>
      <c r="Q2280" s="198"/>
      <c r="R2280" s="198"/>
      <c r="S2280" s="198"/>
      <c r="T2280" s="198"/>
      <c r="U2280" s="198"/>
      <c r="V2280" s="198"/>
      <c r="W2280" s="198"/>
      <c r="X2280" s="198"/>
      <c r="Y2280" s="198"/>
      <c r="Z2280" s="198"/>
    </row>
    <row r="2281" spans="1:26" ht="15.75" hidden="1" customHeight="1" x14ac:dyDescent="0.25">
      <c r="A2281" s="213">
        <v>40982</v>
      </c>
      <c r="B2281" s="214" t="s">
        <v>10777</v>
      </c>
      <c r="C2281" s="215" t="s">
        <v>6214</v>
      </c>
      <c r="D2281" s="216">
        <v>4145.43</v>
      </c>
      <c r="E2281" s="198"/>
      <c r="F2281" s="198"/>
      <c r="G2281" s="198"/>
      <c r="H2281" s="198"/>
      <c r="I2281" s="198"/>
      <c r="J2281" s="198"/>
      <c r="K2281" s="198"/>
      <c r="L2281" s="198"/>
      <c r="M2281" s="198"/>
      <c r="N2281" s="198"/>
      <c r="O2281" s="198"/>
      <c r="P2281" s="198"/>
      <c r="Q2281" s="198"/>
      <c r="R2281" s="198"/>
      <c r="S2281" s="198"/>
      <c r="T2281" s="198"/>
      <c r="U2281" s="198"/>
      <c r="V2281" s="198"/>
      <c r="W2281" s="198"/>
      <c r="X2281" s="198"/>
      <c r="Y2281" s="198"/>
      <c r="Z2281" s="198"/>
    </row>
    <row r="2282" spans="1:26" ht="15.75" hidden="1" customHeight="1" x14ac:dyDescent="0.25">
      <c r="A2282" s="213">
        <v>4240</v>
      </c>
      <c r="B2282" s="214" t="s">
        <v>10778</v>
      </c>
      <c r="C2282" s="215" t="s">
        <v>2193</v>
      </c>
      <c r="D2282" s="216">
        <v>33.99</v>
      </c>
      <c r="E2282" s="198"/>
      <c r="F2282" s="198"/>
      <c r="G2282" s="198"/>
      <c r="H2282" s="198"/>
      <c r="I2282" s="198"/>
      <c r="J2282" s="198"/>
      <c r="K2282" s="198"/>
      <c r="L2282" s="198"/>
      <c r="M2282" s="198"/>
      <c r="N2282" s="198"/>
      <c r="O2282" s="198"/>
      <c r="P2282" s="198"/>
      <c r="Q2282" s="198"/>
      <c r="R2282" s="198"/>
      <c r="S2282" s="198"/>
      <c r="T2282" s="198"/>
      <c r="U2282" s="198"/>
      <c r="V2282" s="198"/>
      <c r="W2282" s="198"/>
      <c r="X2282" s="198"/>
      <c r="Y2282" s="198"/>
      <c r="Z2282" s="198"/>
    </row>
    <row r="2283" spans="1:26" ht="15.75" hidden="1" customHeight="1" x14ac:dyDescent="0.25">
      <c r="A2283" s="213">
        <v>41026</v>
      </c>
      <c r="B2283" s="214" t="s">
        <v>10779</v>
      </c>
      <c r="C2283" s="215" t="s">
        <v>6214</v>
      </c>
      <c r="D2283" s="216">
        <v>5962.27</v>
      </c>
      <c r="E2283" s="198"/>
      <c r="F2283" s="198"/>
      <c r="G2283" s="198"/>
      <c r="H2283" s="198"/>
      <c r="I2283" s="198"/>
      <c r="J2283" s="198"/>
      <c r="K2283" s="198"/>
      <c r="L2283" s="198"/>
      <c r="M2283" s="198"/>
      <c r="N2283" s="198"/>
      <c r="O2283" s="198"/>
      <c r="P2283" s="198"/>
      <c r="Q2283" s="198"/>
      <c r="R2283" s="198"/>
      <c r="S2283" s="198"/>
      <c r="T2283" s="198"/>
      <c r="U2283" s="198"/>
      <c r="V2283" s="198"/>
      <c r="W2283" s="198"/>
      <c r="X2283" s="198"/>
      <c r="Y2283" s="198"/>
      <c r="Z2283" s="198"/>
    </row>
    <row r="2284" spans="1:26" ht="15.75" hidden="1" customHeight="1" x14ac:dyDescent="0.25">
      <c r="A2284" s="213">
        <v>4239</v>
      </c>
      <c r="B2284" s="214" t="s">
        <v>10780</v>
      </c>
      <c r="C2284" s="215" t="s">
        <v>2193</v>
      </c>
      <c r="D2284" s="216">
        <v>33.99</v>
      </c>
      <c r="E2284" s="198"/>
      <c r="F2284" s="198"/>
      <c r="G2284" s="198"/>
      <c r="H2284" s="198"/>
      <c r="I2284" s="198"/>
      <c r="J2284" s="198"/>
      <c r="K2284" s="198"/>
      <c r="L2284" s="198"/>
      <c r="M2284" s="198"/>
      <c r="N2284" s="198"/>
      <c r="O2284" s="198"/>
      <c r="P2284" s="198"/>
      <c r="Q2284" s="198"/>
      <c r="R2284" s="198"/>
      <c r="S2284" s="198"/>
      <c r="T2284" s="198"/>
      <c r="U2284" s="198"/>
      <c r="V2284" s="198"/>
      <c r="W2284" s="198"/>
      <c r="X2284" s="198"/>
      <c r="Y2284" s="198"/>
      <c r="Z2284" s="198"/>
    </row>
    <row r="2285" spans="1:26" ht="15.75" hidden="1" customHeight="1" x14ac:dyDescent="0.25">
      <c r="A2285" s="213">
        <v>41024</v>
      </c>
      <c r="B2285" s="214" t="s">
        <v>10781</v>
      </c>
      <c r="C2285" s="215" t="s">
        <v>6214</v>
      </c>
      <c r="D2285" s="216">
        <v>5962.27</v>
      </c>
      <c r="E2285" s="198"/>
      <c r="F2285" s="198"/>
      <c r="G2285" s="198"/>
      <c r="H2285" s="198"/>
      <c r="I2285" s="198"/>
      <c r="J2285" s="198"/>
      <c r="K2285" s="198"/>
      <c r="L2285" s="198"/>
      <c r="M2285" s="198"/>
      <c r="N2285" s="198"/>
      <c r="O2285" s="198"/>
      <c r="P2285" s="198"/>
      <c r="Q2285" s="198"/>
      <c r="R2285" s="198"/>
      <c r="S2285" s="198"/>
      <c r="T2285" s="198"/>
      <c r="U2285" s="198"/>
      <c r="V2285" s="198"/>
      <c r="W2285" s="198"/>
      <c r="X2285" s="198"/>
      <c r="Y2285" s="198"/>
      <c r="Z2285" s="198"/>
    </row>
    <row r="2286" spans="1:26" ht="15.75" hidden="1" customHeight="1" x14ac:dyDescent="0.25">
      <c r="A2286" s="213">
        <v>4248</v>
      </c>
      <c r="B2286" s="214" t="s">
        <v>10782</v>
      </c>
      <c r="C2286" s="215" t="s">
        <v>2193</v>
      </c>
      <c r="D2286" s="216">
        <v>26.37</v>
      </c>
      <c r="E2286" s="198"/>
      <c r="F2286" s="198"/>
      <c r="G2286" s="198"/>
      <c r="H2286" s="198"/>
      <c r="I2286" s="198"/>
      <c r="J2286" s="198"/>
      <c r="K2286" s="198"/>
      <c r="L2286" s="198"/>
      <c r="M2286" s="198"/>
      <c r="N2286" s="198"/>
      <c r="O2286" s="198"/>
      <c r="P2286" s="198"/>
      <c r="Q2286" s="198"/>
      <c r="R2286" s="198"/>
      <c r="S2286" s="198"/>
      <c r="T2286" s="198"/>
      <c r="U2286" s="198"/>
      <c r="V2286" s="198"/>
      <c r="W2286" s="198"/>
      <c r="X2286" s="198"/>
      <c r="Y2286" s="198"/>
      <c r="Z2286" s="198"/>
    </row>
    <row r="2287" spans="1:26" ht="15.75" hidden="1" customHeight="1" x14ac:dyDescent="0.25">
      <c r="A2287" s="213">
        <v>41033</v>
      </c>
      <c r="B2287" s="214" t="s">
        <v>10783</v>
      </c>
      <c r="C2287" s="215" t="s">
        <v>6214</v>
      </c>
      <c r="D2287" s="216">
        <v>4628.1899999999996</v>
      </c>
      <c r="E2287" s="198"/>
      <c r="F2287" s="198"/>
      <c r="G2287" s="198"/>
      <c r="H2287" s="198"/>
      <c r="I2287" s="198"/>
      <c r="J2287" s="198"/>
      <c r="K2287" s="198"/>
      <c r="L2287" s="198"/>
      <c r="M2287" s="198"/>
      <c r="N2287" s="198"/>
      <c r="O2287" s="198"/>
      <c r="P2287" s="198"/>
      <c r="Q2287" s="198"/>
      <c r="R2287" s="198"/>
      <c r="S2287" s="198"/>
      <c r="T2287" s="198"/>
      <c r="U2287" s="198"/>
      <c r="V2287" s="198"/>
      <c r="W2287" s="198"/>
      <c r="X2287" s="198"/>
      <c r="Y2287" s="198"/>
      <c r="Z2287" s="198"/>
    </row>
    <row r="2288" spans="1:26" ht="15.75" hidden="1" customHeight="1" x14ac:dyDescent="0.25">
      <c r="A2288" s="213">
        <v>44500</v>
      </c>
      <c r="B2288" s="214" t="s">
        <v>10784</v>
      </c>
      <c r="C2288" s="215" t="s">
        <v>2193</v>
      </c>
      <c r="D2288" s="216">
        <v>26.37</v>
      </c>
      <c r="E2288" s="198"/>
      <c r="F2288" s="198"/>
      <c r="G2288" s="198"/>
      <c r="H2288" s="198"/>
      <c r="I2288" s="198"/>
      <c r="J2288" s="198"/>
      <c r="K2288" s="198"/>
      <c r="L2288" s="198"/>
      <c r="M2288" s="198"/>
      <c r="N2288" s="198"/>
      <c r="O2288" s="198"/>
      <c r="P2288" s="198"/>
      <c r="Q2288" s="198"/>
      <c r="R2288" s="198"/>
      <c r="S2288" s="198"/>
      <c r="T2288" s="198"/>
      <c r="U2288" s="198"/>
      <c r="V2288" s="198"/>
      <c r="W2288" s="198"/>
      <c r="X2288" s="198"/>
      <c r="Y2288" s="198"/>
      <c r="Z2288" s="198"/>
    </row>
    <row r="2289" spans="1:26" ht="15.75" hidden="1" customHeight="1" x14ac:dyDescent="0.25">
      <c r="A2289" s="213">
        <v>41040</v>
      </c>
      <c r="B2289" s="214" t="s">
        <v>10785</v>
      </c>
      <c r="C2289" s="215" t="s">
        <v>6214</v>
      </c>
      <c r="D2289" s="216">
        <v>4628.1899999999996</v>
      </c>
      <c r="E2289" s="198"/>
      <c r="F2289" s="198"/>
      <c r="G2289" s="198"/>
      <c r="H2289" s="198"/>
      <c r="I2289" s="198"/>
      <c r="J2289" s="198"/>
      <c r="K2289" s="198"/>
      <c r="L2289" s="198"/>
      <c r="M2289" s="198"/>
      <c r="N2289" s="198"/>
      <c r="O2289" s="198"/>
      <c r="P2289" s="198"/>
      <c r="Q2289" s="198"/>
      <c r="R2289" s="198"/>
      <c r="S2289" s="198"/>
      <c r="T2289" s="198"/>
      <c r="U2289" s="198"/>
      <c r="V2289" s="198"/>
      <c r="W2289" s="198"/>
      <c r="X2289" s="198"/>
      <c r="Y2289" s="198"/>
      <c r="Z2289" s="198"/>
    </row>
    <row r="2290" spans="1:26" ht="15.75" hidden="1" customHeight="1" x14ac:dyDescent="0.25">
      <c r="A2290" s="213">
        <v>4238</v>
      </c>
      <c r="B2290" s="214" t="s">
        <v>10786</v>
      </c>
      <c r="C2290" s="215" t="s">
        <v>2193</v>
      </c>
      <c r="D2290" s="216">
        <v>21.91</v>
      </c>
      <c r="E2290" s="198"/>
      <c r="F2290" s="198"/>
      <c r="G2290" s="198"/>
      <c r="H2290" s="198"/>
      <c r="I2290" s="198"/>
      <c r="J2290" s="198"/>
      <c r="K2290" s="198"/>
      <c r="L2290" s="198"/>
      <c r="M2290" s="198"/>
      <c r="N2290" s="198"/>
      <c r="O2290" s="198"/>
      <c r="P2290" s="198"/>
      <c r="Q2290" s="198"/>
      <c r="R2290" s="198"/>
      <c r="S2290" s="198"/>
      <c r="T2290" s="198"/>
      <c r="U2290" s="198"/>
      <c r="V2290" s="198"/>
      <c r="W2290" s="198"/>
      <c r="X2290" s="198"/>
      <c r="Y2290" s="198"/>
      <c r="Z2290" s="198"/>
    </row>
    <row r="2291" spans="1:26" ht="15.75" hidden="1" customHeight="1" x14ac:dyDescent="0.25">
      <c r="A2291" s="213">
        <v>41012</v>
      </c>
      <c r="B2291" s="214" t="s">
        <v>10787</v>
      </c>
      <c r="C2291" s="215" t="s">
        <v>6214</v>
      </c>
      <c r="D2291" s="216">
        <v>3846.92</v>
      </c>
      <c r="E2291" s="198"/>
      <c r="F2291" s="198"/>
      <c r="G2291" s="198"/>
      <c r="H2291" s="198"/>
      <c r="I2291" s="198"/>
      <c r="J2291" s="198"/>
      <c r="K2291" s="198"/>
      <c r="L2291" s="198"/>
      <c r="M2291" s="198"/>
      <c r="N2291" s="198"/>
      <c r="O2291" s="198"/>
      <c r="P2291" s="198"/>
      <c r="Q2291" s="198"/>
      <c r="R2291" s="198"/>
      <c r="S2291" s="198"/>
      <c r="T2291" s="198"/>
      <c r="U2291" s="198"/>
      <c r="V2291" s="198"/>
      <c r="W2291" s="198"/>
      <c r="X2291" s="198"/>
      <c r="Y2291" s="198"/>
      <c r="Z2291" s="198"/>
    </row>
    <row r="2292" spans="1:26" ht="15.75" hidden="1" customHeight="1" x14ac:dyDescent="0.25">
      <c r="A2292" s="213">
        <v>4233</v>
      </c>
      <c r="B2292" s="214" t="s">
        <v>10788</v>
      </c>
      <c r="C2292" s="215" t="s">
        <v>2193</v>
      </c>
      <c r="D2292" s="216">
        <v>33.99</v>
      </c>
      <c r="E2292" s="198"/>
      <c r="F2292" s="198"/>
      <c r="G2292" s="198"/>
      <c r="H2292" s="198"/>
      <c r="I2292" s="198"/>
      <c r="J2292" s="198"/>
      <c r="K2292" s="198"/>
      <c r="L2292" s="198"/>
      <c r="M2292" s="198"/>
      <c r="N2292" s="198"/>
      <c r="O2292" s="198"/>
      <c r="P2292" s="198"/>
      <c r="Q2292" s="198"/>
      <c r="R2292" s="198"/>
      <c r="S2292" s="198"/>
      <c r="T2292" s="198"/>
      <c r="U2292" s="198"/>
      <c r="V2292" s="198"/>
      <c r="W2292" s="198"/>
      <c r="X2292" s="198"/>
      <c r="Y2292" s="198"/>
      <c r="Z2292" s="198"/>
    </row>
    <row r="2293" spans="1:26" ht="15.75" hidden="1" customHeight="1" x14ac:dyDescent="0.25">
      <c r="A2293" s="213">
        <v>41001</v>
      </c>
      <c r="B2293" s="214" t="s">
        <v>10789</v>
      </c>
      <c r="C2293" s="215" t="s">
        <v>6214</v>
      </c>
      <c r="D2293" s="216">
        <v>5962.27</v>
      </c>
      <c r="E2293" s="198"/>
      <c r="F2293" s="198"/>
      <c r="G2293" s="198"/>
      <c r="H2293" s="198"/>
      <c r="I2293" s="198"/>
      <c r="J2293" s="198"/>
      <c r="K2293" s="198"/>
      <c r="L2293" s="198"/>
      <c r="M2293" s="198"/>
      <c r="N2293" s="198"/>
      <c r="O2293" s="198"/>
      <c r="P2293" s="198"/>
      <c r="Q2293" s="198"/>
      <c r="R2293" s="198"/>
      <c r="S2293" s="198"/>
      <c r="T2293" s="198"/>
      <c r="U2293" s="198"/>
      <c r="V2293" s="198"/>
      <c r="W2293" s="198"/>
      <c r="X2293" s="198"/>
      <c r="Y2293" s="198"/>
      <c r="Z2293" s="198"/>
    </row>
    <row r="2294" spans="1:26" ht="15.75" hidden="1" customHeight="1" x14ac:dyDescent="0.25">
      <c r="A2294" s="213">
        <v>2</v>
      </c>
      <c r="B2294" s="214" t="s">
        <v>10790</v>
      </c>
      <c r="C2294" s="215" t="s">
        <v>664</v>
      </c>
      <c r="D2294" s="216">
        <v>21.91</v>
      </c>
      <c r="E2294" s="198"/>
      <c r="F2294" s="198"/>
      <c r="G2294" s="198"/>
      <c r="H2294" s="198"/>
      <c r="I2294" s="198"/>
      <c r="J2294" s="198"/>
      <c r="K2294" s="198"/>
      <c r="L2294" s="198"/>
      <c r="M2294" s="198"/>
      <c r="N2294" s="198"/>
      <c r="O2294" s="198"/>
      <c r="P2294" s="198"/>
      <c r="Q2294" s="198"/>
      <c r="R2294" s="198"/>
      <c r="S2294" s="198"/>
      <c r="T2294" s="198"/>
      <c r="U2294" s="198"/>
      <c r="V2294" s="198"/>
      <c r="W2294" s="198"/>
      <c r="X2294" s="198"/>
      <c r="Y2294" s="198"/>
      <c r="Z2294" s="198"/>
    </row>
    <row r="2295" spans="1:26" ht="15.75" hidden="1" customHeight="1" x14ac:dyDescent="0.25">
      <c r="A2295" s="213">
        <v>14221</v>
      </c>
      <c r="B2295" s="214" t="s">
        <v>10791</v>
      </c>
      <c r="C2295" s="215" t="s">
        <v>580</v>
      </c>
      <c r="D2295" s="216">
        <v>755953.97</v>
      </c>
      <c r="E2295" s="198"/>
      <c r="F2295" s="198"/>
      <c r="G2295" s="198"/>
      <c r="H2295" s="198"/>
      <c r="I2295" s="198"/>
      <c r="J2295" s="198"/>
      <c r="K2295" s="198"/>
      <c r="L2295" s="198"/>
      <c r="M2295" s="198"/>
      <c r="N2295" s="198"/>
      <c r="O2295" s="198"/>
      <c r="P2295" s="198"/>
      <c r="Q2295" s="198"/>
      <c r="R2295" s="198"/>
      <c r="S2295" s="198"/>
      <c r="T2295" s="198"/>
      <c r="U2295" s="198"/>
      <c r="V2295" s="198"/>
      <c r="W2295" s="198"/>
      <c r="X2295" s="198"/>
      <c r="Y2295" s="198"/>
      <c r="Z2295" s="198"/>
    </row>
    <row r="2296" spans="1:26" ht="15.75" hidden="1" customHeight="1" x14ac:dyDescent="0.25">
      <c r="A2296" s="213">
        <v>36517</v>
      </c>
      <c r="B2296" s="214" t="s">
        <v>10792</v>
      </c>
      <c r="C2296" s="215" t="s">
        <v>580</v>
      </c>
      <c r="D2296" s="216">
        <v>728604</v>
      </c>
      <c r="E2296" s="198"/>
      <c r="F2296" s="198"/>
      <c r="G2296" s="198"/>
      <c r="H2296" s="198"/>
      <c r="I2296" s="198"/>
      <c r="J2296" s="198"/>
      <c r="K2296" s="198"/>
      <c r="L2296" s="198"/>
      <c r="M2296" s="198"/>
      <c r="N2296" s="198"/>
      <c r="O2296" s="198"/>
      <c r="P2296" s="198"/>
      <c r="Q2296" s="198"/>
      <c r="R2296" s="198"/>
      <c r="S2296" s="198"/>
      <c r="T2296" s="198"/>
      <c r="U2296" s="198"/>
      <c r="V2296" s="198"/>
      <c r="W2296" s="198"/>
      <c r="X2296" s="198"/>
      <c r="Y2296" s="198"/>
      <c r="Z2296" s="198"/>
    </row>
    <row r="2297" spans="1:26" ht="15.75" hidden="1" customHeight="1" x14ac:dyDescent="0.25">
      <c r="A2297" s="213">
        <v>4262</v>
      </c>
      <c r="B2297" s="214" t="s">
        <v>10793</v>
      </c>
      <c r="C2297" s="215" t="s">
        <v>580</v>
      </c>
      <c r="D2297" s="216">
        <v>820500</v>
      </c>
      <c r="E2297" s="198"/>
      <c r="F2297" s="198"/>
      <c r="G2297" s="198"/>
      <c r="H2297" s="198"/>
      <c r="I2297" s="198"/>
      <c r="J2297" s="198"/>
      <c r="K2297" s="198"/>
      <c r="L2297" s="198"/>
      <c r="M2297" s="198"/>
      <c r="N2297" s="198"/>
      <c r="O2297" s="198"/>
      <c r="P2297" s="198"/>
      <c r="Q2297" s="198"/>
      <c r="R2297" s="198"/>
      <c r="S2297" s="198"/>
      <c r="T2297" s="198"/>
      <c r="U2297" s="198"/>
      <c r="V2297" s="198"/>
      <c r="W2297" s="198"/>
      <c r="X2297" s="198"/>
      <c r="Y2297" s="198"/>
      <c r="Z2297" s="198"/>
    </row>
    <row r="2298" spans="1:26" ht="15.75" hidden="1" customHeight="1" x14ac:dyDescent="0.25">
      <c r="A2298" s="213">
        <v>4263</v>
      </c>
      <c r="B2298" s="214" t="s">
        <v>10794</v>
      </c>
      <c r="C2298" s="215" t="s">
        <v>580</v>
      </c>
      <c r="D2298" s="216">
        <v>1137759.94</v>
      </c>
      <c r="E2298" s="198"/>
      <c r="F2298" s="198"/>
      <c r="G2298" s="198"/>
      <c r="H2298" s="198"/>
      <c r="I2298" s="198"/>
      <c r="J2298" s="198"/>
      <c r="K2298" s="198"/>
      <c r="L2298" s="198"/>
      <c r="M2298" s="198"/>
      <c r="N2298" s="198"/>
      <c r="O2298" s="198"/>
      <c r="P2298" s="198"/>
      <c r="Q2298" s="198"/>
      <c r="R2298" s="198"/>
      <c r="S2298" s="198"/>
      <c r="T2298" s="198"/>
      <c r="U2298" s="198"/>
      <c r="V2298" s="198"/>
      <c r="W2298" s="198"/>
      <c r="X2298" s="198"/>
      <c r="Y2298" s="198"/>
      <c r="Z2298" s="198"/>
    </row>
    <row r="2299" spans="1:26" ht="15.75" hidden="1" customHeight="1" x14ac:dyDescent="0.25">
      <c r="A2299" s="213">
        <v>36518</v>
      </c>
      <c r="B2299" s="214" t="s">
        <v>10795</v>
      </c>
      <c r="C2299" s="215" t="s">
        <v>580</v>
      </c>
      <c r="D2299" s="216">
        <v>1295295.94</v>
      </c>
      <c r="E2299" s="198"/>
      <c r="F2299" s="198"/>
      <c r="G2299" s="198"/>
      <c r="H2299" s="198"/>
      <c r="I2299" s="198"/>
      <c r="J2299" s="198"/>
      <c r="K2299" s="198"/>
      <c r="L2299" s="198"/>
      <c r="M2299" s="198"/>
      <c r="N2299" s="198"/>
      <c r="O2299" s="198"/>
      <c r="P2299" s="198"/>
      <c r="Q2299" s="198"/>
      <c r="R2299" s="198"/>
      <c r="S2299" s="198"/>
      <c r="T2299" s="198"/>
      <c r="U2299" s="198"/>
      <c r="V2299" s="198"/>
      <c r="W2299" s="198"/>
      <c r="X2299" s="198"/>
      <c r="Y2299" s="198"/>
      <c r="Z2299" s="198"/>
    </row>
    <row r="2300" spans="1:26" ht="15.75" hidden="1" customHeight="1" x14ac:dyDescent="0.25">
      <c r="A2300" s="213">
        <v>38402</v>
      </c>
      <c r="B2300" s="214" t="s">
        <v>10796</v>
      </c>
      <c r="C2300" s="215" t="s">
        <v>580</v>
      </c>
      <c r="D2300" s="216">
        <v>13.46</v>
      </c>
      <c r="E2300" s="198"/>
      <c r="F2300" s="198"/>
      <c r="G2300" s="198"/>
      <c r="H2300" s="198"/>
      <c r="I2300" s="198"/>
      <c r="J2300" s="198"/>
      <c r="K2300" s="198"/>
      <c r="L2300" s="198"/>
      <c r="M2300" s="198"/>
      <c r="N2300" s="198"/>
      <c r="O2300" s="198"/>
      <c r="P2300" s="198"/>
      <c r="Q2300" s="198"/>
      <c r="R2300" s="198"/>
      <c r="S2300" s="198"/>
      <c r="T2300" s="198"/>
      <c r="U2300" s="198"/>
      <c r="V2300" s="198"/>
      <c r="W2300" s="198"/>
      <c r="X2300" s="198"/>
      <c r="Y2300" s="198"/>
      <c r="Z2300" s="198"/>
    </row>
    <row r="2301" spans="1:26" ht="15.75" hidden="1" customHeight="1" x14ac:dyDescent="0.25">
      <c r="A2301" s="213">
        <v>39637</v>
      </c>
      <c r="B2301" s="214" t="s">
        <v>10797</v>
      </c>
      <c r="C2301" s="215" t="s">
        <v>578</v>
      </c>
      <c r="D2301" s="216">
        <v>94</v>
      </c>
      <c r="E2301" s="198"/>
      <c r="F2301" s="198"/>
      <c r="G2301" s="198"/>
      <c r="H2301" s="198"/>
      <c r="I2301" s="198"/>
      <c r="J2301" s="198"/>
      <c r="K2301" s="198"/>
      <c r="L2301" s="198"/>
      <c r="M2301" s="198"/>
      <c r="N2301" s="198"/>
      <c r="O2301" s="198"/>
      <c r="P2301" s="198"/>
      <c r="Q2301" s="198"/>
      <c r="R2301" s="198"/>
      <c r="S2301" s="198"/>
      <c r="T2301" s="198"/>
      <c r="U2301" s="198"/>
      <c r="V2301" s="198"/>
      <c r="W2301" s="198"/>
      <c r="X2301" s="198"/>
      <c r="Y2301" s="198"/>
      <c r="Z2301" s="198"/>
    </row>
    <row r="2302" spans="1:26" ht="15.75" hidden="1" customHeight="1" x14ac:dyDescent="0.25">
      <c r="A2302" s="213">
        <v>39638</v>
      </c>
      <c r="B2302" s="214" t="s">
        <v>10798</v>
      </c>
      <c r="C2302" s="215" t="s">
        <v>578</v>
      </c>
      <c r="D2302" s="216">
        <v>106.36</v>
      </c>
      <c r="E2302" s="198"/>
      <c r="F2302" s="198"/>
      <c r="G2302" s="198"/>
      <c r="H2302" s="198"/>
      <c r="I2302" s="198"/>
      <c r="J2302" s="198"/>
      <c r="K2302" s="198"/>
      <c r="L2302" s="198"/>
      <c r="M2302" s="198"/>
      <c r="N2302" s="198"/>
      <c r="O2302" s="198"/>
      <c r="P2302" s="198"/>
      <c r="Q2302" s="198"/>
      <c r="R2302" s="198"/>
      <c r="S2302" s="198"/>
      <c r="T2302" s="198"/>
      <c r="U2302" s="198"/>
      <c r="V2302" s="198"/>
      <c r="W2302" s="198"/>
      <c r="X2302" s="198"/>
      <c r="Y2302" s="198"/>
      <c r="Z2302" s="198"/>
    </row>
    <row r="2303" spans="1:26" ht="15.75" hidden="1" customHeight="1" x14ac:dyDescent="0.25">
      <c r="A2303" s="213">
        <v>39639</v>
      </c>
      <c r="B2303" s="214" t="s">
        <v>10799</v>
      </c>
      <c r="C2303" s="215" t="s">
        <v>578</v>
      </c>
      <c r="D2303" s="216">
        <v>160.47999999999999</v>
      </c>
      <c r="E2303" s="198"/>
      <c r="F2303" s="198"/>
      <c r="G2303" s="198"/>
      <c r="H2303" s="198"/>
      <c r="I2303" s="198"/>
      <c r="J2303" s="198"/>
      <c r="K2303" s="198"/>
      <c r="L2303" s="198"/>
      <c r="M2303" s="198"/>
      <c r="N2303" s="198"/>
      <c r="O2303" s="198"/>
      <c r="P2303" s="198"/>
      <c r="Q2303" s="198"/>
      <c r="R2303" s="198"/>
      <c r="S2303" s="198"/>
      <c r="T2303" s="198"/>
      <c r="U2303" s="198"/>
      <c r="V2303" s="198"/>
      <c r="W2303" s="198"/>
      <c r="X2303" s="198"/>
      <c r="Y2303" s="198"/>
      <c r="Z2303" s="198"/>
    </row>
    <row r="2304" spans="1:26" ht="15.75" hidden="1" customHeight="1" x14ac:dyDescent="0.25">
      <c r="A2304" s="213">
        <v>38366</v>
      </c>
      <c r="B2304" s="214" t="s">
        <v>10800</v>
      </c>
      <c r="C2304" s="215" t="s">
        <v>578</v>
      </c>
      <c r="D2304" s="216">
        <v>6.12</v>
      </c>
      <c r="E2304" s="198"/>
      <c r="F2304" s="198"/>
      <c r="G2304" s="198"/>
      <c r="H2304" s="198"/>
      <c r="I2304" s="198"/>
      <c r="J2304" s="198"/>
      <c r="K2304" s="198"/>
      <c r="L2304" s="198"/>
      <c r="M2304" s="198"/>
      <c r="N2304" s="198"/>
      <c r="O2304" s="198"/>
      <c r="P2304" s="198"/>
      <c r="Q2304" s="198"/>
      <c r="R2304" s="198"/>
      <c r="S2304" s="198"/>
      <c r="T2304" s="198"/>
      <c r="U2304" s="198"/>
      <c r="V2304" s="198"/>
      <c r="W2304" s="198"/>
      <c r="X2304" s="198"/>
      <c r="Y2304" s="198"/>
      <c r="Z2304" s="198"/>
    </row>
    <row r="2305" spans="1:26" ht="15.75" hidden="1" customHeight="1" x14ac:dyDescent="0.25">
      <c r="A2305" s="213">
        <v>11703</v>
      </c>
      <c r="B2305" s="214" t="s">
        <v>10801</v>
      </c>
      <c r="C2305" s="215" t="s">
        <v>580</v>
      </c>
      <c r="D2305" s="216">
        <v>86.07</v>
      </c>
      <c r="E2305" s="198"/>
      <c r="F2305" s="198"/>
      <c r="G2305" s="198"/>
      <c r="H2305" s="198"/>
      <c r="I2305" s="198"/>
      <c r="J2305" s="198"/>
      <c r="K2305" s="198"/>
      <c r="L2305" s="198"/>
      <c r="M2305" s="198"/>
      <c r="N2305" s="198"/>
      <c r="O2305" s="198"/>
      <c r="P2305" s="198"/>
      <c r="Q2305" s="198"/>
      <c r="R2305" s="198"/>
      <c r="S2305" s="198"/>
      <c r="T2305" s="198"/>
      <c r="U2305" s="198"/>
      <c r="V2305" s="198"/>
      <c r="W2305" s="198"/>
      <c r="X2305" s="198"/>
      <c r="Y2305" s="198"/>
      <c r="Z2305" s="198"/>
    </row>
    <row r="2306" spans="1:26" ht="15.75" hidden="1" customHeight="1" x14ac:dyDescent="0.25">
      <c r="A2306" s="213">
        <v>37400</v>
      </c>
      <c r="B2306" s="214" t="s">
        <v>10802</v>
      </c>
      <c r="C2306" s="215" t="s">
        <v>580</v>
      </c>
      <c r="D2306" s="216">
        <v>41.52</v>
      </c>
      <c r="E2306" s="198"/>
      <c r="F2306" s="198"/>
      <c r="G2306" s="198"/>
      <c r="H2306" s="198"/>
      <c r="I2306" s="198"/>
      <c r="J2306" s="198"/>
      <c r="K2306" s="198"/>
      <c r="L2306" s="198"/>
      <c r="M2306" s="198"/>
      <c r="N2306" s="198"/>
      <c r="O2306" s="198"/>
      <c r="P2306" s="198"/>
      <c r="Q2306" s="198"/>
      <c r="R2306" s="198"/>
      <c r="S2306" s="198"/>
      <c r="T2306" s="198"/>
      <c r="U2306" s="198"/>
      <c r="V2306" s="198"/>
      <c r="W2306" s="198"/>
      <c r="X2306" s="198"/>
      <c r="Y2306" s="198"/>
      <c r="Z2306" s="198"/>
    </row>
    <row r="2307" spans="1:26" ht="15.75" hidden="1" customHeight="1" x14ac:dyDescent="0.25">
      <c r="A2307" s="213">
        <v>25400</v>
      </c>
      <c r="B2307" s="214" t="s">
        <v>10803</v>
      </c>
      <c r="C2307" s="215" t="s">
        <v>580</v>
      </c>
      <c r="D2307" s="216">
        <v>2723.4</v>
      </c>
      <c r="E2307" s="198"/>
      <c r="F2307" s="198"/>
      <c r="G2307" s="198"/>
      <c r="H2307" s="198"/>
      <c r="I2307" s="198"/>
      <c r="J2307" s="198"/>
      <c r="K2307" s="198"/>
      <c r="L2307" s="198"/>
      <c r="M2307" s="198"/>
      <c r="N2307" s="198"/>
      <c r="O2307" s="198"/>
      <c r="P2307" s="198"/>
      <c r="Q2307" s="198"/>
      <c r="R2307" s="198"/>
      <c r="S2307" s="198"/>
      <c r="T2307" s="198"/>
      <c r="U2307" s="198"/>
      <c r="V2307" s="198"/>
      <c r="W2307" s="198"/>
      <c r="X2307" s="198"/>
      <c r="Y2307" s="198"/>
      <c r="Z2307" s="198"/>
    </row>
    <row r="2308" spans="1:26" ht="15.75" hidden="1" customHeight="1" x14ac:dyDescent="0.25">
      <c r="A2308" s="213">
        <v>39438</v>
      </c>
      <c r="B2308" s="214" t="s">
        <v>10804</v>
      </c>
      <c r="C2308" s="215" t="s">
        <v>580</v>
      </c>
      <c r="D2308" s="216">
        <v>0.23</v>
      </c>
      <c r="E2308" s="198"/>
      <c r="F2308" s="198"/>
      <c r="G2308" s="198"/>
      <c r="H2308" s="198"/>
      <c r="I2308" s="198"/>
      <c r="J2308" s="198"/>
      <c r="K2308" s="198"/>
      <c r="L2308" s="198"/>
      <c r="M2308" s="198"/>
      <c r="N2308" s="198"/>
      <c r="O2308" s="198"/>
      <c r="P2308" s="198"/>
      <c r="Q2308" s="198"/>
      <c r="R2308" s="198"/>
      <c r="S2308" s="198"/>
      <c r="T2308" s="198"/>
      <c r="U2308" s="198"/>
      <c r="V2308" s="198"/>
      <c r="W2308" s="198"/>
      <c r="X2308" s="198"/>
      <c r="Y2308" s="198"/>
      <c r="Z2308" s="198"/>
    </row>
    <row r="2309" spans="1:26" ht="15.75" hidden="1" customHeight="1" x14ac:dyDescent="0.25">
      <c r="A2309" s="213">
        <v>4379</v>
      </c>
      <c r="B2309" s="214" t="s">
        <v>10805</v>
      </c>
      <c r="C2309" s="215" t="s">
        <v>580</v>
      </c>
      <c r="D2309" s="216">
        <v>0.04</v>
      </c>
      <c r="E2309" s="198"/>
      <c r="F2309" s="198"/>
      <c r="G2309" s="198"/>
      <c r="H2309" s="198"/>
      <c r="I2309" s="198"/>
      <c r="J2309" s="198"/>
      <c r="K2309" s="198"/>
      <c r="L2309" s="198"/>
      <c r="M2309" s="198"/>
      <c r="N2309" s="198"/>
      <c r="O2309" s="198"/>
      <c r="P2309" s="198"/>
      <c r="Q2309" s="198"/>
      <c r="R2309" s="198"/>
      <c r="S2309" s="198"/>
      <c r="T2309" s="198"/>
      <c r="U2309" s="198"/>
      <c r="V2309" s="198"/>
      <c r="W2309" s="198"/>
      <c r="X2309" s="198"/>
      <c r="Y2309" s="198"/>
      <c r="Z2309" s="198"/>
    </row>
    <row r="2310" spans="1:26" ht="15.75" hidden="1" customHeight="1" x14ac:dyDescent="0.25">
      <c r="A2310" s="213">
        <v>4377</v>
      </c>
      <c r="B2310" s="214" t="s">
        <v>10806</v>
      </c>
      <c r="C2310" s="215" t="s">
        <v>580</v>
      </c>
      <c r="D2310" s="216">
        <v>0.16</v>
      </c>
      <c r="E2310" s="198"/>
      <c r="F2310" s="198"/>
      <c r="G2310" s="198"/>
      <c r="H2310" s="198"/>
      <c r="I2310" s="198"/>
      <c r="J2310" s="198"/>
      <c r="K2310" s="198"/>
      <c r="L2310" s="198"/>
      <c r="M2310" s="198"/>
      <c r="N2310" s="198"/>
      <c r="O2310" s="198"/>
      <c r="P2310" s="198"/>
      <c r="Q2310" s="198"/>
      <c r="R2310" s="198"/>
      <c r="S2310" s="198"/>
      <c r="T2310" s="198"/>
      <c r="U2310" s="198"/>
      <c r="V2310" s="198"/>
      <c r="W2310" s="198"/>
      <c r="X2310" s="198"/>
      <c r="Y2310" s="198"/>
      <c r="Z2310" s="198"/>
    </row>
    <row r="2311" spans="1:26" ht="15.75" hidden="1" customHeight="1" x14ac:dyDescent="0.25">
      <c r="A2311" s="213">
        <v>4356</v>
      </c>
      <c r="B2311" s="214" t="s">
        <v>10807</v>
      </c>
      <c r="C2311" s="215" t="s">
        <v>580</v>
      </c>
      <c r="D2311" s="216">
        <v>0.23</v>
      </c>
      <c r="E2311" s="198"/>
      <c r="F2311" s="198"/>
      <c r="G2311" s="198"/>
      <c r="H2311" s="198"/>
      <c r="I2311" s="198"/>
      <c r="J2311" s="198"/>
      <c r="K2311" s="198"/>
      <c r="L2311" s="198"/>
      <c r="M2311" s="198"/>
      <c r="N2311" s="198"/>
      <c r="O2311" s="198"/>
      <c r="P2311" s="198"/>
      <c r="Q2311" s="198"/>
      <c r="R2311" s="198"/>
      <c r="S2311" s="198"/>
      <c r="T2311" s="198"/>
      <c r="U2311" s="198"/>
      <c r="V2311" s="198"/>
      <c r="W2311" s="198"/>
      <c r="X2311" s="198"/>
      <c r="Y2311" s="198"/>
      <c r="Z2311" s="198"/>
    </row>
    <row r="2312" spans="1:26" ht="15.75" hidden="1" customHeight="1" x14ac:dyDescent="0.25">
      <c r="A2312" s="213">
        <v>13246</v>
      </c>
      <c r="B2312" s="214" t="s">
        <v>10808</v>
      </c>
      <c r="C2312" s="215" t="s">
        <v>580</v>
      </c>
      <c r="D2312" s="216">
        <v>0.4</v>
      </c>
      <c r="E2312" s="198"/>
      <c r="F2312" s="198"/>
      <c r="G2312" s="198"/>
      <c r="H2312" s="198"/>
      <c r="I2312" s="198"/>
      <c r="J2312" s="198"/>
      <c r="K2312" s="198"/>
      <c r="L2312" s="198"/>
      <c r="M2312" s="198"/>
      <c r="N2312" s="198"/>
      <c r="O2312" s="198"/>
      <c r="P2312" s="198"/>
      <c r="Q2312" s="198"/>
      <c r="R2312" s="198"/>
      <c r="S2312" s="198"/>
      <c r="T2312" s="198"/>
      <c r="U2312" s="198"/>
      <c r="V2312" s="198"/>
      <c r="W2312" s="198"/>
      <c r="X2312" s="198"/>
      <c r="Y2312" s="198"/>
      <c r="Z2312" s="198"/>
    </row>
    <row r="2313" spans="1:26" ht="15.75" hidden="1" customHeight="1" x14ac:dyDescent="0.25">
      <c r="A2313" s="213">
        <v>13294</v>
      </c>
      <c r="B2313" s="214" t="s">
        <v>10809</v>
      </c>
      <c r="C2313" s="215" t="s">
        <v>580</v>
      </c>
      <c r="D2313" s="216">
        <v>1.35</v>
      </c>
      <c r="E2313" s="198"/>
      <c r="F2313" s="198"/>
      <c r="G2313" s="198"/>
      <c r="H2313" s="198"/>
      <c r="I2313" s="198"/>
      <c r="J2313" s="198"/>
      <c r="K2313" s="198"/>
      <c r="L2313" s="198"/>
      <c r="M2313" s="198"/>
      <c r="N2313" s="198"/>
      <c r="O2313" s="198"/>
      <c r="P2313" s="198"/>
      <c r="Q2313" s="198"/>
      <c r="R2313" s="198"/>
      <c r="S2313" s="198"/>
      <c r="T2313" s="198"/>
      <c r="U2313" s="198"/>
      <c r="V2313" s="198"/>
      <c r="W2313" s="198"/>
      <c r="X2313" s="198"/>
      <c r="Y2313" s="198"/>
      <c r="Z2313" s="198"/>
    </row>
    <row r="2314" spans="1:26" ht="15.75" hidden="1" customHeight="1" x14ac:dyDescent="0.25">
      <c r="A2314" s="213">
        <v>11963</v>
      </c>
      <c r="B2314" s="214" t="s">
        <v>10810</v>
      </c>
      <c r="C2314" s="215" t="s">
        <v>580</v>
      </c>
      <c r="D2314" s="216">
        <v>8.52</v>
      </c>
      <c r="E2314" s="198"/>
      <c r="F2314" s="198"/>
      <c r="G2314" s="198"/>
      <c r="H2314" s="198"/>
      <c r="I2314" s="198"/>
      <c r="J2314" s="198"/>
      <c r="K2314" s="198"/>
      <c r="L2314" s="198"/>
      <c r="M2314" s="198"/>
      <c r="N2314" s="198"/>
      <c r="O2314" s="198"/>
      <c r="P2314" s="198"/>
      <c r="Q2314" s="198"/>
      <c r="R2314" s="198"/>
      <c r="S2314" s="198"/>
      <c r="T2314" s="198"/>
      <c r="U2314" s="198"/>
      <c r="V2314" s="198"/>
      <c r="W2314" s="198"/>
      <c r="X2314" s="198"/>
      <c r="Y2314" s="198"/>
      <c r="Z2314" s="198"/>
    </row>
    <row r="2315" spans="1:26" ht="15.75" hidden="1" customHeight="1" x14ac:dyDescent="0.25">
      <c r="A2315" s="213">
        <v>11964</v>
      </c>
      <c r="B2315" s="214" t="s">
        <v>10811</v>
      </c>
      <c r="C2315" s="215" t="s">
        <v>580</v>
      </c>
      <c r="D2315" s="216">
        <v>2.15</v>
      </c>
      <c r="E2315" s="198"/>
      <c r="F2315" s="198"/>
      <c r="G2315" s="198"/>
      <c r="H2315" s="198"/>
      <c r="I2315" s="198"/>
      <c r="J2315" s="198"/>
      <c r="K2315" s="198"/>
      <c r="L2315" s="198"/>
      <c r="M2315" s="198"/>
      <c r="N2315" s="198"/>
      <c r="O2315" s="198"/>
      <c r="P2315" s="198"/>
      <c r="Q2315" s="198"/>
      <c r="R2315" s="198"/>
      <c r="S2315" s="198"/>
      <c r="T2315" s="198"/>
      <c r="U2315" s="198"/>
      <c r="V2315" s="198"/>
      <c r="W2315" s="198"/>
      <c r="X2315" s="198"/>
      <c r="Y2315" s="198"/>
      <c r="Z2315" s="198"/>
    </row>
    <row r="2316" spans="1:26" ht="15.75" hidden="1" customHeight="1" x14ac:dyDescent="0.25">
      <c r="A2316" s="213">
        <v>4346</v>
      </c>
      <c r="B2316" s="214" t="s">
        <v>10812</v>
      </c>
      <c r="C2316" s="215" t="s">
        <v>580</v>
      </c>
      <c r="D2316" s="216">
        <v>9.1300000000000008</v>
      </c>
      <c r="E2316" s="198"/>
      <c r="F2316" s="198"/>
      <c r="G2316" s="198"/>
      <c r="H2316" s="198"/>
      <c r="I2316" s="198"/>
      <c r="J2316" s="198"/>
      <c r="K2316" s="198"/>
      <c r="L2316" s="198"/>
      <c r="M2316" s="198"/>
      <c r="N2316" s="198"/>
      <c r="O2316" s="198"/>
      <c r="P2316" s="198"/>
      <c r="Q2316" s="198"/>
      <c r="R2316" s="198"/>
      <c r="S2316" s="198"/>
      <c r="T2316" s="198"/>
      <c r="U2316" s="198"/>
      <c r="V2316" s="198"/>
      <c r="W2316" s="198"/>
      <c r="X2316" s="198"/>
      <c r="Y2316" s="198"/>
      <c r="Z2316" s="198"/>
    </row>
    <row r="2317" spans="1:26" ht="15.75" hidden="1" customHeight="1" x14ac:dyDescent="0.25">
      <c r="A2317" s="213">
        <v>11955</v>
      </c>
      <c r="B2317" s="214" t="s">
        <v>10813</v>
      </c>
      <c r="C2317" s="215" t="s">
        <v>580</v>
      </c>
      <c r="D2317" s="216">
        <v>4</v>
      </c>
      <c r="E2317" s="198"/>
      <c r="F2317" s="198"/>
      <c r="G2317" s="198"/>
      <c r="H2317" s="198"/>
      <c r="I2317" s="198"/>
      <c r="J2317" s="198"/>
      <c r="K2317" s="198"/>
      <c r="L2317" s="198"/>
      <c r="M2317" s="198"/>
      <c r="N2317" s="198"/>
      <c r="O2317" s="198"/>
      <c r="P2317" s="198"/>
      <c r="Q2317" s="198"/>
      <c r="R2317" s="198"/>
      <c r="S2317" s="198"/>
      <c r="T2317" s="198"/>
      <c r="U2317" s="198"/>
      <c r="V2317" s="198"/>
      <c r="W2317" s="198"/>
      <c r="X2317" s="198"/>
      <c r="Y2317" s="198"/>
      <c r="Z2317" s="198"/>
    </row>
    <row r="2318" spans="1:26" ht="15.75" hidden="1" customHeight="1" x14ac:dyDescent="0.25">
      <c r="A2318" s="213">
        <v>11960</v>
      </c>
      <c r="B2318" s="214" t="s">
        <v>10814</v>
      </c>
      <c r="C2318" s="215" t="s">
        <v>580</v>
      </c>
      <c r="D2318" s="216">
        <v>0.13</v>
      </c>
      <c r="E2318" s="198"/>
      <c r="F2318" s="198"/>
      <c r="G2318" s="198"/>
      <c r="H2318" s="198"/>
      <c r="I2318" s="198"/>
      <c r="J2318" s="198"/>
      <c r="K2318" s="198"/>
      <c r="L2318" s="198"/>
      <c r="M2318" s="198"/>
      <c r="N2318" s="198"/>
      <c r="O2318" s="198"/>
      <c r="P2318" s="198"/>
      <c r="Q2318" s="198"/>
      <c r="R2318" s="198"/>
      <c r="S2318" s="198"/>
      <c r="T2318" s="198"/>
      <c r="U2318" s="198"/>
      <c r="V2318" s="198"/>
      <c r="W2318" s="198"/>
      <c r="X2318" s="198"/>
      <c r="Y2318" s="198"/>
      <c r="Z2318" s="198"/>
    </row>
    <row r="2319" spans="1:26" ht="15.75" hidden="1" customHeight="1" x14ac:dyDescent="0.25">
      <c r="A2319" s="213">
        <v>4333</v>
      </c>
      <c r="B2319" s="214" t="s">
        <v>10815</v>
      </c>
      <c r="C2319" s="215" t="s">
        <v>580</v>
      </c>
      <c r="D2319" s="216">
        <v>0.23</v>
      </c>
      <c r="E2319" s="198"/>
      <c r="F2319" s="198"/>
      <c r="G2319" s="198"/>
      <c r="H2319" s="198"/>
      <c r="I2319" s="198"/>
      <c r="J2319" s="198"/>
      <c r="K2319" s="198"/>
      <c r="L2319" s="198"/>
      <c r="M2319" s="198"/>
      <c r="N2319" s="198"/>
      <c r="O2319" s="198"/>
      <c r="P2319" s="198"/>
      <c r="Q2319" s="198"/>
      <c r="R2319" s="198"/>
      <c r="S2319" s="198"/>
      <c r="T2319" s="198"/>
      <c r="U2319" s="198"/>
      <c r="V2319" s="198"/>
      <c r="W2319" s="198"/>
      <c r="X2319" s="198"/>
      <c r="Y2319" s="198"/>
      <c r="Z2319" s="198"/>
    </row>
    <row r="2320" spans="1:26" ht="15.75" hidden="1" customHeight="1" x14ac:dyDescent="0.25">
      <c r="A2320" s="213">
        <v>4358</v>
      </c>
      <c r="B2320" s="214" t="s">
        <v>10816</v>
      </c>
      <c r="C2320" s="215" t="s">
        <v>580</v>
      </c>
      <c r="D2320" s="216">
        <v>1.83</v>
      </c>
      <c r="E2320" s="198"/>
      <c r="F2320" s="198"/>
      <c r="G2320" s="198"/>
      <c r="H2320" s="198"/>
      <c r="I2320" s="198"/>
      <c r="J2320" s="198"/>
      <c r="K2320" s="198"/>
      <c r="L2320" s="198"/>
      <c r="M2320" s="198"/>
      <c r="N2320" s="198"/>
      <c r="O2320" s="198"/>
      <c r="P2320" s="198"/>
      <c r="Q2320" s="198"/>
      <c r="R2320" s="198"/>
      <c r="S2320" s="198"/>
      <c r="T2320" s="198"/>
      <c r="U2320" s="198"/>
      <c r="V2320" s="198"/>
      <c r="W2320" s="198"/>
      <c r="X2320" s="198"/>
      <c r="Y2320" s="198"/>
      <c r="Z2320" s="198"/>
    </row>
    <row r="2321" spans="1:26" ht="15.75" hidden="1" customHeight="1" x14ac:dyDescent="0.25">
      <c r="A2321" s="213">
        <v>39435</v>
      </c>
      <c r="B2321" s="214" t="s">
        <v>10817</v>
      </c>
      <c r="C2321" s="215" t="s">
        <v>580</v>
      </c>
      <c r="D2321" s="216">
        <v>0.09</v>
      </c>
      <c r="E2321" s="198"/>
      <c r="F2321" s="198"/>
      <c r="G2321" s="198"/>
      <c r="H2321" s="198"/>
      <c r="I2321" s="198"/>
      <c r="J2321" s="198"/>
      <c r="K2321" s="198"/>
      <c r="L2321" s="198"/>
      <c r="M2321" s="198"/>
      <c r="N2321" s="198"/>
      <c r="O2321" s="198"/>
      <c r="P2321" s="198"/>
      <c r="Q2321" s="198"/>
      <c r="R2321" s="198"/>
      <c r="S2321" s="198"/>
      <c r="T2321" s="198"/>
      <c r="U2321" s="198"/>
      <c r="V2321" s="198"/>
      <c r="W2321" s="198"/>
      <c r="X2321" s="198"/>
      <c r="Y2321" s="198"/>
      <c r="Z2321" s="198"/>
    </row>
    <row r="2322" spans="1:26" ht="15.75" hidden="1" customHeight="1" x14ac:dyDescent="0.25">
      <c r="A2322" s="213">
        <v>39436</v>
      </c>
      <c r="B2322" s="214" t="s">
        <v>10818</v>
      </c>
      <c r="C2322" s="215" t="s">
        <v>580</v>
      </c>
      <c r="D2322" s="216">
        <v>0.15</v>
      </c>
      <c r="E2322" s="198"/>
      <c r="F2322" s="198"/>
      <c r="G2322" s="198"/>
      <c r="H2322" s="198"/>
      <c r="I2322" s="198"/>
      <c r="J2322" s="198"/>
      <c r="K2322" s="198"/>
      <c r="L2322" s="198"/>
      <c r="M2322" s="198"/>
      <c r="N2322" s="198"/>
      <c r="O2322" s="198"/>
      <c r="P2322" s="198"/>
      <c r="Q2322" s="198"/>
      <c r="R2322" s="198"/>
      <c r="S2322" s="198"/>
      <c r="T2322" s="198"/>
      <c r="U2322" s="198"/>
      <c r="V2322" s="198"/>
      <c r="W2322" s="198"/>
      <c r="X2322" s="198"/>
      <c r="Y2322" s="198"/>
      <c r="Z2322" s="198"/>
    </row>
    <row r="2323" spans="1:26" ht="15.75" hidden="1" customHeight="1" x14ac:dyDescent="0.25">
      <c r="A2323" s="213">
        <v>39437</v>
      </c>
      <c r="B2323" s="214" t="s">
        <v>10819</v>
      </c>
      <c r="C2323" s="215" t="s">
        <v>580</v>
      </c>
      <c r="D2323" s="216">
        <v>0.2</v>
      </c>
      <c r="E2323" s="198"/>
      <c r="F2323" s="198"/>
      <c r="G2323" s="198"/>
      <c r="H2323" s="198"/>
      <c r="I2323" s="198"/>
      <c r="J2323" s="198"/>
      <c r="K2323" s="198"/>
      <c r="L2323" s="198"/>
      <c r="M2323" s="198"/>
      <c r="N2323" s="198"/>
      <c r="O2323" s="198"/>
      <c r="P2323" s="198"/>
      <c r="Q2323" s="198"/>
      <c r="R2323" s="198"/>
      <c r="S2323" s="198"/>
      <c r="T2323" s="198"/>
      <c r="U2323" s="198"/>
      <c r="V2323" s="198"/>
      <c r="W2323" s="198"/>
      <c r="X2323" s="198"/>
      <c r="Y2323" s="198"/>
      <c r="Z2323" s="198"/>
    </row>
    <row r="2324" spans="1:26" ht="15.75" hidden="1" customHeight="1" x14ac:dyDescent="0.25">
      <c r="A2324" s="213">
        <v>39439</v>
      </c>
      <c r="B2324" s="214" t="s">
        <v>10820</v>
      </c>
      <c r="C2324" s="215" t="s">
        <v>580</v>
      </c>
      <c r="D2324" s="216">
        <v>0.14000000000000001</v>
      </c>
      <c r="E2324" s="198"/>
      <c r="F2324" s="198"/>
      <c r="G2324" s="198"/>
      <c r="H2324" s="198"/>
      <c r="I2324" s="198"/>
      <c r="J2324" s="198"/>
      <c r="K2324" s="198"/>
      <c r="L2324" s="198"/>
      <c r="M2324" s="198"/>
      <c r="N2324" s="198"/>
      <c r="O2324" s="198"/>
      <c r="P2324" s="198"/>
      <c r="Q2324" s="198"/>
      <c r="R2324" s="198"/>
      <c r="S2324" s="198"/>
      <c r="T2324" s="198"/>
      <c r="U2324" s="198"/>
      <c r="V2324" s="198"/>
      <c r="W2324" s="198"/>
      <c r="X2324" s="198"/>
      <c r="Y2324" s="198"/>
      <c r="Z2324" s="198"/>
    </row>
    <row r="2325" spans="1:26" ht="15.75" hidden="1" customHeight="1" x14ac:dyDescent="0.25">
      <c r="A2325" s="213">
        <v>39440</v>
      </c>
      <c r="B2325" s="214" t="s">
        <v>10821</v>
      </c>
      <c r="C2325" s="215" t="s">
        <v>580</v>
      </c>
      <c r="D2325" s="216">
        <v>0.18</v>
      </c>
      <c r="E2325" s="198"/>
      <c r="F2325" s="198"/>
      <c r="G2325" s="198"/>
      <c r="H2325" s="198"/>
      <c r="I2325" s="198"/>
      <c r="J2325" s="198"/>
      <c r="K2325" s="198"/>
      <c r="L2325" s="198"/>
      <c r="M2325" s="198"/>
      <c r="N2325" s="198"/>
      <c r="O2325" s="198"/>
      <c r="P2325" s="198"/>
      <c r="Q2325" s="198"/>
      <c r="R2325" s="198"/>
      <c r="S2325" s="198"/>
      <c r="T2325" s="198"/>
      <c r="U2325" s="198"/>
      <c r="V2325" s="198"/>
      <c r="W2325" s="198"/>
      <c r="X2325" s="198"/>
      <c r="Y2325" s="198"/>
      <c r="Z2325" s="198"/>
    </row>
    <row r="2326" spans="1:26" ht="15.75" hidden="1" customHeight="1" x14ac:dyDescent="0.25">
      <c r="A2326" s="213">
        <v>39441</v>
      </c>
      <c r="B2326" s="214" t="s">
        <v>10822</v>
      </c>
      <c r="C2326" s="215" t="s">
        <v>580</v>
      </c>
      <c r="D2326" s="216">
        <v>0.23</v>
      </c>
      <c r="E2326" s="198"/>
      <c r="F2326" s="198"/>
      <c r="G2326" s="198"/>
      <c r="H2326" s="198"/>
      <c r="I2326" s="198"/>
      <c r="J2326" s="198"/>
      <c r="K2326" s="198"/>
      <c r="L2326" s="198"/>
      <c r="M2326" s="198"/>
      <c r="N2326" s="198"/>
      <c r="O2326" s="198"/>
      <c r="P2326" s="198"/>
      <c r="Q2326" s="198"/>
      <c r="R2326" s="198"/>
      <c r="S2326" s="198"/>
      <c r="T2326" s="198"/>
      <c r="U2326" s="198"/>
      <c r="V2326" s="198"/>
      <c r="W2326" s="198"/>
      <c r="X2326" s="198"/>
      <c r="Y2326" s="198"/>
      <c r="Z2326" s="198"/>
    </row>
    <row r="2327" spans="1:26" ht="15.75" hidden="1" customHeight="1" x14ac:dyDescent="0.25">
      <c r="A2327" s="213">
        <v>39442</v>
      </c>
      <c r="B2327" s="214" t="s">
        <v>10823</v>
      </c>
      <c r="C2327" s="215" t="s">
        <v>580</v>
      </c>
      <c r="D2327" s="216">
        <v>0.16</v>
      </c>
      <c r="E2327" s="198"/>
      <c r="F2327" s="198"/>
      <c r="G2327" s="198"/>
      <c r="H2327" s="198"/>
      <c r="I2327" s="198"/>
      <c r="J2327" s="198"/>
      <c r="K2327" s="198"/>
      <c r="L2327" s="198"/>
      <c r="M2327" s="198"/>
      <c r="N2327" s="198"/>
      <c r="O2327" s="198"/>
      <c r="P2327" s="198"/>
      <c r="Q2327" s="198"/>
      <c r="R2327" s="198"/>
      <c r="S2327" s="198"/>
      <c r="T2327" s="198"/>
      <c r="U2327" s="198"/>
      <c r="V2327" s="198"/>
      <c r="W2327" s="198"/>
      <c r="X2327" s="198"/>
      <c r="Y2327" s="198"/>
      <c r="Z2327" s="198"/>
    </row>
    <row r="2328" spans="1:26" ht="15.75" hidden="1" customHeight="1" x14ac:dyDescent="0.25">
      <c r="A2328" s="213">
        <v>39443</v>
      </c>
      <c r="B2328" s="214" t="s">
        <v>10824</v>
      </c>
      <c r="C2328" s="215" t="s">
        <v>580</v>
      </c>
      <c r="D2328" s="216">
        <v>0.21</v>
      </c>
      <c r="E2328" s="198"/>
      <c r="F2328" s="198"/>
      <c r="G2328" s="198"/>
      <c r="H2328" s="198"/>
      <c r="I2328" s="198"/>
      <c r="J2328" s="198"/>
      <c r="K2328" s="198"/>
      <c r="L2328" s="198"/>
      <c r="M2328" s="198"/>
      <c r="N2328" s="198"/>
      <c r="O2328" s="198"/>
      <c r="P2328" s="198"/>
      <c r="Q2328" s="198"/>
      <c r="R2328" s="198"/>
      <c r="S2328" s="198"/>
      <c r="T2328" s="198"/>
      <c r="U2328" s="198"/>
      <c r="V2328" s="198"/>
      <c r="W2328" s="198"/>
      <c r="X2328" s="198"/>
      <c r="Y2328" s="198"/>
      <c r="Z2328" s="198"/>
    </row>
    <row r="2329" spans="1:26" ht="15.75" hidden="1" customHeight="1" x14ac:dyDescent="0.25">
      <c r="A2329" s="213">
        <v>4329</v>
      </c>
      <c r="B2329" s="214" t="s">
        <v>10825</v>
      </c>
      <c r="C2329" s="215" t="s">
        <v>580</v>
      </c>
      <c r="D2329" s="216">
        <v>1.95</v>
      </c>
      <c r="E2329" s="198"/>
      <c r="F2329" s="198"/>
      <c r="G2329" s="198"/>
      <c r="H2329" s="198"/>
      <c r="I2329" s="198"/>
      <c r="J2329" s="198"/>
      <c r="K2329" s="198"/>
      <c r="L2329" s="198"/>
      <c r="M2329" s="198"/>
      <c r="N2329" s="198"/>
      <c r="O2329" s="198"/>
      <c r="P2329" s="198"/>
      <c r="Q2329" s="198"/>
      <c r="R2329" s="198"/>
      <c r="S2329" s="198"/>
      <c r="T2329" s="198"/>
      <c r="U2329" s="198"/>
      <c r="V2329" s="198"/>
      <c r="W2329" s="198"/>
      <c r="X2329" s="198"/>
      <c r="Y2329" s="198"/>
      <c r="Z2329" s="198"/>
    </row>
    <row r="2330" spans="1:26" ht="15.75" hidden="1" customHeight="1" x14ac:dyDescent="0.25">
      <c r="A2330" s="213">
        <v>4383</v>
      </c>
      <c r="B2330" s="214" t="s">
        <v>10826</v>
      </c>
      <c r="C2330" s="215" t="s">
        <v>580</v>
      </c>
      <c r="D2330" s="216">
        <v>17.63</v>
      </c>
      <c r="E2330" s="198"/>
      <c r="F2330" s="198"/>
      <c r="G2330" s="198"/>
      <c r="H2330" s="198"/>
      <c r="I2330" s="198"/>
      <c r="J2330" s="198"/>
      <c r="K2330" s="198"/>
      <c r="L2330" s="198"/>
      <c r="M2330" s="198"/>
      <c r="N2330" s="198"/>
      <c r="O2330" s="198"/>
      <c r="P2330" s="198"/>
      <c r="Q2330" s="198"/>
      <c r="R2330" s="198"/>
      <c r="S2330" s="198"/>
      <c r="T2330" s="198"/>
      <c r="U2330" s="198"/>
      <c r="V2330" s="198"/>
      <c r="W2330" s="198"/>
      <c r="X2330" s="198"/>
      <c r="Y2330" s="198"/>
      <c r="Z2330" s="198"/>
    </row>
    <row r="2331" spans="1:26" ht="15.75" hidden="1" customHeight="1" x14ac:dyDescent="0.25">
      <c r="A2331" s="213">
        <v>4344</v>
      </c>
      <c r="B2331" s="214" t="s">
        <v>10827</v>
      </c>
      <c r="C2331" s="215" t="s">
        <v>580</v>
      </c>
      <c r="D2331" s="216">
        <v>18.48</v>
      </c>
      <c r="E2331" s="198"/>
      <c r="F2331" s="198"/>
      <c r="G2331" s="198"/>
      <c r="H2331" s="198"/>
      <c r="I2331" s="198"/>
      <c r="J2331" s="198"/>
      <c r="K2331" s="198"/>
      <c r="L2331" s="198"/>
      <c r="M2331" s="198"/>
      <c r="N2331" s="198"/>
      <c r="O2331" s="198"/>
      <c r="P2331" s="198"/>
      <c r="Q2331" s="198"/>
      <c r="R2331" s="198"/>
      <c r="S2331" s="198"/>
      <c r="T2331" s="198"/>
      <c r="U2331" s="198"/>
      <c r="V2331" s="198"/>
      <c r="W2331" s="198"/>
      <c r="X2331" s="198"/>
      <c r="Y2331" s="198"/>
      <c r="Z2331" s="198"/>
    </row>
    <row r="2332" spans="1:26" ht="15.75" hidden="1" customHeight="1" x14ac:dyDescent="0.25">
      <c r="A2332" s="213">
        <v>4335</v>
      </c>
      <c r="B2332" s="214" t="s">
        <v>10828</v>
      </c>
      <c r="C2332" s="215" t="s">
        <v>580</v>
      </c>
      <c r="D2332" s="216">
        <v>12.41</v>
      </c>
      <c r="E2332" s="198"/>
      <c r="F2332" s="198"/>
      <c r="G2332" s="198"/>
      <c r="H2332" s="198"/>
      <c r="I2332" s="198"/>
      <c r="J2332" s="198"/>
      <c r="K2332" s="198"/>
      <c r="L2332" s="198"/>
      <c r="M2332" s="198"/>
      <c r="N2332" s="198"/>
      <c r="O2332" s="198"/>
      <c r="P2332" s="198"/>
      <c r="Q2332" s="198"/>
      <c r="R2332" s="198"/>
      <c r="S2332" s="198"/>
      <c r="T2332" s="198"/>
      <c r="U2332" s="198"/>
      <c r="V2332" s="198"/>
      <c r="W2332" s="198"/>
      <c r="X2332" s="198"/>
      <c r="Y2332" s="198"/>
      <c r="Z2332" s="198"/>
    </row>
    <row r="2333" spans="1:26" ht="15.75" hidden="1" customHeight="1" x14ac:dyDescent="0.25">
      <c r="A2333" s="213">
        <v>4334</v>
      </c>
      <c r="B2333" s="214" t="s">
        <v>10829</v>
      </c>
      <c r="C2333" s="215" t="s">
        <v>580</v>
      </c>
      <c r="D2333" s="216">
        <v>17.02</v>
      </c>
      <c r="E2333" s="198"/>
      <c r="F2333" s="198"/>
      <c r="G2333" s="198"/>
      <c r="H2333" s="198"/>
      <c r="I2333" s="198"/>
      <c r="J2333" s="198"/>
      <c r="K2333" s="198"/>
      <c r="L2333" s="198"/>
      <c r="M2333" s="198"/>
      <c r="N2333" s="198"/>
      <c r="O2333" s="198"/>
      <c r="P2333" s="198"/>
      <c r="Q2333" s="198"/>
      <c r="R2333" s="198"/>
      <c r="S2333" s="198"/>
      <c r="T2333" s="198"/>
      <c r="U2333" s="198"/>
      <c r="V2333" s="198"/>
      <c r="W2333" s="198"/>
      <c r="X2333" s="198"/>
      <c r="Y2333" s="198"/>
      <c r="Z2333" s="198"/>
    </row>
    <row r="2334" spans="1:26" ht="15.75" hidden="1" customHeight="1" x14ac:dyDescent="0.25">
      <c r="A2334" s="213">
        <v>11953</v>
      </c>
      <c r="B2334" s="214" t="s">
        <v>10830</v>
      </c>
      <c r="C2334" s="215" t="s">
        <v>580</v>
      </c>
      <c r="D2334" s="216">
        <v>2.93</v>
      </c>
      <c r="E2334" s="198"/>
      <c r="F2334" s="198"/>
      <c r="G2334" s="198"/>
      <c r="H2334" s="198"/>
      <c r="I2334" s="198"/>
      <c r="J2334" s="198"/>
      <c r="K2334" s="198"/>
      <c r="L2334" s="198"/>
      <c r="M2334" s="198"/>
      <c r="N2334" s="198"/>
      <c r="O2334" s="198"/>
      <c r="P2334" s="198"/>
      <c r="Q2334" s="198"/>
      <c r="R2334" s="198"/>
      <c r="S2334" s="198"/>
      <c r="T2334" s="198"/>
      <c r="U2334" s="198"/>
      <c r="V2334" s="198"/>
      <c r="W2334" s="198"/>
      <c r="X2334" s="198"/>
      <c r="Y2334" s="198"/>
      <c r="Z2334" s="198"/>
    </row>
    <row r="2335" spans="1:26" ht="15.75" hidden="1" customHeight="1" x14ac:dyDescent="0.25">
      <c r="A2335" s="213">
        <v>4343</v>
      </c>
      <c r="B2335" s="214" t="s">
        <v>10831</v>
      </c>
      <c r="C2335" s="215" t="s">
        <v>580</v>
      </c>
      <c r="D2335" s="216">
        <v>4.18</v>
      </c>
      <c r="E2335" s="198"/>
      <c r="F2335" s="198"/>
      <c r="G2335" s="198"/>
      <c r="H2335" s="198"/>
      <c r="I2335" s="198"/>
      <c r="J2335" s="198"/>
      <c r="K2335" s="198"/>
      <c r="L2335" s="198"/>
      <c r="M2335" s="198"/>
      <c r="N2335" s="198"/>
      <c r="O2335" s="198"/>
      <c r="P2335" s="198"/>
      <c r="Q2335" s="198"/>
      <c r="R2335" s="198"/>
      <c r="S2335" s="198"/>
      <c r="T2335" s="198"/>
      <c r="U2335" s="198"/>
      <c r="V2335" s="198"/>
      <c r="W2335" s="198"/>
      <c r="X2335" s="198"/>
      <c r="Y2335" s="198"/>
      <c r="Z2335" s="198"/>
    </row>
    <row r="2336" spans="1:26" ht="15.75" hidden="1" customHeight="1" x14ac:dyDescent="0.25">
      <c r="A2336" s="213">
        <v>4351</v>
      </c>
      <c r="B2336" s="214" t="s">
        <v>10832</v>
      </c>
      <c r="C2336" s="215" t="s">
        <v>580</v>
      </c>
      <c r="D2336" s="216">
        <v>15.02</v>
      </c>
      <c r="E2336" s="198"/>
      <c r="F2336" s="198"/>
      <c r="G2336" s="198"/>
      <c r="H2336" s="198"/>
      <c r="I2336" s="198"/>
      <c r="J2336" s="198"/>
      <c r="K2336" s="198"/>
      <c r="L2336" s="198"/>
      <c r="M2336" s="198"/>
      <c r="N2336" s="198"/>
      <c r="O2336" s="198"/>
      <c r="P2336" s="198"/>
      <c r="Q2336" s="198"/>
      <c r="R2336" s="198"/>
      <c r="S2336" s="198"/>
      <c r="T2336" s="198"/>
      <c r="U2336" s="198"/>
      <c r="V2336" s="198"/>
      <c r="W2336" s="198"/>
      <c r="X2336" s="198"/>
      <c r="Y2336" s="198"/>
      <c r="Z2336" s="198"/>
    </row>
    <row r="2337" spans="1:26" ht="15.75" hidden="1" customHeight="1" x14ac:dyDescent="0.25">
      <c r="A2337" s="213">
        <v>4384</v>
      </c>
      <c r="B2337" s="214" t="s">
        <v>10833</v>
      </c>
      <c r="C2337" s="215" t="s">
        <v>580</v>
      </c>
      <c r="D2337" s="216">
        <v>20.260000000000002</v>
      </c>
      <c r="E2337" s="198"/>
      <c r="F2337" s="198"/>
      <c r="G2337" s="198"/>
      <c r="H2337" s="198"/>
      <c r="I2337" s="198"/>
      <c r="J2337" s="198"/>
      <c r="K2337" s="198"/>
      <c r="L2337" s="198"/>
      <c r="M2337" s="198"/>
      <c r="N2337" s="198"/>
      <c r="O2337" s="198"/>
      <c r="P2337" s="198"/>
      <c r="Q2337" s="198"/>
      <c r="R2337" s="198"/>
      <c r="S2337" s="198"/>
      <c r="T2337" s="198"/>
      <c r="U2337" s="198"/>
      <c r="V2337" s="198"/>
      <c r="W2337" s="198"/>
      <c r="X2337" s="198"/>
      <c r="Y2337" s="198"/>
      <c r="Z2337" s="198"/>
    </row>
    <row r="2338" spans="1:26" ht="15.75" hidden="1" customHeight="1" x14ac:dyDescent="0.25">
      <c r="A2338" s="213">
        <v>11054</v>
      </c>
      <c r="B2338" s="214" t="s">
        <v>10834</v>
      </c>
      <c r="C2338" s="215" t="s">
        <v>580</v>
      </c>
      <c r="D2338" s="216">
        <v>0.03</v>
      </c>
      <c r="E2338" s="198"/>
      <c r="F2338" s="198"/>
      <c r="G2338" s="198"/>
      <c r="H2338" s="198"/>
      <c r="I2338" s="198"/>
      <c r="J2338" s="198"/>
      <c r="K2338" s="198"/>
      <c r="L2338" s="198"/>
      <c r="M2338" s="198"/>
      <c r="N2338" s="198"/>
      <c r="O2338" s="198"/>
      <c r="P2338" s="198"/>
      <c r="Q2338" s="198"/>
      <c r="R2338" s="198"/>
      <c r="S2338" s="198"/>
      <c r="T2338" s="198"/>
      <c r="U2338" s="198"/>
      <c r="V2338" s="198"/>
      <c r="W2338" s="198"/>
      <c r="X2338" s="198"/>
      <c r="Y2338" s="198"/>
      <c r="Z2338" s="198"/>
    </row>
    <row r="2339" spans="1:26" ht="15.75" hidden="1" customHeight="1" x14ac:dyDescent="0.25">
      <c r="A2339" s="213">
        <v>11055</v>
      </c>
      <c r="B2339" s="214" t="s">
        <v>10835</v>
      </c>
      <c r="C2339" s="215" t="s">
        <v>580</v>
      </c>
      <c r="D2339" s="216">
        <v>0.05</v>
      </c>
      <c r="E2339" s="198"/>
      <c r="F2339" s="198"/>
      <c r="G2339" s="198"/>
      <c r="H2339" s="198"/>
      <c r="I2339" s="198"/>
      <c r="J2339" s="198"/>
      <c r="K2339" s="198"/>
      <c r="L2339" s="198"/>
      <c r="M2339" s="198"/>
      <c r="N2339" s="198"/>
      <c r="O2339" s="198"/>
      <c r="P2339" s="198"/>
      <c r="Q2339" s="198"/>
      <c r="R2339" s="198"/>
      <c r="S2339" s="198"/>
      <c r="T2339" s="198"/>
      <c r="U2339" s="198"/>
      <c r="V2339" s="198"/>
      <c r="W2339" s="198"/>
      <c r="X2339" s="198"/>
      <c r="Y2339" s="198"/>
      <c r="Z2339" s="198"/>
    </row>
    <row r="2340" spans="1:26" ht="15.75" hidden="1" customHeight="1" x14ac:dyDescent="0.25">
      <c r="A2340" s="213">
        <v>11056</v>
      </c>
      <c r="B2340" s="214" t="s">
        <v>10836</v>
      </c>
      <c r="C2340" s="215" t="s">
        <v>580</v>
      </c>
      <c r="D2340" s="216">
        <v>0.06</v>
      </c>
      <c r="E2340" s="198"/>
      <c r="F2340" s="198"/>
      <c r="G2340" s="198"/>
      <c r="H2340" s="198"/>
      <c r="I2340" s="198"/>
      <c r="J2340" s="198"/>
      <c r="K2340" s="198"/>
      <c r="L2340" s="198"/>
      <c r="M2340" s="198"/>
      <c r="N2340" s="198"/>
      <c r="O2340" s="198"/>
      <c r="P2340" s="198"/>
      <c r="Q2340" s="198"/>
      <c r="R2340" s="198"/>
      <c r="S2340" s="198"/>
      <c r="T2340" s="198"/>
      <c r="U2340" s="198"/>
      <c r="V2340" s="198"/>
      <c r="W2340" s="198"/>
      <c r="X2340" s="198"/>
      <c r="Y2340" s="198"/>
      <c r="Z2340" s="198"/>
    </row>
    <row r="2341" spans="1:26" ht="15.75" hidden="1" customHeight="1" x14ac:dyDescent="0.25">
      <c r="A2341" s="213">
        <v>11057</v>
      </c>
      <c r="B2341" s="214" t="s">
        <v>10837</v>
      </c>
      <c r="C2341" s="215" t="s">
        <v>580</v>
      </c>
      <c r="D2341" s="216">
        <v>0.12</v>
      </c>
      <c r="E2341" s="198"/>
      <c r="F2341" s="198"/>
      <c r="G2341" s="198"/>
      <c r="H2341" s="198"/>
      <c r="I2341" s="198"/>
      <c r="J2341" s="198"/>
      <c r="K2341" s="198"/>
      <c r="L2341" s="198"/>
      <c r="M2341" s="198"/>
      <c r="N2341" s="198"/>
      <c r="O2341" s="198"/>
      <c r="P2341" s="198"/>
      <c r="Q2341" s="198"/>
      <c r="R2341" s="198"/>
      <c r="S2341" s="198"/>
      <c r="T2341" s="198"/>
      <c r="U2341" s="198"/>
      <c r="V2341" s="198"/>
      <c r="W2341" s="198"/>
      <c r="X2341" s="198"/>
      <c r="Y2341" s="198"/>
      <c r="Z2341" s="198"/>
    </row>
    <row r="2342" spans="1:26" ht="15.75" hidden="1" customHeight="1" x14ac:dyDescent="0.25">
      <c r="A2342" s="213">
        <v>11059</v>
      </c>
      <c r="B2342" s="214" t="s">
        <v>10838</v>
      </c>
      <c r="C2342" s="215" t="s">
        <v>580</v>
      </c>
      <c r="D2342" s="216">
        <v>0.24</v>
      </c>
      <c r="E2342" s="198"/>
      <c r="F2342" s="198"/>
      <c r="G2342" s="198"/>
      <c r="H2342" s="198"/>
      <c r="I2342" s="198"/>
      <c r="J2342" s="198"/>
      <c r="K2342" s="198"/>
      <c r="L2342" s="198"/>
      <c r="M2342" s="198"/>
      <c r="N2342" s="198"/>
      <c r="O2342" s="198"/>
      <c r="P2342" s="198"/>
      <c r="Q2342" s="198"/>
      <c r="R2342" s="198"/>
      <c r="S2342" s="198"/>
      <c r="T2342" s="198"/>
      <c r="U2342" s="198"/>
      <c r="V2342" s="198"/>
      <c r="W2342" s="198"/>
      <c r="X2342" s="198"/>
      <c r="Y2342" s="198"/>
      <c r="Z2342" s="198"/>
    </row>
    <row r="2343" spans="1:26" ht="15.75" hidden="1" customHeight="1" x14ac:dyDescent="0.25">
      <c r="A2343" s="213">
        <v>11058</v>
      </c>
      <c r="B2343" s="214" t="s">
        <v>10839</v>
      </c>
      <c r="C2343" s="215" t="s">
        <v>580</v>
      </c>
      <c r="D2343" s="216">
        <v>0.31</v>
      </c>
      <c r="E2343" s="198"/>
      <c r="F2343" s="198"/>
      <c r="G2343" s="198"/>
      <c r="H2343" s="198"/>
      <c r="I2343" s="198"/>
      <c r="J2343" s="198"/>
      <c r="K2343" s="198"/>
      <c r="L2343" s="198"/>
      <c r="M2343" s="198"/>
      <c r="N2343" s="198"/>
      <c r="O2343" s="198"/>
      <c r="P2343" s="198"/>
      <c r="Q2343" s="198"/>
      <c r="R2343" s="198"/>
      <c r="S2343" s="198"/>
      <c r="T2343" s="198"/>
      <c r="U2343" s="198"/>
      <c r="V2343" s="198"/>
      <c r="W2343" s="198"/>
      <c r="X2343" s="198"/>
      <c r="Y2343" s="198"/>
      <c r="Z2343" s="198"/>
    </row>
    <row r="2344" spans="1:26" ht="15.75" hidden="1" customHeight="1" x14ac:dyDescent="0.25">
      <c r="A2344" s="213">
        <v>4320</v>
      </c>
      <c r="B2344" s="214" t="s">
        <v>10840</v>
      </c>
      <c r="C2344" s="215" t="s">
        <v>580</v>
      </c>
      <c r="D2344" s="216">
        <v>2.52</v>
      </c>
      <c r="E2344" s="198"/>
      <c r="F2344" s="198"/>
      <c r="G2344" s="198"/>
      <c r="H2344" s="198"/>
      <c r="I2344" s="198"/>
      <c r="J2344" s="198"/>
      <c r="K2344" s="198"/>
      <c r="L2344" s="198"/>
      <c r="M2344" s="198"/>
      <c r="N2344" s="198"/>
      <c r="O2344" s="198"/>
      <c r="P2344" s="198"/>
      <c r="Q2344" s="198"/>
      <c r="R2344" s="198"/>
      <c r="S2344" s="198"/>
      <c r="T2344" s="198"/>
      <c r="U2344" s="198"/>
      <c r="V2344" s="198"/>
      <c r="W2344" s="198"/>
      <c r="X2344" s="198"/>
      <c r="Y2344" s="198"/>
      <c r="Z2344" s="198"/>
    </row>
    <row r="2345" spans="1:26" ht="15.75" hidden="1" customHeight="1" x14ac:dyDescent="0.25">
      <c r="A2345" s="213">
        <v>4318</v>
      </c>
      <c r="B2345" s="214" t="s">
        <v>10841</v>
      </c>
      <c r="C2345" s="215" t="s">
        <v>580</v>
      </c>
      <c r="D2345" s="216">
        <v>1.23</v>
      </c>
      <c r="E2345" s="198"/>
      <c r="F2345" s="198"/>
      <c r="G2345" s="198"/>
      <c r="H2345" s="198"/>
      <c r="I2345" s="198"/>
      <c r="J2345" s="198"/>
      <c r="K2345" s="198"/>
      <c r="L2345" s="198"/>
      <c r="M2345" s="198"/>
      <c r="N2345" s="198"/>
      <c r="O2345" s="198"/>
      <c r="P2345" s="198"/>
      <c r="Q2345" s="198"/>
      <c r="R2345" s="198"/>
      <c r="S2345" s="198"/>
      <c r="T2345" s="198"/>
      <c r="U2345" s="198"/>
      <c r="V2345" s="198"/>
      <c r="W2345" s="198"/>
      <c r="X2345" s="198"/>
      <c r="Y2345" s="198"/>
      <c r="Z2345" s="198"/>
    </row>
    <row r="2346" spans="1:26" ht="15.75" hidden="1" customHeight="1" x14ac:dyDescent="0.25">
      <c r="A2346" s="213">
        <v>4380</v>
      </c>
      <c r="B2346" s="214" t="s">
        <v>10842</v>
      </c>
      <c r="C2346" s="215" t="s">
        <v>580</v>
      </c>
      <c r="D2346" s="216">
        <v>1.06</v>
      </c>
      <c r="E2346" s="198"/>
      <c r="F2346" s="198"/>
      <c r="G2346" s="198"/>
      <c r="H2346" s="198"/>
      <c r="I2346" s="198"/>
      <c r="J2346" s="198"/>
      <c r="K2346" s="198"/>
      <c r="L2346" s="198"/>
      <c r="M2346" s="198"/>
      <c r="N2346" s="198"/>
      <c r="O2346" s="198"/>
      <c r="P2346" s="198"/>
      <c r="Q2346" s="198"/>
      <c r="R2346" s="198"/>
      <c r="S2346" s="198"/>
      <c r="T2346" s="198"/>
      <c r="U2346" s="198"/>
      <c r="V2346" s="198"/>
      <c r="W2346" s="198"/>
      <c r="X2346" s="198"/>
      <c r="Y2346" s="198"/>
      <c r="Z2346" s="198"/>
    </row>
    <row r="2347" spans="1:26" ht="15.75" hidden="1" customHeight="1" x14ac:dyDescent="0.25">
      <c r="A2347" s="213">
        <v>4299</v>
      </c>
      <c r="B2347" s="214" t="s">
        <v>10843</v>
      </c>
      <c r="C2347" s="215" t="s">
        <v>580</v>
      </c>
      <c r="D2347" s="216">
        <v>1</v>
      </c>
      <c r="E2347" s="198"/>
      <c r="F2347" s="198"/>
      <c r="G2347" s="198"/>
      <c r="H2347" s="198"/>
      <c r="I2347" s="198"/>
      <c r="J2347" s="198"/>
      <c r="K2347" s="198"/>
      <c r="L2347" s="198"/>
      <c r="M2347" s="198"/>
      <c r="N2347" s="198"/>
      <c r="O2347" s="198"/>
      <c r="P2347" s="198"/>
      <c r="Q2347" s="198"/>
      <c r="R2347" s="198"/>
      <c r="S2347" s="198"/>
      <c r="T2347" s="198"/>
      <c r="U2347" s="198"/>
      <c r="V2347" s="198"/>
      <c r="W2347" s="198"/>
      <c r="X2347" s="198"/>
      <c r="Y2347" s="198"/>
      <c r="Z2347" s="198"/>
    </row>
    <row r="2348" spans="1:26" ht="15.75" hidden="1" customHeight="1" x14ac:dyDescent="0.25">
      <c r="A2348" s="213">
        <v>4304</v>
      </c>
      <c r="B2348" s="214" t="s">
        <v>10844</v>
      </c>
      <c r="C2348" s="215" t="s">
        <v>580</v>
      </c>
      <c r="D2348" s="216">
        <v>1.36</v>
      </c>
      <c r="E2348" s="198"/>
      <c r="F2348" s="198"/>
      <c r="G2348" s="198"/>
      <c r="H2348" s="198"/>
      <c r="I2348" s="198"/>
      <c r="J2348" s="198"/>
      <c r="K2348" s="198"/>
      <c r="L2348" s="198"/>
      <c r="M2348" s="198"/>
      <c r="N2348" s="198"/>
      <c r="O2348" s="198"/>
      <c r="P2348" s="198"/>
      <c r="Q2348" s="198"/>
      <c r="R2348" s="198"/>
      <c r="S2348" s="198"/>
      <c r="T2348" s="198"/>
      <c r="U2348" s="198"/>
      <c r="V2348" s="198"/>
      <c r="W2348" s="198"/>
      <c r="X2348" s="198"/>
      <c r="Y2348" s="198"/>
      <c r="Z2348" s="198"/>
    </row>
    <row r="2349" spans="1:26" ht="15.75" hidden="1" customHeight="1" x14ac:dyDescent="0.25">
      <c r="A2349" s="213">
        <v>4305</v>
      </c>
      <c r="B2349" s="214" t="s">
        <v>10845</v>
      </c>
      <c r="C2349" s="215" t="s">
        <v>580</v>
      </c>
      <c r="D2349" s="216">
        <v>1.58</v>
      </c>
      <c r="E2349" s="198"/>
      <c r="F2349" s="198"/>
      <c r="G2349" s="198"/>
      <c r="H2349" s="198"/>
      <c r="I2349" s="198"/>
      <c r="J2349" s="198"/>
      <c r="K2349" s="198"/>
      <c r="L2349" s="198"/>
      <c r="M2349" s="198"/>
      <c r="N2349" s="198"/>
      <c r="O2349" s="198"/>
      <c r="P2349" s="198"/>
      <c r="Q2349" s="198"/>
      <c r="R2349" s="198"/>
      <c r="S2349" s="198"/>
      <c r="T2349" s="198"/>
      <c r="U2349" s="198"/>
      <c r="V2349" s="198"/>
      <c r="W2349" s="198"/>
      <c r="X2349" s="198"/>
      <c r="Y2349" s="198"/>
      <c r="Z2349" s="198"/>
    </row>
    <row r="2350" spans="1:26" ht="15.75" hidden="1" customHeight="1" x14ac:dyDescent="0.25">
      <c r="A2350" s="213">
        <v>4306</v>
      </c>
      <c r="B2350" s="214" t="s">
        <v>10846</v>
      </c>
      <c r="C2350" s="215" t="s">
        <v>580</v>
      </c>
      <c r="D2350" s="216">
        <v>1.84</v>
      </c>
      <c r="E2350" s="198"/>
      <c r="F2350" s="198"/>
      <c r="G2350" s="198"/>
      <c r="H2350" s="198"/>
      <c r="I2350" s="198"/>
      <c r="J2350" s="198"/>
      <c r="K2350" s="198"/>
      <c r="L2350" s="198"/>
      <c r="M2350" s="198"/>
      <c r="N2350" s="198"/>
      <c r="O2350" s="198"/>
      <c r="P2350" s="198"/>
      <c r="Q2350" s="198"/>
      <c r="R2350" s="198"/>
      <c r="S2350" s="198"/>
      <c r="T2350" s="198"/>
      <c r="U2350" s="198"/>
      <c r="V2350" s="198"/>
      <c r="W2350" s="198"/>
      <c r="X2350" s="198"/>
      <c r="Y2350" s="198"/>
      <c r="Z2350" s="198"/>
    </row>
    <row r="2351" spans="1:26" ht="15.75" hidden="1" customHeight="1" x14ac:dyDescent="0.25">
      <c r="A2351" s="213">
        <v>4308</v>
      </c>
      <c r="B2351" s="214" t="s">
        <v>10847</v>
      </c>
      <c r="C2351" s="215" t="s">
        <v>580</v>
      </c>
      <c r="D2351" s="216">
        <v>3.8</v>
      </c>
      <c r="E2351" s="198"/>
      <c r="F2351" s="198"/>
      <c r="G2351" s="198"/>
      <c r="H2351" s="198"/>
      <c r="I2351" s="198"/>
      <c r="J2351" s="198"/>
      <c r="K2351" s="198"/>
      <c r="L2351" s="198"/>
      <c r="M2351" s="198"/>
      <c r="N2351" s="198"/>
      <c r="O2351" s="198"/>
      <c r="P2351" s="198"/>
      <c r="Q2351" s="198"/>
      <c r="R2351" s="198"/>
      <c r="S2351" s="198"/>
      <c r="T2351" s="198"/>
      <c r="U2351" s="198"/>
      <c r="V2351" s="198"/>
      <c r="W2351" s="198"/>
      <c r="X2351" s="198"/>
      <c r="Y2351" s="198"/>
      <c r="Z2351" s="198"/>
    </row>
    <row r="2352" spans="1:26" ht="15.75" hidden="1" customHeight="1" x14ac:dyDescent="0.25">
      <c r="A2352" s="213">
        <v>4302</v>
      </c>
      <c r="B2352" s="214" t="s">
        <v>10848</v>
      </c>
      <c r="C2352" s="215" t="s">
        <v>580</v>
      </c>
      <c r="D2352" s="216">
        <v>2.85</v>
      </c>
      <c r="E2352" s="198"/>
      <c r="F2352" s="198"/>
      <c r="G2352" s="198"/>
      <c r="H2352" s="198"/>
      <c r="I2352" s="198"/>
      <c r="J2352" s="198"/>
      <c r="K2352" s="198"/>
      <c r="L2352" s="198"/>
      <c r="M2352" s="198"/>
      <c r="N2352" s="198"/>
      <c r="O2352" s="198"/>
      <c r="P2352" s="198"/>
      <c r="Q2352" s="198"/>
      <c r="R2352" s="198"/>
      <c r="S2352" s="198"/>
      <c r="T2352" s="198"/>
      <c r="U2352" s="198"/>
      <c r="V2352" s="198"/>
      <c r="W2352" s="198"/>
      <c r="X2352" s="198"/>
      <c r="Y2352" s="198"/>
      <c r="Z2352" s="198"/>
    </row>
    <row r="2353" spans="1:26" ht="15.75" hidden="1" customHeight="1" x14ac:dyDescent="0.25">
      <c r="A2353" s="213">
        <v>4300</v>
      </c>
      <c r="B2353" s="214" t="s">
        <v>10849</v>
      </c>
      <c r="C2353" s="215" t="s">
        <v>580</v>
      </c>
      <c r="D2353" s="216">
        <v>0.68</v>
      </c>
      <c r="E2353" s="198"/>
      <c r="F2353" s="198"/>
      <c r="G2353" s="198"/>
      <c r="H2353" s="198"/>
      <c r="I2353" s="198"/>
      <c r="J2353" s="198"/>
      <c r="K2353" s="198"/>
      <c r="L2353" s="198"/>
      <c r="M2353" s="198"/>
      <c r="N2353" s="198"/>
      <c r="O2353" s="198"/>
      <c r="P2353" s="198"/>
      <c r="Q2353" s="198"/>
      <c r="R2353" s="198"/>
      <c r="S2353" s="198"/>
      <c r="T2353" s="198"/>
      <c r="U2353" s="198"/>
      <c r="V2353" s="198"/>
      <c r="W2353" s="198"/>
      <c r="X2353" s="198"/>
      <c r="Y2353" s="198"/>
      <c r="Z2353" s="198"/>
    </row>
    <row r="2354" spans="1:26" ht="15.75" hidden="1" customHeight="1" x14ac:dyDescent="0.25">
      <c r="A2354" s="213">
        <v>4301</v>
      </c>
      <c r="B2354" s="214" t="s">
        <v>10850</v>
      </c>
      <c r="C2354" s="215" t="s">
        <v>580</v>
      </c>
      <c r="D2354" s="216">
        <v>0.83</v>
      </c>
      <c r="E2354" s="198"/>
      <c r="F2354" s="198"/>
      <c r="G2354" s="198"/>
      <c r="H2354" s="198"/>
      <c r="I2354" s="198"/>
      <c r="J2354" s="198"/>
      <c r="K2354" s="198"/>
      <c r="L2354" s="198"/>
      <c r="M2354" s="198"/>
      <c r="N2354" s="198"/>
      <c r="O2354" s="198"/>
      <c r="P2354" s="198"/>
      <c r="Q2354" s="198"/>
      <c r="R2354" s="198"/>
      <c r="S2354" s="198"/>
      <c r="T2354" s="198"/>
      <c r="U2354" s="198"/>
      <c r="V2354" s="198"/>
      <c r="W2354" s="198"/>
      <c r="X2354" s="198"/>
      <c r="Y2354" s="198"/>
      <c r="Z2354" s="198"/>
    </row>
    <row r="2355" spans="1:26" ht="15.75" hidden="1" customHeight="1" x14ac:dyDescent="0.25">
      <c r="A2355" s="213">
        <v>40547</v>
      </c>
      <c r="B2355" s="214" t="s">
        <v>10851</v>
      </c>
      <c r="C2355" s="215" t="s">
        <v>10852</v>
      </c>
      <c r="D2355" s="216">
        <v>24.62</v>
      </c>
      <c r="E2355" s="198"/>
      <c r="F2355" s="198"/>
      <c r="G2355" s="198"/>
      <c r="H2355" s="198"/>
      <c r="I2355" s="198"/>
      <c r="J2355" s="198"/>
      <c r="K2355" s="198"/>
      <c r="L2355" s="198"/>
      <c r="M2355" s="198"/>
      <c r="N2355" s="198"/>
      <c r="O2355" s="198"/>
      <c r="P2355" s="198"/>
      <c r="Q2355" s="198"/>
      <c r="R2355" s="198"/>
      <c r="S2355" s="198"/>
      <c r="T2355" s="198"/>
      <c r="U2355" s="198"/>
      <c r="V2355" s="198"/>
      <c r="W2355" s="198"/>
      <c r="X2355" s="198"/>
      <c r="Y2355" s="198"/>
      <c r="Z2355" s="198"/>
    </row>
    <row r="2356" spans="1:26" ht="15.75" hidden="1" customHeight="1" x14ac:dyDescent="0.25">
      <c r="A2356" s="213">
        <v>11962</v>
      </c>
      <c r="B2356" s="214" t="s">
        <v>10853</v>
      </c>
      <c r="C2356" s="215" t="s">
        <v>580</v>
      </c>
      <c r="D2356" s="216">
        <v>0.2</v>
      </c>
      <c r="E2356" s="198"/>
      <c r="F2356" s="198"/>
      <c r="G2356" s="198"/>
      <c r="H2356" s="198"/>
      <c r="I2356" s="198"/>
      <c r="J2356" s="198"/>
      <c r="K2356" s="198"/>
      <c r="L2356" s="198"/>
      <c r="M2356" s="198"/>
      <c r="N2356" s="198"/>
      <c r="O2356" s="198"/>
      <c r="P2356" s="198"/>
      <c r="Q2356" s="198"/>
      <c r="R2356" s="198"/>
      <c r="S2356" s="198"/>
      <c r="T2356" s="198"/>
      <c r="U2356" s="198"/>
      <c r="V2356" s="198"/>
      <c r="W2356" s="198"/>
      <c r="X2356" s="198"/>
      <c r="Y2356" s="198"/>
      <c r="Z2356" s="198"/>
    </row>
    <row r="2357" spans="1:26" ht="15.75" hidden="1" customHeight="1" x14ac:dyDescent="0.25">
      <c r="A2357" s="213">
        <v>4332</v>
      </c>
      <c r="B2357" s="214" t="s">
        <v>10854</v>
      </c>
      <c r="C2357" s="215" t="s">
        <v>580</v>
      </c>
      <c r="D2357" s="216">
        <v>0.98</v>
      </c>
      <c r="E2357" s="198"/>
      <c r="F2357" s="198"/>
      <c r="G2357" s="198"/>
      <c r="H2357" s="198"/>
      <c r="I2357" s="198"/>
      <c r="J2357" s="198"/>
      <c r="K2357" s="198"/>
      <c r="L2357" s="198"/>
      <c r="M2357" s="198"/>
      <c r="N2357" s="198"/>
      <c r="O2357" s="198"/>
      <c r="P2357" s="198"/>
      <c r="Q2357" s="198"/>
      <c r="R2357" s="198"/>
      <c r="S2357" s="198"/>
      <c r="T2357" s="198"/>
      <c r="U2357" s="198"/>
      <c r="V2357" s="198"/>
      <c r="W2357" s="198"/>
      <c r="X2357" s="198"/>
      <c r="Y2357" s="198"/>
      <c r="Z2357" s="198"/>
    </row>
    <row r="2358" spans="1:26" ht="15.75" hidden="1" customHeight="1" x14ac:dyDescent="0.25">
      <c r="A2358" s="213">
        <v>4331</v>
      </c>
      <c r="B2358" s="214" t="s">
        <v>10855</v>
      </c>
      <c r="C2358" s="215" t="s">
        <v>580</v>
      </c>
      <c r="D2358" s="216">
        <v>3.69</v>
      </c>
      <c r="E2358" s="198"/>
      <c r="F2358" s="198"/>
      <c r="G2358" s="198"/>
      <c r="H2358" s="198"/>
      <c r="I2358" s="198"/>
      <c r="J2358" s="198"/>
      <c r="K2358" s="198"/>
      <c r="L2358" s="198"/>
      <c r="M2358" s="198"/>
      <c r="N2358" s="198"/>
      <c r="O2358" s="198"/>
      <c r="P2358" s="198"/>
      <c r="Q2358" s="198"/>
      <c r="R2358" s="198"/>
      <c r="S2358" s="198"/>
      <c r="T2358" s="198"/>
      <c r="U2358" s="198"/>
      <c r="V2358" s="198"/>
      <c r="W2358" s="198"/>
      <c r="X2358" s="198"/>
      <c r="Y2358" s="198"/>
      <c r="Z2358" s="198"/>
    </row>
    <row r="2359" spans="1:26" ht="15.75" hidden="1" customHeight="1" x14ac:dyDescent="0.25">
      <c r="A2359" s="213">
        <v>4336</v>
      </c>
      <c r="B2359" s="214" t="s">
        <v>10856</v>
      </c>
      <c r="C2359" s="215" t="s">
        <v>580</v>
      </c>
      <c r="D2359" s="216">
        <v>4.7300000000000004</v>
      </c>
      <c r="E2359" s="198"/>
      <c r="F2359" s="198"/>
      <c r="G2359" s="198"/>
      <c r="H2359" s="198"/>
      <c r="I2359" s="198"/>
      <c r="J2359" s="198"/>
      <c r="K2359" s="198"/>
      <c r="L2359" s="198"/>
      <c r="M2359" s="198"/>
      <c r="N2359" s="198"/>
      <c r="O2359" s="198"/>
      <c r="P2359" s="198"/>
      <c r="Q2359" s="198"/>
      <c r="R2359" s="198"/>
      <c r="S2359" s="198"/>
      <c r="T2359" s="198"/>
      <c r="U2359" s="198"/>
      <c r="V2359" s="198"/>
      <c r="W2359" s="198"/>
      <c r="X2359" s="198"/>
      <c r="Y2359" s="198"/>
      <c r="Z2359" s="198"/>
    </row>
    <row r="2360" spans="1:26" ht="15.75" hidden="1" customHeight="1" x14ac:dyDescent="0.25">
      <c r="A2360" s="213">
        <v>11948</v>
      </c>
      <c r="B2360" s="214" t="s">
        <v>10857</v>
      </c>
      <c r="C2360" s="215" t="s">
        <v>580</v>
      </c>
      <c r="D2360" s="216">
        <v>0.61</v>
      </c>
      <c r="E2360" s="198"/>
      <c r="F2360" s="198"/>
      <c r="G2360" s="198"/>
      <c r="H2360" s="198"/>
      <c r="I2360" s="198"/>
      <c r="J2360" s="198"/>
      <c r="K2360" s="198"/>
      <c r="L2360" s="198"/>
      <c r="M2360" s="198"/>
      <c r="N2360" s="198"/>
      <c r="O2360" s="198"/>
      <c r="P2360" s="198"/>
      <c r="Q2360" s="198"/>
      <c r="R2360" s="198"/>
      <c r="S2360" s="198"/>
      <c r="T2360" s="198"/>
      <c r="U2360" s="198"/>
      <c r="V2360" s="198"/>
      <c r="W2360" s="198"/>
      <c r="X2360" s="198"/>
      <c r="Y2360" s="198"/>
      <c r="Z2360" s="198"/>
    </row>
    <row r="2361" spans="1:26" ht="15.75" hidden="1" customHeight="1" x14ac:dyDescent="0.25">
      <c r="A2361" s="213">
        <v>4382</v>
      </c>
      <c r="B2361" s="214" t="s">
        <v>10858</v>
      </c>
      <c r="C2361" s="215" t="s">
        <v>580</v>
      </c>
      <c r="D2361" s="216">
        <v>1.01</v>
      </c>
      <c r="E2361" s="198"/>
      <c r="F2361" s="198"/>
      <c r="G2361" s="198"/>
      <c r="H2361" s="198"/>
      <c r="I2361" s="198"/>
      <c r="J2361" s="198"/>
      <c r="K2361" s="198"/>
      <c r="L2361" s="198"/>
      <c r="M2361" s="198"/>
      <c r="N2361" s="198"/>
      <c r="O2361" s="198"/>
      <c r="P2361" s="198"/>
      <c r="Q2361" s="198"/>
      <c r="R2361" s="198"/>
      <c r="S2361" s="198"/>
      <c r="T2361" s="198"/>
      <c r="U2361" s="198"/>
      <c r="V2361" s="198"/>
      <c r="W2361" s="198"/>
      <c r="X2361" s="198"/>
      <c r="Y2361" s="198"/>
      <c r="Z2361" s="198"/>
    </row>
    <row r="2362" spans="1:26" ht="15.75" hidden="1" customHeight="1" x14ac:dyDescent="0.25">
      <c r="A2362" s="213">
        <v>4354</v>
      </c>
      <c r="B2362" s="214" t="s">
        <v>10859</v>
      </c>
      <c r="C2362" s="215" t="s">
        <v>580</v>
      </c>
      <c r="D2362" s="216">
        <v>42.39</v>
      </c>
      <c r="E2362" s="198"/>
      <c r="F2362" s="198"/>
      <c r="G2362" s="198"/>
      <c r="H2362" s="198"/>
      <c r="I2362" s="198"/>
      <c r="J2362" s="198"/>
      <c r="K2362" s="198"/>
      <c r="L2362" s="198"/>
      <c r="M2362" s="198"/>
      <c r="N2362" s="198"/>
      <c r="O2362" s="198"/>
      <c r="P2362" s="198"/>
      <c r="Q2362" s="198"/>
      <c r="R2362" s="198"/>
      <c r="S2362" s="198"/>
      <c r="T2362" s="198"/>
      <c r="U2362" s="198"/>
      <c r="V2362" s="198"/>
      <c r="W2362" s="198"/>
      <c r="X2362" s="198"/>
      <c r="Y2362" s="198"/>
      <c r="Z2362" s="198"/>
    </row>
    <row r="2363" spans="1:26" ht="15.75" hidden="1" customHeight="1" x14ac:dyDescent="0.25">
      <c r="A2363" s="213">
        <v>40839</v>
      </c>
      <c r="B2363" s="214" t="s">
        <v>10860</v>
      </c>
      <c r="C2363" s="215" t="s">
        <v>10852</v>
      </c>
      <c r="D2363" s="216">
        <v>102</v>
      </c>
      <c r="E2363" s="198"/>
      <c r="F2363" s="198"/>
      <c r="G2363" s="198"/>
      <c r="H2363" s="198"/>
      <c r="I2363" s="198"/>
      <c r="J2363" s="198"/>
      <c r="K2363" s="198"/>
      <c r="L2363" s="198"/>
      <c r="M2363" s="198"/>
      <c r="N2363" s="198"/>
      <c r="O2363" s="198"/>
      <c r="P2363" s="198"/>
      <c r="Q2363" s="198"/>
      <c r="R2363" s="198"/>
      <c r="S2363" s="198"/>
      <c r="T2363" s="198"/>
      <c r="U2363" s="198"/>
      <c r="V2363" s="198"/>
      <c r="W2363" s="198"/>
      <c r="X2363" s="198"/>
      <c r="Y2363" s="198"/>
      <c r="Z2363" s="198"/>
    </row>
    <row r="2364" spans="1:26" ht="15.75" hidden="1" customHeight="1" x14ac:dyDescent="0.25">
      <c r="A2364" s="213">
        <v>40552</v>
      </c>
      <c r="B2364" s="214" t="s">
        <v>10861</v>
      </c>
      <c r="C2364" s="215" t="s">
        <v>10852</v>
      </c>
      <c r="D2364" s="216">
        <v>42.2</v>
      </c>
      <c r="E2364" s="198"/>
      <c r="F2364" s="198"/>
      <c r="G2364" s="198"/>
      <c r="H2364" s="198"/>
      <c r="I2364" s="198"/>
      <c r="J2364" s="198"/>
      <c r="K2364" s="198"/>
      <c r="L2364" s="198"/>
      <c r="M2364" s="198"/>
      <c r="N2364" s="198"/>
      <c r="O2364" s="198"/>
      <c r="P2364" s="198"/>
      <c r="Q2364" s="198"/>
      <c r="R2364" s="198"/>
      <c r="S2364" s="198"/>
      <c r="T2364" s="198"/>
      <c r="U2364" s="198"/>
      <c r="V2364" s="198"/>
      <c r="W2364" s="198"/>
      <c r="X2364" s="198"/>
      <c r="Y2364" s="198"/>
      <c r="Z2364" s="198"/>
    </row>
    <row r="2365" spans="1:26" ht="15.75" hidden="1" customHeight="1" x14ac:dyDescent="0.25">
      <c r="A2365" s="213">
        <v>40549</v>
      </c>
      <c r="B2365" s="214" t="s">
        <v>10862</v>
      </c>
      <c r="C2365" s="215" t="s">
        <v>10852</v>
      </c>
      <c r="D2365" s="216">
        <v>167.07</v>
      </c>
      <c r="E2365" s="198"/>
      <c r="F2365" s="198"/>
      <c r="G2365" s="198"/>
      <c r="H2365" s="198"/>
      <c r="I2365" s="198"/>
      <c r="J2365" s="198"/>
      <c r="K2365" s="198"/>
      <c r="L2365" s="198"/>
      <c r="M2365" s="198"/>
      <c r="N2365" s="198"/>
      <c r="O2365" s="198"/>
      <c r="P2365" s="198"/>
      <c r="Q2365" s="198"/>
      <c r="R2365" s="198"/>
      <c r="S2365" s="198"/>
      <c r="T2365" s="198"/>
      <c r="U2365" s="198"/>
      <c r="V2365" s="198"/>
      <c r="W2365" s="198"/>
      <c r="X2365" s="198"/>
      <c r="Y2365" s="198"/>
      <c r="Z2365" s="198"/>
    </row>
    <row r="2366" spans="1:26" ht="15.75" hidden="1" customHeight="1" x14ac:dyDescent="0.25">
      <c r="A2366" s="213">
        <v>4385</v>
      </c>
      <c r="B2366" s="214" t="s">
        <v>10863</v>
      </c>
      <c r="C2366" s="215" t="s">
        <v>10864</v>
      </c>
      <c r="D2366" s="216">
        <v>1746.14</v>
      </c>
      <c r="E2366" s="198"/>
      <c r="F2366" s="198"/>
      <c r="G2366" s="198"/>
      <c r="H2366" s="198"/>
      <c r="I2366" s="198"/>
      <c r="J2366" s="198"/>
      <c r="K2366" s="198"/>
      <c r="L2366" s="198"/>
      <c r="M2366" s="198"/>
      <c r="N2366" s="198"/>
      <c r="O2366" s="198"/>
      <c r="P2366" s="198"/>
      <c r="Q2366" s="198"/>
      <c r="R2366" s="198"/>
      <c r="S2366" s="198"/>
      <c r="T2366" s="198"/>
      <c r="U2366" s="198"/>
      <c r="V2366" s="198"/>
      <c r="W2366" s="198"/>
      <c r="X2366" s="198"/>
      <c r="Y2366" s="198"/>
      <c r="Z2366" s="198"/>
    </row>
    <row r="2367" spans="1:26" ht="15.75" hidden="1" customHeight="1" x14ac:dyDescent="0.25">
      <c r="A2367" s="213">
        <v>20078</v>
      </c>
      <c r="B2367" s="214" t="s">
        <v>10865</v>
      </c>
      <c r="C2367" s="215" t="s">
        <v>580</v>
      </c>
      <c r="D2367" s="216">
        <v>30.48</v>
      </c>
      <c r="E2367" s="198"/>
      <c r="F2367" s="198"/>
      <c r="G2367" s="198"/>
      <c r="H2367" s="198"/>
      <c r="I2367" s="198"/>
      <c r="J2367" s="198"/>
      <c r="K2367" s="198"/>
      <c r="L2367" s="198"/>
      <c r="M2367" s="198"/>
      <c r="N2367" s="198"/>
      <c r="O2367" s="198"/>
      <c r="P2367" s="198"/>
      <c r="Q2367" s="198"/>
      <c r="R2367" s="198"/>
      <c r="S2367" s="198"/>
      <c r="T2367" s="198"/>
      <c r="U2367" s="198"/>
      <c r="V2367" s="198"/>
      <c r="W2367" s="198"/>
      <c r="X2367" s="198"/>
      <c r="Y2367" s="198"/>
      <c r="Z2367" s="198"/>
    </row>
    <row r="2368" spans="1:26" ht="15.75" hidden="1" customHeight="1" x14ac:dyDescent="0.25">
      <c r="A2368" s="213">
        <v>118</v>
      </c>
      <c r="B2368" s="214" t="s">
        <v>10866</v>
      </c>
      <c r="C2368" s="215" t="s">
        <v>580</v>
      </c>
      <c r="D2368" s="216">
        <v>64.45</v>
      </c>
      <c r="E2368" s="198"/>
      <c r="F2368" s="198"/>
      <c r="G2368" s="198"/>
      <c r="H2368" s="198"/>
      <c r="I2368" s="198"/>
      <c r="J2368" s="198"/>
      <c r="K2368" s="198"/>
      <c r="L2368" s="198"/>
      <c r="M2368" s="198"/>
      <c r="N2368" s="198"/>
      <c r="O2368" s="198"/>
      <c r="P2368" s="198"/>
      <c r="Q2368" s="198"/>
      <c r="R2368" s="198"/>
      <c r="S2368" s="198"/>
      <c r="T2368" s="198"/>
      <c r="U2368" s="198"/>
      <c r="V2368" s="198"/>
      <c r="W2368" s="198"/>
      <c r="X2368" s="198"/>
      <c r="Y2368" s="198"/>
      <c r="Z2368" s="198"/>
    </row>
    <row r="2369" spans="1:26" ht="15.75" hidden="1" customHeight="1" x14ac:dyDescent="0.25">
      <c r="A2369" s="213">
        <v>4396</v>
      </c>
      <c r="B2369" s="214" t="s">
        <v>10867</v>
      </c>
      <c r="C2369" s="215" t="s">
        <v>578</v>
      </c>
      <c r="D2369" s="216">
        <v>321.27999999999997</v>
      </c>
      <c r="E2369" s="198"/>
      <c r="F2369" s="198"/>
      <c r="G2369" s="198"/>
      <c r="H2369" s="198"/>
      <c r="I2369" s="198"/>
      <c r="J2369" s="198"/>
      <c r="K2369" s="198"/>
      <c r="L2369" s="198"/>
      <c r="M2369" s="198"/>
      <c r="N2369" s="198"/>
      <c r="O2369" s="198"/>
      <c r="P2369" s="198"/>
      <c r="Q2369" s="198"/>
      <c r="R2369" s="198"/>
      <c r="S2369" s="198"/>
      <c r="T2369" s="198"/>
      <c r="U2369" s="198"/>
      <c r="V2369" s="198"/>
      <c r="W2369" s="198"/>
      <c r="X2369" s="198"/>
      <c r="Y2369" s="198"/>
      <c r="Z2369" s="198"/>
    </row>
    <row r="2370" spans="1:26" ht="15.75" hidden="1" customHeight="1" x14ac:dyDescent="0.25">
      <c r="A2370" s="213">
        <v>36881</v>
      </c>
      <c r="B2370" s="214" t="s">
        <v>10868</v>
      </c>
      <c r="C2370" s="215" t="s">
        <v>578</v>
      </c>
      <c r="D2370" s="216">
        <v>234.55</v>
      </c>
      <c r="E2370" s="198"/>
      <c r="F2370" s="198"/>
      <c r="G2370" s="198"/>
      <c r="H2370" s="198"/>
      <c r="I2370" s="198"/>
      <c r="J2370" s="198"/>
      <c r="K2370" s="198"/>
      <c r="L2370" s="198"/>
      <c r="M2370" s="198"/>
      <c r="N2370" s="198"/>
      <c r="O2370" s="198"/>
      <c r="P2370" s="198"/>
      <c r="Q2370" s="198"/>
      <c r="R2370" s="198"/>
      <c r="S2370" s="198"/>
      <c r="T2370" s="198"/>
      <c r="U2370" s="198"/>
      <c r="V2370" s="198"/>
      <c r="W2370" s="198"/>
      <c r="X2370" s="198"/>
      <c r="Y2370" s="198"/>
      <c r="Z2370" s="198"/>
    </row>
    <row r="2371" spans="1:26" ht="15.75" hidden="1" customHeight="1" x14ac:dyDescent="0.25">
      <c r="A2371" s="213">
        <v>4397</v>
      </c>
      <c r="B2371" s="214" t="s">
        <v>10869</v>
      </c>
      <c r="C2371" s="215" t="s">
        <v>578</v>
      </c>
      <c r="D2371" s="216">
        <v>326.63</v>
      </c>
      <c r="E2371" s="198"/>
      <c r="F2371" s="198"/>
      <c r="G2371" s="198"/>
      <c r="H2371" s="198"/>
      <c r="I2371" s="198"/>
      <c r="J2371" s="198"/>
      <c r="K2371" s="198"/>
      <c r="L2371" s="198"/>
      <c r="M2371" s="198"/>
      <c r="N2371" s="198"/>
      <c r="O2371" s="198"/>
      <c r="P2371" s="198"/>
      <c r="Q2371" s="198"/>
      <c r="R2371" s="198"/>
      <c r="S2371" s="198"/>
      <c r="T2371" s="198"/>
      <c r="U2371" s="198"/>
      <c r="V2371" s="198"/>
      <c r="W2371" s="198"/>
      <c r="X2371" s="198"/>
      <c r="Y2371" s="198"/>
      <c r="Z2371" s="198"/>
    </row>
    <row r="2372" spans="1:26" ht="15.75" hidden="1" customHeight="1" x14ac:dyDescent="0.25">
      <c r="A2372" s="213">
        <v>36882</v>
      </c>
      <c r="B2372" s="214" t="s">
        <v>10870</v>
      </c>
      <c r="C2372" s="215" t="s">
        <v>578</v>
      </c>
      <c r="D2372" s="216">
        <v>239.16</v>
      </c>
      <c r="E2372" s="198"/>
      <c r="F2372" s="198"/>
      <c r="G2372" s="198"/>
      <c r="H2372" s="198"/>
      <c r="I2372" s="198"/>
      <c r="J2372" s="198"/>
      <c r="K2372" s="198"/>
      <c r="L2372" s="198"/>
      <c r="M2372" s="198"/>
      <c r="N2372" s="198"/>
      <c r="O2372" s="198"/>
      <c r="P2372" s="198"/>
      <c r="Q2372" s="198"/>
      <c r="R2372" s="198"/>
      <c r="S2372" s="198"/>
      <c r="T2372" s="198"/>
      <c r="U2372" s="198"/>
      <c r="V2372" s="198"/>
      <c r="W2372" s="198"/>
      <c r="X2372" s="198"/>
      <c r="Y2372" s="198"/>
      <c r="Z2372" s="198"/>
    </row>
    <row r="2373" spans="1:26" ht="15.75" hidden="1" customHeight="1" x14ac:dyDescent="0.25">
      <c r="A2373" s="213">
        <v>4751</v>
      </c>
      <c r="B2373" s="214" t="s">
        <v>10871</v>
      </c>
      <c r="C2373" s="215" t="s">
        <v>2193</v>
      </c>
      <c r="D2373" s="216">
        <v>27.06</v>
      </c>
      <c r="E2373" s="198"/>
      <c r="F2373" s="198"/>
      <c r="G2373" s="198"/>
      <c r="H2373" s="198"/>
      <c r="I2373" s="198"/>
      <c r="J2373" s="198"/>
      <c r="K2373" s="198"/>
      <c r="L2373" s="198"/>
      <c r="M2373" s="198"/>
      <c r="N2373" s="198"/>
      <c r="O2373" s="198"/>
      <c r="P2373" s="198"/>
      <c r="Q2373" s="198"/>
      <c r="R2373" s="198"/>
      <c r="S2373" s="198"/>
      <c r="T2373" s="198"/>
      <c r="U2373" s="198"/>
      <c r="V2373" s="198"/>
      <c r="W2373" s="198"/>
      <c r="X2373" s="198"/>
      <c r="Y2373" s="198"/>
      <c r="Z2373" s="198"/>
    </row>
    <row r="2374" spans="1:26" ht="15.75" hidden="1" customHeight="1" x14ac:dyDescent="0.25">
      <c r="A2374" s="213">
        <v>41066</v>
      </c>
      <c r="B2374" s="214" t="s">
        <v>10872</v>
      </c>
      <c r="C2374" s="215" t="s">
        <v>6214</v>
      </c>
      <c r="D2374" s="216">
        <v>4747.54</v>
      </c>
      <c r="E2374" s="198"/>
      <c r="F2374" s="198"/>
      <c r="G2374" s="198"/>
      <c r="H2374" s="198"/>
      <c r="I2374" s="198"/>
      <c r="J2374" s="198"/>
      <c r="K2374" s="198"/>
      <c r="L2374" s="198"/>
      <c r="M2374" s="198"/>
      <c r="N2374" s="198"/>
      <c r="O2374" s="198"/>
      <c r="P2374" s="198"/>
      <c r="Q2374" s="198"/>
      <c r="R2374" s="198"/>
      <c r="S2374" s="198"/>
      <c r="T2374" s="198"/>
      <c r="U2374" s="198"/>
      <c r="V2374" s="198"/>
      <c r="W2374" s="198"/>
      <c r="X2374" s="198"/>
      <c r="Y2374" s="198"/>
      <c r="Z2374" s="198"/>
    </row>
    <row r="2375" spans="1:26" ht="15.75" hidden="1" customHeight="1" x14ac:dyDescent="0.25">
      <c r="A2375" s="213">
        <v>39604</v>
      </c>
      <c r="B2375" s="214" t="s">
        <v>10873</v>
      </c>
      <c r="C2375" s="215" t="s">
        <v>580</v>
      </c>
      <c r="D2375" s="216">
        <v>16.97</v>
      </c>
      <c r="E2375" s="198"/>
      <c r="F2375" s="198"/>
      <c r="G2375" s="198"/>
      <c r="H2375" s="198"/>
      <c r="I2375" s="198"/>
      <c r="J2375" s="198"/>
      <c r="K2375" s="198"/>
      <c r="L2375" s="198"/>
      <c r="M2375" s="198"/>
      <c r="N2375" s="198"/>
      <c r="O2375" s="198"/>
      <c r="P2375" s="198"/>
      <c r="Q2375" s="198"/>
      <c r="R2375" s="198"/>
      <c r="S2375" s="198"/>
      <c r="T2375" s="198"/>
      <c r="U2375" s="198"/>
      <c r="V2375" s="198"/>
      <c r="W2375" s="198"/>
      <c r="X2375" s="198"/>
      <c r="Y2375" s="198"/>
      <c r="Z2375" s="198"/>
    </row>
    <row r="2376" spans="1:26" ht="15.75" hidden="1" customHeight="1" x14ac:dyDescent="0.25">
      <c r="A2376" s="213">
        <v>39605</v>
      </c>
      <c r="B2376" s="214" t="s">
        <v>10874</v>
      </c>
      <c r="C2376" s="215" t="s">
        <v>580</v>
      </c>
      <c r="D2376" s="216">
        <v>18.440000000000001</v>
      </c>
      <c r="E2376" s="198"/>
      <c r="F2376" s="198"/>
      <c r="G2376" s="198"/>
      <c r="H2376" s="198"/>
      <c r="I2376" s="198"/>
      <c r="J2376" s="198"/>
      <c r="K2376" s="198"/>
      <c r="L2376" s="198"/>
      <c r="M2376" s="198"/>
      <c r="N2376" s="198"/>
      <c r="O2376" s="198"/>
      <c r="P2376" s="198"/>
      <c r="Q2376" s="198"/>
      <c r="R2376" s="198"/>
      <c r="S2376" s="198"/>
      <c r="T2376" s="198"/>
      <c r="U2376" s="198"/>
      <c r="V2376" s="198"/>
      <c r="W2376" s="198"/>
      <c r="X2376" s="198"/>
      <c r="Y2376" s="198"/>
      <c r="Z2376" s="198"/>
    </row>
    <row r="2377" spans="1:26" ht="15.75" hidden="1" customHeight="1" x14ac:dyDescent="0.25">
      <c r="A2377" s="213">
        <v>39606</v>
      </c>
      <c r="B2377" s="214" t="s">
        <v>10875</v>
      </c>
      <c r="C2377" s="215" t="s">
        <v>580</v>
      </c>
      <c r="D2377" s="216">
        <v>32.29</v>
      </c>
      <c r="E2377" s="198"/>
      <c r="F2377" s="198"/>
      <c r="G2377" s="198"/>
      <c r="H2377" s="198"/>
      <c r="I2377" s="198"/>
      <c r="J2377" s="198"/>
      <c r="K2377" s="198"/>
      <c r="L2377" s="198"/>
      <c r="M2377" s="198"/>
      <c r="N2377" s="198"/>
      <c r="O2377" s="198"/>
      <c r="P2377" s="198"/>
      <c r="Q2377" s="198"/>
      <c r="R2377" s="198"/>
      <c r="S2377" s="198"/>
      <c r="T2377" s="198"/>
      <c r="U2377" s="198"/>
      <c r="V2377" s="198"/>
      <c r="W2377" s="198"/>
      <c r="X2377" s="198"/>
      <c r="Y2377" s="198"/>
      <c r="Z2377" s="198"/>
    </row>
    <row r="2378" spans="1:26" ht="15.75" hidden="1" customHeight="1" x14ac:dyDescent="0.25">
      <c r="A2378" s="213">
        <v>39607</v>
      </c>
      <c r="B2378" s="214" t="s">
        <v>10876</v>
      </c>
      <c r="C2378" s="215" t="s">
        <v>580</v>
      </c>
      <c r="D2378" s="216">
        <v>43.68</v>
      </c>
      <c r="E2378" s="198"/>
      <c r="F2378" s="198"/>
      <c r="G2378" s="198"/>
      <c r="H2378" s="198"/>
      <c r="I2378" s="198"/>
      <c r="J2378" s="198"/>
      <c r="K2378" s="198"/>
      <c r="L2378" s="198"/>
      <c r="M2378" s="198"/>
      <c r="N2378" s="198"/>
      <c r="O2378" s="198"/>
      <c r="P2378" s="198"/>
      <c r="Q2378" s="198"/>
      <c r="R2378" s="198"/>
      <c r="S2378" s="198"/>
      <c r="T2378" s="198"/>
      <c r="U2378" s="198"/>
      <c r="V2378" s="198"/>
      <c r="W2378" s="198"/>
      <c r="X2378" s="198"/>
      <c r="Y2378" s="198"/>
      <c r="Z2378" s="198"/>
    </row>
    <row r="2379" spans="1:26" ht="15.75" hidden="1" customHeight="1" x14ac:dyDescent="0.25">
      <c r="A2379" s="213">
        <v>39594</v>
      </c>
      <c r="B2379" s="214" t="s">
        <v>10877</v>
      </c>
      <c r="C2379" s="215" t="s">
        <v>580</v>
      </c>
      <c r="D2379" s="216">
        <v>304.89</v>
      </c>
      <c r="E2379" s="198"/>
      <c r="F2379" s="198"/>
      <c r="G2379" s="198"/>
      <c r="H2379" s="198"/>
      <c r="I2379" s="198"/>
      <c r="J2379" s="198"/>
      <c r="K2379" s="198"/>
      <c r="L2379" s="198"/>
      <c r="M2379" s="198"/>
      <c r="N2379" s="198"/>
      <c r="O2379" s="198"/>
      <c r="P2379" s="198"/>
      <c r="Q2379" s="198"/>
      <c r="R2379" s="198"/>
      <c r="S2379" s="198"/>
      <c r="T2379" s="198"/>
      <c r="U2379" s="198"/>
      <c r="V2379" s="198"/>
      <c r="W2379" s="198"/>
      <c r="X2379" s="198"/>
      <c r="Y2379" s="198"/>
      <c r="Z2379" s="198"/>
    </row>
    <row r="2380" spans="1:26" ht="15.75" hidden="1" customHeight="1" x14ac:dyDescent="0.25">
      <c r="A2380" s="213">
        <v>39596</v>
      </c>
      <c r="B2380" s="214" t="s">
        <v>10878</v>
      </c>
      <c r="C2380" s="215" t="s">
        <v>580</v>
      </c>
      <c r="D2380" s="216">
        <v>816.52</v>
      </c>
      <c r="E2380" s="198"/>
      <c r="F2380" s="198"/>
      <c r="G2380" s="198"/>
      <c r="H2380" s="198"/>
      <c r="I2380" s="198"/>
      <c r="J2380" s="198"/>
      <c r="K2380" s="198"/>
      <c r="L2380" s="198"/>
      <c r="M2380" s="198"/>
      <c r="N2380" s="198"/>
      <c r="O2380" s="198"/>
      <c r="P2380" s="198"/>
      <c r="Q2380" s="198"/>
      <c r="R2380" s="198"/>
      <c r="S2380" s="198"/>
      <c r="T2380" s="198"/>
      <c r="U2380" s="198"/>
      <c r="V2380" s="198"/>
      <c r="W2380" s="198"/>
      <c r="X2380" s="198"/>
      <c r="Y2380" s="198"/>
      <c r="Z2380" s="198"/>
    </row>
    <row r="2381" spans="1:26" ht="15.75" hidden="1" customHeight="1" x14ac:dyDescent="0.25">
      <c r="A2381" s="213">
        <v>39595</v>
      </c>
      <c r="B2381" s="214" t="s">
        <v>10879</v>
      </c>
      <c r="C2381" s="215" t="s">
        <v>580</v>
      </c>
      <c r="D2381" s="216">
        <v>1834.6</v>
      </c>
      <c r="E2381" s="198"/>
      <c r="F2381" s="198"/>
      <c r="G2381" s="198"/>
      <c r="H2381" s="198"/>
      <c r="I2381" s="198"/>
      <c r="J2381" s="198"/>
      <c r="K2381" s="198"/>
      <c r="L2381" s="198"/>
      <c r="M2381" s="198"/>
      <c r="N2381" s="198"/>
      <c r="O2381" s="198"/>
      <c r="P2381" s="198"/>
      <c r="Q2381" s="198"/>
      <c r="R2381" s="198"/>
      <c r="S2381" s="198"/>
      <c r="T2381" s="198"/>
      <c r="U2381" s="198"/>
      <c r="V2381" s="198"/>
      <c r="W2381" s="198"/>
      <c r="X2381" s="198"/>
      <c r="Y2381" s="198"/>
      <c r="Z2381" s="198"/>
    </row>
    <row r="2382" spans="1:26" ht="15.75" hidden="1" customHeight="1" x14ac:dyDescent="0.25">
      <c r="A2382" s="213">
        <v>39597</v>
      </c>
      <c r="B2382" s="214" t="s">
        <v>10880</v>
      </c>
      <c r="C2382" s="215" t="s">
        <v>580</v>
      </c>
      <c r="D2382" s="216">
        <v>2877.83</v>
      </c>
      <c r="E2382" s="198"/>
      <c r="F2382" s="198"/>
      <c r="G2382" s="198"/>
      <c r="H2382" s="198"/>
      <c r="I2382" s="198"/>
      <c r="J2382" s="198"/>
      <c r="K2382" s="198"/>
      <c r="L2382" s="198"/>
      <c r="M2382" s="198"/>
      <c r="N2382" s="198"/>
      <c r="O2382" s="198"/>
      <c r="P2382" s="198"/>
      <c r="Q2382" s="198"/>
      <c r="R2382" s="198"/>
      <c r="S2382" s="198"/>
      <c r="T2382" s="198"/>
      <c r="U2382" s="198"/>
      <c r="V2382" s="198"/>
      <c r="W2382" s="198"/>
      <c r="X2382" s="198"/>
      <c r="Y2382" s="198"/>
      <c r="Z2382" s="198"/>
    </row>
    <row r="2383" spans="1:26" ht="15.75" hidden="1" customHeight="1" x14ac:dyDescent="0.25">
      <c r="A2383" s="213">
        <v>4720</v>
      </c>
      <c r="B2383" s="214" t="s">
        <v>10881</v>
      </c>
      <c r="C2383" s="215" t="s">
        <v>664</v>
      </c>
      <c r="D2383" s="216">
        <v>73.56</v>
      </c>
      <c r="E2383" s="198"/>
      <c r="F2383" s="198"/>
      <c r="G2383" s="198"/>
      <c r="H2383" s="198"/>
      <c r="I2383" s="198"/>
      <c r="J2383" s="198"/>
      <c r="K2383" s="198"/>
      <c r="L2383" s="198"/>
      <c r="M2383" s="198"/>
      <c r="N2383" s="198"/>
      <c r="O2383" s="198"/>
      <c r="P2383" s="198"/>
      <c r="Q2383" s="198"/>
      <c r="R2383" s="198"/>
      <c r="S2383" s="198"/>
      <c r="T2383" s="198"/>
      <c r="U2383" s="198"/>
      <c r="V2383" s="198"/>
      <c r="W2383" s="198"/>
      <c r="X2383" s="198"/>
      <c r="Y2383" s="198"/>
      <c r="Z2383" s="198"/>
    </row>
    <row r="2384" spans="1:26" ht="15.75" hidden="1" customHeight="1" x14ac:dyDescent="0.25">
      <c r="A2384" s="213">
        <v>4721</v>
      </c>
      <c r="B2384" s="214" t="s">
        <v>10882</v>
      </c>
      <c r="C2384" s="215" t="s">
        <v>664</v>
      </c>
      <c r="D2384" s="216">
        <v>63.71</v>
      </c>
      <c r="E2384" s="198"/>
      <c r="F2384" s="198"/>
      <c r="G2384" s="198"/>
      <c r="H2384" s="198"/>
      <c r="I2384" s="198"/>
      <c r="J2384" s="198"/>
      <c r="K2384" s="198"/>
      <c r="L2384" s="198"/>
      <c r="M2384" s="198"/>
      <c r="N2384" s="198"/>
      <c r="O2384" s="198"/>
      <c r="P2384" s="198"/>
      <c r="Q2384" s="198"/>
      <c r="R2384" s="198"/>
      <c r="S2384" s="198"/>
      <c r="T2384" s="198"/>
      <c r="U2384" s="198"/>
      <c r="V2384" s="198"/>
      <c r="W2384" s="198"/>
      <c r="X2384" s="198"/>
      <c r="Y2384" s="198"/>
      <c r="Z2384" s="198"/>
    </row>
    <row r="2385" spans="1:26" ht="15.75" hidden="1" customHeight="1" x14ac:dyDescent="0.25">
      <c r="A2385" s="213">
        <v>4718</v>
      </c>
      <c r="B2385" s="214" t="s">
        <v>10883</v>
      </c>
      <c r="C2385" s="215" t="s">
        <v>664</v>
      </c>
      <c r="D2385" s="216">
        <v>64.05</v>
      </c>
      <c r="E2385" s="198"/>
      <c r="F2385" s="198"/>
      <c r="G2385" s="198"/>
      <c r="H2385" s="198"/>
      <c r="I2385" s="198"/>
      <c r="J2385" s="198"/>
      <c r="K2385" s="198"/>
      <c r="L2385" s="198"/>
      <c r="M2385" s="198"/>
      <c r="N2385" s="198"/>
      <c r="O2385" s="198"/>
      <c r="P2385" s="198"/>
      <c r="Q2385" s="198"/>
      <c r="R2385" s="198"/>
      <c r="S2385" s="198"/>
      <c r="T2385" s="198"/>
      <c r="U2385" s="198"/>
      <c r="V2385" s="198"/>
      <c r="W2385" s="198"/>
      <c r="X2385" s="198"/>
      <c r="Y2385" s="198"/>
      <c r="Z2385" s="198"/>
    </row>
    <row r="2386" spans="1:26" ht="15.75" hidden="1" customHeight="1" x14ac:dyDescent="0.25">
      <c r="A2386" s="213">
        <v>4722</v>
      </c>
      <c r="B2386" s="214" t="s">
        <v>10884</v>
      </c>
      <c r="C2386" s="215" t="s">
        <v>664</v>
      </c>
      <c r="D2386" s="216">
        <v>60.18</v>
      </c>
      <c r="E2386" s="198"/>
      <c r="F2386" s="198"/>
      <c r="G2386" s="198"/>
      <c r="H2386" s="198"/>
      <c r="I2386" s="198"/>
      <c r="J2386" s="198"/>
      <c r="K2386" s="198"/>
      <c r="L2386" s="198"/>
      <c r="M2386" s="198"/>
      <c r="N2386" s="198"/>
      <c r="O2386" s="198"/>
      <c r="P2386" s="198"/>
      <c r="Q2386" s="198"/>
      <c r="R2386" s="198"/>
      <c r="S2386" s="198"/>
      <c r="T2386" s="198"/>
      <c r="U2386" s="198"/>
      <c r="V2386" s="198"/>
      <c r="W2386" s="198"/>
      <c r="X2386" s="198"/>
      <c r="Y2386" s="198"/>
      <c r="Z2386" s="198"/>
    </row>
    <row r="2387" spans="1:26" ht="15.75" hidden="1" customHeight="1" x14ac:dyDescent="0.25">
      <c r="A2387" s="213">
        <v>4730</v>
      </c>
      <c r="B2387" s="214" t="s">
        <v>10885</v>
      </c>
      <c r="C2387" s="215" t="s">
        <v>664</v>
      </c>
      <c r="D2387" s="216">
        <v>59.88</v>
      </c>
      <c r="E2387" s="198"/>
      <c r="F2387" s="198"/>
      <c r="G2387" s="198"/>
      <c r="H2387" s="198"/>
      <c r="I2387" s="198"/>
      <c r="J2387" s="198"/>
      <c r="K2387" s="198"/>
      <c r="L2387" s="198"/>
      <c r="M2387" s="198"/>
      <c r="N2387" s="198"/>
      <c r="O2387" s="198"/>
      <c r="P2387" s="198"/>
      <c r="Q2387" s="198"/>
      <c r="R2387" s="198"/>
      <c r="S2387" s="198"/>
      <c r="T2387" s="198"/>
      <c r="U2387" s="198"/>
      <c r="V2387" s="198"/>
      <c r="W2387" s="198"/>
      <c r="X2387" s="198"/>
      <c r="Y2387" s="198"/>
      <c r="Z2387" s="198"/>
    </row>
    <row r="2388" spans="1:26" ht="15.75" hidden="1" customHeight="1" x14ac:dyDescent="0.25">
      <c r="A2388" s="213">
        <v>13186</v>
      </c>
      <c r="B2388" s="214" t="s">
        <v>10886</v>
      </c>
      <c r="C2388" s="215" t="s">
        <v>664</v>
      </c>
      <c r="D2388" s="216">
        <v>69.099999999999994</v>
      </c>
      <c r="E2388" s="198"/>
      <c r="F2388" s="198"/>
      <c r="G2388" s="198"/>
      <c r="H2388" s="198"/>
      <c r="I2388" s="198"/>
      <c r="J2388" s="198"/>
      <c r="K2388" s="198"/>
      <c r="L2388" s="198"/>
      <c r="M2388" s="198"/>
      <c r="N2388" s="198"/>
      <c r="O2388" s="198"/>
      <c r="P2388" s="198"/>
      <c r="Q2388" s="198"/>
      <c r="R2388" s="198"/>
      <c r="S2388" s="198"/>
      <c r="T2388" s="198"/>
      <c r="U2388" s="198"/>
      <c r="V2388" s="198"/>
      <c r="W2388" s="198"/>
      <c r="X2388" s="198"/>
      <c r="Y2388" s="198"/>
      <c r="Z2388" s="198"/>
    </row>
    <row r="2389" spans="1:26" ht="15.75" hidden="1" customHeight="1" x14ac:dyDescent="0.25">
      <c r="A2389" s="213">
        <v>4750</v>
      </c>
      <c r="B2389" s="214" t="s">
        <v>10887</v>
      </c>
      <c r="C2389" s="215" t="s">
        <v>2193</v>
      </c>
      <c r="D2389" s="216">
        <v>27.06</v>
      </c>
      <c r="E2389" s="198"/>
      <c r="F2389" s="198"/>
      <c r="G2389" s="198"/>
      <c r="H2389" s="198"/>
      <c r="I2389" s="198"/>
      <c r="J2389" s="198"/>
      <c r="K2389" s="198"/>
      <c r="L2389" s="198"/>
      <c r="M2389" s="198"/>
      <c r="N2389" s="198"/>
      <c r="O2389" s="198"/>
      <c r="P2389" s="198"/>
      <c r="Q2389" s="198"/>
      <c r="R2389" s="198"/>
      <c r="S2389" s="198"/>
      <c r="T2389" s="198"/>
      <c r="U2389" s="198"/>
      <c r="V2389" s="198"/>
      <c r="W2389" s="198"/>
      <c r="X2389" s="198"/>
      <c r="Y2389" s="198"/>
      <c r="Z2389" s="198"/>
    </row>
    <row r="2390" spans="1:26" ht="15.75" hidden="1" customHeight="1" x14ac:dyDescent="0.25">
      <c r="A2390" s="213">
        <v>41065</v>
      </c>
      <c r="B2390" s="214" t="s">
        <v>10888</v>
      </c>
      <c r="C2390" s="215" t="s">
        <v>6214</v>
      </c>
      <c r="D2390" s="216">
        <v>4747.54</v>
      </c>
      <c r="E2390" s="198"/>
      <c r="F2390" s="198"/>
      <c r="G2390" s="198"/>
      <c r="H2390" s="198"/>
      <c r="I2390" s="198"/>
      <c r="J2390" s="198"/>
      <c r="K2390" s="198"/>
      <c r="L2390" s="198"/>
      <c r="M2390" s="198"/>
      <c r="N2390" s="198"/>
      <c r="O2390" s="198"/>
      <c r="P2390" s="198"/>
      <c r="Q2390" s="198"/>
      <c r="R2390" s="198"/>
      <c r="S2390" s="198"/>
      <c r="T2390" s="198"/>
      <c r="U2390" s="198"/>
      <c r="V2390" s="198"/>
      <c r="W2390" s="198"/>
      <c r="X2390" s="198"/>
      <c r="Y2390" s="198"/>
      <c r="Z2390" s="198"/>
    </row>
    <row r="2391" spans="1:26" ht="15.75" hidden="1" customHeight="1" x14ac:dyDescent="0.25">
      <c r="A2391" s="213">
        <v>34747</v>
      </c>
      <c r="B2391" s="214" t="s">
        <v>10889</v>
      </c>
      <c r="C2391" s="215" t="s">
        <v>585</v>
      </c>
      <c r="D2391" s="216">
        <v>101.54</v>
      </c>
      <c r="E2391" s="198"/>
      <c r="F2391" s="198"/>
      <c r="G2391" s="198"/>
      <c r="H2391" s="198"/>
      <c r="I2391" s="198"/>
      <c r="J2391" s="198"/>
      <c r="K2391" s="198"/>
      <c r="L2391" s="198"/>
      <c r="M2391" s="198"/>
      <c r="N2391" s="198"/>
      <c r="O2391" s="198"/>
      <c r="P2391" s="198"/>
      <c r="Q2391" s="198"/>
      <c r="R2391" s="198"/>
      <c r="S2391" s="198"/>
      <c r="T2391" s="198"/>
      <c r="U2391" s="198"/>
      <c r="V2391" s="198"/>
      <c r="W2391" s="198"/>
      <c r="X2391" s="198"/>
      <c r="Y2391" s="198"/>
      <c r="Z2391" s="198"/>
    </row>
    <row r="2392" spans="1:26" ht="15.75" hidden="1" customHeight="1" x14ac:dyDescent="0.25">
      <c r="A2392" s="213">
        <v>4826</v>
      </c>
      <c r="B2392" s="214" t="s">
        <v>10890</v>
      </c>
      <c r="C2392" s="215" t="s">
        <v>585</v>
      </c>
      <c r="D2392" s="216">
        <v>109.19</v>
      </c>
      <c r="E2392" s="198"/>
      <c r="F2392" s="198"/>
      <c r="G2392" s="198"/>
      <c r="H2392" s="198"/>
      <c r="I2392" s="198"/>
      <c r="J2392" s="198"/>
      <c r="K2392" s="198"/>
      <c r="L2392" s="198"/>
      <c r="M2392" s="198"/>
      <c r="N2392" s="198"/>
      <c r="O2392" s="198"/>
      <c r="P2392" s="198"/>
      <c r="Q2392" s="198"/>
      <c r="R2392" s="198"/>
      <c r="S2392" s="198"/>
      <c r="T2392" s="198"/>
      <c r="U2392" s="198"/>
      <c r="V2392" s="198"/>
      <c r="W2392" s="198"/>
      <c r="X2392" s="198"/>
      <c r="Y2392" s="198"/>
      <c r="Z2392" s="198"/>
    </row>
    <row r="2393" spans="1:26" ht="15.75" hidden="1" customHeight="1" x14ac:dyDescent="0.25">
      <c r="A2393" s="213">
        <v>4825</v>
      </c>
      <c r="B2393" s="214" t="s">
        <v>10891</v>
      </c>
      <c r="C2393" s="215" t="s">
        <v>585</v>
      </c>
      <c r="D2393" s="216">
        <v>151.13</v>
      </c>
      <c r="E2393" s="198"/>
      <c r="F2393" s="198"/>
      <c r="G2393" s="198"/>
      <c r="H2393" s="198"/>
      <c r="I2393" s="198"/>
      <c r="J2393" s="198"/>
      <c r="K2393" s="198"/>
      <c r="L2393" s="198"/>
      <c r="M2393" s="198"/>
      <c r="N2393" s="198"/>
      <c r="O2393" s="198"/>
      <c r="P2393" s="198"/>
      <c r="Q2393" s="198"/>
      <c r="R2393" s="198"/>
      <c r="S2393" s="198"/>
      <c r="T2393" s="198"/>
      <c r="U2393" s="198"/>
      <c r="V2393" s="198"/>
      <c r="W2393" s="198"/>
      <c r="X2393" s="198"/>
      <c r="Y2393" s="198"/>
      <c r="Z2393" s="198"/>
    </row>
    <row r="2394" spans="1:26" ht="15.75" hidden="1" customHeight="1" x14ac:dyDescent="0.25">
      <c r="A2394" s="213">
        <v>39430</v>
      </c>
      <c r="B2394" s="214" t="s">
        <v>10892</v>
      </c>
      <c r="C2394" s="215" t="s">
        <v>580</v>
      </c>
      <c r="D2394" s="216">
        <v>1.98</v>
      </c>
      <c r="E2394" s="198"/>
      <c r="F2394" s="198"/>
      <c r="G2394" s="198"/>
      <c r="H2394" s="198"/>
      <c r="I2394" s="198"/>
      <c r="J2394" s="198"/>
      <c r="K2394" s="198"/>
      <c r="L2394" s="198"/>
      <c r="M2394" s="198"/>
      <c r="N2394" s="198"/>
      <c r="O2394" s="198"/>
      <c r="P2394" s="198"/>
      <c r="Q2394" s="198"/>
      <c r="R2394" s="198"/>
      <c r="S2394" s="198"/>
      <c r="T2394" s="198"/>
      <c r="U2394" s="198"/>
      <c r="V2394" s="198"/>
      <c r="W2394" s="198"/>
      <c r="X2394" s="198"/>
      <c r="Y2394" s="198"/>
      <c r="Z2394" s="198"/>
    </row>
    <row r="2395" spans="1:26" ht="15.75" hidden="1" customHeight="1" x14ac:dyDescent="0.25">
      <c r="A2395" s="213">
        <v>39573</v>
      </c>
      <c r="B2395" s="214" t="s">
        <v>10893</v>
      </c>
      <c r="C2395" s="215" t="s">
        <v>580</v>
      </c>
      <c r="D2395" s="216">
        <v>1.95</v>
      </c>
      <c r="E2395" s="198"/>
      <c r="F2395" s="198"/>
      <c r="G2395" s="198"/>
      <c r="H2395" s="198"/>
      <c r="I2395" s="198"/>
      <c r="J2395" s="198"/>
      <c r="K2395" s="198"/>
      <c r="L2395" s="198"/>
      <c r="M2395" s="198"/>
      <c r="N2395" s="198"/>
      <c r="O2395" s="198"/>
      <c r="P2395" s="198"/>
      <c r="Q2395" s="198"/>
      <c r="R2395" s="198"/>
      <c r="S2395" s="198"/>
      <c r="T2395" s="198"/>
      <c r="U2395" s="198"/>
      <c r="V2395" s="198"/>
      <c r="W2395" s="198"/>
      <c r="X2395" s="198"/>
      <c r="Y2395" s="198"/>
      <c r="Z2395" s="198"/>
    </row>
    <row r="2396" spans="1:26" ht="15.75" hidden="1" customHeight="1" x14ac:dyDescent="0.25">
      <c r="A2396" s="213">
        <v>38410</v>
      </c>
      <c r="B2396" s="214" t="s">
        <v>10894</v>
      </c>
      <c r="C2396" s="215" t="s">
        <v>580</v>
      </c>
      <c r="D2396" s="216">
        <v>14085.36</v>
      </c>
      <c r="E2396" s="198"/>
      <c r="F2396" s="198"/>
      <c r="G2396" s="198"/>
      <c r="H2396" s="198"/>
      <c r="I2396" s="198"/>
      <c r="J2396" s="198"/>
      <c r="K2396" s="198"/>
      <c r="L2396" s="198"/>
      <c r="M2396" s="198"/>
      <c r="N2396" s="198"/>
      <c r="O2396" s="198"/>
      <c r="P2396" s="198"/>
      <c r="Q2396" s="198"/>
      <c r="R2396" s="198"/>
      <c r="S2396" s="198"/>
      <c r="T2396" s="198"/>
      <c r="U2396" s="198"/>
      <c r="V2396" s="198"/>
      <c r="W2396" s="198"/>
      <c r="X2396" s="198"/>
      <c r="Y2396" s="198"/>
      <c r="Z2396" s="198"/>
    </row>
    <row r="2397" spans="1:26" ht="15.75" hidden="1" customHeight="1" x14ac:dyDescent="0.25">
      <c r="A2397" s="213">
        <v>39427</v>
      </c>
      <c r="B2397" s="214" t="s">
        <v>10895</v>
      </c>
      <c r="C2397" s="215" t="s">
        <v>585</v>
      </c>
      <c r="D2397" s="216">
        <v>5.26</v>
      </c>
      <c r="E2397" s="198"/>
      <c r="F2397" s="198"/>
      <c r="G2397" s="198"/>
      <c r="H2397" s="198"/>
      <c r="I2397" s="198"/>
      <c r="J2397" s="198"/>
      <c r="K2397" s="198"/>
      <c r="L2397" s="198"/>
      <c r="M2397" s="198"/>
      <c r="N2397" s="198"/>
      <c r="O2397" s="198"/>
      <c r="P2397" s="198"/>
      <c r="Q2397" s="198"/>
      <c r="R2397" s="198"/>
      <c r="S2397" s="198"/>
      <c r="T2397" s="198"/>
      <c r="U2397" s="198"/>
      <c r="V2397" s="198"/>
      <c r="W2397" s="198"/>
      <c r="X2397" s="198"/>
      <c r="Y2397" s="198"/>
      <c r="Z2397" s="198"/>
    </row>
    <row r="2398" spans="1:26" ht="15.75" hidden="1" customHeight="1" x14ac:dyDescent="0.25">
      <c r="A2398" s="213">
        <v>39424</v>
      </c>
      <c r="B2398" s="214" t="s">
        <v>10896</v>
      </c>
      <c r="C2398" s="215" t="s">
        <v>585</v>
      </c>
      <c r="D2398" s="216">
        <v>3.13</v>
      </c>
      <c r="E2398" s="198"/>
      <c r="F2398" s="198"/>
      <c r="G2398" s="198"/>
      <c r="H2398" s="198"/>
      <c r="I2398" s="198"/>
      <c r="J2398" s="198"/>
      <c r="K2398" s="198"/>
      <c r="L2398" s="198"/>
      <c r="M2398" s="198"/>
      <c r="N2398" s="198"/>
      <c r="O2398" s="198"/>
      <c r="P2398" s="198"/>
      <c r="Q2398" s="198"/>
      <c r="R2398" s="198"/>
      <c r="S2398" s="198"/>
      <c r="T2398" s="198"/>
      <c r="U2398" s="198"/>
      <c r="V2398" s="198"/>
      <c r="W2398" s="198"/>
      <c r="X2398" s="198"/>
      <c r="Y2398" s="198"/>
      <c r="Z2398" s="198"/>
    </row>
    <row r="2399" spans="1:26" ht="15.75" hidden="1" customHeight="1" x14ac:dyDescent="0.25">
      <c r="A2399" s="213">
        <v>39425</v>
      </c>
      <c r="B2399" s="214" t="s">
        <v>10897</v>
      </c>
      <c r="C2399" s="215" t="s">
        <v>585</v>
      </c>
      <c r="D2399" s="216">
        <v>3.09</v>
      </c>
      <c r="E2399" s="198"/>
      <c r="F2399" s="198"/>
      <c r="G2399" s="198"/>
      <c r="H2399" s="198"/>
      <c r="I2399" s="198"/>
      <c r="J2399" s="198"/>
      <c r="K2399" s="198"/>
      <c r="L2399" s="198"/>
      <c r="M2399" s="198"/>
      <c r="N2399" s="198"/>
      <c r="O2399" s="198"/>
      <c r="P2399" s="198"/>
      <c r="Q2399" s="198"/>
      <c r="R2399" s="198"/>
      <c r="S2399" s="198"/>
      <c r="T2399" s="198"/>
      <c r="U2399" s="198"/>
      <c r="V2399" s="198"/>
      <c r="W2399" s="198"/>
      <c r="X2399" s="198"/>
      <c r="Y2399" s="198"/>
      <c r="Z2399" s="198"/>
    </row>
    <row r="2400" spans="1:26" ht="15.75" hidden="1" customHeight="1" x14ac:dyDescent="0.25">
      <c r="A2400" s="213">
        <v>34360</v>
      </c>
      <c r="B2400" s="214" t="s">
        <v>10898</v>
      </c>
      <c r="C2400" s="215" t="s">
        <v>823</v>
      </c>
      <c r="D2400" s="216">
        <v>57.62</v>
      </c>
      <c r="E2400" s="198"/>
      <c r="F2400" s="198"/>
      <c r="G2400" s="198"/>
      <c r="H2400" s="198"/>
      <c r="I2400" s="198"/>
      <c r="J2400" s="198"/>
      <c r="K2400" s="198"/>
      <c r="L2400" s="198"/>
      <c r="M2400" s="198"/>
      <c r="N2400" s="198"/>
      <c r="O2400" s="198"/>
      <c r="P2400" s="198"/>
      <c r="Q2400" s="198"/>
      <c r="R2400" s="198"/>
      <c r="S2400" s="198"/>
      <c r="T2400" s="198"/>
      <c r="U2400" s="198"/>
      <c r="V2400" s="198"/>
      <c r="W2400" s="198"/>
      <c r="X2400" s="198"/>
      <c r="Y2400" s="198"/>
      <c r="Z2400" s="198"/>
    </row>
    <row r="2401" spans="1:26" ht="15.75" hidden="1" customHeight="1" x14ac:dyDescent="0.25">
      <c r="A2401" s="213">
        <v>11552</v>
      </c>
      <c r="B2401" s="214" t="s">
        <v>10899</v>
      </c>
      <c r="C2401" s="215" t="s">
        <v>585</v>
      </c>
      <c r="D2401" s="216">
        <v>6.98</v>
      </c>
      <c r="E2401" s="198"/>
      <c r="F2401" s="198"/>
      <c r="G2401" s="198"/>
      <c r="H2401" s="198"/>
      <c r="I2401" s="198"/>
      <c r="J2401" s="198"/>
      <c r="K2401" s="198"/>
      <c r="L2401" s="198"/>
      <c r="M2401" s="198"/>
      <c r="N2401" s="198"/>
      <c r="O2401" s="198"/>
      <c r="P2401" s="198"/>
      <c r="Q2401" s="198"/>
      <c r="R2401" s="198"/>
      <c r="S2401" s="198"/>
      <c r="T2401" s="198"/>
      <c r="U2401" s="198"/>
      <c r="V2401" s="198"/>
      <c r="W2401" s="198"/>
      <c r="X2401" s="198"/>
      <c r="Y2401" s="198"/>
      <c r="Z2401" s="198"/>
    </row>
    <row r="2402" spans="1:26" ht="15.75" hidden="1" customHeight="1" x14ac:dyDescent="0.25">
      <c r="A2402" s="213">
        <v>585</v>
      </c>
      <c r="B2402" s="214" t="s">
        <v>10900</v>
      </c>
      <c r="C2402" s="215" t="s">
        <v>823</v>
      </c>
      <c r="D2402" s="216">
        <v>46.09</v>
      </c>
      <c r="E2402" s="198"/>
      <c r="F2402" s="198"/>
      <c r="G2402" s="198"/>
      <c r="H2402" s="198"/>
      <c r="I2402" s="198"/>
      <c r="J2402" s="198"/>
      <c r="K2402" s="198"/>
      <c r="L2402" s="198"/>
      <c r="M2402" s="198"/>
      <c r="N2402" s="198"/>
      <c r="O2402" s="198"/>
      <c r="P2402" s="198"/>
      <c r="Q2402" s="198"/>
      <c r="R2402" s="198"/>
      <c r="S2402" s="198"/>
      <c r="T2402" s="198"/>
      <c r="U2402" s="198"/>
      <c r="V2402" s="198"/>
      <c r="W2402" s="198"/>
      <c r="X2402" s="198"/>
      <c r="Y2402" s="198"/>
      <c r="Z2402" s="198"/>
    </row>
    <row r="2403" spans="1:26" ht="15.75" hidden="1" customHeight="1" x14ac:dyDescent="0.25">
      <c r="A2403" s="213">
        <v>39418</v>
      </c>
      <c r="B2403" s="214" t="s">
        <v>10901</v>
      </c>
      <c r="C2403" s="215" t="s">
        <v>585</v>
      </c>
      <c r="D2403" s="216">
        <v>5.86</v>
      </c>
      <c r="E2403" s="198"/>
      <c r="F2403" s="198"/>
      <c r="G2403" s="198"/>
      <c r="H2403" s="198"/>
      <c r="I2403" s="198"/>
      <c r="J2403" s="198"/>
      <c r="K2403" s="198"/>
      <c r="L2403" s="198"/>
      <c r="M2403" s="198"/>
      <c r="N2403" s="198"/>
      <c r="O2403" s="198"/>
      <c r="P2403" s="198"/>
      <c r="Q2403" s="198"/>
      <c r="R2403" s="198"/>
      <c r="S2403" s="198"/>
      <c r="T2403" s="198"/>
      <c r="U2403" s="198"/>
      <c r="V2403" s="198"/>
      <c r="W2403" s="198"/>
      <c r="X2403" s="198"/>
      <c r="Y2403" s="198"/>
      <c r="Z2403" s="198"/>
    </row>
    <row r="2404" spans="1:26" ht="15.75" hidden="1" customHeight="1" x14ac:dyDescent="0.25">
      <c r="A2404" s="213">
        <v>39419</v>
      </c>
      <c r="B2404" s="214" t="s">
        <v>10902</v>
      </c>
      <c r="C2404" s="215" t="s">
        <v>585</v>
      </c>
      <c r="D2404" s="216">
        <v>7.15</v>
      </c>
      <c r="E2404" s="198"/>
      <c r="F2404" s="198"/>
      <c r="G2404" s="198"/>
      <c r="H2404" s="198"/>
      <c r="I2404" s="198"/>
      <c r="J2404" s="198"/>
      <c r="K2404" s="198"/>
      <c r="L2404" s="198"/>
      <c r="M2404" s="198"/>
      <c r="N2404" s="198"/>
      <c r="O2404" s="198"/>
      <c r="P2404" s="198"/>
      <c r="Q2404" s="198"/>
      <c r="R2404" s="198"/>
      <c r="S2404" s="198"/>
      <c r="T2404" s="198"/>
      <c r="U2404" s="198"/>
      <c r="V2404" s="198"/>
      <c r="W2404" s="198"/>
      <c r="X2404" s="198"/>
      <c r="Y2404" s="198"/>
      <c r="Z2404" s="198"/>
    </row>
    <row r="2405" spans="1:26" ht="15.75" hidden="1" customHeight="1" x14ac:dyDescent="0.25">
      <c r="A2405" s="213">
        <v>39420</v>
      </c>
      <c r="B2405" s="214" t="s">
        <v>10903</v>
      </c>
      <c r="C2405" s="215" t="s">
        <v>585</v>
      </c>
      <c r="D2405" s="216">
        <v>7.89</v>
      </c>
      <c r="E2405" s="198"/>
      <c r="F2405" s="198"/>
      <c r="G2405" s="198"/>
      <c r="H2405" s="198"/>
      <c r="I2405" s="198"/>
      <c r="J2405" s="198"/>
      <c r="K2405" s="198"/>
      <c r="L2405" s="198"/>
      <c r="M2405" s="198"/>
      <c r="N2405" s="198"/>
      <c r="O2405" s="198"/>
      <c r="P2405" s="198"/>
      <c r="Q2405" s="198"/>
      <c r="R2405" s="198"/>
      <c r="S2405" s="198"/>
      <c r="T2405" s="198"/>
      <c r="U2405" s="198"/>
      <c r="V2405" s="198"/>
      <c r="W2405" s="198"/>
      <c r="X2405" s="198"/>
      <c r="Y2405" s="198"/>
      <c r="Z2405" s="198"/>
    </row>
    <row r="2406" spans="1:26" ht="15.75" hidden="1" customHeight="1" x14ac:dyDescent="0.25">
      <c r="A2406" s="213">
        <v>39571</v>
      </c>
      <c r="B2406" s="214" t="s">
        <v>10904</v>
      </c>
      <c r="C2406" s="215" t="s">
        <v>585</v>
      </c>
      <c r="D2406" s="216">
        <v>4.7699999999999996</v>
      </c>
      <c r="E2406" s="198"/>
      <c r="F2406" s="198"/>
      <c r="G2406" s="198"/>
      <c r="H2406" s="198"/>
      <c r="I2406" s="198"/>
      <c r="J2406" s="198"/>
      <c r="K2406" s="198"/>
      <c r="L2406" s="198"/>
      <c r="M2406" s="198"/>
      <c r="N2406" s="198"/>
      <c r="O2406" s="198"/>
      <c r="P2406" s="198"/>
      <c r="Q2406" s="198"/>
      <c r="R2406" s="198"/>
      <c r="S2406" s="198"/>
      <c r="T2406" s="198"/>
      <c r="U2406" s="198"/>
      <c r="V2406" s="198"/>
      <c r="W2406" s="198"/>
      <c r="X2406" s="198"/>
      <c r="Y2406" s="198"/>
      <c r="Z2406" s="198"/>
    </row>
    <row r="2407" spans="1:26" ht="15.75" hidden="1" customHeight="1" x14ac:dyDescent="0.25">
      <c r="A2407" s="213">
        <v>39421</v>
      </c>
      <c r="B2407" s="214" t="s">
        <v>10905</v>
      </c>
      <c r="C2407" s="215" t="s">
        <v>585</v>
      </c>
      <c r="D2407" s="216">
        <v>6.94</v>
      </c>
      <c r="E2407" s="198"/>
      <c r="F2407" s="198"/>
      <c r="G2407" s="198"/>
      <c r="H2407" s="198"/>
      <c r="I2407" s="198"/>
      <c r="J2407" s="198"/>
      <c r="K2407" s="198"/>
      <c r="L2407" s="198"/>
      <c r="M2407" s="198"/>
      <c r="N2407" s="198"/>
      <c r="O2407" s="198"/>
      <c r="P2407" s="198"/>
      <c r="Q2407" s="198"/>
      <c r="R2407" s="198"/>
      <c r="S2407" s="198"/>
      <c r="T2407" s="198"/>
      <c r="U2407" s="198"/>
      <c r="V2407" s="198"/>
      <c r="W2407" s="198"/>
      <c r="X2407" s="198"/>
      <c r="Y2407" s="198"/>
      <c r="Z2407" s="198"/>
    </row>
    <row r="2408" spans="1:26" ht="15.75" hidden="1" customHeight="1" x14ac:dyDescent="0.25">
      <c r="A2408" s="213">
        <v>39422</v>
      </c>
      <c r="B2408" s="214" t="s">
        <v>10906</v>
      </c>
      <c r="C2408" s="215" t="s">
        <v>585</v>
      </c>
      <c r="D2408" s="216">
        <v>8.11</v>
      </c>
      <c r="E2408" s="198"/>
      <c r="F2408" s="198"/>
      <c r="G2408" s="198"/>
      <c r="H2408" s="198"/>
      <c r="I2408" s="198"/>
      <c r="J2408" s="198"/>
      <c r="K2408" s="198"/>
      <c r="L2408" s="198"/>
      <c r="M2408" s="198"/>
      <c r="N2408" s="198"/>
      <c r="O2408" s="198"/>
      <c r="P2408" s="198"/>
      <c r="Q2408" s="198"/>
      <c r="R2408" s="198"/>
      <c r="S2408" s="198"/>
      <c r="T2408" s="198"/>
      <c r="U2408" s="198"/>
      <c r="V2408" s="198"/>
      <c r="W2408" s="198"/>
      <c r="X2408" s="198"/>
      <c r="Y2408" s="198"/>
      <c r="Z2408" s="198"/>
    </row>
    <row r="2409" spans="1:26" ht="15.75" hidden="1" customHeight="1" x14ac:dyDescent="0.25">
      <c r="A2409" s="213">
        <v>39423</v>
      </c>
      <c r="B2409" s="214" t="s">
        <v>10907</v>
      </c>
      <c r="C2409" s="215" t="s">
        <v>585</v>
      </c>
      <c r="D2409" s="216">
        <v>9.41</v>
      </c>
      <c r="E2409" s="198"/>
      <c r="F2409" s="198"/>
      <c r="G2409" s="198"/>
      <c r="H2409" s="198"/>
      <c r="I2409" s="198"/>
      <c r="J2409" s="198"/>
      <c r="K2409" s="198"/>
      <c r="L2409" s="198"/>
      <c r="M2409" s="198"/>
      <c r="N2409" s="198"/>
      <c r="O2409" s="198"/>
      <c r="P2409" s="198"/>
      <c r="Q2409" s="198"/>
      <c r="R2409" s="198"/>
      <c r="S2409" s="198"/>
      <c r="T2409" s="198"/>
      <c r="U2409" s="198"/>
      <c r="V2409" s="198"/>
      <c r="W2409" s="198"/>
      <c r="X2409" s="198"/>
      <c r="Y2409" s="198"/>
      <c r="Z2409" s="198"/>
    </row>
    <row r="2410" spans="1:26" ht="15.75" hidden="1" customHeight="1" x14ac:dyDescent="0.25">
      <c r="A2410" s="213">
        <v>39426</v>
      </c>
      <c r="B2410" s="214" t="s">
        <v>10908</v>
      </c>
      <c r="C2410" s="215" t="s">
        <v>585</v>
      </c>
      <c r="D2410" s="216">
        <v>21.17</v>
      </c>
      <c r="E2410" s="198"/>
      <c r="F2410" s="198"/>
      <c r="G2410" s="198"/>
      <c r="H2410" s="198"/>
      <c r="I2410" s="198"/>
      <c r="J2410" s="198"/>
      <c r="K2410" s="198"/>
      <c r="L2410" s="198"/>
      <c r="M2410" s="198"/>
      <c r="N2410" s="198"/>
      <c r="O2410" s="198"/>
      <c r="P2410" s="198"/>
      <c r="Q2410" s="198"/>
      <c r="R2410" s="198"/>
      <c r="S2410" s="198"/>
      <c r="T2410" s="198"/>
      <c r="U2410" s="198"/>
      <c r="V2410" s="198"/>
      <c r="W2410" s="198"/>
      <c r="X2410" s="198"/>
      <c r="Y2410" s="198"/>
      <c r="Z2410" s="198"/>
    </row>
    <row r="2411" spans="1:26" ht="15.75" hidden="1" customHeight="1" x14ac:dyDescent="0.25">
      <c r="A2411" s="213">
        <v>39429</v>
      </c>
      <c r="B2411" s="214" t="s">
        <v>10909</v>
      </c>
      <c r="C2411" s="215" t="s">
        <v>585</v>
      </c>
      <c r="D2411" s="216">
        <v>6.67</v>
      </c>
      <c r="E2411" s="198"/>
      <c r="F2411" s="198"/>
      <c r="G2411" s="198"/>
      <c r="H2411" s="198"/>
      <c r="I2411" s="198"/>
      <c r="J2411" s="198"/>
      <c r="K2411" s="198"/>
      <c r="L2411" s="198"/>
      <c r="M2411" s="198"/>
      <c r="N2411" s="198"/>
      <c r="O2411" s="198"/>
      <c r="P2411" s="198"/>
      <c r="Q2411" s="198"/>
      <c r="R2411" s="198"/>
      <c r="S2411" s="198"/>
      <c r="T2411" s="198"/>
      <c r="U2411" s="198"/>
      <c r="V2411" s="198"/>
      <c r="W2411" s="198"/>
      <c r="X2411" s="198"/>
      <c r="Y2411" s="198"/>
      <c r="Z2411" s="198"/>
    </row>
    <row r="2412" spans="1:26" ht="15.75" hidden="1" customHeight="1" x14ac:dyDescent="0.25">
      <c r="A2412" s="213">
        <v>39428</v>
      </c>
      <c r="B2412" s="214" t="s">
        <v>10910</v>
      </c>
      <c r="C2412" s="215" t="s">
        <v>585</v>
      </c>
      <c r="D2412" s="216">
        <v>5.0999999999999996</v>
      </c>
      <c r="E2412" s="198"/>
      <c r="F2412" s="198"/>
      <c r="G2412" s="198"/>
      <c r="H2412" s="198"/>
      <c r="I2412" s="198"/>
      <c r="J2412" s="198"/>
      <c r="K2412" s="198"/>
      <c r="L2412" s="198"/>
      <c r="M2412" s="198"/>
      <c r="N2412" s="198"/>
      <c r="O2412" s="198"/>
      <c r="P2412" s="198"/>
      <c r="Q2412" s="198"/>
      <c r="R2412" s="198"/>
      <c r="S2412" s="198"/>
      <c r="T2412" s="198"/>
      <c r="U2412" s="198"/>
      <c r="V2412" s="198"/>
      <c r="W2412" s="198"/>
      <c r="X2412" s="198"/>
      <c r="Y2412" s="198"/>
      <c r="Z2412" s="198"/>
    </row>
    <row r="2413" spans="1:26" ht="15.75" hidden="1" customHeight="1" x14ac:dyDescent="0.25">
      <c r="A2413" s="213">
        <v>39572</v>
      </c>
      <c r="B2413" s="214" t="s">
        <v>10911</v>
      </c>
      <c r="C2413" s="215" t="s">
        <v>585</v>
      </c>
      <c r="D2413" s="216">
        <v>4.41</v>
      </c>
      <c r="E2413" s="198"/>
      <c r="F2413" s="198"/>
      <c r="G2413" s="198"/>
      <c r="H2413" s="198"/>
      <c r="I2413" s="198"/>
      <c r="J2413" s="198"/>
      <c r="K2413" s="198"/>
      <c r="L2413" s="198"/>
      <c r="M2413" s="198"/>
      <c r="N2413" s="198"/>
      <c r="O2413" s="198"/>
      <c r="P2413" s="198"/>
      <c r="Q2413" s="198"/>
      <c r="R2413" s="198"/>
      <c r="S2413" s="198"/>
      <c r="T2413" s="198"/>
      <c r="U2413" s="198"/>
      <c r="V2413" s="198"/>
      <c r="W2413" s="198"/>
      <c r="X2413" s="198"/>
      <c r="Y2413" s="198"/>
      <c r="Z2413" s="198"/>
    </row>
    <row r="2414" spans="1:26" ht="15.75" hidden="1" customHeight="1" x14ac:dyDescent="0.25">
      <c r="A2414" s="213">
        <v>39570</v>
      </c>
      <c r="B2414" s="214" t="s">
        <v>10912</v>
      </c>
      <c r="C2414" s="215" t="s">
        <v>585</v>
      </c>
      <c r="D2414" s="216">
        <v>4.68</v>
      </c>
      <c r="E2414" s="198"/>
      <c r="F2414" s="198"/>
      <c r="G2414" s="198"/>
      <c r="H2414" s="198"/>
      <c r="I2414" s="198"/>
      <c r="J2414" s="198"/>
      <c r="K2414" s="198"/>
      <c r="L2414" s="198"/>
      <c r="M2414" s="198"/>
      <c r="N2414" s="198"/>
      <c r="O2414" s="198"/>
      <c r="P2414" s="198"/>
      <c r="Q2414" s="198"/>
      <c r="R2414" s="198"/>
      <c r="S2414" s="198"/>
      <c r="T2414" s="198"/>
      <c r="U2414" s="198"/>
      <c r="V2414" s="198"/>
      <c r="W2414" s="198"/>
      <c r="X2414" s="198"/>
      <c r="Y2414" s="198"/>
      <c r="Z2414" s="198"/>
    </row>
    <row r="2415" spans="1:26" ht="15.75" hidden="1" customHeight="1" x14ac:dyDescent="0.25">
      <c r="A2415" s="213">
        <v>39569</v>
      </c>
      <c r="B2415" s="214" t="s">
        <v>10913</v>
      </c>
      <c r="C2415" s="215" t="s">
        <v>585</v>
      </c>
      <c r="D2415" s="216">
        <v>4.63</v>
      </c>
      <c r="E2415" s="198"/>
      <c r="F2415" s="198"/>
      <c r="G2415" s="198"/>
      <c r="H2415" s="198"/>
      <c r="I2415" s="198"/>
      <c r="J2415" s="198"/>
      <c r="K2415" s="198"/>
      <c r="L2415" s="198"/>
      <c r="M2415" s="198"/>
      <c r="N2415" s="198"/>
      <c r="O2415" s="198"/>
      <c r="P2415" s="198"/>
      <c r="Q2415" s="198"/>
      <c r="R2415" s="198"/>
      <c r="S2415" s="198"/>
      <c r="T2415" s="198"/>
      <c r="U2415" s="198"/>
      <c r="V2415" s="198"/>
      <c r="W2415" s="198"/>
      <c r="X2415" s="198"/>
      <c r="Y2415" s="198"/>
      <c r="Z2415" s="198"/>
    </row>
    <row r="2416" spans="1:26" ht="15.75" hidden="1" customHeight="1" x14ac:dyDescent="0.25">
      <c r="A2416" s="213">
        <v>39328</v>
      </c>
      <c r="B2416" s="214" t="s">
        <v>10914</v>
      </c>
      <c r="C2416" s="215" t="s">
        <v>585</v>
      </c>
      <c r="D2416" s="216">
        <v>4.78</v>
      </c>
      <c r="E2416" s="198"/>
      <c r="F2416" s="198"/>
      <c r="G2416" s="198"/>
      <c r="H2416" s="198"/>
      <c r="I2416" s="198"/>
      <c r="J2416" s="198"/>
      <c r="K2416" s="198"/>
      <c r="L2416" s="198"/>
      <c r="M2416" s="198"/>
      <c r="N2416" s="198"/>
      <c r="O2416" s="198"/>
      <c r="P2416" s="198"/>
      <c r="Q2416" s="198"/>
      <c r="R2416" s="198"/>
      <c r="S2416" s="198"/>
      <c r="T2416" s="198"/>
      <c r="U2416" s="198"/>
      <c r="V2416" s="198"/>
      <c r="W2416" s="198"/>
      <c r="X2416" s="198"/>
      <c r="Y2416" s="198"/>
      <c r="Z2416" s="198"/>
    </row>
    <row r="2417" spans="1:26" ht="15.75" hidden="1" customHeight="1" x14ac:dyDescent="0.25">
      <c r="A2417" s="213">
        <v>39029</v>
      </c>
      <c r="B2417" s="214" t="s">
        <v>10915</v>
      </c>
      <c r="C2417" s="215" t="s">
        <v>585</v>
      </c>
      <c r="D2417" s="216">
        <v>14.94</v>
      </c>
      <c r="E2417" s="198"/>
      <c r="F2417" s="198"/>
      <c r="G2417" s="198"/>
      <c r="H2417" s="198"/>
      <c r="I2417" s="198"/>
      <c r="J2417" s="198"/>
      <c r="K2417" s="198"/>
      <c r="L2417" s="198"/>
      <c r="M2417" s="198"/>
      <c r="N2417" s="198"/>
      <c r="O2417" s="198"/>
      <c r="P2417" s="198"/>
      <c r="Q2417" s="198"/>
      <c r="R2417" s="198"/>
      <c r="S2417" s="198"/>
      <c r="T2417" s="198"/>
      <c r="U2417" s="198"/>
      <c r="V2417" s="198"/>
      <c r="W2417" s="198"/>
      <c r="X2417" s="198"/>
      <c r="Y2417" s="198"/>
      <c r="Z2417" s="198"/>
    </row>
    <row r="2418" spans="1:26" ht="15.75" hidden="1" customHeight="1" x14ac:dyDescent="0.25">
      <c r="A2418" s="213">
        <v>39028</v>
      </c>
      <c r="B2418" s="214" t="s">
        <v>10916</v>
      </c>
      <c r="C2418" s="215" t="s">
        <v>585</v>
      </c>
      <c r="D2418" s="216">
        <v>8.6999999999999993</v>
      </c>
      <c r="E2418" s="198"/>
      <c r="F2418" s="198"/>
      <c r="G2418" s="198"/>
      <c r="H2418" s="198"/>
      <c r="I2418" s="198"/>
      <c r="J2418" s="198"/>
      <c r="K2418" s="198"/>
      <c r="L2418" s="198"/>
      <c r="M2418" s="198"/>
      <c r="N2418" s="198"/>
      <c r="O2418" s="198"/>
      <c r="P2418" s="198"/>
      <c r="Q2418" s="198"/>
      <c r="R2418" s="198"/>
      <c r="S2418" s="198"/>
      <c r="T2418" s="198"/>
      <c r="U2418" s="198"/>
      <c r="V2418" s="198"/>
      <c r="W2418" s="198"/>
      <c r="X2418" s="198"/>
      <c r="Y2418" s="198"/>
      <c r="Z2418" s="198"/>
    </row>
    <row r="2419" spans="1:26" ht="15.75" hidden="1" customHeight="1" x14ac:dyDescent="0.25">
      <c r="A2419" s="213">
        <v>38541</v>
      </c>
      <c r="B2419" s="214" t="s">
        <v>10917</v>
      </c>
      <c r="C2419" s="215" t="s">
        <v>580</v>
      </c>
      <c r="D2419" s="216">
        <v>4864864.8600000003</v>
      </c>
      <c r="E2419" s="198"/>
      <c r="F2419" s="198"/>
      <c r="G2419" s="198"/>
      <c r="H2419" s="198"/>
      <c r="I2419" s="198"/>
      <c r="J2419" s="198"/>
      <c r="K2419" s="198"/>
      <c r="L2419" s="198"/>
      <c r="M2419" s="198"/>
      <c r="N2419" s="198"/>
      <c r="O2419" s="198"/>
      <c r="P2419" s="198"/>
      <c r="Q2419" s="198"/>
      <c r="R2419" s="198"/>
      <c r="S2419" s="198"/>
      <c r="T2419" s="198"/>
      <c r="U2419" s="198"/>
      <c r="V2419" s="198"/>
      <c r="W2419" s="198"/>
      <c r="X2419" s="198"/>
      <c r="Y2419" s="198"/>
      <c r="Z2419" s="198"/>
    </row>
    <row r="2420" spans="1:26" ht="15.75" hidden="1" customHeight="1" x14ac:dyDescent="0.25">
      <c r="A2420" s="213">
        <v>38542</v>
      </c>
      <c r="B2420" s="214" t="s">
        <v>10918</v>
      </c>
      <c r="C2420" s="215" t="s">
        <v>580</v>
      </c>
      <c r="D2420" s="216">
        <v>7459459.4699999997</v>
      </c>
      <c r="E2420" s="198"/>
      <c r="F2420" s="198"/>
      <c r="G2420" s="198"/>
      <c r="H2420" s="198"/>
      <c r="I2420" s="198"/>
      <c r="J2420" s="198"/>
      <c r="K2420" s="198"/>
      <c r="L2420" s="198"/>
      <c r="M2420" s="198"/>
      <c r="N2420" s="198"/>
      <c r="O2420" s="198"/>
      <c r="P2420" s="198"/>
      <c r="Q2420" s="198"/>
      <c r="R2420" s="198"/>
      <c r="S2420" s="198"/>
      <c r="T2420" s="198"/>
      <c r="U2420" s="198"/>
      <c r="V2420" s="198"/>
      <c r="W2420" s="198"/>
      <c r="X2420" s="198"/>
      <c r="Y2420" s="198"/>
      <c r="Z2420" s="198"/>
    </row>
    <row r="2421" spans="1:26" ht="15.75" hidden="1" customHeight="1" x14ac:dyDescent="0.25">
      <c r="A2421" s="213">
        <v>45080</v>
      </c>
      <c r="B2421" s="214" t="s">
        <v>10919</v>
      </c>
      <c r="C2421" s="215" t="s">
        <v>580</v>
      </c>
      <c r="D2421" s="216">
        <v>16154.82</v>
      </c>
      <c r="E2421" s="198"/>
      <c r="F2421" s="198"/>
      <c r="G2421" s="198"/>
      <c r="H2421" s="198"/>
      <c r="I2421" s="198"/>
      <c r="J2421" s="198"/>
      <c r="K2421" s="198"/>
      <c r="L2421" s="198"/>
      <c r="M2421" s="198"/>
      <c r="N2421" s="198"/>
      <c r="O2421" s="198"/>
      <c r="P2421" s="198"/>
      <c r="Q2421" s="198"/>
      <c r="R2421" s="198"/>
      <c r="S2421" s="198"/>
      <c r="T2421" s="198"/>
      <c r="U2421" s="198"/>
      <c r="V2421" s="198"/>
      <c r="W2421" s="198"/>
      <c r="X2421" s="198"/>
      <c r="Y2421" s="198"/>
      <c r="Z2421" s="198"/>
    </row>
    <row r="2422" spans="1:26" ht="15.75" hidden="1" customHeight="1" x14ac:dyDescent="0.25">
      <c r="A2422" s="213">
        <v>38543</v>
      </c>
      <c r="B2422" s="214" t="s">
        <v>10920</v>
      </c>
      <c r="C2422" s="215" t="s">
        <v>580</v>
      </c>
      <c r="D2422" s="216">
        <v>1518925.14</v>
      </c>
      <c r="E2422" s="198"/>
      <c r="F2422" s="198"/>
      <c r="G2422" s="198"/>
      <c r="H2422" s="198"/>
      <c r="I2422" s="198"/>
      <c r="J2422" s="198"/>
      <c r="K2422" s="198"/>
      <c r="L2422" s="198"/>
      <c r="M2422" s="198"/>
      <c r="N2422" s="198"/>
      <c r="O2422" s="198"/>
      <c r="P2422" s="198"/>
      <c r="Q2422" s="198"/>
      <c r="R2422" s="198"/>
      <c r="S2422" s="198"/>
      <c r="T2422" s="198"/>
      <c r="U2422" s="198"/>
      <c r="V2422" s="198"/>
      <c r="W2422" s="198"/>
      <c r="X2422" s="198"/>
      <c r="Y2422" s="198"/>
      <c r="Z2422" s="198"/>
    </row>
    <row r="2423" spans="1:26" ht="15.75" hidden="1" customHeight="1" x14ac:dyDescent="0.25">
      <c r="A2423" s="213">
        <v>44002</v>
      </c>
      <c r="B2423" s="214" t="s">
        <v>10921</v>
      </c>
      <c r="C2423" s="215" t="s">
        <v>580</v>
      </c>
      <c r="D2423" s="216">
        <v>7094810.79</v>
      </c>
      <c r="E2423" s="198"/>
      <c r="F2423" s="198"/>
      <c r="G2423" s="198"/>
      <c r="H2423" s="198"/>
      <c r="I2423" s="198"/>
      <c r="J2423" s="198"/>
      <c r="K2423" s="198"/>
      <c r="L2423" s="198"/>
      <c r="M2423" s="198"/>
      <c r="N2423" s="198"/>
      <c r="O2423" s="198"/>
      <c r="P2423" s="198"/>
      <c r="Q2423" s="198"/>
      <c r="R2423" s="198"/>
      <c r="S2423" s="198"/>
      <c r="T2423" s="198"/>
      <c r="U2423" s="198"/>
      <c r="V2423" s="198"/>
      <c r="W2423" s="198"/>
      <c r="X2423" s="198"/>
      <c r="Y2423" s="198"/>
      <c r="Z2423" s="198"/>
    </row>
    <row r="2424" spans="1:26" ht="15.75" hidden="1" customHeight="1" x14ac:dyDescent="0.25">
      <c r="A2424" s="213">
        <v>43886</v>
      </c>
      <c r="B2424" s="214" t="s">
        <v>10922</v>
      </c>
      <c r="C2424" s="215" t="s">
        <v>580</v>
      </c>
      <c r="D2424" s="216">
        <v>3443246.46</v>
      </c>
      <c r="E2424" s="198"/>
      <c r="F2424" s="198"/>
      <c r="G2424" s="198"/>
      <c r="H2424" s="198"/>
      <c r="I2424" s="198"/>
      <c r="J2424" s="198"/>
      <c r="K2424" s="198"/>
      <c r="L2424" s="198"/>
      <c r="M2424" s="198"/>
      <c r="N2424" s="198"/>
      <c r="O2424" s="198"/>
      <c r="P2424" s="198"/>
      <c r="Q2424" s="198"/>
      <c r="R2424" s="198"/>
      <c r="S2424" s="198"/>
      <c r="T2424" s="198"/>
      <c r="U2424" s="198"/>
      <c r="V2424" s="198"/>
      <c r="W2424" s="198"/>
      <c r="X2424" s="198"/>
      <c r="Y2424" s="198"/>
      <c r="Z2424" s="198"/>
    </row>
    <row r="2425" spans="1:26" ht="15.75" hidden="1" customHeight="1" x14ac:dyDescent="0.25">
      <c r="A2425" s="213">
        <v>40406</v>
      </c>
      <c r="B2425" s="214" t="s">
        <v>10923</v>
      </c>
      <c r="C2425" s="215" t="s">
        <v>580</v>
      </c>
      <c r="D2425" s="216">
        <v>73348.53</v>
      </c>
      <c r="E2425" s="198"/>
      <c r="F2425" s="198"/>
      <c r="G2425" s="198"/>
      <c r="H2425" s="198"/>
      <c r="I2425" s="198"/>
      <c r="J2425" s="198"/>
      <c r="K2425" s="198"/>
      <c r="L2425" s="198"/>
      <c r="M2425" s="198"/>
      <c r="N2425" s="198"/>
      <c r="O2425" s="198"/>
      <c r="P2425" s="198"/>
      <c r="Q2425" s="198"/>
      <c r="R2425" s="198"/>
      <c r="S2425" s="198"/>
      <c r="T2425" s="198"/>
      <c r="U2425" s="198"/>
      <c r="V2425" s="198"/>
      <c r="W2425" s="198"/>
      <c r="X2425" s="198"/>
      <c r="Y2425" s="198"/>
      <c r="Z2425" s="198"/>
    </row>
    <row r="2426" spans="1:26" ht="15.75" hidden="1" customHeight="1" x14ac:dyDescent="0.25">
      <c r="A2426" s="213">
        <v>40789</v>
      </c>
      <c r="B2426" s="214" t="s">
        <v>10924</v>
      </c>
      <c r="C2426" s="215" t="s">
        <v>580</v>
      </c>
      <c r="D2426" s="216">
        <v>10570.27</v>
      </c>
      <c r="E2426" s="198"/>
      <c r="F2426" s="198"/>
      <c r="G2426" s="198"/>
      <c r="H2426" s="198"/>
      <c r="I2426" s="198"/>
      <c r="J2426" s="198"/>
      <c r="K2426" s="198"/>
      <c r="L2426" s="198"/>
      <c r="M2426" s="198"/>
      <c r="N2426" s="198"/>
      <c r="O2426" s="198"/>
      <c r="P2426" s="198"/>
      <c r="Q2426" s="198"/>
      <c r="R2426" s="198"/>
      <c r="S2426" s="198"/>
      <c r="T2426" s="198"/>
      <c r="U2426" s="198"/>
      <c r="V2426" s="198"/>
      <c r="W2426" s="198"/>
      <c r="X2426" s="198"/>
      <c r="Y2426" s="198"/>
      <c r="Z2426" s="198"/>
    </row>
    <row r="2427" spans="1:26" ht="15.75" hidden="1" customHeight="1" x14ac:dyDescent="0.25">
      <c r="A2427" s="213">
        <v>40791</v>
      </c>
      <c r="B2427" s="214" t="s">
        <v>10925</v>
      </c>
      <c r="C2427" s="215" t="s">
        <v>580</v>
      </c>
      <c r="D2427" s="216">
        <v>33089.56</v>
      </c>
      <c r="E2427" s="198"/>
      <c r="F2427" s="198"/>
      <c r="G2427" s="198"/>
      <c r="H2427" s="198"/>
      <c r="I2427" s="198"/>
      <c r="J2427" s="198"/>
      <c r="K2427" s="198"/>
      <c r="L2427" s="198"/>
      <c r="M2427" s="198"/>
      <c r="N2427" s="198"/>
      <c r="O2427" s="198"/>
      <c r="P2427" s="198"/>
      <c r="Q2427" s="198"/>
      <c r="R2427" s="198"/>
      <c r="S2427" s="198"/>
      <c r="T2427" s="198"/>
      <c r="U2427" s="198"/>
      <c r="V2427" s="198"/>
      <c r="W2427" s="198"/>
      <c r="X2427" s="198"/>
      <c r="Y2427" s="198"/>
      <c r="Z2427" s="198"/>
    </row>
    <row r="2428" spans="1:26" ht="15.75" hidden="1" customHeight="1" x14ac:dyDescent="0.25">
      <c r="A2428" s="213">
        <v>44003</v>
      </c>
      <c r="B2428" s="214" t="s">
        <v>10926</v>
      </c>
      <c r="C2428" s="215" t="s">
        <v>580</v>
      </c>
      <c r="D2428" s="216">
        <v>9859459.5</v>
      </c>
      <c r="E2428" s="198"/>
      <c r="F2428" s="198"/>
      <c r="G2428" s="198"/>
      <c r="H2428" s="198"/>
      <c r="I2428" s="198"/>
      <c r="J2428" s="198"/>
      <c r="K2428" s="198"/>
      <c r="L2428" s="198"/>
      <c r="M2428" s="198"/>
      <c r="N2428" s="198"/>
      <c r="O2428" s="198"/>
      <c r="P2428" s="198"/>
      <c r="Q2428" s="198"/>
      <c r="R2428" s="198"/>
      <c r="S2428" s="198"/>
      <c r="T2428" s="198"/>
      <c r="U2428" s="198"/>
      <c r="V2428" s="198"/>
      <c r="W2428" s="198"/>
      <c r="X2428" s="198"/>
      <c r="Y2428" s="198"/>
      <c r="Z2428" s="198"/>
    </row>
    <row r="2429" spans="1:26" ht="15.75" hidden="1" customHeight="1" x14ac:dyDescent="0.25">
      <c r="A2429" s="213">
        <v>44548</v>
      </c>
      <c r="B2429" s="214" t="s">
        <v>10927</v>
      </c>
      <c r="C2429" s="215" t="s">
        <v>580</v>
      </c>
      <c r="D2429" s="216">
        <v>3015254.07</v>
      </c>
      <c r="E2429" s="198"/>
      <c r="F2429" s="198"/>
      <c r="G2429" s="198"/>
      <c r="H2429" s="198"/>
      <c r="I2429" s="198"/>
      <c r="J2429" s="198"/>
      <c r="K2429" s="198"/>
      <c r="L2429" s="198"/>
      <c r="M2429" s="198"/>
      <c r="N2429" s="198"/>
      <c r="O2429" s="198"/>
      <c r="P2429" s="198"/>
      <c r="Q2429" s="198"/>
      <c r="R2429" s="198"/>
      <c r="S2429" s="198"/>
      <c r="T2429" s="198"/>
      <c r="U2429" s="198"/>
      <c r="V2429" s="198"/>
      <c r="W2429" s="198"/>
      <c r="X2429" s="198"/>
      <c r="Y2429" s="198"/>
      <c r="Z2429" s="198"/>
    </row>
    <row r="2430" spans="1:26" ht="15.75" hidden="1" customHeight="1" x14ac:dyDescent="0.25">
      <c r="A2430" s="213">
        <v>44550</v>
      </c>
      <c r="B2430" s="214" t="s">
        <v>10928</v>
      </c>
      <c r="C2430" s="215" t="s">
        <v>580</v>
      </c>
      <c r="D2430" s="216">
        <v>9459891.9000000004</v>
      </c>
      <c r="E2430" s="198"/>
      <c r="F2430" s="198"/>
      <c r="G2430" s="198"/>
      <c r="H2430" s="198"/>
      <c r="I2430" s="198"/>
      <c r="J2430" s="198"/>
      <c r="K2430" s="198"/>
      <c r="L2430" s="198"/>
      <c r="M2430" s="198"/>
      <c r="N2430" s="198"/>
      <c r="O2430" s="198"/>
      <c r="P2430" s="198"/>
      <c r="Q2430" s="198"/>
      <c r="R2430" s="198"/>
      <c r="S2430" s="198"/>
      <c r="T2430" s="198"/>
      <c r="U2430" s="198"/>
      <c r="V2430" s="198"/>
      <c r="W2430" s="198"/>
      <c r="X2430" s="198"/>
      <c r="Y2430" s="198"/>
      <c r="Z2430" s="198"/>
    </row>
    <row r="2431" spans="1:26" ht="15.75" hidden="1" customHeight="1" x14ac:dyDescent="0.25">
      <c r="A2431" s="213">
        <v>44549</v>
      </c>
      <c r="B2431" s="214" t="s">
        <v>10929</v>
      </c>
      <c r="C2431" s="215" t="s">
        <v>580</v>
      </c>
      <c r="D2431" s="216">
        <v>6917545.9800000004</v>
      </c>
      <c r="E2431" s="198"/>
      <c r="F2431" s="198"/>
      <c r="G2431" s="198"/>
      <c r="H2431" s="198"/>
      <c r="I2431" s="198"/>
      <c r="J2431" s="198"/>
      <c r="K2431" s="198"/>
      <c r="L2431" s="198"/>
      <c r="M2431" s="198"/>
      <c r="N2431" s="198"/>
      <c r="O2431" s="198"/>
      <c r="P2431" s="198"/>
      <c r="Q2431" s="198"/>
      <c r="R2431" s="198"/>
      <c r="S2431" s="198"/>
      <c r="T2431" s="198"/>
      <c r="U2431" s="198"/>
      <c r="V2431" s="198"/>
      <c r="W2431" s="198"/>
      <c r="X2431" s="198"/>
      <c r="Y2431" s="198"/>
      <c r="Z2431" s="198"/>
    </row>
    <row r="2432" spans="1:26" ht="15.75" hidden="1" customHeight="1" x14ac:dyDescent="0.25">
      <c r="A2432" s="213">
        <v>11651</v>
      </c>
      <c r="B2432" s="214" t="s">
        <v>10930</v>
      </c>
      <c r="C2432" s="215" t="s">
        <v>580</v>
      </c>
      <c r="D2432" s="216">
        <v>18097.150000000001</v>
      </c>
      <c r="E2432" s="198"/>
      <c r="F2432" s="198"/>
      <c r="G2432" s="198"/>
      <c r="H2432" s="198"/>
      <c r="I2432" s="198"/>
      <c r="J2432" s="198"/>
      <c r="K2432" s="198"/>
      <c r="L2432" s="198"/>
      <c r="M2432" s="198"/>
      <c r="N2432" s="198"/>
      <c r="O2432" s="198"/>
      <c r="P2432" s="198"/>
      <c r="Q2432" s="198"/>
      <c r="R2432" s="198"/>
      <c r="S2432" s="198"/>
      <c r="T2432" s="198"/>
      <c r="U2432" s="198"/>
      <c r="V2432" s="198"/>
      <c r="W2432" s="198"/>
      <c r="X2432" s="198"/>
      <c r="Y2432" s="198"/>
      <c r="Z2432" s="198"/>
    </row>
    <row r="2433" spans="1:26" ht="15.75" hidden="1" customHeight="1" x14ac:dyDescent="0.25">
      <c r="A2433" s="213">
        <v>41982</v>
      </c>
      <c r="B2433" s="214" t="s">
        <v>10931</v>
      </c>
      <c r="C2433" s="215" t="s">
        <v>580</v>
      </c>
      <c r="D2433" s="216">
        <v>1837837.8</v>
      </c>
      <c r="E2433" s="198"/>
      <c r="F2433" s="198"/>
      <c r="G2433" s="198"/>
      <c r="H2433" s="198"/>
      <c r="I2433" s="198"/>
      <c r="J2433" s="198"/>
      <c r="K2433" s="198"/>
      <c r="L2433" s="198"/>
      <c r="M2433" s="198"/>
      <c r="N2433" s="198"/>
      <c r="O2433" s="198"/>
      <c r="P2433" s="198"/>
      <c r="Q2433" s="198"/>
      <c r="R2433" s="198"/>
      <c r="S2433" s="198"/>
      <c r="T2433" s="198"/>
      <c r="U2433" s="198"/>
      <c r="V2433" s="198"/>
      <c r="W2433" s="198"/>
      <c r="X2433" s="198"/>
      <c r="Y2433" s="198"/>
      <c r="Z2433" s="198"/>
    </row>
    <row r="2434" spans="1:26" ht="15.75" hidden="1" customHeight="1" x14ac:dyDescent="0.25">
      <c r="A2434" s="213">
        <v>39012</v>
      </c>
      <c r="B2434" s="214" t="s">
        <v>10932</v>
      </c>
      <c r="C2434" s="215" t="s">
        <v>580</v>
      </c>
      <c r="D2434" s="216">
        <v>1078378.3799999999</v>
      </c>
      <c r="E2434" s="198"/>
      <c r="F2434" s="198"/>
      <c r="G2434" s="198"/>
      <c r="H2434" s="198"/>
      <c r="I2434" s="198"/>
      <c r="J2434" s="198"/>
      <c r="K2434" s="198"/>
      <c r="L2434" s="198"/>
      <c r="M2434" s="198"/>
      <c r="N2434" s="198"/>
      <c r="O2434" s="198"/>
      <c r="P2434" s="198"/>
      <c r="Q2434" s="198"/>
      <c r="R2434" s="198"/>
      <c r="S2434" s="198"/>
      <c r="T2434" s="198"/>
      <c r="U2434" s="198"/>
      <c r="V2434" s="198"/>
      <c r="W2434" s="198"/>
      <c r="X2434" s="198"/>
      <c r="Y2434" s="198"/>
      <c r="Z2434" s="198"/>
    </row>
    <row r="2435" spans="1:26" ht="15.75" hidden="1" customHeight="1" x14ac:dyDescent="0.25">
      <c r="A2435" s="213">
        <v>40435</v>
      </c>
      <c r="B2435" s="214" t="s">
        <v>10933</v>
      </c>
      <c r="C2435" s="215" t="s">
        <v>580</v>
      </c>
      <c r="D2435" s="216">
        <v>1088925.3899999999</v>
      </c>
      <c r="E2435" s="198"/>
      <c r="F2435" s="198"/>
      <c r="G2435" s="198"/>
      <c r="H2435" s="198"/>
      <c r="I2435" s="198"/>
      <c r="J2435" s="198"/>
      <c r="K2435" s="198"/>
      <c r="L2435" s="198"/>
      <c r="M2435" s="198"/>
      <c r="N2435" s="198"/>
      <c r="O2435" s="198"/>
      <c r="P2435" s="198"/>
      <c r="Q2435" s="198"/>
      <c r="R2435" s="198"/>
      <c r="S2435" s="198"/>
      <c r="T2435" s="198"/>
      <c r="U2435" s="198"/>
      <c r="V2435" s="198"/>
      <c r="W2435" s="198"/>
      <c r="X2435" s="198"/>
      <c r="Y2435" s="198"/>
      <c r="Z2435" s="198"/>
    </row>
    <row r="2436" spans="1:26" ht="15.75" hidden="1" customHeight="1" x14ac:dyDescent="0.25">
      <c r="A2436" s="213">
        <v>13617</v>
      </c>
      <c r="B2436" s="214" t="s">
        <v>10934</v>
      </c>
      <c r="C2436" s="215" t="s">
        <v>580</v>
      </c>
      <c r="D2436" s="216">
        <v>97258.93</v>
      </c>
      <c r="E2436" s="198"/>
      <c r="F2436" s="198"/>
      <c r="G2436" s="198"/>
      <c r="H2436" s="198"/>
      <c r="I2436" s="198"/>
      <c r="J2436" s="198"/>
      <c r="K2436" s="198"/>
      <c r="L2436" s="198"/>
      <c r="M2436" s="198"/>
      <c r="N2436" s="198"/>
      <c r="O2436" s="198"/>
      <c r="P2436" s="198"/>
      <c r="Q2436" s="198"/>
      <c r="R2436" s="198"/>
      <c r="S2436" s="198"/>
      <c r="T2436" s="198"/>
      <c r="U2436" s="198"/>
      <c r="V2436" s="198"/>
      <c r="W2436" s="198"/>
      <c r="X2436" s="198"/>
      <c r="Y2436" s="198"/>
      <c r="Z2436" s="198"/>
    </row>
    <row r="2437" spans="1:26" ht="15.75" hidden="1" customHeight="1" x14ac:dyDescent="0.25">
      <c r="A2437" s="213">
        <v>35274</v>
      </c>
      <c r="B2437" s="214" t="s">
        <v>10935</v>
      </c>
      <c r="C2437" s="215" t="s">
        <v>585</v>
      </c>
      <c r="D2437" s="216">
        <v>58.57</v>
      </c>
      <c r="E2437" s="198"/>
      <c r="F2437" s="198"/>
      <c r="G2437" s="198"/>
      <c r="H2437" s="198"/>
      <c r="I2437" s="198"/>
      <c r="J2437" s="198"/>
      <c r="K2437" s="198"/>
      <c r="L2437" s="198"/>
      <c r="M2437" s="198"/>
      <c r="N2437" s="198"/>
      <c r="O2437" s="198"/>
      <c r="P2437" s="198"/>
      <c r="Q2437" s="198"/>
      <c r="R2437" s="198"/>
      <c r="S2437" s="198"/>
      <c r="T2437" s="198"/>
      <c r="U2437" s="198"/>
      <c r="V2437" s="198"/>
      <c r="W2437" s="198"/>
      <c r="X2437" s="198"/>
      <c r="Y2437" s="198"/>
      <c r="Z2437" s="198"/>
    </row>
    <row r="2438" spans="1:26" ht="15.75" hidden="1" customHeight="1" x14ac:dyDescent="0.25">
      <c r="A2438" s="213">
        <v>35275</v>
      </c>
      <c r="B2438" s="214" t="s">
        <v>10936</v>
      </c>
      <c r="C2438" s="215" t="s">
        <v>585</v>
      </c>
      <c r="D2438" s="216">
        <v>124.33</v>
      </c>
      <c r="E2438" s="198"/>
      <c r="F2438" s="198"/>
      <c r="G2438" s="198"/>
      <c r="H2438" s="198"/>
      <c r="I2438" s="198"/>
      <c r="J2438" s="198"/>
      <c r="K2438" s="198"/>
      <c r="L2438" s="198"/>
      <c r="M2438" s="198"/>
      <c r="N2438" s="198"/>
      <c r="O2438" s="198"/>
      <c r="P2438" s="198"/>
      <c r="Q2438" s="198"/>
      <c r="R2438" s="198"/>
      <c r="S2438" s="198"/>
      <c r="T2438" s="198"/>
      <c r="U2438" s="198"/>
      <c r="V2438" s="198"/>
      <c r="W2438" s="198"/>
      <c r="X2438" s="198"/>
      <c r="Y2438" s="198"/>
      <c r="Z2438" s="198"/>
    </row>
    <row r="2439" spans="1:26" ht="15.75" hidden="1" customHeight="1" x14ac:dyDescent="0.25">
      <c r="A2439" s="213">
        <v>35276</v>
      </c>
      <c r="B2439" s="214" t="s">
        <v>10937</v>
      </c>
      <c r="C2439" s="215" t="s">
        <v>585</v>
      </c>
      <c r="D2439" s="216">
        <v>216.33</v>
      </c>
      <c r="E2439" s="198"/>
      <c r="F2439" s="198"/>
      <c r="G2439" s="198"/>
      <c r="H2439" s="198"/>
      <c r="I2439" s="198"/>
      <c r="J2439" s="198"/>
      <c r="K2439" s="198"/>
      <c r="L2439" s="198"/>
      <c r="M2439" s="198"/>
      <c r="N2439" s="198"/>
      <c r="O2439" s="198"/>
      <c r="P2439" s="198"/>
      <c r="Q2439" s="198"/>
      <c r="R2439" s="198"/>
      <c r="S2439" s="198"/>
      <c r="T2439" s="198"/>
      <c r="U2439" s="198"/>
      <c r="V2439" s="198"/>
      <c r="W2439" s="198"/>
      <c r="X2439" s="198"/>
      <c r="Y2439" s="198"/>
      <c r="Z2439" s="198"/>
    </row>
    <row r="2440" spans="1:26" ht="15.75" hidden="1" customHeight="1" x14ac:dyDescent="0.25">
      <c r="A2440" s="213">
        <v>11091</v>
      </c>
      <c r="B2440" s="214" t="s">
        <v>10938</v>
      </c>
      <c r="C2440" s="215" t="s">
        <v>580</v>
      </c>
      <c r="D2440" s="216">
        <v>1.22</v>
      </c>
      <c r="E2440" s="198"/>
      <c r="F2440" s="198"/>
      <c r="G2440" s="198"/>
      <c r="H2440" s="198"/>
      <c r="I2440" s="198"/>
      <c r="J2440" s="198"/>
      <c r="K2440" s="198"/>
      <c r="L2440" s="198"/>
      <c r="M2440" s="198"/>
      <c r="N2440" s="198"/>
      <c r="O2440" s="198"/>
      <c r="P2440" s="198"/>
      <c r="Q2440" s="198"/>
      <c r="R2440" s="198"/>
      <c r="S2440" s="198"/>
      <c r="T2440" s="198"/>
      <c r="U2440" s="198"/>
      <c r="V2440" s="198"/>
      <c r="W2440" s="198"/>
      <c r="X2440" s="198"/>
      <c r="Y2440" s="198"/>
      <c r="Z2440" s="198"/>
    </row>
    <row r="2441" spans="1:26" ht="15.75" hidden="1" customHeight="1" x14ac:dyDescent="0.25">
      <c r="A2441" s="213">
        <v>43606</v>
      </c>
      <c r="B2441" s="214" t="s">
        <v>10939</v>
      </c>
      <c r="C2441" s="215" t="s">
        <v>580</v>
      </c>
      <c r="D2441" s="216">
        <v>8.3699999999999992</v>
      </c>
      <c r="E2441" s="198"/>
      <c r="F2441" s="198"/>
      <c r="G2441" s="198"/>
      <c r="H2441" s="198"/>
      <c r="I2441" s="198"/>
      <c r="J2441" s="198"/>
      <c r="K2441" s="198"/>
      <c r="L2441" s="198"/>
      <c r="M2441" s="198"/>
      <c r="N2441" s="198"/>
      <c r="O2441" s="198"/>
      <c r="P2441" s="198"/>
      <c r="Q2441" s="198"/>
      <c r="R2441" s="198"/>
      <c r="S2441" s="198"/>
      <c r="T2441" s="198"/>
      <c r="U2441" s="198"/>
      <c r="V2441" s="198"/>
      <c r="W2441" s="198"/>
      <c r="X2441" s="198"/>
      <c r="Y2441" s="198"/>
      <c r="Z2441" s="198"/>
    </row>
    <row r="2442" spans="1:26" ht="15.75" hidden="1" customHeight="1" x14ac:dyDescent="0.25">
      <c r="A2442" s="213">
        <v>444</v>
      </c>
      <c r="B2442" s="214" t="s">
        <v>10940</v>
      </c>
      <c r="C2442" s="215" t="s">
        <v>580</v>
      </c>
      <c r="D2442" s="216">
        <v>21.64</v>
      </c>
      <c r="E2442" s="198"/>
      <c r="F2442" s="198"/>
      <c r="G2442" s="198"/>
      <c r="H2442" s="198"/>
      <c r="I2442" s="198"/>
      <c r="J2442" s="198"/>
      <c r="K2442" s="198"/>
      <c r="L2442" s="198"/>
      <c r="M2442" s="198"/>
      <c r="N2442" s="198"/>
      <c r="O2442" s="198"/>
      <c r="P2442" s="198"/>
      <c r="Q2442" s="198"/>
      <c r="R2442" s="198"/>
      <c r="S2442" s="198"/>
      <c r="T2442" s="198"/>
      <c r="U2442" s="198"/>
      <c r="V2442" s="198"/>
      <c r="W2442" s="198"/>
      <c r="X2442" s="198"/>
      <c r="Y2442" s="198"/>
      <c r="Z2442" s="198"/>
    </row>
    <row r="2443" spans="1:26" ht="15.75" hidden="1" customHeight="1" x14ac:dyDescent="0.25">
      <c r="A2443" s="213">
        <v>445</v>
      </c>
      <c r="B2443" s="214" t="s">
        <v>10941</v>
      </c>
      <c r="C2443" s="215" t="s">
        <v>580</v>
      </c>
      <c r="D2443" s="216">
        <v>29.63</v>
      </c>
      <c r="E2443" s="198"/>
      <c r="F2443" s="198"/>
      <c r="G2443" s="198"/>
      <c r="H2443" s="198"/>
      <c r="I2443" s="198"/>
      <c r="J2443" s="198"/>
      <c r="K2443" s="198"/>
      <c r="L2443" s="198"/>
      <c r="M2443" s="198"/>
      <c r="N2443" s="198"/>
      <c r="O2443" s="198"/>
      <c r="P2443" s="198"/>
      <c r="Q2443" s="198"/>
      <c r="R2443" s="198"/>
      <c r="S2443" s="198"/>
      <c r="T2443" s="198"/>
      <c r="U2443" s="198"/>
      <c r="V2443" s="198"/>
      <c r="W2443" s="198"/>
      <c r="X2443" s="198"/>
      <c r="Y2443" s="198"/>
      <c r="Z2443" s="198"/>
    </row>
    <row r="2444" spans="1:26" ht="15.75" hidden="1" customHeight="1" x14ac:dyDescent="0.25">
      <c r="A2444" s="213">
        <v>4783</v>
      </c>
      <c r="B2444" s="214" t="s">
        <v>10942</v>
      </c>
      <c r="C2444" s="215" t="s">
        <v>2193</v>
      </c>
      <c r="D2444" s="216">
        <v>27.06</v>
      </c>
      <c r="E2444" s="198"/>
      <c r="F2444" s="198"/>
      <c r="G2444" s="198"/>
      <c r="H2444" s="198"/>
      <c r="I2444" s="198"/>
      <c r="J2444" s="198"/>
      <c r="K2444" s="198"/>
      <c r="L2444" s="198"/>
      <c r="M2444" s="198"/>
      <c r="N2444" s="198"/>
      <c r="O2444" s="198"/>
      <c r="P2444" s="198"/>
      <c r="Q2444" s="198"/>
      <c r="R2444" s="198"/>
      <c r="S2444" s="198"/>
      <c r="T2444" s="198"/>
      <c r="U2444" s="198"/>
      <c r="V2444" s="198"/>
      <c r="W2444" s="198"/>
      <c r="X2444" s="198"/>
      <c r="Y2444" s="198"/>
      <c r="Z2444" s="198"/>
    </row>
    <row r="2445" spans="1:26" ht="15.75" hidden="1" customHeight="1" x14ac:dyDescent="0.25">
      <c r="A2445" s="213">
        <v>41079</v>
      </c>
      <c r="B2445" s="214" t="s">
        <v>10943</v>
      </c>
      <c r="C2445" s="215" t="s">
        <v>6214</v>
      </c>
      <c r="D2445" s="216">
        <v>4747.54</v>
      </c>
      <c r="E2445" s="198"/>
      <c r="F2445" s="198"/>
      <c r="G2445" s="198"/>
      <c r="H2445" s="198"/>
      <c r="I2445" s="198"/>
      <c r="J2445" s="198"/>
      <c r="K2445" s="198"/>
      <c r="L2445" s="198"/>
      <c r="M2445" s="198"/>
      <c r="N2445" s="198"/>
      <c r="O2445" s="198"/>
      <c r="P2445" s="198"/>
      <c r="Q2445" s="198"/>
      <c r="R2445" s="198"/>
      <c r="S2445" s="198"/>
      <c r="T2445" s="198"/>
      <c r="U2445" s="198"/>
      <c r="V2445" s="198"/>
      <c r="W2445" s="198"/>
      <c r="X2445" s="198"/>
      <c r="Y2445" s="198"/>
      <c r="Z2445" s="198"/>
    </row>
    <row r="2446" spans="1:26" ht="15.75" hidden="1" customHeight="1" x14ac:dyDescent="0.25">
      <c r="A2446" s="213">
        <v>12874</v>
      </c>
      <c r="B2446" s="214" t="s">
        <v>10944</v>
      </c>
      <c r="C2446" s="215" t="s">
        <v>2193</v>
      </c>
      <c r="D2446" s="216">
        <v>26.26</v>
      </c>
      <c r="E2446" s="198"/>
      <c r="F2446" s="198"/>
      <c r="G2446" s="198"/>
      <c r="H2446" s="198"/>
      <c r="I2446" s="198"/>
      <c r="J2446" s="198"/>
      <c r="K2446" s="198"/>
      <c r="L2446" s="198"/>
      <c r="M2446" s="198"/>
      <c r="N2446" s="198"/>
      <c r="O2446" s="198"/>
      <c r="P2446" s="198"/>
      <c r="Q2446" s="198"/>
      <c r="R2446" s="198"/>
      <c r="S2446" s="198"/>
      <c r="T2446" s="198"/>
      <c r="U2446" s="198"/>
      <c r="V2446" s="198"/>
      <c r="W2446" s="198"/>
      <c r="X2446" s="198"/>
      <c r="Y2446" s="198"/>
      <c r="Z2446" s="198"/>
    </row>
    <row r="2447" spans="1:26" ht="15.75" hidden="1" customHeight="1" x14ac:dyDescent="0.25">
      <c r="A2447" s="213">
        <v>41082</v>
      </c>
      <c r="B2447" s="214" t="s">
        <v>10945</v>
      </c>
      <c r="C2447" s="215" t="s">
        <v>6214</v>
      </c>
      <c r="D2447" s="216">
        <v>4610.18</v>
      </c>
      <c r="E2447" s="198"/>
      <c r="F2447" s="198"/>
      <c r="G2447" s="198"/>
      <c r="H2447" s="198"/>
      <c r="I2447" s="198"/>
      <c r="J2447" s="198"/>
      <c r="K2447" s="198"/>
      <c r="L2447" s="198"/>
      <c r="M2447" s="198"/>
      <c r="N2447" s="198"/>
      <c r="O2447" s="198"/>
      <c r="P2447" s="198"/>
      <c r="Q2447" s="198"/>
      <c r="R2447" s="198"/>
      <c r="S2447" s="198"/>
      <c r="T2447" s="198"/>
      <c r="U2447" s="198"/>
      <c r="V2447" s="198"/>
      <c r="W2447" s="198"/>
      <c r="X2447" s="198"/>
      <c r="Y2447" s="198"/>
      <c r="Z2447" s="198"/>
    </row>
    <row r="2448" spans="1:26" ht="15.75" hidden="1" customHeight="1" x14ac:dyDescent="0.25">
      <c r="A2448" s="213">
        <v>4785</v>
      </c>
      <c r="B2448" s="214" t="s">
        <v>10946</v>
      </c>
      <c r="C2448" s="215" t="s">
        <v>2193</v>
      </c>
      <c r="D2448" s="216">
        <v>27.06</v>
      </c>
      <c r="E2448" s="198"/>
      <c r="F2448" s="198"/>
      <c r="G2448" s="198"/>
      <c r="H2448" s="198"/>
      <c r="I2448" s="198"/>
      <c r="J2448" s="198"/>
      <c r="K2448" s="198"/>
      <c r="L2448" s="198"/>
      <c r="M2448" s="198"/>
      <c r="N2448" s="198"/>
      <c r="O2448" s="198"/>
      <c r="P2448" s="198"/>
      <c r="Q2448" s="198"/>
      <c r="R2448" s="198"/>
      <c r="S2448" s="198"/>
      <c r="T2448" s="198"/>
      <c r="U2448" s="198"/>
      <c r="V2448" s="198"/>
      <c r="W2448" s="198"/>
      <c r="X2448" s="198"/>
      <c r="Y2448" s="198"/>
      <c r="Z2448" s="198"/>
    </row>
    <row r="2449" spans="1:26" ht="15.75" hidden="1" customHeight="1" x14ac:dyDescent="0.25">
      <c r="A2449" s="213">
        <v>41081</v>
      </c>
      <c r="B2449" s="214" t="s">
        <v>10947</v>
      </c>
      <c r="C2449" s="215" t="s">
        <v>6214</v>
      </c>
      <c r="D2449" s="216">
        <v>4747.54</v>
      </c>
      <c r="E2449" s="198"/>
      <c r="F2449" s="198"/>
      <c r="G2449" s="198"/>
      <c r="H2449" s="198"/>
      <c r="I2449" s="198"/>
      <c r="J2449" s="198"/>
      <c r="K2449" s="198"/>
      <c r="L2449" s="198"/>
      <c r="M2449" s="198"/>
      <c r="N2449" s="198"/>
      <c r="O2449" s="198"/>
      <c r="P2449" s="198"/>
      <c r="Q2449" s="198"/>
      <c r="R2449" s="198"/>
      <c r="S2449" s="198"/>
      <c r="T2449" s="198"/>
      <c r="U2449" s="198"/>
      <c r="V2449" s="198"/>
      <c r="W2449" s="198"/>
      <c r="X2449" s="198"/>
      <c r="Y2449" s="198"/>
      <c r="Z2449" s="198"/>
    </row>
    <row r="2450" spans="1:26" ht="15.75" hidden="1" customHeight="1" x14ac:dyDescent="0.25">
      <c r="A2450" s="213">
        <v>4801</v>
      </c>
      <c r="B2450" s="214" t="s">
        <v>10948</v>
      </c>
      <c r="C2450" s="215" t="s">
        <v>578</v>
      </c>
      <c r="D2450" s="216">
        <v>73.47</v>
      </c>
      <c r="E2450" s="198"/>
      <c r="F2450" s="198"/>
      <c r="G2450" s="198"/>
      <c r="H2450" s="198"/>
      <c r="I2450" s="198"/>
      <c r="J2450" s="198"/>
      <c r="K2450" s="198"/>
      <c r="L2450" s="198"/>
      <c r="M2450" s="198"/>
      <c r="N2450" s="198"/>
      <c r="O2450" s="198"/>
      <c r="P2450" s="198"/>
      <c r="Q2450" s="198"/>
      <c r="R2450" s="198"/>
      <c r="S2450" s="198"/>
      <c r="T2450" s="198"/>
      <c r="U2450" s="198"/>
      <c r="V2450" s="198"/>
      <c r="W2450" s="198"/>
      <c r="X2450" s="198"/>
      <c r="Y2450" s="198"/>
      <c r="Z2450" s="198"/>
    </row>
    <row r="2451" spans="1:26" ht="15.75" hidden="1" customHeight="1" x14ac:dyDescent="0.25">
      <c r="A2451" s="213">
        <v>4794</v>
      </c>
      <c r="B2451" s="214" t="s">
        <v>10949</v>
      </c>
      <c r="C2451" s="215" t="s">
        <v>578</v>
      </c>
      <c r="D2451" s="216">
        <v>334.64</v>
      </c>
      <c r="E2451" s="198"/>
      <c r="F2451" s="198"/>
      <c r="G2451" s="198"/>
      <c r="H2451" s="198"/>
      <c r="I2451" s="198"/>
      <c r="J2451" s="198"/>
      <c r="K2451" s="198"/>
      <c r="L2451" s="198"/>
      <c r="M2451" s="198"/>
      <c r="N2451" s="198"/>
      <c r="O2451" s="198"/>
      <c r="P2451" s="198"/>
      <c r="Q2451" s="198"/>
      <c r="R2451" s="198"/>
      <c r="S2451" s="198"/>
      <c r="T2451" s="198"/>
      <c r="U2451" s="198"/>
      <c r="V2451" s="198"/>
      <c r="W2451" s="198"/>
      <c r="X2451" s="198"/>
      <c r="Y2451" s="198"/>
      <c r="Z2451" s="198"/>
    </row>
    <row r="2452" spans="1:26" ht="15.75" hidden="1" customHeight="1" x14ac:dyDescent="0.25">
      <c r="A2452" s="213">
        <v>4796</v>
      </c>
      <c r="B2452" s="214" t="s">
        <v>10950</v>
      </c>
      <c r="C2452" s="215" t="s">
        <v>578</v>
      </c>
      <c r="D2452" s="216">
        <v>203.26</v>
      </c>
      <c r="E2452" s="198"/>
      <c r="F2452" s="198"/>
      <c r="G2452" s="198"/>
      <c r="H2452" s="198"/>
      <c r="I2452" s="198"/>
      <c r="J2452" s="198"/>
      <c r="K2452" s="198"/>
      <c r="L2452" s="198"/>
      <c r="M2452" s="198"/>
      <c r="N2452" s="198"/>
      <c r="O2452" s="198"/>
      <c r="P2452" s="198"/>
      <c r="Q2452" s="198"/>
      <c r="R2452" s="198"/>
      <c r="S2452" s="198"/>
      <c r="T2452" s="198"/>
      <c r="U2452" s="198"/>
      <c r="V2452" s="198"/>
      <c r="W2452" s="198"/>
      <c r="X2452" s="198"/>
      <c r="Y2452" s="198"/>
      <c r="Z2452" s="198"/>
    </row>
    <row r="2453" spans="1:26" ht="15.75" hidden="1" customHeight="1" x14ac:dyDescent="0.25">
      <c r="A2453" s="213">
        <v>4800</v>
      </c>
      <c r="B2453" s="214" t="s">
        <v>10951</v>
      </c>
      <c r="C2453" s="215" t="s">
        <v>578</v>
      </c>
      <c r="D2453" s="216">
        <v>55.89</v>
      </c>
      <c r="E2453" s="198"/>
      <c r="F2453" s="198"/>
      <c r="G2453" s="198"/>
      <c r="H2453" s="198"/>
      <c r="I2453" s="198"/>
      <c r="J2453" s="198"/>
      <c r="K2453" s="198"/>
      <c r="L2453" s="198"/>
      <c r="M2453" s="198"/>
      <c r="N2453" s="198"/>
      <c r="O2453" s="198"/>
      <c r="P2453" s="198"/>
      <c r="Q2453" s="198"/>
      <c r="R2453" s="198"/>
      <c r="S2453" s="198"/>
      <c r="T2453" s="198"/>
      <c r="U2453" s="198"/>
      <c r="V2453" s="198"/>
      <c r="W2453" s="198"/>
      <c r="X2453" s="198"/>
      <c r="Y2453" s="198"/>
      <c r="Z2453" s="198"/>
    </row>
    <row r="2454" spans="1:26" ht="15.75" hidden="1" customHeight="1" x14ac:dyDescent="0.25">
      <c r="A2454" s="213">
        <v>4795</v>
      </c>
      <c r="B2454" s="214" t="s">
        <v>10952</v>
      </c>
      <c r="C2454" s="215" t="s">
        <v>578</v>
      </c>
      <c r="D2454" s="216">
        <v>325.75</v>
      </c>
      <c r="E2454" s="198"/>
      <c r="F2454" s="198"/>
      <c r="G2454" s="198"/>
      <c r="H2454" s="198"/>
      <c r="I2454" s="198"/>
      <c r="J2454" s="198"/>
      <c r="K2454" s="198"/>
      <c r="L2454" s="198"/>
      <c r="M2454" s="198"/>
      <c r="N2454" s="198"/>
      <c r="O2454" s="198"/>
      <c r="P2454" s="198"/>
      <c r="Q2454" s="198"/>
      <c r="R2454" s="198"/>
      <c r="S2454" s="198"/>
      <c r="T2454" s="198"/>
      <c r="U2454" s="198"/>
      <c r="V2454" s="198"/>
      <c r="W2454" s="198"/>
      <c r="X2454" s="198"/>
      <c r="Y2454" s="198"/>
      <c r="Z2454" s="198"/>
    </row>
    <row r="2455" spans="1:26" ht="15.75" hidden="1" customHeight="1" x14ac:dyDescent="0.25">
      <c r="A2455" s="213">
        <v>39694</v>
      </c>
      <c r="B2455" s="214" t="s">
        <v>10953</v>
      </c>
      <c r="C2455" s="215" t="s">
        <v>578</v>
      </c>
      <c r="D2455" s="216">
        <v>469.63</v>
      </c>
      <c r="E2455" s="198"/>
      <c r="F2455" s="198"/>
      <c r="G2455" s="198"/>
      <c r="H2455" s="198"/>
      <c r="I2455" s="198"/>
      <c r="J2455" s="198"/>
      <c r="K2455" s="198"/>
      <c r="L2455" s="198"/>
      <c r="M2455" s="198"/>
      <c r="N2455" s="198"/>
      <c r="O2455" s="198"/>
      <c r="P2455" s="198"/>
      <c r="Q2455" s="198"/>
      <c r="R2455" s="198"/>
      <c r="S2455" s="198"/>
      <c r="T2455" s="198"/>
      <c r="U2455" s="198"/>
      <c r="V2455" s="198"/>
      <c r="W2455" s="198"/>
      <c r="X2455" s="198"/>
      <c r="Y2455" s="198"/>
      <c r="Z2455" s="198"/>
    </row>
    <row r="2456" spans="1:26" ht="15.75" hidden="1" customHeight="1" x14ac:dyDescent="0.25">
      <c r="A2456" s="213">
        <v>1292</v>
      </c>
      <c r="B2456" s="214" t="s">
        <v>10954</v>
      </c>
      <c r="C2456" s="215" t="s">
        <v>578</v>
      </c>
      <c r="D2456" s="216">
        <v>47.41</v>
      </c>
      <c r="E2456" s="198"/>
      <c r="F2456" s="198"/>
      <c r="G2456" s="198"/>
      <c r="H2456" s="198"/>
      <c r="I2456" s="198"/>
      <c r="J2456" s="198"/>
      <c r="K2456" s="198"/>
      <c r="L2456" s="198"/>
      <c r="M2456" s="198"/>
      <c r="N2456" s="198"/>
      <c r="O2456" s="198"/>
      <c r="P2456" s="198"/>
      <c r="Q2456" s="198"/>
      <c r="R2456" s="198"/>
      <c r="S2456" s="198"/>
      <c r="T2456" s="198"/>
      <c r="U2456" s="198"/>
      <c r="V2456" s="198"/>
      <c r="W2456" s="198"/>
      <c r="X2456" s="198"/>
      <c r="Y2456" s="198"/>
      <c r="Z2456" s="198"/>
    </row>
    <row r="2457" spans="1:26" ht="15.75" hidden="1" customHeight="1" x14ac:dyDescent="0.25">
      <c r="A2457" s="213">
        <v>1287</v>
      </c>
      <c r="B2457" s="214" t="s">
        <v>10955</v>
      </c>
      <c r="C2457" s="215" t="s">
        <v>578</v>
      </c>
      <c r="D2457" s="216">
        <v>37.950000000000003</v>
      </c>
      <c r="E2457" s="198"/>
      <c r="F2457" s="198"/>
      <c r="G2457" s="198"/>
      <c r="H2457" s="198"/>
      <c r="I2457" s="198"/>
      <c r="J2457" s="198"/>
      <c r="K2457" s="198"/>
      <c r="L2457" s="198"/>
      <c r="M2457" s="198"/>
      <c r="N2457" s="198"/>
      <c r="O2457" s="198"/>
      <c r="P2457" s="198"/>
      <c r="Q2457" s="198"/>
      <c r="R2457" s="198"/>
      <c r="S2457" s="198"/>
      <c r="T2457" s="198"/>
      <c r="U2457" s="198"/>
      <c r="V2457" s="198"/>
      <c r="W2457" s="198"/>
      <c r="X2457" s="198"/>
      <c r="Y2457" s="198"/>
      <c r="Z2457" s="198"/>
    </row>
    <row r="2458" spans="1:26" ht="15.75" hidden="1" customHeight="1" x14ac:dyDescent="0.25">
      <c r="A2458" s="213">
        <v>10840</v>
      </c>
      <c r="B2458" s="214" t="s">
        <v>10956</v>
      </c>
      <c r="C2458" s="215" t="s">
        <v>578</v>
      </c>
      <c r="D2458" s="216">
        <v>450</v>
      </c>
      <c r="E2458" s="198"/>
      <c r="F2458" s="198"/>
      <c r="G2458" s="198"/>
      <c r="H2458" s="198"/>
      <c r="I2458" s="198"/>
      <c r="J2458" s="198"/>
      <c r="K2458" s="198"/>
      <c r="L2458" s="198"/>
      <c r="M2458" s="198"/>
      <c r="N2458" s="198"/>
      <c r="O2458" s="198"/>
      <c r="P2458" s="198"/>
      <c r="Q2458" s="198"/>
      <c r="R2458" s="198"/>
      <c r="S2458" s="198"/>
      <c r="T2458" s="198"/>
      <c r="U2458" s="198"/>
      <c r="V2458" s="198"/>
      <c r="W2458" s="198"/>
      <c r="X2458" s="198"/>
      <c r="Y2458" s="198"/>
      <c r="Z2458" s="198"/>
    </row>
    <row r="2459" spans="1:26" ht="15.75" hidden="1" customHeight="1" x14ac:dyDescent="0.25">
      <c r="A2459" s="213">
        <v>10841</v>
      </c>
      <c r="B2459" s="214" t="s">
        <v>10957</v>
      </c>
      <c r="C2459" s="215" t="s">
        <v>578</v>
      </c>
      <c r="D2459" s="216">
        <v>339.62</v>
      </c>
      <c r="E2459" s="198"/>
      <c r="F2459" s="198"/>
      <c r="G2459" s="198"/>
      <c r="H2459" s="198"/>
      <c r="I2459" s="198"/>
      <c r="J2459" s="198"/>
      <c r="K2459" s="198"/>
      <c r="L2459" s="198"/>
      <c r="M2459" s="198"/>
      <c r="N2459" s="198"/>
      <c r="O2459" s="198"/>
      <c r="P2459" s="198"/>
      <c r="Q2459" s="198"/>
      <c r="R2459" s="198"/>
      <c r="S2459" s="198"/>
      <c r="T2459" s="198"/>
      <c r="U2459" s="198"/>
      <c r="V2459" s="198"/>
      <c r="W2459" s="198"/>
      <c r="X2459" s="198"/>
      <c r="Y2459" s="198"/>
      <c r="Z2459" s="198"/>
    </row>
    <row r="2460" spans="1:26" ht="15.75" hidden="1" customHeight="1" x14ac:dyDescent="0.25">
      <c r="A2460" s="213">
        <v>44540</v>
      </c>
      <c r="B2460" s="214" t="s">
        <v>10958</v>
      </c>
      <c r="C2460" s="215" t="s">
        <v>578</v>
      </c>
      <c r="D2460" s="216">
        <v>433.96</v>
      </c>
      <c r="E2460" s="198"/>
      <c r="F2460" s="198"/>
      <c r="G2460" s="198"/>
      <c r="H2460" s="198"/>
      <c r="I2460" s="198"/>
      <c r="J2460" s="198"/>
      <c r="K2460" s="198"/>
      <c r="L2460" s="198"/>
      <c r="M2460" s="198"/>
      <c r="N2460" s="198"/>
      <c r="O2460" s="198"/>
      <c r="P2460" s="198"/>
      <c r="Q2460" s="198"/>
      <c r="R2460" s="198"/>
      <c r="S2460" s="198"/>
      <c r="T2460" s="198"/>
      <c r="U2460" s="198"/>
      <c r="V2460" s="198"/>
      <c r="W2460" s="198"/>
      <c r="X2460" s="198"/>
      <c r="Y2460" s="198"/>
      <c r="Z2460" s="198"/>
    </row>
    <row r="2461" spans="1:26" ht="15.75" hidden="1" customHeight="1" x14ac:dyDescent="0.25">
      <c r="A2461" s="213">
        <v>10842</v>
      </c>
      <c r="B2461" s="214" t="s">
        <v>10959</v>
      </c>
      <c r="C2461" s="215" t="s">
        <v>578</v>
      </c>
      <c r="D2461" s="216">
        <v>490.56</v>
      </c>
      <c r="E2461" s="198"/>
      <c r="F2461" s="198"/>
      <c r="G2461" s="198"/>
      <c r="H2461" s="198"/>
      <c r="I2461" s="198"/>
      <c r="J2461" s="198"/>
      <c r="K2461" s="198"/>
      <c r="L2461" s="198"/>
      <c r="M2461" s="198"/>
      <c r="N2461" s="198"/>
      <c r="O2461" s="198"/>
      <c r="P2461" s="198"/>
      <c r="Q2461" s="198"/>
      <c r="R2461" s="198"/>
      <c r="S2461" s="198"/>
      <c r="T2461" s="198"/>
      <c r="U2461" s="198"/>
      <c r="V2461" s="198"/>
      <c r="W2461" s="198"/>
      <c r="X2461" s="198"/>
      <c r="Y2461" s="198"/>
      <c r="Z2461" s="198"/>
    </row>
    <row r="2462" spans="1:26" ht="15.75" hidden="1" customHeight="1" x14ac:dyDescent="0.25">
      <c r="A2462" s="213">
        <v>45190</v>
      </c>
      <c r="B2462" s="214" t="s">
        <v>10960</v>
      </c>
      <c r="C2462" s="215" t="s">
        <v>578</v>
      </c>
      <c r="D2462" s="216">
        <v>78.28</v>
      </c>
      <c r="E2462" s="198"/>
      <c r="F2462" s="198"/>
      <c r="G2462" s="198"/>
      <c r="H2462" s="198"/>
      <c r="I2462" s="198"/>
      <c r="J2462" s="198"/>
      <c r="K2462" s="198"/>
      <c r="L2462" s="198"/>
      <c r="M2462" s="198"/>
      <c r="N2462" s="198"/>
      <c r="O2462" s="198"/>
      <c r="P2462" s="198"/>
      <c r="Q2462" s="198"/>
      <c r="R2462" s="198"/>
      <c r="S2462" s="198"/>
      <c r="T2462" s="198"/>
      <c r="U2462" s="198"/>
      <c r="V2462" s="198"/>
      <c r="W2462" s="198"/>
      <c r="X2462" s="198"/>
      <c r="Y2462" s="198"/>
      <c r="Z2462" s="198"/>
    </row>
    <row r="2463" spans="1:26" ht="15.75" hidden="1" customHeight="1" x14ac:dyDescent="0.25">
      <c r="A2463" s="213">
        <v>45191</v>
      </c>
      <c r="B2463" s="214" t="s">
        <v>10961</v>
      </c>
      <c r="C2463" s="215" t="s">
        <v>578</v>
      </c>
      <c r="D2463" s="216">
        <v>132.80000000000001</v>
      </c>
      <c r="E2463" s="198"/>
      <c r="F2463" s="198"/>
      <c r="G2463" s="198"/>
      <c r="H2463" s="198"/>
      <c r="I2463" s="198"/>
      <c r="J2463" s="198"/>
      <c r="K2463" s="198"/>
      <c r="L2463" s="198"/>
      <c r="M2463" s="198"/>
      <c r="N2463" s="198"/>
      <c r="O2463" s="198"/>
      <c r="P2463" s="198"/>
      <c r="Q2463" s="198"/>
      <c r="R2463" s="198"/>
      <c r="S2463" s="198"/>
      <c r="T2463" s="198"/>
      <c r="U2463" s="198"/>
      <c r="V2463" s="198"/>
      <c r="W2463" s="198"/>
      <c r="X2463" s="198"/>
      <c r="Y2463" s="198"/>
      <c r="Z2463" s="198"/>
    </row>
    <row r="2464" spans="1:26" ht="15.75" hidden="1" customHeight="1" x14ac:dyDescent="0.25">
      <c r="A2464" s="213">
        <v>38180</v>
      </c>
      <c r="B2464" s="214" t="s">
        <v>10962</v>
      </c>
      <c r="C2464" s="215" t="s">
        <v>578</v>
      </c>
      <c r="D2464" s="216">
        <v>163.63999999999999</v>
      </c>
      <c r="E2464" s="198"/>
      <c r="F2464" s="198"/>
      <c r="G2464" s="198"/>
      <c r="H2464" s="198"/>
      <c r="I2464" s="198"/>
      <c r="J2464" s="198"/>
      <c r="K2464" s="198"/>
      <c r="L2464" s="198"/>
      <c r="M2464" s="198"/>
      <c r="N2464" s="198"/>
      <c r="O2464" s="198"/>
      <c r="P2464" s="198"/>
      <c r="Q2464" s="198"/>
      <c r="R2464" s="198"/>
      <c r="S2464" s="198"/>
      <c r="T2464" s="198"/>
      <c r="U2464" s="198"/>
      <c r="V2464" s="198"/>
      <c r="W2464" s="198"/>
      <c r="X2464" s="198"/>
      <c r="Y2464" s="198"/>
      <c r="Z2464" s="198"/>
    </row>
    <row r="2465" spans="1:26" ht="15.75" hidden="1" customHeight="1" x14ac:dyDescent="0.25">
      <c r="A2465" s="213">
        <v>38135</v>
      </c>
      <c r="B2465" s="214" t="s">
        <v>10963</v>
      </c>
      <c r="C2465" s="215" t="s">
        <v>578</v>
      </c>
      <c r="D2465" s="216">
        <v>66.94</v>
      </c>
      <c r="E2465" s="198"/>
      <c r="F2465" s="198"/>
      <c r="G2465" s="198"/>
      <c r="H2465" s="198"/>
      <c r="I2465" s="198"/>
      <c r="J2465" s="198"/>
      <c r="K2465" s="198"/>
      <c r="L2465" s="198"/>
      <c r="M2465" s="198"/>
      <c r="N2465" s="198"/>
      <c r="O2465" s="198"/>
      <c r="P2465" s="198"/>
      <c r="Q2465" s="198"/>
      <c r="R2465" s="198"/>
      <c r="S2465" s="198"/>
      <c r="T2465" s="198"/>
      <c r="U2465" s="198"/>
      <c r="V2465" s="198"/>
      <c r="W2465" s="198"/>
      <c r="X2465" s="198"/>
      <c r="Y2465" s="198"/>
      <c r="Z2465" s="198"/>
    </row>
    <row r="2466" spans="1:26" ht="15.75" hidden="1" customHeight="1" x14ac:dyDescent="0.25">
      <c r="A2466" s="213">
        <v>36178</v>
      </c>
      <c r="B2466" s="214" t="s">
        <v>10964</v>
      </c>
      <c r="C2466" s="215" t="s">
        <v>580</v>
      </c>
      <c r="D2466" s="216">
        <v>11.44</v>
      </c>
      <c r="E2466" s="198"/>
      <c r="F2466" s="198"/>
      <c r="G2466" s="198"/>
      <c r="H2466" s="198"/>
      <c r="I2466" s="198"/>
      <c r="J2466" s="198"/>
      <c r="K2466" s="198"/>
      <c r="L2466" s="198"/>
      <c r="M2466" s="198"/>
      <c r="N2466" s="198"/>
      <c r="O2466" s="198"/>
      <c r="P2466" s="198"/>
      <c r="Q2466" s="198"/>
      <c r="R2466" s="198"/>
      <c r="S2466" s="198"/>
      <c r="T2466" s="198"/>
      <c r="U2466" s="198"/>
      <c r="V2466" s="198"/>
      <c r="W2466" s="198"/>
      <c r="X2466" s="198"/>
      <c r="Y2466" s="198"/>
      <c r="Z2466" s="198"/>
    </row>
    <row r="2467" spans="1:26" ht="15.75" hidden="1" customHeight="1" x14ac:dyDescent="0.25">
      <c r="A2467" s="213">
        <v>38181</v>
      </c>
      <c r="B2467" s="214" t="s">
        <v>10965</v>
      </c>
      <c r="C2467" s="215" t="s">
        <v>578</v>
      </c>
      <c r="D2467" s="216">
        <v>223.4</v>
      </c>
      <c r="E2467" s="198"/>
      <c r="F2467" s="198"/>
      <c r="G2467" s="198"/>
      <c r="H2467" s="198"/>
      <c r="I2467" s="198"/>
      <c r="J2467" s="198"/>
      <c r="K2467" s="198"/>
      <c r="L2467" s="198"/>
      <c r="M2467" s="198"/>
      <c r="N2467" s="198"/>
      <c r="O2467" s="198"/>
      <c r="P2467" s="198"/>
      <c r="Q2467" s="198"/>
      <c r="R2467" s="198"/>
      <c r="S2467" s="198"/>
      <c r="T2467" s="198"/>
      <c r="U2467" s="198"/>
      <c r="V2467" s="198"/>
      <c r="W2467" s="198"/>
      <c r="X2467" s="198"/>
      <c r="Y2467" s="198"/>
      <c r="Z2467" s="198"/>
    </row>
    <row r="2468" spans="1:26" ht="15.75" hidden="1" customHeight="1" x14ac:dyDescent="0.25">
      <c r="A2468" s="213">
        <v>38182</v>
      </c>
      <c r="B2468" s="214" t="s">
        <v>10966</v>
      </c>
      <c r="C2468" s="215" t="s">
        <v>578</v>
      </c>
      <c r="D2468" s="216">
        <v>212.8</v>
      </c>
      <c r="E2468" s="198"/>
      <c r="F2468" s="198"/>
      <c r="G2468" s="198"/>
      <c r="H2468" s="198"/>
      <c r="I2468" s="198"/>
      <c r="J2468" s="198"/>
      <c r="K2468" s="198"/>
      <c r="L2468" s="198"/>
      <c r="M2468" s="198"/>
      <c r="N2468" s="198"/>
      <c r="O2468" s="198"/>
      <c r="P2468" s="198"/>
      <c r="Q2468" s="198"/>
      <c r="R2468" s="198"/>
      <c r="S2468" s="198"/>
      <c r="T2468" s="198"/>
      <c r="U2468" s="198"/>
      <c r="V2468" s="198"/>
      <c r="W2468" s="198"/>
      <c r="X2468" s="198"/>
      <c r="Y2468" s="198"/>
      <c r="Z2468" s="198"/>
    </row>
    <row r="2469" spans="1:26" ht="15.75" hidden="1" customHeight="1" x14ac:dyDescent="0.25">
      <c r="A2469" s="213">
        <v>38186</v>
      </c>
      <c r="B2469" s="214" t="s">
        <v>10967</v>
      </c>
      <c r="C2469" s="215" t="s">
        <v>578</v>
      </c>
      <c r="D2469" s="216">
        <v>553.13</v>
      </c>
      <c r="E2469" s="198"/>
      <c r="F2469" s="198"/>
      <c r="G2469" s="198"/>
      <c r="H2469" s="198"/>
      <c r="I2469" s="198"/>
      <c r="J2469" s="198"/>
      <c r="K2469" s="198"/>
      <c r="L2469" s="198"/>
      <c r="M2469" s="198"/>
      <c r="N2469" s="198"/>
      <c r="O2469" s="198"/>
      <c r="P2469" s="198"/>
      <c r="Q2469" s="198"/>
      <c r="R2469" s="198"/>
      <c r="S2469" s="198"/>
      <c r="T2469" s="198"/>
      <c r="U2469" s="198"/>
      <c r="V2469" s="198"/>
      <c r="W2469" s="198"/>
      <c r="X2469" s="198"/>
      <c r="Y2469" s="198"/>
      <c r="Z2469" s="198"/>
    </row>
    <row r="2470" spans="1:26" ht="15.75" hidden="1" customHeight="1" x14ac:dyDescent="0.25">
      <c r="A2470" s="213">
        <v>38185</v>
      </c>
      <c r="B2470" s="214" t="s">
        <v>10968</v>
      </c>
      <c r="C2470" s="215" t="s">
        <v>578</v>
      </c>
      <c r="D2470" s="216">
        <v>492.48</v>
      </c>
      <c r="E2470" s="198"/>
      <c r="F2470" s="198"/>
      <c r="G2470" s="198"/>
      <c r="H2470" s="198"/>
      <c r="I2470" s="198"/>
      <c r="J2470" s="198"/>
      <c r="K2470" s="198"/>
      <c r="L2470" s="198"/>
      <c r="M2470" s="198"/>
      <c r="N2470" s="198"/>
      <c r="O2470" s="198"/>
      <c r="P2470" s="198"/>
      <c r="Q2470" s="198"/>
      <c r="R2470" s="198"/>
      <c r="S2470" s="198"/>
      <c r="T2470" s="198"/>
      <c r="U2470" s="198"/>
      <c r="V2470" s="198"/>
      <c r="W2470" s="198"/>
      <c r="X2470" s="198"/>
      <c r="Y2470" s="198"/>
      <c r="Z2470" s="198"/>
    </row>
    <row r="2471" spans="1:26" ht="15.75" hidden="1" customHeight="1" x14ac:dyDescent="0.25">
      <c r="A2471" s="213">
        <v>44541</v>
      </c>
      <c r="B2471" s="214" t="s">
        <v>10969</v>
      </c>
      <c r="C2471" s="215" t="s">
        <v>578</v>
      </c>
      <c r="D2471" s="216">
        <v>358.49</v>
      </c>
      <c r="E2471" s="198"/>
      <c r="F2471" s="198"/>
      <c r="G2471" s="198"/>
      <c r="H2471" s="198"/>
      <c r="I2471" s="198"/>
      <c r="J2471" s="198"/>
      <c r="K2471" s="198"/>
      <c r="L2471" s="198"/>
      <c r="M2471" s="198"/>
      <c r="N2471" s="198"/>
      <c r="O2471" s="198"/>
      <c r="P2471" s="198"/>
      <c r="Q2471" s="198"/>
      <c r="R2471" s="198"/>
      <c r="S2471" s="198"/>
      <c r="T2471" s="198"/>
      <c r="U2471" s="198"/>
      <c r="V2471" s="198"/>
      <c r="W2471" s="198"/>
      <c r="X2471" s="198"/>
      <c r="Y2471" s="198"/>
      <c r="Z2471" s="198"/>
    </row>
    <row r="2472" spans="1:26" ht="15.75" hidden="1" customHeight="1" x14ac:dyDescent="0.25">
      <c r="A2472" s="213">
        <v>4822</v>
      </c>
      <c r="B2472" s="214" t="s">
        <v>10970</v>
      </c>
      <c r="C2472" s="215" t="s">
        <v>578</v>
      </c>
      <c r="D2472" s="216">
        <v>418.34</v>
      </c>
      <c r="E2472" s="198"/>
      <c r="F2472" s="198"/>
      <c r="G2472" s="198"/>
      <c r="H2472" s="198"/>
      <c r="I2472" s="198"/>
      <c r="J2472" s="198"/>
      <c r="K2472" s="198"/>
      <c r="L2472" s="198"/>
      <c r="M2472" s="198"/>
      <c r="N2472" s="198"/>
      <c r="O2472" s="198"/>
      <c r="P2472" s="198"/>
      <c r="Q2472" s="198"/>
      <c r="R2472" s="198"/>
      <c r="S2472" s="198"/>
      <c r="T2472" s="198"/>
      <c r="U2472" s="198"/>
      <c r="V2472" s="198"/>
      <c r="W2472" s="198"/>
      <c r="X2472" s="198"/>
      <c r="Y2472" s="198"/>
      <c r="Z2472" s="198"/>
    </row>
    <row r="2473" spans="1:26" ht="15.75" hidden="1" customHeight="1" x14ac:dyDescent="0.25">
      <c r="A2473" s="213">
        <v>4818</v>
      </c>
      <c r="B2473" s="214" t="s">
        <v>10971</v>
      </c>
      <c r="C2473" s="215" t="s">
        <v>578</v>
      </c>
      <c r="D2473" s="216">
        <v>430</v>
      </c>
      <c r="E2473" s="198"/>
      <c r="F2473" s="198"/>
      <c r="G2473" s="198"/>
      <c r="H2473" s="198"/>
      <c r="I2473" s="198"/>
      <c r="J2473" s="198"/>
      <c r="K2473" s="198"/>
      <c r="L2473" s="198"/>
      <c r="M2473" s="198"/>
      <c r="N2473" s="198"/>
      <c r="O2473" s="198"/>
      <c r="P2473" s="198"/>
      <c r="Q2473" s="198"/>
      <c r="R2473" s="198"/>
      <c r="S2473" s="198"/>
      <c r="T2473" s="198"/>
      <c r="U2473" s="198"/>
      <c r="V2473" s="198"/>
      <c r="W2473" s="198"/>
      <c r="X2473" s="198"/>
      <c r="Y2473" s="198"/>
      <c r="Z2473" s="198"/>
    </row>
    <row r="2474" spans="1:26" ht="15.75" hidden="1" customHeight="1" x14ac:dyDescent="0.25">
      <c r="A2474" s="213">
        <v>39567</v>
      </c>
      <c r="B2474" s="214" t="s">
        <v>10972</v>
      </c>
      <c r="C2474" s="215" t="s">
        <v>578</v>
      </c>
      <c r="D2474" s="216">
        <v>45.03</v>
      </c>
      <c r="E2474" s="198"/>
      <c r="F2474" s="198"/>
      <c r="G2474" s="198"/>
      <c r="H2474" s="198"/>
      <c r="I2474" s="198"/>
      <c r="J2474" s="198"/>
      <c r="K2474" s="198"/>
      <c r="L2474" s="198"/>
      <c r="M2474" s="198"/>
      <c r="N2474" s="198"/>
      <c r="O2474" s="198"/>
      <c r="P2474" s="198"/>
      <c r="Q2474" s="198"/>
      <c r="R2474" s="198"/>
      <c r="S2474" s="198"/>
      <c r="T2474" s="198"/>
      <c r="U2474" s="198"/>
      <c r="V2474" s="198"/>
      <c r="W2474" s="198"/>
      <c r="X2474" s="198"/>
      <c r="Y2474" s="198"/>
      <c r="Z2474" s="198"/>
    </row>
    <row r="2475" spans="1:26" ht="15.75" hidden="1" customHeight="1" x14ac:dyDescent="0.25">
      <c r="A2475" s="213">
        <v>39566</v>
      </c>
      <c r="B2475" s="214" t="s">
        <v>10973</v>
      </c>
      <c r="C2475" s="215" t="s">
        <v>578</v>
      </c>
      <c r="D2475" s="216">
        <v>47.66</v>
      </c>
      <c r="E2475" s="198"/>
      <c r="F2475" s="198"/>
      <c r="G2475" s="198"/>
      <c r="H2475" s="198"/>
      <c r="I2475" s="198"/>
      <c r="J2475" s="198"/>
      <c r="K2475" s="198"/>
      <c r="L2475" s="198"/>
      <c r="M2475" s="198"/>
      <c r="N2475" s="198"/>
      <c r="O2475" s="198"/>
      <c r="P2475" s="198"/>
      <c r="Q2475" s="198"/>
      <c r="R2475" s="198"/>
      <c r="S2475" s="198"/>
      <c r="T2475" s="198"/>
      <c r="U2475" s="198"/>
      <c r="V2475" s="198"/>
      <c r="W2475" s="198"/>
      <c r="X2475" s="198"/>
      <c r="Y2475" s="198"/>
      <c r="Z2475" s="198"/>
    </row>
    <row r="2476" spans="1:26" ht="15.75" hidden="1" customHeight="1" x14ac:dyDescent="0.25">
      <c r="A2476" s="213">
        <v>39416</v>
      </c>
      <c r="B2476" s="214" t="s">
        <v>10974</v>
      </c>
      <c r="C2476" s="215" t="s">
        <v>578</v>
      </c>
      <c r="D2476" s="216">
        <v>29.05</v>
      </c>
      <c r="E2476" s="198"/>
      <c r="F2476" s="198"/>
      <c r="G2476" s="198"/>
      <c r="H2476" s="198"/>
      <c r="I2476" s="198"/>
      <c r="J2476" s="198"/>
      <c r="K2476" s="198"/>
      <c r="L2476" s="198"/>
      <c r="M2476" s="198"/>
      <c r="N2476" s="198"/>
      <c r="O2476" s="198"/>
      <c r="P2476" s="198"/>
      <c r="Q2476" s="198"/>
      <c r="R2476" s="198"/>
      <c r="S2476" s="198"/>
      <c r="T2476" s="198"/>
      <c r="U2476" s="198"/>
      <c r="V2476" s="198"/>
      <c r="W2476" s="198"/>
      <c r="X2476" s="198"/>
      <c r="Y2476" s="198"/>
      <c r="Z2476" s="198"/>
    </row>
    <row r="2477" spans="1:26" ht="15.75" hidden="1" customHeight="1" x14ac:dyDescent="0.25">
      <c r="A2477" s="213">
        <v>39417</v>
      </c>
      <c r="B2477" s="214" t="s">
        <v>10975</v>
      </c>
      <c r="C2477" s="215" t="s">
        <v>578</v>
      </c>
      <c r="D2477" s="216">
        <v>28.33</v>
      </c>
      <c r="E2477" s="198"/>
      <c r="F2477" s="198"/>
      <c r="G2477" s="198"/>
      <c r="H2477" s="198"/>
      <c r="I2477" s="198"/>
      <c r="J2477" s="198"/>
      <c r="K2477" s="198"/>
      <c r="L2477" s="198"/>
      <c r="M2477" s="198"/>
      <c r="N2477" s="198"/>
      <c r="O2477" s="198"/>
      <c r="P2477" s="198"/>
      <c r="Q2477" s="198"/>
      <c r="R2477" s="198"/>
      <c r="S2477" s="198"/>
      <c r="T2477" s="198"/>
      <c r="U2477" s="198"/>
      <c r="V2477" s="198"/>
      <c r="W2477" s="198"/>
      <c r="X2477" s="198"/>
      <c r="Y2477" s="198"/>
      <c r="Z2477" s="198"/>
    </row>
    <row r="2478" spans="1:26" ht="15.75" hidden="1" customHeight="1" x14ac:dyDescent="0.25">
      <c r="A2478" s="213">
        <v>43742</v>
      </c>
      <c r="B2478" s="214" t="s">
        <v>10976</v>
      </c>
      <c r="C2478" s="215" t="s">
        <v>578</v>
      </c>
      <c r="D2478" s="216">
        <v>30.56</v>
      </c>
      <c r="E2478" s="198"/>
      <c r="F2478" s="198"/>
      <c r="G2478" s="198"/>
      <c r="H2478" s="198"/>
      <c r="I2478" s="198"/>
      <c r="J2478" s="198"/>
      <c r="K2478" s="198"/>
      <c r="L2478" s="198"/>
      <c r="M2478" s="198"/>
      <c r="N2478" s="198"/>
      <c r="O2478" s="198"/>
      <c r="P2478" s="198"/>
      <c r="Q2478" s="198"/>
      <c r="R2478" s="198"/>
      <c r="S2478" s="198"/>
      <c r="T2478" s="198"/>
      <c r="U2478" s="198"/>
      <c r="V2478" s="198"/>
      <c r="W2478" s="198"/>
      <c r="X2478" s="198"/>
      <c r="Y2478" s="198"/>
      <c r="Z2478" s="198"/>
    </row>
    <row r="2479" spans="1:26" ht="15.75" hidden="1" customHeight="1" x14ac:dyDescent="0.25">
      <c r="A2479" s="213">
        <v>39414</v>
      </c>
      <c r="B2479" s="214" t="s">
        <v>10977</v>
      </c>
      <c r="C2479" s="215" t="s">
        <v>578</v>
      </c>
      <c r="D2479" s="216">
        <v>27.51</v>
      </c>
      <c r="E2479" s="198"/>
      <c r="F2479" s="198"/>
      <c r="G2479" s="198"/>
      <c r="H2479" s="198"/>
      <c r="I2479" s="198"/>
      <c r="J2479" s="198"/>
      <c r="K2479" s="198"/>
      <c r="L2479" s="198"/>
      <c r="M2479" s="198"/>
      <c r="N2479" s="198"/>
      <c r="O2479" s="198"/>
      <c r="P2479" s="198"/>
      <c r="Q2479" s="198"/>
      <c r="R2479" s="198"/>
      <c r="S2479" s="198"/>
      <c r="T2479" s="198"/>
      <c r="U2479" s="198"/>
      <c r="V2479" s="198"/>
      <c r="W2479" s="198"/>
      <c r="X2479" s="198"/>
      <c r="Y2479" s="198"/>
      <c r="Z2479" s="198"/>
    </row>
    <row r="2480" spans="1:26" ht="15.75" hidden="1" customHeight="1" x14ac:dyDescent="0.25">
      <c r="A2480" s="213">
        <v>39415</v>
      </c>
      <c r="B2480" s="214" t="s">
        <v>10978</v>
      </c>
      <c r="C2480" s="215" t="s">
        <v>578</v>
      </c>
      <c r="D2480" s="216">
        <v>23.71</v>
      </c>
      <c r="E2480" s="198"/>
      <c r="F2480" s="198"/>
      <c r="G2480" s="198"/>
      <c r="H2480" s="198"/>
      <c r="I2480" s="198"/>
      <c r="J2480" s="198"/>
      <c r="K2480" s="198"/>
      <c r="L2480" s="198"/>
      <c r="M2480" s="198"/>
      <c r="N2480" s="198"/>
      <c r="O2480" s="198"/>
      <c r="P2480" s="198"/>
      <c r="Q2480" s="198"/>
      <c r="R2480" s="198"/>
      <c r="S2480" s="198"/>
      <c r="T2480" s="198"/>
      <c r="U2480" s="198"/>
      <c r="V2480" s="198"/>
      <c r="W2480" s="198"/>
      <c r="X2480" s="198"/>
      <c r="Y2480" s="198"/>
      <c r="Z2480" s="198"/>
    </row>
    <row r="2481" spans="1:26" ht="15.75" hidden="1" customHeight="1" x14ac:dyDescent="0.25">
      <c r="A2481" s="213">
        <v>43740</v>
      </c>
      <c r="B2481" s="214" t="s">
        <v>10979</v>
      </c>
      <c r="C2481" s="215" t="s">
        <v>578</v>
      </c>
      <c r="D2481" s="216">
        <v>28.96</v>
      </c>
      <c r="E2481" s="198"/>
      <c r="F2481" s="198"/>
      <c r="G2481" s="198"/>
      <c r="H2481" s="198"/>
      <c r="I2481" s="198"/>
      <c r="J2481" s="198"/>
      <c r="K2481" s="198"/>
      <c r="L2481" s="198"/>
      <c r="M2481" s="198"/>
      <c r="N2481" s="198"/>
      <c r="O2481" s="198"/>
      <c r="P2481" s="198"/>
      <c r="Q2481" s="198"/>
      <c r="R2481" s="198"/>
      <c r="S2481" s="198"/>
      <c r="T2481" s="198"/>
      <c r="U2481" s="198"/>
      <c r="V2481" s="198"/>
      <c r="W2481" s="198"/>
      <c r="X2481" s="198"/>
      <c r="Y2481" s="198"/>
      <c r="Z2481" s="198"/>
    </row>
    <row r="2482" spans="1:26" ht="15.75" hidden="1" customHeight="1" x14ac:dyDescent="0.25">
      <c r="A2482" s="213">
        <v>39412</v>
      </c>
      <c r="B2482" s="214" t="s">
        <v>10980</v>
      </c>
      <c r="C2482" s="215" t="s">
        <v>578</v>
      </c>
      <c r="D2482" s="216">
        <v>19.86</v>
      </c>
      <c r="E2482" s="198"/>
      <c r="F2482" s="198"/>
      <c r="G2482" s="198"/>
      <c r="H2482" s="198"/>
      <c r="I2482" s="198"/>
      <c r="J2482" s="198"/>
      <c r="K2482" s="198"/>
      <c r="L2482" s="198"/>
      <c r="M2482" s="198"/>
      <c r="N2482" s="198"/>
      <c r="O2482" s="198"/>
      <c r="P2482" s="198"/>
      <c r="Q2482" s="198"/>
      <c r="R2482" s="198"/>
      <c r="S2482" s="198"/>
      <c r="T2482" s="198"/>
      <c r="U2482" s="198"/>
      <c r="V2482" s="198"/>
      <c r="W2482" s="198"/>
      <c r="X2482" s="198"/>
      <c r="Y2482" s="198"/>
      <c r="Z2482" s="198"/>
    </row>
    <row r="2483" spans="1:26" ht="15.75" hidden="1" customHeight="1" x14ac:dyDescent="0.25">
      <c r="A2483" s="213">
        <v>39413</v>
      </c>
      <c r="B2483" s="214" t="s">
        <v>10981</v>
      </c>
      <c r="C2483" s="215" t="s">
        <v>578</v>
      </c>
      <c r="D2483" s="216">
        <v>21.47</v>
      </c>
      <c r="E2483" s="198"/>
      <c r="F2483" s="198"/>
      <c r="G2483" s="198"/>
      <c r="H2483" s="198"/>
      <c r="I2483" s="198"/>
      <c r="J2483" s="198"/>
      <c r="K2483" s="198"/>
      <c r="L2483" s="198"/>
      <c r="M2483" s="198"/>
      <c r="N2483" s="198"/>
      <c r="O2483" s="198"/>
      <c r="P2483" s="198"/>
      <c r="Q2483" s="198"/>
      <c r="R2483" s="198"/>
      <c r="S2483" s="198"/>
      <c r="T2483" s="198"/>
      <c r="U2483" s="198"/>
      <c r="V2483" s="198"/>
      <c r="W2483" s="198"/>
      <c r="X2483" s="198"/>
      <c r="Y2483" s="198"/>
      <c r="Z2483" s="198"/>
    </row>
    <row r="2484" spans="1:26" ht="15.75" hidden="1" customHeight="1" x14ac:dyDescent="0.25">
      <c r="A2484" s="213">
        <v>43741</v>
      </c>
      <c r="B2484" s="214" t="s">
        <v>10982</v>
      </c>
      <c r="C2484" s="215" t="s">
        <v>578</v>
      </c>
      <c r="D2484" s="216">
        <v>22.89</v>
      </c>
      <c r="E2484" s="198"/>
      <c r="F2484" s="198"/>
      <c r="G2484" s="198"/>
      <c r="H2484" s="198"/>
      <c r="I2484" s="198"/>
      <c r="J2484" s="198"/>
      <c r="K2484" s="198"/>
      <c r="L2484" s="198"/>
      <c r="M2484" s="198"/>
      <c r="N2484" s="198"/>
      <c r="O2484" s="198"/>
      <c r="P2484" s="198"/>
      <c r="Q2484" s="198"/>
      <c r="R2484" s="198"/>
      <c r="S2484" s="198"/>
      <c r="T2484" s="198"/>
      <c r="U2484" s="198"/>
      <c r="V2484" s="198"/>
      <c r="W2484" s="198"/>
      <c r="X2484" s="198"/>
      <c r="Y2484" s="198"/>
      <c r="Z2484" s="198"/>
    </row>
    <row r="2485" spans="1:26" ht="15.75" hidden="1" customHeight="1" x14ac:dyDescent="0.25">
      <c r="A2485" s="213">
        <v>11062</v>
      </c>
      <c r="B2485" s="214" t="s">
        <v>10983</v>
      </c>
      <c r="C2485" s="215" t="s">
        <v>578</v>
      </c>
      <c r="D2485" s="216">
        <v>48.92</v>
      </c>
      <c r="E2485" s="198"/>
      <c r="F2485" s="198"/>
      <c r="G2485" s="198"/>
      <c r="H2485" s="198"/>
      <c r="I2485" s="198"/>
      <c r="J2485" s="198"/>
      <c r="K2485" s="198"/>
      <c r="L2485" s="198"/>
      <c r="M2485" s="198"/>
      <c r="N2485" s="198"/>
      <c r="O2485" s="198"/>
      <c r="P2485" s="198"/>
      <c r="Q2485" s="198"/>
      <c r="R2485" s="198"/>
      <c r="S2485" s="198"/>
      <c r="T2485" s="198"/>
      <c r="U2485" s="198"/>
      <c r="V2485" s="198"/>
      <c r="W2485" s="198"/>
      <c r="X2485" s="198"/>
      <c r="Y2485" s="198"/>
      <c r="Z2485" s="198"/>
    </row>
    <row r="2486" spans="1:26" ht="15.75" hidden="1" customHeight="1" x14ac:dyDescent="0.25">
      <c r="A2486" s="213">
        <v>11063</v>
      </c>
      <c r="B2486" s="214" t="s">
        <v>10984</v>
      </c>
      <c r="C2486" s="215" t="s">
        <v>578</v>
      </c>
      <c r="D2486" s="216">
        <v>29.94</v>
      </c>
      <c r="E2486" s="198"/>
      <c r="F2486" s="198"/>
      <c r="G2486" s="198"/>
      <c r="H2486" s="198"/>
      <c r="I2486" s="198"/>
      <c r="J2486" s="198"/>
      <c r="K2486" s="198"/>
      <c r="L2486" s="198"/>
      <c r="M2486" s="198"/>
      <c r="N2486" s="198"/>
      <c r="O2486" s="198"/>
      <c r="P2486" s="198"/>
      <c r="Q2486" s="198"/>
      <c r="R2486" s="198"/>
      <c r="S2486" s="198"/>
      <c r="T2486" s="198"/>
      <c r="U2486" s="198"/>
      <c r="V2486" s="198"/>
      <c r="W2486" s="198"/>
      <c r="X2486" s="198"/>
      <c r="Y2486" s="198"/>
      <c r="Z2486" s="198"/>
    </row>
    <row r="2487" spans="1:26" ht="15.75" hidden="1" customHeight="1" x14ac:dyDescent="0.25">
      <c r="A2487" s="213">
        <v>10851</v>
      </c>
      <c r="B2487" s="214" t="s">
        <v>10985</v>
      </c>
      <c r="C2487" s="215" t="s">
        <v>580</v>
      </c>
      <c r="D2487" s="216">
        <v>78.41</v>
      </c>
      <c r="E2487" s="198"/>
      <c r="F2487" s="198"/>
      <c r="G2487" s="198"/>
      <c r="H2487" s="198"/>
      <c r="I2487" s="198"/>
      <c r="J2487" s="198"/>
      <c r="K2487" s="198"/>
      <c r="L2487" s="198"/>
      <c r="M2487" s="198"/>
      <c r="N2487" s="198"/>
      <c r="O2487" s="198"/>
      <c r="P2487" s="198"/>
      <c r="Q2487" s="198"/>
      <c r="R2487" s="198"/>
      <c r="S2487" s="198"/>
      <c r="T2487" s="198"/>
      <c r="U2487" s="198"/>
      <c r="V2487" s="198"/>
      <c r="W2487" s="198"/>
      <c r="X2487" s="198"/>
      <c r="Y2487" s="198"/>
      <c r="Z2487" s="198"/>
    </row>
    <row r="2488" spans="1:26" ht="15.75" hidden="1" customHeight="1" x14ac:dyDescent="0.25">
      <c r="A2488" s="213">
        <v>4812</v>
      </c>
      <c r="B2488" s="214" t="s">
        <v>10986</v>
      </c>
      <c r="C2488" s="215" t="s">
        <v>578</v>
      </c>
      <c r="D2488" s="216">
        <v>11.91</v>
      </c>
      <c r="E2488" s="198"/>
      <c r="F2488" s="198"/>
      <c r="G2488" s="198"/>
      <c r="H2488" s="198"/>
      <c r="I2488" s="198"/>
      <c r="J2488" s="198"/>
      <c r="K2488" s="198"/>
      <c r="L2488" s="198"/>
      <c r="M2488" s="198"/>
      <c r="N2488" s="198"/>
      <c r="O2488" s="198"/>
      <c r="P2488" s="198"/>
      <c r="Q2488" s="198"/>
      <c r="R2488" s="198"/>
      <c r="S2488" s="198"/>
      <c r="T2488" s="198"/>
      <c r="U2488" s="198"/>
      <c r="V2488" s="198"/>
      <c r="W2488" s="198"/>
      <c r="X2488" s="198"/>
      <c r="Y2488" s="198"/>
      <c r="Z2488" s="198"/>
    </row>
    <row r="2489" spans="1:26" ht="15.75" hidden="1" customHeight="1" x14ac:dyDescent="0.25">
      <c r="A2489" s="213">
        <v>37560</v>
      </c>
      <c r="B2489" s="214" t="s">
        <v>10987</v>
      </c>
      <c r="C2489" s="215" t="s">
        <v>580</v>
      </c>
      <c r="D2489" s="216">
        <v>24.6</v>
      </c>
      <c r="E2489" s="198"/>
      <c r="F2489" s="198"/>
      <c r="G2489" s="198"/>
      <c r="H2489" s="198"/>
      <c r="I2489" s="198"/>
      <c r="J2489" s="198"/>
      <c r="K2489" s="198"/>
      <c r="L2489" s="198"/>
      <c r="M2489" s="198"/>
      <c r="N2489" s="198"/>
      <c r="O2489" s="198"/>
      <c r="P2489" s="198"/>
      <c r="Q2489" s="198"/>
      <c r="R2489" s="198"/>
      <c r="S2489" s="198"/>
      <c r="T2489" s="198"/>
      <c r="U2489" s="198"/>
      <c r="V2489" s="198"/>
      <c r="W2489" s="198"/>
      <c r="X2489" s="198"/>
      <c r="Y2489" s="198"/>
      <c r="Z2489" s="198"/>
    </row>
    <row r="2490" spans="1:26" ht="15.75" hidden="1" customHeight="1" x14ac:dyDescent="0.25">
      <c r="A2490" s="213">
        <v>37557</v>
      </c>
      <c r="B2490" s="214" t="s">
        <v>10988</v>
      </c>
      <c r="C2490" s="215" t="s">
        <v>580</v>
      </c>
      <c r="D2490" s="216">
        <v>7.47</v>
      </c>
      <c r="E2490" s="198"/>
      <c r="F2490" s="198"/>
      <c r="G2490" s="198"/>
      <c r="H2490" s="198"/>
      <c r="I2490" s="198"/>
      <c r="J2490" s="198"/>
      <c r="K2490" s="198"/>
      <c r="L2490" s="198"/>
      <c r="M2490" s="198"/>
      <c r="N2490" s="198"/>
      <c r="O2490" s="198"/>
      <c r="P2490" s="198"/>
      <c r="Q2490" s="198"/>
      <c r="R2490" s="198"/>
      <c r="S2490" s="198"/>
      <c r="T2490" s="198"/>
      <c r="U2490" s="198"/>
      <c r="V2490" s="198"/>
      <c r="W2490" s="198"/>
      <c r="X2490" s="198"/>
      <c r="Y2490" s="198"/>
      <c r="Z2490" s="198"/>
    </row>
    <row r="2491" spans="1:26" ht="15.75" hidden="1" customHeight="1" x14ac:dyDescent="0.25">
      <c r="A2491" s="213">
        <v>37556</v>
      </c>
      <c r="B2491" s="214" t="s">
        <v>10989</v>
      </c>
      <c r="C2491" s="215" t="s">
        <v>580</v>
      </c>
      <c r="D2491" s="216">
        <v>14.45</v>
      </c>
      <c r="E2491" s="198"/>
      <c r="F2491" s="198"/>
      <c r="G2491" s="198"/>
      <c r="H2491" s="198"/>
      <c r="I2491" s="198"/>
      <c r="J2491" s="198"/>
      <c r="K2491" s="198"/>
      <c r="L2491" s="198"/>
      <c r="M2491" s="198"/>
      <c r="N2491" s="198"/>
      <c r="O2491" s="198"/>
      <c r="P2491" s="198"/>
      <c r="Q2491" s="198"/>
      <c r="R2491" s="198"/>
      <c r="S2491" s="198"/>
      <c r="T2491" s="198"/>
      <c r="U2491" s="198"/>
      <c r="V2491" s="198"/>
      <c r="W2491" s="198"/>
      <c r="X2491" s="198"/>
      <c r="Y2491" s="198"/>
      <c r="Z2491" s="198"/>
    </row>
    <row r="2492" spans="1:26" ht="15.75" hidden="1" customHeight="1" x14ac:dyDescent="0.25">
      <c r="A2492" s="213">
        <v>37559</v>
      </c>
      <c r="B2492" s="214" t="s">
        <v>10990</v>
      </c>
      <c r="C2492" s="215" t="s">
        <v>580</v>
      </c>
      <c r="D2492" s="216">
        <v>17.73</v>
      </c>
      <c r="E2492" s="198"/>
      <c r="F2492" s="198"/>
      <c r="G2492" s="198"/>
      <c r="H2492" s="198"/>
      <c r="I2492" s="198"/>
      <c r="J2492" s="198"/>
      <c r="K2492" s="198"/>
      <c r="L2492" s="198"/>
      <c r="M2492" s="198"/>
      <c r="N2492" s="198"/>
      <c r="O2492" s="198"/>
      <c r="P2492" s="198"/>
      <c r="Q2492" s="198"/>
      <c r="R2492" s="198"/>
      <c r="S2492" s="198"/>
      <c r="T2492" s="198"/>
      <c r="U2492" s="198"/>
      <c r="V2492" s="198"/>
      <c r="W2492" s="198"/>
      <c r="X2492" s="198"/>
      <c r="Y2492" s="198"/>
      <c r="Z2492" s="198"/>
    </row>
    <row r="2493" spans="1:26" ht="15.75" hidden="1" customHeight="1" x14ac:dyDescent="0.25">
      <c r="A2493" s="213">
        <v>37539</v>
      </c>
      <c r="B2493" s="214" t="s">
        <v>10991</v>
      </c>
      <c r="C2493" s="215" t="s">
        <v>580</v>
      </c>
      <c r="D2493" s="216">
        <v>12.5</v>
      </c>
      <c r="E2493" s="198"/>
      <c r="F2493" s="198"/>
      <c r="G2493" s="198"/>
      <c r="H2493" s="198"/>
      <c r="I2493" s="198"/>
      <c r="J2493" s="198"/>
      <c r="K2493" s="198"/>
      <c r="L2493" s="198"/>
      <c r="M2493" s="198"/>
      <c r="N2493" s="198"/>
      <c r="O2493" s="198"/>
      <c r="P2493" s="198"/>
      <c r="Q2493" s="198"/>
      <c r="R2493" s="198"/>
      <c r="S2493" s="198"/>
      <c r="T2493" s="198"/>
      <c r="U2493" s="198"/>
      <c r="V2493" s="198"/>
      <c r="W2493" s="198"/>
      <c r="X2493" s="198"/>
      <c r="Y2493" s="198"/>
      <c r="Z2493" s="198"/>
    </row>
    <row r="2494" spans="1:26" ht="15.75" hidden="1" customHeight="1" x14ac:dyDescent="0.25">
      <c r="A2494" s="213">
        <v>37558</v>
      </c>
      <c r="B2494" s="214" t="s">
        <v>10992</v>
      </c>
      <c r="C2494" s="215" t="s">
        <v>580</v>
      </c>
      <c r="D2494" s="216">
        <v>23.3</v>
      </c>
      <c r="E2494" s="198"/>
      <c r="F2494" s="198"/>
      <c r="G2494" s="198"/>
      <c r="H2494" s="198"/>
      <c r="I2494" s="198"/>
      <c r="J2494" s="198"/>
      <c r="K2494" s="198"/>
      <c r="L2494" s="198"/>
      <c r="M2494" s="198"/>
      <c r="N2494" s="198"/>
      <c r="O2494" s="198"/>
      <c r="P2494" s="198"/>
      <c r="Q2494" s="198"/>
      <c r="R2494" s="198"/>
      <c r="S2494" s="198"/>
      <c r="T2494" s="198"/>
      <c r="U2494" s="198"/>
      <c r="V2494" s="198"/>
      <c r="W2494" s="198"/>
      <c r="X2494" s="198"/>
      <c r="Y2494" s="198"/>
      <c r="Z2494" s="198"/>
    </row>
    <row r="2495" spans="1:26" ht="15.75" hidden="1" customHeight="1" x14ac:dyDescent="0.25">
      <c r="A2495" s="213">
        <v>4309</v>
      </c>
      <c r="B2495" s="214" t="s">
        <v>10993</v>
      </c>
      <c r="C2495" s="215" t="s">
        <v>580</v>
      </c>
      <c r="D2495" s="216">
        <v>5.47</v>
      </c>
      <c r="E2495" s="198"/>
      <c r="F2495" s="198"/>
      <c r="G2495" s="198"/>
      <c r="H2495" s="198"/>
      <c r="I2495" s="198"/>
      <c r="J2495" s="198"/>
      <c r="K2495" s="198"/>
      <c r="L2495" s="198"/>
      <c r="M2495" s="198"/>
      <c r="N2495" s="198"/>
      <c r="O2495" s="198"/>
      <c r="P2495" s="198"/>
      <c r="Q2495" s="198"/>
      <c r="R2495" s="198"/>
      <c r="S2495" s="198"/>
      <c r="T2495" s="198"/>
      <c r="U2495" s="198"/>
      <c r="V2495" s="198"/>
      <c r="W2495" s="198"/>
      <c r="X2495" s="198"/>
      <c r="Y2495" s="198"/>
      <c r="Z2495" s="198"/>
    </row>
    <row r="2496" spans="1:26" ht="15.75" hidden="1" customHeight="1" x14ac:dyDescent="0.25">
      <c r="A2496" s="213">
        <v>4307</v>
      </c>
      <c r="B2496" s="214" t="s">
        <v>10994</v>
      </c>
      <c r="C2496" s="215" t="s">
        <v>580</v>
      </c>
      <c r="D2496" s="216">
        <v>9.36</v>
      </c>
      <c r="E2496" s="198"/>
      <c r="F2496" s="198"/>
      <c r="G2496" s="198"/>
      <c r="H2496" s="198"/>
      <c r="I2496" s="198"/>
      <c r="J2496" s="198"/>
      <c r="K2496" s="198"/>
      <c r="L2496" s="198"/>
      <c r="M2496" s="198"/>
      <c r="N2496" s="198"/>
      <c r="O2496" s="198"/>
      <c r="P2496" s="198"/>
      <c r="Q2496" s="198"/>
      <c r="R2496" s="198"/>
      <c r="S2496" s="198"/>
      <c r="T2496" s="198"/>
      <c r="U2496" s="198"/>
      <c r="V2496" s="198"/>
      <c r="W2496" s="198"/>
      <c r="X2496" s="198"/>
      <c r="Y2496" s="198"/>
      <c r="Z2496" s="198"/>
    </row>
    <row r="2497" spans="1:26" ht="15.75" hidden="1" customHeight="1" x14ac:dyDescent="0.25">
      <c r="A2497" s="213">
        <v>4792</v>
      </c>
      <c r="B2497" s="214" t="s">
        <v>10995</v>
      </c>
      <c r="C2497" s="215" t="s">
        <v>578</v>
      </c>
      <c r="D2497" s="216">
        <v>157.09</v>
      </c>
      <c r="E2497" s="198"/>
      <c r="F2497" s="198"/>
      <c r="G2497" s="198"/>
      <c r="H2497" s="198"/>
      <c r="I2497" s="198"/>
      <c r="J2497" s="198"/>
      <c r="K2497" s="198"/>
      <c r="L2497" s="198"/>
      <c r="M2497" s="198"/>
      <c r="N2497" s="198"/>
      <c r="O2497" s="198"/>
      <c r="P2497" s="198"/>
      <c r="Q2497" s="198"/>
      <c r="R2497" s="198"/>
      <c r="S2497" s="198"/>
      <c r="T2497" s="198"/>
      <c r="U2497" s="198"/>
      <c r="V2497" s="198"/>
      <c r="W2497" s="198"/>
      <c r="X2497" s="198"/>
      <c r="Y2497" s="198"/>
      <c r="Z2497" s="198"/>
    </row>
    <row r="2498" spans="1:26" ht="15.75" hidden="1" customHeight="1" x14ac:dyDescent="0.25">
      <c r="A2498" s="213">
        <v>4790</v>
      </c>
      <c r="B2498" s="214" t="s">
        <v>10996</v>
      </c>
      <c r="C2498" s="215" t="s">
        <v>578</v>
      </c>
      <c r="D2498" s="216">
        <v>94.45</v>
      </c>
      <c r="E2498" s="198"/>
      <c r="F2498" s="198"/>
      <c r="G2498" s="198"/>
      <c r="H2498" s="198"/>
      <c r="I2498" s="198"/>
      <c r="J2498" s="198"/>
      <c r="K2498" s="198"/>
      <c r="L2498" s="198"/>
      <c r="M2498" s="198"/>
      <c r="N2498" s="198"/>
      <c r="O2498" s="198"/>
      <c r="P2498" s="198"/>
      <c r="Q2498" s="198"/>
      <c r="R2498" s="198"/>
      <c r="S2498" s="198"/>
      <c r="T2498" s="198"/>
      <c r="U2498" s="198"/>
      <c r="V2498" s="198"/>
      <c r="W2498" s="198"/>
      <c r="X2498" s="198"/>
      <c r="Y2498" s="198"/>
      <c r="Z2498" s="198"/>
    </row>
    <row r="2499" spans="1:26" ht="15.75" hidden="1" customHeight="1" x14ac:dyDescent="0.25">
      <c r="A2499" s="213">
        <v>40671</v>
      </c>
      <c r="B2499" s="214" t="s">
        <v>10997</v>
      </c>
      <c r="C2499" s="215" t="s">
        <v>578</v>
      </c>
      <c r="D2499" s="216">
        <v>75.12</v>
      </c>
      <c r="E2499" s="198"/>
      <c r="F2499" s="198"/>
      <c r="G2499" s="198"/>
      <c r="H2499" s="198"/>
      <c r="I2499" s="198"/>
      <c r="J2499" s="198"/>
      <c r="K2499" s="198"/>
      <c r="L2499" s="198"/>
      <c r="M2499" s="198"/>
      <c r="N2499" s="198"/>
      <c r="O2499" s="198"/>
      <c r="P2499" s="198"/>
      <c r="Q2499" s="198"/>
      <c r="R2499" s="198"/>
      <c r="S2499" s="198"/>
      <c r="T2499" s="198"/>
      <c r="U2499" s="198"/>
      <c r="V2499" s="198"/>
      <c r="W2499" s="198"/>
      <c r="X2499" s="198"/>
      <c r="Y2499" s="198"/>
      <c r="Z2499" s="198"/>
    </row>
    <row r="2500" spans="1:26" ht="15.75" hidden="1" customHeight="1" x14ac:dyDescent="0.25">
      <c r="A2500" s="213">
        <v>7552</v>
      </c>
      <c r="B2500" s="214" t="s">
        <v>10998</v>
      </c>
      <c r="C2500" s="215" t="s">
        <v>580</v>
      </c>
      <c r="D2500" s="216">
        <v>25.72</v>
      </c>
      <c r="E2500" s="198"/>
      <c r="F2500" s="198"/>
      <c r="G2500" s="198"/>
      <c r="H2500" s="198"/>
      <c r="I2500" s="198"/>
      <c r="J2500" s="198"/>
      <c r="K2500" s="198"/>
      <c r="L2500" s="198"/>
      <c r="M2500" s="198"/>
      <c r="N2500" s="198"/>
      <c r="O2500" s="198"/>
      <c r="P2500" s="198"/>
      <c r="Q2500" s="198"/>
      <c r="R2500" s="198"/>
      <c r="S2500" s="198"/>
      <c r="T2500" s="198"/>
      <c r="U2500" s="198"/>
      <c r="V2500" s="198"/>
      <c r="W2500" s="198"/>
      <c r="X2500" s="198"/>
      <c r="Y2500" s="198"/>
      <c r="Z2500" s="198"/>
    </row>
    <row r="2501" spans="1:26" ht="15.75" hidden="1" customHeight="1" x14ac:dyDescent="0.25">
      <c r="A2501" s="213">
        <v>4907</v>
      </c>
      <c r="B2501" s="214" t="s">
        <v>10999</v>
      </c>
      <c r="C2501" s="215" t="s">
        <v>580</v>
      </c>
      <c r="D2501" s="216">
        <v>20.54</v>
      </c>
      <c r="E2501" s="198"/>
      <c r="F2501" s="198"/>
      <c r="G2501" s="198"/>
      <c r="H2501" s="198"/>
      <c r="I2501" s="198"/>
      <c r="J2501" s="198"/>
      <c r="K2501" s="198"/>
      <c r="L2501" s="198"/>
      <c r="M2501" s="198"/>
      <c r="N2501" s="198"/>
      <c r="O2501" s="198"/>
      <c r="P2501" s="198"/>
      <c r="Q2501" s="198"/>
      <c r="R2501" s="198"/>
      <c r="S2501" s="198"/>
      <c r="T2501" s="198"/>
      <c r="U2501" s="198"/>
      <c r="V2501" s="198"/>
      <c r="W2501" s="198"/>
      <c r="X2501" s="198"/>
      <c r="Y2501" s="198"/>
      <c r="Z2501" s="198"/>
    </row>
    <row r="2502" spans="1:26" ht="15.75" hidden="1" customHeight="1" x14ac:dyDescent="0.25">
      <c r="A2502" s="213">
        <v>4902</v>
      </c>
      <c r="B2502" s="214" t="s">
        <v>11000</v>
      </c>
      <c r="C2502" s="215" t="s">
        <v>580</v>
      </c>
      <c r="D2502" s="216">
        <v>53.29</v>
      </c>
      <c r="E2502" s="198"/>
      <c r="F2502" s="198"/>
      <c r="G2502" s="198"/>
      <c r="H2502" s="198"/>
      <c r="I2502" s="198"/>
      <c r="J2502" s="198"/>
      <c r="K2502" s="198"/>
      <c r="L2502" s="198"/>
      <c r="M2502" s="198"/>
      <c r="N2502" s="198"/>
      <c r="O2502" s="198"/>
      <c r="P2502" s="198"/>
      <c r="Q2502" s="198"/>
      <c r="R2502" s="198"/>
      <c r="S2502" s="198"/>
      <c r="T2502" s="198"/>
      <c r="U2502" s="198"/>
      <c r="V2502" s="198"/>
      <c r="W2502" s="198"/>
      <c r="X2502" s="198"/>
      <c r="Y2502" s="198"/>
      <c r="Z2502" s="198"/>
    </row>
    <row r="2503" spans="1:26" ht="15.75" hidden="1" customHeight="1" x14ac:dyDescent="0.25">
      <c r="A2503" s="213">
        <v>4741</v>
      </c>
      <c r="B2503" s="214" t="s">
        <v>11001</v>
      </c>
      <c r="C2503" s="215" t="s">
        <v>664</v>
      </c>
      <c r="D2503" s="216">
        <v>60.18</v>
      </c>
      <c r="E2503" s="198"/>
      <c r="F2503" s="198"/>
      <c r="G2503" s="198"/>
      <c r="H2503" s="198"/>
      <c r="I2503" s="198"/>
      <c r="J2503" s="198"/>
      <c r="K2503" s="198"/>
      <c r="L2503" s="198"/>
      <c r="M2503" s="198"/>
      <c r="N2503" s="198"/>
      <c r="O2503" s="198"/>
      <c r="P2503" s="198"/>
      <c r="Q2503" s="198"/>
      <c r="R2503" s="198"/>
      <c r="S2503" s="198"/>
      <c r="T2503" s="198"/>
      <c r="U2503" s="198"/>
      <c r="V2503" s="198"/>
      <c r="W2503" s="198"/>
      <c r="X2503" s="198"/>
      <c r="Y2503" s="198"/>
      <c r="Z2503" s="198"/>
    </row>
    <row r="2504" spans="1:26" ht="15.75" hidden="1" customHeight="1" x14ac:dyDescent="0.25">
      <c r="A2504" s="213">
        <v>4752</v>
      </c>
      <c r="B2504" s="214" t="s">
        <v>11002</v>
      </c>
      <c r="C2504" s="215" t="s">
        <v>2193</v>
      </c>
      <c r="D2504" s="216">
        <v>20.72</v>
      </c>
      <c r="E2504" s="198"/>
      <c r="F2504" s="198"/>
      <c r="G2504" s="198"/>
      <c r="H2504" s="198"/>
      <c r="I2504" s="198"/>
      <c r="J2504" s="198"/>
      <c r="K2504" s="198"/>
      <c r="L2504" s="198"/>
      <c r="M2504" s="198"/>
      <c r="N2504" s="198"/>
      <c r="O2504" s="198"/>
      <c r="P2504" s="198"/>
      <c r="Q2504" s="198"/>
      <c r="R2504" s="198"/>
      <c r="S2504" s="198"/>
      <c r="T2504" s="198"/>
      <c r="U2504" s="198"/>
      <c r="V2504" s="198"/>
      <c r="W2504" s="198"/>
      <c r="X2504" s="198"/>
      <c r="Y2504" s="198"/>
      <c r="Z2504" s="198"/>
    </row>
    <row r="2505" spans="1:26" ht="15.75" hidden="1" customHeight="1" x14ac:dyDescent="0.25">
      <c r="A2505" s="213">
        <v>41091</v>
      </c>
      <c r="B2505" s="214" t="s">
        <v>11003</v>
      </c>
      <c r="C2505" s="215" t="s">
        <v>6214</v>
      </c>
      <c r="D2505" s="216">
        <v>3637.42</v>
      </c>
      <c r="E2505" s="198"/>
      <c r="F2505" s="198"/>
      <c r="G2505" s="198"/>
      <c r="H2505" s="198"/>
      <c r="I2505" s="198"/>
      <c r="J2505" s="198"/>
      <c r="K2505" s="198"/>
      <c r="L2505" s="198"/>
      <c r="M2505" s="198"/>
      <c r="N2505" s="198"/>
      <c r="O2505" s="198"/>
      <c r="P2505" s="198"/>
      <c r="Q2505" s="198"/>
      <c r="R2505" s="198"/>
      <c r="S2505" s="198"/>
      <c r="T2505" s="198"/>
      <c r="U2505" s="198"/>
      <c r="V2505" s="198"/>
      <c r="W2505" s="198"/>
      <c r="X2505" s="198"/>
      <c r="Y2505" s="198"/>
      <c r="Z2505" s="198"/>
    </row>
    <row r="2506" spans="1:26" ht="15.75" hidden="1" customHeight="1" x14ac:dyDescent="0.25">
      <c r="A2506" s="213">
        <v>4491</v>
      </c>
      <c r="B2506" s="214" t="s">
        <v>11004</v>
      </c>
      <c r="C2506" s="215" t="s">
        <v>585</v>
      </c>
      <c r="D2506" s="216">
        <v>6.99</v>
      </c>
      <c r="E2506" s="198"/>
      <c r="F2506" s="198"/>
      <c r="G2506" s="198"/>
      <c r="H2506" s="198"/>
      <c r="I2506" s="198"/>
      <c r="J2506" s="198"/>
      <c r="K2506" s="198"/>
      <c r="L2506" s="198"/>
      <c r="M2506" s="198"/>
      <c r="N2506" s="198"/>
      <c r="O2506" s="198"/>
      <c r="P2506" s="198"/>
      <c r="Q2506" s="198"/>
      <c r="R2506" s="198"/>
      <c r="S2506" s="198"/>
      <c r="T2506" s="198"/>
      <c r="U2506" s="198"/>
      <c r="V2506" s="198"/>
      <c r="W2506" s="198"/>
      <c r="X2506" s="198"/>
      <c r="Y2506" s="198"/>
      <c r="Z2506" s="198"/>
    </row>
    <row r="2507" spans="1:26" ht="15.75" hidden="1" customHeight="1" x14ac:dyDescent="0.25">
      <c r="A2507" s="213">
        <v>2745</v>
      </c>
      <c r="B2507" s="214" t="s">
        <v>11005</v>
      </c>
      <c r="C2507" s="215" t="s">
        <v>585</v>
      </c>
      <c r="D2507" s="216">
        <v>4.84</v>
      </c>
      <c r="E2507" s="198"/>
      <c r="F2507" s="198"/>
      <c r="G2507" s="198"/>
      <c r="H2507" s="198"/>
      <c r="I2507" s="198"/>
      <c r="J2507" s="198"/>
      <c r="K2507" s="198"/>
      <c r="L2507" s="198"/>
      <c r="M2507" s="198"/>
      <c r="N2507" s="198"/>
      <c r="O2507" s="198"/>
      <c r="P2507" s="198"/>
      <c r="Q2507" s="198"/>
      <c r="R2507" s="198"/>
      <c r="S2507" s="198"/>
      <c r="T2507" s="198"/>
      <c r="U2507" s="198"/>
      <c r="V2507" s="198"/>
      <c r="W2507" s="198"/>
      <c r="X2507" s="198"/>
      <c r="Y2507" s="198"/>
      <c r="Z2507" s="198"/>
    </row>
    <row r="2508" spans="1:26" ht="15.75" hidden="1" customHeight="1" x14ac:dyDescent="0.25">
      <c r="A2508" s="213">
        <v>14439</v>
      </c>
      <c r="B2508" s="214" t="s">
        <v>11006</v>
      </c>
      <c r="C2508" s="215" t="s">
        <v>585</v>
      </c>
      <c r="D2508" s="216">
        <v>6</v>
      </c>
      <c r="E2508" s="198"/>
      <c r="F2508" s="198"/>
      <c r="G2508" s="198"/>
      <c r="H2508" s="198"/>
      <c r="I2508" s="198"/>
      <c r="J2508" s="198"/>
      <c r="K2508" s="198"/>
      <c r="L2508" s="198"/>
      <c r="M2508" s="198"/>
      <c r="N2508" s="198"/>
      <c r="O2508" s="198"/>
      <c r="P2508" s="198"/>
      <c r="Q2508" s="198"/>
      <c r="R2508" s="198"/>
      <c r="S2508" s="198"/>
      <c r="T2508" s="198"/>
      <c r="U2508" s="198"/>
      <c r="V2508" s="198"/>
      <c r="W2508" s="198"/>
      <c r="X2508" s="198"/>
      <c r="Y2508" s="198"/>
      <c r="Z2508" s="198"/>
    </row>
    <row r="2509" spans="1:26" ht="15.75" hidden="1" customHeight="1" x14ac:dyDescent="0.25">
      <c r="A2509" s="213">
        <v>44496</v>
      </c>
      <c r="B2509" s="214" t="s">
        <v>11007</v>
      </c>
      <c r="C2509" s="215" t="s">
        <v>580</v>
      </c>
      <c r="D2509" s="216">
        <v>139.72</v>
      </c>
      <c r="E2509" s="198"/>
      <c r="F2509" s="198"/>
      <c r="G2509" s="198"/>
      <c r="H2509" s="198"/>
      <c r="I2509" s="198"/>
      <c r="J2509" s="198"/>
      <c r="K2509" s="198"/>
      <c r="L2509" s="198"/>
      <c r="M2509" s="198"/>
      <c r="N2509" s="198"/>
      <c r="O2509" s="198"/>
      <c r="P2509" s="198"/>
      <c r="Q2509" s="198"/>
      <c r="R2509" s="198"/>
      <c r="S2509" s="198"/>
      <c r="T2509" s="198"/>
      <c r="U2509" s="198"/>
      <c r="V2509" s="198"/>
      <c r="W2509" s="198"/>
      <c r="X2509" s="198"/>
      <c r="Y2509" s="198"/>
      <c r="Z2509" s="198"/>
    </row>
    <row r="2510" spans="1:26" ht="15.75" hidden="1" customHeight="1" x14ac:dyDescent="0.25">
      <c r="A2510" s="213">
        <v>12362</v>
      </c>
      <c r="B2510" s="214" t="s">
        <v>11008</v>
      </c>
      <c r="C2510" s="215" t="s">
        <v>580</v>
      </c>
      <c r="D2510" s="216">
        <v>11.76</v>
      </c>
      <c r="E2510" s="198"/>
      <c r="F2510" s="198"/>
      <c r="G2510" s="198"/>
      <c r="H2510" s="198"/>
      <c r="I2510" s="198"/>
      <c r="J2510" s="198"/>
      <c r="K2510" s="198"/>
      <c r="L2510" s="198"/>
      <c r="M2510" s="198"/>
      <c r="N2510" s="198"/>
      <c r="O2510" s="198"/>
      <c r="P2510" s="198"/>
      <c r="Q2510" s="198"/>
      <c r="R2510" s="198"/>
      <c r="S2510" s="198"/>
      <c r="T2510" s="198"/>
      <c r="U2510" s="198"/>
      <c r="V2510" s="198"/>
      <c r="W2510" s="198"/>
      <c r="X2510" s="198"/>
      <c r="Y2510" s="198"/>
      <c r="Z2510" s="198"/>
    </row>
    <row r="2511" spans="1:26" ht="15.75" hidden="1" customHeight="1" x14ac:dyDescent="0.25">
      <c r="A2511" s="213">
        <v>4341</v>
      </c>
      <c r="B2511" s="214" t="s">
        <v>11009</v>
      </c>
      <c r="C2511" s="215" t="s">
        <v>580</v>
      </c>
      <c r="D2511" s="216">
        <v>0.91</v>
      </c>
      <c r="E2511" s="198"/>
      <c r="F2511" s="198"/>
      <c r="G2511" s="198"/>
      <c r="H2511" s="198"/>
      <c r="I2511" s="198"/>
      <c r="J2511" s="198"/>
      <c r="K2511" s="198"/>
      <c r="L2511" s="198"/>
      <c r="M2511" s="198"/>
      <c r="N2511" s="198"/>
      <c r="O2511" s="198"/>
      <c r="P2511" s="198"/>
      <c r="Q2511" s="198"/>
      <c r="R2511" s="198"/>
      <c r="S2511" s="198"/>
      <c r="T2511" s="198"/>
      <c r="U2511" s="198"/>
      <c r="V2511" s="198"/>
      <c r="W2511" s="198"/>
      <c r="X2511" s="198"/>
      <c r="Y2511" s="198"/>
      <c r="Z2511" s="198"/>
    </row>
    <row r="2512" spans="1:26" ht="15.75" hidden="1" customHeight="1" x14ac:dyDescent="0.25">
      <c r="A2512" s="213">
        <v>4337</v>
      </c>
      <c r="B2512" s="214" t="s">
        <v>11010</v>
      </c>
      <c r="C2512" s="215" t="s">
        <v>580</v>
      </c>
      <c r="D2512" s="216">
        <v>2.2999999999999998</v>
      </c>
      <c r="E2512" s="198"/>
      <c r="F2512" s="198"/>
      <c r="G2512" s="198"/>
      <c r="H2512" s="198"/>
      <c r="I2512" s="198"/>
      <c r="J2512" s="198"/>
      <c r="K2512" s="198"/>
      <c r="L2512" s="198"/>
      <c r="M2512" s="198"/>
      <c r="N2512" s="198"/>
      <c r="O2512" s="198"/>
      <c r="P2512" s="198"/>
      <c r="Q2512" s="198"/>
      <c r="R2512" s="198"/>
      <c r="S2512" s="198"/>
      <c r="T2512" s="198"/>
      <c r="U2512" s="198"/>
      <c r="V2512" s="198"/>
      <c r="W2512" s="198"/>
      <c r="X2512" s="198"/>
      <c r="Y2512" s="198"/>
      <c r="Z2512" s="198"/>
    </row>
    <row r="2513" spans="1:26" ht="15.75" hidden="1" customHeight="1" x14ac:dyDescent="0.25">
      <c r="A2513" s="213">
        <v>11971</v>
      </c>
      <c r="B2513" s="214" t="s">
        <v>11011</v>
      </c>
      <c r="C2513" s="215" t="s">
        <v>580</v>
      </c>
      <c r="D2513" s="216">
        <v>3.81</v>
      </c>
      <c r="E2513" s="198"/>
      <c r="F2513" s="198"/>
      <c r="G2513" s="198"/>
      <c r="H2513" s="198"/>
      <c r="I2513" s="198"/>
      <c r="J2513" s="198"/>
      <c r="K2513" s="198"/>
      <c r="L2513" s="198"/>
      <c r="M2513" s="198"/>
      <c r="N2513" s="198"/>
      <c r="O2513" s="198"/>
      <c r="P2513" s="198"/>
      <c r="Q2513" s="198"/>
      <c r="R2513" s="198"/>
      <c r="S2513" s="198"/>
      <c r="T2513" s="198"/>
      <c r="U2513" s="198"/>
      <c r="V2513" s="198"/>
      <c r="W2513" s="198"/>
      <c r="X2513" s="198"/>
      <c r="Y2513" s="198"/>
      <c r="Z2513" s="198"/>
    </row>
    <row r="2514" spans="1:26" ht="15.75" hidden="1" customHeight="1" x14ac:dyDescent="0.25">
      <c r="A2514" s="213">
        <v>4339</v>
      </c>
      <c r="B2514" s="214" t="s">
        <v>11012</v>
      </c>
      <c r="C2514" s="215" t="s">
        <v>580</v>
      </c>
      <c r="D2514" s="216">
        <v>0.49</v>
      </c>
      <c r="E2514" s="198"/>
      <c r="F2514" s="198"/>
      <c r="G2514" s="198"/>
      <c r="H2514" s="198"/>
      <c r="I2514" s="198"/>
      <c r="J2514" s="198"/>
      <c r="K2514" s="198"/>
      <c r="L2514" s="198"/>
      <c r="M2514" s="198"/>
      <c r="N2514" s="198"/>
      <c r="O2514" s="198"/>
      <c r="P2514" s="198"/>
      <c r="Q2514" s="198"/>
      <c r="R2514" s="198"/>
      <c r="S2514" s="198"/>
      <c r="T2514" s="198"/>
      <c r="U2514" s="198"/>
      <c r="V2514" s="198"/>
      <c r="W2514" s="198"/>
      <c r="X2514" s="198"/>
      <c r="Y2514" s="198"/>
      <c r="Z2514" s="198"/>
    </row>
    <row r="2515" spans="1:26" ht="15.75" hidden="1" customHeight="1" x14ac:dyDescent="0.25">
      <c r="A2515" s="213">
        <v>39997</v>
      </c>
      <c r="B2515" s="214" t="s">
        <v>11013</v>
      </c>
      <c r="C2515" s="215" t="s">
        <v>580</v>
      </c>
      <c r="D2515" s="216">
        <v>0.27</v>
      </c>
      <c r="E2515" s="198"/>
      <c r="F2515" s="198"/>
      <c r="G2515" s="198"/>
      <c r="H2515" s="198"/>
      <c r="I2515" s="198"/>
      <c r="J2515" s="198"/>
      <c r="K2515" s="198"/>
      <c r="L2515" s="198"/>
      <c r="M2515" s="198"/>
      <c r="N2515" s="198"/>
      <c r="O2515" s="198"/>
      <c r="P2515" s="198"/>
      <c r="Q2515" s="198"/>
      <c r="R2515" s="198"/>
      <c r="S2515" s="198"/>
      <c r="T2515" s="198"/>
      <c r="U2515" s="198"/>
      <c r="V2515" s="198"/>
      <c r="W2515" s="198"/>
      <c r="X2515" s="198"/>
      <c r="Y2515" s="198"/>
      <c r="Z2515" s="198"/>
    </row>
    <row r="2516" spans="1:26" ht="15.75" hidden="1" customHeight="1" x14ac:dyDescent="0.25">
      <c r="A2516" s="213">
        <v>4342</v>
      </c>
      <c r="B2516" s="214" t="s">
        <v>11014</v>
      </c>
      <c r="C2516" s="215" t="s">
        <v>580</v>
      </c>
      <c r="D2516" s="216">
        <v>0.2</v>
      </c>
      <c r="E2516" s="198"/>
      <c r="F2516" s="198"/>
      <c r="G2516" s="198"/>
      <c r="H2516" s="198"/>
      <c r="I2516" s="198"/>
      <c r="J2516" s="198"/>
      <c r="K2516" s="198"/>
      <c r="L2516" s="198"/>
      <c r="M2516" s="198"/>
      <c r="N2516" s="198"/>
      <c r="O2516" s="198"/>
      <c r="P2516" s="198"/>
      <c r="Q2516" s="198"/>
      <c r="R2516" s="198"/>
      <c r="S2516" s="198"/>
      <c r="T2516" s="198"/>
      <c r="U2516" s="198"/>
      <c r="V2516" s="198"/>
      <c r="W2516" s="198"/>
      <c r="X2516" s="198"/>
      <c r="Y2516" s="198"/>
      <c r="Z2516" s="198"/>
    </row>
    <row r="2517" spans="1:26" ht="15.75" hidden="1" customHeight="1" x14ac:dyDescent="0.25">
      <c r="A2517" s="213">
        <v>4330</v>
      </c>
      <c r="B2517" s="214" t="s">
        <v>11015</v>
      </c>
      <c r="C2517" s="215" t="s">
        <v>580</v>
      </c>
      <c r="D2517" s="216">
        <v>0.13</v>
      </c>
      <c r="E2517" s="198"/>
      <c r="F2517" s="198"/>
      <c r="G2517" s="198"/>
      <c r="H2517" s="198"/>
      <c r="I2517" s="198"/>
      <c r="J2517" s="198"/>
      <c r="K2517" s="198"/>
      <c r="L2517" s="198"/>
      <c r="M2517" s="198"/>
      <c r="N2517" s="198"/>
      <c r="O2517" s="198"/>
      <c r="P2517" s="198"/>
      <c r="Q2517" s="198"/>
      <c r="R2517" s="198"/>
      <c r="S2517" s="198"/>
      <c r="T2517" s="198"/>
      <c r="U2517" s="198"/>
      <c r="V2517" s="198"/>
      <c r="W2517" s="198"/>
      <c r="X2517" s="198"/>
      <c r="Y2517" s="198"/>
      <c r="Z2517" s="198"/>
    </row>
    <row r="2518" spans="1:26" ht="15.75" hidden="1" customHeight="1" x14ac:dyDescent="0.25">
      <c r="A2518" s="213">
        <v>4340</v>
      </c>
      <c r="B2518" s="214" t="s">
        <v>11016</v>
      </c>
      <c r="C2518" s="215" t="s">
        <v>580</v>
      </c>
      <c r="D2518" s="216">
        <v>1.06</v>
      </c>
      <c r="E2518" s="198"/>
      <c r="F2518" s="198"/>
      <c r="G2518" s="198"/>
      <c r="H2518" s="198"/>
      <c r="I2518" s="198"/>
      <c r="J2518" s="198"/>
      <c r="K2518" s="198"/>
      <c r="L2518" s="198"/>
      <c r="M2518" s="198"/>
      <c r="N2518" s="198"/>
      <c r="O2518" s="198"/>
      <c r="P2518" s="198"/>
      <c r="Q2518" s="198"/>
      <c r="R2518" s="198"/>
      <c r="S2518" s="198"/>
      <c r="T2518" s="198"/>
      <c r="U2518" s="198"/>
      <c r="V2518" s="198"/>
      <c r="W2518" s="198"/>
      <c r="X2518" s="198"/>
      <c r="Y2518" s="198"/>
      <c r="Z2518" s="198"/>
    </row>
    <row r="2519" spans="1:26" ht="15.75" hidden="1" customHeight="1" x14ac:dyDescent="0.25">
      <c r="A2519" s="213">
        <v>5088</v>
      </c>
      <c r="B2519" s="214" t="s">
        <v>11017</v>
      </c>
      <c r="C2519" s="215" t="s">
        <v>580</v>
      </c>
      <c r="D2519" s="216">
        <v>6.53</v>
      </c>
      <c r="E2519" s="198"/>
      <c r="F2519" s="198"/>
      <c r="G2519" s="198"/>
      <c r="H2519" s="198"/>
      <c r="I2519" s="198"/>
      <c r="J2519" s="198"/>
      <c r="K2519" s="198"/>
      <c r="L2519" s="198"/>
      <c r="M2519" s="198"/>
      <c r="N2519" s="198"/>
      <c r="O2519" s="198"/>
      <c r="P2519" s="198"/>
      <c r="Q2519" s="198"/>
      <c r="R2519" s="198"/>
      <c r="S2519" s="198"/>
      <c r="T2519" s="198"/>
      <c r="U2519" s="198"/>
      <c r="V2519" s="198"/>
      <c r="W2519" s="198"/>
      <c r="X2519" s="198"/>
      <c r="Y2519" s="198"/>
      <c r="Z2519" s="198"/>
    </row>
    <row r="2520" spans="1:26" ht="15.75" hidden="1" customHeight="1" x14ac:dyDescent="0.25">
      <c r="A2520" s="213">
        <v>11154</v>
      </c>
      <c r="B2520" s="214" t="s">
        <v>11018</v>
      </c>
      <c r="C2520" s="215" t="s">
        <v>580</v>
      </c>
      <c r="D2520" s="216">
        <v>2718.05</v>
      </c>
      <c r="E2520" s="198"/>
      <c r="F2520" s="198"/>
      <c r="G2520" s="198"/>
      <c r="H2520" s="198"/>
      <c r="I2520" s="198"/>
      <c r="J2520" s="198"/>
      <c r="K2520" s="198"/>
      <c r="L2520" s="198"/>
      <c r="M2520" s="198"/>
      <c r="N2520" s="198"/>
      <c r="O2520" s="198"/>
      <c r="P2520" s="198"/>
      <c r="Q2520" s="198"/>
      <c r="R2520" s="198"/>
      <c r="S2520" s="198"/>
      <c r="T2520" s="198"/>
      <c r="U2520" s="198"/>
      <c r="V2520" s="198"/>
      <c r="W2520" s="198"/>
      <c r="X2520" s="198"/>
      <c r="Y2520" s="198"/>
      <c r="Z2520" s="198"/>
    </row>
    <row r="2521" spans="1:26" ht="15.75" hidden="1" customHeight="1" x14ac:dyDescent="0.25">
      <c r="A2521" s="213">
        <v>4989</v>
      </c>
      <c r="B2521" s="214" t="s">
        <v>11019</v>
      </c>
      <c r="C2521" s="215" t="s">
        <v>580</v>
      </c>
      <c r="D2521" s="216">
        <v>379.64</v>
      </c>
      <c r="E2521" s="198"/>
      <c r="F2521" s="198"/>
      <c r="G2521" s="198"/>
      <c r="H2521" s="198"/>
      <c r="I2521" s="198"/>
      <c r="J2521" s="198"/>
      <c r="K2521" s="198"/>
      <c r="L2521" s="198"/>
      <c r="M2521" s="198"/>
      <c r="N2521" s="198"/>
      <c r="O2521" s="198"/>
      <c r="P2521" s="198"/>
      <c r="Q2521" s="198"/>
      <c r="R2521" s="198"/>
      <c r="S2521" s="198"/>
      <c r="T2521" s="198"/>
      <c r="U2521" s="198"/>
      <c r="V2521" s="198"/>
      <c r="W2521" s="198"/>
      <c r="X2521" s="198"/>
      <c r="Y2521" s="198"/>
      <c r="Z2521" s="198"/>
    </row>
    <row r="2522" spans="1:26" ht="15.75" hidden="1" customHeight="1" x14ac:dyDescent="0.25">
      <c r="A2522" s="213">
        <v>4982</v>
      </c>
      <c r="B2522" s="214" t="s">
        <v>11020</v>
      </c>
      <c r="C2522" s="215" t="s">
        <v>580</v>
      </c>
      <c r="D2522" s="216">
        <v>356.09</v>
      </c>
      <c r="E2522" s="198"/>
      <c r="F2522" s="198"/>
      <c r="G2522" s="198"/>
      <c r="H2522" s="198"/>
      <c r="I2522" s="198"/>
      <c r="J2522" s="198"/>
      <c r="K2522" s="198"/>
      <c r="L2522" s="198"/>
      <c r="M2522" s="198"/>
      <c r="N2522" s="198"/>
      <c r="O2522" s="198"/>
      <c r="P2522" s="198"/>
      <c r="Q2522" s="198"/>
      <c r="R2522" s="198"/>
      <c r="S2522" s="198"/>
      <c r="T2522" s="198"/>
      <c r="U2522" s="198"/>
      <c r="V2522" s="198"/>
      <c r="W2522" s="198"/>
      <c r="X2522" s="198"/>
      <c r="Y2522" s="198"/>
      <c r="Z2522" s="198"/>
    </row>
    <row r="2523" spans="1:26" ht="15.75" hidden="1" customHeight="1" x14ac:dyDescent="0.25">
      <c r="A2523" s="213">
        <v>4962</v>
      </c>
      <c r="B2523" s="214" t="s">
        <v>11021</v>
      </c>
      <c r="C2523" s="215" t="s">
        <v>580</v>
      </c>
      <c r="D2523" s="216">
        <v>280.82</v>
      </c>
      <c r="E2523" s="198"/>
      <c r="F2523" s="198"/>
      <c r="G2523" s="198"/>
      <c r="H2523" s="198"/>
      <c r="I2523" s="198"/>
      <c r="J2523" s="198"/>
      <c r="K2523" s="198"/>
      <c r="L2523" s="198"/>
      <c r="M2523" s="198"/>
      <c r="N2523" s="198"/>
      <c r="O2523" s="198"/>
      <c r="P2523" s="198"/>
      <c r="Q2523" s="198"/>
      <c r="R2523" s="198"/>
      <c r="S2523" s="198"/>
      <c r="T2523" s="198"/>
      <c r="U2523" s="198"/>
      <c r="V2523" s="198"/>
      <c r="W2523" s="198"/>
      <c r="X2523" s="198"/>
      <c r="Y2523" s="198"/>
      <c r="Z2523" s="198"/>
    </row>
    <row r="2524" spans="1:26" ht="15.75" hidden="1" customHeight="1" x14ac:dyDescent="0.25">
      <c r="A2524" s="213">
        <v>4981</v>
      </c>
      <c r="B2524" s="214" t="s">
        <v>11022</v>
      </c>
      <c r="C2524" s="215" t="s">
        <v>580</v>
      </c>
      <c r="D2524" s="216">
        <v>250</v>
      </c>
      <c r="E2524" s="198"/>
      <c r="F2524" s="198"/>
      <c r="G2524" s="198"/>
      <c r="H2524" s="198"/>
      <c r="I2524" s="198"/>
      <c r="J2524" s="198"/>
      <c r="K2524" s="198"/>
      <c r="L2524" s="198"/>
      <c r="M2524" s="198"/>
      <c r="N2524" s="198"/>
      <c r="O2524" s="198"/>
      <c r="P2524" s="198"/>
      <c r="Q2524" s="198"/>
      <c r="R2524" s="198"/>
      <c r="S2524" s="198"/>
      <c r="T2524" s="198"/>
      <c r="U2524" s="198"/>
      <c r="V2524" s="198"/>
      <c r="W2524" s="198"/>
      <c r="X2524" s="198"/>
      <c r="Y2524" s="198"/>
      <c r="Z2524" s="198"/>
    </row>
    <row r="2525" spans="1:26" ht="15.75" hidden="1" customHeight="1" x14ac:dyDescent="0.25">
      <c r="A2525" s="213">
        <v>4964</v>
      </c>
      <c r="B2525" s="214" t="s">
        <v>11023</v>
      </c>
      <c r="C2525" s="215" t="s">
        <v>580</v>
      </c>
      <c r="D2525" s="216">
        <v>317.16000000000003</v>
      </c>
      <c r="E2525" s="198"/>
      <c r="F2525" s="198"/>
      <c r="G2525" s="198"/>
      <c r="H2525" s="198"/>
      <c r="I2525" s="198"/>
      <c r="J2525" s="198"/>
      <c r="K2525" s="198"/>
      <c r="L2525" s="198"/>
      <c r="M2525" s="198"/>
      <c r="N2525" s="198"/>
      <c r="O2525" s="198"/>
      <c r="P2525" s="198"/>
      <c r="Q2525" s="198"/>
      <c r="R2525" s="198"/>
      <c r="S2525" s="198"/>
      <c r="T2525" s="198"/>
      <c r="U2525" s="198"/>
      <c r="V2525" s="198"/>
      <c r="W2525" s="198"/>
      <c r="X2525" s="198"/>
      <c r="Y2525" s="198"/>
      <c r="Z2525" s="198"/>
    </row>
    <row r="2526" spans="1:26" ht="15.75" hidden="1" customHeight="1" x14ac:dyDescent="0.25">
      <c r="A2526" s="213">
        <v>4992</v>
      </c>
      <c r="B2526" s="214" t="s">
        <v>11024</v>
      </c>
      <c r="C2526" s="215" t="s">
        <v>580</v>
      </c>
      <c r="D2526" s="216">
        <v>309.8</v>
      </c>
      <c r="E2526" s="198"/>
      <c r="F2526" s="198"/>
      <c r="G2526" s="198"/>
      <c r="H2526" s="198"/>
      <c r="I2526" s="198"/>
      <c r="J2526" s="198"/>
      <c r="K2526" s="198"/>
      <c r="L2526" s="198"/>
      <c r="M2526" s="198"/>
      <c r="N2526" s="198"/>
      <c r="O2526" s="198"/>
      <c r="P2526" s="198"/>
      <c r="Q2526" s="198"/>
      <c r="R2526" s="198"/>
      <c r="S2526" s="198"/>
      <c r="T2526" s="198"/>
      <c r="U2526" s="198"/>
      <c r="V2526" s="198"/>
      <c r="W2526" s="198"/>
      <c r="X2526" s="198"/>
      <c r="Y2526" s="198"/>
      <c r="Z2526" s="198"/>
    </row>
    <row r="2527" spans="1:26" ht="15.75" hidden="1" customHeight="1" x14ac:dyDescent="0.25">
      <c r="A2527" s="213">
        <v>4987</v>
      </c>
      <c r="B2527" s="214" t="s">
        <v>11025</v>
      </c>
      <c r="C2527" s="215" t="s">
        <v>580</v>
      </c>
      <c r="D2527" s="216">
        <v>354.44</v>
      </c>
      <c r="E2527" s="198"/>
      <c r="F2527" s="198"/>
      <c r="G2527" s="198"/>
      <c r="H2527" s="198"/>
      <c r="I2527" s="198"/>
      <c r="J2527" s="198"/>
      <c r="K2527" s="198"/>
      <c r="L2527" s="198"/>
      <c r="M2527" s="198"/>
      <c r="N2527" s="198"/>
      <c r="O2527" s="198"/>
      <c r="P2527" s="198"/>
      <c r="Q2527" s="198"/>
      <c r="R2527" s="198"/>
      <c r="S2527" s="198"/>
      <c r="T2527" s="198"/>
      <c r="U2527" s="198"/>
      <c r="V2527" s="198"/>
      <c r="W2527" s="198"/>
      <c r="X2527" s="198"/>
      <c r="Y2527" s="198"/>
      <c r="Z2527" s="198"/>
    </row>
    <row r="2528" spans="1:26" ht="15.75" hidden="1" customHeight="1" x14ac:dyDescent="0.25">
      <c r="A2528" s="213">
        <v>4930</v>
      </c>
      <c r="B2528" s="214" t="s">
        <v>11026</v>
      </c>
      <c r="C2528" s="215" t="s">
        <v>578</v>
      </c>
      <c r="D2528" s="216">
        <v>1151.27</v>
      </c>
      <c r="E2528" s="198"/>
      <c r="F2528" s="198"/>
      <c r="G2528" s="198"/>
      <c r="H2528" s="198"/>
      <c r="I2528" s="198"/>
      <c r="J2528" s="198"/>
      <c r="K2528" s="198"/>
      <c r="L2528" s="198"/>
      <c r="M2528" s="198"/>
      <c r="N2528" s="198"/>
      <c r="O2528" s="198"/>
      <c r="P2528" s="198"/>
      <c r="Q2528" s="198"/>
      <c r="R2528" s="198"/>
      <c r="S2528" s="198"/>
      <c r="T2528" s="198"/>
      <c r="U2528" s="198"/>
      <c r="V2528" s="198"/>
      <c r="W2528" s="198"/>
      <c r="X2528" s="198"/>
      <c r="Y2528" s="198"/>
      <c r="Z2528" s="198"/>
    </row>
    <row r="2529" spans="1:26" ht="15.75" hidden="1" customHeight="1" x14ac:dyDescent="0.25">
      <c r="A2529" s="213">
        <v>4998</v>
      </c>
      <c r="B2529" s="214" t="s">
        <v>11027</v>
      </c>
      <c r="C2529" s="215" t="s">
        <v>578</v>
      </c>
      <c r="D2529" s="216">
        <v>738.99</v>
      </c>
      <c r="E2529" s="198"/>
      <c r="F2529" s="198"/>
      <c r="G2529" s="198"/>
      <c r="H2529" s="198"/>
      <c r="I2529" s="198"/>
      <c r="J2529" s="198"/>
      <c r="K2529" s="198"/>
      <c r="L2529" s="198"/>
      <c r="M2529" s="198"/>
      <c r="N2529" s="198"/>
      <c r="O2529" s="198"/>
      <c r="P2529" s="198"/>
      <c r="Q2529" s="198"/>
      <c r="R2529" s="198"/>
      <c r="S2529" s="198"/>
      <c r="T2529" s="198"/>
      <c r="U2529" s="198"/>
      <c r="V2529" s="198"/>
      <c r="W2529" s="198"/>
      <c r="X2529" s="198"/>
      <c r="Y2529" s="198"/>
      <c r="Z2529" s="198"/>
    </row>
    <row r="2530" spans="1:26" ht="15.75" hidden="1" customHeight="1" x14ac:dyDescent="0.25">
      <c r="A2530" s="213">
        <v>39021</v>
      </c>
      <c r="B2530" s="214" t="s">
        <v>11028</v>
      </c>
      <c r="C2530" s="215" t="s">
        <v>580</v>
      </c>
      <c r="D2530" s="216">
        <v>1224.0899999999999</v>
      </c>
      <c r="E2530" s="198"/>
      <c r="F2530" s="198"/>
      <c r="G2530" s="198"/>
      <c r="H2530" s="198"/>
      <c r="I2530" s="198"/>
      <c r="J2530" s="198"/>
      <c r="K2530" s="198"/>
      <c r="L2530" s="198"/>
      <c r="M2530" s="198"/>
      <c r="N2530" s="198"/>
      <c r="O2530" s="198"/>
      <c r="P2530" s="198"/>
      <c r="Q2530" s="198"/>
      <c r="R2530" s="198"/>
      <c r="S2530" s="198"/>
      <c r="T2530" s="198"/>
      <c r="U2530" s="198"/>
      <c r="V2530" s="198"/>
      <c r="W2530" s="198"/>
      <c r="X2530" s="198"/>
      <c r="Y2530" s="198"/>
      <c r="Z2530" s="198"/>
    </row>
    <row r="2531" spans="1:26" ht="15.75" hidden="1" customHeight="1" x14ac:dyDescent="0.25">
      <c r="A2531" s="213">
        <v>39022</v>
      </c>
      <c r="B2531" s="214" t="s">
        <v>11029</v>
      </c>
      <c r="C2531" s="215" t="s">
        <v>580</v>
      </c>
      <c r="D2531" s="216">
        <v>1096.45</v>
      </c>
      <c r="E2531" s="198"/>
      <c r="F2531" s="198"/>
      <c r="G2531" s="198"/>
      <c r="H2531" s="198"/>
      <c r="I2531" s="198"/>
      <c r="J2531" s="198"/>
      <c r="K2531" s="198"/>
      <c r="L2531" s="198"/>
      <c r="M2531" s="198"/>
      <c r="N2531" s="198"/>
      <c r="O2531" s="198"/>
      <c r="P2531" s="198"/>
      <c r="Q2531" s="198"/>
      <c r="R2531" s="198"/>
      <c r="S2531" s="198"/>
      <c r="T2531" s="198"/>
      <c r="U2531" s="198"/>
      <c r="V2531" s="198"/>
      <c r="W2531" s="198"/>
      <c r="X2531" s="198"/>
      <c r="Y2531" s="198"/>
      <c r="Z2531" s="198"/>
    </row>
    <row r="2532" spans="1:26" ht="15.75" hidden="1" customHeight="1" x14ac:dyDescent="0.25">
      <c r="A2532" s="213">
        <v>39024</v>
      </c>
      <c r="B2532" s="214" t="s">
        <v>11030</v>
      </c>
      <c r="C2532" s="215" t="s">
        <v>580</v>
      </c>
      <c r="D2532" s="216">
        <v>1196.1300000000001</v>
      </c>
      <c r="E2532" s="198"/>
      <c r="F2532" s="198"/>
      <c r="G2532" s="198"/>
      <c r="H2532" s="198"/>
      <c r="I2532" s="198"/>
      <c r="J2532" s="198"/>
      <c r="K2532" s="198"/>
      <c r="L2532" s="198"/>
      <c r="M2532" s="198"/>
      <c r="N2532" s="198"/>
      <c r="O2532" s="198"/>
      <c r="P2532" s="198"/>
      <c r="Q2532" s="198"/>
      <c r="R2532" s="198"/>
      <c r="S2532" s="198"/>
      <c r="T2532" s="198"/>
      <c r="U2532" s="198"/>
      <c r="V2532" s="198"/>
      <c r="W2532" s="198"/>
      <c r="X2532" s="198"/>
      <c r="Y2532" s="198"/>
      <c r="Z2532" s="198"/>
    </row>
    <row r="2533" spans="1:26" ht="15.75" hidden="1" customHeight="1" x14ac:dyDescent="0.25">
      <c r="A2533" s="213">
        <v>4914</v>
      </c>
      <c r="B2533" s="214" t="s">
        <v>11031</v>
      </c>
      <c r="C2533" s="215" t="s">
        <v>578</v>
      </c>
      <c r="D2533" s="216">
        <v>969.85</v>
      </c>
      <c r="E2533" s="198"/>
      <c r="F2533" s="198"/>
      <c r="G2533" s="198"/>
      <c r="H2533" s="198"/>
      <c r="I2533" s="198"/>
      <c r="J2533" s="198"/>
      <c r="K2533" s="198"/>
      <c r="L2533" s="198"/>
      <c r="M2533" s="198"/>
      <c r="N2533" s="198"/>
      <c r="O2533" s="198"/>
      <c r="P2533" s="198"/>
      <c r="Q2533" s="198"/>
      <c r="R2533" s="198"/>
      <c r="S2533" s="198"/>
      <c r="T2533" s="198"/>
      <c r="U2533" s="198"/>
      <c r="V2533" s="198"/>
      <c r="W2533" s="198"/>
      <c r="X2533" s="198"/>
      <c r="Y2533" s="198"/>
      <c r="Z2533" s="198"/>
    </row>
    <row r="2534" spans="1:26" ht="15.75" hidden="1" customHeight="1" x14ac:dyDescent="0.25">
      <c r="A2534" s="213">
        <v>4917</v>
      </c>
      <c r="B2534" s="214" t="s">
        <v>11032</v>
      </c>
      <c r="C2534" s="215" t="s">
        <v>578</v>
      </c>
      <c r="D2534" s="216">
        <v>669.79</v>
      </c>
      <c r="E2534" s="198"/>
      <c r="F2534" s="198"/>
      <c r="G2534" s="198"/>
      <c r="H2534" s="198"/>
      <c r="I2534" s="198"/>
      <c r="J2534" s="198"/>
      <c r="K2534" s="198"/>
      <c r="L2534" s="198"/>
      <c r="M2534" s="198"/>
      <c r="N2534" s="198"/>
      <c r="O2534" s="198"/>
      <c r="P2534" s="198"/>
      <c r="Q2534" s="198"/>
      <c r="R2534" s="198"/>
      <c r="S2534" s="198"/>
      <c r="T2534" s="198"/>
      <c r="U2534" s="198"/>
      <c r="V2534" s="198"/>
      <c r="W2534" s="198"/>
      <c r="X2534" s="198"/>
      <c r="Y2534" s="198"/>
      <c r="Z2534" s="198"/>
    </row>
    <row r="2535" spans="1:26" ht="15.75" hidden="1" customHeight="1" x14ac:dyDescent="0.25">
      <c r="A2535" s="213">
        <v>39025</v>
      </c>
      <c r="B2535" s="214" t="s">
        <v>11033</v>
      </c>
      <c r="C2535" s="215" t="s">
        <v>580</v>
      </c>
      <c r="D2535" s="216">
        <v>1226.51</v>
      </c>
      <c r="E2535" s="198"/>
      <c r="F2535" s="198"/>
      <c r="G2535" s="198"/>
      <c r="H2535" s="198"/>
      <c r="I2535" s="198"/>
      <c r="J2535" s="198"/>
      <c r="K2535" s="198"/>
      <c r="L2535" s="198"/>
      <c r="M2535" s="198"/>
      <c r="N2535" s="198"/>
      <c r="O2535" s="198"/>
      <c r="P2535" s="198"/>
      <c r="Q2535" s="198"/>
      <c r="R2535" s="198"/>
      <c r="S2535" s="198"/>
      <c r="T2535" s="198"/>
      <c r="U2535" s="198"/>
      <c r="V2535" s="198"/>
      <c r="W2535" s="198"/>
      <c r="X2535" s="198"/>
      <c r="Y2535" s="198"/>
      <c r="Z2535" s="198"/>
    </row>
    <row r="2536" spans="1:26" ht="15.75" hidden="1" customHeight="1" x14ac:dyDescent="0.25">
      <c r="A2536" s="213">
        <v>4922</v>
      </c>
      <c r="B2536" s="214" t="s">
        <v>11034</v>
      </c>
      <c r="C2536" s="215" t="s">
        <v>578</v>
      </c>
      <c r="D2536" s="216">
        <v>621.29</v>
      </c>
      <c r="E2536" s="198"/>
      <c r="F2536" s="198"/>
      <c r="G2536" s="198"/>
      <c r="H2536" s="198"/>
      <c r="I2536" s="198"/>
      <c r="J2536" s="198"/>
      <c r="K2536" s="198"/>
      <c r="L2536" s="198"/>
      <c r="M2536" s="198"/>
      <c r="N2536" s="198"/>
      <c r="O2536" s="198"/>
      <c r="P2536" s="198"/>
      <c r="Q2536" s="198"/>
      <c r="R2536" s="198"/>
      <c r="S2536" s="198"/>
      <c r="T2536" s="198"/>
      <c r="U2536" s="198"/>
      <c r="V2536" s="198"/>
      <c r="W2536" s="198"/>
      <c r="X2536" s="198"/>
      <c r="Y2536" s="198"/>
      <c r="Z2536" s="198"/>
    </row>
    <row r="2537" spans="1:26" ht="15.75" hidden="1" customHeight="1" x14ac:dyDescent="0.25">
      <c r="A2537" s="213">
        <v>5002</v>
      </c>
      <c r="B2537" s="214" t="s">
        <v>11035</v>
      </c>
      <c r="C2537" s="215" t="s">
        <v>578</v>
      </c>
      <c r="D2537" s="216">
        <v>538.71</v>
      </c>
      <c r="E2537" s="198"/>
      <c r="F2537" s="198"/>
      <c r="G2537" s="198"/>
      <c r="H2537" s="198"/>
      <c r="I2537" s="198"/>
      <c r="J2537" s="198"/>
      <c r="K2537" s="198"/>
      <c r="L2537" s="198"/>
      <c r="M2537" s="198"/>
      <c r="N2537" s="198"/>
      <c r="O2537" s="198"/>
      <c r="P2537" s="198"/>
      <c r="Q2537" s="198"/>
      <c r="R2537" s="198"/>
      <c r="S2537" s="198"/>
      <c r="T2537" s="198"/>
      <c r="U2537" s="198"/>
      <c r="V2537" s="198"/>
      <c r="W2537" s="198"/>
      <c r="X2537" s="198"/>
      <c r="Y2537" s="198"/>
      <c r="Z2537" s="198"/>
    </row>
    <row r="2538" spans="1:26" ht="15.75" hidden="1" customHeight="1" x14ac:dyDescent="0.25">
      <c r="A2538" s="213">
        <v>4977</v>
      </c>
      <c r="B2538" s="214" t="s">
        <v>11036</v>
      </c>
      <c r="C2538" s="215" t="s">
        <v>578</v>
      </c>
      <c r="D2538" s="216">
        <v>363.65</v>
      </c>
      <c r="E2538" s="198"/>
      <c r="F2538" s="198"/>
      <c r="G2538" s="198"/>
      <c r="H2538" s="198"/>
      <c r="I2538" s="198"/>
      <c r="J2538" s="198"/>
      <c r="K2538" s="198"/>
      <c r="L2538" s="198"/>
      <c r="M2538" s="198"/>
      <c r="N2538" s="198"/>
      <c r="O2538" s="198"/>
      <c r="P2538" s="198"/>
      <c r="Q2538" s="198"/>
      <c r="R2538" s="198"/>
      <c r="S2538" s="198"/>
      <c r="T2538" s="198"/>
      <c r="U2538" s="198"/>
      <c r="V2538" s="198"/>
      <c r="W2538" s="198"/>
      <c r="X2538" s="198"/>
      <c r="Y2538" s="198"/>
      <c r="Z2538" s="198"/>
    </row>
    <row r="2539" spans="1:26" ht="15.75" hidden="1" customHeight="1" x14ac:dyDescent="0.25">
      <c r="A2539" s="213">
        <v>11364</v>
      </c>
      <c r="B2539" s="214" t="s">
        <v>11037</v>
      </c>
      <c r="C2539" s="215" t="s">
        <v>580</v>
      </c>
      <c r="D2539" s="216">
        <v>214.77</v>
      </c>
      <c r="E2539" s="198"/>
      <c r="F2539" s="198"/>
      <c r="G2539" s="198"/>
      <c r="H2539" s="198"/>
      <c r="I2539" s="198"/>
      <c r="J2539" s="198"/>
      <c r="K2539" s="198"/>
      <c r="L2539" s="198"/>
      <c r="M2539" s="198"/>
      <c r="N2539" s="198"/>
      <c r="O2539" s="198"/>
      <c r="P2539" s="198"/>
      <c r="Q2539" s="198"/>
      <c r="R2539" s="198"/>
      <c r="S2539" s="198"/>
      <c r="T2539" s="198"/>
      <c r="U2539" s="198"/>
      <c r="V2539" s="198"/>
      <c r="W2539" s="198"/>
      <c r="X2539" s="198"/>
      <c r="Y2539" s="198"/>
      <c r="Z2539" s="198"/>
    </row>
    <row r="2540" spans="1:26" ht="15.75" hidden="1" customHeight="1" x14ac:dyDescent="0.25">
      <c r="A2540" s="213">
        <v>11365</v>
      </c>
      <c r="B2540" s="214" t="s">
        <v>11038</v>
      </c>
      <c r="C2540" s="215" t="s">
        <v>580</v>
      </c>
      <c r="D2540" s="216">
        <v>222.88</v>
      </c>
      <c r="E2540" s="198"/>
      <c r="F2540" s="198"/>
      <c r="G2540" s="198"/>
      <c r="H2540" s="198"/>
      <c r="I2540" s="198"/>
      <c r="J2540" s="198"/>
      <c r="K2540" s="198"/>
      <c r="L2540" s="198"/>
      <c r="M2540" s="198"/>
      <c r="N2540" s="198"/>
      <c r="O2540" s="198"/>
      <c r="P2540" s="198"/>
      <c r="Q2540" s="198"/>
      <c r="R2540" s="198"/>
      <c r="S2540" s="198"/>
      <c r="T2540" s="198"/>
      <c r="U2540" s="198"/>
      <c r="V2540" s="198"/>
      <c r="W2540" s="198"/>
      <c r="X2540" s="198"/>
      <c r="Y2540" s="198"/>
      <c r="Z2540" s="198"/>
    </row>
    <row r="2541" spans="1:26" ht="15.75" hidden="1" customHeight="1" x14ac:dyDescent="0.25">
      <c r="A2541" s="213">
        <v>11366</v>
      </c>
      <c r="B2541" s="214" t="s">
        <v>11039</v>
      </c>
      <c r="C2541" s="215" t="s">
        <v>580</v>
      </c>
      <c r="D2541" s="216">
        <v>236.92</v>
      </c>
      <c r="E2541" s="198"/>
      <c r="F2541" s="198"/>
      <c r="G2541" s="198"/>
      <c r="H2541" s="198"/>
      <c r="I2541" s="198"/>
      <c r="J2541" s="198"/>
      <c r="K2541" s="198"/>
      <c r="L2541" s="198"/>
      <c r="M2541" s="198"/>
      <c r="N2541" s="198"/>
      <c r="O2541" s="198"/>
      <c r="P2541" s="198"/>
      <c r="Q2541" s="198"/>
      <c r="R2541" s="198"/>
      <c r="S2541" s="198"/>
      <c r="T2541" s="198"/>
      <c r="U2541" s="198"/>
      <c r="V2541" s="198"/>
      <c r="W2541" s="198"/>
      <c r="X2541" s="198"/>
      <c r="Y2541" s="198"/>
      <c r="Z2541" s="198"/>
    </row>
    <row r="2542" spans="1:26" ht="15.75" hidden="1" customHeight="1" x14ac:dyDescent="0.25">
      <c r="A2542" s="213">
        <v>43777</v>
      </c>
      <c r="B2542" s="214" t="s">
        <v>11040</v>
      </c>
      <c r="C2542" s="215" t="s">
        <v>580</v>
      </c>
      <c r="D2542" s="216">
        <v>278.3</v>
      </c>
      <c r="E2542" s="198"/>
      <c r="F2542" s="198"/>
      <c r="G2542" s="198"/>
      <c r="H2542" s="198"/>
      <c r="I2542" s="198"/>
      <c r="J2542" s="198"/>
      <c r="K2542" s="198"/>
      <c r="L2542" s="198"/>
      <c r="M2542" s="198"/>
      <c r="N2542" s="198"/>
      <c r="O2542" s="198"/>
      <c r="P2542" s="198"/>
      <c r="Q2542" s="198"/>
      <c r="R2542" s="198"/>
      <c r="S2542" s="198"/>
      <c r="T2542" s="198"/>
      <c r="U2542" s="198"/>
      <c r="V2542" s="198"/>
      <c r="W2542" s="198"/>
      <c r="X2542" s="198"/>
      <c r="Y2542" s="198"/>
      <c r="Z2542" s="198"/>
    </row>
    <row r="2543" spans="1:26" ht="15.75" hidden="1" customHeight="1" x14ac:dyDescent="0.25">
      <c r="A2543" s="213">
        <v>20322</v>
      </c>
      <c r="B2543" s="214" t="s">
        <v>11041</v>
      </c>
      <c r="C2543" s="215" t="s">
        <v>580</v>
      </c>
      <c r="D2543" s="216">
        <v>258.33999999999997</v>
      </c>
      <c r="E2543" s="198"/>
      <c r="F2543" s="198"/>
      <c r="G2543" s="198"/>
      <c r="H2543" s="198"/>
      <c r="I2543" s="198"/>
      <c r="J2543" s="198"/>
      <c r="K2543" s="198"/>
      <c r="L2543" s="198"/>
      <c r="M2543" s="198"/>
      <c r="N2543" s="198"/>
      <c r="O2543" s="198"/>
      <c r="P2543" s="198"/>
      <c r="Q2543" s="198"/>
      <c r="R2543" s="198"/>
      <c r="S2543" s="198"/>
      <c r="T2543" s="198"/>
      <c r="U2543" s="198"/>
      <c r="V2543" s="198"/>
      <c r="W2543" s="198"/>
      <c r="X2543" s="198"/>
      <c r="Y2543" s="198"/>
      <c r="Z2543" s="198"/>
    </row>
    <row r="2544" spans="1:26" ht="15.75" hidden="1" customHeight="1" x14ac:dyDescent="0.25">
      <c r="A2544" s="213">
        <v>10553</v>
      </c>
      <c r="B2544" s="214" t="s">
        <v>11042</v>
      </c>
      <c r="C2544" s="215" t="s">
        <v>580</v>
      </c>
      <c r="D2544" s="216">
        <v>234.58</v>
      </c>
      <c r="E2544" s="198"/>
      <c r="F2544" s="198"/>
      <c r="G2544" s="198"/>
      <c r="H2544" s="198"/>
      <c r="I2544" s="198"/>
      <c r="J2544" s="198"/>
      <c r="K2544" s="198"/>
      <c r="L2544" s="198"/>
      <c r="M2544" s="198"/>
      <c r="N2544" s="198"/>
      <c r="O2544" s="198"/>
      <c r="P2544" s="198"/>
      <c r="Q2544" s="198"/>
      <c r="R2544" s="198"/>
      <c r="S2544" s="198"/>
      <c r="T2544" s="198"/>
      <c r="U2544" s="198"/>
      <c r="V2544" s="198"/>
      <c r="W2544" s="198"/>
      <c r="X2544" s="198"/>
      <c r="Y2544" s="198"/>
      <c r="Z2544" s="198"/>
    </row>
    <row r="2545" spans="1:26" ht="15.75" hidden="1" customHeight="1" x14ac:dyDescent="0.25">
      <c r="A2545" s="213">
        <v>5020</v>
      </c>
      <c r="B2545" s="214" t="s">
        <v>11043</v>
      </c>
      <c r="C2545" s="215" t="s">
        <v>580</v>
      </c>
      <c r="D2545" s="216">
        <v>247.32</v>
      </c>
      <c r="E2545" s="198"/>
      <c r="F2545" s="198"/>
      <c r="G2545" s="198"/>
      <c r="H2545" s="198"/>
      <c r="I2545" s="198"/>
      <c r="J2545" s="198"/>
      <c r="K2545" s="198"/>
      <c r="L2545" s="198"/>
      <c r="M2545" s="198"/>
      <c r="N2545" s="198"/>
      <c r="O2545" s="198"/>
      <c r="P2545" s="198"/>
      <c r="Q2545" s="198"/>
      <c r="R2545" s="198"/>
      <c r="S2545" s="198"/>
      <c r="T2545" s="198"/>
      <c r="U2545" s="198"/>
      <c r="V2545" s="198"/>
      <c r="W2545" s="198"/>
      <c r="X2545" s="198"/>
      <c r="Y2545" s="198"/>
      <c r="Z2545" s="198"/>
    </row>
    <row r="2546" spans="1:26" ht="15.75" hidden="1" customHeight="1" x14ac:dyDescent="0.25">
      <c r="A2546" s="213">
        <v>10554</v>
      </c>
      <c r="B2546" s="214" t="s">
        <v>11044</v>
      </c>
      <c r="C2546" s="215" t="s">
        <v>580</v>
      </c>
      <c r="D2546" s="216">
        <v>236.66</v>
      </c>
      <c r="E2546" s="198"/>
      <c r="F2546" s="198"/>
      <c r="G2546" s="198"/>
      <c r="H2546" s="198"/>
      <c r="I2546" s="198"/>
      <c r="J2546" s="198"/>
      <c r="K2546" s="198"/>
      <c r="L2546" s="198"/>
      <c r="M2546" s="198"/>
      <c r="N2546" s="198"/>
      <c r="O2546" s="198"/>
      <c r="P2546" s="198"/>
      <c r="Q2546" s="198"/>
      <c r="R2546" s="198"/>
      <c r="S2546" s="198"/>
      <c r="T2546" s="198"/>
      <c r="U2546" s="198"/>
      <c r="V2546" s="198"/>
      <c r="W2546" s="198"/>
      <c r="X2546" s="198"/>
      <c r="Y2546" s="198"/>
      <c r="Z2546" s="198"/>
    </row>
    <row r="2547" spans="1:26" ht="15.75" hidden="1" customHeight="1" x14ac:dyDescent="0.25">
      <c r="A2547" s="213">
        <v>10555</v>
      </c>
      <c r="B2547" s="214" t="s">
        <v>11045</v>
      </c>
      <c r="C2547" s="215" t="s">
        <v>580</v>
      </c>
      <c r="D2547" s="216">
        <v>258.08</v>
      </c>
      <c r="E2547" s="198"/>
      <c r="F2547" s="198"/>
      <c r="G2547" s="198"/>
      <c r="H2547" s="198"/>
      <c r="I2547" s="198"/>
      <c r="J2547" s="198"/>
      <c r="K2547" s="198"/>
      <c r="L2547" s="198"/>
      <c r="M2547" s="198"/>
      <c r="N2547" s="198"/>
      <c r="O2547" s="198"/>
      <c r="P2547" s="198"/>
      <c r="Q2547" s="198"/>
      <c r="R2547" s="198"/>
      <c r="S2547" s="198"/>
      <c r="T2547" s="198"/>
      <c r="U2547" s="198"/>
      <c r="V2547" s="198"/>
      <c r="W2547" s="198"/>
      <c r="X2547" s="198"/>
      <c r="Y2547" s="198"/>
      <c r="Z2547" s="198"/>
    </row>
    <row r="2548" spans="1:26" ht="15.75" hidden="1" customHeight="1" x14ac:dyDescent="0.25">
      <c r="A2548" s="213">
        <v>10556</v>
      </c>
      <c r="B2548" s="214" t="s">
        <v>11046</v>
      </c>
      <c r="C2548" s="215" t="s">
        <v>580</v>
      </c>
      <c r="D2548" s="216">
        <v>343.15</v>
      </c>
      <c r="E2548" s="198"/>
      <c r="F2548" s="198"/>
      <c r="G2548" s="198"/>
      <c r="H2548" s="198"/>
      <c r="I2548" s="198"/>
      <c r="J2548" s="198"/>
      <c r="K2548" s="198"/>
      <c r="L2548" s="198"/>
      <c r="M2548" s="198"/>
      <c r="N2548" s="198"/>
      <c r="O2548" s="198"/>
      <c r="P2548" s="198"/>
      <c r="Q2548" s="198"/>
      <c r="R2548" s="198"/>
      <c r="S2548" s="198"/>
      <c r="T2548" s="198"/>
      <c r="U2548" s="198"/>
      <c r="V2548" s="198"/>
      <c r="W2548" s="198"/>
      <c r="X2548" s="198"/>
      <c r="Y2548" s="198"/>
      <c r="Z2548" s="198"/>
    </row>
    <row r="2549" spans="1:26" ht="15.75" hidden="1" customHeight="1" x14ac:dyDescent="0.25">
      <c r="A2549" s="213">
        <v>39502</v>
      </c>
      <c r="B2549" s="214" t="s">
        <v>11047</v>
      </c>
      <c r="C2549" s="215" t="s">
        <v>580</v>
      </c>
      <c r="D2549" s="216">
        <v>481.86</v>
      </c>
      <c r="E2549" s="198"/>
      <c r="F2549" s="198"/>
      <c r="G2549" s="198"/>
      <c r="H2549" s="198"/>
      <c r="I2549" s="198"/>
      <c r="J2549" s="198"/>
      <c r="K2549" s="198"/>
      <c r="L2549" s="198"/>
      <c r="M2549" s="198"/>
      <c r="N2549" s="198"/>
      <c r="O2549" s="198"/>
      <c r="P2549" s="198"/>
      <c r="Q2549" s="198"/>
      <c r="R2549" s="198"/>
      <c r="S2549" s="198"/>
      <c r="T2549" s="198"/>
      <c r="U2549" s="198"/>
      <c r="V2549" s="198"/>
      <c r="W2549" s="198"/>
      <c r="X2549" s="198"/>
      <c r="Y2549" s="198"/>
      <c r="Z2549" s="198"/>
    </row>
    <row r="2550" spans="1:26" ht="15.75" hidden="1" customHeight="1" x14ac:dyDescent="0.25">
      <c r="A2550" s="213">
        <v>39504</v>
      </c>
      <c r="B2550" s="214" t="s">
        <v>11048</v>
      </c>
      <c r="C2550" s="215" t="s">
        <v>580</v>
      </c>
      <c r="D2550" s="216">
        <v>532.85</v>
      </c>
      <c r="E2550" s="198"/>
      <c r="F2550" s="198"/>
      <c r="G2550" s="198"/>
      <c r="H2550" s="198"/>
      <c r="I2550" s="198"/>
      <c r="J2550" s="198"/>
      <c r="K2550" s="198"/>
      <c r="L2550" s="198"/>
      <c r="M2550" s="198"/>
      <c r="N2550" s="198"/>
      <c r="O2550" s="198"/>
      <c r="P2550" s="198"/>
      <c r="Q2550" s="198"/>
      <c r="R2550" s="198"/>
      <c r="S2550" s="198"/>
      <c r="T2550" s="198"/>
      <c r="U2550" s="198"/>
      <c r="V2550" s="198"/>
      <c r="W2550" s="198"/>
      <c r="X2550" s="198"/>
      <c r="Y2550" s="198"/>
      <c r="Z2550" s="198"/>
    </row>
    <row r="2551" spans="1:26" ht="15.75" hidden="1" customHeight="1" x14ac:dyDescent="0.25">
      <c r="A2551" s="213">
        <v>39503</v>
      </c>
      <c r="B2551" s="214" t="s">
        <v>11049</v>
      </c>
      <c r="C2551" s="215" t="s">
        <v>580</v>
      </c>
      <c r="D2551" s="216">
        <v>560.79999999999995</v>
      </c>
      <c r="E2551" s="198"/>
      <c r="F2551" s="198"/>
      <c r="G2551" s="198"/>
      <c r="H2551" s="198"/>
      <c r="I2551" s="198"/>
      <c r="J2551" s="198"/>
      <c r="K2551" s="198"/>
      <c r="L2551" s="198"/>
      <c r="M2551" s="198"/>
      <c r="N2551" s="198"/>
      <c r="O2551" s="198"/>
      <c r="P2551" s="198"/>
      <c r="Q2551" s="198"/>
      <c r="R2551" s="198"/>
      <c r="S2551" s="198"/>
      <c r="T2551" s="198"/>
      <c r="U2551" s="198"/>
      <c r="V2551" s="198"/>
      <c r="W2551" s="198"/>
      <c r="X2551" s="198"/>
      <c r="Y2551" s="198"/>
      <c r="Z2551" s="198"/>
    </row>
    <row r="2552" spans="1:26" ht="15.75" hidden="1" customHeight="1" x14ac:dyDescent="0.25">
      <c r="A2552" s="213">
        <v>39505</v>
      </c>
      <c r="B2552" s="214" t="s">
        <v>11050</v>
      </c>
      <c r="C2552" s="215" t="s">
        <v>580</v>
      </c>
      <c r="D2552" s="216">
        <v>604.34</v>
      </c>
      <c r="E2552" s="198"/>
      <c r="F2552" s="198"/>
      <c r="G2552" s="198"/>
      <c r="H2552" s="198"/>
      <c r="I2552" s="198"/>
      <c r="J2552" s="198"/>
      <c r="K2552" s="198"/>
      <c r="L2552" s="198"/>
      <c r="M2552" s="198"/>
      <c r="N2552" s="198"/>
      <c r="O2552" s="198"/>
      <c r="P2552" s="198"/>
      <c r="Q2552" s="198"/>
      <c r="R2552" s="198"/>
      <c r="S2552" s="198"/>
      <c r="T2552" s="198"/>
      <c r="U2552" s="198"/>
      <c r="V2552" s="198"/>
      <c r="W2552" s="198"/>
      <c r="X2552" s="198"/>
      <c r="Y2552" s="198"/>
      <c r="Z2552" s="198"/>
    </row>
    <row r="2553" spans="1:26" ht="15.75" hidden="1" customHeight="1" x14ac:dyDescent="0.25">
      <c r="A2553" s="213">
        <v>5028</v>
      </c>
      <c r="B2553" s="214" t="s">
        <v>11051</v>
      </c>
      <c r="C2553" s="215" t="s">
        <v>578</v>
      </c>
      <c r="D2553" s="216">
        <v>889.79</v>
      </c>
      <c r="E2553" s="198"/>
      <c r="F2553" s="198"/>
      <c r="G2553" s="198"/>
      <c r="H2553" s="198"/>
      <c r="I2553" s="198"/>
      <c r="J2553" s="198"/>
      <c r="K2553" s="198"/>
      <c r="L2553" s="198"/>
      <c r="M2553" s="198"/>
      <c r="N2553" s="198"/>
      <c r="O2553" s="198"/>
      <c r="P2553" s="198"/>
      <c r="Q2553" s="198"/>
      <c r="R2553" s="198"/>
      <c r="S2553" s="198"/>
      <c r="T2553" s="198"/>
      <c r="U2553" s="198"/>
      <c r="V2553" s="198"/>
      <c r="W2553" s="198"/>
      <c r="X2553" s="198"/>
      <c r="Y2553" s="198"/>
      <c r="Z2553" s="198"/>
    </row>
    <row r="2554" spans="1:26" ht="15.75" hidden="1" customHeight="1" x14ac:dyDescent="0.25">
      <c r="A2554" s="213">
        <v>4969</v>
      </c>
      <c r="B2554" s="214" t="s">
        <v>11052</v>
      </c>
      <c r="C2554" s="215" t="s">
        <v>578</v>
      </c>
      <c r="D2554" s="216">
        <v>514.30999999999995</v>
      </c>
      <c r="E2554" s="198"/>
      <c r="F2554" s="198"/>
      <c r="G2554" s="198"/>
      <c r="H2554" s="198"/>
      <c r="I2554" s="198"/>
      <c r="J2554" s="198"/>
      <c r="K2554" s="198"/>
      <c r="L2554" s="198"/>
      <c r="M2554" s="198"/>
      <c r="N2554" s="198"/>
      <c r="O2554" s="198"/>
      <c r="P2554" s="198"/>
      <c r="Q2554" s="198"/>
      <c r="R2554" s="198"/>
      <c r="S2554" s="198"/>
      <c r="T2554" s="198"/>
      <c r="U2554" s="198"/>
      <c r="V2554" s="198"/>
      <c r="W2554" s="198"/>
      <c r="X2554" s="198"/>
      <c r="Y2554" s="198"/>
      <c r="Z2554" s="198"/>
    </row>
    <row r="2555" spans="1:26" ht="15.75" hidden="1" customHeight="1" x14ac:dyDescent="0.25">
      <c r="A2555" s="213">
        <v>21102</v>
      </c>
      <c r="B2555" s="214" t="s">
        <v>11053</v>
      </c>
      <c r="C2555" s="215" t="s">
        <v>580</v>
      </c>
      <c r="D2555" s="216">
        <v>102.39</v>
      </c>
      <c r="E2555" s="198"/>
      <c r="F2555" s="198"/>
      <c r="G2555" s="198"/>
      <c r="H2555" s="198"/>
      <c r="I2555" s="198"/>
      <c r="J2555" s="198"/>
      <c r="K2555" s="198"/>
      <c r="L2555" s="198"/>
      <c r="M2555" s="198"/>
      <c r="N2555" s="198"/>
      <c r="O2555" s="198"/>
      <c r="P2555" s="198"/>
      <c r="Q2555" s="198"/>
      <c r="R2555" s="198"/>
      <c r="S2555" s="198"/>
      <c r="T2555" s="198"/>
      <c r="U2555" s="198"/>
      <c r="V2555" s="198"/>
      <c r="W2555" s="198"/>
      <c r="X2555" s="198"/>
      <c r="Y2555" s="198"/>
      <c r="Z2555" s="198"/>
    </row>
    <row r="2556" spans="1:26" ht="15.75" hidden="1" customHeight="1" x14ac:dyDescent="0.25">
      <c r="A2556" s="213">
        <v>21101</v>
      </c>
      <c r="B2556" s="214" t="s">
        <v>11054</v>
      </c>
      <c r="C2556" s="215" t="s">
        <v>580</v>
      </c>
      <c r="D2556" s="216">
        <v>65.75</v>
      </c>
      <c r="E2556" s="198"/>
      <c r="F2556" s="198"/>
      <c r="G2556" s="198"/>
      <c r="H2556" s="198"/>
      <c r="I2556" s="198"/>
      <c r="J2556" s="198"/>
      <c r="K2556" s="198"/>
      <c r="L2556" s="198"/>
      <c r="M2556" s="198"/>
      <c r="N2556" s="198"/>
      <c r="O2556" s="198"/>
      <c r="P2556" s="198"/>
      <c r="Q2556" s="198"/>
      <c r="R2556" s="198"/>
      <c r="S2556" s="198"/>
      <c r="T2556" s="198"/>
      <c r="U2556" s="198"/>
      <c r="V2556" s="198"/>
      <c r="W2556" s="198"/>
      <c r="X2556" s="198"/>
      <c r="Y2556" s="198"/>
      <c r="Z2556" s="198"/>
    </row>
    <row r="2557" spans="1:26" ht="15.75" hidden="1" customHeight="1" x14ac:dyDescent="0.25">
      <c r="A2557" s="213">
        <v>34713</v>
      </c>
      <c r="B2557" s="214" t="s">
        <v>11055</v>
      </c>
      <c r="C2557" s="215" t="s">
        <v>578</v>
      </c>
      <c r="D2557" s="216">
        <v>484.72</v>
      </c>
      <c r="E2557" s="198"/>
      <c r="F2557" s="198"/>
      <c r="G2557" s="198"/>
      <c r="H2557" s="198"/>
      <c r="I2557" s="198"/>
      <c r="J2557" s="198"/>
      <c r="K2557" s="198"/>
      <c r="L2557" s="198"/>
      <c r="M2557" s="198"/>
      <c r="N2557" s="198"/>
      <c r="O2557" s="198"/>
      <c r="P2557" s="198"/>
      <c r="Q2557" s="198"/>
      <c r="R2557" s="198"/>
      <c r="S2557" s="198"/>
      <c r="T2557" s="198"/>
      <c r="U2557" s="198"/>
      <c r="V2557" s="198"/>
      <c r="W2557" s="198"/>
      <c r="X2557" s="198"/>
      <c r="Y2557" s="198"/>
      <c r="Z2557" s="198"/>
    </row>
    <row r="2558" spans="1:26" ht="15.75" hidden="1" customHeight="1" x14ac:dyDescent="0.25">
      <c r="A2558" s="213">
        <v>37563</v>
      </c>
      <c r="B2558" s="214" t="s">
        <v>11056</v>
      </c>
      <c r="C2558" s="215" t="s">
        <v>578</v>
      </c>
      <c r="D2558" s="216">
        <v>1266.82</v>
      </c>
      <c r="E2558" s="198"/>
      <c r="F2558" s="198"/>
      <c r="G2558" s="198"/>
      <c r="H2558" s="198"/>
      <c r="I2558" s="198"/>
      <c r="J2558" s="198"/>
      <c r="K2558" s="198"/>
      <c r="L2558" s="198"/>
      <c r="M2558" s="198"/>
      <c r="N2558" s="198"/>
      <c r="O2558" s="198"/>
      <c r="P2558" s="198"/>
      <c r="Q2558" s="198"/>
      <c r="R2558" s="198"/>
      <c r="S2558" s="198"/>
      <c r="T2558" s="198"/>
      <c r="U2558" s="198"/>
      <c r="V2558" s="198"/>
      <c r="W2558" s="198"/>
      <c r="X2558" s="198"/>
      <c r="Y2558" s="198"/>
      <c r="Z2558" s="198"/>
    </row>
    <row r="2559" spans="1:26" ht="15.75" hidden="1" customHeight="1" x14ac:dyDescent="0.25">
      <c r="A2559" s="213">
        <v>4948</v>
      </c>
      <c r="B2559" s="214" t="s">
        <v>11057</v>
      </c>
      <c r="C2559" s="215" t="s">
        <v>578</v>
      </c>
      <c r="D2559" s="216">
        <v>1102.1600000000001</v>
      </c>
      <c r="E2559" s="198"/>
      <c r="F2559" s="198"/>
      <c r="G2559" s="198"/>
      <c r="H2559" s="198"/>
      <c r="I2559" s="198"/>
      <c r="J2559" s="198"/>
      <c r="K2559" s="198"/>
      <c r="L2559" s="198"/>
      <c r="M2559" s="198"/>
      <c r="N2559" s="198"/>
      <c r="O2559" s="198"/>
      <c r="P2559" s="198"/>
      <c r="Q2559" s="198"/>
      <c r="R2559" s="198"/>
      <c r="S2559" s="198"/>
      <c r="T2559" s="198"/>
      <c r="U2559" s="198"/>
      <c r="V2559" s="198"/>
      <c r="W2559" s="198"/>
      <c r="X2559" s="198"/>
      <c r="Y2559" s="198"/>
      <c r="Z2559" s="198"/>
    </row>
    <row r="2560" spans="1:26" ht="15.75" hidden="1" customHeight="1" x14ac:dyDescent="0.25">
      <c r="A2560" s="213">
        <v>37561</v>
      </c>
      <c r="B2560" s="214" t="s">
        <v>11058</v>
      </c>
      <c r="C2560" s="215" t="s">
        <v>578</v>
      </c>
      <c r="D2560" s="216">
        <v>1027.92</v>
      </c>
      <c r="E2560" s="198"/>
      <c r="F2560" s="198"/>
      <c r="G2560" s="198"/>
      <c r="H2560" s="198"/>
      <c r="I2560" s="198"/>
      <c r="J2560" s="198"/>
      <c r="K2560" s="198"/>
      <c r="L2560" s="198"/>
      <c r="M2560" s="198"/>
      <c r="N2560" s="198"/>
      <c r="O2560" s="198"/>
      <c r="P2560" s="198"/>
      <c r="Q2560" s="198"/>
      <c r="R2560" s="198"/>
      <c r="S2560" s="198"/>
      <c r="T2560" s="198"/>
      <c r="U2560" s="198"/>
      <c r="V2560" s="198"/>
      <c r="W2560" s="198"/>
      <c r="X2560" s="198"/>
      <c r="Y2560" s="198"/>
      <c r="Z2560" s="198"/>
    </row>
    <row r="2561" spans="1:26" ht="15.75" hidden="1" customHeight="1" x14ac:dyDescent="0.25">
      <c r="A2561" s="213">
        <v>37562</v>
      </c>
      <c r="B2561" s="214" t="s">
        <v>11059</v>
      </c>
      <c r="C2561" s="215" t="s">
        <v>578</v>
      </c>
      <c r="D2561" s="216">
        <v>1347.71</v>
      </c>
      <c r="E2561" s="198"/>
      <c r="F2561" s="198"/>
      <c r="G2561" s="198"/>
      <c r="H2561" s="198"/>
      <c r="I2561" s="198"/>
      <c r="J2561" s="198"/>
      <c r="K2561" s="198"/>
      <c r="L2561" s="198"/>
      <c r="M2561" s="198"/>
      <c r="N2561" s="198"/>
      <c r="O2561" s="198"/>
      <c r="P2561" s="198"/>
      <c r="Q2561" s="198"/>
      <c r="R2561" s="198"/>
      <c r="S2561" s="198"/>
      <c r="T2561" s="198"/>
      <c r="U2561" s="198"/>
      <c r="V2561" s="198"/>
      <c r="W2561" s="198"/>
      <c r="X2561" s="198"/>
      <c r="Y2561" s="198"/>
      <c r="Z2561" s="198"/>
    </row>
    <row r="2562" spans="1:26" ht="15.75" hidden="1" customHeight="1" x14ac:dyDescent="0.25">
      <c r="A2562" s="213">
        <v>2731</v>
      </c>
      <c r="B2562" s="214" t="s">
        <v>11060</v>
      </c>
      <c r="C2562" s="215" t="s">
        <v>585</v>
      </c>
      <c r="D2562" s="216">
        <v>138.29</v>
      </c>
      <c r="E2562" s="198"/>
      <c r="F2562" s="198"/>
      <c r="G2562" s="198"/>
      <c r="H2562" s="198"/>
      <c r="I2562" s="198"/>
      <c r="J2562" s="198"/>
      <c r="K2562" s="198"/>
      <c r="L2562" s="198"/>
      <c r="M2562" s="198"/>
      <c r="N2562" s="198"/>
      <c r="O2562" s="198"/>
      <c r="P2562" s="198"/>
      <c r="Q2562" s="198"/>
      <c r="R2562" s="198"/>
      <c r="S2562" s="198"/>
      <c r="T2562" s="198"/>
      <c r="U2562" s="198"/>
      <c r="V2562" s="198"/>
      <c r="W2562" s="198"/>
      <c r="X2562" s="198"/>
      <c r="Y2562" s="198"/>
      <c r="Z2562" s="198"/>
    </row>
    <row r="2563" spans="1:26" ht="15.75" hidden="1" customHeight="1" x14ac:dyDescent="0.25">
      <c r="A2563" s="213">
        <v>44537</v>
      </c>
      <c r="B2563" s="214" t="s">
        <v>11061</v>
      </c>
      <c r="C2563" s="215" t="s">
        <v>8106</v>
      </c>
      <c r="D2563" s="216">
        <v>341.88</v>
      </c>
      <c r="E2563" s="198"/>
      <c r="F2563" s="198"/>
      <c r="G2563" s="198"/>
      <c r="H2563" s="198"/>
      <c r="I2563" s="198"/>
      <c r="J2563" s="198"/>
      <c r="K2563" s="198"/>
      <c r="L2563" s="198"/>
      <c r="M2563" s="198"/>
      <c r="N2563" s="198"/>
      <c r="O2563" s="198"/>
      <c r="P2563" s="198"/>
      <c r="Q2563" s="198"/>
      <c r="R2563" s="198"/>
      <c r="S2563" s="198"/>
      <c r="T2563" s="198"/>
      <c r="U2563" s="198"/>
      <c r="V2563" s="198"/>
      <c r="W2563" s="198"/>
      <c r="X2563" s="198"/>
      <c r="Y2563" s="198"/>
      <c r="Z2563" s="198"/>
    </row>
    <row r="2564" spans="1:26" ht="15.75" hidden="1" customHeight="1" x14ac:dyDescent="0.25">
      <c r="A2564" s="213">
        <v>11844</v>
      </c>
      <c r="B2564" s="214" t="s">
        <v>11062</v>
      </c>
      <c r="C2564" s="215" t="s">
        <v>585</v>
      </c>
      <c r="D2564" s="216">
        <v>61.34</v>
      </c>
      <c r="E2564" s="198"/>
      <c r="F2564" s="198"/>
      <c r="G2564" s="198"/>
      <c r="H2564" s="198"/>
      <c r="I2564" s="198"/>
      <c r="J2564" s="198"/>
      <c r="K2564" s="198"/>
      <c r="L2564" s="198"/>
      <c r="M2564" s="198"/>
      <c r="N2564" s="198"/>
      <c r="O2564" s="198"/>
      <c r="P2564" s="198"/>
      <c r="Q2564" s="198"/>
      <c r="R2564" s="198"/>
      <c r="S2564" s="198"/>
      <c r="T2564" s="198"/>
      <c r="U2564" s="198"/>
      <c r="V2564" s="198"/>
      <c r="W2564" s="198"/>
      <c r="X2564" s="198"/>
      <c r="Y2564" s="198"/>
      <c r="Z2564" s="198"/>
    </row>
    <row r="2565" spans="1:26" ht="15.75" hidden="1" customHeight="1" x14ac:dyDescent="0.25">
      <c r="A2565" s="213">
        <v>4465</v>
      </c>
      <c r="B2565" s="214" t="s">
        <v>11063</v>
      </c>
      <c r="C2565" s="215" t="s">
        <v>585</v>
      </c>
      <c r="D2565" s="216">
        <v>50.97</v>
      </c>
      <c r="E2565" s="198"/>
      <c r="F2565" s="198"/>
      <c r="G2565" s="198"/>
      <c r="H2565" s="198"/>
      <c r="I2565" s="198"/>
      <c r="J2565" s="198"/>
      <c r="K2565" s="198"/>
      <c r="L2565" s="198"/>
      <c r="M2565" s="198"/>
      <c r="N2565" s="198"/>
      <c r="O2565" s="198"/>
      <c r="P2565" s="198"/>
      <c r="Q2565" s="198"/>
      <c r="R2565" s="198"/>
      <c r="S2565" s="198"/>
      <c r="T2565" s="198"/>
      <c r="U2565" s="198"/>
      <c r="V2565" s="198"/>
      <c r="W2565" s="198"/>
      <c r="X2565" s="198"/>
      <c r="Y2565" s="198"/>
      <c r="Z2565" s="198"/>
    </row>
    <row r="2566" spans="1:26" ht="15.75" hidden="1" customHeight="1" x14ac:dyDescent="0.25">
      <c r="A2566" s="213">
        <v>35273</v>
      </c>
      <c r="B2566" s="214" t="s">
        <v>11064</v>
      </c>
      <c r="C2566" s="215" t="s">
        <v>585</v>
      </c>
      <c r="D2566" s="216">
        <v>61.13</v>
      </c>
      <c r="E2566" s="198"/>
      <c r="F2566" s="198"/>
      <c r="G2566" s="198"/>
      <c r="H2566" s="198"/>
      <c r="I2566" s="198"/>
      <c r="J2566" s="198"/>
      <c r="K2566" s="198"/>
      <c r="L2566" s="198"/>
      <c r="M2566" s="198"/>
      <c r="N2566" s="198"/>
      <c r="O2566" s="198"/>
      <c r="P2566" s="198"/>
      <c r="Q2566" s="198"/>
      <c r="R2566" s="198"/>
      <c r="S2566" s="198"/>
      <c r="T2566" s="198"/>
      <c r="U2566" s="198"/>
      <c r="V2566" s="198"/>
      <c r="W2566" s="198"/>
      <c r="X2566" s="198"/>
      <c r="Y2566" s="198"/>
      <c r="Z2566" s="198"/>
    </row>
    <row r="2567" spans="1:26" ht="15.75" hidden="1" customHeight="1" x14ac:dyDescent="0.25">
      <c r="A2567" s="213">
        <v>4470</v>
      </c>
      <c r="B2567" s="214" t="s">
        <v>11065</v>
      </c>
      <c r="C2567" s="215" t="s">
        <v>585</v>
      </c>
      <c r="D2567" s="216">
        <v>141.08000000000001</v>
      </c>
      <c r="E2567" s="198"/>
      <c r="F2567" s="198"/>
      <c r="G2567" s="198"/>
      <c r="H2567" s="198"/>
      <c r="I2567" s="198"/>
      <c r="J2567" s="198"/>
      <c r="K2567" s="198"/>
      <c r="L2567" s="198"/>
      <c r="M2567" s="198"/>
      <c r="N2567" s="198"/>
      <c r="O2567" s="198"/>
      <c r="P2567" s="198"/>
      <c r="Q2567" s="198"/>
      <c r="R2567" s="198"/>
      <c r="S2567" s="198"/>
      <c r="T2567" s="198"/>
      <c r="U2567" s="198"/>
      <c r="V2567" s="198"/>
      <c r="W2567" s="198"/>
      <c r="X2567" s="198"/>
      <c r="Y2567" s="198"/>
      <c r="Z2567" s="198"/>
    </row>
    <row r="2568" spans="1:26" ht="15.75" hidden="1" customHeight="1" x14ac:dyDescent="0.25">
      <c r="A2568" s="213">
        <v>20204</v>
      </c>
      <c r="B2568" s="214" t="s">
        <v>11066</v>
      </c>
      <c r="C2568" s="215" t="s">
        <v>585</v>
      </c>
      <c r="D2568" s="216">
        <v>94.05</v>
      </c>
      <c r="E2568" s="198"/>
      <c r="F2568" s="198"/>
      <c r="G2568" s="198"/>
      <c r="H2568" s="198"/>
      <c r="I2568" s="198"/>
      <c r="J2568" s="198"/>
      <c r="K2568" s="198"/>
      <c r="L2568" s="198"/>
      <c r="M2568" s="198"/>
      <c r="N2568" s="198"/>
      <c r="O2568" s="198"/>
      <c r="P2568" s="198"/>
      <c r="Q2568" s="198"/>
      <c r="R2568" s="198"/>
      <c r="S2568" s="198"/>
      <c r="T2568" s="198"/>
      <c r="U2568" s="198"/>
      <c r="V2568" s="198"/>
      <c r="W2568" s="198"/>
      <c r="X2568" s="198"/>
      <c r="Y2568" s="198"/>
      <c r="Z2568" s="198"/>
    </row>
    <row r="2569" spans="1:26" ht="15.75" hidden="1" customHeight="1" x14ac:dyDescent="0.25">
      <c r="A2569" s="213">
        <v>20208</v>
      </c>
      <c r="B2569" s="214" t="s">
        <v>11067</v>
      </c>
      <c r="C2569" s="215" t="s">
        <v>585</v>
      </c>
      <c r="D2569" s="216">
        <v>126.97</v>
      </c>
      <c r="E2569" s="198"/>
      <c r="F2569" s="198"/>
      <c r="G2569" s="198"/>
      <c r="H2569" s="198"/>
      <c r="I2569" s="198"/>
      <c r="J2569" s="198"/>
      <c r="K2569" s="198"/>
      <c r="L2569" s="198"/>
      <c r="M2569" s="198"/>
      <c r="N2569" s="198"/>
      <c r="O2569" s="198"/>
      <c r="P2569" s="198"/>
      <c r="Q2569" s="198"/>
      <c r="R2569" s="198"/>
      <c r="S2569" s="198"/>
      <c r="T2569" s="198"/>
      <c r="U2569" s="198"/>
      <c r="V2569" s="198"/>
      <c r="W2569" s="198"/>
      <c r="X2569" s="198"/>
      <c r="Y2569" s="198"/>
      <c r="Z2569" s="198"/>
    </row>
    <row r="2570" spans="1:26" ht="15.75" hidden="1" customHeight="1" x14ac:dyDescent="0.25">
      <c r="A2570" s="213">
        <v>4437</v>
      </c>
      <c r="B2570" s="214" t="s">
        <v>11068</v>
      </c>
      <c r="C2570" s="215" t="s">
        <v>585</v>
      </c>
      <c r="D2570" s="216">
        <v>105.81</v>
      </c>
      <c r="E2570" s="198"/>
      <c r="F2570" s="198"/>
      <c r="G2570" s="198"/>
      <c r="H2570" s="198"/>
      <c r="I2570" s="198"/>
      <c r="J2570" s="198"/>
      <c r="K2570" s="198"/>
      <c r="L2570" s="198"/>
      <c r="M2570" s="198"/>
      <c r="N2570" s="198"/>
      <c r="O2570" s="198"/>
      <c r="P2570" s="198"/>
      <c r="Q2570" s="198"/>
      <c r="R2570" s="198"/>
      <c r="S2570" s="198"/>
      <c r="T2570" s="198"/>
      <c r="U2570" s="198"/>
      <c r="V2570" s="198"/>
      <c r="W2570" s="198"/>
      <c r="X2570" s="198"/>
      <c r="Y2570" s="198"/>
      <c r="Z2570" s="198"/>
    </row>
    <row r="2571" spans="1:26" ht="15.75" hidden="1" customHeight="1" x14ac:dyDescent="0.25">
      <c r="A2571" s="213">
        <v>14580</v>
      </c>
      <c r="B2571" s="214" t="s">
        <v>11069</v>
      </c>
      <c r="C2571" s="215" t="s">
        <v>585</v>
      </c>
      <c r="D2571" s="216">
        <v>105.81</v>
      </c>
      <c r="E2571" s="198"/>
      <c r="F2571" s="198"/>
      <c r="G2571" s="198"/>
      <c r="H2571" s="198"/>
      <c r="I2571" s="198"/>
      <c r="J2571" s="198"/>
      <c r="K2571" s="198"/>
      <c r="L2571" s="198"/>
      <c r="M2571" s="198"/>
      <c r="N2571" s="198"/>
      <c r="O2571" s="198"/>
      <c r="P2571" s="198"/>
      <c r="Q2571" s="198"/>
      <c r="R2571" s="198"/>
      <c r="S2571" s="198"/>
      <c r="T2571" s="198"/>
      <c r="U2571" s="198"/>
      <c r="V2571" s="198"/>
      <c r="W2571" s="198"/>
      <c r="X2571" s="198"/>
      <c r="Y2571" s="198"/>
      <c r="Z2571" s="198"/>
    </row>
    <row r="2572" spans="1:26" ht="15.75" hidden="1" customHeight="1" x14ac:dyDescent="0.25">
      <c r="A2572" s="213">
        <v>5065</v>
      </c>
      <c r="B2572" s="214" t="s">
        <v>11070</v>
      </c>
      <c r="C2572" s="215" t="s">
        <v>823</v>
      </c>
      <c r="D2572" s="216">
        <v>30.57</v>
      </c>
      <c r="E2572" s="198"/>
      <c r="F2572" s="198"/>
      <c r="G2572" s="198"/>
      <c r="H2572" s="198"/>
      <c r="I2572" s="198"/>
      <c r="J2572" s="198"/>
      <c r="K2572" s="198"/>
      <c r="L2572" s="198"/>
      <c r="M2572" s="198"/>
      <c r="N2572" s="198"/>
      <c r="O2572" s="198"/>
      <c r="P2572" s="198"/>
      <c r="Q2572" s="198"/>
      <c r="R2572" s="198"/>
      <c r="S2572" s="198"/>
      <c r="T2572" s="198"/>
      <c r="U2572" s="198"/>
      <c r="V2572" s="198"/>
      <c r="W2572" s="198"/>
      <c r="X2572" s="198"/>
      <c r="Y2572" s="198"/>
      <c r="Z2572" s="198"/>
    </row>
    <row r="2573" spans="1:26" ht="15.75" hidden="1" customHeight="1" x14ac:dyDescent="0.25">
      <c r="A2573" s="213">
        <v>5072</v>
      </c>
      <c r="B2573" s="214" t="s">
        <v>11071</v>
      </c>
      <c r="C2573" s="215" t="s">
        <v>823</v>
      </c>
      <c r="D2573" s="216">
        <v>28.28</v>
      </c>
      <c r="E2573" s="198"/>
      <c r="F2573" s="198"/>
      <c r="G2573" s="198"/>
      <c r="H2573" s="198"/>
      <c r="I2573" s="198"/>
      <c r="J2573" s="198"/>
      <c r="K2573" s="198"/>
      <c r="L2573" s="198"/>
      <c r="M2573" s="198"/>
      <c r="N2573" s="198"/>
      <c r="O2573" s="198"/>
      <c r="P2573" s="198"/>
      <c r="Q2573" s="198"/>
      <c r="R2573" s="198"/>
      <c r="S2573" s="198"/>
      <c r="T2573" s="198"/>
      <c r="U2573" s="198"/>
      <c r="V2573" s="198"/>
      <c r="W2573" s="198"/>
      <c r="X2573" s="198"/>
      <c r="Y2573" s="198"/>
      <c r="Z2573" s="198"/>
    </row>
    <row r="2574" spans="1:26" ht="15.75" hidden="1" customHeight="1" x14ac:dyDescent="0.25">
      <c r="A2574" s="213">
        <v>5066</v>
      </c>
      <c r="B2574" s="214" t="s">
        <v>11072</v>
      </c>
      <c r="C2574" s="215" t="s">
        <v>823</v>
      </c>
      <c r="D2574" s="216">
        <v>21.18</v>
      </c>
      <c r="E2574" s="198"/>
      <c r="F2574" s="198"/>
      <c r="G2574" s="198"/>
      <c r="H2574" s="198"/>
      <c r="I2574" s="198"/>
      <c r="J2574" s="198"/>
      <c r="K2574" s="198"/>
      <c r="L2574" s="198"/>
      <c r="M2574" s="198"/>
      <c r="N2574" s="198"/>
      <c r="O2574" s="198"/>
      <c r="P2574" s="198"/>
      <c r="Q2574" s="198"/>
      <c r="R2574" s="198"/>
      <c r="S2574" s="198"/>
      <c r="T2574" s="198"/>
      <c r="U2574" s="198"/>
      <c r="V2574" s="198"/>
      <c r="W2574" s="198"/>
      <c r="X2574" s="198"/>
      <c r="Y2574" s="198"/>
      <c r="Z2574" s="198"/>
    </row>
    <row r="2575" spans="1:26" ht="15.75" hidden="1" customHeight="1" x14ac:dyDescent="0.25">
      <c r="A2575" s="213">
        <v>5063</v>
      </c>
      <c r="B2575" s="214" t="s">
        <v>11073</v>
      </c>
      <c r="C2575" s="215" t="s">
        <v>823</v>
      </c>
      <c r="D2575" s="216">
        <v>19.18</v>
      </c>
      <c r="E2575" s="198"/>
      <c r="F2575" s="198"/>
      <c r="G2575" s="198"/>
      <c r="H2575" s="198"/>
      <c r="I2575" s="198"/>
      <c r="J2575" s="198"/>
      <c r="K2575" s="198"/>
      <c r="L2575" s="198"/>
      <c r="M2575" s="198"/>
      <c r="N2575" s="198"/>
      <c r="O2575" s="198"/>
      <c r="P2575" s="198"/>
      <c r="Q2575" s="198"/>
      <c r="R2575" s="198"/>
      <c r="S2575" s="198"/>
      <c r="T2575" s="198"/>
      <c r="U2575" s="198"/>
      <c r="V2575" s="198"/>
      <c r="W2575" s="198"/>
      <c r="X2575" s="198"/>
      <c r="Y2575" s="198"/>
      <c r="Z2575" s="198"/>
    </row>
    <row r="2576" spans="1:26" ht="15.75" hidden="1" customHeight="1" x14ac:dyDescent="0.25">
      <c r="A2576" s="213">
        <v>20247</v>
      </c>
      <c r="B2576" s="214" t="s">
        <v>11074</v>
      </c>
      <c r="C2576" s="215" t="s">
        <v>823</v>
      </c>
      <c r="D2576" s="216">
        <v>17.79</v>
      </c>
      <c r="E2576" s="198"/>
      <c r="F2576" s="198"/>
      <c r="G2576" s="198"/>
      <c r="H2576" s="198"/>
      <c r="I2576" s="198"/>
      <c r="J2576" s="198"/>
      <c r="K2576" s="198"/>
      <c r="L2576" s="198"/>
      <c r="M2576" s="198"/>
      <c r="N2576" s="198"/>
      <c r="O2576" s="198"/>
      <c r="P2576" s="198"/>
      <c r="Q2576" s="198"/>
      <c r="R2576" s="198"/>
      <c r="S2576" s="198"/>
      <c r="T2576" s="198"/>
      <c r="U2576" s="198"/>
      <c r="V2576" s="198"/>
      <c r="W2576" s="198"/>
      <c r="X2576" s="198"/>
      <c r="Y2576" s="198"/>
      <c r="Z2576" s="198"/>
    </row>
    <row r="2577" spans="1:26" ht="15.75" hidden="1" customHeight="1" x14ac:dyDescent="0.25">
      <c r="A2577" s="213">
        <v>5074</v>
      </c>
      <c r="B2577" s="214" t="s">
        <v>11075</v>
      </c>
      <c r="C2577" s="215" t="s">
        <v>823</v>
      </c>
      <c r="D2577" s="216">
        <v>18.010000000000002</v>
      </c>
      <c r="E2577" s="198"/>
      <c r="F2577" s="198"/>
      <c r="G2577" s="198"/>
      <c r="H2577" s="198"/>
      <c r="I2577" s="198"/>
      <c r="J2577" s="198"/>
      <c r="K2577" s="198"/>
      <c r="L2577" s="198"/>
      <c r="M2577" s="198"/>
      <c r="N2577" s="198"/>
      <c r="O2577" s="198"/>
      <c r="P2577" s="198"/>
      <c r="Q2577" s="198"/>
      <c r="R2577" s="198"/>
      <c r="S2577" s="198"/>
      <c r="T2577" s="198"/>
      <c r="U2577" s="198"/>
      <c r="V2577" s="198"/>
      <c r="W2577" s="198"/>
      <c r="X2577" s="198"/>
      <c r="Y2577" s="198"/>
      <c r="Z2577" s="198"/>
    </row>
    <row r="2578" spans="1:26" ht="15.75" hidden="1" customHeight="1" x14ac:dyDescent="0.25">
      <c r="A2578" s="213">
        <v>5067</v>
      </c>
      <c r="B2578" s="214" t="s">
        <v>11076</v>
      </c>
      <c r="C2578" s="215" t="s">
        <v>823</v>
      </c>
      <c r="D2578" s="216">
        <v>17.13</v>
      </c>
      <c r="E2578" s="198"/>
      <c r="F2578" s="198"/>
      <c r="G2578" s="198"/>
      <c r="H2578" s="198"/>
      <c r="I2578" s="198"/>
      <c r="J2578" s="198"/>
      <c r="K2578" s="198"/>
      <c r="L2578" s="198"/>
      <c r="M2578" s="198"/>
      <c r="N2578" s="198"/>
      <c r="O2578" s="198"/>
      <c r="P2578" s="198"/>
      <c r="Q2578" s="198"/>
      <c r="R2578" s="198"/>
      <c r="S2578" s="198"/>
      <c r="T2578" s="198"/>
      <c r="U2578" s="198"/>
      <c r="V2578" s="198"/>
      <c r="W2578" s="198"/>
      <c r="X2578" s="198"/>
      <c r="Y2578" s="198"/>
      <c r="Z2578" s="198"/>
    </row>
    <row r="2579" spans="1:26" ht="15.75" hidden="1" customHeight="1" x14ac:dyDescent="0.25">
      <c r="A2579" s="213">
        <v>5078</v>
      </c>
      <c r="B2579" s="214" t="s">
        <v>11077</v>
      </c>
      <c r="C2579" s="215" t="s">
        <v>823</v>
      </c>
      <c r="D2579" s="216">
        <v>16.93</v>
      </c>
      <c r="E2579" s="198"/>
      <c r="F2579" s="198"/>
      <c r="G2579" s="198"/>
      <c r="H2579" s="198"/>
      <c r="I2579" s="198"/>
      <c r="J2579" s="198"/>
      <c r="K2579" s="198"/>
      <c r="L2579" s="198"/>
      <c r="M2579" s="198"/>
      <c r="N2579" s="198"/>
      <c r="O2579" s="198"/>
      <c r="P2579" s="198"/>
      <c r="Q2579" s="198"/>
      <c r="R2579" s="198"/>
      <c r="S2579" s="198"/>
      <c r="T2579" s="198"/>
      <c r="U2579" s="198"/>
      <c r="V2579" s="198"/>
      <c r="W2579" s="198"/>
      <c r="X2579" s="198"/>
      <c r="Y2579" s="198"/>
      <c r="Z2579" s="198"/>
    </row>
    <row r="2580" spans="1:26" ht="15.75" hidden="1" customHeight="1" x14ac:dyDescent="0.25">
      <c r="A2580" s="213">
        <v>5068</v>
      </c>
      <c r="B2580" s="214" t="s">
        <v>11078</v>
      </c>
      <c r="C2580" s="215" t="s">
        <v>823</v>
      </c>
      <c r="D2580" s="216">
        <v>16.07</v>
      </c>
      <c r="E2580" s="198"/>
      <c r="F2580" s="198"/>
      <c r="G2580" s="198"/>
      <c r="H2580" s="198"/>
      <c r="I2580" s="198"/>
      <c r="J2580" s="198"/>
      <c r="K2580" s="198"/>
      <c r="L2580" s="198"/>
      <c r="M2580" s="198"/>
      <c r="N2580" s="198"/>
      <c r="O2580" s="198"/>
      <c r="P2580" s="198"/>
      <c r="Q2580" s="198"/>
      <c r="R2580" s="198"/>
      <c r="S2580" s="198"/>
      <c r="T2580" s="198"/>
      <c r="U2580" s="198"/>
      <c r="V2580" s="198"/>
      <c r="W2580" s="198"/>
      <c r="X2580" s="198"/>
      <c r="Y2580" s="198"/>
      <c r="Z2580" s="198"/>
    </row>
    <row r="2581" spans="1:26" ht="15.75" hidden="1" customHeight="1" x14ac:dyDescent="0.25">
      <c r="A2581" s="213">
        <v>5073</v>
      </c>
      <c r="B2581" s="214" t="s">
        <v>11079</v>
      </c>
      <c r="C2581" s="215" t="s">
        <v>823</v>
      </c>
      <c r="D2581" s="216">
        <v>16.38</v>
      </c>
      <c r="E2581" s="198"/>
      <c r="F2581" s="198"/>
      <c r="G2581" s="198"/>
      <c r="H2581" s="198"/>
      <c r="I2581" s="198"/>
      <c r="J2581" s="198"/>
      <c r="K2581" s="198"/>
      <c r="L2581" s="198"/>
      <c r="M2581" s="198"/>
      <c r="N2581" s="198"/>
      <c r="O2581" s="198"/>
      <c r="P2581" s="198"/>
      <c r="Q2581" s="198"/>
      <c r="R2581" s="198"/>
      <c r="S2581" s="198"/>
      <c r="T2581" s="198"/>
      <c r="U2581" s="198"/>
      <c r="V2581" s="198"/>
      <c r="W2581" s="198"/>
      <c r="X2581" s="198"/>
      <c r="Y2581" s="198"/>
      <c r="Z2581" s="198"/>
    </row>
    <row r="2582" spans="1:26" ht="15.75" hidden="1" customHeight="1" x14ac:dyDescent="0.25">
      <c r="A2582" s="213">
        <v>5069</v>
      </c>
      <c r="B2582" s="214" t="s">
        <v>11080</v>
      </c>
      <c r="C2582" s="215" t="s">
        <v>823</v>
      </c>
      <c r="D2582" s="216">
        <v>16.38</v>
      </c>
      <c r="E2582" s="198"/>
      <c r="F2582" s="198"/>
      <c r="G2582" s="198"/>
      <c r="H2582" s="198"/>
      <c r="I2582" s="198"/>
      <c r="J2582" s="198"/>
      <c r="K2582" s="198"/>
      <c r="L2582" s="198"/>
      <c r="M2582" s="198"/>
      <c r="N2582" s="198"/>
      <c r="O2582" s="198"/>
      <c r="P2582" s="198"/>
      <c r="Q2582" s="198"/>
      <c r="R2582" s="198"/>
      <c r="S2582" s="198"/>
      <c r="T2582" s="198"/>
      <c r="U2582" s="198"/>
      <c r="V2582" s="198"/>
      <c r="W2582" s="198"/>
      <c r="X2582" s="198"/>
      <c r="Y2582" s="198"/>
      <c r="Z2582" s="198"/>
    </row>
    <row r="2583" spans="1:26" ht="15.75" hidden="1" customHeight="1" x14ac:dyDescent="0.25">
      <c r="A2583" s="213">
        <v>5070</v>
      </c>
      <c r="B2583" s="214" t="s">
        <v>11081</v>
      </c>
      <c r="C2583" s="215" t="s">
        <v>823</v>
      </c>
      <c r="D2583" s="216">
        <v>16.559999999999999</v>
      </c>
      <c r="E2583" s="198"/>
      <c r="F2583" s="198"/>
      <c r="G2583" s="198"/>
      <c r="H2583" s="198"/>
      <c r="I2583" s="198"/>
      <c r="J2583" s="198"/>
      <c r="K2583" s="198"/>
      <c r="L2583" s="198"/>
      <c r="M2583" s="198"/>
      <c r="N2583" s="198"/>
      <c r="O2583" s="198"/>
      <c r="P2583" s="198"/>
      <c r="Q2583" s="198"/>
      <c r="R2583" s="198"/>
      <c r="S2583" s="198"/>
      <c r="T2583" s="198"/>
      <c r="U2583" s="198"/>
      <c r="V2583" s="198"/>
      <c r="W2583" s="198"/>
      <c r="X2583" s="198"/>
      <c r="Y2583" s="198"/>
      <c r="Z2583" s="198"/>
    </row>
    <row r="2584" spans="1:26" ht="15.75" hidden="1" customHeight="1" x14ac:dyDescent="0.25">
      <c r="A2584" s="213">
        <v>5071</v>
      </c>
      <c r="B2584" s="214" t="s">
        <v>11082</v>
      </c>
      <c r="C2584" s="215" t="s">
        <v>823</v>
      </c>
      <c r="D2584" s="216">
        <v>16.07</v>
      </c>
      <c r="E2584" s="198"/>
      <c r="F2584" s="198"/>
      <c r="G2584" s="198"/>
      <c r="H2584" s="198"/>
      <c r="I2584" s="198"/>
      <c r="J2584" s="198"/>
      <c r="K2584" s="198"/>
      <c r="L2584" s="198"/>
      <c r="M2584" s="198"/>
      <c r="N2584" s="198"/>
      <c r="O2584" s="198"/>
      <c r="P2584" s="198"/>
      <c r="Q2584" s="198"/>
      <c r="R2584" s="198"/>
      <c r="S2584" s="198"/>
      <c r="T2584" s="198"/>
      <c r="U2584" s="198"/>
      <c r="V2584" s="198"/>
      <c r="W2584" s="198"/>
      <c r="X2584" s="198"/>
      <c r="Y2584" s="198"/>
      <c r="Z2584" s="198"/>
    </row>
    <row r="2585" spans="1:26" ht="15.75" hidden="1" customHeight="1" x14ac:dyDescent="0.25">
      <c r="A2585" s="213">
        <v>5061</v>
      </c>
      <c r="B2585" s="214" t="s">
        <v>11083</v>
      </c>
      <c r="C2585" s="215" t="s">
        <v>823</v>
      </c>
      <c r="D2585" s="216">
        <v>15.8</v>
      </c>
      <c r="E2585" s="198"/>
      <c r="F2585" s="198"/>
      <c r="G2585" s="198"/>
      <c r="H2585" s="198"/>
      <c r="I2585" s="198"/>
      <c r="J2585" s="198"/>
      <c r="K2585" s="198"/>
      <c r="L2585" s="198"/>
      <c r="M2585" s="198"/>
      <c r="N2585" s="198"/>
      <c r="O2585" s="198"/>
      <c r="P2585" s="198"/>
      <c r="Q2585" s="198"/>
      <c r="R2585" s="198"/>
      <c r="S2585" s="198"/>
      <c r="T2585" s="198"/>
      <c r="U2585" s="198"/>
      <c r="V2585" s="198"/>
      <c r="W2585" s="198"/>
      <c r="X2585" s="198"/>
      <c r="Y2585" s="198"/>
      <c r="Z2585" s="198"/>
    </row>
    <row r="2586" spans="1:26" ht="15.75" hidden="1" customHeight="1" x14ac:dyDescent="0.25">
      <c r="A2586" s="213">
        <v>5075</v>
      </c>
      <c r="B2586" s="214" t="s">
        <v>11084</v>
      </c>
      <c r="C2586" s="215" t="s">
        <v>823</v>
      </c>
      <c r="D2586" s="216">
        <v>16.07</v>
      </c>
      <c r="E2586" s="198"/>
      <c r="F2586" s="198"/>
      <c r="G2586" s="198"/>
      <c r="H2586" s="198"/>
      <c r="I2586" s="198"/>
      <c r="J2586" s="198"/>
      <c r="K2586" s="198"/>
      <c r="L2586" s="198"/>
      <c r="M2586" s="198"/>
      <c r="N2586" s="198"/>
      <c r="O2586" s="198"/>
      <c r="P2586" s="198"/>
      <c r="Q2586" s="198"/>
      <c r="R2586" s="198"/>
      <c r="S2586" s="198"/>
      <c r="T2586" s="198"/>
      <c r="U2586" s="198"/>
      <c r="V2586" s="198"/>
      <c r="W2586" s="198"/>
      <c r="X2586" s="198"/>
      <c r="Y2586" s="198"/>
      <c r="Z2586" s="198"/>
    </row>
    <row r="2587" spans="1:26" ht="15.75" hidden="1" customHeight="1" x14ac:dyDescent="0.25">
      <c r="A2587" s="213">
        <v>39027</v>
      </c>
      <c r="B2587" s="214" t="s">
        <v>11085</v>
      </c>
      <c r="C2587" s="215" t="s">
        <v>823</v>
      </c>
      <c r="D2587" s="216">
        <v>16.059999999999999</v>
      </c>
      <c r="E2587" s="198"/>
      <c r="F2587" s="198"/>
      <c r="G2587" s="198"/>
      <c r="H2587" s="198"/>
      <c r="I2587" s="198"/>
      <c r="J2587" s="198"/>
      <c r="K2587" s="198"/>
      <c r="L2587" s="198"/>
      <c r="M2587" s="198"/>
      <c r="N2587" s="198"/>
      <c r="O2587" s="198"/>
      <c r="P2587" s="198"/>
      <c r="Q2587" s="198"/>
      <c r="R2587" s="198"/>
      <c r="S2587" s="198"/>
      <c r="T2587" s="198"/>
      <c r="U2587" s="198"/>
      <c r="V2587" s="198"/>
      <c r="W2587" s="198"/>
      <c r="X2587" s="198"/>
      <c r="Y2587" s="198"/>
      <c r="Z2587" s="198"/>
    </row>
    <row r="2588" spans="1:26" ht="15.75" hidden="1" customHeight="1" x14ac:dyDescent="0.25">
      <c r="A2588" s="213">
        <v>5062</v>
      </c>
      <c r="B2588" s="214" t="s">
        <v>11086</v>
      </c>
      <c r="C2588" s="215" t="s">
        <v>823</v>
      </c>
      <c r="D2588" s="216">
        <v>16.28</v>
      </c>
      <c r="E2588" s="198"/>
      <c r="F2588" s="198"/>
      <c r="G2588" s="198"/>
      <c r="H2588" s="198"/>
      <c r="I2588" s="198"/>
      <c r="J2588" s="198"/>
      <c r="K2588" s="198"/>
      <c r="L2588" s="198"/>
      <c r="M2588" s="198"/>
      <c r="N2588" s="198"/>
      <c r="O2588" s="198"/>
      <c r="P2588" s="198"/>
      <c r="Q2588" s="198"/>
      <c r="R2588" s="198"/>
      <c r="S2588" s="198"/>
      <c r="T2588" s="198"/>
      <c r="U2588" s="198"/>
      <c r="V2588" s="198"/>
      <c r="W2588" s="198"/>
      <c r="X2588" s="198"/>
      <c r="Y2588" s="198"/>
      <c r="Z2588" s="198"/>
    </row>
    <row r="2589" spans="1:26" ht="15.75" hidden="1" customHeight="1" x14ac:dyDescent="0.25">
      <c r="A2589" s="213">
        <v>40568</v>
      </c>
      <c r="B2589" s="214" t="s">
        <v>11087</v>
      </c>
      <c r="C2589" s="215" t="s">
        <v>823</v>
      </c>
      <c r="D2589" s="216">
        <v>16.190000000000001</v>
      </c>
      <c r="E2589" s="198"/>
      <c r="F2589" s="198"/>
      <c r="G2589" s="198"/>
      <c r="H2589" s="198"/>
      <c r="I2589" s="198"/>
      <c r="J2589" s="198"/>
      <c r="K2589" s="198"/>
      <c r="L2589" s="198"/>
      <c r="M2589" s="198"/>
      <c r="N2589" s="198"/>
      <c r="O2589" s="198"/>
      <c r="P2589" s="198"/>
      <c r="Q2589" s="198"/>
      <c r="R2589" s="198"/>
      <c r="S2589" s="198"/>
      <c r="T2589" s="198"/>
      <c r="U2589" s="198"/>
      <c r="V2589" s="198"/>
      <c r="W2589" s="198"/>
      <c r="X2589" s="198"/>
      <c r="Y2589" s="198"/>
      <c r="Z2589" s="198"/>
    </row>
    <row r="2590" spans="1:26" ht="15.75" hidden="1" customHeight="1" x14ac:dyDescent="0.25">
      <c r="A2590" s="213">
        <v>40304</v>
      </c>
      <c r="B2590" s="214" t="s">
        <v>11088</v>
      </c>
      <c r="C2590" s="215" t="s">
        <v>823</v>
      </c>
      <c r="D2590" s="216">
        <v>19.84</v>
      </c>
      <c r="E2590" s="198"/>
      <c r="F2590" s="198"/>
      <c r="G2590" s="198"/>
      <c r="H2590" s="198"/>
      <c r="I2590" s="198"/>
      <c r="J2590" s="198"/>
      <c r="K2590" s="198"/>
      <c r="L2590" s="198"/>
      <c r="M2590" s="198"/>
      <c r="N2590" s="198"/>
      <c r="O2590" s="198"/>
      <c r="P2590" s="198"/>
      <c r="Q2590" s="198"/>
      <c r="R2590" s="198"/>
      <c r="S2590" s="198"/>
      <c r="T2590" s="198"/>
      <c r="U2590" s="198"/>
      <c r="V2590" s="198"/>
      <c r="W2590" s="198"/>
      <c r="X2590" s="198"/>
      <c r="Y2590" s="198"/>
      <c r="Z2590" s="198"/>
    </row>
    <row r="2591" spans="1:26" ht="15.75" hidden="1" customHeight="1" x14ac:dyDescent="0.25">
      <c r="A2591" s="213">
        <v>39026</v>
      </c>
      <c r="B2591" s="214" t="s">
        <v>11089</v>
      </c>
      <c r="C2591" s="215" t="s">
        <v>823</v>
      </c>
      <c r="D2591" s="216">
        <v>18.07</v>
      </c>
      <c r="E2591" s="198"/>
      <c r="F2591" s="198"/>
      <c r="G2591" s="198"/>
      <c r="H2591" s="198"/>
      <c r="I2591" s="198"/>
      <c r="J2591" s="198"/>
      <c r="K2591" s="198"/>
      <c r="L2591" s="198"/>
      <c r="M2591" s="198"/>
      <c r="N2591" s="198"/>
      <c r="O2591" s="198"/>
      <c r="P2591" s="198"/>
      <c r="Q2591" s="198"/>
      <c r="R2591" s="198"/>
      <c r="S2591" s="198"/>
      <c r="T2591" s="198"/>
      <c r="U2591" s="198"/>
      <c r="V2591" s="198"/>
      <c r="W2591" s="198"/>
      <c r="X2591" s="198"/>
      <c r="Y2591" s="198"/>
      <c r="Z2591" s="198"/>
    </row>
    <row r="2592" spans="1:26" ht="15.75" hidden="1" customHeight="1" x14ac:dyDescent="0.25">
      <c r="A2592" s="213">
        <v>44074</v>
      </c>
      <c r="B2592" s="214" t="s">
        <v>11090</v>
      </c>
      <c r="C2592" s="215" t="s">
        <v>517</v>
      </c>
      <c r="D2592" s="216">
        <v>546.09</v>
      </c>
      <c r="E2592" s="198"/>
      <c r="F2592" s="198"/>
      <c r="G2592" s="198"/>
      <c r="H2592" s="198"/>
      <c r="I2592" s="198"/>
      <c r="J2592" s="198"/>
      <c r="K2592" s="198"/>
      <c r="L2592" s="198"/>
      <c r="M2592" s="198"/>
      <c r="N2592" s="198"/>
      <c r="O2592" s="198"/>
      <c r="P2592" s="198"/>
      <c r="Q2592" s="198"/>
      <c r="R2592" s="198"/>
      <c r="S2592" s="198"/>
      <c r="T2592" s="198"/>
      <c r="U2592" s="198"/>
      <c r="V2592" s="198"/>
      <c r="W2592" s="198"/>
      <c r="X2592" s="198"/>
      <c r="Y2592" s="198"/>
      <c r="Z2592" s="198"/>
    </row>
    <row r="2593" spans="1:26" ht="15.75" hidden="1" customHeight="1" x14ac:dyDescent="0.25">
      <c r="A2593" s="213">
        <v>44072</v>
      </c>
      <c r="B2593" s="214" t="s">
        <v>11091</v>
      </c>
      <c r="C2593" s="215" t="s">
        <v>517</v>
      </c>
      <c r="D2593" s="216">
        <v>116.49</v>
      </c>
      <c r="E2593" s="198"/>
      <c r="F2593" s="198"/>
      <c r="G2593" s="198"/>
      <c r="H2593" s="198"/>
      <c r="I2593" s="198"/>
      <c r="J2593" s="198"/>
      <c r="K2593" s="198"/>
      <c r="L2593" s="198"/>
      <c r="M2593" s="198"/>
      <c r="N2593" s="198"/>
      <c r="O2593" s="198"/>
      <c r="P2593" s="198"/>
      <c r="Q2593" s="198"/>
      <c r="R2593" s="198"/>
      <c r="S2593" s="198"/>
      <c r="T2593" s="198"/>
      <c r="U2593" s="198"/>
      <c r="V2593" s="198"/>
      <c r="W2593" s="198"/>
      <c r="X2593" s="198"/>
      <c r="Y2593" s="198"/>
      <c r="Z2593" s="198"/>
    </row>
    <row r="2594" spans="1:26" ht="15.75" hidden="1" customHeight="1" x14ac:dyDescent="0.25">
      <c r="A2594" s="213">
        <v>511</v>
      </c>
      <c r="B2594" s="214" t="s">
        <v>11092</v>
      </c>
      <c r="C2594" s="215" t="s">
        <v>517</v>
      </c>
      <c r="D2594" s="216">
        <v>19.48</v>
      </c>
      <c r="E2594" s="198"/>
      <c r="F2594" s="198"/>
      <c r="G2594" s="198"/>
      <c r="H2594" s="198"/>
      <c r="I2594" s="198"/>
      <c r="J2594" s="198"/>
      <c r="K2594" s="198"/>
      <c r="L2594" s="198"/>
      <c r="M2594" s="198"/>
      <c r="N2594" s="198"/>
      <c r="O2594" s="198"/>
      <c r="P2594" s="198"/>
      <c r="Q2594" s="198"/>
      <c r="R2594" s="198"/>
      <c r="S2594" s="198"/>
      <c r="T2594" s="198"/>
      <c r="U2594" s="198"/>
      <c r="V2594" s="198"/>
      <c r="W2594" s="198"/>
      <c r="X2594" s="198"/>
      <c r="Y2594" s="198"/>
      <c r="Z2594" s="198"/>
    </row>
    <row r="2595" spans="1:26" ht="15.75" hidden="1" customHeight="1" x14ac:dyDescent="0.25">
      <c r="A2595" s="213">
        <v>37540</v>
      </c>
      <c r="B2595" s="214" t="s">
        <v>11093</v>
      </c>
      <c r="C2595" s="215" t="s">
        <v>580</v>
      </c>
      <c r="D2595" s="216">
        <v>78265.460000000006</v>
      </c>
      <c r="E2595" s="198"/>
      <c r="F2595" s="198"/>
      <c r="G2595" s="198"/>
      <c r="H2595" s="198"/>
      <c r="I2595" s="198"/>
      <c r="J2595" s="198"/>
      <c r="K2595" s="198"/>
      <c r="L2595" s="198"/>
      <c r="M2595" s="198"/>
      <c r="N2595" s="198"/>
      <c r="O2595" s="198"/>
      <c r="P2595" s="198"/>
      <c r="Q2595" s="198"/>
      <c r="R2595" s="198"/>
      <c r="S2595" s="198"/>
      <c r="T2595" s="198"/>
      <c r="U2595" s="198"/>
      <c r="V2595" s="198"/>
      <c r="W2595" s="198"/>
      <c r="X2595" s="198"/>
      <c r="Y2595" s="198"/>
      <c r="Z2595" s="198"/>
    </row>
    <row r="2596" spans="1:26" ht="15.75" hidden="1" customHeight="1" x14ac:dyDescent="0.25">
      <c r="A2596" s="213">
        <v>37548</v>
      </c>
      <c r="B2596" s="214" t="s">
        <v>11094</v>
      </c>
      <c r="C2596" s="215" t="s">
        <v>580</v>
      </c>
      <c r="D2596" s="216">
        <v>103740.48</v>
      </c>
      <c r="E2596" s="198"/>
      <c r="F2596" s="198"/>
      <c r="G2596" s="198"/>
      <c r="H2596" s="198"/>
      <c r="I2596" s="198"/>
      <c r="J2596" s="198"/>
      <c r="K2596" s="198"/>
      <c r="L2596" s="198"/>
      <c r="M2596" s="198"/>
      <c r="N2596" s="198"/>
      <c r="O2596" s="198"/>
      <c r="P2596" s="198"/>
      <c r="Q2596" s="198"/>
      <c r="R2596" s="198"/>
      <c r="S2596" s="198"/>
      <c r="T2596" s="198"/>
      <c r="U2596" s="198"/>
      <c r="V2596" s="198"/>
      <c r="W2596" s="198"/>
      <c r="X2596" s="198"/>
      <c r="Y2596" s="198"/>
      <c r="Z2596" s="198"/>
    </row>
    <row r="2597" spans="1:26" ht="15.75" hidden="1" customHeight="1" x14ac:dyDescent="0.25">
      <c r="A2597" s="213">
        <v>39828</v>
      </c>
      <c r="B2597" s="214" t="s">
        <v>11095</v>
      </c>
      <c r="C2597" s="215" t="s">
        <v>580</v>
      </c>
      <c r="D2597" s="216">
        <v>622.34</v>
      </c>
      <c r="E2597" s="198"/>
      <c r="F2597" s="198"/>
      <c r="G2597" s="198"/>
      <c r="H2597" s="198"/>
      <c r="I2597" s="198"/>
      <c r="J2597" s="198"/>
      <c r="K2597" s="198"/>
      <c r="L2597" s="198"/>
      <c r="M2597" s="198"/>
      <c r="N2597" s="198"/>
      <c r="O2597" s="198"/>
      <c r="P2597" s="198"/>
      <c r="Q2597" s="198"/>
      <c r="R2597" s="198"/>
      <c r="S2597" s="198"/>
      <c r="T2597" s="198"/>
      <c r="U2597" s="198"/>
      <c r="V2597" s="198"/>
      <c r="W2597" s="198"/>
      <c r="X2597" s="198"/>
      <c r="Y2597" s="198"/>
      <c r="Z2597" s="198"/>
    </row>
    <row r="2598" spans="1:26" ht="15.75" hidden="1" customHeight="1" x14ac:dyDescent="0.25">
      <c r="A2598" s="213">
        <v>38392</v>
      </c>
      <c r="B2598" s="214" t="s">
        <v>11096</v>
      </c>
      <c r="C2598" s="215" t="s">
        <v>580</v>
      </c>
      <c r="D2598" s="216">
        <v>51.77</v>
      </c>
      <c r="E2598" s="198"/>
      <c r="F2598" s="198"/>
      <c r="G2598" s="198"/>
      <c r="H2598" s="198"/>
      <c r="I2598" s="198"/>
      <c r="J2598" s="198"/>
      <c r="K2598" s="198"/>
      <c r="L2598" s="198"/>
      <c r="M2598" s="198"/>
      <c r="N2598" s="198"/>
      <c r="O2598" s="198"/>
      <c r="P2598" s="198"/>
      <c r="Q2598" s="198"/>
      <c r="R2598" s="198"/>
      <c r="S2598" s="198"/>
      <c r="T2598" s="198"/>
      <c r="U2598" s="198"/>
      <c r="V2598" s="198"/>
      <c r="W2598" s="198"/>
      <c r="X2598" s="198"/>
      <c r="Y2598" s="198"/>
      <c r="Z2598" s="198"/>
    </row>
    <row r="2599" spans="1:26" ht="15.75" hidden="1" customHeight="1" x14ac:dyDescent="0.25">
      <c r="A2599" s="213">
        <v>11735</v>
      </c>
      <c r="B2599" s="214" t="s">
        <v>11097</v>
      </c>
      <c r="C2599" s="215" t="s">
        <v>580</v>
      </c>
      <c r="D2599" s="216">
        <v>9.11</v>
      </c>
      <c r="E2599" s="198"/>
      <c r="F2599" s="198"/>
      <c r="G2599" s="198"/>
      <c r="H2599" s="198"/>
      <c r="I2599" s="198"/>
      <c r="J2599" s="198"/>
      <c r="K2599" s="198"/>
      <c r="L2599" s="198"/>
      <c r="M2599" s="198"/>
      <c r="N2599" s="198"/>
      <c r="O2599" s="198"/>
      <c r="P2599" s="198"/>
      <c r="Q2599" s="198"/>
      <c r="R2599" s="198"/>
      <c r="S2599" s="198"/>
      <c r="T2599" s="198"/>
      <c r="U2599" s="198"/>
      <c r="V2599" s="198"/>
      <c r="W2599" s="198"/>
      <c r="X2599" s="198"/>
      <c r="Y2599" s="198"/>
      <c r="Z2599" s="198"/>
    </row>
    <row r="2600" spans="1:26" ht="15.75" hidden="1" customHeight="1" x14ac:dyDescent="0.25">
      <c r="A2600" s="213">
        <v>11737</v>
      </c>
      <c r="B2600" s="214" t="s">
        <v>11098</v>
      </c>
      <c r="C2600" s="215" t="s">
        <v>580</v>
      </c>
      <c r="D2600" s="216">
        <v>12.92</v>
      </c>
      <c r="E2600" s="198"/>
      <c r="F2600" s="198"/>
      <c r="G2600" s="198"/>
      <c r="H2600" s="198"/>
      <c r="I2600" s="198"/>
      <c r="J2600" s="198"/>
      <c r="K2600" s="198"/>
      <c r="L2600" s="198"/>
      <c r="M2600" s="198"/>
      <c r="N2600" s="198"/>
      <c r="O2600" s="198"/>
      <c r="P2600" s="198"/>
      <c r="Q2600" s="198"/>
      <c r="R2600" s="198"/>
      <c r="S2600" s="198"/>
      <c r="T2600" s="198"/>
      <c r="U2600" s="198"/>
      <c r="V2600" s="198"/>
      <c r="W2600" s="198"/>
      <c r="X2600" s="198"/>
      <c r="Y2600" s="198"/>
      <c r="Z2600" s="198"/>
    </row>
    <row r="2601" spans="1:26" ht="15.75" hidden="1" customHeight="1" x14ac:dyDescent="0.25">
      <c r="A2601" s="213">
        <v>11738</v>
      </c>
      <c r="B2601" s="214" t="s">
        <v>11099</v>
      </c>
      <c r="C2601" s="215" t="s">
        <v>580</v>
      </c>
      <c r="D2601" s="216">
        <v>16.29</v>
      </c>
      <c r="E2601" s="198"/>
      <c r="F2601" s="198"/>
      <c r="G2601" s="198"/>
      <c r="H2601" s="198"/>
      <c r="I2601" s="198"/>
      <c r="J2601" s="198"/>
      <c r="K2601" s="198"/>
      <c r="L2601" s="198"/>
      <c r="M2601" s="198"/>
      <c r="N2601" s="198"/>
      <c r="O2601" s="198"/>
      <c r="P2601" s="198"/>
      <c r="Q2601" s="198"/>
      <c r="R2601" s="198"/>
      <c r="S2601" s="198"/>
      <c r="T2601" s="198"/>
      <c r="U2601" s="198"/>
      <c r="V2601" s="198"/>
      <c r="W2601" s="198"/>
      <c r="X2601" s="198"/>
      <c r="Y2601" s="198"/>
      <c r="Z2601" s="198"/>
    </row>
    <row r="2602" spans="1:26" ht="15.75" hidden="1" customHeight="1" x14ac:dyDescent="0.25">
      <c r="A2602" s="213">
        <v>36143</v>
      </c>
      <c r="B2602" s="214" t="s">
        <v>11100</v>
      </c>
      <c r="C2602" s="215" t="s">
        <v>580</v>
      </c>
      <c r="D2602" s="216">
        <v>32.590000000000003</v>
      </c>
      <c r="E2602" s="198"/>
      <c r="F2602" s="198"/>
      <c r="G2602" s="198"/>
      <c r="H2602" s="198"/>
      <c r="I2602" s="198"/>
      <c r="J2602" s="198"/>
      <c r="K2602" s="198"/>
      <c r="L2602" s="198"/>
      <c r="M2602" s="198"/>
      <c r="N2602" s="198"/>
      <c r="O2602" s="198"/>
      <c r="P2602" s="198"/>
      <c r="Q2602" s="198"/>
      <c r="R2602" s="198"/>
      <c r="S2602" s="198"/>
      <c r="T2602" s="198"/>
      <c r="U2602" s="198"/>
      <c r="V2602" s="198"/>
      <c r="W2602" s="198"/>
      <c r="X2602" s="198"/>
      <c r="Y2602" s="198"/>
      <c r="Z2602" s="198"/>
    </row>
    <row r="2603" spans="1:26" ht="15.75" hidden="1" customHeight="1" x14ac:dyDescent="0.25">
      <c r="A2603" s="213">
        <v>36142</v>
      </c>
      <c r="B2603" s="214" t="s">
        <v>11101</v>
      </c>
      <c r="C2603" s="215" t="s">
        <v>580</v>
      </c>
      <c r="D2603" s="216">
        <v>2.38</v>
      </c>
      <c r="E2603" s="198"/>
      <c r="F2603" s="198"/>
      <c r="G2603" s="198"/>
      <c r="H2603" s="198"/>
      <c r="I2603" s="198"/>
      <c r="J2603" s="198"/>
      <c r="K2603" s="198"/>
      <c r="L2603" s="198"/>
      <c r="M2603" s="198"/>
      <c r="N2603" s="198"/>
      <c r="O2603" s="198"/>
      <c r="P2603" s="198"/>
      <c r="Q2603" s="198"/>
      <c r="R2603" s="198"/>
      <c r="S2603" s="198"/>
      <c r="T2603" s="198"/>
      <c r="U2603" s="198"/>
      <c r="V2603" s="198"/>
      <c r="W2603" s="198"/>
      <c r="X2603" s="198"/>
      <c r="Y2603" s="198"/>
      <c r="Z2603" s="198"/>
    </row>
    <row r="2604" spans="1:26" ht="15.75" hidden="1" customHeight="1" x14ac:dyDescent="0.25">
      <c r="A2604" s="213">
        <v>36146</v>
      </c>
      <c r="B2604" s="214" t="s">
        <v>11102</v>
      </c>
      <c r="C2604" s="215" t="s">
        <v>580</v>
      </c>
      <c r="D2604" s="216">
        <v>270.3</v>
      </c>
      <c r="E2604" s="198"/>
      <c r="F2604" s="198"/>
      <c r="G2604" s="198"/>
      <c r="H2604" s="198"/>
      <c r="I2604" s="198"/>
      <c r="J2604" s="198"/>
      <c r="K2604" s="198"/>
      <c r="L2604" s="198"/>
      <c r="M2604" s="198"/>
      <c r="N2604" s="198"/>
      <c r="O2604" s="198"/>
      <c r="P2604" s="198"/>
      <c r="Q2604" s="198"/>
      <c r="R2604" s="198"/>
      <c r="S2604" s="198"/>
      <c r="T2604" s="198"/>
      <c r="U2604" s="198"/>
      <c r="V2604" s="198"/>
      <c r="W2604" s="198"/>
      <c r="X2604" s="198"/>
      <c r="Y2604" s="198"/>
      <c r="Z2604" s="198"/>
    </row>
    <row r="2605" spans="1:26" ht="15.75" hidden="1" customHeight="1" x14ac:dyDescent="0.25">
      <c r="A2605" s="213">
        <v>38377</v>
      </c>
      <c r="B2605" s="214" t="s">
        <v>11103</v>
      </c>
      <c r="C2605" s="215" t="s">
        <v>580</v>
      </c>
      <c r="D2605" s="216">
        <v>30.13</v>
      </c>
      <c r="E2605" s="198"/>
      <c r="F2605" s="198"/>
      <c r="G2605" s="198"/>
      <c r="H2605" s="198"/>
      <c r="I2605" s="198"/>
      <c r="J2605" s="198"/>
      <c r="K2605" s="198"/>
      <c r="L2605" s="198"/>
      <c r="M2605" s="198"/>
      <c r="N2605" s="198"/>
      <c r="O2605" s="198"/>
      <c r="P2605" s="198"/>
      <c r="Q2605" s="198"/>
      <c r="R2605" s="198"/>
      <c r="S2605" s="198"/>
      <c r="T2605" s="198"/>
      <c r="U2605" s="198"/>
      <c r="V2605" s="198"/>
      <c r="W2605" s="198"/>
      <c r="X2605" s="198"/>
      <c r="Y2605" s="198"/>
      <c r="Z2605" s="198"/>
    </row>
    <row r="2606" spans="1:26" ht="15.75" hidden="1" customHeight="1" x14ac:dyDescent="0.25">
      <c r="A2606" s="213">
        <v>38376</v>
      </c>
      <c r="B2606" s="214" t="s">
        <v>11104</v>
      </c>
      <c r="C2606" s="215" t="s">
        <v>580</v>
      </c>
      <c r="D2606" s="216">
        <v>34.36</v>
      </c>
      <c r="E2606" s="198"/>
      <c r="F2606" s="198"/>
      <c r="G2606" s="198"/>
      <c r="H2606" s="198"/>
      <c r="I2606" s="198"/>
      <c r="J2606" s="198"/>
      <c r="K2606" s="198"/>
      <c r="L2606" s="198"/>
      <c r="M2606" s="198"/>
      <c r="N2606" s="198"/>
      <c r="O2606" s="198"/>
      <c r="P2606" s="198"/>
      <c r="Q2606" s="198"/>
      <c r="R2606" s="198"/>
      <c r="S2606" s="198"/>
      <c r="T2606" s="198"/>
      <c r="U2606" s="198"/>
      <c r="V2606" s="198"/>
      <c r="W2606" s="198"/>
      <c r="X2606" s="198"/>
      <c r="Y2606" s="198"/>
      <c r="Z2606" s="198"/>
    </row>
    <row r="2607" spans="1:26" ht="15.75" hidden="1" customHeight="1" x14ac:dyDescent="0.25">
      <c r="A2607" s="213">
        <v>38116</v>
      </c>
      <c r="B2607" s="214" t="s">
        <v>11105</v>
      </c>
      <c r="C2607" s="215" t="s">
        <v>580</v>
      </c>
      <c r="D2607" s="216">
        <v>6.38</v>
      </c>
      <c r="E2607" s="198"/>
      <c r="F2607" s="198"/>
      <c r="G2607" s="198"/>
      <c r="H2607" s="198"/>
      <c r="I2607" s="198"/>
      <c r="J2607" s="198"/>
      <c r="K2607" s="198"/>
      <c r="L2607" s="198"/>
      <c r="M2607" s="198"/>
      <c r="N2607" s="198"/>
      <c r="O2607" s="198"/>
      <c r="P2607" s="198"/>
      <c r="Q2607" s="198"/>
      <c r="R2607" s="198"/>
      <c r="S2607" s="198"/>
      <c r="T2607" s="198"/>
      <c r="U2607" s="198"/>
      <c r="V2607" s="198"/>
      <c r="W2607" s="198"/>
      <c r="X2607" s="198"/>
      <c r="Y2607" s="198"/>
      <c r="Z2607" s="198"/>
    </row>
    <row r="2608" spans="1:26" ht="15.75" hidden="1" customHeight="1" x14ac:dyDescent="0.25">
      <c r="A2608" s="213">
        <v>38066</v>
      </c>
      <c r="B2608" s="214" t="s">
        <v>11106</v>
      </c>
      <c r="C2608" s="215" t="s">
        <v>580</v>
      </c>
      <c r="D2608" s="216">
        <v>10.53</v>
      </c>
      <c r="E2608" s="198"/>
      <c r="F2608" s="198"/>
      <c r="G2608" s="198"/>
      <c r="H2608" s="198"/>
      <c r="I2608" s="198"/>
      <c r="J2608" s="198"/>
      <c r="K2608" s="198"/>
      <c r="L2608" s="198"/>
      <c r="M2608" s="198"/>
      <c r="N2608" s="198"/>
      <c r="O2608" s="198"/>
      <c r="P2608" s="198"/>
      <c r="Q2608" s="198"/>
      <c r="R2608" s="198"/>
      <c r="S2608" s="198"/>
      <c r="T2608" s="198"/>
      <c r="U2608" s="198"/>
      <c r="V2608" s="198"/>
      <c r="W2608" s="198"/>
      <c r="X2608" s="198"/>
      <c r="Y2608" s="198"/>
      <c r="Z2608" s="198"/>
    </row>
    <row r="2609" spans="1:26" ht="15.75" hidden="1" customHeight="1" x14ac:dyDescent="0.25">
      <c r="A2609" s="213">
        <v>38117</v>
      </c>
      <c r="B2609" s="214" t="s">
        <v>11107</v>
      </c>
      <c r="C2609" s="215" t="s">
        <v>580</v>
      </c>
      <c r="D2609" s="216">
        <v>10.86</v>
      </c>
      <c r="E2609" s="198"/>
      <c r="F2609" s="198"/>
      <c r="G2609" s="198"/>
      <c r="H2609" s="198"/>
      <c r="I2609" s="198"/>
      <c r="J2609" s="198"/>
      <c r="K2609" s="198"/>
      <c r="L2609" s="198"/>
      <c r="M2609" s="198"/>
      <c r="N2609" s="198"/>
      <c r="O2609" s="198"/>
      <c r="P2609" s="198"/>
      <c r="Q2609" s="198"/>
      <c r="R2609" s="198"/>
      <c r="S2609" s="198"/>
      <c r="T2609" s="198"/>
      <c r="U2609" s="198"/>
      <c r="V2609" s="198"/>
      <c r="W2609" s="198"/>
      <c r="X2609" s="198"/>
      <c r="Y2609" s="198"/>
      <c r="Z2609" s="198"/>
    </row>
    <row r="2610" spans="1:26" ht="15.75" hidden="1" customHeight="1" x14ac:dyDescent="0.25">
      <c r="A2610" s="213">
        <v>38067</v>
      </c>
      <c r="B2610" s="214" t="s">
        <v>11108</v>
      </c>
      <c r="C2610" s="215" t="s">
        <v>580</v>
      </c>
      <c r="D2610" s="216">
        <v>14.82</v>
      </c>
      <c r="E2610" s="198"/>
      <c r="F2610" s="198"/>
      <c r="G2610" s="198"/>
      <c r="H2610" s="198"/>
      <c r="I2610" s="198"/>
      <c r="J2610" s="198"/>
      <c r="K2610" s="198"/>
      <c r="L2610" s="198"/>
      <c r="M2610" s="198"/>
      <c r="N2610" s="198"/>
      <c r="O2610" s="198"/>
      <c r="P2610" s="198"/>
      <c r="Q2610" s="198"/>
      <c r="R2610" s="198"/>
      <c r="S2610" s="198"/>
      <c r="T2610" s="198"/>
      <c r="U2610" s="198"/>
      <c r="V2610" s="198"/>
      <c r="W2610" s="198"/>
      <c r="X2610" s="198"/>
      <c r="Y2610" s="198"/>
      <c r="Z2610" s="198"/>
    </row>
    <row r="2611" spans="1:26" ht="15.75" hidden="1" customHeight="1" x14ac:dyDescent="0.25">
      <c r="A2611" s="213">
        <v>44313</v>
      </c>
      <c r="B2611" s="214" t="s">
        <v>11109</v>
      </c>
      <c r="C2611" s="215" t="s">
        <v>580</v>
      </c>
      <c r="D2611" s="216">
        <v>1033.83</v>
      </c>
      <c r="E2611" s="198"/>
      <c r="F2611" s="198"/>
      <c r="G2611" s="198"/>
      <c r="H2611" s="198"/>
      <c r="I2611" s="198"/>
      <c r="J2611" s="198"/>
      <c r="K2611" s="198"/>
      <c r="L2611" s="198"/>
      <c r="M2611" s="198"/>
      <c r="N2611" s="198"/>
      <c r="O2611" s="198"/>
      <c r="P2611" s="198"/>
      <c r="Q2611" s="198"/>
      <c r="R2611" s="198"/>
      <c r="S2611" s="198"/>
      <c r="T2611" s="198"/>
      <c r="U2611" s="198"/>
      <c r="V2611" s="198"/>
      <c r="W2611" s="198"/>
      <c r="X2611" s="198"/>
      <c r="Y2611" s="198"/>
      <c r="Z2611" s="198"/>
    </row>
    <row r="2612" spans="1:26" ht="15.75" hidden="1" customHeight="1" x14ac:dyDescent="0.25">
      <c r="A2612" s="213">
        <v>11522</v>
      </c>
      <c r="B2612" s="214" t="s">
        <v>11110</v>
      </c>
      <c r="C2612" s="215" t="s">
        <v>580</v>
      </c>
      <c r="D2612" s="216">
        <v>12.65</v>
      </c>
      <c r="E2612" s="198"/>
      <c r="F2612" s="198"/>
      <c r="G2612" s="198"/>
      <c r="H2612" s="198"/>
      <c r="I2612" s="198"/>
      <c r="J2612" s="198"/>
      <c r="K2612" s="198"/>
      <c r="L2612" s="198"/>
      <c r="M2612" s="198"/>
      <c r="N2612" s="198"/>
      <c r="O2612" s="198"/>
      <c r="P2612" s="198"/>
      <c r="Q2612" s="198"/>
      <c r="R2612" s="198"/>
      <c r="S2612" s="198"/>
      <c r="T2612" s="198"/>
      <c r="U2612" s="198"/>
      <c r="V2612" s="198"/>
      <c r="W2612" s="198"/>
      <c r="X2612" s="198"/>
      <c r="Y2612" s="198"/>
      <c r="Z2612" s="198"/>
    </row>
    <row r="2613" spans="1:26" ht="15.75" hidden="1" customHeight="1" x14ac:dyDescent="0.25">
      <c r="A2613" s="213">
        <v>43600</v>
      </c>
      <c r="B2613" s="214" t="s">
        <v>11111</v>
      </c>
      <c r="C2613" s="215" t="s">
        <v>580</v>
      </c>
      <c r="D2613" s="216">
        <v>50.72</v>
      </c>
      <c r="E2613" s="198"/>
      <c r="F2613" s="198"/>
      <c r="G2613" s="198"/>
      <c r="H2613" s="198"/>
      <c r="I2613" s="198"/>
      <c r="J2613" s="198"/>
      <c r="K2613" s="198"/>
      <c r="L2613" s="198"/>
      <c r="M2613" s="198"/>
      <c r="N2613" s="198"/>
      <c r="O2613" s="198"/>
      <c r="P2613" s="198"/>
      <c r="Q2613" s="198"/>
      <c r="R2613" s="198"/>
      <c r="S2613" s="198"/>
      <c r="T2613" s="198"/>
      <c r="U2613" s="198"/>
      <c r="V2613" s="198"/>
      <c r="W2613" s="198"/>
      <c r="X2613" s="198"/>
      <c r="Y2613" s="198"/>
      <c r="Z2613" s="198"/>
    </row>
    <row r="2614" spans="1:26" ht="15.75" hidden="1" customHeight="1" x14ac:dyDescent="0.25">
      <c r="A2614" s="213">
        <v>5080</v>
      </c>
      <c r="B2614" s="214" t="s">
        <v>11112</v>
      </c>
      <c r="C2614" s="215" t="s">
        <v>580</v>
      </c>
      <c r="D2614" s="216">
        <v>19.78</v>
      </c>
      <c r="E2614" s="198"/>
      <c r="F2614" s="198"/>
      <c r="G2614" s="198"/>
      <c r="H2614" s="198"/>
      <c r="I2614" s="198"/>
      <c r="J2614" s="198"/>
      <c r="K2614" s="198"/>
      <c r="L2614" s="198"/>
      <c r="M2614" s="198"/>
      <c r="N2614" s="198"/>
      <c r="O2614" s="198"/>
      <c r="P2614" s="198"/>
      <c r="Q2614" s="198"/>
      <c r="R2614" s="198"/>
      <c r="S2614" s="198"/>
      <c r="T2614" s="198"/>
      <c r="U2614" s="198"/>
      <c r="V2614" s="198"/>
      <c r="W2614" s="198"/>
      <c r="X2614" s="198"/>
      <c r="Y2614" s="198"/>
      <c r="Z2614" s="198"/>
    </row>
    <row r="2615" spans="1:26" ht="15.75" hidden="1" customHeight="1" x14ac:dyDescent="0.25">
      <c r="A2615" s="213">
        <v>38168</v>
      </c>
      <c r="B2615" s="214" t="s">
        <v>11113</v>
      </c>
      <c r="C2615" s="215" t="s">
        <v>580</v>
      </c>
      <c r="D2615" s="216">
        <v>138.08000000000001</v>
      </c>
      <c r="E2615" s="198"/>
      <c r="F2615" s="198"/>
      <c r="G2615" s="198"/>
      <c r="H2615" s="198"/>
      <c r="I2615" s="198"/>
      <c r="J2615" s="198"/>
      <c r="K2615" s="198"/>
      <c r="L2615" s="198"/>
      <c r="M2615" s="198"/>
      <c r="N2615" s="198"/>
      <c r="O2615" s="198"/>
      <c r="P2615" s="198"/>
      <c r="Q2615" s="198"/>
      <c r="R2615" s="198"/>
      <c r="S2615" s="198"/>
      <c r="T2615" s="198"/>
      <c r="U2615" s="198"/>
      <c r="V2615" s="198"/>
      <c r="W2615" s="198"/>
      <c r="X2615" s="198"/>
      <c r="Y2615" s="198"/>
      <c r="Z2615" s="198"/>
    </row>
    <row r="2616" spans="1:26" ht="15.75" hidden="1" customHeight="1" x14ac:dyDescent="0.25">
      <c r="A2616" s="213">
        <v>43601</v>
      </c>
      <c r="B2616" s="214" t="s">
        <v>11114</v>
      </c>
      <c r="C2616" s="215" t="s">
        <v>580</v>
      </c>
      <c r="D2616" s="216">
        <v>69.040000000000006</v>
      </c>
      <c r="E2616" s="198"/>
      <c r="F2616" s="198"/>
      <c r="G2616" s="198"/>
      <c r="H2616" s="198"/>
      <c r="I2616" s="198"/>
      <c r="J2616" s="198"/>
      <c r="K2616" s="198"/>
      <c r="L2616" s="198"/>
      <c r="M2616" s="198"/>
      <c r="N2616" s="198"/>
      <c r="O2616" s="198"/>
      <c r="P2616" s="198"/>
      <c r="Q2616" s="198"/>
      <c r="R2616" s="198"/>
      <c r="S2616" s="198"/>
      <c r="T2616" s="198"/>
      <c r="U2616" s="198"/>
      <c r="V2616" s="198"/>
      <c r="W2616" s="198"/>
      <c r="X2616" s="198"/>
      <c r="Y2616" s="198"/>
      <c r="Z2616" s="198"/>
    </row>
    <row r="2617" spans="1:26" ht="15.75" hidden="1" customHeight="1" x14ac:dyDescent="0.25">
      <c r="A2617" s="213">
        <v>39805</v>
      </c>
      <c r="B2617" s="214" t="s">
        <v>11115</v>
      </c>
      <c r="C2617" s="215" t="s">
        <v>580</v>
      </c>
      <c r="D2617" s="216">
        <v>225.74</v>
      </c>
      <c r="E2617" s="198"/>
      <c r="F2617" s="198"/>
      <c r="G2617" s="198"/>
      <c r="H2617" s="198"/>
      <c r="I2617" s="198"/>
      <c r="J2617" s="198"/>
      <c r="K2617" s="198"/>
      <c r="L2617" s="198"/>
      <c r="M2617" s="198"/>
      <c r="N2617" s="198"/>
      <c r="O2617" s="198"/>
      <c r="P2617" s="198"/>
      <c r="Q2617" s="198"/>
      <c r="R2617" s="198"/>
      <c r="S2617" s="198"/>
      <c r="T2617" s="198"/>
      <c r="U2617" s="198"/>
      <c r="V2617" s="198"/>
      <c r="W2617" s="198"/>
      <c r="X2617" s="198"/>
      <c r="Y2617" s="198"/>
      <c r="Z2617" s="198"/>
    </row>
    <row r="2618" spans="1:26" ht="15.75" hidden="1" customHeight="1" x14ac:dyDescent="0.25">
      <c r="A2618" s="213">
        <v>39806</v>
      </c>
      <c r="B2618" s="214" t="s">
        <v>11116</v>
      </c>
      <c r="C2618" s="215" t="s">
        <v>580</v>
      </c>
      <c r="D2618" s="216">
        <v>418.23</v>
      </c>
      <c r="E2618" s="198"/>
      <c r="F2618" s="198"/>
      <c r="G2618" s="198"/>
      <c r="H2618" s="198"/>
      <c r="I2618" s="198"/>
      <c r="J2618" s="198"/>
      <c r="K2618" s="198"/>
      <c r="L2618" s="198"/>
      <c r="M2618" s="198"/>
      <c r="N2618" s="198"/>
      <c r="O2618" s="198"/>
      <c r="P2618" s="198"/>
      <c r="Q2618" s="198"/>
      <c r="R2618" s="198"/>
      <c r="S2618" s="198"/>
      <c r="T2618" s="198"/>
      <c r="U2618" s="198"/>
      <c r="V2618" s="198"/>
      <c r="W2618" s="198"/>
      <c r="X2618" s="198"/>
      <c r="Y2618" s="198"/>
      <c r="Z2618" s="198"/>
    </row>
    <row r="2619" spans="1:26" ht="15.75" hidden="1" customHeight="1" x14ac:dyDescent="0.25">
      <c r="A2619" s="213">
        <v>39807</v>
      </c>
      <c r="B2619" s="214" t="s">
        <v>11117</v>
      </c>
      <c r="C2619" s="215" t="s">
        <v>580</v>
      </c>
      <c r="D2619" s="216">
        <v>906.41</v>
      </c>
      <c r="E2619" s="198"/>
      <c r="F2619" s="198"/>
      <c r="G2619" s="198"/>
      <c r="H2619" s="198"/>
      <c r="I2619" s="198"/>
      <c r="J2619" s="198"/>
      <c r="K2619" s="198"/>
      <c r="L2619" s="198"/>
      <c r="M2619" s="198"/>
      <c r="N2619" s="198"/>
      <c r="O2619" s="198"/>
      <c r="P2619" s="198"/>
      <c r="Q2619" s="198"/>
      <c r="R2619" s="198"/>
      <c r="S2619" s="198"/>
      <c r="T2619" s="198"/>
      <c r="U2619" s="198"/>
      <c r="V2619" s="198"/>
      <c r="W2619" s="198"/>
      <c r="X2619" s="198"/>
      <c r="Y2619" s="198"/>
      <c r="Z2619" s="198"/>
    </row>
    <row r="2620" spans="1:26" ht="15.75" hidden="1" customHeight="1" x14ac:dyDescent="0.25">
      <c r="A2620" s="213">
        <v>43100</v>
      </c>
      <c r="B2620" s="214" t="s">
        <v>11118</v>
      </c>
      <c r="C2620" s="215" t="s">
        <v>580</v>
      </c>
      <c r="D2620" s="216">
        <v>708.62</v>
      </c>
      <c r="E2620" s="198"/>
      <c r="F2620" s="198"/>
      <c r="G2620" s="198"/>
      <c r="H2620" s="198"/>
      <c r="I2620" s="198"/>
      <c r="J2620" s="198"/>
      <c r="K2620" s="198"/>
      <c r="L2620" s="198"/>
      <c r="M2620" s="198"/>
      <c r="N2620" s="198"/>
      <c r="O2620" s="198"/>
      <c r="P2620" s="198"/>
      <c r="Q2620" s="198"/>
      <c r="R2620" s="198"/>
      <c r="S2620" s="198"/>
      <c r="T2620" s="198"/>
      <c r="U2620" s="198"/>
      <c r="V2620" s="198"/>
      <c r="W2620" s="198"/>
      <c r="X2620" s="198"/>
      <c r="Y2620" s="198"/>
      <c r="Z2620" s="198"/>
    </row>
    <row r="2621" spans="1:26" ht="15.75" hidden="1" customHeight="1" x14ac:dyDescent="0.25">
      <c r="A2621" s="213">
        <v>39804</v>
      </c>
      <c r="B2621" s="214" t="s">
        <v>11119</v>
      </c>
      <c r="C2621" s="215" t="s">
        <v>580</v>
      </c>
      <c r="D2621" s="216">
        <v>132.55000000000001</v>
      </c>
      <c r="E2621" s="198"/>
      <c r="F2621" s="198"/>
      <c r="G2621" s="198"/>
      <c r="H2621" s="198"/>
      <c r="I2621" s="198"/>
      <c r="J2621" s="198"/>
      <c r="K2621" s="198"/>
      <c r="L2621" s="198"/>
      <c r="M2621" s="198"/>
      <c r="N2621" s="198"/>
      <c r="O2621" s="198"/>
      <c r="P2621" s="198"/>
      <c r="Q2621" s="198"/>
      <c r="R2621" s="198"/>
      <c r="S2621" s="198"/>
      <c r="T2621" s="198"/>
      <c r="U2621" s="198"/>
      <c r="V2621" s="198"/>
      <c r="W2621" s="198"/>
      <c r="X2621" s="198"/>
      <c r="Y2621" s="198"/>
      <c r="Z2621" s="198"/>
    </row>
    <row r="2622" spans="1:26" ht="15.75" hidden="1" customHeight="1" x14ac:dyDescent="0.25">
      <c r="A2622" s="213">
        <v>39796</v>
      </c>
      <c r="B2622" s="214" t="s">
        <v>11120</v>
      </c>
      <c r="C2622" s="215" t="s">
        <v>580</v>
      </c>
      <c r="D2622" s="216">
        <v>137.29</v>
      </c>
      <c r="E2622" s="198"/>
      <c r="F2622" s="198"/>
      <c r="G2622" s="198"/>
      <c r="H2622" s="198"/>
      <c r="I2622" s="198"/>
      <c r="J2622" s="198"/>
      <c r="K2622" s="198"/>
      <c r="L2622" s="198"/>
      <c r="M2622" s="198"/>
      <c r="N2622" s="198"/>
      <c r="O2622" s="198"/>
      <c r="P2622" s="198"/>
      <c r="Q2622" s="198"/>
      <c r="R2622" s="198"/>
      <c r="S2622" s="198"/>
      <c r="T2622" s="198"/>
      <c r="U2622" s="198"/>
      <c r="V2622" s="198"/>
      <c r="W2622" s="198"/>
      <c r="X2622" s="198"/>
      <c r="Y2622" s="198"/>
      <c r="Z2622" s="198"/>
    </row>
    <row r="2623" spans="1:26" ht="15.75" hidden="1" customHeight="1" x14ac:dyDescent="0.25">
      <c r="A2623" s="213">
        <v>39797</v>
      </c>
      <c r="B2623" s="214" t="s">
        <v>11121</v>
      </c>
      <c r="C2623" s="215" t="s">
        <v>580</v>
      </c>
      <c r="D2623" s="216">
        <v>215.52</v>
      </c>
      <c r="E2623" s="198"/>
      <c r="F2623" s="198"/>
      <c r="G2623" s="198"/>
      <c r="H2623" s="198"/>
      <c r="I2623" s="198"/>
      <c r="J2623" s="198"/>
      <c r="K2623" s="198"/>
      <c r="L2623" s="198"/>
      <c r="M2623" s="198"/>
      <c r="N2623" s="198"/>
      <c r="O2623" s="198"/>
      <c r="P2623" s="198"/>
      <c r="Q2623" s="198"/>
      <c r="R2623" s="198"/>
      <c r="S2623" s="198"/>
      <c r="T2623" s="198"/>
      <c r="U2623" s="198"/>
      <c r="V2623" s="198"/>
      <c r="W2623" s="198"/>
      <c r="X2623" s="198"/>
      <c r="Y2623" s="198"/>
      <c r="Z2623" s="198"/>
    </row>
    <row r="2624" spans="1:26" ht="15.75" hidden="1" customHeight="1" x14ac:dyDescent="0.25">
      <c r="A2624" s="213">
        <v>39798</v>
      </c>
      <c r="B2624" s="214" t="s">
        <v>11122</v>
      </c>
      <c r="C2624" s="215" t="s">
        <v>580</v>
      </c>
      <c r="D2624" s="216">
        <v>369.69</v>
      </c>
      <c r="E2624" s="198"/>
      <c r="F2624" s="198"/>
      <c r="G2624" s="198"/>
      <c r="H2624" s="198"/>
      <c r="I2624" s="198"/>
      <c r="J2624" s="198"/>
      <c r="K2624" s="198"/>
      <c r="L2624" s="198"/>
      <c r="M2624" s="198"/>
      <c r="N2624" s="198"/>
      <c r="O2624" s="198"/>
      <c r="P2624" s="198"/>
      <c r="Q2624" s="198"/>
      <c r="R2624" s="198"/>
      <c r="S2624" s="198"/>
      <c r="T2624" s="198"/>
      <c r="U2624" s="198"/>
      <c r="V2624" s="198"/>
      <c r="W2624" s="198"/>
      <c r="X2624" s="198"/>
      <c r="Y2624" s="198"/>
      <c r="Z2624" s="198"/>
    </row>
    <row r="2625" spans="1:26" ht="15.75" hidden="1" customHeight="1" x14ac:dyDescent="0.25">
      <c r="A2625" s="213">
        <v>39794</v>
      </c>
      <c r="B2625" s="214" t="s">
        <v>11123</v>
      </c>
      <c r="C2625" s="215" t="s">
        <v>580</v>
      </c>
      <c r="D2625" s="216">
        <v>58.28</v>
      </c>
      <c r="E2625" s="198"/>
      <c r="F2625" s="198"/>
      <c r="G2625" s="198"/>
      <c r="H2625" s="198"/>
      <c r="I2625" s="198"/>
      <c r="J2625" s="198"/>
      <c r="K2625" s="198"/>
      <c r="L2625" s="198"/>
      <c r="M2625" s="198"/>
      <c r="N2625" s="198"/>
      <c r="O2625" s="198"/>
      <c r="P2625" s="198"/>
      <c r="Q2625" s="198"/>
      <c r="R2625" s="198"/>
      <c r="S2625" s="198"/>
      <c r="T2625" s="198"/>
      <c r="U2625" s="198"/>
      <c r="V2625" s="198"/>
      <c r="W2625" s="198"/>
      <c r="X2625" s="198"/>
      <c r="Y2625" s="198"/>
      <c r="Z2625" s="198"/>
    </row>
    <row r="2626" spans="1:26" ht="15.75" hidden="1" customHeight="1" x14ac:dyDescent="0.25">
      <c r="A2626" s="213">
        <v>39795</v>
      </c>
      <c r="B2626" s="214" t="s">
        <v>11124</v>
      </c>
      <c r="C2626" s="215" t="s">
        <v>580</v>
      </c>
      <c r="D2626" s="216">
        <v>92.07</v>
      </c>
      <c r="E2626" s="198"/>
      <c r="F2626" s="198"/>
      <c r="G2626" s="198"/>
      <c r="H2626" s="198"/>
      <c r="I2626" s="198"/>
      <c r="J2626" s="198"/>
      <c r="K2626" s="198"/>
      <c r="L2626" s="198"/>
      <c r="M2626" s="198"/>
      <c r="N2626" s="198"/>
      <c r="O2626" s="198"/>
      <c r="P2626" s="198"/>
      <c r="Q2626" s="198"/>
      <c r="R2626" s="198"/>
      <c r="S2626" s="198"/>
      <c r="T2626" s="198"/>
      <c r="U2626" s="198"/>
      <c r="V2626" s="198"/>
      <c r="W2626" s="198"/>
      <c r="X2626" s="198"/>
      <c r="Y2626" s="198"/>
      <c r="Z2626" s="198"/>
    </row>
    <row r="2627" spans="1:26" ht="15.75" hidden="1" customHeight="1" x14ac:dyDescent="0.25">
      <c r="A2627" s="213">
        <v>39801</v>
      </c>
      <c r="B2627" s="214" t="s">
        <v>11125</v>
      </c>
      <c r="C2627" s="215" t="s">
        <v>580</v>
      </c>
      <c r="D2627" s="216">
        <v>194.41</v>
      </c>
      <c r="E2627" s="198"/>
      <c r="F2627" s="198"/>
      <c r="G2627" s="198"/>
      <c r="H2627" s="198"/>
      <c r="I2627" s="198"/>
      <c r="J2627" s="198"/>
      <c r="K2627" s="198"/>
      <c r="L2627" s="198"/>
      <c r="M2627" s="198"/>
      <c r="N2627" s="198"/>
      <c r="O2627" s="198"/>
      <c r="P2627" s="198"/>
      <c r="Q2627" s="198"/>
      <c r="R2627" s="198"/>
      <c r="S2627" s="198"/>
      <c r="T2627" s="198"/>
      <c r="U2627" s="198"/>
      <c r="V2627" s="198"/>
      <c r="W2627" s="198"/>
      <c r="X2627" s="198"/>
      <c r="Y2627" s="198"/>
      <c r="Z2627" s="198"/>
    </row>
    <row r="2628" spans="1:26" ht="15.75" hidden="1" customHeight="1" x14ac:dyDescent="0.25">
      <c r="A2628" s="213">
        <v>39802</v>
      </c>
      <c r="B2628" s="214" t="s">
        <v>11126</v>
      </c>
      <c r="C2628" s="215" t="s">
        <v>580</v>
      </c>
      <c r="D2628" s="216">
        <v>284.98</v>
      </c>
      <c r="E2628" s="198"/>
      <c r="F2628" s="198"/>
      <c r="G2628" s="198"/>
      <c r="H2628" s="198"/>
      <c r="I2628" s="198"/>
      <c r="J2628" s="198"/>
      <c r="K2628" s="198"/>
      <c r="L2628" s="198"/>
      <c r="M2628" s="198"/>
      <c r="N2628" s="198"/>
      <c r="O2628" s="198"/>
      <c r="P2628" s="198"/>
      <c r="Q2628" s="198"/>
      <c r="R2628" s="198"/>
      <c r="S2628" s="198"/>
      <c r="T2628" s="198"/>
      <c r="U2628" s="198"/>
      <c r="V2628" s="198"/>
      <c r="W2628" s="198"/>
      <c r="X2628" s="198"/>
      <c r="Y2628" s="198"/>
      <c r="Z2628" s="198"/>
    </row>
    <row r="2629" spans="1:26" ht="15.75" hidden="1" customHeight="1" x14ac:dyDescent="0.25">
      <c r="A2629" s="213">
        <v>39803</v>
      </c>
      <c r="B2629" s="214" t="s">
        <v>11127</v>
      </c>
      <c r="C2629" s="215" t="s">
        <v>580</v>
      </c>
      <c r="D2629" s="216">
        <v>397.55</v>
      </c>
      <c r="E2629" s="198"/>
      <c r="F2629" s="198"/>
      <c r="G2629" s="198"/>
      <c r="H2629" s="198"/>
      <c r="I2629" s="198"/>
      <c r="J2629" s="198"/>
      <c r="K2629" s="198"/>
      <c r="L2629" s="198"/>
      <c r="M2629" s="198"/>
      <c r="N2629" s="198"/>
      <c r="O2629" s="198"/>
      <c r="P2629" s="198"/>
      <c r="Q2629" s="198"/>
      <c r="R2629" s="198"/>
      <c r="S2629" s="198"/>
      <c r="T2629" s="198"/>
      <c r="U2629" s="198"/>
      <c r="V2629" s="198"/>
      <c r="W2629" s="198"/>
      <c r="X2629" s="198"/>
      <c r="Y2629" s="198"/>
      <c r="Z2629" s="198"/>
    </row>
    <row r="2630" spans="1:26" ht="15.75" hidden="1" customHeight="1" x14ac:dyDescent="0.25">
      <c r="A2630" s="213">
        <v>39799</v>
      </c>
      <c r="B2630" s="214" t="s">
        <v>11128</v>
      </c>
      <c r="C2630" s="215" t="s">
        <v>580</v>
      </c>
      <c r="D2630" s="216">
        <v>67.930000000000007</v>
      </c>
      <c r="E2630" s="198"/>
      <c r="F2630" s="198"/>
      <c r="G2630" s="198"/>
      <c r="H2630" s="198"/>
      <c r="I2630" s="198"/>
      <c r="J2630" s="198"/>
      <c r="K2630" s="198"/>
      <c r="L2630" s="198"/>
      <c r="M2630" s="198"/>
      <c r="N2630" s="198"/>
      <c r="O2630" s="198"/>
      <c r="P2630" s="198"/>
      <c r="Q2630" s="198"/>
      <c r="R2630" s="198"/>
      <c r="S2630" s="198"/>
      <c r="T2630" s="198"/>
      <c r="U2630" s="198"/>
      <c r="V2630" s="198"/>
      <c r="W2630" s="198"/>
      <c r="X2630" s="198"/>
      <c r="Y2630" s="198"/>
      <c r="Z2630" s="198"/>
    </row>
    <row r="2631" spans="1:26" ht="15.75" hidden="1" customHeight="1" x14ac:dyDescent="0.25">
      <c r="A2631" s="213">
        <v>39800</v>
      </c>
      <c r="B2631" s="214" t="s">
        <v>11129</v>
      </c>
      <c r="C2631" s="215" t="s">
        <v>580</v>
      </c>
      <c r="D2631" s="216">
        <v>115.71</v>
      </c>
      <c r="E2631" s="198"/>
      <c r="F2631" s="198"/>
      <c r="G2631" s="198"/>
      <c r="H2631" s="198"/>
      <c r="I2631" s="198"/>
      <c r="J2631" s="198"/>
      <c r="K2631" s="198"/>
      <c r="L2631" s="198"/>
      <c r="M2631" s="198"/>
      <c r="N2631" s="198"/>
      <c r="O2631" s="198"/>
      <c r="P2631" s="198"/>
      <c r="Q2631" s="198"/>
      <c r="R2631" s="198"/>
      <c r="S2631" s="198"/>
      <c r="T2631" s="198"/>
      <c r="U2631" s="198"/>
      <c r="V2631" s="198"/>
      <c r="W2631" s="198"/>
      <c r="X2631" s="198"/>
      <c r="Y2631" s="198"/>
      <c r="Z2631" s="198"/>
    </row>
    <row r="2632" spans="1:26" ht="15.75" hidden="1" customHeight="1" x14ac:dyDescent="0.25">
      <c r="A2632" s="213">
        <v>43837</v>
      </c>
      <c r="B2632" s="214" t="s">
        <v>11130</v>
      </c>
      <c r="C2632" s="215" t="s">
        <v>580</v>
      </c>
      <c r="D2632" s="216">
        <v>1219.3399999999999</v>
      </c>
      <c r="E2632" s="198"/>
      <c r="F2632" s="198"/>
      <c r="G2632" s="198"/>
      <c r="H2632" s="198"/>
      <c r="I2632" s="198"/>
      <c r="J2632" s="198"/>
      <c r="K2632" s="198"/>
      <c r="L2632" s="198"/>
      <c r="M2632" s="198"/>
      <c r="N2632" s="198"/>
      <c r="O2632" s="198"/>
      <c r="P2632" s="198"/>
      <c r="Q2632" s="198"/>
      <c r="R2632" s="198"/>
      <c r="S2632" s="198"/>
      <c r="T2632" s="198"/>
      <c r="U2632" s="198"/>
      <c r="V2632" s="198"/>
      <c r="W2632" s="198"/>
      <c r="X2632" s="198"/>
      <c r="Y2632" s="198"/>
      <c r="Z2632" s="198"/>
    </row>
    <row r="2633" spans="1:26" ht="15.75" hidden="1" customHeight="1" x14ac:dyDescent="0.25">
      <c r="A2633" s="213">
        <v>43836</v>
      </c>
      <c r="B2633" s="214" t="s">
        <v>11131</v>
      </c>
      <c r="C2633" s="215" t="s">
        <v>580</v>
      </c>
      <c r="D2633" s="216">
        <v>2481.14</v>
      </c>
      <c r="E2633" s="198"/>
      <c r="F2633" s="198"/>
      <c r="G2633" s="198"/>
      <c r="H2633" s="198"/>
      <c r="I2633" s="198"/>
      <c r="J2633" s="198"/>
      <c r="K2633" s="198"/>
      <c r="L2633" s="198"/>
      <c r="M2633" s="198"/>
      <c r="N2633" s="198"/>
      <c r="O2633" s="198"/>
      <c r="P2633" s="198"/>
      <c r="Q2633" s="198"/>
      <c r="R2633" s="198"/>
      <c r="S2633" s="198"/>
      <c r="T2633" s="198"/>
      <c r="U2633" s="198"/>
      <c r="V2633" s="198"/>
      <c r="W2633" s="198"/>
      <c r="X2633" s="198"/>
      <c r="Y2633" s="198"/>
      <c r="Z2633" s="198"/>
    </row>
    <row r="2634" spans="1:26" ht="15.75" hidden="1" customHeight="1" x14ac:dyDescent="0.25">
      <c r="A2634" s="213">
        <v>21059</v>
      </c>
      <c r="B2634" s="214" t="s">
        <v>11132</v>
      </c>
      <c r="C2634" s="215" t="s">
        <v>580</v>
      </c>
      <c r="D2634" s="216">
        <v>65.680000000000007</v>
      </c>
      <c r="E2634" s="198"/>
      <c r="F2634" s="198"/>
      <c r="G2634" s="198"/>
      <c r="H2634" s="198"/>
      <c r="I2634" s="198"/>
      <c r="J2634" s="198"/>
      <c r="K2634" s="198"/>
      <c r="L2634" s="198"/>
      <c r="M2634" s="198"/>
      <c r="N2634" s="198"/>
      <c r="O2634" s="198"/>
      <c r="P2634" s="198"/>
      <c r="Q2634" s="198"/>
      <c r="R2634" s="198"/>
      <c r="S2634" s="198"/>
      <c r="T2634" s="198"/>
      <c r="U2634" s="198"/>
      <c r="V2634" s="198"/>
      <c r="W2634" s="198"/>
      <c r="X2634" s="198"/>
      <c r="Y2634" s="198"/>
      <c r="Z2634" s="198"/>
    </row>
    <row r="2635" spans="1:26" ht="15.75" hidden="1" customHeight="1" x14ac:dyDescent="0.25">
      <c r="A2635" s="213">
        <v>11234</v>
      </c>
      <c r="B2635" s="214" t="s">
        <v>11133</v>
      </c>
      <c r="C2635" s="215" t="s">
        <v>580</v>
      </c>
      <c r="D2635" s="216">
        <v>99</v>
      </c>
      <c r="E2635" s="198"/>
      <c r="F2635" s="198"/>
      <c r="G2635" s="198"/>
      <c r="H2635" s="198"/>
      <c r="I2635" s="198"/>
      <c r="J2635" s="198"/>
      <c r="K2635" s="198"/>
      <c r="L2635" s="198"/>
      <c r="M2635" s="198"/>
      <c r="N2635" s="198"/>
      <c r="O2635" s="198"/>
      <c r="P2635" s="198"/>
      <c r="Q2635" s="198"/>
      <c r="R2635" s="198"/>
      <c r="S2635" s="198"/>
      <c r="T2635" s="198"/>
      <c r="U2635" s="198"/>
      <c r="V2635" s="198"/>
      <c r="W2635" s="198"/>
      <c r="X2635" s="198"/>
      <c r="Y2635" s="198"/>
      <c r="Z2635" s="198"/>
    </row>
    <row r="2636" spans="1:26" ht="15.75" hidden="1" customHeight="1" x14ac:dyDescent="0.25">
      <c r="A2636" s="213">
        <v>21060</v>
      </c>
      <c r="B2636" s="214" t="s">
        <v>11134</v>
      </c>
      <c r="C2636" s="215" t="s">
        <v>580</v>
      </c>
      <c r="D2636" s="216">
        <v>121.84</v>
      </c>
      <c r="E2636" s="198"/>
      <c r="F2636" s="198"/>
      <c r="G2636" s="198"/>
      <c r="H2636" s="198"/>
      <c r="I2636" s="198"/>
      <c r="J2636" s="198"/>
      <c r="K2636" s="198"/>
      <c r="L2636" s="198"/>
      <c r="M2636" s="198"/>
      <c r="N2636" s="198"/>
      <c r="O2636" s="198"/>
      <c r="P2636" s="198"/>
      <c r="Q2636" s="198"/>
      <c r="R2636" s="198"/>
      <c r="S2636" s="198"/>
      <c r="T2636" s="198"/>
      <c r="U2636" s="198"/>
      <c r="V2636" s="198"/>
      <c r="W2636" s="198"/>
      <c r="X2636" s="198"/>
      <c r="Y2636" s="198"/>
      <c r="Z2636" s="198"/>
    </row>
    <row r="2637" spans="1:26" ht="15.75" hidden="1" customHeight="1" x14ac:dyDescent="0.25">
      <c r="A2637" s="213">
        <v>21061</v>
      </c>
      <c r="B2637" s="214" t="s">
        <v>11135</v>
      </c>
      <c r="C2637" s="215" t="s">
        <v>580</v>
      </c>
      <c r="D2637" s="216">
        <v>152.31</v>
      </c>
      <c r="E2637" s="198"/>
      <c r="F2637" s="198"/>
      <c r="G2637" s="198"/>
      <c r="H2637" s="198"/>
      <c r="I2637" s="198"/>
      <c r="J2637" s="198"/>
      <c r="K2637" s="198"/>
      <c r="L2637" s="198"/>
      <c r="M2637" s="198"/>
      <c r="N2637" s="198"/>
      <c r="O2637" s="198"/>
      <c r="P2637" s="198"/>
      <c r="Q2637" s="198"/>
      <c r="R2637" s="198"/>
      <c r="S2637" s="198"/>
      <c r="T2637" s="198"/>
      <c r="U2637" s="198"/>
      <c r="V2637" s="198"/>
      <c r="W2637" s="198"/>
      <c r="X2637" s="198"/>
      <c r="Y2637" s="198"/>
      <c r="Z2637" s="198"/>
    </row>
    <row r="2638" spans="1:26" ht="15.75" hidden="1" customHeight="1" x14ac:dyDescent="0.25">
      <c r="A2638" s="213">
        <v>21062</v>
      </c>
      <c r="B2638" s="214" t="s">
        <v>11136</v>
      </c>
      <c r="C2638" s="215" t="s">
        <v>580</v>
      </c>
      <c r="D2638" s="216">
        <v>239.88</v>
      </c>
      <c r="E2638" s="198"/>
      <c r="F2638" s="198"/>
      <c r="G2638" s="198"/>
      <c r="H2638" s="198"/>
      <c r="I2638" s="198"/>
      <c r="J2638" s="198"/>
      <c r="K2638" s="198"/>
      <c r="L2638" s="198"/>
      <c r="M2638" s="198"/>
      <c r="N2638" s="198"/>
      <c r="O2638" s="198"/>
      <c r="P2638" s="198"/>
      <c r="Q2638" s="198"/>
      <c r="R2638" s="198"/>
      <c r="S2638" s="198"/>
      <c r="T2638" s="198"/>
      <c r="U2638" s="198"/>
      <c r="V2638" s="198"/>
      <c r="W2638" s="198"/>
      <c r="X2638" s="198"/>
      <c r="Y2638" s="198"/>
      <c r="Z2638" s="198"/>
    </row>
    <row r="2639" spans="1:26" ht="15.75" hidden="1" customHeight="1" x14ac:dyDescent="0.25">
      <c r="A2639" s="213">
        <v>11708</v>
      </c>
      <c r="B2639" s="214" t="s">
        <v>11137</v>
      </c>
      <c r="C2639" s="215" t="s">
        <v>580</v>
      </c>
      <c r="D2639" s="216">
        <v>26.17</v>
      </c>
      <c r="E2639" s="198"/>
      <c r="F2639" s="198"/>
      <c r="G2639" s="198"/>
      <c r="H2639" s="198"/>
      <c r="I2639" s="198"/>
      <c r="J2639" s="198"/>
      <c r="K2639" s="198"/>
      <c r="L2639" s="198"/>
      <c r="M2639" s="198"/>
      <c r="N2639" s="198"/>
      <c r="O2639" s="198"/>
      <c r="P2639" s="198"/>
      <c r="Q2639" s="198"/>
      <c r="R2639" s="198"/>
      <c r="S2639" s="198"/>
      <c r="T2639" s="198"/>
      <c r="U2639" s="198"/>
      <c r="V2639" s="198"/>
      <c r="W2639" s="198"/>
      <c r="X2639" s="198"/>
      <c r="Y2639" s="198"/>
      <c r="Z2639" s="198"/>
    </row>
    <row r="2640" spans="1:26" ht="15.75" hidden="1" customHeight="1" x14ac:dyDescent="0.25">
      <c r="A2640" s="213">
        <v>11709</v>
      </c>
      <c r="B2640" s="214" t="s">
        <v>11138</v>
      </c>
      <c r="C2640" s="215" t="s">
        <v>580</v>
      </c>
      <c r="D2640" s="216">
        <v>61.49</v>
      </c>
      <c r="E2640" s="198"/>
      <c r="F2640" s="198"/>
      <c r="G2640" s="198"/>
      <c r="H2640" s="198"/>
      <c r="I2640" s="198"/>
      <c r="J2640" s="198"/>
      <c r="K2640" s="198"/>
      <c r="L2640" s="198"/>
      <c r="M2640" s="198"/>
      <c r="N2640" s="198"/>
      <c r="O2640" s="198"/>
      <c r="P2640" s="198"/>
      <c r="Q2640" s="198"/>
      <c r="R2640" s="198"/>
      <c r="S2640" s="198"/>
      <c r="T2640" s="198"/>
      <c r="U2640" s="198"/>
      <c r="V2640" s="198"/>
      <c r="W2640" s="198"/>
      <c r="X2640" s="198"/>
      <c r="Y2640" s="198"/>
      <c r="Z2640" s="198"/>
    </row>
    <row r="2641" spans="1:26" ht="15.75" hidden="1" customHeight="1" x14ac:dyDescent="0.25">
      <c r="A2641" s="213">
        <v>11710</v>
      </c>
      <c r="B2641" s="214" t="s">
        <v>11139</v>
      </c>
      <c r="C2641" s="215" t="s">
        <v>580</v>
      </c>
      <c r="D2641" s="216">
        <v>141.36000000000001</v>
      </c>
      <c r="E2641" s="198"/>
      <c r="F2641" s="198"/>
      <c r="G2641" s="198"/>
      <c r="H2641" s="198"/>
      <c r="I2641" s="198"/>
      <c r="J2641" s="198"/>
      <c r="K2641" s="198"/>
      <c r="L2641" s="198"/>
      <c r="M2641" s="198"/>
      <c r="N2641" s="198"/>
      <c r="O2641" s="198"/>
      <c r="P2641" s="198"/>
      <c r="Q2641" s="198"/>
      <c r="R2641" s="198"/>
      <c r="S2641" s="198"/>
      <c r="T2641" s="198"/>
      <c r="U2641" s="198"/>
      <c r="V2641" s="198"/>
      <c r="W2641" s="198"/>
      <c r="X2641" s="198"/>
      <c r="Y2641" s="198"/>
      <c r="Z2641" s="198"/>
    </row>
    <row r="2642" spans="1:26" ht="15.75" hidden="1" customHeight="1" x14ac:dyDescent="0.25">
      <c r="A2642" s="213">
        <v>11707</v>
      </c>
      <c r="B2642" s="214" t="s">
        <v>11140</v>
      </c>
      <c r="C2642" s="215" t="s">
        <v>580</v>
      </c>
      <c r="D2642" s="216">
        <v>19.600000000000001</v>
      </c>
      <c r="E2642" s="198"/>
      <c r="F2642" s="198"/>
      <c r="G2642" s="198"/>
      <c r="H2642" s="198"/>
      <c r="I2642" s="198"/>
      <c r="J2642" s="198"/>
      <c r="K2642" s="198"/>
      <c r="L2642" s="198"/>
      <c r="M2642" s="198"/>
      <c r="N2642" s="198"/>
      <c r="O2642" s="198"/>
      <c r="P2642" s="198"/>
      <c r="Q2642" s="198"/>
      <c r="R2642" s="198"/>
      <c r="S2642" s="198"/>
      <c r="T2642" s="198"/>
      <c r="U2642" s="198"/>
      <c r="V2642" s="198"/>
      <c r="W2642" s="198"/>
      <c r="X2642" s="198"/>
      <c r="Y2642" s="198"/>
      <c r="Z2642" s="198"/>
    </row>
    <row r="2643" spans="1:26" ht="15.75" hidden="1" customHeight="1" x14ac:dyDescent="0.25">
      <c r="A2643" s="213">
        <v>5102</v>
      </c>
      <c r="B2643" s="214" t="s">
        <v>11141</v>
      </c>
      <c r="C2643" s="215" t="s">
        <v>580</v>
      </c>
      <c r="D2643" s="216">
        <v>12.8</v>
      </c>
      <c r="E2643" s="198"/>
      <c r="F2643" s="198"/>
      <c r="G2643" s="198"/>
      <c r="H2643" s="198"/>
      <c r="I2643" s="198"/>
      <c r="J2643" s="198"/>
      <c r="K2643" s="198"/>
      <c r="L2643" s="198"/>
      <c r="M2643" s="198"/>
      <c r="N2643" s="198"/>
      <c r="O2643" s="198"/>
      <c r="P2643" s="198"/>
      <c r="Q2643" s="198"/>
      <c r="R2643" s="198"/>
      <c r="S2643" s="198"/>
      <c r="T2643" s="198"/>
      <c r="U2643" s="198"/>
      <c r="V2643" s="198"/>
      <c r="W2643" s="198"/>
      <c r="X2643" s="198"/>
      <c r="Y2643" s="198"/>
      <c r="Z2643" s="198"/>
    </row>
    <row r="2644" spans="1:26" ht="15.75" hidden="1" customHeight="1" x14ac:dyDescent="0.25">
      <c r="A2644" s="213">
        <v>11711</v>
      </c>
      <c r="B2644" s="214" t="s">
        <v>11142</v>
      </c>
      <c r="C2644" s="215" t="s">
        <v>580</v>
      </c>
      <c r="D2644" s="216">
        <v>10.66</v>
      </c>
      <c r="E2644" s="198"/>
      <c r="F2644" s="198"/>
      <c r="G2644" s="198"/>
      <c r="H2644" s="198"/>
      <c r="I2644" s="198"/>
      <c r="J2644" s="198"/>
      <c r="K2644" s="198"/>
      <c r="L2644" s="198"/>
      <c r="M2644" s="198"/>
      <c r="N2644" s="198"/>
      <c r="O2644" s="198"/>
      <c r="P2644" s="198"/>
      <c r="Q2644" s="198"/>
      <c r="R2644" s="198"/>
      <c r="S2644" s="198"/>
      <c r="T2644" s="198"/>
      <c r="U2644" s="198"/>
      <c r="V2644" s="198"/>
      <c r="W2644" s="198"/>
      <c r="X2644" s="198"/>
      <c r="Y2644" s="198"/>
      <c r="Z2644" s="198"/>
    </row>
    <row r="2645" spans="1:26" ht="15.75" hidden="1" customHeight="1" x14ac:dyDescent="0.25">
      <c r="A2645" s="213">
        <v>11739</v>
      </c>
      <c r="B2645" s="214" t="s">
        <v>11143</v>
      </c>
      <c r="C2645" s="215" t="s">
        <v>580</v>
      </c>
      <c r="D2645" s="216">
        <v>9.1199999999999992</v>
      </c>
      <c r="E2645" s="198"/>
      <c r="F2645" s="198"/>
      <c r="G2645" s="198"/>
      <c r="H2645" s="198"/>
      <c r="I2645" s="198"/>
      <c r="J2645" s="198"/>
      <c r="K2645" s="198"/>
      <c r="L2645" s="198"/>
      <c r="M2645" s="198"/>
      <c r="N2645" s="198"/>
      <c r="O2645" s="198"/>
      <c r="P2645" s="198"/>
      <c r="Q2645" s="198"/>
      <c r="R2645" s="198"/>
      <c r="S2645" s="198"/>
      <c r="T2645" s="198"/>
      <c r="U2645" s="198"/>
      <c r="V2645" s="198"/>
      <c r="W2645" s="198"/>
      <c r="X2645" s="198"/>
      <c r="Y2645" s="198"/>
      <c r="Z2645" s="198"/>
    </row>
    <row r="2646" spans="1:26" ht="15.75" hidden="1" customHeight="1" x14ac:dyDescent="0.25">
      <c r="A2646" s="213">
        <v>11741</v>
      </c>
      <c r="B2646" s="214" t="s">
        <v>11144</v>
      </c>
      <c r="C2646" s="215" t="s">
        <v>580</v>
      </c>
      <c r="D2646" s="216">
        <v>11.61</v>
      </c>
      <c r="E2646" s="198"/>
      <c r="F2646" s="198"/>
      <c r="G2646" s="198"/>
      <c r="H2646" s="198"/>
      <c r="I2646" s="198"/>
      <c r="J2646" s="198"/>
      <c r="K2646" s="198"/>
      <c r="L2646" s="198"/>
      <c r="M2646" s="198"/>
      <c r="N2646" s="198"/>
      <c r="O2646" s="198"/>
      <c r="P2646" s="198"/>
      <c r="Q2646" s="198"/>
      <c r="R2646" s="198"/>
      <c r="S2646" s="198"/>
      <c r="T2646" s="198"/>
      <c r="U2646" s="198"/>
      <c r="V2646" s="198"/>
      <c r="W2646" s="198"/>
      <c r="X2646" s="198"/>
      <c r="Y2646" s="198"/>
      <c r="Z2646" s="198"/>
    </row>
    <row r="2647" spans="1:26" ht="15.75" hidden="1" customHeight="1" x14ac:dyDescent="0.25">
      <c r="A2647" s="213">
        <v>11745</v>
      </c>
      <c r="B2647" s="214" t="s">
        <v>11145</v>
      </c>
      <c r="C2647" s="215" t="s">
        <v>580</v>
      </c>
      <c r="D2647" s="216">
        <v>15.3</v>
      </c>
      <c r="E2647" s="198"/>
      <c r="F2647" s="198"/>
      <c r="G2647" s="198"/>
      <c r="H2647" s="198"/>
      <c r="I2647" s="198"/>
      <c r="J2647" s="198"/>
      <c r="K2647" s="198"/>
      <c r="L2647" s="198"/>
      <c r="M2647" s="198"/>
      <c r="N2647" s="198"/>
      <c r="O2647" s="198"/>
      <c r="P2647" s="198"/>
      <c r="Q2647" s="198"/>
      <c r="R2647" s="198"/>
      <c r="S2647" s="198"/>
      <c r="T2647" s="198"/>
      <c r="U2647" s="198"/>
      <c r="V2647" s="198"/>
      <c r="W2647" s="198"/>
      <c r="X2647" s="198"/>
      <c r="Y2647" s="198"/>
      <c r="Z2647" s="198"/>
    </row>
    <row r="2648" spans="1:26" ht="15.75" hidden="1" customHeight="1" x14ac:dyDescent="0.25">
      <c r="A2648" s="213">
        <v>11743</v>
      </c>
      <c r="B2648" s="214" t="s">
        <v>11146</v>
      </c>
      <c r="C2648" s="215" t="s">
        <v>580</v>
      </c>
      <c r="D2648" s="216">
        <v>9.75</v>
      </c>
      <c r="E2648" s="198"/>
      <c r="F2648" s="198"/>
      <c r="G2648" s="198"/>
      <c r="H2648" s="198"/>
      <c r="I2648" s="198"/>
      <c r="J2648" s="198"/>
      <c r="K2648" s="198"/>
      <c r="L2648" s="198"/>
      <c r="M2648" s="198"/>
      <c r="N2648" s="198"/>
      <c r="O2648" s="198"/>
      <c r="P2648" s="198"/>
      <c r="Q2648" s="198"/>
      <c r="R2648" s="198"/>
      <c r="S2648" s="198"/>
      <c r="T2648" s="198"/>
      <c r="U2648" s="198"/>
      <c r="V2648" s="198"/>
      <c r="W2648" s="198"/>
      <c r="X2648" s="198"/>
      <c r="Y2648" s="198"/>
      <c r="Z2648" s="198"/>
    </row>
    <row r="2649" spans="1:26" ht="15.75" hidden="1" customHeight="1" x14ac:dyDescent="0.25">
      <c r="A2649" s="213">
        <v>5104</v>
      </c>
      <c r="B2649" s="214" t="s">
        <v>11147</v>
      </c>
      <c r="C2649" s="215" t="s">
        <v>823</v>
      </c>
      <c r="D2649" s="216">
        <v>93.93</v>
      </c>
      <c r="E2649" s="198"/>
      <c r="F2649" s="198"/>
      <c r="G2649" s="198"/>
      <c r="H2649" s="198"/>
      <c r="I2649" s="198"/>
      <c r="J2649" s="198"/>
      <c r="K2649" s="198"/>
      <c r="L2649" s="198"/>
      <c r="M2649" s="198"/>
      <c r="N2649" s="198"/>
      <c r="O2649" s="198"/>
      <c r="P2649" s="198"/>
      <c r="Q2649" s="198"/>
      <c r="R2649" s="198"/>
      <c r="S2649" s="198"/>
      <c r="T2649" s="198"/>
      <c r="U2649" s="198"/>
      <c r="V2649" s="198"/>
      <c r="W2649" s="198"/>
      <c r="X2649" s="198"/>
      <c r="Y2649" s="198"/>
      <c r="Z2649" s="198"/>
    </row>
    <row r="2650" spans="1:26" ht="15.75" hidden="1" customHeight="1" x14ac:dyDescent="0.25">
      <c r="A2650" s="213">
        <v>44530</v>
      </c>
      <c r="B2650" s="214" t="s">
        <v>11148</v>
      </c>
      <c r="C2650" s="215" t="s">
        <v>580</v>
      </c>
      <c r="D2650" s="216">
        <v>49.63</v>
      </c>
      <c r="E2650" s="198"/>
      <c r="F2650" s="198"/>
      <c r="G2650" s="198"/>
      <c r="H2650" s="198"/>
      <c r="I2650" s="198"/>
      <c r="J2650" s="198"/>
      <c r="K2650" s="198"/>
      <c r="L2650" s="198"/>
      <c r="M2650" s="198"/>
      <c r="N2650" s="198"/>
      <c r="O2650" s="198"/>
      <c r="P2650" s="198"/>
      <c r="Q2650" s="198"/>
      <c r="R2650" s="198"/>
      <c r="S2650" s="198"/>
      <c r="T2650" s="198"/>
      <c r="U2650" s="198"/>
      <c r="V2650" s="198"/>
      <c r="W2650" s="198"/>
      <c r="X2650" s="198"/>
      <c r="Y2650" s="198"/>
      <c r="Z2650" s="198"/>
    </row>
    <row r="2651" spans="1:26" ht="15.75" hidden="1" customHeight="1" x14ac:dyDescent="0.25">
      <c r="A2651" s="213">
        <v>2710</v>
      </c>
      <c r="B2651" s="214" t="s">
        <v>11149</v>
      </c>
      <c r="C2651" s="215" t="s">
        <v>580</v>
      </c>
      <c r="D2651" s="216">
        <v>39.64</v>
      </c>
      <c r="E2651" s="198"/>
      <c r="F2651" s="198"/>
      <c r="G2651" s="198"/>
      <c r="H2651" s="198"/>
      <c r="I2651" s="198"/>
      <c r="J2651" s="198"/>
      <c r="K2651" s="198"/>
      <c r="L2651" s="198"/>
      <c r="M2651" s="198"/>
      <c r="N2651" s="198"/>
      <c r="O2651" s="198"/>
      <c r="P2651" s="198"/>
      <c r="Q2651" s="198"/>
      <c r="R2651" s="198"/>
      <c r="S2651" s="198"/>
      <c r="T2651" s="198"/>
      <c r="U2651" s="198"/>
      <c r="V2651" s="198"/>
      <c r="W2651" s="198"/>
      <c r="X2651" s="198"/>
      <c r="Y2651" s="198"/>
      <c r="Z2651" s="198"/>
    </row>
    <row r="2652" spans="1:26" ht="15.75" hidden="1" customHeight="1" x14ac:dyDescent="0.25">
      <c r="A2652" s="213">
        <v>20043</v>
      </c>
      <c r="B2652" s="214" t="s">
        <v>11150</v>
      </c>
      <c r="C2652" s="215" t="s">
        <v>580</v>
      </c>
      <c r="D2652" s="216">
        <v>8.65</v>
      </c>
      <c r="E2652" s="198"/>
      <c r="F2652" s="198"/>
      <c r="G2652" s="198"/>
      <c r="H2652" s="198"/>
      <c r="I2652" s="198"/>
      <c r="J2652" s="198"/>
      <c r="K2652" s="198"/>
      <c r="L2652" s="198"/>
      <c r="M2652" s="198"/>
      <c r="N2652" s="198"/>
      <c r="O2652" s="198"/>
      <c r="P2652" s="198"/>
      <c r="Q2652" s="198"/>
      <c r="R2652" s="198"/>
      <c r="S2652" s="198"/>
      <c r="T2652" s="198"/>
      <c r="U2652" s="198"/>
      <c r="V2652" s="198"/>
      <c r="W2652" s="198"/>
      <c r="X2652" s="198"/>
      <c r="Y2652" s="198"/>
      <c r="Z2652" s="198"/>
    </row>
    <row r="2653" spans="1:26" ht="15.75" hidden="1" customHeight="1" x14ac:dyDescent="0.25">
      <c r="A2653" s="213">
        <v>20044</v>
      </c>
      <c r="B2653" s="214" t="s">
        <v>11151</v>
      </c>
      <c r="C2653" s="215" t="s">
        <v>580</v>
      </c>
      <c r="D2653" s="216">
        <v>10.029999999999999</v>
      </c>
      <c r="E2653" s="198"/>
      <c r="F2653" s="198"/>
      <c r="G2653" s="198"/>
      <c r="H2653" s="198"/>
      <c r="I2653" s="198"/>
      <c r="J2653" s="198"/>
      <c r="K2653" s="198"/>
      <c r="L2653" s="198"/>
      <c r="M2653" s="198"/>
      <c r="N2653" s="198"/>
      <c r="O2653" s="198"/>
      <c r="P2653" s="198"/>
      <c r="Q2653" s="198"/>
      <c r="R2653" s="198"/>
      <c r="S2653" s="198"/>
      <c r="T2653" s="198"/>
      <c r="U2653" s="198"/>
      <c r="V2653" s="198"/>
      <c r="W2653" s="198"/>
      <c r="X2653" s="198"/>
      <c r="Y2653" s="198"/>
      <c r="Z2653" s="198"/>
    </row>
    <row r="2654" spans="1:26" ht="15.75" hidden="1" customHeight="1" x14ac:dyDescent="0.25">
      <c r="A2654" s="213">
        <v>20042</v>
      </c>
      <c r="B2654" s="214" t="s">
        <v>11152</v>
      </c>
      <c r="C2654" s="215" t="s">
        <v>580</v>
      </c>
      <c r="D2654" s="216">
        <v>7.5</v>
      </c>
      <c r="E2654" s="198"/>
      <c r="F2654" s="198"/>
      <c r="G2654" s="198"/>
      <c r="H2654" s="198"/>
      <c r="I2654" s="198"/>
      <c r="J2654" s="198"/>
      <c r="K2654" s="198"/>
      <c r="L2654" s="198"/>
      <c r="M2654" s="198"/>
      <c r="N2654" s="198"/>
      <c r="O2654" s="198"/>
      <c r="P2654" s="198"/>
      <c r="Q2654" s="198"/>
      <c r="R2654" s="198"/>
      <c r="S2654" s="198"/>
      <c r="T2654" s="198"/>
      <c r="U2654" s="198"/>
      <c r="V2654" s="198"/>
      <c r="W2654" s="198"/>
      <c r="X2654" s="198"/>
      <c r="Y2654" s="198"/>
      <c r="Z2654" s="198"/>
    </row>
    <row r="2655" spans="1:26" ht="15.75" hidden="1" customHeight="1" x14ac:dyDescent="0.25">
      <c r="A2655" s="213">
        <v>20046</v>
      </c>
      <c r="B2655" s="214" t="s">
        <v>11153</v>
      </c>
      <c r="C2655" s="215" t="s">
        <v>580</v>
      </c>
      <c r="D2655" s="216">
        <v>17.760000000000002</v>
      </c>
      <c r="E2655" s="198"/>
      <c r="F2655" s="198"/>
      <c r="G2655" s="198"/>
      <c r="H2655" s="198"/>
      <c r="I2655" s="198"/>
      <c r="J2655" s="198"/>
      <c r="K2655" s="198"/>
      <c r="L2655" s="198"/>
      <c r="M2655" s="198"/>
      <c r="N2655" s="198"/>
      <c r="O2655" s="198"/>
      <c r="P2655" s="198"/>
      <c r="Q2655" s="198"/>
      <c r="R2655" s="198"/>
      <c r="S2655" s="198"/>
      <c r="T2655" s="198"/>
      <c r="U2655" s="198"/>
      <c r="V2655" s="198"/>
      <c r="W2655" s="198"/>
      <c r="X2655" s="198"/>
      <c r="Y2655" s="198"/>
      <c r="Z2655" s="198"/>
    </row>
    <row r="2656" spans="1:26" ht="15.75" hidden="1" customHeight="1" x14ac:dyDescent="0.25">
      <c r="A2656" s="213">
        <v>20047</v>
      </c>
      <c r="B2656" s="214" t="s">
        <v>11154</v>
      </c>
      <c r="C2656" s="215" t="s">
        <v>580</v>
      </c>
      <c r="D2656" s="216">
        <v>53.27</v>
      </c>
      <c r="E2656" s="198"/>
      <c r="F2656" s="198"/>
      <c r="G2656" s="198"/>
      <c r="H2656" s="198"/>
      <c r="I2656" s="198"/>
      <c r="J2656" s="198"/>
      <c r="K2656" s="198"/>
      <c r="L2656" s="198"/>
      <c r="M2656" s="198"/>
      <c r="N2656" s="198"/>
      <c r="O2656" s="198"/>
      <c r="P2656" s="198"/>
      <c r="Q2656" s="198"/>
      <c r="R2656" s="198"/>
      <c r="S2656" s="198"/>
      <c r="T2656" s="198"/>
      <c r="U2656" s="198"/>
      <c r="V2656" s="198"/>
      <c r="W2656" s="198"/>
      <c r="X2656" s="198"/>
      <c r="Y2656" s="198"/>
      <c r="Z2656" s="198"/>
    </row>
    <row r="2657" spans="1:26" ht="15.75" hidden="1" customHeight="1" x14ac:dyDescent="0.25">
      <c r="A2657" s="213">
        <v>20045</v>
      </c>
      <c r="B2657" s="214" t="s">
        <v>11155</v>
      </c>
      <c r="C2657" s="215" t="s">
        <v>580</v>
      </c>
      <c r="D2657" s="216">
        <v>8.99</v>
      </c>
      <c r="E2657" s="198"/>
      <c r="F2657" s="198"/>
      <c r="G2657" s="198"/>
      <c r="H2657" s="198"/>
      <c r="I2657" s="198"/>
      <c r="J2657" s="198"/>
      <c r="K2657" s="198"/>
      <c r="L2657" s="198"/>
      <c r="M2657" s="198"/>
      <c r="N2657" s="198"/>
      <c r="O2657" s="198"/>
      <c r="P2657" s="198"/>
      <c r="Q2657" s="198"/>
      <c r="R2657" s="198"/>
      <c r="S2657" s="198"/>
      <c r="T2657" s="198"/>
      <c r="U2657" s="198"/>
      <c r="V2657" s="198"/>
      <c r="W2657" s="198"/>
      <c r="X2657" s="198"/>
      <c r="Y2657" s="198"/>
      <c r="Z2657" s="198"/>
    </row>
    <row r="2658" spans="1:26" ht="15.75" hidden="1" customHeight="1" x14ac:dyDescent="0.25">
      <c r="A2658" s="213">
        <v>20972</v>
      </c>
      <c r="B2658" s="214" t="s">
        <v>11156</v>
      </c>
      <c r="C2658" s="215" t="s">
        <v>580</v>
      </c>
      <c r="D2658" s="216">
        <v>199.99</v>
      </c>
      <c r="E2658" s="198"/>
      <c r="F2658" s="198"/>
      <c r="G2658" s="198"/>
      <c r="H2658" s="198"/>
      <c r="I2658" s="198"/>
      <c r="J2658" s="198"/>
      <c r="K2658" s="198"/>
      <c r="L2658" s="198"/>
      <c r="M2658" s="198"/>
      <c r="N2658" s="198"/>
      <c r="O2658" s="198"/>
      <c r="P2658" s="198"/>
      <c r="Q2658" s="198"/>
      <c r="R2658" s="198"/>
      <c r="S2658" s="198"/>
      <c r="T2658" s="198"/>
      <c r="U2658" s="198"/>
      <c r="V2658" s="198"/>
      <c r="W2658" s="198"/>
      <c r="X2658" s="198"/>
      <c r="Y2658" s="198"/>
      <c r="Z2658" s="198"/>
    </row>
    <row r="2659" spans="1:26" ht="15.75" hidden="1" customHeight="1" x14ac:dyDescent="0.25">
      <c r="A2659" s="213">
        <v>6034</v>
      </c>
      <c r="B2659" s="214" t="s">
        <v>11157</v>
      </c>
      <c r="C2659" s="215" t="s">
        <v>580</v>
      </c>
      <c r="D2659" s="216">
        <v>13.34</v>
      </c>
      <c r="E2659" s="198"/>
      <c r="F2659" s="198"/>
      <c r="G2659" s="198"/>
      <c r="H2659" s="198"/>
      <c r="I2659" s="198"/>
      <c r="J2659" s="198"/>
      <c r="K2659" s="198"/>
      <c r="L2659" s="198"/>
      <c r="M2659" s="198"/>
      <c r="N2659" s="198"/>
      <c r="O2659" s="198"/>
      <c r="P2659" s="198"/>
      <c r="Q2659" s="198"/>
      <c r="R2659" s="198"/>
      <c r="S2659" s="198"/>
      <c r="T2659" s="198"/>
      <c r="U2659" s="198"/>
      <c r="V2659" s="198"/>
      <c r="W2659" s="198"/>
      <c r="X2659" s="198"/>
      <c r="Y2659" s="198"/>
      <c r="Z2659" s="198"/>
    </row>
    <row r="2660" spans="1:26" ht="15.75" hidden="1" customHeight="1" x14ac:dyDescent="0.25">
      <c r="A2660" s="213">
        <v>6036</v>
      </c>
      <c r="B2660" s="214" t="s">
        <v>11158</v>
      </c>
      <c r="C2660" s="215" t="s">
        <v>580</v>
      </c>
      <c r="D2660" s="216">
        <v>18.170000000000002</v>
      </c>
      <c r="E2660" s="198"/>
      <c r="F2660" s="198"/>
      <c r="G2660" s="198"/>
      <c r="H2660" s="198"/>
      <c r="I2660" s="198"/>
      <c r="J2660" s="198"/>
      <c r="K2660" s="198"/>
      <c r="L2660" s="198"/>
      <c r="M2660" s="198"/>
      <c r="N2660" s="198"/>
      <c r="O2660" s="198"/>
      <c r="P2660" s="198"/>
      <c r="Q2660" s="198"/>
      <c r="R2660" s="198"/>
      <c r="S2660" s="198"/>
      <c r="T2660" s="198"/>
      <c r="U2660" s="198"/>
      <c r="V2660" s="198"/>
      <c r="W2660" s="198"/>
      <c r="X2660" s="198"/>
      <c r="Y2660" s="198"/>
      <c r="Z2660" s="198"/>
    </row>
    <row r="2661" spans="1:26" ht="15.75" hidden="1" customHeight="1" x14ac:dyDescent="0.25">
      <c r="A2661" s="213">
        <v>6031</v>
      </c>
      <c r="B2661" s="214" t="s">
        <v>11159</v>
      </c>
      <c r="C2661" s="215" t="s">
        <v>580</v>
      </c>
      <c r="D2661" s="216">
        <v>21.35</v>
      </c>
      <c r="E2661" s="198"/>
      <c r="F2661" s="198"/>
      <c r="G2661" s="198"/>
      <c r="H2661" s="198"/>
      <c r="I2661" s="198"/>
      <c r="J2661" s="198"/>
      <c r="K2661" s="198"/>
      <c r="L2661" s="198"/>
      <c r="M2661" s="198"/>
      <c r="N2661" s="198"/>
      <c r="O2661" s="198"/>
      <c r="P2661" s="198"/>
      <c r="Q2661" s="198"/>
      <c r="R2661" s="198"/>
      <c r="S2661" s="198"/>
      <c r="T2661" s="198"/>
      <c r="U2661" s="198"/>
      <c r="V2661" s="198"/>
      <c r="W2661" s="198"/>
      <c r="X2661" s="198"/>
      <c r="Y2661" s="198"/>
      <c r="Z2661" s="198"/>
    </row>
    <row r="2662" spans="1:26" ht="15.75" hidden="1" customHeight="1" x14ac:dyDescent="0.25">
      <c r="A2662" s="213">
        <v>6029</v>
      </c>
      <c r="B2662" s="214" t="s">
        <v>11160</v>
      </c>
      <c r="C2662" s="215" t="s">
        <v>580</v>
      </c>
      <c r="D2662" s="216">
        <v>21.57</v>
      </c>
      <c r="E2662" s="198"/>
      <c r="F2662" s="198"/>
      <c r="G2662" s="198"/>
      <c r="H2662" s="198"/>
      <c r="I2662" s="198"/>
      <c r="J2662" s="198"/>
      <c r="K2662" s="198"/>
      <c r="L2662" s="198"/>
      <c r="M2662" s="198"/>
      <c r="N2662" s="198"/>
      <c r="O2662" s="198"/>
      <c r="P2662" s="198"/>
      <c r="Q2662" s="198"/>
      <c r="R2662" s="198"/>
      <c r="S2662" s="198"/>
      <c r="T2662" s="198"/>
      <c r="U2662" s="198"/>
      <c r="V2662" s="198"/>
      <c r="W2662" s="198"/>
      <c r="X2662" s="198"/>
      <c r="Y2662" s="198"/>
      <c r="Z2662" s="198"/>
    </row>
    <row r="2663" spans="1:26" ht="15.75" hidden="1" customHeight="1" x14ac:dyDescent="0.25">
      <c r="A2663" s="213">
        <v>6033</v>
      </c>
      <c r="B2663" s="214" t="s">
        <v>11161</v>
      </c>
      <c r="C2663" s="215" t="s">
        <v>580</v>
      </c>
      <c r="D2663" s="216">
        <v>28.44</v>
      </c>
      <c r="E2663" s="198"/>
      <c r="F2663" s="198"/>
      <c r="G2663" s="198"/>
      <c r="H2663" s="198"/>
      <c r="I2663" s="198"/>
      <c r="J2663" s="198"/>
      <c r="K2663" s="198"/>
      <c r="L2663" s="198"/>
      <c r="M2663" s="198"/>
      <c r="N2663" s="198"/>
      <c r="O2663" s="198"/>
      <c r="P2663" s="198"/>
      <c r="Q2663" s="198"/>
      <c r="R2663" s="198"/>
      <c r="S2663" s="198"/>
      <c r="T2663" s="198"/>
      <c r="U2663" s="198"/>
      <c r="V2663" s="198"/>
      <c r="W2663" s="198"/>
      <c r="X2663" s="198"/>
      <c r="Y2663" s="198"/>
      <c r="Z2663" s="198"/>
    </row>
    <row r="2664" spans="1:26" ht="15.75" hidden="1" customHeight="1" x14ac:dyDescent="0.25">
      <c r="A2664" s="213">
        <v>11672</v>
      </c>
      <c r="B2664" s="214" t="s">
        <v>11162</v>
      </c>
      <c r="C2664" s="215" t="s">
        <v>580</v>
      </c>
      <c r="D2664" s="216">
        <v>61.86</v>
      </c>
      <c r="E2664" s="198"/>
      <c r="F2664" s="198"/>
      <c r="G2664" s="198"/>
      <c r="H2664" s="198"/>
      <c r="I2664" s="198"/>
      <c r="J2664" s="198"/>
      <c r="K2664" s="198"/>
      <c r="L2664" s="198"/>
      <c r="M2664" s="198"/>
      <c r="N2664" s="198"/>
      <c r="O2664" s="198"/>
      <c r="P2664" s="198"/>
      <c r="Q2664" s="198"/>
      <c r="R2664" s="198"/>
      <c r="S2664" s="198"/>
      <c r="T2664" s="198"/>
      <c r="U2664" s="198"/>
      <c r="V2664" s="198"/>
      <c r="W2664" s="198"/>
      <c r="X2664" s="198"/>
      <c r="Y2664" s="198"/>
      <c r="Z2664" s="198"/>
    </row>
    <row r="2665" spans="1:26" ht="15.75" hidden="1" customHeight="1" x14ac:dyDescent="0.25">
      <c r="A2665" s="213">
        <v>11669</v>
      </c>
      <c r="B2665" s="214" t="s">
        <v>11163</v>
      </c>
      <c r="C2665" s="215" t="s">
        <v>580</v>
      </c>
      <c r="D2665" s="216">
        <v>58.91</v>
      </c>
      <c r="E2665" s="198"/>
      <c r="F2665" s="198"/>
      <c r="G2665" s="198"/>
      <c r="H2665" s="198"/>
      <c r="I2665" s="198"/>
      <c r="J2665" s="198"/>
      <c r="K2665" s="198"/>
      <c r="L2665" s="198"/>
      <c r="M2665" s="198"/>
      <c r="N2665" s="198"/>
      <c r="O2665" s="198"/>
      <c r="P2665" s="198"/>
      <c r="Q2665" s="198"/>
      <c r="R2665" s="198"/>
      <c r="S2665" s="198"/>
      <c r="T2665" s="198"/>
      <c r="U2665" s="198"/>
      <c r="V2665" s="198"/>
      <c r="W2665" s="198"/>
      <c r="X2665" s="198"/>
      <c r="Y2665" s="198"/>
      <c r="Z2665" s="198"/>
    </row>
    <row r="2666" spans="1:26" ht="15.75" hidden="1" customHeight="1" x14ac:dyDescent="0.25">
      <c r="A2666" s="213">
        <v>20055</v>
      </c>
      <c r="B2666" s="214" t="s">
        <v>11164</v>
      </c>
      <c r="C2666" s="215" t="s">
        <v>580</v>
      </c>
      <c r="D2666" s="216">
        <v>44.12</v>
      </c>
      <c r="E2666" s="198"/>
      <c r="F2666" s="198"/>
      <c r="G2666" s="198"/>
      <c r="H2666" s="198"/>
      <c r="I2666" s="198"/>
      <c r="J2666" s="198"/>
      <c r="K2666" s="198"/>
      <c r="L2666" s="198"/>
      <c r="M2666" s="198"/>
      <c r="N2666" s="198"/>
      <c r="O2666" s="198"/>
      <c r="P2666" s="198"/>
      <c r="Q2666" s="198"/>
      <c r="R2666" s="198"/>
      <c r="S2666" s="198"/>
      <c r="T2666" s="198"/>
      <c r="U2666" s="198"/>
      <c r="V2666" s="198"/>
      <c r="W2666" s="198"/>
      <c r="X2666" s="198"/>
      <c r="Y2666" s="198"/>
      <c r="Z2666" s="198"/>
    </row>
    <row r="2667" spans="1:26" ht="15.75" hidden="1" customHeight="1" x14ac:dyDescent="0.25">
      <c r="A2667" s="213">
        <v>11670</v>
      </c>
      <c r="B2667" s="214" t="s">
        <v>11165</v>
      </c>
      <c r="C2667" s="215" t="s">
        <v>580</v>
      </c>
      <c r="D2667" s="216">
        <v>22.57</v>
      </c>
      <c r="E2667" s="198"/>
      <c r="F2667" s="198"/>
      <c r="G2667" s="198"/>
      <c r="H2667" s="198"/>
      <c r="I2667" s="198"/>
      <c r="J2667" s="198"/>
      <c r="K2667" s="198"/>
      <c r="L2667" s="198"/>
      <c r="M2667" s="198"/>
      <c r="N2667" s="198"/>
      <c r="O2667" s="198"/>
      <c r="P2667" s="198"/>
      <c r="Q2667" s="198"/>
      <c r="R2667" s="198"/>
      <c r="S2667" s="198"/>
      <c r="T2667" s="198"/>
      <c r="U2667" s="198"/>
      <c r="V2667" s="198"/>
      <c r="W2667" s="198"/>
      <c r="X2667" s="198"/>
      <c r="Y2667" s="198"/>
      <c r="Z2667" s="198"/>
    </row>
    <row r="2668" spans="1:26" ht="15.75" hidden="1" customHeight="1" x14ac:dyDescent="0.25">
      <c r="A2668" s="213">
        <v>11671</v>
      </c>
      <c r="B2668" s="214" t="s">
        <v>11166</v>
      </c>
      <c r="C2668" s="215" t="s">
        <v>580</v>
      </c>
      <c r="D2668" s="216">
        <v>94.67</v>
      </c>
      <c r="E2668" s="198"/>
      <c r="F2668" s="198"/>
      <c r="G2668" s="198"/>
      <c r="H2668" s="198"/>
      <c r="I2668" s="198"/>
      <c r="J2668" s="198"/>
      <c r="K2668" s="198"/>
      <c r="L2668" s="198"/>
      <c r="M2668" s="198"/>
      <c r="N2668" s="198"/>
      <c r="O2668" s="198"/>
      <c r="P2668" s="198"/>
      <c r="Q2668" s="198"/>
      <c r="R2668" s="198"/>
      <c r="S2668" s="198"/>
      <c r="T2668" s="198"/>
      <c r="U2668" s="198"/>
      <c r="V2668" s="198"/>
      <c r="W2668" s="198"/>
      <c r="X2668" s="198"/>
      <c r="Y2668" s="198"/>
      <c r="Z2668" s="198"/>
    </row>
    <row r="2669" spans="1:26" ht="15.75" hidden="1" customHeight="1" x14ac:dyDescent="0.25">
      <c r="A2669" s="213">
        <v>6032</v>
      </c>
      <c r="B2669" s="214" t="s">
        <v>11167</v>
      </c>
      <c r="C2669" s="215" t="s">
        <v>580</v>
      </c>
      <c r="D2669" s="216">
        <v>27.04</v>
      </c>
      <c r="E2669" s="198"/>
      <c r="F2669" s="198"/>
      <c r="G2669" s="198"/>
      <c r="H2669" s="198"/>
      <c r="I2669" s="198"/>
      <c r="J2669" s="198"/>
      <c r="K2669" s="198"/>
      <c r="L2669" s="198"/>
      <c r="M2669" s="198"/>
      <c r="N2669" s="198"/>
      <c r="O2669" s="198"/>
      <c r="P2669" s="198"/>
      <c r="Q2669" s="198"/>
      <c r="R2669" s="198"/>
      <c r="S2669" s="198"/>
      <c r="T2669" s="198"/>
      <c r="U2669" s="198"/>
      <c r="V2669" s="198"/>
      <c r="W2669" s="198"/>
      <c r="X2669" s="198"/>
      <c r="Y2669" s="198"/>
      <c r="Z2669" s="198"/>
    </row>
    <row r="2670" spans="1:26" ht="15.75" hidden="1" customHeight="1" x14ac:dyDescent="0.25">
      <c r="A2670" s="213">
        <v>11673</v>
      </c>
      <c r="B2670" s="214" t="s">
        <v>11168</v>
      </c>
      <c r="C2670" s="215" t="s">
        <v>580</v>
      </c>
      <c r="D2670" s="216">
        <v>21.29</v>
      </c>
      <c r="E2670" s="198"/>
      <c r="F2670" s="198"/>
      <c r="G2670" s="198"/>
      <c r="H2670" s="198"/>
      <c r="I2670" s="198"/>
      <c r="J2670" s="198"/>
      <c r="K2670" s="198"/>
      <c r="L2670" s="198"/>
      <c r="M2670" s="198"/>
      <c r="N2670" s="198"/>
      <c r="O2670" s="198"/>
      <c r="P2670" s="198"/>
      <c r="Q2670" s="198"/>
      <c r="R2670" s="198"/>
      <c r="S2670" s="198"/>
      <c r="T2670" s="198"/>
      <c r="U2670" s="198"/>
      <c r="V2670" s="198"/>
      <c r="W2670" s="198"/>
      <c r="X2670" s="198"/>
      <c r="Y2670" s="198"/>
      <c r="Z2670" s="198"/>
    </row>
    <row r="2671" spans="1:26" ht="15.75" hidden="1" customHeight="1" x14ac:dyDescent="0.25">
      <c r="A2671" s="213">
        <v>11674</v>
      </c>
      <c r="B2671" s="214" t="s">
        <v>11169</v>
      </c>
      <c r="C2671" s="215" t="s">
        <v>580</v>
      </c>
      <c r="D2671" s="216">
        <v>27.42</v>
      </c>
      <c r="E2671" s="198"/>
      <c r="F2671" s="198"/>
      <c r="G2671" s="198"/>
      <c r="H2671" s="198"/>
      <c r="I2671" s="198"/>
      <c r="J2671" s="198"/>
      <c r="K2671" s="198"/>
      <c r="L2671" s="198"/>
      <c r="M2671" s="198"/>
      <c r="N2671" s="198"/>
      <c r="O2671" s="198"/>
      <c r="P2671" s="198"/>
      <c r="Q2671" s="198"/>
      <c r="R2671" s="198"/>
      <c r="S2671" s="198"/>
      <c r="T2671" s="198"/>
      <c r="U2671" s="198"/>
      <c r="V2671" s="198"/>
      <c r="W2671" s="198"/>
      <c r="X2671" s="198"/>
      <c r="Y2671" s="198"/>
      <c r="Z2671" s="198"/>
    </row>
    <row r="2672" spans="1:26" ht="15.75" hidden="1" customHeight="1" x14ac:dyDescent="0.25">
      <c r="A2672" s="213">
        <v>11675</v>
      </c>
      <c r="B2672" s="214" t="s">
        <v>11170</v>
      </c>
      <c r="C2672" s="215" t="s">
        <v>580</v>
      </c>
      <c r="D2672" s="216">
        <v>43.53</v>
      </c>
      <c r="E2672" s="198"/>
      <c r="F2672" s="198"/>
      <c r="G2672" s="198"/>
      <c r="H2672" s="198"/>
      <c r="I2672" s="198"/>
      <c r="J2672" s="198"/>
      <c r="K2672" s="198"/>
      <c r="L2672" s="198"/>
      <c r="M2672" s="198"/>
      <c r="N2672" s="198"/>
      <c r="O2672" s="198"/>
      <c r="P2672" s="198"/>
      <c r="Q2672" s="198"/>
      <c r="R2672" s="198"/>
      <c r="S2672" s="198"/>
      <c r="T2672" s="198"/>
      <c r="U2672" s="198"/>
      <c r="V2672" s="198"/>
      <c r="W2672" s="198"/>
      <c r="X2672" s="198"/>
      <c r="Y2672" s="198"/>
      <c r="Z2672" s="198"/>
    </row>
    <row r="2673" spans="1:26" ht="15.75" hidden="1" customHeight="1" x14ac:dyDescent="0.25">
      <c r="A2673" s="213">
        <v>11676</v>
      </c>
      <c r="B2673" s="214" t="s">
        <v>11171</v>
      </c>
      <c r="C2673" s="215" t="s">
        <v>580</v>
      </c>
      <c r="D2673" s="216">
        <v>58.22</v>
      </c>
      <c r="E2673" s="198"/>
      <c r="F2673" s="198"/>
      <c r="G2673" s="198"/>
      <c r="H2673" s="198"/>
      <c r="I2673" s="198"/>
      <c r="J2673" s="198"/>
      <c r="K2673" s="198"/>
      <c r="L2673" s="198"/>
      <c r="M2673" s="198"/>
      <c r="N2673" s="198"/>
      <c r="O2673" s="198"/>
      <c r="P2673" s="198"/>
      <c r="Q2673" s="198"/>
      <c r="R2673" s="198"/>
      <c r="S2673" s="198"/>
      <c r="T2673" s="198"/>
      <c r="U2673" s="198"/>
      <c r="V2673" s="198"/>
      <c r="W2673" s="198"/>
      <c r="X2673" s="198"/>
      <c r="Y2673" s="198"/>
      <c r="Z2673" s="198"/>
    </row>
    <row r="2674" spans="1:26" ht="15.75" hidden="1" customHeight="1" x14ac:dyDescent="0.25">
      <c r="A2674" s="213">
        <v>11677</v>
      </c>
      <c r="B2674" s="214" t="s">
        <v>11172</v>
      </c>
      <c r="C2674" s="215" t="s">
        <v>580</v>
      </c>
      <c r="D2674" s="216">
        <v>60.13</v>
      </c>
      <c r="E2674" s="198"/>
      <c r="F2674" s="198"/>
      <c r="G2674" s="198"/>
      <c r="H2674" s="198"/>
      <c r="I2674" s="198"/>
      <c r="J2674" s="198"/>
      <c r="K2674" s="198"/>
      <c r="L2674" s="198"/>
      <c r="M2674" s="198"/>
      <c r="N2674" s="198"/>
      <c r="O2674" s="198"/>
      <c r="P2674" s="198"/>
      <c r="Q2674" s="198"/>
      <c r="R2674" s="198"/>
      <c r="S2674" s="198"/>
      <c r="T2674" s="198"/>
      <c r="U2674" s="198"/>
      <c r="V2674" s="198"/>
      <c r="W2674" s="198"/>
      <c r="X2674" s="198"/>
      <c r="Y2674" s="198"/>
      <c r="Z2674" s="198"/>
    </row>
    <row r="2675" spans="1:26" ht="15.75" hidden="1" customHeight="1" x14ac:dyDescent="0.25">
      <c r="A2675" s="213">
        <v>11678</v>
      </c>
      <c r="B2675" s="214" t="s">
        <v>11173</v>
      </c>
      <c r="C2675" s="215" t="s">
        <v>580</v>
      </c>
      <c r="D2675" s="216">
        <v>110.13</v>
      </c>
      <c r="E2675" s="198"/>
      <c r="F2675" s="198"/>
      <c r="G2675" s="198"/>
      <c r="H2675" s="198"/>
      <c r="I2675" s="198"/>
      <c r="J2675" s="198"/>
      <c r="K2675" s="198"/>
      <c r="L2675" s="198"/>
      <c r="M2675" s="198"/>
      <c r="N2675" s="198"/>
      <c r="O2675" s="198"/>
      <c r="P2675" s="198"/>
      <c r="Q2675" s="198"/>
      <c r="R2675" s="198"/>
      <c r="S2675" s="198"/>
      <c r="T2675" s="198"/>
      <c r="U2675" s="198"/>
      <c r="V2675" s="198"/>
      <c r="W2675" s="198"/>
      <c r="X2675" s="198"/>
      <c r="Y2675" s="198"/>
      <c r="Z2675" s="198"/>
    </row>
    <row r="2676" spans="1:26" ht="15.75" hidden="1" customHeight="1" x14ac:dyDescent="0.25">
      <c r="A2676" s="213">
        <v>6038</v>
      </c>
      <c r="B2676" s="214" t="s">
        <v>11174</v>
      </c>
      <c r="C2676" s="215" t="s">
        <v>580</v>
      </c>
      <c r="D2676" s="216">
        <v>6.98</v>
      </c>
      <c r="E2676" s="198"/>
      <c r="F2676" s="198"/>
      <c r="G2676" s="198"/>
      <c r="H2676" s="198"/>
      <c r="I2676" s="198"/>
      <c r="J2676" s="198"/>
      <c r="K2676" s="198"/>
      <c r="L2676" s="198"/>
      <c r="M2676" s="198"/>
      <c r="N2676" s="198"/>
      <c r="O2676" s="198"/>
      <c r="P2676" s="198"/>
      <c r="Q2676" s="198"/>
      <c r="R2676" s="198"/>
      <c r="S2676" s="198"/>
      <c r="T2676" s="198"/>
      <c r="U2676" s="198"/>
      <c r="V2676" s="198"/>
      <c r="W2676" s="198"/>
      <c r="X2676" s="198"/>
      <c r="Y2676" s="198"/>
      <c r="Z2676" s="198"/>
    </row>
    <row r="2677" spans="1:26" ht="15.75" hidden="1" customHeight="1" x14ac:dyDescent="0.25">
      <c r="A2677" s="213">
        <v>11718</v>
      </c>
      <c r="B2677" s="214" t="s">
        <v>11175</v>
      </c>
      <c r="C2677" s="215" t="s">
        <v>580</v>
      </c>
      <c r="D2677" s="216">
        <v>19.920000000000002</v>
      </c>
      <c r="E2677" s="198"/>
      <c r="F2677" s="198"/>
      <c r="G2677" s="198"/>
      <c r="H2677" s="198"/>
      <c r="I2677" s="198"/>
      <c r="J2677" s="198"/>
      <c r="K2677" s="198"/>
      <c r="L2677" s="198"/>
      <c r="M2677" s="198"/>
      <c r="N2677" s="198"/>
      <c r="O2677" s="198"/>
      <c r="P2677" s="198"/>
      <c r="Q2677" s="198"/>
      <c r="R2677" s="198"/>
      <c r="S2677" s="198"/>
      <c r="T2677" s="198"/>
      <c r="U2677" s="198"/>
      <c r="V2677" s="198"/>
      <c r="W2677" s="198"/>
      <c r="X2677" s="198"/>
      <c r="Y2677" s="198"/>
      <c r="Z2677" s="198"/>
    </row>
    <row r="2678" spans="1:26" ht="15.75" hidden="1" customHeight="1" x14ac:dyDescent="0.25">
      <c r="A2678" s="213">
        <v>6037</v>
      </c>
      <c r="B2678" s="214" t="s">
        <v>11176</v>
      </c>
      <c r="C2678" s="215" t="s">
        <v>580</v>
      </c>
      <c r="D2678" s="216">
        <v>14.53</v>
      </c>
      <c r="E2678" s="198"/>
      <c r="F2678" s="198"/>
      <c r="G2678" s="198"/>
      <c r="H2678" s="198"/>
      <c r="I2678" s="198"/>
      <c r="J2678" s="198"/>
      <c r="K2678" s="198"/>
      <c r="L2678" s="198"/>
      <c r="M2678" s="198"/>
      <c r="N2678" s="198"/>
      <c r="O2678" s="198"/>
      <c r="P2678" s="198"/>
      <c r="Q2678" s="198"/>
      <c r="R2678" s="198"/>
      <c r="S2678" s="198"/>
      <c r="T2678" s="198"/>
      <c r="U2678" s="198"/>
      <c r="V2678" s="198"/>
      <c r="W2678" s="198"/>
      <c r="X2678" s="198"/>
      <c r="Y2678" s="198"/>
      <c r="Z2678" s="198"/>
    </row>
    <row r="2679" spans="1:26" ht="15.75" hidden="1" customHeight="1" x14ac:dyDescent="0.25">
      <c r="A2679" s="213">
        <v>11719</v>
      </c>
      <c r="B2679" s="214" t="s">
        <v>11177</v>
      </c>
      <c r="C2679" s="215" t="s">
        <v>580</v>
      </c>
      <c r="D2679" s="216">
        <v>16.16</v>
      </c>
      <c r="E2679" s="198"/>
      <c r="F2679" s="198"/>
      <c r="G2679" s="198"/>
      <c r="H2679" s="198"/>
      <c r="I2679" s="198"/>
      <c r="J2679" s="198"/>
      <c r="K2679" s="198"/>
      <c r="L2679" s="198"/>
      <c r="M2679" s="198"/>
      <c r="N2679" s="198"/>
      <c r="O2679" s="198"/>
      <c r="P2679" s="198"/>
      <c r="Q2679" s="198"/>
      <c r="R2679" s="198"/>
      <c r="S2679" s="198"/>
      <c r="T2679" s="198"/>
      <c r="U2679" s="198"/>
      <c r="V2679" s="198"/>
      <c r="W2679" s="198"/>
      <c r="X2679" s="198"/>
      <c r="Y2679" s="198"/>
      <c r="Z2679" s="198"/>
    </row>
    <row r="2680" spans="1:26" ht="15.75" hidden="1" customHeight="1" x14ac:dyDescent="0.25">
      <c r="A2680" s="213">
        <v>6010</v>
      </c>
      <c r="B2680" s="214" t="s">
        <v>11178</v>
      </c>
      <c r="C2680" s="215" t="s">
        <v>580</v>
      </c>
      <c r="D2680" s="216">
        <v>90.17</v>
      </c>
      <c r="E2680" s="198"/>
      <c r="F2680" s="198"/>
      <c r="G2680" s="198"/>
      <c r="H2680" s="198"/>
      <c r="I2680" s="198"/>
      <c r="J2680" s="198"/>
      <c r="K2680" s="198"/>
      <c r="L2680" s="198"/>
      <c r="M2680" s="198"/>
      <c r="N2680" s="198"/>
      <c r="O2680" s="198"/>
      <c r="P2680" s="198"/>
      <c r="Q2680" s="198"/>
      <c r="R2680" s="198"/>
      <c r="S2680" s="198"/>
      <c r="T2680" s="198"/>
      <c r="U2680" s="198"/>
      <c r="V2680" s="198"/>
      <c r="W2680" s="198"/>
      <c r="X2680" s="198"/>
      <c r="Y2680" s="198"/>
      <c r="Z2680" s="198"/>
    </row>
    <row r="2681" spans="1:26" ht="15.75" hidden="1" customHeight="1" x14ac:dyDescent="0.25">
      <c r="A2681" s="213">
        <v>6017</v>
      </c>
      <c r="B2681" s="214" t="s">
        <v>11179</v>
      </c>
      <c r="C2681" s="215" t="s">
        <v>580</v>
      </c>
      <c r="D2681" s="216">
        <v>71.42</v>
      </c>
      <c r="E2681" s="198"/>
      <c r="F2681" s="198"/>
      <c r="G2681" s="198"/>
      <c r="H2681" s="198"/>
      <c r="I2681" s="198"/>
      <c r="J2681" s="198"/>
      <c r="K2681" s="198"/>
      <c r="L2681" s="198"/>
      <c r="M2681" s="198"/>
      <c r="N2681" s="198"/>
      <c r="O2681" s="198"/>
      <c r="P2681" s="198"/>
      <c r="Q2681" s="198"/>
      <c r="R2681" s="198"/>
      <c r="S2681" s="198"/>
      <c r="T2681" s="198"/>
      <c r="U2681" s="198"/>
      <c r="V2681" s="198"/>
      <c r="W2681" s="198"/>
      <c r="X2681" s="198"/>
      <c r="Y2681" s="198"/>
      <c r="Z2681" s="198"/>
    </row>
    <row r="2682" spans="1:26" ht="15.75" hidden="1" customHeight="1" x14ac:dyDescent="0.25">
      <c r="A2682" s="213">
        <v>6019</v>
      </c>
      <c r="B2682" s="214" t="s">
        <v>11180</v>
      </c>
      <c r="C2682" s="215" t="s">
        <v>580</v>
      </c>
      <c r="D2682" s="216">
        <v>52.41</v>
      </c>
      <c r="E2682" s="198"/>
      <c r="F2682" s="198"/>
      <c r="G2682" s="198"/>
      <c r="H2682" s="198"/>
      <c r="I2682" s="198"/>
      <c r="J2682" s="198"/>
      <c r="K2682" s="198"/>
      <c r="L2682" s="198"/>
      <c r="M2682" s="198"/>
      <c r="N2682" s="198"/>
      <c r="O2682" s="198"/>
      <c r="P2682" s="198"/>
      <c r="Q2682" s="198"/>
      <c r="R2682" s="198"/>
      <c r="S2682" s="198"/>
      <c r="T2682" s="198"/>
      <c r="U2682" s="198"/>
      <c r="V2682" s="198"/>
      <c r="W2682" s="198"/>
      <c r="X2682" s="198"/>
      <c r="Y2682" s="198"/>
      <c r="Z2682" s="198"/>
    </row>
    <row r="2683" spans="1:26" ht="15.75" hidden="1" customHeight="1" x14ac:dyDescent="0.25">
      <c r="A2683" s="213">
        <v>6020</v>
      </c>
      <c r="B2683" s="214" t="s">
        <v>11181</v>
      </c>
      <c r="C2683" s="215" t="s">
        <v>580</v>
      </c>
      <c r="D2683" s="216">
        <v>31.47</v>
      </c>
      <c r="E2683" s="198"/>
      <c r="F2683" s="198"/>
      <c r="G2683" s="198"/>
      <c r="H2683" s="198"/>
      <c r="I2683" s="198"/>
      <c r="J2683" s="198"/>
      <c r="K2683" s="198"/>
      <c r="L2683" s="198"/>
      <c r="M2683" s="198"/>
      <c r="N2683" s="198"/>
      <c r="O2683" s="198"/>
      <c r="P2683" s="198"/>
      <c r="Q2683" s="198"/>
      <c r="R2683" s="198"/>
      <c r="S2683" s="198"/>
      <c r="T2683" s="198"/>
      <c r="U2683" s="198"/>
      <c r="V2683" s="198"/>
      <c r="W2683" s="198"/>
      <c r="X2683" s="198"/>
      <c r="Y2683" s="198"/>
      <c r="Z2683" s="198"/>
    </row>
    <row r="2684" spans="1:26" ht="15.75" hidden="1" customHeight="1" x14ac:dyDescent="0.25">
      <c r="A2684" s="213">
        <v>6011</v>
      </c>
      <c r="B2684" s="214" t="s">
        <v>11182</v>
      </c>
      <c r="C2684" s="215" t="s">
        <v>580</v>
      </c>
      <c r="D2684" s="216">
        <v>260.48</v>
      </c>
      <c r="E2684" s="198"/>
      <c r="F2684" s="198"/>
      <c r="G2684" s="198"/>
      <c r="H2684" s="198"/>
      <c r="I2684" s="198"/>
      <c r="J2684" s="198"/>
      <c r="K2684" s="198"/>
      <c r="L2684" s="198"/>
      <c r="M2684" s="198"/>
      <c r="N2684" s="198"/>
      <c r="O2684" s="198"/>
      <c r="P2684" s="198"/>
      <c r="Q2684" s="198"/>
      <c r="R2684" s="198"/>
      <c r="S2684" s="198"/>
      <c r="T2684" s="198"/>
      <c r="U2684" s="198"/>
      <c r="V2684" s="198"/>
      <c r="W2684" s="198"/>
      <c r="X2684" s="198"/>
      <c r="Y2684" s="198"/>
      <c r="Z2684" s="198"/>
    </row>
    <row r="2685" spans="1:26" ht="15.75" hidden="1" customHeight="1" x14ac:dyDescent="0.25">
      <c r="A2685" s="213">
        <v>6028</v>
      </c>
      <c r="B2685" s="214" t="s">
        <v>11183</v>
      </c>
      <c r="C2685" s="215" t="s">
        <v>580</v>
      </c>
      <c r="D2685" s="216">
        <v>125.6</v>
      </c>
      <c r="E2685" s="198"/>
      <c r="F2685" s="198"/>
      <c r="G2685" s="198"/>
      <c r="H2685" s="198"/>
      <c r="I2685" s="198"/>
      <c r="J2685" s="198"/>
      <c r="K2685" s="198"/>
      <c r="L2685" s="198"/>
      <c r="M2685" s="198"/>
      <c r="N2685" s="198"/>
      <c r="O2685" s="198"/>
      <c r="P2685" s="198"/>
      <c r="Q2685" s="198"/>
      <c r="R2685" s="198"/>
      <c r="S2685" s="198"/>
      <c r="T2685" s="198"/>
      <c r="U2685" s="198"/>
      <c r="V2685" s="198"/>
      <c r="W2685" s="198"/>
      <c r="X2685" s="198"/>
      <c r="Y2685" s="198"/>
      <c r="Z2685" s="198"/>
    </row>
    <row r="2686" spans="1:26" ht="15.75" hidden="1" customHeight="1" x14ac:dyDescent="0.25">
      <c r="A2686" s="213">
        <v>6012</v>
      </c>
      <c r="B2686" s="214" t="s">
        <v>11184</v>
      </c>
      <c r="C2686" s="215" t="s">
        <v>580</v>
      </c>
      <c r="D2686" s="216">
        <v>315.36</v>
      </c>
      <c r="E2686" s="198"/>
      <c r="F2686" s="198"/>
      <c r="G2686" s="198"/>
      <c r="H2686" s="198"/>
      <c r="I2686" s="198"/>
      <c r="J2686" s="198"/>
      <c r="K2686" s="198"/>
      <c r="L2686" s="198"/>
      <c r="M2686" s="198"/>
      <c r="N2686" s="198"/>
      <c r="O2686" s="198"/>
      <c r="P2686" s="198"/>
      <c r="Q2686" s="198"/>
      <c r="R2686" s="198"/>
      <c r="S2686" s="198"/>
      <c r="T2686" s="198"/>
      <c r="U2686" s="198"/>
      <c r="V2686" s="198"/>
      <c r="W2686" s="198"/>
      <c r="X2686" s="198"/>
      <c r="Y2686" s="198"/>
      <c r="Z2686" s="198"/>
    </row>
    <row r="2687" spans="1:26" ht="15.75" hidden="1" customHeight="1" x14ac:dyDescent="0.25">
      <c r="A2687" s="213">
        <v>6016</v>
      </c>
      <c r="B2687" s="214" t="s">
        <v>11185</v>
      </c>
      <c r="C2687" s="215" t="s">
        <v>580</v>
      </c>
      <c r="D2687" s="216">
        <v>33.200000000000003</v>
      </c>
      <c r="E2687" s="198"/>
      <c r="F2687" s="198"/>
      <c r="G2687" s="198"/>
      <c r="H2687" s="198"/>
      <c r="I2687" s="198"/>
      <c r="J2687" s="198"/>
      <c r="K2687" s="198"/>
      <c r="L2687" s="198"/>
      <c r="M2687" s="198"/>
      <c r="N2687" s="198"/>
      <c r="O2687" s="198"/>
      <c r="P2687" s="198"/>
      <c r="Q2687" s="198"/>
      <c r="R2687" s="198"/>
      <c r="S2687" s="198"/>
      <c r="T2687" s="198"/>
      <c r="U2687" s="198"/>
      <c r="V2687" s="198"/>
      <c r="W2687" s="198"/>
      <c r="X2687" s="198"/>
      <c r="Y2687" s="198"/>
      <c r="Z2687" s="198"/>
    </row>
    <row r="2688" spans="1:26" ht="15.75" hidden="1" customHeight="1" x14ac:dyDescent="0.25">
      <c r="A2688" s="213">
        <v>6027</v>
      </c>
      <c r="B2688" s="214" t="s">
        <v>11186</v>
      </c>
      <c r="C2688" s="215" t="s">
        <v>580</v>
      </c>
      <c r="D2688" s="216">
        <v>657.1</v>
      </c>
      <c r="E2688" s="198"/>
      <c r="F2688" s="198"/>
      <c r="G2688" s="198"/>
      <c r="H2688" s="198"/>
      <c r="I2688" s="198"/>
      <c r="J2688" s="198"/>
      <c r="K2688" s="198"/>
      <c r="L2688" s="198"/>
      <c r="M2688" s="198"/>
      <c r="N2688" s="198"/>
      <c r="O2688" s="198"/>
      <c r="P2688" s="198"/>
      <c r="Q2688" s="198"/>
      <c r="R2688" s="198"/>
      <c r="S2688" s="198"/>
      <c r="T2688" s="198"/>
      <c r="U2688" s="198"/>
      <c r="V2688" s="198"/>
      <c r="W2688" s="198"/>
      <c r="X2688" s="198"/>
      <c r="Y2688" s="198"/>
      <c r="Z2688" s="198"/>
    </row>
    <row r="2689" spans="1:26" ht="15.75" hidden="1" customHeight="1" x14ac:dyDescent="0.25">
      <c r="A2689" s="213">
        <v>6015</v>
      </c>
      <c r="B2689" s="214" t="s">
        <v>11187</v>
      </c>
      <c r="C2689" s="215" t="s">
        <v>580</v>
      </c>
      <c r="D2689" s="216">
        <v>144.19</v>
      </c>
      <c r="E2689" s="198"/>
      <c r="F2689" s="198"/>
      <c r="G2689" s="198"/>
      <c r="H2689" s="198"/>
      <c r="I2689" s="198"/>
      <c r="J2689" s="198"/>
      <c r="K2689" s="198"/>
      <c r="L2689" s="198"/>
      <c r="M2689" s="198"/>
      <c r="N2689" s="198"/>
      <c r="O2689" s="198"/>
      <c r="P2689" s="198"/>
      <c r="Q2689" s="198"/>
      <c r="R2689" s="198"/>
      <c r="S2689" s="198"/>
      <c r="T2689" s="198"/>
      <c r="U2689" s="198"/>
      <c r="V2689" s="198"/>
      <c r="W2689" s="198"/>
      <c r="X2689" s="198"/>
      <c r="Y2689" s="198"/>
      <c r="Z2689" s="198"/>
    </row>
    <row r="2690" spans="1:26" ht="15.75" hidden="1" customHeight="1" x14ac:dyDescent="0.25">
      <c r="A2690" s="213">
        <v>6014</v>
      </c>
      <c r="B2690" s="214" t="s">
        <v>11188</v>
      </c>
      <c r="C2690" s="215" t="s">
        <v>580</v>
      </c>
      <c r="D2690" s="216">
        <v>137.86000000000001</v>
      </c>
      <c r="E2690" s="198"/>
      <c r="F2690" s="198"/>
      <c r="G2690" s="198"/>
      <c r="H2690" s="198"/>
      <c r="I2690" s="198"/>
      <c r="J2690" s="198"/>
      <c r="K2690" s="198"/>
      <c r="L2690" s="198"/>
      <c r="M2690" s="198"/>
      <c r="N2690" s="198"/>
      <c r="O2690" s="198"/>
      <c r="P2690" s="198"/>
      <c r="Q2690" s="198"/>
      <c r="R2690" s="198"/>
      <c r="S2690" s="198"/>
      <c r="T2690" s="198"/>
      <c r="U2690" s="198"/>
      <c r="V2690" s="198"/>
      <c r="W2690" s="198"/>
      <c r="X2690" s="198"/>
      <c r="Y2690" s="198"/>
      <c r="Z2690" s="198"/>
    </row>
    <row r="2691" spans="1:26" ht="15.75" hidden="1" customHeight="1" x14ac:dyDescent="0.25">
      <c r="A2691" s="213">
        <v>6013</v>
      </c>
      <c r="B2691" s="214" t="s">
        <v>11189</v>
      </c>
      <c r="C2691" s="215" t="s">
        <v>580</v>
      </c>
      <c r="D2691" s="216">
        <v>99.15</v>
      </c>
      <c r="E2691" s="198"/>
      <c r="F2691" s="198"/>
      <c r="G2691" s="198"/>
      <c r="H2691" s="198"/>
      <c r="I2691" s="198"/>
      <c r="J2691" s="198"/>
      <c r="K2691" s="198"/>
      <c r="L2691" s="198"/>
      <c r="M2691" s="198"/>
      <c r="N2691" s="198"/>
      <c r="O2691" s="198"/>
      <c r="P2691" s="198"/>
      <c r="Q2691" s="198"/>
      <c r="R2691" s="198"/>
      <c r="S2691" s="198"/>
      <c r="T2691" s="198"/>
      <c r="U2691" s="198"/>
      <c r="V2691" s="198"/>
      <c r="W2691" s="198"/>
      <c r="X2691" s="198"/>
      <c r="Y2691" s="198"/>
      <c r="Z2691" s="198"/>
    </row>
    <row r="2692" spans="1:26" ht="15.75" hidden="1" customHeight="1" x14ac:dyDescent="0.25">
      <c r="A2692" s="213">
        <v>6006</v>
      </c>
      <c r="B2692" s="214" t="s">
        <v>11190</v>
      </c>
      <c r="C2692" s="215" t="s">
        <v>580</v>
      </c>
      <c r="D2692" s="216">
        <v>71.8</v>
      </c>
      <c r="E2692" s="198"/>
      <c r="F2692" s="198"/>
      <c r="G2692" s="198"/>
      <c r="H2692" s="198"/>
      <c r="I2692" s="198"/>
      <c r="J2692" s="198"/>
      <c r="K2692" s="198"/>
      <c r="L2692" s="198"/>
      <c r="M2692" s="198"/>
      <c r="N2692" s="198"/>
      <c r="O2692" s="198"/>
      <c r="P2692" s="198"/>
      <c r="Q2692" s="198"/>
      <c r="R2692" s="198"/>
      <c r="S2692" s="198"/>
      <c r="T2692" s="198"/>
      <c r="U2692" s="198"/>
      <c r="V2692" s="198"/>
      <c r="W2692" s="198"/>
      <c r="X2692" s="198"/>
      <c r="Y2692" s="198"/>
      <c r="Z2692" s="198"/>
    </row>
    <row r="2693" spans="1:26" ht="15.75" hidden="1" customHeight="1" x14ac:dyDescent="0.25">
      <c r="A2693" s="213">
        <v>6005</v>
      </c>
      <c r="B2693" s="214" t="s">
        <v>11191</v>
      </c>
      <c r="C2693" s="215" t="s">
        <v>580</v>
      </c>
      <c r="D2693" s="216">
        <v>81</v>
      </c>
      <c r="E2693" s="198"/>
      <c r="F2693" s="198"/>
      <c r="G2693" s="198"/>
      <c r="H2693" s="198"/>
      <c r="I2693" s="198"/>
      <c r="J2693" s="198"/>
      <c r="K2693" s="198"/>
      <c r="L2693" s="198"/>
      <c r="M2693" s="198"/>
      <c r="N2693" s="198"/>
      <c r="O2693" s="198"/>
      <c r="P2693" s="198"/>
      <c r="Q2693" s="198"/>
      <c r="R2693" s="198"/>
      <c r="S2693" s="198"/>
      <c r="T2693" s="198"/>
      <c r="U2693" s="198"/>
      <c r="V2693" s="198"/>
      <c r="W2693" s="198"/>
      <c r="X2693" s="198"/>
      <c r="Y2693" s="198"/>
      <c r="Z2693" s="198"/>
    </row>
    <row r="2694" spans="1:26" ht="15.75" hidden="1" customHeight="1" x14ac:dyDescent="0.25">
      <c r="A2694" s="213">
        <v>11756</v>
      </c>
      <c r="B2694" s="214" t="s">
        <v>11192</v>
      </c>
      <c r="C2694" s="215" t="s">
        <v>580</v>
      </c>
      <c r="D2694" s="216">
        <v>38.68</v>
      </c>
      <c r="E2694" s="198"/>
      <c r="F2694" s="198"/>
      <c r="G2694" s="198"/>
      <c r="H2694" s="198"/>
      <c r="I2694" s="198"/>
      <c r="J2694" s="198"/>
      <c r="K2694" s="198"/>
      <c r="L2694" s="198"/>
      <c r="M2694" s="198"/>
      <c r="N2694" s="198"/>
      <c r="O2694" s="198"/>
      <c r="P2694" s="198"/>
      <c r="Q2694" s="198"/>
      <c r="R2694" s="198"/>
      <c r="S2694" s="198"/>
      <c r="T2694" s="198"/>
      <c r="U2694" s="198"/>
      <c r="V2694" s="198"/>
      <c r="W2694" s="198"/>
      <c r="X2694" s="198"/>
      <c r="Y2694" s="198"/>
      <c r="Z2694" s="198"/>
    </row>
    <row r="2695" spans="1:26" ht="15.75" hidden="1" customHeight="1" x14ac:dyDescent="0.25">
      <c r="A2695" s="213">
        <v>10904</v>
      </c>
      <c r="B2695" s="214" t="s">
        <v>11193</v>
      </c>
      <c r="C2695" s="215" t="s">
        <v>580</v>
      </c>
      <c r="D2695" s="216">
        <v>280</v>
      </c>
      <c r="E2695" s="198"/>
      <c r="F2695" s="198"/>
      <c r="G2695" s="198"/>
      <c r="H2695" s="198"/>
      <c r="I2695" s="198"/>
      <c r="J2695" s="198"/>
      <c r="K2695" s="198"/>
      <c r="L2695" s="198"/>
      <c r="M2695" s="198"/>
      <c r="N2695" s="198"/>
      <c r="O2695" s="198"/>
      <c r="P2695" s="198"/>
      <c r="Q2695" s="198"/>
      <c r="R2695" s="198"/>
      <c r="S2695" s="198"/>
      <c r="T2695" s="198"/>
      <c r="U2695" s="198"/>
      <c r="V2695" s="198"/>
      <c r="W2695" s="198"/>
      <c r="X2695" s="198"/>
      <c r="Y2695" s="198"/>
      <c r="Z2695" s="198"/>
    </row>
    <row r="2696" spans="1:26" ht="15.75" hidden="1" customHeight="1" x14ac:dyDescent="0.25">
      <c r="A2696" s="213">
        <v>11752</v>
      </c>
      <c r="B2696" s="214" t="s">
        <v>11194</v>
      </c>
      <c r="C2696" s="215" t="s">
        <v>580</v>
      </c>
      <c r="D2696" s="216">
        <v>22.31</v>
      </c>
      <c r="E2696" s="198"/>
      <c r="F2696" s="198"/>
      <c r="G2696" s="198"/>
      <c r="H2696" s="198"/>
      <c r="I2696" s="198"/>
      <c r="J2696" s="198"/>
      <c r="K2696" s="198"/>
      <c r="L2696" s="198"/>
      <c r="M2696" s="198"/>
      <c r="N2696" s="198"/>
      <c r="O2696" s="198"/>
      <c r="P2696" s="198"/>
      <c r="Q2696" s="198"/>
      <c r="R2696" s="198"/>
      <c r="S2696" s="198"/>
      <c r="T2696" s="198"/>
      <c r="U2696" s="198"/>
      <c r="V2696" s="198"/>
      <c r="W2696" s="198"/>
      <c r="X2696" s="198"/>
      <c r="Y2696" s="198"/>
      <c r="Z2696" s="198"/>
    </row>
    <row r="2697" spans="1:26" ht="15.75" hidden="1" customHeight="1" x14ac:dyDescent="0.25">
      <c r="A2697" s="213">
        <v>11753</v>
      </c>
      <c r="B2697" s="214" t="s">
        <v>11195</v>
      </c>
      <c r="C2697" s="215" t="s">
        <v>580</v>
      </c>
      <c r="D2697" s="216">
        <v>26.63</v>
      </c>
      <c r="E2697" s="198"/>
      <c r="F2697" s="198"/>
      <c r="G2697" s="198"/>
      <c r="H2697" s="198"/>
      <c r="I2697" s="198"/>
      <c r="J2697" s="198"/>
      <c r="K2697" s="198"/>
      <c r="L2697" s="198"/>
      <c r="M2697" s="198"/>
      <c r="N2697" s="198"/>
      <c r="O2697" s="198"/>
      <c r="P2697" s="198"/>
      <c r="Q2697" s="198"/>
      <c r="R2697" s="198"/>
      <c r="S2697" s="198"/>
      <c r="T2697" s="198"/>
      <c r="U2697" s="198"/>
      <c r="V2697" s="198"/>
      <c r="W2697" s="198"/>
      <c r="X2697" s="198"/>
      <c r="Y2697" s="198"/>
      <c r="Z2697" s="198"/>
    </row>
    <row r="2698" spans="1:26" ht="15.75" hidden="1" customHeight="1" x14ac:dyDescent="0.25">
      <c r="A2698" s="213">
        <v>6021</v>
      </c>
      <c r="B2698" s="214" t="s">
        <v>11196</v>
      </c>
      <c r="C2698" s="215" t="s">
        <v>580</v>
      </c>
      <c r="D2698" s="216">
        <v>73.900000000000006</v>
      </c>
      <c r="E2698" s="198"/>
      <c r="F2698" s="198"/>
      <c r="G2698" s="198"/>
      <c r="H2698" s="198"/>
      <c r="I2698" s="198"/>
      <c r="J2698" s="198"/>
      <c r="K2698" s="198"/>
      <c r="L2698" s="198"/>
      <c r="M2698" s="198"/>
      <c r="N2698" s="198"/>
      <c r="O2698" s="198"/>
      <c r="P2698" s="198"/>
      <c r="Q2698" s="198"/>
      <c r="R2698" s="198"/>
      <c r="S2698" s="198"/>
      <c r="T2698" s="198"/>
      <c r="U2698" s="198"/>
      <c r="V2698" s="198"/>
      <c r="W2698" s="198"/>
      <c r="X2698" s="198"/>
      <c r="Y2698" s="198"/>
      <c r="Z2698" s="198"/>
    </row>
    <row r="2699" spans="1:26" ht="15.75" hidden="1" customHeight="1" x14ac:dyDescent="0.25">
      <c r="A2699" s="213">
        <v>6024</v>
      </c>
      <c r="B2699" s="214" t="s">
        <v>11197</v>
      </c>
      <c r="C2699" s="215" t="s">
        <v>580</v>
      </c>
      <c r="D2699" s="216">
        <v>76.39</v>
      </c>
      <c r="E2699" s="198"/>
      <c r="F2699" s="198"/>
      <c r="G2699" s="198"/>
      <c r="H2699" s="198"/>
      <c r="I2699" s="198"/>
      <c r="J2699" s="198"/>
      <c r="K2699" s="198"/>
      <c r="L2699" s="198"/>
      <c r="M2699" s="198"/>
      <c r="N2699" s="198"/>
      <c r="O2699" s="198"/>
      <c r="P2699" s="198"/>
      <c r="Q2699" s="198"/>
      <c r="R2699" s="198"/>
      <c r="S2699" s="198"/>
      <c r="T2699" s="198"/>
      <c r="U2699" s="198"/>
      <c r="V2699" s="198"/>
      <c r="W2699" s="198"/>
      <c r="X2699" s="198"/>
      <c r="Y2699" s="198"/>
      <c r="Z2699" s="198"/>
    </row>
    <row r="2700" spans="1:26" ht="15.75" hidden="1" customHeight="1" x14ac:dyDescent="0.25">
      <c r="A2700" s="213">
        <v>38379</v>
      </c>
      <c r="B2700" s="214" t="s">
        <v>11198</v>
      </c>
      <c r="C2700" s="215" t="s">
        <v>585</v>
      </c>
      <c r="D2700" s="216">
        <v>40.31</v>
      </c>
      <c r="E2700" s="198"/>
      <c r="F2700" s="198"/>
      <c r="G2700" s="198"/>
      <c r="H2700" s="198"/>
      <c r="I2700" s="198"/>
      <c r="J2700" s="198"/>
      <c r="K2700" s="198"/>
      <c r="L2700" s="198"/>
      <c r="M2700" s="198"/>
      <c r="N2700" s="198"/>
      <c r="O2700" s="198"/>
      <c r="P2700" s="198"/>
      <c r="Q2700" s="198"/>
      <c r="R2700" s="198"/>
      <c r="S2700" s="198"/>
      <c r="T2700" s="198"/>
      <c r="U2700" s="198"/>
      <c r="V2700" s="198"/>
      <c r="W2700" s="198"/>
      <c r="X2700" s="198"/>
      <c r="Y2700" s="198"/>
      <c r="Z2700" s="198"/>
    </row>
    <row r="2701" spans="1:26" ht="15.75" hidden="1" customHeight="1" x14ac:dyDescent="0.25">
      <c r="A2701" s="213">
        <v>34357</v>
      </c>
      <c r="B2701" s="214" t="s">
        <v>11199</v>
      </c>
      <c r="C2701" s="215" t="s">
        <v>823</v>
      </c>
      <c r="D2701" s="216">
        <v>4.4000000000000004</v>
      </c>
      <c r="E2701" s="198"/>
      <c r="F2701" s="198"/>
      <c r="G2701" s="198"/>
      <c r="H2701" s="198"/>
      <c r="I2701" s="198"/>
      <c r="J2701" s="198"/>
      <c r="K2701" s="198"/>
      <c r="L2701" s="198"/>
      <c r="M2701" s="198"/>
      <c r="N2701" s="198"/>
      <c r="O2701" s="198"/>
      <c r="P2701" s="198"/>
      <c r="Q2701" s="198"/>
      <c r="R2701" s="198"/>
      <c r="S2701" s="198"/>
      <c r="T2701" s="198"/>
      <c r="U2701" s="198"/>
      <c r="V2701" s="198"/>
      <c r="W2701" s="198"/>
      <c r="X2701" s="198"/>
      <c r="Y2701" s="198"/>
      <c r="Z2701" s="198"/>
    </row>
    <row r="2702" spans="1:26" ht="15.75" hidden="1" customHeight="1" x14ac:dyDescent="0.25">
      <c r="A2702" s="213">
        <v>37329</v>
      </c>
      <c r="B2702" s="214" t="s">
        <v>11200</v>
      </c>
      <c r="C2702" s="215" t="s">
        <v>823</v>
      </c>
      <c r="D2702" s="216">
        <v>92.75</v>
      </c>
      <c r="E2702" s="198"/>
      <c r="F2702" s="198"/>
      <c r="G2702" s="198"/>
      <c r="H2702" s="198"/>
      <c r="I2702" s="198"/>
      <c r="J2702" s="198"/>
      <c r="K2702" s="198"/>
      <c r="L2702" s="198"/>
      <c r="M2702" s="198"/>
      <c r="N2702" s="198"/>
      <c r="O2702" s="198"/>
      <c r="P2702" s="198"/>
      <c r="Q2702" s="198"/>
      <c r="R2702" s="198"/>
      <c r="S2702" s="198"/>
      <c r="T2702" s="198"/>
      <c r="U2702" s="198"/>
      <c r="V2702" s="198"/>
      <c r="W2702" s="198"/>
      <c r="X2702" s="198"/>
      <c r="Y2702" s="198"/>
      <c r="Z2702" s="198"/>
    </row>
    <row r="2703" spans="1:26" ht="15.75" hidden="1" customHeight="1" x14ac:dyDescent="0.25">
      <c r="A2703" s="213">
        <v>12359</v>
      </c>
      <c r="B2703" s="214" t="s">
        <v>11201</v>
      </c>
      <c r="C2703" s="215" t="s">
        <v>580</v>
      </c>
      <c r="D2703" s="216">
        <v>202.45</v>
      </c>
      <c r="E2703" s="198"/>
      <c r="F2703" s="198"/>
      <c r="G2703" s="198"/>
      <c r="H2703" s="198"/>
      <c r="I2703" s="198"/>
      <c r="J2703" s="198"/>
      <c r="K2703" s="198"/>
      <c r="L2703" s="198"/>
      <c r="M2703" s="198"/>
      <c r="N2703" s="198"/>
      <c r="O2703" s="198"/>
      <c r="P2703" s="198"/>
      <c r="Q2703" s="198"/>
      <c r="R2703" s="198"/>
      <c r="S2703" s="198"/>
      <c r="T2703" s="198"/>
      <c r="U2703" s="198"/>
      <c r="V2703" s="198"/>
      <c r="W2703" s="198"/>
      <c r="X2703" s="198"/>
      <c r="Y2703" s="198"/>
      <c r="Z2703" s="198"/>
    </row>
    <row r="2704" spans="1:26" ht="15.75" hidden="1" customHeight="1" x14ac:dyDescent="0.25">
      <c r="A2704" s="213">
        <v>7353</v>
      </c>
      <c r="B2704" s="214" t="s">
        <v>11202</v>
      </c>
      <c r="C2704" s="215" t="s">
        <v>517</v>
      </c>
      <c r="D2704" s="216">
        <v>30.95</v>
      </c>
      <c r="E2704" s="198"/>
      <c r="F2704" s="198"/>
      <c r="G2704" s="198"/>
      <c r="H2704" s="198"/>
      <c r="I2704" s="198"/>
      <c r="J2704" s="198"/>
      <c r="K2704" s="198"/>
      <c r="L2704" s="198"/>
      <c r="M2704" s="198"/>
      <c r="N2704" s="198"/>
      <c r="O2704" s="198"/>
      <c r="P2704" s="198"/>
      <c r="Q2704" s="198"/>
      <c r="R2704" s="198"/>
      <c r="S2704" s="198"/>
      <c r="T2704" s="198"/>
      <c r="U2704" s="198"/>
      <c r="V2704" s="198"/>
      <c r="W2704" s="198"/>
      <c r="X2704" s="198"/>
      <c r="Y2704" s="198"/>
      <c r="Z2704" s="198"/>
    </row>
    <row r="2705" spans="1:26" ht="15.75" hidden="1" customHeight="1" x14ac:dyDescent="0.25">
      <c r="A2705" s="213">
        <v>36144</v>
      </c>
      <c r="B2705" s="214" t="s">
        <v>11203</v>
      </c>
      <c r="C2705" s="215" t="s">
        <v>580</v>
      </c>
      <c r="D2705" s="216">
        <v>1.78</v>
      </c>
      <c r="E2705" s="198"/>
      <c r="F2705" s="198"/>
      <c r="G2705" s="198"/>
      <c r="H2705" s="198"/>
      <c r="I2705" s="198"/>
      <c r="J2705" s="198"/>
      <c r="K2705" s="198"/>
      <c r="L2705" s="198"/>
      <c r="M2705" s="198"/>
      <c r="N2705" s="198"/>
      <c r="O2705" s="198"/>
      <c r="P2705" s="198"/>
      <c r="Q2705" s="198"/>
      <c r="R2705" s="198"/>
      <c r="S2705" s="198"/>
      <c r="T2705" s="198"/>
      <c r="U2705" s="198"/>
      <c r="V2705" s="198"/>
      <c r="W2705" s="198"/>
      <c r="X2705" s="198"/>
      <c r="Y2705" s="198"/>
      <c r="Z2705" s="198"/>
    </row>
    <row r="2706" spans="1:26" ht="15.75" hidden="1" customHeight="1" x14ac:dyDescent="0.25">
      <c r="A2706" s="213">
        <v>36530</v>
      </c>
      <c r="B2706" s="214" t="s">
        <v>11204</v>
      </c>
      <c r="C2706" s="215" t="s">
        <v>580</v>
      </c>
      <c r="D2706" s="216">
        <v>469273.16</v>
      </c>
      <c r="E2706" s="198"/>
      <c r="F2706" s="198"/>
      <c r="G2706" s="198"/>
      <c r="H2706" s="198"/>
      <c r="I2706" s="198"/>
      <c r="J2706" s="198"/>
      <c r="K2706" s="198"/>
      <c r="L2706" s="198"/>
      <c r="M2706" s="198"/>
      <c r="N2706" s="198"/>
      <c r="O2706" s="198"/>
      <c r="P2706" s="198"/>
      <c r="Q2706" s="198"/>
      <c r="R2706" s="198"/>
      <c r="S2706" s="198"/>
      <c r="T2706" s="198"/>
      <c r="U2706" s="198"/>
      <c r="V2706" s="198"/>
      <c r="W2706" s="198"/>
      <c r="X2706" s="198"/>
      <c r="Y2706" s="198"/>
      <c r="Z2706" s="198"/>
    </row>
    <row r="2707" spans="1:26" ht="15.75" hidden="1" customHeight="1" x14ac:dyDescent="0.25">
      <c r="A2707" s="213">
        <v>6046</v>
      </c>
      <c r="B2707" s="214" t="s">
        <v>11205</v>
      </c>
      <c r="C2707" s="215" t="s">
        <v>580</v>
      </c>
      <c r="D2707" s="216">
        <v>509000</v>
      </c>
      <c r="E2707" s="198"/>
      <c r="F2707" s="198"/>
      <c r="G2707" s="198"/>
      <c r="H2707" s="198"/>
      <c r="I2707" s="198"/>
      <c r="J2707" s="198"/>
      <c r="K2707" s="198"/>
      <c r="L2707" s="198"/>
      <c r="M2707" s="198"/>
      <c r="N2707" s="198"/>
      <c r="O2707" s="198"/>
      <c r="P2707" s="198"/>
      <c r="Q2707" s="198"/>
      <c r="R2707" s="198"/>
      <c r="S2707" s="198"/>
      <c r="T2707" s="198"/>
      <c r="U2707" s="198"/>
      <c r="V2707" s="198"/>
      <c r="W2707" s="198"/>
      <c r="X2707" s="198"/>
      <c r="Y2707" s="198"/>
      <c r="Z2707" s="198"/>
    </row>
    <row r="2708" spans="1:26" ht="15.75" hidden="1" customHeight="1" x14ac:dyDescent="0.25">
      <c r="A2708" s="213">
        <v>36531</v>
      </c>
      <c r="B2708" s="214" t="s">
        <v>11206</v>
      </c>
      <c r="C2708" s="215" t="s">
        <v>580</v>
      </c>
      <c r="D2708" s="216">
        <v>527621.91</v>
      </c>
      <c r="E2708" s="198"/>
      <c r="F2708" s="198"/>
      <c r="G2708" s="198"/>
      <c r="H2708" s="198"/>
      <c r="I2708" s="198"/>
      <c r="J2708" s="198"/>
      <c r="K2708" s="198"/>
      <c r="L2708" s="198"/>
      <c r="M2708" s="198"/>
      <c r="N2708" s="198"/>
      <c r="O2708" s="198"/>
      <c r="P2708" s="198"/>
      <c r="Q2708" s="198"/>
      <c r="R2708" s="198"/>
      <c r="S2708" s="198"/>
      <c r="T2708" s="198"/>
      <c r="U2708" s="198"/>
      <c r="V2708" s="198"/>
      <c r="W2708" s="198"/>
      <c r="X2708" s="198"/>
      <c r="Y2708" s="198"/>
      <c r="Z2708" s="198"/>
    </row>
    <row r="2709" spans="1:26" ht="15.75" hidden="1" customHeight="1" x14ac:dyDescent="0.25">
      <c r="A2709" s="213">
        <v>44954</v>
      </c>
      <c r="B2709" s="214" t="s">
        <v>11207</v>
      </c>
      <c r="C2709" s="215" t="s">
        <v>578</v>
      </c>
      <c r="D2709" s="216">
        <v>126.26</v>
      </c>
      <c r="E2709" s="198"/>
      <c r="F2709" s="198"/>
      <c r="G2709" s="198"/>
      <c r="H2709" s="198"/>
      <c r="I2709" s="198"/>
      <c r="J2709" s="198"/>
      <c r="K2709" s="198"/>
      <c r="L2709" s="198"/>
      <c r="M2709" s="198"/>
      <c r="N2709" s="198"/>
      <c r="O2709" s="198"/>
      <c r="P2709" s="198"/>
      <c r="Q2709" s="198"/>
      <c r="R2709" s="198"/>
      <c r="S2709" s="198"/>
      <c r="T2709" s="198"/>
      <c r="U2709" s="198"/>
      <c r="V2709" s="198"/>
      <c r="W2709" s="198"/>
      <c r="X2709" s="198"/>
      <c r="Y2709" s="198"/>
      <c r="Z2709" s="198"/>
    </row>
    <row r="2710" spans="1:26" ht="15.75" hidden="1" customHeight="1" x14ac:dyDescent="0.25">
      <c r="A2710" s="213">
        <v>44955</v>
      </c>
      <c r="B2710" s="214" t="s">
        <v>11208</v>
      </c>
      <c r="C2710" s="215" t="s">
        <v>578</v>
      </c>
      <c r="D2710" s="216">
        <v>184.5</v>
      </c>
      <c r="E2710" s="198"/>
      <c r="F2710" s="198"/>
      <c r="G2710" s="198"/>
      <c r="H2710" s="198"/>
      <c r="I2710" s="198"/>
      <c r="J2710" s="198"/>
      <c r="K2710" s="198"/>
      <c r="L2710" s="198"/>
      <c r="M2710" s="198"/>
      <c r="N2710" s="198"/>
      <c r="O2710" s="198"/>
      <c r="P2710" s="198"/>
      <c r="Q2710" s="198"/>
      <c r="R2710" s="198"/>
      <c r="S2710" s="198"/>
      <c r="T2710" s="198"/>
      <c r="U2710" s="198"/>
      <c r="V2710" s="198"/>
      <c r="W2710" s="198"/>
      <c r="X2710" s="198"/>
      <c r="Y2710" s="198"/>
      <c r="Z2710" s="198"/>
    </row>
    <row r="2711" spans="1:26" ht="15.75" hidden="1" customHeight="1" x14ac:dyDescent="0.25">
      <c r="A2711" s="213">
        <v>10515</v>
      </c>
      <c r="B2711" s="214" t="s">
        <v>11209</v>
      </c>
      <c r="C2711" s="215" t="s">
        <v>578</v>
      </c>
      <c r="D2711" s="216">
        <v>62.68</v>
      </c>
      <c r="E2711" s="198"/>
      <c r="F2711" s="198"/>
      <c r="G2711" s="198"/>
      <c r="H2711" s="198"/>
      <c r="I2711" s="198"/>
      <c r="J2711" s="198"/>
      <c r="K2711" s="198"/>
      <c r="L2711" s="198"/>
      <c r="M2711" s="198"/>
      <c r="N2711" s="198"/>
      <c r="O2711" s="198"/>
      <c r="P2711" s="198"/>
      <c r="Q2711" s="198"/>
      <c r="R2711" s="198"/>
      <c r="S2711" s="198"/>
      <c r="T2711" s="198"/>
      <c r="U2711" s="198"/>
      <c r="V2711" s="198"/>
      <c r="W2711" s="198"/>
      <c r="X2711" s="198"/>
      <c r="Y2711" s="198"/>
      <c r="Z2711" s="198"/>
    </row>
    <row r="2712" spans="1:26" ht="15.75" hidden="1" customHeight="1" x14ac:dyDescent="0.25">
      <c r="A2712" s="213">
        <v>153</v>
      </c>
      <c r="B2712" s="214" t="s">
        <v>11210</v>
      </c>
      <c r="C2712" s="215" t="s">
        <v>517</v>
      </c>
      <c r="D2712" s="216">
        <v>94.69</v>
      </c>
      <c r="E2712" s="198"/>
      <c r="F2712" s="198"/>
      <c r="G2712" s="198"/>
      <c r="H2712" s="198"/>
      <c r="I2712" s="198"/>
      <c r="J2712" s="198"/>
      <c r="K2712" s="198"/>
      <c r="L2712" s="198"/>
      <c r="M2712" s="198"/>
      <c r="N2712" s="198"/>
      <c r="O2712" s="198"/>
      <c r="P2712" s="198"/>
      <c r="Q2712" s="198"/>
      <c r="R2712" s="198"/>
      <c r="S2712" s="198"/>
      <c r="T2712" s="198"/>
      <c r="U2712" s="198"/>
      <c r="V2712" s="198"/>
      <c r="W2712" s="198"/>
      <c r="X2712" s="198"/>
      <c r="Y2712" s="198"/>
      <c r="Z2712" s="198"/>
    </row>
    <row r="2713" spans="1:26" ht="15.75" hidden="1" customHeight="1" x14ac:dyDescent="0.25">
      <c r="A2713" s="213">
        <v>536</v>
      </c>
      <c r="B2713" s="214" t="s">
        <v>11211</v>
      </c>
      <c r="C2713" s="215" t="s">
        <v>578</v>
      </c>
      <c r="D2713" s="216">
        <v>35.299999999999997</v>
      </c>
      <c r="E2713" s="198"/>
      <c r="F2713" s="198"/>
      <c r="G2713" s="198"/>
      <c r="H2713" s="198"/>
      <c r="I2713" s="198"/>
      <c r="J2713" s="198"/>
      <c r="K2713" s="198"/>
      <c r="L2713" s="198"/>
      <c r="M2713" s="198"/>
      <c r="N2713" s="198"/>
      <c r="O2713" s="198"/>
      <c r="P2713" s="198"/>
      <c r="Q2713" s="198"/>
      <c r="R2713" s="198"/>
      <c r="S2713" s="198"/>
      <c r="T2713" s="198"/>
      <c r="U2713" s="198"/>
      <c r="V2713" s="198"/>
      <c r="W2713" s="198"/>
      <c r="X2713" s="198"/>
      <c r="Y2713" s="198"/>
      <c r="Z2713" s="198"/>
    </row>
    <row r="2714" spans="1:26" ht="15.75" hidden="1" customHeight="1" x14ac:dyDescent="0.25">
      <c r="A2714" s="213">
        <v>20205</v>
      </c>
      <c r="B2714" s="214" t="s">
        <v>11212</v>
      </c>
      <c r="C2714" s="215" t="s">
        <v>585</v>
      </c>
      <c r="D2714" s="216">
        <v>3.92</v>
      </c>
      <c r="E2714" s="198"/>
      <c r="F2714" s="198"/>
      <c r="G2714" s="198"/>
      <c r="H2714" s="198"/>
      <c r="I2714" s="198"/>
      <c r="J2714" s="198"/>
      <c r="K2714" s="198"/>
      <c r="L2714" s="198"/>
      <c r="M2714" s="198"/>
      <c r="N2714" s="198"/>
      <c r="O2714" s="198"/>
      <c r="P2714" s="198"/>
      <c r="Q2714" s="198"/>
      <c r="R2714" s="198"/>
      <c r="S2714" s="198"/>
      <c r="T2714" s="198"/>
      <c r="U2714" s="198"/>
      <c r="V2714" s="198"/>
      <c r="W2714" s="198"/>
      <c r="X2714" s="198"/>
      <c r="Y2714" s="198"/>
      <c r="Z2714" s="198"/>
    </row>
    <row r="2715" spans="1:26" ht="15.75" hidden="1" customHeight="1" x14ac:dyDescent="0.25">
      <c r="A2715" s="213">
        <v>4412</v>
      </c>
      <c r="B2715" s="214" t="s">
        <v>11213</v>
      </c>
      <c r="C2715" s="215" t="s">
        <v>585</v>
      </c>
      <c r="D2715" s="216">
        <v>2.35</v>
      </c>
      <c r="E2715" s="198"/>
      <c r="F2715" s="198"/>
      <c r="G2715" s="198"/>
      <c r="H2715" s="198"/>
      <c r="I2715" s="198"/>
      <c r="J2715" s="198"/>
      <c r="K2715" s="198"/>
      <c r="L2715" s="198"/>
      <c r="M2715" s="198"/>
      <c r="N2715" s="198"/>
      <c r="O2715" s="198"/>
      <c r="P2715" s="198"/>
      <c r="Q2715" s="198"/>
      <c r="R2715" s="198"/>
      <c r="S2715" s="198"/>
      <c r="T2715" s="198"/>
      <c r="U2715" s="198"/>
      <c r="V2715" s="198"/>
      <c r="W2715" s="198"/>
      <c r="X2715" s="198"/>
      <c r="Y2715" s="198"/>
      <c r="Z2715" s="198"/>
    </row>
    <row r="2716" spans="1:26" ht="15.75" hidden="1" customHeight="1" x14ac:dyDescent="0.25">
      <c r="A2716" s="213">
        <v>4408</v>
      </c>
      <c r="B2716" s="214" t="s">
        <v>11214</v>
      </c>
      <c r="C2716" s="215" t="s">
        <v>585</v>
      </c>
      <c r="D2716" s="216">
        <v>2.93</v>
      </c>
      <c r="E2716" s="198"/>
      <c r="F2716" s="198"/>
      <c r="G2716" s="198"/>
      <c r="H2716" s="198"/>
      <c r="I2716" s="198"/>
      <c r="J2716" s="198"/>
      <c r="K2716" s="198"/>
      <c r="L2716" s="198"/>
      <c r="M2716" s="198"/>
      <c r="N2716" s="198"/>
      <c r="O2716" s="198"/>
      <c r="P2716" s="198"/>
      <c r="Q2716" s="198"/>
      <c r="R2716" s="198"/>
      <c r="S2716" s="198"/>
      <c r="T2716" s="198"/>
      <c r="U2716" s="198"/>
      <c r="V2716" s="198"/>
      <c r="W2716" s="198"/>
      <c r="X2716" s="198"/>
      <c r="Y2716" s="198"/>
      <c r="Z2716" s="198"/>
    </row>
    <row r="2717" spans="1:26" ht="15.75" hidden="1" customHeight="1" x14ac:dyDescent="0.25">
      <c r="A2717" s="213">
        <v>36250</v>
      </c>
      <c r="B2717" s="214" t="s">
        <v>11215</v>
      </c>
      <c r="C2717" s="215" t="s">
        <v>585</v>
      </c>
      <c r="D2717" s="216">
        <v>5.56</v>
      </c>
      <c r="E2717" s="198"/>
      <c r="F2717" s="198"/>
      <c r="G2717" s="198"/>
      <c r="H2717" s="198"/>
      <c r="I2717" s="198"/>
      <c r="J2717" s="198"/>
      <c r="K2717" s="198"/>
      <c r="L2717" s="198"/>
      <c r="M2717" s="198"/>
      <c r="N2717" s="198"/>
      <c r="O2717" s="198"/>
      <c r="P2717" s="198"/>
      <c r="Q2717" s="198"/>
      <c r="R2717" s="198"/>
      <c r="S2717" s="198"/>
      <c r="T2717" s="198"/>
      <c r="U2717" s="198"/>
      <c r="V2717" s="198"/>
      <c r="W2717" s="198"/>
      <c r="X2717" s="198"/>
      <c r="Y2717" s="198"/>
      <c r="Z2717" s="198"/>
    </row>
    <row r="2718" spans="1:26" ht="15.75" hidden="1" customHeight="1" x14ac:dyDescent="0.25">
      <c r="A2718" s="213">
        <v>4803</v>
      </c>
      <c r="B2718" s="214" t="s">
        <v>11216</v>
      </c>
      <c r="C2718" s="215" t="s">
        <v>585</v>
      </c>
      <c r="D2718" s="216">
        <v>29.87</v>
      </c>
      <c r="E2718" s="198"/>
      <c r="F2718" s="198"/>
      <c r="G2718" s="198"/>
      <c r="H2718" s="198"/>
      <c r="I2718" s="198"/>
      <c r="J2718" s="198"/>
      <c r="K2718" s="198"/>
      <c r="L2718" s="198"/>
      <c r="M2718" s="198"/>
      <c r="N2718" s="198"/>
      <c r="O2718" s="198"/>
      <c r="P2718" s="198"/>
      <c r="Q2718" s="198"/>
      <c r="R2718" s="198"/>
      <c r="S2718" s="198"/>
      <c r="T2718" s="198"/>
      <c r="U2718" s="198"/>
      <c r="V2718" s="198"/>
      <c r="W2718" s="198"/>
      <c r="X2718" s="198"/>
      <c r="Y2718" s="198"/>
      <c r="Z2718" s="198"/>
    </row>
    <row r="2719" spans="1:26" ht="15.75" hidden="1" customHeight="1" x14ac:dyDescent="0.25">
      <c r="A2719" s="213">
        <v>6186</v>
      </c>
      <c r="B2719" s="214" t="s">
        <v>11217</v>
      </c>
      <c r="C2719" s="215" t="s">
        <v>585</v>
      </c>
      <c r="D2719" s="216">
        <v>15</v>
      </c>
      <c r="E2719" s="198"/>
      <c r="F2719" s="198"/>
      <c r="G2719" s="198"/>
      <c r="H2719" s="198"/>
      <c r="I2719" s="198"/>
      <c r="J2719" s="198"/>
      <c r="K2719" s="198"/>
      <c r="L2719" s="198"/>
      <c r="M2719" s="198"/>
      <c r="N2719" s="198"/>
      <c r="O2719" s="198"/>
      <c r="P2719" s="198"/>
      <c r="Q2719" s="198"/>
      <c r="R2719" s="198"/>
      <c r="S2719" s="198"/>
      <c r="T2719" s="198"/>
      <c r="U2719" s="198"/>
      <c r="V2719" s="198"/>
      <c r="W2719" s="198"/>
      <c r="X2719" s="198"/>
      <c r="Y2719" s="198"/>
      <c r="Z2719" s="198"/>
    </row>
    <row r="2720" spans="1:26" ht="15.75" hidden="1" customHeight="1" x14ac:dyDescent="0.25">
      <c r="A2720" s="213">
        <v>4829</v>
      </c>
      <c r="B2720" s="214" t="s">
        <v>11218</v>
      </c>
      <c r="C2720" s="215" t="s">
        <v>585</v>
      </c>
      <c r="D2720" s="216">
        <v>51.19</v>
      </c>
      <c r="E2720" s="198"/>
      <c r="F2720" s="198"/>
      <c r="G2720" s="198"/>
      <c r="H2720" s="198"/>
      <c r="I2720" s="198"/>
      <c r="J2720" s="198"/>
      <c r="K2720" s="198"/>
      <c r="L2720" s="198"/>
      <c r="M2720" s="198"/>
      <c r="N2720" s="198"/>
      <c r="O2720" s="198"/>
      <c r="P2720" s="198"/>
      <c r="Q2720" s="198"/>
      <c r="R2720" s="198"/>
      <c r="S2720" s="198"/>
      <c r="T2720" s="198"/>
      <c r="U2720" s="198"/>
      <c r="V2720" s="198"/>
      <c r="W2720" s="198"/>
      <c r="X2720" s="198"/>
      <c r="Y2720" s="198"/>
      <c r="Z2720" s="198"/>
    </row>
    <row r="2721" spans="1:26" ht="15.75" hidden="1" customHeight="1" x14ac:dyDescent="0.25">
      <c r="A2721" s="213">
        <v>39829</v>
      </c>
      <c r="B2721" s="214" t="s">
        <v>11219</v>
      </c>
      <c r="C2721" s="215" t="s">
        <v>585</v>
      </c>
      <c r="D2721" s="216">
        <v>43.6</v>
      </c>
      <c r="E2721" s="198"/>
      <c r="F2721" s="198"/>
      <c r="G2721" s="198"/>
      <c r="H2721" s="198"/>
      <c r="I2721" s="198"/>
      <c r="J2721" s="198"/>
      <c r="K2721" s="198"/>
      <c r="L2721" s="198"/>
      <c r="M2721" s="198"/>
      <c r="N2721" s="198"/>
      <c r="O2721" s="198"/>
      <c r="P2721" s="198"/>
      <c r="Q2721" s="198"/>
      <c r="R2721" s="198"/>
      <c r="S2721" s="198"/>
      <c r="T2721" s="198"/>
      <c r="U2721" s="198"/>
      <c r="V2721" s="198"/>
      <c r="W2721" s="198"/>
      <c r="X2721" s="198"/>
      <c r="Y2721" s="198"/>
      <c r="Z2721" s="198"/>
    </row>
    <row r="2722" spans="1:26" ht="15.75" hidden="1" customHeight="1" x14ac:dyDescent="0.25">
      <c r="A2722" s="213">
        <v>20231</v>
      </c>
      <c r="B2722" s="214" t="s">
        <v>11220</v>
      </c>
      <c r="C2722" s="215" t="s">
        <v>585</v>
      </c>
      <c r="D2722" s="216">
        <v>66.98</v>
      </c>
      <c r="E2722" s="198"/>
      <c r="F2722" s="198"/>
      <c r="G2722" s="198"/>
      <c r="H2722" s="198"/>
      <c r="I2722" s="198"/>
      <c r="J2722" s="198"/>
      <c r="K2722" s="198"/>
      <c r="L2722" s="198"/>
      <c r="M2722" s="198"/>
      <c r="N2722" s="198"/>
      <c r="O2722" s="198"/>
      <c r="P2722" s="198"/>
      <c r="Q2722" s="198"/>
      <c r="R2722" s="198"/>
      <c r="S2722" s="198"/>
      <c r="T2722" s="198"/>
      <c r="U2722" s="198"/>
      <c r="V2722" s="198"/>
      <c r="W2722" s="198"/>
      <c r="X2722" s="198"/>
      <c r="Y2722" s="198"/>
      <c r="Z2722" s="198"/>
    </row>
    <row r="2723" spans="1:26" ht="15.75" hidden="1" customHeight="1" x14ac:dyDescent="0.25">
      <c r="A2723" s="213">
        <v>4804</v>
      </c>
      <c r="B2723" s="214" t="s">
        <v>11221</v>
      </c>
      <c r="C2723" s="215" t="s">
        <v>585</v>
      </c>
      <c r="D2723" s="216">
        <v>22.93</v>
      </c>
      <c r="E2723" s="198"/>
      <c r="F2723" s="198"/>
      <c r="G2723" s="198"/>
      <c r="H2723" s="198"/>
      <c r="I2723" s="198"/>
      <c r="J2723" s="198"/>
      <c r="K2723" s="198"/>
      <c r="L2723" s="198"/>
      <c r="M2723" s="198"/>
      <c r="N2723" s="198"/>
      <c r="O2723" s="198"/>
      <c r="P2723" s="198"/>
      <c r="Q2723" s="198"/>
      <c r="R2723" s="198"/>
      <c r="S2723" s="198"/>
      <c r="T2723" s="198"/>
      <c r="U2723" s="198"/>
      <c r="V2723" s="198"/>
      <c r="W2723" s="198"/>
      <c r="X2723" s="198"/>
      <c r="Y2723" s="198"/>
      <c r="Z2723" s="198"/>
    </row>
    <row r="2724" spans="1:26" ht="15.75" hidden="1" customHeight="1" x14ac:dyDescent="0.25">
      <c r="A2724" s="213">
        <v>11573</v>
      </c>
      <c r="B2724" s="214" t="s">
        <v>11222</v>
      </c>
      <c r="C2724" s="215" t="s">
        <v>580</v>
      </c>
      <c r="D2724" s="216">
        <v>5.66</v>
      </c>
      <c r="E2724" s="198"/>
      <c r="F2724" s="198"/>
      <c r="G2724" s="198"/>
      <c r="H2724" s="198"/>
      <c r="I2724" s="198"/>
      <c r="J2724" s="198"/>
      <c r="K2724" s="198"/>
      <c r="L2724" s="198"/>
      <c r="M2724" s="198"/>
      <c r="N2724" s="198"/>
      <c r="O2724" s="198"/>
      <c r="P2724" s="198"/>
      <c r="Q2724" s="198"/>
      <c r="R2724" s="198"/>
      <c r="S2724" s="198"/>
      <c r="T2724" s="198"/>
      <c r="U2724" s="198"/>
      <c r="V2724" s="198"/>
      <c r="W2724" s="198"/>
      <c r="X2724" s="198"/>
      <c r="Y2724" s="198"/>
      <c r="Z2724" s="198"/>
    </row>
    <row r="2725" spans="1:26" ht="15.75" hidden="1" customHeight="1" x14ac:dyDescent="0.25">
      <c r="A2725" s="213">
        <v>38401</v>
      </c>
      <c r="B2725" s="214" t="s">
        <v>11223</v>
      </c>
      <c r="C2725" s="215" t="s">
        <v>580</v>
      </c>
      <c r="D2725" s="216">
        <v>16.010000000000002</v>
      </c>
      <c r="E2725" s="198"/>
      <c r="F2725" s="198"/>
      <c r="G2725" s="198"/>
      <c r="H2725" s="198"/>
      <c r="I2725" s="198"/>
      <c r="J2725" s="198"/>
      <c r="K2725" s="198"/>
      <c r="L2725" s="198"/>
      <c r="M2725" s="198"/>
      <c r="N2725" s="198"/>
      <c r="O2725" s="198"/>
      <c r="P2725" s="198"/>
      <c r="Q2725" s="198"/>
      <c r="R2725" s="198"/>
      <c r="S2725" s="198"/>
      <c r="T2725" s="198"/>
      <c r="U2725" s="198"/>
      <c r="V2725" s="198"/>
      <c r="W2725" s="198"/>
      <c r="X2725" s="198"/>
      <c r="Y2725" s="198"/>
      <c r="Z2725" s="198"/>
    </row>
    <row r="2726" spans="1:26" ht="15.75" hidden="1" customHeight="1" x14ac:dyDescent="0.25">
      <c r="A2726" s="213">
        <v>11575</v>
      </c>
      <c r="B2726" s="214" t="s">
        <v>11224</v>
      </c>
      <c r="C2726" s="215" t="s">
        <v>580</v>
      </c>
      <c r="D2726" s="216">
        <v>54.62</v>
      </c>
      <c r="E2726" s="198"/>
      <c r="F2726" s="198"/>
      <c r="G2726" s="198"/>
      <c r="H2726" s="198"/>
      <c r="I2726" s="198"/>
      <c r="J2726" s="198"/>
      <c r="K2726" s="198"/>
      <c r="L2726" s="198"/>
      <c r="M2726" s="198"/>
      <c r="N2726" s="198"/>
      <c r="O2726" s="198"/>
      <c r="P2726" s="198"/>
      <c r="Q2726" s="198"/>
      <c r="R2726" s="198"/>
      <c r="S2726" s="198"/>
      <c r="T2726" s="198"/>
      <c r="U2726" s="198"/>
      <c r="V2726" s="198"/>
      <c r="W2726" s="198"/>
      <c r="X2726" s="198"/>
      <c r="Y2726" s="198"/>
      <c r="Z2726" s="198"/>
    </row>
    <row r="2727" spans="1:26" ht="15.75" hidden="1" customHeight="1" x14ac:dyDescent="0.25">
      <c r="A2727" s="213">
        <v>38179</v>
      </c>
      <c r="B2727" s="214" t="s">
        <v>11225</v>
      </c>
      <c r="C2727" s="215" t="s">
        <v>580</v>
      </c>
      <c r="D2727" s="216">
        <v>45.16</v>
      </c>
      <c r="E2727" s="198"/>
      <c r="F2727" s="198"/>
      <c r="G2727" s="198"/>
      <c r="H2727" s="198"/>
      <c r="I2727" s="198"/>
      <c r="J2727" s="198"/>
      <c r="K2727" s="198"/>
      <c r="L2727" s="198"/>
      <c r="M2727" s="198"/>
      <c r="N2727" s="198"/>
      <c r="O2727" s="198"/>
      <c r="P2727" s="198"/>
      <c r="Q2727" s="198"/>
      <c r="R2727" s="198"/>
      <c r="S2727" s="198"/>
      <c r="T2727" s="198"/>
      <c r="U2727" s="198"/>
      <c r="V2727" s="198"/>
      <c r="W2727" s="198"/>
      <c r="X2727" s="198"/>
      <c r="Y2727" s="198"/>
      <c r="Z2727" s="198"/>
    </row>
    <row r="2728" spans="1:26" ht="15.75" hidden="1" customHeight="1" x14ac:dyDescent="0.25">
      <c r="A2728" s="213">
        <v>20256</v>
      </c>
      <c r="B2728" s="214" t="s">
        <v>11226</v>
      </c>
      <c r="C2728" s="215" t="s">
        <v>580</v>
      </c>
      <c r="D2728" s="216">
        <v>0.41</v>
      </c>
      <c r="E2728" s="198"/>
      <c r="F2728" s="198"/>
      <c r="G2728" s="198"/>
      <c r="H2728" s="198"/>
      <c r="I2728" s="198"/>
      <c r="J2728" s="198"/>
      <c r="K2728" s="198"/>
      <c r="L2728" s="198"/>
      <c r="M2728" s="198"/>
      <c r="N2728" s="198"/>
      <c r="O2728" s="198"/>
      <c r="P2728" s="198"/>
      <c r="Q2728" s="198"/>
      <c r="R2728" s="198"/>
      <c r="S2728" s="198"/>
      <c r="T2728" s="198"/>
      <c r="U2728" s="198"/>
      <c r="V2728" s="198"/>
      <c r="W2728" s="198"/>
      <c r="X2728" s="198"/>
      <c r="Y2728" s="198"/>
      <c r="Z2728" s="198"/>
    </row>
    <row r="2729" spans="1:26" ht="15.75" hidden="1" customHeight="1" x14ac:dyDescent="0.25">
      <c r="A2729" s="213">
        <v>38393</v>
      </c>
      <c r="B2729" s="214" t="s">
        <v>11227</v>
      </c>
      <c r="C2729" s="215" t="s">
        <v>580</v>
      </c>
      <c r="D2729" s="216">
        <v>14.5</v>
      </c>
      <c r="E2729" s="198"/>
      <c r="F2729" s="198"/>
      <c r="G2729" s="198"/>
      <c r="H2729" s="198"/>
      <c r="I2729" s="198"/>
      <c r="J2729" s="198"/>
      <c r="K2729" s="198"/>
      <c r="L2729" s="198"/>
      <c r="M2729" s="198"/>
      <c r="N2729" s="198"/>
      <c r="O2729" s="198"/>
      <c r="P2729" s="198"/>
      <c r="Q2729" s="198"/>
      <c r="R2729" s="198"/>
      <c r="S2729" s="198"/>
      <c r="T2729" s="198"/>
      <c r="U2729" s="198"/>
      <c r="V2729" s="198"/>
      <c r="W2729" s="198"/>
      <c r="X2729" s="198"/>
      <c r="Y2729" s="198"/>
      <c r="Z2729" s="198"/>
    </row>
    <row r="2730" spans="1:26" ht="15.75" hidden="1" customHeight="1" x14ac:dyDescent="0.25">
      <c r="A2730" s="213">
        <v>38390</v>
      </c>
      <c r="B2730" s="214" t="s">
        <v>11228</v>
      </c>
      <c r="C2730" s="215" t="s">
        <v>580</v>
      </c>
      <c r="D2730" s="216">
        <v>32.159999999999997</v>
      </c>
      <c r="E2730" s="198"/>
      <c r="F2730" s="198"/>
      <c r="G2730" s="198"/>
      <c r="H2730" s="198"/>
      <c r="I2730" s="198"/>
      <c r="J2730" s="198"/>
      <c r="K2730" s="198"/>
      <c r="L2730" s="198"/>
      <c r="M2730" s="198"/>
      <c r="N2730" s="198"/>
      <c r="O2730" s="198"/>
      <c r="P2730" s="198"/>
      <c r="Q2730" s="198"/>
      <c r="R2730" s="198"/>
      <c r="S2730" s="198"/>
      <c r="T2730" s="198"/>
      <c r="U2730" s="198"/>
      <c r="V2730" s="198"/>
      <c r="W2730" s="198"/>
      <c r="X2730" s="198"/>
      <c r="Y2730" s="198"/>
      <c r="Z2730" s="198"/>
    </row>
    <row r="2731" spans="1:26" ht="15.75" hidden="1" customHeight="1" x14ac:dyDescent="0.25">
      <c r="A2731" s="213">
        <v>11578</v>
      </c>
      <c r="B2731" s="214" t="s">
        <v>11229</v>
      </c>
      <c r="C2731" s="215" t="s">
        <v>580</v>
      </c>
      <c r="D2731" s="216">
        <v>11.79</v>
      </c>
      <c r="E2731" s="198"/>
      <c r="F2731" s="198"/>
      <c r="G2731" s="198"/>
      <c r="H2731" s="198"/>
      <c r="I2731" s="198"/>
      <c r="J2731" s="198"/>
      <c r="K2731" s="198"/>
      <c r="L2731" s="198"/>
      <c r="M2731" s="198"/>
      <c r="N2731" s="198"/>
      <c r="O2731" s="198"/>
      <c r="P2731" s="198"/>
      <c r="Q2731" s="198"/>
      <c r="R2731" s="198"/>
      <c r="S2731" s="198"/>
      <c r="T2731" s="198"/>
      <c r="U2731" s="198"/>
      <c r="V2731" s="198"/>
      <c r="W2731" s="198"/>
      <c r="X2731" s="198"/>
      <c r="Y2731" s="198"/>
      <c r="Z2731" s="198"/>
    </row>
    <row r="2732" spans="1:26" ht="15.75" hidden="1" customHeight="1" x14ac:dyDescent="0.25">
      <c r="A2732" s="213">
        <v>11577</v>
      </c>
      <c r="B2732" s="214" t="s">
        <v>11230</v>
      </c>
      <c r="C2732" s="215" t="s">
        <v>580</v>
      </c>
      <c r="D2732" s="216">
        <v>11.25</v>
      </c>
      <c r="E2732" s="198"/>
      <c r="F2732" s="198"/>
      <c r="G2732" s="198"/>
      <c r="H2732" s="198"/>
      <c r="I2732" s="198"/>
      <c r="J2732" s="198"/>
      <c r="K2732" s="198"/>
      <c r="L2732" s="198"/>
      <c r="M2732" s="198"/>
      <c r="N2732" s="198"/>
      <c r="O2732" s="198"/>
      <c r="P2732" s="198"/>
      <c r="Q2732" s="198"/>
      <c r="R2732" s="198"/>
      <c r="S2732" s="198"/>
      <c r="T2732" s="198"/>
      <c r="U2732" s="198"/>
      <c r="V2732" s="198"/>
      <c r="W2732" s="198"/>
      <c r="X2732" s="198"/>
      <c r="Y2732" s="198"/>
      <c r="Z2732" s="198"/>
    </row>
    <row r="2733" spans="1:26" ht="15.75" hidden="1" customHeight="1" x14ac:dyDescent="0.25">
      <c r="A2733" s="213">
        <v>20214</v>
      </c>
      <c r="B2733" s="214" t="s">
        <v>11231</v>
      </c>
      <c r="C2733" s="215" t="s">
        <v>580</v>
      </c>
      <c r="D2733" s="216">
        <v>54.87</v>
      </c>
      <c r="E2733" s="198"/>
      <c r="F2733" s="198"/>
      <c r="G2733" s="198"/>
      <c r="H2733" s="198"/>
      <c r="I2733" s="198"/>
      <c r="J2733" s="198"/>
      <c r="K2733" s="198"/>
      <c r="L2733" s="198"/>
      <c r="M2733" s="198"/>
      <c r="N2733" s="198"/>
      <c r="O2733" s="198"/>
      <c r="P2733" s="198"/>
      <c r="Q2733" s="198"/>
      <c r="R2733" s="198"/>
      <c r="S2733" s="198"/>
      <c r="T2733" s="198"/>
      <c r="U2733" s="198"/>
      <c r="V2733" s="198"/>
      <c r="W2733" s="198"/>
      <c r="X2733" s="198"/>
      <c r="Y2733" s="198"/>
      <c r="Z2733" s="198"/>
    </row>
    <row r="2734" spans="1:26" ht="15.75" hidden="1" customHeight="1" x14ac:dyDescent="0.25">
      <c r="A2734" s="213">
        <v>7237</v>
      </c>
      <c r="B2734" s="214" t="s">
        <v>11232</v>
      </c>
      <c r="C2734" s="215" t="s">
        <v>580</v>
      </c>
      <c r="D2734" s="216">
        <v>53.72</v>
      </c>
      <c r="E2734" s="198"/>
      <c r="F2734" s="198"/>
      <c r="G2734" s="198"/>
      <c r="H2734" s="198"/>
      <c r="I2734" s="198"/>
      <c r="J2734" s="198"/>
      <c r="K2734" s="198"/>
      <c r="L2734" s="198"/>
      <c r="M2734" s="198"/>
      <c r="N2734" s="198"/>
      <c r="O2734" s="198"/>
      <c r="P2734" s="198"/>
      <c r="Q2734" s="198"/>
      <c r="R2734" s="198"/>
      <c r="S2734" s="198"/>
      <c r="T2734" s="198"/>
      <c r="U2734" s="198"/>
      <c r="V2734" s="198"/>
      <c r="W2734" s="198"/>
      <c r="X2734" s="198"/>
      <c r="Y2734" s="198"/>
      <c r="Z2734" s="198"/>
    </row>
    <row r="2735" spans="1:26" ht="15.75" hidden="1" customHeight="1" x14ac:dyDescent="0.25">
      <c r="A2735" s="213">
        <v>11757</v>
      </c>
      <c r="B2735" s="214" t="s">
        <v>11233</v>
      </c>
      <c r="C2735" s="215" t="s">
        <v>580</v>
      </c>
      <c r="D2735" s="216">
        <v>83.9</v>
      </c>
      <c r="E2735" s="198"/>
      <c r="F2735" s="198"/>
      <c r="G2735" s="198"/>
      <c r="H2735" s="198"/>
      <c r="I2735" s="198"/>
      <c r="J2735" s="198"/>
      <c r="K2735" s="198"/>
      <c r="L2735" s="198"/>
      <c r="M2735" s="198"/>
      <c r="N2735" s="198"/>
      <c r="O2735" s="198"/>
      <c r="P2735" s="198"/>
      <c r="Q2735" s="198"/>
      <c r="R2735" s="198"/>
      <c r="S2735" s="198"/>
      <c r="T2735" s="198"/>
      <c r="U2735" s="198"/>
      <c r="V2735" s="198"/>
      <c r="W2735" s="198"/>
      <c r="X2735" s="198"/>
      <c r="Y2735" s="198"/>
      <c r="Z2735" s="198"/>
    </row>
    <row r="2736" spans="1:26" ht="15.75" hidden="1" customHeight="1" x14ac:dyDescent="0.25">
      <c r="A2736" s="213">
        <v>11758</v>
      </c>
      <c r="B2736" s="214" t="s">
        <v>11234</v>
      </c>
      <c r="C2736" s="215" t="s">
        <v>580</v>
      </c>
      <c r="D2736" s="216">
        <v>39.880000000000003</v>
      </c>
      <c r="E2736" s="198"/>
      <c r="F2736" s="198"/>
      <c r="G2736" s="198"/>
      <c r="H2736" s="198"/>
      <c r="I2736" s="198"/>
      <c r="J2736" s="198"/>
      <c r="K2736" s="198"/>
      <c r="L2736" s="198"/>
      <c r="M2736" s="198"/>
      <c r="N2736" s="198"/>
      <c r="O2736" s="198"/>
      <c r="P2736" s="198"/>
      <c r="Q2736" s="198"/>
      <c r="R2736" s="198"/>
      <c r="S2736" s="198"/>
      <c r="T2736" s="198"/>
      <c r="U2736" s="198"/>
      <c r="V2736" s="198"/>
      <c r="W2736" s="198"/>
      <c r="X2736" s="198"/>
      <c r="Y2736" s="198"/>
      <c r="Z2736" s="198"/>
    </row>
    <row r="2737" spans="1:26" ht="15.75" hidden="1" customHeight="1" x14ac:dyDescent="0.25">
      <c r="A2737" s="213">
        <v>37526</v>
      </c>
      <c r="B2737" s="214" t="s">
        <v>11235</v>
      </c>
      <c r="C2737" s="215" t="s">
        <v>580</v>
      </c>
      <c r="D2737" s="216">
        <v>3.19</v>
      </c>
      <c r="E2737" s="198"/>
      <c r="F2737" s="198"/>
      <c r="G2737" s="198"/>
      <c r="H2737" s="198"/>
      <c r="I2737" s="198"/>
      <c r="J2737" s="198"/>
      <c r="K2737" s="198"/>
      <c r="L2737" s="198"/>
      <c r="M2737" s="198"/>
      <c r="N2737" s="198"/>
      <c r="O2737" s="198"/>
      <c r="P2737" s="198"/>
      <c r="Q2737" s="198"/>
      <c r="R2737" s="198"/>
      <c r="S2737" s="198"/>
      <c r="T2737" s="198"/>
      <c r="U2737" s="198"/>
      <c r="V2737" s="198"/>
      <c r="W2737" s="198"/>
      <c r="X2737" s="198"/>
      <c r="Y2737" s="198"/>
      <c r="Z2737" s="198"/>
    </row>
    <row r="2738" spans="1:26" ht="15.75" hidden="1" customHeight="1" x14ac:dyDescent="0.25">
      <c r="A2738" s="213">
        <v>7581</v>
      </c>
      <c r="B2738" s="214" t="s">
        <v>11236</v>
      </c>
      <c r="C2738" s="215" t="s">
        <v>580</v>
      </c>
      <c r="D2738" s="216">
        <v>3.1</v>
      </c>
      <c r="E2738" s="198"/>
      <c r="F2738" s="198"/>
      <c r="G2738" s="198"/>
      <c r="H2738" s="198"/>
      <c r="I2738" s="198"/>
      <c r="J2738" s="198"/>
      <c r="K2738" s="198"/>
      <c r="L2738" s="198"/>
      <c r="M2738" s="198"/>
      <c r="N2738" s="198"/>
      <c r="O2738" s="198"/>
      <c r="P2738" s="198"/>
      <c r="Q2738" s="198"/>
      <c r="R2738" s="198"/>
      <c r="S2738" s="198"/>
      <c r="T2738" s="198"/>
      <c r="U2738" s="198"/>
      <c r="V2738" s="198"/>
      <c r="W2738" s="198"/>
      <c r="X2738" s="198"/>
      <c r="Y2738" s="198"/>
      <c r="Z2738" s="198"/>
    </row>
    <row r="2739" spans="1:26" ht="15.75" hidden="1" customHeight="1" x14ac:dyDescent="0.25">
      <c r="A2739" s="213">
        <v>4509</v>
      </c>
      <c r="B2739" s="214" t="s">
        <v>11237</v>
      </c>
      <c r="C2739" s="215" t="s">
        <v>585</v>
      </c>
      <c r="D2739" s="216">
        <v>3.55</v>
      </c>
      <c r="E2739" s="198"/>
      <c r="F2739" s="198"/>
      <c r="G2739" s="198"/>
      <c r="H2739" s="198"/>
      <c r="I2739" s="198"/>
      <c r="J2739" s="198"/>
      <c r="K2739" s="198"/>
      <c r="L2739" s="198"/>
      <c r="M2739" s="198"/>
      <c r="N2739" s="198"/>
      <c r="O2739" s="198"/>
      <c r="P2739" s="198"/>
      <c r="Q2739" s="198"/>
      <c r="R2739" s="198"/>
      <c r="S2739" s="198"/>
      <c r="T2739" s="198"/>
      <c r="U2739" s="198"/>
      <c r="V2739" s="198"/>
      <c r="W2739" s="198"/>
      <c r="X2739" s="198"/>
      <c r="Y2739" s="198"/>
      <c r="Z2739" s="198"/>
    </row>
    <row r="2740" spans="1:26" ht="15.75" hidden="1" customHeight="1" x14ac:dyDescent="0.25">
      <c r="A2740" s="213">
        <v>4512</v>
      </c>
      <c r="B2740" s="214" t="s">
        <v>11238</v>
      </c>
      <c r="C2740" s="215" t="s">
        <v>585</v>
      </c>
      <c r="D2740" s="216">
        <v>1.69</v>
      </c>
      <c r="E2740" s="198"/>
      <c r="F2740" s="198"/>
      <c r="G2740" s="198"/>
      <c r="H2740" s="198"/>
      <c r="I2740" s="198"/>
      <c r="J2740" s="198"/>
      <c r="K2740" s="198"/>
      <c r="L2740" s="198"/>
      <c r="M2740" s="198"/>
      <c r="N2740" s="198"/>
      <c r="O2740" s="198"/>
      <c r="P2740" s="198"/>
      <c r="Q2740" s="198"/>
      <c r="R2740" s="198"/>
      <c r="S2740" s="198"/>
      <c r="T2740" s="198"/>
      <c r="U2740" s="198"/>
      <c r="V2740" s="198"/>
      <c r="W2740" s="198"/>
      <c r="X2740" s="198"/>
      <c r="Y2740" s="198"/>
      <c r="Z2740" s="198"/>
    </row>
    <row r="2741" spans="1:26" ht="15.75" hidden="1" customHeight="1" x14ac:dyDescent="0.25">
      <c r="A2741" s="213">
        <v>4517</v>
      </c>
      <c r="B2741" s="214" t="s">
        <v>11239</v>
      </c>
      <c r="C2741" s="215" t="s">
        <v>585</v>
      </c>
      <c r="D2741" s="216">
        <v>2.44</v>
      </c>
      <c r="E2741" s="198"/>
      <c r="F2741" s="198"/>
      <c r="G2741" s="198"/>
      <c r="H2741" s="198"/>
      <c r="I2741" s="198"/>
      <c r="J2741" s="198"/>
      <c r="K2741" s="198"/>
      <c r="L2741" s="198"/>
      <c r="M2741" s="198"/>
      <c r="N2741" s="198"/>
      <c r="O2741" s="198"/>
      <c r="P2741" s="198"/>
      <c r="Q2741" s="198"/>
      <c r="R2741" s="198"/>
      <c r="S2741" s="198"/>
      <c r="T2741" s="198"/>
      <c r="U2741" s="198"/>
      <c r="V2741" s="198"/>
      <c r="W2741" s="198"/>
      <c r="X2741" s="198"/>
      <c r="Y2741" s="198"/>
      <c r="Z2741" s="198"/>
    </row>
    <row r="2742" spans="1:26" ht="15.75" hidden="1" customHeight="1" x14ac:dyDescent="0.25">
      <c r="A2742" s="213">
        <v>20206</v>
      </c>
      <c r="B2742" s="214" t="s">
        <v>11240</v>
      </c>
      <c r="C2742" s="215" t="s">
        <v>585</v>
      </c>
      <c r="D2742" s="216">
        <v>10.58</v>
      </c>
      <c r="E2742" s="198"/>
      <c r="F2742" s="198"/>
      <c r="G2742" s="198"/>
      <c r="H2742" s="198"/>
      <c r="I2742" s="198"/>
      <c r="J2742" s="198"/>
      <c r="K2742" s="198"/>
      <c r="L2742" s="198"/>
      <c r="M2742" s="198"/>
      <c r="N2742" s="198"/>
      <c r="O2742" s="198"/>
      <c r="P2742" s="198"/>
      <c r="Q2742" s="198"/>
      <c r="R2742" s="198"/>
      <c r="S2742" s="198"/>
      <c r="T2742" s="198"/>
      <c r="U2742" s="198"/>
      <c r="V2742" s="198"/>
      <c r="W2742" s="198"/>
      <c r="X2742" s="198"/>
      <c r="Y2742" s="198"/>
      <c r="Z2742" s="198"/>
    </row>
    <row r="2743" spans="1:26" ht="15.75" hidden="1" customHeight="1" x14ac:dyDescent="0.25">
      <c r="A2743" s="213">
        <v>4460</v>
      </c>
      <c r="B2743" s="214" t="s">
        <v>11241</v>
      </c>
      <c r="C2743" s="215" t="s">
        <v>585</v>
      </c>
      <c r="D2743" s="216">
        <v>10.86</v>
      </c>
      <c r="E2743" s="198"/>
      <c r="F2743" s="198"/>
      <c r="G2743" s="198"/>
      <c r="H2743" s="198"/>
      <c r="I2743" s="198"/>
      <c r="J2743" s="198"/>
      <c r="K2743" s="198"/>
      <c r="L2743" s="198"/>
      <c r="M2743" s="198"/>
      <c r="N2743" s="198"/>
      <c r="O2743" s="198"/>
      <c r="P2743" s="198"/>
      <c r="Q2743" s="198"/>
      <c r="R2743" s="198"/>
      <c r="S2743" s="198"/>
      <c r="T2743" s="198"/>
      <c r="U2743" s="198"/>
      <c r="V2743" s="198"/>
      <c r="W2743" s="198"/>
      <c r="X2743" s="198"/>
      <c r="Y2743" s="198"/>
      <c r="Z2743" s="198"/>
    </row>
    <row r="2744" spans="1:26" ht="15.75" hidden="1" customHeight="1" x14ac:dyDescent="0.25">
      <c r="A2744" s="213">
        <v>4415</v>
      </c>
      <c r="B2744" s="214" t="s">
        <v>11242</v>
      </c>
      <c r="C2744" s="215" t="s">
        <v>585</v>
      </c>
      <c r="D2744" s="216">
        <v>5.81</v>
      </c>
      <c r="E2744" s="198"/>
      <c r="F2744" s="198"/>
      <c r="G2744" s="198"/>
      <c r="H2744" s="198"/>
      <c r="I2744" s="198"/>
      <c r="J2744" s="198"/>
      <c r="K2744" s="198"/>
      <c r="L2744" s="198"/>
      <c r="M2744" s="198"/>
      <c r="N2744" s="198"/>
      <c r="O2744" s="198"/>
      <c r="P2744" s="198"/>
      <c r="Q2744" s="198"/>
      <c r="R2744" s="198"/>
      <c r="S2744" s="198"/>
      <c r="T2744" s="198"/>
      <c r="U2744" s="198"/>
      <c r="V2744" s="198"/>
      <c r="W2744" s="198"/>
      <c r="X2744" s="198"/>
      <c r="Y2744" s="198"/>
      <c r="Z2744" s="198"/>
    </row>
    <row r="2745" spans="1:26" ht="15.75" hidden="1" customHeight="1" x14ac:dyDescent="0.25">
      <c r="A2745" s="213">
        <v>4417</v>
      </c>
      <c r="B2745" s="214" t="s">
        <v>11243</v>
      </c>
      <c r="C2745" s="215" t="s">
        <v>585</v>
      </c>
      <c r="D2745" s="216">
        <v>8.3699999999999992</v>
      </c>
      <c r="E2745" s="198"/>
      <c r="F2745" s="198"/>
      <c r="G2745" s="198"/>
      <c r="H2745" s="198"/>
      <c r="I2745" s="198"/>
      <c r="J2745" s="198"/>
      <c r="K2745" s="198"/>
      <c r="L2745" s="198"/>
      <c r="M2745" s="198"/>
      <c r="N2745" s="198"/>
      <c r="O2745" s="198"/>
      <c r="P2745" s="198"/>
      <c r="Q2745" s="198"/>
      <c r="R2745" s="198"/>
      <c r="S2745" s="198"/>
      <c r="T2745" s="198"/>
      <c r="U2745" s="198"/>
      <c r="V2745" s="198"/>
      <c r="W2745" s="198"/>
      <c r="X2745" s="198"/>
      <c r="Y2745" s="198"/>
      <c r="Z2745" s="198"/>
    </row>
    <row r="2746" spans="1:26" ht="15.75" hidden="1" customHeight="1" x14ac:dyDescent="0.25">
      <c r="A2746" s="213">
        <v>37373</v>
      </c>
      <c r="B2746" s="214" t="s">
        <v>11244</v>
      </c>
      <c r="C2746" s="215" t="s">
        <v>2193</v>
      </c>
      <c r="D2746" s="216">
        <v>0.08</v>
      </c>
      <c r="E2746" s="198"/>
      <c r="F2746" s="198"/>
      <c r="G2746" s="198"/>
      <c r="H2746" s="198"/>
      <c r="I2746" s="198"/>
      <c r="J2746" s="198"/>
      <c r="K2746" s="198"/>
      <c r="L2746" s="198"/>
      <c r="M2746" s="198"/>
      <c r="N2746" s="198"/>
      <c r="O2746" s="198"/>
      <c r="P2746" s="198"/>
      <c r="Q2746" s="198"/>
      <c r="R2746" s="198"/>
      <c r="S2746" s="198"/>
      <c r="T2746" s="198"/>
      <c r="U2746" s="198"/>
      <c r="V2746" s="198"/>
      <c r="W2746" s="198"/>
      <c r="X2746" s="198"/>
      <c r="Y2746" s="198"/>
      <c r="Z2746" s="198"/>
    </row>
    <row r="2747" spans="1:26" ht="15.75" hidden="1" customHeight="1" x14ac:dyDescent="0.25">
      <c r="A2747" s="213">
        <v>40864</v>
      </c>
      <c r="B2747" s="214" t="s">
        <v>11245</v>
      </c>
      <c r="C2747" s="215" t="s">
        <v>6214</v>
      </c>
      <c r="D2747" s="216">
        <v>15.46</v>
      </c>
      <c r="E2747" s="198"/>
      <c r="F2747" s="198"/>
      <c r="G2747" s="198"/>
      <c r="H2747" s="198"/>
      <c r="I2747" s="198"/>
      <c r="J2747" s="198"/>
      <c r="K2747" s="198"/>
      <c r="L2747" s="198"/>
      <c r="M2747" s="198"/>
      <c r="N2747" s="198"/>
      <c r="O2747" s="198"/>
      <c r="P2747" s="198"/>
      <c r="Q2747" s="198"/>
      <c r="R2747" s="198"/>
      <c r="S2747" s="198"/>
      <c r="T2747" s="198"/>
      <c r="U2747" s="198"/>
      <c r="V2747" s="198"/>
      <c r="W2747" s="198"/>
      <c r="X2747" s="198"/>
      <c r="Y2747" s="198"/>
      <c r="Z2747" s="198"/>
    </row>
    <row r="2748" spans="1:26" ht="15.75" hidden="1" customHeight="1" x14ac:dyDescent="0.25">
      <c r="A2748" s="213">
        <v>4734</v>
      </c>
      <c r="B2748" s="214" t="s">
        <v>11246</v>
      </c>
      <c r="C2748" s="215" t="s">
        <v>664</v>
      </c>
      <c r="D2748" s="216">
        <v>209.44</v>
      </c>
      <c r="E2748" s="198"/>
      <c r="F2748" s="198"/>
      <c r="G2748" s="198"/>
      <c r="H2748" s="198"/>
      <c r="I2748" s="198"/>
      <c r="J2748" s="198"/>
      <c r="K2748" s="198"/>
      <c r="L2748" s="198"/>
      <c r="M2748" s="198"/>
      <c r="N2748" s="198"/>
      <c r="O2748" s="198"/>
      <c r="P2748" s="198"/>
      <c r="Q2748" s="198"/>
      <c r="R2748" s="198"/>
      <c r="S2748" s="198"/>
      <c r="T2748" s="198"/>
      <c r="U2748" s="198"/>
      <c r="V2748" s="198"/>
      <c r="W2748" s="198"/>
      <c r="X2748" s="198"/>
      <c r="Y2748" s="198"/>
      <c r="Z2748" s="198"/>
    </row>
    <row r="2749" spans="1:26" ht="15.75" hidden="1" customHeight="1" x14ac:dyDescent="0.25">
      <c r="A2749" s="213">
        <v>6085</v>
      </c>
      <c r="B2749" s="214" t="s">
        <v>11247</v>
      </c>
      <c r="C2749" s="215" t="s">
        <v>517</v>
      </c>
      <c r="D2749" s="216">
        <v>8.89</v>
      </c>
      <c r="E2749" s="198"/>
      <c r="F2749" s="198"/>
      <c r="G2749" s="198"/>
      <c r="H2749" s="198"/>
      <c r="I2749" s="198"/>
      <c r="J2749" s="198"/>
      <c r="K2749" s="198"/>
      <c r="L2749" s="198"/>
      <c r="M2749" s="198"/>
      <c r="N2749" s="198"/>
      <c r="O2749" s="198"/>
      <c r="P2749" s="198"/>
      <c r="Q2749" s="198"/>
      <c r="R2749" s="198"/>
      <c r="S2749" s="198"/>
      <c r="T2749" s="198"/>
      <c r="U2749" s="198"/>
      <c r="V2749" s="198"/>
      <c r="W2749" s="198"/>
      <c r="X2749" s="198"/>
      <c r="Y2749" s="198"/>
      <c r="Z2749" s="198"/>
    </row>
    <row r="2750" spans="1:26" ht="15.75" hidden="1" customHeight="1" x14ac:dyDescent="0.25">
      <c r="A2750" s="213">
        <v>38396</v>
      </c>
      <c r="B2750" s="214" t="s">
        <v>11248</v>
      </c>
      <c r="C2750" s="215" t="s">
        <v>580</v>
      </c>
      <c r="D2750" s="216">
        <v>513.66</v>
      </c>
      <c r="E2750" s="198"/>
      <c r="F2750" s="198"/>
      <c r="G2750" s="198"/>
      <c r="H2750" s="198"/>
      <c r="I2750" s="198"/>
      <c r="J2750" s="198"/>
      <c r="K2750" s="198"/>
      <c r="L2750" s="198"/>
      <c r="M2750" s="198"/>
      <c r="N2750" s="198"/>
      <c r="O2750" s="198"/>
      <c r="P2750" s="198"/>
      <c r="Q2750" s="198"/>
      <c r="R2750" s="198"/>
      <c r="S2750" s="198"/>
      <c r="T2750" s="198"/>
      <c r="U2750" s="198"/>
      <c r="V2750" s="198"/>
      <c r="W2750" s="198"/>
      <c r="X2750" s="198"/>
      <c r="Y2750" s="198"/>
      <c r="Z2750" s="198"/>
    </row>
    <row r="2751" spans="1:26" ht="15.75" hidden="1" customHeight="1" x14ac:dyDescent="0.25">
      <c r="A2751" s="213">
        <v>11622</v>
      </c>
      <c r="B2751" s="214" t="s">
        <v>11249</v>
      </c>
      <c r="C2751" s="215" t="s">
        <v>823</v>
      </c>
      <c r="D2751" s="216">
        <v>71.349999999999994</v>
      </c>
      <c r="E2751" s="198"/>
      <c r="F2751" s="198"/>
      <c r="G2751" s="198"/>
      <c r="H2751" s="198"/>
      <c r="I2751" s="198"/>
      <c r="J2751" s="198"/>
      <c r="K2751" s="198"/>
      <c r="L2751" s="198"/>
      <c r="M2751" s="198"/>
      <c r="N2751" s="198"/>
      <c r="O2751" s="198"/>
      <c r="P2751" s="198"/>
      <c r="Q2751" s="198"/>
      <c r="R2751" s="198"/>
      <c r="S2751" s="198"/>
      <c r="T2751" s="198"/>
      <c r="U2751" s="198"/>
      <c r="V2751" s="198"/>
      <c r="W2751" s="198"/>
      <c r="X2751" s="198"/>
      <c r="Y2751" s="198"/>
      <c r="Z2751" s="198"/>
    </row>
    <row r="2752" spans="1:26" ht="15.75" hidden="1" customHeight="1" x14ac:dyDescent="0.25">
      <c r="A2752" s="213">
        <v>43143</v>
      </c>
      <c r="B2752" s="214" t="s">
        <v>11250</v>
      </c>
      <c r="C2752" s="215" t="s">
        <v>517</v>
      </c>
      <c r="D2752" s="216">
        <v>26.95</v>
      </c>
      <c r="E2752" s="198"/>
      <c r="F2752" s="198"/>
      <c r="G2752" s="198"/>
      <c r="H2752" s="198"/>
      <c r="I2752" s="198"/>
      <c r="J2752" s="198"/>
      <c r="K2752" s="198"/>
      <c r="L2752" s="198"/>
      <c r="M2752" s="198"/>
      <c r="N2752" s="198"/>
      <c r="O2752" s="198"/>
      <c r="P2752" s="198"/>
      <c r="Q2752" s="198"/>
      <c r="R2752" s="198"/>
      <c r="S2752" s="198"/>
      <c r="T2752" s="198"/>
      <c r="U2752" s="198"/>
      <c r="V2752" s="198"/>
      <c r="W2752" s="198"/>
      <c r="X2752" s="198"/>
      <c r="Y2752" s="198"/>
      <c r="Z2752" s="198"/>
    </row>
    <row r="2753" spans="1:26" ht="15.75" hidden="1" customHeight="1" x14ac:dyDescent="0.25">
      <c r="A2753" s="213">
        <v>7317</v>
      </c>
      <c r="B2753" s="214" t="s">
        <v>11251</v>
      </c>
      <c r="C2753" s="215" t="s">
        <v>823</v>
      </c>
      <c r="D2753" s="216">
        <v>39.07</v>
      </c>
      <c r="E2753" s="198"/>
      <c r="F2753" s="198"/>
      <c r="G2753" s="198"/>
      <c r="H2753" s="198"/>
      <c r="I2753" s="198"/>
      <c r="J2753" s="198"/>
      <c r="K2753" s="198"/>
      <c r="L2753" s="198"/>
      <c r="M2753" s="198"/>
      <c r="N2753" s="198"/>
      <c r="O2753" s="198"/>
      <c r="P2753" s="198"/>
      <c r="Q2753" s="198"/>
      <c r="R2753" s="198"/>
      <c r="S2753" s="198"/>
      <c r="T2753" s="198"/>
      <c r="U2753" s="198"/>
      <c r="V2753" s="198"/>
      <c r="W2753" s="198"/>
      <c r="X2753" s="198"/>
      <c r="Y2753" s="198"/>
      <c r="Z2753" s="198"/>
    </row>
    <row r="2754" spans="1:26" ht="15.75" hidden="1" customHeight="1" x14ac:dyDescent="0.25">
      <c r="A2754" s="213">
        <v>142</v>
      </c>
      <c r="B2754" s="214" t="s">
        <v>11252</v>
      </c>
      <c r="C2754" s="215" t="s">
        <v>11253</v>
      </c>
      <c r="D2754" s="216">
        <v>33.659999999999997</v>
      </c>
      <c r="E2754" s="198"/>
      <c r="F2754" s="198"/>
      <c r="G2754" s="198"/>
      <c r="H2754" s="198"/>
      <c r="I2754" s="198"/>
      <c r="J2754" s="198"/>
      <c r="K2754" s="198"/>
      <c r="L2754" s="198"/>
      <c r="M2754" s="198"/>
      <c r="N2754" s="198"/>
      <c r="O2754" s="198"/>
      <c r="P2754" s="198"/>
      <c r="Q2754" s="198"/>
      <c r="R2754" s="198"/>
      <c r="S2754" s="198"/>
      <c r="T2754" s="198"/>
      <c r="U2754" s="198"/>
      <c r="V2754" s="198"/>
      <c r="W2754" s="198"/>
      <c r="X2754" s="198"/>
      <c r="Y2754" s="198"/>
      <c r="Z2754" s="198"/>
    </row>
    <row r="2755" spans="1:26" ht="15.75" hidden="1" customHeight="1" x14ac:dyDescent="0.25">
      <c r="A2755" s="213">
        <v>43142</v>
      </c>
      <c r="B2755" s="214" t="s">
        <v>11254</v>
      </c>
      <c r="C2755" s="215" t="s">
        <v>517</v>
      </c>
      <c r="D2755" s="216">
        <v>152.91999999999999</v>
      </c>
      <c r="E2755" s="198"/>
      <c r="F2755" s="198"/>
      <c r="G2755" s="198"/>
      <c r="H2755" s="198"/>
      <c r="I2755" s="198"/>
      <c r="J2755" s="198"/>
      <c r="K2755" s="198"/>
      <c r="L2755" s="198"/>
      <c r="M2755" s="198"/>
      <c r="N2755" s="198"/>
      <c r="O2755" s="198"/>
      <c r="P2755" s="198"/>
      <c r="Q2755" s="198"/>
      <c r="R2755" s="198"/>
      <c r="S2755" s="198"/>
      <c r="T2755" s="198"/>
      <c r="U2755" s="198"/>
      <c r="V2755" s="198"/>
      <c r="W2755" s="198"/>
      <c r="X2755" s="198"/>
      <c r="Y2755" s="198"/>
      <c r="Z2755" s="198"/>
    </row>
    <row r="2756" spans="1:26" ht="15.75" hidden="1" customHeight="1" x14ac:dyDescent="0.25">
      <c r="A2756" s="213">
        <v>38123</v>
      </c>
      <c r="B2756" s="214" t="s">
        <v>11255</v>
      </c>
      <c r="C2756" s="215" t="s">
        <v>823</v>
      </c>
      <c r="D2756" s="216">
        <v>56.2</v>
      </c>
      <c r="E2756" s="198"/>
      <c r="F2756" s="198"/>
      <c r="G2756" s="198"/>
      <c r="H2756" s="198"/>
      <c r="I2756" s="198"/>
      <c r="J2756" s="198"/>
      <c r="K2756" s="198"/>
      <c r="L2756" s="198"/>
      <c r="M2756" s="198"/>
      <c r="N2756" s="198"/>
      <c r="O2756" s="198"/>
      <c r="P2756" s="198"/>
      <c r="Q2756" s="198"/>
      <c r="R2756" s="198"/>
      <c r="S2756" s="198"/>
      <c r="T2756" s="198"/>
      <c r="U2756" s="198"/>
      <c r="V2756" s="198"/>
      <c r="W2756" s="198"/>
      <c r="X2756" s="198"/>
      <c r="Y2756" s="198"/>
      <c r="Z2756" s="198"/>
    </row>
    <row r="2757" spans="1:26" ht="15.75" hidden="1" customHeight="1" x14ac:dyDescent="0.25">
      <c r="A2757" s="213">
        <v>42699</v>
      </c>
      <c r="B2757" s="214" t="s">
        <v>11256</v>
      </c>
      <c r="C2757" s="215" t="s">
        <v>580</v>
      </c>
      <c r="D2757" s="216">
        <v>31.13</v>
      </c>
      <c r="E2757" s="198"/>
      <c r="F2757" s="198"/>
      <c r="G2757" s="198"/>
      <c r="H2757" s="198"/>
      <c r="I2757" s="198"/>
      <c r="J2757" s="198"/>
      <c r="K2757" s="198"/>
      <c r="L2757" s="198"/>
      <c r="M2757" s="198"/>
      <c r="N2757" s="198"/>
      <c r="O2757" s="198"/>
      <c r="P2757" s="198"/>
      <c r="Q2757" s="198"/>
      <c r="R2757" s="198"/>
      <c r="S2757" s="198"/>
      <c r="T2757" s="198"/>
      <c r="U2757" s="198"/>
      <c r="V2757" s="198"/>
      <c r="W2757" s="198"/>
      <c r="X2757" s="198"/>
      <c r="Y2757" s="198"/>
      <c r="Z2757" s="198"/>
    </row>
    <row r="2758" spans="1:26" ht="15.75" hidden="1" customHeight="1" x14ac:dyDescent="0.25">
      <c r="A2758" s="213">
        <v>37743</v>
      </c>
      <c r="B2758" s="214" t="s">
        <v>11257</v>
      </c>
      <c r="C2758" s="215" t="s">
        <v>580</v>
      </c>
      <c r="D2758" s="216">
        <v>212196.78</v>
      </c>
      <c r="E2758" s="198"/>
      <c r="F2758" s="198"/>
      <c r="G2758" s="198"/>
      <c r="H2758" s="198"/>
      <c r="I2758" s="198"/>
      <c r="J2758" s="198"/>
      <c r="K2758" s="198"/>
      <c r="L2758" s="198"/>
      <c r="M2758" s="198"/>
      <c r="N2758" s="198"/>
      <c r="O2758" s="198"/>
      <c r="P2758" s="198"/>
      <c r="Q2758" s="198"/>
      <c r="R2758" s="198"/>
      <c r="S2758" s="198"/>
      <c r="T2758" s="198"/>
      <c r="U2758" s="198"/>
      <c r="V2758" s="198"/>
      <c r="W2758" s="198"/>
      <c r="X2758" s="198"/>
      <c r="Y2758" s="198"/>
      <c r="Z2758" s="198"/>
    </row>
    <row r="2759" spans="1:26" ht="15.75" hidden="1" customHeight="1" x14ac:dyDescent="0.25">
      <c r="A2759" s="213">
        <v>37744</v>
      </c>
      <c r="B2759" s="214" t="s">
        <v>11258</v>
      </c>
      <c r="C2759" s="215" t="s">
        <v>580</v>
      </c>
      <c r="D2759" s="216">
        <v>249503.49</v>
      </c>
      <c r="E2759" s="198"/>
      <c r="F2759" s="198"/>
      <c r="G2759" s="198"/>
      <c r="H2759" s="198"/>
      <c r="I2759" s="198"/>
      <c r="J2759" s="198"/>
      <c r="K2759" s="198"/>
      <c r="L2759" s="198"/>
      <c r="M2759" s="198"/>
      <c r="N2759" s="198"/>
      <c r="O2759" s="198"/>
      <c r="P2759" s="198"/>
      <c r="Q2759" s="198"/>
      <c r="R2759" s="198"/>
      <c r="S2759" s="198"/>
      <c r="T2759" s="198"/>
      <c r="U2759" s="198"/>
      <c r="V2759" s="198"/>
      <c r="W2759" s="198"/>
      <c r="X2759" s="198"/>
      <c r="Y2759" s="198"/>
      <c r="Z2759" s="198"/>
    </row>
    <row r="2760" spans="1:26" ht="15.75" hidden="1" customHeight="1" x14ac:dyDescent="0.25">
      <c r="A2760" s="213">
        <v>37741</v>
      </c>
      <c r="B2760" s="214" t="s">
        <v>11259</v>
      </c>
      <c r="C2760" s="215" t="s">
        <v>580</v>
      </c>
      <c r="D2760" s="216">
        <v>192949.37</v>
      </c>
      <c r="E2760" s="198"/>
      <c r="F2760" s="198"/>
      <c r="G2760" s="198"/>
      <c r="H2760" s="198"/>
      <c r="I2760" s="198"/>
      <c r="J2760" s="198"/>
      <c r="K2760" s="198"/>
      <c r="L2760" s="198"/>
      <c r="M2760" s="198"/>
      <c r="N2760" s="198"/>
      <c r="O2760" s="198"/>
      <c r="P2760" s="198"/>
      <c r="Q2760" s="198"/>
      <c r="R2760" s="198"/>
      <c r="S2760" s="198"/>
      <c r="T2760" s="198"/>
      <c r="U2760" s="198"/>
      <c r="V2760" s="198"/>
      <c r="W2760" s="198"/>
      <c r="X2760" s="198"/>
      <c r="Y2760" s="198"/>
      <c r="Z2760" s="198"/>
    </row>
    <row r="2761" spans="1:26" ht="15.75" hidden="1" customHeight="1" x14ac:dyDescent="0.25">
      <c r="A2761" s="213">
        <v>14618</v>
      </c>
      <c r="B2761" s="214" t="s">
        <v>11260</v>
      </c>
      <c r="C2761" s="215" t="s">
        <v>580</v>
      </c>
      <c r="D2761" s="216">
        <v>1315.88</v>
      </c>
      <c r="E2761" s="198"/>
      <c r="F2761" s="198"/>
      <c r="G2761" s="198"/>
      <c r="H2761" s="198"/>
      <c r="I2761" s="198"/>
      <c r="J2761" s="198"/>
      <c r="K2761" s="198"/>
      <c r="L2761" s="198"/>
      <c r="M2761" s="198"/>
      <c r="N2761" s="198"/>
      <c r="O2761" s="198"/>
      <c r="P2761" s="198"/>
      <c r="Q2761" s="198"/>
      <c r="R2761" s="198"/>
      <c r="S2761" s="198"/>
      <c r="T2761" s="198"/>
      <c r="U2761" s="198"/>
      <c r="V2761" s="198"/>
      <c r="W2761" s="198"/>
      <c r="X2761" s="198"/>
      <c r="Y2761" s="198"/>
      <c r="Z2761" s="198"/>
    </row>
    <row r="2762" spans="1:26" ht="15.75" hidden="1" customHeight="1" x14ac:dyDescent="0.25">
      <c r="A2762" s="213">
        <v>40269</v>
      </c>
      <c r="B2762" s="214" t="s">
        <v>11261</v>
      </c>
      <c r="C2762" s="215" t="s">
        <v>580</v>
      </c>
      <c r="D2762" s="216">
        <v>5301.6</v>
      </c>
      <c r="E2762" s="198"/>
      <c r="F2762" s="198"/>
      <c r="G2762" s="198"/>
      <c r="H2762" s="198"/>
      <c r="I2762" s="198"/>
      <c r="J2762" s="198"/>
      <c r="K2762" s="198"/>
      <c r="L2762" s="198"/>
      <c r="M2762" s="198"/>
      <c r="N2762" s="198"/>
      <c r="O2762" s="198"/>
      <c r="P2762" s="198"/>
      <c r="Q2762" s="198"/>
      <c r="R2762" s="198"/>
      <c r="S2762" s="198"/>
      <c r="T2762" s="198"/>
      <c r="U2762" s="198"/>
      <c r="V2762" s="198"/>
      <c r="W2762" s="198"/>
      <c r="X2762" s="198"/>
      <c r="Y2762" s="198"/>
      <c r="Z2762" s="198"/>
    </row>
    <row r="2763" spans="1:26" ht="15.75" hidden="1" customHeight="1" x14ac:dyDescent="0.25">
      <c r="A2763" s="213">
        <v>6110</v>
      </c>
      <c r="B2763" s="214" t="s">
        <v>11262</v>
      </c>
      <c r="C2763" s="215" t="s">
        <v>2193</v>
      </c>
      <c r="D2763" s="216">
        <v>27.06</v>
      </c>
      <c r="E2763" s="198"/>
      <c r="F2763" s="198"/>
      <c r="G2763" s="198"/>
      <c r="H2763" s="198"/>
      <c r="I2763" s="198"/>
      <c r="J2763" s="198"/>
      <c r="K2763" s="198"/>
      <c r="L2763" s="198"/>
      <c r="M2763" s="198"/>
      <c r="N2763" s="198"/>
      <c r="O2763" s="198"/>
      <c r="P2763" s="198"/>
      <c r="Q2763" s="198"/>
      <c r="R2763" s="198"/>
      <c r="S2763" s="198"/>
      <c r="T2763" s="198"/>
      <c r="U2763" s="198"/>
      <c r="V2763" s="198"/>
      <c r="W2763" s="198"/>
      <c r="X2763" s="198"/>
      <c r="Y2763" s="198"/>
      <c r="Z2763" s="198"/>
    </row>
    <row r="2764" spans="1:26" ht="15.75" hidden="1" customHeight="1" x14ac:dyDescent="0.25">
      <c r="A2764" s="213">
        <v>40910</v>
      </c>
      <c r="B2764" s="214" t="s">
        <v>11263</v>
      </c>
      <c r="C2764" s="215" t="s">
        <v>6214</v>
      </c>
      <c r="D2764" s="216">
        <v>4747.54</v>
      </c>
      <c r="E2764" s="198"/>
      <c r="F2764" s="198"/>
      <c r="G2764" s="198"/>
      <c r="H2764" s="198"/>
      <c r="I2764" s="198"/>
      <c r="J2764" s="198"/>
      <c r="K2764" s="198"/>
      <c r="L2764" s="198"/>
      <c r="M2764" s="198"/>
      <c r="N2764" s="198"/>
      <c r="O2764" s="198"/>
      <c r="P2764" s="198"/>
      <c r="Q2764" s="198"/>
      <c r="R2764" s="198"/>
      <c r="S2764" s="198"/>
      <c r="T2764" s="198"/>
      <c r="U2764" s="198"/>
      <c r="V2764" s="198"/>
      <c r="W2764" s="198"/>
      <c r="X2764" s="198"/>
      <c r="Y2764" s="198"/>
      <c r="Z2764" s="198"/>
    </row>
    <row r="2765" spans="1:26" ht="15.75" hidden="1" customHeight="1" x14ac:dyDescent="0.25">
      <c r="A2765" s="213">
        <v>6111</v>
      </c>
      <c r="B2765" s="214" t="s">
        <v>11264</v>
      </c>
      <c r="C2765" s="215" t="s">
        <v>2193</v>
      </c>
      <c r="D2765" s="216">
        <v>19.12</v>
      </c>
      <c r="E2765" s="198"/>
      <c r="F2765" s="198"/>
      <c r="G2765" s="198"/>
      <c r="H2765" s="198"/>
      <c r="I2765" s="198"/>
      <c r="J2765" s="198"/>
      <c r="K2765" s="198"/>
      <c r="L2765" s="198"/>
      <c r="M2765" s="198"/>
      <c r="N2765" s="198"/>
      <c r="O2765" s="198"/>
      <c r="P2765" s="198"/>
      <c r="Q2765" s="198"/>
      <c r="R2765" s="198"/>
      <c r="S2765" s="198"/>
      <c r="T2765" s="198"/>
      <c r="U2765" s="198"/>
      <c r="V2765" s="198"/>
      <c r="W2765" s="198"/>
      <c r="X2765" s="198"/>
      <c r="Y2765" s="198"/>
      <c r="Z2765" s="198"/>
    </row>
    <row r="2766" spans="1:26" ht="15.75" hidden="1" customHeight="1" x14ac:dyDescent="0.25">
      <c r="A2766" s="213">
        <v>41084</v>
      </c>
      <c r="B2766" s="214" t="s">
        <v>11265</v>
      </c>
      <c r="C2766" s="215" t="s">
        <v>6214</v>
      </c>
      <c r="D2766" s="216">
        <v>3354.78</v>
      </c>
      <c r="E2766" s="198"/>
      <c r="F2766" s="198"/>
      <c r="G2766" s="198"/>
      <c r="H2766" s="198"/>
      <c r="I2766" s="198"/>
      <c r="J2766" s="198"/>
      <c r="K2766" s="198"/>
      <c r="L2766" s="198"/>
      <c r="M2766" s="198"/>
      <c r="N2766" s="198"/>
      <c r="O2766" s="198"/>
      <c r="P2766" s="198"/>
      <c r="Q2766" s="198"/>
      <c r="R2766" s="198"/>
      <c r="S2766" s="198"/>
      <c r="T2766" s="198"/>
      <c r="U2766" s="198"/>
      <c r="V2766" s="198"/>
      <c r="W2766" s="198"/>
      <c r="X2766" s="198"/>
      <c r="Y2766" s="198"/>
      <c r="Z2766" s="198"/>
    </row>
    <row r="2767" spans="1:26" ht="15.75" hidden="1" customHeight="1" x14ac:dyDescent="0.25">
      <c r="A2767" s="213">
        <v>44535</v>
      </c>
      <c r="B2767" s="214" t="s">
        <v>11266</v>
      </c>
      <c r="C2767" s="215" t="s">
        <v>664</v>
      </c>
      <c r="D2767" s="216">
        <v>46.35</v>
      </c>
      <c r="E2767" s="198"/>
      <c r="F2767" s="198"/>
      <c r="G2767" s="198"/>
      <c r="H2767" s="198"/>
      <c r="I2767" s="198"/>
      <c r="J2767" s="198"/>
      <c r="K2767" s="198"/>
      <c r="L2767" s="198"/>
      <c r="M2767" s="198"/>
      <c r="N2767" s="198"/>
      <c r="O2767" s="198"/>
      <c r="P2767" s="198"/>
      <c r="Q2767" s="198"/>
      <c r="R2767" s="198"/>
      <c r="S2767" s="198"/>
      <c r="T2767" s="198"/>
      <c r="U2767" s="198"/>
      <c r="V2767" s="198"/>
      <c r="W2767" s="198"/>
      <c r="X2767" s="198"/>
      <c r="Y2767" s="198"/>
      <c r="Z2767" s="198"/>
    </row>
    <row r="2768" spans="1:26" ht="15.75" hidden="1" customHeight="1" x14ac:dyDescent="0.25">
      <c r="A2768" s="213">
        <v>44945</v>
      </c>
      <c r="B2768" s="214" t="s">
        <v>11267</v>
      </c>
      <c r="C2768" s="215" t="s">
        <v>580</v>
      </c>
      <c r="D2768" s="216">
        <v>7.9</v>
      </c>
      <c r="E2768" s="198"/>
      <c r="F2768" s="198"/>
      <c r="G2768" s="198"/>
      <c r="H2768" s="198"/>
      <c r="I2768" s="198"/>
      <c r="J2768" s="198"/>
      <c r="K2768" s="198"/>
      <c r="L2768" s="198"/>
      <c r="M2768" s="198"/>
      <c r="N2768" s="198"/>
      <c r="O2768" s="198"/>
      <c r="P2768" s="198"/>
      <c r="Q2768" s="198"/>
      <c r="R2768" s="198"/>
      <c r="S2768" s="198"/>
      <c r="T2768" s="198"/>
      <c r="U2768" s="198"/>
      <c r="V2768" s="198"/>
      <c r="W2768" s="198"/>
      <c r="X2768" s="198"/>
      <c r="Y2768" s="198"/>
      <c r="Z2768" s="198"/>
    </row>
    <row r="2769" spans="1:26" ht="15.75" hidden="1" customHeight="1" x14ac:dyDescent="0.25">
      <c r="A2769" s="213">
        <v>38637</v>
      </c>
      <c r="B2769" s="214" t="s">
        <v>11268</v>
      </c>
      <c r="C2769" s="215" t="s">
        <v>580</v>
      </c>
      <c r="D2769" s="216">
        <v>370.01</v>
      </c>
      <c r="E2769" s="198"/>
      <c r="F2769" s="198"/>
      <c r="G2769" s="198"/>
      <c r="H2769" s="198"/>
      <c r="I2769" s="198"/>
      <c r="J2769" s="198"/>
      <c r="K2769" s="198"/>
      <c r="L2769" s="198"/>
      <c r="M2769" s="198"/>
      <c r="N2769" s="198"/>
      <c r="O2769" s="198"/>
      <c r="P2769" s="198"/>
      <c r="Q2769" s="198"/>
      <c r="R2769" s="198"/>
      <c r="S2769" s="198"/>
      <c r="T2769" s="198"/>
      <c r="U2769" s="198"/>
      <c r="V2769" s="198"/>
      <c r="W2769" s="198"/>
      <c r="X2769" s="198"/>
      <c r="Y2769" s="198"/>
      <c r="Z2769" s="198"/>
    </row>
    <row r="2770" spans="1:26" ht="15.75" hidden="1" customHeight="1" x14ac:dyDescent="0.25">
      <c r="A2770" s="213">
        <v>6150</v>
      </c>
      <c r="B2770" s="214" t="s">
        <v>11269</v>
      </c>
      <c r="C2770" s="215" t="s">
        <v>580</v>
      </c>
      <c r="D2770" s="216">
        <v>374.53</v>
      </c>
      <c r="E2770" s="198"/>
      <c r="F2770" s="198"/>
      <c r="G2770" s="198"/>
      <c r="H2770" s="198"/>
      <c r="I2770" s="198"/>
      <c r="J2770" s="198"/>
      <c r="K2770" s="198"/>
      <c r="L2770" s="198"/>
      <c r="M2770" s="198"/>
      <c r="N2770" s="198"/>
      <c r="O2770" s="198"/>
      <c r="P2770" s="198"/>
      <c r="Q2770" s="198"/>
      <c r="R2770" s="198"/>
      <c r="S2770" s="198"/>
      <c r="T2770" s="198"/>
      <c r="U2770" s="198"/>
      <c r="V2770" s="198"/>
      <c r="W2770" s="198"/>
      <c r="X2770" s="198"/>
      <c r="Y2770" s="198"/>
      <c r="Z2770" s="198"/>
    </row>
    <row r="2771" spans="1:26" ht="15.75" hidden="1" customHeight="1" x14ac:dyDescent="0.25">
      <c r="A2771" s="213">
        <v>6136</v>
      </c>
      <c r="B2771" s="214" t="s">
        <v>11270</v>
      </c>
      <c r="C2771" s="215" t="s">
        <v>580</v>
      </c>
      <c r="D2771" s="216">
        <v>294.39999999999998</v>
      </c>
      <c r="E2771" s="198"/>
      <c r="F2771" s="198"/>
      <c r="G2771" s="198"/>
      <c r="H2771" s="198"/>
      <c r="I2771" s="198"/>
      <c r="J2771" s="198"/>
      <c r="K2771" s="198"/>
      <c r="L2771" s="198"/>
      <c r="M2771" s="198"/>
      <c r="N2771" s="198"/>
      <c r="O2771" s="198"/>
      <c r="P2771" s="198"/>
      <c r="Q2771" s="198"/>
      <c r="R2771" s="198"/>
      <c r="S2771" s="198"/>
      <c r="T2771" s="198"/>
      <c r="U2771" s="198"/>
      <c r="V2771" s="198"/>
      <c r="W2771" s="198"/>
      <c r="X2771" s="198"/>
      <c r="Y2771" s="198"/>
      <c r="Z2771" s="198"/>
    </row>
    <row r="2772" spans="1:26" ht="15.75" hidden="1" customHeight="1" x14ac:dyDescent="0.25">
      <c r="A2772" s="213">
        <v>38638</v>
      </c>
      <c r="B2772" s="214" t="s">
        <v>11271</v>
      </c>
      <c r="C2772" s="215" t="s">
        <v>580</v>
      </c>
      <c r="D2772" s="216">
        <v>311.79000000000002</v>
      </c>
      <c r="E2772" s="198"/>
      <c r="F2772" s="198"/>
      <c r="G2772" s="198"/>
      <c r="H2772" s="198"/>
      <c r="I2772" s="198"/>
      <c r="J2772" s="198"/>
      <c r="K2772" s="198"/>
      <c r="L2772" s="198"/>
      <c r="M2772" s="198"/>
      <c r="N2772" s="198"/>
      <c r="O2772" s="198"/>
      <c r="P2772" s="198"/>
      <c r="Q2772" s="198"/>
      <c r="R2772" s="198"/>
      <c r="S2772" s="198"/>
      <c r="T2772" s="198"/>
      <c r="U2772" s="198"/>
      <c r="V2772" s="198"/>
      <c r="W2772" s="198"/>
      <c r="X2772" s="198"/>
      <c r="Y2772" s="198"/>
      <c r="Z2772" s="198"/>
    </row>
    <row r="2773" spans="1:26" ht="15.75" hidden="1" customHeight="1" x14ac:dyDescent="0.25">
      <c r="A2773" s="213">
        <v>20262</v>
      </c>
      <c r="B2773" s="214" t="s">
        <v>11272</v>
      </c>
      <c r="C2773" s="215" t="s">
        <v>580</v>
      </c>
      <c r="D2773" s="216">
        <v>14.47</v>
      </c>
      <c r="E2773" s="198"/>
      <c r="F2773" s="198"/>
      <c r="G2773" s="198"/>
      <c r="H2773" s="198"/>
      <c r="I2773" s="198"/>
      <c r="J2773" s="198"/>
      <c r="K2773" s="198"/>
      <c r="L2773" s="198"/>
      <c r="M2773" s="198"/>
      <c r="N2773" s="198"/>
      <c r="O2773" s="198"/>
      <c r="P2773" s="198"/>
      <c r="Q2773" s="198"/>
      <c r="R2773" s="198"/>
      <c r="S2773" s="198"/>
      <c r="T2773" s="198"/>
      <c r="U2773" s="198"/>
      <c r="V2773" s="198"/>
      <c r="W2773" s="198"/>
      <c r="X2773" s="198"/>
      <c r="Y2773" s="198"/>
      <c r="Z2773" s="198"/>
    </row>
    <row r="2774" spans="1:26" ht="15.75" hidden="1" customHeight="1" x14ac:dyDescent="0.25">
      <c r="A2774" s="213">
        <v>6145</v>
      </c>
      <c r="B2774" s="214" t="s">
        <v>11273</v>
      </c>
      <c r="C2774" s="215" t="s">
        <v>580</v>
      </c>
      <c r="D2774" s="216">
        <v>15.98</v>
      </c>
      <c r="E2774" s="198"/>
      <c r="F2774" s="198"/>
      <c r="G2774" s="198"/>
      <c r="H2774" s="198"/>
      <c r="I2774" s="198"/>
      <c r="J2774" s="198"/>
      <c r="K2774" s="198"/>
      <c r="L2774" s="198"/>
      <c r="M2774" s="198"/>
      <c r="N2774" s="198"/>
      <c r="O2774" s="198"/>
      <c r="P2774" s="198"/>
      <c r="Q2774" s="198"/>
      <c r="R2774" s="198"/>
      <c r="S2774" s="198"/>
      <c r="T2774" s="198"/>
      <c r="U2774" s="198"/>
      <c r="V2774" s="198"/>
      <c r="W2774" s="198"/>
      <c r="X2774" s="198"/>
      <c r="Y2774" s="198"/>
      <c r="Z2774" s="198"/>
    </row>
    <row r="2775" spans="1:26" ht="15.75" hidden="1" customHeight="1" x14ac:dyDescent="0.25">
      <c r="A2775" s="213">
        <v>6149</v>
      </c>
      <c r="B2775" s="214" t="s">
        <v>11274</v>
      </c>
      <c r="C2775" s="215" t="s">
        <v>580</v>
      </c>
      <c r="D2775" s="216">
        <v>10.56</v>
      </c>
      <c r="E2775" s="198"/>
      <c r="F2775" s="198"/>
      <c r="G2775" s="198"/>
      <c r="H2775" s="198"/>
      <c r="I2775" s="198"/>
      <c r="J2775" s="198"/>
      <c r="K2775" s="198"/>
      <c r="L2775" s="198"/>
      <c r="M2775" s="198"/>
      <c r="N2775" s="198"/>
      <c r="O2775" s="198"/>
      <c r="P2775" s="198"/>
      <c r="Q2775" s="198"/>
      <c r="R2775" s="198"/>
      <c r="S2775" s="198"/>
      <c r="T2775" s="198"/>
      <c r="U2775" s="198"/>
      <c r="V2775" s="198"/>
      <c r="W2775" s="198"/>
      <c r="X2775" s="198"/>
      <c r="Y2775" s="198"/>
      <c r="Z2775" s="198"/>
    </row>
    <row r="2776" spans="1:26" ht="15.75" hidden="1" customHeight="1" x14ac:dyDescent="0.25">
      <c r="A2776" s="213">
        <v>6146</v>
      </c>
      <c r="B2776" s="214" t="s">
        <v>11275</v>
      </c>
      <c r="C2776" s="215" t="s">
        <v>580</v>
      </c>
      <c r="D2776" s="216">
        <v>15.18</v>
      </c>
      <c r="E2776" s="198"/>
      <c r="F2776" s="198"/>
      <c r="G2776" s="198"/>
      <c r="H2776" s="198"/>
      <c r="I2776" s="198"/>
      <c r="J2776" s="198"/>
      <c r="K2776" s="198"/>
      <c r="L2776" s="198"/>
      <c r="M2776" s="198"/>
      <c r="N2776" s="198"/>
      <c r="O2776" s="198"/>
      <c r="P2776" s="198"/>
      <c r="Q2776" s="198"/>
      <c r="R2776" s="198"/>
      <c r="S2776" s="198"/>
      <c r="T2776" s="198"/>
      <c r="U2776" s="198"/>
      <c r="V2776" s="198"/>
      <c r="W2776" s="198"/>
      <c r="X2776" s="198"/>
      <c r="Y2776" s="198"/>
      <c r="Z2776" s="198"/>
    </row>
    <row r="2777" spans="1:26" ht="15.75" hidden="1" customHeight="1" x14ac:dyDescent="0.25">
      <c r="A2777" s="213">
        <v>44536</v>
      </c>
      <c r="B2777" s="214" t="s">
        <v>11276</v>
      </c>
      <c r="C2777" s="215" t="s">
        <v>823</v>
      </c>
      <c r="D2777" s="216">
        <v>2.83</v>
      </c>
      <c r="E2777" s="198"/>
      <c r="F2777" s="198"/>
      <c r="G2777" s="198"/>
      <c r="H2777" s="198"/>
      <c r="I2777" s="198"/>
      <c r="J2777" s="198"/>
      <c r="K2777" s="198"/>
      <c r="L2777" s="198"/>
      <c r="M2777" s="198"/>
      <c r="N2777" s="198"/>
      <c r="O2777" s="198"/>
      <c r="P2777" s="198"/>
      <c r="Q2777" s="198"/>
      <c r="R2777" s="198"/>
      <c r="S2777" s="198"/>
      <c r="T2777" s="198"/>
      <c r="U2777" s="198"/>
      <c r="V2777" s="198"/>
      <c r="W2777" s="198"/>
      <c r="X2777" s="198"/>
      <c r="Y2777" s="198"/>
      <c r="Z2777" s="198"/>
    </row>
    <row r="2778" spans="1:26" ht="15.75" hidden="1" customHeight="1" x14ac:dyDescent="0.25">
      <c r="A2778" s="213">
        <v>39961</v>
      </c>
      <c r="B2778" s="214" t="s">
        <v>11277</v>
      </c>
      <c r="C2778" s="215" t="s">
        <v>580</v>
      </c>
      <c r="D2778" s="216">
        <v>22.24</v>
      </c>
      <c r="E2778" s="198"/>
      <c r="F2778" s="198"/>
      <c r="G2778" s="198"/>
      <c r="H2778" s="198"/>
      <c r="I2778" s="198"/>
      <c r="J2778" s="198"/>
      <c r="K2778" s="198"/>
      <c r="L2778" s="198"/>
      <c r="M2778" s="198"/>
      <c r="N2778" s="198"/>
      <c r="O2778" s="198"/>
      <c r="P2778" s="198"/>
      <c r="Q2778" s="198"/>
      <c r="R2778" s="198"/>
      <c r="S2778" s="198"/>
      <c r="T2778" s="198"/>
      <c r="U2778" s="198"/>
      <c r="V2778" s="198"/>
      <c r="W2778" s="198"/>
      <c r="X2778" s="198"/>
      <c r="Y2778" s="198"/>
      <c r="Z2778" s="198"/>
    </row>
    <row r="2779" spans="1:26" ht="15.75" hidden="1" customHeight="1" x14ac:dyDescent="0.25">
      <c r="A2779" s="213">
        <v>20250</v>
      </c>
      <c r="B2779" s="214" t="s">
        <v>11278</v>
      </c>
      <c r="C2779" s="215" t="s">
        <v>823</v>
      </c>
      <c r="D2779" s="216">
        <v>14.4</v>
      </c>
      <c r="E2779" s="198"/>
      <c r="F2779" s="198"/>
      <c r="G2779" s="198"/>
      <c r="H2779" s="198"/>
      <c r="I2779" s="198"/>
      <c r="J2779" s="198"/>
      <c r="K2779" s="198"/>
      <c r="L2779" s="198"/>
      <c r="M2779" s="198"/>
      <c r="N2779" s="198"/>
      <c r="O2779" s="198"/>
      <c r="P2779" s="198"/>
      <c r="Q2779" s="198"/>
      <c r="R2779" s="198"/>
      <c r="S2779" s="198"/>
      <c r="T2779" s="198"/>
      <c r="U2779" s="198"/>
      <c r="V2779" s="198"/>
      <c r="W2779" s="198"/>
      <c r="X2779" s="198"/>
      <c r="Y2779" s="198"/>
      <c r="Z2779" s="198"/>
    </row>
    <row r="2780" spans="1:26" ht="15.75" hidden="1" customHeight="1" x14ac:dyDescent="0.25">
      <c r="A2780" s="213">
        <v>13388</v>
      </c>
      <c r="B2780" s="214" t="s">
        <v>11279</v>
      </c>
      <c r="C2780" s="215" t="s">
        <v>823</v>
      </c>
      <c r="D2780" s="216">
        <v>193</v>
      </c>
      <c r="E2780" s="198"/>
      <c r="F2780" s="198"/>
      <c r="G2780" s="198"/>
      <c r="H2780" s="198"/>
      <c r="I2780" s="198"/>
      <c r="J2780" s="198"/>
      <c r="K2780" s="198"/>
      <c r="L2780" s="198"/>
      <c r="M2780" s="198"/>
      <c r="N2780" s="198"/>
      <c r="O2780" s="198"/>
      <c r="P2780" s="198"/>
      <c r="Q2780" s="198"/>
      <c r="R2780" s="198"/>
      <c r="S2780" s="198"/>
      <c r="T2780" s="198"/>
      <c r="U2780" s="198"/>
      <c r="V2780" s="198"/>
      <c r="W2780" s="198"/>
      <c r="X2780" s="198"/>
      <c r="Y2780" s="198"/>
      <c r="Z2780" s="198"/>
    </row>
    <row r="2781" spans="1:26" ht="15.75" hidden="1" customHeight="1" x14ac:dyDescent="0.25">
      <c r="A2781" s="213">
        <v>6160</v>
      </c>
      <c r="B2781" s="214" t="s">
        <v>11280</v>
      </c>
      <c r="C2781" s="215" t="s">
        <v>2193</v>
      </c>
      <c r="D2781" s="216">
        <v>27.45</v>
      </c>
      <c r="E2781" s="198"/>
      <c r="F2781" s="198"/>
      <c r="G2781" s="198"/>
      <c r="H2781" s="198"/>
      <c r="I2781" s="198"/>
      <c r="J2781" s="198"/>
      <c r="K2781" s="198"/>
      <c r="L2781" s="198"/>
      <c r="M2781" s="198"/>
      <c r="N2781" s="198"/>
      <c r="O2781" s="198"/>
      <c r="P2781" s="198"/>
      <c r="Q2781" s="198"/>
      <c r="R2781" s="198"/>
      <c r="S2781" s="198"/>
      <c r="T2781" s="198"/>
      <c r="U2781" s="198"/>
      <c r="V2781" s="198"/>
      <c r="W2781" s="198"/>
      <c r="X2781" s="198"/>
      <c r="Y2781" s="198"/>
      <c r="Z2781" s="198"/>
    </row>
    <row r="2782" spans="1:26" ht="15.75" hidden="1" customHeight="1" x14ac:dyDescent="0.25">
      <c r="A2782" s="213">
        <v>41087</v>
      </c>
      <c r="B2782" s="214" t="s">
        <v>11281</v>
      </c>
      <c r="C2782" s="215" t="s">
        <v>6214</v>
      </c>
      <c r="D2782" s="216">
        <v>4815.8500000000004</v>
      </c>
      <c r="E2782" s="198"/>
      <c r="F2782" s="198"/>
      <c r="G2782" s="198"/>
      <c r="H2782" s="198"/>
      <c r="I2782" s="198"/>
      <c r="J2782" s="198"/>
      <c r="K2782" s="198"/>
      <c r="L2782" s="198"/>
      <c r="M2782" s="198"/>
      <c r="N2782" s="198"/>
      <c r="O2782" s="198"/>
      <c r="P2782" s="198"/>
      <c r="Q2782" s="198"/>
      <c r="R2782" s="198"/>
      <c r="S2782" s="198"/>
      <c r="T2782" s="198"/>
      <c r="U2782" s="198"/>
      <c r="V2782" s="198"/>
      <c r="W2782" s="198"/>
      <c r="X2782" s="198"/>
      <c r="Y2782" s="198"/>
      <c r="Z2782" s="198"/>
    </row>
    <row r="2783" spans="1:26" ht="15.75" hidden="1" customHeight="1" x14ac:dyDescent="0.25">
      <c r="A2783" s="213">
        <v>6166</v>
      </c>
      <c r="B2783" s="214" t="s">
        <v>11282</v>
      </c>
      <c r="C2783" s="215" t="s">
        <v>2193</v>
      </c>
      <c r="D2783" s="216">
        <v>22.22</v>
      </c>
      <c r="E2783" s="198"/>
      <c r="F2783" s="198"/>
      <c r="G2783" s="198"/>
      <c r="H2783" s="198"/>
      <c r="I2783" s="198"/>
      <c r="J2783" s="198"/>
      <c r="K2783" s="198"/>
      <c r="L2783" s="198"/>
      <c r="M2783" s="198"/>
      <c r="N2783" s="198"/>
      <c r="O2783" s="198"/>
      <c r="P2783" s="198"/>
      <c r="Q2783" s="198"/>
      <c r="R2783" s="198"/>
      <c r="S2783" s="198"/>
      <c r="T2783" s="198"/>
      <c r="U2783" s="198"/>
      <c r="V2783" s="198"/>
      <c r="W2783" s="198"/>
      <c r="X2783" s="198"/>
      <c r="Y2783" s="198"/>
      <c r="Z2783" s="198"/>
    </row>
    <row r="2784" spans="1:26" ht="15.75" hidden="1" customHeight="1" x14ac:dyDescent="0.25">
      <c r="A2784" s="213">
        <v>41088</v>
      </c>
      <c r="B2784" s="214" t="s">
        <v>11283</v>
      </c>
      <c r="C2784" s="215" t="s">
        <v>6214</v>
      </c>
      <c r="D2784" s="216">
        <v>3898.44</v>
      </c>
      <c r="E2784" s="198"/>
      <c r="F2784" s="198"/>
      <c r="G2784" s="198"/>
      <c r="H2784" s="198"/>
      <c r="I2784" s="198"/>
      <c r="J2784" s="198"/>
      <c r="K2784" s="198"/>
      <c r="L2784" s="198"/>
      <c r="M2784" s="198"/>
      <c r="N2784" s="198"/>
      <c r="O2784" s="198"/>
      <c r="P2784" s="198"/>
      <c r="Q2784" s="198"/>
      <c r="R2784" s="198"/>
      <c r="S2784" s="198"/>
      <c r="T2784" s="198"/>
      <c r="U2784" s="198"/>
      <c r="V2784" s="198"/>
      <c r="W2784" s="198"/>
      <c r="X2784" s="198"/>
      <c r="Y2784" s="198"/>
      <c r="Z2784" s="198"/>
    </row>
    <row r="2785" spans="1:26" ht="15.75" hidden="1" customHeight="1" x14ac:dyDescent="0.25">
      <c r="A2785" s="213">
        <v>20232</v>
      </c>
      <c r="B2785" s="214" t="s">
        <v>11284</v>
      </c>
      <c r="C2785" s="215" t="s">
        <v>585</v>
      </c>
      <c r="D2785" s="216">
        <v>94.81</v>
      </c>
      <c r="E2785" s="198"/>
      <c r="F2785" s="198"/>
      <c r="G2785" s="198"/>
      <c r="H2785" s="198"/>
      <c r="I2785" s="198"/>
      <c r="J2785" s="198"/>
      <c r="K2785" s="198"/>
      <c r="L2785" s="198"/>
      <c r="M2785" s="198"/>
      <c r="N2785" s="198"/>
      <c r="O2785" s="198"/>
      <c r="P2785" s="198"/>
      <c r="Q2785" s="198"/>
      <c r="R2785" s="198"/>
      <c r="S2785" s="198"/>
      <c r="T2785" s="198"/>
      <c r="U2785" s="198"/>
      <c r="V2785" s="198"/>
      <c r="W2785" s="198"/>
      <c r="X2785" s="198"/>
      <c r="Y2785" s="198"/>
      <c r="Z2785" s="198"/>
    </row>
    <row r="2786" spans="1:26" ht="15.75" hidden="1" customHeight="1" x14ac:dyDescent="0.25">
      <c r="A2786" s="213">
        <v>4828</v>
      </c>
      <c r="B2786" s="214" t="s">
        <v>11285</v>
      </c>
      <c r="C2786" s="215" t="s">
        <v>585</v>
      </c>
      <c r="D2786" s="216">
        <v>76.41</v>
      </c>
      <c r="E2786" s="198"/>
      <c r="F2786" s="198"/>
      <c r="G2786" s="198"/>
      <c r="H2786" s="198"/>
      <c r="I2786" s="198"/>
      <c r="J2786" s="198"/>
      <c r="K2786" s="198"/>
      <c r="L2786" s="198"/>
      <c r="M2786" s="198"/>
      <c r="N2786" s="198"/>
      <c r="O2786" s="198"/>
      <c r="P2786" s="198"/>
      <c r="Q2786" s="198"/>
      <c r="R2786" s="198"/>
      <c r="S2786" s="198"/>
      <c r="T2786" s="198"/>
      <c r="U2786" s="198"/>
      <c r="V2786" s="198"/>
      <c r="W2786" s="198"/>
      <c r="X2786" s="198"/>
      <c r="Y2786" s="198"/>
      <c r="Z2786" s="198"/>
    </row>
    <row r="2787" spans="1:26" ht="15.75" hidden="1" customHeight="1" x14ac:dyDescent="0.25">
      <c r="A2787" s="213">
        <v>20249</v>
      </c>
      <c r="B2787" s="214" t="s">
        <v>11286</v>
      </c>
      <c r="C2787" s="215" t="s">
        <v>585</v>
      </c>
      <c r="D2787" s="216">
        <v>41.84</v>
      </c>
      <c r="E2787" s="198"/>
      <c r="F2787" s="198"/>
      <c r="G2787" s="198"/>
      <c r="H2787" s="198"/>
      <c r="I2787" s="198"/>
      <c r="J2787" s="198"/>
      <c r="K2787" s="198"/>
      <c r="L2787" s="198"/>
      <c r="M2787" s="198"/>
      <c r="N2787" s="198"/>
      <c r="O2787" s="198"/>
      <c r="P2787" s="198"/>
      <c r="Q2787" s="198"/>
      <c r="R2787" s="198"/>
      <c r="S2787" s="198"/>
      <c r="T2787" s="198"/>
      <c r="U2787" s="198"/>
      <c r="V2787" s="198"/>
      <c r="W2787" s="198"/>
      <c r="X2787" s="198"/>
      <c r="Y2787" s="198"/>
      <c r="Z2787" s="198"/>
    </row>
    <row r="2788" spans="1:26" ht="15.75" hidden="1" customHeight="1" x14ac:dyDescent="0.25">
      <c r="A2788" s="213">
        <v>11609</v>
      </c>
      <c r="B2788" s="214" t="s">
        <v>11287</v>
      </c>
      <c r="C2788" s="215" t="s">
        <v>517</v>
      </c>
      <c r="D2788" s="216">
        <v>11.85</v>
      </c>
      <c r="E2788" s="198"/>
      <c r="F2788" s="198"/>
      <c r="G2788" s="198"/>
      <c r="H2788" s="198"/>
      <c r="I2788" s="198"/>
      <c r="J2788" s="198"/>
      <c r="K2788" s="198"/>
      <c r="L2788" s="198"/>
      <c r="M2788" s="198"/>
      <c r="N2788" s="198"/>
      <c r="O2788" s="198"/>
      <c r="P2788" s="198"/>
      <c r="Q2788" s="198"/>
      <c r="R2788" s="198"/>
      <c r="S2788" s="198"/>
      <c r="T2788" s="198"/>
      <c r="U2788" s="198"/>
      <c r="V2788" s="198"/>
      <c r="W2788" s="198"/>
      <c r="X2788" s="198"/>
      <c r="Y2788" s="198"/>
      <c r="Z2788" s="198"/>
    </row>
    <row r="2789" spans="1:26" ht="15.75" hidden="1" customHeight="1" x14ac:dyDescent="0.25">
      <c r="A2789" s="213">
        <v>20083</v>
      </c>
      <c r="B2789" s="214" t="s">
        <v>11288</v>
      </c>
      <c r="C2789" s="215" t="s">
        <v>580</v>
      </c>
      <c r="D2789" s="216">
        <v>83.68</v>
      </c>
      <c r="E2789" s="198"/>
      <c r="F2789" s="198"/>
      <c r="G2789" s="198"/>
      <c r="H2789" s="198"/>
      <c r="I2789" s="198"/>
      <c r="J2789" s="198"/>
      <c r="K2789" s="198"/>
      <c r="L2789" s="198"/>
      <c r="M2789" s="198"/>
      <c r="N2789" s="198"/>
      <c r="O2789" s="198"/>
      <c r="P2789" s="198"/>
      <c r="Q2789" s="198"/>
      <c r="R2789" s="198"/>
      <c r="S2789" s="198"/>
      <c r="T2789" s="198"/>
      <c r="U2789" s="198"/>
      <c r="V2789" s="198"/>
      <c r="W2789" s="198"/>
      <c r="X2789" s="198"/>
      <c r="Y2789" s="198"/>
      <c r="Z2789" s="198"/>
    </row>
    <row r="2790" spans="1:26" ht="15.75" hidden="1" customHeight="1" x14ac:dyDescent="0.25">
      <c r="A2790" s="213">
        <v>12295</v>
      </c>
      <c r="B2790" s="214" t="s">
        <v>11289</v>
      </c>
      <c r="C2790" s="215" t="s">
        <v>580</v>
      </c>
      <c r="D2790" s="216">
        <v>3.45</v>
      </c>
      <c r="E2790" s="198"/>
      <c r="F2790" s="198"/>
      <c r="G2790" s="198"/>
      <c r="H2790" s="198"/>
      <c r="I2790" s="198"/>
      <c r="J2790" s="198"/>
      <c r="K2790" s="198"/>
      <c r="L2790" s="198"/>
      <c r="M2790" s="198"/>
      <c r="N2790" s="198"/>
      <c r="O2790" s="198"/>
      <c r="P2790" s="198"/>
      <c r="Q2790" s="198"/>
      <c r="R2790" s="198"/>
      <c r="S2790" s="198"/>
      <c r="T2790" s="198"/>
      <c r="U2790" s="198"/>
      <c r="V2790" s="198"/>
      <c r="W2790" s="198"/>
      <c r="X2790" s="198"/>
      <c r="Y2790" s="198"/>
      <c r="Z2790" s="198"/>
    </row>
    <row r="2791" spans="1:26" ht="15.75" hidden="1" customHeight="1" x14ac:dyDescent="0.25">
      <c r="A2791" s="213">
        <v>12296</v>
      </c>
      <c r="B2791" s="214" t="s">
        <v>11290</v>
      </c>
      <c r="C2791" s="215" t="s">
        <v>580</v>
      </c>
      <c r="D2791" s="216">
        <v>4.47</v>
      </c>
      <c r="E2791" s="198"/>
      <c r="F2791" s="198"/>
      <c r="G2791" s="198"/>
      <c r="H2791" s="198"/>
      <c r="I2791" s="198"/>
      <c r="J2791" s="198"/>
      <c r="K2791" s="198"/>
      <c r="L2791" s="198"/>
      <c r="M2791" s="198"/>
      <c r="N2791" s="198"/>
      <c r="O2791" s="198"/>
      <c r="P2791" s="198"/>
      <c r="Q2791" s="198"/>
      <c r="R2791" s="198"/>
      <c r="S2791" s="198"/>
      <c r="T2791" s="198"/>
      <c r="U2791" s="198"/>
      <c r="V2791" s="198"/>
      <c r="W2791" s="198"/>
      <c r="X2791" s="198"/>
      <c r="Y2791" s="198"/>
      <c r="Z2791" s="198"/>
    </row>
    <row r="2792" spans="1:26" ht="15.75" hidden="1" customHeight="1" x14ac:dyDescent="0.25">
      <c r="A2792" s="213">
        <v>12294</v>
      </c>
      <c r="B2792" s="214" t="s">
        <v>11291</v>
      </c>
      <c r="C2792" s="215" t="s">
        <v>580</v>
      </c>
      <c r="D2792" s="216">
        <v>10.74</v>
      </c>
      <c r="E2792" s="198"/>
      <c r="F2792" s="198"/>
      <c r="G2792" s="198"/>
      <c r="H2792" s="198"/>
      <c r="I2792" s="198"/>
      <c r="J2792" s="198"/>
      <c r="K2792" s="198"/>
      <c r="L2792" s="198"/>
      <c r="M2792" s="198"/>
      <c r="N2792" s="198"/>
      <c r="O2792" s="198"/>
      <c r="P2792" s="198"/>
      <c r="Q2792" s="198"/>
      <c r="R2792" s="198"/>
      <c r="S2792" s="198"/>
      <c r="T2792" s="198"/>
      <c r="U2792" s="198"/>
      <c r="V2792" s="198"/>
      <c r="W2792" s="198"/>
      <c r="X2792" s="198"/>
      <c r="Y2792" s="198"/>
      <c r="Z2792" s="198"/>
    </row>
    <row r="2793" spans="1:26" ht="15.75" hidden="1" customHeight="1" x14ac:dyDescent="0.25">
      <c r="A2793" s="213">
        <v>14543</v>
      </c>
      <c r="B2793" s="214" t="s">
        <v>11292</v>
      </c>
      <c r="C2793" s="215" t="s">
        <v>580</v>
      </c>
      <c r="D2793" s="216">
        <v>7.66</v>
      </c>
      <c r="E2793" s="198"/>
      <c r="F2793" s="198"/>
      <c r="G2793" s="198"/>
      <c r="H2793" s="198"/>
      <c r="I2793" s="198"/>
      <c r="J2793" s="198"/>
      <c r="K2793" s="198"/>
      <c r="L2793" s="198"/>
      <c r="M2793" s="198"/>
      <c r="N2793" s="198"/>
      <c r="O2793" s="198"/>
      <c r="P2793" s="198"/>
      <c r="Q2793" s="198"/>
      <c r="R2793" s="198"/>
      <c r="S2793" s="198"/>
      <c r="T2793" s="198"/>
      <c r="U2793" s="198"/>
      <c r="V2793" s="198"/>
      <c r="W2793" s="198"/>
      <c r="X2793" s="198"/>
      <c r="Y2793" s="198"/>
      <c r="Z2793" s="198"/>
    </row>
    <row r="2794" spans="1:26" ht="15.75" hidden="1" customHeight="1" x14ac:dyDescent="0.25">
      <c r="A2794" s="213">
        <v>13329</v>
      </c>
      <c r="B2794" s="214" t="s">
        <v>11293</v>
      </c>
      <c r="C2794" s="215" t="s">
        <v>580</v>
      </c>
      <c r="D2794" s="216">
        <v>4.5</v>
      </c>
      <c r="E2794" s="198"/>
      <c r="F2794" s="198"/>
      <c r="G2794" s="198"/>
      <c r="H2794" s="198"/>
      <c r="I2794" s="198"/>
      <c r="J2794" s="198"/>
      <c r="K2794" s="198"/>
      <c r="L2794" s="198"/>
      <c r="M2794" s="198"/>
      <c r="N2794" s="198"/>
      <c r="O2794" s="198"/>
      <c r="P2794" s="198"/>
      <c r="Q2794" s="198"/>
      <c r="R2794" s="198"/>
      <c r="S2794" s="198"/>
      <c r="T2794" s="198"/>
      <c r="U2794" s="198"/>
      <c r="V2794" s="198"/>
      <c r="W2794" s="198"/>
      <c r="X2794" s="198"/>
      <c r="Y2794" s="198"/>
      <c r="Z2794" s="198"/>
    </row>
    <row r="2795" spans="1:26" ht="15.75" hidden="1" customHeight="1" x14ac:dyDescent="0.25">
      <c r="A2795" s="213">
        <v>21047</v>
      </c>
      <c r="B2795" s="214" t="s">
        <v>11294</v>
      </c>
      <c r="C2795" s="215" t="s">
        <v>580</v>
      </c>
      <c r="D2795" s="216">
        <v>95.67</v>
      </c>
      <c r="E2795" s="198"/>
      <c r="F2795" s="198"/>
      <c r="G2795" s="198"/>
      <c r="H2795" s="198"/>
      <c r="I2795" s="198"/>
      <c r="J2795" s="198"/>
      <c r="K2795" s="198"/>
      <c r="L2795" s="198"/>
      <c r="M2795" s="198"/>
      <c r="N2795" s="198"/>
      <c r="O2795" s="198"/>
      <c r="P2795" s="198"/>
      <c r="Q2795" s="198"/>
      <c r="R2795" s="198"/>
      <c r="S2795" s="198"/>
      <c r="T2795" s="198"/>
      <c r="U2795" s="198"/>
      <c r="V2795" s="198"/>
      <c r="W2795" s="198"/>
      <c r="X2795" s="198"/>
      <c r="Y2795" s="198"/>
      <c r="Z2795" s="198"/>
    </row>
    <row r="2796" spans="1:26" ht="15.75" hidden="1" customHeight="1" x14ac:dyDescent="0.25">
      <c r="A2796" s="213">
        <v>21042</v>
      </c>
      <c r="B2796" s="214" t="s">
        <v>11295</v>
      </c>
      <c r="C2796" s="215" t="s">
        <v>580</v>
      </c>
      <c r="D2796" s="216">
        <v>73.739999999999995</v>
      </c>
      <c r="E2796" s="198"/>
      <c r="F2796" s="198"/>
      <c r="G2796" s="198"/>
      <c r="H2796" s="198"/>
      <c r="I2796" s="198"/>
      <c r="J2796" s="198"/>
      <c r="K2796" s="198"/>
      <c r="L2796" s="198"/>
      <c r="M2796" s="198"/>
      <c r="N2796" s="198"/>
      <c r="O2796" s="198"/>
      <c r="P2796" s="198"/>
      <c r="Q2796" s="198"/>
      <c r="R2796" s="198"/>
      <c r="S2796" s="198"/>
      <c r="T2796" s="198"/>
      <c r="U2796" s="198"/>
      <c r="V2796" s="198"/>
      <c r="W2796" s="198"/>
      <c r="X2796" s="198"/>
      <c r="Y2796" s="198"/>
      <c r="Z2796" s="198"/>
    </row>
    <row r="2797" spans="1:26" ht="15.75" hidden="1" customHeight="1" x14ac:dyDescent="0.25">
      <c r="A2797" s="213">
        <v>21043</v>
      </c>
      <c r="B2797" s="214" t="s">
        <v>11296</v>
      </c>
      <c r="C2797" s="215" t="s">
        <v>580</v>
      </c>
      <c r="D2797" s="216">
        <v>93.15</v>
      </c>
      <c r="E2797" s="198"/>
      <c r="F2797" s="198"/>
      <c r="G2797" s="198"/>
      <c r="H2797" s="198"/>
      <c r="I2797" s="198"/>
      <c r="J2797" s="198"/>
      <c r="K2797" s="198"/>
      <c r="L2797" s="198"/>
      <c r="M2797" s="198"/>
      <c r="N2797" s="198"/>
      <c r="O2797" s="198"/>
      <c r="P2797" s="198"/>
      <c r="Q2797" s="198"/>
      <c r="R2797" s="198"/>
      <c r="S2797" s="198"/>
      <c r="T2797" s="198"/>
      <c r="U2797" s="198"/>
      <c r="V2797" s="198"/>
      <c r="W2797" s="198"/>
      <c r="X2797" s="198"/>
      <c r="Y2797" s="198"/>
      <c r="Z2797" s="198"/>
    </row>
    <row r="2798" spans="1:26" ht="15.75" hidden="1" customHeight="1" x14ac:dyDescent="0.25">
      <c r="A2798" s="213">
        <v>21044</v>
      </c>
      <c r="B2798" s="214" t="s">
        <v>11297</v>
      </c>
      <c r="C2798" s="215" t="s">
        <v>580</v>
      </c>
      <c r="D2798" s="216">
        <v>64.89</v>
      </c>
      <c r="E2798" s="198"/>
      <c r="F2798" s="198"/>
      <c r="G2798" s="198"/>
      <c r="H2798" s="198"/>
      <c r="I2798" s="198"/>
      <c r="J2798" s="198"/>
      <c r="K2798" s="198"/>
      <c r="L2798" s="198"/>
      <c r="M2798" s="198"/>
      <c r="N2798" s="198"/>
      <c r="O2798" s="198"/>
      <c r="P2798" s="198"/>
      <c r="Q2798" s="198"/>
      <c r="R2798" s="198"/>
      <c r="S2798" s="198"/>
      <c r="T2798" s="198"/>
      <c r="U2798" s="198"/>
      <c r="V2798" s="198"/>
      <c r="W2798" s="198"/>
      <c r="X2798" s="198"/>
      <c r="Y2798" s="198"/>
      <c r="Z2798" s="198"/>
    </row>
    <row r="2799" spans="1:26" ht="15.75" hidden="1" customHeight="1" x14ac:dyDescent="0.25">
      <c r="A2799" s="213">
        <v>21045</v>
      </c>
      <c r="B2799" s="214" t="s">
        <v>11298</v>
      </c>
      <c r="C2799" s="215" t="s">
        <v>580</v>
      </c>
      <c r="D2799" s="216">
        <v>88.88</v>
      </c>
      <c r="E2799" s="198"/>
      <c r="F2799" s="198"/>
      <c r="G2799" s="198"/>
      <c r="H2799" s="198"/>
      <c r="I2799" s="198"/>
      <c r="J2799" s="198"/>
      <c r="K2799" s="198"/>
      <c r="L2799" s="198"/>
      <c r="M2799" s="198"/>
      <c r="N2799" s="198"/>
      <c r="O2799" s="198"/>
      <c r="P2799" s="198"/>
      <c r="Q2799" s="198"/>
      <c r="R2799" s="198"/>
      <c r="S2799" s="198"/>
      <c r="T2799" s="198"/>
      <c r="U2799" s="198"/>
      <c r="V2799" s="198"/>
      <c r="W2799" s="198"/>
      <c r="X2799" s="198"/>
      <c r="Y2799" s="198"/>
      <c r="Z2799" s="198"/>
    </row>
    <row r="2800" spans="1:26" ht="15.75" hidden="1" customHeight="1" x14ac:dyDescent="0.25">
      <c r="A2800" s="213">
        <v>21041</v>
      </c>
      <c r="B2800" s="214" t="s">
        <v>11299</v>
      </c>
      <c r="C2800" s="215" t="s">
        <v>580</v>
      </c>
      <c r="D2800" s="216">
        <v>76.650000000000006</v>
      </c>
      <c r="E2800" s="198"/>
      <c r="F2800" s="198"/>
      <c r="G2800" s="198"/>
      <c r="H2800" s="198"/>
      <c r="I2800" s="198"/>
      <c r="J2800" s="198"/>
      <c r="K2800" s="198"/>
      <c r="L2800" s="198"/>
      <c r="M2800" s="198"/>
      <c r="N2800" s="198"/>
      <c r="O2800" s="198"/>
      <c r="P2800" s="198"/>
      <c r="Q2800" s="198"/>
      <c r="R2800" s="198"/>
      <c r="S2800" s="198"/>
      <c r="T2800" s="198"/>
      <c r="U2800" s="198"/>
      <c r="V2800" s="198"/>
      <c r="W2800" s="198"/>
      <c r="X2800" s="198"/>
      <c r="Y2800" s="198"/>
      <c r="Z2800" s="198"/>
    </row>
    <row r="2801" spans="1:26" ht="15.75" hidden="1" customHeight="1" x14ac:dyDescent="0.25">
      <c r="A2801" s="213">
        <v>21040</v>
      </c>
      <c r="B2801" s="214" t="s">
        <v>11300</v>
      </c>
      <c r="C2801" s="215" t="s">
        <v>580</v>
      </c>
      <c r="D2801" s="216">
        <v>63.5</v>
      </c>
      <c r="E2801" s="198"/>
      <c r="F2801" s="198"/>
      <c r="G2801" s="198"/>
      <c r="H2801" s="198"/>
      <c r="I2801" s="198"/>
      <c r="J2801" s="198"/>
      <c r="K2801" s="198"/>
      <c r="L2801" s="198"/>
      <c r="M2801" s="198"/>
      <c r="N2801" s="198"/>
      <c r="O2801" s="198"/>
      <c r="P2801" s="198"/>
      <c r="Q2801" s="198"/>
      <c r="R2801" s="198"/>
      <c r="S2801" s="198"/>
      <c r="T2801" s="198"/>
      <c r="U2801" s="198"/>
      <c r="V2801" s="198"/>
      <c r="W2801" s="198"/>
      <c r="X2801" s="198"/>
      <c r="Y2801" s="198"/>
      <c r="Z2801" s="198"/>
    </row>
    <row r="2802" spans="1:26" ht="15.75" hidden="1" customHeight="1" x14ac:dyDescent="0.25">
      <c r="A2802" s="213">
        <v>38099</v>
      </c>
      <c r="B2802" s="214" t="s">
        <v>11301</v>
      </c>
      <c r="C2802" s="215" t="s">
        <v>580</v>
      </c>
      <c r="D2802" s="216">
        <v>1.67</v>
      </c>
      <c r="E2802" s="198"/>
      <c r="F2802" s="198"/>
      <c r="G2802" s="198"/>
      <c r="H2802" s="198"/>
      <c r="I2802" s="198"/>
      <c r="J2802" s="198"/>
      <c r="K2802" s="198"/>
      <c r="L2802" s="198"/>
      <c r="M2802" s="198"/>
      <c r="N2802" s="198"/>
      <c r="O2802" s="198"/>
      <c r="P2802" s="198"/>
      <c r="Q2802" s="198"/>
      <c r="R2802" s="198"/>
      <c r="S2802" s="198"/>
      <c r="T2802" s="198"/>
      <c r="U2802" s="198"/>
      <c r="V2802" s="198"/>
      <c r="W2802" s="198"/>
      <c r="X2802" s="198"/>
      <c r="Y2802" s="198"/>
      <c r="Z2802" s="198"/>
    </row>
    <row r="2803" spans="1:26" ht="15.75" hidden="1" customHeight="1" x14ac:dyDescent="0.25">
      <c r="A2803" s="213">
        <v>38100</v>
      </c>
      <c r="B2803" s="214" t="s">
        <v>11302</v>
      </c>
      <c r="C2803" s="215" t="s">
        <v>580</v>
      </c>
      <c r="D2803" s="216">
        <v>2.74</v>
      </c>
      <c r="E2803" s="198"/>
      <c r="F2803" s="198"/>
      <c r="G2803" s="198"/>
      <c r="H2803" s="198"/>
      <c r="I2803" s="198"/>
      <c r="J2803" s="198"/>
      <c r="K2803" s="198"/>
      <c r="L2803" s="198"/>
      <c r="M2803" s="198"/>
      <c r="N2803" s="198"/>
      <c r="O2803" s="198"/>
      <c r="P2803" s="198"/>
      <c r="Q2803" s="198"/>
      <c r="R2803" s="198"/>
      <c r="S2803" s="198"/>
      <c r="T2803" s="198"/>
      <c r="U2803" s="198"/>
      <c r="V2803" s="198"/>
      <c r="W2803" s="198"/>
      <c r="X2803" s="198"/>
      <c r="Y2803" s="198"/>
      <c r="Z2803" s="198"/>
    </row>
    <row r="2804" spans="1:26" ht="15.75" hidden="1" customHeight="1" x14ac:dyDescent="0.25">
      <c r="A2804" s="213">
        <v>7576</v>
      </c>
      <c r="B2804" s="214" t="s">
        <v>11303</v>
      </c>
      <c r="C2804" s="215" t="s">
        <v>580</v>
      </c>
      <c r="D2804" s="216">
        <v>127.45</v>
      </c>
      <c r="E2804" s="198"/>
      <c r="F2804" s="198"/>
      <c r="G2804" s="198"/>
      <c r="H2804" s="198"/>
      <c r="I2804" s="198"/>
      <c r="J2804" s="198"/>
      <c r="K2804" s="198"/>
      <c r="L2804" s="198"/>
      <c r="M2804" s="198"/>
      <c r="N2804" s="198"/>
      <c r="O2804" s="198"/>
      <c r="P2804" s="198"/>
      <c r="Q2804" s="198"/>
      <c r="R2804" s="198"/>
      <c r="S2804" s="198"/>
      <c r="T2804" s="198"/>
      <c r="U2804" s="198"/>
      <c r="V2804" s="198"/>
      <c r="W2804" s="198"/>
      <c r="X2804" s="198"/>
      <c r="Y2804" s="198"/>
      <c r="Z2804" s="198"/>
    </row>
    <row r="2805" spans="1:26" ht="15.75" hidden="1" customHeight="1" x14ac:dyDescent="0.25">
      <c r="A2805" s="213">
        <v>3384</v>
      </c>
      <c r="B2805" s="214" t="s">
        <v>11304</v>
      </c>
      <c r="C2805" s="215" t="s">
        <v>580</v>
      </c>
      <c r="D2805" s="216">
        <v>6.52</v>
      </c>
      <c r="E2805" s="198"/>
      <c r="F2805" s="198"/>
      <c r="G2805" s="198"/>
      <c r="H2805" s="198"/>
      <c r="I2805" s="198"/>
      <c r="J2805" s="198"/>
      <c r="K2805" s="198"/>
      <c r="L2805" s="198"/>
      <c r="M2805" s="198"/>
      <c r="N2805" s="198"/>
      <c r="O2805" s="198"/>
      <c r="P2805" s="198"/>
      <c r="Q2805" s="198"/>
      <c r="R2805" s="198"/>
      <c r="S2805" s="198"/>
      <c r="T2805" s="198"/>
      <c r="U2805" s="198"/>
      <c r="V2805" s="198"/>
      <c r="W2805" s="198"/>
      <c r="X2805" s="198"/>
      <c r="Y2805" s="198"/>
      <c r="Z2805" s="198"/>
    </row>
    <row r="2806" spans="1:26" ht="15.75" hidden="1" customHeight="1" x14ac:dyDescent="0.25">
      <c r="A2806" s="213">
        <v>12626</v>
      </c>
      <c r="B2806" s="214" t="s">
        <v>11305</v>
      </c>
      <c r="C2806" s="215" t="s">
        <v>580</v>
      </c>
      <c r="D2806" s="216">
        <v>39.380000000000003</v>
      </c>
      <c r="E2806" s="198"/>
      <c r="F2806" s="198"/>
      <c r="G2806" s="198"/>
      <c r="H2806" s="198"/>
      <c r="I2806" s="198"/>
      <c r="J2806" s="198"/>
      <c r="K2806" s="198"/>
      <c r="L2806" s="198"/>
      <c r="M2806" s="198"/>
      <c r="N2806" s="198"/>
      <c r="O2806" s="198"/>
      <c r="P2806" s="198"/>
      <c r="Q2806" s="198"/>
      <c r="R2806" s="198"/>
      <c r="S2806" s="198"/>
      <c r="T2806" s="198"/>
      <c r="U2806" s="198"/>
      <c r="V2806" s="198"/>
      <c r="W2806" s="198"/>
      <c r="X2806" s="198"/>
      <c r="Y2806" s="198"/>
      <c r="Z2806" s="198"/>
    </row>
    <row r="2807" spans="1:26" ht="15.75" hidden="1" customHeight="1" x14ac:dyDescent="0.25">
      <c r="A2807" s="213">
        <v>11033</v>
      </c>
      <c r="B2807" s="214" t="s">
        <v>11306</v>
      </c>
      <c r="C2807" s="215" t="s">
        <v>580</v>
      </c>
      <c r="D2807" s="216">
        <v>5.23</v>
      </c>
      <c r="E2807" s="198"/>
      <c r="F2807" s="198"/>
      <c r="G2807" s="198"/>
      <c r="H2807" s="198"/>
      <c r="I2807" s="198"/>
      <c r="J2807" s="198"/>
      <c r="K2807" s="198"/>
      <c r="L2807" s="198"/>
      <c r="M2807" s="198"/>
      <c r="N2807" s="198"/>
      <c r="O2807" s="198"/>
      <c r="P2807" s="198"/>
      <c r="Q2807" s="198"/>
      <c r="R2807" s="198"/>
      <c r="S2807" s="198"/>
      <c r="T2807" s="198"/>
      <c r="U2807" s="198"/>
      <c r="V2807" s="198"/>
      <c r="W2807" s="198"/>
      <c r="X2807" s="198"/>
      <c r="Y2807" s="198"/>
      <c r="Z2807" s="198"/>
    </row>
    <row r="2808" spans="1:26" ht="15.75" hidden="1" customHeight="1" x14ac:dyDescent="0.25">
      <c r="A2808" s="213">
        <v>6194</v>
      </c>
      <c r="B2808" s="214" t="s">
        <v>11307</v>
      </c>
      <c r="C2808" s="215" t="s">
        <v>585</v>
      </c>
      <c r="D2808" s="216">
        <v>4.99</v>
      </c>
      <c r="E2808" s="198"/>
      <c r="F2808" s="198"/>
      <c r="G2808" s="198"/>
      <c r="H2808" s="198"/>
      <c r="I2808" s="198"/>
      <c r="J2808" s="198"/>
      <c r="K2808" s="198"/>
      <c r="L2808" s="198"/>
      <c r="M2808" s="198"/>
      <c r="N2808" s="198"/>
      <c r="O2808" s="198"/>
      <c r="P2808" s="198"/>
      <c r="Q2808" s="198"/>
      <c r="R2808" s="198"/>
      <c r="S2808" s="198"/>
      <c r="T2808" s="198"/>
      <c r="U2808" s="198"/>
      <c r="V2808" s="198"/>
      <c r="W2808" s="198"/>
      <c r="X2808" s="198"/>
      <c r="Y2808" s="198"/>
      <c r="Z2808" s="198"/>
    </row>
    <row r="2809" spans="1:26" ht="15.75" hidden="1" customHeight="1" x14ac:dyDescent="0.25">
      <c r="A2809" s="213">
        <v>10567</v>
      </c>
      <c r="B2809" s="214" t="s">
        <v>11308</v>
      </c>
      <c r="C2809" s="215" t="s">
        <v>585</v>
      </c>
      <c r="D2809" s="216">
        <v>7.9</v>
      </c>
      <c r="E2809" s="198"/>
      <c r="F2809" s="198"/>
      <c r="G2809" s="198"/>
      <c r="H2809" s="198"/>
      <c r="I2809" s="198"/>
      <c r="J2809" s="198"/>
      <c r="K2809" s="198"/>
      <c r="L2809" s="198"/>
      <c r="M2809" s="198"/>
      <c r="N2809" s="198"/>
      <c r="O2809" s="198"/>
      <c r="P2809" s="198"/>
      <c r="Q2809" s="198"/>
      <c r="R2809" s="198"/>
      <c r="S2809" s="198"/>
      <c r="T2809" s="198"/>
      <c r="U2809" s="198"/>
      <c r="V2809" s="198"/>
      <c r="W2809" s="198"/>
      <c r="X2809" s="198"/>
      <c r="Y2809" s="198"/>
      <c r="Z2809" s="198"/>
    </row>
    <row r="2810" spans="1:26" ht="15.75" hidden="1" customHeight="1" x14ac:dyDescent="0.25">
      <c r="A2810" s="213">
        <v>6212</v>
      </c>
      <c r="B2810" s="214" t="s">
        <v>11309</v>
      </c>
      <c r="C2810" s="215" t="s">
        <v>585</v>
      </c>
      <c r="D2810" s="216">
        <v>11.6</v>
      </c>
      <c r="E2810" s="198"/>
      <c r="F2810" s="198"/>
      <c r="G2810" s="198"/>
      <c r="H2810" s="198"/>
      <c r="I2810" s="198"/>
      <c r="J2810" s="198"/>
      <c r="K2810" s="198"/>
      <c r="L2810" s="198"/>
      <c r="M2810" s="198"/>
      <c r="N2810" s="198"/>
      <c r="O2810" s="198"/>
      <c r="P2810" s="198"/>
      <c r="Q2810" s="198"/>
      <c r="R2810" s="198"/>
      <c r="S2810" s="198"/>
      <c r="T2810" s="198"/>
      <c r="U2810" s="198"/>
      <c r="V2810" s="198"/>
      <c r="W2810" s="198"/>
      <c r="X2810" s="198"/>
      <c r="Y2810" s="198"/>
      <c r="Z2810" s="198"/>
    </row>
    <row r="2811" spans="1:26" ht="15.75" hidden="1" customHeight="1" x14ac:dyDescent="0.25">
      <c r="A2811" s="213">
        <v>3993</v>
      </c>
      <c r="B2811" s="214" t="s">
        <v>11310</v>
      </c>
      <c r="C2811" s="215" t="s">
        <v>578</v>
      </c>
      <c r="D2811" s="216">
        <v>140.57</v>
      </c>
      <c r="E2811" s="198"/>
      <c r="F2811" s="198"/>
      <c r="G2811" s="198"/>
      <c r="H2811" s="198"/>
      <c r="I2811" s="198"/>
      <c r="J2811" s="198"/>
      <c r="K2811" s="198"/>
      <c r="L2811" s="198"/>
      <c r="M2811" s="198"/>
      <c r="N2811" s="198"/>
      <c r="O2811" s="198"/>
      <c r="P2811" s="198"/>
      <c r="Q2811" s="198"/>
      <c r="R2811" s="198"/>
      <c r="S2811" s="198"/>
      <c r="T2811" s="198"/>
      <c r="U2811" s="198"/>
      <c r="V2811" s="198"/>
      <c r="W2811" s="198"/>
      <c r="X2811" s="198"/>
      <c r="Y2811" s="198"/>
      <c r="Z2811" s="198"/>
    </row>
    <row r="2812" spans="1:26" ht="15.75" hidden="1" customHeight="1" x14ac:dyDescent="0.25">
      <c r="A2812" s="213">
        <v>3990</v>
      </c>
      <c r="B2812" s="214" t="s">
        <v>11311</v>
      </c>
      <c r="C2812" s="215" t="s">
        <v>585</v>
      </c>
      <c r="D2812" s="216">
        <v>26.45</v>
      </c>
      <c r="E2812" s="198"/>
      <c r="F2812" s="198"/>
      <c r="G2812" s="198"/>
      <c r="H2812" s="198"/>
      <c r="I2812" s="198"/>
      <c r="J2812" s="198"/>
      <c r="K2812" s="198"/>
      <c r="L2812" s="198"/>
      <c r="M2812" s="198"/>
      <c r="N2812" s="198"/>
      <c r="O2812" s="198"/>
      <c r="P2812" s="198"/>
      <c r="Q2812" s="198"/>
      <c r="R2812" s="198"/>
      <c r="S2812" s="198"/>
      <c r="T2812" s="198"/>
      <c r="U2812" s="198"/>
      <c r="V2812" s="198"/>
      <c r="W2812" s="198"/>
      <c r="X2812" s="198"/>
      <c r="Y2812" s="198"/>
      <c r="Z2812" s="198"/>
    </row>
    <row r="2813" spans="1:26" ht="15.75" hidden="1" customHeight="1" x14ac:dyDescent="0.25">
      <c r="A2813" s="213">
        <v>3992</v>
      </c>
      <c r="B2813" s="214" t="s">
        <v>11312</v>
      </c>
      <c r="C2813" s="215" t="s">
        <v>585</v>
      </c>
      <c r="D2813" s="216">
        <v>35.71</v>
      </c>
      <c r="E2813" s="198"/>
      <c r="F2813" s="198"/>
      <c r="G2813" s="198"/>
      <c r="H2813" s="198"/>
      <c r="I2813" s="198"/>
      <c r="J2813" s="198"/>
      <c r="K2813" s="198"/>
      <c r="L2813" s="198"/>
      <c r="M2813" s="198"/>
      <c r="N2813" s="198"/>
      <c r="O2813" s="198"/>
      <c r="P2813" s="198"/>
      <c r="Q2813" s="198"/>
      <c r="R2813" s="198"/>
      <c r="S2813" s="198"/>
      <c r="T2813" s="198"/>
      <c r="U2813" s="198"/>
      <c r="V2813" s="198"/>
      <c r="W2813" s="198"/>
      <c r="X2813" s="198"/>
      <c r="Y2813" s="198"/>
      <c r="Z2813" s="198"/>
    </row>
    <row r="2814" spans="1:26" ht="15.75" hidden="1" customHeight="1" x14ac:dyDescent="0.25">
      <c r="A2814" s="213">
        <v>6178</v>
      </c>
      <c r="B2814" s="214" t="s">
        <v>11313</v>
      </c>
      <c r="C2814" s="215" t="s">
        <v>578</v>
      </c>
      <c r="D2814" s="216">
        <v>250.17</v>
      </c>
      <c r="E2814" s="198"/>
      <c r="F2814" s="198"/>
      <c r="G2814" s="198"/>
      <c r="H2814" s="198"/>
      <c r="I2814" s="198"/>
      <c r="J2814" s="198"/>
      <c r="K2814" s="198"/>
      <c r="L2814" s="198"/>
      <c r="M2814" s="198"/>
      <c r="N2814" s="198"/>
      <c r="O2814" s="198"/>
      <c r="P2814" s="198"/>
      <c r="Q2814" s="198"/>
      <c r="R2814" s="198"/>
      <c r="S2814" s="198"/>
      <c r="T2814" s="198"/>
      <c r="U2814" s="198"/>
      <c r="V2814" s="198"/>
      <c r="W2814" s="198"/>
      <c r="X2814" s="198"/>
      <c r="Y2814" s="198"/>
      <c r="Z2814" s="198"/>
    </row>
    <row r="2815" spans="1:26" ht="15.75" hidden="1" customHeight="1" x14ac:dyDescent="0.25">
      <c r="A2815" s="213">
        <v>6180</v>
      </c>
      <c r="B2815" s="214" t="s">
        <v>11314</v>
      </c>
      <c r="C2815" s="215" t="s">
        <v>578</v>
      </c>
      <c r="D2815" s="216">
        <v>270</v>
      </c>
      <c r="E2815" s="198"/>
      <c r="F2815" s="198"/>
      <c r="G2815" s="198"/>
      <c r="H2815" s="198"/>
      <c r="I2815" s="198"/>
      <c r="J2815" s="198"/>
      <c r="K2815" s="198"/>
      <c r="L2815" s="198"/>
      <c r="M2815" s="198"/>
      <c r="N2815" s="198"/>
      <c r="O2815" s="198"/>
      <c r="P2815" s="198"/>
      <c r="Q2815" s="198"/>
      <c r="R2815" s="198"/>
      <c r="S2815" s="198"/>
      <c r="T2815" s="198"/>
      <c r="U2815" s="198"/>
      <c r="V2815" s="198"/>
      <c r="W2815" s="198"/>
      <c r="X2815" s="198"/>
      <c r="Y2815" s="198"/>
      <c r="Z2815" s="198"/>
    </row>
    <row r="2816" spans="1:26" ht="15.75" hidden="1" customHeight="1" x14ac:dyDescent="0.25">
      <c r="A2816" s="213">
        <v>6182</v>
      </c>
      <c r="B2816" s="214" t="s">
        <v>11315</v>
      </c>
      <c r="C2816" s="215" t="s">
        <v>578</v>
      </c>
      <c r="D2816" s="216">
        <v>335.13</v>
      </c>
      <c r="E2816" s="198"/>
      <c r="F2816" s="198"/>
      <c r="G2816" s="198"/>
      <c r="H2816" s="198"/>
      <c r="I2816" s="198"/>
      <c r="J2816" s="198"/>
      <c r="K2816" s="198"/>
      <c r="L2816" s="198"/>
      <c r="M2816" s="198"/>
      <c r="N2816" s="198"/>
      <c r="O2816" s="198"/>
      <c r="P2816" s="198"/>
      <c r="Q2816" s="198"/>
      <c r="R2816" s="198"/>
      <c r="S2816" s="198"/>
      <c r="T2816" s="198"/>
      <c r="U2816" s="198"/>
      <c r="V2816" s="198"/>
      <c r="W2816" s="198"/>
      <c r="X2816" s="198"/>
      <c r="Y2816" s="198"/>
      <c r="Z2816" s="198"/>
    </row>
    <row r="2817" spans="1:26" ht="15.75" hidden="1" customHeight="1" x14ac:dyDescent="0.25">
      <c r="A2817" s="213">
        <v>43614</v>
      </c>
      <c r="B2817" s="214" t="s">
        <v>11316</v>
      </c>
      <c r="C2817" s="215" t="s">
        <v>585</v>
      </c>
      <c r="D2817" s="216">
        <v>17.87</v>
      </c>
      <c r="E2817" s="198"/>
      <c r="F2817" s="198"/>
      <c r="G2817" s="198"/>
      <c r="H2817" s="198"/>
      <c r="I2817" s="198"/>
      <c r="J2817" s="198"/>
      <c r="K2817" s="198"/>
      <c r="L2817" s="198"/>
      <c r="M2817" s="198"/>
      <c r="N2817" s="198"/>
      <c r="O2817" s="198"/>
      <c r="P2817" s="198"/>
      <c r="Q2817" s="198"/>
      <c r="R2817" s="198"/>
      <c r="S2817" s="198"/>
      <c r="T2817" s="198"/>
      <c r="U2817" s="198"/>
      <c r="V2817" s="198"/>
      <c r="W2817" s="198"/>
      <c r="X2817" s="198"/>
      <c r="Y2817" s="198"/>
      <c r="Z2817" s="198"/>
    </row>
    <row r="2818" spans="1:26" ht="15.75" hidden="1" customHeight="1" x14ac:dyDescent="0.25">
      <c r="A2818" s="213">
        <v>6193</v>
      </c>
      <c r="B2818" s="214" t="s">
        <v>11317</v>
      </c>
      <c r="C2818" s="215" t="s">
        <v>585</v>
      </c>
      <c r="D2818" s="216">
        <v>21.75</v>
      </c>
      <c r="E2818" s="198"/>
      <c r="F2818" s="198"/>
      <c r="G2818" s="198"/>
      <c r="H2818" s="198"/>
      <c r="I2818" s="198"/>
      <c r="J2818" s="198"/>
      <c r="K2818" s="198"/>
      <c r="L2818" s="198"/>
      <c r="M2818" s="198"/>
      <c r="N2818" s="198"/>
      <c r="O2818" s="198"/>
      <c r="P2818" s="198"/>
      <c r="Q2818" s="198"/>
      <c r="R2818" s="198"/>
      <c r="S2818" s="198"/>
      <c r="T2818" s="198"/>
      <c r="U2818" s="198"/>
      <c r="V2818" s="198"/>
      <c r="W2818" s="198"/>
      <c r="X2818" s="198"/>
      <c r="Y2818" s="198"/>
      <c r="Z2818" s="198"/>
    </row>
    <row r="2819" spans="1:26" ht="15.75" hidden="1" customHeight="1" x14ac:dyDescent="0.25">
      <c r="A2819" s="213">
        <v>6189</v>
      </c>
      <c r="B2819" s="214" t="s">
        <v>11318</v>
      </c>
      <c r="C2819" s="215" t="s">
        <v>585</v>
      </c>
      <c r="D2819" s="216">
        <v>31.74</v>
      </c>
      <c r="E2819" s="198"/>
      <c r="F2819" s="198"/>
      <c r="G2819" s="198"/>
      <c r="H2819" s="198"/>
      <c r="I2819" s="198"/>
      <c r="J2819" s="198"/>
      <c r="K2819" s="198"/>
      <c r="L2819" s="198"/>
      <c r="M2819" s="198"/>
      <c r="N2819" s="198"/>
      <c r="O2819" s="198"/>
      <c r="P2819" s="198"/>
      <c r="Q2819" s="198"/>
      <c r="R2819" s="198"/>
      <c r="S2819" s="198"/>
      <c r="T2819" s="198"/>
      <c r="U2819" s="198"/>
      <c r="V2819" s="198"/>
      <c r="W2819" s="198"/>
      <c r="X2819" s="198"/>
      <c r="Y2819" s="198"/>
      <c r="Z2819" s="198"/>
    </row>
    <row r="2820" spans="1:26" ht="15.75" hidden="1" customHeight="1" x14ac:dyDescent="0.25">
      <c r="A2820" s="213">
        <v>6214</v>
      </c>
      <c r="B2820" s="214" t="s">
        <v>11319</v>
      </c>
      <c r="C2820" s="215" t="s">
        <v>578</v>
      </c>
      <c r="D2820" s="216">
        <v>156.71</v>
      </c>
      <c r="E2820" s="198"/>
      <c r="F2820" s="198"/>
      <c r="G2820" s="198"/>
      <c r="H2820" s="198"/>
      <c r="I2820" s="198"/>
      <c r="J2820" s="198"/>
      <c r="K2820" s="198"/>
      <c r="L2820" s="198"/>
      <c r="M2820" s="198"/>
      <c r="N2820" s="198"/>
      <c r="O2820" s="198"/>
      <c r="P2820" s="198"/>
      <c r="Q2820" s="198"/>
      <c r="R2820" s="198"/>
      <c r="S2820" s="198"/>
      <c r="T2820" s="198"/>
      <c r="U2820" s="198"/>
      <c r="V2820" s="198"/>
      <c r="W2820" s="198"/>
      <c r="X2820" s="198"/>
      <c r="Y2820" s="198"/>
      <c r="Z2820" s="198"/>
    </row>
    <row r="2821" spans="1:26" ht="15.75" hidden="1" customHeight="1" x14ac:dyDescent="0.25">
      <c r="A2821" s="213">
        <v>36153</v>
      </c>
      <c r="B2821" s="214" t="s">
        <v>11320</v>
      </c>
      <c r="C2821" s="215" t="s">
        <v>580</v>
      </c>
      <c r="D2821" s="216">
        <v>212.66</v>
      </c>
      <c r="E2821" s="198"/>
      <c r="F2821" s="198"/>
      <c r="G2821" s="198"/>
      <c r="H2821" s="198"/>
      <c r="I2821" s="198"/>
      <c r="J2821" s="198"/>
      <c r="K2821" s="198"/>
      <c r="L2821" s="198"/>
      <c r="M2821" s="198"/>
      <c r="N2821" s="198"/>
      <c r="O2821" s="198"/>
      <c r="P2821" s="198"/>
      <c r="Q2821" s="198"/>
      <c r="R2821" s="198"/>
      <c r="S2821" s="198"/>
      <c r="T2821" s="198"/>
      <c r="U2821" s="198"/>
      <c r="V2821" s="198"/>
      <c r="W2821" s="198"/>
      <c r="X2821" s="198"/>
      <c r="Y2821" s="198"/>
      <c r="Z2821" s="198"/>
    </row>
    <row r="2822" spans="1:26" ht="15.75" hidden="1" customHeight="1" x14ac:dyDescent="0.25">
      <c r="A2822" s="213">
        <v>38465</v>
      </c>
      <c r="B2822" s="214" t="s">
        <v>11321</v>
      </c>
      <c r="C2822" s="215" t="s">
        <v>580</v>
      </c>
      <c r="D2822" s="216">
        <v>31.02</v>
      </c>
      <c r="E2822" s="198"/>
      <c r="F2822" s="198"/>
      <c r="G2822" s="198"/>
      <c r="H2822" s="198"/>
      <c r="I2822" s="198"/>
      <c r="J2822" s="198"/>
      <c r="K2822" s="198"/>
      <c r="L2822" s="198"/>
      <c r="M2822" s="198"/>
      <c r="N2822" s="198"/>
      <c r="O2822" s="198"/>
      <c r="P2822" s="198"/>
      <c r="Q2822" s="198"/>
      <c r="R2822" s="198"/>
      <c r="S2822" s="198"/>
      <c r="T2822" s="198"/>
      <c r="U2822" s="198"/>
      <c r="V2822" s="198"/>
      <c r="W2822" s="198"/>
      <c r="X2822" s="198"/>
      <c r="Y2822" s="198"/>
      <c r="Z2822" s="198"/>
    </row>
    <row r="2823" spans="1:26" ht="15.75" hidden="1" customHeight="1" x14ac:dyDescent="0.25">
      <c r="A2823" s="213">
        <v>7543</v>
      </c>
      <c r="B2823" s="214" t="s">
        <v>11322</v>
      </c>
      <c r="C2823" s="215" t="s">
        <v>580</v>
      </c>
      <c r="D2823" s="216">
        <v>8.75</v>
      </c>
      <c r="E2823" s="198"/>
      <c r="F2823" s="198"/>
      <c r="G2823" s="198"/>
      <c r="H2823" s="198"/>
      <c r="I2823" s="198"/>
      <c r="J2823" s="198"/>
      <c r="K2823" s="198"/>
      <c r="L2823" s="198"/>
      <c r="M2823" s="198"/>
      <c r="N2823" s="198"/>
      <c r="O2823" s="198"/>
      <c r="P2823" s="198"/>
      <c r="Q2823" s="198"/>
      <c r="R2823" s="198"/>
      <c r="S2823" s="198"/>
      <c r="T2823" s="198"/>
      <c r="U2823" s="198"/>
      <c r="V2823" s="198"/>
      <c r="W2823" s="198"/>
      <c r="X2823" s="198"/>
      <c r="Y2823" s="198"/>
      <c r="Z2823" s="198"/>
    </row>
    <row r="2824" spans="1:26" ht="15.75" hidden="1" customHeight="1" x14ac:dyDescent="0.25">
      <c r="A2824" s="213">
        <v>39346</v>
      </c>
      <c r="B2824" s="214" t="s">
        <v>11323</v>
      </c>
      <c r="C2824" s="215" t="s">
        <v>580</v>
      </c>
      <c r="D2824" s="216">
        <v>5.4</v>
      </c>
      <c r="E2824" s="198"/>
      <c r="F2824" s="198"/>
      <c r="G2824" s="198"/>
      <c r="H2824" s="198"/>
      <c r="I2824" s="198"/>
      <c r="J2824" s="198"/>
      <c r="K2824" s="198"/>
      <c r="L2824" s="198"/>
      <c r="M2824" s="198"/>
      <c r="N2824" s="198"/>
      <c r="O2824" s="198"/>
      <c r="P2824" s="198"/>
      <c r="Q2824" s="198"/>
      <c r="R2824" s="198"/>
      <c r="S2824" s="198"/>
      <c r="T2824" s="198"/>
      <c r="U2824" s="198"/>
      <c r="V2824" s="198"/>
      <c r="W2824" s="198"/>
      <c r="X2824" s="198"/>
      <c r="Y2824" s="198"/>
      <c r="Z2824" s="198"/>
    </row>
    <row r="2825" spans="1:26" ht="15.75" hidden="1" customHeight="1" x14ac:dyDescent="0.25">
      <c r="A2825" s="213">
        <v>39350</v>
      </c>
      <c r="B2825" s="214" t="s">
        <v>11324</v>
      </c>
      <c r="C2825" s="215" t="s">
        <v>580</v>
      </c>
      <c r="D2825" s="216">
        <v>5.81</v>
      </c>
      <c r="E2825" s="198"/>
      <c r="F2825" s="198"/>
      <c r="G2825" s="198"/>
      <c r="H2825" s="198"/>
      <c r="I2825" s="198"/>
      <c r="J2825" s="198"/>
      <c r="K2825" s="198"/>
      <c r="L2825" s="198"/>
      <c r="M2825" s="198"/>
      <c r="N2825" s="198"/>
      <c r="O2825" s="198"/>
      <c r="P2825" s="198"/>
      <c r="Q2825" s="198"/>
      <c r="R2825" s="198"/>
      <c r="S2825" s="198"/>
      <c r="T2825" s="198"/>
      <c r="U2825" s="198"/>
      <c r="V2825" s="198"/>
      <c r="W2825" s="198"/>
      <c r="X2825" s="198"/>
      <c r="Y2825" s="198"/>
      <c r="Z2825" s="198"/>
    </row>
    <row r="2826" spans="1:26" ht="15.75" hidden="1" customHeight="1" x14ac:dyDescent="0.25">
      <c r="A2826" s="213">
        <v>39351</v>
      </c>
      <c r="B2826" s="214" t="s">
        <v>11325</v>
      </c>
      <c r="C2826" s="215" t="s">
        <v>580</v>
      </c>
      <c r="D2826" s="216">
        <v>6.73</v>
      </c>
      <c r="E2826" s="198"/>
      <c r="F2826" s="198"/>
      <c r="G2826" s="198"/>
      <c r="H2826" s="198"/>
      <c r="I2826" s="198"/>
      <c r="J2826" s="198"/>
      <c r="K2826" s="198"/>
      <c r="L2826" s="198"/>
      <c r="M2826" s="198"/>
      <c r="N2826" s="198"/>
      <c r="O2826" s="198"/>
      <c r="P2826" s="198"/>
      <c r="Q2826" s="198"/>
      <c r="R2826" s="198"/>
      <c r="S2826" s="198"/>
      <c r="T2826" s="198"/>
      <c r="U2826" s="198"/>
      <c r="V2826" s="198"/>
      <c r="W2826" s="198"/>
      <c r="X2826" s="198"/>
      <c r="Y2826" s="198"/>
      <c r="Z2826" s="198"/>
    </row>
    <row r="2827" spans="1:26" ht="15.75" hidden="1" customHeight="1" x14ac:dyDescent="0.25">
      <c r="A2827" s="213">
        <v>39352</v>
      </c>
      <c r="B2827" s="214" t="s">
        <v>11326</v>
      </c>
      <c r="C2827" s="215" t="s">
        <v>580</v>
      </c>
      <c r="D2827" s="216">
        <v>5.4</v>
      </c>
      <c r="E2827" s="198"/>
      <c r="F2827" s="198"/>
      <c r="G2827" s="198"/>
      <c r="H2827" s="198"/>
      <c r="I2827" s="198"/>
      <c r="J2827" s="198"/>
      <c r="K2827" s="198"/>
      <c r="L2827" s="198"/>
      <c r="M2827" s="198"/>
      <c r="N2827" s="198"/>
      <c r="O2827" s="198"/>
      <c r="P2827" s="198"/>
      <c r="Q2827" s="198"/>
      <c r="R2827" s="198"/>
      <c r="S2827" s="198"/>
      <c r="T2827" s="198"/>
      <c r="U2827" s="198"/>
      <c r="V2827" s="198"/>
      <c r="W2827" s="198"/>
      <c r="X2827" s="198"/>
      <c r="Y2827" s="198"/>
      <c r="Z2827" s="198"/>
    </row>
    <row r="2828" spans="1:26" ht="15.75" hidden="1" customHeight="1" x14ac:dyDescent="0.25">
      <c r="A2828" s="213">
        <v>2666</v>
      </c>
      <c r="B2828" s="214" t="s">
        <v>11327</v>
      </c>
      <c r="C2828" s="215" t="s">
        <v>580</v>
      </c>
      <c r="D2828" s="216">
        <v>8.66</v>
      </c>
      <c r="E2828" s="198"/>
      <c r="F2828" s="198"/>
      <c r="G2828" s="198"/>
      <c r="H2828" s="198"/>
      <c r="I2828" s="198"/>
      <c r="J2828" s="198"/>
      <c r="K2828" s="198"/>
      <c r="L2828" s="198"/>
      <c r="M2828" s="198"/>
      <c r="N2828" s="198"/>
      <c r="O2828" s="198"/>
      <c r="P2828" s="198"/>
      <c r="Q2828" s="198"/>
      <c r="R2828" s="198"/>
      <c r="S2828" s="198"/>
      <c r="T2828" s="198"/>
      <c r="U2828" s="198"/>
      <c r="V2828" s="198"/>
      <c r="W2828" s="198"/>
      <c r="X2828" s="198"/>
      <c r="Y2828" s="198"/>
      <c r="Z2828" s="198"/>
    </row>
    <row r="2829" spans="1:26" ht="15.75" hidden="1" customHeight="1" x14ac:dyDescent="0.25">
      <c r="A2829" s="213">
        <v>2668</v>
      </c>
      <c r="B2829" s="214" t="s">
        <v>11328</v>
      </c>
      <c r="C2829" s="215" t="s">
        <v>580</v>
      </c>
      <c r="D2829" s="216">
        <v>9.89</v>
      </c>
      <c r="E2829" s="198"/>
      <c r="F2829" s="198"/>
      <c r="G2829" s="198"/>
      <c r="H2829" s="198"/>
      <c r="I2829" s="198"/>
      <c r="J2829" s="198"/>
      <c r="K2829" s="198"/>
      <c r="L2829" s="198"/>
      <c r="M2829" s="198"/>
      <c r="N2829" s="198"/>
      <c r="O2829" s="198"/>
      <c r="P2829" s="198"/>
      <c r="Q2829" s="198"/>
      <c r="R2829" s="198"/>
      <c r="S2829" s="198"/>
      <c r="T2829" s="198"/>
      <c r="U2829" s="198"/>
      <c r="V2829" s="198"/>
      <c r="W2829" s="198"/>
      <c r="X2829" s="198"/>
      <c r="Y2829" s="198"/>
      <c r="Z2829" s="198"/>
    </row>
    <row r="2830" spans="1:26" ht="15.75" hidden="1" customHeight="1" x14ac:dyDescent="0.25">
      <c r="A2830" s="213">
        <v>2664</v>
      </c>
      <c r="B2830" s="214" t="s">
        <v>11329</v>
      </c>
      <c r="C2830" s="215" t="s">
        <v>580</v>
      </c>
      <c r="D2830" s="216">
        <v>14.58</v>
      </c>
      <c r="E2830" s="198"/>
      <c r="F2830" s="198"/>
      <c r="G2830" s="198"/>
      <c r="H2830" s="198"/>
      <c r="I2830" s="198"/>
      <c r="J2830" s="198"/>
      <c r="K2830" s="198"/>
      <c r="L2830" s="198"/>
      <c r="M2830" s="198"/>
      <c r="N2830" s="198"/>
      <c r="O2830" s="198"/>
      <c r="P2830" s="198"/>
      <c r="Q2830" s="198"/>
      <c r="R2830" s="198"/>
      <c r="S2830" s="198"/>
      <c r="T2830" s="198"/>
      <c r="U2830" s="198"/>
      <c r="V2830" s="198"/>
      <c r="W2830" s="198"/>
      <c r="X2830" s="198"/>
      <c r="Y2830" s="198"/>
      <c r="Z2830" s="198"/>
    </row>
    <row r="2831" spans="1:26" ht="15.75" hidden="1" customHeight="1" x14ac:dyDescent="0.25">
      <c r="A2831" s="213">
        <v>2662</v>
      </c>
      <c r="B2831" s="214" t="s">
        <v>11330</v>
      </c>
      <c r="C2831" s="215" t="s">
        <v>580</v>
      </c>
      <c r="D2831" s="216">
        <v>17.89</v>
      </c>
      <c r="E2831" s="198"/>
      <c r="F2831" s="198"/>
      <c r="G2831" s="198"/>
      <c r="H2831" s="198"/>
      <c r="I2831" s="198"/>
      <c r="J2831" s="198"/>
      <c r="K2831" s="198"/>
      <c r="L2831" s="198"/>
      <c r="M2831" s="198"/>
      <c r="N2831" s="198"/>
      <c r="O2831" s="198"/>
      <c r="P2831" s="198"/>
      <c r="Q2831" s="198"/>
      <c r="R2831" s="198"/>
      <c r="S2831" s="198"/>
      <c r="T2831" s="198"/>
      <c r="U2831" s="198"/>
      <c r="V2831" s="198"/>
      <c r="W2831" s="198"/>
      <c r="X2831" s="198"/>
      <c r="Y2831" s="198"/>
      <c r="Z2831" s="198"/>
    </row>
    <row r="2832" spans="1:26" ht="15.75" hidden="1" customHeight="1" x14ac:dyDescent="0.25">
      <c r="A2832" s="213">
        <v>20964</v>
      </c>
      <c r="B2832" s="214" t="s">
        <v>11331</v>
      </c>
      <c r="C2832" s="215" t="s">
        <v>580</v>
      </c>
      <c r="D2832" s="216">
        <v>109.33</v>
      </c>
      <c r="E2832" s="198"/>
      <c r="F2832" s="198"/>
      <c r="G2832" s="198"/>
      <c r="H2832" s="198"/>
      <c r="I2832" s="198"/>
      <c r="J2832" s="198"/>
      <c r="K2832" s="198"/>
      <c r="L2832" s="198"/>
      <c r="M2832" s="198"/>
      <c r="N2832" s="198"/>
      <c r="O2832" s="198"/>
      <c r="P2832" s="198"/>
      <c r="Q2832" s="198"/>
      <c r="R2832" s="198"/>
      <c r="S2832" s="198"/>
      <c r="T2832" s="198"/>
      <c r="U2832" s="198"/>
      <c r="V2832" s="198"/>
      <c r="W2832" s="198"/>
      <c r="X2832" s="198"/>
      <c r="Y2832" s="198"/>
      <c r="Z2832" s="198"/>
    </row>
    <row r="2833" spans="1:26" ht="15.75" hidden="1" customHeight="1" x14ac:dyDescent="0.25">
      <c r="A2833" s="213">
        <v>10905</v>
      </c>
      <c r="B2833" s="214" t="s">
        <v>11332</v>
      </c>
      <c r="C2833" s="215" t="s">
        <v>580</v>
      </c>
      <c r="D2833" s="216">
        <v>146.66</v>
      </c>
      <c r="E2833" s="198"/>
      <c r="F2833" s="198"/>
      <c r="G2833" s="198"/>
      <c r="H2833" s="198"/>
      <c r="I2833" s="198"/>
      <c r="J2833" s="198"/>
      <c r="K2833" s="198"/>
      <c r="L2833" s="198"/>
      <c r="M2833" s="198"/>
      <c r="N2833" s="198"/>
      <c r="O2833" s="198"/>
      <c r="P2833" s="198"/>
      <c r="Q2833" s="198"/>
      <c r="R2833" s="198"/>
      <c r="S2833" s="198"/>
      <c r="T2833" s="198"/>
      <c r="U2833" s="198"/>
      <c r="V2833" s="198"/>
      <c r="W2833" s="198"/>
      <c r="X2833" s="198"/>
      <c r="Y2833" s="198"/>
      <c r="Z2833" s="198"/>
    </row>
    <row r="2834" spans="1:26" ht="15.75" hidden="1" customHeight="1" x14ac:dyDescent="0.25">
      <c r="A2834" s="213">
        <v>11289</v>
      </c>
      <c r="B2834" s="214" t="s">
        <v>11333</v>
      </c>
      <c r="C2834" s="215" t="s">
        <v>580</v>
      </c>
      <c r="D2834" s="216">
        <v>106.61</v>
      </c>
      <c r="E2834" s="198"/>
      <c r="F2834" s="198"/>
      <c r="G2834" s="198"/>
      <c r="H2834" s="198"/>
      <c r="I2834" s="198"/>
      <c r="J2834" s="198"/>
      <c r="K2834" s="198"/>
      <c r="L2834" s="198"/>
      <c r="M2834" s="198"/>
      <c r="N2834" s="198"/>
      <c r="O2834" s="198"/>
      <c r="P2834" s="198"/>
      <c r="Q2834" s="198"/>
      <c r="R2834" s="198"/>
      <c r="S2834" s="198"/>
      <c r="T2834" s="198"/>
      <c r="U2834" s="198"/>
      <c r="V2834" s="198"/>
      <c r="W2834" s="198"/>
      <c r="X2834" s="198"/>
      <c r="Y2834" s="198"/>
      <c r="Z2834" s="198"/>
    </row>
    <row r="2835" spans="1:26" ht="15.75" hidden="1" customHeight="1" x14ac:dyDescent="0.25">
      <c r="A2835" s="213">
        <v>11241</v>
      </c>
      <c r="B2835" s="214" t="s">
        <v>11334</v>
      </c>
      <c r="C2835" s="215" t="s">
        <v>580</v>
      </c>
      <c r="D2835" s="216">
        <v>266.54000000000002</v>
      </c>
      <c r="E2835" s="198"/>
      <c r="F2835" s="198"/>
      <c r="G2835" s="198"/>
      <c r="H2835" s="198"/>
      <c r="I2835" s="198"/>
      <c r="J2835" s="198"/>
      <c r="K2835" s="198"/>
      <c r="L2835" s="198"/>
      <c r="M2835" s="198"/>
      <c r="N2835" s="198"/>
      <c r="O2835" s="198"/>
      <c r="P2835" s="198"/>
      <c r="Q2835" s="198"/>
      <c r="R2835" s="198"/>
      <c r="S2835" s="198"/>
      <c r="T2835" s="198"/>
      <c r="U2835" s="198"/>
      <c r="V2835" s="198"/>
      <c r="W2835" s="198"/>
      <c r="X2835" s="198"/>
      <c r="Y2835" s="198"/>
      <c r="Z2835" s="198"/>
    </row>
    <row r="2836" spans="1:26" ht="15.75" hidden="1" customHeight="1" x14ac:dyDescent="0.25">
      <c r="A2836" s="213">
        <v>11301</v>
      </c>
      <c r="B2836" s="214" t="s">
        <v>11335</v>
      </c>
      <c r="C2836" s="215" t="s">
        <v>580</v>
      </c>
      <c r="D2836" s="216">
        <v>675.87</v>
      </c>
      <c r="E2836" s="198"/>
      <c r="F2836" s="198"/>
      <c r="G2836" s="198"/>
      <c r="H2836" s="198"/>
      <c r="I2836" s="198"/>
      <c r="J2836" s="198"/>
      <c r="K2836" s="198"/>
      <c r="L2836" s="198"/>
      <c r="M2836" s="198"/>
      <c r="N2836" s="198"/>
      <c r="O2836" s="198"/>
      <c r="P2836" s="198"/>
      <c r="Q2836" s="198"/>
      <c r="R2836" s="198"/>
      <c r="S2836" s="198"/>
      <c r="T2836" s="198"/>
      <c r="U2836" s="198"/>
      <c r="V2836" s="198"/>
      <c r="W2836" s="198"/>
      <c r="X2836" s="198"/>
      <c r="Y2836" s="198"/>
      <c r="Z2836" s="198"/>
    </row>
    <row r="2837" spans="1:26" ht="15.75" hidden="1" customHeight="1" x14ac:dyDescent="0.25">
      <c r="A2837" s="213">
        <v>21090</v>
      </c>
      <c r="B2837" s="214" t="s">
        <v>11336</v>
      </c>
      <c r="C2837" s="215" t="s">
        <v>580</v>
      </c>
      <c r="D2837" s="216">
        <v>828.18</v>
      </c>
      <c r="E2837" s="198"/>
      <c r="F2837" s="198"/>
      <c r="G2837" s="198"/>
      <c r="H2837" s="198"/>
      <c r="I2837" s="198"/>
      <c r="J2837" s="198"/>
      <c r="K2837" s="198"/>
      <c r="L2837" s="198"/>
      <c r="M2837" s="198"/>
      <c r="N2837" s="198"/>
      <c r="O2837" s="198"/>
      <c r="P2837" s="198"/>
      <c r="Q2837" s="198"/>
      <c r="R2837" s="198"/>
      <c r="S2837" s="198"/>
      <c r="T2837" s="198"/>
      <c r="U2837" s="198"/>
      <c r="V2837" s="198"/>
      <c r="W2837" s="198"/>
      <c r="X2837" s="198"/>
      <c r="Y2837" s="198"/>
      <c r="Z2837" s="198"/>
    </row>
    <row r="2838" spans="1:26" ht="15.75" hidden="1" customHeight="1" x14ac:dyDescent="0.25">
      <c r="A2838" s="213">
        <v>11315</v>
      </c>
      <c r="B2838" s="214" t="s">
        <v>11337</v>
      </c>
      <c r="C2838" s="215" t="s">
        <v>580</v>
      </c>
      <c r="D2838" s="216">
        <v>161.82</v>
      </c>
      <c r="E2838" s="198"/>
      <c r="F2838" s="198"/>
      <c r="G2838" s="198"/>
      <c r="H2838" s="198"/>
      <c r="I2838" s="198"/>
      <c r="J2838" s="198"/>
      <c r="K2838" s="198"/>
      <c r="L2838" s="198"/>
      <c r="M2838" s="198"/>
      <c r="N2838" s="198"/>
      <c r="O2838" s="198"/>
      <c r="P2838" s="198"/>
      <c r="Q2838" s="198"/>
      <c r="R2838" s="198"/>
      <c r="S2838" s="198"/>
      <c r="T2838" s="198"/>
      <c r="U2838" s="198"/>
      <c r="V2838" s="198"/>
      <c r="W2838" s="198"/>
      <c r="X2838" s="198"/>
      <c r="Y2838" s="198"/>
      <c r="Z2838" s="198"/>
    </row>
    <row r="2839" spans="1:26" ht="15.75" hidden="1" customHeight="1" x14ac:dyDescent="0.25">
      <c r="A2839" s="213">
        <v>21071</v>
      </c>
      <c r="B2839" s="214" t="s">
        <v>11338</v>
      </c>
      <c r="C2839" s="215" t="s">
        <v>580</v>
      </c>
      <c r="D2839" s="216">
        <v>247.5</v>
      </c>
      <c r="E2839" s="198"/>
      <c r="F2839" s="198"/>
      <c r="G2839" s="198"/>
      <c r="H2839" s="198"/>
      <c r="I2839" s="198"/>
      <c r="J2839" s="198"/>
      <c r="K2839" s="198"/>
      <c r="L2839" s="198"/>
      <c r="M2839" s="198"/>
      <c r="N2839" s="198"/>
      <c r="O2839" s="198"/>
      <c r="P2839" s="198"/>
      <c r="Q2839" s="198"/>
      <c r="R2839" s="198"/>
      <c r="S2839" s="198"/>
      <c r="T2839" s="198"/>
      <c r="U2839" s="198"/>
      <c r="V2839" s="198"/>
      <c r="W2839" s="198"/>
      <c r="X2839" s="198"/>
      <c r="Y2839" s="198"/>
      <c r="Z2839" s="198"/>
    </row>
    <row r="2840" spans="1:26" ht="15.75" hidden="1" customHeight="1" x14ac:dyDescent="0.25">
      <c r="A2840" s="213">
        <v>14112</v>
      </c>
      <c r="B2840" s="214" t="s">
        <v>11339</v>
      </c>
      <c r="C2840" s="215" t="s">
        <v>580</v>
      </c>
      <c r="D2840" s="216">
        <v>345.55</v>
      </c>
      <c r="E2840" s="198"/>
      <c r="F2840" s="198"/>
      <c r="G2840" s="198"/>
      <c r="H2840" s="198"/>
      <c r="I2840" s="198"/>
      <c r="J2840" s="198"/>
      <c r="K2840" s="198"/>
      <c r="L2840" s="198"/>
      <c r="M2840" s="198"/>
      <c r="N2840" s="198"/>
      <c r="O2840" s="198"/>
      <c r="P2840" s="198"/>
      <c r="Q2840" s="198"/>
      <c r="R2840" s="198"/>
      <c r="S2840" s="198"/>
      <c r="T2840" s="198"/>
      <c r="U2840" s="198"/>
      <c r="V2840" s="198"/>
      <c r="W2840" s="198"/>
      <c r="X2840" s="198"/>
      <c r="Y2840" s="198"/>
      <c r="Z2840" s="198"/>
    </row>
    <row r="2841" spans="1:26" ht="15.75" hidden="1" customHeight="1" x14ac:dyDescent="0.25">
      <c r="A2841" s="213">
        <v>11316</v>
      </c>
      <c r="B2841" s="214" t="s">
        <v>11340</v>
      </c>
      <c r="C2841" s="215" t="s">
        <v>580</v>
      </c>
      <c r="D2841" s="216">
        <v>533.08000000000004</v>
      </c>
      <c r="E2841" s="198"/>
      <c r="F2841" s="198"/>
      <c r="G2841" s="198"/>
      <c r="H2841" s="198"/>
      <c r="I2841" s="198"/>
      <c r="J2841" s="198"/>
      <c r="K2841" s="198"/>
      <c r="L2841" s="198"/>
      <c r="M2841" s="198"/>
      <c r="N2841" s="198"/>
      <c r="O2841" s="198"/>
      <c r="P2841" s="198"/>
      <c r="Q2841" s="198"/>
      <c r="R2841" s="198"/>
      <c r="S2841" s="198"/>
      <c r="T2841" s="198"/>
      <c r="U2841" s="198"/>
      <c r="V2841" s="198"/>
      <c r="W2841" s="198"/>
      <c r="X2841" s="198"/>
      <c r="Y2841" s="198"/>
      <c r="Z2841" s="198"/>
    </row>
    <row r="2842" spans="1:26" ht="15.75" hidden="1" customHeight="1" x14ac:dyDescent="0.25">
      <c r="A2842" s="213">
        <v>6243</v>
      </c>
      <c r="B2842" s="214" t="s">
        <v>11341</v>
      </c>
      <c r="C2842" s="215" t="s">
        <v>580</v>
      </c>
      <c r="D2842" s="216">
        <v>614</v>
      </c>
      <c r="E2842" s="198"/>
      <c r="F2842" s="198"/>
      <c r="G2842" s="198"/>
      <c r="H2842" s="198"/>
      <c r="I2842" s="198"/>
      <c r="J2842" s="198"/>
      <c r="K2842" s="198"/>
      <c r="L2842" s="198"/>
      <c r="M2842" s="198"/>
      <c r="N2842" s="198"/>
      <c r="O2842" s="198"/>
      <c r="P2842" s="198"/>
      <c r="Q2842" s="198"/>
      <c r="R2842" s="198"/>
      <c r="S2842" s="198"/>
      <c r="T2842" s="198"/>
      <c r="U2842" s="198"/>
      <c r="V2842" s="198"/>
      <c r="W2842" s="198"/>
      <c r="X2842" s="198"/>
      <c r="Y2842" s="198"/>
      <c r="Z2842" s="198"/>
    </row>
    <row r="2843" spans="1:26" ht="15.75" hidden="1" customHeight="1" x14ac:dyDescent="0.25">
      <c r="A2843" s="213">
        <v>6240</v>
      </c>
      <c r="B2843" s="214" t="s">
        <v>11342</v>
      </c>
      <c r="C2843" s="215" t="s">
        <v>580</v>
      </c>
      <c r="D2843" s="216">
        <v>812.95</v>
      </c>
      <c r="E2843" s="198"/>
      <c r="F2843" s="198"/>
      <c r="G2843" s="198"/>
      <c r="H2843" s="198"/>
      <c r="I2843" s="198"/>
      <c r="J2843" s="198"/>
      <c r="K2843" s="198"/>
      <c r="L2843" s="198"/>
      <c r="M2843" s="198"/>
      <c r="N2843" s="198"/>
      <c r="O2843" s="198"/>
      <c r="P2843" s="198"/>
      <c r="Q2843" s="198"/>
      <c r="R2843" s="198"/>
      <c r="S2843" s="198"/>
      <c r="T2843" s="198"/>
      <c r="U2843" s="198"/>
      <c r="V2843" s="198"/>
      <c r="W2843" s="198"/>
      <c r="X2843" s="198"/>
      <c r="Y2843" s="198"/>
      <c r="Z2843" s="198"/>
    </row>
    <row r="2844" spans="1:26" ht="15.75" hidden="1" customHeight="1" x14ac:dyDescent="0.25">
      <c r="A2844" s="213">
        <v>11296</v>
      </c>
      <c r="B2844" s="214" t="s">
        <v>11343</v>
      </c>
      <c r="C2844" s="215" t="s">
        <v>580</v>
      </c>
      <c r="D2844" s="216">
        <v>2590.2199999999998</v>
      </c>
      <c r="E2844" s="198"/>
      <c r="F2844" s="198"/>
      <c r="G2844" s="198"/>
      <c r="H2844" s="198"/>
      <c r="I2844" s="198"/>
      <c r="J2844" s="198"/>
      <c r="K2844" s="198"/>
      <c r="L2844" s="198"/>
      <c r="M2844" s="198"/>
      <c r="N2844" s="198"/>
      <c r="O2844" s="198"/>
      <c r="P2844" s="198"/>
      <c r="Q2844" s="198"/>
      <c r="R2844" s="198"/>
      <c r="S2844" s="198"/>
      <c r="T2844" s="198"/>
      <c r="U2844" s="198"/>
      <c r="V2844" s="198"/>
      <c r="W2844" s="198"/>
      <c r="X2844" s="198"/>
      <c r="Y2844" s="198"/>
      <c r="Z2844" s="198"/>
    </row>
    <row r="2845" spans="1:26" ht="15.75" hidden="1" customHeight="1" x14ac:dyDescent="0.25">
      <c r="A2845" s="213">
        <v>11299</v>
      </c>
      <c r="B2845" s="214" t="s">
        <v>11344</v>
      </c>
      <c r="C2845" s="215" t="s">
        <v>580</v>
      </c>
      <c r="D2845" s="216">
        <v>876.73</v>
      </c>
      <c r="E2845" s="198"/>
      <c r="F2845" s="198"/>
      <c r="G2845" s="198"/>
      <c r="H2845" s="198"/>
      <c r="I2845" s="198"/>
      <c r="J2845" s="198"/>
      <c r="K2845" s="198"/>
      <c r="L2845" s="198"/>
      <c r="M2845" s="198"/>
      <c r="N2845" s="198"/>
      <c r="O2845" s="198"/>
      <c r="P2845" s="198"/>
      <c r="Q2845" s="198"/>
      <c r="R2845" s="198"/>
      <c r="S2845" s="198"/>
      <c r="T2845" s="198"/>
      <c r="U2845" s="198"/>
      <c r="V2845" s="198"/>
      <c r="W2845" s="198"/>
      <c r="X2845" s="198"/>
      <c r="Y2845" s="198"/>
      <c r="Z2845" s="198"/>
    </row>
    <row r="2846" spans="1:26" ht="15.75" hidden="1" customHeight="1" x14ac:dyDescent="0.25">
      <c r="A2846" s="213">
        <v>11688</v>
      </c>
      <c r="B2846" s="214" t="s">
        <v>11345</v>
      </c>
      <c r="C2846" s="215" t="s">
        <v>580</v>
      </c>
      <c r="D2846" s="216">
        <v>579.82000000000005</v>
      </c>
      <c r="E2846" s="198"/>
      <c r="F2846" s="198"/>
      <c r="G2846" s="198"/>
      <c r="H2846" s="198"/>
      <c r="I2846" s="198"/>
      <c r="J2846" s="198"/>
      <c r="K2846" s="198"/>
      <c r="L2846" s="198"/>
      <c r="M2846" s="198"/>
      <c r="N2846" s="198"/>
      <c r="O2846" s="198"/>
      <c r="P2846" s="198"/>
      <c r="Q2846" s="198"/>
      <c r="R2846" s="198"/>
      <c r="S2846" s="198"/>
      <c r="T2846" s="198"/>
      <c r="U2846" s="198"/>
      <c r="V2846" s="198"/>
      <c r="W2846" s="198"/>
      <c r="X2846" s="198"/>
      <c r="Y2846" s="198"/>
      <c r="Z2846" s="198"/>
    </row>
    <row r="2847" spans="1:26" ht="15.75" hidden="1" customHeight="1" x14ac:dyDescent="0.25">
      <c r="A2847" s="213">
        <v>20271</v>
      </c>
      <c r="B2847" s="214" t="s">
        <v>11346</v>
      </c>
      <c r="C2847" s="215" t="s">
        <v>580</v>
      </c>
      <c r="D2847" s="216">
        <v>638.85</v>
      </c>
      <c r="E2847" s="198"/>
      <c r="F2847" s="198"/>
      <c r="G2847" s="198"/>
      <c r="H2847" s="198"/>
      <c r="I2847" s="198"/>
      <c r="J2847" s="198"/>
      <c r="K2847" s="198"/>
      <c r="L2847" s="198"/>
      <c r="M2847" s="198"/>
      <c r="N2847" s="198"/>
      <c r="O2847" s="198"/>
      <c r="P2847" s="198"/>
      <c r="Q2847" s="198"/>
      <c r="R2847" s="198"/>
      <c r="S2847" s="198"/>
      <c r="T2847" s="198"/>
      <c r="U2847" s="198"/>
      <c r="V2847" s="198"/>
      <c r="W2847" s="198"/>
      <c r="X2847" s="198"/>
      <c r="Y2847" s="198"/>
      <c r="Z2847" s="198"/>
    </row>
    <row r="2848" spans="1:26" ht="15.75" hidden="1" customHeight="1" x14ac:dyDescent="0.25">
      <c r="A2848" s="213">
        <v>10423</v>
      </c>
      <c r="B2848" s="214" t="s">
        <v>11347</v>
      </c>
      <c r="C2848" s="215" t="s">
        <v>580</v>
      </c>
      <c r="D2848" s="216">
        <v>469.06</v>
      </c>
      <c r="E2848" s="198"/>
      <c r="F2848" s="198"/>
      <c r="G2848" s="198"/>
      <c r="H2848" s="198"/>
      <c r="I2848" s="198"/>
      <c r="J2848" s="198"/>
      <c r="K2848" s="198"/>
      <c r="L2848" s="198"/>
      <c r="M2848" s="198"/>
      <c r="N2848" s="198"/>
      <c r="O2848" s="198"/>
      <c r="P2848" s="198"/>
      <c r="Q2848" s="198"/>
      <c r="R2848" s="198"/>
      <c r="S2848" s="198"/>
      <c r="T2848" s="198"/>
      <c r="U2848" s="198"/>
      <c r="V2848" s="198"/>
      <c r="W2848" s="198"/>
      <c r="X2848" s="198"/>
      <c r="Y2848" s="198"/>
      <c r="Z2848" s="198"/>
    </row>
    <row r="2849" spans="1:26" ht="15.75" hidden="1" customHeight="1" x14ac:dyDescent="0.25">
      <c r="A2849" s="213">
        <v>36790</v>
      </c>
      <c r="B2849" s="214" t="s">
        <v>11348</v>
      </c>
      <c r="C2849" s="215" t="s">
        <v>580</v>
      </c>
      <c r="D2849" s="216">
        <v>359.84</v>
      </c>
      <c r="E2849" s="198"/>
      <c r="F2849" s="198"/>
      <c r="G2849" s="198"/>
      <c r="H2849" s="198"/>
      <c r="I2849" s="198"/>
      <c r="J2849" s="198"/>
      <c r="K2849" s="198"/>
      <c r="L2849" s="198"/>
      <c r="M2849" s="198"/>
      <c r="N2849" s="198"/>
      <c r="O2849" s="198"/>
      <c r="P2849" s="198"/>
      <c r="Q2849" s="198"/>
      <c r="R2849" s="198"/>
      <c r="S2849" s="198"/>
      <c r="T2849" s="198"/>
      <c r="U2849" s="198"/>
      <c r="V2849" s="198"/>
      <c r="W2849" s="198"/>
      <c r="X2849" s="198"/>
      <c r="Y2849" s="198"/>
      <c r="Z2849" s="198"/>
    </row>
    <row r="2850" spans="1:26" ht="15.75" hidden="1" customHeight="1" x14ac:dyDescent="0.25">
      <c r="A2850" s="213">
        <v>37589</v>
      </c>
      <c r="B2850" s="214" t="s">
        <v>11349</v>
      </c>
      <c r="C2850" s="215" t="s">
        <v>580</v>
      </c>
      <c r="D2850" s="216">
        <v>440.9</v>
      </c>
      <c r="E2850" s="198"/>
      <c r="F2850" s="198"/>
      <c r="G2850" s="198"/>
      <c r="H2850" s="198"/>
      <c r="I2850" s="198"/>
      <c r="J2850" s="198"/>
      <c r="K2850" s="198"/>
      <c r="L2850" s="198"/>
      <c r="M2850" s="198"/>
      <c r="N2850" s="198"/>
      <c r="O2850" s="198"/>
      <c r="P2850" s="198"/>
      <c r="Q2850" s="198"/>
      <c r="R2850" s="198"/>
      <c r="S2850" s="198"/>
      <c r="T2850" s="198"/>
      <c r="U2850" s="198"/>
      <c r="V2850" s="198"/>
      <c r="W2850" s="198"/>
      <c r="X2850" s="198"/>
      <c r="Y2850" s="198"/>
      <c r="Z2850" s="198"/>
    </row>
    <row r="2851" spans="1:26" ht="15.75" hidden="1" customHeight="1" x14ac:dyDescent="0.25">
      <c r="A2851" s="213">
        <v>11690</v>
      </c>
      <c r="B2851" s="214" t="s">
        <v>11350</v>
      </c>
      <c r="C2851" s="215" t="s">
        <v>580</v>
      </c>
      <c r="D2851" s="216">
        <v>234.22</v>
      </c>
      <c r="E2851" s="198"/>
      <c r="F2851" s="198"/>
      <c r="G2851" s="198"/>
      <c r="H2851" s="198"/>
      <c r="I2851" s="198"/>
      <c r="J2851" s="198"/>
      <c r="K2851" s="198"/>
      <c r="L2851" s="198"/>
      <c r="M2851" s="198"/>
      <c r="N2851" s="198"/>
      <c r="O2851" s="198"/>
      <c r="P2851" s="198"/>
      <c r="Q2851" s="198"/>
      <c r="R2851" s="198"/>
      <c r="S2851" s="198"/>
      <c r="T2851" s="198"/>
      <c r="U2851" s="198"/>
      <c r="V2851" s="198"/>
      <c r="W2851" s="198"/>
      <c r="X2851" s="198"/>
      <c r="Y2851" s="198"/>
      <c r="Z2851" s="198"/>
    </row>
    <row r="2852" spans="1:26" ht="15.75" hidden="1" customHeight="1" x14ac:dyDescent="0.25">
      <c r="A2852" s="213">
        <v>20234</v>
      </c>
      <c r="B2852" s="214" t="s">
        <v>11351</v>
      </c>
      <c r="C2852" s="215" t="s">
        <v>580</v>
      </c>
      <c r="D2852" s="216">
        <v>296.41000000000003</v>
      </c>
      <c r="E2852" s="198"/>
      <c r="F2852" s="198"/>
      <c r="G2852" s="198"/>
      <c r="H2852" s="198"/>
      <c r="I2852" s="198"/>
      <c r="J2852" s="198"/>
      <c r="K2852" s="198"/>
      <c r="L2852" s="198"/>
      <c r="M2852" s="198"/>
      <c r="N2852" s="198"/>
      <c r="O2852" s="198"/>
      <c r="P2852" s="198"/>
      <c r="Q2852" s="198"/>
      <c r="R2852" s="198"/>
      <c r="S2852" s="198"/>
      <c r="T2852" s="198"/>
      <c r="U2852" s="198"/>
      <c r="V2852" s="198"/>
      <c r="W2852" s="198"/>
      <c r="X2852" s="198"/>
      <c r="Y2852" s="198"/>
      <c r="Z2852" s="198"/>
    </row>
    <row r="2853" spans="1:26" ht="15.75" hidden="1" customHeight="1" x14ac:dyDescent="0.25">
      <c r="A2853" s="213">
        <v>44480</v>
      </c>
      <c r="B2853" s="214" t="s">
        <v>11352</v>
      </c>
      <c r="C2853" s="215" t="s">
        <v>664</v>
      </c>
      <c r="D2853" s="216">
        <v>13.81</v>
      </c>
      <c r="E2853" s="198"/>
      <c r="F2853" s="198"/>
      <c r="G2853" s="198"/>
      <c r="H2853" s="198"/>
      <c r="I2853" s="198"/>
      <c r="J2853" s="198"/>
      <c r="K2853" s="198"/>
      <c r="L2853" s="198"/>
      <c r="M2853" s="198"/>
      <c r="N2853" s="198"/>
      <c r="O2853" s="198"/>
      <c r="P2853" s="198"/>
      <c r="Q2853" s="198"/>
      <c r="R2853" s="198"/>
      <c r="S2853" s="198"/>
      <c r="T2853" s="198"/>
      <c r="U2853" s="198"/>
      <c r="V2853" s="198"/>
      <c r="W2853" s="198"/>
      <c r="X2853" s="198"/>
      <c r="Y2853" s="198"/>
      <c r="Z2853" s="198"/>
    </row>
    <row r="2854" spans="1:26" ht="15.75" hidden="1" customHeight="1" x14ac:dyDescent="0.25">
      <c r="A2854" s="213">
        <v>11457</v>
      </c>
      <c r="B2854" s="214" t="s">
        <v>11353</v>
      </c>
      <c r="C2854" s="215" t="s">
        <v>580</v>
      </c>
      <c r="D2854" s="216">
        <v>44.65</v>
      </c>
      <c r="E2854" s="198"/>
      <c r="F2854" s="198"/>
      <c r="G2854" s="198"/>
      <c r="H2854" s="198"/>
      <c r="I2854" s="198"/>
      <c r="J2854" s="198"/>
      <c r="K2854" s="198"/>
      <c r="L2854" s="198"/>
      <c r="M2854" s="198"/>
      <c r="N2854" s="198"/>
      <c r="O2854" s="198"/>
      <c r="P2854" s="198"/>
      <c r="Q2854" s="198"/>
      <c r="R2854" s="198"/>
      <c r="S2854" s="198"/>
      <c r="T2854" s="198"/>
      <c r="U2854" s="198"/>
      <c r="V2854" s="198"/>
      <c r="W2854" s="198"/>
      <c r="X2854" s="198"/>
      <c r="Y2854" s="198"/>
      <c r="Z2854" s="198"/>
    </row>
    <row r="2855" spans="1:26" ht="15.75" hidden="1" customHeight="1" x14ac:dyDescent="0.25">
      <c r="A2855" s="213">
        <v>44073</v>
      </c>
      <c r="B2855" s="214" t="s">
        <v>11354</v>
      </c>
      <c r="C2855" s="215" t="s">
        <v>585</v>
      </c>
      <c r="D2855" s="216">
        <v>0.68</v>
      </c>
      <c r="E2855" s="198"/>
      <c r="F2855" s="198"/>
      <c r="G2855" s="198"/>
      <c r="H2855" s="198"/>
      <c r="I2855" s="198"/>
      <c r="J2855" s="198"/>
      <c r="K2855" s="198"/>
      <c r="L2855" s="198"/>
      <c r="M2855" s="198"/>
      <c r="N2855" s="198"/>
      <c r="O2855" s="198"/>
      <c r="P2855" s="198"/>
      <c r="Q2855" s="198"/>
      <c r="R2855" s="198"/>
      <c r="S2855" s="198"/>
      <c r="T2855" s="198"/>
      <c r="U2855" s="198"/>
      <c r="V2855" s="198"/>
      <c r="W2855" s="198"/>
      <c r="X2855" s="198"/>
      <c r="Y2855" s="198"/>
      <c r="Z2855" s="198"/>
    </row>
    <row r="2856" spans="1:26" ht="15.75" hidden="1" customHeight="1" x14ac:dyDescent="0.25">
      <c r="A2856" s="213">
        <v>44253</v>
      </c>
      <c r="B2856" s="214" t="s">
        <v>11355</v>
      </c>
      <c r="C2856" s="215" t="s">
        <v>580</v>
      </c>
      <c r="D2856" s="216">
        <v>306.76</v>
      </c>
      <c r="E2856" s="198"/>
      <c r="F2856" s="198"/>
      <c r="G2856" s="198"/>
      <c r="H2856" s="198"/>
      <c r="I2856" s="198"/>
      <c r="J2856" s="198"/>
      <c r="K2856" s="198"/>
      <c r="L2856" s="198"/>
      <c r="M2856" s="198"/>
      <c r="N2856" s="198"/>
      <c r="O2856" s="198"/>
      <c r="P2856" s="198"/>
      <c r="Q2856" s="198"/>
      <c r="R2856" s="198"/>
      <c r="S2856" s="198"/>
      <c r="T2856" s="198"/>
      <c r="U2856" s="198"/>
      <c r="V2856" s="198"/>
      <c r="W2856" s="198"/>
      <c r="X2856" s="198"/>
      <c r="Y2856" s="198"/>
      <c r="Z2856" s="198"/>
    </row>
    <row r="2857" spans="1:26" ht="15.75" hidden="1" customHeight="1" x14ac:dyDescent="0.25">
      <c r="A2857" s="213">
        <v>21121</v>
      </c>
      <c r="B2857" s="214" t="s">
        <v>11356</v>
      </c>
      <c r="C2857" s="215" t="s">
        <v>580</v>
      </c>
      <c r="D2857" s="216">
        <v>4.4000000000000004</v>
      </c>
      <c r="E2857" s="198"/>
      <c r="F2857" s="198"/>
      <c r="G2857" s="198"/>
      <c r="H2857" s="198"/>
      <c r="I2857" s="198"/>
      <c r="J2857" s="198"/>
      <c r="K2857" s="198"/>
      <c r="L2857" s="198"/>
      <c r="M2857" s="198"/>
      <c r="N2857" s="198"/>
      <c r="O2857" s="198"/>
      <c r="P2857" s="198"/>
      <c r="Q2857" s="198"/>
      <c r="R2857" s="198"/>
      <c r="S2857" s="198"/>
      <c r="T2857" s="198"/>
      <c r="U2857" s="198"/>
      <c r="V2857" s="198"/>
      <c r="W2857" s="198"/>
      <c r="X2857" s="198"/>
      <c r="Y2857" s="198"/>
      <c r="Z2857" s="198"/>
    </row>
    <row r="2858" spans="1:26" ht="15.75" hidden="1" customHeight="1" x14ac:dyDescent="0.25">
      <c r="A2858" s="213">
        <v>38010</v>
      </c>
      <c r="B2858" s="214" t="s">
        <v>11357</v>
      </c>
      <c r="C2858" s="215" t="s">
        <v>580</v>
      </c>
      <c r="D2858" s="216">
        <v>5.48</v>
      </c>
      <c r="E2858" s="198"/>
      <c r="F2858" s="198"/>
      <c r="G2858" s="198"/>
      <c r="H2858" s="198"/>
      <c r="I2858" s="198"/>
      <c r="J2858" s="198"/>
      <c r="K2858" s="198"/>
      <c r="L2858" s="198"/>
      <c r="M2858" s="198"/>
      <c r="N2858" s="198"/>
      <c r="O2858" s="198"/>
      <c r="P2858" s="198"/>
      <c r="Q2858" s="198"/>
      <c r="R2858" s="198"/>
      <c r="S2858" s="198"/>
      <c r="T2858" s="198"/>
      <c r="U2858" s="198"/>
      <c r="V2858" s="198"/>
      <c r="W2858" s="198"/>
      <c r="X2858" s="198"/>
      <c r="Y2858" s="198"/>
      <c r="Z2858" s="198"/>
    </row>
    <row r="2859" spans="1:26" ht="15.75" hidden="1" customHeight="1" x14ac:dyDescent="0.25">
      <c r="A2859" s="213">
        <v>38011</v>
      </c>
      <c r="B2859" s="214" t="s">
        <v>11358</v>
      </c>
      <c r="C2859" s="215" t="s">
        <v>580</v>
      </c>
      <c r="D2859" s="216">
        <v>10.98</v>
      </c>
      <c r="E2859" s="198"/>
      <c r="F2859" s="198"/>
      <c r="G2859" s="198"/>
      <c r="H2859" s="198"/>
      <c r="I2859" s="198"/>
      <c r="J2859" s="198"/>
      <c r="K2859" s="198"/>
      <c r="L2859" s="198"/>
      <c r="M2859" s="198"/>
      <c r="N2859" s="198"/>
      <c r="O2859" s="198"/>
      <c r="P2859" s="198"/>
      <c r="Q2859" s="198"/>
      <c r="R2859" s="198"/>
      <c r="S2859" s="198"/>
      <c r="T2859" s="198"/>
      <c r="U2859" s="198"/>
      <c r="V2859" s="198"/>
      <c r="W2859" s="198"/>
      <c r="X2859" s="198"/>
      <c r="Y2859" s="198"/>
      <c r="Z2859" s="198"/>
    </row>
    <row r="2860" spans="1:26" ht="15.75" hidden="1" customHeight="1" x14ac:dyDescent="0.25">
      <c r="A2860" s="213">
        <v>38012</v>
      </c>
      <c r="B2860" s="214" t="s">
        <v>11359</v>
      </c>
      <c r="C2860" s="215" t="s">
        <v>580</v>
      </c>
      <c r="D2860" s="216">
        <v>41.87</v>
      </c>
      <c r="E2860" s="198"/>
      <c r="F2860" s="198"/>
      <c r="G2860" s="198"/>
      <c r="H2860" s="198"/>
      <c r="I2860" s="198"/>
      <c r="J2860" s="198"/>
      <c r="K2860" s="198"/>
      <c r="L2860" s="198"/>
      <c r="M2860" s="198"/>
      <c r="N2860" s="198"/>
      <c r="O2860" s="198"/>
      <c r="P2860" s="198"/>
      <c r="Q2860" s="198"/>
      <c r="R2860" s="198"/>
      <c r="S2860" s="198"/>
      <c r="T2860" s="198"/>
      <c r="U2860" s="198"/>
      <c r="V2860" s="198"/>
      <c r="W2860" s="198"/>
      <c r="X2860" s="198"/>
      <c r="Y2860" s="198"/>
      <c r="Z2860" s="198"/>
    </row>
    <row r="2861" spans="1:26" ht="15.75" hidden="1" customHeight="1" x14ac:dyDescent="0.25">
      <c r="A2861" s="213">
        <v>38013</v>
      </c>
      <c r="B2861" s="214" t="s">
        <v>11360</v>
      </c>
      <c r="C2861" s="215" t="s">
        <v>580</v>
      </c>
      <c r="D2861" s="216">
        <v>53.79</v>
      </c>
      <c r="E2861" s="198"/>
      <c r="F2861" s="198"/>
      <c r="G2861" s="198"/>
      <c r="H2861" s="198"/>
      <c r="I2861" s="198"/>
      <c r="J2861" s="198"/>
      <c r="K2861" s="198"/>
      <c r="L2861" s="198"/>
      <c r="M2861" s="198"/>
      <c r="N2861" s="198"/>
      <c r="O2861" s="198"/>
      <c r="P2861" s="198"/>
      <c r="Q2861" s="198"/>
      <c r="R2861" s="198"/>
      <c r="S2861" s="198"/>
      <c r="T2861" s="198"/>
      <c r="U2861" s="198"/>
      <c r="V2861" s="198"/>
      <c r="W2861" s="198"/>
      <c r="X2861" s="198"/>
      <c r="Y2861" s="198"/>
      <c r="Z2861" s="198"/>
    </row>
    <row r="2862" spans="1:26" ht="15.75" hidden="1" customHeight="1" x14ac:dyDescent="0.25">
      <c r="A2862" s="213">
        <v>38014</v>
      </c>
      <c r="B2862" s="214" t="s">
        <v>11361</v>
      </c>
      <c r="C2862" s="215" t="s">
        <v>580</v>
      </c>
      <c r="D2862" s="216">
        <v>89.84</v>
      </c>
      <c r="E2862" s="198"/>
      <c r="F2862" s="198"/>
      <c r="G2862" s="198"/>
      <c r="H2862" s="198"/>
      <c r="I2862" s="198"/>
      <c r="J2862" s="198"/>
      <c r="K2862" s="198"/>
      <c r="L2862" s="198"/>
      <c r="M2862" s="198"/>
      <c r="N2862" s="198"/>
      <c r="O2862" s="198"/>
      <c r="P2862" s="198"/>
      <c r="Q2862" s="198"/>
      <c r="R2862" s="198"/>
      <c r="S2862" s="198"/>
      <c r="T2862" s="198"/>
      <c r="U2862" s="198"/>
      <c r="V2862" s="198"/>
      <c r="W2862" s="198"/>
      <c r="X2862" s="198"/>
      <c r="Y2862" s="198"/>
      <c r="Z2862" s="198"/>
    </row>
    <row r="2863" spans="1:26" ht="15.75" hidden="1" customHeight="1" x14ac:dyDescent="0.25">
      <c r="A2863" s="213">
        <v>38015</v>
      </c>
      <c r="B2863" s="214" t="s">
        <v>11362</v>
      </c>
      <c r="C2863" s="215" t="s">
        <v>580</v>
      </c>
      <c r="D2863" s="216">
        <v>211.2</v>
      </c>
      <c r="E2863" s="198"/>
      <c r="F2863" s="198"/>
      <c r="G2863" s="198"/>
      <c r="H2863" s="198"/>
      <c r="I2863" s="198"/>
      <c r="J2863" s="198"/>
      <c r="K2863" s="198"/>
      <c r="L2863" s="198"/>
      <c r="M2863" s="198"/>
      <c r="N2863" s="198"/>
      <c r="O2863" s="198"/>
      <c r="P2863" s="198"/>
      <c r="Q2863" s="198"/>
      <c r="R2863" s="198"/>
      <c r="S2863" s="198"/>
      <c r="T2863" s="198"/>
      <c r="U2863" s="198"/>
      <c r="V2863" s="198"/>
      <c r="W2863" s="198"/>
      <c r="X2863" s="198"/>
      <c r="Y2863" s="198"/>
      <c r="Z2863" s="198"/>
    </row>
    <row r="2864" spans="1:26" ht="15.75" hidden="1" customHeight="1" x14ac:dyDescent="0.25">
      <c r="A2864" s="213">
        <v>38016</v>
      </c>
      <c r="B2864" s="214" t="s">
        <v>11363</v>
      </c>
      <c r="C2864" s="215" t="s">
        <v>580</v>
      </c>
      <c r="D2864" s="216">
        <v>245.6</v>
      </c>
      <c r="E2864" s="198"/>
      <c r="F2864" s="198"/>
      <c r="G2864" s="198"/>
      <c r="H2864" s="198"/>
      <c r="I2864" s="198"/>
      <c r="J2864" s="198"/>
      <c r="K2864" s="198"/>
      <c r="L2864" s="198"/>
      <c r="M2864" s="198"/>
      <c r="N2864" s="198"/>
      <c r="O2864" s="198"/>
      <c r="P2864" s="198"/>
      <c r="Q2864" s="198"/>
      <c r="R2864" s="198"/>
      <c r="S2864" s="198"/>
      <c r="T2864" s="198"/>
      <c r="U2864" s="198"/>
      <c r="V2864" s="198"/>
      <c r="W2864" s="198"/>
      <c r="X2864" s="198"/>
      <c r="Y2864" s="198"/>
      <c r="Z2864" s="198"/>
    </row>
    <row r="2865" spans="1:26" ht="15.75" hidden="1" customHeight="1" x14ac:dyDescent="0.25">
      <c r="A2865" s="213">
        <v>7105</v>
      </c>
      <c r="B2865" s="214" t="s">
        <v>11364</v>
      </c>
      <c r="C2865" s="215" t="s">
        <v>580</v>
      </c>
      <c r="D2865" s="216">
        <v>39.57</v>
      </c>
      <c r="E2865" s="198"/>
      <c r="F2865" s="198"/>
      <c r="G2865" s="198"/>
      <c r="H2865" s="198"/>
      <c r="I2865" s="198"/>
      <c r="J2865" s="198"/>
      <c r="K2865" s="198"/>
      <c r="L2865" s="198"/>
      <c r="M2865" s="198"/>
      <c r="N2865" s="198"/>
      <c r="O2865" s="198"/>
      <c r="P2865" s="198"/>
      <c r="Q2865" s="198"/>
      <c r="R2865" s="198"/>
      <c r="S2865" s="198"/>
      <c r="T2865" s="198"/>
      <c r="U2865" s="198"/>
      <c r="V2865" s="198"/>
      <c r="W2865" s="198"/>
      <c r="X2865" s="198"/>
      <c r="Y2865" s="198"/>
      <c r="Z2865" s="198"/>
    </row>
    <row r="2866" spans="1:26" ht="15.75" hidden="1" customHeight="1" x14ac:dyDescent="0.25">
      <c r="A2866" s="213">
        <v>20183</v>
      </c>
      <c r="B2866" s="214" t="s">
        <v>11365</v>
      </c>
      <c r="C2866" s="215" t="s">
        <v>580</v>
      </c>
      <c r="D2866" s="216">
        <v>48.75</v>
      </c>
      <c r="E2866" s="198"/>
      <c r="F2866" s="198"/>
      <c r="G2866" s="198"/>
      <c r="H2866" s="198"/>
      <c r="I2866" s="198"/>
      <c r="J2866" s="198"/>
      <c r="K2866" s="198"/>
      <c r="L2866" s="198"/>
      <c r="M2866" s="198"/>
      <c r="N2866" s="198"/>
      <c r="O2866" s="198"/>
      <c r="P2866" s="198"/>
      <c r="Q2866" s="198"/>
      <c r="R2866" s="198"/>
      <c r="S2866" s="198"/>
      <c r="T2866" s="198"/>
      <c r="U2866" s="198"/>
      <c r="V2866" s="198"/>
      <c r="W2866" s="198"/>
      <c r="X2866" s="198"/>
      <c r="Y2866" s="198"/>
      <c r="Z2866" s="198"/>
    </row>
    <row r="2867" spans="1:26" ht="15.75" hidden="1" customHeight="1" x14ac:dyDescent="0.25">
      <c r="A2867" s="213">
        <v>38448</v>
      </c>
      <c r="B2867" s="214" t="s">
        <v>11366</v>
      </c>
      <c r="C2867" s="215" t="s">
        <v>580</v>
      </c>
      <c r="D2867" s="216">
        <v>221.22</v>
      </c>
      <c r="E2867" s="198"/>
      <c r="F2867" s="198"/>
      <c r="G2867" s="198"/>
      <c r="H2867" s="198"/>
      <c r="I2867" s="198"/>
      <c r="J2867" s="198"/>
      <c r="K2867" s="198"/>
      <c r="L2867" s="198"/>
      <c r="M2867" s="198"/>
      <c r="N2867" s="198"/>
      <c r="O2867" s="198"/>
      <c r="P2867" s="198"/>
      <c r="Q2867" s="198"/>
      <c r="R2867" s="198"/>
      <c r="S2867" s="198"/>
      <c r="T2867" s="198"/>
      <c r="U2867" s="198"/>
      <c r="V2867" s="198"/>
      <c r="W2867" s="198"/>
      <c r="X2867" s="198"/>
      <c r="Y2867" s="198"/>
      <c r="Z2867" s="198"/>
    </row>
    <row r="2868" spans="1:26" ht="15.75" hidden="1" customHeight="1" x14ac:dyDescent="0.25">
      <c r="A2868" s="213">
        <v>20182</v>
      </c>
      <c r="B2868" s="214" t="s">
        <v>11367</v>
      </c>
      <c r="C2868" s="215" t="s">
        <v>580</v>
      </c>
      <c r="D2868" s="216">
        <v>28.34</v>
      </c>
      <c r="E2868" s="198"/>
      <c r="F2868" s="198"/>
      <c r="G2868" s="198"/>
      <c r="H2868" s="198"/>
      <c r="I2868" s="198"/>
      <c r="J2868" s="198"/>
      <c r="K2868" s="198"/>
      <c r="L2868" s="198"/>
      <c r="M2868" s="198"/>
      <c r="N2868" s="198"/>
      <c r="O2868" s="198"/>
      <c r="P2868" s="198"/>
      <c r="Q2868" s="198"/>
      <c r="R2868" s="198"/>
      <c r="S2868" s="198"/>
      <c r="T2868" s="198"/>
      <c r="U2868" s="198"/>
      <c r="V2868" s="198"/>
      <c r="W2868" s="198"/>
      <c r="X2868" s="198"/>
      <c r="Y2868" s="198"/>
      <c r="Z2868" s="198"/>
    </row>
    <row r="2869" spans="1:26" ht="15.75" hidden="1" customHeight="1" x14ac:dyDescent="0.25">
      <c r="A2869" s="213">
        <v>7119</v>
      </c>
      <c r="B2869" s="214" t="s">
        <v>11368</v>
      </c>
      <c r="C2869" s="215" t="s">
        <v>580</v>
      </c>
      <c r="D2869" s="216">
        <v>9.5</v>
      </c>
      <c r="E2869" s="198"/>
      <c r="F2869" s="198"/>
      <c r="G2869" s="198"/>
      <c r="H2869" s="198"/>
      <c r="I2869" s="198"/>
      <c r="J2869" s="198"/>
      <c r="K2869" s="198"/>
      <c r="L2869" s="198"/>
      <c r="M2869" s="198"/>
      <c r="N2869" s="198"/>
      <c r="O2869" s="198"/>
      <c r="P2869" s="198"/>
      <c r="Q2869" s="198"/>
      <c r="R2869" s="198"/>
      <c r="S2869" s="198"/>
      <c r="T2869" s="198"/>
      <c r="U2869" s="198"/>
      <c r="V2869" s="198"/>
      <c r="W2869" s="198"/>
      <c r="X2869" s="198"/>
      <c r="Y2869" s="198"/>
      <c r="Z2869" s="198"/>
    </row>
    <row r="2870" spans="1:26" ht="15.75" hidden="1" customHeight="1" x14ac:dyDescent="0.25">
      <c r="A2870" s="213">
        <v>7126</v>
      </c>
      <c r="B2870" s="214" t="s">
        <v>11369</v>
      </c>
      <c r="C2870" s="215" t="s">
        <v>580</v>
      </c>
      <c r="D2870" s="216">
        <v>19.39</v>
      </c>
      <c r="E2870" s="198"/>
      <c r="F2870" s="198"/>
      <c r="G2870" s="198"/>
      <c r="H2870" s="198"/>
      <c r="I2870" s="198"/>
      <c r="J2870" s="198"/>
      <c r="K2870" s="198"/>
      <c r="L2870" s="198"/>
      <c r="M2870" s="198"/>
      <c r="N2870" s="198"/>
      <c r="O2870" s="198"/>
      <c r="P2870" s="198"/>
      <c r="Q2870" s="198"/>
      <c r="R2870" s="198"/>
      <c r="S2870" s="198"/>
      <c r="T2870" s="198"/>
      <c r="U2870" s="198"/>
      <c r="V2870" s="198"/>
      <c r="W2870" s="198"/>
      <c r="X2870" s="198"/>
      <c r="Y2870" s="198"/>
      <c r="Z2870" s="198"/>
    </row>
    <row r="2871" spans="1:26" ht="15.75" hidden="1" customHeight="1" x14ac:dyDescent="0.25">
      <c r="A2871" s="213">
        <v>7120</v>
      </c>
      <c r="B2871" s="214" t="s">
        <v>11370</v>
      </c>
      <c r="C2871" s="215" t="s">
        <v>580</v>
      </c>
      <c r="D2871" s="216">
        <v>7.29</v>
      </c>
      <c r="E2871" s="198"/>
      <c r="F2871" s="198"/>
      <c r="G2871" s="198"/>
      <c r="H2871" s="198"/>
      <c r="I2871" s="198"/>
      <c r="J2871" s="198"/>
      <c r="K2871" s="198"/>
      <c r="L2871" s="198"/>
      <c r="M2871" s="198"/>
      <c r="N2871" s="198"/>
      <c r="O2871" s="198"/>
      <c r="P2871" s="198"/>
      <c r="Q2871" s="198"/>
      <c r="R2871" s="198"/>
      <c r="S2871" s="198"/>
      <c r="T2871" s="198"/>
      <c r="U2871" s="198"/>
      <c r="V2871" s="198"/>
      <c r="W2871" s="198"/>
      <c r="X2871" s="198"/>
      <c r="Y2871" s="198"/>
      <c r="Z2871" s="198"/>
    </row>
    <row r="2872" spans="1:26" ht="15.75" hidden="1" customHeight="1" x14ac:dyDescent="0.25">
      <c r="A2872" s="213">
        <v>39324</v>
      </c>
      <c r="B2872" s="214" t="s">
        <v>11371</v>
      </c>
      <c r="C2872" s="215" t="s">
        <v>580</v>
      </c>
      <c r="D2872" s="216">
        <v>5.73</v>
      </c>
      <c r="E2872" s="198"/>
      <c r="F2872" s="198"/>
      <c r="G2872" s="198"/>
      <c r="H2872" s="198"/>
      <c r="I2872" s="198"/>
      <c r="J2872" s="198"/>
      <c r="K2872" s="198"/>
      <c r="L2872" s="198"/>
      <c r="M2872" s="198"/>
      <c r="N2872" s="198"/>
      <c r="O2872" s="198"/>
      <c r="P2872" s="198"/>
      <c r="Q2872" s="198"/>
      <c r="R2872" s="198"/>
      <c r="S2872" s="198"/>
      <c r="T2872" s="198"/>
      <c r="U2872" s="198"/>
      <c r="V2872" s="198"/>
      <c r="W2872" s="198"/>
      <c r="X2872" s="198"/>
      <c r="Y2872" s="198"/>
      <c r="Z2872" s="198"/>
    </row>
    <row r="2873" spans="1:26" ht="15.75" hidden="1" customHeight="1" x14ac:dyDescent="0.25">
      <c r="A2873" s="213">
        <v>39325</v>
      </c>
      <c r="B2873" s="214" t="s">
        <v>11372</v>
      </c>
      <c r="C2873" s="215" t="s">
        <v>580</v>
      </c>
      <c r="D2873" s="216">
        <v>8.6300000000000008</v>
      </c>
      <c r="E2873" s="198"/>
      <c r="F2873" s="198"/>
      <c r="G2873" s="198"/>
      <c r="H2873" s="198"/>
      <c r="I2873" s="198"/>
      <c r="J2873" s="198"/>
      <c r="K2873" s="198"/>
      <c r="L2873" s="198"/>
      <c r="M2873" s="198"/>
      <c r="N2873" s="198"/>
      <c r="O2873" s="198"/>
      <c r="P2873" s="198"/>
      <c r="Q2873" s="198"/>
      <c r="R2873" s="198"/>
      <c r="S2873" s="198"/>
      <c r="T2873" s="198"/>
      <c r="U2873" s="198"/>
      <c r="V2873" s="198"/>
      <c r="W2873" s="198"/>
      <c r="X2873" s="198"/>
      <c r="Y2873" s="198"/>
      <c r="Z2873" s="198"/>
    </row>
    <row r="2874" spans="1:26" ht="15.75" hidden="1" customHeight="1" x14ac:dyDescent="0.25">
      <c r="A2874" s="213">
        <v>39326</v>
      </c>
      <c r="B2874" s="214" t="s">
        <v>11373</v>
      </c>
      <c r="C2874" s="215" t="s">
        <v>580</v>
      </c>
      <c r="D2874" s="216">
        <v>30.97</v>
      </c>
      <c r="E2874" s="198"/>
      <c r="F2874" s="198"/>
      <c r="G2874" s="198"/>
      <c r="H2874" s="198"/>
      <c r="I2874" s="198"/>
      <c r="J2874" s="198"/>
      <c r="K2874" s="198"/>
      <c r="L2874" s="198"/>
      <c r="M2874" s="198"/>
      <c r="N2874" s="198"/>
      <c r="O2874" s="198"/>
      <c r="P2874" s="198"/>
      <c r="Q2874" s="198"/>
      <c r="R2874" s="198"/>
      <c r="S2874" s="198"/>
      <c r="T2874" s="198"/>
      <c r="U2874" s="198"/>
      <c r="V2874" s="198"/>
      <c r="W2874" s="198"/>
      <c r="X2874" s="198"/>
      <c r="Y2874" s="198"/>
      <c r="Z2874" s="198"/>
    </row>
    <row r="2875" spans="1:26" ht="15.75" hidden="1" customHeight="1" x14ac:dyDescent="0.25">
      <c r="A2875" s="213">
        <v>39327</v>
      </c>
      <c r="B2875" s="214" t="s">
        <v>11374</v>
      </c>
      <c r="C2875" s="215" t="s">
        <v>580</v>
      </c>
      <c r="D2875" s="216">
        <v>46.72</v>
      </c>
      <c r="E2875" s="198"/>
      <c r="F2875" s="198"/>
      <c r="G2875" s="198"/>
      <c r="H2875" s="198"/>
      <c r="I2875" s="198"/>
      <c r="J2875" s="198"/>
      <c r="K2875" s="198"/>
      <c r="L2875" s="198"/>
      <c r="M2875" s="198"/>
      <c r="N2875" s="198"/>
      <c r="O2875" s="198"/>
      <c r="P2875" s="198"/>
      <c r="Q2875" s="198"/>
      <c r="R2875" s="198"/>
      <c r="S2875" s="198"/>
      <c r="T2875" s="198"/>
      <c r="U2875" s="198"/>
      <c r="V2875" s="198"/>
      <c r="W2875" s="198"/>
      <c r="X2875" s="198"/>
      <c r="Y2875" s="198"/>
      <c r="Z2875" s="198"/>
    </row>
    <row r="2876" spans="1:26" ht="15.75" hidden="1" customHeight="1" x14ac:dyDescent="0.25">
      <c r="A2876" s="213">
        <v>7106</v>
      </c>
      <c r="B2876" s="214" t="s">
        <v>11375</v>
      </c>
      <c r="C2876" s="215" t="s">
        <v>580</v>
      </c>
      <c r="D2876" s="216">
        <v>120</v>
      </c>
      <c r="E2876" s="198"/>
      <c r="F2876" s="198"/>
      <c r="G2876" s="198"/>
      <c r="H2876" s="198"/>
      <c r="I2876" s="198"/>
      <c r="J2876" s="198"/>
      <c r="K2876" s="198"/>
      <c r="L2876" s="198"/>
      <c r="M2876" s="198"/>
      <c r="N2876" s="198"/>
      <c r="O2876" s="198"/>
      <c r="P2876" s="198"/>
      <c r="Q2876" s="198"/>
      <c r="R2876" s="198"/>
      <c r="S2876" s="198"/>
      <c r="T2876" s="198"/>
      <c r="U2876" s="198"/>
      <c r="V2876" s="198"/>
      <c r="W2876" s="198"/>
      <c r="X2876" s="198"/>
      <c r="Y2876" s="198"/>
      <c r="Z2876" s="198"/>
    </row>
    <row r="2877" spans="1:26" ht="15.75" hidden="1" customHeight="1" x14ac:dyDescent="0.25">
      <c r="A2877" s="213">
        <v>7104</v>
      </c>
      <c r="B2877" s="214" t="s">
        <v>11376</v>
      </c>
      <c r="C2877" s="215" t="s">
        <v>580</v>
      </c>
      <c r="D2877" s="216">
        <v>3.23</v>
      </c>
      <c r="E2877" s="198"/>
      <c r="F2877" s="198"/>
      <c r="G2877" s="198"/>
      <c r="H2877" s="198"/>
      <c r="I2877" s="198"/>
      <c r="J2877" s="198"/>
      <c r="K2877" s="198"/>
      <c r="L2877" s="198"/>
      <c r="M2877" s="198"/>
      <c r="N2877" s="198"/>
      <c r="O2877" s="198"/>
      <c r="P2877" s="198"/>
      <c r="Q2877" s="198"/>
      <c r="R2877" s="198"/>
      <c r="S2877" s="198"/>
      <c r="T2877" s="198"/>
      <c r="U2877" s="198"/>
      <c r="V2877" s="198"/>
      <c r="W2877" s="198"/>
      <c r="X2877" s="198"/>
      <c r="Y2877" s="198"/>
      <c r="Z2877" s="198"/>
    </row>
    <row r="2878" spans="1:26" ht="15.75" hidden="1" customHeight="1" x14ac:dyDescent="0.25">
      <c r="A2878" s="213">
        <v>7136</v>
      </c>
      <c r="B2878" s="214" t="s">
        <v>11377</v>
      </c>
      <c r="C2878" s="215" t="s">
        <v>580</v>
      </c>
      <c r="D2878" s="216">
        <v>5.63</v>
      </c>
      <c r="E2878" s="198"/>
      <c r="F2878" s="198"/>
      <c r="G2878" s="198"/>
      <c r="H2878" s="198"/>
      <c r="I2878" s="198"/>
      <c r="J2878" s="198"/>
      <c r="K2878" s="198"/>
      <c r="L2878" s="198"/>
      <c r="M2878" s="198"/>
      <c r="N2878" s="198"/>
      <c r="O2878" s="198"/>
      <c r="P2878" s="198"/>
      <c r="Q2878" s="198"/>
      <c r="R2878" s="198"/>
      <c r="S2878" s="198"/>
      <c r="T2878" s="198"/>
      <c r="U2878" s="198"/>
      <c r="V2878" s="198"/>
      <c r="W2878" s="198"/>
      <c r="X2878" s="198"/>
      <c r="Y2878" s="198"/>
      <c r="Z2878" s="198"/>
    </row>
    <row r="2879" spans="1:26" ht="15.75" hidden="1" customHeight="1" x14ac:dyDescent="0.25">
      <c r="A2879" s="213">
        <v>7128</v>
      </c>
      <c r="B2879" s="214" t="s">
        <v>11378</v>
      </c>
      <c r="C2879" s="215" t="s">
        <v>580</v>
      </c>
      <c r="D2879" s="216">
        <v>7.31</v>
      </c>
      <c r="E2879" s="198"/>
      <c r="F2879" s="198"/>
      <c r="G2879" s="198"/>
      <c r="H2879" s="198"/>
      <c r="I2879" s="198"/>
      <c r="J2879" s="198"/>
      <c r="K2879" s="198"/>
      <c r="L2879" s="198"/>
      <c r="M2879" s="198"/>
      <c r="N2879" s="198"/>
      <c r="O2879" s="198"/>
      <c r="P2879" s="198"/>
      <c r="Q2879" s="198"/>
      <c r="R2879" s="198"/>
      <c r="S2879" s="198"/>
      <c r="T2879" s="198"/>
      <c r="U2879" s="198"/>
      <c r="V2879" s="198"/>
      <c r="W2879" s="198"/>
      <c r="X2879" s="198"/>
      <c r="Y2879" s="198"/>
      <c r="Z2879" s="198"/>
    </row>
    <row r="2880" spans="1:26" ht="15.75" hidden="1" customHeight="1" x14ac:dyDescent="0.25">
      <c r="A2880" s="213">
        <v>7108</v>
      </c>
      <c r="B2880" s="214" t="s">
        <v>11379</v>
      </c>
      <c r="C2880" s="215" t="s">
        <v>580</v>
      </c>
      <c r="D2880" s="216">
        <v>7.29</v>
      </c>
      <c r="E2880" s="198"/>
      <c r="F2880" s="198"/>
      <c r="G2880" s="198"/>
      <c r="H2880" s="198"/>
      <c r="I2880" s="198"/>
      <c r="J2880" s="198"/>
      <c r="K2880" s="198"/>
      <c r="L2880" s="198"/>
      <c r="M2880" s="198"/>
      <c r="N2880" s="198"/>
      <c r="O2880" s="198"/>
      <c r="P2880" s="198"/>
      <c r="Q2880" s="198"/>
      <c r="R2880" s="198"/>
      <c r="S2880" s="198"/>
      <c r="T2880" s="198"/>
      <c r="U2880" s="198"/>
      <c r="V2880" s="198"/>
      <c r="W2880" s="198"/>
      <c r="X2880" s="198"/>
      <c r="Y2880" s="198"/>
      <c r="Z2880" s="198"/>
    </row>
    <row r="2881" spans="1:26" ht="15.75" hidden="1" customHeight="1" x14ac:dyDescent="0.25">
      <c r="A2881" s="213">
        <v>7129</v>
      </c>
      <c r="B2881" s="214" t="s">
        <v>11380</v>
      </c>
      <c r="C2881" s="215" t="s">
        <v>580</v>
      </c>
      <c r="D2881" s="216">
        <v>8.58</v>
      </c>
      <c r="E2881" s="198"/>
      <c r="F2881" s="198"/>
      <c r="G2881" s="198"/>
      <c r="H2881" s="198"/>
      <c r="I2881" s="198"/>
      <c r="J2881" s="198"/>
      <c r="K2881" s="198"/>
      <c r="L2881" s="198"/>
      <c r="M2881" s="198"/>
      <c r="N2881" s="198"/>
      <c r="O2881" s="198"/>
      <c r="P2881" s="198"/>
      <c r="Q2881" s="198"/>
      <c r="R2881" s="198"/>
      <c r="S2881" s="198"/>
      <c r="T2881" s="198"/>
      <c r="U2881" s="198"/>
      <c r="V2881" s="198"/>
      <c r="W2881" s="198"/>
      <c r="X2881" s="198"/>
      <c r="Y2881" s="198"/>
      <c r="Z2881" s="198"/>
    </row>
    <row r="2882" spans="1:26" ht="15.75" hidden="1" customHeight="1" x14ac:dyDescent="0.25">
      <c r="A2882" s="213">
        <v>7130</v>
      </c>
      <c r="B2882" s="214" t="s">
        <v>11381</v>
      </c>
      <c r="C2882" s="215" t="s">
        <v>580</v>
      </c>
      <c r="D2882" s="216">
        <v>12.46</v>
      </c>
      <c r="E2882" s="198"/>
      <c r="F2882" s="198"/>
      <c r="G2882" s="198"/>
      <c r="H2882" s="198"/>
      <c r="I2882" s="198"/>
      <c r="J2882" s="198"/>
      <c r="K2882" s="198"/>
      <c r="L2882" s="198"/>
      <c r="M2882" s="198"/>
      <c r="N2882" s="198"/>
      <c r="O2882" s="198"/>
      <c r="P2882" s="198"/>
      <c r="Q2882" s="198"/>
      <c r="R2882" s="198"/>
      <c r="S2882" s="198"/>
      <c r="T2882" s="198"/>
      <c r="U2882" s="198"/>
      <c r="V2882" s="198"/>
      <c r="W2882" s="198"/>
      <c r="X2882" s="198"/>
      <c r="Y2882" s="198"/>
      <c r="Z2882" s="198"/>
    </row>
    <row r="2883" spans="1:26" ht="15.75" hidden="1" customHeight="1" x14ac:dyDescent="0.25">
      <c r="A2883" s="213">
        <v>7131</v>
      </c>
      <c r="B2883" s="214" t="s">
        <v>11382</v>
      </c>
      <c r="C2883" s="215" t="s">
        <v>580</v>
      </c>
      <c r="D2883" s="216">
        <v>15.24</v>
      </c>
      <c r="E2883" s="198"/>
      <c r="F2883" s="198"/>
      <c r="G2883" s="198"/>
      <c r="H2883" s="198"/>
      <c r="I2883" s="198"/>
      <c r="J2883" s="198"/>
      <c r="K2883" s="198"/>
      <c r="L2883" s="198"/>
      <c r="M2883" s="198"/>
      <c r="N2883" s="198"/>
      <c r="O2883" s="198"/>
      <c r="P2883" s="198"/>
      <c r="Q2883" s="198"/>
      <c r="R2883" s="198"/>
      <c r="S2883" s="198"/>
      <c r="T2883" s="198"/>
      <c r="U2883" s="198"/>
      <c r="V2883" s="198"/>
      <c r="W2883" s="198"/>
      <c r="X2883" s="198"/>
      <c r="Y2883" s="198"/>
      <c r="Z2883" s="198"/>
    </row>
    <row r="2884" spans="1:26" ht="15.75" hidden="1" customHeight="1" x14ac:dyDescent="0.25">
      <c r="A2884" s="213">
        <v>7132</v>
      </c>
      <c r="B2884" s="214" t="s">
        <v>11383</v>
      </c>
      <c r="C2884" s="215" t="s">
        <v>580</v>
      </c>
      <c r="D2884" s="216">
        <v>35.89</v>
      </c>
      <c r="E2884" s="198"/>
      <c r="F2884" s="198"/>
      <c r="G2884" s="198"/>
      <c r="H2884" s="198"/>
      <c r="I2884" s="198"/>
      <c r="J2884" s="198"/>
      <c r="K2884" s="198"/>
      <c r="L2884" s="198"/>
      <c r="M2884" s="198"/>
      <c r="N2884" s="198"/>
      <c r="O2884" s="198"/>
      <c r="P2884" s="198"/>
      <c r="Q2884" s="198"/>
      <c r="R2884" s="198"/>
      <c r="S2884" s="198"/>
      <c r="T2884" s="198"/>
      <c r="U2884" s="198"/>
      <c r="V2884" s="198"/>
      <c r="W2884" s="198"/>
      <c r="X2884" s="198"/>
      <c r="Y2884" s="198"/>
      <c r="Z2884" s="198"/>
    </row>
    <row r="2885" spans="1:26" ht="15.75" hidden="1" customHeight="1" x14ac:dyDescent="0.25">
      <c r="A2885" s="213">
        <v>7133</v>
      </c>
      <c r="B2885" s="214" t="s">
        <v>11384</v>
      </c>
      <c r="C2885" s="215" t="s">
        <v>580</v>
      </c>
      <c r="D2885" s="216">
        <v>82.94</v>
      </c>
      <c r="E2885" s="198"/>
      <c r="F2885" s="198"/>
      <c r="G2885" s="198"/>
      <c r="H2885" s="198"/>
      <c r="I2885" s="198"/>
      <c r="J2885" s="198"/>
      <c r="K2885" s="198"/>
      <c r="L2885" s="198"/>
      <c r="M2885" s="198"/>
      <c r="N2885" s="198"/>
      <c r="O2885" s="198"/>
      <c r="P2885" s="198"/>
      <c r="Q2885" s="198"/>
      <c r="R2885" s="198"/>
      <c r="S2885" s="198"/>
      <c r="T2885" s="198"/>
      <c r="U2885" s="198"/>
      <c r="V2885" s="198"/>
      <c r="W2885" s="198"/>
      <c r="X2885" s="198"/>
      <c r="Y2885" s="198"/>
      <c r="Z2885" s="198"/>
    </row>
    <row r="2886" spans="1:26" ht="15.75" hidden="1" customHeight="1" x14ac:dyDescent="0.25">
      <c r="A2886" s="213">
        <v>38017</v>
      </c>
      <c r="B2886" s="214" t="s">
        <v>11385</v>
      </c>
      <c r="C2886" s="215" t="s">
        <v>580</v>
      </c>
      <c r="D2886" s="216">
        <v>11.71</v>
      </c>
      <c r="E2886" s="198"/>
      <c r="F2886" s="198"/>
      <c r="G2886" s="198"/>
      <c r="H2886" s="198"/>
      <c r="I2886" s="198"/>
      <c r="J2886" s="198"/>
      <c r="K2886" s="198"/>
      <c r="L2886" s="198"/>
      <c r="M2886" s="198"/>
      <c r="N2886" s="198"/>
      <c r="O2886" s="198"/>
      <c r="P2886" s="198"/>
      <c r="Q2886" s="198"/>
      <c r="R2886" s="198"/>
      <c r="S2886" s="198"/>
      <c r="T2886" s="198"/>
      <c r="U2886" s="198"/>
      <c r="V2886" s="198"/>
      <c r="W2886" s="198"/>
      <c r="X2886" s="198"/>
      <c r="Y2886" s="198"/>
      <c r="Z2886" s="198"/>
    </row>
    <row r="2887" spans="1:26" ht="15.75" hidden="1" customHeight="1" x14ac:dyDescent="0.25">
      <c r="A2887" s="213">
        <v>38018</v>
      </c>
      <c r="B2887" s="214" t="s">
        <v>11386</v>
      </c>
      <c r="C2887" s="215" t="s">
        <v>580</v>
      </c>
      <c r="D2887" s="216">
        <v>13.16</v>
      </c>
      <c r="E2887" s="198"/>
      <c r="F2887" s="198"/>
      <c r="G2887" s="198"/>
      <c r="H2887" s="198"/>
      <c r="I2887" s="198"/>
      <c r="J2887" s="198"/>
      <c r="K2887" s="198"/>
      <c r="L2887" s="198"/>
      <c r="M2887" s="198"/>
      <c r="N2887" s="198"/>
      <c r="O2887" s="198"/>
      <c r="P2887" s="198"/>
      <c r="Q2887" s="198"/>
      <c r="R2887" s="198"/>
      <c r="S2887" s="198"/>
      <c r="T2887" s="198"/>
      <c r="U2887" s="198"/>
      <c r="V2887" s="198"/>
      <c r="W2887" s="198"/>
      <c r="X2887" s="198"/>
      <c r="Y2887" s="198"/>
      <c r="Z2887" s="198"/>
    </row>
    <row r="2888" spans="1:26" ht="15.75" hidden="1" customHeight="1" x14ac:dyDescent="0.25">
      <c r="A2888" s="213">
        <v>39000</v>
      </c>
      <c r="B2888" s="214" t="s">
        <v>11387</v>
      </c>
      <c r="C2888" s="215" t="s">
        <v>580</v>
      </c>
      <c r="D2888" s="216">
        <v>40.19</v>
      </c>
      <c r="E2888" s="198"/>
      <c r="F2888" s="198"/>
      <c r="G2888" s="198"/>
      <c r="H2888" s="198"/>
      <c r="I2888" s="198"/>
      <c r="J2888" s="198"/>
      <c r="K2888" s="198"/>
      <c r="L2888" s="198"/>
      <c r="M2888" s="198"/>
      <c r="N2888" s="198"/>
      <c r="O2888" s="198"/>
      <c r="P2888" s="198"/>
      <c r="Q2888" s="198"/>
      <c r="R2888" s="198"/>
      <c r="S2888" s="198"/>
      <c r="T2888" s="198"/>
      <c r="U2888" s="198"/>
      <c r="V2888" s="198"/>
      <c r="W2888" s="198"/>
      <c r="X2888" s="198"/>
      <c r="Y2888" s="198"/>
      <c r="Z2888" s="198"/>
    </row>
    <row r="2889" spans="1:26" ht="15.75" hidden="1" customHeight="1" x14ac:dyDescent="0.25">
      <c r="A2889" s="213">
        <v>38674</v>
      </c>
      <c r="B2889" s="214" t="s">
        <v>11388</v>
      </c>
      <c r="C2889" s="215" t="s">
        <v>580</v>
      </c>
      <c r="D2889" s="216">
        <v>39.4</v>
      </c>
      <c r="E2889" s="198"/>
      <c r="F2889" s="198"/>
      <c r="G2889" s="198"/>
      <c r="H2889" s="198"/>
      <c r="I2889" s="198"/>
      <c r="J2889" s="198"/>
      <c r="K2889" s="198"/>
      <c r="L2889" s="198"/>
      <c r="M2889" s="198"/>
      <c r="N2889" s="198"/>
      <c r="O2889" s="198"/>
      <c r="P2889" s="198"/>
      <c r="Q2889" s="198"/>
      <c r="R2889" s="198"/>
      <c r="S2889" s="198"/>
      <c r="T2889" s="198"/>
      <c r="U2889" s="198"/>
      <c r="V2889" s="198"/>
      <c r="W2889" s="198"/>
      <c r="X2889" s="198"/>
      <c r="Y2889" s="198"/>
      <c r="Z2889" s="198"/>
    </row>
    <row r="2890" spans="1:26" ht="15.75" hidden="1" customHeight="1" x14ac:dyDescent="0.25">
      <c r="A2890" s="213">
        <v>38019</v>
      </c>
      <c r="B2890" s="214" t="s">
        <v>11389</v>
      </c>
      <c r="C2890" s="215" t="s">
        <v>580</v>
      </c>
      <c r="D2890" s="216">
        <v>8.33</v>
      </c>
      <c r="E2890" s="198"/>
      <c r="F2890" s="198"/>
      <c r="G2890" s="198"/>
      <c r="H2890" s="198"/>
      <c r="I2890" s="198"/>
      <c r="J2890" s="198"/>
      <c r="K2890" s="198"/>
      <c r="L2890" s="198"/>
      <c r="M2890" s="198"/>
      <c r="N2890" s="198"/>
      <c r="O2890" s="198"/>
      <c r="P2890" s="198"/>
      <c r="Q2890" s="198"/>
      <c r="R2890" s="198"/>
      <c r="S2890" s="198"/>
      <c r="T2890" s="198"/>
      <c r="U2890" s="198"/>
      <c r="V2890" s="198"/>
      <c r="W2890" s="198"/>
      <c r="X2890" s="198"/>
      <c r="Y2890" s="198"/>
      <c r="Z2890" s="198"/>
    </row>
    <row r="2891" spans="1:26" ht="15.75" hidden="1" customHeight="1" x14ac:dyDescent="0.25">
      <c r="A2891" s="213">
        <v>38020</v>
      </c>
      <c r="B2891" s="214" t="s">
        <v>11390</v>
      </c>
      <c r="C2891" s="215" t="s">
        <v>580</v>
      </c>
      <c r="D2891" s="216">
        <v>10.27</v>
      </c>
      <c r="E2891" s="198"/>
      <c r="F2891" s="198"/>
      <c r="G2891" s="198"/>
      <c r="H2891" s="198"/>
      <c r="I2891" s="198"/>
      <c r="J2891" s="198"/>
      <c r="K2891" s="198"/>
      <c r="L2891" s="198"/>
      <c r="M2891" s="198"/>
      <c r="N2891" s="198"/>
      <c r="O2891" s="198"/>
      <c r="P2891" s="198"/>
      <c r="Q2891" s="198"/>
      <c r="R2891" s="198"/>
      <c r="S2891" s="198"/>
      <c r="T2891" s="198"/>
      <c r="U2891" s="198"/>
      <c r="V2891" s="198"/>
      <c r="W2891" s="198"/>
      <c r="X2891" s="198"/>
      <c r="Y2891" s="198"/>
      <c r="Z2891" s="198"/>
    </row>
    <row r="2892" spans="1:26" ht="15.75" hidden="1" customHeight="1" x14ac:dyDescent="0.25">
      <c r="A2892" s="213">
        <v>38454</v>
      </c>
      <c r="B2892" s="214" t="s">
        <v>11391</v>
      </c>
      <c r="C2892" s="215" t="s">
        <v>580</v>
      </c>
      <c r="D2892" s="216">
        <v>15.07</v>
      </c>
      <c r="E2892" s="198"/>
      <c r="F2892" s="198"/>
      <c r="G2892" s="198"/>
      <c r="H2892" s="198"/>
      <c r="I2892" s="198"/>
      <c r="J2892" s="198"/>
      <c r="K2892" s="198"/>
      <c r="L2892" s="198"/>
      <c r="M2892" s="198"/>
      <c r="N2892" s="198"/>
      <c r="O2892" s="198"/>
      <c r="P2892" s="198"/>
      <c r="Q2892" s="198"/>
      <c r="R2892" s="198"/>
      <c r="S2892" s="198"/>
      <c r="T2892" s="198"/>
      <c r="U2892" s="198"/>
      <c r="V2892" s="198"/>
      <c r="W2892" s="198"/>
      <c r="X2892" s="198"/>
      <c r="Y2892" s="198"/>
      <c r="Z2892" s="198"/>
    </row>
    <row r="2893" spans="1:26" ht="15.75" hidden="1" customHeight="1" x14ac:dyDescent="0.25">
      <c r="A2893" s="213">
        <v>38455</v>
      </c>
      <c r="B2893" s="214" t="s">
        <v>11392</v>
      </c>
      <c r="C2893" s="215" t="s">
        <v>580</v>
      </c>
      <c r="D2893" s="216">
        <v>20.170000000000002</v>
      </c>
      <c r="E2893" s="198"/>
      <c r="F2893" s="198"/>
      <c r="G2893" s="198"/>
      <c r="H2893" s="198"/>
      <c r="I2893" s="198"/>
      <c r="J2893" s="198"/>
      <c r="K2893" s="198"/>
      <c r="L2893" s="198"/>
      <c r="M2893" s="198"/>
      <c r="N2893" s="198"/>
      <c r="O2893" s="198"/>
      <c r="P2893" s="198"/>
      <c r="Q2893" s="198"/>
      <c r="R2893" s="198"/>
      <c r="S2893" s="198"/>
      <c r="T2893" s="198"/>
      <c r="U2893" s="198"/>
      <c r="V2893" s="198"/>
      <c r="W2893" s="198"/>
      <c r="X2893" s="198"/>
      <c r="Y2893" s="198"/>
      <c r="Z2893" s="198"/>
    </row>
    <row r="2894" spans="1:26" ht="15.75" hidden="1" customHeight="1" x14ac:dyDescent="0.25">
      <c r="A2894" s="213">
        <v>38462</v>
      </c>
      <c r="B2894" s="214" t="s">
        <v>11393</v>
      </c>
      <c r="C2894" s="215" t="s">
        <v>580</v>
      </c>
      <c r="D2894" s="216">
        <v>325.22000000000003</v>
      </c>
      <c r="E2894" s="198"/>
      <c r="F2894" s="198"/>
      <c r="G2894" s="198"/>
      <c r="H2894" s="198"/>
      <c r="I2894" s="198"/>
      <c r="J2894" s="198"/>
      <c r="K2894" s="198"/>
      <c r="L2894" s="198"/>
      <c r="M2894" s="198"/>
      <c r="N2894" s="198"/>
      <c r="O2894" s="198"/>
      <c r="P2894" s="198"/>
      <c r="Q2894" s="198"/>
      <c r="R2894" s="198"/>
      <c r="S2894" s="198"/>
      <c r="T2894" s="198"/>
      <c r="U2894" s="198"/>
      <c r="V2894" s="198"/>
      <c r="W2894" s="198"/>
      <c r="X2894" s="198"/>
      <c r="Y2894" s="198"/>
      <c r="Z2894" s="198"/>
    </row>
    <row r="2895" spans="1:26" ht="15.75" hidden="1" customHeight="1" x14ac:dyDescent="0.25">
      <c r="A2895" s="213">
        <v>36362</v>
      </c>
      <c r="B2895" s="214" t="s">
        <v>11394</v>
      </c>
      <c r="C2895" s="215" t="s">
        <v>580</v>
      </c>
      <c r="D2895" s="216">
        <v>4.49</v>
      </c>
      <c r="E2895" s="198"/>
      <c r="F2895" s="198"/>
      <c r="G2895" s="198"/>
      <c r="H2895" s="198"/>
      <c r="I2895" s="198"/>
      <c r="J2895" s="198"/>
      <c r="K2895" s="198"/>
      <c r="L2895" s="198"/>
      <c r="M2895" s="198"/>
      <c r="N2895" s="198"/>
      <c r="O2895" s="198"/>
      <c r="P2895" s="198"/>
      <c r="Q2895" s="198"/>
      <c r="R2895" s="198"/>
      <c r="S2895" s="198"/>
      <c r="T2895" s="198"/>
      <c r="U2895" s="198"/>
      <c r="V2895" s="198"/>
      <c r="W2895" s="198"/>
      <c r="X2895" s="198"/>
      <c r="Y2895" s="198"/>
      <c r="Z2895" s="198"/>
    </row>
    <row r="2896" spans="1:26" ht="15.75" hidden="1" customHeight="1" x14ac:dyDescent="0.25">
      <c r="A2896" s="213">
        <v>36298</v>
      </c>
      <c r="B2896" s="214" t="s">
        <v>11395</v>
      </c>
      <c r="C2896" s="215" t="s">
        <v>580</v>
      </c>
      <c r="D2896" s="216">
        <v>3.86</v>
      </c>
      <c r="E2896" s="198"/>
      <c r="F2896" s="198"/>
      <c r="G2896" s="198"/>
      <c r="H2896" s="198"/>
      <c r="I2896" s="198"/>
      <c r="J2896" s="198"/>
      <c r="K2896" s="198"/>
      <c r="L2896" s="198"/>
      <c r="M2896" s="198"/>
      <c r="N2896" s="198"/>
      <c r="O2896" s="198"/>
      <c r="P2896" s="198"/>
      <c r="Q2896" s="198"/>
      <c r="R2896" s="198"/>
      <c r="S2896" s="198"/>
      <c r="T2896" s="198"/>
      <c r="U2896" s="198"/>
      <c r="V2896" s="198"/>
      <c r="W2896" s="198"/>
      <c r="X2896" s="198"/>
      <c r="Y2896" s="198"/>
      <c r="Z2896" s="198"/>
    </row>
    <row r="2897" spans="1:26" ht="15.75" hidden="1" customHeight="1" x14ac:dyDescent="0.25">
      <c r="A2897" s="213">
        <v>38456</v>
      </c>
      <c r="B2897" s="214" t="s">
        <v>11396</v>
      </c>
      <c r="C2897" s="215" t="s">
        <v>580</v>
      </c>
      <c r="D2897" s="216">
        <v>9.6199999999999992</v>
      </c>
      <c r="E2897" s="198"/>
      <c r="F2897" s="198"/>
      <c r="G2897" s="198"/>
      <c r="H2897" s="198"/>
      <c r="I2897" s="198"/>
      <c r="J2897" s="198"/>
      <c r="K2897" s="198"/>
      <c r="L2897" s="198"/>
      <c r="M2897" s="198"/>
      <c r="N2897" s="198"/>
      <c r="O2897" s="198"/>
      <c r="P2897" s="198"/>
      <c r="Q2897" s="198"/>
      <c r="R2897" s="198"/>
      <c r="S2897" s="198"/>
      <c r="T2897" s="198"/>
      <c r="U2897" s="198"/>
      <c r="V2897" s="198"/>
      <c r="W2897" s="198"/>
      <c r="X2897" s="198"/>
      <c r="Y2897" s="198"/>
      <c r="Z2897" s="198"/>
    </row>
    <row r="2898" spans="1:26" ht="15.75" hidden="1" customHeight="1" x14ac:dyDescent="0.25">
      <c r="A2898" s="213">
        <v>38457</v>
      </c>
      <c r="B2898" s="214" t="s">
        <v>11397</v>
      </c>
      <c r="C2898" s="215" t="s">
        <v>580</v>
      </c>
      <c r="D2898" s="216">
        <v>17.52</v>
      </c>
      <c r="E2898" s="198"/>
      <c r="F2898" s="198"/>
      <c r="G2898" s="198"/>
      <c r="H2898" s="198"/>
      <c r="I2898" s="198"/>
      <c r="J2898" s="198"/>
      <c r="K2898" s="198"/>
      <c r="L2898" s="198"/>
      <c r="M2898" s="198"/>
      <c r="N2898" s="198"/>
      <c r="O2898" s="198"/>
      <c r="P2898" s="198"/>
      <c r="Q2898" s="198"/>
      <c r="R2898" s="198"/>
      <c r="S2898" s="198"/>
      <c r="T2898" s="198"/>
      <c r="U2898" s="198"/>
      <c r="V2898" s="198"/>
      <c r="W2898" s="198"/>
      <c r="X2898" s="198"/>
      <c r="Y2898" s="198"/>
      <c r="Z2898" s="198"/>
    </row>
    <row r="2899" spans="1:26" ht="15.75" hidden="1" customHeight="1" x14ac:dyDescent="0.25">
      <c r="A2899" s="213">
        <v>38458</v>
      </c>
      <c r="B2899" s="214" t="s">
        <v>11398</v>
      </c>
      <c r="C2899" s="215" t="s">
        <v>580</v>
      </c>
      <c r="D2899" s="216">
        <v>33.76</v>
      </c>
      <c r="E2899" s="198"/>
      <c r="F2899" s="198"/>
      <c r="G2899" s="198"/>
      <c r="H2899" s="198"/>
      <c r="I2899" s="198"/>
      <c r="J2899" s="198"/>
      <c r="K2899" s="198"/>
      <c r="L2899" s="198"/>
      <c r="M2899" s="198"/>
      <c r="N2899" s="198"/>
      <c r="O2899" s="198"/>
      <c r="P2899" s="198"/>
      <c r="Q2899" s="198"/>
      <c r="R2899" s="198"/>
      <c r="S2899" s="198"/>
      <c r="T2899" s="198"/>
      <c r="U2899" s="198"/>
      <c r="V2899" s="198"/>
      <c r="W2899" s="198"/>
      <c r="X2899" s="198"/>
      <c r="Y2899" s="198"/>
      <c r="Z2899" s="198"/>
    </row>
    <row r="2900" spans="1:26" ht="15.75" hidden="1" customHeight="1" x14ac:dyDescent="0.25">
      <c r="A2900" s="213">
        <v>38459</v>
      </c>
      <c r="B2900" s="214" t="s">
        <v>11399</v>
      </c>
      <c r="C2900" s="215" t="s">
        <v>580</v>
      </c>
      <c r="D2900" s="216">
        <v>53.07</v>
      </c>
      <c r="E2900" s="198"/>
      <c r="F2900" s="198"/>
      <c r="G2900" s="198"/>
      <c r="H2900" s="198"/>
      <c r="I2900" s="198"/>
      <c r="J2900" s="198"/>
      <c r="K2900" s="198"/>
      <c r="L2900" s="198"/>
      <c r="M2900" s="198"/>
      <c r="N2900" s="198"/>
      <c r="O2900" s="198"/>
      <c r="P2900" s="198"/>
      <c r="Q2900" s="198"/>
      <c r="R2900" s="198"/>
      <c r="S2900" s="198"/>
      <c r="T2900" s="198"/>
      <c r="U2900" s="198"/>
      <c r="V2900" s="198"/>
      <c r="W2900" s="198"/>
      <c r="X2900" s="198"/>
      <c r="Y2900" s="198"/>
      <c r="Z2900" s="198"/>
    </row>
    <row r="2901" spans="1:26" ht="15.75" hidden="1" customHeight="1" x14ac:dyDescent="0.25">
      <c r="A2901" s="213">
        <v>38460</v>
      </c>
      <c r="B2901" s="214" t="s">
        <v>11400</v>
      </c>
      <c r="C2901" s="215" t="s">
        <v>580</v>
      </c>
      <c r="D2901" s="216">
        <v>113.84</v>
      </c>
      <c r="E2901" s="198"/>
      <c r="F2901" s="198"/>
      <c r="G2901" s="198"/>
      <c r="H2901" s="198"/>
      <c r="I2901" s="198"/>
      <c r="J2901" s="198"/>
      <c r="K2901" s="198"/>
      <c r="L2901" s="198"/>
      <c r="M2901" s="198"/>
      <c r="N2901" s="198"/>
      <c r="O2901" s="198"/>
      <c r="P2901" s="198"/>
      <c r="Q2901" s="198"/>
      <c r="R2901" s="198"/>
      <c r="S2901" s="198"/>
      <c r="T2901" s="198"/>
      <c r="U2901" s="198"/>
      <c r="V2901" s="198"/>
      <c r="W2901" s="198"/>
      <c r="X2901" s="198"/>
      <c r="Y2901" s="198"/>
      <c r="Z2901" s="198"/>
    </row>
    <row r="2902" spans="1:26" ht="15.75" hidden="1" customHeight="1" x14ac:dyDescent="0.25">
      <c r="A2902" s="213">
        <v>38461</v>
      </c>
      <c r="B2902" s="214" t="s">
        <v>11401</v>
      </c>
      <c r="C2902" s="215" t="s">
        <v>580</v>
      </c>
      <c r="D2902" s="216">
        <v>152.77000000000001</v>
      </c>
      <c r="E2902" s="198"/>
      <c r="F2902" s="198"/>
      <c r="G2902" s="198"/>
      <c r="H2902" s="198"/>
      <c r="I2902" s="198"/>
      <c r="J2902" s="198"/>
      <c r="K2902" s="198"/>
      <c r="L2902" s="198"/>
      <c r="M2902" s="198"/>
      <c r="N2902" s="198"/>
      <c r="O2902" s="198"/>
      <c r="P2902" s="198"/>
      <c r="Q2902" s="198"/>
      <c r="R2902" s="198"/>
      <c r="S2902" s="198"/>
      <c r="T2902" s="198"/>
      <c r="U2902" s="198"/>
      <c r="V2902" s="198"/>
      <c r="W2902" s="198"/>
      <c r="X2902" s="198"/>
      <c r="Y2902" s="198"/>
      <c r="Z2902" s="198"/>
    </row>
    <row r="2903" spans="1:26" ht="15.75" hidden="1" customHeight="1" x14ac:dyDescent="0.25">
      <c r="A2903" s="213">
        <v>7094</v>
      </c>
      <c r="B2903" s="214" t="s">
        <v>11402</v>
      </c>
      <c r="C2903" s="215" t="s">
        <v>580</v>
      </c>
      <c r="D2903" s="216">
        <v>10.56</v>
      </c>
      <c r="E2903" s="198"/>
      <c r="F2903" s="198"/>
      <c r="G2903" s="198"/>
      <c r="H2903" s="198"/>
      <c r="I2903" s="198"/>
      <c r="J2903" s="198"/>
      <c r="K2903" s="198"/>
      <c r="L2903" s="198"/>
      <c r="M2903" s="198"/>
      <c r="N2903" s="198"/>
      <c r="O2903" s="198"/>
      <c r="P2903" s="198"/>
      <c r="Q2903" s="198"/>
      <c r="R2903" s="198"/>
      <c r="S2903" s="198"/>
      <c r="T2903" s="198"/>
      <c r="U2903" s="198"/>
      <c r="V2903" s="198"/>
      <c r="W2903" s="198"/>
      <c r="X2903" s="198"/>
      <c r="Y2903" s="198"/>
      <c r="Z2903" s="198"/>
    </row>
    <row r="2904" spans="1:26" ht="15.75" hidden="1" customHeight="1" x14ac:dyDescent="0.25">
      <c r="A2904" s="213">
        <v>7116</v>
      </c>
      <c r="B2904" s="214" t="s">
        <v>11403</v>
      </c>
      <c r="C2904" s="215" t="s">
        <v>580</v>
      </c>
      <c r="D2904" s="216">
        <v>3.55</v>
      </c>
      <c r="E2904" s="198"/>
      <c r="F2904" s="198"/>
      <c r="G2904" s="198"/>
      <c r="H2904" s="198"/>
      <c r="I2904" s="198"/>
      <c r="J2904" s="198"/>
      <c r="K2904" s="198"/>
      <c r="L2904" s="198"/>
      <c r="M2904" s="198"/>
      <c r="N2904" s="198"/>
      <c r="O2904" s="198"/>
      <c r="P2904" s="198"/>
      <c r="Q2904" s="198"/>
      <c r="R2904" s="198"/>
      <c r="S2904" s="198"/>
      <c r="T2904" s="198"/>
      <c r="U2904" s="198"/>
      <c r="V2904" s="198"/>
      <c r="W2904" s="198"/>
      <c r="X2904" s="198"/>
      <c r="Y2904" s="198"/>
      <c r="Z2904" s="198"/>
    </row>
    <row r="2905" spans="1:26" ht="15.75" hidden="1" customHeight="1" x14ac:dyDescent="0.25">
      <c r="A2905" s="213">
        <v>7118</v>
      </c>
      <c r="B2905" s="214" t="s">
        <v>11404</v>
      </c>
      <c r="C2905" s="215" t="s">
        <v>580</v>
      </c>
      <c r="D2905" s="216">
        <v>21.71</v>
      </c>
      <c r="E2905" s="198"/>
      <c r="F2905" s="198"/>
      <c r="G2905" s="198"/>
      <c r="H2905" s="198"/>
      <c r="I2905" s="198"/>
      <c r="J2905" s="198"/>
      <c r="K2905" s="198"/>
      <c r="L2905" s="198"/>
      <c r="M2905" s="198"/>
      <c r="N2905" s="198"/>
      <c r="O2905" s="198"/>
      <c r="P2905" s="198"/>
      <c r="Q2905" s="198"/>
      <c r="R2905" s="198"/>
      <c r="S2905" s="198"/>
      <c r="T2905" s="198"/>
      <c r="U2905" s="198"/>
      <c r="V2905" s="198"/>
      <c r="W2905" s="198"/>
      <c r="X2905" s="198"/>
      <c r="Y2905" s="198"/>
      <c r="Z2905" s="198"/>
    </row>
    <row r="2906" spans="1:26" ht="15.75" hidden="1" customHeight="1" x14ac:dyDescent="0.25">
      <c r="A2906" s="213">
        <v>7098</v>
      </c>
      <c r="B2906" s="214" t="s">
        <v>11405</v>
      </c>
      <c r="C2906" s="215" t="s">
        <v>580</v>
      </c>
      <c r="D2906" s="216">
        <v>3.23</v>
      </c>
      <c r="E2906" s="198"/>
      <c r="F2906" s="198"/>
      <c r="G2906" s="198"/>
      <c r="H2906" s="198"/>
      <c r="I2906" s="198"/>
      <c r="J2906" s="198"/>
      <c r="K2906" s="198"/>
      <c r="L2906" s="198"/>
      <c r="M2906" s="198"/>
      <c r="N2906" s="198"/>
      <c r="O2906" s="198"/>
      <c r="P2906" s="198"/>
      <c r="Q2906" s="198"/>
      <c r="R2906" s="198"/>
      <c r="S2906" s="198"/>
      <c r="T2906" s="198"/>
      <c r="U2906" s="198"/>
      <c r="V2906" s="198"/>
      <c r="W2906" s="198"/>
      <c r="X2906" s="198"/>
      <c r="Y2906" s="198"/>
      <c r="Z2906" s="198"/>
    </row>
    <row r="2907" spans="1:26" ht="15.75" hidden="1" customHeight="1" x14ac:dyDescent="0.25">
      <c r="A2907" s="213">
        <v>7110</v>
      </c>
      <c r="B2907" s="214" t="s">
        <v>11406</v>
      </c>
      <c r="C2907" s="215" t="s">
        <v>580</v>
      </c>
      <c r="D2907" s="216">
        <v>41.28</v>
      </c>
      <c r="E2907" s="198"/>
      <c r="F2907" s="198"/>
      <c r="G2907" s="198"/>
      <c r="H2907" s="198"/>
      <c r="I2907" s="198"/>
      <c r="J2907" s="198"/>
      <c r="K2907" s="198"/>
      <c r="L2907" s="198"/>
      <c r="M2907" s="198"/>
      <c r="N2907" s="198"/>
      <c r="O2907" s="198"/>
      <c r="P2907" s="198"/>
      <c r="Q2907" s="198"/>
      <c r="R2907" s="198"/>
      <c r="S2907" s="198"/>
      <c r="T2907" s="198"/>
      <c r="U2907" s="198"/>
      <c r="V2907" s="198"/>
      <c r="W2907" s="198"/>
      <c r="X2907" s="198"/>
      <c r="Y2907" s="198"/>
      <c r="Z2907" s="198"/>
    </row>
    <row r="2908" spans="1:26" ht="15.75" hidden="1" customHeight="1" x14ac:dyDescent="0.25">
      <c r="A2908" s="213">
        <v>7123</v>
      </c>
      <c r="B2908" s="214" t="s">
        <v>11407</v>
      </c>
      <c r="C2908" s="215" t="s">
        <v>580</v>
      </c>
      <c r="D2908" s="216">
        <v>3.9</v>
      </c>
      <c r="E2908" s="198"/>
      <c r="F2908" s="198"/>
      <c r="G2908" s="198"/>
      <c r="H2908" s="198"/>
      <c r="I2908" s="198"/>
      <c r="J2908" s="198"/>
      <c r="K2908" s="198"/>
      <c r="L2908" s="198"/>
      <c r="M2908" s="198"/>
      <c r="N2908" s="198"/>
      <c r="O2908" s="198"/>
      <c r="P2908" s="198"/>
      <c r="Q2908" s="198"/>
      <c r="R2908" s="198"/>
      <c r="S2908" s="198"/>
      <c r="T2908" s="198"/>
      <c r="U2908" s="198"/>
      <c r="V2908" s="198"/>
      <c r="W2908" s="198"/>
      <c r="X2908" s="198"/>
      <c r="Y2908" s="198"/>
      <c r="Z2908" s="198"/>
    </row>
    <row r="2909" spans="1:26" ht="15.75" hidden="1" customHeight="1" x14ac:dyDescent="0.25">
      <c r="A2909" s="213">
        <v>7121</v>
      </c>
      <c r="B2909" s="214" t="s">
        <v>11408</v>
      </c>
      <c r="C2909" s="215" t="s">
        <v>580</v>
      </c>
      <c r="D2909" s="216">
        <v>7.72</v>
      </c>
      <c r="E2909" s="198"/>
      <c r="F2909" s="198"/>
      <c r="G2909" s="198"/>
      <c r="H2909" s="198"/>
      <c r="I2909" s="198"/>
      <c r="J2909" s="198"/>
      <c r="K2909" s="198"/>
      <c r="L2909" s="198"/>
      <c r="M2909" s="198"/>
      <c r="N2909" s="198"/>
      <c r="O2909" s="198"/>
      <c r="P2909" s="198"/>
      <c r="Q2909" s="198"/>
      <c r="R2909" s="198"/>
      <c r="S2909" s="198"/>
      <c r="T2909" s="198"/>
      <c r="U2909" s="198"/>
      <c r="V2909" s="198"/>
      <c r="W2909" s="198"/>
      <c r="X2909" s="198"/>
      <c r="Y2909" s="198"/>
      <c r="Z2909" s="198"/>
    </row>
    <row r="2910" spans="1:26" ht="15.75" hidden="1" customHeight="1" x14ac:dyDescent="0.25">
      <c r="A2910" s="213">
        <v>7137</v>
      </c>
      <c r="B2910" s="214" t="s">
        <v>11409</v>
      </c>
      <c r="C2910" s="215" t="s">
        <v>580</v>
      </c>
      <c r="D2910" s="216">
        <v>8.43</v>
      </c>
      <c r="E2910" s="198"/>
      <c r="F2910" s="198"/>
      <c r="G2910" s="198"/>
      <c r="H2910" s="198"/>
      <c r="I2910" s="198"/>
      <c r="J2910" s="198"/>
      <c r="K2910" s="198"/>
      <c r="L2910" s="198"/>
      <c r="M2910" s="198"/>
      <c r="N2910" s="198"/>
      <c r="O2910" s="198"/>
      <c r="P2910" s="198"/>
      <c r="Q2910" s="198"/>
      <c r="R2910" s="198"/>
      <c r="S2910" s="198"/>
      <c r="T2910" s="198"/>
      <c r="U2910" s="198"/>
      <c r="V2910" s="198"/>
      <c r="W2910" s="198"/>
      <c r="X2910" s="198"/>
      <c r="Y2910" s="198"/>
      <c r="Z2910" s="198"/>
    </row>
    <row r="2911" spans="1:26" ht="15.75" hidden="1" customHeight="1" x14ac:dyDescent="0.25">
      <c r="A2911" s="213">
        <v>7122</v>
      </c>
      <c r="B2911" s="214" t="s">
        <v>11410</v>
      </c>
      <c r="C2911" s="215" t="s">
        <v>580</v>
      </c>
      <c r="D2911" s="216">
        <v>9.2799999999999994</v>
      </c>
      <c r="E2911" s="198"/>
      <c r="F2911" s="198"/>
      <c r="G2911" s="198"/>
      <c r="H2911" s="198"/>
      <c r="I2911" s="198"/>
      <c r="J2911" s="198"/>
      <c r="K2911" s="198"/>
      <c r="L2911" s="198"/>
      <c r="M2911" s="198"/>
      <c r="N2911" s="198"/>
      <c r="O2911" s="198"/>
      <c r="P2911" s="198"/>
      <c r="Q2911" s="198"/>
      <c r="R2911" s="198"/>
      <c r="S2911" s="198"/>
      <c r="T2911" s="198"/>
      <c r="U2911" s="198"/>
      <c r="V2911" s="198"/>
      <c r="W2911" s="198"/>
      <c r="X2911" s="198"/>
      <c r="Y2911" s="198"/>
      <c r="Z2911" s="198"/>
    </row>
    <row r="2912" spans="1:26" ht="15.75" hidden="1" customHeight="1" x14ac:dyDescent="0.25">
      <c r="A2912" s="213">
        <v>7114</v>
      </c>
      <c r="B2912" s="214" t="s">
        <v>11411</v>
      </c>
      <c r="C2912" s="215" t="s">
        <v>580</v>
      </c>
      <c r="D2912" s="216">
        <v>10.79</v>
      </c>
      <c r="E2912" s="198"/>
      <c r="F2912" s="198"/>
      <c r="G2912" s="198"/>
      <c r="H2912" s="198"/>
      <c r="I2912" s="198"/>
      <c r="J2912" s="198"/>
      <c r="K2912" s="198"/>
      <c r="L2912" s="198"/>
      <c r="M2912" s="198"/>
      <c r="N2912" s="198"/>
      <c r="O2912" s="198"/>
      <c r="P2912" s="198"/>
      <c r="Q2912" s="198"/>
      <c r="R2912" s="198"/>
      <c r="S2912" s="198"/>
      <c r="T2912" s="198"/>
      <c r="U2912" s="198"/>
      <c r="V2912" s="198"/>
      <c r="W2912" s="198"/>
      <c r="X2912" s="198"/>
      <c r="Y2912" s="198"/>
      <c r="Z2912" s="198"/>
    </row>
    <row r="2913" spans="1:26" ht="15.75" hidden="1" customHeight="1" x14ac:dyDescent="0.25">
      <c r="A2913" s="213">
        <v>7109</v>
      </c>
      <c r="B2913" s="214" t="s">
        <v>11412</v>
      </c>
      <c r="C2913" s="215" t="s">
        <v>580</v>
      </c>
      <c r="D2913" s="216">
        <v>2.14</v>
      </c>
      <c r="E2913" s="198"/>
      <c r="F2913" s="198"/>
      <c r="G2913" s="198"/>
      <c r="H2913" s="198"/>
      <c r="I2913" s="198"/>
      <c r="J2913" s="198"/>
      <c r="K2913" s="198"/>
      <c r="L2913" s="198"/>
      <c r="M2913" s="198"/>
      <c r="N2913" s="198"/>
      <c r="O2913" s="198"/>
      <c r="P2913" s="198"/>
      <c r="Q2913" s="198"/>
      <c r="R2913" s="198"/>
      <c r="S2913" s="198"/>
      <c r="T2913" s="198"/>
      <c r="U2913" s="198"/>
      <c r="V2913" s="198"/>
      <c r="W2913" s="198"/>
      <c r="X2913" s="198"/>
      <c r="Y2913" s="198"/>
      <c r="Z2913" s="198"/>
    </row>
    <row r="2914" spans="1:26" ht="15.75" hidden="1" customHeight="1" x14ac:dyDescent="0.25">
      <c r="A2914" s="213">
        <v>7135</v>
      </c>
      <c r="B2914" s="214" t="s">
        <v>11413</v>
      </c>
      <c r="C2914" s="215" t="s">
        <v>580</v>
      </c>
      <c r="D2914" s="216">
        <v>4.38</v>
      </c>
      <c r="E2914" s="198"/>
      <c r="F2914" s="198"/>
      <c r="G2914" s="198"/>
      <c r="H2914" s="198"/>
      <c r="I2914" s="198"/>
      <c r="J2914" s="198"/>
      <c r="K2914" s="198"/>
      <c r="L2914" s="198"/>
      <c r="M2914" s="198"/>
      <c r="N2914" s="198"/>
      <c r="O2914" s="198"/>
      <c r="P2914" s="198"/>
      <c r="Q2914" s="198"/>
      <c r="R2914" s="198"/>
      <c r="S2914" s="198"/>
      <c r="T2914" s="198"/>
      <c r="U2914" s="198"/>
      <c r="V2914" s="198"/>
      <c r="W2914" s="198"/>
      <c r="X2914" s="198"/>
      <c r="Y2914" s="198"/>
      <c r="Z2914" s="198"/>
    </row>
    <row r="2915" spans="1:26" ht="15.75" hidden="1" customHeight="1" x14ac:dyDescent="0.25">
      <c r="A2915" s="213">
        <v>37947</v>
      </c>
      <c r="B2915" s="214" t="s">
        <v>11414</v>
      </c>
      <c r="C2915" s="215" t="s">
        <v>580</v>
      </c>
      <c r="D2915" s="216">
        <v>3.56</v>
      </c>
      <c r="E2915" s="198"/>
      <c r="F2915" s="198"/>
      <c r="G2915" s="198"/>
      <c r="H2915" s="198"/>
      <c r="I2915" s="198"/>
      <c r="J2915" s="198"/>
      <c r="K2915" s="198"/>
      <c r="L2915" s="198"/>
      <c r="M2915" s="198"/>
      <c r="N2915" s="198"/>
      <c r="O2915" s="198"/>
      <c r="P2915" s="198"/>
      <c r="Q2915" s="198"/>
      <c r="R2915" s="198"/>
      <c r="S2915" s="198"/>
      <c r="T2915" s="198"/>
      <c r="U2915" s="198"/>
      <c r="V2915" s="198"/>
      <c r="W2915" s="198"/>
      <c r="X2915" s="198"/>
      <c r="Y2915" s="198"/>
      <c r="Z2915" s="198"/>
    </row>
    <row r="2916" spans="1:26" ht="15.75" hidden="1" customHeight="1" x14ac:dyDescent="0.25">
      <c r="A2916" s="213">
        <v>7103</v>
      </c>
      <c r="B2916" s="214" t="s">
        <v>11415</v>
      </c>
      <c r="C2916" s="215" t="s">
        <v>580</v>
      </c>
      <c r="D2916" s="216">
        <v>11.61</v>
      </c>
      <c r="E2916" s="198"/>
      <c r="F2916" s="198"/>
      <c r="G2916" s="198"/>
      <c r="H2916" s="198"/>
      <c r="I2916" s="198"/>
      <c r="J2916" s="198"/>
      <c r="K2916" s="198"/>
      <c r="L2916" s="198"/>
      <c r="M2916" s="198"/>
      <c r="N2916" s="198"/>
      <c r="O2916" s="198"/>
      <c r="P2916" s="198"/>
      <c r="Q2916" s="198"/>
      <c r="R2916" s="198"/>
      <c r="S2916" s="198"/>
      <c r="T2916" s="198"/>
      <c r="U2916" s="198"/>
      <c r="V2916" s="198"/>
      <c r="W2916" s="198"/>
      <c r="X2916" s="198"/>
      <c r="Y2916" s="198"/>
      <c r="Z2916" s="198"/>
    </row>
    <row r="2917" spans="1:26" ht="15.75" hidden="1" customHeight="1" x14ac:dyDescent="0.25">
      <c r="A2917" s="213">
        <v>11655</v>
      </c>
      <c r="B2917" s="214" t="s">
        <v>11416</v>
      </c>
      <c r="C2917" s="215" t="s">
        <v>580</v>
      </c>
      <c r="D2917" s="216">
        <v>16.399999999999999</v>
      </c>
      <c r="E2917" s="198"/>
      <c r="F2917" s="198"/>
      <c r="G2917" s="198"/>
      <c r="H2917" s="198"/>
      <c r="I2917" s="198"/>
      <c r="J2917" s="198"/>
      <c r="K2917" s="198"/>
      <c r="L2917" s="198"/>
      <c r="M2917" s="198"/>
      <c r="N2917" s="198"/>
      <c r="O2917" s="198"/>
      <c r="P2917" s="198"/>
      <c r="Q2917" s="198"/>
      <c r="R2917" s="198"/>
      <c r="S2917" s="198"/>
      <c r="T2917" s="198"/>
      <c r="U2917" s="198"/>
      <c r="V2917" s="198"/>
      <c r="W2917" s="198"/>
      <c r="X2917" s="198"/>
      <c r="Y2917" s="198"/>
      <c r="Z2917" s="198"/>
    </row>
    <row r="2918" spans="1:26" ht="15.75" hidden="1" customHeight="1" x14ac:dyDescent="0.25">
      <c r="A2918" s="213">
        <v>11656</v>
      </c>
      <c r="B2918" s="214" t="s">
        <v>11417</v>
      </c>
      <c r="C2918" s="215" t="s">
        <v>580</v>
      </c>
      <c r="D2918" s="216">
        <v>18.829999999999998</v>
      </c>
      <c r="E2918" s="198"/>
      <c r="F2918" s="198"/>
      <c r="G2918" s="198"/>
      <c r="H2918" s="198"/>
      <c r="I2918" s="198"/>
      <c r="J2918" s="198"/>
      <c r="K2918" s="198"/>
      <c r="L2918" s="198"/>
      <c r="M2918" s="198"/>
      <c r="N2918" s="198"/>
      <c r="O2918" s="198"/>
      <c r="P2918" s="198"/>
      <c r="Q2918" s="198"/>
      <c r="R2918" s="198"/>
      <c r="S2918" s="198"/>
      <c r="T2918" s="198"/>
      <c r="U2918" s="198"/>
      <c r="V2918" s="198"/>
      <c r="W2918" s="198"/>
      <c r="X2918" s="198"/>
      <c r="Y2918" s="198"/>
      <c r="Z2918" s="198"/>
    </row>
    <row r="2919" spans="1:26" ht="15.75" hidden="1" customHeight="1" x14ac:dyDescent="0.25">
      <c r="A2919" s="213">
        <v>7091</v>
      </c>
      <c r="B2919" s="214" t="s">
        <v>11418</v>
      </c>
      <c r="C2919" s="215" t="s">
        <v>580</v>
      </c>
      <c r="D2919" s="216">
        <v>15.42</v>
      </c>
      <c r="E2919" s="198"/>
      <c r="F2919" s="198"/>
      <c r="G2919" s="198"/>
      <c r="H2919" s="198"/>
      <c r="I2919" s="198"/>
      <c r="J2919" s="198"/>
      <c r="K2919" s="198"/>
      <c r="L2919" s="198"/>
      <c r="M2919" s="198"/>
      <c r="N2919" s="198"/>
      <c r="O2919" s="198"/>
      <c r="P2919" s="198"/>
      <c r="Q2919" s="198"/>
      <c r="R2919" s="198"/>
      <c r="S2919" s="198"/>
      <c r="T2919" s="198"/>
      <c r="U2919" s="198"/>
      <c r="V2919" s="198"/>
      <c r="W2919" s="198"/>
      <c r="X2919" s="198"/>
      <c r="Y2919" s="198"/>
      <c r="Z2919" s="198"/>
    </row>
    <row r="2920" spans="1:26" ht="15.75" hidden="1" customHeight="1" x14ac:dyDescent="0.25">
      <c r="A2920" s="213">
        <v>37948</v>
      </c>
      <c r="B2920" s="214" t="s">
        <v>11419</v>
      </c>
      <c r="C2920" s="215" t="s">
        <v>580</v>
      </c>
      <c r="D2920" s="216">
        <v>3.57</v>
      </c>
      <c r="E2920" s="198"/>
      <c r="F2920" s="198"/>
      <c r="G2920" s="198"/>
      <c r="H2920" s="198"/>
      <c r="I2920" s="198"/>
      <c r="J2920" s="198"/>
      <c r="K2920" s="198"/>
      <c r="L2920" s="198"/>
      <c r="M2920" s="198"/>
      <c r="N2920" s="198"/>
      <c r="O2920" s="198"/>
      <c r="P2920" s="198"/>
      <c r="Q2920" s="198"/>
      <c r="R2920" s="198"/>
      <c r="S2920" s="198"/>
      <c r="T2920" s="198"/>
      <c r="U2920" s="198"/>
      <c r="V2920" s="198"/>
      <c r="W2920" s="198"/>
      <c r="X2920" s="198"/>
      <c r="Y2920" s="198"/>
      <c r="Z2920" s="198"/>
    </row>
    <row r="2921" spans="1:26" ht="15.75" hidden="1" customHeight="1" x14ac:dyDescent="0.25">
      <c r="A2921" s="213">
        <v>7097</v>
      </c>
      <c r="B2921" s="214" t="s">
        <v>11420</v>
      </c>
      <c r="C2921" s="215" t="s">
        <v>580</v>
      </c>
      <c r="D2921" s="216">
        <v>7.24</v>
      </c>
      <c r="E2921" s="198"/>
      <c r="F2921" s="198"/>
      <c r="G2921" s="198"/>
      <c r="H2921" s="198"/>
      <c r="I2921" s="198"/>
      <c r="J2921" s="198"/>
      <c r="K2921" s="198"/>
      <c r="L2921" s="198"/>
      <c r="M2921" s="198"/>
      <c r="N2921" s="198"/>
      <c r="O2921" s="198"/>
      <c r="P2921" s="198"/>
      <c r="Q2921" s="198"/>
      <c r="R2921" s="198"/>
      <c r="S2921" s="198"/>
      <c r="T2921" s="198"/>
      <c r="U2921" s="198"/>
      <c r="V2921" s="198"/>
      <c r="W2921" s="198"/>
      <c r="X2921" s="198"/>
      <c r="Y2921" s="198"/>
      <c r="Z2921" s="198"/>
    </row>
    <row r="2922" spans="1:26" ht="15.75" hidden="1" customHeight="1" x14ac:dyDescent="0.25">
      <c r="A2922" s="213">
        <v>11658</v>
      </c>
      <c r="B2922" s="214" t="s">
        <v>11421</v>
      </c>
      <c r="C2922" s="215" t="s">
        <v>580</v>
      </c>
      <c r="D2922" s="216">
        <v>16.010000000000002</v>
      </c>
      <c r="E2922" s="198"/>
      <c r="F2922" s="198"/>
      <c r="G2922" s="198"/>
      <c r="H2922" s="198"/>
      <c r="I2922" s="198"/>
      <c r="J2922" s="198"/>
      <c r="K2922" s="198"/>
      <c r="L2922" s="198"/>
      <c r="M2922" s="198"/>
      <c r="N2922" s="198"/>
      <c r="O2922" s="198"/>
      <c r="P2922" s="198"/>
      <c r="Q2922" s="198"/>
      <c r="R2922" s="198"/>
      <c r="S2922" s="198"/>
      <c r="T2922" s="198"/>
      <c r="U2922" s="198"/>
      <c r="V2922" s="198"/>
      <c r="W2922" s="198"/>
      <c r="X2922" s="198"/>
      <c r="Y2922" s="198"/>
      <c r="Z2922" s="198"/>
    </row>
    <row r="2923" spans="1:26" ht="15.75" hidden="1" customHeight="1" x14ac:dyDescent="0.25">
      <c r="A2923" s="213">
        <v>7146</v>
      </c>
      <c r="B2923" s="214" t="s">
        <v>11422</v>
      </c>
      <c r="C2923" s="215" t="s">
        <v>580</v>
      </c>
      <c r="D2923" s="216">
        <v>141.31</v>
      </c>
      <c r="E2923" s="198"/>
      <c r="F2923" s="198"/>
      <c r="G2923" s="198"/>
      <c r="H2923" s="198"/>
      <c r="I2923" s="198"/>
      <c r="J2923" s="198"/>
      <c r="K2923" s="198"/>
      <c r="L2923" s="198"/>
      <c r="M2923" s="198"/>
      <c r="N2923" s="198"/>
      <c r="O2923" s="198"/>
      <c r="P2923" s="198"/>
      <c r="Q2923" s="198"/>
      <c r="R2923" s="198"/>
      <c r="S2923" s="198"/>
      <c r="T2923" s="198"/>
      <c r="U2923" s="198"/>
      <c r="V2923" s="198"/>
      <c r="W2923" s="198"/>
      <c r="X2923" s="198"/>
      <c r="Y2923" s="198"/>
      <c r="Z2923" s="198"/>
    </row>
    <row r="2924" spans="1:26" ht="15.75" hidden="1" customHeight="1" x14ac:dyDescent="0.25">
      <c r="A2924" s="213">
        <v>7138</v>
      </c>
      <c r="B2924" s="214" t="s">
        <v>11423</v>
      </c>
      <c r="C2924" s="215" t="s">
        <v>580</v>
      </c>
      <c r="D2924" s="216">
        <v>0.89</v>
      </c>
      <c r="E2924" s="198"/>
      <c r="F2924" s="198"/>
      <c r="G2924" s="198"/>
      <c r="H2924" s="198"/>
      <c r="I2924" s="198"/>
      <c r="J2924" s="198"/>
      <c r="K2924" s="198"/>
      <c r="L2924" s="198"/>
      <c r="M2924" s="198"/>
      <c r="N2924" s="198"/>
      <c r="O2924" s="198"/>
      <c r="P2924" s="198"/>
      <c r="Q2924" s="198"/>
      <c r="R2924" s="198"/>
      <c r="S2924" s="198"/>
      <c r="T2924" s="198"/>
      <c r="U2924" s="198"/>
      <c r="V2924" s="198"/>
      <c r="W2924" s="198"/>
      <c r="X2924" s="198"/>
      <c r="Y2924" s="198"/>
      <c r="Z2924" s="198"/>
    </row>
    <row r="2925" spans="1:26" ht="15.75" hidden="1" customHeight="1" x14ac:dyDescent="0.25">
      <c r="A2925" s="213">
        <v>7139</v>
      </c>
      <c r="B2925" s="214" t="s">
        <v>11424</v>
      </c>
      <c r="C2925" s="215" t="s">
        <v>580</v>
      </c>
      <c r="D2925" s="216">
        <v>1.01</v>
      </c>
      <c r="E2925" s="198"/>
      <c r="F2925" s="198"/>
      <c r="G2925" s="198"/>
      <c r="H2925" s="198"/>
      <c r="I2925" s="198"/>
      <c r="J2925" s="198"/>
      <c r="K2925" s="198"/>
      <c r="L2925" s="198"/>
      <c r="M2925" s="198"/>
      <c r="N2925" s="198"/>
      <c r="O2925" s="198"/>
      <c r="P2925" s="198"/>
      <c r="Q2925" s="198"/>
      <c r="R2925" s="198"/>
      <c r="S2925" s="198"/>
      <c r="T2925" s="198"/>
      <c r="U2925" s="198"/>
      <c r="V2925" s="198"/>
      <c r="W2925" s="198"/>
      <c r="X2925" s="198"/>
      <c r="Y2925" s="198"/>
      <c r="Z2925" s="198"/>
    </row>
    <row r="2926" spans="1:26" ht="15.75" hidden="1" customHeight="1" x14ac:dyDescent="0.25">
      <c r="A2926" s="213">
        <v>7140</v>
      </c>
      <c r="B2926" s="214" t="s">
        <v>11425</v>
      </c>
      <c r="C2926" s="215" t="s">
        <v>580</v>
      </c>
      <c r="D2926" s="216">
        <v>3.18</v>
      </c>
      <c r="E2926" s="198"/>
      <c r="F2926" s="198"/>
      <c r="G2926" s="198"/>
      <c r="H2926" s="198"/>
      <c r="I2926" s="198"/>
      <c r="J2926" s="198"/>
      <c r="K2926" s="198"/>
      <c r="L2926" s="198"/>
      <c r="M2926" s="198"/>
      <c r="N2926" s="198"/>
      <c r="O2926" s="198"/>
      <c r="P2926" s="198"/>
      <c r="Q2926" s="198"/>
      <c r="R2926" s="198"/>
      <c r="S2926" s="198"/>
      <c r="T2926" s="198"/>
      <c r="U2926" s="198"/>
      <c r="V2926" s="198"/>
      <c r="W2926" s="198"/>
      <c r="X2926" s="198"/>
      <c r="Y2926" s="198"/>
      <c r="Z2926" s="198"/>
    </row>
    <row r="2927" spans="1:26" ht="15.75" hidden="1" customHeight="1" x14ac:dyDescent="0.25">
      <c r="A2927" s="213">
        <v>7141</v>
      </c>
      <c r="B2927" s="214" t="s">
        <v>11426</v>
      </c>
      <c r="C2927" s="215" t="s">
        <v>580</v>
      </c>
      <c r="D2927" s="216">
        <v>7.77</v>
      </c>
      <c r="E2927" s="198"/>
      <c r="F2927" s="198"/>
      <c r="G2927" s="198"/>
      <c r="H2927" s="198"/>
      <c r="I2927" s="198"/>
      <c r="J2927" s="198"/>
      <c r="K2927" s="198"/>
      <c r="L2927" s="198"/>
      <c r="M2927" s="198"/>
      <c r="N2927" s="198"/>
      <c r="O2927" s="198"/>
      <c r="P2927" s="198"/>
      <c r="Q2927" s="198"/>
      <c r="R2927" s="198"/>
      <c r="S2927" s="198"/>
      <c r="T2927" s="198"/>
      <c r="U2927" s="198"/>
      <c r="V2927" s="198"/>
      <c r="W2927" s="198"/>
      <c r="X2927" s="198"/>
      <c r="Y2927" s="198"/>
      <c r="Z2927" s="198"/>
    </row>
    <row r="2928" spans="1:26" ht="15.75" hidden="1" customHeight="1" x14ac:dyDescent="0.25">
      <c r="A2928" s="213">
        <v>7143</v>
      </c>
      <c r="B2928" s="214" t="s">
        <v>11427</v>
      </c>
      <c r="C2928" s="215" t="s">
        <v>580</v>
      </c>
      <c r="D2928" s="216">
        <v>26.09</v>
      </c>
      <c r="E2928" s="198"/>
      <c r="F2928" s="198"/>
      <c r="G2928" s="198"/>
      <c r="H2928" s="198"/>
      <c r="I2928" s="198"/>
      <c r="J2928" s="198"/>
      <c r="K2928" s="198"/>
      <c r="L2928" s="198"/>
      <c r="M2928" s="198"/>
      <c r="N2928" s="198"/>
      <c r="O2928" s="198"/>
      <c r="P2928" s="198"/>
      <c r="Q2928" s="198"/>
      <c r="R2928" s="198"/>
      <c r="S2928" s="198"/>
      <c r="T2928" s="198"/>
      <c r="U2928" s="198"/>
      <c r="V2928" s="198"/>
      <c r="W2928" s="198"/>
      <c r="X2928" s="198"/>
      <c r="Y2928" s="198"/>
      <c r="Z2928" s="198"/>
    </row>
    <row r="2929" spans="1:26" ht="15.75" hidden="1" customHeight="1" x14ac:dyDescent="0.25">
      <c r="A2929" s="213">
        <v>7144</v>
      </c>
      <c r="B2929" s="214" t="s">
        <v>11428</v>
      </c>
      <c r="C2929" s="215" t="s">
        <v>580</v>
      </c>
      <c r="D2929" s="216">
        <v>48.4</v>
      </c>
      <c r="E2929" s="198"/>
      <c r="F2929" s="198"/>
      <c r="G2929" s="198"/>
      <c r="H2929" s="198"/>
      <c r="I2929" s="198"/>
      <c r="J2929" s="198"/>
      <c r="K2929" s="198"/>
      <c r="L2929" s="198"/>
      <c r="M2929" s="198"/>
      <c r="N2929" s="198"/>
      <c r="O2929" s="198"/>
      <c r="P2929" s="198"/>
      <c r="Q2929" s="198"/>
      <c r="R2929" s="198"/>
      <c r="S2929" s="198"/>
      <c r="T2929" s="198"/>
      <c r="U2929" s="198"/>
      <c r="V2929" s="198"/>
      <c r="W2929" s="198"/>
      <c r="X2929" s="198"/>
      <c r="Y2929" s="198"/>
      <c r="Z2929" s="198"/>
    </row>
    <row r="2930" spans="1:26" ht="15.75" hidden="1" customHeight="1" x14ac:dyDescent="0.25">
      <c r="A2930" s="213">
        <v>7145</v>
      </c>
      <c r="B2930" s="214" t="s">
        <v>11429</v>
      </c>
      <c r="C2930" s="215" t="s">
        <v>580</v>
      </c>
      <c r="D2930" s="216">
        <v>65.81</v>
      </c>
      <c r="E2930" s="198"/>
      <c r="F2930" s="198"/>
      <c r="G2930" s="198"/>
      <c r="H2930" s="198"/>
      <c r="I2930" s="198"/>
      <c r="J2930" s="198"/>
      <c r="K2930" s="198"/>
      <c r="L2930" s="198"/>
      <c r="M2930" s="198"/>
      <c r="N2930" s="198"/>
      <c r="O2930" s="198"/>
      <c r="P2930" s="198"/>
      <c r="Q2930" s="198"/>
      <c r="R2930" s="198"/>
      <c r="S2930" s="198"/>
      <c r="T2930" s="198"/>
      <c r="U2930" s="198"/>
      <c r="V2930" s="198"/>
      <c r="W2930" s="198"/>
      <c r="X2930" s="198"/>
      <c r="Y2930" s="198"/>
      <c r="Z2930" s="198"/>
    </row>
    <row r="2931" spans="1:26" ht="15.75" hidden="1" customHeight="1" x14ac:dyDescent="0.25">
      <c r="A2931" s="213">
        <v>7142</v>
      </c>
      <c r="B2931" s="214" t="s">
        <v>11430</v>
      </c>
      <c r="C2931" s="215" t="s">
        <v>580</v>
      </c>
      <c r="D2931" s="216">
        <v>8.1300000000000008</v>
      </c>
      <c r="E2931" s="198"/>
      <c r="F2931" s="198"/>
      <c r="G2931" s="198"/>
      <c r="H2931" s="198"/>
      <c r="I2931" s="198"/>
      <c r="J2931" s="198"/>
      <c r="K2931" s="198"/>
      <c r="L2931" s="198"/>
      <c r="M2931" s="198"/>
      <c r="N2931" s="198"/>
      <c r="O2931" s="198"/>
      <c r="P2931" s="198"/>
      <c r="Q2931" s="198"/>
      <c r="R2931" s="198"/>
      <c r="S2931" s="198"/>
      <c r="T2931" s="198"/>
      <c r="U2931" s="198"/>
      <c r="V2931" s="198"/>
      <c r="W2931" s="198"/>
      <c r="X2931" s="198"/>
      <c r="Y2931" s="198"/>
      <c r="Z2931" s="198"/>
    </row>
    <row r="2932" spans="1:26" ht="15.75" hidden="1" customHeight="1" x14ac:dyDescent="0.25">
      <c r="A2932" s="213">
        <v>7070</v>
      </c>
      <c r="B2932" s="214" t="s">
        <v>11431</v>
      </c>
      <c r="C2932" s="215" t="s">
        <v>580</v>
      </c>
      <c r="D2932" s="216">
        <v>198.42</v>
      </c>
      <c r="E2932" s="198"/>
      <c r="F2932" s="198"/>
      <c r="G2932" s="198"/>
      <c r="H2932" s="198"/>
      <c r="I2932" s="198"/>
      <c r="J2932" s="198"/>
      <c r="K2932" s="198"/>
      <c r="L2932" s="198"/>
      <c r="M2932" s="198"/>
      <c r="N2932" s="198"/>
      <c r="O2932" s="198"/>
      <c r="P2932" s="198"/>
      <c r="Q2932" s="198"/>
      <c r="R2932" s="198"/>
      <c r="S2932" s="198"/>
      <c r="T2932" s="198"/>
      <c r="U2932" s="198"/>
      <c r="V2932" s="198"/>
      <c r="W2932" s="198"/>
      <c r="X2932" s="198"/>
      <c r="Y2932" s="198"/>
      <c r="Z2932" s="198"/>
    </row>
    <row r="2933" spans="1:26" ht="15.75" hidden="1" customHeight="1" x14ac:dyDescent="0.25">
      <c r="A2933" s="213">
        <v>20179</v>
      </c>
      <c r="B2933" s="214" t="s">
        <v>11432</v>
      </c>
      <c r="C2933" s="215" t="s">
        <v>580</v>
      </c>
      <c r="D2933" s="216">
        <v>42.2</v>
      </c>
      <c r="E2933" s="198"/>
      <c r="F2933" s="198"/>
      <c r="G2933" s="198"/>
      <c r="H2933" s="198"/>
      <c r="I2933" s="198"/>
      <c r="J2933" s="198"/>
      <c r="K2933" s="198"/>
      <c r="L2933" s="198"/>
      <c r="M2933" s="198"/>
      <c r="N2933" s="198"/>
      <c r="O2933" s="198"/>
      <c r="P2933" s="198"/>
      <c r="Q2933" s="198"/>
      <c r="R2933" s="198"/>
      <c r="S2933" s="198"/>
      <c r="T2933" s="198"/>
      <c r="U2933" s="198"/>
      <c r="V2933" s="198"/>
      <c r="W2933" s="198"/>
      <c r="X2933" s="198"/>
      <c r="Y2933" s="198"/>
      <c r="Z2933" s="198"/>
    </row>
    <row r="2934" spans="1:26" ht="15.75" hidden="1" customHeight="1" x14ac:dyDescent="0.25">
      <c r="A2934" s="213">
        <v>20178</v>
      </c>
      <c r="B2934" s="214" t="s">
        <v>11433</v>
      </c>
      <c r="C2934" s="215" t="s">
        <v>580</v>
      </c>
      <c r="D2934" s="216">
        <v>50.59</v>
      </c>
      <c r="E2934" s="198"/>
      <c r="F2934" s="198"/>
      <c r="G2934" s="198"/>
      <c r="H2934" s="198"/>
      <c r="I2934" s="198"/>
      <c r="J2934" s="198"/>
      <c r="K2934" s="198"/>
      <c r="L2934" s="198"/>
      <c r="M2934" s="198"/>
      <c r="N2934" s="198"/>
      <c r="O2934" s="198"/>
      <c r="P2934" s="198"/>
      <c r="Q2934" s="198"/>
      <c r="R2934" s="198"/>
      <c r="S2934" s="198"/>
      <c r="T2934" s="198"/>
      <c r="U2934" s="198"/>
      <c r="V2934" s="198"/>
      <c r="W2934" s="198"/>
      <c r="X2934" s="198"/>
      <c r="Y2934" s="198"/>
      <c r="Z2934" s="198"/>
    </row>
    <row r="2935" spans="1:26" ht="15.75" hidden="1" customHeight="1" x14ac:dyDescent="0.25">
      <c r="A2935" s="213">
        <v>20180</v>
      </c>
      <c r="B2935" s="214" t="s">
        <v>11434</v>
      </c>
      <c r="C2935" s="215" t="s">
        <v>580</v>
      </c>
      <c r="D2935" s="216">
        <v>83.49</v>
      </c>
      <c r="E2935" s="198"/>
      <c r="F2935" s="198"/>
      <c r="G2935" s="198"/>
      <c r="H2935" s="198"/>
      <c r="I2935" s="198"/>
      <c r="J2935" s="198"/>
      <c r="K2935" s="198"/>
      <c r="L2935" s="198"/>
      <c r="M2935" s="198"/>
      <c r="N2935" s="198"/>
      <c r="O2935" s="198"/>
      <c r="P2935" s="198"/>
      <c r="Q2935" s="198"/>
      <c r="R2935" s="198"/>
      <c r="S2935" s="198"/>
      <c r="T2935" s="198"/>
      <c r="U2935" s="198"/>
      <c r="V2935" s="198"/>
      <c r="W2935" s="198"/>
      <c r="X2935" s="198"/>
      <c r="Y2935" s="198"/>
      <c r="Z2935" s="198"/>
    </row>
    <row r="2936" spans="1:26" ht="15.75" hidden="1" customHeight="1" x14ac:dyDescent="0.25">
      <c r="A2936" s="213">
        <v>20181</v>
      </c>
      <c r="B2936" s="214" t="s">
        <v>11435</v>
      </c>
      <c r="C2936" s="215" t="s">
        <v>580</v>
      </c>
      <c r="D2936" s="216">
        <v>111.79</v>
      </c>
      <c r="E2936" s="198"/>
      <c r="F2936" s="198"/>
      <c r="G2936" s="198"/>
      <c r="H2936" s="198"/>
      <c r="I2936" s="198"/>
      <c r="J2936" s="198"/>
      <c r="K2936" s="198"/>
      <c r="L2936" s="198"/>
      <c r="M2936" s="198"/>
      <c r="N2936" s="198"/>
      <c r="O2936" s="198"/>
      <c r="P2936" s="198"/>
      <c r="Q2936" s="198"/>
      <c r="R2936" s="198"/>
      <c r="S2936" s="198"/>
      <c r="T2936" s="198"/>
      <c r="U2936" s="198"/>
      <c r="V2936" s="198"/>
      <c r="W2936" s="198"/>
      <c r="X2936" s="198"/>
      <c r="Y2936" s="198"/>
      <c r="Z2936" s="198"/>
    </row>
    <row r="2937" spans="1:26" ht="15.75" hidden="1" customHeight="1" x14ac:dyDescent="0.25">
      <c r="A2937" s="213">
        <v>20177</v>
      </c>
      <c r="B2937" s="214" t="s">
        <v>11436</v>
      </c>
      <c r="C2937" s="215" t="s">
        <v>580</v>
      </c>
      <c r="D2937" s="216">
        <v>27.65</v>
      </c>
      <c r="E2937" s="198"/>
      <c r="F2937" s="198"/>
      <c r="G2937" s="198"/>
      <c r="H2937" s="198"/>
      <c r="I2937" s="198"/>
      <c r="J2937" s="198"/>
      <c r="K2937" s="198"/>
      <c r="L2937" s="198"/>
      <c r="M2937" s="198"/>
      <c r="N2937" s="198"/>
      <c r="O2937" s="198"/>
      <c r="P2937" s="198"/>
      <c r="Q2937" s="198"/>
      <c r="R2937" s="198"/>
      <c r="S2937" s="198"/>
      <c r="T2937" s="198"/>
      <c r="U2937" s="198"/>
      <c r="V2937" s="198"/>
      <c r="W2937" s="198"/>
      <c r="X2937" s="198"/>
      <c r="Y2937" s="198"/>
      <c r="Z2937" s="198"/>
    </row>
    <row r="2938" spans="1:26" ht="15.75" hidden="1" customHeight="1" x14ac:dyDescent="0.25">
      <c r="A2938" s="213">
        <v>40945</v>
      </c>
      <c r="B2938" s="214" t="s">
        <v>11437</v>
      </c>
      <c r="C2938" s="215" t="s">
        <v>2193</v>
      </c>
      <c r="D2938" s="216">
        <v>21.37</v>
      </c>
      <c r="E2938" s="198"/>
      <c r="F2938" s="198"/>
      <c r="G2938" s="198"/>
      <c r="H2938" s="198"/>
      <c r="I2938" s="198"/>
      <c r="J2938" s="198"/>
      <c r="K2938" s="198"/>
      <c r="L2938" s="198"/>
      <c r="M2938" s="198"/>
      <c r="N2938" s="198"/>
      <c r="O2938" s="198"/>
      <c r="P2938" s="198"/>
      <c r="Q2938" s="198"/>
      <c r="R2938" s="198"/>
      <c r="S2938" s="198"/>
      <c r="T2938" s="198"/>
      <c r="U2938" s="198"/>
      <c r="V2938" s="198"/>
      <c r="W2938" s="198"/>
      <c r="X2938" s="198"/>
      <c r="Y2938" s="198"/>
      <c r="Z2938" s="198"/>
    </row>
    <row r="2939" spans="1:26" ht="15.75" hidden="1" customHeight="1" x14ac:dyDescent="0.25">
      <c r="A2939" s="213">
        <v>40946</v>
      </c>
      <c r="B2939" s="214" t="s">
        <v>11438</v>
      </c>
      <c r="C2939" s="215" t="s">
        <v>6214</v>
      </c>
      <c r="D2939" s="216">
        <v>3751.15</v>
      </c>
      <c r="E2939" s="198"/>
      <c r="F2939" s="198"/>
      <c r="G2939" s="198"/>
      <c r="H2939" s="198"/>
      <c r="I2939" s="198"/>
      <c r="J2939" s="198"/>
      <c r="K2939" s="198"/>
      <c r="L2939" s="198"/>
      <c r="M2939" s="198"/>
      <c r="N2939" s="198"/>
      <c r="O2939" s="198"/>
      <c r="P2939" s="198"/>
      <c r="Q2939" s="198"/>
      <c r="R2939" s="198"/>
      <c r="S2939" s="198"/>
      <c r="T2939" s="198"/>
      <c r="U2939" s="198"/>
      <c r="V2939" s="198"/>
      <c r="W2939" s="198"/>
      <c r="X2939" s="198"/>
      <c r="Y2939" s="198"/>
      <c r="Z2939" s="198"/>
    </row>
    <row r="2940" spans="1:26" ht="15.75" hidden="1" customHeight="1" x14ac:dyDescent="0.25">
      <c r="A2940" s="213">
        <v>7153</v>
      </c>
      <c r="B2940" s="214" t="s">
        <v>11439</v>
      </c>
      <c r="C2940" s="215" t="s">
        <v>2193</v>
      </c>
      <c r="D2940" s="216">
        <v>39.590000000000003</v>
      </c>
      <c r="E2940" s="198"/>
      <c r="F2940" s="198"/>
      <c r="G2940" s="198"/>
      <c r="H2940" s="198"/>
      <c r="I2940" s="198"/>
      <c r="J2940" s="198"/>
      <c r="K2940" s="198"/>
      <c r="L2940" s="198"/>
      <c r="M2940" s="198"/>
      <c r="N2940" s="198"/>
      <c r="O2940" s="198"/>
      <c r="P2940" s="198"/>
      <c r="Q2940" s="198"/>
      <c r="R2940" s="198"/>
      <c r="S2940" s="198"/>
      <c r="T2940" s="198"/>
      <c r="U2940" s="198"/>
      <c r="V2940" s="198"/>
      <c r="W2940" s="198"/>
      <c r="X2940" s="198"/>
      <c r="Y2940" s="198"/>
      <c r="Z2940" s="198"/>
    </row>
    <row r="2941" spans="1:26" ht="15.75" hidden="1" customHeight="1" x14ac:dyDescent="0.25">
      <c r="A2941" s="213">
        <v>41089</v>
      </c>
      <c r="B2941" s="214" t="s">
        <v>11440</v>
      </c>
      <c r="C2941" s="215" t="s">
        <v>6214</v>
      </c>
      <c r="D2941" s="216">
        <v>6945.4</v>
      </c>
      <c r="E2941" s="198"/>
      <c r="F2941" s="198"/>
      <c r="G2941" s="198"/>
      <c r="H2941" s="198"/>
      <c r="I2941" s="198"/>
      <c r="J2941" s="198"/>
      <c r="K2941" s="198"/>
      <c r="L2941" s="198"/>
      <c r="M2941" s="198"/>
      <c r="N2941" s="198"/>
      <c r="O2941" s="198"/>
      <c r="P2941" s="198"/>
      <c r="Q2941" s="198"/>
      <c r="R2941" s="198"/>
      <c r="S2941" s="198"/>
      <c r="T2941" s="198"/>
      <c r="U2941" s="198"/>
      <c r="V2941" s="198"/>
      <c r="W2941" s="198"/>
      <c r="X2941" s="198"/>
      <c r="Y2941" s="198"/>
      <c r="Z2941" s="198"/>
    </row>
    <row r="2942" spans="1:26" ht="15.75" hidden="1" customHeight="1" x14ac:dyDescent="0.25">
      <c r="A2942" s="213">
        <v>40943</v>
      </c>
      <c r="B2942" s="214" t="s">
        <v>11441</v>
      </c>
      <c r="C2942" s="215" t="s">
        <v>2193</v>
      </c>
      <c r="D2942" s="216">
        <v>36.130000000000003</v>
      </c>
      <c r="E2942" s="198"/>
      <c r="F2942" s="198"/>
      <c r="G2942" s="198"/>
      <c r="H2942" s="198"/>
      <c r="I2942" s="198"/>
      <c r="J2942" s="198"/>
      <c r="K2942" s="198"/>
      <c r="L2942" s="198"/>
      <c r="M2942" s="198"/>
      <c r="N2942" s="198"/>
      <c r="O2942" s="198"/>
      <c r="P2942" s="198"/>
      <c r="Q2942" s="198"/>
      <c r="R2942" s="198"/>
      <c r="S2942" s="198"/>
      <c r="T2942" s="198"/>
      <c r="U2942" s="198"/>
      <c r="V2942" s="198"/>
      <c r="W2942" s="198"/>
      <c r="X2942" s="198"/>
      <c r="Y2942" s="198"/>
      <c r="Z2942" s="198"/>
    </row>
    <row r="2943" spans="1:26" ht="15.75" hidden="1" customHeight="1" x14ac:dyDescent="0.25">
      <c r="A2943" s="213">
        <v>40944</v>
      </c>
      <c r="B2943" s="214" t="s">
        <v>11442</v>
      </c>
      <c r="C2943" s="215" t="s">
        <v>6214</v>
      </c>
      <c r="D2943" s="216">
        <v>6339.51</v>
      </c>
      <c r="E2943" s="198"/>
      <c r="F2943" s="198"/>
      <c r="G2943" s="198"/>
      <c r="H2943" s="198"/>
      <c r="I2943" s="198"/>
      <c r="J2943" s="198"/>
      <c r="K2943" s="198"/>
      <c r="L2943" s="198"/>
      <c r="M2943" s="198"/>
      <c r="N2943" s="198"/>
      <c r="O2943" s="198"/>
      <c r="P2943" s="198"/>
      <c r="Q2943" s="198"/>
      <c r="R2943" s="198"/>
      <c r="S2943" s="198"/>
      <c r="T2943" s="198"/>
      <c r="U2943" s="198"/>
      <c r="V2943" s="198"/>
      <c r="W2943" s="198"/>
      <c r="X2943" s="198"/>
      <c r="Y2943" s="198"/>
      <c r="Z2943" s="198"/>
    </row>
    <row r="2944" spans="1:26" ht="15.75" hidden="1" customHeight="1" x14ac:dyDescent="0.25">
      <c r="A2944" s="213">
        <v>6175</v>
      </c>
      <c r="B2944" s="214" t="s">
        <v>11443</v>
      </c>
      <c r="C2944" s="215" t="s">
        <v>2193</v>
      </c>
      <c r="D2944" s="216">
        <v>27.19</v>
      </c>
      <c r="E2944" s="198"/>
      <c r="F2944" s="198"/>
      <c r="G2944" s="198"/>
      <c r="H2944" s="198"/>
      <c r="I2944" s="198"/>
      <c r="J2944" s="198"/>
      <c r="K2944" s="198"/>
      <c r="L2944" s="198"/>
      <c r="M2944" s="198"/>
      <c r="N2944" s="198"/>
      <c r="O2944" s="198"/>
      <c r="P2944" s="198"/>
      <c r="Q2944" s="198"/>
      <c r="R2944" s="198"/>
      <c r="S2944" s="198"/>
      <c r="T2944" s="198"/>
      <c r="U2944" s="198"/>
      <c r="V2944" s="198"/>
      <c r="W2944" s="198"/>
      <c r="X2944" s="198"/>
      <c r="Y2944" s="198"/>
      <c r="Z2944" s="198"/>
    </row>
    <row r="2945" spans="1:26" ht="15.75" hidden="1" customHeight="1" x14ac:dyDescent="0.25">
      <c r="A2945" s="213">
        <v>41092</v>
      </c>
      <c r="B2945" s="214" t="s">
        <v>11444</v>
      </c>
      <c r="C2945" s="215" t="s">
        <v>6214</v>
      </c>
      <c r="D2945" s="216">
        <v>4771.5</v>
      </c>
      <c r="E2945" s="198"/>
      <c r="F2945" s="198"/>
      <c r="G2945" s="198"/>
      <c r="H2945" s="198"/>
      <c r="I2945" s="198"/>
      <c r="J2945" s="198"/>
      <c r="K2945" s="198"/>
      <c r="L2945" s="198"/>
      <c r="M2945" s="198"/>
      <c r="N2945" s="198"/>
      <c r="O2945" s="198"/>
      <c r="P2945" s="198"/>
      <c r="Q2945" s="198"/>
      <c r="R2945" s="198"/>
      <c r="S2945" s="198"/>
      <c r="T2945" s="198"/>
      <c r="U2945" s="198"/>
      <c r="V2945" s="198"/>
      <c r="W2945" s="198"/>
      <c r="X2945" s="198"/>
      <c r="Y2945" s="198"/>
      <c r="Z2945" s="198"/>
    </row>
    <row r="2946" spans="1:26" ht="15.75" hidden="1" customHeight="1" x14ac:dyDescent="0.25">
      <c r="A2946" s="213">
        <v>37712</v>
      </c>
      <c r="B2946" s="214" t="s">
        <v>11445</v>
      </c>
      <c r="C2946" s="215" t="s">
        <v>578</v>
      </c>
      <c r="D2946" s="216">
        <v>80.8</v>
      </c>
      <c r="E2946" s="198"/>
      <c r="F2946" s="198"/>
      <c r="G2946" s="198"/>
      <c r="H2946" s="198"/>
      <c r="I2946" s="198"/>
      <c r="J2946" s="198"/>
      <c r="K2946" s="198"/>
      <c r="L2946" s="198"/>
      <c r="M2946" s="198"/>
      <c r="N2946" s="198"/>
      <c r="O2946" s="198"/>
      <c r="P2946" s="198"/>
      <c r="Q2946" s="198"/>
      <c r="R2946" s="198"/>
      <c r="S2946" s="198"/>
      <c r="T2946" s="198"/>
      <c r="U2946" s="198"/>
      <c r="V2946" s="198"/>
      <c r="W2946" s="198"/>
      <c r="X2946" s="198"/>
      <c r="Y2946" s="198"/>
      <c r="Z2946" s="198"/>
    </row>
    <row r="2947" spans="1:26" ht="15.75" hidden="1" customHeight="1" x14ac:dyDescent="0.25">
      <c r="A2947" s="213">
        <v>34558</v>
      </c>
      <c r="B2947" s="214" t="s">
        <v>11446</v>
      </c>
      <c r="C2947" s="215" t="s">
        <v>585</v>
      </c>
      <c r="D2947" s="216">
        <v>3.41</v>
      </c>
      <c r="E2947" s="198"/>
      <c r="F2947" s="198"/>
      <c r="G2947" s="198"/>
      <c r="H2947" s="198"/>
      <c r="I2947" s="198"/>
      <c r="J2947" s="198"/>
      <c r="K2947" s="198"/>
      <c r="L2947" s="198"/>
      <c r="M2947" s="198"/>
      <c r="N2947" s="198"/>
      <c r="O2947" s="198"/>
      <c r="P2947" s="198"/>
      <c r="Q2947" s="198"/>
      <c r="R2947" s="198"/>
      <c r="S2947" s="198"/>
      <c r="T2947" s="198"/>
      <c r="U2947" s="198"/>
      <c r="V2947" s="198"/>
      <c r="W2947" s="198"/>
      <c r="X2947" s="198"/>
      <c r="Y2947" s="198"/>
      <c r="Z2947" s="198"/>
    </row>
    <row r="2948" spans="1:26" ht="15.75" hidden="1" customHeight="1" x14ac:dyDescent="0.25">
      <c r="A2948" s="213">
        <v>34547</v>
      </c>
      <c r="B2948" s="214" t="s">
        <v>11447</v>
      </c>
      <c r="C2948" s="215" t="s">
        <v>585</v>
      </c>
      <c r="D2948" s="216">
        <v>4.1900000000000004</v>
      </c>
      <c r="E2948" s="198"/>
      <c r="F2948" s="198"/>
      <c r="G2948" s="198"/>
      <c r="H2948" s="198"/>
      <c r="I2948" s="198"/>
      <c r="J2948" s="198"/>
      <c r="K2948" s="198"/>
      <c r="L2948" s="198"/>
      <c r="M2948" s="198"/>
      <c r="N2948" s="198"/>
      <c r="O2948" s="198"/>
      <c r="P2948" s="198"/>
      <c r="Q2948" s="198"/>
      <c r="R2948" s="198"/>
      <c r="S2948" s="198"/>
      <c r="T2948" s="198"/>
      <c r="U2948" s="198"/>
      <c r="V2948" s="198"/>
      <c r="W2948" s="198"/>
      <c r="X2948" s="198"/>
      <c r="Y2948" s="198"/>
      <c r="Z2948" s="198"/>
    </row>
    <row r="2949" spans="1:26" ht="15.75" hidden="1" customHeight="1" x14ac:dyDescent="0.25">
      <c r="A2949" s="213">
        <v>34548</v>
      </c>
      <c r="B2949" s="214" t="s">
        <v>11448</v>
      </c>
      <c r="C2949" s="215" t="s">
        <v>585</v>
      </c>
      <c r="D2949" s="216">
        <v>6.88</v>
      </c>
      <c r="E2949" s="198"/>
      <c r="F2949" s="198"/>
      <c r="G2949" s="198"/>
      <c r="H2949" s="198"/>
      <c r="I2949" s="198"/>
      <c r="J2949" s="198"/>
      <c r="K2949" s="198"/>
      <c r="L2949" s="198"/>
      <c r="M2949" s="198"/>
      <c r="N2949" s="198"/>
      <c r="O2949" s="198"/>
      <c r="P2949" s="198"/>
      <c r="Q2949" s="198"/>
      <c r="R2949" s="198"/>
      <c r="S2949" s="198"/>
      <c r="T2949" s="198"/>
      <c r="U2949" s="198"/>
      <c r="V2949" s="198"/>
      <c r="W2949" s="198"/>
      <c r="X2949" s="198"/>
      <c r="Y2949" s="198"/>
      <c r="Z2949" s="198"/>
    </row>
    <row r="2950" spans="1:26" ht="15.75" hidden="1" customHeight="1" x14ac:dyDescent="0.25">
      <c r="A2950" s="213">
        <v>34550</v>
      </c>
      <c r="B2950" s="214" t="s">
        <v>11449</v>
      </c>
      <c r="C2950" s="215" t="s">
        <v>585</v>
      </c>
      <c r="D2950" s="216">
        <v>1.81</v>
      </c>
      <c r="E2950" s="198"/>
      <c r="F2950" s="198"/>
      <c r="G2950" s="198"/>
      <c r="H2950" s="198"/>
      <c r="I2950" s="198"/>
      <c r="J2950" s="198"/>
      <c r="K2950" s="198"/>
      <c r="L2950" s="198"/>
      <c r="M2950" s="198"/>
      <c r="N2950" s="198"/>
      <c r="O2950" s="198"/>
      <c r="P2950" s="198"/>
      <c r="Q2950" s="198"/>
      <c r="R2950" s="198"/>
      <c r="S2950" s="198"/>
      <c r="T2950" s="198"/>
      <c r="U2950" s="198"/>
      <c r="V2950" s="198"/>
      <c r="W2950" s="198"/>
      <c r="X2950" s="198"/>
      <c r="Y2950" s="198"/>
      <c r="Z2950" s="198"/>
    </row>
    <row r="2951" spans="1:26" ht="15.75" hidden="1" customHeight="1" x14ac:dyDescent="0.25">
      <c r="A2951" s="213">
        <v>34557</v>
      </c>
      <c r="B2951" s="214" t="s">
        <v>11450</v>
      </c>
      <c r="C2951" s="215" t="s">
        <v>585</v>
      </c>
      <c r="D2951" s="216">
        <v>2.65</v>
      </c>
      <c r="E2951" s="198"/>
      <c r="F2951" s="198"/>
      <c r="G2951" s="198"/>
      <c r="H2951" s="198"/>
      <c r="I2951" s="198"/>
      <c r="J2951" s="198"/>
      <c r="K2951" s="198"/>
      <c r="L2951" s="198"/>
      <c r="M2951" s="198"/>
      <c r="N2951" s="198"/>
      <c r="O2951" s="198"/>
      <c r="P2951" s="198"/>
      <c r="Q2951" s="198"/>
      <c r="R2951" s="198"/>
      <c r="S2951" s="198"/>
      <c r="T2951" s="198"/>
      <c r="U2951" s="198"/>
      <c r="V2951" s="198"/>
      <c r="W2951" s="198"/>
      <c r="X2951" s="198"/>
      <c r="Y2951" s="198"/>
      <c r="Z2951" s="198"/>
    </row>
    <row r="2952" spans="1:26" ht="15.75" hidden="1" customHeight="1" x14ac:dyDescent="0.25">
      <c r="A2952" s="213">
        <v>37411</v>
      </c>
      <c r="B2952" s="214" t="s">
        <v>11451</v>
      </c>
      <c r="C2952" s="215" t="s">
        <v>578</v>
      </c>
      <c r="D2952" s="216">
        <v>19.41</v>
      </c>
      <c r="E2952" s="198"/>
      <c r="F2952" s="198"/>
      <c r="G2952" s="198"/>
      <c r="H2952" s="198"/>
      <c r="I2952" s="198"/>
      <c r="J2952" s="198"/>
      <c r="K2952" s="198"/>
      <c r="L2952" s="198"/>
      <c r="M2952" s="198"/>
      <c r="N2952" s="198"/>
      <c r="O2952" s="198"/>
      <c r="P2952" s="198"/>
      <c r="Q2952" s="198"/>
      <c r="R2952" s="198"/>
      <c r="S2952" s="198"/>
      <c r="T2952" s="198"/>
      <c r="U2952" s="198"/>
      <c r="V2952" s="198"/>
      <c r="W2952" s="198"/>
      <c r="X2952" s="198"/>
      <c r="Y2952" s="198"/>
      <c r="Z2952" s="198"/>
    </row>
    <row r="2953" spans="1:26" ht="15.75" hidden="1" customHeight="1" x14ac:dyDescent="0.25">
      <c r="A2953" s="213">
        <v>39508</v>
      </c>
      <c r="B2953" s="214" t="s">
        <v>11452</v>
      </c>
      <c r="C2953" s="215" t="s">
        <v>578</v>
      </c>
      <c r="D2953" s="216">
        <v>10.9</v>
      </c>
      <c r="E2953" s="198"/>
      <c r="F2953" s="198"/>
      <c r="G2953" s="198"/>
      <c r="H2953" s="198"/>
      <c r="I2953" s="198"/>
      <c r="J2953" s="198"/>
      <c r="K2953" s="198"/>
      <c r="L2953" s="198"/>
      <c r="M2953" s="198"/>
      <c r="N2953" s="198"/>
      <c r="O2953" s="198"/>
      <c r="P2953" s="198"/>
      <c r="Q2953" s="198"/>
      <c r="R2953" s="198"/>
      <c r="S2953" s="198"/>
      <c r="T2953" s="198"/>
      <c r="U2953" s="198"/>
      <c r="V2953" s="198"/>
      <c r="W2953" s="198"/>
      <c r="X2953" s="198"/>
      <c r="Y2953" s="198"/>
      <c r="Z2953" s="198"/>
    </row>
    <row r="2954" spans="1:26" ht="15.75" hidden="1" customHeight="1" x14ac:dyDescent="0.25">
      <c r="A2954" s="213">
        <v>39507</v>
      </c>
      <c r="B2954" s="214" t="s">
        <v>11453</v>
      </c>
      <c r="C2954" s="215" t="s">
        <v>578</v>
      </c>
      <c r="D2954" s="216">
        <v>16.27</v>
      </c>
      <c r="E2954" s="198"/>
      <c r="F2954" s="198"/>
      <c r="G2954" s="198"/>
      <c r="H2954" s="198"/>
      <c r="I2954" s="198"/>
      <c r="J2954" s="198"/>
      <c r="K2954" s="198"/>
      <c r="L2954" s="198"/>
      <c r="M2954" s="198"/>
      <c r="N2954" s="198"/>
      <c r="O2954" s="198"/>
      <c r="P2954" s="198"/>
      <c r="Q2954" s="198"/>
      <c r="R2954" s="198"/>
      <c r="S2954" s="198"/>
      <c r="T2954" s="198"/>
      <c r="U2954" s="198"/>
      <c r="V2954" s="198"/>
      <c r="W2954" s="198"/>
      <c r="X2954" s="198"/>
      <c r="Y2954" s="198"/>
      <c r="Z2954" s="198"/>
    </row>
    <row r="2955" spans="1:26" ht="15.75" hidden="1" customHeight="1" x14ac:dyDescent="0.25">
      <c r="A2955" s="213">
        <v>7155</v>
      </c>
      <c r="B2955" s="214" t="s">
        <v>11454</v>
      </c>
      <c r="C2955" s="215" t="s">
        <v>578</v>
      </c>
      <c r="D2955" s="216">
        <v>20.88</v>
      </c>
      <c r="E2955" s="198"/>
      <c r="F2955" s="198"/>
      <c r="G2955" s="198"/>
      <c r="H2955" s="198"/>
      <c r="I2955" s="198"/>
      <c r="J2955" s="198"/>
      <c r="K2955" s="198"/>
      <c r="L2955" s="198"/>
      <c r="M2955" s="198"/>
      <c r="N2955" s="198"/>
      <c r="O2955" s="198"/>
      <c r="P2955" s="198"/>
      <c r="Q2955" s="198"/>
      <c r="R2955" s="198"/>
      <c r="S2955" s="198"/>
      <c r="T2955" s="198"/>
      <c r="U2955" s="198"/>
      <c r="V2955" s="198"/>
      <c r="W2955" s="198"/>
      <c r="X2955" s="198"/>
      <c r="Y2955" s="198"/>
      <c r="Z2955" s="198"/>
    </row>
    <row r="2956" spans="1:26" ht="15.75" hidden="1" customHeight="1" x14ac:dyDescent="0.25">
      <c r="A2956" s="213">
        <v>42406</v>
      </c>
      <c r="B2956" s="214" t="s">
        <v>11455</v>
      </c>
      <c r="C2956" s="215" t="s">
        <v>578</v>
      </c>
      <c r="D2956" s="216">
        <v>23.94</v>
      </c>
      <c r="E2956" s="198"/>
      <c r="F2956" s="198"/>
      <c r="G2956" s="198"/>
      <c r="H2956" s="198"/>
      <c r="I2956" s="198"/>
      <c r="J2956" s="198"/>
      <c r="K2956" s="198"/>
      <c r="L2956" s="198"/>
      <c r="M2956" s="198"/>
      <c r="N2956" s="198"/>
      <c r="O2956" s="198"/>
      <c r="P2956" s="198"/>
      <c r="Q2956" s="198"/>
      <c r="R2956" s="198"/>
      <c r="S2956" s="198"/>
      <c r="T2956" s="198"/>
      <c r="U2956" s="198"/>
      <c r="V2956" s="198"/>
      <c r="W2956" s="198"/>
      <c r="X2956" s="198"/>
      <c r="Y2956" s="198"/>
      <c r="Z2956" s="198"/>
    </row>
    <row r="2957" spans="1:26" ht="15.75" hidden="1" customHeight="1" x14ac:dyDescent="0.25">
      <c r="A2957" s="213">
        <v>7156</v>
      </c>
      <c r="B2957" s="214" t="s">
        <v>11456</v>
      </c>
      <c r="C2957" s="215" t="s">
        <v>578</v>
      </c>
      <c r="D2957" s="216">
        <v>29.96</v>
      </c>
      <c r="E2957" s="198"/>
      <c r="F2957" s="198"/>
      <c r="G2957" s="198"/>
      <c r="H2957" s="198"/>
      <c r="I2957" s="198"/>
      <c r="J2957" s="198"/>
      <c r="K2957" s="198"/>
      <c r="L2957" s="198"/>
      <c r="M2957" s="198"/>
      <c r="N2957" s="198"/>
      <c r="O2957" s="198"/>
      <c r="P2957" s="198"/>
      <c r="Q2957" s="198"/>
      <c r="R2957" s="198"/>
      <c r="S2957" s="198"/>
      <c r="T2957" s="198"/>
      <c r="U2957" s="198"/>
      <c r="V2957" s="198"/>
      <c r="W2957" s="198"/>
      <c r="X2957" s="198"/>
      <c r="Y2957" s="198"/>
      <c r="Z2957" s="198"/>
    </row>
    <row r="2958" spans="1:26" ht="15.75" hidden="1" customHeight="1" x14ac:dyDescent="0.25">
      <c r="A2958" s="213">
        <v>43127</v>
      </c>
      <c r="B2958" s="214" t="s">
        <v>11457</v>
      </c>
      <c r="C2958" s="215" t="s">
        <v>578</v>
      </c>
      <c r="D2958" s="216">
        <v>42.87</v>
      </c>
      <c r="E2958" s="198"/>
      <c r="F2958" s="198"/>
      <c r="G2958" s="198"/>
      <c r="H2958" s="198"/>
      <c r="I2958" s="198"/>
      <c r="J2958" s="198"/>
      <c r="K2958" s="198"/>
      <c r="L2958" s="198"/>
      <c r="M2958" s="198"/>
      <c r="N2958" s="198"/>
      <c r="O2958" s="198"/>
      <c r="P2958" s="198"/>
      <c r="Q2958" s="198"/>
      <c r="R2958" s="198"/>
      <c r="S2958" s="198"/>
      <c r="T2958" s="198"/>
      <c r="U2958" s="198"/>
      <c r="V2958" s="198"/>
      <c r="W2958" s="198"/>
      <c r="X2958" s="198"/>
      <c r="Y2958" s="198"/>
      <c r="Z2958" s="198"/>
    </row>
    <row r="2959" spans="1:26" ht="15.75" hidden="1" customHeight="1" x14ac:dyDescent="0.25">
      <c r="A2959" s="213">
        <v>10917</v>
      </c>
      <c r="B2959" s="214" t="s">
        <v>11458</v>
      </c>
      <c r="C2959" s="215" t="s">
        <v>578</v>
      </c>
      <c r="D2959" s="216">
        <v>9.0500000000000007</v>
      </c>
      <c r="E2959" s="198"/>
      <c r="F2959" s="198"/>
      <c r="G2959" s="198"/>
      <c r="H2959" s="198"/>
      <c r="I2959" s="198"/>
      <c r="J2959" s="198"/>
      <c r="K2959" s="198"/>
      <c r="L2959" s="198"/>
      <c r="M2959" s="198"/>
      <c r="N2959" s="198"/>
      <c r="O2959" s="198"/>
      <c r="P2959" s="198"/>
      <c r="Q2959" s="198"/>
      <c r="R2959" s="198"/>
      <c r="S2959" s="198"/>
      <c r="T2959" s="198"/>
      <c r="U2959" s="198"/>
      <c r="V2959" s="198"/>
      <c r="W2959" s="198"/>
      <c r="X2959" s="198"/>
      <c r="Y2959" s="198"/>
      <c r="Z2959" s="198"/>
    </row>
    <row r="2960" spans="1:26" ht="15.75" hidden="1" customHeight="1" x14ac:dyDescent="0.25">
      <c r="A2960" s="213">
        <v>21141</v>
      </c>
      <c r="B2960" s="214" t="s">
        <v>11459</v>
      </c>
      <c r="C2960" s="215" t="s">
        <v>578</v>
      </c>
      <c r="D2960" s="216">
        <v>14.01</v>
      </c>
      <c r="E2960" s="198"/>
      <c r="F2960" s="198"/>
      <c r="G2960" s="198"/>
      <c r="H2960" s="198"/>
      <c r="I2960" s="198"/>
      <c r="J2960" s="198"/>
      <c r="K2960" s="198"/>
      <c r="L2960" s="198"/>
      <c r="M2960" s="198"/>
      <c r="N2960" s="198"/>
      <c r="O2960" s="198"/>
      <c r="P2960" s="198"/>
      <c r="Q2960" s="198"/>
      <c r="R2960" s="198"/>
      <c r="S2960" s="198"/>
      <c r="T2960" s="198"/>
      <c r="U2960" s="198"/>
      <c r="V2960" s="198"/>
      <c r="W2960" s="198"/>
      <c r="X2960" s="198"/>
      <c r="Y2960" s="198"/>
      <c r="Z2960" s="198"/>
    </row>
    <row r="2961" spans="1:26" ht="15.75" hidden="1" customHeight="1" x14ac:dyDescent="0.25">
      <c r="A2961" s="213">
        <v>39509</v>
      </c>
      <c r="B2961" s="214" t="s">
        <v>11460</v>
      </c>
      <c r="C2961" s="215" t="s">
        <v>578</v>
      </c>
      <c r="D2961" s="216">
        <v>13.48</v>
      </c>
      <c r="E2961" s="198"/>
      <c r="F2961" s="198"/>
      <c r="G2961" s="198"/>
      <c r="H2961" s="198"/>
      <c r="I2961" s="198"/>
      <c r="J2961" s="198"/>
      <c r="K2961" s="198"/>
      <c r="L2961" s="198"/>
      <c r="M2961" s="198"/>
      <c r="N2961" s="198"/>
      <c r="O2961" s="198"/>
      <c r="P2961" s="198"/>
      <c r="Q2961" s="198"/>
      <c r="R2961" s="198"/>
      <c r="S2961" s="198"/>
      <c r="T2961" s="198"/>
      <c r="U2961" s="198"/>
      <c r="V2961" s="198"/>
      <c r="W2961" s="198"/>
      <c r="X2961" s="198"/>
      <c r="Y2961" s="198"/>
      <c r="Z2961" s="198"/>
    </row>
    <row r="2962" spans="1:26" ht="15.75" hidden="1" customHeight="1" x14ac:dyDescent="0.25">
      <c r="A2962" s="213">
        <v>44529</v>
      </c>
      <c r="B2962" s="214" t="s">
        <v>11461</v>
      </c>
      <c r="C2962" s="215" t="s">
        <v>578</v>
      </c>
      <c r="D2962" s="216">
        <v>12.93</v>
      </c>
      <c r="E2962" s="198"/>
      <c r="F2962" s="198"/>
      <c r="G2962" s="198"/>
      <c r="H2962" s="198"/>
      <c r="I2962" s="198"/>
      <c r="J2962" s="198"/>
      <c r="K2962" s="198"/>
      <c r="L2962" s="198"/>
      <c r="M2962" s="198"/>
      <c r="N2962" s="198"/>
      <c r="O2962" s="198"/>
      <c r="P2962" s="198"/>
      <c r="Q2962" s="198"/>
      <c r="R2962" s="198"/>
      <c r="S2962" s="198"/>
      <c r="T2962" s="198"/>
      <c r="U2962" s="198"/>
      <c r="V2962" s="198"/>
      <c r="W2962" s="198"/>
      <c r="X2962" s="198"/>
      <c r="Y2962" s="198"/>
      <c r="Z2962" s="198"/>
    </row>
    <row r="2963" spans="1:26" ht="15.75" hidden="1" customHeight="1" x14ac:dyDescent="0.25">
      <c r="A2963" s="213">
        <v>7167</v>
      </c>
      <c r="B2963" s="214" t="s">
        <v>11462</v>
      </c>
      <c r="C2963" s="215" t="s">
        <v>578</v>
      </c>
      <c r="D2963" s="216">
        <v>29.35</v>
      </c>
      <c r="E2963" s="198"/>
      <c r="F2963" s="198"/>
      <c r="G2963" s="198"/>
      <c r="H2963" s="198"/>
      <c r="I2963" s="198"/>
      <c r="J2963" s="198"/>
      <c r="K2963" s="198"/>
      <c r="L2963" s="198"/>
      <c r="M2963" s="198"/>
      <c r="N2963" s="198"/>
      <c r="O2963" s="198"/>
      <c r="P2963" s="198"/>
      <c r="Q2963" s="198"/>
      <c r="R2963" s="198"/>
      <c r="S2963" s="198"/>
      <c r="T2963" s="198"/>
      <c r="U2963" s="198"/>
      <c r="V2963" s="198"/>
      <c r="W2963" s="198"/>
      <c r="X2963" s="198"/>
      <c r="Y2963" s="198"/>
      <c r="Z2963" s="198"/>
    </row>
    <row r="2964" spans="1:26" ht="15.75" hidden="1" customHeight="1" x14ac:dyDescent="0.25">
      <c r="A2964" s="213">
        <v>10928</v>
      </c>
      <c r="B2964" s="214" t="s">
        <v>11463</v>
      </c>
      <c r="C2964" s="215" t="s">
        <v>578</v>
      </c>
      <c r="D2964" s="216">
        <v>16.86</v>
      </c>
      <c r="E2964" s="198"/>
      <c r="F2964" s="198"/>
      <c r="G2964" s="198"/>
      <c r="H2964" s="198"/>
      <c r="I2964" s="198"/>
      <c r="J2964" s="198"/>
      <c r="K2964" s="198"/>
      <c r="L2964" s="198"/>
      <c r="M2964" s="198"/>
      <c r="N2964" s="198"/>
      <c r="O2964" s="198"/>
      <c r="P2964" s="198"/>
      <c r="Q2964" s="198"/>
      <c r="R2964" s="198"/>
      <c r="S2964" s="198"/>
      <c r="T2964" s="198"/>
      <c r="U2964" s="198"/>
      <c r="V2964" s="198"/>
      <c r="W2964" s="198"/>
      <c r="X2964" s="198"/>
      <c r="Y2964" s="198"/>
      <c r="Z2964" s="198"/>
    </row>
    <row r="2965" spans="1:26" ht="15.75" hidden="1" customHeight="1" x14ac:dyDescent="0.25">
      <c r="A2965" s="213">
        <v>10933</v>
      </c>
      <c r="B2965" s="214" t="s">
        <v>11464</v>
      </c>
      <c r="C2965" s="215" t="s">
        <v>578</v>
      </c>
      <c r="D2965" s="216">
        <v>25.43</v>
      </c>
      <c r="E2965" s="198"/>
      <c r="F2965" s="198"/>
      <c r="G2965" s="198"/>
      <c r="H2965" s="198"/>
      <c r="I2965" s="198"/>
      <c r="J2965" s="198"/>
      <c r="K2965" s="198"/>
      <c r="L2965" s="198"/>
      <c r="M2965" s="198"/>
      <c r="N2965" s="198"/>
      <c r="O2965" s="198"/>
      <c r="P2965" s="198"/>
      <c r="Q2965" s="198"/>
      <c r="R2965" s="198"/>
      <c r="S2965" s="198"/>
      <c r="T2965" s="198"/>
      <c r="U2965" s="198"/>
      <c r="V2965" s="198"/>
      <c r="W2965" s="198"/>
      <c r="X2965" s="198"/>
      <c r="Y2965" s="198"/>
      <c r="Z2965" s="198"/>
    </row>
    <row r="2966" spans="1:26" ht="15.75" hidden="1" customHeight="1" x14ac:dyDescent="0.25">
      <c r="A2966" s="213">
        <v>7158</v>
      </c>
      <c r="B2966" s="214" t="s">
        <v>11465</v>
      </c>
      <c r="C2966" s="215" t="s">
        <v>578</v>
      </c>
      <c r="D2966" s="216">
        <v>43.14</v>
      </c>
      <c r="E2966" s="198"/>
      <c r="F2966" s="198"/>
      <c r="G2966" s="198"/>
      <c r="H2966" s="198"/>
      <c r="I2966" s="198"/>
      <c r="J2966" s="198"/>
      <c r="K2966" s="198"/>
      <c r="L2966" s="198"/>
      <c r="M2966" s="198"/>
      <c r="N2966" s="198"/>
      <c r="O2966" s="198"/>
      <c r="P2966" s="198"/>
      <c r="Q2966" s="198"/>
      <c r="R2966" s="198"/>
      <c r="S2966" s="198"/>
      <c r="T2966" s="198"/>
      <c r="U2966" s="198"/>
      <c r="V2966" s="198"/>
      <c r="W2966" s="198"/>
      <c r="X2966" s="198"/>
      <c r="Y2966" s="198"/>
      <c r="Z2966" s="198"/>
    </row>
    <row r="2967" spans="1:26" ht="15.75" hidden="1" customHeight="1" x14ac:dyDescent="0.25">
      <c r="A2967" s="213">
        <v>10927</v>
      </c>
      <c r="B2967" s="214" t="s">
        <v>11466</v>
      </c>
      <c r="C2967" s="215" t="s">
        <v>578</v>
      </c>
      <c r="D2967" s="216">
        <v>27.59</v>
      </c>
      <c r="E2967" s="198"/>
      <c r="F2967" s="198"/>
      <c r="G2967" s="198"/>
      <c r="H2967" s="198"/>
      <c r="I2967" s="198"/>
      <c r="J2967" s="198"/>
      <c r="K2967" s="198"/>
      <c r="L2967" s="198"/>
      <c r="M2967" s="198"/>
      <c r="N2967" s="198"/>
      <c r="O2967" s="198"/>
      <c r="P2967" s="198"/>
      <c r="Q2967" s="198"/>
      <c r="R2967" s="198"/>
      <c r="S2967" s="198"/>
      <c r="T2967" s="198"/>
      <c r="U2967" s="198"/>
      <c r="V2967" s="198"/>
      <c r="W2967" s="198"/>
      <c r="X2967" s="198"/>
      <c r="Y2967" s="198"/>
      <c r="Z2967" s="198"/>
    </row>
    <row r="2968" spans="1:26" ht="15.75" hidden="1" customHeight="1" x14ac:dyDescent="0.25">
      <c r="A2968" s="213">
        <v>7162</v>
      </c>
      <c r="B2968" s="214" t="s">
        <v>11467</v>
      </c>
      <c r="C2968" s="215" t="s">
        <v>578</v>
      </c>
      <c r="D2968" s="216">
        <v>67.510000000000005</v>
      </c>
      <c r="E2968" s="198"/>
      <c r="F2968" s="198"/>
      <c r="G2968" s="198"/>
      <c r="H2968" s="198"/>
      <c r="I2968" s="198"/>
      <c r="J2968" s="198"/>
      <c r="K2968" s="198"/>
      <c r="L2968" s="198"/>
      <c r="M2968" s="198"/>
      <c r="N2968" s="198"/>
      <c r="O2968" s="198"/>
      <c r="P2968" s="198"/>
      <c r="Q2968" s="198"/>
      <c r="R2968" s="198"/>
      <c r="S2968" s="198"/>
      <c r="T2968" s="198"/>
      <c r="U2968" s="198"/>
      <c r="V2968" s="198"/>
      <c r="W2968" s="198"/>
      <c r="X2968" s="198"/>
      <c r="Y2968" s="198"/>
      <c r="Z2968" s="198"/>
    </row>
    <row r="2969" spans="1:26" ht="15.75" hidden="1" customHeight="1" x14ac:dyDescent="0.25">
      <c r="A2969" s="213">
        <v>10932</v>
      </c>
      <c r="B2969" s="214" t="s">
        <v>11468</v>
      </c>
      <c r="C2969" s="215" t="s">
        <v>578</v>
      </c>
      <c r="D2969" s="216">
        <v>117.42</v>
      </c>
      <c r="E2969" s="198"/>
      <c r="F2969" s="198"/>
      <c r="G2969" s="198"/>
      <c r="H2969" s="198"/>
      <c r="I2969" s="198"/>
      <c r="J2969" s="198"/>
      <c r="K2969" s="198"/>
      <c r="L2969" s="198"/>
      <c r="M2969" s="198"/>
      <c r="N2969" s="198"/>
      <c r="O2969" s="198"/>
      <c r="P2969" s="198"/>
      <c r="Q2969" s="198"/>
      <c r="R2969" s="198"/>
      <c r="S2969" s="198"/>
      <c r="T2969" s="198"/>
      <c r="U2969" s="198"/>
      <c r="V2969" s="198"/>
      <c r="W2969" s="198"/>
      <c r="X2969" s="198"/>
      <c r="Y2969" s="198"/>
      <c r="Z2969" s="198"/>
    </row>
    <row r="2970" spans="1:26" ht="15.75" hidden="1" customHeight="1" x14ac:dyDescent="0.25">
      <c r="A2970" s="213">
        <v>10937</v>
      </c>
      <c r="B2970" s="214" t="s">
        <v>11469</v>
      </c>
      <c r="C2970" s="215" t="s">
        <v>578</v>
      </c>
      <c r="D2970" s="216">
        <v>30.18</v>
      </c>
      <c r="E2970" s="198"/>
      <c r="F2970" s="198"/>
      <c r="G2970" s="198"/>
      <c r="H2970" s="198"/>
      <c r="I2970" s="198"/>
      <c r="J2970" s="198"/>
      <c r="K2970" s="198"/>
      <c r="L2970" s="198"/>
      <c r="M2970" s="198"/>
      <c r="N2970" s="198"/>
      <c r="O2970" s="198"/>
      <c r="P2970" s="198"/>
      <c r="Q2970" s="198"/>
      <c r="R2970" s="198"/>
      <c r="S2970" s="198"/>
      <c r="T2970" s="198"/>
      <c r="U2970" s="198"/>
      <c r="V2970" s="198"/>
      <c r="W2970" s="198"/>
      <c r="X2970" s="198"/>
      <c r="Y2970" s="198"/>
      <c r="Z2970" s="198"/>
    </row>
    <row r="2971" spans="1:26" ht="15.75" hidden="1" customHeight="1" x14ac:dyDescent="0.25">
      <c r="A2971" s="213">
        <v>10935</v>
      </c>
      <c r="B2971" s="214" t="s">
        <v>11470</v>
      </c>
      <c r="C2971" s="215" t="s">
        <v>578</v>
      </c>
      <c r="D2971" s="216">
        <v>52.34</v>
      </c>
      <c r="E2971" s="198"/>
      <c r="F2971" s="198"/>
      <c r="G2971" s="198"/>
      <c r="H2971" s="198"/>
      <c r="I2971" s="198"/>
      <c r="J2971" s="198"/>
      <c r="K2971" s="198"/>
      <c r="L2971" s="198"/>
      <c r="M2971" s="198"/>
      <c r="N2971" s="198"/>
      <c r="O2971" s="198"/>
      <c r="P2971" s="198"/>
      <c r="Q2971" s="198"/>
      <c r="R2971" s="198"/>
      <c r="S2971" s="198"/>
      <c r="T2971" s="198"/>
      <c r="U2971" s="198"/>
      <c r="V2971" s="198"/>
      <c r="W2971" s="198"/>
      <c r="X2971" s="198"/>
      <c r="Y2971" s="198"/>
      <c r="Z2971" s="198"/>
    </row>
    <row r="2972" spans="1:26" ht="15.75" hidden="1" customHeight="1" x14ac:dyDescent="0.25">
      <c r="A2972" s="213">
        <v>10931</v>
      </c>
      <c r="B2972" s="214" t="s">
        <v>11471</v>
      </c>
      <c r="C2972" s="215" t="s">
        <v>578</v>
      </c>
      <c r="D2972" s="216">
        <v>14.72</v>
      </c>
      <c r="E2972" s="198"/>
      <c r="F2972" s="198"/>
      <c r="G2972" s="198"/>
      <c r="H2972" s="198"/>
      <c r="I2972" s="198"/>
      <c r="J2972" s="198"/>
      <c r="K2972" s="198"/>
      <c r="L2972" s="198"/>
      <c r="M2972" s="198"/>
      <c r="N2972" s="198"/>
      <c r="O2972" s="198"/>
      <c r="P2972" s="198"/>
      <c r="Q2972" s="198"/>
      <c r="R2972" s="198"/>
      <c r="S2972" s="198"/>
      <c r="T2972" s="198"/>
      <c r="U2972" s="198"/>
      <c r="V2972" s="198"/>
      <c r="W2972" s="198"/>
      <c r="X2972" s="198"/>
      <c r="Y2972" s="198"/>
      <c r="Z2972" s="198"/>
    </row>
    <row r="2973" spans="1:26" ht="15.75" hidden="1" customHeight="1" x14ac:dyDescent="0.25">
      <c r="A2973" s="213">
        <v>7164</v>
      </c>
      <c r="B2973" s="214" t="s">
        <v>11472</v>
      </c>
      <c r="C2973" s="215" t="s">
        <v>578</v>
      </c>
      <c r="D2973" s="216">
        <v>48.72</v>
      </c>
      <c r="E2973" s="198"/>
      <c r="F2973" s="198"/>
      <c r="G2973" s="198"/>
      <c r="H2973" s="198"/>
      <c r="I2973" s="198"/>
      <c r="J2973" s="198"/>
      <c r="K2973" s="198"/>
      <c r="L2973" s="198"/>
      <c r="M2973" s="198"/>
      <c r="N2973" s="198"/>
      <c r="O2973" s="198"/>
      <c r="P2973" s="198"/>
      <c r="Q2973" s="198"/>
      <c r="R2973" s="198"/>
      <c r="S2973" s="198"/>
      <c r="T2973" s="198"/>
      <c r="U2973" s="198"/>
      <c r="V2973" s="198"/>
      <c r="W2973" s="198"/>
      <c r="X2973" s="198"/>
      <c r="Y2973" s="198"/>
      <c r="Z2973" s="198"/>
    </row>
    <row r="2974" spans="1:26" ht="15.75" hidden="1" customHeight="1" x14ac:dyDescent="0.25">
      <c r="A2974" s="213">
        <v>36887</v>
      </c>
      <c r="B2974" s="214" t="s">
        <v>11473</v>
      </c>
      <c r="C2974" s="215" t="s">
        <v>578</v>
      </c>
      <c r="D2974" s="216">
        <v>9.06</v>
      </c>
      <c r="E2974" s="198"/>
      <c r="F2974" s="198"/>
      <c r="G2974" s="198"/>
      <c r="H2974" s="198"/>
      <c r="I2974" s="198"/>
      <c r="J2974" s="198"/>
      <c r="K2974" s="198"/>
      <c r="L2974" s="198"/>
      <c r="M2974" s="198"/>
      <c r="N2974" s="198"/>
      <c r="O2974" s="198"/>
      <c r="P2974" s="198"/>
      <c r="Q2974" s="198"/>
      <c r="R2974" s="198"/>
      <c r="S2974" s="198"/>
      <c r="T2974" s="198"/>
      <c r="U2974" s="198"/>
      <c r="V2974" s="198"/>
      <c r="W2974" s="198"/>
      <c r="X2974" s="198"/>
      <c r="Y2974" s="198"/>
      <c r="Z2974" s="198"/>
    </row>
    <row r="2975" spans="1:26" ht="15.75" hidden="1" customHeight="1" x14ac:dyDescent="0.25">
      <c r="A2975" s="213">
        <v>34630</v>
      </c>
      <c r="B2975" s="214" t="s">
        <v>11474</v>
      </c>
      <c r="C2975" s="215" t="s">
        <v>580</v>
      </c>
      <c r="D2975" s="216">
        <v>1313.19</v>
      </c>
      <c r="E2975" s="198"/>
      <c r="F2975" s="198"/>
      <c r="G2975" s="198"/>
      <c r="H2975" s="198"/>
      <c r="I2975" s="198"/>
      <c r="J2975" s="198"/>
      <c r="K2975" s="198"/>
      <c r="L2975" s="198"/>
      <c r="M2975" s="198"/>
      <c r="N2975" s="198"/>
      <c r="O2975" s="198"/>
      <c r="P2975" s="198"/>
      <c r="Q2975" s="198"/>
      <c r="R2975" s="198"/>
      <c r="S2975" s="198"/>
      <c r="T2975" s="198"/>
      <c r="U2975" s="198"/>
      <c r="V2975" s="198"/>
      <c r="W2975" s="198"/>
      <c r="X2975" s="198"/>
      <c r="Y2975" s="198"/>
      <c r="Z2975" s="198"/>
    </row>
    <row r="2976" spans="1:26" ht="15.75" hidden="1" customHeight="1" x14ac:dyDescent="0.25">
      <c r="A2976" s="213">
        <v>7161</v>
      </c>
      <c r="B2976" s="214" t="s">
        <v>11475</v>
      </c>
      <c r="C2976" s="215" t="s">
        <v>578</v>
      </c>
      <c r="D2976" s="216">
        <v>6.06</v>
      </c>
      <c r="E2976" s="198"/>
      <c r="F2976" s="198"/>
      <c r="G2976" s="198"/>
      <c r="H2976" s="198"/>
      <c r="I2976" s="198"/>
      <c r="J2976" s="198"/>
      <c r="K2976" s="198"/>
      <c r="L2976" s="198"/>
      <c r="M2976" s="198"/>
      <c r="N2976" s="198"/>
      <c r="O2976" s="198"/>
      <c r="P2976" s="198"/>
      <c r="Q2976" s="198"/>
      <c r="R2976" s="198"/>
      <c r="S2976" s="198"/>
      <c r="T2976" s="198"/>
      <c r="U2976" s="198"/>
      <c r="V2976" s="198"/>
      <c r="W2976" s="198"/>
      <c r="X2976" s="198"/>
      <c r="Y2976" s="198"/>
      <c r="Z2976" s="198"/>
    </row>
    <row r="2977" spans="1:26" ht="15.75" hidden="1" customHeight="1" x14ac:dyDescent="0.25">
      <c r="A2977" s="213">
        <v>7170</v>
      </c>
      <c r="B2977" s="214" t="s">
        <v>11476</v>
      </c>
      <c r="C2977" s="215" t="s">
        <v>578</v>
      </c>
      <c r="D2977" s="216">
        <v>2.19</v>
      </c>
      <c r="E2977" s="198"/>
      <c r="F2977" s="198"/>
      <c r="G2977" s="198"/>
      <c r="H2977" s="198"/>
      <c r="I2977" s="198"/>
      <c r="J2977" s="198"/>
      <c r="K2977" s="198"/>
      <c r="L2977" s="198"/>
      <c r="M2977" s="198"/>
      <c r="N2977" s="198"/>
      <c r="O2977" s="198"/>
      <c r="P2977" s="198"/>
      <c r="Q2977" s="198"/>
      <c r="R2977" s="198"/>
      <c r="S2977" s="198"/>
      <c r="T2977" s="198"/>
      <c r="U2977" s="198"/>
      <c r="V2977" s="198"/>
      <c r="W2977" s="198"/>
      <c r="X2977" s="198"/>
      <c r="Y2977" s="198"/>
      <c r="Z2977" s="198"/>
    </row>
    <row r="2978" spans="1:26" ht="15.75" hidden="1" customHeight="1" x14ac:dyDescent="0.25">
      <c r="A2978" s="213">
        <v>37524</v>
      </c>
      <c r="B2978" s="214" t="s">
        <v>11477</v>
      </c>
      <c r="C2978" s="215" t="s">
        <v>585</v>
      </c>
      <c r="D2978" s="216">
        <v>2</v>
      </c>
      <c r="E2978" s="198"/>
      <c r="F2978" s="198"/>
      <c r="G2978" s="198"/>
      <c r="H2978" s="198"/>
      <c r="I2978" s="198"/>
      <c r="J2978" s="198"/>
      <c r="K2978" s="198"/>
      <c r="L2978" s="198"/>
      <c r="M2978" s="198"/>
      <c r="N2978" s="198"/>
      <c r="O2978" s="198"/>
      <c r="P2978" s="198"/>
      <c r="Q2978" s="198"/>
      <c r="R2978" s="198"/>
      <c r="S2978" s="198"/>
      <c r="T2978" s="198"/>
      <c r="U2978" s="198"/>
      <c r="V2978" s="198"/>
      <c r="W2978" s="198"/>
      <c r="X2978" s="198"/>
      <c r="Y2978" s="198"/>
      <c r="Z2978" s="198"/>
    </row>
    <row r="2979" spans="1:26" ht="15.75" hidden="1" customHeight="1" x14ac:dyDescent="0.25">
      <c r="A2979" s="213">
        <v>37525</v>
      </c>
      <c r="B2979" s="214" t="s">
        <v>11478</v>
      </c>
      <c r="C2979" s="215" t="s">
        <v>585</v>
      </c>
      <c r="D2979" s="216">
        <v>2.73</v>
      </c>
      <c r="E2979" s="198"/>
      <c r="F2979" s="198"/>
      <c r="G2979" s="198"/>
      <c r="H2979" s="198"/>
      <c r="I2979" s="198"/>
      <c r="J2979" s="198"/>
      <c r="K2979" s="198"/>
      <c r="L2979" s="198"/>
      <c r="M2979" s="198"/>
      <c r="N2979" s="198"/>
      <c r="O2979" s="198"/>
      <c r="P2979" s="198"/>
      <c r="Q2979" s="198"/>
      <c r="R2979" s="198"/>
      <c r="S2979" s="198"/>
      <c r="T2979" s="198"/>
      <c r="U2979" s="198"/>
      <c r="V2979" s="198"/>
      <c r="W2979" s="198"/>
      <c r="X2979" s="198"/>
      <c r="Y2979" s="198"/>
      <c r="Z2979" s="198"/>
    </row>
    <row r="2980" spans="1:26" ht="15.75" hidden="1" customHeight="1" x14ac:dyDescent="0.25">
      <c r="A2980" s="213">
        <v>36789</v>
      </c>
      <c r="B2980" s="214" t="s">
        <v>11479</v>
      </c>
      <c r="C2980" s="215" t="s">
        <v>580</v>
      </c>
      <c r="D2980" s="216">
        <v>2.4</v>
      </c>
      <c r="E2980" s="198"/>
      <c r="F2980" s="198"/>
      <c r="G2980" s="198"/>
      <c r="H2980" s="198"/>
      <c r="I2980" s="198"/>
      <c r="J2980" s="198"/>
      <c r="K2980" s="198"/>
      <c r="L2980" s="198"/>
      <c r="M2980" s="198"/>
      <c r="N2980" s="198"/>
      <c r="O2980" s="198"/>
      <c r="P2980" s="198"/>
      <c r="Q2980" s="198"/>
      <c r="R2980" s="198"/>
      <c r="S2980" s="198"/>
      <c r="T2980" s="198"/>
      <c r="U2980" s="198"/>
      <c r="V2980" s="198"/>
      <c r="W2980" s="198"/>
      <c r="X2980" s="198"/>
      <c r="Y2980" s="198"/>
      <c r="Z2980" s="198"/>
    </row>
    <row r="2981" spans="1:26" ht="15.75" hidden="1" customHeight="1" x14ac:dyDescent="0.25">
      <c r="A2981" s="213">
        <v>7173</v>
      </c>
      <c r="B2981" s="214" t="s">
        <v>11480</v>
      </c>
      <c r="C2981" s="215" t="s">
        <v>10864</v>
      </c>
      <c r="D2981" s="216">
        <v>1552.28</v>
      </c>
      <c r="E2981" s="198"/>
      <c r="F2981" s="198"/>
      <c r="G2981" s="198"/>
      <c r="H2981" s="198"/>
      <c r="I2981" s="198"/>
      <c r="J2981" s="198"/>
      <c r="K2981" s="198"/>
      <c r="L2981" s="198"/>
      <c r="M2981" s="198"/>
      <c r="N2981" s="198"/>
      <c r="O2981" s="198"/>
      <c r="P2981" s="198"/>
      <c r="Q2981" s="198"/>
      <c r="R2981" s="198"/>
      <c r="S2981" s="198"/>
      <c r="T2981" s="198"/>
      <c r="U2981" s="198"/>
      <c r="V2981" s="198"/>
      <c r="W2981" s="198"/>
      <c r="X2981" s="198"/>
      <c r="Y2981" s="198"/>
      <c r="Z2981" s="198"/>
    </row>
    <row r="2982" spans="1:26" ht="15.75" hidden="1" customHeight="1" x14ac:dyDescent="0.25">
      <c r="A2982" s="213">
        <v>7175</v>
      </c>
      <c r="B2982" s="214" t="s">
        <v>11481</v>
      </c>
      <c r="C2982" s="215" t="s">
        <v>580</v>
      </c>
      <c r="D2982" s="216">
        <v>1.75</v>
      </c>
      <c r="E2982" s="198"/>
      <c r="F2982" s="198"/>
      <c r="G2982" s="198"/>
      <c r="H2982" s="198"/>
      <c r="I2982" s="198"/>
      <c r="J2982" s="198"/>
      <c r="K2982" s="198"/>
      <c r="L2982" s="198"/>
      <c r="M2982" s="198"/>
      <c r="N2982" s="198"/>
      <c r="O2982" s="198"/>
      <c r="P2982" s="198"/>
      <c r="Q2982" s="198"/>
      <c r="R2982" s="198"/>
      <c r="S2982" s="198"/>
      <c r="T2982" s="198"/>
      <c r="U2982" s="198"/>
      <c r="V2982" s="198"/>
      <c r="W2982" s="198"/>
      <c r="X2982" s="198"/>
      <c r="Y2982" s="198"/>
      <c r="Z2982" s="198"/>
    </row>
    <row r="2983" spans="1:26" ht="15.75" hidden="1" customHeight="1" x14ac:dyDescent="0.25">
      <c r="A2983" s="213">
        <v>40741</v>
      </c>
      <c r="B2983" s="214" t="s">
        <v>11482</v>
      </c>
      <c r="C2983" s="215" t="s">
        <v>580</v>
      </c>
      <c r="D2983" s="216">
        <v>2.69</v>
      </c>
      <c r="E2983" s="198"/>
      <c r="F2983" s="198"/>
      <c r="G2983" s="198"/>
      <c r="H2983" s="198"/>
      <c r="I2983" s="198"/>
      <c r="J2983" s="198"/>
      <c r="K2983" s="198"/>
      <c r="L2983" s="198"/>
      <c r="M2983" s="198"/>
      <c r="N2983" s="198"/>
      <c r="O2983" s="198"/>
      <c r="P2983" s="198"/>
      <c r="Q2983" s="198"/>
      <c r="R2983" s="198"/>
      <c r="S2983" s="198"/>
      <c r="T2983" s="198"/>
      <c r="U2983" s="198"/>
      <c r="V2983" s="198"/>
      <c r="W2983" s="198"/>
      <c r="X2983" s="198"/>
      <c r="Y2983" s="198"/>
      <c r="Z2983" s="198"/>
    </row>
    <row r="2984" spans="1:26" ht="15.75" hidden="1" customHeight="1" x14ac:dyDescent="0.25">
      <c r="A2984" s="213">
        <v>7184</v>
      </c>
      <c r="B2984" s="214" t="s">
        <v>11483</v>
      </c>
      <c r="C2984" s="215" t="s">
        <v>578</v>
      </c>
      <c r="D2984" s="216">
        <v>49.9</v>
      </c>
      <c r="E2984" s="198"/>
      <c r="F2984" s="198"/>
      <c r="G2984" s="198"/>
      <c r="H2984" s="198"/>
      <c r="I2984" s="198"/>
      <c r="J2984" s="198"/>
      <c r="K2984" s="198"/>
      <c r="L2984" s="198"/>
      <c r="M2984" s="198"/>
      <c r="N2984" s="198"/>
      <c r="O2984" s="198"/>
      <c r="P2984" s="198"/>
      <c r="Q2984" s="198"/>
      <c r="R2984" s="198"/>
      <c r="S2984" s="198"/>
      <c r="T2984" s="198"/>
      <c r="U2984" s="198"/>
      <c r="V2984" s="198"/>
      <c r="W2984" s="198"/>
      <c r="X2984" s="198"/>
      <c r="Y2984" s="198"/>
      <c r="Z2984" s="198"/>
    </row>
    <row r="2985" spans="1:26" ht="15.75" hidden="1" customHeight="1" x14ac:dyDescent="0.25">
      <c r="A2985" s="213">
        <v>34458</v>
      </c>
      <c r="B2985" s="214" t="s">
        <v>11484</v>
      </c>
      <c r="C2985" s="215" t="s">
        <v>580</v>
      </c>
      <c r="D2985" s="216">
        <v>149.86000000000001</v>
      </c>
      <c r="E2985" s="198"/>
      <c r="F2985" s="198"/>
      <c r="G2985" s="198"/>
      <c r="H2985" s="198"/>
      <c r="I2985" s="198"/>
      <c r="J2985" s="198"/>
      <c r="K2985" s="198"/>
      <c r="L2985" s="198"/>
      <c r="M2985" s="198"/>
      <c r="N2985" s="198"/>
      <c r="O2985" s="198"/>
      <c r="P2985" s="198"/>
      <c r="Q2985" s="198"/>
      <c r="R2985" s="198"/>
      <c r="S2985" s="198"/>
      <c r="T2985" s="198"/>
      <c r="U2985" s="198"/>
      <c r="V2985" s="198"/>
      <c r="W2985" s="198"/>
      <c r="X2985" s="198"/>
      <c r="Y2985" s="198"/>
      <c r="Z2985" s="198"/>
    </row>
    <row r="2986" spans="1:26" ht="15.75" hidden="1" customHeight="1" x14ac:dyDescent="0.25">
      <c r="A2986" s="213">
        <v>34464</v>
      </c>
      <c r="B2986" s="214" t="s">
        <v>11485</v>
      </c>
      <c r="C2986" s="215" t="s">
        <v>580</v>
      </c>
      <c r="D2986" s="216">
        <v>223.08</v>
      </c>
      <c r="E2986" s="198"/>
      <c r="F2986" s="198"/>
      <c r="G2986" s="198"/>
      <c r="H2986" s="198"/>
      <c r="I2986" s="198"/>
      <c r="J2986" s="198"/>
      <c r="K2986" s="198"/>
      <c r="L2986" s="198"/>
      <c r="M2986" s="198"/>
      <c r="N2986" s="198"/>
      <c r="O2986" s="198"/>
      <c r="P2986" s="198"/>
      <c r="Q2986" s="198"/>
      <c r="R2986" s="198"/>
      <c r="S2986" s="198"/>
      <c r="T2986" s="198"/>
      <c r="U2986" s="198"/>
      <c r="V2986" s="198"/>
      <c r="W2986" s="198"/>
      <c r="X2986" s="198"/>
      <c r="Y2986" s="198"/>
      <c r="Z2986" s="198"/>
    </row>
    <row r="2987" spans="1:26" ht="15.75" hidden="1" customHeight="1" x14ac:dyDescent="0.25">
      <c r="A2987" s="213">
        <v>34468</v>
      </c>
      <c r="B2987" s="214" t="s">
        <v>11486</v>
      </c>
      <c r="C2987" s="215" t="s">
        <v>580</v>
      </c>
      <c r="D2987" s="216">
        <v>281.25</v>
      </c>
      <c r="E2987" s="198"/>
      <c r="F2987" s="198"/>
      <c r="G2987" s="198"/>
      <c r="H2987" s="198"/>
      <c r="I2987" s="198"/>
      <c r="J2987" s="198"/>
      <c r="K2987" s="198"/>
      <c r="L2987" s="198"/>
      <c r="M2987" s="198"/>
      <c r="N2987" s="198"/>
      <c r="O2987" s="198"/>
      <c r="P2987" s="198"/>
      <c r="Q2987" s="198"/>
      <c r="R2987" s="198"/>
      <c r="S2987" s="198"/>
      <c r="T2987" s="198"/>
      <c r="U2987" s="198"/>
      <c r="V2987" s="198"/>
      <c r="W2987" s="198"/>
      <c r="X2987" s="198"/>
      <c r="Y2987" s="198"/>
      <c r="Z2987" s="198"/>
    </row>
    <row r="2988" spans="1:26" ht="15.75" hidden="1" customHeight="1" x14ac:dyDescent="0.25">
      <c r="A2988" s="213">
        <v>34473</v>
      </c>
      <c r="B2988" s="214" t="s">
        <v>11487</v>
      </c>
      <c r="C2988" s="215" t="s">
        <v>580</v>
      </c>
      <c r="D2988" s="216">
        <v>170.61</v>
      </c>
      <c r="E2988" s="198"/>
      <c r="F2988" s="198"/>
      <c r="G2988" s="198"/>
      <c r="H2988" s="198"/>
      <c r="I2988" s="198"/>
      <c r="J2988" s="198"/>
      <c r="K2988" s="198"/>
      <c r="L2988" s="198"/>
      <c r="M2988" s="198"/>
      <c r="N2988" s="198"/>
      <c r="O2988" s="198"/>
      <c r="P2988" s="198"/>
      <c r="Q2988" s="198"/>
      <c r="R2988" s="198"/>
      <c r="S2988" s="198"/>
      <c r="T2988" s="198"/>
      <c r="U2988" s="198"/>
      <c r="V2988" s="198"/>
      <c r="W2988" s="198"/>
      <c r="X2988" s="198"/>
      <c r="Y2988" s="198"/>
      <c r="Z2988" s="198"/>
    </row>
    <row r="2989" spans="1:26" ht="15.75" hidden="1" customHeight="1" x14ac:dyDescent="0.25">
      <c r="A2989" s="213">
        <v>34480</v>
      </c>
      <c r="B2989" s="214" t="s">
        <v>11488</v>
      </c>
      <c r="C2989" s="215" t="s">
        <v>580</v>
      </c>
      <c r="D2989" s="216">
        <v>315.29000000000002</v>
      </c>
      <c r="E2989" s="198"/>
      <c r="F2989" s="198"/>
      <c r="G2989" s="198"/>
      <c r="H2989" s="198"/>
      <c r="I2989" s="198"/>
      <c r="J2989" s="198"/>
      <c r="K2989" s="198"/>
      <c r="L2989" s="198"/>
      <c r="M2989" s="198"/>
      <c r="N2989" s="198"/>
      <c r="O2989" s="198"/>
      <c r="P2989" s="198"/>
      <c r="Q2989" s="198"/>
      <c r="R2989" s="198"/>
      <c r="S2989" s="198"/>
      <c r="T2989" s="198"/>
      <c r="U2989" s="198"/>
      <c r="V2989" s="198"/>
      <c r="W2989" s="198"/>
      <c r="X2989" s="198"/>
      <c r="Y2989" s="198"/>
      <c r="Z2989" s="198"/>
    </row>
    <row r="2990" spans="1:26" ht="15.75" hidden="1" customHeight="1" x14ac:dyDescent="0.25">
      <c r="A2990" s="213">
        <v>34486</v>
      </c>
      <c r="B2990" s="214" t="s">
        <v>11489</v>
      </c>
      <c r="C2990" s="215" t="s">
        <v>580</v>
      </c>
      <c r="D2990" s="216">
        <v>373.3</v>
      </c>
      <c r="E2990" s="198"/>
      <c r="F2990" s="198"/>
      <c r="G2990" s="198"/>
      <c r="H2990" s="198"/>
      <c r="I2990" s="198"/>
      <c r="J2990" s="198"/>
      <c r="K2990" s="198"/>
      <c r="L2990" s="198"/>
      <c r="M2990" s="198"/>
      <c r="N2990" s="198"/>
      <c r="O2990" s="198"/>
      <c r="P2990" s="198"/>
      <c r="Q2990" s="198"/>
      <c r="R2990" s="198"/>
      <c r="S2990" s="198"/>
      <c r="T2990" s="198"/>
      <c r="U2990" s="198"/>
      <c r="V2990" s="198"/>
      <c r="W2990" s="198"/>
      <c r="X2990" s="198"/>
      <c r="Y2990" s="198"/>
      <c r="Z2990" s="198"/>
    </row>
    <row r="2991" spans="1:26" ht="15.75" hidden="1" customHeight="1" x14ac:dyDescent="0.25">
      <c r="A2991" s="213">
        <v>7190</v>
      </c>
      <c r="B2991" s="214" t="s">
        <v>11490</v>
      </c>
      <c r="C2991" s="215" t="s">
        <v>580</v>
      </c>
      <c r="D2991" s="216">
        <v>12.46</v>
      </c>
      <c r="E2991" s="198"/>
      <c r="F2991" s="198"/>
      <c r="G2991" s="198"/>
      <c r="H2991" s="198"/>
      <c r="I2991" s="198"/>
      <c r="J2991" s="198"/>
      <c r="K2991" s="198"/>
      <c r="L2991" s="198"/>
      <c r="M2991" s="198"/>
      <c r="N2991" s="198"/>
      <c r="O2991" s="198"/>
      <c r="P2991" s="198"/>
      <c r="Q2991" s="198"/>
      <c r="R2991" s="198"/>
      <c r="S2991" s="198"/>
      <c r="T2991" s="198"/>
      <c r="U2991" s="198"/>
      <c r="V2991" s="198"/>
      <c r="W2991" s="198"/>
      <c r="X2991" s="198"/>
      <c r="Y2991" s="198"/>
      <c r="Z2991" s="198"/>
    </row>
    <row r="2992" spans="1:26" ht="15.75" hidden="1" customHeight="1" x14ac:dyDescent="0.25">
      <c r="A2992" s="213">
        <v>34417</v>
      </c>
      <c r="B2992" s="214" t="s">
        <v>11491</v>
      </c>
      <c r="C2992" s="215" t="s">
        <v>580</v>
      </c>
      <c r="D2992" s="216">
        <v>19.940000000000001</v>
      </c>
      <c r="E2992" s="198"/>
      <c r="F2992" s="198"/>
      <c r="G2992" s="198"/>
      <c r="H2992" s="198"/>
      <c r="I2992" s="198"/>
      <c r="J2992" s="198"/>
      <c r="K2992" s="198"/>
      <c r="L2992" s="198"/>
      <c r="M2992" s="198"/>
      <c r="N2992" s="198"/>
      <c r="O2992" s="198"/>
      <c r="P2992" s="198"/>
      <c r="Q2992" s="198"/>
      <c r="R2992" s="198"/>
      <c r="S2992" s="198"/>
      <c r="T2992" s="198"/>
      <c r="U2992" s="198"/>
      <c r="V2992" s="198"/>
      <c r="W2992" s="198"/>
      <c r="X2992" s="198"/>
      <c r="Y2992" s="198"/>
      <c r="Z2992" s="198"/>
    </row>
    <row r="2993" spans="1:26" ht="15.75" hidden="1" customHeight="1" x14ac:dyDescent="0.25">
      <c r="A2993" s="213">
        <v>7213</v>
      </c>
      <c r="B2993" s="214" t="s">
        <v>11492</v>
      </c>
      <c r="C2993" s="215" t="s">
        <v>578</v>
      </c>
      <c r="D2993" s="216">
        <v>18.29</v>
      </c>
      <c r="E2993" s="198"/>
      <c r="F2993" s="198"/>
      <c r="G2993" s="198"/>
      <c r="H2993" s="198"/>
      <c r="I2993" s="198"/>
      <c r="J2993" s="198"/>
      <c r="K2993" s="198"/>
      <c r="L2993" s="198"/>
      <c r="M2993" s="198"/>
      <c r="N2993" s="198"/>
      <c r="O2993" s="198"/>
      <c r="P2993" s="198"/>
      <c r="Q2993" s="198"/>
      <c r="R2993" s="198"/>
      <c r="S2993" s="198"/>
      <c r="T2993" s="198"/>
      <c r="U2993" s="198"/>
      <c r="V2993" s="198"/>
      <c r="W2993" s="198"/>
      <c r="X2993" s="198"/>
      <c r="Y2993" s="198"/>
      <c r="Z2993" s="198"/>
    </row>
    <row r="2994" spans="1:26" ht="15.75" hidden="1" customHeight="1" x14ac:dyDescent="0.25">
      <c r="A2994" s="213">
        <v>7195</v>
      </c>
      <c r="B2994" s="214" t="s">
        <v>11493</v>
      </c>
      <c r="C2994" s="215" t="s">
        <v>580</v>
      </c>
      <c r="D2994" s="216">
        <v>53.7</v>
      </c>
      <c r="E2994" s="198"/>
      <c r="F2994" s="198"/>
      <c r="G2994" s="198"/>
      <c r="H2994" s="198"/>
      <c r="I2994" s="198"/>
      <c r="J2994" s="198"/>
      <c r="K2994" s="198"/>
      <c r="L2994" s="198"/>
      <c r="M2994" s="198"/>
      <c r="N2994" s="198"/>
      <c r="O2994" s="198"/>
      <c r="P2994" s="198"/>
      <c r="Q2994" s="198"/>
      <c r="R2994" s="198"/>
      <c r="S2994" s="198"/>
      <c r="T2994" s="198"/>
      <c r="U2994" s="198"/>
      <c r="V2994" s="198"/>
      <c r="W2994" s="198"/>
      <c r="X2994" s="198"/>
      <c r="Y2994" s="198"/>
      <c r="Z2994" s="198"/>
    </row>
    <row r="2995" spans="1:26" ht="15.75" hidden="1" customHeight="1" x14ac:dyDescent="0.25">
      <c r="A2995" s="213">
        <v>7186</v>
      </c>
      <c r="B2995" s="214" t="s">
        <v>11494</v>
      </c>
      <c r="C2995" s="215" t="s">
        <v>580</v>
      </c>
      <c r="D2995" s="216">
        <v>58.5</v>
      </c>
      <c r="E2995" s="198"/>
      <c r="F2995" s="198"/>
      <c r="G2995" s="198"/>
      <c r="H2995" s="198"/>
      <c r="I2995" s="198"/>
      <c r="J2995" s="198"/>
      <c r="K2995" s="198"/>
      <c r="L2995" s="198"/>
      <c r="M2995" s="198"/>
      <c r="N2995" s="198"/>
      <c r="O2995" s="198"/>
      <c r="P2995" s="198"/>
      <c r="Q2995" s="198"/>
      <c r="R2995" s="198"/>
      <c r="S2995" s="198"/>
      <c r="T2995" s="198"/>
      <c r="U2995" s="198"/>
      <c r="V2995" s="198"/>
      <c r="W2995" s="198"/>
      <c r="X2995" s="198"/>
      <c r="Y2995" s="198"/>
      <c r="Z2995" s="198"/>
    </row>
    <row r="2996" spans="1:26" ht="15.75" hidden="1" customHeight="1" x14ac:dyDescent="0.25">
      <c r="A2996" s="213">
        <v>7194</v>
      </c>
      <c r="B2996" s="214" t="s">
        <v>11495</v>
      </c>
      <c r="C2996" s="215" t="s">
        <v>578</v>
      </c>
      <c r="D2996" s="216">
        <v>26.97</v>
      </c>
      <c r="E2996" s="198"/>
      <c r="F2996" s="198"/>
      <c r="G2996" s="198"/>
      <c r="H2996" s="198"/>
      <c r="I2996" s="198"/>
      <c r="J2996" s="198"/>
      <c r="K2996" s="198"/>
      <c r="L2996" s="198"/>
      <c r="M2996" s="198"/>
      <c r="N2996" s="198"/>
      <c r="O2996" s="198"/>
      <c r="P2996" s="198"/>
      <c r="Q2996" s="198"/>
      <c r="R2996" s="198"/>
      <c r="S2996" s="198"/>
      <c r="T2996" s="198"/>
      <c r="U2996" s="198"/>
      <c r="V2996" s="198"/>
      <c r="W2996" s="198"/>
      <c r="X2996" s="198"/>
      <c r="Y2996" s="198"/>
      <c r="Z2996" s="198"/>
    </row>
    <row r="2997" spans="1:26" ht="15.75" hidden="1" customHeight="1" x14ac:dyDescent="0.25">
      <c r="A2997" s="213">
        <v>7197</v>
      </c>
      <c r="B2997" s="214" t="s">
        <v>11496</v>
      </c>
      <c r="C2997" s="215" t="s">
        <v>580</v>
      </c>
      <c r="D2997" s="216">
        <v>113.84</v>
      </c>
      <c r="E2997" s="198"/>
      <c r="F2997" s="198"/>
      <c r="G2997" s="198"/>
      <c r="H2997" s="198"/>
      <c r="I2997" s="198"/>
      <c r="J2997" s="198"/>
      <c r="K2997" s="198"/>
      <c r="L2997" s="198"/>
      <c r="M2997" s="198"/>
      <c r="N2997" s="198"/>
      <c r="O2997" s="198"/>
      <c r="P2997" s="198"/>
      <c r="Q2997" s="198"/>
      <c r="R2997" s="198"/>
      <c r="S2997" s="198"/>
      <c r="T2997" s="198"/>
      <c r="U2997" s="198"/>
      <c r="V2997" s="198"/>
      <c r="W2997" s="198"/>
      <c r="X2997" s="198"/>
      <c r="Y2997" s="198"/>
      <c r="Z2997" s="198"/>
    </row>
    <row r="2998" spans="1:26" ht="15.75" hidden="1" customHeight="1" x14ac:dyDescent="0.25">
      <c r="A2998" s="213">
        <v>7192</v>
      </c>
      <c r="B2998" s="214" t="s">
        <v>11497</v>
      </c>
      <c r="C2998" s="215" t="s">
        <v>580</v>
      </c>
      <c r="D2998" s="216">
        <v>101.99</v>
      </c>
      <c r="E2998" s="198"/>
      <c r="F2998" s="198"/>
      <c r="G2998" s="198"/>
      <c r="H2998" s="198"/>
      <c r="I2998" s="198"/>
      <c r="J2998" s="198"/>
      <c r="K2998" s="198"/>
      <c r="L2998" s="198"/>
      <c r="M2998" s="198"/>
      <c r="N2998" s="198"/>
      <c r="O2998" s="198"/>
      <c r="P2998" s="198"/>
      <c r="Q2998" s="198"/>
      <c r="R2998" s="198"/>
      <c r="S2998" s="198"/>
      <c r="T2998" s="198"/>
      <c r="U2998" s="198"/>
      <c r="V2998" s="198"/>
      <c r="W2998" s="198"/>
      <c r="X2998" s="198"/>
      <c r="Y2998" s="198"/>
      <c r="Z2998" s="198"/>
    </row>
    <row r="2999" spans="1:26" ht="15.75" hidden="1" customHeight="1" x14ac:dyDescent="0.25">
      <c r="A2999" s="213">
        <v>7193</v>
      </c>
      <c r="B2999" s="214" t="s">
        <v>11498</v>
      </c>
      <c r="C2999" s="215" t="s">
        <v>580</v>
      </c>
      <c r="D2999" s="216">
        <v>114.83</v>
      </c>
      <c r="E2999" s="198"/>
      <c r="F2999" s="198"/>
      <c r="G2999" s="198"/>
      <c r="H2999" s="198"/>
      <c r="I2999" s="198"/>
      <c r="J2999" s="198"/>
      <c r="K2999" s="198"/>
      <c r="L2999" s="198"/>
      <c r="M2999" s="198"/>
      <c r="N2999" s="198"/>
      <c r="O2999" s="198"/>
      <c r="P2999" s="198"/>
      <c r="Q2999" s="198"/>
      <c r="R2999" s="198"/>
      <c r="S2999" s="198"/>
      <c r="T2999" s="198"/>
      <c r="U2999" s="198"/>
      <c r="V2999" s="198"/>
      <c r="W2999" s="198"/>
      <c r="X2999" s="198"/>
      <c r="Y2999" s="198"/>
      <c r="Z2999" s="198"/>
    </row>
    <row r="3000" spans="1:26" ht="15.75" hidden="1" customHeight="1" x14ac:dyDescent="0.25">
      <c r="A3000" s="213">
        <v>7189</v>
      </c>
      <c r="B3000" s="214" t="s">
        <v>11499</v>
      </c>
      <c r="C3000" s="215" t="s">
        <v>580</v>
      </c>
      <c r="D3000" s="216">
        <v>133.44</v>
      </c>
      <c r="E3000" s="198"/>
      <c r="F3000" s="198"/>
      <c r="G3000" s="198"/>
      <c r="H3000" s="198"/>
      <c r="I3000" s="198"/>
      <c r="J3000" s="198"/>
      <c r="K3000" s="198"/>
      <c r="L3000" s="198"/>
      <c r="M3000" s="198"/>
      <c r="N3000" s="198"/>
      <c r="O3000" s="198"/>
      <c r="P3000" s="198"/>
      <c r="Q3000" s="198"/>
      <c r="R3000" s="198"/>
      <c r="S3000" s="198"/>
      <c r="T3000" s="198"/>
      <c r="U3000" s="198"/>
      <c r="V3000" s="198"/>
      <c r="W3000" s="198"/>
      <c r="X3000" s="198"/>
      <c r="Y3000" s="198"/>
      <c r="Z3000" s="198"/>
    </row>
    <row r="3001" spans="1:26" ht="15.75" hidden="1" customHeight="1" x14ac:dyDescent="0.25">
      <c r="A3001" s="213">
        <v>34402</v>
      </c>
      <c r="B3001" s="214" t="s">
        <v>11500</v>
      </c>
      <c r="C3001" s="215" t="s">
        <v>580</v>
      </c>
      <c r="D3001" s="216">
        <v>188.39</v>
      </c>
      <c r="E3001" s="198"/>
      <c r="F3001" s="198"/>
      <c r="G3001" s="198"/>
      <c r="H3001" s="198"/>
      <c r="I3001" s="198"/>
      <c r="J3001" s="198"/>
      <c r="K3001" s="198"/>
      <c r="L3001" s="198"/>
      <c r="M3001" s="198"/>
      <c r="N3001" s="198"/>
      <c r="O3001" s="198"/>
      <c r="P3001" s="198"/>
      <c r="Q3001" s="198"/>
      <c r="R3001" s="198"/>
      <c r="S3001" s="198"/>
      <c r="T3001" s="198"/>
      <c r="U3001" s="198"/>
      <c r="V3001" s="198"/>
      <c r="W3001" s="198"/>
      <c r="X3001" s="198"/>
      <c r="Y3001" s="198"/>
      <c r="Z3001" s="198"/>
    </row>
    <row r="3002" spans="1:26" ht="15.75" hidden="1" customHeight="1" x14ac:dyDescent="0.25">
      <c r="A3002" s="213">
        <v>7245</v>
      </c>
      <c r="B3002" s="214" t="s">
        <v>11501</v>
      </c>
      <c r="C3002" s="215" t="s">
        <v>580</v>
      </c>
      <c r="D3002" s="216">
        <v>29.12</v>
      </c>
      <c r="E3002" s="198"/>
      <c r="F3002" s="198"/>
      <c r="G3002" s="198"/>
      <c r="H3002" s="198"/>
      <c r="I3002" s="198"/>
      <c r="J3002" s="198"/>
      <c r="K3002" s="198"/>
      <c r="L3002" s="198"/>
      <c r="M3002" s="198"/>
      <c r="N3002" s="198"/>
      <c r="O3002" s="198"/>
      <c r="P3002" s="198"/>
      <c r="Q3002" s="198"/>
      <c r="R3002" s="198"/>
      <c r="S3002" s="198"/>
      <c r="T3002" s="198"/>
      <c r="U3002" s="198"/>
      <c r="V3002" s="198"/>
      <c r="W3002" s="198"/>
      <c r="X3002" s="198"/>
      <c r="Y3002" s="198"/>
      <c r="Z3002" s="198"/>
    </row>
    <row r="3003" spans="1:26" ht="15.75" hidden="1" customHeight="1" x14ac:dyDescent="0.25">
      <c r="A3003" s="213">
        <v>34425</v>
      </c>
      <c r="B3003" s="214" t="s">
        <v>11502</v>
      </c>
      <c r="C3003" s="215" t="s">
        <v>580</v>
      </c>
      <c r="D3003" s="216">
        <v>121.02</v>
      </c>
      <c r="E3003" s="198"/>
      <c r="F3003" s="198"/>
      <c r="G3003" s="198"/>
      <c r="H3003" s="198"/>
      <c r="I3003" s="198"/>
      <c r="J3003" s="198"/>
      <c r="K3003" s="198"/>
      <c r="L3003" s="198"/>
      <c r="M3003" s="198"/>
      <c r="N3003" s="198"/>
      <c r="O3003" s="198"/>
      <c r="P3003" s="198"/>
      <c r="Q3003" s="198"/>
      <c r="R3003" s="198"/>
      <c r="S3003" s="198"/>
      <c r="T3003" s="198"/>
      <c r="U3003" s="198"/>
      <c r="V3003" s="198"/>
      <c r="W3003" s="198"/>
      <c r="X3003" s="198"/>
      <c r="Y3003" s="198"/>
      <c r="Z3003" s="198"/>
    </row>
    <row r="3004" spans="1:26" ht="15.75" hidden="1" customHeight="1" x14ac:dyDescent="0.25">
      <c r="A3004" s="213">
        <v>7223</v>
      </c>
      <c r="B3004" s="214" t="s">
        <v>11503</v>
      </c>
      <c r="C3004" s="215" t="s">
        <v>580</v>
      </c>
      <c r="D3004" s="216">
        <v>134.87</v>
      </c>
      <c r="E3004" s="198"/>
      <c r="F3004" s="198"/>
      <c r="G3004" s="198"/>
      <c r="H3004" s="198"/>
      <c r="I3004" s="198"/>
      <c r="J3004" s="198"/>
      <c r="K3004" s="198"/>
      <c r="L3004" s="198"/>
      <c r="M3004" s="198"/>
      <c r="N3004" s="198"/>
      <c r="O3004" s="198"/>
      <c r="P3004" s="198"/>
      <c r="Q3004" s="198"/>
      <c r="R3004" s="198"/>
      <c r="S3004" s="198"/>
      <c r="T3004" s="198"/>
      <c r="U3004" s="198"/>
      <c r="V3004" s="198"/>
      <c r="W3004" s="198"/>
      <c r="X3004" s="198"/>
      <c r="Y3004" s="198"/>
      <c r="Z3004" s="198"/>
    </row>
    <row r="3005" spans="1:26" ht="15.75" hidden="1" customHeight="1" x14ac:dyDescent="0.25">
      <c r="A3005" s="213">
        <v>7234</v>
      </c>
      <c r="B3005" s="214" t="s">
        <v>11504</v>
      </c>
      <c r="C3005" s="215" t="s">
        <v>580</v>
      </c>
      <c r="D3005" s="216">
        <v>203.51</v>
      </c>
      <c r="E3005" s="198"/>
      <c r="F3005" s="198"/>
      <c r="G3005" s="198"/>
      <c r="H3005" s="198"/>
      <c r="I3005" s="198"/>
      <c r="J3005" s="198"/>
      <c r="K3005" s="198"/>
      <c r="L3005" s="198"/>
      <c r="M3005" s="198"/>
      <c r="N3005" s="198"/>
      <c r="O3005" s="198"/>
      <c r="P3005" s="198"/>
      <c r="Q3005" s="198"/>
      <c r="R3005" s="198"/>
      <c r="S3005" s="198"/>
      <c r="T3005" s="198"/>
      <c r="U3005" s="198"/>
      <c r="V3005" s="198"/>
      <c r="W3005" s="198"/>
      <c r="X3005" s="198"/>
      <c r="Y3005" s="198"/>
      <c r="Z3005" s="198"/>
    </row>
    <row r="3006" spans="1:26" ht="15.75" hidden="1" customHeight="1" x14ac:dyDescent="0.25">
      <c r="A3006" s="213">
        <v>7224</v>
      </c>
      <c r="B3006" s="214" t="s">
        <v>11505</v>
      </c>
      <c r="C3006" s="215" t="s">
        <v>580</v>
      </c>
      <c r="D3006" s="216">
        <v>247.93</v>
      </c>
      <c r="E3006" s="198"/>
      <c r="F3006" s="198"/>
      <c r="G3006" s="198"/>
      <c r="H3006" s="198"/>
      <c r="I3006" s="198"/>
      <c r="J3006" s="198"/>
      <c r="K3006" s="198"/>
      <c r="L3006" s="198"/>
      <c r="M3006" s="198"/>
      <c r="N3006" s="198"/>
      <c r="O3006" s="198"/>
      <c r="P3006" s="198"/>
      <c r="Q3006" s="198"/>
      <c r="R3006" s="198"/>
      <c r="S3006" s="198"/>
      <c r="T3006" s="198"/>
      <c r="U3006" s="198"/>
      <c r="V3006" s="198"/>
      <c r="W3006" s="198"/>
      <c r="X3006" s="198"/>
      <c r="Y3006" s="198"/>
      <c r="Z3006" s="198"/>
    </row>
    <row r="3007" spans="1:26" ht="15.75" hidden="1" customHeight="1" x14ac:dyDescent="0.25">
      <c r="A3007" s="213">
        <v>7225</v>
      </c>
      <c r="B3007" s="214" t="s">
        <v>11506</v>
      </c>
      <c r="C3007" s="215" t="s">
        <v>580</v>
      </c>
      <c r="D3007" s="216">
        <v>265.85000000000002</v>
      </c>
      <c r="E3007" s="198"/>
      <c r="F3007" s="198"/>
      <c r="G3007" s="198"/>
      <c r="H3007" s="198"/>
      <c r="I3007" s="198"/>
      <c r="J3007" s="198"/>
      <c r="K3007" s="198"/>
      <c r="L3007" s="198"/>
      <c r="M3007" s="198"/>
      <c r="N3007" s="198"/>
      <c r="O3007" s="198"/>
      <c r="P3007" s="198"/>
      <c r="Q3007" s="198"/>
      <c r="R3007" s="198"/>
      <c r="S3007" s="198"/>
      <c r="T3007" s="198"/>
      <c r="U3007" s="198"/>
      <c r="V3007" s="198"/>
      <c r="W3007" s="198"/>
      <c r="X3007" s="198"/>
      <c r="Y3007" s="198"/>
      <c r="Z3007" s="198"/>
    </row>
    <row r="3008" spans="1:26" ht="15.75" hidden="1" customHeight="1" x14ac:dyDescent="0.25">
      <c r="A3008" s="213">
        <v>7226</v>
      </c>
      <c r="B3008" s="214" t="s">
        <v>11507</v>
      </c>
      <c r="C3008" s="215" t="s">
        <v>580</v>
      </c>
      <c r="D3008" s="216">
        <v>283.7</v>
      </c>
      <c r="E3008" s="198"/>
      <c r="F3008" s="198"/>
      <c r="G3008" s="198"/>
      <c r="H3008" s="198"/>
      <c r="I3008" s="198"/>
      <c r="J3008" s="198"/>
      <c r="K3008" s="198"/>
      <c r="L3008" s="198"/>
      <c r="M3008" s="198"/>
      <c r="N3008" s="198"/>
      <c r="O3008" s="198"/>
      <c r="P3008" s="198"/>
      <c r="Q3008" s="198"/>
      <c r="R3008" s="198"/>
      <c r="S3008" s="198"/>
      <c r="T3008" s="198"/>
      <c r="U3008" s="198"/>
      <c r="V3008" s="198"/>
      <c r="W3008" s="198"/>
      <c r="X3008" s="198"/>
      <c r="Y3008" s="198"/>
      <c r="Z3008" s="198"/>
    </row>
    <row r="3009" spans="1:26" ht="15.75" hidden="1" customHeight="1" x14ac:dyDescent="0.25">
      <c r="A3009" s="213">
        <v>7227</v>
      </c>
      <c r="B3009" s="214" t="s">
        <v>11508</v>
      </c>
      <c r="C3009" s="215" t="s">
        <v>580</v>
      </c>
      <c r="D3009" s="216">
        <v>322.92</v>
      </c>
      <c r="E3009" s="198"/>
      <c r="F3009" s="198"/>
      <c r="G3009" s="198"/>
      <c r="H3009" s="198"/>
      <c r="I3009" s="198"/>
      <c r="J3009" s="198"/>
      <c r="K3009" s="198"/>
      <c r="L3009" s="198"/>
      <c r="M3009" s="198"/>
      <c r="N3009" s="198"/>
      <c r="O3009" s="198"/>
      <c r="P3009" s="198"/>
      <c r="Q3009" s="198"/>
      <c r="R3009" s="198"/>
      <c r="S3009" s="198"/>
      <c r="T3009" s="198"/>
      <c r="U3009" s="198"/>
      <c r="V3009" s="198"/>
      <c r="W3009" s="198"/>
      <c r="X3009" s="198"/>
      <c r="Y3009" s="198"/>
      <c r="Z3009" s="198"/>
    </row>
    <row r="3010" spans="1:26" ht="15.75" hidden="1" customHeight="1" x14ac:dyDescent="0.25">
      <c r="A3010" s="213">
        <v>7212</v>
      </c>
      <c r="B3010" s="214" t="s">
        <v>11509</v>
      </c>
      <c r="C3010" s="215" t="s">
        <v>580</v>
      </c>
      <c r="D3010" s="216">
        <v>354.81</v>
      </c>
      <c r="E3010" s="198"/>
      <c r="F3010" s="198"/>
      <c r="G3010" s="198"/>
      <c r="H3010" s="198"/>
      <c r="I3010" s="198"/>
      <c r="J3010" s="198"/>
      <c r="K3010" s="198"/>
      <c r="L3010" s="198"/>
      <c r="M3010" s="198"/>
      <c r="N3010" s="198"/>
      <c r="O3010" s="198"/>
      <c r="P3010" s="198"/>
      <c r="Q3010" s="198"/>
      <c r="R3010" s="198"/>
      <c r="S3010" s="198"/>
      <c r="T3010" s="198"/>
      <c r="U3010" s="198"/>
      <c r="V3010" s="198"/>
      <c r="W3010" s="198"/>
      <c r="X3010" s="198"/>
      <c r="Y3010" s="198"/>
      <c r="Z3010" s="198"/>
    </row>
    <row r="3011" spans="1:26" ht="15.75" hidden="1" customHeight="1" x14ac:dyDescent="0.25">
      <c r="A3011" s="213">
        <v>7229</v>
      </c>
      <c r="B3011" s="214" t="s">
        <v>11510</v>
      </c>
      <c r="C3011" s="215" t="s">
        <v>580</v>
      </c>
      <c r="D3011" s="216">
        <v>224.9</v>
      </c>
      <c r="E3011" s="198"/>
      <c r="F3011" s="198"/>
      <c r="G3011" s="198"/>
      <c r="H3011" s="198"/>
      <c r="I3011" s="198"/>
      <c r="J3011" s="198"/>
      <c r="K3011" s="198"/>
      <c r="L3011" s="198"/>
      <c r="M3011" s="198"/>
      <c r="N3011" s="198"/>
      <c r="O3011" s="198"/>
      <c r="P3011" s="198"/>
      <c r="Q3011" s="198"/>
      <c r="R3011" s="198"/>
      <c r="S3011" s="198"/>
      <c r="T3011" s="198"/>
      <c r="U3011" s="198"/>
      <c r="V3011" s="198"/>
      <c r="W3011" s="198"/>
      <c r="X3011" s="198"/>
      <c r="Y3011" s="198"/>
      <c r="Z3011" s="198"/>
    </row>
    <row r="3012" spans="1:26" ht="15.75" hidden="1" customHeight="1" x14ac:dyDescent="0.25">
      <c r="A3012" s="213">
        <v>7230</v>
      </c>
      <c r="B3012" s="214" t="s">
        <v>11511</v>
      </c>
      <c r="C3012" s="215" t="s">
        <v>580</v>
      </c>
      <c r="D3012" s="216">
        <v>374.42</v>
      </c>
      <c r="E3012" s="198"/>
      <c r="F3012" s="198"/>
      <c r="G3012" s="198"/>
      <c r="H3012" s="198"/>
      <c r="I3012" s="198"/>
      <c r="J3012" s="198"/>
      <c r="K3012" s="198"/>
      <c r="L3012" s="198"/>
      <c r="M3012" s="198"/>
      <c r="N3012" s="198"/>
      <c r="O3012" s="198"/>
      <c r="P3012" s="198"/>
      <c r="Q3012" s="198"/>
      <c r="R3012" s="198"/>
      <c r="S3012" s="198"/>
      <c r="T3012" s="198"/>
      <c r="U3012" s="198"/>
      <c r="V3012" s="198"/>
      <c r="W3012" s="198"/>
      <c r="X3012" s="198"/>
      <c r="Y3012" s="198"/>
      <c r="Z3012" s="198"/>
    </row>
    <row r="3013" spans="1:26" ht="15.75" hidden="1" customHeight="1" x14ac:dyDescent="0.25">
      <c r="A3013" s="213">
        <v>7231</v>
      </c>
      <c r="B3013" s="214" t="s">
        <v>11512</v>
      </c>
      <c r="C3013" s="215" t="s">
        <v>580</v>
      </c>
      <c r="D3013" s="216">
        <v>531.15</v>
      </c>
      <c r="E3013" s="198"/>
      <c r="F3013" s="198"/>
      <c r="G3013" s="198"/>
      <c r="H3013" s="198"/>
      <c r="I3013" s="198"/>
      <c r="J3013" s="198"/>
      <c r="K3013" s="198"/>
      <c r="L3013" s="198"/>
      <c r="M3013" s="198"/>
      <c r="N3013" s="198"/>
      <c r="O3013" s="198"/>
      <c r="P3013" s="198"/>
      <c r="Q3013" s="198"/>
      <c r="R3013" s="198"/>
      <c r="S3013" s="198"/>
      <c r="T3013" s="198"/>
      <c r="U3013" s="198"/>
      <c r="V3013" s="198"/>
      <c r="W3013" s="198"/>
      <c r="X3013" s="198"/>
      <c r="Y3013" s="198"/>
      <c r="Z3013" s="198"/>
    </row>
    <row r="3014" spans="1:26" ht="15.75" hidden="1" customHeight="1" x14ac:dyDescent="0.25">
      <c r="A3014" s="213">
        <v>7220</v>
      </c>
      <c r="B3014" s="214" t="s">
        <v>11513</v>
      </c>
      <c r="C3014" s="215" t="s">
        <v>580</v>
      </c>
      <c r="D3014" s="216">
        <v>655.65</v>
      </c>
      <c r="E3014" s="198"/>
      <c r="F3014" s="198"/>
      <c r="G3014" s="198"/>
      <c r="H3014" s="198"/>
      <c r="I3014" s="198"/>
      <c r="J3014" s="198"/>
      <c r="K3014" s="198"/>
      <c r="L3014" s="198"/>
      <c r="M3014" s="198"/>
      <c r="N3014" s="198"/>
      <c r="O3014" s="198"/>
      <c r="P3014" s="198"/>
      <c r="Q3014" s="198"/>
      <c r="R3014" s="198"/>
      <c r="S3014" s="198"/>
      <c r="T3014" s="198"/>
      <c r="U3014" s="198"/>
      <c r="V3014" s="198"/>
      <c r="W3014" s="198"/>
      <c r="X3014" s="198"/>
      <c r="Y3014" s="198"/>
      <c r="Z3014" s="198"/>
    </row>
    <row r="3015" spans="1:26" ht="15.75" hidden="1" customHeight="1" x14ac:dyDescent="0.25">
      <c r="A3015" s="213">
        <v>34447</v>
      </c>
      <c r="B3015" s="214" t="s">
        <v>11514</v>
      </c>
      <c r="C3015" s="215" t="s">
        <v>580</v>
      </c>
      <c r="D3015" s="216">
        <v>733.11</v>
      </c>
      <c r="E3015" s="198"/>
      <c r="F3015" s="198"/>
      <c r="G3015" s="198"/>
      <c r="H3015" s="198"/>
      <c r="I3015" s="198"/>
      <c r="J3015" s="198"/>
      <c r="K3015" s="198"/>
      <c r="L3015" s="198"/>
      <c r="M3015" s="198"/>
      <c r="N3015" s="198"/>
      <c r="O3015" s="198"/>
      <c r="P3015" s="198"/>
      <c r="Q3015" s="198"/>
      <c r="R3015" s="198"/>
      <c r="S3015" s="198"/>
      <c r="T3015" s="198"/>
      <c r="U3015" s="198"/>
      <c r="V3015" s="198"/>
      <c r="W3015" s="198"/>
      <c r="X3015" s="198"/>
      <c r="Y3015" s="198"/>
      <c r="Z3015" s="198"/>
    </row>
    <row r="3016" spans="1:26" ht="15.75" hidden="1" customHeight="1" x14ac:dyDescent="0.25">
      <c r="A3016" s="213">
        <v>7233</v>
      </c>
      <c r="B3016" s="214" t="s">
        <v>11515</v>
      </c>
      <c r="C3016" s="215" t="s">
        <v>580</v>
      </c>
      <c r="D3016" s="216">
        <v>841</v>
      </c>
      <c r="E3016" s="198"/>
      <c r="F3016" s="198"/>
      <c r="G3016" s="198"/>
      <c r="H3016" s="198"/>
      <c r="I3016" s="198"/>
      <c r="J3016" s="198"/>
      <c r="K3016" s="198"/>
      <c r="L3016" s="198"/>
      <c r="M3016" s="198"/>
      <c r="N3016" s="198"/>
      <c r="O3016" s="198"/>
      <c r="P3016" s="198"/>
      <c r="Q3016" s="198"/>
      <c r="R3016" s="198"/>
      <c r="S3016" s="198"/>
      <c r="T3016" s="198"/>
      <c r="U3016" s="198"/>
      <c r="V3016" s="198"/>
      <c r="W3016" s="198"/>
      <c r="X3016" s="198"/>
      <c r="Y3016" s="198"/>
      <c r="Z3016" s="198"/>
    </row>
    <row r="3017" spans="1:26" ht="15.75" hidden="1" customHeight="1" x14ac:dyDescent="0.25">
      <c r="A3017" s="213">
        <v>7246</v>
      </c>
      <c r="B3017" s="214" t="s">
        <v>11516</v>
      </c>
      <c r="C3017" s="215" t="s">
        <v>580</v>
      </c>
      <c r="D3017" s="216">
        <v>32.159999999999997</v>
      </c>
      <c r="E3017" s="198"/>
      <c r="F3017" s="198"/>
      <c r="G3017" s="198"/>
      <c r="H3017" s="198"/>
      <c r="I3017" s="198"/>
      <c r="J3017" s="198"/>
      <c r="K3017" s="198"/>
      <c r="L3017" s="198"/>
      <c r="M3017" s="198"/>
      <c r="N3017" s="198"/>
      <c r="O3017" s="198"/>
      <c r="P3017" s="198"/>
      <c r="Q3017" s="198"/>
      <c r="R3017" s="198"/>
      <c r="S3017" s="198"/>
      <c r="T3017" s="198"/>
      <c r="U3017" s="198"/>
      <c r="V3017" s="198"/>
      <c r="W3017" s="198"/>
      <c r="X3017" s="198"/>
      <c r="Y3017" s="198"/>
      <c r="Z3017" s="198"/>
    </row>
    <row r="3018" spans="1:26" ht="15.75" hidden="1" customHeight="1" x14ac:dyDescent="0.25">
      <c r="A3018" s="213">
        <v>12869</v>
      </c>
      <c r="B3018" s="214" t="s">
        <v>11517</v>
      </c>
      <c r="C3018" s="215" t="s">
        <v>2193</v>
      </c>
      <c r="D3018" s="216">
        <v>26.74</v>
      </c>
      <c r="E3018" s="198"/>
      <c r="F3018" s="198"/>
      <c r="G3018" s="198"/>
      <c r="H3018" s="198"/>
      <c r="I3018" s="198"/>
      <c r="J3018" s="198"/>
      <c r="K3018" s="198"/>
      <c r="L3018" s="198"/>
      <c r="M3018" s="198"/>
      <c r="N3018" s="198"/>
      <c r="O3018" s="198"/>
      <c r="P3018" s="198"/>
      <c r="Q3018" s="198"/>
      <c r="R3018" s="198"/>
      <c r="S3018" s="198"/>
      <c r="T3018" s="198"/>
      <c r="U3018" s="198"/>
      <c r="V3018" s="198"/>
      <c r="W3018" s="198"/>
      <c r="X3018" s="198"/>
      <c r="Y3018" s="198"/>
      <c r="Z3018" s="198"/>
    </row>
    <row r="3019" spans="1:26" ht="15.75" hidden="1" customHeight="1" x14ac:dyDescent="0.25">
      <c r="A3019" s="213">
        <v>41097</v>
      </c>
      <c r="B3019" s="214" t="s">
        <v>11518</v>
      </c>
      <c r="C3019" s="215" t="s">
        <v>6214</v>
      </c>
      <c r="D3019" s="216">
        <v>4691.1000000000004</v>
      </c>
      <c r="E3019" s="198"/>
      <c r="F3019" s="198"/>
      <c r="G3019" s="198"/>
      <c r="H3019" s="198"/>
      <c r="I3019" s="198"/>
      <c r="J3019" s="198"/>
      <c r="K3019" s="198"/>
      <c r="L3019" s="198"/>
      <c r="M3019" s="198"/>
      <c r="N3019" s="198"/>
      <c r="O3019" s="198"/>
      <c r="P3019" s="198"/>
      <c r="Q3019" s="198"/>
      <c r="R3019" s="198"/>
      <c r="S3019" s="198"/>
      <c r="T3019" s="198"/>
      <c r="U3019" s="198"/>
      <c r="V3019" s="198"/>
      <c r="W3019" s="198"/>
      <c r="X3019" s="198"/>
      <c r="Y3019" s="198"/>
      <c r="Z3019" s="198"/>
    </row>
    <row r="3020" spans="1:26" ht="15.75" hidden="1" customHeight="1" x14ac:dyDescent="0.25">
      <c r="A3020" s="213">
        <v>1574</v>
      </c>
      <c r="B3020" s="214" t="s">
        <v>11519</v>
      </c>
      <c r="C3020" s="215" t="s">
        <v>580</v>
      </c>
      <c r="D3020" s="216">
        <v>1.87</v>
      </c>
      <c r="E3020" s="198"/>
      <c r="F3020" s="198"/>
      <c r="G3020" s="198"/>
      <c r="H3020" s="198"/>
      <c r="I3020" s="198"/>
      <c r="J3020" s="198"/>
      <c r="K3020" s="198"/>
      <c r="L3020" s="198"/>
      <c r="M3020" s="198"/>
      <c r="N3020" s="198"/>
      <c r="O3020" s="198"/>
      <c r="P3020" s="198"/>
      <c r="Q3020" s="198"/>
      <c r="R3020" s="198"/>
      <c r="S3020" s="198"/>
      <c r="T3020" s="198"/>
      <c r="U3020" s="198"/>
      <c r="V3020" s="198"/>
      <c r="W3020" s="198"/>
      <c r="X3020" s="198"/>
      <c r="Y3020" s="198"/>
      <c r="Z3020" s="198"/>
    </row>
    <row r="3021" spans="1:26" ht="15.75" hidden="1" customHeight="1" x14ac:dyDescent="0.25">
      <c r="A3021" s="213">
        <v>1581</v>
      </c>
      <c r="B3021" s="214" t="s">
        <v>11520</v>
      </c>
      <c r="C3021" s="215" t="s">
        <v>580</v>
      </c>
      <c r="D3021" s="216">
        <v>13.01</v>
      </c>
      <c r="E3021" s="198"/>
      <c r="F3021" s="198"/>
      <c r="G3021" s="198"/>
      <c r="H3021" s="198"/>
      <c r="I3021" s="198"/>
      <c r="J3021" s="198"/>
      <c r="K3021" s="198"/>
      <c r="L3021" s="198"/>
      <c r="M3021" s="198"/>
      <c r="N3021" s="198"/>
      <c r="O3021" s="198"/>
      <c r="P3021" s="198"/>
      <c r="Q3021" s="198"/>
      <c r="R3021" s="198"/>
      <c r="S3021" s="198"/>
      <c r="T3021" s="198"/>
      <c r="U3021" s="198"/>
      <c r="V3021" s="198"/>
      <c r="W3021" s="198"/>
      <c r="X3021" s="198"/>
      <c r="Y3021" s="198"/>
      <c r="Z3021" s="198"/>
    </row>
    <row r="3022" spans="1:26" ht="15.75" hidden="1" customHeight="1" x14ac:dyDescent="0.25">
      <c r="A3022" s="213">
        <v>1575</v>
      </c>
      <c r="B3022" s="214" t="s">
        <v>11521</v>
      </c>
      <c r="C3022" s="215" t="s">
        <v>580</v>
      </c>
      <c r="D3022" s="216">
        <v>2.23</v>
      </c>
      <c r="E3022" s="198"/>
      <c r="F3022" s="198"/>
      <c r="G3022" s="198"/>
      <c r="H3022" s="198"/>
      <c r="I3022" s="198"/>
      <c r="J3022" s="198"/>
      <c r="K3022" s="198"/>
      <c r="L3022" s="198"/>
      <c r="M3022" s="198"/>
      <c r="N3022" s="198"/>
      <c r="O3022" s="198"/>
      <c r="P3022" s="198"/>
      <c r="Q3022" s="198"/>
      <c r="R3022" s="198"/>
      <c r="S3022" s="198"/>
      <c r="T3022" s="198"/>
      <c r="U3022" s="198"/>
      <c r="V3022" s="198"/>
      <c r="W3022" s="198"/>
      <c r="X3022" s="198"/>
      <c r="Y3022" s="198"/>
      <c r="Z3022" s="198"/>
    </row>
    <row r="3023" spans="1:26" ht="15.75" hidden="1" customHeight="1" x14ac:dyDescent="0.25">
      <c r="A3023" s="213">
        <v>1570</v>
      </c>
      <c r="B3023" s="214" t="s">
        <v>11522</v>
      </c>
      <c r="C3023" s="215" t="s">
        <v>580</v>
      </c>
      <c r="D3023" s="216">
        <v>1.1200000000000001</v>
      </c>
      <c r="E3023" s="198"/>
      <c r="F3023" s="198"/>
      <c r="G3023" s="198"/>
      <c r="H3023" s="198"/>
      <c r="I3023" s="198"/>
      <c r="J3023" s="198"/>
      <c r="K3023" s="198"/>
      <c r="L3023" s="198"/>
      <c r="M3023" s="198"/>
      <c r="N3023" s="198"/>
      <c r="O3023" s="198"/>
      <c r="P3023" s="198"/>
      <c r="Q3023" s="198"/>
      <c r="R3023" s="198"/>
      <c r="S3023" s="198"/>
      <c r="T3023" s="198"/>
      <c r="U3023" s="198"/>
      <c r="V3023" s="198"/>
      <c r="W3023" s="198"/>
      <c r="X3023" s="198"/>
      <c r="Y3023" s="198"/>
      <c r="Z3023" s="198"/>
    </row>
    <row r="3024" spans="1:26" ht="15.75" hidden="1" customHeight="1" x14ac:dyDescent="0.25">
      <c r="A3024" s="213">
        <v>1576</v>
      </c>
      <c r="B3024" s="214" t="s">
        <v>11523</v>
      </c>
      <c r="C3024" s="215" t="s">
        <v>580</v>
      </c>
      <c r="D3024" s="216">
        <v>3.08</v>
      </c>
      <c r="E3024" s="198"/>
      <c r="F3024" s="198"/>
      <c r="G3024" s="198"/>
      <c r="H3024" s="198"/>
      <c r="I3024" s="198"/>
      <c r="J3024" s="198"/>
      <c r="K3024" s="198"/>
      <c r="L3024" s="198"/>
      <c r="M3024" s="198"/>
      <c r="N3024" s="198"/>
      <c r="O3024" s="198"/>
      <c r="P3024" s="198"/>
      <c r="Q3024" s="198"/>
      <c r="R3024" s="198"/>
      <c r="S3024" s="198"/>
      <c r="T3024" s="198"/>
      <c r="U3024" s="198"/>
      <c r="V3024" s="198"/>
      <c r="W3024" s="198"/>
      <c r="X3024" s="198"/>
      <c r="Y3024" s="198"/>
      <c r="Z3024" s="198"/>
    </row>
    <row r="3025" spans="1:26" ht="15.75" hidden="1" customHeight="1" x14ac:dyDescent="0.25">
      <c r="A3025" s="213">
        <v>1577</v>
      </c>
      <c r="B3025" s="214" t="s">
        <v>11524</v>
      </c>
      <c r="C3025" s="215" t="s">
        <v>580</v>
      </c>
      <c r="D3025" s="216">
        <v>3.47</v>
      </c>
      <c r="E3025" s="198"/>
      <c r="F3025" s="198"/>
      <c r="G3025" s="198"/>
      <c r="H3025" s="198"/>
      <c r="I3025" s="198"/>
      <c r="J3025" s="198"/>
      <c r="K3025" s="198"/>
      <c r="L3025" s="198"/>
      <c r="M3025" s="198"/>
      <c r="N3025" s="198"/>
      <c r="O3025" s="198"/>
      <c r="P3025" s="198"/>
      <c r="Q3025" s="198"/>
      <c r="R3025" s="198"/>
      <c r="S3025" s="198"/>
      <c r="T3025" s="198"/>
      <c r="U3025" s="198"/>
      <c r="V3025" s="198"/>
      <c r="W3025" s="198"/>
      <c r="X3025" s="198"/>
      <c r="Y3025" s="198"/>
      <c r="Z3025" s="198"/>
    </row>
    <row r="3026" spans="1:26" ht="15.75" hidden="1" customHeight="1" x14ac:dyDescent="0.25">
      <c r="A3026" s="213">
        <v>1571</v>
      </c>
      <c r="B3026" s="214" t="s">
        <v>11525</v>
      </c>
      <c r="C3026" s="215" t="s">
        <v>580</v>
      </c>
      <c r="D3026" s="216">
        <v>1.45</v>
      </c>
      <c r="E3026" s="198"/>
      <c r="F3026" s="198"/>
      <c r="G3026" s="198"/>
      <c r="H3026" s="198"/>
      <c r="I3026" s="198"/>
      <c r="J3026" s="198"/>
      <c r="K3026" s="198"/>
      <c r="L3026" s="198"/>
      <c r="M3026" s="198"/>
      <c r="N3026" s="198"/>
      <c r="O3026" s="198"/>
      <c r="P3026" s="198"/>
      <c r="Q3026" s="198"/>
      <c r="R3026" s="198"/>
      <c r="S3026" s="198"/>
      <c r="T3026" s="198"/>
      <c r="U3026" s="198"/>
      <c r="V3026" s="198"/>
      <c r="W3026" s="198"/>
      <c r="X3026" s="198"/>
      <c r="Y3026" s="198"/>
      <c r="Z3026" s="198"/>
    </row>
    <row r="3027" spans="1:26" ht="15.75" hidden="1" customHeight="1" x14ac:dyDescent="0.25">
      <c r="A3027" s="213">
        <v>1578</v>
      </c>
      <c r="B3027" s="214" t="s">
        <v>11526</v>
      </c>
      <c r="C3027" s="215" t="s">
        <v>580</v>
      </c>
      <c r="D3027" s="216">
        <v>6.03</v>
      </c>
      <c r="E3027" s="198"/>
      <c r="F3027" s="198"/>
      <c r="G3027" s="198"/>
      <c r="H3027" s="198"/>
      <c r="I3027" s="198"/>
      <c r="J3027" s="198"/>
      <c r="K3027" s="198"/>
      <c r="L3027" s="198"/>
      <c r="M3027" s="198"/>
      <c r="N3027" s="198"/>
      <c r="O3027" s="198"/>
      <c r="P3027" s="198"/>
      <c r="Q3027" s="198"/>
      <c r="R3027" s="198"/>
      <c r="S3027" s="198"/>
      <c r="T3027" s="198"/>
      <c r="U3027" s="198"/>
      <c r="V3027" s="198"/>
      <c r="W3027" s="198"/>
      <c r="X3027" s="198"/>
      <c r="Y3027" s="198"/>
      <c r="Z3027" s="198"/>
    </row>
    <row r="3028" spans="1:26" ht="15.75" hidden="1" customHeight="1" x14ac:dyDescent="0.25">
      <c r="A3028" s="213">
        <v>1573</v>
      </c>
      <c r="B3028" s="214" t="s">
        <v>11527</v>
      </c>
      <c r="C3028" s="215" t="s">
        <v>580</v>
      </c>
      <c r="D3028" s="216">
        <v>1.73</v>
      </c>
      <c r="E3028" s="198"/>
      <c r="F3028" s="198"/>
      <c r="G3028" s="198"/>
      <c r="H3028" s="198"/>
      <c r="I3028" s="198"/>
      <c r="J3028" s="198"/>
      <c r="K3028" s="198"/>
      <c r="L3028" s="198"/>
      <c r="M3028" s="198"/>
      <c r="N3028" s="198"/>
      <c r="O3028" s="198"/>
      <c r="P3028" s="198"/>
      <c r="Q3028" s="198"/>
      <c r="R3028" s="198"/>
      <c r="S3028" s="198"/>
      <c r="T3028" s="198"/>
      <c r="U3028" s="198"/>
      <c r="V3028" s="198"/>
      <c r="W3028" s="198"/>
      <c r="X3028" s="198"/>
      <c r="Y3028" s="198"/>
      <c r="Z3028" s="198"/>
    </row>
    <row r="3029" spans="1:26" ht="15.75" hidden="1" customHeight="1" x14ac:dyDescent="0.25">
      <c r="A3029" s="213">
        <v>1579</v>
      </c>
      <c r="B3029" s="214" t="s">
        <v>11528</v>
      </c>
      <c r="C3029" s="215" t="s">
        <v>580</v>
      </c>
      <c r="D3029" s="216">
        <v>7.51</v>
      </c>
      <c r="E3029" s="198"/>
      <c r="F3029" s="198"/>
      <c r="G3029" s="198"/>
      <c r="H3029" s="198"/>
      <c r="I3029" s="198"/>
      <c r="J3029" s="198"/>
      <c r="K3029" s="198"/>
      <c r="L3029" s="198"/>
      <c r="M3029" s="198"/>
      <c r="N3029" s="198"/>
      <c r="O3029" s="198"/>
      <c r="P3029" s="198"/>
      <c r="Q3029" s="198"/>
      <c r="R3029" s="198"/>
      <c r="S3029" s="198"/>
      <c r="T3029" s="198"/>
      <c r="U3029" s="198"/>
      <c r="V3029" s="198"/>
      <c r="W3029" s="198"/>
      <c r="X3029" s="198"/>
      <c r="Y3029" s="198"/>
      <c r="Z3029" s="198"/>
    </row>
    <row r="3030" spans="1:26" ht="15.75" hidden="1" customHeight="1" x14ac:dyDescent="0.25">
      <c r="A3030" s="213">
        <v>1580</v>
      </c>
      <c r="B3030" s="214" t="s">
        <v>11529</v>
      </c>
      <c r="C3030" s="215" t="s">
        <v>580</v>
      </c>
      <c r="D3030" s="216">
        <v>9.25</v>
      </c>
      <c r="E3030" s="198"/>
      <c r="F3030" s="198"/>
      <c r="G3030" s="198"/>
      <c r="H3030" s="198"/>
      <c r="I3030" s="198"/>
      <c r="J3030" s="198"/>
      <c r="K3030" s="198"/>
      <c r="L3030" s="198"/>
      <c r="M3030" s="198"/>
      <c r="N3030" s="198"/>
      <c r="O3030" s="198"/>
      <c r="P3030" s="198"/>
      <c r="Q3030" s="198"/>
      <c r="R3030" s="198"/>
      <c r="S3030" s="198"/>
      <c r="T3030" s="198"/>
      <c r="U3030" s="198"/>
      <c r="V3030" s="198"/>
      <c r="W3030" s="198"/>
      <c r="X3030" s="198"/>
      <c r="Y3030" s="198"/>
      <c r="Z3030" s="198"/>
    </row>
    <row r="3031" spans="1:26" ht="15.75" hidden="1" customHeight="1" x14ac:dyDescent="0.25">
      <c r="A3031" s="213">
        <v>39321</v>
      </c>
      <c r="B3031" s="214" t="s">
        <v>11530</v>
      </c>
      <c r="C3031" s="215" t="s">
        <v>580</v>
      </c>
      <c r="D3031" s="216">
        <v>21.14</v>
      </c>
      <c r="E3031" s="198"/>
      <c r="F3031" s="198"/>
      <c r="G3031" s="198"/>
      <c r="H3031" s="198"/>
      <c r="I3031" s="198"/>
      <c r="J3031" s="198"/>
      <c r="K3031" s="198"/>
      <c r="L3031" s="198"/>
      <c r="M3031" s="198"/>
      <c r="N3031" s="198"/>
      <c r="O3031" s="198"/>
      <c r="P3031" s="198"/>
      <c r="Q3031" s="198"/>
      <c r="R3031" s="198"/>
      <c r="S3031" s="198"/>
      <c r="T3031" s="198"/>
      <c r="U3031" s="198"/>
      <c r="V3031" s="198"/>
      <c r="W3031" s="198"/>
      <c r="X3031" s="198"/>
      <c r="Y3031" s="198"/>
      <c r="Z3031" s="198"/>
    </row>
    <row r="3032" spans="1:26" ht="15.75" hidden="1" customHeight="1" x14ac:dyDescent="0.25">
      <c r="A3032" s="213">
        <v>39319</v>
      </c>
      <c r="B3032" s="214" t="s">
        <v>11531</v>
      </c>
      <c r="C3032" s="215" t="s">
        <v>580</v>
      </c>
      <c r="D3032" s="216">
        <v>8.8000000000000007</v>
      </c>
      <c r="E3032" s="198"/>
      <c r="F3032" s="198"/>
      <c r="G3032" s="198"/>
      <c r="H3032" s="198"/>
      <c r="I3032" s="198"/>
      <c r="J3032" s="198"/>
      <c r="K3032" s="198"/>
      <c r="L3032" s="198"/>
      <c r="M3032" s="198"/>
      <c r="N3032" s="198"/>
      <c r="O3032" s="198"/>
      <c r="P3032" s="198"/>
      <c r="Q3032" s="198"/>
      <c r="R3032" s="198"/>
      <c r="S3032" s="198"/>
      <c r="T3032" s="198"/>
      <c r="U3032" s="198"/>
      <c r="V3032" s="198"/>
      <c r="W3032" s="198"/>
      <c r="X3032" s="198"/>
      <c r="Y3032" s="198"/>
      <c r="Z3032" s="198"/>
    </row>
    <row r="3033" spans="1:26" ht="15.75" hidden="1" customHeight="1" x14ac:dyDescent="0.25">
      <c r="A3033" s="213">
        <v>39320</v>
      </c>
      <c r="B3033" s="214" t="s">
        <v>11532</v>
      </c>
      <c r="C3033" s="215" t="s">
        <v>580</v>
      </c>
      <c r="D3033" s="216">
        <v>16.920000000000002</v>
      </c>
      <c r="E3033" s="198"/>
      <c r="F3033" s="198"/>
      <c r="G3033" s="198"/>
      <c r="H3033" s="198"/>
      <c r="I3033" s="198"/>
      <c r="J3033" s="198"/>
      <c r="K3033" s="198"/>
      <c r="L3033" s="198"/>
      <c r="M3033" s="198"/>
      <c r="N3033" s="198"/>
      <c r="O3033" s="198"/>
      <c r="P3033" s="198"/>
      <c r="Q3033" s="198"/>
      <c r="R3033" s="198"/>
      <c r="S3033" s="198"/>
      <c r="T3033" s="198"/>
      <c r="U3033" s="198"/>
      <c r="V3033" s="198"/>
      <c r="W3033" s="198"/>
      <c r="X3033" s="198"/>
      <c r="Y3033" s="198"/>
      <c r="Z3033" s="198"/>
    </row>
    <row r="3034" spans="1:26" ht="15.75" hidden="1" customHeight="1" x14ac:dyDescent="0.25">
      <c r="A3034" s="213">
        <v>1542</v>
      </c>
      <c r="B3034" s="214" t="s">
        <v>11533</v>
      </c>
      <c r="C3034" s="215" t="s">
        <v>580</v>
      </c>
      <c r="D3034" s="216">
        <v>25.64</v>
      </c>
      <c r="E3034" s="198"/>
      <c r="F3034" s="198"/>
      <c r="G3034" s="198"/>
      <c r="H3034" s="198"/>
      <c r="I3034" s="198"/>
      <c r="J3034" s="198"/>
      <c r="K3034" s="198"/>
      <c r="L3034" s="198"/>
      <c r="M3034" s="198"/>
      <c r="N3034" s="198"/>
      <c r="O3034" s="198"/>
      <c r="P3034" s="198"/>
      <c r="Q3034" s="198"/>
      <c r="R3034" s="198"/>
      <c r="S3034" s="198"/>
      <c r="T3034" s="198"/>
      <c r="U3034" s="198"/>
      <c r="V3034" s="198"/>
      <c r="W3034" s="198"/>
      <c r="X3034" s="198"/>
      <c r="Y3034" s="198"/>
      <c r="Z3034" s="198"/>
    </row>
    <row r="3035" spans="1:26" ht="15.75" hidden="1" customHeight="1" x14ac:dyDescent="0.25">
      <c r="A3035" s="213">
        <v>1591</v>
      </c>
      <c r="B3035" s="214" t="s">
        <v>11534</v>
      </c>
      <c r="C3035" s="215" t="s">
        <v>580</v>
      </c>
      <c r="D3035" s="216">
        <v>28.69</v>
      </c>
      <c r="E3035" s="198"/>
      <c r="F3035" s="198"/>
      <c r="G3035" s="198"/>
      <c r="H3035" s="198"/>
      <c r="I3035" s="198"/>
      <c r="J3035" s="198"/>
      <c r="K3035" s="198"/>
      <c r="L3035" s="198"/>
      <c r="M3035" s="198"/>
      <c r="N3035" s="198"/>
      <c r="O3035" s="198"/>
      <c r="P3035" s="198"/>
      <c r="Q3035" s="198"/>
      <c r="R3035" s="198"/>
      <c r="S3035" s="198"/>
      <c r="T3035" s="198"/>
      <c r="U3035" s="198"/>
      <c r="V3035" s="198"/>
      <c r="W3035" s="198"/>
      <c r="X3035" s="198"/>
      <c r="Y3035" s="198"/>
      <c r="Z3035" s="198"/>
    </row>
    <row r="3036" spans="1:26" ht="15.75" hidden="1" customHeight="1" x14ac:dyDescent="0.25">
      <c r="A3036" s="213">
        <v>1547</v>
      </c>
      <c r="B3036" s="214" t="s">
        <v>11535</v>
      </c>
      <c r="C3036" s="215" t="s">
        <v>580</v>
      </c>
      <c r="D3036" s="216">
        <v>150.36000000000001</v>
      </c>
      <c r="E3036" s="198"/>
      <c r="F3036" s="198"/>
      <c r="G3036" s="198"/>
      <c r="H3036" s="198"/>
      <c r="I3036" s="198"/>
      <c r="J3036" s="198"/>
      <c r="K3036" s="198"/>
      <c r="L3036" s="198"/>
      <c r="M3036" s="198"/>
      <c r="N3036" s="198"/>
      <c r="O3036" s="198"/>
      <c r="P3036" s="198"/>
      <c r="Q3036" s="198"/>
      <c r="R3036" s="198"/>
      <c r="S3036" s="198"/>
      <c r="T3036" s="198"/>
      <c r="U3036" s="198"/>
      <c r="V3036" s="198"/>
      <c r="W3036" s="198"/>
      <c r="X3036" s="198"/>
      <c r="Y3036" s="198"/>
      <c r="Z3036" s="198"/>
    </row>
    <row r="3037" spans="1:26" ht="15.75" hidden="1" customHeight="1" x14ac:dyDescent="0.25">
      <c r="A3037" s="213">
        <v>38196</v>
      </c>
      <c r="B3037" s="214" t="s">
        <v>11536</v>
      </c>
      <c r="C3037" s="215" t="s">
        <v>580</v>
      </c>
      <c r="D3037" s="216">
        <v>29.28</v>
      </c>
      <c r="E3037" s="198"/>
      <c r="F3037" s="198"/>
      <c r="G3037" s="198"/>
      <c r="H3037" s="198"/>
      <c r="I3037" s="198"/>
      <c r="J3037" s="198"/>
      <c r="K3037" s="198"/>
      <c r="L3037" s="198"/>
      <c r="M3037" s="198"/>
      <c r="N3037" s="198"/>
      <c r="O3037" s="198"/>
      <c r="P3037" s="198"/>
      <c r="Q3037" s="198"/>
      <c r="R3037" s="198"/>
      <c r="S3037" s="198"/>
      <c r="T3037" s="198"/>
      <c r="U3037" s="198"/>
      <c r="V3037" s="198"/>
      <c r="W3037" s="198"/>
      <c r="X3037" s="198"/>
      <c r="Y3037" s="198"/>
      <c r="Z3037" s="198"/>
    </row>
    <row r="3038" spans="1:26" ht="15.75" hidden="1" customHeight="1" x14ac:dyDescent="0.25">
      <c r="A3038" s="213">
        <v>1543</v>
      </c>
      <c r="B3038" s="214" t="s">
        <v>11537</v>
      </c>
      <c r="C3038" s="215" t="s">
        <v>580</v>
      </c>
      <c r="D3038" s="216">
        <v>31.12</v>
      </c>
      <c r="E3038" s="198"/>
      <c r="F3038" s="198"/>
      <c r="G3038" s="198"/>
      <c r="H3038" s="198"/>
      <c r="I3038" s="198"/>
      <c r="J3038" s="198"/>
      <c r="K3038" s="198"/>
      <c r="L3038" s="198"/>
      <c r="M3038" s="198"/>
      <c r="N3038" s="198"/>
      <c r="O3038" s="198"/>
      <c r="P3038" s="198"/>
      <c r="Q3038" s="198"/>
      <c r="R3038" s="198"/>
      <c r="S3038" s="198"/>
      <c r="T3038" s="198"/>
      <c r="U3038" s="198"/>
      <c r="V3038" s="198"/>
      <c r="W3038" s="198"/>
      <c r="X3038" s="198"/>
      <c r="Y3038" s="198"/>
      <c r="Z3038" s="198"/>
    </row>
    <row r="3039" spans="1:26" ht="15.75" hidden="1" customHeight="1" x14ac:dyDescent="0.25">
      <c r="A3039" s="213">
        <v>1585</v>
      </c>
      <c r="B3039" s="214" t="s">
        <v>11538</v>
      </c>
      <c r="C3039" s="215" t="s">
        <v>580</v>
      </c>
      <c r="D3039" s="216">
        <v>6.03</v>
      </c>
      <c r="E3039" s="198"/>
      <c r="F3039" s="198"/>
      <c r="G3039" s="198"/>
      <c r="H3039" s="198"/>
      <c r="I3039" s="198"/>
      <c r="J3039" s="198"/>
      <c r="K3039" s="198"/>
      <c r="L3039" s="198"/>
      <c r="M3039" s="198"/>
      <c r="N3039" s="198"/>
      <c r="O3039" s="198"/>
      <c r="P3039" s="198"/>
      <c r="Q3039" s="198"/>
      <c r="R3039" s="198"/>
      <c r="S3039" s="198"/>
      <c r="T3039" s="198"/>
      <c r="U3039" s="198"/>
      <c r="V3039" s="198"/>
      <c r="W3039" s="198"/>
      <c r="X3039" s="198"/>
      <c r="Y3039" s="198"/>
      <c r="Z3039" s="198"/>
    </row>
    <row r="3040" spans="1:26" ht="15.75" hidden="1" customHeight="1" x14ac:dyDescent="0.25">
      <c r="A3040" s="213">
        <v>1593</v>
      </c>
      <c r="B3040" s="214" t="s">
        <v>11539</v>
      </c>
      <c r="C3040" s="215" t="s">
        <v>580</v>
      </c>
      <c r="D3040" s="216">
        <v>32</v>
      </c>
      <c r="E3040" s="198"/>
      <c r="F3040" s="198"/>
      <c r="G3040" s="198"/>
      <c r="H3040" s="198"/>
      <c r="I3040" s="198"/>
      <c r="J3040" s="198"/>
      <c r="K3040" s="198"/>
      <c r="L3040" s="198"/>
      <c r="M3040" s="198"/>
      <c r="N3040" s="198"/>
      <c r="O3040" s="198"/>
      <c r="P3040" s="198"/>
      <c r="Q3040" s="198"/>
      <c r="R3040" s="198"/>
      <c r="S3040" s="198"/>
      <c r="T3040" s="198"/>
      <c r="U3040" s="198"/>
      <c r="V3040" s="198"/>
      <c r="W3040" s="198"/>
      <c r="X3040" s="198"/>
      <c r="Y3040" s="198"/>
      <c r="Z3040" s="198"/>
    </row>
    <row r="3041" spans="1:26" ht="15.75" hidden="1" customHeight="1" x14ac:dyDescent="0.25">
      <c r="A3041" s="213">
        <v>11838</v>
      </c>
      <c r="B3041" s="214" t="s">
        <v>11540</v>
      </c>
      <c r="C3041" s="215" t="s">
        <v>580</v>
      </c>
      <c r="D3041" s="216">
        <v>42.23</v>
      </c>
      <c r="E3041" s="198"/>
      <c r="F3041" s="198"/>
      <c r="G3041" s="198"/>
      <c r="H3041" s="198"/>
      <c r="I3041" s="198"/>
      <c r="J3041" s="198"/>
      <c r="K3041" s="198"/>
      <c r="L3041" s="198"/>
      <c r="M3041" s="198"/>
      <c r="N3041" s="198"/>
      <c r="O3041" s="198"/>
      <c r="P3041" s="198"/>
      <c r="Q3041" s="198"/>
      <c r="R3041" s="198"/>
      <c r="S3041" s="198"/>
      <c r="T3041" s="198"/>
      <c r="U3041" s="198"/>
      <c r="V3041" s="198"/>
      <c r="W3041" s="198"/>
      <c r="X3041" s="198"/>
      <c r="Y3041" s="198"/>
      <c r="Z3041" s="198"/>
    </row>
    <row r="3042" spans="1:26" ht="15.75" hidden="1" customHeight="1" x14ac:dyDescent="0.25">
      <c r="A3042" s="213">
        <v>1594</v>
      </c>
      <c r="B3042" s="214" t="s">
        <v>11541</v>
      </c>
      <c r="C3042" s="215" t="s">
        <v>580</v>
      </c>
      <c r="D3042" s="216">
        <v>42.69</v>
      </c>
      <c r="E3042" s="198"/>
      <c r="F3042" s="198"/>
      <c r="G3042" s="198"/>
      <c r="H3042" s="198"/>
      <c r="I3042" s="198"/>
      <c r="J3042" s="198"/>
      <c r="K3042" s="198"/>
      <c r="L3042" s="198"/>
      <c r="M3042" s="198"/>
      <c r="N3042" s="198"/>
      <c r="O3042" s="198"/>
      <c r="P3042" s="198"/>
      <c r="Q3042" s="198"/>
      <c r="R3042" s="198"/>
      <c r="S3042" s="198"/>
      <c r="T3042" s="198"/>
      <c r="U3042" s="198"/>
      <c r="V3042" s="198"/>
      <c r="W3042" s="198"/>
      <c r="X3042" s="198"/>
      <c r="Y3042" s="198"/>
      <c r="Z3042" s="198"/>
    </row>
    <row r="3043" spans="1:26" ht="15.75" hidden="1" customHeight="1" x14ac:dyDescent="0.25">
      <c r="A3043" s="213">
        <v>1586</v>
      </c>
      <c r="B3043" s="214" t="s">
        <v>11542</v>
      </c>
      <c r="C3043" s="215" t="s">
        <v>580</v>
      </c>
      <c r="D3043" s="216">
        <v>7.63</v>
      </c>
      <c r="E3043" s="198"/>
      <c r="F3043" s="198"/>
      <c r="G3043" s="198"/>
      <c r="H3043" s="198"/>
      <c r="I3043" s="198"/>
      <c r="J3043" s="198"/>
      <c r="K3043" s="198"/>
      <c r="L3043" s="198"/>
      <c r="M3043" s="198"/>
      <c r="N3043" s="198"/>
      <c r="O3043" s="198"/>
      <c r="P3043" s="198"/>
      <c r="Q3043" s="198"/>
      <c r="R3043" s="198"/>
      <c r="S3043" s="198"/>
      <c r="T3043" s="198"/>
      <c r="U3043" s="198"/>
      <c r="V3043" s="198"/>
      <c r="W3043" s="198"/>
      <c r="X3043" s="198"/>
      <c r="Y3043" s="198"/>
      <c r="Z3043" s="198"/>
    </row>
    <row r="3044" spans="1:26" ht="15.75" hidden="1" customHeight="1" x14ac:dyDescent="0.25">
      <c r="A3044" s="213">
        <v>11839</v>
      </c>
      <c r="B3044" s="214" t="s">
        <v>11543</v>
      </c>
      <c r="C3044" s="215" t="s">
        <v>580</v>
      </c>
      <c r="D3044" s="216">
        <v>61.45</v>
      </c>
      <c r="E3044" s="198"/>
      <c r="F3044" s="198"/>
      <c r="G3044" s="198"/>
      <c r="H3044" s="198"/>
      <c r="I3044" s="198"/>
      <c r="J3044" s="198"/>
      <c r="K3044" s="198"/>
      <c r="L3044" s="198"/>
      <c r="M3044" s="198"/>
      <c r="N3044" s="198"/>
      <c r="O3044" s="198"/>
      <c r="P3044" s="198"/>
      <c r="Q3044" s="198"/>
      <c r="R3044" s="198"/>
      <c r="S3044" s="198"/>
      <c r="T3044" s="198"/>
      <c r="U3044" s="198"/>
      <c r="V3044" s="198"/>
      <c r="W3044" s="198"/>
      <c r="X3044" s="198"/>
      <c r="Y3044" s="198"/>
      <c r="Z3044" s="198"/>
    </row>
    <row r="3045" spans="1:26" ht="15.75" hidden="1" customHeight="1" x14ac:dyDescent="0.25">
      <c r="A3045" s="213">
        <v>1587</v>
      </c>
      <c r="B3045" s="214" t="s">
        <v>11544</v>
      </c>
      <c r="C3045" s="215" t="s">
        <v>580</v>
      </c>
      <c r="D3045" s="216">
        <v>7.77</v>
      </c>
      <c r="E3045" s="198"/>
      <c r="F3045" s="198"/>
      <c r="G3045" s="198"/>
      <c r="H3045" s="198"/>
      <c r="I3045" s="198"/>
      <c r="J3045" s="198"/>
      <c r="K3045" s="198"/>
      <c r="L3045" s="198"/>
      <c r="M3045" s="198"/>
      <c r="N3045" s="198"/>
      <c r="O3045" s="198"/>
      <c r="P3045" s="198"/>
      <c r="Q3045" s="198"/>
      <c r="R3045" s="198"/>
      <c r="S3045" s="198"/>
      <c r="T3045" s="198"/>
      <c r="U3045" s="198"/>
      <c r="V3045" s="198"/>
      <c r="W3045" s="198"/>
      <c r="X3045" s="198"/>
      <c r="Y3045" s="198"/>
      <c r="Z3045" s="198"/>
    </row>
    <row r="3046" spans="1:26" ht="15.75" hidden="1" customHeight="1" x14ac:dyDescent="0.25">
      <c r="A3046" s="213">
        <v>1545</v>
      </c>
      <c r="B3046" s="214" t="s">
        <v>11545</v>
      </c>
      <c r="C3046" s="215" t="s">
        <v>580</v>
      </c>
      <c r="D3046" s="216">
        <v>73.73</v>
      </c>
      <c r="E3046" s="198"/>
      <c r="F3046" s="198"/>
      <c r="G3046" s="198"/>
      <c r="H3046" s="198"/>
      <c r="I3046" s="198"/>
      <c r="J3046" s="198"/>
      <c r="K3046" s="198"/>
      <c r="L3046" s="198"/>
      <c r="M3046" s="198"/>
      <c r="N3046" s="198"/>
      <c r="O3046" s="198"/>
      <c r="P3046" s="198"/>
      <c r="Q3046" s="198"/>
      <c r="R3046" s="198"/>
      <c r="S3046" s="198"/>
      <c r="T3046" s="198"/>
      <c r="U3046" s="198"/>
      <c r="V3046" s="198"/>
      <c r="W3046" s="198"/>
      <c r="X3046" s="198"/>
      <c r="Y3046" s="198"/>
      <c r="Z3046" s="198"/>
    </row>
    <row r="3047" spans="1:26" ht="15.75" hidden="1" customHeight="1" x14ac:dyDescent="0.25">
      <c r="A3047" s="213">
        <v>1588</v>
      </c>
      <c r="B3047" s="214" t="s">
        <v>11546</v>
      </c>
      <c r="C3047" s="215" t="s">
        <v>580</v>
      </c>
      <c r="D3047" s="216">
        <v>10.66</v>
      </c>
      <c r="E3047" s="198"/>
      <c r="F3047" s="198"/>
      <c r="G3047" s="198"/>
      <c r="H3047" s="198"/>
      <c r="I3047" s="198"/>
      <c r="J3047" s="198"/>
      <c r="K3047" s="198"/>
      <c r="L3047" s="198"/>
      <c r="M3047" s="198"/>
      <c r="N3047" s="198"/>
      <c r="O3047" s="198"/>
      <c r="P3047" s="198"/>
      <c r="Q3047" s="198"/>
      <c r="R3047" s="198"/>
      <c r="S3047" s="198"/>
      <c r="T3047" s="198"/>
      <c r="U3047" s="198"/>
      <c r="V3047" s="198"/>
      <c r="W3047" s="198"/>
      <c r="X3047" s="198"/>
      <c r="Y3047" s="198"/>
      <c r="Z3047" s="198"/>
    </row>
    <row r="3048" spans="1:26" ht="15.75" hidden="1" customHeight="1" x14ac:dyDescent="0.25">
      <c r="A3048" s="213">
        <v>1535</v>
      </c>
      <c r="B3048" s="214" t="s">
        <v>11547</v>
      </c>
      <c r="C3048" s="215" t="s">
        <v>580</v>
      </c>
      <c r="D3048" s="216">
        <v>6.14</v>
      </c>
      <c r="E3048" s="198"/>
      <c r="F3048" s="198"/>
      <c r="G3048" s="198"/>
      <c r="H3048" s="198"/>
      <c r="I3048" s="198"/>
      <c r="J3048" s="198"/>
      <c r="K3048" s="198"/>
      <c r="L3048" s="198"/>
      <c r="M3048" s="198"/>
      <c r="N3048" s="198"/>
      <c r="O3048" s="198"/>
      <c r="P3048" s="198"/>
      <c r="Q3048" s="198"/>
      <c r="R3048" s="198"/>
      <c r="S3048" s="198"/>
      <c r="T3048" s="198"/>
      <c r="U3048" s="198"/>
      <c r="V3048" s="198"/>
      <c r="W3048" s="198"/>
      <c r="X3048" s="198"/>
      <c r="Y3048" s="198"/>
      <c r="Z3048" s="198"/>
    </row>
    <row r="3049" spans="1:26" ht="15.75" hidden="1" customHeight="1" x14ac:dyDescent="0.25">
      <c r="A3049" s="213">
        <v>1589</v>
      </c>
      <c r="B3049" s="214" t="s">
        <v>11548</v>
      </c>
      <c r="C3049" s="215" t="s">
        <v>580</v>
      </c>
      <c r="D3049" s="216">
        <v>10.99</v>
      </c>
      <c r="E3049" s="198"/>
      <c r="F3049" s="198"/>
      <c r="G3049" s="198"/>
      <c r="H3049" s="198"/>
      <c r="I3049" s="198"/>
      <c r="J3049" s="198"/>
      <c r="K3049" s="198"/>
      <c r="L3049" s="198"/>
      <c r="M3049" s="198"/>
      <c r="N3049" s="198"/>
      <c r="O3049" s="198"/>
      <c r="P3049" s="198"/>
      <c r="Q3049" s="198"/>
      <c r="R3049" s="198"/>
      <c r="S3049" s="198"/>
      <c r="T3049" s="198"/>
      <c r="U3049" s="198"/>
      <c r="V3049" s="198"/>
      <c r="W3049" s="198"/>
      <c r="X3049" s="198"/>
      <c r="Y3049" s="198"/>
      <c r="Z3049" s="198"/>
    </row>
    <row r="3050" spans="1:26" ht="15.75" hidden="1" customHeight="1" x14ac:dyDescent="0.25">
      <c r="A3050" s="213">
        <v>1546</v>
      </c>
      <c r="B3050" s="214" t="s">
        <v>11549</v>
      </c>
      <c r="C3050" s="215" t="s">
        <v>580</v>
      </c>
      <c r="D3050" s="216">
        <v>124.43</v>
      </c>
      <c r="E3050" s="198"/>
      <c r="F3050" s="198"/>
      <c r="G3050" s="198"/>
      <c r="H3050" s="198"/>
      <c r="I3050" s="198"/>
      <c r="J3050" s="198"/>
      <c r="K3050" s="198"/>
      <c r="L3050" s="198"/>
      <c r="M3050" s="198"/>
      <c r="N3050" s="198"/>
      <c r="O3050" s="198"/>
      <c r="P3050" s="198"/>
      <c r="Q3050" s="198"/>
      <c r="R3050" s="198"/>
      <c r="S3050" s="198"/>
      <c r="T3050" s="198"/>
      <c r="U3050" s="198"/>
      <c r="V3050" s="198"/>
      <c r="W3050" s="198"/>
      <c r="X3050" s="198"/>
      <c r="Y3050" s="198"/>
      <c r="Z3050" s="198"/>
    </row>
    <row r="3051" spans="1:26" ht="15.75" hidden="1" customHeight="1" x14ac:dyDescent="0.25">
      <c r="A3051" s="213">
        <v>1590</v>
      </c>
      <c r="B3051" s="214" t="s">
        <v>11550</v>
      </c>
      <c r="C3051" s="215" t="s">
        <v>580</v>
      </c>
      <c r="D3051" s="216">
        <v>19.350000000000001</v>
      </c>
      <c r="E3051" s="198"/>
      <c r="F3051" s="198"/>
      <c r="G3051" s="198"/>
      <c r="H3051" s="198"/>
      <c r="I3051" s="198"/>
      <c r="J3051" s="198"/>
      <c r="K3051" s="198"/>
      <c r="L3051" s="198"/>
      <c r="M3051" s="198"/>
      <c r="N3051" s="198"/>
      <c r="O3051" s="198"/>
      <c r="P3051" s="198"/>
      <c r="Q3051" s="198"/>
      <c r="R3051" s="198"/>
      <c r="S3051" s="198"/>
      <c r="T3051" s="198"/>
      <c r="U3051" s="198"/>
      <c r="V3051" s="198"/>
      <c r="W3051" s="198"/>
      <c r="X3051" s="198"/>
      <c r="Y3051" s="198"/>
      <c r="Z3051" s="198"/>
    </row>
    <row r="3052" spans="1:26" ht="15.75" hidden="1" customHeight="1" x14ac:dyDescent="0.25">
      <c r="A3052" s="213">
        <v>38415</v>
      </c>
      <c r="B3052" s="214" t="s">
        <v>11551</v>
      </c>
      <c r="C3052" s="215" t="s">
        <v>580</v>
      </c>
      <c r="D3052" s="216">
        <v>975.78</v>
      </c>
      <c r="E3052" s="198"/>
      <c r="F3052" s="198"/>
      <c r="G3052" s="198"/>
      <c r="H3052" s="198"/>
      <c r="I3052" s="198"/>
      <c r="J3052" s="198"/>
      <c r="K3052" s="198"/>
      <c r="L3052" s="198"/>
      <c r="M3052" s="198"/>
      <c r="N3052" s="198"/>
      <c r="O3052" s="198"/>
      <c r="P3052" s="198"/>
      <c r="Q3052" s="198"/>
      <c r="R3052" s="198"/>
      <c r="S3052" s="198"/>
      <c r="T3052" s="198"/>
      <c r="U3052" s="198"/>
      <c r="V3052" s="198"/>
      <c r="W3052" s="198"/>
      <c r="X3052" s="198"/>
      <c r="Y3052" s="198"/>
      <c r="Z3052" s="198"/>
    </row>
    <row r="3053" spans="1:26" ht="15.75" hidden="1" customHeight="1" x14ac:dyDescent="0.25">
      <c r="A3053" s="213">
        <v>38414</v>
      </c>
      <c r="B3053" s="214" t="s">
        <v>11552</v>
      </c>
      <c r="C3053" s="215" t="s">
        <v>580</v>
      </c>
      <c r="D3053" s="216">
        <v>1369.52</v>
      </c>
      <c r="E3053" s="198"/>
      <c r="F3053" s="198"/>
      <c r="G3053" s="198"/>
      <c r="H3053" s="198"/>
      <c r="I3053" s="198"/>
      <c r="J3053" s="198"/>
      <c r="K3053" s="198"/>
      <c r="L3053" s="198"/>
      <c r="M3053" s="198"/>
      <c r="N3053" s="198"/>
      <c r="O3053" s="198"/>
      <c r="P3053" s="198"/>
      <c r="Q3053" s="198"/>
      <c r="R3053" s="198"/>
      <c r="S3053" s="198"/>
      <c r="T3053" s="198"/>
      <c r="U3053" s="198"/>
      <c r="V3053" s="198"/>
      <c r="W3053" s="198"/>
      <c r="X3053" s="198"/>
      <c r="Y3053" s="198"/>
      <c r="Z3053" s="198"/>
    </row>
    <row r="3054" spans="1:26" ht="15.75" hidden="1" customHeight="1" x14ac:dyDescent="0.25">
      <c r="A3054" s="213">
        <v>38128</v>
      </c>
      <c r="B3054" s="214" t="s">
        <v>11553</v>
      </c>
      <c r="C3054" s="215" t="s">
        <v>823</v>
      </c>
      <c r="D3054" s="216">
        <v>0.85</v>
      </c>
      <c r="E3054" s="198"/>
      <c r="F3054" s="198"/>
      <c r="G3054" s="198"/>
      <c r="H3054" s="198"/>
      <c r="I3054" s="198"/>
      <c r="J3054" s="198"/>
      <c r="K3054" s="198"/>
      <c r="L3054" s="198"/>
      <c r="M3054" s="198"/>
      <c r="N3054" s="198"/>
      <c r="O3054" s="198"/>
      <c r="P3054" s="198"/>
      <c r="Q3054" s="198"/>
      <c r="R3054" s="198"/>
      <c r="S3054" s="198"/>
      <c r="T3054" s="198"/>
      <c r="U3054" s="198"/>
      <c r="V3054" s="198"/>
      <c r="W3054" s="198"/>
      <c r="X3054" s="198"/>
      <c r="Y3054" s="198"/>
      <c r="Z3054" s="198"/>
    </row>
    <row r="3055" spans="1:26" ht="15.75" hidden="1" customHeight="1" x14ac:dyDescent="0.25">
      <c r="A3055" s="213">
        <v>7253</v>
      </c>
      <c r="B3055" s="214" t="s">
        <v>11554</v>
      </c>
      <c r="C3055" s="215" t="s">
        <v>664</v>
      </c>
      <c r="D3055" s="216">
        <v>182.14</v>
      </c>
      <c r="E3055" s="198"/>
      <c r="F3055" s="198"/>
      <c r="G3055" s="198"/>
      <c r="H3055" s="198"/>
      <c r="I3055" s="198"/>
      <c r="J3055" s="198"/>
      <c r="K3055" s="198"/>
      <c r="L3055" s="198"/>
      <c r="M3055" s="198"/>
      <c r="N3055" s="198"/>
      <c r="O3055" s="198"/>
      <c r="P3055" s="198"/>
      <c r="Q3055" s="198"/>
      <c r="R3055" s="198"/>
      <c r="S3055" s="198"/>
      <c r="T3055" s="198"/>
      <c r="U3055" s="198"/>
      <c r="V3055" s="198"/>
      <c r="W3055" s="198"/>
      <c r="X3055" s="198"/>
      <c r="Y3055" s="198"/>
      <c r="Z3055" s="198"/>
    </row>
    <row r="3056" spans="1:26" ht="15.75" hidden="1" customHeight="1" x14ac:dyDescent="0.25">
      <c r="A3056" s="213">
        <v>4806</v>
      </c>
      <c r="B3056" s="214" t="s">
        <v>11555</v>
      </c>
      <c r="C3056" s="215" t="s">
        <v>585</v>
      </c>
      <c r="D3056" s="216">
        <v>17.34</v>
      </c>
      <c r="E3056" s="198"/>
      <c r="F3056" s="198"/>
      <c r="G3056" s="198"/>
      <c r="H3056" s="198"/>
      <c r="I3056" s="198"/>
      <c r="J3056" s="198"/>
      <c r="K3056" s="198"/>
      <c r="L3056" s="198"/>
      <c r="M3056" s="198"/>
      <c r="N3056" s="198"/>
      <c r="O3056" s="198"/>
      <c r="P3056" s="198"/>
      <c r="Q3056" s="198"/>
      <c r="R3056" s="198"/>
      <c r="S3056" s="198"/>
      <c r="T3056" s="198"/>
      <c r="U3056" s="198"/>
      <c r="V3056" s="198"/>
      <c r="W3056" s="198"/>
      <c r="X3056" s="198"/>
      <c r="Y3056" s="198"/>
      <c r="Z3056" s="198"/>
    </row>
    <row r="3057" spans="1:26" ht="15.75" hidden="1" customHeight="1" x14ac:dyDescent="0.25">
      <c r="A3057" s="213">
        <v>34401</v>
      </c>
      <c r="B3057" s="214" t="s">
        <v>11556</v>
      </c>
      <c r="C3057" s="215" t="s">
        <v>580</v>
      </c>
      <c r="D3057" s="216">
        <v>1.56</v>
      </c>
      <c r="E3057" s="198"/>
      <c r="F3057" s="198"/>
      <c r="G3057" s="198"/>
      <c r="H3057" s="198"/>
      <c r="I3057" s="198"/>
      <c r="J3057" s="198"/>
      <c r="K3057" s="198"/>
      <c r="L3057" s="198"/>
      <c r="M3057" s="198"/>
      <c r="N3057" s="198"/>
      <c r="O3057" s="198"/>
      <c r="P3057" s="198"/>
      <c r="Q3057" s="198"/>
      <c r="R3057" s="198"/>
      <c r="S3057" s="198"/>
      <c r="T3057" s="198"/>
      <c r="U3057" s="198"/>
      <c r="V3057" s="198"/>
      <c r="W3057" s="198"/>
      <c r="X3057" s="198"/>
      <c r="Y3057" s="198"/>
      <c r="Z3057" s="198"/>
    </row>
    <row r="3058" spans="1:26" ht="15.75" hidden="1" customHeight="1" x14ac:dyDescent="0.25">
      <c r="A3058" s="213">
        <v>7256</v>
      </c>
      <c r="B3058" s="214" t="s">
        <v>11557</v>
      </c>
      <c r="C3058" s="215" t="s">
        <v>580</v>
      </c>
      <c r="D3058" s="216">
        <v>1.1100000000000001</v>
      </c>
      <c r="E3058" s="198"/>
      <c r="F3058" s="198"/>
      <c r="G3058" s="198"/>
      <c r="H3058" s="198"/>
      <c r="I3058" s="198"/>
      <c r="J3058" s="198"/>
      <c r="K3058" s="198"/>
      <c r="L3058" s="198"/>
      <c r="M3058" s="198"/>
      <c r="N3058" s="198"/>
      <c r="O3058" s="198"/>
      <c r="P3058" s="198"/>
      <c r="Q3058" s="198"/>
      <c r="R3058" s="198"/>
      <c r="S3058" s="198"/>
      <c r="T3058" s="198"/>
      <c r="U3058" s="198"/>
      <c r="V3058" s="198"/>
      <c r="W3058" s="198"/>
      <c r="X3058" s="198"/>
      <c r="Y3058" s="198"/>
      <c r="Z3058" s="198"/>
    </row>
    <row r="3059" spans="1:26" ht="15.75" hidden="1" customHeight="1" x14ac:dyDescent="0.25">
      <c r="A3059" s="213">
        <v>7260</v>
      </c>
      <c r="B3059" s="214" t="s">
        <v>11558</v>
      </c>
      <c r="C3059" s="215" t="s">
        <v>580</v>
      </c>
      <c r="D3059" s="216">
        <v>2.11</v>
      </c>
      <c r="E3059" s="198"/>
      <c r="F3059" s="198"/>
      <c r="G3059" s="198"/>
      <c r="H3059" s="198"/>
      <c r="I3059" s="198"/>
      <c r="J3059" s="198"/>
      <c r="K3059" s="198"/>
      <c r="L3059" s="198"/>
      <c r="M3059" s="198"/>
      <c r="N3059" s="198"/>
      <c r="O3059" s="198"/>
      <c r="P3059" s="198"/>
      <c r="Q3059" s="198"/>
      <c r="R3059" s="198"/>
      <c r="S3059" s="198"/>
      <c r="T3059" s="198"/>
      <c r="U3059" s="198"/>
      <c r="V3059" s="198"/>
      <c r="W3059" s="198"/>
      <c r="X3059" s="198"/>
      <c r="Y3059" s="198"/>
      <c r="Z3059" s="198"/>
    </row>
    <row r="3060" spans="1:26" ht="15.75" hidden="1" customHeight="1" x14ac:dyDescent="0.25">
      <c r="A3060" s="213">
        <v>7258</v>
      </c>
      <c r="B3060" s="214" t="s">
        <v>11559</v>
      </c>
      <c r="C3060" s="215" t="s">
        <v>580</v>
      </c>
      <c r="D3060" s="216">
        <v>0.54</v>
      </c>
      <c r="E3060" s="198"/>
      <c r="F3060" s="198"/>
      <c r="G3060" s="198"/>
      <c r="H3060" s="198"/>
      <c r="I3060" s="198"/>
      <c r="J3060" s="198"/>
      <c r="K3060" s="198"/>
      <c r="L3060" s="198"/>
      <c r="M3060" s="198"/>
      <c r="N3060" s="198"/>
      <c r="O3060" s="198"/>
      <c r="P3060" s="198"/>
      <c r="Q3060" s="198"/>
      <c r="R3060" s="198"/>
      <c r="S3060" s="198"/>
      <c r="T3060" s="198"/>
      <c r="U3060" s="198"/>
      <c r="V3060" s="198"/>
      <c r="W3060" s="198"/>
      <c r="X3060" s="198"/>
      <c r="Y3060" s="198"/>
      <c r="Z3060" s="198"/>
    </row>
    <row r="3061" spans="1:26" ht="15.75" hidden="1" customHeight="1" x14ac:dyDescent="0.25">
      <c r="A3061" s="213">
        <v>34400</v>
      </c>
      <c r="B3061" s="214" t="s">
        <v>11560</v>
      </c>
      <c r="C3061" s="215" t="s">
        <v>580</v>
      </c>
      <c r="D3061" s="216">
        <v>4.3499999999999996</v>
      </c>
      <c r="E3061" s="198"/>
      <c r="F3061" s="198"/>
      <c r="G3061" s="198"/>
      <c r="H3061" s="198"/>
      <c r="I3061" s="198"/>
      <c r="J3061" s="198"/>
      <c r="K3061" s="198"/>
      <c r="L3061" s="198"/>
      <c r="M3061" s="198"/>
      <c r="N3061" s="198"/>
      <c r="O3061" s="198"/>
      <c r="P3061" s="198"/>
      <c r="Q3061" s="198"/>
      <c r="R3061" s="198"/>
      <c r="S3061" s="198"/>
      <c r="T3061" s="198"/>
      <c r="U3061" s="198"/>
      <c r="V3061" s="198"/>
      <c r="W3061" s="198"/>
      <c r="X3061" s="198"/>
      <c r="Y3061" s="198"/>
      <c r="Z3061" s="198"/>
    </row>
    <row r="3062" spans="1:26" ht="15.75" hidden="1" customHeight="1" x14ac:dyDescent="0.25">
      <c r="A3062" s="213">
        <v>10617</v>
      </c>
      <c r="B3062" s="214" t="s">
        <v>11561</v>
      </c>
      <c r="C3062" s="215" t="s">
        <v>580</v>
      </c>
      <c r="D3062" s="216">
        <v>5.6</v>
      </c>
      <c r="E3062" s="198"/>
      <c r="F3062" s="198"/>
      <c r="G3062" s="198"/>
      <c r="H3062" s="198"/>
      <c r="I3062" s="198"/>
      <c r="J3062" s="198"/>
      <c r="K3062" s="198"/>
      <c r="L3062" s="198"/>
      <c r="M3062" s="198"/>
      <c r="N3062" s="198"/>
      <c r="O3062" s="198"/>
      <c r="P3062" s="198"/>
      <c r="Q3062" s="198"/>
      <c r="R3062" s="198"/>
      <c r="S3062" s="198"/>
      <c r="T3062" s="198"/>
      <c r="U3062" s="198"/>
      <c r="V3062" s="198"/>
      <c r="W3062" s="198"/>
      <c r="X3062" s="198"/>
      <c r="Y3062" s="198"/>
      <c r="Z3062" s="198"/>
    </row>
    <row r="3063" spans="1:26" ht="15.75" hidden="1" customHeight="1" x14ac:dyDescent="0.25">
      <c r="A3063" s="213">
        <v>44261</v>
      </c>
      <c r="B3063" s="214" t="s">
        <v>11562</v>
      </c>
      <c r="C3063" s="215" t="s">
        <v>580</v>
      </c>
      <c r="D3063" s="216">
        <v>140.49</v>
      </c>
      <c r="E3063" s="198"/>
      <c r="F3063" s="198"/>
      <c r="G3063" s="198"/>
      <c r="H3063" s="198"/>
      <c r="I3063" s="198"/>
      <c r="J3063" s="198"/>
      <c r="K3063" s="198"/>
      <c r="L3063" s="198"/>
      <c r="M3063" s="198"/>
      <c r="N3063" s="198"/>
      <c r="O3063" s="198"/>
      <c r="P3063" s="198"/>
      <c r="Q3063" s="198"/>
      <c r="R3063" s="198"/>
      <c r="S3063" s="198"/>
      <c r="T3063" s="198"/>
      <c r="U3063" s="198"/>
      <c r="V3063" s="198"/>
      <c r="W3063" s="198"/>
      <c r="X3063" s="198"/>
      <c r="Y3063" s="198"/>
      <c r="Z3063" s="198"/>
    </row>
    <row r="3064" spans="1:26" ht="15.75" hidden="1" customHeight="1" x14ac:dyDescent="0.25">
      <c r="A3064" s="213">
        <v>7274</v>
      </c>
      <c r="B3064" s="214" t="s">
        <v>11563</v>
      </c>
      <c r="C3064" s="215" t="s">
        <v>580</v>
      </c>
      <c r="D3064" s="216">
        <v>68.010000000000005</v>
      </c>
      <c r="E3064" s="198"/>
      <c r="F3064" s="198"/>
      <c r="G3064" s="198"/>
      <c r="H3064" s="198"/>
      <c r="I3064" s="198"/>
      <c r="J3064" s="198"/>
      <c r="K3064" s="198"/>
      <c r="L3064" s="198"/>
      <c r="M3064" s="198"/>
      <c r="N3064" s="198"/>
      <c r="O3064" s="198"/>
      <c r="P3064" s="198"/>
      <c r="Q3064" s="198"/>
      <c r="R3064" s="198"/>
      <c r="S3064" s="198"/>
      <c r="T3064" s="198"/>
      <c r="U3064" s="198"/>
      <c r="V3064" s="198"/>
      <c r="W3064" s="198"/>
      <c r="X3064" s="198"/>
      <c r="Y3064" s="198"/>
      <c r="Z3064" s="198"/>
    </row>
    <row r="3065" spans="1:26" ht="15.75" hidden="1" customHeight="1" x14ac:dyDescent="0.25">
      <c r="A3065" s="213">
        <v>44326</v>
      </c>
      <c r="B3065" s="214" t="s">
        <v>11564</v>
      </c>
      <c r="C3065" s="215" t="s">
        <v>580</v>
      </c>
      <c r="D3065" s="216">
        <v>1468.96</v>
      </c>
      <c r="E3065" s="198"/>
      <c r="F3065" s="198"/>
      <c r="G3065" s="198"/>
      <c r="H3065" s="198"/>
      <c r="I3065" s="198"/>
      <c r="J3065" s="198"/>
      <c r="K3065" s="198"/>
      <c r="L3065" s="198"/>
      <c r="M3065" s="198"/>
      <c r="N3065" s="198"/>
      <c r="O3065" s="198"/>
      <c r="P3065" s="198"/>
      <c r="Q3065" s="198"/>
      <c r="R3065" s="198"/>
      <c r="S3065" s="198"/>
      <c r="T3065" s="198"/>
      <c r="U3065" s="198"/>
      <c r="V3065" s="198"/>
      <c r="W3065" s="198"/>
      <c r="X3065" s="198"/>
      <c r="Y3065" s="198"/>
      <c r="Z3065" s="198"/>
    </row>
    <row r="3066" spans="1:26" ht="15.75" hidden="1" customHeight="1" x14ac:dyDescent="0.25">
      <c r="A3066" s="213">
        <v>154</v>
      </c>
      <c r="B3066" s="214" t="s">
        <v>11565</v>
      </c>
      <c r="C3066" s="215" t="s">
        <v>517</v>
      </c>
      <c r="D3066" s="216">
        <v>71.180000000000007</v>
      </c>
      <c r="E3066" s="198"/>
      <c r="F3066" s="198"/>
      <c r="G3066" s="198"/>
      <c r="H3066" s="198"/>
      <c r="I3066" s="198"/>
      <c r="J3066" s="198"/>
      <c r="K3066" s="198"/>
      <c r="L3066" s="198"/>
      <c r="M3066" s="198"/>
      <c r="N3066" s="198"/>
      <c r="O3066" s="198"/>
      <c r="P3066" s="198"/>
      <c r="Q3066" s="198"/>
      <c r="R3066" s="198"/>
      <c r="S3066" s="198"/>
      <c r="T3066" s="198"/>
      <c r="U3066" s="198"/>
      <c r="V3066" s="198"/>
      <c r="W3066" s="198"/>
      <c r="X3066" s="198"/>
      <c r="Y3066" s="198"/>
      <c r="Z3066" s="198"/>
    </row>
    <row r="3067" spans="1:26" ht="15.75" hidden="1" customHeight="1" x14ac:dyDescent="0.25">
      <c r="A3067" s="213">
        <v>38121</v>
      </c>
      <c r="B3067" s="214" t="s">
        <v>11566</v>
      </c>
      <c r="C3067" s="215" t="s">
        <v>517</v>
      </c>
      <c r="D3067" s="216">
        <v>18.59</v>
      </c>
      <c r="E3067" s="198"/>
      <c r="F3067" s="198"/>
      <c r="G3067" s="198"/>
      <c r="H3067" s="198"/>
      <c r="I3067" s="198"/>
      <c r="J3067" s="198"/>
      <c r="K3067" s="198"/>
      <c r="L3067" s="198"/>
      <c r="M3067" s="198"/>
      <c r="N3067" s="198"/>
      <c r="O3067" s="198"/>
      <c r="P3067" s="198"/>
      <c r="Q3067" s="198"/>
      <c r="R3067" s="198"/>
      <c r="S3067" s="198"/>
      <c r="T3067" s="198"/>
      <c r="U3067" s="198"/>
      <c r="V3067" s="198"/>
      <c r="W3067" s="198"/>
      <c r="X3067" s="198"/>
      <c r="Y3067" s="198"/>
      <c r="Z3067" s="198"/>
    </row>
    <row r="3068" spans="1:26" ht="15.75" hidden="1" customHeight="1" x14ac:dyDescent="0.25">
      <c r="A3068" s="213">
        <v>43776</v>
      </c>
      <c r="B3068" s="214" t="s">
        <v>11567</v>
      </c>
      <c r="C3068" s="215" t="s">
        <v>517</v>
      </c>
      <c r="D3068" s="216">
        <v>26.11</v>
      </c>
      <c r="E3068" s="198"/>
      <c r="F3068" s="198"/>
      <c r="G3068" s="198"/>
      <c r="H3068" s="198"/>
      <c r="I3068" s="198"/>
      <c r="J3068" s="198"/>
      <c r="K3068" s="198"/>
      <c r="L3068" s="198"/>
      <c r="M3068" s="198"/>
      <c r="N3068" s="198"/>
      <c r="O3068" s="198"/>
      <c r="P3068" s="198"/>
      <c r="Q3068" s="198"/>
      <c r="R3068" s="198"/>
      <c r="S3068" s="198"/>
      <c r="T3068" s="198"/>
      <c r="U3068" s="198"/>
      <c r="V3068" s="198"/>
      <c r="W3068" s="198"/>
      <c r="X3068" s="198"/>
      <c r="Y3068" s="198"/>
      <c r="Z3068" s="198"/>
    </row>
    <row r="3069" spans="1:26" ht="15.75" hidden="1" customHeight="1" x14ac:dyDescent="0.25">
      <c r="A3069" s="213">
        <v>7343</v>
      </c>
      <c r="B3069" s="214" t="s">
        <v>11568</v>
      </c>
      <c r="C3069" s="215" t="s">
        <v>517</v>
      </c>
      <c r="D3069" s="216">
        <v>27.35</v>
      </c>
      <c r="E3069" s="198"/>
      <c r="F3069" s="198"/>
      <c r="G3069" s="198"/>
      <c r="H3069" s="198"/>
      <c r="I3069" s="198"/>
      <c r="J3069" s="198"/>
      <c r="K3069" s="198"/>
      <c r="L3069" s="198"/>
      <c r="M3069" s="198"/>
      <c r="N3069" s="198"/>
      <c r="O3069" s="198"/>
      <c r="P3069" s="198"/>
      <c r="Q3069" s="198"/>
      <c r="R3069" s="198"/>
      <c r="S3069" s="198"/>
      <c r="T3069" s="198"/>
      <c r="U3069" s="198"/>
      <c r="V3069" s="198"/>
      <c r="W3069" s="198"/>
      <c r="X3069" s="198"/>
      <c r="Y3069" s="198"/>
      <c r="Z3069" s="198"/>
    </row>
    <row r="3070" spans="1:26" ht="15.75" hidden="1" customHeight="1" x14ac:dyDescent="0.25">
      <c r="A3070" s="213">
        <v>7348</v>
      </c>
      <c r="B3070" s="214" t="s">
        <v>11569</v>
      </c>
      <c r="C3070" s="215" t="s">
        <v>517</v>
      </c>
      <c r="D3070" s="216">
        <v>18.73</v>
      </c>
      <c r="E3070" s="198"/>
      <c r="F3070" s="198"/>
      <c r="G3070" s="198"/>
      <c r="H3070" s="198"/>
      <c r="I3070" s="198"/>
      <c r="J3070" s="198"/>
      <c r="K3070" s="198"/>
      <c r="L3070" s="198"/>
      <c r="M3070" s="198"/>
      <c r="N3070" s="198"/>
      <c r="O3070" s="198"/>
      <c r="P3070" s="198"/>
      <c r="Q3070" s="198"/>
      <c r="R3070" s="198"/>
      <c r="S3070" s="198"/>
      <c r="T3070" s="198"/>
      <c r="U3070" s="198"/>
      <c r="V3070" s="198"/>
      <c r="W3070" s="198"/>
      <c r="X3070" s="198"/>
      <c r="Y3070" s="198"/>
      <c r="Z3070" s="198"/>
    </row>
    <row r="3071" spans="1:26" ht="15.75" hidden="1" customHeight="1" x14ac:dyDescent="0.25">
      <c r="A3071" s="213">
        <v>7313</v>
      </c>
      <c r="B3071" s="214" t="s">
        <v>11570</v>
      </c>
      <c r="C3071" s="215" t="s">
        <v>517</v>
      </c>
      <c r="D3071" s="216">
        <v>20.63</v>
      </c>
      <c r="E3071" s="198"/>
      <c r="F3071" s="198"/>
      <c r="G3071" s="198"/>
      <c r="H3071" s="198"/>
      <c r="I3071" s="198"/>
      <c r="J3071" s="198"/>
      <c r="K3071" s="198"/>
      <c r="L3071" s="198"/>
      <c r="M3071" s="198"/>
      <c r="N3071" s="198"/>
      <c r="O3071" s="198"/>
      <c r="P3071" s="198"/>
      <c r="Q3071" s="198"/>
      <c r="R3071" s="198"/>
      <c r="S3071" s="198"/>
      <c r="T3071" s="198"/>
      <c r="U3071" s="198"/>
      <c r="V3071" s="198"/>
      <c r="W3071" s="198"/>
      <c r="X3071" s="198"/>
      <c r="Y3071" s="198"/>
      <c r="Z3071" s="198"/>
    </row>
    <row r="3072" spans="1:26" ht="15.75" hidden="1" customHeight="1" x14ac:dyDescent="0.25">
      <c r="A3072" s="213">
        <v>7319</v>
      </c>
      <c r="B3072" s="214" t="s">
        <v>11571</v>
      </c>
      <c r="C3072" s="215" t="s">
        <v>517</v>
      </c>
      <c r="D3072" s="216">
        <v>11.81</v>
      </c>
      <c r="E3072" s="198"/>
      <c r="F3072" s="198"/>
      <c r="G3072" s="198"/>
      <c r="H3072" s="198"/>
      <c r="I3072" s="198"/>
      <c r="J3072" s="198"/>
      <c r="K3072" s="198"/>
      <c r="L3072" s="198"/>
      <c r="M3072" s="198"/>
      <c r="N3072" s="198"/>
      <c r="O3072" s="198"/>
      <c r="P3072" s="198"/>
      <c r="Q3072" s="198"/>
      <c r="R3072" s="198"/>
      <c r="S3072" s="198"/>
      <c r="T3072" s="198"/>
      <c r="U3072" s="198"/>
      <c r="V3072" s="198"/>
      <c r="W3072" s="198"/>
      <c r="X3072" s="198"/>
      <c r="Y3072" s="198"/>
      <c r="Z3072" s="198"/>
    </row>
    <row r="3073" spans="1:26" ht="15.75" hidden="1" customHeight="1" x14ac:dyDescent="0.25">
      <c r="A3073" s="213">
        <v>7314</v>
      </c>
      <c r="B3073" s="214" t="s">
        <v>11572</v>
      </c>
      <c r="C3073" s="215" t="s">
        <v>517</v>
      </c>
      <c r="D3073" s="216">
        <v>65</v>
      </c>
      <c r="E3073" s="198"/>
      <c r="F3073" s="198"/>
      <c r="G3073" s="198"/>
      <c r="H3073" s="198"/>
      <c r="I3073" s="198"/>
      <c r="J3073" s="198"/>
      <c r="K3073" s="198"/>
      <c r="L3073" s="198"/>
      <c r="M3073" s="198"/>
      <c r="N3073" s="198"/>
      <c r="O3073" s="198"/>
      <c r="P3073" s="198"/>
      <c r="Q3073" s="198"/>
      <c r="R3073" s="198"/>
      <c r="S3073" s="198"/>
      <c r="T3073" s="198"/>
      <c r="U3073" s="198"/>
      <c r="V3073" s="198"/>
      <c r="W3073" s="198"/>
      <c r="X3073" s="198"/>
      <c r="Y3073" s="198"/>
      <c r="Z3073" s="198"/>
    </row>
    <row r="3074" spans="1:26" ht="15.75" hidden="1" customHeight="1" x14ac:dyDescent="0.25">
      <c r="A3074" s="213">
        <v>7304</v>
      </c>
      <c r="B3074" s="214" t="s">
        <v>11573</v>
      </c>
      <c r="C3074" s="215" t="s">
        <v>517</v>
      </c>
      <c r="D3074" s="216">
        <v>77.36</v>
      </c>
      <c r="E3074" s="198"/>
      <c r="F3074" s="198"/>
      <c r="G3074" s="198"/>
      <c r="H3074" s="198"/>
      <c r="I3074" s="198"/>
      <c r="J3074" s="198"/>
      <c r="K3074" s="198"/>
      <c r="L3074" s="198"/>
      <c r="M3074" s="198"/>
      <c r="N3074" s="198"/>
      <c r="O3074" s="198"/>
      <c r="P3074" s="198"/>
      <c r="Q3074" s="198"/>
      <c r="R3074" s="198"/>
      <c r="S3074" s="198"/>
      <c r="T3074" s="198"/>
      <c r="U3074" s="198"/>
      <c r="V3074" s="198"/>
      <c r="W3074" s="198"/>
      <c r="X3074" s="198"/>
      <c r="Y3074" s="198"/>
      <c r="Z3074" s="198"/>
    </row>
    <row r="3075" spans="1:26" ht="15.75" hidden="1" customHeight="1" x14ac:dyDescent="0.25">
      <c r="A3075" s="213">
        <v>43649</v>
      </c>
      <c r="B3075" s="214" t="s">
        <v>11574</v>
      </c>
      <c r="C3075" s="215" t="s">
        <v>517</v>
      </c>
      <c r="D3075" s="216">
        <v>40.01</v>
      </c>
      <c r="E3075" s="198"/>
      <c r="F3075" s="198"/>
      <c r="G3075" s="198"/>
      <c r="H3075" s="198"/>
      <c r="I3075" s="198"/>
      <c r="J3075" s="198"/>
      <c r="K3075" s="198"/>
      <c r="L3075" s="198"/>
      <c r="M3075" s="198"/>
      <c r="N3075" s="198"/>
      <c r="O3075" s="198"/>
      <c r="P3075" s="198"/>
      <c r="Q3075" s="198"/>
      <c r="R3075" s="198"/>
      <c r="S3075" s="198"/>
      <c r="T3075" s="198"/>
      <c r="U3075" s="198"/>
      <c r="V3075" s="198"/>
      <c r="W3075" s="198"/>
      <c r="X3075" s="198"/>
      <c r="Y3075" s="198"/>
      <c r="Z3075" s="198"/>
    </row>
    <row r="3076" spans="1:26" ht="15.75" hidden="1" customHeight="1" x14ac:dyDescent="0.25">
      <c r="A3076" s="213">
        <v>43650</v>
      </c>
      <c r="B3076" s="214" t="s">
        <v>11575</v>
      </c>
      <c r="C3076" s="215" t="s">
        <v>517</v>
      </c>
      <c r="D3076" s="216">
        <v>37.81</v>
      </c>
      <c r="E3076" s="198"/>
      <c r="F3076" s="198"/>
      <c r="G3076" s="198"/>
      <c r="H3076" s="198"/>
      <c r="I3076" s="198"/>
      <c r="J3076" s="198"/>
      <c r="K3076" s="198"/>
      <c r="L3076" s="198"/>
      <c r="M3076" s="198"/>
      <c r="N3076" s="198"/>
      <c r="O3076" s="198"/>
      <c r="P3076" s="198"/>
      <c r="Q3076" s="198"/>
      <c r="R3076" s="198"/>
      <c r="S3076" s="198"/>
      <c r="T3076" s="198"/>
      <c r="U3076" s="198"/>
      <c r="V3076" s="198"/>
      <c r="W3076" s="198"/>
      <c r="X3076" s="198"/>
      <c r="Y3076" s="198"/>
      <c r="Z3076" s="198"/>
    </row>
    <row r="3077" spans="1:26" ht="15.75" hidden="1" customHeight="1" x14ac:dyDescent="0.25">
      <c r="A3077" s="213">
        <v>7311</v>
      </c>
      <c r="B3077" s="214" t="s">
        <v>11576</v>
      </c>
      <c r="C3077" s="215" t="s">
        <v>517</v>
      </c>
      <c r="D3077" s="216">
        <v>38.729999999999997</v>
      </c>
      <c r="E3077" s="198"/>
      <c r="F3077" s="198"/>
      <c r="G3077" s="198"/>
      <c r="H3077" s="198"/>
      <c r="I3077" s="198"/>
      <c r="J3077" s="198"/>
      <c r="K3077" s="198"/>
      <c r="L3077" s="198"/>
      <c r="M3077" s="198"/>
      <c r="N3077" s="198"/>
      <c r="O3077" s="198"/>
      <c r="P3077" s="198"/>
      <c r="Q3077" s="198"/>
      <c r="R3077" s="198"/>
      <c r="S3077" s="198"/>
      <c r="T3077" s="198"/>
      <c r="U3077" s="198"/>
      <c r="V3077" s="198"/>
      <c r="W3077" s="198"/>
      <c r="X3077" s="198"/>
      <c r="Y3077" s="198"/>
      <c r="Z3077" s="198"/>
    </row>
    <row r="3078" spans="1:26" ht="15.75" hidden="1" customHeight="1" x14ac:dyDescent="0.25">
      <c r="A3078" s="213">
        <v>7292</v>
      </c>
      <c r="B3078" s="214" t="s">
        <v>11577</v>
      </c>
      <c r="C3078" s="215" t="s">
        <v>517</v>
      </c>
      <c r="D3078" s="216">
        <v>37.5</v>
      </c>
      <c r="E3078" s="198"/>
      <c r="F3078" s="198"/>
      <c r="G3078" s="198"/>
      <c r="H3078" s="198"/>
      <c r="I3078" s="198"/>
      <c r="J3078" s="198"/>
      <c r="K3078" s="198"/>
      <c r="L3078" s="198"/>
      <c r="M3078" s="198"/>
      <c r="N3078" s="198"/>
      <c r="O3078" s="198"/>
      <c r="P3078" s="198"/>
      <c r="Q3078" s="198"/>
      <c r="R3078" s="198"/>
      <c r="S3078" s="198"/>
      <c r="T3078" s="198"/>
      <c r="U3078" s="198"/>
      <c r="V3078" s="198"/>
      <c r="W3078" s="198"/>
      <c r="X3078" s="198"/>
      <c r="Y3078" s="198"/>
      <c r="Z3078" s="198"/>
    </row>
    <row r="3079" spans="1:26" ht="15.75" hidden="1" customHeight="1" x14ac:dyDescent="0.25">
      <c r="A3079" s="213">
        <v>7293</v>
      </c>
      <c r="B3079" s="214" t="s">
        <v>11578</v>
      </c>
      <c r="C3079" s="215" t="s">
        <v>517</v>
      </c>
      <c r="D3079" s="216">
        <v>41.48</v>
      </c>
      <c r="E3079" s="198"/>
      <c r="F3079" s="198"/>
      <c r="G3079" s="198"/>
      <c r="H3079" s="198"/>
      <c r="I3079" s="198"/>
      <c r="J3079" s="198"/>
      <c r="K3079" s="198"/>
      <c r="L3079" s="198"/>
      <c r="M3079" s="198"/>
      <c r="N3079" s="198"/>
      <c r="O3079" s="198"/>
      <c r="P3079" s="198"/>
      <c r="Q3079" s="198"/>
      <c r="R3079" s="198"/>
      <c r="S3079" s="198"/>
      <c r="T3079" s="198"/>
      <c r="U3079" s="198"/>
      <c r="V3079" s="198"/>
      <c r="W3079" s="198"/>
      <c r="X3079" s="198"/>
      <c r="Y3079" s="198"/>
      <c r="Z3079" s="198"/>
    </row>
    <row r="3080" spans="1:26" ht="15.75" hidden="1" customHeight="1" x14ac:dyDescent="0.25">
      <c r="A3080" s="213">
        <v>7306</v>
      </c>
      <c r="B3080" s="214" t="s">
        <v>11579</v>
      </c>
      <c r="C3080" s="215" t="s">
        <v>517</v>
      </c>
      <c r="D3080" s="216">
        <v>45.78</v>
      </c>
      <c r="E3080" s="198"/>
      <c r="F3080" s="198"/>
      <c r="G3080" s="198"/>
      <c r="H3080" s="198"/>
      <c r="I3080" s="198"/>
      <c r="J3080" s="198"/>
      <c r="K3080" s="198"/>
      <c r="L3080" s="198"/>
      <c r="M3080" s="198"/>
      <c r="N3080" s="198"/>
      <c r="O3080" s="198"/>
      <c r="P3080" s="198"/>
      <c r="Q3080" s="198"/>
      <c r="R3080" s="198"/>
      <c r="S3080" s="198"/>
      <c r="T3080" s="198"/>
      <c r="U3080" s="198"/>
      <c r="V3080" s="198"/>
      <c r="W3080" s="198"/>
      <c r="X3080" s="198"/>
      <c r="Y3080" s="198"/>
      <c r="Z3080" s="198"/>
    </row>
    <row r="3081" spans="1:26" ht="15.75" hidden="1" customHeight="1" x14ac:dyDescent="0.25">
      <c r="A3081" s="213">
        <v>7288</v>
      </c>
      <c r="B3081" s="214" t="s">
        <v>11580</v>
      </c>
      <c r="C3081" s="215" t="s">
        <v>517</v>
      </c>
      <c r="D3081" s="216">
        <v>38.01</v>
      </c>
      <c r="E3081" s="198"/>
      <c r="F3081" s="198"/>
      <c r="G3081" s="198"/>
      <c r="H3081" s="198"/>
      <c r="I3081" s="198"/>
      <c r="J3081" s="198"/>
      <c r="K3081" s="198"/>
      <c r="L3081" s="198"/>
      <c r="M3081" s="198"/>
      <c r="N3081" s="198"/>
      <c r="O3081" s="198"/>
      <c r="P3081" s="198"/>
      <c r="Q3081" s="198"/>
      <c r="R3081" s="198"/>
      <c r="S3081" s="198"/>
      <c r="T3081" s="198"/>
      <c r="U3081" s="198"/>
      <c r="V3081" s="198"/>
      <c r="W3081" s="198"/>
      <c r="X3081" s="198"/>
      <c r="Y3081" s="198"/>
      <c r="Z3081" s="198"/>
    </row>
    <row r="3082" spans="1:26" ht="15.75" hidden="1" customHeight="1" x14ac:dyDescent="0.25">
      <c r="A3082" s="213">
        <v>43625</v>
      </c>
      <c r="B3082" s="214" t="s">
        <v>11581</v>
      </c>
      <c r="C3082" s="215" t="s">
        <v>517</v>
      </c>
      <c r="D3082" s="216">
        <v>30.69</v>
      </c>
      <c r="E3082" s="198"/>
      <c r="F3082" s="198"/>
      <c r="G3082" s="198"/>
      <c r="H3082" s="198"/>
      <c r="I3082" s="198"/>
      <c r="J3082" s="198"/>
      <c r="K3082" s="198"/>
      <c r="L3082" s="198"/>
      <c r="M3082" s="198"/>
      <c r="N3082" s="198"/>
      <c r="O3082" s="198"/>
      <c r="P3082" s="198"/>
      <c r="Q3082" s="198"/>
      <c r="R3082" s="198"/>
      <c r="S3082" s="198"/>
      <c r="T3082" s="198"/>
      <c r="U3082" s="198"/>
      <c r="V3082" s="198"/>
      <c r="W3082" s="198"/>
      <c r="X3082" s="198"/>
      <c r="Y3082" s="198"/>
      <c r="Z3082" s="198"/>
    </row>
    <row r="3083" spans="1:26" ht="15.75" hidden="1" customHeight="1" x14ac:dyDescent="0.25">
      <c r="A3083" s="213">
        <v>43647</v>
      </c>
      <c r="B3083" s="214" t="s">
        <v>11582</v>
      </c>
      <c r="C3083" s="215" t="s">
        <v>517</v>
      </c>
      <c r="D3083" s="216">
        <v>27.88</v>
      </c>
      <c r="E3083" s="198"/>
      <c r="F3083" s="198"/>
      <c r="G3083" s="198"/>
      <c r="H3083" s="198"/>
      <c r="I3083" s="198"/>
      <c r="J3083" s="198"/>
      <c r="K3083" s="198"/>
      <c r="L3083" s="198"/>
      <c r="M3083" s="198"/>
      <c r="N3083" s="198"/>
      <c r="O3083" s="198"/>
      <c r="P3083" s="198"/>
      <c r="Q3083" s="198"/>
      <c r="R3083" s="198"/>
      <c r="S3083" s="198"/>
      <c r="T3083" s="198"/>
      <c r="U3083" s="198"/>
      <c r="V3083" s="198"/>
      <c r="W3083" s="198"/>
      <c r="X3083" s="198"/>
      <c r="Y3083" s="198"/>
      <c r="Z3083" s="198"/>
    </row>
    <row r="3084" spans="1:26" ht="15.75" hidden="1" customHeight="1" x14ac:dyDescent="0.25">
      <c r="A3084" s="213">
        <v>43648</v>
      </c>
      <c r="B3084" s="214" t="s">
        <v>11583</v>
      </c>
      <c r="C3084" s="215" t="s">
        <v>517</v>
      </c>
      <c r="D3084" s="216">
        <v>26.9</v>
      </c>
      <c r="E3084" s="198"/>
      <c r="F3084" s="198"/>
      <c r="G3084" s="198"/>
      <c r="H3084" s="198"/>
      <c r="I3084" s="198"/>
      <c r="J3084" s="198"/>
      <c r="K3084" s="198"/>
      <c r="L3084" s="198"/>
      <c r="M3084" s="198"/>
      <c r="N3084" s="198"/>
      <c r="O3084" s="198"/>
      <c r="P3084" s="198"/>
      <c r="Q3084" s="198"/>
      <c r="R3084" s="198"/>
      <c r="S3084" s="198"/>
      <c r="T3084" s="198"/>
      <c r="U3084" s="198"/>
      <c r="V3084" s="198"/>
      <c r="W3084" s="198"/>
      <c r="X3084" s="198"/>
      <c r="Y3084" s="198"/>
      <c r="Z3084" s="198"/>
    </row>
    <row r="3085" spans="1:26" ht="15.75" hidden="1" customHeight="1" x14ac:dyDescent="0.25">
      <c r="A3085" s="213">
        <v>35693</v>
      </c>
      <c r="B3085" s="214" t="s">
        <v>11584</v>
      </c>
      <c r="C3085" s="215" t="s">
        <v>517</v>
      </c>
      <c r="D3085" s="216">
        <v>11.65</v>
      </c>
      <c r="E3085" s="198"/>
      <c r="F3085" s="198"/>
      <c r="G3085" s="198"/>
      <c r="H3085" s="198"/>
      <c r="I3085" s="198"/>
      <c r="J3085" s="198"/>
      <c r="K3085" s="198"/>
      <c r="L3085" s="198"/>
      <c r="M3085" s="198"/>
      <c r="N3085" s="198"/>
      <c r="O3085" s="198"/>
      <c r="P3085" s="198"/>
      <c r="Q3085" s="198"/>
      <c r="R3085" s="198"/>
      <c r="S3085" s="198"/>
      <c r="T3085" s="198"/>
      <c r="U3085" s="198"/>
      <c r="V3085" s="198"/>
      <c r="W3085" s="198"/>
      <c r="X3085" s="198"/>
      <c r="Y3085" s="198"/>
      <c r="Z3085" s="198"/>
    </row>
    <row r="3086" spans="1:26" ht="15.75" hidden="1" customHeight="1" x14ac:dyDescent="0.25">
      <c r="A3086" s="213">
        <v>7356</v>
      </c>
      <c r="B3086" s="214" t="s">
        <v>11585</v>
      </c>
      <c r="C3086" s="215" t="s">
        <v>517</v>
      </c>
      <c r="D3086" s="216">
        <v>27.93</v>
      </c>
      <c r="E3086" s="198"/>
      <c r="F3086" s="198"/>
      <c r="G3086" s="198"/>
      <c r="H3086" s="198"/>
      <c r="I3086" s="198"/>
      <c r="J3086" s="198"/>
      <c r="K3086" s="198"/>
      <c r="L3086" s="198"/>
      <c r="M3086" s="198"/>
      <c r="N3086" s="198"/>
      <c r="O3086" s="198"/>
      <c r="P3086" s="198"/>
      <c r="Q3086" s="198"/>
      <c r="R3086" s="198"/>
      <c r="S3086" s="198"/>
      <c r="T3086" s="198"/>
      <c r="U3086" s="198"/>
      <c r="V3086" s="198"/>
      <c r="W3086" s="198"/>
      <c r="X3086" s="198"/>
      <c r="Y3086" s="198"/>
      <c r="Z3086" s="198"/>
    </row>
    <row r="3087" spans="1:26" ht="15.75" hidden="1" customHeight="1" x14ac:dyDescent="0.25">
      <c r="A3087" s="213">
        <v>35692</v>
      </c>
      <c r="B3087" s="214" t="s">
        <v>11586</v>
      </c>
      <c r="C3087" s="215" t="s">
        <v>517</v>
      </c>
      <c r="D3087" s="216">
        <v>18.28</v>
      </c>
      <c r="E3087" s="198"/>
      <c r="F3087" s="198"/>
      <c r="G3087" s="198"/>
      <c r="H3087" s="198"/>
      <c r="I3087" s="198"/>
      <c r="J3087" s="198"/>
      <c r="K3087" s="198"/>
      <c r="L3087" s="198"/>
      <c r="M3087" s="198"/>
      <c r="N3087" s="198"/>
      <c r="O3087" s="198"/>
      <c r="P3087" s="198"/>
      <c r="Q3087" s="198"/>
      <c r="R3087" s="198"/>
      <c r="S3087" s="198"/>
      <c r="T3087" s="198"/>
      <c r="U3087" s="198"/>
      <c r="V3087" s="198"/>
      <c r="W3087" s="198"/>
      <c r="X3087" s="198"/>
      <c r="Y3087" s="198"/>
      <c r="Z3087" s="198"/>
    </row>
    <row r="3088" spans="1:26" ht="15.75" hidden="1" customHeight="1" x14ac:dyDescent="0.25">
      <c r="A3088" s="213">
        <v>43624</v>
      </c>
      <c r="B3088" s="214" t="s">
        <v>11587</v>
      </c>
      <c r="C3088" s="215" t="s">
        <v>517</v>
      </c>
      <c r="D3088" s="216">
        <v>34.04</v>
      </c>
      <c r="E3088" s="198"/>
      <c r="F3088" s="198"/>
      <c r="G3088" s="198"/>
      <c r="H3088" s="198"/>
      <c r="I3088" s="198"/>
      <c r="J3088" s="198"/>
      <c r="K3088" s="198"/>
      <c r="L3088" s="198"/>
      <c r="M3088" s="198"/>
      <c r="N3088" s="198"/>
      <c r="O3088" s="198"/>
      <c r="P3088" s="198"/>
      <c r="Q3088" s="198"/>
      <c r="R3088" s="198"/>
      <c r="S3088" s="198"/>
      <c r="T3088" s="198"/>
      <c r="U3088" s="198"/>
      <c r="V3088" s="198"/>
      <c r="W3088" s="198"/>
      <c r="X3088" s="198"/>
      <c r="Y3088" s="198"/>
      <c r="Z3088" s="198"/>
    </row>
    <row r="3089" spans="1:26" ht="15.75" hidden="1" customHeight="1" x14ac:dyDescent="0.25">
      <c r="A3089" s="213">
        <v>7342</v>
      </c>
      <c r="B3089" s="214" t="s">
        <v>11588</v>
      </c>
      <c r="C3089" s="215" t="s">
        <v>823</v>
      </c>
      <c r="D3089" s="216">
        <v>2.2599999999999998</v>
      </c>
      <c r="E3089" s="198"/>
      <c r="F3089" s="198"/>
      <c r="G3089" s="198"/>
      <c r="H3089" s="198"/>
      <c r="I3089" s="198"/>
      <c r="J3089" s="198"/>
      <c r="K3089" s="198"/>
      <c r="L3089" s="198"/>
      <c r="M3089" s="198"/>
      <c r="N3089" s="198"/>
      <c r="O3089" s="198"/>
      <c r="P3089" s="198"/>
      <c r="Q3089" s="198"/>
      <c r="R3089" s="198"/>
      <c r="S3089" s="198"/>
      <c r="T3089" s="198"/>
      <c r="U3089" s="198"/>
      <c r="V3089" s="198"/>
      <c r="W3089" s="198"/>
      <c r="X3089" s="198"/>
      <c r="Y3089" s="198"/>
      <c r="Z3089" s="198"/>
    </row>
    <row r="3090" spans="1:26" ht="15.75" hidden="1" customHeight="1" x14ac:dyDescent="0.25">
      <c r="A3090" s="213">
        <v>7350</v>
      </c>
      <c r="B3090" s="214" t="s">
        <v>11589</v>
      </c>
      <c r="C3090" s="215" t="s">
        <v>517</v>
      </c>
      <c r="D3090" s="216">
        <v>40.31</v>
      </c>
      <c r="E3090" s="198"/>
      <c r="F3090" s="198"/>
      <c r="G3090" s="198"/>
      <c r="H3090" s="198"/>
      <c r="I3090" s="198"/>
      <c r="J3090" s="198"/>
      <c r="K3090" s="198"/>
      <c r="L3090" s="198"/>
      <c r="M3090" s="198"/>
      <c r="N3090" s="198"/>
      <c r="O3090" s="198"/>
      <c r="P3090" s="198"/>
      <c r="Q3090" s="198"/>
      <c r="R3090" s="198"/>
      <c r="S3090" s="198"/>
      <c r="T3090" s="198"/>
      <c r="U3090" s="198"/>
      <c r="V3090" s="198"/>
      <c r="W3090" s="198"/>
      <c r="X3090" s="198"/>
      <c r="Y3090" s="198"/>
      <c r="Z3090" s="198"/>
    </row>
    <row r="3091" spans="1:26" ht="15.75" hidden="1" customHeight="1" x14ac:dyDescent="0.25">
      <c r="A3091" s="213">
        <v>39574</v>
      </c>
      <c r="B3091" s="214" t="s">
        <v>11590</v>
      </c>
      <c r="C3091" s="215" t="s">
        <v>580</v>
      </c>
      <c r="D3091" s="216">
        <v>4.45</v>
      </c>
      <c r="E3091" s="198"/>
      <c r="F3091" s="198"/>
      <c r="G3091" s="198"/>
      <c r="H3091" s="198"/>
      <c r="I3091" s="198"/>
      <c r="J3091" s="198"/>
      <c r="K3091" s="198"/>
      <c r="L3091" s="198"/>
      <c r="M3091" s="198"/>
      <c r="N3091" s="198"/>
      <c r="O3091" s="198"/>
      <c r="P3091" s="198"/>
      <c r="Q3091" s="198"/>
      <c r="R3091" s="198"/>
      <c r="S3091" s="198"/>
      <c r="T3091" s="198"/>
      <c r="U3091" s="198"/>
      <c r="V3091" s="198"/>
      <c r="W3091" s="198"/>
      <c r="X3091" s="198"/>
      <c r="Y3091" s="198"/>
      <c r="Z3091" s="198"/>
    </row>
    <row r="3092" spans="1:26" ht="15.75" hidden="1" customHeight="1" x14ac:dyDescent="0.25">
      <c r="A3092" s="213">
        <v>11060</v>
      </c>
      <c r="B3092" s="214" t="s">
        <v>11591</v>
      </c>
      <c r="C3092" s="215" t="s">
        <v>580</v>
      </c>
      <c r="D3092" s="216">
        <v>31.03</v>
      </c>
      <c r="E3092" s="198"/>
      <c r="F3092" s="198"/>
      <c r="G3092" s="198"/>
      <c r="H3092" s="198"/>
      <c r="I3092" s="198"/>
      <c r="J3092" s="198"/>
      <c r="K3092" s="198"/>
      <c r="L3092" s="198"/>
      <c r="M3092" s="198"/>
      <c r="N3092" s="198"/>
      <c r="O3092" s="198"/>
      <c r="P3092" s="198"/>
      <c r="Q3092" s="198"/>
      <c r="R3092" s="198"/>
      <c r="S3092" s="198"/>
      <c r="T3092" s="198"/>
      <c r="U3092" s="198"/>
      <c r="V3092" s="198"/>
      <c r="W3092" s="198"/>
      <c r="X3092" s="198"/>
      <c r="Y3092" s="198"/>
      <c r="Z3092" s="198"/>
    </row>
    <row r="3093" spans="1:26" ht="15.75" hidden="1" customHeight="1" x14ac:dyDescent="0.25">
      <c r="A3093" s="213">
        <v>37401</v>
      </c>
      <c r="B3093" s="214" t="s">
        <v>11592</v>
      </c>
      <c r="C3093" s="215" t="s">
        <v>580</v>
      </c>
      <c r="D3093" s="216">
        <v>41.52</v>
      </c>
      <c r="E3093" s="198"/>
      <c r="F3093" s="198"/>
      <c r="G3093" s="198"/>
      <c r="H3093" s="198"/>
      <c r="I3093" s="198"/>
      <c r="J3093" s="198"/>
      <c r="K3093" s="198"/>
      <c r="L3093" s="198"/>
      <c r="M3093" s="198"/>
      <c r="N3093" s="198"/>
      <c r="O3093" s="198"/>
      <c r="P3093" s="198"/>
      <c r="Q3093" s="198"/>
      <c r="R3093" s="198"/>
      <c r="S3093" s="198"/>
      <c r="T3093" s="198"/>
      <c r="U3093" s="198"/>
      <c r="V3093" s="198"/>
      <c r="W3093" s="198"/>
      <c r="X3093" s="198"/>
      <c r="Y3093" s="198"/>
      <c r="Z3093" s="198"/>
    </row>
    <row r="3094" spans="1:26" ht="15.75" hidden="1" customHeight="1" x14ac:dyDescent="0.25">
      <c r="A3094" s="213">
        <v>38101</v>
      </c>
      <c r="B3094" s="214" t="s">
        <v>11593</v>
      </c>
      <c r="C3094" s="215" t="s">
        <v>580</v>
      </c>
      <c r="D3094" s="216">
        <v>8.66</v>
      </c>
      <c r="E3094" s="198"/>
      <c r="F3094" s="198"/>
      <c r="G3094" s="198"/>
      <c r="H3094" s="198"/>
      <c r="I3094" s="198"/>
      <c r="J3094" s="198"/>
      <c r="K3094" s="198"/>
      <c r="L3094" s="198"/>
      <c r="M3094" s="198"/>
      <c r="N3094" s="198"/>
      <c r="O3094" s="198"/>
      <c r="P3094" s="198"/>
      <c r="Q3094" s="198"/>
      <c r="R3094" s="198"/>
      <c r="S3094" s="198"/>
      <c r="T3094" s="198"/>
      <c r="U3094" s="198"/>
      <c r="V3094" s="198"/>
      <c r="W3094" s="198"/>
      <c r="X3094" s="198"/>
      <c r="Y3094" s="198"/>
      <c r="Z3094" s="198"/>
    </row>
    <row r="3095" spans="1:26" ht="15.75" hidden="1" customHeight="1" x14ac:dyDescent="0.25">
      <c r="A3095" s="213">
        <v>7528</v>
      </c>
      <c r="B3095" s="214" t="s">
        <v>11594</v>
      </c>
      <c r="C3095" s="215" t="s">
        <v>580</v>
      </c>
      <c r="D3095" s="216">
        <v>10.18</v>
      </c>
      <c r="E3095" s="198"/>
      <c r="F3095" s="198"/>
      <c r="G3095" s="198"/>
      <c r="H3095" s="198"/>
      <c r="I3095" s="198"/>
      <c r="J3095" s="198"/>
      <c r="K3095" s="198"/>
      <c r="L3095" s="198"/>
      <c r="M3095" s="198"/>
      <c r="N3095" s="198"/>
      <c r="O3095" s="198"/>
      <c r="P3095" s="198"/>
      <c r="Q3095" s="198"/>
      <c r="R3095" s="198"/>
      <c r="S3095" s="198"/>
      <c r="T3095" s="198"/>
      <c r="U3095" s="198"/>
      <c r="V3095" s="198"/>
      <c r="W3095" s="198"/>
      <c r="X3095" s="198"/>
      <c r="Y3095" s="198"/>
      <c r="Z3095" s="198"/>
    </row>
    <row r="3096" spans="1:26" ht="15.75" hidden="1" customHeight="1" x14ac:dyDescent="0.25">
      <c r="A3096" s="213">
        <v>12147</v>
      </c>
      <c r="B3096" s="214" t="s">
        <v>11595</v>
      </c>
      <c r="C3096" s="215" t="s">
        <v>580</v>
      </c>
      <c r="D3096" s="216">
        <v>15.52</v>
      </c>
      <c r="E3096" s="198"/>
      <c r="F3096" s="198"/>
      <c r="G3096" s="198"/>
      <c r="H3096" s="198"/>
      <c r="I3096" s="198"/>
      <c r="J3096" s="198"/>
      <c r="K3096" s="198"/>
      <c r="L3096" s="198"/>
      <c r="M3096" s="198"/>
      <c r="N3096" s="198"/>
      <c r="O3096" s="198"/>
      <c r="P3096" s="198"/>
      <c r="Q3096" s="198"/>
      <c r="R3096" s="198"/>
      <c r="S3096" s="198"/>
      <c r="T3096" s="198"/>
      <c r="U3096" s="198"/>
      <c r="V3096" s="198"/>
      <c r="W3096" s="198"/>
      <c r="X3096" s="198"/>
      <c r="Y3096" s="198"/>
      <c r="Z3096" s="198"/>
    </row>
    <row r="3097" spans="1:26" ht="15.75" hidden="1" customHeight="1" x14ac:dyDescent="0.25">
      <c r="A3097" s="213">
        <v>38075</v>
      </c>
      <c r="B3097" s="214" t="s">
        <v>11596</v>
      </c>
      <c r="C3097" s="215" t="s">
        <v>580</v>
      </c>
      <c r="D3097" s="216">
        <v>17.63</v>
      </c>
      <c r="E3097" s="198"/>
      <c r="F3097" s="198"/>
      <c r="G3097" s="198"/>
      <c r="H3097" s="198"/>
      <c r="I3097" s="198"/>
      <c r="J3097" s="198"/>
      <c r="K3097" s="198"/>
      <c r="L3097" s="198"/>
      <c r="M3097" s="198"/>
      <c r="N3097" s="198"/>
      <c r="O3097" s="198"/>
      <c r="P3097" s="198"/>
      <c r="Q3097" s="198"/>
      <c r="R3097" s="198"/>
      <c r="S3097" s="198"/>
      <c r="T3097" s="198"/>
      <c r="U3097" s="198"/>
      <c r="V3097" s="198"/>
      <c r="W3097" s="198"/>
      <c r="X3097" s="198"/>
      <c r="Y3097" s="198"/>
      <c r="Z3097" s="198"/>
    </row>
    <row r="3098" spans="1:26" ht="15.75" hidden="1" customHeight="1" x14ac:dyDescent="0.25">
      <c r="A3098" s="213">
        <v>38102</v>
      </c>
      <c r="B3098" s="214" t="s">
        <v>11597</v>
      </c>
      <c r="C3098" s="215" t="s">
        <v>580</v>
      </c>
      <c r="D3098" s="216">
        <v>11.08</v>
      </c>
      <c r="E3098" s="198"/>
      <c r="F3098" s="198"/>
      <c r="G3098" s="198"/>
      <c r="H3098" s="198"/>
      <c r="I3098" s="198"/>
      <c r="J3098" s="198"/>
      <c r="K3098" s="198"/>
      <c r="L3098" s="198"/>
      <c r="M3098" s="198"/>
      <c r="N3098" s="198"/>
      <c r="O3098" s="198"/>
      <c r="P3098" s="198"/>
      <c r="Q3098" s="198"/>
      <c r="R3098" s="198"/>
      <c r="S3098" s="198"/>
      <c r="T3098" s="198"/>
      <c r="U3098" s="198"/>
      <c r="V3098" s="198"/>
      <c r="W3098" s="198"/>
      <c r="X3098" s="198"/>
      <c r="Y3098" s="198"/>
      <c r="Z3098" s="198"/>
    </row>
    <row r="3099" spans="1:26" ht="15.75" hidden="1" customHeight="1" x14ac:dyDescent="0.25">
      <c r="A3099" s="213">
        <v>7525</v>
      </c>
      <c r="B3099" s="214" t="s">
        <v>11598</v>
      </c>
      <c r="C3099" s="215" t="s">
        <v>580</v>
      </c>
      <c r="D3099" s="216">
        <v>50.12</v>
      </c>
      <c r="E3099" s="198"/>
      <c r="F3099" s="198"/>
      <c r="G3099" s="198"/>
      <c r="H3099" s="198"/>
      <c r="I3099" s="198"/>
      <c r="J3099" s="198"/>
      <c r="K3099" s="198"/>
      <c r="L3099" s="198"/>
      <c r="M3099" s="198"/>
      <c r="N3099" s="198"/>
      <c r="O3099" s="198"/>
      <c r="P3099" s="198"/>
      <c r="Q3099" s="198"/>
      <c r="R3099" s="198"/>
      <c r="S3099" s="198"/>
      <c r="T3099" s="198"/>
      <c r="U3099" s="198"/>
      <c r="V3099" s="198"/>
      <c r="W3099" s="198"/>
      <c r="X3099" s="198"/>
      <c r="Y3099" s="198"/>
      <c r="Z3099" s="198"/>
    </row>
    <row r="3100" spans="1:26" ht="15.75" hidden="1" customHeight="1" x14ac:dyDescent="0.25">
      <c r="A3100" s="213">
        <v>7524</v>
      </c>
      <c r="B3100" s="214" t="s">
        <v>11599</v>
      </c>
      <c r="C3100" s="215" t="s">
        <v>580</v>
      </c>
      <c r="D3100" s="216">
        <v>47.23</v>
      </c>
      <c r="E3100" s="198"/>
      <c r="F3100" s="198"/>
      <c r="G3100" s="198"/>
      <c r="H3100" s="198"/>
      <c r="I3100" s="198"/>
      <c r="J3100" s="198"/>
      <c r="K3100" s="198"/>
      <c r="L3100" s="198"/>
      <c r="M3100" s="198"/>
      <c r="N3100" s="198"/>
      <c r="O3100" s="198"/>
      <c r="P3100" s="198"/>
      <c r="Q3100" s="198"/>
      <c r="R3100" s="198"/>
      <c r="S3100" s="198"/>
      <c r="T3100" s="198"/>
      <c r="U3100" s="198"/>
      <c r="V3100" s="198"/>
      <c r="W3100" s="198"/>
      <c r="X3100" s="198"/>
      <c r="Y3100" s="198"/>
      <c r="Z3100" s="198"/>
    </row>
    <row r="3101" spans="1:26" ht="15.75" hidden="1" customHeight="1" x14ac:dyDescent="0.25">
      <c r="A3101" s="213">
        <v>38105</v>
      </c>
      <c r="B3101" s="214" t="s">
        <v>11600</v>
      </c>
      <c r="C3101" s="215" t="s">
        <v>580</v>
      </c>
      <c r="D3101" s="216">
        <v>12.13</v>
      </c>
      <c r="E3101" s="198"/>
      <c r="F3101" s="198"/>
      <c r="G3101" s="198"/>
      <c r="H3101" s="198"/>
      <c r="I3101" s="198"/>
      <c r="J3101" s="198"/>
      <c r="K3101" s="198"/>
      <c r="L3101" s="198"/>
      <c r="M3101" s="198"/>
      <c r="N3101" s="198"/>
      <c r="O3101" s="198"/>
      <c r="P3101" s="198"/>
      <c r="Q3101" s="198"/>
      <c r="R3101" s="198"/>
      <c r="S3101" s="198"/>
      <c r="T3101" s="198"/>
      <c r="U3101" s="198"/>
      <c r="V3101" s="198"/>
      <c r="W3101" s="198"/>
      <c r="X3101" s="198"/>
      <c r="Y3101" s="198"/>
      <c r="Z3101" s="198"/>
    </row>
    <row r="3102" spans="1:26" ht="15.75" hidden="1" customHeight="1" x14ac:dyDescent="0.25">
      <c r="A3102" s="213">
        <v>38084</v>
      </c>
      <c r="B3102" s="214" t="s">
        <v>11601</v>
      </c>
      <c r="C3102" s="215" t="s">
        <v>580</v>
      </c>
      <c r="D3102" s="216">
        <v>17.23</v>
      </c>
      <c r="E3102" s="198"/>
      <c r="F3102" s="198"/>
      <c r="G3102" s="198"/>
      <c r="H3102" s="198"/>
      <c r="I3102" s="198"/>
      <c r="J3102" s="198"/>
      <c r="K3102" s="198"/>
      <c r="L3102" s="198"/>
      <c r="M3102" s="198"/>
      <c r="N3102" s="198"/>
      <c r="O3102" s="198"/>
      <c r="P3102" s="198"/>
      <c r="Q3102" s="198"/>
      <c r="R3102" s="198"/>
      <c r="S3102" s="198"/>
      <c r="T3102" s="198"/>
      <c r="U3102" s="198"/>
      <c r="V3102" s="198"/>
      <c r="W3102" s="198"/>
      <c r="X3102" s="198"/>
      <c r="Y3102" s="198"/>
      <c r="Z3102" s="198"/>
    </row>
    <row r="3103" spans="1:26" ht="15.75" hidden="1" customHeight="1" x14ac:dyDescent="0.25">
      <c r="A3103" s="213">
        <v>38103</v>
      </c>
      <c r="B3103" s="214" t="s">
        <v>11602</v>
      </c>
      <c r="C3103" s="215" t="s">
        <v>580</v>
      </c>
      <c r="D3103" s="216">
        <v>18.21</v>
      </c>
      <c r="E3103" s="198"/>
      <c r="F3103" s="198"/>
      <c r="G3103" s="198"/>
      <c r="H3103" s="198"/>
      <c r="I3103" s="198"/>
      <c r="J3103" s="198"/>
      <c r="K3103" s="198"/>
      <c r="L3103" s="198"/>
      <c r="M3103" s="198"/>
      <c r="N3103" s="198"/>
      <c r="O3103" s="198"/>
      <c r="P3103" s="198"/>
      <c r="Q3103" s="198"/>
      <c r="R3103" s="198"/>
      <c r="S3103" s="198"/>
      <c r="T3103" s="198"/>
      <c r="U3103" s="198"/>
      <c r="V3103" s="198"/>
      <c r="W3103" s="198"/>
      <c r="X3103" s="198"/>
      <c r="Y3103" s="198"/>
      <c r="Z3103" s="198"/>
    </row>
    <row r="3104" spans="1:26" ht="15.75" hidden="1" customHeight="1" x14ac:dyDescent="0.25">
      <c r="A3104" s="213">
        <v>38082</v>
      </c>
      <c r="B3104" s="214" t="s">
        <v>11603</v>
      </c>
      <c r="C3104" s="215" t="s">
        <v>580</v>
      </c>
      <c r="D3104" s="216">
        <v>22.44</v>
      </c>
      <c r="E3104" s="198"/>
      <c r="F3104" s="198"/>
      <c r="G3104" s="198"/>
      <c r="H3104" s="198"/>
      <c r="I3104" s="198"/>
      <c r="J3104" s="198"/>
      <c r="K3104" s="198"/>
      <c r="L3104" s="198"/>
      <c r="M3104" s="198"/>
      <c r="N3104" s="198"/>
      <c r="O3104" s="198"/>
      <c r="P3104" s="198"/>
      <c r="Q3104" s="198"/>
      <c r="R3104" s="198"/>
      <c r="S3104" s="198"/>
      <c r="T3104" s="198"/>
      <c r="U3104" s="198"/>
      <c r="V3104" s="198"/>
      <c r="W3104" s="198"/>
      <c r="X3104" s="198"/>
      <c r="Y3104" s="198"/>
      <c r="Z3104" s="198"/>
    </row>
    <row r="3105" spans="1:26" ht="15.75" hidden="1" customHeight="1" x14ac:dyDescent="0.25">
      <c r="A3105" s="213">
        <v>38104</v>
      </c>
      <c r="B3105" s="214" t="s">
        <v>11604</v>
      </c>
      <c r="C3105" s="215" t="s">
        <v>580</v>
      </c>
      <c r="D3105" s="216">
        <v>35.659999999999997</v>
      </c>
      <c r="E3105" s="198"/>
      <c r="F3105" s="198"/>
      <c r="G3105" s="198"/>
      <c r="H3105" s="198"/>
      <c r="I3105" s="198"/>
      <c r="J3105" s="198"/>
      <c r="K3105" s="198"/>
      <c r="L3105" s="198"/>
      <c r="M3105" s="198"/>
      <c r="N3105" s="198"/>
      <c r="O3105" s="198"/>
      <c r="P3105" s="198"/>
      <c r="Q3105" s="198"/>
      <c r="R3105" s="198"/>
      <c r="S3105" s="198"/>
      <c r="T3105" s="198"/>
      <c r="U3105" s="198"/>
      <c r="V3105" s="198"/>
      <c r="W3105" s="198"/>
      <c r="X3105" s="198"/>
      <c r="Y3105" s="198"/>
      <c r="Z3105" s="198"/>
    </row>
    <row r="3106" spans="1:26" ht="15.75" hidden="1" customHeight="1" x14ac:dyDescent="0.25">
      <c r="A3106" s="213">
        <v>38083</v>
      </c>
      <c r="B3106" s="214" t="s">
        <v>11605</v>
      </c>
      <c r="C3106" s="215" t="s">
        <v>580</v>
      </c>
      <c r="D3106" s="216">
        <v>39.6</v>
      </c>
      <c r="E3106" s="198"/>
      <c r="F3106" s="198"/>
      <c r="G3106" s="198"/>
      <c r="H3106" s="198"/>
      <c r="I3106" s="198"/>
      <c r="J3106" s="198"/>
      <c r="K3106" s="198"/>
      <c r="L3106" s="198"/>
      <c r="M3106" s="198"/>
      <c r="N3106" s="198"/>
      <c r="O3106" s="198"/>
      <c r="P3106" s="198"/>
      <c r="Q3106" s="198"/>
      <c r="R3106" s="198"/>
      <c r="S3106" s="198"/>
      <c r="T3106" s="198"/>
      <c r="U3106" s="198"/>
      <c r="V3106" s="198"/>
      <c r="W3106" s="198"/>
      <c r="X3106" s="198"/>
      <c r="Y3106" s="198"/>
      <c r="Z3106" s="198"/>
    </row>
    <row r="3107" spans="1:26" ht="15.75" hidden="1" customHeight="1" x14ac:dyDescent="0.25">
      <c r="A3107" s="213">
        <v>38076</v>
      </c>
      <c r="B3107" s="214" t="s">
        <v>11606</v>
      </c>
      <c r="C3107" s="215" t="s">
        <v>580</v>
      </c>
      <c r="D3107" s="216">
        <v>19.77</v>
      </c>
      <c r="E3107" s="198"/>
      <c r="F3107" s="198"/>
      <c r="G3107" s="198"/>
      <c r="H3107" s="198"/>
      <c r="I3107" s="198"/>
      <c r="J3107" s="198"/>
      <c r="K3107" s="198"/>
      <c r="L3107" s="198"/>
      <c r="M3107" s="198"/>
      <c r="N3107" s="198"/>
      <c r="O3107" s="198"/>
      <c r="P3107" s="198"/>
      <c r="Q3107" s="198"/>
      <c r="R3107" s="198"/>
      <c r="S3107" s="198"/>
      <c r="T3107" s="198"/>
      <c r="U3107" s="198"/>
      <c r="V3107" s="198"/>
      <c r="W3107" s="198"/>
      <c r="X3107" s="198"/>
      <c r="Y3107" s="198"/>
      <c r="Z3107" s="198"/>
    </row>
    <row r="3108" spans="1:26" ht="15.75" hidden="1" customHeight="1" x14ac:dyDescent="0.25">
      <c r="A3108" s="213">
        <v>7592</v>
      </c>
      <c r="B3108" s="214" t="s">
        <v>11607</v>
      </c>
      <c r="C3108" s="215" t="s">
        <v>2193</v>
      </c>
      <c r="D3108" s="216">
        <v>27.06</v>
      </c>
      <c r="E3108" s="198"/>
      <c r="F3108" s="198"/>
      <c r="G3108" s="198"/>
      <c r="H3108" s="198"/>
      <c r="I3108" s="198"/>
      <c r="J3108" s="198"/>
      <c r="K3108" s="198"/>
      <c r="L3108" s="198"/>
      <c r="M3108" s="198"/>
      <c r="N3108" s="198"/>
      <c r="O3108" s="198"/>
      <c r="P3108" s="198"/>
      <c r="Q3108" s="198"/>
      <c r="R3108" s="198"/>
      <c r="S3108" s="198"/>
      <c r="T3108" s="198"/>
      <c r="U3108" s="198"/>
      <c r="V3108" s="198"/>
      <c r="W3108" s="198"/>
      <c r="X3108" s="198"/>
      <c r="Y3108" s="198"/>
      <c r="Z3108" s="198"/>
    </row>
    <row r="3109" spans="1:26" ht="15.75" hidden="1" customHeight="1" x14ac:dyDescent="0.25">
      <c r="A3109" s="213">
        <v>40820</v>
      </c>
      <c r="B3109" s="214" t="s">
        <v>11608</v>
      </c>
      <c r="C3109" s="215" t="s">
        <v>6214</v>
      </c>
      <c r="D3109" s="216">
        <v>4747.54</v>
      </c>
      <c r="E3109" s="198"/>
      <c r="F3109" s="198"/>
      <c r="G3109" s="198"/>
      <c r="H3109" s="198"/>
      <c r="I3109" s="198"/>
      <c r="J3109" s="198"/>
      <c r="K3109" s="198"/>
      <c r="L3109" s="198"/>
      <c r="M3109" s="198"/>
      <c r="N3109" s="198"/>
      <c r="O3109" s="198"/>
      <c r="P3109" s="198"/>
      <c r="Q3109" s="198"/>
      <c r="R3109" s="198"/>
      <c r="S3109" s="198"/>
      <c r="T3109" s="198"/>
      <c r="U3109" s="198"/>
      <c r="V3109" s="198"/>
      <c r="W3109" s="198"/>
      <c r="X3109" s="198"/>
      <c r="Y3109" s="198"/>
      <c r="Z3109" s="198"/>
    </row>
    <row r="3110" spans="1:26" ht="15.75" hidden="1" customHeight="1" x14ac:dyDescent="0.25">
      <c r="A3110" s="213">
        <v>11826</v>
      </c>
      <c r="B3110" s="214" t="s">
        <v>11609</v>
      </c>
      <c r="C3110" s="215" t="s">
        <v>580</v>
      </c>
      <c r="D3110" s="216">
        <v>60.98</v>
      </c>
      <c r="E3110" s="198"/>
      <c r="F3110" s="198"/>
      <c r="G3110" s="198"/>
      <c r="H3110" s="198"/>
      <c r="I3110" s="198"/>
      <c r="J3110" s="198"/>
      <c r="K3110" s="198"/>
      <c r="L3110" s="198"/>
      <c r="M3110" s="198"/>
      <c r="N3110" s="198"/>
      <c r="O3110" s="198"/>
      <c r="P3110" s="198"/>
      <c r="Q3110" s="198"/>
      <c r="R3110" s="198"/>
      <c r="S3110" s="198"/>
      <c r="T3110" s="198"/>
      <c r="U3110" s="198"/>
      <c r="V3110" s="198"/>
      <c r="W3110" s="198"/>
      <c r="X3110" s="198"/>
      <c r="Y3110" s="198"/>
      <c r="Z3110" s="198"/>
    </row>
    <row r="3111" spans="1:26" ht="15.75" hidden="1" customHeight="1" x14ac:dyDescent="0.25">
      <c r="A3111" s="213">
        <v>7606</v>
      </c>
      <c r="B3111" s="214" t="s">
        <v>11610</v>
      </c>
      <c r="C3111" s="215" t="s">
        <v>580</v>
      </c>
      <c r="D3111" s="216">
        <v>73.33</v>
      </c>
      <c r="E3111" s="198"/>
      <c r="F3111" s="198"/>
      <c r="G3111" s="198"/>
      <c r="H3111" s="198"/>
      <c r="I3111" s="198"/>
      <c r="J3111" s="198"/>
      <c r="K3111" s="198"/>
      <c r="L3111" s="198"/>
      <c r="M3111" s="198"/>
      <c r="N3111" s="198"/>
      <c r="O3111" s="198"/>
      <c r="P3111" s="198"/>
      <c r="Q3111" s="198"/>
      <c r="R3111" s="198"/>
      <c r="S3111" s="198"/>
      <c r="T3111" s="198"/>
      <c r="U3111" s="198"/>
      <c r="V3111" s="198"/>
      <c r="W3111" s="198"/>
      <c r="X3111" s="198"/>
      <c r="Y3111" s="198"/>
      <c r="Z3111" s="198"/>
    </row>
    <row r="3112" spans="1:26" ht="15.75" hidden="1" customHeight="1" x14ac:dyDescent="0.25">
      <c r="A3112" s="213">
        <v>11825</v>
      </c>
      <c r="B3112" s="214" t="s">
        <v>11611</v>
      </c>
      <c r="C3112" s="215" t="s">
        <v>580</v>
      </c>
      <c r="D3112" s="216">
        <v>77.14</v>
      </c>
      <c r="E3112" s="198"/>
      <c r="F3112" s="198"/>
      <c r="G3112" s="198"/>
      <c r="H3112" s="198"/>
      <c r="I3112" s="198"/>
      <c r="J3112" s="198"/>
      <c r="K3112" s="198"/>
      <c r="L3112" s="198"/>
      <c r="M3112" s="198"/>
      <c r="N3112" s="198"/>
      <c r="O3112" s="198"/>
      <c r="P3112" s="198"/>
      <c r="Q3112" s="198"/>
      <c r="R3112" s="198"/>
      <c r="S3112" s="198"/>
      <c r="T3112" s="198"/>
      <c r="U3112" s="198"/>
      <c r="V3112" s="198"/>
      <c r="W3112" s="198"/>
      <c r="X3112" s="198"/>
      <c r="Y3112" s="198"/>
      <c r="Z3112" s="198"/>
    </row>
    <row r="3113" spans="1:26" ht="15.75" hidden="1" customHeight="1" x14ac:dyDescent="0.25">
      <c r="A3113" s="213">
        <v>11767</v>
      </c>
      <c r="B3113" s="214" t="s">
        <v>11612</v>
      </c>
      <c r="C3113" s="215" t="s">
        <v>580</v>
      </c>
      <c r="D3113" s="216">
        <v>205.47</v>
      </c>
      <c r="E3113" s="198"/>
      <c r="F3113" s="198"/>
      <c r="G3113" s="198"/>
      <c r="H3113" s="198"/>
      <c r="I3113" s="198"/>
      <c r="J3113" s="198"/>
      <c r="K3113" s="198"/>
      <c r="L3113" s="198"/>
      <c r="M3113" s="198"/>
      <c r="N3113" s="198"/>
      <c r="O3113" s="198"/>
      <c r="P3113" s="198"/>
      <c r="Q3113" s="198"/>
      <c r="R3113" s="198"/>
      <c r="S3113" s="198"/>
      <c r="T3113" s="198"/>
      <c r="U3113" s="198"/>
      <c r="V3113" s="198"/>
      <c r="W3113" s="198"/>
      <c r="X3113" s="198"/>
      <c r="Y3113" s="198"/>
      <c r="Z3113" s="198"/>
    </row>
    <row r="3114" spans="1:26" ht="15.75" hidden="1" customHeight="1" x14ac:dyDescent="0.25">
      <c r="A3114" s="213">
        <v>11763</v>
      </c>
      <c r="B3114" s="214" t="s">
        <v>11613</v>
      </c>
      <c r="C3114" s="215" t="s">
        <v>580</v>
      </c>
      <c r="D3114" s="216">
        <v>160.15</v>
      </c>
      <c r="E3114" s="198"/>
      <c r="F3114" s="198"/>
      <c r="G3114" s="198"/>
      <c r="H3114" s="198"/>
      <c r="I3114" s="198"/>
      <c r="J3114" s="198"/>
      <c r="K3114" s="198"/>
      <c r="L3114" s="198"/>
      <c r="M3114" s="198"/>
      <c r="N3114" s="198"/>
      <c r="O3114" s="198"/>
      <c r="P3114" s="198"/>
      <c r="Q3114" s="198"/>
      <c r="R3114" s="198"/>
      <c r="S3114" s="198"/>
      <c r="T3114" s="198"/>
      <c r="U3114" s="198"/>
      <c r="V3114" s="198"/>
      <c r="W3114" s="198"/>
      <c r="X3114" s="198"/>
      <c r="Y3114" s="198"/>
      <c r="Z3114" s="198"/>
    </row>
    <row r="3115" spans="1:26" ht="15.75" hidden="1" customHeight="1" x14ac:dyDescent="0.25">
      <c r="A3115" s="213">
        <v>11764</v>
      </c>
      <c r="B3115" s="214" t="s">
        <v>11614</v>
      </c>
      <c r="C3115" s="215" t="s">
        <v>580</v>
      </c>
      <c r="D3115" s="216">
        <v>131.38999999999999</v>
      </c>
      <c r="E3115" s="198"/>
      <c r="F3115" s="198"/>
      <c r="G3115" s="198"/>
      <c r="H3115" s="198"/>
      <c r="I3115" s="198"/>
      <c r="J3115" s="198"/>
      <c r="K3115" s="198"/>
      <c r="L3115" s="198"/>
      <c r="M3115" s="198"/>
      <c r="N3115" s="198"/>
      <c r="O3115" s="198"/>
      <c r="P3115" s="198"/>
      <c r="Q3115" s="198"/>
      <c r="R3115" s="198"/>
      <c r="S3115" s="198"/>
      <c r="T3115" s="198"/>
      <c r="U3115" s="198"/>
      <c r="V3115" s="198"/>
      <c r="W3115" s="198"/>
      <c r="X3115" s="198"/>
      <c r="Y3115" s="198"/>
      <c r="Z3115" s="198"/>
    </row>
    <row r="3116" spans="1:26" ht="15.75" hidden="1" customHeight="1" x14ac:dyDescent="0.25">
      <c r="A3116" s="213">
        <v>11829</v>
      </c>
      <c r="B3116" s="214" t="s">
        <v>11615</v>
      </c>
      <c r="C3116" s="215" t="s">
        <v>580</v>
      </c>
      <c r="D3116" s="216">
        <v>31.76</v>
      </c>
      <c r="E3116" s="198"/>
      <c r="F3116" s="198"/>
      <c r="G3116" s="198"/>
      <c r="H3116" s="198"/>
      <c r="I3116" s="198"/>
      <c r="J3116" s="198"/>
      <c r="K3116" s="198"/>
      <c r="L3116" s="198"/>
      <c r="M3116" s="198"/>
      <c r="N3116" s="198"/>
      <c r="O3116" s="198"/>
      <c r="P3116" s="198"/>
      <c r="Q3116" s="198"/>
      <c r="R3116" s="198"/>
      <c r="S3116" s="198"/>
      <c r="T3116" s="198"/>
      <c r="U3116" s="198"/>
      <c r="V3116" s="198"/>
      <c r="W3116" s="198"/>
      <c r="X3116" s="198"/>
      <c r="Y3116" s="198"/>
      <c r="Z3116" s="198"/>
    </row>
    <row r="3117" spans="1:26" ht="15.75" hidden="1" customHeight="1" x14ac:dyDescent="0.25">
      <c r="A3117" s="213">
        <v>11830</v>
      </c>
      <c r="B3117" s="214" t="s">
        <v>11616</v>
      </c>
      <c r="C3117" s="215" t="s">
        <v>580</v>
      </c>
      <c r="D3117" s="216">
        <v>34.29</v>
      </c>
      <c r="E3117" s="198"/>
      <c r="F3117" s="198"/>
      <c r="G3117" s="198"/>
      <c r="H3117" s="198"/>
      <c r="I3117" s="198"/>
      <c r="J3117" s="198"/>
      <c r="K3117" s="198"/>
      <c r="L3117" s="198"/>
      <c r="M3117" s="198"/>
      <c r="N3117" s="198"/>
      <c r="O3117" s="198"/>
      <c r="P3117" s="198"/>
      <c r="Q3117" s="198"/>
      <c r="R3117" s="198"/>
      <c r="S3117" s="198"/>
      <c r="T3117" s="198"/>
      <c r="U3117" s="198"/>
      <c r="V3117" s="198"/>
      <c r="W3117" s="198"/>
      <c r="X3117" s="198"/>
      <c r="Y3117" s="198"/>
      <c r="Z3117" s="198"/>
    </row>
    <row r="3118" spans="1:26" ht="15.75" hidden="1" customHeight="1" x14ac:dyDescent="0.25">
      <c r="A3118" s="213">
        <v>11765</v>
      </c>
      <c r="B3118" s="214" t="s">
        <v>11617</v>
      </c>
      <c r="C3118" s="215" t="s">
        <v>580</v>
      </c>
      <c r="D3118" s="216">
        <v>87.56</v>
      </c>
      <c r="E3118" s="198"/>
      <c r="F3118" s="198"/>
      <c r="G3118" s="198"/>
      <c r="H3118" s="198"/>
      <c r="I3118" s="198"/>
      <c r="J3118" s="198"/>
      <c r="K3118" s="198"/>
      <c r="L3118" s="198"/>
      <c r="M3118" s="198"/>
      <c r="N3118" s="198"/>
      <c r="O3118" s="198"/>
      <c r="P3118" s="198"/>
      <c r="Q3118" s="198"/>
      <c r="R3118" s="198"/>
      <c r="S3118" s="198"/>
      <c r="T3118" s="198"/>
      <c r="U3118" s="198"/>
      <c r="V3118" s="198"/>
      <c r="W3118" s="198"/>
      <c r="X3118" s="198"/>
      <c r="Y3118" s="198"/>
      <c r="Z3118" s="198"/>
    </row>
    <row r="3119" spans="1:26" ht="15.75" hidden="1" customHeight="1" x14ac:dyDescent="0.25">
      <c r="A3119" s="213">
        <v>11766</v>
      </c>
      <c r="B3119" s="214" t="s">
        <v>11618</v>
      </c>
      <c r="C3119" s="215" t="s">
        <v>580</v>
      </c>
      <c r="D3119" s="216">
        <v>47.9</v>
      </c>
      <c r="E3119" s="198"/>
      <c r="F3119" s="198"/>
      <c r="G3119" s="198"/>
      <c r="H3119" s="198"/>
      <c r="I3119" s="198"/>
      <c r="J3119" s="198"/>
      <c r="K3119" s="198"/>
      <c r="L3119" s="198"/>
      <c r="M3119" s="198"/>
      <c r="N3119" s="198"/>
      <c r="O3119" s="198"/>
      <c r="P3119" s="198"/>
      <c r="Q3119" s="198"/>
      <c r="R3119" s="198"/>
      <c r="S3119" s="198"/>
      <c r="T3119" s="198"/>
      <c r="U3119" s="198"/>
      <c r="V3119" s="198"/>
      <c r="W3119" s="198"/>
      <c r="X3119" s="198"/>
      <c r="Y3119" s="198"/>
      <c r="Z3119" s="198"/>
    </row>
    <row r="3120" spans="1:26" ht="15.75" hidden="1" customHeight="1" x14ac:dyDescent="0.25">
      <c r="A3120" s="213">
        <v>11824</v>
      </c>
      <c r="B3120" s="214" t="s">
        <v>11619</v>
      </c>
      <c r="C3120" s="215" t="s">
        <v>580</v>
      </c>
      <c r="D3120" s="216">
        <v>56.34</v>
      </c>
      <c r="E3120" s="198"/>
      <c r="F3120" s="198"/>
      <c r="G3120" s="198"/>
      <c r="H3120" s="198"/>
      <c r="I3120" s="198"/>
      <c r="J3120" s="198"/>
      <c r="K3120" s="198"/>
      <c r="L3120" s="198"/>
      <c r="M3120" s="198"/>
      <c r="N3120" s="198"/>
      <c r="O3120" s="198"/>
      <c r="P3120" s="198"/>
      <c r="Q3120" s="198"/>
      <c r="R3120" s="198"/>
      <c r="S3120" s="198"/>
      <c r="T3120" s="198"/>
      <c r="U3120" s="198"/>
      <c r="V3120" s="198"/>
      <c r="W3120" s="198"/>
      <c r="X3120" s="198"/>
      <c r="Y3120" s="198"/>
      <c r="Z3120" s="198"/>
    </row>
    <row r="3121" spans="1:26" ht="15.75" hidden="1" customHeight="1" x14ac:dyDescent="0.25">
      <c r="A3121" s="213">
        <v>44045</v>
      </c>
      <c r="B3121" s="214" t="s">
        <v>11620</v>
      </c>
      <c r="C3121" s="215" t="s">
        <v>580</v>
      </c>
      <c r="D3121" s="216">
        <v>301.08999999999997</v>
      </c>
      <c r="E3121" s="198"/>
      <c r="F3121" s="198"/>
      <c r="G3121" s="198"/>
      <c r="H3121" s="198"/>
      <c r="I3121" s="198"/>
      <c r="J3121" s="198"/>
      <c r="K3121" s="198"/>
      <c r="L3121" s="198"/>
      <c r="M3121" s="198"/>
      <c r="N3121" s="198"/>
      <c r="O3121" s="198"/>
      <c r="P3121" s="198"/>
      <c r="Q3121" s="198"/>
      <c r="R3121" s="198"/>
      <c r="S3121" s="198"/>
      <c r="T3121" s="198"/>
      <c r="U3121" s="198"/>
      <c r="V3121" s="198"/>
      <c r="W3121" s="198"/>
      <c r="X3121" s="198"/>
      <c r="Y3121" s="198"/>
      <c r="Z3121" s="198"/>
    </row>
    <row r="3122" spans="1:26" ht="15.75" hidden="1" customHeight="1" x14ac:dyDescent="0.25">
      <c r="A3122" s="213">
        <v>39702</v>
      </c>
      <c r="B3122" s="214" t="s">
        <v>11621</v>
      </c>
      <c r="C3122" s="215" t="s">
        <v>580</v>
      </c>
      <c r="D3122" s="216">
        <v>1999.64</v>
      </c>
      <c r="E3122" s="198"/>
      <c r="F3122" s="198"/>
      <c r="G3122" s="198"/>
      <c r="H3122" s="198"/>
      <c r="I3122" s="198"/>
      <c r="J3122" s="198"/>
      <c r="K3122" s="198"/>
      <c r="L3122" s="198"/>
      <c r="M3122" s="198"/>
      <c r="N3122" s="198"/>
      <c r="O3122" s="198"/>
      <c r="P3122" s="198"/>
      <c r="Q3122" s="198"/>
      <c r="R3122" s="198"/>
      <c r="S3122" s="198"/>
      <c r="T3122" s="198"/>
      <c r="U3122" s="198"/>
      <c r="V3122" s="198"/>
      <c r="W3122" s="198"/>
      <c r="X3122" s="198"/>
      <c r="Y3122" s="198"/>
      <c r="Z3122" s="198"/>
    </row>
    <row r="3123" spans="1:26" ht="15.75" hidden="1" customHeight="1" x14ac:dyDescent="0.25">
      <c r="A3123" s="213">
        <v>13415</v>
      </c>
      <c r="B3123" s="214" t="s">
        <v>11622</v>
      </c>
      <c r="C3123" s="215" t="s">
        <v>580</v>
      </c>
      <c r="D3123" s="216">
        <v>65.650000000000006</v>
      </c>
      <c r="E3123" s="198"/>
      <c r="F3123" s="198"/>
      <c r="G3123" s="198"/>
      <c r="H3123" s="198"/>
      <c r="I3123" s="198"/>
      <c r="J3123" s="198"/>
      <c r="K3123" s="198"/>
      <c r="L3123" s="198"/>
      <c r="M3123" s="198"/>
      <c r="N3123" s="198"/>
      <c r="O3123" s="198"/>
      <c r="P3123" s="198"/>
      <c r="Q3123" s="198"/>
      <c r="R3123" s="198"/>
      <c r="S3123" s="198"/>
      <c r="T3123" s="198"/>
      <c r="U3123" s="198"/>
      <c r="V3123" s="198"/>
      <c r="W3123" s="198"/>
      <c r="X3123" s="198"/>
      <c r="Y3123" s="198"/>
      <c r="Z3123" s="198"/>
    </row>
    <row r="3124" spans="1:26" ht="15.75" hidden="1" customHeight="1" x14ac:dyDescent="0.25">
      <c r="A3124" s="213">
        <v>7602</v>
      </c>
      <c r="B3124" s="214" t="s">
        <v>11623</v>
      </c>
      <c r="C3124" s="215" t="s">
        <v>580</v>
      </c>
      <c r="D3124" s="216">
        <v>41.89</v>
      </c>
      <c r="E3124" s="198"/>
      <c r="F3124" s="198"/>
      <c r="G3124" s="198"/>
      <c r="H3124" s="198"/>
      <c r="I3124" s="198"/>
      <c r="J3124" s="198"/>
      <c r="K3124" s="198"/>
      <c r="L3124" s="198"/>
      <c r="M3124" s="198"/>
      <c r="N3124" s="198"/>
      <c r="O3124" s="198"/>
      <c r="P3124" s="198"/>
      <c r="Q3124" s="198"/>
      <c r="R3124" s="198"/>
      <c r="S3124" s="198"/>
      <c r="T3124" s="198"/>
      <c r="U3124" s="198"/>
      <c r="V3124" s="198"/>
      <c r="W3124" s="198"/>
      <c r="X3124" s="198"/>
      <c r="Y3124" s="198"/>
      <c r="Z3124" s="198"/>
    </row>
    <row r="3125" spans="1:26" ht="15.75" hidden="1" customHeight="1" x14ac:dyDescent="0.25">
      <c r="A3125" s="213">
        <v>7603</v>
      </c>
      <c r="B3125" s="214" t="s">
        <v>11624</v>
      </c>
      <c r="C3125" s="215" t="s">
        <v>580</v>
      </c>
      <c r="D3125" s="216">
        <v>35.54</v>
      </c>
      <c r="E3125" s="198"/>
      <c r="F3125" s="198"/>
      <c r="G3125" s="198"/>
      <c r="H3125" s="198"/>
      <c r="I3125" s="198"/>
      <c r="J3125" s="198"/>
      <c r="K3125" s="198"/>
      <c r="L3125" s="198"/>
      <c r="M3125" s="198"/>
      <c r="N3125" s="198"/>
      <c r="O3125" s="198"/>
      <c r="P3125" s="198"/>
      <c r="Q3125" s="198"/>
      <c r="R3125" s="198"/>
      <c r="S3125" s="198"/>
      <c r="T3125" s="198"/>
      <c r="U3125" s="198"/>
      <c r="V3125" s="198"/>
      <c r="W3125" s="198"/>
      <c r="X3125" s="198"/>
      <c r="Y3125" s="198"/>
      <c r="Z3125" s="198"/>
    </row>
    <row r="3126" spans="1:26" ht="15.75" hidden="1" customHeight="1" x14ac:dyDescent="0.25">
      <c r="A3126" s="213">
        <v>11777</v>
      </c>
      <c r="B3126" s="214" t="s">
        <v>11625</v>
      </c>
      <c r="C3126" s="215" t="s">
        <v>580</v>
      </c>
      <c r="D3126" s="216">
        <v>210.44</v>
      </c>
      <c r="E3126" s="198"/>
      <c r="F3126" s="198"/>
      <c r="G3126" s="198"/>
      <c r="H3126" s="198"/>
      <c r="I3126" s="198"/>
      <c r="J3126" s="198"/>
      <c r="K3126" s="198"/>
      <c r="L3126" s="198"/>
      <c r="M3126" s="198"/>
      <c r="N3126" s="198"/>
      <c r="O3126" s="198"/>
      <c r="P3126" s="198"/>
      <c r="Q3126" s="198"/>
      <c r="R3126" s="198"/>
      <c r="S3126" s="198"/>
      <c r="T3126" s="198"/>
      <c r="U3126" s="198"/>
      <c r="V3126" s="198"/>
      <c r="W3126" s="198"/>
      <c r="X3126" s="198"/>
      <c r="Y3126" s="198"/>
      <c r="Z3126" s="198"/>
    </row>
    <row r="3127" spans="1:26" ht="15.75" hidden="1" customHeight="1" x14ac:dyDescent="0.25">
      <c r="A3127" s="213">
        <v>13417</v>
      </c>
      <c r="B3127" s="214" t="s">
        <v>11626</v>
      </c>
      <c r="C3127" s="215" t="s">
        <v>580</v>
      </c>
      <c r="D3127" s="216">
        <v>85.5</v>
      </c>
      <c r="E3127" s="198"/>
      <c r="F3127" s="198"/>
      <c r="G3127" s="198"/>
      <c r="H3127" s="198"/>
      <c r="I3127" s="198"/>
      <c r="J3127" s="198"/>
      <c r="K3127" s="198"/>
      <c r="L3127" s="198"/>
      <c r="M3127" s="198"/>
      <c r="N3127" s="198"/>
      <c r="O3127" s="198"/>
      <c r="P3127" s="198"/>
      <c r="Q3127" s="198"/>
      <c r="R3127" s="198"/>
      <c r="S3127" s="198"/>
      <c r="T3127" s="198"/>
      <c r="U3127" s="198"/>
      <c r="V3127" s="198"/>
      <c r="W3127" s="198"/>
      <c r="X3127" s="198"/>
      <c r="Y3127" s="198"/>
      <c r="Z3127" s="198"/>
    </row>
    <row r="3128" spans="1:26" ht="15.75" hidden="1" customHeight="1" x14ac:dyDescent="0.25">
      <c r="A3128" s="213">
        <v>36791</v>
      </c>
      <c r="B3128" s="214" t="s">
        <v>11627</v>
      </c>
      <c r="C3128" s="215" t="s">
        <v>580</v>
      </c>
      <c r="D3128" s="216">
        <v>128.33000000000001</v>
      </c>
      <c r="E3128" s="198"/>
      <c r="F3128" s="198"/>
      <c r="G3128" s="198"/>
      <c r="H3128" s="198"/>
      <c r="I3128" s="198"/>
      <c r="J3128" s="198"/>
      <c r="K3128" s="198"/>
      <c r="L3128" s="198"/>
      <c r="M3128" s="198"/>
      <c r="N3128" s="198"/>
      <c r="O3128" s="198"/>
      <c r="P3128" s="198"/>
      <c r="Q3128" s="198"/>
      <c r="R3128" s="198"/>
      <c r="S3128" s="198"/>
      <c r="T3128" s="198"/>
      <c r="U3128" s="198"/>
      <c r="V3128" s="198"/>
      <c r="W3128" s="198"/>
      <c r="X3128" s="198"/>
      <c r="Y3128" s="198"/>
      <c r="Z3128" s="198"/>
    </row>
    <row r="3129" spans="1:26" ht="15.75" hidden="1" customHeight="1" x14ac:dyDescent="0.25">
      <c r="A3129" s="213">
        <v>36795</v>
      </c>
      <c r="B3129" s="214" t="s">
        <v>11628</v>
      </c>
      <c r="C3129" s="215" t="s">
        <v>580</v>
      </c>
      <c r="D3129" s="216">
        <v>1622.53</v>
      </c>
      <c r="E3129" s="198"/>
      <c r="F3129" s="198"/>
      <c r="G3129" s="198"/>
      <c r="H3129" s="198"/>
      <c r="I3129" s="198"/>
      <c r="J3129" s="198"/>
      <c r="K3129" s="198"/>
      <c r="L3129" s="198"/>
      <c r="M3129" s="198"/>
      <c r="N3129" s="198"/>
      <c r="O3129" s="198"/>
      <c r="P3129" s="198"/>
      <c r="Q3129" s="198"/>
      <c r="R3129" s="198"/>
      <c r="S3129" s="198"/>
      <c r="T3129" s="198"/>
      <c r="U3129" s="198"/>
      <c r="V3129" s="198"/>
      <c r="W3129" s="198"/>
      <c r="X3129" s="198"/>
      <c r="Y3129" s="198"/>
      <c r="Z3129" s="198"/>
    </row>
    <row r="3130" spans="1:26" ht="15.75" hidden="1" customHeight="1" x14ac:dyDescent="0.25">
      <c r="A3130" s="213">
        <v>36796</v>
      </c>
      <c r="B3130" s="214" t="s">
        <v>11629</v>
      </c>
      <c r="C3130" s="215" t="s">
        <v>580</v>
      </c>
      <c r="D3130" s="216">
        <v>134.83000000000001</v>
      </c>
      <c r="E3130" s="198"/>
      <c r="F3130" s="198"/>
      <c r="G3130" s="198"/>
      <c r="H3130" s="198"/>
      <c r="I3130" s="198"/>
      <c r="J3130" s="198"/>
      <c r="K3130" s="198"/>
      <c r="L3130" s="198"/>
      <c r="M3130" s="198"/>
      <c r="N3130" s="198"/>
      <c r="O3130" s="198"/>
      <c r="P3130" s="198"/>
      <c r="Q3130" s="198"/>
      <c r="R3130" s="198"/>
      <c r="S3130" s="198"/>
      <c r="T3130" s="198"/>
      <c r="U3130" s="198"/>
      <c r="V3130" s="198"/>
      <c r="W3130" s="198"/>
      <c r="X3130" s="198"/>
      <c r="Y3130" s="198"/>
      <c r="Z3130" s="198"/>
    </row>
    <row r="3131" spans="1:26" ht="15.75" hidden="1" customHeight="1" x14ac:dyDescent="0.25">
      <c r="A3131" s="213">
        <v>36792</v>
      </c>
      <c r="B3131" s="214" t="s">
        <v>11630</v>
      </c>
      <c r="C3131" s="215" t="s">
        <v>580</v>
      </c>
      <c r="D3131" s="216">
        <v>170.79</v>
      </c>
      <c r="E3131" s="198"/>
      <c r="F3131" s="198"/>
      <c r="G3131" s="198"/>
      <c r="H3131" s="198"/>
      <c r="I3131" s="198"/>
      <c r="J3131" s="198"/>
      <c r="K3131" s="198"/>
      <c r="L3131" s="198"/>
      <c r="M3131" s="198"/>
      <c r="N3131" s="198"/>
      <c r="O3131" s="198"/>
      <c r="P3131" s="198"/>
      <c r="Q3131" s="198"/>
      <c r="R3131" s="198"/>
      <c r="S3131" s="198"/>
      <c r="T3131" s="198"/>
      <c r="U3131" s="198"/>
      <c r="V3131" s="198"/>
      <c r="W3131" s="198"/>
      <c r="X3131" s="198"/>
      <c r="Y3131" s="198"/>
      <c r="Z3131" s="198"/>
    </row>
    <row r="3132" spans="1:26" ht="15.75" hidden="1" customHeight="1" x14ac:dyDescent="0.25">
      <c r="A3132" s="213">
        <v>11773</v>
      </c>
      <c r="B3132" s="214" t="s">
        <v>11631</v>
      </c>
      <c r="C3132" s="215" t="s">
        <v>580</v>
      </c>
      <c r="D3132" s="216">
        <v>113.69</v>
      </c>
      <c r="E3132" s="198"/>
      <c r="F3132" s="198"/>
      <c r="G3132" s="198"/>
      <c r="H3132" s="198"/>
      <c r="I3132" s="198"/>
      <c r="J3132" s="198"/>
      <c r="K3132" s="198"/>
      <c r="L3132" s="198"/>
      <c r="M3132" s="198"/>
      <c r="N3132" s="198"/>
      <c r="O3132" s="198"/>
      <c r="P3132" s="198"/>
      <c r="Q3132" s="198"/>
      <c r="R3132" s="198"/>
      <c r="S3132" s="198"/>
      <c r="T3132" s="198"/>
      <c r="U3132" s="198"/>
      <c r="V3132" s="198"/>
      <c r="W3132" s="198"/>
      <c r="X3132" s="198"/>
      <c r="Y3132" s="198"/>
      <c r="Z3132" s="198"/>
    </row>
    <row r="3133" spans="1:26" ht="15.75" hidden="1" customHeight="1" x14ac:dyDescent="0.25">
      <c r="A3133" s="213">
        <v>11762</v>
      </c>
      <c r="B3133" s="214" t="s">
        <v>11632</v>
      </c>
      <c r="C3133" s="215" t="s">
        <v>580</v>
      </c>
      <c r="D3133" s="216">
        <v>53.93</v>
      </c>
      <c r="E3133" s="198"/>
      <c r="F3133" s="198"/>
      <c r="G3133" s="198"/>
      <c r="H3133" s="198"/>
      <c r="I3133" s="198"/>
      <c r="J3133" s="198"/>
      <c r="K3133" s="198"/>
      <c r="L3133" s="198"/>
      <c r="M3133" s="198"/>
      <c r="N3133" s="198"/>
      <c r="O3133" s="198"/>
      <c r="P3133" s="198"/>
      <c r="Q3133" s="198"/>
      <c r="R3133" s="198"/>
      <c r="S3133" s="198"/>
      <c r="T3133" s="198"/>
      <c r="U3133" s="198"/>
      <c r="V3133" s="198"/>
      <c r="W3133" s="198"/>
      <c r="X3133" s="198"/>
      <c r="Y3133" s="198"/>
      <c r="Z3133" s="198"/>
    </row>
    <row r="3134" spans="1:26" ht="15.75" hidden="1" customHeight="1" x14ac:dyDescent="0.25">
      <c r="A3134" s="213">
        <v>7604</v>
      </c>
      <c r="B3134" s="214" t="s">
        <v>11633</v>
      </c>
      <c r="C3134" s="215" t="s">
        <v>580</v>
      </c>
      <c r="D3134" s="216">
        <v>45.66</v>
      </c>
      <c r="E3134" s="198"/>
      <c r="F3134" s="198"/>
      <c r="G3134" s="198"/>
      <c r="H3134" s="198"/>
      <c r="I3134" s="198"/>
      <c r="J3134" s="198"/>
      <c r="K3134" s="198"/>
      <c r="L3134" s="198"/>
      <c r="M3134" s="198"/>
      <c r="N3134" s="198"/>
      <c r="O3134" s="198"/>
      <c r="P3134" s="198"/>
      <c r="Q3134" s="198"/>
      <c r="R3134" s="198"/>
      <c r="S3134" s="198"/>
      <c r="T3134" s="198"/>
      <c r="U3134" s="198"/>
      <c r="V3134" s="198"/>
      <c r="W3134" s="198"/>
      <c r="X3134" s="198"/>
      <c r="Y3134" s="198"/>
      <c r="Z3134" s="198"/>
    </row>
    <row r="3135" spans="1:26" ht="15.75" hidden="1" customHeight="1" x14ac:dyDescent="0.25">
      <c r="A3135" s="213">
        <v>13984</v>
      </c>
      <c r="B3135" s="214" t="s">
        <v>11634</v>
      </c>
      <c r="C3135" s="215" t="s">
        <v>580</v>
      </c>
      <c r="D3135" s="216">
        <v>66.36</v>
      </c>
      <c r="E3135" s="198"/>
      <c r="F3135" s="198"/>
      <c r="G3135" s="198"/>
      <c r="H3135" s="198"/>
      <c r="I3135" s="198"/>
      <c r="J3135" s="198"/>
      <c r="K3135" s="198"/>
      <c r="L3135" s="198"/>
      <c r="M3135" s="198"/>
      <c r="N3135" s="198"/>
      <c r="O3135" s="198"/>
      <c r="P3135" s="198"/>
      <c r="Q3135" s="198"/>
      <c r="R3135" s="198"/>
      <c r="S3135" s="198"/>
      <c r="T3135" s="198"/>
      <c r="U3135" s="198"/>
      <c r="V3135" s="198"/>
      <c r="W3135" s="198"/>
      <c r="X3135" s="198"/>
      <c r="Y3135" s="198"/>
      <c r="Z3135" s="198"/>
    </row>
    <row r="3136" spans="1:26" ht="15.75" hidden="1" customHeight="1" x14ac:dyDescent="0.25">
      <c r="A3136" s="213">
        <v>11772</v>
      </c>
      <c r="B3136" s="214" t="s">
        <v>11635</v>
      </c>
      <c r="C3136" s="215" t="s">
        <v>580</v>
      </c>
      <c r="D3136" s="216">
        <v>114.05</v>
      </c>
      <c r="E3136" s="198"/>
      <c r="F3136" s="198"/>
      <c r="G3136" s="198"/>
      <c r="H3136" s="198"/>
      <c r="I3136" s="198"/>
      <c r="J3136" s="198"/>
      <c r="K3136" s="198"/>
      <c r="L3136" s="198"/>
      <c r="M3136" s="198"/>
      <c r="N3136" s="198"/>
      <c r="O3136" s="198"/>
      <c r="P3136" s="198"/>
      <c r="Q3136" s="198"/>
      <c r="R3136" s="198"/>
      <c r="S3136" s="198"/>
      <c r="T3136" s="198"/>
      <c r="U3136" s="198"/>
      <c r="V3136" s="198"/>
      <c r="W3136" s="198"/>
      <c r="X3136" s="198"/>
      <c r="Y3136" s="198"/>
      <c r="Z3136" s="198"/>
    </row>
    <row r="3137" spans="1:26" ht="15.75" hidden="1" customHeight="1" x14ac:dyDescent="0.25">
      <c r="A3137" s="213">
        <v>13983</v>
      </c>
      <c r="B3137" s="214" t="s">
        <v>11636</v>
      </c>
      <c r="C3137" s="215" t="s">
        <v>580</v>
      </c>
      <c r="D3137" s="216">
        <v>86.37</v>
      </c>
      <c r="E3137" s="198"/>
      <c r="F3137" s="198"/>
      <c r="G3137" s="198"/>
      <c r="H3137" s="198"/>
      <c r="I3137" s="198"/>
      <c r="J3137" s="198"/>
      <c r="K3137" s="198"/>
      <c r="L3137" s="198"/>
      <c r="M3137" s="198"/>
      <c r="N3137" s="198"/>
      <c r="O3137" s="198"/>
      <c r="P3137" s="198"/>
      <c r="Q3137" s="198"/>
      <c r="R3137" s="198"/>
      <c r="S3137" s="198"/>
      <c r="T3137" s="198"/>
      <c r="U3137" s="198"/>
      <c r="V3137" s="198"/>
      <c r="W3137" s="198"/>
      <c r="X3137" s="198"/>
      <c r="Y3137" s="198"/>
      <c r="Z3137" s="198"/>
    </row>
    <row r="3138" spans="1:26" ht="15.75" hidden="1" customHeight="1" x14ac:dyDescent="0.25">
      <c r="A3138" s="213">
        <v>13416</v>
      </c>
      <c r="B3138" s="214" t="s">
        <v>11637</v>
      </c>
      <c r="C3138" s="215" t="s">
        <v>580</v>
      </c>
      <c r="D3138" s="216">
        <v>76.72</v>
      </c>
      <c r="E3138" s="198"/>
      <c r="F3138" s="198"/>
      <c r="G3138" s="198"/>
      <c r="H3138" s="198"/>
      <c r="I3138" s="198"/>
      <c r="J3138" s="198"/>
      <c r="K3138" s="198"/>
      <c r="L3138" s="198"/>
      <c r="M3138" s="198"/>
      <c r="N3138" s="198"/>
      <c r="O3138" s="198"/>
      <c r="P3138" s="198"/>
      <c r="Q3138" s="198"/>
      <c r="R3138" s="198"/>
      <c r="S3138" s="198"/>
      <c r="T3138" s="198"/>
      <c r="U3138" s="198"/>
      <c r="V3138" s="198"/>
      <c r="W3138" s="198"/>
      <c r="X3138" s="198"/>
      <c r="Y3138" s="198"/>
      <c r="Z3138" s="198"/>
    </row>
    <row r="3139" spans="1:26" ht="15.75" hidden="1" customHeight="1" x14ac:dyDescent="0.25">
      <c r="A3139" s="213">
        <v>40329</v>
      </c>
      <c r="B3139" s="214" t="s">
        <v>11638</v>
      </c>
      <c r="C3139" s="215" t="s">
        <v>580</v>
      </c>
      <c r="D3139" s="216">
        <v>19.899999999999999</v>
      </c>
      <c r="E3139" s="198"/>
      <c r="F3139" s="198"/>
      <c r="G3139" s="198"/>
      <c r="H3139" s="198"/>
      <c r="I3139" s="198"/>
      <c r="J3139" s="198"/>
      <c r="K3139" s="198"/>
      <c r="L3139" s="198"/>
      <c r="M3139" s="198"/>
      <c r="N3139" s="198"/>
      <c r="O3139" s="198"/>
      <c r="P3139" s="198"/>
      <c r="Q3139" s="198"/>
      <c r="R3139" s="198"/>
      <c r="S3139" s="198"/>
      <c r="T3139" s="198"/>
      <c r="U3139" s="198"/>
      <c r="V3139" s="198"/>
      <c r="W3139" s="198"/>
      <c r="X3139" s="198"/>
      <c r="Y3139" s="198"/>
      <c r="Z3139" s="198"/>
    </row>
    <row r="3140" spans="1:26" ht="15.75" hidden="1" customHeight="1" x14ac:dyDescent="0.25">
      <c r="A3140" s="213">
        <v>11823</v>
      </c>
      <c r="B3140" s="214" t="s">
        <v>11639</v>
      </c>
      <c r="C3140" s="215" t="s">
        <v>580</v>
      </c>
      <c r="D3140" s="216">
        <v>8.3800000000000008</v>
      </c>
      <c r="E3140" s="198"/>
      <c r="F3140" s="198"/>
      <c r="G3140" s="198"/>
      <c r="H3140" s="198"/>
      <c r="I3140" s="198"/>
      <c r="J3140" s="198"/>
      <c r="K3140" s="198"/>
      <c r="L3140" s="198"/>
      <c r="M3140" s="198"/>
      <c r="N3140" s="198"/>
      <c r="O3140" s="198"/>
      <c r="P3140" s="198"/>
      <c r="Q3140" s="198"/>
      <c r="R3140" s="198"/>
      <c r="S3140" s="198"/>
      <c r="T3140" s="198"/>
      <c r="U3140" s="198"/>
      <c r="V3140" s="198"/>
      <c r="W3140" s="198"/>
      <c r="X3140" s="198"/>
      <c r="Y3140" s="198"/>
      <c r="Z3140" s="198"/>
    </row>
    <row r="3141" spans="1:26" ht="15.75" hidden="1" customHeight="1" x14ac:dyDescent="0.25">
      <c r="A3141" s="213">
        <v>11822</v>
      </c>
      <c r="B3141" s="214" t="s">
        <v>11640</v>
      </c>
      <c r="C3141" s="215" t="s">
        <v>580</v>
      </c>
      <c r="D3141" s="216">
        <v>25.11</v>
      </c>
      <c r="E3141" s="198"/>
      <c r="F3141" s="198"/>
      <c r="G3141" s="198"/>
      <c r="H3141" s="198"/>
      <c r="I3141" s="198"/>
      <c r="J3141" s="198"/>
      <c r="K3141" s="198"/>
      <c r="L3141" s="198"/>
      <c r="M3141" s="198"/>
      <c r="N3141" s="198"/>
      <c r="O3141" s="198"/>
      <c r="P3141" s="198"/>
      <c r="Q3141" s="198"/>
      <c r="R3141" s="198"/>
      <c r="S3141" s="198"/>
      <c r="T3141" s="198"/>
      <c r="U3141" s="198"/>
      <c r="V3141" s="198"/>
      <c r="W3141" s="198"/>
      <c r="X3141" s="198"/>
      <c r="Y3141" s="198"/>
      <c r="Z3141" s="198"/>
    </row>
    <row r="3142" spans="1:26" ht="15.75" hidden="1" customHeight="1" x14ac:dyDescent="0.25">
      <c r="A3142" s="213">
        <v>11831</v>
      </c>
      <c r="B3142" s="214" t="s">
        <v>11641</v>
      </c>
      <c r="C3142" s="215" t="s">
        <v>580</v>
      </c>
      <c r="D3142" s="216">
        <v>15.11</v>
      </c>
      <c r="E3142" s="198"/>
      <c r="F3142" s="198"/>
      <c r="G3142" s="198"/>
      <c r="H3142" s="198"/>
      <c r="I3142" s="198"/>
      <c r="J3142" s="198"/>
      <c r="K3142" s="198"/>
      <c r="L3142" s="198"/>
      <c r="M3142" s="198"/>
      <c r="N3142" s="198"/>
      <c r="O3142" s="198"/>
      <c r="P3142" s="198"/>
      <c r="Q3142" s="198"/>
      <c r="R3142" s="198"/>
      <c r="S3142" s="198"/>
      <c r="T3142" s="198"/>
      <c r="U3142" s="198"/>
      <c r="V3142" s="198"/>
      <c r="W3142" s="198"/>
      <c r="X3142" s="198"/>
      <c r="Y3142" s="198"/>
      <c r="Z3142" s="198"/>
    </row>
    <row r="3143" spans="1:26" ht="15.75" hidden="1" customHeight="1" x14ac:dyDescent="0.25">
      <c r="A3143" s="213">
        <v>37371</v>
      </c>
      <c r="B3143" s="214" t="s">
        <v>11642</v>
      </c>
      <c r="C3143" s="215" t="s">
        <v>2193</v>
      </c>
      <c r="D3143" s="216">
        <v>0.92</v>
      </c>
      <c r="E3143" s="198"/>
      <c r="F3143" s="198"/>
      <c r="G3143" s="198"/>
      <c r="H3143" s="198"/>
      <c r="I3143" s="198"/>
      <c r="J3143" s="198"/>
      <c r="K3143" s="198"/>
      <c r="L3143" s="198"/>
      <c r="M3143" s="198"/>
      <c r="N3143" s="198"/>
      <c r="O3143" s="198"/>
      <c r="P3143" s="198"/>
      <c r="Q3143" s="198"/>
      <c r="R3143" s="198"/>
      <c r="S3143" s="198"/>
      <c r="T3143" s="198"/>
      <c r="U3143" s="198"/>
      <c r="V3143" s="198"/>
      <c r="W3143" s="198"/>
      <c r="X3143" s="198"/>
      <c r="Y3143" s="198"/>
      <c r="Z3143" s="198"/>
    </row>
    <row r="3144" spans="1:26" ht="15.75" hidden="1" customHeight="1" x14ac:dyDescent="0.25">
      <c r="A3144" s="213">
        <v>40861</v>
      </c>
      <c r="B3144" s="214" t="s">
        <v>11643</v>
      </c>
      <c r="C3144" s="215" t="s">
        <v>6214</v>
      </c>
      <c r="D3144" s="216">
        <v>173.39</v>
      </c>
      <c r="E3144" s="198"/>
      <c r="F3144" s="198"/>
      <c r="G3144" s="198"/>
      <c r="H3144" s="198"/>
      <c r="I3144" s="198"/>
      <c r="J3144" s="198"/>
      <c r="K3144" s="198"/>
      <c r="L3144" s="198"/>
      <c r="M3144" s="198"/>
      <c r="N3144" s="198"/>
      <c r="O3144" s="198"/>
      <c r="P3144" s="198"/>
      <c r="Q3144" s="198"/>
      <c r="R3144" s="198"/>
      <c r="S3144" s="198"/>
      <c r="T3144" s="198"/>
      <c r="U3144" s="198"/>
      <c r="V3144" s="198"/>
      <c r="W3144" s="198"/>
      <c r="X3144" s="198"/>
      <c r="Y3144" s="198"/>
      <c r="Z3144" s="198"/>
    </row>
    <row r="3145" spans="1:26" ht="15.75" hidden="1" customHeight="1" x14ac:dyDescent="0.25">
      <c r="A3145" s="213">
        <v>36509</v>
      </c>
      <c r="B3145" s="214" t="s">
        <v>11644</v>
      </c>
      <c r="C3145" s="215" t="s">
        <v>580</v>
      </c>
      <c r="D3145" s="216">
        <v>1122201.76</v>
      </c>
      <c r="E3145" s="198"/>
      <c r="F3145" s="198"/>
      <c r="G3145" s="198"/>
      <c r="H3145" s="198"/>
      <c r="I3145" s="198"/>
      <c r="J3145" s="198"/>
      <c r="K3145" s="198"/>
      <c r="L3145" s="198"/>
      <c r="M3145" s="198"/>
      <c r="N3145" s="198"/>
      <c r="O3145" s="198"/>
      <c r="P3145" s="198"/>
      <c r="Q3145" s="198"/>
      <c r="R3145" s="198"/>
      <c r="S3145" s="198"/>
      <c r="T3145" s="198"/>
      <c r="U3145" s="198"/>
      <c r="V3145" s="198"/>
      <c r="W3145" s="198"/>
      <c r="X3145" s="198"/>
      <c r="Y3145" s="198"/>
      <c r="Z3145" s="198"/>
    </row>
    <row r="3146" spans="1:26" ht="15.75" hidden="1" customHeight="1" x14ac:dyDescent="0.25">
      <c r="A3146" s="213">
        <v>36510</v>
      </c>
      <c r="B3146" s="214" t="s">
        <v>11645</v>
      </c>
      <c r="C3146" s="215" t="s">
        <v>580</v>
      </c>
      <c r="D3146" s="216">
        <v>1105198.73</v>
      </c>
      <c r="E3146" s="198"/>
      <c r="F3146" s="198"/>
      <c r="G3146" s="198"/>
      <c r="H3146" s="198"/>
      <c r="I3146" s="198"/>
      <c r="J3146" s="198"/>
      <c r="K3146" s="198"/>
      <c r="L3146" s="198"/>
      <c r="M3146" s="198"/>
      <c r="N3146" s="198"/>
      <c r="O3146" s="198"/>
      <c r="P3146" s="198"/>
      <c r="Q3146" s="198"/>
      <c r="R3146" s="198"/>
      <c r="S3146" s="198"/>
      <c r="T3146" s="198"/>
      <c r="U3146" s="198"/>
      <c r="V3146" s="198"/>
      <c r="W3146" s="198"/>
      <c r="X3146" s="198"/>
      <c r="Y3146" s="198"/>
      <c r="Z3146" s="198"/>
    </row>
    <row r="3147" spans="1:26" ht="15.75" hidden="1" customHeight="1" x14ac:dyDescent="0.25">
      <c r="A3147" s="213">
        <v>25020</v>
      </c>
      <c r="B3147" s="214" t="s">
        <v>11646</v>
      </c>
      <c r="C3147" s="215" t="s">
        <v>580</v>
      </c>
      <c r="D3147" s="216">
        <v>4553029.92</v>
      </c>
      <c r="E3147" s="198"/>
      <c r="F3147" s="198"/>
      <c r="G3147" s="198"/>
      <c r="H3147" s="198"/>
      <c r="I3147" s="198"/>
      <c r="J3147" s="198"/>
      <c r="K3147" s="198"/>
      <c r="L3147" s="198"/>
      <c r="M3147" s="198"/>
      <c r="N3147" s="198"/>
      <c r="O3147" s="198"/>
      <c r="P3147" s="198"/>
      <c r="Q3147" s="198"/>
      <c r="R3147" s="198"/>
      <c r="S3147" s="198"/>
      <c r="T3147" s="198"/>
      <c r="U3147" s="198"/>
      <c r="V3147" s="198"/>
      <c r="W3147" s="198"/>
      <c r="X3147" s="198"/>
      <c r="Y3147" s="198"/>
      <c r="Z3147" s="198"/>
    </row>
    <row r="3148" spans="1:26" ht="15.75" hidden="1" customHeight="1" x14ac:dyDescent="0.25">
      <c r="A3148" s="213">
        <v>7622</v>
      </c>
      <c r="B3148" s="214" t="s">
        <v>11647</v>
      </c>
      <c r="C3148" s="215" t="s">
        <v>580</v>
      </c>
      <c r="D3148" s="216">
        <v>1072204.3</v>
      </c>
      <c r="E3148" s="198"/>
      <c r="F3148" s="198"/>
      <c r="G3148" s="198"/>
      <c r="H3148" s="198"/>
      <c r="I3148" s="198"/>
      <c r="J3148" s="198"/>
      <c r="K3148" s="198"/>
      <c r="L3148" s="198"/>
      <c r="M3148" s="198"/>
      <c r="N3148" s="198"/>
      <c r="O3148" s="198"/>
      <c r="P3148" s="198"/>
      <c r="Q3148" s="198"/>
      <c r="R3148" s="198"/>
      <c r="S3148" s="198"/>
      <c r="T3148" s="198"/>
      <c r="U3148" s="198"/>
      <c r="V3148" s="198"/>
      <c r="W3148" s="198"/>
      <c r="X3148" s="198"/>
      <c r="Y3148" s="198"/>
      <c r="Z3148" s="198"/>
    </row>
    <row r="3149" spans="1:26" ht="15.75" hidden="1" customHeight="1" x14ac:dyDescent="0.25">
      <c r="A3149" s="213">
        <v>7624</v>
      </c>
      <c r="B3149" s="214" t="s">
        <v>11648</v>
      </c>
      <c r="C3149" s="215" t="s">
        <v>580</v>
      </c>
      <c r="D3149" s="216">
        <v>1390000</v>
      </c>
      <c r="E3149" s="198"/>
      <c r="F3149" s="198"/>
      <c r="G3149" s="198"/>
      <c r="H3149" s="198"/>
      <c r="I3149" s="198"/>
      <c r="J3149" s="198"/>
      <c r="K3149" s="198"/>
      <c r="L3149" s="198"/>
      <c r="M3149" s="198"/>
      <c r="N3149" s="198"/>
      <c r="O3149" s="198"/>
      <c r="P3149" s="198"/>
      <c r="Q3149" s="198"/>
      <c r="R3149" s="198"/>
      <c r="S3149" s="198"/>
      <c r="T3149" s="198"/>
      <c r="U3149" s="198"/>
      <c r="V3149" s="198"/>
      <c r="W3149" s="198"/>
      <c r="X3149" s="198"/>
      <c r="Y3149" s="198"/>
      <c r="Z3149" s="198"/>
    </row>
    <row r="3150" spans="1:26" ht="15.75" hidden="1" customHeight="1" x14ac:dyDescent="0.25">
      <c r="A3150" s="213">
        <v>7625</v>
      </c>
      <c r="B3150" s="214" t="s">
        <v>11649</v>
      </c>
      <c r="C3150" s="215" t="s">
        <v>580</v>
      </c>
      <c r="D3150" s="216">
        <v>1381498.34</v>
      </c>
      <c r="E3150" s="198"/>
      <c r="F3150" s="198"/>
      <c r="G3150" s="198"/>
      <c r="H3150" s="198"/>
      <c r="I3150" s="198"/>
      <c r="J3150" s="198"/>
      <c r="K3150" s="198"/>
      <c r="L3150" s="198"/>
      <c r="M3150" s="198"/>
      <c r="N3150" s="198"/>
      <c r="O3150" s="198"/>
      <c r="P3150" s="198"/>
      <c r="Q3150" s="198"/>
      <c r="R3150" s="198"/>
      <c r="S3150" s="198"/>
      <c r="T3150" s="198"/>
      <c r="U3150" s="198"/>
      <c r="V3150" s="198"/>
      <c r="W3150" s="198"/>
      <c r="X3150" s="198"/>
      <c r="Y3150" s="198"/>
      <c r="Z3150" s="198"/>
    </row>
    <row r="3151" spans="1:26" ht="15.75" hidden="1" customHeight="1" x14ac:dyDescent="0.25">
      <c r="A3151" s="213">
        <v>7623</v>
      </c>
      <c r="B3151" s="214" t="s">
        <v>11650</v>
      </c>
      <c r="C3151" s="215" t="s">
        <v>580</v>
      </c>
      <c r="D3151" s="216">
        <v>4553029.92</v>
      </c>
      <c r="E3151" s="198"/>
      <c r="F3151" s="198"/>
      <c r="G3151" s="198"/>
      <c r="H3151" s="198"/>
      <c r="I3151" s="198"/>
      <c r="J3151" s="198"/>
      <c r="K3151" s="198"/>
      <c r="L3151" s="198"/>
      <c r="M3151" s="198"/>
      <c r="N3151" s="198"/>
      <c r="O3151" s="198"/>
      <c r="P3151" s="198"/>
      <c r="Q3151" s="198"/>
      <c r="R3151" s="198"/>
      <c r="S3151" s="198"/>
      <c r="T3151" s="198"/>
      <c r="U3151" s="198"/>
      <c r="V3151" s="198"/>
      <c r="W3151" s="198"/>
      <c r="X3151" s="198"/>
      <c r="Y3151" s="198"/>
      <c r="Z3151" s="198"/>
    </row>
    <row r="3152" spans="1:26" ht="15.75" hidden="1" customHeight="1" x14ac:dyDescent="0.25">
      <c r="A3152" s="213">
        <v>36508</v>
      </c>
      <c r="B3152" s="214" t="s">
        <v>11651</v>
      </c>
      <c r="C3152" s="215" t="s">
        <v>580</v>
      </c>
      <c r="D3152" s="216">
        <v>2047678.22</v>
      </c>
      <c r="E3152" s="198"/>
      <c r="F3152" s="198"/>
      <c r="G3152" s="198"/>
      <c r="H3152" s="198"/>
      <c r="I3152" s="198"/>
      <c r="J3152" s="198"/>
      <c r="K3152" s="198"/>
      <c r="L3152" s="198"/>
      <c r="M3152" s="198"/>
      <c r="N3152" s="198"/>
      <c r="O3152" s="198"/>
      <c r="P3152" s="198"/>
      <c r="Q3152" s="198"/>
      <c r="R3152" s="198"/>
      <c r="S3152" s="198"/>
      <c r="T3152" s="198"/>
      <c r="U3152" s="198"/>
      <c r="V3152" s="198"/>
      <c r="W3152" s="198"/>
      <c r="X3152" s="198"/>
      <c r="Y3152" s="198"/>
      <c r="Z3152" s="198"/>
    </row>
    <row r="3153" spans="1:26" ht="15.75" hidden="1" customHeight="1" x14ac:dyDescent="0.25">
      <c r="A3153" s="213">
        <v>11572</v>
      </c>
      <c r="B3153" s="214" t="s">
        <v>11652</v>
      </c>
      <c r="C3153" s="215" t="s">
        <v>580</v>
      </c>
      <c r="D3153" s="216">
        <v>30.35</v>
      </c>
      <c r="E3153" s="198"/>
      <c r="F3153" s="198"/>
      <c r="G3153" s="198"/>
      <c r="H3153" s="198"/>
      <c r="I3153" s="198"/>
      <c r="J3153" s="198"/>
      <c r="K3153" s="198"/>
      <c r="L3153" s="198"/>
      <c r="M3153" s="198"/>
      <c r="N3153" s="198"/>
      <c r="O3153" s="198"/>
      <c r="P3153" s="198"/>
      <c r="Q3153" s="198"/>
      <c r="R3153" s="198"/>
      <c r="S3153" s="198"/>
      <c r="T3153" s="198"/>
      <c r="U3153" s="198"/>
      <c r="V3153" s="198"/>
      <c r="W3153" s="198"/>
      <c r="X3153" s="198"/>
      <c r="Y3153" s="198"/>
      <c r="Z3153" s="198"/>
    </row>
    <row r="3154" spans="1:26" ht="15.75" hidden="1" customHeight="1" x14ac:dyDescent="0.25">
      <c r="A3154" s="213">
        <v>36149</v>
      </c>
      <c r="B3154" s="214" t="s">
        <v>11653</v>
      </c>
      <c r="C3154" s="215" t="s">
        <v>580</v>
      </c>
      <c r="D3154" s="216">
        <v>186.82</v>
      </c>
      <c r="E3154" s="198"/>
      <c r="F3154" s="198"/>
      <c r="G3154" s="198"/>
      <c r="H3154" s="198"/>
      <c r="I3154" s="198"/>
      <c r="J3154" s="198"/>
      <c r="K3154" s="198"/>
      <c r="L3154" s="198"/>
      <c r="M3154" s="198"/>
      <c r="N3154" s="198"/>
      <c r="O3154" s="198"/>
      <c r="P3154" s="198"/>
      <c r="Q3154" s="198"/>
      <c r="R3154" s="198"/>
      <c r="S3154" s="198"/>
      <c r="T3154" s="198"/>
      <c r="U3154" s="198"/>
      <c r="V3154" s="198"/>
      <c r="W3154" s="198"/>
      <c r="X3154" s="198"/>
      <c r="Y3154" s="198"/>
      <c r="Z3154" s="198"/>
    </row>
    <row r="3155" spans="1:26" ht="15.75" hidden="1" customHeight="1" x14ac:dyDescent="0.25">
      <c r="A3155" s="213">
        <v>42407</v>
      </c>
      <c r="B3155" s="214" t="s">
        <v>11654</v>
      </c>
      <c r="C3155" s="215" t="s">
        <v>585</v>
      </c>
      <c r="D3155" s="216">
        <v>6.83</v>
      </c>
      <c r="E3155" s="198"/>
      <c r="F3155" s="198"/>
      <c r="G3155" s="198"/>
      <c r="H3155" s="198"/>
      <c r="I3155" s="198"/>
      <c r="J3155" s="198"/>
      <c r="K3155" s="198"/>
      <c r="L3155" s="198"/>
      <c r="M3155" s="198"/>
      <c r="N3155" s="198"/>
      <c r="O3155" s="198"/>
      <c r="P3155" s="198"/>
      <c r="Q3155" s="198"/>
      <c r="R3155" s="198"/>
      <c r="S3155" s="198"/>
      <c r="T3155" s="198"/>
      <c r="U3155" s="198"/>
      <c r="V3155" s="198"/>
      <c r="W3155" s="198"/>
      <c r="X3155" s="198"/>
      <c r="Y3155" s="198"/>
      <c r="Z3155" s="198"/>
    </row>
    <row r="3156" spans="1:26" ht="15.75" hidden="1" customHeight="1" x14ac:dyDescent="0.25">
      <c r="A3156" s="213">
        <v>11581</v>
      </c>
      <c r="B3156" s="214" t="s">
        <v>11655</v>
      </c>
      <c r="C3156" s="215" t="s">
        <v>585</v>
      </c>
      <c r="D3156" s="216">
        <v>20.03</v>
      </c>
      <c r="E3156" s="198"/>
      <c r="F3156" s="198"/>
      <c r="G3156" s="198"/>
      <c r="H3156" s="198"/>
      <c r="I3156" s="198"/>
      <c r="J3156" s="198"/>
      <c r="K3156" s="198"/>
      <c r="L3156" s="198"/>
      <c r="M3156" s="198"/>
      <c r="N3156" s="198"/>
      <c r="O3156" s="198"/>
      <c r="P3156" s="198"/>
      <c r="Q3156" s="198"/>
      <c r="R3156" s="198"/>
      <c r="S3156" s="198"/>
      <c r="T3156" s="198"/>
      <c r="U3156" s="198"/>
      <c r="V3156" s="198"/>
      <c r="W3156" s="198"/>
      <c r="X3156" s="198"/>
      <c r="Y3156" s="198"/>
      <c r="Z3156" s="198"/>
    </row>
    <row r="3157" spans="1:26" ht="15.75" hidden="1" customHeight="1" x14ac:dyDescent="0.25">
      <c r="A3157" s="213">
        <v>43605</v>
      </c>
      <c r="B3157" s="214" t="s">
        <v>11656</v>
      </c>
      <c r="C3157" s="215" t="s">
        <v>585</v>
      </c>
      <c r="D3157" s="216">
        <v>40.99</v>
      </c>
      <c r="E3157" s="198"/>
      <c r="F3157" s="198"/>
      <c r="G3157" s="198"/>
      <c r="H3157" s="198"/>
      <c r="I3157" s="198"/>
      <c r="J3157" s="198"/>
      <c r="K3157" s="198"/>
      <c r="L3157" s="198"/>
      <c r="M3157" s="198"/>
      <c r="N3157" s="198"/>
      <c r="O3157" s="198"/>
      <c r="P3157" s="198"/>
      <c r="Q3157" s="198"/>
      <c r="R3157" s="198"/>
      <c r="S3157" s="198"/>
      <c r="T3157" s="198"/>
      <c r="U3157" s="198"/>
      <c r="V3157" s="198"/>
      <c r="W3157" s="198"/>
      <c r="X3157" s="198"/>
      <c r="Y3157" s="198"/>
      <c r="Z3157" s="198"/>
    </row>
    <row r="3158" spans="1:26" ht="15.75" customHeight="1" x14ac:dyDescent="0.25">
      <c r="A3158" s="213">
        <v>11580</v>
      </c>
      <c r="B3158" s="214" t="s">
        <v>11657</v>
      </c>
      <c r="C3158" s="215" t="s">
        <v>585</v>
      </c>
      <c r="D3158" s="216">
        <v>8.0299999999999994</v>
      </c>
      <c r="E3158" s="198"/>
      <c r="F3158" s="198"/>
      <c r="G3158" s="198"/>
      <c r="H3158" s="198"/>
      <c r="I3158" s="198"/>
      <c r="J3158" s="198"/>
      <c r="K3158" s="198"/>
      <c r="L3158" s="198"/>
      <c r="M3158" s="198"/>
      <c r="N3158" s="198"/>
      <c r="O3158" s="198"/>
      <c r="P3158" s="198"/>
      <c r="Q3158" s="198"/>
      <c r="R3158" s="198"/>
      <c r="S3158" s="198"/>
      <c r="T3158" s="198"/>
      <c r="U3158" s="198"/>
      <c r="V3158" s="198"/>
      <c r="W3158" s="198"/>
      <c r="X3158" s="198"/>
      <c r="Y3158" s="198"/>
      <c r="Z3158" s="198"/>
    </row>
    <row r="3159" spans="1:26" ht="15.75" hidden="1" customHeight="1" x14ac:dyDescent="0.25">
      <c r="A3159" s="213">
        <v>38386</v>
      </c>
      <c r="B3159" s="214" t="s">
        <v>11658</v>
      </c>
      <c r="C3159" s="215" t="s">
        <v>580</v>
      </c>
      <c r="D3159" s="216">
        <v>4.6900000000000004</v>
      </c>
      <c r="E3159" s="198"/>
      <c r="F3159" s="198"/>
      <c r="G3159" s="198"/>
      <c r="H3159" s="198"/>
      <c r="I3159" s="198"/>
      <c r="J3159" s="198"/>
      <c r="K3159" s="198"/>
      <c r="L3159" s="198"/>
      <c r="M3159" s="198"/>
      <c r="N3159" s="198"/>
      <c r="O3159" s="198"/>
      <c r="P3159" s="198"/>
      <c r="Q3159" s="198"/>
      <c r="R3159" s="198"/>
      <c r="S3159" s="198"/>
      <c r="T3159" s="198"/>
      <c r="U3159" s="198"/>
      <c r="V3159" s="198"/>
      <c r="W3159" s="198"/>
      <c r="X3159" s="198"/>
      <c r="Y3159" s="198"/>
      <c r="Z3159" s="198"/>
    </row>
    <row r="3160" spans="1:26" ht="15.75" hidden="1" customHeight="1" x14ac:dyDescent="0.25">
      <c r="A3160" s="213">
        <v>36365</v>
      </c>
      <c r="B3160" s="214" t="s">
        <v>11659</v>
      </c>
      <c r="C3160" s="215" t="s">
        <v>585</v>
      </c>
      <c r="D3160" s="216">
        <v>38.700000000000003</v>
      </c>
      <c r="E3160" s="198"/>
      <c r="F3160" s="198"/>
      <c r="G3160" s="198"/>
      <c r="H3160" s="198"/>
      <c r="I3160" s="198"/>
      <c r="J3160" s="198"/>
      <c r="K3160" s="198"/>
      <c r="L3160" s="198"/>
      <c r="M3160" s="198"/>
      <c r="N3160" s="198"/>
      <c r="O3160" s="198"/>
      <c r="P3160" s="198"/>
      <c r="Q3160" s="198"/>
      <c r="R3160" s="198"/>
      <c r="S3160" s="198"/>
      <c r="T3160" s="198"/>
      <c r="U3160" s="198"/>
      <c r="V3160" s="198"/>
      <c r="W3160" s="198"/>
      <c r="X3160" s="198"/>
      <c r="Y3160" s="198"/>
      <c r="Z3160" s="198"/>
    </row>
    <row r="3161" spans="1:26" ht="15.75" hidden="1" customHeight="1" x14ac:dyDescent="0.25">
      <c r="A3161" s="213">
        <v>41930</v>
      </c>
      <c r="B3161" s="214" t="s">
        <v>11660</v>
      </c>
      <c r="C3161" s="215" t="s">
        <v>585</v>
      </c>
      <c r="D3161" s="216">
        <v>128.9</v>
      </c>
      <c r="E3161" s="198"/>
      <c r="F3161" s="198"/>
      <c r="G3161" s="198"/>
      <c r="H3161" s="198"/>
      <c r="I3161" s="198"/>
      <c r="J3161" s="198"/>
      <c r="K3161" s="198"/>
      <c r="L3161" s="198"/>
      <c r="M3161" s="198"/>
      <c r="N3161" s="198"/>
      <c r="O3161" s="198"/>
      <c r="P3161" s="198"/>
      <c r="Q3161" s="198"/>
      <c r="R3161" s="198"/>
      <c r="S3161" s="198"/>
      <c r="T3161" s="198"/>
      <c r="U3161" s="198"/>
      <c r="V3161" s="198"/>
      <c r="W3161" s="198"/>
      <c r="X3161" s="198"/>
      <c r="Y3161" s="198"/>
      <c r="Z3161" s="198"/>
    </row>
    <row r="3162" spans="1:26" ht="15.75" hidden="1" customHeight="1" x14ac:dyDescent="0.25">
      <c r="A3162" s="213">
        <v>41931</v>
      </c>
      <c r="B3162" s="214" t="s">
        <v>11661</v>
      </c>
      <c r="C3162" s="215" t="s">
        <v>585</v>
      </c>
      <c r="D3162" s="216">
        <v>201.89</v>
      </c>
      <c r="E3162" s="198"/>
      <c r="F3162" s="198"/>
      <c r="G3162" s="198"/>
      <c r="H3162" s="198"/>
      <c r="I3162" s="198"/>
      <c r="J3162" s="198"/>
      <c r="K3162" s="198"/>
      <c r="L3162" s="198"/>
      <c r="M3162" s="198"/>
      <c r="N3162" s="198"/>
      <c r="O3162" s="198"/>
      <c r="P3162" s="198"/>
      <c r="Q3162" s="198"/>
      <c r="R3162" s="198"/>
      <c r="S3162" s="198"/>
      <c r="T3162" s="198"/>
      <c r="U3162" s="198"/>
      <c r="V3162" s="198"/>
      <c r="W3162" s="198"/>
      <c r="X3162" s="198"/>
      <c r="Y3162" s="198"/>
      <c r="Z3162" s="198"/>
    </row>
    <row r="3163" spans="1:26" ht="15.75" hidden="1" customHeight="1" x14ac:dyDescent="0.25">
      <c r="A3163" s="213">
        <v>41932</v>
      </c>
      <c r="B3163" s="214" t="s">
        <v>11662</v>
      </c>
      <c r="C3163" s="215" t="s">
        <v>585</v>
      </c>
      <c r="D3163" s="216">
        <v>310.74</v>
      </c>
      <c r="E3163" s="198"/>
      <c r="F3163" s="198"/>
      <c r="G3163" s="198"/>
      <c r="H3163" s="198"/>
      <c r="I3163" s="198"/>
      <c r="J3163" s="198"/>
      <c r="K3163" s="198"/>
      <c r="L3163" s="198"/>
      <c r="M3163" s="198"/>
      <c r="N3163" s="198"/>
      <c r="O3163" s="198"/>
      <c r="P3163" s="198"/>
      <c r="Q3163" s="198"/>
      <c r="R3163" s="198"/>
      <c r="S3163" s="198"/>
      <c r="T3163" s="198"/>
      <c r="U3163" s="198"/>
      <c r="V3163" s="198"/>
      <c r="W3163" s="198"/>
      <c r="X3163" s="198"/>
      <c r="Y3163" s="198"/>
      <c r="Z3163" s="198"/>
    </row>
    <row r="3164" spans="1:26" ht="15.75" hidden="1" customHeight="1" x14ac:dyDescent="0.25">
      <c r="A3164" s="213">
        <v>41933</v>
      </c>
      <c r="B3164" s="214" t="s">
        <v>11663</v>
      </c>
      <c r="C3164" s="215" t="s">
        <v>585</v>
      </c>
      <c r="D3164" s="216">
        <v>439.15</v>
      </c>
      <c r="E3164" s="198"/>
      <c r="F3164" s="198"/>
      <c r="G3164" s="198"/>
      <c r="H3164" s="198"/>
      <c r="I3164" s="198"/>
      <c r="J3164" s="198"/>
      <c r="K3164" s="198"/>
      <c r="L3164" s="198"/>
      <c r="M3164" s="198"/>
      <c r="N3164" s="198"/>
      <c r="O3164" s="198"/>
      <c r="P3164" s="198"/>
      <c r="Q3164" s="198"/>
      <c r="R3164" s="198"/>
      <c r="S3164" s="198"/>
      <c r="T3164" s="198"/>
      <c r="U3164" s="198"/>
      <c r="V3164" s="198"/>
      <c r="W3164" s="198"/>
      <c r="X3164" s="198"/>
      <c r="Y3164" s="198"/>
      <c r="Z3164" s="198"/>
    </row>
    <row r="3165" spans="1:26" ht="15.75" hidden="1" customHeight="1" x14ac:dyDescent="0.25">
      <c r="A3165" s="213">
        <v>41934</v>
      </c>
      <c r="B3165" s="214" t="s">
        <v>11664</v>
      </c>
      <c r="C3165" s="215" t="s">
        <v>585</v>
      </c>
      <c r="D3165" s="216">
        <v>511.45</v>
      </c>
      <c r="E3165" s="198"/>
      <c r="F3165" s="198"/>
      <c r="G3165" s="198"/>
      <c r="H3165" s="198"/>
      <c r="I3165" s="198"/>
      <c r="J3165" s="198"/>
      <c r="K3165" s="198"/>
      <c r="L3165" s="198"/>
      <c r="M3165" s="198"/>
      <c r="N3165" s="198"/>
      <c r="O3165" s="198"/>
      <c r="P3165" s="198"/>
      <c r="Q3165" s="198"/>
      <c r="R3165" s="198"/>
      <c r="S3165" s="198"/>
      <c r="T3165" s="198"/>
      <c r="U3165" s="198"/>
      <c r="V3165" s="198"/>
      <c r="W3165" s="198"/>
      <c r="X3165" s="198"/>
      <c r="Y3165" s="198"/>
      <c r="Z3165" s="198"/>
    </row>
    <row r="3166" spans="1:26" ht="15.75" hidden="1" customHeight="1" x14ac:dyDescent="0.25">
      <c r="A3166" s="213">
        <v>41936</v>
      </c>
      <c r="B3166" s="214" t="s">
        <v>11665</v>
      </c>
      <c r="C3166" s="215" t="s">
        <v>585</v>
      </c>
      <c r="D3166" s="216">
        <v>75.900000000000006</v>
      </c>
      <c r="E3166" s="198"/>
      <c r="F3166" s="198"/>
      <c r="G3166" s="198"/>
      <c r="H3166" s="198"/>
      <c r="I3166" s="198"/>
      <c r="J3166" s="198"/>
      <c r="K3166" s="198"/>
      <c r="L3166" s="198"/>
      <c r="M3166" s="198"/>
      <c r="N3166" s="198"/>
      <c r="O3166" s="198"/>
      <c r="P3166" s="198"/>
      <c r="Q3166" s="198"/>
      <c r="R3166" s="198"/>
      <c r="S3166" s="198"/>
      <c r="T3166" s="198"/>
      <c r="U3166" s="198"/>
      <c r="V3166" s="198"/>
      <c r="W3166" s="198"/>
      <c r="X3166" s="198"/>
      <c r="Y3166" s="198"/>
      <c r="Z3166" s="198"/>
    </row>
    <row r="3167" spans="1:26" ht="15.75" hidden="1" customHeight="1" x14ac:dyDescent="0.25">
      <c r="A3167" s="213">
        <v>44812</v>
      </c>
      <c r="B3167" s="214" t="s">
        <v>11666</v>
      </c>
      <c r="C3167" s="215" t="s">
        <v>585</v>
      </c>
      <c r="D3167" s="216">
        <v>598.22</v>
      </c>
      <c r="E3167" s="198"/>
      <c r="F3167" s="198"/>
      <c r="G3167" s="198"/>
      <c r="H3167" s="198"/>
      <c r="I3167" s="198"/>
      <c r="J3167" s="198"/>
      <c r="K3167" s="198"/>
      <c r="L3167" s="198"/>
      <c r="M3167" s="198"/>
      <c r="N3167" s="198"/>
      <c r="O3167" s="198"/>
      <c r="P3167" s="198"/>
      <c r="Q3167" s="198"/>
      <c r="R3167" s="198"/>
      <c r="S3167" s="198"/>
      <c r="T3167" s="198"/>
      <c r="U3167" s="198"/>
      <c r="V3167" s="198"/>
      <c r="W3167" s="198"/>
      <c r="X3167" s="198"/>
      <c r="Y3167" s="198"/>
      <c r="Z3167" s="198"/>
    </row>
    <row r="3168" spans="1:26" ht="15.75" hidden="1" customHeight="1" x14ac:dyDescent="0.25">
      <c r="A3168" s="213">
        <v>41785</v>
      </c>
      <c r="B3168" s="214" t="s">
        <v>11667</v>
      </c>
      <c r="C3168" s="215" t="s">
        <v>585</v>
      </c>
      <c r="D3168" s="216">
        <v>2216.9699999999998</v>
      </c>
      <c r="E3168" s="198"/>
      <c r="F3168" s="198"/>
      <c r="G3168" s="198"/>
      <c r="H3168" s="198"/>
      <c r="I3168" s="198"/>
      <c r="J3168" s="198"/>
      <c r="K3168" s="198"/>
      <c r="L3168" s="198"/>
      <c r="M3168" s="198"/>
      <c r="N3168" s="198"/>
      <c r="O3168" s="198"/>
      <c r="P3168" s="198"/>
      <c r="Q3168" s="198"/>
      <c r="R3168" s="198"/>
      <c r="S3168" s="198"/>
      <c r="T3168" s="198"/>
      <c r="U3168" s="198"/>
      <c r="V3168" s="198"/>
      <c r="W3168" s="198"/>
      <c r="X3168" s="198"/>
      <c r="Y3168" s="198"/>
      <c r="Z3168" s="198"/>
    </row>
    <row r="3169" spans="1:26" ht="15.75" hidden="1" customHeight="1" x14ac:dyDescent="0.25">
      <c r="A3169" s="213">
        <v>41781</v>
      </c>
      <c r="B3169" s="214" t="s">
        <v>11668</v>
      </c>
      <c r="C3169" s="215" t="s">
        <v>585</v>
      </c>
      <c r="D3169" s="216">
        <v>400.31</v>
      </c>
      <c r="E3169" s="198"/>
      <c r="F3169" s="198"/>
      <c r="G3169" s="198"/>
      <c r="H3169" s="198"/>
      <c r="I3169" s="198"/>
      <c r="J3169" s="198"/>
      <c r="K3169" s="198"/>
      <c r="L3169" s="198"/>
      <c r="M3169" s="198"/>
      <c r="N3169" s="198"/>
      <c r="O3169" s="198"/>
      <c r="P3169" s="198"/>
      <c r="Q3169" s="198"/>
      <c r="R3169" s="198"/>
      <c r="S3169" s="198"/>
      <c r="T3169" s="198"/>
      <c r="U3169" s="198"/>
      <c r="V3169" s="198"/>
      <c r="W3169" s="198"/>
      <c r="X3169" s="198"/>
      <c r="Y3169" s="198"/>
      <c r="Z3169" s="198"/>
    </row>
    <row r="3170" spans="1:26" ht="15.75" hidden="1" customHeight="1" x14ac:dyDescent="0.25">
      <c r="A3170" s="213">
        <v>41783</v>
      </c>
      <c r="B3170" s="214" t="s">
        <v>11669</v>
      </c>
      <c r="C3170" s="215" t="s">
        <v>585</v>
      </c>
      <c r="D3170" s="216">
        <v>1439.14</v>
      </c>
      <c r="E3170" s="198"/>
      <c r="F3170" s="198"/>
      <c r="G3170" s="198"/>
      <c r="H3170" s="198"/>
      <c r="I3170" s="198"/>
      <c r="J3170" s="198"/>
      <c r="K3170" s="198"/>
      <c r="L3170" s="198"/>
      <c r="M3170" s="198"/>
      <c r="N3170" s="198"/>
      <c r="O3170" s="198"/>
      <c r="P3170" s="198"/>
      <c r="Q3170" s="198"/>
      <c r="R3170" s="198"/>
      <c r="S3170" s="198"/>
      <c r="T3170" s="198"/>
      <c r="U3170" s="198"/>
      <c r="V3170" s="198"/>
      <c r="W3170" s="198"/>
      <c r="X3170" s="198"/>
      <c r="Y3170" s="198"/>
      <c r="Z3170" s="198"/>
    </row>
    <row r="3171" spans="1:26" ht="15.75" hidden="1" customHeight="1" x14ac:dyDescent="0.25">
      <c r="A3171" s="213">
        <v>41786</v>
      </c>
      <c r="B3171" s="214" t="s">
        <v>11670</v>
      </c>
      <c r="C3171" s="215" t="s">
        <v>585</v>
      </c>
      <c r="D3171" s="216">
        <v>3063.99</v>
      </c>
      <c r="E3171" s="198"/>
      <c r="F3171" s="198"/>
      <c r="G3171" s="198"/>
      <c r="H3171" s="198"/>
      <c r="I3171" s="198"/>
      <c r="J3171" s="198"/>
      <c r="K3171" s="198"/>
      <c r="L3171" s="198"/>
      <c r="M3171" s="198"/>
      <c r="N3171" s="198"/>
      <c r="O3171" s="198"/>
      <c r="P3171" s="198"/>
      <c r="Q3171" s="198"/>
      <c r="R3171" s="198"/>
      <c r="S3171" s="198"/>
      <c r="T3171" s="198"/>
      <c r="U3171" s="198"/>
      <c r="V3171" s="198"/>
      <c r="W3171" s="198"/>
      <c r="X3171" s="198"/>
      <c r="Y3171" s="198"/>
      <c r="Z3171" s="198"/>
    </row>
    <row r="3172" spans="1:26" ht="15.75" hidden="1" customHeight="1" x14ac:dyDescent="0.25">
      <c r="A3172" s="213">
        <v>41779</v>
      </c>
      <c r="B3172" s="214" t="s">
        <v>11671</v>
      </c>
      <c r="C3172" s="215" t="s">
        <v>585</v>
      </c>
      <c r="D3172" s="216">
        <v>157.65</v>
      </c>
      <c r="E3172" s="198"/>
      <c r="F3172" s="198"/>
      <c r="G3172" s="198"/>
      <c r="H3172" s="198"/>
      <c r="I3172" s="198"/>
      <c r="J3172" s="198"/>
      <c r="K3172" s="198"/>
      <c r="L3172" s="198"/>
      <c r="M3172" s="198"/>
      <c r="N3172" s="198"/>
      <c r="O3172" s="198"/>
      <c r="P3172" s="198"/>
      <c r="Q3172" s="198"/>
      <c r="R3172" s="198"/>
      <c r="S3172" s="198"/>
      <c r="T3172" s="198"/>
      <c r="U3172" s="198"/>
      <c r="V3172" s="198"/>
      <c r="W3172" s="198"/>
      <c r="X3172" s="198"/>
      <c r="Y3172" s="198"/>
      <c r="Z3172" s="198"/>
    </row>
    <row r="3173" spans="1:26" ht="15.75" hidden="1" customHeight="1" x14ac:dyDescent="0.25">
      <c r="A3173" s="213">
        <v>41780</v>
      </c>
      <c r="B3173" s="214" t="s">
        <v>11672</v>
      </c>
      <c r="C3173" s="215" t="s">
        <v>585</v>
      </c>
      <c r="D3173" s="216">
        <v>247</v>
      </c>
      <c r="E3173" s="198"/>
      <c r="F3173" s="198"/>
      <c r="G3173" s="198"/>
      <c r="H3173" s="198"/>
      <c r="I3173" s="198"/>
      <c r="J3173" s="198"/>
      <c r="K3173" s="198"/>
      <c r="L3173" s="198"/>
      <c r="M3173" s="198"/>
      <c r="N3173" s="198"/>
      <c r="O3173" s="198"/>
      <c r="P3173" s="198"/>
      <c r="Q3173" s="198"/>
      <c r="R3173" s="198"/>
      <c r="S3173" s="198"/>
      <c r="T3173" s="198"/>
      <c r="U3173" s="198"/>
      <c r="V3173" s="198"/>
      <c r="W3173" s="198"/>
      <c r="X3173" s="198"/>
      <c r="Y3173" s="198"/>
      <c r="Z3173" s="198"/>
    </row>
    <row r="3174" spans="1:26" ht="15.75" hidden="1" customHeight="1" x14ac:dyDescent="0.25">
      <c r="A3174" s="213">
        <v>41782</v>
      </c>
      <c r="B3174" s="214" t="s">
        <v>11673</v>
      </c>
      <c r="C3174" s="215" t="s">
        <v>585</v>
      </c>
      <c r="D3174" s="216">
        <v>884.79</v>
      </c>
      <c r="E3174" s="198"/>
      <c r="F3174" s="198"/>
      <c r="G3174" s="198"/>
      <c r="H3174" s="198"/>
      <c r="I3174" s="198"/>
      <c r="J3174" s="198"/>
      <c r="K3174" s="198"/>
      <c r="L3174" s="198"/>
      <c r="M3174" s="198"/>
      <c r="N3174" s="198"/>
      <c r="O3174" s="198"/>
      <c r="P3174" s="198"/>
      <c r="Q3174" s="198"/>
      <c r="R3174" s="198"/>
      <c r="S3174" s="198"/>
      <c r="T3174" s="198"/>
      <c r="U3174" s="198"/>
      <c r="V3174" s="198"/>
      <c r="W3174" s="198"/>
      <c r="X3174" s="198"/>
      <c r="Y3174" s="198"/>
      <c r="Z3174" s="198"/>
    </row>
    <row r="3175" spans="1:26" ht="15.75" hidden="1" customHeight="1" x14ac:dyDescent="0.25">
      <c r="A3175" s="213">
        <v>38130</v>
      </c>
      <c r="B3175" s="214" t="s">
        <v>11674</v>
      </c>
      <c r="C3175" s="215" t="s">
        <v>585</v>
      </c>
      <c r="D3175" s="216">
        <v>47.72</v>
      </c>
      <c r="E3175" s="198"/>
      <c r="F3175" s="198"/>
      <c r="G3175" s="198"/>
      <c r="H3175" s="198"/>
      <c r="I3175" s="198"/>
      <c r="J3175" s="198"/>
      <c r="K3175" s="198"/>
      <c r="L3175" s="198"/>
      <c r="M3175" s="198"/>
      <c r="N3175" s="198"/>
      <c r="O3175" s="198"/>
      <c r="P3175" s="198"/>
      <c r="Q3175" s="198"/>
      <c r="R3175" s="198"/>
      <c r="S3175" s="198"/>
      <c r="T3175" s="198"/>
      <c r="U3175" s="198"/>
      <c r="V3175" s="198"/>
      <c r="W3175" s="198"/>
      <c r="X3175" s="198"/>
      <c r="Y3175" s="198"/>
      <c r="Z3175" s="198"/>
    </row>
    <row r="3176" spans="1:26" ht="15.75" hidden="1" customHeight="1" x14ac:dyDescent="0.25">
      <c r="A3176" s="213">
        <v>44260</v>
      </c>
      <c r="B3176" s="214" t="s">
        <v>11675</v>
      </c>
      <c r="C3176" s="215" t="s">
        <v>585</v>
      </c>
      <c r="D3176" s="216">
        <v>451.66</v>
      </c>
      <c r="E3176" s="198"/>
      <c r="F3176" s="198"/>
      <c r="G3176" s="198"/>
      <c r="H3176" s="198"/>
      <c r="I3176" s="198"/>
      <c r="J3176" s="198"/>
      <c r="K3176" s="198"/>
      <c r="L3176" s="198"/>
      <c r="M3176" s="198"/>
      <c r="N3176" s="198"/>
      <c r="O3176" s="198"/>
      <c r="P3176" s="198"/>
      <c r="Q3176" s="198"/>
      <c r="R3176" s="198"/>
      <c r="S3176" s="198"/>
      <c r="T3176" s="198"/>
      <c r="U3176" s="198"/>
      <c r="V3176" s="198"/>
      <c r="W3176" s="198"/>
      <c r="X3176" s="198"/>
      <c r="Y3176" s="198"/>
      <c r="Z3176" s="198"/>
    </row>
    <row r="3177" spans="1:26" ht="15.75" hidden="1" customHeight="1" x14ac:dyDescent="0.25">
      <c r="A3177" s="213">
        <v>21123</v>
      </c>
      <c r="B3177" s="214" t="s">
        <v>11676</v>
      </c>
      <c r="C3177" s="215" t="s">
        <v>585</v>
      </c>
      <c r="D3177" s="216">
        <v>13.28</v>
      </c>
      <c r="E3177" s="198"/>
      <c r="F3177" s="198"/>
      <c r="G3177" s="198"/>
      <c r="H3177" s="198"/>
      <c r="I3177" s="198"/>
      <c r="J3177" s="198"/>
      <c r="K3177" s="198"/>
      <c r="L3177" s="198"/>
      <c r="M3177" s="198"/>
      <c r="N3177" s="198"/>
      <c r="O3177" s="198"/>
      <c r="P3177" s="198"/>
      <c r="Q3177" s="198"/>
      <c r="R3177" s="198"/>
      <c r="S3177" s="198"/>
      <c r="T3177" s="198"/>
      <c r="U3177" s="198"/>
      <c r="V3177" s="198"/>
      <c r="W3177" s="198"/>
      <c r="X3177" s="198"/>
      <c r="Y3177" s="198"/>
      <c r="Z3177" s="198"/>
    </row>
    <row r="3178" spans="1:26" ht="15.75" hidden="1" customHeight="1" x14ac:dyDescent="0.25">
      <c r="A3178" s="213">
        <v>21124</v>
      </c>
      <c r="B3178" s="214" t="s">
        <v>11677</v>
      </c>
      <c r="C3178" s="215" t="s">
        <v>585</v>
      </c>
      <c r="D3178" s="216">
        <v>21.21</v>
      </c>
      <c r="E3178" s="198"/>
      <c r="F3178" s="198"/>
      <c r="G3178" s="198"/>
      <c r="H3178" s="198"/>
      <c r="I3178" s="198"/>
      <c r="J3178" s="198"/>
      <c r="K3178" s="198"/>
      <c r="L3178" s="198"/>
      <c r="M3178" s="198"/>
      <c r="N3178" s="198"/>
      <c r="O3178" s="198"/>
      <c r="P3178" s="198"/>
      <c r="Q3178" s="198"/>
      <c r="R3178" s="198"/>
      <c r="S3178" s="198"/>
      <c r="T3178" s="198"/>
      <c r="U3178" s="198"/>
      <c r="V3178" s="198"/>
      <c r="W3178" s="198"/>
      <c r="X3178" s="198"/>
      <c r="Y3178" s="198"/>
      <c r="Z3178" s="198"/>
    </row>
    <row r="3179" spans="1:26" ht="15.75" hidden="1" customHeight="1" x14ac:dyDescent="0.25">
      <c r="A3179" s="213">
        <v>21125</v>
      </c>
      <c r="B3179" s="214" t="s">
        <v>11678</v>
      </c>
      <c r="C3179" s="215" t="s">
        <v>585</v>
      </c>
      <c r="D3179" s="216">
        <v>36.54</v>
      </c>
      <c r="E3179" s="198"/>
      <c r="F3179" s="198"/>
      <c r="G3179" s="198"/>
      <c r="H3179" s="198"/>
      <c r="I3179" s="198"/>
      <c r="J3179" s="198"/>
      <c r="K3179" s="198"/>
      <c r="L3179" s="198"/>
      <c r="M3179" s="198"/>
      <c r="N3179" s="198"/>
      <c r="O3179" s="198"/>
      <c r="P3179" s="198"/>
      <c r="Q3179" s="198"/>
      <c r="R3179" s="198"/>
      <c r="S3179" s="198"/>
      <c r="T3179" s="198"/>
      <c r="U3179" s="198"/>
      <c r="V3179" s="198"/>
      <c r="W3179" s="198"/>
      <c r="X3179" s="198"/>
      <c r="Y3179" s="198"/>
      <c r="Z3179" s="198"/>
    </row>
    <row r="3180" spans="1:26" ht="15.75" hidden="1" customHeight="1" x14ac:dyDescent="0.25">
      <c r="A3180" s="213">
        <v>38028</v>
      </c>
      <c r="B3180" s="214" t="s">
        <v>11679</v>
      </c>
      <c r="C3180" s="215" t="s">
        <v>585</v>
      </c>
      <c r="D3180" s="216">
        <v>63.88</v>
      </c>
      <c r="E3180" s="198"/>
      <c r="F3180" s="198"/>
      <c r="G3180" s="198"/>
      <c r="H3180" s="198"/>
      <c r="I3180" s="198"/>
      <c r="J3180" s="198"/>
      <c r="K3180" s="198"/>
      <c r="L3180" s="198"/>
      <c r="M3180" s="198"/>
      <c r="N3180" s="198"/>
      <c r="O3180" s="198"/>
      <c r="P3180" s="198"/>
      <c r="Q3180" s="198"/>
      <c r="R3180" s="198"/>
      <c r="S3180" s="198"/>
      <c r="T3180" s="198"/>
      <c r="U3180" s="198"/>
      <c r="V3180" s="198"/>
      <c r="W3180" s="198"/>
      <c r="X3180" s="198"/>
      <c r="Y3180" s="198"/>
      <c r="Z3180" s="198"/>
    </row>
    <row r="3181" spans="1:26" ht="15.75" hidden="1" customHeight="1" x14ac:dyDescent="0.25">
      <c r="A3181" s="213">
        <v>38029</v>
      </c>
      <c r="B3181" s="214" t="s">
        <v>11680</v>
      </c>
      <c r="C3181" s="215" t="s">
        <v>585</v>
      </c>
      <c r="D3181" s="216">
        <v>93.51</v>
      </c>
      <c r="E3181" s="198"/>
      <c r="F3181" s="198"/>
      <c r="G3181" s="198"/>
      <c r="H3181" s="198"/>
      <c r="I3181" s="198"/>
      <c r="J3181" s="198"/>
      <c r="K3181" s="198"/>
      <c r="L3181" s="198"/>
      <c r="M3181" s="198"/>
      <c r="N3181" s="198"/>
      <c r="O3181" s="198"/>
      <c r="P3181" s="198"/>
      <c r="Q3181" s="198"/>
      <c r="R3181" s="198"/>
      <c r="S3181" s="198"/>
      <c r="T3181" s="198"/>
      <c r="U3181" s="198"/>
      <c r="V3181" s="198"/>
      <c r="W3181" s="198"/>
      <c r="X3181" s="198"/>
      <c r="Y3181" s="198"/>
      <c r="Z3181" s="198"/>
    </row>
    <row r="3182" spans="1:26" ht="15.75" hidden="1" customHeight="1" x14ac:dyDescent="0.25">
      <c r="A3182" s="213">
        <v>38030</v>
      </c>
      <c r="B3182" s="214" t="s">
        <v>11681</v>
      </c>
      <c r="C3182" s="215" t="s">
        <v>585</v>
      </c>
      <c r="D3182" s="216">
        <v>151.19999999999999</v>
      </c>
      <c r="E3182" s="198"/>
      <c r="F3182" s="198"/>
      <c r="G3182" s="198"/>
      <c r="H3182" s="198"/>
      <c r="I3182" s="198"/>
      <c r="J3182" s="198"/>
      <c r="K3182" s="198"/>
      <c r="L3182" s="198"/>
      <c r="M3182" s="198"/>
      <c r="N3182" s="198"/>
      <c r="O3182" s="198"/>
      <c r="P3182" s="198"/>
      <c r="Q3182" s="198"/>
      <c r="R3182" s="198"/>
      <c r="S3182" s="198"/>
      <c r="T3182" s="198"/>
      <c r="U3182" s="198"/>
      <c r="V3182" s="198"/>
      <c r="W3182" s="198"/>
      <c r="X3182" s="198"/>
      <c r="Y3182" s="198"/>
      <c r="Z3182" s="198"/>
    </row>
    <row r="3183" spans="1:26" ht="15.75" hidden="1" customHeight="1" x14ac:dyDescent="0.25">
      <c r="A3183" s="213">
        <v>38031</v>
      </c>
      <c r="B3183" s="214" t="s">
        <v>11682</v>
      </c>
      <c r="C3183" s="215" t="s">
        <v>585</v>
      </c>
      <c r="D3183" s="216">
        <v>237.32</v>
      </c>
      <c r="E3183" s="198"/>
      <c r="F3183" s="198"/>
      <c r="G3183" s="198"/>
      <c r="H3183" s="198"/>
      <c r="I3183" s="198"/>
      <c r="J3183" s="198"/>
      <c r="K3183" s="198"/>
      <c r="L3183" s="198"/>
      <c r="M3183" s="198"/>
      <c r="N3183" s="198"/>
      <c r="O3183" s="198"/>
      <c r="P3183" s="198"/>
      <c r="Q3183" s="198"/>
      <c r="R3183" s="198"/>
      <c r="S3183" s="198"/>
      <c r="T3183" s="198"/>
      <c r="U3183" s="198"/>
      <c r="V3183" s="198"/>
      <c r="W3183" s="198"/>
      <c r="X3183" s="198"/>
      <c r="Y3183" s="198"/>
      <c r="Z3183" s="198"/>
    </row>
    <row r="3184" spans="1:26" ht="15.75" hidden="1" customHeight="1" x14ac:dyDescent="0.25">
      <c r="A3184" s="213">
        <v>39735</v>
      </c>
      <c r="B3184" s="214" t="s">
        <v>11683</v>
      </c>
      <c r="C3184" s="215" t="s">
        <v>585</v>
      </c>
      <c r="D3184" s="216">
        <v>56.79</v>
      </c>
      <c r="E3184" s="198"/>
      <c r="F3184" s="198"/>
      <c r="G3184" s="198"/>
      <c r="H3184" s="198"/>
      <c r="I3184" s="198"/>
      <c r="J3184" s="198"/>
      <c r="K3184" s="198"/>
      <c r="L3184" s="198"/>
      <c r="M3184" s="198"/>
      <c r="N3184" s="198"/>
      <c r="O3184" s="198"/>
      <c r="P3184" s="198"/>
      <c r="Q3184" s="198"/>
      <c r="R3184" s="198"/>
      <c r="S3184" s="198"/>
      <c r="T3184" s="198"/>
      <c r="U3184" s="198"/>
      <c r="V3184" s="198"/>
      <c r="W3184" s="198"/>
      <c r="X3184" s="198"/>
      <c r="Y3184" s="198"/>
      <c r="Z3184" s="198"/>
    </row>
    <row r="3185" spans="1:26" ht="15.75" hidden="1" customHeight="1" x14ac:dyDescent="0.25">
      <c r="A3185" s="213">
        <v>39734</v>
      </c>
      <c r="B3185" s="214" t="s">
        <v>11684</v>
      </c>
      <c r="C3185" s="215" t="s">
        <v>585</v>
      </c>
      <c r="D3185" s="216">
        <v>67.36</v>
      </c>
      <c r="E3185" s="198"/>
      <c r="F3185" s="198"/>
      <c r="G3185" s="198"/>
      <c r="H3185" s="198"/>
      <c r="I3185" s="198"/>
      <c r="J3185" s="198"/>
      <c r="K3185" s="198"/>
      <c r="L3185" s="198"/>
      <c r="M3185" s="198"/>
      <c r="N3185" s="198"/>
      <c r="O3185" s="198"/>
      <c r="P3185" s="198"/>
      <c r="Q3185" s="198"/>
      <c r="R3185" s="198"/>
      <c r="S3185" s="198"/>
      <c r="T3185" s="198"/>
      <c r="U3185" s="198"/>
      <c r="V3185" s="198"/>
      <c r="W3185" s="198"/>
      <c r="X3185" s="198"/>
      <c r="Y3185" s="198"/>
      <c r="Z3185" s="198"/>
    </row>
    <row r="3186" spans="1:26" ht="15.75" hidden="1" customHeight="1" x14ac:dyDescent="0.25">
      <c r="A3186" s="213">
        <v>39736</v>
      </c>
      <c r="B3186" s="214" t="s">
        <v>11685</v>
      </c>
      <c r="C3186" s="215" t="s">
        <v>585</v>
      </c>
      <c r="D3186" s="216">
        <v>76.87</v>
      </c>
      <c r="E3186" s="198"/>
      <c r="F3186" s="198"/>
      <c r="G3186" s="198"/>
      <c r="H3186" s="198"/>
      <c r="I3186" s="198"/>
      <c r="J3186" s="198"/>
      <c r="K3186" s="198"/>
      <c r="L3186" s="198"/>
      <c r="M3186" s="198"/>
      <c r="N3186" s="198"/>
      <c r="O3186" s="198"/>
      <c r="P3186" s="198"/>
      <c r="Q3186" s="198"/>
      <c r="R3186" s="198"/>
      <c r="S3186" s="198"/>
      <c r="T3186" s="198"/>
      <c r="U3186" s="198"/>
      <c r="V3186" s="198"/>
      <c r="W3186" s="198"/>
      <c r="X3186" s="198"/>
      <c r="Y3186" s="198"/>
      <c r="Z3186" s="198"/>
    </row>
    <row r="3187" spans="1:26" ht="15.75" hidden="1" customHeight="1" x14ac:dyDescent="0.25">
      <c r="A3187" s="213">
        <v>39739</v>
      </c>
      <c r="B3187" s="214" t="s">
        <v>11686</v>
      </c>
      <c r="C3187" s="215" t="s">
        <v>585</v>
      </c>
      <c r="D3187" s="216">
        <v>53.16</v>
      </c>
      <c r="E3187" s="198"/>
      <c r="F3187" s="198"/>
      <c r="G3187" s="198"/>
      <c r="H3187" s="198"/>
      <c r="I3187" s="198"/>
      <c r="J3187" s="198"/>
      <c r="K3187" s="198"/>
      <c r="L3187" s="198"/>
      <c r="M3187" s="198"/>
      <c r="N3187" s="198"/>
      <c r="O3187" s="198"/>
      <c r="P3187" s="198"/>
      <c r="Q3187" s="198"/>
      <c r="R3187" s="198"/>
      <c r="S3187" s="198"/>
      <c r="T3187" s="198"/>
      <c r="U3187" s="198"/>
      <c r="V3187" s="198"/>
      <c r="W3187" s="198"/>
      <c r="X3187" s="198"/>
      <c r="Y3187" s="198"/>
      <c r="Z3187" s="198"/>
    </row>
    <row r="3188" spans="1:26" ht="15.75" hidden="1" customHeight="1" x14ac:dyDescent="0.25">
      <c r="A3188" s="213">
        <v>39737</v>
      </c>
      <c r="B3188" s="214" t="s">
        <v>11687</v>
      </c>
      <c r="C3188" s="215" t="s">
        <v>585</v>
      </c>
      <c r="D3188" s="216">
        <v>10.34</v>
      </c>
      <c r="E3188" s="198"/>
      <c r="F3188" s="198"/>
      <c r="G3188" s="198"/>
      <c r="H3188" s="198"/>
      <c r="I3188" s="198"/>
      <c r="J3188" s="198"/>
      <c r="K3188" s="198"/>
      <c r="L3188" s="198"/>
      <c r="M3188" s="198"/>
      <c r="N3188" s="198"/>
      <c r="O3188" s="198"/>
      <c r="P3188" s="198"/>
      <c r="Q3188" s="198"/>
      <c r="R3188" s="198"/>
      <c r="S3188" s="198"/>
      <c r="T3188" s="198"/>
      <c r="U3188" s="198"/>
      <c r="V3188" s="198"/>
      <c r="W3188" s="198"/>
      <c r="X3188" s="198"/>
      <c r="Y3188" s="198"/>
      <c r="Z3188" s="198"/>
    </row>
    <row r="3189" spans="1:26" ht="15.75" hidden="1" customHeight="1" x14ac:dyDescent="0.25">
      <c r="A3189" s="213">
        <v>39738</v>
      </c>
      <c r="B3189" s="214" t="s">
        <v>11688</v>
      </c>
      <c r="C3189" s="215" t="s">
        <v>585</v>
      </c>
      <c r="D3189" s="216">
        <v>3.74</v>
      </c>
      <c r="E3189" s="198"/>
      <c r="F3189" s="198"/>
      <c r="G3189" s="198"/>
      <c r="H3189" s="198"/>
      <c r="I3189" s="198"/>
      <c r="J3189" s="198"/>
      <c r="K3189" s="198"/>
      <c r="L3189" s="198"/>
      <c r="M3189" s="198"/>
      <c r="N3189" s="198"/>
      <c r="O3189" s="198"/>
      <c r="P3189" s="198"/>
      <c r="Q3189" s="198"/>
      <c r="R3189" s="198"/>
      <c r="S3189" s="198"/>
      <c r="T3189" s="198"/>
      <c r="U3189" s="198"/>
      <c r="V3189" s="198"/>
      <c r="W3189" s="198"/>
      <c r="X3189" s="198"/>
      <c r="Y3189" s="198"/>
      <c r="Z3189" s="198"/>
    </row>
    <row r="3190" spans="1:26" ht="15.75" hidden="1" customHeight="1" x14ac:dyDescent="0.25">
      <c r="A3190" s="213">
        <v>39733</v>
      </c>
      <c r="B3190" s="214" t="s">
        <v>11689</v>
      </c>
      <c r="C3190" s="215" t="s">
        <v>585</v>
      </c>
      <c r="D3190" s="216">
        <v>91.99</v>
      </c>
      <c r="E3190" s="198"/>
      <c r="F3190" s="198"/>
      <c r="G3190" s="198"/>
      <c r="H3190" s="198"/>
      <c r="I3190" s="198"/>
      <c r="J3190" s="198"/>
      <c r="K3190" s="198"/>
      <c r="L3190" s="198"/>
      <c r="M3190" s="198"/>
      <c r="N3190" s="198"/>
      <c r="O3190" s="198"/>
      <c r="P3190" s="198"/>
      <c r="Q3190" s="198"/>
      <c r="R3190" s="198"/>
      <c r="S3190" s="198"/>
      <c r="T3190" s="198"/>
      <c r="U3190" s="198"/>
      <c r="V3190" s="198"/>
      <c r="W3190" s="198"/>
      <c r="X3190" s="198"/>
      <c r="Y3190" s="198"/>
      <c r="Z3190" s="198"/>
    </row>
    <row r="3191" spans="1:26" ht="15.75" hidden="1" customHeight="1" x14ac:dyDescent="0.25">
      <c r="A3191" s="213">
        <v>39854</v>
      </c>
      <c r="B3191" s="214" t="s">
        <v>11690</v>
      </c>
      <c r="C3191" s="215" t="s">
        <v>585</v>
      </c>
      <c r="D3191" s="216">
        <v>93.3</v>
      </c>
      <c r="E3191" s="198"/>
      <c r="F3191" s="198"/>
      <c r="G3191" s="198"/>
      <c r="H3191" s="198"/>
      <c r="I3191" s="198"/>
      <c r="J3191" s="198"/>
      <c r="K3191" s="198"/>
      <c r="L3191" s="198"/>
      <c r="M3191" s="198"/>
      <c r="N3191" s="198"/>
      <c r="O3191" s="198"/>
      <c r="P3191" s="198"/>
      <c r="Q3191" s="198"/>
      <c r="R3191" s="198"/>
      <c r="S3191" s="198"/>
      <c r="T3191" s="198"/>
      <c r="U3191" s="198"/>
      <c r="V3191" s="198"/>
      <c r="W3191" s="198"/>
      <c r="X3191" s="198"/>
      <c r="Y3191" s="198"/>
      <c r="Z3191" s="198"/>
    </row>
    <row r="3192" spans="1:26" ht="15.75" hidden="1" customHeight="1" x14ac:dyDescent="0.25">
      <c r="A3192" s="213">
        <v>39740</v>
      </c>
      <c r="B3192" s="214" t="s">
        <v>11691</v>
      </c>
      <c r="C3192" s="215" t="s">
        <v>585</v>
      </c>
      <c r="D3192" s="216">
        <v>51.05</v>
      </c>
      <c r="E3192" s="198"/>
      <c r="F3192" s="198"/>
      <c r="G3192" s="198"/>
      <c r="H3192" s="198"/>
      <c r="I3192" s="198"/>
      <c r="J3192" s="198"/>
      <c r="K3192" s="198"/>
      <c r="L3192" s="198"/>
      <c r="M3192" s="198"/>
      <c r="N3192" s="198"/>
      <c r="O3192" s="198"/>
      <c r="P3192" s="198"/>
      <c r="Q3192" s="198"/>
      <c r="R3192" s="198"/>
      <c r="S3192" s="198"/>
      <c r="T3192" s="198"/>
      <c r="U3192" s="198"/>
      <c r="V3192" s="198"/>
      <c r="W3192" s="198"/>
      <c r="X3192" s="198"/>
      <c r="Y3192" s="198"/>
      <c r="Z3192" s="198"/>
    </row>
    <row r="3193" spans="1:26" ht="15.75" hidden="1" customHeight="1" x14ac:dyDescent="0.25">
      <c r="A3193" s="213">
        <v>39741</v>
      </c>
      <c r="B3193" s="214" t="s">
        <v>11692</v>
      </c>
      <c r="C3193" s="215" t="s">
        <v>585</v>
      </c>
      <c r="D3193" s="216">
        <v>9.4</v>
      </c>
      <c r="E3193" s="198"/>
      <c r="F3193" s="198"/>
      <c r="G3193" s="198"/>
      <c r="H3193" s="198"/>
      <c r="I3193" s="198"/>
      <c r="J3193" s="198"/>
      <c r="K3193" s="198"/>
      <c r="L3193" s="198"/>
      <c r="M3193" s="198"/>
      <c r="N3193" s="198"/>
      <c r="O3193" s="198"/>
      <c r="P3193" s="198"/>
      <c r="Q3193" s="198"/>
      <c r="R3193" s="198"/>
      <c r="S3193" s="198"/>
      <c r="T3193" s="198"/>
      <c r="U3193" s="198"/>
      <c r="V3193" s="198"/>
      <c r="W3193" s="198"/>
      <c r="X3193" s="198"/>
      <c r="Y3193" s="198"/>
      <c r="Z3193" s="198"/>
    </row>
    <row r="3194" spans="1:26" ht="15.75" hidden="1" customHeight="1" x14ac:dyDescent="0.25">
      <c r="A3194" s="213">
        <v>39853</v>
      </c>
      <c r="B3194" s="214" t="s">
        <v>11693</v>
      </c>
      <c r="C3194" s="215" t="s">
        <v>585</v>
      </c>
      <c r="D3194" s="216">
        <v>12.35</v>
      </c>
      <c r="E3194" s="198"/>
      <c r="F3194" s="198"/>
      <c r="G3194" s="198"/>
      <c r="H3194" s="198"/>
      <c r="I3194" s="198"/>
      <c r="J3194" s="198"/>
      <c r="K3194" s="198"/>
      <c r="L3194" s="198"/>
      <c r="M3194" s="198"/>
      <c r="N3194" s="198"/>
      <c r="O3194" s="198"/>
      <c r="P3194" s="198"/>
      <c r="Q3194" s="198"/>
      <c r="R3194" s="198"/>
      <c r="S3194" s="198"/>
      <c r="T3194" s="198"/>
      <c r="U3194" s="198"/>
      <c r="V3194" s="198"/>
      <c r="W3194" s="198"/>
      <c r="X3194" s="198"/>
      <c r="Y3194" s="198"/>
      <c r="Z3194" s="198"/>
    </row>
    <row r="3195" spans="1:26" ht="15.75" hidden="1" customHeight="1" x14ac:dyDescent="0.25">
      <c r="A3195" s="213">
        <v>39742</v>
      </c>
      <c r="B3195" s="214" t="s">
        <v>11694</v>
      </c>
      <c r="C3195" s="215" t="s">
        <v>585</v>
      </c>
      <c r="D3195" s="216">
        <v>41.03</v>
      </c>
      <c r="E3195" s="198"/>
      <c r="F3195" s="198"/>
      <c r="G3195" s="198"/>
      <c r="H3195" s="198"/>
      <c r="I3195" s="198"/>
      <c r="J3195" s="198"/>
      <c r="K3195" s="198"/>
      <c r="L3195" s="198"/>
      <c r="M3195" s="198"/>
      <c r="N3195" s="198"/>
      <c r="O3195" s="198"/>
      <c r="P3195" s="198"/>
      <c r="Q3195" s="198"/>
      <c r="R3195" s="198"/>
      <c r="S3195" s="198"/>
      <c r="T3195" s="198"/>
      <c r="U3195" s="198"/>
      <c r="V3195" s="198"/>
      <c r="W3195" s="198"/>
      <c r="X3195" s="198"/>
      <c r="Y3195" s="198"/>
      <c r="Z3195" s="198"/>
    </row>
    <row r="3196" spans="1:26" ht="15.75" hidden="1" customHeight="1" x14ac:dyDescent="0.25">
      <c r="A3196" s="213">
        <v>37449</v>
      </c>
      <c r="B3196" s="214" t="s">
        <v>11695</v>
      </c>
      <c r="C3196" s="215" t="s">
        <v>585</v>
      </c>
      <c r="D3196" s="216">
        <v>18.72</v>
      </c>
      <c r="E3196" s="198"/>
      <c r="F3196" s="198"/>
      <c r="G3196" s="198"/>
      <c r="H3196" s="198"/>
      <c r="I3196" s="198"/>
      <c r="J3196" s="198"/>
      <c r="K3196" s="198"/>
      <c r="L3196" s="198"/>
      <c r="M3196" s="198"/>
      <c r="N3196" s="198"/>
      <c r="O3196" s="198"/>
      <c r="P3196" s="198"/>
      <c r="Q3196" s="198"/>
      <c r="R3196" s="198"/>
      <c r="S3196" s="198"/>
      <c r="T3196" s="198"/>
      <c r="U3196" s="198"/>
      <c r="V3196" s="198"/>
      <c r="W3196" s="198"/>
      <c r="X3196" s="198"/>
      <c r="Y3196" s="198"/>
      <c r="Z3196" s="198"/>
    </row>
    <row r="3197" spans="1:26" ht="15.75" hidden="1" customHeight="1" x14ac:dyDescent="0.25">
      <c r="A3197" s="213">
        <v>37450</v>
      </c>
      <c r="B3197" s="214" t="s">
        <v>11696</v>
      </c>
      <c r="C3197" s="215" t="s">
        <v>585</v>
      </c>
      <c r="D3197" s="216">
        <v>26.22</v>
      </c>
      <c r="E3197" s="198"/>
      <c r="F3197" s="198"/>
      <c r="G3197" s="198"/>
      <c r="H3197" s="198"/>
      <c r="I3197" s="198"/>
      <c r="J3197" s="198"/>
      <c r="K3197" s="198"/>
      <c r="L3197" s="198"/>
      <c r="M3197" s="198"/>
      <c r="N3197" s="198"/>
      <c r="O3197" s="198"/>
      <c r="P3197" s="198"/>
      <c r="Q3197" s="198"/>
      <c r="R3197" s="198"/>
      <c r="S3197" s="198"/>
      <c r="T3197" s="198"/>
      <c r="U3197" s="198"/>
      <c r="V3197" s="198"/>
      <c r="W3197" s="198"/>
      <c r="X3197" s="198"/>
      <c r="Y3197" s="198"/>
      <c r="Z3197" s="198"/>
    </row>
    <row r="3198" spans="1:26" ht="15.75" hidden="1" customHeight="1" x14ac:dyDescent="0.25">
      <c r="A3198" s="213">
        <v>37451</v>
      </c>
      <c r="B3198" s="214" t="s">
        <v>11697</v>
      </c>
      <c r="C3198" s="215" t="s">
        <v>585</v>
      </c>
      <c r="D3198" s="216">
        <v>36.6</v>
      </c>
      <c r="E3198" s="198"/>
      <c r="F3198" s="198"/>
      <c r="G3198" s="198"/>
      <c r="H3198" s="198"/>
      <c r="I3198" s="198"/>
      <c r="J3198" s="198"/>
      <c r="K3198" s="198"/>
      <c r="L3198" s="198"/>
      <c r="M3198" s="198"/>
      <c r="N3198" s="198"/>
      <c r="O3198" s="198"/>
      <c r="P3198" s="198"/>
      <c r="Q3198" s="198"/>
      <c r="R3198" s="198"/>
      <c r="S3198" s="198"/>
      <c r="T3198" s="198"/>
      <c r="U3198" s="198"/>
      <c r="V3198" s="198"/>
      <c r="W3198" s="198"/>
      <c r="X3198" s="198"/>
      <c r="Y3198" s="198"/>
      <c r="Z3198" s="198"/>
    </row>
    <row r="3199" spans="1:26" ht="15.75" hidden="1" customHeight="1" x14ac:dyDescent="0.25">
      <c r="A3199" s="213">
        <v>37452</v>
      </c>
      <c r="B3199" s="214" t="s">
        <v>11698</v>
      </c>
      <c r="C3199" s="215" t="s">
        <v>585</v>
      </c>
      <c r="D3199" s="216">
        <v>53.2</v>
      </c>
      <c r="E3199" s="198"/>
      <c r="F3199" s="198"/>
      <c r="G3199" s="198"/>
      <c r="H3199" s="198"/>
      <c r="I3199" s="198"/>
      <c r="J3199" s="198"/>
      <c r="K3199" s="198"/>
      <c r="L3199" s="198"/>
      <c r="M3199" s="198"/>
      <c r="N3199" s="198"/>
      <c r="O3199" s="198"/>
      <c r="P3199" s="198"/>
      <c r="Q3199" s="198"/>
      <c r="R3199" s="198"/>
      <c r="S3199" s="198"/>
      <c r="T3199" s="198"/>
      <c r="U3199" s="198"/>
      <c r="V3199" s="198"/>
      <c r="W3199" s="198"/>
      <c r="X3199" s="198"/>
      <c r="Y3199" s="198"/>
      <c r="Z3199" s="198"/>
    </row>
    <row r="3200" spans="1:26" ht="15.75" hidden="1" customHeight="1" x14ac:dyDescent="0.25">
      <c r="A3200" s="213">
        <v>37453</v>
      </c>
      <c r="B3200" s="214" t="s">
        <v>11699</v>
      </c>
      <c r="C3200" s="215" t="s">
        <v>585</v>
      </c>
      <c r="D3200" s="216">
        <v>61.27</v>
      </c>
      <c r="E3200" s="198"/>
      <c r="F3200" s="198"/>
      <c r="G3200" s="198"/>
      <c r="H3200" s="198"/>
      <c r="I3200" s="198"/>
      <c r="J3200" s="198"/>
      <c r="K3200" s="198"/>
      <c r="L3200" s="198"/>
      <c r="M3200" s="198"/>
      <c r="N3200" s="198"/>
      <c r="O3200" s="198"/>
      <c r="P3200" s="198"/>
      <c r="Q3200" s="198"/>
      <c r="R3200" s="198"/>
      <c r="S3200" s="198"/>
      <c r="T3200" s="198"/>
      <c r="U3200" s="198"/>
      <c r="V3200" s="198"/>
      <c r="W3200" s="198"/>
      <c r="X3200" s="198"/>
      <c r="Y3200" s="198"/>
      <c r="Z3200" s="198"/>
    </row>
    <row r="3201" spans="1:26" ht="15.75" hidden="1" customHeight="1" x14ac:dyDescent="0.25">
      <c r="A3201" s="213">
        <v>7778</v>
      </c>
      <c r="B3201" s="214" t="s">
        <v>11700</v>
      </c>
      <c r="C3201" s="215" t="s">
        <v>585</v>
      </c>
      <c r="D3201" s="216">
        <v>22.98</v>
      </c>
      <c r="E3201" s="198"/>
      <c r="F3201" s="198"/>
      <c r="G3201" s="198"/>
      <c r="H3201" s="198"/>
      <c r="I3201" s="198"/>
      <c r="J3201" s="198"/>
      <c r="K3201" s="198"/>
      <c r="L3201" s="198"/>
      <c r="M3201" s="198"/>
      <c r="N3201" s="198"/>
      <c r="O3201" s="198"/>
      <c r="P3201" s="198"/>
      <c r="Q3201" s="198"/>
      <c r="R3201" s="198"/>
      <c r="S3201" s="198"/>
      <c r="T3201" s="198"/>
      <c r="U3201" s="198"/>
      <c r="V3201" s="198"/>
      <c r="W3201" s="198"/>
      <c r="X3201" s="198"/>
      <c r="Y3201" s="198"/>
      <c r="Z3201" s="198"/>
    </row>
    <row r="3202" spans="1:26" ht="15.75" hidden="1" customHeight="1" x14ac:dyDescent="0.25">
      <c r="A3202" s="213">
        <v>7796</v>
      </c>
      <c r="B3202" s="214" t="s">
        <v>11701</v>
      </c>
      <c r="C3202" s="215" t="s">
        <v>585</v>
      </c>
      <c r="D3202" s="216">
        <v>31.5</v>
      </c>
      <c r="E3202" s="198"/>
      <c r="F3202" s="198"/>
      <c r="G3202" s="198"/>
      <c r="H3202" s="198"/>
      <c r="I3202" s="198"/>
      <c r="J3202" s="198"/>
      <c r="K3202" s="198"/>
      <c r="L3202" s="198"/>
      <c r="M3202" s="198"/>
      <c r="N3202" s="198"/>
      <c r="O3202" s="198"/>
      <c r="P3202" s="198"/>
      <c r="Q3202" s="198"/>
      <c r="R3202" s="198"/>
      <c r="S3202" s="198"/>
      <c r="T3202" s="198"/>
      <c r="U3202" s="198"/>
      <c r="V3202" s="198"/>
      <c r="W3202" s="198"/>
      <c r="X3202" s="198"/>
      <c r="Y3202" s="198"/>
      <c r="Z3202" s="198"/>
    </row>
    <row r="3203" spans="1:26" ht="15.75" hidden="1" customHeight="1" x14ac:dyDescent="0.25">
      <c r="A3203" s="213">
        <v>7781</v>
      </c>
      <c r="B3203" s="214" t="s">
        <v>11702</v>
      </c>
      <c r="C3203" s="215" t="s">
        <v>585</v>
      </c>
      <c r="D3203" s="216">
        <v>37.22</v>
      </c>
      <c r="E3203" s="198"/>
      <c r="F3203" s="198"/>
      <c r="G3203" s="198"/>
      <c r="H3203" s="198"/>
      <c r="I3203" s="198"/>
      <c r="J3203" s="198"/>
      <c r="K3203" s="198"/>
      <c r="L3203" s="198"/>
      <c r="M3203" s="198"/>
      <c r="N3203" s="198"/>
      <c r="O3203" s="198"/>
      <c r="P3203" s="198"/>
      <c r="Q3203" s="198"/>
      <c r="R3203" s="198"/>
      <c r="S3203" s="198"/>
      <c r="T3203" s="198"/>
      <c r="U3203" s="198"/>
      <c r="V3203" s="198"/>
      <c r="W3203" s="198"/>
      <c r="X3203" s="198"/>
      <c r="Y3203" s="198"/>
      <c r="Z3203" s="198"/>
    </row>
    <row r="3204" spans="1:26" ht="15.75" hidden="1" customHeight="1" x14ac:dyDescent="0.25">
      <c r="A3204" s="213">
        <v>7795</v>
      </c>
      <c r="B3204" s="214" t="s">
        <v>11703</v>
      </c>
      <c r="C3204" s="215" t="s">
        <v>585</v>
      </c>
      <c r="D3204" s="216">
        <v>55.4</v>
      </c>
      <c r="E3204" s="198"/>
      <c r="F3204" s="198"/>
      <c r="G3204" s="198"/>
      <c r="H3204" s="198"/>
      <c r="I3204" s="198"/>
      <c r="J3204" s="198"/>
      <c r="K3204" s="198"/>
      <c r="L3204" s="198"/>
      <c r="M3204" s="198"/>
      <c r="N3204" s="198"/>
      <c r="O3204" s="198"/>
      <c r="P3204" s="198"/>
      <c r="Q3204" s="198"/>
      <c r="R3204" s="198"/>
      <c r="S3204" s="198"/>
      <c r="T3204" s="198"/>
      <c r="U3204" s="198"/>
      <c r="V3204" s="198"/>
      <c r="W3204" s="198"/>
      <c r="X3204" s="198"/>
      <c r="Y3204" s="198"/>
      <c r="Z3204" s="198"/>
    </row>
    <row r="3205" spans="1:26" ht="15.75" hidden="1" customHeight="1" x14ac:dyDescent="0.25">
      <c r="A3205" s="213">
        <v>7791</v>
      </c>
      <c r="B3205" s="214" t="s">
        <v>11704</v>
      </c>
      <c r="C3205" s="215" t="s">
        <v>585</v>
      </c>
      <c r="D3205" s="216">
        <v>66.319999999999993</v>
      </c>
      <c r="E3205" s="198"/>
      <c r="F3205" s="198"/>
      <c r="G3205" s="198"/>
      <c r="H3205" s="198"/>
      <c r="I3205" s="198"/>
      <c r="J3205" s="198"/>
      <c r="K3205" s="198"/>
      <c r="L3205" s="198"/>
      <c r="M3205" s="198"/>
      <c r="N3205" s="198"/>
      <c r="O3205" s="198"/>
      <c r="P3205" s="198"/>
      <c r="Q3205" s="198"/>
      <c r="R3205" s="198"/>
      <c r="S3205" s="198"/>
      <c r="T3205" s="198"/>
      <c r="U3205" s="198"/>
      <c r="V3205" s="198"/>
      <c r="W3205" s="198"/>
      <c r="X3205" s="198"/>
      <c r="Y3205" s="198"/>
      <c r="Z3205" s="198"/>
    </row>
    <row r="3206" spans="1:26" ht="15.75" hidden="1" customHeight="1" x14ac:dyDescent="0.25">
      <c r="A3206" s="213">
        <v>7783</v>
      </c>
      <c r="B3206" s="214" t="s">
        <v>11705</v>
      </c>
      <c r="C3206" s="215" t="s">
        <v>585</v>
      </c>
      <c r="D3206" s="216">
        <v>23.5</v>
      </c>
      <c r="E3206" s="198"/>
      <c r="F3206" s="198"/>
      <c r="G3206" s="198"/>
      <c r="H3206" s="198"/>
      <c r="I3206" s="198"/>
      <c r="J3206" s="198"/>
      <c r="K3206" s="198"/>
      <c r="L3206" s="198"/>
      <c r="M3206" s="198"/>
      <c r="N3206" s="198"/>
      <c r="O3206" s="198"/>
      <c r="P3206" s="198"/>
      <c r="Q3206" s="198"/>
      <c r="R3206" s="198"/>
      <c r="S3206" s="198"/>
      <c r="T3206" s="198"/>
      <c r="U3206" s="198"/>
      <c r="V3206" s="198"/>
      <c r="W3206" s="198"/>
      <c r="X3206" s="198"/>
      <c r="Y3206" s="198"/>
      <c r="Z3206" s="198"/>
    </row>
    <row r="3207" spans="1:26" ht="15.75" hidden="1" customHeight="1" x14ac:dyDescent="0.25">
      <c r="A3207" s="213">
        <v>7790</v>
      </c>
      <c r="B3207" s="214" t="s">
        <v>11706</v>
      </c>
      <c r="C3207" s="215" t="s">
        <v>585</v>
      </c>
      <c r="D3207" s="216">
        <v>37.03</v>
      </c>
      <c r="E3207" s="198"/>
      <c r="F3207" s="198"/>
      <c r="G3207" s="198"/>
      <c r="H3207" s="198"/>
      <c r="I3207" s="198"/>
      <c r="J3207" s="198"/>
      <c r="K3207" s="198"/>
      <c r="L3207" s="198"/>
      <c r="M3207" s="198"/>
      <c r="N3207" s="198"/>
      <c r="O3207" s="198"/>
      <c r="P3207" s="198"/>
      <c r="Q3207" s="198"/>
      <c r="R3207" s="198"/>
      <c r="S3207" s="198"/>
      <c r="T3207" s="198"/>
      <c r="U3207" s="198"/>
      <c r="V3207" s="198"/>
      <c r="W3207" s="198"/>
      <c r="X3207" s="198"/>
      <c r="Y3207" s="198"/>
      <c r="Z3207" s="198"/>
    </row>
    <row r="3208" spans="1:26" ht="15.75" hidden="1" customHeight="1" x14ac:dyDescent="0.25">
      <c r="A3208" s="213">
        <v>7785</v>
      </c>
      <c r="B3208" s="214" t="s">
        <v>11707</v>
      </c>
      <c r="C3208" s="215" t="s">
        <v>585</v>
      </c>
      <c r="D3208" s="216">
        <v>40.86</v>
      </c>
      <c r="E3208" s="198"/>
      <c r="F3208" s="198"/>
      <c r="G3208" s="198"/>
      <c r="H3208" s="198"/>
      <c r="I3208" s="198"/>
      <c r="J3208" s="198"/>
      <c r="K3208" s="198"/>
      <c r="L3208" s="198"/>
      <c r="M3208" s="198"/>
      <c r="N3208" s="198"/>
      <c r="O3208" s="198"/>
      <c r="P3208" s="198"/>
      <c r="Q3208" s="198"/>
      <c r="R3208" s="198"/>
      <c r="S3208" s="198"/>
      <c r="T3208" s="198"/>
      <c r="U3208" s="198"/>
      <c r="V3208" s="198"/>
      <c r="W3208" s="198"/>
      <c r="X3208" s="198"/>
      <c r="Y3208" s="198"/>
      <c r="Z3208" s="198"/>
    </row>
    <row r="3209" spans="1:26" ht="15.75" hidden="1" customHeight="1" x14ac:dyDescent="0.25">
      <c r="A3209" s="213">
        <v>7792</v>
      </c>
      <c r="B3209" s="214" t="s">
        <v>11708</v>
      </c>
      <c r="C3209" s="215" t="s">
        <v>585</v>
      </c>
      <c r="D3209" s="216">
        <v>57.95</v>
      </c>
      <c r="E3209" s="198"/>
      <c r="F3209" s="198"/>
      <c r="G3209" s="198"/>
      <c r="H3209" s="198"/>
      <c r="I3209" s="198"/>
      <c r="J3209" s="198"/>
      <c r="K3209" s="198"/>
      <c r="L3209" s="198"/>
      <c r="M3209" s="198"/>
      <c r="N3209" s="198"/>
      <c r="O3209" s="198"/>
      <c r="P3209" s="198"/>
      <c r="Q3209" s="198"/>
      <c r="R3209" s="198"/>
      <c r="S3209" s="198"/>
      <c r="T3209" s="198"/>
      <c r="U3209" s="198"/>
      <c r="V3209" s="198"/>
      <c r="W3209" s="198"/>
      <c r="X3209" s="198"/>
      <c r="Y3209" s="198"/>
      <c r="Z3209" s="198"/>
    </row>
    <row r="3210" spans="1:26" ht="15.75" hidden="1" customHeight="1" x14ac:dyDescent="0.25">
      <c r="A3210" s="213">
        <v>7793</v>
      </c>
      <c r="B3210" s="214" t="s">
        <v>11709</v>
      </c>
      <c r="C3210" s="215" t="s">
        <v>585</v>
      </c>
      <c r="D3210" s="216">
        <v>68.44</v>
      </c>
      <c r="E3210" s="198"/>
      <c r="F3210" s="198"/>
      <c r="G3210" s="198"/>
      <c r="H3210" s="198"/>
      <c r="I3210" s="198"/>
      <c r="J3210" s="198"/>
      <c r="K3210" s="198"/>
      <c r="L3210" s="198"/>
      <c r="M3210" s="198"/>
      <c r="N3210" s="198"/>
      <c r="O3210" s="198"/>
      <c r="P3210" s="198"/>
      <c r="Q3210" s="198"/>
      <c r="R3210" s="198"/>
      <c r="S3210" s="198"/>
      <c r="T3210" s="198"/>
      <c r="U3210" s="198"/>
      <c r="V3210" s="198"/>
      <c r="W3210" s="198"/>
      <c r="X3210" s="198"/>
      <c r="Y3210" s="198"/>
      <c r="Z3210" s="198"/>
    </row>
    <row r="3211" spans="1:26" ht="15.75" hidden="1" customHeight="1" x14ac:dyDescent="0.25">
      <c r="A3211" s="213">
        <v>13159</v>
      </c>
      <c r="B3211" s="214" t="s">
        <v>11710</v>
      </c>
      <c r="C3211" s="215" t="s">
        <v>585</v>
      </c>
      <c r="D3211" s="216">
        <v>59.59</v>
      </c>
      <c r="E3211" s="198"/>
      <c r="F3211" s="198"/>
      <c r="G3211" s="198"/>
      <c r="H3211" s="198"/>
      <c r="I3211" s="198"/>
      <c r="J3211" s="198"/>
      <c r="K3211" s="198"/>
      <c r="L3211" s="198"/>
      <c r="M3211" s="198"/>
      <c r="N3211" s="198"/>
      <c r="O3211" s="198"/>
      <c r="P3211" s="198"/>
      <c r="Q3211" s="198"/>
      <c r="R3211" s="198"/>
      <c r="S3211" s="198"/>
      <c r="T3211" s="198"/>
      <c r="U3211" s="198"/>
      <c r="V3211" s="198"/>
      <c r="W3211" s="198"/>
      <c r="X3211" s="198"/>
      <c r="Y3211" s="198"/>
      <c r="Z3211" s="198"/>
    </row>
    <row r="3212" spans="1:26" ht="15.75" hidden="1" customHeight="1" x14ac:dyDescent="0.25">
      <c r="A3212" s="213">
        <v>13168</v>
      </c>
      <c r="B3212" s="214" t="s">
        <v>11711</v>
      </c>
      <c r="C3212" s="215" t="s">
        <v>585</v>
      </c>
      <c r="D3212" s="216">
        <v>72.36</v>
      </c>
      <c r="E3212" s="198"/>
      <c r="F3212" s="198"/>
      <c r="G3212" s="198"/>
      <c r="H3212" s="198"/>
      <c r="I3212" s="198"/>
      <c r="J3212" s="198"/>
      <c r="K3212" s="198"/>
      <c r="L3212" s="198"/>
      <c r="M3212" s="198"/>
      <c r="N3212" s="198"/>
      <c r="O3212" s="198"/>
      <c r="P3212" s="198"/>
      <c r="Q3212" s="198"/>
      <c r="R3212" s="198"/>
      <c r="S3212" s="198"/>
      <c r="T3212" s="198"/>
      <c r="U3212" s="198"/>
      <c r="V3212" s="198"/>
      <c r="W3212" s="198"/>
      <c r="X3212" s="198"/>
      <c r="Y3212" s="198"/>
      <c r="Z3212" s="198"/>
    </row>
    <row r="3213" spans="1:26" ht="15.75" hidden="1" customHeight="1" x14ac:dyDescent="0.25">
      <c r="A3213" s="213">
        <v>13173</v>
      </c>
      <c r="B3213" s="214" t="s">
        <v>11712</v>
      </c>
      <c r="C3213" s="215" t="s">
        <v>585</v>
      </c>
      <c r="D3213" s="216">
        <v>97.9</v>
      </c>
      <c r="E3213" s="198"/>
      <c r="F3213" s="198"/>
      <c r="G3213" s="198"/>
      <c r="H3213" s="198"/>
      <c r="I3213" s="198"/>
      <c r="J3213" s="198"/>
      <c r="K3213" s="198"/>
      <c r="L3213" s="198"/>
      <c r="M3213" s="198"/>
      <c r="N3213" s="198"/>
      <c r="O3213" s="198"/>
      <c r="P3213" s="198"/>
      <c r="Q3213" s="198"/>
      <c r="R3213" s="198"/>
      <c r="S3213" s="198"/>
      <c r="T3213" s="198"/>
      <c r="U3213" s="198"/>
      <c r="V3213" s="198"/>
      <c r="W3213" s="198"/>
      <c r="X3213" s="198"/>
      <c r="Y3213" s="198"/>
      <c r="Z3213" s="198"/>
    </row>
    <row r="3214" spans="1:26" ht="15.75" hidden="1" customHeight="1" x14ac:dyDescent="0.25">
      <c r="A3214" s="213">
        <v>12583</v>
      </c>
      <c r="B3214" s="214" t="s">
        <v>11713</v>
      </c>
      <c r="C3214" s="215" t="s">
        <v>585</v>
      </c>
      <c r="D3214" s="216">
        <v>19.579999999999998</v>
      </c>
      <c r="E3214" s="198"/>
      <c r="F3214" s="198"/>
      <c r="G3214" s="198"/>
      <c r="H3214" s="198"/>
      <c r="I3214" s="198"/>
      <c r="J3214" s="198"/>
      <c r="K3214" s="198"/>
      <c r="L3214" s="198"/>
      <c r="M3214" s="198"/>
      <c r="N3214" s="198"/>
      <c r="O3214" s="198"/>
      <c r="P3214" s="198"/>
      <c r="Q3214" s="198"/>
      <c r="R3214" s="198"/>
      <c r="S3214" s="198"/>
      <c r="T3214" s="198"/>
      <c r="U3214" s="198"/>
      <c r="V3214" s="198"/>
      <c r="W3214" s="198"/>
      <c r="X3214" s="198"/>
      <c r="Y3214" s="198"/>
      <c r="Z3214" s="198"/>
    </row>
    <row r="3215" spans="1:26" ht="15.75" hidden="1" customHeight="1" x14ac:dyDescent="0.25">
      <c r="A3215" s="213">
        <v>12584</v>
      </c>
      <c r="B3215" s="214" t="s">
        <v>11714</v>
      </c>
      <c r="C3215" s="215" t="s">
        <v>585</v>
      </c>
      <c r="D3215" s="216">
        <v>25.54</v>
      </c>
      <c r="E3215" s="198"/>
      <c r="F3215" s="198"/>
      <c r="G3215" s="198"/>
      <c r="H3215" s="198"/>
      <c r="I3215" s="198"/>
      <c r="J3215" s="198"/>
      <c r="K3215" s="198"/>
      <c r="L3215" s="198"/>
      <c r="M3215" s="198"/>
      <c r="N3215" s="198"/>
      <c r="O3215" s="198"/>
      <c r="P3215" s="198"/>
      <c r="Q3215" s="198"/>
      <c r="R3215" s="198"/>
      <c r="S3215" s="198"/>
      <c r="T3215" s="198"/>
      <c r="U3215" s="198"/>
      <c r="V3215" s="198"/>
      <c r="W3215" s="198"/>
      <c r="X3215" s="198"/>
      <c r="Y3215" s="198"/>
      <c r="Z3215" s="198"/>
    </row>
    <row r="3216" spans="1:26" ht="15.75" hidden="1" customHeight="1" x14ac:dyDescent="0.25">
      <c r="A3216" s="213">
        <v>12613</v>
      </c>
      <c r="B3216" s="214" t="s">
        <v>11715</v>
      </c>
      <c r="C3216" s="215" t="s">
        <v>580</v>
      </c>
      <c r="D3216" s="216">
        <v>19.47</v>
      </c>
      <c r="E3216" s="198"/>
      <c r="F3216" s="198"/>
      <c r="G3216" s="198"/>
      <c r="H3216" s="198"/>
      <c r="I3216" s="198"/>
      <c r="J3216" s="198"/>
      <c r="K3216" s="198"/>
      <c r="L3216" s="198"/>
      <c r="M3216" s="198"/>
      <c r="N3216" s="198"/>
      <c r="O3216" s="198"/>
      <c r="P3216" s="198"/>
      <c r="Q3216" s="198"/>
      <c r="R3216" s="198"/>
      <c r="S3216" s="198"/>
      <c r="T3216" s="198"/>
      <c r="U3216" s="198"/>
      <c r="V3216" s="198"/>
      <c r="W3216" s="198"/>
      <c r="X3216" s="198"/>
      <c r="Y3216" s="198"/>
      <c r="Z3216" s="198"/>
    </row>
    <row r="3217" spans="1:26" ht="15.75" hidden="1" customHeight="1" x14ac:dyDescent="0.25">
      <c r="A3217" s="213">
        <v>1031</v>
      </c>
      <c r="B3217" s="214" t="s">
        <v>11716</v>
      </c>
      <c r="C3217" s="215" t="s">
        <v>580</v>
      </c>
      <c r="D3217" s="216">
        <v>14.6</v>
      </c>
      <c r="E3217" s="198"/>
      <c r="F3217" s="198"/>
      <c r="G3217" s="198"/>
      <c r="H3217" s="198"/>
      <c r="I3217" s="198"/>
      <c r="J3217" s="198"/>
      <c r="K3217" s="198"/>
      <c r="L3217" s="198"/>
      <c r="M3217" s="198"/>
      <c r="N3217" s="198"/>
      <c r="O3217" s="198"/>
      <c r="P3217" s="198"/>
      <c r="Q3217" s="198"/>
      <c r="R3217" s="198"/>
      <c r="S3217" s="198"/>
      <c r="T3217" s="198"/>
      <c r="U3217" s="198"/>
      <c r="V3217" s="198"/>
      <c r="W3217" s="198"/>
      <c r="X3217" s="198"/>
      <c r="Y3217" s="198"/>
      <c r="Z3217" s="198"/>
    </row>
    <row r="3218" spans="1:26" ht="15.75" hidden="1" customHeight="1" x14ac:dyDescent="0.25">
      <c r="A3218" s="213">
        <v>39707</v>
      </c>
      <c r="B3218" s="214" t="s">
        <v>11717</v>
      </c>
      <c r="C3218" s="215" t="s">
        <v>585</v>
      </c>
      <c r="D3218" s="216">
        <v>4.54</v>
      </c>
      <c r="E3218" s="198"/>
      <c r="F3218" s="198"/>
      <c r="G3218" s="198"/>
      <c r="H3218" s="198"/>
      <c r="I3218" s="198"/>
      <c r="J3218" s="198"/>
      <c r="K3218" s="198"/>
      <c r="L3218" s="198"/>
      <c r="M3218" s="198"/>
      <c r="N3218" s="198"/>
      <c r="O3218" s="198"/>
      <c r="P3218" s="198"/>
      <c r="Q3218" s="198"/>
      <c r="R3218" s="198"/>
      <c r="S3218" s="198"/>
      <c r="T3218" s="198"/>
      <c r="U3218" s="198"/>
      <c r="V3218" s="198"/>
      <c r="W3218" s="198"/>
      <c r="X3218" s="198"/>
      <c r="Y3218" s="198"/>
      <c r="Z3218" s="198"/>
    </row>
    <row r="3219" spans="1:26" ht="15.75" hidden="1" customHeight="1" x14ac:dyDescent="0.25">
      <c r="A3219" s="213">
        <v>39708</v>
      </c>
      <c r="B3219" s="214" t="s">
        <v>11718</v>
      </c>
      <c r="C3219" s="215" t="s">
        <v>585</v>
      </c>
      <c r="D3219" s="216">
        <v>4.4000000000000004</v>
      </c>
      <c r="E3219" s="198"/>
      <c r="F3219" s="198"/>
      <c r="G3219" s="198"/>
      <c r="H3219" s="198"/>
      <c r="I3219" s="198"/>
      <c r="J3219" s="198"/>
      <c r="K3219" s="198"/>
      <c r="L3219" s="198"/>
      <c r="M3219" s="198"/>
      <c r="N3219" s="198"/>
      <c r="O3219" s="198"/>
      <c r="P3219" s="198"/>
      <c r="Q3219" s="198"/>
      <c r="R3219" s="198"/>
      <c r="S3219" s="198"/>
      <c r="T3219" s="198"/>
      <c r="U3219" s="198"/>
      <c r="V3219" s="198"/>
      <c r="W3219" s="198"/>
      <c r="X3219" s="198"/>
      <c r="Y3219" s="198"/>
      <c r="Z3219" s="198"/>
    </row>
    <row r="3220" spans="1:26" ht="15.75" hidden="1" customHeight="1" x14ac:dyDescent="0.25">
      <c r="A3220" s="213">
        <v>39710</v>
      </c>
      <c r="B3220" s="214" t="s">
        <v>11719</v>
      </c>
      <c r="C3220" s="215" t="s">
        <v>585</v>
      </c>
      <c r="D3220" s="216">
        <v>3.09</v>
      </c>
      <c r="E3220" s="198"/>
      <c r="F3220" s="198"/>
      <c r="G3220" s="198"/>
      <c r="H3220" s="198"/>
      <c r="I3220" s="198"/>
      <c r="J3220" s="198"/>
      <c r="K3220" s="198"/>
      <c r="L3220" s="198"/>
      <c r="M3220" s="198"/>
      <c r="N3220" s="198"/>
      <c r="O3220" s="198"/>
      <c r="P3220" s="198"/>
      <c r="Q3220" s="198"/>
      <c r="R3220" s="198"/>
      <c r="S3220" s="198"/>
      <c r="T3220" s="198"/>
      <c r="U3220" s="198"/>
      <c r="V3220" s="198"/>
      <c r="W3220" s="198"/>
      <c r="X3220" s="198"/>
      <c r="Y3220" s="198"/>
      <c r="Z3220" s="198"/>
    </row>
    <row r="3221" spans="1:26" ht="15.75" hidden="1" customHeight="1" x14ac:dyDescent="0.25">
      <c r="A3221" s="213">
        <v>39709</v>
      </c>
      <c r="B3221" s="214" t="s">
        <v>11720</v>
      </c>
      <c r="C3221" s="215" t="s">
        <v>585</v>
      </c>
      <c r="D3221" s="216">
        <v>4.29</v>
      </c>
      <c r="E3221" s="198"/>
      <c r="F3221" s="198"/>
      <c r="G3221" s="198"/>
      <c r="H3221" s="198"/>
      <c r="I3221" s="198"/>
      <c r="J3221" s="198"/>
      <c r="K3221" s="198"/>
      <c r="L3221" s="198"/>
      <c r="M3221" s="198"/>
      <c r="N3221" s="198"/>
      <c r="O3221" s="198"/>
      <c r="P3221" s="198"/>
      <c r="Q3221" s="198"/>
      <c r="R3221" s="198"/>
      <c r="S3221" s="198"/>
      <c r="T3221" s="198"/>
      <c r="U3221" s="198"/>
      <c r="V3221" s="198"/>
      <c r="W3221" s="198"/>
      <c r="X3221" s="198"/>
      <c r="Y3221" s="198"/>
      <c r="Z3221" s="198"/>
    </row>
    <row r="3222" spans="1:26" ht="15.75" hidden="1" customHeight="1" x14ac:dyDescent="0.25">
      <c r="A3222" s="213">
        <v>39711</v>
      </c>
      <c r="B3222" s="214" t="s">
        <v>11721</v>
      </c>
      <c r="C3222" s="215" t="s">
        <v>585</v>
      </c>
      <c r="D3222" s="216">
        <v>4.82</v>
      </c>
      <c r="E3222" s="198"/>
      <c r="F3222" s="198"/>
      <c r="G3222" s="198"/>
      <c r="H3222" s="198"/>
      <c r="I3222" s="198"/>
      <c r="J3222" s="198"/>
      <c r="K3222" s="198"/>
      <c r="L3222" s="198"/>
      <c r="M3222" s="198"/>
      <c r="N3222" s="198"/>
      <c r="O3222" s="198"/>
      <c r="P3222" s="198"/>
      <c r="Q3222" s="198"/>
      <c r="R3222" s="198"/>
      <c r="S3222" s="198"/>
      <c r="T3222" s="198"/>
      <c r="U3222" s="198"/>
      <c r="V3222" s="198"/>
      <c r="W3222" s="198"/>
      <c r="X3222" s="198"/>
      <c r="Y3222" s="198"/>
      <c r="Z3222" s="198"/>
    </row>
    <row r="3223" spans="1:26" ht="15.75" hidden="1" customHeight="1" x14ac:dyDescent="0.25">
      <c r="A3223" s="213">
        <v>39714</v>
      </c>
      <c r="B3223" s="214" t="s">
        <v>11722</v>
      </c>
      <c r="C3223" s="215" t="s">
        <v>585</v>
      </c>
      <c r="D3223" s="216">
        <v>3.06</v>
      </c>
      <c r="E3223" s="198"/>
      <c r="F3223" s="198"/>
      <c r="G3223" s="198"/>
      <c r="H3223" s="198"/>
      <c r="I3223" s="198"/>
      <c r="J3223" s="198"/>
      <c r="K3223" s="198"/>
      <c r="L3223" s="198"/>
      <c r="M3223" s="198"/>
      <c r="N3223" s="198"/>
      <c r="O3223" s="198"/>
      <c r="P3223" s="198"/>
      <c r="Q3223" s="198"/>
      <c r="R3223" s="198"/>
      <c r="S3223" s="198"/>
      <c r="T3223" s="198"/>
      <c r="U3223" s="198"/>
      <c r="V3223" s="198"/>
      <c r="W3223" s="198"/>
      <c r="X3223" s="198"/>
      <c r="Y3223" s="198"/>
      <c r="Z3223" s="198"/>
    </row>
    <row r="3224" spans="1:26" ht="15.75" hidden="1" customHeight="1" x14ac:dyDescent="0.25">
      <c r="A3224" s="213">
        <v>39712</v>
      </c>
      <c r="B3224" s="214" t="s">
        <v>11723</v>
      </c>
      <c r="C3224" s="215" t="s">
        <v>585</v>
      </c>
      <c r="D3224" s="216">
        <v>1.69</v>
      </c>
      <c r="E3224" s="198"/>
      <c r="F3224" s="198"/>
      <c r="G3224" s="198"/>
      <c r="H3224" s="198"/>
      <c r="I3224" s="198"/>
      <c r="J3224" s="198"/>
      <c r="K3224" s="198"/>
      <c r="L3224" s="198"/>
      <c r="M3224" s="198"/>
      <c r="N3224" s="198"/>
      <c r="O3224" s="198"/>
      <c r="P3224" s="198"/>
      <c r="Q3224" s="198"/>
      <c r="R3224" s="198"/>
      <c r="S3224" s="198"/>
      <c r="T3224" s="198"/>
      <c r="U3224" s="198"/>
      <c r="V3224" s="198"/>
      <c r="W3224" s="198"/>
      <c r="X3224" s="198"/>
      <c r="Y3224" s="198"/>
      <c r="Z3224" s="198"/>
    </row>
    <row r="3225" spans="1:26" ht="15.75" hidden="1" customHeight="1" x14ac:dyDescent="0.25">
      <c r="A3225" s="213">
        <v>39713</v>
      </c>
      <c r="B3225" s="214" t="s">
        <v>11724</v>
      </c>
      <c r="C3225" s="215" t="s">
        <v>585</v>
      </c>
      <c r="D3225" s="216">
        <v>1.33</v>
      </c>
      <c r="E3225" s="198"/>
      <c r="F3225" s="198"/>
      <c r="G3225" s="198"/>
      <c r="H3225" s="198"/>
      <c r="I3225" s="198"/>
      <c r="J3225" s="198"/>
      <c r="K3225" s="198"/>
      <c r="L3225" s="198"/>
      <c r="M3225" s="198"/>
      <c r="N3225" s="198"/>
      <c r="O3225" s="198"/>
      <c r="P3225" s="198"/>
      <c r="Q3225" s="198"/>
      <c r="R3225" s="198"/>
      <c r="S3225" s="198"/>
      <c r="T3225" s="198"/>
      <c r="U3225" s="198"/>
      <c r="V3225" s="198"/>
      <c r="W3225" s="198"/>
      <c r="X3225" s="198"/>
      <c r="Y3225" s="198"/>
      <c r="Z3225" s="198"/>
    </row>
    <row r="3226" spans="1:26" ht="15.75" hidden="1" customHeight="1" x14ac:dyDescent="0.25">
      <c r="A3226" s="213">
        <v>39715</v>
      </c>
      <c r="B3226" s="214" t="s">
        <v>11725</v>
      </c>
      <c r="C3226" s="215" t="s">
        <v>585</v>
      </c>
      <c r="D3226" s="216">
        <v>2.1800000000000002</v>
      </c>
      <c r="E3226" s="198"/>
      <c r="F3226" s="198"/>
      <c r="G3226" s="198"/>
      <c r="H3226" s="198"/>
      <c r="I3226" s="198"/>
      <c r="J3226" s="198"/>
      <c r="K3226" s="198"/>
      <c r="L3226" s="198"/>
      <c r="M3226" s="198"/>
      <c r="N3226" s="198"/>
      <c r="O3226" s="198"/>
      <c r="P3226" s="198"/>
      <c r="Q3226" s="198"/>
      <c r="R3226" s="198"/>
      <c r="S3226" s="198"/>
      <c r="T3226" s="198"/>
      <c r="U3226" s="198"/>
      <c r="V3226" s="198"/>
      <c r="W3226" s="198"/>
      <c r="X3226" s="198"/>
      <c r="Y3226" s="198"/>
      <c r="Z3226" s="198"/>
    </row>
    <row r="3227" spans="1:26" ht="15.75" hidden="1" customHeight="1" x14ac:dyDescent="0.25">
      <c r="A3227" s="213">
        <v>39716</v>
      </c>
      <c r="B3227" s="214" t="s">
        <v>11726</v>
      </c>
      <c r="C3227" s="215" t="s">
        <v>585</v>
      </c>
      <c r="D3227" s="216">
        <v>1.65</v>
      </c>
      <c r="E3227" s="198"/>
      <c r="F3227" s="198"/>
      <c r="G3227" s="198"/>
      <c r="H3227" s="198"/>
      <c r="I3227" s="198"/>
      <c r="J3227" s="198"/>
      <c r="K3227" s="198"/>
      <c r="L3227" s="198"/>
      <c r="M3227" s="198"/>
      <c r="N3227" s="198"/>
      <c r="O3227" s="198"/>
      <c r="P3227" s="198"/>
      <c r="Q3227" s="198"/>
      <c r="R3227" s="198"/>
      <c r="S3227" s="198"/>
      <c r="T3227" s="198"/>
      <c r="U3227" s="198"/>
      <c r="V3227" s="198"/>
      <c r="W3227" s="198"/>
      <c r="X3227" s="198"/>
      <c r="Y3227" s="198"/>
      <c r="Z3227" s="198"/>
    </row>
    <row r="3228" spans="1:26" ht="15.75" hidden="1" customHeight="1" x14ac:dyDescent="0.25">
      <c r="A3228" s="213">
        <v>39718</v>
      </c>
      <c r="B3228" s="214" t="s">
        <v>11727</v>
      </c>
      <c r="C3228" s="215" t="s">
        <v>585</v>
      </c>
      <c r="D3228" s="216">
        <v>2.81</v>
      </c>
      <c r="E3228" s="198"/>
      <c r="F3228" s="198"/>
      <c r="G3228" s="198"/>
      <c r="H3228" s="198"/>
      <c r="I3228" s="198"/>
      <c r="J3228" s="198"/>
      <c r="K3228" s="198"/>
      <c r="L3228" s="198"/>
      <c r="M3228" s="198"/>
      <c r="N3228" s="198"/>
      <c r="O3228" s="198"/>
      <c r="P3228" s="198"/>
      <c r="Q3228" s="198"/>
      <c r="R3228" s="198"/>
      <c r="S3228" s="198"/>
      <c r="T3228" s="198"/>
      <c r="U3228" s="198"/>
      <c r="V3228" s="198"/>
      <c r="W3228" s="198"/>
      <c r="X3228" s="198"/>
      <c r="Y3228" s="198"/>
      <c r="Z3228" s="198"/>
    </row>
    <row r="3229" spans="1:26" ht="15.75" hidden="1" customHeight="1" x14ac:dyDescent="0.25">
      <c r="A3229" s="213">
        <v>9877</v>
      </c>
      <c r="B3229" s="214" t="s">
        <v>11728</v>
      </c>
      <c r="C3229" s="215" t="s">
        <v>585</v>
      </c>
      <c r="D3229" s="216">
        <v>119.24</v>
      </c>
      <c r="E3229" s="198"/>
      <c r="F3229" s="198"/>
      <c r="G3229" s="198"/>
      <c r="H3229" s="198"/>
      <c r="I3229" s="198"/>
      <c r="J3229" s="198"/>
      <c r="K3229" s="198"/>
      <c r="L3229" s="198"/>
      <c r="M3229" s="198"/>
      <c r="N3229" s="198"/>
      <c r="O3229" s="198"/>
      <c r="P3229" s="198"/>
      <c r="Q3229" s="198"/>
      <c r="R3229" s="198"/>
      <c r="S3229" s="198"/>
      <c r="T3229" s="198"/>
      <c r="U3229" s="198"/>
      <c r="V3229" s="198"/>
      <c r="W3229" s="198"/>
      <c r="X3229" s="198"/>
      <c r="Y3229" s="198"/>
      <c r="Z3229" s="198"/>
    </row>
    <row r="3230" spans="1:26" ht="15.75" hidden="1" customHeight="1" x14ac:dyDescent="0.25">
      <c r="A3230" s="213">
        <v>9878</v>
      </c>
      <c r="B3230" s="214" t="s">
        <v>11729</v>
      </c>
      <c r="C3230" s="215" t="s">
        <v>585</v>
      </c>
      <c r="D3230" s="216">
        <v>146.79</v>
      </c>
      <c r="E3230" s="198"/>
      <c r="F3230" s="198"/>
      <c r="G3230" s="198"/>
      <c r="H3230" s="198"/>
      <c r="I3230" s="198"/>
      <c r="J3230" s="198"/>
      <c r="K3230" s="198"/>
      <c r="L3230" s="198"/>
      <c r="M3230" s="198"/>
      <c r="N3230" s="198"/>
      <c r="O3230" s="198"/>
      <c r="P3230" s="198"/>
      <c r="Q3230" s="198"/>
      <c r="R3230" s="198"/>
      <c r="S3230" s="198"/>
      <c r="T3230" s="198"/>
      <c r="U3230" s="198"/>
      <c r="V3230" s="198"/>
      <c r="W3230" s="198"/>
      <c r="X3230" s="198"/>
      <c r="Y3230" s="198"/>
      <c r="Z3230" s="198"/>
    </row>
    <row r="3231" spans="1:26" ht="15.75" hidden="1" customHeight="1" x14ac:dyDescent="0.25">
      <c r="A3231" s="213">
        <v>36274</v>
      </c>
      <c r="B3231" s="214" t="s">
        <v>11730</v>
      </c>
      <c r="C3231" s="215" t="s">
        <v>585</v>
      </c>
      <c r="D3231" s="216">
        <v>12.06</v>
      </c>
      <c r="E3231" s="198"/>
      <c r="F3231" s="198"/>
      <c r="G3231" s="198"/>
      <c r="H3231" s="198"/>
      <c r="I3231" s="198"/>
      <c r="J3231" s="198"/>
      <c r="K3231" s="198"/>
      <c r="L3231" s="198"/>
      <c r="M3231" s="198"/>
      <c r="N3231" s="198"/>
      <c r="O3231" s="198"/>
      <c r="P3231" s="198"/>
      <c r="Q3231" s="198"/>
      <c r="R3231" s="198"/>
      <c r="S3231" s="198"/>
      <c r="T3231" s="198"/>
      <c r="U3231" s="198"/>
      <c r="V3231" s="198"/>
      <c r="W3231" s="198"/>
      <c r="X3231" s="198"/>
      <c r="Y3231" s="198"/>
      <c r="Z3231" s="198"/>
    </row>
    <row r="3232" spans="1:26" ht="15.75" hidden="1" customHeight="1" x14ac:dyDescent="0.25">
      <c r="A3232" s="213">
        <v>36278</v>
      </c>
      <c r="B3232" s="214" t="s">
        <v>11731</v>
      </c>
      <c r="C3232" s="215" t="s">
        <v>585</v>
      </c>
      <c r="D3232" s="216">
        <v>16.350000000000001</v>
      </c>
      <c r="E3232" s="198"/>
      <c r="F3232" s="198"/>
      <c r="G3232" s="198"/>
      <c r="H3232" s="198"/>
      <c r="I3232" s="198"/>
      <c r="J3232" s="198"/>
      <c r="K3232" s="198"/>
      <c r="L3232" s="198"/>
      <c r="M3232" s="198"/>
      <c r="N3232" s="198"/>
      <c r="O3232" s="198"/>
      <c r="P3232" s="198"/>
      <c r="Q3232" s="198"/>
      <c r="R3232" s="198"/>
      <c r="S3232" s="198"/>
      <c r="T3232" s="198"/>
      <c r="U3232" s="198"/>
      <c r="V3232" s="198"/>
      <c r="W3232" s="198"/>
      <c r="X3232" s="198"/>
      <c r="Y3232" s="198"/>
      <c r="Z3232" s="198"/>
    </row>
    <row r="3233" spans="1:26" ht="15.75" hidden="1" customHeight="1" x14ac:dyDescent="0.25">
      <c r="A3233" s="213">
        <v>38977</v>
      </c>
      <c r="B3233" s="214" t="s">
        <v>11732</v>
      </c>
      <c r="C3233" s="215" t="s">
        <v>585</v>
      </c>
      <c r="D3233" s="216">
        <v>159.99</v>
      </c>
      <c r="E3233" s="198"/>
      <c r="F3233" s="198"/>
      <c r="G3233" s="198"/>
      <c r="H3233" s="198"/>
      <c r="I3233" s="198"/>
      <c r="J3233" s="198"/>
      <c r="K3233" s="198"/>
      <c r="L3233" s="198"/>
      <c r="M3233" s="198"/>
      <c r="N3233" s="198"/>
      <c r="O3233" s="198"/>
      <c r="P3233" s="198"/>
      <c r="Q3233" s="198"/>
      <c r="R3233" s="198"/>
      <c r="S3233" s="198"/>
      <c r="T3233" s="198"/>
      <c r="U3233" s="198"/>
      <c r="V3233" s="198"/>
      <c r="W3233" s="198"/>
      <c r="X3233" s="198"/>
      <c r="Y3233" s="198"/>
      <c r="Z3233" s="198"/>
    </row>
    <row r="3234" spans="1:26" ht="15.75" hidden="1" customHeight="1" x14ac:dyDescent="0.25">
      <c r="A3234" s="213">
        <v>38971</v>
      </c>
      <c r="B3234" s="214" t="s">
        <v>11733</v>
      </c>
      <c r="C3234" s="215" t="s">
        <v>585</v>
      </c>
      <c r="D3234" s="216">
        <v>13.43</v>
      </c>
      <c r="E3234" s="198"/>
      <c r="F3234" s="198"/>
      <c r="G3234" s="198"/>
      <c r="H3234" s="198"/>
      <c r="I3234" s="198"/>
      <c r="J3234" s="198"/>
      <c r="K3234" s="198"/>
      <c r="L3234" s="198"/>
      <c r="M3234" s="198"/>
      <c r="N3234" s="198"/>
      <c r="O3234" s="198"/>
      <c r="P3234" s="198"/>
      <c r="Q3234" s="198"/>
      <c r="R3234" s="198"/>
      <c r="S3234" s="198"/>
      <c r="T3234" s="198"/>
      <c r="U3234" s="198"/>
      <c r="V3234" s="198"/>
      <c r="W3234" s="198"/>
      <c r="X3234" s="198"/>
      <c r="Y3234" s="198"/>
      <c r="Z3234" s="198"/>
    </row>
    <row r="3235" spans="1:26" ht="15.75" hidden="1" customHeight="1" x14ac:dyDescent="0.25">
      <c r="A3235" s="213">
        <v>38972</v>
      </c>
      <c r="B3235" s="214" t="s">
        <v>11734</v>
      </c>
      <c r="C3235" s="215" t="s">
        <v>585</v>
      </c>
      <c r="D3235" s="216">
        <v>18.100000000000001</v>
      </c>
      <c r="E3235" s="198"/>
      <c r="F3235" s="198"/>
      <c r="G3235" s="198"/>
      <c r="H3235" s="198"/>
      <c r="I3235" s="198"/>
      <c r="J3235" s="198"/>
      <c r="K3235" s="198"/>
      <c r="L3235" s="198"/>
      <c r="M3235" s="198"/>
      <c r="N3235" s="198"/>
      <c r="O3235" s="198"/>
      <c r="P3235" s="198"/>
      <c r="Q3235" s="198"/>
      <c r="R3235" s="198"/>
      <c r="S3235" s="198"/>
      <c r="T3235" s="198"/>
      <c r="U3235" s="198"/>
      <c r="V3235" s="198"/>
      <c r="W3235" s="198"/>
      <c r="X3235" s="198"/>
      <c r="Y3235" s="198"/>
      <c r="Z3235" s="198"/>
    </row>
    <row r="3236" spans="1:26" ht="15.75" hidden="1" customHeight="1" x14ac:dyDescent="0.25">
      <c r="A3236" s="213">
        <v>38973</v>
      </c>
      <c r="B3236" s="214" t="s">
        <v>11735</v>
      </c>
      <c r="C3236" s="215" t="s">
        <v>585</v>
      </c>
      <c r="D3236" s="216">
        <v>29.91</v>
      </c>
      <c r="E3236" s="198"/>
      <c r="F3236" s="198"/>
      <c r="G3236" s="198"/>
      <c r="H3236" s="198"/>
      <c r="I3236" s="198"/>
      <c r="J3236" s="198"/>
      <c r="K3236" s="198"/>
      <c r="L3236" s="198"/>
      <c r="M3236" s="198"/>
      <c r="N3236" s="198"/>
      <c r="O3236" s="198"/>
      <c r="P3236" s="198"/>
      <c r="Q3236" s="198"/>
      <c r="R3236" s="198"/>
      <c r="S3236" s="198"/>
      <c r="T3236" s="198"/>
      <c r="U3236" s="198"/>
      <c r="V3236" s="198"/>
      <c r="W3236" s="198"/>
      <c r="X3236" s="198"/>
      <c r="Y3236" s="198"/>
      <c r="Z3236" s="198"/>
    </row>
    <row r="3237" spans="1:26" ht="15.75" hidden="1" customHeight="1" x14ac:dyDescent="0.25">
      <c r="A3237" s="213">
        <v>38974</v>
      </c>
      <c r="B3237" s="214" t="s">
        <v>11736</v>
      </c>
      <c r="C3237" s="215" t="s">
        <v>585</v>
      </c>
      <c r="D3237" s="216">
        <v>48.58</v>
      </c>
      <c r="E3237" s="198"/>
      <c r="F3237" s="198"/>
      <c r="G3237" s="198"/>
      <c r="H3237" s="198"/>
      <c r="I3237" s="198"/>
      <c r="J3237" s="198"/>
      <c r="K3237" s="198"/>
      <c r="L3237" s="198"/>
      <c r="M3237" s="198"/>
      <c r="N3237" s="198"/>
      <c r="O3237" s="198"/>
      <c r="P3237" s="198"/>
      <c r="Q3237" s="198"/>
      <c r="R3237" s="198"/>
      <c r="S3237" s="198"/>
      <c r="T3237" s="198"/>
      <c r="U3237" s="198"/>
      <c r="V3237" s="198"/>
      <c r="W3237" s="198"/>
      <c r="X3237" s="198"/>
      <c r="Y3237" s="198"/>
      <c r="Z3237" s="198"/>
    </row>
    <row r="3238" spans="1:26" ht="15.75" hidden="1" customHeight="1" x14ac:dyDescent="0.25">
      <c r="A3238" s="213">
        <v>38975</v>
      </c>
      <c r="B3238" s="214" t="s">
        <v>11737</v>
      </c>
      <c r="C3238" s="215" t="s">
        <v>585</v>
      </c>
      <c r="D3238" s="216">
        <v>62.29</v>
      </c>
      <c r="E3238" s="198"/>
      <c r="F3238" s="198"/>
      <c r="G3238" s="198"/>
      <c r="H3238" s="198"/>
      <c r="I3238" s="198"/>
      <c r="J3238" s="198"/>
      <c r="K3238" s="198"/>
      <c r="L3238" s="198"/>
      <c r="M3238" s="198"/>
      <c r="N3238" s="198"/>
      <c r="O3238" s="198"/>
      <c r="P3238" s="198"/>
      <c r="Q3238" s="198"/>
      <c r="R3238" s="198"/>
      <c r="S3238" s="198"/>
      <c r="T3238" s="198"/>
      <c r="U3238" s="198"/>
      <c r="V3238" s="198"/>
      <c r="W3238" s="198"/>
      <c r="X3238" s="198"/>
      <c r="Y3238" s="198"/>
      <c r="Z3238" s="198"/>
    </row>
    <row r="3239" spans="1:26" ht="15.75" hidden="1" customHeight="1" x14ac:dyDescent="0.25">
      <c r="A3239" s="213">
        <v>38976</v>
      </c>
      <c r="B3239" s="214" t="s">
        <v>11738</v>
      </c>
      <c r="C3239" s="215" t="s">
        <v>585</v>
      </c>
      <c r="D3239" s="216">
        <v>107.08</v>
      </c>
      <c r="E3239" s="198"/>
      <c r="F3239" s="198"/>
      <c r="G3239" s="198"/>
      <c r="H3239" s="198"/>
      <c r="I3239" s="198"/>
      <c r="J3239" s="198"/>
      <c r="K3239" s="198"/>
      <c r="L3239" s="198"/>
      <c r="M3239" s="198"/>
      <c r="N3239" s="198"/>
      <c r="O3239" s="198"/>
      <c r="P3239" s="198"/>
      <c r="Q3239" s="198"/>
      <c r="R3239" s="198"/>
      <c r="S3239" s="198"/>
      <c r="T3239" s="198"/>
      <c r="U3239" s="198"/>
      <c r="V3239" s="198"/>
      <c r="W3239" s="198"/>
      <c r="X3239" s="198"/>
      <c r="Y3239" s="198"/>
      <c r="Z3239" s="198"/>
    </row>
    <row r="3240" spans="1:26" ht="15.75" hidden="1" customHeight="1" x14ac:dyDescent="0.25">
      <c r="A3240" s="213">
        <v>44176</v>
      </c>
      <c r="B3240" s="214" t="s">
        <v>11739</v>
      </c>
      <c r="C3240" s="215" t="s">
        <v>585</v>
      </c>
      <c r="D3240" s="216">
        <v>24.61</v>
      </c>
      <c r="E3240" s="198"/>
      <c r="F3240" s="198"/>
      <c r="G3240" s="198"/>
      <c r="H3240" s="198"/>
      <c r="I3240" s="198"/>
      <c r="J3240" s="198"/>
      <c r="K3240" s="198"/>
      <c r="L3240" s="198"/>
      <c r="M3240" s="198"/>
      <c r="N3240" s="198"/>
      <c r="O3240" s="198"/>
      <c r="P3240" s="198"/>
      <c r="Q3240" s="198"/>
      <c r="R3240" s="198"/>
      <c r="S3240" s="198"/>
      <c r="T3240" s="198"/>
      <c r="U3240" s="198"/>
      <c r="V3240" s="198"/>
      <c r="W3240" s="198"/>
      <c r="X3240" s="198"/>
      <c r="Y3240" s="198"/>
      <c r="Z3240" s="198"/>
    </row>
    <row r="3241" spans="1:26" ht="15.75" hidden="1" customHeight="1" x14ac:dyDescent="0.25">
      <c r="A3241" s="213">
        <v>38986</v>
      </c>
      <c r="B3241" s="214" t="s">
        <v>11740</v>
      </c>
      <c r="C3241" s="215" t="s">
        <v>585</v>
      </c>
      <c r="D3241" s="216">
        <v>323.25</v>
      </c>
      <c r="E3241" s="198"/>
      <c r="F3241" s="198"/>
      <c r="G3241" s="198"/>
      <c r="H3241" s="198"/>
      <c r="I3241" s="198"/>
      <c r="J3241" s="198"/>
      <c r="K3241" s="198"/>
      <c r="L3241" s="198"/>
      <c r="M3241" s="198"/>
      <c r="N3241" s="198"/>
      <c r="O3241" s="198"/>
      <c r="P3241" s="198"/>
      <c r="Q3241" s="198"/>
      <c r="R3241" s="198"/>
      <c r="S3241" s="198"/>
      <c r="T3241" s="198"/>
      <c r="U3241" s="198"/>
      <c r="V3241" s="198"/>
      <c r="W3241" s="198"/>
      <c r="X3241" s="198"/>
      <c r="Y3241" s="198"/>
      <c r="Z3241" s="198"/>
    </row>
    <row r="3242" spans="1:26" ht="15.75" hidden="1" customHeight="1" x14ac:dyDescent="0.25">
      <c r="A3242" s="213">
        <v>38978</v>
      </c>
      <c r="B3242" s="214" t="s">
        <v>11741</v>
      </c>
      <c r="C3242" s="215" t="s">
        <v>585</v>
      </c>
      <c r="D3242" s="216">
        <v>13.26</v>
      </c>
      <c r="E3242" s="198"/>
      <c r="F3242" s="198"/>
      <c r="G3242" s="198"/>
      <c r="H3242" s="198"/>
      <c r="I3242" s="198"/>
      <c r="J3242" s="198"/>
      <c r="K3242" s="198"/>
      <c r="L3242" s="198"/>
      <c r="M3242" s="198"/>
      <c r="N3242" s="198"/>
      <c r="O3242" s="198"/>
      <c r="P3242" s="198"/>
      <c r="Q3242" s="198"/>
      <c r="R3242" s="198"/>
      <c r="S3242" s="198"/>
      <c r="T3242" s="198"/>
      <c r="U3242" s="198"/>
      <c r="V3242" s="198"/>
      <c r="W3242" s="198"/>
      <c r="X3242" s="198"/>
      <c r="Y3242" s="198"/>
      <c r="Z3242" s="198"/>
    </row>
    <row r="3243" spans="1:26" ht="15.75" hidden="1" customHeight="1" x14ac:dyDescent="0.25">
      <c r="A3243" s="213">
        <v>38979</v>
      </c>
      <c r="B3243" s="214" t="s">
        <v>11742</v>
      </c>
      <c r="C3243" s="215" t="s">
        <v>585</v>
      </c>
      <c r="D3243" s="216">
        <v>18.329999999999998</v>
      </c>
      <c r="E3243" s="198"/>
      <c r="F3243" s="198"/>
      <c r="G3243" s="198"/>
      <c r="H3243" s="198"/>
      <c r="I3243" s="198"/>
      <c r="J3243" s="198"/>
      <c r="K3243" s="198"/>
      <c r="L3243" s="198"/>
      <c r="M3243" s="198"/>
      <c r="N3243" s="198"/>
      <c r="O3243" s="198"/>
      <c r="P3243" s="198"/>
      <c r="Q3243" s="198"/>
      <c r="R3243" s="198"/>
      <c r="S3243" s="198"/>
      <c r="T3243" s="198"/>
      <c r="U3243" s="198"/>
      <c r="V3243" s="198"/>
      <c r="W3243" s="198"/>
      <c r="X3243" s="198"/>
      <c r="Y3243" s="198"/>
      <c r="Z3243" s="198"/>
    </row>
    <row r="3244" spans="1:26" ht="15.75" hidden="1" customHeight="1" x14ac:dyDescent="0.25">
      <c r="A3244" s="213">
        <v>38980</v>
      </c>
      <c r="B3244" s="214" t="s">
        <v>11743</v>
      </c>
      <c r="C3244" s="215" t="s">
        <v>585</v>
      </c>
      <c r="D3244" s="216">
        <v>24.53</v>
      </c>
      <c r="E3244" s="198"/>
      <c r="F3244" s="198"/>
      <c r="G3244" s="198"/>
      <c r="H3244" s="198"/>
      <c r="I3244" s="198"/>
      <c r="J3244" s="198"/>
      <c r="K3244" s="198"/>
      <c r="L3244" s="198"/>
      <c r="M3244" s="198"/>
      <c r="N3244" s="198"/>
      <c r="O3244" s="198"/>
      <c r="P3244" s="198"/>
      <c r="Q3244" s="198"/>
      <c r="R3244" s="198"/>
      <c r="S3244" s="198"/>
      <c r="T3244" s="198"/>
      <c r="U3244" s="198"/>
      <c r="V3244" s="198"/>
      <c r="W3244" s="198"/>
      <c r="X3244" s="198"/>
      <c r="Y3244" s="198"/>
      <c r="Z3244" s="198"/>
    </row>
    <row r="3245" spans="1:26" ht="15.75" hidden="1" customHeight="1" x14ac:dyDescent="0.25">
      <c r="A3245" s="213">
        <v>38981</v>
      </c>
      <c r="B3245" s="214" t="s">
        <v>11744</v>
      </c>
      <c r="C3245" s="215" t="s">
        <v>585</v>
      </c>
      <c r="D3245" s="216">
        <v>35.4</v>
      </c>
      <c r="E3245" s="198"/>
      <c r="F3245" s="198"/>
      <c r="G3245" s="198"/>
      <c r="H3245" s="198"/>
      <c r="I3245" s="198"/>
      <c r="J3245" s="198"/>
      <c r="K3245" s="198"/>
      <c r="L3245" s="198"/>
      <c r="M3245" s="198"/>
      <c r="N3245" s="198"/>
      <c r="O3245" s="198"/>
      <c r="P3245" s="198"/>
      <c r="Q3245" s="198"/>
      <c r="R3245" s="198"/>
      <c r="S3245" s="198"/>
      <c r="T3245" s="198"/>
      <c r="U3245" s="198"/>
      <c r="V3245" s="198"/>
      <c r="W3245" s="198"/>
      <c r="X3245" s="198"/>
      <c r="Y3245" s="198"/>
      <c r="Z3245" s="198"/>
    </row>
    <row r="3246" spans="1:26" ht="15.75" hidden="1" customHeight="1" x14ac:dyDescent="0.25">
      <c r="A3246" s="213">
        <v>38982</v>
      </c>
      <c r="B3246" s="214" t="s">
        <v>11745</v>
      </c>
      <c r="C3246" s="215" t="s">
        <v>585</v>
      </c>
      <c r="D3246" s="216">
        <v>55.94</v>
      </c>
      <c r="E3246" s="198"/>
      <c r="F3246" s="198"/>
      <c r="G3246" s="198"/>
      <c r="H3246" s="198"/>
      <c r="I3246" s="198"/>
      <c r="J3246" s="198"/>
      <c r="K3246" s="198"/>
      <c r="L3246" s="198"/>
      <c r="M3246" s="198"/>
      <c r="N3246" s="198"/>
      <c r="O3246" s="198"/>
      <c r="P3246" s="198"/>
      <c r="Q3246" s="198"/>
      <c r="R3246" s="198"/>
      <c r="S3246" s="198"/>
      <c r="T3246" s="198"/>
      <c r="U3246" s="198"/>
      <c r="V3246" s="198"/>
      <c r="W3246" s="198"/>
      <c r="X3246" s="198"/>
      <c r="Y3246" s="198"/>
      <c r="Z3246" s="198"/>
    </row>
    <row r="3247" spans="1:26" ht="15.75" hidden="1" customHeight="1" x14ac:dyDescent="0.25">
      <c r="A3247" s="213">
        <v>38983</v>
      </c>
      <c r="B3247" s="214" t="s">
        <v>11746</v>
      </c>
      <c r="C3247" s="215" t="s">
        <v>585</v>
      </c>
      <c r="D3247" s="216">
        <v>98.42</v>
      </c>
      <c r="E3247" s="198"/>
      <c r="F3247" s="198"/>
      <c r="G3247" s="198"/>
      <c r="H3247" s="198"/>
      <c r="I3247" s="198"/>
      <c r="J3247" s="198"/>
      <c r="K3247" s="198"/>
      <c r="L3247" s="198"/>
      <c r="M3247" s="198"/>
      <c r="N3247" s="198"/>
      <c r="O3247" s="198"/>
      <c r="P3247" s="198"/>
      <c r="Q3247" s="198"/>
      <c r="R3247" s="198"/>
      <c r="S3247" s="198"/>
      <c r="T3247" s="198"/>
      <c r="U3247" s="198"/>
      <c r="V3247" s="198"/>
      <c r="W3247" s="198"/>
      <c r="X3247" s="198"/>
      <c r="Y3247" s="198"/>
      <c r="Z3247" s="198"/>
    </row>
    <row r="3248" spans="1:26" ht="15.75" hidden="1" customHeight="1" x14ac:dyDescent="0.25">
      <c r="A3248" s="213">
        <v>38984</v>
      </c>
      <c r="B3248" s="214" t="s">
        <v>11747</v>
      </c>
      <c r="C3248" s="215" t="s">
        <v>585</v>
      </c>
      <c r="D3248" s="216">
        <v>135.30000000000001</v>
      </c>
      <c r="E3248" s="198"/>
      <c r="F3248" s="198"/>
      <c r="G3248" s="198"/>
      <c r="H3248" s="198"/>
      <c r="I3248" s="198"/>
      <c r="J3248" s="198"/>
      <c r="K3248" s="198"/>
      <c r="L3248" s="198"/>
      <c r="M3248" s="198"/>
      <c r="N3248" s="198"/>
      <c r="O3248" s="198"/>
      <c r="P3248" s="198"/>
      <c r="Q3248" s="198"/>
      <c r="R3248" s="198"/>
      <c r="S3248" s="198"/>
      <c r="T3248" s="198"/>
      <c r="U3248" s="198"/>
      <c r="V3248" s="198"/>
      <c r="W3248" s="198"/>
      <c r="X3248" s="198"/>
      <c r="Y3248" s="198"/>
      <c r="Z3248" s="198"/>
    </row>
    <row r="3249" spans="1:26" ht="15.75" hidden="1" customHeight="1" x14ac:dyDescent="0.25">
      <c r="A3249" s="213">
        <v>38985</v>
      </c>
      <c r="B3249" s="214" t="s">
        <v>11748</v>
      </c>
      <c r="C3249" s="215" t="s">
        <v>585</v>
      </c>
      <c r="D3249" s="216">
        <v>232.62</v>
      </c>
      <c r="E3249" s="198"/>
      <c r="F3249" s="198"/>
      <c r="G3249" s="198"/>
      <c r="H3249" s="198"/>
      <c r="I3249" s="198"/>
      <c r="J3249" s="198"/>
      <c r="K3249" s="198"/>
      <c r="L3249" s="198"/>
      <c r="M3249" s="198"/>
      <c r="N3249" s="198"/>
      <c r="O3249" s="198"/>
      <c r="P3249" s="198"/>
      <c r="Q3249" s="198"/>
      <c r="R3249" s="198"/>
      <c r="S3249" s="198"/>
      <c r="T3249" s="198"/>
      <c r="U3249" s="198"/>
      <c r="V3249" s="198"/>
      <c r="W3249" s="198"/>
      <c r="X3249" s="198"/>
      <c r="Y3249" s="198"/>
      <c r="Z3249" s="198"/>
    </row>
    <row r="3250" spans="1:26" ht="15.75" hidden="1" customHeight="1" x14ac:dyDescent="0.25">
      <c r="A3250" s="213">
        <v>38032</v>
      </c>
      <c r="B3250" s="214" t="s">
        <v>11749</v>
      </c>
      <c r="C3250" s="215" t="s">
        <v>585</v>
      </c>
      <c r="D3250" s="216">
        <v>56.78</v>
      </c>
      <c r="E3250" s="198"/>
      <c r="F3250" s="198"/>
      <c r="G3250" s="198"/>
      <c r="H3250" s="198"/>
      <c r="I3250" s="198"/>
      <c r="J3250" s="198"/>
      <c r="K3250" s="198"/>
      <c r="L3250" s="198"/>
      <c r="M3250" s="198"/>
      <c r="N3250" s="198"/>
      <c r="O3250" s="198"/>
      <c r="P3250" s="198"/>
      <c r="Q3250" s="198"/>
      <c r="R3250" s="198"/>
      <c r="S3250" s="198"/>
      <c r="T3250" s="198"/>
      <c r="U3250" s="198"/>
      <c r="V3250" s="198"/>
      <c r="W3250" s="198"/>
      <c r="X3250" s="198"/>
      <c r="Y3250" s="198"/>
      <c r="Z3250" s="198"/>
    </row>
    <row r="3251" spans="1:26" ht="15.75" hidden="1" customHeight="1" x14ac:dyDescent="0.25">
      <c r="A3251" s="213">
        <v>38033</v>
      </c>
      <c r="B3251" s="214" t="s">
        <v>11750</v>
      </c>
      <c r="C3251" s="215" t="s">
        <v>585</v>
      </c>
      <c r="D3251" s="216">
        <v>96.52</v>
      </c>
      <c r="E3251" s="198"/>
      <c r="F3251" s="198"/>
      <c r="G3251" s="198"/>
      <c r="H3251" s="198"/>
      <c r="I3251" s="198"/>
      <c r="J3251" s="198"/>
      <c r="K3251" s="198"/>
      <c r="L3251" s="198"/>
      <c r="M3251" s="198"/>
      <c r="N3251" s="198"/>
      <c r="O3251" s="198"/>
      <c r="P3251" s="198"/>
      <c r="Q3251" s="198"/>
      <c r="R3251" s="198"/>
      <c r="S3251" s="198"/>
      <c r="T3251" s="198"/>
      <c r="U3251" s="198"/>
      <c r="V3251" s="198"/>
      <c r="W3251" s="198"/>
      <c r="X3251" s="198"/>
      <c r="Y3251" s="198"/>
      <c r="Z3251" s="198"/>
    </row>
    <row r="3252" spans="1:26" ht="15.75" hidden="1" customHeight="1" x14ac:dyDescent="0.25">
      <c r="A3252" s="213">
        <v>38034</v>
      </c>
      <c r="B3252" s="214" t="s">
        <v>11751</v>
      </c>
      <c r="C3252" s="215" t="s">
        <v>585</v>
      </c>
      <c r="D3252" s="216">
        <v>151.19999999999999</v>
      </c>
      <c r="E3252" s="198"/>
      <c r="F3252" s="198"/>
      <c r="G3252" s="198"/>
      <c r="H3252" s="198"/>
      <c r="I3252" s="198"/>
      <c r="J3252" s="198"/>
      <c r="K3252" s="198"/>
      <c r="L3252" s="198"/>
      <c r="M3252" s="198"/>
      <c r="N3252" s="198"/>
      <c r="O3252" s="198"/>
      <c r="P3252" s="198"/>
      <c r="Q3252" s="198"/>
      <c r="R3252" s="198"/>
      <c r="S3252" s="198"/>
      <c r="T3252" s="198"/>
      <c r="U3252" s="198"/>
      <c r="V3252" s="198"/>
      <c r="W3252" s="198"/>
      <c r="X3252" s="198"/>
      <c r="Y3252" s="198"/>
      <c r="Z3252" s="198"/>
    </row>
    <row r="3253" spans="1:26" ht="15.75" hidden="1" customHeight="1" x14ac:dyDescent="0.25">
      <c r="A3253" s="213">
        <v>38035</v>
      </c>
      <c r="B3253" s="214" t="s">
        <v>11752</v>
      </c>
      <c r="C3253" s="215" t="s">
        <v>585</v>
      </c>
      <c r="D3253" s="216">
        <v>222.43</v>
      </c>
      <c r="E3253" s="198"/>
      <c r="F3253" s="198"/>
      <c r="G3253" s="198"/>
      <c r="H3253" s="198"/>
      <c r="I3253" s="198"/>
      <c r="J3253" s="198"/>
      <c r="K3253" s="198"/>
      <c r="L3253" s="198"/>
      <c r="M3253" s="198"/>
      <c r="N3253" s="198"/>
      <c r="O3253" s="198"/>
      <c r="P3253" s="198"/>
      <c r="Q3253" s="198"/>
      <c r="R3253" s="198"/>
      <c r="S3253" s="198"/>
      <c r="T3253" s="198"/>
      <c r="U3253" s="198"/>
      <c r="V3253" s="198"/>
      <c r="W3253" s="198"/>
      <c r="X3253" s="198"/>
      <c r="Y3253" s="198"/>
      <c r="Z3253" s="198"/>
    </row>
    <row r="3254" spans="1:26" ht="15.75" hidden="1" customHeight="1" x14ac:dyDescent="0.25">
      <c r="A3254" s="213">
        <v>38036</v>
      </c>
      <c r="B3254" s="214" t="s">
        <v>11753</v>
      </c>
      <c r="C3254" s="215" t="s">
        <v>585</v>
      </c>
      <c r="D3254" s="216">
        <v>299.64999999999998</v>
      </c>
      <c r="E3254" s="198"/>
      <c r="F3254" s="198"/>
      <c r="G3254" s="198"/>
      <c r="H3254" s="198"/>
      <c r="I3254" s="198"/>
      <c r="J3254" s="198"/>
      <c r="K3254" s="198"/>
      <c r="L3254" s="198"/>
      <c r="M3254" s="198"/>
      <c r="N3254" s="198"/>
      <c r="O3254" s="198"/>
      <c r="P3254" s="198"/>
      <c r="Q3254" s="198"/>
      <c r="R3254" s="198"/>
      <c r="S3254" s="198"/>
      <c r="T3254" s="198"/>
      <c r="U3254" s="198"/>
      <c r="V3254" s="198"/>
      <c r="W3254" s="198"/>
      <c r="X3254" s="198"/>
      <c r="Y3254" s="198"/>
      <c r="Z3254" s="198"/>
    </row>
    <row r="3255" spans="1:26" ht="15.75" hidden="1" customHeight="1" x14ac:dyDescent="0.25">
      <c r="A3255" s="213">
        <v>38037</v>
      </c>
      <c r="B3255" s="214" t="s">
        <v>11754</v>
      </c>
      <c r="C3255" s="215" t="s">
        <v>585</v>
      </c>
      <c r="D3255" s="216">
        <v>395.8</v>
      </c>
      <c r="E3255" s="198"/>
      <c r="F3255" s="198"/>
      <c r="G3255" s="198"/>
      <c r="H3255" s="198"/>
      <c r="I3255" s="198"/>
      <c r="J3255" s="198"/>
      <c r="K3255" s="198"/>
      <c r="L3255" s="198"/>
      <c r="M3255" s="198"/>
      <c r="N3255" s="198"/>
      <c r="O3255" s="198"/>
      <c r="P3255" s="198"/>
      <c r="Q3255" s="198"/>
      <c r="R3255" s="198"/>
      <c r="S3255" s="198"/>
      <c r="T3255" s="198"/>
      <c r="U3255" s="198"/>
      <c r="V3255" s="198"/>
      <c r="W3255" s="198"/>
      <c r="X3255" s="198"/>
      <c r="Y3255" s="198"/>
      <c r="Z3255" s="198"/>
    </row>
    <row r="3256" spans="1:26" ht="15.75" hidden="1" customHeight="1" x14ac:dyDescent="0.25">
      <c r="A3256" s="213">
        <v>9859</v>
      </c>
      <c r="B3256" s="214" t="s">
        <v>11755</v>
      </c>
      <c r="C3256" s="215" t="s">
        <v>585</v>
      </c>
      <c r="D3256" s="216">
        <v>8.57</v>
      </c>
      <c r="E3256" s="198"/>
      <c r="F3256" s="198"/>
      <c r="G3256" s="198"/>
      <c r="H3256" s="198"/>
      <c r="I3256" s="198"/>
      <c r="J3256" s="198"/>
      <c r="K3256" s="198"/>
      <c r="L3256" s="198"/>
      <c r="M3256" s="198"/>
      <c r="N3256" s="198"/>
      <c r="O3256" s="198"/>
      <c r="P3256" s="198"/>
      <c r="Q3256" s="198"/>
      <c r="R3256" s="198"/>
      <c r="S3256" s="198"/>
      <c r="T3256" s="198"/>
      <c r="U3256" s="198"/>
      <c r="V3256" s="198"/>
      <c r="W3256" s="198"/>
      <c r="X3256" s="198"/>
      <c r="Y3256" s="198"/>
      <c r="Z3256" s="198"/>
    </row>
    <row r="3257" spans="1:26" ht="15.75" hidden="1" customHeight="1" x14ac:dyDescent="0.25">
      <c r="A3257" s="213">
        <v>9836</v>
      </c>
      <c r="B3257" s="214" t="s">
        <v>11756</v>
      </c>
      <c r="C3257" s="215" t="s">
        <v>585</v>
      </c>
      <c r="D3257" s="216">
        <v>14.37</v>
      </c>
      <c r="E3257" s="198"/>
      <c r="F3257" s="198"/>
      <c r="G3257" s="198"/>
      <c r="H3257" s="198"/>
      <c r="I3257" s="198"/>
      <c r="J3257" s="198"/>
      <c r="K3257" s="198"/>
      <c r="L3257" s="198"/>
      <c r="M3257" s="198"/>
      <c r="N3257" s="198"/>
      <c r="O3257" s="198"/>
      <c r="P3257" s="198"/>
      <c r="Q3257" s="198"/>
      <c r="R3257" s="198"/>
      <c r="S3257" s="198"/>
      <c r="T3257" s="198"/>
      <c r="U3257" s="198"/>
      <c r="V3257" s="198"/>
      <c r="W3257" s="198"/>
      <c r="X3257" s="198"/>
      <c r="Y3257" s="198"/>
      <c r="Z3257" s="198"/>
    </row>
    <row r="3258" spans="1:26" ht="15.75" hidden="1" customHeight="1" x14ac:dyDescent="0.25">
      <c r="A3258" s="213">
        <v>20065</v>
      </c>
      <c r="B3258" s="214" t="s">
        <v>11757</v>
      </c>
      <c r="C3258" s="215" t="s">
        <v>585</v>
      </c>
      <c r="D3258" s="216">
        <v>37.56</v>
      </c>
      <c r="E3258" s="198"/>
      <c r="F3258" s="198"/>
      <c r="G3258" s="198"/>
      <c r="H3258" s="198"/>
      <c r="I3258" s="198"/>
      <c r="J3258" s="198"/>
      <c r="K3258" s="198"/>
      <c r="L3258" s="198"/>
      <c r="M3258" s="198"/>
      <c r="N3258" s="198"/>
      <c r="O3258" s="198"/>
      <c r="P3258" s="198"/>
      <c r="Q3258" s="198"/>
      <c r="R3258" s="198"/>
      <c r="S3258" s="198"/>
      <c r="T3258" s="198"/>
      <c r="U3258" s="198"/>
      <c r="V3258" s="198"/>
      <c r="W3258" s="198"/>
      <c r="X3258" s="198"/>
      <c r="Y3258" s="198"/>
      <c r="Z3258" s="198"/>
    </row>
    <row r="3259" spans="1:26" ht="15.75" hidden="1" customHeight="1" x14ac:dyDescent="0.25">
      <c r="A3259" s="213">
        <v>9835</v>
      </c>
      <c r="B3259" s="214" t="s">
        <v>11758</v>
      </c>
      <c r="C3259" s="215" t="s">
        <v>585</v>
      </c>
      <c r="D3259" s="216">
        <v>6.28</v>
      </c>
      <c r="E3259" s="198"/>
      <c r="F3259" s="198"/>
      <c r="G3259" s="198"/>
      <c r="H3259" s="198"/>
      <c r="I3259" s="198"/>
      <c r="J3259" s="198"/>
      <c r="K3259" s="198"/>
      <c r="L3259" s="198"/>
      <c r="M3259" s="198"/>
      <c r="N3259" s="198"/>
      <c r="O3259" s="198"/>
      <c r="P3259" s="198"/>
      <c r="Q3259" s="198"/>
      <c r="R3259" s="198"/>
      <c r="S3259" s="198"/>
      <c r="T3259" s="198"/>
      <c r="U3259" s="198"/>
      <c r="V3259" s="198"/>
      <c r="W3259" s="198"/>
      <c r="X3259" s="198"/>
      <c r="Y3259" s="198"/>
      <c r="Z3259" s="198"/>
    </row>
    <row r="3260" spans="1:26" ht="15.75" hidden="1" customHeight="1" x14ac:dyDescent="0.25">
      <c r="A3260" s="213">
        <v>9838</v>
      </c>
      <c r="B3260" s="214" t="s">
        <v>11759</v>
      </c>
      <c r="C3260" s="215" t="s">
        <v>585</v>
      </c>
      <c r="D3260" s="216">
        <v>10.37</v>
      </c>
      <c r="E3260" s="198"/>
      <c r="F3260" s="198"/>
      <c r="G3260" s="198"/>
      <c r="H3260" s="198"/>
      <c r="I3260" s="198"/>
      <c r="J3260" s="198"/>
      <c r="K3260" s="198"/>
      <c r="L3260" s="198"/>
      <c r="M3260" s="198"/>
      <c r="N3260" s="198"/>
      <c r="O3260" s="198"/>
      <c r="P3260" s="198"/>
      <c r="Q3260" s="198"/>
      <c r="R3260" s="198"/>
      <c r="S3260" s="198"/>
      <c r="T3260" s="198"/>
      <c r="U3260" s="198"/>
      <c r="V3260" s="198"/>
      <c r="W3260" s="198"/>
      <c r="X3260" s="198"/>
      <c r="Y3260" s="198"/>
      <c r="Z3260" s="198"/>
    </row>
    <row r="3261" spans="1:26" ht="15.75" hidden="1" customHeight="1" x14ac:dyDescent="0.25">
      <c r="A3261" s="213">
        <v>9837</v>
      </c>
      <c r="B3261" s="214" t="s">
        <v>11760</v>
      </c>
      <c r="C3261" s="215" t="s">
        <v>585</v>
      </c>
      <c r="D3261" s="216">
        <v>13.6</v>
      </c>
      <c r="E3261" s="198"/>
      <c r="F3261" s="198"/>
      <c r="G3261" s="198"/>
      <c r="H3261" s="198"/>
      <c r="I3261" s="198"/>
      <c r="J3261" s="198"/>
      <c r="K3261" s="198"/>
      <c r="L3261" s="198"/>
      <c r="M3261" s="198"/>
      <c r="N3261" s="198"/>
      <c r="O3261" s="198"/>
      <c r="P3261" s="198"/>
      <c r="Q3261" s="198"/>
      <c r="R3261" s="198"/>
      <c r="S3261" s="198"/>
      <c r="T3261" s="198"/>
      <c r="U3261" s="198"/>
      <c r="V3261" s="198"/>
      <c r="W3261" s="198"/>
      <c r="X3261" s="198"/>
      <c r="Y3261" s="198"/>
      <c r="Z3261" s="198"/>
    </row>
    <row r="3262" spans="1:26" ht="15.75" hidden="1" customHeight="1" x14ac:dyDescent="0.25">
      <c r="A3262" s="213">
        <v>44315</v>
      </c>
      <c r="B3262" s="214" t="s">
        <v>11761</v>
      </c>
      <c r="C3262" s="215" t="s">
        <v>585</v>
      </c>
      <c r="D3262" s="216">
        <v>56.26</v>
      </c>
      <c r="E3262" s="198"/>
      <c r="F3262" s="198"/>
      <c r="G3262" s="198"/>
      <c r="H3262" s="198"/>
      <c r="I3262" s="198"/>
      <c r="J3262" s="198"/>
      <c r="K3262" s="198"/>
      <c r="L3262" s="198"/>
      <c r="M3262" s="198"/>
      <c r="N3262" s="198"/>
      <c r="O3262" s="198"/>
      <c r="P3262" s="198"/>
      <c r="Q3262" s="198"/>
      <c r="R3262" s="198"/>
      <c r="S3262" s="198"/>
      <c r="T3262" s="198"/>
      <c r="U3262" s="198"/>
      <c r="V3262" s="198"/>
      <c r="W3262" s="198"/>
      <c r="X3262" s="198"/>
      <c r="Y3262" s="198"/>
      <c r="Z3262" s="198"/>
    </row>
    <row r="3263" spans="1:26" ht="15.75" hidden="1" customHeight="1" x14ac:dyDescent="0.25">
      <c r="A3263" s="213">
        <v>9862</v>
      </c>
      <c r="B3263" s="214" t="s">
        <v>11762</v>
      </c>
      <c r="C3263" s="215" t="s">
        <v>585</v>
      </c>
      <c r="D3263" s="216">
        <v>26.41</v>
      </c>
      <c r="E3263" s="198"/>
      <c r="F3263" s="198"/>
      <c r="G3263" s="198"/>
      <c r="H3263" s="198"/>
      <c r="I3263" s="198"/>
      <c r="J3263" s="198"/>
      <c r="K3263" s="198"/>
      <c r="L3263" s="198"/>
      <c r="M3263" s="198"/>
      <c r="N3263" s="198"/>
      <c r="O3263" s="198"/>
      <c r="P3263" s="198"/>
      <c r="Q3263" s="198"/>
      <c r="R3263" s="198"/>
      <c r="S3263" s="198"/>
      <c r="T3263" s="198"/>
      <c r="U3263" s="198"/>
      <c r="V3263" s="198"/>
      <c r="W3263" s="198"/>
      <c r="X3263" s="198"/>
      <c r="Y3263" s="198"/>
      <c r="Z3263" s="198"/>
    </row>
    <row r="3264" spans="1:26" ht="15.75" hidden="1" customHeight="1" x14ac:dyDescent="0.25">
      <c r="A3264" s="213">
        <v>9861</v>
      </c>
      <c r="B3264" s="214" t="s">
        <v>11763</v>
      </c>
      <c r="C3264" s="215" t="s">
        <v>585</v>
      </c>
      <c r="D3264" s="216">
        <v>20.74</v>
      </c>
      <c r="E3264" s="198"/>
      <c r="F3264" s="198"/>
      <c r="G3264" s="198"/>
      <c r="H3264" s="198"/>
      <c r="I3264" s="198"/>
      <c r="J3264" s="198"/>
      <c r="K3264" s="198"/>
      <c r="L3264" s="198"/>
      <c r="M3264" s="198"/>
      <c r="N3264" s="198"/>
      <c r="O3264" s="198"/>
      <c r="P3264" s="198"/>
      <c r="Q3264" s="198"/>
      <c r="R3264" s="198"/>
      <c r="S3264" s="198"/>
      <c r="T3264" s="198"/>
      <c r="U3264" s="198"/>
      <c r="V3264" s="198"/>
      <c r="W3264" s="198"/>
      <c r="X3264" s="198"/>
      <c r="Y3264" s="198"/>
      <c r="Z3264" s="198"/>
    </row>
    <row r="3265" spans="1:26" ht="15.75" hidden="1" customHeight="1" x14ac:dyDescent="0.25">
      <c r="A3265" s="213">
        <v>9866</v>
      </c>
      <c r="B3265" s="214" t="s">
        <v>11764</v>
      </c>
      <c r="C3265" s="215" t="s">
        <v>585</v>
      </c>
      <c r="D3265" s="216">
        <v>17.899999999999999</v>
      </c>
      <c r="E3265" s="198"/>
      <c r="F3265" s="198"/>
      <c r="G3265" s="198"/>
      <c r="H3265" s="198"/>
      <c r="I3265" s="198"/>
      <c r="J3265" s="198"/>
      <c r="K3265" s="198"/>
      <c r="L3265" s="198"/>
      <c r="M3265" s="198"/>
      <c r="N3265" s="198"/>
      <c r="O3265" s="198"/>
      <c r="P3265" s="198"/>
      <c r="Q3265" s="198"/>
      <c r="R3265" s="198"/>
      <c r="S3265" s="198"/>
      <c r="T3265" s="198"/>
      <c r="U3265" s="198"/>
      <c r="V3265" s="198"/>
      <c r="W3265" s="198"/>
      <c r="X3265" s="198"/>
      <c r="Y3265" s="198"/>
      <c r="Z3265" s="198"/>
    </row>
    <row r="3266" spans="1:26" ht="15.75" hidden="1" customHeight="1" x14ac:dyDescent="0.25">
      <c r="A3266" s="213">
        <v>9856</v>
      </c>
      <c r="B3266" s="214" t="s">
        <v>11765</v>
      </c>
      <c r="C3266" s="215" t="s">
        <v>585</v>
      </c>
      <c r="D3266" s="216">
        <v>6.69</v>
      </c>
      <c r="E3266" s="198"/>
      <c r="F3266" s="198"/>
      <c r="G3266" s="198"/>
      <c r="H3266" s="198"/>
      <c r="I3266" s="198"/>
      <c r="J3266" s="198"/>
      <c r="K3266" s="198"/>
      <c r="L3266" s="198"/>
      <c r="M3266" s="198"/>
      <c r="N3266" s="198"/>
      <c r="O3266" s="198"/>
      <c r="P3266" s="198"/>
      <c r="Q3266" s="198"/>
      <c r="R3266" s="198"/>
      <c r="S3266" s="198"/>
      <c r="T3266" s="198"/>
      <c r="U3266" s="198"/>
      <c r="V3266" s="198"/>
      <c r="W3266" s="198"/>
      <c r="X3266" s="198"/>
      <c r="Y3266" s="198"/>
      <c r="Z3266" s="198"/>
    </row>
    <row r="3267" spans="1:26" ht="15.75" hidden="1" customHeight="1" x14ac:dyDescent="0.25">
      <c r="A3267" s="213">
        <v>9863</v>
      </c>
      <c r="B3267" s="214" t="s">
        <v>11766</v>
      </c>
      <c r="C3267" s="215" t="s">
        <v>585</v>
      </c>
      <c r="D3267" s="216">
        <v>51.77</v>
      </c>
      <c r="E3267" s="198"/>
      <c r="F3267" s="198"/>
      <c r="G3267" s="198"/>
      <c r="H3267" s="198"/>
      <c r="I3267" s="198"/>
      <c r="J3267" s="198"/>
      <c r="K3267" s="198"/>
      <c r="L3267" s="198"/>
      <c r="M3267" s="198"/>
      <c r="N3267" s="198"/>
      <c r="O3267" s="198"/>
      <c r="P3267" s="198"/>
      <c r="Q3267" s="198"/>
      <c r="R3267" s="198"/>
      <c r="S3267" s="198"/>
      <c r="T3267" s="198"/>
      <c r="U3267" s="198"/>
      <c r="V3267" s="198"/>
      <c r="W3267" s="198"/>
      <c r="X3267" s="198"/>
      <c r="Y3267" s="198"/>
      <c r="Z3267" s="198"/>
    </row>
    <row r="3268" spans="1:26" ht="15.75" hidden="1" customHeight="1" x14ac:dyDescent="0.25">
      <c r="A3268" s="213">
        <v>9860</v>
      </c>
      <c r="B3268" s="214" t="s">
        <v>11767</v>
      </c>
      <c r="C3268" s="215" t="s">
        <v>585</v>
      </c>
      <c r="D3268" s="216">
        <v>37.79</v>
      </c>
      <c r="E3268" s="198"/>
      <c r="F3268" s="198"/>
      <c r="G3268" s="198"/>
      <c r="H3268" s="198"/>
      <c r="I3268" s="198"/>
      <c r="J3268" s="198"/>
      <c r="K3268" s="198"/>
      <c r="L3268" s="198"/>
      <c r="M3268" s="198"/>
      <c r="N3268" s="198"/>
      <c r="O3268" s="198"/>
      <c r="P3268" s="198"/>
      <c r="Q3268" s="198"/>
      <c r="R3268" s="198"/>
      <c r="S3268" s="198"/>
      <c r="T3268" s="198"/>
      <c r="U3268" s="198"/>
      <c r="V3268" s="198"/>
      <c r="W3268" s="198"/>
      <c r="X3268" s="198"/>
      <c r="Y3268" s="198"/>
      <c r="Z3268" s="198"/>
    </row>
    <row r="3269" spans="1:26" ht="15.75" hidden="1" customHeight="1" x14ac:dyDescent="0.25">
      <c r="A3269" s="213">
        <v>9841</v>
      </c>
      <c r="B3269" s="214" t="s">
        <v>11768</v>
      </c>
      <c r="C3269" s="215" t="s">
        <v>585</v>
      </c>
      <c r="D3269" s="216">
        <v>27.06</v>
      </c>
      <c r="E3269" s="198"/>
      <c r="F3269" s="198"/>
      <c r="G3269" s="198"/>
      <c r="H3269" s="198"/>
      <c r="I3269" s="198"/>
      <c r="J3269" s="198"/>
      <c r="K3269" s="198"/>
      <c r="L3269" s="198"/>
      <c r="M3269" s="198"/>
      <c r="N3269" s="198"/>
      <c r="O3269" s="198"/>
      <c r="P3269" s="198"/>
      <c r="Q3269" s="198"/>
      <c r="R3269" s="198"/>
      <c r="S3269" s="198"/>
      <c r="T3269" s="198"/>
      <c r="U3269" s="198"/>
      <c r="V3269" s="198"/>
      <c r="W3269" s="198"/>
      <c r="X3269" s="198"/>
      <c r="Y3269" s="198"/>
      <c r="Z3269" s="198"/>
    </row>
    <row r="3270" spans="1:26" ht="15.75" hidden="1" customHeight="1" x14ac:dyDescent="0.25">
      <c r="A3270" s="213">
        <v>9840</v>
      </c>
      <c r="B3270" s="214" t="s">
        <v>11769</v>
      </c>
      <c r="C3270" s="215" t="s">
        <v>585</v>
      </c>
      <c r="D3270" s="216">
        <v>57.16</v>
      </c>
      <c r="E3270" s="198"/>
      <c r="F3270" s="198"/>
      <c r="G3270" s="198"/>
      <c r="H3270" s="198"/>
      <c r="I3270" s="198"/>
      <c r="J3270" s="198"/>
      <c r="K3270" s="198"/>
      <c r="L3270" s="198"/>
      <c r="M3270" s="198"/>
      <c r="N3270" s="198"/>
      <c r="O3270" s="198"/>
      <c r="P3270" s="198"/>
      <c r="Q3270" s="198"/>
      <c r="R3270" s="198"/>
      <c r="S3270" s="198"/>
      <c r="T3270" s="198"/>
      <c r="U3270" s="198"/>
      <c r="V3270" s="198"/>
      <c r="W3270" s="198"/>
      <c r="X3270" s="198"/>
      <c r="Y3270" s="198"/>
      <c r="Z3270" s="198"/>
    </row>
    <row r="3271" spans="1:26" ht="15.75" hidden="1" customHeight="1" x14ac:dyDescent="0.25">
      <c r="A3271" s="213">
        <v>20067</v>
      </c>
      <c r="B3271" s="214" t="s">
        <v>11770</v>
      </c>
      <c r="C3271" s="215" t="s">
        <v>585</v>
      </c>
      <c r="D3271" s="216">
        <v>8.77</v>
      </c>
      <c r="E3271" s="198"/>
      <c r="F3271" s="198"/>
      <c r="G3271" s="198"/>
      <c r="H3271" s="198"/>
      <c r="I3271" s="198"/>
      <c r="J3271" s="198"/>
      <c r="K3271" s="198"/>
      <c r="L3271" s="198"/>
      <c r="M3271" s="198"/>
      <c r="N3271" s="198"/>
      <c r="O3271" s="198"/>
      <c r="P3271" s="198"/>
      <c r="Q3271" s="198"/>
      <c r="R3271" s="198"/>
      <c r="S3271" s="198"/>
      <c r="T3271" s="198"/>
      <c r="U3271" s="198"/>
      <c r="V3271" s="198"/>
      <c r="W3271" s="198"/>
      <c r="X3271" s="198"/>
      <c r="Y3271" s="198"/>
      <c r="Z3271" s="198"/>
    </row>
    <row r="3272" spans="1:26" ht="15.75" hidden="1" customHeight="1" x14ac:dyDescent="0.25">
      <c r="A3272" s="213">
        <v>20068</v>
      </c>
      <c r="B3272" s="214" t="s">
        <v>11771</v>
      </c>
      <c r="C3272" s="215" t="s">
        <v>585</v>
      </c>
      <c r="D3272" s="216">
        <v>12.36</v>
      </c>
      <c r="E3272" s="198"/>
      <c r="F3272" s="198"/>
      <c r="G3272" s="198"/>
      <c r="H3272" s="198"/>
      <c r="I3272" s="198"/>
      <c r="J3272" s="198"/>
      <c r="K3272" s="198"/>
      <c r="L3272" s="198"/>
      <c r="M3272" s="198"/>
      <c r="N3272" s="198"/>
      <c r="O3272" s="198"/>
      <c r="P3272" s="198"/>
      <c r="Q3272" s="198"/>
      <c r="R3272" s="198"/>
      <c r="S3272" s="198"/>
      <c r="T3272" s="198"/>
      <c r="U3272" s="198"/>
      <c r="V3272" s="198"/>
      <c r="W3272" s="198"/>
      <c r="X3272" s="198"/>
      <c r="Y3272" s="198"/>
      <c r="Z3272" s="198"/>
    </row>
    <row r="3273" spans="1:26" ht="15.75" hidden="1" customHeight="1" x14ac:dyDescent="0.25">
      <c r="A3273" s="213">
        <v>9839</v>
      </c>
      <c r="B3273" s="214" t="s">
        <v>11772</v>
      </c>
      <c r="C3273" s="215" t="s">
        <v>585</v>
      </c>
      <c r="D3273" s="216">
        <v>22.41</v>
      </c>
      <c r="E3273" s="198"/>
      <c r="F3273" s="198"/>
      <c r="G3273" s="198"/>
      <c r="H3273" s="198"/>
      <c r="I3273" s="198"/>
      <c r="J3273" s="198"/>
      <c r="K3273" s="198"/>
      <c r="L3273" s="198"/>
      <c r="M3273" s="198"/>
      <c r="N3273" s="198"/>
      <c r="O3273" s="198"/>
      <c r="P3273" s="198"/>
      <c r="Q3273" s="198"/>
      <c r="R3273" s="198"/>
      <c r="S3273" s="198"/>
      <c r="T3273" s="198"/>
      <c r="U3273" s="198"/>
      <c r="V3273" s="198"/>
      <c r="W3273" s="198"/>
      <c r="X3273" s="198"/>
      <c r="Y3273" s="198"/>
      <c r="Z3273" s="198"/>
    </row>
    <row r="3274" spans="1:26" ht="15.75" hidden="1" customHeight="1" x14ac:dyDescent="0.25">
      <c r="A3274" s="213">
        <v>9870</v>
      </c>
      <c r="B3274" s="214" t="s">
        <v>11773</v>
      </c>
      <c r="C3274" s="215" t="s">
        <v>585</v>
      </c>
      <c r="D3274" s="216">
        <v>77.209999999999994</v>
      </c>
      <c r="E3274" s="198"/>
      <c r="F3274" s="198"/>
      <c r="G3274" s="198"/>
      <c r="H3274" s="198"/>
      <c r="I3274" s="198"/>
      <c r="J3274" s="198"/>
      <c r="K3274" s="198"/>
      <c r="L3274" s="198"/>
      <c r="M3274" s="198"/>
      <c r="N3274" s="198"/>
      <c r="O3274" s="198"/>
      <c r="P3274" s="198"/>
      <c r="Q3274" s="198"/>
      <c r="R3274" s="198"/>
      <c r="S3274" s="198"/>
      <c r="T3274" s="198"/>
      <c r="U3274" s="198"/>
      <c r="V3274" s="198"/>
      <c r="W3274" s="198"/>
      <c r="X3274" s="198"/>
      <c r="Y3274" s="198"/>
      <c r="Z3274" s="198"/>
    </row>
    <row r="3275" spans="1:26" ht="15.75" hidden="1" customHeight="1" x14ac:dyDescent="0.25">
      <c r="A3275" s="213">
        <v>9867</v>
      </c>
      <c r="B3275" s="214" t="s">
        <v>11774</v>
      </c>
      <c r="C3275" s="215" t="s">
        <v>585</v>
      </c>
      <c r="D3275" s="216">
        <v>3.1</v>
      </c>
      <c r="E3275" s="198"/>
      <c r="F3275" s="198"/>
      <c r="G3275" s="198"/>
      <c r="H3275" s="198"/>
      <c r="I3275" s="198"/>
      <c r="J3275" s="198"/>
      <c r="K3275" s="198"/>
      <c r="L3275" s="198"/>
      <c r="M3275" s="198"/>
      <c r="N3275" s="198"/>
      <c r="O3275" s="198"/>
      <c r="P3275" s="198"/>
      <c r="Q3275" s="198"/>
      <c r="R3275" s="198"/>
      <c r="S3275" s="198"/>
      <c r="T3275" s="198"/>
      <c r="U3275" s="198"/>
      <c r="V3275" s="198"/>
      <c r="W3275" s="198"/>
      <c r="X3275" s="198"/>
      <c r="Y3275" s="198"/>
      <c r="Z3275" s="198"/>
    </row>
    <row r="3276" spans="1:26" ht="15.75" hidden="1" customHeight="1" x14ac:dyDescent="0.25">
      <c r="A3276" s="213">
        <v>9868</v>
      </c>
      <c r="B3276" s="214" t="s">
        <v>11775</v>
      </c>
      <c r="C3276" s="215" t="s">
        <v>585</v>
      </c>
      <c r="D3276" s="216">
        <v>3.5</v>
      </c>
      <c r="E3276" s="198"/>
      <c r="F3276" s="198"/>
      <c r="G3276" s="198"/>
      <c r="H3276" s="198"/>
      <c r="I3276" s="198"/>
      <c r="J3276" s="198"/>
      <c r="K3276" s="198"/>
      <c r="L3276" s="198"/>
      <c r="M3276" s="198"/>
      <c r="N3276" s="198"/>
      <c r="O3276" s="198"/>
      <c r="P3276" s="198"/>
      <c r="Q3276" s="198"/>
      <c r="R3276" s="198"/>
      <c r="S3276" s="198"/>
      <c r="T3276" s="198"/>
      <c r="U3276" s="198"/>
      <c r="V3276" s="198"/>
      <c r="W3276" s="198"/>
      <c r="X3276" s="198"/>
      <c r="Y3276" s="198"/>
      <c r="Z3276" s="198"/>
    </row>
    <row r="3277" spans="1:26" ht="15.75" hidden="1" customHeight="1" x14ac:dyDescent="0.25">
      <c r="A3277" s="213">
        <v>9869</v>
      </c>
      <c r="B3277" s="214" t="s">
        <v>11776</v>
      </c>
      <c r="C3277" s="215" t="s">
        <v>585</v>
      </c>
      <c r="D3277" s="216">
        <v>7.55</v>
      </c>
      <c r="E3277" s="198"/>
      <c r="F3277" s="198"/>
      <c r="G3277" s="198"/>
      <c r="H3277" s="198"/>
      <c r="I3277" s="198"/>
      <c r="J3277" s="198"/>
      <c r="K3277" s="198"/>
      <c r="L3277" s="198"/>
      <c r="M3277" s="198"/>
      <c r="N3277" s="198"/>
      <c r="O3277" s="198"/>
      <c r="P3277" s="198"/>
      <c r="Q3277" s="198"/>
      <c r="R3277" s="198"/>
      <c r="S3277" s="198"/>
      <c r="T3277" s="198"/>
      <c r="U3277" s="198"/>
      <c r="V3277" s="198"/>
      <c r="W3277" s="198"/>
      <c r="X3277" s="198"/>
      <c r="Y3277" s="198"/>
      <c r="Z3277" s="198"/>
    </row>
    <row r="3278" spans="1:26" ht="15.75" hidden="1" customHeight="1" x14ac:dyDescent="0.25">
      <c r="A3278" s="213">
        <v>9874</v>
      </c>
      <c r="B3278" s="214" t="s">
        <v>11777</v>
      </c>
      <c r="C3278" s="215" t="s">
        <v>585</v>
      </c>
      <c r="D3278" s="216">
        <v>11.86</v>
      </c>
      <c r="E3278" s="198"/>
      <c r="F3278" s="198"/>
      <c r="G3278" s="198"/>
      <c r="H3278" s="198"/>
      <c r="I3278" s="198"/>
      <c r="J3278" s="198"/>
      <c r="K3278" s="198"/>
      <c r="L3278" s="198"/>
      <c r="M3278" s="198"/>
      <c r="N3278" s="198"/>
      <c r="O3278" s="198"/>
      <c r="P3278" s="198"/>
      <c r="Q3278" s="198"/>
      <c r="R3278" s="198"/>
      <c r="S3278" s="198"/>
      <c r="T3278" s="198"/>
      <c r="U3278" s="198"/>
      <c r="V3278" s="198"/>
      <c r="W3278" s="198"/>
      <c r="X3278" s="198"/>
      <c r="Y3278" s="198"/>
      <c r="Z3278" s="198"/>
    </row>
    <row r="3279" spans="1:26" ht="15.75" hidden="1" customHeight="1" x14ac:dyDescent="0.25">
      <c r="A3279" s="213">
        <v>9875</v>
      </c>
      <c r="B3279" s="214" t="s">
        <v>11778</v>
      </c>
      <c r="C3279" s="215" t="s">
        <v>585</v>
      </c>
      <c r="D3279" s="216">
        <v>13.01</v>
      </c>
      <c r="E3279" s="198"/>
      <c r="F3279" s="198"/>
      <c r="G3279" s="198"/>
      <c r="H3279" s="198"/>
      <c r="I3279" s="198"/>
      <c r="J3279" s="198"/>
      <c r="K3279" s="198"/>
      <c r="L3279" s="198"/>
      <c r="M3279" s="198"/>
      <c r="N3279" s="198"/>
      <c r="O3279" s="198"/>
      <c r="P3279" s="198"/>
      <c r="Q3279" s="198"/>
      <c r="R3279" s="198"/>
      <c r="S3279" s="198"/>
      <c r="T3279" s="198"/>
      <c r="U3279" s="198"/>
      <c r="V3279" s="198"/>
      <c r="W3279" s="198"/>
      <c r="X3279" s="198"/>
      <c r="Y3279" s="198"/>
      <c r="Z3279" s="198"/>
    </row>
    <row r="3280" spans="1:26" ht="15.75" hidden="1" customHeight="1" x14ac:dyDescent="0.25">
      <c r="A3280" s="213">
        <v>9873</v>
      </c>
      <c r="B3280" s="214" t="s">
        <v>11779</v>
      </c>
      <c r="C3280" s="215" t="s">
        <v>585</v>
      </c>
      <c r="D3280" s="216">
        <v>21.4</v>
      </c>
      <c r="E3280" s="198"/>
      <c r="F3280" s="198"/>
      <c r="G3280" s="198"/>
      <c r="H3280" s="198"/>
      <c r="I3280" s="198"/>
      <c r="J3280" s="198"/>
      <c r="K3280" s="198"/>
      <c r="L3280" s="198"/>
      <c r="M3280" s="198"/>
      <c r="N3280" s="198"/>
      <c r="O3280" s="198"/>
      <c r="P3280" s="198"/>
      <c r="Q3280" s="198"/>
      <c r="R3280" s="198"/>
      <c r="S3280" s="198"/>
      <c r="T3280" s="198"/>
      <c r="U3280" s="198"/>
      <c r="V3280" s="198"/>
      <c r="W3280" s="198"/>
      <c r="X3280" s="198"/>
      <c r="Y3280" s="198"/>
      <c r="Z3280" s="198"/>
    </row>
    <row r="3281" spans="1:26" ht="15.75" hidden="1" customHeight="1" x14ac:dyDescent="0.25">
      <c r="A3281" s="213">
        <v>9871</v>
      </c>
      <c r="B3281" s="214" t="s">
        <v>11780</v>
      </c>
      <c r="C3281" s="215" t="s">
        <v>585</v>
      </c>
      <c r="D3281" s="216">
        <v>35.46</v>
      </c>
      <c r="E3281" s="198"/>
      <c r="F3281" s="198"/>
      <c r="G3281" s="198"/>
      <c r="H3281" s="198"/>
      <c r="I3281" s="198"/>
      <c r="J3281" s="198"/>
      <c r="K3281" s="198"/>
      <c r="L3281" s="198"/>
      <c r="M3281" s="198"/>
      <c r="N3281" s="198"/>
      <c r="O3281" s="198"/>
      <c r="P3281" s="198"/>
      <c r="Q3281" s="198"/>
      <c r="R3281" s="198"/>
      <c r="S3281" s="198"/>
      <c r="T3281" s="198"/>
      <c r="U3281" s="198"/>
      <c r="V3281" s="198"/>
      <c r="W3281" s="198"/>
      <c r="X3281" s="198"/>
      <c r="Y3281" s="198"/>
      <c r="Z3281" s="198"/>
    </row>
    <row r="3282" spans="1:26" ht="15.75" hidden="1" customHeight="1" x14ac:dyDescent="0.25">
      <c r="A3282" s="213">
        <v>9872</v>
      </c>
      <c r="B3282" s="214" t="s">
        <v>11781</v>
      </c>
      <c r="C3282" s="215" t="s">
        <v>585</v>
      </c>
      <c r="D3282" s="216">
        <v>49.34</v>
      </c>
      <c r="E3282" s="198"/>
      <c r="F3282" s="198"/>
      <c r="G3282" s="198"/>
      <c r="H3282" s="198"/>
      <c r="I3282" s="198"/>
      <c r="J3282" s="198"/>
      <c r="K3282" s="198"/>
      <c r="L3282" s="198"/>
      <c r="M3282" s="198"/>
      <c r="N3282" s="198"/>
      <c r="O3282" s="198"/>
      <c r="P3282" s="198"/>
      <c r="Q3282" s="198"/>
      <c r="R3282" s="198"/>
      <c r="S3282" s="198"/>
      <c r="T3282" s="198"/>
      <c r="U3282" s="198"/>
      <c r="V3282" s="198"/>
      <c r="W3282" s="198"/>
      <c r="X3282" s="198"/>
      <c r="Y3282" s="198"/>
      <c r="Z3282" s="198"/>
    </row>
    <row r="3283" spans="1:26" ht="15.75" hidden="1" customHeight="1" x14ac:dyDescent="0.25">
      <c r="A3283" s="213">
        <v>36357</v>
      </c>
      <c r="B3283" s="214" t="s">
        <v>11782</v>
      </c>
      <c r="C3283" s="215" t="s">
        <v>580</v>
      </c>
      <c r="D3283" s="216">
        <v>178.51</v>
      </c>
      <c r="E3283" s="198"/>
      <c r="F3283" s="198"/>
      <c r="G3283" s="198"/>
      <c r="H3283" s="198"/>
      <c r="I3283" s="198"/>
      <c r="J3283" s="198"/>
      <c r="K3283" s="198"/>
      <c r="L3283" s="198"/>
      <c r="M3283" s="198"/>
      <c r="N3283" s="198"/>
      <c r="O3283" s="198"/>
      <c r="P3283" s="198"/>
      <c r="Q3283" s="198"/>
      <c r="R3283" s="198"/>
      <c r="S3283" s="198"/>
      <c r="T3283" s="198"/>
      <c r="U3283" s="198"/>
      <c r="V3283" s="198"/>
      <c r="W3283" s="198"/>
      <c r="X3283" s="198"/>
      <c r="Y3283" s="198"/>
      <c r="Z3283" s="198"/>
    </row>
    <row r="3284" spans="1:26" ht="15.75" hidden="1" customHeight="1" x14ac:dyDescent="0.25">
      <c r="A3284" s="213">
        <v>36316</v>
      </c>
      <c r="B3284" s="214" t="s">
        <v>11783</v>
      </c>
      <c r="C3284" s="215" t="s">
        <v>580</v>
      </c>
      <c r="D3284" s="216">
        <v>29.09</v>
      </c>
      <c r="E3284" s="198"/>
      <c r="F3284" s="198"/>
      <c r="G3284" s="198"/>
      <c r="H3284" s="198"/>
      <c r="I3284" s="198"/>
      <c r="J3284" s="198"/>
      <c r="K3284" s="198"/>
      <c r="L3284" s="198"/>
      <c r="M3284" s="198"/>
      <c r="N3284" s="198"/>
      <c r="O3284" s="198"/>
      <c r="P3284" s="198"/>
      <c r="Q3284" s="198"/>
      <c r="R3284" s="198"/>
      <c r="S3284" s="198"/>
      <c r="T3284" s="198"/>
      <c r="U3284" s="198"/>
      <c r="V3284" s="198"/>
      <c r="W3284" s="198"/>
      <c r="X3284" s="198"/>
      <c r="Y3284" s="198"/>
      <c r="Z3284" s="198"/>
    </row>
    <row r="3285" spans="1:26" ht="15.75" hidden="1" customHeight="1" x14ac:dyDescent="0.25">
      <c r="A3285" s="213">
        <v>36313</v>
      </c>
      <c r="B3285" s="214" t="s">
        <v>11784</v>
      </c>
      <c r="C3285" s="215" t="s">
        <v>580</v>
      </c>
      <c r="D3285" s="216">
        <v>18.68</v>
      </c>
      <c r="E3285" s="198"/>
      <c r="F3285" s="198"/>
      <c r="G3285" s="198"/>
      <c r="H3285" s="198"/>
      <c r="I3285" s="198"/>
      <c r="J3285" s="198"/>
      <c r="K3285" s="198"/>
      <c r="L3285" s="198"/>
      <c r="M3285" s="198"/>
      <c r="N3285" s="198"/>
      <c r="O3285" s="198"/>
      <c r="P3285" s="198"/>
      <c r="Q3285" s="198"/>
      <c r="R3285" s="198"/>
      <c r="S3285" s="198"/>
      <c r="T3285" s="198"/>
      <c r="U3285" s="198"/>
      <c r="V3285" s="198"/>
      <c r="W3285" s="198"/>
      <c r="X3285" s="198"/>
      <c r="Y3285" s="198"/>
      <c r="Z3285" s="198"/>
    </row>
    <row r="3286" spans="1:26" ht="15.75" hidden="1" customHeight="1" x14ac:dyDescent="0.25">
      <c r="A3286" s="213">
        <v>9892</v>
      </c>
      <c r="B3286" s="214" t="s">
        <v>11785</v>
      </c>
      <c r="C3286" s="215" t="s">
        <v>580</v>
      </c>
      <c r="D3286" s="216">
        <v>5.68</v>
      </c>
      <c r="E3286" s="198"/>
      <c r="F3286" s="198"/>
      <c r="G3286" s="198"/>
      <c r="H3286" s="198"/>
      <c r="I3286" s="198"/>
      <c r="J3286" s="198"/>
      <c r="K3286" s="198"/>
      <c r="L3286" s="198"/>
      <c r="M3286" s="198"/>
      <c r="N3286" s="198"/>
      <c r="O3286" s="198"/>
      <c r="P3286" s="198"/>
      <c r="Q3286" s="198"/>
      <c r="R3286" s="198"/>
      <c r="S3286" s="198"/>
      <c r="T3286" s="198"/>
      <c r="U3286" s="198"/>
      <c r="V3286" s="198"/>
      <c r="W3286" s="198"/>
      <c r="X3286" s="198"/>
      <c r="Y3286" s="198"/>
      <c r="Z3286" s="198"/>
    </row>
    <row r="3287" spans="1:26" ht="15.75" hidden="1" customHeight="1" x14ac:dyDescent="0.25">
      <c r="A3287" s="213">
        <v>9901</v>
      </c>
      <c r="B3287" s="214" t="s">
        <v>11786</v>
      </c>
      <c r="C3287" s="215" t="s">
        <v>580</v>
      </c>
      <c r="D3287" s="216">
        <v>27.48</v>
      </c>
      <c r="E3287" s="198"/>
      <c r="F3287" s="198"/>
      <c r="G3287" s="198"/>
      <c r="H3287" s="198"/>
      <c r="I3287" s="198"/>
      <c r="J3287" s="198"/>
      <c r="K3287" s="198"/>
      <c r="L3287" s="198"/>
      <c r="M3287" s="198"/>
      <c r="N3287" s="198"/>
      <c r="O3287" s="198"/>
      <c r="P3287" s="198"/>
      <c r="Q3287" s="198"/>
      <c r="R3287" s="198"/>
      <c r="S3287" s="198"/>
      <c r="T3287" s="198"/>
      <c r="U3287" s="198"/>
      <c r="V3287" s="198"/>
      <c r="W3287" s="198"/>
      <c r="X3287" s="198"/>
      <c r="Y3287" s="198"/>
      <c r="Z3287" s="198"/>
    </row>
    <row r="3288" spans="1:26" ht="15.75" hidden="1" customHeight="1" x14ac:dyDescent="0.25">
      <c r="A3288" s="213">
        <v>9900</v>
      </c>
      <c r="B3288" s="214" t="s">
        <v>11787</v>
      </c>
      <c r="C3288" s="215" t="s">
        <v>580</v>
      </c>
      <c r="D3288" s="216">
        <v>15.92</v>
      </c>
      <c r="E3288" s="198"/>
      <c r="F3288" s="198"/>
      <c r="G3288" s="198"/>
      <c r="H3288" s="198"/>
      <c r="I3288" s="198"/>
      <c r="J3288" s="198"/>
      <c r="K3288" s="198"/>
      <c r="L3288" s="198"/>
      <c r="M3288" s="198"/>
      <c r="N3288" s="198"/>
      <c r="O3288" s="198"/>
      <c r="P3288" s="198"/>
      <c r="Q3288" s="198"/>
      <c r="R3288" s="198"/>
      <c r="S3288" s="198"/>
      <c r="T3288" s="198"/>
      <c r="U3288" s="198"/>
      <c r="V3288" s="198"/>
      <c r="W3288" s="198"/>
      <c r="X3288" s="198"/>
      <c r="Y3288" s="198"/>
      <c r="Z3288" s="198"/>
    </row>
    <row r="3289" spans="1:26" ht="15.75" hidden="1" customHeight="1" x14ac:dyDescent="0.25">
      <c r="A3289" s="213">
        <v>9899</v>
      </c>
      <c r="B3289" s="214" t="s">
        <v>11788</v>
      </c>
      <c r="C3289" s="215" t="s">
        <v>580</v>
      </c>
      <c r="D3289" s="216">
        <v>7.14</v>
      </c>
      <c r="E3289" s="198"/>
      <c r="F3289" s="198"/>
      <c r="G3289" s="198"/>
      <c r="H3289" s="198"/>
      <c r="I3289" s="198"/>
      <c r="J3289" s="198"/>
      <c r="K3289" s="198"/>
      <c r="L3289" s="198"/>
      <c r="M3289" s="198"/>
      <c r="N3289" s="198"/>
      <c r="O3289" s="198"/>
      <c r="P3289" s="198"/>
      <c r="Q3289" s="198"/>
      <c r="R3289" s="198"/>
      <c r="S3289" s="198"/>
      <c r="T3289" s="198"/>
      <c r="U3289" s="198"/>
      <c r="V3289" s="198"/>
      <c r="W3289" s="198"/>
      <c r="X3289" s="198"/>
      <c r="Y3289" s="198"/>
      <c r="Z3289" s="198"/>
    </row>
    <row r="3290" spans="1:26" ht="15.75" hidden="1" customHeight="1" x14ac:dyDescent="0.25">
      <c r="A3290" s="213">
        <v>9908</v>
      </c>
      <c r="B3290" s="214" t="s">
        <v>11789</v>
      </c>
      <c r="C3290" s="215" t="s">
        <v>580</v>
      </c>
      <c r="D3290" s="216">
        <v>321</v>
      </c>
      <c r="E3290" s="198"/>
      <c r="F3290" s="198"/>
      <c r="G3290" s="198"/>
      <c r="H3290" s="198"/>
      <c r="I3290" s="198"/>
      <c r="J3290" s="198"/>
      <c r="K3290" s="198"/>
      <c r="L3290" s="198"/>
      <c r="M3290" s="198"/>
      <c r="N3290" s="198"/>
      <c r="O3290" s="198"/>
      <c r="P3290" s="198"/>
      <c r="Q3290" s="198"/>
      <c r="R3290" s="198"/>
      <c r="S3290" s="198"/>
      <c r="T3290" s="198"/>
      <c r="U3290" s="198"/>
      <c r="V3290" s="198"/>
      <c r="W3290" s="198"/>
      <c r="X3290" s="198"/>
      <c r="Y3290" s="198"/>
      <c r="Z3290" s="198"/>
    </row>
    <row r="3291" spans="1:26" ht="15.75" hidden="1" customHeight="1" x14ac:dyDescent="0.25">
      <c r="A3291" s="213">
        <v>9905</v>
      </c>
      <c r="B3291" s="214" t="s">
        <v>11790</v>
      </c>
      <c r="C3291" s="215" t="s">
        <v>580</v>
      </c>
      <c r="D3291" s="216">
        <v>5.58</v>
      </c>
      <c r="E3291" s="198"/>
      <c r="F3291" s="198"/>
      <c r="G3291" s="198"/>
      <c r="H3291" s="198"/>
      <c r="I3291" s="198"/>
      <c r="J3291" s="198"/>
      <c r="K3291" s="198"/>
      <c r="L3291" s="198"/>
      <c r="M3291" s="198"/>
      <c r="N3291" s="198"/>
      <c r="O3291" s="198"/>
      <c r="P3291" s="198"/>
      <c r="Q3291" s="198"/>
      <c r="R3291" s="198"/>
      <c r="S3291" s="198"/>
      <c r="T3291" s="198"/>
      <c r="U3291" s="198"/>
      <c r="V3291" s="198"/>
      <c r="W3291" s="198"/>
      <c r="X3291" s="198"/>
      <c r="Y3291" s="198"/>
      <c r="Z3291" s="198"/>
    </row>
    <row r="3292" spans="1:26" ht="15.75" hidden="1" customHeight="1" x14ac:dyDescent="0.25">
      <c r="A3292" s="213">
        <v>9906</v>
      </c>
      <c r="B3292" s="214" t="s">
        <v>11791</v>
      </c>
      <c r="C3292" s="215" t="s">
        <v>580</v>
      </c>
      <c r="D3292" s="216">
        <v>6.73</v>
      </c>
      <c r="E3292" s="198"/>
      <c r="F3292" s="198"/>
      <c r="G3292" s="198"/>
      <c r="H3292" s="198"/>
      <c r="I3292" s="198"/>
      <c r="J3292" s="198"/>
      <c r="K3292" s="198"/>
      <c r="L3292" s="198"/>
      <c r="M3292" s="198"/>
      <c r="N3292" s="198"/>
      <c r="O3292" s="198"/>
      <c r="P3292" s="198"/>
      <c r="Q3292" s="198"/>
      <c r="R3292" s="198"/>
      <c r="S3292" s="198"/>
      <c r="T3292" s="198"/>
      <c r="U3292" s="198"/>
      <c r="V3292" s="198"/>
      <c r="W3292" s="198"/>
      <c r="X3292" s="198"/>
      <c r="Y3292" s="198"/>
      <c r="Z3292" s="198"/>
    </row>
    <row r="3293" spans="1:26" ht="15.75" hidden="1" customHeight="1" x14ac:dyDescent="0.25">
      <c r="A3293" s="213">
        <v>9895</v>
      </c>
      <c r="B3293" s="214" t="s">
        <v>11792</v>
      </c>
      <c r="C3293" s="215" t="s">
        <v>580</v>
      </c>
      <c r="D3293" s="216">
        <v>11.34</v>
      </c>
      <c r="E3293" s="198"/>
      <c r="F3293" s="198"/>
      <c r="G3293" s="198"/>
      <c r="H3293" s="198"/>
      <c r="I3293" s="198"/>
      <c r="J3293" s="198"/>
      <c r="K3293" s="198"/>
      <c r="L3293" s="198"/>
      <c r="M3293" s="198"/>
      <c r="N3293" s="198"/>
      <c r="O3293" s="198"/>
      <c r="P3293" s="198"/>
      <c r="Q3293" s="198"/>
      <c r="R3293" s="198"/>
      <c r="S3293" s="198"/>
      <c r="T3293" s="198"/>
      <c r="U3293" s="198"/>
      <c r="V3293" s="198"/>
      <c r="W3293" s="198"/>
      <c r="X3293" s="198"/>
      <c r="Y3293" s="198"/>
      <c r="Z3293" s="198"/>
    </row>
    <row r="3294" spans="1:26" ht="15.75" hidden="1" customHeight="1" x14ac:dyDescent="0.25">
      <c r="A3294" s="213">
        <v>9894</v>
      </c>
      <c r="B3294" s="214" t="s">
        <v>11793</v>
      </c>
      <c r="C3294" s="215" t="s">
        <v>580</v>
      </c>
      <c r="D3294" s="216">
        <v>21.81</v>
      </c>
      <c r="E3294" s="198"/>
      <c r="F3294" s="198"/>
      <c r="G3294" s="198"/>
      <c r="H3294" s="198"/>
      <c r="I3294" s="198"/>
      <c r="J3294" s="198"/>
      <c r="K3294" s="198"/>
      <c r="L3294" s="198"/>
      <c r="M3294" s="198"/>
      <c r="N3294" s="198"/>
      <c r="O3294" s="198"/>
      <c r="P3294" s="198"/>
      <c r="Q3294" s="198"/>
      <c r="R3294" s="198"/>
      <c r="S3294" s="198"/>
      <c r="T3294" s="198"/>
      <c r="U3294" s="198"/>
      <c r="V3294" s="198"/>
      <c r="W3294" s="198"/>
      <c r="X3294" s="198"/>
      <c r="Y3294" s="198"/>
      <c r="Z3294" s="198"/>
    </row>
    <row r="3295" spans="1:26" ht="15.75" hidden="1" customHeight="1" x14ac:dyDescent="0.25">
      <c r="A3295" s="213">
        <v>9897</v>
      </c>
      <c r="B3295" s="214" t="s">
        <v>11794</v>
      </c>
      <c r="C3295" s="215" t="s">
        <v>580</v>
      </c>
      <c r="D3295" s="216">
        <v>23.29</v>
      </c>
      <c r="E3295" s="198"/>
      <c r="F3295" s="198"/>
      <c r="G3295" s="198"/>
      <c r="H3295" s="198"/>
      <c r="I3295" s="198"/>
      <c r="J3295" s="198"/>
      <c r="K3295" s="198"/>
      <c r="L3295" s="198"/>
      <c r="M3295" s="198"/>
      <c r="N3295" s="198"/>
      <c r="O3295" s="198"/>
      <c r="P3295" s="198"/>
      <c r="Q3295" s="198"/>
      <c r="R3295" s="198"/>
      <c r="S3295" s="198"/>
      <c r="T3295" s="198"/>
      <c r="U3295" s="198"/>
      <c r="V3295" s="198"/>
      <c r="W3295" s="198"/>
      <c r="X3295" s="198"/>
      <c r="Y3295" s="198"/>
      <c r="Z3295" s="198"/>
    </row>
    <row r="3296" spans="1:26" ht="15.75" hidden="1" customHeight="1" x14ac:dyDescent="0.25">
      <c r="A3296" s="213">
        <v>9910</v>
      </c>
      <c r="B3296" s="214" t="s">
        <v>11795</v>
      </c>
      <c r="C3296" s="215" t="s">
        <v>580</v>
      </c>
      <c r="D3296" s="216">
        <v>60.59</v>
      </c>
      <c r="E3296" s="198"/>
      <c r="F3296" s="198"/>
      <c r="G3296" s="198"/>
      <c r="H3296" s="198"/>
      <c r="I3296" s="198"/>
      <c r="J3296" s="198"/>
      <c r="K3296" s="198"/>
      <c r="L3296" s="198"/>
      <c r="M3296" s="198"/>
      <c r="N3296" s="198"/>
      <c r="O3296" s="198"/>
      <c r="P3296" s="198"/>
      <c r="Q3296" s="198"/>
      <c r="R3296" s="198"/>
      <c r="S3296" s="198"/>
      <c r="T3296" s="198"/>
      <c r="U3296" s="198"/>
      <c r="V3296" s="198"/>
      <c r="W3296" s="198"/>
      <c r="X3296" s="198"/>
      <c r="Y3296" s="198"/>
      <c r="Z3296" s="198"/>
    </row>
    <row r="3297" spans="1:26" ht="15.75" hidden="1" customHeight="1" x14ac:dyDescent="0.25">
      <c r="A3297" s="213">
        <v>9909</v>
      </c>
      <c r="B3297" s="214" t="s">
        <v>11796</v>
      </c>
      <c r="C3297" s="215" t="s">
        <v>580</v>
      </c>
      <c r="D3297" s="216">
        <v>123.4</v>
      </c>
      <c r="E3297" s="198"/>
      <c r="F3297" s="198"/>
      <c r="G3297" s="198"/>
      <c r="H3297" s="198"/>
      <c r="I3297" s="198"/>
      <c r="J3297" s="198"/>
      <c r="K3297" s="198"/>
      <c r="L3297" s="198"/>
      <c r="M3297" s="198"/>
      <c r="N3297" s="198"/>
      <c r="O3297" s="198"/>
      <c r="P3297" s="198"/>
      <c r="Q3297" s="198"/>
      <c r="R3297" s="198"/>
      <c r="S3297" s="198"/>
      <c r="T3297" s="198"/>
      <c r="U3297" s="198"/>
      <c r="V3297" s="198"/>
      <c r="W3297" s="198"/>
      <c r="X3297" s="198"/>
      <c r="Y3297" s="198"/>
      <c r="Z3297" s="198"/>
    </row>
    <row r="3298" spans="1:26" ht="15.75" hidden="1" customHeight="1" x14ac:dyDescent="0.25">
      <c r="A3298" s="213">
        <v>9907</v>
      </c>
      <c r="B3298" s="214" t="s">
        <v>11797</v>
      </c>
      <c r="C3298" s="215" t="s">
        <v>580</v>
      </c>
      <c r="D3298" s="216">
        <v>145.69999999999999</v>
      </c>
      <c r="E3298" s="198"/>
      <c r="F3298" s="198"/>
      <c r="G3298" s="198"/>
      <c r="H3298" s="198"/>
      <c r="I3298" s="198"/>
      <c r="J3298" s="198"/>
      <c r="K3298" s="198"/>
      <c r="L3298" s="198"/>
      <c r="M3298" s="198"/>
      <c r="N3298" s="198"/>
      <c r="O3298" s="198"/>
      <c r="P3298" s="198"/>
      <c r="Q3298" s="198"/>
      <c r="R3298" s="198"/>
      <c r="S3298" s="198"/>
      <c r="T3298" s="198"/>
      <c r="U3298" s="198"/>
      <c r="V3298" s="198"/>
      <c r="W3298" s="198"/>
      <c r="X3298" s="198"/>
      <c r="Y3298" s="198"/>
      <c r="Z3298" s="198"/>
    </row>
    <row r="3299" spans="1:26" ht="15.75" hidden="1" customHeight="1" x14ac:dyDescent="0.25">
      <c r="A3299" s="213">
        <v>20973</v>
      </c>
      <c r="B3299" s="214" t="s">
        <v>11798</v>
      </c>
      <c r="C3299" s="215" t="s">
        <v>580</v>
      </c>
      <c r="D3299" s="216">
        <v>171.47</v>
      </c>
      <c r="E3299" s="198"/>
      <c r="F3299" s="198"/>
      <c r="G3299" s="198"/>
      <c r="H3299" s="198"/>
      <c r="I3299" s="198"/>
      <c r="J3299" s="198"/>
      <c r="K3299" s="198"/>
      <c r="L3299" s="198"/>
      <c r="M3299" s="198"/>
      <c r="N3299" s="198"/>
      <c r="O3299" s="198"/>
      <c r="P3299" s="198"/>
      <c r="Q3299" s="198"/>
      <c r="R3299" s="198"/>
      <c r="S3299" s="198"/>
      <c r="T3299" s="198"/>
      <c r="U3299" s="198"/>
      <c r="V3299" s="198"/>
      <c r="W3299" s="198"/>
      <c r="X3299" s="198"/>
      <c r="Y3299" s="198"/>
      <c r="Z3299" s="198"/>
    </row>
    <row r="3300" spans="1:26" ht="15.75" hidden="1" customHeight="1" x14ac:dyDescent="0.25">
      <c r="A3300" s="213">
        <v>20974</v>
      </c>
      <c r="B3300" s="214" t="s">
        <v>11799</v>
      </c>
      <c r="C3300" s="215" t="s">
        <v>580</v>
      </c>
      <c r="D3300" s="216">
        <v>245.33</v>
      </c>
      <c r="E3300" s="198"/>
      <c r="F3300" s="198"/>
      <c r="G3300" s="198"/>
      <c r="H3300" s="198"/>
      <c r="I3300" s="198"/>
      <c r="J3300" s="198"/>
      <c r="K3300" s="198"/>
      <c r="L3300" s="198"/>
      <c r="M3300" s="198"/>
      <c r="N3300" s="198"/>
      <c r="O3300" s="198"/>
      <c r="P3300" s="198"/>
      <c r="Q3300" s="198"/>
      <c r="R3300" s="198"/>
      <c r="S3300" s="198"/>
      <c r="T3300" s="198"/>
      <c r="U3300" s="198"/>
      <c r="V3300" s="198"/>
      <c r="W3300" s="198"/>
      <c r="X3300" s="198"/>
      <c r="Y3300" s="198"/>
      <c r="Z3300" s="198"/>
    </row>
    <row r="3301" spans="1:26" ht="15.75" hidden="1" customHeight="1" x14ac:dyDescent="0.25">
      <c r="A3301" s="213">
        <v>37989</v>
      </c>
      <c r="B3301" s="214" t="s">
        <v>11800</v>
      </c>
      <c r="C3301" s="215" t="s">
        <v>580</v>
      </c>
      <c r="D3301" s="216">
        <v>16.63</v>
      </c>
      <c r="E3301" s="198"/>
      <c r="F3301" s="198"/>
      <c r="G3301" s="198"/>
      <c r="H3301" s="198"/>
      <c r="I3301" s="198"/>
      <c r="J3301" s="198"/>
      <c r="K3301" s="198"/>
      <c r="L3301" s="198"/>
      <c r="M3301" s="198"/>
      <c r="N3301" s="198"/>
      <c r="O3301" s="198"/>
      <c r="P3301" s="198"/>
      <c r="Q3301" s="198"/>
      <c r="R3301" s="198"/>
      <c r="S3301" s="198"/>
      <c r="T3301" s="198"/>
      <c r="U3301" s="198"/>
      <c r="V3301" s="198"/>
      <c r="W3301" s="198"/>
      <c r="X3301" s="198"/>
      <c r="Y3301" s="198"/>
      <c r="Z3301" s="198"/>
    </row>
    <row r="3302" spans="1:26" ht="15.75" hidden="1" customHeight="1" x14ac:dyDescent="0.25">
      <c r="A3302" s="213">
        <v>37990</v>
      </c>
      <c r="B3302" s="214" t="s">
        <v>11801</v>
      </c>
      <c r="C3302" s="215" t="s">
        <v>580</v>
      </c>
      <c r="D3302" s="216">
        <v>18.34</v>
      </c>
      <c r="E3302" s="198"/>
      <c r="F3302" s="198"/>
      <c r="G3302" s="198"/>
      <c r="H3302" s="198"/>
      <c r="I3302" s="198"/>
      <c r="J3302" s="198"/>
      <c r="K3302" s="198"/>
      <c r="L3302" s="198"/>
      <c r="M3302" s="198"/>
      <c r="N3302" s="198"/>
      <c r="O3302" s="198"/>
      <c r="P3302" s="198"/>
      <c r="Q3302" s="198"/>
      <c r="R3302" s="198"/>
      <c r="S3302" s="198"/>
      <c r="T3302" s="198"/>
      <c r="U3302" s="198"/>
      <c r="V3302" s="198"/>
      <c r="W3302" s="198"/>
      <c r="X3302" s="198"/>
      <c r="Y3302" s="198"/>
      <c r="Z3302" s="198"/>
    </row>
    <row r="3303" spans="1:26" ht="15.75" hidden="1" customHeight="1" x14ac:dyDescent="0.25">
      <c r="A3303" s="213">
        <v>37991</v>
      </c>
      <c r="B3303" s="214" t="s">
        <v>11802</v>
      </c>
      <c r="C3303" s="215" t="s">
        <v>580</v>
      </c>
      <c r="D3303" s="216">
        <v>24.42</v>
      </c>
      <c r="E3303" s="198"/>
      <c r="F3303" s="198"/>
      <c r="G3303" s="198"/>
      <c r="H3303" s="198"/>
      <c r="I3303" s="198"/>
      <c r="J3303" s="198"/>
      <c r="K3303" s="198"/>
      <c r="L3303" s="198"/>
      <c r="M3303" s="198"/>
      <c r="N3303" s="198"/>
      <c r="O3303" s="198"/>
      <c r="P3303" s="198"/>
      <c r="Q3303" s="198"/>
      <c r="R3303" s="198"/>
      <c r="S3303" s="198"/>
      <c r="T3303" s="198"/>
      <c r="U3303" s="198"/>
      <c r="V3303" s="198"/>
      <c r="W3303" s="198"/>
      <c r="X3303" s="198"/>
      <c r="Y3303" s="198"/>
      <c r="Z3303" s="198"/>
    </row>
    <row r="3304" spans="1:26" ht="15.75" hidden="1" customHeight="1" x14ac:dyDescent="0.25">
      <c r="A3304" s="213">
        <v>37992</v>
      </c>
      <c r="B3304" s="214" t="s">
        <v>11803</v>
      </c>
      <c r="C3304" s="215" t="s">
        <v>580</v>
      </c>
      <c r="D3304" s="216">
        <v>37.880000000000003</v>
      </c>
      <c r="E3304" s="198"/>
      <c r="F3304" s="198"/>
      <c r="G3304" s="198"/>
      <c r="H3304" s="198"/>
      <c r="I3304" s="198"/>
      <c r="J3304" s="198"/>
      <c r="K3304" s="198"/>
      <c r="L3304" s="198"/>
      <c r="M3304" s="198"/>
      <c r="N3304" s="198"/>
      <c r="O3304" s="198"/>
      <c r="P3304" s="198"/>
      <c r="Q3304" s="198"/>
      <c r="R3304" s="198"/>
      <c r="S3304" s="198"/>
      <c r="T3304" s="198"/>
      <c r="U3304" s="198"/>
      <c r="V3304" s="198"/>
      <c r="W3304" s="198"/>
      <c r="X3304" s="198"/>
      <c r="Y3304" s="198"/>
      <c r="Z3304" s="198"/>
    </row>
    <row r="3305" spans="1:26" ht="15.75" hidden="1" customHeight="1" x14ac:dyDescent="0.25">
      <c r="A3305" s="213">
        <v>37993</v>
      </c>
      <c r="B3305" s="214" t="s">
        <v>11804</v>
      </c>
      <c r="C3305" s="215" t="s">
        <v>580</v>
      </c>
      <c r="D3305" s="216">
        <v>57.48</v>
      </c>
      <c r="E3305" s="198"/>
      <c r="F3305" s="198"/>
      <c r="G3305" s="198"/>
      <c r="H3305" s="198"/>
      <c r="I3305" s="198"/>
      <c r="J3305" s="198"/>
      <c r="K3305" s="198"/>
      <c r="L3305" s="198"/>
      <c r="M3305" s="198"/>
      <c r="N3305" s="198"/>
      <c r="O3305" s="198"/>
      <c r="P3305" s="198"/>
      <c r="Q3305" s="198"/>
      <c r="R3305" s="198"/>
      <c r="S3305" s="198"/>
      <c r="T3305" s="198"/>
      <c r="U3305" s="198"/>
      <c r="V3305" s="198"/>
      <c r="W3305" s="198"/>
      <c r="X3305" s="198"/>
      <c r="Y3305" s="198"/>
      <c r="Z3305" s="198"/>
    </row>
    <row r="3306" spans="1:26" ht="15.75" hidden="1" customHeight="1" x14ac:dyDescent="0.25">
      <c r="A3306" s="213">
        <v>37994</v>
      </c>
      <c r="B3306" s="214" t="s">
        <v>11805</v>
      </c>
      <c r="C3306" s="215" t="s">
        <v>580</v>
      </c>
      <c r="D3306" s="216">
        <v>136.88</v>
      </c>
      <c r="E3306" s="198"/>
      <c r="F3306" s="198"/>
      <c r="G3306" s="198"/>
      <c r="H3306" s="198"/>
      <c r="I3306" s="198"/>
      <c r="J3306" s="198"/>
      <c r="K3306" s="198"/>
      <c r="L3306" s="198"/>
      <c r="M3306" s="198"/>
      <c r="N3306" s="198"/>
      <c r="O3306" s="198"/>
      <c r="P3306" s="198"/>
      <c r="Q3306" s="198"/>
      <c r="R3306" s="198"/>
      <c r="S3306" s="198"/>
      <c r="T3306" s="198"/>
      <c r="U3306" s="198"/>
      <c r="V3306" s="198"/>
      <c r="W3306" s="198"/>
      <c r="X3306" s="198"/>
      <c r="Y3306" s="198"/>
      <c r="Z3306" s="198"/>
    </row>
    <row r="3307" spans="1:26" ht="15.75" hidden="1" customHeight="1" x14ac:dyDescent="0.25">
      <c r="A3307" s="213">
        <v>37995</v>
      </c>
      <c r="B3307" s="214" t="s">
        <v>11806</v>
      </c>
      <c r="C3307" s="215" t="s">
        <v>580</v>
      </c>
      <c r="D3307" s="216">
        <v>178.41</v>
      </c>
      <c r="E3307" s="198"/>
      <c r="F3307" s="198"/>
      <c r="G3307" s="198"/>
      <c r="H3307" s="198"/>
      <c r="I3307" s="198"/>
      <c r="J3307" s="198"/>
      <c r="K3307" s="198"/>
      <c r="L3307" s="198"/>
      <c r="M3307" s="198"/>
      <c r="N3307" s="198"/>
      <c r="O3307" s="198"/>
      <c r="P3307" s="198"/>
      <c r="Q3307" s="198"/>
      <c r="R3307" s="198"/>
      <c r="S3307" s="198"/>
      <c r="T3307" s="198"/>
      <c r="U3307" s="198"/>
      <c r="V3307" s="198"/>
      <c r="W3307" s="198"/>
      <c r="X3307" s="198"/>
      <c r="Y3307" s="198"/>
      <c r="Z3307" s="198"/>
    </row>
    <row r="3308" spans="1:26" ht="15.75" hidden="1" customHeight="1" x14ac:dyDescent="0.25">
      <c r="A3308" s="213">
        <v>37996</v>
      </c>
      <c r="B3308" s="214" t="s">
        <v>11807</v>
      </c>
      <c r="C3308" s="215" t="s">
        <v>580</v>
      </c>
      <c r="D3308" s="216">
        <v>271.67</v>
      </c>
      <c r="E3308" s="198"/>
      <c r="F3308" s="198"/>
      <c r="G3308" s="198"/>
      <c r="H3308" s="198"/>
      <c r="I3308" s="198"/>
      <c r="J3308" s="198"/>
      <c r="K3308" s="198"/>
      <c r="L3308" s="198"/>
      <c r="M3308" s="198"/>
      <c r="N3308" s="198"/>
      <c r="O3308" s="198"/>
      <c r="P3308" s="198"/>
      <c r="Q3308" s="198"/>
      <c r="R3308" s="198"/>
      <c r="S3308" s="198"/>
      <c r="T3308" s="198"/>
      <c r="U3308" s="198"/>
      <c r="V3308" s="198"/>
      <c r="W3308" s="198"/>
      <c r="X3308" s="198"/>
      <c r="Y3308" s="198"/>
      <c r="Z3308" s="198"/>
    </row>
    <row r="3309" spans="1:26" ht="15.75" hidden="1" customHeight="1" x14ac:dyDescent="0.25">
      <c r="A3309" s="213">
        <v>21112</v>
      </c>
      <c r="B3309" s="214" t="s">
        <v>11808</v>
      </c>
      <c r="C3309" s="215" t="s">
        <v>580</v>
      </c>
      <c r="D3309" s="216">
        <v>303.39</v>
      </c>
      <c r="E3309" s="198"/>
      <c r="F3309" s="198"/>
      <c r="G3309" s="198"/>
      <c r="H3309" s="198"/>
      <c r="I3309" s="198"/>
      <c r="J3309" s="198"/>
      <c r="K3309" s="198"/>
      <c r="L3309" s="198"/>
      <c r="M3309" s="198"/>
      <c r="N3309" s="198"/>
      <c r="O3309" s="198"/>
      <c r="P3309" s="198"/>
      <c r="Q3309" s="198"/>
      <c r="R3309" s="198"/>
      <c r="S3309" s="198"/>
      <c r="T3309" s="198"/>
      <c r="U3309" s="198"/>
      <c r="V3309" s="198"/>
      <c r="W3309" s="198"/>
      <c r="X3309" s="198"/>
      <c r="Y3309" s="198"/>
      <c r="Z3309" s="198"/>
    </row>
    <row r="3310" spans="1:26" ht="15.75" hidden="1" customHeight="1" x14ac:dyDescent="0.25">
      <c r="A3310" s="213">
        <v>10228</v>
      </c>
      <c r="B3310" s="214" t="s">
        <v>11809</v>
      </c>
      <c r="C3310" s="215" t="s">
        <v>580</v>
      </c>
      <c r="D3310" s="216">
        <v>352.45</v>
      </c>
      <c r="E3310" s="198"/>
      <c r="F3310" s="198"/>
      <c r="G3310" s="198"/>
      <c r="H3310" s="198"/>
      <c r="I3310" s="198"/>
      <c r="J3310" s="198"/>
      <c r="K3310" s="198"/>
      <c r="L3310" s="198"/>
      <c r="M3310" s="198"/>
      <c r="N3310" s="198"/>
      <c r="O3310" s="198"/>
      <c r="P3310" s="198"/>
      <c r="Q3310" s="198"/>
      <c r="R3310" s="198"/>
      <c r="S3310" s="198"/>
      <c r="T3310" s="198"/>
      <c r="U3310" s="198"/>
      <c r="V3310" s="198"/>
      <c r="W3310" s="198"/>
      <c r="X3310" s="198"/>
      <c r="Y3310" s="198"/>
      <c r="Z3310" s="198"/>
    </row>
    <row r="3311" spans="1:26" ht="15.75" hidden="1" customHeight="1" x14ac:dyDescent="0.25">
      <c r="A3311" s="213">
        <v>11781</v>
      </c>
      <c r="B3311" s="214" t="s">
        <v>11810</v>
      </c>
      <c r="C3311" s="215" t="s">
        <v>580</v>
      </c>
      <c r="D3311" s="216">
        <v>285.52999999999997</v>
      </c>
      <c r="E3311" s="198"/>
      <c r="F3311" s="198"/>
      <c r="G3311" s="198"/>
      <c r="H3311" s="198"/>
      <c r="I3311" s="198"/>
      <c r="J3311" s="198"/>
      <c r="K3311" s="198"/>
      <c r="L3311" s="198"/>
      <c r="M3311" s="198"/>
      <c r="N3311" s="198"/>
      <c r="O3311" s="198"/>
      <c r="P3311" s="198"/>
      <c r="Q3311" s="198"/>
      <c r="R3311" s="198"/>
      <c r="S3311" s="198"/>
      <c r="T3311" s="198"/>
      <c r="U3311" s="198"/>
      <c r="V3311" s="198"/>
      <c r="W3311" s="198"/>
      <c r="X3311" s="198"/>
      <c r="Y3311" s="198"/>
      <c r="Z3311" s="198"/>
    </row>
    <row r="3312" spans="1:26" ht="15.75" hidden="1" customHeight="1" x14ac:dyDescent="0.25">
      <c r="A3312" s="213">
        <v>37588</v>
      </c>
      <c r="B3312" s="214" t="s">
        <v>11811</v>
      </c>
      <c r="C3312" s="215" t="s">
        <v>580</v>
      </c>
      <c r="D3312" s="216">
        <v>92.61</v>
      </c>
      <c r="E3312" s="198"/>
      <c r="F3312" s="198"/>
      <c r="G3312" s="198"/>
      <c r="H3312" s="198"/>
      <c r="I3312" s="198"/>
      <c r="J3312" s="198"/>
      <c r="K3312" s="198"/>
      <c r="L3312" s="198"/>
      <c r="M3312" s="198"/>
      <c r="N3312" s="198"/>
      <c r="O3312" s="198"/>
      <c r="P3312" s="198"/>
      <c r="Q3312" s="198"/>
      <c r="R3312" s="198"/>
      <c r="S3312" s="198"/>
      <c r="T3312" s="198"/>
      <c r="U3312" s="198"/>
      <c r="V3312" s="198"/>
      <c r="W3312" s="198"/>
      <c r="X3312" s="198"/>
      <c r="Y3312" s="198"/>
      <c r="Z3312" s="198"/>
    </row>
    <row r="3313" spans="1:26" ht="15.75" hidden="1" customHeight="1" x14ac:dyDescent="0.25">
      <c r="A3313" s="213">
        <v>11751</v>
      </c>
      <c r="B3313" s="214" t="s">
        <v>11812</v>
      </c>
      <c r="C3313" s="215" t="s">
        <v>580</v>
      </c>
      <c r="D3313" s="216">
        <v>132.06</v>
      </c>
      <c r="E3313" s="198"/>
      <c r="F3313" s="198"/>
      <c r="G3313" s="198"/>
      <c r="H3313" s="198"/>
      <c r="I3313" s="198"/>
      <c r="J3313" s="198"/>
      <c r="K3313" s="198"/>
      <c r="L3313" s="198"/>
      <c r="M3313" s="198"/>
      <c r="N3313" s="198"/>
      <c r="O3313" s="198"/>
      <c r="P3313" s="198"/>
      <c r="Q3313" s="198"/>
      <c r="R3313" s="198"/>
      <c r="S3313" s="198"/>
      <c r="T3313" s="198"/>
      <c r="U3313" s="198"/>
      <c r="V3313" s="198"/>
      <c r="W3313" s="198"/>
      <c r="X3313" s="198"/>
      <c r="Y3313" s="198"/>
      <c r="Z3313" s="198"/>
    </row>
    <row r="3314" spans="1:26" ht="15.75" hidden="1" customHeight="1" x14ac:dyDescent="0.25">
      <c r="A3314" s="213">
        <v>11750</v>
      </c>
      <c r="B3314" s="214" t="s">
        <v>11813</v>
      </c>
      <c r="C3314" s="215" t="s">
        <v>580</v>
      </c>
      <c r="D3314" s="216">
        <v>109.59</v>
      </c>
      <c r="E3314" s="198"/>
      <c r="F3314" s="198"/>
      <c r="G3314" s="198"/>
      <c r="H3314" s="198"/>
      <c r="I3314" s="198"/>
      <c r="J3314" s="198"/>
      <c r="K3314" s="198"/>
      <c r="L3314" s="198"/>
      <c r="M3314" s="198"/>
      <c r="N3314" s="198"/>
      <c r="O3314" s="198"/>
      <c r="P3314" s="198"/>
      <c r="Q3314" s="198"/>
      <c r="R3314" s="198"/>
      <c r="S3314" s="198"/>
      <c r="T3314" s="198"/>
      <c r="U3314" s="198"/>
      <c r="V3314" s="198"/>
      <c r="W3314" s="198"/>
      <c r="X3314" s="198"/>
      <c r="Y3314" s="198"/>
      <c r="Z3314" s="198"/>
    </row>
    <row r="3315" spans="1:26" ht="15.75" hidden="1" customHeight="1" x14ac:dyDescent="0.25">
      <c r="A3315" s="213">
        <v>11746</v>
      </c>
      <c r="B3315" s="214" t="s">
        <v>11814</v>
      </c>
      <c r="C3315" s="215" t="s">
        <v>580</v>
      </c>
      <c r="D3315" s="216">
        <v>73.53</v>
      </c>
      <c r="E3315" s="198"/>
      <c r="F3315" s="198"/>
      <c r="G3315" s="198"/>
      <c r="H3315" s="198"/>
      <c r="I3315" s="198"/>
      <c r="J3315" s="198"/>
      <c r="K3315" s="198"/>
      <c r="L3315" s="198"/>
      <c r="M3315" s="198"/>
      <c r="N3315" s="198"/>
      <c r="O3315" s="198"/>
      <c r="P3315" s="198"/>
      <c r="Q3315" s="198"/>
      <c r="R3315" s="198"/>
      <c r="S3315" s="198"/>
      <c r="T3315" s="198"/>
      <c r="U3315" s="198"/>
      <c r="V3315" s="198"/>
      <c r="W3315" s="198"/>
      <c r="X3315" s="198"/>
      <c r="Y3315" s="198"/>
      <c r="Z3315" s="198"/>
    </row>
    <row r="3316" spans="1:26" ht="15.75" hidden="1" customHeight="1" x14ac:dyDescent="0.25">
      <c r="A3316" s="213">
        <v>11748</v>
      </c>
      <c r="B3316" s="214" t="s">
        <v>11815</v>
      </c>
      <c r="C3316" s="215" t="s">
        <v>580</v>
      </c>
      <c r="D3316" s="216">
        <v>47.18</v>
      </c>
      <c r="E3316" s="198"/>
      <c r="F3316" s="198"/>
      <c r="G3316" s="198"/>
      <c r="H3316" s="198"/>
      <c r="I3316" s="198"/>
      <c r="J3316" s="198"/>
      <c r="K3316" s="198"/>
      <c r="L3316" s="198"/>
      <c r="M3316" s="198"/>
      <c r="N3316" s="198"/>
      <c r="O3316" s="198"/>
      <c r="P3316" s="198"/>
      <c r="Q3316" s="198"/>
      <c r="R3316" s="198"/>
      <c r="S3316" s="198"/>
      <c r="T3316" s="198"/>
      <c r="U3316" s="198"/>
      <c r="V3316" s="198"/>
      <c r="W3316" s="198"/>
      <c r="X3316" s="198"/>
      <c r="Y3316" s="198"/>
      <c r="Z3316" s="198"/>
    </row>
    <row r="3317" spans="1:26" ht="15.75" hidden="1" customHeight="1" x14ac:dyDescent="0.25">
      <c r="A3317" s="213">
        <v>11747</v>
      </c>
      <c r="B3317" s="214" t="s">
        <v>11816</v>
      </c>
      <c r="C3317" s="215" t="s">
        <v>580</v>
      </c>
      <c r="D3317" s="216">
        <v>203.64</v>
      </c>
      <c r="E3317" s="198"/>
      <c r="F3317" s="198"/>
      <c r="G3317" s="198"/>
      <c r="H3317" s="198"/>
      <c r="I3317" s="198"/>
      <c r="J3317" s="198"/>
      <c r="K3317" s="198"/>
      <c r="L3317" s="198"/>
      <c r="M3317" s="198"/>
      <c r="N3317" s="198"/>
      <c r="O3317" s="198"/>
      <c r="P3317" s="198"/>
      <c r="Q3317" s="198"/>
      <c r="R3317" s="198"/>
      <c r="S3317" s="198"/>
      <c r="T3317" s="198"/>
      <c r="U3317" s="198"/>
      <c r="V3317" s="198"/>
      <c r="W3317" s="198"/>
      <c r="X3317" s="198"/>
      <c r="Y3317" s="198"/>
      <c r="Z3317" s="198"/>
    </row>
    <row r="3318" spans="1:26" ht="15.75" hidden="1" customHeight="1" x14ac:dyDescent="0.25">
      <c r="A3318" s="213">
        <v>11749</v>
      </c>
      <c r="B3318" s="214" t="s">
        <v>11817</v>
      </c>
      <c r="C3318" s="215" t="s">
        <v>580</v>
      </c>
      <c r="D3318" s="216">
        <v>54.46</v>
      </c>
      <c r="E3318" s="198"/>
      <c r="F3318" s="198"/>
      <c r="G3318" s="198"/>
      <c r="H3318" s="198"/>
      <c r="I3318" s="198"/>
      <c r="J3318" s="198"/>
      <c r="K3318" s="198"/>
      <c r="L3318" s="198"/>
      <c r="M3318" s="198"/>
      <c r="N3318" s="198"/>
      <c r="O3318" s="198"/>
      <c r="P3318" s="198"/>
      <c r="Q3318" s="198"/>
      <c r="R3318" s="198"/>
      <c r="S3318" s="198"/>
      <c r="T3318" s="198"/>
      <c r="U3318" s="198"/>
      <c r="V3318" s="198"/>
      <c r="W3318" s="198"/>
      <c r="X3318" s="198"/>
      <c r="Y3318" s="198"/>
      <c r="Z3318" s="198"/>
    </row>
    <row r="3319" spans="1:26" ht="15.75" hidden="1" customHeight="1" x14ac:dyDescent="0.25">
      <c r="A3319" s="213">
        <v>38643</v>
      </c>
      <c r="B3319" s="214" t="s">
        <v>11818</v>
      </c>
      <c r="C3319" s="215" t="s">
        <v>580</v>
      </c>
      <c r="D3319" s="216">
        <v>73.599999999999994</v>
      </c>
      <c r="E3319" s="198"/>
      <c r="F3319" s="198"/>
      <c r="G3319" s="198"/>
      <c r="H3319" s="198"/>
      <c r="I3319" s="198"/>
      <c r="J3319" s="198"/>
      <c r="K3319" s="198"/>
      <c r="L3319" s="198"/>
      <c r="M3319" s="198"/>
      <c r="N3319" s="198"/>
      <c r="O3319" s="198"/>
      <c r="P3319" s="198"/>
      <c r="Q3319" s="198"/>
      <c r="R3319" s="198"/>
      <c r="S3319" s="198"/>
      <c r="T3319" s="198"/>
      <c r="U3319" s="198"/>
      <c r="V3319" s="198"/>
      <c r="W3319" s="198"/>
      <c r="X3319" s="198"/>
      <c r="Y3319" s="198"/>
      <c r="Z3319" s="198"/>
    </row>
    <row r="3320" spans="1:26" ht="15.75" hidden="1" customHeight="1" x14ac:dyDescent="0.25">
      <c r="A3320" s="213">
        <v>6157</v>
      </c>
      <c r="B3320" s="214" t="s">
        <v>11819</v>
      </c>
      <c r="C3320" s="215" t="s">
        <v>580</v>
      </c>
      <c r="D3320" s="216">
        <v>100.54</v>
      </c>
      <c r="E3320" s="198"/>
      <c r="F3320" s="198"/>
      <c r="G3320" s="198"/>
      <c r="H3320" s="198"/>
      <c r="I3320" s="198"/>
      <c r="J3320" s="198"/>
      <c r="K3320" s="198"/>
      <c r="L3320" s="198"/>
      <c r="M3320" s="198"/>
      <c r="N3320" s="198"/>
      <c r="O3320" s="198"/>
      <c r="P3320" s="198"/>
      <c r="Q3320" s="198"/>
      <c r="R3320" s="198"/>
      <c r="S3320" s="198"/>
      <c r="T3320" s="198"/>
      <c r="U3320" s="198"/>
      <c r="V3320" s="198"/>
      <c r="W3320" s="198"/>
      <c r="X3320" s="198"/>
      <c r="Y3320" s="198"/>
      <c r="Z3320" s="198"/>
    </row>
    <row r="3321" spans="1:26" ht="15.75" hidden="1" customHeight="1" x14ac:dyDescent="0.25">
      <c r="A3321" s="213">
        <v>6158</v>
      </c>
      <c r="B3321" s="214" t="s">
        <v>11820</v>
      </c>
      <c r="C3321" s="215" t="s">
        <v>580</v>
      </c>
      <c r="D3321" s="216">
        <v>6.75</v>
      </c>
      <c r="E3321" s="198"/>
      <c r="F3321" s="198"/>
      <c r="G3321" s="198"/>
      <c r="H3321" s="198"/>
      <c r="I3321" s="198"/>
      <c r="J3321" s="198"/>
      <c r="K3321" s="198"/>
      <c r="L3321" s="198"/>
      <c r="M3321" s="198"/>
      <c r="N3321" s="198"/>
      <c r="O3321" s="198"/>
      <c r="P3321" s="198"/>
      <c r="Q3321" s="198"/>
      <c r="R3321" s="198"/>
      <c r="S3321" s="198"/>
      <c r="T3321" s="198"/>
      <c r="U3321" s="198"/>
      <c r="V3321" s="198"/>
      <c r="W3321" s="198"/>
      <c r="X3321" s="198"/>
      <c r="Y3321" s="198"/>
      <c r="Z3321" s="198"/>
    </row>
    <row r="3322" spans="1:26" ht="15.75" hidden="1" customHeight="1" x14ac:dyDescent="0.25">
      <c r="A3322" s="213">
        <v>6156</v>
      </c>
      <c r="B3322" s="214" t="s">
        <v>11821</v>
      </c>
      <c r="C3322" s="215" t="s">
        <v>580</v>
      </c>
      <c r="D3322" s="216">
        <v>5.79</v>
      </c>
      <c r="E3322" s="198"/>
      <c r="F3322" s="198"/>
      <c r="G3322" s="198"/>
      <c r="H3322" s="198"/>
      <c r="I3322" s="198"/>
      <c r="J3322" s="198"/>
      <c r="K3322" s="198"/>
      <c r="L3322" s="198"/>
      <c r="M3322" s="198"/>
      <c r="N3322" s="198"/>
      <c r="O3322" s="198"/>
      <c r="P3322" s="198"/>
      <c r="Q3322" s="198"/>
      <c r="R3322" s="198"/>
      <c r="S3322" s="198"/>
      <c r="T3322" s="198"/>
      <c r="U3322" s="198"/>
      <c r="V3322" s="198"/>
      <c r="W3322" s="198"/>
      <c r="X3322" s="198"/>
      <c r="Y3322" s="198"/>
      <c r="Z3322" s="198"/>
    </row>
    <row r="3323" spans="1:26" ht="15.75" hidden="1" customHeight="1" x14ac:dyDescent="0.25">
      <c r="A3323" s="213">
        <v>6153</v>
      </c>
      <c r="B3323" s="214" t="s">
        <v>11822</v>
      </c>
      <c r="C3323" s="215" t="s">
        <v>580</v>
      </c>
      <c r="D3323" s="216">
        <v>4.6399999999999997</v>
      </c>
      <c r="E3323" s="198"/>
      <c r="F3323" s="198"/>
      <c r="G3323" s="198"/>
      <c r="H3323" s="198"/>
      <c r="I3323" s="198"/>
      <c r="J3323" s="198"/>
      <c r="K3323" s="198"/>
      <c r="L3323" s="198"/>
      <c r="M3323" s="198"/>
      <c r="N3323" s="198"/>
      <c r="O3323" s="198"/>
      <c r="P3323" s="198"/>
      <c r="Q3323" s="198"/>
      <c r="R3323" s="198"/>
      <c r="S3323" s="198"/>
      <c r="T3323" s="198"/>
      <c r="U3323" s="198"/>
      <c r="V3323" s="198"/>
      <c r="W3323" s="198"/>
      <c r="X3323" s="198"/>
      <c r="Y3323" s="198"/>
      <c r="Z3323" s="198"/>
    </row>
    <row r="3324" spans="1:26" ht="15.75" hidden="1" customHeight="1" x14ac:dyDescent="0.25">
      <c r="A3324" s="213">
        <v>6154</v>
      </c>
      <c r="B3324" s="214" t="s">
        <v>11823</v>
      </c>
      <c r="C3324" s="215" t="s">
        <v>580</v>
      </c>
      <c r="D3324" s="216">
        <v>8.25</v>
      </c>
      <c r="E3324" s="198"/>
      <c r="F3324" s="198"/>
      <c r="G3324" s="198"/>
      <c r="H3324" s="198"/>
      <c r="I3324" s="198"/>
      <c r="J3324" s="198"/>
      <c r="K3324" s="198"/>
      <c r="L3324" s="198"/>
      <c r="M3324" s="198"/>
      <c r="N3324" s="198"/>
      <c r="O3324" s="198"/>
      <c r="P3324" s="198"/>
      <c r="Q3324" s="198"/>
      <c r="R3324" s="198"/>
      <c r="S3324" s="198"/>
      <c r="T3324" s="198"/>
      <c r="U3324" s="198"/>
      <c r="V3324" s="198"/>
      <c r="W3324" s="198"/>
      <c r="X3324" s="198"/>
      <c r="Y3324" s="198"/>
      <c r="Z3324" s="198"/>
    </row>
    <row r="3325" spans="1:26" ht="15.75" hidden="1" customHeight="1" x14ac:dyDescent="0.25">
      <c r="A3325" s="213">
        <v>6155</v>
      </c>
      <c r="B3325" s="214" t="s">
        <v>11824</v>
      </c>
      <c r="C3325" s="215" t="s">
        <v>580</v>
      </c>
      <c r="D3325" s="216">
        <v>19</v>
      </c>
      <c r="E3325" s="198"/>
      <c r="F3325" s="198"/>
      <c r="G3325" s="198"/>
      <c r="H3325" s="198"/>
      <c r="I3325" s="198"/>
      <c r="J3325" s="198"/>
      <c r="K3325" s="198"/>
      <c r="L3325" s="198"/>
      <c r="M3325" s="198"/>
      <c r="N3325" s="198"/>
      <c r="O3325" s="198"/>
      <c r="P3325" s="198"/>
      <c r="Q3325" s="198"/>
      <c r="R3325" s="198"/>
      <c r="S3325" s="198"/>
      <c r="T3325" s="198"/>
      <c r="U3325" s="198"/>
      <c r="V3325" s="198"/>
      <c r="W3325" s="198"/>
      <c r="X3325" s="198"/>
      <c r="Y3325" s="198"/>
      <c r="Z3325" s="198"/>
    </row>
    <row r="3326" spans="1:26" ht="15.75" hidden="1" customHeight="1" x14ac:dyDescent="0.25">
      <c r="A3326" s="213">
        <v>43595</v>
      </c>
      <c r="B3326" s="214" t="s">
        <v>11825</v>
      </c>
      <c r="C3326" s="215" t="s">
        <v>580</v>
      </c>
      <c r="D3326" s="216">
        <v>18.149999999999999</v>
      </c>
      <c r="E3326" s="198"/>
      <c r="F3326" s="198"/>
      <c r="G3326" s="198"/>
      <c r="H3326" s="198"/>
      <c r="I3326" s="198"/>
      <c r="J3326" s="198"/>
      <c r="K3326" s="198"/>
      <c r="L3326" s="198"/>
      <c r="M3326" s="198"/>
      <c r="N3326" s="198"/>
      <c r="O3326" s="198"/>
      <c r="P3326" s="198"/>
      <c r="Q3326" s="198"/>
      <c r="R3326" s="198"/>
      <c r="S3326" s="198"/>
      <c r="T3326" s="198"/>
      <c r="U3326" s="198"/>
      <c r="V3326" s="198"/>
      <c r="W3326" s="198"/>
      <c r="X3326" s="198"/>
      <c r="Y3326" s="198"/>
      <c r="Z3326" s="198"/>
    </row>
    <row r="3327" spans="1:26" ht="15.75" hidden="1" customHeight="1" x14ac:dyDescent="0.25">
      <c r="A3327" s="213">
        <v>43596</v>
      </c>
      <c r="B3327" s="214" t="s">
        <v>11826</v>
      </c>
      <c r="C3327" s="215" t="s">
        <v>580</v>
      </c>
      <c r="D3327" s="216">
        <v>20.98</v>
      </c>
      <c r="E3327" s="198"/>
      <c r="F3327" s="198"/>
      <c r="G3327" s="198"/>
      <c r="H3327" s="198"/>
      <c r="I3327" s="198"/>
      <c r="J3327" s="198"/>
      <c r="K3327" s="198"/>
      <c r="L3327" s="198"/>
      <c r="M3327" s="198"/>
      <c r="N3327" s="198"/>
      <c r="O3327" s="198"/>
      <c r="P3327" s="198"/>
      <c r="Q3327" s="198"/>
      <c r="R3327" s="198"/>
      <c r="S3327" s="198"/>
      <c r="T3327" s="198"/>
      <c r="U3327" s="198"/>
      <c r="V3327" s="198"/>
      <c r="W3327" s="198"/>
      <c r="X3327" s="198"/>
      <c r="Y3327" s="198"/>
      <c r="Z3327" s="198"/>
    </row>
    <row r="3328" spans="1:26" ht="15.75" hidden="1" customHeight="1" x14ac:dyDescent="0.25">
      <c r="A3328" s="213">
        <v>38108</v>
      </c>
      <c r="B3328" s="214" t="s">
        <v>11827</v>
      </c>
      <c r="C3328" s="215" t="s">
        <v>580</v>
      </c>
      <c r="D3328" s="216">
        <v>53.02</v>
      </c>
      <c r="E3328" s="198"/>
      <c r="F3328" s="198"/>
      <c r="G3328" s="198"/>
      <c r="H3328" s="198"/>
      <c r="I3328" s="198"/>
      <c r="J3328" s="198"/>
      <c r="K3328" s="198"/>
      <c r="L3328" s="198"/>
      <c r="M3328" s="198"/>
      <c r="N3328" s="198"/>
      <c r="O3328" s="198"/>
      <c r="P3328" s="198"/>
      <c r="Q3328" s="198"/>
      <c r="R3328" s="198"/>
      <c r="S3328" s="198"/>
      <c r="T3328" s="198"/>
      <c r="U3328" s="198"/>
      <c r="V3328" s="198"/>
      <c r="W3328" s="198"/>
      <c r="X3328" s="198"/>
      <c r="Y3328" s="198"/>
      <c r="Z3328" s="198"/>
    </row>
    <row r="3329" spans="1:26" ht="15.75" hidden="1" customHeight="1" x14ac:dyDescent="0.25">
      <c r="A3329" s="213">
        <v>38087</v>
      </c>
      <c r="B3329" s="214" t="s">
        <v>11828</v>
      </c>
      <c r="C3329" s="215" t="s">
        <v>580</v>
      </c>
      <c r="D3329" s="216">
        <v>68.19</v>
      </c>
      <c r="E3329" s="198"/>
      <c r="F3329" s="198"/>
      <c r="G3329" s="198"/>
      <c r="H3329" s="198"/>
      <c r="I3329" s="198"/>
      <c r="J3329" s="198"/>
      <c r="K3329" s="198"/>
      <c r="L3329" s="198"/>
      <c r="M3329" s="198"/>
      <c r="N3329" s="198"/>
      <c r="O3329" s="198"/>
      <c r="P3329" s="198"/>
      <c r="Q3329" s="198"/>
      <c r="R3329" s="198"/>
      <c r="S3329" s="198"/>
      <c r="T3329" s="198"/>
      <c r="U3329" s="198"/>
      <c r="V3329" s="198"/>
      <c r="W3329" s="198"/>
      <c r="X3329" s="198"/>
      <c r="Y3329" s="198"/>
      <c r="Z3329" s="198"/>
    </row>
    <row r="3330" spans="1:26" ht="15.75" hidden="1" customHeight="1" x14ac:dyDescent="0.25">
      <c r="A3330" s="213">
        <v>38109</v>
      </c>
      <c r="B3330" s="214" t="s">
        <v>11829</v>
      </c>
      <c r="C3330" s="215" t="s">
        <v>580</v>
      </c>
      <c r="D3330" s="216">
        <v>84.73</v>
      </c>
      <c r="E3330" s="198"/>
      <c r="F3330" s="198"/>
      <c r="G3330" s="198"/>
      <c r="H3330" s="198"/>
      <c r="I3330" s="198"/>
      <c r="J3330" s="198"/>
      <c r="K3330" s="198"/>
      <c r="L3330" s="198"/>
      <c r="M3330" s="198"/>
      <c r="N3330" s="198"/>
      <c r="O3330" s="198"/>
      <c r="P3330" s="198"/>
      <c r="Q3330" s="198"/>
      <c r="R3330" s="198"/>
      <c r="S3330" s="198"/>
      <c r="T3330" s="198"/>
      <c r="U3330" s="198"/>
      <c r="V3330" s="198"/>
      <c r="W3330" s="198"/>
      <c r="X3330" s="198"/>
      <c r="Y3330" s="198"/>
      <c r="Z3330" s="198"/>
    </row>
    <row r="3331" spans="1:26" ht="15.75" hidden="1" customHeight="1" x14ac:dyDescent="0.25">
      <c r="A3331" s="213">
        <v>38088</v>
      </c>
      <c r="B3331" s="214" t="s">
        <v>11830</v>
      </c>
      <c r="C3331" s="215" t="s">
        <v>580</v>
      </c>
      <c r="D3331" s="216">
        <v>89.09</v>
      </c>
      <c r="E3331" s="198"/>
      <c r="F3331" s="198"/>
      <c r="G3331" s="198"/>
      <c r="H3331" s="198"/>
      <c r="I3331" s="198"/>
      <c r="J3331" s="198"/>
      <c r="K3331" s="198"/>
      <c r="L3331" s="198"/>
      <c r="M3331" s="198"/>
      <c r="N3331" s="198"/>
      <c r="O3331" s="198"/>
      <c r="P3331" s="198"/>
      <c r="Q3331" s="198"/>
      <c r="R3331" s="198"/>
      <c r="S3331" s="198"/>
      <c r="T3331" s="198"/>
      <c r="U3331" s="198"/>
      <c r="V3331" s="198"/>
      <c r="W3331" s="198"/>
      <c r="X3331" s="198"/>
      <c r="Y3331" s="198"/>
      <c r="Z3331" s="198"/>
    </row>
    <row r="3332" spans="1:26" ht="15.75" hidden="1" customHeight="1" x14ac:dyDescent="0.25">
      <c r="A3332" s="213">
        <v>38110</v>
      </c>
      <c r="B3332" s="214" t="s">
        <v>11831</v>
      </c>
      <c r="C3332" s="215" t="s">
        <v>580</v>
      </c>
      <c r="D3332" s="216">
        <v>32.590000000000003</v>
      </c>
      <c r="E3332" s="198"/>
      <c r="F3332" s="198"/>
      <c r="G3332" s="198"/>
      <c r="H3332" s="198"/>
      <c r="I3332" s="198"/>
      <c r="J3332" s="198"/>
      <c r="K3332" s="198"/>
      <c r="L3332" s="198"/>
      <c r="M3332" s="198"/>
      <c r="N3332" s="198"/>
      <c r="O3332" s="198"/>
      <c r="P3332" s="198"/>
      <c r="Q3332" s="198"/>
      <c r="R3332" s="198"/>
      <c r="S3332" s="198"/>
      <c r="T3332" s="198"/>
      <c r="U3332" s="198"/>
      <c r="V3332" s="198"/>
      <c r="W3332" s="198"/>
      <c r="X3332" s="198"/>
      <c r="Y3332" s="198"/>
      <c r="Z3332" s="198"/>
    </row>
    <row r="3333" spans="1:26" ht="15.75" hidden="1" customHeight="1" x14ac:dyDescent="0.25">
      <c r="A3333" s="213">
        <v>38089</v>
      </c>
      <c r="B3333" s="214" t="s">
        <v>11832</v>
      </c>
      <c r="C3333" s="215" t="s">
        <v>580</v>
      </c>
      <c r="D3333" s="216">
        <v>56.79</v>
      </c>
      <c r="E3333" s="198"/>
      <c r="F3333" s="198"/>
      <c r="G3333" s="198"/>
      <c r="H3333" s="198"/>
      <c r="I3333" s="198"/>
      <c r="J3333" s="198"/>
      <c r="K3333" s="198"/>
      <c r="L3333" s="198"/>
      <c r="M3333" s="198"/>
      <c r="N3333" s="198"/>
      <c r="O3333" s="198"/>
      <c r="P3333" s="198"/>
      <c r="Q3333" s="198"/>
      <c r="R3333" s="198"/>
      <c r="S3333" s="198"/>
      <c r="T3333" s="198"/>
      <c r="U3333" s="198"/>
      <c r="V3333" s="198"/>
      <c r="W3333" s="198"/>
      <c r="X3333" s="198"/>
      <c r="Y3333" s="198"/>
      <c r="Z3333" s="198"/>
    </row>
    <row r="3334" spans="1:26" ht="15.75" hidden="1" customHeight="1" x14ac:dyDescent="0.25">
      <c r="A3334" s="213">
        <v>38111</v>
      </c>
      <c r="B3334" s="214" t="s">
        <v>11833</v>
      </c>
      <c r="C3334" s="215" t="s">
        <v>580</v>
      </c>
      <c r="D3334" s="216">
        <v>36.450000000000003</v>
      </c>
      <c r="E3334" s="198"/>
      <c r="F3334" s="198"/>
      <c r="G3334" s="198"/>
      <c r="H3334" s="198"/>
      <c r="I3334" s="198"/>
      <c r="J3334" s="198"/>
      <c r="K3334" s="198"/>
      <c r="L3334" s="198"/>
      <c r="M3334" s="198"/>
      <c r="N3334" s="198"/>
      <c r="O3334" s="198"/>
      <c r="P3334" s="198"/>
      <c r="Q3334" s="198"/>
      <c r="R3334" s="198"/>
      <c r="S3334" s="198"/>
      <c r="T3334" s="198"/>
      <c r="U3334" s="198"/>
      <c r="V3334" s="198"/>
      <c r="W3334" s="198"/>
      <c r="X3334" s="198"/>
      <c r="Y3334" s="198"/>
      <c r="Z3334" s="198"/>
    </row>
    <row r="3335" spans="1:26" ht="15.75" hidden="1" customHeight="1" x14ac:dyDescent="0.25">
      <c r="A3335" s="213">
        <v>38090</v>
      </c>
      <c r="B3335" s="214" t="s">
        <v>11834</v>
      </c>
      <c r="C3335" s="215" t="s">
        <v>580</v>
      </c>
      <c r="D3335" s="216">
        <v>58.7</v>
      </c>
      <c r="E3335" s="198"/>
      <c r="F3335" s="198"/>
      <c r="G3335" s="198"/>
      <c r="H3335" s="198"/>
      <c r="I3335" s="198"/>
      <c r="J3335" s="198"/>
      <c r="K3335" s="198"/>
      <c r="L3335" s="198"/>
      <c r="M3335" s="198"/>
      <c r="N3335" s="198"/>
      <c r="O3335" s="198"/>
      <c r="P3335" s="198"/>
      <c r="Q3335" s="198"/>
      <c r="R3335" s="198"/>
      <c r="S3335" s="198"/>
      <c r="T3335" s="198"/>
      <c r="U3335" s="198"/>
      <c r="V3335" s="198"/>
      <c r="W3335" s="198"/>
      <c r="X3335" s="198"/>
      <c r="Y3335" s="198"/>
      <c r="Z3335" s="198"/>
    </row>
    <row r="3336" spans="1:26" ht="15.75" hidden="1" customHeight="1" x14ac:dyDescent="0.25">
      <c r="A3336" s="213">
        <v>38400</v>
      </c>
      <c r="B3336" s="214" t="s">
        <v>11835</v>
      </c>
      <c r="C3336" s="215" t="s">
        <v>580</v>
      </c>
      <c r="D3336" s="216">
        <v>22.41</v>
      </c>
      <c r="E3336" s="198"/>
      <c r="F3336" s="198"/>
      <c r="G3336" s="198"/>
      <c r="H3336" s="198"/>
      <c r="I3336" s="198"/>
      <c r="J3336" s="198"/>
      <c r="K3336" s="198"/>
      <c r="L3336" s="198"/>
      <c r="M3336" s="198"/>
      <c r="N3336" s="198"/>
      <c r="O3336" s="198"/>
      <c r="P3336" s="198"/>
      <c r="Q3336" s="198"/>
      <c r="R3336" s="198"/>
      <c r="S3336" s="198"/>
      <c r="T3336" s="198"/>
      <c r="U3336" s="198"/>
      <c r="V3336" s="198"/>
      <c r="W3336" s="198"/>
      <c r="X3336" s="198"/>
      <c r="Y3336" s="198"/>
      <c r="Z3336" s="198"/>
    </row>
    <row r="3337" spans="1:26" ht="15.75" hidden="1" customHeight="1" x14ac:dyDescent="0.25">
      <c r="A3337" s="213">
        <v>12627</v>
      </c>
      <c r="B3337" s="214" t="s">
        <v>11836</v>
      </c>
      <c r="C3337" s="215" t="s">
        <v>580</v>
      </c>
      <c r="D3337" s="216">
        <v>1.24</v>
      </c>
      <c r="E3337" s="198"/>
      <c r="F3337" s="198"/>
      <c r="G3337" s="198"/>
      <c r="H3337" s="198"/>
      <c r="I3337" s="198"/>
      <c r="J3337" s="198"/>
      <c r="K3337" s="198"/>
      <c r="L3337" s="198"/>
      <c r="M3337" s="198"/>
      <c r="N3337" s="198"/>
      <c r="O3337" s="198"/>
      <c r="P3337" s="198"/>
      <c r="Q3337" s="198"/>
      <c r="R3337" s="198"/>
      <c r="S3337" s="198"/>
      <c r="T3337" s="198"/>
      <c r="U3337" s="198"/>
      <c r="V3337" s="198"/>
      <c r="W3337" s="198"/>
      <c r="X3337" s="198"/>
      <c r="Y3337" s="198"/>
      <c r="Z3337" s="198"/>
    </row>
    <row r="3338" spans="1:26" ht="15.75" customHeight="1" x14ac:dyDescent="0.25">
      <c r="A3338" s="213">
        <v>39996</v>
      </c>
      <c r="B3338" s="214" t="s">
        <v>11837</v>
      </c>
      <c r="C3338" s="215" t="s">
        <v>585</v>
      </c>
      <c r="D3338" s="216">
        <v>3.34</v>
      </c>
      <c r="E3338" s="198"/>
      <c r="F3338" s="198"/>
      <c r="G3338" s="198"/>
      <c r="H3338" s="198"/>
      <c r="I3338" s="198"/>
      <c r="J3338" s="198"/>
      <c r="K3338" s="198"/>
      <c r="L3338" s="198"/>
      <c r="M3338" s="198"/>
      <c r="N3338" s="198"/>
      <c r="O3338" s="198"/>
      <c r="P3338" s="198"/>
      <c r="Q3338" s="198"/>
      <c r="R3338" s="198"/>
      <c r="S3338" s="198"/>
      <c r="T3338" s="198"/>
      <c r="U3338" s="198"/>
      <c r="V3338" s="198"/>
      <c r="W3338" s="198"/>
      <c r="X3338" s="198"/>
      <c r="Y3338" s="198"/>
      <c r="Z3338" s="198"/>
    </row>
    <row r="3339" spans="1:26" ht="15.75" hidden="1" customHeight="1" x14ac:dyDescent="0.25">
      <c r="A3339" s="213">
        <v>10478</v>
      </c>
      <c r="B3339" s="214" t="s">
        <v>11838</v>
      </c>
      <c r="C3339" s="215" t="s">
        <v>517</v>
      </c>
      <c r="D3339" s="216">
        <v>37.5</v>
      </c>
      <c r="E3339" s="198"/>
      <c r="F3339" s="198"/>
      <c r="G3339" s="198"/>
      <c r="H3339" s="198"/>
      <c r="I3339" s="198"/>
      <c r="J3339" s="198"/>
      <c r="K3339" s="198"/>
      <c r="L3339" s="198"/>
      <c r="M3339" s="198"/>
      <c r="N3339" s="198"/>
      <c r="O3339" s="198"/>
      <c r="P3339" s="198"/>
      <c r="Q3339" s="198"/>
      <c r="R3339" s="198"/>
      <c r="S3339" s="198"/>
      <c r="T3339" s="198"/>
      <c r="U3339" s="198"/>
      <c r="V3339" s="198"/>
      <c r="W3339" s="198"/>
      <c r="X3339" s="198"/>
      <c r="Y3339" s="198"/>
      <c r="Z3339" s="198"/>
    </row>
    <row r="3340" spans="1:26" ht="15.75" hidden="1" customHeight="1" x14ac:dyDescent="0.25">
      <c r="A3340" s="213">
        <v>10481</v>
      </c>
      <c r="B3340" s="214" t="s">
        <v>11839</v>
      </c>
      <c r="C3340" s="215" t="s">
        <v>517</v>
      </c>
      <c r="D3340" s="216">
        <v>33.35</v>
      </c>
      <c r="E3340" s="198"/>
      <c r="F3340" s="198"/>
      <c r="G3340" s="198"/>
      <c r="H3340" s="198"/>
      <c r="I3340" s="198"/>
      <c r="J3340" s="198"/>
      <c r="K3340" s="198"/>
      <c r="L3340" s="198"/>
      <c r="M3340" s="198"/>
      <c r="N3340" s="198"/>
      <c r="O3340" s="198"/>
      <c r="P3340" s="198"/>
      <c r="Q3340" s="198"/>
      <c r="R3340" s="198"/>
      <c r="S3340" s="198"/>
      <c r="T3340" s="198"/>
      <c r="U3340" s="198"/>
      <c r="V3340" s="198"/>
      <c r="W3340" s="198"/>
      <c r="X3340" s="198"/>
      <c r="Y3340" s="198"/>
      <c r="Z3340" s="198"/>
    </row>
    <row r="3341" spans="1:26" ht="15.75" hidden="1" customHeight="1" x14ac:dyDescent="0.25">
      <c r="A3341" s="213">
        <v>10475</v>
      </c>
      <c r="B3341" s="214" t="s">
        <v>11840</v>
      </c>
      <c r="C3341" s="215" t="s">
        <v>517</v>
      </c>
      <c r="D3341" s="216">
        <v>32.270000000000003</v>
      </c>
      <c r="E3341" s="198"/>
      <c r="F3341" s="198"/>
      <c r="G3341" s="198"/>
      <c r="H3341" s="198"/>
      <c r="I3341" s="198"/>
      <c r="J3341" s="198"/>
      <c r="K3341" s="198"/>
      <c r="L3341" s="198"/>
      <c r="M3341" s="198"/>
      <c r="N3341" s="198"/>
      <c r="O3341" s="198"/>
      <c r="P3341" s="198"/>
      <c r="Q3341" s="198"/>
      <c r="R3341" s="198"/>
      <c r="S3341" s="198"/>
      <c r="T3341" s="198"/>
      <c r="U3341" s="198"/>
      <c r="V3341" s="198"/>
      <c r="W3341" s="198"/>
      <c r="X3341" s="198"/>
      <c r="Y3341" s="198"/>
      <c r="Z3341" s="198"/>
    </row>
    <row r="3342" spans="1:26" ht="15.75" hidden="1" customHeight="1" x14ac:dyDescent="0.25">
      <c r="A3342" s="213">
        <v>4030</v>
      </c>
      <c r="B3342" s="214" t="s">
        <v>11841</v>
      </c>
      <c r="C3342" s="215" t="s">
        <v>578</v>
      </c>
      <c r="D3342" s="216">
        <v>7.82</v>
      </c>
      <c r="E3342" s="198"/>
      <c r="F3342" s="198"/>
      <c r="G3342" s="198"/>
      <c r="H3342" s="198"/>
      <c r="I3342" s="198"/>
      <c r="J3342" s="198"/>
      <c r="K3342" s="198"/>
      <c r="L3342" s="198"/>
      <c r="M3342" s="198"/>
      <c r="N3342" s="198"/>
      <c r="O3342" s="198"/>
      <c r="P3342" s="198"/>
      <c r="Q3342" s="198"/>
      <c r="R3342" s="198"/>
      <c r="S3342" s="198"/>
      <c r="T3342" s="198"/>
      <c r="U3342" s="198"/>
      <c r="V3342" s="198"/>
      <c r="W3342" s="198"/>
      <c r="X3342" s="198"/>
      <c r="Y3342" s="198"/>
      <c r="Z3342" s="198"/>
    </row>
    <row r="3343" spans="1:26" ht="15.75" hidden="1" customHeight="1" x14ac:dyDescent="0.25">
      <c r="A3343" s="213">
        <v>4031</v>
      </c>
      <c r="B3343" s="214" t="s">
        <v>11842</v>
      </c>
      <c r="C3343" s="215" t="s">
        <v>578</v>
      </c>
      <c r="D3343" s="216">
        <v>36.76</v>
      </c>
      <c r="E3343" s="198"/>
      <c r="F3343" s="198"/>
      <c r="G3343" s="198"/>
      <c r="H3343" s="198"/>
      <c r="I3343" s="198"/>
      <c r="J3343" s="198"/>
      <c r="K3343" s="198"/>
      <c r="L3343" s="198"/>
      <c r="M3343" s="198"/>
      <c r="N3343" s="198"/>
      <c r="O3343" s="198"/>
      <c r="P3343" s="198"/>
      <c r="Q3343" s="198"/>
      <c r="R3343" s="198"/>
      <c r="S3343" s="198"/>
      <c r="T3343" s="198"/>
      <c r="U3343" s="198"/>
      <c r="V3343" s="198"/>
      <c r="W3343" s="198"/>
      <c r="X3343" s="198"/>
      <c r="Y3343" s="198"/>
      <c r="Z3343" s="198"/>
    </row>
    <row r="3344" spans="1:26" ht="15.75" hidden="1" customHeight="1" x14ac:dyDescent="0.25">
      <c r="A3344" s="213">
        <v>10489</v>
      </c>
      <c r="B3344" s="214" t="s">
        <v>11843</v>
      </c>
      <c r="C3344" s="215" t="s">
        <v>2193</v>
      </c>
      <c r="D3344" s="216">
        <v>27.47</v>
      </c>
      <c r="E3344" s="198"/>
      <c r="F3344" s="198"/>
      <c r="G3344" s="198"/>
      <c r="H3344" s="198"/>
      <c r="I3344" s="198"/>
      <c r="J3344" s="198"/>
      <c r="K3344" s="198"/>
      <c r="L3344" s="198"/>
      <c r="M3344" s="198"/>
      <c r="N3344" s="198"/>
      <c r="O3344" s="198"/>
      <c r="P3344" s="198"/>
      <c r="Q3344" s="198"/>
      <c r="R3344" s="198"/>
      <c r="S3344" s="198"/>
      <c r="T3344" s="198"/>
      <c r="U3344" s="198"/>
      <c r="V3344" s="198"/>
      <c r="W3344" s="198"/>
      <c r="X3344" s="198"/>
      <c r="Y3344" s="198"/>
      <c r="Z3344" s="198"/>
    </row>
    <row r="3345" spans="1:26" ht="15.75" hidden="1" customHeight="1" x14ac:dyDescent="0.25">
      <c r="A3345" s="213">
        <v>41073</v>
      </c>
      <c r="B3345" s="214" t="s">
        <v>11844</v>
      </c>
      <c r="C3345" s="215" t="s">
        <v>6214</v>
      </c>
      <c r="D3345" s="216">
        <v>4819.71</v>
      </c>
      <c r="E3345" s="198"/>
      <c r="F3345" s="198"/>
      <c r="G3345" s="198"/>
      <c r="H3345" s="198"/>
      <c r="I3345" s="198"/>
      <c r="J3345" s="198"/>
      <c r="K3345" s="198"/>
      <c r="L3345" s="198"/>
      <c r="M3345" s="198"/>
      <c r="N3345" s="198"/>
      <c r="O3345" s="198"/>
      <c r="P3345" s="198"/>
      <c r="Q3345" s="198"/>
      <c r="R3345" s="198"/>
      <c r="S3345" s="198"/>
      <c r="T3345" s="198"/>
      <c r="U3345" s="198"/>
      <c r="V3345" s="198"/>
      <c r="W3345" s="198"/>
      <c r="X3345" s="198"/>
      <c r="Y3345" s="198"/>
      <c r="Z3345" s="198"/>
    </row>
    <row r="3346" spans="1:26" ht="15.75" hidden="1" customHeight="1" x14ac:dyDescent="0.25">
      <c r="A3346" s="213">
        <v>34391</v>
      </c>
      <c r="B3346" s="214" t="s">
        <v>11845</v>
      </c>
      <c r="C3346" s="215" t="s">
        <v>578</v>
      </c>
      <c r="D3346" s="216">
        <v>694.18</v>
      </c>
      <c r="E3346" s="198"/>
      <c r="F3346" s="198"/>
      <c r="G3346" s="198"/>
      <c r="H3346" s="198"/>
      <c r="I3346" s="198"/>
      <c r="J3346" s="198"/>
      <c r="K3346" s="198"/>
      <c r="L3346" s="198"/>
      <c r="M3346" s="198"/>
      <c r="N3346" s="198"/>
      <c r="O3346" s="198"/>
      <c r="P3346" s="198"/>
      <c r="Q3346" s="198"/>
      <c r="R3346" s="198"/>
      <c r="S3346" s="198"/>
      <c r="T3346" s="198"/>
      <c r="U3346" s="198"/>
      <c r="V3346" s="198"/>
      <c r="W3346" s="198"/>
      <c r="X3346" s="198"/>
      <c r="Y3346" s="198"/>
      <c r="Z3346" s="198"/>
    </row>
    <row r="3347" spans="1:26" ht="15.75" hidden="1" customHeight="1" x14ac:dyDescent="0.25">
      <c r="A3347" s="213">
        <v>10496</v>
      </c>
      <c r="B3347" s="214" t="s">
        <v>11846</v>
      </c>
      <c r="C3347" s="215" t="s">
        <v>578</v>
      </c>
      <c r="D3347" s="216">
        <v>604.16</v>
      </c>
      <c r="E3347" s="198"/>
      <c r="F3347" s="198"/>
      <c r="G3347" s="198"/>
      <c r="H3347" s="198"/>
      <c r="I3347" s="198"/>
      <c r="J3347" s="198"/>
      <c r="K3347" s="198"/>
      <c r="L3347" s="198"/>
      <c r="M3347" s="198"/>
      <c r="N3347" s="198"/>
      <c r="O3347" s="198"/>
      <c r="P3347" s="198"/>
      <c r="Q3347" s="198"/>
      <c r="R3347" s="198"/>
      <c r="S3347" s="198"/>
      <c r="T3347" s="198"/>
      <c r="U3347" s="198"/>
      <c r="V3347" s="198"/>
      <c r="W3347" s="198"/>
      <c r="X3347" s="198"/>
      <c r="Y3347" s="198"/>
      <c r="Z3347" s="198"/>
    </row>
    <row r="3348" spans="1:26" ht="15.75" hidden="1" customHeight="1" x14ac:dyDescent="0.25">
      <c r="A3348" s="213">
        <v>10497</v>
      </c>
      <c r="B3348" s="214" t="s">
        <v>11847</v>
      </c>
      <c r="C3348" s="215" t="s">
        <v>578</v>
      </c>
      <c r="D3348" s="216">
        <v>1570.83</v>
      </c>
      <c r="E3348" s="198"/>
      <c r="F3348" s="198"/>
      <c r="G3348" s="198"/>
      <c r="H3348" s="198"/>
      <c r="I3348" s="198"/>
      <c r="J3348" s="198"/>
      <c r="K3348" s="198"/>
      <c r="L3348" s="198"/>
      <c r="M3348" s="198"/>
      <c r="N3348" s="198"/>
      <c r="O3348" s="198"/>
      <c r="P3348" s="198"/>
      <c r="Q3348" s="198"/>
      <c r="R3348" s="198"/>
      <c r="S3348" s="198"/>
      <c r="T3348" s="198"/>
      <c r="U3348" s="198"/>
      <c r="V3348" s="198"/>
      <c r="W3348" s="198"/>
      <c r="X3348" s="198"/>
      <c r="Y3348" s="198"/>
      <c r="Z3348" s="198"/>
    </row>
    <row r="3349" spans="1:26" ht="15.75" hidden="1" customHeight="1" x14ac:dyDescent="0.25">
      <c r="A3349" s="213">
        <v>10504</v>
      </c>
      <c r="B3349" s="214" t="s">
        <v>11848</v>
      </c>
      <c r="C3349" s="215" t="s">
        <v>578</v>
      </c>
      <c r="D3349" s="216">
        <v>1836.66</v>
      </c>
      <c r="E3349" s="198"/>
      <c r="F3349" s="198"/>
      <c r="G3349" s="198"/>
      <c r="H3349" s="198"/>
      <c r="I3349" s="198"/>
      <c r="J3349" s="198"/>
      <c r="K3349" s="198"/>
      <c r="L3349" s="198"/>
      <c r="M3349" s="198"/>
      <c r="N3349" s="198"/>
      <c r="O3349" s="198"/>
      <c r="P3349" s="198"/>
      <c r="Q3349" s="198"/>
      <c r="R3349" s="198"/>
      <c r="S3349" s="198"/>
      <c r="T3349" s="198"/>
      <c r="U3349" s="198"/>
      <c r="V3349" s="198"/>
      <c r="W3349" s="198"/>
      <c r="X3349" s="198"/>
      <c r="Y3349" s="198"/>
      <c r="Z3349" s="198"/>
    </row>
    <row r="3350" spans="1:26" ht="15.75" hidden="1" customHeight="1" x14ac:dyDescent="0.25">
      <c r="A3350" s="213">
        <v>34390</v>
      </c>
      <c r="B3350" s="214" t="s">
        <v>11849</v>
      </c>
      <c r="C3350" s="215" t="s">
        <v>578</v>
      </c>
      <c r="D3350" s="216">
        <v>541.33000000000004</v>
      </c>
      <c r="E3350" s="198"/>
      <c r="F3350" s="198"/>
      <c r="G3350" s="198"/>
      <c r="H3350" s="198"/>
      <c r="I3350" s="198"/>
      <c r="J3350" s="198"/>
      <c r="K3350" s="198"/>
      <c r="L3350" s="198"/>
      <c r="M3350" s="198"/>
      <c r="N3350" s="198"/>
      <c r="O3350" s="198"/>
      <c r="P3350" s="198"/>
      <c r="Q3350" s="198"/>
      <c r="R3350" s="198"/>
      <c r="S3350" s="198"/>
      <c r="T3350" s="198"/>
      <c r="U3350" s="198"/>
      <c r="V3350" s="198"/>
      <c r="W3350" s="198"/>
      <c r="X3350" s="198"/>
      <c r="Y3350" s="198"/>
      <c r="Z3350" s="198"/>
    </row>
    <row r="3351" spans="1:26" ht="15.75" hidden="1" customHeight="1" x14ac:dyDescent="0.25">
      <c r="A3351" s="213">
        <v>34389</v>
      </c>
      <c r="B3351" s="214" t="s">
        <v>11850</v>
      </c>
      <c r="C3351" s="215" t="s">
        <v>578</v>
      </c>
      <c r="D3351" s="216">
        <v>169.16</v>
      </c>
      <c r="E3351" s="198"/>
      <c r="F3351" s="198"/>
      <c r="G3351" s="198"/>
      <c r="H3351" s="198"/>
      <c r="I3351" s="198"/>
      <c r="J3351" s="198"/>
      <c r="K3351" s="198"/>
      <c r="L3351" s="198"/>
      <c r="M3351" s="198"/>
      <c r="N3351" s="198"/>
      <c r="O3351" s="198"/>
      <c r="P3351" s="198"/>
      <c r="Q3351" s="198"/>
      <c r="R3351" s="198"/>
      <c r="S3351" s="198"/>
      <c r="T3351" s="198"/>
      <c r="U3351" s="198"/>
      <c r="V3351" s="198"/>
      <c r="W3351" s="198"/>
      <c r="X3351" s="198"/>
      <c r="Y3351" s="198"/>
      <c r="Z3351" s="198"/>
    </row>
    <row r="3352" spans="1:26" ht="15.75" hidden="1" customHeight="1" x14ac:dyDescent="0.25">
      <c r="A3352" s="213">
        <v>34388</v>
      </c>
      <c r="B3352" s="214" t="s">
        <v>11851</v>
      </c>
      <c r="C3352" s="215" t="s">
        <v>578</v>
      </c>
      <c r="D3352" s="216">
        <v>240.43</v>
      </c>
      <c r="E3352" s="198"/>
      <c r="F3352" s="198"/>
      <c r="G3352" s="198"/>
      <c r="H3352" s="198"/>
      <c r="I3352" s="198"/>
      <c r="J3352" s="198"/>
      <c r="K3352" s="198"/>
      <c r="L3352" s="198"/>
      <c r="M3352" s="198"/>
      <c r="N3352" s="198"/>
      <c r="O3352" s="198"/>
      <c r="P3352" s="198"/>
      <c r="Q3352" s="198"/>
      <c r="R3352" s="198"/>
      <c r="S3352" s="198"/>
      <c r="T3352" s="198"/>
      <c r="U3352" s="198"/>
      <c r="V3352" s="198"/>
      <c r="W3352" s="198"/>
      <c r="X3352" s="198"/>
      <c r="Y3352" s="198"/>
      <c r="Z3352" s="198"/>
    </row>
    <row r="3353" spans="1:26" ht="15.75" hidden="1" customHeight="1" x14ac:dyDescent="0.25">
      <c r="A3353" s="213">
        <v>34387</v>
      </c>
      <c r="B3353" s="214" t="s">
        <v>11852</v>
      </c>
      <c r="C3353" s="215" t="s">
        <v>578</v>
      </c>
      <c r="D3353" s="216">
        <v>390.29</v>
      </c>
      <c r="E3353" s="198"/>
      <c r="F3353" s="198"/>
      <c r="G3353" s="198"/>
      <c r="H3353" s="198"/>
      <c r="I3353" s="198"/>
      <c r="J3353" s="198"/>
      <c r="K3353" s="198"/>
      <c r="L3353" s="198"/>
      <c r="M3353" s="198"/>
      <c r="N3353" s="198"/>
      <c r="O3353" s="198"/>
      <c r="P3353" s="198"/>
      <c r="Q3353" s="198"/>
      <c r="R3353" s="198"/>
      <c r="S3353" s="198"/>
      <c r="T3353" s="198"/>
      <c r="U3353" s="198"/>
      <c r="V3353" s="198"/>
      <c r="W3353" s="198"/>
      <c r="X3353" s="198"/>
      <c r="Y3353" s="198"/>
      <c r="Z3353" s="198"/>
    </row>
    <row r="3354" spans="1:26" ht="15.75" hidden="1" customHeight="1" x14ac:dyDescent="0.25">
      <c r="A3354" s="213">
        <v>11188</v>
      </c>
      <c r="B3354" s="214" t="s">
        <v>11853</v>
      </c>
      <c r="C3354" s="215" t="s">
        <v>578</v>
      </c>
      <c r="D3354" s="216">
        <v>193.33</v>
      </c>
      <c r="E3354" s="198"/>
      <c r="F3354" s="198"/>
      <c r="G3354" s="198"/>
      <c r="H3354" s="198"/>
      <c r="I3354" s="198"/>
      <c r="J3354" s="198"/>
      <c r="K3354" s="198"/>
      <c r="L3354" s="198"/>
      <c r="M3354" s="198"/>
      <c r="N3354" s="198"/>
      <c r="O3354" s="198"/>
      <c r="P3354" s="198"/>
      <c r="Q3354" s="198"/>
      <c r="R3354" s="198"/>
      <c r="S3354" s="198"/>
      <c r="T3354" s="198"/>
      <c r="U3354" s="198"/>
      <c r="V3354" s="198"/>
      <c r="W3354" s="198"/>
      <c r="X3354" s="198"/>
      <c r="Y3354" s="198"/>
      <c r="Z3354" s="198"/>
    </row>
    <row r="3355" spans="1:26" ht="15.75" hidden="1" customHeight="1" x14ac:dyDescent="0.25">
      <c r="A3355" s="213">
        <v>11189</v>
      </c>
      <c r="B3355" s="214" t="s">
        <v>11854</v>
      </c>
      <c r="C3355" s="215" t="s">
        <v>578</v>
      </c>
      <c r="D3355" s="216">
        <v>290</v>
      </c>
      <c r="E3355" s="198"/>
      <c r="F3355" s="198"/>
      <c r="G3355" s="198"/>
      <c r="H3355" s="198"/>
      <c r="I3355" s="198"/>
      <c r="J3355" s="198"/>
      <c r="K3355" s="198"/>
      <c r="L3355" s="198"/>
      <c r="M3355" s="198"/>
      <c r="N3355" s="198"/>
      <c r="O3355" s="198"/>
      <c r="P3355" s="198"/>
      <c r="Q3355" s="198"/>
      <c r="R3355" s="198"/>
      <c r="S3355" s="198"/>
      <c r="T3355" s="198"/>
      <c r="U3355" s="198"/>
      <c r="V3355" s="198"/>
      <c r="W3355" s="198"/>
      <c r="X3355" s="198"/>
      <c r="Y3355" s="198"/>
      <c r="Z3355" s="198"/>
    </row>
    <row r="3356" spans="1:26" ht="15.75" hidden="1" customHeight="1" x14ac:dyDescent="0.25">
      <c r="A3356" s="213">
        <v>21107</v>
      </c>
      <c r="B3356" s="214" t="s">
        <v>11855</v>
      </c>
      <c r="C3356" s="215" t="s">
        <v>578</v>
      </c>
      <c r="D3356" s="216">
        <v>208.7</v>
      </c>
      <c r="E3356" s="198"/>
      <c r="F3356" s="198"/>
      <c r="G3356" s="198"/>
      <c r="H3356" s="198"/>
      <c r="I3356" s="198"/>
      <c r="J3356" s="198"/>
      <c r="K3356" s="198"/>
      <c r="L3356" s="198"/>
      <c r="M3356" s="198"/>
      <c r="N3356" s="198"/>
      <c r="O3356" s="198"/>
      <c r="P3356" s="198"/>
      <c r="Q3356" s="198"/>
      <c r="R3356" s="198"/>
      <c r="S3356" s="198"/>
      <c r="T3356" s="198"/>
      <c r="U3356" s="198"/>
      <c r="V3356" s="198"/>
      <c r="W3356" s="198"/>
      <c r="X3356" s="198"/>
      <c r="Y3356" s="198"/>
      <c r="Z3356" s="198"/>
    </row>
    <row r="3357" spans="1:26" ht="15.75" hidden="1" customHeight="1" x14ac:dyDescent="0.25">
      <c r="A3357" s="213">
        <v>34386</v>
      </c>
      <c r="B3357" s="214" t="s">
        <v>11856</v>
      </c>
      <c r="C3357" s="215" t="s">
        <v>578</v>
      </c>
      <c r="D3357" s="216">
        <v>362.5</v>
      </c>
      <c r="E3357" s="198"/>
      <c r="F3357" s="198"/>
      <c r="G3357" s="198"/>
      <c r="H3357" s="198"/>
      <c r="I3357" s="198"/>
      <c r="J3357" s="198"/>
      <c r="K3357" s="198"/>
      <c r="L3357" s="198"/>
      <c r="M3357" s="198"/>
      <c r="N3357" s="198"/>
      <c r="O3357" s="198"/>
      <c r="P3357" s="198"/>
      <c r="Q3357" s="198"/>
      <c r="R3357" s="198"/>
      <c r="S3357" s="198"/>
      <c r="T3357" s="198"/>
      <c r="U3357" s="198"/>
      <c r="V3357" s="198"/>
      <c r="W3357" s="198"/>
      <c r="X3357" s="198"/>
      <c r="Y3357" s="198"/>
      <c r="Z3357" s="198"/>
    </row>
    <row r="3358" spans="1:26" ht="15.75" hidden="1" customHeight="1" x14ac:dyDescent="0.25">
      <c r="A3358" s="213">
        <v>10490</v>
      </c>
      <c r="B3358" s="214" t="s">
        <v>11857</v>
      </c>
      <c r="C3358" s="215" t="s">
        <v>578</v>
      </c>
      <c r="D3358" s="216">
        <v>126.87</v>
      </c>
      <c r="E3358" s="198"/>
      <c r="F3358" s="198"/>
      <c r="G3358" s="198"/>
      <c r="H3358" s="198"/>
      <c r="I3358" s="198"/>
      <c r="J3358" s="198"/>
      <c r="K3358" s="198"/>
      <c r="L3358" s="198"/>
      <c r="M3358" s="198"/>
      <c r="N3358" s="198"/>
      <c r="O3358" s="198"/>
      <c r="P3358" s="198"/>
      <c r="Q3358" s="198"/>
      <c r="R3358" s="198"/>
      <c r="S3358" s="198"/>
      <c r="T3358" s="198"/>
      <c r="U3358" s="198"/>
      <c r="V3358" s="198"/>
      <c r="W3358" s="198"/>
      <c r="X3358" s="198"/>
      <c r="Y3358" s="198"/>
      <c r="Z3358" s="198"/>
    </row>
    <row r="3359" spans="1:26" ht="15.75" hidden="1" customHeight="1" x14ac:dyDescent="0.25">
      <c r="A3359" s="213">
        <v>10492</v>
      </c>
      <c r="B3359" s="214" t="s">
        <v>11858</v>
      </c>
      <c r="C3359" s="215" t="s">
        <v>578</v>
      </c>
      <c r="D3359" s="216">
        <v>145</v>
      </c>
      <c r="E3359" s="198"/>
      <c r="F3359" s="198"/>
      <c r="G3359" s="198"/>
      <c r="H3359" s="198"/>
      <c r="I3359" s="198"/>
      <c r="J3359" s="198"/>
      <c r="K3359" s="198"/>
      <c r="L3359" s="198"/>
      <c r="M3359" s="198"/>
      <c r="N3359" s="198"/>
      <c r="O3359" s="198"/>
      <c r="P3359" s="198"/>
      <c r="Q3359" s="198"/>
      <c r="R3359" s="198"/>
      <c r="S3359" s="198"/>
      <c r="T3359" s="198"/>
      <c r="U3359" s="198"/>
      <c r="V3359" s="198"/>
      <c r="W3359" s="198"/>
      <c r="X3359" s="198"/>
      <c r="Y3359" s="198"/>
      <c r="Z3359" s="198"/>
    </row>
    <row r="3360" spans="1:26" ht="15.75" hidden="1" customHeight="1" x14ac:dyDescent="0.25">
      <c r="A3360" s="213">
        <v>10493</v>
      </c>
      <c r="B3360" s="214" t="s">
        <v>11859</v>
      </c>
      <c r="C3360" s="215" t="s">
        <v>578</v>
      </c>
      <c r="D3360" s="216">
        <v>169.16</v>
      </c>
      <c r="E3360" s="198"/>
      <c r="F3360" s="198"/>
      <c r="G3360" s="198"/>
      <c r="H3360" s="198"/>
      <c r="I3360" s="198"/>
      <c r="J3360" s="198"/>
      <c r="K3360" s="198"/>
      <c r="L3360" s="198"/>
      <c r="M3360" s="198"/>
      <c r="N3360" s="198"/>
      <c r="O3360" s="198"/>
      <c r="P3360" s="198"/>
      <c r="Q3360" s="198"/>
      <c r="R3360" s="198"/>
      <c r="S3360" s="198"/>
      <c r="T3360" s="198"/>
      <c r="U3360" s="198"/>
      <c r="V3360" s="198"/>
      <c r="W3360" s="198"/>
      <c r="X3360" s="198"/>
      <c r="Y3360" s="198"/>
      <c r="Z3360" s="198"/>
    </row>
    <row r="3361" spans="1:26" ht="15.75" hidden="1" customHeight="1" x14ac:dyDescent="0.25">
      <c r="A3361" s="213">
        <v>10491</v>
      </c>
      <c r="B3361" s="214" t="s">
        <v>11860</v>
      </c>
      <c r="C3361" s="215" t="s">
        <v>578</v>
      </c>
      <c r="D3361" s="216">
        <v>205.41</v>
      </c>
      <c r="E3361" s="198"/>
      <c r="F3361" s="198"/>
      <c r="G3361" s="198"/>
      <c r="H3361" s="198"/>
      <c r="I3361" s="198"/>
      <c r="J3361" s="198"/>
      <c r="K3361" s="198"/>
      <c r="L3361" s="198"/>
      <c r="M3361" s="198"/>
      <c r="N3361" s="198"/>
      <c r="O3361" s="198"/>
      <c r="P3361" s="198"/>
      <c r="Q3361" s="198"/>
      <c r="R3361" s="198"/>
      <c r="S3361" s="198"/>
      <c r="T3361" s="198"/>
      <c r="U3361" s="198"/>
      <c r="V3361" s="198"/>
      <c r="W3361" s="198"/>
      <c r="X3361" s="198"/>
      <c r="Y3361" s="198"/>
      <c r="Z3361" s="198"/>
    </row>
    <row r="3362" spans="1:26" ht="15.75" hidden="1" customHeight="1" x14ac:dyDescent="0.25">
      <c r="A3362" s="213">
        <v>34385</v>
      </c>
      <c r="B3362" s="214" t="s">
        <v>11861</v>
      </c>
      <c r="C3362" s="215" t="s">
        <v>578</v>
      </c>
      <c r="D3362" s="216">
        <v>299.66000000000003</v>
      </c>
      <c r="E3362" s="198"/>
      <c r="F3362" s="198"/>
      <c r="G3362" s="198"/>
      <c r="H3362" s="198"/>
      <c r="I3362" s="198"/>
      <c r="J3362" s="198"/>
      <c r="K3362" s="198"/>
      <c r="L3362" s="198"/>
      <c r="M3362" s="198"/>
      <c r="N3362" s="198"/>
      <c r="O3362" s="198"/>
      <c r="P3362" s="198"/>
      <c r="Q3362" s="198"/>
      <c r="R3362" s="198"/>
      <c r="S3362" s="198"/>
      <c r="T3362" s="198"/>
      <c r="U3362" s="198"/>
      <c r="V3362" s="198"/>
      <c r="W3362" s="198"/>
      <c r="X3362" s="198"/>
      <c r="Y3362" s="198"/>
      <c r="Z3362" s="198"/>
    </row>
    <row r="3363" spans="1:26" ht="15.75" hidden="1" customHeight="1" x14ac:dyDescent="0.25">
      <c r="A3363" s="213">
        <v>10499</v>
      </c>
      <c r="B3363" s="214" t="s">
        <v>11862</v>
      </c>
      <c r="C3363" s="215" t="s">
        <v>578</v>
      </c>
      <c r="D3363" s="216">
        <v>120.83</v>
      </c>
      <c r="E3363" s="198"/>
      <c r="F3363" s="198"/>
      <c r="G3363" s="198"/>
      <c r="H3363" s="198"/>
      <c r="I3363" s="198"/>
      <c r="J3363" s="198"/>
      <c r="K3363" s="198"/>
      <c r="L3363" s="198"/>
      <c r="M3363" s="198"/>
      <c r="N3363" s="198"/>
      <c r="O3363" s="198"/>
      <c r="P3363" s="198"/>
      <c r="Q3363" s="198"/>
      <c r="R3363" s="198"/>
      <c r="S3363" s="198"/>
      <c r="T3363" s="198"/>
      <c r="U3363" s="198"/>
      <c r="V3363" s="198"/>
      <c r="W3363" s="198"/>
      <c r="X3363" s="198"/>
      <c r="Y3363" s="198"/>
      <c r="Z3363" s="198"/>
    </row>
    <row r="3364" spans="1:26" ht="15.75" hidden="1" customHeight="1" x14ac:dyDescent="0.25">
      <c r="A3364" s="213">
        <v>34384</v>
      </c>
      <c r="B3364" s="214" t="s">
        <v>11863</v>
      </c>
      <c r="C3364" s="215" t="s">
        <v>578</v>
      </c>
      <c r="D3364" s="216">
        <v>362.5</v>
      </c>
      <c r="E3364" s="198"/>
      <c r="F3364" s="198"/>
      <c r="G3364" s="198"/>
      <c r="H3364" s="198"/>
      <c r="I3364" s="198"/>
      <c r="J3364" s="198"/>
      <c r="K3364" s="198"/>
      <c r="L3364" s="198"/>
      <c r="M3364" s="198"/>
      <c r="N3364" s="198"/>
      <c r="O3364" s="198"/>
      <c r="P3364" s="198"/>
      <c r="Q3364" s="198"/>
      <c r="R3364" s="198"/>
      <c r="S3364" s="198"/>
      <c r="T3364" s="198"/>
      <c r="U3364" s="198"/>
      <c r="V3364" s="198"/>
      <c r="W3364" s="198"/>
      <c r="X3364" s="198"/>
      <c r="Y3364" s="198"/>
      <c r="Z3364" s="198"/>
    </row>
    <row r="3365" spans="1:26" ht="15.75" hidden="1" customHeight="1" x14ac:dyDescent="0.25">
      <c r="A3365" s="213">
        <v>11185</v>
      </c>
      <c r="B3365" s="214" t="s">
        <v>11864</v>
      </c>
      <c r="C3365" s="215" t="s">
        <v>578</v>
      </c>
      <c r="D3365" s="216">
        <v>374.58</v>
      </c>
      <c r="E3365" s="198"/>
      <c r="F3365" s="198"/>
      <c r="G3365" s="198"/>
      <c r="H3365" s="198"/>
      <c r="I3365" s="198"/>
      <c r="J3365" s="198"/>
      <c r="K3365" s="198"/>
      <c r="L3365" s="198"/>
      <c r="M3365" s="198"/>
      <c r="N3365" s="198"/>
      <c r="O3365" s="198"/>
      <c r="P3365" s="198"/>
      <c r="Q3365" s="198"/>
      <c r="R3365" s="198"/>
      <c r="S3365" s="198"/>
      <c r="T3365" s="198"/>
      <c r="U3365" s="198"/>
      <c r="V3365" s="198"/>
      <c r="W3365" s="198"/>
      <c r="X3365" s="198"/>
      <c r="Y3365" s="198"/>
      <c r="Z3365" s="198"/>
    </row>
    <row r="3366" spans="1:26" ht="15.75" hidden="1" customHeight="1" x14ac:dyDescent="0.25">
      <c r="A3366" s="213">
        <v>10507</v>
      </c>
      <c r="B3366" s="214" t="s">
        <v>11865</v>
      </c>
      <c r="C3366" s="215" t="s">
        <v>578</v>
      </c>
      <c r="D3366" s="216">
        <v>472.74</v>
      </c>
      <c r="E3366" s="198"/>
      <c r="F3366" s="198"/>
      <c r="G3366" s="198"/>
      <c r="H3366" s="198"/>
      <c r="I3366" s="198"/>
      <c r="J3366" s="198"/>
      <c r="K3366" s="198"/>
      <c r="L3366" s="198"/>
      <c r="M3366" s="198"/>
      <c r="N3366" s="198"/>
      <c r="O3366" s="198"/>
      <c r="P3366" s="198"/>
      <c r="Q3366" s="198"/>
      <c r="R3366" s="198"/>
      <c r="S3366" s="198"/>
      <c r="T3366" s="198"/>
      <c r="U3366" s="198"/>
      <c r="V3366" s="198"/>
      <c r="W3366" s="198"/>
      <c r="X3366" s="198"/>
      <c r="Y3366" s="198"/>
      <c r="Z3366" s="198"/>
    </row>
    <row r="3367" spans="1:26" ht="15.75" hidden="1" customHeight="1" x14ac:dyDescent="0.25">
      <c r="A3367" s="213">
        <v>10505</v>
      </c>
      <c r="B3367" s="214" t="s">
        <v>11866</v>
      </c>
      <c r="C3367" s="215" t="s">
        <v>578</v>
      </c>
      <c r="D3367" s="216">
        <v>278.95</v>
      </c>
      <c r="E3367" s="198"/>
      <c r="F3367" s="198"/>
      <c r="G3367" s="198"/>
      <c r="H3367" s="198"/>
      <c r="I3367" s="198"/>
      <c r="J3367" s="198"/>
      <c r="K3367" s="198"/>
      <c r="L3367" s="198"/>
      <c r="M3367" s="198"/>
      <c r="N3367" s="198"/>
      <c r="O3367" s="198"/>
      <c r="P3367" s="198"/>
      <c r="Q3367" s="198"/>
      <c r="R3367" s="198"/>
      <c r="S3367" s="198"/>
      <c r="T3367" s="198"/>
      <c r="U3367" s="198"/>
      <c r="V3367" s="198"/>
      <c r="W3367" s="198"/>
      <c r="X3367" s="198"/>
      <c r="Y3367" s="198"/>
      <c r="Z3367" s="198"/>
    </row>
    <row r="3368" spans="1:26" ht="15.75" hidden="1" customHeight="1" x14ac:dyDescent="0.25">
      <c r="A3368" s="213">
        <v>10506</v>
      </c>
      <c r="B3368" s="214" t="s">
        <v>11867</v>
      </c>
      <c r="C3368" s="215" t="s">
        <v>578</v>
      </c>
      <c r="D3368" s="216">
        <v>364.15</v>
      </c>
      <c r="E3368" s="198"/>
      <c r="F3368" s="198"/>
      <c r="G3368" s="198"/>
      <c r="H3368" s="198"/>
      <c r="I3368" s="198"/>
      <c r="J3368" s="198"/>
      <c r="K3368" s="198"/>
      <c r="L3368" s="198"/>
      <c r="M3368" s="198"/>
      <c r="N3368" s="198"/>
      <c r="O3368" s="198"/>
      <c r="P3368" s="198"/>
      <c r="Q3368" s="198"/>
      <c r="R3368" s="198"/>
      <c r="S3368" s="198"/>
      <c r="T3368" s="198"/>
      <c r="U3368" s="198"/>
      <c r="V3368" s="198"/>
      <c r="W3368" s="198"/>
      <c r="X3368" s="198"/>
      <c r="Y3368" s="198"/>
      <c r="Z3368" s="198"/>
    </row>
    <row r="3369" spans="1:26" ht="15.75" hidden="1" customHeight="1" x14ac:dyDescent="0.25">
      <c r="A3369" s="213">
        <v>5031</v>
      </c>
      <c r="B3369" s="214" t="s">
        <v>11868</v>
      </c>
      <c r="C3369" s="215" t="s">
        <v>578</v>
      </c>
      <c r="D3369" s="216">
        <v>511.32</v>
      </c>
      <c r="E3369" s="198"/>
      <c r="F3369" s="198"/>
      <c r="G3369" s="198"/>
      <c r="H3369" s="198"/>
      <c r="I3369" s="198"/>
      <c r="J3369" s="198"/>
      <c r="K3369" s="198"/>
      <c r="L3369" s="198"/>
      <c r="M3369" s="198"/>
      <c r="N3369" s="198"/>
      <c r="O3369" s="198"/>
      <c r="P3369" s="198"/>
      <c r="Q3369" s="198"/>
      <c r="R3369" s="198"/>
      <c r="S3369" s="198"/>
      <c r="T3369" s="198"/>
      <c r="U3369" s="198"/>
      <c r="V3369" s="198"/>
      <c r="W3369" s="198"/>
      <c r="X3369" s="198"/>
      <c r="Y3369" s="198"/>
      <c r="Z3369" s="198"/>
    </row>
    <row r="3370" spans="1:26" ht="15.75" hidden="1" customHeight="1" x14ac:dyDescent="0.25">
      <c r="A3370" s="213">
        <v>10502</v>
      </c>
      <c r="B3370" s="214" t="s">
        <v>11869</v>
      </c>
      <c r="C3370" s="215" t="s">
        <v>578</v>
      </c>
      <c r="D3370" s="216">
        <v>595.80999999999995</v>
      </c>
      <c r="E3370" s="198"/>
      <c r="F3370" s="198"/>
      <c r="G3370" s="198"/>
      <c r="H3370" s="198"/>
      <c r="I3370" s="198"/>
      <c r="J3370" s="198"/>
      <c r="K3370" s="198"/>
      <c r="L3370" s="198"/>
      <c r="M3370" s="198"/>
      <c r="N3370" s="198"/>
      <c r="O3370" s="198"/>
      <c r="P3370" s="198"/>
      <c r="Q3370" s="198"/>
      <c r="R3370" s="198"/>
      <c r="S3370" s="198"/>
      <c r="T3370" s="198"/>
      <c r="U3370" s="198"/>
      <c r="V3370" s="198"/>
      <c r="W3370" s="198"/>
      <c r="X3370" s="198"/>
      <c r="Y3370" s="198"/>
      <c r="Z3370" s="198"/>
    </row>
    <row r="3371" spans="1:26" ht="15.75" hidden="1" customHeight="1" x14ac:dyDescent="0.25">
      <c r="A3371" s="213">
        <v>10501</v>
      </c>
      <c r="B3371" s="214" t="s">
        <v>11870</v>
      </c>
      <c r="C3371" s="215" t="s">
        <v>578</v>
      </c>
      <c r="D3371" s="216">
        <v>336.61</v>
      </c>
      <c r="E3371" s="198"/>
      <c r="F3371" s="198"/>
      <c r="G3371" s="198"/>
      <c r="H3371" s="198"/>
      <c r="I3371" s="198"/>
      <c r="J3371" s="198"/>
      <c r="K3371" s="198"/>
      <c r="L3371" s="198"/>
      <c r="M3371" s="198"/>
      <c r="N3371" s="198"/>
      <c r="O3371" s="198"/>
      <c r="P3371" s="198"/>
      <c r="Q3371" s="198"/>
      <c r="R3371" s="198"/>
      <c r="S3371" s="198"/>
      <c r="T3371" s="198"/>
      <c r="U3371" s="198"/>
      <c r="V3371" s="198"/>
      <c r="W3371" s="198"/>
      <c r="X3371" s="198"/>
      <c r="Y3371" s="198"/>
      <c r="Z3371" s="198"/>
    </row>
    <row r="3372" spans="1:26" ht="15.75" hidden="1" customHeight="1" x14ac:dyDescent="0.25">
      <c r="A3372" s="213">
        <v>10503</v>
      </c>
      <c r="B3372" s="214" t="s">
        <v>11871</v>
      </c>
      <c r="C3372" s="215" t="s">
        <v>578</v>
      </c>
      <c r="D3372" s="216">
        <v>454.76</v>
      </c>
      <c r="E3372" s="198"/>
      <c r="F3372" s="198"/>
      <c r="G3372" s="198"/>
      <c r="H3372" s="198"/>
      <c r="I3372" s="198"/>
      <c r="J3372" s="198"/>
      <c r="K3372" s="198"/>
      <c r="L3372" s="198"/>
      <c r="M3372" s="198"/>
      <c r="N3372" s="198"/>
      <c r="O3372" s="198"/>
      <c r="P3372" s="198"/>
      <c r="Q3372" s="198"/>
      <c r="R3372" s="198"/>
      <c r="S3372" s="198"/>
      <c r="T3372" s="198"/>
      <c r="U3372" s="198"/>
      <c r="V3372" s="198"/>
      <c r="W3372" s="198"/>
      <c r="X3372" s="198"/>
      <c r="Y3372" s="198"/>
      <c r="Z3372" s="198"/>
    </row>
    <row r="3373" spans="1:26" ht="15.75" hidden="1" customHeight="1" x14ac:dyDescent="0.25">
      <c r="A3373" s="213">
        <v>4500</v>
      </c>
      <c r="B3373" s="214" t="s">
        <v>11872</v>
      </c>
      <c r="C3373" s="215" t="s">
        <v>585</v>
      </c>
      <c r="D3373" s="216">
        <v>13.48</v>
      </c>
      <c r="E3373" s="198"/>
      <c r="F3373" s="198"/>
      <c r="G3373" s="198"/>
      <c r="H3373" s="198"/>
      <c r="I3373" s="198"/>
      <c r="J3373" s="198"/>
      <c r="K3373" s="198"/>
      <c r="L3373" s="198"/>
      <c r="M3373" s="198"/>
      <c r="N3373" s="198"/>
      <c r="O3373" s="198"/>
      <c r="P3373" s="198"/>
      <c r="Q3373" s="198"/>
      <c r="R3373" s="198"/>
      <c r="S3373" s="198"/>
      <c r="T3373" s="198"/>
      <c r="U3373" s="198"/>
      <c r="V3373" s="198"/>
      <c r="W3373" s="198"/>
      <c r="X3373" s="198"/>
      <c r="Y3373" s="198"/>
      <c r="Z3373" s="198"/>
    </row>
    <row r="3374" spans="1:26" ht="15.75" hidden="1" customHeight="1" x14ac:dyDescent="0.25">
      <c r="A3374" s="213">
        <v>4448</v>
      </c>
      <c r="B3374" s="214" t="s">
        <v>11873</v>
      </c>
      <c r="C3374" s="215" t="s">
        <v>585</v>
      </c>
      <c r="D3374" s="216">
        <v>18.52</v>
      </c>
      <c r="E3374" s="198"/>
      <c r="F3374" s="198"/>
      <c r="G3374" s="198"/>
      <c r="H3374" s="198"/>
      <c r="I3374" s="198"/>
      <c r="J3374" s="198"/>
      <c r="K3374" s="198"/>
      <c r="L3374" s="198"/>
      <c r="M3374" s="198"/>
      <c r="N3374" s="198"/>
      <c r="O3374" s="198"/>
      <c r="P3374" s="198"/>
      <c r="Q3374" s="198"/>
      <c r="R3374" s="198"/>
      <c r="S3374" s="198"/>
      <c r="T3374" s="198"/>
      <c r="U3374" s="198"/>
      <c r="V3374" s="198"/>
      <c r="W3374" s="198"/>
      <c r="X3374" s="198"/>
      <c r="Y3374" s="198"/>
      <c r="Z3374" s="198"/>
    </row>
    <row r="3375" spans="1:26" ht="15.75" hidden="1" customHeight="1" x14ac:dyDescent="0.25">
      <c r="A3375" s="213">
        <v>20213</v>
      </c>
      <c r="B3375" s="214" t="s">
        <v>11874</v>
      </c>
      <c r="C3375" s="215" t="s">
        <v>585</v>
      </c>
      <c r="D3375" s="216">
        <v>29.74</v>
      </c>
      <c r="E3375" s="198"/>
      <c r="F3375" s="198"/>
      <c r="G3375" s="198"/>
      <c r="H3375" s="198"/>
      <c r="I3375" s="198"/>
      <c r="J3375" s="198"/>
      <c r="K3375" s="198"/>
      <c r="L3375" s="198"/>
      <c r="M3375" s="198"/>
      <c r="N3375" s="198"/>
      <c r="O3375" s="198"/>
      <c r="P3375" s="198"/>
      <c r="Q3375" s="198"/>
      <c r="R3375" s="198"/>
      <c r="S3375" s="198"/>
      <c r="T3375" s="198"/>
      <c r="U3375" s="198"/>
      <c r="V3375" s="198"/>
      <c r="W3375" s="198"/>
      <c r="X3375" s="198"/>
      <c r="Y3375" s="198"/>
      <c r="Z3375" s="198"/>
    </row>
    <row r="3376" spans="1:26" ht="15.75" hidden="1" customHeight="1" x14ac:dyDescent="0.25">
      <c r="A3376" s="213">
        <v>20211</v>
      </c>
      <c r="B3376" s="214" t="s">
        <v>11875</v>
      </c>
      <c r="C3376" s="215" t="s">
        <v>585</v>
      </c>
      <c r="D3376" s="216">
        <v>39.380000000000003</v>
      </c>
      <c r="E3376" s="198"/>
      <c r="F3376" s="198"/>
      <c r="G3376" s="198"/>
      <c r="H3376" s="198"/>
      <c r="I3376" s="198"/>
      <c r="J3376" s="198"/>
      <c r="K3376" s="198"/>
      <c r="L3376" s="198"/>
      <c r="M3376" s="198"/>
      <c r="N3376" s="198"/>
      <c r="O3376" s="198"/>
      <c r="P3376" s="198"/>
      <c r="Q3376" s="198"/>
      <c r="R3376" s="198"/>
      <c r="S3376" s="198"/>
      <c r="T3376" s="198"/>
      <c r="U3376" s="198"/>
      <c r="V3376" s="198"/>
      <c r="W3376" s="198"/>
      <c r="X3376" s="198"/>
      <c r="Y3376" s="198"/>
      <c r="Z3376" s="198"/>
    </row>
    <row r="3377" spans="1:26" ht="15.75" hidden="1" customHeight="1" x14ac:dyDescent="0.25">
      <c r="A3377" s="213">
        <v>4425</v>
      </c>
      <c r="B3377" s="214" t="s">
        <v>11876</v>
      </c>
      <c r="C3377" s="215" t="s">
        <v>585</v>
      </c>
      <c r="D3377" s="216">
        <v>32.549999999999997</v>
      </c>
      <c r="E3377" s="198"/>
      <c r="F3377" s="198"/>
      <c r="G3377" s="198"/>
      <c r="H3377" s="198"/>
      <c r="I3377" s="198"/>
      <c r="J3377" s="198"/>
      <c r="K3377" s="198"/>
      <c r="L3377" s="198"/>
      <c r="M3377" s="198"/>
      <c r="N3377" s="198"/>
      <c r="O3377" s="198"/>
      <c r="P3377" s="198"/>
      <c r="Q3377" s="198"/>
      <c r="R3377" s="198"/>
      <c r="S3377" s="198"/>
      <c r="T3377" s="198"/>
      <c r="U3377" s="198"/>
      <c r="V3377" s="198"/>
      <c r="W3377" s="198"/>
      <c r="X3377" s="198"/>
      <c r="Y3377" s="198"/>
      <c r="Z3377" s="198"/>
    </row>
    <row r="3378" spans="1:26" ht="15.75" hidden="1" customHeight="1" x14ac:dyDescent="0.25">
      <c r="A3378" s="213">
        <v>4472</v>
      </c>
      <c r="B3378" s="214" t="s">
        <v>11877</v>
      </c>
      <c r="C3378" s="215" t="s">
        <v>585</v>
      </c>
      <c r="D3378" s="216">
        <v>40.659999999999997</v>
      </c>
      <c r="E3378" s="198"/>
      <c r="F3378" s="198"/>
      <c r="G3378" s="198"/>
      <c r="H3378" s="198"/>
      <c r="I3378" s="198"/>
      <c r="J3378" s="198"/>
      <c r="K3378" s="198"/>
      <c r="L3378" s="198"/>
      <c r="M3378" s="198"/>
      <c r="N3378" s="198"/>
      <c r="O3378" s="198"/>
      <c r="P3378" s="198"/>
      <c r="Q3378" s="198"/>
      <c r="R3378" s="198"/>
      <c r="S3378" s="198"/>
      <c r="T3378" s="198"/>
      <c r="U3378" s="198"/>
      <c r="V3378" s="198"/>
      <c r="W3378" s="198"/>
      <c r="X3378" s="198"/>
      <c r="Y3378" s="198"/>
      <c r="Z3378" s="198"/>
    </row>
    <row r="3379" spans="1:26" ht="15.75" hidden="1" customHeight="1" x14ac:dyDescent="0.25">
      <c r="A3379" s="213">
        <v>35272</v>
      </c>
      <c r="B3379" s="214" t="s">
        <v>11878</v>
      </c>
      <c r="C3379" s="215" t="s">
        <v>585</v>
      </c>
      <c r="D3379" s="216">
        <v>58.78</v>
      </c>
      <c r="E3379" s="198"/>
      <c r="F3379" s="198"/>
      <c r="G3379" s="198"/>
      <c r="H3379" s="198"/>
      <c r="I3379" s="198"/>
      <c r="J3379" s="198"/>
      <c r="K3379" s="198"/>
      <c r="L3379" s="198"/>
      <c r="M3379" s="198"/>
      <c r="N3379" s="198"/>
      <c r="O3379" s="198"/>
      <c r="P3379" s="198"/>
      <c r="Q3379" s="198"/>
      <c r="R3379" s="198"/>
      <c r="S3379" s="198"/>
      <c r="T3379" s="198"/>
      <c r="U3379" s="198"/>
      <c r="V3379" s="198"/>
      <c r="W3379" s="198"/>
      <c r="X3379" s="198"/>
      <c r="Y3379" s="198"/>
      <c r="Z3379" s="198"/>
    </row>
    <row r="3380" spans="1:26" ht="15.75" hidden="1" customHeight="1" x14ac:dyDescent="0.25">
      <c r="A3380" s="213">
        <v>4481</v>
      </c>
      <c r="B3380" s="214" t="s">
        <v>11879</v>
      </c>
      <c r="C3380" s="215" t="s">
        <v>585</v>
      </c>
      <c r="D3380" s="216">
        <v>62.92</v>
      </c>
      <c r="E3380" s="198"/>
      <c r="F3380" s="198"/>
      <c r="G3380" s="198"/>
      <c r="H3380" s="198"/>
      <c r="I3380" s="198"/>
      <c r="J3380" s="198"/>
      <c r="K3380" s="198"/>
      <c r="L3380" s="198"/>
      <c r="M3380" s="198"/>
      <c r="N3380" s="198"/>
      <c r="O3380" s="198"/>
      <c r="P3380" s="198"/>
      <c r="Q3380" s="198"/>
      <c r="R3380" s="198"/>
      <c r="S3380" s="198"/>
      <c r="T3380" s="198"/>
      <c r="U3380" s="198"/>
      <c r="V3380" s="198"/>
      <c r="W3380" s="198"/>
      <c r="X3380" s="198"/>
      <c r="Y3380" s="198"/>
      <c r="Z3380" s="198"/>
    </row>
    <row r="3381" spans="1:26" ht="15.75" hidden="1" customHeight="1" x14ac:dyDescent="0.25">
      <c r="A3381" s="213">
        <v>34345</v>
      </c>
      <c r="B3381" s="214" t="s">
        <v>11880</v>
      </c>
      <c r="C3381" s="215" t="s">
        <v>2193</v>
      </c>
      <c r="D3381" s="216">
        <v>21.39</v>
      </c>
      <c r="E3381" s="198"/>
      <c r="F3381" s="198"/>
      <c r="G3381" s="198"/>
      <c r="H3381" s="198"/>
      <c r="I3381" s="198"/>
      <c r="J3381" s="198"/>
      <c r="K3381" s="198"/>
      <c r="L3381" s="198"/>
      <c r="M3381" s="198"/>
      <c r="N3381" s="198"/>
      <c r="O3381" s="198"/>
      <c r="P3381" s="198"/>
      <c r="Q3381" s="198"/>
      <c r="R3381" s="198"/>
      <c r="S3381" s="198"/>
      <c r="T3381" s="198"/>
      <c r="U3381" s="198"/>
      <c r="V3381" s="198"/>
      <c r="W3381" s="198"/>
      <c r="X3381" s="198"/>
      <c r="Y3381" s="198"/>
      <c r="Z3381" s="198"/>
    </row>
    <row r="3382" spans="1:26" ht="15.75" hidden="1" customHeight="1" x14ac:dyDescent="0.25">
      <c r="A3382" s="213">
        <v>41096</v>
      </c>
      <c r="B3382" s="214" t="s">
        <v>11881</v>
      </c>
      <c r="C3382" s="215" t="s">
        <v>6214</v>
      </c>
      <c r="D3382" s="216">
        <v>3755.13</v>
      </c>
      <c r="E3382" s="198"/>
      <c r="F3382" s="198"/>
      <c r="G3382" s="198"/>
      <c r="H3382" s="198"/>
      <c r="I3382" s="198"/>
      <c r="J3382" s="198"/>
      <c r="K3382" s="198"/>
      <c r="L3382" s="198"/>
      <c r="M3382" s="198"/>
      <c r="N3382" s="198"/>
      <c r="O3382" s="198"/>
      <c r="P3382" s="198"/>
      <c r="Q3382" s="198"/>
      <c r="R3382" s="198"/>
      <c r="S3382" s="198"/>
      <c r="T3382" s="198"/>
      <c r="U3382" s="198"/>
      <c r="V3382" s="198"/>
      <c r="W3382" s="198"/>
      <c r="X3382" s="198"/>
      <c r="Y3382" s="198"/>
      <c r="Z3382" s="198"/>
    </row>
  </sheetData>
  <autoFilter ref="A2:D3382" xr:uid="{00000000-0009-0000-0000-000005000000}">
    <filterColumn colId="1">
      <filters>
        <filter val="ACO CA-25, 10,0 MM, OU 12,5 MM, OU 16,0 MM, OU 20,0 MM, OU 25,0 MM, VERGALHAO"/>
        <filter val="ACO CA-25, 32,0 MM, VERGALHAO"/>
        <filter val="ACO CA-25, 6,3 MM OU 8,0 MM, VERGALHAO"/>
        <filter val="ACO CA-50, 10,0 MM, VERGALHAO"/>
        <filter val="ACO CA-50, 12,5 MM OU 16,0 MM, VERGALHAO"/>
        <filter val="ACO CA-50, 20,0 MM OU 25,0 MM, VERGALHAO"/>
        <filter val="ACO CA-50, 32,0 MM, VERGALHAO"/>
        <filter val="ACO CA-50, 6,3 MM, VERGALHAO"/>
        <filter val="ACO CA-50, 8,0 MM, VERGALHAO"/>
        <filter val="ACO CA-60, 4,2 MM, OU 5,0 MM, OU 6,0 MM, OU 7,0 MM, VERGALHAO"/>
        <filter val="ACO CA-60, 8,0 MM OU 9,5 MM, VERGALHAO"/>
        <filter val="CORTADEIRA HIDRAULICA DE VERGALHAO, PARA ACO DE DIAMETRO ATE 50 MM, MOTOR ELETRICO TRIFASICO, POTENCIA DE 5,5 HP A 7,5 HP"/>
        <filter val="DOBRADEIRA ELETROMECANICA DE VERGALHAO, PARA ACO DE DIAMETRO ATE 1 1/2&quot;, MOTOR ELETRICO TRIFASICO, POTENCIA DE 3 HP ATE 5 HP"/>
        <filter val="TRILHO QUADRADO FRISADO PARA RODIZIO (VERGALHAO MACICO), EM ALUMINIO, COM DIMENSOES DE *6 X 6* MM"/>
        <filter val="VERGALHAO ZINCADO ROSCA TOTAL, 1/4&quot; (6,3 MM)"/>
      </filters>
    </filterColumn>
  </autoFilter>
  <printOptions horizontalCentered="1" verticalCentered="1" gridLines="1"/>
  <pageMargins left="0.98402777777777795" right="0.39374999999999999" top="0.78749999999999998" bottom="0.78749999999999998" header="0.511811023622047" footer="0"/>
  <pageSetup paperSize="9" scale="67" orientation="portrait" horizontalDpi="300" verticalDpi="300" r:id="rId1"/>
  <headerFooter>
    <oddFooter>&amp;CPágina &amp;P de</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M1033"/>
  <sheetViews>
    <sheetView view="pageBreakPreview" topLeftCell="G1008" zoomScale="115" zoomScaleNormal="100" zoomScaleSheetLayoutView="115" zoomScalePageLayoutView="62" workbookViewId="0">
      <selection activeCell="H1016" sqref="H1016"/>
    </sheetView>
  </sheetViews>
  <sheetFormatPr defaultColWidth="14.42578125" defaultRowHeight="15" x14ac:dyDescent="0.25"/>
  <cols>
    <col min="1" max="3" width="10.5703125" style="217" customWidth="1"/>
    <col min="4" max="4" width="11.140625" style="217" customWidth="1"/>
    <col min="5" max="5" width="10.140625" style="217" customWidth="1"/>
    <col min="6" max="6" width="13.5703125" style="217" customWidth="1"/>
    <col min="7" max="7" width="85" style="217" customWidth="1"/>
    <col min="8" max="9" width="10.7109375" style="217" customWidth="1"/>
    <col min="10" max="13" width="13" style="217" customWidth="1"/>
    <col min="14" max="14" width="14.42578125" style="217" bestFit="1" customWidth="1"/>
    <col min="15" max="15" width="13" style="217" customWidth="1"/>
    <col min="16" max="16" width="14.28515625" style="217" customWidth="1"/>
    <col min="17" max="18" width="14.28515625" customWidth="1"/>
    <col min="19" max="19" width="11.7109375" customWidth="1"/>
    <col min="20" max="25" width="10.42578125" customWidth="1"/>
    <col min="26" max="26" width="12" customWidth="1"/>
    <col min="27" max="27" width="11.140625" customWidth="1"/>
    <col min="28" max="28" width="7.42578125" customWidth="1"/>
    <col min="29" max="29" width="12.140625" customWidth="1"/>
    <col min="30" max="30" width="15.85546875" customWidth="1"/>
    <col min="31" max="39" width="10.42578125" customWidth="1"/>
  </cols>
  <sheetData>
    <row r="1" spans="1:39" x14ac:dyDescent="0.25">
      <c r="A1" s="218">
        <v>1</v>
      </c>
      <c r="B1" s="218"/>
      <c r="C1" s="219"/>
      <c r="D1" s="220"/>
      <c r="E1" s="221"/>
      <c r="F1" s="222"/>
      <c r="G1" s="223"/>
      <c r="H1" s="224" t="s">
        <v>11882</v>
      </c>
      <c r="I1" s="225"/>
      <c r="J1" s="225"/>
      <c r="K1" s="225"/>
      <c r="L1" s="225"/>
      <c r="M1" s="225"/>
      <c r="N1" s="226"/>
      <c r="O1" s="226"/>
      <c r="P1" s="227"/>
      <c r="Q1" s="228"/>
      <c r="R1" s="228"/>
      <c r="S1" s="229"/>
      <c r="T1" s="230"/>
      <c r="U1" s="230"/>
      <c r="V1" s="230"/>
      <c r="W1" s="230"/>
      <c r="X1" s="230"/>
      <c r="Y1" s="230"/>
      <c r="Z1" s="230"/>
      <c r="AA1" s="230"/>
      <c r="AB1" s="231"/>
      <c r="AC1" s="231"/>
      <c r="AD1" s="231"/>
      <c r="AE1" s="231"/>
      <c r="AF1" s="231"/>
      <c r="AG1" s="231"/>
      <c r="AH1" s="231"/>
      <c r="AI1" s="231"/>
      <c r="AJ1" s="231"/>
      <c r="AK1" s="231"/>
      <c r="AL1" s="231"/>
      <c r="AM1" s="231"/>
    </row>
    <row r="2" spans="1:39" x14ac:dyDescent="0.25">
      <c r="A2" s="232">
        <f t="shared" ref="A2:A65" si="0">1+A1</f>
        <v>2</v>
      </c>
      <c r="B2" s="232"/>
      <c r="C2" s="219"/>
      <c r="D2" s="220"/>
      <c r="E2" s="233"/>
      <c r="F2" s="222"/>
      <c r="G2" s="234" t="s">
        <v>11883</v>
      </c>
      <c r="H2" s="219"/>
      <c r="I2" s="235"/>
      <c r="J2" s="236"/>
      <c r="K2" s="236"/>
      <c r="L2" s="236"/>
      <c r="M2" s="236" t="s">
        <v>11884</v>
      </c>
      <c r="N2" s="237" t="str">
        <f>IF('FOLHA FECHAMENTO'!K12&lt;&gt;"",'FOLHA FECHAMENTO'!K12," ")</f>
        <v xml:space="preserve"> </v>
      </c>
      <c r="O2" s="789"/>
      <c r="P2" s="789"/>
      <c r="Q2" s="238"/>
      <c r="R2" s="238"/>
      <c r="S2" s="229"/>
      <c r="T2" s="230"/>
      <c r="U2" s="230"/>
      <c r="V2" s="230"/>
      <c r="W2" s="230"/>
      <c r="X2" s="230"/>
      <c r="Y2" s="230"/>
      <c r="Z2" s="230"/>
      <c r="AA2" s="230"/>
      <c r="AB2" s="231"/>
      <c r="AC2" s="231"/>
      <c r="AD2" s="231"/>
      <c r="AE2" s="231"/>
      <c r="AF2" s="231"/>
      <c r="AG2" s="231"/>
      <c r="AH2" s="231"/>
      <c r="AI2" s="231"/>
      <c r="AJ2" s="231"/>
      <c r="AK2" s="231"/>
      <c r="AL2" s="231"/>
      <c r="AM2" s="231"/>
    </row>
    <row r="3" spans="1:39" x14ac:dyDescent="0.25">
      <c r="A3" s="232">
        <f t="shared" si="0"/>
        <v>3</v>
      </c>
      <c r="B3" s="232"/>
      <c r="C3" s="219"/>
      <c r="D3" s="220"/>
      <c r="E3" s="233"/>
      <c r="F3" s="222"/>
      <c r="G3" s="234" t="s">
        <v>11885</v>
      </c>
      <c r="H3" s="239" t="s">
        <v>450</v>
      </c>
      <c r="I3" s="789" t="str">
        <f>IF(DADOS!D14&lt;&gt;"",DADOS!D14," ")</f>
        <v>RUA DO SOL, S/N - BAIRRO DO SOL - IMBAU/PR 84250-000</v>
      </c>
      <c r="J3" s="789"/>
      <c r="K3" s="789"/>
      <c r="L3" s="789"/>
      <c r="M3" s="236" t="s">
        <v>453</v>
      </c>
      <c r="N3" s="240" t="str">
        <f>IF(DADOS!M12&lt;&gt;"",DADOS!M12," ")</f>
        <v>SESA</v>
      </c>
      <c r="O3" s="790"/>
      <c r="P3" s="790"/>
      <c r="Q3" s="241"/>
      <c r="R3" s="241"/>
      <c r="S3" s="229"/>
      <c r="T3" s="230"/>
      <c r="U3" s="230"/>
      <c r="V3" s="230"/>
      <c r="W3" s="230"/>
      <c r="X3" s="230"/>
      <c r="Y3" s="230"/>
      <c r="Z3" s="230"/>
      <c r="AA3" s="230"/>
      <c r="AB3" s="231"/>
      <c r="AC3" s="791" t="s">
        <v>11886</v>
      </c>
      <c r="AD3" s="231"/>
      <c r="AE3" s="231"/>
      <c r="AF3" s="231"/>
      <c r="AG3" s="231"/>
      <c r="AH3" s="231"/>
      <c r="AI3" s="231"/>
      <c r="AJ3" s="231"/>
      <c r="AK3" s="231"/>
      <c r="AL3" s="231"/>
      <c r="AM3" s="231"/>
    </row>
    <row r="4" spans="1:39" x14ac:dyDescent="0.25">
      <c r="A4" s="232">
        <f t="shared" si="0"/>
        <v>4</v>
      </c>
      <c r="B4" s="232"/>
      <c r="C4" s="219"/>
      <c r="D4" s="220"/>
      <c r="E4" s="233"/>
      <c r="F4" s="222"/>
      <c r="G4" s="234"/>
      <c r="H4" s="239" t="s">
        <v>11887</v>
      </c>
      <c r="I4" s="792" t="str">
        <f>IF(DADOS!$D$16&lt;&gt;"",DADOS!$D$16," ")</f>
        <v>IMBAÚ</v>
      </c>
      <c r="J4" s="792"/>
      <c r="K4" s="792"/>
      <c r="L4" s="243"/>
      <c r="M4" s="236" t="s">
        <v>448</v>
      </c>
      <c r="N4" s="240" t="str">
        <f>IF('FOLHA FECHAMENTO'!K10&lt;&gt;"",'FOLHA FECHAMENTO'!K10," ")</f>
        <v>CONSTRUÇÃO</v>
      </c>
      <c r="O4" s="793"/>
      <c r="P4" s="793"/>
      <c r="Q4" s="241"/>
      <c r="R4" s="241"/>
      <c r="S4" s="229"/>
      <c r="T4" s="230"/>
      <c r="U4" s="230"/>
      <c r="V4" s="230"/>
      <c r="W4" s="230"/>
      <c r="X4" s="230"/>
      <c r="Y4" s="230"/>
      <c r="Z4" s="794" t="s">
        <v>11888</v>
      </c>
      <c r="AA4" s="794"/>
      <c r="AB4" s="231"/>
      <c r="AC4" s="791"/>
      <c r="AD4" s="231"/>
      <c r="AE4" s="231"/>
      <c r="AF4" s="231"/>
      <c r="AG4" s="231"/>
      <c r="AH4" s="231"/>
      <c r="AI4" s="231"/>
      <c r="AJ4" s="231"/>
      <c r="AK4" s="231"/>
      <c r="AL4" s="231"/>
      <c r="AM4" s="231"/>
    </row>
    <row r="5" spans="1:39" x14ac:dyDescent="0.25">
      <c r="A5" s="232">
        <f t="shared" si="0"/>
        <v>5</v>
      </c>
      <c r="B5" s="232"/>
      <c r="C5" s="219"/>
      <c r="D5" s="220"/>
      <c r="E5" s="233"/>
      <c r="F5" s="222"/>
      <c r="G5" s="245" t="s">
        <v>11889</v>
      </c>
      <c r="H5" s="796" t="s">
        <v>11890</v>
      </c>
      <c r="I5" s="796"/>
      <c r="J5" s="797" t="str">
        <f>IF('FOLHA FECHAMENTO'!C15&lt;&gt;"",'FOLHA FECHAMENTO'!C15," ")</f>
        <v>REV00</v>
      </c>
      <c r="K5" s="797"/>
      <c r="L5" s="797"/>
      <c r="M5" s="248" t="s">
        <v>11891</v>
      </c>
      <c r="N5" s="249">
        <f>IF(DADOS!D30&lt;&gt;"",DADOS!D30," ")</f>
        <v>1720261230534</v>
      </c>
      <c r="O5" s="798"/>
      <c r="P5" s="798"/>
      <c r="Q5" s="250"/>
      <c r="R5" s="250"/>
      <c r="S5" s="229"/>
      <c r="T5" s="251"/>
      <c r="U5" s="252" t="str">
        <f>((2+$AC$5)-COLUMNS(U$7:$Z$7))/2&amp;"ª"</f>
        <v>1ª</v>
      </c>
      <c r="V5" s="253"/>
      <c r="W5" s="254" t="str">
        <f>((2+$AC$5)-COLUMNS(W$7:$Z$7))/2&amp;"ª"</f>
        <v>2ª</v>
      </c>
      <c r="X5" s="255"/>
      <c r="Y5" s="256" t="str">
        <f>((2+$AC$5)-COLUMNS(Y$7:$Z$7))/2&amp;"ª"</f>
        <v>3ª</v>
      </c>
      <c r="Z5" s="799" t="s">
        <v>11892</v>
      </c>
      <c r="AA5" s="799"/>
      <c r="AB5" s="231"/>
      <c r="AC5" s="257">
        <f>COLUMNS($Y7:$AD7)</f>
        <v>6</v>
      </c>
      <c r="AD5" s="231"/>
      <c r="AE5" s="231"/>
      <c r="AF5" s="231"/>
      <c r="AG5" s="231"/>
      <c r="AH5" s="231"/>
      <c r="AI5" s="231"/>
      <c r="AJ5" s="231"/>
      <c r="AK5" s="231"/>
      <c r="AL5" s="231"/>
      <c r="AM5" s="231"/>
    </row>
    <row r="6" spans="1:39" x14ac:dyDescent="0.25">
      <c r="A6" s="232">
        <f t="shared" si="0"/>
        <v>6</v>
      </c>
      <c r="B6" s="232"/>
      <c r="C6" s="219"/>
      <c r="D6" s="220"/>
      <c r="E6" s="233"/>
      <c r="F6" s="222"/>
      <c r="G6" s="258" t="str">
        <f>IF(DADOS!D12&lt;&gt;"",DADOS!D12," ")</f>
        <v xml:space="preserve">PRONTO ATENDIMENTO MUNICIPAL </v>
      </c>
      <c r="H6" s="793" t="s">
        <v>461</v>
      </c>
      <c r="I6" s="793"/>
      <c r="J6" s="800" t="str">
        <f>IF(DADOS!D24&lt;&gt;"",DADOS!D24," ")</f>
        <v>Erick William da Silva Damaceno</v>
      </c>
      <c r="K6" s="800"/>
      <c r="L6" s="800"/>
      <c r="M6" s="260" t="s">
        <v>11893</v>
      </c>
      <c r="N6" s="242" t="str">
        <f>IF(DADOS!D28&lt;&gt;"",DADOS!D28," ")</f>
        <v>211052/D</v>
      </c>
      <c r="O6" s="800"/>
      <c r="P6" s="800"/>
      <c r="Q6" s="261"/>
      <c r="R6" s="261"/>
      <c r="S6" s="229"/>
      <c r="T6" s="799" t="s">
        <v>11894</v>
      </c>
      <c r="U6" s="799"/>
      <c r="V6" s="799" t="s">
        <v>11894</v>
      </c>
      <c r="W6" s="799"/>
      <c r="X6" s="801" t="s">
        <v>11894</v>
      </c>
      <c r="Y6" s="801"/>
      <c r="Z6" s="262" t="s">
        <v>11895</v>
      </c>
      <c r="AA6" s="263" t="s">
        <v>11896</v>
      </c>
      <c r="AB6" s="231"/>
      <c r="AC6" s="231"/>
      <c r="AD6" s="231"/>
      <c r="AE6" s="231"/>
      <c r="AF6" s="231"/>
      <c r="AG6" s="231"/>
      <c r="AH6" s="231"/>
      <c r="AI6" s="231"/>
      <c r="AJ6" s="231"/>
      <c r="AK6" s="231"/>
      <c r="AL6" s="231"/>
      <c r="AM6" s="231"/>
    </row>
    <row r="7" spans="1:39" x14ac:dyDescent="0.25">
      <c r="A7" s="232">
        <f t="shared" si="0"/>
        <v>7</v>
      </c>
      <c r="B7" s="232"/>
      <c r="C7" s="219"/>
      <c r="D7" s="220"/>
      <c r="E7" s="233"/>
      <c r="F7" s="222"/>
      <c r="G7" s="264"/>
      <c r="H7" s="219"/>
      <c r="I7" s="235"/>
      <c r="J7" s="236"/>
      <c r="K7" s="236"/>
      <c r="L7" s="236"/>
      <c r="M7" s="236"/>
      <c r="N7" s="236"/>
      <c r="O7" s="236"/>
      <c r="P7" s="265"/>
      <c r="Q7" s="266"/>
      <c r="R7" s="266"/>
      <c r="S7" s="229"/>
      <c r="T7" s="267" t="s">
        <v>445</v>
      </c>
      <c r="U7" s="268" t="s">
        <v>11897</v>
      </c>
      <c r="V7" s="269" t="s">
        <v>445</v>
      </c>
      <c r="W7" s="268" t="s">
        <v>11897</v>
      </c>
      <c r="X7" s="269" t="s">
        <v>445</v>
      </c>
      <c r="Y7" s="268" t="s">
        <v>11897</v>
      </c>
      <c r="Z7" s="270" t="s">
        <v>445</v>
      </c>
      <c r="AA7" s="271" t="str">
        <f>HLOOKUP(Z6,$T$5:$Z$8,3)</f>
        <v>xx/xx/xxxx</v>
      </c>
      <c r="AB7" s="231"/>
      <c r="AC7" s="231"/>
      <c r="AD7" s="795" t="s">
        <v>11898</v>
      </c>
      <c r="AE7" s="231"/>
      <c r="AF7" s="231"/>
      <c r="AG7" s="231"/>
      <c r="AH7" s="231"/>
      <c r="AI7" s="231"/>
      <c r="AJ7" s="231"/>
      <c r="AK7" s="231"/>
      <c r="AL7" s="231"/>
      <c r="AM7" s="231"/>
    </row>
    <row r="8" spans="1:39" ht="25.5" x14ac:dyDescent="0.25">
      <c r="A8" s="232">
        <f t="shared" si="0"/>
        <v>8</v>
      </c>
      <c r="B8" s="232"/>
      <c r="C8" s="219"/>
      <c r="D8" s="220"/>
      <c r="E8" s="272" t="s">
        <v>494</v>
      </c>
      <c r="F8" s="273" t="s">
        <v>11899</v>
      </c>
      <c r="G8" s="274" t="s">
        <v>573</v>
      </c>
      <c r="H8" s="275" t="s">
        <v>11900</v>
      </c>
      <c r="I8" s="276" t="s">
        <v>11901</v>
      </c>
      <c r="J8" s="276" t="s">
        <v>556</v>
      </c>
      <c r="K8" s="276" t="s">
        <v>557</v>
      </c>
      <c r="L8" s="276" t="s">
        <v>11902</v>
      </c>
      <c r="M8" s="276" t="s">
        <v>556</v>
      </c>
      <c r="N8" s="276" t="s">
        <v>557</v>
      </c>
      <c r="O8" s="276" t="s">
        <v>11903</v>
      </c>
      <c r="P8" s="277" t="s">
        <v>11904</v>
      </c>
      <c r="Q8" s="278"/>
      <c r="R8" s="278"/>
      <c r="S8" s="229"/>
      <c r="T8" s="279" t="s">
        <v>11905</v>
      </c>
      <c r="U8" s="279" t="s">
        <v>11906</v>
      </c>
      <c r="V8" s="279" t="s">
        <v>11905</v>
      </c>
      <c r="W8" s="279" t="s">
        <v>11906</v>
      </c>
      <c r="X8" s="279" t="s">
        <v>11905</v>
      </c>
      <c r="Y8" s="279" t="s">
        <v>11906</v>
      </c>
      <c r="Z8" s="279" t="s">
        <v>11905</v>
      </c>
      <c r="AA8" s="279" t="s">
        <v>11906</v>
      </c>
      <c r="AB8" s="231"/>
      <c r="AC8" s="280" t="s">
        <v>11907</v>
      </c>
      <c r="AD8" s="795"/>
      <c r="AE8" s="231"/>
      <c r="AF8" s="231"/>
      <c r="AG8" s="231"/>
      <c r="AH8" s="231"/>
      <c r="AI8" s="231"/>
      <c r="AJ8" s="231"/>
      <c r="AK8" s="231"/>
      <c r="AL8" s="231"/>
      <c r="AM8" s="231"/>
    </row>
    <row r="9" spans="1:39" x14ac:dyDescent="0.25">
      <c r="A9" s="232">
        <f t="shared" si="0"/>
        <v>9</v>
      </c>
      <c r="B9" s="232"/>
      <c r="C9" s="281"/>
      <c r="D9" s="281"/>
      <c r="E9" s="282"/>
      <c r="F9" s="283"/>
      <c r="G9" s="284" t="s">
        <v>559</v>
      </c>
      <c r="H9" s="283"/>
      <c r="I9" s="283"/>
      <c r="J9" s="283"/>
      <c r="K9" s="283"/>
      <c r="L9" s="283"/>
      <c r="M9" s="283"/>
      <c r="N9" s="283"/>
      <c r="O9" s="283"/>
      <c r="P9" s="283"/>
      <c r="Q9" s="285"/>
      <c r="R9" s="285"/>
      <c r="S9" s="286"/>
      <c r="T9" s="287"/>
      <c r="U9" s="288" t="str">
        <f t="shared" ref="U9:U72" si="1">IF(OR(T9="",$O9=""),"",(T9/$I9)*$O9)</f>
        <v/>
      </c>
      <c r="V9" s="287"/>
      <c r="W9" s="289" t="str">
        <f t="shared" ref="W9:W72" si="2">IF(OR(V9="",$O9=""),"",(V9/$I9)*$O9)</f>
        <v/>
      </c>
      <c r="X9" s="287"/>
      <c r="Y9" s="290" t="str">
        <f t="shared" ref="Y9:Y72" si="3">IF(OR(X9="",$O9=""),"",(X9/$I9)*$O9)</f>
        <v/>
      </c>
      <c r="Z9" s="291">
        <f ca="1">SUMIF($T$8:Y$1018,"QUANT.",T9:Y9)</f>
        <v>0</v>
      </c>
      <c r="AA9" s="292">
        <f t="shared" ref="AA9:AA72" ca="1" si="4">SUMIF($T$8:$Y$1018,"CUSTO",T9:Y9)</f>
        <v>0</v>
      </c>
      <c r="AB9" s="293" t="str">
        <f t="shared" ref="AB9:AB72" si="5">IF(F9&lt;&gt;"",IF(AA9=0,"MEDIR",IF(O9-AA9=0,"OK",IF(O9-AA9&gt;0,"MEDIR","ALERTA!"))),"")</f>
        <v/>
      </c>
      <c r="AC9" s="294">
        <f t="shared" ref="AC9:AC72" ca="1" si="6">IF(Z9="",0,I9-Z9)</f>
        <v>0</v>
      </c>
      <c r="AD9" s="294">
        <f t="shared" ref="AD9:AD72" ca="1" si="7">IF(AA9="",0,O9-AA9)</f>
        <v>0</v>
      </c>
      <c r="AE9" s="295"/>
      <c r="AF9" s="295"/>
      <c r="AG9" s="296"/>
      <c r="AH9" s="296"/>
      <c r="AI9" s="296"/>
      <c r="AJ9" s="296"/>
      <c r="AK9" s="296"/>
      <c r="AL9" s="296"/>
      <c r="AM9" s="296"/>
    </row>
    <row r="10" spans="1:39" x14ac:dyDescent="0.25">
      <c r="A10" s="232">
        <f t="shared" si="0"/>
        <v>10</v>
      </c>
      <c r="B10" s="232"/>
      <c r="C10" s="281">
        <f>+E10</f>
        <v>1</v>
      </c>
      <c r="D10" s="297"/>
      <c r="E10" s="298">
        <v>1</v>
      </c>
      <c r="F10" s="298"/>
      <c r="G10" s="299" t="s">
        <v>11908</v>
      </c>
      <c r="H10" s="300"/>
      <c r="I10" s="301"/>
      <c r="J10" s="302"/>
      <c r="K10" s="303"/>
      <c r="L10" s="303"/>
      <c r="M10" s="304">
        <f>TRUNC(SUMIF(M11,"&gt;0",M11),2)</f>
        <v>6517</v>
      </c>
      <c r="N10" s="304">
        <f>TRUNC(SUMIF(N11,"&gt;0",N11),2)</f>
        <v>172946</v>
      </c>
      <c r="O10" s="305"/>
      <c r="P10" s="304">
        <f>SUMIF(O11,"&gt;0",O11)</f>
        <v>179463</v>
      </c>
      <c r="Q10" s="306"/>
      <c r="R10" s="306"/>
      <c r="S10" s="286"/>
      <c r="T10" s="287"/>
      <c r="U10" s="288" t="str">
        <f t="shared" si="1"/>
        <v/>
      </c>
      <c r="V10" s="287"/>
      <c r="W10" s="289" t="str">
        <f t="shared" si="2"/>
        <v/>
      </c>
      <c r="X10" s="287"/>
      <c r="Y10" s="290" t="str">
        <f t="shared" si="3"/>
        <v/>
      </c>
      <c r="Z10" s="291">
        <f ca="1">SUMIF($T$8:Y$1018,"QUANT.",T10:Y10)</f>
        <v>0</v>
      </c>
      <c r="AA10" s="292">
        <f t="shared" ca="1" si="4"/>
        <v>0</v>
      </c>
      <c r="AB10" s="293" t="str">
        <f t="shared" si="5"/>
        <v/>
      </c>
      <c r="AC10" s="294">
        <f t="shared" ca="1" si="6"/>
        <v>0</v>
      </c>
      <c r="AD10" s="294">
        <f t="shared" ca="1" si="7"/>
        <v>0</v>
      </c>
      <c r="AE10" s="295"/>
      <c r="AF10" s="295"/>
      <c r="AG10" s="296"/>
      <c r="AH10" s="296"/>
      <c r="AI10" s="296"/>
      <c r="AJ10" s="38"/>
      <c r="AK10" s="38"/>
      <c r="AL10" s="38"/>
      <c r="AM10" s="38"/>
    </row>
    <row r="11" spans="1:39" x14ac:dyDescent="0.25">
      <c r="A11" s="232">
        <f t="shared" si="0"/>
        <v>11</v>
      </c>
      <c r="B11" s="232"/>
      <c r="C11" s="307">
        <f>+C10</f>
        <v>1</v>
      </c>
      <c r="D11" s="308">
        <f>1+D10</f>
        <v>1</v>
      </c>
      <c r="E11" s="309" t="str">
        <f>C11&amp;"."&amp;D11</f>
        <v>1.1</v>
      </c>
      <c r="F11" s="310" t="s">
        <v>11909</v>
      </c>
      <c r="G11" s="311" t="str">
        <f>IF($F11="","",IFERROR(VLOOKUP($F11,SERVIÇOS!$B:$G,2,0),IFERROR(VLOOKUP($F11,'COMPOSIÇÕES COMPLEMENTARES '!$D:$L,2,0),IFERROR(VLOOKUP($F11,INSUMOS!$A:$D,2,0),""))))</f>
        <v>ADMINISTRAÇÃO DE OBRA - EQUIPE DE APOIO</v>
      </c>
      <c r="H11" s="312" t="str">
        <f>IF($F11="","",IFERROR(VLOOKUP($F11,SERVIÇOS!$B:$G,3,0),IFERROR(VLOOKUP($F11,'COMPOSIÇÕES COMPLEMENTARES '!$D:$L,3,0),IFERROR(VLOOKUP($F11,INSUMOS!$A:$D,3,0),""))))</f>
        <v>%</v>
      </c>
      <c r="I11" s="313">
        <v>100</v>
      </c>
      <c r="J11" s="314">
        <f>IF($F11="","",IFERROR(VLOOKUP($F11,SERVIÇOS!$B:$G,4,0),IFERROR(VLOOKUP($F11,'COMPOSIÇÕES COMPLEMENTARES '!$D:$L,6,0),IFERROR(VLOOKUP($F11,INSUMOS!$A:$D,4,0),""))))</f>
        <v>65.17</v>
      </c>
      <c r="K11" s="314">
        <f>IF($F11="","",IFERROR(VLOOKUP($F11,SERVIÇOS!$B:$G,5,0),IFERROR(VLOOKUP($F11,'COMPOSIÇÕES COMPLEMENTARES '!$D:$L,7,0),0)))</f>
        <v>1729.46</v>
      </c>
      <c r="L11" s="314">
        <f>IF(I11="","",J11+K11)</f>
        <v>1794.63</v>
      </c>
      <c r="M11" s="314">
        <f>IF(I11="","",TRUNC((I11*J11),2))</f>
        <v>6517</v>
      </c>
      <c r="N11" s="314">
        <f>IF(I11="","",TRUNC((I11*K11),2))</f>
        <v>172946</v>
      </c>
      <c r="O11" s="314">
        <f>IF(I11="","",TRUNC((M11+N11),2))</f>
        <v>179463</v>
      </c>
      <c r="P11" s="314"/>
      <c r="Q11" s="315"/>
      <c r="R11" s="315"/>
      <c r="S11" s="286"/>
      <c r="T11" s="287"/>
      <c r="U11" s="288" t="str">
        <f t="shared" si="1"/>
        <v/>
      </c>
      <c r="V11" s="287"/>
      <c r="W11" s="289" t="str">
        <f t="shared" si="2"/>
        <v/>
      </c>
      <c r="X11" s="287"/>
      <c r="Y11" s="290" t="str">
        <f t="shared" si="3"/>
        <v/>
      </c>
      <c r="Z11" s="291">
        <f ca="1">SUMIF($T$8:Y$1018,"QUANT.",T11:Y11)</f>
        <v>0</v>
      </c>
      <c r="AA11" s="292">
        <f t="shared" ca="1" si="4"/>
        <v>0</v>
      </c>
      <c r="AB11" s="293" t="str">
        <f t="shared" ca="1" si="5"/>
        <v>MEDIR</v>
      </c>
      <c r="AC11" s="294">
        <f t="shared" ca="1" si="6"/>
        <v>100</v>
      </c>
      <c r="AD11" s="294">
        <f t="shared" ca="1" si="7"/>
        <v>179463</v>
      </c>
      <c r="AE11" s="295"/>
      <c r="AF11" s="295"/>
      <c r="AG11" s="296"/>
      <c r="AH11" s="296"/>
      <c r="AI11" s="296"/>
      <c r="AJ11" s="296"/>
      <c r="AK11" s="296"/>
      <c r="AL11" s="296"/>
      <c r="AM11" s="296"/>
    </row>
    <row r="12" spans="1:39" x14ac:dyDescent="0.25">
      <c r="A12" s="232">
        <f t="shared" si="0"/>
        <v>12</v>
      </c>
      <c r="B12" s="232"/>
      <c r="C12" s="281">
        <f>+E12</f>
        <v>2</v>
      </c>
      <c r="D12" s="297"/>
      <c r="E12" s="298">
        <v>2</v>
      </c>
      <c r="F12" s="298"/>
      <c r="G12" s="299" t="s">
        <v>11910</v>
      </c>
      <c r="H12" s="300"/>
      <c r="I12" s="303"/>
      <c r="J12" s="302"/>
      <c r="K12" s="303"/>
      <c r="L12" s="303" t="str">
        <f t="shared" ref="L12:L17" si="8">IF(I12="","",J12+K12)</f>
        <v/>
      </c>
      <c r="M12" s="304">
        <f>TRUNC(SUMIF(M13:M20,"&gt;0",M13:M20),2)</f>
        <v>21162.82</v>
      </c>
      <c r="N12" s="304">
        <f>TRUNC(SUMIF(N13:N20,"&gt;0",N13:N20),2)</f>
        <v>10513.74</v>
      </c>
      <c r="O12" s="305"/>
      <c r="P12" s="304">
        <f>SUMIF(O13:O20,"&gt;0",O13:O20)</f>
        <v>31676.560000000001</v>
      </c>
      <c r="Q12" s="306"/>
      <c r="R12" s="306"/>
      <c r="S12" s="286"/>
      <c r="T12" s="287"/>
      <c r="U12" s="288" t="str">
        <f t="shared" si="1"/>
        <v/>
      </c>
      <c r="V12" s="287"/>
      <c r="W12" s="289" t="str">
        <f t="shared" si="2"/>
        <v/>
      </c>
      <c r="X12" s="287"/>
      <c r="Y12" s="290" t="str">
        <f t="shared" si="3"/>
        <v/>
      </c>
      <c r="Z12" s="291">
        <f ca="1">SUMIF($T$8:Y$1018,"QUANT.",T12:Y12)</f>
        <v>0</v>
      </c>
      <c r="AA12" s="292">
        <f t="shared" ca="1" si="4"/>
        <v>0</v>
      </c>
      <c r="AB12" s="293" t="str">
        <f t="shared" si="5"/>
        <v/>
      </c>
      <c r="AC12" s="294">
        <f t="shared" ca="1" si="6"/>
        <v>0</v>
      </c>
      <c r="AD12" s="294">
        <f t="shared" ca="1" si="7"/>
        <v>0</v>
      </c>
      <c r="AE12" s="295"/>
      <c r="AF12" s="295"/>
      <c r="AG12" s="296"/>
      <c r="AH12" s="296"/>
      <c r="AI12" s="296"/>
      <c r="AJ12" s="295"/>
      <c r="AK12" s="295"/>
      <c r="AL12" s="295"/>
      <c r="AM12" s="295"/>
    </row>
    <row r="13" spans="1:39" x14ac:dyDescent="0.25">
      <c r="A13" s="232">
        <f t="shared" si="0"/>
        <v>13</v>
      </c>
      <c r="B13" s="232"/>
      <c r="C13" s="316" t="str">
        <f>+E13</f>
        <v>2.1</v>
      </c>
      <c r="D13" s="297"/>
      <c r="E13" s="317" t="s">
        <v>11911</v>
      </c>
      <c r="F13" s="317"/>
      <c r="G13" s="318" t="s">
        <v>11912</v>
      </c>
      <c r="H13" s="317"/>
      <c r="I13" s="319"/>
      <c r="J13" s="317"/>
      <c r="K13" s="317"/>
      <c r="L13" s="317" t="str">
        <f t="shared" si="8"/>
        <v/>
      </c>
      <c r="M13" s="317"/>
      <c r="N13" s="317"/>
      <c r="O13" s="317"/>
      <c r="P13" s="317"/>
      <c r="Q13" s="320"/>
      <c r="R13" s="306"/>
      <c r="S13" s="286"/>
      <c r="T13" s="287"/>
      <c r="U13" s="288" t="str">
        <f t="shared" si="1"/>
        <v/>
      </c>
      <c r="V13" s="287"/>
      <c r="W13" s="289" t="str">
        <f t="shared" si="2"/>
        <v/>
      </c>
      <c r="X13" s="287"/>
      <c r="Y13" s="290" t="str">
        <f t="shared" si="3"/>
        <v/>
      </c>
      <c r="Z13" s="291">
        <f ca="1">SUMIF($T$8:Y$1018,"QUANT.",T13:Y13)</f>
        <v>0</v>
      </c>
      <c r="AA13" s="292">
        <f t="shared" ca="1" si="4"/>
        <v>0</v>
      </c>
      <c r="AB13" s="293" t="str">
        <f t="shared" si="5"/>
        <v/>
      </c>
      <c r="AC13" s="294">
        <f t="shared" ca="1" si="6"/>
        <v>0</v>
      </c>
      <c r="AD13" s="294">
        <f t="shared" ca="1" si="7"/>
        <v>0</v>
      </c>
      <c r="AE13" s="295"/>
      <c r="AF13" s="295"/>
      <c r="AG13" s="296"/>
      <c r="AH13" s="296"/>
      <c r="AI13" s="296"/>
      <c r="AJ13" s="296"/>
      <c r="AK13" s="296"/>
      <c r="AL13" s="296"/>
      <c r="AM13" s="296"/>
    </row>
    <row r="14" spans="1:39" x14ac:dyDescent="0.25">
      <c r="A14" s="232">
        <f t="shared" si="0"/>
        <v>14</v>
      </c>
      <c r="B14" s="232"/>
      <c r="C14" s="307" t="str">
        <f>+C13</f>
        <v>2.1</v>
      </c>
      <c r="D14" s="308">
        <f>1+D13</f>
        <v>1</v>
      </c>
      <c r="E14" s="309" t="str">
        <f>C14&amp;"."&amp;D14</f>
        <v>2.1.1</v>
      </c>
      <c r="F14" s="310" t="s">
        <v>11913</v>
      </c>
      <c r="G14" s="311" t="str">
        <f>IF($F14="","",IFERROR(VLOOKUP($F14,SERVIÇOS!$B:$G,2,0),IFERROR(VLOOKUP($F14,'COMPOSIÇÕES COMPLEMENTARES '!$D:$L,2,0),IFERROR(VLOOKUP($F14,INSUMOS!$A:$D,2,0),""))))</f>
        <v>PLACA DE OBRA EM CHAPA DE ACO GALVANIZADO</v>
      </c>
      <c r="H14" s="312" t="str">
        <f>IF($F14="","",IFERROR(VLOOKUP($F14,SERVIÇOS!$B:$G,3,0),IFERROR(VLOOKUP($F14,'COMPOSIÇÕES COMPLEMENTARES '!$D:$L,3,0),IFERROR(VLOOKUP($F14,INSUMOS!$A:$D,3,0),""))))</f>
        <v>M2</v>
      </c>
      <c r="I14" s="313">
        <v>2.5</v>
      </c>
      <c r="J14" s="314">
        <f>IF($F14="","",IFERROR(VLOOKUP($F14,SERVIÇOS!$B:$G,4,0),IFERROR(VLOOKUP($F14,'COMPOSIÇÕES COMPLEMENTARES '!$D:$L,6,0),IFERROR(VLOOKUP($F14,INSUMOS!$A:$D,4,0),""))))</f>
        <v>468.7</v>
      </c>
      <c r="K14" s="314">
        <f>IF($F14="","",IFERROR(VLOOKUP($F14,SERVIÇOS!$B:$G,5,0),IFERROR(VLOOKUP($F14,'COMPOSIÇÕES COMPLEMENTARES '!$D:$L,7,0),0)))</f>
        <v>67.2</v>
      </c>
      <c r="L14" s="314">
        <f t="shared" si="8"/>
        <v>535.9</v>
      </c>
      <c r="M14" s="314">
        <f>IF(I14="","",TRUNC((I14*J14),2))</f>
        <v>1171.75</v>
      </c>
      <c r="N14" s="314">
        <f>IF(I14="","",TRUNC((I14*K14),2))</f>
        <v>168</v>
      </c>
      <c r="O14" s="314">
        <f>IF(I14="","",TRUNC((M14+N14),2))</f>
        <v>1339.75</v>
      </c>
      <c r="P14" s="314"/>
      <c r="Q14" s="315"/>
      <c r="R14" s="315"/>
      <c r="S14" s="286"/>
      <c r="T14" s="287"/>
      <c r="U14" s="288" t="str">
        <f t="shared" si="1"/>
        <v/>
      </c>
      <c r="V14" s="287"/>
      <c r="W14" s="289" t="str">
        <f t="shared" si="2"/>
        <v/>
      </c>
      <c r="X14" s="287"/>
      <c r="Y14" s="290" t="str">
        <f t="shared" si="3"/>
        <v/>
      </c>
      <c r="Z14" s="291">
        <f ca="1">SUMIF($T$8:Y$1018,"QUANT.",T14:Y14)</f>
        <v>0</v>
      </c>
      <c r="AA14" s="292">
        <f t="shared" ca="1" si="4"/>
        <v>0</v>
      </c>
      <c r="AB14" s="293" t="str">
        <f t="shared" ca="1" si="5"/>
        <v>MEDIR</v>
      </c>
      <c r="AC14" s="294">
        <f t="shared" ca="1" si="6"/>
        <v>2.5</v>
      </c>
      <c r="AD14" s="294">
        <f t="shared" ca="1" si="7"/>
        <v>1339.75</v>
      </c>
      <c r="AE14" s="295"/>
      <c r="AF14" s="295"/>
      <c r="AG14" s="296"/>
      <c r="AH14" s="296"/>
      <c r="AI14" s="296"/>
      <c r="AJ14" s="295"/>
      <c r="AK14" s="295"/>
      <c r="AL14" s="295"/>
      <c r="AM14" s="295"/>
    </row>
    <row r="15" spans="1:39" ht="25.5" x14ac:dyDescent="0.25">
      <c r="A15" s="232">
        <f t="shared" si="0"/>
        <v>15</v>
      </c>
      <c r="B15" s="232"/>
      <c r="C15" s="307" t="str">
        <f>+C14</f>
        <v>2.1</v>
      </c>
      <c r="D15" s="308">
        <f>1+D14</f>
        <v>2</v>
      </c>
      <c r="E15" s="309" t="str">
        <f>C15&amp;"."&amp;D15</f>
        <v>2.1.2</v>
      </c>
      <c r="F15" s="310" t="s">
        <v>11914</v>
      </c>
      <c r="G15" s="311" t="str">
        <f>IF($F15="","",IFERROR(VLOOKUP($F15,SERVIÇOS!$B:$G,2,0),IFERROR(VLOOKUP($F15,'COMPOSIÇÕES COMPLEMENTARES '!$D:$L,2,0),IFERROR(VLOOKUP($F15,INSUMOS!$A:$D,2,0),""))))</f>
        <v>LOCAÇÃO CONVENCIONAL DE OBRA, ATRAVÉS DE GABARITO DE TABUAS CORRIDAS PONTALETADAS, COM REAPROVEITAMENTO DE 3 VEZES</v>
      </c>
      <c r="H15" s="312" t="str">
        <f>IF($F15="","",IFERROR(VLOOKUP($F15,SERVIÇOS!$B:$G,3,0),IFERROR(VLOOKUP($F15,'COMPOSIÇÕES COMPLEMENTARES '!$D:$L,3,0),IFERROR(VLOOKUP($F15,INSUMOS!$A:$D,3,0),""))))</f>
        <v>M2</v>
      </c>
      <c r="I15" s="313">
        <v>755.45</v>
      </c>
      <c r="J15" s="314">
        <f>IF($F15="","",IFERROR(VLOOKUP($F15,SERVIÇOS!$B:$G,4,0),IFERROR(VLOOKUP($F15,'COMPOSIÇÕES COMPLEMENTARES '!$D:$L,6,0),IFERROR(VLOOKUP($F15,INSUMOS!$A:$D,4,0),""))))</f>
        <v>6.7</v>
      </c>
      <c r="K15" s="314">
        <f>IF($F15="","",IFERROR(VLOOKUP($F15,SERVIÇOS!$B:$G,5,0),IFERROR(VLOOKUP($F15,'COMPOSIÇÕES COMPLEMENTARES '!$D:$L,7,0),0)))</f>
        <v>4.68</v>
      </c>
      <c r="L15" s="314">
        <f t="shared" si="8"/>
        <v>11.379999999999999</v>
      </c>
      <c r="M15" s="314">
        <f>IF(I15="","",TRUNC((I15*J15),2))</f>
        <v>5061.51</v>
      </c>
      <c r="N15" s="314">
        <f>IF(I15="","",TRUNC((I15*K15),2))</f>
        <v>3535.5</v>
      </c>
      <c r="O15" s="314">
        <f>IF(I15="","",TRUNC((M15+N15),2))</f>
        <v>8597.01</v>
      </c>
      <c r="P15" s="314"/>
      <c r="Q15" s="315"/>
      <c r="R15" s="315"/>
      <c r="S15" s="286"/>
      <c r="T15" s="287"/>
      <c r="U15" s="288" t="str">
        <f t="shared" si="1"/>
        <v/>
      </c>
      <c r="V15" s="287"/>
      <c r="W15" s="289" t="str">
        <f t="shared" si="2"/>
        <v/>
      </c>
      <c r="X15" s="287"/>
      <c r="Y15" s="290" t="str">
        <f t="shared" si="3"/>
        <v/>
      </c>
      <c r="Z15" s="291">
        <f ca="1">SUMIF($T$8:Y$1018,"QUANT.",T15:Y15)</f>
        <v>0</v>
      </c>
      <c r="AA15" s="292">
        <f t="shared" ca="1" si="4"/>
        <v>0</v>
      </c>
      <c r="AB15" s="293" t="str">
        <f t="shared" ca="1" si="5"/>
        <v>MEDIR</v>
      </c>
      <c r="AC15" s="294">
        <f t="shared" ca="1" si="6"/>
        <v>755.45</v>
      </c>
      <c r="AD15" s="294">
        <f t="shared" ca="1" si="7"/>
        <v>8597.01</v>
      </c>
      <c r="AE15" s="295"/>
      <c r="AF15" s="295"/>
      <c r="AG15" s="296"/>
      <c r="AH15" s="296"/>
      <c r="AI15" s="296"/>
      <c r="AJ15" s="296"/>
      <c r="AK15" s="296"/>
      <c r="AL15" s="296"/>
      <c r="AM15" s="296"/>
    </row>
    <row r="16" spans="1:39" x14ac:dyDescent="0.25">
      <c r="A16" s="232">
        <f t="shared" si="0"/>
        <v>16</v>
      </c>
      <c r="B16" s="232"/>
      <c r="C16" s="307" t="str">
        <f>+C15</f>
        <v>2.1</v>
      </c>
      <c r="D16" s="308">
        <f>1+D15</f>
        <v>3</v>
      </c>
      <c r="E16" s="309" t="str">
        <f>C16&amp;"."&amp;D16</f>
        <v>2.1.3</v>
      </c>
      <c r="F16" s="310">
        <v>98459</v>
      </c>
      <c r="G16" s="311" t="str">
        <f>IF($F16="","",IFERROR(VLOOKUP($F16,SERVIÇOS!$B:$G,2,0),IFERROR(VLOOKUP($F16,'COMPOSIÇÕES COMPLEMENTARES '!$D:$L,2,0),IFERROR(VLOOKUP($F16,INSUMOS!$A:$D,2,0),""))))</f>
        <v>TAPUME COM TELHA METÁLICA. AF_03/2024</v>
      </c>
      <c r="H16" s="312" t="str">
        <f>IF($F16="","",IFERROR(VLOOKUP($F16,SERVIÇOS!$B:$G,3,0),IFERROR(VLOOKUP($F16,'COMPOSIÇÕES COMPLEMENTARES '!$D:$L,3,0),IFERROR(VLOOKUP($F16,INSUMOS!$A:$D,3,0),""))))</f>
        <v>M2</v>
      </c>
      <c r="I16" s="313">
        <v>197.8</v>
      </c>
      <c r="J16" s="314">
        <f>IF($F16="","",IFERROR(VLOOKUP($F16,SERVIÇOS!$B:$G,4,0),IFERROR(VLOOKUP($F16,'COMPOSIÇÕES COMPLEMENTARES '!$D:$L,6,0),IFERROR(VLOOKUP($F16,INSUMOS!$A:$D,4,0),""))))</f>
        <v>62.82</v>
      </c>
      <c r="K16" s="314">
        <f>IF($F16="","",IFERROR(VLOOKUP($F16,SERVIÇOS!$B:$G,5,0),IFERROR(VLOOKUP($F16,'COMPOSIÇÕES COMPLEMENTARES '!$D:$L,7,0),0)))</f>
        <v>32.06</v>
      </c>
      <c r="L16" s="314">
        <f t="shared" si="8"/>
        <v>94.88</v>
      </c>
      <c r="M16" s="314">
        <f>IF(I16="","",TRUNC((I16*J16),2))</f>
        <v>12425.79</v>
      </c>
      <c r="N16" s="314">
        <f>IF(I16="","",TRUNC((I16*K16),2))</f>
        <v>6341.46</v>
      </c>
      <c r="O16" s="314">
        <f>IF(I16="","",TRUNC((M16+N16),2))</f>
        <v>18767.25</v>
      </c>
      <c r="P16" s="314"/>
      <c r="Q16" s="315"/>
      <c r="R16" s="315"/>
      <c r="S16" s="286"/>
      <c r="T16" s="287"/>
      <c r="U16" s="288" t="str">
        <f t="shared" si="1"/>
        <v/>
      </c>
      <c r="V16" s="287"/>
      <c r="W16" s="289" t="str">
        <f t="shared" si="2"/>
        <v/>
      </c>
      <c r="X16" s="287"/>
      <c r="Y16" s="290" t="str">
        <f t="shared" si="3"/>
        <v/>
      </c>
      <c r="Z16" s="291">
        <f ca="1">SUMIF($T$8:Y$1018,"QUANT.",T16:Y16)</f>
        <v>0</v>
      </c>
      <c r="AA16" s="292">
        <f t="shared" ca="1" si="4"/>
        <v>0</v>
      </c>
      <c r="AB16" s="293" t="str">
        <f t="shared" ca="1" si="5"/>
        <v>MEDIR</v>
      </c>
      <c r="AC16" s="294">
        <f t="shared" ca="1" si="6"/>
        <v>197.8</v>
      </c>
      <c r="AD16" s="294">
        <f t="shared" ca="1" si="7"/>
        <v>18767.25</v>
      </c>
      <c r="AE16" s="295"/>
      <c r="AF16" s="295"/>
      <c r="AG16" s="296"/>
      <c r="AH16" s="296"/>
      <c r="AI16" s="296"/>
      <c r="AJ16" s="296"/>
      <c r="AK16" s="296"/>
      <c r="AL16" s="296"/>
      <c r="AM16" s="296"/>
    </row>
    <row r="17" spans="1:39" x14ac:dyDescent="0.25">
      <c r="A17" s="232">
        <f t="shared" si="0"/>
        <v>17</v>
      </c>
      <c r="B17" s="232"/>
      <c r="C17" s="316" t="str">
        <f>+E17</f>
        <v>2.2</v>
      </c>
      <c r="D17" s="297"/>
      <c r="E17" s="317" t="s">
        <v>11915</v>
      </c>
      <c r="F17" s="317"/>
      <c r="G17" s="318" t="s">
        <v>11916</v>
      </c>
      <c r="H17" s="317"/>
      <c r="I17" s="319"/>
      <c r="J17" s="317"/>
      <c r="K17" s="317"/>
      <c r="L17" s="317" t="str">
        <f t="shared" si="8"/>
        <v/>
      </c>
      <c r="M17" s="317"/>
      <c r="N17" s="317"/>
      <c r="O17" s="317"/>
      <c r="P17" s="317"/>
      <c r="Q17" s="320"/>
      <c r="R17" s="306"/>
      <c r="S17" s="286"/>
      <c r="T17" s="287"/>
      <c r="U17" s="288" t="str">
        <f t="shared" si="1"/>
        <v/>
      </c>
      <c r="V17" s="287"/>
      <c r="W17" s="289" t="str">
        <f t="shared" si="2"/>
        <v/>
      </c>
      <c r="X17" s="287"/>
      <c r="Y17" s="290" t="str">
        <f t="shared" si="3"/>
        <v/>
      </c>
      <c r="Z17" s="291">
        <f ca="1">SUMIF($T$8:Y$1018,"QUANT.",T17:Y17)</f>
        <v>0</v>
      </c>
      <c r="AA17" s="292">
        <f t="shared" ca="1" si="4"/>
        <v>0</v>
      </c>
      <c r="AB17" s="293" t="str">
        <f t="shared" si="5"/>
        <v/>
      </c>
      <c r="AC17" s="294">
        <f t="shared" ca="1" si="6"/>
        <v>0</v>
      </c>
      <c r="AD17" s="294">
        <f t="shared" ca="1" si="7"/>
        <v>0</v>
      </c>
      <c r="AE17" s="295"/>
      <c r="AF17" s="295"/>
      <c r="AG17" s="296"/>
      <c r="AH17" s="296"/>
      <c r="AI17" s="296"/>
      <c r="AJ17" s="295"/>
      <c r="AK17" s="295"/>
      <c r="AL17" s="295"/>
      <c r="AM17" s="295"/>
    </row>
    <row r="18" spans="1:39" ht="25.5" x14ac:dyDescent="0.25">
      <c r="A18" s="232">
        <f t="shared" si="0"/>
        <v>18</v>
      </c>
      <c r="B18" s="232"/>
      <c r="C18" s="307" t="str">
        <f>+C17</f>
        <v>2.2</v>
      </c>
      <c r="D18" s="308">
        <f>1+D17</f>
        <v>1</v>
      </c>
      <c r="E18" s="309" t="str">
        <f>C18&amp;"."&amp;D18</f>
        <v>2.2.1</v>
      </c>
      <c r="F18" s="310">
        <v>95635</v>
      </c>
      <c r="G18" s="311" t="str">
        <f>IF($F18="","",IFERROR(VLOOKUP($F18,SERVIÇOS!$B:$G,2,0),IFERROR(VLOOKUP($F18,'COMPOSIÇÕES COMPLEMENTARES '!$D:$L,2,0),IFERROR(VLOOKUP($F18,INSUMOS!$A:$D,2,0),""))))</f>
        <v>KIT CAVALETE PARA MEDIÇÃO DE ÁGUA - ENTRADA PRINCIPAL, EM PVC 25 MM (3/4") - FORNECIMENTO E INSTALAÇÃO (EXCLUSIVE HIDRÔMETRO). AF_03/2024</v>
      </c>
      <c r="H18" s="312" t="str">
        <f>IF($F18="","",IFERROR(VLOOKUP($F18,SERVIÇOS!$B:$G,3,0),IFERROR(VLOOKUP($F18,'COMPOSIÇÕES COMPLEMENTARES '!$D:$L,3,0),IFERROR(VLOOKUP($F18,INSUMOS!$A:$D,3,0),""))))</f>
        <v>UN</v>
      </c>
      <c r="I18" s="313">
        <v>1</v>
      </c>
      <c r="J18" s="314">
        <f>IF($F18="","",IFERROR(VLOOKUP($F18,SERVIÇOS!$B:$G,4,0),IFERROR(VLOOKUP($F18,'COMPOSIÇÕES COMPLEMENTARES '!$D:$L,6,0),IFERROR(VLOOKUP($F18,INSUMOS!$A:$D,4,0),""))))</f>
        <v>144.9</v>
      </c>
      <c r="K18" s="314">
        <f>IF($F18="","",IFERROR(VLOOKUP($F18,SERVIÇOS!$B:$G,5,0),IFERROR(VLOOKUP($F18,'COMPOSIÇÕES COMPLEMENTARES '!$D:$L,7,0),0)))</f>
        <v>72.459999999999994</v>
      </c>
      <c r="L18" s="314">
        <f>IF(I18="","",J18+K18)</f>
        <v>217.36</v>
      </c>
      <c r="M18" s="314">
        <f>IF(I18="","",TRUNC((I18*J18),2))</f>
        <v>144.9</v>
      </c>
      <c r="N18" s="314">
        <f>IF(I18="","",TRUNC((I18*K18),2))</f>
        <v>72.459999999999994</v>
      </c>
      <c r="O18" s="314">
        <f>IF(I18="","",TRUNC((M18+N18),2))</f>
        <v>217.36</v>
      </c>
      <c r="P18" s="314"/>
      <c r="Q18" s="315"/>
      <c r="R18" s="315"/>
      <c r="S18" s="286"/>
      <c r="T18" s="287"/>
      <c r="U18" s="288" t="str">
        <f t="shared" si="1"/>
        <v/>
      </c>
      <c r="V18" s="287"/>
      <c r="W18" s="289" t="str">
        <f t="shared" si="2"/>
        <v/>
      </c>
      <c r="X18" s="287"/>
      <c r="Y18" s="290" t="str">
        <f t="shared" si="3"/>
        <v/>
      </c>
      <c r="Z18" s="291">
        <f ca="1">SUMIF($T$8:Y$1018,"QUANT.",T18:Y18)</f>
        <v>0</v>
      </c>
      <c r="AA18" s="292">
        <f t="shared" ca="1" si="4"/>
        <v>0</v>
      </c>
      <c r="AB18" s="293" t="str">
        <f t="shared" ca="1" si="5"/>
        <v>MEDIR</v>
      </c>
      <c r="AC18" s="294">
        <f t="shared" ca="1" si="6"/>
        <v>1</v>
      </c>
      <c r="AD18" s="294">
        <f t="shared" ca="1" si="7"/>
        <v>217.36</v>
      </c>
      <c r="AE18" s="295"/>
      <c r="AF18" s="295"/>
      <c r="AG18" s="296"/>
      <c r="AH18" s="296"/>
      <c r="AI18" s="296"/>
      <c r="AJ18" s="296"/>
      <c r="AK18" s="296"/>
      <c r="AL18" s="296"/>
      <c r="AM18" s="296"/>
    </row>
    <row r="19" spans="1:39" x14ac:dyDescent="0.25">
      <c r="A19" s="232">
        <f t="shared" si="0"/>
        <v>19</v>
      </c>
      <c r="B19" s="232"/>
      <c r="C19" s="316" t="str">
        <f>+E19</f>
        <v>2.3</v>
      </c>
      <c r="D19" s="297"/>
      <c r="E19" s="317" t="s">
        <v>11917</v>
      </c>
      <c r="F19" s="317"/>
      <c r="G19" s="318" t="s">
        <v>11918</v>
      </c>
      <c r="H19" s="317"/>
      <c r="I19" s="319"/>
      <c r="J19" s="317"/>
      <c r="K19" s="317"/>
      <c r="L19" s="317"/>
      <c r="M19" s="317"/>
      <c r="N19" s="317"/>
      <c r="O19" s="317"/>
      <c r="P19" s="317"/>
      <c r="Q19" s="320"/>
      <c r="R19" s="306"/>
      <c r="S19" s="286"/>
      <c r="T19" s="287"/>
      <c r="U19" s="288" t="str">
        <f t="shared" si="1"/>
        <v/>
      </c>
      <c r="V19" s="287"/>
      <c r="W19" s="289" t="str">
        <f t="shared" si="2"/>
        <v/>
      </c>
      <c r="X19" s="287"/>
      <c r="Y19" s="290" t="str">
        <f t="shared" si="3"/>
        <v/>
      </c>
      <c r="Z19" s="291">
        <f ca="1">SUMIF($T$8:Y$1018,"QUANT.",T19:Y19)</f>
        <v>0</v>
      </c>
      <c r="AA19" s="292">
        <f t="shared" ca="1" si="4"/>
        <v>0</v>
      </c>
      <c r="AB19" s="293" t="str">
        <f t="shared" si="5"/>
        <v/>
      </c>
      <c r="AC19" s="294">
        <f t="shared" ca="1" si="6"/>
        <v>0</v>
      </c>
      <c r="AD19" s="294">
        <f t="shared" ca="1" si="7"/>
        <v>0</v>
      </c>
      <c r="AE19" s="295"/>
      <c r="AF19" s="295"/>
      <c r="AG19" s="296"/>
      <c r="AH19" s="296"/>
      <c r="AI19" s="296"/>
      <c r="AJ19" s="295"/>
      <c r="AK19" s="295"/>
      <c r="AL19" s="295"/>
      <c r="AM19" s="295"/>
    </row>
    <row r="20" spans="1:39" x14ac:dyDescent="0.25">
      <c r="A20" s="232">
        <f t="shared" si="0"/>
        <v>20</v>
      </c>
      <c r="B20" s="232"/>
      <c r="C20" s="307" t="str">
        <f>+C19</f>
        <v>2.3</v>
      </c>
      <c r="D20" s="308">
        <f>1+D19</f>
        <v>1</v>
      </c>
      <c r="E20" s="309" t="str">
        <f>C20&amp;"."&amp;D20</f>
        <v>2.3.1</v>
      </c>
      <c r="F20" s="310" t="s">
        <v>11919</v>
      </c>
      <c r="G20" s="311" t="str">
        <f>IF($F20="","",IFERROR(VLOOKUP($F20,SERVIÇOS!$B:$G,2,0),IFERROR(VLOOKUP($F20,'COMPOSIÇÕES COMPLEMENTARES '!$D:$L,2,0),IFERROR(VLOOKUP($F20,INSUMOS!$A:$D,2,0),""))))</f>
        <v>ENTRADA PROVISORIA DE ENERGIA ELETRICA AÉREA TRIFASICA 40A EM POSTE DE MADEIRA</v>
      </c>
      <c r="H20" s="312" t="str">
        <f>IF($F20="","",IFERROR(VLOOKUP($F20,SERVIÇOS!$B:$G,3,0),IFERROR(VLOOKUP($F20,'COMPOSIÇÕES COMPLEMENTARES '!$D:$L,3,0),IFERROR(VLOOKUP($F20,INSUMOS!$A:$D,3,0),""))))</f>
        <v>CJ</v>
      </c>
      <c r="I20" s="313">
        <v>1</v>
      </c>
      <c r="J20" s="314">
        <f>IF($F20="","",IFERROR(VLOOKUP($F20,SERVIÇOS!$B:$G,4,0),IFERROR(VLOOKUP($F20,'COMPOSIÇÕES COMPLEMENTARES '!$D:$L,6,0),IFERROR(VLOOKUP($F20,INSUMOS!$A:$D,4,0),""))))</f>
        <v>2358.87</v>
      </c>
      <c r="K20" s="314">
        <f>IF($F20="","",IFERROR(VLOOKUP($F20,SERVIÇOS!$B:$G,5,0),IFERROR(VLOOKUP($F20,'COMPOSIÇÕES COMPLEMENTARES '!$D:$L,7,0),0)))</f>
        <v>396.32</v>
      </c>
      <c r="L20" s="314">
        <f>IF(I20="","",J20+K20)</f>
        <v>2755.19</v>
      </c>
      <c r="M20" s="314">
        <f>IF(I20="","",TRUNC((I20*J20),2))</f>
        <v>2358.87</v>
      </c>
      <c r="N20" s="314">
        <f>IF(I20="","",TRUNC((I20*K20),2))</f>
        <v>396.32</v>
      </c>
      <c r="O20" s="314">
        <f>IF(I20="","",TRUNC((M20+N20),2))</f>
        <v>2755.19</v>
      </c>
      <c r="P20" s="314"/>
      <c r="Q20" s="315"/>
      <c r="R20" s="315"/>
      <c r="S20" s="286"/>
      <c r="T20" s="287"/>
      <c r="U20" s="288" t="str">
        <f t="shared" si="1"/>
        <v/>
      </c>
      <c r="V20" s="287"/>
      <c r="W20" s="289" t="str">
        <f t="shared" si="2"/>
        <v/>
      </c>
      <c r="X20" s="287"/>
      <c r="Y20" s="290" t="str">
        <f t="shared" si="3"/>
        <v/>
      </c>
      <c r="Z20" s="291">
        <f ca="1">SUMIF($T$8:Y$1018,"QUANT.",T20:Y20)</f>
        <v>0</v>
      </c>
      <c r="AA20" s="292">
        <f t="shared" ca="1" si="4"/>
        <v>0</v>
      </c>
      <c r="AB20" s="293" t="str">
        <f t="shared" ca="1" si="5"/>
        <v>MEDIR</v>
      </c>
      <c r="AC20" s="294">
        <f t="shared" ca="1" si="6"/>
        <v>1</v>
      </c>
      <c r="AD20" s="294">
        <f t="shared" ca="1" si="7"/>
        <v>2755.19</v>
      </c>
      <c r="AE20" s="295"/>
      <c r="AF20" s="295"/>
      <c r="AG20" s="296"/>
      <c r="AH20" s="296"/>
      <c r="AI20" s="296"/>
      <c r="AJ20" s="296"/>
      <c r="AK20" s="296"/>
      <c r="AL20" s="296"/>
      <c r="AM20" s="296"/>
    </row>
    <row r="21" spans="1:39" x14ac:dyDescent="0.25">
      <c r="A21" s="232">
        <f t="shared" si="0"/>
        <v>21</v>
      </c>
      <c r="B21" s="232"/>
      <c r="C21" s="281">
        <f>+E21</f>
        <v>3</v>
      </c>
      <c r="D21" s="297"/>
      <c r="E21" s="298">
        <v>3</v>
      </c>
      <c r="F21" s="298"/>
      <c r="G21" s="299" t="s">
        <v>11920</v>
      </c>
      <c r="H21" s="300"/>
      <c r="I21" s="303"/>
      <c r="J21" s="302"/>
      <c r="K21" s="303"/>
      <c r="L21" s="303"/>
      <c r="M21" s="304">
        <f>TRUNC(SUMIF(M22:M27,"&gt;0",M22:M27),2)</f>
        <v>4527.82</v>
      </c>
      <c r="N21" s="304">
        <f>TRUNC(SUMIF(N22:N27,"&gt;0",N22:N27),2)</f>
        <v>7211.91</v>
      </c>
      <c r="O21" s="305"/>
      <c r="P21" s="304">
        <f>SUMIF(O22:O27,"&gt;0",O22:O27)</f>
        <v>11739.73</v>
      </c>
      <c r="Q21" s="306"/>
      <c r="R21" s="306"/>
      <c r="S21" s="286"/>
      <c r="T21" s="287"/>
      <c r="U21" s="288" t="str">
        <f t="shared" si="1"/>
        <v/>
      </c>
      <c r="V21" s="287"/>
      <c r="W21" s="289" t="str">
        <f t="shared" si="2"/>
        <v/>
      </c>
      <c r="X21" s="287"/>
      <c r="Y21" s="290" t="str">
        <f t="shared" si="3"/>
        <v/>
      </c>
      <c r="Z21" s="291">
        <f ca="1">SUMIF($T$8:Y$1018,"QUANT.",T21:Y21)</f>
        <v>0</v>
      </c>
      <c r="AA21" s="292">
        <f t="shared" ca="1" si="4"/>
        <v>0</v>
      </c>
      <c r="AB21" s="293" t="str">
        <f t="shared" si="5"/>
        <v/>
      </c>
      <c r="AC21" s="294">
        <f t="shared" ca="1" si="6"/>
        <v>0</v>
      </c>
      <c r="AD21" s="294">
        <f t="shared" ca="1" si="7"/>
        <v>0</v>
      </c>
      <c r="AE21" s="295"/>
      <c r="AF21" s="295"/>
      <c r="AG21" s="296"/>
      <c r="AH21" s="296"/>
      <c r="AI21" s="296"/>
      <c r="AJ21" s="295"/>
      <c r="AK21" s="295"/>
      <c r="AL21" s="295"/>
      <c r="AM21" s="295"/>
    </row>
    <row r="22" spans="1:39" x14ac:dyDescent="0.25">
      <c r="A22" s="232">
        <f t="shared" si="0"/>
        <v>22</v>
      </c>
      <c r="B22" s="232"/>
      <c r="C22" s="316" t="str">
        <f>+E22</f>
        <v>3.1</v>
      </c>
      <c r="D22" s="297"/>
      <c r="E22" s="317" t="s">
        <v>11921</v>
      </c>
      <c r="F22" s="317"/>
      <c r="G22" s="318" t="s">
        <v>11922</v>
      </c>
      <c r="H22" s="317"/>
      <c r="I22" s="319"/>
      <c r="J22" s="317"/>
      <c r="K22" s="317"/>
      <c r="L22" s="317"/>
      <c r="M22" s="317"/>
      <c r="N22" s="317"/>
      <c r="O22" s="317"/>
      <c r="P22" s="317"/>
      <c r="Q22" s="320"/>
      <c r="R22" s="306"/>
      <c r="S22" s="286"/>
      <c r="T22" s="287"/>
      <c r="U22" s="288" t="str">
        <f t="shared" si="1"/>
        <v/>
      </c>
      <c r="V22" s="287"/>
      <c r="W22" s="289" t="str">
        <f t="shared" si="2"/>
        <v/>
      </c>
      <c r="X22" s="287"/>
      <c r="Y22" s="290" t="str">
        <f t="shared" si="3"/>
        <v/>
      </c>
      <c r="Z22" s="291">
        <f ca="1">SUMIF($T$8:Y$1018,"QUANT.",T22:Y22)</f>
        <v>0</v>
      </c>
      <c r="AA22" s="292">
        <f t="shared" ca="1" si="4"/>
        <v>0</v>
      </c>
      <c r="AB22" s="293" t="str">
        <f t="shared" si="5"/>
        <v/>
      </c>
      <c r="AC22" s="294">
        <f t="shared" ca="1" si="6"/>
        <v>0</v>
      </c>
      <c r="AD22" s="294">
        <f t="shared" ca="1" si="7"/>
        <v>0</v>
      </c>
      <c r="AE22" s="295"/>
      <c r="AF22" s="295"/>
      <c r="AG22" s="296"/>
      <c r="AH22" s="296"/>
      <c r="AI22" s="296"/>
      <c r="AJ22" s="296"/>
      <c r="AK22" s="296"/>
      <c r="AL22" s="296"/>
      <c r="AM22" s="296"/>
    </row>
    <row r="23" spans="1:39" x14ac:dyDescent="0.25">
      <c r="A23" s="232">
        <f t="shared" si="0"/>
        <v>23</v>
      </c>
      <c r="B23" s="232"/>
      <c r="C23" s="307" t="str">
        <f>+C22</f>
        <v>3.1</v>
      </c>
      <c r="D23" s="308">
        <f>1+D22</f>
        <v>1</v>
      </c>
      <c r="E23" s="309" t="str">
        <f>C23&amp;"."&amp;D23</f>
        <v>3.1.1</v>
      </c>
      <c r="F23" s="310">
        <v>93358</v>
      </c>
      <c r="G23" s="311" t="str">
        <f>IF($F23="","",IFERROR(VLOOKUP($F23,SERVIÇOS!$B:$G,2,0),IFERROR(VLOOKUP($F23,'COMPOSIÇÕES COMPLEMENTARES '!$D:$L,2,0),IFERROR(VLOOKUP($F23,INSUMOS!$A:$D,2,0),""))))</f>
        <v>ESCAVAÇÃO MANUAL DE VALA. AF_09/2024</v>
      </c>
      <c r="H23" s="312" t="str">
        <f>IF($F23="","",IFERROR(VLOOKUP($F23,SERVIÇOS!$B:$G,3,0),IFERROR(VLOOKUP($F23,'COMPOSIÇÕES COMPLEMENTARES '!$D:$L,3,0),IFERROR(VLOOKUP($F23,INSUMOS!$A:$D,3,0),""))))</f>
        <v>M3</v>
      </c>
      <c r="I23" s="313">
        <v>69.430000000000007</v>
      </c>
      <c r="J23" s="314">
        <f>IF($F23="","",IFERROR(VLOOKUP($F23,SERVIÇOS!$B:$G,4,0),IFERROR(VLOOKUP($F23,'COMPOSIÇÕES COMPLEMENTARES '!$D:$L,6,0),IFERROR(VLOOKUP($F23,INSUMOS!$A:$D,4,0),""))))</f>
        <v>36.369999999999997</v>
      </c>
      <c r="K23" s="314">
        <f>IF($F23="","",IFERROR(VLOOKUP($F23,SERVIÇOS!$B:$G,5,0),IFERROR(VLOOKUP($F23,'COMPOSIÇÕES COMPLEMENTARES '!$D:$L,7,0),0)))</f>
        <v>77.2</v>
      </c>
      <c r="L23" s="314">
        <f>IF(I23="","",J23+K23)</f>
        <v>113.57</v>
      </c>
      <c r="M23" s="314">
        <f>IF(I23="","",TRUNC((I23*J23),2))</f>
        <v>2525.16</v>
      </c>
      <c r="N23" s="314">
        <f>IF(I23="","",TRUNC((I23*K23),2))</f>
        <v>5359.99</v>
      </c>
      <c r="O23" s="314">
        <f>IF(I23="","",TRUNC((M23+N23),2))</f>
        <v>7885.15</v>
      </c>
      <c r="P23" s="314"/>
      <c r="Q23" s="315"/>
      <c r="R23" s="315"/>
      <c r="S23" s="286"/>
      <c r="T23" s="287"/>
      <c r="U23" s="288" t="str">
        <f t="shared" si="1"/>
        <v/>
      </c>
      <c r="V23" s="287"/>
      <c r="W23" s="289" t="str">
        <f t="shared" si="2"/>
        <v/>
      </c>
      <c r="X23" s="287"/>
      <c r="Y23" s="290" t="str">
        <f t="shared" si="3"/>
        <v/>
      </c>
      <c r="Z23" s="291">
        <f ca="1">SUMIF($T$8:Y$1018,"QUANT.",T23:Y23)</f>
        <v>0</v>
      </c>
      <c r="AA23" s="292">
        <f t="shared" ca="1" si="4"/>
        <v>0</v>
      </c>
      <c r="AB23" s="293" t="str">
        <f t="shared" ca="1" si="5"/>
        <v>MEDIR</v>
      </c>
      <c r="AC23" s="294">
        <f t="shared" ca="1" si="6"/>
        <v>69.430000000000007</v>
      </c>
      <c r="AD23" s="294">
        <f t="shared" ca="1" si="7"/>
        <v>7885.15</v>
      </c>
      <c r="AE23" s="295"/>
      <c r="AF23" s="295"/>
      <c r="AG23" s="296"/>
      <c r="AH23" s="296"/>
      <c r="AI23" s="296"/>
      <c r="AJ23" s="295"/>
      <c r="AK23" s="295"/>
      <c r="AL23" s="295"/>
      <c r="AM23" s="295"/>
    </row>
    <row r="24" spans="1:39" x14ac:dyDescent="0.25">
      <c r="A24" s="232">
        <f t="shared" si="0"/>
        <v>24</v>
      </c>
      <c r="B24" s="232"/>
      <c r="C24" s="307" t="str">
        <f>+C23</f>
        <v>3.1</v>
      </c>
      <c r="D24" s="308">
        <f>1+D23</f>
        <v>2</v>
      </c>
      <c r="E24" s="309" t="str">
        <f>C24&amp;"."&amp;D24</f>
        <v>3.1.2</v>
      </c>
      <c r="F24" s="310">
        <v>101616</v>
      </c>
      <c r="G24" s="311" t="str">
        <f>IF($F24="","",IFERROR(VLOOKUP($F24,SERVIÇOS!$B:$G,2,0),IFERROR(VLOOKUP($F24,'COMPOSIÇÕES COMPLEMENTARES '!$D:$L,2,0),IFERROR(VLOOKUP($F24,INSUMOS!$A:$D,2,0),""))))</f>
        <v>PREPARO DE FUNDO DE VALA COM LARGURA MENOR QUE 1,5 M (ACERTO DO SOLO NATURAL). AF_08/2020</v>
      </c>
      <c r="H24" s="312" t="str">
        <f>IF($F24="","",IFERROR(VLOOKUP($F24,SERVIÇOS!$B:$G,3,0),IFERROR(VLOOKUP($F24,'COMPOSIÇÕES COMPLEMENTARES '!$D:$L,3,0),IFERROR(VLOOKUP($F24,INSUMOS!$A:$D,3,0),""))))</f>
        <v>M2</v>
      </c>
      <c r="I24" s="313">
        <v>140.51</v>
      </c>
      <c r="J24" s="314">
        <f>IF($F24="","",IFERROR(VLOOKUP($F24,SERVIÇOS!$B:$G,4,0),IFERROR(VLOOKUP($F24,'COMPOSIÇÕES COMPLEMENTARES '!$D:$L,6,0),IFERROR(VLOOKUP($F24,INSUMOS!$A:$D,4,0),""))))</f>
        <v>2.46</v>
      </c>
      <c r="K24" s="314">
        <f>IF($F24="","",IFERROR(VLOOKUP($F24,SERVIÇOS!$B:$G,5,0),IFERROR(VLOOKUP($F24,'COMPOSIÇÕES COMPLEMENTARES '!$D:$L,7,0),0)))</f>
        <v>5.96</v>
      </c>
      <c r="L24" s="314">
        <f>IF(I24="","",J24+K24)</f>
        <v>8.42</v>
      </c>
      <c r="M24" s="314">
        <f>IF(I24="","",TRUNC((I24*J24),2))</f>
        <v>345.65</v>
      </c>
      <c r="N24" s="314">
        <f>IF(I24="","",TRUNC((I24*K24),2))</f>
        <v>837.43</v>
      </c>
      <c r="O24" s="314">
        <f>IF(I24="","",TRUNC((M24+N24),2))</f>
        <v>1183.08</v>
      </c>
      <c r="P24" s="314"/>
      <c r="Q24" s="315"/>
      <c r="R24" s="315"/>
      <c r="S24" s="286"/>
      <c r="T24" s="287"/>
      <c r="U24" s="288" t="str">
        <f t="shared" si="1"/>
        <v/>
      </c>
      <c r="V24" s="287"/>
      <c r="W24" s="289" t="str">
        <f t="shared" si="2"/>
        <v/>
      </c>
      <c r="X24" s="287"/>
      <c r="Y24" s="290" t="str">
        <f t="shared" si="3"/>
        <v/>
      </c>
      <c r="Z24" s="291">
        <f ca="1">SUMIF($T$8:Y$1018,"QUANT.",T24:Y24)</f>
        <v>0</v>
      </c>
      <c r="AA24" s="292">
        <f t="shared" ca="1" si="4"/>
        <v>0</v>
      </c>
      <c r="AB24" s="293" t="str">
        <f t="shared" ca="1" si="5"/>
        <v>MEDIR</v>
      </c>
      <c r="AC24" s="294">
        <f t="shared" ca="1" si="6"/>
        <v>140.51</v>
      </c>
      <c r="AD24" s="294">
        <f t="shared" ca="1" si="7"/>
        <v>1183.08</v>
      </c>
      <c r="AE24" s="295"/>
      <c r="AF24" s="295"/>
      <c r="AG24" s="296"/>
      <c r="AH24" s="296"/>
      <c r="AI24" s="296"/>
      <c r="AJ24" s="296"/>
      <c r="AK24" s="296"/>
      <c r="AL24" s="296"/>
      <c r="AM24" s="296"/>
    </row>
    <row r="25" spans="1:39" x14ac:dyDescent="0.25">
      <c r="A25" s="232">
        <f t="shared" si="0"/>
        <v>25</v>
      </c>
      <c r="B25" s="232"/>
      <c r="C25" s="307" t="str">
        <f>+C24</f>
        <v>3.1</v>
      </c>
      <c r="D25" s="308">
        <f>1+D24</f>
        <v>3</v>
      </c>
      <c r="E25" s="309" t="str">
        <f>C25&amp;"."&amp;D25</f>
        <v>3.1.3</v>
      </c>
      <c r="F25" s="310">
        <v>93382</v>
      </c>
      <c r="G25" s="311" t="str">
        <f>IF($F25="","",IFERROR(VLOOKUP($F25,SERVIÇOS!$B:$G,2,0),IFERROR(VLOOKUP($F25,'COMPOSIÇÕES COMPLEMENTARES '!$D:$L,2,0),IFERROR(VLOOKUP($F25,INSUMOS!$A:$D,2,0),""))))</f>
        <v>REATERRO MANUAL DE VALAS, COM COMPACTADOR DE SOLOS DE PERCUSSÃO. AF_08/2023</v>
      </c>
      <c r="H25" s="312" t="str">
        <f>IF($F25="","",IFERROR(VLOOKUP($F25,SERVIÇOS!$B:$G,3,0),IFERROR(VLOOKUP($F25,'COMPOSIÇÕES COMPLEMENTARES '!$D:$L,3,0),IFERROR(VLOOKUP($F25,INSUMOS!$A:$D,3,0),""))))</f>
        <v>M3</v>
      </c>
      <c r="I25" s="313">
        <v>35.840000000000003</v>
      </c>
      <c r="J25" s="314">
        <f>IF($F25="","",IFERROR(VLOOKUP($F25,SERVIÇOS!$B:$G,4,0),IFERROR(VLOOKUP($F25,'COMPOSIÇÕES COMPLEMENTARES '!$D:$L,6,0),IFERROR(VLOOKUP($F25,INSUMOS!$A:$D,4,0),""))))</f>
        <v>12.29</v>
      </c>
      <c r="K25" s="314">
        <f>IF($F25="","",IFERROR(VLOOKUP($F25,SERVIÇOS!$B:$G,5,0),IFERROR(VLOOKUP($F25,'COMPOSIÇÕES COMPLEMENTARES '!$D:$L,7,0),0)))</f>
        <v>20.78</v>
      </c>
      <c r="L25" s="314">
        <f>IF(I25="","",J25+K25)</f>
        <v>33.07</v>
      </c>
      <c r="M25" s="314">
        <f>IF(I25="","",TRUNC((I25*J25),2))</f>
        <v>440.47</v>
      </c>
      <c r="N25" s="314">
        <f>IF(I25="","",TRUNC((I25*K25),2))</f>
        <v>744.75</v>
      </c>
      <c r="O25" s="314">
        <f>IF(I25="","",TRUNC((M25+N25),2))</f>
        <v>1185.22</v>
      </c>
      <c r="P25" s="314"/>
      <c r="Q25" s="315"/>
      <c r="R25" s="315"/>
      <c r="S25" s="286"/>
      <c r="T25" s="287"/>
      <c r="U25" s="288" t="str">
        <f t="shared" si="1"/>
        <v/>
      </c>
      <c r="V25" s="287"/>
      <c r="W25" s="289" t="str">
        <f t="shared" si="2"/>
        <v/>
      </c>
      <c r="X25" s="287"/>
      <c r="Y25" s="290" t="str">
        <f t="shared" si="3"/>
        <v/>
      </c>
      <c r="Z25" s="291">
        <f ca="1">SUMIF($T$8:Y$1018,"QUANT.",T25:Y25)</f>
        <v>0</v>
      </c>
      <c r="AA25" s="292">
        <f t="shared" ca="1" si="4"/>
        <v>0</v>
      </c>
      <c r="AB25" s="293" t="str">
        <f t="shared" ca="1" si="5"/>
        <v>MEDIR</v>
      </c>
      <c r="AC25" s="294">
        <f t="shared" ca="1" si="6"/>
        <v>35.840000000000003</v>
      </c>
      <c r="AD25" s="294">
        <f t="shared" ca="1" si="7"/>
        <v>1185.22</v>
      </c>
      <c r="AE25" s="295"/>
      <c r="AF25" s="295"/>
      <c r="AG25" s="296"/>
      <c r="AH25" s="296"/>
      <c r="AI25" s="296"/>
      <c r="AJ25" s="295"/>
      <c r="AK25" s="295"/>
      <c r="AL25" s="295"/>
      <c r="AM25" s="295"/>
    </row>
    <row r="26" spans="1:39" ht="25.5" x14ac:dyDescent="0.25">
      <c r="A26" s="232">
        <f t="shared" si="0"/>
        <v>26</v>
      </c>
      <c r="B26" s="232"/>
      <c r="C26" s="307" t="str">
        <f>+C25</f>
        <v>3.1</v>
      </c>
      <c r="D26" s="308">
        <f>1+D25</f>
        <v>4</v>
      </c>
      <c r="E26" s="309" t="str">
        <f>C26&amp;"."&amp;D26</f>
        <v>3.1.4</v>
      </c>
      <c r="F26" s="310">
        <v>100981</v>
      </c>
      <c r="G26" s="311" t="str">
        <f>IF($F26="","",IFERROR(VLOOKUP($F26,SERVIÇOS!$B:$G,2,0),IFERROR(VLOOKUP($F26,'COMPOSIÇÕES COMPLEMENTARES '!$D:$L,2,0),IFERROR(VLOOKUP($F26,INSUMOS!$A:$D,2,0),""))))</f>
        <v>CARGA, MANOBRA E DESCARGA DE ENTULHO EM CAMINHÃO BASCULANTE 6 M³ - CARGA COM ESCAVADEIRA HIDRÁULICA  (CAÇAMBA DE 0,80 M³ / 111 HP) E DESCARGA LIVRE (UNIDADE: M3). AF_07/2020</v>
      </c>
      <c r="H26" s="312" t="str">
        <f>IF($F26="","",IFERROR(VLOOKUP($F26,SERVIÇOS!$B:$G,3,0),IFERROR(VLOOKUP($F26,'COMPOSIÇÕES COMPLEMENTARES '!$D:$L,3,0),IFERROR(VLOOKUP($F26,INSUMOS!$A:$D,3,0),""))))</f>
        <v>M3</v>
      </c>
      <c r="I26" s="313">
        <v>33.590000000000003</v>
      </c>
      <c r="J26" s="314">
        <f>IF($F26="","",IFERROR(VLOOKUP($F26,SERVIÇOS!$B:$G,4,0),IFERROR(VLOOKUP($F26,'COMPOSIÇÕES COMPLEMENTARES '!$D:$L,6,0),IFERROR(VLOOKUP($F26,INSUMOS!$A:$D,4,0),""))))</f>
        <v>8.24</v>
      </c>
      <c r="K26" s="314">
        <f>IF($F26="","",IFERROR(VLOOKUP($F26,SERVIÇOS!$B:$G,5,0),IFERROR(VLOOKUP($F26,'COMPOSIÇÕES COMPLEMENTARES '!$D:$L,7,0),0)))</f>
        <v>1.99</v>
      </c>
      <c r="L26" s="314">
        <f>IF(I26="","",J26+K26)</f>
        <v>10.23</v>
      </c>
      <c r="M26" s="314">
        <f>IF(I26="","",TRUNC((I26*J26),2))</f>
        <v>276.77999999999997</v>
      </c>
      <c r="N26" s="314">
        <f>IF(I26="","",TRUNC((I26*K26),2))</f>
        <v>66.84</v>
      </c>
      <c r="O26" s="314">
        <f>IF(I26="","",TRUNC((M26+N26),2))</f>
        <v>343.62</v>
      </c>
      <c r="P26" s="314"/>
      <c r="Q26" s="315"/>
      <c r="R26" s="315"/>
      <c r="S26" s="286"/>
      <c r="T26" s="287"/>
      <c r="U26" s="288" t="str">
        <f t="shared" si="1"/>
        <v/>
      </c>
      <c r="V26" s="287"/>
      <c r="W26" s="289" t="str">
        <f t="shared" si="2"/>
        <v/>
      </c>
      <c r="X26" s="287"/>
      <c r="Y26" s="290" t="str">
        <f t="shared" si="3"/>
        <v/>
      </c>
      <c r="Z26" s="291">
        <f ca="1">SUMIF($T$8:Y$1018,"QUANT.",T26:Y26)</f>
        <v>0</v>
      </c>
      <c r="AA26" s="292">
        <f t="shared" ca="1" si="4"/>
        <v>0</v>
      </c>
      <c r="AB26" s="293" t="str">
        <f t="shared" ca="1" si="5"/>
        <v>MEDIR</v>
      </c>
      <c r="AC26" s="294">
        <f t="shared" ca="1" si="6"/>
        <v>33.590000000000003</v>
      </c>
      <c r="AD26" s="294">
        <f t="shared" ca="1" si="7"/>
        <v>343.62</v>
      </c>
      <c r="AE26" s="295"/>
      <c r="AF26" s="295"/>
      <c r="AG26" s="296"/>
      <c r="AH26" s="296"/>
      <c r="AI26" s="296"/>
      <c r="AJ26" s="38"/>
      <c r="AK26" s="38"/>
      <c r="AL26" s="38"/>
      <c r="AM26" s="38"/>
    </row>
    <row r="27" spans="1:39" ht="25.5" x14ac:dyDescent="0.25">
      <c r="A27" s="232">
        <f t="shared" si="0"/>
        <v>27</v>
      </c>
      <c r="B27" s="232"/>
      <c r="C27" s="307" t="str">
        <f>+C26</f>
        <v>3.1</v>
      </c>
      <c r="D27" s="308">
        <f>1+D26</f>
        <v>5</v>
      </c>
      <c r="E27" s="309" t="str">
        <f>C27&amp;"."&amp;D27</f>
        <v>3.1.5</v>
      </c>
      <c r="F27" s="310">
        <v>97914</v>
      </c>
      <c r="G27" s="311" t="str">
        <f>IF($F27="","",IFERROR(VLOOKUP($F27,SERVIÇOS!$B:$G,2,0),IFERROR(VLOOKUP($F27,'COMPOSIÇÕES COMPLEMENTARES '!$D:$L,2,0),IFERROR(VLOOKUP($F27,INSUMOS!$A:$D,2,0),""))))</f>
        <v>TRANSPORTE COM CAMINHÃO BASCULANTE DE 6 M³, EM VIA URBANA PAVIMENTADA, DMT ATÉ 30 KM (UNIDADE: M3XKM). AF_07/2020</v>
      </c>
      <c r="H27" s="312" t="str">
        <f>IF($F27="","",IFERROR(VLOOKUP($F27,SERVIÇOS!$B:$G,3,0),IFERROR(VLOOKUP($F27,'COMPOSIÇÕES COMPLEMENTARES '!$D:$L,3,0),IFERROR(VLOOKUP($F27,INSUMOS!$A:$D,3,0),""))))</f>
        <v>M3XKM</v>
      </c>
      <c r="I27" s="313">
        <v>355.97</v>
      </c>
      <c r="J27" s="314">
        <f>IF($F27="","",IFERROR(VLOOKUP($F27,SERVIÇOS!$B:$G,4,0),IFERROR(VLOOKUP($F27,'COMPOSIÇÕES COMPLEMENTARES '!$D:$L,6,0),IFERROR(VLOOKUP($F27,INSUMOS!$A:$D,4,0),""))))</f>
        <v>2.64</v>
      </c>
      <c r="K27" s="314">
        <f>IF($F27="","",IFERROR(VLOOKUP($F27,SERVIÇOS!$B:$G,5,0),IFERROR(VLOOKUP($F27,'COMPOSIÇÕES COMPLEMENTARES '!$D:$L,7,0),0)))</f>
        <v>0.56999999999999995</v>
      </c>
      <c r="L27" s="314">
        <f>IF(I27="","",J27+K27)</f>
        <v>3.21</v>
      </c>
      <c r="M27" s="314">
        <f>IF(I27="","",TRUNC((I27*J27),2))</f>
        <v>939.76</v>
      </c>
      <c r="N27" s="314">
        <f>IF(I27="","",TRUNC((I27*K27),2))</f>
        <v>202.9</v>
      </c>
      <c r="O27" s="314">
        <f>IF(I27="","",TRUNC((M27+N27),2))</f>
        <v>1142.6600000000001</v>
      </c>
      <c r="P27" s="314"/>
      <c r="Q27" s="315"/>
      <c r="R27" s="315"/>
      <c r="S27" s="286"/>
      <c r="T27" s="287"/>
      <c r="U27" s="288" t="str">
        <f t="shared" si="1"/>
        <v/>
      </c>
      <c r="V27" s="287"/>
      <c r="W27" s="289" t="str">
        <f t="shared" si="2"/>
        <v/>
      </c>
      <c r="X27" s="287"/>
      <c r="Y27" s="290" t="str">
        <f t="shared" si="3"/>
        <v/>
      </c>
      <c r="Z27" s="291">
        <f ca="1">SUMIF($T$8:Y$1018,"QUANT.",T27:Y27)</f>
        <v>0</v>
      </c>
      <c r="AA27" s="292">
        <f t="shared" ca="1" si="4"/>
        <v>0</v>
      </c>
      <c r="AB27" s="293" t="str">
        <f t="shared" ca="1" si="5"/>
        <v>MEDIR</v>
      </c>
      <c r="AC27" s="294">
        <f t="shared" ca="1" si="6"/>
        <v>355.97</v>
      </c>
      <c r="AD27" s="294">
        <f t="shared" ca="1" si="7"/>
        <v>1142.6600000000001</v>
      </c>
      <c r="AE27" s="295"/>
      <c r="AF27" s="295"/>
      <c r="AG27" s="296"/>
      <c r="AH27" s="296"/>
      <c r="AI27" s="296"/>
      <c r="AJ27" s="296"/>
      <c r="AK27" s="296"/>
      <c r="AL27" s="296"/>
      <c r="AM27" s="296"/>
    </row>
    <row r="28" spans="1:39" x14ac:dyDescent="0.25">
      <c r="A28" s="232">
        <f t="shared" si="0"/>
        <v>28</v>
      </c>
      <c r="B28" s="232"/>
      <c r="C28" s="281">
        <f>+E28</f>
        <v>4</v>
      </c>
      <c r="D28" s="297"/>
      <c r="E28" s="298">
        <v>4</v>
      </c>
      <c r="F28" s="298"/>
      <c r="G28" s="299" t="s">
        <v>11923</v>
      </c>
      <c r="H28" s="300"/>
      <c r="I28" s="303"/>
      <c r="J28" s="302"/>
      <c r="K28" s="303"/>
      <c r="L28" s="303"/>
      <c r="M28" s="304">
        <f>TRUNC(SUMIF(M29:M47,"&gt;0",M29:M47),2)</f>
        <v>108118.09</v>
      </c>
      <c r="N28" s="304">
        <f>TRUNC(SUMIF(N29:N47,"&gt;0",N29:N47),2)</f>
        <v>29889.93</v>
      </c>
      <c r="O28" s="305"/>
      <c r="P28" s="304">
        <f>SUMIF(O29:O47,"&gt;0",O29:O47)</f>
        <v>138008.01999999999</v>
      </c>
      <c r="Q28" s="306"/>
      <c r="R28" s="306"/>
      <c r="S28" s="286"/>
      <c r="T28" s="287"/>
      <c r="U28" s="288" t="str">
        <f t="shared" si="1"/>
        <v/>
      </c>
      <c r="V28" s="287"/>
      <c r="W28" s="289" t="str">
        <f t="shared" si="2"/>
        <v/>
      </c>
      <c r="X28" s="287"/>
      <c r="Y28" s="290" t="str">
        <f t="shared" si="3"/>
        <v/>
      </c>
      <c r="Z28" s="291">
        <f ca="1">SUMIF($T$8:Y$1018,"QUANT.",T28:Y28)</f>
        <v>0</v>
      </c>
      <c r="AA28" s="292">
        <f t="shared" ca="1" si="4"/>
        <v>0</v>
      </c>
      <c r="AB28" s="293" t="str">
        <f t="shared" si="5"/>
        <v/>
      </c>
      <c r="AC28" s="294">
        <f t="shared" ca="1" si="6"/>
        <v>0</v>
      </c>
      <c r="AD28" s="294">
        <f t="shared" ca="1" si="7"/>
        <v>0</v>
      </c>
      <c r="AE28" s="295"/>
      <c r="AF28" s="295"/>
      <c r="AG28" s="296"/>
      <c r="AH28" s="296"/>
      <c r="AI28" s="296"/>
      <c r="AJ28" s="295"/>
      <c r="AK28" s="295"/>
      <c r="AL28" s="295"/>
      <c r="AM28" s="295"/>
    </row>
    <row r="29" spans="1:39" x14ac:dyDescent="0.25">
      <c r="A29" s="232">
        <f t="shared" si="0"/>
        <v>29</v>
      </c>
      <c r="B29" s="232"/>
      <c r="C29" s="316" t="str">
        <f>+E29</f>
        <v>4.1</v>
      </c>
      <c r="D29" s="297"/>
      <c r="E29" s="317" t="s">
        <v>11924</v>
      </c>
      <c r="F29" s="317"/>
      <c r="G29" s="318" t="s">
        <v>11925</v>
      </c>
      <c r="H29" s="317"/>
      <c r="I29" s="319"/>
      <c r="J29" s="317"/>
      <c r="K29" s="317"/>
      <c r="L29" s="317"/>
      <c r="M29" s="317"/>
      <c r="N29" s="317"/>
      <c r="O29" s="317"/>
      <c r="P29" s="317"/>
      <c r="Q29" s="320"/>
      <c r="R29" s="306"/>
      <c r="S29" s="286"/>
      <c r="T29" s="287"/>
      <c r="U29" s="288" t="str">
        <f t="shared" si="1"/>
        <v/>
      </c>
      <c r="V29" s="287"/>
      <c r="W29" s="289" t="str">
        <f t="shared" si="2"/>
        <v/>
      </c>
      <c r="X29" s="287"/>
      <c r="Y29" s="290" t="str">
        <f t="shared" si="3"/>
        <v/>
      </c>
      <c r="Z29" s="291">
        <f ca="1">SUMIF($T$8:Y$1018,"QUANT.",T29:Y29)</f>
        <v>0</v>
      </c>
      <c r="AA29" s="292">
        <f t="shared" ca="1" si="4"/>
        <v>0</v>
      </c>
      <c r="AB29" s="293" t="str">
        <f t="shared" si="5"/>
        <v/>
      </c>
      <c r="AC29" s="294">
        <f t="shared" ca="1" si="6"/>
        <v>0</v>
      </c>
      <c r="AD29" s="294">
        <f t="shared" ca="1" si="7"/>
        <v>0</v>
      </c>
      <c r="AE29" s="295"/>
      <c r="AF29" s="295"/>
      <c r="AG29" s="296"/>
      <c r="AH29" s="296"/>
      <c r="AI29" s="296"/>
      <c r="AJ29" s="295"/>
      <c r="AK29" s="295"/>
      <c r="AL29" s="295"/>
      <c r="AM29" s="295"/>
    </row>
    <row r="30" spans="1:39" ht="25.5" x14ac:dyDescent="0.25">
      <c r="A30" s="232">
        <f t="shared" si="0"/>
        <v>30</v>
      </c>
      <c r="B30" s="232"/>
      <c r="C30" s="307" t="str">
        <f t="shared" ref="C30:C35" si="9">+C29</f>
        <v>4.1</v>
      </c>
      <c r="D30" s="308">
        <f t="shared" ref="D30:D35" si="10">1+D29</f>
        <v>1</v>
      </c>
      <c r="E30" s="309" t="str">
        <f t="shared" ref="E30:E35" si="11">C30&amp;"."&amp;D30</f>
        <v>4.1.1</v>
      </c>
      <c r="F30" s="310" t="s">
        <v>11926</v>
      </c>
      <c r="G30" s="311" t="str">
        <f>IF($F30="","",IFERROR(VLOOKUP($F30,SERVIÇOS!$B:$G,2,0),IFERROR(VLOOKUP($F30,'COMPOSIÇÕES COMPLEMENTARES '!$D:$L,2,0),IFERROR(VLOOKUP($F30,INSUMOS!$A:$D,2,0),""))))</f>
        <v xml:space="preserve">ESTACA ESCAVADA MECANICAMENTE, SEM FLUIDO ESTABILIZANTE, COM 30CM DE DIÂMETRO, INCLUSO MOBILIZAÇÃO E DESMOBILIZAÇÃO </v>
      </c>
      <c r="H30" s="312" t="str">
        <f>IF($F30="","",IFERROR(VLOOKUP($F30,SERVIÇOS!$B:$G,3,0),IFERROR(VLOOKUP($F30,'COMPOSIÇÕES COMPLEMENTARES '!$D:$L,3,0),IFERROR(VLOOKUP($F30,INSUMOS!$A:$D,3,0),""))))</f>
        <v>M</v>
      </c>
      <c r="I30" s="313">
        <v>341.5</v>
      </c>
      <c r="J30" s="314">
        <f>IF($F30="","",IFERROR(VLOOKUP($F30,SERVIÇOS!$B:$G,4,0),IFERROR(VLOOKUP($F30,'COMPOSIÇÕES COMPLEMENTARES '!$D:$L,6,0),IFERROR(VLOOKUP($F30,INSUMOS!$A:$D,4,0),""))))</f>
        <v>59.72</v>
      </c>
      <c r="K30" s="314">
        <f>IF($F30="","",IFERROR(VLOOKUP($F30,SERVIÇOS!$B:$G,5,0),IFERROR(VLOOKUP($F30,'COMPOSIÇÕES COMPLEMENTARES '!$D:$L,7,0),0)))</f>
        <v>8.67</v>
      </c>
      <c r="L30" s="314">
        <f t="shared" ref="L30:L35" si="12">IF(I30="","",J30+K30)</f>
        <v>68.39</v>
      </c>
      <c r="M30" s="314">
        <f t="shared" ref="M30:M35" si="13">IF(I30="","",TRUNC((I30*J30),2))</f>
        <v>20394.38</v>
      </c>
      <c r="N30" s="314">
        <f t="shared" ref="N30:N35" si="14">IF(I30="","",TRUNC((I30*K30),2))</f>
        <v>2960.8</v>
      </c>
      <c r="O30" s="314">
        <f t="shared" ref="O30:O35" si="15">IF(I30="","",TRUNC((M30+N30),2))</f>
        <v>23355.18</v>
      </c>
      <c r="P30" s="314"/>
      <c r="Q30" s="315"/>
      <c r="R30" s="315"/>
      <c r="S30" s="286"/>
      <c r="T30" s="287"/>
      <c r="U30" s="288" t="str">
        <f t="shared" si="1"/>
        <v/>
      </c>
      <c r="V30" s="287"/>
      <c r="W30" s="289" t="str">
        <f t="shared" si="2"/>
        <v/>
      </c>
      <c r="X30" s="287"/>
      <c r="Y30" s="290" t="str">
        <f t="shared" si="3"/>
        <v/>
      </c>
      <c r="Z30" s="291">
        <f ca="1">SUMIF($T$8:Y$1018,"QUANT.",T30:Y30)</f>
        <v>0</v>
      </c>
      <c r="AA30" s="292">
        <f t="shared" ca="1" si="4"/>
        <v>0</v>
      </c>
      <c r="AB30" s="293" t="str">
        <f t="shared" ca="1" si="5"/>
        <v>MEDIR</v>
      </c>
      <c r="AC30" s="294">
        <f t="shared" ca="1" si="6"/>
        <v>341.5</v>
      </c>
      <c r="AD30" s="294">
        <f t="shared" ca="1" si="7"/>
        <v>23355.18</v>
      </c>
      <c r="AE30" s="295"/>
      <c r="AF30" s="295"/>
      <c r="AG30" s="296"/>
      <c r="AH30" s="296"/>
      <c r="AI30" s="296"/>
      <c r="AJ30" s="295"/>
      <c r="AK30" s="295"/>
      <c r="AL30" s="295"/>
      <c r="AM30" s="295"/>
    </row>
    <row r="31" spans="1:39" x14ac:dyDescent="0.25">
      <c r="A31" s="232">
        <f t="shared" si="0"/>
        <v>31</v>
      </c>
      <c r="B31" s="232"/>
      <c r="C31" s="307" t="str">
        <f t="shared" si="9"/>
        <v>4.1</v>
      </c>
      <c r="D31" s="308">
        <f t="shared" si="10"/>
        <v>2</v>
      </c>
      <c r="E31" s="309" t="str">
        <f t="shared" si="11"/>
        <v>4.1.2</v>
      </c>
      <c r="F31" s="310" t="s">
        <v>11927</v>
      </c>
      <c r="G31" s="311" t="str">
        <f>IF($F31="","",IFERROR(VLOOKUP($F31,SERVIÇOS!$B:$G,2,0),IFERROR(VLOOKUP($F31,'COMPOSIÇÕES COMPLEMENTARES '!$D:$L,2,0),IFERROR(VLOOKUP($F31,INSUMOS!$A:$D,2,0),""))))</f>
        <v xml:space="preserve">CONCRETO USINADO BOMBEÁVEL FCK=30MPA, SLUMP 240, INCLUSIVE LANÇAMENTO EM ESTACAS </v>
      </c>
      <c r="H31" s="312" t="str">
        <f>IF($F31="","",IFERROR(VLOOKUP($F31,SERVIÇOS!$B:$G,3,0),IFERROR(VLOOKUP($F31,'COMPOSIÇÕES COMPLEMENTARES '!$D:$L,3,0),IFERROR(VLOOKUP($F31,INSUMOS!$A:$D,3,0),""))))</f>
        <v>M3</v>
      </c>
      <c r="I31" s="313">
        <v>24.14</v>
      </c>
      <c r="J31" s="314">
        <f>IF($F31="","",IFERROR(VLOOKUP($F31,SERVIÇOS!$B:$G,4,0),IFERROR(VLOOKUP($F31,'COMPOSIÇÕES COMPLEMENTARES '!$D:$L,6,0),IFERROR(VLOOKUP($F31,INSUMOS!$A:$D,4,0),""))))</f>
        <v>559.38</v>
      </c>
      <c r="K31" s="314">
        <f>IF($F31="","",IFERROR(VLOOKUP($F31,SERVIÇOS!$B:$G,5,0),IFERROR(VLOOKUP($F31,'COMPOSIÇÕES COMPLEMENTARES '!$D:$L,7,0),0)))</f>
        <v>0</v>
      </c>
      <c r="L31" s="314">
        <f t="shared" si="12"/>
        <v>559.38</v>
      </c>
      <c r="M31" s="314">
        <f t="shared" si="13"/>
        <v>13503.43</v>
      </c>
      <c r="N31" s="314">
        <f t="shared" si="14"/>
        <v>0</v>
      </c>
      <c r="O31" s="314">
        <f t="shared" si="15"/>
        <v>13503.43</v>
      </c>
      <c r="P31" s="314"/>
      <c r="Q31" s="315"/>
      <c r="R31" s="315"/>
      <c r="S31" s="286"/>
      <c r="T31" s="287"/>
      <c r="U31" s="288" t="str">
        <f t="shared" si="1"/>
        <v/>
      </c>
      <c r="V31" s="287"/>
      <c r="W31" s="289" t="str">
        <f t="shared" si="2"/>
        <v/>
      </c>
      <c r="X31" s="287"/>
      <c r="Y31" s="290" t="str">
        <f t="shared" si="3"/>
        <v/>
      </c>
      <c r="Z31" s="291">
        <f ca="1">SUMIF($T$8:Y$1018,"QUANT.",T31:Y31)</f>
        <v>0</v>
      </c>
      <c r="AA31" s="292">
        <f t="shared" ca="1" si="4"/>
        <v>0</v>
      </c>
      <c r="AB31" s="293" t="str">
        <f t="shared" ca="1" si="5"/>
        <v>MEDIR</v>
      </c>
      <c r="AC31" s="294">
        <f t="shared" ca="1" si="6"/>
        <v>24.14</v>
      </c>
      <c r="AD31" s="294">
        <f t="shared" ca="1" si="7"/>
        <v>13503.43</v>
      </c>
      <c r="AE31" s="295"/>
      <c r="AF31" s="295"/>
      <c r="AG31" s="296"/>
      <c r="AH31" s="296"/>
      <c r="AI31" s="296"/>
      <c r="AJ31" s="295"/>
      <c r="AK31" s="295"/>
      <c r="AL31" s="295"/>
      <c r="AM31" s="295"/>
    </row>
    <row r="32" spans="1:39" x14ac:dyDescent="0.25">
      <c r="A32" s="232">
        <f t="shared" si="0"/>
        <v>32</v>
      </c>
      <c r="B32" s="232"/>
      <c r="C32" s="307" t="str">
        <f t="shared" si="9"/>
        <v>4.1</v>
      </c>
      <c r="D32" s="308">
        <f t="shared" si="10"/>
        <v>3</v>
      </c>
      <c r="E32" s="309" t="str">
        <f t="shared" si="11"/>
        <v>4.1.3</v>
      </c>
      <c r="F32" s="310">
        <v>95601</v>
      </c>
      <c r="G32" s="311" t="str">
        <f>IF($F32="","",IFERROR(VLOOKUP($F32,SERVIÇOS!$B:$G,2,0),IFERROR(VLOOKUP($F32,'COMPOSIÇÕES COMPLEMENTARES '!$D:$L,2,0),IFERROR(VLOOKUP($F32,INSUMOS!$A:$D,2,0),""))))</f>
        <v>ARRASAMENTO MECANICO DE ESTACA DE CONCRETO ARMADO, DIAMETROS DE ATÉ 40 CM. AF_05/2021</v>
      </c>
      <c r="H32" s="312" t="str">
        <f>IF($F32="","",IFERROR(VLOOKUP($F32,SERVIÇOS!$B:$G,3,0),IFERROR(VLOOKUP($F32,'COMPOSIÇÕES COMPLEMENTARES '!$D:$L,3,0),IFERROR(VLOOKUP($F32,INSUMOS!$A:$D,3,0),""))))</f>
        <v>UN</v>
      </c>
      <c r="I32" s="313">
        <v>110</v>
      </c>
      <c r="J32" s="314">
        <f>IF($F32="","",IFERROR(VLOOKUP($F32,SERVIÇOS!$B:$G,4,0),IFERROR(VLOOKUP($F32,'COMPOSIÇÕES COMPLEMENTARES '!$D:$L,6,0),IFERROR(VLOOKUP($F32,INSUMOS!$A:$D,4,0),""))))</f>
        <v>6.93</v>
      </c>
      <c r="K32" s="314">
        <f>IF($F32="","",IFERROR(VLOOKUP($F32,SERVIÇOS!$B:$G,5,0),IFERROR(VLOOKUP($F32,'COMPOSIÇÕES COMPLEMENTARES '!$D:$L,7,0),0)))</f>
        <v>15.7</v>
      </c>
      <c r="L32" s="314">
        <f t="shared" si="12"/>
        <v>22.63</v>
      </c>
      <c r="M32" s="314">
        <f t="shared" si="13"/>
        <v>762.3</v>
      </c>
      <c r="N32" s="314">
        <f t="shared" si="14"/>
        <v>1727</v>
      </c>
      <c r="O32" s="314">
        <f t="shared" si="15"/>
        <v>2489.3000000000002</v>
      </c>
      <c r="P32" s="314"/>
      <c r="Q32" s="315"/>
      <c r="R32" s="315"/>
      <c r="S32" s="286"/>
      <c r="T32" s="287"/>
      <c r="U32" s="288" t="str">
        <f t="shared" si="1"/>
        <v/>
      </c>
      <c r="V32" s="287"/>
      <c r="W32" s="289" t="str">
        <f t="shared" si="2"/>
        <v/>
      </c>
      <c r="X32" s="287"/>
      <c r="Y32" s="290" t="str">
        <f t="shared" si="3"/>
        <v/>
      </c>
      <c r="Z32" s="291">
        <f ca="1">SUMIF($T$8:Y$1018,"QUANT.",T32:Y32)</f>
        <v>0</v>
      </c>
      <c r="AA32" s="292">
        <f t="shared" ca="1" si="4"/>
        <v>0</v>
      </c>
      <c r="AB32" s="293" t="str">
        <f t="shared" ca="1" si="5"/>
        <v>MEDIR</v>
      </c>
      <c r="AC32" s="294">
        <f t="shared" ca="1" si="6"/>
        <v>110</v>
      </c>
      <c r="AD32" s="294">
        <f t="shared" ca="1" si="7"/>
        <v>2489.3000000000002</v>
      </c>
      <c r="AE32" s="295"/>
      <c r="AF32" s="295"/>
      <c r="AG32" s="296"/>
      <c r="AH32" s="296"/>
      <c r="AI32" s="296"/>
      <c r="AJ32" s="295"/>
      <c r="AK32" s="295"/>
      <c r="AL32" s="295"/>
      <c r="AM32" s="295"/>
    </row>
    <row r="33" spans="1:39" x14ac:dyDescent="0.25">
      <c r="A33" s="232">
        <f t="shared" si="0"/>
        <v>33</v>
      </c>
      <c r="B33" s="232"/>
      <c r="C33" s="307" t="str">
        <f t="shared" si="9"/>
        <v>4.1</v>
      </c>
      <c r="D33" s="308">
        <f t="shared" si="10"/>
        <v>4</v>
      </c>
      <c r="E33" s="309" t="str">
        <f t="shared" si="11"/>
        <v>4.1.4</v>
      </c>
      <c r="F33" s="310" t="s">
        <v>11928</v>
      </c>
      <c r="G33" s="311" t="str">
        <f>IF($F33="","",IFERROR(VLOOKUP($F33,SERVIÇOS!$B:$G,2,0),IFERROR(VLOOKUP($F33,'COMPOSIÇÕES COMPLEMENTARES '!$D:$L,2,0),IFERROR(VLOOKUP($F33,INSUMOS!$A:$D,2,0),""))))</f>
        <v>CONTROLE TECNOLÓGICO DE CONCRETO C/ ROMPIMENTO DE CORPO-DE-PROVA À COMPRESSÃO</v>
      </c>
      <c r="H33" s="312" t="str">
        <f>IF($F33="","",IFERROR(VLOOKUP($F33,SERVIÇOS!$B:$G,3,0),IFERROR(VLOOKUP($F33,'COMPOSIÇÕES COMPLEMENTARES '!$D:$L,3,0),IFERROR(VLOOKUP($F33,INSUMOS!$A:$D,3,0),""))))</f>
        <v>UN</v>
      </c>
      <c r="I33" s="313">
        <v>12</v>
      </c>
      <c r="J33" s="314">
        <f>IF($F33="","",IFERROR(VLOOKUP($F33,SERVIÇOS!$B:$G,4,0),IFERROR(VLOOKUP($F33,'COMPOSIÇÕES COMPLEMENTARES '!$D:$L,6,0),IFERROR(VLOOKUP($F33,INSUMOS!$A:$D,4,0),""))))</f>
        <v>14</v>
      </c>
      <c r="K33" s="314">
        <f>IF($F33="","",IFERROR(VLOOKUP($F33,SERVIÇOS!$B:$G,5,0),IFERROR(VLOOKUP($F33,'COMPOSIÇÕES COMPLEMENTARES '!$D:$L,7,0),0)))</f>
        <v>0</v>
      </c>
      <c r="L33" s="314">
        <f t="shared" si="12"/>
        <v>14</v>
      </c>
      <c r="M33" s="314">
        <f t="shared" si="13"/>
        <v>168</v>
      </c>
      <c r="N33" s="314">
        <f t="shared" si="14"/>
        <v>0</v>
      </c>
      <c r="O33" s="314">
        <f t="shared" si="15"/>
        <v>168</v>
      </c>
      <c r="P33" s="314"/>
      <c r="Q33" s="315"/>
      <c r="R33" s="315"/>
      <c r="S33" s="286"/>
      <c r="T33" s="287"/>
      <c r="U33" s="288" t="str">
        <f t="shared" si="1"/>
        <v/>
      </c>
      <c r="V33" s="287"/>
      <c r="W33" s="289" t="str">
        <f t="shared" si="2"/>
        <v/>
      </c>
      <c r="X33" s="287"/>
      <c r="Y33" s="290" t="str">
        <f t="shared" si="3"/>
        <v/>
      </c>
      <c r="Z33" s="291">
        <f ca="1">SUMIF($T$8:Y$1018,"QUANT.",T33:Y33)</f>
        <v>0</v>
      </c>
      <c r="AA33" s="292">
        <f t="shared" ca="1" si="4"/>
        <v>0</v>
      </c>
      <c r="AB33" s="293" t="str">
        <f t="shared" ca="1" si="5"/>
        <v>MEDIR</v>
      </c>
      <c r="AC33" s="294">
        <f t="shared" ca="1" si="6"/>
        <v>12</v>
      </c>
      <c r="AD33" s="294">
        <f t="shared" ca="1" si="7"/>
        <v>168</v>
      </c>
      <c r="AE33" s="295"/>
      <c r="AF33" s="295"/>
      <c r="AG33" s="296"/>
      <c r="AH33" s="296"/>
      <c r="AI33" s="296"/>
      <c r="AJ33" s="295"/>
      <c r="AK33" s="295"/>
      <c r="AL33" s="295"/>
      <c r="AM33" s="295"/>
    </row>
    <row r="34" spans="1:39" ht="25.5" x14ac:dyDescent="0.25">
      <c r="A34" s="232">
        <f t="shared" si="0"/>
        <v>34</v>
      </c>
      <c r="B34" s="232"/>
      <c r="C34" s="307" t="str">
        <f t="shared" si="9"/>
        <v>4.1</v>
      </c>
      <c r="D34" s="308">
        <f t="shared" si="10"/>
        <v>5</v>
      </c>
      <c r="E34" s="309" t="str">
        <f t="shared" si="11"/>
        <v>4.1.5</v>
      </c>
      <c r="F34" s="310">
        <v>95584</v>
      </c>
      <c r="G34" s="311" t="str">
        <f>IF($F34="","",IFERROR(VLOOKUP($F34,SERVIÇOS!$B:$G,2,0),IFERROR(VLOOKUP($F34,'COMPOSIÇÕES COMPLEMENTARES '!$D:$L,2,0),IFERROR(VLOOKUP($F34,INSUMOS!$A:$D,2,0),""))))</f>
        <v>MONTAGEM DE ARMADURA TRANSVERSAL DE ESTACAS DE SEÇÃO CIRCULAR, DIÂMETRO = 6,30 MM. AF_09/2021_PS</v>
      </c>
      <c r="H34" s="312" t="str">
        <f>IF($F34="","",IFERROR(VLOOKUP($F34,SERVIÇOS!$B:$G,3,0),IFERROR(VLOOKUP($F34,'COMPOSIÇÕES COMPLEMENTARES '!$D:$L,3,0),IFERROR(VLOOKUP($F34,INSUMOS!$A:$D,3,0),""))))</f>
        <v>KG</v>
      </c>
      <c r="I34" s="313">
        <v>581.24</v>
      </c>
      <c r="J34" s="314">
        <f>IF($F34="","",IFERROR(VLOOKUP($F34,SERVIÇOS!$B:$G,4,0),IFERROR(VLOOKUP($F34,'COMPOSIÇÕES COMPLEMENTARES '!$D:$L,6,0),IFERROR(VLOOKUP($F34,INSUMOS!$A:$D,4,0),""))))</f>
        <v>10.96</v>
      </c>
      <c r="K34" s="314">
        <f>IF($F34="","",IFERROR(VLOOKUP($F34,SERVIÇOS!$B:$G,5,0),IFERROR(VLOOKUP($F34,'COMPOSIÇÕES COMPLEMENTARES '!$D:$L,7,0),0)))</f>
        <v>4.2</v>
      </c>
      <c r="L34" s="314">
        <f t="shared" si="12"/>
        <v>15.16</v>
      </c>
      <c r="M34" s="314">
        <f t="shared" si="13"/>
        <v>6370.39</v>
      </c>
      <c r="N34" s="314">
        <f t="shared" si="14"/>
        <v>2441.1999999999998</v>
      </c>
      <c r="O34" s="314">
        <f t="shared" si="15"/>
        <v>8811.59</v>
      </c>
      <c r="P34" s="314"/>
      <c r="Q34" s="315"/>
      <c r="R34" s="315"/>
      <c r="S34" s="286"/>
      <c r="T34" s="287"/>
      <c r="U34" s="288" t="str">
        <f t="shared" si="1"/>
        <v/>
      </c>
      <c r="V34" s="287"/>
      <c r="W34" s="289" t="str">
        <f t="shared" si="2"/>
        <v/>
      </c>
      <c r="X34" s="287"/>
      <c r="Y34" s="290" t="str">
        <f t="shared" si="3"/>
        <v/>
      </c>
      <c r="Z34" s="291">
        <f ca="1">SUMIF($T$8:Y$1018,"QUANT.",T34:Y34)</f>
        <v>0</v>
      </c>
      <c r="AA34" s="292">
        <f t="shared" ca="1" si="4"/>
        <v>0</v>
      </c>
      <c r="AB34" s="293" t="str">
        <f t="shared" ca="1" si="5"/>
        <v>MEDIR</v>
      </c>
      <c r="AC34" s="294">
        <f t="shared" ca="1" si="6"/>
        <v>581.24</v>
      </c>
      <c r="AD34" s="294">
        <f t="shared" ca="1" si="7"/>
        <v>8811.59</v>
      </c>
      <c r="AE34" s="295"/>
      <c r="AF34" s="295"/>
      <c r="AG34" s="296"/>
      <c r="AH34" s="296"/>
      <c r="AI34" s="296"/>
      <c r="AJ34" s="295"/>
      <c r="AK34" s="295"/>
      <c r="AL34" s="295"/>
      <c r="AM34" s="295"/>
    </row>
    <row r="35" spans="1:39" x14ac:dyDescent="0.25">
      <c r="A35" s="232">
        <f t="shared" si="0"/>
        <v>35</v>
      </c>
      <c r="B35" s="232"/>
      <c r="C35" s="307" t="str">
        <f t="shared" si="9"/>
        <v>4.1</v>
      </c>
      <c r="D35" s="308">
        <f t="shared" si="10"/>
        <v>6</v>
      </c>
      <c r="E35" s="309" t="str">
        <f t="shared" si="11"/>
        <v>4.1.6</v>
      </c>
      <c r="F35" s="310">
        <v>95577</v>
      </c>
      <c r="G35" s="311" t="str">
        <f>IF($F35="","",IFERROR(VLOOKUP($F35,SERVIÇOS!$B:$G,2,0),IFERROR(VLOOKUP($F35,'COMPOSIÇÕES COMPLEMENTARES '!$D:$L,2,0),IFERROR(VLOOKUP($F35,INSUMOS!$A:$D,2,0),""))))</f>
        <v>MONTAGEM DE ARMADURA DE ESTACAS, DIÂMETRO = 10,0 MM. AF_09/2021_PS</v>
      </c>
      <c r="H35" s="312" t="str">
        <f>IF($F35="","",IFERROR(VLOOKUP($F35,SERVIÇOS!$B:$G,3,0),IFERROR(VLOOKUP($F35,'COMPOSIÇÕES COMPLEMENTARES '!$D:$L,3,0),IFERROR(VLOOKUP($F35,INSUMOS!$A:$D,3,0),""))))</f>
        <v>KG</v>
      </c>
      <c r="I35" s="313">
        <v>1569.65</v>
      </c>
      <c r="J35" s="314">
        <f>IF($F35="","",IFERROR(VLOOKUP($F35,SERVIÇOS!$B:$G,4,0),IFERROR(VLOOKUP($F35,'COMPOSIÇÕES COMPLEMENTARES '!$D:$L,6,0),IFERROR(VLOOKUP($F35,INSUMOS!$A:$D,4,0),""))))</f>
        <v>9.65</v>
      </c>
      <c r="K35" s="314">
        <f>IF($F35="","",IFERROR(VLOOKUP($F35,SERVIÇOS!$B:$G,5,0),IFERROR(VLOOKUP($F35,'COMPOSIÇÕES COMPLEMENTARES '!$D:$L,7,0),0)))</f>
        <v>1.2</v>
      </c>
      <c r="L35" s="314">
        <f t="shared" si="12"/>
        <v>10.85</v>
      </c>
      <c r="M35" s="314">
        <f t="shared" si="13"/>
        <v>15147.12</v>
      </c>
      <c r="N35" s="314">
        <f t="shared" si="14"/>
        <v>1883.58</v>
      </c>
      <c r="O35" s="314">
        <f t="shared" si="15"/>
        <v>17030.7</v>
      </c>
      <c r="P35" s="314"/>
      <c r="Q35" s="315"/>
      <c r="R35" s="315"/>
      <c r="S35" s="286"/>
      <c r="T35" s="287"/>
      <c r="U35" s="288" t="str">
        <f t="shared" si="1"/>
        <v/>
      </c>
      <c r="V35" s="287"/>
      <c r="W35" s="289" t="str">
        <f t="shared" si="2"/>
        <v/>
      </c>
      <c r="X35" s="287"/>
      <c r="Y35" s="290" t="str">
        <f t="shared" si="3"/>
        <v/>
      </c>
      <c r="Z35" s="291">
        <f ca="1">SUMIF($T$8:Y$1018,"QUANT.",T35:Y35)</f>
        <v>0</v>
      </c>
      <c r="AA35" s="292">
        <f t="shared" ca="1" si="4"/>
        <v>0</v>
      </c>
      <c r="AB35" s="293" t="str">
        <f t="shared" ca="1" si="5"/>
        <v>MEDIR</v>
      </c>
      <c r="AC35" s="294">
        <f t="shared" ca="1" si="6"/>
        <v>1569.65</v>
      </c>
      <c r="AD35" s="294">
        <f t="shared" ca="1" si="7"/>
        <v>17030.7</v>
      </c>
      <c r="AE35" s="295"/>
      <c r="AF35" s="295"/>
      <c r="AG35" s="296"/>
      <c r="AH35" s="296"/>
      <c r="AI35" s="296"/>
      <c r="AJ35" s="296"/>
      <c r="AK35" s="296"/>
      <c r="AL35" s="296"/>
      <c r="AM35" s="296"/>
    </row>
    <row r="36" spans="1:39" x14ac:dyDescent="0.25">
      <c r="A36" s="232">
        <f t="shared" si="0"/>
        <v>36</v>
      </c>
      <c r="B36" s="232"/>
      <c r="C36" s="316" t="str">
        <f>+E36</f>
        <v>4.2</v>
      </c>
      <c r="D36" s="297"/>
      <c r="E36" s="317" t="s">
        <v>11929</v>
      </c>
      <c r="F36" s="317"/>
      <c r="G36" s="318" t="s">
        <v>11930</v>
      </c>
      <c r="H36" s="317"/>
      <c r="I36" s="319"/>
      <c r="J36" s="317"/>
      <c r="K36" s="317"/>
      <c r="L36" s="317"/>
      <c r="M36" s="317"/>
      <c r="N36" s="317"/>
      <c r="O36" s="317"/>
      <c r="P36" s="317"/>
      <c r="Q36" s="320"/>
      <c r="R36" s="306"/>
      <c r="S36" s="286"/>
      <c r="T36" s="287"/>
      <c r="U36" s="288" t="str">
        <f t="shared" si="1"/>
        <v/>
      </c>
      <c r="V36" s="287"/>
      <c r="W36" s="289" t="str">
        <f t="shared" si="2"/>
        <v/>
      </c>
      <c r="X36" s="287"/>
      <c r="Y36" s="290" t="str">
        <f t="shared" si="3"/>
        <v/>
      </c>
      <c r="Z36" s="291">
        <f ca="1">SUMIF($T$8:Y$1018,"QUANT.",T36:Y36)</f>
        <v>0</v>
      </c>
      <c r="AA36" s="292">
        <f t="shared" ca="1" si="4"/>
        <v>0</v>
      </c>
      <c r="AB36" s="293" t="str">
        <f t="shared" si="5"/>
        <v/>
      </c>
      <c r="AC36" s="294">
        <f t="shared" ca="1" si="6"/>
        <v>0</v>
      </c>
      <c r="AD36" s="294">
        <f t="shared" ca="1" si="7"/>
        <v>0</v>
      </c>
      <c r="AE36" s="295"/>
      <c r="AF36" s="295"/>
      <c r="AG36" s="296"/>
      <c r="AH36" s="296"/>
      <c r="AI36" s="296"/>
      <c r="AJ36" s="295"/>
      <c r="AK36" s="295"/>
      <c r="AL36" s="295"/>
      <c r="AM36" s="295"/>
    </row>
    <row r="37" spans="1:39" x14ac:dyDescent="0.25">
      <c r="A37" s="232">
        <f t="shared" si="0"/>
        <v>37</v>
      </c>
      <c r="B37" s="232"/>
      <c r="C37" s="307" t="str">
        <f t="shared" ref="C37:C47" si="16">+C36</f>
        <v>4.2</v>
      </c>
      <c r="D37" s="308">
        <f t="shared" ref="D37:D47" si="17">1+D36</f>
        <v>1</v>
      </c>
      <c r="E37" s="309" t="str">
        <f t="shared" ref="E37:E47" si="18">C37&amp;"."&amp;D37</f>
        <v>4.2.1</v>
      </c>
      <c r="F37" s="310">
        <v>96544</v>
      </c>
      <c r="G37" s="311" t="str">
        <f>IF($F37="","",IFERROR(VLOOKUP($F37,SERVIÇOS!$B:$G,2,0),IFERROR(VLOOKUP($F37,'COMPOSIÇÕES COMPLEMENTARES '!$D:$L,2,0),IFERROR(VLOOKUP($F37,INSUMOS!$A:$D,2,0),""))))</f>
        <v>ARMAÇÃO DE BLOCO UTILIZANDO AÇO CA-50 DE 6,3 MM - MONTAGEM. AF_01/2024</v>
      </c>
      <c r="H37" s="312" t="str">
        <f>IF($F37="","",IFERROR(VLOOKUP($F37,SERVIÇOS!$B:$G,3,0),IFERROR(VLOOKUP($F37,'COMPOSIÇÕES COMPLEMENTARES '!$D:$L,3,0),IFERROR(VLOOKUP($F37,INSUMOS!$A:$D,3,0),""))))</f>
        <v>KG</v>
      </c>
      <c r="I37" s="313">
        <v>218</v>
      </c>
      <c r="J37" s="314">
        <f>IF($F37="","",IFERROR(VLOOKUP($F37,SERVIÇOS!$B:$G,4,0),IFERROR(VLOOKUP($F37,'COMPOSIÇÕES COMPLEMENTARES '!$D:$L,6,0),IFERROR(VLOOKUP($F37,INSUMOS!$A:$D,4,0),""))))</f>
        <v>12.41</v>
      </c>
      <c r="K37" s="314">
        <f>IF($F37="","",IFERROR(VLOOKUP($F37,SERVIÇOS!$B:$G,5,0),IFERROR(VLOOKUP($F37,'COMPOSIÇÕES COMPLEMENTARES '!$D:$L,7,0),0)))</f>
        <v>7.87</v>
      </c>
      <c r="L37" s="314">
        <f t="shared" ref="L37:L47" si="19">IF(I37="","",J37+K37)</f>
        <v>20.28</v>
      </c>
      <c r="M37" s="314">
        <f t="shared" ref="M37:M47" si="20">IF(I37="","",TRUNC((I37*J37),2))</f>
        <v>2705.38</v>
      </c>
      <c r="N37" s="314">
        <f t="shared" ref="N37:N47" si="21">IF(I37="","",TRUNC((I37*K37),2))</f>
        <v>1715.66</v>
      </c>
      <c r="O37" s="314">
        <f t="shared" ref="O37:O47" si="22">IF(I37="","",TRUNC((M37+N37),2))</f>
        <v>4421.04</v>
      </c>
      <c r="P37" s="314"/>
      <c r="Q37" s="315"/>
      <c r="R37" s="315"/>
      <c r="S37" s="286"/>
      <c r="T37" s="287"/>
      <c r="U37" s="288" t="str">
        <f t="shared" si="1"/>
        <v/>
      </c>
      <c r="V37" s="287"/>
      <c r="W37" s="289" t="str">
        <f t="shared" si="2"/>
        <v/>
      </c>
      <c r="X37" s="287"/>
      <c r="Y37" s="290" t="str">
        <f t="shared" si="3"/>
        <v/>
      </c>
      <c r="Z37" s="291">
        <f ca="1">SUMIF($T$8:Y$1018,"QUANT.",T37:Y37)</f>
        <v>0</v>
      </c>
      <c r="AA37" s="292">
        <f t="shared" ca="1" si="4"/>
        <v>0</v>
      </c>
      <c r="AB37" s="293" t="str">
        <f t="shared" ca="1" si="5"/>
        <v>MEDIR</v>
      </c>
      <c r="AC37" s="294">
        <f t="shared" ca="1" si="6"/>
        <v>218</v>
      </c>
      <c r="AD37" s="294">
        <f t="shared" ca="1" si="7"/>
        <v>4421.04</v>
      </c>
      <c r="AE37" s="295"/>
      <c r="AF37" s="295"/>
      <c r="AG37" s="296"/>
      <c r="AH37" s="296"/>
      <c r="AI37" s="296"/>
      <c r="AJ37" s="296"/>
      <c r="AK37" s="296"/>
      <c r="AL37" s="296"/>
      <c r="AM37" s="296"/>
    </row>
    <row r="38" spans="1:39" x14ac:dyDescent="0.25">
      <c r="A38" s="232">
        <f t="shared" si="0"/>
        <v>38</v>
      </c>
      <c r="B38" s="232"/>
      <c r="C38" s="307" t="str">
        <f t="shared" si="16"/>
        <v>4.2</v>
      </c>
      <c r="D38" s="308">
        <f t="shared" si="17"/>
        <v>2</v>
      </c>
      <c r="E38" s="309" t="str">
        <f t="shared" si="18"/>
        <v>4.2.2</v>
      </c>
      <c r="F38" s="310">
        <v>96545</v>
      </c>
      <c r="G38" s="311" t="str">
        <f>IF($F38="","",IFERROR(VLOOKUP($F38,SERVIÇOS!$B:$G,2,0),IFERROR(VLOOKUP($F38,'COMPOSIÇÕES COMPLEMENTARES '!$D:$L,2,0),IFERROR(VLOOKUP($F38,INSUMOS!$A:$D,2,0),""))))</f>
        <v>ARMAÇÃO DE BLOCO UTILIZANDO AÇO CA-50 DE 8 MM - MONTAGEM. AF_01/2024</v>
      </c>
      <c r="H38" s="312" t="str">
        <f>IF($F38="","",IFERROR(VLOOKUP($F38,SERVIÇOS!$B:$G,3,0),IFERROR(VLOOKUP($F38,'COMPOSIÇÕES COMPLEMENTARES '!$D:$L,3,0),IFERROR(VLOOKUP($F38,INSUMOS!$A:$D,3,0),""))))</f>
        <v>KG</v>
      </c>
      <c r="I38" s="313">
        <v>510</v>
      </c>
      <c r="J38" s="314">
        <f>IF($F38="","",IFERROR(VLOOKUP($F38,SERVIÇOS!$B:$G,4,0),IFERROR(VLOOKUP($F38,'COMPOSIÇÕES COMPLEMENTARES '!$D:$L,6,0),IFERROR(VLOOKUP($F38,INSUMOS!$A:$D,4,0),""))))</f>
        <v>11.98</v>
      </c>
      <c r="K38" s="314">
        <f>IF($F38="","",IFERROR(VLOOKUP($F38,SERVIÇOS!$B:$G,5,0),IFERROR(VLOOKUP($F38,'COMPOSIÇÕES COMPLEMENTARES '!$D:$L,7,0),0)))</f>
        <v>5.77</v>
      </c>
      <c r="L38" s="314">
        <f t="shared" si="19"/>
        <v>17.75</v>
      </c>
      <c r="M38" s="314">
        <f t="shared" si="20"/>
        <v>6109.8</v>
      </c>
      <c r="N38" s="314">
        <f t="shared" si="21"/>
        <v>2942.7</v>
      </c>
      <c r="O38" s="314">
        <f t="shared" si="22"/>
        <v>9052.5</v>
      </c>
      <c r="P38" s="314"/>
      <c r="Q38" s="315"/>
      <c r="R38" s="315"/>
      <c r="S38" s="286"/>
      <c r="T38" s="287"/>
      <c r="U38" s="288" t="str">
        <f t="shared" si="1"/>
        <v/>
      </c>
      <c r="V38" s="287"/>
      <c r="W38" s="289" t="str">
        <f t="shared" si="2"/>
        <v/>
      </c>
      <c r="X38" s="287"/>
      <c r="Y38" s="290" t="str">
        <f t="shared" si="3"/>
        <v/>
      </c>
      <c r="Z38" s="291">
        <f ca="1">SUMIF($T$8:Y$1018,"QUANT.",T38:Y38)</f>
        <v>0</v>
      </c>
      <c r="AA38" s="292">
        <f t="shared" ca="1" si="4"/>
        <v>0</v>
      </c>
      <c r="AB38" s="293" t="str">
        <f t="shared" ca="1" si="5"/>
        <v>MEDIR</v>
      </c>
      <c r="AC38" s="294">
        <f t="shared" ca="1" si="6"/>
        <v>510</v>
      </c>
      <c r="AD38" s="294">
        <f t="shared" ca="1" si="7"/>
        <v>9052.5</v>
      </c>
      <c r="AE38" s="295"/>
      <c r="AF38" s="295"/>
      <c r="AG38" s="296"/>
      <c r="AH38" s="296"/>
      <c r="AI38" s="296"/>
      <c r="AJ38" s="296"/>
      <c r="AK38" s="296"/>
      <c r="AL38" s="296"/>
      <c r="AM38" s="296"/>
    </row>
    <row r="39" spans="1:39" ht="25.5" x14ac:dyDescent="0.25">
      <c r="A39" s="232">
        <f t="shared" si="0"/>
        <v>39</v>
      </c>
      <c r="B39" s="232"/>
      <c r="C39" s="307" t="str">
        <f t="shared" si="16"/>
        <v>4.2</v>
      </c>
      <c r="D39" s="308">
        <f t="shared" si="17"/>
        <v>3</v>
      </c>
      <c r="E39" s="309" t="str">
        <f t="shared" si="18"/>
        <v>4.2.3</v>
      </c>
      <c r="F39" s="310">
        <v>104920</v>
      </c>
      <c r="G39" s="311" t="str">
        <f>IF($F39="","",IFERROR(VLOOKUP($F39,SERVIÇOS!$B:$G,2,0),IFERROR(VLOOKUP($F39,'COMPOSIÇÕES COMPLEMENTARES '!$D:$L,2,0),IFERROR(VLOOKUP($F39,INSUMOS!$A:$D,2,0),""))))</f>
        <v>ARMAÇÃO DE BLOCO, SAPATA ISOLADA, VIGA BALDRAME E SAPATA CORRIDA UTILIZANDO AÇO CA-50 DE 12,5 MM - MONTAGEM. AF_01/2024</v>
      </c>
      <c r="H39" s="312" t="str">
        <f>IF($F39="","",IFERROR(VLOOKUP($F39,SERVIÇOS!$B:$G,3,0),IFERROR(VLOOKUP($F39,'COMPOSIÇÕES COMPLEMENTARES '!$D:$L,3,0),IFERROR(VLOOKUP($F39,INSUMOS!$A:$D,3,0),""))))</f>
        <v>KG</v>
      </c>
      <c r="I39" s="313">
        <v>133</v>
      </c>
      <c r="J39" s="314">
        <f>IF($F39="","",IFERROR(VLOOKUP($F39,SERVIÇOS!$B:$G,4,0),IFERROR(VLOOKUP($F39,'COMPOSIÇÕES COMPLEMENTARES '!$D:$L,6,0),IFERROR(VLOOKUP($F39,INSUMOS!$A:$D,4,0),""))))</f>
        <v>9.02</v>
      </c>
      <c r="K39" s="314">
        <f>IF($F39="","",IFERROR(VLOOKUP($F39,SERVIÇOS!$B:$G,5,0),IFERROR(VLOOKUP($F39,'COMPOSIÇÕES COMPLEMENTARES '!$D:$L,7,0),0)))</f>
        <v>2.4</v>
      </c>
      <c r="L39" s="314">
        <f t="shared" si="19"/>
        <v>11.42</v>
      </c>
      <c r="M39" s="314">
        <f t="shared" si="20"/>
        <v>1199.6600000000001</v>
      </c>
      <c r="N39" s="314">
        <f t="shared" si="21"/>
        <v>319.2</v>
      </c>
      <c r="O39" s="314">
        <f t="shared" si="22"/>
        <v>1518.86</v>
      </c>
      <c r="P39" s="314"/>
      <c r="Q39" s="315"/>
      <c r="R39" s="315"/>
      <c r="S39" s="286"/>
      <c r="T39" s="287"/>
      <c r="U39" s="288" t="str">
        <f t="shared" si="1"/>
        <v/>
      </c>
      <c r="V39" s="287"/>
      <c r="W39" s="289" t="str">
        <f t="shared" si="2"/>
        <v/>
      </c>
      <c r="X39" s="287"/>
      <c r="Y39" s="290" t="str">
        <f t="shared" si="3"/>
        <v/>
      </c>
      <c r="Z39" s="291">
        <f ca="1">SUMIF($T$8:Y$1018,"QUANT.",T39:Y39)</f>
        <v>0</v>
      </c>
      <c r="AA39" s="292">
        <f t="shared" ca="1" si="4"/>
        <v>0</v>
      </c>
      <c r="AB39" s="293" t="str">
        <f t="shared" ca="1" si="5"/>
        <v>MEDIR</v>
      </c>
      <c r="AC39" s="294">
        <f t="shared" ca="1" si="6"/>
        <v>133</v>
      </c>
      <c r="AD39" s="294">
        <f t="shared" ca="1" si="7"/>
        <v>1518.86</v>
      </c>
      <c r="AE39" s="295"/>
      <c r="AF39" s="295"/>
      <c r="AG39" s="296"/>
      <c r="AH39" s="296"/>
      <c r="AI39" s="296"/>
      <c r="AJ39" s="295"/>
      <c r="AK39" s="295"/>
      <c r="AL39" s="295"/>
      <c r="AM39" s="295"/>
    </row>
    <row r="40" spans="1:39" ht="25.5" x14ac:dyDescent="0.25">
      <c r="A40" s="232">
        <f t="shared" si="0"/>
        <v>40</v>
      </c>
      <c r="B40" s="232"/>
      <c r="C40" s="307" t="str">
        <f t="shared" si="16"/>
        <v>4.2</v>
      </c>
      <c r="D40" s="308">
        <f t="shared" si="17"/>
        <v>4</v>
      </c>
      <c r="E40" s="309" t="str">
        <f t="shared" si="18"/>
        <v>4.2.4</v>
      </c>
      <c r="F40" s="310">
        <v>104916</v>
      </c>
      <c r="G40" s="311" t="str">
        <f>IF($F40="","",IFERROR(VLOOKUP($F40,SERVIÇOS!$B:$G,2,0),IFERROR(VLOOKUP($F40,'COMPOSIÇÕES COMPLEMENTARES '!$D:$L,2,0),IFERROR(VLOOKUP($F40,INSUMOS!$A:$D,2,0),""))))</f>
        <v>ARMAÇÃO DE SAPATA ISOLADA, VIGA BALDRAME E SAPATA CORRIDA UTILIZANDO AÇO CA-60 DE 5 MM - MONTAGEM. AF_01/2024</v>
      </c>
      <c r="H40" s="312" t="str">
        <f>IF($F40="","",IFERROR(VLOOKUP($F40,SERVIÇOS!$B:$G,3,0),IFERROR(VLOOKUP($F40,'COMPOSIÇÕES COMPLEMENTARES '!$D:$L,3,0),IFERROR(VLOOKUP($F40,INSUMOS!$A:$D,3,0),""))))</f>
        <v>KG</v>
      </c>
      <c r="I40" s="313">
        <v>322</v>
      </c>
      <c r="J40" s="314">
        <f>IF($F40="","",IFERROR(VLOOKUP($F40,SERVIÇOS!$B:$G,4,0),IFERROR(VLOOKUP($F40,'COMPOSIÇÕES COMPLEMENTARES '!$D:$L,6,0),IFERROR(VLOOKUP($F40,INSUMOS!$A:$D,4,0),""))))</f>
        <v>11.41</v>
      </c>
      <c r="K40" s="314">
        <f>IF($F40="","",IFERROR(VLOOKUP($F40,SERVIÇOS!$B:$G,5,0),IFERROR(VLOOKUP($F40,'COMPOSIÇÕES COMPLEMENTARES '!$D:$L,7,0),0)))</f>
        <v>7.66</v>
      </c>
      <c r="L40" s="314">
        <f t="shared" si="19"/>
        <v>19.07</v>
      </c>
      <c r="M40" s="314">
        <f t="shared" si="20"/>
        <v>3674.02</v>
      </c>
      <c r="N40" s="314">
        <f t="shared" si="21"/>
        <v>2466.52</v>
      </c>
      <c r="O40" s="314">
        <f t="shared" si="22"/>
        <v>6140.54</v>
      </c>
      <c r="P40" s="314"/>
      <c r="Q40" s="315"/>
      <c r="R40" s="315"/>
      <c r="S40" s="286"/>
      <c r="T40" s="287"/>
      <c r="U40" s="288" t="str">
        <f t="shared" si="1"/>
        <v/>
      </c>
      <c r="V40" s="287"/>
      <c r="W40" s="289" t="str">
        <f t="shared" si="2"/>
        <v/>
      </c>
      <c r="X40" s="287"/>
      <c r="Y40" s="290" t="str">
        <f t="shared" si="3"/>
        <v/>
      </c>
      <c r="Z40" s="291">
        <f ca="1">SUMIF($T$8:Y$1018,"QUANT.",T40:Y40)</f>
        <v>0</v>
      </c>
      <c r="AA40" s="292">
        <f t="shared" ca="1" si="4"/>
        <v>0</v>
      </c>
      <c r="AB40" s="293" t="str">
        <f t="shared" ca="1" si="5"/>
        <v>MEDIR</v>
      </c>
      <c r="AC40" s="294">
        <f t="shared" ca="1" si="6"/>
        <v>322</v>
      </c>
      <c r="AD40" s="294">
        <f t="shared" ca="1" si="7"/>
        <v>6140.54</v>
      </c>
      <c r="AE40" s="295"/>
      <c r="AF40" s="295"/>
      <c r="AG40" s="296"/>
      <c r="AH40" s="296"/>
      <c r="AI40" s="296"/>
      <c r="AJ40" s="296"/>
      <c r="AK40" s="296"/>
      <c r="AL40" s="296"/>
      <c r="AM40" s="296"/>
    </row>
    <row r="41" spans="1:39" ht="25.5" x14ac:dyDescent="0.25">
      <c r="A41" s="232">
        <f t="shared" si="0"/>
        <v>41</v>
      </c>
      <c r="B41" s="232"/>
      <c r="C41" s="307" t="str">
        <f t="shared" si="16"/>
        <v>4.2</v>
      </c>
      <c r="D41" s="308">
        <f t="shared" si="17"/>
        <v>5</v>
      </c>
      <c r="E41" s="309" t="str">
        <f t="shared" si="18"/>
        <v>4.2.5</v>
      </c>
      <c r="F41" s="310">
        <v>104917</v>
      </c>
      <c r="G41" s="311" t="str">
        <f>IF($F41="","",IFERROR(VLOOKUP($F41,SERVIÇOS!$B:$G,2,0),IFERROR(VLOOKUP($F41,'COMPOSIÇÕES COMPLEMENTARES '!$D:$L,2,0),IFERROR(VLOOKUP($F41,INSUMOS!$A:$D,2,0),""))))</f>
        <v>ARMAÇÃO DE SAPATA ISOLADA, VIGA BALDRAME E SAPATA CORRIDA UTILIZANDO AÇO CA-50 DE 6,3 MM - MONTAGEM. AF_01/2024</v>
      </c>
      <c r="H41" s="312" t="str">
        <f>IF($F41="","",IFERROR(VLOOKUP($F41,SERVIÇOS!$B:$G,3,0),IFERROR(VLOOKUP($F41,'COMPOSIÇÕES COMPLEMENTARES '!$D:$L,3,0),IFERROR(VLOOKUP($F41,INSUMOS!$A:$D,3,0),""))))</f>
        <v>KG</v>
      </c>
      <c r="I41" s="313">
        <v>1</v>
      </c>
      <c r="J41" s="314">
        <f>IF($F41="","",IFERROR(VLOOKUP($F41,SERVIÇOS!$B:$G,4,0),IFERROR(VLOOKUP($F41,'COMPOSIÇÕES COMPLEMENTARES '!$D:$L,6,0),IFERROR(VLOOKUP($F41,INSUMOS!$A:$D,4,0),""))))</f>
        <v>11.55</v>
      </c>
      <c r="K41" s="314">
        <f>IF($F41="","",IFERROR(VLOOKUP($F41,SERVIÇOS!$B:$G,5,0),IFERROR(VLOOKUP($F41,'COMPOSIÇÕES COMPLEMENTARES '!$D:$L,7,0),0)))</f>
        <v>5.56</v>
      </c>
      <c r="L41" s="314">
        <f t="shared" si="19"/>
        <v>17.11</v>
      </c>
      <c r="M41" s="314">
        <f t="shared" si="20"/>
        <v>11.55</v>
      </c>
      <c r="N41" s="314">
        <f t="shared" si="21"/>
        <v>5.56</v>
      </c>
      <c r="O41" s="314">
        <f t="shared" si="22"/>
        <v>17.11</v>
      </c>
      <c r="P41" s="314"/>
      <c r="Q41" s="315"/>
      <c r="R41" s="315"/>
      <c r="S41" s="286"/>
      <c r="T41" s="287"/>
      <c r="U41" s="288" t="str">
        <f t="shared" si="1"/>
        <v/>
      </c>
      <c r="V41" s="287"/>
      <c r="W41" s="289" t="str">
        <f t="shared" si="2"/>
        <v/>
      </c>
      <c r="X41" s="287"/>
      <c r="Y41" s="290" t="str">
        <f t="shared" si="3"/>
        <v/>
      </c>
      <c r="Z41" s="291">
        <f ca="1">SUMIF($T$8:Y$1018,"QUANT.",T41:Y41)</f>
        <v>0</v>
      </c>
      <c r="AA41" s="292">
        <f t="shared" ca="1" si="4"/>
        <v>0</v>
      </c>
      <c r="AB41" s="293" t="str">
        <f t="shared" ca="1" si="5"/>
        <v>MEDIR</v>
      </c>
      <c r="AC41" s="294">
        <f t="shared" ca="1" si="6"/>
        <v>1</v>
      </c>
      <c r="AD41" s="294">
        <f t="shared" ca="1" si="7"/>
        <v>17.11</v>
      </c>
      <c r="AE41" s="295"/>
      <c r="AF41" s="295"/>
      <c r="AG41" s="296"/>
      <c r="AH41" s="296"/>
      <c r="AI41" s="296"/>
      <c r="AJ41" s="296"/>
      <c r="AK41" s="296"/>
      <c r="AL41" s="296"/>
      <c r="AM41" s="296"/>
    </row>
    <row r="42" spans="1:39" ht="25.5" x14ac:dyDescent="0.25">
      <c r="A42" s="232">
        <f t="shared" si="0"/>
        <v>42</v>
      </c>
      <c r="B42" s="232"/>
      <c r="C42" s="307" t="str">
        <f t="shared" si="16"/>
        <v>4.2</v>
      </c>
      <c r="D42" s="308">
        <f t="shared" si="17"/>
        <v>6</v>
      </c>
      <c r="E42" s="309" t="str">
        <f t="shared" si="18"/>
        <v>4.2.6</v>
      </c>
      <c r="F42" s="310">
        <v>104918</v>
      </c>
      <c r="G42" s="311" t="str">
        <f>IF($F42="","",IFERROR(VLOOKUP($F42,SERVIÇOS!$B:$G,2,0),IFERROR(VLOOKUP($F42,'COMPOSIÇÕES COMPLEMENTARES '!$D:$L,2,0),IFERROR(VLOOKUP($F42,INSUMOS!$A:$D,2,0),""))))</f>
        <v>ARMAÇÃO DE SAPATA ISOLADA, VIGA BALDRAME E SAPATA CORRIDA UTILIZANDO AÇO CA-50 DE 8 MM - MONTAGEM. AF_01/2024</v>
      </c>
      <c r="H42" s="312" t="str">
        <f>IF($F42="","",IFERROR(VLOOKUP($F42,SERVIÇOS!$B:$G,3,0),IFERROR(VLOOKUP($F42,'COMPOSIÇÕES COMPLEMENTARES '!$D:$L,3,0),IFERROR(VLOOKUP($F42,INSUMOS!$A:$D,3,0),""))))</f>
        <v>KG</v>
      </c>
      <c r="I42" s="313">
        <v>457</v>
      </c>
      <c r="J42" s="314">
        <f>IF($F42="","",IFERROR(VLOOKUP($F42,SERVIÇOS!$B:$G,4,0),IFERROR(VLOOKUP($F42,'COMPOSIÇÕES COMPLEMENTARES '!$D:$L,6,0),IFERROR(VLOOKUP($F42,INSUMOS!$A:$D,4,0),""))))</f>
        <v>11.34</v>
      </c>
      <c r="K42" s="314">
        <f>IF($F42="","",IFERROR(VLOOKUP($F42,SERVIÇOS!$B:$G,5,0),IFERROR(VLOOKUP($F42,'COMPOSIÇÕES COMPLEMENTARES '!$D:$L,7,0),0)))</f>
        <v>4.08</v>
      </c>
      <c r="L42" s="314">
        <f t="shared" si="19"/>
        <v>15.42</v>
      </c>
      <c r="M42" s="314">
        <f t="shared" si="20"/>
        <v>5182.38</v>
      </c>
      <c r="N42" s="314">
        <f t="shared" si="21"/>
        <v>1864.56</v>
      </c>
      <c r="O42" s="314">
        <f t="shared" si="22"/>
        <v>7046.94</v>
      </c>
      <c r="P42" s="314"/>
      <c r="Q42" s="315"/>
      <c r="R42" s="315"/>
      <c r="S42" s="286"/>
      <c r="T42" s="287"/>
      <c r="U42" s="288" t="str">
        <f t="shared" si="1"/>
        <v/>
      </c>
      <c r="V42" s="287"/>
      <c r="W42" s="289" t="str">
        <f t="shared" si="2"/>
        <v/>
      </c>
      <c r="X42" s="287"/>
      <c r="Y42" s="290" t="str">
        <f t="shared" si="3"/>
        <v/>
      </c>
      <c r="Z42" s="291">
        <f ca="1">SUMIF($T$8:Y$1018,"QUANT.",T42:Y42)</f>
        <v>0</v>
      </c>
      <c r="AA42" s="292">
        <f t="shared" ca="1" si="4"/>
        <v>0</v>
      </c>
      <c r="AB42" s="293" t="str">
        <f t="shared" ca="1" si="5"/>
        <v>MEDIR</v>
      </c>
      <c r="AC42" s="294">
        <f t="shared" ca="1" si="6"/>
        <v>457</v>
      </c>
      <c r="AD42" s="294">
        <f t="shared" ca="1" si="7"/>
        <v>7046.94</v>
      </c>
      <c r="AE42" s="295"/>
      <c r="AF42" s="295"/>
      <c r="AG42" s="296"/>
      <c r="AH42" s="296"/>
      <c r="AI42" s="296"/>
      <c r="AJ42" s="296"/>
      <c r="AK42" s="296"/>
      <c r="AL42" s="296"/>
      <c r="AM42" s="296"/>
    </row>
    <row r="43" spans="1:39" ht="25.5" x14ac:dyDescent="0.25">
      <c r="A43" s="232">
        <f t="shared" si="0"/>
        <v>43</v>
      </c>
      <c r="B43" s="232"/>
      <c r="C43" s="307" t="str">
        <f t="shared" si="16"/>
        <v>4.2</v>
      </c>
      <c r="D43" s="308">
        <f t="shared" si="17"/>
        <v>7</v>
      </c>
      <c r="E43" s="309" t="str">
        <f t="shared" si="18"/>
        <v>4.2.7</v>
      </c>
      <c r="F43" s="310">
        <v>104919</v>
      </c>
      <c r="G43" s="311" t="str">
        <f>IF($F43="","",IFERROR(VLOOKUP($F43,SERVIÇOS!$B:$G,2,0),IFERROR(VLOOKUP($F43,'COMPOSIÇÕES COMPLEMENTARES '!$D:$L,2,0),IFERROR(VLOOKUP($F43,INSUMOS!$A:$D,2,0),""))))</f>
        <v>ARMAÇÃO DE SAPATA ISOLADA, VIGA BALDRAME E SAPATA CORRIDA UTILIZANDO AÇO CA-50 DE 10 MM - MONTAGEM. AF_01/2024</v>
      </c>
      <c r="H43" s="312" t="str">
        <f>IF($F43="","",IFERROR(VLOOKUP($F43,SERVIÇOS!$B:$G,3,0),IFERROR(VLOOKUP($F43,'COMPOSIÇÕES COMPLEMENTARES '!$D:$L,3,0),IFERROR(VLOOKUP($F43,INSUMOS!$A:$D,3,0),""))))</f>
        <v>KG</v>
      </c>
      <c r="I43" s="313">
        <v>336</v>
      </c>
      <c r="J43" s="314">
        <f>IF($F43="","",IFERROR(VLOOKUP($F43,SERVIÇOS!$B:$G,4,0),IFERROR(VLOOKUP($F43,'COMPOSIÇÕES COMPLEMENTARES '!$D:$L,6,0),IFERROR(VLOOKUP($F43,INSUMOS!$A:$D,4,0),""))))</f>
        <v>10.45</v>
      </c>
      <c r="K43" s="314">
        <f>IF($F43="","",IFERROR(VLOOKUP($F43,SERVIÇOS!$B:$G,5,0),IFERROR(VLOOKUP($F43,'COMPOSIÇÕES COMPLEMENTARES '!$D:$L,7,0),0)))</f>
        <v>3.1</v>
      </c>
      <c r="L43" s="314">
        <f t="shared" si="19"/>
        <v>13.549999999999999</v>
      </c>
      <c r="M43" s="314">
        <f t="shared" si="20"/>
        <v>3511.2</v>
      </c>
      <c r="N43" s="314">
        <f t="shared" si="21"/>
        <v>1041.5999999999999</v>
      </c>
      <c r="O43" s="314">
        <f t="shared" si="22"/>
        <v>4552.8</v>
      </c>
      <c r="P43" s="314"/>
      <c r="Q43" s="315"/>
      <c r="R43" s="315"/>
      <c r="S43" s="286"/>
      <c r="T43" s="287"/>
      <c r="U43" s="288" t="str">
        <f t="shared" si="1"/>
        <v/>
      </c>
      <c r="V43" s="287"/>
      <c r="W43" s="289" t="str">
        <f t="shared" si="2"/>
        <v/>
      </c>
      <c r="X43" s="287"/>
      <c r="Y43" s="290" t="str">
        <f t="shared" si="3"/>
        <v/>
      </c>
      <c r="Z43" s="291">
        <f ca="1">SUMIF($T$8:Y$1018,"QUANT.",T43:Y43)</f>
        <v>0</v>
      </c>
      <c r="AA43" s="292">
        <f t="shared" ca="1" si="4"/>
        <v>0</v>
      </c>
      <c r="AB43" s="293" t="str">
        <f t="shared" ca="1" si="5"/>
        <v>MEDIR</v>
      </c>
      <c r="AC43" s="294">
        <f t="shared" ca="1" si="6"/>
        <v>336</v>
      </c>
      <c r="AD43" s="294">
        <f t="shared" ca="1" si="7"/>
        <v>4552.8</v>
      </c>
      <c r="AE43" s="295"/>
      <c r="AF43" s="295"/>
      <c r="AG43" s="296"/>
      <c r="AH43" s="296"/>
      <c r="AI43" s="296"/>
      <c r="AJ43" s="296"/>
      <c r="AK43" s="296"/>
      <c r="AL43" s="296"/>
      <c r="AM43" s="296"/>
    </row>
    <row r="44" spans="1:39" x14ac:dyDescent="0.25">
      <c r="A44" s="232">
        <f t="shared" si="0"/>
        <v>44</v>
      </c>
      <c r="B44" s="232"/>
      <c r="C44" s="307" t="str">
        <f t="shared" si="16"/>
        <v>4.2</v>
      </c>
      <c r="D44" s="308">
        <f t="shared" si="17"/>
        <v>8</v>
      </c>
      <c r="E44" s="309" t="str">
        <f t="shared" si="18"/>
        <v>4.2.8</v>
      </c>
      <c r="F44" s="310" t="s">
        <v>11931</v>
      </c>
      <c r="G44" s="311" t="str">
        <f>IF($F44="","",IFERROR(VLOOKUP($F44,SERVIÇOS!$B:$G,2,0),IFERROR(VLOOKUP($F44,'COMPOSIÇÕES COMPLEMENTARES '!$D:$L,2,0),IFERROR(VLOOKUP($F44,INSUMOS!$A:$D,2,0),""))))</f>
        <v>FORMA TABUA PARA CONCRETO EM FUNDACAO C/ REAPROVEITAMENTO 5X</v>
      </c>
      <c r="H44" s="312" t="str">
        <f>IF($F44="","",IFERROR(VLOOKUP($F44,SERVIÇOS!$B:$G,3,0),IFERROR(VLOOKUP($F44,'COMPOSIÇÕES COMPLEMENTARES '!$D:$L,3,0),IFERROR(VLOOKUP($F44,INSUMOS!$A:$D,3,0),""))))</f>
        <v>M2</v>
      </c>
      <c r="I44" s="313">
        <v>316.77999999999997</v>
      </c>
      <c r="J44" s="314">
        <f>IF($F44="","",IFERROR(VLOOKUP($F44,SERVIÇOS!$B:$G,4,0),IFERROR(VLOOKUP($F44,'COMPOSIÇÕES COMPLEMENTARES '!$D:$L,6,0),IFERROR(VLOOKUP($F44,INSUMOS!$A:$D,4,0),""))))</f>
        <v>40.69</v>
      </c>
      <c r="K44" s="314">
        <f>IF($F44="","",IFERROR(VLOOKUP($F44,SERVIÇOS!$B:$G,5,0),IFERROR(VLOOKUP($F44,'COMPOSIÇÕES COMPLEMENTARES '!$D:$L,7,0),0)))</f>
        <v>29.34</v>
      </c>
      <c r="L44" s="314">
        <f t="shared" si="19"/>
        <v>70.03</v>
      </c>
      <c r="M44" s="314">
        <f t="shared" si="20"/>
        <v>12889.77</v>
      </c>
      <c r="N44" s="314">
        <f t="shared" si="21"/>
        <v>9294.32</v>
      </c>
      <c r="O44" s="314">
        <f t="shared" si="22"/>
        <v>22184.09</v>
      </c>
      <c r="P44" s="314"/>
      <c r="Q44" s="315"/>
      <c r="R44" s="315"/>
      <c r="S44" s="286"/>
      <c r="T44" s="287"/>
      <c r="U44" s="288" t="str">
        <f t="shared" si="1"/>
        <v/>
      </c>
      <c r="V44" s="287"/>
      <c r="W44" s="289" t="str">
        <f t="shared" si="2"/>
        <v/>
      </c>
      <c r="X44" s="287"/>
      <c r="Y44" s="290" t="str">
        <f t="shared" si="3"/>
        <v/>
      </c>
      <c r="Z44" s="291">
        <f ca="1">SUMIF($T$8:Y$1018,"QUANT.",T44:Y44)</f>
        <v>0</v>
      </c>
      <c r="AA44" s="292">
        <f t="shared" ca="1" si="4"/>
        <v>0</v>
      </c>
      <c r="AB44" s="293" t="str">
        <f t="shared" ca="1" si="5"/>
        <v>MEDIR</v>
      </c>
      <c r="AC44" s="294">
        <f t="shared" ca="1" si="6"/>
        <v>316.77999999999997</v>
      </c>
      <c r="AD44" s="294">
        <f t="shared" ca="1" si="7"/>
        <v>22184.09</v>
      </c>
      <c r="AE44" s="295"/>
      <c r="AF44" s="295"/>
      <c r="AG44" s="296"/>
      <c r="AH44" s="296"/>
      <c r="AI44" s="296"/>
      <c r="AJ44" s="295"/>
      <c r="AK44" s="295"/>
      <c r="AL44" s="295"/>
      <c r="AM44" s="295"/>
    </row>
    <row r="45" spans="1:39" ht="25.5" x14ac:dyDescent="0.25">
      <c r="A45" s="232">
        <f t="shared" si="0"/>
        <v>45</v>
      </c>
      <c r="B45" s="232"/>
      <c r="C45" s="307" t="str">
        <f t="shared" si="16"/>
        <v>4.2</v>
      </c>
      <c r="D45" s="308">
        <f t="shared" si="17"/>
        <v>9</v>
      </c>
      <c r="E45" s="309" t="str">
        <f t="shared" si="18"/>
        <v>4.2.9</v>
      </c>
      <c r="F45" s="310">
        <v>96619</v>
      </c>
      <c r="G45" s="311" t="str">
        <f>IF($F45="","",IFERROR(VLOOKUP($F45,SERVIÇOS!$B:$G,2,0),IFERROR(VLOOKUP($F45,'COMPOSIÇÕES COMPLEMENTARES '!$D:$L,2,0),IFERROR(VLOOKUP($F45,INSUMOS!$A:$D,2,0),""))))</f>
        <v>LASTRO DE CONCRETO MAGRO, APLICADO EM BLOCOS DE COROAMENTO OU SAPATAS, ESPESSURA DE 5 CM. AF_01/2024</v>
      </c>
      <c r="H45" s="312" t="str">
        <f>IF($F45="","",IFERROR(VLOOKUP($F45,SERVIÇOS!$B:$G,3,0),IFERROR(VLOOKUP($F45,'COMPOSIÇÕES COMPLEMENTARES '!$D:$L,3,0),IFERROR(VLOOKUP($F45,INSUMOS!$A:$D,3,0),""))))</f>
        <v>M2</v>
      </c>
      <c r="I45" s="313">
        <v>3.49</v>
      </c>
      <c r="J45" s="314">
        <f>IF($F45="","",IFERROR(VLOOKUP($F45,SERVIÇOS!$B:$G,4,0),IFERROR(VLOOKUP($F45,'COMPOSIÇÕES COMPLEMENTARES '!$D:$L,6,0),IFERROR(VLOOKUP($F45,INSUMOS!$A:$D,4,0),""))))</f>
        <v>26.06</v>
      </c>
      <c r="K45" s="314">
        <f>IF($F45="","",IFERROR(VLOOKUP($F45,SERVIÇOS!$B:$G,5,0),IFERROR(VLOOKUP($F45,'COMPOSIÇÕES COMPLEMENTARES '!$D:$L,7,0),0)))</f>
        <v>16.87</v>
      </c>
      <c r="L45" s="314">
        <f t="shared" si="19"/>
        <v>42.93</v>
      </c>
      <c r="M45" s="314">
        <f t="shared" si="20"/>
        <v>90.94</v>
      </c>
      <c r="N45" s="314">
        <f t="shared" si="21"/>
        <v>58.87</v>
      </c>
      <c r="O45" s="314">
        <f t="shared" si="22"/>
        <v>149.81</v>
      </c>
      <c r="P45" s="314"/>
      <c r="Q45" s="315"/>
      <c r="R45" s="315"/>
      <c r="S45" s="286"/>
      <c r="T45" s="287"/>
      <c r="U45" s="288" t="str">
        <f t="shared" si="1"/>
        <v/>
      </c>
      <c r="V45" s="287"/>
      <c r="W45" s="289" t="str">
        <f t="shared" si="2"/>
        <v/>
      </c>
      <c r="X45" s="287"/>
      <c r="Y45" s="290" t="str">
        <f t="shared" si="3"/>
        <v/>
      </c>
      <c r="Z45" s="291">
        <f ca="1">SUMIF($T$8:Y$1018,"QUANT.",T45:Y45)</f>
        <v>0</v>
      </c>
      <c r="AA45" s="292">
        <f t="shared" ca="1" si="4"/>
        <v>0</v>
      </c>
      <c r="AB45" s="293" t="str">
        <f t="shared" ca="1" si="5"/>
        <v>MEDIR</v>
      </c>
      <c r="AC45" s="294">
        <f t="shared" ca="1" si="6"/>
        <v>3.49</v>
      </c>
      <c r="AD45" s="294">
        <f t="shared" ca="1" si="7"/>
        <v>149.81</v>
      </c>
      <c r="AE45" s="295"/>
      <c r="AF45" s="295"/>
      <c r="AG45" s="296"/>
      <c r="AH45" s="296"/>
      <c r="AI45" s="296"/>
      <c r="AJ45" s="295"/>
      <c r="AK45" s="295"/>
      <c r="AL45" s="295"/>
      <c r="AM45" s="295"/>
    </row>
    <row r="46" spans="1:39" x14ac:dyDescent="0.25">
      <c r="A46" s="232">
        <f t="shared" si="0"/>
        <v>46</v>
      </c>
      <c r="B46" s="232"/>
      <c r="C46" s="307" t="str">
        <f t="shared" si="16"/>
        <v>4.2</v>
      </c>
      <c r="D46" s="308">
        <f t="shared" si="17"/>
        <v>10</v>
      </c>
      <c r="E46" s="309" t="str">
        <f t="shared" si="18"/>
        <v>4.2.10</v>
      </c>
      <c r="F46" s="310" t="s">
        <v>11932</v>
      </c>
      <c r="G46" s="311" t="str">
        <f>IF($F46="","",IFERROR(VLOOKUP($F46,SERVIÇOS!$B:$G,2,0),IFERROR(VLOOKUP($F46,'COMPOSIÇÕES COMPLEMENTARES '!$D:$L,2,0),IFERROR(VLOOKUP($F46,INSUMOS!$A:$D,2,0),""))))</f>
        <v>CONCRETO USINADO BOMBEADO FCK=30MPA, BOMBEADO, LANÇADO E ADENSADO EM INFRAESTRUTURA</v>
      </c>
      <c r="H46" s="312" t="str">
        <f>IF($F46="","",IFERROR(VLOOKUP($F46,SERVIÇOS!$B:$G,3,0),IFERROR(VLOOKUP($F46,'COMPOSIÇÕES COMPLEMENTARES '!$D:$L,3,0),IFERROR(VLOOKUP($F46,INSUMOS!$A:$D,3,0),""))))</f>
        <v>M3</v>
      </c>
      <c r="I46" s="313">
        <v>30.3</v>
      </c>
      <c r="J46" s="314">
        <f>IF($F46="","",IFERROR(VLOOKUP($F46,SERVIÇOS!$B:$G,4,0),IFERROR(VLOOKUP($F46,'COMPOSIÇÕES COMPLEMENTARES '!$D:$L,6,0),IFERROR(VLOOKUP($F46,INSUMOS!$A:$D,4,0),""))))</f>
        <v>534.25</v>
      </c>
      <c r="K46" s="314">
        <f>IF($F46="","",IFERROR(VLOOKUP($F46,SERVIÇOS!$B:$G,5,0),IFERROR(VLOOKUP($F46,'COMPOSIÇÕES COMPLEMENTARES '!$D:$L,7,0),0)))</f>
        <v>38.56</v>
      </c>
      <c r="L46" s="314">
        <f t="shared" si="19"/>
        <v>572.80999999999995</v>
      </c>
      <c r="M46" s="314">
        <f t="shared" si="20"/>
        <v>16187.77</v>
      </c>
      <c r="N46" s="314">
        <f t="shared" si="21"/>
        <v>1168.3599999999999</v>
      </c>
      <c r="O46" s="314">
        <f t="shared" si="22"/>
        <v>17356.13</v>
      </c>
      <c r="P46" s="314"/>
      <c r="Q46" s="315"/>
      <c r="R46" s="315"/>
      <c r="S46" s="286"/>
      <c r="T46" s="287"/>
      <c r="U46" s="288" t="str">
        <f t="shared" si="1"/>
        <v/>
      </c>
      <c r="V46" s="287"/>
      <c r="W46" s="289" t="str">
        <f t="shared" si="2"/>
        <v/>
      </c>
      <c r="X46" s="287"/>
      <c r="Y46" s="290" t="str">
        <f t="shared" si="3"/>
        <v/>
      </c>
      <c r="Z46" s="291">
        <f ca="1">SUMIF($T$8:Y$1018,"QUANT.",T46:Y46)</f>
        <v>0</v>
      </c>
      <c r="AA46" s="292">
        <f t="shared" ca="1" si="4"/>
        <v>0</v>
      </c>
      <c r="AB46" s="293" t="str">
        <f t="shared" ca="1" si="5"/>
        <v>MEDIR</v>
      </c>
      <c r="AC46" s="294">
        <f t="shared" ca="1" si="6"/>
        <v>30.3</v>
      </c>
      <c r="AD46" s="294">
        <f t="shared" ca="1" si="7"/>
        <v>17356.13</v>
      </c>
      <c r="AE46" s="295"/>
      <c r="AF46" s="295"/>
      <c r="AG46" s="296"/>
      <c r="AH46" s="296"/>
      <c r="AI46" s="296"/>
      <c r="AJ46" s="295"/>
      <c r="AK46" s="295"/>
      <c r="AL46" s="295"/>
      <c r="AM46" s="295"/>
    </row>
    <row r="47" spans="1:39" x14ac:dyDescent="0.25">
      <c r="A47" s="232">
        <f t="shared" si="0"/>
        <v>47</v>
      </c>
      <c r="B47" s="232"/>
      <c r="C47" s="307" t="str">
        <f t="shared" si="16"/>
        <v>4.2</v>
      </c>
      <c r="D47" s="308">
        <f t="shared" si="17"/>
        <v>11</v>
      </c>
      <c r="E47" s="309" t="str">
        <f t="shared" si="18"/>
        <v>4.2.11</v>
      </c>
      <c r="F47" s="310" t="s">
        <v>11928</v>
      </c>
      <c r="G47" s="311" t="str">
        <f>IF($F47="","",IFERROR(VLOOKUP($F47,SERVIÇOS!$B:$G,2,0),IFERROR(VLOOKUP($F47,'COMPOSIÇÕES COMPLEMENTARES '!$D:$L,2,0),IFERROR(VLOOKUP($F47,INSUMOS!$A:$D,2,0),""))))</f>
        <v>CONTROLE TECNOLÓGICO DE CONCRETO C/ ROMPIMENTO DE CORPO-DE-PROVA À COMPRESSÃO</v>
      </c>
      <c r="H47" s="312" t="str">
        <f>IF($F47="","",IFERROR(VLOOKUP($F47,SERVIÇOS!$B:$G,3,0),IFERROR(VLOOKUP($F47,'COMPOSIÇÕES COMPLEMENTARES '!$D:$L,3,0),IFERROR(VLOOKUP($F47,INSUMOS!$A:$D,3,0),""))))</f>
        <v>UN</v>
      </c>
      <c r="I47" s="313">
        <f>TRUNC(I46/8*4,0)</f>
        <v>15</v>
      </c>
      <c r="J47" s="314">
        <f>IF($F47="","",IFERROR(VLOOKUP($F47,SERVIÇOS!$B:$G,4,0),IFERROR(VLOOKUP($F47,'COMPOSIÇÕES COMPLEMENTARES '!$D:$L,6,0),IFERROR(VLOOKUP($F47,INSUMOS!$A:$D,4,0),""))))</f>
        <v>14</v>
      </c>
      <c r="K47" s="314">
        <f>IF($F47="","",IFERROR(VLOOKUP($F47,SERVIÇOS!$B:$G,5,0),IFERROR(VLOOKUP($F47,'COMPOSIÇÕES COMPLEMENTARES '!$D:$L,7,0),0)))</f>
        <v>0</v>
      </c>
      <c r="L47" s="314">
        <f t="shared" si="19"/>
        <v>14</v>
      </c>
      <c r="M47" s="314">
        <f t="shared" si="20"/>
        <v>210</v>
      </c>
      <c r="N47" s="314">
        <f t="shared" si="21"/>
        <v>0</v>
      </c>
      <c r="O47" s="314">
        <f t="shared" si="22"/>
        <v>210</v>
      </c>
      <c r="P47" s="314"/>
      <c r="Q47" s="315"/>
      <c r="R47" s="315"/>
      <c r="S47" s="286"/>
      <c r="T47" s="287"/>
      <c r="U47" s="288" t="str">
        <f t="shared" si="1"/>
        <v/>
      </c>
      <c r="V47" s="287"/>
      <c r="W47" s="289" t="str">
        <f t="shared" si="2"/>
        <v/>
      </c>
      <c r="X47" s="287"/>
      <c r="Y47" s="290" t="str">
        <f t="shared" si="3"/>
        <v/>
      </c>
      <c r="Z47" s="291">
        <f ca="1">SUMIF($T$8:Y$1018,"QUANT.",T47:Y47)</f>
        <v>0</v>
      </c>
      <c r="AA47" s="292">
        <f t="shared" ca="1" si="4"/>
        <v>0</v>
      </c>
      <c r="AB47" s="293" t="str">
        <f t="shared" ca="1" si="5"/>
        <v>MEDIR</v>
      </c>
      <c r="AC47" s="294">
        <f t="shared" ca="1" si="6"/>
        <v>15</v>
      </c>
      <c r="AD47" s="294">
        <f t="shared" ca="1" si="7"/>
        <v>210</v>
      </c>
      <c r="AE47" s="295"/>
      <c r="AF47" s="295"/>
      <c r="AG47" s="296"/>
      <c r="AH47" s="296"/>
      <c r="AI47" s="296"/>
      <c r="AJ47" s="295"/>
      <c r="AK47" s="295"/>
      <c r="AL47" s="295"/>
      <c r="AM47" s="295"/>
    </row>
    <row r="48" spans="1:39" x14ac:dyDescent="0.25">
      <c r="A48" s="232">
        <f t="shared" si="0"/>
        <v>48</v>
      </c>
      <c r="B48" s="232"/>
      <c r="C48" s="281">
        <f>+E48</f>
        <v>5</v>
      </c>
      <c r="D48" s="297"/>
      <c r="E48" s="298">
        <v>5</v>
      </c>
      <c r="F48" s="298"/>
      <c r="G48" s="299" t="s">
        <v>11933</v>
      </c>
      <c r="H48" s="300"/>
      <c r="I48" s="303"/>
      <c r="J48" s="302"/>
      <c r="K48" s="303"/>
      <c r="L48" s="303"/>
      <c r="M48" s="304">
        <f>TRUNC(SUMIF(M49:M83,"&gt;0",M49:M83),2)</f>
        <v>339164.7</v>
      </c>
      <c r="N48" s="304">
        <f>TRUNC(SUMIF(N49:N83,"&gt;0",N49:N83),2)</f>
        <v>98037.71</v>
      </c>
      <c r="O48" s="305"/>
      <c r="P48" s="304">
        <f>SUMIF(O49:O83,"&gt;0",O49:O83)</f>
        <v>437202.40999999992</v>
      </c>
      <c r="Q48" s="306"/>
      <c r="R48" s="306"/>
      <c r="S48" s="286"/>
      <c r="T48" s="287"/>
      <c r="U48" s="288" t="str">
        <f t="shared" si="1"/>
        <v/>
      </c>
      <c r="V48" s="287"/>
      <c r="W48" s="289" t="str">
        <f t="shared" si="2"/>
        <v/>
      </c>
      <c r="X48" s="287"/>
      <c r="Y48" s="290" t="str">
        <f t="shared" si="3"/>
        <v/>
      </c>
      <c r="Z48" s="291">
        <f ca="1">SUMIF($T$8:Y$1018,"QUANT.",T48:Y48)</f>
        <v>0</v>
      </c>
      <c r="AA48" s="292">
        <f t="shared" ca="1" si="4"/>
        <v>0</v>
      </c>
      <c r="AB48" s="293" t="str">
        <f t="shared" si="5"/>
        <v/>
      </c>
      <c r="AC48" s="294">
        <f t="shared" ca="1" si="6"/>
        <v>0</v>
      </c>
      <c r="AD48" s="294">
        <f t="shared" ca="1" si="7"/>
        <v>0</v>
      </c>
      <c r="AE48" s="295"/>
      <c r="AF48" s="295"/>
      <c r="AG48" s="296"/>
      <c r="AH48" s="296"/>
      <c r="AI48" s="296"/>
      <c r="AJ48" s="295"/>
      <c r="AK48" s="295"/>
      <c r="AL48" s="295"/>
      <c r="AM48" s="295"/>
    </row>
    <row r="49" spans="1:39" x14ac:dyDescent="0.25">
      <c r="A49" s="232">
        <f t="shared" si="0"/>
        <v>49</v>
      </c>
      <c r="B49" s="232"/>
      <c r="C49" s="316" t="str">
        <f>+E49</f>
        <v>5.1</v>
      </c>
      <c r="D49" s="297"/>
      <c r="E49" s="317" t="s">
        <v>11934</v>
      </c>
      <c r="F49" s="317"/>
      <c r="G49" s="318" t="s">
        <v>11935</v>
      </c>
      <c r="H49" s="317"/>
      <c r="I49" s="319"/>
      <c r="J49" s="317"/>
      <c r="K49" s="317"/>
      <c r="L49" s="317"/>
      <c r="M49" s="317"/>
      <c r="N49" s="317"/>
      <c r="O49" s="317"/>
      <c r="P49" s="317"/>
      <c r="Q49" s="320"/>
      <c r="R49" s="306"/>
      <c r="S49" s="286"/>
      <c r="T49" s="287"/>
      <c r="U49" s="288" t="str">
        <f t="shared" si="1"/>
        <v/>
      </c>
      <c r="V49" s="287"/>
      <c r="W49" s="289" t="str">
        <f t="shared" si="2"/>
        <v/>
      </c>
      <c r="X49" s="287"/>
      <c r="Y49" s="290" t="str">
        <f t="shared" si="3"/>
        <v/>
      </c>
      <c r="Z49" s="291">
        <f ca="1">SUMIF($T$8:Y$1018,"QUANT.",T49:Y49)</f>
        <v>0</v>
      </c>
      <c r="AA49" s="292">
        <f t="shared" ca="1" si="4"/>
        <v>0</v>
      </c>
      <c r="AB49" s="293" t="str">
        <f t="shared" si="5"/>
        <v/>
      </c>
      <c r="AC49" s="294">
        <f t="shared" ca="1" si="6"/>
        <v>0</v>
      </c>
      <c r="AD49" s="294">
        <f t="shared" ca="1" si="7"/>
        <v>0</v>
      </c>
      <c r="AE49" s="295"/>
      <c r="AF49" s="295"/>
      <c r="AG49" s="296"/>
      <c r="AH49" s="296"/>
      <c r="AI49" s="296"/>
      <c r="AJ49" s="295"/>
      <c r="AK49" s="295"/>
      <c r="AL49" s="295"/>
      <c r="AM49" s="295"/>
    </row>
    <row r="50" spans="1:39" x14ac:dyDescent="0.25">
      <c r="A50" s="232">
        <f t="shared" si="0"/>
        <v>50</v>
      </c>
      <c r="B50" s="232"/>
      <c r="C50" s="307" t="str">
        <f>+C49</f>
        <v>5.1</v>
      </c>
      <c r="D50" s="308">
        <f>1+D49</f>
        <v>1</v>
      </c>
      <c r="E50" s="309" t="str">
        <f>C50&amp;"."&amp;D50</f>
        <v>5.1.1</v>
      </c>
      <c r="F50" s="310" t="s">
        <v>11936</v>
      </c>
      <c r="G50" s="311" t="str">
        <f>IF($F50="","",IFERROR(VLOOKUP($F50,SERVIÇOS!$B:$G,2,0),IFERROR(VLOOKUP($F50,'COMPOSIÇÕES COMPLEMENTARES '!$D:$L,2,0),IFERROR(VLOOKUP($F50,INSUMOS!$A:$D,2,0),""))))</f>
        <v>ARMAÇÃO EM TELA SOLDADA Q196</v>
      </c>
      <c r="H50" s="312" t="str">
        <f>IF($F50="","",IFERROR(VLOOKUP($F50,SERVIÇOS!$B:$G,3,0),IFERROR(VLOOKUP($F50,'COMPOSIÇÕES COMPLEMENTARES '!$D:$L,3,0),IFERROR(VLOOKUP($F50,INSUMOS!$A:$D,3,0),""))))</f>
        <v>KG</v>
      </c>
      <c r="I50" s="313">
        <v>2360</v>
      </c>
      <c r="J50" s="314">
        <f>IF($F50="","",IFERROR(VLOOKUP($F50,SERVIÇOS!$B:$G,4,0),IFERROR(VLOOKUP($F50,'COMPOSIÇÕES COMPLEMENTARES '!$D:$L,6,0),IFERROR(VLOOKUP($F50,INSUMOS!$A:$D,4,0),""))))</f>
        <v>11.93</v>
      </c>
      <c r="K50" s="314">
        <f>IF($F50="","",IFERROR(VLOOKUP($F50,SERVIÇOS!$B:$G,5,0),IFERROR(VLOOKUP($F50,'COMPOSIÇÕES COMPLEMENTARES '!$D:$L,7,0),0)))</f>
        <v>1.18</v>
      </c>
      <c r="L50" s="314">
        <f>IF(I50="","",J50+K50)</f>
        <v>13.11</v>
      </c>
      <c r="M50" s="314">
        <f>IF(I50="","",TRUNC((I50*J50),2))</f>
        <v>28154.799999999999</v>
      </c>
      <c r="N50" s="314">
        <f>IF(I50="","",TRUNC((I50*K50),2))</f>
        <v>2784.8</v>
      </c>
      <c r="O50" s="314">
        <f>IF(I50="","",TRUNC((M50+N50),2))</f>
        <v>30939.599999999999</v>
      </c>
      <c r="P50" s="314"/>
      <c r="Q50" s="315"/>
      <c r="R50" s="315"/>
      <c r="S50" s="286"/>
      <c r="T50" s="287"/>
      <c r="U50" s="288" t="str">
        <f t="shared" si="1"/>
        <v/>
      </c>
      <c r="V50" s="287"/>
      <c r="W50" s="289" t="str">
        <f t="shared" si="2"/>
        <v/>
      </c>
      <c r="X50" s="287"/>
      <c r="Y50" s="290" t="str">
        <f t="shared" si="3"/>
        <v/>
      </c>
      <c r="Z50" s="291">
        <f ca="1">SUMIF($T$8:Y$1018,"QUANT.",T50:Y50)</f>
        <v>0</v>
      </c>
      <c r="AA50" s="292">
        <f t="shared" ca="1" si="4"/>
        <v>0</v>
      </c>
      <c r="AB50" s="293" t="str">
        <f t="shared" ca="1" si="5"/>
        <v>MEDIR</v>
      </c>
      <c r="AC50" s="294">
        <f t="shared" ca="1" si="6"/>
        <v>2360</v>
      </c>
      <c r="AD50" s="294">
        <f t="shared" ca="1" si="7"/>
        <v>30939.599999999999</v>
      </c>
      <c r="AE50" s="295"/>
      <c r="AF50" s="295"/>
      <c r="AG50" s="296"/>
      <c r="AH50" s="296"/>
      <c r="AI50" s="296"/>
      <c r="AJ50" s="295"/>
      <c r="AK50" s="295"/>
      <c r="AL50" s="295"/>
      <c r="AM50" s="295"/>
    </row>
    <row r="51" spans="1:39" ht="25.5" x14ac:dyDescent="0.25">
      <c r="A51" s="232">
        <f t="shared" si="0"/>
        <v>51</v>
      </c>
      <c r="B51" s="232"/>
      <c r="C51" s="307" t="str">
        <f>+C50</f>
        <v>5.1</v>
      </c>
      <c r="D51" s="308">
        <f>1+D50</f>
        <v>2</v>
      </c>
      <c r="E51" s="309" t="str">
        <f>C51&amp;"."&amp;D51</f>
        <v>5.1.2</v>
      </c>
      <c r="F51" s="310">
        <v>97086</v>
      </c>
      <c r="G51" s="311" t="str">
        <f>IF($F51="","",IFERROR(VLOOKUP($F51,SERVIÇOS!$B:$G,2,0),IFERROR(VLOOKUP($F51,'COMPOSIÇÕES COMPLEMENTARES '!$D:$L,2,0),IFERROR(VLOOKUP($F51,INSUMOS!$A:$D,2,0),""))))</f>
        <v>FABRICAÇÃO, MONTAGEM E DESMONTAGEM DE FORMA PARA RADIER, PISO DE CONCRETO OU LAJE SOBRE SOLO, EM MADEIRA SERRADA, 4 UTILIZAÇÕES. AF_09/2021</v>
      </c>
      <c r="H51" s="312" t="str">
        <f>IF($F51="","",IFERROR(VLOOKUP($F51,SERVIÇOS!$B:$G,3,0),IFERROR(VLOOKUP($F51,'COMPOSIÇÕES COMPLEMENTARES '!$D:$L,3,0),IFERROR(VLOOKUP($F51,INSUMOS!$A:$D,3,0),""))))</f>
        <v>M2</v>
      </c>
      <c r="I51" s="313">
        <v>13.9</v>
      </c>
      <c r="J51" s="314">
        <f>IF($F51="","",IFERROR(VLOOKUP($F51,SERVIÇOS!$B:$G,4,0),IFERROR(VLOOKUP($F51,'COMPOSIÇÕES COMPLEMENTARES '!$D:$L,6,0),IFERROR(VLOOKUP($F51,INSUMOS!$A:$D,4,0),""))))</f>
        <v>69.72</v>
      </c>
      <c r="K51" s="314">
        <f>IF($F51="","",IFERROR(VLOOKUP($F51,SERVIÇOS!$B:$G,5,0),IFERROR(VLOOKUP($F51,'COMPOSIÇÕES COMPLEMENTARES '!$D:$L,7,0),0)))</f>
        <v>94.86</v>
      </c>
      <c r="L51" s="314">
        <f>IF(I51="","",J51+K51)</f>
        <v>164.57999999999998</v>
      </c>
      <c r="M51" s="314">
        <f>IF(I51="","",TRUNC((I51*J51),2))</f>
        <v>969.1</v>
      </c>
      <c r="N51" s="314">
        <f>IF(I51="","",TRUNC((I51*K51),2))</f>
        <v>1318.55</v>
      </c>
      <c r="O51" s="314">
        <f>IF(I51="","",TRUNC((M51+N51),2))</f>
        <v>2287.65</v>
      </c>
      <c r="P51" s="314"/>
      <c r="Q51" s="315"/>
      <c r="R51" s="315"/>
      <c r="S51" s="286"/>
      <c r="T51" s="287"/>
      <c r="U51" s="288" t="str">
        <f t="shared" si="1"/>
        <v/>
      </c>
      <c r="V51" s="287"/>
      <c r="W51" s="289" t="str">
        <f t="shared" si="2"/>
        <v/>
      </c>
      <c r="X51" s="287"/>
      <c r="Y51" s="290" t="str">
        <f t="shared" si="3"/>
        <v/>
      </c>
      <c r="Z51" s="291">
        <f ca="1">SUMIF($T$8:Y$1018,"QUANT.",T51:Y51)</f>
        <v>0</v>
      </c>
      <c r="AA51" s="292">
        <f t="shared" ca="1" si="4"/>
        <v>0</v>
      </c>
      <c r="AB51" s="293" t="str">
        <f t="shared" ca="1" si="5"/>
        <v>MEDIR</v>
      </c>
      <c r="AC51" s="294">
        <f t="shared" ca="1" si="6"/>
        <v>13.9</v>
      </c>
      <c r="AD51" s="294">
        <f t="shared" ca="1" si="7"/>
        <v>2287.65</v>
      </c>
      <c r="AE51" s="295"/>
      <c r="AF51" s="295"/>
      <c r="AG51" s="296"/>
      <c r="AH51" s="296"/>
      <c r="AI51" s="296"/>
      <c r="AJ51" s="295"/>
      <c r="AK51" s="295"/>
      <c r="AL51" s="295"/>
      <c r="AM51" s="295"/>
    </row>
    <row r="52" spans="1:39" x14ac:dyDescent="0.25">
      <c r="A52" s="232">
        <f t="shared" si="0"/>
        <v>52</v>
      </c>
      <c r="B52" s="232"/>
      <c r="C52" s="307" t="str">
        <f>+C51</f>
        <v>5.1</v>
      </c>
      <c r="D52" s="308">
        <f>1+D51</f>
        <v>3</v>
      </c>
      <c r="E52" s="309" t="str">
        <f>C52&amp;"."&amp;D52</f>
        <v>5.1.3</v>
      </c>
      <c r="F52" s="310" t="s">
        <v>11937</v>
      </c>
      <c r="G52" s="311" t="str">
        <f>IF($F52="","",IFERROR(VLOOKUP($F52,SERVIÇOS!$B:$G,2,0),IFERROR(VLOOKUP($F52,'COMPOSIÇÕES COMPLEMENTARES '!$D:$L,2,0),IFERROR(VLOOKUP($F52,INSUMOS!$A:$D,2,0),""))))</f>
        <v>CONCRETO USINADO BOMBEADO FCK=25MPA, BOMBEADO, LANÇADO E ADENSADO EM INFRAESTRUTURA</v>
      </c>
      <c r="H52" s="312" t="str">
        <f>IF($F52="","",IFERROR(VLOOKUP($F52,SERVIÇOS!$B:$G,3,0),IFERROR(VLOOKUP($F52,'COMPOSIÇÕES COMPLEMENTARES '!$D:$L,3,0),IFERROR(VLOOKUP($F52,INSUMOS!$A:$D,3,0),""))))</f>
        <v>M3</v>
      </c>
      <c r="I52" s="313">
        <v>63.2</v>
      </c>
      <c r="J52" s="314">
        <f>IF($F52="","",IFERROR(VLOOKUP($F52,SERVIÇOS!$B:$G,4,0),IFERROR(VLOOKUP($F52,'COMPOSIÇÕES COMPLEMENTARES '!$D:$L,6,0),IFERROR(VLOOKUP($F52,INSUMOS!$A:$D,4,0),""))))</f>
        <v>518.79999999999995</v>
      </c>
      <c r="K52" s="314">
        <f>IF($F52="","",IFERROR(VLOOKUP($F52,SERVIÇOS!$B:$G,5,0),IFERROR(VLOOKUP($F52,'COMPOSIÇÕES COMPLEMENTARES '!$D:$L,7,0),0)))</f>
        <v>38.56</v>
      </c>
      <c r="L52" s="314">
        <f>IF(I52="","",J52+K52)</f>
        <v>557.3599999999999</v>
      </c>
      <c r="M52" s="314">
        <f>IF(I52="","",TRUNC((I52*J52),2))</f>
        <v>32788.160000000003</v>
      </c>
      <c r="N52" s="314">
        <f>IF(I52="","",TRUNC((I52*K52),2))</f>
        <v>2436.9899999999998</v>
      </c>
      <c r="O52" s="314">
        <f>IF(I52="","",TRUNC((M52+N52),2))</f>
        <v>35225.15</v>
      </c>
      <c r="P52" s="314"/>
      <c r="Q52" s="315"/>
      <c r="R52" s="315"/>
      <c r="S52" s="286"/>
      <c r="T52" s="287"/>
      <c r="U52" s="288" t="str">
        <f t="shared" si="1"/>
        <v/>
      </c>
      <c r="V52" s="287"/>
      <c r="W52" s="289" t="str">
        <f t="shared" si="2"/>
        <v/>
      </c>
      <c r="X52" s="287"/>
      <c r="Y52" s="290" t="str">
        <f t="shared" si="3"/>
        <v/>
      </c>
      <c r="Z52" s="291">
        <f ca="1">SUMIF($T$8:Y$1018,"QUANT.",T52:Y52)</f>
        <v>0</v>
      </c>
      <c r="AA52" s="292">
        <f t="shared" ca="1" si="4"/>
        <v>0</v>
      </c>
      <c r="AB52" s="293" t="str">
        <f t="shared" ca="1" si="5"/>
        <v>MEDIR</v>
      </c>
      <c r="AC52" s="294">
        <f t="shared" ca="1" si="6"/>
        <v>63.2</v>
      </c>
      <c r="AD52" s="294">
        <f t="shared" ca="1" si="7"/>
        <v>35225.15</v>
      </c>
      <c r="AE52" s="295"/>
      <c r="AF52" s="295"/>
      <c r="AG52" s="296"/>
      <c r="AH52" s="296"/>
      <c r="AI52" s="296"/>
      <c r="AJ52" s="295"/>
      <c r="AK52" s="295"/>
      <c r="AL52" s="295"/>
      <c r="AM52" s="295"/>
    </row>
    <row r="53" spans="1:39" x14ac:dyDescent="0.25">
      <c r="A53" s="232">
        <f t="shared" si="0"/>
        <v>53</v>
      </c>
      <c r="B53" s="232"/>
      <c r="C53" s="307" t="str">
        <f>+C52</f>
        <v>5.1</v>
      </c>
      <c r="D53" s="308">
        <f>1+D52</f>
        <v>4</v>
      </c>
      <c r="E53" s="309" t="str">
        <f>C53&amp;"."&amp;D53</f>
        <v>5.1.4</v>
      </c>
      <c r="F53" s="310" t="s">
        <v>11928</v>
      </c>
      <c r="G53" s="311" t="str">
        <f>IF($F53="","",IFERROR(VLOOKUP($F53,SERVIÇOS!$B:$G,2,0),IFERROR(VLOOKUP($F53,'COMPOSIÇÕES COMPLEMENTARES '!$D:$L,2,0),IFERROR(VLOOKUP($F53,INSUMOS!$A:$D,2,0),""))))</f>
        <v>CONTROLE TECNOLÓGICO DE CONCRETO C/ ROMPIMENTO DE CORPO-DE-PROVA À COMPRESSÃO</v>
      </c>
      <c r="H53" s="312" t="str">
        <f>IF($F53="","",IFERROR(VLOOKUP($F53,SERVIÇOS!$B:$G,3,0),IFERROR(VLOOKUP($F53,'COMPOSIÇÕES COMPLEMENTARES '!$D:$L,3,0),IFERROR(VLOOKUP($F53,INSUMOS!$A:$D,3,0),""))))</f>
        <v>UN</v>
      </c>
      <c r="I53" s="313">
        <f>TRUNC(I52/8*4,0)</f>
        <v>31</v>
      </c>
      <c r="J53" s="314">
        <f>IF($F53="","",IFERROR(VLOOKUP($F53,SERVIÇOS!$B:$G,4,0),IFERROR(VLOOKUP($F53,'COMPOSIÇÕES COMPLEMENTARES '!$D:$L,6,0),IFERROR(VLOOKUP($F53,INSUMOS!$A:$D,4,0),""))))</f>
        <v>14</v>
      </c>
      <c r="K53" s="314">
        <f>IF($F53="","",IFERROR(VLOOKUP($F53,SERVIÇOS!$B:$G,5,0),IFERROR(VLOOKUP($F53,'COMPOSIÇÕES COMPLEMENTARES '!$D:$L,7,0),0)))</f>
        <v>0</v>
      </c>
      <c r="L53" s="314">
        <f>IF(I53="","",J53+K53)</f>
        <v>14</v>
      </c>
      <c r="M53" s="314">
        <f>IF(I53="","",TRUNC((I53*J53),2))</f>
        <v>434</v>
      </c>
      <c r="N53" s="314">
        <f>IF(I53="","",TRUNC((I53*K53),2))</f>
        <v>0</v>
      </c>
      <c r="O53" s="314">
        <f>IF(I53="","",TRUNC((M53+N53),2))</f>
        <v>434</v>
      </c>
      <c r="P53" s="314"/>
      <c r="Q53" s="315"/>
      <c r="R53" s="315"/>
      <c r="S53" s="286"/>
      <c r="T53" s="287"/>
      <c r="U53" s="288" t="str">
        <f t="shared" si="1"/>
        <v/>
      </c>
      <c r="V53" s="287"/>
      <c r="W53" s="289" t="str">
        <f t="shared" si="2"/>
        <v/>
      </c>
      <c r="X53" s="287"/>
      <c r="Y53" s="290" t="str">
        <f t="shared" si="3"/>
        <v/>
      </c>
      <c r="Z53" s="291">
        <f ca="1">SUMIF($T$8:Y$1018,"QUANT.",T53:Y53)</f>
        <v>0</v>
      </c>
      <c r="AA53" s="292">
        <f t="shared" ca="1" si="4"/>
        <v>0</v>
      </c>
      <c r="AB53" s="293" t="str">
        <f t="shared" ca="1" si="5"/>
        <v>MEDIR</v>
      </c>
      <c r="AC53" s="294">
        <f t="shared" ca="1" si="6"/>
        <v>31</v>
      </c>
      <c r="AD53" s="294">
        <f t="shared" ca="1" si="7"/>
        <v>434</v>
      </c>
      <c r="AE53" s="295"/>
      <c r="AF53" s="295"/>
      <c r="AG53" s="296"/>
      <c r="AH53" s="296"/>
      <c r="AI53" s="296"/>
      <c r="AJ53" s="295"/>
      <c r="AK53" s="295"/>
      <c r="AL53" s="295"/>
      <c r="AM53" s="295"/>
    </row>
    <row r="54" spans="1:39" x14ac:dyDescent="0.25">
      <c r="A54" s="232">
        <f t="shared" si="0"/>
        <v>54</v>
      </c>
      <c r="B54" s="232"/>
      <c r="C54" s="316" t="str">
        <f>+E54</f>
        <v>5.2</v>
      </c>
      <c r="D54" s="297"/>
      <c r="E54" s="317" t="s">
        <v>11938</v>
      </c>
      <c r="F54" s="317"/>
      <c r="G54" s="318" t="s">
        <v>11939</v>
      </c>
      <c r="H54" s="317"/>
      <c r="I54" s="319"/>
      <c r="J54" s="317"/>
      <c r="K54" s="317"/>
      <c r="L54" s="317"/>
      <c r="M54" s="317"/>
      <c r="N54" s="317"/>
      <c r="O54" s="317"/>
      <c r="P54" s="317"/>
      <c r="Q54" s="320"/>
      <c r="R54" s="306"/>
      <c r="S54" s="286"/>
      <c r="T54" s="287"/>
      <c r="U54" s="288" t="str">
        <f t="shared" si="1"/>
        <v/>
      </c>
      <c r="V54" s="287"/>
      <c r="W54" s="289" t="str">
        <f t="shared" si="2"/>
        <v/>
      </c>
      <c r="X54" s="287"/>
      <c r="Y54" s="290" t="str">
        <f t="shared" si="3"/>
        <v/>
      </c>
      <c r="Z54" s="291">
        <f ca="1">SUMIF($T$8:Y$1018,"QUANT.",T54:Y54)</f>
        <v>0</v>
      </c>
      <c r="AA54" s="292">
        <f t="shared" ca="1" si="4"/>
        <v>0</v>
      </c>
      <c r="AB54" s="293" t="str">
        <f t="shared" si="5"/>
        <v/>
      </c>
      <c r="AC54" s="294">
        <f t="shared" ca="1" si="6"/>
        <v>0</v>
      </c>
      <c r="AD54" s="294">
        <f t="shared" ca="1" si="7"/>
        <v>0</v>
      </c>
      <c r="AE54" s="295"/>
      <c r="AF54" s="295"/>
      <c r="AG54" s="296"/>
      <c r="AH54" s="296"/>
      <c r="AI54" s="296"/>
      <c r="AJ54" s="295"/>
      <c r="AK54" s="295"/>
      <c r="AL54" s="295"/>
      <c r="AM54" s="295"/>
    </row>
    <row r="55" spans="1:39" ht="25.5" x14ac:dyDescent="0.25">
      <c r="A55" s="232">
        <f t="shared" si="0"/>
        <v>55</v>
      </c>
      <c r="B55" s="232"/>
      <c r="C55" s="307" t="str">
        <f t="shared" ref="C55:C65" si="23">+C54</f>
        <v>5.2</v>
      </c>
      <c r="D55" s="308">
        <f t="shared" ref="D55:D65" si="24">1+D54</f>
        <v>1</v>
      </c>
      <c r="E55" s="309" t="str">
        <f t="shared" ref="E55:E65" si="25">C55&amp;"."&amp;D55</f>
        <v>5.2.1</v>
      </c>
      <c r="F55" s="310">
        <v>92759</v>
      </c>
      <c r="G55" s="311" t="str">
        <f>IF($F55="","",IFERROR(VLOOKUP($F55,SERVIÇOS!$B:$G,2,0),IFERROR(VLOOKUP($F55,'COMPOSIÇÕES COMPLEMENTARES '!$D:$L,2,0),IFERROR(VLOOKUP($F55,INSUMOS!$A:$D,2,0),""))))</f>
        <v>ARMAÇÃO DE PILAR OU VIGA DE ESTRUTURA CONVENCIONAL DE CONCRETO ARMADO UTILIZANDO AÇO CA-60 DE 5,0 MM - MONTAGEM. AF_06/2022</v>
      </c>
      <c r="H55" s="312" t="str">
        <f>IF($F55="","",IFERROR(VLOOKUP($F55,SERVIÇOS!$B:$G,3,0),IFERROR(VLOOKUP($F55,'COMPOSIÇÕES COMPLEMENTARES '!$D:$L,3,0),IFERROR(VLOOKUP($F55,INSUMOS!$A:$D,3,0),""))))</f>
        <v>KG</v>
      </c>
      <c r="I55" s="313">
        <v>1245</v>
      </c>
      <c r="J55" s="314">
        <f>IF($F55="","",IFERROR(VLOOKUP($F55,SERVIÇOS!$B:$G,4,0),IFERROR(VLOOKUP($F55,'COMPOSIÇÕES COMPLEMENTARES '!$D:$L,6,0),IFERROR(VLOOKUP($F55,INSUMOS!$A:$D,4,0),""))))</f>
        <v>10.51</v>
      </c>
      <c r="K55" s="314">
        <f>IF($F55="","",IFERROR(VLOOKUP($F55,SERVIÇOS!$B:$G,5,0),IFERROR(VLOOKUP($F55,'COMPOSIÇÕES COMPLEMENTARES '!$D:$L,7,0),0)))</f>
        <v>5.0599999999999996</v>
      </c>
      <c r="L55" s="314">
        <f t="shared" ref="L55:L65" si="26">IF(I55="","",J55+K55)</f>
        <v>15.57</v>
      </c>
      <c r="M55" s="314">
        <f t="shared" ref="M55:M65" si="27">IF(I55="","",TRUNC((I55*J55),2))</f>
        <v>13084.95</v>
      </c>
      <c r="N55" s="314">
        <f t="shared" ref="N55:N65" si="28">IF(I55="","",TRUNC((I55*K55),2))</f>
        <v>6299.7</v>
      </c>
      <c r="O55" s="314">
        <f t="shared" ref="O55:O65" si="29">IF(I55="","",TRUNC((M55+N55),2))</f>
        <v>19384.650000000001</v>
      </c>
      <c r="P55" s="314"/>
      <c r="Q55" s="315"/>
      <c r="R55" s="315"/>
      <c r="S55" s="286"/>
      <c r="T55" s="287"/>
      <c r="U55" s="288" t="str">
        <f t="shared" si="1"/>
        <v/>
      </c>
      <c r="V55" s="287"/>
      <c r="W55" s="289" t="str">
        <f t="shared" si="2"/>
        <v/>
      </c>
      <c r="X55" s="287"/>
      <c r="Y55" s="290" t="str">
        <f t="shared" si="3"/>
        <v/>
      </c>
      <c r="Z55" s="291">
        <f ca="1">SUMIF($T$8:Y$1018,"QUANT.",T55:Y55)</f>
        <v>0</v>
      </c>
      <c r="AA55" s="292">
        <f t="shared" ca="1" si="4"/>
        <v>0</v>
      </c>
      <c r="AB55" s="293" t="str">
        <f t="shared" ca="1" si="5"/>
        <v>MEDIR</v>
      </c>
      <c r="AC55" s="294">
        <f t="shared" ca="1" si="6"/>
        <v>1245</v>
      </c>
      <c r="AD55" s="294">
        <f t="shared" ca="1" si="7"/>
        <v>19384.650000000001</v>
      </c>
      <c r="AE55" s="295"/>
      <c r="AF55" s="295"/>
      <c r="AG55" s="296"/>
      <c r="AH55" s="296"/>
      <c r="AI55" s="296"/>
      <c r="AJ55" s="295"/>
      <c r="AK55" s="295"/>
      <c r="AL55" s="295"/>
      <c r="AM55" s="295"/>
    </row>
    <row r="56" spans="1:39" ht="25.5" x14ac:dyDescent="0.25">
      <c r="A56" s="232">
        <f t="shared" si="0"/>
        <v>56</v>
      </c>
      <c r="B56" s="232"/>
      <c r="C56" s="307" t="str">
        <f t="shared" si="23"/>
        <v>5.2</v>
      </c>
      <c r="D56" s="308">
        <f t="shared" si="24"/>
        <v>2</v>
      </c>
      <c r="E56" s="309" t="str">
        <f t="shared" si="25"/>
        <v>5.2.2</v>
      </c>
      <c r="F56" s="310">
        <v>92760</v>
      </c>
      <c r="G56" s="311" t="str">
        <f>IF($F56="","",IFERROR(VLOOKUP($F56,SERVIÇOS!$B:$G,2,0),IFERROR(VLOOKUP($F56,'COMPOSIÇÕES COMPLEMENTARES '!$D:$L,2,0),IFERROR(VLOOKUP($F56,INSUMOS!$A:$D,2,0),""))))</f>
        <v>ARMAÇÃO DE PILAR OU VIGA DE ESTRUTURA CONVENCIONAL DE CONCRETO ARMADO UTILIZANDO AÇO CA-50 DE 6,3 MM - MONTAGEM. AF_06/2022</v>
      </c>
      <c r="H56" s="312" t="str">
        <f>IF($F56="","",IFERROR(VLOOKUP($F56,SERVIÇOS!$B:$G,3,0),IFERROR(VLOOKUP($F56,'COMPOSIÇÕES COMPLEMENTARES '!$D:$L,3,0),IFERROR(VLOOKUP($F56,INSUMOS!$A:$D,3,0),""))))</f>
        <v>KG</v>
      </c>
      <c r="I56" s="313">
        <v>29</v>
      </c>
      <c r="J56" s="314">
        <f>IF($F56="","",IFERROR(VLOOKUP($F56,SERVIÇOS!$B:$G,4,0),IFERROR(VLOOKUP($F56,'COMPOSIÇÕES COMPLEMENTARES '!$D:$L,6,0),IFERROR(VLOOKUP($F56,INSUMOS!$A:$D,4,0),""))))</f>
        <v>10.78</v>
      </c>
      <c r="K56" s="314">
        <f>IF($F56="","",IFERROR(VLOOKUP($F56,SERVIÇOS!$B:$G,5,0),IFERROR(VLOOKUP($F56,'COMPOSIÇÕES COMPLEMENTARES '!$D:$L,7,0),0)))</f>
        <v>3.36</v>
      </c>
      <c r="L56" s="314">
        <f t="shared" si="26"/>
        <v>14.139999999999999</v>
      </c>
      <c r="M56" s="314">
        <f t="shared" si="27"/>
        <v>312.62</v>
      </c>
      <c r="N56" s="314">
        <f t="shared" si="28"/>
        <v>97.44</v>
      </c>
      <c r="O56" s="314">
        <f t="shared" si="29"/>
        <v>410.06</v>
      </c>
      <c r="P56" s="314"/>
      <c r="Q56" s="315"/>
      <c r="R56" s="315"/>
      <c r="S56" s="286"/>
      <c r="T56" s="287"/>
      <c r="U56" s="288" t="str">
        <f t="shared" si="1"/>
        <v/>
      </c>
      <c r="V56" s="287"/>
      <c r="W56" s="289" t="str">
        <f t="shared" si="2"/>
        <v/>
      </c>
      <c r="X56" s="287"/>
      <c r="Y56" s="290" t="str">
        <f t="shared" si="3"/>
        <v/>
      </c>
      <c r="Z56" s="291">
        <f ca="1">SUMIF($T$8:Y$1018,"QUANT.",T56:Y56)</f>
        <v>0</v>
      </c>
      <c r="AA56" s="292">
        <f t="shared" ca="1" si="4"/>
        <v>0</v>
      </c>
      <c r="AB56" s="293" t="str">
        <f t="shared" ca="1" si="5"/>
        <v>MEDIR</v>
      </c>
      <c r="AC56" s="294">
        <f t="shared" ca="1" si="6"/>
        <v>29</v>
      </c>
      <c r="AD56" s="294">
        <f t="shared" ca="1" si="7"/>
        <v>410.06</v>
      </c>
      <c r="AE56" s="295"/>
      <c r="AF56" s="295"/>
      <c r="AG56" s="296"/>
      <c r="AH56" s="296"/>
      <c r="AI56" s="296"/>
      <c r="AJ56" s="296"/>
      <c r="AK56" s="296"/>
      <c r="AL56" s="296"/>
      <c r="AM56" s="296"/>
    </row>
    <row r="57" spans="1:39" ht="25.5" x14ac:dyDescent="0.25">
      <c r="A57" s="232">
        <f t="shared" si="0"/>
        <v>57</v>
      </c>
      <c r="B57" s="232"/>
      <c r="C57" s="307" t="str">
        <f t="shared" si="23"/>
        <v>5.2</v>
      </c>
      <c r="D57" s="308">
        <f t="shared" si="24"/>
        <v>3</v>
      </c>
      <c r="E57" s="309" t="str">
        <f t="shared" si="25"/>
        <v>5.2.3</v>
      </c>
      <c r="F57" s="310">
        <v>92761</v>
      </c>
      <c r="G57" s="311" t="str">
        <f>IF($F57="","",IFERROR(VLOOKUP($F57,SERVIÇOS!$B:$G,2,0),IFERROR(VLOOKUP($F57,'COMPOSIÇÕES COMPLEMENTARES '!$D:$L,2,0),IFERROR(VLOOKUP($F57,INSUMOS!$A:$D,2,0),""))))</f>
        <v>ARMAÇÃO DE PILAR OU VIGA DE ESTRUTURA CONVENCIONAL DE CONCRETO ARMADO UTILIZANDO AÇO CA-50 DE 8,0 MM - MONTAGEM. AF_06/2022</v>
      </c>
      <c r="H57" s="312" t="str">
        <f>IF($F57="","",IFERROR(VLOOKUP($F57,SERVIÇOS!$B:$G,3,0),IFERROR(VLOOKUP($F57,'COMPOSIÇÕES COMPLEMENTARES '!$D:$L,3,0),IFERROR(VLOOKUP($F57,INSUMOS!$A:$D,3,0),""))))</f>
        <v>KG</v>
      </c>
      <c r="I57" s="313">
        <v>581</v>
      </c>
      <c r="J57" s="314">
        <f>IF($F57="","",IFERROR(VLOOKUP($F57,SERVIÇOS!$B:$G,4,0),IFERROR(VLOOKUP($F57,'COMPOSIÇÕES COMPLEMENTARES '!$D:$L,6,0),IFERROR(VLOOKUP($F57,INSUMOS!$A:$D,4,0),""))))</f>
        <v>10.68</v>
      </c>
      <c r="K57" s="314">
        <f>IF($F57="","",IFERROR(VLOOKUP($F57,SERVIÇOS!$B:$G,5,0),IFERROR(VLOOKUP($F57,'COMPOSIÇÕES COMPLEMENTARES '!$D:$L,7,0),0)))</f>
        <v>2.21</v>
      </c>
      <c r="L57" s="314">
        <f t="shared" si="26"/>
        <v>12.89</v>
      </c>
      <c r="M57" s="314">
        <f t="shared" si="27"/>
        <v>6205.08</v>
      </c>
      <c r="N57" s="314">
        <f t="shared" si="28"/>
        <v>1284.01</v>
      </c>
      <c r="O57" s="314">
        <f t="shared" si="29"/>
        <v>7489.09</v>
      </c>
      <c r="P57" s="314"/>
      <c r="Q57" s="315"/>
      <c r="R57" s="315"/>
      <c r="S57" s="286"/>
      <c r="T57" s="287"/>
      <c r="U57" s="288" t="str">
        <f t="shared" si="1"/>
        <v/>
      </c>
      <c r="V57" s="287"/>
      <c r="W57" s="289" t="str">
        <f t="shared" si="2"/>
        <v/>
      </c>
      <c r="X57" s="287"/>
      <c r="Y57" s="290" t="str">
        <f t="shared" si="3"/>
        <v/>
      </c>
      <c r="Z57" s="291">
        <f ca="1">SUMIF($T$8:Y$1018,"QUANT.",T57:Y57)</f>
        <v>0</v>
      </c>
      <c r="AA57" s="292">
        <f t="shared" ca="1" si="4"/>
        <v>0</v>
      </c>
      <c r="AB57" s="293" t="str">
        <f t="shared" ca="1" si="5"/>
        <v>MEDIR</v>
      </c>
      <c r="AC57" s="294">
        <f t="shared" ca="1" si="6"/>
        <v>581</v>
      </c>
      <c r="AD57" s="294">
        <f t="shared" ca="1" si="7"/>
        <v>7489.09</v>
      </c>
      <c r="AE57" s="295"/>
      <c r="AF57" s="295"/>
      <c r="AG57" s="296"/>
      <c r="AH57" s="296"/>
      <c r="AI57" s="296"/>
      <c r="AJ57" s="296"/>
      <c r="AK57" s="296"/>
      <c r="AL57" s="296"/>
      <c r="AM57" s="296"/>
    </row>
    <row r="58" spans="1:39" ht="25.5" x14ac:dyDescent="0.25">
      <c r="A58" s="232">
        <f t="shared" si="0"/>
        <v>58</v>
      </c>
      <c r="B58" s="232"/>
      <c r="C58" s="307" t="str">
        <f t="shared" si="23"/>
        <v>5.2</v>
      </c>
      <c r="D58" s="308">
        <f t="shared" si="24"/>
        <v>4</v>
      </c>
      <c r="E58" s="309" t="str">
        <f t="shared" si="25"/>
        <v>5.2.4</v>
      </c>
      <c r="F58" s="310">
        <v>92762</v>
      </c>
      <c r="G58" s="311" t="str">
        <f>IF($F58="","",IFERROR(VLOOKUP($F58,SERVIÇOS!$B:$G,2,0),IFERROR(VLOOKUP($F58,'COMPOSIÇÕES COMPLEMENTARES '!$D:$L,2,0),IFERROR(VLOOKUP($F58,INSUMOS!$A:$D,2,0),""))))</f>
        <v>ARMAÇÃO DE PILAR OU VIGA DE ESTRUTURA CONVENCIONAL DE CONCRETO ARMADO UTILIZANDO AÇO CA-50 DE 10,0 MM - MONTAGEM. AF_06/2022</v>
      </c>
      <c r="H58" s="312" t="str">
        <f>IF($F58="","",IFERROR(VLOOKUP($F58,SERVIÇOS!$B:$G,3,0),IFERROR(VLOOKUP($F58,'COMPOSIÇÕES COMPLEMENTARES '!$D:$L,3,0),IFERROR(VLOOKUP($F58,INSUMOS!$A:$D,3,0),""))))</f>
        <v>KG</v>
      </c>
      <c r="I58" s="313">
        <v>2580</v>
      </c>
      <c r="J58" s="314">
        <f>IF($F58="","",IFERROR(VLOOKUP($F58,SERVIÇOS!$B:$G,4,0),IFERROR(VLOOKUP($F58,'COMPOSIÇÕES COMPLEMENTARES '!$D:$L,6,0),IFERROR(VLOOKUP($F58,INSUMOS!$A:$D,4,0),""))))</f>
        <v>9.85</v>
      </c>
      <c r="K58" s="314">
        <f>IF($F58="","",IFERROR(VLOOKUP($F58,SERVIÇOS!$B:$G,5,0),IFERROR(VLOOKUP($F58,'COMPOSIÇÕES COMPLEMENTARES '!$D:$L,7,0),0)))</f>
        <v>1.46</v>
      </c>
      <c r="L58" s="314">
        <f t="shared" si="26"/>
        <v>11.309999999999999</v>
      </c>
      <c r="M58" s="314">
        <f t="shared" si="27"/>
        <v>25413</v>
      </c>
      <c r="N58" s="314">
        <f t="shared" si="28"/>
        <v>3766.8</v>
      </c>
      <c r="O58" s="314">
        <f t="shared" si="29"/>
        <v>29179.8</v>
      </c>
      <c r="P58" s="314"/>
      <c r="Q58" s="315"/>
      <c r="R58" s="315"/>
      <c r="S58" s="286"/>
      <c r="T58" s="287"/>
      <c r="U58" s="288" t="str">
        <f t="shared" si="1"/>
        <v/>
      </c>
      <c r="V58" s="287"/>
      <c r="W58" s="289" t="str">
        <f t="shared" si="2"/>
        <v/>
      </c>
      <c r="X58" s="287"/>
      <c r="Y58" s="290" t="str">
        <f t="shared" si="3"/>
        <v/>
      </c>
      <c r="Z58" s="291">
        <f ca="1">SUMIF($T$8:Y$1018,"QUANT.",T58:Y58)</f>
        <v>0</v>
      </c>
      <c r="AA58" s="292">
        <f t="shared" ca="1" si="4"/>
        <v>0</v>
      </c>
      <c r="AB58" s="293" t="str">
        <f t="shared" ca="1" si="5"/>
        <v>MEDIR</v>
      </c>
      <c r="AC58" s="294">
        <f t="shared" ca="1" si="6"/>
        <v>2580</v>
      </c>
      <c r="AD58" s="294">
        <f t="shared" ca="1" si="7"/>
        <v>29179.8</v>
      </c>
      <c r="AE58" s="295"/>
      <c r="AF58" s="295"/>
      <c r="AG58" s="296"/>
      <c r="AH58" s="296"/>
      <c r="AI58" s="296"/>
      <c r="AJ58" s="296"/>
      <c r="AK58" s="296"/>
      <c r="AL58" s="296"/>
      <c r="AM58" s="296"/>
    </row>
    <row r="59" spans="1:39" ht="25.5" x14ac:dyDescent="0.25">
      <c r="A59" s="232">
        <f t="shared" si="0"/>
        <v>59</v>
      </c>
      <c r="B59" s="232"/>
      <c r="C59" s="307" t="str">
        <f t="shared" si="23"/>
        <v>5.2</v>
      </c>
      <c r="D59" s="308">
        <f t="shared" si="24"/>
        <v>5</v>
      </c>
      <c r="E59" s="309" t="str">
        <f t="shared" si="25"/>
        <v>5.2.5</v>
      </c>
      <c r="F59" s="310">
        <v>92763</v>
      </c>
      <c r="G59" s="311" t="str">
        <f>IF($F59="","",IFERROR(VLOOKUP($F59,SERVIÇOS!$B:$G,2,0),IFERROR(VLOOKUP($F59,'COMPOSIÇÕES COMPLEMENTARES '!$D:$L,2,0),IFERROR(VLOOKUP($F59,INSUMOS!$A:$D,2,0),""))))</f>
        <v>ARMAÇÃO DE PILAR OU VIGA DE ESTRUTURA CONVENCIONAL DE CONCRETO ARMADO UTILIZANDO AÇO CA-50 DE 12,5 MM - MONTAGEM. AF_06/2022</v>
      </c>
      <c r="H59" s="312" t="str">
        <f>IF($F59="","",IFERROR(VLOOKUP($F59,SERVIÇOS!$B:$G,3,0),IFERROR(VLOOKUP($F59,'COMPOSIÇÕES COMPLEMENTARES '!$D:$L,3,0),IFERROR(VLOOKUP($F59,INSUMOS!$A:$D,3,0),""))))</f>
        <v>KG</v>
      </c>
      <c r="I59" s="313">
        <v>524</v>
      </c>
      <c r="J59" s="314">
        <f>IF($F59="","",IFERROR(VLOOKUP($F59,SERVIÇOS!$B:$G,4,0),IFERROR(VLOOKUP($F59,'COMPOSIÇÕES COMPLEMENTARES '!$D:$L,6,0),IFERROR(VLOOKUP($F59,INSUMOS!$A:$D,4,0),""))))</f>
        <v>8.49</v>
      </c>
      <c r="K59" s="314">
        <f>IF($F59="","",IFERROR(VLOOKUP($F59,SERVIÇOS!$B:$G,5,0),IFERROR(VLOOKUP($F59,'COMPOSIÇÕES COMPLEMENTARES '!$D:$L,7,0),0)))</f>
        <v>0.92</v>
      </c>
      <c r="L59" s="314">
        <f t="shared" si="26"/>
        <v>9.41</v>
      </c>
      <c r="M59" s="314">
        <f t="shared" si="27"/>
        <v>4448.76</v>
      </c>
      <c r="N59" s="314">
        <f t="shared" si="28"/>
        <v>482.08</v>
      </c>
      <c r="O59" s="314">
        <f t="shared" si="29"/>
        <v>4930.84</v>
      </c>
      <c r="P59" s="314"/>
      <c r="Q59" s="315"/>
      <c r="R59" s="315"/>
      <c r="S59" s="286"/>
      <c r="T59" s="287"/>
      <c r="U59" s="288" t="str">
        <f t="shared" si="1"/>
        <v/>
      </c>
      <c r="V59" s="287"/>
      <c r="W59" s="289" t="str">
        <f t="shared" si="2"/>
        <v/>
      </c>
      <c r="X59" s="287"/>
      <c r="Y59" s="290" t="str">
        <f t="shared" si="3"/>
        <v/>
      </c>
      <c r="Z59" s="291">
        <f ca="1">SUMIF($T$8:Y$1018,"QUANT.",T59:Y59)</f>
        <v>0</v>
      </c>
      <c r="AA59" s="292">
        <f t="shared" ca="1" si="4"/>
        <v>0</v>
      </c>
      <c r="AB59" s="293" t="str">
        <f t="shared" ca="1" si="5"/>
        <v>MEDIR</v>
      </c>
      <c r="AC59" s="294">
        <f t="shared" ca="1" si="6"/>
        <v>524</v>
      </c>
      <c r="AD59" s="294">
        <f t="shared" ca="1" si="7"/>
        <v>4930.84</v>
      </c>
      <c r="AE59" s="295"/>
      <c r="AF59" s="295"/>
      <c r="AG59" s="296"/>
      <c r="AH59" s="296"/>
      <c r="AI59" s="296"/>
      <c r="AJ59" s="296"/>
      <c r="AK59" s="296"/>
      <c r="AL59" s="296"/>
      <c r="AM59" s="296"/>
    </row>
    <row r="60" spans="1:39" ht="25.5" x14ac:dyDescent="0.25">
      <c r="A60" s="232">
        <f t="shared" si="0"/>
        <v>60</v>
      </c>
      <c r="B60" s="232"/>
      <c r="C60" s="307" t="str">
        <f t="shared" si="23"/>
        <v>5.2</v>
      </c>
      <c r="D60" s="308">
        <f t="shared" si="24"/>
        <v>6</v>
      </c>
      <c r="E60" s="309" t="str">
        <f t="shared" si="25"/>
        <v>5.2.6</v>
      </c>
      <c r="F60" s="310">
        <v>92764</v>
      </c>
      <c r="G60" s="311" t="str">
        <f>IF($F60="","",IFERROR(VLOOKUP($F60,SERVIÇOS!$B:$G,2,0),IFERROR(VLOOKUP($F60,'COMPOSIÇÕES COMPLEMENTARES '!$D:$L,2,0),IFERROR(VLOOKUP($F60,INSUMOS!$A:$D,2,0),""))))</f>
        <v>ARMAÇÃO DE PILAR OU VIGA DE ESTRUTURA CONVENCIONAL DE CONCRETO ARMADO UTILIZANDO AÇO CA-50 DE 16,0 MM - MONTAGEM. AF_06/2022</v>
      </c>
      <c r="H60" s="312" t="str">
        <f>IF($F60="","",IFERROR(VLOOKUP($F60,SERVIÇOS!$B:$G,3,0),IFERROR(VLOOKUP($F60,'COMPOSIÇÕES COMPLEMENTARES '!$D:$L,3,0),IFERROR(VLOOKUP($F60,INSUMOS!$A:$D,3,0),""))))</f>
        <v>KG</v>
      </c>
      <c r="I60" s="313">
        <v>81</v>
      </c>
      <c r="J60" s="314">
        <f>IF($F60="","",IFERROR(VLOOKUP($F60,SERVIÇOS!$B:$G,4,0),IFERROR(VLOOKUP($F60,'COMPOSIÇÕES COMPLEMENTARES '!$D:$L,6,0),IFERROR(VLOOKUP($F60,INSUMOS!$A:$D,4,0),""))))</f>
        <v>8.3699999999999992</v>
      </c>
      <c r="K60" s="314">
        <f>IF($F60="","",IFERROR(VLOOKUP($F60,SERVIÇOS!$B:$G,5,0),IFERROR(VLOOKUP($F60,'COMPOSIÇÕES COMPLEMENTARES '!$D:$L,7,0),0)))</f>
        <v>0.64</v>
      </c>
      <c r="L60" s="314">
        <f t="shared" si="26"/>
        <v>9.01</v>
      </c>
      <c r="M60" s="314">
        <f t="shared" si="27"/>
        <v>677.97</v>
      </c>
      <c r="N60" s="314">
        <f t="shared" si="28"/>
        <v>51.84</v>
      </c>
      <c r="O60" s="314">
        <f t="shared" si="29"/>
        <v>729.81</v>
      </c>
      <c r="P60" s="314"/>
      <c r="Q60" s="315"/>
      <c r="R60" s="315"/>
      <c r="S60" s="286"/>
      <c r="T60" s="287"/>
      <c r="U60" s="288" t="str">
        <f t="shared" si="1"/>
        <v/>
      </c>
      <c r="V60" s="287"/>
      <c r="W60" s="289" t="str">
        <f t="shared" si="2"/>
        <v/>
      </c>
      <c r="X60" s="287"/>
      <c r="Y60" s="290" t="str">
        <f t="shared" si="3"/>
        <v/>
      </c>
      <c r="Z60" s="291">
        <f ca="1">SUMIF($T$8:Y$1018,"QUANT.",T60:Y60)</f>
        <v>0</v>
      </c>
      <c r="AA60" s="292">
        <f t="shared" ca="1" si="4"/>
        <v>0</v>
      </c>
      <c r="AB60" s="293" t="str">
        <f t="shared" ca="1" si="5"/>
        <v>MEDIR</v>
      </c>
      <c r="AC60" s="294">
        <f t="shared" ca="1" si="6"/>
        <v>81</v>
      </c>
      <c r="AD60" s="294">
        <f t="shared" ca="1" si="7"/>
        <v>729.81</v>
      </c>
      <c r="AE60" s="295"/>
      <c r="AF60" s="295"/>
      <c r="AG60" s="296"/>
      <c r="AH60" s="296"/>
      <c r="AI60" s="296"/>
      <c r="AJ60" s="295"/>
      <c r="AK60" s="295"/>
      <c r="AL60" s="295"/>
      <c r="AM60" s="295"/>
    </row>
    <row r="61" spans="1:39" ht="25.5" x14ac:dyDescent="0.25">
      <c r="A61" s="232">
        <f t="shared" si="0"/>
        <v>61</v>
      </c>
      <c r="B61" s="232"/>
      <c r="C61" s="307" t="str">
        <f t="shared" si="23"/>
        <v>5.2</v>
      </c>
      <c r="D61" s="308">
        <f t="shared" si="24"/>
        <v>7</v>
      </c>
      <c r="E61" s="309" t="str">
        <f t="shared" si="25"/>
        <v>5.2.7</v>
      </c>
      <c r="F61" s="310">
        <v>92765</v>
      </c>
      <c r="G61" s="311" t="str">
        <f>IF($F61="","",IFERROR(VLOOKUP($F61,SERVIÇOS!$B:$G,2,0),IFERROR(VLOOKUP($F61,'COMPOSIÇÕES COMPLEMENTARES '!$D:$L,2,0),IFERROR(VLOOKUP($F61,INSUMOS!$A:$D,2,0),""))))</f>
        <v>ARMAÇÃO DE PILAR OU VIGA DE ESTRUTURA CONVENCIONAL DE CONCRETO ARMADO UTILIZANDO AÇO CA-50 DE 20,0 MM - MONTAGEM. AF_06/2022</v>
      </c>
      <c r="H61" s="312" t="str">
        <f>IF($F61="","",IFERROR(VLOOKUP($F61,SERVIÇOS!$B:$G,3,0),IFERROR(VLOOKUP($F61,'COMPOSIÇÕES COMPLEMENTARES '!$D:$L,3,0),IFERROR(VLOOKUP($F61,INSUMOS!$A:$D,3,0),""))))</f>
        <v>KG</v>
      </c>
      <c r="I61" s="313">
        <v>66</v>
      </c>
      <c r="J61" s="314">
        <f>IF($F61="","",IFERROR(VLOOKUP($F61,SERVIÇOS!$B:$G,4,0),IFERROR(VLOOKUP($F61,'COMPOSIÇÕES COMPLEMENTARES '!$D:$L,6,0),IFERROR(VLOOKUP($F61,INSUMOS!$A:$D,4,0),""))))</f>
        <v>9.64</v>
      </c>
      <c r="K61" s="314">
        <f>IF($F61="","",IFERROR(VLOOKUP($F61,SERVIÇOS!$B:$G,5,0),IFERROR(VLOOKUP($F61,'COMPOSIÇÕES COMPLEMENTARES '!$D:$L,7,0),0)))</f>
        <v>0.48</v>
      </c>
      <c r="L61" s="314">
        <f t="shared" si="26"/>
        <v>10.120000000000001</v>
      </c>
      <c r="M61" s="314">
        <f t="shared" si="27"/>
        <v>636.24</v>
      </c>
      <c r="N61" s="314">
        <f t="shared" si="28"/>
        <v>31.68</v>
      </c>
      <c r="O61" s="314">
        <f t="shared" si="29"/>
        <v>667.92</v>
      </c>
      <c r="P61" s="314"/>
      <c r="Q61" s="315"/>
      <c r="R61" s="315"/>
      <c r="S61" s="286"/>
      <c r="T61" s="287"/>
      <c r="U61" s="288" t="str">
        <f t="shared" si="1"/>
        <v/>
      </c>
      <c r="V61" s="287"/>
      <c r="W61" s="289" t="str">
        <f t="shared" si="2"/>
        <v/>
      </c>
      <c r="X61" s="287"/>
      <c r="Y61" s="290" t="str">
        <f t="shared" si="3"/>
        <v/>
      </c>
      <c r="Z61" s="291">
        <f ca="1">SUMIF($T$8:Y$1018,"QUANT.",T61:Y61)</f>
        <v>0</v>
      </c>
      <c r="AA61" s="292">
        <f t="shared" ca="1" si="4"/>
        <v>0</v>
      </c>
      <c r="AB61" s="293" t="str">
        <f t="shared" ca="1" si="5"/>
        <v>MEDIR</v>
      </c>
      <c r="AC61" s="294">
        <f t="shared" ca="1" si="6"/>
        <v>66</v>
      </c>
      <c r="AD61" s="294">
        <f t="shared" ca="1" si="7"/>
        <v>667.92</v>
      </c>
      <c r="AE61" s="295"/>
      <c r="AF61" s="295"/>
      <c r="AG61" s="296"/>
      <c r="AH61" s="296"/>
      <c r="AI61" s="296"/>
      <c r="AJ61" s="295"/>
      <c r="AK61" s="295"/>
      <c r="AL61" s="295"/>
      <c r="AM61" s="295"/>
    </row>
    <row r="62" spans="1:39" ht="25.5" x14ac:dyDescent="0.25">
      <c r="A62" s="232">
        <f t="shared" si="0"/>
        <v>62</v>
      </c>
      <c r="B62" s="232"/>
      <c r="C62" s="307" t="str">
        <f t="shared" si="23"/>
        <v>5.2</v>
      </c>
      <c r="D62" s="308">
        <f t="shared" si="24"/>
        <v>8</v>
      </c>
      <c r="E62" s="309" t="str">
        <f t="shared" si="25"/>
        <v>5.2.8</v>
      </c>
      <c r="F62" s="310">
        <v>92429</v>
      </c>
      <c r="G62" s="311" t="str">
        <f>IF($F62="","",IFERROR(VLOOKUP($F62,SERVIÇOS!$B:$G,2,0),IFERROR(VLOOKUP($F62,'COMPOSIÇÕES COMPLEMENTARES '!$D:$L,2,0),IFERROR(VLOOKUP($F62,INSUMOS!$A:$D,2,0),""))))</f>
        <v>MONTAGEM E DESMONTAGEM DE FÔRMA DE PILARES RETANGULARES E ESTRUTURAS SIMILARES, PÉ-DIREITO DUPLO, EM CHAPA DE MADEIRA COMPENSADA RESINADA, 8 UTILIZAÇÕES. AF_09/2020</v>
      </c>
      <c r="H62" s="312" t="str">
        <f>IF($F62="","",IFERROR(VLOOKUP($F62,SERVIÇOS!$B:$G,3,0),IFERROR(VLOOKUP($F62,'COMPOSIÇÕES COMPLEMENTARES '!$D:$L,3,0),IFERROR(VLOOKUP($F62,INSUMOS!$A:$D,3,0),""))))</f>
        <v>M2</v>
      </c>
      <c r="I62" s="313">
        <v>381.79</v>
      </c>
      <c r="J62" s="314">
        <f>IF($F62="","",IFERROR(VLOOKUP($F62,SERVIÇOS!$B:$G,4,0),IFERROR(VLOOKUP($F62,'COMPOSIÇÕES COMPLEMENTARES '!$D:$L,6,0),IFERROR(VLOOKUP($F62,INSUMOS!$A:$D,4,0),""))))</f>
        <v>49.67</v>
      </c>
      <c r="K62" s="314">
        <f>IF($F62="","",IFERROR(VLOOKUP($F62,SERVIÇOS!$B:$G,5,0),IFERROR(VLOOKUP($F62,'COMPOSIÇÕES COMPLEMENTARES '!$D:$L,7,0),0)))</f>
        <v>42.63</v>
      </c>
      <c r="L62" s="314">
        <f t="shared" si="26"/>
        <v>92.300000000000011</v>
      </c>
      <c r="M62" s="314">
        <f t="shared" si="27"/>
        <v>18963.5</v>
      </c>
      <c r="N62" s="314">
        <f t="shared" si="28"/>
        <v>16275.7</v>
      </c>
      <c r="O62" s="314">
        <f t="shared" si="29"/>
        <v>35239.199999999997</v>
      </c>
      <c r="P62" s="314"/>
      <c r="Q62" s="315"/>
      <c r="R62" s="315"/>
      <c r="S62" s="286"/>
      <c r="T62" s="287"/>
      <c r="U62" s="288" t="str">
        <f t="shared" si="1"/>
        <v/>
      </c>
      <c r="V62" s="287"/>
      <c r="W62" s="289" t="str">
        <f t="shared" si="2"/>
        <v/>
      </c>
      <c r="X62" s="287"/>
      <c r="Y62" s="290" t="str">
        <f t="shared" si="3"/>
        <v/>
      </c>
      <c r="Z62" s="291">
        <f ca="1">SUMIF($T$8:Y$1018,"QUANT.",T62:Y62)</f>
        <v>0</v>
      </c>
      <c r="AA62" s="292">
        <f t="shared" ca="1" si="4"/>
        <v>0</v>
      </c>
      <c r="AB62" s="293" t="str">
        <f t="shared" ca="1" si="5"/>
        <v>MEDIR</v>
      </c>
      <c r="AC62" s="294">
        <f t="shared" ca="1" si="6"/>
        <v>381.79</v>
      </c>
      <c r="AD62" s="294">
        <f t="shared" ca="1" si="7"/>
        <v>35239.199999999997</v>
      </c>
      <c r="AE62" s="295"/>
      <c r="AF62" s="295"/>
      <c r="AG62" s="296"/>
      <c r="AH62" s="296"/>
      <c r="AI62" s="296"/>
      <c r="AJ62" s="295"/>
      <c r="AK62" s="295"/>
      <c r="AL62" s="295"/>
      <c r="AM62" s="295"/>
    </row>
    <row r="63" spans="1:39" ht="25.5" x14ac:dyDescent="0.25">
      <c r="A63" s="232">
        <f t="shared" si="0"/>
        <v>63</v>
      </c>
      <c r="B63" s="232"/>
      <c r="C63" s="307" t="str">
        <f t="shared" si="23"/>
        <v>5.2</v>
      </c>
      <c r="D63" s="308">
        <f t="shared" si="24"/>
        <v>9</v>
      </c>
      <c r="E63" s="309" t="str">
        <f t="shared" si="25"/>
        <v>5.2.9</v>
      </c>
      <c r="F63" s="310">
        <v>92473</v>
      </c>
      <c r="G63" s="311" t="str">
        <f>IF($F63="","",IFERROR(VLOOKUP($F63,SERVIÇOS!$B:$G,2,0),IFERROR(VLOOKUP($F63,'COMPOSIÇÕES COMPLEMENTARES '!$D:$L,2,0),IFERROR(VLOOKUP($F63,INSUMOS!$A:$D,2,0),""))))</f>
        <v>MONTAGEM E DESMONTAGEM DE FÔRMA DE VIGA, ESCORAMENTO COM GARFO DE MADEIRA, PÉ-DIREITO DUPLO, EM CHAPA DE MADEIRA PLASTIFICADA, 14 UTILIZAÇÕES. AF_09/2020</v>
      </c>
      <c r="H63" s="312" t="str">
        <f>IF($F63="","",IFERROR(VLOOKUP($F63,SERVIÇOS!$B:$G,3,0),IFERROR(VLOOKUP($F63,'COMPOSIÇÕES COMPLEMENTARES '!$D:$L,3,0),IFERROR(VLOOKUP($F63,INSUMOS!$A:$D,3,0),""))))</f>
        <v>M2</v>
      </c>
      <c r="I63" s="313">
        <v>544.16999999999996</v>
      </c>
      <c r="J63" s="314">
        <f>IF($F63="","",IFERROR(VLOOKUP($F63,SERVIÇOS!$B:$G,4,0),IFERROR(VLOOKUP($F63,'COMPOSIÇÕES COMPLEMENTARES '!$D:$L,6,0),IFERROR(VLOOKUP($F63,INSUMOS!$A:$D,4,0),""))))</f>
        <v>87.31</v>
      </c>
      <c r="K63" s="314">
        <f>IF($F63="","",IFERROR(VLOOKUP($F63,SERVIÇOS!$B:$G,5,0),IFERROR(VLOOKUP($F63,'COMPOSIÇÕES COMPLEMENTARES '!$D:$L,7,0),0)))</f>
        <v>47.15</v>
      </c>
      <c r="L63" s="314">
        <f t="shared" si="26"/>
        <v>134.46</v>
      </c>
      <c r="M63" s="314">
        <f t="shared" si="27"/>
        <v>47511.48</v>
      </c>
      <c r="N63" s="314">
        <f t="shared" si="28"/>
        <v>25657.61</v>
      </c>
      <c r="O63" s="314">
        <f t="shared" si="29"/>
        <v>73169.09</v>
      </c>
      <c r="P63" s="314"/>
      <c r="Q63" s="315"/>
      <c r="R63" s="315"/>
      <c r="S63" s="286"/>
      <c r="T63" s="287"/>
      <c r="U63" s="288" t="str">
        <f t="shared" si="1"/>
        <v/>
      </c>
      <c r="V63" s="287"/>
      <c r="W63" s="289" t="str">
        <f t="shared" si="2"/>
        <v/>
      </c>
      <c r="X63" s="287"/>
      <c r="Y63" s="290" t="str">
        <f t="shared" si="3"/>
        <v/>
      </c>
      <c r="Z63" s="291">
        <f ca="1">SUMIF($T$8:Y$1018,"QUANT.",T63:Y63)</f>
        <v>0</v>
      </c>
      <c r="AA63" s="292">
        <f t="shared" ca="1" si="4"/>
        <v>0</v>
      </c>
      <c r="AB63" s="293" t="str">
        <f t="shared" ca="1" si="5"/>
        <v>MEDIR</v>
      </c>
      <c r="AC63" s="294">
        <f t="shared" ca="1" si="6"/>
        <v>544.16999999999996</v>
      </c>
      <c r="AD63" s="294">
        <f t="shared" ca="1" si="7"/>
        <v>73169.09</v>
      </c>
      <c r="AE63" s="295"/>
      <c r="AF63" s="295"/>
      <c r="AG63" s="296"/>
      <c r="AH63" s="296"/>
      <c r="AI63" s="296"/>
      <c r="AJ63" s="295"/>
      <c r="AK63" s="295"/>
      <c r="AL63" s="295"/>
      <c r="AM63" s="295"/>
    </row>
    <row r="64" spans="1:39" x14ac:dyDescent="0.25">
      <c r="A64" s="232">
        <f t="shared" si="0"/>
        <v>64</v>
      </c>
      <c r="B64" s="232"/>
      <c r="C64" s="307" t="str">
        <f t="shared" si="23"/>
        <v>5.2</v>
      </c>
      <c r="D64" s="308">
        <f t="shared" si="24"/>
        <v>10</v>
      </c>
      <c r="E64" s="309" t="str">
        <f t="shared" si="25"/>
        <v>5.2.10</v>
      </c>
      <c r="F64" s="310" t="s">
        <v>11940</v>
      </c>
      <c r="G64" s="311" t="str">
        <f>IF($F64="","",IFERROR(VLOOKUP($F64,SERVIÇOS!$B:$G,2,0),IFERROR(VLOOKUP($F64,'COMPOSIÇÕES COMPLEMENTARES '!$D:$L,2,0),IFERROR(VLOOKUP($F64,INSUMOS!$A:$D,2,0),""))))</f>
        <v>CONCRETO USINADO BOMBEADO FCK=30MPA, BOMBEADO, LANÇADO E ADENSADO EM SUPERESTRUTURA</v>
      </c>
      <c r="H64" s="312" t="str">
        <f>IF($F64="","",IFERROR(VLOOKUP($F64,SERVIÇOS!$B:$G,3,0),IFERROR(VLOOKUP($F64,'COMPOSIÇÕES COMPLEMENTARES '!$D:$L,3,0),IFERROR(VLOOKUP($F64,INSUMOS!$A:$D,3,0),""))))</f>
        <v>M3</v>
      </c>
      <c r="I64" s="313">
        <v>51.1</v>
      </c>
      <c r="J64" s="314">
        <f>IF($F64="","",IFERROR(VLOOKUP($F64,SERVIÇOS!$B:$G,4,0),IFERROR(VLOOKUP($F64,'COMPOSIÇÕES COMPLEMENTARES '!$D:$L,6,0),IFERROR(VLOOKUP($F64,INSUMOS!$A:$D,4,0),""))))</f>
        <v>534.25</v>
      </c>
      <c r="K64" s="314">
        <f>IF($F64="","",IFERROR(VLOOKUP($F64,SERVIÇOS!$B:$G,5,0),IFERROR(VLOOKUP($F64,'COMPOSIÇÕES COMPLEMENTARES '!$D:$L,7,0),0)))</f>
        <v>38.56</v>
      </c>
      <c r="L64" s="314">
        <f t="shared" si="26"/>
        <v>572.80999999999995</v>
      </c>
      <c r="M64" s="314">
        <f t="shared" si="27"/>
        <v>27300.17</v>
      </c>
      <c r="N64" s="314">
        <f t="shared" si="28"/>
        <v>1970.41</v>
      </c>
      <c r="O64" s="314">
        <f t="shared" si="29"/>
        <v>29270.58</v>
      </c>
      <c r="P64" s="314"/>
      <c r="Q64" s="315"/>
      <c r="R64" s="315"/>
      <c r="S64" s="286"/>
      <c r="T64" s="287"/>
      <c r="U64" s="288" t="str">
        <f t="shared" si="1"/>
        <v/>
      </c>
      <c r="V64" s="287"/>
      <c r="W64" s="289" t="str">
        <f t="shared" si="2"/>
        <v/>
      </c>
      <c r="X64" s="287"/>
      <c r="Y64" s="290" t="str">
        <f t="shared" si="3"/>
        <v/>
      </c>
      <c r="Z64" s="291">
        <f ca="1">SUMIF($T$8:Y$1018,"QUANT.",T64:Y64)</f>
        <v>0</v>
      </c>
      <c r="AA64" s="292">
        <f t="shared" ca="1" si="4"/>
        <v>0</v>
      </c>
      <c r="AB64" s="293" t="str">
        <f t="shared" ca="1" si="5"/>
        <v>MEDIR</v>
      </c>
      <c r="AC64" s="294">
        <f t="shared" ca="1" si="6"/>
        <v>51.1</v>
      </c>
      <c r="AD64" s="294">
        <f t="shared" ca="1" si="7"/>
        <v>29270.58</v>
      </c>
      <c r="AE64" s="295"/>
      <c r="AF64" s="295"/>
      <c r="AG64" s="296"/>
      <c r="AH64" s="296"/>
      <c r="AI64" s="296"/>
      <c r="AJ64" s="295"/>
      <c r="AK64" s="295"/>
      <c r="AL64" s="295"/>
      <c r="AM64" s="295"/>
    </row>
    <row r="65" spans="1:39" x14ac:dyDescent="0.25">
      <c r="A65" s="232">
        <f t="shared" si="0"/>
        <v>65</v>
      </c>
      <c r="B65" s="232"/>
      <c r="C65" s="307" t="str">
        <f t="shared" si="23"/>
        <v>5.2</v>
      </c>
      <c r="D65" s="308">
        <f t="shared" si="24"/>
        <v>11</v>
      </c>
      <c r="E65" s="309" t="str">
        <f t="shared" si="25"/>
        <v>5.2.11</v>
      </c>
      <c r="F65" s="310" t="s">
        <v>11928</v>
      </c>
      <c r="G65" s="311" t="str">
        <f>IF($F65="","",IFERROR(VLOOKUP($F65,SERVIÇOS!$B:$G,2,0),IFERROR(VLOOKUP($F65,'COMPOSIÇÕES COMPLEMENTARES '!$D:$L,2,0),IFERROR(VLOOKUP($F65,INSUMOS!$A:$D,2,0),""))))</f>
        <v>CONTROLE TECNOLÓGICO DE CONCRETO C/ ROMPIMENTO DE CORPO-DE-PROVA À COMPRESSÃO</v>
      </c>
      <c r="H65" s="312" t="str">
        <f>IF($F65="","",IFERROR(VLOOKUP($F65,SERVIÇOS!$B:$G,3,0),IFERROR(VLOOKUP($F65,'COMPOSIÇÕES COMPLEMENTARES '!$D:$L,3,0),IFERROR(VLOOKUP($F65,INSUMOS!$A:$D,3,0),""))))</f>
        <v>UN</v>
      </c>
      <c r="I65" s="313">
        <f>TRUNC(I64/8*4,0)</f>
        <v>25</v>
      </c>
      <c r="J65" s="314">
        <f>IF($F65="","",IFERROR(VLOOKUP($F65,SERVIÇOS!$B:$G,4,0),IFERROR(VLOOKUP($F65,'COMPOSIÇÕES COMPLEMENTARES '!$D:$L,6,0),IFERROR(VLOOKUP($F65,INSUMOS!$A:$D,4,0),""))))</f>
        <v>14</v>
      </c>
      <c r="K65" s="314">
        <f>IF($F65="","",IFERROR(VLOOKUP($F65,SERVIÇOS!$B:$G,5,0),IFERROR(VLOOKUP($F65,'COMPOSIÇÕES COMPLEMENTARES '!$D:$L,7,0),0)))</f>
        <v>0</v>
      </c>
      <c r="L65" s="314">
        <f t="shared" si="26"/>
        <v>14</v>
      </c>
      <c r="M65" s="314">
        <f t="shared" si="27"/>
        <v>350</v>
      </c>
      <c r="N65" s="314">
        <f t="shared" si="28"/>
        <v>0</v>
      </c>
      <c r="O65" s="314">
        <f t="shared" si="29"/>
        <v>350</v>
      </c>
      <c r="P65" s="314"/>
      <c r="Q65" s="315"/>
      <c r="R65" s="315"/>
      <c r="S65" s="286"/>
      <c r="T65" s="287"/>
      <c r="U65" s="288" t="str">
        <f t="shared" si="1"/>
        <v/>
      </c>
      <c r="V65" s="287"/>
      <c r="W65" s="289" t="str">
        <f t="shared" si="2"/>
        <v/>
      </c>
      <c r="X65" s="287"/>
      <c r="Y65" s="290" t="str">
        <f t="shared" si="3"/>
        <v/>
      </c>
      <c r="Z65" s="291">
        <f ca="1">SUMIF($T$8:Y$1018,"QUANT.",T65:Y65)</f>
        <v>0</v>
      </c>
      <c r="AA65" s="292">
        <f t="shared" ca="1" si="4"/>
        <v>0</v>
      </c>
      <c r="AB65" s="293" t="str">
        <f t="shared" ca="1" si="5"/>
        <v>MEDIR</v>
      </c>
      <c r="AC65" s="294">
        <f t="shared" ca="1" si="6"/>
        <v>25</v>
      </c>
      <c r="AD65" s="294">
        <f t="shared" ca="1" si="7"/>
        <v>350</v>
      </c>
      <c r="AE65" s="295"/>
      <c r="AF65" s="295"/>
      <c r="AG65" s="296"/>
      <c r="AH65" s="296"/>
      <c r="AI65" s="296"/>
      <c r="AJ65" s="295"/>
      <c r="AK65" s="295"/>
      <c r="AL65" s="295"/>
      <c r="AM65" s="295"/>
    </row>
    <row r="66" spans="1:39" x14ac:dyDescent="0.25">
      <c r="A66" s="232">
        <f t="shared" ref="A66:A129" si="30">1+A65</f>
        <v>66</v>
      </c>
      <c r="B66" s="232"/>
      <c r="C66" s="316" t="str">
        <f>+E66</f>
        <v>5.3</v>
      </c>
      <c r="D66" s="297"/>
      <c r="E66" s="317" t="s">
        <v>11941</v>
      </c>
      <c r="F66" s="317"/>
      <c r="G66" s="318" t="s">
        <v>11942</v>
      </c>
      <c r="H66" s="317"/>
      <c r="I66" s="319"/>
      <c r="J66" s="317"/>
      <c r="K66" s="317"/>
      <c r="L66" s="317"/>
      <c r="M66" s="317"/>
      <c r="N66" s="317"/>
      <c r="O66" s="317"/>
      <c r="P66" s="317"/>
      <c r="Q66" s="320"/>
      <c r="R66" s="306"/>
      <c r="S66" s="286"/>
      <c r="T66" s="287"/>
      <c r="U66" s="288" t="str">
        <f t="shared" si="1"/>
        <v/>
      </c>
      <c r="V66" s="287"/>
      <c r="W66" s="289" t="str">
        <f t="shared" si="2"/>
        <v/>
      </c>
      <c r="X66" s="287"/>
      <c r="Y66" s="290" t="str">
        <f t="shared" si="3"/>
        <v/>
      </c>
      <c r="Z66" s="291">
        <f ca="1">SUMIF($T$8:Y$1018,"QUANT.",T66:Y66)</f>
        <v>0</v>
      </c>
      <c r="AA66" s="292">
        <f t="shared" ca="1" si="4"/>
        <v>0</v>
      </c>
      <c r="AB66" s="293" t="str">
        <f t="shared" si="5"/>
        <v/>
      </c>
      <c r="AC66" s="294">
        <f t="shared" ca="1" si="6"/>
        <v>0</v>
      </c>
      <c r="AD66" s="294">
        <f t="shared" ca="1" si="7"/>
        <v>0</v>
      </c>
      <c r="AE66" s="295"/>
      <c r="AF66" s="295"/>
      <c r="AG66" s="296"/>
      <c r="AH66" s="296"/>
      <c r="AI66" s="296"/>
      <c r="AJ66" s="295"/>
      <c r="AK66" s="295"/>
      <c r="AL66" s="295"/>
      <c r="AM66" s="295"/>
    </row>
    <row r="67" spans="1:39" ht="25.5" x14ac:dyDescent="0.25">
      <c r="A67" s="232">
        <f t="shared" si="30"/>
        <v>67</v>
      </c>
      <c r="B67" s="232"/>
      <c r="C67" s="307" t="str">
        <f t="shared" ref="C67:C73" si="31">+C66</f>
        <v>5.3</v>
      </c>
      <c r="D67" s="308">
        <f t="shared" ref="D67:D73" si="32">1+D66</f>
        <v>1</v>
      </c>
      <c r="E67" s="309" t="str">
        <f t="shared" ref="E67:E73" si="33">C67&amp;"."&amp;D67</f>
        <v>5.3.1</v>
      </c>
      <c r="F67" s="310">
        <v>92769</v>
      </c>
      <c r="G67" s="311" t="str">
        <f>IF($F67="","",IFERROR(VLOOKUP($F67,SERVIÇOS!$B:$G,2,0),IFERROR(VLOOKUP($F67,'COMPOSIÇÕES COMPLEMENTARES '!$D:$L,2,0),IFERROR(VLOOKUP($F67,INSUMOS!$A:$D,2,0),""))))</f>
        <v>ARMAÇÃO DE LAJE DE ESTRUTURA CONVENCIONAL DE CONCRETO ARMADO UTILIZANDO AÇO CA-50 DE 6,3 MM - MONTAGEM. AF_06/2022</v>
      </c>
      <c r="H67" s="312" t="str">
        <f>IF($F67="","",IFERROR(VLOOKUP($F67,SERVIÇOS!$B:$G,3,0),IFERROR(VLOOKUP($F67,'COMPOSIÇÕES COMPLEMENTARES '!$D:$L,3,0),IFERROR(VLOOKUP($F67,INSUMOS!$A:$D,3,0),""))))</f>
        <v>KG</v>
      </c>
      <c r="I67" s="313">
        <v>287</v>
      </c>
      <c r="J67" s="314">
        <f>IF($F67="","",IFERROR(VLOOKUP($F67,SERVIÇOS!$B:$G,4,0),IFERROR(VLOOKUP($F67,'COMPOSIÇÕES COMPLEMENTARES '!$D:$L,6,0),IFERROR(VLOOKUP($F67,INSUMOS!$A:$D,4,0),""))))</f>
        <v>10.66</v>
      </c>
      <c r="K67" s="314">
        <f>IF($F67="","",IFERROR(VLOOKUP($F67,SERVIÇOS!$B:$G,5,0),IFERROR(VLOOKUP($F67,'COMPOSIÇÕES COMPLEMENTARES '!$D:$L,7,0),0)))</f>
        <v>2.76</v>
      </c>
      <c r="L67" s="314">
        <f t="shared" ref="L67:L73" si="34">IF(I67="","",J67+K67)</f>
        <v>13.42</v>
      </c>
      <c r="M67" s="314">
        <f t="shared" ref="M67:M73" si="35">IF(I67="","",TRUNC((I67*J67),2))</f>
        <v>3059.42</v>
      </c>
      <c r="N67" s="314">
        <f t="shared" ref="N67:N73" si="36">IF(I67="","",TRUNC((I67*K67),2))</f>
        <v>792.12</v>
      </c>
      <c r="O67" s="314">
        <f t="shared" ref="O67:O73" si="37">IF(I67="","",TRUNC((M67+N67),2))</f>
        <v>3851.54</v>
      </c>
      <c r="P67" s="314"/>
      <c r="Q67" s="315"/>
      <c r="R67" s="315"/>
      <c r="S67" s="286"/>
      <c r="T67" s="287"/>
      <c r="U67" s="288" t="str">
        <f t="shared" si="1"/>
        <v/>
      </c>
      <c r="V67" s="287"/>
      <c r="W67" s="289" t="str">
        <f t="shared" si="2"/>
        <v/>
      </c>
      <c r="X67" s="287"/>
      <c r="Y67" s="290" t="str">
        <f t="shared" si="3"/>
        <v/>
      </c>
      <c r="Z67" s="291">
        <f ca="1">SUMIF($T$8:Y$1018,"QUANT.",T67:Y67)</f>
        <v>0</v>
      </c>
      <c r="AA67" s="292">
        <f t="shared" ca="1" si="4"/>
        <v>0</v>
      </c>
      <c r="AB67" s="293" t="str">
        <f t="shared" ca="1" si="5"/>
        <v>MEDIR</v>
      </c>
      <c r="AC67" s="294">
        <f t="shared" ca="1" si="6"/>
        <v>287</v>
      </c>
      <c r="AD67" s="294">
        <f t="shared" ca="1" si="7"/>
        <v>3851.54</v>
      </c>
      <c r="AE67" s="295"/>
      <c r="AF67" s="295"/>
      <c r="AG67" s="296"/>
      <c r="AH67" s="296"/>
      <c r="AI67" s="296"/>
      <c r="AJ67" s="296"/>
      <c r="AK67" s="296"/>
      <c r="AL67" s="296"/>
      <c r="AM67" s="296"/>
    </row>
    <row r="68" spans="1:39" ht="25.5" x14ac:dyDescent="0.25">
      <c r="A68" s="232">
        <f t="shared" si="30"/>
        <v>68</v>
      </c>
      <c r="B68" s="232"/>
      <c r="C68" s="307" t="str">
        <f t="shared" si="31"/>
        <v>5.3</v>
      </c>
      <c r="D68" s="308">
        <f t="shared" si="32"/>
        <v>2</v>
      </c>
      <c r="E68" s="309" t="str">
        <f t="shared" si="33"/>
        <v>5.3.2</v>
      </c>
      <c r="F68" s="310">
        <v>92770</v>
      </c>
      <c r="G68" s="311" t="str">
        <f>IF($F68="","",IFERROR(VLOOKUP($F68,SERVIÇOS!$B:$G,2,0),IFERROR(VLOOKUP($F68,'COMPOSIÇÕES COMPLEMENTARES '!$D:$L,2,0),IFERROR(VLOOKUP($F68,INSUMOS!$A:$D,2,0),""))))</f>
        <v>ARMAÇÃO DE LAJE DE ESTRUTURA CONVENCIONAL DE CONCRETO ARMADO UTILIZANDO AÇO CA-50 DE 8,0 MM - MONTAGEM. AF_06/2022</v>
      </c>
      <c r="H68" s="312" t="str">
        <f>IF($F68="","",IFERROR(VLOOKUP($F68,SERVIÇOS!$B:$G,3,0),IFERROR(VLOOKUP($F68,'COMPOSIÇÕES COMPLEMENTARES '!$D:$L,3,0),IFERROR(VLOOKUP($F68,INSUMOS!$A:$D,3,0),""))))</f>
        <v>KG</v>
      </c>
      <c r="I68" s="313">
        <v>740</v>
      </c>
      <c r="J68" s="314">
        <f>IF($F68="","",IFERROR(VLOOKUP($F68,SERVIÇOS!$B:$G,4,0),IFERROR(VLOOKUP($F68,'COMPOSIÇÕES COMPLEMENTARES '!$D:$L,6,0),IFERROR(VLOOKUP($F68,INSUMOS!$A:$D,4,0),""))))</f>
        <v>10.52</v>
      </c>
      <c r="K68" s="314">
        <f>IF($F68="","",IFERROR(VLOOKUP($F68,SERVIÇOS!$B:$G,5,0),IFERROR(VLOOKUP($F68,'COMPOSIÇÕES COMPLEMENTARES '!$D:$L,7,0),0)))</f>
        <v>1.71</v>
      </c>
      <c r="L68" s="314">
        <f t="shared" si="34"/>
        <v>12.23</v>
      </c>
      <c r="M68" s="314">
        <f t="shared" si="35"/>
        <v>7784.8</v>
      </c>
      <c r="N68" s="314">
        <f t="shared" si="36"/>
        <v>1265.4000000000001</v>
      </c>
      <c r="O68" s="314">
        <f t="shared" si="37"/>
        <v>9050.2000000000007</v>
      </c>
      <c r="P68" s="314"/>
      <c r="Q68" s="315"/>
      <c r="R68" s="315"/>
      <c r="S68" s="286"/>
      <c r="T68" s="287"/>
      <c r="U68" s="288" t="str">
        <f t="shared" si="1"/>
        <v/>
      </c>
      <c r="V68" s="287"/>
      <c r="W68" s="289" t="str">
        <f t="shared" si="2"/>
        <v/>
      </c>
      <c r="X68" s="287"/>
      <c r="Y68" s="290" t="str">
        <f t="shared" si="3"/>
        <v/>
      </c>
      <c r="Z68" s="291">
        <f ca="1">SUMIF($T$8:Y$1018,"QUANT.",T68:Y68)</f>
        <v>0</v>
      </c>
      <c r="AA68" s="292">
        <f t="shared" ca="1" si="4"/>
        <v>0</v>
      </c>
      <c r="AB68" s="293" t="str">
        <f t="shared" ca="1" si="5"/>
        <v>MEDIR</v>
      </c>
      <c r="AC68" s="294">
        <f t="shared" ca="1" si="6"/>
        <v>740</v>
      </c>
      <c r="AD68" s="294">
        <f t="shared" ca="1" si="7"/>
        <v>9050.2000000000007</v>
      </c>
      <c r="AE68" s="295"/>
      <c r="AF68" s="295"/>
      <c r="AG68" s="296"/>
      <c r="AH68" s="296"/>
      <c r="AI68" s="296"/>
      <c r="AJ68" s="295"/>
      <c r="AK68" s="295"/>
      <c r="AL68" s="295"/>
      <c r="AM68" s="295"/>
    </row>
    <row r="69" spans="1:39" ht="25.5" x14ac:dyDescent="0.25">
      <c r="A69" s="232">
        <f t="shared" si="30"/>
        <v>69</v>
      </c>
      <c r="B69" s="232"/>
      <c r="C69" s="307" t="str">
        <f t="shared" si="31"/>
        <v>5.3</v>
      </c>
      <c r="D69" s="308">
        <f t="shared" si="32"/>
        <v>3</v>
      </c>
      <c r="E69" s="309" t="str">
        <f t="shared" si="33"/>
        <v>5.3.3</v>
      </c>
      <c r="F69" s="310">
        <v>92771</v>
      </c>
      <c r="G69" s="311" t="str">
        <f>IF($F69="","",IFERROR(VLOOKUP($F69,SERVIÇOS!$B:$G,2,0),IFERROR(VLOOKUP($F69,'COMPOSIÇÕES COMPLEMENTARES '!$D:$L,2,0),IFERROR(VLOOKUP($F69,INSUMOS!$A:$D,2,0),""))))</f>
        <v>ARMAÇÃO DE LAJE DE ESTRUTURA CONVENCIONAL DE CONCRETO ARMADO UTILIZANDO AÇO CA-50 DE 10,0 MM - MONTAGEM. AF_06/2022</v>
      </c>
      <c r="H69" s="312" t="str">
        <f>IF($F69="","",IFERROR(VLOOKUP($F69,SERVIÇOS!$B:$G,3,0),IFERROR(VLOOKUP($F69,'COMPOSIÇÕES COMPLEMENTARES '!$D:$L,3,0),IFERROR(VLOOKUP($F69,INSUMOS!$A:$D,3,0),""))))</f>
        <v>KG</v>
      </c>
      <c r="I69" s="313">
        <v>852</v>
      </c>
      <c r="J69" s="314">
        <f>IF($F69="","",IFERROR(VLOOKUP($F69,SERVIÇOS!$B:$G,4,0),IFERROR(VLOOKUP($F69,'COMPOSIÇÕES COMPLEMENTARES '!$D:$L,6,0),IFERROR(VLOOKUP($F69,INSUMOS!$A:$D,4,0),""))))</f>
        <v>9.68</v>
      </c>
      <c r="K69" s="314">
        <f>IF($F69="","",IFERROR(VLOOKUP($F69,SERVIÇOS!$B:$G,5,0),IFERROR(VLOOKUP($F69,'COMPOSIÇÕES COMPLEMENTARES '!$D:$L,7,0),0)))</f>
        <v>1.03</v>
      </c>
      <c r="L69" s="314">
        <f t="shared" si="34"/>
        <v>10.709999999999999</v>
      </c>
      <c r="M69" s="314">
        <f t="shared" si="35"/>
        <v>8247.36</v>
      </c>
      <c r="N69" s="314">
        <f t="shared" si="36"/>
        <v>877.56</v>
      </c>
      <c r="O69" s="314">
        <f t="shared" si="37"/>
        <v>9124.92</v>
      </c>
      <c r="P69" s="314"/>
      <c r="Q69" s="315"/>
      <c r="R69" s="315"/>
      <c r="S69" s="286"/>
      <c r="T69" s="287"/>
      <c r="U69" s="288" t="str">
        <f t="shared" si="1"/>
        <v/>
      </c>
      <c r="V69" s="287"/>
      <c r="W69" s="289" t="str">
        <f t="shared" si="2"/>
        <v/>
      </c>
      <c r="X69" s="287"/>
      <c r="Y69" s="290" t="str">
        <f t="shared" si="3"/>
        <v/>
      </c>
      <c r="Z69" s="291">
        <f ca="1">SUMIF($T$8:Y$1018,"QUANT.",T69:Y69)</f>
        <v>0</v>
      </c>
      <c r="AA69" s="292">
        <f t="shared" ca="1" si="4"/>
        <v>0</v>
      </c>
      <c r="AB69" s="293" t="str">
        <f t="shared" ca="1" si="5"/>
        <v>MEDIR</v>
      </c>
      <c r="AC69" s="294">
        <f t="shared" ca="1" si="6"/>
        <v>852</v>
      </c>
      <c r="AD69" s="294">
        <f t="shared" ca="1" si="7"/>
        <v>9124.92</v>
      </c>
      <c r="AE69" s="295"/>
      <c r="AF69" s="295"/>
      <c r="AG69" s="296"/>
      <c r="AH69" s="296"/>
      <c r="AI69" s="296"/>
      <c r="AJ69" s="295"/>
      <c r="AK69" s="295"/>
      <c r="AL69" s="295"/>
      <c r="AM69" s="295"/>
    </row>
    <row r="70" spans="1:39" ht="25.5" x14ac:dyDescent="0.25">
      <c r="A70" s="232">
        <f t="shared" si="30"/>
        <v>70</v>
      </c>
      <c r="B70" s="232"/>
      <c r="C70" s="307" t="str">
        <f t="shared" si="31"/>
        <v>5.3</v>
      </c>
      <c r="D70" s="308">
        <f t="shared" si="32"/>
        <v>4</v>
      </c>
      <c r="E70" s="309" t="str">
        <f t="shared" si="33"/>
        <v>5.3.4</v>
      </c>
      <c r="F70" s="310">
        <v>92772</v>
      </c>
      <c r="G70" s="311" t="str">
        <f>IF($F70="","",IFERROR(VLOOKUP($F70,SERVIÇOS!$B:$G,2,0),IFERROR(VLOOKUP($F70,'COMPOSIÇÕES COMPLEMENTARES '!$D:$L,2,0),IFERROR(VLOOKUP($F70,INSUMOS!$A:$D,2,0),""))))</f>
        <v>ARMAÇÃO DE LAJE DE ESTRUTURA CONVENCIONAL DE CONCRETO ARMADO UTILIZANDO AÇO CA-50 DE 12,5 MM - MONTAGEM. AF_06/2022</v>
      </c>
      <c r="H70" s="312" t="str">
        <f>IF($F70="","",IFERROR(VLOOKUP($F70,SERVIÇOS!$B:$G,3,0),IFERROR(VLOOKUP($F70,'COMPOSIÇÕES COMPLEMENTARES '!$D:$L,3,0),IFERROR(VLOOKUP($F70,INSUMOS!$A:$D,3,0),""))))</f>
        <v>KG</v>
      </c>
      <c r="I70" s="313">
        <v>787</v>
      </c>
      <c r="J70" s="314">
        <f>IF($F70="","",IFERROR(VLOOKUP($F70,SERVIÇOS!$B:$G,4,0),IFERROR(VLOOKUP($F70,'COMPOSIÇÕES COMPLEMENTARES '!$D:$L,6,0),IFERROR(VLOOKUP($F70,INSUMOS!$A:$D,4,0),""))))</f>
        <v>8.31</v>
      </c>
      <c r="K70" s="314">
        <f>IF($F70="","",IFERROR(VLOOKUP($F70,SERVIÇOS!$B:$G,5,0),IFERROR(VLOOKUP($F70,'COMPOSIÇÕES COMPLEMENTARES '!$D:$L,7,0),0)))</f>
        <v>0.56999999999999995</v>
      </c>
      <c r="L70" s="314">
        <f t="shared" si="34"/>
        <v>8.8800000000000008</v>
      </c>
      <c r="M70" s="314">
        <f t="shared" si="35"/>
        <v>6539.97</v>
      </c>
      <c r="N70" s="314">
        <f t="shared" si="36"/>
        <v>448.59</v>
      </c>
      <c r="O70" s="314">
        <f t="shared" si="37"/>
        <v>6988.56</v>
      </c>
      <c r="P70" s="314"/>
      <c r="Q70" s="315"/>
      <c r="R70" s="315"/>
      <c r="S70" s="286"/>
      <c r="T70" s="287"/>
      <c r="U70" s="288" t="str">
        <f t="shared" si="1"/>
        <v/>
      </c>
      <c r="V70" s="287"/>
      <c r="W70" s="289" t="str">
        <f t="shared" si="2"/>
        <v/>
      </c>
      <c r="X70" s="287"/>
      <c r="Y70" s="290" t="str">
        <f t="shared" si="3"/>
        <v/>
      </c>
      <c r="Z70" s="291">
        <f ca="1">SUMIF($T$8:Y$1018,"QUANT.",T70:Y70)</f>
        <v>0</v>
      </c>
      <c r="AA70" s="292">
        <f t="shared" ca="1" si="4"/>
        <v>0</v>
      </c>
      <c r="AB70" s="293" t="str">
        <f t="shared" ca="1" si="5"/>
        <v>MEDIR</v>
      </c>
      <c r="AC70" s="294">
        <f t="shared" ca="1" si="6"/>
        <v>787</v>
      </c>
      <c r="AD70" s="294">
        <f t="shared" ca="1" si="7"/>
        <v>6988.56</v>
      </c>
      <c r="AE70" s="295"/>
      <c r="AF70" s="295"/>
      <c r="AG70" s="296"/>
      <c r="AH70" s="296"/>
      <c r="AI70" s="296"/>
      <c r="AJ70" s="296"/>
      <c r="AK70" s="296"/>
      <c r="AL70" s="296"/>
      <c r="AM70" s="296"/>
    </row>
    <row r="71" spans="1:39" ht="25.5" x14ac:dyDescent="0.25">
      <c r="A71" s="232">
        <f t="shared" si="30"/>
        <v>71</v>
      </c>
      <c r="B71" s="232"/>
      <c r="C71" s="307" t="str">
        <f t="shared" si="31"/>
        <v>5.3</v>
      </c>
      <c r="D71" s="308">
        <f t="shared" si="32"/>
        <v>5</v>
      </c>
      <c r="E71" s="309" t="str">
        <f t="shared" si="33"/>
        <v>5.3.5</v>
      </c>
      <c r="F71" s="310">
        <v>92520</v>
      </c>
      <c r="G71" s="311" t="str">
        <f>IF($F71="","",IFERROR(VLOOKUP($F71,SERVIÇOS!$B:$G,2,0),IFERROR(VLOOKUP($F71,'COMPOSIÇÕES COMPLEMENTARES '!$D:$L,2,0),IFERROR(VLOOKUP($F71,INSUMOS!$A:$D,2,0),""))))</f>
        <v>MONTAGEM E DESMONTAGEM DE FÔRMA DE LAJE MACIÇA, PÉ-DIREITO DUPLO, EM CHAPA DE MADEIRA COMPENSADA RESINADA, 8 UTILIZAÇÕES. AF_09/2020</v>
      </c>
      <c r="H71" s="312" t="str">
        <f>IF($F71="","",IFERROR(VLOOKUP($F71,SERVIÇOS!$B:$G,3,0),IFERROR(VLOOKUP($F71,'COMPOSIÇÕES COMPLEMENTARES '!$D:$L,3,0),IFERROR(VLOOKUP($F71,INSUMOS!$A:$D,3,0),""))))</f>
        <v>M2</v>
      </c>
      <c r="I71" s="313">
        <v>158.03</v>
      </c>
      <c r="J71" s="314">
        <f>IF($F71="","",IFERROR(VLOOKUP($F71,SERVIÇOS!$B:$G,4,0),IFERROR(VLOOKUP($F71,'COMPOSIÇÕES COMPLEMENTARES '!$D:$L,6,0),IFERROR(VLOOKUP($F71,INSUMOS!$A:$D,4,0),""))))</f>
        <v>59.04</v>
      </c>
      <c r="K71" s="314">
        <f>IF($F71="","",IFERROR(VLOOKUP($F71,SERVIÇOS!$B:$G,5,0),IFERROR(VLOOKUP($F71,'COMPOSIÇÕES COMPLEMENTARES '!$D:$L,7,0),0)))</f>
        <v>29.48</v>
      </c>
      <c r="L71" s="314">
        <f t="shared" si="34"/>
        <v>88.52</v>
      </c>
      <c r="M71" s="314">
        <f t="shared" si="35"/>
        <v>9330.09</v>
      </c>
      <c r="N71" s="314">
        <f t="shared" si="36"/>
        <v>4658.72</v>
      </c>
      <c r="O71" s="314">
        <f t="shared" si="37"/>
        <v>13988.81</v>
      </c>
      <c r="P71" s="314"/>
      <c r="Q71" s="315"/>
      <c r="R71" s="315"/>
      <c r="S71" s="286"/>
      <c r="T71" s="287"/>
      <c r="U71" s="288" t="str">
        <f t="shared" si="1"/>
        <v/>
      </c>
      <c r="V71" s="287"/>
      <c r="W71" s="289" t="str">
        <f t="shared" si="2"/>
        <v/>
      </c>
      <c r="X71" s="287"/>
      <c r="Y71" s="290" t="str">
        <f t="shared" si="3"/>
        <v/>
      </c>
      <c r="Z71" s="291">
        <f ca="1">SUMIF($T$8:Y$1018,"QUANT.",T71:Y71)</f>
        <v>0</v>
      </c>
      <c r="AA71" s="292">
        <f t="shared" ca="1" si="4"/>
        <v>0</v>
      </c>
      <c r="AB71" s="293" t="str">
        <f t="shared" ca="1" si="5"/>
        <v>MEDIR</v>
      </c>
      <c r="AC71" s="294">
        <f t="shared" ca="1" si="6"/>
        <v>158.03</v>
      </c>
      <c r="AD71" s="294">
        <f t="shared" ca="1" si="7"/>
        <v>13988.81</v>
      </c>
      <c r="AE71" s="295"/>
      <c r="AF71" s="295"/>
      <c r="AG71" s="296"/>
      <c r="AH71" s="296"/>
      <c r="AI71" s="296"/>
      <c r="AJ71" s="295"/>
      <c r="AK71" s="295"/>
      <c r="AL71" s="295"/>
      <c r="AM71" s="295"/>
    </row>
    <row r="72" spans="1:39" x14ac:dyDescent="0.25">
      <c r="A72" s="232">
        <f t="shared" si="30"/>
        <v>72</v>
      </c>
      <c r="B72" s="232"/>
      <c r="C72" s="307" t="str">
        <f t="shared" si="31"/>
        <v>5.3</v>
      </c>
      <c r="D72" s="308">
        <f t="shared" si="32"/>
        <v>6</v>
      </c>
      <c r="E72" s="309" t="str">
        <f t="shared" si="33"/>
        <v>5.3.6</v>
      </c>
      <c r="F72" s="310" t="s">
        <v>11940</v>
      </c>
      <c r="G72" s="311" t="str">
        <f>IF($F72="","",IFERROR(VLOOKUP($F72,SERVIÇOS!$B:$G,2,0),IFERROR(VLOOKUP($F72,'COMPOSIÇÕES COMPLEMENTARES '!$D:$L,2,0),IFERROR(VLOOKUP($F72,INSUMOS!$A:$D,2,0),""))))</f>
        <v>CONCRETO USINADO BOMBEADO FCK=30MPA, BOMBEADO, LANÇADO E ADENSADO EM SUPERESTRUTURA</v>
      </c>
      <c r="H72" s="312" t="str">
        <f>IF($F72="","",IFERROR(VLOOKUP($F72,SERVIÇOS!$B:$G,3,0),IFERROR(VLOOKUP($F72,'COMPOSIÇÕES COMPLEMENTARES '!$D:$L,3,0),IFERROR(VLOOKUP($F72,INSUMOS!$A:$D,3,0),""))))</f>
        <v>M3</v>
      </c>
      <c r="I72" s="313">
        <v>21.88</v>
      </c>
      <c r="J72" s="314">
        <f>IF($F72="","",IFERROR(VLOOKUP($F72,SERVIÇOS!$B:$G,4,0),IFERROR(VLOOKUP($F72,'COMPOSIÇÕES COMPLEMENTARES '!$D:$L,6,0),IFERROR(VLOOKUP($F72,INSUMOS!$A:$D,4,0),""))))</f>
        <v>534.25</v>
      </c>
      <c r="K72" s="314">
        <f>IF($F72="","",IFERROR(VLOOKUP($F72,SERVIÇOS!$B:$G,5,0),IFERROR(VLOOKUP($F72,'COMPOSIÇÕES COMPLEMENTARES '!$D:$L,7,0),0)))</f>
        <v>38.56</v>
      </c>
      <c r="L72" s="314">
        <f t="shared" si="34"/>
        <v>572.80999999999995</v>
      </c>
      <c r="M72" s="314">
        <f t="shared" si="35"/>
        <v>11689.39</v>
      </c>
      <c r="N72" s="314">
        <f t="shared" si="36"/>
        <v>843.69</v>
      </c>
      <c r="O72" s="314">
        <f t="shared" si="37"/>
        <v>12533.08</v>
      </c>
      <c r="P72" s="314"/>
      <c r="Q72" s="315"/>
      <c r="R72" s="315"/>
      <c r="S72" s="286"/>
      <c r="T72" s="287"/>
      <c r="U72" s="288" t="str">
        <f t="shared" si="1"/>
        <v/>
      </c>
      <c r="V72" s="287"/>
      <c r="W72" s="289" t="str">
        <f t="shared" si="2"/>
        <v/>
      </c>
      <c r="X72" s="287"/>
      <c r="Y72" s="290" t="str">
        <f t="shared" si="3"/>
        <v/>
      </c>
      <c r="Z72" s="291">
        <f ca="1">SUMIF($T$8:Y$1018,"QUANT.",T72:Y72)</f>
        <v>0</v>
      </c>
      <c r="AA72" s="292">
        <f t="shared" ca="1" si="4"/>
        <v>0</v>
      </c>
      <c r="AB72" s="293" t="str">
        <f t="shared" ca="1" si="5"/>
        <v>MEDIR</v>
      </c>
      <c r="AC72" s="294">
        <f t="shared" ca="1" si="6"/>
        <v>21.88</v>
      </c>
      <c r="AD72" s="294">
        <f t="shared" ca="1" si="7"/>
        <v>12533.08</v>
      </c>
      <c r="AE72" s="295"/>
      <c r="AF72" s="295"/>
      <c r="AG72" s="296"/>
      <c r="AH72" s="296"/>
      <c r="AI72" s="296"/>
      <c r="AJ72" s="38"/>
      <c r="AK72" s="38"/>
      <c r="AL72" s="38"/>
      <c r="AM72" s="38"/>
    </row>
    <row r="73" spans="1:39" x14ac:dyDescent="0.25">
      <c r="A73" s="232">
        <f t="shared" si="30"/>
        <v>73</v>
      </c>
      <c r="B73" s="232"/>
      <c r="C73" s="307" t="str">
        <f t="shared" si="31"/>
        <v>5.3</v>
      </c>
      <c r="D73" s="308">
        <f t="shared" si="32"/>
        <v>7</v>
      </c>
      <c r="E73" s="309" t="str">
        <f t="shared" si="33"/>
        <v>5.3.7</v>
      </c>
      <c r="F73" s="310" t="s">
        <v>11928</v>
      </c>
      <c r="G73" s="311" t="str">
        <f>IF($F73="","",IFERROR(VLOOKUP($F73,SERVIÇOS!$B:$G,2,0),IFERROR(VLOOKUP($F73,'COMPOSIÇÕES COMPLEMENTARES '!$D:$L,2,0),IFERROR(VLOOKUP($F73,INSUMOS!$A:$D,2,0),""))))</f>
        <v>CONTROLE TECNOLÓGICO DE CONCRETO C/ ROMPIMENTO DE CORPO-DE-PROVA À COMPRESSÃO</v>
      </c>
      <c r="H73" s="312" t="str">
        <f>IF($F73="","",IFERROR(VLOOKUP($F73,SERVIÇOS!$B:$G,3,0),IFERROR(VLOOKUP($F73,'COMPOSIÇÕES COMPLEMENTARES '!$D:$L,3,0),IFERROR(VLOOKUP($F73,INSUMOS!$A:$D,3,0),""))))</f>
        <v>UN</v>
      </c>
      <c r="I73" s="313">
        <f>TRUNC(I72/8*4,0)</f>
        <v>10</v>
      </c>
      <c r="J73" s="314">
        <f>IF($F73="","",IFERROR(VLOOKUP($F73,SERVIÇOS!$B:$G,4,0),IFERROR(VLOOKUP($F73,'COMPOSIÇÕES COMPLEMENTARES '!$D:$L,6,0),IFERROR(VLOOKUP($F73,INSUMOS!$A:$D,4,0),""))))</f>
        <v>14</v>
      </c>
      <c r="K73" s="314">
        <f>IF($F73="","",IFERROR(VLOOKUP($F73,SERVIÇOS!$B:$G,5,0),IFERROR(VLOOKUP($F73,'COMPOSIÇÕES COMPLEMENTARES '!$D:$L,7,0),0)))</f>
        <v>0</v>
      </c>
      <c r="L73" s="314">
        <f t="shared" si="34"/>
        <v>14</v>
      </c>
      <c r="M73" s="314">
        <f t="shared" si="35"/>
        <v>140</v>
      </c>
      <c r="N73" s="314">
        <f t="shared" si="36"/>
        <v>0</v>
      </c>
      <c r="O73" s="314">
        <f t="shared" si="37"/>
        <v>140</v>
      </c>
      <c r="P73" s="314"/>
      <c r="Q73" s="315"/>
      <c r="R73" s="315"/>
      <c r="S73" s="286"/>
      <c r="T73" s="287"/>
      <c r="U73" s="288" t="str">
        <f t="shared" ref="U73:U136" si="38">IF(OR(T73="",$O73=""),"",(T73/$I73)*$O73)</f>
        <v/>
      </c>
      <c r="V73" s="287"/>
      <c r="W73" s="289" t="str">
        <f t="shared" ref="W73:W136" si="39">IF(OR(V73="",$O73=""),"",(V73/$I73)*$O73)</f>
        <v/>
      </c>
      <c r="X73" s="287"/>
      <c r="Y73" s="290" t="str">
        <f t="shared" ref="Y73:Y136" si="40">IF(OR(X73="",$O73=""),"",(X73/$I73)*$O73)</f>
        <v/>
      </c>
      <c r="Z73" s="291">
        <f ca="1">SUMIF($T$8:Y$1018,"QUANT.",T73:Y73)</f>
        <v>0</v>
      </c>
      <c r="AA73" s="292">
        <f t="shared" ref="AA73:AA136" ca="1" si="41">SUMIF($T$8:$Y$1018,"CUSTO",T73:Y73)</f>
        <v>0</v>
      </c>
      <c r="AB73" s="293" t="str">
        <f t="shared" ref="AB73:AB136" ca="1" si="42">IF(F73&lt;&gt;"",IF(AA73=0,"MEDIR",IF(O73-AA73=0,"OK",IF(O73-AA73&gt;0,"MEDIR","ALERTA!"))),"")</f>
        <v>MEDIR</v>
      </c>
      <c r="AC73" s="294">
        <f t="shared" ref="AC73:AC136" ca="1" si="43">IF(Z73="",0,I73-Z73)</f>
        <v>10</v>
      </c>
      <c r="AD73" s="294">
        <f t="shared" ref="AD73:AD136" ca="1" si="44">IF(AA73="",0,O73-AA73)</f>
        <v>140</v>
      </c>
      <c r="AE73" s="295"/>
      <c r="AF73" s="295"/>
      <c r="AG73" s="296"/>
      <c r="AH73" s="296"/>
      <c r="AI73" s="296"/>
      <c r="AJ73" s="296"/>
      <c r="AK73" s="296"/>
      <c r="AL73" s="296"/>
      <c r="AM73" s="296"/>
    </row>
    <row r="74" spans="1:39" x14ac:dyDescent="0.25">
      <c r="A74" s="232">
        <f t="shared" si="30"/>
        <v>74</v>
      </c>
      <c r="B74" s="232"/>
      <c r="C74" s="316" t="str">
        <f>+E74</f>
        <v>5.4</v>
      </c>
      <c r="D74" s="297"/>
      <c r="E74" s="317" t="s">
        <v>11943</v>
      </c>
      <c r="F74" s="317"/>
      <c r="G74" s="318" t="s">
        <v>11944</v>
      </c>
      <c r="H74" s="317"/>
      <c r="I74" s="319"/>
      <c r="J74" s="317"/>
      <c r="K74" s="317"/>
      <c r="L74" s="317"/>
      <c r="M74" s="317"/>
      <c r="N74" s="317"/>
      <c r="O74" s="317"/>
      <c r="P74" s="317"/>
      <c r="Q74" s="320"/>
      <c r="R74" s="306"/>
      <c r="S74" s="286"/>
      <c r="T74" s="287"/>
      <c r="U74" s="288" t="str">
        <f t="shared" si="38"/>
        <v/>
      </c>
      <c r="V74" s="287"/>
      <c r="W74" s="289" t="str">
        <f t="shared" si="39"/>
        <v/>
      </c>
      <c r="X74" s="287"/>
      <c r="Y74" s="290" t="str">
        <f t="shared" si="40"/>
        <v/>
      </c>
      <c r="Z74" s="291">
        <f ca="1">SUMIF($T$8:Y$1018,"QUANT.",T74:Y74)</f>
        <v>0</v>
      </c>
      <c r="AA74" s="292">
        <f t="shared" ca="1" si="41"/>
        <v>0</v>
      </c>
      <c r="AB74" s="293" t="str">
        <f t="shared" si="42"/>
        <v/>
      </c>
      <c r="AC74" s="294">
        <f t="shared" ca="1" si="43"/>
        <v>0</v>
      </c>
      <c r="AD74" s="294">
        <f t="shared" ca="1" si="44"/>
        <v>0</v>
      </c>
      <c r="AE74" s="295"/>
      <c r="AF74" s="295"/>
      <c r="AG74" s="296"/>
      <c r="AH74" s="296"/>
      <c r="AI74" s="296"/>
      <c r="AJ74" s="295"/>
      <c r="AK74" s="295"/>
      <c r="AL74" s="295"/>
      <c r="AM74" s="295"/>
    </row>
    <row r="75" spans="1:39" x14ac:dyDescent="0.25">
      <c r="A75" s="232">
        <f t="shared" si="30"/>
        <v>75</v>
      </c>
      <c r="B75" s="232"/>
      <c r="C75" s="307" t="str">
        <f>+C74</f>
        <v>5.4</v>
      </c>
      <c r="D75" s="308">
        <f>1+D74</f>
        <v>1</v>
      </c>
      <c r="E75" s="309" t="str">
        <f>C75&amp;"."&amp;D75</f>
        <v>5.4.1</v>
      </c>
      <c r="F75" s="310" t="s">
        <v>11945</v>
      </c>
      <c r="G75" s="311" t="str">
        <f>IF($F75="","",IFERROR(VLOOKUP($F75,SERVIÇOS!$B:$G,2,0),IFERROR(VLOOKUP($F75,'COMPOSIÇÕES COMPLEMENTARES '!$D:$L,2,0),IFERROR(VLOOKUP($F75,INSUMOS!$A:$D,2,0),""))))</f>
        <v>LAJE PRÉ-FABRICADA MISTA VIGOTA TRELIÇADA/LAJOTA CERÂMICA - LT 12 (8+4) E CAPA COM CONCRET</v>
      </c>
      <c r="H75" s="312" t="str">
        <f>IF($F75="","",IFERROR(VLOOKUP($F75,SERVIÇOS!$B:$G,3,0),IFERROR(VLOOKUP($F75,'COMPOSIÇÕES COMPLEMENTARES '!$D:$L,3,0),IFERROR(VLOOKUP($F75,INSUMOS!$A:$D,3,0),""))))</f>
        <v>M2</v>
      </c>
      <c r="I75" s="313">
        <v>470.05499500000002</v>
      </c>
      <c r="J75" s="314">
        <f>IF($F75="","",IFERROR(VLOOKUP($F75,SERVIÇOS!$B:$G,4,0),IFERROR(VLOOKUP($F75,'COMPOSIÇÕES COMPLEMENTARES '!$D:$L,6,0),IFERROR(VLOOKUP($F75,INSUMOS!$A:$D,4,0),""))))</f>
        <v>112.65</v>
      </c>
      <c r="K75" s="314">
        <f>IF($F75="","",IFERROR(VLOOKUP($F75,SERVIÇOS!$B:$G,5,0),IFERROR(VLOOKUP($F75,'COMPOSIÇÕES COMPLEMENTARES '!$D:$L,7,0),0)))</f>
        <v>35.64</v>
      </c>
      <c r="L75" s="314">
        <f>IF(I75="","",J75+K75)</f>
        <v>148.29000000000002</v>
      </c>
      <c r="M75" s="314">
        <f>IF(I75="","",TRUNC((I75*J75),2))</f>
        <v>52951.69</v>
      </c>
      <c r="N75" s="314">
        <f>IF(I75="","",TRUNC((I75*K75),2))</f>
        <v>16752.759999999998</v>
      </c>
      <c r="O75" s="314">
        <f>IF(I75="","",TRUNC((M75+N75),2))</f>
        <v>69704.45</v>
      </c>
      <c r="P75" s="314"/>
      <c r="Q75" s="315"/>
      <c r="R75" s="315"/>
      <c r="S75" s="286"/>
      <c r="T75" s="287"/>
      <c r="U75" s="288" t="str">
        <f t="shared" si="38"/>
        <v/>
      </c>
      <c r="V75" s="287"/>
      <c r="W75" s="289" t="str">
        <f t="shared" si="39"/>
        <v/>
      </c>
      <c r="X75" s="287"/>
      <c r="Y75" s="290" t="str">
        <f t="shared" si="40"/>
        <v/>
      </c>
      <c r="Z75" s="291">
        <f ca="1">SUMIF($T$8:Y$1018,"QUANT.",T75:Y75)</f>
        <v>0</v>
      </c>
      <c r="AA75" s="292">
        <f t="shared" ca="1" si="41"/>
        <v>0</v>
      </c>
      <c r="AB75" s="293" t="str">
        <f t="shared" ca="1" si="42"/>
        <v>MEDIR</v>
      </c>
      <c r="AC75" s="294">
        <f t="shared" ca="1" si="43"/>
        <v>470.05499500000002</v>
      </c>
      <c r="AD75" s="294">
        <f t="shared" ca="1" si="44"/>
        <v>69704.45</v>
      </c>
      <c r="AE75" s="295"/>
      <c r="AF75" s="295"/>
      <c r="AG75" s="296"/>
      <c r="AH75" s="296"/>
      <c r="AI75" s="296"/>
      <c r="AJ75" s="295"/>
      <c r="AK75" s="295"/>
      <c r="AL75" s="295"/>
      <c r="AM75" s="295"/>
    </row>
    <row r="76" spans="1:39" x14ac:dyDescent="0.25">
      <c r="A76" s="232">
        <f t="shared" si="30"/>
        <v>76</v>
      </c>
      <c r="B76" s="232"/>
      <c r="C76" s="307" t="str">
        <f>+C75</f>
        <v>5.4</v>
      </c>
      <c r="D76" s="308">
        <f>1+D75</f>
        <v>2</v>
      </c>
      <c r="E76" s="309" t="str">
        <f>C76&amp;"."&amp;D76</f>
        <v>5.4.2</v>
      </c>
      <c r="F76" s="310" t="s">
        <v>11946</v>
      </c>
      <c r="G76" s="311" t="str">
        <f>IF($F76="","",IFERROR(VLOOKUP($F76,SERVIÇOS!$B:$G,2,0),IFERROR(VLOOKUP($F76,'COMPOSIÇÕES COMPLEMENTARES '!$D:$L,2,0),IFERROR(VLOOKUP($F76,INSUMOS!$A:$D,2,0),""))))</f>
        <v>LAJE PRÉ-FABRICADA MISTA VIGOTA TRELIÇADA/LAJOTA CERÂMICA - LT 16 (12+4) E CAPA COM CONCRET</v>
      </c>
      <c r="H76" s="312" t="str">
        <f>IF($F76="","",IFERROR(VLOOKUP($F76,SERVIÇOS!$B:$G,3,0),IFERROR(VLOOKUP($F76,'COMPOSIÇÕES COMPLEMENTARES '!$D:$L,3,0),IFERROR(VLOOKUP($F76,INSUMOS!$A:$D,3,0),""))))</f>
        <v>M2</v>
      </c>
      <c r="I76" s="313">
        <v>55.409399999999998</v>
      </c>
      <c r="J76" s="314">
        <f>IF($F76="","",IFERROR(VLOOKUP($F76,SERVIÇOS!$B:$G,4,0),IFERROR(VLOOKUP($F76,'COMPOSIÇÕES COMPLEMENTARES '!$D:$L,6,0),IFERROR(VLOOKUP($F76,INSUMOS!$A:$D,4,0),""))))</f>
        <v>113.57</v>
      </c>
      <c r="K76" s="314">
        <f>IF($F76="","",IFERROR(VLOOKUP($F76,SERVIÇOS!$B:$G,5,0),IFERROR(VLOOKUP($F76,'COMPOSIÇÕES COMPLEMENTARES '!$D:$L,7,0),0)))</f>
        <v>37.590000000000003</v>
      </c>
      <c r="L76" s="314">
        <f>IF(I76="","",J76+K76)</f>
        <v>151.16</v>
      </c>
      <c r="M76" s="314">
        <f>IF(I76="","",TRUNC((I76*J76),2))</f>
        <v>6292.84</v>
      </c>
      <c r="N76" s="314">
        <f>IF(I76="","",TRUNC((I76*K76),2))</f>
        <v>2082.83</v>
      </c>
      <c r="O76" s="314">
        <f>IF(I76="","",TRUNC((M76+N76),2))</f>
        <v>8375.67</v>
      </c>
      <c r="P76" s="314"/>
      <c r="Q76" s="315"/>
      <c r="R76" s="315"/>
      <c r="S76" s="286"/>
      <c r="T76" s="287"/>
      <c r="U76" s="288" t="str">
        <f t="shared" si="38"/>
        <v/>
      </c>
      <c r="V76" s="287"/>
      <c r="W76" s="289" t="str">
        <f t="shared" si="39"/>
        <v/>
      </c>
      <c r="X76" s="287"/>
      <c r="Y76" s="290" t="str">
        <f t="shared" si="40"/>
        <v/>
      </c>
      <c r="Z76" s="291">
        <f ca="1">SUMIF($T$8:Y$1018,"QUANT.",T76:Y76)</f>
        <v>0</v>
      </c>
      <c r="AA76" s="292">
        <f t="shared" ca="1" si="41"/>
        <v>0</v>
      </c>
      <c r="AB76" s="293" t="str">
        <f t="shared" ca="1" si="42"/>
        <v>MEDIR</v>
      </c>
      <c r="AC76" s="294">
        <f t="shared" ca="1" si="43"/>
        <v>55.409399999999998</v>
      </c>
      <c r="AD76" s="294">
        <f t="shared" ca="1" si="44"/>
        <v>8375.67</v>
      </c>
      <c r="AE76" s="295"/>
      <c r="AF76" s="295"/>
      <c r="AG76" s="296"/>
      <c r="AH76" s="296"/>
      <c r="AI76" s="296"/>
      <c r="AJ76" s="295"/>
      <c r="AK76" s="295"/>
      <c r="AL76" s="295"/>
      <c r="AM76" s="295"/>
    </row>
    <row r="77" spans="1:39" x14ac:dyDescent="0.25">
      <c r="A77" s="232">
        <f t="shared" si="30"/>
        <v>77</v>
      </c>
      <c r="B77" s="232"/>
      <c r="C77" s="307" t="str">
        <f>+C76</f>
        <v>5.4</v>
      </c>
      <c r="D77" s="308">
        <f>1+D76</f>
        <v>3</v>
      </c>
      <c r="E77" s="309" t="str">
        <f>C77&amp;"."&amp;D77</f>
        <v>5.4.3</v>
      </c>
      <c r="F77" s="310" t="s">
        <v>11947</v>
      </c>
      <c r="G77" s="311" t="str">
        <f>IF($F77="","",IFERROR(VLOOKUP($F77,SERVIÇOS!$B:$G,2,0),IFERROR(VLOOKUP($F77,'COMPOSIÇÕES COMPLEMENTARES '!$D:$L,2,0),IFERROR(VLOOKUP($F77,INSUMOS!$A:$D,2,0),""))))</f>
        <v>TELA SOLDADA DE AÇO TIPO Q-92</v>
      </c>
      <c r="H77" s="312" t="str">
        <f>IF($F77="","",IFERROR(VLOOKUP($F77,SERVIÇOS!$B:$G,3,0),IFERROR(VLOOKUP($F77,'COMPOSIÇÕES COMPLEMENTARES '!$D:$L,3,0),IFERROR(VLOOKUP($F77,INSUMOS!$A:$D,3,0),""))))</f>
        <v xml:space="preserve">KG    </v>
      </c>
      <c r="I77" s="313">
        <v>989</v>
      </c>
      <c r="J77" s="314">
        <f>IF($F77="","",IFERROR(VLOOKUP($F77,SERVIÇOS!$B:$G,4,0),IFERROR(VLOOKUP($F77,'COMPOSIÇÕES COMPLEMENTARES '!$D:$L,6,0),IFERROR(VLOOKUP($F77,INSUMOS!$A:$D,4,0),""))))</f>
        <v>11.05</v>
      </c>
      <c r="K77" s="314">
        <f>IF($F77="","",IFERROR(VLOOKUP($F77,SERVIÇOS!$B:$G,5,0),IFERROR(VLOOKUP($F77,'COMPOSIÇÕES COMPLEMENTARES '!$D:$L,7,0),0)))</f>
        <v>1.49</v>
      </c>
      <c r="L77" s="314">
        <f>IF(I77="","",J77+K77)</f>
        <v>12.540000000000001</v>
      </c>
      <c r="M77" s="314">
        <f>IF(I77="","",TRUNC((I77*J77),2))</f>
        <v>10928.45</v>
      </c>
      <c r="N77" s="314">
        <f>IF(I77="","",TRUNC((I77*K77),2))</f>
        <v>1473.61</v>
      </c>
      <c r="O77" s="314">
        <f>IF(I77="","",TRUNC((M77+N77),2))</f>
        <v>12402.06</v>
      </c>
      <c r="P77" s="314"/>
      <c r="Q77" s="315"/>
      <c r="R77" s="315"/>
      <c r="S77" s="286"/>
      <c r="T77" s="287"/>
      <c r="U77" s="288" t="str">
        <f t="shared" si="38"/>
        <v/>
      </c>
      <c r="V77" s="287"/>
      <c r="W77" s="289" t="str">
        <f t="shared" si="39"/>
        <v/>
      </c>
      <c r="X77" s="287"/>
      <c r="Y77" s="290" t="str">
        <f t="shared" si="40"/>
        <v/>
      </c>
      <c r="Z77" s="291">
        <f ca="1">SUMIF($T$8:Y$1018,"QUANT.",T77:Y77)</f>
        <v>0</v>
      </c>
      <c r="AA77" s="292">
        <f t="shared" ca="1" si="41"/>
        <v>0</v>
      </c>
      <c r="AB77" s="293" t="str">
        <f t="shared" ca="1" si="42"/>
        <v>MEDIR</v>
      </c>
      <c r="AC77" s="294">
        <f t="shared" ca="1" si="43"/>
        <v>989</v>
      </c>
      <c r="AD77" s="294">
        <f t="shared" ca="1" si="44"/>
        <v>12402.06</v>
      </c>
      <c r="AE77" s="295"/>
      <c r="AF77" s="295"/>
      <c r="AG77" s="296"/>
      <c r="AH77" s="296"/>
      <c r="AI77" s="296"/>
      <c r="AJ77" s="295"/>
      <c r="AK77" s="295"/>
      <c r="AL77" s="295"/>
      <c r="AM77" s="295"/>
    </row>
    <row r="78" spans="1:39" x14ac:dyDescent="0.25">
      <c r="A78" s="232">
        <f t="shared" si="30"/>
        <v>78</v>
      </c>
      <c r="B78" s="232"/>
      <c r="C78" s="316" t="str">
        <f>+E78</f>
        <v>5.5</v>
      </c>
      <c r="D78" s="297"/>
      <c r="E78" s="317" t="s">
        <v>11948</v>
      </c>
      <c r="F78" s="317"/>
      <c r="G78" s="318" t="s">
        <v>11949</v>
      </c>
      <c r="H78" s="317"/>
      <c r="I78" s="319"/>
      <c r="J78" s="317"/>
      <c r="K78" s="317"/>
      <c r="L78" s="317"/>
      <c r="M78" s="317"/>
      <c r="N78" s="317"/>
      <c r="O78" s="317"/>
      <c r="P78" s="321"/>
      <c r="Q78" s="285"/>
      <c r="R78" s="306"/>
      <c r="S78" s="286"/>
      <c r="T78" s="287"/>
      <c r="U78" s="288" t="str">
        <f t="shared" si="38"/>
        <v/>
      </c>
      <c r="V78" s="287"/>
      <c r="W78" s="289" t="str">
        <f t="shared" si="39"/>
        <v/>
      </c>
      <c r="X78" s="287"/>
      <c r="Y78" s="290" t="str">
        <f t="shared" si="40"/>
        <v/>
      </c>
      <c r="Z78" s="291">
        <f ca="1">SUMIF($T$8:Y$1018,"QUANT.",T78:Y78)</f>
        <v>0</v>
      </c>
      <c r="AA78" s="292">
        <f t="shared" ca="1" si="41"/>
        <v>0</v>
      </c>
      <c r="AB78" s="293" t="str">
        <f t="shared" si="42"/>
        <v/>
      </c>
      <c r="AC78" s="294">
        <f t="shared" ca="1" si="43"/>
        <v>0</v>
      </c>
      <c r="AD78" s="294">
        <f t="shared" ca="1" si="44"/>
        <v>0</v>
      </c>
      <c r="AE78" s="295"/>
      <c r="AF78" s="295"/>
      <c r="AG78" s="296"/>
      <c r="AH78" s="296"/>
      <c r="AI78" s="296"/>
      <c r="AJ78" s="295"/>
      <c r="AK78" s="295"/>
      <c r="AL78" s="295"/>
      <c r="AM78" s="295"/>
    </row>
    <row r="79" spans="1:39" x14ac:dyDescent="0.25">
      <c r="A79" s="232">
        <f t="shared" si="30"/>
        <v>79</v>
      </c>
      <c r="B79" s="232"/>
      <c r="C79" s="307" t="str">
        <f>+C78</f>
        <v>5.5</v>
      </c>
      <c r="D79" s="308">
        <f>1+D78</f>
        <v>1</v>
      </c>
      <c r="E79" s="309" t="str">
        <f>C79&amp;"."&amp;D79</f>
        <v>5.5.1</v>
      </c>
      <c r="F79" s="310" t="s">
        <v>11950</v>
      </c>
      <c r="G79" s="311" t="str">
        <f>IF($F79="","",IFERROR(VLOOKUP($F79,SERVIÇOS!$B:$G,2,0),IFERROR(VLOOKUP($F79,'COMPOSIÇÕES COMPLEMENTARES '!$D:$L,2,0),IFERROR(VLOOKUP($F79,INSUMOS!$A:$D,2,0),""))))</f>
        <v xml:space="preserve">VERGA MOLDADA IN LOCO EM CONCRETO, FCK 30MPA, ESPESSURA DE *15* CM, CONFORME DETALHE </v>
      </c>
      <c r="H79" s="312" t="str">
        <f>IF($F79="","",IFERROR(VLOOKUP($F79,SERVIÇOS!$B:$G,3,0),IFERROR(VLOOKUP($F79,'COMPOSIÇÕES COMPLEMENTARES '!$D:$L,3,0),IFERROR(VLOOKUP($F79,INSUMOS!$A:$D,3,0),""))))</f>
        <v>M</v>
      </c>
      <c r="I79" s="313">
        <v>113.03</v>
      </c>
      <c r="J79" s="314">
        <f>IF($F79="","",IFERROR(VLOOKUP($F79,SERVIÇOS!$B:$G,4,0),IFERROR(VLOOKUP($F79,'COMPOSIÇÕES COMPLEMENTARES '!$D:$L,6,0),IFERROR(VLOOKUP($F79,INSUMOS!$A:$D,4,0),""))))</f>
        <v>47.61</v>
      </c>
      <c r="K79" s="314">
        <f>IF($F79="","",IFERROR(VLOOKUP($F79,SERVIÇOS!$B:$G,5,0),IFERROR(VLOOKUP($F79,'COMPOSIÇÕES COMPLEMENTARES '!$D:$L,7,0),0)))</f>
        <v>25.12</v>
      </c>
      <c r="L79" s="314">
        <f>IF(I79="","",J79+K79)</f>
        <v>72.73</v>
      </c>
      <c r="M79" s="314">
        <f>IF(I79="","",TRUNC((I79*J79),2))</f>
        <v>5381.35</v>
      </c>
      <c r="N79" s="314">
        <f>IF(I79="","",TRUNC((I79*K79),2))</f>
        <v>2839.31</v>
      </c>
      <c r="O79" s="314">
        <f>IF(I79="","",TRUNC((M79+N79),2))</f>
        <v>8220.66</v>
      </c>
      <c r="P79" s="314"/>
      <c r="Q79" s="315"/>
      <c r="R79" s="315"/>
      <c r="S79" s="286"/>
      <c r="T79" s="287"/>
      <c r="U79" s="288" t="str">
        <f t="shared" si="38"/>
        <v/>
      </c>
      <c r="V79" s="287"/>
      <c r="W79" s="289" t="str">
        <f t="shared" si="39"/>
        <v/>
      </c>
      <c r="X79" s="287"/>
      <c r="Y79" s="290" t="str">
        <f t="shared" si="40"/>
        <v/>
      </c>
      <c r="Z79" s="291">
        <f ca="1">SUMIF($T$8:Y$1018,"QUANT.",T79:Y79)</f>
        <v>0</v>
      </c>
      <c r="AA79" s="292">
        <f t="shared" ca="1" si="41"/>
        <v>0</v>
      </c>
      <c r="AB79" s="293" t="str">
        <f t="shared" ca="1" si="42"/>
        <v>MEDIR</v>
      </c>
      <c r="AC79" s="294">
        <f t="shared" ca="1" si="43"/>
        <v>113.03</v>
      </c>
      <c r="AD79" s="294">
        <f t="shared" ca="1" si="44"/>
        <v>8220.66</v>
      </c>
      <c r="AE79" s="295"/>
      <c r="AF79" s="295"/>
      <c r="AG79" s="296"/>
      <c r="AH79" s="296"/>
      <c r="AI79" s="296"/>
      <c r="AJ79" s="295"/>
      <c r="AK79" s="295"/>
      <c r="AL79" s="295"/>
      <c r="AM79" s="295"/>
    </row>
    <row r="80" spans="1:39" x14ac:dyDescent="0.25">
      <c r="A80" s="232">
        <f t="shared" si="30"/>
        <v>80</v>
      </c>
      <c r="B80" s="232"/>
      <c r="C80" s="316" t="str">
        <f>+E80</f>
        <v>5.6</v>
      </c>
      <c r="D80" s="297"/>
      <c r="E80" s="317" t="s">
        <v>11951</v>
      </c>
      <c r="F80" s="317"/>
      <c r="G80" s="318" t="s">
        <v>11952</v>
      </c>
      <c r="H80" s="317"/>
      <c r="I80" s="319"/>
      <c r="J80" s="317"/>
      <c r="K80" s="317"/>
      <c r="L80" s="317"/>
      <c r="M80" s="317"/>
      <c r="N80" s="317"/>
      <c r="O80" s="317"/>
      <c r="P80" s="317"/>
      <c r="Q80" s="320"/>
      <c r="R80" s="306"/>
      <c r="S80" s="286"/>
      <c r="T80" s="287"/>
      <c r="U80" s="288" t="str">
        <f t="shared" si="38"/>
        <v/>
      </c>
      <c r="V80" s="287"/>
      <c r="W80" s="289" t="str">
        <f t="shared" si="39"/>
        <v/>
      </c>
      <c r="X80" s="287"/>
      <c r="Y80" s="290" t="str">
        <f t="shared" si="40"/>
        <v/>
      </c>
      <c r="Z80" s="291">
        <f ca="1">SUMIF($T$8:Y$1018,"QUANT.",T80:Y80)</f>
        <v>0</v>
      </c>
      <c r="AA80" s="292">
        <f t="shared" ca="1" si="41"/>
        <v>0</v>
      </c>
      <c r="AB80" s="293" t="str">
        <f t="shared" si="42"/>
        <v/>
      </c>
      <c r="AC80" s="294">
        <f t="shared" ca="1" si="43"/>
        <v>0</v>
      </c>
      <c r="AD80" s="294">
        <f t="shared" ca="1" si="44"/>
        <v>0</v>
      </c>
      <c r="AE80" s="295"/>
      <c r="AF80" s="295"/>
      <c r="AG80" s="296"/>
      <c r="AH80" s="296"/>
      <c r="AI80" s="296"/>
      <c r="AJ80" s="295"/>
      <c r="AK80" s="295"/>
      <c r="AL80" s="295"/>
      <c r="AM80" s="295"/>
    </row>
    <row r="81" spans="1:39" ht="25.5" x14ac:dyDescent="0.25">
      <c r="A81" s="232">
        <f t="shared" si="30"/>
        <v>81</v>
      </c>
      <c r="B81" s="232"/>
      <c r="C81" s="307" t="str">
        <f>+C80</f>
        <v>5.6</v>
      </c>
      <c r="D81" s="308">
        <f>1+D80</f>
        <v>1</v>
      </c>
      <c r="E81" s="309" t="str">
        <f>C81&amp;"."&amp;D81</f>
        <v>5.6.1</v>
      </c>
      <c r="F81" s="310">
        <v>105033</v>
      </c>
      <c r="G81" s="311" t="str">
        <f>IF($F81="","",IFERROR(VLOOKUP($F81,SERVIÇOS!$B:$G,2,0),IFERROR(VLOOKUP($F81,'COMPOSIÇÕES COMPLEMENTARES '!$D:$L,2,0),IFERROR(VLOOKUP($F81,INSUMOS!$A:$D,2,0),""))))</f>
        <v>CINTA DE AMARRAÇÃO DE ALVENARIA MOLDADA IN LOCO COM UTILIZAÇÃO DE BLOCOS CANALETA, ESPESSURA DE *15* CM. AF_03/2024</v>
      </c>
      <c r="H81" s="312" t="str">
        <f>IF($F81="","",IFERROR(VLOOKUP($F81,SERVIÇOS!$B:$G,3,0),IFERROR(VLOOKUP($F81,'COMPOSIÇÕES COMPLEMENTARES '!$D:$L,3,0),IFERROR(VLOOKUP($F81,INSUMOS!$A:$D,3,0),""))))</f>
        <v>M</v>
      </c>
      <c r="I81" s="313">
        <v>105.5</v>
      </c>
      <c r="J81" s="314">
        <f>IF($F81="","",IFERROR(VLOOKUP($F81,SERVIÇOS!$B:$G,4,0),IFERROR(VLOOKUP($F81,'COMPOSIÇÕES COMPLEMENTARES '!$D:$L,6,0),IFERROR(VLOOKUP($F81,INSUMOS!$A:$D,4,0),""))))</f>
        <v>40.35</v>
      </c>
      <c r="K81" s="314">
        <f>IF($F81="","",IFERROR(VLOOKUP($F81,SERVIÇOS!$B:$G,5,0),IFERROR(VLOOKUP($F81,'COMPOSIÇÕES COMPLEMENTARES '!$D:$L,7,0),0)))</f>
        <v>18.04</v>
      </c>
      <c r="L81" s="314">
        <f>IF(I81="","",J81+K81)</f>
        <v>58.39</v>
      </c>
      <c r="M81" s="314">
        <f>IF(I81="","",TRUNC((I81*J81),2))</f>
        <v>4256.92</v>
      </c>
      <c r="N81" s="314">
        <f>IF(I81="","",TRUNC((I81*K81),2))</f>
        <v>1903.22</v>
      </c>
      <c r="O81" s="314">
        <f>IF(I81="","",TRUNC((M81+N81),2))</f>
        <v>6160.14</v>
      </c>
      <c r="P81" s="314"/>
      <c r="Q81" s="315"/>
      <c r="R81" s="315"/>
      <c r="S81" s="286"/>
      <c r="T81" s="287"/>
      <c r="U81" s="288" t="str">
        <f t="shared" si="38"/>
        <v/>
      </c>
      <c r="V81" s="287"/>
      <c r="W81" s="289" t="str">
        <f t="shared" si="39"/>
        <v/>
      </c>
      <c r="X81" s="287"/>
      <c r="Y81" s="290" t="str">
        <f t="shared" si="40"/>
        <v/>
      </c>
      <c r="Z81" s="291">
        <f ca="1">SUMIF($T$8:Y$1018,"QUANT.",T81:Y81)</f>
        <v>0</v>
      </c>
      <c r="AA81" s="292">
        <f t="shared" ca="1" si="41"/>
        <v>0</v>
      </c>
      <c r="AB81" s="293" t="str">
        <f t="shared" ca="1" si="42"/>
        <v>MEDIR</v>
      </c>
      <c r="AC81" s="294">
        <f t="shared" ca="1" si="43"/>
        <v>105.5</v>
      </c>
      <c r="AD81" s="294">
        <f t="shared" ca="1" si="44"/>
        <v>6160.14</v>
      </c>
      <c r="AE81" s="295"/>
      <c r="AF81" s="295"/>
      <c r="AG81" s="296"/>
      <c r="AH81" s="296"/>
      <c r="AI81" s="296"/>
      <c r="AJ81" s="295"/>
      <c r="AK81" s="295"/>
      <c r="AL81" s="295"/>
      <c r="AM81" s="295"/>
    </row>
    <row r="82" spans="1:39" x14ac:dyDescent="0.25">
      <c r="A82" s="232">
        <f t="shared" si="30"/>
        <v>82</v>
      </c>
      <c r="B82" s="232"/>
      <c r="C82" s="316" t="str">
        <f>+E82</f>
        <v>5.7</v>
      </c>
      <c r="D82" s="297"/>
      <c r="E82" s="317" t="s">
        <v>11953</v>
      </c>
      <c r="F82" s="317"/>
      <c r="G82" s="318" t="s">
        <v>11954</v>
      </c>
      <c r="H82" s="317"/>
      <c r="I82" s="319"/>
      <c r="J82" s="317"/>
      <c r="K82" s="317"/>
      <c r="L82" s="317"/>
      <c r="M82" s="317"/>
      <c r="N82" s="317"/>
      <c r="O82" s="317"/>
      <c r="P82" s="317"/>
      <c r="Q82" s="320"/>
      <c r="R82" s="306"/>
      <c r="S82" s="286"/>
      <c r="T82" s="287"/>
      <c r="U82" s="288" t="str">
        <f t="shared" si="38"/>
        <v/>
      </c>
      <c r="V82" s="287"/>
      <c r="W82" s="289" t="str">
        <f t="shared" si="39"/>
        <v/>
      </c>
      <c r="X82" s="287"/>
      <c r="Y82" s="290" t="str">
        <f t="shared" si="40"/>
        <v/>
      </c>
      <c r="Z82" s="291">
        <f ca="1">SUMIF($T$8:Y$1018,"QUANT.",T82:Y82)</f>
        <v>0</v>
      </c>
      <c r="AA82" s="292">
        <f t="shared" ca="1" si="41"/>
        <v>0</v>
      </c>
      <c r="AB82" s="293" t="str">
        <f t="shared" si="42"/>
        <v/>
      </c>
      <c r="AC82" s="294">
        <f t="shared" ca="1" si="43"/>
        <v>0</v>
      </c>
      <c r="AD82" s="294">
        <f t="shared" ca="1" si="44"/>
        <v>0</v>
      </c>
      <c r="AE82" s="295"/>
      <c r="AF82" s="295"/>
      <c r="AG82" s="296"/>
      <c r="AH82" s="296"/>
      <c r="AI82" s="296"/>
      <c r="AJ82" s="295"/>
      <c r="AK82" s="295"/>
      <c r="AL82" s="295"/>
      <c r="AM82" s="295"/>
    </row>
    <row r="83" spans="1:39" x14ac:dyDescent="0.25">
      <c r="A83" s="232">
        <f t="shared" si="30"/>
        <v>83</v>
      </c>
      <c r="B83" s="232"/>
      <c r="C83" s="307" t="str">
        <f>+C82</f>
        <v>5.7</v>
      </c>
      <c r="D83" s="308">
        <f>1+D82</f>
        <v>1</v>
      </c>
      <c r="E83" s="309" t="str">
        <f>C83&amp;"."&amp;D83</f>
        <v>5.7.1</v>
      </c>
      <c r="F83" s="310" t="s">
        <v>11955</v>
      </c>
      <c r="G83" s="311" t="str">
        <f>IF($F83="","",IFERROR(VLOOKUP($F83,SERVIÇOS!$B:$G,2,0),IFERROR(VLOOKUP($F83,'COMPOSIÇÕES COMPLEMENTARES '!$D:$L,2,0),IFERROR(VLOOKUP($F83,INSUMOS!$A:$D,2,0),""))))</f>
        <v>TIRANTE PARA VERGA PARA VÃOS &gt;2,10M, ESPESSURA DE *15CM*</v>
      </c>
      <c r="H83" s="312" t="str">
        <f>IF($F83="","",IFERROR(VLOOKUP($F83,SERVIÇOS!$B:$G,3,0),IFERROR(VLOOKUP($F83,'COMPOSIÇÕES COMPLEMENTARES '!$D:$L,3,0),IFERROR(VLOOKUP($F83,INSUMOS!$A:$D,3,0),""))))</f>
        <v>M</v>
      </c>
      <c r="I83" s="313">
        <f>29*1.29</f>
        <v>37.410000000000004</v>
      </c>
      <c r="J83" s="314">
        <f>IF($F83="","",IFERROR(VLOOKUP($F83,SERVIÇOS!$B:$G,4,0),IFERROR(VLOOKUP($F83,'COMPOSIÇÕES COMPLEMENTARES '!$D:$L,6,0),IFERROR(VLOOKUP($F83,INSUMOS!$A:$D,4,0),""))))</f>
        <v>142.01</v>
      </c>
      <c r="K83" s="314">
        <f>IF($F83="","",IFERROR(VLOOKUP($F83,SERVIÇOS!$B:$G,5,0),IFERROR(VLOOKUP($F83,'COMPOSIÇÕES COMPLEMENTARES '!$D:$L,7,0),0)))</f>
        <v>43.9</v>
      </c>
      <c r="L83" s="314">
        <f>IF(I83="","",J83+K83)</f>
        <v>185.91</v>
      </c>
      <c r="M83" s="314">
        <f>IF(I83="","",TRUNC((I83*J83),2))</f>
        <v>5312.59</v>
      </c>
      <c r="N83" s="314">
        <f>IF(I83="","",TRUNC((I83*K83),2))</f>
        <v>1642.29</v>
      </c>
      <c r="O83" s="314">
        <f>IF(I83="","",TRUNC((M83+N83),2))</f>
        <v>6954.88</v>
      </c>
      <c r="P83" s="314"/>
      <c r="Q83" s="315"/>
      <c r="R83" s="315"/>
      <c r="S83" s="286"/>
      <c r="T83" s="287"/>
      <c r="U83" s="288" t="str">
        <f t="shared" si="38"/>
        <v/>
      </c>
      <c r="V83" s="287"/>
      <c r="W83" s="289" t="str">
        <f t="shared" si="39"/>
        <v/>
      </c>
      <c r="X83" s="287"/>
      <c r="Y83" s="290" t="str">
        <f t="shared" si="40"/>
        <v/>
      </c>
      <c r="Z83" s="291">
        <f ca="1">SUMIF($T$8:Y$1018,"QUANT.",T83:Y83)</f>
        <v>0</v>
      </c>
      <c r="AA83" s="292">
        <f t="shared" ca="1" si="41"/>
        <v>0</v>
      </c>
      <c r="AB83" s="293" t="str">
        <f t="shared" ca="1" si="42"/>
        <v>MEDIR</v>
      </c>
      <c r="AC83" s="294">
        <f t="shared" ca="1" si="43"/>
        <v>37.410000000000004</v>
      </c>
      <c r="AD83" s="294">
        <f t="shared" ca="1" si="44"/>
        <v>6954.88</v>
      </c>
      <c r="AE83" s="295"/>
      <c r="AF83" s="295"/>
      <c r="AG83" s="296"/>
      <c r="AH83" s="296"/>
      <c r="AI83" s="296"/>
      <c r="AJ83" s="295"/>
      <c r="AK83" s="295"/>
      <c r="AL83" s="295"/>
      <c r="AM83" s="295"/>
    </row>
    <row r="84" spans="1:39" x14ac:dyDescent="0.25">
      <c r="A84" s="232">
        <f t="shared" si="30"/>
        <v>84</v>
      </c>
      <c r="B84" s="232"/>
      <c r="C84" s="281">
        <f>+E84</f>
        <v>6</v>
      </c>
      <c r="D84" s="297"/>
      <c r="E84" s="298">
        <v>6</v>
      </c>
      <c r="F84" s="322"/>
      <c r="G84" s="299" t="s">
        <v>11956</v>
      </c>
      <c r="H84" s="300"/>
      <c r="I84" s="323"/>
      <c r="J84" s="302"/>
      <c r="K84" s="303"/>
      <c r="L84" s="303"/>
      <c r="M84" s="304">
        <f>TRUNC(SUMIF(M85:M100,"&gt;0",M85:M100),2)</f>
        <v>247317.62</v>
      </c>
      <c r="N84" s="304">
        <f>TRUNC(SUMIF(N85:N100,"&gt;0",N85:N100),2)</f>
        <v>42380.72</v>
      </c>
      <c r="O84" s="305"/>
      <c r="P84" s="304">
        <f>SUMIF(O85:O100,"&gt;0",O85:O100)</f>
        <v>289698.34000000003</v>
      </c>
      <c r="Q84" s="306"/>
      <c r="R84" s="306"/>
      <c r="S84" s="286"/>
      <c r="T84" s="287"/>
      <c r="U84" s="288" t="str">
        <f t="shared" si="38"/>
        <v/>
      </c>
      <c r="V84" s="287"/>
      <c r="W84" s="289" t="str">
        <f t="shared" si="39"/>
        <v/>
      </c>
      <c r="X84" s="287"/>
      <c r="Y84" s="290" t="str">
        <f t="shared" si="40"/>
        <v/>
      </c>
      <c r="Z84" s="291">
        <f ca="1">SUMIF($T$8:Y$1018,"QUANT.",T84:Y84)</f>
        <v>0</v>
      </c>
      <c r="AA84" s="292">
        <f t="shared" ca="1" si="41"/>
        <v>0</v>
      </c>
      <c r="AB84" s="293" t="str">
        <f t="shared" si="42"/>
        <v/>
      </c>
      <c r="AC84" s="294">
        <f t="shared" ca="1" si="43"/>
        <v>0</v>
      </c>
      <c r="AD84" s="294">
        <f t="shared" ca="1" si="44"/>
        <v>0</v>
      </c>
      <c r="AE84" s="295"/>
      <c r="AF84" s="295"/>
      <c r="AG84" s="296"/>
      <c r="AH84" s="296"/>
      <c r="AI84" s="296"/>
      <c r="AJ84" s="295"/>
      <c r="AK84" s="295"/>
      <c r="AL84" s="295"/>
      <c r="AM84" s="295"/>
    </row>
    <row r="85" spans="1:39" x14ac:dyDescent="0.25">
      <c r="A85" s="232">
        <f t="shared" si="30"/>
        <v>85</v>
      </c>
      <c r="B85" s="232"/>
      <c r="C85" s="316" t="str">
        <f>+E85</f>
        <v>6.1</v>
      </c>
      <c r="D85" s="297"/>
      <c r="E85" s="317" t="s">
        <v>522</v>
      </c>
      <c r="F85" s="317"/>
      <c r="G85" s="318" t="s">
        <v>11957</v>
      </c>
      <c r="H85" s="317"/>
      <c r="I85" s="319"/>
      <c r="J85" s="317"/>
      <c r="K85" s="317"/>
      <c r="L85" s="317"/>
      <c r="M85" s="317"/>
      <c r="N85" s="317"/>
      <c r="O85" s="317"/>
      <c r="P85" s="317"/>
      <c r="Q85" s="320"/>
      <c r="R85" s="306"/>
      <c r="S85" s="286"/>
      <c r="T85" s="287"/>
      <c r="U85" s="288" t="str">
        <f t="shared" si="38"/>
        <v/>
      </c>
      <c r="V85" s="287"/>
      <c r="W85" s="289" t="str">
        <f t="shared" si="39"/>
        <v/>
      </c>
      <c r="X85" s="287"/>
      <c r="Y85" s="290" t="str">
        <f t="shared" si="40"/>
        <v/>
      </c>
      <c r="Z85" s="291">
        <f ca="1">SUMIF($T$8:Y$1018,"QUANT.",T85:Y85)</f>
        <v>0</v>
      </c>
      <c r="AA85" s="292">
        <f t="shared" ca="1" si="41"/>
        <v>0</v>
      </c>
      <c r="AB85" s="293" t="str">
        <f t="shared" si="42"/>
        <v/>
      </c>
      <c r="AC85" s="294">
        <f t="shared" ca="1" si="43"/>
        <v>0</v>
      </c>
      <c r="AD85" s="294">
        <f t="shared" ca="1" si="44"/>
        <v>0</v>
      </c>
      <c r="AE85" s="295"/>
      <c r="AF85" s="295"/>
      <c r="AG85" s="296"/>
      <c r="AH85" s="296"/>
      <c r="AI85" s="296"/>
      <c r="AJ85" s="295"/>
      <c r="AK85" s="296"/>
      <c r="AL85" s="296"/>
      <c r="AM85" s="296"/>
    </row>
    <row r="86" spans="1:39" ht="25.5" x14ac:dyDescent="0.25">
      <c r="A86" s="232">
        <f t="shared" si="30"/>
        <v>86</v>
      </c>
      <c r="B86" s="232"/>
      <c r="C86" s="307" t="str">
        <f t="shared" ref="C86:C91" si="45">+C85</f>
        <v>6.1</v>
      </c>
      <c r="D86" s="308">
        <f t="shared" ref="D86:D91" si="46">1+D85</f>
        <v>1</v>
      </c>
      <c r="E86" s="309" t="str">
        <f t="shared" ref="E86:E91" si="47">C86&amp;"."&amp;D86</f>
        <v>6.1.1</v>
      </c>
      <c r="F86" s="310">
        <v>103324</v>
      </c>
      <c r="G86" s="311" t="str">
        <f>IF($F86="","",IFERROR(VLOOKUP($F86,SERVIÇOS!$B:$G,2,0),IFERROR(VLOOKUP($F86,'COMPOSIÇÕES COMPLEMENTARES '!$D:$L,2,0),IFERROR(VLOOKUP($F86,INSUMOS!$A:$D,2,0),""))))</f>
        <v>ALVENARIA DE VEDAÇÃO DE BLOCOS CERÂMICOS FURADOS NA VERTICAL DE 14X19X39 CM (ESPESSURA 14 CM) E ARGAMASSA DE ASSENTAMENTO COM PREPARO EM BETONEIRA. AF_12/2021</v>
      </c>
      <c r="H86" s="312" t="str">
        <f>IF($F86="","",IFERROR(VLOOKUP($F86,SERVIÇOS!$B:$G,3,0),IFERROR(VLOOKUP($F86,'COMPOSIÇÕES COMPLEMENTARES '!$D:$L,3,0),IFERROR(VLOOKUP($F86,INSUMOS!$A:$D,3,0),""))))</f>
        <v>M2</v>
      </c>
      <c r="I86" s="313">
        <v>19.399999999999999</v>
      </c>
      <c r="J86" s="314">
        <f>IF($F86="","",IFERROR(VLOOKUP($F86,SERVIÇOS!$B:$G,4,0),IFERROR(VLOOKUP($F86,'COMPOSIÇÕES COMPLEMENTARES '!$D:$L,6,0),IFERROR(VLOOKUP($F86,INSUMOS!$A:$D,4,0),""))))</f>
        <v>53.33</v>
      </c>
      <c r="K86" s="314">
        <f>IF($F86="","",IFERROR(VLOOKUP($F86,SERVIÇOS!$B:$G,5,0),IFERROR(VLOOKUP($F86,'COMPOSIÇÕES COMPLEMENTARES '!$D:$L,7,0),0)))</f>
        <v>33.47</v>
      </c>
      <c r="L86" s="314">
        <f t="shared" ref="L86:L91" si="48">IF(I86="","",J86+K86)</f>
        <v>86.8</v>
      </c>
      <c r="M86" s="314">
        <f t="shared" ref="M86:M91" si="49">IF(I86="","",TRUNC((I86*J86),2))</f>
        <v>1034.5999999999999</v>
      </c>
      <c r="N86" s="314">
        <f t="shared" ref="N86:N91" si="50">IF(I86="","",TRUNC((I86*K86),2))</f>
        <v>649.30999999999995</v>
      </c>
      <c r="O86" s="314">
        <f t="shared" ref="O86:O91" si="51">IF(I86="","",TRUNC((M86+N86),2))</f>
        <v>1683.91</v>
      </c>
      <c r="P86" s="314"/>
      <c r="Q86" s="315"/>
      <c r="R86" s="315"/>
      <c r="S86" s="286"/>
      <c r="T86" s="287"/>
      <c r="U86" s="288" t="str">
        <f t="shared" si="38"/>
        <v/>
      </c>
      <c r="V86" s="287"/>
      <c r="W86" s="289" t="str">
        <f t="shared" si="39"/>
        <v/>
      </c>
      <c r="X86" s="287"/>
      <c r="Y86" s="290" t="str">
        <f t="shared" si="40"/>
        <v/>
      </c>
      <c r="Z86" s="291">
        <f ca="1">SUMIF($T$8:Y$1018,"QUANT.",T86:Y86)</f>
        <v>0</v>
      </c>
      <c r="AA86" s="292">
        <f t="shared" ca="1" si="41"/>
        <v>0</v>
      </c>
      <c r="AB86" s="293" t="str">
        <f t="shared" ca="1" si="42"/>
        <v>MEDIR</v>
      </c>
      <c r="AC86" s="294">
        <f t="shared" ca="1" si="43"/>
        <v>19.399999999999999</v>
      </c>
      <c r="AD86" s="294">
        <f t="shared" ca="1" si="44"/>
        <v>1683.91</v>
      </c>
      <c r="AE86" s="295"/>
      <c r="AF86" s="295"/>
      <c r="AG86" s="296"/>
      <c r="AH86" s="296"/>
      <c r="AI86" s="296"/>
      <c r="AJ86" s="295"/>
      <c r="AK86" s="295"/>
      <c r="AL86" s="295"/>
      <c r="AM86" s="295"/>
    </row>
    <row r="87" spans="1:39" ht="25.5" x14ac:dyDescent="0.25">
      <c r="A87" s="232">
        <f t="shared" si="30"/>
        <v>87</v>
      </c>
      <c r="B87" s="232"/>
      <c r="C87" s="307" t="str">
        <f t="shared" si="45"/>
        <v>6.1</v>
      </c>
      <c r="D87" s="308">
        <f t="shared" si="46"/>
        <v>2</v>
      </c>
      <c r="E87" s="309" t="str">
        <f t="shared" si="47"/>
        <v>6.1.2</v>
      </c>
      <c r="F87" s="310">
        <v>103324</v>
      </c>
      <c r="G87" s="311" t="str">
        <f>IF($F87="","",IFERROR(VLOOKUP($F87,SERVIÇOS!$B:$G,2,0),IFERROR(VLOOKUP($F87,'COMPOSIÇÕES COMPLEMENTARES '!$D:$L,2,0),IFERROR(VLOOKUP($F87,INSUMOS!$A:$D,2,0),""))))</f>
        <v>ALVENARIA DE VEDAÇÃO DE BLOCOS CERÂMICOS FURADOS NA VERTICAL DE 14X19X39 CM (ESPESSURA 14 CM) E ARGAMASSA DE ASSENTAMENTO COM PREPARO EM BETONEIRA. AF_12/2021</v>
      </c>
      <c r="H87" s="312" t="str">
        <f>IF($F87="","",IFERROR(VLOOKUP($F87,SERVIÇOS!$B:$G,3,0),IFERROR(VLOOKUP($F87,'COMPOSIÇÕES COMPLEMENTARES '!$D:$L,3,0),IFERROR(VLOOKUP($F87,INSUMOS!$A:$D,3,0),""))))</f>
        <v>M2</v>
      </c>
      <c r="I87" s="313">
        <v>451.19</v>
      </c>
      <c r="J87" s="314">
        <f>IF($F87="","",IFERROR(VLOOKUP($F87,SERVIÇOS!$B:$G,4,0),IFERROR(VLOOKUP($F87,'COMPOSIÇÕES COMPLEMENTARES '!$D:$L,6,0),IFERROR(VLOOKUP($F87,INSUMOS!$A:$D,4,0),""))))</f>
        <v>53.33</v>
      </c>
      <c r="K87" s="314">
        <f>IF($F87="","",IFERROR(VLOOKUP($F87,SERVIÇOS!$B:$G,5,0),IFERROR(VLOOKUP($F87,'COMPOSIÇÕES COMPLEMENTARES '!$D:$L,7,0),0)))</f>
        <v>33.47</v>
      </c>
      <c r="L87" s="314">
        <f t="shared" si="48"/>
        <v>86.8</v>
      </c>
      <c r="M87" s="314">
        <f t="shared" si="49"/>
        <v>24061.96</v>
      </c>
      <c r="N87" s="314">
        <f t="shared" si="50"/>
        <v>15101.32</v>
      </c>
      <c r="O87" s="314">
        <f t="shared" si="51"/>
        <v>39163.279999999999</v>
      </c>
      <c r="P87" s="314"/>
      <c r="Q87" s="315"/>
      <c r="R87" s="315"/>
      <c r="S87" s="286"/>
      <c r="T87" s="287"/>
      <c r="U87" s="288" t="str">
        <f t="shared" si="38"/>
        <v/>
      </c>
      <c r="V87" s="287"/>
      <c r="W87" s="289" t="str">
        <f t="shared" si="39"/>
        <v/>
      </c>
      <c r="X87" s="287"/>
      <c r="Y87" s="290" t="str">
        <f t="shared" si="40"/>
        <v/>
      </c>
      <c r="Z87" s="291">
        <f ca="1">SUMIF($T$8:Y$1018,"QUANT.",T87:Y87)</f>
        <v>0</v>
      </c>
      <c r="AA87" s="292">
        <f t="shared" ca="1" si="41"/>
        <v>0</v>
      </c>
      <c r="AB87" s="293" t="str">
        <f t="shared" ca="1" si="42"/>
        <v>MEDIR</v>
      </c>
      <c r="AC87" s="294">
        <f t="shared" ca="1" si="43"/>
        <v>451.19</v>
      </c>
      <c r="AD87" s="294">
        <f t="shared" ca="1" si="44"/>
        <v>39163.279999999999</v>
      </c>
      <c r="AE87" s="295"/>
      <c r="AF87" s="295"/>
      <c r="AG87" s="296"/>
      <c r="AH87" s="296"/>
      <c r="AI87" s="296"/>
      <c r="AJ87" s="296"/>
      <c r="AK87" s="295"/>
      <c r="AL87" s="295"/>
      <c r="AM87" s="295"/>
    </row>
    <row r="88" spans="1:39" ht="25.5" x14ac:dyDescent="0.25">
      <c r="A88" s="232">
        <f t="shared" si="30"/>
        <v>88</v>
      </c>
      <c r="B88" s="232"/>
      <c r="C88" s="307" t="str">
        <f t="shared" si="45"/>
        <v>6.1</v>
      </c>
      <c r="D88" s="308">
        <f t="shared" si="46"/>
        <v>3</v>
      </c>
      <c r="E88" s="309" t="str">
        <f t="shared" si="47"/>
        <v>6.1.3</v>
      </c>
      <c r="F88" s="310">
        <v>103324</v>
      </c>
      <c r="G88" s="311" t="str">
        <f>IF($F88="","",IFERROR(VLOOKUP($F88,SERVIÇOS!$B:$G,2,0),IFERROR(VLOOKUP($F88,'COMPOSIÇÕES COMPLEMENTARES '!$D:$L,2,0),IFERROR(VLOOKUP($F88,INSUMOS!$A:$D,2,0),""))))</f>
        <v>ALVENARIA DE VEDAÇÃO DE BLOCOS CERÂMICOS FURADOS NA VERTICAL DE 14X19X39 CM (ESPESSURA 14 CM) E ARGAMASSA DE ASSENTAMENTO COM PREPARO EM BETONEIRA. AF_12/2021</v>
      </c>
      <c r="H88" s="312" t="str">
        <f>IF($F88="","",IFERROR(VLOOKUP($F88,SERVIÇOS!$B:$G,3,0),IFERROR(VLOOKUP($F88,'COMPOSIÇÕES COMPLEMENTARES '!$D:$L,3,0),IFERROR(VLOOKUP($F88,INSUMOS!$A:$D,3,0),""))))</f>
        <v>M2</v>
      </c>
      <c r="I88" s="313">
        <v>484</v>
      </c>
      <c r="J88" s="314">
        <f>IF($F88="","",IFERROR(VLOOKUP($F88,SERVIÇOS!$B:$G,4,0),IFERROR(VLOOKUP($F88,'COMPOSIÇÕES COMPLEMENTARES '!$D:$L,6,0),IFERROR(VLOOKUP($F88,INSUMOS!$A:$D,4,0),""))))</f>
        <v>53.33</v>
      </c>
      <c r="K88" s="314">
        <f>IF($F88="","",IFERROR(VLOOKUP($F88,SERVIÇOS!$B:$G,5,0),IFERROR(VLOOKUP($F88,'COMPOSIÇÕES COMPLEMENTARES '!$D:$L,7,0),0)))</f>
        <v>33.47</v>
      </c>
      <c r="L88" s="314">
        <f t="shared" si="48"/>
        <v>86.8</v>
      </c>
      <c r="M88" s="314">
        <f t="shared" si="49"/>
        <v>25811.72</v>
      </c>
      <c r="N88" s="314">
        <f t="shared" si="50"/>
        <v>16199.48</v>
      </c>
      <c r="O88" s="314">
        <f t="shared" si="51"/>
        <v>42011.199999999997</v>
      </c>
      <c r="P88" s="314"/>
      <c r="Q88" s="315"/>
      <c r="R88" s="315"/>
      <c r="S88" s="286"/>
      <c r="T88" s="287"/>
      <c r="U88" s="288" t="str">
        <f t="shared" si="38"/>
        <v/>
      </c>
      <c r="V88" s="287"/>
      <c r="W88" s="289" t="str">
        <f t="shared" si="39"/>
        <v/>
      </c>
      <c r="X88" s="287"/>
      <c r="Y88" s="290" t="str">
        <f t="shared" si="40"/>
        <v/>
      </c>
      <c r="Z88" s="291">
        <f ca="1">SUMIF($T$8:Y$1018,"QUANT.",T88:Y88)</f>
        <v>0</v>
      </c>
      <c r="AA88" s="292">
        <f t="shared" ca="1" si="41"/>
        <v>0</v>
      </c>
      <c r="AB88" s="293" t="str">
        <f t="shared" ca="1" si="42"/>
        <v>MEDIR</v>
      </c>
      <c r="AC88" s="294">
        <f t="shared" ca="1" si="43"/>
        <v>484</v>
      </c>
      <c r="AD88" s="294">
        <f t="shared" ca="1" si="44"/>
        <v>42011.199999999997</v>
      </c>
      <c r="AE88" s="295"/>
      <c r="AF88" s="295"/>
      <c r="AG88" s="296"/>
      <c r="AH88" s="296"/>
      <c r="AI88" s="296"/>
      <c r="AJ88" s="295"/>
      <c r="AK88" s="295"/>
      <c r="AL88" s="295"/>
      <c r="AM88" s="295"/>
    </row>
    <row r="89" spans="1:39" ht="25.5" x14ac:dyDescent="0.25">
      <c r="A89" s="232">
        <f t="shared" si="30"/>
        <v>89</v>
      </c>
      <c r="B89" s="232"/>
      <c r="C89" s="307" t="str">
        <f t="shared" si="45"/>
        <v>6.1</v>
      </c>
      <c r="D89" s="308">
        <f t="shared" si="46"/>
        <v>4</v>
      </c>
      <c r="E89" s="309" t="str">
        <f t="shared" si="47"/>
        <v>6.1.4</v>
      </c>
      <c r="F89" s="310">
        <v>103322</v>
      </c>
      <c r="G89" s="311" t="str">
        <f>IF($F89="","",IFERROR(VLOOKUP($F89,SERVIÇOS!$B:$G,2,0),IFERROR(VLOOKUP($F89,'COMPOSIÇÕES COMPLEMENTARES '!$D:$L,2,0),IFERROR(VLOOKUP($F89,INSUMOS!$A:$D,2,0),""))))</f>
        <v>ALVENARIA DE VEDAÇÃO DE BLOCOS CERÂMICOS FURADOS NA VERTICAL DE 9X19X39 CM (ESPESSURA 9 CM) E ARGAMASSA DE ASSENTAMENTO COM PREPARO EM BETONEIRA. AF_12/2021</v>
      </c>
      <c r="H89" s="312" t="str">
        <f>IF($F89="","",IFERROR(VLOOKUP($F89,SERVIÇOS!$B:$G,3,0),IFERROR(VLOOKUP($F89,'COMPOSIÇÕES COMPLEMENTARES '!$D:$L,3,0),IFERROR(VLOOKUP($F89,INSUMOS!$A:$D,3,0),""))))</f>
        <v>M2</v>
      </c>
      <c r="I89" s="313">
        <v>10.32</v>
      </c>
      <c r="J89" s="314">
        <f>IF($F89="","",IFERROR(VLOOKUP($F89,SERVIÇOS!$B:$G,4,0),IFERROR(VLOOKUP($F89,'COMPOSIÇÕES COMPLEMENTARES '!$D:$L,6,0),IFERROR(VLOOKUP($F89,INSUMOS!$A:$D,4,0),""))))</f>
        <v>41.02</v>
      </c>
      <c r="K89" s="314">
        <f>IF($F89="","",IFERROR(VLOOKUP($F89,SERVIÇOS!$B:$G,5,0),IFERROR(VLOOKUP($F89,'COMPOSIÇÕES COMPLEMENTARES '!$D:$L,7,0),0)))</f>
        <v>23.21</v>
      </c>
      <c r="L89" s="314">
        <f t="shared" si="48"/>
        <v>64.23</v>
      </c>
      <c r="M89" s="314">
        <f t="shared" si="49"/>
        <v>423.32</v>
      </c>
      <c r="N89" s="314">
        <f t="shared" si="50"/>
        <v>239.52</v>
      </c>
      <c r="O89" s="314">
        <f t="shared" si="51"/>
        <v>662.84</v>
      </c>
      <c r="P89" s="314"/>
      <c r="Q89" s="315"/>
      <c r="R89" s="315"/>
      <c r="S89" s="286"/>
      <c r="T89" s="287"/>
      <c r="U89" s="288" t="str">
        <f t="shared" si="38"/>
        <v/>
      </c>
      <c r="V89" s="287"/>
      <c r="W89" s="289" t="str">
        <f t="shared" si="39"/>
        <v/>
      </c>
      <c r="X89" s="287"/>
      <c r="Y89" s="290" t="str">
        <f t="shared" si="40"/>
        <v/>
      </c>
      <c r="Z89" s="291">
        <f ca="1">SUMIF($T$8:Y$1018,"QUANT.",T89:Y89)</f>
        <v>0</v>
      </c>
      <c r="AA89" s="292">
        <f t="shared" ca="1" si="41"/>
        <v>0</v>
      </c>
      <c r="AB89" s="293" t="str">
        <f t="shared" ca="1" si="42"/>
        <v>MEDIR</v>
      </c>
      <c r="AC89" s="294">
        <f t="shared" ca="1" si="43"/>
        <v>10.32</v>
      </c>
      <c r="AD89" s="294">
        <f t="shared" ca="1" si="44"/>
        <v>662.84</v>
      </c>
      <c r="AE89" s="295"/>
      <c r="AF89" s="295"/>
      <c r="AG89" s="296"/>
      <c r="AH89" s="296"/>
      <c r="AI89" s="296"/>
      <c r="AJ89" s="295"/>
      <c r="AK89" s="295"/>
      <c r="AL89" s="295"/>
      <c r="AM89" s="295"/>
    </row>
    <row r="90" spans="1:39" ht="25.5" x14ac:dyDescent="0.25">
      <c r="A90" s="232">
        <f t="shared" si="30"/>
        <v>90</v>
      </c>
      <c r="B90" s="232"/>
      <c r="C90" s="307" t="str">
        <f t="shared" si="45"/>
        <v>6.1</v>
      </c>
      <c r="D90" s="308">
        <f t="shared" si="46"/>
        <v>5</v>
      </c>
      <c r="E90" s="309" t="str">
        <f t="shared" si="47"/>
        <v>6.1.5</v>
      </c>
      <c r="F90" s="310">
        <v>103322</v>
      </c>
      <c r="G90" s="311" t="str">
        <f>IF($F90="","",IFERROR(VLOOKUP($F90,SERVIÇOS!$B:$G,2,0),IFERROR(VLOOKUP($F90,'COMPOSIÇÕES COMPLEMENTARES '!$D:$L,2,0),IFERROR(VLOOKUP($F90,INSUMOS!$A:$D,2,0),""))))</f>
        <v>ALVENARIA DE VEDAÇÃO DE BLOCOS CERÂMICOS FURADOS NA VERTICAL DE 9X19X39 CM (ESPESSURA 9 CM) E ARGAMASSA DE ASSENTAMENTO COM PREPARO EM BETONEIRA. AF_12/2021</v>
      </c>
      <c r="H90" s="312" t="str">
        <f>IF($F90="","",IFERROR(VLOOKUP($F90,SERVIÇOS!$B:$G,3,0),IFERROR(VLOOKUP($F90,'COMPOSIÇÕES COMPLEMENTARES '!$D:$L,3,0),IFERROR(VLOOKUP($F90,INSUMOS!$A:$D,3,0),""))))</f>
        <v>M2</v>
      </c>
      <c r="I90" s="313">
        <v>5.56</v>
      </c>
      <c r="J90" s="314">
        <f>IF($F90="","",IFERROR(VLOOKUP($F90,SERVIÇOS!$B:$G,4,0),IFERROR(VLOOKUP($F90,'COMPOSIÇÕES COMPLEMENTARES '!$D:$L,6,0),IFERROR(VLOOKUP($F90,INSUMOS!$A:$D,4,0),""))))</f>
        <v>41.02</v>
      </c>
      <c r="K90" s="314">
        <f>IF($F90="","",IFERROR(VLOOKUP($F90,SERVIÇOS!$B:$G,5,0),IFERROR(VLOOKUP($F90,'COMPOSIÇÕES COMPLEMENTARES '!$D:$L,7,0),0)))</f>
        <v>23.21</v>
      </c>
      <c r="L90" s="314">
        <f t="shared" si="48"/>
        <v>64.23</v>
      </c>
      <c r="M90" s="314">
        <f t="shared" si="49"/>
        <v>228.07</v>
      </c>
      <c r="N90" s="314">
        <f t="shared" si="50"/>
        <v>129.04</v>
      </c>
      <c r="O90" s="314">
        <f t="shared" si="51"/>
        <v>357.11</v>
      </c>
      <c r="P90" s="314"/>
      <c r="Q90" s="315"/>
      <c r="R90" s="315"/>
      <c r="S90" s="286"/>
      <c r="T90" s="287"/>
      <c r="U90" s="288" t="str">
        <f t="shared" si="38"/>
        <v/>
      </c>
      <c r="V90" s="287"/>
      <c r="W90" s="289" t="str">
        <f t="shared" si="39"/>
        <v/>
      </c>
      <c r="X90" s="287"/>
      <c r="Y90" s="290" t="str">
        <f t="shared" si="40"/>
        <v/>
      </c>
      <c r="Z90" s="291">
        <f ca="1">SUMIF($T$8:Y$1018,"QUANT.",T90:Y90)</f>
        <v>0</v>
      </c>
      <c r="AA90" s="292">
        <f t="shared" ca="1" si="41"/>
        <v>0</v>
      </c>
      <c r="AB90" s="293" t="str">
        <f t="shared" ca="1" si="42"/>
        <v>MEDIR</v>
      </c>
      <c r="AC90" s="294">
        <f t="shared" ca="1" si="43"/>
        <v>5.56</v>
      </c>
      <c r="AD90" s="294">
        <f t="shared" ca="1" si="44"/>
        <v>357.11</v>
      </c>
      <c r="AE90" s="295"/>
      <c r="AF90" s="295"/>
      <c r="AG90" s="296"/>
      <c r="AH90" s="296"/>
      <c r="AI90" s="296"/>
      <c r="AJ90" s="296"/>
      <c r="AK90" s="295"/>
      <c r="AL90" s="295"/>
      <c r="AM90" s="295"/>
    </row>
    <row r="91" spans="1:39" x14ac:dyDescent="0.25">
      <c r="A91" s="232">
        <f t="shared" si="30"/>
        <v>91</v>
      </c>
      <c r="B91" s="232"/>
      <c r="C91" s="307" t="str">
        <f t="shared" si="45"/>
        <v>6.1</v>
      </c>
      <c r="D91" s="308">
        <f t="shared" si="46"/>
        <v>6</v>
      </c>
      <c r="E91" s="309" t="str">
        <f t="shared" si="47"/>
        <v>6.1.6</v>
      </c>
      <c r="F91" s="310">
        <v>93202</v>
      </c>
      <c r="G91" s="311" t="str">
        <f>IF($F91="","",IFERROR(VLOOKUP($F91,SERVIÇOS!$B:$G,2,0),IFERROR(VLOOKUP($F91,'COMPOSIÇÕES COMPLEMENTARES '!$D:$L,2,0),IFERROR(VLOOKUP($F91,INSUMOS!$A:$D,2,0),""))))</f>
        <v>FIXAÇÃO (ENCUNHAMENTO) DE ALVENARIA DE VEDAÇÃO COM TIJOLO MACIÇO. AF_03/2024</v>
      </c>
      <c r="H91" s="312" t="str">
        <f>IF($F91="","",IFERROR(VLOOKUP($F91,SERVIÇOS!$B:$G,3,0),IFERROR(VLOOKUP($F91,'COMPOSIÇÕES COMPLEMENTARES '!$D:$L,3,0),IFERROR(VLOOKUP($F91,INSUMOS!$A:$D,3,0),""))))</f>
        <v>M</v>
      </c>
      <c r="I91" s="313">
        <v>181.14</v>
      </c>
      <c r="J91" s="314">
        <f>IF($F91="","",IFERROR(VLOOKUP($F91,SERVIÇOS!$B:$G,4,0),IFERROR(VLOOKUP($F91,'COMPOSIÇÕES COMPLEMENTARES '!$D:$L,6,0),IFERROR(VLOOKUP($F91,INSUMOS!$A:$D,4,0),""))))</f>
        <v>14.72</v>
      </c>
      <c r="K91" s="314">
        <f>IF($F91="","",IFERROR(VLOOKUP($F91,SERVIÇOS!$B:$G,5,0),IFERROR(VLOOKUP($F91,'COMPOSIÇÕES COMPLEMENTARES '!$D:$L,7,0),0)))</f>
        <v>18.05</v>
      </c>
      <c r="L91" s="314">
        <f t="shared" si="48"/>
        <v>32.770000000000003</v>
      </c>
      <c r="M91" s="314">
        <f t="shared" si="49"/>
        <v>2666.38</v>
      </c>
      <c r="N91" s="314">
        <f t="shared" si="50"/>
        <v>3269.57</v>
      </c>
      <c r="O91" s="314">
        <f t="shared" si="51"/>
        <v>5935.95</v>
      </c>
      <c r="P91" s="314"/>
      <c r="Q91" s="315"/>
      <c r="R91" s="315"/>
      <c r="S91" s="286"/>
      <c r="T91" s="287"/>
      <c r="U91" s="288" t="str">
        <f t="shared" si="38"/>
        <v/>
      </c>
      <c r="V91" s="287"/>
      <c r="W91" s="289" t="str">
        <f t="shared" si="39"/>
        <v/>
      </c>
      <c r="X91" s="287"/>
      <c r="Y91" s="290" t="str">
        <f t="shared" si="40"/>
        <v/>
      </c>
      <c r="Z91" s="291">
        <f ca="1">SUMIF($T$8:Y$1018,"QUANT.",T91:Y91)</f>
        <v>0</v>
      </c>
      <c r="AA91" s="292">
        <f t="shared" ca="1" si="41"/>
        <v>0</v>
      </c>
      <c r="AB91" s="293" t="str">
        <f t="shared" ca="1" si="42"/>
        <v>MEDIR</v>
      </c>
      <c r="AC91" s="294">
        <f t="shared" ca="1" si="43"/>
        <v>181.14</v>
      </c>
      <c r="AD91" s="294">
        <f t="shared" ca="1" si="44"/>
        <v>5935.95</v>
      </c>
      <c r="AE91" s="295"/>
      <c r="AF91" s="295"/>
      <c r="AG91" s="296"/>
      <c r="AH91" s="296"/>
      <c r="AI91" s="296"/>
      <c r="AJ91" s="295"/>
      <c r="AK91" s="296"/>
      <c r="AL91" s="296"/>
      <c r="AM91" s="296"/>
    </row>
    <row r="92" spans="1:39" x14ac:dyDescent="0.25">
      <c r="A92" s="232">
        <f t="shared" si="30"/>
        <v>92</v>
      </c>
      <c r="B92" s="232"/>
      <c r="C92" s="316" t="str">
        <f>+E92</f>
        <v>6.2</v>
      </c>
      <c r="D92" s="297"/>
      <c r="E92" s="317" t="s">
        <v>524</v>
      </c>
      <c r="F92" s="317"/>
      <c r="G92" s="318" t="s">
        <v>11958</v>
      </c>
      <c r="H92" s="317"/>
      <c r="I92" s="319"/>
      <c r="J92" s="317"/>
      <c r="K92" s="317"/>
      <c r="L92" s="317"/>
      <c r="M92" s="317"/>
      <c r="N92" s="317"/>
      <c r="O92" s="317"/>
      <c r="P92" s="317"/>
      <c r="Q92" s="320"/>
      <c r="R92" s="306"/>
      <c r="S92" s="286"/>
      <c r="T92" s="287"/>
      <c r="U92" s="288" t="str">
        <f t="shared" si="38"/>
        <v/>
      </c>
      <c r="V92" s="287"/>
      <c r="W92" s="289" t="str">
        <f t="shared" si="39"/>
        <v/>
      </c>
      <c r="X92" s="287"/>
      <c r="Y92" s="290" t="str">
        <f t="shared" si="40"/>
        <v/>
      </c>
      <c r="Z92" s="291">
        <f ca="1">SUMIF($T$8:Y$1018,"QUANT.",T92:Y92)</f>
        <v>0</v>
      </c>
      <c r="AA92" s="292">
        <f t="shared" ca="1" si="41"/>
        <v>0</v>
      </c>
      <c r="AB92" s="293" t="str">
        <f t="shared" si="42"/>
        <v/>
      </c>
      <c r="AC92" s="294">
        <f t="shared" ca="1" si="43"/>
        <v>0</v>
      </c>
      <c r="AD92" s="294">
        <f t="shared" ca="1" si="44"/>
        <v>0</v>
      </c>
      <c r="AE92" s="295"/>
      <c r="AF92" s="295"/>
      <c r="AG92" s="296"/>
      <c r="AH92" s="296"/>
      <c r="AI92" s="296"/>
      <c r="AJ92" s="295"/>
      <c r="AK92" s="295"/>
      <c r="AL92" s="295"/>
      <c r="AM92" s="295"/>
    </row>
    <row r="93" spans="1:39" ht="25.5" x14ac:dyDescent="0.25">
      <c r="A93" s="232">
        <f t="shared" si="30"/>
        <v>93</v>
      </c>
      <c r="B93" s="232"/>
      <c r="C93" s="307" t="str">
        <f t="shared" ref="C93:C100" si="52">+C92</f>
        <v>6.2</v>
      </c>
      <c r="D93" s="308">
        <f t="shared" ref="D93:D100" si="53">1+D92</f>
        <v>1</v>
      </c>
      <c r="E93" s="309" t="str">
        <f t="shared" ref="E93:E100" si="54">C93&amp;"."&amp;D93</f>
        <v>6.2.1</v>
      </c>
      <c r="F93" s="310" t="s">
        <v>11959</v>
      </c>
      <c r="G93" s="311" t="str">
        <f>IF($F93="","",IFERROR(VLOOKUP($F93,SERVIÇOS!$B:$G,2,0),IFERROR(VLOOKUP($F93,'COMPOSIÇÕES COMPLEMENTARES '!$D:$L,2,0),IFERROR(VLOOKUP($F93,INSUMOS!$A:$D,2,0),""))))</f>
        <v>PAREDE COM PLACAS DE GESSO ACARTONADO (DRYWALL), E=11,5cm, COM DUAS FACES SIMPLES RESISTENTE A UMIDADE (RU/RU), ESTRUTURA METÁLICA COM GUIAS SIMPLES DE 90MM</v>
      </c>
      <c r="H93" s="312" t="str">
        <f>IF($F93="","",IFERROR(VLOOKUP($F93,SERVIÇOS!$B:$G,3,0),IFERROR(VLOOKUP($F93,'COMPOSIÇÕES COMPLEMENTARES '!$D:$L,3,0),IFERROR(VLOOKUP($F93,INSUMOS!$A:$D,3,0),""))))</f>
        <v>M2</v>
      </c>
      <c r="I93" s="313">
        <v>65.25</v>
      </c>
      <c r="J93" s="314">
        <f>IF($F93="","",IFERROR(VLOOKUP($F93,SERVIÇOS!$B:$G,4,0),IFERROR(VLOOKUP($F93,'COMPOSIÇÕES COMPLEMENTARES '!$D:$L,6,0),IFERROR(VLOOKUP($F93,INSUMOS!$A:$D,4,0),""))))</f>
        <v>178.81</v>
      </c>
      <c r="K93" s="314">
        <f>IF($F93="","",IFERROR(VLOOKUP($F93,SERVIÇOS!$B:$G,5,0),IFERROR(VLOOKUP($F93,'COMPOSIÇÕES COMPLEMENTARES '!$D:$L,7,0),0)))</f>
        <v>3.85</v>
      </c>
      <c r="L93" s="314">
        <f t="shared" ref="L93:L100" si="55">IF(I93="","",J93+K93)</f>
        <v>182.66</v>
      </c>
      <c r="M93" s="314">
        <f t="shared" ref="M93:M100" si="56">IF(I93="","",TRUNC((I93*J93),2))</f>
        <v>11667.35</v>
      </c>
      <c r="N93" s="314">
        <f t="shared" ref="N93:N100" si="57">IF(I93="","",TRUNC((I93*K93),2))</f>
        <v>251.21</v>
      </c>
      <c r="O93" s="314">
        <f t="shared" ref="O93:O100" si="58">IF(I93="","",TRUNC((M93+N93),2))</f>
        <v>11918.56</v>
      </c>
      <c r="P93" s="314"/>
      <c r="Q93" s="315"/>
      <c r="R93" s="315"/>
      <c r="S93" s="286"/>
      <c r="T93" s="287"/>
      <c r="U93" s="288" t="str">
        <f t="shared" si="38"/>
        <v/>
      </c>
      <c r="V93" s="287"/>
      <c r="W93" s="289" t="str">
        <f t="shared" si="39"/>
        <v/>
      </c>
      <c r="X93" s="287"/>
      <c r="Y93" s="290" t="str">
        <f t="shared" si="40"/>
        <v/>
      </c>
      <c r="Z93" s="291">
        <f ca="1">SUMIF($T$8:Y$1018,"QUANT.",T93:Y93)</f>
        <v>0</v>
      </c>
      <c r="AA93" s="292">
        <f t="shared" ca="1" si="41"/>
        <v>0</v>
      </c>
      <c r="AB93" s="293" t="str">
        <f t="shared" ca="1" si="42"/>
        <v>MEDIR</v>
      </c>
      <c r="AC93" s="294">
        <f t="shared" ca="1" si="43"/>
        <v>65.25</v>
      </c>
      <c r="AD93" s="294">
        <f t="shared" ca="1" si="44"/>
        <v>11918.56</v>
      </c>
      <c r="AE93" s="295"/>
      <c r="AF93" s="295"/>
      <c r="AG93" s="296"/>
      <c r="AH93" s="296"/>
      <c r="AI93" s="296"/>
      <c r="AJ93" s="295"/>
      <c r="AK93" s="295"/>
      <c r="AL93" s="295"/>
      <c r="AM93" s="295"/>
    </row>
    <row r="94" spans="1:39" ht="38.25" x14ac:dyDescent="0.25">
      <c r="A94" s="232">
        <f t="shared" si="30"/>
        <v>94</v>
      </c>
      <c r="B94" s="232"/>
      <c r="C94" s="307" t="str">
        <f t="shared" si="52"/>
        <v>6.2</v>
      </c>
      <c r="D94" s="308">
        <f t="shared" si="53"/>
        <v>2</v>
      </c>
      <c r="E94" s="309" t="str">
        <f t="shared" si="54"/>
        <v>6.2.2</v>
      </c>
      <c r="F94" s="310" t="s">
        <v>11960</v>
      </c>
      <c r="G94" s="311" t="str">
        <f>IF($F94="","",IFERROR(VLOOKUP($F94,SERVIÇOS!$B:$G,2,0),IFERROR(VLOOKUP($F94,'COMPOSIÇÕES COMPLEMENTARES '!$D:$L,2,0),IFERROR(VLOOKUP($F94,INSUMOS!$A:$D,2,0),""))))</f>
        <v>PAREDE COM PLACAS DE GESSO ACARTONADO (DRYWALL) E=25CM, COM DUAS FACES SIMPLES (RU/RU), DUAS CHAPAS DE MDF 22,5MM, E ESTRUTURA METÁLICA COM GUIAS DUPLAS DE 90MM - FORNECIMENTO E INSTALAÇÃO</v>
      </c>
      <c r="H94" s="312" t="str">
        <f>IF($F94="","",IFERROR(VLOOKUP($F94,SERVIÇOS!$B:$G,3,0),IFERROR(VLOOKUP($F94,'COMPOSIÇÕES COMPLEMENTARES '!$D:$L,3,0),IFERROR(VLOOKUP($F94,INSUMOS!$A:$D,3,0),""))))</f>
        <v>M2</v>
      </c>
      <c r="I94" s="313">
        <v>26.49</v>
      </c>
      <c r="J94" s="314">
        <f>IF($F94="","",IFERROR(VLOOKUP($F94,SERVIÇOS!$B:$G,4,0),IFERROR(VLOOKUP($F94,'COMPOSIÇÕES COMPLEMENTARES '!$D:$L,6,0),IFERROR(VLOOKUP($F94,INSUMOS!$A:$D,4,0),""))))</f>
        <v>304.51</v>
      </c>
      <c r="K94" s="314">
        <f>IF($F94="","",IFERROR(VLOOKUP($F94,SERVIÇOS!$B:$G,5,0),IFERROR(VLOOKUP($F94,'COMPOSIÇÕES COMPLEMENTARES '!$D:$L,7,0),0)))</f>
        <v>25.57</v>
      </c>
      <c r="L94" s="314">
        <f t="shared" si="55"/>
        <v>330.08</v>
      </c>
      <c r="M94" s="314">
        <f t="shared" si="56"/>
        <v>8066.46</v>
      </c>
      <c r="N94" s="314">
        <f t="shared" si="57"/>
        <v>677.34</v>
      </c>
      <c r="O94" s="314">
        <f t="shared" si="58"/>
        <v>8743.7999999999993</v>
      </c>
      <c r="P94" s="314"/>
      <c r="Q94" s="315"/>
      <c r="R94" s="315"/>
      <c r="S94" s="286"/>
      <c r="T94" s="287"/>
      <c r="U94" s="288" t="str">
        <f t="shared" si="38"/>
        <v/>
      </c>
      <c r="V94" s="287"/>
      <c r="W94" s="289" t="str">
        <f t="shared" si="39"/>
        <v/>
      </c>
      <c r="X94" s="287"/>
      <c r="Y94" s="290" t="str">
        <f t="shared" si="40"/>
        <v/>
      </c>
      <c r="Z94" s="291">
        <f ca="1">SUMIF($T$8:Y$1018,"QUANT.",T94:Y94)</f>
        <v>0</v>
      </c>
      <c r="AA94" s="292">
        <f t="shared" ca="1" si="41"/>
        <v>0</v>
      </c>
      <c r="AB94" s="293" t="str">
        <f t="shared" ca="1" si="42"/>
        <v>MEDIR</v>
      </c>
      <c r="AC94" s="294">
        <f t="shared" ca="1" si="43"/>
        <v>26.49</v>
      </c>
      <c r="AD94" s="294">
        <f t="shared" ca="1" si="44"/>
        <v>8743.7999999999993</v>
      </c>
      <c r="AE94" s="295"/>
      <c r="AF94" s="295"/>
      <c r="AG94" s="296"/>
      <c r="AH94" s="296"/>
      <c r="AI94" s="296"/>
      <c r="AJ94" s="295"/>
      <c r="AK94" s="296"/>
      <c r="AL94" s="296"/>
      <c r="AM94" s="296"/>
    </row>
    <row r="95" spans="1:39" ht="25.5" x14ac:dyDescent="0.25">
      <c r="A95" s="232">
        <f t="shared" si="30"/>
        <v>95</v>
      </c>
      <c r="B95" s="232"/>
      <c r="C95" s="307" t="str">
        <f t="shared" si="52"/>
        <v>6.2</v>
      </c>
      <c r="D95" s="308">
        <f t="shared" si="53"/>
        <v>3</v>
      </c>
      <c r="E95" s="309" t="str">
        <f t="shared" si="54"/>
        <v>6.2.3</v>
      </c>
      <c r="F95" s="310" t="s">
        <v>11961</v>
      </c>
      <c r="G95" s="311" t="str">
        <f>IF($F95="","",IFERROR(VLOOKUP($F95,SERVIÇOS!$B:$G,2,0),IFERROR(VLOOKUP($F95,'COMPOSIÇÕES COMPLEMENTARES '!$D:$L,2,0),IFERROR(VLOOKUP($F95,INSUMOS!$A:$D,2,0),""))))</f>
        <v>PAREDE COM PLACAS DE GESSO ACARTONADO (DRYWALL), E=11,5cm, COM DUAS FACES SIMPLES STANDARD (ST/ST), ESTRUTURA METÁLICA COM GUIAS SIMPLES DE 90MM</v>
      </c>
      <c r="H95" s="312" t="str">
        <f>IF($F95="","",IFERROR(VLOOKUP($F95,SERVIÇOS!$B:$G,3,0),IFERROR(VLOOKUP($F95,'COMPOSIÇÕES COMPLEMENTARES '!$D:$L,3,0),IFERROR(VLOOKUP($F95,INSUMOS!$A:$D,3,0),""))))</f>
        <v>M2</v>
      </c>
      <c r="I95" s="313">
        <v>521.80999999999995</v>
      </c>
      <c r="J95" s="314">
        <f>IF($F95="","",IFERROR(VLOOKUP($F95,SERVIÇOS!$B:$G,4,0),IFERROR(VLOOKUP($F95,'COMPOSIÇÕES COMPLEMENTARES '!$D:$L,6,0),IFERROR(VLOOKUP($F95,INSUMOS!$A:$D,4,0),""))))</f>
        <v>164.4</v>
      </c>
      <c r="K95" s="314">
        <f>IF($F95="","",IFERROR(VLOOKUP($F95,SERVIÇOS!$B:$G,5,0),IFERROR(VLOOKUP($F95,'COMPOSIÇÕES COMPLEMENTARES '!$D:$L,7,0),0)))</f>
        <v>3.85</v>
      </c>
      <c r="L95" s="314">
        <f t="shared" si="55"/>
        <v>168.25</v>
      </c>
      <c r="M95" s="314">
        <f t="shared" si="56"/>
        <v>85785.56</v>
      </c>
      <c r="N95" s="314">
        <f t="shared" si="57"/>
        <v>2008.96</v>
      </c>
      <c r="O95" s="314">
        <f t="shared" si="58"/>
        <v>87794.52</v>
      </c>
      <c r="P95" s="314"/>
      <c r="Q95" s="315"/>
      <c r="R95" s="315"/>
      <c r="S95" s="286"/>
      <c r="T95" s="287"/>
      <c r="U95" s="288" t="str">
        <f t="shared" si="38"/>
        <v/>
      </c>
      <c r="V95" s="287"/>
      <c r="W95" s="289" t="str">
        <f t="shared" si="39"/>
        <v/>
      </c>
      <c r="X95" s="287"/>
      <c r="Y95" s="290" t="str">
        <f t="shared" si="40"/>
        <v/>
      </c>
      <c r="Z95" s="291">
        <f ca="1">SUMIF($T$8:Y$1018,"QUANT.",T95:Y95)</f>
        <v>0</v>
      </c>
      <c r="AA95" s="292">
        <f t="shared" ca="1" si="41"/>
        <v>0</v>
      </c>
      <c r="AB95" s="293" t="str">
        <f t="shared" ca="1" si="42"/>
        <v>MEDIR</v>
      </c>
      <c r="AC95" s="294">
        <f t="shared" ca="1" si="43"/>
        <v>521.80999999999995</v>
      </c>
      <c r="AD95" s="294">
        <f t="shared" ca="1" si="44"/>
        <v>87794.52</v>
      </c>
      <c r="AE95" s="295"/>
      <c r="AF95" s="295"/>
      <c r="AG95" s="296"/>
      <c r="AH95" s="296"/>
      <c r="AI95" s="296"/>
      <c r="AJ95" s="295"/>
      <c r="AK95" s="295"/>
      <c r="AL95" s="295"/>
      <c r="AM95" s="295"/>
    </row>
    <row r="96" spans="1:39" ht="25.5" x14ac:dyDescent="0.25">
      <c r="A96" s="232">
        <f t="shared" si="30"/>
        <v>96</v>
      </c>
      <c r="B96" s="232"/>
      <c r="C96" s="307" t="str">
        <f t="shared" si="52"/>
        <v>6.2</v>
      </c>
      <c r="D96" s="308">
        <f t="shared" si="53"/>
        <v>4</v>
      </c>
      <c r="E96" s="309" t="str">
        <f t="shared" si="54"/>
        <v>6.2.4</v>
      </c>
      <c r="F96" s="310" t="s">
        <v>11962</v>
      </c>
      <c r="G96" s="311" t="str">
        <f>IF($F96="","",IFERROR(VLOOKUP($F96,SERVIÇOS!$B:$G,2,0),IFERROR(VLOOKUP($F96,'COMPOSIÇÕES COMPLEMENTARES '!$D:$L,2,0),IFERROR(VLOOKUP($F96,INSUMOS!$A:$D,2,0),""))))</f>
        <v>PAREDE COM PLACAS DE GESSO ACARTONADO (DRYWALL), E=11,5cm, COM DUAS FACES SIMPLES STANDARD E RESISTENTE A UMIDADE (ST/RU), ESTRUTURA METÁLICA COM GUIAS SIMPLES DE 90MM</v>
      </c>
      <c r="H96" s="312" t="str">
        <f>IF($F96="","",IFERROR(VLOOKUP($F96,SERVIÇOS!$B:$G,3,0),IFERROR(VLOOKUP($F96,'COMPOSIÇÕES COMPLEMENTARES '!$D:$L,3,0),IFERROR(VLOOKUP($F96,INSUMOS!$A:$D,3,0),""))))</f>
        <v>M2</v>
      </c>
      <c r="I96" s="313">
        <v>282.17</v>
      </c>
      <c r="J96" s="314">
        <f>IF($F96="","",IFERROR(VLOOKUP($F96,SERVIÇOS!$B:$G,4,0),IFERROR(VLOOKUP($F96,'COMPOSIÇÕES COMPLEMENTARES '!$D:$L,6,0),IFERROR(VLOOKUP($F96,INSUMOS!$A:$D,4,0),""))))</f>
        <v>171.6</v>
      </c>
      <c r="K96" s="314">
        <f>IF($F96="","",IFERROR(VLOOKUP($F96,SERVIÇOS!$B:$G,5,0),IFERROR(VLOOKUP($F96,'COMPOSIÇÕES COMPLEMENTARES '!$D:$L,7,0),0)))</f>
        <v>3.85</v>
      </c>
      <c r="L96" s="314">
        <f t="shared" si="55"/>
        <v>175.45</v>
      </c>
      <c r="M96" s="314">
        <f t="shared" si="56"/>
        <v>48420.37</v>
      </c>
      <c r="N96" s="314">
        <f t="shared" si="57"/>
        <v>1086.3499999999999</v>
      </c>
      <c r="O96" s="314">
        <f t="shared" si="58"/>
        <v>49506.720000000001</v>
      </c>
      <c r="P96" s="314"/>
      <c r="Q96" s="315"/>
      <c r="R96" s="315"/>
      <c r="S96" s="286"/>
      <c r="T96" s="287"/>
      <c r="U96" s="288" t="str">
        <f t="shared" si="38"/>
        <v/>
      </c>
      <c r="V96" s="287"/>
      <c r="W96" s="289" t="str">
        <f t="shared" si="39"/>
        <v/>
      </c>
      <c r="X96" s="287"/>
      <c r="Y96" s="290" t="str">
        <f t="shared" si="40"/>
        <v/>
      </c>
      <c r="Z96" s="291">
        <f ca="1">SUMIF($T$8:Y$1018,"QUANT.",T96:Y96)</f>
        <v>0</v>
      </c>
      <c r="AA96" s="292">
        <f t="shared" ca="1" si="41"/>
        <v>0</v>
      </c>
      <c r="AB96" s="293" t="str">
        <f t="shared" ca="1" si="42"/>
        <v>MEDIR</v>
      </c>
      <c r="AC96" s="294">
        <f t="shared" ca="1" si="43"/>
        <v>282.17</v>
      </c>
      <c r="AD96" s="294">
        <f t="shared" ca="1" si="44"/>
        <v>49506.720000000001</v>
      </c>
      <c r="AE96" s="295"/>
      <c r="AF96" s="295"/>
      <c r="AG96" s="296"/>
      <c r="AH96" s="296"/>
      <c r="AI96" s="296"/>
      <c r="AJ96" s="38"/>
      <c r="AK96" s="295"/>
      <c r="AL96" s="295"/>
      <c r="AM96" s="295"/>
    </row>
    <row r="97" spans="1:39" ht="25.5" x14ac:dyDescent="0.25">
      <c r="A97" s="232">
        <f t="shared" si="30"/>
        <v>97</v>
      </c>
      <c r="B97" s="232"/>
      <c r="C97" s="307" t="str">
        <f t="shared" si="52"/>
        <v>6.2</v>
      </c>
      <c r="D97" s="308">
        <f t="shared" si="53"/>
        <v>5</v>
      </c>
      <c r="E97" s="309" t="str">
        <f t="shared" si="54"/>
        <v>6.2.5</v>
      </c>
      <c r="F97" s="310" t="s">
        <v>11963</v>
      </c>
      <c r="G97" s="311" t="str">
        <f>IF($F97="","",IFERROR(VLOOKUP($F97,SERVIÇOS!$B:$G,2,0),IFERROR(VLOOKUP($F97,'COMPOSIÇÕES COMPLEMENTARES '!$D:$L,2,0),IFERROR(VLOOKUP($F97,INSUMOS!$A:$D,2,0),""))))</f>
        <v>PAREDE PARA ENCHIMENTO COM PLACAS DE GESSO ACARTONADO (DRYWALL), COM UMA FACE SIMPLES (RU), ESTRUTURA METÁLICA COM GUIAS SIMPLES DE 48MM</v>
      </c>
      <c r="H97" s="312" t="str">
        <f>IF($F97="","",IFERROR(VLOOKUP($F97,SERVIÇOS!$B:$G,3,0),IFERROR(VLOOKUP($F97,'COMPOSIÇÕES COMPLEMENTARES '!$D:$L,3,0),IFERROR(VLOOKUP($F97,INSUMOS!$A:$D,3,0),""))))</f>
        <v>M2</v>
      </c>
      <c r="I97" s="313">
        <v>17.559999999999999</v>
      </c>
      <c r="J97" s="314">
        <f>IF($F97="","",IFERROR(VLOOKUP($F97,SERVIÇOS!$B:$G,4,0),IFERROR(VLOOKUP($F97,'COMPOSIÇÕES COMPLEMENTARES '!$D:$L,6,0),IFERROR(VLOOKUP($F97,INSUMOS!$A:$D,4,0),""))))</f>
        <v>58.7</v>
      </c>
      <c r="K97" s="314">
        <f>IF($F97="","",IFERROR(VLOOKUP($F97,SERVIÇOS!$B:$G,5,0),IFERROR(VLOOKUP($F97,'COMPOSIÇÕES COMPLEMENTARES '!$D:$L,7,0),0)))</f>
        <v>10.54</v>
      </c>
      <c r="L97" s="314">
        <f t="shared" si="55"/>
        <v>69.240000000000009</v>
      </c>
      <c r="M97" s="314">
        <f t="shared" si="56"/>
        <v>1030.77</v>
      </c>
      <c r="N97" s="314">
        <f t="shared" si="57"/>
        <v>185.08</v>
      </c>
      <c r="O97" s="314">
        <f t="shared" si="58"/>
        <v>1215.8499999999999</v>
      </c>
      <c r="P97" s="314"/>
      <c r="Q97" s="315"/>
      <c r="R97" s="315"/>
      <c r="S97" s="286"/>
      <c r="T97" s="287"/>
      <c r="U97" s="288" t="str">
        <f t="shared" si="38"/>
        <v/>
      </c>
      <c r="V97" s="287"/>
      <c r="W97" s="289" t="str">
        <f t="shared" si="39"/>
        <v/>
      </c>
      <c r="X97" s="287"/>
      <c r="Y97" s="290" t="str">
        <f t="shared" si="40"/>
        <v/>
      </c>
      <c r="Z97" s="291">
        <f ca="1">SUMIF($T$8:Y$1018,"QUANT.",T97:Y97)</f>
        <v>0</v>
      </c>
      <c r="AA97" s="292">
        <f t="shared" ca="1" si="41"/>
        <v>0</v>
      </c>
      <c r="AB97" s="293" t="str">
        <f t="shared" ca="1" si="42"/>
        <v>MEDIR</v>
      </c>
      <c r="AC97" s="294">
        <f t="shared" ca="1" si="43"/>
        <v>17.559999999999999</v>
      </c>
      <c r="AD97" s="294">
        <f t="shared" ca="1" si="44"/>
        <v>1215.8499999999999</v>
      </c>
      <c r="AE97" s="295"/>
      <c r="AF97" s="295"/>
      <c r="AG97" s="296"/>
      <c r="AH97" s="296"/>
      <c r="AI97" s="296"/>
      <c r="AJ97" s="296"/>
      <c r="AK97" s="295"/>
      <c r="AL97" s="295"/>
      <c r="AM97" s="295"/>
    </row>
    <row r="98" spans="1:39" x14ac:dyDescent="0.25">
      <c r="A98" s="232">
        <f t="shared" si="30"/>
        <v>98</v>
      </c>
      <c r="B98" s="232"/>
      <c r="C98" s="307" t="str">
        <f t="shared" si="52"/>
        <v>6.2</v>
      </c>
      <c r="D98" s="308">
        <f t="shared" si="53"/>
        <v>6</v>
      </c>
      <c r="E98" s="309" t="str">
        <f t="shared" si="54"/>
        <v>6.2.6</v>
      </c>
      <c r="F98" s="310" t="s">
        <v>11964</v>
      </c>
      <c r="G98" s="311" t="str">
        <f>IF($F98="","",IFERROR(VLOOKUP($F98,SERVIÇOS!$B:$G,2,0),IFERROR(VLOOKUP($F98,'COMPOSIÇÕES COMPLEMENTARES '!$D:$L,2,0),IFERROR(VLOOKUP($F98,INSUMOS!$A:$D,2,0),""))))</f>
        <v>INSTALAÇÃO DE ISOLAMENTO COM LÃ DE ROCHA EM PAREDES DRYWALL. AF_06/2017</v>
      </c>
      <c r="H98" s="312" t="str">
        <f>IF($F98="","",IFERROR(VLOOKUP($F98,SERVIÇOS!$B:$G,3,0),IFERROR(VLOOKUP($F98,'COMPOSIÇÕES COMPLEMENTARES '!$D:$L,3,0),IFERROR(VLOOKUP($F98,INSUMOS!$A:$D,3,0),""))))</f>
        <v>M2</v>
      </c>
      <c r="I98" s="313">
        <v>895.72</v>
      </c>
      <c r="J98" s="314">
        <f>IF($F98="","",IFERROR(VLOOKUP($F98,SERVIÇOS!$B:$G,4,0),IFERROR(VLOOKUP($F98,'COMPOSIÇÕES COMPLEMENTARES '!$D:$L,6,0),IFERROR(VLOOKUP($F98,INSUMOS!$A:$D,4,0),""))))</f>
        <v>31.89</v>
      </c>
      <c r="K98" s="314">
        <f>IF($F98="","",IFERROR(VLOOKUP($F98,SERVIÇOS!$B:$G,5,0),IFERROR(VLOOKUP($F98,'COMPOSIÇÕES COMPLEMENTARES '!$D:$L,7,0),0)))</f>
        <v>1.97</v>
      </c>
      <c r="L98" s="314">
        <f t="shared" si="55"/>
        <v>33.86</v>
      </c>
      <c r="M98" s="314">
        <f t="shared" si="56"/>
        <v>28564.51</v>
      </c>
      <c r="N98" s="314">
        <f t="shared" si="57"/>
        <v>1764.56</v>
      </c>
      <c r="O98" s="314">
        <f t="shared" si="58"/>
        <v>30329.07</v>
      </c>
      <c r="P98" s="314"/>
      <c r="Q98" s="315"/>
      <c r="R98" s="315"/>
      <c r="S98" s="286"/>
      <c r="T98" s="287"/>
      <c r="U98" s="288" t="str">
        <f t="shared" si="38"/>
        <v/>
      </c>
      <c r="V98" s="287"/>
      <c r="W98" s="289" t="str">
        <f t="shared" si="39"/>
        <v/>
      </c>
      <c r="X98" s="287"/>
      <c r="Y98" s="290" t="str">
        <f t="shared" si="40"/>
        <v/>
      </c>
      <c r="Z98" s="291">
        <f ca="1">SUMIF($T$8:Y$1018,"QUANT.",T98:Y98)</f>
        <v>0</v>
      </c>
      <c r="AA98" s="292">
        <f t="shared" ca="1" si="41"/>
        <v>0</v>
      </c>
      <c r="AB98" s="293" t="str">
        <f t="shared" ca="1" si="42"/>
        <v>MEDIR</v>
      </c>
      <c r="AC98" s="294">
        <f t="shared" ca="1" si="43"/>
        <v>895.72</v>
      </c>
      <c r="AD98" s="294">
        <f t="shared" ca="1" si="44"/>
        <v>30329.07</v>
      </c>
      <c r="AE98" s="295"/>
      <c r="AF98" s="295"/>
      <c r="AG98" s="296"/>
      <c r="AH98" s="296"/>
      <c r="AI98" s="296"/>
      <c r="AJ98" s="295"/>
      <c r="AK98" s="295"/>
      <c r="AL98" s="295"/>
      <c r="AM98" s="295"/>
    </row>
    <row r="99" spans="1:39" x14ac:dyDescent="0.25">
      <c r="A99" s="232">
        <f t="shared" si="30"/>
        <v>99</v>
      </c>
      <c r="B99" s="232"/>
      <c r="C99" s="307" t="str">
        <f t="shared" si="52"/>
        <v>6.2</v>
      </c>
      <c r="D99" s="308">
        <f t="shared" si="53"/>
        <v>7</v>
      </c>
      <c r="E99" s="309" t="str">
        <f t="shared" si="54"/>
        <v>6.2.7</v>
      </c>
      <c r="F99" s="310">
        <v>96374</v>
      </c>
      <c r="G99" s="311" t="str">
        <f>IF($F99="","",IFERROR(VLOOKUP($F99,SERVIÇOS!$B:$G,2,0),IFERROR(VLOOKUP($F99,'COMPOSIÇÕES COMPLEMENTARES '!$D:$L,2,0),IFERROR(VLOOKUP($F99,INSUMOS!$A:$D,2,0),""))))</f>
        <v>INSTALAÇÃO DE REFORÇO DE MADEIRA EM PAREDE DRYWALL. AF_07/2023</v>
      </c>
      <c r="H99" s="312" t="str">
        <f>IF($F99="","",IFERROR(VLOOKUP($F99,SERVIÇOS!$B:$G,3,0),IFERROR(VLOOKUP($F99,'COMPOSIÇÕES COMPLEMENTARES '!$D:$L,3,0),IFERROR(VLOOKUP($F99,INSUMOS!$A:$D,3,0),""))))</f>
        <v>M</v>
      </c>
      <c r="I99" s="313">
        <v>183.45</v>
      </c>
      <c r="J99" s="314">
        <f>IF($F99="","",IFERROR(VLOOKUP($F99,SERVIÇOS!$B:$G,4,0),IFERROR(VLOOKUP($F99,'COMPOSIÇÕES COMPLEMENTARES '!$D:$L,6,0),IFERROR(VLOOKUP($F99,INSUMOS!$A:$D,4,0),""))))</f>
        <v>31.62</v>
      </c>
      <c r="K99" s="314">
        <f>IF($F99="","",IFERROR(VLOOKUP($F99,SERVIÇOS!$B:$G,5,0),IFERROR(VLOOKUP($F99,'COMPOSIÇÕES COMPLEMENTARES '!$D:$L,7,0),0)))</f>
        <v>2.48</v>
      </c>
      <c r="L99" s="314">
        <f t="shared" si="55"/>
        <v>34.1</v>
      </c>
      <c r="M99" s="314">
        <f t="shared" si="56"/>
        <v>5800.68</v>
      </c>
      <c r="N99" s="314">
        <f t="shared" si="57"/>
        <v>454.95</v>
      </c>
      <c r="O99" s="314">
        <f t="shared" si="58"/>
        <v>6255.63</v>
      </c>
      <c r="P99" s="314"/>
      <c r="Q99" s="315"/>
      <c r="R99" s="315"/>
      <c r="S99" s="286"/>
      <c r="T99" s="287"/>
      <c r="U99" s="288" t="str">
        <f t="shared" si="38"/>
        <v/>
      </c>
      <c r="V99" s="287"/>
      <c r="W99" s="289" t="str">
        <f t="shared" si="39"/>
        <v/>
      </c>
      <c r="X99" s="287"/>
      <c r="Y99" s="290" t="str">
        <f t="shared" si="40"/>
        <v/>
      </c>
      <c r="Z99" s="291">
        <f ca="1">SUMIF($T$8:Y$1018,"QUANT.",T99:Y99)</f>
        <v>0</v>
      </c>
      <c r="AA99" s="292">
        <f t="shared" ca="1" si="41"/>
        <v>0</v>
      </c>
      <c r="AB99" s="293" t="str">
        <f t="shared" ca="1" si="42"/>
        <v>MEDIR</v>
      </c>
      <c r="AC99" s="294">
        <f t="shared" ca="1" si="43"/>
        <v>183.45</v>
      </c>
      <c r="AD99" s="294">
        <f t="shared" ca="1" si="44"/>
        <v>6255.63</v>
      </c>
      <c r="AE99" s="295"/>
      <c r="AF99" s="295"/>
      <c r="AG99" s="296"/>
      <c r="AH99" s="296"/>
      <c r="AI99" s="296"/>
      <c r="AJ99" s="295"/>
      <c r="AK99" s="295"/>
      <c r="AL99" s="295"/>
      <c r="AM99" s="295"/>
    </row>
    <row r="100" spans="1:39" x14ac:dyDescent="0.25">
      <c r="A100" s="232">
        <f t="shared" si="30"/>
        <v>100</v>
      </c>
      <c r="B100" s="232"/>
      <c r="C100" s="307" t="str">
        <f t="shared" si="52"/>
        <v>6.2</v>
      </c>
      <c r="D100" s="308">
        <f t="shared" si="53"/>
        <v>8</v>
      </c>
      <c r="E100" s="309" t="str">
        <f t="shared" si="54"/>
        <v>6.2.8</v>
      </c>
      <c r="F100" s="310" t="s">
        <v>11965</v>
      </c>
      <c r="G100" s="311" t="str">
        <f>IF($F100="","",IFERROR(VLOOKUP($F100,SERVIÇOS!$B:$G,2,0),IFERROR(VLOOKUP($F100,'COMPOSIÇÕES COMPLEMENTARES '!$D:$L,2,0),IFERROR(VLOOKUP($F100,INSUMOS!$A:$D,2,0),""))))</f>
        <v>INSTALAÇÃO DE REFORÇO DE MADEIRA PARA PORTAS DE MADEIRA EM PAREDE DRYWALL</v>
      </c>
      <c r="H100" s="312" t="str">
        <f>IF($F100="","",IFERROR(VLOOKUP($F100,SERVIÇOS!$B:$G,3,0),IFERROR(VLOOKUP($F100,'COMPOSIÇÕES COMPLEMENTARES '!$D:$L,3,0),IFERROR(VLOOKUP($F100,INSUMOS!$A:$D,3,0),""))))</f>
        <v>M</v>
      </c>
      <c r="I100" s="313">
        <v>146.19999999999999</v>
      </c>
      <c r="J100" s="314">
        <f>IF($F100="","",IFERROR(VLOOKUP($F100,SERVIÇOS!$B:$G,4,0),IFERROR(VLOOKUP($F100,'COMPOSIÇÕES COMPLEMENTARES '!$D:$L,6,0),IFERROR(VLOOKUP($F100,INSUMOS!$A:$D,4,0),""))))</f>
        <v>25.69</v>
      </c>
      <c r="K100" s="314">
        <f>IF($F100="","",IFERROR(VLOOKUP($F100,SERVIÇOS!$B:$G,5,0),IFERROR(VLOOKUP($F100,'COMPOSIÇÕES COMPLEMENTARES '!$D:$L,7,0),0)))</f>
        <v>2.4900000000000002</v>
      </c>
      <c r="L100" s="314">
        <f t="shared" si="55"/>
        <v>28.18</v>
      </c>
      <c r="M100" s="314">
        <f t="shared" si="56"/>
        <v>3755.87</v>
      </c>
      <c r="N100" s="314">
        <f t="shared" si="57"/>
        <v>364.03</v>
      </c>
      <c r="O100" s="314">
        <f t="shared" si="58"/>
        <v>4119.8999999999996</v>
      </c>
      <c r="P100" s="314"/>
      <c r="Q100" s="315"/>
      <c r="R100" s="315"/>
      <c r="S100" s="286"/>
      <c r="T100" s="287"/>
      <c r="U100" s="288" t="str">
        <f t="shared" si="38"/>
        <v/>
      </c>
      <c r="V100" s="287"/>
      <c r="W100" s="289" t="str">
        <f t="shared" si="39"/>
        <v/>
      </c>
      <c r="X100" s="287"/>
      <c r="Y100" s="290" t="str">
        <f t="shared" si="40"/>
        <v/>
      </c>
      <c r="Z100" s="291">
        <f ca="1">SUMIF($T$8:Y$1018,"QUANT.",T100:Y100)</f>
        <v>0</v>
      </c>
      <c r="AA100" s="292">
        <f t="shared" ca="1" si="41"/>
        <v>0</v>
      </c>
      <c r="AB100" s="293" t="str">
        <f t="shared" ca="1" si="42"/>
        <v>MEDIR</v>
      </c>
      <c r="AC100" s="294">
        <f t="shared" ca="1" si="43"/>
        <v>146.19999999999999</v>
      </c>
      <c r="AD100" s="294">
        <f t="shared" ca="1" si="44"/>
        <v>4119.8999999999996</v>
      </c>
      <c r="AE100" s="295"/>
      <c r="AF100" s="295"/>
      <c r="AG100" s="296"/>
      <c r="AH100" s="296"/>
      <c r="AI100" s="296"/>
      <c r="AJ100" s="295"/>
      <c r="AK100" s="38"/>
      <c r="AL100" s="38"/>
      <c r="AM100" s="38"/>
    </row>
    <row r="101" spans="1:39" x14ac:dyDescent="0.25">
      <c r="A101" s="232">
        <f t="shared" si="30"/>
        <v>101</v>
      </c>
      <c r="B101" s="232"/>
      <c r="C101" s="281">
        <f>+E101</f>
        <v>7</v>
      </c>
      <c r="D101" s="297"/>
      <c r="E101" s="298">
        <v>7</v>
      </c>
      <c r="F101" s="322"/>
      <c r="G101" s="299" t="s">
        <v>11966</v>
      </c>
      <c r="H101" s="300"/>
      <c r="I101" s="303"/>
      <c r="J101" s="302"/>
      <c r="K101" s="303"/>
      <c r="L101" s="303"/>
      <c r="M101" s="304">
        <f>TRUNC(SUMIF(M102:M118,"&gt;0",M102:M118),2)</f>
        <v>247254.12</v>
      </c>
      <c r="N101" s="304">
        <f>TRUNC(SUMIF(N102:N118,"&gt;0",N102:N118),2)</f>
        <v>24844.66</v>
      </c>
      <c r="O101" s="305"/>
      <c r="P101" s="304">
        <f>SUMIF(O102:O118,"&gt;0",O102:O118)</f>
        <v>272098.78000000003</v>
      </c>
      <c r="Q101" s="306"/>
      <c r="R101" s="306"/>
      <c r="S101" s="286"/>
      <c r="T101" s="287"/>
      <c r="U101" s="288" t="str">
        <f t="shared" si="38"/>
        <v/>
      </c>
      <c r="V101" s="287"/>
      <c r="W101" s="289" t="str">
        <f t="shared" si="39"/>
        <v/>
      </c>
      <c r="X101" s="287"/>
      <c r="Y101" s="290" t="str">
        <f t="shared" si="40"/>
        <v/>
      </c>
      <c r="Z101" s="291">
        <f ca="1">SUMIF($T$8:Y$1018,"QUANT.",T101:Y101)</f>
        <v>0</v>
      </c>
      <c r="AA101" s="292">
        <f t="shared" ca="1" si="41"/>
        <v>0</v>
      </c>
      <c r="AB101" s="293" t="str">
        <f t="shared" si="42"/>
        <v/>
      </c>
      <c r="AC101" s="294">
        <f t="shared" ca="1" si="43"/>
        <v>0</v>
      </c>
      <c r="AD101" s="294">
        <f t="shared" ca="1" si="44"/>
        <v>0</v>
      </c>
      <c r="AE101" s="295"/>
      <c r="AF101" s="295"/>
      <c r="AG101" s="296"/>
      <c r="AH101" s="296"/>
      <c r="AI101" s="296"/>
      <c r="AJ101" s="295"/>
      <c r="AK101" s="38"/>
      <c r="AL101" s="38"/>
      <c r="AM101" s="38"/>
    </row>
    <row r="102" spans="1:39" x14ac:dyDescent="0.25">
      <c r="A102" s="232">
        <f t="shared" si="30"/>
        <v>102</v>
      </c>
      <c r="B102" s="232"/>
      <c r="C102" s="316" t="str">
        <f>+E102</f>
        <v>7.1</v>
      </c>
      <c r="D102" s="297"/>
      <c r="E102" s="317" t="s">
        <v>11967</v>
      </c>
      <c r="F102" s="317"/>
      <c r="G102" s="318" t="s">
        <v>11968</v>
      </c>
      <c r="H102" s="317"/>
      <c r="I102" s="319"/>
      <c r="J102" s="317"/>
      <c r="K102" s="317"/>
      <c r="L102" s="317"/>
      <c r="M102" s="317"/>
      <c r="N102" s="317"/>
      <c r="O102" s="317"/>
      <c r="P102" s="317"/>
      <c r="Q102" s="320"/>
      <c r="R102" s="306"/>
      <c r="S102" s="286"/>
      <c r="T102" s="287"/>
      <c r="U102" s="288" t="str">
        <f t="shared" si="38"/>
        <v/>
      </c>
      <c r="V102" s="287"/>
      <c r="W102" s="289" t="str">
        <f t="shared" si="39"/>
        <v/>
      </c>
      <c r="X102" s="287"/>
      <c r="Y102" s="290" t="str">
        <f t="shared" si="40"/>
        <v/>
      </c>
      <c r="Z102" s="291">
        <f ca="1">SUMIF($T$8:Y$1018,"QUANT.",T102:Y102)</f>
        <v>0</v>
      </c>
      <c r="AA102" s="292">
        <f t="shared" ca="1" si="41"/>
        <v>0</v>
      </c>
      <c r="AB102" s="293" t="str">
        <f t="shared" si="42"/>
        <v/>
      </c>
      <c r="AC102" s="294">
        <f t="shared" ca="1" si="43"/>
        <v>0</v>
      </c>
      <c r="AD102" s="294">
        <f t="shared" ca="1" si="44"/>
        <v>0</v>
      </c>
      <c r="AE102" s="295"/>
      <c r="AF102" s="295"/>
      <c r="AG102" s="296"/>
      <c r="AH102" s="296"/>
      <c r="AI102" s="296"/>
      <c r="AJ102" s="295"/>
      <c r="AK102" s="296"/>
      <c r="AL102" s="296"/>
      <c r="AM102" s="296"/>
    </row>
    <row r="103" spans="1:39" ht="38.25" x14ac:dyDescent="0.25">
      <c r="A103" s="232">
        <f t="shared" si="30"/>
        <v>103</v>
      </c>
      <c r="B103" s="232"/>
      <c r="C103" s="307" t="str">
        <f>+C102</f>
        <v>7.1</v>
      </c>
      <c r="D103" s="308">
        <f>1+D102</f>
        <v>1</v>
      </c>
      <c r="E103" s="309" t="str">
        <f>C103&amp;"."&amp;D103</f>
        <v>7.1.1</v>
      </c>
      <c r="F103" s="310" t="s">
        <v>11969</v>
      </c>
      <c r="G103" s="311" t="str">
        <f>IF($F103="","",IFERROR(VLOOKUP($F103,SERVIÇOS!$B:$G,2,0),IFERROR(VLOOKUP($F103,'COMPOSIÇÕES COMPLEMENTARES '!$D:$L,2,0),IFERROR(VLOOKUP($F103,INSUMOS!$A:$D,2,0),""))))</f>
        <v>ESTRUTURA TRELIÇADA DE COBERTURA, COM LIGAÇÕES SOLDADAS, INCLUSOS PERFIS METÁLICOS, CHAPAS METÁLICAS, MÃO DE OBRA E TRANSPORTE COM GUINDASTE - FORNECIMENTO E INSTALAÇÃO. AF_01/2020_PSA</v>
      </c>
      <c r="H103" s="312" t="str">
        <f>IF($F103="","",IFERROR(VLOOKUP($F103,SERVIÇOS!$B:$G,3,0),IFERROR(VLOOKUP($F103,'COMPOSIÇÕES COMPLEMENTARES '!$D:$L,3,0),IFERROR(VLOOKUP($F103,INSUMOS!$A:$D,3,0),""))))</f>
        <v>KG</v>
      </c>
      <c r="I103" s="313">
        <v>5392.76</v>
      </c>
      <c r="J103" s="314">
        <f>IF($F103="","",IFERROR(VLOOKUP($F103,SERVIÇOS!$B:$G,4,0),IFERROR(VLOOKUP($F103,'COMPOSIÇÕES COMPLEMENTARES '!$D:$L,6,0),IFERROR(VLOOKUP($F103,INSUMOS!$A:$D,4,0),""))))</f>
        <v>12.14</v>
      </c>
      <c r="K103" s="314">
        <f>IF($F103="","",IFERROR(VLOOKUP($F103,SERVIÇOS!$B:$G,5,0),IFERROR(VLOOKUP($F103,'COMPOSIÇÕES COMPLEMENTARES '!$D:$L,7,0),0)))</f>
        <v>0.63</v>
      </c>
      <c r="L103" s="314">
        <f>IF(I103="","",J103+K103)</f>
        <v>12.770000000000001</v>
      </c>
      <c r="M103" s="314">
        <f>IF(I103="","",TRUNC((I103*J103),2))</f>
        <v>65468.1</v>
      </c>
      <c r="N103" s="314">
        <f>IF(I103="","",TRUNC((I103*K103),2))</f>
        <v>3397.43</v>
      </c>
      <c r="O103" s="314">
        <f>IF(I103="","",TRUNC((M103+N103),2))</f>
        <v>68865.53</v>
      </c>
      <c r="P103" s="314"/>
      <c r="Q103" s="315"/>
      <c r="R103" s="315"/>
      <c r="S103" s="286"/>
      <c r="T103" s="287"/>
      <c r="U103" s="288" t="str">
        <f t="shared" si="38"/>
        <v/>
      </c>
      <c r="V103" s="287"/>
      <c r="W103" s="289" t="str">
        <f t="shared" si="39"/>
        <v/>
      </c>
      <c r="X103" s="287"/>
      <c r="Y103" s="290" t="str">
        <f t="shared" si="40"/>
        <v/>
      </c>
      <c r="Z103" s="291">
        <f ca="1">SUMIF($T$8:Y$1018,"QUANT.",T103:Y103)</f>
        <v>0</v>
      </c>
      <c r="AA103" s="292">
        <f t="shared" ca="1" si="41"/>
        <v>0</v>
      </c>
      <c r="AB103" s="293" t="str">
        <f t="shared" ca="1" si="42"/>
        <v>MEDIR</v>
      </c>
      <c r="AC103" s="294">
        <f t="shared" ca="1" si="43"/>
        <v>5392.76</v>
      </c>
      <c r="AD103" s="294">
        <f t="shared" ca="1" si="44"/>
        <v>68865.53</v>
      </c>
      <c r="AE103" s="295"/>
      <c r="AF103" s="295"/>
      <c r="AG103" s="296"/>
      <c r="AH103" s="296"/>
      <c r="AI103" s="296"/>
      <c r="AJ103" s="295"/>
      <c r="AK103" s="295"/>
      <c r="AL103" s="295"/>
      <c r="AM103" s="295"/>
    </row>
    <row r="104" spans="1:39" ht="25.5" x14ac:dyDescent="0.25">
      <c r="A104" s="232">
        <f t="shared" si="30"/>
        <v>104</v>
      </c>
      <c r="B104" s="232"/>
      <c r="C104" s="307" t="str">
        <f>+C103</f>
        <v>7.1</v>
      </c>
      <c r="D104" s="308">
        <f>1+D103</f>
        <v>2</v>
      </c>
      <c r="E104" s="309" t="str">
        <f>C104&amp;"."&amp;D104</f>
        <v>7.1.2</v>
      </c>
      <c r="F104" s="310">
        <v>92543</v>
      </c>
      <c r="G104" s="311" t="str">
        <f>IF($F104="","",IFERROR(VLOOKUP($F104,SERVIÇOS!$B:$G,2,0),IFERROR(VLOOKUP($F104,'COMPOSIÇÕES COMPLEMENTARES '!$D:$L,2,0),IFERROR(VLOOKUP($F104,INSUMOS!$A:$D,2,0),""))))</f>
        <v>TRAMA DE MADEIRA COMPOSTA POR TERÇAS PARA TELHADOS DE ATÉ 2 ÁGUAS PARA TELHA ONDULADA DE FIBROCIMENTO, METÁLICA, PLÁSTICA OU TERMOACÚSTICA, INCLUSO TRANSPORTE VERTICAL. AF_07/2019</v>
      </c>
      <c r="H104" s="312" t="str">
        <f>IF($F104="","",IFERROR(VLOOKUP($F104,SERVIÇOS!$B:$G,3,0),IFERROR(VLOOKUP($F104,'COMPOSIÇÕES COMPLEMENTARES '!$D:$L,3,0),IFERROR(VLOOKUP($F104,INSUMOS!$A:$D,3,0),""))))</f>
        <v>M2</v>
      </c>
      <c r="I104" s="313">
        <v>20.67</v>
      </c>
      <c r="J104" s="314">
        <f>IF($F104="","",IFERROR(VLOOKUP($F104,SERVIÇOS!$B:$G,4,0),IFERROR(VLOOKUP($F104,'COMPOSIÇÕES COMPLEMENTARES '!$D:$L,6,0),IFERROR(VLOOKUP($F104,INSUMOS!$A:$D,4,0),""))))</f>
        <v>22.87</v>
      </c>
      <c r="K104" s="314">
        <f>IF($F104="","",IFERROR(VLOOKUP($F104,SERVIÇOS!$B:$G,5,0),IFERROR(VLOOKUP($F104,'COMPOSIÇÕES COMPLEMENTARES '!$D:$L,7,0),0)))</f>
        <v>4.8600000000000003</v>
      </c>
      <c r="L104" s="314">
        <f>IF(I104="","",J104+K104)</f>
        <v>27.73</v>
      </c>
      <c r="M104" s="314">
        <f>IF(I104="","",TRUNC((I104*J104),2))</f>
        <v>472.72</v>
      </c>
      <c r="N104" s="314">
        <f>IF(I104="","",TRUNC((I104*K104),2))</f>
        <v>100.45</v>
      </c>
      <c r="O104" s="314">
        <f>IF(I104="","",TRUNC((M104+N104),2))</f>
        <v>573.16999999999996</v>
      </c>
      <c r="P104" s="314"/>
      <c r="Q104" s="315"/>
      <c r="R104" s="315"/>
      <c r="S104" s="286"/>
      <c r="T104" s="287"/>
      <c r="U104" s="288" t="str">
        <f t="shared" si="38"/>
        <v/>
      </c>
      <c r="V104" s="287"/>
      <c r="W104" s="289" t="str">
        <f t="shared" si="39"/>
        <v/>
      </c>
      <c r="X104" s="287"/>
      <c r="Y104" s="290" t="str">
        <f t="shared" si="40"/>
        <v/>
      </c>
      <c r="Z104" s="291">
        <f ca="1">SUMIF($T$8:Y$1018,"QUANT.",T104:Y104)</f>
        <v>0</v>
      </c>
      <c r="AA104" s="292">
        <f t="shared" ca="1" si="41"/>
        <v>0</v>
      </c>
      <c r="AB104" s="293" t="str">
        <f t="shared" ca="1" si="42"/>
        <v>MEDIR</v>
      </c>
      <c r="AC104" s="294">
        <f t="shared" ca="1" si="43"/>
        <v>20.67</v>
      </c>
      <c r="AD104" s="294">
        <f t="shared" ca="1" si="44"/>
        <v>573.16999999999996</v>
      </c>
      <c r="AE104" s="295"/>
      <c r="AF104" s="295"/>
      <c r="AG104" s="296"/>
      <c r="AH104" s="296"/>
      <c r="AI104" s="296"/>
      <c r="AJ104" s="296"/>
      <c r="AK104" s="295"/>
      <c r="AL104" s="295"/>
      <c r="AM104" s="295"/>
    </row>
    <row r="105" spans="1:39" ht="38.25" x14ac:dyDescent="0.25">
      <c r="A105" s="232">
        <f t="shared" si="30"/>
        <v>105</v>
      </c>
      <c r="B105" s="232"/>
      <c r="C105" s="307" t="str">
        <f>+C104</f>
        <v>7.1</v>
      </c>
      <c r="D105" s="308">
        <f>1+D104</f>
        <v>3</v>
      </c>
      <c r="E105" s="309" t="str">
        <f>C105&amp;"."&amp;D105</f>
        <v>7.1.3</v>
      </c>
      <c r="F105" s="310" t="s">
        <v>11970</v>
      </c>
      <c r="G105" s="311" t="str">
        <f>IF($F105="","",IFERROR(VLOOKUP($F105,SERVIÇOS!$B:$G,2,0),IFERROR(VLOOKUP($F105,'COMPOSIÇÕES COMPLEMENTARES '!$D:$L,2,0),IFERROR(VLOOKUP($F105,INSUMOS!$A:$D,2,0),""))))</f>
        <v>FABRICAÇÃO E INSTALAÇÃO DE ESTRUTURA PONTALETADA DE MADEIRA NÃO APARELHADA PARA TELHADOS COM ATÉ 2 ÁGUAS E PARA TELHA ONDULADA DE FIBROCIMENTO, METÁLICA, PLÁSTICA OU TERMOACÚSTICA, INCLUSO TRANSPORTE VERTICAL. AF_12/2015</v>
      </c>
      <c r="H105" s="312" t="str">
        <f>IF($F105="","",IFERROR(VLOOKUP($F105,SERVIÇOS!$B:$G,3,0),IFERROR(VLOOKUP($F105,'COMPOSIÇÕES COMPLEMENTARES '!$D:$L,3,0),IFERROR(VLOOKUP($F105,INSUMOS!$A:$D,3,0),""))))</f>
        <v>M2</v>
      </c>
      <c r="I105" s="313">
        <v>20.67</v>
      </c>
      <c r="J105" s="314">
        <f>IF($F105="","",IFERROR(VLOOKUP($F105,SERVIÇOS!$B:$G,4,0),IFERROR(VLOOKUP($F105,'COMPOSIÇÕES COMPLEMENTARES '!$D:$L,6,0),IFERROR(VLOOKUP($F105,INSUMOS!$A:$D,4,0),""))))</f>
        <v>22.52</v>
      </c>
      <c r="K105" s="314">
        <f>IF($F105="","",IFERROR(VLOOKUP($F105,SERVIÇOS!$B:$G,5,0),IFERROR(VLOOKUP($F105,'COMPOSIÇÕES COMPLEMENTARES '!$D:$L,7,0),0)))</f>
        <v>5.0900000000000007</v>
      </c>
      <c r="L105" s="314">
        <f>IF(I105="","",J105+K105)</f>
        <v>27.61</v>
      </c>
      <c r="M105" s="314">
        <f>IF(I105="","",TRUNC((I105*J105),2))</f>
        <v>465.48</v>
      </c>
      <c r="N105" s="314">
        <f>IF(I105="","",TRUNC((I105*K105),2))</f>
        <v>105.21</v>
      </c>
      <c r="O105" s="314">
        <f>IF(I105="","",TRUNC((M105+N105),2))</f>
        <v>570.69000000000005</v>
      </c>
      <c r="P105" s="314"/>
      <c r="Q105" s="315"/>
      <c r="R105" s="315"/>
      <c r="S105" s="286"/>
      <c r="T105" s="287"/>
      <c r="U105" s="288" t="str">
        <f t="shared" si="38"/>
        <v/>
      </c>
      <c r="V105" s="287"/>
      <c r="W105" s="289" t="str">
        <f t="shared" si="39"/>
        <v/>
      </c>
      <c r="X105" s="287"/>
      <c r="Y105" s="290" t="str">
        <f t="shared" si="40"/>
        <v/>
      </c>
      <c r="Z105" s="291">
        <f ca="1">SUMIF($T$8:Y$1018,"QUANT.",T105:Y105)</f>
        <v>0</v>
      </c>
      <c r="AA105" s="292">
        <f t="shared" ca="1" si="41"/>
        <v>0</v>
      </c>
      <c r="AB105" s="293" t="str">
        <f t="shared" ca="1" si="42"/>
        <v>MEDIR</v>
      </c>
      <c r="AC105" s="294">
        <f t="shared" ca="1" si="43"/>
        <v>20.67</v>
      </c>
      <c r="AD105" s="294">
        <f t="shared" ca="1" si="44"/>
        <v>570.69000000000005</v>
      </c>
      <c r="AE105" s="295"/>
      <c r="AF105" s="295"/>
      <c r="AG105" s="296"/>
      <c r="AH105" s="296"/>
      <c r="AI105" s="296"/>
      <c r="AJ105" s="295"/>
      <c r="AK105" s="295"/>
      <c r="AL105" s="295"/>
      <c r="AM105" s="295"/>
    </row>
    <row r="106" spans="1:39" ht="25.5" x14ac:dyDescent="0.25">
      <c r="A106" s="232">
        <f t="shared" si="30"/>
        <v>106</v>
      </c>
      <c r="B106" s="232"/>
      <c r="C106" s="307" t="str">
        <f>+C105</f>
        <v>7.1</v>
      </c>
      <c r="D106" s="308">
        <f>1+D105</f>
        <v>4</v>
      </c>
      <c r="E106" s="309" t="str">
        <f>C106&amp;"."&amp;D106</f>
        <v>7.1.4</v>
      </c>
      <c r="F106" s="310">
        <v>100721</v>
      </c>
      <c r="G106" s="311" t="str">
        <f>IF($F106="","",IFERROR(VLOOKUP($F106,SERVIÇOS!$B:$G,2,0),IFERROR(VLOOKUP($F106,'COMPOSIÇÕES COMPLEMENTARES '!$D:$L,2,0),IFERROR(VLOOKUP($F106,INSUMOS!$A:$D,2,0),""))))</f>
        <v>PINTURA COM TINTA ALQUÍDICA DE FUNDO (TIPO ZARCÃO) PULVERIZADA SOBRE SUPERFÍCIES METÁLICAS (EXCETO PERFIL) EXECUTADO EM OBRA (POR DEMÃO). AF_01/2020_PE</v>
      </c>
      <c r="H106" s="312" t="str">
        <f>IF($F106="","",IFERROR(VLOOKUP($F106,SERVIÇOS!$B:$G,3,0),IFERROR(VLOOKUP($F106,'COMPOSIÇÕES COMPLEMENTARES '!$D:$L,3,0),IFERROR(VLOOKUP($F106,INSUMOS!$A:$D,3,0),""))))</f>
        <v>M2</v>
      </c>
      <c r="I106" s="313">
        <v>534.46</v>
      </c>
      <c r="J106" s="314">
        <f>IF($F106="","",IFERROR(VLOOKUP($F106,SERVIÇOS!$B:$G,4,0),IFERROR(VLOOKUP($F106,'COMPOSIÇÕES COMPLEMENTARES '!$D:$L,6,0),IFERROR(VLOOKUP($F106,INSUMOS!$A:$D,4,0),""))))</f>
        <v>15.42</v>
      </c>
      <c r="K106" s="314">
        <f>IF($F106="","",IFERROR(VLOOKUP($F106,SERVIÇOS!$B:$G,5,0),IFERROR(VLOOKUP($F106,'COMPOSIÇÕES COMPLEMENTARES '!$D:$L,7,0),0)))</f>
        <v>14.44</v>
      </c>
      <c r="L106" s="314">
        <f>IF(I106="","",J106+K106)</f>
        <v>29.86</v>
      </c>
      <c r="M106" s="314">
        <f>IF(I106="","",TRUNC((I106*J106),2))</f>
        <v>8241.3700000000008</v>
      </c>
      <c r="N106" s="314">
        <f>IF(I106="","",TRUNC((I106*K106),2))</f>
        <v>7717.6</v>
      </c>
      <c r="O106" s="314">
        <f>IF(I106="","",TRUNC((M106+N106),2))</f>
        <v>15958.97</v>
      </c>
      <c r="P106" s="314"/>
      <c r="Q106" s="315"/>
      <c r="R106" s="315"/>
      <c r="S106" s="286"/>
      <c r="T106" s="287"/>
      <c r="U106" s="288" t="str">
        <f t="shared" si="38"/>
        <v/>
      </c>
      <c r="V106" s="287"/>
      <c r="W106" s="289" t="str">
        <f t="shared" si="39"/>
        <v/>
      </c>
      <c r="X106" s="287"/>
      <c r="Y106" s="290" t="str">
        <f t="shared" si="40"/>
        <v/>
      </c>
      <c r="Z106" s="291">
        <f ca="1">SUMIF($T$8:Y$1018,"QUANT.",T106:Y106)</f>
        <v>0</v>
      </c>
      <c r="AA106" s="292">
        <f t="shared" ca="1" si="41"/>
        <v>0</v>
      </c>
      <c r="AB106" s="293" t="str">
        <f t="shared" ca="1" si="42"/>
        <v>MEDIR</v>
      </c>
      <c r="AC106" s="294">
        <f t="shared" ca="1" si="43"/>
        <v>534.46</v>
      </c>
      <c r="AD106" s="294">
        <f t="shared" ca="1" si="44"/>
        <v>15958.97</v>
      </c>
      <c r="AE106" s="295"/>
      <c r="AF106" s="295"/>
      <c r="AG106" s="296"/>
      <c r="AH106" s="296"/>
      <c r="AI106" s="296"/>
      <c r="AJ106" s="295"/>
      <c r="AK106" s="295"/>
      <c r="AL106" s="295"/>
      <c r="AM106" s="295"/>
    </row>
    <row r="107" spans="1:39" ht="25.5" x14ac:dyDescent="0.25">
      <c r="A107" s="232">
        <f t="shared" si="30"/>
        <v>107</v>
      </c>
      <c r="B107" s="232"/>
      <c r="C107" s="307" t="str">
        <f>+C106</f>
        <v>7.1</v>
      </c>
      <c r="D107" s="308">
        <f>1+D106</f>
        <v>5</v>
      </c>
      <c r="E107" s="309" t="str">
        <f>C107&amp;"."&amp;D107</f>
        <v>7.1.5</v>
      </c>
      <c r="F107" s="310">
        <v>100757</v>
      </c>
      <c r="G107" s="311" t="str">
        <f>IF($F107="","",IFERROR(VLOOKUP($F107,SERVIÇOS!$B:$G,2,0),IFERROR(VLOOKUP($F107,'COMPOSIÇÕES COMPLEMENTARES '!$D:$L,2,0),IFERROR(VLOOKUP($F107,INSUMOS!$A:$D,2,0),""))))</f>
        <v>PINTURA COM TINTA ALQUÍDICA DE ACABAMENTO (ESMALTE SINTÉTICO ACETINADO) PULVERIZADA SOBRE SUPERFÍCIES METÁLICAS (EXCETO PERFIL) EXECUTADO EM OBRA (02 DEMÃOS). AF_01/2020_PE</v>
      </c>
      <c r="H107" s="312" t="str">
        <f>IF($F107="","",IFERROR(VLOOKUP($F107,SERVIÇOS!$B:$G,3,0),IFERROR(VLOOKUP($F107,'COMPOSIÇÕES COMPLEMENTARES '!$D:$L,3,0),IFERROR(VLOOKUP($F107,INSUMOS!$A:$D,3,0),""))))</f>
        <v>M2</v>
      </c>
      <c r="I107" s="313">
        <v>62.4</v>
      </c>
      <c r="J107" s="314">
        <f>IF($F107="","",IFERROR(VLOOKUP($F107,SERVIÇOS!$B:$G,4,0),IFERROR(VLOOKUP($F107,'COMPOSIÇÕES COMPLEMENTARES '!$D:$L,6,0),IFERROR(VLOOKUP($F107,INSUMOS!$A:$D,4,0),""))))</f>
        <v>30.1</v>
      </c>
      <c r="K107" s="314">
        <f>IF($F107="","",IFERROR(VLOOKUP($F107,SERVIÇOS!$B:$G,5,0),IFERROR(VLOOKUP($F107,'COMPOSIÇÕES COMPLEMENTARES '!$D:$L,7,0),0)))</f>
        <v>28.89</v>
      </c>
      <c r="L107" s="314">
        <f>IF(I107="","",J107+K107)</f>
        <v>58.99</v>
      </c>
      <c r="M107" s="314">
        <f>IF(I107="","",TRUNC((I107*J107),2))</f>
        <v>1878.24</v>
      </c>
      <c r="N107" s="314">
        <f>IF(I107="","",TRUNC((I107*K107),2))</f>
        <v>1802.73</v>
      </c>
      <c r="O107" s="314">
        <f>IF(I107="","",TRUNC((M107+N107),2))</f>
        <v>3680.97</v>
      </c>
      <c r="P107" s="314"/>
      <c r="Q107" s="315"/>
      <c r="R107" s="315"/>
      <c r="S107" s="286"/>
      <c r="T107" s="287"/>
      <c r="U107" s="288" t="str">
        <f t="shared" si="38"/>
        <v/>
      </c>
      <c r="V107" s="287"/>
      <c r="W107" s="289" t="str">
        <f t="shared" si="39"/>
        <v/>
      </c>
      <c r="X107" s="287"/>
      <c r="Y107" s="290" t="str">
        <f t="shared" si="40"/>
        <v/>
      </c>
      <c r="Z107" s="291">
        <f ca="1">SUMIF($T$8:Y$1018,"QUANT.",T107:Y107)</f>
        <v>0</v>
      </c>
      <c r="AA107" s="292">
        <f t="shared" ca="1" si="41"/>
        <v>0</v>
      </c>
      <c r="AB107" s="293" t="str">
        <f t="shared" ca="1" si="42"/>
        <v>MEDIR</v>
      </c>
      <c r="AC107" s="294">
        <f t="shared" ca="1" si="43"/>
        <v>62.4</v>
      </c>
      <c r="AD107" s="294">
        <f t="shared" ca="1" si="44"/>
        <v>3680.97</v>
      </c>
      <c r="AE107" s="295"/>
      <c r="AF107" s="295"/>
      <c r="AG107" s="296"/>
      <c r="AH107" s="296"/>
      <c r="AI107" s="296"/>
      <c r="AJ107" s="295"/>
      <c r="AK107" s="295"/>
      <c r="AL107" s="295"/>
      <c r="AM107" s="295"/>
    </row>
    <row r="108" spans="1:39" x14ac:dyDescent="0.25">
      <c r="A108" s="232">
        <f t="shared" si="30"/>
        <v>108</v>
      </c>
      <c r="B108" s="232"/>
      <c r="C108" s="316" t="str">
        <f>+E108</f>
        <v>7.2</v>
      </c>
      <c r="D108" s="297"/>
      <c r="E108" s="317" t="s">
        <v>11971</v>
      </c>
      <c r="F108" s="317"/>
      <c r="G108" s="318" t="s">
        <v>11972</v>
      </c>
      <c r="H108" s="317"/>
      <c r="I108" s="319"/>
      <c r="J108" s="317"/>
      <c r="K108" s="317"/>
      <c r="L108" s="317"/>
      <c r="M108" s="317"/>
      <c r="N108" s="317"/>
      <c r="O108" s="317"/>
      <c r="P108" s="317"/>
      <c r="Q108" s="320"/>
      <c r="R108" s="306"/>
      <c r="S108" s="286"/>
      <c r="T108" s="287"/>
      <c r="U108" s="288" t="str">
        <f t="shared" si="38"/>
        <v/>
      </c>
      <c r="V108" s="287"/>
      <c r="W108" s="289" t="str">
        <f t="shared" si="39"/>
        <v/>
      </c>
      <c r="X108" s="287"/>
      <c r="Y108" s="290" t="str">
        <f t="shared" si="40"/>
        <v/>
      </c>
      <c r="Z108" s="291">
        <f ca="1">SUMIF($T$8:Y$1018,"QUANT.",T108:Y108)</f>
        <v>0</v>
      </c>
      <c r="AA108" s="292">
        <f t="shared" ca="1" si="41"/>
        <v>0</v>
      </c>
      <c r="AB108" s="293" t="str">
        <f t="shared" si="42"/>
        <v/>
      </c>
      <c r="AC108" s="294">
        <f t="shared" ca="1" si="43"/>
        <v>0</v>
      </c>
      <c r="AD108" s="294">
        <f t="shared" ca="1" si="44"/>
        <v>0</v>
      </c>
      <c r="AE108" s="295"/>
      <c r="AF108" s="295"/>
      <c r="AG108" s="296"/>
      <c r="AH108" s="296"/>
      <c r="AI108" s="296"/>
      <c r="AJ108" s="295"/>
      <c r="AK108" s="296"/>
      <c r="AL108" s="296"/>
      <c r="AM108" s="296"/>
    </row>
    <row r="109" spans="1:39" ht="25.5" x14ac:dyDescent="0.25">
      <c r="A109" s="232">
        <f t="shared" si="30"/>
        <v>109</v>
      </c>
      <c r="B109" s="232"/>
      <c r="C109" s="307" t="str">
        <f>+C108</f>
        <v>7.2</v>
      </c>
      <c r="D109" s="308">
        <f>1+D108</f>
        <v>1</v>
      </c>
      <c r="E109" s="309" t="str">
        <f>C109&amp;"."&amp;D109</f>
        <v>7.2.1</v>
      </c>
      <c r="F109" s="310">
        <v>94213</v>
      </c>
      <c r="G109" s="311" t="str">
        <f>IF($F109="","",IFERROR(VLOOKUP($F109,SERVIÇOS!$B:$G,2,0),IFERROR(VLOOKUP($F109,'COMPOSIÇÕES COMPLEMENTARES '!$D:$L,2,0),IFERROR(VLOOKUP($F109,INSUMOS!$A:$D,2,0),""))))</f>
        <v>TELHAMENTO COM TELHA DE AÇO/ALUMÍNIO E = 0,5 MM, COM ATÉ 2 ÁGUAS, INCLUSO IÇAMENTO. AF_07/2019</v>
      </c>
      <c r="H109" s="312" t="str">
        <f>IF($F109="","",IFERROR(VLOOKUP($F109,SERVIÇOS!$B:$G,3,0),IFERROR(VLOOKUP($F109,'COMPOSIÇÕES COMPLEMENTARES '!$D:$L,3,0),IFERROR(VLOOKUP($F109,INSUMOS!$A:$D,3,0),""))))</f>
        <v>M2</v>
      </c>
      <c r="I109" s="313">
        <v>62.4</v>
      </c>
      <c r="J109" s="314">
        <f>IF($F109="","",IFERROR(VLOOKUP($F109,SERVIÇOS!$B:$G,4,0),IFERROR(VLOOKUP($F109,'COMPOSIÇÕES COMPLEMENTARES '!$D:$L,6,0),IFERROR(VLOOKUP($F109,INSUMOS!$A:$D,4,0),""))))</f>
        <v>66.75</v>
      </c>
      <c r="K109" s="314">
        <f>IF($F109="","",IFERROR(VLOOKUP($F109,SERVIÇOS!$B:$G,5,0),IFERROR(VLOOKUP($F109,'COMPOSIÇÕES COMPLEMENTARES '!$D:$L,7,0),0)))</f>
        <v>4.3899999999999997</v>
      </c>
      <c r="L109" s="314">
        <f>IF(I109="","",J109+K109)</f>
        <v>71.14</v>
      </c>
      <c r="M109" s="314">
        <f>IF(I109="","",TRUNC((I109*J109),2))</f>
        <v>4165.2</v>
      </c>
      <c r="N109" s="314">
        <f>IF(I109="","",TRUNC((I109*K109),2))</f>
        <v>273.93</v>
      </c>
      <c r="O109" s="314">
        <f>IF(I109="","",TRUNC((M109+N109),2))</f>
        <v>4439.13</v>
      </c>
      <c r="P109" s="314"/>
      <c r="Q109" s="315"/>
      <c r="R109" s="315"/>
      <c r="S109" s="286"/>
      <c r="T109" s="287"/>
      <c r="U109" s="288" t="str">
        <f t="shared" si="38"/>
        <v/>
      </c>
      <c r="V109" s="287"/>
      <c r="W109" s="289" t="str">
        <f t="shared" si="39"/>
        <v/>
      </c>
      <c r="X109" s="287"/>
      <c r="Y109" s="290" t="str">
        <f t="shared" si="40"/>
        <v/>
      </c>
      <c r="Z109" s="291">
        <f ca="1">SUMIF($T$8:Y$1018,"QUANT.",T109:Y109)</f>
        <v>0</v>
      </c>
      <c r="AA109" s="292">
        <f t="shared" ca="1" si="41"/>
        <v>0</v>
      </c>
      <c r="AB109" s="293" t="str">
        <f t="shared" ca="1" si="42"/>
        <v>MEDIR</v>
      </c>
      <c r="AC109" s="294">
        <f t="shared" ca="1" si="43"/>
        <v>62.4</v>
      </c>
      <c r="AD109" s="294">
        <f t="shared" ca="1" si="44"/>
        <v>4439.13</v>
      </c>
      <c r="AE109" s="295"/>
      <c r="AF109" s="295"/>
      <c r="AG109" s="296"/>
      <c r="AH109" s="296"/>
      <c r="AI109" s="296"/>
      <c r="AJ109" s="295"/>
      <c r="AK109" s="295"/>
      <c r="AL109" s="295"/>
      <c r="AM109" s="295"/>
    </row>
    <row r="110" spans="1:39" ht="38.25" x14ac:dyDescent="0.25">
      <c r="A110" s="232">
        <f t="shared" si="30"/>
        <v>110</v>
      </c>
      <c r="B110" s="232"/>
      <c r="C110" s="307" t="str">
        <f>+C109</f>
        <v>7.2</v>
      </c>
      <c r="D110" s="308">
        <f>1+D109</f>
        <v>2</v>
      </c>
      <c r="E110" s="309" t="str">
        <f>C110&amp;"."&amp;D110</f>
        <v>7.2.2</v>
      </c>
      <c r="F110" s="310">
        <v>94207</v>
      </c>
      <c r="G110" s="311" t="str">
        <f>IF($F110="","",IFERROR(VLOOKUP($F110,SERVIÇOS!$B:$G,2,0),IFERROR(VLOOKUP($F110,'COMPOSIÇÕES COMPLEMENTARES '!$D:$L,2,0),IFERROR(VLOOKUP($F110,INSUMOS!$A:$D,2,0),""))))</f>
        <v>TELHAMENTO COM TELHA ONDULADA DE FIBROCIMENTO E = 6 MM, COM RECOBRIMENTO LATERAL DE 1/4 DE ONDA PARA TELHADO COM INCLINAÇÃO MAIOR QUE 10°, COM ATÉ 2 ÁGUAS, INCLUSO IÇAMENTO. AF_07/2019</v>
      </c>
      <c r="H110" s="312" t="str">
        <f>IF($F110="","",IFERROR(VLOOKUP($F110,SERVIÇOS!$B:$G,3,0),IFERROR(VLOOKUP($F110,'COMPOSIÇÕES COMPLEMENTARES '!$D:$L,3,0),IFERROR(VLOOKUP($F110,INSUMOS!$A:$D,3,0),""))))</f>
        <v>M2</v>
      </c>
      <c r="I110" s="313">
        <v>531.67999999999995</v>
      </c>
      <c r="J110" s="314">
        <f>IF($F110="","",IFERROR(VLOOKUP($F110,SERVIÇOS!$B:$G,4,0),IFERROR(VLOOKUP($F110,'COMPOSIÇÕES COMPLEMENTARES '!$D:$L,6,0),IFERROR(VLOOKUP($F110,INSUMOS!$A:$D,4,0),""))))</f>
        <v>40.75</v>
      </c>
      <c r="K110" s="314">
        <f>IF($F110="","",IFERROR(VLOOKUP($F110,SERVIÇOS!$B:$G,5,0),IFERROR(VLOOKUP($F110,'COMPOSIÇÕES COMPLEMENTARES '!$D:$L,7,0),0)))</f>
        <v>6.33</v>
      </c>
      <c r="L110" s="314">
        <f>IF(I110="","",J110+K110)</f>
        <v>47.08</v>
      </c>
      <c r="M110" s="314">
        <f>IF(I110="","",TRUNC((I110*J110),2))</f>
        <v>21665.96</v>
      </c>
      <c r="N110" s="314">
        <f>IF(I110="","",TRUNC((I110*K110),2))</f>
        <v>3365.53</v>
      </c>
      <c r="O110" s="314">
        <f>IF(I110="","",TRUNC((M110+N110),2))</f>
        <v>25031.49</v>
      </c>
      <c r="P110" s="314"/>
      <c r="Q110" s="315"/>
      <c r="R110" s="315"/>
      <c r="S110" s="286"/>
      <c r="T110" s="287"/>
      <c r="U110" s="288" t="str">
        <f t="shared" si="38"/>
        <v/>
      </c>
      <c r="V110" s="287"/>
      <c r="W110" s="289" t="str">
        <f t="shared" si="39"/>
        <v/>
      </c>
      <c r="X110" s="287"/>
      <c r="Y110" s="290" t="str">
        <f t="shared" si="40"/>
        <v/>
      </c>
      <c r="Z110" s="291">
        <f ca="1">SUMIF($T$8:Y$1018,"QUANT.",T110:Y110)</f>
        <v>0</v>
      </c>
      <c r="AA110" s="292">
        <f t="shared" ca="1" si="41"/>
        <v>0</v>
      </c>
      <c r="AB110" s="293" t="str">
        <f t="shared" ca="1" si="42"/>
        <v>MEDIR</v>
      </c>
      <c r="AC110" s="294">
        <f t="shared" ca="1" si="43"/>
        <v>531.67999999999995</v>
      </c>
      <c r="AD110" s="294">
        <f t="shared" ca="1" si="44"/>
        <v>25031.49</v>
      </c>
      <c r="AE110" s="295"/>
      <c r="AF110" s="295"/>
      <c r="AG110" s="296"/>
      <c r="AH110" s="296"/>
      <c r="AI110" s="296"/>
      <c r="AJ110" s="296"/>
      <c r="AK110" s="295"/>
      <c r="AL110" s="295"/>
      <c r="AM110" s="295"/>
    </row>
    <row r="111" spans="1:39" x14ac:dyDescent="0.25">
      <c r="A111" s="232">
        <f t="shared" si="30"/>
        <v>111</v>
      </c>
      <c r="B111" s="232"/>
      <c r="C111" s="316" t="str">
        <f>+E111</f>
        <v>7.3</v>
      </c>
      <c r="D111" s="297"/>
      <c r="E111" s="317" t="s">
        <v>11973</v>
      </c>
      <c r="F111" s="317"/>
      <c r="G111" s="318" t="s">
        <v>11974</v>
      </c>
      <c r="H111" s="317"/>
      <c r="I111" s="319"/>
      <c r="J111" s="317"/>
      <c r="K111" s="317"/>
      <c r="L111" s="317"/>
      <c r="M111" s="317"/>
      <c r="N111" s="317"/>
      <c r="O111" s="317"/>
      <c r="P111" s="317"/>
      <c r="Q111" s="320"/>
      <c r="R111" s="306"/>
      <c r="S111" s="286"/>
      <c r="T111" s="287"/>
      <c r="U111" s="288" t="str">
        <f t="shared" si="38"/>
        <v/>
      </c>
      <c r="V111" s="287"/>
      <c r="W111" s="289" t="str">
        <f t="shared" si="39"/>
        <v/>
      </c>
      <c r="X111" s="287"/>
      <c r="Y111" s="290" t="str">
        <f t="shared" si="40"/>
        <v/>
      </c>
      <c r="Z111" s="291">
        <f ca="1">SUMIF($T$8:Y$1018,"QUANT.",T111:Y111)</f>
        <v>0</v>
      </c>
      <c r="AA111" s="292">
        <f t="shared" ca="1" si="41"/>
        <v>0</v>
      </c>
      <c r="AB111" s="293" t="str">
        <f t="shared" si="42"/>
        <v/>
      </c>
      <c r="AC111" s="294">
        <f t="shared" ca="1" si="43"/>
        <v>0</v>
      </c>
      <c r="AD111" s="294">
        <f t="shared" ca="1" si="44"/>
        <v>0</v>
      </c>
      <c r="AE111" s="295"/>
      <c r="AF111" s="295"/>
      <c r="AG111" s="296"/>
      <c r="AH111" s="296"/>
      <c r="AI111" s="296"/>
      <c r="AJ111" s="295"/>
      <c r="AK111" s="295"/>
      <c r="AL111" s="295"/>
      <c r="AM111" s="295"/>
    </row>
    <row r="112" spans="1:39" ht="25.5" x14ac:dyDescent="0.25">
      <c r="A112" s="232">
        <f t="shared" si="30"/>
        <v>112</v>
      </c>
      <c r="B112" s="232"/>
      <c r="C112" s="307" t="str">
        <f>+C111</f>
        <v>7.3</v>
      </c>
      <c r="D112" s="308">
        <f>1+D111</f>
        <v>1</v>
      </c>
      <c r="E112" s="309" t="str">
        <f>C112&amp;"."&amp;D112</f>
        <v>7.3.1</v>
      </c>
      <c r="F112" s="310">
        <v>94229</v>
      </c>
      <c r="G112" s="311" t="str">
        <f>IF($F112="","",IFERROR(VLOOKUP($F112,SERVIÇOS!$B:$G,2,0),IFERROR(VLOOKUP($F112,'COMPOSIÇÕES COMPLEMENTARES '!$D:$L,2,0),IFERROR(VLOOKUP($F112,INSUMOS!$A:$D,2,0),""))))</f>
        <v>CALHA EM CHAPA DE AÇO GALVANIZADO NÚMERO 24, DESENVOLVIMENTO DE 100 CM, INCLUSO TRANSPORTE VERTICAL. AF_07/2019</v>
      </c>
      <c r="H112" s="312" t="str">
        <f>IF($F112="","",IFERROR(VLOOKUP($F112,SERVIÇOS!$B:$G,3,0),IFERROR(VLOOKUP($F112,'COMPOSIÇÕES COMPLEMENTARES '!$D:$L,3,0),IFERROR(VLOOKUP($F112,INSUMOS!$A:$D,3,0),""))))</f>
        <v>M</v>
      </c>
      <c r="I112" s="313">
        <v>128.38</v>
      </c>
      <c r="J112" s="314">
        <f>IF($F112="","",IFERROR(VLOOKUP($F112,SERVIÇOS!$B:$G,4,0),IFERROR(VLOOKUP($F112,'COMPOSIÇÕES COMPLEMENTARES '!$D:$L,6,0),IFERROR(VLOOKUP($F112,INSUMOS!$A:$D,4,0),""))))</f>
        <v>139.16999999999999</v>
      </c>
      <c r="K112" s="314">
        <f>IF($F112="","",IFERROR(VLOOKUP($F112,SERVIÇOS!$B:$G,5,0),IFERROR(VLOOKUP($F112,'COMPOSIÇÕES COMPLEMENTARES '!$D:$L,7,0),0)))</f>
        <v>27.74</v>
      </c>
      <c r="L112" s="314">
        <f>IF(I112="","",J112+K112)</f>
        <v>166.91</v>
      </c>
      <c r="M112" s="314">
        <f>IF(I112="","",TRUNC((I112*J112),2))</f>
        <v>17866.64</v>
      </c>
      <c r="N112" s="314">
        <f>IF(I112="","",TRUNC((I112*K112),2))</f>
        <v>3561.26</v>
      </c>
      <c r="O112" s="314">
        <f>IF(I112="","",TRUNC((M112+N112),2))</f>
        <v>21427.9</v>
      </c>
      <c r="P112" s="314"/>
      <c r="Q112" s="315"/>
      <c r="R112" s="315"/>
      <c r="S112" s="286"/>
      <c r="T112" s="287"/>
      <c r="U112" s="288" t="str">
        <f t="shared" si="38"/>
        <v/>
      </c>
      <c r="V112" s="287"/>
      <c r="W112" s="289" t="str">
        <f t="shared" si="39"/>
        <v/>
      </c>
      <c r="X112" s="287"/>
      <c r="Y112" s="290" t="str">
        <f t="shared" si="40"/>
        <v/>
      </c>
      <c r="Z112" s="291">
        <f ca="1">SUMIF($T$8:Y$1018,"QUANT.",T112:Y112)</f>
        <v>0</v>
      </c>
      <c r="AA112" s="292">
        <f t="shared" ca="1" si="41"/>
        <v>0</v>
      </c>
      <c r="AB112" s="293" t="str">
        <f t="shared" ca="1" si="42"/>
        <v>MEDIR</v>
      </c>
      <c r="AC112" s="294">
        <f t="shared" ca="1" si="43"/>
        <v>128.38</v>
      </c>
      <c r="AD112" s="294">
        <f t="shared" ca="1" si="44"/>
        <v>21427.9</v>
      </c>
      <c r="AE112" s="295"/>
      <c r="AF112" s="295"/>
      <c r="AG112" s="296"/>
      <c r="AH112" s="296"/>
      <c r="AI112" s="296"/>
      <c r="AJ112" s="296"/>
      <c r="AK112" s="295"/>
      <c r="AL112" s="295"/>
      <c r="AM112" s="295"/>
    </row>
    <row r="113" spans="1:39" ht="25.5" x14ac:dyDescent="0.25">
      <c r="A113" s="232">
        <f t="shared" si="30"/>
        <v>113</v>
      </c>
      <c r="B113" s="232"/>
      <c r="C113" s="307" t="str">
        <f>+C112</f>
        <v>7.3</v>
      </c>
      <c r="D113" s="308">
        <f>1+D112</f>
        <v>2</v>
      </c>
      <c r="E113" s="309" t="str">
        <f>C113&amp;"."&amp;D113</f>
        <v>7.3.2</v>
      </c>
      <c r="F113" s="310">
        <v>94231</v>
      </c>
      <c r="G113" s="311" t="str">
        <f>IF($F113="","",IFERROR(VLOOKUP($F113,SERVIÇOS!$B:$G,2,0),IFERROR(VLOOKUP($F113,'COMPOSIÇÕES COMPLEMENTARES '!$D:$L,2,0),IFERROR(VLOOKUP($F113,INSUMOS!$A:$D,2,0),""))))</f>
        <v>RUFO EM CHAPA DE AÇO GALVANIZADO NÚMERO 24, CORTE DE 25 CM, INCLUSO TRANSPORTE VERTICAL. AF_07/2019</v>
      </c>
      <c r="H113" s="312" t="str">
        <f>IF($F113="","",IFERROR(VLOOKUP($F113,SERVIÇOS!$B:$G,3,0),IFERROR(VLOOKUP($F113,'COMPOSIÇÕES COMPLEMENTARES '!$D:$L,3,0),IFERROR(VLOOKUP($F113,INSUMOS!$A:$D,3,0),""))))</f>
        <v>M</v>
      </c>
      <c r="I113" s="313">
        <v>280.91000000000003</v>
      </c>
      <c r="J113" s="314">
        <f>IF($F113="","",IFERROR(VLOOKUP($F113,SERVIÇOS!$B:$G,4,0),IFERROR(VLOOKUP($F113,'COMPOSIÇÕES COMPLEMENTARES '!$D:$L,6,0),IFERROR(VLOOKUP($F113,INSUMOS!$A:$D,4,0),""))))</f>
        <v>43.46</v>
      </c>
      <c r="K113" s="314">
        <f>IF($F113="","",IFERROR(VLOOKUP($F113,SERVIÇOS!$B:$G,5,0),IFERROR(VLOOKUP($F113,'COMPOSIÇÕES COMPLEMENTARES '!$D:$L,7,0),0)))</f>
        <v>7.88</v>
      </c>
      <c r="L113" s="314">
        <f>IF(I113="","",J113+K113)</f>
        <v>51.34</v>
      </c>
      <c r="M113" s="314">
        <f>IF(I113="","",TRUNC((I113*J113),2))</f>
        <v>12208.34</v>
      </c>
      <c r="N113" s="314">
        <f>IF(I113="","",TRUNC((I113*K113),2))</f>
        <v>2213.5700000000002</v>
      </c>
      <c r="O113" s="314">
        <f>IF(I113="","",TRUNC((M113+N113),2))</f>
        <v>14421.91</v>
      </c>
      <c r="P113" s="314"/>
      <c r="Q113" s="315"/>
      <c r="R113" s="315"/>
      <c r="S113" s="286"/>
      <c r="T113" s="287"/>
      <c r="U113" s="288" t="str">
        <f t="shared" si="38"/>
        <v/>
      </c>
      <c r="V113" s="287"/>
      <c r="W113" s="289" t="str">
        <f t="shared" si="39"/>
        <v/>
      </c>
      <c r="X113" s="287"/>
      <c r="Y113" s="290" t="str">
        <f t="shared" si="40"/>
        <v/>
      </c>
      <c r="Z113" s="291">
        <f ca="1">SUMIF($T$8:Y$1018,"QUANT.",T113:Y113)</f>
        <v>0</v>
      </c>
      <c r="AA113" s="292">
        <f t="shared" ca="1" si="41"/>
        <v>0</v>
      </c>
      <c r="AB113" s="293" t="str">
        <f t="shared" ca="1" si="42"/>
        <v>MEDIR</v>
      </c>
      <c r="AC113" s="294">
        <f t="shared" ca="1" si="43"/>
        <v>280.91000000000003</v>
      </c>
      <c r="AD113" s="294">
        <f t="shared" ca="1" si="44"/>
        <v>14421.91</v>
      </c>
      <c r="AE113" s="295"/>
      <c r="AF113" s="295"/>
      <c r="AG113" s="296"/>
      <c r="AH113" s="296"/>
      <c r="AI113" s="296"/>
      <c r="AJ113" s="295"/>
      <c r="AK113" s="295"/>
      <c r="AL113" s="295"/>
      <c r="AM113" s="295"/>
    </row>
    <row r="114" spans="1:39" ht="25.5" x14ac:dyDescent="0.25">
      <c r="A114" s="232">
        <f t="shared" si="30"/>
        <v>114</v>
      </c>
      <c r="B114" s="232"/>
      <c r="C114" s="307" t="str">
        <f>+C113</f>
        <v>7.3</v>
      </c>
      <c r="D114" s="308">
        <f>1+D113</f>
        <v>3</v>
      </c>
      <c r="E114" s="309" t="str">
        <f>C114&amp;"."&amp;D114</f>
        <v>7.3.3</v>
      </c>
      <c r="F114" s="310">
        <v>100327</v>
      </c>
      <c r="G114" s="311" t="str">
        <f>IF($F114="","",IFERROR(VLOOKUP($F114,SERVIÇOS!$B:$G,2,0),IFERROR(VLOOKUP($F114,'COMPOSIÇÕES COMPLEMENTARES '!$D:$L,2,0),IFERROR(VLOOKUP($F114,INSUMOS!$A:$D,2,0),""))))</f>
        <v>RUFO EXTERNO/INTERNO EM CHAPA DE AÇO GALVANIZADO NÚMERO 26, CORTE DE 33 CM, INCLUSO IÇAMENTO. AF_07/2019</v>
      </c>
      <c r="H114" s="312" t="str">
        <f>IF($F114="","",IFERROR(VLOOKUP($F114,SERVIÇOS!$B:$G,3,0),IFERROR(VLOOKUP($F114,'COMPOSIÇÕES COMPLEMENTARES '!$D:$L,3,0),IFERROR(VLOOKUP($F114,INSUMOS!$A:$D,3,0),""))))</f>
        <v>M</v>
      </c>
      <c r="I114" s="313">
        <v>95.06</v>
      </c>
      <c r="J114" s="314">
        <f>IF($F114="","",IFERROR(VLOOKUP($F114,SERVIÇOS!$B:$G,4,0),IFERROR(VLOOKUP($F114,'COMPOSIÇÕES COMPLEMENTARES '!$D:$L,6,0),IFERROR(VLOOKUP($F114,INSUMOS!$A:$D,4,0),""))))</f>
        <v>49.07</v>
      </c>
      <c r="K114" s="314">
        <f>IF($F114="","",IFERROR(VLOOKUP($F114,SERVIÇOS!$B:$G,5,0),IFERROR(VLOOKUP($F114,'COMPOSIÇÕES COMPLEMENTARES '!$D:$L,7,0),0)))</f>
        <v>9.4</v>
      </c>
      <c r="L114" s="314">
        <f>IF(I114="","",J114+K114)</f>
        <v>58.47</v>
      </c>
      <c r="M114" s="314">
        <f>IF(I114="","",TRUNC((I114*J114),2))</f>
        <v>4664.59</v>
      </c>
      <c r="N114" s="314">
        <f>IF(I114="","",TRUNC((I114*K114),2))</f>
        <v>893.56</v>
      </c>
      <c r="O114" s="314">
        <f>IF(I114="","",TRUNC((M114+N114),2))</f>
        <v>5558.15</v>
      </c>
      <c r="P114" s="314"/>
      <c r="Q114" s="315"/>
      <c r="R114" s="315"/>
      <c r="S114" s="286"/>
      <c r="T114" s="287"/>
      <c r="U114" s="288" t="str">
        <f t="shared" si="38"/>
        <v/>
      </c>
      <c r="V114" s="287"/>
      <c r="W114" s="289" t="str">
        <f t="shared" si="39"/>
        <v/>
      </c>
      <c r="X114" s="287"/>
      <c r="Y114" s="290" t="str">
        <f t="shared" si="40"/>
        <v/>
      </c>
      <c r="Z114" s="291">
        <f ca="1">SUMIF($T$8:Y$1018,"QUANT.",T114:Y114)</f>
        <v>0</v>
      </c>
      <c r="AA114" s="292">
        <f t="shared" ca="1" si="41"/>
        <v>0</v>
      </c>
      <c r="AB114" s="293" t="str">
        <f t="shared" ca="1" si="42"/>
        <v>MEDIR</v>
      </c>
      <c r="AC114" s="294">
        <f t="shared" ca="1" si="43"/>
        <v>95.06</v>
      </c>
      <c r="AD114" s="294">
        <f t="shared" ca="1" si="44"/>
        <v>5558.15</v>
      </c>
      <c r="AE114" s="295"/>
      <c r="AF114" s="295"/>
      <c r="AG114" s="296"/>
      <c r="AH114" s="296"/>
      <c r="AI114" s="296"/>
      <c r="AJ114" s="38"/>
      <c r="AK114" s="296"/>
      <c r="AL114" s="296"/>
      <c r="AM114" s="296"/>
    </row>
    <row r="115" spans="1:39" ht="25.5" x14ac:dyDescent="0.25">
      <c r="A115" s="232">
        <f t="shared" si="30"/>
        <v>115</v>
      </c>
      <c r="B115" s="232"/>
      <c r="C115" s="307" t="str">
        <f>+C114</f>
        <v>7.3</v>
      </c>
      <c r="D115" s="308">
        <f>1+D114</f>
        <v>4</v>
      </c>
      <c r="E115" s="309" t="str">
        <f>C115&amp;"."&amp;D115</f>
        <v>7.3.4</v>
      </c>
      <c r="F115" s="310">
        <v>100327</v>
      </c>
      <c r="G115" s="311" t="str">
        <f>IF($F115="","",IFERROR(VLOOKUP($F115,SERVIÇOS!$B:$G,2,0),IFERROR(VLOOKUP($F115,'COMPOSIÇÕES COMPLEMENTARES '!$D:$L,2,0),IFERROR(VLOOKUP($F115,INSUMOS!$A:$D,2,0),""))))</f>
        <v>RUFO EXTERNO/INTERNO EM CHAPA DE AÇO GALVANIZADO NÚMERO 26, CORTE DE 33 CM, INCLUSO IÇAMENTO. AF_07/2019</v>
      </c>
      <c r="H115" s="312" t="str">
        <f>IF($F115="","",IFERROR(VLOOKUP($F115,SERVIÇOS!$B:$G,3,0),IFERROR(VLOOKUP($F115,'COMPOSIÇÕES COMPLEMENTARES '!$D:$L,3,0),IFERROR(VLOOKUP($F115,INSUMOS!$A:$D,3,0),""))))</f>
        <v>M</v>
      </c>
      <c r="I115" s="313">
        <v>139.82</v>
      </c>
      <c r="J115" s="314">
        <f>IF($F115="","",IFERROR(VLOOKUP($F115,SERVIÇOS!$B:$G,4,0),IFERROR(VLOOKUP($F115,'COMPOSIÇÕES COMPLEMENTARES '!$D:$L,6,0),IFERROR(VLOOKUP($F115,INSUMOS!$A:$D,4,0),""))))</f>
        <v>49.07</v>
      </c>
      <c r="K115" s="314">
        <f>IF($F115="","",IFERROR(VLOOKUP($F115,SERVIÇOS!$B:$G,5,0),IFERROR(VLOOKUP($F115,'COMPOSIÇÕES COMPLEMENTARES '!$D:$L,7,0),0)))</f>
        <v>9.4</v>
      </c>
      <c r="L115" s="314">
        <f>IF(I115="","",J115+K115)</f>
        <v>58.47</v>
      </c>
      <c r="M115" s="314">
        <f>IF(I115="","",TRUNC((I115*J115),2))</f>
        <v>6860.96</v>
      </c>
      <c r="N115" s="314">
        <f>IF(I115="","",TRUNC((I115*K115),2))</f>
        <v>1314.3</v>
      </c>
      <c r="O115" s="314">
        <f>IF(I115="","",TRUNC((M115+N115),2))</f>
        <v>8175.26</v>
      </c>
      <c r="P115" s="314"/>
      <c r="Q115" s="315"/>
      <c r="R115" s="315"/>
      <c r="S115" s="286"/>
      <c r="T115" s="287"/>
      <c r="U115" s="288" t="str">
        <f t="shared" si="38"/>
        <v/>
      </c>
      <c r="V115" s="287"/>
      <c r="W115" s="289" t="str">
        <f t="shared" si="39"/>
        <v/>
      </c>
      <c r="X115" s="287"/>
      <c r="Y115" s="290" t="str">
        <f t="shared" si="40"/>
        <v/>
      </c>
      <c r="Z115" s="291">
        <f ca="1">SUMIF($T$8:Y$1018,"QUANT.",T115:Y115)</f>
        <v>0</v>
      </c>
      <c r="AA115" s="292">
        <f t="shared" ca="1" si="41"/>
        <v>0</v>
      </c>
      <c r="AB115" s="293" t="str">
        <f t="shared" ca="1" si="42"/>
        <v>MEDIR</v>
      </c>
      <c r="AC115" s="294">
        <f t="shared" ca="1" si="43"/>
        <v>139.82</v>
      </c>
      <c r="AD115" s="294">
        <f t="shared" ca="1" si="44"/>
        <v>8175.26</v>
      </c>
      <c r="AE115" s="295"/>
      <c r="AF115" s="295"/>
      <c r="AG115" s="296"/>
      <c r="AH115" s="296"/>
      <c r="AI115" s="296"/>
      <c r="AJ115" s="296"/>
      <c r="AK115" s="295"/>
      <c r="AL115" s="295"/>
      <c r="AM115" s="295"/>
    </row>
    <row r="116" spans="1:39" x14ac:dyDescent="0.25">
      <c r="A116" s="232">
        <f t="shared" si="30"/>
        <v>116</v>
      </c>
      <c r="B116" s="232"/>
      <c r="C116" s="307" t="str">
        <f>+C115</f>
        <v>7.3</v>
      </c>
      <c r="D116" s="308">
        <f>1+D115</f>
        <v>5</v>
      </c>
      <c r="E116" s="309" t="str">
        <f>C116&amp;"."&amp;D116</f>
        <v>7.3.5</v>
      </c>
      <c r="F116" s="310" t="s">
        <v>11975</v>
      </c>
      <c r="G116" s="311" t="str">
        <f>IF($F116="","",IFERROR(VLOOKUP($F116,SERVIÇOS!$B:$G,2,0),IFERROR(VLOOKUP($F116,'COMPOSIÇÕES COMPLEMENTARES '!$D:$L,2,0),IFERROR(VLOOKUP($F116,INSUMOS!$A:$D,2,0),""))))</f>
        <v>CUMEEIRA TRAPEZOIDAL EM AÇO GALVANIZADO ESP=0,5MM, REVESTIMENTO B, H=40MM, L=0,60 M</v>
      </c>
      <c r="H116" s="312" t="str">
        <f>IF($F116="","",IFERROR(VLOOKUP($F116,SERVIÇOS!$B:$G,3,0),IFERROR(VLOOKUP($F116,'COMPOSIÇÕES COMPLEMENTARES '!$D:$L,3,0),IFERROR(VLOOKUP($F116,INSUMOS!$A:$D,3,0),""))))</f>
        <v>M</v>
      </c>
      <c r="I116" s="313">
        <v>21.04</v>
      </c>
      <c r="J116" s="314">
        <f>IF($F116="","",IFERROR(VLOOKUP($F116,SERVIÇOS!$B:$G,4,0),IFERROR(VLOOKUP($F116,'COMPOSIÇÕES COMPLEMENTARES '!$D:$L,6,0),IFERROR(VLOOKUP($F116,INSUMOS!$A:$D,4,0),""))))</f>
        <v>82.759999999999991</v>
      </c>
      <c r="K116" s="314">
        <f>IF($F116="","",IFERROR(VLOOKUP($F116,SERVIÇOS!$B:$G,5,0),IFERROR(VLOOKUP($F116,'COMPOSIÇÕES COMPLEMENTARES '!$D:$L,7,0),0)))</f>
        <v>4.71</v>
      </c>
      <c r="L116" s="314">
        <f>IF(I116="","",J116+K116)</f>
        <v>87.469999999999985</v>
      </c>
      <c r="M116" s="314">
        <f>IF(I116="","",TRUNC((I116*J116),2))</f>
        <v>1741.27</v>
      </c>
      <c r="N116" s="314">
        <f>IF(I116="","",TRUNC((I116*K116),2))</f>
        <v>99.09</v>
      </c>
      <c r="O116" s="314">
        <f>IF(I116="","",TRUNC((M116+N116),2))</f>
        <v>1840.36</v>
      </c>
      <c r="P116" s="314"/>
      <c r="Q116" s="315"/>
      <c r="R116" s="315"/>
      <c r="S116" s="286"/>
      <c r="T116" s="287"/>
      <c r="U116" s="288" t="str">
        <f t="shared" si="38"/>
        <v/>
      </c>
      <c r="V116" s="287"/>
      <c r="W116" s="289" t="str">
        <f t="shared" si="39"/>
        <v/>
      </c>
      <c r="X116" s="287"/>
      <c r="Y116" s="290" t="str">
        <f t="shared" si="40"/>
        <v/>
      </c>
      <c r="Z116" s="291">
        <f ca="1">SUMIF($T$8:Y$1018,"QUANT.",T116:Y116)</f>
        <v>0</v>
      </c>
      <c r="AA116" s="292">
        <f t="shared" ca="1" si="41"/>
        <v>0</v>
      </c>
      <c r="AB116" s="293" t="str">
        <f t="shared" ca="1" si="42"/>
        <v>MEDIR</v>
      </c>
      <c r="AC116" s="294">
        <f t="shared" ca="1" si="43"/>
        <v>21.04</v>
      </c>
      <c r="AD116" s="294">
        <f t="shared" ca="1" si="44"/>
        <v>1840.36</v>
      </c>
      <c r="AE116" s="295"/>
      <c r="AF116" s="295"/>
      <c r="AG116" s="296"/>
      <c r="AH116" s="296"/>
      <c r="AI116" s="296"/>
      <c r="AJ116" s="295"/>
      <c r="AK116" s="296"/>
      <c r="AL116" s="296"/>
      <c r="AM116" s="296"/>
    </row>
    <row r="117" spans="1:39" x14ac:dyDescent="0.25">
      <c r="A117" s="232">
        <f t="shared" si="30"/>
        <v>117</v>
      </c>
      <c r="B117" s="232"/>
      <c r="C117" s="316" t="str">
        <f>+E117</f>
        <v>7.4</v>
      </c>
      <c r="D117" s="297"/>
      <c r="E117" s="317" t="s">
        <v>11976</v>
      </c>
      <c r="F117" s="317"/>
      <c r="G117" s="318" t="s">
        <v>11977</v>
      </c>
      <c r="H117" s="317"/>
      <c r="I117" s="319"/>
      <c r="J117" s="317"/>
      <c r="K117" s="317"/>
      <c r="L117" s="317"/>
      <c r="M117" s="317"/>
      <c r="N117" s="317"/>
      <c r="O117" s="317"/>
      <c r="P117" s="317"/>
      <c r="Q117" s="320"/>
      <c r="R117" s="306"/>
      <c r="S117" s="286"/>
      <c r="T117" s="287"/>
      <c r="U117" s="288" t="str">
        <f t="shared" si="38"/>
        <v/>
      </c>
      <c r="V117" s="287"/>
      <c r="W117" s="289" t="str">
        <f t="shared" si="39"/>
        <v/>
      </c>
      <c r="X117" s="287"/>
      <c r="Y117" s="290" t="str">
        <f t="shared" si="40"/>
        <v/>
      </c>
      <c r="Z117" s="291">
        <f ca="1">SUMIF($T$8:Y$1018,"QUANT.",T117:Y117)</f>
        <v>0</v>
      </c>
      <c r="AA117" s="292">
        <f t="shared" ca="1" si="41"/>
        <v>0</v>
      </c>
      <c r="AB117" s="293" t="str">
        <f t="shared" si="42"/>
        <v/>
      </c>
      <c r="AC117" s="294">
        <f t="shared" ca="1" si="43"/>
        <v>0</v>
      </c>
      <c r="AD117" s="294">
        <f t="shared" ca="1" si="44"/>
        <v>0</v>
      </c>
      <c r="AE117" s="295"/>
      <c r="AF117" s="295"/>
      <c r="AG117" s="296"/>
      <c r="AH117" s="296"/>
      <c r="AI117" s="296"/>
      <c r="AJ117" s="38"/>
      <c r="AK117" s="295"/>
      <c r="AL117" s="295"/>
      <c r="AM117" s="295"/>
    </row>
    <row r="118" spans="1:39" ht="25.5" x14ac:dyDescent="0.25">
      <c r="A118" s="232">
        <f t="shared" si="30"/>
        <v>118</v>
      </c>
      <c r="B118" s="232"/>
      <c r="C118" s="307" t="str">
        <f>+C117</f>
        <v>7.4</v>
      </c>
      <c r="D118" s="308">
        <f>1+D117</f>
        <v>1</v>
      </c>
      <c r="E118" s="309" t="str">
        <f>C118&amp;"."&amp;D118</f>
        <v>7.4.1</v>
      </c>
      <c r="F118" s="310" t="s">
        <v>11978</v>
      </c>
      <c r="G118" s="311" t="str">
        <f>IF($F118="","",IFERROR(VLOOKUP($F118,SERVIÇOS!$B:$G,2,0),IFERROR(VLOOKUP($F118,'COMPOSIÇÕES COMPLEMENTARES '!$D:$L,2,0),IFERROR(VLOOKUP($F118,INSUMOS!$A:$D,2,0),""))))</f>
        <v>REVESTIMENTO EM PLACAS DE ACM (ALUMÍNIO COMPOSTO) RECORTADO, FIXADO EM ESTRUTURA METÁLICA GALVANIZADA, E=0,3MM - FORNECIMENTO E INSTALAÇÃO</v>
      </c>
      <c r="H118" s="312" t="str">
        <f>IF($F118="","",IFERROR(VLOOKUP($F118,SERVIÇOS!$B:$G,3,0),IFERROR(VLOOKUP($F118,'COMPOSIÇÕES COMPLEMENTARES '!$D:$L,3,0),IFERROR(VLOOKUP($F118,INSUMOS!$A:$D,3,0),""))))</f>
        <v>M2</v>
      </c>
      <c r="I118" s="313">
        <v>201</v>
      </c>
      <c r="J118" s="314">
        <f>IF($F118="","",IFERROR(VLOOKUP($F118,SERVIÇOS!$B:$G,4,0),IFERROR(VLOOKUP($F118,'COMPOSIÇÕES COMPLEMENTARES '!$D:$L,6,0),IFERROR(VLOOKUP($F118,INSUMOS!$A:$D,4,0),""))))</f>
        <v>505.25</v>
      </c>
      <c r="K118" s="314">
        <f>IF($F118="","",IFERROR(VLOOKUP($F118,SERVIÇOS!$B:$G,5,0),IFERROR(VLOOKUP($F118,'COMPOSIÇÕES COMPLEMENTARES '!$D:$L,7,0),0)))</f>
        <v>0</v>
      </c>
      <c r="L118" s="314">
        <f>IF(I118="","",J118+K118)</f>
        <v>505.25</v>
      </c>
      <c r="M118" s="314">
        <f>IF(I118="","",TRUNC((I118*J118),2))</f>
        <v>101555.25</v>
      </c>
      <c r="N118" s="314">
        <f>IF(I118="","",TRUNC((I118*K118),2))</f>
        <v>0</v>
      </c>
      <c r="O118" s="314">
        <f>IF(I118="","",TRUNC((M118+N118),2))</f>
        <v>101555.25</v>
      </c>
      <c r="P118" s="314"/>
      <c r="Q118" s="315"/>
      <c r="R118" s="315"/>
      <c r="S118" s="286"/>
      <c r="T118" s="287"/>
      <c r="U118" s="288" t="str">
        <f t="shared" si="38"/>
        <v/>
      </c>
      <c r="V118" s="287"/>
      <c r="W118" s="289" t="str">
        <f t="shared" si="39"/>
        <v/>
      </c>
      <c r="X118" s="287"/>
      <c r="Y118" s="290" t="str">
        <f t="shared" si="40"/>
        <v/>
      </c>
      <c r="Z118" s="291">
        <f ca="1">SUMIF($T$8:Y$1018,"QUANT.",T118:Y118)</f>
        <v>0</v>
      </c>
      <c r="AA118" s="292">
        <f t="shared" ca="1" si="41"/>
        <v>0</v>
      </c>
      <c r="AB118" s="293" t="str">
        <f t="shared" ca="1" si="42"/>
        <v>MEDIR</v>
      </c>
      <c r="AC118" s="294">
        <f t="shared" ca="1" si="43"/>
        <v>201</v>
      </c>
      <c r="AD118" s="294">
        <f t="shared" ca="1" si="44"/>
        <v>101555.25</v>
      </c>
      <c r="AE118" s="295"/>
      <c r="AF118" s="295"/>
      <c r="AG118" s="296"/>
      <c r="AH118" s="296"/>
      <c r="AI118" s="296"/>
      <c r="AJ118" s="38"/>
      <c r="AK118" s="38"/>
      <c r="AL118" s="38"/>
      <c r="AM118" s="38"/>
    </row>
    <row r="119" spans="1:39" x14ac:dyDescent="0.25">
      <c r="A119" s="232">
        <f t="shared" si="30"/>
        <v>119</v>
      </c>
      <c r="B119" s="232"/>
      <c r="C119" s="281">
        <f>+E119</f>
        <v>8</v>
      </c>
      <c r="D119" s="297"/>
      <c r="E119" s="298">
        <v>8</v>
      </c>
      <c r="F119" s="322"/>
      <c r="G119" s="299" t="s">
        <v>11979</v>
      </c>
      <c r="H119" s="300"/>
      <c r="I119" s="303"/>
      <c r="J119" s="302"/>
      <c r="K119" s="303"/>
      <c r="L119" s="303"/>
      <c r="M119" s="304">
        <f>TRUNC(SUMIF(M120:M124,"&gt;0",M120:M124),2)</f>
        <v>18538.39</v>
      </c>
      <c r="N119" s="304">
        <f>TRUNC(SUMIF(N120:N124,"&gt;0",N120:N124),2)</f>
        <v>10601.63</v>
      </c>
      <c r="O119" s="305"/>
      <c r="P119" s="304">
        <f>SUMIF(O120:O124,"&gt;0",O120:O124)</f>
        <v>29140.019999999997</v>
      </c>
      <c r="Q119" s="306"/>
      <c r="R119" s="306"/>
      <c r="S119" s="286"/>
      <c r="T119" s="287"/>
      <c r="U119" s="288" t="str">
        <f t="shared" si="38"/>
        <v/>
      </c>
      <c r="V119" s="287"/>
      <c r="W119" s="289" t="str">
        <f t="shared" si="39"/>
        <v/>
      </c>
      <c r="X119" s="287"/>
      <c r="Y119" s="290" t="str">
        <f t="shared" si="40"/>
        <v/>
      </c>
      <c r="Z119" s="291">
        <f ca="1">SUMIF($T$8:Y$1018,"QUANT.",T119:Y119)</f>
        <v>0</v>
      </c>
      <c r="AA119" s="292">
        <f t="shared" ca="1" si="41"/>
        <v>0</v>
      </c>
      <c r="AB119" s="293" t="str">
        <f t="shared" si="42"/>
        <v/>
      </c>
      <c r="AC119" s="294">
        <f t="shared" ca="1" si="43"/>
        <v>0</v>
      </c>
      <c r="AD119" s="294">
        <f t="shared" ca="1" si="44"/>
        <v>0</v>
      </c>
      <c r="AE119" s="295"/>
      <c r="AF119" s="295"/>
      <c r="AG119" s="296"/>
      <c r="AH119" s="296"/>
      <c r="AI119" s="296"/>
      <c r="AJ119" s="38"/>
      <c r="AK119" s="296"/>
      <c r="AL119" s="296"/>
      <c r="AM119" s="296"/>
    </row>
    <row r="120" spans="1:39" x14ac:dyDescent="0.25">
      <c r="A120" s="232">
        <f t="shared" si="30"/>
        <v>120</v>
      </c>
      <c r="B120" s="232"/>
      <c r="C120" s="316" t="str">
        <f>+E120</f>
        <v>8.1</v>
      </c>
      <c r="D120" s="297"/>
      <c r="E120" s="317" t="s">
        <v>11980</v>
      </c>
      <c r="F120" s="317"/>
      <c r="G120" s="318" t="s">
        <v>11981</v>
      </c>
      <c r="H120" s="317"/>
      <c r="I120" s="319"/>
      <c r="J120" s="317"/>
      <c r="K120" s="317"/>
      <c r="L120" s="317"/>
      <c r="M120" s="317"/>
      <c r="N120" s="317"/>
      <c r="O120" s="317"/>
      <c r="P120" s="317"/>
      <c r="Q120" s="320"/>
      <c r="R120" s="306"/>
      <c r="S120" s="286"/>
      <c r="T120" s="287"/>
      <c r="U120" s="288" t="str">
        <f t="shared" si="38"/>
        <v/>
      </c>
      <c r="V120" s="287"/>
      <c r="W120" s="289" t="str">
        <f t="shared" si="39"/>
        <v/>
      </c>
      <c r="X120" s="287"/>
      <c r="Y120" s="290" t="str">
        <f t="shared" si="40"/>
        <v/>
      </c>
      <c r="Z120" s="291">
        <f ca="1">SUMIF($T$8:Y$1018,"QUANT.",T120:Y120)</f>
        <v>0</v>
      </c>
      <c r="AA120" s="292">
        <f t="shared" ca="1" si="41"/>
        <v>0</v>
      </c>
      <c r="AB120" s="293" t="str">
        <f t="shared" si="42"/>
        <v/>
      </c>
      <c r="AC120" s="294">
        <f t="shared" ca="1" si="43"/>
        <v>0</v>
      </c>
      <c r="AD120" s="294">
        <f t="shared" ca="1" si="44"/>
        <v>0</v>
      </c>
      <c r="AE120" s="295"/>
      <c r="AF120" s="295"/>
      <c r="AG120" s="296"/>
      <c r="AH120" s="296"/>
      <c r="AI120" s="296"/>
      <c r="AJ120" s="38"/>
      <c r="AK120" s="295"/>
      <c r="AL120" s="295"/>
      <c r="AM120" s="295"/>
    </row>
    <row r="121" spans="1:39" x14ac:dyDescent="0.25">
      <c r="A121" s="232">
        <f t="shared" si="30"/>
        <v>121</v>
      </c>
      <c r="B121" s="232"/>
      <c r="C121" s="307" t="str">
        <f>+C120</f>
        <v>8.1</v>
      </c>
      <c r="D121" s="308">
        <f>1+D120</f>
        <v>1</v>
      </c>
      <c r="E121" s="309" t="str">
        <f>C121&amp;"."&amp;D121</f>
        <v>8.1.1</v>
      </c>
      <c r="F121" s="310">
        <v>98557</v>
      </c>
      <c r="G121" s="311" t="str">
        <f>IF($F121="","",IFERROR(VLOOKUP($F121,SERVIÇOS!$B:$G,2,0),IFERROR(VLOOKUP($F121,'COMPOSIÇÕES COMPLEMENTARES '!$D:$L,2,0),IFERROR(VLOOKUP($F121,INSUMOS!$A:$D,2,0),""))))</f>
        <v>IMPERMEABILIZAÇÃO DE SUPERFÍCIE COM EMULSÃO ASFÁLTICA, 2 DEMÃOS. AF_09/2023</v>
      </c>
      <c r="H121" s="312" t="str">
        <f>IF($F121="","",IFERROR(VLOOKUP($F121,SERVIÇOS!$B:$G,3,0),IFERROR(VLOOKUP($F121,'COMPOSIÇÕES COMPLEMENTARES '!$D:$L,3,0),IFERROR(VLOOKUP($F121,INSUMOS!$A:$D,3,0),""))))</f>
        <v>M2</v>
      </c>
      <c r="I121" s="313">
        <v>293.8</v>
      </c>
      <c r="J121" s="314">
        <f>IF($F121="","",IFERROR(VLOOKUP($F121,SERVIÇOS!$B:$G,4,0),IFERROR(VLOOKUP($F121,'COMPOSIÇÕES COMPLEMENTARES '!$D:$L,6,0),IFERROR(VLOOKUP($F121,INSUMOS!$A:$D,4,0),""))))</f>
        <v>32.700000000000003</v>
      </c>
      <c r="K121" s="314">
        <f>IF($F121="","",IFERROR(VLOOKUP($F121,SERVIÇOS!$B:$G,5,0),IFERROR(VLOOKUP($F121,'COMPOSIÇÕES COMPLEMENTARES '!$D:$L,7,0),0)))</f>
        <v>13.85</v>
      </c>
      <c r="L121" s="314">
        <f>IF(I121="","",J121+K121)</f>
        <v>46.550000000000004</v>
      </c>
      <c r="M121" s="314">
        <f>IF(I121="","",TRUNC((I121*J121),2))</f>
        <v>9607.26</v>
      </c>
      <c r="N121" s="314">
        <f>IF(I121="","",TRUNC((I121*K121),2))</f>
        <v>4069.13</v>
      </c>
      <c r="O121" s="314">
        <f>IF(I121="","",TRUNC((M121+N121),2))</f>
        <v>13676.39</v>
      </c>
      <c r="P121" s="314"/>
      <c r="Q121" s="315"/>
      <c r="R121" s="315"/>
      <c r="S121" s="286"/>
      <c r="T121" s="287"/>
      <c r="U121" s="288" t="str">
        <f t="shared" si="38"/>
        <v/>
      </c>
      <c r="V121" s="287"/>
      <c r="W121" s="289" t="str">
        <f t="shared" si="39"/>
        <v/>
      </c>
      <c r="X121" s="287"/>
      <c r="Y121" s="290" t="str">
        <f t="shared" si="40"/>
        <v/>
      </c>
      <c r="Z121" s="291">
        <f ca="1">SUMIF($T$8:Y$1018,"QUANT.",T121:Y121)</f>
        <v>0</v>
      </c>
      <c r="AA121" s="292">
        <f t="shared" ca="1" si="41"/>
        <v>0</v>
      </c>
      <c r="AB121" s="293" t="str">
        <f t="shared" ca="1" si="42"/>
        <v>MEDIR</v>
      </c>
      <c r="AC121" s="294">
        <f t="shared" ca="1" si="43"/>
        <v>293.8</v>
      </c>
      <c r="AD121" s="294">
        <f t="shared" ca="1" si="44"/>
        <v>13676.39</v>
      </c>
      <c r="AE121" s="295"/>
      <c r="AF121" s="295"/>
      <c r="AG121" s="296"/>
      <c r="AH121" s="296"/>
      <c r="AI121" s="296"/>
      <c r="AJ121" s="38"/>
      <c r="AK121" s="38"/>
      <c r="AL121" s="38"/>
      <c r="AM121" s="38"/>
    </row>
    <row r="122" spans="1:39" x14ac:dyDescent="0.25">
      <c r="A122" s="232">
        <f t="shared" si="30"/>
        <v>122</v>
      </c>
      <c r="B122" s="232"/>
      <c r="C122" s="316" t="str">
        <f>+E122</f>
        <v>8.2</v>
      </c>
      <c r="D122" s="297"/>
      <c r="E122" s="317" t="s">
        <v>11982</v>
      </c>
      <c r="F122" s="317"/>
      <c r="G122" s="318" t="s">
        <v>11983</v>
      </c>
      <c r="H122" s="317"/>
      <c r="I122" s="319"/>
      <c r="J122" s="317"/>
      <c r="K122" s="317"/>
      <c r="L122" s="317"/>
      <c r="M122" s="317"/>
      <c r="N122" s="317"/>
      <c r="O122" s="317"/>
      <c r="P122" s="317"/>
      <c r="Q122" s="320"/>
      <c r="R122" s="306"/>
      <c r="S122" s="286"/>
      <c r="T122" s="287"/>
      <c r="U122" s="288" t="str">
        <f t="shared" si="38"/>
        <v/>
      </c>
      <c r="V122" s="287"/>
      <c r="W122" s="289" t="str">
        <f t="shared" si="39"/>
        <v/>
      </c>
      <c r="X122" s="287"/>
      <c r="Y122" s="290" t="str">
        <f t="shared" si="40"/>
        <v/>
      </c>
      <c r="Z122" s="291">
        <f ca="1">SUMIF($T$8:Y$1018,"QUANT.",T122:Y122)</f>
        <v>0</v>
      </c>
      <c r="AA122" s="292">
        <f t="shared" ca="1" si="41"/>
        <v>0</v>
      </c>
      <c r="AB122" s="293" t="str">
        <f t="shared" si="42"/>
        <v/>
      </c>
      <c r="AC122" s="294">
        <f t="shared" ca="1" si="43"/>
        <v>0</v>
      </c>
      <c r="AD122" s="294">
        <f t="shared" ca="1" si="44"/>
        <v>0</v>
      </c>
      <c r="AE122" s="295"/>
      <c r="AF122" s="295"/>
      <c r="AG122" s="296"/>
      <c r="AH122" s="296"/>
      <c r="AI122" s="296"/>
      <c r="AJ122" s="38"/>
      <c r="AK122" s="38"/>
      <c r="AL122" s="38"/>
      <c r="AM122" s="38"/>
    </row>
    <row r="123" spans="1:39" ht="25.5" x14ac:dyDescent="0.25">
      <c r="A123" s="232">
        <f t="shared" si="30"/>
        <v>123</v>
      </c>
      <c r="B123" s="232"/>
      <c r="C123" s="307" t="str">
        <f>+C122</f>
        <v>8.2</v>
      </c>
      <c r="D123" s="308">
        <f>1+D122</f>
        <v>1</v>
      </c>
      <c r="E123" s="309" t="str">
        <f>C123&amp;"."&amp;D123</f>
        <v>8.2.1</v>
      </c>
      <c r="F123" s="310">
        <v>98554</v>
      </c>
      <c r="G123" s="311" t="str">
        <f>IF($F123="","",IFERROR(VLOOKUP($F123,SERVIÇOS!$B:$G,2,0),IFERROR(VLOOKUP($F123,'COMPOSIÇÕES COMPLEMENTARES '!$D:$L,2,0),IFERROR(VLOOKUP($F123,INSUMOS!$A:$D,2,0),""))))</f>
        <v>IMPERMEABILIZAÇÃO DE SUPERFÍCIE COM MEMBRANA À BASE DE RESINA ACRÍLICA, 3 DEMÃOS. AF_09/2023</v>
      </c>
      <c r="H123" s="312" t="str">
        <f>IF($F123="","",IFERROR(VLOOKUP($F123,SERVIÇOS!$B:$G,3,0),IFERROR(VLOOKUP($F123,'COMPOSIÇÕES COMPLEMENTARES '!$D:$L,3,0),IFERROR(VLOOKUP($F123,INSUMOS!$A:$D,3,0),""))))</f>
        <v>M2</v>
      </c>
      <c r="I123" s="313">
        <v>134.83000000000001</v>
      </c>
      <c r="J123" s="314">
        <f>IF($F123="","",IFERROR(VLOOKUP($F123,SERVIÇOS!$B:$G,4,0),IFERROR(VLOOKUP($F123,'COMPOSIÇÕES COMPLEMENTARES '!$D:$L,6,0),IFERROR(VLOOKUP($F123,INSUMOS!$A:$D,4,0),""))))</f>
        <v>33.61</v>
      </c>
      <c r="K123" s="314">
        <f>IF($F123="","",IFERROR(VLOOKUP($F123,SERVIÇOS!$B:$G,5,0),IFERROR(VLOOKUP($F123,'COMPOSIÇÕES COMPLEMENTARES '!$D:$L,7,0),0)))</f>
        <v>18.38</v>
      </c>
      <c r="L123" s="314">
        <f>IF(I123="","",J123+K123)</f>
        <v>51.989999999999995</v>
      </c>
      <c r="M123" s="314">
        <f>IF(I123="","",TRUNC((I123*J123),2))</f>
        <v>4531.63</v>
      </c>
      <c r="N123" s="314">
        <f>IF(I123="","",TRUNC((I123*K123),2))</f>
        <v>2478.17</v>
      </c>
      <c r="O123" s="314">
        <f>IF(I123="","",TRUNC((M123+N123),2))</f>
        <v>7009.8</v>
      </c>
      <c r="P123" s="314"/>
      <c r="Q123" s="315"/>
      <c r="R123" s="315"/>
      <c r="S123" s="286"/>
      <c r="T123" s="287"/>
      <c r="U123" s="288" t="str">
        <f t="shared" si="38"/>
        <v/>
      </c>
      <c r="V123" s="287"/>
      <c r="W123" s="289" t="str">
        <f t="shared" si="39"/>
        <v/>
      </c>
      <c r="X123" s="287"/>
      <c r="Y123" s="290" t="str">
        <f t="shared" si="40"/>
        <v/>
      </c>
      <c r="Z123" s="291">
        <f ca="1">SUMIF($T$8:Y$1018,"QUANT.",T123:Y123)</f>
        <v>0</v>
      </c>
      <c r="AA123" s="292">
        <f t="shared" ca="1" si="41"/>
        <v>0</v>
      </c>
      <c r="AB123" s="293" t="str">
        <f t="shared" ca="1" si="42"/>
        <v>MEDIR</v>
      </c>
      <c r="AC123" s="294">
        <f t="shared" ca="1" si="43"/>
        <v>134.83000000000001</v>
      </c>
      <c r="AD123" s="294">
        <f t="shared" ca="1" si="44"/>
        <v>7009.8</v>
      </c>
      <c r="AE123" s="295"/>
      <c r="AF123" s="295"/>
      <c r="AG123" s="296"/>
      <c r="AH123" s="296"/>
      <c r="AI123" s="296"/>
      <c r="AJ123" s="295"/>
      <c r="AK123" s="38"/>
      <c r="AL123" s="38"/>
      <c r="AM123" s="38"/>
    </row>
    <row r="124" spans="1:39" ht="25.5" x14ac:dyDescent="0.25">
      <c r="A124" s="232">
        <f t="shared" si="30"/>
        <v>124</v>
      </c>
      <c r="B124" s="232"/>
      <c r="C124" s="307" t="str">
        <f>+C123</f>
        <v>8.2</v>
      </c>
      <c r="D124" s="308">
        <f>1+D123</f>
        <v>2</v>
      </c>
      <c r="E124" s="309" t="str">
        <f>C124&amp;"."&amp;D124</f>
        <v>8.2.2</v>
      </c>
      <c r="F124" s="310">
        <v>98565</v>
      </c>
      <c r="G124" s="311" t="str">
        <f>IF($F124="","",IFERROR(VLOOKUP($F124,SERVIÇOS!$B:$G,2,0),IFERROR(VLOOKUP($F124,'COMPOSIÇÕES COMPLEMENTARES '!$D:$L,2,0),IFERROR(VLOOKUP($F124,INSUMOS!$A:$D,2,0),""))))</f>
        <v>PROTEÇÃO MECÂNICA DE SUPERFICIE HORIZONTAL COM ARGAMASSA DE CIMENTO E AREIA, TRAÇO 1:3, E=3CM. AF_09/2023</v>
      </c>
      <c r="H124" s="312" t="str">
        <f>IF($F124="","",IFERROR(VLOOKUP($F124,SERVIÇOS!$B:$G,3,0),IFERROR(VLOOKUP($F124,'COMPOSIÇÕES COMPLEMENTARES '!$D:$L,3,0),IFERROR(VLOOKUP($F124,INSUMOS!$A:$D,3,0),""))))</f>
        <v>M2</v>
      </c>
      <c r="I124" s="313">
        <v>134.83000000000001</v>
      </c>
      <c r="J124" s="314">
        <f>IF($F124="","",IFERROR(VLOOKUP($F124,SERVIÇOS!$B:$G,4,0),IFERROR(VLOOKUP($F124,'COMPOSIÇÕES COMPLEMENTARES '!$D:$L,6,0),IFERROR(VLOOKUP($F124,INSUMOS!$A:$D,4,0),""))))</f>
        <v>32.630000000000003</v>
      </c>
      <c r="K124" s="314">
        <f>IF($F124="","",IFERROR(VLOOKUP($F124,SERVIÇOS!$B:$G,5,0),IFERROR(VLOOKUP($F124,'COMPOSIÇÕES COMPLEMENTARES '!$D:$L,7,0),0)))</f>
        <v>30.07</v>
      </c>
      <c r="L124" s="314">
        <f>IF(I124="","",J124+K124)</f>
        <v>62.7</v>
      </c>
      <c r="M124" s="314">
        <f>IF(I124="","",TRUNC((I124*J124),2))</f>
        <v>4399.5</v>
      </c>
      <c r="N124" s="314">
        <f>IF(I124="","",TRUNC((I124*K124),2))</f>
        <v>4054.33</v>
      </c>
      <c r="O124" s="314">
        <f>IF(I124="","",TRUNC((M124+N124),2))</f>
        <v>8453.83</v>
      </c>
      <c r="P124" s="314"/>
      <c r="Q124" s="315"/>
      <c r="R124" s="315"/>
      <c r="S124" s="286"/>
      <c r="T124" s="287"/>
      <c r="U124" s="288" t="str">
        <f t="shared" si="38"/>
        <v/>
      </c>
      <c r="V124" s="287"/>
      <c r="W124" s="289" t="str">
        <f t="shared" si="39"/>
        <v/>
      </c>
      <c r="X124" s="287"/>
      <c r="Y124" s="290" t="str">
        <f t="shared" si="40"/>
        <v/>
      </c>
      <c r="Z124" s="291">
        <f ca="1">SUMIF($T$8:Y$1018,"QUANT.",T124:Y124)</f>
        <v>0</v>
      </c>
      <c r="AA124" s="292">
        <f t="shared" ca="1" si="41"/>
        <v>0</v>
      </c>
      <c r="AB124" s="293" t="str">
        <f t="shared" ca="1" si="42"/>
        <v>MEDIR</v>
      </c>
      <c r="AC124" s="294">
        <f t="shared" ca="1" si="43"/>
        <v>134.83000000000001</v>
      </c>
      <c r="AD124" s="294">
        <f t="shared" ca="1" si="44"/>
        <v>8453.83</v>
      </c>
      <c r="AE124" s="295"/>
      <c r="AF124" s="295"/>
      <c r="AG124" s="296"/>
      <c r="AH124" s="296"/>
      <c r="AI124" s="296"/>
      <c r="AJ124" s="295"/>
      <c r="AK124" s="38"/>
      <c r="AL124" s="38"/>
      <c r="AM124" s="38"/>
    </row>
    <row r="125" spans="1:39" x14ac:dyDescent="0.25">
      <c r="A125" s="232">
        <f t="shared" si="30"/>
        <v>125</v>
      </c>
      <c r="B125" s="232"/>
      <c r="C125" s="281">
        <f>+E125</f>
        <v>9</v>
      </c>
      <c r="D125" s="297"/>
      <c r="E125" s="298">
        <v>9</v>
      </c>
      <c r="F125" s="322"/>
      <c r="G125" s="299" t="s">
        <v>11984</v>
      </c>
      <c r="H125" s="300"/>
      <c r="I125" s="303"/>
      <c r="J125" s="302"/>
      <c r="K125" s="303"/>
      <c r="L125" s="303"/>
      <c r="M125" s="304">
        <f>TRUNC(SUMIF(M126:M157,"&gt;0",M126:M157),2)</f>
        <v>281805.12</v>
      </c>
      <c r="N125" s="304">
        <f>TRUNC(SUMIF(N126:N157,"&gt;0",N126:N157),2)</f>
        <v>114370.09</v>
      </c>
      <c r="O125" s="305"/>
      <c r="P125" s="304">
        <f>SUMIF(O126:O157,"&gt;0",O126:O157)</f>
        <v>396175.21</v>
      </c>
      <c r="Q125" s="306"/>
      <c r="R125" s="306"/>
      <c r="S125" s="286"/>
      <c r="T125" s="287"/>
      <c r="U125" s="288" t="str">
        <f t="shared" si="38"/>
        <v/>
      </c>
      <c r="V125" s="287"/>
      <c r="W125" s="289" t="str">
        <f t="shared" si="39"/>
        <v/>
      </c>
      <c r="X125" s="287"/>
      <c r="Y125" s="290" t="str">
        <f t="shared" si="40"/>
        <v/>
      </c>
      <c r="Z125" s="291">
        <f ca="1">SUMIF($T$8:Y$1018,"QUANT.",T125:Y125)</f>
        <v>0</v>
      </c>
      <c r="AA125" s="292">
        <f t="shared" ca="1" si="41"/>
        <v>0</v>
      </c>
      <c r="AB125" s="293" t="str">
        <f t="shared" si="42"/>
        <v/>
      </c>
      <c r="AC125" s="294">
        <f t="shared" ca="1" si="43"/>
        <v>0</v>
      </c>
      <c r="AD125" s="294">
        <f t="shared" ca="1" si="44"/>
        <v>0</v>
      </c>
      <c r="AE125" s="295"/>
      <c r="AF125" s="295"/>
      <c r="AG125" s="296"/>
      <c r="AH125" s="296"/>
      <c r="AI125" s="296"/>
      <c r="AJ125" s="38"/>
      <c r="AK125" s="38"/>
      <c r="AL125" s="38"/>
      <c r="AM125" s="38"/>
    </row>
    <row r="126" spans="1:39" x14ac:dyDescent="0.25">
      <c r="A126" s="232">
        <f t="shared" si="30"/>
        <v>126</v>
      </c>
      <c r="B126" s="232"/>
      <c r="C126" s="316" t="str">
        <f>+E126</f>
        <v>9.1</v>
      </c>
      <c r="D126" s="297"/>
      <c r="E126" s="317" t="s">
        <v>11985</v>
      </c>
      <c r="F126" s="317"/>
      <c r="G126" s="318" t="s">
        <v>11986</v>
      </c>
      <c r="H126" s="317"/>
      <c r="I126" s="319"/>
      <c r="J126" s="317"/>
      <c r="K126" s="317"/>
      <c r="L126" s="317"/>
      <c r="M126" s="317"/>
      <c r="N126" s="317"/>
      <c r="O126" s="317"/>
      <c r="P126" s="317"/>
      <c r="Q126" s="320"/>
      <c r="R126" s="306"/>
      <c r="S126" s="286"/>
      <c r="T126" s="287"/>
      <c r="U126" s="288" t="str">
        <f t="shared" si="38"/>
        <v/>
      </c>
      <c r="V126" s="287"/>
      <c r="W126" s="289" t="str">
        <f t="shared" si="39"/>
        <v/>
      </c>
      <c r="X126" s="287"/>
      <c r="Y126" s="290" t="str">
        <f t="shared" si="40"/>
        <v/>
      </c>
      <c r="Z126" s="291">
        <f ca="1">SUMIF($T$8:Y$1018,"QUANT.",T126:Y126)</f>
        <v>0</v>
      </c>
      <c r="AA126" s="292">
        <f t="shared" ca="1" si="41"/>
        <v>0</v>
      </c>
      <c r="AB126" s="293" t="str">
        <f t="shared" si="42"/>
        <v/>
      </c>
      <c r="AC126" s="294">
        <f t="shared" ca="1" si="43"/>
        <v>0</v>
      </c>
      <c r="AD126" s="294">
        <f t="shared" ca="1" si="44"/>
        <v>0</v>
      </c>
      <c r="AE126" s="295"/>
      <c r="AF126" s="295"/>
      <c r="AG126" s="296"/>
      <c r="AH126" s="296"/>
      <c r="AI126" s="296"/>
      <c r="AJ126" s="296"/>
      <c r="AK126" s="38"/>
      <c r="AL126" s="38"/>
      <c r="AM126" s="38"/>
    </row>
    <row r="127" spans="1:39" ht="38.25" x14ac:dyDescent="0.25">
      <c r="A127" s="232">
        <f t="shared" si="30"/>
        <v>127</v>
      </c>
      <c r="B127" s="232"/>
      <c r="C127" s="307" t="str">
        <f t="shared" ref="C127:C132" si="59">+C126</f>
        <v>9.1</v>
      </c>
      <c r="D127" s="308">
        <f t="shared" ref="D127:D132" si="60">1+D126</f>
        <v>1</v>
      </c>
      <c r="E127" s="309" t="str">
        <f t="shared" ref="E127:E132" si="61">C127&amp;"."&amp;D127</f>
        <v>9.1.1</v>
      </c>
      <c r="F127" s="310">
        <v>87640</v>
      </c>
      <c r="G127" s="311" t="str">
        <f>IF($F127="","",IFERROR(VLOOKUP($F127,SERVIÇOS!$B:$G,2,0),IFERROR(VLOOKUP($F127,'COMPOSIÇÕES COMPLEMENTARES '!$D:$L,2,0),IFERROR(VLOOKUP($F127,INSUMOS!$A:$D,2,0),""))))</f>
        <v>CONTRAPISO EM ARGAMASSA TRAÇO 1:4 (CIMENTO E AREIA), PREPARO MECÂNICO COM BETONEIRA 400 L, APLICADO EM ÁREAS SECAS SOBRE LAJE, ADERIDO, ACABAMENTO NÃO REFORÇADO, ESPESSURA 4CM. AF_07/2021</v>
      </c>
      <c r="H127" s="312" t="str">
        <f>IF($F127="","",IFERROR(VLOOKUP($F127,SERVIÇOS!$B:$G,3,0),IFERROR(VLOOKUP($F127,'COMPOSIÇÕES COMPLEMENTARES '!$D:$L,3,0),IFERROR(VLOOKUP($F127,INSUMOS!$A:$D,3,0),""))))</f>
        <v>M2</v>
      </c>
      <c r="I127" s="313">
        <v>743.55</v>
      </c>
      <c r="J127" s="314">
        <f>IF($F127="","",IFERROR(VLOOKUP($F127,SERVIÇOS!$B:$G,4,0),IFERROR(VLOOKUP($F127,'COMPOSIÇÕES COMPLEMENTARES '!$D:$L,6,0),IFERROR(VLOOKUP($F127,INSUMOS!$A:$D,4,0),""))))</f>
        <v>34.67</v>
      </c>
      <c r="K127" s="314">
        <f>IF($F127="","",IFERROR(VLOOKUP($F127,SERVIÇOS!$B:$G,5,0),IFERROR(VLOOKUP($F127,'COMPOSIÇÕES COMPLEMENTARES '!$D:$L,7,0),0)))</f>
        <v>16.54</v>
      </c>
      <c r="L127" s="314">
        <f t="shared" ref="L127:L132" si="62">IF(I127="","",J127+K127)</f>
        <v>51.21</v>
      </c>
      <c r="M127" s="314">
        <f t="shared" ref="M127:M132" si="63">IF(I127="","",TRUNC((I127*J127),2))</f>
        <v>25778.87</v>
      </c>
      <c r="N127" s="314">
        <f t="shared" ref="N127:N132" si="64">IF(I127="","",TRUNC((I127*K127),2))</f>
        <v>12298.31</v>
      </c>
      <c r="O127" s="314">
        <f t="shared" ref="O127:O132" si="65">IF(I127="","",TRUNC((M127+N127),2))</f>
        <v>38077.18</v>
      </c>
      <c r="P127" s="314"/>
      <c r="Q127" s="315"/>
      <c r="R127" s="315"/>
      <c r="S127" s="286"/>
      <c r="T127" s="287"/>
      <c r="U127" s="288" t="str">
        <f t="shared" si="38"/>
        <v/>
      </c>
      <c r="V127" s="287"/>
      <c r="W127" s="289" t="str">
        <f t="shared" si="39"/>
        <v/>
      </c>
      <c r="X127" s="287"/>
      <c r="Y127" s="290" t="str">
        <f t="shared" si="40"/>
        <v/>
      </c>
      <c r="Z127" s="291">
        <f ca="1">SUMIF($T$8:Y$1018,"QUANT.",T127:Y127)</f>
        <v>0</v>
      </c>
      <c r="AA127" s="292">
        <f t="shared" ca="1" si="41"/>
        <v>0</v>
      </c>
      <c r="AB127" s="293" t="str">
        <f t="shared" ca="1" si="42"/>
        <v>MEDIR</v>
      </c>
      <c r="AC127" s="294">
        <f t="shared" ca="1" si="43"/>
        <v>743.55</v>
      </c>
      <c r="AD127" s="294">
        <f t="shared" ca="1" si="44"/>
        <v>38077.18</v>
      </c>
      <c r="AE127" s="295"/>
      <c r="AF127" s="295"/>
      <c r="AG127" s="296"/>
      <c r="AH127" s="296"/>
      <c r="AI127" s="296"/>
      <c r="AJ127" s="295"/>
      <c r="AK127" s="295"/>
      <c r="AL127" s="295"/>
      <c r="AM127" s="295"/>
    </row>
    <row r="128" spans="1:39" ht="25.5" x14ac:dyDescent="0.25">
      <c r="A128" s="232">
        <f t="shared" si="30"/>
        <v>128</v>
      </c>
      <c r="B128" s="232"/>
      <c r="C128" s="307" t="str">
        <f t="shared" si="59"/>
        <v>9.1</v>
      </c>
      <c r="D128" s="308">
        <f t="shared" si="60"/>
        <v>2</v>
      </c>
      <c r="E128" s="309" t="str">
        <f t="shared" si="61"/>
        <v>9.1.2</v>
      </c>
      <c r="F128" s="310" t="s">
        <v>11987</v>
      </c>
      <c r="G128" s="311" t="str">
        <f>IF($F128="","",IFERROR(VLOOKUP($F128,SERVIÇOS!$B:$G,2,0),IFERROR(VLOOKUP($F128,'COMPOSIÇÕES COMPLEMENTARES '!$D:$L,2,0),IFERROR(VLOOKUP($F128,INSUMOS!$A:$D,2,0),""))))</f>
        <v>PISO PORCELANATO, COR OFF WHITE, 60X60CM COM REJUNTE BRANCO A BASE EPÓXI, RETIFICADO EXTRA, ABSORÇÃO DE ÁGUA MENOR OU IGUAL A 0,5% E COEFICIENTE DE ATRITO MAIOR OU IGUAL A 0,4.</v>
      </c>
      <c r="H128" s="312" t="str">
        <f>IF($F128="","",IFERROR(VLOOKUP($F128,SERVIÇOS!$B:$G,3,0),IFERROR(VLOOKUP($F128,'COMPOSIÇÕES COMPLEMENTARES '!$D:$L,3,0),IFERROR(VLOOKUP($F128,INSUMOS!$A:$D,3,0),""))))</f>
        <v>M2</v>
      </c>
      <c r="I128" s="313">
        <v>706</v>
      </c>
      <c r="J128" s="314">
        <f>IF($F128="","",IFERROR(VLOOKUP($F128,SERVIÇOS!$B:$G,4,0),IFERROR(VLOOKUP($F128,'COMPOSIÇÕES COMPLEMENTARES '!$D:$L,6,0),IFERROR(VLOOKUP($F128,INSUMOS!$A:$D,4,0),""))))</f>
        <v>169.08</v>
      </c>
      <c r="K128" s="314">
        <f>IF($F128="","",IFERROR(VLOOKUP($F128,SERVIÇOS!$B:$G,5,0),IFERROR(VLOOKUP($F128,'COMPOSIÇÕES COMPLEMENTARES '!$D:$L,7,0),0)))</f>
        <v>26.07</v>
      </c>
      <c r="L128" s="314">
        <f t="shared" si="62"/>
        <v>195.15</v>
      </c>
      <c r="M128" s="314">
        <f t="shared" si="63"/>
        <v>119370.48</v>
      </c>
      <c r="N128" s="314">
        <f t="shared" si="64"/>
        <v>18405.419999999998</v>
      </c>
      <c r="O128" s="314">
        <f t="shared" si="65"/>
        <v>137775.9</v>
      </c>
      <c r="P128" s="314"/>
      <c r="Q128" s="315"/>
      <c r="R128" s="315"/>
      <c r="S128" s="286"/>
      <c r="T128" s="287"/>
      <c r="U128" s="288" t="str">
        <f t="shared" si="38"/>
        <v/>
      </c>
      <c r="V128" s="287"/>
      <c r="W128" s="289" t="str">
        <f t="shared" si="39"/>
        <v/>
      </c>
      <c r="X128" s="287"/>
      <c r="Y128" s="290" t="str">
        <f t="shared" si="40"/>
        <v/>
      </c>
      <c r="Z128" s="291">
        <f ca="1">SUMIF($T$8:Y$1018,"QUANT.",T128:Y128)</f>
        <v>0</v>
      </c>
      <c r="AA128" s="292">
        <f t="shared" ca="1" si="41"/>
        <v>0</v>
      </c>
      <c r="AB128" s="293" t="str">
        <f t="shared" ca="1" si="42"/>
        <v>MEDIR</v>
      </c>
      <c r="AC128" s="294">
        <f t="shared" ca="1" si="43"/>
        <v>706</v>
      </c>
      <c r="AD128" s="294">
        <f t="shared" ca="1" si="44"/>
        <v>137775.9</v>
      </c>
      <c r="AE128" s="295"/>
      <c r="AF128" s="295"/>
      <c r="AG128" s="296"/>
      <c r="AH128" s="296"/>
      <c r="AI128" s="296"/>
      <c r="AJ128" s="295"/>
      <c r="AK128" s="295"/>
      <c r="AL128" s="295"/>
      <c r="AM128" s="295"/>
    </row>
    <row r="129" spans="1:39" ht="25.5" x14ac:dyDescent="0.25">
      <c r="A129" s="232">
        <f t="shared" si="30"/>
        <v>129</v>
      </c>
      <c r="B129" s="232"/>
      <c r="C129" s="307" t="str">
        <f t="shared" si="59"/>
        <v>9.1</v>
      </c>
      <c r="D129" s="308">
        <f t="shared" si="60"/>
        <v>3</v>
      </c>
      <c r="E129" s="309" t="str">
        <f t="shared" si="61"/>
        <v>9.1.3</v>
      </c>
      <c r="F129" s="310" t="s">
        <v>11988</v>
      </c>
      <c r="G129" s="311" t="str">
        <f>IF($F129="","",IFERROR(VLOOKUP($F129,SERVIÇOS!$B:$G,2,0),IFERROR(VLOOKUP($F129,'COMPOSIÇÕES COMPLEMENTARES '!$D:$L,2,0),IFERROR(VLOOKUP($F129,INSUMOS!$A:$D,2,0),""))))</f>
        <v>PISO CIMENTADO COM ARGAMASSA TRAÇO 1:3 (CIMENTO E AREIA), COM ADITIVO IMPERMEABILIZANTE, ESPESSURA 2,5 CM, ACABAMENTO DESEMPENADO, PREPARO MECÂNICO DA ARGAMASSA.</v>
      </c>
      <c r="H129" s="312" t="str">
        <f>IF($F129="","",IFERROR(VLOOKUP($F129,SERVIÇOS!$B:$G,3,0),IFERROR(VLOOKUP($F129,'COMPOSIÇÕES COMPLEMENTARES '!$D:$L,3,0),IFERROR(VLOOKUP($F129,INSUMOS!$A:$D,3,0),""))))</f>
        <v>M2</v>
      </c>
      <c r="I129" s="313">
        <v>14.82</v>
      </c>
      <c r="J129" s="314">
        <f>IF($F129="","",IFERROR(VLOOKUP($F129,SERVIÇOS!$B:$G,4,0),IFERROR(VLOOKUP($F129,'COMPOSIÇÕES COMPLEMENTARES '!$D:$L,6,0),IFERROR(VLOOKUP($F129,INSUMOS!$A:$D,4,0),""))))</f>
        <v>27.57</v>
      </c>
      <c r="K129" s="314">
        <f>IF($F129="","",IFERROR(VLOOKUP($F129,SERVIÇOS!$B:$G,5,0),IFERROR(VLOOKUP($F129,'COMPOSIÇÕES COMPLEMENTARES '!$D:$L,7,0),0)))</f>
        <v>30.72</v>
      </c>
      <c r="L129" s="314">
        <f t="shared" si="62"/>
        <v>58.29</v>
      </c>
      <c r="M129" s="314">
        <f t="shared" si="63"/>
        <v>408.58</v>
      </c>
      <c r="N129" s="314">
        <f t="shared" si="64"/>
        <v>455.27</v>
      </c>
      <c r="O129" s="314">
        <f t="shared" si="65"/>
        <v>863.85</v>
      </c>
      <c r="P129" s="314"/>
      <c r="Q129" s="315"/>
      <c r="R129" s="315"/>
      <c r="S129" s="286"/>
      <c r="T129" s="287"/>
      <c r="U129" s="288" t="str">
        <f t="shared" si="38"/>
        <v/>
      </c>
      <c r="V129" s="287"/>
      <c r="W129" s="289" t="str">
        <f t="shared" si="39"/>
        <v/>
      </c>
      <c r="X129" s="287"/>
      <c r="Y129" s="290" t="str">
        <f t="shared" si="40"/>
        <v/>
      </c>
      <c r="Z129" s="291">
        <f ca="1">SUMIF($T$8:Y$1018,"QUANT.",T129:Y129)</f>
        <v>0</v>
      </c>
      <c r="AA129" s="292">
        <f t="shared" ca="1" si="41"/>
        <v>0</v>
      </c>
      <c r="AB129" s="293" t="str">
        <f t="shared" ca="1" si="42"/>
        <v>MEDIR</v>
      </c>
      <c r="AC129" s="294">
        <f t="shared" ca="1" si="43"/>
        <v>14.82</v>
      </c>
      <c r="AD129" s="294">
        <f t="shared" ca="1" si="44"/>
        <v>863.85</v>
      </c>
      <c r="AE129" s="295"/>
      <c r="AF129" s="295"/>
      <c r="AG129" s="296"/>
      <c r="AH129" s="296"/>
      <c r="AI129" s="296"/>
      <c r="AJ129" s="295"/>
      <c r="AK129" s="38"/>
      <c r="AL129" s="38"/>
      <c r="AM129" s="38"/>
    </row>
    <row r="130" spans="1:39" ht="38.25" x14ac:dyDescent="0.25">
      <c r="A130" s="232">
        <f t="shared" ref="A130:A193" si="66">1+A129</f>
        <v>130</v>
      </c>
      <c r="B130" s="232"/>
      <c r="C130" s="307" t="str">
        <f t="shared" si="59"/>
        <v>9.1</v>
      </c>
      <c r="D130" s="308">
        <f t="shared" si="60"/>
        <v>4</v>
      </c>
      <c r="E130" s="309" t="str">
        <f t="shared" si="61"/>
        <v>9.1.4</v>
      </c>
      <c r="F130" s="310" t="s">
        <v>11989</v>
      </c>
      <c r="G130" s="311" t="str">
        <f>IF($F130="","",IFERROR(VLOOKUP($F130,SERVIÇOS!$B:$G,2,0),IFERROR(VLOOKUP($F130,'COMPOSIÇÕES COMPLEMENTARES '!$D:$L,2,0),IFERROR(VLOOKUP($F130,INSUMOS!$A:$D,2,0),""))))</f>
        <v>SOLEIRAS E/OU PEITORIL EM GRANITO POLIDO, TIPO ANDORINHA/ QUARTZ/ CASTELO/ CORUMBA OU OUTROS EQUIVALENTES DA REGIAO, ESPESSURA 2CM, ASSENTADA SOBRE ARGAMASSA TRACO 1:4 (CIMENTO E AREIA)</v>
      </c>
      <c r="H130" s="312" t="str">
        <f>IF($F130="","",IFERROR(VLOOKUP($F130,SERVIÇOS!$B:$G,3,0),IFERROR(VLOOKUP($F130,'COMPOSIÇÕES COMPLEMENTARES '!$D:$L,3,0),IFERROR(VLOOKUP($F130,INSUMOS!$A:$D,3,0),""))))</f>
        <v>M2</v>
      </c>
      <c r="I130" s="313">
        <v>20.86</v>
      </c>
      <c r="J130" s="314">
        <f>IF($F130="","",IFERROR(VLOOKUP($F130,SERVIÇOS!$B:$G,4,0),IFERROR(VLOOKUP($F130,'COMPOSIÇÕES COMPLEMENTARES '!$D:$L,6,0),IFERROR(VLOOKUP($F130,INSUMOS!$A:$D,4,0),""))))</f>
        <v>364.23</v>
      </c>
      <c r="K130" s="314">
        <f>IF($F130="","",IFERROR(VLOOKUP($F130,SERVIÇOS!$B:$G,5,0),IFERROR(VLOOKUP($F130,'COMPOSIÇÕES COMPLEMENTARES '!$D:$L,7,0),0)))</f>
        <v>19.77</v>
      </c>
      <c r="L130" s="314">
        <f t="shared" si="62"/>
        <v>384</v>
      </c>
      <c r="M130" s="314">
        <f t="shared" si="63"/>
        <v>7597.83</v>
      </c>
      <c r="N130" s="314">
        <f t="shared" si="64"/>
        <v>412.4</v>
      </c>
      <c r="O130" s="314">
        <f t="shared" si="65"/>
        <v>8010.23</v>
      </c>
      <c r="P130" s="314"/>
      <c r="Q130" s="315"/>
      <c r="R130" s="315"/>
      <c r="S130" s="286"/>
      <c r="T130" s="287"/>
      <c r="U130" s="288" t="str">
        <f t="shared" si="38"/>
        <v/>
      </c>
      <c r="V130" s="287"/>
      <c r="W130" s="289" t="str">
        <f t="shared" si="39"/>
        <v/>
      </c>
      <c r="X130" s="287"/>
      <c r="Y130" s="290" t="str">
        <f t="shared" si="40"/>
        <v/>
      </c>
      <c r="Z130" s="291">
        <f ca="1">SUMIF($T$8:Y$1018,"QUANT.",T130:Y130)</f>
        <v>0</v>
      </c>
      <c r="AA130" s="292">
        <f t="shared" ca="1" si="41"/>
        <v>0</v>
      </c>
      <c r="AB130" s="293" t="str">
        <f t="shared" ca="1" si="42"/>
        <v>MEDIR</v>
      </c>
      <c r="AC130" s="294">
        <f t="shared" ca="1" si="43"/>
        <v>20.86</v>
      </c>
      <c r="AD130" s="294">
        <f t="shared" ca="1" si="44"/>
        <v>8010.23</v>
      </c>
      <c r="AE130" s="295"/>
      <c r="AF130" s="295"/>
      <c r="AG130" s="296"/>
      <c r="AH130" s="296"/>
      <c r="AI130" s="296"/>
      <c r="AJ130" s="295"/>
      <c r="AK130" s="296"/>
      <c r="AL130" s="296"/>
      <c r="AM130" s="296"/>
    </row>
    <row r="131" spans="1:39" ht="38.25" x14ac:dyDescent="0.25">
      <c r="A131" s="232">
        <f t="shared" si="66"/>
        <v>131</v>
      </c>
      <c r="B131" s="232"/>
      <c r="C131" s="307" t="str">
        <f t="shared" si="59"/>
        <v>9.1</v>
      </c>
      <c r="D131" s="308">
        <f t="shared" si="60"/>
        <v>5</v>
      </c>
      <c r="E131" s="309" t="str">
        <f t="shared" si="61"/>
        <v>9.1.5</v>
      </c>
      <c r="F131" s="310" t="s">
        <v>11990</v>
      </c>
      <c r="G131" s="311" t="str">
        <f>IF($F131="","",IFERROR(VLOOKUP($F131,SERVIÇOS!$B:$G,2,0),IFERROR(VLOOKUP($F131,'COMPOSIÇÕES COMPLEMENTARES '!$D:$L,2,0),IFERROR(VLOOKUP($F131,INSUMOS!$A:$D,2,0),""))))</f>
        <v xml:space="preserve">RODAPÉ DE PISO PORCELANATO, COR OFF WHITE, 60X60CM COM REJUNTE BRANCO A BASE EPÓXI, RETIFICADO EXTRA, ABSORÇÃO DE ÁGUA MENOR OU IGUAL A 0,5% E COEFICIENTE DE ATRITO MAIOR OU IGUAL A 0,4., H=10CM </v>
      </c>
      <c r="H131" s="312" t="str">
        <f>IF($F131="","",IFERROR(VLOOKUP($F131,SERVIÇOS!$B:$G,3,0),IFERROR(VLOOKUP($F131,'COMPOSIÇÕES COMPLEMENTARES '!$D:$L,3,0),IFERROR(VLOOKUP($F131,INSUMOS!$A:$D,3,0),""))))</f>
        <v>M</v>
      </c>
      <c r="I131" s="313">
        <v>450.15</v>
      </c>
      <c r="J131" s="314">
        <f>IF($F131="","",IFERROR(VLOOKUP($F131,SERVIÇOS!$B:$G,4,0),IFERROR(VLOOKUP($F131,'COMPOSIÇÕES COMPLEMENTARES '!$D:$L,6,0),IFERROR(VLOOKUP($F131,INSUMOS!$A:$D,4,0),""))))</f>
        <v>16.95</v>
      </c>
      <c r="K131" s="314">
        <f>IF($F131="","",IFERROR(VLOOKUP($F131,SERVIÇOS!$B:$G,5,0),IFERROR(VLOOKUP($F131,'COMPOSIÇÕES COMPLEMENTARES '!$D:$L,7,0),0)))</f>
        <v>2.6</v>
      </c>
      <c r="L131" s="314">
        <f t="shared" si="62"/>
        <v>19.55</v>
      </c>
      <c r="M131" s="314">
        <f t="shared" si="63"/>
        <v>7630.04</v>
      </c>
      <c r="N131" s="314">
        <f t="shared" si="64"/>
        <v>1170.3900000000001</v>
      </c>
      <c r="O131" s="314">
        <f t="shared" si="65"/>
        <v>8800.43</v>
      </c>
      <c r="P131" s="314"/>
      <c r="Q131" s="315"/>
      <c r="R131" s="315"/>
      <c r="S131" s="286"/>
      <c r="T131" s="287"/>
      <c r="U131" s="288" t="str">
        <f t="shared" si="38"/>
        <v/>
      </c>
      <c r="V131" s="287"/>
      <c r="W131" s="289" t="str">
        <f t="shared" si="39"/>
        <v/>
      </c>
      <c r="X131" s="287"/>
      <c r="Y131" s="290" t="str">
        <f t="shared" si="40"/>
        <v/>
      </c>
      <c r="Z131" s="291">
        <f ca="1">SUMIF($T$8:Y$1018,"QUANT.",T131:Y131)</f>
        <v>0</v>
      </c>
      <c r="AA131" s="292">
        <f t="shared" ca="1" si="41"/>
        <v>0</v>
      </c>
      <c r="AB131" s="293" t="str">
        <f t="shared" ca="1" si="42"/>
        <v>MEDIR</v>
      </c>
      <c r="AC131" s="294">
        <f t="shared" ca="1" si="43"/>
        <v>450.15</v>
      </c>
      <c r="AD131" s="294">
        <f t="shared" ca="1" si="44"/>
        <v>8800.43</v>
      </c>
      <c r="AE131" s="295"/>
      <c r="AF131" s="295"/>
      <c r="AG131" s="296"/>
      <c r="AH131" s="296"/>
      <c r="AI131" s="296"/>
      <c r="AJ131" s="295"/>
      <c r="AK131" s="295"/>
      <c r="AL131" s="295"/>
      <c r="AM131" s="295"/>
    </row>
    <row r="132" spans="1:39" x14ac:dyDescent="0.25">
      <c r="A132" s="232">
        <f t="shared" si="66"/>
        <v>132</v>
      </c>
      <c r="B132" s="232"/>
      <c r="C132" s="307" t="str">
        <f t="shared" si="59"/>
        <v>9.1</v>
      </c>
      <c r="D132" s="308">
        <f t="shared" si="60"/>
        <v>6</v>
      </c>
      <c r="E132" s="309" t="str">
        <f t="shared" si="61"/>
        <v>9.1.6</v>
      </c>
      <c r="F132" s="310" t="s">
        <v>11991</v>
      </c>
      <c r="G132" s="311" t="str">
        <f>IF($F132="","",IFERROR(VLOOKUP($F132,SERVIÇOS!$B:$G,2,0),IFERROR(VLOOKUP($F132,'COMPOSIÇÕES COMPLEMENTARES '!$D:$L,2,0),IFERROR(VLOOKUP($F132,INSUMOS!$A:$D,2,0),""))))</f>
        <v>RODAPÉ CIMENTADO COM BOLEADO</v>
      </c>
      <c r="H132" s="312" t="str">
        <f>IF($F132="","",IFERROR(VLOOKUP($F132,SERVIÇOS!$B:$G,3,0),IFERROR(VLOOKUP($F132,'COMPOSIÇÕES COMPLEMENTARES '!$D:$L,3,0),IFERROR(VLOOKUP($F132,INSUMOS!$A:$D,3,0),""))))</f>
        <v>M</v>
      </c>
      <c r="I132" s="313">
        <v>18.86</v>
      </c>
      <c r="J132" s="314">
        <f>IF($F132="","",IFERROR(VLOOKUP($F132,SERVIÇOS!$B:$G,4,0),IFERROR(VLOOKUP($F132,'COMPOSIÇÕES COMPLEMENTARES '!$D:$L,6,0),IFERROR(VLOOKUP($F132,INSUMOS!$A:$D,4,0),""))))</f>
        <v>13.18</v>
      </c>
      <c r="K132" s="314">
        <f>IF($F132="","",IFERROR(VLOOKUP($F132,SERVIÇOS!$B:$G,5,0),IFERROR(VLOOKUP($F132,'COMPOSIÇÕES COMPLEMENTARES '!$D:$L,7,0),0)))</f>
        <v>31.81</v>
      </c>
      <c r="L132" s="314">
        <f t="shared" si="62"/>
        <v>44.989999999999995</v>
      </c>
      <c r="M132" s="314">
        <f t="shared" si="63"/>
        <v>248.57</v>
      </c>
      <c r="N132" s="314">
        <f t="shared" si="64"/>
        <v>599.92999999999995</v>
      </c>
      <c r="O132" s="314">
        <f t="shared" si="65"/>
        <v>848.5</v>
      </c>
      <c r="P132" s="314"/>
      <c r="Q132" s="315"/>
      <c r="R132" s="315"/>
      <c r="S132" s="286"/>
      <c r="T132" s="287"/>
      <c r="U132" s="288" t="str">
        <f t="shared" si="38"/>
        <v/>
      </c>
      <c r="V132" s="287"/>
      <c r="W132" s="289" t="str">
        <f t="shared" si="39"/>
        <v/>
      </c>
      <c r="X132" s="287"/>
      <c r="Y132" s="290" t="str">
        <f t="shared" si="40"/>
        <v/>
      </c>
      <c r="Z132" s="291">
        <f ca="1">SUMIF($T$8:Y$1018,"QUANT.",T132:Y132)</f>
        <v>0</v>
      </c>
      <c r="AA132" s="292">
        <f t="shared" ca="1" si="41"/>
        <v>0</v>
      </c>
      <c r="AB132" s="293" t="str">
        <f t="shared" ca="1" si="42"/>
        <v>MEDIR</v>
      </c>
      <c r="AC132" s="294">
        <f t="shared" ca="1" si="43"/>
        <v>18.86</v>
      </c>
      <c r="AD132" s="294">
        <f t="shared" ca="1" si="44"/>
        <v>848.5</v>
      </c>
      <c r="AE132" s="295"/>
      <c r="AF132" s="295"/>
      <c r="AG132" s="296"/>
      <c r="AH132" s="296"/>
      <c r="AI132" s="296"/>
      <c r="AJ132" s="295"/>
      <c r="AK132" s="295"/>
      <c r="AL132" s="295"/>
      <c r="AM132" s="295"/>
    </row>
    <row r="133" spans="1:39" x14ac:dyDescent="0.25">
      <c r="A133" s="232">
        <f t="shared" si="66"/>
        <v>133</v>
      </c>
      <c r="B133" s="232"/>
      <c r="C133" s="316" t="str">
        <f>+E133</f>
        <v>9.2</v>
      </c>
      <c r="D133" s="297"/>
      <c r="E133" s="317" t="s">
        <v>11992</v>
      </c>
      <c r="F133" s="317"/>
      <c r="G133" s="318" t="s">
        <v>11993</v>
      </c>
      <c r="H133" s="317"/>
      <c r="I133" s="319"/>
      <c r="J133" s="317"/>
      <c r="K133" s="317"/>
      <c r="L133" s="317"/>
      <c r="M133" s="317"/>
      <c r="N133" s="317"/>
      <c r="O133" s="317"/>
      <c r="P133" s="317"/>
      <c r="Q133" s="320"/>
      <c r="R133" s="306"/>
      <c r="S133" s="286"/>
      <c r="T133" s="287"/>
      <c r="U133" s="288" t="str">
        <f t="shared" si="38"/>
        <v/>
      </c>
      <c r="V133" s="287"/>
      <c r="W133" s="289" t="str">
        <f t="shared" si="39"/>
        <v/>
      </c>
      <c r="X133" s="287"/>
      <c r="Y133" s="290" t="str">
        <f t="shared" si="40"/>
        <v/>
      </c>
      <c r="Z133" s="291">
        <f ca="1">SUMIF($T$8:Y$1018,"QUANT.",T133:Y133)</f>
        <v>0</v>
      </c>
      <c r="AA133" s="292">
        <f t="shared" ca="1" si="41"/>
        <v>0</v>
      </c>
      <c r="AB133" s="293" t="str">
        <f t="shared" si="42"/>
        <v/>
      </c>
      <c r="AC133" s="294">
        <f t="shared" ca="1" si="43"/>
        <v>0</v>
      </c>
      <c r="AD133" s="294">
        <f t="shared" ca="1" si="44"/>
        <v>0</v>
      </c>
      <c r="AE133" s="295"/>
      <c r="AF133" s="295"/>
      <c r="AG133" s="296"/>
      <c r="AH133" s="296"/>
      <c r="AI133" s="296"/>
      <c r="AJ133" s="295"/>
      <c r="AK133" s="295"/>
      <c r="AL133" s="295"/>
      <c r="AM133" s="295"/>
    </row>
    <row r="134" spans="1:39" ht="25.5" x14ac:dyDescent="0.25">
      <c r="A134" s="232">
        <f t="shared" si="66"/>
        <v>134</v>
      </c>
      <c r="B134" s="232"/>
      <c r="C134" s="307" t="str">
        <f t="shared" ref="C134:C143" si="67">+C133</f>
        <v>9.2</v>
      </c>
      <c r="D134" s="308">
        <f t="shared" ref="D134:D143" si="68">1+D133</f>
        <v>1</v>
      </c>
      <c r="E134" s="309" t="str">
        <f t="shared" ref="E134:E143" si="69">C134&amp;"."&amp;D134</f>
        <v>9.2.1</v>
      </c>
      <c r="F134" s="310">
        <v>87879</v>
      </c>
      <c r="G134" s="311" t="str">
        <f>IF($F134="","",IFERROR(VLOOKUP($F134,SERVIÇOS!$B:$G,2,0),IFERROR(VLOOKUP($F134,'COMPOSIÇÕES COMPLEMENTARES '!$D:$L,2,0),IFERROR(VLOOKUP($F134,INSUMOS!$A:$D,2,0),""))))</f>
        <v>CHAPISCO APLICADO EM ALVENARIAS E ESTRUTURAS DE CONCRETO INTERNAS, COM COLHER DE PEDREIRO.  ARGAMASSA TRAÇO 1:3 COM PREPARO EM BETONEIRA 400L. AF_10/2022</v>
      </c>
      <c r="H134" s="312" t="str">
        <f>IF($F134="","",IFERROR(VLOOKUP($F134,SERVIÇOS!$B:$G,3,0),IFERROR(VLOOKUP($F134,'COMPOSIÇÕES COMPLEMENTARES '!$D:$L,3,0),IFERROR(VLOOKUP($F134,INSUMOS!$A:$D,3,0),""))))</f>
        <v>M2</v>
      </c>
      <c r="I134" s="313">
        <v>425.5</v>
      </c>
      <c r="J134" s="314">
        <f>IF($F134="","",IFERROR(VLOOKUP($F134,SERVIÇOS!$B:$G,4,0),IFERROR(VLOOKUP($F134,'COMPOSIÇÕES COMPLEMENTARES '!$D:$L,6,0),IFERROR(VLOOKUP($F134,INSUMOS!$A:$D,4,0),""))))</f>
        <v>2.52</v>
      </c>
      <c r="K134" s="314">
        <f>IF($F134="","",IFERROR(VLOOKUP($F134,SERVIÇOS!$B:$G,5,0),IFERROR(VLOOKUP($F134,'COMPOSIÇÕES COMPLEMENTARES '!$D:$L,7,0),0)))</f>
        <v>2.75</v>
      </c>
      <c r="L134" s="314">
        <f t="shared" ref="L134:L143" si="70">IF(I134="","",J134+K134)</f>
        <v>5.27</v>
      </c>
      <c r="M134" s="314">
        <f t="shared" ref="M134:M143" si="71">IF(I134="","",TRUNC((I134*J134),2))</f>
        <v>1072.26</v>
      </c>
      <c r="N134" s="314">
        <f t="shared" ref="N134:N143" si="72">IF(I134="","",TRUNC((I134*K134),2))</f>
        <v>1170.1199999999999</v>
      </c>
      <c r="O134" s="314">
        <f t="shared" ref="O134:O143" si="73">IF(I134="","",TRUNC((M134+N134),2))</f>
        <v>2242.38</v>
      </c>
      <c r="P134" s="314"/>
      <c r="Q134" s="315"/>
      <c r="R134" s="315"/>
      <c r="S134" s="286"/>
      <c r="T134" s="287"/>
      <c r="U134" s="288" t="str">
        <f t="shared" si="38"/>
        <v/>
      </c>
      <c r="V134" s="287"/>
      <c r="W134" s="289" t="str">
        <f t="shared" si="39"/>
        <v/>
      </c>
      <c r="X134" s="287"/>
      <c r="Y134" s="290" t="str">
        <f t="shared" si="40"/>
        <v/>
      </c>
      <c r="Z134" s="291">
        <f ca="1">SUMIF($T$8:Y$1018,"QUANT.",T134:Y134)</f>
        <v>0</v>
      </c>
      <c r="AA134" s="292">
        <f t="shared" ca="1" si="41"/>
        <v>0</v>
      </c>
      <c r="AB134" s="293" t="str">
        <f t="shared" ca="1" si="42"/>
        <v>MEDIR</v>
      </c>
      <c r="AC134" s="294">
        <f t="shared" ca="1" si="43"/>
        <v>425.5</v>
      </c>
      <c r="AD134" s="294">
        <f t="shared" ca="1" si="44"/>
        <v>2242.38</v>
      </c>
      <c r="AE134" s="295"/>
      <c r="AF134" s="295"/>
      <c r="AG134" s="296"/>
      <c r="AH134" s="296"/>
      <c r="AI134" s="296"/>
      <c r="AJ134" s="295"/>
      <c r="AK134" s="295"/>
      <c r="AL134" s="295"/>
      <c r="AM134" s="295"/>
    </row>
    <row r="135" spans="1:39" ht="25.5" x14ac:dyDescent="0.25">
      <c r="A135" s="232">
        <f t="shared" si="66"/>
        <v>135</v>
      </c>
      <c r="B135" s="232"/>
      <c r="C135" s="307" t="str">
        <f t="shared" si="67"/>
        <v>9.2</v>
      </c>
      <c r="D135" s="308">
        <f t="shared" si="68"/>
        <v>2</v>
      </c>
      <c r="E135" s="309" t="str">
        <f t="shared" si="69"/>
        <v>9.2.2</v>
      </c>
      <c r="F135" s="310">
        <v>87545</v>
      </c>
      <c r="G135" s="311" t="str">
        <f>IF($F135="","",IFERROR(VLOOKUP($F135,SERVIÇOS!$B:$G,2,0),IFERROR(VLOOKUP($F135,'COMPOSIÇÕES COMPLEMENTARES '!$D:$L,2,0),IFERROR(VLOOKUP($F135,INSUMOS!$A:$D,2,0),""))))</f>
        <v>EMBOÇO, EM ARGAMASSA TRAÇO 1:2:8, PREPARO MECÂNICO, APLICADO MANUALMENTE EM PAREDES INTERNAS, PARA AMBIENTES COM ÁREA MENOR QUE 5M², E = 10MM, COM TALISCAS. AF_03/2024</v>
      </c>
      <c r="H135" s="312" t="str">
        <f>IF($F135="","",IFERROR(VLOOKUP($F135,SERVIÇOS!$B:$G,3,0),IFERROR(VLOOKUP($F135,'COMPOSIÇÕES COMPLEMENTARES '!$D:$L,3,0),IFERROR(VLOOKUP($F135,INSUMOS!$A:$D,3,0),""))))</f>
        <v>M2</v>
      </c>
      <c r="I135" s="313">
        <v>80.540000000000006</v>
      </c>
      <c r="J135" s="314">
        <f>IF($F135="","",IFERROR(VLOOKUP($F135,SERVIÇOS!$B:$G,4,0),IFERROR(VLOOKUP($F135,'COMPOSIÇÕES COMPLEMENTARES '!$D:$L,6,0),IFERROR(VLOOKUP($F135,INSUMOS!$A:$D,4,0),""))))</f>
        <v>15.16</v>
      </c>
      <c r="K135" s="314">
        <f>IF($F135="","",IFERROR(VLOOKUP($F135,SERVIÇOS!$B:$G,5,0),IFERROR(VLOOKUP($F135,'COMPOSIÇÕES COMPLEMENTARES '!$D:$L,7,0),0)))</f>
        <v>19.28</v>
      </c>
      <c r="L135" s="314">
        <f t="shared" si="70"/>
        <v>34.44</v>
      </c>
      <c r="M135" s="314">
        <f t="shared" si="71"/>
        <v>1220.98</v>
      </c>
      <c r="N135" s="314">
        <f t="shared" si="72"/>
        <v>1552.81</v>
      </c>
      <c r="O135" s="314">
        <f t="shared" si="73"/>
        <v>2773.79</v>
      </c>
      <c r="P135" s="314"/>
      <c r="Q135" s="315"/>
      <c r="R135" s="315"/>
      <c r="S135" s="286"/>
      <c r="T135" s="287"/>
      <c r="U135" s="288" t="str">
        <f t="shared" si="38"/>
        <v/>
      </c>
      <c r="V135" s="287"/>
      <c r="W135" s="289" t="str">
        <f t="shared" si="39"/>
        <v/>
      </c>
      <c r="X135" s="287"/>
      <c r="Y135" s="290" t="str">
        <f t="shared" si="40"/>
        <v/>
      </c>
      <c r="Z135" s="291">
        <f ca="1">SUMIF($T$8:Y$1018,"QUANT.",T135:Y135)</f>
        <v>0</v>
      </c>
      <c r="AA135" s="292">
        <f t="shared" ca="1" si="41"/>
        <v>0</v>
      </c>
      <c r="AB135" s="293" t="str">
        <f t="shared" ca="1" si="42"/>
        <v>MEDIR</v>
      </c>
      <c r="AC135" s="294">
        <f t="shared" ca="1" si="43"/>
        <v>80.540000000000006</v>
      </c>
      <c r="AD135" s="294">
        <f t="shared" ca="1" si="44"/>
        <v>2773.79</v>
      </c>
      <c r="AE135" s="295"/>
      <c r="AF135" s="295"/>
      <c r="AG135" s="296"/>
      <c r="AH135" s="296"/>
      <c r="AI135" s="296"/>
      <c r="AJ135" s="295"/>
      <c r="AK135" s="295"/>
      <c r="AL135" s="295"/>
      <c r="AM135" s="295"/>
    </row>
    <row r="136" spans="1:39" ht="25.5" x14ac:dyDescent="0.25">
      <c r="A136" s="232">
        <f t="shared" si="66"/>
        <v>136</v>
      </c>
      <c r="B136" s="232"/>
      <c r="C136" s="307" t="str">
        <f t="shared" si="67"/>
        <v>9.2</v>
      </c>
      <c r="D136" s="308">
        <f t="shared" si="68"/>
        <v>3</v>
      </c>
      <c r="E136" s="309" t="str">
        <f t="shared" si="69"/>
        <v>9.2.3</v>
      </c>
      <c r="F136" s="310">
        <v>87549</v>
      </c>
      <c r="G136" s="311" t="str">
        <f>IF($F136="","",IFERROR(VLOOKUP($F136,SERVIÇOS!$B:$G,2,0),IFERROR(VLOOKUP($F136,'COMPOSIÇÕES COMPLEMENTARES '!$D:$L,2,0),IFERROR(VLOOKUP($F136,INSUMOS!$A:$D,2,0),""))))</f>
        <v>EMBOÇO, EM ARGAMASSA TRAÇO 1:2:8, PREPARO MECÂNICO, APLICADO MANUALMENTE EM PAREDES INTERNAS DE AMBIENTES COM ÁREA ENTRE 5M² E 10M², E = 10MM, COM TALISCAS. AF_03/2024</v>
      </c>
      <c r="H136" s="312" t="str">
        <f>IF($F136="","",IFERROR(VLOOKUP($F136,SERVIÇOS!$B:$G,3,0),IFERROR(VLOOKUP($F136,'COMPOSIÇÕES COMPLEMENTARES '!$D:$L,3,0),IFERROR(VLOOKUP($F136,INSUMOS!$A:$D,3,0),""))))</f>
        <v>M2</v>
      </c>
      <c r="I136" s="313">
        <v>47.02</v>
      </c>
      <c r="J136" s="314">
        <f>IF($F136="","",IFERROR(VLOOKUP($F136,SERVIÇOS!$B:$G,4,0),IFERROR(VLOOKUP($F136,'COMPOSIÇÕES COMPLEMENTARES '!$D:$L,6,0),IFERROR(VLOOKUP($F136,INSUMOS!$A:$D,4,0),""))))</f>
        <v>13.62</v>
      </c>
      <c r="K136" s="314">
        <f>IF($F136="","",IFERROR(VLOOKUP($F136,SERVIÇOS!$B:$G,5,0),IFERROR(VLOOKUP($F136,'COMPOSIÇÕES COMPLEMENTARES '!$D:$L,7,0),0)))</f>
        <v>15.12</v>
      </c>
      <c r="L136" s="314">
        <f t="shared" si="70"/>
        <v>28.74</v>
      </c>
      <c r="M136" s="314">
        <f t="shared" si="71"/>
        <v>640.41</v>
      </c>
      <c r="N136" s="314">
        <f t="shared" si="72"/>
        <v>710.94</v>
      </c>
      <c r="O136" s="314">
        <f t="shared" si="73"/>
        <v>1351.35</v>
      </c>
      <c r="P136" s="314"/>
      <c r="Q136" s="315"/>
      <c r="R136" s="315"/>
      <c r="S136" s="286"/>
      <c r="T136" s="287"/>
      <c r="U136" s="288" t="str">
        <f t="shared" si="38"/>
        <v/>
      </c>
      <c r="V136" s="287"/>
      <c r="W136" s="289" t="str">
        <f t="shared" si="39"/>
        <v/>
      </c>
      <c r="X136" s="287"/>
      <c r="Y136" s="290" t="str">
        <f t="shared" si="40"/>
        <v/>
      </c>
      <c r="Z136" s="291">
        <f ca="1">SUMIF($T$8:Y$1018,"QUANT.",T136:Y136)</f>
        <v>0</v>
      </c>
      <c r="AA136" s="292">
        <f t="shared" ca="1" si="41"/>
        <v>0</v>
      </c>
      <c r="AB136" s="293" t="str">
        <f t="shared" ca="1" si="42"/>
        <v>MEDIR</v>
      </c>
      <c r="AC136" s="294">
        <f t="shared" ca="1" si="43"/>
        <v>47.02</v>
      </c>
      <c r="AD136" s="294">
        <f t="shared" ca="1" si="44"/>
        <v>1351.35</v>
      </c>
      <c r="AE136" s="295"/>
      <c r="AF136" s="295"/>
      <c r="AG136" s="296"/>
      <c r="AH136" s="296"/>
      <c r="AI136" s="296"/>
      <c r="AJ136" s="295"/>
      <c r="AK136" s="295"/>
      <c r="AL136" s="295"/>
      <c r="AM136" s="295"/>
    </row>
    <row r="137" spans="1:39" ht="25.5" x14ac:dyDescent="0.25">
      <c r="A137" s="232">
        <f t="shared" si="66"/>
        <v>137</v>
      </c>
      <c r="B137" s="232"/>
      <c r="C137" s="307" t="str">
        <f t="shared" si="67"/>
        <v>9.2</v>
      </c>
      <c r="D137" s="308">
        <f t="shared" si="68"/>
        <v>4</v>
      </c>
      <c r="E137" s="309" t="str">
        <f t="shared" si="69"/>
        <v>9.2.4</v>
      </c>
      <c r="F137" s="310">
        <v>87547</v>
      </c>
      <c r="G137" s="311" t="str">
        <f>IF($F137="","",IFERROR(VLOOKUP($F137,SERVIÇOS!$B:$G,2,0),IFERROR(VLOOKUP($F137,'COMPOSIÇÕES COMPLEMENTARES '!$D:$L,2,0),IFERROR(VLOOKUP($F137,INSUMOS!$A:$D,2,0),""))))</f>
        <v>MASSA ÚNICA, EM ARGAMASSA TRAÇO 1:2:8, PREPARO MECÂNICO, APLICADA MANUALMENTE EM PAREDES INTERNAS DE AMBIENTES COM ÁREA ENTRE 5M² E 10M², E = 10MM, COM TALISCAS. AF_03/2024</v>
      </c>
      <c r="H137" s="312" t="str">
        <f>IF($F137="","",IFERROR(VLOOKUP($F137,SERVIÇOS!$B:$G,3,0),IFERROR(VLOOKUP($F137,'COMPOSIÇÕES COMPLEMENTARES '!$D:$L,3,0),IFERROR(VLOOKUP($F137,INSUMOS!$A:$D,3,0),""))))</f>
        <v>M2</v>
      </c>
      <c r="I137" s="313">
        <v>297.94</v>
      </c>
      <c r="J137" s="314">
        <f>IF($F137="","",IFERROR(VLOOKUP($F137,SERVIÇOS!$B:$G,4,0),IFERROR(VLOOKUP($F137,'COMPOSIÇÕES COMPLEMENTARES '!$D:$L,6,0),IFERROR(VLOOKUP($F137,INSUMOS!$A:$D,4,0),""))))</f>
        <v>14.06</v>
      </c>
      <c r="K137" s="314">
        <f>IF($F137="","",IFERROR(VLOOKUP($F137,SERVIÇOS!$B:$G,5,0),IFERROR(VLOOKUP($F137,'COMPOSIÇÕES COMPLEMENTARES '!$D:$L,7,0),0)))</f>
        <v>16.32</v>
      </c>
      <c r="L137" s="314">
        <f t="shared" si="70"/>
        <v>30.380000000000003</v>
      </c>
      <c r="M137" s="314">
        <f t="shared" si="71"/>
        <v>4189.03</v>
      </c>
      <c r="N137" s="314">
        <f t="shared" si="72"/>
        <v>4862.38</v>
      </c>
      <c r="O137" s="314">
        <f t="shared" si="73"/>
        <v>9051.41</v>
      </c>
      <c r="P137" s="314"/>
      <c r="Q137" s="315"/>
      <c r="R137" s="315"/>
      <c r="S137" s="286"/>
      <c r="T137" s="287"/>
      <c r="U137" s="288" t="str">
        <f t="shared" ref="U137:U200" si="74">IF(OR(T137="",$O137=""),"",(T137/$I137)*$O137)</f>
        <v/>
      </c>
      <c r="V137" s="287"/>
      <c r="W137" s="289" t="str">
        <f t="shared" ref="W137:W200" si="75">IF(OR(V137="",$O137=""),"",(V137/$I137)*$O137)</f>
        <v/>
      </c>
      <c r="X137" s="287"/>
      <c r="Y137" s="290" t="str">
        <f t="shared" ref="Y137:Y200" si="76">IF(OR(X137="",$O137=""),"",(X137/$I137)*$O137)</f>
        <v/>
      </c>
      <c r="Z137" s="291">
        <f ca="1">SUMIF($T$8:Y$1018,"QUANT.",T137:Y137)</f>
        <v>0</v>
      </c>
      <c r="AA137" s="292">
        <f t="shared" ref="AA137:AA200" ca="1" si="77">SUMIF($T$8:$Y$1018,"CUSTO",T137:Y137)</f>
        <v>0</v>
      </c>
      <c r="AB137" s="293" t="str">
        <f t="shared" ref="AB137:AB200" ca="1" si="78">IF(F137&lt;&gt;"",IF(AA137=0,"MEDIR",IF(O137-AA137=0,"OK",IF(O137-AA137&gt;0,"MEDIR","ALERTA!"))),"")</f>
        <v>MEDIR</v>
      </c>
      <c r="AC137" s="294">
        <f t="shared" ref="AC137:AC200" ca="1" si="79">IF(Z137="",0,I137-Z137)</f>
        <v>297.94</v>
      </c>
      <c r="AD137" s="294">
        <f t="shared" ref="AD137:AD200" ca="1" si="80">IF(AA137="",0,O137-AA137)</f>
        <v>9051.41</v>
      </c>
      <c r="AE137" s="295"/>
      <c r="AF137" s="295"/>
      <c r="AG137" s="296"/>
      <c r="AH137" s="296"/>
      <c r="AI137" s="296"/>
      <c r="AJ137" s="295"/>
      <c r="AK137" s="295"/>
      <c r="AL137" s="295"/>
      <c r="AM137" s="295"/>
    </row>
    <row r="138" spans="1:39" ht="25.5" x14ac:dyDescent="0.25">
      <c r="A138" s="232">
        <f t="shared" si="66"/>
        <v>138</v>
      </c>
      <c r="B138" s="232"/>
      <c r="C138" s="307" t="str">
        <f t="shared" si="67"/>
        <v>9.2</v>
      </c>
      <c r="D138" s="308">
        <f t="shared" si="68"/>
        <v>5</v>
      </c>
      <c r="E138" s="309" t="str">
        <f t="shared" si="69"/>
        <v>9.2.5</v>
      </c>
      <c r="F138" s="310">
        <v>87265</v>
      </c>
      <c r="G138" s="311" t="str">
        <f>IF($F138="","",IFERROR(VLOOKUP($F138,SERVIÇOS!$B:$G,2,0),IFERROR(VLOOKUP($F138,'COMPOSIÇÕES COMPLEMENTARES '!$D:$L,2,0),IFERROR(VLOOKUP($F138,INSUMOS!$A:$D,2,0),""))))</f>
        <v>REVESTIMENTO CERÂMICO PARA PAREDES INTERNAS COM PLACAS TIPO ESMALTADA DE DIMENSÕES 20X20 CM APLICADAS NA ALTURA INTEIRA DAS PAREDES.  AF_02/2023_PE</v>
      </c>
      <c r="H138" s="312" t="str">
        <f>IF($F138="","",IFERROR(VLOOKUP($F138,SERVIÇOS!$B:$G,3,0),IFERROR(VLOOKUP($F138,'COMPOSIÇÕES COMPLEMENTARES '!$D:$L,3,0),IFERROR(VLOOKUP($F138,INSUMOS!$A:$D,3,0),""))))</f>
        <v>M2</v>
      </c>
      <c r="I138" s="313">
        <v>241.98</v>
      </c>
      <c r="J138" s="314">
        <f>IF($F138="","",IFERROR(VLOOKUP($F138,SERVIÇOS!$B:$G,4,0),IFERROR(VLOOKUP($F138,'COMPOSIÇÕES COMPLEMENTARES '!$D:$L,6,0),IFERROR(VLOOKUP($F138,INSUMOS!$A:$D,4,0),""))))</f>
        <v>50.2</v>
      </c>
      <c r="K138" s="314">
        <f>IF($F138="","",IFERROR(VLOOKUP($F138,SERVIÇOS!$B:$G,5,0),IFERROR(VLOOKUP($F138,'COMPOSIÇÕES COMPLEMENTARES '!$D:$L,7,0),0)))</f>
        <v>19.899999999999999</v>
      </c>
      <c r="L138" s="314">
        <f t="shared" si="70"/>
        <v>70.099999999999994</v>
      </c>
      <c r="M138" s="314">
        <f t="shared" si="71"/>
        <v>12147.39</v>
      </c>
      <c r="N138" s="314">
        <f t="shared" si="72"/>
        <v>4815.3999999999996</v>
      </c>
      <c r="O138" s="314">
        <f t="shared" si="73"/>
        <v>16962.79</v>
      </c>
      <c r="P138" s="314"/>
      <c r="Q138" s="315"/>
      <c r="R138" s="315"/>
      <c r="S138" s="286"/>
      <c r="T138" s="287"/>
      <c r="U138" s="288" t="str">
        <f t="shared" si="74"/>
        <v/>
      </c>
      <c r="V138" s="287"/>
      <c r="W138" s="289" t="str">
        <f t="shared" si="75"/>
        <v/>
      </c>
      <c r="X138" s="287"/>
      <c r="Y138" s="290" t="str">
        <f t="shared" si="76"/>
        <v/>
      </c>
      <c r="Z138" s="291">
        <f ca="1">SUMIF($T$8:Y$1018,"QUANT.",T138:Y138)</f>
        <v>0</v>
      </c>
      <c r="AA138" s="292">
        <f t="shared" ca="1" si="77"/>
        <v>0</v>
      </c>
      <c r="AB138" s="293" t="str">
        <f t="shared" ca="1" si="78"/>
        <v>MEDIR</v>
      </c>
      <c r="AC138" s="294">
        <f t="shared" ca="1" si="79"/>
        <v>241.98</v>
      </c>
      <c r="AD138" s="294">
        <f t="shared" ca="1" si="80"/>
        <v>16962.79</v>
      </c>
      <c r="AE138" s="295"/>
      <c r="AF138" s="295"/>
      <c r="AG138" s="296"/>
      <c r="AH138" s="296"/>
      <c r="AI138" s="296"/>
      <c r="AJ138" s="295"/>
      <c r="AK138" s="295"/>
      <c r="AL138" s="295"/>
      <c r="AM138" s="295"/>
    </row>
    <row r="139" spans="1:39" ht="25.5" x14ac:dyDescent="0.25">
      <c r="A139" s="232">
        <f t="shared" si="66"/>
        <v>139</v>
      </c>
      <c r="B139" s="232"/>
      <c r="C139" s="307" t="str">
        <f t="shared" si="67"/>
        <v>9.2</v>
      </c>
      <c r="D139" s="308">
        <f t="shared" si="68"/>
        <v>6</v>
      </c>
      <c r="E139" s="309" t="str">
        <f t="shared" si="69"/>
        <v>9.2.6</v>
      </c>
      <c r="F139" s="310">
        <v>87265</v>
      </c>
      <c r="G139" s="311" t="str">
        <f>IF($F139="","",IFERROR(VLOOKUP($F139,SERVIÇOS!$B:$G,2,0),IFERROR(VLOOKUP($F139,'COMPOSIÇÕES COMPLEMENTARES '!$D:$L,2,0),IFERROR(VLOOKUP($F139,INSUMOS!$A:$D,2,0),""))))</f>
        <v>REVESTIMENTO CERÂMICO PARA PAREDES INTERNAS COM PLACAS TIPO ESMALTADA DE DIMENSÕES 20X20 CM APLICADAS NA ALTURA INTEIRA DAS PAREDES.  AF_02/2023_PE</v>
      </c>
      <c r="H139" s="312" t="str">
        <f>IF($F139="","",IFERROR(VLOOKUP($F139,SERVIÇOS!$B:$G,3,0),IFERROR(VLOOKUP($F139,'COMPOSIÇÕES COMPLEMENTARES '!$D:$L,3,0),IFERROR(VLOOKUP($F139,INSUMOS!$A:$D,3,0),""))))</f>
        <v>M2</v>
      </c>
      <c r="I139" s="313">
        <v>235.61</v>
      </c>
      <c r="J139" s="314">
        <f>IF($F139="","",IFERROR(VLOOKUP($F139,SERVIÇOS!$B:$G,4,0),IFERROR(VLOOKUP($F139,'COMPOSIÇÕES COMPLEMENTARES '!$D:$L,6,0),IFERROR(VLOOKUP($F139,INSUMOS!$A:$D,4,0),""))))</f>
        <v>50.2</v>
      </c>
      <c r="K139" s="314">
        <f>IF($F139="","",IFERROR(VLOOKUP($F139,SERVIÇOS!$B:$G,5,0),IFERROR(VLOOKUP($F139,'COMPOSIÇÕES COMPLEMENTARES '!$D:$L,7,0),0)))</f>
        <v>19.899999999999999</v>
      </c>
      <c r="L139" s="314">
        <f t="shared" si="70"/>
        <v>70.099999999999994</v>
      </c>
      <c r="M139" s="314">
        <f t="shared" si="71"/>
        <v>11827.62</v>
      </c>
      <c r="N139" s="314">
        <f t="shared" si="72"/>
        <v>4688.63</v>
      </c>
      <c r="O139" s="314">
        <f t="shared" si="73"/>
        <v>16516.25</v>
      </c>
      <c r="P139" s="314"/>
      <c r="Q139" s="315"/>
      <c r="R139" s="315"/>
      <c r="S139" s="286"/>
      <c r="T139" s="287"/>
      <c r="U139" s="288" t="str">
        <f t="shared" si="74"/>
        <v/>
      </c>
      <c r="V139" s="287"/>
      <c r="W139" s="289" t="str">
        <f t="shared" si="75"/>
        <v/>
      </c>
      <c r="X139" s="287"/>
      <c r="Y139" s="290" t="str">
        <f t="shared" si="76"/>
        <v/>
      </c>
      <c r="Z139" s="291">
        <f ca="1">SUMIF($T$8:Y$1018,"QUANT.",T139:Y139)</f>
        <v>0</v>
      </c>
      <c r="AA139" s="292">
        <f t="shared" ca="1" si="77"/>
        <v>0</v>
      </c>
      <c r="AB139" s="293" t="str">
        <f t="shared" ca="1" si="78"/>
        <v>MEDIR</v>
      </c>
      <c r="AC139" s="294">
        <f t="shared" ca="1" si="79"/>
        <v>235.61</v>
      </c>
      <c r="AD139" s="294">
        <f t="shared" ca="1" si="80"/>
        <v>16516.25</v>
      </c>
      <c r="AE139" s="295"/>
      <c r="AF139" s="295"/>
      <c r="AG139" s="296"/>
      <c r="AH139" s="296"/>
      <c r="AI139" s="296"/>
      <c r="AJ139" s="295"/>
      <c r="AK139" s="295"/>
      <c r="AL139" s="295"/>
      <c r="AM139" s="295"/>
    </row>
    <row r="140" spans="1:39" x14ac:dyDescent="0.25">
      <c r="A140" s="232">
        <f t="shared" si="66"/>
        <v>140</v>
      </c>
      <c r="B140" s="232"/>
      <c r="C140" s="307" t="str">
        <f t="shared" si="67"/>
        <v>9.2</v>
      </c>
      <c r="D140" s="308">
        <f t="shared" si="68"/>
        <v>7</v>
      </c>
      <c r="E140" s="309" t="str">
        <f t="shared" si="69"/>
        <v>9.2.7</v>
      </c>
      <c r="F140" s="310" t="s">
        <v>11994</v>
      </c>
      <c r="G140" s="311" t="str">
        <f>IF($F140="","",IFERROR(VLOOKUP($F140,SERVIÇOS!$B:$G,2,0),IFERROR(VLOOKUP($F140,'COMPOSIÇÕES COMPLEMENTARES '!$D:$L,2,0),IFERROR(VLOOKUP($F140,INSUMOS!$A:$D,2,0),""))))</f>
        <v>REVESTIMENTO EM ARGAMASSA BARITA, ESPESSURA 1,50 CM</v>
      </c>
      <c r="H140" s="312" t="str">
        <f>IF($F140="","",IFERROR(VLOOKUP($F140,SERVIÇOS!$B:$G,3,0),IFERROR(VLOOKUP($F140,'COMPOSIÇÕES COMPLEMENTARES '!$D:$L,3,0),IFERROR(VLOOKUP($F140,INSUMOS!$A:$D,3,0),""))))</f>
        <v>M2</v>
      </c>
      <c r="I140" s="313">
        <v>21.75</v>
      </c>
      <c r="J140" s="314">
        <f>IF($F140="","",IFERROR(VLOOKUP($F140,SERVIÇOS!$B:$G,4,0),IFERROR(VLOOKUP($F140,'COMPOSIÇÕES COMPLEMENTARES '!$D:$L,6,0),IFERROR(VLOOKUP($F140,INSUMOS!$A:$D,4,0),""))))</f>
        <v>83.21</v>
      </c>
      <c r="K140" s="314">
        <f>IF($F140="","",IFERROR(VLOOKUP($F140,SERVIÇOS!$B:$G,5,0),IFERROR(VLOOKUP($F140,'COMPOSIÇÕES COMPLEMENTARES '!$D:$L,7,0),0)))</f>
        <v>48.53</v>
      </c>
      <c r="L140" s="314">
        <f t="shared" si="70"/>
        <v>131.74</v>
      </c>
      <c r="M140" s="314">
        <f t="shared" si="71"/>
        <v>1809.81</v>
      </c>
      <c r="N140" s="314">
        <f t="shared" si="72"/>
        <v>1055.52</v>
      </c>
      <c r="O140" s="314">
        <f t="shared" si="73"/>
        <v>2865.33</v>
      </c>
      <c r="P140" s="314"/>
      <c r="Q140" s="315"/>
      <c r="R140" s="315"/>
      <c r="S140" s="286"/>
      <c r="T140" s="287"/>
      <c r="U140" s="288" t="str">
        <f t="shared" si="74"/>
        <v/>
      </c>
      <c r="V140" s="287"/>
      <c r="W140" s="289" t="str">
        <f t="shared" si="75"/>
        <v/>
      </c>
      <c r="X140" s="287"/>
      <c r="Y140" s="290" t="str">
        <f t="shared" si="76"/>
        <v/>
      </c>
      <c r="Z140" s="291">
        <f ca="1">SUMIF($T$8:Y$1018,"QUANT.",T140:Y140)</f>
        <v>0</v>
      </c>
      <c r="AA140" s="292">
        <f t="shared" ca="1" si="77"/>
        <v>0</v>
      </c>
      <c r="AB140" s="293" t="str">
        <f t="shared" ca="1" si="78"/>
        <v>MEDIR</v>
      </c>
      <c r="AC140" s="294">
        <f t="shared" ca="1" si="79"/>
        <v>21.75</v>
      </c>
      <c r="AD140" s="294">
        <f t="shared" ca="1" si="80"/>
        <v>2865.33</v>
      </c>
      <c r="AE140" s="295"/>
      <c r="AF140" s="295"/>
      <c r="AG140" s="296"/>
      <c r="AH140" s="296"/>
      <c r="AI140" s="296"/>
      <c r="AJ140" s="295"/>
      <c r="AK140" s="295"/>
      <c r="AL140" s="295"/>
      <c r="AM140" s="295"/>
    </row>
    <row r="141" spans="1:39" x14ac:dyDescent="0.25">
      <c r="A141" s="232">
        <f t="shared" si="66"/>
        <v>141</v>
      </c>
      <c r="B141" s="232"/>
      <c r="C141" s="307" t="str">
        <f t="shared" si="67"/>
        <v>9.2</v>
      </c>
      <c r="D141" s="308">
        <f t="shared" si="68"/>
        <v>8</v>
      </c>
      <c r="E141" s="309" t="str">
        <f t="shared" si="69"/>
        <v>9.2.8</v>
      </c>
      <c r="F141" s="310" t="s">
        <v>11995</v>
      </c>
      <c r="G141" s="311" t="str">
        <f>IF($F141="","",IFERROR(VLOOKUP($F141,SERVIÇOS!$B:$G,2,0),IFERROR(VLOOKUP($F141,'COMPOSIÇÕES COMPLEMENTARES '!$D:$L,2,0),IFERROR(VLOOKUP($F141,INSUMOS!$A:$D,2,0),""))))</f>
        <v>REVESTIMENTO EM ARGAMASSA BARITA, ESPESSURA 2,00 CM</v>
      </c>
      <c r="H141" s="312" t="str">
        <f>IF($F141="","",IFERROR(VLOOKUP($F141,SERVIÇOS!$B:$G,3,0),IFERROR(VLOOKUP($F141,'COMPOSIÇÕES COMPLEMENTARES '!$D:$L,3,0),IFERROR(VLOOKUP($F141,INSUMOS!$A:$D,3,0),""))))</f>
        <v>M2</v>
      </c>
      <c r="I141" s="313">
        <v>2.71</v>
      </c>
      <c r="J141" s="314">
        <f>IF($F141="","",IFERROR(VLOOKUP($F141,SERVIÇOS!$B:$G,4,0),IFERROR(VLOOKUP($F141,'COMPOSIÇÕES COMPLEMENTARES '!$D:$L,6,0),IFERROR(VLOOKUP($F141,INSUMOS!$A:$D,4,0),""))))</f>
        <v>99.21</v>
      </c>
      <c r="K141" s="314">
        <f>IF($F141="","",IFERROR(VLOOKUP($F141,SERVIÇOS!$B:$G,5,0),IFERROR(VLOOKUP($F141,'COMPOSIÇÕES COMPLEMENTARES '!$D:$L,7,0),0)))</f>
        <v>48.53</v>
      </c>
      <c r="L141" s="314">
        <f t="shared" si="70"/>
        <v>147.74</v>
      </c>
      <c r="M141" s="314">
        <f t="shared" si="71"/>
        <v>268.85000000000002</v>
      </c>
      <c r="N141" s="314">
        <f t="shared" si="72"/>
        <v>131.51</v>
      </c>
      <c r="O141" s="314">
        <f t="shared" si="73"/>
        <v>400.36</v>
      </c>
      <c r="P141" s="314"/>
      <c r="Q141" s="315"/>
      <c r="R141" s="315"/>
      <c r="S141" s="286"/>
      <c r="T141" s="287"/>
      <c r="U141" s="288" t="str">
        <f t="shared" si="74"/>
        <v/>
      </c>
      <c r="V141" s="287"/>
      <c r="W141" s="289" t="str">
        <f t="shared" si="75"/>
        <v/>
      </c>
      <c r="X141" s="287"/>
      <c r="Y141" s="290" t="str">
        <f t="shared" si="76"/>
        <v/>
      </c>
      <c r="Z141" s="291">
        <f ca="1">SUMIF($T$8:Y$1018,"QUANT.",T141:Y141)</f>
        <v>0</v>
      </c>
      <c r="AA141" s="292">
        <f t="shared" ca="1" si="77"/>
        <v>0</v>
      </c>
      <c r="AB141" s="293" t="str">
        <f t="shared" ca="1" si="78"/>
        <v>MEDIR</v>
      </c>
      <c r="AC141" s="294">
        <f t="shared" ca="1" si="79"/>
        <v>2.71</v>
      </c>
      <c r="AD141" s="294">
        <f t="shared" ca="1" si="80"/>
        <v>400.36</v>
      </c>
      <c r="AE141" s="295"/>
      <c r="AF141" s="295"/>
      <c r="AG141" s="296"/>
      <c r="AH141" s="296"/>
      <c r="AI141" s="296"/>
      <c r="AJ141" s="295"/>
      <c r="AK141" s="295"/>
      <c r="AL141" s="295"/>
      <c r="AM141" s="295"/>
    </row>
    <row r="142" spans="1:39" x14ac:dyDescent="0.25">
      <c r="A142" s="232">
        <f t="shared" si="66"/>
        <v>142</v>
      </c>
      <c r="B142" s="232"/>
      <c r="C142" s="307" t="str">
        <f t="shared" si="67"/>
        <v>9.2</v>
      </c>
      <c r="D142" s="308">
        <f t="shared" si="68"/>
        <v>9</v>
      </c>
      <c r="E142" s="309" t="str">
        <f t="shared" si="69"/>
        <v>9.2.9</v>
      </c>
      <c r="F142" s="310" t="s">
        <v>11996</v>
      </c>
      <c r="G142" s="311" t="str">
        <f>IF($F142="","",IFERROR(VLOOKUP($F142,SERVIÇOS!$B:$G,2,0),IFERROR(VLOOKUP($F142,'COMPOSIÇÕES COMPLEMENTARES '!$D:$L,2,0),IFERROR(VLOOKUP($F142,INSUMOS!$A:$D,2,0),""))))</f>
        <v>REVESTIMENTO EM ARGAMASSA BARITA, ESPESSURA 2,50 CM</v>
      </c>
      <c r="H142" s="312" t="str">
        <f>IF($F142="","",IFERROR(VLOOKUP($F142,SERVIÇOS!$B:$G,3,0),IFERROR(VLOOKUP($F142,'COMPOSIÇÕES COMPLEMENTARES '!$D:$L,3,0),IFERROR(VLOOKUP($F142,INSUMOS!$A:$D,3,0),""))))</f>
        <v>M2</v>
      </c>
      <c r="I142" s="313">
        <v>15.36</v>
      </c>
      <c r="J142" s="314">
        <f>IF($F142="","",IFERROR(VLOOKUP($F142,SERVIÇOS!$B:$G,4,0),IFERROR(VLOOKUP($F142,'COMPOSIÇÕES COMPLEMENTARES '!$D:$L,6,0),IFERROR(VLOOKUP($F142,INSUMOS!$A:$D,4,0),""))))</f>
        <v>135.6</v>
      </c>
      <c r="K142" s="314">
        <f>IF($F142="","",IFERROR(VLOOKUP($F142,SERVIÇOS!$B:$G,5,0),IFERROR(VLOOKUP($F142,'COMPOSIÇÕES COMPLEMENTARES '!$D:$L,7,0),0)))</f>
        <v>58.91</v>
      </c>
      <c r="L142" s="314">
        <f t="shared" si="70"/>
        <v>194.51</v>
      </c>
      <c r="M142" s="314">
        <f t="shared" si="71"/>
        <v>2082.81</v>
      </c>
      <c r="N142" s="314">
        <f t="shared" si="72"/>
        <v>904.85</v>
      </c>
      <c r="O142" s="314">
        <f t="shared" si="73"/>
        <v>2987.66</v>
      </c>
      <c r="P142" s="314"/>
      <c r="Q142" s="315"/>
      <c r="R142" s="315"/>
      <c r="S142" s="286"/>
      <c r="T142" s="287"/>
      <c r="U142" s="288" t="str">
        <f t="shared" si="74"/>
        <v/>
      </c>
      <c r="V142" s="287"/>
      <c r="W142" s="289" t="str">
        <f t="shared" si="75"/>
        <v/>
      </c>
      <c r="X142" s="287"/>
      <c r="Y142" s="290" t="str">
        <f t="shared" si="76"/>
        <v/>
      </c>
      <c r="Z142" s="291">
        <f ca="1">SUMIF($T$8:Y$1018,"QUANT.",T142:Y142)</f>
        <v>0</v>
      </c>
      <c r="AA142" s="292">
        <f t="shared" ca="1" si="77"/>
        <v>0</v>
      </c>
      <c r="AB142" s="293" t="str">
        <f t="shared" ca="1" si="78"/>
        <v>MEDIR</v>
      </c>
      <c r="AC142" s="294">
        <f t="shared" ca="1" si="79"/>
        <v>15.36</v>
      </c>
      <c r="AD142" s="294">
        <f t="shared" ca="1" si="80"/>
        <v>2987.66</v>
      </c>
      <c r="AE142" s="295"/>
      <c r="AF142" s="295"/>
      <c r="AG142" s="296"/>
      <c r="AH142" s="296"/>
      <c r="AI142" s="296"/>
      <c r="AJ142" s="295"/>
      <c r="AK142" s="295"/>
      <c r="AL142" s="295"/>
      <c r="AM142" s="295"/>
    </row>
    <row r="143" spans="1:39" ht="25.5" x14ac:dyDescent="0.25">
      <c r="A143" s="232">
        <f t="shared" si="66"/>
        <v>143</v>
      </c>
      <c r="B143" s="232"/>
      <c r="C143" s="307" t="str">
        <f t="shared" si="67"/>
        <v>9.2</v>
      </c>
      <c r="D143" s="308">
        <f t="shared" si="68"/>
        <v>10</v>
      </c>
      <c r="E143" s="309" t="str">
        <f t="shared" si="69"/>
        <v>9.2.10</v>
      </c>
      <c r="F143" s="310" t="s">
        <v>11997</v>
      </c>
      <c r="G143" s="311" t="str">
        <f>IF($F143="","",IFERROR(VLOOKUP($F143,SERVIÇOS!$B:$G,2,0),IFERROR(VLOOKUP($F143,'COMPOSIÇÕES COMPLEMENTARES '!$D:$L,2,0),IFERROR(VLOOKUP($F143,INSUMOS!$A:$D,2,0),""))))</f>
        <v>REVESTIMENTO CERÂMICO PARA PAREDES INTERNAS COM PLACAS TIPO ESMALTADAS EXTRA 20X20CM, COR BRANCO, COM REJUNTE EPÓXI, A MEIA ALTURA DAS PAREDES</v>
      </c>
      <c r="H143" s="312" t="str">
        <f>IF($F143="","",IFERROR(VLOOKUP($F143,SERVIÇOS!$B:$G,3,0),IFERROR(VLOOKUP($F143,'COMPOSIÇÕES COMPLEMENTARES '!$D:$L,3,0),IFERROR(VLOOKUP($F143,INSUMOS!$A:$D,3,0),""))))</f>
        <v>M2</v>
      </c>
      <c r="I143" s="313">
        <v>28.73</v>
      </c>
      <c r="J143" s="314">
        <f>IF($F143="","",IFERROR(VLOOKUP($F143,SERVIÇOS!$B:$G,4,0),IFERROR(VLOOKUP($F143,'COMPOSIÇÕES COMPLEMENTARES '!$D:$L,6,0),IFERROR(VLOOKUP($F143,INSUMOS!$A:$D,4,0),""))))</f>
        <v>89.9</v>
      </c>
      <c r="K143" s="314">
        <f>IF($F143="","",IFERROR(VLOOKUP($F143,SERVIÇOS!$B:$G,5,0),IFERROR(VLOOKUP($F143,'COMPOSIÇÕES COMPLEMENTARES '!$D:$L,7,0),0)))</f>
        <v>26.41</v>
      </c>
      <c r="L143" s="314">
        <f t="shared" si="70"/>
        <v>116.31</v>
      </c>
      <c r="M143" s="314">
        <f t="shared" si="71"/>
        <v>2582.8200000000002</v>
      </c>
      <c r="N143" s="314">
        <f t="shared" si="72"/>
        <v>758.75</v>
      </c>
      <c r="O143" s="314">
        <f t="shared" si="73"/>
        <v>3341.57</v>
      </c>
      <c r="P143" s="314"/>
      <c r="Q143" s="315"/>
      <c r="R143" s="315"/>
      <c r="S143" s="286"/>
      <c r="T143" s="287"/>
      <c r="U143" s="288" t="str">
        <f t="shared" si="74"/>
        <v/>
      </c>
      <c r="V143" s="287"/>
      <c r="W143" s="289" t="str">
        <f t="shared" si="75"/>
        <v/>
      </c>
      <c r="X143" s="287"/>
      <c r="Y143" s="290" t="str">
        <f t="shared" si="76"/>
        <v/>
      </c>
      <c r="Z143" s="291">
        <f ca="1">SUMIF($T$8:Y$1018,"QUANT.",T143:Y143)</f>
        <v>0</v>
      </c>
      <c r="AA143" s="292">
        <f t="shared" ca="1" si="77"/>
        <v>0</v>
      </c>
      <c r="AB143" s="293" t="str">
        <f t="shared" ca="1" si="78"/>
        <v>MEDIR</v>
      </c>
      <c r="AC143" s="294">
        <f t="shared" ca="1" si="79"/>
        <v>28.73</v>
      </c>
      <c r="AD143" s="294">
        <f t="shared" ca="1" si="80"/>
        <v>3341.57</v>
      </c>
      <c r="AE143" s="295"/>
      <c r="AF143" s="295"/>
      <c r="AG143" s="296"/>
      <c r="AH143" s="296"/>
      <c r="AI143" s="296"/>
      <c r="AJ143" s="295"/>
      <c r="AK143" s="295"/>
      <c r="AL143" s="295"/>
      <c r="AM143" s="295"/>
    </row>
    <row r="144" spans="1:39" x14ac:dyDescent="0.25">
      <c r="A144" s="232">
        <f t="shared" si="66"/>
        <v>144</v>
      </c>
      <c r="B144" s="232"/>
      <c r="C144" s="316" t="str">
        <f>+E144</f>
        <v>9.3</v>
      </c>
      <c r="D144" s="297"/>
      <c r="E144" s="317" t="s">
        <v>11998</v>
      </c>
      <c r="F144" s="317"/>
      <c r="G144" s="318" t="s">
        <v>11999</v>
      </c>
      <c r="H144" s="317"/>
      <c r="I144" s="319"/>
      <c r="J144" s="317"/>
      <c r="K144" s="317"/>
      <c r="L144" s="317"/>
      <c r="M144" s="317"/>
      <c r="N144" s="317"/>
      <c r="O144" s="317"/>
      <c r="P144" s="317"/>
      <c r="Q144" s="320"/>
      <c r="R144" s="306"/>
      <c r="S144" s="286"/>
      <c r="T144" s="287"/>
      <c r="U144" s="288" t="str">
        <f t="shared" si="74"/>
        <v/>
      </c>
      <c r="V144" s="287"/>
      <c r="W144" s="289" t="str">
        <f t="shared" si="75"/>
        <v/>
      </c>
      <c r="X144" s="287"/>
      <c r="Y144" s="290" t="str">
        <f t="shared" si="76"/>
        <v/>
      </c>
      <c r="Z144" s="291">
        <f ca="1">SUMIF($T$8:Y$1018,"QUANT.",T144:Y144)</f>
        <v>0</v>
      </c>
      <c r="AA144" s="292">
        <f t="shared" ca="1" si="77"/>
        <v>0</v>
      </c>
      <c r="AB144" s="293" t="str">
        <f t="shared" si="78"/>
        <v/>
      </c>
      <c r="AC144" s="294">
        <f t="shared" ca="1" si="79"/>
        <v>0</v>
      </c>
      <c r="AD144" s="294">
        <f t="shared" ca="1" si="80"/>
        <v>0</v>
      </c>
      <c r="AE144" s="295"/>
      <c r="AF144" s="295"/>
      <c r="AG144" s="296"/>
      <c r="AH144" s="296"/>
      <c r="AI144" s="296"/>
      <c r="AJ144" s="295"/>
      <c r="AK144" s="295"/>
      <c r="AL144" s="295"/>
      <c r="AM144" s="295"/>
    </row>
    <row r="145" spans="1:39" ht="25.5" x14ac:dyDescent="0.25">
      <c r="A145" s="232">
        <f t="shared" si="66"/>
        <v>145</v>
      </c>
      <c r="B145" s="232"/>
      <c r="C145" s="307" t="str">
        <f>+C144</f>
        <v>9.3</v>
      </c>
      <c r="D145" s="308">
        <f>1+D144</f>
        <v>1</v>
      </c>
      <c r="E145" s="309" t="str">
        <f>C145&amp;"."&amp;D145</f>
        <v>9.3.1</v>
      </c>
      <c r="F145" s="310">
        <v>87905</v>
      </c>
      <c r="G145" s="311" t="str">
        <f>IF($F145="","",IFERROR(VLOOKUP($F145,SERVIÇOS!$B:$G,2,0),IFERROR(VLOOKUP($F145,'COMPOSIÇÕES COMPLEMENTARES '!$D:$L,2,0),IFERROR(VLOOKUP($F145,INSUMOS!$A:$D,2,0),""))))</f>
        <v>CHAPISCO APLICADO EM ALVENARIA (COM PRESENÇA DE VÃOS) E ESTRUTURAS DE CONCRETO DE FACHADA, COM COLHER DE PEDREIRO.  ARGAMASSA TRAÇO 1:3 COM PREPARO EM BETONEIRA 400L. AF_10/2022</v>
      </c>
      <c r="H145" s="312" t="str">
        <f>IF($F145="","",IFERROR(VLOOKUP($F145,SERVIÇOS!$B:$G,3,0),IFERROR(VLOOKUP($F145,'COMPOSIÇÕES COMPLEMENTARES '!$D:$L,3,0),IFERROR(VLOOKUP($F145,INSUMOS!$A:$D,3,0),""))))</f>
        <v>M2</v>
      </c>
      <c r="I145" s="313">
        <v>125.05</v>
      </c>
      <c r="J145" s="314">
        <f>IF($F145="","",IFERROR(VLOOKUP($F145,SERVIÇOS!$B:$G,4,0),IFERROR(VLOOKUP($F145,'COMPOSIÇÕES COMPLEMENTARES '!$D:$L,6,0),IFERROR(VLOOKUP($F145,INSUMOS!$A:$D,4,0),""))))</f>
        <v>3.78</v>
      </c>
      <c r="K145" s="314">
        <f>IF($F145="","",IFERROR(VLOOKUP($F145,SERVIÇOS!$B:$G,5,0),IFERROR(VLOOKUP($F145,'COMPOSIÇÕES COMPLEMENTARES '!$D:$L,7,0),0)))</f>
        <v>6.26</v>
      </c>
      <c r="L145" s="314">
        <f>IF(I145="","",J145+K145)</f>
        <v>10.039999999999999</v>
      </c>
      <c r="M145" s="314">
        <f>IF(I145="","",TRUNC((I145*J145),2))</f>
        <v>472.68</v>
      </c>
      <c r="N145" s="314">
        <f>IF(I145="","",TRUNC((I145*K145),2))</f>
        <v>782.81</v>
      </c>
      <c r="O145" s="314">
        <f>IF(I145="","",TRUNC((M145+N145),2))</f>
        <v>1255.49</v>
      </c>
      <c r="P145" s="314"/>
      <c r="Q145" s="315"/>
      <c r="R145" s="315"/>
      <c r="S145" s="286"/>
      <c r="T145" s="287"/>
      <c r="U145" s="288" t="str">
        <f t="shared" si="74"/>
        <v/>
      </c>
      <c r="V145" s="287"/>
      <c r="W145" s="289" t="str">
        <f t="shared" si="75"/>
        <v/>
      </c>
      <c r="X145" s="287"/>
      <c r="Y145" s="290" t="str">
        <f t="shared" si="76"/>
        <v/>
      </c>
      <c r="Z145" s="291">
        <f ca="1">SUMIF($T$8:Y$1018,"QUANT.",T145:Y145)</f>
        <v>0</v>
      </c>
      <c r="AA145" s="292">
        <f t="shared" ca="1" si="77"/>
        <v>0</v>
      </c>
      <c r="AB145" s="293" t="str">
        <f t="shared" ca="1" si="78"/>
        <v>MEDIR</v>
      </c>
      <c r="AC145" s="294">
        <f t="shared" ca="1" si="79"/>
        <v>125.05</v>
      </c>
      <c r="AD145" s="294">
        <f t="shared" ca="1" si="80"/>
        <v>1255.49</v>
      </c>
      <c r="AE145" s="295"/>
      <c r="AF145" s="295"/>
      <c r="AG145" s="296"/>
      <c r="AH145" s="296"/>
      <c r="AI145" s="296"/>
      <c r="AJ145" s="295"/>
      <c r="AK145" s="295"/>
      <c r="AL145" s="295"/>
      <c r="AM145" s="295"/>
    </row>
    <row r="146" spans="1:39" ht="25.5" x14ac:dyDescent="0.25">
      <c r="A146" s="232">
        <f t="shared" si="66"/>
        <v>146</v>
      </c>
      <c r="B146" s="232"/>
      <c r="C146" s="307" t="str">
        <f>+C145</f>
        <v>9.3</v>
      </c>
      <c r="D146" s="308">
        <f>1+D145</f>
        <v>2</v>
      </c>
      <c r="E146" s="309" t="str">
        <f>C146&amp;"."&amp;D146</f>
        <v>9.3.2</v>
      </c>
      <c r="F146" s="310" t="s">
        <v>12000</v>
      </c>
      <c r="G146" s="311" t="str">
        <f>IF($F146="","",IFERROR(VLOOKUP($F146,SERVIÇOS!$B:$G,2,0),IFERROR(VLOOKUP($F146,'COMPOSIÇÕES COMPLEMENTARES '!$D:$L,2,0),IFERROR(VLOOKUP($F146,INSUMOS!$A:$D,2,0),""))))</f>
        <v>EMBOÇO OU MASSA ÚNICA EM ARGAMASSA TRAÇO 1:2:8, PREPARO MECÂNICO COM BETONEIRA 400 L, APLICADA MANUALMENTE EM PANOS DE FACHADA, ESPESSURA DE 15 MM. AF_06/2014</v>
      </c>
      <c r="H146" s="312" t="str">
        <f>IF($F146="","",IFERROR(VLOOKUP($F146,SERVIÇOS!$B:$G,3,0),IFERROR(VLOOKUP($F146,'COMPOSIÇÕES COMPLEMENTARES '!$D:$L,3,0),IFERROR(VLOOKUP($F146,INSUMOS!$A:$D,3,0),""))))</f>
        <v>M2</v>
      </c>
      <c r="I146" s="313">
        <v>949.9</v>
      </c>
      <c r="J146" s="314">
        <f>IF($F146="","",IFERROR(VLOOKUP($F146,SERVIÇOS!$B:$G,4,0),IFERROR(VLOOKUP($F146,'COMPOSIÇÕES COMPLEMENTARES '!$D:$L,6,0),IFERROR(VLOOKUP($F146,INSUMOS!$A:$D,4,0),""))))</f>
        <v>17.88</v>
      </c>
      <c r="K146" s="314">
        <f>IF($F146="","",IFERROR(VLOOKUP($F146,SERVIÇOS!$B:$G,5,0),IFERROR(VLOOKUP($F146,'COMPOSIÇÕES COMPLEMENTARES '!$D:$L,7,0),0)))</f>
        <v>29.95</v>
      </c>
      <c r="L146" s="314">
        <f>IF(I146="","",J146+K146)</f>
        <v>47.83</v>
      </c>
      <c r="M146" s="314">
        <f>IF(I146="","",TRUNC((I146*J146),2))</f>
        <v>16984.21</v>
      </c>
      <c r="N146" s="314">
        <f>IF(I146="","",TRUNC((I146*K146),2))</f>
        <v>28449.5</v>
      </c>
      <c r="O146" s="314">
        <f>IF(I146="","",TRUNC((M146+N146),2))</f>
        <v>45433.71</v>
      </c>
      <c r="P146" s="314"/>
      <c r="Q146" s="315"/>
      <c r="R146" s="315"/>
      <c r="S146" s="286"/>
      <c r="T146" s="287"/>
      <c r="U146" s="288" t="str">
        <f t="shared" si="74"/>
        <v/>
      </c>
      <c r="V146" s="287"/>
      <c r="W146" s="289" t="str">
        <f t="shared" si="75"/>
        <v/>
      </c>
      <c r="X146" s="287"/>
      <c r="Y146" s="290" t="str">
        <f t="shared" si="76"/>
        <v/>
      </c>
      <c r="Z146" s="291">
        <f ca="1">SUMIF($T$8:Y$1018,"QUANT.",T146:Y146)</f>
        <v>0</v>
      </c>
      <c r="AA146" s="292">
        <f t="shared" ca="1" si="77"/>
        <v>0</v>
      </c>
      <c r="AB146" s="293" t="str">
        <f t="shared" ca="1" si="78"/>
        <v>MEDIR</v>
      </c>
      <c r="AC146" s="294">
        <f t="shared" ca="1" si="79"/>
        <v>949.9</v>
      </c>
      <c r="AD146" s="294">
        <f t="shared" ca="1" si="80"/>
        <v>45433.71</v>
      </c>
      <c r="AE146" s="295"/>
      <c r="AF146" s="295"/>
      <c r="AG146" s="296"/>
      <c r="AH146" s="296"/>
      <c r="AI146" s="296"/>
      <c r="AJ146" s="295"/>
      <c r="AK146" s="295"/>
      <c r="AL146" s="295"/>
      <c r="AM146" s="295"/>
    </row>
    <row r="147" spans="1:39" ht="25.5" x14ac:dyDescent="0.25">
      <c r="A147" s="232">
        <f t="shared" si="66"/>
        <v>147</v>
      </c>
      <c r="B147" s="232"/>
      <c r="C147" s="307" t="str">
        <f>+C146</f>
        <v>9.3</v>
      </c>
      <c r="D147" s="308">
        <f>1+D146</f>
        <v>3</v>
      </c>
      <c r="E147" s="309" t="str">
        <f>C147&amp;"."&amp;D147</f>
        <v>9.3.3</v>
      </c>
      <c r="F147" s="310" t="s">
        <v>12001</v>
      </c>
      <c r="G147" s="311" t="str">
        <f>IF($F147="","",IFERROR(VLOOKUP($F147,SERVIÇOS!$B:$G,2,0),IFERROR(VLOOKUP($F147,'COMPOSIÇÕES COMPLEMENTARES '!$D:$L,2,0),IFERROR(VLOOKUP($F147,INSUMOS!$A:$D,2,0),""))))</f>
        <v>REVESTIMENTO CERÂMICO PARA PAREDE 10X10cm, REF. STRUFALDI, APLICADO COM ARGAMASSA INDUSTRIALIZADA AC-III E REJUNTE CIMENTÍCIO.</v>
      </c>
      <c r="H147" s="312" t="str">
        <f>IF($F147="","",IFERROR(VLOOKUP($F147,SERVIÇOS!$B:$G,3,0),IFERROR(VLOOKUP($F147,'COMPOSIÇÕES COMPLEMENTARES '!$D:$L,3,0),IFERROR(VLOOKUP($F147,INSUMOS!$A:$D,3,0),""))))</f>
        <v>M2</v>
      </c>
      <c r="I147" s="313">
        <v>186.04</v>
      </c>
      <c r="J147" s="314">
        <f>IF($F147="","",IFERROR(VLOOKUP($F147,SERVIÇOS!$B:$G,4,0),IFERROR(VLOOKUP($F147,'COMPOSIÇÕES COMPLEMENTARES '!$D:$L,6,0),IFERROR(VLOOKUP($F147,INSUMOS!$A:$D,4,0),""))))</f>
        <v>100.29</v>
      </c>
      <c r="K147" s="314">
        <f>IF($F147="","",IFERROR(VLOOKUP($F147,SERVIÇOS!$B:$G,5,0),IFERROR(VLOOKUP($F147,'COMPOSIÇÕES COMPLEMENTARES '!$D:$L,7,0),0)))</f>
        <v>42.24</v>
      </c>
      <c r="L147" s="314">
        <f>IF(I147="","",J147+K147)</f>
        <v>142.53</v>
      </c>
      <c r="M147" s="314">
        <f>IF(I147="","",TRUNC((I147*J147),2))</f>
        <v>18657.95</v>
      </c>
      <c r="N147" s="314">
        <f>IF(I147="","",TRUNC((I147*K147),2))</f>
        <v>7858.32</v>
      </c>
      <c r="O147" s="314">
        <f>IF(I147="","",TRUNC((M147+N147),2))</f>
        <v>26516.27</v>
      </c>
      <c r="P147" s="314"/>
      <c r="Q147" s="315"/>
      <c r="R147" s="315"/>
      <c r="S147" s="286"/>
      <c r="T147" s="287"/>
      <c r="U147" s="288" t="str">
        <f t="shared" si="74"/>
        <v/>
      </c>
      <c r="V147" s="287"/>
      <c r="W147" s="289" t="str">
        <f t="shared" si="75"/>
        <v/>
      </c>
      <c r="X147" s="287"/>
      <c r="Y147" s="290" t="str">
        <f t="shared" si="76"/>
        <v/>
      </c>
      <c r="Z147" s="291">
        <f ca="1">SUMIF($T$8:Y$1018,"QUANT.",T147:Y147)</f>
        <v>0</v>
      </c>
      <c r="AA147" s="292">
        <f t="shared" ca="1" si="77"/>
        <v>0</v>
      </c>
      <c r="AB147" s="293" t="str">
        <f t="shared" ca="1" si="78"/>
        <v>MEDIR</v>
      </c>
      <c r="AC147" s="294">
        <f t="shared" ca="1" si="79"/>
        <v>186.04</v>
      </c>
      <c r="AD147" s="294">
        <f t="shared" ca="1" si="80"/>
        <v>26516.27</v>
      </c>
      <c r="AE147" s="295"/>
      <c r="AF147" s="295"/>
      <c r="AG147" s="296"/>
      <c r="AH147" s="296"/>
      <c r="AI147" s="296"/>
      <c r="AJ147" s="295"/>
      <c r="AK147" s="295"/>
      <c r="AL147" s="295"/>
      <c r="AM147" s="295"/>
    </row>
    <row r="148" spans="1:39" x14ac:dyDescent="0.25">
      <c r="A148" s="232">
        <f t="shared" si="66"/>
        <v>148</v>
      </c>
      <c r="B148" s="232"/>
      <c r="C148" s="316" t="str">
        <f>+E148</f>
        <v>9.4</v>
      </c>
      <c r="D148" s="297"/>
      <c r="E148" s="317" t="s">
        <v>12002</v>
      </c>
      <c r="F148" s="317"/>
      <c r="G148" s="318" t="s">
        <v>12003</v>
      </c>
      <c r="H148" s="317"/>
      <c r="I148" s="319"/>
      <c r="J148" s="317"/>
      <c r="K148" s="317"/>
      <c r="L148" s="317"/>
      <c r="M148" s="317"/>
      <c r="N148" s="317"/>
      <c r="O148" s="317"/>
      <c r="P148" s="317"/>
      <c r="Q148" s="320"/>
      <c r="R148" s="306"/>
      <c r="S148" s="286"/>
      <c r="T148" s="287"/>
      <c r="U148" s="288" t="str">
        <f t="shared" si="74"/>
        <v/>
      </c>
      <c r="V148" s="287"/>
      <c r="W148" s="289" t="str">
        <f t="shared" si="75"/>
        <v/>
      </c>
      <c r="X148" s="287"/>
      <c r="Y148" s="290" t="str">
        <f t="shared" si="76"/>
        <v/>
      </c>
      <c r="Z148" s="291">
        <f ca="1">SUMIF($T$8:Y$1018,"QUANT.",T148:Y148)</f>
        <v>0</v>
      </c>
      <c r="AA148" s="292">
        <f t="shared" ca="1" si="77"/>
        <v>0</v>
      </c>
      <c r="AB148" s="293" t="str">
        <f t="shared" si="78"/>
        <v/>
      </c>
      <c r="AC148" s="294">
        <f t="shared" ca="1" si="79"/>
        <v>0</v>
      </c>
      <c r="AD148" s="294">
        <f t="shared" ca="1" si="80"/>
        <v>0</v>
      </c>
      <c r="AE148" s="295"/>
      <c r="AF148" s="295"/>
      <c r="AG148" s="296"/>
      <c r="AH148" s="296"/>
      <c r="AI148" s="296"/>
      <c r="AJ148" s="295"/>
      <c r="AK148" s="295"/>
      <c r="AL148" s="295"/>
      <c r="AM148" s="295"/>
    </row>
    <row r="149" spans="1:39" ht="25.5" x14ac:dyDescent="0.25">
      <c r="A149" s="232">
        <f t="shared" si="66"/>
        <v>149</v>
      </c>
      <c r="B149" s="232"/>
      <c r="C149" s="307" t="str">
        <f t="shared" ref="C149:C157" si="81">+C148</f>
        <v>9.4</v>
      </c>
      <c r="D149" s="308">
        <f t="shared" ref="D149:D157" si="82">1+D148</f>
        <v>1</v>
      </c>
      <c r="E149" s="309" t="str">
        <f t="shared" ref="E149:E157" si="83">C149&amp;"."&amp;D149</f>
        <v>9.4.1</v>
      </c>
      <c r="F149" s="310" t="s">
        <v>12004</v>
      </c>
      <c r="G149" s="311" t="str">
        <f>IF($F149="","",IFERROR(VLOOKUP($F149,SERVIÇOS!$B:$G,2,0),IFERROR(VLOOKUP($F149,'COMPOSIÇÕES COMPLEMENTARES '!$D:$L,2,0),IFERROR(VLOOKUP($F149,INSUMOS!$A:$D,2,0),""))))</f>
        <v xml:space="preserve">FORRO EM GESSO ACARTONADO REMOVÍVEL,  PLACAS RETANGULARES (625X1250MM), COM ACABAMENTO VINILICO LISO EM UMA DAS FACES, INCLUSIVE ESTRUTURA DE FIXAÇÃO. </v>
      </c>
      <c r="H149" s="312" t="str">
        <f>IF($F149="","",IFERROR(VLOOKUP($F149,SERVIÇOS!$B:$G,3,0),IFERROR(VLOOKUP($F149,'COMPOSIÇÕES COMPLEMENTARES '!$D:$L,3,0),IFERROR(VLOOKUP($F149,INSUMOS!$A:$D,3,0),""))))</f>
        <v>M2</v>
      </c>
      <c r="I149" s="313">
        <v>187.29</v>
      </c>
      <c r="J149" s="314">
        <f>IF($F149="","",IFERROR(VLOOKUP($F149,SERVIÇOS!$B:$G,4,0),IFERROR(VLOOKUP($F149,'COMPOSIÇÕES COMPLEMENTARES '!$D:$L,6,0),IFERROR(VLOOKUP($F149,INSUMOS!$A:$D,4,0),""))))</f>
        <v>70.319999999999993</v>
      </c>
      <c r="K149" s="314">
        <f>IF($F149="","",IFERROR(VLOOKUP($F149,SERVIÇOS!$B:$G,5,0),IFERROR(VLOOKUP($F149,'COMPOSIÇÕES COMPLEMENTARES '!$D:$L,7,0),0)))</f>
        <v>11.4</v>
      </c>
      <c r="L149" s="314">
        <f t="shared" ref="L149:L157" si="84">IF(I149="","",J149+K149)</f>
        <v>81.72</v>
      </c>
      <c r="M149" s="314">
        <f t="shared" ref="M149:M157" si="85">IF(I149="","",TRUNC((I149*J149),2))</f>
        <v>13170.23</v>
      </c>
      <c r="N149" s="314">
        <f t="shared" ref="N149:N157" si="86">IF(I149="","",TRUNC((I149*K149),2))</f>
        <v>2135.1</v>
      </c>
      <c r="O149" s="314">
        <f t="shared" ref="O149:O157" si="87">IF(I149="","",TRUNC((M149+N149),2))</f>
        <v>15305.33</v>
      </c>
      <c r="P149" s="314"/>
      <c r="Q149" s="315"/>
      <c r="R149" s="315"/>
      <c r="S149" s="286"/>
      <c r="T149" s="287"/>
      <c r="U149" s="288" t="str">
        <f t="shared" si="74"/>
        <v/>
      </c>
      <c r="V149" s="287"/>
      <c r="W149" s="289" t="str">
        <f t="shared" si="75"/>
        <v/>
      </c>
      <c r="X149" s="287"/>
      <c r="Y149" s="290" t="str">
        <f t="shared" si="76"/>
        <v/>
      </c>
      <c r="Z149" s="291">
        <f ca="1">SUMIF($T$8:Y$1018,"QUANT.",T149:Y149)</f>
        <v>0</v>
      </c>
      <c r="AA149" s="292">
        <f t="shared" ca="1" si="77"/>
        <v>0</v>
      </c>
      <c r="AB149" s="293" t="str">
        <f t="shared" ca="1" si="78"/>
        <v>MEDIR</v>
      </c>
      <c r="AC149" s="294">
        <f t="shared" ca="1" si="79"/>
        <v>187.29</v>
      </c>
      <c r="AD149" s="294">
        <f t="shared" ca="1" si="80"/>
        <v>15305.33</v>
      </c>
      <c r="AE149" s="295"/>
      <c r="AF149" s="295"/>
      <c r="AG149" s="296"/>
      <c r="AH149" s="296"/>
      <c r="AI149" s="296"/>
      <c r="AJ149" s="295"/>
      <c r="AK149" s="295"/>
      <c r="AL149" s="295"/>
      <c r="AM149" s="295"/>
    </row>
    <row r="150" spans="1:39" ht="38.25" x14ac:dyDescent="0.25">
      <c r="A150" s="232">
        <f t="shared" si="66"/>
        <v>150</v>
      </c>
      <c r="B150" s="232"/>
      <c r="C150" s="307" t="str">
        <f t="shared" si="81"/>
        <v>9.4</v>
      </c>
      <c r="D150" s="308">
        <f t="shared" si="82"/>
        <v>2</v>
      </c>
      <c r="E150" s="309" t="str">
        <f t="shared" si="83"/>
        <v>9.4.2</v>
      </c>
      <c r="F150" s="310">
        <v>87882</v>
      </c>
      <c r="G150" s="311" t="str">
        <f>IF($F150="","",IFERROR(VLOOKUP($F150,SERVIÇOS!$B:$G,2,0),IFERROR(VLOOKUP($F150,'COMPOSIÇÕES COMPLEMENTARES '!$D:$L,2,0),IFERROR(VLOOKUP($F150,INSUMOS!$A:$D,2,0),""))))</f>
        <v>CHAPISCO APLICADO NO TETO OU EM ALVENARIA E ESTRUTURA, COM ROLO PARA TEXTURA ACRÍLICA. ARGAMASSA TRAÇO 1:4 E EMULSÃO POLIMÉRICA (ADESIVO) COM PREPARO EM BETONEIRA 400L. AF_10/2022</v>
      </c>
      <c r="H150" s="312" t="str">
        <f>IF($F150="","",IFERROR(VLOOKUP($F150,SERVIÇOS!$B:$G,3,0),IFERROR(VLOOKUP($F150,'COMPOSIÇÕES COMPLEMENTARES '!$D:$L,3,0),IFERROR(VLOOKUP($F150,INSUMOS!$A:$D,3,0),""))))</f>
        <v>M2</v>
      </c>
      <c r="I150" s="313">
        <v>22.73</v>
      </c>
      <c r="J150" s="314">
        <f>IF($F150="","",IFERROR(VLOOKUP($F150,SERVIÇOS!$B:$G,4,0),IFERROR(VLOOKUP($F150,'COMPOSIÇÕES COMPLEMENTARES '!$D:$L,6,0),IFERROR(VLOOKUP($F150,INSUMOS!$A:$D,4,0),""))))</f>
        <v>5.23</v>
      </c>
      <c r="K150" s="314">
        <f>IF($F150="","",IFERROR(VLOOKUP($F150,SERVIÇOS!$B:$G,5,0),IFERROR(VLOOKUP($F150,'COMPOSIÇÕES COMPLEMENTARES '!$D:$L,7,0),0)))</f>
        <v>1.52</v>
      </c>
      <c r="L150" s="314">
        <f t="shared" si="84"/>
        <v>6.75</v>
      </c>
      <c r="M150" s="314">
        <f t="shared" si="85"/>
        <v>118.87</v>
      </c>
      <c r="N150" s="314">
        <f t="shared" si="86"/>
        <v>34.54</v>
      </c>
      <c r="O150" s="314">
        <f t="shared" si="87"/>
        <v>153.41</v>
      </c>
      <c r="P150" s="314"/>
      <c r="Q150" s="315"/>
      <c r="R150" s="315"/>
      <c r="S150" s="286"/>
      <c r="T150" s="287"/>
      <c r="U150" s="288" t="str">
        <f t="shared" si="74"/>
        <v/>
      </c>
      <c r="V150" s="287"/>
      <c r="W150" s="289" t="str">
        <f t="shared" si="75"/>
        <v/>
      </c>
      <c r="X150" s="287"/>
      <c r="Y150" s="290" t="str">
        <f t="shared" si="76"/>
        <v/>
      </c>
      <c r="Z150" s="291">
        <f ca="1">SUMIF($T$8:Y$1018,"QUANT.",T150:Y150)</f>
        <v>0</v>
      </c>
      <c r="AA150" s="292">
        <f t="shared" ca="1" si="77"/>
        <v>0</v>
      </c>
      <c r="AB150" s="293" t="str">
        <f t="shared" ca="1" si="78"/>
        <v>MEDIR</v>
      </c>
      <c r="AC150" s="294">
        <f t="shared" ca="1" si="79"/>
        <v>22.73</v>
      </c>
      <c r="AD150" s="294">
        <f t="shared" ca="1" si="80"/>
        <v>153.41</v>
      </c>
      <c r="AE150" s="295"/>
      <c r="AF150" s="295"/>
      <c r="AG150" s="296"/>
      <c r="AH150" s="296"/>
      <c r="AI150" s="296"/>
      <c r="AJ150" s="295"/>
      <c r="AK150" s="295"/>
      <c r="AL150" s="295"/>
      <c r="AM150" s="295"/>
    </row>
    <row r="151" spans="1:39" ht="25.5" x14ac:dyDescent="0.25">
      <c r="A151" s="232">
        <f t="shared" si="66"/>
        <v>151</v>
      </c>
      <c r="B151" s="232"/>
      <c r="C151" s="307" t="str">
        <f t="shared" si="81"/>
        <v>9.4</v>
      </c>
      <c r="D151" s="308">
        <f t="shared" si="82"/>
        <v>3</v>
      </c>
      <c r="E151" s="309" t="str">
        <f t="shared" si="83"/>
        <v>9.4.3</v>
      </c>
      <c r="F151" s="310">
        <v>90408</v>
      </c>
      <c r="G151" s="311" t="str">
        <f>IF($F151="","",IFERROR(VLOOKUP($F151,SERVIÇOS!$B:$G,2,0),IFERROR(VLOOKUP($F151,'COMPOSIÇÕES COMPLEMENTARES '!$D:$L,2,0),IFERROR(VLOOKUP($F151,INSUMOS!$A:$D,2,0),""))))</f>
        <v>MASSA ÚNICA, EM ARGAMASSA TRAÇO 1:2:8, PREPARO MECÂNICO, APLICADA MANUALMENTE EM TETO, E = 10MM, COM TALISCAS. AF_03/2024</v>
      </c>
      <c r="H151" s="312" t="str">
        <f>IF($F151="","",IFERROR(VLOOKUP($F151,SERVIÇOS!$B:$G,3,0),IFERROR(VLOOKUP($F151,'COMPOSIÇÕES COMPLEMENTARES '!$D:$L,3,0),IFERROR(VLOOKUP($F151,INSUMOS!$A:$D,3,0),""))))</f>
        <v>M2</v>
      </c>
      <c r="I151" s="313">
        <v>22.73</v>
      </c>
      <c r="J151" s="314">
        <f>IF($F151="","",IFERROR(VLOOKUP($F151,SERVIÇOS!$B:$G,4,0),IFERROR(VLOOKUP($F151,'COMPOSIÇÕES COMPLEMENTARES '!$D:$L,6,0),IFERROR(VLOOKUP($F151,INSUMOS!$A:$D,4,0),""))))</f>
        <v>16.2</v>
      </c>
      <c r="K151" s="314">
        <f>IF($F151="","",IFERROR(VLOOKUP($F151,SERVIÇOS!$B:$G,5,0),IFERROR(VLOOKUP($F151,'COMPOSIÇÕES COMPLEMENTARES '!$D:$L,7,0),0)))</f>
        <v>22.06</v>
      </c>
      <c r="L151" s="314">
        <f t="shared" si="84"/>
        <v>38.26</v>
      </c>
      <c r="M151" s="314">
        <f t="shared" si="85"/>
        <v>368.22</v>
      </c>
      <c r="N151" s="314">
        <f t="shared" si="86"/>
        <v>501.42</v>
      </c>
      <c r="O151" s="314">
        <f t="shared" si="87"/>
        <v>869.64</v>
      </c>
      <c r="P151" s="314"/>
      <c r="Q151" s="315"/>
      <c r="R151" s="315"/>
      <c r="S151" s="286"/>
      <c r="T151" s="287"/>
      <c r="U151" s="288" t="str">
        <f t="shared" si="74"/>
        <v/>
      </c>
      <c r="V151" s="287"/>
      <c r="W151" s="289" t="str">
        <f t="shared" si="75"/>
        <v/>
      </c>
      <c r="X151" s="287"/>
      <c r="Y151" s="290" t="str">
        <f t="shared" si="76"/>
        <v/>
      </c>
      <c r="Z151" s="291">
        <f ca="1">SUMIF($T$8:Y$1018,"QUANT.",T151:Y151)</f>
        <v>0</v>
      </c>
      <c r="AA151" s="292">
        <f t="shared" ca="1" si="77"/>
        <v>0</v>
      </c>
      <c r="AB151" s="293" t="str">
        <f t="shared" ca="1" si="78"/>
        <v>MEDIR</v>
      </c>
      <c r="AC151" s="294">
        <f t="shared" ca="1" si="79"/>
        <v>22.73</v>
      </c>
      <c r="AD151" s="294">
        <f t="shared" ca="1" si="80"/>
        <v>869.64</v>
      </c>
      <c r="AE151" s="295"/>
      <c r="AF151" s="295"/>
      <c r="AG151" s="296"/>
      <c r="AH151" s="296"/>
      <c r="AI151" s="296"/>
      <c r="AJ151" s="295"/>
      <c r="AK151" s="295"/>
      <c r="AL151" s="295"/>
      <c r="AM151" s="295"/>
    </row>
    <row r="152" spans="1:39" x14ac:dyDescent="0.25">
      <c r="A152" s="232">
        <f t="shared" si="66"/>
        <v>152</v>
      </c>
      <c r="B152" s="232"/>
      <c r="C152" s="307" t="str">
        <f t="shared" si="81"/>
        <v>9.4</v>
      </c>
      <c r="D152" s="308">
        <f t="shared" si="82"/>
        <v>4</v>
      </c>
      <c r="E152" s="309" t="str">
        <f t="shared" si="83"/>
        <v>9.4.4</v>
      </c>
      <c r="F152" s="310">
        <v>96113</v>
      </c>
      <c r="G152" s="311" t="str">
        <f>IF($F152="","",IFERROR(VLOOKUP($F152,SERVIÇOS!$B:$G,2,0),IFERROR(VLOOKUP($F152,'COMPOSIÇÕES COMPLEMENTARES '!$D:$L,2,0),IFERROR(VLOOKUP($F152,INSUMOS!$A:$D,2,0),""))))</f>
        <v>FORRO EM PLACAS DE GESSO, PARA AMBIENTES COMERCIAIS. AF_08/2023_PS</v>
      </c>
      <c r="H152" s="312" t="str">
        <f>IF($F152="","",IFERROR(VLOOKUP($F152,SERVIÇOS!$B:$G,3,0),IFERROR(VLOOKUP($F152,'COMPOSIÇÕES COMPLEMENTARES '!$D:$L,3,0),IFERROR(VLOOKUP($F152,INSUMOS!$A:$D,3,0),""))))</f>
        <v>M2</v>
      </c>
      <c r="I152" s="313">
        <v>503.28</v>
      </c>
      <c r="J152" s="314">
        <f>IF($F152="","",IFERROR(VLOOKUP($F152,SERVIÇOS!$B:$G,4,0),IFERROR(VLOOKUP($F152,'COMPOSIÇÕES COMPLEMENTARES '!$D:$L,6,0),IFERROR(VLOOKUP($F152,INSUMOS!$A:$D,4,0),""))))</f>
        <v>27.05</v>
      </c>
      <c r="K152" s="314">
        <f>IF($F152="","",IFERROR(VLOOKUP($F152,SERVIÇOS!$B:$G,5,0),IFERROR(VLOOKUP($F152,'COMPOSIÇÕES COMPLEMENTARES '!$D:$L,7,0),0)))</f>
        <v>29.32</v>
      </c>
      <c r="L152" s="314">
        <f t="shared" si="84"/>
        <v>56.370000000000005</v>
      </c>
      <c r="M152" s="314">
        <f t="shared" si="85"/>
        <v>13613.72</v>
      </c>
      <c r="N152" s="314">
        <f t="shared" si="86"/>
        <v>14756.16</v>
      </c>
      <c r="O152" s="314">
        <f t="shared" si="87"/>
        <v>28369.88</v>
      </c>
      <c r="P152" s="314"/>
      <c r="Q152" s="315"/>
      <c r="R152" s="315"/>
      <c r="S152" s="286"/>
      <c r="T152" s="287"/>
      <c r="U152" s="288" t="str">
        <f t="shared" si="74"/>
        <v/>
      </c>
      <c r="V152" s="287"/>
      <c r="W152" s="289" t="str">
        <f t="shared" si="75"/>
        <v/>
      </c>
      <c r="X152" s="287"/>
      <c r="Y152" s="290" t="str">
        <f t="shared" si="76"/>
        <v/>
      </c>
      <c r="Z152" s="291">
        <f ca="1">SUMIF($T$8:Y$1018,"QUANT.",T152:Y152)</f>
        <v>0</v>
      </c>
      <c r="AA152" s="292">
        <f t="shared" ca="1" si="77"/>
        <v>0</v>
      </c>
      <c r="AB152" s="293" t="str">
        <f t="shared" ca="1" si="78"/>
        <v>MEDIR</v>
      </c>
      <c r="AC152" s="294">
        <f t="shared" ca="1" si="79"/>
        <v>503.28</v>
      </c>
      <c r="AD152" s="294">
        <f t="shared" ca="1" si="80"/>
        <v>28369.88</v>
      </c>
      <c r="AE152" s="295"/>
      <c r="AF152" s="295"/>
      <c r="AG152" s="296"/>
      <c r="AH152" s="296"/>
      <c r="AI152" s="296"/>
      <c r="AJ152" s="295"/>
      <c r="AK152" s="295"/>
      <c r="AL152" s="295"/>
      <c r="AM152" s="295"/>
    </row>
    <row r="153" spans="1:39" ht="25.5" x14ac:dyDescent="0.25">
      <c r="A153" s="232">
        <f t="shared" si="66"/>
        <v>153</v>
      </c>
      <c r="B153" s="232"/>
      <c r="C153" s="307" t="str">
        <f t="shared" si="81"/>
        <v>9.4</v>
      </c>
      <c r="D153" s="308">
        <f t="shared" si="82"/>
        <v>5</v>
      </c>
      <c r="E153" s="309" t="str">
        <f t="shared" si="83"/>
        <v>9.4.5</v>
      </c>
      <c r="F153" s="310" t="s">
        <v>12005</v>
      </c>
      <c r="G153" s="311" t="str">
        <f>IF($F153="","",IFERROR(VLOOKUP($F153,SERVIÇOS!$B:$G,2,0),IFERROR(VLOOKUP($F153,'COMPOSIÇÕES COMPLEMENTARES '!$D:$L,2,0),IFERROR(VLOOKUP($F153,INSUMOS!$A:$D,2,0),""))))</f>
        <v>FORRO EM DRYWALL COM PLACAS DE GESSO ACARTONADO RESISTENTE A UMIDADE (RU), COR VERDE, E=12,5MM, CHAPA 1200X1800MM, INCLUSIVE ESTRUTURA DE FIXAÇÃO</v>
      </c>
      <c r="H153" s="312" t="str">
        <f>IF($F153="","",IFERROR(VLOOKUP($F153,SERVIÇOS!$B:$G,3,0),IFERROR(VLOOKUP($F153,'COMPOSIÇÕES COMPLEMENTARES '!$D:$L,3,0),IFERROR(VLOOKUP($F153,INSUMOS!$A:$D,3,0),""))))</f>
        <v>M2</v>
      </c>
      <c r="I153" s="313">
        <v>30.25</v>
      </c>
      <c r="J153" s="314">
        <f>IF($F153="","",IFERROR(VLOOKUP($F153,SERVIÇOS!$B:$G,4,0),IFERROR(VLOOKUP($F153,'COMPOSIÇÕES COMPLEMENTARES '!$D:$L,6,0),IFERROR(VLOOKUP($F153,INSUMOS!$A:$D,4,0),""))))</f>
        <v>69.97</v>
      </c>
      <c r="K153" s="314">
        <f>IF($F153="","",IFERROR(VLOOKUP($F153,SERVIÇOS!$B:$G,5,0),IFERROR(VLOOKUP($F153,'COMPOSIÇÕES COMPLEMENTARES '!$D:$L,7,0),0)))</f>
        <v>15.82</v>
      </c>
      <c r="L153" s="314">
        <f t="shared" si="84"/>
        <v>85.789999999999992</v>
      </c>
      <c r="M153" s="314">
        <f t="shared" si="85"/>
        <v>2116.59</v>
      </c>
      <c r="N153" s="314">
        <f t="shared" si="86"/>
        <v>478.55</v>
      </c>
      <c r="O153" s="314">
        <f t="shared" si="87"/>
        <v>2595.14</v>
      </c>
      <c r="P153" s="314"/>
      <c r="Q153" s="315"/>
      <c r="R153" s="315"/>
      <c r="S153" s="286"/>
      <c r="T153" s="287"/>
      <c r="U153" s="288" t="str">
        <f t="shared" si="74"/>
        <v/>
      </c>
      <c r="V153" s="287"/>
      <c r="W153" s="289" t="str">
        <f t="shared" si="75"/>
        <v/>
      </c>
      <c r="X153" s="287"/>
      <c r="Y153" s="290" t="str">
        <f t="shared" si="76"/>
        <v/>
      </c>
      <c r="Z153" s="291">
        <f ca="1">SUMIF($T$8:Y$1018,"QUANT.",T153:Y153)</f>
        <v>0</v>
      </c>
      <c r="AA153" s="292">
        <f t="shared" ca="1" si="77"/>
        <v>0</v>
      </c>
      <c r="AB153" s="293" t="str">
        <f t="shared" ca="1" si="78"/>
        <v>MEDIR</v>
      </c>
      <c r="AC153" s="294">
        <f t="shared" ca="1" si="79"/>
        <v>30.25</v>
      </c>
      <c r="AD153" s="294">
        <f t="shared" ca="1" si="80"/>
        <v>2595.14</v>
      </c>
      <c r="AE153" s="295"/>
      <c r="AF153" s="295"/>
      <c r="AG153" s="296"/>
      <c r="AH153" s="296"/>
      <c r="AI153" s="296"/>
      <c r="AJ153" s="295"/>
      <c r="AK153" s="295"/>
      <c r="AL153" s="295"/>
      <c r="AM153" s="295"/>
    </row>
    <row r="154" spans="1:39" ht="25.5" x14ac:dyDescent="0.25">
      <c r="A154" s="232">
        <f t="shared" si="66"/>
        <v>154</v>
      </c>
      <c r="B154" s="232"/>
      <c r="C154" s="307" t="str">
        <f t="shared" si="81"/>
        <v>9.4</v>
      </c>
      <c r="D154" s="308">
        <f t="shared" si="82"/>
        <v>6</v>
      </c>
      <c r="E154" s="309" t="str">
        <f t="shared" si="83"/>
        <v>9.4.6</v>
      </c>
      <c r="F154" s="310">
        <v>96486</v>
      </c>
      <c r="G154" s="311" t="str">
        <f>IF($F154="","",IFERROR(VLOOKUP($F154,SERVIÇOS!$B:$G,2,0),IFERROR(VLOOKUP($F154,'COMPOSIÇÕES COMPLEMENTARES '!$D:$L,2,0),IFERROR(VLOOKUP($F154,INSUMOS!$A:$D,2,0),""))))</f>
        <v>FORRO EM RÉGUAS DE PVC, LISO, PARA AMBIENTES COMERCIAIS, INCLUSIVE ESTRUTURA BIDIRECIONAL DE FIXAÇÃO. AF_08/2023_PS</v>
      </c>
      <c r="H154" s="312" t="str">
        <f>IF($F154="","",IFERROR(VLOOKUP($F154,SERVIÇOS!$B:$G,3,0),IFERROR(VLOOKUP($F154,'COMPOSIÇÕES COMPLEMENTARES '!$D:$L,3,0),IFERROR(VLOOKUP($F154,INSUMOS!$A:$D,3,0),""))))</f>
        <v>M2</v>
      </c>
      <c r="I154" s="313">
        <v>5.28</v>
      </c>
      <c r="J154" s="314">
        <f>IF($F154="","",IFERROR(VLOOKUP($F154,SERVIÇOS!$B:$G,4,0),IFERROR(VLOOKUP($F154,'COMPOSIÇÕES COMPLEMENTARES '!$D:$L,6,0),IFERROR(VLOOKUP($F154,INSUMOS!$A:$D,4,0),""))))</f>
        <v>71.41</v>
      </c>
      <c r="K154" s="314">
        <f>IF($F154="","",IFERROR(VLOOKUP($F154,SERVIÇOS!$B:$G,5,0),IFERROR(VLOOKUP($F154,'COMPOSIÇÕES COMPLEMENTARES '!$D:$L,7,0),0)))</f>
        <v>14.46</v>
      </c>
      <c r="L154" s="314">
        <f t="shared" si="84"/>
        <v>85.87</v>
      </c>
      <c r="M154" s="314">
        <f t="shared" si="85"/>
        <v>377.04</v>
      </c>
      <c r="N154" s="314">
        <f t="shared" si="86"/>
        <v>76.34</v>
      </c>
      <c r="O154" s="314">
        <f t="shared" si="87"/>
        <v>453.38</v>
      </c>
      <c r="P154" s="314"/>
      <c r="Q154" s="315"/>
      <c r="R154" s="315"/>
      <c r="S154" s="286"/>
      <c r="T154" s="287"/>
      <c r="U154" s="288" t="str">
        <f t="shared" si="74"/>
        <v/>
      </c>
      <c r="V154" s="287"/>
      <c r="W154" s="289" t="str">
        <f t="shared" si="75"/>
        <v/>
      </c>
      <c r="X154" s="287"/>
      <c r="Y154" s="290" t="str">
        <f t="shared" si="76"/>
        <v/>
      </c>
      <c r="Z154" s="291">
        <f ca="1">SUMIF($T$8:Y$1018,"QUANT.",T154:Y154)</f>
        <v>0</v>
      </c>
      <c r="AA154" s="292">
        <f t="shared" ca="1" si="77"/>
        <v>0</v>
      </c>
      <c r="AB154" s="293" t="str">
        <f t="shared" ca="1" si="78"/>
        <v>MEDIR</v>
      </c>
      <c r="AC154" s="294">
        <f t="shared" ca="1" si="79"/>
        <v>5.28</v>
      </c>
      <c r="AD154" s="294">
        <f t="shared" ca="1" si="80"/>
        <v>453.38</v>
      </c>
      <c r="AE154" s="295"/>
      <c r="AF154" s="295"/>
      <c r="AG154" s="296"/>
      <c r="AH154" s="296"/>
      <c r="AI154" s="296"/>
      <c r="AJ154" s="295"/>
      <c r="AK154" s="295"/>
      <c r="AL154" s="295"/>
      <c r="AM154" s="295"/>
    </row>
    <row r="155" spans="1:39" x14ac:dyDescent="0.25">
      <c r="A155" s="232">
        <f t="shared" si="66"/>
        <v>155</v>
      </c>
      <c r="B155" s="232"/>
      <c r="C155" s="307" t="str">
        <f t="shared" si="81"/>
        <v>9.4</v>
      </c>
      <c r="D155" s="308">
        <f t="shared" si="82"/>
        <v>7</v>
      </c>
      <c r="E155" s="309" t="str">
        <f t="shared" si="83"/>
        <v>9.4.7</v>
      </c>
      <c r="F155" s="310" t="s">
        <v>12006</v>
      </c>
      <c r="G155" s="311" t="str">
        <f>IF($F155="","",IFERROR(VLOOKUP($F155,SERVIÇOS!$B:$G,2,0),IFERROR(VLOOKUP($F155,'COMPOSIÇÕES COMPLEMENTARES '!$D:$L,2,0),IFERROR(VLOOKUP($F155,INSUMOS!$A:$D,2,0),""))))</f>
        <v>INSTALAÇÃO DE ISOLAMENTO DE LÃ DE ROCHA EM DRYWALL</v>
      </c>
      <c r="H155" s="312" t="str">
        <f>IF($F155="","",IFERROR(VLOOKUP($F155,SERVIÇOS!$B:$G,3,0),IFERROR(VLOOKUP($F155,'COMPOSIÇÕES COMPLEMENTARES '!$D:$L,3,0),IFERROR(VLOOKUP($F155,INSUMOS!$A:$D,3,0),""))))</f>
        <v>M2</v>
      </c>
      <c r="I155" s="313">
        <v>513.42999999999995</v>
      </c>
      <c r="J155" s="314">
        <f>IF($F155="","",IFERROR(VLOOKUP($F155,SERVIÇOS!$B:$G,4,0),IFERROR(VLOOKUP($F155,'COMPOSIÇÕES COMPLEMENTARES '!$D:$L,6,0),IFERROR(VLOOKUP($F155,INSUMOS!$A:$D,4,0),""))))</f>
        <v>26.63</v>
      </c>
      <c r="K155" s="314">
        <f>IF($F155="","",IFERROR(VLOOKUP($F155,SERVIÇOS!$B:$G,5,0),IFERROR(VLOOKUP($F155,'COMPOSIÇÕES COMPLEMENTARES '!$D:$L,7,0),0)))</f>
        <v>1.97</v>
      </c>
      <c r="L155" s="314">
        <f t="shared" si="84"/>
        <v>28.599999999999998</v>
      </c>
      <c r="M155" s="314">
        <f t="shared" si="85"/>
        <v>13672.64</v>
      </c>
      <c r="N155" s="314">
        <f t="shared" si="86"/>
        <v>1011.45</v>
      </c>
      <c r="O155" s="314">
        <f t="shared" si="87"/>
        <v>14684.09</v>
      </c>
      <c r="P155" s="314"/>
      <c r="Q155" s="315"/>
      <c r="R155" s="315"/>
      <c r="S155" s="286"/>
      <c r="T155" s="287"/>
      <c r="U155" s="288" t="str">
        <f t="shared" si="74"/>
        <v/>
      </c>
      <c r="V155" s="287"/>
      <c r="W155" s="289" t="str">
        <f t="shared" si="75"/>
        <v/>
      </c>
      <c r="X155" s="287"/>
      <c r="Y155" s="290" t="str">
        <f t="shared" si="76"/>
        <v/>
      </c>
      <c r="Z155" s="291">
        <f ca="1">SUMIF($T$8:Y$1018,"QUANT.",T155:Y155)</f>
        <v>0</v>
      </c>
      <c r="AA155" s="292">
        <f t="shared" ca="1" si="77"/>
        <v>0</v>
      </c>
      <c r="AB155" s="293" t="str">
        <f t="shared" ca="1" si="78"/>
        <v>MEDIR</v>
      </c>
      <c r="AC155" s="294">
        <f t="shared" ca="1" si="79"/>
        <v>513.42999999999995</v>
      </c>
      <c r="AD155" s="294">
        <f t="shared" ca="1" si="80"/>
        <v>14684.09</v>
      </c>
      <c r="AE155" s="295"/>
      <c r="AF155" s="295"/>
      <c r="AG155" s="296"/>
      <c r="AH155" s="296"/>
      <c r="AI155" s="296"/>
      <c r="AJ155" s="295"/>
      <c r="AK155" s="295"/>
      <c r="AL155" s="295"/>
      <c r="AM155" s="295"/>
    </row>
    <row r="156" spans="1:39" x14ac:dyDescent="0.25">
      <c r="A156" s="232">
        <f t="shared" si="66"/>
        <v>156</v>
      </c>
      <c r="B156" s="232"/>
      <c r="C156" s="307" t="str">
        <f t="shared" si="81"/>
        <v>9.4</v>
      </c>
      <c r="D156" s="308">
        <f t="shared" si="82"/>
        <v>8</v>
      </c>
      <c r="E156" s="309" t="str">
        <f t="shared" si="83"/>
        <v>9.4.8</v>
      </c>
      <c r="F156" s="310" t="s">
        <v>12007</v>
      </c>
      <c r="G156" s="311" t="str">
        <f>IF($F156="","",IFERROR(VLOOKUP($F156,SERVIÇOS!$B:$G,2,0),IFERROR(VLOOKUP($F156,'COMPOSIÇÕES COMPLEMENTARES '!$D:$L,2,0),IFERROR(VLOOKUP($F156,INSUMOS!$A:$D,2,0),""))))</f>
        <v>JUNTA TIPO TABICA PARA FORRO DE GESSO</v>
      </c>
      <c r="H156" s="312" t="str">
        <f>IF($F156="","",IFERROR(VLOOKUP($F156,SERVIÇOS!$B:$G,3,0),IFERROR(VLOOKUP($F156,'COMPOSIÇÕES COMPLEMENTARES '!$D:$L,3,0),IFERROR(VLOOKUP($F156,INSUMOS!$A:$D,3,0),""))))</f>
        <v>M</v>
      </c>
      <c r="I156" s="313">
        <v>282.69</v>
      </c>
      <c r="J156" s="314">
        <f>IF($F156="","",IFERROR(VLOOKUP($F156,SERVIÇOS!$B:$G,4,0),IFERROR(VLOOKUP($F156,'COMPOSIÇÕES COMPLEMENTARES '!$D:$L,6,0),IFERROR(VLOOKUP($F156,INSUMOS!$A:$D,4,0),""))))</f>
        <v>11.55</v>
      </c>
      <c r="K156" s="314">
        <f>IF($F156="","",IFERROR(VLOOKUP($F156,SERVIÇOS!$B:$G,5,0),IFERROR(VLOOKUP($F156,'COMPOSIÇÕES COMPLEMENTARES '!$D:$L,7,0),0)))</f>
        <v>14.96</v>
      </c>
      <c r="L156" s="314">
        <f t="shared" si="84"/>
        <v>26.51</v>
      </c>
      <c r="M156" s="314">
        <f t="shared" si="85"/>
        <v>3265.06</v>
      </c>
      <c r="N156" s="314">
        <f t="shared" si="86"/>
        <v>4229.04</v>
      </c>
      <c r="O156" s="314">
        <f t="shared" si="87"/>
        <v>7494.1</v>
      </c>
      <c r="P156" s="314"/>
      <c r="Q156" s="315"/>
      <c r="R156" s="315"/>
      <c r="S156" s="286"/>
      <c r="T156" s="287"/>
      <c r="U156" s="288" t="str">
        <f t="shared" si="74"/>
        <v/>
      </c>
      <c r="V156" s="287"/>
      <c r="W156" s="289" t="str">
        <f t="shared" si="75"/>
        <v/>
      </c>
      <c r="X156" s="287"/>
      <c r="Y156" s="290" t="str">
        <f t="shared" si="76"/>
        <v/>
      </c>
      <c r="Z156" s="291">
        <f ca="1">SUMIF($T$8:Y$1018,"QUANT.",T156:Y156)</f>
        <v>0</v>
      </c>
      <c r="AA156" s="292">
        <f t="shared" ca="1" si="77"/>
        <v>0</v>
      </c>
      <c r="AB156" s="293" t="str">
        <f t="shared" ca="1" si="78"/>
        <v>MEDIR</v>
      </c>
      <c r="AC156" s="294">
        <f t="shared" ca="1" si="79"/>
        <v>282.69</v>
      </c>
      <c r="AD156" s="294">
        <f t="shared" ca="1" si="80"/>
        <v>7494.1</v>
      </c>
      <c r="AE156" s="295"/>
      <c r="AF156" s="295"/>
      <c r="AG156" s="296"/>
      <c r="AH156" s="296"/>
      <c r="AI156" s="296"/>
      <c r="AJ156" s="295"/>
      <c r="AK156" s="295"/>
      <c r="AL156" s="295"/>
      <c r="AM156" s="295"/>
    </row>
    <row r="157" spans="1:39" x14ac:dyDescent="0.25">
      <c r="A157" s="232">
        <f t="shared" si="66"/>
        <v>157</v>
      </c>
      <c r="B157" s="232"/>
      <c r="C157" s="307" t="str">
        <f t="shared" si="81"/>
        <v>9.4</v>
      </c>
      <c r="D157" s="308">
        <f t="shared" si="82"/>
        <v>9</v>
      </c>
      <c r="E157" s="309" t="str">
        <f t="shared" si="83"/>
        <v>9.4.9</v>
      </c>
      <c r="F157" s="310">
        <v>96121</v>
      </c>
      <c r="G157" s="311" t="str">
        <f>IF($F157="","",IFERROR(VLOOKUP($F157,SERVIÇOS!$B:$G,2,0),IFERROR(VLOOKUP($F157,'COMPOSIÇÕES COMPLEMENTARES '!$D:$L,2,0),IFERROR(VLOOKUP($F157,INSUMOS!$A:$D,2,0),""))))</f>
        <v>ACABAMENTOS PARA FORRO (RODA-FORRO EM PERFIL METÁLICO E PLÁSTICO). AF_08/2023</v>
      </c>
      <c r="H157" s="312" t="str">
        <f>IF($F157="","",IFERROR(VLOOKUP($F157,SERVIÇOS!$B:$G,3,0),IFERROR(VLOOKUP($F157,'COMPOSIÇÕES COMPLEMENTARES '!$D:$L,3,0),IFERROR(VLOOKUP($F157,INSUMOS!$A:$D,3,0),""))))</f>
        <v>M</v>
      </c>
      <c r="I157" s="313">
        <v>12.62</v>
      </c>
      <c r="J157" s="314">
        <f>IF($F157="","",IFERROR(VLOOKUP($F157,SERVIÇOS!$B:$G,4,0),IFERROR(VLOOKUP($F157,'COMPOSIÇÕES COMPLEMENTARES '!$D:$L,6,0),IFERROR(VLOOKUP($F157,INSUMOS!$A:$D,4,0),""))))</f>
        <v>8.84</v>
      </c>
      <c r="K157" s="314">
        <f>IF($F157="","",IFERROR(VLOOKUP($F157,SERVIÇOS!$B:$G,5,0),IFERROR(VLOOKUP($F157,'COMPOSIÇÕES COMPLEMENTARES '!$D:$L,7,0),0)))</f>
        <v>5.09</v>
      </c>
      <c r="L157" s="314">
        <f t="shared" si="84"/>
        <v>13.93</v>
      </c>
      <c r="M157" s="314">
        <f t="shared" si="85"/>
        <v>111.56</v>
      </c>
      <c r="N157" s="314">
        <f t="shared" si="86"/>
        <v>64.23</v>
      </c>
      <c r="O157" s="314">
        <f t="shared" si="87"/>
        <v>175.79</v>
      </c>
      <c r="P157" s="314"/>
      <c r="Q157" s="315"/>
      <c r="R157" s="315"/>
      <c r="S157" s="286"/>
      <c r="T157" s="287"/>
      <c r="U157" s="288" t="str">
        <f t="shared" si="74"/>
        <v/>
      </c>
      <c r="V157" s="287"/>
      <c r="W157" s="289" t="str">
        <f t="shared" si="75"/>
        <v/>
      </c>
      <c r="X157" s="287"/>
      <c r="Y157" s="290" t="str">
        <f t="shared" si="76"/>
        <v/>
      </c>
      <c r="Z157" s="291">
        <f ca="1">SUMIF($T$8:Y$1018,"QUANT.",T157:Y157)</f>
        <v>0</v>
      </c>
      <c r="AA157" s="292">
        <f t="shared" ca="1" si="77"/>
        <v>0</v>
      </c>
      <c r="AB157" s="293" t="str">
        <f t="shared" ca="1" si="78"/>
        <v>MEDIR</v>
      </c>
      <c r="AC157" s="294">
        <f t="shared" ca="1" si="79"/>
        <v>12.62</v>
      </c>
      <c r="AD157" s="294">
        <f t="shared" ca="1" si="80"/>
        <v>175.79</v>
      </c>
      <c r="AE157" s="295"/>
      <c r="AF157" s="295"/>
      <c r="AG157" s="296"/>
      <c r="AH157" s="296"/>
      <c r="AI157" s="296"/>
      <c r="AJ157" s="295"/>
      <c r="AK157" s="295"/>
      <c r="AL157" s="295"/>
      <c r="AM157" s="295"/>
    </row>
    <row r="158" spans="1:39" x14ac:dyDescent="0.25">
      <c r="A158" s="232">
        <f t="shared" si="66"/>
        <v>158</v>
      </c>
      <c r="B158" s="232"/>
      <c r="C158" s="281">
        <f>+E158</f>
        <v>10</v>
      </c>
      <c r="D158" s="297"/>
      <c r="E158" s="298">
        <v>10</v>
      </c>
      <c r="F158" s="322"/>
      <c r="G158" s="299" t="s">
        <v>12008</v>
      </c>
      <c r="H158" s="300"/>
      <c r="I158" s="303"/>
      <c r="J158" s="302"/>
      <c r="K158" s="303"/>
      <c r="L158" s="303"/>
      <c r="M158" s="304">
        <f>TRUNC(SUMIF(M159:M198,"&gt;0",M159:M198),2)</f>
        <v>260494.23</v>
      </c>
      <c r="N158" s="304">
        <f>TRUNC(SUMIF(N159:N198,"&gt;0",N159:N198),2)</f>
        <v>44365.75</v>
      </c>
      <c r="O158" s="305"/>
      <c r="P158" s="304">
        <f>SUMIF(O159:O198,"&gt;0",O159:O198)</f>
        <v>304859.9800000001</v>
      </c>
      <c r="Q158" s="306"/>
      <c r="R158" s="306"/>
      <c r="S158" s="286"/>
      <c r="T158" s="287"/>
      <c r="U158" s="288" t="str">
        <f t="shared" si="74"/>
        <v/>
      </c>
      <c r="V158" s="287"/>
      <c r="W158" s="289" t="str">
        <f t="shared" si="75"/>
        <v/>
      </c>
      <c r="X158" s="287"/>
      <c r="Y158" s="290" t="str">
        <f t="shared" si="76"/>
        <v/>
      </c>
      <c r="Z158" s="291">
        <f ca="1">SUMIF($T$8:Y$1018,"QUANT.",T158:Y158)</f>
        <v>0</v>
      </c>
      <c r="AA158" s="292">
        <f t="shared" ca="1" si="77"/>
        <v>0</v>
      </c>
      <c r="AB158" s="293" t="str">
        <f t="shared" si="78"/>
        <v/>
      </c>
      <c r="AC158" s="294">
        <f t="shared" ca="1" si="79"/>
        <v>0</v>
      </c>
      <c r="AD158" s="294">
        <f t="shared" ca="1" si="80"/>
        <v>0</v>
      </c>
      <c r="AE158" s="295"/>
      <c r="AF158" s="295"/>
      <c r="AG158" s="296"/>
      <c r="AH158" s="296"/>
      <c r="AI158" s="296"/>
      <c r="AJ158" s="295"/>
      <c r="AK158" s="295"/>
      <c r="AL158" s="295"/>
      <c r="AM158" s="295"/>
    </row>
    <row r="159" spans="1:39" x14ac:dyDescent="0.25">
      <c r="A159" s="232">
        <f t="shared" si="66"/>
        <v>159</v>
      </c>
      <c r="B159" s="232"/>
      <c r="C159" s="316" t="str">
        <f>+E159</f>
        <v>10.1</v>
      </c>
      <c r="D159" s="297"/>
      <c r="E159" s="317" t="s">
        <v>12009</v>
      </c>
      <c r="F159" s="317"/>
      <c r="G159" s="318" t="s">
        <v>12010</v>
      </c>
      <c r="H159" s="317"/>
      <c r="I159" s="319"/>
      <c r="J159" s="317"/>
      <c r="K159" s="317"/>
      <c r="L159" s="317"/>
      <c r="M159" s="317"/>
      <c r="N159" s="317"/>
      <c r="O159" s="317"/>
      <c r="P159" s="317"/>
      <c r="Q159" s="320"/>
      <c r="R159" s="306"/>
      <c r="S159" s="286"/>
      <c r="T159" s="287"/>
      <c r="U159" s="288" t="str">
        <f t="shared" si="74"/>
        <v/>
      </c>
      <c r="V159" s="287"/>
      <c r="W159" s="289" t="str">
        <f t="shared" si="75"/>
        <v/>
      </c>
      <c r="X159" s="287"/>
      <c r="Y159" s="290" t="str">
        <f t="shared" si="76"/>
        <v/>
      </c>
      <c r="Z159" s="291">
        <f ca="1">SUMIF($T$8:Y$1018,"QUANT.",T159:Y159)</f>
        <v>0</v>
      </c>
      <c r="AA159" s="292">
        <f t="shared" ca="1" si="77"/>
        <v>0</v>
      </c>
      <c r="AB159" s="293" t="str">
        <f t="shared" si="78"/>
        <v/>
      </c>
      <c r="AC159" s="294">
        <f t="shared" ca="1" si="79"/>
        <v>0</v>
      </c>
      <c r="AD159" s="294">
        <f t="shared" ca="1" si="80"/>
        <v>0</v>
      </c>
      <c r="AE159" s="295"/>
      <c r="AF159" s="295"/>
      <c r="AG159" s="296"/>
      <c r="AH159" s="296"/>
      <c r="AI159" s="296"/>
      <c r="AJ159" s="295"/>
      <c r="AK159" s="295"/>
      <c r="AL159" s="295"/>
      <c r="AM159" s="295"/>
    </row>
    <row r="160" spans="1:39" ht="25.5" x14ac:dyDescent="0.25">
      <c r="A160" s="232">
        <f t="shared" si="66"/>
        <v>160</v>
      </c>
      <c r="B160" s="232"/>
      <c r="C160" s="307" t="str">
        <f>+C159</f>
        <v>10.1</v>
      </c>
      <c r="D160" s="308">
        <f>1+D159</f>
        <v>1</v>
      </c>
      <c r="E160" s="309" t="str">
        <f>C160&amp;"."&amp;D160</f>
        <v>10.1.1</v>
      </c>
      <c r="F160" s="310" t="s">
        <v>12011</v>
      </c>
      <c r="G160" s="311" t="str">
        <f>IF($F160="","",IFERROR(VLOOKUP($F160,SERVIÇOS!$B:$G,2,0),IFERROR(VLOOKUP($F160,'COMPOSIÇÕES COMPLEMENTARES '!$D:$L,2,0),IFERROR(VLOOKUP($F160,INSUMOS!$A:$D,2,0),""))))</f>
        <v>JANELA DE ALUMÍNIO ANODIZADO NATURAL DE CORRER, EM PERFIS SERIE 32, COM VIDRO TEMPERADO INCOLOR E=6MM - FORNECIMENTO E COLOCAÇÃO</v>
      </c>
      <c r="H160" s="312" t="str">
        <f>IF($F160="","",IFERROR(VLOOKUP($F160,SERVIÇOS!$B:$G,3,0),IFERROR(VLOOKUP($F160,'COMPOSIÇÕES COMPLEMENTARES '!$D:$L,3,0),IFERROR(VLOOKUP($F160,INSUMOS!$A:$D,3,0),""))))</f>
        <v>M2</v>
      </c>
      <c r="I160" s="313">
        <v>30</v>
      </c>
      <c r="J160" s="314">
        <f>IF($F160="","",IFERROR(VLOOKUP($F160,SERVIÇOS!$B:$G,4,0),IFERROR(VLOOKUP($F160,'COMPOSIÇÕES COMPLEMENTARES '!$D:$L,6,0),IFERROR(VLOOKUP($F160,INSUMOS!$A:$D,4,0),""))))</f>
        <v>811.37</v>
      </c>
      <c r="K160" s="314">
        <f>IF($F160="","",IFERROR(VLOOKUP($F160,SERVIÇOS!$B:$G,5,0),IFERROR(VLOOKUP($F160,'COMPOSIÇÕES COMPLEMENTARES '!$D:$L,7,0),0)))</f>
        <v>188.93</v>
      </c>
      <c r="L160" s="314">
        <f>IF(I160="","",J160+K160)</f>
        <v>1000.3</v>
      </c>
      <c r="M160" s="314">
        <f>IF(I160="","",TRUNC((I160*J160),2))</f>
        <v>24341.1</v>
      </c>
      <c r="N160" s="314">
        <f>IF(I160="","",TRUNC((I160*K160),2))</f>
        <v>5667.9</v>
      </c>
      <c r="O160" s="314">
        <f>IF(I160="","",TRUNC((M160+N160),2))</f>
        <v>30009</v>
      </c>
      <c r="P160" s="314"/>
      <c r="Q160" s="315"/>
      <c r="R160" s="315"/>
      <c r="S160" s="286"/>
      <c r="T160" s="287"/>
      <c r="U160" s="288" t="str">
        <f t="shared" si="74"/>
        <v/>
      </c>
      <c r="V160" s="287"/>
      <c r="W160" s="289" t="str">
        <f t="shared" si="75"/>
        <v/>
      </c>
      <c r="X160" s="287"/>
      <c r="Y160" s="290" t="str">
        <f t="shared" si="76"/>
        <v/>
      </c>
      <c r="Z160" s="291">
        <f ca="1">SUMIF($T$8:Y$1018,"QUANT.",T160:Y160)</f>
        <v>0</v>
      </c>
      <c r="AA160" s="292">
        <f t="shared" ca="1" si="77"/>
        <v>0</v>
      </c>
      <c r="AB160" s="293" t="str">
        <f t="shared" ca="1" si="78"/>
        <v>MEDIR</v>
      </c>
      <c r="AC160" s="294">
        <f t="shared" ca="1" si="79"/>
        <v>30</v>
      </c>
      <c r="AD160" s="294">
        <f t="shared" ca="1" si="80"/>
        <v>30009</v>
      </c>
      <c r="AE160" s="295"/>
      <c r="AF160" s="295"/>
      <c r="AG160" s="296"/>
      <c r="AH160" s="296"/>
      <c r="AI160" s="296"/>
      <c r="AJ160" s="295"/>
      <c r="AK160" s="295"/>
      <c r="AL160" s="295"/>
      <c r="AM160" s="295"/>
    </row>
    <row r="161" spans="1:39" ht="38.25" x14ac:dyDescent="0.25">
      <c r="A161" s="232">
        <f t="shared" si="66"/>
        <v>161</v>
      </c>
      <c r="B161" s="232"/>
      <c r="C161" s="307" t="str">
        <f>+C160</f>
        <v>10.1</v>
      </c>
      <c r="D161" s="308">
        <f>1+D160</f>
        <v>2</v>
      </c>
      <c r="E161" s="309" t="str">
        <f>C161&amp;"."&amp;D161</f>
        <v>10.1.2</v>
      </c>
      <c r="F161" s="310">
        <v>94569</v>
      </c>
      <c r="G161" s="311" t="str">
        <f>IF($F161="","",IFERROR(VLOOKUP($F161,SERVIÇOS!$B:$G,2,0),IFERROR(VLOOKUP($F161,'COMPOSIÇÕES COMPLEMENTARES '!$D:$L,2,0),IFERROR(VLOOKUP($F161,INSUMOS!$A:$D,2,0),""))))</f>
        <v>JANELA DE ALUMÍNIO TIPO MAXIM-AR, BATENTE/ REQUADRO 3 A 14 CM, VIDRO INCLUSO, FIXAÇÃO COM PARAFUSO, SEM GUARNIÇÃO/ ALIZAR, DIMENSÕES 60X80 (A X L) CM, SEM ACABAMENTO, VEDAÇÃO COM SILICONE, EXCLUSIVE CONTRAMARCO - FORNECIMENTO E INSTALAÇÃO. AF_11/2024</v>
      </c>
      <c r="H161" s="312" t="str">
        <f>IF($F161="","",IFERROR(VLOOKUP($F161,SERVIÇOS!$B:$G,3,0),IFERROR(VLOOKUP($F161,'COMPOSIÇÕES COMPLEMENTARES '!$D:$L,3,0),IFERROR(VLOOKUP($F161,INSUMOS!$A:$D,3,0),""))))</f>
        <v>M2</v>
      </c>
      <c r="I161" s="313">
        <v>1.08</v>
      </c>
      <c r="J161" s="314">
        <f>IF($F161="","",IFERROR(VLOOKUP($F161,SERVIÇOS!$B:$G,4,0),IFERROR(VLOOKUP($F161,'COMPOSIÇÕES COMPLEMENTARES '!$D:$L,6,0),IFERROR(VLOOKUP($F161,INSUMOS!$A:$D,4,0),""))))</f>
        <v>1189.69</v>
      </c>
      <c r="K161" s="314">
        <f>IF($F161="","",IFERROR(VLOOKUP($F161,SERVIÇOS!$B:$G,5,0),IFERROR(VLOOKUP($F161,'COMPOSIÇÕES COMPLEMENTARES '!$D:$L,7,0),0)))</f>
        <v>37.799999999999997</v>
      </c>
      <c r="L161" s="314">
        <f>IF(I161="","",J161+K161)</f>
        <v>1227.49</v>
      </c>
      <c r="M161" s="314">
        <f>IF(I161="","",TRUNC((I161*J161),2))</f>
        <v>1284.8599999999999</v>
      </c>
      <c r="N161" s="314">
        <f>IF(I161="","",TRUNC((I161*K161),2))</f>
        <v>40.82</v>
      </c>
      <c r="O161" s="314">
        <f>IF(I161="","",TRUNC((M161+N161),2))</f>
        <v>1325.68</v>
      </c>
      <c r="P161" s="314"/>
      <c r="Q161" s="315"/>
      <c r="R161" s="315"/>
      <c r="S161" s="286"/>
      <c r="T161" s="287"/>
      <c r="U161" s="288" t="str">
        <f t="shared" si="74"/>
        <v/>
      </c>
      <c r="V161" s="287"/>
      <c r="W161" s="289" t="str">
        <f t="shared" si="75"/>
        <v/>
      </c>
      <c r="X161" s="287"/>
      <c r="Y161" s="290" t="str">
        <f t="shared" si="76"/>
        <v/>
      </c>
      <c r="Z161" s="291">
        <f ca="1">SUMIF($T$8:Y$1018,"QUANT.",T161:Y161)</f>
        <v>0</v>
      </c>
      <c r="AA161" s="292">
        <f t="shared" ca="1" si="77"/>
        <v>0</v>
      </c>
      <c r="AB161" s="293" t="str">
        <f t="shared" ca="1" si="78"/>
        <v>MEDIR</v>
      </c>
      <c r="AC161" s="294">
        <f t="shared" ca="1" si="79"/>
        <v>1.08</v>
      </c>
      <c r="AD161" s="294">
        <f t="shared" ca="1" si="80"/>
        <v>1325.68</v>
      </c>
      <c r="AE161" s="295"/>
      <c r="AF161" s="295"/>
      <c r="AG161" s="296"/>
      <c r="AH161" s="296"/>
      <c r="AI161" s="296"/>
      <c r="AJ161" s="296"/>
      <c r="AK161" s="295"/>
      <c r="AL161" s="295"/>
      <c r="AM161" s="295"/>
    </row>
    <row r="162" spans="1:39" ht="38.25" x14ac:dyDescent="0.25">
      <c r="A162" s="232">
        <f t="shared" si="66"/>
        <v>162</v>
      </c>
      <c r="B162" s="232"/>
      <c r="C162" s="307" t="str">
        <f>+C161</f>
        <v>10.1</v>
      </c>
      <c r="D162" s="308">
        <f>1+D161</f>
        <v>3</v>
      </c>
      <c r="E162" s="309" t="str">
        <f>C162&amp;"."&amp;D162</f>
        <v>10.1.3</v>
      </c>
      <c r="F162" s="310">
        <v>100674</v>
      </c>
      <c r="G162" s="311" t="str">
        <f>IF($F162="","",IFERROR(VLOOKUP($F162,SERVIÇOS!$B:$G,2,0),IFERROR(VLOOKUP($F162,'COMPOSIÇÕES COMPLEMENTARES '!$D:$L,2,0),IFERROR(VLOOKUP($F162,INSUMOS!$A:$D,2,0),""))))</f>
        <v>CAIXILHO FIXO DE ALUMÍNIO PARA VIDRO (VIDRO INCLUSO), BATENTE/ REQUADRO DE 4 A 14 CM, SEM GUARNIÇÃO/ ALIZAR, FIXAÇÃO COM PARAFUSOS, VEDAÇÃO COM SILICONE, EXCLUSIVE CONTRAMARCO - FORNECIMENTO E INSTALAÇÃO. AF_11/2024</v>
      </c>
      <c r="H162" s="312" t="str">
        <f>IF($F162="","",IFERROR(VLOOKUP($F162,SERVIÇOS!$B:$G,3,0),IFERROR(VLOOKUP($F162,'COMPOSIÇÕES COMPLEMENTARES '!$D:$L,3,0),IFERROR(VLOOKUP($F162,INSUMOS!$A:$D,3,0),""))))</f>
        <v>M2</v>
      </c>
      <c r="I162" s="313">
        <v>10.199999999999999</v>
      </c>
      <c r="J162" s="314">
        <f>IF($F162="","",IFERROR(VLOOKUP($F162,SERVIÇOS!$B:$G,4,0),IFERROR(VLOOKUP($F162,'COMPOSIÇÕES COMPLEMENTARES '!$D:$L,6,0),IFERROR(VLOOKUP($F162,INSUMOS!$A:$D,4,0),""))))</f>
        <v>1401.22</v>
      </c>
      <c r="K162" s="314">
        <f>IF($F162="","",IFERROR(VLOOKUP($F162,SERVIÇOS!$B:$G,5,0),IFERROR(VLOOKUP($F162,'COMPOSIÇÕES COMPLEMENTARES '!$D:$L,7,0),0)))</f>
        <v>27.72</v>
      </c>
      <c r="L162" s="314">
        <f>IF(I162="","",J162+K162)</f>
        <v>1428.94</v>
      </c>
      <c r="M162" s="314">
        <f>IF(I162="","",TRUNC((I162*J162),2))</f>
        <v>14292.44</v>
      </c>
      <c r="N162" s="314">
        <f>IF(I162="","",TRUNC((I162*K162),2))</f>
        <v>282.74</v>
      </c>
      <c r="O162" s="314">
        <f>IF(I162="","",TRUNC((M162+N162),2))</f>
        <v>14575.18</v>
      </c>
      <c r="P162" s="314"/>
      <c r="Q162" s="315"/>
      <c r="R162" s="315"/>
      <c r="S162" s="286"/>
      <c r="T162" s="287"/>
      <c r="U162" s="288" t="str">
        <f t="shared" si="74"/>
        <v/>
      </c>
      <c r="V162" s="287"/>
      <c r="W162" s="289" t="str">
        <f t="shared" si="75"/>
        <v/>
      </c>
      <c r="X162" s="287"/>
      <c r="Y162" s="290" t="str">
        <f t="shared" si="76"/>
        <v/>
      </c>
      <c r="Z162" s="291">
        <f ca="1">SUMIF($T$8:Y$1018,"QUANT.",T162:Y162)</f>
        <v>0</v>
      </c>
      <c r="AA162" s="292">
        <f t="shared" ca="1" si="77"/>
        <v>0</v>
      </c>
      <c r="AB162" s="293" t="str">
        <f t="shared" ca="1" si="78"/>
        <v>MEDIR</v>
      </c>
      <c r="AC162" s="294">
        <f t="shared" ca="1" si="79"/>
        <v>10.199999999999999</v>
      </c>
      <c r="AD162" s="294">
        <f t="shared" ca="1" si="80"/>
        <v>14575.18</v>
      </c>
      <c r="AE162" s="295"/>
      <c r="AF162" s="295"/>
      <c r="AG162" s="296"/>
      <c r="AH162" s="296"/>
      <c r="AI162" s="296"/>
      <c r="AJ162" s="295"/>
      <c r="AK162" s="295"/>
      <c r="AL162" s="295"/>
      <c r="AM162" s="295"/>
    </row>
    <row r="163" spans="1:39" x14ac:dyDescent="0.25">
      <c r="A163" s="232">
        <f t="shared" si="66"/>
        <v>163</v>
      </c>
      <c r="B163" s="232"/>
      <c r="C163" s="307" t="str">
        <f>+C162</f>
        <v>10.1</v>
      </c>
      <c r="D163" s="308">
        <f>1+D162</f>
        <v>4</v>
      </c>
      <c r="E163" s="309" t="str">
        <f>C163&amp;"."&amp;D163</f>
        <v>10.1.4</v>
      </c>
      <c r="F163" s="310" t="s">
        <v>12012</v>
      </c>
      <c r="G163" s="311" t="str">
        <f>IF($F163="","",IFERROR(VLOOKUP($F163,SERVIÇOS!$B:$G,2,0),IFERROR(VLOOKUP($F163,'COMPOSIÇÕES COMPLEMENTARES '!$D:$L,2,0),IFERROR(VLOOKUP($F163,INSUMOS!$A:$D,2,0),""))))</f>
        <v>CONTRAMARCO EM ALUMINIO - FORNECIMENTO E INSTALAÇÃO</v>
      </c>
      <c r="H163" s="312" t="str">
        <f>IF($F163="","",IFERROR(VLOOKUP($F163,SERVIÇOS!$B:$G,3,0),IFERROR(VLOOKUP($F163,'COMPOSIÇÕES COMPLEMENTARES '!$D:$L,3,0),IFERROR(VLOOKUP($F163,INSUMOS!$A:$D,3,0),""))))</f>
        <v>M</v>
      </c>
      <c r="I163" s="313">
        <v>194</v>
      </c>
      <c r="J163" s="314">
        <f>IF($F163="","",IFERROR(VLOOKUP($F163,SERVIÇOS!$B:$G,4,0),IFERROR(VLOOKUP($F163,'COMPOSIÇÕES COMPLEMENTARES '!$D:$L,6,0),IFERROR(VLOOKUP($F163,INSUMOS!$A:$D,4,0),""))))</f>
        <v>25.08</v>
      </c>
      <c r="K163" s="314">
        <f>IF($F163="","",IFERROR(VLOOKUP($F163,SERVIÇOS!$B:$G,5,0),IFERROR(VLOOKUP($F163,'COMPOSIÇÕES COMPLEMENTARES '!$D:$L,7,0),0)))</f>
        <v>27.87</v>
      </c>
      <c r="L163" s="314">
        <f>IF(I163="","",J163+K163)</f>
        <v>52.95</v>
      </c>
      <c r="M163" s="314">
        <f>IF(I163="","",TRUNC((I163*J163),2))</f>
        <v>4865.5200000000004</v>
      </c>
      <c r="N163" s="314">
        <f>IF(I163="","",TRUNC((I163*K163),2))</f>
        <v>5406.78</v>
      </c>
      <c r="O163" s="314">
        <f>IF(I163="","",TRUNC((M163+N163),2))</f>
        <v>10272.299999999999</v>
      </c>
      <c r="P163" s="314"/>
      <c r="Q163" s="315"/>
      <c r="R163" s="315"/>
      <c r="S163" s="286"/>
      <c r="T163" s="287"/>
      <c r="U163" s="288" t="str">
        <f t="shared" si="74"/>
        <v/>
      </c>
      <c r="V163" s="287"/>
      <c r="W163" s="289" t="str">
        <f t="shared" si="75"/>
        <v/>
      </c>
      <c r="X163" s="287"/>
      <c r="Y163" s="290" t="str">
        <f t="shared" si="76"/>
        <v/>
      </c>
      <c r="Z163" s="291">
        <f ca="1">SUMIF($T$8:Y$1018,"QUANT.",T163:Y163)</f>
        <v>0</v>
      </c>
      <c r="AA163" s="292">
        <f t="shared" ca="1" si="77"/>
        <v>0</v>
      </c>
      <c r="AB163" s="293" t="str">
        <f t="shared" ca="1" si="78"/>
        <v>MEDIR</v>
      </c>
      <c r="AC163" s="294">
        <f t="shared" ca="1" si="79"/>
        <v>194</v>
      </c>
      <c r="AD163" s="294">
        <f t="shared" ca="1" si="80"/>
        <v>10272.299999999999</v>
      </c>
      <c r="AE163" s="295"/>
      <c r="AF163" s="295"/>
      <c r="AG163" s="296"/>
      <c r="AH163" s="296"/>
      <c r="AI163" s="296"/>
      <c r="AJ163" s="295"/>
      <c r="AK163" s="295"/>
      <c r="AL163" s="295"/>
      <c r="AM163" s="295"/>
    </row>
    <row r="164" spans="1:39" x14ac:dyDescent="0.25">
      <c r="A164" s="232">
        <f t="shared" si="66"/>
        <v>164</v>
      </c>
      <c r="B164" s="232"/>
      <c r="C164" s="316" t="str">
        <f>+E164</f>
        <v>10.2</v>
      </c>
      <c r="D164" s="297"/>
      <c r="E164" s="317" t="s">
        <v>12013</v>
      </c>
      <c r="F164" s="317"/>
      <c r="G164" s="318" t="s">
        <v>12014</v>
      </c>
      <c r="H164" s="317"/>
      <c r="I164" s="319"/>
      <c r="J164" s="317"/>
      <c r="K164" s="317"/>
      <c r="L164" s="317"/>
      <c r="M164" s="317"/>
      <c r="N164" s="317"/>
      <c r="O164" s="317"/>
      <c r="P164" s="317"/>
      <c r="Q164" s="320"/>
      <c r="R164" s="306"/>
      <c r="S164" s="286"/>
      <c r="T164" s="287"/>
      <c r="U164" s="288" t="str">
        <f t="shared" si="74"/>
        <v/>
      </c>
      <c r="V164" s="287"/>
      <c r="W164" s="289" t="str">
        <f t="shared" si="75"/>
        <v/>
      </c>
      <c r="X164" s="287"/>
      <c r="Y164" s="290" t="str">
        <f t="shared" si="76"/>
        <v/>
      </c>
      <c r="Z164" s="291">
        <f ca="1">SUMIF($T$8:Y$1018,"QUANT.",T164:Y164)</f>
        <v>0</v>
      </c>
      <c r="AA164" s="292">
        <f t="shared" ca="1" si="77"/>
        <v>0</v>
      </c>
      <c r="AB164" s="293" t="str">
        <f t="shared" si="78"/>
        <v/>
      </c>
      <c r="AC164" s="294">
        <f t="shared" ca="1" si="79"/>
        <v>0</v>
      </c>
      <c r="AD164" s="294">
        <f t="shared" ca="1" si="80"/>
        <v>0</v>
      </c>
      <c r="AE164" s="295"/>
      <c r="AF164" s="295"/>
      <c r="AG164" s="296"/>
      <c r="AH164" s="296"/>
      <c r="AI164" s="296"/>
      <c r="AJ164" s="295"/>
      <c r="AK164" s="295"/>
      <c r="AL164" s="295"/>
      <c r="AM164" s="295"/>
    </row>
    <row r="165" spans="1:39" x14ac:dyDescent="0.25">
      <c r="A165" s="232">
        <f t="shared" si="66"/>
        <v>165</v>
      </c>
      <c r="B165" s="232"/>
      <c r="C165" s="307" t="str">
        <f>+C164</f>
        <v>10.2</v>
      </c>
      <c r="D165" s="308">
        <f>1+D164</f>
        <v>1</v>
      </c>
      <c r="E165" s="309" t="str">
        <f>C165&amp;"."&amp;D165</f>
        <v>10.2.1</v>
      </c>
      <c r="F165" s="310" t="s">
        <v>12015</v>
      </c>
      <c r="G165" s="311" t="str">
        <f>IF($F165="","",IFERROR(VLOOKUP($F165,SERVIÇOS!$B:$G,2,0),IFERROR(VLOOKUP($F165,'COMPOSIÇÕES COMPLEMENTARES '!$D:$L,2,0),IFERROR(VLOOKUP($F165,INSUMOS!$A:$D,2,0),""))))</f>
        <v>VISOR PLUMBÍFERO 50X30CM COM BLINDAGEM DE CHUMBO - FIXO</v>
      </c>
      <c r="H165" s="312" t="str">
        <f>IF($F165="","",IFERROR(VLOOKUP($F165,SERVIÇOS!$B:$G,3,0),IFERROR(VLOOKUP($F165,'COMPOSIÇÕES COMPLEMENTARES '!$D:$L,3,0),IFERROR(VLOOKUP($F165,INSUMOS!$A:$D,3,0),""))))</f>
        <v>UN</v>
      </c>
      <c r="I165" s="313">
        <v>1</v>
      </c>
      <c r="J165" s="314">
        <f>IF($F165="","",IFERROR(VLOOKUP($F165,SERVIÇOS!$B:$G,4,0),IFERROR(VLOOKUP($F165,'COMPOSIÇÕES COMPLEMENTARES '!$D:$L,6,0),IFERROR(VLOOKUP($F165,INSUMOS!$A:$D,4,0),""))))</f>
        <v>1034.95</v>
      </c>
      <c r="K165" s="314">
        <f>IF($F165="","",IFERROR(VLOOKUP($F165,SERVIÇOS!$B:$G,5,0),IFERROR(VLOOKUP($F165,'COMPOSIÇÕES COMPLEMENTARES '!$D:$L,7,0),0)))</f>
        <v>9.1999999999999993</v>
      </c>
      <c r="L165" s="314">
        <f>IF(I165="","",J165+K165)</f>
        <v>1044.1500000000001</v>
      </c>
      <c r="M165" s="314">
        <f>IF(I165="","",TRUNC((I165*J165),2))</f>
        <v>1034.95</v>
      </c>
      <c r="N165" s="314">
        <f>IF(I165="","",TRUNC((I165*K165),2))</f>
        <v>9.1999999999999993</v>
      </c>
      <c r="O165" s="314">
        <f>IF(I165="","",TRUNC((M165+N165),2))</f>
        <v>1044.1500000000001</v>
      </c>
      <c r="P165" s="314"/>
      <c r="Q165" s="315"/>
      <c r="R165" s="315"/>
      <c r="S165" s="286"/>
      <c r="T165" s="287"/>
      <c r="U165" s="288" t="str">
        <f t="shared" si="74"/>
        <v/>
      </c>
      <c r="V165" s="287"/>
      <c r="W165" s="289" t="str">
        <f t="shared" si="75"/>
        <v/>
      </c>
      <c r="X165" s="287"/>
      <c r="Y165" s="290" t="str">
        <f t="shared" si="76"/>
        <v/>
      </c>
      <c r="Z165" s="291">
        <f ca="1">SUMIF($T$8:Y$1018,"QUANT.",T165:Y165)</f>
        <v>0</v>
      </c>
      <c r="AA165" s="292">
        <f t="shared" ca="1" si="77"/>
        <v>0</v>
      </c>
      <c r="AB165" s="293" t="str">
        <f t="shared" ca="1" si="78"/>
        <v>MEDIR</v>
      </c>
      <c r="AC165" s="294">
        <f t="shared" ca="1" si="79"/>
        <v>1</v>
      </c>
      <c r="AD165" s="294">
        <f t="shared" ca="1" si="80"/>
        <v>1044.1500000000001</v>
      </c>
      <c r="AE165" s="295"/>
      <c r="AF165" s="295"/>
      <c r="AG165" s="296"/>
      <c r="AH165" s="296"/>
      <c r="AI165" s="296"/>
      <c r="AJ165" s="296"/>
      <c r="AK165" s="296"/>
      <c r="AL165" s="296"/>
      <c r="AM165" s="296"/>
    </row>
    <row r="166" spans="1:39" x14ac:dyDescent="0.25">
      <c r="A166" s="232">
        <f t="shared" si="66"/>
        <v>166</v>
      </c>
      <c r="B166" s="232"/>
      <c r="C166" s="316" t="str">
        <f>+E166</f>
        <v>10.3</v>
      </c>
      <c r="D166" s="297"/>
      <c r="E166" s="317" t="s">
        <v>12016</v>
      </c>
      <c r="F166" s="317"/>
      <c r="G166" s="318" t="s">
        <v>12017</v>
      </c>
      <c r="H166" s="317"/>
      <c r="I166" s="319"/>
      <c r="J166" s="317"/>
      <c r="K166" s="317"/>
      <c r="L166" s="317"/>
      <c r="M166" s="317"/>
      <c r="N166" s="317"/>
      <c r="O166" s="317"/>
      <c r="P166" s="317"/>
      <c r="Q166" s="320"/>
      <c r="R166" s="306"/>
      <c r="S166" s="286"/>
      <c r="T166" s="287"/>
      <c r="U166" s="288" t="str">
        <f t="shared" si="74"/>
        <v/>
      </c>
      <c r="V166" s="287"/>
      <c r="W166" s="289" t="str">
        <f t="shared" si="75"/>
        <v/>
      </c>
      <c r="X166" s="287"/>
      <c r="Y166" s="290" t="str">
        <f t="shared" si="76"/>
        <v/>
      </c>
      <c r="Z166" s="291">
        <f ca="1">SUMIF($T$8:Y$1018,"QUANT.",T166:Y166)</f>
        <v>0</v>
      </c>
      <c r="AA166" s="292">
        <f t="shared" ca="1" si="77"/>
        <v>0</v>
      </c>
      <c r="AB166" s="293" t="str">
        <f t="shared" si="78"/>
        <v/>
      </c>
      <c r="AC166" s="294">
        <f t="shared" ca="1" si="79"/>
        <v>0</v>
      </c>
      <c r="AD166" s="294">
        <f t="shared" ca="1" si="80"/>
        <v>0</v>
      </c>
      <c r="AE166" s="295"/>
      <c r="AF166" s="295"/>
      <c r="AG166" s="296"/>
      <c r="AH166" s="296"/>
      <c r="AI166" s="296"/>
      <c r="AJ166" s="295"/>
      <c r="AK166" s="295"/>
      <c r="AL166" s="295"/>
      <c r="AM166" s="295"/>
    </row>
    <row r="167" spans="1:39" x14ac:dyDescent="0.25">
      <c r="A167" s="232">
        <f t="shared" si="66"/>
        <v>167</v>
      </c>
      <c r="B167" s="232"/>
      <c r="C167" s="307" t="str">
        <f>+C166</f>
        <v>10.3</v>
      </c>
      <c r="D167" s="308">
        <f>1+D166</f>
        <v>1</v>
      </c>
      <c r="E167" s="309" t="str">
        <f>C167&amp;"."&amp;D167</f>
        <v>10.3.1</v>
      </c>
      <c r="F167" s="310" t="s">
        <v>12018</v>
      </c>
      <c r="G167" s="311" t="str">
        <f>IF($F167="","",IFERROR(VLOOKUP($F167,SERVIÇOS!$B:$G,2,0),IFERROR(VLOOKUP($F167,'COMPOSIÇÕES COMPLEMENTARES '!$D:$L,2,0),IFERROR(VLOOKUP($F167,INSUMOS!$A:$D,2,0),""))))</f>
        <v>GUICHÊ DE ALUMÍNIO ANODIZADO, 02 FOLHAS DE ABRIR, 80X120CM</v>
      </c>
      <c r="H167" s="312" t="str">
        <f>IF($F167="","",IFERROR(VLOOKUP($F167,SERVIÇOS!$B:$G,3,0),IFERROR(VLOOKUP($F167,'COMPOSIÇÕES COMPLEMENTARES '!$D:$L,3,0),IFERROR(VLOOKUP($F167,INSUMOS!$A:$D,3,0),""))))</f>
        <v>UN</v>
      </c>
      <c r="I167" s="313">
        <v>10</v>
      </c>
      <c r="J167" s="314">
        <f>IF($F167="","",IFERROR(VLOOKUP($F167,SERVIÇOS!$B:$G,4,0),IFERROR(VLOOKUP($F167,'COMPOSIÇÕES COMPLEMENTARES '!$D:$L,6,0),IFERROR(VLOOKUP($F167,INSUMOS!$A:$D,4,0),""))))</f>
        <v>1418.62</v>
      </c>
      <c r="K167" s="314">
        <f>IF($F167="","",IFERROR(VLOOKUP($F167,SERVIÇOS!$B:$G,5,0),IFERROR(VLOOKUP($F167,'COMPOSIÇÕES COMPLEMENTARES '!$D:$L,7,0),0)))</f>
        <v>418.22</v>
      </c>
      <c r="L167" s="314">
        <f>IF(I167="","",J167+K167)</f>
        <v>1836.84</v>
      </c>
      <c r="M167" s="314">
        <f>IF(I167="","",TRUNC((I167*J167),2))</f>
        <v>14186.2</v>
      </c>
      <c r="N167" s="314">
        <f>IF(I167="","",TRUNC((I167*K167),2))</f>
        <v>4182.2</v>
      </c>
      <c r="O167" s="314">
        <f>IF(I167="","",TRUNC((M167+N167),2))</f>
        <v>18368.400000000001</v>
      </c>
      <c r="P167" s="314"/>
      <c r="Q167" s="315"/>
      <c r="R167" s="315"/>
      <c r="S167" s="286"/>
      <c r="T167" s="287"/>
      <c r="U167" s="288" t="str">
        <f t="shared" si="74"/>
        <v/>
      </c>
      <c r="V167" s="287"/>
      <c r="W167" s="289" t="str">
        <f t="shared" si="75"/>
        <v/>
      </c>
      <c r="X167" s="287"/>
      <c r="Y167" s="290" t="str">
        <f t="shared" si="76"/>
        <v/>
      </c>
      <c r="Z167" s="291">
        <f ca="1">SUMIF($T$8:Y$1018,"QUANT.",T167:Y167)</f>
        <v>0</v>
      </c>
      <c r="AA167" s="292">
        <f t="shared" ca="1" si="77"/>
        <v>0</v>
      </c>
      <c r="AB167" s="293" t="str">
        <f t="shared" ca="1" si="78"/>
        <v>MEDIR</v>
      </c>
      <c r="AC167" s="294">
        <f t="shared" ca="1" si="79"/>
        <v>10</v>
      </c>
      <c r="AD167" s="294">
        <f t="shared" ca="1" si="80"/>
        <v>18368.400000000001</v>
      </c>
      <c r="AE167" s="295"/>
      <c r="AF167" s="295"/>
      <c r="AG167" s="296"/>
      <c r="AH167" s="296"/>
      <c r="AI167" s="296"/>
      <c r="AJ167" s="38"/>
      <c r="AK167" s="295"/>
      <c r="AL167" s="295"/>
      <c r="AM167" s="295"/>
    </row>
    <row r="168" spans="1:39" x14ac:dyDescent="0.25">
      <c r="A168" s="232">
        <f t="shared" si="66"/>
        <v>168</v>
      </c>
      <c r="B168" s="232"/>
      <c r="C168" s="316" t="str">
        <f>+E168</f>
        <v>10.4</v>
      </c>
      <c r="D168" s="297"/>
      <c r="E168" s="317" t="s">
        <v>12019</v>
      </c>
      <c r="F168" s="317"/>
      <c r="G168" s="318" t="s">
        <v>12020</v>
      </c>
      <c r="H168" s="317"/>
      <c r="I168" s="319"/>
      <c r="J168" s="317"/>
      <c r="K168" s="317"/>
      <c r="L168" s="317"/>
      <c r="M168" s="317"/>
      <c r="N168" s="317"/>
      <c r="O168" s="317"/>
      <c r="P168" s="317"/>
      <c r="Q168" s="320"/>
      <c r="R168" s="306"/>
      <c r="S168" s="286"/>
      <c r="T168" s="287"/>
      <c r="U168" s="288" t="str">
        <f t="shared" si="74"/>
        <v/>
      </c>
      <c r="V168" s="287"/>
      <c r="W168" s="289" t="str">
        <f t="shared" si="75"/>
        <v/>
      </c>
      <c r="X168" s="287"/>
      <c r="Y168" s="290" t="str">
        <f t="shared" si="76"/>
        <v/>
      </c>
      <c r="Z168" s="291">
        <f ca="1">SUMIF($T$8:Y$1018,"QUANT.",T168:Y168)</f>
        <v>0</v>
      </c>
      <c r="AA168" s="292">
        <f t="shared" ca="1" si="77"/>
        <v>0</v>
      </c>
      <c r="AB168" s="293" t="str">
        <f t="shared" si="78"/>
        <v/>
      </c>
      <c r="AC168" s="294">
        <f t="shared" ca="1" si="79"/>
        <v>0</v>
      </c>
      <c r="AD168" s="294">
        <f t="shared" ca="1" si="80"/>
        <v>0</v>
      </c>
      <c r="AE168" s="295"/>
      <c r="AF168" s="295"/>
      <c r="AG168" s="296"/>
      <c r="AH168" s="296"/>
      <c r="AI168" s="296"/>
      <c r="AJ168" s="295"/>
      <c r="AK168" s="295"/>
      <c r="AL168" s="295"/>
      <c r="AM168" s="295"/>
    </row>
    <row r="169" spans="1:39" ht="38.25" x14ac:dyDescent="0.25">
      <c r="A169" s="232">
        <f t="shared" si="66"/>
        <v>169</v>
      </c>
      <c r="B169" s="232"/>
      <c r="C169" s="307" t="str">
        <f t="shared" ref="C169:C177" si="88">+C168</f>
        <v>10.4</v>
      </c>
      <c r="D169" s="308">
        <f t="shared" ref="D169:D177" si="89">1+D168</f>
        <v>1</v>
      </c>
      <c r="E169" s="309" t="str">
        <f t="shared" ref="E169:E177" si="90">C169&amp;"."&amp;D169</f>
        <v>10.4.1</v>
      </c>
      <c r="F169" s="310">
        <v>90849</v>
      </c>
      <c r="G169" s="311" t="str">
        <f>IF($F169="","",IFERROR(VLOOKUP($F169,SERVIÇOS!$B:$G,2,0),IFERROR(VLOOKUP($F169,'COMPOSIÇÕES COMPLEMENTARES '!$D:$L,2,0),IFERROR(VLOOKUP($F169,INSUMOS!$A:$D,2,0),""))))</f>
        <v>KIT DE PORTA DE MADEIRA PARA PINTURA, SEMI-OCA (LEVE OU MÉDIA), PADRÃO MÉDIO, 80X210CM, ESPESSURA DE 3,5CM, ITENS INCLUSOS: DOBRADIÇAS, MONTAGEM E INSTALAÇÃO DO BATENTE, SEM FECHADURA - FORNECIMENTO E INSTALAÇÃO. AF_12/2019</v>
      </c>
      <c r="H169" s="312" t="str">
        <f>IF($F169="","",IFERROR(VLOOKUP($F169,SERVIÇOS!$B:$G,3,0),IFERROR(VLOOKUP($F169,'COMPOSIÇÕES COMPLEMENTARES '!$D:$L,3,0),IFERROR(VLOOKUP($F169,INSUMOS!$A:$D,3,0),""))))</f>
        <v>UN</v>
      </c>
      <c r="I169" s="313">
        <v>23</v>
      </c>
      <c r="J169" s="314">
        <f>IF($F169="","",IFERROR(VLOOKUP($F169,SERVIÇOS!$B:$G,4,0),IFERROR(VLOOKUP($F169,'COMPOSIÇÕES COMPLEMENTARES '!$D:$L,6,0),IFERROR(VLOOKUP($F169,INSUMOS!$A:$D,4,0),""))))</f>
        <v>856.21</v>
      </c>
      <c r="K169" s="314">
        <f>IF($F169="","",IFERROR(VLOOKUP($F169,SERVIÇOS!$B:$G,5,0),IFERROR(VLOOKUP($F169,'COMPOSIÇÕES COMPLEMENTARES '!$D:$L,7,0),0)))</f>
        <v>250.71</v>
      </c>
      <c r="L169" s="314">
        <f t="shared" ref="L169:L177" si="91">IF(I169="","",J169+K169)</f>
        <v>1106.92</v>
      </c>
      <c r="M169" s="314">
        <f t="shared" ref="M169:M177" si="92">IF(I169="","",TRUNC((I169*J169),2))</f>
        <v>19692.830000000002</v>
      </c>
      <c r="N169" s="314">
        <f t="shared" ref="N169:N177" si="93">IF(I169="","",TRUNC((I169*K169),2))</f>
        <v>5766.33</v>
      </c>
      <c r="O169" s="314">
        <f t="shared" ref="O169:O177" si="94">IF(I169="","",TRUNC((M169+N169),2))</f>
        <v>25459.16</v>
      </c>
      <c r="P169" s="314"/>
      <c r="Q169" s="315"/>
      <c r="R169" s="315"/>
      <c r="S169" s="286"/>
      <c r="T169" s="287"/>
      <c r="U169" s="288" t="str">
        <f t="shared" si="74"/>
        <v/>
      </c>
      <c r="V169" s="287"/>
      <c r="W169" s="289" t="str">
        <f t="shared" si="75"/>
        <v/>
      </c>
      <c r="X169" s="287"/>
      <c r="Y169" s="290" t="str">
        <f t="shared" si="76"/>
        <v/>
      </c>
      <c r="Z169" s="291">
        <f ca="1">SUMIF($T$8:Y$1018,"QUANT.",T169:Y169)</f>
        <v>0</v>
      </c>
      <c r="AA169" s="292">
        <f t="shared" ca="1" si="77"/>
        <v>0</v>
      </c>
      <c r="AB169" s="293" t="str">
        <f t="shared" ca="1" si="78"/>
        <v>MEDIR</v>
      </c>
      <c r="AC169" s="294">
        <f t="shared" ca="1" si="79"/>
        <v>23</v>
      </c>
      <c r="AD169" s="294">
        <f t="shared" ca="1" si="80"/>
        <v>25459.16</v>
      </c>
      <c r="AE169" s="295"/>
      <c r="AF169" s="295"/>
      <c r="AG169" s="296"/>
      <c r="AH169" s="296"/>
      <c r="AI169" s="296"/>
      <c r="AJ169" s="295"/>
      <c r="AK169" s="296"/>
      <c r="AL169" s="296"/>
      <c r="AM169" s="296"/>
    </row>
    <row r="170" spans="1:39" ht="25.5" x14ac:dyDescent="0.25">
      <c r="A170" s="232">
        <f t="shared" si="66"/>
        <v>170</v>
      </c>
      <c r="B170" s="232"/>
      <c r="C170" s="307" t="str">
        <f t="shared" si="88"/>
        <v>10.4</v>
      </c>
      <c r="D170" s="308">
        <f t="shared" si="89"/>
        <v>2</v>
      </c>
      <c r="E170" s="309" t="str">
        <f t="shared" si="90"/>
        <v>10.4.2</v>
      </c>
      <c r="F170" s="310" t="s">
        <v>12021</v>
      </c>
      <c r="G170" s="311" t="str">
        <f>IF($F170="","",IFERROR(VLOOKUP($F170,SERVIÇOS!$B:$G,2,0),IFERROR(VLOOKUP($F170,'COMPOSIÇÕES COMPLEMENTARES '!$D:$L,2,0),IFERROR(VLOOKUP($F170,INSUMOS!$A:$D,2,0),""))))</f>
        <v>PORTA COMPLETA DE MADEIRA PARA PINTURA, FOLHA MÉDIA, 01 FOLHA DE CORRER, 80X210CM, INCLUSO BATENTES, FERRAGENS E FECHADURA</v>
      </c>
      <c r="H170" s="312" t="str">
        <f>IF($F170="","",IFERROR(VLOOKUP($F170,SERVIÇOS!$B:$G,3,0),IFERROR(VLOOKUP($F170,'COMPOSIÇÕES COMPLEMENTARES '!$D:$L,3,0),IFERROR(VLOOKUP($F170,INSUMOS!$A:$D,3,0),""))))</f>
        <v>UN</v>
      </c>
      <c r="I170" s="313">
        <v>3</v>
      </c>
      <c r="J170" s="314">
        <f>IF($F170="","",IFERROR(VLOOKUP($F170,SERVIÇOS!$B:$G,4,0),IFERROR(VLOOKUP($F170,'COMPOSIÇÕES COMPLEMENTARES '!$D:$L,6,0),IFERROR(VLOOKUP($F170,INSUMOS!$A:$D,4,0),""))))</f>
        <v>1136.18</v>
      </c>
      <c r="K170" s="314">
        <f>IF($F170="","",IFERROR(VLOOKUP($F170,SERVIÇOS!$B:$G,5,0),IFERROR(VLOOKUP($F170,'COMPOSIÇÕES COMPLEMENTARES '!$D:$L,7,0),0)))</f>
        <v>506.27</v>
      </c>
      <c r="L170" s="314">
        <f t="shared" si="91"/>
        <v>1642.45</v>
      </c>
      <c r="M170" s="314">
        <f t="shared" si="92"/>
        <v>3408.54</v>
      </c>
      <c r="N170" s="314">
        <f t="shared" si="93"/>
        <v>1518.81</v>
      </c>
      <c r="O170" s="314">
        <f t="shared" si="94"/>
        <v>4927.3500000000004</v>
      </c>
      <c r="P170" s="314"/>
      <c r="Q170" s="315"/>
      <c r="R170" s="315"/>
      <c r="S170" s="286"/>
      <c r="T170" s="287"/>
      <c r="U170" s="288" t="str">
        <f t="shared" si="74"/>
        <v/>
      </c>
      <c r="V170" s="287"/>
      <c r="W170" s="289" t="str">
        <f t="shared" si="75"/>
        <v/>
      </c>
      <c r="X170" s="287"/>
      <c r="Y170" s="290" t="str">
        <f t="shared" si="76"/>
        <v/>
      </c>
      <c r="Z170" s="291">
        <f ca="1">SUMIF($T$8:Y$1018,"QUANT.",T170:Y170)</f>
        <v>0</v>
      </c>
      <c r="AA170" s="292">
        <f t="shared" ca="1" si="77"/>
        <v>0</v>
      </c>
      <c r="AB170" s="293" t="str">
        <f t="shared" ca="1" si="78"/>
        <v>MEDIR</v>
      </c>
      <c r="AC170" s="294">
        <f t="shared" ca="1" si="79"/>
        <v>3</v>
      </c>
      <c r="AD170" s="294">
        <f t="shared" ca="1" si="80"/>
        <v>4927.3500000000004</v>
      </c>
      <c r="AE170" s="295"/>
      <c r="AF170" s="295"/>
      <c r="AG170" s="296"/>
      <c r="AH170" s="296"/>
      <c r="AI170" s="296"/>
      <c r="AJ170" s="295"/>
      <c r="AK170" s="295"/>
      <c r="AL170" s="295"/>
      <c r="AM170" s="295"/>
    </row>
    <row r="171" spans="1:39" ht="38.25" x14ac:dyDescent="0.25">
      <c r="A171" s="232">
        <f t="shared" si="66"/>
        <v>171</v>
      </c>
      <c r="B171" s="232"/>
      <c r="C171" s="307" t="str">
        <f t="shared" si="88"/>
        <v>10.4</v>
      </c>
      <c r="D171" s="308">
        <f t="shared" si="89"/>
        <v>3</v>
      </c>
      <c r="E171" s="309" t="str">
        <f t="shared" si="90"/>
        <v>10.4.3</v>
      </c>
      <c r="F171" s="310">
        <v>90850</v>
      </c>
      <c r="G171" s="311" t="str">
        <f>IF($F171="","",IFERROR(VLOOKUP($F171,SERVIÇOS!$B:$G,2,0),IFERROR(VLOOKUP($F171,'COMPOSIÇÕES COMPLEMENTARES '!$D:$L,2,0),IFERROR(VLOOKUP($F171,INSUMOS!$A:$D,2,0),""))))</f>
        <v>KIT DE PORTA DE MADEIRA PARA PINTURA, SEMI-OCA (LEVE OU MÉDIA), PADRÃO MÉDIO, 90X210CM, ESPESSURA DE 3,5CM, ITENS INCLUSOS: DOBRADIÇAS, MONTAGEM E INSTALAÇÃO DO BATENTE, SEM FECHADURA - FORNECIMENTO E INSTALAÇÃO. AF_12/2019</v>
      </c>
      <c r="H171" s="312" t="str">
        <f>IF($F171="","",IFERROR(VLOOKUP($F171,SERVIÇOS!$B:$G,3,0),IFERROR(VLOOKUP($F171,'COMPOSIÇÕES COMPLEMENTARES '!$D:$L,3,0),IFERROR(VLOOKUP($F171,INSUMOS!$A:$D,3,0),""))))</f>
        <v>UN</v>
      </c>
      <c r="I171" s="313">
        <v>2</v>
      </c>
      <c r="J171" s="314">
        <f>IF($F171="","",IFERROR(VLOOKUP($F171,SERVIÇOS!$B:$G,4,0),IFERROR(VLOOKUP($F171,'COMPOSIÇÕES COMPLEMENTARES '!$D:$L,6,0),IFERROR(VLOOKUP($F171,INSUMOS!$A:$D,4,0),""))))</f>
        <v>945.61</v>
      </c>
      <c r="K171" s="314">
        <f>IF($F171="","",IFERROR(VLOOKUP($F171,SERVIÇOS!$B:$G,5,0),IFERROR(VLOOKUP($F171,'COMPOSIÇÕES COMPLEMENTARES '!$D:$L,7,0),0)))</f>
        <v>255.92</v>
      </c>
      <c r="L171" s="314">
        <f t="shared" si="91"/>
        <v>1201.53</v>
      </c>
      <c r="M171" s="314">
        <f t="shared" si="92"/>
        <v>1891.22</v>
      </c>
      <c r="N171" s="314">
        <f t="shared" si="93"/>
        <v>511.84</v>
      </c>
      <c r="O171" s="314">
        <f t="shared" si="94"/>
        <v>2403.06</v>
      </c>
      <c r="P171" s="314"/>
      <c r="Q171" s="315"/>
      <c r="R171" s="315"/>
      <c r="S171" s="286"/>
      <c r="T171" s="287"/>
      <c r="U171" s="288" t="str">
        <f t="shared" si="74"/>
        <v/>
      </c>
      <c r="V171" s="287"/>
      <c r="W171" s="289" t="str">
        <f t="shared" si="75"/>
        <v/>
      </c>
      <c r="X171" s="287"/>
      <c r="Y171" s="290" t="str">
        <f t="shared" si="76"/>
        <v/>
      </c>
      <c r="Z171" s="291">
        <f ca="1">SUMIF($T$8:Y$1018,"QUANT.",T171:Y171)</f>
        <v>0</v>
      </c>
      <c r="AA171" s="292">
        <f t="shared" ca="1" si="77"/>
        <v>0</v>
      </c>
      <c r="AB171" s="293" t="str">
        <f t="shared" ca="1" si="78"/>
        <v>MEDIR</v>
      </c>
      <c r="AC171" s="294">
        <f t="shared" ca="1" si="79"/>
        <v>2</v>
      </c>
      <c r="AD171" s="294">
        <f t="shared" ca="1" si="80"/>
        <v>2403.06</v>
      </c>
      <c r="AE171" s="295"/>
      <c r="AF171" s="295"/>
      <c r="AG171" s="296"/>
      <c r="AH171" s="296"/>
      <c r="AI171" s="296"/>
      <c r="AJ171" s="295"/>
      <c r="AK171" s="38"/>
      <c r="AL171" s="38"/>
      <c r="AM171" s="38"/>
    </row>
    <row r="172" spans="1:39" ht="38.25" x14ac:dyDescent="0.25">
      <c r="A172" s="232">
        <f t="shared" si="66"/>
        <v>172</v>
      </c>
      <c r="B172" s="232"/>
      <c r="C172" s="307" t="str">
        <f t="shared" si="88"/>
        <v>10.4</v>
      </c>
      <c r="D172" s="308">
        <f t="shared" si="89"/>
        <v>4</v>
      </c>
      <c r="E172" s="309" t="str">
        <f t="shared" si="90"/>
        <v>10.4.4</v>
      </c>
      <c r="F172" s="310">
        <v>90852</v>
      </c>
      <c r="G172" s="311" t="str">
        <f>IF($F172="","",IFERROR(VLOOKUP($F172,SERVIÇOS!$B:$G,2,0),IFERROR(VLOOKUP($F172,'COMPOSIÇÕES COMPLEMENTARES '!$D:$L,2,0),IFERROR(VLOOKUP($F172,INSUMOS!$A:$D,2,0),""))))</f>
        <v>KIT DE PORTA DE MADEIRA PARA PINTURA, SEMI-OCA (PESADA OU SUPERPESADA), PADRÃO MÉDIO, 90X210CM, ESPESSURA DE 3,5CM, ITENS INCLUSOS: DOBRADIÇAS, MONTAGEM E INSTALAÇÃO DO BATENTE, SEM FECHADURA - FORNECIMENTO E INSTALAÇÃO. AF_12/2019</v>
      </c>
      <c r="H172" s="312" t="str">
        <f>IF($F172="","",IFERROR(VLOOKUP($F172,SERVIÇOS!$B:$G,3,0),IFERROR(VLOOKUP($F172,'COMPOSIÇÕES COMPLEMENTARES '!$D:$L,3,0),IFERROR(VLOOKUP($F172,INSUMOS!$A:$D,3,0),""))))</f>
        <v>UN</v>
      </c>
      <c r="I172" s="313">
        <v>5</v>
      </c>
      <c r="J172" s="314">
        <f>IF($F172="","",IFERROR(VLOOKUP($F172,SERVIÇOS!$B:$G,4,0),IFERROR(VLOOKUP($F172,'COMPOSIÇÕES COMPLEMENTARES '!$D:$L,6,0),IFERROR(VLOOKUP($F172,INSUMOS!$A:$D,4,0),""))))</f>
        <v>1215.69</v>
      </c>
      <c r="K172" s="314">
        <f>IF($F172="","",IFERROR(VLOOKUP($F172,SERVIÇOS!$B:$G,5,0),IFERROR(VLOOKUP($F172,'COMPOSIÇÕES COMPLEMENTARES '!$D:$L,7,0),0)))</f>
        <v>279.06</v>
      </c>
      <c r="L172" s="314">
        <f t="shared" si="91"/>
        <v>1494.75</v>
      </c>
      <c r="M172" s="314">
        <f t="shared" si="92"/>
        <v>6078.45</v>
      </c>
      <c r="N172" s="314">
        <f t="shared" si="93"/>
        <v>1395.3</v>
      </c>
      <c r="O172" s="314">
        <f t="shared" si="94"/>
        <v>7473.75</v>
      </c>
      <c r="P172" s="314"/>
      <c r="Q172" s="315"/>
      <c r="R172" s="315"/>
      <c r="S172" s="286"/>
      <c r="T172" s="287"/>
      <c r="U172" s="288" t="str">
        <f t="shared" si="74"/>
        <v/>
      </c>
      <c r="V172" s="287"/>
      <c r="W172" s="289" t="str">
        <f t="shared" si="75"/>
        <v/>
      </c>
      <c r="X172" s="287"/>
      <c r="Y172" s="290" t="str">
        <f t="shared" si="76"/>
        <v/>
      </c>
      <c r="Z172" s="291">
        <f ca="1">SUMIF($T$8:Y$1018,"QUANT.",T172:Y172)</f>
        <v>0</v>
      </c>
      <c r="AA172" s="292">
        <f t="shared" ca="1" si="77"/>
        <v>0</v>
      </c>
      <c r="AB172" s="293" t="str">
        <f t="shared" ca="1" si="78"/>
        <v>MEDIR</v>
      </c>
      <c r="AC172" s="294">
        <f t="shared" ca="1" si="79"/>
        <v>5</v>
      </c>
      <c r="AD172" s="294">
        <f t="shared" ca="1" si="80"/>
        <v>7473.75</v>
      </c>
      <c r="AE172" s="295"/>
      <c r="AF172" s="295"/>
      <c r="AG172" s="296"/>
      <c r="AH172" s="296"/>
      <c r="AI172" s="296"/>
      <c r="AJ172" s="295"/>
      <c r="AK172" s="295"/>
      <c r="AL172" s="295"/>
      <c r="AM172" s="295"/>
    </row>
    <row r="173" spans="1:39" ht="25.5" x14ac:dyDescent="0.25">
      <c r="A173" s="232">
        <f t="shared" si="66"/>
        <v>173</v>
      </c>
      <c r="B173" s="232"/>
      <c r="C173" s="307" t="str">
        <f t="shared" si="88"/>
        <v>10.4</v>
      </c>
      <c r="D173" s="308">
        <f t="shared" si="89"/>
        <v>5</v>
      </c>
      <c r="E173" s="309" t="str">
        <f t="shared" si="90"/>
        <v>10.4.5</v>
      </c>
      <c r="F173" s="310" t="s">
        <v>12022</v>
      </c>
      <c r="G173" s="311" t="str">
        <f>IF($F173="","",IFERROR(VLOOKUP($F173,SERVIÇOS!$B:$G,2,0),IFERROR(VLOOKUP($F173,'COMPOSIÇÕES COMPLEMENTARES '!$D:$L,2,0),IFERROR(VLOOKUP($F173,INSUMOS!$A:$D,2,0),""))))</f>
        <v>PORTA COMPLETA DE MADEIRA PARA PINTURA, FOLHA MÉDIA, 01 FOLHA DE CORRER, 90X210CM, INCLUSO BATENTES, FERRAGENS E FECHADURA</v>
      </c>
      <c r="H173" s="312" t="str">
        <f>IF($F173="","",IFERROR(VLOOKUP($F173,SERVIÇOS!$B:$G,3,0),IFERROR(VLOOKUP($F173,'COMPOSIÇÕES COMPLEMENTARES '!$D:$L,3,0),IFERROR(VLOOKUP($F173,INSUMOS!$A:$D,3,0),""))))</f>
        <v>UN</v>
      </c>
      <c r="I173" s="313">
        <v>2</v>
      </c>
      <c r="J173" s="314">
        <f>IF($F173="","",IFERROR(VLOOKUP($F173,SERVIÇOS!$B:$G,4,0),IFERROR(VLOOKUP($F173,'COMPOSIÇÕES COMPLEMENTARES '!$D:$L,6,0),IFERROR(VLOOKUP($F173,INSUMOS!$A:$D,4,0),""))))</f>
        <v>1238.55</v>
      </c>
      <c r="K173" s="314">
        <f>IF($F173="","",IFERROR(VLOOKUP($F173,SERVIÇOS!$B:$G,5,0),IFERROR(VLOOKUP($F173,'COMPOSIÇÕES COMPLEMENTARES '!$D:$L,7,0),0)))</f>
        <v>506.75</v>
      </c>
      <c r="L173" s="314">
        <f t="shared" si="91"/>
        <v>1745.3</v>
      </c>
      <c r="M173" s="314">
        <f t="shared" si="92"/>
        <v>2477.1</v>
      </c>
      <c r="N173" s="314">
        <f t="shared" si="93"/>
        <v>1013.5</v>
      </c>
      <c r="O173" s="314">
        <f t="shared" si="94"/>
        <v>3490.6</v>
      </c>
      <c r="P173" s="314"/>
      <c r="Q173" s="315"/>
      <c r="R173" s="315"/>
      <c r="S173" s="286"/>
      <c r="T173" s="287"/>
      <c r="U173" s="288" t="str">
        <f t="shared" si="74"/>
        <v/>
      </c>
      <c r="V173" s="287"/>
      <c r="W173" s="289" t="str">
        <f t="shared" si="75"/>
        <v/>
      </c>
      <c r="X173" s="287"/>
      <c r="Y173" s="290" t="str">
        <f t="shared" si="76"/>
        <v/>
      </c>
      <c r="Z173" s="291">
        <f ca="1">SUMIF($T$8:Y$1018,"QUANT.",T173:Y173)</f>
        <v>0</v>
      </c>
      <c r="AA173" s="292">
        <f t="shared" ca="1" si="77"/>
        <v>0</v>
      </c>
      <c r="AB173" s="293" t="str">
        <f t="shared" ca="1" si="78"/>
        <v>MEDIR</v>
      </c>
      <c r="AC173" s="294">
        <f t="shared" ca="1" si="79"/>
        <v>2</v>
      </c>
      <c r="AD173" s="294">
        <f t="shared" ca="1" si="80"/>
        <v>3490.6</v>
      </c>
      <c r="AE173" s="295"/>
      <c r="AF173" s="295"/>
      <c r="AG173" s="296"/>
      <c r="AH173" s="296"/>
      <c r="AI173" s="296"/>
      <c r="AJ173" s="295"/>
      <c r="AK173" s="295"/>
      <c r="AL173" s="295"/>
      <c r="AM173" s="295"/>
    </row>
    <row r="174" spans="1:39" ht="25.5" x14ac:dyDescent="0.25">
      <c r="A174" s="232">
        <f t="shared" si="66"/>
        <v>174</v>
      </c>
      <c r="B174" s="232"/>
      <c r="C174" s="307" t="str">
        <f t="shared" si="88"/>
        <v>10.4</v>
      </c>
      <c r="D174" s="308">
        <f t="shared" si="89"/>
        <v>6</v>
      </c>
      <c r="E174" s="309" t="str">
        <f t="shared" si="90"/>
        <v>10.4.6</v>
      </c>
      <c r="F174" s="310" t="s">
        <v>12023</v>
      </c>
      <c r="G174" s="311" t="str">
        <f>IF($F174="","",IFERROR(VLOOKUP($F174,SERVIÇOS!$B:$G,2,0),IFERROR(VLOOKUP($F174,'COMPOSIÇÕES COMPLEMENTARES '!$D:$L,2,0),IFERROR(VLOOKUP($F174,INSUMOS!$A:$D,2,0),""))))</f>
        <v>PORTA COMPLETA DE MADEIRA PARA PINTURA, FOLHA PESADA, 01 FOLHA DE CORRER, 90X210CM, INCLUSO BATENTES, FERRAGENS E FECHADURA</v>
      </c>
      <c r="H174" s="312" t="str">
        <f>IF($F174="","",IFERROR(VLOOKUP($F174,SERVIÇOS!$B:$G,3,0),IFERROR(VLOOKUP($F174,'COMPOSIÇÕES COMPLEMENTARES '!$D:$L,3,0),IFERROR(VLOOKUP($F174,INSUMOS!$A:$D,3,0),""))))</f>
        <v>UN</v>
      </c>
      <c r="I174" s="313">
        <v>1</v>
      </c>
      <c r="J174" s="314">
        <f>IF($F174="","",IFERROR(VLOOKUP($F174,SERVIÇOS!$B:$G,4,0),IFERROR(VLOOKUP($F174,'COMPOSIÇÕES COMPLEMENTARES '!$D:$L,6,0),IFERROR(VLOOKUP($F174,INSUMOS!$A:$D,4,0),""))))</f>
        <v>1456.2</v>
      </c>
      <c r="K174" s="314">
        <f>IF($F174="","",IFERROR(VLOOKUP($F174,SERVIÇOS!$B:$G,5,0),IFERROR(VLOOKUP($F174,'COMPOSIÇÕES COMPLEMENTARES '!$D:$L,7,0),0)))</f>
        <v>506.75</v>
      </c>
      <c r="L174" s="314">
        <f t="shared" si="91"/>
        <v>1962.95</v>
      </c>
      <c r="M174" s="314">
        <f t="shared" si="92"/>
        <v>1456.2</v>
      </c>
      <c r="N174" s="314">
        <f t="shared" si="93"/>
        <v>506.75</v>
      </c>
      <c r="O174" s="314">
        <f t="shared" si="94"/>
        <v>1962.95</v>
      </c>
      <c r="P174" s="314"/>
      <c r="Q174" s="315"/>
      <c r="R174" s="315"/>
      <c r="S174" s="286"/>
      <c r="T174" s="287"/>
      <c r="U174" s="288" t="str">
        <f t="shared" si="74"/>
        <v/>
      </c>
      <c r="V174" s="287"/>
      <c r="W174" s="289" t="str">
        <f t="shared" si="75"/>
        <v/>
      </c>
      <c r="X174" s="287"/>
      <c r="Y174" s="290" t="str">
        <f t="shared" si="76"/>
        <v/>
      </c>
      <c r="Z174" s="291">
        <f ca="1">SUMIF($T$8:Y$1018,"QUANT.",T174:Y174)</f>
        <v>0</v>
      </c>
      <c r="AA174" s="292">
        <f t="shared" ca="1" si="77"/>
        <v>0</v>
      </c>
      <c r="AB174" s="293" t="str">
        <f t="shared" ca="1" si="78"/>
        <v>MEDIR</v>
      </c>
      <c r="AC174" s="294">
        <f t="shared" ca="1" si="79"/>
        <v>1</v>
      </c>
      <c r="AD174" s="294">
        <f t="shared" ca="1" si="80"/>
        <v>1962.95</v>
      </c>
      <c r="AE174" s="295"/>
      <c r="AF174" s="295"/>
      <c r="AG174" s="296"/>
      <c r="AH174" s="296"/>
      <c r="AI174" s="296"/>
      <c r="AJ174" s="295"/>
      <c r="AK174" s="295"/>
      <c r="AL174" s="295"/>
      <c r="AM174" s="295"/>
    </row>
    <row r="175" spans="1:39" ht="38.25" x14ac:dyDescent="0.25">
      <c r="A175" s="232">
        <f t="shared" si="66"/>
        <v>175</v>
      </c>
      <c r="B175" s="232"/>
      <c r="C175" s="307" t="str">
        <f t="shared" si="88"/>
        <v>10.4</v>
      </c>
      <c r="D175" s="308">
        <f t="shared" si="89"/>
        <v>7</v>
      </c>
      <c r="E175" s="309" t="str">
        <f t="shared" si="90"/>
        <v>10.4.7</v>
      </c>
      <c r="F175" s="310" t="s">
        <v>12024</v>
      </c>
      <c r="G175" s="311" t="str">
        <f>IF($F175="","",IFERROR(VLOOKUP($F175,SERVIÇOS!$B:$G,2,0),IFERROR(VLOOKUP($F175,'COMPOSIÇÕES COMPLEMENTARES '!$D:$L,2,0),IFERROR(VLOOKUP($F175,INSUMOS!$A:$D,2,0),""))))</f>
        <v>KIT DE PORTA DE MADEIRA PARA PINTURA, SEMI-OCA (LEVE OU MÉDIA), PADRÃO MÉDIO, 120X210CM, ESPESSURA DE 3,5CM, ITENS INCLUSOS: DOBRADIÇAS, MONTAGEM E INSTALAÇÃO DO BATENTE, SEM FECHADURA - FORNECIMENTO E INSTALAÇÃO</v>
      </c>
      <c r="H175" s="312" t="str">
        <f>IF($F175="","",IFERROR(VLOOKUP($F175,SERVIÇOS!$B:$G,3,0),IFERROR(VLOOKUP($F175,'COMPOSIÇÕES COMPLEMENTARES '!$D:$L,3,0),IFERROR(VLOOKUP($F175,INSUMOS!$A:$D,3,0),""))))</f>
        <v>UN</v>
      </c>
      <c r="I175" s="313">
        <v>5</v>
      </c>
      <c r="J175" s="314">
        <f>IF($F175="","",IFERROR(VLOOKUP($F175,SERVIÇOS!$B:$G,4,0),IFERROR(VLOOKUP($F175,'COMPOSIÇÕES COMPLEMENTARES '!$D:$L,6,0),IFERROR(VLOOKUP($F175,INSUMOS!$A:$D,4,0),""))))</f>
        <v>1104.43</v>
      </c>
      <c r="K175" s="314">
        <f>IF($F175="","",IFERROR(VLOOKUP($F175,SERVIÇOS!$B:$G,5,0),IFERROR(VLOOKUP($F175,'COMPOSIÇÕES COMPLEMENTARES '!$D:$L,7,0),0)))</f>
        <v>277.18</v>
      </c>
      <c r="L175" s="314">
        <f t="shared" si="91"/>
        <v>1381.6100000000001</v>
      </c>
      <c r="M175" s="314">
        <f t="shared" si="92"/>
        <v>5522.15</v>
      </c>
      <c r="N175" s="314">
        <f t="shared" si="93"/>
        <v>1385.9</v>
      </c>
      <c r="O175" s="314">
        <f t="shared" si="94"/>
        <v>6908.05</v>
      </c>
      <c r="P175" s="314"/>
      <c r="Q175" s="315"/>
      <c r="R175" s="315"/>
      <c r="S175" s="286"/>
      <c r="T175" s="287"/>
      <c r="U175" s="288" t="str">
        <f t="shared" si="74"/>
        <v/>
      </c>
      <c r="V175" s="287"/>
      <c r="W175" s="289" t="str">
        <f t="shared" si="75"/>
        <v/>
      </c>
      <c r="X175" s="287"/>
      <c r="Y175" s="290" t="str">
        <f t="shared" si="76"/>
        <v/>
      </c>
      <c r="Z175" s="291">
        <f ca="1">SUMIF($T$8:Y$1018,"QUANT.",T175:Y175)</f>
        <v>0</v>
      </c>
      <c r="AA175" s="292">
        <f t="shared" ca="1" si="77"/>
        <v>0</v>
      </c>
      <c r="AB175" s="293" t="str">
        <f t="shared" ca="1" si="78"/>
        <v>MEDIR</v>
      </c>
      <c r="AC175" s="294">
        <f t="shared" ca="1" si="79"/>
        <v>5</v>
      </c>
      <c r="AD175" s="294">
        <f t="shared" ca="1" si="80"/>
        <v>6908.05</v>
      </c>
      <c r="AE175" s="295"/>
      <c r="AF175" s="295"/>
      <c r="AG175" s="296"/>
      <c r="AH175" s="296"/>
      <c r="AI175" s="296"/>
      <c r="AJ175" s="295"/>
      <c r="AK175" s="295"/>
      <c r="AL175" s="295"/>
      <c r="AM175" s="295"/>
    </row>
    <row r="176" spans="1:39" x14ac:dyDescent="0.25">
      <c r="A176" s="232">
        <f t="shared" si="66"/>
        <v>176</v>
      </c>
      <c r="B176" s="232"/>
      <c r="C176" s="307" t="str">
        <f t="shared" si="88"/>
        <v>10.4</v>
      </c>
      <c r="D176" s="308">
        <f t="shared" si="89"/>
        <v>8</v>
      </c>
      <c r="E176" s="309" t="str">
        <f t="shared" si="90"/>
        <v>10.4.8</v>
      </c>
      <c r="F176" s="310" t="s">
        <v>12025</v>
      </c>
      <c r="G176" s="311" t="str">
        <f>IF($F176="","",IFERROR(VLOOKUP($F176,SERVIÇOS!$B:$G,2,0),IFERROR(VLOOKUP($F176,'COMPOSIÇÕES COMPLEMENTARES '!$D:$L,2,0),IFERROR(VLOOKUP($F176,INSUMOS!$A:$D,2,0),""))))</f>
        <v>PORTA COMPLETA DE MADEIRA, 02 FOLHAS DE ABRIR, 1,20(80+40)X210CM, COM PROTEÇÃO CHUMBO</v>
      </c>
      <c r="H176" s="312" t="str">
        <f>IF($F176="","",IFERROR(VLOOKUP($F176,SERVIÇOS!$B:$G,3,0),IFERROR(VLOOKUP($F176,'COMPOSIÇÕES COMPLEMENTARES '!$D:$L,3,0),IFERROR(VLOOKUP($F176,INSUMOS!$A:$D,3,0),""))))</f>
        <v>UN</v>
      </c>
      <c r="I176" s="313">
        <v>1</v>
      </c>
      <c r="J176" s="314">
        <f>IF($F176="","",IFERROR(VLOOKUP($F176,SERVIÇOS!$B:$G,4,0),IFERROR(VLOOKUP($F176,'COMPOSIÇÕES COMPLEMENTARES '!$D:$L,6,0),IFERROR(VLOOKUP($F176,INSUMOS!$A:$D,4,0),""))))</f>
        <v>4693.3999999999996</v>
      </c>
      <c r="K176" s="314">
        <f>IF($F176="","",IFERROR(VLOOKUP($F176,SERVIÇOS!$B:$G,5,0),IFERROR(VLOOKUP($F176,'COMPOSIÇÕES COMPLEMENTARES '!$D:$L,7,0),0)))</f>
        <v>243.3</v>
      </c>
      <c r="L176" s="314">
        <f t="shared" si="91"/>
        <v>4936.7</v>
      </c>
      <c r="M176" s="314">
        <f t="shared" si="92"/>
        <v>4693.3999999999996</v>
      </c>
      <c r="N176" s="314">
        <f t="shared" si="93"/>
        <v>243.3</v>
      </c>
      <c r="O176" s="314">
        <f t="shared" si="94"/>
        <v>4936.7</v>
      </c>
      <c r="P176" s="314"/>
      <c r="Q176" s="315"/>
      <c r="R176" s="315"/>
      <c r="S176" s="286"/>
      <c r="T176" s="287"/>
      <c r="U176" s="288" t="str">
        <f t="shared" si="74"/>
        <v/>
      </c>
      <c r="V176" s="287"/>
      <c r="W176" s="289" t="str">
        <f t="shared" si="75"/>
        <v/>
      </c>
      <c r="X176" s="287"/>
      <c r="Y176" s="290" t="str">
        <f t="shared" si="76"/>
        <v/>
      </c>
      <c r="Z176" s="291">
        <f ca="1">SUMIF($T$8:Y$1018,"QUANT.",T176:Y176)</f>
        <v>0</v>
      </c>
      <c r="AA176" s="292">
        <f t="shared" ca="1" si="77"/>
        <v>0</v>
      </c>
      <c r="AB176" s="293" t="str">
        <f t="shared" ca="1" si="78"/>
        <v>MEDIR</v>
      </c>
      <c r="AC176" s="294">
        <f t="shared" ca="1" si="79"/>
        <v>1</v>
      </c>
      <c r="AD176" s="294">
        <f t="shared" ca="1" si="80"/>
        <v>4936.7</v>
      </c>
      <c r="AE176" s="295"/>
      <c r="AF176" s="295"/>
      <c r="AG176" s="296"/>
      <c r="AH176" s="296"/>
      <c r="AI176" s="296"/>
      <c r="AJ176" s="295"/>
      <c r="AK176" s="295"/>
      <c r="AL176" s="295"/>
      <c r="AM176" s="295"/>
    </row>
    <row r="177" spans="1:39" x14ac:dyDescent="0.25">
      <c r="A177" s="232">
        <f t="shared" si="66"/>
        <v>177</v>
      </c>
      <c r="B177" s="232"/>
      <c r="C177" s="307" t="str">
        <f t="shared" si="88"/>
        <v>10.4</v>
      </c>
      <c r="D177" s="308">
        <f t="shared" si="89"/>
        <v>9</v>
      </c>
      <c r="E177" s="309" t="str">
        <f t="shared" si="90"/>
        <v>10.4.9</v>
      </c>
      <c r="F177" s="310" t="s">
        <v>12026</v>
      </c>
      <c r="G177" s="311" t="str">
        <f>IF($F177="","",IFERROR(VLOOKUP($F177,SERVIÇOS!$B:$G,2,0),IFERROR(VLOOKUP($F177,'COMPOSIÇÕES COMPLEMENTARES '!$D:$L,2,0),IFERROR(VLOOKUP($F177,INSUMOS!$A:$D,2,0),""))))</f>
        <v>PORTA COMPLETA DE MADEIRA, 01 FOLHA DE ABRIR, 90X210CM, COM VISOR, COM PROTEÇÃO CHUMBO</v>
      </c>
      <c r="H177" s="312" t="str">
        <f>IF($F177="","",IFERROR(VLOOKUP($F177,SERVIÇOS!$B:$G,3,0),IFERROR(VLOOKUP($F177,'COMPOSIÇÕES COMPLEMENTARES '!$D:$L,3,0),IFERROR(VLOOKUP($F177,INSUMOS!$A:$D,3,0),""))))</f>
        <v>UN</v>
      </c>
      <c r="I177" s="313">
        <v>1</v>
      </c>
      <c r="J177" s="314">
        <f>IF($F177="","",IFERROR(VLOOKUP($F177,SERVIÇOS!$B:$G,4,0),IFERROR(VLOOKUP($F177,'COMPOSIÇÕES COMPLEMENTARES '!$D:$L,6,0),IFERROR(VLOOKUP($F177,INSUMOS!$A:$D,4,0),""))))</f>
        <v>3520.05</v>
      </c>
      <c r="K177" s="314">
        <f>IF($F177="","",IFERROR(VLOOKUP($F177,SERVIÇOS!$B:$G,5,0),IFERROR(VLOOKUP($F177,'COMPOSIÇÕES COMPLEMENTARES '!$D:$L,7,0),0)))</f>
        <v>182.47</v>
      </c>
      <c r="L177" s="314">
        <f t="shared" si="91"/>
        <v>3702.52</v>
      </c>
      <c r="M177" s="314">
        <f t="shared" si="92"/>
        <v>3520.05</v>
      </c>
      <c r="N177" s="314">
        <f t="shared" si="93"/>
        <v>182.47</v>
      </c>
      <c r="O177" s="314">
        <f t="shared" si="94"/>
        <v>3702.52</v>
      </c>
      <c r="P177" s="314"/>
      <c r="Q177" s="315"/>
      <c r="R177" s="315"/>
      <c r="S177" s="286"/>
      <c r="T177" s="287"/>
      <c r="U177" s="288" t="str">
        <f t="shared" si="74"/>
        <v/>
      </c>
      <c r="V177" s="287"/>
      <c r="W177" s="289" t="str">
        <f t="shared" si="75"/>
        <v/>
      </c>
      <c r="X177" s="287"/>
      <c r="Y177" s="290" t="str">
        <f t="shared" si="76"/>
        <v/>
      </c>
      <c r="Z177" s="291">
        <f ca="1">SUMIF($T$8:Y$1018,"QUANT.",T177:Y177)</f>
        <v>0</v>
      </c>
      <c r="AA177" s="292">
        <f t="shared" ca="1" si="77"/>
        <v>0</v>
      </c>
      <c r="AB177" s="293" t="str">
        <f t="shared" ca="1" si="78"/>
        <v>MEDIR</v>
      </c>
      <c r="AC177" s="294">
        <f t="shared" ca="1" si="79"/>
        <v>1</v>
      </c>
      <c r="AD177" s="294">
        <f t="shared" ca="1" si="80"/>
        <v>3702.52</v>
      </c>
      <c r="AE177" s="295"/>
      <c r="AF177" s="295"/>
      <c r="AG177" s="296"/>
      <c r="AH177" s="296"/>
      <c r="AI177" s="296"/>
      <c r="AJ177" s="295"/>
      <c r="AK177" s="295"/>
      <c r="AL177" s="295"/>
      <c r="AM177" s="295"/>
    </row>
    <row r="178" spans="1:39" x14ac:dyDescent="0.25">
      <c r="A178" s="232">
        <f t="shared" si="66"/>
        <v>178</v>
      </c>
      <c r="B178" s="232"/>
      <c r="C178" s="316" t="str">
        <f>+E178</f>
        <v>10.5</v>
      </c>
      <c r="D178" s="297"/>
      <c r="E178" s="317" t="s">
        <v>12027</v>
      </c>
      <c r="F178" s="317"/>
      <c r="G178" s="318" t="s">
        <v>12028</v>
      </c>
      <c r="H178" s="317"/>
      <c r="I178" s="319"/>
      <c r="J178" s="317"/>
      <c r="K178" s="317"/>
      <c r="L178" s="317"/>
      <c r="M178" s="317"/>
      <c r="N178" s="317"/>
      <c r="O178" s="317"/>
      <c r="P178" s="317"/>
      <c r="Q178" s="320"/>
      <c r="R178" s="306"/>
      <c r="S178" s="286"/>
      <c r="T178" s="287"/>
      <c r="U178" s="288" t="str">
        <f t="shared" si="74"/>
        <v/>
      </c>
      <c r="V178" s="287"/>
      <c r="W178" s="289" t="str">
        <f t="shared" si="75"/>
        <v/>
      </c>
      <c r="X178" s="287"/>
      <c r="Y178" s="290" t="str">
        <f t="shared" si="76"/>
        <v/>
      </c>
      <c r="Z178" s="291">
        <f ca="1">SUMIF($T$8:Y$1018,"QUANT.",T178:Y178)</f>
        <v>0</v>
      </c>
      <c r="AA178" s="292">
        <f t="shared" ca="1" si="77"/>
        <v>0</v>
      </c>
      <c r="AB178" s="293" t="str">
        <f t="shared" si="78"/>
        <v/>
      </c>
      <c r="AC178" s="294">
        <f t="shared" ca="1" si="79"/>
        <v>0</v>
      </c>
      <c r="AD178" s="294">
        <f t="shared" ca="1" si="80"/>
        <v>0</v>
      </c>
      <c r="AE178" s="295"/>
      <c r="AF178" s="295"/>
      <c r="AG178" s="296"/>
      <c r="AH178" s="296"/>
      <c r="AI178" s="296"/>
      <c r="AJ178" s="295"/>
      <c r="AK178" s="295"/>
      <c r="AL178" s="295"/>
      <c r="AM178" s="295"/>
    </row>
    <row r="179" spans="1:39" ht="25.5" x14ac:dyDescent="0.25">
      <c r="A179" s="232">
        <f t="shared" si="66"/>
        <v>179</v>
      </c>
      <c r="B179" s="232"/>
      <c r="C179" s="307" t="str">
        <f>+C178</f>
        <v>10.5</v>
      </c>
      <c r="D179" s="308">
        <f>1+D178</f>
        <v>1</v>
      </c>
      <c r="E179" s="309" t="str">
        <f>C179&amp;"."&amp;D179</f>
        <v>10.5.1</v>
      </c>
      <c r="F179" s="310">
        <v>90830</v>
      </c>
      <c r="G179" s="311" t="str">
        <f>IF($F179="","",IFERROR(VLOOKUP($F179,SERVIÇOS!$B:$G,2,0),IFERROR(VLOOKUP($F179,'COMPOSIÇÕES COMPLEMENTARES '!$D:$L,2,0),IFERROR(VLOOKUP($F179,INSUMOS!$A:$D,2,0),""))))</f>
        <v>FECHADURA DE EMBUTIR COM CILINDRO, EXTERNA, COMPLETA, ACABAMENTO PADRÃO MÉDIO, INCLUSO EXECUÇÃO DE FURO - FORNECIMENTO E INSTALAÇÃO. AF_12/2019</v>
      </c>
      <c r="H179" s="312" t="str">
        <f>IF($F179="","",IFERROR(VLOOKUP($F179,SERVIÇOS!$B:$G,3,0),IFERROR(VLOOKUP($F179,'COMPOSIÇÕES COMPLEMENTARES '!$D:$L,3,0),IFERROR(VLOOKUP($F179,INSUMOS!$A:$D,3,0),""))))</f>
        <v>UN</v>
      </c>
      <c r="I179" s="313">
        <v>37</v>
      </c>
      <c r="J179" s="314">
        <f>IF($F179="","",IFERROR(VLOOKUP($F179,SERVIÇOS!$B:$G,4,0),IFERROR(VLOOKUP($F179,'COMPOSIÇÕES COMPLEMENTARES '!$D:$L,6,0),IFERROR(VLOOKUP($F179,INSUMOS!$A:$D,4,0),""))))</f>
        <v>148.69</v>
      </c>
      <c r="K179" s="314">
        <f>IF($F179="","",IFERROR(VLOOKUP($F179,SERVIÇOS!$B:$G,5,0),IFERROR(VLOOKUP($F179,'COMPOSIÇÕES COMPLEMENTARES '!$D:$L,7,0),0)))</f>
        <v>35.67</v>
      </c>
      <c r="L179" s="314">
        <f>IF(I179="","",J179+K179)</f>
        <v>184.36</v>
      </c>
      <c r="M179" s="314">
        <f>IF(I179="","",TRUNC((I179*J179),2))</f>
        <v>5501.53</v>
      </c>
      <c r="N179" s="314">
        <f>IF(I179="","",TRUNC((I179*K179),2))</f>
        <v>1319.79</v>
      </c>
      <c r="O179" s="314">
        <f>IF(I179="","",TRUNC((M179+N179),2))</f>
        <v>6821.32</v>
      </c>
      <c r="P179" s="314"/>
      <c r="Q179" s="315"/>
      <c r="R179" s="315"/>
      <c r="S179" s="286"/>
      <c r="T179" s="287"/>
      <c r="U179" s="288" t="str">
        <f t="shared" si="74"/>
        <v/>
      </c>
      <c r="V179" s="287"/>
      <c r="W179" s="289" t="str">
        <f t="shared" si="75"/>
        <v/>
      </c>
      <c r="X179" s="287"/>
      <c r="Y179" s="290" t="str">
        <f t="shared" si="76"/>
        <v/>
      </c>
      <c r="Z179" s="291">
        <f ca="1">SUMIF($T$8:Y$1018,"QUANT.",T179:Y179)</f>
        <v>0</v>
      </c>
      <c r="AA179" s="292">
        <f t="shared" ca="1" si="77"/>
        <v>0</v>
      </c>
      <c r="AB179" s="293" t="str">
        <f t="shared" ca="1" si="78"/>
        <v>MEDIR</v>
      </c>
      <c r="AC179" s="294">
        <f t="shared" ca="1" si="79"/>
        <v>37</v>
      </c>
      <c r="AD179" s="294">
        <f t="shared" ca="1" si="80"/>
        <v>6821.32</v>
      </c>
      <c r="AE179" s="295"/>
      <c r="AF179" s="295"/>
      <c r="AG179" s="296"/>
      <c r="AH179" s="296"/>
      <c r="AI179" s="296"/>
      <c r="AJ179" s="295"/>
      <c r="AK179" s="295"/>
      <c r="AL179" s="295"/>
      <c r="AM179" s="295"/>
    </row>
    <row r="180" spans="1:39" x14ac:dyDescent="0.25">
      <c r="A180" s="232">
        <f t="shared" si="66"/>
        <v>180</v>
      </c>
      <c r="B180" s="232"/>
      <c r="C180" s="307" t="str">
        <f>+C179</f>
        <v>10.5</v>
      </c>
      <c r="D180" s="308">
        <f>1+D179</f>
        <v>2</v>
      </c>
      <c r="E180" s="309" t="str">
        <f>C180&amp;"."&amp;D180</f>
        <v>10.5.2</v>
      </c>
      <c r="F180" s="310">
        <v>100705</v>
      </c>
      <c r="G180" s="311" t="str">
        <f>IF($F180="","",IFERROR(VLOOKUP($F180,SERVIÇOS!$B:$G,2,0),IFERROR(VLOOKUP($F180,'COMPOSIÇÕES COMPLEMENTARES '!$D:$L,2,0),IFERROR(VLOOKUP($F180,INSUMOS!$A:$D,2,0),""))))</f>
        <v>TARJETA TIPO LIVRE/OCUPADO PARA PORTA DE BANHEIRO. AF_12/2019</v>
      </c>
      <c r="H180" s="312" t="str">
        <f>IF($F180="","",IFERROR(VLOOKUP($F180,SERVIÇOS!$B:$G,3,0),IFERROR(VLOOKUP($F180,'COMPOSIÇÕES COMPLEMENTARES '!$D:$L,3,0),IFERROR(VLOOKUP($F180,INSUMOS!$A:$D,3,0),""))))</f>
        <v>UN</v>
      </c>
      <c r="I180" s="313">
        <v>4</v>
      </c>
      <c r="J180" s="314">
        <f>IF($F180="","",IFERROR(VLOOKUP($F180,SERVIÇOS!$B:$G,4,0),IFERROR(VLOOKUP($F180,'COMPOSIÇÕES COMPLEMENTARES '!$D:$L,6,0),IFERROR(VLOOKUP($F180,INSUMOS!$A:$D,4,0),""))))</f>
        <v>57.13</v>
      </c>
      <c r="K180" s="314">
        <f>IF($F180="","",IFERROR(VLOOKUP($F180,SERVIÇOS!$B:$G,5,0),IFERROR(VLOOKUP($F180,'COMPOSIÇÕES COMPLEMENTARES '!$D:$L,7,0),0)))</f>
        <v>32.54</v>
      </c>
      <c r="L180" s="314">
        <f>IF(I180="","",J180+K180)</f>
        <v>89.67</v>
      </c>
      <c r="M180" s="314">
        <f>IF(I180="","",TRUNC((I180*J180),2))</f>
        <v>228.52</v>
      </c>
      <c r="N180" s="314">
        <f>IF(I180="","",TRUNC((I180*K180),2))</f>
        <v>130.16</v>
      </c>
      <c r="O180" s="314">
        <f>IF(I180="","",TRUNC((M180+N180),2))</f>
        <v>358.68</v>
      </c>
      <c r="P180" s="314"/>
      <c r="Q180" s="315"/>
      <c r="R180" s="315"/>
      <c r="S180" s="286"/>
      <c r="T180" s="287"/>
      <c r="U180" s="288" t="str">
        <f t="shared" si="74"/>
        <v/>
      </c>
      <c r="V180" s="287"/>
      <c r="W180" s="289" t="str">
        <f t="shared" si="75"/>
        <v/>
      </c>
      <c r="X180" s="287"/>
      <c r="Y180" s="290" t="str">
        <f t="shared" si="76"/>
        <v/>
      </c>
      <c r="Z180" s="291">
        <f ca="1">SUMIF($T$8:Y$1018,"QUANT.",T180:Y180)</f>
        <v>0</v>
      </c>
      <c r="AA180" s="292">
        <f t="shared" ca="1" si="77"/>
        <v>0</v>
      </c>
      <c r="AB180" s="293" t="str">
        <f t="shared" ca="1" si="78"/>
        <v>MEDIR</v>
      </c>
      <c r="AC180" s="294">
        <f t="shared" ca="1" si="79"/>
        <v>4</v>
      </c>
      <c r="AD180" s="294">
        <f t="shared" ca="1" si="80"/>
        <v>358.68</v>
      </c>
      <c r="AE180" s="295"/>
      <c r="AF180" s="295"/>
      <c r="AG180" s="296"/>
      <c r="AH180" s="296"/>
      <c r="AI180" s="296"/>
      <c r="AJ180" s="295"/>
      <c r="AK180" s="295"/>
      <c r="AL180" s="295"/>
      <c r="AM180" s="295"/>
    </row>
    <row r="181" spans="1:39" x14ac:dyDescent="0.25">
      <c r="A181" s="232">
        <f t="shared" si="66"/>
        <v>181</v>
      </c>
      <c r="B181" s="232"/>
      <c r="C181" s="307" t="str">
        <f>+C180</f>
        <v>10.5</v>
      </c>
      <c r="D181" s="308">
        <f>1+D180</f>
        <v>3</v>
      </c>
      <c r="E181" s="309" t="str">
        <f>C181&amp;"."&amp;D181</f>
        <v>10.5.3</v>
      </c>
      <c r="F181" s="310" t="s">
        <v>12029</v>
      </c>
      <c r="G181" s="311" t="str">
        <f>IF($F181="","",IFERROR(VLOOKUP($F181,SERVIÇOS!$B:$G,2,0),IFERROR(VLOOKUP($F181,'COMPOSIÇÕES COMPLEMENTARES '!$D:$L,2,0),IFERROR(VLOOKUP($F181,INSUMOS!$A:$D,2,0),""))))</f>
        <v>BARRA DE APOIO INSTALADA EM PORTA, EM AÇO INOX, COMPRIMENTO 40CM E D=25MM</v>
      </c>
      <c r="H181" s="312" t="str">
        <f>IF($F181="","",IFERROR(VLOOKUP($F181,SERVIÇOS!$B:$G,3,0),IFERROR(VLOOKUP($F181,'COMPOSIÇÕES COMPLEMENTARES '!$D:$L,3,0),IFERROR(VLOOKUP($F181,INSUMOS!$A:$D,3,0),""))))</f>
        <v xml:space="preserve">UN    </v>
      </c>
      <c r="I181" s="313">
        <v>7</v>
      </c>
      <c r="J181" s="314">
        <f>IF($F181="","",IFERROR(VLOOKUP($F181,SERVIÇOS!$B:$G,4,0),IFERROR(VLOOKUP($F181,'COMPOSIÇÕES COMPLEMENTARES '!$D:$L,6,0),IFERROR(VLOOKUP($F181,INSUMOS!$A:$D,4,0),""))))</f>
        <v>115.83</v>
      </c>
      <c r="K181" s="314">
        <f>IF($F181="","",IFERROR(VLOOKUP($F181,SERVIÇOS!$B:$G,5,0),IFERROR(VLOOKUP($F181,'COMPOSIÇÕES COMPLEMENTARES '!$D:$L,7,0),0)))</f>
        <v>31.93</v>
      </c>
      <c r="L181" s="314">
        <f>IF(I181="","",J181+K181)</f>
        <v>147.76</v>
      </c>
      <c r="M181" s="314">
        <f>IF(I181="","",TRUNC((I181*J181),2))</f>
        <v>810.81</v>
      </c>
      <c r="N181" s="314">
        <f>IF(I181="","",TRUNC((I181*K181),2))</f>
        <v>223.51</v>
      </c>
      <c r="O181" s="314">
        <f>IF(I181="","",TRUNC((M181+N181),2))</f>
        <v>1034.32</v>
      </c>
      <c r="P181" s="314"/>
      <c r="Q181" s="315"/>
      <c r="R181" s="315"/>
      <c r="S181" s="286"/>
      <c r="T181" s="287"/>
      <c r="U181" s="288" t="str">
        <f t="shared" si="74"/>
        <v/>
      </c>
      <c r="V181" s="287"/>
      <c r="W181" s="289" t="str">
        <f t="shared" si="75"/>
        <v/>
      </c>
      <c r="X181" s="287"/>
      <c r="Y181" s="290" t="str">
        <f t="shared" si="76"/>
        <v/>
      </c>
      <c r="Z181" s="291">
        <f ca="1">SUMIF($T$8:Y$1018,"QUANT.",T181:Y181)</f>
        <v>0</v>
      </c>
      <c r="AA181" s="292">
        <f t="shared" ca="1" si="77"/>
        <v>0</v>
      </c>
      <c r="AB181" s="293" t="str">
        <f t="shared" ca="1" si="78"/>
        <v>MEDIR</v>
      </c>
      <c r="AC181" s="294">
        <f t="shared" ca="1" si="79"/>
        <v>7</v>
      </c>
      <c r="AD181" s="294">
        <f t="shared" ca="1" si="80"/>
        <v>1034.32</v>
      </c>
      <c r="AE181" s="295"/>
      <c r="AF181" s="295"/>
      <c r="AG181" s="296"/>
      <c r="AH181" s="296"/>
      <c r="AI181" s="296"/>
      <c r="AJ181" s="295"/>
      <c r="AK181" s="295"/>
      <c r="AL181" s="295"/>
      <c r="AM181" s="295"/>
    </row>
    <row r="182" spans="1:39" x14ac:dyDescent="0.25">
      <c r="A182" s="232">
        <f t="shared" si="66"/>
        <v>182</v>
      </c>
      <c r="B182" s="232"/>
      <c r="C182" s="307" t="str">
        <f>+C181</f>
        <v>10.5</v>
      </c>
      <c r="D182" s="308">
        <f>1+D181</f>
        <v>4</v>
      </c>
      <c r="E182" s="309" t="str">
        <f>C182&amp;"."&amp;D182</f>
        <v>10.5.4</v>
      </c>
      <c r="F182" s="310" t="s">
        <v>12030</v>
      </c>
      <c r="G182" s="311" t="str">
        <f>IF($F182="","",IFERROR(VLOOKUP($F182,SERVIÇOS!$B:$G,2,0),IFERROR(VLOOKUP($F182,'COMPOSIÇÕES COMPLEMENTARES '!$D:$L,2,0),IFERROR(VLOOKUP($F182,INSUMOS!$A:$D,2,0),""))))</f>
        <v>CHAPA  EM AÇO INOX PARA PROTEÇÃO DE PORTA, ESP 1MM - FORNECIMENTO E INSTALAÇÃO</v>
      </c>
      <c r="H182" s="312" t="str">
        <f>IF($F182="","",IFERROR(VLOOKUP($F182,SERVIÇOS!$B:$G,3,0),IFERROR(VLOOKUP($F182,'COMPOSIÇÕES COMPLEMENTARES '!$D:$L,3,0),IFERROR(VLOOKUP($F182,INSUMOS!$A:$D,3,0),""))))</f>
        <v>M2</v>
      </c>
      <c r="I182" s="313">
        <v>5.04</v>
      </c>
      <c r="J182" s="314">
        <f>IF($F182="","",IFERROR(VLOOKUP($F182,SERVIÇOS!$B:$G,4,0),IFERROR(VLOOKUP($F182,'COMPOSIÇÕES COMPLEMENTARES '!$D:$L,6,0),IFERROR(VLOOKUP($F182,INSUMOS!$A:$D,4,0),""))))</f>
        <v>1194.6600000000001</v>
      </c>
      <c r="K182" s="314">
        <f>IF($F182="","",IFERROR(VLOOKUP($F182,SERVIÇOS!$B:$G,5,0),IFERROR(VLOOKUP($F182,'COMPOSIÇÕES COMPLEMENTARES '!$D:$L,7,0),0)))</f>
        <v>0</v>
      </c>
      <c r="L182" s="314">
        <f>IF(I182="","",J182+K182)</f>
        <v>1194.6600000000001</v>
      </c>
      <c r="M182" s="314">
        <f>IF(I182="","",TRUNC((I182*J182),2))</f>
        <v>6021.08</v>
      </c>
      <c r="N182" s="314">
        <f>IF(I182="","",TRUNC((I182*K182),2))</f>
        <v>0</v>
      </c>
      <c r="O182" s="314">
        <f>IF(I182="","",TRUNC((M182+N182),2))</f>
        <v>6021.08</v>
      </c>
      <c r="P182" s="314"/>
      <c r="Q182" s="315"/>
      <c r="R182" s="315"/>
      <c r="S182" s="286"/>
      <c r="T182" s="287"/>
      <c r="U182" s="288" t="str">
        <f t="shared" si="74"/>
        <v/>
      </c>
      <c r="V182" s="287"/>
      <c r="W182" s="289" t="str">
        <f t="shared" si="75"/>
        <v/>
      </c>
      <c r="X182" s="287"/>
      <c r="Y182" s="290" t="str">
        <f t="shared" si="76"/>
        <v/>
      </c>
      <c r="Z182" s="291">
        <f ca="1">SUMIF($T$8:Y$1018,"QUANT.",T182:Y182)</f>
        <v>0</v>
      </c>
      <c r="AA182" s="292">
        <f t="shared" ca="1" si="77"/>
        <v>0</v>
      </c>
      <c r="AB182" s="293" t="str">
        <f t="shared" ca="1" si="78"/>
        <v>MEDIR</v>
      </c>
      <c r="AC182" s="294">
        <f t="shared" ca="1" si="79"/>
        <v>5.04</v>
      </c>
      <c r="AD182" s="294">
        <f t="shared" ca="1" si="80"/>
        <v>6021.08</v>
      </c>
      <c r="AE182" s="295"/>
      <c r="AF182" s="295"/>
      <c r="AG182" s="296"/>
      <c r="AH182" s="296"/>
      <c r="AI182" s="296"/>
      <c r="AJ182" s="295"/>
      <c r="AK182" s="295"/>
      <c r="AL182" s="295"/>
      <c r="AM182" s="295"/>
    </row>
    <row r="183" spans="1:39" x14ac:dyDescent="0.25">
      <c r="A183" s="232">
        <f t="shared" si="66"/>
        <v>183</v>
      </c>
      <c r="B183" s="232"/>
      <c r="C183" s="316" t="str">
        <f>+E183</f>
        <v>10.6</v>
      </c>
      <c r="D183" s="297"/>
      <c r="E183" s="317" t="s">
        <v>12031</v>
      </c>
      <c r="F183" s="317"/>
      <c r="G183" s="318" t="s">
        <v>12032</v>
      </c>
      <c r="H183" s="317"/>
      <c r="I183" s="319"/>
      <c r="J183" s="317"/>
      <c r="K183" s="317"/>
      <c r="L183" s="317"/>
      <c r="M183" s="317"/>
      <c r="N183" s="317"/>
      <c r="O183" s="317"/>
      <c r="P183" s="317"/>
      <c r="Q183" s="320"/>
      <c r="R183" s="306"/>
      <c r="S183" s="286"/>
      <c r="T183" s="287"/>
      <c r="U183" s="288" t="str">
        <f t="shared" si="74"/>
        <v/>
      </c>
      <c r="V183" s="287"/>
      <c r="W183" s="289" t="str">
        <f t="shared" si="75"/>
        <v/>
      </c>
      <c r="X183" s="287"/>
      <c r="Y183" s="290" t="str">
        <f t="shared" si="76"/>
        <v/>
      </c>
      <c r="Z183" s="291">
        <f ca="1">SUMIF($T$8:Y$1018,"QUANT.",T183:Y183)</f>
        <v>0</v>
      </c>
      <c r="AA183" s="292">
        <f t="shared" ca="1" si="77"/>
        <v>0</v>
      </c>
      <c r="AB183" s="293" t="str">
        <f t="shared" si="78"/>
        <v/>
      </c>
      <c r="AC183" s="294">
        <f t="shared" ca="1" si="79"/>
        <v>0</v>
      </c>
      <c r="AD183" s="294">
        <f t="shared" ca="1" si="80"/>
        <v>0</v>
      </c>
      <c r="AE183" s="295"/>
      <c r="AF183" s="295"/>
      <c r="AG183" s="296"/>
      <c r="AH183" s="296"/>
      <c r="AI183" s="296"/>
      <c r="AJ183" s="295"/>
      <c r="AK183" s="295"/>
      <c r="AL183" s="295"/>
      <c r="AM183" s="295"/>
    </row>
    <row r="184" spans="1:39" ht="25.5" x14ac:dyDescent="0.25">
      <c r="A184" s="232">
        <f t="shared" si="66"/>
        <v>184</v>
      </c>
      <c r="B184" s="232"/>
      <c r="C184" s="307" t="str">
        <f>+C183</f>
        <v>10.6</v>
      </c>
      <c r="D184" s="308">
        <f>1+D183</f>
        <v>1</v>
      </c>
      <c r="E184" s="309" t="str">
        <f>C184&amp;"."&amp;D184</f>
        <v>10.6.1</v>
      </c>
      <c r="F184" s="310" t="s">
        <v>12033</v>
      </c>
      <c r="G184" s="311" t="str">
        <f>IF($F184="","",IFERROR(VLOOKUP($F184,SERVIÇOS!$B:$G,2,0),IFERROR(VLOOKUP($F184,'COMPOSIÇÕES COMPLEMENTARES '!$D:$L,2,0),IFERROR(VLOOKUP($F184,INSUMOS!$A:$D,2,0),""))))</f>
        <v>PORTA EM CHAPA LISA DE ALUMÍNIO ANODIZADO NATURAL/PRETO/BRANCO, COMUM, DE ABRIR OU CORRER</v>
      </c>
      <c r="H184" s="312" t="str">
        <f>IF($F184="","",IFERROR(VLOOKUP($F184,SERVIÇOS!$B:$G,3,0),IFERROR(VLOOKUP($F184,'COMPOSIÇÕES COMPLEMENTARES '!$D:$L,3,0),IFERROR(VLOOKUP($F184,INSUMOS!$A:$D,3,0),""))))</f>
        <v>M2</v>
      </c>
      <c r="I184" s="313">
        <v>21.21</v>
      </c>
      <c r="J184" s="314">
        <f>IF($F184="","",IFERROR(VLOOKUP($F184,SERVIÇOS!$B:$G,4,0),IFERROR(VLOOKUP($F184,'COMPOSIÇÕES COMPLEMENTARES '!$D:$L,6,0),IFERROR(VLOOKUP($F184,INSUMOS!$A:$D,4,0),""))))</f>
        <v>270.13</v>
      </c>
      <c r="K184" s="314">
        <f>IF($F184="","",IFERROR(VLOOKUP($F184,SERVIÇOS!$B:$G,5,0),IFERROR(VLOOKUP($F184,'COMPOSIÇÕES COMPLEMENTARES '!$D:$L,7,0),0)))</f>
        <v>47.64</v>
      </c>
      <c r="L184" s="314">
        <f>IF(I184="","",J184+K184)</f>
        <v>317.77</v>
      </c>
      <c r="M184" s="314">
        <f>IF(I184="","",TRUNC((I184*J184),2))</f>
        <v>5729.45</v>
      </c>
      <c r="N184" s="314">
        <f>IF(I184="","",TRUNC((I184*K184),2))</f>
        <v>1010.44</v>
      </c>
      <c r="O184" s="314">
        <f>IF(I184="","",TRUNC((M184+N184),2))</f>
        <v>6739.89</v>
      </c>
      <c r="P184" s="314"/>
      <c r="Q184" s="315"/>
      <c r="R184" s="315"/>
      <c r="S184" s="286"/>
      <c r="T184" s="287"/>
      <c r="U184" s="288" t="str">
        <f t="shared" si="74"/>
        <v/>
      </c>
      <c r="V184" s="287"/>
      <c r="W184" s="289" t="str">
        <f t="shared" si="75"/>
        <v/>
      </c>
      <c r="X184" s="287"/>
      <c r="Y184" s="290" t="str">
        <f t="shared" si="76"/>
        <v/>
      </c>
      <c r="Z184" s="291">
        <f ca="1">SUMIF($T$8:Y$1018,"QUANT.",T184:Y184)</f>
        <v>0</v>
      </c>
      <c r="AA184" s="292">
        <f t="shared" ca="1" si="77"/>
        <v>0</v>
      </c>
      <c r="AB184" s="293" t="str">
        <f t="shared" ca="1" si="78"/>
        <v>MEDIR</v>
      </c>
      <c r="AC184" s="294">
        <f t="shared" ca="1" si="79"/>
        <v>21.21</v>
      </c>
      <c r="AD184" s="294">
        <f t="shared" ca="1" si="80"/>
        <v>6739.89</v>
      </c>
      <c r="AE184" s="295"/>
      <c r="AF184" s="295"/>
      <c r="AG184" s="296"/>
      <c r="AH184" s="296"/>
      <c r="AI184" s="296"/>
      <c r="AJ184" s="324"/>
      <c r="AK184" s="295"/>
      <c r="AL184" s="295"/>
      <c r="AM184" s="295"/>
    </row>
    <row r="185" spans="1:39" ht="25.5" x14ac:dyDescent="0.25">
      <c r="A185" s="232">
        <f t="shared" si="66"/>
        <v>185</v>
      </c>
      <c r="B185" s="232"/>
      <c r="C185" s="307" t="str">
        <f>+C184</f>
        <v>10.6</v>
      </c>
      <c r="D185" s="308">
        <f>1+D184</f>
        <v>2</v>
      </c>
      <c r="E185" s="309" t="str">
        <f>C185&amp;"."&amp;D185</f>
        <v>10.6.2</v>
      </c>
      <c r="F185" s="310">
        <v>91341</v>
      </c>
      <c r="G185" s="311" t="str">
        <f>IF($F185="","",IFERROR(VLOOKUP($F185,SERVIÇOS!$B:$G,2,0),IFERROR(VLOOKUP($F185,'COMPOSIÇÕES COMPLEMENTARES '!$D:$L,2,0),IFERROR(VLOOKUP($F185,INSUMOS!$A:$D,2,0),""))))</f>
        <v>PORTA EM ALUMÍNIO DE ABRIR TIPO VENEZIANA COM GUARNIÇÃO, FIXAÇÃO COM PARAFUSOS - FORNECIMENTO E INSTALAÇÃO. AF_12/2019</v>
      </c>
      <c r="H185" s="312" t="str">
        <f>IF($F185="","",IFERROR(VLOOKUP($F185,SERVIÇOS!$B:$G,3,0),IFERROR(VLOOKUP($F185,'COMPOSIÇÕES COMPLEMENTARES '!$D:$L,3,0),IFERROR(VLOOKUP($F185,INSUMOS!$A:$D,3,0),""))))</f>
        <v>M2</v>
      </c>
      <c r="I185" s="313">
        <v>4.6399999999999997</v>
      </c>
      <c r="J185" s="314">
        <f>IF($F185="","",IFERROR(VLOOKUP($F185,SERVIÇOS!$B:$G,4,0),IFERROR(VLOOKUP($F185,'COMPOSIÇÕES COMPLEMENTARES '!$D:$L,6,0),IFERROR(VLOOKUP($F185,INSUMOS!$A:$D,4,0),""))))</f>
        <v>1083.8499999999999</v>
      </c>
      <c r="K185" s="314">
        <f>IF($F185="","",IFERROR(VLOOKUP($F185,SERVIÇOS!$B:$G,5,0),IFERROR(VLOOKUP($F185,'COMPOSIÇÕES COMPLEMENTARES '!$D:$L,7,0),0)))</f>
        <v>14.27</v>
      </c>
      <c r="L185" s="314">
        <f>IF(I185="","",J185+K185)</f>
        <v>1098.1199999999999</v>
      </c>
      <c r="M185" s="314">
        <f>IF(I185="","",TRUNC((I185*J185),2))</f>
        <v>5029.0600000000004</v>
      </c>
      <c r="N185" s="314">
        <f>IF(I185="","",TRUNC((I185*K185),2))</f>
        <v>66.209999999999994</v>
      </c>
      <c r="O185" s="314">
        <f>IF(I185="","",TRUNC((M185+N185),2))</f>
        <v>5095.2700000000004</v>
      </c>
      <c r="P185" s="314"/>
      <c r="Q185" s="315"/>
      <c r="R185" s="315"/>
      <c r="S185" s="286"/>
      <c r="T185" s="287"/>
      <c r="U185" s="288" t="str">
        <f t="shared" si="74"/>
        <v/>
      </c>
      <c r="V185" s="287"/>
      <c r="W185" s="289" t="str">
        <f t="shared" si="75"/>
        <v/>
      </c>
      <c r="X185" s="287"/>
      <c r="Y185" s="290" t="str">
        <f t="shared" si="76"/>
        <v/>
      </c>
      <c r="Z185" s="291">
        <f ca="1">SUMIF($T$8:Y$1018,"QUANT.",T185:Y185)</f>
        <v>0</v>
      </c>
      <c r="AA185" s="292">
        <f t="shared" ca="1" si="77"/>
        <v>0</v>
      </c>
      <c r="AB185" s="293" t="str">
        <f t="shared" ca="1" si="78"/>
        <v>MEDIR</v>
      </c>
      <c r="AC185" s="294">
        <f t="shared" ca="1" si="79"/>
        <v>4.6399999999999997</v>
      </c>
      <c r="AD185" s="294">
        <f t="shared" ca="1" si="80"/>
        <v>5095.2700000000004</v>
      </c>
      <c r="AE185" s="295"/>
      <c r="AF185" s="295"/>
      <c r="AG185" s="296"/>
      <c r="AH185" s="296"/>
      <c r="AI185" s="296"/>
      <c r="AJ185" s="296"/>
      <c r="AK185" s="295"/>
      <c r="AL185" s="295"/>
      <c r="AM185" s="295"/>
    </row>
    <row r="186" spans="1:39" x14ac:dyDescent="0.25">
      <c r="A186" s="232">
        <f t="shared" si="66"/>
        <v>186</v>
      </c>
      <c r="B186" s="232"/>
      <c r="C186" s="316" t="str">
        <f>+E186</f>
        <v>10.7</v>
      </c>
      <c r="D186" s="297"/>
      <c r="E186" s="317" t="s">
        <v>12034</v>
      </c>
      <c r="F186" s="317"/>
      <c r="G186" s="318" t="s">
        <v>12035</v>
      </c>
      <c r="H186" s="317"/>
      <c r="I186" s="319"/>
      <c r="J186" s="317"/>
      <c r="K186" s="317"/>
      <c r="L186" s="317"/>
      <c r="M186" s="317"/>
      <c r="N186" s="317"/>
      <c r="O186" s="317"/>
      <c r="P186" s="317"/>
      <c r="Q186" s="320"/>
      <c r="R186" s="306"/>
      <c r="S186" s="286"/>
      <c r="T186" s="287"/>
      <c r="U186" s="288" t="str">
        <f t="shared" si="74"/>
        <v/>
      </c>
      <c r="V186" s="287"/>
      <c r="W186" s="289" t="str">
        <f t="shared" si="75"/>
        <v/>
      </c>
      <c r="X186" s="287"/>
      <c r="Y186" s="290" t="str">
        <f t="shared" si="76"/>
        <v/>
      </c>
      <c r="Z186" s="291">
        <f ca="1">SUMIF($T$8:Y$1018,"QUANT.",T186:Y186)</f>
        <v>0</v>
      </c>
      <c r="AA186" s="292">
        <f t="shared" ca="1" si="77"/>
        <v>0</v>
      </c>
      <c r="AB186" s="293" t="str">
        <f t="shared" si="78"/>
        <v/>
      </c>
      <c r="AC186" s="294">
        <f t="shared" ca="1" si="79"/>
        <v>0</v>
      </c>
      <c r="AD186" s="294">
        <f t="shared" ca="1" si="80"/>
        <v>0</v>
      </c>
      <c r="AE186" s="295"/>
      <c r="AF186" s="295"/>
      <c r="AG186" s="296"/>
      <c r="AH186" s="296"/>
      <c r="AI186" s="296"/>
      <c r="AJ186" s="295"/>
      <c r="AK186" s="295"/>
      <c r="AL186" s="295"/>
      <c r="AM186" s="295"/>
    </row>
    <row r="187" spans="1:39" ht="51" x14ac:dyDescent="0.25">
      <c r="A187" s="232">
        <f t="shared" si="66"/>
        <v>187</v>
      </c>
      <c r="B187" s="232"/>
      <c r="C187" s="307" t="str">
        <f>+C186</f>
        <v>10.7</v>
      </c>
      <c r="D187" s="308">
        <f>1+D186</f>
        <v>1</v>
      </c>
      <c r="E187" s="309" t="str">
        <f>C187&amp;"."&amp;D187</f>
        <v>10.7.1</v>
      </c>
      <c r="F187" s="310" t="s">
        <v>12036</v>
      </c>
      <c r="G187" s="311" t="str">
        <f>IF($F187="","",IFERROR(VLOOKUP($F187,SERVIÇOS!$B:$G,2,0),IFERROR(VLOOKUP($F187,'COMPOSIÇÕES COMPLEMENTARES '!$D:$L,2,0),IFERROR(VLOOKUP($F187,INSUMOS!$A:$D,2,0),""))))</f>
        <v>CONJUNTO DE VIDRO (CV01) EM PERFIL DE ALUMÍNIO SERIE 45, COM PORTA PIVOTANTE DE VIDRO TEMPERADO LISO INCOLOR E=10MM, COM PELÍCULA DE SEGURANÇA, E FOLHAS FIXAS E FOLHAS PROJETANTES COM VIDRO TEMPERADO LISO INCOLOR E=6MM, DIMENSÃO 1634X260CM, CONFORME PROJETO</v>
      </c>
      <c r="H187" s="312" t="str">
        <f>IF($F187="","",IFERROR(VLOOKUP($F187,SERVIÇOS!$B:$G,3,0),IFERROR(VLOOKUP($F187,'COMPOSIÇÕES COMPLEMENTARES '!$D:$L,3,0),IFERROR(VLOOKUP($F187,INSUMOS!$A:$D,3,0),""))))</f>
        <v>UN</v>
      </c>
      <c r="I187" s="313">
        <v>1</v>
      </c>
      <c r="J187" s="314">
        <f>IF($F187="","",IFERROR(VLOOKUP($F187,SERVIÇOS!$B:$G,4,0),IFERROR(VLOOKUP($F187,'COMPOSIÇÕES COMPLEMENTARES '!$D:$L,6,0),IFERROR(VLOOKUP($F187,INSUMOS!$A:$D,4,0),""))))</f>
        <v>61661.83</v>
      </c>
      <c r="K187" s="314">
        <f>IF($F187="","",IFERROR(VLOOKUP($F187,SERVIÇOS!$B:$G,5,0),IFERROR(VLOOKUP($F187,'COMPOSIÇÕES COMPLEMENTARES '!$D:$L,7,0),0)))</f>
        <v>4867.66</v>
      </c>
      <c r="L187" s="314">
        <f>IF(I187="","",J187+K187)</f>
        <v>66529.490000000005</v>
      </c>
      <c r="M187" s="314">
        <f>IF(I187="","",TRUNC((I187*J187),2))</f>
        <v>61661.83</v>
      </c>
      <c r="N187" s="314">
        <f>IF(I187="","",TRUNC((I187*K187),2))</f>
        <v>4867.66</v>
      </c>
      <c r="O187" s="314">
        <f>IF(I187="","",TRUNC((M187+N187),2))</f>
        <v>66529.490000000005</v>
      </c>
      <c r="P187" s="314"/>
      <c r="Q187" s="315"/>
      <c r="R187" s="315"/>
      <c r="S187" s="286"/>
      <c r="T187" s="287"/>
      <c r="U187" s="288" t="str">
        <f t="shared" si="74"/>
        <v/>
      </c>
      <c r="V187" s="287"/>
      <c r="W187" s="289" t="str">
        <f t="shared" si="75"/>
        <v/>
      </c>
      <c r="X187" s="287"/>
      <c r="Y187" s="290" t="str">
        <f t="shared" si="76"/>
        <v/>
      </c>
      <c r="Z187" s="291">
        <f ca="1">SUMIF($T$8:Y$1018,"QUANT.",T187:Y187)</f>
        <v>0</v>
      </c>
      <c r="AA187" s="292">
        <f t="shared" ca="1" si="77"/>
        <v>0</v>
      </c>
      <c r="AB187" s="293" t="str">
        <f t="shared" ca="1" si="78"/>
        <v>MEDIR</v>
      </c>
      <c r="AC187" s="294">
        <f t="shared" ca="1" si="79"/>
        <v>1</v>
      </c>
      <c r="AD187" s="294">
        <f t="shared" ca="1" si="80"/>
        <v>66529.490000000005</v>
      </c>
      <c r="AE187" s="295"/>
      <c r="AF187" s="295"/>
      <c r="AG187" s="296"/>
      <c r="AH187" s="296"/>
      <c r="AI187" s="296"/>
      <c r="AJ187" s="295"/>
      <c r="AK187" s="295"/>
      <c r="AL187" s="295"/>
      <c r="AM187" s="295"/>
    </row>
    <row r="188" spans="1:39" ht="51" x14ac:dyDescent="0.25">
      <c r="A188" s="232">
        <f t="shared" si="66"/>
        <v>188</v>
      </c>
      <c r="B188" s="232"/>
      <c r="C188" s="307" t="str">
        <f>+C187</f>
        <v>10.7</v>
      </c>
      <c r="D188" s="308">
        <f>1+D187</f>
        <v>2</v>
      </c>
      <c r="E188" s="309" t="str">
        <f>C188&amp;"."&amp;D188</f>
        <v>10.7.2</v>
      </c>
      <c r="F188" s="310" t="s">
        <v>12037</v>
      </c>
      <c r="G188" s="311" t="str">
        <f>IF($F188="","",IFERROR(VLOOKUP($F188,SERVIÇOS!$B:$G,2,0),IFERROR(VLOOKUP($F188,'COMPOSIÇÕES COMPLEMENTARES '!$D:$L,2,0),IFERROR(VLOOKUP($F188,INSUMOS!$A:$D,2,0),""))))</f>
        <v>CONJUNTO DE VIDRO (CV02) EM PERFIL DE ALUMÍNIO SERIE 45, COM PORTA PIVOTANTE 02 FOLHAS DE VIDRO TEMPERADO LISO INCOLOR E=10MM, COM PELÍCULA DE SEGURANÇA, E FOLHAS FIXAS E FOLHAS PROJETANTES COM VIDRO TEMPERADO LISO INCOLOR E=6MM, DIMENSÃO 794X260CM, CONFORME PROJETO</v>
      </c>
      <c r="H188" s="312" t="str">
        <f>IF($F188="","",IFERROR(VLOOKUP($F188,SERVIÇOS!$B:$G,3,0),IFERROR(VLOOKUP($F188,'COMPOSIÇÕES COMPLEMENTARES '!$D:$L,3,0),IFERROR(VLOOKUP($F188,INSUMOS!$A:$D,3,0),""))))</f>
        <v>UN</v>
      </c>
      <c r="I188" s="313">
        <v>1</v>
      </c>
      <c r="J188" s="314">
        <f>IF($F188="","",IFERROR(VLOOKUP($F188,SERVIÇOS!$B:$G,4,0),IFERROR(VLOOKUP($F188,'COMPOSIÇÕES COMPLEMENTARES '!$D:$L,6,0),IFERROR(VLOOKUP($F188,INSUMOS!$A:$D,4,0),""))))</f>
        <v>28112.33</v>
      </c>
      <c r="K188" s="314">
        <f>IF($F188="","",IFERROR(VLOOKUP($F188,SERVIÇOS!$B:$G,5,0),IFERROR(VLOOKUP($F188,'COMPOSIÇÕES COMPLEMENTARES '!$D:$L,7,0),0)))</f>
        <v>2217.1</v>
      </c>
      <c r="L188" s="314">
        <f>IF(I188="","",J188+K188)</f>
        <v>30329.43</v>
      </c>
      <c r="M188" s="314">
        <f>IF(I188="","",TRUNC((I188*J188),2))</f>
        <v>28112.33</v>
      </c>
      <c r="N188" s="314">
        <f>IF(I188="","",TRUNC((I188*K188),2))</f>
        <v>2217.1</v>
      </c>
      <c r="O188" s="314">
        <f>IF(I188="","",TRUNC((M188+N188),2))</f>
        <v>30329.43</v>
      </c>
      <c r="P188" s="314"/>
      <c r="Q188" s="315"/>
      <c r="R188" s="315"/>
      <c r="S188" s="286"/>
      <c r="T188" s="287"/>
      <c r="U188" s="288" t="str">
        <f t="shared" si="74"/>
        <v/>
      </c>
      <c r="V188" s="287"/>
      <c r="W188" s="289" t="str">
        <f t="shared" si="75"/>
        <v/>
      </c>
      <c r="X188" s="287"/>
      <c r="Y188" s="290" t="str">
        <f t="shared" si="76"/>
        <v/>
      </c>
      <c r="Z188" s="291">
        <f ca="1">SUMIF($T$8:Y$1018,"QUANT.",T188:Y188)</f>
        <v>0</v>
      </c>
      <c r="AA188" s="292">
        <f t="shared" ca="1" si="77"/>
        <v>0</v>
      </c>
      <c r="AB188" s="293" t="str">
        <f t="shared" ca="1" si="78"/>
        <v>MEDIR</v>
      </c>
      <c r="AC188" s="294">
        <f t="shared" ca="1" si="79"/>
        <v>1</v>
      </c>
      <c r="AD188" s="294">
        <f t="shared" ca="1" si="80"/>
        <v>30329.43</v>
      </c>
      <c r="AE188" s="295"/>
      <c r="AF188" s="295"/>
      <c r="AG188" s="296"/>
      <c r="AH188" s="296"/>
      <c r="AI188" s="296"/>
      <c r="AJ188" s="296"/>
      <c r="AK188" s="324"/>
      <c r="AL188" s="324"/>
      <c r="AM188" s="324"/>
    </row>
    <row r="189" spans="1:39" ht="38.25" x14ac:dyDescent="0.25">
      <c r="A189" s="232">
        <f t="shared" si="66"/>
        <v>189</v>
      </c>
      <c r="B189" s="232"/>
      <c r="C189" s="307" t="str">
        <f>+C188</f>
        <v>10.7</v>
      </c>
      <c r="D189" s="308">
        <f>1+D188</f>
        <v>3</v>
      </c>
      <c r="E189" s="309" t="str">
        <f>C189&amp;"."&amp;D189</f>
        <v>10.7.3</v>
      </c>
      <c r="F189" s="310" t="s">
        <v>12038</v>
      </c>
      <c r="G189" s="311" t="str">
        <f>IF($F189="","",IFERROR(VLOOKUP($F189,SERVIÇOS!$B:$G,2,0),IFERROR(VLOOKUP($F189,'COMPOSIÇÕES COMPLEMENTARES '!$D:$L,2,0),IFERROR(VLOOKUP($F189,INSUMOS!$A:$D,2,0),""))))</f>
        <v>CONJUNTO DE VIDRO (CV03) EM PERFIL DE ALUMÍNIO SERIE 32, COM PORTA PIVOTANTE DE VIDRO TEMPERADO LISO INCOLOR E=10MM, COM PELÍCULA DE SEGURANÇA, E FOLHAS FIXAS COM VIDRO TEMPERADO LISO INCOLOR E=10MM, DIMENSÃO 230X260CM, CONFORME PROJETO</v>
      </c>
      <c r="H189" s="312" t="str">
        <f>IF($F189="","",IFERROR(VLOOKUP($F189,SERVIÇOS!$B:$G,3,0),IFERROR(VLOOKUP($F189,'COMPOSIÇÕES COMPLEMENTARES '!$D:$L,3,0),IFERROR(VLOOKUP($F189,INSUMOS!$A:$D,3,0),""))))</f>
        <v>UN</v>
      </c>
      <c r="I189" s="313">
        <v>2</v>
      </c>
      <c r="J189" s="314">
        <f>IF($F189="","",IFERROR(VLOOKUP($F189,SERVIÇOS!$B:$G,4,0),IFERROR(VLOOKUP($F189,'COMPOSIÇÕES COMPLEMENTARES '!$D:$L,6,0),IFERROR(VLOOKUP($F189,INSUMOS!$A:$D,4,0),""))))</f>
        <v>7711.05</v>
      </c>
      <c r="K189" s="314">
        <f>IF($F189="","",IFERROR(VLOOKUP($F189,SERVIÇOS!$B:$G,5,0),IFERROR(VLOOKUP($F189,'COMPOSIÇÕES COMPLEMENTARES '!$D:$L,7,0),0)))</f>
        <v>592.64</v>
      </c>
      <c r="L189" s="314">
        <f>IF(I189="","",J189+K189)</f>
        <v>8303.69</v>
      </c>
      <c r="M189" s="314">
        <f>IF(I189="","",TRUNC((I189*J189),2))</f>
        <v>15422.1</v>
      </c>
      <c r="N189" s="314">
        <f>IF(I189="","",TRUNC((I189*K189),2))</f>
        <v>1185.28</v>
      </c>
      <c r="O189" s="314">
        <f>IF(I189="","",TRUNC((M189+N189),2))</f>
        <v>16607.38</v>
      </c>
      <c r="P189" s="314"/>
      <c r="Q189" s="315"/>
      <c r="R189" s="315"/>
      <c r="S189" s="286"/>
      <c r="T189" s="287"/>
      <c r="U189" s="288" t="str">
        <f t="shared" si="74"/>
        <v/>
      </c>
      <c r="V189" s="287"/>
      <c r="W189" s="289" t="str">
        <f t="shared" si="75"/>
        <v/>
      </c>
      <c r="X189" s="287"/>
      <c r="Y189" s="290" t="str">
        <f t="shared" si="76"/>
        <v/>
      </c>
      <c r="Z189" s="291">
        <f ca="1">SUMIF($T$8:Y$1018,"QUANT.",T189:Y189)</f>
        <v>0</v>
      </c>
      <c r="AA189" s="292">
        <f t="shared" ca="1" si="77"/>
        <v>0</v>
      </c>
      <c r="AB189" s="293" t="str">
        <f t="shared" ca="1" si="78"/>
        <v>MEDIR</v>
      </c>
      <c r="AC189" s="294">
        <f t="shared" ca="1" si="79"/>
        <v>2</v>
      </c>
      <c r="AD189" s="294">
        <f t="shared" ca="1" si="80"/>
        <v>16607.38</v>
      </c>
      <c r="AE189" s="295"/>
      <c r="AF189" s="295"/>
      <c r="AG189" s="296"/>
      <c r="AH189" s="296"/>
      <c r="AI189" s="296"/>
      <c r="AJ189" s="296"/>
      <c r="AK189" s="296"/>
      <c r="AL189" s="296"/>
      <c r="AM189" s="296"/>
    </row>
    <row r="190" spans="1:39" ht="38.25" x14ac:dyDescent="0.25">
      <c r="A190" s="232">
        <f t="shared" si="66"/>
        <v>190</v>
      </c>
      <c r="B190" s="232"/>
      <c r="C190" s="307" t="str">
        <f>+C189</f>
        <v>10.7</v>
      </c>
      <c r="D190" s="308">
        <f>1+D189</f>
        <v>4</v>
      </c>
      <c r="E190" s="309" t="str">
        <f>C190&amp;"."&amp;D190</f>
        <v>10.7.4</v>
      </c>
      <c r="F190" s="310" t="s">
        <v>12039</v>
      </c>
      <c r="G190" s="311" t="str">
        <f>IF($F190="","",IFERROR(VLOOKUP($F190,SERVIÇOS!$B:$G,2,0),IFERROR(VLOOKUP($F190,'COMPOSIÇÕES COMPLEMENTARES '!$D:$L,2,0),IFERROR(VLOOKUP($F190,INSUMOS!$A:$D,2,0),""))))</f>
        <v>CONJUNTO DE VIDRO (CV04) EM PERFIL DE ALUMÍNIO SERIE 45, COM PORTA DE CORRER DE VIDRO TEMPERADO LISO INCOLOR E=10MM, E FOLHAS FIXAS COM VIDRO TEMPERADO LISO INCOLOR E=10MM, DIMENSÃO 333X210CM, CONFORME PROJETO</v>
      </c>
      <c r="H190" s="312" t="str">
        <f>IF($F190="","",IFERROR(VLOOKUP($F190,SERVIÇOS!$B:$G,3,0),IFERROR(VLOOKUP($F190,'COMPOSIÇÕES COMPLEMENTARES '!$D:$L,3,0),IFERROR(VLOOKUP($F190,INSUMOS!$A:$D,3,0),""))))</f>
        <v>UN</v>
      </c>
      <c r="I190" s="313">
        <v>1</v>
      </c>
      <c r="J190" s="314">
        <f>IF($F190="","",IFERROR(VLOOKUP($F190,SERVIÇOS!$B:$G,4,0),IFERROR(VLOOKUP($F190,'COMPOSIÇÕES COMPLEMENTARES '!$D:$L,6,0),IFERROR(VLOOKUP($F190,INSUMOS!$A:$D,4,0),""))))</f>
        <v>10495.92</v>
      </c>
      <c r="K190" s="314">
        <f>IF($F190="","",IFERROR(VLOOKUP($F190,SERVIÇOS!$B:$G,5,0),IFERROR(VLOOKUP($F190,'COMPOSIÇÕES COMPLEMENTARES '!$D:$L,7,0),0)))</f>
        <v>616.48</v>
      </c>
      <c r="L190" s="314">
        <f>IF(I190="","",J190+K190)</f>
        <v>11112.4</v>
      </c>
      <c r="M190" s="314">
        <f>IF(I190="","",TRUNC((I190*J190),2))</f>
        <v>10495.92</v>
      </c>
      <c r="N190" s="314">
        <f>IF(I190="","",TRUNC((I190*K190),2))</f>
        <v>616.48</v>
      </c>
      <c r="O190" s="314">
        <f>IF(I190="","",TRUNC((M190+N190),2))</f>
        <v>11112.4</v>
      </c>
      <c r="P190" s="314"/>
      <c r="Q190" s="315"/>
      <c r="R190" s="315"/>
      <c r="S190" s="286"/>
      <c r="T190" s="287"/>
      <c r="U190" s="288" t="str">
        <f t="shared" si="74"/>
        <v/>
      </c>
      <c r="V190" s="287"/>
      <c r="W190" s="289" t="str">
        <f t="shared" si="75"/>
        <v/>
      </c>
      <c r="X190" s="287"/>
      <c r="Y190" s="290" t="str">
        <f t="shared" si="76"/>
        <v/>
      </c>
      <c r="Z190" s="291">
        <f ca="1">SUMIF($T$8:Y$1018,"QUANT.",T190:Y190)</f>
        <v>0</v>
      </c>
      <c r="AA190" s="292">
        <f t="shared" ca="1" si="77"/>
        <v>0</v>
      </c>
      <c r="AB190" s="293" t="str">
        <f t="shared" ca="1" si="78"/>
        <v>MEDIR</v>
      </c>
      <c r="AC190" s="294">
        <f t="shared" ca="1" si="79"/>
        <v>1</v>
      </c>
      <c r="AD190" s="294">
        <f t="shared" ca="1" si="80"/>
        <v>11112.4</v>
      </c>
      <c r="AE190" s="295"/>
      <c r="AF190" s="295"/>
      <c r="AG190" s="296"/>
      <c r="AH190" s="296"/>
      <c r="AI190" s="296"/>
      <c r="AJ190" s="295"/>
      <c r="AK190" s="295"/>
      <c r="AL190" s="295"/>
      <c r="AM190" s="295"/>
    </row>
    <row r="191" spans="1:39" x14ac:dyDescent="0.25">
      <c r="A191" s="232">
        <f t="shared" si="66"/>
        <v>191</v>
      </c>
      <c r="B191" s="232"/>
      <c r="C191" s="316" t="str">
        <f>+E191</f>
        <v>10.8</v>
      </c>
      <c r="D191" s="297"/>
      <c r="E191" s="317" t="s">
        <v>12040</v>
      </c>
      <c r="F191" s="317"/>
      <c r="G191" s="318" t="s">
        <v>12041</v>
      </c>
      <c r="H191" s="317"/>
      <c r="I191" s="319"/>
      <c r="J191" s="317"/>
      <c r="K191" s="317"/>
      <c r="L191" s="317"/>
      <c r="M191" s="317"/>
      <c r="N191" s="317"/>
      <c r="O191" s="317"/>
      <c r="P191" s="317"/>
      <c r="Q191" s="320"/>
      <c r="R191" s="306"/>
      <c r="S191" s="286"/>
      <c r="T191" s="287"/>
      <c r="U191" s="288" t="str">
        <f t="shared" si="74"/>
        <v/>
      </c>
      <c r="V191" s="287"/>
      <c r="W191" s="289" t="str">
        <f t="shared" si="75"/>
        <v/>
      </c>
      <c r="X191" s="287"/>
      <c r="Y191" s="290" t="str">
        <f t="shared" si="76"/>
        <v/>
      </c>
      <c r="Z191" s="291">
        <f ca="1">SUMIF($T$8:Y$1018,"QUANT.",T191:Y191)</f>
        <v>0</v>
      </c>
      <c r="AA191" s="292">
        <f t="shared" ca="1" si="77"/>
        <v>0</v>
      </c>
      <c r="AB191" s="293" t="str">
        <f t="shared" si="78"/>
        <v/>
      </c>
      <c r="AC191" s="294">
        <f t="shared" ca="1" si="79"/>
        <v>0</v>
      </c>
      <c r="AD191" s="294">
        <f t="shared" ca="1" si="80"/>
        <v>0</v>
      </c>
      <c r="AE191" s="295"/>
      <c r="AF191" s="295"/>
      <c r="AG191" s="296"/>
      <c r="AH191" s="296"/>
      <c r="AI191" s="296"/>
      <c r="AJ191" s="324"/>
      <c r="AK191" s="295"/>
      <c r="AL191" s="295"/>
      <c r="AM191" s="295"/>
    </row>
    <row r="192" spans="1:39" x14ac:dyDescent="0.25">
      <c r="A192" s="232">
        <f t="shared" si="66"/>
        <v>192</v>
      </c>
      <c r="B192" s="232"/>
      <c r="C192" s="307" t="str">
        <f>+C191</f>
        <v>10.8</v>
      </c>
      <c r="D192" s="308">
        <f>1+D191</f>
        <v>1</v>
      </c>
      <c r="E192" s="309" t="str">
        <f>C192&amp;"."&amp;D192</f>
        <v>10.8.1</v>
      </c>
      <c r="F192" s="310" t="s">
        <v>12042</v>
      </c>
      <c r="G192" s="311" t="str">
        <f>IF($F192="","",IFERROR(VLOOKUP($F192,SERVIÇOS!$B:$G,2,0),IFERROR(VLOOKUP($F192,'COMPOSIÇÕES COMPLEMENTARES '!$D:$L,2,0),IFERROR(VLOOKUP($F192,INSUMOS!$A:$D,2,0),""))))</f>
        <v>PORTA DE ABRIR EM CHAPA LISA DE FERRO GALVANIZADO COM TELA MOSQUITEIRO</v>
      </c>
      <c r="H192" s="312" t="str">
        <f>IF($F192="","",IFERROR(VLOOKUP($F192,SERVIÇOS!$B:$G,3,0),IFERROR(VLOOKUP($F192,'COMPOSIÇÕES COMPLEMENTARES '!$D:$L,3,0),IFERROR(VLOOKUP($F192,INSUMOS!$A:$D,3,0),""))))</f>
        <v>M2</v>
      </c>
      <c r="I192" s="313">
        <v>8.67</v>
      </c>
      <c r="J192" s="314">
        <f>IF($F192="","",IFERROR(VLOOKUP($F192,SERVIÇOS!$B:$G,4,0),IFERROR(VLOOKUP($F192,'COMPOSIÇÕES COMPLEMENTARES '!$D:$L,6,0),IFERROR(VLOOKUP($F192,INSUMOS!$A:$D,4,0),""))))</f>
        <v>202.72</v>
      </c>
      <c r="K192" s="314">
        <f>IF($F192="","",IFERROR(VLOOKUP($F192,SERVIÇOS!$B:$G,5,0),IFERROR(VLOOKUP($F192,'COMPOSIÇÕES COMPLEMENTARES '!$D:$L,7,0),0)))</f>
        <v>47.64</v>
      </c>
      <c r="L192" s="314">
        <f>IF(I192="","",J192+K192)</f>
        <v>250.36</v>
      </c>
      <c r="M192" s="314">
        <f>IF(I192="","",TRUNC((I192*J192),2))</f>
        <v>1757.58</v>
      </c>
      <c r="N192" s="314">
        <f>IF(I192="","",TRUNC((I192*K192),2))</f>
        <v>413.03</v>
      </c>
      <c r="O192" s="314">
        <f>IF(I192="","",TRUNC((M192+N192),2))</f>
        <v>2170.61</v>
      </c>
      <c r="P192" s="314"/>
      <c r="Q192" s="315"/>
      <c r="R192" s="315"/>
      <c r="S192" s="286"/>
      <c r="T192" s="287"/>
      <c r="U192" s="288" t="str">
        <f t="shared" si="74"/>
        <v/>
      </c>
      <c r="V192" s="287"/>
      <c r="W192" s="289" t="str">
        <f t="shared" si="75"/>
        <v/>
      </c>
      <c r="X192" s="287"/>
      <c r="Y192" s="290" t="str">
        <f t="shared" si="76"/>
        <v/>
      </c>
      <c r="Z192" s="291">
        <f ca="1">SUMIF($T$8:Y$1018,"QUANT.",T192:Y192)</f>
        <v>0</v>
      </c>
      <c r="AA192" s="292">
        <f t="shared" ca="1" si="77"/>
        <v>0</v>
      </c>
      <c r="AB192" s="293" t="str">
        <f t="shared" ca="1" si="78"/>
        <v>MEDIR</v>
      </c>
      <c r="AC192" s="294">
        <f t="shared" ca="1" si="79"/>
        <v>8.67</v>
      </c>
      <c r="AD192" s="294">
        <f t="shared" ca="1" si="80"/>
        <v>2170.61</v>
      </c>
      <c r="AE192" s="295"/>
      <c r="AF192" s="295"/>
      <c r="AG192" s="296"/>
      <c r="AH192" s="296"/>
      <c r="AI192" s="296"/>
      <c r="AJ192" s="324"/>
      <c r="AK192" s="296"/>
      <c r="AL192" s="296"/>
      <c r="AM192" s="296"/>
    </row>
    <row r="193" spans="1:39" ht="25.5" x14ac:dyDescent="0.25">
      <c r="A193" s="232">
        <f t="shared" si="66"/>
        <v>193</v>
      </c>
      <c r="B193" s="232"/>
      <c r="C193" s="307" t="str">
        <f>+C192</f>
        <v>10.8</v>
      </c>
      <c r="D193" s="308">
        <f>1+D192</f>
        <v>2</v>
      </c>
      <c r="E193" s="309" t="str">
        <f>C193&amp;"."&amp;D193</f>
        <v>10.8.2</v>
      </c>
      <c r="F193" s="310" t="s">
        <v>12043</v>
      </c>
      <c r="G193" s="311" t="str">
        <f>IF($F193="","",IFERROR(VLOOKUP($F193,SERVIÇOS!$B:$G,2,0),IFERROR(VLOOKUP($F193,'COMPOSIÇÕES COMPLEMENTARES '!$D:$L,2,0),IFERROR(VLOOKUP($F193,INSUMOS!$A:$D,2,0),""))))</f>
        <v xml:space="preserve">PORTA/PORTÃO EM FERRO GALVANIZADO, 1 OU 2 FOLHAS, EM TUBO DE AÇO GALVANIZADO 2" E TELA ARAME GALVANIZADO </v>
      </c>
      <c r="H193" s="312" t="str">
        <f>IF($F193="","",IFERROR(VLOOKUP($F193,SERVIÇOS!$B:$G,3,0),IFERROR(VLOOKUP($F193,'COMPOSIÇÕES COMPLEMENTARES '!$D:$L,3,0),IFERROR(VLOOKUP($F193,INSUMOS!$A:$D,3,0),""))))</f>
        <v>M2</v>
      </c>
      <c r="I193" s="313">
        <v>3.78</v>
      </c>
      <c r="J193" s="314">
        <f>IF($F193="","",IFERROR(VLOOKUP($F193,SERVIÇOS!$B:$G,4,0),IFERROR(VLOOKUP($F193,'COMPOSIÇÕES COMPLEMENTARES '!$D:$L,6,0),IFERROR(VLOOKUP($F193,INSUMOS!$A:$D,4,0),""))))</f>
        <v>818.66</v>
      </c>
      <c r="K193" s="314">
        <f>IF($F193="","",IFERROR(VLOOKUP($F193,SERVIÇOS!$B:$G,5,0),IFERROR(VLOOKUP($F193,'COMPOSIÇÕES COMPLEMENTARES '!$D:$L,7,0),0)))</f>
        <v>66.650000000000006</v>
      </c>
      <c r="L193" s="314">
        <f>IF(I193="","",J193+K193)</f>
        <v>885.31</v>
      </c>
      <c r="M193" s="314">
        <f>IF(I193="","",TRUNC((I193*J193),2))</f>
        <v>3094.53</v>
      </c>
      <c r="N193" s="314">
        <f>IF(I193="","",TRUNC((I193*K193),2))</f>
        <v>251.93</v>
      </c>
      <c r="O193" s="314">
        <f>IF(I193="","",TRUNC((M193+N193),2))</f>
        <v>3346.46</v>
      </c>
      <c r="P193" s="314"/>
      <c r="Q193" s="315"/>
      <c r="R193" s="315"/>
      <c r="S193" s="286"/>
      <c r="T193" s="287"/>
      <c r="U193" s="288" t="str">
        <f t="shared" si="74"/>
        <v/>
      </c>
      <c r="V193" s="287"/>
      <c r="W193" s="289" t="str">
        <f t="shared" si="75"/>
        <v/>
      </c>
      <c r="X193" s="287"/>
      <c r="Y193" s="290" t="str">
        <f t="shared" si="76"/>
        <v/>
      </c>
      <c r="Z193" s="291">
        <f ca="1">SUMIF($T$8:Y$1018,"QUANT.",T193:Y193)</f>
        <v>0</v>
      </c>
      <c r="AA193" s="292">
        <f t="shared" ca="1" si="77"/>
        <v>0</v>
      </c>
      <c r="AB193" s="293" t="str">
        <f t="shared" ca="1" si="78"/>
        <v>MEDIR</v>
      </c>
      <c r="AC193" s="294">
        <f t="shared" ca="1" si="79"/>
        <v>3.78</v>
      </c>
      <c r="AD193" s="294">
        <f t="shared" ca="1" si="80"/>
        <v>3346.46</v>
      </c>
      <c r="AE193" s="295"/>
      <c r="AF193" s="295"/>
      <c r="AG193" s="296"/>
      <c r="AH193" s="296"/>
      <c r="AI193" s="296"/>
      <c r="AJ193" s="324"/>
      <c r="AK193" s="296"/>
      <c r="AL193" s="296"/>
      <c r="AM193" s="296"/>
    </row>
    <row r="194" spans="1:39" ht="25.5" x14ac:dyDescent="0.25">
      <c r="A194" s="232">
        <f t="shared" ref="A194:A257" si="95">1+A193</f>
        <v>194</v>
      </c>
      <c r="B194" s="232"/>
      <c r="C194" s="307" t="str">
        <f>+C193</f>
        <v>10.8</v>
      </c>
      <c r="D194" s="308">
        <f>1+D193</f>
        <v>3</v>
      </c>
      <c r="E194" s="309" t="str">
        <f>C194&amp;"."&amp;D194</f>
        <v>10.8.3</v>
      </c>
      <c r="F194" s="310" t="s">
        <v>12044</v>
      </c>
      <c r="G194" s="311" t="str">
        <f>IF($F194="","",IFERROR(VLOOKUP($F194,SERVIÇOS!$B:$G,2,0),IFERROR(VLOOKUP($F194,'COMPOSIÇÕES COMPLEMENTARES '!$D:$L,2,0),IFERROR(VLOOKUP($F194,INSUMOS!$A:$D,2,0),""))))</f>
        <v>PORTA/PORTÃO EM FERRO GALVANIZADO, 1 OU 2 FOLHAS, EM TUBO DE AÇO GALVANIZADO 2" E TELA ARAME GALVANIZADO  E TELA MOSQUITEIRA MALHA 14 FIO 30 EM AÇO</v>
      </c>
      <c r="H194" s="312" t="str">
        <f>IF($F194="","",IFERROR(VLOOKUP($F194,SERVIÇOS!$B:$G,3,0),IFERROR(VLOOKUP($F194,'COMPOSIÇÕES COMPLEMENTARES '!$D:$L,3,0),IFERROR(VLOOKUP($F194,INSUMOS!$A:$D,3,0),""))))</f>
        <v>M2</v>
      </c>
      <c r="I194" s="313">
        <v>4.2</v>
      </c>
      <c r="J194" s="314">
        <f>IF($F194="","",IFERROR(VLOOKUP($F194,SERVIÇOS!$B:$G,4,0),IFERROR(VLOOKUP($F194,'COMPOSIÇÕES COMPLEMENTARES '!$D:$L,6,0),IFERROR(VLOOKUP($F194,INSUMOS!$A:$D,4,0),""))))</f>
        <v>989.27</v>
      </c>
      <c r="K194" s="314">
        <f>IF($F194="","",IFERROR(VLOOKUP($F194,SERVIÇOS!$B:$G,5,0),IFERROR(VLOOKUP($F194,'COMPOSIÇÕES COMPLEMENTARES '!$D:$L,7,0),0)))</f>
        <v>104.35</v>
      </c>
      <c r="L194" s="314">
        <f>IF(I194="","",J194+K194)</f>
        <v>1093.6199999999999</v>
      </c>
      <c r="M194" s="314">
        <f>IF(I194="","",TRUNC((I194*J194),2))</f>
        <v>4154.93</v>
      </c>
      <c r="N194" s="314">
        <f>IF(I194="","",TRUNC((I194*K194),2))</f>
        <v>438.27</v>
      </c>
      <c r="O194" s="314">
        <f>IF(I194="","",TRUNC((M194+N194),2))</f>
        <v>4593.2</v>
      </c>
      <c r="P194" s="314"/>
      <c r="Q194" s="315"/>
      <c r="R194" s="315"/>
      <c r="S194" s="286"/>
      <c r="T194" s="287"/>
      <c r="U194" s="288" t="str">
        <f t="shared" si="74"/>
        <v/>
      </c>
      <c r="V194" s="287"/>
      <c r="W194" s="289" t="str">
        <f t="shared" si="75"/>
        <v/>
      </c>
      <c r="X194" s="287"/>
      <c r="Y194" s="290" t="str">
        <f t="shared" si="76"/>
        <v/>
      </c>
      <c r="Z194" s="291">
        <f ca="1">SUMIF($T$8:Y$1018,"QUANT.",T194:Y194)</f>
        <v>0</v>
      </c>
      <c r="AA194" s="292">
        <f t="shared" ca="1" si="77"/>
        <v>0</v>
      </c>
      <c r="AB194" s="293" t="str">
        <f t="shared" ca="1" si="78"/>
        <v>MEDIR</v>
      </c>
      <c r="AC194" s="294">
        <f t="shared" ca="1" si="79"/>
        <v>4.2</v>
      </c>
      <c r="AD194" s="294">
        <f t="shared" ca="1" si="80"/>
        <v>4593.2</v>
      </c>
      <c r="AE194" s="295"/>
      <c r="AF194" s="295"/>
      <c r="AG194" s="296"/>
      <c r="AH194" s="296"/>
      <c r="AI194" s="296"/>
      <c r="AJ194" s="324"/>
      <c r="AK194" s="295"/>
      <c r="AL194" s="295"/>
      <c r="AM194" s="295"/>
    </row>
    <row r="195" spans="1:39" x14ac:dyDescent="0.25">
      <c r="A195" s="232">
        <f t="shared" si="95"/>
        <v>195</v>
      </c>
      <c r="B195" s="232"/>
      <c r="C195" s="316" t="str">
        <f>+E195</f>
        <v>10.9</v>
      </c>
      <c r="D195" s="297"/>
      <c r="E195" s="317" t="s">
        <v>12045</v>
      </c>
      <c r="F195" s="317"/>
      <c r="G195" s="318" t="s">
        <v>12046</v>
      </c>
      <c r="H195" s="317"/>
      <c r="I195" s="319"/>
      <c r="J195" s="317"/>
      <c r="K195" s="317"/>
      <c r="L195" s="317"/>
      <c r="M195" s="317"/>
      <c r="N195" s="317"/>
      <c r="O195" s="317"/>
      <c r="P195" s="317"/>
      <c r="Q195" s="320"/>
      <c r="R195" s="306"/>
      <c r="S195" s="286"/>
      <c r="T195" s="287"/>
      <c r="U195" s="288" t="str">
        <f t="shared" si="74"/>
        <v/>
      </c>
      <c r="V195" s="287"/>
      <c r="W195" s="289" t="str">
        <f t="shared" si="75"/>
        <v/>
      </c>
      <c r="X195" s="287"/>
      <c r="Y195" s="290" t="str">
        <f t="shared" si="76"/>
        <v/>
      </c>
      <c r="Z195" s="291">
        <f ca="1">SUMIF($T$8:Y$1018,"QUANT.",T195:Y195)</f>
        <v>0</v>
      </c>
      <c r="AA195" s="292">
        <f t="shared" ca="1" si="77"/>
        <v>0</v>
      </c>
      <c r="AB195" s="293" t="str">
        <f t="shared" si="78"/>
        <v/>
      </c>
      <c r="AC195" s="294">
        <f t="shared" ca="1" si="79"/>
        <v>0</v>
      </c>
      <c r="AD195" s="294">
        <f t="shared" ca="1" si="80"/>
        <v>0</v>
      </c>
      <c r="AE195" s="295"/>
      <c r="AF195" s="295"/>
      <c r="AG195" s="296"/>
      <c r="AH195" s="296"/>
      <c r="AI195" s="296"/>
      <c r="AJ195" s="324"/>
      <c r="AK195" s="324"/>
      <c r="AL195" s="324"/>
      <c r="AM195" s="324"/>
    </row>
    <row r="196" spans="1:39" ht="25.5" x14ac:dyDescent="0.25">
      <c r="A196" s="232">
        <f t="shared" si="95"/>
        <v>196</v>
      </c>
      <c r="B196" s="232"/>
      <c r="C196" s="307" t="str">
        <f>+C195</f>
        <v>10.9</v>
      </c>
      <c r="D196" s="308">
        <f>1+D195</f>
        <v>1</v>
      </c>
      <c r="E196" s="309" t="str">
        <f>C196&amp;"."&amp;D196</f>
        <v>10.9.1</v>
      </c>
      <c r="F196" s="310">
        <v>102219</v>
      </c>
      <c r="G196" s="311" t="str">
        <f>IF($F196="","",IFERROR(VLOOKUP($F196,SERVIÇOS!$B:$G,2,0),IFERROR(VLOOKUP($F196,'COMPOSIÇÕES COMPLEMENTARES '!$D:$L,2,0),IFERROR(VLOOKUP($F196,INSUMOS!$A:$D,2,0),""))))</f>
        <v>PINTURA TINTA DE ACABAMENTO (PIGMENTADA) ESMALTE SINTÉTICO ACETINADO EM MADEIRA, 2 DEMÃOS. AF_01/2021</v>
      </c>
      <c r="H196" s="312" t="str">
        <f>IF($F196="","",IFERROR(VLOOKUP($F196,SERVIÇOS!$B:$G,3,0),IFERROR(VLOOKUP($F196,'COMPOSIÇÕES COMPLEMENTARES '!$D:$L,3,0),IFERROR(VLOOKUP($F196,INSUMOS!$A:$D,3,0),""))))</f>
        <v>M2</v>
      </c>
      <c r="I196" s="313">
        <v>238.77</v>
      </c>
      <c r="J196" s="314">
        <f>IF($F196="","",IFERROR(VLOOKUP($F196,SERVIÇOS!$B:$G,4,0),IFERROR(VLOOKUP($F196,'COMPOSIÇÕES COMPLEMENTARES '!$D:$L,6,0),IFERROR(VLOOKUP($F196,INSUMOS!$A:$D,4,0),""))))</f>
        <v>9.92</v>
      </c>
      <c r="K196" s="314">
        <f>IF($F196="","",IFERROR(VLOOKUP($F196,SERVIÇOS!$B:$G,5,0),IFERROR(VLOOKUP($F196,'COMPOSIÇÕES COMPLEMENTARES '!$D:$L,7,0),0)))</f>
        <v>10.44</v>
      </c>
      <c r="L196" s="314">
        <f>IF(I196="","",J196+K196)</f>
        <v>20.36</v>
      </c>
      <c r="M196" s="314">
        <f>IF(I196="","",TRUNC((I196*J196),2))</f>
        <v>2368.59</v>
      </c>
      <c r="N196" s="314">
        <f>IF(I196="","",TRUNC((I196*K196),2))</f>
        <v>2492.75</v>
      </c>
      <c r="O196" s="314">
        <f>IF(I196="","",TRUNC((M196+N196),2))</f>
        <v>4861.34</v>
      </c>
      <c r="P196" s="314"/>
      <c r="Q196" s="315"/>
      <c r="R196" s="315"/>
      <c r="S196" s="286"/>
      <c r="T196" s="287"/>
      <c r="U196" s="288" t="str">
        <f t="shared" si="74"/>
        <v/>
      </c>
      <c r="V196" s="287"/>
      <c r="W196" s="289" t="str">
        <f t="shared" si="75"/>
        <v/>
      </c>
      <c r="X196" s="287"/>
      <c r="Y196" s="290" t="str">
        <f t="shared" si="76"/>
        <v/>
      </c>
      <c r="Z196" s="291">
        <f ca="1">SUMIF($T$8:Y$1018,"QUANT.",T196:Y196)</f>
        <v>0</v>
      </c>
      <c r="AA196" s="292">
        <f t="shared" ca="1" si="77"/>
        <v>0</v>
      </c>
      <c r="AB196" s="293" t="str">
        <f t="shared" ca="1" si="78"/>
        <v>MEDIR</v>
      </c>
      <c r="AC196" s="294">
        <f t="shared" ca="1" si="79"/>
        <v>238.77</v>
      </c>
      <c r="AD196" s="294">
        <f t="shared" ca="1" si="80"/>
        <v>4861.34</v>
      </c>
      <c r="AE196" s="295"/>
      <c r="AF196" s="295"/>
      <c r="AG196" s="296"/>
      <c r="AH196" s="296"/>
      <c r="AI196" s="296"/>
      <c r="AJ196" s="324"/>
      <c r="AK196" s="324"/>
      <c r="AL196" s="324"/>
      <c r="AM196" s="324"/>
    </row>
    <row r="197" spans="1:39" ht="25.5" x14ac:dyDescent="0.25">
      <c r="A197" s="232">
        <f t="shared" si="95"/>
        <v>197</v>
      </c>
      <c r="B197" s="232"/>
      <c r="C197" s="307" t="str">
        <f>+C196</f>
        <v>10.9</v>
      </c>
      <c r="D197" s="308">
        <f>1+D196</f>
        <v>2</v>
      </c>
      <c r="E197" s="309" t="str">
        <f>C197&amp;"."&amp;D197</f>
        <v>10.9.2</v>
      </c>
      <c r="F197" s="310">
        <v>100719</v>
      </c>
      <c r="G197" s="311" t="str">
        <f>IF($F197="","",IFERROR(VLOOKUP($F197,SERVIÇOS!$B:$G,2,0),IFERROR(VLOOKUP($F197,'COMPOSIÇÕES COMPLEMENTARES '!$D:$L,2,0),IFERROR(VLOOKUP($F197,INSUMOS!$A:$D,2,0),""))))</f>
        <v>PINTURA COM TINTA ALQUÍDICA DE FUNDO (TIPO ZARCÃO) PULVERIZADA SOBRE PERFIL METÁLICO EXECUTADO EM FÁBRICA (POR DEMÃO). AF_01/2020_PE</v>
      </c>
      <c r="H197" s="312" t="str">
        <f>IF($F197="","",IFERROR(VLOOKUP($F197,SERVIÇOS!$B:$G,3,0),IFERROR(VLOOKUP($F197,'COMPOSIÇÕES COMPLEMENTARES '!$D:$L,3,0),IFERROR(VLOOKUP($F197,INSUMOS!$A:$D,3,0),""))))</f>
        <v>M2</v>
      </c>
      <c r="I197" s="313">
        <v>33.299999999999997</v>
      </c>
      <c r="J197" s="314">
        <f>IF($F197="","",IFERROR(VLOOKUP($F197,SERVIÇOS!$B:$G,4,0),IFERROR(VLOOKUP($F197,'COMPOSIÇÕES COMPLEMENTARES '!$D:$L,6,0),IFERROR(VLOOKUP($F197,INSUMOS!$A:$D,4,0),""))))</f>
        <v>9.5299999999999994</v>
      </c>
      <c r="K197" s="314">
        <f>IF($F197="","",IFERROR(VLOOKUP($F197,SERVIÇOS!$B:$G,5,0),IFERROR(VLOOKUP($F197,'COMPOSIÇÕES COMPLEMENTARES '!$D:$L,7,0),0)))</f>
        <v>1.73</v>
      </c>
      <c r="L197" s="314">
        <f>IF(I197="","",J197+K197)</f>
        <v>11.26</v>
      </c>
      <c r="M197" s="314">
        <f>IF(I197="","",TRUNC((I197*J197),2))</f>
        <v>317.33999999999997</v>
      </c>
      <c r="N197" s="314">
        <f>IF(I197="","",TRUNC((I197*K197),2))</f>
        <v>57.6</v>
      </c>
      <c r="O197" s="314">
        <f>IF(I197="","",TRUNC((M197+N197),2))</f>
        <v>374.94</v>
      </c>
      <c r="P197" s="314"/>
      <c r="Q197" s="315"/>
      <c r="R197" s="315"/>
      <c r="S197" s="286"/>
      <c r="T197" s="287"/>
      <c r="U197" s="288" t="str">
        <f t="shared" si="74"/>
        <v/>
      </c>
      <c r="V197" s="287"/>
      <c r="W197" s="289" t="str">
        <f t="shared" si="75"/>
        <v/>
      </c>
      <c r="X197" s="287"/>
      <c r="Y197" s="290" t="str">
        <f t="shared" si="76"/>
        <v/>
      </c>
      <c r="Z197" s="291">
        <f ca="1">SUMIF($T$8:Y$1018,"QUANT.",T197:Y197)</f>
        <v>0</v>
      </c>
      <c r="AA197" s="292">
        <f t="shared" ca="1" si="77"/>
        <v>0</v>
      </c>
      <c r="AB197" s="293" t="str">
        <f t="shared" ca="1" si="78"/>
        <v>MEDIR</v>
      </c>
      <c r="AC197" s="294">
        <f t="shared" ca="1" si="79"/>
        <v>33.299999999999997</v>
      </c>
      <c r="AD197" s="294">
        <f t="shared" ca="1" si="80"/>
        <v>374.94</v>
      </c>
      <c r="AE197" s="295"/>
      <c r="AF197" s="295"/>
      <c r="AG197" s="296"/>
      <c r="AH197" s="296"/>
      <c r="AI197" s="296"/>
      <c r="AJ197" s="324"/>
      <c r="AK197" s="324"/>
      <c r="AL197" s="324"/>
      <c r="AM197" s="324"/>
    </row>
    <row r="198" spans="1:39" ht="25.5" x14ac:dyDescent="0.25">
      <c r="A198" s="232">
        <f t="shared" si="95"/>
        <v>198</v>
      </c>
      <c r="B198" s="232"/>
      <c r="C198" s="307" t="str">
        <f>+C197</f>
        <v>10.9</v>
      </c>
      <c r="D198" s="308">
        <f>1+D197</f>
        <v>3</v>
      </c>
      <c r="E198" s="309" t="str">
        <f>C198&amp;"."&amp;D198</f>
        <v>10.9.3</v>
      </c>
      <c r="F198" s="310">
        <v>100725</v>
      </c>
      <c r="G198" s="311" t="str">
        <f>IF($F198="","",IFERROR(VLOOKUP($F198,SERVIÇOS!$B:$G,2,0),IFERROR(VLOOKUP($F198,'COMPOSIÇÕES COMPLEMENTARES '!$D:$L,2,0),IFERROR(VLOOKUP($F198,INSUMOS!$A:$D,2,0),""))))</f>
        <v>PINTURA COM TINTA ALQUÍDICA DE FUNDO E ACABAMENTO (ESMALTE SINTÉTICO GRAFITE) PULVERIZADA SOBRE SUPERFÍCIES METÁLICAS (EXCETO PERFIL) EXECUTADO EM OBRA (POR DEMÃO). AF_01/2020_PE</v>
      </c>
      <c r="H198" s="312" t="str">
        <f>IF($F198="","",IFERROR(VLOOKUP($F198,SERVIÇOS!$B:$G,3,0),IFERROR(VLOOKUP($F198,'COMPOSIÇÕES COMPLEMENTARES '!$D:$L,3,0),IFERROR(VLOOKUP($F198,INSUMOS!$A:$D,3,0),""))))</f>
        <v>M2</v>
      </c>
      <c r="I198" s="313">
        <v>66.599999999999994</v>
      </c>
      <c r="J198" s="314">
        <f>IF($F198="","",IFERROR(VLOOKUP($F198,SERVIÇOS!$B:$G,4,0),IFERROR(VLOOKUP($F198,'COMPOSIÇÕES COMPLEMENTARES '!$D:$L,6,0),IFERROR(VLOOKUP($F198,INSUMOS!$A:$D,4,0),""))))</f>
        <v>15.67</v>
      </c>
      <c r="K198" s="314">
        <f>IF($F198="","",IFERROR(VLOOKUP($F198,SERVIÇOS!$B:$G,5,0),IFERROR(VLOOKUP($F198,'COMPOSIÇÕES COMPLEMENTARES '!$D:$L,7,0),0)))</f>
        <v>14.44</v>
      </c>
      <c r="L198" s="314">
        <f>IF(I198="","",J198+K198)</f>
        <v>30.11</v>
      </c>
      <c r="M198" s="314">
        <f>IF(I198="","",TRUNC((I198*J198),2))</f>
        <v>1043.6199999999999</v>
      </c>
      <c r="N198" s="314">
        <f>IF(I198="","",TRUNC((I198*K198),2))</f>
        <v>961.7</v>
      </c>
      <c r="O198" s="314">
        <f>IF(I198="","",TRUNC((M198+N198),2))</f>
        <v>2005.32</v>
      </c>
      <c r="P198" s="314"/>
      <c r="Q198" s="315"/>
      <c r="R198" s="315"/>
      <c r="S198" s="286"/>
      <c r="T198" s="287"/>
      <c r="U198" s="288" t="str">
        <f t="shared" si="74"/>
        <v/>
      </c>
      <c r="V198" s="287"/>
      <c r="W198" s="289" t="str">
        <f t="shared" si="75"/>
        <v/>
      </c>
      <c r="X198" s="287"/>
      <c r="Y198" s="290" t="str">
        <f t="shared" si="76"/>
        <v/>
      </c>
      <c r="Z198" s="291">
        <f ca="1">SUMIF($T$8:Y$1018,"QUANT.",T198:Y198)</f>
        <v>0</v>
      </c>
      <c r="AA198" s="292">
        <f t="shared" ca="1" si="77"/>
        <v>0</v>
      </c>
      <c r="AB198" s="293" t="str">
        <f t="shared" ca="1" si="78"/>
        <v>MEDIR</v>
      </c>
      <c r="AC198" s="294">
        <f t="shared" ca="1" si="79"/>
        <v>66.599999999999994</v>
      </c>
      <c r="AD198" s="294">
        <f t="shared" ca="1" si="80"/>
        <v>2005.32</v>
      </c>
      <c r="AE198" s="295"/>
      <c r="AF198" s="295"/>
      <c r="AG198" s="296"/>
      <c r="AH198" s="296"/>
      <c r="AI198" s="296"/>
      <c r="AJ198" s="295"/>
      <c r="AK198" s="324"/>
      <c r="AL198" s="324"/>
      <c r="AM198" s="324"/>
    </row>
    <row r="199" spans="1:39" x14ac:dyDescent="0.25">
      <c r="A199" s="232">
        <f t="shared" si="95"/>
        <v>199</v>
      </c>
      <c r="B199" s="232"/>
      <c r="C199" s="281">
        <f>+E199</f>
        <v>11</v>
      </c>
      <c r="D199" s="297"/>
      <c r="E199" s="298">
        <v>11</v>
      </c>
      <c r="F199" s="322"/>
      <c r="G199" s="299" t="s">
        <v>12046</v>
      </c>
      <c r="H199" s="300"/>
      <c r="I199" s="303"/>
      <c r="J199" s="302"/>
      <c r="K199" s="303"/>
      <c r="L199" s="303"/>
      <c r="M199" s="304">
        <f>TRUNC(SUMIF(M200:M212,"&gt;0",M200:M212),2)</f>
        <v>55477.31</v>
      </c>
      <c r="N199" s="304">
        <f>TRUNC(SUMIF(N200:N212,"&gt;0",N200:N212),2)</f>
        <v>52205.7</v>
      </c>
      <c r="O199" s="305"/>
      <c r="P199" s="304">
        <f>SUMIF(O200:O212,"&gt;0",O200:O212)</f>
        <v>107683.01000000001</v>
      </c>
      <c r="Q199" s="306"/>
      <c r="R199" s="306"/>
      <c r="S199" s="286"/>
      <c r="T199" s="287"/>
      <c r="U199" s="288" t="str">
        <f t="shared" si="74"/>
        <v/>
      </c>
      <c r="V199" s="287"/>
      <c r="W199" s="289" t="str">
        <f t="shared" si="75"/>
        <v/>
      </c>
      <c r="X199" s="287"/>
      <c r="Y199" s="290" t="str">
        <f t="shared" si="76"/>
        <v/>
      </c>
      <c r="Z199" s="291">
        <f ca="1">SUMIF($T$8:Y$1018,"QUANT.",T199:Y199)</f>
        <v>0</v>
      </c>
      <c r="AA199" s="292">
        <f t="shared" ca="1" si="77"/>
        <v>0</v>
      </c>
      <c r="AB199" s="293" t="str">
        <f t="shared" si="78"/>
        <v/>
      </c>
      <c r="AC199" s="294">
        <f t="shared" ca="1" si="79"/>
        <v>0</v>
      </c>
      <c r="AD199" s="294">
        <f t="shared" ca="1" si="80"/>
        <v>0</v>
      </c>
      <c r="AE199" s="295"/>
      <c r="AF199" s="295"/>
      <c r="AG199" s="296"/>
      <c r="AH199" s="296"/>
      <c r="AI199" s="296"/>
      <c r="AJ199" s="295"/>
      <c r="AK199" s="324"/>
      <c r="AL199" s="324"/>
      <c r="AM199" s="324"/>
    </row>
    <row r="200" spans="1:39" x14ac:dyDescent="0.25">
      <c r="A200" s="232">
        <f t="shared" si="95"/>
        <v>200</v>
      </c>
      <c r="B200" s="232"/>
      <c r="C200" s="316" t="str">
        <f>+E200</f>
        <v>11.1</v>
      </c>
      <c r="D200" s="297"/>
      <c r="E200" s="317" t="s">
        <v>12047</v>
      </c>
      <c r="F200" s="317"/>
      <c r="G200" s="318" t="s">
        <v>12048</v>
      </c>
      <c r="H200" s="317"/>
      <c r="I200" s="319"/>
      <c r="J200" s="317"/>
      <c r="K200" s="317"/>
      <c r="L200" s="317"/>
      <c r="M200" s="317"/>
      <c r="N200" s="317"/>
      <c r="O200" s="317"/>
      <c r="P200" s="317"/>
      <c r="Q200" s="320"/>
      <c r="R200" s="306"/>
      <c r="S200" s="286"/>
      <c r="T200" s="287"/>
      <c r="U200" s="288" t="str">
        <f t="shared" si="74"/>
        <v/>
      </c>
      <c r="V200" s="287"/>
      <c r="W200" s="289" t="str">
        <f t="shared" si="75"/>
        <v/>
      </c>
      <c r="X200" s="287"/>
      <c r="Y200" s="290" t="str">
        <f t="shared" si="76"/>
        <v/>
      </c>
      <c r="Z200" s="291">
        <f ca="1">SUMIF($T$8:Y$1018,"QUANT.",T200:Y200)</f>
        <v>0</v>
      </c>
      <c r="AA200" s="292">
        <f t="shared" ca="1" si="77"/>
        <v>0</v>
      </c>
      <c r="AB200" s="293" t="str">
        <f t="shared" si="78"/>
        <v/>
      </c>
      <c r="AC200" s="294">
        <f t="shared" ca="1" si="79"/>
        <v>0</v>
      </c>
      <c r="AD200" s="294">
        <f t="shared" ca="1" si="80"/>
        <v>0</v>
      </c>
      <c r="AE200" s="295"/>
      <c r="AF200" s="295"/>
      <c r="AG200" s="296"/>
      <c r="AH200" s="296"/>
      <c r="AI200" s="296"/>
      <c r="AJ200" s="324"/>
      <c r="AK200" s="324"/>
      <c r="AL200" s="324"/>
      <c r="AM200" s="324"/>
    </row>
    <row r="201" spans="1:39" x14ac:dyDescent="0.25">
      <c r="A201" s="232">
        <f t="shared" si="95"/>
        <v>201</v>
      </c>
      <c r="B201" s="232"/>
      <c r="C201" s="307" t="str">
        <f>+C200</f>
        <v>11.1</v>
      </c>
      <c r="D201" s="308">
        <f>1+D200</f>
        <v>1</v>
      </c>
      <c r="E201" s="309" t="str">
        <f>C201&amp;"."&amp;D201</f>
        <v>11.1.1</v>
      </c>
      <c r="F201" s="310">
        <v>88485</v>
      </c>
      <c r="G201" s="311" t="str">
        <f>IF($F201="","",IFERROR(VLOOKUP($F201,SERVIÇOS!$B:$G,2,0),IFERROR(VLOOKUP($F201,'COMPOSIÇÕES COMPLEMENTARES '!$D:$L,2,0),IFERROR(VLOOKUP($F201,INSUMOS!$A:$D,2,0),""))))</f>
        <v>FUNDO SELADOR ACRÍLICO, APLICAÇÃO MANUAL EM PAREDE, UMA DEMÃO. AF_04/2023</v>
      </c>
      <c r="H201" s="312" t="str">
        <f>IF($F201="","",IFERROR(VLOOKUP($F201,SERVIÇOS!$B:$G,3,0),IFERROR(VLOOKUP($F201,'COMPOSIÇÕES COMPLEMENTARES '!$D:$L,3,0),IFERROR(VLOOKUP($F201,INSUMOS!$A:$D,3,0),""))))</f>
        <v>M2</v>
      </c>
      <c r="I201" s="313">
        <v>1286.74</v>
      </c>
      <c r="J201" s="314">
        <f>IF($F201="","",IFERROR(VLOOKUP($F201,SERVIÇOS!$B:$G,4,0),IFERROR(VLOOKUP($F201,'COMPOSIÇÕES COMPLEMENTARES '!$D:$L,6,0),IFERROR(VLOOKUP($F201,INSUMOS!$A:$D,4,0),""))))</f>
        <v>2.42</v>
      </c>
      <c r="K201" s="314">
        <f>IF($F201="","",IFERROR(VLOOKUP($F201,SERVIÇOS!$B:$G,5,0),IFERROR(VLOOKUP($F201,'COMPOSIÇÕES COMPLEMENTARES '!$D:$L,7,0),0)))</f>
        <v>2.25</v>
      </c>
      <c r="L201" s="314">
        <f>IF(I201="","",J201+K201)</f>
        <v>4.67</v>
      </c>
      <c r="M201" s="314">
        <f>IF(I201="","",TRUNC((I201*J201),2))</f>
        <v>3113.91</v>
      </c>
      <c r="N201" s="314">
        <f>IF(I201="","",TRUNC((I201*K201),2))</f>
        <v>2895.16</v>
      </c>
      <c r="O201" s="314">
        <f>IF(I201="","",TRUNC((M201+N201),2))</f>
        <v>6009.07</v>
      </c>
      <c r="P201" s="314"/>
      <c r="Q201" s="315"/>
      <c r="R201" s="315"/>
      <c r="S201" s="286"/>
      <c r="T201" s="287"/>
      <c r="U201" s="288" t="str">
        <f t="shared" ref="U201:U264" si="96">IF(OR(T201="",$O201=""),"",(T201/$I201)*$O201)</f>
        <v/>
      </c>
      <c r="V201" s="287"/>
      <c r="W201" s="289" t="str">
        <f t="shared" ref="W201:W264" si="97">IF(OR(V201="",$O201=""),"",(V201/$I201)*$O201)</f>
        <v/>
      </c>
      <c r="X201" s="287"/>
      <c r="Y201" s="290" t="str">
        <f t="shared" ref="Y201:Y264" si="98">IF(OR(X201="",$O201=""),"",(X201/$I201)*$O201)</f>
        <v/>
      </c>
      <c r="Z201" s="291">
        <f ca="1">SUMIF($T$8:Y$1018,"QUANT.",T201:Y201)</f>
        <v>0</v>
      </c>
      <c r="AA201" s="292">
        <f t="shared" ref="AA201:AA264" ca="1" si="99">SUMIF($T$8:$Y$1018,"CUSTO",T201:Y201)</f>
        <v>0</v>
      </c>
      <c r="AB201" s="293" t="str">
        <f t="shared" ref="AB201:AB264" ca="1" si="100">IF(F201&lt;&gt;"",IF(AA201=0,"MEDIR",IF(O201-AA201=0,"OK",IF(O201-AA201&gt;0,"MEDIR","ALERTA!"))),"")</f>
        <v>MEDIR</v>
      </c>
      <c r="AC201" s="294">
        <f t="shared" ref="AC201:AC264" ca="1" si="101">IF(Z201="",0,I201-Z201)</f>
        <v>1286.74</v>
      </c>
      <c r="AD201" s="294">
        <f t="shared" ref="AD201:AD264" ca="1" si="102">IF(AA201="",0,O201-AA201)</f>
        <v>6009.07</v>
      </c>
      <c r="AE201" s="295"/>
      <c r="AF201" s="295"/>
      <c r="AG201" s="296"/>
      <c r="AH201" s="296"/>
      <c r="AI201" s="296"/>
      <c r="AJ201" s="324"/>
      <c r="AK201" s="324"/>
      <c r="AL201" s="324"/>
      <c r="AM201" s="324"/>
    </row>
    <row r="202" spans="1:39" ht="25.5" x14ac:dyDescent="0.25">
      <c r="A202" s="232">
        <f t="shared" si="95"/>
        <v>202</v>
      </c>
      <c r="B202" s="232"/>
      <c r="C202" s="307" t="str">
        <f>+C201</f>
        <v>11.1</v>
      </c>
      <c r="D202" s="308">
        <f>1+D201</f>
        <v>2</v>
      </c>
      <c r="E202" s="309" t="str">
        <f>C202&amp;"."&amp;D202</f>
        <v>11.1.2</v>
      </c>
      <c r="F202" s="310">
        <v>88497</v>
      </c>
      <c r="G202" s="311" t="str">
        <f>IF($F202="","",IFERROR(VLOOKUP($F202,SERVIÇOS!$B:$G,2,0),IFERROR(VLOOKUP($F202,'COMPOSIÇÕES COMPLEMENTARES '!$D:$L,2,0),IFERROR(VLOOKUP($F202,INSUMOS!$A:$D,2,0),""))))</f>
        <v>EMASSAMENTO COM MASSA LÁTEX, APLICAÇÃO EM PAREDE, DUAS DEMÃOS, LIXAMENTO MANUAL. AF_04/2023</v>
      </c>
      <c r="H202" s="312" t="str">
        <f>IF($F202="","",IFERROR(VLOOKUP($F202,SERVIÇOS!$B:$G,3,0),IFERROR(VLOOKUP($F202,'COMPOSIÇÕES COMPLEMENTARES '!$D:$L,3,0),IFERROR(VLOOKUP($F202,INSUMOS!$A:$D,3,0),""))))</f>
        <v>M2</v>
      </c>
      <c r="I202" s="313">
        <v>1286.74</v>
      </c>
      <c r="J202" s="314">
        <f>IF($F202="","",IFERROR(VLOOKUP($F202,SERVIÇOS!$B:$G,4,0),IFERROR(VLOOKUP($F202,'COMPOSIÇÕES COMPLEMENTARES '!$D:$L,6,0),IFERROR(VLOOKUP($F202,INSUMOS!$A:$D,4,0),""))))</f>
        <v>11.12</v>
      </c>
      <c r="K202" s="314">
        <f>IF($F202="","",IFERROR(VLOOKUP($F202,SERVIÇOS!$B:$G,5,0),IFERROR(VLOOKUP($F202,'COMPOSIÇÕES COMPLEMENTARES '!$D:$L,7,0),0)))</f>
        <v>12.24</v>
      </c>
      <c r="L202" s="314">
        <f>IF(I202="","",J202+K202)</f>
        <v>23.36</v>
      </c>
      <c r="M202" s="314">
        <f>IF(I202="","",TRUNC((I202*J202),2))</f>
        <v>14308.54</v>
      </c>
      <c r="N202" s="314">
        <f>IF(I202="","",TRUNC((I202*K202),2))</f>
        <v>15749.69</v>
      </c>
      <c r="O202" s="314">
        <f>IF(I202="","",TRUNC((M202+N202),2))</f>
        <v>30058.23</v>
      </c>
      <c r="P202" s="314"/>
      <c r="Q202" s="315"/>
      <c r="R202" s="315"/>
      <c r="S202" s="286"/>
      <c r="T202" s="287"/>
      <c r="U202" s="288" t="str">
        <f t="shared" si="96"/>
        <v/>
      </c>
      <c r="V202" s="287"/>
      <c r="W202" s="289" t="str">
        <f t="shared" si="97"/>
        <v/>
      </c>
      <c r="X202" s="287"/>
      <c r="Y202" s="290" t="str">
        <f t="shared" si="98"/>
        <v/>
      </c>
      <c r="Z202" s="291">
        <f ca="1">SUMIF($T$8:Y$1018,"QUANT.",T202:Y202)</f>
        <v>0</v>
      </c>
      <c r="AA202" s="292">
        <f t="shared" ca="1" si="99"/>
        <v>0</v>
      </c>
      <c r="AB202" s="293" t="str">
        <f t="shared" ca="1" si="100"/>
        <v>MEDIR</v>
      </c>
      <c r="AC202" s="294">
        <f t="shared" ca="1" si="101"/>
        <v>1286.74</v>
      </c>
      <c r="AD202" s="294">
        <f t="shared" ca="1" si="102"/>
        <v>30058.23</v>
      </c>
      <c r="AE202" s="295"/>
      <c r="AF202" s="295"/>
      <c r="AG202" s="296"/>
      <c r="AH202" s="296"/>
      <c r="AI202" s="296"/>
      <c r="AJ202" s="324"/>
      <c r="AK202" s="295"/>
      <c r="AL202" s="295"/>
      <c r="AM202" s="295"/>
    </row>
    <row r="203" spans="1:39" x14ac:dyDescent="0.25">
      <c r="A203" s="232">
        <f t="shared" si="95"/>
        <v>203</v>
      </c>
      <c r="B203" s="232"/>
      <c r="C203" s="307" t="str">
        <f>+C202</f>
        <v>11.1</v>
      </c>
      <c r="D203" s="308">
        <f>1+D202</f>
        <v>3</v>
      </c>
      <c r="E203" s="309" t="str">
        <f>C203&amp;"."&amp;D203</f>
        <v>11.1.3</v>
      </c>
      <c r="F203" s="310">
        <v>88489</v>
      </c>
      <c r="G203" s="311" t="str">
        <f>IF($F203="","",IFERROR(VLOOKUP($F203,SERVIÇOS!$B:$G,2,0),IFERROR(VLOOKUP($F203,'COMPOSIÇÕES COMPLEMENTARES '!$D:$L,2,0),IFERROR(VLOOKUP($F203,INSUMOS!$A:$D,2,0),""))))</f>
        <v>PINTURA LÁTEX ACRÍLICA PREMIUM, APLICAÇÃO MANUAL EM PAREDES, DUAS DEMÃOS. AF_04/2023</v>
      </c>
      <c r="H203" s="312" t="str">
        <f>IF($F203="","",IFERROR(VLOOKUP($F203,SERVIÇOS!$B:$G,3,0),IFERROR(VLOOKUP($F203,'COMPOSIÇÕES COMPLEMENTARES '!$D:$L,3,0),IFERROR(VLOOKUP($F203,INSUMOS!$A:$D,3,0),""))))</f>
        <v>M2</v>
      </c>
      <c r="I203" s="313">
        <v>1286.74</v>
      </c>
      <c r="J203" s="314">
        <f>IF($F203="","",IFERROR(VLOOKUP($F203,SERVIÇOS!$B:$G,4,0),IFERROR(VLOOKUP($F203,'COMPOSIÇÕES COMPLEMENTARES '!$D:$L,6,0),IFERROR(VLOOKUP($F203,INSUMOS!$A:$D,4,0),""))))</f>
        <v>8.69</v>
      </c>
      <c r="K203" s="314">
        <f>IF($F203="","",IFERROR(VLOOKUP($F203,SERVIÇOS!$B:$G,5,0),IFERROR(VLOOKUP($F203,'COMPOSIÇÕES COMPLEMENTARES '!$D:$L,7,0),0)))</f>
        <v>5.53</v>
      </c>
      <c r="L203" s="314">
        <f>IF(I203="","",J203+K203)</f>
        <v>14.219999999999999</v>
      </c>
      <c r="M203" s="314">
        <f>IF(I203="","",TRUNC((I203*J203),2))</f>
        <v>11181.77</v>
      </c>
      <c r="N203" s="314">
        <f>IF(I203="","",TRUNC((I203*K203),2))</f>
        <v>7115.67</v>
      </c>
      <c r="O203" s="314">
        <f>IF(I203="","",TRUNC((M203+N203),2))</f>
        <v>18297.439999999999</v>
      </c>
      <c r="P203" s="314"/>
      <c r="Q203" s="315"/>
      <c r="R203" s="315"/>
      <c r="S203" s="286"/>
      <c r="T203" s="287"/>
      <c r="U203" s="288" t="str">
        <f t="shared" si="96"/>
        <v/>
      </c>
      <c r="V203" s="287"/>
      <c r="W203" s="289" t="str">
        <f t="shared" si="97"/>
        <v/>
      </c>
      <c r="X203" s="287"/>
      <c r="Y203" s="290" t="str">
        <f t="shared" si="98"/>
        <v/>
      </c>
      <c r="Z203" s="291">
        <f ca="1">SUMIF($T$8:Y$1018,"QUANT.",T203:Y203)</f>
        <v>0</v>
      </c>
      <c r="AA203" s="292">
        <f t="shared" ca="1" si="99"/>
        <v>0</v>
      </c>
      <c r="AB203" s="293" t="str">
        <f t="shared" ca="1" si="100"/>
        <v>MEDIR</v>
      </c>
      <c r="AC203" s="294">
        <f t="shared" ca="1" si="101"/>
        <v>1286.74</v>
      </c>
      <c r="AD203" s="294">
        <f t="shared" ca="1" si="102"/>
        <v>18297.439999999999</v>
      </c>
      <c r="AE203" s="295"/>
      <c r="AF203" s="295"/>
      <c r="AG203" s="296"/>
      <c r="AH203" s="296"/>
      <c r="AI203" s="296"/>
      <c r="AJ203" s="324"/>
      <c r="AK203" s="324"/>
      <c r="AL203" s="324"/>
      <c r="AM203" s="324"/>
    </row>
    <row r="204" spans="1:39" x14ac:dyDescent="0.25">
      <c r="A204" s="232">
        <f t="shared" si="95"/>
        <v>204</v>
      </c>
      <c r="B204" s="232"/>
      <c r="C204" s="316" t="str">
        <f>+E204</f>
        <v>11.2</v>
      </c>
      <c r="D204" s="297"/>
      <c r="E204" s="317" t="s">
        <v>12049</v>
      </c>
      <c r="F204" s="317"/>
      <c r="G204" s="318" t="s">
        <v>12050</v>
      </c>
      <c r="H204" s="317"/>
      <c r="I204" s="319"/>
      <c r="J204" s="317"/>
      <c r="K204" s="317"/>
      <c r="L204" s="317"/>
      <c r="M204" s="317"/>
      <c r="N204" s="317"/>
      <c r="O204" s="317"/>
      <c r="P204" s="317"/>
      <c r="Q204" s="320"/>
      <c r="R204" s="306"/>
      <c r="S204" s="286"/>
      <c r="T204" s="287"/>
      <c r="U204" s="288" t="str">
        <f t="shared" si="96"/>
        <v/>
      </c>
      <c r="V204" s="287"/>
      <c r="W204" s="289" t="str">
        <f t="shared" si="97"/>
        <v/>
      </c>
      <c r="X204" s="287"/>
      <c r="Y204" s="290" t="str">
        <f t="shared" si="98"/>
        <v/>
      </c>
      <c r="Z204" s="291">
        <f ca="1">SUMIF($T$8:Y$1018,"QUANT.",T204:Y204)</f>
        <v>0</v>
      </c>
      <c r="AA204" s="292">
        <f t="shared" ca="1" si="99"/>
        <v>0</v>
      </c>
      <c r="AB204" s="293" t="str">
        <f t="shared" si="100"/>
        <v/>
      </c>
      <c r="AC204" s="294">
        <f t="shared" ca="1" si="101"/>
        <v>0</v>
      </c>
      <c r="AD204" s="294">
        <f t="shared" ca="1" si="102"/>
        <v>0</v>
      </c>
      <c r="AE204" s="295"/>
      <c r="AF204" s="295"/>
      <c r="AG204" s="296"/>
      <c r="AH204" s="296"/>
      <c r="AI204" s="296"/>
      <c r="AJ204" s="324"/>
      <c r="AK204" s="324"/>
      <c r="AL204" s="324"/>
      <c r="AM204" s="324"/>
    </row>
    <row r="205" spans="1:39" x14ac:dyDescent="0.25">
      <c r="A205" s="232">
        <f t="shared" si="95"/>
        <v>205</v>
      </c>
      <c r="B205" s="232"/>
      <c r="C205" s="307" t="str">
        <f>+C204</f>
        <v>11.2</v>
      </c>
      <c r="D205" s="308">
        <f>1+D204</f>
        <v>1</v>
      </c>
      <c r="E205" s="309" t="str">
        <f>C205&amp;"."&amp;D205</f>
        <v>11.2.1</v>
      </c>
      <c r="F205" s="310">
        <v>88415</v>
      </c>
      <c r="G205" s="311" t="str">
        <f>IF($F205="","",IFERROR(VLOOKUP($F205,SERVIÇOS!$B:$G,2,0),IFERROR(VLOOKUP($F205,'COMPOSIÇÕES COMPLEMENTARES '!$D:$L,2,0),IFERROR(VLOOKUP($F205,INSUMOS!$A:$D,2,0),""))))</f>
        <v>APLICAÇÃO MANUAL DE FUNDO SELADOR ACRÍLICO EM PAREDES EXTERNAS DE CASAS. AF_03/2024</v>
      </c>
      <c r="H205" s="312" t="str">
        <f>IF($F205="","",IFERROR(VLOOKUP($F205,SERVIÇOS!$B:$G,3,0),IFERROR(VLOOKUP($F205,'COMPOSIÇÕES COMPLEMENTARES '!$D:$L,3,0),IFERROR(VLOOKUP($F205,INSUMOS!$A:$D,3,0),""))))</f>
        <v>M2</v>
      </c>
      <c r="I205" s="313">
        <v>763.86</v>
      </c>
      <c r="J205" s="314">
        <f>IF($F205="","",IFERROR(VLOOKUP($F205,SERVIÇOS!$B:$G,4,0),IFERROR(VLOOKUP($F205,'COMPOSIÇÕES COMPLEMENTARES '!$D:$L,6,0),IFERROR(VLOOKUP($F205,INSUMOS!$A:$D,4,0),""))))</f>
        <v>3.35</v>
      </c>
      <c r="K205" s="314">
        <f>IF($F205="","",IFERROR(VLOOKUP($F205,SERVIÇOS!$B:$G,5,0),IFERROR(VLOOKUP($F205,'COMPOSIÇÕES COMPLEMENTARES '!$D:$L,7,0),0)))</f>
        <v>1.71</v>
      </c>
      <c r="L205" s="314">
        <f>IF(I205="","",J205+K205)</f>
        <v>5.0600000000000005</v>
      </c>
      <c r="M205" s="314">
        <f>IF(I205="","",TRUNC((I205*J205),2))</f>
        <v>2558.9299999999998</v>
      </c>
      <c r="N205" s="314">
        <f>IF(I205="","",TRUNC((I205*K205),2))</f>
        <v>1306.2</v>
      </c>
      <c r="O205" s="314">
        <f>IF(I205="","",TRUNC((M205+N205),2))</f>
        <v>3865.13</v>
      </c>
      <c r="P205" s="314"/>
      <c r="Q205" s="315"/>
      <c r="R205" s="315"/>
      <c r="S205" s="286"/>
      <c r="T205" s="287"/>
      <c r="U205" s="288" t="str">
        <f t="shared" si="96"/>
        <v/>
      </c>
      <c r="V205" s="287"/>
      <c r="W205" s="289" t="str">
        <f t="shared" si="97"/>
        <v/>
      </c>
      <c r="X205" s="287"/>
      <c r="Y205" s="290" t="str">
        <f t="shared" si="98"/>
        <v/>
      </c>
      <c r="Z205" s="291">
        <f ca="1">SUMIF($T$8:Y$1018,"QUANT.",T205:Y205)</f>
        <v>0</v>
      </c>
      <c r="AA205" s="292">
        <f t="shared" ca="1" si="99"/>
        <v>0</v>
      </c>
      <c r="AB205" s="293" t="str">
        <f t="shared" ca="1" si="100"/>
        <v>MEDIR</v>
      </c>
      <c r="AC205" s="294">
        <f t="shared" ca="1" si="101"/>
        <v>763.86</v>
      </c>
      <c r="AD205" s="294">
        <f t="shared" ca="1" si="102"/>
        <v>3865.13</v>
      </c>
      <c r="AE205" s="295"/>
      <c r="AF205" s="295"/>
      <c r="AG205" s="296"/>
      <c r="AH205" s="296"/>
      <c r="AI205" s="296"/>
      <c r="AJ205" s="324"/>
      <c r="AK205" s="324"/>
      <c r="AL205" s="324"/>
      <c r="AM205" s="324"/>
    </row>
    <row r="206" spans="1:39" x14ac:dyDescent="0.25">
      <c r="A206" s="232">
        <f t="shared" si="95"/>
        <v>206</v>
      </c>
      <c r="B206" s="232"/>
      <c r="C206" s="307" t="str">
        <f>+C205</f>
        <v>11.2</v>
      </c>
      <c r="D206" s="308">
        <f>1+D205</f>
        <v>2</v>
      </c>
      <c r="E206" s="309" t="str">
        <f>C206&amp;"."&amp;D206</f>
        <v>11.2.2</v>
      </c>
      <c r="F206" s="310">
        <v>95305</v>
      </c>
      <c r="G206" s="311" t="str">
        <f>IF($F206="","",IFERROR(VLOOKUP($F206,SERVIÇOS!$B:$G,2,0),IFERROR(VLOOKUP($F206,'COMPOSIÇÕES COMPLEMENTARES '!$D:$L,2,0),IFERROR(VLOOKUP($F206,INSUMOS!$A:$D,2,0),""))))</f>
        <v>TEXTURA ACRÍLICA, APLICAÇÃO MANUAL EM PAREDE, UMA DEMÃO. AF_04/2023</v>
      </c>
      <c r="H206" s="312" t="str">
        <f>IF($F206="","",IFERROR(VLOOKUP($F206,SERVIÇOS!$B:$G,3,0),IFERROR(VLOOKUP($F206,'COMPOSIÇÕES COMPLEMENTARES '!$D:$L,3,0),IFERROR(VLOOKUP($F206,INSUMOS!$A:$D,3,0),""))))</f>
        <v>M2</v>
      </c>
      <c r="I206" s="313">
        <v>670.99</v>
      </c>
      <c r="J206" s="314">
        <f>IF($F206="","",IFERROR(VLOOKUP($F206,SERVIÇOS!$B:$G,4,0),IFERROR(VLOOKUP($F206,'COMPOSIÇÕES COMPLEMENTARES '!$D:$L,6,0),IFERROR(VLOOKUP($F206,INSUMOS!$A:$D,4,0),""))))</f>
        <v>9.5399999999999991</v>
      </c>
      <c r="K206" s="314">
        <f>IF($F206="","",IFERROR(VLOOKUP($F206,SERVIÇOS!$B:$G,5,0),IFERROR(VLOOKUP($F206,'COMPOSIÇÕES COMPLEMENTARES '!$D:$L,7,0),0)))</f>
        <v>5.23</v>
      </c>
      <c r="L206" s="314">
        <f>IF(I206="","",J206+K206)</f>
        <v>14.77</v>
      </c>
      <c r="M206" s="314">
        <f>IF(I206="","",TRUNC((I206*J206),2))</f>
        <v>6401.24</v>
      </c>
      <c r="N206" s="314">
        <f>IF(I206="","",TRUNC((I206*K206),2))</f>
        <v>3509.27</v>
      </c>
      <c r="O206" s="314">
        <f>IF(I206="","",TRUNC((M206+N206),2))</f>
        <v>9910.51</v>
      </c>
      <c r="P206" s="314"/>
      <c r="Q206" s="315"/>
      <c r="R206" s="315"/>
      <c r="S206" s="286"/>
      <c r="T206" s="287"/>
      <c r="U206" s="288" t="str">
        <f t="shared" si="96"/>
        <v/>
      </c>
      <c r="V206" s="287"/>
      <c r="W206" s="289" t="str">
        <f t="shared" si="97"/>
        <v/>
      </c>
      <c r="X206" s="287"/>
      <c r="Y206" s="290" t="str">
        <f t="shared" si="98"/>
        <v/>
      </c>
      <c r="Z206" s="291">
        <f ca="1">SUMIF($T$8:Y$1018,"QUANT.",T206:Y206)</f>
        <v>0</v>
      </c>
      <c r="AA206" s="292">
        <f t="shared" ca="1" si="99"/>
        <v>0</v>
      </c>
      <c r="AB206" s="293" t="str">
        <f t="shared" ca="1" si="100"/>
        <v>MEDIR</v>
      </c>
      <c r="AC206" s="294">
        <f t="shared" ca="1" si="101"/>
        <v>670.99</v>
      </c>
      <c r="AD206" s="294">
        <f t="shared" ca="1" si="102"/>
        <v>9910.51</v>
      </c>
      <c r="AE206" s="295"/>
      <c r="AF206" s="295"/>
      <c r="AG206" s="296"/>
      <c r="AH206" s="296"/>
      <c r="AI206" s="296"/>
      <c r="AJ206" s="324"/>
      <c r="AK206" s="324"/>
      <c r="AL206" s="324"/>
      <c r="AM206" s="324"/>
    </row>
    <row r="207" spans="1:39" x14ac:dyDescent="0.25">
      <c r="A207" s="232">
        <f t="shared" si="95"/>
        <v>207</v>
      </c>
      <c r="B207" s="232"/>
      <c r="C207" s="307" t="str">
        <f>+C206</f>
        <v>11.2</v>
      </c>
      <c r="D207" s="308">
        <f>1+D206</f>
        <v>3</v>
      </c>
      <c r="E207" s="309" t="str">
        <f>C207&amp;"."&amp;D207</f>
        <v>11.2.3</v>
      </c>
      <c r="F207" s="310">
        <v>96135</v>
      </c>
      <c r="G207" s="311" t="str">
        <f>IF($F207="","",IFERROR(VLOOKUP($F207,SERVIÇOS!$B:$G,2,0),IFERROR(VLOOKUP($F207,'COMPOSIÇÕES COMPLEMENTARES '!$D:$L,2,0),IFERROR(VLOOKUP($F207,INSUMOS!$A:$D,2,0),""))))</f>
        <v>APLICAÇÃO MANUAL DE MASSA ACRÍLICA EM PAREDES EXTERNAS DE CASAS, DUAS DEMÃOS. AF_03/2024</v>
      </c>
      <c r="H207" s="312" t="str">
        <f>IF($F207="","",IFERROR(VLOOKUP($F207,SERVIÇOS!$B:$G,3,0),IFERROR(VLOOKUP($F207,'COMPOSIÇÕES COMPLEMENTARES '!$D:$L,3,0),IFERROR(VLOOKUP($F207,INSUMOS!$A:$D,3,0),""))))</f>
        <v>M2</v>
      </c>
      <c r="I207" s="313">
        <v>92.87</v>
      </c>
      <c r="J207" s="314">
        <f>IF($F207="","",IFERROR(VLOOKUP($F207,SERVIÇOS!$B:$G,4,0),IFERROR(VLOOKUP($F207,'COMPOSIÇÕES COMPLEMENTARES '!$D:$L,6,0),IFERROR(VLOOKUP($F207,INSUMOS!$A:$D,4,0),""))))</f>
        <v>19.07</v>
      </c>
      <c r="K207" s="314">
        <f>IF($F207="","",IFERROR(VLOOKUP($F207,SERVIÇOS!$B:$G,5,0),IFERROR(VLOOKUP($F207,'COMPOSIÇÕES COMPLEMENTARES '!$D:$L,7,0),0)))</f>
        <v>19.43</v>
      </c>
      <c r="L207" s="314">
        <f>IF(I207="","",J207+K207)</f>
        <v>38.5</v>
      </c>
      <c r="M207" s="314">
        <f>IF(I207="","",TRUNC((I207*J207),2))</f>
        <v>1771.03</v>
      </c>
      <c r="N207" s="314">
        <f>IF(I207="","",TRUNC((I207*K207),2))</f>
        <v>1804.46</v>
      </c>
      <c r="O207" s="314">
        <f>IF(I207="","",TRUNC((M207+N207),2))</f>
        <v>3575.49</v>
      </c>
      <c r="P207" s="314"/>
      <c r="Q207" s="315"/>
      <c r="R207" s="315"/>
      <c r="S207" s="286"/>
      <c r="T207" s="287"/>
      <c r="U207" s="288" t="str">
        <f t="shared" si="96"/>
        <v/>
      </c>
      <c r="V207" s="287"/>
      <c r="W207" s="289" t="str">
        <f t="shared" si="97"/>
        <v/>
      </c>
      <c r="X207" s="287"/>
      <c r="Y207" s="290" t="str">
        <f t="shared" si="98"/>
        <v/>
      </c>
      <c r="Z207" s="291">
        <f ca="1">SUMIF($T$8:Y$1018,"QUANT.",T207:Y207)</f>
        <v>0</v>
      </c>
      <c r="AA207" s="292">
        <f t="shared" ca="1" si="99"/>
        <v>0</v>
      </c>
      <c r="AB207" s="293" t="str">
        <f t="shared" ca="1" si="100"/>
        <v>MEDIR</v>
      </c>
      <c r="AC207" s="294">
        <f t="shared" ca="1" si="101"/>
        <v>92.87</v>
      </c>
      <c r="AD207" s="294">
        <f t="shared" ca="1" si="102"/>
        <v>3575.49</v>
      </c>
      <c r="AE207" s="295"/>
      <c r="AF207" s="295"/>
      <c r="AG207" s="296"/>
      <c r="AH207" s="296"/>
      <c r="AI207" s="296"/>
      <c r="AJ207" s="324"/>
      <c r="AK207" s="324"/>
      <c r="AL207" s="324"/>
      <c r="AM207" s="324"/>
    </row>
    <row r="208" spans="1:39" x14ac:dyDescent="0.25">
      <c r="A208" s="232">
        <f t="shared" si="95"/>
        <v>208</v>
      </c>
      <c r="B208" s="232"/>
      <c r="C208" s="307" t="str">
        <f>+C207</f>
        <v>11.2</v>
      </c>
      <c r="D208" s="308">
        <f>1+D207</f>
        <v>4</v>
      </c>
      <c r="E208" s="309" t="str">
        <f>C208&amp;"."&amp;D208</f>
        <v>11.2.4</v>
      </c>
      <c r="F208" s="310">
        <v>95626</v>
      </c>
      <c r="G208" s="311" t="str">
        <f>IF($F208="","",IFERROR(VLOOKUP($F208,SERVIÇOS!$B:$G,2,0),IFERROR(VLOOKUP($F208,'COMPOSIÇÕES COMPLEMENTARES '!$D:$L,2,0),IFERROR(VLOOKUP($F208,INSUMOS!$A:$D,2,0),""))))</f>
        <v>APLICAÇÃO MANUAL DE TINTA LÁTEX ACRÍLICA EM PAREDE EXTERNAS DE CASAS, DUAS DEMÃOS. AF_03/2024</v>
      </c>
      <c r="H208" s="312" t="str">
        <f>IF($F208="","",IFERROR(VLOOKUP($F208,SERVIÇOS!$B:$G,3,0),IFERROR(VLOOKUP($F208,'COMPOSIÇÕES COMPLEMENTARES '!$D:$L,3,0),IFERROR(VLOOKUP($F208,INSUMOS!$A:$D,3,0),""))))</f>
        <v>M2</v>
      </c>
      <c r="I208" s="313">
        <v>92.87</v>
      </c>
      <c r="J208" s="314">
        <f>IF($F208="","",IFERROR(VLOOKUP($F208,SERVIÇOS!$B:$G,4,0),IFERROR(VLOOKUP($F208,'COMPOSIÇÕES COMPLEMENTARES '!$D:$L,6,0),IFERROR(VLOOKUP($F208,INSUMOS!$A:$D,4,0),""))))</f>
        <v>9.3699999999999992</v>
      </c>
      <c r="K208" s="314">
        <f>IF($F208="","",IFERROR(VLOOKUP($F208,SERVIÇOS!$B:$G,5,0),IFERROR(VLOOKUP($F208,'COMPOSIÇÕES COMPLEMENTARES '!$D:$L,7,0),0)))</f>
        <v>8.76</v>
      </c>
      <c r="L208" s="314">
        <f>IF(I208="","",J208+K208)</f>
        <v>18.13</v>
      </c>
      <c r="M208" s="314">
        <f>IF(I208="","",TRUNC((I208*J208),2))</f>
        <v>870.19</v>
      </c>
      <c r="N208" s="314">
        <f>IF(I208="","",TRUNC((I208*K208),2))</f>
        <v>813.54</v>
      </c>
      <c r="O208" s="314">
        <f>IF(I208="","",TRUNC((M208+N208),2))</f>
        <v>1683.73</v>
      </c>
      <c r="P208" s="314"/>
      <c r="Q208" s="315"/>
      <c r="R208" s="315"/>
      <c r="S208" s="286"/>
      <c r="T208" s="287"/>
      <c r="U208" s="288" t="str">
        <f t="shared" si="96"/>
        <v/>
      </c>
      <c r="V208" s="287"/>
      <c r="W208" s="289" t="str">
        <f t="shared" si="97"/>
        <v/>
      </c>
      <c r="X208" s="287"/>
      <c r="Y208" s="290" t="str">
        <f t="shared" si="98"/>
        <v/>
      </c>
      <c r="Z208" s="291">
        <f ca="1">SUMIF($T$8:Y$1018,"QUANT.",T208:Y208)</f>
        <v>0</v>
      </c>
      <c r="AA208" s="292">
        <f t="shared" ca="1" si="99"/>
        <v>0</v>
      </c>
      <c r="AB208" s="293" t="str">
        <f t="shared" ca="1" si="100"/>
        <v>MEDIR</v>
      </c>
      <c r="AC208" s="294">
        <f t="shared" ca="1" si="101"/>
        <v>92.87</v>
      </c>
      <c r="AD208" s="294">
        <f t="shared" ca="1" si="102"/>
        <v>1683.73</v>
      </c>
      <c r="AE208" s="295"/>
      <c r="AF208" s="295"/>
      <c r="AG208" s="296"/>
      <c r="AH208" s="296"/>
      <c r="AI208" s="296"/>
      <c r="AJ208" s="324"/>
      <c r="AK208" s="324"/>
      <c r="AL208" s="324"/>
      <c r="AM208" s="324"/>
    </row>
    <row r="209" spans="1:39" x14ac:dyDescent="0.25">
      <c r="A209" s="232">
        <f t="shared" si="95"/>
        <v>209</v>
      </c>
      <c r="B209" s="232"/>
      <c r="C209" s="316" t="str">
        <f>+E209</f>
        <v>11.3</v>
      </c>
      <c r="D209" s="297"/>
      <c r="E209" s="317" t="s">
        <v>12051</v>
      </c>
      <c r="F209" s="317"/>
      <c r="G209" s="318" t="s">
        <v>12046</v>
      </c>
      <c r="H209" s="317"/>
      <c r="I209" s="319"/>
      <c r="J209" s="317"/>
      <c r="K209" s="317"/>
      <c r="L209" s="317"/>
      <c r="M209" s="317"/>
      <c r="N209" s="317"/>
      <c r="O209" s="317"/>
      <c r="P209" s="317"/>
      <c r="Q209" s="320"/>
      <c r="R209" s="306"/>
      <c r="S209" s="286"/>
      <c r="T209" s="287"/>
      <c r="U209" s="288" t="str">
        <f t="shared" si="96"/>
        <v/>
      </c>
      <c r="V209" s="287"/>
      <c r="W209" s="289" t="str">
        <f t="shared" si="97"/>
        <v/>
      </c>
      <c r="X209" s="287"/>
      <c r="Y209" s="290" t="str">
        <f t="shared" si="98"/>
        <v/>
      </c>
      <c r="Z209" s="291">
        <f ca="1">SUMIF($T$8:Y$1018,"QUANT.",T209:Y209)</f>
        <v>0</v>
      </c>
      <c r="AA209" s="292">
        <f t="shared" ca="1" si="99"/>
        <v>0</v>
      </c>
      <c r="AB209" s="293" t="str">
        <f t="shared" si="100"/>
        <v/>
      </c>
      <c r="AC209" s="294">
        <f t="shared" ca="1" si="101"/>
        <v>0</v>
      </c>
      <c r="AD209" s="294">
        <f t="shared" ca="1" si="102"/>
        <v>0</v>
      </c>
      <c r="AE209" s="295"/>
      <c r="AF209" s="295"/>
      <c r="AG209" s="296"/>
      <c r="AH209" s="296"/>
      <c r="AI209" s="296"/>
      <c r="AJ209" s="324"/>
      <c r="AK209" s="324"/>
      <c r="AL209" s="324"/>
      <c r="AM209" s="324"/>
    </row>
    <row r="210" spans="1:39" x14ac:dyDescent="0.25">
      <c r="A210" s="232">
        <f t="shared" si="95"/>
        <v>210</v>
      </c>
      <c r="B210" s="232"/>
      <c r="C210" s="307" t="str">
        <f>+C209</f>
        <v>11.3</v>
      </c>
      <c r="D210" s="308">
        <f>1+D209</f>
        <v>1</v>
      </c>
      <c r="E210" s="309" t="str">
        <f>C210&amp;"."&amp;D210</f>
        <v>11.3.1</v>
      </c>
      <c r="F210" s="310">
        <v>88484</v>
      </c>
      <c r="G210" s="311" t="str">
        <f>IF($F210="","",IFERROR(VLOOKUP($F210,SERVIÇOS!$B:$G,2,0),IFERROR(VLOOKUP($F210,'COMPOSIÇÕES COMPLEMENTARES '!$D:$L,2,0),IFERROR(VLOOKUP($F210,INSUMOS!$A:$D,2,0),""))))</f>
        <v>FUNDO SELADOR ACRÍLICO, APLICAÇÃO MANUAL EM TETO, UMA DEMÃO. AF_04/2023</v>
      </c>
      <c r="H210" s="312" t="str">
        <f>IF($F210="","",IFERROR(VLOOKUP($F210,SERVIÇOS!$B:$G,3,0),IFERROR(VLOOKUP($F210,'COMPOSIÇÕES COMPLEMENTARES '!$D:$L,3,0),IFERROR(VLOOKUP($F210,INSUMOS!$A:$D,3,0),""))))</f>
        <v>M2</v>
      </c>
      <c r="I210" s="313">
        <v>528.25</v>
      </c>
      <c r="J210" s="314">
        <f>IF($F210="","",IFERROR(VLOOKUP($F210,SERVIÇOS!$B:$G,4,0),IFERROR(VLOOKUP($F210,'COMPOSIÇÕES COMPLEMENTARES '!$D:$L,6,0),IFERROR(VLOOKUP($F210,INSUMOS!$A:$D,4,0),""))))</f>
        <v>2.8</v>
      </c>
      <c r="K210" s="314">
        <f>IF($F210="","",IFERROR(VLOOKUP($F210,SERVIÇOS!$B:$G,5,0),IFERROR(VLOOKUP($F210,'COMPOSIÇÕES COMPLEMENTARES '!$D:$L,7,0),0)))</f>
        <v>3.13</v>
      </c>
      <c r="L210" s="314">
        <f>IF(I210="","",J210+K210)</f>
        <v>5.93</v>
      </c>
      <c r="M210" s="314">
        <f>IF(I210="","",TRUNC((I210*J210),2))</f>
        <v>1479.1</v>
      </c>
      <c r="N210" s="314">
        <f>IF(I210="","",TRUNC((I210*K210),2))</f>
        <v>1653.42</v>
      </c>
      <c r="O210" s="314">
        <f>IF(I210="","",TRUNC((M210+N210),2))</f>
        <v>3132.52</v>
      </c>
      <c r="P210" s="314"/>
      <c r="Q210" s="315"/>
      <c r="R210" s="315"/>
      <c r="S210" s="286"/>
      <c r="T210" s="287"/>
      <c r="U210" s="288" t="str">
        <f t="shared" si="96"/>
        <v/>
      </c>
      <c r="V210" s="287"/>
      <c r="W210" s="289" t="str">
        <f t="shared" si="97"/>
        <v/>
      </c>
      <c r="X210" s="287"/>
      <c r="Y210" s="290" t="str">
        <f t="shared" si="98"/>
        <v/>
      </c>
      <c r="Z210" s="291">
        <f ca="1">SUMIF($T$8:Y$1018,"QUANT.",T210:Y210)</f>
        <v>0</v>
      </c>
      <c r="AA210" s="292">
        <f t="shared" ca="1" si="99"/>
        <v>0</v>
      </c>
      <c r="AB210" s="293" t="str">
        <f t="shared" ca="1" si="100"/>
        <v>MEDIR</v>
      </c>
      <c r="AC210" s="294">
        <f t="shared" ca="1" si="101"/>
        <v>528.25</v>
      </c>
      <c r="AD210" s="294">
        <f t="shared" ca="1" si="102"/>
        <v>3132.52</v>
      </c>
      <c r="AE210" s="295"/>
      <c r="AF210" s="295"/>
      <c r="AG210" s="296"/>
      <c r="AH210" s="296"/>
      <c r="AI210" s="296"/>
      <c r="AJ210" s="324"/>
      <c r="AK210" s="324"/>
      <c r="AL210" s="324"/>
      <c r="AM210" s="324"/>
    </row>
    <row r="211" spans="1:39" ht="25.5" x14ac:dyDescent="0.25">
      <c r="A211" s="232">
        <f t="shared" si="95"/>
        <v>211</v>
      </c>
      <c r="B211" s="232"/>
      <c r="C211" s="307" t="str">
        <f>+C210</f>
        <v>11.3</v>
      </c>
      <c r="D211" s="308">
        <f>1+D210</f>
        <v>2</v>
      </c>
      <c r="E211" s="309" t="str">
        <f>C211&amp;"."&amp;D211</f>
        <v>11.3.2</v>
      </c>
      <c r="F211" s="310">
        <v>88496</v>
      </c>
      <c r="G211" s="311" t="str">
        <f>IF($F211="","",IFERROR(VLOOKUP($F211,SERVIÇOS!$B:$G,2,0),IFERROR(VLOOKUP($F211,'COMPOSIÇÕES COMPLEMENTARES '!$D:$L,2,0),IFERROR(VLOOKUP($F211,INSUMOS!$A:$D,2,0),""))))</f>
        <v>EMASSAMENTO COM MASSA LÁTEX, APLICAÇÃO EM TETO, DUAS DEMÃOS, LIXAMENTO MANUAL. AF_04/2023</v>
      </c>
      <c r="H211" s="312" t="str">
        <f>IF($F211="","",IFERROR(VLOOKUP($F211,SERVIÇOS!$B:$G,3,0),IFERROR(VLOOKUP($F211,'COMPOSIÇÕES COMPLEMENTARES '!$D:$L,3,0),IFERROR(VLOOKUP($F211,INSUMOS!$A:$D,3,0),""))))</f>
        <v>M2</v>
      </c>
      <c r="I211" s="313">
        <v>528.25</v>
      </c>
      <c r="J211" s="314">
        <f>IF($F211="","",IFERROR(VLOOKUP($F211,SERVIÇOS!$B:$G,4,0),IFERROR(VLOOKUP($F211,'COMPOSIÇÕES COMPLEMENTARES '!$D:$L,6,0),IFERROR(VLOOKUP($F211,INSUMOS!$A:$D,4,0),""))))</f>
        <v>16.510000000000002</v>
      </c>
      <c r="K211" s="314">
        <f>IF($F211="","",IFERROR(VLOOKUP($F211,SERVIÇOS!$B:$G,5,0),IFERROR(VLOOKUP($F211,'COMPOSIÇÕES COMPLEMENTARES '!$D:$L,7,0),0)))</f>
        <v>25.17</v>
      </c>
      <c r="L211" s="314">
        <f>IF(I211="","",J211+K211)</f>
        <v>41.680000000000007</v>
      </c>
      <c r="M211" s="314">
        <f>IF(I211="","",TRUNC((I211*J211),2))</f>
        <v>8721.4</v>
      </c>
      <c r="N211" s="314">
        <f>IF(I211="","",TRUNC((I211*K211),2))</f>
        <v>13296.05</v>
      </c>
      <c r="O211" s="314">
        <f>IF(I211="","",TRUNC((M211+N211),2))</f>
        <v>22017.45</v>
      </c>
      <c r="P211" s="314"/>
      <c r="Q211" s="315"/>
      <c r="R211" s="315"/>
      <c r="S211" s="286"/>
      <c r="T211" s="287"/>
      <c r="U211" s="288" t="str">
        <f t="shared" si="96"/>
        <v/>
      </c>
      <c r="V211" s="287"/>
      <c r="W211" s="289" t="str">
        <f t="shared" si="97"/>
        <v/>
      </c>
      <c r="X211" s="287"/>
      <c r="Y211" s="290" t="str">
        <f t="shared" si="98"/>
        <v/>
      </c>
      <c r="Z211" s="291">
        <f ca="1">SUMIF($T$8:Y$1018,"QUANT.",T211:Y211)</f>
        <v>0</v>
      </c>
      <c r="AA211" s="292">
        <f t="shared" ca="1" si="99"/>
        <v>0</v>
      </c>
      <c r="AB211" s="293" t="str">
        <f t="shared" ca="1" si="100"/>
        <v>MEDIR</v>
      </c>
      <c r="AC211" s="294">
        <f t="shared" ca="1" si="101"/>
        <v>528.25</v>
      </c>
      <c r="AD211" s="294">
        <f t="shared" ca="1" si="102"/>
        <v>22017.45</v>
      </c>
      <c r="AE211" s="295"/>
      <c r="AF211" s="295"/>
      <c r="AG211" s="296"/>
      <c r="AH211" s="296"/>
      <c r="AI211" s="296"/>
      <c r="AJ211" s="324"/>
      <c r="AK211" s="324"/>
      <c r="AL211" s="324"/>
      <c r="AM211" s="324"/>
    </row>
    <row r="212" spans="1:39" x14ac:dyDescent="0.25">
      <c r="A212" s="232">
        <f t="shared" si="95"/>
        <v>212</v>
      </c>
      <c r="B212" s="232"/>
      <c r="C212" s="307" t="str">
        <f>+C211</f>
        <v>11.3</v>
      </c>
      <c r="D212" s="308">
        <f>1+D211</f>
        <v>3</v>
      </c>
      <c r="E212" s="309" t="str">
        <f>C212&amp;"."&amp;D212</f>
        <v>11.3.3</v>
      </c>
      <c r="F212" s="310">
        <v>88488</v>
      </c>
      <c r="G212" s="311" t="str">
        <f>IF($F212="","",IFERROR(VLOOKUP($F212,SERVIÇOS!$B:$G,2,0),IFERROR(VLOOKUP($F212,'COMPOSIÇÕES COMPLEMENTARES '!$D:$L,2,0),IFERROR(VLOOKUP($F212,INSUMOS!$A:$D,2,0),""))))</f>
        <v>PINTURA LÁTEX ACRÍLICA PREMIUM, APLICAÇÃO MANUAL EM TETO, DUAS DEMÃOS. AF_04/2023</v>
      </c>
      <c r="H212" s="312" t="str">
        <f>IF($F212="","",IFERROR(VLOOKUP($F212,SERVIÇOS!$B:$G,3,0),IFERROR(VLOOKUP($F212,'COMPOSIÇÕES COMPLEMENTARES '!$D:$L,3,0),IFERROR(VLOOKUP($F212,INSUMOS!$A:$D,3,0),""))))</f>
        <v>M2</v>
      </c>
      <c r="I212" s="313">
        <v>528.25</v>
      </c>
      <c r="J212" s="314">
        <f>IF($F212="","",IFERROR(VLOOKUP($F212,SERVIÇOS!$B:$G,4,0),IFERROR(VLOOKUP($F212,'COMPOSIÇÕES COMPLEMENTARES '!$D:$L,6,0),IFERROR(VLOOKUP($F212,INSUMOS!$A:$D,4,0),""))))</f>
        <v>9.6</v>
      </c>
      <c r="K212" s="314">
        <f>IF($F212="","",IFERROR(VLOOKUP($F212,SERVIÇOS!$B:$G,5,0),IFERROR(VLOOKUP($F212,'COMPOSIÇÕES COMPLEMENTARES '!$D:$L,7,0),0)))</f>
        <v>7.69</v>
      </c>
      <c r="L212" s="314">
        <f>IF(I212="","",J212+K212)</f>
        <v>17.29</v>
      </c>
      <c r="M212" s="314">
        <f>IF(I212="","",TRUNC((I212*J212),2))</f>
        <v>5071.2</v>
      </c>
      <c r="N212" s="314">
        <f>IF(I212="","",TRUNC((I212*K212),2))</f>
        <v>4062.24</v>
      </c>
      <c r="O212" s="314">
        <f>IF(I212="","",TRUNC((M212+N212),2))</f>
        <v>9133.44</v>
      </c>
      <c r="P212" s="314"/>
      <c r="Q212" s="315"/>
      <c r="R212" s="315"/>
      <c r="S212" s="286"/>
      <c r="T212" s="287"/>
      <c r="U212" s="288" t="str">
        <f t="shared" si="96"/>
        <v/>
      </c>
      <c r="V212" s="287"/>
      <c r="W212" s="289" t="str">
        <f t="shared" si="97"/>
        <v/>
      </c>
      <c r="X212" s="287"/>
      <c r="Y212" s="290" t="str">
        <f t="shared" si="98"/>
        <v/>
      </c>
      <c r="Z212" s="291">
        <f ca="1">SUMIF($T$8:Y$1018,"QUANT.",T212:Y212)</f>
        <v>0</v>
      </c>
      <c r="AA212" s="292">
        <f t="shared" ca="1" si="99"/>
        <v>0</v>
      </c>
      <c r="AB212" s="293" t="str">
        <f t="shared" ca="1" si="100"/>
        <v>MEDIR</v>
      </c>
      <c r="AC212" s="294">
        <f t="shared" ca="1" si="101"/>
        <v>528.25</v>
      </c>
      <c r="AD212" s="294">
        <f t="shared" ca="1" si="102"/>
        <v>9133.44</v>
      </c>
      <c r="AE212" s="295"/>
      <c r="AF212" s="295"/>
      <c r="AG212" s="296"/>
      <c r="AH212" s="296"/>
      <c r="AI212" s="296"/>
      <c r="AJ212" s="324"/>
      <c r="AK212" s="324"/>
      <c r="AL212" s="324"/>
      <c r="AM212" s="324"/>
    </row>
    <row r="213" spans="1:39" x14ac:dyDescent="0.25">
      <c r="A213" s="232">
        <f t="shared" si="95"/>
        <v>213</v>
      </c>
      <c r="B213" s="232"/>
      <c r="C213" s="281">
        <f>+E213</f>
        <v>12</v>
      </c>
      <c r="D213" s="297"/>
      <c r="E213" s="298">
        <v>12</v>
      </c>
      <c r="F213" s="322"/>
      <c r="G213" s="299" t="s">
        <v>12052</v>
      </c>
      <c r="H213" s="300"/>
      <c r="I213" s="303"/>
      <c r="J213" s="302"/>
      <c r="K213" s="303"/>
      <c r="L213" s="303"/>
      <c r="M213" s="304">
        <f>TRUNC(SUMIF(M214:M251,"&gt;0",M214:M251),2)</f>
        <v>191282.5</v>
      </c>
      <c r="N213" s="304">
        <f>TRUNC(SUMIF(N214:N251,"&gt;0",N214:N251),2)</f>
        <v>20714.89</v>
      </c>
      <c r="O213" s="305"/>
      <c r="P213" s="304">
        <f>SUMIF(O214:O251,"&gt;0",O214:O251)</f>
        <v>211997.39</v>
      </c>
      <c r="Q213" s="306"/>
      <c r="R213" s="306"/>
      <c r="S213" s="286"/>
      <c r="T213" s="287"/>
      <c r="U213" s="288" t="str">
        <f t="shared" si="96"/>
        <v/>
      </c>
      <c r="V213" s="287"/>
      <c r="W213" s="289" t="str">
        <f t="shared" si="97"/>
        <v/>
      </c>
      <c r="X213" s="287"/>
      <c r="Y213" s="290" t="str">
        <f t="shared" si="98"/>
        <v/>
      </c>
      <c r="Z213" s="291">
        <f ca="1">SUMIF($T$8:Y$1018,"QUANT.",T213:Y213)</f>
        <v>0</v>
      </c>
      <c r="AA213" s="292">
        <f t="shared" ca="1" si="99"/>
        <v>0</v>
      </c>
      <c r="AB213" s="293" t="str">
        <f t="shared" si="100"/>
        <v/>
      </c>
      <c r="AC213" s="294">
        <f t="shared" ca="1" si="101"/>
        <v>0</v>
      </c>
      <c r="AD213" s="294">
        <f t="shared" ca="1" si="102"/>
        <v>0</v>
      </c>
      <c r="AE213" s="295"/>
      <c r="AF213" s="295"/>
      <c r="AG213" s="296"/>
      <c r="AH213" s="296"/>
      <c r="AI213" s="296"/>
      <c r="AJ213" s="324"/>
      <c r="AK213" s="324"/>
      <c r="AL213" s="324"/>
      <c r="AM213" s="324"/>
    </row>
    <row r="214" spans="1:39" x14ac:dyDescent="0.25">
      <c r="A214" s="232">
        <f t="shared" si="95"/>
        <v>214</v>
      </c>
      <c r="B214" s="232"/>
      <c r="C214" s="316" t="str">
        <f>+E214</f>
        <v>12.1</v>
      </c>
      <c r="D214" s="297"/>
      <c r="E214" s="317" t="s">
        <v>12053</v>
      </c>
      <c r="F214" s="317"/>
      <c r="G214" s="318" t="s">
        <v>12054</v>
      </c>
      <c r="H214" s="317"/>
      <c r="I214" s="319"/>
      <c r="J214" s="317"/>
      <c r="K214" s="317"/>
      <c r="L214" s="317"/>
      <c r="M214" s="317"/>
      <c r="N214" s="317"/>
      <c r="O214" s="317"/>
      <c r="P214" s="317"/>
      <c r="Q214" s="320"/>
      <c r="R214" s="306"/>
      <c r="S214" s="286"/>
      <c r="T214" s="287"/>
      <c r="U214" s="288" t="str">
        <f t="shared" si="96"/>
        <v/>
      </c>
      <c r="V214" s="287"/>
      <c r="W214" s="289" t="str">
        <f t="shared" si="97"/>
        <v/>
      </c>
      <c r="X214" s="287"/>
      <c r="Y214" s="290" t="str">
        <f t="shared" si="98"/>
        <v/>
      </c>
      <c r="Z214" s="291">
        <f ca="1">SUMIF($T$8:Y$1018,"QUANT.",T214:Y214)</f>
        <v>0</v>
      </c>
      <c r="AA214" s="292">
        <f t="shared" ca="1" si="99"/>
        <v>0</v>
      </c>
      <c r="AB214" s="293" t="str">
        <f t="shared" si="100"/>
        <v/>
      </c>
      <c r="AC214" s="294">
        <f t="shared" ca="1" si="101"/>
        <v>0</v>
      </c>
      <c r="AD214" s="294">
        <f t="shared" ca="1" si="102"/>
        <v>0</v>
      </c>
      <c r="AE214" s="295"/>
      <c r="AF214" s="295"/>
      <c r="AG214" s="296"/>
      <c r="AH214" s="296"/>
      <c r="AI214" s="296"/>
      <c r="AJ214" s="324"/>
      <c r="AK214" s="324"/>
      <c r="AL214" s="324"/>
      <c r="AM214" s="324"/>
    </row>
    <row r="215" spans="1:39" ht="25.5" x14ac:dyDescent="0.25">
      <c r="A215" s="232">
        <f t="shared" si="95"/>
        <v>215</v>
      </c>
      <c r="B215" s="232"/>
      <c r="C215" s="307" t="str">
        <f t="shared" ref="C215:C239" si="103">+C214</f>
        <v>12.1</v>
      </c>
      <c r="D215" s="308">
        <f t="shared" ref="D215:D239" si="104">1+D214</f>
        <v>1</v>
      </c>
      <c r="E215" s="309" t="str">
        <f t="shared" ref="E215:E239" si="105">C215&amp;"."&amp;D215</f>
        <v>12.1.1</v>
      </c>
      <c r="F215" s="310" t="s">
        <v>12055</v>
      </c>
      <c r="G215" s="311" t="str">
        <f>IF($F215="","",IFERROR(VLOOKUP($F215,SERVIÇOS!$B:$G,2,0),IFERROR(VLOOKUP($F215,'COMPOSIÇÕES COMPLEMENTARES '!$D:$L,2,0),IFERROR(VLOOKUP($F215,INSUMOS!$A:$D,2,0),""))))</f>
        <v>LAVATÓRIO PEQUENO COM COLUNA SUSPENSA, 445X335MM, LINHA VOGUE PLUS COR BRANCO L510 E C510DECA OU EQUIVALENTE TÉCNICO</v>
      </c>
      <c r="H215" s="312" t="str">
        <f>IF($F215="","",IFERROR(VLOOKUP($F215,SERVIÇOS!$B:$G,3,0),IFERROR(VLOOKUP($F215,'COMPOSIÇÕES COMPLEMENTARES '!$D:$L,3,0),IFERROR(VLOOKUP($F215,INSUMOS!$A:$D,3,0),""))))</f>
        <v>UN</v>
      </c>
      <c r="I215" s="313">
        <v>25</v>
      </c>
      <c r="J215" s="314">
        <f>IF($F215="","",IFERROR(VLOOKUP($F215,SERVIÇOS!$B:$G,4,0),IFERROR(VLOOKUP($F215,'COMPOSIÇÕES COMPLEMENTARES '!$D:$L,6,0),IFERROR(VLOOKUP($F215,INSUMOS!$A:$D,4,0),""))))</f>
        <v>593.34</v>
      </c>
      <c r="K215" s="314">
        <f>IF($F215="","",IFERROR(VLOOKUP($F215,SERVIÇOS!$B:$G,5,0),IFERROR(VLOOKUP($F215,'COMPOSIÇÕES COMPLEMENTARES '!$D:$L,7,0),0)))</f>
        <v>33.79</v>
      </c>
      <c r="L215" s="314">
        <f t="shared" ref="L215:L239" si="106">IF(I215="","",J215+K215)</f>
        <v>627.13</v>
      </c>
      <c r="M215" s="314">
        <f t="shared" ref="M215:M239" si="107">IF(I215="","",TRUNC((I215*J215),2))</f>
        <v>14833.5</v>
      </c>
      <c r="N215" s="314">
        <f t="shared" ref="N215:N239" si="108">IF(I215="","",TRUNC((I215*K215),2))</f>
        <v>844.75</v>
      </c>
      <c r="O215" s="314">
        <f t="shared" ref="O215:O239" si="109">IF(I215="","",TRUNC((M215+N215),2))</f>
        <v>15678.25</v>
      </c>
      <c r="P215" s="314"/>
      <c r="Q215" s="315"/>
      <c r="R215" s="315"/>
      <c r="S215" s="286"/>
      <c r="T215" s="287"/>
      <c r="U215" s="288" t="str">
        <f t="shared" si="96"/>
        <v/>
      </c>
      <c r="V215" s="287"/>
      <c r="W215" s="289" t="str">
        <f t="shared" si="97"/>
        <v/>
      </c>
      <c r="X215" s="287"/>
      <c r="Y215" s="290" t="str">
        <f t="shared" si="98"/>
        <v/>
      </c>
      <c r="Z215" s="291">
        <f ca="1">SUMIF($T$8:Y$1018,"QUANT.",T215:Y215)</f>
        <v>0</v>
      </c>
      <c r="AA215" s="292">
        <f t="shared" ca="1" si="99"/>
        <v>0</v>
      </c>
      <c r="AB215" s="293" t="str">
        <f t="shared" ca="1" si="100"/>
        <v>MEDIR</v>
      </c>
      <c r="AC215" s="294">
        <f t="shared" ca="1" si="101"/>
        <v>25</v>
      </c>
      <c r="AD215" s="294">
        <f t="shared" ca="1" si="102"/>
        <v>15678.25</v>
      </c>
      <c r="AE215" s="295"/>
      <c r="AF215" s="295"/>
      <c r="AG215" s="296"/>
      <c r="AH215" s="296"/>
      <c r="AI215" s="296"/>
      <c r="AJ215" s="324"/>
      <c r="AK215" s="324"/>
      <c r="AL215" s="324"/>
      <c r="AM215" s="324"/>
    </row>
    <row r="216" spans="1:39" ht="25.5" x14ac:dyDescent="0.25">
      <c r="A216" s="232">
        <f t="shared" si="95"/>
        <v>216</v>
      </c>
      <c r="B216" s="232"/>
      <c r="C216" s="307" t="str">
        <f t="shared" si="103"/>
        <v>12.1</v>
      </c>
      <c r="D216" s="308">
        <f t="shared" si="104"/>
        <v>2</v>
      </c>
      <c r="E216" s="309" t="str">
        <f t="shared" si="105"/>
        <v>12.1.2</v>
      </c>
      <c r="F216" s="310">
        <v>95470</v>
      </c>
      <c r="G216" s="311" t="str">
        <f>IF($F216="","",IFERROR(VLOOKUP($F216,SERVIÇOS!$B:$G,2,0),IFERROR(VLOOKUP($F216,'COMPOSIÇÕES COMPLEMENTARES '!$D:$L,2,0),IFERROR(VLOOKUP($F216,INSUMOS!$A:$D,2,0),""))))</f>
        <v>VASO SANITARIO SIFONADO CONVENCIONAL COM LOUÇA BRANCA, INCLUSO CONJUNTO DE LIGAÇÃO PARA BACIA SANITÁRIA AJUSTÁVEL - FORNECIMENTO E INSTALAÇÃO. AF_01/2020</v>
      </c>
      <c r="H216" s="312" t="str">
        <f>IF($F216="","",IFERROR(VLOOKUP($F216,SERVIÇOS!$B:$G,3,0),IFERROR(VLOOKUP($F216,'COMPOSIÇÕES COMPLEMENTARES '!$D:$L,3,0),IFERROR(VLOOKUP($F216,INSUMOS!$A:$D,3,0),""))))</f>
        <v>UN</v>
      </c>
      <c r="I216" s="313">
        <v>4</v>
      </c>
      <c r="J216" s="314">
        <f>IF($F216="","",IFERROR(VLOOKUP($F216,SERVIÇOS!$B:$G,4,0),IFERROR(VLOOKUP($F216,'COMPOSIÇÕES COMPLEMENTARES '!$D:$L,6,0),IFERROR(VLOOKUP($F216,INSUMOS!$A:$D,4,0),""))))</f>
        <v>321.33</v>
      </c>
      <c r="K216" s="314">
        <f>IF($F216="","",IFERROR(VLOOKUP($F216,SERVIÇOS!$B:$G,5,0),IFERROR(VLOOKUP($F216,'COMPOSIÇÕES COMPLEMENTARES '!$D:$L,7,0),0)))</f>
        <v>20.5</v>
      </c>
      <c r="L216" s="314">
        <f t="shared" si="106"/>
        <v>341.83</v>
      </c>
      <c r="M216" s="314">
        <f t="shared" si="107"/>
        <v>1285.32</v>
      </c>
      <c r="N216" s="314">
        <f t="shared" si="108"/>
        <v>82</v>
      </c>
      <c r="O216" s="314">
        <f t="shared" si="109"/>
        <v>1367.32</v>
      </c>
      <c r="P216" s="314"/>
      <c r="Q216" s="315"/>
      <c r="R216" s="315"/>
      <c r="S216" s="286"/>
      <c r="T216" s="287"/>
      <c r="U216" s="288" t="str">
        <f t="shared" si="96"/>
        <v/>
      </c>
      <c r="V216" s="287"/>
      <c r="W216" s="289" t="str">
        <f t="shared" si="97"/>
        <v/>
      </c>
      <c r="X216" s="287"/>
      <c r="Y216" s="290" t="str">
        <f t="shared" si="98"/>
        <v/>
      </c>
      <c r="Z216" s="291">
        <f ca="1">SUMIF($T$8:Y$1018,"QUANT.",T216:Y216)</f>
        <v>0</v>
      </c>
      <c r="AA216" s="292">
        <f t="shared" ca="1" si="99"/>
        <v>0</v>
      </c>
      <c r="AB216" s="293" t="str">
        <f t="shared" ca="1" si="100"/>
        <v>MEDIR</v>
      </c>
      <c r="AC216" s="294">
        <f t="shared" ca="1" si="101"/>
        <v>4</v>
      </c>
      <c r="AD216" s="294">
        <f t="shared" ca="1" si="102"/>
        <v>1367.32</v>
      </c>
      <c r="AE216" s="295"/>
      <c r="AF216" s="295"/>
      <c r="AG216" s="296"/>
      <c r="AH216" s="296"/>
      <c r="AI216" s="296"/>
      <c r="AJ216" s="324"/>
      <c r="AK216" s="324"/>
      <c r="AL216" s="324"/>
      <c r="AM216" s="324"/>
    </row>
    <row r="217" spans="1:39" ht="38.25" x14ac:dyDescent="0.25">
      <c r="A217" s="232">
        <f t="shared" si="95"/>
        <v>217</v>
      </c>
      <c r="B217" s="232"/>
      <c r="C217" s="307" t="str">
        <f t="shared" si="103"/>
        <v>12.1</v>
      </c>
      <c r="D217" s="308">
        <f t="shared" si="104"/>
        <v>3</v>
      </c>
      <c r="E217" s="309" t="str">
        <f t="shared" si="105"/>
        <v>12.1.3</v>
      </c>
      <c r="F217" s="310">
        <v>95472</v>
      </c>
      <c r="G217" s="311" t="str">
        <f>IF($F217="","",IFERROR(VLOOKUP($F217,SERVIÇOS!$B:$G,2,0),IFERROR(VLOOKUP($F217,'COMPOSIÇÕES COMPLEMENTARES '!$D:$L,2,0),IFERROR(VLOOKUP($F217,INSUMOS!$A:$D,2,0),""))))</f>
        <v>VASO SANITARIO SIFONADO CONVENCIONAL PARA PCD SEM FURO FRONTAL COM LOUÇA BRANCA SEM ASSENTO, INCLUSO CONJUNTO DE LIGAÇÃO PARA BACIA SANITÁRIA AJUSTÁVEL - FORNECIMENTO E INSTALAÇÃO. AF_01/2020</v>
      </c>
      <c r="H217" s="312" t="str">
        <f>IF($F217="","",IFERROR(VLOOKUP($F217,SERVIÇOS!$B:$G,3,0),IFERROR(VLOOKUP($F217,'COMPOSIÇÕES COMPLEMENTARES '!$D:$L,3,0),IFERROR(VLOOKUP($F217,INSUMOS!$A:$D,3,0),""))))</f>
        <v>UN</v>
      </c>
      <c r="I217" s="313">
        <v>7</v>
      </c>
      <c r="J217" s="314">
        <f>IF($F217="","",IFERROR(VLOOKUP($F217,SERVIÇOS!$B:$G,4,0),IFERROR(VLOOKUP($F217,'COMPOSIÇÕES COMPLEMENTARES '!$D:$L,6,0),IFERROR(VLOOKUP($F217,INSUMOS!$A:$D,4,0),""))))</f>
        <v>854.5</v>
      </c>
      <c r="K217" s="314">
        <f>IF($F217="","",IFERROR(VLOOKUP($F217,SERVIÇOS!$B:$G,5,0),IFERROR(VLOOKUP($F217,'COMPOSIÇÕES COMPLEMENTARES '!$D:$L,7,0),0)))</f>
        <v>42.61</v>
      </c>
      <c r="L217" s="314">
        <f t="shared" si="106"/>
        <v>897.11</v>
      </c>
      <c r="M217" s="314">
        <f t="shared" si="107"/>
        <v>5981.5</v>
      </c>
      <c r="N217" s="314">
        <f t="shared" si="108"/>
        <v>298.27</v>
      </c>
      <c r="O217" s="314">
        <f t="shared" si="109"/>
        <v>6279.77</v>
      </c>
      <c r="P217" s="314"/>
      <c r="Q217" s="315"/>
      <c r="R217" s="315"/>
      <c r="S217" s="286"/>
      <c r="T217" s="287"/>
      <c r="U217" s="288" t="str">
        <f t="shared" si="96"/>
        <v/>
      </c>
      <c r="V217" s="287"/>
      <c r="W217" s="289" t="str">
        <f t="shared" si="97"/>
        <v/>
      </c>
      <c r="X217" s="287"/>
      <c r="Y217" s="290" t="str">
        <f t="shared" si="98"/>
        <v/>
      </c>
      <c r="Z217" s="291">
        <f ca="1">SUMIF($T$8:Y$1018,"QUANT.",T217:Y217)</f>
        <v>0</v>
      </c>
      <c r="AA217" s="292">
        <f t="shared" ca="1" si="99"/>
        <v>0</v>
      </c>
      <c r="AB217" s="293" t="str">
        <f t="shared" ca="1" si="100"/>
        <v>MEDIR</v>
      </c>
      <c r="AC217" s="294">
        <f t="shared" ca="1" si="101"/>
        <v>7</v>
      </c>
      <c r="AD217" s="294">
        <f t="shared" ca="1" si="102"/>
        <v>6279.77</v>
      </c>
      <c r="AE217" s="295"/>
      <c r="AF217" s="295"/>
      <c r="AG217" s="296"/>
      <c r="AH217" s="296"/>
      <c r="AI217" s="296"/>
      <c r="AJ217" s="324"/>
      <c r="AK217" s="324"/>
      <c r="AL217" s="324"/>
      <c r="AM217" s="324"/>
    </row>
    <row r="218" spans="1:39" x14ac:dyDescent="0.25">
      <c r="A218" s="232">
        <f t="shared" si="95"/>
        <v>218</v>
      </c>
      <c r="B218" s="232"/>
      <c r="C218" s="307" t="str">
        <f t="shared" si="103"/>
        <v>12.1</v>
      </c>
      <c r="D218" s="308">
        <f t="shared" si="104"/>
        <v>4</v>
      </c>
      <c r="E218" s="309" t="str">
        <f t="shared" si="105"/>
        <v>12.1.4</v>
      </c>
      <c r="F218" s="310">
        <v>100849</v>
      </c>
      <c r="G218" s="311" t="str">
        <f>IF($F218="","",IFERROR(VLOOKUP($F218,SERVIÇOS!$B:$G,2,0),IFERROR(VLOOKUP($F218,'COMPOSIÇÕES COMPLEMENTARES '!$D:$L,2,0),IFERROR(VLOOKUP($F218,INSUMOS!$A:$D,2,0),""))))</f>
        <v>ASSENTO SANITÁRIO CONVENCIONAL - FORNECIMENTO E INSTALACAO. AF_01/2020</v>
      </c>
      <c r="H218" s="312" t="str">
        <f>IF($F218="","",IFERROR(VLOOKUP($F218,SERVIÇOS!$B:$G,3,0),IFERROR(VLOOKUP($F218,'COMPOSIÇÕES COMPLEMENTARES '!$D:$L,3,0),IFERROR(VLOOKUP($F218,INSUMOS!$A:$D,3,0),""))))</f>
        <v>UN</v>
      </c>
      <c r="I218" s="313">
        <v>11</v>
      </c>
      <c r="J218" s="314">
        <f>IF($F218="","",IFERROR(VLOOKUP($F218,SERVIÇOS!$B:$G,4,0),IFERROR(VLOOKUP($F218,'COMPOSIÇÕES COMPLEMENTARES '!$D:$L,6,0),IFERROR(VLOOKUP($F218,INSUMOS!$A:$D,4,0),""))))</f>
        <v>40.76</v>
      </c>
      <c r="K218" s="314">
        <f>IF($F218="","",IFERROR(VLOOKUP($F218,SERVIÇOS!$B:$G,5,0),IFERROR(VLOOKUP($F218,'COMPOSIÇÕES COMPLEMENTARES '!$D:$L,7,0),0)))</f>
        <v>5.17</v>
      </c>
      <c r="L218" s="314">
        <f t="shared" si="106"/>
        <v>45.93</v>
      </c>
      <c r="M218" s="314">
        <f t="shared" si="107"/>
        <v>448.36</v>
      </c>
      <c r="N218" s="314">
        <f t="shared" si="108"/>
        <v>56.87</v>
      </c>
      <c r="O218" s="314">
        <f t="shared" si="109"/>
        <v>505.23</v>
      </c>
      <c r="P218" s="314"/>
      <c r="Q218" s="315"/>
      <c r="R218" s="315"/>
      <c r="S218" s="286"/>
      <c r="T218" s="287"/>
      <c r="U218" s="288" t="str">
        <f t="shared" si="96"/>
        <v/>
      </c>
      <c r="V218" s="287"/>
      <c r="W218" s="289" t="str">
        <f t="shared" si="97"/>
        <v/>
      </c>
      <c r="X218" s="287"/>
      <c r="Y218" s="290" t="str">
        <f t="shared" si="98"/>
        <v/>
      </c>
      <c r="Z218" s="291">
        <f ca="1">SUMIF($T$8:Y$1018,"QUANT.",T218:Y218)</f>
        <v>0</v>
      </c>
      <c r="AA218" s="292">
        <f t="shared" ca="1" si="99"/>
        <v>0</v>
      </c>
      <c r="AB218" s="293" t="str">
        <f t="shared" ca="1" si="100"/>
        <v>MEDIR</v>
      </c>
      <c r="AC218" s="294">
        <f t="shared" ca="1" si="101"/>
        <v>11</v>
      </c>
      <c r="AD218" s="294">
        <f t="shared" ca="1" si="102"/>
        <v>505.23</v>
      </c>
      <c r="AE218" s="295"/>
      <c r="AF218" s="295"/>
      <c r="AG218" s="296"/>
      <c r="AH218" s="296"/>
      <c r="AI218" s="296"/>
      <c r="AJ218" s="324"/>
      <c r="AK218" s="324"/>
      <c r="AL218" s="324"/>
      <c r="AM218" s="324"/>
    </row>
    <row r="219" spans="1:39" ht="25.5" x14ac:dyDescent="0.25">
      <c r="A219" s="232">
        <f t="shared" si="95"/>
        <v>219</v>
      </c>
      <c r="B219" s="232"/>
      <c r="C219" s="307" t="str">
        <f t="shared" si="103"/>
        <v>12.1</v>
      </c>
      <c r="D219" s="308">
        <f t="shared" si="104"/>
        <v>5</v>
      </c>
      <c r="E219" s="309" t="str">
        <f t="shared" si="105"/>
        <v>12.1.5</v>
      </c>
      <c r="F219" s="310" t="s">
        <v>12056</v>
      </c>
      <c r="G219" s="311" t="str">
        <f>IF($F219="","",IFERROR(VLOOKUP($F219,SERVIÇOS!$B:$G,2,0),IFERROR(VLOOKUP($F219,'COMPOSIÇÕES COMPLEMENTARES '!$D:$L,2,0),IFERROR(VLOOKUP($F219,INSUMOS!$A:$D,2,0),""))))</f>
        <v>TORNEIRA DE MESA TEMPORIZADA DE PRESSÃO (PRESSMATIC) BICA BAIXA, CROMADA - FORNECIMENTO E INSTALAÇÃO</v>
      </c>
      <c r="H219" s="312" t="str">
        <f>IF($F219="","",IFERROR(VLOOKUP($F219,SERVIÇOS!$B:$G,3,0),IFERROR(VLOOKUP($F219,'COMPOSIÇÕES COMPLEMENTARES '!$D:$L,3,0),IFERROR(VLOOKUP($F219,INSUMOS!$A:$D,3,0),""))))</f>
        <v>UN</v>
      </c>
      <c r="I219" s="313">
        <v>25</v>
      </c>
      <c r="J219" s="314">
        <f>IF($F219="","",IFERROR(VLOOKUP($F219,SERVIÇOS!$B:$G,4,0),IFERROR(VLOOKUP($F219,'COMPOSIÇÕES COMPLEMENTARES '!$D:$L,6,0),IFERROR(VLOOKUP($F219,INSUMOS!$A:$D,4,0),""))))</f>
        <v>144.01</v>
      </c>
      <c r="K219" s="314">
        <f>IF($F219="","",IFERROR(VLOOKUP($F219,SERVIÇOS!$B:$G,5,0),IFERROR(VLOOKUP($F219,'COMPOSIÇÕES COMPLEMENTARES '!$D:$L,7,0),0)))</f>
        <v>23.51</v>
      </c>
      <c r="L219" s="314">
        <f t="shared" si="106"/>
        <v>167.51999999999998</v>
      </c>
      <c r="M219" s="314">
        <f t="shared" si="107"/>
        <v>3600.25</v>
      </c>
      <c r="N219" s="314">
        <f t="shared" si="108"/>
        <v>587.75</v>
      </c>
      <c r="O219" s="314">
        <f t="shared" si="109"/>
        <v>4188</v>
      </c>
      <c r="P219" s="314"/>
      <c r="Q219" s="315"/>
      <c r="R219" s="315"/>
      <c r="S219" s="286"/>
      <c r="T219" s="287"/>
      <c r="U219" s="288" t="str">
        <f t="shared" si="96"/>
        <v/>
      </c>
      <c r="V219" s="287"/>
      <c r="W219" s="289" t="str">
        <f t="shared" si="97"/>
        <v/>
      </c>
      <c r="X219" s="287"/>
      <c r="Y219" s="290" t="str">
        <f t="shared" si="98"/>
        <v/>
      </c>
      <c r="Z219" s="291">
        <f ca="1">SUMIF($T$8:Y$1018,"QUANT.",T219:Y219)</f>
        <v>0</v>
      </c>
      <c r="AA219" s="292">
        <f t="shared" ca="1" si="99"/>
        <v>0</v>
      </c>
      <c r="AB219" s="293" t="str">
        <f t="shared" ca="1" si="100"/>
        <v>MEDIR</v>
      </c>
      <c r="AC219" s="294">
        <f t="shared" ca="1" si="101"/>
        <v>25</v>
      </c>
      <c r="AD219" s="294">
        <f t="shared" ca="1" si="102"/>
        <v>4188</v>
      </c>
      <c r="AE219" s="295"/>
      <c r="AF219" s="295"/>
      <c r="AG219" s="296"/>
      <c r="AH219" s="296"/>
      <c r="AI219" s="296"/>
      <c r="AJ219" s="324"/>
      <c r="AK219" s="324"/>
      <c r="AL219" s="324"/>
      <c r="AM219" s="324"/>
    </row>
    <row r="220" spans="1:39" ht="25.5" x14ac:dyDescent="0.25">
      <c r="A220" s="232">
        <f t="shared" si="95"/>
        <v>220</v>
      </c>
      <c r="B220" s="232"/>
      <c r="C220" s="307" t="str">
        <f t="shared" si="103"/>
        <v>12.1</v>
      </c>
      <c r="D220" s="308">
        <f t="shared" si="104"/>
        <v>6</v>
      </c>
      <c r="E220" s="309" t="str">
        <f t="shared" si="105"/>
        <v>12.1.6</v>
      </c>
      <c r="F220" s="310">
        <v>99635</v>
      </c>
      <c r="G220" s="311" t="str">
        <f>IF($F220="","",IFERROR(VLOOKUP($F220,SERVIÇOS!$B:$G,2,0),IFERROR(VLOOKUP($F220,'COMPOSIÇÕES COMPLEMENTARES '!$D:$L,2,0),IFERROR(VLOOKUP($F220,INSUMOS!$A:$D,2,0),""))))</f>
        <v>VÁLVULA DE DESCARGA METÁLICA, BASE 1 1/2", ACABAMENTO METALICO CROMADO - FORNECIMENTO E INSTALAÇÃO. AF_08/2021</v>
      </c>
      <c r="H220" s="312" t="str">
        <f>IF($F220="","",IFERROR(VLOOKUP($F220,SERVIÇOS!$B:$G,3,0),IFERROR(VLOOKUP($F220,'COMPOSIÇÕES COMPLEMENTARES '!$D:$L,3,0),IFERROR(VLOOKUP($F220,INSUMOS!$A:$D,3,0),""))))</f>
        <v>UN</v>
      </c>
      <c r="I220" s="313">
        <v>11</v>
      </c>
      <c r="J220" s="314">
        <f>IF($F220="","",IFERROR(VLOOKUP($F220,SERVIÇOS!$B:$G,4,0),IFERROR(VLOOKUP($F220,'COMPOSIÇÕES COMPLEMENTARES '!$D:$L,6,0),IFERROR(VLOOKUP($F220,INSUMOS!$A:$D,4,0),""))))</f>
        <v>368.78</v>
      </c>
      <c r="K220" s="314">
        <f>IF($F220="","",IFERROR(VLOOKUP($F220,SERVIÇOS!$B:$G,5,0),IFERROR(VLOOKUP($F220,'COMPOSIÇÕES COMPLEMENTARES '!$D:$L,7,0),0)))</f>
        <v>44.97</v>
      </c>
      <c r="L220" s="314">
        <f t="shared" si="106"/>
        <v>413.75</v>
      </c>
      <c r="M220" s="314">
        <f t="shared" si="107"/>
        <v>4056.58</v>
      </c>
      <c r="N220" s="314">
        <f t="shared" si="108"/>
        <v>494.67</v>
      </c>
      <c r="O220" s="314">
        <f t="shared" si="109"/>
        <v>4551.25</v>
      </c>
      <c r="P220" s="314"/>
      <c r="Q220" s="315"/>
      <c r="R220" s="315"/>
      <c r="S220" s="286"/>
      <c r="T220" s="287"/>
      <c r="U220" s="288" t="str">
        <f t="shared" si="96"/>
        <v/>
      </c>
      <c r="V220" s="287"/>
      <c r="W220" s="289" t="str">
        <f t="shared" si="97"/>
        <v/>
      </c>
      <c r="X220" s="287"/>
      <c r="Y220" s="290" t="str">
        <f t="shared" si="98"/>
        <v/>
      </c>
      <c r="Z220" s="291">
        <f ca="1">SUMIF($T$8:Y$1018,"QUANT.",T220:Y220)</f>
        <v>0</v>
      </c>
      <c r="AA220" s="292">
        <f t="shared" ca="1" si="99"/>
        <v>0</v>
      </c>
      <c r="AB220" s="293" t="str">
        <f t="shared" ca="1" si="100"/>
        <v>MEDIR</v>
      </c>
      <c r="AC220" s="294">
        <f t="shared" ca="1" si="101"/>
        <v>11</v>
      </c>
      <c r="AD220" s="294">
        <f t="shared" ca="1" si="102"/>
        <v>4551.25</v>
      </c>
      <c r="AE220" s="295"/>
      <c r="AF220" s="295"/>
      <c r="AG220" s="296"/>
      <c r="AH220" s="296"/>
      <c r="AI220" s="296"/>
      <c r="AJ220" s="324"/>
      <c r="AK220" s="324"/>
      <c r="AL220" s="324"/>
      <c r="AM220" s="324"/>
    </row>
    <row r="221" spans="1:39" x14ac:dyDescent="0.25">
      <c r="A221" s="232">
        <f t="shared" si="95"/>
        <v>221</v>
      </c>
      <c r="B221" s="232"/>
      <c r="C221" s="307" t="str">
        <f t="shared" si="103"/>
        <v>12.1</v>
      </c>
      <c r="D221" s="308">
        <f t="shared" si="104"/>
        <v>7</v>
      </c>
      <c r="E221" s="309" t="str">
        <f t="shared" si="105"/>
        <v>12.1.7</v>
      </c>
      <c r="F221" s="310">
        <v>86882</v>
      </c>
      <c r="G221" s="311" t="str">
        <f>IF($F221="","",IFERROR(VLOOKUP($F221,SERVIÇOS!$B:$G,2,0),IFERROR(VLOOKUP($F221,'COMPOSIÇÕES COMPLEMENTARES '!$D:$L,2,0),IFERROR(VLOOKUP($F221,INSUMOS!$A:$D,2,0),""))))</f>
        <v>SIFÃO DO TIPO GARRAFA/COPO EM PVC 1.1/4  X 1.1/2" - FORNECIMENTO E INSTALAÇÃO. AF_01/2020</v>
      </c>
      <c r="H221" s="312" t="str">
        <f>IF($F221="","",IFERROR(VLOOKUP($F221,SERVIÇOS!$B:$G,3,0),IFERROR(VLOOKUP($F221,'COMPOSIÇÕES COMPLEMENTARES '!$D:$L,3,0),IFERROR(VLOOKUP($F221,INSUMOS!$A:$D,3,0),""))))</f>
        <v>UN</v>
      </c>
      <c r="I221" s="313">
        <v>38</v>
      </c>
      <c r="J221" s="314">
        <f>IF($F221="","",IFERROR(VLOOKUP($F221,SERVIÇOS!$B:$G,4,0),IFERROR(VLOOKUP($F221,'COMPOSIÇÕES COMPLEMENTARES '!$D:$L,6,0),IFERROR(VLOOKUP($F221,INSUMOS!$A:$D,4,0),""))))</f>
        <v>16.96</v>
      </c>
      <c r="K221" s="314">
        <f>IF($F221="","",IFERROR(VLOOKUP($F221,SERVIÇOS!$B:$G,5,0),IFERROR(VLOOKUP($F221,'COMPOSIÇÕES COMPLEMENTARES '!$D:$L,7,0),0)))</f>
        <v>4.5599999999999996</v>
      </c>
      <c r="L221" s="314">
        <f t="shared" si="106"/>
        <v>21.52</v>
      </c>
      <c r="M221" s="314">
        <f t="shared" si="107"/>
        <v>644.48</v>
      </c>
      <c r="N221" s="314">
        <f t="shared" si="108"/>
        <v>173.28</v>
      </c>
      <c r="O221" s="314">
        <f t="shared" si="109"/>
        <v>817.76</v>
      </c>
      <c r="P221" s="314"/>
      <c r="Q221" s="315"/>
      <c r="R221" s="315"/>
      <c r="S221" s="286"/>
      <c r="T221" s="287"/>
      <c r="U221" s="288" t="str">
        <f t="shared" si="96"/>
        <v/>
      </c>
      <c r="V221" s="287"/>
      <c r="W221" s="289" t="str">
        <f t="shared" si="97"/>
        <v/>
      </c>
      <c r="X221" s="287"/>
      <c r="Y221" s="290" t="str">
        <f t="shared" si="98"/>
        <v/>
      </c>
      <c r="Z221" s="291">
        <f ca="1">SUMIF($T$8:Y$1018,"QUANT.",T221:Y221)</f>
        <v>0</v>
      </c>
      <c r="AA221" s="292">
        <f t="shared" ca="1" si="99"/>
        <v>0</v>
      </c>
      <c r="AB221" s="293" t="str">
        <f t="shared" ca="1" si="100"/>
        <v>MEDIR</v>
      </c>
      <c r="AC221" s="294">
        <f t="shared" ca="1" si="101"/>
        <v>38</v>
      </c>
      <c r="AD221" s="294">
        <f t="shared" ca="1" si="102"/>
        <v>817.76</v>
      </c>
      <c r="AE221" s="295"/>
      <c r="AF221" s="295"/>
      <c r="AG221" s="296"/>
      <c r="AH221" s="296"/>
      <c r="AI221" s="296"/>
      <c r="AJ221" s="324"/>
      <c r="AK221" s="324"/>
      <c r="AL221" s="324"/>
      <c r="AM221" s="324"/>
    </row>
    <row r="222" spans="1:39" ht="25.5" x14ac:dyDescent="0.25">
      <c r="A222" s="232">
        <f t="shared" si="95"/>
        <v>222</v>
      </c>
      <c r="B222" s="232"/>
      <c r="C222" s="307" t="str">
        <f t="shared" si="103"/>
        <v>12.1</v>
      </c>
      <c r="D222" s="308">
        <f t="shared" si="104"/>
        <v>8</v>
      </c>
      <c r="E222" s="309" t="str">
        <f t="shared" si="105"/>
        <v>12.1.8</v>
      </c>
      <c r="F222" s="310">
        <v>86878</v>
      </c>
      <c r="G222" s="311" t="str">
        <f>IF($F222="","",IFERROR(VLOOKUP($F222,SERVIÇOS!$B:$G,2,0),IFERROR(VLOOKUP($F222,'COMPOSIÇÕES COMPLEMENTARES '!$D:$L,2,0),IFERROR(VLOOKUP($F222,INSUMOS!$A:$D,2,0),""))))</f>
        <v>VÁLVULA EM METAL CROMADO TIPO AMERICANA 3.1/2" X 1.1/2" PARA PIA - FORNECIMENTO E INSTALAÇÃO. AF_01/2020</v>
      </c>
      <c r="H222" s="312" t="str">
        <f>IF($F222="","",IFERROR(VLOOKUP($F222,SERVIÇOS!$B:$G,3,0),IFERROR(VLOOKUP($F222,'COMPOSIÇÕES COMPLEMENTARES '!$D:$L,3,0),IFERROR(VLOOKUP($F222,INSUMOS!$A:$D,3,0),""))))</f>
        <v>UN</v>
      </c>
      <c r="I222" s="313">
        <v>11</v>
      </c>
      <c r="J222" s="314">
        <f>IF($F222="","",IFERROR(VLOOKUP($F222,SERVIÇOS!$B:$G,4,0),IFERROR(VLOOKUP($F222,'COMPOSIÇÕES COMPLEMENTARES '!$D:$L,6,0),IFERROR(VLOOKUP($F222,INSUMOS!$A:$D,4,0),""))))</f>
        <v>102.81</v>
      </c>
      <c r="K222" s="314">
        <f>IF($F222="","",IFERROR(VLOOKUP($F222,SERVIÇOS!$B:$G,5,0),IFERROR(VLOOKUP($F222,'COMPOSIÇÕES COMPLEMENTARES '!$D:$L,7,0),0)))</f>
        <v>5.84</v>
      </c>
      <c r="L222" s="314">
        <f t="shared" si="106"/>
        <v>108.65</v>
      </c>
      <c r="M222" s="314">
        <f t="shared" si="107"/>
        <v>1130.9100000000001</v>
      </c>
      <c r="N222" s="314">
        <f t="shared" si="108"/>
        <v>64.239999999999995</v>
      </c>
      <c r="O222" s="314">
        <f t="shared" si="109"/>
        <v>1195.1500000000001</v>
      </c>
      <c r="P222" s="314"/>
      <c r="Q222" s="315"/>
      <c r="R222" s="315"/>
      <c r="S222" s="286"/>
      <c r="T222" s="287"/>
      <c r="U222" s="288" t="str">
        <f t="shared" si="96"/>
        <v/>
      </c>
      <c r="V222" s="287"/>
      <c r="W222" s="289" t="str">
        <f t="shared" si="97"/>
        <v/>
      </c>
      <c r="X222" s="287"/>
      <c r="Y222" s="290" t="str">
        <f t="shared" si="98"/>
        <v/>
      </c>
      <c r="Z222" s="291">
        <f ca="1">SUMIF($T$8:Y$1018,"QUANT.",T222:Y222)</f>
        <v>0</v>
      </c>
      <c r="AA222" s="292">
        <f t="shared" ca="1" si="99"/>
        <v>0</v>
      </c>
      <c r="AB222" s="293" t="str">
        <f t="shared" ca="1" si="100"/>
        <v>MEDIR</v>
      </c>
      <c r="AC222" s="294">
        <f t="shared" ca="1" si="101"/>
        <v>11</v>
      </c>
      <c r="AD222" s="294">
        <f t="shared" ca="1" si="102"/>
        <v>1195.1500000000001</v>
      </c>
      <c r="AE222" s="295"/>
      <c r="AF222" s="295"/>
      <c r="AG222" s="296"/>
      <c r="AH222" s="296"/>
      <c r="AI222" s="296"/>
      <c r="AJ222" s="324"/>
      <c r="AK222" s="324"/>
      <c r="AL222" s="324"/>
      <c r="AM222" s="324"/>
    </row>
    <row r="223" spans="1:39" ht="25.5" x14ac:dyDescent="0.25">
      <c r="A223" s="232">
        <f t="shared" si="95"/>
        <v>223</v>
      </c>
      <c r="B223" s="232"/>
      <c r="C223" s="307" t="str">
        <f t="shared" si="103"/>
        <v>12.1</v>
      </c>
      <c r="D223" s="308">
        <f t="shared" si="104"/>
        <v>9</v>
      </c>
      <c r="E223" s="309" t="str">
        <f t="shared" si="105"/>
        <v>12.1.9</v>
      </c>
      <c r="F223" s="310">
        <v>86877</v>
      </c>
      <c r="G223" s="311" t="str">
        <f>IF($F223="","",IFERROR(VLOOKUP($F223,SERVIÇOS!$B:$G,2,0),IFERROR(VLOOKUP($F223,'COMPOSIÇÕES COMPLEMENTARES '!$D:$L,2,0),IFERROR(VLOOKUP($F223,INSUMOS!$A:$D,2,0),""))))</f>
        <v>VÁLVULA EM METAL CROMADO 1.1/2" X 1.1/2" PARA TANQUE OU LAVATÓRIO, COM OU SEM LADRÃO - FORNECIMENTO E INSTALAÇÃO. AF_01/2020</v>
      </c>
      <c r="H223" s="312" t="str">
        <f>IF($F223="","",IFERROR(VLOOKUP($F223,SERVIÇOS!$B:$G,3,0),IFERROR(VLOOKUP($F223,'COMPOSIÇÕES COMPLEMENTARES '!$D:$L,3,0),IFERROR(VLOOKUP($F223,INSUMOS!$A:$D,3,0),""))))</f>
        <v>UN</v>
      </c>
      <c r="I223" s="313">
        <v>27</v>
      </c>
      <c r="J223" s="314">
        <f>IF($F223="","",IFERROR(VLOOKUP($F223,SERVIÇOS!$B:$G,4,0),IFERROR(VLOOKUP($F223,'COMPOSIÇÕES COMPLEMENTARES '!$D:$L,6,0),IFERROR(VLOOKUP($F223,INSUMOS!$A:$D,4,0),""))))</f>
        <v>94.87</v>
      </c>
      <c r="K223" s="314">
        <f>IF($F223="","",IFERROR(VLOOKUP($F223,SERVIÇOS!$B:$G,5,0),IFERROR(VLOOKUP($F223,'COMPOSIÇÕES COMPLEMENTARES '!$D:$L,7,0),0)))</f>
        <v>5.85</v>
      </c>
      <c r="L223" s="314">
        <f t="shared" si="106"/>
        <v>100.72</v>
      </c>
      <c r="M223" s="314">
        <f t="shared" si="107"/>
        <v>2561.4899999999998</v>
      </c>
      <c r="N223" s="314">
        <f t="shared" si="108"/>
        <v>157.94999999999999</v>
      </c>
      <c r="O223" s="314">
        <f t="shared" si="109"/>
        <v>2719.44</v>
      </c>
      <c r="P223" s="314"/>
      <c r="Q223" s="315"/>
      <c r="R223" s="315"/>
      <c r="S223" s="286"/>
      <c r="T223" s="287"/>
      <c r="U223" s="288" t="str">
        <f t="shared" si="96"/>
        <v/>
      </c>
      <c r="V223" s="287"/>
      <c r="W223" s="289" t="str">
        <f t="shared" si="97"/>
        <v/>
      </c>
      <c r="X223" s="287"/>
      <c r="Y223" s="290" t="str">
        <f t="shared" si="98"/>
        <v/>
      </c>
      <c r="Z223" s="291">
        <f ca="1">SUMIF($T$8:Y$1018,"QUANT.",T223:Y223)</f>
        <v>0</v>
      </c>
      <c r="AA223" s="292">
        <f t="shared" ca="1" si="99"/>
        <v>0</v>
      </c>
      <c r="AB223" s="293" t="str">
        <f t="shared" ca="1" si="100"/>
        <v>MEDIR</v>
      </c>
      <c r="AC223" s="294">
        <f t="shared" ca="1" si="101"/>
        <v>27</v>
      </c>
      <c r="AD223" s="294">
        <f t="shared" ca="1" si="102"/>
        <v>2719.44</v>
      </c>
      <c r="AE223" s="295"/>
      <c r="AF223" s="295"/>
      <c r="AG223" s="296"/>
      <c r="AH223" s="296"/>
      <c r="AI223" s="296"/>
      <c r="AJ223" s="324"/>
      <c r="AK223" s="324"/>
      <c r="AL223" s="324"/>
      <c r="AM223" s="324"/>
    </row>
    <row r="224" spans="1:39" x14ac:dyDescent="0.25">
      <c r="A224" s="232">
        <f t="shared" si="95"/>
        <v>224</v>
      </c>
      <c r="B224" s="232"/>
      <c r="C224" s="307" t="str">
        <f t="shared" si="103"/>
        <v>12.1</v>
      </c>
      <c r="D224" s="308">
        <f t="shared" si="104"/>
        <v>10</v>
      </c>
      <c r="E224" s="309" t="str">
        <f t="shared" si="105"/>
        <v>12.1.10</v>
      </c>
      <c r="F224" s="310">
        <v>86887</v>
      </c>
      <c r="G224" s="311" t="str">
        <f>IF($F224="","",IFERROR(VLOOKUP($F224,SERVIÇOS!$B:$G,2,0),IFERROR(VLOOKUP($F224,'COMPOSIÇÕES COMPLEMENTARES '!$D:$L,2,0),IFERROR(VLOOKUP($F224,INSUMOS!$A:$D,2,0),""))))</f>
        <v>ENGATE FLEXÍVEL EM INOX, 1/2  X 40CM - FORNECIMENTO E INSTALAÇÃO. AF_01/2020</v>
      </c>
      <c r="H224" s="312" t="str">
        <f>IF($F224="","",IFERROR(VLOOKUP($F224,SERVIÇOS!$B:$G,3,0),IFERROR(VLOOKUP($F224,'COMPOSIÇÕES COMPLEMENTARES '!$D:$L,3,0),IFERROR(VLOOKUP($F224,INSUMOS!$A:$D,3,0),""))))</f>
        <v>UN</v>
      </c>
      <c r="I224" s="313">
        <v>38</v>
      </c>
      <c r="J224" s="314">
        <f>IF($F224="","",IFERROR(VLOOKUP($F224,SERVIÇOS!$B:$G,4,0),IFERROR(VLOOKUP($F224,'COMPOSIÇÕES COMPLEMENTARES '!$D:$L,6,0),IFERROR(VLOOKUP($F224,INSUMOS!$A:$D,4,0),""))))</f>
        <v>75.78</v>
      </c>
      <c r="K224" s="314">
        <f>IF($F224="","",IFERROR(VLOOKUP($F224,SERVIÇOS!$B:$G,5,0),IFERROR(VLOOKUP($F224,'COMPOSIÇÕES COMPLEMENTARES '!$D:$L,7,0),0)))</f>
        <v>5.12</v>
      </c>
      <c r="L224" s="314">
        <f t="shared" si="106"/>
        <v>80.900000000000006</v>
      </c>
      <c r="M224" s="314">
        <f t="shared" si="107"/>
        <v>2879.64</v>
      </c>
      <c r="N224" s="314">
        <f t="shared" si="108"/>
        <v>194.56</v>
      </c>
      <c r="O224" s="314">
        <f t="shared" si="109"/>
        <v>3074.2</v>
      </c>
      <c r="P224" s="314"/>
      <c r="Q224" s="315"/>
      <c r="R224" s="315"/>
      <c r="S224" s="286"/>
      <c r="T224" s="287"/>
      <c r="U224" s="288" t="str">
        <f t="shared" si="96"/>
        <v/>
      </c>
      <c r="V224" s="287"/>
      <c r="W224" s="289" t="str">
        <f t="shared" si="97"/>
        <v/>
      </c>
      <c r="X224" s="287"/>
      <c r="Y224" s="290" t="str">
        <f t="shared" si="98"/>
        <v/>
      </c>
      <c r="Z224" s="291">
        <f ca="1">SUMIF($T$8:Y$1018,"QUANT.",T224:Y224)</f>
        <v>0</v>
      </c>
      <c r="AA224" s="292">
        <f t="shared" ca="1" si="99"/>
        <v>0</v>
      </c>
      <c r="AB224" s="293" t="str">
        <f t="shared" ca="1" si="100"/>
        <v>MEDIR</v>
      </c>
      <c r="AC224" s="294">
        <f t="shared" ca="1" si="101"/>
        <v>38</v>
      </c>
      <c r="AD224" s="294">
        <f t="shared" ca="1" si="102"/>
        <v>3074.2</v>
      </c>
      <c r="AE224" s="295"/>
      <c r="AF224" s="295"/>
      <c r="AG224" s="296"/>
      <c r="AH224" s="296"/>
      <c r="AI224" s="296"/>
      <c r="AJ224" s="324"/>
      <c r="AK224" s="324"/>
      <c r="AL224" s="324"/>
      <c r="AM224" s="324"/>
    </row>
    <row r="225" spans="1:39" ht="25.5" x14ac:dyDescent="0.25">
      <c r="A225" s="232">
        <f t="shared" si="95"/>
        <v>225</v>
      </c>
      <c r="B225" s="232"/>
      <c r="C225" s="307" t="str">
        <f t="shared" si="103"/>
        <v>12.1</v>
      </c>
      <c r="D225" s="308">
        <f t="shared" si="104"/>
        <v>11</v>
      </c>
      <c r="E225" s="309" t="str">
        <f t="shared" si="105"/>
        <v>12.1.11</v>
      </c>
      <c r="F225" s="310" t="s">
        <v>12057</v>
      </c>
      <c r="G225" s="311" t="str">
        <f>IF($F225="","",IFERROR(VLOOKUP($F225,SERVIÇOS!$B:$G,2,0),IFERROR(VLOOKUP($F225,'COMPOSIÇÕES COMPLEMENTARES '!$D:$L,2,0),IFERROR(VLOOKUP($F225,INSUMOS!$A:$D,2,0),""))))</f>
        <v>ESPELHO CRISTAL, ESPESSURA 4MM, FIXADO COM BOTÃO CROMADO, SEM MOLDURA, NAS DIMENSÕES 50X70CM</v>
      </c>
      <c r="H225" s="312" t="str">
        <f>IF($F225="","",IFERROR(VLOOKUP($F225,SERVIÇOS!$B:$G,3,0),IFERROR(VLOOKUP($F225,'COMPOSIÇÕES COMPLEMENTARES '!$D:$L,3,0),IFERROR(VLOOKUP($F225,INSUMOS!$A:$D,3,0),""))))</f>
        <v>UN</v>
      </c>
      <c r="I225" s="313">
        <v>11</v>
      </c>
      <c r="J225" s="314">
        <f>IF($F225="","",IFERROR(VLOOKUP($F225,SERVIÇOS!$B:$G,4,0),IFERROR(VLOOKUP($F225,'COMPOSIÇÕES COMPLEMENTARES '!$D:$L,6,0),IFERROR(VLOOKUP($F225,INSUMOS!$A:$D,4,0),""))))</f>
        <v>181.94</v>
      </c>
      <c r="K225" s="314">
        <f>IF($F225="","",IFERROR(VLOOKUP($F225,SERVIÇOS!$B:$G,5,0),IFERROR(VLOOKUP($F225,'COMPOSIÇÕES COMPLEMENTARES '!$D:$L,7,0),0)))</f>
        <v>22.23</v>
      </c>
      <c r="L225" s="314">
        <f t="shared" si="106"/>
        <v>204.17</v>
      </c>
      <c r="M225" s="314">
        <f t="shared" si="107"/>
        <v>2001.34</v>
      </c>
      <c r="N225" s="314">
        <f t="shared" si="108"/>
        <v>244.53</v>
      </c>
      <c r="O225" s="314">
        <f t="shared" si="109"/>
        <v>2245.87</v>
      </c>
      <c r="P225" s="314"/>
      <c r="Q225" s="315"/>
      <c r="R225" s="315"/>
      <c r="S225" s="286"/>
      <c r="T225" s="287"/>
      <c r="U225" s="288" t="str">
        <f t="shared" si="96"/>
        <v/>
      </c>
      <c r="V225" s="287"/>
      <c r="W225" s="289" t="str">
        <f t="shared" si="97"/>
        <v/>
      </c>
      <c r="X225" s="287"/>
      <c r="Y225" s="290" t="str">
        <f t="shared" si="98"/>
        <v/>
      </c>
      <c r="Z225" s="291">
        <f ca="1">SUMIF($T$8:Y$1018,"QUANT.",T225:Y225)</f>
        <v>0</v>
      </c>
      <c r="AA225" s="292">
        <f t="shared" ca="1" si="99"/>
        <v>0</v>
      </c>
      <c r="AB225" s="293" t="str">
        <f t="shared" ca="1" si="100"/>
        <v>MEDIR</v>
      </c>
      <c r="AC225" s="294">
        <f t="shared" ca="1" si="101"/>
        <v>11</v>
      </c>
      <c r="AD225" s="294">
        <f t="shared" ca="1" si="102"/>
        <v>2245.87</v>
      </c>
      <c r="AE225" s="295"/>
      <c r="AF225" s="295"/>
      <c r="AG225" s="296"/>
      <c r="AH225" s="296"/>
      <c r="AI225" s="296"/>
      <c r="AJ225" s="324"/>
      <c r="AK225" s="324"/>
      <c r="AL225" s="324"/>
      <c r="AM225" s="324"/>
    </row>
    <row r="226" spans="1:39" ht="25.5" x14ac:dyDescent="0.25">
      <c r="A226" s="232">
        <f t="shared" si="95"/>
        <v>226</v>
      </c>
      <c r="B226" s="232"/>
      <c r="C226" s="307" t="str">
        <f t="shared" si="103"/>
        <v>12.1</v>
      </c>
      <c r="D226" s="308">
        <f t="shared" si="104"/>
        <v>12</v>
      </c>
      <c r="E226" s="309" t="str">
        <f t="shared" si="105"/>
        <v>12.1.12</v>
      </c>
      <c r="F226" s="310" t="s">
        <v>12058</v>
      </c>
      <c r="G226" s="311" t="str">
        <f>IF($F226="","",IFERROR(VLOOKUP($F226,SERVIÇOS!$B:$G,2,0),IFERROR(VLOOKUP($F226,'COMPOSIÇÕES COMPLEMENTARES '!$D:$L,2,0),IFERROR(VLOOKUP($F226,INSUMOS!$A:$D,2,0),""))))</f>
        <v>CHUVEIRO ELÉTRICO COMUM EM PLÁSTICO CROMADO, COM CANO, 4 TEMPERATURAS (110/220V), POTÊNCIA 6.800W, COM DESVIADOR  - FORNECIMENTO E INSTALAÇÃO</v>
      </c>
      <c r="H226" s="312" t="str">
        <f>IF($F226="","",IFERROR(VLOOKUP($F226,SERVIÇOS!$B:$G,3,0),IFERROR(VLOOKUP($F226,'COMPOSIÇÕES COMPLEMENTARES '!$D:$L,3,0),IFERROR(VLOOKUP($F226,INSUMOS!$A:$D,3,0),""))))</f>
        <v>UN</v>
      </c>
      <c r="I226" s="313">
        <v>7</v>
      </c>
      <c r="J226" s="314">
        <f>IF($F226="","",IFERROR(VLOOKUP($F226,SERVIÇOS!$B:$G,4,0),IFERROR(VLOOKUP($F226,'COMPOSIÇÕES COMPLEMENTARES '!$D:$L,6,0),IFERROR(VLOOKUP($F226,INSUMOS!$A:$D,4,0),""))))</f>
        <v>319.47000000000003</v>
      </c>
      <c r="K226" s="314">
        <f>IF($F226="","",IFERROR(VLOOKUP($F226,SERVIÇOS!$B:$G,5,0),IFERROR(VLOOKUP($F226,'COMPOSIÇÕES COMPLEMENTARES '!$D:$L,7,0),0)))</f>
        <v>15.03</v>
      </c>
      <c r="L226" s="314">
        <f t="shared" si="106"/>
        <v>334.5</v>
      </c>
      <c r="M226" s="314">
        <f t="shared" si="107"/>
        <v>2236.29</v>
      </c>
      <c r="N226" s="314">
        <f t="shared" si="108"/>
        <v>105.21</v>
      </c>
      <c r="O226" s="314">
        <f t="shared" si="109"/>
        <v>2341.5</v>
      </c>
      <c r="P226" s="314"/>
      <c r="Q226" s="315"/>
      <c r="R226" s="315"/>
      <c r="S226" s="286"/>
      <c r="T226" s="287"/>
      <c r="U226" s="288" t="str">
        <f t="shared" si="96"/>
        <v/>
      </c>
      <c r="V226" s="287"/>
      <c r="W226" s="289" t="str">
        <f t="shared" si="97"/>
        <v/>
      </c>
      <c r="X226" s="287"/>
      <c r="Y226" s="290" t="str">
        <f t="shared" si="98"/>
        <v/>
      </c>
      <c r="Z226" s="291">
        <f ca="1">SUMIF($T$8:Y$1018,"QUANT.",T226:Y226)</f>
        <v>0</v>
      </c>
      <c r="AA226" s="292">
        <f t="shared" ca="1" si="99"/>
        <v>0</v>
      </c>
      <c r="AB226" s="293" t="str">
        <f t="shared" ca="1" si="100"/>
        <v>MEDIR</v>
      </c>
      <c r="AC226" s="294">
        <f t="shared" ca="1" si="101"/>
        <v>7</v>
      </c>
      <c r="AD226" s="294">
        <f t="shared" ca="1" si="102"/>
        <v>2341.5</v>
      </c>
      <c r="AE226" s="295"/>
      <c r="AF226" s="295"/>
      <c r="AG226" s="296"/>
      <c r="AH226" s="296"/>
      <c r="AI226" s="296"/>
      <c r="AJ226" s="324"/>
      <c r="AK226" s="324"/>
      <c r="AL226" s="324"/>
      <c r="AM226" s="324"/>
    </row>
    <row r="227" spans="1:39" x14ac:dyDescent="0.25">
      <c r="A227" s="232">
        <f t="shared" si="95"/>
        <v>227</v>
      </c>
      <c r="B227" s="232"/>
      <c r="C227" s="307" t="str">
        <f t="shared" si="103"/>
        <v>12.1</v>
      </c>
      <c r="D227" s="308">
        <f t="shared" si="104"/>
        <v>13</v>
      </c>
      <c r="E227" s="309" t="str">
        <f t="shared" si="105"/>
        <v>12.1.13</v>
      </c>
      <c r="F227" s="310" t="s">
        <v>12059</v>
      </c>
      <c r="G227" s="311" t="str">
        <f>IF($F227="","",IFERROR(VLOOKUP($F227,SERVIÇOS!$B:$G,2,0),IFERROR(VLOOKUP($F227,'COMPOSIÇÕES COMPLEMENTARES '!$D:$L,2,0),IFERROR(VLOOKUP($F227,INSUMOS!$A:$D,2,0),""))))</f>
        <v>CABIDE DE BANHEIRO SIMPLES EM METAL CROMADO</v>
      </c>
      <c r="H227" s="312" t="str">
        <f>IF($F227="","",IFERROR(VLOOKUP($F227,SERVIÇOS!$B:$G,3,0),IFERROR(VLOOKUP($F227,'COMPOSIÇÕES COMPLEMENTARES '!$D:$L,3,0),IFERROR(VLOOKUP($F227,INSUMOS!$A:$D,3,0),""))))</f>
        <v>UN</v>
      </c>
      <c r="I227" s="313">
        <v>9</v>
      </c>
      <c r="J227" s="314">
        <f>IF($F227="","",IFERROR(VLOOKUP($F227,SERVIÇOS!$B:$G,4,0),IFERROR(VLOOKUP($F227,'COMPOSIÇÕES COMPLEMENTARES '!$D:$L,6,0),IFERROR(VLOOKUP($F227,INSUMOS!$A:$D,4,0),""))))</f>
        <v>63.03</v>
      </c>
      <c r="K227" s="314">
        <f>IF($F227="","",IFERROR(VLOOKUP($F227,SERVIÇOS!$B:$G,5,0),IFERROR(VLOOKUP($F227,'COMPOSIÇÕES COMPLEMENTARES '!$D:$L,7,0),0)))</f>
        <v>19.27</v>
      </c>
      <c r="L227" s="314">
        <f t="shared" si="106"/>
        <v>82.3</v>
      </c>
      <c r="M227" s="314">
        <f t="shared" si="107"/>
        <v>567.27</v>
      </c>
      <c r="N227" s="314">
        <f t="shared" si="108"/>
        <v>173.43</v>
      </c>
      <c r="O227" s="314">
        <f t="shared" si="109"/>
        <v>740.7</v>
      </c>
      <c r="P227" s="314"/>
      <c r="Q227" s="315"/>
      <c r="R227" s="315"/>
      <c r="S227" s="286"/>
      <c r="T227" s="287"/>
      <c r="U227" s="288" t="str">
        <f t="shared" si="96"/>
        <v/>
      </c>
      <c r="V227" s="287"/>
      <c r="W227" s="289" t="str">
        <f t="shared" si="97"/>
        <v/>
      </c>
      <c r="X227" s="287"/>
      <c r="Y227" s="290" t="str">
        <f t="shared" si="98"/>
        <v/>
      </c>
      <c r="Z227" s="291">
        <f ca="1">SUMIF($T$8:Y$1018,"QUANT.",T227:Y227)</f>
        <v>0</v>
      </c>
      <c r="AA227" s="292">
        <f t="shared" ca="1" si="99"/>
        <v>0</v>
      </c>
      <c r="AB227" s="293" t="str">
        <f t="shared" ca="1" si="100"/>
        <v>MEDIR</v>
      </c>
      <c r="AC227" s="294">
        <f t="shared" ca="1" si="101"/>
        <v>9</v>
      </c>
      <c r="AD227" s="294">
        <f t="shared" ca="1" si="102"/>
        <v>740.7</v>
      </c>
      <c r="AE227" s="295"/>
      <c r="AF227" s="295"/>
      <c r="AG227" s="296"/>
      <c r="AH227" s="296"/>
      <c r="AI227" s="296"/>
      <c r="AJ227" s="324"/>
      <c r="AK227" s="324"/>
      <c r="AL227" s="324"/>
      <c r="AM227" s="324"/>
    </row>
    <row r="228" spans="1:39" ht="25.5" x14ac:dyDescent="0.25">
      <c r="A228" s="232">
        <f t="shared" si="95"/>
        <v>228</v>
      </c>
      <c r="B228" s="232"/>
      <c r="C228" s="307" t="str">
        <f t="shared" si="103"/>
        <v>12.1</v>
      </c>
      <c r="D228" s="308">
        <f t="shared" si="104"/>
        <v>14</v>
      </c>
      <c r="E228" s="309" t="str">
        <f t="shared" si="105"/>
        <v>12.1.14</v>
      </c>
      <c r="F228" s="310" t="s">
        <v>12060</v>
      </c>
      <c r="G228" s="311" t="str">
        <f>IF($F228="","",IFERROR(VLOOKUP($F228,SERVIÇOS!$B:$G,2,0),IFERROR(VLOOKUP($F228,'COMPOSIÇÕES COMPLEMENTARES '!$D:$L,2,0),IFERROR(VLOOKUP($F228,INSUMOS!$A:$D,2,0),""))))</f>
        <v>ALARME DE EMERGÊNCIA EM PLÁSTICO ABS DE ALTA RESISTÊNCIA, DIMENSÕES 78X82MM, ESTANQUE, ANTICHAMAS, COM ACIONADOR TIPO PRESSÃO, FIXAÇÃO NA PAREDE.</v>
      </c>
      <c r="H228" s="312" t="str">
        <f>IF($F228="","",IFERROR(VLOOKUP($F228,SERVIÇOS!$B:$G,3,0),IFERROR(VLOOKUP($F228,'COMPOSIÇÕES COMPLEMENTARES '!$D:$L,3,0),IFERROR(VLOOKUP($F228,INSUMOS!$A:$D,3,0),""))))</f>
        <v>UN</v>
      </c>
      <c r="I228" s="313">
        <v>7</v>
      </c>
      <c r="J228" s="314">
        <f>IF($F228="","",IFERROR(VLOOKUP($F228,SERVIÇOS!$B:$G,4,0),IFERROR(VLOOKUP($F228,'COMPOSIÇÕES COMPLEMENTARES '!$D:$L,6,0),IFERROR(VLOOKUP($F228,INSUMOS!$A:$D,4,0),""))))</f>
        <v>546.79999999999995</v>
      </c>
      <c r="K228" s="314">
        <f>IF($F228="","",IFERROR(VLOOKUP($F228,SERVIÇOS!$B:$G,5,0),IFERROR(VLOOKUP($F228,'COMPOSIÇÕES COMPLEMENTARES '!$D:$L,7,0),0)))</f>
        <v>8.42</v>
      </c>
      <c r="L228" s="314">
        <f t="shared" si="106"/>
        <v>555.21999999999991</v>
      </c>
      <c r="M228" s="314">
        <f t="shared" si="107"/>
        <v>3827.6</v>
      </c>
      <c r="N228" s="314">
        <f t="shared" si="108"/>
        <v>58.94</v>
      </c>
      <c r="O228" s="314">
        <f t="shared" si="109"/>
        <v>3886.54</v>
      </c>
      <c r="P228" s="314"/>
      <c r="Q228" s="315"/>
      <c r="R228" s="315"/>
      <c r="S228" s="286"/>
      <c r="T228" s="287"/>
      <c r="U228" s="288" t="str">
        <f t="shared" si="96"/>
        <v/>
      </c>
      <c r="V228" s="287"/>
      <c r="W228" s="289" t="str">
        <f t="shared" si="97"/>
        <v/>
      </c>
      <c r="X228" s="287"/>
      <c r="Y228" s="290" t="str">
        <f t="shared" si="98"/>
        <v/>
      </c>
      <c r="Z228" s="291">
        <f ca="1">SUMIF($T$8:Y$1018,"QUANT.",T228:Y228)</f>
        <v>0</v>
      </c>
      <c r="AA228" s="292">
        <f t="shared" ca="1" si="99"/>
        <v>0</v>
      </c>
      <c r="AB228" s="293" t="str">
        <f t="shared" ca="1" si="100"/>
        <v>MEDIR</v>
      </c>
      <c r="AC228" s="294">
        <f t="shared" ca="1" si="101"/>
        <v>7</v>
      </c>
      <c r="AD228" s="294">
        <f t="shared" ca="1" si="102"/>
        <v>3886.54</v>
      </c>
      <c r="AE228" s="295"/>
      <c r="AF228" s="295"/>
      <c r="AG228" s="296"/>
      <c r="AH228" s="296"/>
      <c r="AI228" s="296"/>
      <c r="AJ228" s="325"/>
      <c r="AK228" s="324"/>
      <c r="AL228" s="324"/>
      <c r="AM228" s="324"/>
    </row>
    <row r="229" spans="1:39" ht="25.5" x14ac:dyDescent="0.25">
      <c r="A229" s="232">
        <f t="shared" si="95"/>
        <v>229</v>
      </c>
      <c r="B229" s="232"/>
      <c r="C229" s="307" t="str">
        <f t="shared" si="103"/>
        <v>12.1</v>
      </c>
      <c r="D229" s="308">
        <f t="shared" si="104"/>
        <v>15</v>
      </c>
      <c r="E229" s="309" t="str">
        <f t="shared" si="105"/>
        <v>12.1.15</v>
      </c>
      <c r="F229" s="310">
        <v>100868</v>
      </c>
      <c r="G229" s="311" t="str">
        <f>IF($F229="","",IFERROR(VLOOKUP($F229,SERVIÇOS!$B:$G,2,0),IFERROR(VLOOKUP($F229,'COMPOSIÇÕES COMPLEMENTARES '!$D:$L,2,0),IFERROR(VLOOKUP($F229,INSUMOS!$A:$D,2,0),""))))</f>
        <v>BARRA DE APOIO RETA, EM ACO INOX POLIDO, COMPRIMENTO 80 CM,  FIXADA NA PAREDE - FORNECIMENTO E INSTALAÇÃO. AF_01/2020</v>
      </c>
      <c r="H229" s="312" t="str">
        <f>IF($F229="","",IFERROR(VLOOKUP($F229,SERVIÇOS!$B:$G,3,0),IFERROR(VLOOKUP($F229,'COMPOSIÇÕES COMPLEMENTARES '!$D:$L,3,0),IFERROR(VLOOKUP($F229,INSUMOS!$A:$D,3,0),""))))</f>
        <v>UN</v>
      </c>
      <c r="I229" s="313">
        <v>21</v>
      </c>
      <c r="J229" s="314">
        <f>IF($F229="","",IFERROR(VLOOKUP($F229,SERVIÇOS!$B:$G,4,0),IFERROR(VLOOKUP($F229,'COMPOSIÇÕES COMPLEMENTARES '!$D:$L,6,0),IFERROR(VLOOKUP($F229,INSUMOS!$A:$D,4,0),""))))</f>
        <v>222.3</v>
      </c>
      <c r="K229" s="314">
        <f>IF($F229="","",IFERROR(VLOOKUP($F229,SERVIÇOS!$B:$G,5,0),IFERROR(VLOOKUP($F229,'COMPOSIÇÕES COMPLEMENTARES '!$D:$L,7,0),0)))</f>
        <v>31.96</v>
      </c>
      <c r="L229" s="314">
        <f t="shared" si="106"/>
        <v>254.26000000000002</v>
      </c>
      <c r="M229" s="314">
        <f t="shared" si="107"/>
        <v>4668.3</v>
      </c>
      <c r="N229" s="314">
        <f t="shared" si="108"/>
        <v>671.16</v>
      </c>
      <c r="O229" s="314">
        <f t="shared" si="109"/>
        <v>5339.46</v>
      </c>
      <c r="P229" s="314"/>
      <c r="Q229" s="315"/>
      <c r="R229" s="315"/>
      <c r="S229" s="286"/>
      <c r="T229" s="287"/>
      <c r="U229" s="288" t="str">
        <f t="shared" si="96"/>
        <v/>
      </c>
      <c r="V229" s="287"/>
      <c r="W229" s="289" t="str">
        <f t="shared" si="97"/>
        <v/>
      </c>
      <c r="X229" s="287"/>
      <c r="Y229" s="290" t="str">
        <f t="shared" si="98"/>
        <v/>
      </c>
      <c r="Z229" s="291">
        <f ca="1">SUMIF($T$8:Y$1018,"QUANT.",T229:Y229)</f>
        <v>0</v>
      </c>
      <c r="AA229" s="292">
        <f t="shared" ca="1" si="99"/>
        <v>0</v>
      </c>
      <c r="AB229" s="293" t="str">
        <f t="shared" ca="1" si="100"/>
        <v>MEDIR</v>
      </c>
      <c r="AC229" s="294">
        <f t="shared" ca="1" si="101"/>
        <v>21</v>
      </c>
      <c r="AD229" s="294">
        <f t="shared" ca="1" si="102"/>
        <v>5339.46</v>
      </c>
      <c r="AE229" s="295"/>
      <c r="AF229" s="295"/>
      <c r="AG229" s="296"/>
      <c r="AH229" s="296"/>
      <c r="AI229" s="296"/>
      <c r="AJ229" s="325"/>
      <c r="AK229" s="324"/>
      <c r="AL229" s="324"/>
      <c r="AM229" s="324"/>
    </row>
    <row r="230" spans="1:39" ht="25.5" x14ac:dyDescent="0.25">
      <c r="A230" s="232">
        <f t="shared" si="95"/>
        <v>230</v>
      </c>
      <c r="B230" s="232"/>
      <c r="C230" s="307" t="str">
        <f t="shared" si="103"/>
        <v>12.1</v>
      </c>
      <c r="D230" s="308">
        <f t="shared" si="104"/>
        <v>16</v>
      </c>
      <c r="E230" s="309" t="str">
        <f t="shared" si="105"/>
        <v>12.1.16</v>
      </c>
      <c r="F230" s="310">
        <v>100865</v>
      </c>
      <c r="G230" s="311" t="str">
        <f>IF($F230="","",IFERROR(VLOOKUP($F230,SERVIÇOS!$B:$G,2,0),IFERROR(VLOOKUP($F230,'COMPOSIÇÕES COMPLEMENTARES '!$D:$L,2,0),IFERROR(VLOOKUP($F230,INSUMOS!$A:$D,2,0),""))))</f>
        <v>BARRA DE APOIO LATERAL ARTICULADA, COM TRAVA, EM ACO INOX POLIDO, FIXADA NA PAREDE - FORNECIMENTO E INSTALAÇÃO. AF_01/2020</v>
      </c>
      <c r="H230" s="312" t="str">
        <f>IF($F230="","",IFERROR(VLOOKUP($F230,SERVIÇOS!$B:$G,3,0),IFERROR(VLOOKUP($F230,'COMPOSIÇÕES COMPLEMENTARES '!$D:$L,3,0),IFERROR(VLOOKUP($F230,INSUMOS!$A:$D,3,0),""))))</f>
        <v>UN</v>
      </c>
      <c r="I230" s="313">
        <v>2</v>
      </c>
      <c r="J230" s="314">
        <f>IF($F230="","",IFERROR(VLOOKUP($F230,SERVIÇOS!$B:$G,4,0),IFERROR(VLOOKUP($F230,'COMPOSIÇÕES COMPLEMENTARES '!$D:$L,6,0),IFERROR(VLOOKUP($F230,INSUMOS!$A:$D,4,0),""))))</f>
        <v>356.2</v>
      </c>
      <c r="K230" s="314">
        <f>IF($F230="","",IFERROR(VLOOKUP($F230,SERVIÇOS!$B:$G,5,0),IFERROR(VLOOKUP($F230,'COMPOSIÇÕES COMPLEMENTARES '!$D:$L,7,0),0)))</f>
        <v>21.29</v>
      </c>
      <c r="L230" s="314">
        <f t="shared" si="106"/>
        <v>377.49</v>
      </c>
      <c r="M230" s="314">
        <f t="shared" si="107"/>
        <v>712.4</v>
      </c>
      <c r="N230" s="314">
        <f t="shared" si="108"/>
        <v>42.58</v>
      </c>
      <c r="O230" s="314">
        <f t="shared" si="109"/>
        <v>754.98</v>
      </c>
      <c r="P230" s="314"/>
      <c r="Q230" s="315"/>
      <c r="R230" s="315"/>
      <c r="S230" s="286"/>
      <c r="T230" s="287"/>
      <c r="U230" s="288" t="str">
        <f t="shared" si="96"/>
        <v/>
      </c>
      <c r="V230" s="287"/>
      <c r="W230" s="289" t="str">
        <f t="shared" si="97"/>
        <v/>
      </c>
      <c r="X230" s="287"/>
      <c r="Y230" s="290" t="str">
        <f t="shared" si="98"/>
        <v/>
      </c>
      <c r="Z230" s="291">
        <f ca="1">SUMIF($T$8:Y$1018,"QUANT.",T230:Y230)</f>
        <v>0</v>
      </c>
      <c r="AA230" s="292">
        <f t="shared" ca="1" si="99"/>
        <v>0</v>
      </c>
      <c r="AB230" s="293" t="str">
        <f t="shared" ca="1" si="100"/>
        <v>MEDIR</v>
      </c>
      <c r="AC230" s="294">
        <f t="shared" ca="1" si="101"/>
        <v>2</v>
      </c>
      <c r="AD230" s="294">
        <f t="shared" ca="1" si="102"/>
        <v>754.98</v>
      </c>
      <c r="AE230" s="295"/>
      <c r="AF230" s="295"/>
      <c r="AG230" s="296"/>
      <c r="AH230" s="296"/>
      <c r="AI230" s="296"/>
      <c r="AJ230" s="325"/>
      <c r="AK230" s="324"/>
      <c r="AL230" s="324"/>
      <c r="AM230" s="324"/>
    </row>
    <row r="231" spans="1:39" ht="25.5" x14ac:dyDescent="0.25">
      <c r="A231" s="232">
        <f t="shared" si="95"/>
        <v>231</v>
      </c>
      <c r="B231" s="232"/>
      <c r="C231" s="307" t="str">
        <f t="shared" si="103"/>
        <v>12.1</v>
      </c>
      <c r="D231" s="308">
        <f t="shared" si="104"/>
        <v>17</v>
      </c>
      <c r="E231" s="309" t="str">
        <f t="shared" si="105"/>
        <v>12.1.17</v>
      </c>
      <c r="F231" s="310">
        <v>100866</v>
      </c>
      <c r="G231" s="311" t="str">
        <f>IF($F231="","",IFERROR(VLOOKUP($F231,SERVIÇOS!$B:$G,2,0),IFERROR(VLOOKUP($F231,'COMPOSIÇÕES COMPLEMENTARES '!$D:$L,2,0),IFERROR(VLOOKUP($F231,INSUMOS!$A:$D,2,0),""))))</f>
        <v>BARRA DE APOIO RETA, EM ACO INOX POLIDO, COMPRIMENTO 60CM, FIXADA NA PAREDE - FORNECIMENTO E INSTALAÇÃO. AF_01/2020</v>
      </c>
      <c r="H231" s="312" t="str">
        <f>IF($F231="","",IFERROR(VLOOKUP($F231,SERVIÇOS!$B:$G,3,0),IFERROR(VLOOKUP($F231,'COMPOSIÇÕES COMPLEMENTARES '!$D:$L,3,0),IFERROR(VLOOKUP($F231,INSUMOS!$A:$D,3,0),""))))</f>
        <v>UN</v>
      </c>
      <c r="I231" s="313">
        <v>2</v>
      </c>
      <c r="J231" s="314">
        <f>IF($F231="","",IFERROR(VLOOKUP($F231,SERVIÇOS!$B:$G,4,0),IFERROR(VLOOKUP($F231,'COMPOSIÇÕES COMPLEMENTARES '!$D:$L,6,0),IFERROR(VLOOKUP($F231,INSUMOS!$A:$D,4,0),""))))</f>
        <v>203.46</v>
      </c>
      <c r="K231" s="314">
        <f>IF($F231="","",IFERROR(VLOOKUP($F231,SERVIÇOS!$B:$G,5,0),IFERROR(VLOOKUP($F231,'COMPOSIÇÕES COMPLEMENTARES '!$D:$L,7,0),0)))</f>
        <v>31.94</v>
      </c>
      <c r="L231" s="314">
        <f t="shared" si="106"/>
        <v>235.4</v>
      </c>
      <c r="M231" s="314">
        <f t="shared" si="107"/>
        <v>406.92</v>
      </c>
      <c r="N231" s="314">
        <f t="shared" si="108"/>
        <v>63.88</v>
      </c>
      <c r="O231" s="314">
        <f t="shared" si="109"/>
        <v>470.8</v>
      </c>
      <c r="P231" s="314"/>
      <c r="Q231" s="315"/>
      <c r="R231" s="315"/>
      <c r="S231" s="286"/>
      <c r="T231" s="287"/>
      <c r="U231" s="288" t="str">
        <f t="shared" si="96"/>
        <v/>
      </c>
      <c r="V231" s="287"/>
      <c r="W231" s="289" t="str">
        <f t="shared" si="97"/>
        <v/>
      </c>
      <c r="X231" s="287"/>
      <c r="Y231" s="290" t="str">
        <f t="shared" si="98"/>
        <v/>
      </c>
      <c r="Z231" s="291">
        <f ca="1">SUMIF($T$8:Y$1018,"QUANT.",T231:Y231)</f>
        <v>0</v>
      </c>
      <c r="AA231" s="292">
        <f t="shared" ca="1" si="99"/>
        <v>0</v>
      </c>
      <c r="AB231" s="293" t="str">
        <f t="shared" ca="1" si="100"/>
        <v>MEDIR</v>
      </c>
      <c r="AC231" s="294">
        <f t="shared" ca="1" si="101"/>
        <v>2</v>
      </c>
      <c r="AD231" s="294">
        <f t="shared" ca="1" si="102"/>
        <v>470.8</v>
      </c>
      <c r="AE231" s="295"/>
      <c r="AF231" s="295"/>
      <c r="AG231" s="296"/>
      <c r="AH231" s="296"/>
      <c r="AI231" s="296"/>
      <c r="AJ231" s="325"/>
      <c r="AK231" s="325"/>
      <c r="AL231" s="325"/>
      <c r="AM231" s="325"/>
    </row>
    <row r="232" spans="1:39" ht="25.5" x14ac:dyDescent="0.25">
      <c r="A232" s="232">
        <f t="shared" si="95"/>
        <v>232</v>
      </c>
      <c r="B232" s="232"/>
      <c r="C232" s="307" t="str">
        <f t="shared" si="103"/>
        <v>12.1</v>
      </c>
      <c r="D232" s="308">
        <f t="shared" si="104"/>
        <v>18</v>
      </c>
      <c r="E232" s="309" t="str">
        <f t="shared" si="105"/>
        <v>12.1.18</v>
      </c>
      <c r="F232" s="310">
        <v>100875</v>
      </c>
      <c r="G232" s="311" t="str">
        <f>IF($F232="","",IFERROR(VLOOKUP($F232,SERVIÇOS!$B:$G,2,0),IFERROR(VLOOKUP($F232,'COMPOSIÇÕES COMPLEMENTARES '!$D:$L,2,0),IFERROR(VLOOKUP($F232,INSUMOS!$A:$D,2,0),""))))</f>
        <v>BANCO ARTICULADO, EM ACO INOX, PARA PCD, FIXADO NA PAREDE - FORNECIMENTO E INSTALAÇÃO. AF_01/2020</v>
      </c>
      <c r="H232" s="312" t="str">
        <f>IF($F232="","",IFERROR(VLOOKUP($F232,SERVIÇOS!$B:$G,3,0),IFERROR(VLOOKUP($F232,'COMPOSIÇÕES COMPLEMENTARES '!$D:$L,3,0),IFERROR(VLOOKUP($F232,INSUMOS!$A:$D,3,0),""))))</f>
        <v>UN</v>
      </c>
      <c r="I232" s="313">
        <v>3</v>
      </c>
      <c r="J232" s="314">
        <f>IF($F232="","",IFERROR(VLOOKUP($F232,SERVIÇOS!$B:$G,4,0),IFERROR(VLOOKUP($F232,'COMPOSIÇÕES COMPLEMENTARES '!$D:$L,6,0),IFERROR(VLOOKUP($F232,INSUMOS!$A:$D,4,0),""))))</f>
        <v>659.92</v>
      </c>
      <c r="K232" s="314">
        <f>IF($F232="","",IFERROR(VLOOKUP($F232,SERVIÇOS!$B:$G,5,0),IFERROR(VLOOKUP($F232,'COMPOSIÇÕES COMPLEMENTARES '!$D:$L,7,0),0)))</f>
        <v>42.57</v>
      </c>
      <c r="L232" s="314">
        <f t="shared" si="106"/>
        <v>702.49</v>
      </c>
      <c r="M232" s="314">
        <f t="shared" si="107"/>
        <v>1979.76</v>
      </c>
      <c r="N232" s="314">
        <f t="shared" si="108"/>
        <v>127.71</v>
      </c>
      <c r="O232" s="314">
        <f t="shared" si="109"/>
        <v>2107.4699999999998</v>
      </c>
      <c r="P232" s="314"/>
      <c r="Q232" s="315"/>
      <c r="R232" s="315"/>
      <c r="S232" s="286"/>
      <c r="T232" s="287"/>
      <c r="U232" s="288" t="str">
        <f t="shared" si="96"/>
        <v/>
      </c>
      <c r="V232" s="287"/>
      <c r="W232" s="289" t="str">
        <f t="shared" si="97"/>
        <v/>
      </c>
      <c r="X232" s="287"/>
      <c r="Y232" s="290" t="str">
        <f t="shared" si="98"/>
        <v/>
      </c>
      <c r="Z232" s="291">
        <f ca="1">SUMIF($T$8:Y$1018,"QUANT.",T232:Y232)</f>
        <v>0</v>
      </c>
      <c r="AA232" s="292">
        <f t="shared" ca="1" si="99"/>
        <v>0</v>
      </c>
      <c r="AB232" s="293" t="str">
        <f t="shared" ca="1" si="100"/>
        <v>MEDIR</v>
      </c>
      <c r="AC232" s="294">
        <f t="shared" ca="1" si="101"/>
        <v>3</v>
      </c>
      <c r="AD232" s="294">
        <f t="shared" ca="1" si="102"/>
        <v>2107.4699999999998</v>
      </c>
      <c r="AE232" s="295"/>
      <c r="AF232" s="295"/>
      <c r="AG232" s="296"/>
      <c r="AH232" s="296"/>
      <c r="AI232" s="296"/>
      <c r="AJ232" s="325"/>
      <c r="AK232" s="325"/>
      <c r="AL232" s="325"/>
      <c r="AM232" s="325"/>
    </row>
    <row r="233" spans="1:39" ht="25.5" x14ac:dyDescent="0.25">
      <c r="A233" s="232">
        <f t="shared" si="95"/>
        <v>233</v>
      </c>
      <c r="B233" s="232"/>
      <c r="C233" s="307" t="str">
        <f t="shared" si="103"/>
        <v>12.1</v>
      </c>
      <c r="D233" s="308">
        <f t="shared" si="104"/>
        <v>19</v>
      </c>
      <c r="E233" s="309" t="str">
        <f t="shared" si="105"/>
        <v>12.1.19</v>
      </c>
      <c r="F233" s="310" t="s">
        <v>12061</v>
      </c>
      <c r="G233" s="311" t="str">
        <f>IF($F233="","",IFERROR(VLOOKUP($F233,SERVIÇOS!$B:$G,2,0),IFERROR(VLOOKUP($F233,'COMPOSIÇÕES COMPLEMENTARES '!$D:$L,2,0),IFERROR(VLOOKUP($F233,INSUMOS!$A:$D,2,0),""))))</f>
        <v>BARRA DE APOIO, ALUMÍNIO, PARA LAVATÓRIO, EM "U" L=30 CM (BARRAS COM DIÂMETRO ENTRE 3,0 E 4,5 CM)</v>
      </c>
      <c r="H233" s="312" t="str">
        <f>IF($F233="","",IFERROR(VLOOKUP($F233,SERVIÇOS!$B:$G,3,0),IFERROR(VLOOKUP($F233,'COMPOSIÇÕES COMPLEMENTARES '!$D:$L,3,0),IFERROR(VLOOKUP($F233,INSUMOS!$A:$D,3,0),""))))</f>
        <v>UN</v>
      </c>
      <c r="I233" s="313">
        <v>7</v>
      </c>
      <c r="J233" s="314">
        <f>IF($F233="","",IFERROR(VLOOKUP($F233,SERVIÇOS!$B:$G,4,0),IFERROR(VLOOKUP($F233,'COMPOSIÇÕES COMPLEMENTARES '!$D:$L,6,0),IFERROR(VLOOKUP($F233,INSUMOS!$A:$D,4,0),""))))</f>
        <v>139.78</v>
      </c>
      <c r="K233" s="314">
        <f>IF($F233="","",IFERROR(VLOOKUP($F233,SERVIÇOS!$B:$G,5,0),IFERROR(VLOOKUP($F233,'COMPOSIÇÕES COMPLEMENTARES '!$D:$L,7,0),0)))</f>
        <v>27.63</v>
      </c>
      <c r="L233" s="314">
        <f t="shared" si="106"/>
        <v>167.41</v>
      </c>
      <c r="M233" s="314">
        <f t="shared" si="107"/>
        <v>978.46</v>
      </c>
      <c r="N233" s="314">
        <f t="shared" si="108"/>
        <v>193.41</v>
      </c>
      <c r="O233" s="314">
        <f t="shared" si="109"/>
        <v>1171.8699999999999</v>
      </c>
      <c r="P233" s="314"/>
      <c r="Q233" s="315"/>
      <c r="R233" s="315"/>
      <c r="S233" s="286"/>
      <c r="T233" s="287"/>
      <c r="U233" s="288" t="str">
        <f t="shared" si="96"/>
        <v/>
      </c>
      <c r="V233" s="287"/>
      <c r="W233" s="289" t="str">
        <f t="shared" si="97"/>
        <v/>
      </c>
      <c r="X233" s="287"/>
      <c r="Y233" s="290" t="str">
        <f t="shared" si="98"/>
        <v/>
      </c>
      <c r="Z233" s="291">
        <f ca="1">SUMIF($T$8:Y$1018,"QUANT.",T233:Y233)</f>
        <v>0</v>
      </c>
      <c r="AA233" s="292">
        <f t="shared" ca="1" si="99"/>
        <v>0</v>
      </c>
      <c r="AB233" s="293" t="str">
        <f t="shared" ca="1" si="100"/>
        <v>MEDIR</v>
      </c>
      <c r="AC233" s="294">
        <f t="shared" ca="1" si="101"/>
        <v>7</v>
      </c>
      <c r="AD233" s="294">
        <f t="shared" ca="1" si="102"/>
        <v>1171.8699999999999</v>
      </c>
      <c r="AE233" s="295"/>
      <c r="AF233" s="295"/>
      <c r="AG233" s="296"/>
      <c r="AH233" s="296"/>
      <c r="AI233" s="296"/>
      <c r="AJ233" s="325"/>
      <c r="AK233" s="325"/>
      <c r="AL233" s="325"/>
      <c r="AM233" s="325"/>
    </row>
    <row r="234" spans="1:39" x14ac:dyDescent="0.25">
      <c r="A234" s="232">
        <f t="shared" si="95"/>
        <v>234</v>
      </c>
      <c r="B234" s="232"/>
      <c r="C234" s="307" t="str">
        <f t="shared" si="103"/>
        <v>12.1</v>
      </c>
      <c r="D234" s="308">
        <f t="shared" si="104"/>
        <v>20</v>
      </c>
      <c r="E234" s="309" t="str">
        <f t="shared" si="105"/>
        <v>12.1.20</v>
      </c>
      <c r="F234" s="310" t="s">
        <v>12062</v>
      </c>
      <c r="G234" s="311" t="str">
        <f>IF($F234="","",IFERROR(VLOOKUP($F234,SERVIÇOS!$B:$G,2,0),IFERROR(VLOOKUP($F234,'COMPOSIÇÕES COMPLEMENTARES '!$D:$L,2,0),IFERROR(VLOOKUP($F234,INSUMOS!$A:$D,2,0),""))))</f>
        <v>BARRA DE APOIO, RETA, FIXA, EM AÇO INOX, L=40CM, D=1 1/4" - JACKWAL OU SIMILAR - FORNC. E INST.</v>
      </c>
      <c r="H234" s="312" t="str">
        <f>IF($F234="","",IFERROR(VLOOKUP($F234,SERVIÇOS!$B:$G,3,0),IFERROR(VLOOKUP($F234,'COMPOSIÇÕES COMPLEMENTARES '!$D:$L,3,0),IFERROR(VLOOKUP($F234,INSUMOS!$A:$D,3,0),""))))</f>
        <v>UN</v>
      </c>
      <c r="I234" s="313">
        <v>7</v>
      </c>
      <c r="J234" s="314">
        <f>IF($F234="","",IFERROR(VLOOKUP($F234,SERVIÇOS!$B:$G,4,0),IFERROR(VLOOKUP($F234,'COMPOSIÇÕES COMPLEMENTARES '!$D:$L,6,0),IFERROR(VLOOKUP($F234,INSUMOS!$A:$D,4,0),""))))</f>
        <v>213.5</v>
      </c>
      <c r="K234" s="314">
        <f>IF($F234="","",IFERROR(VLOOKUP($F234,SERVIÇOS!$B:$G,5,0),IFERROR(VLOOKUP($F234,'COMPOSIÇÕES COMPLEMENTARES '!$D:$L,7,0),0)))</f>
        <v>47.14</v>
      </c>
      <c r="L234" s="314">
        <f t="shared" si="106"/>
        <v>260.64</v>
      </c>
      <c r="M234" s="314">
        <f t="shared" si="107"/>
        <v>1494.5</v>
      </c>
      <c r="N234" s="314">
        <f t="shared" si="108"/>
        <v>329.98</v>
      </c>
      <c r="O234" s="314">
        <f t="shared" si="109"/>
        <v>1824.48</v>
      </c>
      <c r="P234" s="314"/>
      <c r="Q234" s="315"/>
      <c r="R234" s="315"/>
      <c r="S234" s="286"/>
      <c r="T234" s="287"/>
      <c r="U234" s="288" t="str">
        <f t="shared" si="96"/>
        <v/>
      </c>
      <c r="V234" s="287"/>
      <c r="W234" s="289" t="str">
        <f t="shared" si="97"/>
        <v/>
      </c>
      <c r="X234" s="287"/>
      <c r="Y234" s="290" t="str">
        <f t="shared" si="98"/>
        <v/>
      </c>
      <c r="Z234" s="291">
        <f ca="1">SUMIF($T$8:Y$1018,"QUANT.",T234:Y234)</f>
        <v>0</v>
      </c>
      <c r="AA234" s="292">
        <f t="shared" ca="1" si="99"/>
        <v>0</v>
      </c>
      <c r="AB234" s="293" t="str">
        <f t="shared" ca="1" si="100"/>
        <v>MEDIR</v>
      </c>
      <c r="AC234" s="294">
        <f t="shared" ca="1" si="101"/>
        <v>7</v>
      </c>
      <c r="AD234" s="294">
        <f t="shared" ca="1" si="102"/>
        <v>1824.48</v>
      </c>
      <c r="AE234" s="295"/>
      <c r="AF234" s="295"/>
      <c r="AG234" s="296"/>
      <c r="AH234" s="296"/>
      <c r="AI234" s="296"/>
      <c r="AJ234" s="325"/>
      <c r="AK234" s="325"/>
      <c r="AL234" s="325"/>
      <c r="AM234" s="325"/>
    </row>
    <row r="235" spans="1:39" ht="25.5" x14ac:dyDescent="0.25">
      <c r="A235" s="232">
        <f t="shared" si="95"/>
        <v>235</v>
      </c>
      <c r="B235" s="232"/>
      <c r="C235" s="307" t="str">
        <f t="shared" si="103"/>
        <v>12.1</v>
      </c>
      <c r="D235" s="308">
        <f t="shared" si="104"/>
        <v>21</v>
      </c>
      <c r="E235" s="309" t="str">
        <f t="shared" si="105"/>
        <v>12.1.21</v>
      </c>
      <c r="F235" s="310">
        <v>100867</v>
      </c>
      <c r="G235" s="311" t="str">
        <f>IF($F235="","",IFERROR(VLOOKUP($F235,SERVIÇOS!$B:$G,2,0),IFERROR(VLOOKUP($F235,'COMPOSIÇÕES COMPLEMENTARES '!$D:$L,2,0),IFERROR(VLOOKUP($F235,INSUMOS!$A:$D,2,0),""))))</f>
        <v>BARRA DE APOIO RETA, EM ACO INOX POLIDO, COMPRIMENTO 70 CM,  FIXADA NA PAREDE - FORNECIMENTO E INSTALAÇÃO. AF_01/2020</v>
      </c>
      <c r="H235" s="312" t="str">
        <f>IF($F235="","",IFERROR(VLOOKUP($F235,SERVIÇOS!$B:$G,3,0),IFERROR(VLOOKUP($F235,'COMPOSIÇÕES COMPLEMENTARES '!$D:$L,3,0),IFERROR(VLOOKUP($F235,INSUMOS!$A:$D,3,0),""))))</f>
        <v>UN</v>
      </c>
      <c r="I235" s="313">
        <v>2</v>
      </c>
      <c r="J235" s="314">
        <f>IF($F235="","",IFERROR(VLOOKUP($F235,SERVIÇOS!$B:$G,4,0),IFERROR(VLOOKUP($F235,'COMPOSIÇÕES COMPLEMENTARES '!$D:$L,6,0),IFERROR(VLOOKUP($F235,INSUMOS!$A:$D,4,0),""))))</f>
        <v>214.77</v>
      </c>
      <c r="K235" s="314">
        <f>IF($F235="","",IFERROR(VLOOKUP($F235,SERVIÇOS!$B:$G,5,0),IFERROR(VLOOKUP($F235,'COMPOSIÇÕES COMPLEMENTARES '!$D:$L,7,0),0)))</f>
        <v>31.95</v>
      </c>
      <c r="L235" s="314">
        <f t="shared" si="106"/>
        <v>246.72</v>
      </c>
      <c r="M235" s="314">
        <f t="shared" si="107"/>
        <v>429.54</v>
      </c>
      <c r="N235" s="314">
        <f t="shared" si="108"/>
        <v>63.9</v>
      </c>
      <c r="O235" s="314">
        <f t="shared" si="109"/>
        <v>493.44</v>
      </c>
      <c r="P235" s="314"/>
      <c r="Q235" s="315"/>
      <c r="R235" s="315"/>
      <c r="S235" s="286"/>
      <c r="T235" s="287"/>
      <c r="U235" s="288" t="str">
        <f t="shared" si="96"/>
        <v/>
      </c>
      <c r="V235" s="287"/>
      <c r="W235" s="289" t="str">
        <f t="shared" si="97"/>
        <v/>
      </c>
      <c r="X235" s="287"/>
      <c r="Y235" s="290" t="str">
        <f t="shared" si="98"/>
        <v/>
      </c>
      <c r="Z235" s="291">
        <f ca="1">SUMIF($T$8:Y$1018,"QUANT.",T235:Y235)</f>
        <v>0</v>
      </c>
      <c r="AA235" s="292">
        <f t="shared" ca="1" si="99"/>
        <v>0</v>
      </c>
      <c r="AB235" s="293" t="str">
        <f t="shared" ca="1" si="100"/>
        <v>MEDIR</v>
      </c>
      <c r="AC235" s="294">
        <f t="shared" ca="1" si="101"/>
        <v>2</v>
      </c>
      <c r="AD235" s="294">
        <f t="shared" ca="1" si="102"/>
        <v>493.44</v>
      </c>
      <c r="AE235" s="295"/>
      <c r="AF235" s="295"/>
      <c r="AG235" s="296"/>
      <c r="AH235" s="296"/>
      <c r="AI235" s="296"/>
      <c r="AJ235" s="325"/>
      <c r="AK235" s="325"/>
      <c r="AL235" s="325"/>
      <c r="AM235" s="325"/>
    </row>
    <row r="236" spans="1:39" ht="25.5" x14ac:dyDescent="0.25">
      <c r="A236" s="232">
        <f t="shared" si="95"/>
        <v>236</v>
      </c>
      <c r="B236" s="232"/>
      <c r="C236" s="307" t="str">
        <f t="shared" si="103"/>
        <v>12.1</v>
      </c>
      <c r="D236" s="308">
        <f t="shared" si="104"/>
        <v>22</v>
      </c>
      <c r="E236" s="309" t="str">
        <f t="shared" si="105"/>
        <v>12.1.22</v>
      </c>
      <c r="F236" s="310">
        <v>86910</v>
      </c>
      <c r="G236" s="311" t="str">
        <f>IF($F236="","",IFERROR(VLOOKUP($F236,SERVIÇOS!$B:$G,2,0),IFERROR(VLOOKUP($F236,'COMPOSIÇÕES COMPLEMENTARES '!$D:$L,2,0),IFERROR(VLOOKUP($F236,INSUMOS!$A:$D,2,0),""))))</f>
        <v>TORNEIRA CROMADA TUBO MÓVEL, DE PAREDE, 1/2" OU 3/4", PARA PIA DE COZINHA, PADRÃO MÉDIO - FORNECIMENTO E INSTALAÇÃO. AF_01/2020</v>
      </c>
      <c r="H236" s="312" t="str">
        <f>IF($F236="","",IFERROR(VLOOKUP($F236,SERVIÇOS!$B:$G,3,0),IFERROR(VLOOKUP($F236,'COMPOSIÇÕES COMPLEMENTARES '!$D:$L,3,0),IFERROR(VLOOKUP($F236,INSUMOS!$A:$D,3,0),""))))</f>
        <v>UN</v>
      </c>
      <c r="I236" s="313">
        <v>11</v>
      </c>
      <c r="J236" s="314">
        <f>IF($F236="","",IFERROR(VLOOKUP($F236,SERVIÇOS!$B:$G,4,0),IFERROR(VLOOKUP($F236,'COMPOSIÇÕES COMPLEMENTARES '!$D:$L,6,0),IFERROR(VLOOKUP($F236,INSUMOS!$A:$D,4,0),""))))</f>
        <v>115.16</v>
      </c>
      <c r="K236" s="314">
        <f>IF($F236="","",IFERROR(VLOOKUP($F236,SERVIÇOS!$B:$G,5,0),IFERROR(VLOOKUP($F236,'COMPOSIÇÕES COMPLEMENTARES '!$D:$L,7,0),0)))</f>
        <v>3.9</v>
      </c>
      <c r="L236" s="314">
        <f t="shared" si="106"/>
        <v>119.06</v>
      </c>
      <c r="M236" s="314">
        <f t="shared" si="107"/>
        <v>1266.76</v>
      </c>
      <c r="N236" s="314">
        <f t="shared" si="108"/>
        <v>42.9</v>
      </c>
      <c r="O236" s="314">
        <f t="shared" si="109"/>
        <v>1309.6600000000001</v>
      </c>
      <c r="P236" s="314"/>
      <c r="Q236" s="315"/>
      <c r="R236" s="315"/>
      <c r="S236" s="286"/>
      <c r="T236" s="287"/>
      <c r="U236" s="288" t="str">
        <f t="shared" si="96"/>
        <v/>
      </c>
      <c r="V236" s="287"/>
      <c r="W236" s="289" t="str">
        <f t="shared" si="97"/>
        <v/>
      </c>
      <c r="X236" s="287"/>
      <c r="Y236" s="290" t="str">
        <f t="shared" si="98"/>
        <v/>
      </c>
      <c r="Z236" s="291">
        <f ca="1">SUMIF($T$8:Y$1018,"QUANT.",T236:Y236)</f>
        <v>0</v>
      </c>
      <c r="AA236" s="292">
        <f t="shared" ca="1" si="99"/>
        <v>0</v>
      </c>
      <c r="AB236" s="293" t="str">
        <f t="shared" ca="1" si="100"/>
        <v>MEDIR</v>
      </c>
      <c r="AC236" s="294">
        <f t="shared" ca="1" si="101"/>
        <v>11</v>
      </c>
      <c r="AD236" s="294">
        <f t="shared" ca="1" si="102"/>
        <v>1309.6600000000001</v>
      </c>
      <c r="AE236" s="295"/>
      <c r="AF236" s="295"/>
      <c r="AG236" s="296"/>
      <c r="AH236" s="296"/>
      <c r="AI236" s="296"/>
      <c r="AJ236" s="325"/>
      <c r="AK236" s="325"/>
      <c r="AL236" s="325"/>
      <c r="AM236" s="325"/>
    </row>
    <row r="237" spans="1:39" ht="25.5" x14ac:dyDescent="0.25">
      <c r="A237" s="232">
        <f t="shared" si="95"/>
        <v>237</v>
      </c>
      <c r="B237" s="232"/>
      <c r="C237" s="307" t="str">
        <f t="shared" si="103"/>
        <v>12.1</v>
      </c>
      <c r="D237" s="308">
        <f t="shared" si="104"/>
        <v>23</v>
      </c>
      <c r="E237" s="309" t="str">
        <f t="shared" si="105"/>
        <v>12.1.23</v>
      </c>
      <c r="F237" s="310">
        <v>86872</v>
      </c>
      <c r="G237" s="311" t="str">
        <f>IF($F237="","",IFERROR(VLOOKUP($F237,SERVIÇOS!$B:$G,2,0),IFERROR(VLOOKUP($F237,'COMPOSIÇÕES COMPLEMENTARES '!$D:$L,2,0),IFERROR(VLOOKUP($F237,INSUMOS!$A:$D,2,0),""))))</f>
        <v>TANQUE DE LOUÇA BRANCA COM COLUNA, 30L OU EQUIVALENTE - FORNECIMENTO E INSTALAÇÃO. AF_01/2020</v>
      </c>
      <c r="H237" s="312" t="str">
        <f>IF($F237="","",IFERROR(VLOOKUP($F237,SERVIÇOS!$B:$G,3,0),IFERROR(VLOOKUP($F237,'COMPOSIÇÕES COMPLEMENTARES '!$D:$L,3,0),IFERROR(VLOOKUP($F237,INSUMOS!$A:$D,3,0),""))))</f>
        <v>UN</v>
      </c>
      <c r="I237" s="313">
        <v>2</v>
      </c>
      <c r="J237" s="314">
        <f>IF($F237="","",IFERROR(VLOOKUP($F237,SERVIÇOS!$B:$G,4,0),IFERROR(VLOOKUP($F237,'COMPOSIÇÕES COMPLEMENTARES '!$D:$L,6,0),IFERROR(VLOOKUP($F237,INSUMOS!$A:$D,4,0),""))))</f>
        <v>757.32</v>
      </c>
      <c r="K237" s="314">
        <f>IF($F237="","",IFERROR(VLOOKUP($F237,SERVIÇOS!$B:$G,5,0),IFERROR(VLOOKUP($F237,'COMPOSIÇÕES COMPLEMENTARES '!$D:$L,7,0),0)))</f>
        <v>62.55</v>
      </c>
      <c r="L237" s="314">
        <f t="shared" si="106"/>
        <v>819.87</v>
      </c>
      <c r="M237" s="314">
        <f t="shared" si="107"/>
        <v>1514.64</v>
      </c>
      <c r="N237" s="314">
        <f t="shared" si="108"/>
        <v>125.1</v>
      </c>
      <c r="O237" s="314">
        <f t="shared" si="109"/>
        <v>1639.74</v>
      </c>
      <c r="P237" s="314"/>
      <c r="Q237" s="315"/>
      <c r="R237" s="315"/>
      <c r="S237" s="286"/>
      <c r="T237" s="287"/>
      <c r="U237" s="288" t="str">
        <f t="shared" si="96"/>
        <v/>
      </c>
      <c r="V237" s="287"/>
      <c r="W237" s="289" t="str">
        <f t="shared" si="97"/>
        <v/>
      </c>
      <c r="X237" s="287"/>
      <c r="Y237" s="290" t="str">
        <f t="shared" si="98"/>
        <v/>
      </c>
      <c r="Z237" s="291">
        <f ca="1">SUMIF($T$8:Y$1018,"QUANT.",T237:Y237)</f>
        <v>0</v>
      </c>
      <c r="AA237" s="292">
        <f t="shared" ca="1" si="99"/>
        <v>0</v>
      </c>
      <c r="AB237" s="293" t="str">
        <f t="shared" ca="1" si="100"/>
        <v>MEDIR</v>
      </c>
      <c r="AC237" s="294">
        <f t="shared" ca="1" si="101"/>
        <v>2</v>
      </c>
      <c r="AD237" s="294">
        <f t="shared" ca="1" si="102"/>
        <v>1639.74</v>
      </c>
      <c r="AE237" s="295"/>
      <c r="AF237" s="295"/>
      <c r="AG237" s="296"/>
      <c r="AH237" s="296"/>
      <c r="AI237" s="296"/>
      <c r="AJ237" s="325"/>
      <c r="AK237" s="325"/>
      <c r="AL237" s="325"/>
      <c r="AM237" s="325"/>
    </row>
    <row r="238" spans="1:39" ht="25.5" x14ac:dyDescent="0.25">
      <c r="A238" s="232">
        <f t="shared" si="95"/>
        <v>238</v>
      </c>
      <c r="B238" s="232"/>
      <c r="C238" s="307" t="str">
        <f t="shared" si="103"/>
        <v>12.1</v>
      </c>
      <c r="D238" s="308">
        <f t="shared" si="104"/>
        <v>24</v>
      </c>
      <c r="E238" s="309" t="str">
        <f t="shared" si="105"/>
        <v>12.1.24</v>
      </c>
      <c r="F238" s="310">
        <v>86914</v>
      </c>
      <c r="G238" s="311" t="str">
        <f>IF($F238="","",IFERROR(VLOOKUP($F238,SERVIÇOS!$B:$G,2,0),IFERROR(VLOOKUP($F238,'COMPOSIÇÕES COMPLEMENTARES '!$D:$L,2,0),IFERROR(VLOOKUP($F238,INSUMOS!$A:$D,2,0),""))))</f>
        <v>TORNEIRA CROMADA 1/2" OU 3/4" PARA TANQUE, PADRÃO MÉDIO - FORNECIMENTO E INSTALAÇÃO. AF_01/2020</v>
      </c>
      <c r="H238" s="312" t="str">
        <f>IF($F238="","",IFERROR(VLOOKUP($F238,SERVIÇOS!$B:$G,3,0),IFERROR(VLOOKUP($F238,'COMPOSIÇÕES COMPLEMENTARES '!$D:$L,3,0),IFERROR(VLOOKUP($F238,INSUMOS!$A:$D,3,0),""))))</f>
        <v>UN</v>
      </c>
      <c r="I238" s="313">
        <v>2</v>
      </c>
      <c r="J238" s="314">
        <f>IF($F238="","",IFERROR(VLOOKUP($F238,SERVIÇOS!$B:$G,4,0),IFERROR(VLOOKUP($F238,'COMPOSIÇÕES COMPLEMENTARES '!$D:$L,6,0),IFERROR(VLOOKUP($F238,INSUMOS!$A:$D,4,0),""))))</f>
        <v>87.38</v>
      </c>
      <c r="K238" s="314">
        <f>IF($F238="","",IFERROR(VLOOKUP($F238,SERVIÇOS!$B:$G,5,0),IFERROR(VLOOKUP($F238,'COMPOSIÇÕES COMPLEMENTARES '!$D:$L,7,0),0)))</f>
        <v>5.12</v>
      </c>
      <c r="L238" s="314">
        <f t="shared" si="106"/>
        <v>92.5</v>
      </c>
      <c r="M238" s="314">
        <f t="shared" si="107"/>
        <v>174.76</v>
      </c>
      <c r="N238" s="314">
        <f t="shared" si="108"/>
        <v>10.24</v>
      </c>
      <c r="O238" s="314">
        <f t="shared" si="109"/>
        <v>185</v>
      </c>
      <c r="P238" s="314"/>
      <c r="Q238" s="315"/>
      <c r="R238" s="315"/>
      <c r="S238" s="286"/>
      <c r="T238" s="287"/>
      <c r="U238" s="288" t="str">
        <f t="shared" si="96"/>
        <v/>
      </c>
      <c r="V238" s="287"/>
      <c r="W238" s="289" t="str">
        <f t="shared" si="97"/>
        <v/>
      </c>
      <c r="X238" s="287"/>
      <c r="Y238" s="290" t="str">
        <f t="shared" si="98"/>
        <v/>
      </c>
      <c r="Z238" s="291">
        <f ca="1">SUMIF($T$8:Y$1018,"QUANT.",T238:Y238)</f>
        <v>0</v>
      </c>
      <c r="AA238" s="292">
        <f t="shared" ca="1" si="99"/>
        <v>0</v>
      </c>
      <c r="AB238" s="293" t="str">
        <f t="shared" ca="1" si="100"/>
        <v>MEDIR</v>
      </c>
      <c r="AC238" s="294">
        <f t="shared" ca="1" si="101"/>
        <v>2</v>
      </c>
      <c r="AD238" s="294">
        <f t="shared" ca="1" si="102"/>
        <v>185</v>
      </c>
      <c r="AE238" s="295"/>
      <c r="AF238" s="295"/>
      <c r="AG238" s="296"/>
      <c r="AH238" s="296"/>
      <c r="AI238" s="296"/>
      <c r="AJ238" s="325"/>
      <c r="AK238" s="325"/>
      <c r="AL238" s="325"/>
      <c r="AM238" s="325"/>
    </row>
    <row r="239" spans="1:39" ht="25.5" x14ac:dyDescent="0.25">
      <c r="A239" s="232">
        <f t="shared" si="95"/>
        <v>239</v>
      </c>
      <c r="B239" s="232"/>
      <c r="C239" s="307" t="str">
        <f t="shared" si="103"/>
        <v>12.1</v>
      </c>
      <c r="D239" s="308">
        <f t="shared" si="104"/>
        <v>25</v>
      </c>
      <c r="E239" s="309" t="str">
        <f t="shared" si="105"/>
        <v>12.1.25</v>
      </c>
      <c r="F239" s="310" t="s">
        <v>12063</v>
      </c>
      <c r="G239" s="311" t="str">
        <f>IF($F239="","",IFERROR(VLOOKUP($F239,SERVIÇOS!$B:$G,2,0),IFERROR(VLOOKUP($F239,'COMPOSIÇÕES COMPLEMENTARES '!$D:$L,2,0),IFERROR(VLOOKUP($F239,INSUMOS!$A:$D,2,0),""))))</f>
        <v>PORTA OBJETOS/PRATELEIRA EM VIDRO TEMPERADO, DIMENSÕES APROXIMADAS 12X25CM, ESPESSURA 10MM, FIXAÇÃO NA PAREDE COM SUPORTE QUADRADO</v>
      </c>
      <c r="H239" s="312" t="str">
        <f>IF($F239="","",IFERROR(VLOOKUP($F239,SERVIÇOS!$B:$G,3,0),IFERROR(VLOOKUP($F239,'COMPOSIÇÕES COMPLEMENTARES '!$D:$L,3,0),IFERROR(VLOOKUP($F239,INSUMOS!$A:$D,3,0),""))))</f>
        <v>UN</v>
      </c>
      <c r="I239" s="313">
        <v>8</v>
      </c>
      <c r="J239" s="314">
        <f>IF($F239="","",IFERROR(VLOOKUP($F239,SERVIÇOS!$B:$G,4,0),IFERROR(VLOOKUP($F239,'COMPOSIÇÕES COMPLEMENTARES '!$D:$L,6,0),IFERROR(VLOOKUP($F239,INSUMOS!$A:$D,4,0),""))))</f>
        <v>272.8</v>
      </c>
      <c r="K239" s="314">
        <f>IF($F239="","",IFERROR(VLOOKUP($F239,SERVIÇOS!$B:$G,5,0),IFERROR(VLOOKUP($F239,'COMPOSIÇÕES COMPLEMENTARES '!$D:$L,7,0),0)))</f>
        <v>19.34</v>
      </c>
      <c r="L239" s="314">
        <f t="shared" si="106"/>
        <v>292.14</v>
      </c>
      <c r="M239" s="314">
        <f t="shared" si="107"/>
        <v>2182.4</v>
      </c>
      <c r="N239" s="314">
        <f t="shared" si="108"/>
        <v>154.72</v>
      </c>
      <c r="O239" s="314">
        <f t="shared" si="109"/>
        <v>2337.12</v>
      </c>
      <c r="P239" s="314"/>
      <c r="Q239" s="315"/>
      <c r="R239" s="315"/>
      <c r="S239" s="286"/>
      <c r="T239" s="287"/>
      <c r="U239" s="288" t="str">
        <f t="shared" si="96"/>
        <v/>
      </c>
      <c r="V239" s="287"/>
      <c r="W239" s="289" t="str">
        <f t="shared" si="97"/>
        <v/>
      </c>
      <c r="X239" s="287"/>
      <c r="Y239" s="290" t="str">
        <f t="shared" si="98"/>
        <v/>
      </c>
      <c r="Z239" s="291">
        <f ca="1">SUMIF($T$8:Y$1018,"QUANT.",T239:Y239)</f>
        <v>0</v>
      </c>
      <c r="AA239" s="292">
        <f t="shared" ca="1" si="99"/>
        <v>0</v>
      </c>
      <c r="AB239" s="293" t="str">
        <f t="shared" ca="1" si="100"/>
        <v>MEDIR</v>
      </c>
      <c r="AC239" s="294">
        <f t="shared" ca="1" si="101"/>
        <v>8</v>
      </c>
      <c r="AD239" s="294">
        <f t="shared" ca="1" si="102"/>
        <v>2337.12</v>
      </c>
      <c r="AE239" s="295"/>
      <c r="AF239" s="295"/>
      <c r="AG239" s="296"/>
      <c r="AH239" s="296"/>
      <c r="AI239" s="296"/>
      <c r="AJ239" s="325"/>
      <c r="AK239" s="325"/>
      <c r="AL239" s="325"/>
      <c r="AM239" s="325"/>
    </row>
    <row r="240" spans="1:39" x14ac:dyDescent="0.25">
      <c r="A240" s="232">
        <f t="shared" si="95"/>
        <v>240</v>
      </c>
      <c r="B240" s="232"/>
      <c r="C240" s="316" t="str">
        <f>+E240</f>
        <v>12.2</v>
      </c>
      <c r="D240" s="297"/>
      <c r="E240" s="317" t="s">
        <v>12064</v>
      </c>
      <c r="F240" s="317"/>
      <c r="G240" s="318" t="s">
        <v>12065</v>
      </c>
      <c r="H240" s="317"/>
      <c r="I240" s="319"/>
      <c r="J240" s="317"/>
      <c r="K240" s="317"/>
      <c r="L240" s="317"/>
      <c r="M240" s="317"/>
      <c r="N240" s="317"/>
      <c r="O240" s="317"/>
      <c r="P240" s="317"/>
      <c r="Q240" s="320"/>
      <c r="R240" s="306"/>
      <c r="S240" s="286"/>
      <c r="T240" s="287"/>
      <c r="U240" s="288" t="str">
        <f t="shared" si="96"/>
        <v/>
      </c>
      <c r="V240" s="287"/>
      <c r="W240" s="289" t="str">
        <f t="shared" si="97"/>
        <v/>
      </c>
      <c r="X240" s="287"/>
      <c r="Y240" s="290" t="str">
        <f t="shared" si="98"/>
        <v/>
      </c>
      <c r="Z240" s="291">
        <f ca="1">SUMIF($T$8:Y$1018,"QUANT.",T240:Y240)</f>
        <v>0</v>
      </c>
      <c r="AA240" s="292">
        <f t="shared" ca="1" si="99"/>
        <v>0</v>
      </c>
      <c r="AB240" s="293" t="str">
        <f t="shared" si="100"/>
        <v/>
      </c>
      <c r="AC240" s="294">
        <f t="shared" ca="1" si="101"/>
        <v>0</v>
      </c>
      <c r="AD240" s="294">
        <f t="shared" ca="1" si="102"/>
        <v>0</v>
      </c>
      <c r="AE240" s="295"/>
      <c r="AF240" s="295"/>
      <c r="AG240" s="296"/>
      <c r="AH240" s="296"/>
      <c r="AI240" s="296"/>
      <c r="AJ240" s="325"/>
      <c r="AK240" s="325"/>
      <c r="AL240" s="325"/>
      <c r="AM240" s="325"/>
    </row>
    <row r="241" spans="1:39" ht="38.25" x14ac:dyDescent="0.25">
      <c r="A241" s="232">
        <f t="shared" si="95"/>
        <v>241</v>
      </c>
      <c r="B241" s="232"/>
      <c r="C241" s="307" t="str">
        <f t="shared" ref="C241:C246" si="110">+C240</f>
        <v>12.2</v>
      </c>
      <c r="D241" s="308">
        <f t="shared" ref="D241:D246" si="111">1+D240</f>
        <v>1</v>
      </c>
      <c r="E241" s="309" t="str">
        <f t="shared" ref="E241:E246" si="112">C241&amp;"."&amp;D241</f>
        <v>12.2.1</v>
      </c>
      <c r="F241" s="310" t="s">
        <v>12066</v>
      </c>
      <c r="G241" s="311" t="str">
        <f>IF($F241="","",IFERROR(VLOOKUP($F241,SERVIÇOS!$B:$G,2,0),IFERROR(VLOOKUP($F241,'COMPOSIÇÕES COMPLEMENTARES '!$D:$L,2,0),IFERROR(VLOOKUP($F241,INSUMOS!$A:$D,2,0),""))))</f>
        <v>BANCADA EM INOX 304/20 OU 18, ENCHIMENTO EM CONCRETO ARAMADO LEVE, SEM BRITA, SOLDA DE ARGONIO, TESTEIRA DE 10CM, ACABAMENTO LISO, PROFUNDIDADE 60CM, CHUMBADAS À PAREDE E APOIADAS SOBRE BARRAS METÁLICAS, COMPRIMENTO CONFORME AS DIMENSÕES DO PROJETO.</v>
      </c>
      <c r="H241" s="312" t="str">
        <f>IF($F241="","",IFERROR(VLOOKUP($F241,SERVIÇOS!$B:$G,3,0),IFERROR(VLOOKUP($F241,'COMPOSIÇÕES COMPLEMENTARES '!$D:$L,3,0),IFERROR(VLOOKUP($F241,INSUMOS!$A:$D,3,0),""))))</f>
        <v>M</v>
      </c>
      <c r="I241" s="313">
        <v>3.7</v>
      </c>
      <c r="J241" s="314">
        <f>IF($F241="","",IFERROR(VLOOKUP($F241,SERVIÇOS!$B:$G,4,0),IFERROR(VLOOKUP($F241,'COMPOSIÇÕES COMPLEMENTARES '!$D:$L,6,0),IFERROR(VLOOKUP($F241,INSUMOS!$A:$D,4,0),""))))</f>
        <v>1317.87</v>
      </c>
      <c r="K241" s="314">
        <f>IF($F241="","",IFERROR(VLOOKUP($F241,SERVIÇOS!$B:$G,5,0),IFERROR(VLOOKUP($F241,'COMPOSIÇÕES COMPLEMENTARES '!$D:$L,7,0),0)))</f>
        <v>106.66</v>
      </c>
      <c r="L241" s="314">
        <f t="shared" ref="L241:L246" si="113">IF(I241="","",J241+K241)</f>
        <v>1424.53</v>
      </c>
      <c r="M241" s="314">
        <f t="shared" ref="M241:M246" si="114">IF(I241="","",TRUNC((I241*J241),2))</f>
        <v>4876.1099999999997</v>
      </c>
      <c r="N241" s="314">
        <f t="shared" ref="N241:N246" si="115">IF(I241="","",TRUNC((I241*K241),2))</f>
        <v>394.64</v>
      </c>
      <c r="O241" s="314">
        <f t="shared" ref="O241:O246" si="116">IF(I241="","",TRUNC((M241+N241),2))</f>
        <v>5270.75</v>
      </c>
      <c r="P241" s="314"/>
      <c r="Q241" s="315"/>
      <c r="R241" s="315"/>
      <c r="S241" s="286"/>
      <c r="T241" s="287"/>
      <c r="U241" s="288" t="str">
        <f t="shared" si="96"/>
        <v/>
      </c>
      <c r="V241" s="287"/>
      <c r="W241" s="289" t="str">
        <f t="shared" si="97"/>
        <v/>
      </c>
      <c r="X241" s="287"/>
      <c r="Y241" s="290" t="str">
        <f t="shared" si="98"/>
        <v/>
      </c>
      <c r="Z241" s="291">
        <f ca="1">SUMIF($T$8:Y$1018,"QUANT.",T241:Y241)</f>
        <v>0</v>
      </c>
      <c r="AA241" s="292">
        <f t="shared" ca="1" si="99"/>
        <v>0</v>
      </c>
      <c r="AB241" s="293" t="str">
        <f t="shared" ca="1" si="100"/>
        <v>MEDIR</v>
      </c>
      <c r="AC241" s="294">
        <f t="shared" ca="1" si="101"/>
        <v>3.7</v>
      </c>
      <c r="AD241" s="294">
        <f t="shared" ca="1" si="102"/>
        <v>5270.75</v>
      </c>
      <c r="AE241" s="295"/>
      <c r="AF241" s="295"/>
      <c r="AG241" s="296"/>
      <c r="AH241" s="296"/>
      <c r="AI241" s="296"/>
      <c r="AJ241" s="325"/>
      <c r="AK241" s="325"/>
      <c r="AL241" s="325"/>
      <c r="AM241" s="325"/>
    </row>
    <row r="242" spans="1:39" ht="51" x14ac:dyDescent="0.25">
      <c r="A242" s="232">
        <f t="shared" si="95"/>
        <v>242</v>
      </c>
      <c r="B242" s="232"/>
      <c r="C242" s="307" t="str">
        <f t="shared" si="110"/>
        <v>12.2</v>
      </c>
      <c r="D242" s="308">
        <f t="shared" si="111"/>
        <v>2</v>
      </c>
      <c r="E242" s="309" t="str">
        <f t="shared" si="112"/>
        <v>12.2.2</v>
      </c>
      <c r="F242" s="310" t="s">
        <v>12067</v>
      </c>
      <c r="G242" s="311" t="str">
        <f>IF($F242="","",IFERROR(VLOOKUP($F242,SERVIÇOS!$B:$G,2,0),IFERROR(VLOOKUP($F242,'COMPOSIÇÕES COMPLEMENTARES '!$D:$L,2,0),IFERROR(VLOOKUP($F242,INSUMOS!$A:$D,2,0),""))))</f>
        <v xml:space="preserve">BANCADA EM INOX 304/20, COM 1 CUBA (50X40X18CM), ENCHIMENTO EM CONCRETO ARAMADO LEVE, SEM BRITA, SOLDA DE ARGONIO, TESTEIRA DE 10CM, ACABAMENTO LISO, PROFUNDIDADE 60CM, CHUMBADAS À PAREDE E APOIADAS SOBRE BARRAS METÁLICAS. COMPRIMENTO DA BANCADA CONFORME AS DIMENSOES DO PROJETO. </v>
      </c>
      <c r="H242" s="312" t="str">
        <f>IF($F242="","",IFERROR(VLOOKUP($F242,SERVIÇOS!$B:$G,3,0),IFERROR(VLOOKUP($F242,'COMPOSIÇÕES COMPLEMENTARES '!$D:$L,3,0),IFERROR(VLOOKUP($F242,INSUMOS!$A:$D,3,0),""))))</f>
        <v>M</v>
      </c>
      <c r="I242" s="313">
        <v>19.14</v>
      </c>
      <c r="J242" s="314">
        <f>IF($F242="","",IFERROR(VLOOKUP($F242,SERVIÇOS!$B:$G,4,0),IFERROR(VLOOKUP($F242,'COMPOSIÇÕES COMPLEMENTARES '!$D:$L,6,0),IFERROR(VLOOKUP($F242,INSUMOS!$A:$D,4,0),""))))</f>
        <v>1480.95</v>
      </c>
      <c r="K242" s="314">
        <f>IF($F242="","",IFERROR(VLOOKUP($F242,SERVIÇOS!$B:$G,5,0),IFERROR(VLOOKUP($F242,'COMPOSIÇÕES COMPLEMENTARES '!$D:$L,7,0),0)))</f>
        <v>106.66</v>
      </c>
      <c r="L242" s="314">
        <f t="shared" si="113"/>
        <v>1587.6100000000001</v>
      </c>
      <c r="M242" s="314">
        <f t="shared" si="114"/>
        <v>28345.38</v>
      </c>
      <c r="N242" s="314">
        <f t="shared" si="115"/>
        <v>2041.47</v>
      </c>
      <c r="O242" s="314">
        <f t="shared" si="116"/>
        <v>30386.85</v>
      </c>
      <c r="P242" s="314"/>
      <c r="Q242" s="315"/>
      <c r="R242" s="315"/>
      <c r="S242" s="286"/>
      <c r="T242" s="287"/>
      <c r="U242" s="288" t="str">
        <f t="shared" si="96"/>
        <v/>
      </c>
      <c r="V242" s="287"/>
      <c r="W242" s="289" t="str">
        <f t="shared" si="97"/>
        <v/>
      </c>
      <c r="X242" s="287"/>
      <c r="Y242" s="290" t="str">
        <f t="shared" si="98"/>
        <v/>
      </c>
      <c r="Z242" s="291">
        <f ca="1">SUMIF($T$8:Y$1018,"QUANT.",T242:Y242)</f>
        <v>0</v>
      </c>
      <c r="AA242" s="292">
        <f t="shared" ca="1" si="99"/>
        <v>0</v>
      </c>
      <c r="AB242" s="293" t="str">
        <f t="shared" ca="1" si="100"/>
        <v>MEDIR</v>
      </c>
      <c r="AC242" s="294">
        <f t="shared" ca="1" si="101"/>
        <v>19.14</v>
      </c>
      <c r="AD242" s="294">
        <f t="shared" ca="1" si="102"/>
        <v>30386.85</v>
      </c>
      <c r="AE242" s="295"/>
      <c r="AF242" s="295"/>
      <c r="AG242" s="296"/>
      <c r="AH242" s="296"/>
      <c r="AI242" s="296"/>
      <c r="AJ242" s="325"/>
      <c r="AK242" s="325"/>
      <c r="AL242" s="325"/>
      <c r="AM242" s="325"/>
    </row>
    <row r="243" spans="1:39" ht="51" x14ac:dyDescent="0.25">
      <c r="A243" s="232">
        <f t="shared" si="95"/>
        <v>243</v>
      </c>
      <c r="B243" s="232"/>
      <c r="C243" s="307" t="str">
        <f t="shared" si="110"/>
        <v>12.2</v>
      </c>
      <c r="D243" s="308">
        <f t="shared" si="111"/>
        <v>3</v>
      </c>
      <c r="E243" s="309" t="str">
        <f t="shared" si="112"/>
        <v>12.2.3</v>
      </c>
      <c r="F243" s="310" t="s">
        <v>12068</v>
      </c>
      <c r="G243" s="311" t="str">
        <f>IF($F243="","",IFERROR(VLOOKUP($F243,SERVIÇOS!$B:$G,2,0),IFERROR(VLOOKUP($F243,'COMPOSIÇÕES COMPLEMENTARES '!$D:$L,2,0),IFERROR(VLOOKUP($F243,INSUMOS!$A:$D,2,0),""))))</f>
        <v xml:space="preserve">BANCADA EM INOX 304/20, COM 1 CUBA SIMPLES (60X50X40CM), ENCHIMENTO EM CONCRETO ARAMADO LEVE, SEM BRITA, SOLDA DE ARGONIO, TESTEIRA DE 10CM, ACABAMENTO LISO, PROFUNDIDADE 60CM, CHUMBADAS À PAREDE E APOIADAS SOBRE BARRAS METÁLICAS. COMPRIMENTO DA BANCADA CONFORME AS DIMENSOES DO PROJETO. </v>
      </c>
      <c r="H243" s="312" t="str">
        <f>IF($F243="","",IFERROR(VLOOKUP($F243,SERVIÇOS!$B:$G,3,0),IFERROR(VLOOKUP($F243,'COMPOSIÇÕES COMPLEMENTARES '!$D:$L,3,0),IFERROR(VLOOKUP($F243,INSUMOS!$A:$D,3,0),""))))</f>
        <v>M</v>
      </c>
      <c r="I243" s="313">
        <v>4.09</v>
      </c>
      <c r="J243" s="314">
        <f>IF($F243="","",IFERROR(VLOOKUP($F243,SERVIÇOS!$B:$G,4,0),IFERROR(VLOOKUP($F243,'COMPOSIÇÕES COMPLEMENTARES '!$D:$L,6,0),IFERROR(VLOOKUP($F243,INSUMOS!$A:$D,4,0),""))))</f>
        <v>2086.08</v>
      </c>
      <c r="K243" s="314">
        <f>IF($F243="","",IFERROR(VLOOKUP($F243,SERVIÇOS!$B:$G,5,0),IFERROR(VLOOKUP($F243,'COMPOSIÇÕES COMPLEMENTARES '!$D:$L,7,0),0)))</f>
        <v>106.66</v>
      </c>
      <c r="L243" s="314">
        <f t="shared" si="113"/>
        <v>2192.7399999999998</v>
      </c>
      <c r="M243" s="314">
        <f t="shared" si="114"/>
        <v>8532.06</v>
      </c>
      <c r="N243" s="314">
        <f t="shared" si="115"/>
        <v>436.23</v>
      </c>
      <c r="O243" s="314">
        <f t="shared" si="116"/>
        <v>8968.2900000000009</v>
      </c>
      <c r="P243" s="314"/>
      <c r="Q243" s="315"/>
      <c r="R243" s="315"/>
      <c r="S243" s="286"/>
      <c r="T243" s="287"/>
      <c r="U243" s="288" t="str">
        <f t="shared" si="96"/>
        <v/>
      </c>
      <c r="V243" s="287"/>
      <c r="W243" s="289" t="str">
        <f t="shared" si="97"/>
        <v/>
      </c>
      <c r="X243" s="287"/>
      <c r="Y243" s="290" t="str">
        <f t="shared" si="98"/>
        <v/>
      </c>
      <c r="Z243" s="291">
        <f ca="1">SUMIF($T$8:Y$1018,"QUANT.",T243:Y243)</f>
        <v>0</v>
      </c>
      <c r="AA243" s="292">
        <f t="shared" ca="1" si="99"/>
        <v>0</v>
      </c>
      <c r="AB243" s="293" t="str">
        <f t="shared" ca="1" si="100"/>
        <v>MEDIR</v>
      </c>
      <c r="AC243" s="294">
        <f t="shared" ca="1" si="101"/>
        <v>4.09</v>
      </c>
      <c r="AD243" s="294">
        <f t="shared" ca="1" si="102"/>
        <v>8968.2900000000009</v>
      </c>
      <c r="AE243" s="295"/>
      <c r="AF243" s="295"/>
      <c r="AG243" s="296"/>
      <c r="AH243" s="296"/>
      <c r="AI243" s="296"/>
      <c r="AJ243" s="325"/>
      <c r="AK243" s="325"/>
      <c r="AL243" s="325"/>
      <c r="AM243" s="325"/>
    </row>
    <row r="244" spans="1:39" ht="51" x14ac:dyDescent="0.25">
      <c r="A244" s="232">
        <f t="shared" si="95"/>
        <v>244</v>
      </c>
      <c r="B244" s="232"/>
      <c r="C244" s="307" t="str">
        <f t="shared" si="110"/>
        <v>12.2</v>
      </c>
      <c r="D244" s="308">
        <f t="shared" si="111"/>
        <v>4</v>
      </c>
      <c r="E244" s="309" t="str">
        <f t="shared" si="112"/>
        <v>12.2.4</v>
      </c>
      <c r="F244" s="310" t="s">
        <v>12069</v>
      </c>
      <c r="G244" s="311" t="str">
        <f>IF($F244="","",IFERROR(VLOOKUP($F244,SERVIÇOS!$B:$G,2,0),IFERROR(VLOOKUP($F244,'COMPOSIÇÕES COMPLEMENTARES '!$D:$L,2,0),IFERROR(VLOOKUP($F244,INSUMOS!$A:$D,2,0),""))))</f>
        <v xml:space="preserve">BANCADA EM INOX 304/20 COM 2 CUBAS (50X40X18CM) E UM VASO DE DESPEJO (EXPURGO), ENCHIMENTO EM CONCRETO ARMADO LEVE, SEM BRITA, SOLDA DE ARGONIO, TESTEIRA DE 10CM, ACABAMENTO LISO, PROFUNDIDADE 60CM, CHUMBADAS À PAREDE E APOIADAS SOBRE BARRAS METÁLICAS. COMPRIMENTO DA BANCADA CONFORME AS DIMENSOES DO PROJETO. </v>
      </c>
      <c r="H244" s="312" t="str">
        <f>IF($F244="","",IFERROR(VLOOKUP($F244,SERVIÇOS!$B:$G,3,0),IFERROR(VLOOKUP($F244,'COMPOSIÇÕES COMPLEMENTARES '!$D:$L,3,0),IFERROR(VLOOKUP($F244,INSUMOS!$A:$D,3,0),""))))</f>
        <v>M</v>
      </c>
      <c r="I244" s="313">
        <v>2.4</v>
      </c>
      <c r="J244" s="314">
        <f>IF($F244="","",IFERROR(VLOOKUP($F244,SERVIÇOS!$B:$G,4,0),IFERROR(VLOOKUP($F244,'COMPOSIÇÕES COMPLEMENTARES '!$D:$L,6,0),IFERROR(VLOOKUP($F244,INSUMOS!$A:$D,4,0),""))))</f>
        <v>1480.44</v>
      </c>
      <c r="K244" s="314">
        <f>IF($F244="","",IFERROR(VLOOKUP($F244,SERVIÇOS!$B:$G,5,0),IFERROR(VLOOKUP($F244,'COMPOSIÇÕES COMPLEMENTARES '!$D:$L,7,0),0)))</f>
        <v>106.66</v>
      </c>
      <c r="L244" s="314">
        <f t="shared" si="113"/>
        <v>1587.1000000000001</v>
      </c>
      <c r="M244" s="314">
        <f t="shared" si="114"/>
        <v>3553.05</v>
      </c>
      <c r="N244" s="314">
        <f t="shared" si="115"/>
        <v>255.98</v>
      </c>
      <c r="O244" s="314">
        <f t="shared" si="116"/>
        <v>3809.03</v>
      </c>
      <c r="P244" s="314"/>
      <c r="Q244" s="315"/>
      <c r="R244" s="315"/>
      <c r="S244" s="286"/>
      <c r="T244" s="287"/>
      <c r="U244" s="288" t="str">
        <f t="shared" si="96"/>
        <v/>
      </c>
      <c r="V244" s="287"/>
      <c r="W244" s="289" t="str">
        <f t="shared" si="97"/>
        <v/>
      </c>
      <c r="X244" s="287"/>
      <c r="Y244" s="290" t="str">
        <f t="shared" si="98"/>
        <v/>
      </c>
      <c r="Z244" s="291">
        <f ca="1">SUMIF($T$8:Y$1018,"QUANT.",T244:Y244)</f>
        <v>0</v>
      </c>
      <c r="AA244" s="292">
        <f t="shared" ca="1" si="99"/>
        <v>0</v>
      </c>
      <c r="AB244" s="293" t="str">
        <f t="shared" ca="1" si="100"/>
        <v>MEDIR</v>
      </c>
      <c r="AC244" s="294">
        <f t="shared" ca="1" si="101"/>
        <v>2.4</v>
      </c>
      <c r="AD244" s="294">
        <f t="shared" ca="1" si="102"/>
        <v>3809.03</v>
      </c>
      <c r="AE244" s="295"/>
      <c r="AF244" s="295"/>
      <c r="AG244" s="296"/>
      <c r="AH244" s="296"/>
      <c r="AI244" s="296"/>
      <c r="AJ244" s="325"/>
      <c r="AK244" s="325"/>
      <c r="AL244" s="325"/>
      <c r="AM244" s="325"/>
    </row>
    <row r="245" spans="1:39" ht="38.25" x14ac:dyDescent="0.25">
      <c r="A245" s="232">
        <f t="shared" si="95"/>
        <v>245</v>
      </c>
      <c r="B245" s="232"/>
      <c r="C245" s="307" t="str">
        <f t="shared" si="110"/>
        <v>12.2</v>
      </c>
      <c r="D245" s="308">
        <f t="shared" si="111"/>
        <v>5</v>
      </c>
      <c r="E245" s="309" t="str">
        <f t="shared" si="112"/>
        <v>12.2.5</v>
      </c>
      <c r="F245" s="310" t="s">
        <v>12070</v>
      </c>
      <c r="G245" s="311" t="str">
        <f>IF($F245="","",IFERROR(VLOOKUP($F245,SERVIÇOS!$B:$G,2,0),IFERROR(VLOOKUP($F245,'COMPOSIÇÕES COMPLEMENTARES '!$D:$L,2,0),IFERROR(VLOOKUP($F245,INSUMOS!$A:$D,2,0),""))))</f>
        <v>BANCADA EM INOX 304/20, ENCHIMENTO EM CONCRETO ARMADO LEVE, SEM BRITA, SOLDA DE ARGONIO, TESTEIRA DE 10CM, ACABAMENTO LISO, PROFUNDIDADE 70CM, CHUMBADAS À PAREDE E APOIADAS SOBRE BARRAS METÁLICAS. COMPRIMENTO CONFORME AS DIMENSÕES DO PROJETO.</v>
      </c>
      <c r="H245" s="312" t="str">
        <f>IF($F245="","",IFERROR(VLOOKUP($F245,SERVIÇOS!$B:$G,3,0),IFERROR(VLOOKUP($F245,'COMPOSIÇÕES COMPLEMENTARES '!$D:$L,3,0),IFERROR(VLOOKUP($F245,INSUMOS!$A:$D,3,0),""))))</f>
        <v>M</v>
      </c>
      <c r="I245" s="313">
        <v>3.4</v>
      </c>
      <c r="J245" s="314">
        <f>IF($F245="","",IFERROR(VLOOKUP($F245,SERVIÇOS!$B:$G,4,0),IFERROR(VLOOKUP($F245,'COMPOSIÇÕES COMPLEMENTARES '!$D:$L,6,0),IFERROR(VLOOKUP($F245,INSUMOS!$A:$D,4,0),""))))</f>
        <v>1638.57</v>
      </c>
      <c r="K245" s="314">
        <f>IF($F245="","",IFERROR(VLOOKUP($F245,SERVIÇOS!$B:$G,5,0),IFERROR(VLOOKUP($F245,'COMPOSIÇÕES COMPLEMENTARES '!$D:$L,7,0),0)))</f>
        <v>109.65</v>
      </c>
      <c r="L245" s="314">
        <f t="shared" si="113"/>
        <v>1748.22</v>
      </c>
      <c r="M245" s="314">
        <f t="shared" si="114"/>
        <v>5571.13</v>
      </c>
      <c r="N245" s="314">
        <f t="shared" si="115"/>
        <v>372.81</v>
      </c>
      <c r="O245" s="314">
        <f t="shared" si="116"/>
        <v>5943.94</v>
      </c>
      <c r="P245" s="314"/>
      <c r="Q245" s="315"/>
      <c r="R245" s="315"/>
      <c r="S245" s="286"/>
      <c r="T245" s="287"/>
      <c r="U245" s="288" t="str">
        <f t="shared" si="96"/>
        <v/>
      </c>
      <c r="V245" s="287"/>
      <c r="W245" s="289" t="str">
        <f t="shared" si="97"/>
        <v/>
      </c>
      <c r="X245" s="287"/>
      <c r="Y245" s="290" t="str">
        <f t="shared" si="98"/>
        <v/>
      </c>
      <c r="Z245" s="291">
        <f ca="1">SUMIF($T$8:Y$1018,"QUANT.",T245:Y245)</f>
        <v>0</v>
      </c>
      <c r="AA245" s="292">
        <f t="shared" ca="1" si="99"/>
        <v>0</v>
      </c>
      <c r="AB245" s="293" t="str">
        <f t="shared" ca="1" si="100"/>
        <v>MEDIR</v>
      </c>
      <c r="AC245" s="294">
        <f t="shared" ca="1" si="101"/>
        <v>3.4</v>
      </c>
      <c r="AD245" s="294">
        <f t="shared" ca="1" si="102"/>
        <v>5943.94</v>
      </c>
      <c r="AE245" s="295"/>
      <c r="AF245" s="295"/>
      <c r="AG245" s="296"/>
      <c r="AH245" s="296"/>
      <c r="AI245" s="296"/>
      <c r="AJ245" s="325"/>
      <c r="AK245" s="325"/>
      <c r="AL245" s="325"/>
      <c r="AM245" s="325"/>
    </row>
    <row r="246" spans="1:39" x14ac:dyDescent="0.25">
      <c r="A246" s="232">
        <f t="shared" si="95"/>
        <v>246</v>
      </c>
      <c r="B246" s="232"/>
      <c r="C246" s="307" t="str">
        <f t="shared" si="110"/>
        <v>12.2</v>
      </c>
      <c r="D246" s="308">
        <f t="shared" si="111"/>
        <v>6</v>
      </c>
      <c r="E246" s="309" t="str">
        <f t="shared" si="112"/>
        <v>12.2.6</v>
      </c>
      <c r="F246" s="310" t="s">
        <v>12071</v>
      </c>
      <c r="G246" s="311" t="str">
        <f>IF($F246="","",IFERROR(VLOOKUP($F246,SERVIÇOS!$B:$G,2,0),IFERROR(VLOOKUP($F246,'COMPOSIÇÕES COMPLEMENTARES '!$D:$L,2,0),IFERROR(VLOOKUP($F246,INSUMOS!$A:$D,2,0),""))))</f>
        <v xml:space="preserve">LAVATÓRIO COLETIVO EM AÇO INOX </v>
      </c>
      <c r="H246" s="312" t="str">
        <f>IF($F246="","",IFERROR(VLOOKUP($F246,SERVIÇOS!$B:$G,3,0),IFERROR(VLOOKUP($F246,'COMPOSIÇÕES COMPLEMENTARES '!$D:$L,3,0),IFERROR(VLOOKUP($F246,INSUMOS!$A:$D,3,0),""))))</f>
        <v>M</v>
      </c>
      <c r="I246" s="313">
        <v>0.75</v>
      </c>
      <c r="J246" s="314">
        <f>IF($F246="","",IFERROR(VLOOKUP($F246,SERVIÇOS!$B:$G,4,0),IFERROR(VLOOKUP($F246,'COMPOSIÇÕES COMPLEMENTARES '!$D:$L,6,0),IFERROR(VLOOKUP($F246,INSUMOS!$A:$D,4,0),""))))</f>
        <v>1017.32</v>
      </c>
      <c r="K246" s="314">
        <f>IF($F246="","",IFERROR(VLOOKUP($F246,SERVIÇOS!$B:$G,5,0),IFERROR(VLOOKUP($F246,'COMPOSIÇÕES COMPLEMENTARES '!$D:$L,7,0),0)))</f>
        <v>69.69</v>
      </c>
      <c r="L246" s="314">
        <f t="shared" si="113"/>
        <v>1087.01</v>
      </c>
      <c r="M246" s="314">
        <f t="shared" si="114"/>
        <v>762.99</v>
      </c>
      <c r="N246" s="314">
        <f t="shared" si="115"/>
        <v>52.26</v>
      </c>
      <c r="O246" s="314">
        <f t="shared" si="116"/>
        <v>815.25</v>
      </c>
      <c r="P246" s="314"/>
      <c r="Q246" s="315"/>
      <c r="R246" s="315"/>
      <c r="S246" s="286"/>
      <c r="T246" s="287"/>
      <c r="U246" s="288" t="str">
        <f t="shared" si="96"/>
        <v/>
      </c>
      <c r="V246" s="287"/>
      <c r="W246" s="289" t="str">
        <f t="shared" si="97"/>
        <v/>
      </c>
      <c r="X246" s="287"/>
      <c r="Y246" s="290" t="str">
        <f t="shared" si="98"/>
        <v/>
      </c>
      <c r="Z246" s="291">
        <f ca="1">SUMIF($T$8:Y$1018,"QUANT.",T246:Y246)</f>
        <v>0</v>
      </c>
      <c r="AA246" s="292">
        <f t="shared" ca="1" si="99"/>
        <v>0</v>
      </c>
      <c r="AB246" s="293" t="str">
        <f t="shared" ca="1" si="100"/>
        <v>MEDIR</v>
      </c>
      <c r="AC246" s="294">
        <f t="shared" ca="1" si="101"/>
        <v>0.75</v>
      </c>
      <c r="AD246" s="294">
        <f t="shared" ca="1" si="102"/>
        <v>815.25</v>
      </c>
      <c r="AE246" s="295"/>
      <c r="AF246" s="295"/>
      <c r="AG246" s="296"/>
      <c r="AH246" s="296"/>
      <c r="AI246" s="296"/>
      <c r="AJ246" s="325"/>
      <c r="AK246" s="325"/>
      <c r="AL246" s="325"/>
      <c r="AM246" s="325"/>
    </row>
    <row r="247" spans="1:39" x14ac:dyDescent="0.25">
      <c r="A247" s="232">
        <f t="shared" si="95"/>
        <v>247</v>
      </c>
      <c r="B247" s="232"/>
      <c r="C247" s="316" t="str">
        <f>+E247</f>
        <v>12.3</v>
      </c>
      <c r="D247" s="297"/>
      <c r="E247" s="317" t="s">
        <v>12072</v>
      </c>
      <c r="F247" s="317"/>
      <c r="G247" s="318" t="s">
        <v>12073</v>
      </c>
      <c r="H247" s="317"/>
      <c r="I247" s="319"/>
      <c r="J247" s="317"/>
      <c r="K247" s="317"/>
      <c r="L247" s="317"/>
      <c r="M247" s="317"/>
      <c r="N247" s="317"/>
      <c r="O247" s="317"/>
      <c r="P247" s="317"/>
      <c r="Q247" s="320"/>
      <c r="R247" s="306"/>
      <c r="S247" s="286"/>
      <c r="T247" s="287"/>
      <c r="U247" s="288" t="str">
        <f t="shared" si="96"/>
        <v/>
      </c>
      <c r="V247" s="287"/>
      <c r="W247" s="289" t="str">
        <f t="shared" si="97"/>
        <v/>
      </c>
      <c r="X247" s="287"/>
      <c r="Y247" s="290" t="str">
        <f t="shared" si="98"/>
        <v/>
      </c>
      <c r="Z247" s="291">
        <f ca="1">SUMIF($T$8:Y$1018,"QUANT.",T247:Y247)</f>
        <v>0</v>
      </c>
      <c r="AA247" s="292">
        <f t="shared" ca="1" si="99"/>
        <v>0</v>
      </c>
      <c r="AB247" s="293" t="str">
        <f t="shared" si="100"/>
        <v/>
      </c>
      <c r="AC247" s="294">
        <f t="shared" ca="1" si="101"/>
        <v>0</v>
      </c>
      <c r="AD247" s="294">
        <f t="shared" ca="1" si="102"/>
        <v>0</v>
      </c>
      <c r="AE247" s="295"/>
      <c r="AF247" s="295"/>
      <c r="AG247" s="296"/>
      <c r="AH247" s="296"/>
      <c r="AI247" s="296"/>
      <c r="AJ247" s="325"/>
      <c r="AK247" s="325"/>
      <c r="AL247" s="325"/>
      <c r="AM247" s="325"/>
    </row>
    <row r="248" spans="1:39" ht="25.5" x14ac:dyDescent="0.25">
      <c r="A248" s="232">
        <f t="shared" si="95"/>
        <v>248</v>
      </c>
      <c r="B248" s="232"/>
      <c r="C248" s="307" t="str">
        <f>+C247</f>
        <v>12.3</v>
      </c>
      <c r="D248" s="308">
        <f>1+D247</f>
        <v>1</v>
      </c>
      <c r="E248" s="309" t="str">
        <f>C248&amp;"."&amp;D248</f>
        <v>12.3.1</v>
      </c>
      <c r="F248" s="310" t="s">
        <v>12074</v>
      </c>
      <c r="G248" s="311" t="str">
        <f>IF($F248="","",IFERROR(VLOOKUP($F248,SERVIÇOS!$B:$G,2,0),IFERROR(VLOOKUP($F248,'COMPOSIÇÕES COMPLEMENTARES '!$D:$L,2,0),IFERROR(VLOOKUP($F248,INSUMOS!$A:$D,2,0),""))))</f>
        <v>DIVISÓRIA EM GRANITO, COM DUAS FACES POLIDAS, TIPO ANDORINHA/ QUARTZ/ CASTELO/ CORUMBA OU OUTROS EQUIVALENTES DA REGIÃO,  ESP= 3,0CM</v>
      </c>
      <c r="H248" s="312" t="str">
        <f>IF($F248="","",IFERROR(VLOOKUP($F248,SERVIÇOS!$B:$G,3,0),IFERROR(VLOOKUP($F248,'COMPOSIÇÕES COMPLEMENTARES '!$D:$L,3,0),IFERROR(VLOOKUP($F248,INSUMOS!$A:$D,3,0),""))))</f>
        <v>M2</v>
      </c>
      <c r="I248" s="313">
        <v>10.66</v>
      </c>
      <c r="J248" s="314">
        <f>IF($F248="","",IFERROR(VLOOKUP($F248,SERVIÇOS!$B:$G,4,0),IFERROR(VLOOKUP($F248,'COMPOSIÇÕES COMPLEMENTARES '!$D:$L,6,0),IFERROR(VLOOKUP($F248,INSUMOS!$A:$D,4,0),""))))</f>
        <v>835.17</v>
      </c>
      <c r="K248" s="314">
        <f>IF($F248="","",IFERROR(VLOOKUP($F248,SERVIÇOS!$B:$G,5,0),IFERROR(VLOOKUP($F248,'COMPOSIÇÕES COMPLEMENTARES '!$D:$L,7,0),0)))</f>
        <v>179.44</v>
      </c>
      <c r="L248" s="314">
        <f>IF(I248="","",J248+K248)</f>
        <v>1014.6099999999999</v>
      </c>
      <c r="M248" s="314">
        <f>IF(I248="","",TRUNC((I248*J248),2))</f>
        <v>8902.91</v>
      </c>
      <c r="N248" s="314">
        <f>IF(I248="","",TRUNC((I248*K248),2))</f>
        <v>1912.83</v>
      </c>
      <c r="O248" s="314">
        <f>IF(I248="","",TRUNC((M248+N248),2))</f>
        <v>10815.74</v>
      </c>
      <c r="P248" s="314"/>
      <c r="Q248" s="315"/>
      <c r="R248" s="315"/>
      <c r="S248" s="286"/>
      <c r="T248" s="287"/>
      <c r="U248" s="288" t="str">
        <f t="shared" si="96"/>
        <v/>
      </c>
      <c r="V248" s="287"/>
      <c r="W248" s="289" t="str">
        <f t="shared" si="97"/>
        <v/>
      </c>
      <c r="X248" s="287"/>
      <c r="Y248" s="290" t="str">
        <f t="shared" si="98"/>
        <v/>
      </c>
      <c r="Z248" s="291">
        <f ca="1">SUMIF($T$8:Y$1018,"QUANT.",T248:Y248)</f>
        <v>0</v>
      </c>
      <c r="AA248" s="292">
        <f t="shared" ca="1" si="99"/>
        <v>0</v>
      </c>
      <c r="AB248" s="293" t="str">
        <f t="shared" ca="1" si="100"/>
        <v>MEDIR</v>
      </c>
      <c r="AC248" s="294">
        <f t="shared" ca="1" si="101"/>
        <v>10.66</v>
      </c>
      <c r="AD248" s="294">
        <f t="shared" ca="1" si="102"/>
        <v>10815.74</v>
      </c>
      <c r="AE248" s="295"/>
      <c r="AF248" s="295"/>
      <c r="AG248" s="296"/>
      <c r="AH248" s="296"/>
      <c r="AI248" s="296"/>
      <c r="AJ248" s="325"/>
      <c r="AK248" s="325"/>
      <c r="AL248" s="325"/>
      <c r="AM248" s="325"/>
    </row>
    <row r="249" spans="1:39" ht="25.5" x14ac:dyDescent="0.25">
      <c r="A249" s="232">
        <f t="shared" si="95"/>
        <v>249</v>
      </c>
      <c r="B249" s="232"/>
      <c r="C249" s="307" t="str">
        <f>+C248</f>
        <v>12.3</v>
      </c>
      <c r="D249" s="308">
        <f>1+D248</f>
        <v>2</v>
      </c>
      <c r="E249" s="309" t="str">
        <f>C249&amp;"."&amp;D249</f>
        <v>12.3.2</v>
      </c>
      <c r="F249" s="310" t="s">
        <v>12075</v>
      </c>
      <c r="G249" s="311" t="str">
        <f>IF($F249="","",IFERROR(VLOOKUP($F249,SERVIÇOS!$B:$G,2,0),IFERROR(VLOOKUP($F249,'COMPOSIÇÕES COMPLEMENTARES '!$D:$L,2,0),IFERROR(VLOOKUP($F249,INSUMOS!$A:$D,2,0),""))))</f>
        <v>CORTINA DIVISÓRIA DE LEITO EM TECIDO ANTI-CHAMA COM TELA INTEGRADA, INCLUSO TRILHOS E ACESSÓRIOS</v>
      </c>
      <c r="H249" s="312" t="str">
        <f>IF($F249="","",IFERROR(VLOOKUP($F249,SERVIÇOS!$B:$G,3,0),IFERROR(VLOOKUP($F249,'COMPOSIÇÕES COMPLEMENTARES '!$D:$L,3,0),IFERROR(VLOOKUP($F249,INSUMOS!$A:$D,3,0),""))))</f>
        <v>M</v>
      </c>
      <c r="I249" s="313">
        <v>57.23</v>
      </c>
      <c r="J249" s="314">
        <f>IF($F249="","",IFERROR(VLOOKUP($F249,SERVIÇOS!$B:$G,4,0),IFERROR(VLOOKUP($F249,'COMPOSIÇÕES COMPLEMENTARES '!$D:$L,6,0),IFERROR(VLOOKUP($F249,INSUMOS!$A:$D,4,0),""))))</f>
        <v>602.53</v>
      </c>
      <c r="K249" s="314">
        <f>IF($F249="","",IFERROR(VLOOKUP($F249,SERVIÇOS!$B:$G,5,0),IFERROR(VLOOKUP($F249,'COMPOSIÇÕES COMPLEMENTARES '!$D:$L,7,0),0)))</f>
        <v>0</v>
      </c>
      <c r="L249" s="314">
        <f>IF(I249="","",J249+K249)</f>
        <v>602.53</v>
      </c>
      <c r="M249" s="314">
        <f>IF(I249="","",TRUNC((I249*J249),2))</f>
        <v>34482.79</v>
      </c>
      <c r="N249" s="314">
        <f>IF(I249="","",TRUNC((I249*K249),2))</f>
        <v>0</v>
      </c>
      <c r="O249" s="314">
        <f>IF(I249="","",TRUNC((M249+N249),2))</f>
        <v>34482.79</v>
      </c>
      <c r="P249" s="314"/>
      <c r="Q249" s="315"/>
      <c r="R249" s="315"/>
      <c r="S249" s="286"/>
      <c r="T249" s="287"/>
      <c r="U249" s="288" t="str">
        <f t="shared" si="96"/>
        <v/>
      </c>
      <c r="V249" s="287"/>
      <c r="W249" s="289" t="str">
        <f t="shared" si="97"/>
        <v/>
      </c>
      <c r="X249" s="287"/>
      <c r="Y249" s="290" t="str">
        <f t="shared" si="98"/>
        <v/>
      </c>
      <c r="Z249" s="291">
        <f ca="1">SUMIF($T$8:Y$1018,"QUANT.",T249:Y249)</f>
        <v>0</v>
      </c>
      <c r="AA249" s="292">
        <f t="shared" ca="1" si="99"/>
        <v>0</v>
      </c>
      <c r="AB249" s="293" t="str">
        <f t="shared" ca="1" si="100"/>
        <v>MEDIR</v>
      </c>
      <c r="AC249" s="294">
        <f t="shared" ca="1" si="101"/>
        <v>57.23</v>
      </c>
      <c r="AD249" s="294">
        <f t="shared" ca="1" si="102"/>
        <v>34482.79</v>
      </c>
      <c r="AE249" s="295"/>
      <c r="AF249" s="295"/>
      <c r="AG249" s="296"/>
      <c r="AH249" s="296"/>
      <c r="AI249" s="296"/>
      <c r="AJ249" s="325"/>
      <c r="AK249" s="325"/>
      <c r="AL249" s="325"/>
      <c r="AM249" s="325"/>
    </row>
    <row r="250" spans="1:39" ht="25.5" x14ac:dyDescent="0.25">
      <c r="A250" s="232">
        <f t="shared" si="95"/>
        <v>250</v>
      </c>
      <c r="B250" s="232"/>
      <c r="C250" s="307" t="str">
        <f>+C249</f>
        <v>12.3</v>
      </c>
      <c r="D250" s="308">
        <f>1+D249</f>
        <v>3</v>
      </c>
      <c r="E250" s="309" t="str">
        <f>C250&amp;"."&amp;D250</f>
        <v>12.3.3</v>
      </c>
      <c r="F250" s="310" t="s">
        <v>12076</v>
      </c>
      <c r="G250" s="311" t="str">
        <f>IF($F250="","",IFERROR(VLOOKUP($F250,SERVIÇOS!$B:$G,2,0),IFERROR(VLOOKUP($F250,'COMPOSIÇÕES COMPLEMENTARES '!$D:$L,2,0),IFERROR(VLOOKUP($F250,INSUMOS!$A:$D,2,0),""))))</f>
        <v>BATE-MACA OU PROTETOR DE PAREDE CURVO EM PVC, COM AMORTECIMENTO À IMPACTO, ALTURA DE 200 MM</v>
      </c>
      <c r="H250" s="312" t="str">
        <f>IF($F250="","",IFERROR(VLOOKUP($F250,SERVIÇOS!$B:$G,3,0),IFERROR(VLOOKUP($F250,'COMPOSIÇÕES COMPLEMENTARES '!$D:$L,3,0),IFERROR(VLOOKUP($F250,INSUMOS!$A:$D,3,0),""))))</f>
        <v>M</v>
      </c>
      <c r="I250" s="313">
        <v>89.04</v>
      </c>
      <c r="J250" s="314">
        <f>IF($F250="","",IFERROR(VLOOKUP($F250,SERVIÇOS!$B:$G,4,0),IFERROR(VLOOKUP($F250,'COMPOSIÇÕES COMPLEMENTARES '!$D:$L,6,0),IFERROR(VLOOKUP($F250,INSUMOS!$A:$D,4,0),""))))</f>
        <v>201.26</v>
      </c>
      <c r="K250" s="314">
        <f>IF($F250="","",IFERROR(VLOOKUP($F250,SERVIÇOS!$B:$G,5,0),IFERROR(VLOOKUP($F250,'COMPOSIÇÕES COMPLEMENTARES '!$D:$L,7,0),0)))</f>
        <v>76.55</v>
      </c>
      <c r="L250" s="314">
        <f>IF(I250="","",J250+K250)</f>
        <v>277.81</v>
      </c>
      <c r="M250" s="314">
        <f>IF(I250="","",TRUNC((I250*J250),2))</f>
        <v>17920.189999999999</v>
      </c>
      <c r="N250" s="314">
        <f>IF(I250="","",TRUNC((I250*K250),2))</f>
        <v>6816.01</v>
      </c>
      <c r="O250" s="314">
        <f>IF(I250="","",TRUNC((M250+N250),2))</f>
        <v>24736.2</v>
      </c>
      <c r="P250" s="314"/>
      <c r="Q250" s="315"/>
      <c r="R250" s="315"/>
      <c r="S250" s="286"/>
      <c r="T250" s="287"/>
      <c r="U250" s="288" t="str">
        <f t="shared" si="96"/>
        <v/>
      </c>
      <c r="V250" s="287"/>
      <c r="W250" s="289" t="str">
        <f t="shared" si="97"/>
        <v/>
      </c>
      <c r="X250" s="287"/>
      <c r="Y250" s="290" t="str">
        <f t="shared" si="98"/>
        <v/>
      </c>
      <c r="Z250" s="291">
        <f ca="1">SUMIF($T$8:Y$1018,"QUANT.",T250:Y250)</f>
        <v>0</v>
      </c>
      <c r="AA250" s="292">
        <f t="shared" ca="1" si="99"/>
        <v>0</v>
      </c>
      <c r="AB250" s="293" t="str">
        <f t="shared" ca="1" si="100"/>
        <v>MEDIR</v>
      </c>
      <c r="AC250" s="294">
        <f t="shared" ca="1" si="101"/>
        <v>89.04</v>
      </c>
      <c r="AD250" s="294">
        <f t="shared" ca="1" si="102"/>
        <v>24736.2</v>
      </c>
      <c r="AE250" s="295"/>
      <c r="AF250" s="295"/>
      <c r="AG250" s="296"/>
      <c r="AH250" s="296"/>
      <c r="AI250" s="296"/>
      <c r="AJ250" s="325"/>
      <c r="AK250" s="325"/>
      <c r="AL250" s="325"/>
      <c r="AM250" s="325"/>
    </row>
    <row r="251" spans="1:39" ht="25.5" x14ac:dyDescent="0.25">
      <c r="A251" s="232">
        <f t="shared" si="95"/>
        <v>251</v>
      </c>
      <c r="B251" s="232"/>
      <c r="C251" s="307" t="str">
        <f>+C250</f>
        <v>12.3</v>
      </c>
      <c r="D251" s="308">
        <f>1+D250</f>
        <v>4</v>
      </c>
      <c r="E251" s="309" t="str">
        <f>C251&amp;"."&amp;D251</f>
        <v>12.3.4</v>
      </c>
      <c r="F251" s="310" t="s">
        <v>12077</v>
      </c>
      <c r="G251" s="311" t="str">
        <f>IF($F251="","",IFERROR(VLOOKUP($F251,SERVIÇOS!$B:$G,2,0),IFERROR(VLOOKUP($F251,'COMPOSIÇÕES COMPLEMENTARES '!$D:$L,2,0),IFERROR(VLOOKUP($F251,INSUMOS!$A:$D,2,0),""))))</f>
        <v>CORRIMÃO, BATE-MACA OU PROTETOR DE PAREDE EM PVC, COM AMORTECIMENTO À IMPACTO, ALTURA DE 131 MM, TECNOPERFIL OU EQUIVALENTE- FORNECIMENTO E INSTALAÇÃO</v>
      </c>
      <c r="H251" s="312" t="str">
        <f>IF($F251="","",IFERROR(VLOOKUP($F251,SERVIÇOS!$B:$G,3,0),IFERROR(VLOOKUP($F251,'COMPOSIÇÕES COMPLEMENTARES '!$D:$L,3,0),IFERROR(VLOOKUP($F251,INSUMOS!$A:$D,3,0),""))))</f>
        <v>M</v>
      </c>
      <c r="I251" s="313">
        <v>35.380000000000003</v>
      </c>
      <c r="J251" s="314">
        <f>IF($F251="","",IFERROR(VLOOKUP($F251,SERVIÇOS!$B:$G,4,0),IFERROR(VLOOKUP($F251,'COMPOSIÇÕES COMPLEMENTARES '!$D:$L,6,0),IFERROR(VLOOKUP($F251,INSUMOS!$A:$D,4,0),""))))</f>
        <v>465.6</v>
      </c>
      <c r="K251" s="314">
        <f>IF($F251="","",IFERROR(VLOOKUP($F251,SERVIÇOS!$B:$G,5,0),IFERROR(VLOOKUP($F251,'COMPOSIÇÕES COMPLEMENTARES '!$D:$L,7,0),0)))</f>
        <v>86.79</v>
      </c>
      <c r="L251" s="314">
        <f>IF(I251="","",J251+K251)</f>
        <v>552.39</v>
      </c>
      <c r="M251" s="314">
        <f>IF(I251="","",TRUNC((I251*J251),2))</f>
        <v>16472.919999999998</v>
      </c>
      <c r="N251" s="314">
        <f>IF(I251="","",TRUNC((I251*K251),2))</f>
        <v>3070.63</v>
      </c>
      <c r="O251" s="314">
        <f>IF(I251="","",TRUNC((M251+N251),2))</f>
        <v>19543.55</v>
      </c>
      <c r="P251" s="314"/>
      <c r="Q251" s="315"/>
      <c r="R251" s="315"/>
      <c r="S251" s="286"/>
      <c r="T251" s="287"/>
      <c r="U251" s="288" t="str">
        <f t="shared" si="96"/>
        <v/>
      </c>
      <c r="V251" s="287"/>
      <c r="W251" s="289" t="str">
        <f t="shared" si="97"/>
        <v/>
      </c>
      <c r="X251" s="287"/>
      <c r="Y251" s="290" t="str">
        <f t="shared" si="98"/>
        <v/>
      </c>
      <c r="Z251" s="291">
        <f ca="1">SUMIF($T$8:Y$1018,"QUANT.",T251:Y251)</f>
        <v>0</v>
      </c>
      <c r="AA251" s="292">
        <f t="shared" ca="1" si="99"/>
        <v>0</v>
      </c>
      <c r="AB251" s="293" t="str">
        <f t="shared" ca="1" si="100"/>
        <v>MEDIR</v>
      </c>
      <c r="AC251" s="294">
        <f t="shared" ca="1" si="101"/>
        <v>35.380000000000003</v>
      </c>
      <c r="AD251" s="294">
        <f t="shared" ca="1" si="102"/>
        <v>19543.55</v>
      </c>
      <c r="AE251" s="295"/>
      <c r="AF251" s="295"/>
      <c r="AG251" s="296"/>
      <c r="AH251" s="296"/>
      <c r="AI251" s="296"/>
      <c r="AJ251" s="325"/>
      <c r="AK251" s="325"/>
      <c r="AL251" s="325"/>
      <c r="AM251" s="325"/>
    </row>
    <row r="252" spans="1:39" x14ac:dyDescent="0.25">
      <c r="A252" s="232">
        <f t="shared" si="95"/>
        <v>252</v>
      </c>
      <c r="B252" s="232"/>
      <c r="C252" s="281">
        <f>+E252</f>
        <v>13</v>
      </c>
      <c r="D252" s="297"/>
      <c r="E252" s="298">
        <v>13</v>
      </c>
      <c r="F252" s="322"/>
      <c r="G252" s="299" t="s">
        <v>12078</v>
      </c>
      <c r="H252" s="300"/>
      <c r="I252" s="303"/>
      <c r="J252" s="302"/>
      <c r="K252" s="303"/>
      <c r="L252" s="303"/>
      <c r="M252" s="304">
        <f>TRUNC(SUMIF(M253:M359,"&gt;0",M253:M359),2)</f>
        <v>127609.87</v>
      </c>
      <c r="N252" s="304">
        <f>TRUNC(SUMIF(N253:N359,"&gt;0",N253:N359),2)</f>
        <v>82972.94</v>
      </c>
      <c r="O252" s="305"/>
      <c r="P252" s="304">
        <f>SUMIF(O253:O359,"&gt;0",O253:O359)</f>
        <v>210582.80999999997</v>
      </c>
      <c r="Q252" s="306"/>
      <c r="R252" s="306"/>
      <c r="S252" s="286"/>
      <c r="T252" s="287"/>
      <c r="U252" s="288" t="str">
        <f t="shared" si="96"/>
        <v/>
      </c>
      <c r="V252" s="287"/>
      <c r="W252" s="289" t="str">
        <f t="shared" si="97"/>
        <v/>
      </c>
      <c r="X252" s="287"/>
      <c r="Y252" s="290" t="str">
        <f t="shared" si="98"/>
        <v/>
      </c>
      <c r="Z252" s="291">
        <f ca="1">SUMIF($T$8:Y$1018,"QUANT.",T252:Y252)</f>
        <v>0</v>
      </c>
      <c r="AA252" s="292">
        <f t="shared" ca="1" si="99"/>
        <v>0</v>
      </c>
      <c r="AB252" s="293" t="str">
        <f t="shared" si="100"/>
        <v/>
      </c>
      <c r="AC252" s="294">
        <f t="shared" ca="1" si="101"/>
        <v>0</v>
      </c>
      <c r="AD252" s="294">
        <f t="shared" ca="1" si="102"/>
        <v>0</v>
      </c>
      <c r="AE252" s="295"/>
      <c r="AF252" s="295"/>
      <c r="AG252" s="296"/>
      <c r="AH252" s="296"/>
      <c r="AI252" s="296"/>
      <c r="AJ252" s="325"/>
      <c r="AK252" s="325"/>
      <c r="AL252" s="325"/>
      <c r="AM252" s="325"/>
    </row>
    <row r="253" spans="1:39" x14ac:dyDescent="0.25">
      <c r="A253" s="232">
        <f t="shared" si="95"/>
        <v>253</v>
      </c>
      <c r="B253" s="232"/>
      <c r="C253" s="316" t="str">
        <f>+E253</f>
        <v>13.1</v>
      </c>
      <c r="D253" s="297"/>
      <c r="E253" s="317" t="s">
        <v>12079</v>
      </c>
      <c r="F253" s="317"/>
      <c r="G253" s="318" t="s">
        <v>12080</v>
      </c>
      <c r="H253" s="317"/>
      <c r="I253" s="319"/>
      <c r="J253" s="317"/>
      <c r="K253" s="317"/>
      <c r="L253" s="317"/>
      <c r="M253" s="317"/>
      <c r="N253" s="317"/>
      <c r="O253" s="317"/>
      <c r="P253" s="317"/>
      <c r="Q253" s="320"/>
      <c r="R253" s="306"/>
      <c r="S253" s="286"/>
      <c r="T253" s="287"/>
      <c r="U253" s="288" t="str">
        <f t="shared" si="96"/>
        <v/>
      </c>
      <c r="V253" s="287"/>
      <c r="W253" s="289" t="str">
        <f t="shared" si="97"/>
        <v/>
      </c>
      <c r="X253" s="287"/>
      <c r="Y253" s="290" t="str">
        <f t="shared" si="98"/>
        <v/>
      </c>
      <c r="Z253" s="291">
        <f ca="1">SUMIF($T$8:Y$1018,"QUANT.",T253:Y253)</f>
        <v>0</v>
      </c>
      <c r="AA253" s="292">
        <f t="shared" ca="1" si="99"/>
        <v>0</v>
      </c>
      <c r="AB253" s="293" t="str">
        <f t="shared" si="100"/>
        <v/>
      </c>
      <c r="AC253" s="294">
        <f t="shared" ca="1" si="101"/>
        <v>0</v>
      </c>
      <c r="AD253" s="294">
        <f t="shared" ca="1" si="102"/>
        <v>0</v>
      </c>
      <c r="AE253" s="295"/>
      <c r="AF253" s="295"/>
      <c r="AG253" s="296"/>
      <c r="AH253" s="296"/>
      <c r="AI253" s="296"/>
      <c r="AJ253" s="325"/>
      <c r="AK253" s="325"/>
      <c r="AL253" s="325"/>
      <c r="AM253" s="325"/>
    </row>
    <row r="254" spans="1:39" ht="25.5" x14ac:dyDescent="0.25">
      <c r="A254" s="232">
        <f t="shared" si="95"/>
        <v>254</v>
      </c>
      <c r="B254" s="232"/>
      <c r="C254" s="307" t="str">
        <f t="shared" ref="C254:C264" si="117">+C253</f>
        <v>13.1</v>
      </c>
      <c r="D254" s="308">
        <f t="shared" ref="D254:D264" si="118">1+D253</f>
        <v>1</v>
      </c>
      <c r="E254" s="309" t="str">
        <f t="shared" ref="E254:E264" si="119">C254&amp;"."&amp;D254</f>
        <v>13.1.1</v>
      </c>
      <c r="F254" s="310">
        <v>99630</v>
      </c>
      <c r="G254" s="311" t="str">
        <f>IF($F254="","",IFERROR(VLOOKUP($F254,SERVIÇOS!$B:$G,2,0),IFERROR(VLOOKUP($F254,'COMPOSIÇÕES COMPLEMENTARES '!$D:$L,2,0),IFERROR(VLOOKUP($F254,INSUMOS!$A:$D,2,0),""))))</f>
        <v>VÁLVULA DE RETENÇÃO VERTICAL, DE BRONZE, ROSCÁVEL, 1 1/4" - FORNECIMENTO E INSTALAÇÃO. AF_08/2021</v>
      </c>
      <c r="H254" s="312" t="str">
        <f>IF($F254="","",IFERROR(VLOOKUP($F254,SERVIÇOS!$B:$G,3,0),IFERROR(VLOOKUP($F254,'COMPOSIÇÕES COMPLEMENTARES '!$D:$L,3,0),IFERROR(VLOOKUP($F254,INSUMOS!$A:$D,3,0),""))))</f>
        <v>UN</v>
      </c>
      <c r="I254" s="313">
        <v>1</v>
      </c>
      <c r="J254" s="314">
        <f>IF($F254="","",IFERROR(VLOOKUP($F254,SERVIÇOS!$B:$G,4,0),IFERROR(VLOOKUP($F254,'COMPOSIÇÕES COMPLEMENTARES '!$D:$L,6,0),IFERROR(VLOOKUP($F254,INSUMOS!$A:$D,4,0),""))))</f>
        <v>140.66</v>
      </c>
      <c r="K254" s="314">
        <f>IF($F254="","",IFERROR(VLOOKUP($F254,SERVIÇOS!$B:$G,5,0),IFERROR(VLOOKUP($F254,'COMPOSIÇÕES COMPLEMENTARES '!$D:$L,7,0),0)))</f>
        <v>9.82</v>
      </c>
      <c r="L254" s="314">
        <f t="shared" ref="L254:L264" si="120">IF(I254="","",J254+K254)</f>
        <v>150.47999999999999</v>
      </c>
      <c r="M254" s="314">
        <f t="shared" ref="M254:M264" si="121">IF(I254="","",TRUNC((I254*J254),2))</f>
        <v>140.66</v>
      </c>
      <c r="N254" s="314">
        <f t="shared" ref="N254:N264" si="122">IF(I254="","",TRUNC((I254*K254),2))</f>
        <v>9.82</v>
      </c>
      <c r="O254" s="314">
        <f t="shared" ref="O254:O264" si="123">IF(I254="","",TRUNC((M254+N254),2))</f>
        <v>150.47999999999999</v>
      </c>
      <c r="P254" s="314"/>
      <c r="Q254" s="315"/>
      <c r="R254" s="315"/>
      <c r="S254" s="286"/>
      <c r="T254" s="287"/>
      <c r="U254" s="288" t="str">
        <f t="shared" si="96"/>
        <v/>
      </c>
      <c r="V254" s="287"/>
      <c r="W254" s="289" t="str">
        <f t="shared" si="97"/>
        <v/>
      </c>
      <c r="X254" s="287"/>
      <c r="Y254" s="290" t="str">
        <f t="shared" si="98"/>
        <v/>
      </c>
      <c r="Z254" s="291">
        <f ca="1">SUMIF($T$8:Y$1018,"QUANT.",T254:Y254)</f>
        <v>0</v>
      </c>
      <c r="AA254" s="292">
        <f t="shared" ca="1" si="99"/>
        <v>0</v>
      </c>
      <c r="AB254" s="293" t="str">
        <f t="shared" ca="1" si="100"/>
        <v>MEDIR</v>
      </c>
      <c r="AC254" s="294">
        <f t="shared" ca="1" si="101"/>
        <v>1</v>
      </c>
      <c r="AD254" s="294">
        <f t="shared" ca="1" si="102"/>
        <v>150.47999999999999</v>
      </c>
      <c r="AE254" s="295"/>
      <c r="AF254" s="295"/>
      <c r="AG254" s="296"/>
      <c r="AH254" s="296"/>
      <c r="AI254" s="296"/>
      <c r="AJ254" s="325"/>
      <c r="AK254" s="325"/>
      <c r="AL254" s="325"/>
      <c r="AM254" s="325"/>
    </row>
    <row r="255" spans="1:39" ht="25.5" x14ac:dyDescent="0.25">
      <c r="A255" s="232">
        <f t="shared" si="95"/>
        <v>255</v>
      </c>
      <c r="B255" s="232"/>
      <c r="C255" s="307" t="str">
        <f t="shared" si="117"/>
        <v>13.1</v>
      </c>
      <c r="D255" s="308">
        <f t="shared" si="118"/>
        <v>2</v>
      </c>
      <c r="E255" s="309" t="str">
        <f t="shared" si="119"/>
        <v>13.1.2</v>
      </c>
      <c r="F255" s="310">
        <v>99626</v>
      </c>
      <c r="G255" s="311" t="str">
        <f>IF($F255="","",IFERROR(VLOOKUP($F255,SERVIÇOS!$B:$G,2,0),IFERROR(VLOOKUP($F255,'COMPOSIÇÕES COMPLEMENTARES '!$D:$L,2,0),IFERROR(VLOOKUP($F255,INSUMOS!$A:$D,2,0),""))))</f>
        <v>VÁLVULA DE RETENÇÃO HORIZONTAL, DE BRONZE, ROSCÁVEL, 4" - FORNECIMENTO E INSTALAÇÃO. AF_08/2021</v>
      </c>
      <c r="H255" s="312" t="str">
        <f>IF($F255="","",IFERROR(VLOOKUP($F255,SERVIÇOS!$B:$G,3,0),IFERROR(VLOOKUP($F255,'COMPOSIÇÕES COMPLEMENTARES '!$D:$L,3,0),IFERROR(VLOOKUP($F255,INSUMOS!$A:$D,3,0),""))))</f>
        <v>UN</v>
      </c>
      <c r="I255" s="313">
        <v>1</v>
      </c>
      <c r="J255" s="314">
        <f>IF($F255="","",IFERROR(VLOOKUP($F255,SERVIÇOS!$B:$G,4,0),IFERROR(VLOOKUP($F255,'COMPOSIÇÕES COMPLEMENTARES '!$D:$L,6,0),IFERROR(VLOOKUP($F255,INSUMOS!$A:$D,4,0),""))))</f>
        <v>1284.53</v>
      </c>
      <c r="K255" s="314">
        <f>IF($F255="","",IFERROR(VLOOKUP($F255,SERVIÇOS!$B:$G,5,0),IFERROR(VLOOKUP($F255,'COMPOSIÇÕES COMPLEMENTARES '!$D:$L,7,0),0)))</f>
        <v>35.1</v>
      </c>
      <c r="L255" s="314">
        <f t="shared" si="120"/>
        <v>1319.6299999999999</v>
      </c>
      <c r="M255" s="314">
        <f t="shared" si="121"/>
        <v>1284.53</v>
      </c>
      <c r="N255" s="314">
        <f t="shared" si="122"/>
        <v>35.1</v>
      </c>
      <c r="O255" s="314">
        <f t="shared" si="123"/>
        <v>1319.63</v>
      </c>
      <c r="P255" s="314"/>
      <c r="Q255" s="315"/>
      <c r="R255" s="315"/>
      <c r="S255" s="286"/>
      <c r="T255" s="287"/>
      <c r="U255" s="288" t="str">
        <f t="shared" si="96"/>
        <v/>
      </c>
      <c r="V255" s="287"/>
      <c r="W255" s="289" t="str">
        <f t="shared" si="97"/>
        <v/>
      </c>
      <c r="X255" s="287"/>
      <c r="Y255" s="290" t="str">
        <f t="shared" si="98"/>
        <v/>
      </c>
      <c r="Z255" s="291">
        <f ca="1">SUMIF($T$8:Y$1018,"QUANT.",T255:Y255)</f>
        <v>0</v>
      </c>
      <c r="AA255" s="292">
        <f t="shared" ca="1" si="99"/>
        <v>0</v>
      </c>
      <c r="AB255" s="293" t="str">
        <f t="shared" ca="1" si="100"/>
        <v>MEDIR</v>
      </c>
      <c r="AC255" s="294">
        <f t="shared" ca="1" si="101"/>
        <v>1</v>
      </c>
      <c r="AD255" s="294">
        <f t="shared" ca="1" si="102"/>
        <v>1319.63</v>
      </c>
      <c r="AE255" s="295"/>
      <c r="AF255" s="295"/>
      <c r="AG255" s="296"/>
      <c r="AH255" s="296"/>
      <c r="AI255" s="296"/>
      <c r="AJ255" s="325"/>
      <c r="AK255" s="325"/>
      <c r="AL255" s="325"/>
      <c r="AM255" s="325"/>
    </row>
    <row r="256" spans="1:39" ht="25.5" x14ac:dyDescent="0.25">
      <c r="A256" s="232">
        <f t="shared" si="95"/>
        <v>256</v>
      </c>
      <c r="B256" s="232"/>
      <c r="C256" s="307" t="str">
        <f t="shared" si="117"/>
        <v>13.1</v>
      </c>
      <c r="D256" s="308">
        <f t="shared" si="118"/>
        <v>3</v>
      </c>
      <c r="E256" s="309" t="str">
        <f t="shared" si="119"/>
        <v>13.1.3</v>
      </c>
      <c r="F256" s="310">
        <v>99635</v>
      </c>
      <c r="G256" s="311" t="str">
        <f>IF($F256="","",IFERROR(VLOOKUP($F256,SERVIÇOS!$B:$G,2,0),IFERROR(VLOOKUP($F256,'COMPOSIÇÕES COMPLEMENTARES '!$D:$L,2,0),IFERROR(VLOOKUP($F256,INSUMOS!$A:$D,2,0),""))))</f>
        <v>VÁLVULA DE DESCARGA METÁLICA, BASE 1 1/2", ACABAMENTO METALICO CROMADO - FORNECIMENTO E INSTALAÇÃO. AF_08/2021</v>
      </c>
      <c r="H256" s="312" t="str">
        <f>IF($F256="","",IFERROR(VLOOKUP($F256,SERVIÇOS!$B:$G,3,0),IFERROR(VLOOKUP($F256,'COMPOSIÇÕES COMPLEMENTARES '!$D:$L,3,0),IFERROR(VLOOKUP($F256,INSUMOS!$A:$D,3,0),""))))</f>
        <v>UN</v>
      </c>
      <c r="I256" s="313">
        <v>11</v>
      </c>
      <c r="J256" s="314">
        <f>IF($F256="","",IFERROR(VLOOKUP($F256,SERVIÇOS!$B:$G,4,0),IFERROR(VLOOKUP($F256,'COMPOSIÇÕES COMPLEMENTARES '!$D:$L,6,0),IFERROR(VLOOKUP($F256,INSUMOS!$A:$D,4,0),""))))</f>
        <v>368.78</v>
      </c>
      <c r="K256" s="314">
        <f>IF($F256="","",IFERROR(VLOOKUP($F256,SERVIÇOS!$B:$G,5,0),IFERROR(VLOOKUP($F256,'COMPOSIÇÕES COMPLEMENTARES '!$D:$L,7,0),0)))</f>
        <v>44.97</v>
      </c>
      <c r="L256" s="314">
        <f t="shared" si="120"/>
        <v>413.75</v>
      </c>
      <c r="M256" s="314">
        <f t="shared" si="121"/>
        <v>4056.58</v>
      </c>
      <c r="N256" s="314">
        <f t="shared" si="122"/>
        <v>494.67</v>
      </c>
      <c r="O256" s="314">
        <f t="shared" si="123"/>
        <v>4551.25</v>
      </c>
      <c r="P256" s="314"/>
      <c r="Q256" s="315"/>
      <c r="R256" s="315"/>
      <c r="S256" s="286"/>
      <c r="T256" s="287"/>
      <c r="U256" s="288" t="str">
        <f t="shared" si="96"/>
        <v/>
      </c>
      <c r="V256" s="287"/>
      <c r="W256" s="289" t="str">
        <f t="shared" si="97"/>
        <v/>
      </c>
      <c r="X256" s="287"/>
      <c r="Y256" s="290" t="str">
        <f t="shared" si="98"/>
        <v/>
      </c>
      <c r="Z256" s="291">
        <f ca="1">SUMIF($T$8:Y$1018,"QUANT.",T256:Y256)</f>
        <v>0</v>
      </c>
      <c r="AA256" s="292">
        <f t="shared" ca="1" si="99"/>
        <v>0</v>
      </c>
      <c r="AB256" s="293" t="str">
        <f t="shared" ca="1" si="100"/>
        <v>MEDIR</v>
      </c>
      <c r="AC256" s="294">
        <f t="shared" ca="1" si="101"/>
        <v>11</v>
      </c>
      <c r="AD256" s="294">
        <f t="shared" ca="1" si="102"/>
        <v>4551.25</v>
      </c>
      <c r="AE256" s="295"/>
      <c r="AF256" s="295"/>
      <c r="AG256" s="296"/>
      <c r="AH256" s="296"/>
      <c r="AI256" s="296"/>
      <c r="AJ256" s="325"/>
      <c r="AK256" s="325"/>
      <c r="AL256" s="325"/>
      <c r="AM256" s="325"/>
    </row>
    <row r="257" spans="1:39" x14ac:dyDescent="0.25">
      <c r="A257" s="232">
        <f t="shared" si="95"/>
        <v>257</v>
      </c>
      <c r="B257" s="232"/>
      <c r="C257" s="307" t="str">
        <f t="shared" si="117"/>
        <v>13.1</v>
      </c>
      <c r="D257" s="308">
        <f t="shared" si="118"/>
        <v>4</v>
      </c>
      <c r="E257" s="309" t="str">
        <f t="shared" si="119"/>
        <v>13.1.4</v>
      </c>
      <c r="F257" s="310">
        <v>89353</v>
      </c>
      <c r="G257" s="311" t="str">
        <f>IF($F257="","",IFERROR(VLOOKUP($F257,SERVIÇOS!$B:$G,2,0),IFERROR(VLOOKUP($F257,'COMPOSIÇÕES COMPLEMENTARES '!$D:$L,2,0),IFERROR(VLOOKUP($F257,INSUMOS!$A:$D,2,0),""))))</f>
        <v>REGISTRO DE GAVETA BRUTO, LATÃO, ROSCÁVEL, 3/4" - FORNECIMENTO E INSTALAÇÃO. AF_08/2021</v>
      </c>
      <c r="H257" s="312" t="str">
        <f>IF($F257="","",IFERROR(VLOOKUP($F257,SERVIÇOS!$B:$G,3,0),IFERROR(VLOOKUP($F257,'COMPOSIÇÕES COMPLEMENTARES '!$D:$L,3,0),IFERROR(VLOOKUP($F257,INSUMOS!$A:$D,3,0),""))))</f>
        <v>UN</v>
      </c>
      <c r="I257" s="313">
        <v>3</v>
      </c>
      <c r="J257" s="314">
        <f>IF($F257="","",IFERROR(VLOOKUP($F257,SERVIÇOS!$B:$G,4,0),IFERROR(VLOOKUP($F257,'COMPOSIÇÕES COMPLEMENTARES '!$D:$L,6,0),IFERROR(VLOOKUP($F257,INSUMOS!$A:$D,4,0),""))))</f>
        <v>35.31</v>
      </c>
      <c r="K257" s="314">
        <f>IF($F257="","",IFERROR(VLOOKUP($F257,SERVIÇOS!$B:$G,5,0),IFERROR(VLOOKUP($F257,'COMPOSIÇÕES COMPLEMENTARES '!$D:$L,7,0),0)))</f>
        <v>5.34</v>
      </c>
      <c r="L257" s="314">
        <f t="shared" si="120"/>
        <v>40.650000000000006</v>
      </c>
      <c r="M257" s="314">
        <f t="shared" si="121"/>
        <v>105.93</v>
      </c>
      <c r="N257" s="314">
        <f t="shared" si="122"/>
        <v>16.02</v>
      </c>
      <c r="O257" s="314">
        <f t="shared" si="123"/>
        <v>121.95</v>
      </c>
      <c r="P257" s="314"/>
      <c r="Q257" s="315"/>
      <c r="R257" s="315"/>
      <c r="S257" s="286"/>
      <c r="T257" s="287"/>
      <c r="U257" s="288" t="str">
        <f t="shared" si="96"/>
        <v/>
      </c>
      <c r="V257" s="287"/>
      <c r="W257" s="289" t="str">
        <f t="shared" si="97"/>
        <v/>
      </c>
      <c r="X257" s="287"/>
      <c r="Y257" s="290" t="str">
        <f t="shared" si="98"/>
        <v/>
      </c>
      <c r="Z257" s="291">
        <f ca="1">SUMIF($T$8:Y$1018,"QUANT.",T257:Y257)</f>
        <v>0</v>
      </c>
      <c r="AA257" s="292">
        <f t="shared" ca="1" si="99"/>
        <v>0</v>
      </c>
      <c r="AB257" s="293" t="str">
        <f t="shared" ca="1" si="100"/>
        <v>MEDIR</v>
      </c>
      <c r="AC257" s="294">
        <f t="shared" ca="1" si="101"/>
        <v>3</v>
      </c>
      <c r="AD257" s="294">
        <f t="shared" ca="1" si="102"/>
        <v>121.95</v>
      </c>
      <c r="AE257" s="295"/>
      <c r="AF257" s="295"/>
      <c r="AG257" s="296"/>
      <c r="AH257" s="296"/>
      <c r="AI257" s="296"/>
      <c r="AJ257" s="325"/>
      <c r="AK257" s="325"/>
      <c r="AL257" s="325"/>
      <c r="AM257" s="325"/>
    </row>
    <row r="258" spans="1:39" x14ac:dyDescent="0.25">
      <c r="A258" s="232">
        <f t="shared" ref="A258:A321" si="124">1+A257</f>
        <v>258</v>
      </c>
      <c r="B258" s="232"/>
      <c r="C258" s="307" t="str">
        <f t="shared" si="117"/>
        <v>13.1</v>
      </c>
      <c r="D258" s="308">
        <f t="shared" si="118"/>
        <v>5</v>
      </c>
      <c r="E258" s="309" t="str">
        <f t="shared" si="119"/>
        <v>13.1.5</v>
      </c>
      <c r="F258" s="310">
        <v>94495</v>
      </c>
      <c r="G258" s="311" t="str">
        <f>IF($F258="","",IFERROR(VLOOKUP($F258,SERVIÇOS!$B:$G,2,0),IFERROR(VLOOKUP($F258,'COMPOSIÇÕES COMPLEMENTARES '!$D:$L,2,0),IFERROR(VLOOKUP($F258,INSUMOS!$A:$D,2,0),""))))</f>
        <v>REGISTRO DE GAVETA BRUTO, LATÃO, ROSCÁVEL, 1" - FORNECIMENTO E INSTALAÇÃO. AF_08/2021</v>
      </c>
      <c r="H258" s="312" t="str">
        <f>IF($F258="","",IFERROR(VLOOKUP($F258,SERVIÇOS!$B:$G,3,0),IFERROR(VLOOKUP($F258,'COMPOSIÇÕES COMPLEMENTARES '!$D:$L,3,0),IFERROR(VLOOKUP($F258,INSUMOS!$A:$D,3,0),""))))</f>
        <v>UN</v>
      </c>
      <c r="I258" s="313">
        <v>2</v>
      </c>
      <c r="J258" s="314">
        <f>IF($F258="","",IFERROR(VLOOKUP($F258,SERVIÇOS!$B:$G,4,0),IFERROR(VLOOKUP($F258,'COMPOSIÇÕES COMPLEMENTARES '!$D:$L,6,0),IFERROR(VLOOKUP($F258,INSUMOS!$A:$D,4,0),""))))</f>
        <v>55.23</v>
      </c>
      <c r="K258" s="314">
        <f>IF($F258="","",IFERROR(VLOOKUP($F258,SERVIÇOS!$B:$G,5,0),IFERROR(VLOOKUP($F258,'COMPOSIÇÕES COMPLEMENTARES '!$D:$L,7,0),0)))</f>
        <v>7.21</v>
      </c>
      <c r="L258" s="314">
        <f t="shared" si="120"/>
        <v>62.44</v>
      </c>
      <c r="M258" s="314">
        <f t="shared" si="121"/>
        <v>110.46</v>
      </c>
      <c r="N258" s="314">
        <f t="shared" si="122"/>
        <v>14.42</v>
      </c>
      <c r="O258" s="314">
        <f t="shared" si="123"/>
        <v>124.88</v>
      </c>
      <c r="P258" s="314"/>
      <c r="Q258" s="315"/>
      <c r="R258" s="315"/>
      <c r="S258" s="286"/>
      <c r="T258" s="287"/>
      <c r="U258" s="288" t="str">
        <f t="shared" si="96"/>
        <v/>
      </c>
      <c r="V258" s="287"/>
      <c r="W258" s="289" t="str">
        <f t="shared" si="97"/>
        <v/>
      </c>
      <c r="X258" s="287"/>
      <c r="Y258" s="290" t="str">
        <f t="shared" si="98"/>
        <v/>
      </c>
      <c r="Z258" s="291">
        <f ca="1">SUMIF($T$8:Y$1018,"QUANT.",T258:Y258)</f>
        <v>0</v>
      </c>
      <c r="AA258" s="292">
        <f t="shared" ca="1" si="99"/>
        <v>0</v>
      </c>
      <c r="AB258" s="293" t="str">
        <f t="shared" ca="1" si="100"/>
        <v>MEDIR</v>
      </c>
      <c r="AC258" s="294">
        <f t="shared" ca="1" si="101"/>
        <v>2</v>
      </c>
      <c r="AD258" s="294">
        <f t="shared" ca="1" si="102"/>
        <v>124.88</v>
      </c>
      <c r="AE258" s="295"/>
      <c r="AF258" s="295"/>
      <c r="AG258" s="296"/>
      <c r="AH258" s="296"/>
      <c r="AI258" s="296"/>
      <c r="AJ258" s="325"/>
      <c r="AK258" s="325"/>
      <c r="AL258" s="325"/>
      <c r="AM258" s="325"/>
    </row>
    <row r="259" spans="1:39" x14ac:dyDescent="0.25">
      <c r="A259" s="232">
        <f t="shared" si="124"/>
        <v>259</v>
      </c>
      <c r="B259" s="232"/>
      <c r="C259" s="307" t="str">
        <f t="shared" si="117"/>
        <v>13.1</v>
      </c>
      <c r="D259" s="308">
        <f t="shared" si="118"/>
        <v>6</v>
      </c>
      <c r="E259" s="309" t="str">
        <f t="shared" si="119"/>
        <v>13.1.6</v>
      </c>
      <c r="F259" s="310">
        <v>94496</v>
      </c>
      <c r="G259" s="311" t="str">
        <f>IF($F259="","",IFERROR(VLOOKUP($F259,SERVIÇOS!$B:$G,2,0),IFERROR(VLOOKUP($F259,'COMPOSIÇÕES COMPLEMENTARES '!$D:$L,2,0),IFERROR(VLOOKUP($F259,INSUMOS!$A:$D,2,0),""))))</f>
        <v>REGISTRO DE GAVETA BRUTO, LATÃO, ROSCÁVEL, 1 1/4" - FORNECIMENTO E INSTALAÇÃO. AF_08/2021</v>
      </c>
      <c r="H259" s="312" t="str">
        <f>IF($F259="","",IFERROR(VLOOKUP($F259,SERVIÇOS!$B:$G,3,0),IFERROR(VLOOKUP($F259,'COMPOSIÇÕES COMPLEMENTARES '!$D:$L,3,0),IFERROR(VLOOKUP($F259,INSUMOS!$A:$D,3,0),""))))</f>
        <v>UN</v>
      </c>
      <c r="I259" s="313">
        <v>1</v>
      </c>
      <c r="J259" s="314">
        <f>IF($F259="","",IFERROR(VLOOKUP($F259,SERVIÇOS!$B:$G,4,0),IFERROR(VLOOKUP($F259,'COMPOSIÇÕES COMPLEMENTARES '!$D:$L,6,0),IFERROR(VLOOKUP($F259,INSUMOS!$A:$D,4,0),""))))</f>
        <v>75.22</v>
      </c>
      <c r="K259" s="314">
        <f>IF($F259="","",IFERROR(VLOOKUP($F259,SERVIÇOS!$B:$G,5,0),IFERROR(VLOOKUP($F259,'COMPOSIÇÕES COMPLEMENTARES '!$D:$L,7,0),0)))</f>
        <v>9.82</v>
      </c>
      <c r="L259" s="314">
        <f t="shared" si="120"/>
        <v>85.039999999999992</v>
      </c>
      <c r="M259" s="314">
        <f t="shared" si="121"/>
        <v>75.22</v>
      </c>
      <c r="N259" s="314">
        <f t="shared" si="122"/>
        <v>9.82</v>
      </c>
      <c r="O259" s="314">
        <f t="shared" si="123"/>
        <v>85.04</v>
      </c>
      <c r="P259" s="314"/>
      <c r="Q259" s="315"/>
      <c r="R259" s="315"/>
      <c r="S259" s="286"/>
      <c r="T259" s="287"/>
      <c r="U259" s="288" t="str">
        <f t="shared" si="96"/>
        <v/>
      </c>
      <c r="V259" s="287"/>
      <c r="W259" s="289" t="str">
        <f t="shared" si="97"/>
        <v/>
      </c>
      <c r="X259" s="287"/>
      <c r="Y259" s="290" t="str">
        <f t="shared" si="98"/>
        <v/>
      </c>
      <c r="Z259" s="291">
        <f ca="1">SUMIF($T$8:Y$1018,"QUANT.",T259:Y259)</f>
        <v>0</v>
      </c>
      <c r="AA259" s="292">
        <f t="shared" ca="1" si="99"/>
        <v>0</v>
      </c>
      <c r="AB259" s="293" t="str">
        <f t="shared" ca="1" si="100"/>
        <v>MEDIR</v>
      </c>
      <c r="AC259" s="294">
        <f t="shared" ca="1" si="101"/>
        <v>1</v>
      </c>
      <c r="AD259" s="294">
        <f t="shared" ca="1" si="102"/>
        <v>85.04</v>
      </c>
      <c r="AE259" s="295"/>
      <c r="AF259" s="295"/>
      <c r="AG259" s="296"/>
      <c r="AH259" s="296"/>
      <c r="AI259" s="296"/>
      <c r="AJ259" s="325"/>
      <c r="AK259" s="325"/>
      <c r="AL259" s="325"/>
      <c r="AM259" s="325"/>
    </row>
    <row r="260" spans="1:39" x14ac:dyDescent="0.25">
      <c r="A260" s="232">
        <f t="shared" si="124"/>
        <v>260</v>
      </c>
      <c r="B260" s="232"/>
      <c r="C260" s="307" t="str">
        <f t="shared" si="117"/>
        <v>13.1</v>
      </c>
      <c r="D260" s="308">
        <f t="shared" si="118"/>
        <v>7</v>
      </c>
      <c r="E260" s="309" t="str">
        <f t="shared" si="119"/>
        <v>13.1.7</v>
      </c>
      <c r="F260" s="310">
        <v>94497</v>
      </c>
      <c r="G260" s="311" t="str">
        <f>IF($F260="","",IFERROR(VLOOKUP($F260,SERVIÇOS!$B:$G,2,0),IFERROR(VLOOKUP($F260,'COMPOSIÇÕES COMPLEMENTARES '!$D:$L,2,0),IFERROR(VLOOKUP($F260,INSUMOS!$A:$D,2,0),""))))</f>
        <v>REGISTRO DE GAVETA BRUTO, LATÃO, ROSCÁVEL, 1 1/2" - FORNECIMENTO E INSTALAÇÃO. AF_08/2021</v>
      </c>
      <c r="H260" s="312" t="str">
        <f>IF($F260="","",IFERROR(VLOOKUP($F260,SERVIÇOS!$B:$G,3,0),IFERROR(VLOOKUP($F260,'COMPOSIÇÕES COMPLEMENTARES '!$D:$L,3,0),IFERROR(VLOOKUP($F260,INSUMOS!$A:$D,3,0),""))))</f>
        <v>UN</v>
      </c>
      <c r="I260" s="313">
        <v>1</v>
      </c>
      <c r="J260" s="314">
        <f>IF($F260="","",IFERROR(VLOOKUP($F260,SERVIÇOS!$B:$G,4,0),IFERROR(VLOOKUP($F260,'COMPOSIÇÕES COMPLEMENTARES '!$D:$L,6,0),IFERROR(VLOOKUP($F260,INSUMOS!$A:$D,4,0),""))))</f>
        <v>95.08</v>
      </c>
      <c r="K260" s="314">
        <f>IF($F260="","",IFERROR(VLOOKUP($F260,SERVIÇOS!$B:$G,5,0),IFERROR(VLOOKUP($F260,'COMPOSIÇÕES COMPLEMENTARES '!$D:$L,7,0),0)))</f>
        <v>12.8</v>
      </c>
      <c r="L260" s="314">
        <f t="shared" si="120"/>
        <v>107.88</v>
      </c>
      <c r="M260" s="314">
        <f t="shared" si="121"/>
        <v>95.08</v>
      </c>
      <c r="N260" s="314">
        <f t="shared" si="122"/>
        <v>12.8</v>
      </c>
      <c r="O260" s="314">
        <f t="shared" si="123"/>
        <v>107.88</v>
      </c>
      <c r="P260" s="314"/>
      <c r="Q260" s="315"/>
      <c r="R260" s="315"/>
      <c r="S260" s="286"/>
      <c r="T260" s="287"/>
      <c r="U260" s="288" t="str">
        <f t="shared" si="96"/>
        <v/>
      </c>
      <c r="V260" s="287"/>
      <c r="W260" s="289" t="str">
        <f t="shared" si="97"/>
        <v/>
      </c>
      <c r="X260" s="287"/>
      <c r="Y260" s="290" t="str">
        <f t="shared" si="98"/>
        <v/>
      </c>
      <c r="Z260" s="291">
        <f ca="1">SUMIF($T$8:Y$1018,"QUANT.",T260:Y260)</f>
        <v>0</v>
      </c>
      <c r="AA260" s="292">
        <f t="shared" ca="1" si="99"/>
        <v>0</v>
      </c>
      <c r="AB260" s="293" t="str">
        <f t="shared" ca="1" si="100"/>
        <v>MEDIR</v>
      </c>
      <c r="AC260" s="294">
        <f t="shared" ca="1" si="101"/>
        <v>1</v>
      </c>
      <c r="AD260" s="294">
        <f t="shared" ca="1" si="102"/>
        <v>107.88</v>
      </c>
      <c r="AE260" s="295"/>
      <c r="AF260" s="295"/>
      <c r="AG260" s="296"/>
      <c r="AH260" s="296"/>
      <c r="AI260" s="296"/>
      <c r="AJ260" s="325"/>
      <c r="AK260" s="325"/>
      <c r="AL260" s="325"/>
      <c r="AM260" s="325"/>
    </row>
    <row r="261" spans="1:39" x14ac:dyDescent="0.25">
      <c r="A261" s="232">
        <f t="shared" si="124"/>
        <v>261</v>
      </c>
      <c r="B261" s="232"/>
      <c r="C261" s="307" t="str">
        <f t="shared" si="117"/>
        <v>13.1</v>
      </c>
      <c r="D261" s="308">
        <f t="shared" si="118"/>
        <v>8</v>
      </c>
      <c r="E261" s="309" t="str">
        <f t="shared" si="119"/>
        <v>13.1.8</v>
      </c>
      <c r="F261" s="310">
        <v>94499</v>
      </c>
      <c r="G261" s="311" t="str">
        <f>IF($F261="","",IFERROR(VLOOKUP($F261,SERVIÇOS!$B:$G,2,0),IFERROR(VLOOKUP($F261,'COMPOSIÇÕES COMPLEMENTARES '!$D:$L,2,0),IFERROR(VLOOKUP($F261,INSUMOS!$A:$D,2,0),""))))</f>
        <v>REGISTRO DE GAVETA BRUTO, LATÃO, ROSCÁVEL, 2 1/2" - FORNECIMENTO E INSTALAÇÃO. AF_08/2021</v>
      </c>
      <c r="H261" s="312" t="str">
        <f>IF($F261="","",IFERROR(VLOOKUP($F261,SERVIÇOS!$B:$G,3,0),IFERROR(VLOOKUP($F261,'COMPOSIÇÕES COMPLEMENTARES '!$D:$L,3,0),IFERROR(VLOOKUP($F261,INSUMOS!$A:$D,3,0),""))))</f>
        <v>UN</v>
      </c>
      <c r="I261" s="313">
        <v>4</v>
      </c>
      <c r="J261" s="314">
        <f>IF($F261="","",IFERROR(VLOOKUP($F261,SERVIÇOS!$B:$G,4,0),IFERROR(VLOOKUP($F261,'COMPOSIÇÕES COMPLEMENTARES '!$D:$L,6,0),IFERROR(VLOOKUP($F261,INSUMOS!$A:$D,4,0),""))))</f>
        <v>268.93</v>
      </c>
      <c r="K261" s="314">
        <f>IF($F261="","",IFERROR(VLOOKUP($F261,SERVIÇOS!$B:$G,5,0),IFERROR(VLOOKUP($F261,'COMPOSIÇÕES COMPLEMENTARES '!$D:$L,7,0),0)))</f>
        <v>22.08</v>
      </c>
      <c r="L261" s="314">
        <f t="shared" si="120"/>
        <v>291.01</v>
      </c>
      <c r="M261" s="314">
        <f t="shared" si="121"/>
        <v>1075.72</v>
      </c>
      <c r="N261" s="314">
        <f t="shared" si="122"/>
        <v>88.32</v>
      </c>
      <c r="O261" s="314">
        <f t="shared" si="123"/>
        <v>1164.04</v>
      </c>
      <c r="P261" s="314"/>
      <c r="Q261" s="315"/>
      <c r="R261" s="315"/>
      <c r="S261" s="286"/>
      <c r="T261" s="287"/>
      <c r="U261" s="288" t="str">
        <f t="shared" si="96"/>
        <v/>
      </c>
      <c r="V261" s="287"/>
      <c r="W261" s="289" t="str">
        <f t="shared" si="97"/>
        <v/>
      </c>
      <c r="X261" s="287"/>
      <c r="Y261" s="290" t="str">
        <f t="shared" si="98"/>
        <v/>
      </c>
      <c r="Z261" s="291">
        <f ca="1">SUMIF($T$8:Y$1018,"QUANT.",T261:Y261)</f>
        <v>0</v>
      </c>
      <c r="AA261" s="292">
        <f t="shared" ca="1" si="99"/>
        <v>0</v>
      </c>
      <c r="AB261" s="293" t="str">
        <f t="shared" ca="1" si="100"/>
        <v>MEDIR</v>
      </c>
      <c r="AC261" s="294">
        <f t="shared" ca="1" si="101"/>
        <v>4</v>
      </c>
      <c r="AD261" s="294">
        <f t="shared" ca="1" si="102"/>
        <v>1164.04</v>
      </c>
      <c r="AE261" s="295"/>
      <c r="AF261" s="295"/>
      <c r="AG261" s="296"/>
      <c r="AH261" s="296"/>
      <c r="AI261" s="296"/>
      <c r="AJ261" s="325"/>
      <c r="AK261" s="325"/>
      <c r="AL261" s="325"/>
      <c r="AM261" s="325"/>
    </row>
    <row r="262" spans="1:39" x14ac:dyDescent="0.25">
      <c r="A262" s="232">
        <f t="shared" si="124"/>
        <v>262</v>
      </c>
      <c r="B262" s="232"/>
      <c r="C262" s="307" t="str">
        <f t="shared" si="117"/>
        <v>13.1</v>
      </c>
      <c r="D262" s="308">
        <f t="shared" si="118"/>
        <v>9</v>
      </c>
      <c r="E262" s="309" t="str">
        <f t="shared" si="119"/>
        <v>13.1.9</v>
      </c>
      <c r="F262" s="310" t="s">
        <v>12081</v>
      </c>
      <c r="G262" s="311" t="str">
        <f>IF($F262="","",IFERROR(VLOOKUP($F262,SERVIÇOS!$B:$G,2,0),IFERROR(VLOOKUP($F262,'COMPOSIÇÕES COMPLEMENTARES '!$D:$L,2,0),IFERROR(VLOOKUP($F262,INSUMOS!$A:$D,2,0),""))))</f>
        <v>REGISTRO DE ESFERA, METAL, ROSCÁVEL, 4"</v>
      </c>
      <c r="H262" s="312" t="str">
        <f>IF($F262="","",IFERROR(VLOOKUP($F262,SERVIÇOS!$B:$G,3,0),IFERROR(VLOOKUP($F262,'COMPOSIÇÕES COMPLEMENTARES '!$D:$L,3,0),IFERROR(VLOOKUP($F262,INSUMOS!$A:$D,3,0),""))))</f>
        <v>UN</v>
      </c>
      <c r="I262" s="313">
        <v>1</v>
      </c>
      <c r="J262" s="314">
        <f>IF($F262="","",IFERROR(VLOOKUP($F262,SERVIÇOS!$B:$G,4,0),IFERROR(VLOOKUP($F262,'COMPOSIÇÕES COMPLEMENTARES '!$D:$L,6,0),IFERROR(VLOOKUP($F262,INSUMOS!$A:$D,4,0),""))))</f>
        <v>1231.49</v>
      </c>
      <c r="K262" s="314">
        <f>IF($F262="","",IFERROR(VLOOKUP($F262,SERVIÇOS!$B:$G,5,0),IFERROR(VLOOKUP($F262,'COMPOSIÇÕES COMPLEMENTARES '!$D:$L,7,0),0)))</f>
        <v>38.880000000000003</v>
      </c>
      <c r="L262" s="314">
        <f t="shared" si="120"/>
        <v>1270.3700000000001</v>
      </c>
      <c r="M262" s="314">
        <f t="shared" si="121"/>
        <v>1231.49</v>
      </c>
      <c r="N262" s="314">
        <f t="shared" si="122"/>
        <v>38.880000000000003</v>
      </c>
      <c r="O262" s="314">
        <f t="shared" si="123"/>
        <v>1270.3699999999999</v>
      </c>
      <c r="P262" s="314"/>
      <c r="Q262" s="315"/>
      <c r="R262" s="315"/>
      <c r="S262" s="286"/>
      <c r="T262" s="287"/>
      <c r="U262" s="288" t="str">
        <f t="shared" si="96"/>
        <v/>
      </c>
      <c r="V262" s="287"/>
      <c r="W262" s="289" t="str">
        <f t="shared" si="97"/>
        <v/>
      </c>
      <c r="X262" s="287"/>
      <c r="Y262" s="290" t="str">
        <f t="shared" si="98"/>
        <v/>
      </c>
      <c r="Z262" s="291">
        <f ca="1">SUMIF($T$8:Y$1018,"QUANT.",T262:Y262)</f>
        <v>0</v>
      </c>
      <c r="AA262" s="292">
        <f t="shared" ca="1" si="99"/>
        <v>0</v>
      </c>
      <c r="AB262" s="293" t="str">
        <f t="shared" ca="1" si="100"/>
        <v>MEDIR</v>
      </c>
      <c r="AC262" s="294">
        <f t="shared" ca="1" si="101"/>
        <v>1</v>
      </c>
      <c r="AD262" s="294">
        <f t="shared" ca="1" si="102"/>
        <v>1270.3699999999999</v>
      </c>
      <c r="AE262" s="295"/>
      <c r="AF262" s="295"/>
      <c r="AG262" s="296"/>
      <c r="AH262" s="296"/>
      <c r="AI262" s="296"/>
      <c r="AJ262" s="325"/>
      <c r="AK262" s="325"/>
      <c r="AL262" s="325"/>
      <c r="AM262" s="325"/>
    </row>
    <row r="263" spans="1:39" x14ac:dyDescent="0.25">
      <c r="A263" s="232">
        <f t="shared" si="124"/>
        <v>263</v>
      </c>
      <c r="B263" s="232"/>
      <c r="C263" s="307" t="str">
        <f t="shared" si="117"/>
        <v>13.1</v>
      </c>
      <c r="D263" s="308">
        <f t="shared" si="118"/>
        <v>10</v>
      </c>
      <c r="E263" s="309" t="str">
        <f t="shared" si="119"/>
        <v>13.1.10</v>
      </c>
      <c r="F263" s="310">
        <v>89353</v>
      </c>
      <c r="G263" s="311" t="str">
        <f>IF($F263="","",IFERROR(VLOOKUP($F263,SERVIÇOS!$B:$G,2,0),IFERROR(VLOOKUP($F263,'COMPOSIÇÕES COMPLEMENTARES '!$D:$L,2,0),IFERROR(VLOOKUP($F263,INSUMOS!$A:$D,2,0),""))))</f>
        <v>REGISTRO DE GAVETA BRUTO, LATÃO, ROSCÁVEL, 3/4" - FORNECIMENTO E INSTALAÇÃO. AF_08/2021</v>
      </c>
      <c r="H263" s="312" t="str">
        <f>IF($F263="","",IFERROR(VLOOKUP($F263,SERVIÇOS!$B:$G,3,0),IFERROR(VLOOKUP($F263,'COMPOSIÇÕES COMPLEMENTARES '!$D:$L,3,0),IFERROR(VLOOKUP($F263,INSUMOS!$A:$D,3,0),""))))</f>
        <v>UN</v>
      </c>
      <c r="I263" s="313">
        <v>32</v>
      </c>
      <c r="J263" s="314">
        <f>IF($F263="","",IFERROR(VLOOKUP($F263,SERVIÇOS!$B:$G,4,0),IFERROR(VLOOKUP($F263,'COMPOSIÇÕES COMPLEMENTARES '!$D:$L,6,0),IFERROR(VLOOKUP($F263,INSUMOS!$A:$D,4,0),""))))</f>
        <v>35.31</v>
      </c>
      <c r="K263" s="314">
        <f>IF($F263="","",IFERROR(VLOOKUP($F263,SERVIÇOS!$B:$G,5,0),IFERROR(VLOOKUP($F263,'COMPOSIÇÕES COMPLEMENTARES '!$D:$L,7,0),0)))</f>
        <v>5.34</v>
      </c>
      <c r="L263" s="314">
        <f t="shared" si="120"/>
        <v>40.650000000000006</v>
      </c>
      <c r="M263" s="314">
        <f t="shared" si="121"/>
        <v>1129.92</v>
      </c>
      <c r="N263" s="314">
        <f t="shared" si="122"/>
        <v>170.88</v>
      </c>
      <c r="O263" s="314">
        <f t="shared" si="123"/>
        <v>1300.8</v>
      </c>
      <c r="P263" s="314"/>
      <c r="Q263" s="315"/>
      <c r="R263" s="315"/>
      <c r="S263" s="286"/>
      <c r="T263" s="287"/>
      <c r="U263" s="288" t="str">
        <f t="shared" si="96"/>
        <v/>
      </c>
      <c r="V263" s="287"/>
      <c r="W263" s="289" t="str">
        <f t="shared" si="97"/>
        <v/>
      </c>
      <c r="X263" s="287"/>
      <c r="Y263" s="290" t="str">
        <f t="shared" si="98"/>
        <v/>
      </c>
      <c r="Z263" s="291">
        <f ca="1">SUMIF($T$8:Y$1018,"QUANT.",T263:Y263)</f>
        <v>0</v>
      </c>
      <c r="AA263" s="292">
        <f t="shared" ca="1" si="99"/>
        <v>0</v>
      </c>
      <c r="AB263" s="293" t="str">
        <f t="shared" ca="1" si="100"/>
        <v>MEDIR</v>
      </c>
      <c r="AC263" s="294">
        <f t="shared" ca="1" si="101"/>
        <v>32</v>
      </c>
      <c r="AD263" s="294">
        <f t="shared" ca="1" si="102"/>
        <v>1300.8</v>
      </c>
      <c r="AE263" s="295"/>
      <c r="AF263" s="295"/>
      <c r="AG263" s="296"/>
      <c r="AH263" s="296"/>
      <c r="AI263" s="296"/>
      <c r="AJ263" s="325"/>
      <c r="AK263" s="325"/>
      <c r="AL263" s="325"/>
      <c r="AM263" s="325"/>
    </row>
    <row r="264" spans="1:39" ht="25.5" x14ac:dyDescent="0.25">
      <c r="A264" s="232">
        <f t="shared" si="124"/>
        <v>264</v>
      </c>
      <c r="B264" s="232"/>
      <c r="C264" s="307" t="str">
        <f t="shared" si="117"/>
        <v>13.1</v>
      </c>
      <c r="D264" s="308">
        <f t="shared" si="118"/>
        <v>11</v>
      </c>
      <c r="E264" s="309" t="str">
        <f t="shared" si="119"/>
        <v>13.1.11</v>
      </c>
      <c r="F264" s="310">
        <v>89985</v>
      </c>
      <c r="G264" s="311" t="str">
        <f>IF($F264="","",IFERROR(VLOOKUP($F264,SERVIÇOS!$B:$G,2,0),IFERROR(VLOOKUP($F264,'COMPOSIÇÕES COMPLEMENTARES '!$D:$L,2,0),IFERROR(VLOOKUP($F264,INSUMOS!$A:$D,2,0),""))))</f>
        <v>REGISTRO DE PRESSÃO BRUTO, LATÃO, ROSCÁVEL, 3/4", COM ACABAMENTO E CANOPLA CROMADOS - FORNECIMENTO E INSTALAÇÃO. AF_08/2021</v>
      </c>
      <c r="H264" s="312" t="str">
        <f>IF($F264="","",IFERROR(VLOOKUP($F264,SERVIÇOS!$B:$G,3,0),IFERROR(VLOOKUP($F264,'COMPOSIÇÕES COMPLEMENTARES '!$D:$L,3,0),IFERROR(VLOOKUP($F264,INSUMOS!$A:$D,3,0),""))))</f>
        <v>UN</v>
      </c>
      <c r="I264" s="313">
        <v>7</v>
      </c>
      <c r="J264" s="314">
        <f>IF($F264="","",IFERROR(VLOOKUP($F264,SERVIÇOS!$B:$G,4,0),IFERROR(VLOOKUP($F264,'COMPOSIÇÕES COMPLEMENTARES '!$D:$L,6,0),IFERROR(VLOOKUP($F264,INSUMOS!$A:$D,4,0),""))))</f>
        <v>80.42</v>
      </c>
      <c r="K264" s="314">
        <f>IF($F264="","",IFERROR(VLOOKUP($F264,SERVIÇOS!$B:$G,5,0),IFERROR(VLOOKUP($F264,'COMPOSIÇÕES COMPLEMENTARES '!$D:$L,7,0),0)))</f>
        <v>10.74</v>
      </c>
      <c r="L264" s="314">
        <f t="shared" si="120"/>
        <v>91.16</v>
      </c>
      <c r="M264" s="314">
        <f t="shared" si="121"/>
        <v>562.94000000000005</v>
      </c>
      <c r="N264" s="314">
        <f t="shared" si="122"/>
        <v>75.180000000000007</v>
      </c>
      <c r="O264" s="314">
        <f t="shared" si="123"/>
        <v>638.12</v>
      </c>
      <c r="P264" s="314"/>
      <c r="Q264" s="315"/>
      <c r="R264" s="315"/>
      <c r="S264" s="286"/>
      <c r="T264" s="287"/>
      <c r="U264" s="288" t="str">
        <f t="shared" si="96"/>
        <v/>
      </c>
      <c r="V264" s="287"/>
      <c r="W264" s="289" t="str">
        <f t="shared" si="97"/>
        <v/>
      </c>
      <c r="X264" s="287"/>
      <c r="Y264" s="290" t="str">
        <f t="shared" si="98"/>
        <v/>
      </c>
      <c r="Z264" s="291">
        <f ca="1">SUMIF($T$8:Y$1018,"QUANT.",T264:Y264)</f>
        <v>0</v>
      </c>
      <c r="AA264" s="292">
        <f t="shared" ca="1" si="99"/>
        <v>0</v>
      </c>
      <c r="AB264" s="293" t="str">
        <f t="shared" ca="1" si="100"/>
        <v>MEDIR</v>
      </c>
      <c r="AC264" s="294">
        <f t="shared" ca="1" si="101"/>
        <v>7</v>
      </c>
      <c r="AD264" s="294">
        <f t="shared" ca="1" si="102"/>
        <v>638.12</v>
      </c>
      <c r="AE264" s="295"/>
      <c r="AF264" s="295"/>
      <c r="AG264" s="296"/>
      <c r="AH264" s="296"/>
      <c r="AI264" s="296"/>
      <c r="AJ264" s="325"/>
      <c r="AK264" s="325"/>
      <c r="AL264" s="325"/>
      <c r="AM264" s="325"/>
    </row>
    <row r="265" spans="1:39" x14ac:dyDescent="0.25">
      <c r="A265" s="232">
        <f t="shared" si="124"/>
        <v>265</v>
      </c>
      <c r="B265" s="232"/>
      <c r="C265" s="316" t="str">
        <f>+E265</f>
        <v>13.2</v>
      </c>
      <c r="D265" s="297"/>
      <c r="E265" s="317" t="s">
        <v>12082</v>
      </c>
      <c r="F265" s="317"/>
      <c r="G265" s="318" t="s">
        <v>12083</v>
      </c>
      <c r="H265" s="317"/>
      <c r="I265" s="319"/>
      <c r="J265" s="317"/>
      <c r="K265" s="317"/>
      <c r="L265" s="317"/>
      <c r="M265" s="317"/>
      <c r="N265" s="317"/>
      <c r="O265" s="317"/>
      <c r="P265" s="317"/>
      <c r="Q265" s="320"/>
      <c r="R265" s="306"/>
      <c r="S265" s="286"/>
      <c r="T265" s="287"/>
      <c r="U265" s="288" t="str">
        <f t="shared" ref="U265:U321" si="125">IF(OR(T265="",$O265=""),"",(T265/$I265)*$O265)</f>
        <v/>
      </c>
      <c r="V265" s="287"/>
      <c r="W265" s="289" t="str">
        <f t="shared" ref="W265:W321" si="126">IF(OR(V265="",$O265=""),"",(V265/$I265)*$O265)</f>
        <v/>
      </c>
      <c r="X265" s="287"/>
      <c r="Y265" s="290" t="str">
        <f t="shared" ref="Y265:Y321" si="127">IF(OR(X265="",$O265=""),"",(X265/$I265)*$O265)</f>
        <v/>
      </c>
      <c r="Z265" s="291">
        <f ca="1">SUMIF($T$8:Y$1018,"QUANT.",T265:Y265)</f>
        <v>0</v>
      </c>
      <c r="AA265" s="292">
        <f t="shared" ref="AA265:AA321" ca="1" si="128">SUMIF($T$8:$Y$1018,"CUSTO",T265:Y265)</f>
        <v>0</v>
      </c>
      <c r="AB265" s="293" t="str">
        <f t="shared" ref="AB265:AB321" si="129">IF(F265&lt;&gt;"",IF(AA265=0,"MEDIR",IF(O265-AA265=0,"OK",IF(O265-AA265&gt;0,"MEDIR","ALERTA!"))),"")</f>
        <v/>
      </c>
      <c r="AC265" s="294">
        <f t="shared" ref="AC265:AC321" ca="1" si="130">IF(Z265="",0,I265-Z265)</f>
        <v>0</v>
      </c>
      <c r="AD265" s="294">
        <f t="shared" ref="AD265:AD321" ca="1" si="131">IF(AA265="",0,O265-AA265)</f>
        <v>0</v>
      </c>
      <c r="AE265" s="295"/>
      <c r="AF265" s="295"/>
      <c r="AG265" s="296"/>
      <c r="AH265" s="296"/>
      <c r="AI265" s="296"/>
      <c r="AJ265" s="325"/>
      <c r="AK265" s="325"/>
      <c r="AL265" s="325"/>
      <c r="AM265" s="325"/>
    </row>
    <row r="266" spans="1:39" x14ac:dyDescent="0.25">
      <c r="A266" s="232">
        <f t="shared" si="124"/>
        <v>266</v>
      </c>
      <c r="B266" s="232"/>
      <c r="C266" s="307" t="str">
        <f>+C265</f>
        <v>13.2</v>
      </c>
      <c r="D266" s="308">
        <f>1+D265</f>
        <v>1</v>
      </c>
      <c r="E266" s="309" t="str">
        <f>C266&amp;"."&amp;D266</f>
        <v>13.2.1</v>
      </c>
      <c r="F266" s="310" t="s">
        <v>12084</v>
      </c>
      <c r="G266" s="311" t="str">
        <f>IF($F266="","",IFERROR(VLOOKUP($F266,SERVIÇOS!$B:$G,2,0),IFERROR(VLOOKUP($F266,'COMPOSIÇÕES COMPLEMENTARES '!$D:$L,2,0),IFERROR(VLOOKUP($F266,INSUMOS!$A:$D,2,0),""))))</f>
        <v>TORNEIRA DE PRESSÃO PARA REDE DE TORNEIRAS DE ÁGUA POTÁVEL 3/4", COM ENGATE PARA MANGUEIRA.</v>
      </c>
      <c r="H266" s="312" t="str">
        <f>IF($F266="","",IFERROR(VLOOKUP($F266,SERVIÇOS!$B:$G,3,0),IFERROR(VLOOKUP($F266,'COMPOSIÇÕES COMPLEMENTARES '!$D:$L,3,0),IFERROR(VLOOKUP($F266,INSUMOS!$A:$D,3,0),""))))</f>
        <v>UN</v>
      </c>
      <c r="I266" s="313">
        <v>2</v>
      </c>
      <c r="J266" s="314">
        <f>IF($F266="","",IFERROR(VLOOKUP($F266,SERVIÇOS!$B:$G,4,0),IFERROR(VLOOKUP($F266,'COMPOSIÇÕES COMPLEMENTARES '!$D:$L,6,0),IFERROR(VLOOKUP($F266,INSUMOS!$A:$D,4,0),""))))</f>
        <v>55.97</v>
      </c>
      <c r="K266" s="314">
        <f>IF($F266="","",IFERROR(VLOOKUP($F266,SERVIÇOS!$B:$G,5,0),IFERROR(VLOOKUP($F266,'COMPOSIÇÕES COMPLEMENTARES '!$D:$L,7,0),0)))</f>
        <v>4.95</v>
      </c>
      <c r="L266" s="314">
        <f>IF(I266="","",J266+K266)</f>
        <v>60.92</v>
      </c>
      <c r="M266" s="314">
        <f>IF(I266="","",TRUNC((I266*J266),2))</f>
        <v>111.94</v>
      </c>
      <c r="N266" s="314">
        <f>IF(I266="","",TRUNC((I266*K266),2))</f>
        <v>9.9</v>
      </c>
      <c r="O266" s="314">
        <f>IF(I266="","",TRUNC((M266+N266),2))</f>
        <v>121.84</v>
      </c>
      <c r="P266" s="314"/>
      <c r="Q266" s="315"/>
      <c r="R266" s="315"/>
      <c r="S266" s="286"/>
      <c r="T266" s="287"/>
      <c r="U266" s="288" t="str">
        <f t="shared" si="125"/>
        <v/>
      </c>
      <c r="V266" s="287"/>
      <c r="W266" s="289" t="str">
        <f t="shared" si="126"/>
        <v/>
      </c>
      <c r="X266" s="287"/>
      <c r="Y266" s="290" t="str">
        <f t="shared" si="127"/>
        <v/>
      </c>
      <c r="Z266" s="291">
        <f ca="1">SUMIF($T$8:Y$1018,"QUANT.",T266:Y266)</f>
        <v>0</v>
      </c>
      <c r="AA266" s="292">
        <f t="shared" ca="1" si="128"/>
        <v>0</v>
      </c>
      <c r="AB266" s="293" t="str">
        <f t="shared" ca="1" si="129"/>
        <v>MEDIR</v>
      </c>
      <c r="AC266" s="294">
        <f t="shared" ca="1" si="130"/>
        <v>2</v>
      </c>
      <c r="AD266" s="294">
        <f t="shared" ca="1" si="131"/>
        <v>121.84</v>
      </c>
      <c r="AE266" s="295"/>
      <c r="AF266" s="295"/>
      <c r="AG266" s="296"/>
      <c r="AH266" s="296"/>
      <c r="AI266" s="296"/>
      <c r="AJ266" s="325"/>
      <c r="AK266" s="325"/>
      <c r="AL266" s="325"/>
      <c r="AM266" s="325"/>
    </row>
    <row r="267" spans="1:39" ht="25.5" x14ac:dyDescent="0.25">
      <c r="A267" s="232">
        <f t="shared" si="124"/>
        <v>267</v>
      </c>
      <c r="B267" s="232"/>
      <c r="C267" s="307" t="str">
        <f>+C266</f>
        <v>13.2</v>
      </c>
      <c r="D267" s="308">
        <f>1+D266</f>
        <v>2</v>
      </c>
      <c r="E267" s="309" t="str">
        <f>C267&amp;"."&amp;D267</f>
        <v>13.2.2</v>
      </c>
      <c r="F267" s="310" t="s">
        <v>12085</v>
      </c>
      <c r="G267" s="311" t="str">
        <f>IF($F267="","",IFERROR(VLOOKUP($F267,SERVIÇOS!$B:$G,2,0),IFERROR(VLOOKUP($F267,'COMPOSIÇÕES COMPLEMENTARES '!$D:$L,2,0),IFERROR(VLOOKUP($F267,INSUMOS!$A:$D,2,0),""))))</f>
        <v>TORNEIRA DE PRESSÃO PARA REDE DE TORNEIRAS DE ÁGUA DE REAPROVEITAMENTO (NÃO POTÁVEL) 3/4", COM ENGATE PARA MANGUEIRA</v>
      </c>
      <c r="H267" s="312" t="str">
        <f>IF($F267="","",IFERROR(VLOOKUP($F267,SERVIÇOS!$B:$G,3,0),IFERROR(VLOOKUP($F267,'COMPOSIÇÕES COMPLEMENTARES '!$D:$L,3,0),IFERROR(VLOOKUP($F267,INSUMOS!$A:$D,3,0),""))))</f>
        <v>UN</v>
      </c>
      <c r="I267" s="313">
        <v>12</v>
      </c>
      <c r="J267" s="314">
        <f>IF($F267="","",IFERROR(VLOOKUP($F267,SERVIÇOS!$B:$G,4,0),IFERROR(VLOOKUP($F267,'COMPOSIÇÕES COMPLEMENTARES '!$D:$L,6,0),IFERROR(VLOOKUP($F267,INSUMOS!$A:$D,4,0),""))))</f>
        <v>66.27</v>
      </c>
      <c r="K267" s="314">
        <f>IF($F267="","",IFERROR(VLOOKUP($F267,SERVIÇOS!$B:$G,5,0),IFERROR(VLOOKUP($F267,'COMPOSIÇÕES COMPLEMENTARES '!$D:$L,7,0),0)))</f>
        <v>4.95</v>
      </c>
      <c r="L267" s="314">
        <f>IF(I267="","",J267+K267)</f>
        <v>71.22</v>
      </c>
      <c r="M267" s="314">
        <f>IF(I267="","",TRUNC((I267*J267),2))</f>
        <v>795.24</v>
      </c>
      <c r="N267" s="314">
        <f>IF(I267="","",TRUNC((I267*K267),2))</f>
        <v>59.4</v>
      </c>
      <c r="O267" s="314">
        <f>IF(I267="","",TRUNC((M267+N267),2))</f>
        <v>854.64</v>
      </c>
      <c r="P267" s="314"/>
      <c r="Q267" s="315"/>
      <c r="R267" s="315"/>
      <c r="S267" s="286"/>
      <c r="T267" s="287"/>
      <c r="U267" s="288" t="str">
        <f t="shared" si="125"/>
        <v/>
      </c>
      <c r="V267" s="287"/>
      <c r="W267" s="289" t="str">
        <f t="shared" si="126"/>
        <v/>
      </c>
      <c r="X267" s="287"/>
      <c r="Y267" s="290" t="str">
        <f t="shared" si="127"/>
        <v/>
      </c>
      <c r="Z267" s="291">
        <f ca="1">SUMIF($T$8:Y$1018,"QUANT.",T267:Y267)</f>
        <v>0</v>
      </c>
      <c r="AA267" s="292">
        <f t="shared" ca="1" si="128"/>
        <v>0</v>
      </c>
      <c r="AB267" s="293" t="str">
        <f t="shared" ca="1" si="129"/>
        <v>MEDIR</v>
      </c>
      <c r="AC267" s="294">
        <f t="shared" ca="1" si="130"/>
        <v>12</v>
      </c>
      <c r="AD267" s="294">
        <f t="shared" ca="1" si="131"/>
        <v>854.64</v>
      </c>
      <c r="AE267" s="295"/>
      <c r="AF267" s="295"/>
      <c r="AG267" s="296"/>
      <c r="AH267" s="296"/>
      <c r="AI267" s="296"/>
      <c r="AJ267" s="325"/>
      <c r="AK267" s="325"/>
      <c r="AL267" s="325"/>
      <c r="AM267" s="325"/>
    </row>
    <row r="268" spans="1:39" x14ac:dyDescent="0.25">
      <c r="A268" s="232">
        <f t="shared" si="124"/>
        <v>268</v>
      </c>
      <c r="B268" s="232"/>
      <c r="C268" s="307" t="str">
        <f>+C267</f>
        <v>13.2</v>
      </c>
      <c r="D268" s="308">
        <f>1+D267</f>
        <v>3</v>
      </c>
      <c r="E268" s="309" t="str">
        <f>C268&amp;"."&amp;D268</f>
        <v>13.2.3</v>
      </c>
      <c r="F268" s="310" t="s">
        <v>12086</v>
      </c>
      <c r="G268" s="311" t="str">
        <f>IF($F268="","",IFERROR(VLOOKUP($F268,SERVIÇOS!$B:$G,2,0),IFERROR(VLOOKUP($F268,'COMPOSIÇÕES COMPLEMENTARES '!$D:$L,2,0),IFERROR(VLOOKUP($F268,INSUMOS!$A:$D,2,0),""))))</f>
        <v>AQUECEDOR DE ÁGUA ELÉTRICO CARDAL MODELO 3T OU EQUIVALENTE TÉCNICO</v>
      </c>
      <c r="H268" s="312" t="str">
        <f>IF($F268="","",IFERROR(VLOOKUP($F268,SERVIÇOS!$B:$G,3,0),IFERROR(VLOOKUP($F268,'COMPOSIÇÕES COMPLEMENTARES '!$D:$L,3,0),IFERROR(VLOOKUP($F268,INSUMOS!$A:$D,3,0),""))))</f>
        <v>UN</v>
      </c>
      <c r="I268" s="313">
        <v>9</v>
      </c>
      <c r="J268" s="314">
        <f>IF($F268="","",IFERROR(VLOOKUP($F268,SERVIÇOS!$B:$G,4,0),IFERROR(VLOOKUP($F268,'COMPOSIÇÕES COMPLEMENTARES '!$D:$L,6,0),IFERROR(VLOOKUP($F268,INSUMOS!$A:$D,4,0),""))))</f>
        <v>861.94</v>
      </c>
      <c r="K268" s="314">
        <f>IF($F268="","",IFERROR(VLOOKUP($F268,SERVIÇOS!$B:$G,5,0),IFERROR(VLOOKUP($F268,'COMPOSIÇÕES COMPLEMENTARES '!$D:$L,7,0),0)))</f>
        <v>243.98</v>
      </c>
      <c r="L268" s="314">
        <f>IF(I268="","",J268+K268)</f>
        <v>1105.92</v>
      </c>
      <c r="M268" s="314">
        <f>IF(I268="","",TRUNC((I268*J268),2))</f>
        <v>7757.46</v>
      </c>
      <c r="N268" s="314">
        <f>IF(I268="","",TRUNC((I268*K268),2))</f>
        <v>2195.8200000000002</v>
      </c>
      <c r="O268" s="314">
        <f>IF(I268="","",TRUNC((M268+N268),2))</f>
        <v>9953.2800000000007</v>
      </c>
      <c r="P268" s="314"/>
      <c r="Q268" s="315"/>
      <c r="R268" s="315"/>
      <c r="S268" s="286"/>
      <c r="T268" s="287"/>
      <c r="U268" s="288" t="str">
        <f t="shared" si="125"/>
        <v/>
      </c>
      <c r="V268" s="287"/>
      <c r="W268" s="289" t="str">
        <f t="shared" si="126"/>
        <v/>
      </c>
      <c r="X268" s="287"/>
      <c r="Y268" s="290" t="str">
        <f t="shared" si="127"/>
        <v/>
      </c>
      <c r="Z268" s="291">
        <f ca="1">SUMIF($T$8:Y$1018,"QUANT.",T268:Y268)</f>
        <v>0</v>
      </c>
      <c r="AA268" s="292">
        <f t="shared" ca="1" si="128"/>
        <v>0</v>
      </c>
      <c r="AB268" s="293" t="str">
        <f t="shared" ca="1" si="129"/>
        <v>MEDIR</v>
      </c>
      <c r="AC268" s="294">
        <f t="shared" ca="1" si="130"/>
        <v>9</v>
      </c>
      <c r="AD268" s="294">
        <f t="shared" ca="1" si="131"/>
        <v>9953.2800000000007</v>
      </c>
      <c r="AE268" s="295"/>
      <c r="AF268" s="295"/>
      <c r="AG268" s="296"/>
      <c r="AH268" s="296"/>
      <c r="AI268" s="296"/>
      <c r="AJ268" s="325"/>
      <c r="AK268" s="325"/>
      <c r="AL268" s="325"/>
      <c r="AM268" s="325"/>
    </row>
    <row r="269" spans="1:39" x14ac:dyDescent="0.25">
      <c r="A269" s="232">
        <f t="shared" si="124"/>
        <v>269</v>
      </c>
      <c r="B269" s="232"/>
      <c r="C269" s="316" t="str">
        <f>+E269</f>
        <v>13.3</v>
      </c>
      <c r="D269" s="297"/>
      <c r="E269" s="317" t="s">
        <v>12087</v>
      </c>
      <c r="F269" s="317"/>
      <c r="G269" s="318" t="s">
        <v>12088</v>
      </c>
      <c r="H269" s="317"/>
      <c r="I269" s="319"/>
      <c r="J269" s="317"/>
      <c r="K269" s="317"/>
      <c r="L269" s="317"/>
      <c r="M269" s="317"/>
      <c r="N269" s="317"/>
      <c r="O269" s="317"/>
      <c r="P269" s="317"/>
      <c r="Q269" s="320"/>
      <c r="R269" s="306"/>
      <c r="S269" s="286"/>
      <c r="T269" s="287"/>
      <c r="U269" s="288" t="str">
        <f t="shared" si="125"/>
        <v/>
      </c>
      <c r="V269" s="287"/>
      <c r="W269" s="289" t="str">
        <f t="shared" si="126"/>
        <v/>
      </c>
      <c r="X269" s="287"/>
      <c r="Y269" s="290" t="str">
        <f t="shared" si="127"/>
        <v/>
      </c>
      <c r="Z269" s="291">
        <f ca="1">SUMIF($T$8:Y$1018,"QUANT.",T269:Y269)</f>
        <v>0</v>
      </c>
      <c r="AA269" s="292">
        <f t="shared" ca="1" si="128"/>
        <v>0</v>
      </c>
      <c r="AB269" s="293" t="str">
        <f t="shared" si="129"/>
        <v/>
      </c>
      <c r="AC269" s="294">
        <f t="shared" ca="1" si="130"/>
        <v>0</v>
      </c>
      <c r="AD269" s="294">
        <f t="shared" ca="1" si="131"/>
        <v>0</v>
      </c>
      <c r="AE269" s="295"/>
      <c r="AF269" s="295"/>
      <c r="AG269" s="296"/>
      <c r="AH269" s="296"/>
      <c r="AI269" s="296"/>
      <c r="AJ269" s="325"/>
      <c r="AK269" s="325"/>
      <c r="AL269" s="325"/>
      <c r="AM269" s="325"/>
    </row>
    <row r="270" spans="1:39" x14ac:dyDescent="0.25">
      <c r="A270" s="232">
        <f t="shared" si="124"/>
        <v>270</v>
      </c>
      <c r="B270" s="232"/>
      <c r="C270" s="307" t="str">
        <f t="shared" ref="C270:C275" si="132">+C269</f>
        <v>13.3</v>
      </c>
      <c r="D270" s="308">
        <f t="shared" ref="D270:D275" si="133">1+D269</f>
        <v>1</v>
      </c>
      <c r="E270" s="309" t="str">
        <f t="shared" ref="E270:E275" si="134">C270&amp;"."&amp;D270</f>
        <v>13.3.1</v>
      </c>
      <c r="F270" s="310" t="s">
        <v>12089</v>
      </c>
      <c r="G270" s="311" t="str">
        <f>IF($F270="","",IFERROR(VLOOKUP($F270,SERVIÇOS!$B:$G,2,0),IFERROR(VLOOKUP($F270,'COMPOSIÇÕES COMPLEMENTARES '!$D:$L,2,0),IFERROR(VLOOKUP($F270,INSUMOS!$A:$D,2,0),""))))</f>
        <v>ECO FREIO (FREIO D'ÁGUA), DN 100 MM</v>
      </c>
      <c r="H270" s="312" t="str">
        <f>IF($F270="","",IFERROR(VLOOKUP($F270,SERVIÇOS!$B:$G,3,0),IFERROR(VLOOKUP($F270,'COMPOSIÇÕES COMPLEMENTARES '!$D:$L,3,0),IFERROR(VLOOKUP($F270,INSUMOS!$A:$D,3,0),""))))</f>
        <v>UN</v>
      </c>
      <c r="I270" s="313">
        <v>1</v>
      </c>
      <c r="J270" s="314">
        <f>IF($F270="","",IFERROR(VLOOKUP($F270,SERVIÇOS!$B:$G,4,0),IFERROR(VLOOKUP($F270,'COMPOSIÇÕES COMPLEMENTARES '!$D:$L,6,0),IFERROR(VLOOKUP($F270,INSUMOS!$A:$D,4,0),""))))</f>
        <v>148.58000000000001</v>
      </c>
      <c r="K270" s="314">
        <f>IF($F270="","",IFERROR(VLOOKUP($F270,SERVIÇOS!$B:$G,5,0),IFERROR(VLOOKUP($F270,'COMPOSIÇÕES COMPLEMENTARES '!$D:$L,7,0),0)))</f>
        <v>34.020000000000003</v>
      </c>
      <c r="L270" s="314">
        <f t="shared" ref="L270:L275" si="135">IF(I270="","",J270+K270)</f>
        <v>182.60000000000002</v>
      </c>
      <c r="M270" s="314">
        <f t="shared" ref="M270:M275" si="136">IF(I270="","",TRUNC((I270*J270),2))</f>
        <v>148.58000000000001</v>
      </c>
      <c r="N270" s="314">
        <f t="shared" ref="N270:N275" si="137">IF(I270="","",TRUNC((I270*K270),2))</f>
        <v>34.020000000000003</v>
      </c>
      <c r="O270" s="314">
        <f t="shared" ref="O270:O275" si="138">IF(I270="","",TRUNC((M270+N270),2))</f>
        <v>182.6</v>
      </c>
      <c r="P270" s="314"/>
      <c r="Q270" s="315"/>
      <c r="R270" s="315"/>
      <c r="S270" s="286"/>
      <c r="T270" s="287"/>
      <c r="U270" s="288" t="str">
        <f t="shared" si="125"/>
        <v/>
      </c>
      <c r="V270" s="287"/>
      <c r="W270" s="289" t="str">
        <f t="shared" si="126"/>
        <v/>
      </c>
      <c r="X270" s="287"/>
      <c r="Y270" s="290" t="str">
        <f t="shared" si="127"/>
        <v/>
      </c>
      <c r="Z270" s="291">
        <f ca="1">SUMIF($T$8:Y$1018,"QUANT.",T270:Y270)</f>
        <v>0</v>
      </c>
      <c r="AA270" s="292">
        <f t="shared" ca="1" si="128"/>
        <v>0</v>
      </c>
      <c r="AB270" s="293" t="str">
        <f t="shared" ca="1" si="129"/>
        <v>MEDIR</v>
      </c>
      <c r="AC270" s="294">
        <f t="shared" ca="1" si="130"/>
        <v>1</v>
      </c>
      <c r="AD270" s="294">
        <f t="shared" ca="1" si="131"/>
        <v>182.6</v>
      </c>
      <c r="AE270" s="295"/>
      <c r="AF270" s="295"/>
      <c r="AG270" s="296"/>
      <c r="AH270" s="296"/>
      <c r="AI270" s="296"/>
      <c r="AJ270" s="325"/>
      <c r="AK270" s="325"/>
      <c r="AL270" s="325"/>
      <c r="AM270" s="325"/>
    </row>
    <row r="271" spans="1:39" x14ac:dyDescent="0.25">
      <c r="A271" s="232">
        <f t="shared" si="124"/>
        <v>271</v>
      </c>
      <c r="B271" s="232"/>
      <c r="C271" s="307" t="str">
        <f t="shared" si="132"/>
        <v>13.3</v>
      </c>
      <c r="D271" s="308">
        <f t="shared" si="133"/>
        <v>2</v>
      </c>
      <c r="E271" s="309" t="str">
        <f t="shared" si="134"/>
        <v>13.3.2</v>
      </c>
      <c r="F271" s="310" t="s">
        <v>12090</v>
      </c>
      <c r="G271" s="311" t="str">
        <f>IF($F271="","",IFERROR(VLOOKUP($F271,SERVIÇOS!$B:$G,2,0),IFERROR(VLOOKUP($F271,'COMPOSIÇÕES COMPLEMENTARES '!$D:$L,2,0),IFERROR(VLOOKUP($F271,INSUMOS!$A:$D,2,0),""))))</f>
        <v>FILTRO PARA ÁGUAS PLUVIAIS, WFF 100</v>
      </c>
      <c r="H271" s="312" t="str">
        <f>IF($F271="","",IFERROR(VLOOKUP($F271,SERVIÇOS!$B:$G,3,0),IFERROR(VLOOKUP($F271,'COMPOSIÇÕES COMPLEMENTARES '!$D:$L,3,0),IFERROR(VLOOKUP($F271,INSUMOS!$A:$D,3,0),""))))</f>
        <v>UN</v>
      </c>
      <c r="I271" s="313">
        <v>1</v>
      </c>
      <c r="J271" s="314">
        <f>IF($F271="","",IFERROR(VLOOKUP($F271,SERVIÇOS!$B:$G,4,0),IFERROR(VLOOKUP($F271,'COMPOSIÇÕES COMPLEMENTARES '!$D:$L,6,0),IFERROR(VLOOKUP($F271,INSUMOS!$A:$D,4,0),""))))</f>
        <v>2101.58</v>
      </c>
      <c r="K271" s="314">
        <f>IF($F271="","",IFERROR(VLOOKUP($F271,SERVIÇOS!$B:$G,5,0),IFERROR(VLOOKUP($F271,'COMPOSIÇÕES COMPLEMENTARES '!$D:$L,7,0),0)))</f>
        <v>34.020000000000003</v>
      </c>
      <c r="L271" s="314">
        <f t="shared" si="135"/>
        <v>2135.6</v>
      </c>
      <c r="M271" s="314">
        <f t="shared" si="136"/>
        <v>2101.58</v>
      </c>
      <c r="N271" s="314">
        <f t="shared" si="137"/>
        <v>34.020000000000003</v>
      </c>
      <c r="O271" s="314">
        <f t="shared" si="138"/>
        <v>2135.6</v>
      </c>
      <c r="P271" s="314"/>
      <c r="Q271" s="315"/>
      <c r="R271" s="315"/>
      <c r="S271" s="286"/>
      <c r="T271" s="287"/>
      <c r="U271" s="288" t="str">
        <f t="shared" si="125"/>
        <v/>
      </c>
      <c r="V271" s="287"/>
      <c r="W271" s="289" t="str">
        <f t="shared" si="126"/>
        <v/>
      </c>
      <c r="X271" s="287"/>
      <c r="Y271" s="290" t="str">
        <f t="shared" si="127"/>
        <v/>
      </c>
      <c r="Z271" s="291">
        <f ca="1">SUMIF($T$8:Y$1018,"QUANT.",T271:Y271)</f>
        <v>0</v>
      </c>
      <c r="AA271" s="292">
        <f t="shared" ca="1" si="128"/>
        <v>0</v>
      </c>
      <c r="AB271" s="293" t="str">
        <f t="shared" ca="1" si="129"/>
        <v>MEDIR</v>
      </c>
      <c r="AC271" s="294">
        <f t="shared" ca="1" si="130"/>
        <v>1</v>
      </c>
      <c r="AD271" s="294">
        <f t="shared" ca="1" si="131"/>
        <v>2135.6</v>
      </c>
      <c r="AE271" s="295"/>
      <c r="AF271" s="295"/>
      <c r="AG271" s="296"/>
      <c r="AH271" s="296"/>
      <c r="AI271" s="296"/>
      <c r="AJ271" s="325"/>
      <c r="AK271" s="325"/>
      <c r="AL271" s="325"/>
      <c r="AM271" s="325"/>
    </row>
    <row r="272" spans="1:39" x14ac:dyDescent="0.25">
      <c r="A272" s="232">
        <f t="shared" si="124"/>
        <v>272</v>
      </c>
      <c r="B272" s="232"/>
      <c r="C272" s="307" t="str">
        <f t="shared" si="132"/>
        <v>13.3</v>
      </c>
      <c r="D272" s="308">
        <f t="shared" si="133"/>
        <v>3</v>
      </c>
      <c r="E272" s="309" t="str">
        <f t="shared" si="134"/>
        <v>13.3.3</v>
      </c>
      <c r="F272" s="310" t="s">
        <v>12091</v>
      </c>
      <c r="G272" s="311" t="str">
        <f>IF($F272="","",IFERROR(VLOOKUP($F272,SERVIÇOS!$B:$G,2,0),IFERROR(VLOOKUP($F272,'COMPOSIÇÕES COMPLEMENTARES '!$D:$L,2,0),IFERROR(VLOOKUP($F272,INSUMOS!$A:$D,2,0),""))))</f>
        <v>SIFÃO EXTRAVASOR, DN 100 MM</v>
      </c>
      <c r="H272" s="312" t="str">
        <f>IF($F272="","",IFERROR(VLOOKUP($F272,SERVIÇOS!$B:$G,3,0),IFERROR(VLOOKUP($F272,'COMPOSIÇÕES COMPLEMENTARES '!$D:$L,3,0),IFERROR(VLOOKUP($F272,INSUMOS!$A:$D,3,0),""))))</f>
        <v>UN</v>
      </c>
      <c r="I272" s="313">
        <v>1</v>
      </c>
      <c r="J272" s="314">
        <f>IF($F272="","",IFERROR(VLOOKUP($F272,SERVIÇOS!$B:$G,4,0),IFERROR(VLOOKUP($F272,'COMPOSIÇÕES COMPLEMENTARES '!$D:$L,6,0),IFERROR(VLOOKUP($F272,INSUMOS!$A:$D,4,0),""))))</f>
        <v>277</v>
      </c>
      <c r="K272" s="314">
        <f>IF($F272="","",IFERROR(VLOOKUP($F272,SERVIÇOS!$B:$G,5,0),IFERROR(VLOOKUP($F272,'COMPOSIÇÕES COMPLEMENTARES '!$D:$L,7,0),0)))</f>
        <v>24.3</v>
      </c>
      <c r="L272" s="314">
        <f t="shared" si="135"/>
        <v>301.3</v>
      </c>
      <c r="M272" s="314">
        <f t="shared" si="136"/>
        <v>277</v>
      </c>
      <c r="N272" s="314">
        <f t="shared" si="137"/>
        <v>24.3</v>
      </c>
      <c r="O272" s="314">
        <f t="shared" si="138"/>
        <v>301.3</v>
      </c>
      <c r="P272" s="314"/>
      <c r="Q272" s="315"/>
      <c r="R272" s="315"/>
      <c r="S272" s="286"/>
      <c r="T272" s="287"/>
      <c r="U272" s="288" t="str">
        <f t="shared" si="125"/>
        <v/>
      </c>
      <c r="V272" s="287"/>
      <c r="W272" s="289" t="str">
        <f t="shared" si="126"/>
        <v/>
      </c>
      <c r="X272" s="287"/>
      <c r="Y272" s="290" t="str">
        <f t="shared" si="127"/>
        <v/>
      </c>
      <c r="Z272" s="291">
        <f ca="1">SUMIF($T$8:Y$1018,"QUANT.",T272:Y272)</f>
        <v>0</v>
      </c>
      <c r="AA272" s="292">
        <f t="shared" ca="1" si="128"/>
        <v>0</v>
      </c>
      <c r="AB272" s="293" t="str">
        <f t="shared" ca="1" si="129"/>
        <v>MEDIR</v>
      </c>
      <c r="AC272" s="294">
        <f t="shared" ca="1" si="130"/>
        <v>1</v>
      </c>
      <c r="AD272" s="294">
        <f t="shared" ca="1" si="131"/>
        <v>301.3</v>
      </c>
      <c r="AE272" s="295"/>
      <c r="AF272" s="295"/>
      <c r="AG272" s="296"/>
      <c r="AH272" s="296"/>
      <c r="AI272" s="296"/>
      <c r="AJ272" s="325"/>
      <c r="AK272" s="325"/>
      <c r="AL272" s="325"/>
      <c r="AM272" s="325"/>
    </row>
    <row r="273" spans="1:39" x14ac:dyDescent="0.25">
      <c r="A273" s="232">
        <f t="shared" si="124"/>
        <v>273</v>
      </c>
      <c r="B273" s="232"/>
      <c r="C273" s="307" t="str">
        <f t="shared" si="132"/>
        <v>13.3</v>
      </c>
      <c r="D273" s="308">
        <f t="shared" si="133"/>
        <v>4</v>
      </c>
      <c r="E273" s="309" t="str">
        <f t="shared" si="134"/>
        <v>13.3.4</v>
      </c>
      <c r="F273" s="310" t="s">
        <v>12092</v>
      </c>
      <c r="G273" s="311" t="str">
        <f>IF($F273="","",IFERROR(VLOOKUP($F273,SERVIÇOS!$B:$G,2,0),IFERROR(VLOOKUP($F273,'COMPOSIÇÕES COMPLEMENTARES '!$D:$L,2,0),IFERROR(VLOOKUP($F273,INSUMOS!$A:$D,2,0),""))))</f>
        <v>SISTEMA REALIMENTADOR AUTOMÁTICO, CONTROLADOR DE ÁGUA POTÁVEL, DN 25 MM (Ø1")</v>
      </c>
      <c r="H273" s="312" t="str">
        <f>IF($F273="","",IFERROR(VLOOKUP($F273,SERVIÇOS!$B:$G,3,0),IFERROR(VLOOKUP($F273,'COMPOSIÇÕES COMPLEMENTARES '!$D:$L,3,0),IFERROR(VLOOKUP($F273,INSUMOS!$A:$D,3,0),""))))</f>
        <v>UN</v>
      </c>
      <c r="I273" s="313">
        <v>1</v>
      </c>
      <c r="J273" s="314">
        <f>IF($F273="","",IFERROR(VLOOKUP($F273,SERVIÇOS!$B:$G,4,0),IFERROR(VLOOKUP($F273,'COMPOSIÇÕES COMPLEMENTARES '!$D:$L,6,0),IFERROR(VLOOKUP($F273,INSUMOS!$A:$D,4,0),""))))</f>
        <v>459.32</v>
      </c>
      <c r="K273" s="314">
        <f>IF($F273="","",IFERROR(VLOOKUP($F273,SERVIÇOS!$B:$G,5,0),IFERROR(VLOOKUP($F273,'COMPOSIÇÕES COMPLEMENTARES '!$D:$L,7,0),0)))</f>
        <v>19.440000000000001</v>
      </c>
      <c r="L273" s="314">
        <f t="shared" si="135"/>
        <v>478.76</v>
      </c>
      <c r="M273" s="314">
        <f t="shared" si="136"/>
        <v>459.32</v>
      </c>
      <c r="N273" s="314">
        <f t="shared" si="137"/>
        <v>19.440000000000001</v>
      </c>
      <c r="O273" s="314">
        <f t="shared" si="138"/>
        <v>478.76</v>
      </c>
      <c r="P273" s="314"/>
      <c r="Q273" s="315"/>
      <c r="R273" s="315"/>
      <c r="S273" s="286"/>
      <c r="T273" s="287"/>
      <c r="U273" s="288" t="str">
        <f t="shared" si="125"/>
        <v/>
      </c>
      <c r="V273" s="287"/>
      <c r="W273" s="289" t="str">
        <f t="shared" si="126"/>
        <v/>
      </c>
      <c r="X273" s="287"/>
      <c r="Y273" s="290" t="str">
        <f t="shared" si="127"/>
        <v/>
      </c>
      <c r="Z273" s="291">
        <f ca="1">SUMIF($T$8:Y$1018,"QUANT.",T273:Y273)</f>
        <v>0</v>
      </c>
      <c r="AA273" s="292">
        <f t="shared" ca="1" si="128"/>
        <v>0</v>
      </c>
      <c r="AB273" s="293" t="str">
        <f t="shared" ca="1" si="129"/>
        <v>MEDIR</v>
      </c>
      <c r="AC273" s="294">
        <f t="shared" ca="1" si="130"/>
        <v>1</v>
      </c>
      <c r="AD273" s="294">
        <f t="shared" ca="1" si="131"/>
        <v>478.76</v>
      </c>
      <c r="AE273" s="295"/>
      <c r="AF273" s="295"/>
      <c r="AG273" s="296"/>
      <c r="AH273" s="296"/>
      <c r="AI273" s="296"/>
      <c r="AJ273" s="325"/>
      <c r="AK273" s="325"/>
      <c r="AL273" s="325"/>
      <c r="AM273" s="325"/>
    </row>
    <row r="274" spans="1:39" x14ac:dyDescent="0.25">
      <c r="A274" s="232">
        <f t="shared" si="124"/>
        <v>274</v>
      </c>
      <c r="B274" s="232"/>
      <c r="C274" s="307" t="str">
        <f t="shared" si="132"/>
        <v>13.3</v>
      </c>
      <c r="D274" s="308">
        <f t="shared" si="133"/>
        <v>5</v>
      </c>
      <c r="E274" s="309" t="str">
        <f t="shared" si="134"/>
        <v>13.3.5</v>
      </c>
      <c r="F274" s="310" t="s">
        <v>12093</v>
      </c>
      <c r="G274" s="311" t="str">
        <f>IF($F274="","",IFERROR(VLOOKUP($F274,SERVIÇOS!$B:$G,2,0),IFERROR(VLOOKUP($F274,'COMPOSIÇÕES COMPLEMENTARES '!$D:$L,2,0),IFERROR(VLOOKUP($F274,INSUMOS!$A:$D,2,0),""))))</f>
        <v>SUPORTE METÁLICO PARA OS FILTROS DE APROVEITAMENTO DE ÁGUA DE CHUVA</v>
      </c>
      <c r="H274" s="312" t="str">
        <f>IF($F274="","",IFERROR(VLOOKUP($F274,SERVIÇOS!$B:$G,3,0),IFERROR(VLOOKUP($F274,'COMPOSIÇÕES COMPLEMENTARES '!$D:$L,3,0),IFERROR(VLOOKUP($F274,INSUMOS!$A:$D,3,0),""))))</f>
        <v>UN</v>
      </c>
      <c r="I274" s="313">
        <v>1</v>
      </c>
      <c r="J274" s="314">
        <f>IF($F274="","",IFERROR(VLOOKUP($F274,SERVIÇOS!$B:$G,4,0),IFERROR(VLOOKUP($F274,'COMPOSIÇÕES COMPLEMENTARES '!$D:$L,6,0),IFERROR(VLOOKUP($F274,INSUMOS!$A:$D,4,0),""))))</f>
        <v>57.82</v>
      </c>
      <c r="K274" s="314">
        <f>IF($F274="","",IFERROR(VLOOKUP($F274,SERVIÇOS!$B:$G,5,0),IFERROR(VLOOKUP($F274,'COMPOSIÇÕES COMPLEMENTARES '!$D:$L,7,0),0)))</f>
        <v>48.61</v>
      </c>
      <c r="L274" s="314">
        <f t="shared" si="135"/>
        <v>106.43</v>
      </c>
      <c r="M274" s="314">
        <f t="shared" si="136"/>
        <v>57.82</v>
      </c>
      <c r="N274" s="314">
        <f t="shared" si="137"/>
        <v>48.61</v>
      </c>
      <c r="O274" s="314">
        <f t="shared" si="138"/>
        <v>106.43</v>
      </c>
      <c r="P274" s="314"/>
      <c r="Q274" s="315"/>
      <c r="R274" s="315"/>
      <c r="S274" s="286"/>
      <c r="T274" s="287"/>
      <c r="U274" s="288" t="str">
        <f t="shared" si="125"/>
        <v/>
      </c>
      <c r="V274" s="287"/>
      <c r="W274" s="289" t="str">
        <f t="shared" si="126"/>
        <v/>
      </c>
      <c r="X274" s="287"/>
      <c r="Y274" s="290" t="str">
        <f t="shared" si="127"/>
        <v/>
      </c>
      <c r="Z274" s="291">
        <f ca="1">SUMIF($T$8:Y$1018,"QUANT.",T274:Y274)</f>
        <v>0</v>
      </c>
      <c r="AA274" s="292">
        <f t="shared" ca="1" si="128"/>
        <v>0</v>
      </c>
      <c r="AB274" s="293" t="str">
        <f t="shared" ca="1" si="129"/>
        <v>MEDIR</v>
      </c>
      <c r="AC274" s="294">
        <f t="shared" ca="1" si="130"/>
        <v>1</v>
      </c>
      <c r="AD274" s="294">
        <f t="shared" ca="1" si="131"/>
        <v>106.43</v>
      </c>
      <c r="AE274" s="295"/>
      <c r="AF274" s="295"/>
      <c r="AG274" s="296"/>
      <c r="AH274" s="296"/>
      <c r="AI274" s="296"/>
      <c r="AJ274" s="325"/>
      <c r="AK274" s="325"/>
      <c r="AL274" s="325"/>
      <c r="AM274" s="325"/>
    </row>
    <row r="275" spans="1:39" x14ac:dyDescent="0.25">
      <c r="A275" s="232">
        <f t="shared" si="124"/>
        <v>275</v>
      </c>
      <c r="B275" s="232"/>
      <c r="C275" s="307" t="str">
        <f t="shared" si="132"/>
        <v>13.3</v>
      </c>
      <c r="D275" s="308">
        <f t="shared" si="133"/>
        <v>6</v>
      </c>
      <c r="E275" s="309" t="str">
        <f t="shared" si="134"/>
        <v>13.3.6</v>
      </c>
      <c r="F275" s="310">
        <v>95675</v>
      </c>
      <c r="G275" s="311" t="str">
        <f>IF($F275="","",IFERROR(VLOOKUP($F275,SERVIÇOS!$B:$G,2,0),IFERROR(VLOOKUP($F275,'COMPOSIÇÕES COMPLEMENTARES '!$D:$L,2,0),IFERROR(VLOOKUP($F275,INSUMOS!$A:$D,2,0),""))))</f>
        <v>HIDRÔMETRO DN 3/4", 5,0 M3/H - FORNECIMENTO E INSTALAÇÃO. AF_03/2024</v>
      </c>
      <c r="H275" s="312" t="str">
        <f>IF($F275="","",IFERROR(VLOOKUP($F275,SERVIÇOS!$B:$G,3,0),IFERROR(VLOOKUP($F275,'COMPOSIÇÕES COMPLEMENTARES '!$D:$L,3,0),IFERROR(VLOOKUP($F275,INSUMOS!$A:$D,3,0),""))))</f>
        <v>UN</v>
      </c>
      <c r="I275" s="313">
        <v>1</v>
      </c>
      <c r="J275" s="314">
        <f>IF($F275="","",IFERROR(VLOOKUP($F275,SERVIÇOS!$B:$G,4,0),IFERROR(VLOOKUP($F275,'COMPOSIÇÕES COMPLEMENTARES '!$D:$L,6,0),IFERROR(VLOOKUP($F275,INSUMOS!$A:$D,4,0),""))))</f>
        <v>133.68</v>
      </c>
      <c r="K275" s="314">
        <f>IF($F275="","",IFERROR(VLOOKUP($F275,SERVIÇOS!$B:$G,5,0),IFERROR(VLOOKUP($F275,'COMPOSIÇÕES COMPLEMENTARES '!$D:$L,7,0),0)))</f>
        <v>25.97</v>
      </c>
      <c r="L275" s="314">
        <f t="shared" si="135"/>
        <v>159.65</v>
      </c>
      <c r="M275" s="314">
        <f t="shared" si="136"/>
        <v>133.68</v>
      </c>
      <c r="N275" s="314">
        <f t="shared" si="137"/>
        <v>25.97</v>
      </c>
      <c r="O275" s="314">
        <f t="shared" si="138"/>
        <v>159.65</v>
      </c>
      <c r="P275" s="314"/>
      <c r="Q275" s="315"/>
      <c r="R275" s="315"/>
      <c r="S275" s="286"/>
      <c r="T275" s="287"/>
      <c r="U275" s="288" t="str">
        <f t="shared" si="125"/>
        <v/>
      </c>
      <c r="V275" s="287"/>
      <c r="W275" s="289" t="str">
        <f t="shared" si="126"/>
        <v/>
      </c>
      <c r="X275" s="287"/>
      <c r="Y275" s="290" t="str">
        <f t="shared" si="127"/>
        <v/>
      </c>
      <c r="Z275" s="291">
        <f ca="1">SUMIF($T$8:Y$1018,"QUANT.",T275:Y275)</f>
        <v>0</v>
      </c>
      <c r="AA275" s="292">
        <f t="shared" ca="1" si="128"/>
        <v>0</v>
      </c>
      <c r="AB275" s="293" t="str">
        <f t="shared" ca="1" si="129"/>
        <v>MEDIR</v>
      </c>
      <c r="AC275" s="294">
        <f t="shared" ca="1" si="130"/>
        <v>1</v>
      </c>
      <c r="AD275" s="294">
        <f t="shared" ca="1" si="131"/>
        <v>159.65</v>
      </c>
      <c r="AE275" s="295"/>
      <c r="AF275" s="295"/>
      <c r="AG275" s="296"/>
      <c r="AH275" s="296"/>
      <c r="AI275" s="296"/>
      <c r="AJ275" s="325"/>
      <c r="AK275" s="325"/>
      <c r="AL275" s="325"/>
      <c r="AM275" s="325"/>
    </row>
    <row r="276" spans="1:39" x14ac:dyDescent="0.25">
      <c r="A276" s="232">
        <f t="shared" si="124"/>
        <v>276</v>
      </c>
      <c r="B276" s="232"/>
      <c r="C276" s="316" t="str">
        <f>+E276</f>
        <v>13.4</v>
      </c>
      <c r="D276" s="297"/>
      <c r="E276" s="317" t="s">
        <v>12094</v>
      </c>
      <c r="F276" s="317"/>
      <c r="G276" s="318" t="s">
        <v>12095</v>
      </c>
      <c r="H276" s="317"/>
      <c r="I276" s="319"/>
      <c r="J276" s="317"/>
      <c r="K276" s="317"/>
      <c r="L276" s="317"/>
      <c r="M276" s="317"/>
      <c r="N276" s="317"/>
      <c r="O276" s="317"/>
      <c r="P276" s="317"/>
      <c r="Q276" s="320"/>
      <c r="R276" s="306"/>
      <c r="S276" s="286"/>
      <c r="T276" s="287"/>
      <c r="U276" s="288" t="str">
        <f t="shared" si="125"/>
        <v/>
      </c>
      <c r="V276" s="287"/>
      <c r="W276" s="289" t="str">
        <f t="shared" si="126"/>
        <v/>
      </c>
      <c r="X276" s="287"/>
      <c r="Y276" s="290" t="str">
        <f t="shared" si="127"/>
        <v/>
      </c>
      <c r="Z276" s="291">
        <f ca="1">SUMIF($T$8:Y$1018,"QUANT.",T276:Y276)</f>
        <v>0</v>
      </c>
      <c r="AA276" s="292">
        <f t="shared" ca="1" si="128"/>
        <v>0</v>
      </c>
      <c r="AB276" s="293" t="str">
        <f t="shared" si="129"/>
        <v/>
      </c>
      <c r="AC276" s="294">
        <f t="shared" ca="1" si="130"/>
        <v>0</v>
      </c>
      <c r="AD276" s="294">
        <f t="shared" ca="1" si="131"/>
        <v>0</v>
      </c>
      <c r="AE276" s="295"/>
      <c r="AF276" s="295"/>
      <c r="AG276" s="296"/>
      <c r="AH276" s="296"/>
      <c r="AI276" s="296"/>
      <c r="AJ276" s="325"/>
      <c r="AK276" s="325"/>
      <c r="AL276" s="325"/>
      <c r="AM276" s="325"/>
    </row>
    <row r="277" spans="1:39" x14ac:dyDescent="0.25">
      <c r="A277" s="232">
        <f t="shared" si="124"/>
        <v>277</v>
      </c>
      <c r="B277" s="232"/>
      <c r="C277" s="307" t="str">
        <f>+C276</f>
        <v>13.4</v>
      </c>
      <c r="D277" s="308">
        <f>1+D276</f>
        <v>1</v>
      </c>
      <c r="E277" s="309" t="str">
        <f>C277&amp;"."&amp;D277</f>
        <v>13.4.1</v>
      </c>
      <c r="F277" s="310">
        <v>102137</v>
      </c>
      <c r="G277" s="311" t="str">
        <f>IF($F277="","",IFERROR(VLOOKUP($F277,SERVIÇOS!$B:$G,2,0),IFERROR(VLOOKUP($F277,'COMPOSIÇÕES COMPLEMENTARES '!$D:$L,2,0),IFERROR(VLOOKUP($F277,INSUMOS!$A:$D,2,0),""))))</f>
        <v>CHAVE DE BOIA AUTOMÁTICA SUPERIOR/INFERIOR 15A/250V - FORNECIMENTO E INSTALAÇÃO. AF_12/2020</v>
      </c>
      <c r="H277" s="312" t="str">
        <f>IF($F277="","",IFERROR(VLOOKUP($F277,SERVIÇOS!$B:$G,3,0),IFERROR(VLOOKUP($F277,'COMPOSIÇÕES COMPLEMENTARES '!$D:$L,3,0),IFERROR(VLOOKUP($F277,INSUMOS!$A:$D,3,0),""))))</f>
        <v>UN</v>
      </c>
      <c r="I277" s="313">
        <v>1</v>
      </c>
      <c r="J277" s="314">
        <f>IF($F277="","",IFERROR(VLOOKUP($F277,SERVIÇOS!$B:$G,4,0),IFERROR(VLOOKUP($F277,'COMPOSIÇÕES COMPLEMENTARES '!$D:$L,6,0),IFERROR(VLOOKUP($F277,INSUMOS!$A:$D,4,0),""))))</f>
        <v>57.94</v>
      </c>
      <c r="K277" s="314">
        <f>IF($F277="","",IFERROR(VLOOKUP($F277,SERVIÇOS!$B:$G,5,0),IFERROR(VLOOKUP($F277,'COMPOSIÇÕES COMPLEMENTARES '!$D:$L,7,0),0)))</f>
        <v>31.36</v>
      </c>
      <c r="L277" s="314">
        <f>IF(I277="","",J277+K277)</f>
        <v>89.3</v>
      </c>
      <c r="M277" s="314">
        <f>IF(I277="","",TRUNC((I277*J277),2))</f>
        <v>57.94</v>
      </c>
      <c r="N277" s="314">
        <f>IF(I277="","",TRUNC((I277*K277),2))</f>
        <v>31.36</v>
      </c>
      <c r="O277" s="314">
        <f>IF(I277="","",TRUNC((M277+N277),2))</f>
        <v>89.3</v>
      </c>
      <c r="P277" s="314"/>
      <c r="Q277" s="315"/>
      <c r="R277" s="315"/>
      <c r="S277" s="286"/>
      <c r="T277" s="287"/>
      <c r="U277" s="288" t="str">
        <f t="shared" si="125"/>
        <v/>
      </c>
      <c r="V277" s="287"/>
      <c r="W277" s="289" t="str">
        <f t="shared" si="126"/>
        <v/>
      </c>
      <c r="X277" s="287"/>
      <c r="Y277" s="290" t="str">
        <f t="shared" si="127"/>
        <v/>
      </c>
      <c r="Z277" s="291">
        <f ca="1">SUMIF($T$8:Y$1018,"QUANT.",T277:Y277)</f>
        <v>0</v>
      </c>
      <c r="AA277" s="292">
        <f t="shared" ca="1" si="128"/>
        <v>0</v>
      </c>
      <c r="AB277" s="293" t="str">
        <f t="shared" ca="1" si="129"/>
        <v>MEDIR</v>
      </c>
      <c r="AC277" s="294">
        <f t="shared" ca="1" si="130"/>
        <v>1</v>
      </c>
      <c r="AD277" s="294">
        <f t="shared" ca="1" si="131"/>
        <v>89.3</v>
      </c>
      <c r="AE277" s="295"/>
      <c r="AF277" s="295"/>
      <c r="AG277" s="296"/>
      <c r="AH277" s="296"/>
      <c r="AI277" s="296"/>
      <c r="AJ277" s="325"/>
      <c r="AK277" s="325"/>
      <c r="AL277" s="325"/>
      <c r="AM277" s="325"/>
    </row>
    <row r="278" spans="1:39" x14ac:dyDescent="0.25">
      <c r="A278" s="232">
        <f t="shared" si="124"/>
        <v>278</v>
      </c>
      <c r="B278" s="232"/>
      <c r="C278" s="307" t="str">
        <f>+C277</f>
        <v>13.4</v>
      </c>
      <c r="D278" s="308">
        <f>1+D277</f>
        <v>2</v>
      </c>
      <c r="E278" s="309" t="str">
        <f>C278&amp;"."&amp;D278</f>
        <v>13.4.2</v>
      </c>
      <c r="F278" s="310">
        <v>94797</v>
      </c>
      <c r="G278" s="311" t="str">
        <f>IF($F278="","",IFERROR(VLOOKUP($F278,SERVIÇOS!$B:$G,2,0),IFERROR(VLOOKUP($F278,'COMPOSIÇÕES COMPLEMENTARES '!$D:$L,2,0),IFERROR(VLOOKUP($F278,INSUMOS!$A:$D,2,0),""))))</f>
        <v>TORNEIRA DE BOIA PARA CAIXA D'ÁGUA, ROSCÁVEL, 1" - FORNECIMENTO E INSTALAÇÃO. AF_08/2021</v>
      </c>
      <c r="H278" s="312" t="str">
        <f>IF($F278="","",IFERROR(VLOOKUP($F278,SERVIÇOS!$B:$G,3,0),IFERROR(VLOOKUP($F278,'COMPOSIÇÕES COMPLEMENTARES '!$D:$L,3,0),IFERROR(VLOOKUP($F278,INSUMOS!$A:$D,3,0),""))))</f>
        <v>UN</v>
      </c>
      <c r="I278" s="313">
        <v>3</v>
      </c>
      <c r="J278" s="314">
        <f>IF($F278="","",IFERROR(VLOOKUP($F278,SERVIÇOS!$B:$G,4,0),IFERROR(VLOOKUP($F278,'COMPOSIÇÕES COMPLEMENTARES '!$D:$L,6,0),IFERROR(VLOOKUP($F278,INSUMOS!$A:$D,4,0),""))))</f>
        <v>81.7</v>
      </c>
      <c r="K278" s="314">
        <f>IF($F278="","",IFERROR(VLOOKUP($F278,SERVIÇOS!$B:$G,5,0),IFERROR(VLOOKUP($F278,'COMPOSIÇÕES COMPLEMENTARES '!$D:$L,7,0),0)))</f>
        <v>12.45</v>
      </c>
      <c r="L278" s="314">
        <f>IF(I278="","",J278+K278)</f>
        <v>94.15</v>
      </c>
      <c r="M278" s="314">
        <f>IF(I278="","",TRUNC((I278*J278),2))</f>
        <v>245.1</v>
      </c>
      <c r="N278" s="314">
        <f>IF(I278="","",TRUNC((I278*K278),2))</f>
        <v>37.35</v>
      </c>
      <c r="O278" s="314">
        <f>IF(I278="","",TRUNC((M278+N278),2))</f>
        <v>282.45</v>
      </c>
      <c r="P278" s="314"/>
      <c r="Q278" s="315"/>
      <c r="R278" s="315"/>
      <c r="S278" s="286"/>
      <c r="T278" s="287"/>
      <c r="U278" s="288" t="str">
        <f t="shared" si="125"/>
        <v/>
      </c>
      <c r="V278" s="287"/>
      <c r="W278" s="289" t="str">
        <f t="shared" si="126"/>
        <v/>
      </c>
      <c r="X278" s="287"/>
      <c r="Y278" s="290" t="str">
        <f t="shared" si="127"/>
        <v/>
      </c>
      <c r="Z278" s="291">
        <f ca="1">SUMIF($T$8:Y$1018,"QUANT.",T278:Y278)</f>
        <v>0</v>
      </c>
      <c r="AA278" s="292">
        <f t="shared" ca="1" si="128"/>
        <v>0</v>
      </c>
      <c r="AB278" s="293" t="str">
        <f t="shared" ca="1" si="129"/>
        <v>MEDIR</v>
      </c>
      <c r="AC278" s="294">
        <f t="shared" ca="1" si="130"/>
        <v>3</v>
      </c>
      <c r="AD278" s="294">
        <f t="shared" ca="1" si="131"/>
        <v>282.45</v>
      </c>
      <c r="AE278" s="295"/>
      <c r="AF278" s="295"/>
      <c r="AG278" s="296"/>
      <c r="AH278" s="296"/>
      <c r="AI278" s="296"/>
      <c r="AJ278" s="325"/>
      <c r="AK278" s="325"/>
      <c r="AL278" s="325"/>
      <c r="AM278" s="325"/>
    </row>
    <row r="279" spans="1:39" x14ac:dyDescent="0.25">
      <c r="A279" s="232">
        <f t="shared" si="124"/>
        <v>279</v>
      </c>
      <c r="B279" s="232"/>
      <c r="C279" s="307" t="str">
        <f>+C278</f>
        <v>13.4</v>
      </c>
      <c r="D279" s="308">
        <f>1+D278</f>
        <v>3</v>
      </c>
      <c r="E279" s="309" t="str">
        <f>C279&amp;"."&amp;D279</f>
        <v>13.4.3</v>
      </c>
      <c r="F279" s="310" t="s">
        <v>12096</v>
      </c>
      <c r="G279" s="311" t="str">
        <f>IF($F279="","",IFERROR(VLOOKUP($F279,SERVIÇOS!$B:$G,2,0),IFERROR(VLOOKUP($F279,'COMPOSIÇÕES COMPLEMENTARES '!$D:$L,2,0),IFERROR(VLOOKUP($F279,INSUMOS!$A:$D,2,0),""))))</f>
        <v>RESERVATÓRIO EM POLIETILENO, VOLUME TOTAL DE 3.000 LITROS. ∅170CM e ALTURA = 160CM</v>
      </c>
      <c r="H279" s="312" t="str">
        <f>IF($F279="","",IFERROR(VLOOKUP($F279,SERVIÇOS!$B:$G,3,0),IFERROR(VLOOKUP($F279,'COMPOSIÇÕES COMPLEMENTARES '!$D:$L,3,0),IFERROR(VLOOKUP($F279,INSUMOS!$A:$D,3,0),""))))</f>
        <v>UN</v>
      </c>
      <c r="I279" s="313">
        <v>2</v>
      </c>
      <c r="J279" s="314">
        <f>IF($F279="","",IFERROR(VLOOKUP($F279,SERVIÇOS!$B:$G,4,0),IFERROR(VLOOKUP($F279,'COMPOSIÇÕES COMPLEMENTARES '!$D:$L,6,0),IFERROR(VLOOKUP($F279,INSUMOS!$A:$D,4,0),""))))</f>
        <v>1971.62</v>
      </c>
      <c r="K279" s="314">
        <f>IF($F279="","",IFERROR(VLOOKUP($F279,SERVIÇOS!$B:$G,5,0),IFERROR(VLOOKUP($F279,'COMPOSIÇÕES COMPLEMENTARES '!$D:$L,7,0),0)))</f>
        <v>59.15</v>
      </c>
      <c r="L279" s="314">
        <f>IF(I279="","",J279+K279)</f>
        <v>2030.77</v>
      </c>
      <c r="M279" s="314">
        <f>IF(I279="","",TRUNC((I279*J279),2))</f>
        <v>3943.24</v>
      </c>
      <c r="N279" s="314">
        <f>IF(I279="","",TRUNC((I279*K279),2))</f>
        <v>118.3</v>
      </c>
      <c r="O279" s="314">
        <f>IF(I279="","",TRUNC((M279+N279),2))</f>
        <v>4061.54</v>
      </c>
      <c r="P279" s="314"/>
      <c r="Q279" s="315"/>
      <c r="R279" s="315"/>
      <c r="S279" s="286"/>
      <c r="T279" s="287"/>
      <c r="U279" s="288" t="str">
        <f t="shared" si="125"/>
        <v/>
      </c>
      <c r="V279" s="287"/>
      <c r="W279" s="289" t="str">
        <f t="shared" si="126"/>
        <v/>
      </c>
      <c r="X279" s="287"/>
      <c r="Y279" s="290" t="str">
        <f t="shared" si="127"/>
        <v/>
      </c>
      <c r="Z279" s="291">
        <f ca="1">SUMIF($T$8:Y$1018,"QUANT.",T279:Y279)</f>
        <v>0</v>
      </c>
      <c r="AA279" s="292">
        <f t="shared" ca="1" si="128"/>
        <v>0</v>
      </c>
      <c r="AB279" s="293" t="str">
        <f t="shared" ca="1" si="129"/>
        <v>MEDIR</v>
      </c>
      <c r="AC279" s="294">
        <f t="shared" ca="1" si="130"/>
        <v>2</v>
      </c>
      <c r="AD279" s="294">
        <f t="shared" ca="1" si="131"/>
        <v>4061.54</v>
      </c>
      <c r="AE279" s="295"/>
      <c r="AF279" s="295"/>
      <c r="AG279" s="296"/>
      <c r="AH279" s="296"/>
      <c r="AI279" s="296"/>
      <c r="AJ279" s="325"/>
      <c r="AK279" s="325"/>
      <c r="AL279" s="325"/>
      <c r="AM279" s="325"/>
    </row>
    <row r="280" spans="1:39" x14ac:dyDescent="0.25">
      <c r="A280" s="232">
        <f t="shared" si="124"/>
        <v>280</v>
      </c>
      <c r="B280" s="232"/>
      <c r="C280" s="307" t="str">
        <f>+C279</f>
        <v>13.4</v>
      </c>
      <c r="D280" s="308">
        <f>1+D279</f>
        <v>4</v>
      </c>
      <c r="E280" s="309" t="str">
        <f>C280&amp;"."&amp;D280</f>
        <v>13.4.4</v>
      </c>
      <c r="F280" s="310" t="s">
        <v>12097</v>
      </c>
      <c r="G280" s="311" t="str">
        <f>IF($F280="","",IFERROR(VLOOKUP($F280,SERVIÇOS!$B:$G,2,0),IFERROR(VLOOKUP($F280,'COMPOSIÇÕES COMPLEMENTARES '!$D:$L,2,0),IFERROR(VLOOKUP($F280,INSUMOS!$A:$D,2,0),""))))</f>
        <v>RESERVATÓRIO EM POLIETILENO, VOLUME TOTAL DE 5.000 LITROS. ∅TAMPA 170CM e ALTURA =205CM</v>
      </c>
      <c r="H280" s="312" t="str">
        <f>IF($F280="","",IFERROR(VLOOKUP($F280,SERVIÇOS!$B:$G,3,0),IFERROR(VLOOKUP($F280,'COMPOSIÇÕES COMPLEMENTARES '!$D:$L,3,0),IFERROR(VLOOKUP($F280,INSUMOS!$A:$D,3,0),""))))</f>
        <v>UN</v>
      </c>
      <c r="I280" s="313">
        <v>1</v>
      </c>
      <c r="J280" s="314">
        <f>IF($F280="","",IFERROR(VLOOKUP($F280,SERVIÇOS!$B:$G,4,0),IFERROR(VLOOKUP($F280,'COMPOSIÇÕES COMPLEMENTARES '!$D:$L,6,0),IFERROR(VLOOKUP($F280,INSUMOS!$A:$D,4,0),""))))</f>
        <v>3210.36</v>
      </c>
      <c r="K280" s="314">
        <f>IF($F280="","",IFERROR(VLOOKUP($F280,SERVIÇOS!$B:$G,5,0),IFERROR(VLOOKUP($F280,'COMPOSIÇÕES COMPLEMENTARES '!$D:$L,7,0),0)))</f>
        <v>69.69</v>
      </c>
      <c r="L280" s="314">
        <f>IF(I280="","",J280+K280)</f>
        <v>3280.05</v>
      </c>
      <c r="M280" s="314">
        <f>IF(I280="","",TRUNC((I280*J280),2))</f>
        <v>3210.36</v>
      </c>
      <c r="N280" s="314">
        <f>IF(I280="","",TRUNC((I280*K280),2))</f>
        <v>69.69</v>
      </c>
      <c r="O280" s="314">
        <f>IF(I280="","",TRUNC((M280+N280),2))</f>
        <v>3280.05</v>
      </c>
      <c r="P280" s="314"/>
      <c r="Q280" s="315"/>
      <c r="R280" s="315"/>
      <c r="S280" s="286"/>
      <c r="T280" s="287"/>
      <c r="U280" s="288" t="str">
        <f t="shared" si="125"/>
        <v/>
      </c>
      <c r="V280" s="287"/>
      <c r="W280" s="289" t="str">
        <f t="shared" si="126"/>
        <v/>
      </c>
      <c r="X280" s="287"/>
      <c r="Y280" s="290" t="str">
        <f t="shared" si="127"/>
        <v/>
      </c>
      <c r="Z280" s="291">
        <f ca="1">SUMIF($T$8:Y$1018,"QUANT.",T280:Y280)</f>
        <v>0</v>
      </c>
      <c r="AA280" s="292">
        <f t="shared" ca="1" si="128"/>
        <v>0</v>
      </c>
      <c r="AB280" s="293" t="str">
        <f t="shared" ca="1" si="129"/>
        <v>MEDIR</v>
      </c>
      <c r="AC280" s="294">
        <f t="shared" ca="1" si="130"/>
        <v>1</v>
      </c>
      <c r="AD280" s="294">
        <f t="shared" ca="1" si="131"/>
        <v>3280.05</v>
      </c>
      <c r="AE280" s="295"/>
      <c r="AF280" s="295"/>
      <c r="AG280" s="296"/>
      <c r="AH280" s="296"/>
      <c r="AI280" s="296"/>
      <c r="AJ280" s="325"/>
      <c r="AK280" s="325"/>
      <c r="AL280" s="325"/>
      <c r="AM280" s="325"/>
    </row>
    <row r="281" spans="1:39" x14ac:dyDescent="0.25">
      <c r="A281" s="232">
        <f t="shared" si="124"/>
        <v>281</v>
      </c>
      <c r="B281" s="232"/>
      <c r="C281" s="316" t="str">
        <f>+E281</f>
        <v>13.5</v>
      </c>
      <c r="D281" s="297"/>
      <c r="E281" s="317" t="s">
        <v>12098</v>
      </c>
      <c r="F281" s="317"/>
      <c r="G281" s="318" t="s">
        <v>12099</v>
      </c>
      <c r="H281" s="317"/>
      <c r="I281" s="319"/>
      <c r="J281" s="317"/>
      <c r="K281" s="317"/>
      <c r="L281" s="317"/>
      <c r="M281" s="317"/>
      <c r="N281" s="317"/>
      <c r="O281" s="317"/>
      <c r="P281" s="317"/>
      <c r="Q281" s="320"/>
      <c r="R281" s="306"/>
      <c r="S281" s="286"/>
      <c r="T281" s="287"/>
      <c r="U281" s="288" t="str">
        <f t="shared" si="125"/>
        <v/>
      </c>
      <c r="V281" s="287"/>
      <c r="W281" s="289" t="str">
        <f t="shared" si="126"/>
        <v/>
      </c>
      <c r="X281" s="287"/>
      <c r="Y281" s="290" t="str">
        <f t="shared" si="127"/>
        <v/>
      </c>
      <c r="Z281" s="291">
        <f ca="1">SUMIF($T$8:Y$1018,"QUANT.",T281:Y281)</f>
        <v>0</v>
      </c>
      <c r="AA281" s="292">
        <f t="shared" ca="1" si="128"/>
        <v>0</v>
      </c>
      <c r="AB281" s="293" t="str">
        <f t="shared" si="129"/>
        <v/>
      </c>
      <c r="AC281" s="294">
        <f t="shared" ca="1" si="130"/>
        <v>0</v>
      </c>
      <c r="AD281" s="294">
        <f t="shared" ca="1" si="131"/>
        <v>0</v>
      </c>
      <c r="AE281" s="295"/>
      <c r="AF281" s="295"/>
      <c r="AG281" s="296"/>
      <c r="AH281" s="296"/>
      <c r="AI281" s="296"/>
      <c r="AJ281" s="325"/>
      <c r="AK281" s="325"/>
      <c r="AL281" s="325"/>
      <c r="AM281" s="325"/>
    </row>
    <row r="282" spans="1:39" x14ac:dyDescent="0.25">
      <c r="A282" s="232">
        <f t="shared" si="124"/>
        <v>282</v>
      </c>
      <c r="B282" s="232"/>
      <c r="C282" s="316" t="str">
        <f>+E282</f>
        <v>13.6</v>
      </c>
      <c r="D282" s="297"/>
      <c r="E282" s="317" t="s">
        <v>12100</v>
      </c>
      <c r="F282" s="317"/>
      <c r="G282" s="318" t="s">
        <v>12101</v>
      </c>
      <c r="H282" s="317"/>
      <c r="I282" s="319"/>
      <c r="J282" s="317"/>
      <c r="K282" s="317"/>
      <c r="L282" s="317"/>
      <c r="M282" s="317"/>
      <c r="N282" s="317"/>
      <c r="O282" s="317"/>
      <c r="P282" s="317"/>
      <c r="Q282" s="320"/>
      <c r="R282" s="306"/>
      <c r="S282" s="286"/>
      <c r="T282" s="287"/>
      <c r="U282" s="288" t="str">
        <f t="shared" si="125"/>
        <v/>
      </c>
      <c r="V282" s="287"/>
      <c r="W282" s="289" t="str">
        <f t="shared" si="126"/>
        <v/>
      </c>
      <c r="X282" s="287"/>
      <c r="Y282" s="290" t="str">
        <f t="shared" si="127"/>
        <v/>
      </c>
      <c r="Z282" s="291">
        <f ca="1">SUMIF($T$8:Y$1018,"QUANT.",T282:Y282)</f>
        <v>0</v>
      </c>
      <c r="AA282" s="292">
        <f t="shared" ca="1" si="128"/>
        <v>0</v>
      </c>
      <c r="AB282" s="293" t="str">
        <f t="shared" si="129"/>
        <v/>
      </c>
      <c r="AC282" s="294">
        <f t="shared" ca="1" si="130"/>
        <v>0</v>
      </c>
      <c r="AD282" s="294">
        <f t="shared" ca="1" si="131"/>
        <v>0</v>
      </c>
      <c r="AE282" s="295"/>
      <c r="AF282" s="295"/>
      <c r="AG282" s="296"/>
      <c r="AH282" s="296"/>
      <c r="AI282" s="296"/>
      <c r="AJ282" s="325"/>
      <c r="AK282" s="325"/>
      <c r="AL282" s="325"/>
      <c r="AM282" s="325"/>
    </row>
    <row r="283" spans="1:39" x14ac:dyDescent="0.25">
      <c r="A283" s="232">
        <f t="shared" si="124"/>
        <v>283</v>
      </c>
      <c r="B283" s="232"/>
      <c r="C283" s="307" t="str">
        <f t="shared" ref="C283:C288" si="139">+C282</f>
        <v>13.6</v>
      </c>
      <c r="D283" s="308">
        <f t="shared" ref="D283:D288" si="140">1+D282</f>
        <v>1</v>
      </c>
      <c r="E283" s="309" t="str">
        <f t="shared" ref="E283:E288" si="141">C283&amp;"."&amp;D283</f>
        <v>13.6.1</v>
      </c>
      <c r="F283" s="310" t="s">
        <v>12102</v>
      </c>
      <c r="G283" s="311" t="str">
        <f>IF($F283="","",IFERROR(VLOOKUP($F283,SERVIÇOS!$B:$G,2,0),IFERROR(VLOOKUP($F283,'COMPOSIÇÕES COMPLEMENTARES '!$D:$L,2,0),IFERROR(VLOOKUP($F283,INSUMOS!$A:$D,2,0),""))))</f>
        <v>TUBO DE PVC RÍGIDO SOLDÁVEL, INCLUSO CONEXÔES - D=25MM (3/4")</v>
      </c>
      <c r="H283" s="312" t="str">
        <f>IF($F283="","",IFERROR(VLOOKUP($F283,SERVIÇOS!$B:$G,3,0),IFERROR(VLOOKUP($F283,'COMPOSIÇÕES COMPLEMENTARES '!$D:$L,3,0),IFERROR(VLOOKUP($F283,INSUMOS!$A:$D,3,0),""))))</f>
        <v>M</v>
      </c>
      <c r="I283" s="313">
        <v>315</v>
      </c>
      <c r="J283" s="314">
        <f>IF($F283="","",IFERROR(VLOOKUP($F283,SERVIÇOS!$B:$G,4,0),IFERROR(VLOOKUP($F283,'COMPOSIÇÕES COMPLEMENTARES '!$D:$L,6,0),IFERROR(VLOOKUP($F283,INSUMOS!$A:$D,4,0),""))))</f>
        <v>12.57</v>
      </c>
      <c r="K283" s="314">
        <f>IF($F283="","",IFERROR(VLOOKUP($F283,SERVIÇOS!$B:$G,5,0),IFERROR(VLOOKUP($F283,'COMPOSIÇÕES COMPLEMENTARES '!$D:$L,7,0),0)))</f>
        <v>19.440000000000001</v>
      </c>
      <c r="L283" s="314">
        <f t="shared" ref="L283:L288" si="142">IF(I283="","",J283+K283)</f>
        <v>32.010000000000005</v>
      </c>
      <c r="M283" s="314">
        <f t="shared" ref="M283:M288" si="143">IF(I283="","",TRUNC((I283*J283),2))</f>
        <v>3959.55</v>
      </c>
      <c r="N283" s="314">
        <f t="shared" ref="N283:N288" si="144">IF(I283="","",TRUNC((I283*K283),2))</f>
        <v>6123.6</v>
      </c>
      <c r="O283" s="314">
        <f t="shared" ref="O283:O288" si="145">IF(I283="","",TRUNC((M283+N283),2))</f>
        <v>10083.15</v>
      </c>
      <c r="P283" s="314"/>
      <c r="Q283" s="315"/>
      <c r="R283" s="315"/>
      <c r="S283" s="286"/>
      <c r="T283" s="287"/>
      <c r="U283" s="288" t="str">
        <f t="shared" si="125"/>
        <v/>
      </c>
      <c r="V283" s="287"/>
      <c r="W283" s="289" t="str">
        <f t="shared" si="126"/>
        <v/>
      </c>
      <c r="X283" s="287"/>
      <c r="Y283" s="290" t="str">
        <f t="shared" si="127"/>
        <v/>
      </c>
      <c r="Z283" s="291">
        <f ca="1">SUMIF($T$8:Y$1018,"QUANT.",T283:Y283)</f>
        <v>0</v>
      </c>
      <c r="AA283" s="292">
        <f t="shared" ca="1" si="128"/>
        <v>0</v>
      </c>
      <c r="AB283" s="293" t="str">
        <f t="shared" ca="1" si="129"/>
        <v>MEDIR</v>
      </c>
      <c r="AC283" s="294">
        <f t="shared" ca="1" si="130"/>
        <v>315</v>
      </c>
      <c r="AD283" s="294">
        <f t="shared" ca="1" si="131"/>
        <v>10083.15</v>
      </c>
      <c r="AE283" s="295"/>
      <c r="AF283" s="295"/>
      <c r="AG283" s="296"/>
      <c r="AH283" s="296"/>
      <c r="AI283" s="296"/>
      <c r="AJ283" s="325"/>
      <c r="AK283" s="325"/>
      <c r="AL283" s="325"/>
      <c r="AM283" s="325"/>
    </row>
    <row r="284" spans="1:39" x14ac:dyDescent="0.25">
      <c r="A284" s="232">
        <f t="shared" si="124"/>
        <v>284</v>
      </c>
      <c r="B284" s="232"/>
      <c r="C284" s="307" t="str">
        <f t="shared" si="139"/>
        <v>13.6</v>
      </c>
      <c r="D284" s="308">
        <f t="shared" si="140"/>
        <v>2</v>
      </c>
      <c r="E284" s="309" t="str">
        <f t="shared" si="141"/>
        <v>13.6.2</v>
      </c>
      <c r="F284" s="310" t="s">
        <v>12103</v>
      </c>
      <c r="G284" s="311" t="str">
        <f>IF($F284="","",IFERROR(VLOOKUP($F284,SERVIÇOS!$B:$G,2,0),IFERROR(VLOOKUP($F284,'COMPOSIÇÕES COMPLEMENTARES '!$D:$L,2,0),IFERROR(VLOOKUP($F284,INSUMOS!$A:$D,2,0),""))))</f>
        <v>TUBO DE PVC RÍGIDO SOLDÁVEL, INCLUSO CONEXÔES - D=32MM (1")</v>
      </c>
      <c r="H284" s="312" t="str">
        <f>IF($F284="","",IFERROR(VLOOKUP($F284,SERVIÇOS!$B:$G,3,0),IFERROR(VLOOKUP($F284,'COMPOSIÇÕES COMPLEMENTARES '!$D:$L,3,0),IFERROR(VLOOKUP($F284,INSUMOS!$A:$D,3,0),""))))</f>
        <v>M</v>
      </c>
      <c r="I284" s="313">
        <v>114</v>
      </c>
      <c r="J284" s="314">
        <f>IF($F284="","",IFERROR(VLOOKUP($F284,SERVIÇOS!$B:$G,4,0),IFERROR(VLOOKUP($F284,'COMPOSIÇÕES COMPLEMENTARES '!$D:$L,6,0),IFERROR(VLOOKUP($F284,INSUMOS!$A:$D,4,0),""))))</f>
        <v>19.2</v>
      </c>
      <c r="K284" s="314">
        <f>IF($F284="","",IFERROR(VLOOKUP($F284,SERVIÇOS!$B:$G,5,0),IFERROR(VLOOKUP($F284,'COMPOSIÇÕES COMPLEMENTARES '!$D:$L,7,0),0)))</f>
        <v>21.86</v>
      </c>
      <c r="L284" s="314">
        <f t="shared" si="142"/>
        <v>41.06</v>
      </c>
      <c r="M284" s="314">
        <f t="shared" si="143"/>
        <v>2188.8000000000002</v>
      </c>
      <c r="N284" s="314">
        <f t="shared" si="144"/>
        <v>2492.04</v>
      </c>
      <c r="O284" s="314">
        <f t="shared" si="145"/>
        <v>4680.84</v>
      </c>
      <c r="P284" s="314"/>
      <c r="Q284" s="315"/>
      <c r="R284" s="315"/>
      <c r="S284" s="286"/>
      <c r="T284" s="287"/>
      <c r="U284" s="288" t="str">
        <f t="shared" si="125"/>
        <v/>
      </c>
      <c r="V284" s="287"/>
      <c r="W284" s="289" t="str">
        <f t="shared" si="126"/>
        <v/>
      </c>
      <c r="X284" s="287"/>
      <c r="Y284" s="290" t="str">
        <f t="shared" si="127"/>
        <v/>
      </c>
      <c r="Z284" s="291">
        <f ca="1">SUMIF($T$8:Y$1018,"QUANT.",T284:Y284)</f>
        <v>0</v>
      </c>
      <c r="AA284" s="292">
        <f t="shared" ca="1" si="128"/>
        <v>0</v>
      </c>
      <c r="AB284" s="293" t="str">
        <f t="shared" ca="1" si="129"/>
        <v>MEDIR</v>
      </c>
      <c r="AC284" s="294">
        <f t="shared" ca="1" si="130"/>
        <v>114</v>
      </c>
      <c r="AD284" s="294">
        <f t="shared" ca="1" si="131"/>
        <v>4680.84</v>
      </c>
      <c r="AE284" s="295"/>
      <c r="AF284" s="295"/>
      <c r="AG284" s="296"/>
      <c r="AH284" s="296"/>
      <c r="AI284" s="296"/>
      <c r="AJ284" s="325"/>
      <c r="AK284" s="325"/>
      <c r="AL284" s="325"/>
      <c r="AM284" s="325"/>
    </row>
    <row r="285" spans="1:39" x14ac:dyDescent="0.25">
      <c r="A285" s="232">
        <f t="shared" si="124"/>
        <v>285</v>
      </c>
      <c r="B285" s="232"/>
      <c r="C285" s="307" t="str">
        <f t="shared" si="139"/>
        <v>13.6</v>
      </c>
      <c r="D285" s="308">
        <f t="shared" si="140"/>
        <v>3</v>
      </c>
      <c r="E285" s="309" t="str">
        <f t="shared" si="141"/>
        <v>13.6.3</v>
      </c>
      <c r="F285" s="310" t="s">
        <v>12104</v>
      </c>
      <c r="G285" s="311" t="str">
        <f>IF($F285="","",IFERROR(VLOOKUP($F285,SERVIÇOS!$B:$G,2,0),IFERROR(VLOOKUP($F285,'COMPOSIÇÕES COMPLEMENTARES '!$D:$L,2,0),IFERROR(VLOOKUP($F285,INSUMOS!$A:$D,2,0),""))))</f>
        <v xml:space="preserve">TUBO DE PVC RÍGIDO SOLDÁVEL, INCLUSO CONEXÔES - D=40MM (1 1/4") </v>
      </c>
      <c r="H285" s="312" t="str">
        <f>IF($F285="","",IFERROR(VLOOKUP($F285,SERVIÇOS!$B:$G,3,0),IFERROR(VLOOKUP($F285,'COMPOSIÇÕES COMPLEMENTARES '!$D:$L,3,0),IFERROR(VLOOKUP($F285,INSUMOS!$A:$D,3,0),""))))</f>
        <v>M</v>
      </c>
      <c r="I285" s="313">
        <v>39</v>
      </c>
      <c r="J285" s="314">
        <f>IF($F285="","",IFERROR(VLOOKUP($F285,SERVIÇOS!$B:$G,4,0),IFERROR(VLOOKUP($F285,'COMPOSIÇÕES COMPLEMENTARES '!$D:$L,6,0),IFERROR(VLOOKUP($F285,INSUMOS!$A:$D,4,0),""))))</f>
        <v>26.55</v>
      </c>
      <c r="K285" s="314">
        <f>IF($F285="","",IFERROR(VLOOKUP($F285,SERVIÇOS!$B:$G,5,0),IFERROR(VLOOKUP($F285,'COMPOSIÇÕES COMPLEMENTARES '!$D:$L,7,0),0)))</f>
        <v>24.3</v>
      </c>
      <c r="L285" s="314">
        <f t="shared" si="142"/>
        <v>50.85</v>
      </c>
      <c r="M285" s="314">
        <f t="shared" si="143"/>
        <v>1035.45</v>
      </c>
      <c r="N285" s="314">
        <f t="shared" si="144"/>
        <v>947.7</v>
      </c>
      <c r="O285" s="314">
        <f t="shared" si="145"/>
        <v>1983.15</v>
      </c>
      <c r="P285" s="314"/>
      <c r="Q285" s="315"/>
      <c r="R285" s="315"/>
      <c r="S285" s="286"/>
      <c r="T285" s="287"/>
      <c r="U285" s="288" t="str">
        <f t="shared" si="125"/>
        <v/>
      </c>
      <c r="V285" s="287"/>
      <c r="W285" s="289" t="str">
        <f t="shared" si="126"/>
        <v/>
      </c>
      <c r="X285" s="287"/>
      <c r="Y285" s="290" t="str">
        <f t="shared" si="127"/>
        <v/>
      </c>
      <c r="Z285" s="291">
        <f ca="1">SUMIF($T$8:Y$1018,"QUANT.",T285:Y285)</f>
        <v>0</v>
      </c>
      <c r="AA285" s="292">
        <f t="shared" ca="1" si="128"/>
        <v>0</v>
      </c>
      <c r="AB285" s="293" t="str">
        <f t="shared" ca="1" si="129"/>
        <v>MEDIR</v>
      </c>
      <c r="AC285" s="294">
        <f t="shared" ca="1" si="130"/>
        <v>39</v>
      </c>
      <c r="AD285" s="294">
        <f t="shared" ca="1" si="131"/>
        <v>1983.15</v>
      </c>
      <c r="AE285" s="295"/>
      <c r="AF285" s="295"/>
      <c r="AG285" s="296"/>
      <c r="AH285" s="296"/>
      <c r="AI285" s="296"/>
      <c r="AJ285" s="325"/>
      <c r="AK285" s="325"/>
      <c r="AL285" s="325"/>
      <c r="AM285" s="325"/>
    </row>
    <row r="286" spans="1:39" x14ac:dyDescent="0.25">
      <c r="A286" s="232">
        <f t="shared" si="124"/>
        <v>286</v>
      </c>
      <c r="B286" s="232"/>
      <c r="C286" s="307" t="str">
        <f t="shared" si="139"/>
        <v>13.6</v>
      </c>
      <c r="D286" s="308">
        <f t="shared" si="140"/>
        <v>4</v>
      </c>
      <c r="E286" s="309" t="str">
        <f t="shared" si="141"/>
        <v>13.6.4</v>
      </c>
      <c r="F286" s="310" t="s">
        <v>12105</v>
      </c>
      <c r="G286" s="311" t="str">
        <f>IF($F286="","",IFERROR(VLOOKUP($F286,SERVIÇOS!$B:$G,2,0),IFERROR(VLOOKUP($F286,'COMPOSIÇÕES COMPLEMENTARES '!$D:$L,2,0),IFERROR(VLOOKUP($F286,INSUMOS!$A:$D,2,0),""))))</f>
        <v>TUBO DE PVC RÍGIDO SOLDÁVEL, INCLUSO CONEXÔES - D=50MM (1 1/2")</v>
      </c>
      <c r="H286" s="312" t="str">
        <f>IF($F286="","",IFERROR(VLOOKUP($F286,SERVIÇOS!$B:$G,3,0),IFERROR(VLOOKUP($F286,'COMPOSIÇÕES COMPLEMENTARES '!$D:$L,3,0),IFERROR(VLOOKUP($F286,INSUMOS!$A:$D,3,0),""))))</f>
        <v>M</v>
      </c>
      <c r="I286" s="313">
        <v>60</v>
      </c>
      <c r="J286" s="314">
        <f>IF($F286="","",IFERROR(VLOOKUP($F286,SERVIÇOS!$B:$G,4,0),IFERROR(VLOOKUP($F286,'COMPOSIÇÕES COMPLEMENTARES '!$D:$L,6,0),IFERROR(VLOOKUP($F286,INSUMOS!$A:$D,4,0),""))))</f>
        <v>28.74</v>
      </c>
      <c r="K286" s="314">
        <f>IF($F286="","",IFERROR(VLOOKUP($F286,SERVIÇOS!$B:$G,5,0),IFERROR(VLOOKUP($F286,'COMPOSIÇÕES COMPLEMENTARES '!$D:$L,7,0),0)))</f>
        <v>29.15</v>
      </c>
      <c r="L286" s="314">
        <f t="shared" si="142"/>
        <v>57.89</v>
      </c>
      <c r="M286" s="314">
        <f t="shared" si="143"/>
        <v>1724.4</v>
      </c>
      <c r="N286" s="314">
        <f t="shared" si="144"/>
        <v>1749</v>
      </c>
      <c r="O286" s="314">
        <f t="shared" si="145"/>
        <v>3473.4</v>
      </c>
      <c r="P286" s="314"/>
      <c r="Q286" s="315"/>
      <c r="R286" s="315"/>
      <c r="S286" s="286"/>
      <c r="T286" s="287"/>
      <c r="U286" s="288" t="str">
        <f t="shared" si="125"/>
        <v/>
      </c>
      <c r="V286" s="287"/>
      <c r="W286" s="289" t="str">
        <f t="shared" si="126"/>
        <v/>
      </c>
      <c r="X286" s="287"/>
      <c r="Y286" s="290" t="str">
        <f t="shared" si="127"/>
        <v/>
      </c>
      <c r="Z286" s="291">
        <f ca="1">SUMIF($T$8:Y$1018,"QUANT.",T286:Y286)</f>
        <v>0</v>
      </c>
      <c r="AA286" s="292">
        <f t="shared" ca="1" si="128"/>
        <v>0</v>
      </c>
      <c r="AB286" s="293" t="str">
        <f t="shared" ca="1" si="129"/>
        <v>MEDIR</v>
      </c>
      <c r="AC286" s="294">
        <f t="shared" ca="1" si="130"/>
        <v>60</v>
      </c>
      <c r="AD286" s="294">
        <f t="shared" ca="1" si="131"/>
        <v>3473.4</v>
      </c>
      <c r="AE286" s="295"/>
      <c r="AF286" s="295"/>
      <c r="AG286" s="296"/>
      <c r="AH286" s="296"/>
      <c r="AI286" s="296"/>
      <c r="AJ286" s="325"/>
      <c r="AK286" s="325"/>
      <c r="AL286" s="325"/>
      <c r="AM286" s="325"/>
    </row>
    <row r="287" spans="1:39" x14ac:dyDescent="0.25">
      <c r="A287" s="232">
        <f t="shared" si="124"/>
        <v>287</v>
      </c>
      <c r="B287" s="232"/>
      <c r="C287" s="307" t="str">
        <f t="shared" si="139"/>
        <v>13.6</v>
      </c>
      <c r="D287" s="308">
        <f t="shared" si="140"/>
        <v>5</v>
      </c>
      <c r="E287" s="309" t="str">
        <f t="shared" si="141"/>
        <v>13.6.5</v>
      </c>
      <c r="F287" s="310" t="s">
        <v>12106</v>
      </c>
      <c r="G287" s="311" t="str">
        <f>IF($F287="","",IFERROR(VLOOKUP($F287,SERVIÇOS!$B:$G,2,0),IFERROR(VLOOKUP($F287,'COMPOSIÇÕES COMPLEMENTARES '!$D:$L,2,0),IFERROR(VLOOKUP($F287,INSUMOS!$A:$D,2,0),""))))</f>
        <v>TUBO DE PVC RÍGIDO SOLDÁVEL, INCLUSO CONEXÔES - D=60MM (2")</v>
      </c>
      <c r="H287" s="312" t="str">
        <f>IF($F287="","",IFERROR(VLOOKUP($F287,SERVIÇOS!$B:$G,3,0),IFERROR(VLOOKUP($F287,'COMPOSIÇÕES COMPLEMENTARES '!$D:$L,3,0),IFERROR(VLOOKUP($F287,INSUMOS!$A:$D,3,0),""))))</f>
        <v>M</v>
      </c>
      <c r="I287" s="313">
        <v>9</v>
      </c>
      <c r="J287" s="314">
        <f>IF($F287="","",IFERROR(VLOOKUP($F287,SERVIÇOS!$B:$G,4,0),IFERROR(VLOOKUP($F287,'COMPOSIÇÕES COMPLEMENTARES '!$D:$L,6,0),IFERROR(VLOOKUP($F287,INSUMOS!$A:$D,4,0),""))))</f>
        <v>42.26</v>
      </c>
      <c r="K287" s="314">
        <f>IF($F287="","",IFERROR(VLOOKUP($F287,SERVIÇOS!$B:$G,5,0),IFERROR(VLOOKUP($F287,'COMPOSIÇÕES COMPLEMENTARES '!$D:$L,7,0),0)))</f>
        <v>34.020000000000003</v>
      </c>
      <c r="L287" s="314">
        <f t="shared" si="142"/>
        <v>76.28</v>
      </c>
      <c r="M287" s="314">
        <f t="shared" si="143"/>
        <v>380.34</v>
      </c>
      <c r="N287" s="314">
        <f t="shared" si="144"/>
        <v>306.18</v>
      </c>
      <c r="O287" s="314">
        <f t="shared" si="145"/>
        <v>686.52</v>
      </c>
      <c r="P287" s="314"/>
      <c r="Q287" s="315"/>
      <c r="R287" s="315"/>
      <c r="S287" s="286"/>
      <c r="T287" s="287"/>
      <c r="U287" s="288" t="str">
        <f t="shared" si="125"/>
        <v/>
      </c>
      <c r="V287" s="287"/>
      <c r="W287" s="289" t="str">
        <f t="shared" si="126"/>
        <v/>
      </c>
      <c r="X287" s="287"/>
      <c r="Y287" s="290" t="str">
        <f t="shared" si="127"/>
        <v/>
      </c>
      <c r="Z287" s="291">
        <f ca="1">SUMIF($T$8:Y$1018,"QUANT.",T287:Y287)</f>
        <v>0</v>
      </c>
      <c r="AA287" s="292">
        <f t="shared" ca="1" si="128"/>
        <v>0</v>
      </c>
      <c r="AB287" s="293" t="str">
        <f t="shared" ca="1" si="129"/>
        <v>MEDIR</v>
      </c>
      <c r="AC287" s="294">
        <f t="shared" ca="1" si="130"/>
        <v>9</v>
      </c>
      <c r="AD287" s="294">
        <f t="shared" ca="1" si="131"/>
        <v>686.52</v>
      </c>
      <c r="AE287" s="295"/>
      <c r="AF287" s="295"/>
      <c r="AG287" s="296"/>
      <c r="AH287" s="296"/>
      <c r="AI287" s="296"/>
      <c r="AJ287" s="325"/>
      <c r="AK287" s="325"/>
      <c r="AL287" s="325"/>
      <c r="AM287" s="325"/>
    </row>
    <row r="288" spans="1:39" x14ac:dyDescent="0.25">
      <c r="A288" s="232">
        <f t="shared" si="124"/>
        <v>288</v>
      </c>
      <c r="B288" s="232"/>
      <c r="C288" s="307" t="str">
        <f t="shared" si="139"/>
        <v>13.6</v>
      </c>
      <c r="D288" s="308">
        <f t="shared" si="140"/>
        <v>6</v>
      </c>
      <c r="E288" s="309" t="str">
        <f t="shared" si="141"/>
        <v>13.6.6</v>
      </c>
      <c r="F288" s="310" t="s">
        <v>12107</v>
      </c>
      <c r="G288" s="311" t="str">
        <f>IF($F288="","",IFERROR(VLOOKUP($F288,SERVIÇOS!$B:$G,2,0),IFERROR(VLOOKUP($F288,'COMPOSIÇÕES COMPLEMENTARES '!$D:$L,2,0),IFERROR(VLOOKUP($F288,INSUMOS!$A:$D,2,0),""))))</f>
        <v xml:space="preserve">TUBO DE PVC RÍGIDO SOLDÁVEL, INCLUSO CONEXÔES - D=75MM (2 1/2") </v>
      </c>
      <c r="H288" s="312" t="str">
        <f>IF($F288="","",IFERROR(VLOOKUP($F288,SERVIÇOS!$B:$G,3,0),IFERROR(VLOOKUP($F288,'COMPOSIÇÕES COMPLEMENTARES '!$D:$L,3,0),IFERROR(VLOOKUP($F288,INSUMOS!$A:$D,3,0),""))))</f>
        <v>M</v>
      </c>
      <c r="I288" s="313">
        <v>30</v>
      </c>
      <c r="J288" s="314">
        <f>IF($F288="","",IFERROR(VLOOKUP($F288,SERVIÇOS!$B:$G,4,0),IFERROR(VLOOKUP($F288,'COMPOSIÇÕES COMPLEMENTARES '!$D:$L,6,0),IFERROR(VLOOKUP($F288,INSUMOS!$A:$D,4,0),""))))</f>
        <v>65.489999999999995</v>
      </c>
      <c r="K288" s="314">
        <f>IF($F288="","",IFERROR(VLOOKUP($F288,SERVIÇOS!$B:$G,5,0),IFERROR(VLOOKUP($F288,'COMPOSIÇÕES COMPLEMENTARES '!$D:$L,7,0),0)))</f>
        <v>43.74</v>
      </c>
      <c r="L288" s="314">
        <f t="shared" si="142"/>
        <v>109.22999999999999</v>
      </c>
      <c r="M288" s="314">
        <f t="shared" si="143"/>
        <v>1964.7</v>
      </c>
      <c r="N288" s="314">
        <f t="shared" si="144"/>
        <v>1312.2</v>
      </c>
      <c r="O288" s="314">
        <f t="shared" si="145"/>
        <v>3276.9</v>
      </c>
      <c r="P288" s="314"/>
      <c r="Q288" s="315"/>
      <c r="R288" s="315"/>
      <c r="S288" s="286"/>
      <c r="T288" s="287"/>
      <c r="U288" s="288" t="str">
        <f t="shared" si="125"/>
        <v/>
      </c>
      <c r="V288" s="287"/>
      <c r="W288" s="289" t="str">
        <f t="shared" si="126"/>
        <v/>
      </c>
      <c r="X288" s="287"/>
      <c r="Y288" s="290" t="str">
        <f t="shared" si="127"/>
        <v/>
      </c>
      <c r="Z288" s="291">
        <f ca="1">SUMIF($T$8:Y$1018,"QUANT.",T288:Y288)</f>
        <v>0</v>
      </c>
      <c r="AA288" s="292">
        <f t="shared" ca="1" si="128"/>
        <v>0</v>
      </c>
      <c r="AB288" s="293" t="str">
        <f t="shared" ca="1" si="129"/>
        <v>MEDIR</v>
      </c>
      <c r="AC288" s="294">
        <f t="shared" ca="1" si="130"/>
        <v>30</v>
      </c>
      <c r="AD288" s="294">
        <f t="shared" ca="1" si="131"/>
        <v>3276.9</v>
      </c>
      <c r="AE288" s="295"/>
      <c r="AF288" s="295"/>
      <c r="AG288" s="296"/>
      <c r="AH288" s="296"/>
      <c r="AI288" s="296"/>
      <c r="AJ288" s="325"/>
      <c r="AK288" s="325"/>
      <c r="AL288" s="325"/>
      <c r="AM288" s="325"/>
    </row>
    <row r="289" spans="1:39" x14ac:dyDescent="0.25">
      <c r="A289" s="232">
        <f t="shared" si="124"/>
        <v>289</v>
      </c>
      <c r="B289" s="232"/>
      <c r="C289" s="316" t="str">
        <f>+E289</f>
        <v>13.7</v>
      </c>
      <c r="D289" s="297"/>
      <c r="E289" s="317" t="s">
        <v>12108</v>
      </c>
      <c r="F289" s="317"/>
      <c r="G289" s="318" t="s">
        <v>12109</v>
      </c>
      <c r="H289" s="317"/>
      <c r="I289" s="319"/>
      <c r="J289" s="317"/>
      <c r="K289" s="317"/>
      <c r="L289" s="317"/>
      <c r="M289" s="317"/>
      <c r="N289" s="317"/>
      <c r="O289" s="317"/>
      <c r="P289" s="317"/>
      <c r="Q289" s="320"/>
      <c r="R289" s="306"/>
      <c r="S289" s="286"/>
      <c r="T289" s="287"/>
      <c r="U289" s="288" t="str">
        <f t="shared" si="125"/>
        <v/>
      </c>
      <c r="V289" s="287"/>
      <c r="W289" s="289" t="str">
        <f t="shared" si="126"/>
        <v/>
      </c>
      <c r="X289" s="287"/>
      <c r="Y289" s="290" t="str">
        <f t="shared" si="127"/>
        <v/>
      </c>
      <c r="Z289" s="291">
        <f ca="1">SUMIF($T$8:Y$1018,"QUANT.",T289:Y289)</f>
        <v>0</v>
      </c>
      <c r="AA289" s="292">
        <f t="shared" ca="1" si="128"/>
        <v>0</v>
      </c>
      <c r="AB289" s="293" t="str">
        <f t="shared" si="129"/>
        <v/>
      </c>
      <c r="AC289" s="294">
        <f t="shared" ca="1" si="130"/>
        <v>0</v>
      </c>
      <c r="AD289" s="294">
        <f t="shared" ca="1" si="131"/>
        <v>0</v>
      </c>
      <c r="AE289" s="295"/>
      <c r="AF289" s="295"/>
      <c r="AG289" s="296"/>
      <c r="AH289" s="296"/>
      <c r="AI289" s="296"/>
      <c r="AJ289" s="325"/>
      <c r="AK289" s="325"/>
      <c r="AL289" s="325"/>
      <c r="AM289" s="325"/>
    </row>
    <row r="290" spans="1:39" x14ac:dyDescent="0.25">
      <c r="A290" s="232">
        <f t="shared" si="124"/>
        <v>290</v>
      </c>
      <c r="B290" s="232"/>
      <c r="C290" s="307" t="str">
        <f>+C289</f>
        <v>13.7</v>
      </c>
      <c r="D290" s="308">
        <f>1+D289</f>
        <v>1</v>
      </c>
      <c r="E290" s="309" t="str">
        <f>C290&amp;"."&amp;D290</f>
        <v>13.7.1</v>
      </c>
      <c r="F290" s="310" t="s">
        <v>12110</v>
      </c>
      <c r="G290" s="311" t="str">
        <f>IF($F290="","",IFERROR(VLOOKUP($F290,SERVIÇOS!$B:$G,2,0),IFERROR(VLOOKUP($F290,'COMPOSIÇÕES COMPLEMENTARES '!$D:$L,2,0),IFERROR(VLOOKUP($F290,INSUMOS!$A:$D,2,0),""))))</f>
        <v>TUBO DE POLIPROPILENO RANDOM (PPR), PN 12, INCLUSO CONEXÕES - D=25MM</v>
      </c>
      <c r="H290" s="312" t="str">
        <f>IF($F290="","",IFERROR(VLOOKUP($F290,SERVIÇOS!$B:$G,3,0),IFERROR(VLOOKUP($F290,'COMPOSIÇÕES COMPLEMENTARES '!$D:$L,3,0),IFERROR(VLOOKUP($F290,INSUMOS!$A:$D,3,0),""))))</f>
        <v>M</v>
      </c>
      <c r="I290" s="313">
        <v>32</v>
      </c>
      <c r="J290" s="314">
        <f>IF($F290="","",IFERROR(VLOOKUP($F290,SERVIÇOS!$B:$G,4,0),IFERROR(VLOOKUP($F290,'COMPOSIÇÕES COMPLEMENTARES '!$D:$L,6,0),IFERROR(VLOOKUP($F290,INSUMOS!$A:$D,4,0),""))))</f>
        <v>28.32</v>
      </c>
      <c r="K290" s="314">
        <f>IF($F290="","",IFERROR(VLOOKUP($F290,SERVIÇOS!$B:$G,5,0),IFERROR(VLOOKUP($F290,'COMPOSIÇÕES COMPLEMENTARES '!$D:$L,7,0),0)))</f>
        <v>6.11</v>
      </c>
      <c r="L290" s="314">
        <f>IF(I290="","",J290+K290)</f>
        <v>34.43</v>
      </c>
      <c r="M290" s="314">
        <f>IF(I290="","",TRUNC((I290*J290),2))</f>
        <v>906.24</v>
      </c>
      <c r="N290" s="314">
        <f>IF(I290="","",TRUNC((I290*K290),2))</f>
        <v>195.52</v>
      </c>
      <c r="O290" s="314">
        <f>IF(I290="","",TRUNC((M290+N290),2))</f>
        <v>1101.76</v>
      </c>
      <c r="P290" s="314"/>
      <c r="Q290" s="315"/>
      <c r="R290" s="315"/>
      <c r="S290" s="286"/>
      <c r="T290" s="287"/>
      <c r="U290" s="288" t="str">
        <f t="shared" si="125"/>
        <v/>
      </c>
      <c r="V290" s="287"/>
      <c r="W290" s="289" t="str">
        <f t="shared" si="126"/>
        <v/>
      </c>
      <c r="X290" s="287"/>
      <c r="Y290" s="290" t="str">
        <f t="shared" si="127"/>
        <v/>
      </c>
      <c r="Z290" s="291">
        <f ca="1">SUMIF($T$8:Y$1018,"QUANT.",T290:Y290)</f>
        <v>0</v>
      </c>
      <c r="AA290" s="292">
        <f t="shared" ca="1" si="128"/>
        <v>0</v>
      </c>
      <c r="AB290" s="293" t="str">
        <f t="shared" ca="1" si="129"/>
        <v>MEDIR</v>
      </c>
      <c r="AC290" s="294">
        <f t="shared" ca="1" si="130"/>
        <v>32</v>
      </c>
      <c r="AD290" s="294">
        <f t="shared" ca="1" si="131"/>
        <v>1101.76</v>
      </c>
      <c r="AE290" s="295"/>
      <c r="AF290" s="295"/>
      <c r="AG290" s="296"/>
      <c r="AH290" s="296"/>
      <c r="AI290" s="296"/>
      <c r="AJ290" s="325"/>
      <c r="AK290" s="325"/>
      <c r="AL290" s="325"/>
      <c r="AM290" s="325"/>
    </row>
    <row r="291" spans="1:39" x14ac:dyDescent="0.25">
      <c r="A291" s="232">
        <f t="shared" si="124"/>
        <v>291</v>
      </c>
      <c r="B291" s="232"/>
      <c r="C291" s="316" t="str">
        <f>+E291</f>
        <v>13.8</v>
      </c>
      <c r="D291" s="297"/>
      <c r="E291" s="317" t="s">
        <v>12111</v>
      </c>
      <c r="F291" s="317"/>
      <c r="G291" s="318" t="s">
        <v>12112</v>
      </c>
      <c r="H291" s="317"/>
      <c r="I291" s="319"/>
      <c r="J291" s="317"/>
      <c r="K291" s="317"/>
      <c r="L291" s="317"/>
      <c r="M291" s="317"/>
      <c r="N291" s="317"/>
      <c r="O291" s="317"/>
      <c r="P291" s="317"/>
      <c r="Q291" s="320"/>
      <c r="R291" s="306"/>
      <c r="S291" s="286"/>
      <c r="T291" s="287"/>
      <c r="U291" s="288" t="str">
        <f t="shared" si="125"/>
        <v/>
      </c>
      <c r="V291" s="287"/>
      <c r="W291" s="289" t="str">
        <f t="shared" si="126"/>
        <v/>
      </c>
      <c r="X291" s="287"/>
      <c r="Y291" s="290" t="str">
        <f t="shared" si="127"/>
        <v/>
      </c>
      <c r="Z291" s="291">
        <f ca="1">SUMIF($T$8:Y$1018,"QUANT.",T291:Y291)</f>
        <v>0</v>
      </c>
      <c r="AA291" s="292">
        <f t="shared" ca="1" si="128"/>
        <v>0</v>
      </c>
      <c r="AB291" s="293" t="str">
        <f t="shared" si="129"/>
        <v/>
      </c>
      <c r="AC291" s="294">
        <f t="shared" ca="1" si="130"/>
        <v>0</v>
      </c>
      <c r="AD291" s="294">
        <f t="shared" ca="1" si="131"/>
        <v>0</v>
      </c>
      <c r="AE291" s="295"/>
      <c r="AF291" s="295"/>
      <c r="AG291" s="296"/>
      <c r="AH291" s="296"/>
      <c r="AI291" s="296"/>
      <c r="AJ291" s="325"/>
      <c r="AK291" s="325"/>
      <c r="AL291" s="325"/>
      <c r="AM291" s="325"/>
    </row>
    <row r="292" spans="1:39" ht="25.5" x14ac:dyDescent="0.25">
      <c r="A292" s="232">
        <f t="shared" si="124"/>
        <v>292</v>
      </c>
      <c r="B292" s="232"/>
      <c r="C292" s="307" t="str">
        <f t="shared" ref="C292:C298" si="146">+C291</f>
        <v>13.8</v>
      </c>
      <c r="D292" s="308">
        <f t="shared" ref="D292:D298" si="147">1+D291</f>
        <v>1</v>
      </c>
      <c r="E292" s="309" t="str">
        <f t="shared" ref="E292:E298" si="148">C292&amp;"."&amp;D292</f>
        <v>13.8.1</v>
      </c>
      <c r="F292" s="310">
        <v>90443</v>
      </c>
      <c r="G292" s="311" t="str">
        <f>IF($F292="","",IFERROR(VLOOKUP($F292,SERVIÇOS!$B:$G,2,0),IFERROR(VLOOKUP($F292,'COMPOSIÇÕES COMPLEMENTARES '!$D:$L,2,0),IFERROR(VLOOKUP($F292,INSUMOS!$A:$D,2,0),""))))</f>
        <v>RASGO LINEAR MANUAL EM ALVENARIA, PARA RAMAIS/ DISTRIBUIÇÃO DE INSTALAÇÕES HIDRÁULICAS, DIÂMETROS MENORES OU IGUAIS A 40 MM. AF_09/2023</v>
      </c>
      <c r="H292" s="312" t="str">
        <f>IF($F292="","",IFERROR(VLOOKUP($F292,SERVIÇOS!$B:$G,3,0),IFERROR(VLOOKUP($F292,'COMPOSIÇÕES COMPLEMENTARES '!$D:$L,3,0),IFERROR(VLOOKUP($F292,INSUMOS!$A:$D,3,0),""))))</f>
        <v>M</v>
      </c>
      <c r="I292" s="313">
        <v>147</v>
      </c>
      <c r="J292" s="314">
        <f>IF($F292="","",IFERROR(VLOOKUP($F292,SERVIÇOS!$B:$G,4,0),IFERROR(VLOOKUP($F292,'COMPOSIÇÕES COMPLEMENTARES '!$D:$L,6,0),IFERROR(VLOOKUP($F292,INSUMOS!$A:$D,4,0),""))))</f>
        <v>2.6</v>
      </c>
      <c r="K292" s="314">
        <f>IF($F292="","",IFERROR(VLOOKUP($F292,SERVIÇOS!$B:$G,5,0),IFERROR(VLOOKUP($F292,'COMPOSIÇÕES COMPLEMENTARES '!$D:$L,7,0),0)))</f>
        <v>7.85</v>
      </c>
      <c r="L292" s="314">
        <f t="shared" ref="L292:L298" si="149">IF(I292="","",J292+K292)</f>
        <v>10.45</v>
      </c>
      <c r="M292" s="314">
        <f t="shared" ref="M292:M298" si="150">IF(I292="","",TRUNC((I292*J292),2))</f>
        <v>382.2</v>
      </c>
      <c r="N292" s="314">
        <f t="shared" ref="N292:N298" si="151">IF(I292="","",TRUNC((I292*K292),2))</f>
        <v>1153.95</v>
      </c>
      <c r="O292" s="314">
        <f t="shared" ref="O292:O298" si="152">IF(I292="","",TRUNC((M292+N292),2))</f>
        <v>1536.15</v>
      </c>
      <c r="P292" s="314"/>
      <c r="Q292" s="315"/>
      <c r="R292" s="315"/>
      <c r="S292" s="286"/>
      <c r="T292" s="287"/>
      <c r="U292" s="288" t="str">
        <f t="shared" si="125"/>
        <v/>
      </c>
      <c r="V292" s="287"/>
      <c r="W292" s="289" t="str">
        <f t="shared" si="126"/>
        <v/>
      </c>
      <c r="X292" s="287"/>
      <c r="Y292" s="290" t="str">
        <f t="shared" si="127"/>
        <v/>
      </c>
      <c r="Z292" s="291">
        <f ca="1">SUMIF($T$8:Y$1018,"QUANT.",T292:Y292)</f>
        <v>0</v>
      </c>
      <c r="AA292" s="292">
        <f t="shared" ca="1" si="128"/>
        <v>0</v>
      </c>
      <c r="AB292" s="293" t="str">
        <f t="shared" ca="1" si="129"/>
        <v>MEDIR</v>
      </c>
      <c r="AC292" s="294">
        <f t="shared" ca="1" si="130"/>
        <v>147</v>
      </c>
      <c r="AD292" s="294">
        <f t="shared" ca="1" si="131"/>
        <v>1536.15</v>
      </c>
      <c r="AE292" s="295"/>
      <c r="AF292" s="295"/>
      <c r="AG292" s="296"/>
      <c r="AH292" s="296"/>
      <c r="AI292" s="296"/>
      <c r="AJ292" s="325"/>
      <c r="AK292" s="325"/>
      <c r="AL292" s="325"/>
      <c r="AM292" s="325"/>
    </row>
    <row r="293" spans="1:39" ht="25.5" x14ac:dyDescent="0.25">
      <c r="A293" s="232">
        <f t="shared" si="124"/>
        <v>293</v>
      </c>
      <c r="B293" s="232"/>
      <c r="C293" s="307" t="str">
        <f t="shared" si="146"/>
        <v>13.8</v>
      </c>
      <c r="D293" s="308">
        <f t="shared" si="147"/>
        <v>2</v>
      </c>
      <c r="E293" s="309" t="str">
        <f t="shared" si="148"/>
        <v>13.8.2</v>
      </c>
      <c r="F293" s="310">
        <v>90466</v>
      </c>
      <c r="G293" s="311" t="str">
        <f>IF($F293="","",IFERROR(VLOOKUP($F293,SERVIÇOS!$B:$G,2,0),IFERROR(VLOOKUP($F293,'COMPOSIÇÕES COMPLEMENTARES '!$D:$L,2,0),IFERROR(VLOOKUP($F293,INSUMOS!$A:$D,2,0),""))))</f>
        <v>CHUMBAMENTO LINEAR EM ALVENARIA PARA RAMAIS/DISTRIBUIÇÃO DE INSTALAÇÕES HIDRÁULICAS COM DIÂMETROS MENORES OU IGUAIS A 40 MM. AF_09/2023</v>
      </c>
      <c r="H293" s="312" t="str">
        <f>IF($F293="","",IFERROR(VLOOKUP($F293,SERVIÇOS!$B:$G,3,0),IFERROR(VLOOKUP($F293,'COMPOSIÇÕES COMPLEMENTARES '!$D:$L,3,0),IFERROR(VLOOKUP($F293,INSUMOS!$A:$D,3,0),""))))</f>
        <v>M</v>
      </c>
      <c r="I293" s="313">
        <v>147</v>
      </c>
      <c r="J293" s="314">
        <f>IF($F293="","",IFERROR(VLOOKUP($F293,SERVIÇOS!$B:$G,4,0),IFERROR(VLOOKUP($F293,'COMPOSIÇÕES COMPLEMENTARES '!$D:$L,6,0),IFERROR(VLOOKUP($F293,INSUMOS!$A:$D,4,0),""))))</f>
        <v>6.59</v>
      </c>
      <c r="K293" s="314">
        <f>IF($F293="","",IFERROR(VLOOKUP($F293,SERVIÇOS!$B:$G,5,0),IFERROR(VLOOKUP($F293,'COMPOSIÇÕES COMPLEMENTARES '!$D:$L,7,0),0)))</f>
        <v>12.64</v>
      </c>
      <c r="L293" s="314">
        <f t="shared" si="149"/>
        <v>19.23</v>
      </c>
      <c r="M293" s="314">
        <f t="shared" si="150"/>
        <v>968.73</v>
      </c>
      <c r="N293" s="314">
        <f t="shared" si="151"/>
        <v>1858.08</v>
      </c>
      <c r="O293" s="314">
        <f t="shared" si="152"/>
        <v>2826.81</v>
      </c>
      <c r="P293" s="314"/>
      <c r="Q293" s="315"/>
      <c r="R293" s="315"/>
      <c r="S293" s="286"/>
      <c r="T293" s="287"/>
      <c r="U293" s="288" t="str">
        <f t="shared" si="125"/>
        <v/>
      </c>
      <c r="V293" s="287"/>
      <c r="W293" s="289" t="str">
        <f t="shared" si="126"/>
        <v/>
      </c>
      <c r="X293" s="287"/>
      <c r="Y293" s="290" t="str">
        <f t="shared" si="127"/>
        <v/>
      </c>
      <c r="Z293" s="291">
        <f ca="1">SUMIF($T$8:Y$1018,"QUANT.",T293:Y293)</f>
        <v>0</v>
      </c>
      <c r="AA293" s="292">
        <f t="shared" ca="1" si="128"/>
        <v>0</v>
      </c>
      <c r="AB293" s="293" t="str">
        <f t="shared" ca="1" si="129"/>
        <v>MEDIR</v>
      </c>
      <c r="AC293" s="294">
        <f t="shared" ca="1" si="130"/>
        <v>147</v>
      </c>
      <c r="AD293" s="294">
        <f t="shared" ca="1" si="131"/>
        <v>2826.81</v>
      </c>
      <c r="AE293" s="295"/>
      <c r="AF293" s="295"/>
      <c r="AG293" s="296"/>
      <c r="AH293" s="296"/>
      <c r="AI293" s="296"/>
      <c r="AJ293" s="325"/>
      <c r="AK293" s="325"/>
      <c r="AL293" s="325"/>
      <c r="AM293" s="325"/>
    </row>
    <row r="294" spans="1:39" ht="25.5" x14ac:dyDescent="0.25">
      <c r="A294" s="232">
        <f t="shared" si="124"/>
        <v>294</v>
      </c>
      <c r="B294" s="232"/>
      <c r="C294" s="307" t="str">
        <f t="shared" si="146"/>
        <v>13.8</v>
      </c>
      <c r="D294" s="308">
        <f t="shared" si="147"/>
        <v>3</v>
      </c>
      <c r="E294" s="309" t="str">
        <f t="shared" si="148"/>
        <v>13.8.3</v>
      </c>
      <c r="F294" s="310">
        <v>91222</v>
      </c>
      <c r="G294" s="311" t="str">
        <f>IF($F294="","",IFERROR(VLOOKUP($F294,SERVIÇOS!$B:$G,2,0),IFERROR(VLOOKUP($F294,'COMPOSIÇÕES COMPLEMENTARES '!$D:$L,2,0),IFERROR(VLOOKUP($F294,INSUMOS!$A:$D,2,0),""))))</f>
        <v>RASGO LINEAR MANUAL EM ALVENARIA, PARA RAMAIS/ DISTRIBUIÇÃO DE INSTALAÇÕES HIDRÁULICAS, DIÂMETROS MAIORES QUE 40 MM E MENORES OU IGUAIS A 75 MM. AF_09/2023</v>
      </c>
      <c r="H294" s="312" t="str">
        <f>IF($F294="","",IFERROR(VLOOKUP($F294,SERVIÇOS!$B:$G,3,0),IFERROR(VLOOKUP($F294,'COMPOSIÇÕES COMPLEMENTARES '!$D:$L,3,0),IFERROR(VLOOKUP($F294,INSUMOS!$A:$D,3,0),""))))</f>
        <v>M</v>
      </c>
      <c r="I294" s="313">
        <v>39</v>
      </c>
      <c r="J294" s="314">
        <f>IF($F294="","",IFERROR(VLOOKUP($F294,SERVIÇOS!$B:$G,4,0),IFERROR(VLOOKUP($F294,'COMPOSIÇÕES COMPLEMENTARES '!$D:$L,6,0),IFERROR(VLOOKUP($F294,INSUMOS!$A:$D,4,0),""))))</f>
        <v>2.89</v>
      </c>
      <c r="K294" s="314">
        <f>IF($F294="","",IFERROR(VLOOKUP($F294,SERVIÇOS!$B:$G,5,0),IFERROR(VLOOKUP($F294,'COMPOSIÇÕES COMPLEMENTARES '!$D:$L,7,0),0)))</f>
        <v>8.7200000000000006</v>
      </c>
      <c r="L294" s="314">
        <f t="shared" si="149"/>
        <v>11.610000000000001</v>
      </c>
      <c r="M294" s="314">
        <f t="shared" si="150"/>
        <v>112.71</v>
      </c>
      <c r="N294" s="314">
        <f t="shared" si="151"/>
        <v>340.08</v>
      </c>
      <c r="O294" s="314">
        <f t="shared" si="152"/>
        <v>452.79</v>
      </c>
      <c r="P294" s="314"/>
      <c r="Q294" s="315"/>
      <c r="R294" s="315"/>
      <c r="S294" s="286"/>
      <c r="T294" s="287"/>
      <c r="U294" s="288" t="str">
        <f t="shared" si="125"/>
        <v/>
      </c>
      <c r="V294" s="287"/>
      <c r="W294" s="289" t="str">
        <f t="shared" si="126"/>
        <v/>
      </c>
      <c r="X294" s="287"/>
      <c r="Y294" s="290" t="str">
        <f t="shared" si="127"/>
        <v/>
      </c>
      <c r="Z294" s="291">
        <f ca="1">SUMIF($T$8:Y$1018,"QUANT.",T294:Y294)</f>
        <v>0</v>
      </c>
      <c r="AA294" s="292">
        <f t="shared" ca="1" si="128"/>
        <v>0</v>
      </c>
      <c r="AB294" s="293" t="str">
        <f t="shared" ca="1" si="129"/>
        <v>MEDIR</v>
      </c>
      <c r="AC294" s="294">
        <f t="shared" ca="1" si="130"/>
        <v>39</v>
      </c>
      <c r="AD294" s="294">
        <f t="shared" ca="1" si="131"/>
        <v>452.79</v>
      </c>
      <c r="AE294" s="295"/>
      <c r="AF294" s="295"/>
      <c r="AG294" s="296"/>
      <c r="AH294" s="296"/>
      <c r="AI294" s="296"/>
      <c r="AJ294" s="325"/>
      <c r="AK294" s="325"/>
      <c r="AL294" s="325"/>
      <c r="AM294" s="325"/>
    </row>
    <row r="295" spans="1:39" ht="25.5" x14ac:dyDescent="0.25">
      <c r="A295" s="232">
        <f t="shared" si="124"/>
        <v>295</v>
      </c>
      <c r="B295" s="232"/>
      <c r="C295" s="307" t="str">
        <f t="shared" si="146"/>
        <v>13.8</v>
      </c>
      <c r="D295" s="308">
        <f t="shared" si="147"/>
        <v>4</v>
      </c>
      <c r="E295" s="309" t="str">
        <f t="shared" si="148"/>
        <v>13.8.4</v>
      </c>
      <c r="F295" s="310">
        <v>90467</v>
      </c>
      <c r="G295" s="311" t="str">
        <f>IF($F295="","",IFERROR(VLOOKUP($F295,SERVIÇOS!$B:$G,2,0),IFERROR(VLOOKUP($F295,'COMPOSIÇÕES COMPLEMENTARES '!$D:$L,2,0),IFERROR(VLOOKUP($F295,INSUMOS!$A:$D,2,0),""))))</f>
        <v>CHUMBAMENTO LINEAR EM ALVENARIA PARA RAMAIS/DISTRIBUIÇÃO DE INSTALAÇÕES HIDRÁULICAS COM DIÂMETROS MAIORES QUE 40 MM E MENORES OU IGUAIS A 75 MM. AF_09/2023</v>
      </c>
      <c r="H295" s="312" t="str">
        <f>IF($F295="","",IFERROR(VLOOKUP($F295,SERVIÇOS!$B:$G,3,0),IFERROR(VLOOKUP($F295,'COMPOSIÇÕES COMPLEMENTARES '!$D:$L,3,0),IFERROR(VLOOKUP($F295,INSUMOS!$A:$D,3,0),""))))</f>
        <v>M</v>
      </c>
      <c r="I295" s="313">
        <v>39</v>
      </c>
      <c r="J295" s="314">
        <f>IF($F295="","",IFERROR(VLOOKUP($F295,SERVIÇOS!$B:$G,4,0),IFERROR(VLOOKUP($F295,'COMPOSIÇÕES COMPLEMENTARES '!$D:$L,6,0),IFERROR(VLOOKUP($F295,INSUMOS!$A:$D,4,0),""))))</f>
        <v>9.99</v>
      </c>
      <c r="K295" s="314">
        <f>IF($F295="","",IFERROR(VLOOKUP($F295,SERVIÇOS!$B:$G,5,0),IFERROR(VLOOKUP($F295,'COMPOSIÇÕES COMPLEMENTARES '!$D:$L,7,0),0)))</f>
        <v>18.89</v>
      </c>
      <c r="L295" s="314">
        <f t="shared" si="149"/>
        <v>28.880000000000003</v>
      </c>
      <c r="M295" s="314">
        <f t="shared" si="150"/>
        <v>389.61</v>
      </c>
      <c r="N295" s="314">
        <f t="shared" si="151"/>
        <v>736.71</v>
      </c>
      <c r="O295" s="314">
        <f t="shared" si="152"/>
        <v>1126.32</v>
      </c>
      <c r="P295" s="314"/>
      <c r="Q295" s="315"/>
      <c r="R295" s="315"/>
      <c r="S295" s="286"/>
      <c r="T295" s="287"/>
      <c r="U295" s="288" t="str">
        <f t="shared" si="125"/>
        <v/>
      </c>
      <c r="V295" s="287"/>
      <c r="W295" s="289" t="str">
        <f t="shared" si="126"/>
        <v/>
      </c>
      <c r="X295" s="287"/>
      <c r="Y295" s="290" t="str">
        <f t="shared" si="127"/>
        <v/>
      </c>
      <c r="Z295" s="291">
        <f ca="1">SUMIF($T$8:Y$1018,"QUANT.",T295:Y295)</f>
        <v>0</v>
      </c>
      <c r="AA295" s="292">
        <f t="shared" ca="1" si="128"/>
        <v>0</v>
      </c>
      <c r="AB295" s="293" t="str">
        <f t="shared" ca="1" si="129"/>
        <v>MEDIR</v>
      </c>
      <c r="AC295" s="294">
        <f t="shared" ca="1" si="130"/>
        <v>39</v>
      </c>
      <c r="AD295" s="294">
        <f t="shared" ca="1" si="131"/>
        <v>1126.32</v>
      </c>
      <c r="AE295" s="295"/>
      <c r="AF295" s="295"/>
      <c r="AG295" s="296"/>
      <c r="AH295" s="296"/>
      <c r="AI295" s="296"/>
      <c r="AJ295" s="325"/>
      <c r="AK295" s="325"/>
      <c r="AL295" s="325"/>
      <c r="AM295" s="325"/>
    </row>
    <row r="296" spans="1:39" x14ac:dyDescent="0.25">
      <c r="A296" s="232">
        <f t="shared" si="124"/>
        <v>296</v>
      </c>
      <c r="B296" s="232"/>
      <c r="C296" s="307" t="str">
        <f t="shared" si="146"/>
        <v>13.8</v>
      </c>
      <c r="D296" s="308">
        <f t="shared" si="147"/>
        <v>5</v>
      </c>
      <c r="E296" s="309" t="str">
        <f t="shared" si="148"/>
        <v>13.8.5</v>
      </c>
      <c r="F296" s="310">
        <v>93358</v>
      </c>
      <c r="G296" s="311" t="str">
        <f>IF($F296="","",IFERROR(VLOOKUP($F296,SERVIÇOS!$B:$G,2,0),IFERROR(VLOOKUP($F296,'COMPOSIÇÕES COMPLEMENTARES '!$D:$L,2,0),IFERROR(VLOOKUP($F296,INSUMOS!$A:$D,2,0),""))))</f>
        <v>ESCAVAÇÃO MANUAL DE VALA. AF_09/2024</v>
      </c>
      <c r="H296" s="312" t="str">
        <f>IF($F296="","",IFERROR(VLOOKUP($F296,SERVIÇOS!$B:$G,3,0),IFERROR(VLOOKUP($F296,'COMPOSIÇÕES COMPLEMENTARES '!$D:$L,3,0),IFERROR(VLOOKUP($F296,INSUMOS!$A:$D,3,0),""))))</f>
        <v>M3</v>
      </c>
      <c r="I296" s="313">
        <v>31.5</v>
      </c>
      <c r="J296" s="314">
        <f>IF($F296="","",IFERROR(VLOOKUP($F296,SERVIÇOS!$B:$G,4,0),IFERROR(VLOOKUP($F296,'COMPOSIÇÕES COMPLEMENTARES '!$D:$L,6,0),IFERROR(VLOOKUP($F296,INSUMOS!$A:$D,4,0),""))))</f>
        <v>36.369999999999997</v>
      </c>
      <c r="K296" s="314">
        <f>IF($F296="","",IFERROR(VLOOKUP($F296,SERVIÇOS!$B:$G,5,0),IFERROR(VLOOKUP($F296,'COMPOSIÇÕES COMPLEMENTARES '!$D:$L,7,0),0)))</f>
        <v>77.2</v>
      </c>
      <c r="L296" s="314">
        <f t="shared" si="149"/>
        <v>113.57</v>
      </c>
      <c r="M296" s="314">
        <f t="shared" si="150"/>
        <v>1145.6500000000001</v>
      </c>
      <c r="N296" s="314">
        <f t="shared" si="151"/>
        <v>2431.8000000000002</v>
      </c>
      <c r="O296" s="314">
        <f t="shared" si="152"/>
        <v>3577.45</v>
      </c>
      <c r="P296" s="314"/>
      <c r="Q296" s="315"/>
      <c r="R296" s="315"/>
      <c r="S296" s="286"/>
      <c r="T296" s="287"/>
      <c r="U296" s="288" t="str">
        <f t="shared" si="125"/>
        <v/>
      </c>
      <c r="V296" s="287"/>
      <c r="W296" s="289" t="str">
        <f t="shared" si="126"/>
        <v/>
      </c>
      <c r="X296" s="287"/>
      <c r="Y296" s="290" t="str">
        <f t="shared" si="127"/>
        <v/>
      </c>
      <c r="Z296" s="291">
        <f ca="1">SUMIF($T$8:Y$1018,"QUANT.",T296:Y296)</f>
        <v>0</v>
      </c>
      <c r="AA296" s="292">
        <f t="shared" ca="1" si="128"/>
        <v>0</v>
      </c>
      <c r="AB296" s="293" t="str">
        <f t="shared" ca="1" si="129"/>
        <v>MEDIR</v>
      </c>
      <c r="AC296" s="294">
        <f t="shared" ca="1" si="130"/>
        <v>31.5</v>
      </c>
      <c r="AD296" s="294">
        <f t="shared" ca="1" si="131"/>
        <v>3577.45</v>
      </c>
      <c r="AE296" s="295"/>
      <c r="AF296" s="295"/>
      <c r="AG296" s="296"/>
      <c r="AH296" s="296"/>
      <c r="AI296" s="296"/>
      <c r="AJ296" s="325"/>
      <c r="AK296" s="325"/>
      <c r="AL296" s="325"/>
      <c r="AM296" s="325"/>
    </row>
    <row r="297" spans="1:39" x14ac:dyDescent="0.25">
      <c r="A297" s="232">
        <f t="shared" si="124"/>
        <v>297</v>
      </c>
      <c r="B297" s="232"/>
      <c r="C297" s="307" t="str">
        <f t="shared" si="146"/>
        <v>13.8</v>
      </c>
      <c r="D297" s="308">
        <f t="shared" si="147"/>
        <v>6</v>
      </c>
      <c r="E297" s="309" t="str">
        <f t="shared" si="148"/>
        <v>13.8.6</v>
      </c>
      <c r="F297" s="310">
        <v>101616</v>
      </c>
      <c r="G297" s="311" t="str">
        <f>IF($F297="","",IFERROR(VLOOKUP($F297,SERVIÇOS!$B:$G,2,0),IFERROR(VLOOKUP($F297,'COMPOSIÇÕES COMPLEMENTARES '!$D:$L,2,0),IFERROR(VLOOKUP($F297,INSUMOS!$A:$D,2,0),""))))</f>
        <v>PREPARO DE FUNDO DE VALA COM LARGURA MENOR QUE 1,5 M (ACERTO DO SOLO NATURAL). AF_08/2020</v>
      </c>
      <c r="H297" s="312" t="str">
        <f>IF($F297="","",IFERROR(VLOOKUP($F297,SERVIÇOS!$B:$G,3,0),IFERROR(VLOOKUP($F297,'COMPOSIÇÕES COMPLEMENTARES '!$D:$L,3,0),IFERROR(VLOOKUP($F297,INSUMOS!$A:$D,3,0),""))))</f>
        <v>M2</v>
      </c>
      <c r="I297" s="313">
        <v>63</v>
      </c>
      <c r="J297" s="314">
        <f>IF($F297="","",IFERROR(VLOOKUP($F297,SERVIÇOS!$B:$G,4,0),IFERROR(VLOOKUP($F297,'COMPOSIÇÕES COMPLEMENTARES '!$D:$L,6,0),IFERROR(VLOOKUP($F297,INSUMOS!$A:$D,4,0),""))))</f>
        <v>2.46</v>
      </c>
      <c r="K297" s="314">
        <f>IF($F297="","",IFERROR(VLOOKUP($F297,SERVIÇOS!$B:$G,5,0),IFERROR(VLOOKUP($F297,'COMPOSIÇÕES COMPLEMENTARES '!$D:$L,7,0),0)))</f>
        <v>5.96</v>
      </c>
      <c r="L297" s="314">
        <f t="shared" si="149"/>
        <v>8.42</v>
      </c>
      <c r="M297" s="314">
        <f t="shared" si="150"/>
        <v>154.97999999999999</v>
      </c>
      <c r="N297" s="314">
        <f t="shared" si="151"/>
        <v>375.48</v>
      </c>
      <c r="O297" s="314">
        <f t="shared" si="152"/>
        <v>530.46</v>
      </c>
      <c r="P297" s="314"/>
      <c r="Q297" s="315"/>
      <c r="R297" s="315"/>
      <c r="S297" s="286"/>
      <c r="T297" s="287"/>
      <c r="U297" s="288" t="str">
        <f t="shared" si="125"/>
        <v/>
      </c>
      <c r="V297" s="287"/>
      <c r="W297" s="289" t="str">
        <f t="shared" si="126"/>
        <v/>
      </c>
      <c r="X297" s="287"/>
      <c r="Y297" s="290" t="str">
        <f t="shared" si="127"/>
        <v/>
      </c>
      <c r="Z297" s="291">
        <f ca="1">SUMIF($T$8:Y$1018,"QUANT.",T297:Y297)</f>
        <v>0</v>
      </c>
      <c r="AA297" s="292">
        <f t="shared" ca="1" si="128"/>
        <v>0</v>
      </c>
      <c r="AB297" s="293" t="str">
        <f t="shared" ca="1" si="129"/>
        <v>MEDIR</v>
      </c>
      <c r="AC297" s="294">
        <f t="shared" ca="1" si="130"/>
        <v>63</v>
      </c>
      <c r="AD297" s="294">
        <f t="shared" ca="1" si="131"/>
        <v>530.46</v>
      </c>
      <c r="AE297" s="295"/>
      <c r="AF297" s="295"/>
      <c r="AG297" s="296"/>
      <c r="AH297" s="296"/>
      <c r="AI297" s="296"/>
      <c r="AJ297" s="325"/>
      <c r="AK297" s="325"/>
      <c r="AL297" s="325"/>
      <c r="AM297" s="325"/>
    </row>
    <row r="298" spans="1:39" x14ac:dyDescent="0.25">
      <c r="A298" s="232">
        <f t="shared" si="124"/>
        <v>298</v>
      </c>
      <c r="B298" s="232"/>
      <c r="C298" s="307" t="str">
        <f t="shared" si="146"/>
        <v>13.8</v>
      </c>
      <c r="D298" s="308">
        <f t="shared" si="147"/>
        <v>7</v>
      </c>
      <c r="E298" s="309" t="str">
        <f t="shared" si="148"/>
        <v>13.8.7</v>
      </c>
      <c r="F298" s="310">
        <v>93382</v>
      </c>
      <c r="G298" s="311" t="str">
        <f>IF($F298="","",IFERROR(VLOOKUP($F298,SERVIÇOS!$B:$G,2,0),IFERROR(VLOOKUP($F298,'COMPOSIÇÕES COMPLEMENTARES '!$D:$L,2,0),IFERROR(VLOOKUP($F298,INSUMOS!$A:$D,2,0),""))))</f>
        <v>REATERRO MANUAL DE VALAS, COM COMPACTADOR DE SOLOS DE PERCUSSÃO. AF_08/2023</v>
      </c>
      <c r="H298" s="312" t="str">
        <f>IF($F298="","",IFERROR(VLOOKUP($F298,SERVIÇOS!$B:$G,3,0),IFERROR(VLOOKUP($F298,'COMPOSIÇÕES COMPLEMENTARES '!$D:$L,3,0),IFERROR(VLOOKUP($F298,INSUMOS!$A:$D,3,0),""))))</f>
        <v>M3</v>
      </c>
      <c r="I298" s="313">
        <v>26.25</v>
      </c>
      <c r="J298" s="314">
        <f>IF($F298="","",IFERROR(VLOOKUP($F298,SERVIÇOS!$B:$G,4,0),IFERROR(VLOOKUP($F298,'COMPOSIÇÕES COMPLEMENTARES '!$D:$L,6,0),IFERROR(VLOOKUP($F298,INSUMOS!$A:$D,4,0),""))))</f>
        <v>12.29</v>
      </c>
      <c r="K298" s="314">
        <f>IF($F298="","",IFERROR(VLOOKUP($F298,SERVIÇOS!$B:$G,5,0),IFERROR(VLOOKUP($F298,'COMPOSIÇÕES COMPLEMENTARES '!$D:$L,7,0),0)))</f>
        <v>20.78</v>
      </c>
      <c r="L298" s="314">
        <f t="shared" si="149"/>
        <v>33.07</v>
      </c>
      <c r="M298" s="314">
        <f t="shared" si="150"/>
        <v>322.61</v>
      </c>
      <c r="N298" s="314">
        <f t="shared" si="151"/>
        <v>545.47</v>
      </c>
      <c r="O298" s="314">
        <f t="shared" si="152"/>
        <v>868.08</v>
      </c>
      <c r="P298" s="314"/>
      <c r="Q298" s="315"/>
      <c r="R298" s="315"/>
      <c r="S298" s="286"/>
      <c r="T298" s="287"/>
      <c r="U298" s="288" t="str">
        <f t="shared" si="125"/>
        <v/>
      </c>
      <c r="V298" s="287"/>
      <c r="W298" s="289" t="str">
        <f t="shared" si="126"/>
        <v/>
      </c>
      <c r="X298" s="287"/>
      <c r="Y298" s="290" t="str">
        <f t="shared" si="127"/>
        <v/>
      </c>
      <c r="Z298" s="291">
        <f ca="1">SUMIF($T$8:Y$1018,"QUANT.",T298:Y298)</f>
        <v>0</v>
      </c>
      <c r="AA298" s="292">
        <f t="shared" ca="1" si="128"/>
        <v>0</v>
      </c>
      <c r="AB298" s="293" t="str">
        <f t="shared" ca="1" si="129"/>
        <v>MEDIR</v>
      </c>
      <c r="AC298" s="294">
        <f t="shared" ca="1" si="130"/>
        <v>26.25</v>
      </c>
      <c r="AD298" s="294">
        <f t="shared" ca="1" si="131"/>
        <v>868.08</v>
      </c>
      <c r="AE298" s="295"/>
      <c r="AF298" s="295"/>
      <c r="AG298" s="296"/>
      <c r="AH298" s="296"/>
      <c r="AI298" s="296"/>
      <c r="AJ298" s="325"/>
      <c r="AK298" s="325"/>
      <c r="AL298" s="325"/>
      <c r="AM298" s="325"/>
    </row>
    <row r="299" spans="1:39" x14ac:dyDescent="0.25">
      <c r="A299" s="232">
        <f t="shared" si="124"/>
        <v>299</v>
      </c>
      <c r="B299" s="232"/>
      <c r="C299" s="316" t="str">
        <f>+E299</f>
        <v>13.9</v>
      </c>
      <c r="D299" s="297"/>
      <c r="E299" s="317" t="s">
        <v>12113</v>
      </c>
      <c r="F299" s="317"/>
      <c r="G299" s="318" t="s">
        <v>12114</v>
      </c>
      <c r="H299" s="317"/>
      <c r="I299" s="319"/>
      <c r="J299" s="317"/>
      <c r="K299" s="317"/>
      <c r="L299" s="317"/>
      <c r="M299" s="317"/>
      <c r="N299" s="317"/>
      <c r="O299" s="317"/>
      <c r="P299" s="317"/>
      <c r="Q299" s="320"/>
      <c r="R299" s="306"/>
      <c r="S299" s="286"/>
      <c r="T299" s="287"/>
      <c r="U299" s="288" t="str">
        <f t="shared" si="125"/>
        <v/>
      </c>
      <c r="V299" s="287"/>
      <c r="W299" s="289" t="str">
        <f t="shared" si="126"/>
        <v/>
      </c>
      <c r="X299" s="287"/>
      <c r="Y299" s="290" t="str">
        <f t="shared" si="127"/>
        <v/>
      </c>
      <c r="Z299" s="291">
        <f ca="1">SUMIF($T$8:Y$1018,"QUANT.",T299:Y299)</f>
        <v>0</v>
      </c>
      <c r="AA299" s="292">
        <f t="shared" ca="1" si="128"/>
        <v>0</v>
      </c>
      <c r="AB299" s="293" t="str">
        <f t="shared" si="129"/>
        <v/>
      </c>
      <c r="AC299" s="294">
        <f t="shared" ca="1" si="130"/>
        <v>0</v>
      </c>
      <c r="AD299" s="294">
        <f t="shared" ca="1" si="131"/>
        <v>0</v>
      </c>
      <c r="AE299" s="295"/>
      <c r="AF299" s="295"/>
      <c r="AG299" s="296"/>
      <c r="AH299" s="296"/>
      <c r="AI299" s="296"/>
      <c r="AJ299" s="325"/>
      <c r="AK299" s="325"/>
      <c r="AL299" s="325"/>
      <c r="AM299" s="325"/>
    </row>
    <row r="300" spans="1:39" x14ac:dyDescent="0.25">
      <c r="A300" s="232">
        <f t="shared" si="124"/>
        <v>300</v>
      </c>
      <c r="B300" s="232"/>
      <c r="C300" s="316" t="str">
        <f>+E300</f>
        <v>13.10</v>
      </c>
      <c r="D300" s="297"/>
      <c r="E300" s="317" t="s">
        <v>12115</v>
      </c>
      <c r="F300" s="317"/>
      <c r="G300" s="318" t="s">
        <v>12116</v>
      </c>
      <c r="H300" s="317"/>
      <c r="I300" s="319"/>
      <c r="J300" s="317"/>
      <c r="K300" s="317"/>
      <c r="L300" s="317"/>
      <c r="M300" s="317"/>
      <c r="N300" s="317"/>
      <c r="O300" s="317"/>
      <c r="P300" s="317"/>
      <c r="Q300" s="320"/>
      <c r="R300" s="306"/>
      <c r="S300" s="286"/>
      <c r="T300" s="287"/>
      <c r="U300" s="288" t="str">
        <f t="shared" si="125"/>
        <v/>
      </c>
      <c r="V300" s="287"/>
      <c r="W300" s="289" t="str">
        <f t="shared" si="126"/>
        <v/>
      </c>
      <c r="X300" s="287"/>
      <c r="Y300" s="290" t="str">
        <f t="shared" si="127"/>
        <v/>
      </c>
      <c r="Z300" s="291">
        <f ca="1">SUMIF($T$8:Y$1018,"QUANT.",T300:Y300)</f>
        <v>0</v>
      </c>
      <c r="AA300" s="292">
        <f t="shared" ca="1" si="128"/>
        <v>0</v>
      </c>
      <c r="AB300" s="293" t="str">
        <f t="shared" si="129"/>
        <v/>
      </c>
      <c r="AC300" s="294">
        <f t="shared" ca="1" si="130"/>
        <v>0</v>
      </c>
      <c r="AD300" s="294">
        <f t="shared" ca="1" si="131"/>
        <v>0</v>
      </c>
      <c r="AE300" s="295"/>
      <c r="AF300" s="295"/>
      <c r="AG300" s="296"/>
      <c r="AH300" s="296"/>
      <c r="AI300" s="296"/>
      <c r="AJ300" s="325"/>
      <c r="AK300" s="325"/>
      <c r="AL300" s="325"/>
      <c r="AM300" s="325"/>
    </row>
    <row r="301" spans="1:39" x14ac:dyDescent="0.25">
      <c r="A301" s="232">
        <f t="shared" si="124"/>
        <v>301</v>
      </c>
      <c r="B301" s="232"/>
      <c r="C301" s="307" t="str">
        <f>+C300</f>
        <v>13.10</v>
      </c>
      <c r="D301" s="308">
        <f>1+D300</f>
        <v>1</v>
      </c>
      <c r="E301" s="309" t="str">
        <f>C301&amp;"."&amp;D301</f>
        <v>13.10.1</v>
      </c>
      <c r="F301" s="310" t="s">
        <v>12117</v>
      </c>
      <c r="G301" s="311" t="str">
        <f>IF($F301="","",IFERROR(VLOOKUP($F301,SERVIÇOS!$B:$G,2,0),IFERROR(VLOOKUP($F301,'COMPOSIÇÕES COMPLEMENTARES '!$D:$L,2,0),IFERROR(VLOOKUP($F301,INSUMOS!$A:$D,2,0),""))))</f>
        <v>TUBO PVC, SERIE NORMAL, PARA ESGOTO PREDIAL, INCLUSO CONEXÕES, D=40MM</v>
      </c>
      <c r="H301" s="312" t="str">
        <f>IF($F301="","",IFERROR(VLOOKUP($F301,SERVIÇOS!$B:$G,3,0),IFERROR(VLOOKUP($F301,'COMPOSIÇÕES COMPLEMENTARES '!$D:$L,3,0),IFERROR(VLOOKUP($F301,INSUMOS!$A:$D,3,0),""))))</f>
        <v>M</v>
      </c>
      <c r="I301" s="313">
        <v>58</v>
      </c>
      <c r="J301" s="314">
        <f>IF($F301="","",IFERROR(VLOOKUP($F301,SERVIÇOS!$B:$G,4,0),IFERROR(VLOOKUP($F301,'COMPOSIÇÕES COMPLEMENTARES '!$D:$L,6,0),IFERROR(VLOOKUP($F301,INSUMOS!$A:$D,4,0),""))))</f>
        <v>20.64</v>
      </c>
      <c r="K301" s="314">
        <f>IF($F301="","",IFERROR(VLOOKUP($F301,SERVIÇOS!$B:$G,5,0),IFERROR(VLOOKUP($F301,'COMPOSIÇÕES COMPLEMENTARES '!$D:$L,7,0),0)))</f>
        <v>24.3</v>
      </c>
      <c r="L301" s="314">
        <f>IF(I301="","",J301+K301)</f>
        <v>44.94</v>
      </c>
      <c r="M301" s="314">
        <f>IF(I301="","",TRUNC((I301*J301),2))</f>
        <v>1197.1199999999999</v>
      </c>
      <c r="N301" s="314">
        <f>IF(I301="","",TRUNC((I301*K301),2))</f>
        <v>1409.4</v>
      </c>
      <c r="O301" s="314">
        <f>IF(I301="","",TRUNC((M301+N301),2))</f>
        <v>2606.52</v>
      </c>
      <c r="P301" s="314"/>
      <c r="Q301" s="315"/>
      <c r="R301" s="315"/>
      <c r="S301" s="286"/>
      <c r="T301" s="287"/>
      <c r="U301" s="288" t="str">
        <f t="shared" si="125"/>
        <v/>
      </c>
      <c r="V301" s="287"/>
      <c r="W301" s="289" t="str">
        <f t="shared" si="126"/>
        <v/>
      </c>
      <c r="X301" s="287"/>
      <c r="Y301" s="290" t="str">
        <f t="shared" si="127"/>
        <v/>
      </c>
      <c r="Z301" s="291">
        <f ca="1">SUMIF($T$8:Y$1018,"QUANT.",T301:Y301)</f>
        <v>0</v>
      </c>
      <c r="AA301" s="292">
        <f t="shared" ca="1" si="128"/>
        <v>0</v>
      </c>
      <c r="AB301" s="293" t="str">
        <f t="shared" ca="1" si="129"/>
        <v>MEDIR</v>
      </c>
      <c r="AC301" s="294">
        <f t="shared" ca="1" si="130"/>
        <v>58</v>
      </c>
      <c r="AD301" s="294">
        <f t="shared" ca="1" si="131"/>
        <v>2606.52</v>
      </c>
      <c r="AE301" s="295"/>
      <c r="AF301" s="295"/>
      <c r="AG301" s="296"/>
      <c r="AH301" s="296"/>
      <c r="AI301" s="296"/>
      <c r="AJ301" s="325"/>
      <c r="AK301" s="325"/>
      <c r="AL301" s="325"/>
      <c r="AM301" s="325"/>
    </row>
    <row r="302" spans="1:39" x14ac:dyDescent="0.25">
      <c r="A302" s="232">
        <f t="shared" si="124"/>
        <v>302</v>
      </c>
      <c r="B302" s="232"/>
      <c r="C302" s="307" t="str">
        <f>+C301</f>
        <v>13.10</v>
      </c>
      <c r="D302" s="308">
        <f>1+D301</f>
        <v>2</v>
      </c>
      <c r="E302" s="309" t="str">
        <f>C302&amp;"."&amp;D302</f>
        <v>13.10.2</v>
      </c>
      <c r="F302" s="310" t="s">
        <v>12118</v>
      </c>
      <c r="G302" s="311" t="str">
        <f>IF($F302="","",IFERROR(VLOOKUP($F302,SERVIÇOS!$B:$G,2,0),IFERROR(VLOOKUP($F302,'COMPOSIÇÕES COMPLEMENTARES '!$D:$L,2,0),IFERROR(VLOOKUP($F302,INSUMOS!$A:$D,2,0),""))))</f>
        <v>TUBO PVC, SERIE NORMAL, PARA ESGOTO PREDIAL, INCLUSO CONEXÕES, D= 50MM</v>
      </c>
      <c r="H302" s="312" t="str">
        <f>IF($F302="","",IFERROR(VLOOKUP($F302,SERVIÇOS!$B:$G,3,0),IFERROR(VLOOKUP($F302,'COMPOSIÇÕES COMPLEMENTARES '!$D:$L,3,0),IFERROR(VLOOKUP($F302,INSUMOS!$A:$D,3,0),""))))</f>
        <v>M</v>
      </c>
      <c r="I302" s="313">
        <v>174</v>
      </c>
      <c r="J302" s="314">
        <f>IF($F302="","",IFERROR(VLOOKUP($F302,SERVIÇOS!$B:$G,4,0),IFERROR(VLOOKUP($F302,'COMPOSIÇÕES COMPLEMENTARES '!$D:$L,6,0),IFERROR(VLOOKUP($F302,INSUMOS!$A:$D,4,0),""))))</f>
        <v>28.06</v>
      </c>
      <c r="K302" s="314">
        <f>IF($F302="","",IFERROR(VLOOKUP($F302,SERVIÇOS!$B:$G,5,0),IFERROR(VLOOKUP($F302,'COMPOSIÇÕES COMPLEMENTARES '!$D:$L,7,0),0)))</f>
        <v>29.15</v>
      </c>
      <c r="L302" s="314">
        <f>IF(I302="","",J302+K302)</f>
        <v>57.209999999999994</v>
      </c>
      <c r="M302" s="314">
        <f>IF(I302="","",TRUNC((I302*J302),2))</f>
        <v>4882.4399999999996</v>
      </c>
      <c r="N302" s="314">
        <f>IF(I302="","",TRUNC((I302*K302),2))</f>
        <v>5072.1000000000004</v>
      </c>
      <c r="O302" s="314">
        <f>IF(I302="","",TRUNC((M302+N302),2))</f>
        <v>9954.5400000000009</v>
      </c>
      <c r="P302" s="314"/>
      <c r="Q302" s="315"/>
      <c r="R302" s="315"/>
      <c r="S302" s="286"/>
      <c r="T302" s="287"/>
      <c r="U302" s="288" t="str">
        <f t="shared" si="125"/>
        <v/>
      </c>
      <c r="V302" s="287"/>
      <c r="W302" s="289" t="str">
        <f t="shared" si="126"/>
        <v/>
      </c>
      <c r="X302" s="287"/>
      <c r="Y302" s="290" t="str">
        <f t="shared" si="127"/>
        <v/>
      </c>
      <c r="Z302" s="291">
        <f ca="1">SUMIF($T$8:Y$1018,"QUANT.",T302:Y302)</f>
        <v>0</v>
      </c>
      <c r="AA302" s="292">
        <f t="shared" ca="1" si="128"/>
        <v>0</v>
      </c>
      <c r="AB302" s="293" t="str">
        <f t="shared" ca="1" si="129"/>
        <v>MEDIR</v>
      </c>
      <c r="AC302" s="294">
        <f t="shared" ca="1" si="130"/>
        <v>174</v>
      </c>
      <c r="AD302" s="294">
        <f t="shared" ca="1" si="131"/>
        <v>9954.5400000000009</v>
      </c>
      <c r="AE302" s="295"/>
      <c r="AF302" s="295"/>
      <c r="AG302" s="296"/>
      <c r="AH302" s="296"/>
      <c r="AI302" s="296"/>
      <c r="AJ302" s="325"/>
      <c r="AK302" s="325"/>
      <c r="AL302" s="325"/>
      <c r="AM302" s="325"/>
    </row>
    <row r="303" spans="1:39" x14ac:dyDescent="0.25">
      <c r="A303" s="232">
        <f t="shared" si="124"/>
        <v>303</v>
      </c>
      <c r="B303" s="232"/>
      <c r="C303" s="307" t="str">
        <f>+C302</f>
        <v>13.10</v>
      </c>
      <c r="D303" s="308">
        <f>1+D302</f>
        <v>3</v>
      </c>
      <c r="E303" s="309" t="str">
        <f>C303&amp;"."&amp;D303</f>
        <v>13.10.3</v>
      </c>
      <c r="F303" s="310" t="s">
        <v>12119</v>
      </c>
      <c r="G303" s="311" t="str">
        <f>IF($F303="","",IFERROR(VLOOKUP($F303,SERVIÇOS!$B:$G,2,0),IFERROR(VLOOKUP($F303,'COMPOSIÇÕES COMPLEMENTARES '!$D:$L,2,0),IFERROR(VLOOKUP($F303,INSUMOS!$A:$D,2,0),""))))</f>
        <v>TUBO PVC, SERIE NORMAL, PARA ESGOTO PREDIAL, INCLUSO CONEXÕES, D=75MM</v>
      </c>
      <c r="H303" s="312" t="str">
        <f>IF($F303="","",IFERROR(VLOOKUP($F303,SERVIÇOS!$B:$G,3,0),IFERROR(VLOOKUP($F303,'COMPOSIÇÕES COMPLEMENTARES '!$D:$L,3,0),IFERROR(VLOOKUP($F303,INSUMOS!$A:$D,3,0),""))))</f>
        <v>M</v>
      </c>
      <c r="I303" s="313">
        <v>27</v>
      </c>
      <c r="J303" s="314">
        <f>IF($F303="","",IFERROR(VLOOKUP($F303,SERVIÇOS!$B:$G,4,0),IFERROR(VLOOKUP($F303,'COMPOSIÇÕES COMPLEMENTARES '!$D:$L,6,0),IFERROR(VLOOKUP($F303,INSUMOS!$A:$D,4,0),""))))</f>
        <v>50.39</v>
      </c>
      <c r="K303" s="314">
        <f>IF($F303="","",IFERROR(VLOOKUP($F303,SERVIÇOS!$B:$G,5,0),IFERROR(VLOOKUP($F303,'COMPOSIÇÕES COMPLEMENTARES '!$D:$L,7,0),0)))</f>
        <v>43.74</v>
      </c>
      <c r="L303" s="314">
        <f>IF(I303="","",J303+K303)</f>
        <v>94.13</v>
      </c>
      <c r="M303" s="314">
        <f>IF(I303="","",TRUNC((I303*J303),2))</f>
        <v>1360.53</v>
      </c>
      <c r="N303" s="314">
        <f>IF(I303="","",TRUNC((I303*K303),2))</f>
        <v>1180.98</v>
      </c>
      <c r="O303" s="314">
        <f>IF(I303="","",TRUNC((M303+N303),2))</f>
        <v>2541.5100000000002</v>
      </c>
      <c r="P303" s="314"/>
      <c r="Q303" s="315"/>
      <c r="R303" s="315"/>
      <c r="S303" s="286"/>
      <c r="T303" s="287"/>
      <c r="U303" s="288" t="str">
        <f t="shared" si="125"/>
        <v/>
      </c>
      <c r="V303" s="287"/>
      <c r="W303" s="289" t="str">
        <f t="shared" si="126"/>
        <v/>
      </c>
      <c r="X303" s="287"/>
      <c r="Y303" s="290" t="str">
        <f t="shared" si="127"/>
        <v/>
      </c>
      <c r="Z303" s="291">
        <f ca="1">SUMIF($T$8:Y$1018,"QUANT.",T303:Y303)</f>
        <v>0</v>
      </c>
      <c r="AA303" s="292">
        <f t="shared" ca="1" si="128"/>
        <v>0</v>
      </c>
      <c r="AB303" s="293" t="str">
        <f t="shared" ca="1" si="129"/>
        <v>MEDIR</v>
      </c>
      <c r="AC303" s="294">
        <f t="shared" ca="1" si="130"/>
        <v>27</v>
      </c>
      <c r="AD303" s="294">
        <f t="shared" ca="1" si="131"/>
        <v>2541.5100000000002</v>
      </c>
      <c r="AE303" s="295"/>
      <c r="AF303" s="295"/>
      <c r="AG303" s="296"/>
      <c r="AH303" s="296"/>
      <c r="AI303" s="296"/>
      <c r="AJ303" s="325"/>
      <c r="AK303" s="325"/>
      <c r="AL303" s="325"/>
      <c r="AM303" s="325"/>
    </row>
    <row r="304" spans="1:39" x14ac:dyDescent="0.25">
      <c r="A304" s="232">
        <f t="shared" si="124"/>
        <v>304</v>
      </c>
      <c r="B304" s="232"/>
      <c r="C304" s="307" t="str">
        <f>+C303</f>
        <v>13.10</v>
      </c>
      <c r="D304" s="308">
        <f>1+D303</f>
        <v>4</v>
      </c>
      <c r="E304" s="309" t="str">
        <f>C304&amp;"."&amp;D304</f>
        <v>13.10.4</v>
      </c>
      <c r="F304" s="310" t="s">
        <v>12120</v>
      </c>
      <c r="G304" s="311" t="str">
        <f>IF($F304="","",IFERROR(VLOOKUP($F304,SERVIÇOS!$B:$G,2,0),IFERROR(VLOOKUP($F304,'COMPOSIÇÕES COMPLEMENTARES '!$D:$L,2,0),IFERROR(VLOOKUP($F304,INSUMOS!$A:$D,2,0),""))))</f>
        <v>TUBO PVC, SERIE NORMAL, PARA ESGOTO PREDIAL, INCLUSO CONEXÕES,  D=100MM</v>
      </c>
      <c r="H304" s="312" t="str">
        <f>IF($F304="","",IFERROR(VLOOKUP($F304,SERVIÇOS!$B:$G,3,0),IFERROR(VLOOKUP($F304,'COMPOSIÇÕES COMPLEMENTARES '!$D:$L,3,0),IFERROR(VLOOKUP($F304,INSUMOS!$A:$D,3,0),""))))</f>
        <v>M</v>
      </c>
      <c r="I304" s="313">
        <v>144</v>
      </c>
      <c r="J304" s="314">
        <f>IF($F304="","",IFERROR(VLOOKUP($F304,SERVIÇOS!$B:$G,4,0),IFERROR(VLOOKUP($F304,'COMPOSIÇÕES COMPLEMENTARES '!$D:$L,6,0),IFERROR(VLOOKUP($F304,INSUMOS!$A:$D,4,0),""))))</f>
        <v>45.94</v>
      </c>
      <c r="K304" s="314">
        <f>IF($F304="","",IFERROR(VLOOKUP($F304,SERVIÇOS!$B:$G,5,0),IFERROR(VLOOKUP($F304,'COMPOSIÇÕES COMPLEMENTARES '!$D:$L,7,0),0)))</f>
        <v>53.46</v>
      </c>
      <c r="L304" s="314">
        <f>IF(I304="","",J304+K304)</f>
        <v>99.4</v>
      </c>
      <c r="M304" s="314">
        <f>IF(I304="","",TRUNC((I304*J304),2))</f>
        <v>6615.36</v>
      </c>
      <c r="N304" s="314">
        <f>IF(I304="","",TRUNC((I304*K304),2))</f>
        <v>7698.24</v>
      </c>
      <c r="O304" s="314">
        <f>IF(I304="","",TRUNC((M304+N304),2))</f>
        <v>14313.6</v>
      </c>
      <c r="P304" s="314"/>
      <c r="Q304" s="315"/>
      <c r="R304" s="315"/>
      <c r="S304" s="286"/>
      <c r="T304" s="287"/>
      <c r="U304" s="288" t="str">
        <f t="shared" si="125"/>
        <v/>
      </c>
      <c r="V304" s="287"/>
      <c r="W304" s="289" t="str">
        <f t="shared" si="126"/>
        <v/>
      </c>
      <c r="X304" s="287"/>
      <c r="Y304" s="290" t="str">
        <f t="shared" si="127"/>
        <v/>
      </c>
      <c r="Z304" s="291">
        <f ca="1">SUMIF($T$8:Y$1018,"QUANT.",T304:Y304)</f>
        <v>0</v>
      </c>
      <c r="AA304" s="292">
        <f t="shared" ca="1" si="128"/>
        <v>0</v>
      </c>
      <c r="AB304" s="293" t="str">
        <f t="shared" ca="1" si="129"/>
        <v>MEDIR</v>
      </c>
      <c r="AC304" s="294">
        <f t="shared" ca="1" si="130"/>
        <v>144</v>
      </c>
      <c r="AD304" s="294">
        <f t="shared" ca="1" si="131"/>
        <v>14313.6</v>
      </c>
      <c r="AE304" s="295"/>
      <c r="AF304" s="295"/>
      <c r="AG304" s="296"/>
      <c r="AH304" s="296"/>
      <c r="AI304" s="296"/>
      <c r="AJ304" s="325"/>
      <c r="AK304" s="325"/>
      <c r="AL304" s="325"/>
      <c r="AM304" s="325"/>
    </row>
    <row r="305" spans="1:39" x14ac:dyDescent="0.25">
      <c r="A305" s="232">
        <f t="shared" si="124"/>
        <v>305</v>
      </c>
      <c r="B305" s="232"/>
      <c r="C305" s="316" t="str">
        <f>+E305</f>
        <v>13.11</v>
      </c>
      <c r="D305" s="297"/>
      <c r="E305" s="317" t="s">
        <v>12121</v>
      </c>
      <c r="F305" s="317"/>
      <c r="G305" s="318" t="s">
        <v>12122</v>
      </c>
      <c r="H305" s="317"/>
      <c r="I305" s="319"/>
      <c r="J305" s="317"/>
      <c r="K305" s="317"/>
      <c r="L305" s="317"/>
      <c r="M305" s="317"/>
      <c r="N305" s="317"/>
      <c r="O305" s="317"/>
      <c r="P305" s="317"/>
      <c r="Q305" s="320"/>
      <c r="R305" s="306"/>
      <c r="S305" s="286"/>
      <c r="T305" s="287"/>
      <c r="U305" s="288" t="str">
        <f t="shared" si="125"/>
        <v/>
      </c>
      <c r="V305" s="287"/>
      <c r="W305" s="289" t="str">
        <f t="shared" si="126"/>
        <v/>
      </c>
      <c r="X305" s="287"/>
      <c r="Y305" s="290" t="str">
        <f t="shared" si="127"/>
        <v/>
      </c>
      <c r="Z305" s="291">
        <f ca="1">SUMIF($T$8:Y$1018,"QUANT.",T305:Y305)</f>
        <v>0</v>
      </c>
      <c r="AA305" s="292">
        <f t="shared" ca="1" si="128"/>
        <v>0</v>
      </c>
      <c r="AB305" s="293" t="str">
        <f t="shared" si="129"/>
        <v/>
      </c>
      <c r="AC305" s="294">
        <f t="shared" ca="1" si="130"/>
        <v>0</v>
      </c>
      <c r="AD305" s="294">
        <f t="shared" ca="1" si="131"/>
        <v>0</v>
      </c>
      <c r="AE305" s="295"/>
      <c r="AF305" s="295"/>
      <c r="AG305" s="296"/>
      <c r="AH305" s="296"/>
      <c r="AI305" s="296"/>
      <c r="AJ305" s="325"/>
      <c r="AK305" s="325"/>
      <c r="AL305" s="325"/>
      <c r="AM305" s="325"/>
    </row>
    <row r="306" spans="1:39" x14ac:dyDescent="0.25">
      <c r="A306" s="232">
        <f t="shared" si="124"/>
        <v>306</v>
      </c>
      <c r="B306" s="232"/>
      <c r="C306" s="307" t="str">
        <f>+C305</f>
        <v>13.11</v>
      </c>
      <c r="D306" s="308">
        <f>1+D305</f>
        <v>1</v>
      </c>
      <c r="E306" s="309" t="str">
        <f>C306&amp;"."&amp;D306</f>
        <v>13.11.1</v>
      </c>
      <c r="F306" s="310" t="s">
        <v>12123</v>
      </c>
      <c r="G306" s="311" t="str">
        <f>IF($F306="","",IFERROR(VLOOKUP($F306,SERVIÇOS!$B:$G,2,0),IFERROR(VLOOKUP($F306,'COMPOSIÇÕES COMPLEMENTARES '!$D:$L,2,0),IFERROR(VLOOKUP($F306,INSUMOS!$A:$D,2,0),""))))</f>
        <v>TUBO DE POLIPROPILENO RANDOM (PPR), PN 25, INCLUSO CONEXÕES - D=50MM</v>
      </c>
      <c r="H306" s="312" t="str">
        <f>IF($F306="","",IFERROR(VLOOKUP($F306,SERVIÇOS!$B:$G,3,0),IFERROR(VLOOKUP($F306,'COMPOSIÇÕES COMPLEMENTARES '!$D:$L,3,0),IFERROR(VLOOKUP($F306,INSUMOS!$A:$D,3,0),""))))</f>
        <v>M</v>
      </c>
      <c r="I306" s="313">
        <v>9</v>
      </c>
      <c r="J306" s="314">
        <f>IF($F306="","",IFERROR(VLOOKUP($F306,SERVIÇOS!$B:$G,4,0),IFERROR(VLOOKUP($F306,'COMPOSIÇÕES COMPLEMENTARES '!$D:$L,6,0),IFERROR(VLOOKUP($F306,INSUMOS!$A:$D,4,0),""))))</f>
        <v>82.65</v>
      </c>
      <c r="K306" s="314">
        <f>IF($F306="","",IFERROR(VLOOKUP($F306,SERVIÇOS!$B:$G,5,0),IFERROR(VLOOKUP($F306,'COMPOSIÇÕES COMPLEMENTARES '!$D:$L,7,0),0)))</f>
        <v>12.24</v>
      </c>
      <c r="L306" s="314">
        <f>IF(I306="","",J306+K306)</f>
        <v>94.89</v>
      </c>
      <c r="M306" s="314">
        <f>IF(I306="","",TRUNC((I306*J306),2))</f>
        <v>743.85</v>
      </c>
      <c r="N306" s="314">
        <f>IF(I306="","",TRUNC((I306*K306),2))</f>
        <v>110.16</v>
      </c>
      <c r="O306" s="314">
        <f>IF(I306="","",TRUNC((M306+N306),2))</f>
        <v>854.01</v>
      </c>
      <c r="P306" s="314"/>
      <c r="Q306" s="315"/>
      <c r="R306" s="315"/>
      <c r="S306" s="286"/>
      <c r="T306" s="287"/>
      <c r="U306" s="288" t="str">
        <f t="shared" si="125"/>
        <v/>
      </c>
      <c r="V306" s="287"/>
      <c r="W306" s="289" t="str">
        <f t="shared" si="126"/>
        <v/>
      </c>
      <c r="X306" s="287"/>
      <c r="Y306" s="290" t="str">
        <f t="shared" si="127"/>
        <v/>
      </c>
      <c r="Z306" s="291">
        <f ca="1">SUMIF($T$8:Y$1018,"QUANT.",T306:Y306)</f>
        <v>0</v>
      </c>
      <c r="AA306" s="292">
        <f t="shared" ca="1" si="128"/>
        <v>0</v>
      </c>
      <c r="AB306" s="293" t="str">
        <f t="shared" ca="1" si="129"/>
        <v>MEDIR</v>
      </c>
      <c r="AC306" s="294">
        <f t="shared" ca="1" si="130"/>
        <v>9</v>
      </c>
      <c r="AD306" s="294">
        <f t="shared" ca="1" si="131"/>
        <v>854.01</v>
      </c>
      <c r="AE306" s="295"/>
      <c r="AF306" s="295"/>
      <c r="AG306" s="296"/>
      <c r="AH306" s="296"/>
      <c r="AI306" s="296"/>
      <c r="AJ306" s="325"/>
      <c r="AK306" s="325"/>
      <c r="AL306" s="325"/>
      <c r="AM306" s="325"/>
    </row>
    <row r="307" spans="1:39" x14ac:dyDescent="0.25">
      <c r="A307" s="232">
        <f t="shared" si="124"/>
        <v>307</v>
      </c>
      <c r="B307" s="232"/>
      <c r="C307" s="316" t="str">
        <f>+E307</f>
        <v>13.12</v>
      </c>
      <c r="D307" s="297"/>
      <c r="E307" s="317" t="s">
        <v>12124</v>
      </c>
      <c r="F307" s="317"/>
      <c r="G307" s="318" t="s">
        <v>12112</v>
      </c>
      <c r="H307" s="317"/>
      <c r="I307" s="319"/>
      <c r="J307" s="317"/>
      <c r="K307" s="317"/>
      <c r="L307" s="317"/>
      <c r="M307" s="317"/>
      <c r="N307" s="317"/>
      <c r="O307" s="317"/>
      <c r="P307" s="317"/>
      <c r="Q307" s="320"/>
      <c r="R307" s="306"/>
      <c r="S307" s="286"/>
      <c r="T307" s="287"/>
      <c r="U307" s="288" t="str">
        <f t="shared" si="125"/>
        <v/>
      </c>
      <c r="V307" s="287"/>
      <c r="W307" s="289" t="str">
        <f t="shared" si="126"/>
        <v/>
      </c>
      <c r="X307" s="287"/>
      <c r="Y307" s="290" t="str">
        <f t="shared" si="127"/>
        <v/>
      </c>
      <c r="Z307" s="291">
        <f ca="1">SUMIF($T$8:Y$1018,"QUANT.",T307:Y307)</f>
        <v>0</v>
      </c>
      <c r="AA307" s="292">
        <f t="shared" ca="1" si="128"/>
        <v>0</v>
      </c>
      <c r="AB307" s="293" t="str">
        <f t="shared" si="129"/>
        <v/>
      </c>
      <c r="AC307" s="294">
        <f t="shared" ca="1" si="130"/>
        <v>0</v>
      </c>
      <c r="AD307" s="294">
        <f t="shared" ca="1" si="131"/>
        <v>0</v>
      </c>
      <c r="AE307" s="295"/>
      <c r="AF307" s="295"/>
      <c r="AG307" s="296"/>
      <c r="AH307" s="296"/>
      <c r="AI307" s="296"/>
      <c r="AJ307" s="325"/>
      <c r="AK307" s="325"/>
      <c r="AL307" s="325"/>
      <c r="AM307" s="325"/>
    </row>
    <row r="308" spans="1:39" ht="25.5" x14ac:dyDescent="0.25">
      <c r="A308" s="232">
        <f t="shared" si="124"/>
        <v>308</v>
      </c>
      <c r="B308" s="232"/>
      <c r="C308" s="307" t="str">
        <f t="shared" ref="C308:C314" si="153">+C307</f>
        <v>13.12</v>
      </c>
      <c r="D308" s="308">
        <f t="shared" ref="D308:D314" si="154">1+D307</f>
        <v>1</v>
      </c>
      <c r="E308" s="309" t="str">
        <f t="shared" ref="E308:E314" si="155">C308&amp;"."&amp;D308</f>
        <v>13.12.1</v>
      </c>
      <c r="F308" s="310">
        <v>90443</v>
      </c>
      <c r="G308" s="311" t="str">
        <f>IF($F308="","",IFERROR(VLOOKUP($F308,SERVIÇOS!$B:$G,2,0),IFERROR(VLOOKUP($F308,'COMPOSIÇÕES COMPLEMENTARES '!$D:$L,2,0),IFERROR(VLOOKUP($F308,INSUMOS!$A:$D,2,0),""))))</f>
        <v>RASGO LINEAR MANUAL EM ALVENARIA, PARA RAMAIS/ DISTRIBUIÇÃO DE INSTALAÇÕES HIDRÁULICAS, DIÂMETROS MENORES OU IGUAIS A 40 MM. AF_09/2023</v>
      </c>
      <c r="H308" s="312" t="str">
        <f>IF($F308="","",IFERROR(VLOOKUP($F308,SERVIÇOS!$B:$G,3,0),IFERROR(VLOOKUP($F308,'COMPOSIÇÕES COMPLEMENTARES '!$D:$L,3,0),IFERROR(VLOOKUP($F308,INSUMOS!$A:$D,3,0),""))))</f>
        <v>M</v>
      </c>
      <c r="I308" s="313">
        <v>18</v>
      </c>
      <c r="J308" s="314">
        <f>IF($F308="","",IFERROR(VLOOKUP($F308,SERVIÇOS!$B:$G,4,0),IFERROR(VLOOKUP($F308,'COMPOSIÇÕES COMPLEMENTARES '!$D:$L,6,0),IFERROR(VLOOKUP($F308,INSUMOS!$A:$D,4,0),""))))</f>
        <v>2.6</v>
      </c>
      <c r="K308" s="314">
        <f>IF($F308="","",IFERROR(VLOOKUP($F308,SERVIÇOS!$B:$G,5,0),IFERROR(VLOOKUP($F308,'COMPOSIÇÕES COMPLEMENTARES '!$D:$L,7,0),0)))</f>
        <v>7.85</v>
      </c>
      <c r="L308" s="314">
        <f t="shared" ref="L308:L314" si="156">IF(I308="","",J308+K308)</f>
        <v>10.45</v>
      </c>
      <c r="M308" s="314">
        <f t="shared" ref="M308:M314" si="157">IF(I308="","",TRUNC((I308*J308),2))</f>
        <v>46.8</v>
      </c>
      <c r="N308" s="314">
        <f t="shared" ref="N308:N314" si="158">IF(I308="","",TRUNC((I308*K308),2))</f>
        <v>141.30000000000001</v>
      </c>
      <c r="O308" s="314">
        <f t="shared" ref="O308:O314" si="159">IF(I308="","",TRUNC((M308+N308),2))</f>
        <v>188.1</v>
      </c>
      <c r="P308" s="314"/>
      <c r="Q308" s="315"/>
      <c r="R308" s="315"/>
      <c r="S308" s="286"/>
      <c r="T308" s="287"/>
      <c r="U308" s="288" t="str">
        <f t="shared" si="125"/>
        <v/>
      </c>
      <c r="V308" s="287"/>
      <c r="W308" s="289" t="str">
        <f t="shared" si="126"/>
        <v/>
      </c>
      <c r="X308" s="287"/>
      <c r="Y308" s="290" t="str">
        <f t="shared" si="127"/>
        <v/>
      </c>
      <c r="Z308" s="291">
        <f ca="1">SUMIF($T$8:Y$1018,"QUANT.",T308:Y308)</f>
        <v>0</v>
      </c>
      <c r="AA308" s="292">
        <f t="shared" ca="1" si="128"/>
        <v>0</v>
      </c>
      <c r="AB308" s="293" t="str">
        <f t="shared" ca="1" si="129"/>
        <v>MEDIR</v>
      </c>
      <c r="AC308" s="294">
        <f t="shared" ca="1" si="130"/>
        <v>18</v>
      </c>
      <c r="AD308" s="294">
        <f t="shared" ca="1" si="131"/>
        <v>188.1</v>
      </c>
      <c r="AE308" s="295"/>
      <c r="AF308" s="295"/>
      <c r="AG308" s="296"/>
      <c r="AH308" s="296"/>
      <c r="AI308" s="296"/>
      <c r="AJ308" s="325"/>
      <c r="AK308" s="325"/>
      <c r="AL308" s="325"/>
      <c r="AM308" s="325"/>
    </row>
    <row r="309" spans="1:39" ht="25.5" x14ac:dyDescent="0.25">
      <c r="A309" s="232">
        <f t="shared" si="124"/>
        <v>309</v>
      </c>
      <c r="B309" s="232"/>
      <c r="C309" s="307" t="str">
        <f t="shared" si="153"/>
        <v>13.12</v>
      </c>
      <c r="D309" s="308">
        <f t="shared" si="154"/>
        <v>2</v>
      </c>
      <c r="E309" s="309" t="str">
        <f t="shared" si="155"/>
        <v>13.12.2</v>
      </c>
      <c r="F309" s="310">
        <v>90466</v>
      </c>
      <c r="G309" s="311" t="str">
        <f>IF($F309="","",IFERROR(VLOOKUP($F309,SERVIÇOS!$B:$G,2,0),IFERROR(VLOOKUP($F309,'COMPOSIÇÕES COMPLEMENTARES '!$D:$L,2,0),IFERROR(VLOOKUP($F309,INSUMOS!$A:$D,2,0),""))))</f>
        <v>CHUMBAMENTO LINEAR EM ALVENARIA PARA RAMAIS/DISTRIBUIÇÃO DE INSTALAÇÕES HIDRÁULICAS COM DIÂMETROS MENORES OU IGUAIS A 40 MM. AF_09/2023</v>
      </c>
      <c r="H309" s="312" t="str">
        <f>IF($F309="","",IFERROR(VLOOKUP($F309,SERVIÇOS!$B:$G,3,0),IFERROR(VLOOKUP($F309,'COMPOSIÇÕES COMPLEMENTARES '!$D:$L,3,0),IFERROR(VLOOKUP($F309,INSUMOS!$A:$D,3,0),""))))</f>
        <v>M</v>
      </c>
      <c r="I309" s="313">
        <v>18</v>
      </c>
      <c r="J309" s="314">
        <f>IF($F309="","",IFERROR(VLOOKUP($F309,SERVIÇOS!$B:$G,4,0),IFERROR(VLOOKUP($F309,'COMPOSIÇÕES COMPLEMENTARES '!$D:$L,6,0),IFERROR(VLOOKUP($F309,INSUMOS!$A:$D,4,0),""))))</f>
        <v>6.59</v>
      </c>
      <c r="K309" s="314">
        <f>IF($F309="","",IFERROR(VLOOKUP($F309,SERVIÇOS!$B:$G,5,0),IFERROR(VLOOKUP($F309,'COMPOSIÇÕES COMPLEMENTARES '!$D:$L,7,0),0)))</f>
        <v>12.64</v>
      </c>
      <c r="L309" s="314">
        <f t="shared" si="156"/>
        <v>19.23</v>
      </c>
      <c r="M309" s="314">
        <f t="shared" si="157"/>
        <v>118.62</v>
      </c>
      <c r="N309" s="314">
        <f t="shared" si="158"/>
        <v>227.52</v>
      </c>
      <c r="O309" s="314">
        <f t="shared" si="159"/>
        <v>346.14</v>
      </c>
      <c r="P309" s="314"/>
      <c r="Q309" s="315"/>
      <c r="R309" s="315"/>
      <c r="S309" s="286"/>
      <c r="T309" s="287"/>
      <c r="U309" s="288" t="str">
        <f t="shared" si="125"/>
        <v/>
      </c>
      <c r="V309" s="287"/>
      <c r="W309" s="289" t="str">
        <f t="shared" si="126"/>
        <v/>
      </c>
      <c r="X309" s="287"/>
      <c r="Y309" s="290" t="str">
        <f t="shared" si="127"/>
        <v/>
      </c>
      <c r="Z309" s="291">
        <f ca="1">SUMIF($T$8:Y$1018,"QUANT.",T309:Y309)</f>
        <v>0</v>
      </c>
      <c r="AA309" s="292">
        <f t="shared" ca="1" si="128"/>
        <v>0</v>
      </c>
      <c r="AB309" s="293" t="str">
        <f t="shared" ca="1" si="129"/>
        <v>MEDIR</v>
      </c>
      <c r="AC309" s="294">
        <f t="shared" ca="1" si="130"/>
        <v>18</v>
      </c>
      <c r="AD309" s="294">
        <f t="shared" ca="1" si="131"/>
        <v>346.14</v>
      </c>
      <c r="AE309" s="295"/>
      <c r="AF309" s="295"/>
      <c r="AG309" s="296"/>
      <c r="AH309" s="296"/>
      <c r="AI309" s="296"/>
      <c r="AJ309" s="325"/>
      <c r="AK309" s="325"/>
      <c r="AL309" s="325"/>
      <c r="AM309" s="325"/>
    </row>
    <row r="310" spans="1:39" ht="25.5" x14ac:dyDescent="0.25">
      <c r="A310" s="232">
        <f t="shared" si="124"/>
        <v>310</v>
      </c>
      <c r="B310" s="232"/>
      <c r="C310" s="307" t="str">
        <f t="shared" si="153"/>
        <v>13.12</v>
      </c>
      <c r="D310" s="308">
        <f t="shared" si="154"/>
        <v>3</v>
      </c>
      <c r="E310" s="309" t="str">
        <f t="shared" si="155"/>
        <v>13.12.3</v>
      </c>
      <c r="F310" s="310">
        <v>91222</v>
      </c>
      <c r="G310" s="311" t="str">
        <f>IF($F310="","",IFERROR(VLOOKUP($F310,SERVIÇOS!$B:$G,2,0),IFERROR(VLOOKUP($F310,'COMPOSIÇÕES COMPLEMENTARES '!$D:$L,2,0),IFERROR(VLOOKUP($F310,INSUMOS!$A:$D,2,0),""))))</f>
        <v>RASGO LINEAR MANUAL EM ALVENARIA, PARA RAMAIS/ DISTRIBUIÇÃO DE INSTALAÇÕES HIDRÁULICAS, DIÂMETROS MAIORES QUE 40 MM E MENORES OU IGUAIS A 75 MM. AF_09/2023</v>
      </c>
      <c r="H310" s="312" t="str">
        <f>IF($F310="","",IFERROR(VLOOKUP($F310,SERVIÇOS!$B:$G,3,0),IFERROR(VLOOKUP($F310,'COMPOSIÇÕES COMPLEMENTARES '!$D:$L,3,0),IFERROR(VLOOKUP($F310,INSUMOS!$A:$D,3,0),""))))</f>
        <v>M</v>
      </c>
      <c r="I310" s="313">
        <v>90</v>
      </c>
      <c r="J310" s="314">
        <f>IF($F310="","",IFERROR(VLOOKUP($F310,SERVIÇOS!$B:$G,4,0),IFERROR(VLOOKUP($F310,'COMPOSIÇÕES COMPLEMENTARES '!$D:$L,6,0),IFERROR(VLOOKUP($F310,INSUMOS!$A:$D,4,0),""))))</f>
        <v>2.89</v>
      </c>
      <c r="K310" s="314">
        <f>IF($F310="","",IFERROR(VLOOKUP($F310,SERVIÇOS!$B:$G,5,0),IFERROR(VLOOKUP($F310,'COMPOSIÇÕES COMPLEMENTARES '!$D:$L,7,0),0)))</f>
        <v>8.7200000000000006</v>
      </c>
      <c r="L310" s="314">
        <f t="shared" si="156"/>
        <v>11.610000000000001</v>
      </c>
      <c r="M310" s="314">
        <f t="shared" si="157"/>
        <v>260.10000000000002</v>
      </c>
      <c r="N310" s="314">
        <f t="shared" si="158"/>
        <v>784.8</v>
      </c>
      <c r="O310" s="314">
        <f t="shared" si="159"/>
        <v>1044.9000000000001</v>
      </c>
      <c r="P310" s="314"/>
      <c r="Q310" s="315"/>
      <c r="R310" s="315"/>
      <c r="S310" s="286"/>
      <c r="T310" s="287"/>
      <c r="U310" s="288" t="str">
        <f t="shared" si="125"/>
        <v/>
      </c>
      <c r="V310" s="287"/>
      <c r="W310" s="289" t="str">
        <f t="shared" si="126"/>
        <v/>
      </c>
      <c r="X310" s="287"/>
      <c r="Y310" s="290" t="str">
        <f t="shared" si="127"/>
        <v/>
      </c>
      <c r="Z310" s="291">
        <f ca="1">SUMIF($T$8:Y$1018,"QUANT.",T310:Y310)</f>
        <v>0</v>
      </c>
      <c r="AA310" s="292">
        <f t="shared" ca="1" si="128"/>
        <v>0</v>
      </c>
      <c r="AB310" s="293" t="str">
        <f t="shared" ca="1" si="129"/>
        <v>MEDIR</v>
      </c>
      <c r="AC310" s="294">
        <f t="shared" ca="1" si="130"/>
        <v>90</v>
      </c>
      <c r="AD310" s="294">
        <f t="shared" ca="1" si="131"/>
        <v>1044.9000000000001</v>
      </c>
      <c r="AE310" s="295"/>
      <c r="AF310" s="295"/>
      <c r="AG310" s="296"/>
      <c r="AH310" s="296"/>
      <c r="AI310" s="296"/>
      <c r="AJ310" s="325"/>
      <c r="AK310" s="325"/>
      <c r="AL310" s="325"/>
      <c r="AM310" s="325"/>
    </row>
    <row r="311" spans="1:39" ht="25.5" x14ac:dyDescent="0.25">
      <c r="A311" s="232">
        <f t="shared" si="124"/>
        <v>311</v>
      </c>
      <c r="B311" s="232"/>
      <c r="C311" s="307" t="str">
        <f t="shared" si="153"/>
        <v>13.12</v>
      </c>
      <c r="D311" s="308">
        <f t="shared" si="154"/>
        <v>4</v>
      </c>
      <c r="E311" s="309" t="str">
        <f t="shared" si="155"/>
        <v>13.12.4</v>
      </c>
      <c r="F311" s="310">
        <v>90467</v>
      </c>
      <c r="G311" s="311" t="str">
        <f>IF($F311="","",IFERROR(VLOOKUP($F311,SERVIÇOS!$B:$G,2,0),IFERROR(VLOOKUP($F311,'COMPOSIÇÕES COMPLEMENTARES '!$D:$L,2,0),IFERROR(VLOOKUP($F311,INSUMOS!$A:$D,2,0),""))))</f>
        <v>CHUMBAMENTO LINEAR EM ALVENARIA PARA RAMAIS/DISTRIBUIÇÃO DE INSTALAÇÕES HIDRÁULICAS COM DIÂMETROS MAIORES QUE 40 MM E MENORES OU IGUAIS A 75 MM. AF_09/2023</v>
      </c>
      <c r="H311" s="312" t="str">
        <f>IF($F311="","",IFERROR(VLOOKUP($F311,SERVIÇOS!$B:$G,3,0),IFERROR(VLOOKUP($F311,'COMPOSIÇÕES COMPLEMENTARES '!$D:$L,3,0),IFERROR(VLOOKUP($F311,INSUMOS!$A:$D,3,0),""))))</f>
        <v>M</v>
      </c>
      <c r="I311" s="313">
        <v>90</v>
      </c>
      <c r="J311" s="314">
        <f>IF($F311="","",IFERROR(VLOOKUP($F311,SERVIÇOS!$B:$G,4,0),IFERROR(VLOOKUP($F311,'COMPOSIÇÕES COMPLEMENTARES '!$D:$L,6,0),IFERROR(VLOOKUP($F311,INSUMOS!$A:$D,4,0),""))))</f>
        <v>9.99</v>
      </c>
      <c r="K311" s="314">
        <f>IF($F311="","",IFERROR(VLOOKUP($F311,SERVIÇOS!$B:$G,5,0),IFERROR(VLOOKUP($F311,'COMPOSIÇÕES COMPLEMENTARES '!$D:$L,7,0),0)))</f>
        <v>18.89</v>
      </c>
      <c r="L311" s="314">
        <f t="shared" si="156"/>
        <v>28.880000000000003</v>
      </c>
      <c r="M311" s="314">
        <f t="shared" si="157"/>
        <v>899.1</v>
      </c>
      <c r="N311" s="314">
        <f t="shared" si="158"/>
        <v>1700.1</v>
      </c>
      <c r="O311" s="314">
        <f t="shared" si="159"/>
        <v>2599.1999999999998</v>
      </c>
      <c r="P311" s="314"/>
      <c r="Q311" s="315"/>
      <c r="R311" s="315"/>
      <c r="S311" s="286"/>
      <c r="T311" s="287"/>
      <c r="U311" s="288" t="str">
        <f t="shared" si="125"/>
        <v/>
      </c>
      <c r="V311" s="287"/>
      <c r="W311" s="289" t="str">
        <f t="shared" si="126"/>
        <v/>
      </c>
      <c r="X311" s="287"/>
      <c r="Y311" s="290" t="str">
        <f t="shared" si="127"/>
        <v/>
      </c>
      <c r="Z311" s="291">
        <f ca="1">SUMIF($T$8:Y$1018,"QUANT.",T311:Y311)</f>
        <v>0</v>
      </c>
      <c r="AA311" s="292">
        <f t="shared" ca="1" si="128"/>
        <v>0</v>
      </c>
      <c r="AB311" s="293" t="str">
        <f t="shared" ca="1" si="129"/>
        <v>MEDIR</v>
      </c>
      <c r="AC311" s="294">
        <f t="shared" ca="1" si="130"/>
        <v>90</v>
      </c>
      <c r="AD311" s="294">
        <f t="shared" ca="1" si="131"/>
        <v>2599.1999999999998</v>
      </c>
      <c r="AE311" s="295"/>
      <c r="AF311" s="295"/>
      <c r="AG311" s="296"/>
      <c r="AH311" s="296"/>
      <c r="AI311" s="296"/>
      <c r="AJ311" s="325"/>
      <c r="AK311" s="325"/>
      <c r="AL311" s="325"/>
      <c r="AM311" s="325"/>
    </row>
    <row r="312" spans="1:39" x14ac:dyDescent="0.25">
      <c r="A312" s="232">
        <f t="shared" si="124"/>
        <v>312</v>
      </c>
      <c r="B312" s="232"/>
      <c r="C312" s="307" t="str">
        <f t="shared" si="153"/>
        <v>13.12</v>
      </c>
      <c r="D312" s="308">
        <f t="shared" si="154"/>
        <v>5</v>
      </c>
      <c r="E312" s="309" t="str">
        <f t="shared" si="155"/>
        <v>13.12.5</v>
      </c>
      <c r="F312" s="310">
        <v>93358</v>
      </c>
      <c r="G312" s="311" t="str">
        <f>IF($F312="","",IFERROR(VLOOKUP($F312,SERVIÇOS!$B:$G,2,0),IFERROR(VLOOKUP($F312,'COMPOSIÇÕES COMPLEMENTARES '!$D:$L,2,0),IFERROR(VLOOKUP($F312,INSUMOS!$A:$D,2,0),""))))</f>
        <v>ESCAVAÇÃO MANUAL DE VALA. AF_09/2024</v>
      </c>
      <c r="H312" s="312" t="str">
        <f>IF($F312="","",IFERROR(VLOOKUP($F312,SERVIÇOS!$B:$G,3,0),IFERROR(VLOOKUP($F312,'COMPOSIÇÕES COMPLEMENTARES '!$D:$L,3,0),IFERROR(VLOOKUP($F312,INSUMOS!$A:$D,3,0),""))))</f>
        <v>M3</v>
      </c>
      <c r="I312" s="313">
        <v>56.4</v>
      </c>
      <c r="J312" s="314">
        <f>IF($F312="","",IFERROR(VLOOKUP($F312,SERVIÇOS!$B:$G,4,0),IFERROR(VLOOKUP($F312,'COMPOSIÇÕES COMPLEMENTARES '!$D:$L,6,0),IFERROR(VLOOKUP($F312,INSUMOS!$A:$D,4,0),""))))</f>
        <v>36.369999999999997</v>
      </c>
      <c r="K312" s="314">
        <f>IF($F312="","",IFERROR(VLOOKUP($F312,SERVIÇOS!$B:$G,5,0),IFERROR(VLOOKUP($F312,'COMPOSIÇÕES COMPLEMENTARES '!$D:$L,7,0),0)))</f>
        <v>77.2</v>
      </c>
      <c r="L312" s="314">
        <f t="shared" si="156"/>
        <v>113.57</v>
      </c>
      <c r="M312" s="314">
        <f t="shared" si="157"/>
        <v>2051.2600000000002</v>
      </c>
      <c r="N312" s="314">
        <f t="shared" si="158"/>
        <v>4354.08</v>
      </c>
      <c r="O312" s="314">
        <f t="shared" si="159"/>
        <v>6405.34</v>
      </c>
      <c r="P312" s="314"/>
      <c r="Q312" s="315"/>
      <c r="R312" s="315"/>
      <c r="S312" s="286"/>
      <c r="T312" s="287"/>
      <c r="U312" s="288" t="str">
        <f t="shared" si="125"/>
        <v/>
      </c>
      <c r="V312" s="287"/>
      <c r="W312" s="289" t="str">
        <f t="shared" si="126"/>
        <v/>
      </c>
      <c r="X312" s="287"/>
      <c r="Y312" s="290" t="str">
        <f t="shared" si="127"/>
        <v/>
      </c>
      <c r="Z312" s="291">
        <f ca="1">SUMIF($T$8:Y$1018,"QUANT.",T312:Y312)</f>
        <v>0</v>
      </c>
      <c r="AA312" s="292">
        <f t="shared" ca="1" si="128"/>
        <v>0</v>
      </c>
      <c r="AB312" s="293" t="str">
        <f t="shared" ca="1" si="129"/>
        <v>MEDIR</v>
      </c>
      <c r="AC312" s="294">
        <f t="shared" ca="1" si="130"/>
        <v>56.4</v>
      </c>
      <c r="AD312" s="294">
        <f t="shared" ca="1" si="131"/>
        <v>6405.34</v>
      </c>
      <c r="AE312" s="295"/>
      <c r="AF312" s="295"/>
      <c r="AG312" s="296"/>
      <c r="AH312" s="296"/>
      <c r="AI312" s="296"/>
      <c r="AJ312" s="325"/>
      <c r="AK312" s="325"/>
      <c r="AL312" s="325"/>
      <c r="AM312" s="325"/>
    </row>
    <row r="313" spans="1:39" x14ac:dyDescent="0.25">
      <c r="A313" s="232">
        <f t="shared" si="124"/>
        <v>313</v>
      </c>
      <c r="B313" s="232"/>
      <c r="C313" s="307" t="str">
        <f t="shared" si="153"/>
        <v>13.12</v>
      </c>
      <c r="D313" s="308">
        <f t="shared" si="154"/>
        <v>6</v>
      </c>
      <c r="E313" s="309" t="str">
        <f t="shared" si="155"/>
        <v>13.12.6</v>
      </c>
      <c r="F313" s="310">
        <v>101616</v>
      </c>
      <c r="G313" s="311" t="str">
        <f>IF($F313="","",IFERROR(VLOOKUP($F313,SERVIÇOS!$B:$G,2,0),IFERROR(VLOOKUP($F313,'COMPOSIÇÕES COMPLEMENTARES '!$D:$L,2,0),IFERROR(VLOOKUP($F313,INSUMOS!$A:$D,2,0),""))))</f>
        <v>PREPARO DE FUNDO DE VALA COM LARGURA MENOR QUE 1,5 M (ACERTO DO SOLO NATURAL). AF_08/2020</v>
      </c>
      <c r="H313" s="312" t="str">
        <f>IF($F313="","",IFERROR(VLOOKUP($F313,SERVIÇOS!$B:$G,3,0),IFERROR(VLOOKUP($F313,'COMPOSIÇÕES COMPLEMENTARES '!$D:$L,3,0),IFERROR(VLOOKUP($F313,INSUMOS!$A:$D,3,0),""))))</f>
        <v>M2</v>
      </c>
      <c r="I313" s="313">
        <v>112.8</v>
      </c>
      <c r="J313" s="314">
        <f>IF($F313="","",IFERROR(VLOOKUP($F313,SERVIÇOS!$B:$G,4,0),IFERROR(VLOOKUP($F313,'COMPOSIÇÕES COMPLEMENTARES '!$D:$L,6,0),IFERROR(VLOOKUP($F313,INSUMOS!$A:$D,4,0),""))))</f>
        <v>2.46</v>
      </c>
      <c r="K313" s="314">
        <f>IF($F313="","",IFERROR(VLOOKUP($F313,SERVIÇOS!$B:$G,5,0),IFERROR(VLOOKUP($F313,'COMPOSIÇÕES COMPLEMENTARES '!$D:$L,7,0),0)))</f>
        <v>5.96</v>
      </c>
      <c r="L313" s="314">
        <f t="shared" si="156"/>
        <v>8.42</v>
      </c>
      <c r="M313" s="314">
        <f t="shared" si="157"/>
        <v>277.48</v>
      </c>
      <c r="N313" s="314">
        <f t="shared" si="158"/>
        <v>672.28</v>
      </c>
      <c r="O313" s="314">
        <f t="shared" si="159"/>
        <v>949.76</v>
      </c>
      <c r="P313" s="314"/>
      <c r="Q313" s="315"/>
      <c r="R313" s="315"/>
      <c r="S313" s="286"/>
      <c r="T313" s="287"/>
      <c r="U313" s="288" t="str">
        <f t="shared" si="125"/>
        <v/>
      </c>
      <c r="V313" s="287"/>
      <c r="W313" s="289" t="str">
        <f t="shared" si="126"/>
        <v/>
      </c>
      <c r="X313" s="287"/>
      <c r="Y313" s="290" t="str">
        <f t="shared" si="127"/>
        <v/>
      </c>
      <c r="Z313" s="291">
        <f ca="1">SUMIF($T$8:Y$1018,"QUANT.",T313:Y313)</f>
        <v>0</v>
      </c>
      <c r="AA313" s="292">
        <f t="shared" ca="1" si="128"/>
        <v>0</v>
      </c>
      <c r="AB313" s="293" t="str">
        <f t="shared" ca="1" si="129"/>
        <v>MEDIR</v>
      </c>
      <c r="AC313" s="294">
        <f t="shared" ca="1" si="130"/>
        <v>112.8</v>
      </c>
      <c r="AD313" s="294">
        <f t="shared" ca="1" si="131"/>
        <v>949.76</v>
      </c>
      <c r="AE313" s="295"/>
      <c r="AF313" s="295"/>
      <c r="AG313" s="296"/>
      <c r="AH313" s="296"/>
      <c r="AI313" s="296"/>
      <c r="AJ313" s="325"/>
      <c r="AK313" s="325"/>
      <c r="AL313" s="325"/>
      <c r="AM313" s="325"/>
    </row>
    <row r="314" spans="1:39" x14ac:dyDescent="0.25">
      <c r="A314" s="232">
        <f t="shared" si="124"/>
        <v>314</v>
      </c>
      <c r="B314" s="232"/>
      <c r="C314" s="307" t="str">
        <f t="shared" si="153"/>
        <v>13.12</v>
      </c>
      <c r="D314" s="308">
        <f t="shared" si="154"/>
        <v>7</v>
      </c>
      <c r="E314" s="309" t="str">
        <f t="shared" si="155"/>
        <v>13.12.7</v>
      </c>
      <c r="F314" s="310">
        <v>93382</v>
      </c>
      <c r="G314" s="311" t="str">
        <f>IF($F314="","",IFERROR(VLOOKUP($F314,SERVIÇOS!$B:$G,2,0),IFERROR(VLOOKUP($F314,'COMPOSIÇÕES COMPLEMENTARES '!$D:$L,2,0),IFERROR(VLOOKUP($F314,INSUMOS!$A:$D,2,0),""))))</f>
        <v>REATERRO MANUAL DE VALAS, COM COMPACTADOR DE SOLOS DE PERCUSSÃO. AF_08/2023</v>
      </c>
      <c r="H314" s="312" t="str">
        <f>IF($F314="","",IFERROR(VLOOKUP($F314,SERVIÇOS!$B:$G,3,0),IFERROR(VLOOKUP($F314,'COMPOSIÇÕES COMPLEMENTARES '!$D:$L,3,0),IFERROR(VLOOKUP($F314,INSUMOS!$A:$D,3,0),""))))</f>
        <v>M3</v>
      </c>
      <c r="I314" s="313">
        <v>47</v>
      </c>
      <c r="J314" s="314">
        <f>IF($F314="","",IFERROR(VLOOKUP($F314,SERVIÇOS!$B:$G,4,0),IFERROR(VLOOKUP($F314,'COMPOSIÇÕES COMPLEMENTARES '!$D:$L,6,0),IFERROR(VLOOKUP($F314,INSUMOS!$A:$D,4,0),""))))</f>
        <v>12.29</v>
      </c>
      <c r="K314" s="314">
        <f>IF($F314="","",IFERROR(VLOOKUP($F314,SERVIÇOS!$B:$G,5,0),IFERROR(VLOOKUP($F314,'COMPOSIÇÕES COMPLEMENTARES '!$D:$L,7,0),0)))</f>
        <v>20.78</v>
      </c>
      <c r="L314" s="314">
        <f t="shared" si="156"/>
        <v>33.07</v>
      </c>
      <c r="M314" s="314">
        <f t="shared" si="157"/>
        <v>577.63</v>
      </c>
      <c r="N314" s="314">
        <f t="shared" si="158"/>
        <v>976.66</v>
      </c>
      <c r="O314" s="314">
        <f t="shared" si="159"/>
        <v>1554.29</v>
      </c>
      <c r="P314" s="314"/>
      <c r="Q314" s="315"/>
      <c r="R314" s="315"/>
      <c r="S314" s="286"/>
      <c r="T314" s="287"/>
      <c r="U314" s="288" t="str">
        <f t="shared" si="125"/>
        <v/>
      </c>
      <c r="V314" s="287"/>
      <c r="W314" s="289" t="str">
        <f t="shared" si="126"/>
        <v/>
      </c>
      <c r="X314" s="287"/>
      <c r="Y314" s="290" t="str">
        <f t="shared" si="127"/>
        <v/>
      </c>
      <c r="Z314" s="291">
        <f ca="1">SUMIF($T$8:Y$1018,"QUANT.",T314:Y314)</f>
        <v>0</v>
      </c>
      <c r="AA314" s="292">
        <f t="shared" ca="1" si="128"/>
        <v>0</v>
      </c>
      <c r="AB314" s="293" t="str">
        <f t="shared" ca="1" si="129"/>
        <v>MEDIR</v>
      </c>
      <c r="AC314" s="294">
        <f t="shared" ca="1" si="130"/>
        <v>47</v>
      </c>
      <c r="AD314" s="294">
        <f t="shared" ca="1" si="131"/>
        <v>1554.29</v>
      </c>
      <c r="AE314" s="295"/>
      <c r="AF314" s="295"/>
      <c r="AG314" s="296"/>
      <c r="AH314" s="296"/>
      <c r="AI314" s="296"/>
      <c r="AJ314" s="325"/>
      <c r="AK314" s="325"/>
      <c r="AL314" s="325"/>
      <c r="AM314" s="325"/>
    </row>
    <row r="315" spans="1:39" x14ac:dyDescent="0.25">
      <c r="A315" s="232">
        <f t="shared" si="124"/>
        <v>315</v>
      </c>
      <c r="B315" s="232"/>
      <c r="C315" s="316" t="str">
        <f>+E315</f>
        <v>13.13</v>
      </c>
      <c r="D315" s="297"/>
      <c r="E315" s="317" t="s">
        <v>12125</v>
      </c>
      <c r="F315" s="317"/>
      <c r="G315" s="318" t="s">
        <v>12126</v>
      </c>
      <c r="H315" s="317"/>
      <c r="I315" s="319"/>
      <c r="J315" s="317"/>
      <c r="K315" s="317"/>
      <c r="L315" s="317"/>
      <c r="M315" s="317"/>
      <c r="N315" s="317"/>
      <c r="O315" s="317"/>
      <c r="P315" s="317"/>
      <c r="Q315" s="320"/>
      <c r="R315" s="306"/>
      <c r="S315" s="286"/>
      <c r="T315" s="287"/>
      <c r="U315" s="288" t="str">
        <f t="shared" si="125"/>
        <v/>
      </c>
      <c r="V315" s="287"/>
      <c r="W315" s="289" t="str">
        <f t="shared" si="126"/>
        <v/>
      </c>
      <c r="X315" s="287"/>
      <c r="Y315" s="290" t="str">
        <f t="shared" si="127"/>
        <v/>
      </c>
      <c r="Z315" s="291">
        <f ca="1">SUMIF($T$8:Y$1018,"QUANT.",T315:Y315)</f>
        <v>0</v>
      </c>
      <c r="AA315" s="292">
        <f t="shared" ca="1" si="128"/>
        <v>0</v>
      </c>
      <c r="AB315" s="293" t="str">
        <f t="shared" si="129"/>
        <v/>
      </c>
      <c r="AC315" s="294">
        <f t="shared" ca="1" si="130"/>
        <v>0</v>
      </c>
      <c r="AD315" s="294">
        <f t="shared" ca="1" si="131"/>
        <v>0</v>
      </c>
      <c r="AE315" s="295"/>
      <c r="AF315" s="295"/>
      <c r="AG315" s="296"/>
      <c r="AH315" s="296"/>
      <c r="AI315" s="296"/>
      <c r="AJ315" s="325"/>
      <c r="AK315" s="325"/>
      <c r="AL315" s="325"/>
      <c r="AM315" s="325"/>
    </row>
    <row r="316" spans="1:39" x14ac:dyDescent="0.25">
      <c r="A316" s="232">
        <f t="shared" si="124"/>
        <v>316</v>
      </c>
      <c r="B316" s="232"/>
      <c r="C316" s="316" t="str">
        <f>+E316</f>
        <v>13.14</v>
      </c>
      <c r="D316" s="297"/>
      <c r="E316" s="317" t="s">
        <v>12127</v>
      </c>
      <c r="F316" s="317"/>
      <c r="G316" s="318" t="s">
        <v>12128</v>
      </c>
      <c r="H316" s="317"/>
      <c r="I316" s="319"/>
      <c r="J316" s="317"/>
      <c r="K316" s="317"/>
      <c r="L316" s="317"/>
      <c r="M316" s="317"/>
      <c r="N316" s="317"/>
      <c r="O316" s="317"/>
      <c r="P316" s="317"/>
      <c r="Q316" s="320"/>
      <c r="R316" s="306"/>
      <c r="S316" s="286"/>
      <c r="T316" s="287"/>
      <c r="U316" s="288" t="str">
        <f t="shared" si="125"/>
        <v/>
      </c>
      <c r="V316" s="287"/>
      <c r="W316" s="289" t="str">
        <f t="shared" si="126"/>
        <v/>
      </c>
      <c r="X316" s="287"/>
      <c r="Y316" s="290" t="str">
        <f t="shared" si="127"/>
        <v/>
      </c>
      <c r="Z316" s="291">
        <f ca="1">SUMIF($T$8:Y$1018,"QUANT.",T316:Y316)</f>
        <v>0</v>
      </c>
      <c r="AA316" s="292">
        <f t="shared" ca="1" si="128"/>
        <v>0</v>
      </c>
      <c r="AB316" s="293" t="str">
        <f t="shared" si="129"/>
        <v/>
      </c>
      <c r="AC316" s="294">
        <f t="shared" ca="1" si="130"/>
        <v>0</v>
      </c>
      <c r="AD316" s="294">
        <f t="shared" ca="1" si="131"/>
        <v>0</v>
      </c>
      <c r="AE316" s="295"/>
      <c r="AF316" s="295"/>
      <c r="AG316" s="296"/>
      <c r="AH316" s="296"/>
      <c r="AI316" s="296"/>
      <c r="AJ316" s="325"/>
      <c r="AK316" s="325"/>
      <c r="AL316" s="325"/>
      <c r="AM316" s="325"/>
    </row>
    <row r="317" spans="1:39" x14ac:dyDescent="0.25">
      <c r="A317" s="232">
        <f t="shared" si="124"/>
        <v>317</v>
      </c>
      <c r="B317" s="232"/>
      <c r="C317" s="307" t="str">
        <f t="shared" ref="C317:C324" si="160">+C316</f>
        <v>13.14</v>
      </c>
      <c r="D317" s="308">
        <f t="shared" ref="D317:D324" si="161">1+D316</f>
        <v>1</v>
      </c>
      <c r="E317" s="309" t="str">
        <f t="shared" ref="E317:E324" si="162">C317&amp;"."&amp;D317</f>
        <v>13.14.1</v>
      </c>
      <c r="F317" s="310" t="s">
        <v>12129</v>
      </c>
      <c r="G317" s="311" t="str">
        <f>IF($F317="","",IFERROR(VLOOKUP($F317,SERVIÇOS!$B:$G,2,0),IFERROR(VLOOKUP($F317,'COMPOSIÇÕES COMPLEMENTARES '!$D:$L,2,0),IFERROR(VLOOKUP($F317,INSUMOS!$A:$D,2,0),""))))</f>
        <v>CAIXA DE INSPEÇÃO PARA ESGOTO, EM ALVENARIA, DIMENSÃO INTERNA (50X50)CM</v>
      </c>
      <c r="H317" s="312" t="str">
        <f>IF($F317="","",IFERROR(VLOOKUP($F317,SERVIÇOS!$B:$G,3,0),IFERROR(VLOOKUP($F317,'COMPOSIÇÕES COMPLEMENTARES '!$D:$L,3,0),IFERROR(VLOOKUP($F317,INSUMOS!$A:$D,3,0),""))))</f>
        <v>UN</v>
      </c>
      <c r="I317" s="313">
        <v>13</v>
      </c>
      <c r="J317" s="314">
        <f>IF($F317="","",IFERROR(VLOOKUP($F317,SERVIÇOS!$B:$G,4,0),IFERROR(VLOOKUP($F317,'COMPOSIÇÕES COMPLEMENTARES '!$D:$L,6,0),IFERROR(VLOOKUP($F317,INSUMOS!$A:$D,4,0),""))))</f>
        <v>281.63</v>
      </c>
      <c r="K317" s="314">
        <f>IF($F317="","",IFERROR(VLOOKUP($F317,SERVIÇOS!$B:$G,5,0),IFERROR(VLOOKUP($F317,'COMPOSIÇÕES COMPLEMENTARES '!$D:$L,7,0),0)))</f>
        <v>295.2</v>
      </c>
      <c r="L317" s="314">
        <f t="shared" ref="L317:L324" si="163">IF(I317="","",J317+K317)</f>
        <v>576.82999999999993</v>
      </c>
      <c r="M317" s="314">
        <f t="shared" ref="M317:M324" si="164">IF(I317="","",TRUNC((I317*J317),2))</f>
        <v>3661.19</v>
      </c>
      <c r="N317" s="314">
        <f t="shared" ref="N317:N324" si="165">IF(I317="","",TRUNC((I317*K317),2))</f>
        <v>3837.6</v>
      </c>
      <c r="O317" s="314">
        <f t="shared" ref="O317:O324" si="166">IF(I317="","",TRUNC((M317+N317),2))</f>
        <v>7498.79</v>
      </c>
      <c r="P317" s="314"/>
      <c r="Q317" s="315"/>
      <c r="R317" s="315"/>
      <c r="S317" s="286"/>
      <c r="T317" s="287"/>
      <c r="U317" s="288" t="str">
        <f t="shared" si="125"/>
        <v/>
      </c>
      <c r="V317" s="287"/>
      <c r="W317" s="289" t="str">
        <f t="shared" si="126"/>
        <v/>
      </c>
      <c r="X317" s="287"/>
      <c r="Y317" s="290" t="str">
        <f t="shared" si="127"/>
        <v/>
      </c>
      <c r="Z317" s="291">
        <f ca="1">SUMIF($T$8:Y$1018,"QUANT.",T317:Y317)</f>
        <v>0</v>
      </c>
      <c r="AA317" s="292">
        <f t="shared" ca="1" si="128"/>
        <v>0</v>
      </c>
      <c r="AB317" s="293" t="str">
        <f t="shared" ca="1" si="129"/>
        <v>MEDIR</v>
      </c>
      <c r="AC317" s="294">
        <f t="shared" ca="1" si="130"/>
        <v>13</v>
      </c>
      <c r="AD317" s="294">
        <f t="shared" ca="1" si="131"/>
        <v>7498.79</v>
      </c>
      <c r="AE317" s="295"/>
      <c r="AF317" s="295"/>
      <c r="AG317" s="296"/>
      <c r="AH317" s="296"/>
      <c r="AI317" s="296"/>
      <c r="AJ317" s="325"/>
      <c r="AK317" s="325"/>
      <c r="AL317" s="325"/>
      <c r="AM317" s="325"/>
    </row>
    <row r="318" spans="1:39" x14ac:dyDescent="0.25">
      <c r="A318" s="232">
        <f t="shared" si="124"/>
        <v>318</v>
      </c>
      <c r="B318" s="232"/>
      <c r="C318" s="307" t="str">
        <f t="shared" si="160"/>
        <v>13.14</v>
      </c>
      <c r="D318" s="308">
        <f t="shared" si="161"/>
        <v>2</v>
      </c>
      <c r="E318" s="309" t="str">
        <f t="shared" si="162"/>
        <v>13.14.2</v>
      </c>
      <c r="F318" s="310" t="s">
        <v>12130</v>
      </c>
      <c r="G318" s="311" t="str">
        <f>IF($F318="","",IFERROR(VLOOKUP($F318,SERVIÇOS!$B:$G,2,0),IFERROR(VLOOKUP($F318,'COMPOSIÇÕES COMPLEMENTARES '!$D:$L,2,0),IFERROR(VLOOKUP($F318,INSUMOS!$A:$D,2,0),""))))</f>
        <v>CAIXA DE INSPEÇÃO PARA ESGOTO, EM ALVENARIA, DIMENSÃO INTERNA (60X30)CM</v>
      </c>
      <c r="H318" s="312" t="str">
        <f>IF($F318="","",IFERROR(VLOOKUP($F318,SERVIÇOS!$B:$G,3,0),IFERROR(VLOOKUP($F318,'COMPOSIÇÕES COMPLEMENTARES '!$D:$L,3,0),IFERROR(VLOOKUP($F318,INSUMOS!$A:$D,3,0),""))))</f>
        <v>UN</v>
      </c>
      <c r="I318" s="313">
        <v>4</v>
      </c>
      <c r="J318" s="314">
        <f>IF($F318="","",IFERROR(VLOOKUP($F318,SERVIÇOS!$B:$G,4,0),IFERROR(VLOOKUP($F318,'COMPOSIÇÕES COMPLEMENTARES '!$D:$L,6,0),IFERROR(VLOOKUP($F318,INSUMOS!$A:$D,4,0),""))))</f>
        <v>208.38</v>
      </c>
      <c r="K318" s="314">
        <f>IF($F318="","",IFERROR(VLOOKUP($F318,SERVIÇOS!$B:$G,5,0),IFERROR(VLOOKUP($F318,'COMPOSIÇÕES COMPLEMENTARES '!$D:$L,7,0),0)))</f>
        <v>218.84</v>
      </c>
      <c r="L318" s="314">
        <f t="shared" si="163"/>
        <v>427.22</v>
      </c>
      <c r="M318" s="314">
        <f t="shared" si="164"/>
        <v>833.52</v>
      </c>
      <c r="N318" s="314">
        <f t="shared" si="165"/>
        <v>875.36</v>
      </c>
      <c r="O318" s="314">
        <f t="shared" si="166"/>
        <v>1708.88</v>
      </c>
      <c r="P318" s="314"/>
      <c r="Q318" s="315"/>
      <c r="R318" s="315"/>
      <c r="S318" s="286"/>
      <c r="T318" s="287"/>
      <c r="U318" s="288" t="str">
        <f t="shared" si="125"/>
        <v/>
      </c>
      <c r="V318" s="287"/>
      <c r="W318" s="289" t="str">
        <f t="shared" si="126"/>
        <v/>
      </c>
      <c r="X318" s="287"/>
      <c r="Y318" s="290" t="str">
        <f t="shared" si="127"/>
        <v/>
      </c>
      <c r="Z318" s="291">
        <f ca="1">SUMIF($T$8:Y$1018,"QUANT.",T318:Y318)</f>
        <v>0</v>
      </c>
      <c r="AA318" s="292">
        <f t="shared" ca="1" si="128"/>
        <v>0</v>
      </c>
      <c r="AB318" s="293" t="str">
        <f t="shared" ca="1" si="129"/>
        <v>MEDIR</v>
      </c>
      <c r="AC318" s="294">
        <f t="shared" ca="1" si="130"/>
        <v>4</v>
      </c>
      <c r="AD318" s="294">
        <f t="shared" ca="1" si="131"/>
        <v>1708.88</v>
      </c>
      <c r="AE318" s="295"/>
      <c r="AF318" s="295"/>
      <c r="AG318" s="296"/>
      <c r="AH318" s="296"/>
      <c r="AI318" s="296"/>
      <c r="AJ318" s="325"/>
      <c r="AK318" s="325"/>
      <c r="AL318" s="325"/>
      <c r="AM318" s="325"/>
    </row>
    <row r="319" spans="1:39" x14ac:dyDescent="0.25">
      <c r="A319" s="232">
        <f t="shared" si="124"/>
        <v>319</v>
      </c>
      <c r="B319" s="232"/>
      <c r="C319" s="307" t="str">
        <f t="shared" si="160"/>
        <v>13.14</v>
      </c>
      <c r="D319" s="308">
        <f t="shared" si="161"/>
        <v>3</v>
      </c>
      <c r="E319" s="309" t="str">
        <f t="shared" si="162"/>
        <v>13.14.3</v>
      </c>
      <c r="F319" s="310" t="s">
        <v>12131</v>
      </c>
      <c r="G319" s="311" t="str">
        <f>IF($F319="","",IFERROR(VLOOKUP($F319,SERVIÇOS!$B:$G,2,0),IFERROR(VLOOKUP($F319,'COMPOSIÇÕES COMPLEMENTARES '!$D:$L,2,0),IFERROR(VLOOKUP($F319,INSUMOS!$A:$D,2,0),""))))</f>
        <v xml:space="preserve">CAIXA SIFONADA, EM ALVENARIA, DIMENSÃO INTERNA (40X40XH.A.=40)CM, </v>
      </c>
      <c r="H319" s="312" t="str">
        <f>IF($F319="","",IFERROR(VLOOKUP($F319,SERVIÇOS!$B:$G,3,0),IFERROR(VLOOKUP($F319,'COMPOSIÇÕES COMPLEMENTARES '!$D:$L,3,0),IFERROR(VLOOKUP($F319,INSUMOS!$A:$D,3,0),""))))</f>
        <v>UN</v>
      </c>
      <c r="I319" s="313">
        <v>1</v>
      </c>
      <c r="J319" s="314">
        <f>IF($F319="","",IFERROR(VLOOKUP($F319,SERVIÇOS!$B:$G,4,0),IFERROR(VLOOKUP($F319,'COMPOSIÇÕES COMPLEMENTARES '!$D:$L,6,0),IFERROR(VLOOKUP($F319,INSUMOS!$A:$D,4,0),""))))</f>
        <v>189.79</v>
      </c>
      <c r="K319" s="314">
        <f>IF($F319="","",IFERROR(VLOOKUP($F319,SERVIÇOS!$B:$G,5,0),IFERROR(VLOOKUP($F319,'COMPOSIÇÕES COMPLEMENTARES '!$D:$L,7,0),0)))</f>
        <v>206.05</v>
      </c>
      <c r="L319" s="314">
        <f t="shared" si="163"/>
        <v>395.84000000000003</v>
      </c>
      <c r="M319" s="314">
        <f t="shared" si="164"/>
        <v>189.79</v>
      </c>
      <c r="N319" s="314">
        <f t="shared" si="165"/>
        <v>206.05</v>
      </c>
      <c r="O319" s="314">
        <f t="shared" si="166"/>
        <v>395.84</v>
      </c>
      <c r="P319" s="314"/>
      <c r="Q319" s="315"/>
      <c r="R319" s="315"/>
      <c r="S319" s="286"/>
      <c r="T319" s="287"/>
      <c r="U319" s="288" t="str">
        <f t="shared" si="125"/>
        <v/>
      </c>
      <c r="V319" s="287"/>
      <c r="W319" s="289" t="str">
        <f t="shared" si="126"/>
        <v/>
      </c>
      <c r="X319" s="287"/>
      <c r="Y319" s="290" t="str">
        <f t="shared" si="127"/>
        <v/>
      </c>
      <c r="Z319" s="291">
        <f ca="1">SUMIF($T$8:Y$1018,"QUANT.",T319:Y319)</f>
        <v>0</v>
      </c>
      <c r="AA319" s="292">
        <f t="shared" ca="1" si="128"/>
        <v>0</v>
      </c>
      <c r="AB319" s="293" t="str">
        <f t="shared" ca="1" si="129"/>
        <v>MEDIR</v>
      </c>
      <c r="AC319" s="294">
        <f t="shared" ca="1" si="130"/>
        <v>1</v>
      </c>
      <c r="AD319" s="294">
        <f t="shared" ca="1" si="131"/>
        <v>395.84</v>
      </c>
      <c r="AE319" s="295"/>
      <c r="AF319" s="295"/>
      <c r="AG319" s="296"/>
      <c r="AH319" s="296"/>
      <c r="AI319" s="296"/>
      <c r="AJ319" s="325"/>
      <c r="AK319" s="325"/>
      <c r="AL319" s="325"/>
      <c r="AM319" s="325"/>
    </row>
    <row r="320" spans="1:39" ht="25.5" x14ac:dyDescent="0.25">
      <c r="A320" s="232">
        <f t="shared" si="124"/>
        <v>320</v>
      </c>
      <c r="B320" s="232"/>
      <c r="C320" s="307" t="str">
        <f t="shared" si="160"/>
        <v>13.14</v>
      </c>
      <c r="D320" s="308">
        <f t="shared" si="161"/>
        <v>4</v>
      </c>
      <c r="E320" s="309" t="str">
        <f t="shared" si="162"/>
        <v>13.14.4</v>
      </c>
      <c r="F320" s="310" t="s">
        <v>12132</v>
      </c>
      <c r="G320" s="311" t="str">
        <f>IF($F320="","",IFERROR(VLOOKUP($F320,SERVIÇOS!$B:$G,2,0),IFERROR(VLOOKUP($F320,'COMPOSIÇÕES COMPLEMENTARES '!$D:$L,2,0),IFERROR(VLOOKUP($F320,INSUMOS!$A:$D,2,0),""))))</f>
        <v xml:space="preserve">CAIXA DE CAPTAÇÃO PARA ÁGUAS PLUVIAIS, EM ALVENARIA, DIMENSÃO INTERNA (60X60)CM, COM GRELHA DE FERRO (20x20)cm </v>
      </c>
      <c r="H320" s="312" t="str">
        <f>IF($F320="","",IFERROR(VLOOKUP($F320,SERVIÇOS!$B:$G,3,0),IFERROR(VLOOKUP($F320,'COMPOSIÇÕES COMPLEMENTARES '!$D:$L,3,0),IFERROR(VLOOKUP($F320,INSUMOS!$A:$D,3,0),""))))</f>
        <v>UN</v>
      </c>
      <c r="I320" s="313">
        <v>3</v>
      </c>
      <c r="J320" s="314">
        <f>IF($F320="","",IFERROR(VLOOKUP($F320,SERVIÇOS!$B:$G,4,0),IFERROR(VLOOKUP($F320,'COMPOSIÇÕES COMPLEMENTARES '!$D:$L,6,0),IFERROR(VLOOKUP($F320,INSUMOS!$A:$D,4,0),""))))</f>
        <v>464.89</v>
      </c>
      <c r="K320" s="314">
        <f>IF($F320="","",IFERROR(VLOOKUP($F320,SERVIÇOS!$B:$G,5,0),IFERROR(VLOOKUP($F320,'COMPOSIÇÕES COMPLEMENTARES '!$D:$L,7,0),0)))</f>
        <v>440.44</v>
      </c>
      <c r="L320" s="314">
        <f t="shared" si="163"/>
        <v>905.32999999999993</v>
      </c>
      <c r="M320" s="314">
        <f t="shared" si="164"/>
        <v>1394.67</v>
      </c>
      <c r="N320" s="314">
        <f t="shared" si="165"/>
        <v>1321.32</v>
      </c>
      <c r="O320" s="314">
        <f t="shared" si="166"/>
        <v>2715.99</v>
      </c>
      <c r="P320" s="314"/>
      <c r="Q320" s="315"/>
      <c r="R320" s="315"/>
      <c r="S320" s="286"/>
      <c r="T320" s="287"/>
      <c r="U320" s="288" t="str">
        <f t="shared" si="125"/>
        <v/>
      </c>
      <c r="V320" s="287"/>
      <c r="W320" s="289" t="str">
        <f t="shared" si="126"/>
        <v/>
      </c>
      <c r="X320" s="287"/>
      <c r="Y320" s="290" t="str">
        <f t="shared" si="127"/>
        <v/>
      </c>
      <c r="Z320" s="291">
        <f ca="1">SUMIF($T$8:Y$1018,"QUANT.",T320:Y320)</f>
        <v>0</v>
      </c>
      <c r="AA320" s="292">
        <f t="shared" ca="1" si="128"/>
        <v>0</v>
      </c>
      <c r="AB320" s="293" t="str">
        <f t="shared" ca="1" si="129"/>
        <v>MEDIR</v>
      </c>
      <c r="AC320" s="294">
        <f t="shared" ca="1" si="130"/>
        <v>3</v>
      </c>
      <c r="AD320" s="294">
        <f t="shared" ca="1" si="131"/>
        <v>2715.99</v>
      </c>
      <c r="AE320" s="295"/>
      <c r="AF320" s="295"/>
      <c r="AG320" s="296"/>
      <c r="AH320" s="296"/>
      <c r="AI320" s="296"/>
      <c r="AJ320" s="325"/>
      <c r="AK320" s="325"/>
      <c r="AL320" s="325"/>
      <c r="AM320" s="325"/>
    </row>
    <row r="321" spans="1:39" ht="25.5" x14ac:dyDescent="0.25">
      <c r="A321" s="232">
        <f t="shared" si="124"/>
        <v>321</v>
      </c>
      <c r="B321" s="232"/>
      <c r="C321" s="307" t="str">
        <f t="shared" si="160"/>
        <v>13.14</v>
      </c>
      <c r="D321" s="308">
        <f t="shared" si="161"/>
        <v>5</v>
      </c>
      <c r="E321" s="309" t="str">
        <f t="shared" si="162"/>
        <v>13.14.5</v>
      </c>
      <c r="F321" s="310" t="s">
        <v>12133</v>
      </c>
      <c r="G321" s="311" t="str">
        <f>IF($F321="","",IFERROR(VLOOKUP($F321,SERVIÇOS!$B:$G,2,0),IFERROR(VLOOKUP($F321,'COMPOSIÇÕES COMPLEMENTARES '!$D:$L,2,0),IFERROR(VLOOKUP($F321,INSUMOS!$A:$D,2,0),""))))</f>
        <v xml:space="preserve">CAIXA DE CAPTAÇÃO PARA ÁGUAS PLUVIAIS, EM ALVENARIA, DIMENSÃO INTERNA (60X30)CM, COM GRELHA DE FERRO (20x20)cm </v>
      </c>
      <c r="H321" s="312" t="str">
        <f>IF($F321="","",IFERROR(VLOOKUP($F321,SERVIÇOS!$B:$G,3,0),IFERROR(VLOOKUP($F321,'COMPOSIÇÕES COMPLEMENTARES '!$D:$L,3,0),IFERROR(VLOOKUP($F321,INSUMOS!$A:$D,3,0),""))))</f>
        <v>UN</v>
      </c>
      <c r="I321" s="313">
        <v>4</v>
      </c>
      <c r="J321" s="314">
        <f>IF($F321="","",IFERROR(VLOOKUP($F321,SERVIÇOS!$B:$G,4,0),IFERROR(VLOOKUP($F321,'COMPOSIÇÕES COMPLEMENTARES '!$D:$L,6,0),IFERROR(VLOOKUP($F321,INSUMOS!$A:$D,4,0),""))))</f>
        <v>409.05</v>
      </c>
      <c r="K321" s="314">
        <f>IF($F321="","",IFERROR(VLOOKUP($F321,SERVIÇOS!$B:$G,5,0),IFERROR(VLOOKUP($F321,'COMPOSIÇÕES COMPLEMENTARES '!$D:$L,7,0),0)))</f>
        <v>375.17</v>
      </c>
      <c r="L321" s="314">
        <f t="shared" si="163"/>
        <v>784.22</v>
      </c>
      <c r="M321" s="314">
        <f t="shared" si="164"/>
        <v>1636.2</v>
      </c>
      <c r="N321" s="314">
        <f t="shared" si="165"/>
        <v>1500.68</v>
      </c>
      <c r="O321" s="314">
        <f t="shared" si="166"/>
        <v>3136.88</v>
      </c>
      <c r="P321" s="314"/>
      <c r="Q321" s="315"/>
      <c r="R321" s="315"/>
      <c r="S321" s="286"/>
      <c r="T321" s="287"/>
      <c r="U321" s="288" t="str">
        <f t="shared" si="125"/>
        <v/>
      </c>
      <c r="V321" s="287"/>
      <c r="W321" s="289" t="str">
        <f t="shared" si="126"/>
        <v/>
      </c>
      <c r="X321" s="287"/>
      <c r="Y321" s="290" t="str">
        <f t="shared" si="127"/>
        <v/>
      </c>
      <c r="Z321" s="291">
        <f ca="1">SUMIF($T$8:Y$1018,"QUANT.",T321:Y321)</f>
        <v>0</v>
      </c>
      <c r="AA321" s="292">
        <f t="shared" ca="1" si="128"/>
        <v>0</v>
      </c>
      <c r="AB321" s="293" t="str">
        <f t="shared" ca="1" si="129"/>
        <v>MEDIR</v>
      </c>
      <c r="AC321" s="294">
        <f t="shared" ca="1" si="130"/>
        <v>4</v>
      </c>
      <c r="AD321" s="294">
        <f t="shared" ca="1" si="131"/>
        <v>3136.88</v>
      </c>
      <c r="AE321" s="295"/>
      <c r="AF321" s="295"/>
      <c r="AG321" s="296"/>
      <c r="AH321" s="296"/>
      <c r="AI321" s="296"/>
      <c r="AJ321" s="325"/>
      <c r="AK321" s="325"/>
      <c r="AL321" s="325"/>
      <c r="AM321" s="325"/>
    </row>
    <row r="322" spans="1:39" ht="25.5" x14ac:dyDescent="0.25">
      <c r="A322" s="232">
        <f t="shared" ref="A322:A385" si="167">1+A321</f>
        <v>322</v>
      </c>
      <c r="B322" s="232"/>
      <c r="C322" s="307" t="str">
        <f t="shared" si="160"/>
        <v>13.14</v>
      </c>
      <c r="D322" s="308">
        <f t="shared" si="161"/>
        <v>6</v>
      </c>
      <c r="E322" s="309" t="str">
        <f t="shared" si="162"/>
        <v>13.14.6</v>
      </c>
      <c r="F322" s="310">
        <v>97903</v>
      </c>
      <c r="G322" s="311" t="str">
        <f>IF($F322="","",IFERROR(VLOOKUP($F322,SERVIÇOS!$B:$G,2,0),IFERROR(VLOOKUP($F322,'COMPOSIÇÕES COMPLEMENTARES '!$D:$L,2,0),IFERROR(VLOOKUP($F322,INSUMOS!$A:$D,2,0),""))))</f>
        <v>CAIXA ENTERRADA HIDRÁULICA RETANGULAR EM ALVENARIA COM TIJOLOS CERÂMICOS MACIÇOS, DIMENSÕES INTERNAS: 0,8X0,8X0,6 M PARA REDE DE ESGOTO. AF_12/2020</v>
      </c>
      <c r="H322" s="312" t="str">
        <f>IF($F322="","",IFERROR(VLOOKUP($F322,SERVIÇOS!$B:$G,3,0),IFERROR(VLOOKUP($F322,'COMPOSIÇÕES COMPLEMENTARES '!$D:$L,3,0),IFERROR(VLOOKUP($F322,INSUMOS!$A:$D,3,0),""))))</f>
        <v>UN</v>
      </c>
      <c r="I322" s="313">
        <v>1</v>
      </c>
      <c r="J322" s="314">
        <f>IF($F322="","",IFERROR(VLOOKUP($F322,SERVIÇOS!$B:$G,4,0),IFERROR(VLOOKUP($F322,'COMPOSIÇÕES COMPLEMENTARES '!$D:$L,6,0),IFERROR(VLOOKUP($F322,INSUMOS!$A:$D,4,0),""))))</f>
        <v>471.3</v>
      </c>
      <c r="K322" s="314">
        <f>IF($F322="","",IFERROR(VLOOKUP($F322,SERVIÇOS!$B:$G,5,0),IFERROR(VLOOKUP($F322,'COMPOSIÇÕES COMPLEMENTARES '!$D:$L,7,0),0)))</f>
        <v>428.11</v>
      </c>
      <c r="L322" s="314">
        <f t="shared" si="163"/>
        <v>899.41000000000008</v>
      </c>
      <c r="M322" s="314">
        <f t="shared" si="164"/>
        <v>471.3</v>
      </c>
      <c r="N322" s="314">
        <f t="shared" si="165"/>
        <v>428.11</v>
      </c>
      <c r="O322" s="314">
        <f t="shared" si="166"/>
        <v>899.41</v>
      </c>
      <c r="P322" s="314"/>
      <c r="Q322" s="315"/>
      <c r="R322" s="315"/>
      <c r="S322" s="286"/>
      <c r="T322" s="287"/>
      <c r="U322" s="288"/>
      <c r="V322" s="287"/>
      <c r="W322" s="289"/>
      <c r="X322" s="287"/>
      <c r="Y322" s="290"/>
      <c r="Z322" s="291"/>
      <c r="AA322" s="292"/>
      <c r="AB322" s="293"/>
      <c r="AC322" s="294"/>
      <c r="AD322" s="294"/>
      <c r="AE322" s="295"/>
      <c r="AF322" s="295"/>
      <c r="AG322" s="296"/>
      <c r="AH322" s="296"/>
      <c r="AI322" s="296"/>
      <c r="AJ322" s="325"/>
      <c r="AK322" s="325"/>
      <c r="AL322" s="325"/>
      <c r="AM322" s="325"/>
    </row>
    <row r="323" spans="1:39" x14ac:dyDescent="0.25">
      <c r="A323" s="232">
        <f t="shared" si="167"/>
        <v>323</v>
      </c>
      <c r="B323" s="232"/>
      <c r="C323" s="307" t="str">
        <f t="shared" si="160"/>
        <v>13.14</v>
      </c>
      <c r="D323" s="308">
        <f t="shared" si="161"/>
        <v>7</v>
      </c>
      <c r="E323" s="309" t="str">
        <f t="shared" si="162"/>
        <v>13.14.7</v>
      </c>
      <c r="F323" s="310" t="s">
        <v>12134</v>
      </c>
      <c r="G323" s="311" t="str">
        <f>IF($F323="","",IFERROR(VLOOKUP($F323,SERVIÇOS!$B:$G,2,0),IFERROR(VLOOKUP($F323,'COMPOSIÇÕES COMPLEMENTARES '!$D:$L,2,0),IFERROR(VLOOKUP($F323,INSUMOS!$A:$D,2,0),""))))</f>
        <v>CAIXA DE INSPEÇÃO PARA ÁGUA PLUVIAL, EM ALVENARIA, DIMENSÃO INTERNA (50X50)CM</v>
      </c>
      <c r="H323" s="312" t="str">
        <f>IF($F323="","",IFERROR(VLOOKUP($F323,SERVIÇOS!$B:$G,3,0),IFERROR(VLOOKUP($F323,'COMPOSIÇÕES COMPLEMENTARES '!$D:$L,3,0),IFERROR(VLOOKUP($F323,INSUMOS!$A:$D,3,0),""))))</f>
        <v>UN</v>
      </c>
      <c r="I323" s="313">
        <v>3</v>
      </c>
      <c r="J323" s="314">
        <f>IF($F323="","",IFERROR(VLOOKUP($F323,SERVIÇOS!$B:$G,4,0),IFERROR(VLOOKUP($F323,'COMPOSIÇÕES COMPLEMENTARES '!$D:$L,6,0),IFERROR(VLOOKUP($F323,INSUMOS!$A:$D,4,0),""))))</f>
        <v>281.63</v>
      </c>
      <c r="K323" s="314">
        <f>IF($F323="","",IFERROR(VLOOKUP($F323,SERVIÇOS!$B:$G,5,0),IFERROR(VLOOKUP($F323,'COMPOSIÇÕES COMPLEMENTARES '!$D:$L,7,0),0)))</f>
        <v>295.2</v>
      </c>
      <c r="L323" s="314">
        <f t="shared" si="163"/>
        <v>576.82999999999993</v>
      </c>
      <c r="M323" s="314">
        <f t="shared" si="164"/>
        <v>844.89</v>
      </c>
      <c r="N323" s="314">
        <f t="shared" si="165"/>
        <v>885.6</v>
      </c>
      <c r="O323" s="314">
        <f t="shared" si="166"/>
        <v>1730.49</v>
      </c>
      <c r="P323" s="314"/>
      <c r="Q323" s="315"/>
      <c r="R323" s="315"/>
      <c r="S323" s="286"/>
      <c r="T323" s="287"/>
      <c r="U323" s="288" t="str">
        <f t="shared" ref="U323:U337" si="168">IF(OR(T323="",$O323=""),"",(T323/$I323)*$O323)</f>
        <v/>
      </c>
      <c r="V323" s="287"/>
      <c r="W323" s="289" t="str">
        <f t="shared" ref="W323:W337" si="169">IF(OR(V323="",$O323=""),"",(V323/$I323)*$O323)</f>
        <v/>
      </c>
      <c r="X323" s="287"/>
      <c r="Y323" s="290" t="str">
        <f t="shared" ref="Y323:Y337" si="170">IF(OR(X323="",$O323=""),"",(X323/$I323)*$O323)</f>
        <v/>
      </c>
      <c r="Z323" s="291">
        <f ca="1">SUMIF($T$8:Y$1018,"QUANT.",T323:Y323)</f>
        <v>0</v>
      </c>
      <c r="AA323" s="292">
        <f t="shared" ref="AA323:AA337" ca="1" si="171">SUMIF($T$8:$Y$1018,"CUSTO",T323:Y323)</f>
        <v>0</v>
      </c>
      <c r="AB323" s="293" t="str">
        <f t="shared" ref="AB323:AB337" ca="1" si="172">IF(F323&lt;&gt;"",IF(AA323=0,"MEDIR",IF(O323-AA323=0,"OK",IF(O323-AA323&gt;0,"MEDIR","ALERTA!"))),"")</f>
        <v>MEDIR</v>
      </c>
      <c r="AC323" s="294">
        <f t="shared" ref="AC323:AC337" ca="1" si="173">IF(Z323="",0,I323-Z323)</f>
        <v>3</v>
      </c>
      <c r="AD323" s="294">
        <f t="shared" ref="AD323:AD337" ca="1" si="174">IF(AA323="",0,O323-AA323)</f>
        <v>1730.49</v>
      </c>
      <c r="AE323" s="295"/>
      <c r="AF323" s="295"/>
      <c r="AG323" s="296"/>
      <c r="AH323" s="296"/>
      <c r="AI323" s="296"/>
      <c r="AJ323" s="325"/>
      <c r="AK323" s="325"/>
      <c r="AL323" s="325"/>
      <c r="AM323" s="325"/>
    </row>
    <row r="324" spans="1:39" ht="25.5" x14ac:dyDescent="0.25">
      <c r="A324" s="232">
        <f t="shared" si="167"/>
        <v>324</v>
      </c>
      <c r="B324" s="232"/>
      <c r="C324" s="307" t="str">
        <f t="shared" si="160"/>
        <v>13.14</v>
      </c>
      <c r="D324" s="308">
        <f t="shared" si="161"/>
        <v>8</v>
      </c>
      <c r="E324" s="309" t="str">
        <f t="shared" si="162"/>
        <v>13.14.8</v>
      </c>
      <c r="F324" s="310" t="s">
        <v>12135</v>
      </c>
      <c r="G324" s="311" t="str">
        <f>IF($F324="","",IFERROR(VLOOKUP($F324,SERVIÇOS!$B:$G,2,0),IFERROR(VLOOKUP($F324,'COMPOSIÇÕES COMPLEMENTARES '!$D:$L,2,0),IFERROR(VLOOKUP($F324,INSUMOS!$A:$D,2,0),""))))</f>
        <v>BOCA DE LOBO SIMPLES PARA CAPTAÇÃO DE ÁGUAS PLUVIAIS, DIMENSÃO INTERNA (40X90)CM, COM GRELHA DE FERRO FUNDIDO</v>
      </c>
      <c r="H324" s="312" t="str">
        <f>IF($F324="","",IFERROR(VLOOKUP($F324,SERVIÇOS!$B:$G,3,0),IFERROR(VLOOKUP($F324,'COMPOSIÇÕES COMPLEMENTARES '!$D:$L,3,0),IFERROR(VLOOKUP($F324,INSUMOS!$A:$D,3,0),""))))</f>
        <v>UN</v>
      </c>
      <c r="I324" s="313">
        <v>6</v>
      </c>
      <c r="J324" s="314">
        <f>IF($F324="","",IFERROR(VLOOKUP($F324,SERVIÇOS!$B:$G,4,0),IFERROR(VLOOKUP($F324,'COMPOSIÇÕES COMPLEMENTARES '!$D:$L,6,0),IFERROR(VLOOKUP($F324,INSUMOS!$A:$D,4,0),""))))</f>
        <v>1310.22</v>
      </c>
      <c r="K324" s="314">
        <f>IF($F324="","",IFERROR(VLOOKUP($F324,SERVIÇOS!$B:$G,5,0),IFERROR(VLOOKUP($F324,'COMPOSIÇÕES COMPLEMENTARES '!$D:$L,7,0),0)))</f>
        <v>638.77</v>
      </c>
      <c r="L324" s="314">
        <f t="shared" si="163"/>
        <v>1948.99</v>
      </c>
      <c r="M324" s="314">
        <f t="shared" si="164"/>
        <v>7861.32</v>
      </c>
      <c r="N324" s="314">
        <f t="shared" si="165"/>
        <v>3832.62</v>
      </c>
      <c r="O324" s="314">
        <f t="shared" si="166"/>
        <v>11693.94</v>
      </c>
      <c r="P324" s="314"/>
      <c r="Q324" s="315"/>
      <c r="R324" s="315"/>
      <c r="S324" s="286"/>
      <c r="T324" s="287"/>
      <c r="U324" s="288" t="str">
        <f t="shared" si="168"/>
        <v/>
      </c>
      <c r="V324" s="287"/>
      <c r="W324" s="289" t="str">
        <f t="shared" si="169"/>
        <v/>
      </c>
      <c r="X324" s="287"/>
      <c r="Y324" s="290" t="str">
        <f t="shared" si="170"/>
        <v/>
      </c>
      <c r="Z324" s="291">
        <f ca="1">SUMIF($T$8:Y$1018,"QUANT.",T324:Y324)</f>
        <v>0</v>
      </c>
      <c r="AA324" s="292">
        <f t="shared" ca="1" si="171"/>
        <v>0</v>
      </c>
      <c r="AB324" s="293" t="str">
        <f t="shared" ca="1" si="172"/>
        <v>MEDIR</v>
      </c>
      <c r="AC324" s="294">
        <f t="shared" ca="1" si="173"/>
        <v>6</v>
      </c>
      <c r="AD324" s="294">
        <f t="shared" ca="1" si="174"/>
        <v>11693.94</v>
      </c>
      <c r="AE324" s="295"/>
      <c r="AF324" s="295"/>
      <c r="AG324" s="296"/>
      <c r="AH324" s="296"/>
      <c r="AI324" s="296"/>
      <c r="AJ324" s="325"/>
      <c r="AK324" s="325"/>
      <c r="AL324" s="325"/>
      <c r="AM324" s="325"/>
    </row>
    <row r="325" spans="1:39" x14ac:dyDescent="0.25">
      <c r="A325" s="232">
        <f t="shared" si="167"/>
        <v>325</v>
      </c>
      <c r="B325" s="232"/>
      <c r="C325" s="281" t="str">
        <f>+E325</f>
        <v>13.15</v>
      </c>
      <c r="D325" s="297"/>
      <c r="E325" s="317" t="s">
        <v>12136</v>
      </c>
      <c r="F325" s="317"/>
      <c r="G325" s="318" t="s">
        <v>12137</v>
      </c>
      <c r="H325" s="317"/>
      <c r="I325" s="319"/>
      <c r="J325" s="317"/>
      <c r="K325" s="317"/>
      <c r="L325" s="317"/>
      <c r="M325" s="317"/>
      <c r="N325" s="317"/>
      <c r="O325" s="317"/>
      <c r="P325" s="317"/>
      <c r="Q325" s="315"/>
      <c r="R325" s="306"/>
      <c r="S325" s="286"/>
      <c r="T325" s="287"/>
      <c r="U325" s="288" t="str">
        <f t="shared" si="168"/>
        <v/>
      </c>
      <c r="V325" s="287"/>
      <c r="W325" s="289" t="str">
        <f t="shared" si="169"/>
        <v/>
      </c>
      <c r="X325" s="287"/>
      <c r="Y325" s="290" t="str">
        <f t="shared" si="170"/>
        <v/>
      </c>
      <c r="Z325" s="291">
        <f ca="1">SUMIF($T$8:Y$1018,"QUANT.",T325:Y325)</f>
        <v>0</v>
      </c>
      <c r="AA325" s="292">
        <f t="shared" ca="1" si="171"/>
        <v>0</v>
      </c>
      <c r="AB325" s="293" t="str">
        <f t="shared" si="172"/>
        <v/>
      </c>
      <c r="AC325" s="294">
        <f t="shared" ca="1" si="173"/>
        <v>0</v>
      </c>
      <c r="AD325" s="294">
        <f t="shared" ca="1" si="174"/>
        <v>0</v>
      </c>
      <c r="AE325" s="295"/>
      <c r="AF325" s="295"/>
      <c r="AG325" s="296"/>
      <c r="AH325" s="296"/>
      <c r="AI325" s="296"/>
      <c r="AJ325" s="325"/>
      <c r="AK325" s="325"/>
      <c r="AL325" s="325"/>
      <c r="AM325" s="325"/>
    </row>
    <row r="326" spans="1:39" ht="25.5" x14ac:dyDescent="0.25">
      <c r="A326" s="232">
        <f t="shared" si="167"/>
        <v>326</v>
      </c>
      <c r="B326" s="232"/>
      <c r="C326" s="307" t="str">
        <f>+C325</f>
        <v>13.15</v>
      </c>
      <c r="D326" s="308">
        <f>1+D325</f>
        <v>1</v>
      </c>
      <c r="E326" s="309" t="str">
        <f>C326&amp;"."&amp;D326</f>
        <v>13.15.1</v>
      </c>
      <c r="F326" s="310" t="s">
        <v>12138</v>
      </c>
      <c r="G326" s="311" t="str">
        <f>IF($F326="","",IFERROR(VLOOKUP($F326,SERVIÇOS!$B:$G,2,0),IFERROR(VLOOKUP($F326,'COMPOSIÇÕES COMPLEMENTARES '!$D:$L,2,0),IFERROR(VLOOKUP($F326,INSUMOS!$A:$D,2,0),""))))</f>
        <v>CAIXA DE GORDURA, EM ALVENARIA, DIMENSÃO INTERNA (40X40XH.A.=40)CM, COM A DESCRIÇÃO "ESGOTO DE GORDURA"</v>
      </c>
      <c r="H326" s="312" t="str">
        <f>IF($F326="","",IFERROR(VLOOKUP($F326,SERVIÇOS!$B:$G,3,0),IFERROR(VLOOKUP($F326,'COMPOSIÇÕES COMPLEMENTARES '!$D:$L,3,0),IFERROR(VLOOKUP($F326,INSUMOS!$A:$D,3,0),""))))</f>
        <v>UN</v>
      </c>
      <c r="I326" s="313">
        <v>1</v>
      </c>
      <c r="J326" s="314">
        <f>IF($F326="","",IFERROR(VLOOKUP($F326,SERVIÇOS!$B:$G,4,0),IFERROR(VLOOKUP($F326,'COMPOSIÇÕES COMPLEMENTARES '!$D:$L,6,0),IFERROR(VLOOKUP($F326,INSUMOS!$A:$D,4,0),""))))</f>
        <v>172.55</v>
      </c>
      <c r="K326" s="314">
        <f>IF($F326="","",IFERROR(VLOOKUP($F326,SERVIÇOS!$B:$G,5,0),IFERROR(VLOOKUP($F326,'COMPOSIÇÕES COMPLEMENTARES '!$D:$L,7,0),0)))</f>
        <v>162.16999999999999</v>
      </c>
      <c r="L326" s="314">
        <f>IF(I326="","",J326+K326)</f>
        <v>334.72</v>
      </c>
      <c r="M326" s="314">
        <f>IF(I326="","",TRUNC((I326*J326),2))</f>
        <v>172.55</v>
      </c>
      <c r="N326" s="314">
        <f>IF(I326="","",TRUNC((I326*K326),2))</f>
        <v>162.16999999999999</v>
      </c>
      <c r="O326" s="314">
        <f>IF(I326="","",TRUNC((M326+N326),2))</f>
        <v>334.72</v>
      </c>
      <c r="P326" s="314"/>
      <c r="Q326" s="315"/>
      <c r="R326" s="315"/>
      <c r="S326" s="286"/>
      <c r="T326" s="287"/>
      <c r="U326" s="288" t="str">
        <f t="shared" si="168"/>
        <v/>
      </c>
      <c r="V326" s="287"/>
      <c r="W326" s="289" t="str">
        <f t="shared" si="169"/>
        <v/>
      </c>
      <c r="X326" s="287"/>
      <c r="Y326" s="290" t="str">
        <f t="shared" si="170"/>
        <v/>
      </c>
      <c r="Z326" s="291">
        <f ca="1">SUMIF($T$8:Y$1018,"QUANT.",T326:Y326)</f>
        <v>0</v>
      </c>
      <c r="AA326" s="292">
        <f t="shared" ca="1" si="171"/>
        <v>0</v>
      </c>
      <c r="AB326" s="293" t="str">
        <f t="shared" ca="1" si="172"/>
        <v>MEDIR</v>
      </c>
      <c r="AC326" s="294">
        <f t="shared" ca="1" si="173"/>
        <v>1</v>
      </c>
      <c r="AD326" s="294">
        <f t="shared" ca="1" si="174"/>
        <v>334.72</v>
      </c>
      <c r="AE326" s="295"/>
      <c r="AF326" s="295"/>
      <c r="AG326" s="296"/>
      <c r="AH326" s="296"/>
      <c r="AI326" s="296"/>
      <c r="AJ326" s="325"/>
      <c r="AK326" s="325"/>
      <c r="AL326" s="325"/>
      <c r="AM326" s="325"/>
    </row>
    <row r="327" spans="1:39" x14ac:dyDescent="0.25">
      <c r="A327" s="232">
        <f t="shared" si="167"/>
        <v>327</v>
      </c>
      <c r="B327" s="232"/>
      <c r="C327" s="281" t="str">
        <f>+E327</f>
        <v>13.16</v>
      </c>
      <c r="D327" s="297"/>
      <c r="E327" s="317" t="s">
        <v>12139</v>
      </c>
      <c r="F327" s="317"/>
      <c r="G327" s="318" t="s">
        <v>12140</v>
      </c>
      <c r="H327" s="317"/>
      <c r="I327" s="319"/>
      <c r="J327" s="317"/>
      <c r="K327" s="317"/>
      <c r="L327" s="317"/>
      <c r="M327" s="317"/>
      <c r="N327" s="317"/>
      <c r="O327" s="317"/>
      <c r="P327" s="317"/>
      <c r="Q327" s="315"/>
      <c r="R327" s="306"/>
      <c r="S327" s="286"/>
      <c r="T327" s="287"/>
      <c r="U327" s="288" t="str">
        <f t="shared" si="168"/>
        <v/>
      </c>
      <c r="V327" s="287"/>
      <c r="W327" s="289" t="str">
        <f t="shared" si="169"/>
        <v/>
      </c>
      <c r="X327" s="287"/>
      <c r="Y327" s="290" t="str">
        <f t="shared" si="170"/>
        <v/>
      </c>
      <c r="Z327" s="291">
        <f ca="1">SUMIF($T$8:Y$1018,"QUANT.",T327:Y327)</f>
        <v>0</v>
      </c>
      <c r="AA327" s="292">
        <f t="shared" ca="1" si="171"/>
        <v>0</v>
      </c>
      <c r="AB327" s="293" t="str">
        <f t="shared" si="172"/>
        <v/>
      </c>
      <c r="AC327" s="294">
        <f t="shared" ca="1" si="173"/>
        <v>0</v>
      </c>
      <c r="AD327" s="294">
        <f t="shared" ca="1" si="174"/>
        <v>0</v>
      </c>
      <c r="AE327" s="295"/>
      <c r="AF327" s="295"/>
      <c r="AG327" s="296"/>
      <c r="AH327" s="296"/>
      <c r="AI327" s="296"/>
      <c r="AJ327" s="325"/>
      <c r="AK327" s="325"/>
      <c r="AL327" s="325"/>
      <c r="AM327" s="325"/>
    </row>
    <row r="328" spans="1:39" ht="25.5" x14ac:dyDescent="0.25">
      <c r="A328" s="232">
        <f t="shared" si="167"/>
        <v>328</v>
      </c>
      <c r="B328" s="232"/>
      <c r="C328" s="307" t="str">
        <f>+C327</f>
        <v>13.16</v>
      </c>
      <c r="D328" s="308">
        <f>1+D327</f>
        <v>1</v>
      </c>
      <c r="E328" s="309" t="str">
        <f>C328&amp;"."&amp;D328</f>
        <v>13.16.1</v>
      </c>
      <c r="F328" s="310" t="s">
        <v>12141</v>
      </c>
      <c r="G328" s="311" t="str">
        <f>IF($F328="","",IFERROR(VLOOKUP($F328,SERVIÇOS!$B:$G,2,0),IFERROR(VLOOKUP($F328,'COMPOSIÇÕES COMPLEMENTARES '!$D:$L,2,0),IFERROR(VLOOKUP($F328,INSUMOS!$A:$D,2,0),""))))</f>
        <v>CAIXA SEPARADORA DE ÓLEO E LAMA, PRÉ FABRICADA, COM VOLUME = 500 LITROS, MARCA FIBRATEC OU COM EQUIVALÊNCIA TÉCNICA SIMILAR PARA BACIA DE CONTENÇÃO</v>
      </c>
      <c r="H328" s="312" t="str">
        <f>IF($F328="","",IFERROR(VLOOKUP($F328,SERVIÇOS!$B:$G,3,0),IFERROR(VLOOKUP($F328,'COMPOSIÇÕES COMPLEMENTARES '!$D:$L,3,0),IFERROR(VLOOKUP($F328,INSUMOS!$A:$D,3,0),""))))</f>
        <v>UN</v>
      </c>
      <c r="I328" s="313">
        <v>1</v>
      </c>
      <c r="J328" s="314">
        <f>IF($F328="","",IFERROR(VLOOKUP($F328,SERVIÇOS!$B:$G,4,0),IFERROR(VLOOKUP($F328,'COMPOSIÇÕES COMPLEMENTARES '!$D:$L,6,0),IFERROR(VLOOKUP($F328,INSUMOS!$A:$D,4,0),""))))</f>
        <v>932.58</v>
      </c>
      <c r="K328" s="314">
        <f>IF($F328="","",IFERROR(VLOOKUP($F328,SERVIÇOS!$B:$G,5,0),IFERROR(VLOOKUP($F328,'COMPOSIÇÕES COMPLEMENTARES '!$D:$L,7,0),0)))</f>
        <v>683.64</v>
      </c>
      <c r="L328" s="314">
        <f>IF(I328="","",J328+K328)</f>
        <v>1616.22</v>
      </c>
      <c r="M328" s="314">
        <f>IF(I328="","",TRUNC((I328*J328),2))</f>
        <v>932.58</v>
      </c>
      <c r="N328" s="314">
        <f>IF(I328="","",TRUNC((I328*K328),2))</f>
        <v>683.64</v>
      </c>
      <c r="O328" s="314">
        <f>IF(I328="","",TRUNC((M328+N328),2))</f>
        <v>1616.22</v>
      </c>
      <c r="P328" s="314"/>
      <c r="Q328" s="315"/>
      <c r="R328" s="315"/>
      <c r="S328" s="286"/>
      <c r="T328" s="287"/>
      <c r="U328" s="288" t="str">
        <f t="shared" si="168"/>
        <v/>
      </c>
      <c r="V328" s="287"/>
      <c r="W328" s="289" t="str">
        <f t="shared" si="169"/>
        <v/>
      </c>
      <c r="X328" s="287"/>
      <c r="Y328" s="290" t="str">
        <f t="shared" si="170"/>
        <v/>
      </c>
      <c r="Z328" s="291">
        <f ca="1">SUMIF($T$8:Y$1018,"QUANT.",T328:Y328)</f>
        <v>0</v>
      </c>
      <c r="AA328" s="292">
        <f t="shared" ca="1" si="171"/>
        <v>0</v>
      </c>
      <c r="AB328" s="293" t="str">
        <f t="shared" ca="1" si="172"/>
        <v>MEDIR</v>
      </c>
      <c r="AC328" s="294">
        <f t="shared" ca="1" si="173"/>
        <v>1</v>
      </c>
      <c r="AD328" s="294">
        <f t="shared" ca="1" si="174"/>
        <v>1616.22</v>
      </c>
      <c r="AE328" s="295"/>
      <c r="AF328" s="295"/>
      <c r="AG328" s="296"/>
      <c r="AH328" s="296"/>
      <c r="AI328" s="296"/>
      <c r="AJ328" s="325"/>
      <c r="AK328" s="325"/>
      <c r="AL328" s="325"/>
      <c r="AM328" s="325"/>
    </row>
    <row r="329" spans="1:39" x14ac:dyDescent="0.25">
      <c r="A329" s="232">
        <f t="shared" si="167"/>
        <v>329</v>
      </c>
      <c r="B329" s="232"/>
      <c r="C329" s="307" t="str">
        <f>+C328</f>
        <v>13.16</v>
      </c>
      <c r="D329" s="308">
        <f>1+D328</f>
        <v>2</v>
      </c>
      <c r="E329" s="309" t="str">
        <f>C329&amp;"."&amp;D329</f>
        <v>13.16.2</v>
      </c>
      <c r="F329" s="310" t="s">
        <v>12142</v>
      </c>
      <c r="G329" s="311" t="str">
        <f>IF($F329="","",IFERROR(VLOOKUP($F329,SERVIÇOS!$B:$G,2,0),IFERROR(VLOOKUP($F329,'COMPOSIÇÕES COMPLEMENTARES '!$D:$L,2,0),IFERROR(VLOOKUP($F329,INSUMOS!$A:$D,2,0),""))))</f>
        <v>CAIXA PARA HIDRÔMETRO, PADRÃO SANEPAR 3/4"</v>
      </c>
      <c r="H329" s="312" t="str">
        <f>IF($F329="","",IFERROR(VLOOKUP($F329,SERVIÇOS!$B:$G,3,0),IFERROR(VLOOKUP($F329,'COMPOSIÇÕES COMPLEMENTARES '!$D:$L,3,0),IFERROR(VLOOKUP($F329,INSUMOS!$A:$D,3,0),""))))</f>
        <v>UN</v>
      </c>
      <c r="I329" s="313">
        <v>1</v>
      </c>
      <c r="J329" s="314">
        <f>IF($F329="","",IFERROR(VLOOKUP($F329,SERVIÇOS!$B:$G,4,0),IFERROR(VLOOKUP($F329,'COMPOSIÇÕES COMPLEMENTARES '!$D:$L,6,0),IFERROR(VLOOKUP($F329,INSUMOS!$A:$D,4,0),""))))</f>
        <v>129.62</v>
      </c>
      <c r="K329" s="314">
        <f>IF($F329="","",IFERROR(VLOOKUP($F329,SERVIÇOS!$B:$G,5,0),IFERROR(VLOOKUP($F329,'COMPOSIÇÕES COMPLEMENTARES '!$D:$L,7,0),0)))</f>
        <v>12.78</v>
      </c>
      <c r="L329" s="314">
        <f>IF(I329="","",J329+K329)</f>
        <v>142.4</v>
      </c>
      <c r="M329" s="314">
        <f>IF(I329="","",TRUNC((I329*J329),2))</f>
        <v>129.62</v>
      </c>
      <c r="N329" s="314">
        <f>IF(I329="","",TRUNC((I329*K329),2))</f>
        <v>12.78</v>
      </c>
      <c r="O329" s="314">
        <f>IF(I329="","",TRUNC((M329+N329),2))</f>
        <v>142.4</v>
      </c>
      <c r="P329" s="314"/>
      <c r="Q329" s="315"/>
      <c r="R329" s="315"/>
      <c r="S329" s="286"/>
      <c r="T329" s="287"/>
      <c r="U329" s="288" t="str">
        <f t="shared" si="168"/>
        <v/>
      </c>
      <c r="V329" s="287"/>
      <c r="W329" s="289" t="str">
        <f t="shared" si="169"/>
        <v/>
      </c>
      <c r="X329" s="287"/>
      <c r="Y329" s="290" t="str">
        <f t="shared" si="170"/>
        <v/>
      </c>
      <c r="Z329" s="291">
        <f ca="1">SUMIF($T$8:Y$1018,"QUANT.",T329:Y329)</f>
        <v>0</v>
      </c>
      <c r="AA329" s="292">
        <f t="shared" ca="1" si="171"/>
        <v>0</v>
      </c>
      <c r="AB329" s="293" t="str">
        <f t="shared" ca="1" si="172"/>
        <v>MEDIR</v>
      </c>
      <c r="AC329" s="294">
        <f t="shared" ca="1" si="173"/>
        <v>1</v>
      </c>
      <c r="AD329" s="294">
        <f t="shared" ca="1" si="174"/>
        <v>142.4</v>
      </c>
      <c r="AE329" s="295"/>
      <c r="AF329" s="295"/>
      <c r="AG329" s="296"/>
      <c r="AH329" s="296"/>
      <c r="AI329" s="296"/>
      <c r="AJ329" s="325"/>
      <c r="AK329" s="325"/>
      <c r="AL329" s="325"/>
      <c r="AM329" s="325"/>
    </row>
    <row r="330" spans="1:39" x14ac:dyDescent="0.25">
      <c r="A330" s="232">
        <f t="shared" si="167"/>
        <v>330</v>
      </c>
      <c r="B330" s="232"/>
      <c r="C330" s="307" t="str">
        <f>+C329</f>
        <v>13.16</v>
      </c>
      <c r="D330" s="308">
        <f>1+D329</f>
        <v>3</v>
      </c>
      <c r="E330" s="309" t="str">
        <f>C330&amp;"."&amp;D330</f>
        <v>13.16.3</v>
      </c>
      <c r="F330" s="310" t="s">
        <v>12143</v>
      </c>
      <c r="G330" s="311" t="str">
        <f>IF($F330="","",IFERROR(VLOOKUP($F330,SERVIÇOS!$B:$G,2,0),IFERROR(VLOOKUP($F330,'COMPOSIÇÕES COMPLEMENTARES '!$D:$L,2,0),IFERROR(VLOOKUP($F330,INSUMOS!$A:$D,2,0),""))))</f>
        <v>TERMINAL DE VENTILAÇÃO DN 50 MM</v>
      </c>
      <c r="H330" s="312" t="str">
        <f>IF($F330="","",IFERROR(VLOOKUP($F330,SERVIÇOS!$B:$G,3,0),IFERROR(VLOOKUP($F330,'COMPOSIÇÕES COMPLEMENTARES '!$D:$L,3,0),IFERROR(VLOOKUP($F330,INSUMOS!$A:$D,3,0),""))))</f>
        <v>UN</v>
      </c>
      <c r="I330" s="313">
        <v>13</v>
      </c>
      <c r="J330" s="314">
        <f>IF($F330="","",IFERROR(VLOOKUP($F330,SERVIÇOS!$B:$G,4,0),IFERROR(VLOOKUP($F330,'COMPOSIÇÕES COMPLEMENTARES '!$D:$L,6,0),IFERROR(VLOOKUP($F330,INSUMOS!$A:$D,4,0),""))))</f>
        <v>10.65</v>
      </c>
      <c r="K330" s="314">
        <f>IF($F330="","",IFERROR(VLOOKUP($F330,SERVIÇOS!$B:$G,5,0),IFERROR(VLOOKUP($F330,'COMPOSIÇÕES COMPLEMENTARES '!$D:$L,7,0),0)))</f>
        <v>3.28</v>
      </c>
      <c r="L330" s="314">
        <f>IF(I330="","",J330+K330)</f>
        <v>13.93</v>
      </c>
      <c r="M330" s="314">
        <f>IF(I330="","",TRUNC((I330*J330),2))</f>
        <v>138.44999999999999</v>
      </c>
      <c r="N330" s="314">
        <f>IF(I330="","",TRUNC((I330*K330),2))</f>
        <v>42.64</v>
      </c>
      <c r="O330" s="314">
        <f>IF(I330="","",TRUNC((M330+N330),2))</f>
        <v>181.09</v>
      </c>
      <c r="P330" s="314"/>
      <c r="Q330" s="315"/>
      <c r="R330" s="315"/>
      <c r="S330" s="286"/>
      <c r="T330" s="287"/>
      <c r="U330" s="288" t="str">
        <f t="shared" si="168"/>
        <v/>
      </c>
      <c r="V330" s="287"/>
      <c r="W330" s="289" t="str">
        <f t="shared" si="169"/>
        <v/>
      </c>
      <c r="X330" s="287"/>
      <c r="Y330" s="290" t="str">
        <f t="shared" si="170"/>
        <v/>
      </c>
      <c r="Z330" s="291">
        <f ca="1">SUMIF($T$8:Y$1018,"QUANT.",T330:Y330)</f>
        <v>0</v>
      </c>
      <c r="AA330" s="292">
        <f t="shared" ca="1" si="171"/>
        <v>0</v>
      </c>
      <c r="AB330" s="293" t="str">
        <f t="shared" ca="1" si="172"/>
        <v>MEDIR</v>
      </c>
      <c r="AC330" s="294">
        <f t="shared" ca="1" si="173"/>
        <v>13</v>
      </c>
      <c r="AD330" s="294">
        <f t="shared" ca="1" si="174"/>
        <v>181.09</v>
      </c>
      <c r="AE330" s="295"/>
      <c r="AF330" s="295"/>
      <c r="AG330" s="296"/>
      <c r="AH330" s="296"/>
      <c r="AI330" s="296"/>
      <c r="AJ330" s="325"/>
      <c r="AK330" s="325"/>
      <c r="AL330" s="325"/>
      <c r="AM330" s="325"/>
    </row>
    <row r="331" spans="1:39" x14ac:dyDescent="0.25">
      <c r="A331" s="232">
        <f t="shared" si="167"/>
        <v>331</v>
      </c>
      <c r="B331" s="232"/>
      <c r="C331" s="307" t="str">
        <f>+C330</f>
        <v>13.16</v>
      </c>
      <c r="D331" s="308">
        <f>1+D330</f>
        <v>4</v>
      </c>
      <c r="E331" s="309" t="str">
        <f>C331&amp;"."&amp;D331</f>
        <v>13.16.4</v>
      </c>
      <c r="F331" s="310" t="s">
        <v>12144</v>
      </c>
      <c r="G331" s="311" t="str">
        <f>IF($F331="","",IFERROR(VLOOKUP($F331,SERVIÇOS!$B:$G,2,0),IFERROR(VLOOKUP($F331,'COMPOSIÇÕES COMPLEMENTARES '!$D:$L,2,0),IFERROR(VLOOKUP($F331,INSUMOS!$A:$D,2,0),""))))</f>
        <v>TERMINAL DE VENTILACAO, 75 MM</v>
      </c>
      <c r="H331" s="312" t="str">
        <f>IF($F331="","",IFERROR(VLOOKUP($F331,SERVIÇOS!$B:$G,3,0),IFERROR(VLOOKUP($F331,'COMPOSIÇÕES COMPLEMENTARES '!$D:$L,3,0),IFERROR(VLOOKUP($F331,INSUMOS!$A:$D,3,0),""))))</f>
        <v>UN</v>
      </c>
      <c r="I331" s="313">
        <v>2</v>
      </c>
      <c r="J331" s="314">
        <f>IF($F331="","",IFERROR(VLOOKUP($F331,SERVIÇOS!$B:$G,4,0),IFERROR(VLOOKUP($F331,'COMPOSIÇÕES COMPLEMENTARES '!$D:$L,6,0),IFERROR(VLOOKUP($F331,INSUMOS!$A:$D,4,0),""))))</f>
        <v>18.78</v>
      </c>
      <c r="K331" s="314">
        <f>IF($F331="","",IFERROR(VLOOKUP($F331,SERVIÇOS!$B:$G,5,0),IFERROR(VLOOKUP($F331,'COMPOSIÇÕES COMPLEMENTARES '!$D:$L,7,0),0)))</f>
        <v>3.28</v>
      </c>
      <c r="L331" s="314">
        <f>IF(I331="","",J331+K331)</f>
        <v>22.060000000000002</v>
      </c>
      <c r="M331" s="314">
        <f>IF(I331="","",TRUNC((I331*J331),2))</f>
        <v>37.56</v>
      </c>
      <c r="N331" s="314">
        <f>IF(I331="","",TRUNC((I331*K331),2))</f>
        <v>6.56</v>
      </c>
      <c r="O331" s="314">
        <f>IF(I331="","",TRUNC((M331+N331),2))</f>
        <v>44.12</v>
      </c>
      <c r="P331" s="314"/>
      <c r="Q331" s="315"/>
      <c r="R331" s="315"/>
      <c r="S331" s="286"/>
      <c r="T331" s="287"/>
      <c r="U331" s="288" t="str">
        <f t="shared" si="168"/>
        <v/>
      </c>
      <c r="V331" s="287"/>
      <c r="W331" s="289" t="str">
        <f t="shared" si="169"/>
        <v/>
      </c>
      <c r="X331" s="287"/>
      <c r="Y331" s="290" t="str">
        <f t="shared" si="170"/>
        <v/>
      </c>
      <c r="Z331" s="291">
        <f ca="1">SUMIF($T$8:Y$1018,"QUANT.",T331:Y331)</f>
        <v>0</v>
      </c>
      <c r="AA331" s="292">
        <f t="shared" ca="1" si="171"/>
        <v>0</v>
      </c>
      <c r="AB331" s="293" t="str">
        <f t="shared" ca="1" si="172"/>
        <v>MEDIR</v>
      </c>
      <c r="AC331" s="294">
        <f t="shared" ca="1" si="173"/>
        <v>2</v>
      </c>
      <c r="AD331" s="294">
        <f t="shared" ca="1" si="174"/>
        <v>44.12</v>
      </c>
      <c r="AE331" s="295"/>
      <c r="AF331" s="295"/>
      <c r="AG331" s="296"/>
      <c r="AH331" s="296"/>
      <c r="AI331" s="296"/>
      <c r="AJ331" s="325"/>
      <c r="AK331" s="325"/>
      <c r="AL331" s="325"/>
      <c r="AM331" s="325"/>
    </row>
    <row r="332" spans="1:39" x14ac:dyDescent="0.25">
      <c r="A332" s="232">
        <f t="shared" si="167"/>
        <v>332</v>
      </c>
      <c r="B332" s="232"/>
      <c r="C332" s="316" t="str">
        <f>+E332</f>
        <v>13.17</v>
      </c>
      <c r="D332" s="297"/>
      <c r="E332" s="317" t="s">
        <v>12145</v>
      </c>
      <c r="F332" s="317"/>
      <c r="G332" s="318" t="s">
        <v>12146</v>
      </c>
      <c r="H332" s="317"/>
      <c r="I332" s="319"/>
      <c r="J332" s="317"/>
      <c r="K332" s="317"/>
      <c r="L332" s="317"/>
      <c r="M332" s="317"/>
      <c r="N332" s="317"/>
      <c r="O332" s="317"/>
      <c r="P332" s="317"/>
      <c r="Q332" s="320"/>
      <c r="R332" s="306"/>
      <c r="S332" s="286"/>
      <c r="T332" s="287"/>
      <c r="U332" s="288" t="str">
        <f t="shared" si="168"/>
        <v/>
      </c>
      <c r="V332" s="287"/>
      <c r="W332" s="289" t="str">
        <f t="shared" si="169"/>
        <v/>
      </c>
      <c r="X332" s="287"/>
      <c r="Y332" s="290" t="str">
        <f t="shared" si="170"/>
        <v/>
      </c>
      <c r="Z332" s="291">
        <f ca="1">SUMIF($T$8:Y$1018,"QUANT.",T332:Y332)</f>
        <v>0</v>
      </c>
      <c r="AA332" s="292">
        <f t="shared" ca="1" si="171"/>
        <v>0</v>
      </c>
      <c r="AB332" s="293" t="str">
        <f t="shared" si="172"/>
        <v/>
      </c>
      <c r="AC332" s="294">
        <f t="shared" ca="1" si="173"/>
        <v>0</v>
      </c>
      <c r="AD332" s="294">
        <f t="shared" ca="1" si="174"/>
        <v>0</v>
      </c>
      <c r="AE332" s="295"/>
      <c r="AF332" s="295"/>
      <c r="AG332" s="296"/>
      <c r="AH332" s="296"/>
      <c r="AI332" s="296"/>
      <c r="AJ332" s="325"/>
      <c r="AK332" s="325"/>
      <c r="AL332" s="325"/>
      <c r="AM332" s="325"/>
    </row>
    <row r="333" spans="1:39" x14ac:dyDescent="0.25">
      <c r="A333" s="232">
        <f t="shared" si="167"/>
        <v>333</v>
      </c>
      <c r="B333" s="232"/>
      <c r="C333" s="316" t="str">
        <f>+E333</f>
        <v>13.18</v>
      </c>
      <c r="D333" s="297"/>
      <c r="E333" s="317" t="s">
        <v>12147</v>
      </c>
      <c r="F333" s="317"/>
      <c r="G333" s="318" t="s">
        <v>12148</v>
      </c>
      <c r="H333" s="317"/>
      <c r="I333" s="319"/>
      <c r="J333" s="317"/>
      <c r="K333" s="317"/>
      <c r="L333" s="317"/>
      <c r="M333" s="317"/>
      <c r="N333" s="317"/>
      <c r="O333" s="317"/>
      <c r="P333" s="317"/>
      <c r="Q333" s="320"/>
      <c r="R333" s="306"/>
      <c r="S333" s="286"/>
      <c r="T333" s="287"/>
      <c r="U333" s="288" t="str">
        <f t="shared" si="168"/>
        <v/>
      </c>
      <c r="V333" s="287"/>
      <c r="W333" s="289" t="str">
        <f t="shared" si="169"/>
        <v/>
      </c>
      <c r="X333" s="287"/>
      <c r="Y333" s="290" t="str">
        <f t="shared" si="170"/>
        <v/>
      </c>
      <c r="Z333" s="291">
        <f ca="1">SUMIF($T$8:Y$1018,"QUANT.",T333:Y333)</f>
        <v>0</v>
      </c>
      <c r="AA333" s="292">
        <f t="shared" ca="1" si="171"/>
        <v>0</v>
      </c>
      <c r="AB333" s="293" t="str">
        <f t="shared" si="172"/>
        <v/>
      </c>
      <c r="AC333" s="294">
        <f t="shared" ca="1" si="173"/>
        <v>0</v>
      </c>
      <c r="AD333" s="294">
        <f t="shared" ca="1" si="174"/>
        <v>0</v>
      </c>
      <c r="AE333" s="295"/>
      <c r="AF333" s="295"/>
      <c r="AG333" s="296"/>
      <c r="AH333" s="296"/>
      <c r="AI333" s="296"/>
      <c r="AJ333" s="325"/>
      <c r="AK333" s="325"/>
      <c r="AL333" s="325"/>
      <c r="AM333" s="325"/>
    </row>
    <row r="334" spans="1:39" x14ac:dyDescent="0.25">
      <c r="A334" s="232">
        <f t="shared" si="167"/>
        <v>334</v>
      </c>
      <c r="B334" s="232"/>
      <c r="C334" s="307" t="str">
        <f>+C333</f>
        <v>13.18</v>
      </c>
      <c r="D334" s="308">
        <f>1+D333</f>
        <v>1</v>
      </c>
      <c r="E334" s="309" t="str">
        <f>C334&amp;"."&amp;D334</f>
        <v>13.18.1</v>
      </c>
      <c r="F334" s="310" t="s">
        <v>12149</v>
      </c>
      <c r="G334" s="311" t="str">
        <f>IF($F334="","",IFERROR(VLOOKUP($F334,SERVIÇOS!$B:$G,2,0),IFERROR(VLOOKUP($F334,'COMPOSIÇÕES COMPLEMENTARES '!$D:$L,2,0),IFERROR(VLOOKUP($F334,INSUMOS!$A:$D,2,0),""))))</f>
        <v>TUBO DE PVC, SÉRIE NORMAL, PARA ÁGUAS PLUVIAIS, INCLUSO CONEXÕES - D= 75MM</v>
      </c>
      <c r="H334" s="312" t="str">
        <f>IF($F334="","",IFERROR(VLOOKUP($F334,SERVIÇOS!$B:$G,3,0),IFERROR(VLOOKUP($F334,'COMPOSIÇÕES COMPLEMENTARES '!$D:$L,3,0),IFERROR(VLOOKUP($F334,INSUMOS!$A:$D,3,0),""))))</f>
        <v>M</v>
      </c>
      <c r="I334" s="313">
        <v>15</v>
      </c>
      <c r="J334" s="314">
        <f>IF($F334="","",IFERROR(VLOOKUP($F334,SERVIÇOS!$B:$G,4,0),IFERROR(VLOOKUP($F334,'COMPOSIÇÕES COMPLEMENTARES '!$D:$L,6,0),IFERROR(VLOOKUP($F334,INSUMOS!$A:$D,4,0),""))))</f>
        <v>31.42</v>
      </c>
      <c r="K334" s="314">
        <f>IF($F334="","",IFERROR(VLOOKUP($F334,SERVIÇOS!$B:$G,5,0),IFERROR(VLOOKUP($F334,'COMPOSIÇÕES COMPLEMENTARES '!$D:$L,7,0),0)))</f>
        <v>34.020000000000003</v>
      </c>
      <c r="L334" s="314">
        <f>IF(I334="","",J334+K334)</f>
        <v>65.44</v>
      </c>
      <c r="M334" s="314">
        <f>IF(I334="","",TRUNC((I334*J334),2))</f>
        <v>471.3</v>
      </c>
      <c r="N334" s="314">
        <f>IF(I334="","",TRUNC((I334*K334),2))</f>
        <v>510.3</v>
      </c>
      <c r="O334" s="314">
        <f>IF(I334="","",TRUNC((M334+N334),2))</f>
        <v>981.6</v>
      </c>
      <c r="P334" s="314"/>
      <c r="Q334" s="315"/>
      <c r="R334" s="315"/>
      <c r="S334" s="286"/>
      <c r="T334" s="287"/>
      <c r="U334" s="288" t="str">
        <f t="shared" si="168"/>
        <v/>
      </c>
      <c r="V334" s="287"/>
      <c r="W334" s="289" t="str">
        <f t="shared" si="169"/>
        <v/>
      </c>
      <c r="X334" s="287"/>
      <c r="Y334" s="290" t="str">
        <f t="shared" si="170"/>
        <v/>
      </c>
      <c r="Z334" s="291">
        <f ca="1">SUMIF($T$8:Y$1018,"QUANT.",T334:Y334)</f>
        <v>0</v>
      </c>
      <c r="AA334" s="292">
        <f t="shared" ca="1" si="171"/>
        <v>0</v>
      </c>
      <c r="AB334" s="293" t="str">
        <f t="shared" ca="1" si="172"/>
        <v>MEDIR</v>
      </c>
      <c r="AC334" s="294">
        <f t="shared" ca="1" si="173"/>
        <v>15</v>
      </c>
      <c r="AD334" s="294">
        <f t="shared" ca="1" si="174"/>
        <v>981.6</v>
      </c>
      <c r="AE334" s="295"/>
      <c r="AF334" s="295"/>
      <c r="AG334" s="296"/>
      <c r="AH334" s="296"/>
      <c r="AI334" s="296"/>
      <c r="AJ334" s="325"/>
      <c r="AK334" s="325"/>
      <c r="AL334" s="325"/>
      <c r="AM334" s="325"/>
    </row>
    <row r="335" spans="1:39" x14ac:dyDescent="0.25">
      <c r="A335" s="232">
        <f t="shared" si="167"/>
        <v>335</v>
      </c>
      <c r="B335" s="232"/>
      <c r="C335" s="307" t="str">
        <f>+C334</f>
        <v>13.18</v>
      </c>
      <c r="D335" s="308">
        <f>1+D334</f>
        <v>2</v>
      </c>
      <c r="E335" s="309" t="str">
        <f>C335&amp;"."&amp;D335</f>
        <v>13.18.2</v>
      </c>
      <c r="F335" s="310" t="s">
        <v>12150</v>
      </c>
      <c r="G335" s="311" t="str">
        <f>IF($F335="","",IFERROR(VLOOKUP($F335,SERVIÇOS!$B:$G,2,0),IFERROR(VLOOKUP($F335,'COMPOSIÇÕES COMPLEMENTARES '!$D:$L,2,0),IFERROR(VLOOKUP($F335,INSUMOS!$A:$D,2,0),""))))</f>
        <v>TUBO DE PVC, SÉRIE NORMAL, PARA ÁGUAS PLUVIAIS, INCLUSO CONEXÕES - D= 100MM</v>
      </c>
      <c r="H335" s="312" t="str">
        <f>IF($F335="","",IFERROR(VLOOKUP($F335,SERVIÇOS!$B:$G,3,0),IFERROR(VLOOKUP($F335,'COMPOSIÇÕES COMPLEMENTARES '!$D:$L,3,0),IFERROR(VLOOKUP($F335,INSUMOS!$A:$D,3,0),""))))</f>
        <v>M</v>
      </c>
      <c r="I335" s="313">
        <v>84</v>
      </c>
      <c r="J335" s="314">
        <f>IF($F335="","",IFERROR(VLOOKUP($F335,SERVIÇOS!$B:$G,4,0),IFERROR(VLOOKUP($F335,'COMPOSIÇÕES COMPLEMENTARES '!$D:$L,6,0),IFERROR(VLOOKUP($F335,INSUMOS!$A:$D,4,0),""))))</f>
        <v>39.51</v>
      </c>
      <c r="K335" s="314">
        <f>IF($F335="","",IFERROR(VLOOKUP($F335,SERVIÇOS!$B:$G,5,0),IFERROR(VLOOKUP($F335,'COMPOSIÇÕES COMPLEMENTARES '!$D:$L,7,0),0)))</f>
        <v>53.46</v>
      </c>
      <c r="L335" s="314">
        <f>IF(I335="","",J335+K335)</f>
        <v>92.97</v>
      </c>
      <c r="M335" s="314">
        <f>IF(I335="","",TRUNC((I335*J335),2))</f>
        <v>3318.84</v>
      </c>
      <c r="N335" s="314">
        <f>IF(I335="","",TRUNC((I335*K335),2))</f>
        <v>4490.6400000000003</v>
      </c>
      <c r="O335" s="314">
        <f>IF(I335="","",TRUNC((M335+N335),2))</f>
        <v>7809.48</v>
      </c>
      <c r="P335" s="314"/>
      <c r="Q335" s="315"/>
      <c r="R335" s="315"/>
      <c r="S335" s="286"/>
      <c r="T335" s="287"/>
      <c r="U335" s="288" t="str">
        <f t="shared" si="168"/>
        <v/>
      </c>
      <c r="V335" s="287"/>
      <c r="W335" s="289" t="str">
        <f t="shared" si="169"/>
        <v/>
      </c>
      <c r="X335" s="287"/>
      <c r="Y335" s="290" t="str">
        <f t="shared" si="170"/>
        <v/>
      </c>
      <c r="Z335" s="291">
        <f ca="1">SUMIF($T$8:Y$1018,"QUANT.",T335:Y335)</f>
        <v>0</v>
      </c>
      <c r="AA335" s="292">
        <f t="shared" ca="1" si="171"/>
        <v>0</v>
      </c>
      <c r="AB335" s="293" t="str">
        <f t="shared" ca="1" si="172"/>
        <v>MEDIR</v>
      </c>
      <c r="AC335" s="294">
        <f t="shared" ca="1" si="173"/>
        <v>84</v>
      </c>
      <c r="AD335" s="294">
        <f t="shared" ca="1" si="174"/>
        <v>7809.48</v>
      </c>
      <c r="AE335" s="295"/>
      <c r="AF335" s="295"/>
      <c r="AG335" s="296"/>
      <c r="AH335" s="296"/>
      <c r="AI335" s="296"/>
      <c r="AJ335" s="325"/>
      <c r="AK335" s="325"/>
      <c r="AL335" s="325"/>
      <c r="AM335" s="325"/>
    </row>
    <row r="336" spans="1:39" x14ac:dyDescent="0.25">
      <c r="A336" s="232">
        <f t="shared" si="167"/>
        <v>336</v>
      </c>
      <c r="B336" s="232"/>
      <c r="C336" s="307" t="str">
        <f>+C335</f>
        <v>13.18</v>
      </c>
      <c r="D336" s="308">
        <f>1+D335</f>
        <v>3</v>
      </c>
      <c r="E336" s="309" t="str">
        <f>C336&amp;"."&amp;D336</f>
        <v>13.18.3</v>
      </c>
      <c r="F336" s="310" t="s">
        <v>12151</v>
      </c>
      <c r="G336" s="311" t="str">
        <f>IF($F336="","",IFERROR(VLOOKUP($F336,SERVIÇOS!$B:$G,2,0),IFERROR(VLOOKUP($F336,'COMPOSIÇÕES COMPLEMENTARES '!$D:$L,2,0),IFERROR(VLOOKUP($F336,INSUMOS!$A:$D,2,0),""))))</f>
        <v>TUBO DE PVC, SÉRIE NORMAL, PARA ÁGUAS PLUVIAIS, INCLUSO CONEXÕES - D= 150MM</v>
      </c>
      <c r="H336" s="312" t="str">
        <f>IF($F336="","",IFERROR(VLOOKUP($F336,SERVIÇOS!$B:$G,3,0),IFERROR(VLOOKUP($F336,'COMPOSIÇÕES COMPLEMENTARES '!$D:$L,3,0),IFERROR(VLOOKUP($F336,INSUMOS!$A:$D,3,0),""))))</f>
        <v>M</v>
      </c>
      <c r="I336" s="313">
        <v>74</v>
      </c>
      <c r="J336" s="314">
        <f>IF($F336="","",IFERROR(VLOOKUP($F336,SERVIÇOS!$B:$G,4,0),IFERROR(VLOOKUP($F336,'COMPOSIÇÕES COMPLEMENTARES '!$D:$L,6,0),IFERROR(VLOOKUP($F336,INSUMOS!$A:$D,4,0),""))))</f>
        <v>82.71</v>
      </c>
      <c r="K336" s="314">
        <f>IF($F336="","",IFERROR(VLOOKUP($F336,SERVIÇOS!$B:$G,5,0),IFERROR(VLOOKUP($F336,'COMPOSIÇÕES COMPLEMENTARES '!$D:$L,7,0),0)))</f>
        <v>53.46</v>
      </c>
      <c r="L336" s="314">
        <f>IF(I336="","",J336+K336)</f>
        <v>136.16999999999999</v>
      </c>
      <c r="M336" s="314">
        <f>IF(I336="","",TRUNC((I336*J336),2))</f>
        <v>6120.54</v>
      </c>
      <c r="N336" s="314">
        <f>IF(I336="","",TRUNC((I336*K336),2))</f>
        <v>3956.04</v>
      </c>
      <c r="O336" s="314">
        <f>IF(I336="","",TRUNC((M336+N336),2))</f>
        <v>10076.58</v>
      </c>
      <c r="P336" s="314"/>
      <c r="Q336" s="315"/>
      <c r="R336" s="315"/>
      <c r="S336" s="286"/>
      <c r="T336" s="287"/>
      <c r="U336" s="288" t="str">
        <f t="shared" si="168"/>
        <v/>
      </c>
      <c r="V336" s="287"/>
      <c r="W336" s="289" t="str">
        <f t="shared" si="169"/>
        <v/>
      </c>
      <c r="X336" s="287"/>
      <c r="Y336" s="290" t="str">
        <f t="shared" si="170"/>
        <v/>
      </c>
      <c r="Z336" s="291">
        <f ca="1">SUMIF($T$8:Y$1018,"QUANT.",T336:Y336)</f>
        <v>0</v>
      </c>
      <c r="AA336" s="292">
        <f t="shared" ca="1" si="171"/>
        <v>0</v>
      </c>
      <c r="AB336" s="293" t="str">
        <f t="shared" ca="1" si="172"/>
        <v>MEDIR</v>
      </c>
      <c r="AC336" s="294">
        <f t="shared" ca="1" si="173"/>
        <v>74</v>
      </c>
      <c r="AD336" s="294">
        <f t="shared" ca="1" si="174"/>
        <v>10076.58</v>
      </c>
      <c r="AE336" s="295"/>
      <c r="AF336" s="295"/>
      <c r="AG336" s="296"/>
      <c r="AH336" s="296"/>
      <c r="AI336" s="296"/>
      <c r="AJ336" s="325"/>
      <c r="AK336" s="325"/>
      <c r="AL336" s="325"/>
      <c r="AM336" s="325"/>
    </row>
    <row r="337" spans="1:39" x14ac:dyDescent="0.25">
      <c r="A337" s="232">
        <f t="shared" si="167"/>
        <v>337</v>
      </c>
      <c r="B337" s="232"/>
      <c r="C337" s="307" t="str">
        <f>+C336</f>
        <v>13.18</v>
      </c>
      <c r="D337" s="308">
        <f>1+D336</f>
        <v>4</v>
      </c>
      <c r="E337" s="309" t="str">
        <f>C337&amp;"."&amp;D337</f>
        <v>13.18.4</v>
      </c>
      <c r="F337" s="310" t="s">
        <v>12152</v>
      </c>
      <c r="G337" s="311" t="str">
        <f>IF($F337="","",IFERROR(VLOOKUP($F337,SERVIÇOS!$B:$G,2,0),IFERROR(VLOOKUP($F337,'COMPOSIÇÕES COMPLEMENTARES '!$D:$L,2,0),IFERROR(VLOOKUP($F337,INSUMOS!$A:$D,2,0),""))))</f>
        <v xml:space="preserve">TUBO DE PVC, SÉRIE NORMAL, PARA ÁGUAS PLUVIAIS, INCLUSO CONEXÕES - D= 200MM </v>
      </c>
      <c r="H337" s="312" t="str">
        <f>IF($F337="","",IFERROR(VLOOKUP($F337,SERVIÇOS!$B:$G,3,0),IFERROR(VLOOKUP($F337,'COMPOSIÇÕES COMPLEMENTARES '!$D:$L,3,0),IFERROR(VLOOKUP($F337,INSUMOS!$A:$D,3,0),""))))</f>
        <v>M</v>
      </c>
      <c r="I337" s="313">
        <v>55</v>
      </c>
      <c r="J337" s="314">
        <f>IF($F337="","",IFERROR(VLOOKUP($F337,SERVIÇOS!$B:$G,4,0),IFERROR(VLOOKUP($F337,'COMPOSIÇÕES COMPLEMENTARES '!$D:$L,6,0),IFERROR(VLOOKUP($F337,INSUMOS!$A:$D,4,0),""))))</f>
        <v>184.97</v>
      </c>
      <c r="K337" s="314">
        <f>IF($F337="","",IFERROR(VLOOKUP($F337,SERVIÇOS!$B:$G,5,0),IFERROR(VLOOKUP($F337,'COMPOSIÇÕES COMPLEMENTARES '!$D:$L,7,0),0)))</f>
        <v>34.840000000000003</v>
      </c>
      <c r="L337" s="314">
        <f>IF(I337="","",J337+K337)</f>
        <v>219.81</v>
      </c>
      <c r="M337" s="314">
        <f>IF(I337="","",TRUNC((I337*J337),2))</f>
        <v>10173.35</v>
      </c>
      <c r="N337" s="314">
        <f>IF(I337="","",TRUNC((I337*K337),2))</f>
        <v>1916.2</v>
      </c>
      <c r="O337" s="314">
        <f>IF(I337="","",TRUNC((M337+N337),2))</f>
        <v>12089.55</v>
      </c>
      <c r="P337" s="314"/>
      <c r="Q337" s="315"/>
      <c r="R337" s="315"/>
      <c r="S337" s="286"/>
      <c r="T337" s="287"/>
      <c r="U337" s="288" t="str">
        <f t="shared" si="168"/>
        <v/>
      </c>
      <c r="V337" s="287"/>
      <c r="W337" s="289" t="str">
        <f t="shared" si="169"/>
        <v/>
      </c>
      <c r="X337" s="287"/>
      <c r="Y337" s="290" t="str">
        <f t="shared" si="170"/>
        <v/>
      </c>
      <c r="Z337" s="291">
        <f ca="1">SUMIF($T$8:Y$1018,"QUANT.",T337:Y337)</f>
        <v>0</v>
      </c>
      <c r="AA337" s="292">
        <f t="shared" ca="1" si="171"/>
        <v>0</v>
      </c>
      <c r="AB337" s="293" t="str">
        <f t="shared" ca="1" si="172"/>
        <v>MEDIR</v>
      </c>
      <c r="AC337" s="294">
        <f t="shared" ca="1" si="173"/>
        <v>55</v>
      </c>
      <c r="AD337" s="294">
        <f t="shared" ca="1" si="174"/>
        <v>12089.55</v>
      </c>
      <c r="AE337" s="295"/>
      <c r="AF337" s="295"/>
      <c r="AG337" s="296"/>
      <c r="AH337" s="296"/>
      <c r="AI337" s="296"/>
      <c r="AJ337" s="325"/>
      <c r="AK337" s="325"/>
      <c r="AL337" s="325"/>
      <c r="AM337" s="325"/>
    </row>
    <row r="338" spans="1:39" x14ac:dyDescent="0.25">
      <c r="A338" s="232">
        <f t="shared" si="167"/>
        <v>338</v>
      </c>
      <c r="B338" s="232"/>
      <c r="C338" s="307" t="str">
        <f>+C337</f>
        <v>13.18</v>
      </c>
      <c r="D338" s="308">
        <f>1+D337</f>
        <v>5</v>
      </c>
      <c r="E338" s="309" t="str">
        <f>C338&amp;"."&amp;D338</f>
        <v>13.18.5</v>
      </c>
      <c r="F338" s="310" t="s">
        <v>12153</v>
      </c>
      <c r="G338" s="311" t="str">
        <f>IF($F338="","",IFERROR(VLOOKUP($F338,SERVIÇOS!$B:$G,2,0),IFERROR(VLOOKUP($F338,'COMPOSIÇÕES COMPLEMENTARES '!$D:$L,2,0),IFERROR(VLOOKUP($F338,INSUMOS!$A:$D,2,0),""))))</f>
        <v xml:space="preserve">TUBO DE PVC, SÉRIE NORMAL, PARA ÁGUAS PLUVIAIS, INCLUSO CONEXÕES - D=300MM </v>
      </c>
      <c r="H338" s="312" t="str">
        <f>IF($F338="","",IFERROR(VLOOKUP($F338,SERVIÇOS!$B:$G,3,0),IFERROR(VLOOKUP($F338,'COMPOSIÇÕES COMPLEMENTARES '!$D:$L,3,0),IFERROR(VLOOKUP($F338,INSUMOS!$A:$D,3,0),""))))</f>
        <v>M</v>
      </c>
      <c r="I338" s="313">
        <v>92</v>
      </c>
      <c r="J338" s="314">
        <f>IF($F338="","",IFERROR(VLOOKUP($F338,SERVIÇOS!$B:$G,4,0),IFERROR(VLOOKUP($F338,'COMPOSIÇÕES COMPLEMENTARES '!$D:$L,6,0),IFERROR(VLOOKUP($F338,INSUMOS!$A:$D,4,0),""))))</f>
        <v>214.76</v>
      </c>
      <c r="K338" s="314">
        <f>IF($F338="","",IFERROR(VLOOKUP($F338,SERVIÇOS!$B:$G,5,0),IFERROR(VLOOKUP($F338,'COMPOSIÇÕES COMPLEMENTARES '!$D:$L,7,0),0)))</f>
        <v>6.35</v>
      </c>
      <c r="L338" s="314">
        <f>IF(I338="","",J338+K338)</f>
        <v>221.10999999999999</v>
      </c>
      <c r="M338" s="314">
        <f>IF(I338="","",TRUNC((I338*J338),2))</f>
        <v>19757.919999999998</v>
      </c>
      <c r="N338" s="314">
        <f>IF(I338="","",TRUNC((I338*K338),2))</f>
        <v>584.20000000000005</v>
      </c>
      <c r="O338" s="314">
        <f>IF(I338="","",TRUNC((M338+N338),2))</f>
        <v>20342.12</v>
      </c>
      <c r="P338" s="314"/>
      <c r="Q338" s="315"/>
      <c r="R338" s="315"/>
      <c r="S338" s="286"/>
      <c r="T338" s="287"/>
      <c r="U338" s="288"/>
      <c r="V338" s="287"/>
      <c r="W338" s="289"/>
      <c r="X338" s="287"/>
      <c r="Y338" s="290"/>
      <c r="Z338" s="291"/>
      <c r="AA338" s="292"/>
      <c r="AB338" s="293"/>
      <c r="AC338" s="294"/>
      <c r="AD338" s="294"/>
      <c r="AE338" s="295"/>
      <c r="AF338" s="295"/>
      <c r="AG338" s="296"/>
      <c r="AH338" s="296"/>
      <c r="AI338" s="296"/>
      <c r="AJ338" s="325"/>
      <c r="AK338" s="325"/>
      <c r="AL338" s="325"/>
      <c r="AM338" s="325"/>
    </row>
    <row r="339" spans="1:39" x14ac:dyDescent="0.25">
      <c r="A339" s="232">
        <f t="shared" si="167"/>
        <v>339</v>
      </c>
      <c r="B339" s="232"/>
      <c r="C339" s="316" t="str">
        <f>+E339</f>
        <v>13.19</v>
      </c>
      <c r="D339" s="297"/>
      <c r="E339" s="317" t="s">
        <v>12154</v>
      </c>
      <c r="F339" s="317"/>
      <c r="G339" s="318" t="s">
        <v>12112</v>
      </c>
      <c r="H339" s="317"/>
      <c r="I339" s="319"/>
      <c r="J339" s="317"/>
      <c r="K339" s="317"/>
      <c r="L339" s="317"/>
      <c r="M339" s="317"/>
      <c r="N339" s="317"/>
      <c r="O339" s="317"/>
      <c r="P339" s="317"/>
      <c r="Q339" s="320"/>
      <c r="R339" s="306"/>
      <c r="S339" s="286"/>
      <c r="T339" s="287"/>
      <c r="U339" s="288" t="str">
        <f t="shared" ref="U339:U402" si="175">IF(OR(T339="",$O339=""),"",(T339/$I339)*$O339)</f>
        <v/>
      </c>
      <c r="V339" s="287"/>
      <c r="W339" s="289" t="str">
        <f t="shared" ref="W339:W402" si="176">IF(OR(V339="",$O339=""),"",(V339/$I339)*$O339)</f>
        <v/>
      </c>
      <c r="X339" s="287"/>
      <c r="Y339" s="290" t="str">
        <f t="shared" ref="Y339:Y402" si="177">IF(OR(X339="",$O339=""),"",(X339/$I339)*$O339)</f>
        <v/>
      </c>
      <c r="Z339" s="291">
        <f ca="1">SUMIF($T$8:Y$1018,"QUANT.",T339:Y339)</f>
        <v>0</v>
      </c>
      <c r="AA339" s="292">
        <f t="shared" ref="AA339:AA402" ca="1" si="178">SUMIF($T$8:$Y$1018,"CUSTO",T339:Y339)</f>
        <v>0</v>
      </c>
      <c r="AB339" s="293" t="str">
        <f t="shared" ref="AB339:AB402" si="179">IF(F339&lt;&gt;"",IF(AA339=0,"MEDIR",IF(O339-AA339=0,"OK",IF(O339-AA339&gt;0,"MEDIR","ALERTA!"))),"")</f>
        <v/>
      </c>
      <c r="AC339" s="294">
        <f t="shared" ref="AC339:AC402" ca="1" si="180">IF(Z339="",0,I339-Z339)</f>
        <v>0</v>
      </c>
      <c r="AD339" s="294">
        <f t="shared" ref="AD339:AD402" ca="1" si="181">IF(AA339="",0,O339-AA339)</f>
        <v>0</v>
      </c>
      <c r="AE339" s="295"/>
      <c r="AF339" s="295"/>
      <c r="AG339" s="296"/>
      <c r="AH339" s="296"/>
      <c r="AI339" s="296"/>
      <c r="AJ339" s="325"/>
      <c r="AK339" s="325"/>
      <c r="AL339" s="325"/>
      <c r="AM339" s="325"/>
    </row>
    <row r="340" spans="1:39" ht="25.5" x14ac:dyDescent="0.25">
      <c r="A340" s="232">
        <f t="shared" si="167"/>
        <v>340</v>
      </c>
      <c r="B340" s="232"/>
      <c r="C340" s="307" t="str">
        <f>+C339</f>
        <v>13.19</v>
      </c>
      <c r="D340" s="308">
        <f>1+D339</f>
        <v>1</v>
      </c>
      <c r="E340" s="309" t="str">
        <f>C340&amp;"."&amp;D340</f>
        <v>13.19.1</v>
      </c>
      <c r="F340" s="310" t="s">
        <v>12155</v>
      </c>
      <c r="G340" s="311" t="str">
        <f>IF($F340="","",IFERROR(VLOOKUP($F340,SERVIÇOS!$B:$G,2,0),IFERROR(VLOOKUP($F340,'COMPOSIÇÕES COMPLEMENTARES '!$D:$L,2,0),IFERROR(VLOOKUP($F340,INSUMOS!$A:$D,2,0),""))))</f>
        <v>RASGO EM ALVENARIA PARA RAMAIS/ DISTRIBUIÇÃO COM DIÂMETROS MAIORES QUE 75 MM E MENORES OU IGUAIS A 100 MM</v>
      </c>
      <c r="H340" s="312" t="str">
        <f>IF($F340="","",IFERROR(VLOOKUP($F340,SERVIÇOS!$B:$G,3,0),IFERROR(VLOOKUP($F340,'COMPOSIÇÕES COMPLEMENTARES '!$D:$L,3,0),IFERROR(VLOOKUP($F340,INSUMOS!$A:$D,3,0),""))))</f>
        <v>M</v>
      </c>
      <c r="I340" s="313">
        <v>9</v>
      </c>
      <c r="J340" s="314">
        <f>IF($F340="","",IFERROR(VLOOKUP($F340,SERVIÇOS!$B:$G,4,0),IFERROR(VLOOKUP($F340,'COMPOSIÇÕES COMPLEMENTARES '!$D:$L,6,0),IFERROR(VLOOKUP($F340,INSUMOS!$A:$D,4,0),""))))</f>
        <v>4.8099999999999996</v>
      </c>
      <c r="K340" s="314">
        <f>IF($F340="","",IFERROR(VLOOKUP($F340,SERVIÇOS!$B:$G,5,0),IFERROR(VLOOKUP($F340,'COMPOSIÇÕES COMPLEMENTARES '!$D:$L,7,0),0)))</f>
        <v>7.01</v>
      </c>
      <c r="L340" s="314">
        <f>IF(I340="","",J340+K340)</f>
        <v>11.82</v>
      </c>
      <c r="M340" s="314">
        <f>IF(I340="","",TRUNC((I340*J340),2))</f>
        <v>43.29</v>
      </c>
      <c r="N340" s="314">
        <f>IF(I340="","",TRUNC((I340*K340),2))</f>
        <v>63.09</v>
      </c>
      <c r="O340" s="314">
        <f>IF(I340="","",TRUNC((M340+N340),2))</f>
        <v>106.38</v>
      </c>
      <c r="P340" s="314"/>
      <c r="Q340" s="315"/>
      <c r="R340" s="315"/>
      <c r="S340" s="286"/>
      <c r="T340" s="287"/>
      <c r="U340" s="288" t="str">
        <f t="shared" si="175"/>
        <v/>
      </c>
      <c r="V340" s="287"/>
      <c r="W340" s="289" t="str">
        <f t="shared" si="176"/>
        <v/>
      </c>
      <c r="X340" s="287"/>
      <c r="Y340" s="290" t="str">
        <f t="shared" si="177"/>
        <v/>
      </c>
      <c r="Z340" s="291">
        <f ca="1">SUMIF($T$8:Y$1018,"QUANT.",T340:Y340)</f>
        <v>0</v>
      </c>
      <c r="AA340" s="292">
        <f t="shared" ca="1" si="178"/>
        <v>0</v>
      </c>
      <c r="AB340" s="293" t="str">
        <f t="shared" ca="1" si="179"/>
        <v>MEDIR</v>
      </c>
      <c r="AC340" s="294">
        <f t="shared" ca="1" si="180"/>
        <v>9</v>
      </c>
      <c r="AD340" s="294">
        <f t="shared" ca="1" si="181"/>
        <v>106.38</v>
      </c>
      <c r="AE340" s="295"/>
      <c r="AF340" s="295"/>
      <c r="AG340" s="296"/>
      <c r="AH340" s="296"/>
      <c r="AI340" s="296"/>
      <c r="AJ340" s="325"/>
      <c r="AK340" s="325"/>
      <c r="AL340" s="325"/>
      <c r="AM340" s="325"/>
    </row>
    <row r="341" spans="1:39" ht="25.5" x14ac:dyDescent="0.25">
      <c r="A341" s="232">
        <f t="shared" si="167"/>
        <v>341</v>
      </c>
      <c r="B341" s="232"/>
      <c r="C341" s="307" t="str">
        <f>+C340</f>
        <v>13.19</v>
      </c>
      <c r="D341" s="308">
        <f>1+D340</f>
        <v>2</v>
      </c>
      <c r="E341" s="309" t="str">
        <f>C341&amp;"."&amp;D341</f>
        <v>13.19.2</v>
      </c>
      <c r="F341" s="310" t="s">
        <v>12156</v>
      </c>
      <c r="G341" s="311" t="str">
        <f>IF($F341="","",IFERROR(VLOOKUP($F341,SERVIÇOS!$B:$G,2,0),IFERROR(VLOOKUP($F341,'COMPOSIÇÕES COMPLEMENTARES '!$D:$L,2,0),IFERROR(VLOOKUP($F341,INSUMOS!$A:$D,2,0),""))))</f>
        <v>CHUMBAMENTO EM ALVENARIA PARA RAMAIS/ DISTRIBUIÇÃO COM DIÂMETROS MAIORES QUE 75 MM E MENORES OU IGUAIS A 100 MM</v>
      </c>
      <c r="H341" s="312" t="str">
        <f>IF($F341="","",IFERROR(VLOOKUP($F341,SERVIÇOS!$B:$G,3,0),IFERROR(VLOOKUP($F341,'COMPOSIÇÕES COMPLEMENTARES '!$D:$L,3,0),IFERROR(VLOOKUP($F341,INSUMOS!$A:$D,3,0),""))))</f>
        <v>M</v>
      </c>
      <c r="I341" s="313">
        <v>9</v>
      </c>
      <c r="J341" s="314">
        <f>IF($F341="","",IFERROR(VLOOKUP($F341,SERVIÇOS!$B:$G,4,0),IFERROR(VLOOKUP($F341,'COMPOSIÇÕES COMPLEMENTARES '!$D:$L,6,0),IFERROR(VLOOKUP($F341,INSUMOS!$A:$D,4,0),""))))</f>
        <v>6.55</v>
      </c>
      <c r="K341" s="314">
        <f>IF($F341="","",IFERROR(VLOOKUP($F341,SERVIÇOS!$B:$G,5,0),IFERROR(VLOOKUP($F341,'COMPOSIÇÕES COMPLEMENTARES '!$D:$L,7,0),0)))</f>
        <v>8.9600000000000009</v>
      </c>
      <c r="L341" s="314">
        <f>IF(I341="","",J341+K341)</f>
        <v>15.510000000000002</v>
      </c>
      <c r="M341" s="314">
        <f>IF(I341="","",TRUNC((I341*J341),2))</f>
        <v>58.95</v>
      </c>
      <c r="N341" s="314">
        <f>IF(I341="","",TRUNC((I341*K341),2))</f>
        <v>80.64</v>
      </c>
      <c r="O341" s="314">
        <f>IF(I341="","",TRUNC((M341+N341),2))</f>
        <v>139.59</v>
      </c>
      <c r="P341" s="314"/>
      <c r="Q341" s="315"/>
      <c r="R341" s="315"/>
      <c r="S341" s="286"/>
      <c r="T341" s="287"/>
      <c r="U341" s="288" t="str">
        <f t="shared" si="175"/>
        <v/>
      </c>
      <c r="V341" s="287"/>
      <c r="W341" s="289" t="str">
        <f t="shared" si="176"/>
        <v/>
      </c>
      <c r="X341" s="287"/>
      <c r="Y341" s="290" t="str">
        <f t="shared" si="177"/>
        <v/>
      </c>
      <c r="Z341" s="291">
        <f ca="1">SUMIF($T$8:Y$1018,"QUANT.",T341:Y341)</f>
        <v>0</v>
      </c>
      <c r="AA341" s="292">
        <f t="shared" ca="1" si="178"/>
        <v>0</v>
      </c>
      <c r="AB341" s="293" t="str">
        <f t="shared" ca="1" si="179"/>
        <v>MEDIR</v>
      </c>
      <c r="AC341" s="294">
        <f t="shared" ca="1" si="180"/>
        <v>9</v>
      </c>
      <c r="AD341" s="294">
        <f t="shared" ca="1" si="181"/>
        <v>139.59</v>
      </c>
      <c r="AE341" s="295"/>
      <c r="AF341" s="295"/>
      <c r="AG341" s="296"/>
      <c r="AH341" s="296"/>
      <c r="AI341" s="296"/>
      <c r="AJ341" s="325"/>
      <c r="AK341" s="325"/>
      <c r="AL341" s="325"/>
      <c r="AM341" s="325"/>
    </row>
    <row r="342" spans="1:39" x14ac:dyDescent="0.25">
      <c r="A342" s="232">
        <f t="shared" si="167"/>
        <v>342</v>
      </c>
      <c r="B342" s="232"/>
      <c r="C342" s="307" t="str">
        <f>+C341</f>
        <v>13.19</v>
      </c>
      <c r="D342" s="308">
        <f>1+D341</f>
        <v>3</v>
      </c>
      <c r="E342" s="309" t="str">
        <f>C342&amp;"."&amp;D342</f>
        <v>13.19.3</v>
      </c>
      <c r="F342" s="310">
        <v>93358</v>
      </c>
      <c r="G342" s="311" t="str">
        <f>IF($F342="","",IFERROR(VLOOKUP($F342,SERVIÇOS!$B:$G,2,0),IFERROR(VLOOKUP($F342,'COMPOSIÇÕES COMPLEMENTARES '!$D:$L,2,0),IFERROR(VLOOKUP($F342,INSUMOS!$A:$D,2,0),""))))</f>
        <v>ESCAVAÇÃO MANUAL DE VALA. AF_09/2024</v>
      </c>
      <c r="H342" s="312" t="str">
        <f>IF($F342="","",IFERROR(VLOOKUP($F342,SERVIÇOS!$B:$G,3,0),IFERROR(VLOOKUP($F342,'COMPOSIÇÕES COMPLEMENTARES '!$D:$L,3,0),IFERROR(VLOOKUP($F342,INSUMOS!$A:$D,3,0),""))))</f>
        <v>M3</v>
      </c>
      <c r="I342" s="313">
        <v>61.6</v>
      </c>
      <c r="J342" s="314">
        <f>IF($F342="","",IFERROR(VLOOKUP($F342,SERVIÇOS!$B:$G,4,0),IFERROR(VLOOKUP($F342,'COMPOSIÇÕES COMPLEMENTARES '!$D:$L,6,0),IFERROR(VLOOKUP($F342,INSUMOS!$A:$D,4,0),""))))</f>
        <v>36.369999999999997</v>
      </c>
      <c r="K342" s="314">
        <f>IF($F342="","",IFERROR(VLOOKUP($F342,SERVIÇOS!$B:$G,5,0),IFERROR(VLOOKUP($F342,'COMPOSIÇÕES COMPLEMENTARES '!$D:$L,7,0),0)))</f>
        <v>77.2</v>
      </c>
      <c r="L342" s="314">
        <f>IF(I342="","",J342+K342)</f>
        <v>113.57</v>
      </c>
      <c r="M342" s="314">
        <f>IF(I342="","",TRUNC((I342*J342),2))</f>
        <v>2240.39</v>
      </c>
      <c r="N342" s="314">
        <f>IF(I342="","",TRUNC((I342*K342),2))</f>
        <v>4755.5200000000004</v>
      </c>
      <c r="O342" s="314">
        <f>IF(I342="","",TRUNC((M342+N342),2))</f>
        <v>6995.91</v>
      </c>
      <c r="P342" s="314"/>
      <c r="Q342" s="315"/>
      <c r="R342" s="315"/>
      <c r="S342" s="286"/>
      <c r="T342" s="287"/>
      <c r="U342" s="288" t="str">
        <f t="shared" si="175"/>
        <v/>
      </c>
      <c r="V342" s="287"/>
      <c r="W342" s="289" t="str">
        <f t="shared" si="176"/>
        <v/>
      </c>
      <c r="X342" s="287"/>
      <c r="Y342" s="290" t="str">
        <f t="shared" si="177"/>
        <v/>
      </c>
      <c r="Z342" s="291">
        <f ca="1">SUMIF($T$8:Y$1018,"QUANT.",T342:Y342)</f>
        <v>0</v>
      </c>
      <c r="AA342" s="292">
        <f t="shared" ca="1" si="178"/>
        <v>0</v>
      </c>
      <c r="AB342" s="293" t="str">
        <f t="shared" ca="1" si="179"/>
        <v>MEDIR</v>
      </c>
      <c r="AC342" s="294">
        <f t="shared" ca="1" si="180"/>
        <v>61.6</v>
      </c>
      <c r="AD342" s="294">
        <f t="shared" ca="1" si="181"/>
        <v>6995.91</v>
      </c>
      <c r="AE342" s="295"/>
      <c r="AF342" s="295"/>
      <c r="AG342" s="296"/>
      <c r="AH342" s="296"/>
      <c r="AI342" s="296"/>
      <c r="AJ342" s="325"/>
      <c r="AK342" s="325"/>
      <c r="AL342" s="325"/>
      <c r="AM342" s="325"/>
    </row>
    <row r="343" spans="1:39" x14ac:dyDescent="0.25">
      <c r="A343" s="232">
        <f t="shared" si="167"/>
        <v>343</v>
      </c>
      <c r="B343" s="232"/>
      <c r="C343" s="307" t="str">
        <f>+C342</f>
        <v>13.19</v>
      </c>
      <c r="D343" s="308">
        <f>1+D342</f>
        <v>4</v>
      </c>
      <c r="E343" s="309" t="str">
        <f>C343&amp;"."&amp;D343</f>
        <v>13.19.4</v>
      </c>
      <c r="F343" s="310">
        <v>101616</v>
      </c>
      <c r="G343" s="311" t="str">
        <f>IF($F343="","",IFERROR(VLOOKUP($F343,SERVIÇOS!$B:$G,2,0),IFERROR(VLOOKUP($F343,'COMPOSIÇÕES COMPLEMENTARES '!$D:$L,2,0),IFERROR(VLOOKUP($F343,INSUMOS!$A:$D,2,0),""))))</f>
        <v>PREPARO DE FUNDO DE VALA COM LARGURA MENOR QUE 1,5 M (ACERTO DO SOLO NATURAL). AF_08/2020</v>
      </c>
      <c r="H343" s="312" t="str">
        <f>IF($F343="","",IFERROR(VLOOKUP($F343,SERVIÇOS!$B:$G,3,0),IFERROR(VLOOKUP($F343,'COMPOSIÇÕES COMPLEMENTARES '!$D:$L,3,0),IFERROR(VLOOKUP($F343,INSUMOS!$A:$D,3,0),""))))</f>
        <v>M2</v>
      </c>
      <c r="I343" s="313">
        <v>123.2</v>
      </c>
      <c r="J343" s="314">
        <f>IF($F343="","",IFERROR(VLOOKUP($F343,SERVIÇOS!$B:$G,4,0),IFERROR(VLOOKUP($F343,'COMPOSIÇÕES COMPLEMENTARES '!$D:$L,6,0),IFERROR(VLOOKUP($F343,INSUMOS!$A:$D,4,0),""))))</f>
        <v>2.46</v>
      </c>
      <c r="K343" s="314">
        <f>IF($F343="","",IFERROR(VLOOKUP($F343,SERVIÇOS!$B:$G,5,0),IFERROR(VLOOKUP($F343,'COMPOSIÇÕES COMPLEMENTARES '!$D:$L,7,0),0)))</f>
        <v>5.96</v>
      </c>
      <c r="L343" s="314">
        <f>IF(I343="","",J343+K343)</f>
        <v>8.42</v>
      </c>
      <c r="M343" s="314">
        <f>IF(I343="","",TRUNC((I343*J343),2))</f>
        <v>303.07</v>
      </c>
      <c r="N343" s="314">
        <f>IF(I343="","",TRUNC((I343*K343),2))</f>
        <v>734.27</v>
      </c>
      <c r="O343" s="314">
        <f>IF(I343="","",TRUNC((M343+N343),2))</f>
        <v>1037.3399999999999</v>
      </c>
      <c r="P343" s="314"/>
      <c r="Q343" s="315"/>
      <c r="R343" s="315"/>
      <c r="S343" s="286"/>
      <c r="T343" s="287"/>
      <c r="U343" s="288" t="str">
        <f t="shared" si="175"/>
        <v/>
      </c>
      <c r="V343" s="287"/>
      <c r="W343" s="289" t="str">
        <f t="shared" si="176"/>
        <v/>
      </c>
      <c r="X343" s="287"/>
      <c r="Y343" s="290" t="str">
        <f t="shared" si="177"/>
        <v/>
      </c>
      <c r="Z343" s="291">
        <f ca="1">SUMIF($T$8:Y$1018,"QUANT.",T343:Y343)</f>
        <v>0</v>
      </c>
      <c r="AA343" s="292">
        <f t="shared" ca="1" si="178"/>
        <v>0</v>
      </c>
      <c r="AB343" s="293" t="str">
        <f t="shared" ca="1" si="179"/>
        <v>MEDIR</v>
      </c>
      <c r="AC343" s="294">
        <f t="shared" ca="1" si="180"/>
        <v>123.2</v>
      </c>
      <c r="AD343" s="294">
        <f t="shared" ca="1" si="181"/>
        <v>1037.3399999999999</v>
      </c>
      <c r="AE343" s="295"/>
      <c r="AF343" s="295"/>
      <c r="AG343" s="296"/>
      <c r="AH343" s="296"/>
      <c r="AI343" s="296"/>
      <c r="AJ343" s="325"/>
      <c r="AK343" s="325"/>
      <c r="AL343" s="325"/>
      <c r="AM343" s="325"/>
    </row>
    <row r="344" spans="1:39" x14ac:dyDescent="0.25">
      <c r="A344" s="232">
        <f t="shared" si="167"/>
        <v>344</v>
      </c>
      <c r="B344" s="232"/>
      <c r="C344" s="307" t="str">
        <f>+C343</f>
        <v>13.19</v>
      </c>
      <c r="D344" s="308">
        <f>1+D343</f>
        <v>5</v>
      </c>
      <c r="E344" s="309" t="str">
        <f>C344&amp;"."&amp;D344</f>
        <v>13.19.5</v>
      </c>
      <c r="F344" s="310">
        <v>93382</v>
      </c>
      <c r="G344" s="311" t="str">
        <f>IF($F344="","",IFERROR(VLOOKUP($F344,SERVIÇOS!$B:$G,2,0),IFERROR(VLOOKUP($F344,'COMPOSIÇÕES COMPLEMENTARES '!$D:$L,2,0),IFERROR(VLOOKUP($F344,INSUMOS!$A:$D,2,0),""))))</f>
        <v>REATERRO MANUAL DE VALAS, COM COMPACTADOR DE SOLOS DE PERCUSSÃO. AF_08/2023</v>
      </c>
      <c r="H344" s="312" t="str">
        <f>IF($F344="","",IFERROR(VLOOKUP($F344,SERVIÇOS!$B:$G,3,0),IFERROR(VLOOKUP($F344,'COMPOSIÇÕES COMPLEMENTARES '!$D:$L,3,0),IFERROR(VLOOKUP($F344,INSUMOS!$A:$D,3,0),""))))</f>
        <v>M3</v>
      </c>
      <c r="I344" s="313">
        <v>39.6</v>
      </c>
      <c r="J344" s="314">
        <f>IF($F344="","",IFERROR(VLOOKUP($F344,SERVIÇOS!$B:$G,4,0),IFERROR(VLOOKUP($F344,'COMPOSIÇÕES COMPLEMENTARES '!$D:$L,6,0),IFERROR(VLOOKUP($F344,INSUMOS!$A:$D,4,0),""))))</f>
        <v>12.29</v>
      </c>
      <c r="K344" s="314">
        <f>IF($F344="","",IFERROR(VLOOKUP($F344,SERVIÇOS!$B:$G,5,0),IFERROR(VLOOKUP($F344,'COMPOSIÇÕES COMPLEMENTARES '!$D:$L,7,0),0)))</f>
        <v>20.78</v>
      </c>
      <c r="L344" s="314">
        <f>IF(I344="","",J344+K344)</f>
        <v>33.07</v>
      </c>
      <c r="M344" s="314">
        <f>IF(I344="","",TRUNC((I344*J344),2))</f>
        <v>486.68</v>
      </c>
      <c r="N344" s="314">
        <f>IF(I344="","",TRUNC((I344*K344),2))</f>
        <v>822.88</v>
      </c>
      <c r="O344" s="314">
        <f>IF(I344="","",TRUNC((M344+N344),2))</f>
        <v>1309.56</v>
      </c>
      <c r="P344" s="314"/>
      <c r="Q344" s="315"/>
      <c r="R344" s="315"/>
      <c r="S344" s="286"/>
      <c r="T344" s="287"/>
      <c r="U344" s="288" t="str">
        <f t="shared" si="175"/>
        <v/>
      </c>
      <c r="V344" s="287"/>
      <c r="W344" s="289" t="str">
        <f t="shared" si="176"/>
        <v/>
      </c>
      <c r="X344" s="287"/>
      <c r="Y344" s="290" t="str">
        <f t="shared" si="177"/>
        <v/>
      </c>
      <c r="Z344" s="291">
        <f ca="1">SUMIF($T$8:Y$1018,"QUANT.",T344:Y344)</f>
        <v>0</v>
      </c>
      <c r="AA344" s="292">
        <f t="shared" ca="1" si="178"/>
        <v>0</v>
      </c>
      <c r="AB344" s="293" t="str">
        <f t="shared" ca="1" si="179"/>
        <v>MEDIR</v>
      </c>
      <c r="AC344" s="294">
        <f t="shared" ca="1" si="180"/>
        <v>39.6</v>
      </c>
      <c r="AD344" s="294">
        <f t="shared" ca="1" si="181"/>
        <v>1309.56</v>
      </c>
      <c r="AE344" s="295"/>
      <c r="AF344" s="295"/>
      <c r="AG344" s="296"/>
      <c r="AH344" s="296"/>
      <c r="AI344" s="296"/>
      <c r="AJ344" s="325"/>
      <c r="AK344" s="325"/>
      <c r="AL344" s="325"/>
      <c r="AM344" s="325"/>
    </row>
    <row r="345" spans="1:39" x14ac:dyDescent="0.25">
      <c r="A345" s="232">
        <f t="shared" si="167"/>
        <v>345</v>
      </c>
      <c r="B345" s="232"/>
      <c r="C345" s="316" t="str">
        <f>+E345</f>
        <v>13.20</v>
      </c>
      <c r="D345" s="297"/>
      <c r="E345" s="317" t="s">
        <v>12157</v>
      </c>
      <c r="F345" s="317"/>
      <c r="G345" s="318" t="s">
        <v>12158</v>
      </c>
      <c r="H345" s="317"/>
      <c r="I345" s="319"/>
      <c r="J345" s="317"/>
      <c r="K345" s="317"/>
      <c r="L345" s="317"/>
      <c r="M345" s="317"/>
      <c r="N345" s="317"/>
      <c r="O345" s="317"/>
      <c r="P345" s="317"/>
      <c r="Q345" s="320"/>
      <c r="R345" s="306"/>
      <c r="S345" s="286"/>
      <c r="T345" s="287"/>
      <c r="U345" s="288" t="str">
        <f t="shared" si="175"/>
        <v/>
      </c>
      <c r="V345" s="287"/>
      <c r="W345" s="289" t="str">
        <f t="shared" si="176"/>
        <v/>
      </c>
      <c r="X345" s="287"/>
      <c r="Y345" s="290" t="str">
        <f t="shared" si="177"/>
        <v/>
      </c>
      <c r="Z345" s="291">
        <f ca="1">SUMIF($T$8:Y$1018,"QUANT.",T345:Y345)</f>
        <v>0</v>
      </c>
      <c r="AA345" s="292">
        <f t="shared" ca="1" si="178"/>
        <v>0</v>
      </c>
      <c r="AB345" s="293" t="str">
        <f t="shared" si="179"/>
        <v/>
      </c>
      <c r="AC345" s="294">
        <f t="shared" ca="1" si="180"/>
        <v>0</v>
      </c>
      <c r="AD345" s="294">
        <f t="shared" ca="1" si="181"/>
        <v>0</v>
      </c>
      <c r="AE345" s="295"/>
      <c r="AF345" s="295"/>
      <c r="AG345" s="296"/>
      <c r="AH345" s="296"/>
      <c r="AI345" s="296"/>
      <c r="AJ345" s="325"/>
      <c r="AK345" s="325"/>
      <c r="AL345" s="325"/>
      <c r="AM345" s="325"/>
    </row>
    <row r="346" spans="1:39" ht="38.25" x14ac:dyDescent="0.25">
      <c r="A346" s="232">
        <f t="shared" si="167"/>
        <v>346</v>
      </c>
      <c r="B346" s="232"/>
      <c r="C346" s="307" t="str">
        <f>+C345</f>
        <v>13.20</v>
      </c>
      <c r="D346" s="308">
        <f>1+D345</f>
        <v>1</v>
      </c>
      <c r="E346" s="309" t="str">
        <f>C346&amp;"."&amp;D346</f>
        <v>13.20.1</v>
      </c>
      <c r="F346" s="310">
        <v>92210</v>
      </c>
      <c r="G346" s="311" t="str">
        <f>IF($F346="","",IFERROR(VLOOKUP($F346,SERVIÇOS!$B:$G,2,0),IFERROR(VLOOKUP($F346,'COMPOSIÇÕES COMPLEMENTARES '!$D:$L,2,0),IFERROR(VLOOKUP($F346,INSUMOS!$A:$D,2,0),""))))</f>
        <v>TUBO DE CONCRETO PARA REDES COLETORAS DE ÁGUAS PLUVIAIS, DIÂMETRO DE 400 MM, JUNTA RÍGIDA, INSTALADO EM LOCAL COM BAIXO NÍVEL DE INTERFERÊNCIAS - FORNECIMENTO E ASSENTAMENTO. AF_03/2024</v>
      </c>
      <c r="H346" s="312" t="str">
        <f>IF($F346="","",IFERROR(VLOOKUP($F346,SERVIÇOS!$B:$G,3,0),IFERROR(VLOOKUP($F346,'COMPOSIÇÕES COMPLEMENTARES '!$D:$L,3,0),IFERROR(VLOOKUP($F346,INSUMOS!$A:$D,3,0),""))))</f>
        <v>M</v>
      </c>
      <c r="I346" s="313">
        <v>6</v>
      </c>
      <c r="J346" s="314">
        <f>IF($F346="","",IFERROR(VLOOKUP($F346,SERVIÇOS!$B:$G,4,0),IFERROR(VLOOKUP($F346,'COMPOSIÇÕES COMPLEMENTARES '!$D:$L,6,0),IFERROR(VLOOKUP($F346,INSUMOS!$A:$D,4,0),""))))</f>
        <v>152.91999999999999</v>
      </c>
      <c r="K346" s="314">
        <f>IF($F346="","",IFERROR(VLOOKUP($F346,SERVIÇOS!$B:$G,5,0),IFERROR(VLOOKUP($F346,'COMPOSIÇÕES COMPLEMENTARES '!$D:$L,7,0),0)))</f>
        <v>15.67</v>
      </c>
      <c r="L346" s="314">
        <f>IF(I346="","",J346+K346)</f>
        <v>168.58999999999997</v>
      </c>
      <c r="M346" s="314">
        <f>IF(I346="","",TRUNC((I346*J346),2))</f>
        <v>917.52</v>
      </c>
      <c r="N346" s="314">
        <f>IF(I346="","",TRUNC((I346*K346),2))</f>
        <v>94.02</v>
      </c>
      <c r="O346" s="314">
        <f>IF(I346="","",TRUNC((M346+N346),2))</f>
        <v>1011.54</v>
      </c>
      <c r="P346" s="314"/>
      <c r="Q346" s="315"/>
      <c r="R346" s="315"/>
      <c r="S346" s="286"/>
      <c r="T346" s="287"/>
      <c r="U346" s="288" t="str">
        <f t="shared" si="175"/>
        <v/>
      </c>
      <c r="V346" s="287"/>
      <c r="W346" s="289" t="str">
        <f t="shared" si="176"/>
        <v/>
      </c>
      <c r="X346" s="287"/>
      <c r="Y346" s="290" t="str">
        <f t="shared" si="177"/>
        <v/>
      </c>
      <c r="Z346" s="291">
        <f ca="1">SUMIF($T$8:Y$1018,"QUANT.",T346:Y346)</f>
        <v>0</v>
      </c>
      <c r="AA346" s="292">
        <f t="shared" ca="1" si="178"/>
        <v>0</v>
      </c>
      <c r="AB346" s="293" t="str">
        <f t="shared" ca="1" si="179"/>
        <v>MEDIR</v>
      </c>
      <c r="AC346" s="294">
        <f t="shared" ca="1" si="180"/>
        <v>6</v>
      </c>
      <c r="AD346" s="294">
        <f t="shared" ca="1" si="181"/>
        <v>1011.54</v>
      </c>
      <c r="AE346" s="295"/>
      <c r="AF346" s="295"/>
      <c r="AG346" s="296"/>
      <c r="AH346" s="296"/>
      <c r="AI346" s="296"/>
      <c r="AJ346" s="325"/>
      <c r="AK346" s="325"/>
      <c r="AL346" s="325"/>
      <c r="AM346" s="325"/>
    </row>
    <row r="347" spans="1:39" x14ac:dyDescent="0.25">
      <c r="A347" s="232">
        <f t="shared" si="167"/>
        <v>347</v>
      </c>
      <c r="B347" s="232"/>
      <c r="C347" s="316" t="str">
        <f>+E347</f>
        <v>13.21</v>
      </c>
      <c r="D347" s="297"/>
      <c r="E347" s="317" t="s">
        <v>12159</v>
      </c>
      <c r="F347" s="317"/>
      <c r="G347" s="318" t="s">
        <v>12112</v>
      </c>
      <c r="H347" s="317"/>
      <c r="I347" s="319"/>
      <c r="J347" s="317"/>
      <c r="K347" s="317"/>
      <c r="L347" s="317"/>
      <c r="M347" s="317"/>
      <c r="N347" s="317"/>
      <c r="O347" s="317"/>
      <c r="P347" s="317"/>
      <c r="Q347" s="320"/>
      <c r="R347" s="306"/>
      <c r="S347" s="286"/>
      <c r="T347" s="287"/>
      <c r="U347" s="288" t="str">
        <f t="shared" si="175"/>
        <v/>
      </c>
      <c r="V347" s="287"/>
      <c r="W347" s="289" t="str">
        <f t="shared" si="176"/>
        <v/>
      </c>
      <c r="X347" s="287"/>
      <c r="Y347" s="290" t="str">
        <f t="shared" si="177"/>
        <v/>
      </c>
      <c r="Z347" s="291">
        <f ca="1">SUMIF($T$8:Y$1018,"QUANT.",T347:Y347)</f>
        <v>0</v>
      </c>
      <c r="AA347" s="292">
        <f t="shared" ca="1" si="178"/>
        <v>0</v>
      </c>
      <c r="AB347" s="293" t="str">
        <f t="shared" si="179"/>
        <v/>
      </c>
      <c r="AC347" s="294">
        <f t="shared" ca="1" si="180"/>
        <v>0</v>
      </c>
      <c r="AD347" s="294">
        <f t="shared" ca="1" si="181"/>
        <v>0</v>
      </c>
      <c r="AE347" s="295"/>
      <c r="AF347" s="295"/>
      <c r="AG347" s="296"/>
      <c r="AH347" s="296"/>
      <c r="AI347" s="296"/>
      <c r="AJ347" s="325"/>
      <c r="AK347" s="325"/>
      <c r="AL347" s="325"/>
      <c r="AM347" s="325"/>
    </row>
    <row r="348" spans="1:39" x14ac:dyDescent="0.25">
      <c r="A348" s="232">
        <f t="shared" si="167"/>
        <v>348</v>
      </c>
      <c r="B348" s="232"/>
      <c r="C348" s="307" t="str">
        <f>+C347</f>
        <v>13.21</v>
      </c>
      <c r="D348" s="308">
        <f>1+D347</f>
        <v>1</v>
      </c>
      <c r="E348" s="309" t="str">
        <f>C348&amp;"."&amp;D348</f>
        <v>13.21.1</v>
      </c>
      <c r="F348" s="310">
        <v>93358</v>
      </c>
      <c r="G348" s="311" t="str">
        <f>IF($F348="","",IFERROR(VLOOKUP($F348,SERVIÇOS!$B:$G,2,0),IFERROR(VLOOKUP($F348,'COMPOSIÇÕES COMPLEMENTARES '!$D:$L,2,0),IFERROR(VLOOKUP($F348,INSUMOS!$A:$D,2,0),""))))</f>
        <v>ESCAVAÇÃO MANUAL DE VALA. AF_09/2024</v>
      </c>
      <c r="H348" s="312" t="str">
        <f>IF($F348="","",IFERROR(VLOOKUP($F348,SERVIÇOS!$B:$G,3,0),IFERROR(VLOOKUP($F348,'COMPOSIÇÕES COMPLEMENTARES '!$D:$L,3,0),IFERROR(VLOOKUP($F348,INSUMOS!$A:$D,3,0),""))))</f>
        <v>M3</v>
      </c>
      <c r="I348" s="313">
        <f>6*0.8*1.5</f>
        <v>7.2000000000000011</v>
      </c>
      <c r="J348" s="314">
        <f>IF($F348="","",IFERROR(VLOOKUP($F348,SERVIÇOS!$B:$G,4,0),IFERROR(VLOOKUP($F348,'COMPOSIÇÕES COMPLEMENTARES '!$D:$L,6,0),IFERROR(VLOOKUP($F348,INSUMOS!$A:$D,4,0),""))))</f>
        <v>36.369999999999997</v>
      </c>
      <c r="K348" s="314">
        <f>IF($F348="","",IFERROR(VLOOKUP($F348,SERVIÇOS!$B:$G,5,0),IFERROR(VLOOKUP($F348,'COMPOSIÇÕES COMPLEMENTARES '!$D:$L,7,0),0)))</f>
        <v>77.2</v>
      </c>
      <c r="L348" s="314">
        <f>IF(I348="","",J348+K348)</f>
        <v>113.57</v>
      </c>
      <c r="M348" s="314">
        <f>IF(I348="","",TRUNC((I348*J348),2))</f>
        <v>261.86</v>
      </c>
      <c r="N348" s="314">
        <f>IF(I348="","",TRUNC((I348*K348),2))</f>
        <v>555.84</v>
      </c>
      <c r="O348" s="314">
        <f>IF(I348="","",TRUNC((M348+N348),2))</f>
        <v>817.7</v>
      </c>
      <c r="P348" s="314"/>
      <c r="Q348" s="315"/>
      <c r="R348" s="315"/>
      <c r="S348" s="286"/>
      <c r="T348" s="287"/>
      <c r="U348" s="288" t="str">
        <f t="shared" si="175"/>
        <v/>
      </c>
      <c r="V348" s="287"/>
      <c r="W348" s="289" t="str">
        <f t="shared" si="176"/>
        <v/>
      </c>
      <c r="X348" s="287"/>
      <c r="Y348" s="290" t="str">
        <f t="shared" si="177"/>
        <v/>
      </c>
      <c r="Z348" s="291">
        <f ca="1">SUMIF($T$8:Y$1018,"QUANT.",T348:Y348)</f>
        <v>0</v>
      </c>
      <c r="AA348" s="292">
        <f t="shared" ca="1" si="178"/>
        <v>0</v>
      </c>
      <c r="AB348" s="293" t="str">
        <f t="shared" ca="1" si="179"/>
        <v>MEDIR</v>
      </c>
      <c r="AC348" s="294">
        <f t="shared" ca="1" si="180"/>
        <v>7.2000000000000011</v>
      </c>
      <c r="AD348" s="294">
        <f t="shared" ca="1" si="181"/>
        <v>817.7</v>
      </c>
      <c r="AE348" s="295"/>
      <c r="AF348" s="295"/>
      <c r="AG348" s="296"/>
      <c r="AH348" s="296"/>
      <c r="AI348" s="296"/>
      <c r="AJ348" s="325"/>
      <c r="AK348" s="325"/>
      <c r="AL348" s="325"/>
      <c r="AM348" s="325"/>
    </row>
    <row r="349" spans="1:39" x14ac:dyDescent="0.25">
      <c r="A349" s="232">
        <f t="shared" si="167"/>
        <v>349</v>
      </c>
      <c r="B349" s="232"/>
      <c r="C349" s="307" t="str">
        <f>+C348</f>
        <v>13.21</v>
      </c>
      <c r="D349" s="308">
        <f>1+D348</f>
        <v>2</v>
      </c>
      <c r="E349" s="309" t="str">
        <f>C349&amp;"."&amp;D349</f>
        <v>13.21.2</v>
      </c>
      <c r="F349" s="310">
        <v>101616</v>
      </c>
      <c r="G349" s="311" t="str">
        <f>IF($F349="","",IFERROR(VLOOKUP($F349,SERVIÇOS!$B:$G,2,0),IFERROR(VLOOKUP($F349,'COMPOSIÇÕES COMPLEMENTARES '!$D:$L,2,0),IFERROR(VLOOKUP($F349,INSUMOS!$A:$D,2,0),""))))</f>
        <v>PREPARO DE FUNDO DE VALA COM LARGURA MENOR QUE 1,5 M (ACERTO DO SOLO NATURAL). AF_08/2020</v>
      </c>
      <c r="H349" s="312" t="str">
        <f>IF($F349="","",IFERROR(VLOOKUP($F349,SERVIÇOS!$B:$G,3,0),IFERROR(VLOOKUP($F349,'COMPOSIÇÕES COMPLEMENTARES '!$D:$L,3,0),IFERROR(VLOOKUP($F349,INSUMOS!$A:$D,3,0),""))))</f>
        <v>M2</v>
      </c>
      <c r="I349" s="313">
        <f>6*0.8</f>
        <v>4.8000000000000007</v>
      </c>
      <c r="J349" s="314">
        <f>IF($F349="","",IFERROR(VLOOKUP($F349,SERVIÇOS!$B:$G,4,0),IFERROR(VLOOKUP($F349,'COMPOSIÇÕES COMPLEMENTARES '!$D:$L,6,0),IFERROR(VLOOKUP($F349,INSUMOS!$A:$D,4,0),""))))</f>
        <v>2.46</v>
      </c>
      <c r="K349" s="314">
        <f>IF($F349="","",IFERROR(VLOOKUP($F349,SERVIÇOS!$B:$G,5,0),IFERROR(VLOOKUP($F349,'COMPOSIÇÕES COMPLEMENTARES '!$D:$L,7,0),0)))</f>
        <v>5.96</v>
      </c>
      <c r="L349" s="314">
        <f>IF(I349="","",J349+K349)</f>
        <v>8.42</v>
      </c>
      <c r="M349" s="314">
        <f>IF(I349="","",TRUNC((I349*J349),2))</f>
        <v>11.8</v>
      </c>
      <c r="N349" s="314">
        <f>IF(I349="","",TRUNC((I349*K349),2))</f>
        <v>28.6</v>
      </c>
      <c r="O349" s="314">
        <f>IF(I349="","",TRUNC((M349+N349),2))</f>
        <v>40.4</v>
      </c>
      <c r="P349" s="314"/>
      <c r="Q349" s="315"/>
      <c r="R349" s="315"/>
      <c r="S349" s="286"/>
      <c r="T349" s="287"/>
      <c r="U349" s="288" t="str">
        <f t="shared" si="175"/>
        <v/>
      </c>
      <c r="V349" s="287"/>
      <c r="W349" s="289" t="str">
        <f t="shared" si="176"/>
        <v/>
      </c>
      <c r="X349" s="287"/>
      <c r="Y349" s="290" t="str">
        <f t="shared" si="177"/>
        <v/>
      </c>
      <c r="Z349" s="291">
        <f ca="1">SUMIF($T$8:Y$1018,"QUANT.",T349:Y349)</f>
        <v>0</v>
      </c>
      <c r="AA349" s="292">
        <f t="shared" ca="1" si="178"/>
        <v>0</v>
      </c>
      <c r="AB349" s="293" t="str">
        <f t="shared" ca="1" si="179"/>
        <v>MEDIR</v>
      </c>
      <c r="AC349" s="294">
        <f t="shared" ca="1" si="180"/>
        <v>4.8000000000000007</v>
      </c>
      <c r="AD349" s="294">
        <f t="shared" ca="1" si="181"/>
        <v>40.4</v>
      </c>
      <c r="AE349" s="295"/>
      <c r="AF349" s="295"/>
      <c r="AG349" s="296"/>
      <c r="AH349" s="296"/>
      <c r="AI349" s="296"/>
      <c r="AJ349" s="325"/>
      <c r="AK349" s="325"/>
      <c r="AL349" s="325"/>
      <c r="AM349" s="325"/>
    </row>
    <row r="350" spans="1:39" x14ac:dyDescent="0.25">
      <c r="A350" s="232">
        <f t="shared" si="167"/>
        <v>350</v>
      </c>
      <c r="B350" s="232"/>
      <c r="C350" s="307" t="str">
        <f>+C349</f>
        <v>13.21</v>
      </c>
      <c r="D350" s="308">
        <f>1+D349</f>
        <v>3</v>
      </c>
      <c r="E350" s="309" t="str">
        <f>C350&amp;"."&amp;D350</f>
        <v>13.21.3</v>
      </c>
      <c r="F350" s="310">
        <v>93382</v>
      </c>
      <c r="G350" s="311" t="str">
        <f>IF($F350="","",IFERROR(VLOOKUP($F350,SERVIÇOS!$B:$G,2,0),IFERROR(VLOOKUP($F350,'COMPOSIÇÕES COMPLEMENTARES '!$D:$L,2,0),IFERROR(VLOOKUP($F350,INSUMOS!$A:$D,2,0),""))))</f>
        <v>REATERRO MANUAL DE VALAS, COM COMPACTADOR DE SOLOS DE PERCUSSÃO. AF_08/2023</v>
      </c>
      <c r="H350" s="312" t="str">
        <f>IF($F350="","",IFERROR(VLOOKUP($F350,SERVIÇOS!$B:$G,3,0),IFERROR(VLOOKUP($F350,'COMPOSIÇÕES COMPLEMENTARES '!$D:$L,3,0),IFERROR(VLOOKUP($F350,INSUMOS!$A:$D,3,0),""))))</f>
        <v>M3</v>
      </c>
      <c r="I350" s="313">
        <v>6.45</v>
      </c>
      <c r="J350" s="314">
        <f>IF($F350="","",IFERROR(VLOOKUP($F350,SERVIÇOS!$B:$G,4,0),IFERROR(VLOOKUP($F350,'COMPOSIÇÕES COMPLEMENTARES '!$D:$L,6,0),IFERROR(VLOOKUP($F350,INSUMOS!$A:$D,4,0),""))))</f>
        <v>12.29</v>
      </c>
      <c r="K350" s="314">
        <f>IF($F350="","",IFERROR(VLOOKUP($F350,SERVIÇOS!$B:$G,5,0),IFERROR(VLOOKUP($F350,'COMPOSIÇÕES COMPLEMENTARES '!$D:$L,7,0),0)))</f>
        <v>20.78</v>
      </c>
      <c r="L350" s="314">
        <f>IF(I350="","",J350+K350)</f>
        <v>33.07</v>
      </c>
      <c r="M350" s="314">
        <f>IF(I350="","",TRUNC((I350*J350),2))</f>
        <v>79.27</v>
      </c>
      <c r="N350" s="314">
        <f>IF(I350="","",TRUNC((I350*K350),2))</f>
        <v>134.03</v>
      </c>
      <c r="O350" s="314">
        <f>IF(I350="","",TRUNC((M350+N350),2))</f>
        <v>213.3</v>
      </c>
      <c r="P350" s="314"/>
      <c r="Q350" s="315"/>
      <c r="R350" s="315"/>
      <c r="S350" s="286"/>
      <c r="T350" s="287"/>
      <c r="U350" s="288" t="str">
        <f t="shared" si="175"/>
        <v/>
      </c>
      <c r="V350" s="287"/>
      <c r="W350" s="289" t="str">
        <f t="shared" si="176"/>
        <v/>
      </c>
      <c r="X350" s="287"/>
      <c r="Y350" s="290" t="str">
        <f t="shared" si="177"/>
        <v/>
      </c>
      <c r="Z350" s="291">
        <f ca="1">SUMIF($T$8:Y$1018,"QUANT.",T350:Y350)</f>
        <v>0</v>
      </c>
      <c r="AA350" s="292">
        <f t="shared" ca="1" si="178"/>
        <v>0</v>
      </c>
      <c r="AB350" s="293" t="str">
        <f t="shared" ca="1" si="179"/>
        <v>MEDIR</v>
      </c>
      <c r="AC350" s="294">
        <f t="shared" ca="1" si="180"/>
        <v>6.45</v>
      </c>
      <c r="AD350" s="294">
        <f t="shared" ca="1" si="181"/>
        <v>213.3</v>
      </c>
      <c r="AE350" s="295"/>
      <c r="AF350" s="295"/>
      <c r="AG350" s="296"/>
      <c r="AH350" s="296"/>
      <c r="AI350" s="296"/>
      <c r="AJ350" s="325"/>
      <c r="AK350" s="325"/>
      <c r="AL350" s="325"/>
      <c r="AM350" s="325"/>
    </row>
    <row r="351" spans="1:39" x14ac:dyDescent="0.25">
      <c r="A351" s="232">
        <f t="shared" si="167"/>
        <v>351</v>
      </c>
      <c r="B351" s="232"/>
      <c r="C351" s="316" t="str">
        <f>+E351</f>
        <v>13.22</v>
      </c>
      <c r="D351" s="297"/>
      <c r="E351" s="317" t="s">
        <v>12160</v>
      </c>
      <c r="F351" s="317"/>
      <c r="G351" s="318" t="s">
        <v>12161</v>
      </c>
      <c r="H351" s="317"/>
      <c r="I351" s="319"/>
      <c r="J351" s="317"/>
      <c r="K351" s="317"/>
      <c r="L351" s="317"/>
      <c r="M351" s="317"/>
      <c r="N351" s="317"/>
      <c r="O351" s="317"/>
      <c r="P351" s="317"/>
      <c r="Q351" s="320"/>
      <c r="R351" s="306"/>
      <c r="S351" s="286"/>
      <c r="T351" s="287"/>
      <c r="U351" s="288" t="str">
        <f t="shared" si="175"/>
        <v/>
      </c>
      <c r="V351" s="287"/>
      <c r="W351" s="289" t="str">
        <f t="shared" si="176"/>
        <v/>
      </c>
      <c r="X351" s="287"/>
      <c r="Y351" s="290" t="str">
        <f t="shared" si="177"/>
        <v/>
      </c>
      <c r="Z351" s="291">
        <f ca="1">SUMIF($T$8:Y$1018,"QUANT.",T351:Y351)</f>
        <v>0</v>
      </c>
      <c r="AA351" s="292">
        <f t="shared" ca="1" si="178"/>
        <v>0</v>
      </c>
      <c r="AB351" s="293" t="str">
        <f t="shared" si="179"/>
        <v/>
      </c>
      <c r="AC351" s="294">
        <f t="shared" ca="1" si="180"/>
        <v>0</v>
      </c>
      <c r="AD351" s="294">
        <f t="shared" ca="1" si="181"/>
        <v>0</v>
      </c>
      <c r="AE351" s="295"/>
      <c r="AF351" s="295"/>
      <c r="AG351" s="296"/>
      <c r="AH351" s="296"/>
      <c r="AI351" s="296"/>
      <c r="AJ351" s="325"/>
      <c r="AK351" s="325"/>
      <c r="AL351" s="325"/>
      <c r="AM351" s="325"/>
    </row>
    <row r="352" spans="1:39" x14ac:dyDescent="0.25">
      <c r="A352" s="232">
        <f t="shared" si="167"/>
        <v>352</v>
      </c>
      <c r="B352" s="232"/>
      <c r="C352" s="316" t="str">
        <f>+E352</f>
        <v>13.23</v>
      </c>
      <c r="D352" s="297"/>
      <c r="E352" s="317" t="s">
        <v>12162</v>
      </c>
      <c r="F352" s="317"/>
      <c r="G352" s="318" t="s">
        <v>12163</v>
      </c>
      <c r="H352" s="317"/>
      <c r="I352" s="319"/>
      <c r="J352" s="317"/>
      <c r="K352" s="317"/>
      <c r="L352" s="317"/>
      <c r="M352" s="317"/>
      <c r="N352" s="317"/>
      <c r="O352" s="317"/>
      <c r="P352" s="317"/>
      <c r="Q352" s="320"/>
      <c r="R352" s="306"/>
      <c r="S352" s="286"/>
      <c r="T352" s="287"/>
      <c r="U352" s="288" t="str">
        <f t="shared" si="175"/>
        <v/>
      </c>
      <c r="V352" s="287"/>
      <c r="W352" s="289" t="str">
        <f t="shared" si="176"/>
        <v/>
      </c>
      <c r="X352" s="287"/>
      <c r="Y352" s="290" t="str">
        <f t="shared" si="177"/>
        <v/>
      </c>
      <c r="Z352" s="291">
        <f ca="1">SUMIF($T$8:Y$1018,"QUANT.",T352:Y352)</f>
        <v>0</v>
      </c>
      <c r="AA352" s="292">
        <f t="shared" ca="1" si="178"/>
        <v>0</v>
      </c>
      <c r="AB352" s="293" t="str">
        <f t="shared" si="179"/>
        <v/>
      </c>
      <c r="AC352" s="294">
        <f t="shared" ca="1" si="180"/>
        <v>0</v>
      </c>
      <c r="AD352" s="294">
        <f t="shared" ca="1" si="181"/>
        <v>0</v>
      </c>
      <c r="AE352" s="295"/>
      <c r="AF352" s="295"/>
      <c r="AG352" s="296"/>
      <c r="AH352" s="296"/>
      <c r="AI352" s="296"/>
      <c r="AJ352" s="325"/>
      <c r="AK352" s="325"/>
      <c r="AL352" s="325"/>
      <c r="AM352" s="325"/>
    </row>
    <row r="353" spans="1:39" x14ac:dyDescent="0.25">
      <c r="A353" s="232">
        <f t="shared" si="167"/>
        <v>353</v>
      </c>
      <c r="B353" s="232"/>
      <c r="C353" s="307" t="str">
        <f>+C352</f>
        <v>13.23</v>
      </c>
      <c r="D353" s="308">
        <f>1+D352</f>
        <v>1</v>
      </c>
      <c r="E353" s="309" t="str">
        <f>C353&amp;"."&amp;D353</f>
        <v>13.23.1</v>
      </c>
      <c r="F353" s="310" t="s">
        <v>12164</v>
      </c>
      <c r="G353" s="311" t="str">
        <f>IF($F353="","",IFERROR(VLOOKUP($F353,SERVIÇOS!$B:$G,2,0),IFERROR(VLOOKUP($F353,'COMPOSIÇÕES COMPLEMENTARES '!$D:$L,2,0),IFERROR(VLOOKUP($F353,INSUMOS!$A:$D,2,0),""))))</f>
        <v xml:space="preserve">TUBO DE PVC TIPO ESGOTO P/ AR CONDICIONADO, INCLUSO CONEXÕES - D=40MM </v>
      </c>
      <c r="H353" s="312" t="str">
        <f>IF($F353="","",IFERROR(VLOOKUP($F353,SERVIÇOS!$B:$G,3,0),IFERROR(VLOOKUP($F353,'COMPOSIÇÕES COMPLEMENTARES '!$D:$L,3,0),IFERROR(VLOOKUP($F353,INSUMOS!$A:$D,3,0),""))))</f>
        <v>M</v>
      </c>
      <c r="I353" s="313">
        <v>51</v>
      </c>
      <c r="J353" s="314">
        <f>IF($F353="","",IFERROR(VLOOKUP($F353,SERVIÇOS!$B:$G,4,0),IFERROR(VLOOKUP($F353,'COMPOSIÇÕES COMPLEMENTARES '!$D:$L,6,0),IFERROR(VLOOKUP($F353,INSUMOS!$A:$D,4,0),""))))</f>
        <v>18.18</v>
      </c>
      <c r="K353" s="314">
        <f>IF($F353="","",IFERROR(VLOOKUP($F353,SERVIÇOS!$B:$G,5,0),IFERROR(VLOOKUP($F353,'COMPOSIÇÕES COMPLEMENTARES '!$D:$L,7,0),0)))</f>
        <v>24.3</v>
      </c>
      <c r="L353" s="314">
        <f>IF(I353="","",J353+K353)</f>
        <v>42.480000000000004</v>
      </c>
      <c r="M353" s="314">
        <f>IF(I353="","",TRUNC((I353*J353),2))</f>
        <v>927.18</v>
      </c>
      <c r="N353" s="314">
        <f>IF(I353="","",TRUNC((I353*K353),2))</f>
        <v>1239.3</v>
      </c>
      <c r="O353" s="314">
        <f>IF(I353="","",TRUNC((M353+N353),2))</f>
        <v>2166.48</v>
      </c>
      <c r="P353" s="314"/>
      <c r="Q353" s="315"/>
      <c r="R353" s="315"/>
      <c r="S353" s="286"/>
      <c r="T353" s="287"/>
      <c r="U353" s="288" t="str">
        <f t="shared" si="175"/>
        <v/>
      </c>
      <c r="V353" s="287"/>
      <c r="W353" s="289" t="str">
        <f t="shared" si="176"/>
        <v/>
      </c>
      <c r="X353" s="287"/>
      <c r="Y353" s="290" t="str">
        <f t="shared" si="177"/>
        <v/>
      </c>
      <c r="Z353" s="291">
        <f ca="1">SUMIF($T$8:Y$1018,"QUANT.",T353:Y353)</f>
        <v>0</v>
      </c>
      <c r="AA353" s="292">
        <f t="shared" ca="1" si="178"/>
        <v>0</v>
      </c>
      <c r="AB353" s="293" t="str">
        <f t="shared" ca="1" si="179"/>
        <v>MEDIR</v>
      </c>
      <c r="AC353" s="294">
        <f t="shared" ca="1" si="180"/>
        <v>51</v>
      </c>
      <c r="AD353" s="294">
        <f t="shared" ca="1" si="181"/>
        <v>2166.48</v>
      </c>
      <c r="AE353" s="295"/>
      <c r="AF353" s="295"/>
      <c r="AG353" s="296"/>
      <c r="AH353" s="296"/>
      <c r="AI353" s="296"/>
      <c r="AJ353" s="325"/>
      <c r="AK353" s="325"/>
      <c r="AL353" s="325"/>
      <c r="AM353" s="325"/>
    </row>
    <row r="354" spans="1:39" x14ac:dyDescent="0.25">
      <c r="A354" s="232">
        <f t="shared" si="167"/>
        <v>354</v>
      </c>
      <c r="B354" s="232"/>
      <c r="C354" s="316" t="str">
        <f>+E354</f>
        <v>13.24</v>
      </c>
      <c r="D354" s="297"/>
      <c r="E354" s="317" t="s">
        <v>12165</v>
      </c>
      <c r="F354" s="317"/>
      <c r="G354" s="318" t="s">
        <v>12112</v>
      </c>
      <c r="H354" s="317"/>
      <c r="I354" s="319"/>
      <c r="J354" s="317"/>
      <c r="K354" s="317"/>
      <c r="L354" s="317"/>
      <c r="M354" s="317"/>
      <c r="N354" s="317"/>
      <c r="O354" s="317"/>
      <c r="P354" s="317"/>
      <c r="Q354" s="320"/>
      <c r="R354" s="306"/>
      <c r="S354" s="286"/>
      <c r="T354" s="287"/>
      <c r="U354" s="288" t="str">
        <f t="shared" si="175"/>
        <v/>
      </c>
      <c r="V354" s="287"/>
      <c r="W354" s="289" t="str">
        <f t="shared" si="176"/>
        <v/>
      </c>
      <c r="X354" s="287"/>
      <c r="Y354" s="290" t="str">
        <f t="shared" si="177"/>
        <v/>
      </c>
      <c r="Z354" s="291">
        <f ca="1">SUMIF($T$8:Y$1018,"QUANT.",T354:Y354)</f>
        <v>0</v>
      </c>
      <c r="AA354" s="292">
        <f t="shared" ca="1" si="178"/>
        <v>0</v>
      </c>
      <c r="AB354" s="293" t="str">
        <f t="shared" si="179"/>
        <v/>
      </c>
      <c r="AC354" s="294">
        <f t="shared" ca="1" si="180"/>
        <v>0</v>
      </c>
      <c r="AD354" s="294">
        <f t="shared" ca="1" si="181"/>
        <v>0</v>
      </c>
      <c r="AE354" s="295"/>
      <c r="AF354" s="295"/>
      <c r="AG354" s="296"/>
      <c r="AH354" s="296"/>
      <c r="AI354" s="296"/>
      <c r="AJ354" s="325"/>
      <c r="AK354" s="325"/>
      <c r="AL354" s="325"/>
      <c r="AM354" s="325"/>
    </row>
    <row r="355" spans="1:39" ht="25.5" x14ac:dyDescent="0.25">
      <c r="A355" s="232">
        <f t="shared" si="167"/>
        <v>355</v>
      </c>
      <c r="B355" s="232"/>
      <c r="C355" s="307" t="str">
        <f>+C354</f>
        <v>13.24</v>
      </c>
      <c r="D355" s="308">
        <f>1+D354</f>
        <v>1</v>
      </c>
      <c r="E355" s="309" t="str">
        <f>C355&amp;"."&amp;D355</f>
        <v>13.24.1</v>
      </c>
      <c r="F355" s="310">
        <v>90443</v>
      </c>
      <c r="G355" s="311" t="str">
        <f>IF($F355="","",IFERROR(VLOOKUP($F355,SERVIÇOS!$B:$G,2,0),IFERROR(VLOOKUP($F355,'COMPOSIÇÕES COMPLEMENTARES '!$D:$L,2,0),IFERROR(VLOOKUP($F355,INSUMOS!$A:$D,2,0),""))))</f>
        <v>RASGO LINEAR MANUAL EM ALVENARIA, PARA RAMAIS/ DISTRIBUIÇÃO DE INSTALAÇÕES HIDRÁULICAS, DIÂMETROS MENORES OU IGUAIS A 40 MM. AF_09/2023</v>
      </c>
      <c r="H355" s="312" t="str">
        <f>IF($F355="","",IFERROR(VLOOKUP($F355,SERVIÇOS!$B:$G,3,0),IFERROR(VLOOKUP($F355,'COMPOSIÇÕES COMPLEMENTARES '!$D:$L,3,0),IFERROR(VLOOKUP($F355,INSUMOS!$A:$D,3,0),""))))</f>
        <v>M</v>
      </c>
      <c r="I355" s="313">
        <v>15</v>
      </c>
      <c r="J355" s="314">
        <f>IF($F355="","",IFERROR(VLOOKUP($F355,SERVIÇOS!$B:$G,4,0),IFERROR(VLOOKUP($F355,'COMPOSIÇÕES COMPLEMENTARES '!$D:$L,6,0),IFERROR(VLOOKUP($F355,INSUMOS!$A:$D,4,0),""))))</f>
        <v>2.6</v>
      </c>
      <c r="K355" s="314">
        <f>IF($F355="","",IFERROR(VLOOKUP($F355,SERVIÇOS!$B:$G,5,0),IFERROR(VLOOKUP($F355,'COMPOSIÇÕES COMPLEMENTARES '!$D:$L,7,0),0)))</f>
        <v>7.85</v>
      </c>
      <c r="L355" s="314">
        <f>IF(I355="","",J355+K355)</f>
        <v>10.45</v>
      </c>
      <c r="M355" s="314">
        <f>IF(I355="","",TRUNC((I355*J355),2))</f>
        <v>39</v>
      </c>
      <c r="N355" s="314">
        <f>IF(I355="","",TRUNC((I355*K355),2))</f>
        <v>117.75</v>
      </c>
      <c r="O355" s="314">
        <f>IF(I355="","",TRUNC((M355+N355),2))</f>
        <v>156.75</v>
      </c>
      <c r="P355" s="314"/>
      <c r="Q355" s="315"/>
      <c r="R355" s="315"/>
      <c r="S355" s="286"/>
      <c r="T355" s="287"/>
      <c r="U355" s="288" t="str">
        <f t="shared" si="175"/>
        <v/>
      </c>
      <c r="V355" s="287"/>
      <c r="W355" s="289" t="str">
        <f t="shared" si="176"/>
        <v/>
      </c>
      <c r="X355" s="287"/>
      <c r="Y355" s="290" t="str">
        <f t="shared" si="177"/>
        <v/>
      </c>
      <c r="Z355" s="291">
        <f ca="1">SUMIF($T$8:Y$1018,"QUANT.",T355:Y355)</f>
        <v>0</v>
      </c>
      <c r="AA355" s="292">
        <f t="shared" ca="1" si="178"/>
        <v>0</v>
      </c>
      <c r="AB355" s="293" t="str">
        <f t="shared" ca="1" si="179"/>
        <v>MEDIR</v>
      </c>
      <c r="AC355" s="294">
        <f t="shared" ca="1" si="180"/>
        <v>15</v>
      </c>
      <c r="AD355" s="294">
        <f t="shared" ca="1" si="181"/>
        <v>156.75</v>
      </c>
      <c r="AE355" s="295"/>
      <c r="AF355" s="295"/>
      <c r="AG355" s="296"/>
      <c r="AH355" s="296"/>
      <c r="AI355" s="296"/>
      <c r="AJ355" s="325"/>
      <c r="AK355" s="325"/>
      <c r="AL355" s="325"/>
      <c r="AM355" s="325"/>
    </row>
    <row r="356" spans="1:39" ht="25.5" x14ac:dyDescent="0.25">
      <c r="A356" s="232">
        <f t="shared" si="167"/>
        <v>356</v>
      </c>
      <c r="B356" s="232"/>
      <c r="C356" s="307" t="str">
        <f>+C355</f>
        <v>13.24</v>
      </c>
      <c r="D356" s="308">
        <f>1+D355</f>
        <v>2</v>
      </c>
      <c r="E356" s="309" t="str">
        <f>C356&amp;"."&amp;D356</f>
        <v>13.24.2</v>
      </c>
      <c r="F356" s="310">
        <v>90466</v>
      </c>
      <c r="G356" s="311" t="str">
        <f>IF($F356="","",IFERROR(VLOOKUP($F356,SERVIÇOS!$B:$G,2,0),IFERROR(VLOOKUP($F356,'COMPOSIÇÕES COMPLEMENTARES '!$D:$L,2,0),IFERROR(VLOOKUP($F356,INSUMOS!$A:$D,2,0),""))))</f>
        <v>CHUMBAMENTO LINEAR EM ALVENARIA PARA RAMAIS/DISTRIBUIÇÃO DE INSTALAÇÕES HIDRÁULICAS COM DIÂMETROS MENORES OU IGUAIS A 40 MM. AF_09/2023</v>
      </c>
      <c r="H356" s="312" t="str">
        <f>IF($F356="","",IFERROR(VLOOKUP($F356,SERVIÇOS!$B:$G,3,0),IFERROR(VLOOKUP($F356,'COMPOSIÇÕES COMPLEMENTARES '!$D:$L,3,0),IFERROR(VLOOKUP($F356,INSUMOS!$A:$D,3,0),""))))</f>
        <v>M</v>
      </c>
      <c r="I356" s="313">
        <v>15</v>
      </c>
      <c r="J356" s="314">
        <f>IF($F356="","",IFERROR(VLOOKUP($F356,SERVIÇOS!$B:$G,4,0),IFERROR(VLOOKUP($F356,'COMPOSIÇÕES COMPLEMENTARES '!$D:$L,6,0),IFERROR(VLOOKUP($F356,INSUMOS!$A:$D,4,0),""))))</f>
        <v>6.59</v>
      </c>
      <c r="K356" s="314">
        <f>IF($F356="","",IFERROR(VLOOKUP($F356,SERVIÇOS!$B:$G,5,0),IFERROR(VLOOKUP($F356,'COMPOSIÇÕES COMPLEMENTARES '!$D:$L,7,0),0)))</f>
        <v>12.64</v>
      </c>
      <c r="L356" s="314">
        <f>IF(I356="","",J356+K356)</f>
        <v>19.23</v>
      </c>
      <c r="M356" s="314">
        <f>IF(I356="","",TRUNC((I356*J356),2))</f>
        <v>98.85</v>
      </c>
      <c r="N356" s="314">
        <f>IF(I356="","",TRUNC((I356*K356),2))</f>
        <v>189.6</v>
      </c>
      <c r="O356" s="314">
        <f>IF(I356="","",TRUNC((M356+N356),2))</f>
        <v>288.45</v>
      </c>
      <c r="P356" s="314"/>
      <c r="Q356" s="315"/>
      <c r="R356" s="315"/>
      <c r="S356" s="286"/>
      <c r="T356" s="287"/>
      <c r="U356" s="288" t="str">
        <f t="shared" si="175"/>
        <v/>
      </c>
      <c r="V356" s="287"/>
      <c r="W356" s="289" t="str">
        <f t="shared" si="176"/>
        <v/>
      </c>
      <c r="X356" s="287"/>
      <c r="Y356" s="290" t="str">
        <f t="shared" si="177"/>
        <v/>
      </c>
      <c r="Z356" s="291">
        <f ca="1">SUMIF($T$8:Y$1018,"QUANT.",T356:Y356)</f>
        <v>0</v>
      </c>
      <c r="AA356" s="292">
        <f t="shared" ca="1" si="178"/>
        <v>0</v>
      </c>
      <c r="AB356" s="293" t="str">
        <f t="shared" ca="1" si="179"/>
        <v>MEDIR</v>
      </c>
      <c r="AC356" s="294">
        <f t="shared" ca="1" si="180"/>
        <v>15</v>
      </c>
      <c r="AD356" s="294">
        <f t="shared" ca="1" si="181"/>
        <v>288.45</v>
      </c>
      <c r="AE356" s="295"/>
      <c r="AF356" s="295"/>
      <c r="AG356" s="296"/>
      <c r="AH356" s="296"/>
      <c r="AI356" s="296"/>
      <c r="AJ356" s="325"/>
      <c r="AK356" s="325"/>
      <c r="AL356" s="325"/>
      <c r="AM356" s="325"/>
    </row>
    <row r="357" spans="1:39" x14ac:dyDescent="0.25">
      <c r="A357" s="232">
        <f t="shared" si="167"/>
        <v>357</v>
      </c>
      <c r="B357" s="232"/>
      <c r="C357" s="307" t="str">
        <f>+C356</f>
        <v>13.24</v>
      </c>
      <c r="D357" s="308">
        <f>1+D356</f>
        <v>3</v>
      </c>
      <c r="E357" s="309" t="str">
        <f>C357&amp;"."&amp;D357</f>
        <v>13.24.3</v>
      </c>
      <c r="F357" s="310">
        <v>93358</v>
      </c>
      <c r="G357" s="311" t="str">
        <f>IF($F357="","",IFERROR(VLOOKUP($F357,SERVIÇOS!$B:$G,2,0),IFERROR(VLOOKUP($F357,'COMPOSIÇÕES COMPLEMENTARES '!$D:$L,2,0),IFERROR(VLOOKUP($F357,INSUMOS!$A:$D,2,0),""))))</f>
        <v>ESCAVAÇÃO MANUAL DE VALA. AF_09/2024</v>
      </c>
      <c r="H357" s="312" t="str">
        <f>IF($F357="","",IFERROR(VLOOKUP($F357,SERVIÇOS!$B:$G,3,0),IFERROR(VLOOKUP($F357,'COMPOSIÇÕES COMPLEMENTARES '!$D:$L,3,0),IFERROR(VLOOKUP($F357,INSUMOS!$A:$D,3,0),""))))</f>
        <v>M3</v>
      </c>
      <c r="I357" s="313">
        <v>3.15</v>
      </c>
      <c r="J357" s="314">
        <f>IF($F357="","",IFERROR(VLOOKUP($F357,SERVIÇOS!$B:$G,4,0),IFERROR(VLOOKUP($F357,'COMPOSIÇÕES COMPLEMENTARES '!$D:$L,6,0),IFERROR(VLOOKUP($F357,INSUMOS!$A:$D,4,0),""))))</f>
        <v>36.369999999999997</v>
      </c>
      <c r="K357" s="314">
        <f>IF($F357="","",IFERROR(VLOOKUP($F357,SERVIÇOS!$B:$G,5,0),IFERROR(VLOOKUP($F357,'COMPOSIÇÕES COMPLEMENTARES '!$D:$L,7,0),0)))</f>
        <v>77.2</v>
      </c>
      <c r="L357" s="314">
        <f>IF(I357="","",J357+K357)</f>
        <v>113.57</v>
      </c>
      <c r="M357" s="314">
        <f>IF(I357="","",TRUNC((I357*J357),2))</f>
        <v>114.56</v>
      </c>
      <c r="N357" s="314">
        <f>IF(I357="","",TRUNC((I357*K357),2))</f>
        <v>243.18</v>
      </c>
      <c r="O357" s="314">
        <f>IF(I357="","",TRUNC((M357+N357),2))</f>
        <v>357.74</v>
      </c>
      <c r="P357" s="314"/>
      <c r="Q357" s="315"/>
      <c r="R357" s="315"/>
      <c r="S357" s="286"/>
      <c r="T357" s="287"/>
      <c r="U357" s="288" t="str">
        <f t="shared" si="175"/>
        <v/>
      </c>
      <c r="V357" s="287"/>
      <c r="W357" s="289" t="str">
        <f t="shared" si="176"/>
        <v/>
      </c>
      <c r="X357" s="287"/>
      <c r="Y357" s="290" t="str">
        <f t="shared" si="177"/>
        <v/>
      </c>
      <c r="Z357" s="291">
        <f ca="1">SUMIF($T$8:Y$1018,"QUANT.",T357:Y357)</f>
        <v>0</v>
      </c>
      <c r="AA357" s="292">
        <f t="shared" ca="1" si="178"/>
        <v>0</v>
      </c>
      <c r="AB357" s="293" t="str">
        <f t="shared" ca="1" si="179"/>
        <v>MEDIR</v>
      </c>
      <c r="AC357" s="294">
        <f t="shared" ca="1" si="180"/>
        <v>3.15</v>
      </c>
      <c r="AD357" s="294">
        <f t="shared" ca="1" si="181"/>
        <v>357.74</v>
      </c>
      <c r="AE357" s="295"/>
      <c r="AF357" s="295"/>
      <c r="AG357" s="296"/>
      <c r="AH357" s="296"/>
      <c r="AI357" s="296"/>
      <c r="AJ357" s="325"/>
      <c r="AK357" s="325"/>
      <c r="AL357" s="325"/>
      <c r="AM357" s="325"/>
    </row>
    <row r="358" spans="1:39" x14ac:dyDescent="0.25">
      <c r="A358" s="232">
        <f t="shared" si="167"/>
        <v>358</v>
      </c>
      <c r="B358" s="232"/>
      <c r="C358" s="307" t="str">
        <f>+C357</f>
        <v>13.24</v>
      </c>
      <c r="D358" s="308">
        <f>1+D357</f>
        <v>4</v>
      </c>
      <c r="E358" s="309" t="str">
        <f>C358&amp;"."&amp;D358</f>
        <v>13.24.4</v>
      </c>
      <c r="F358" s="310">
        <v>101616</v>
      </c>
      <c r="G358" s="311" t="str">
        <f>IF($F358="","",IFERROR(VLOOKUP($F358,SERVIÇOS!$B:$G,2,0),IFERROR(VLOOKUP($F358,'COMPOSIÇÕES COMPLEMENTARES '!$D:$L,2,0),IFERROR(VLOOKUP($F358,INSUMOS!$A:$D,2,0),""))))</f>
        <v>PREPARO DE FUNDO DE VALA COM LARGURA MENOR QUE 1,5 M (ACERTO DO SOLO NATURAL). AF_08/2020</v>
      </c>
      <c r="H358" s="312" t="str">
        <f>IF($F358="","",IFERROR(VLOOKUP($F358,SERVIÇOS!$B:$G,3,0),IFERROR(VLOOKUP($F358,'COMPOSIÇÕES COMPLEMENTARES '!$D:$L,3,0),IFERROR(VLOOKUP($F358,INSUMOS!$A:$D,3,0),""))))</f>
        <v>M2</v>
      </c>
      <c r="I358" s="313">
        <v>6.3</v>
      </c>
      <c r="J358" s="314">
        <f>IF($F358="","",IFERROR(VLOOKUP($F358,SERVIÇOS!$B:$G,4,0),IFERROR(VLOOKUP($F358,'COMPOSIÇÕES COMPLEMENTARES '!$D:$L,6,0),IFERROR(VLOOKUP($F358,INSUMOS!$A:$D,4,0),""))))</f>
        <v>2.46</v>
      </c>
      <c r="K358" s="314">
        <f>IF($F358="","",IFERROR(VLOOKUP($F358,SERVIÇOS!$B:$G,5,0),IFERROR(VLOOKUP($F358,'COMPOSIÇÕES COMPLEMENTARES '!$D:$L,7,0),0)))</f>
        <v>5.96</v>
      </c>
      <c r="L358" s="314">
        <f>IF(I358="","",J358+K358)</f>
        <v>8.42</v>
      </c>
      <c r="M358" s="314">
        <f>IF(I358="","",TRUNC((I358*J358),2))</f>
        <v>15.49</v>
      </c>
      <c r="N358" s="314">
        <f>IF(I358="","",TRUNC((I358*K358),2))</f>
        <v>37.54</v>
      </c>
      <c r="O358" s="314">
        <f>IF(I358="","",TRUNC((M358+N358),2))</f>
        <v>53.03</v>
      </c>
      <c r="P358" s="314"/>
      <c r="Q358" s="315"/>
      <c r="R358" s="315"/>
      <c r="S358" s="286"/>
      <c r="T358" s="287"/>
      <c r="U358" s="288" t="str">
        <f t="shared" si="175"/>
        <v/>
      </c>
      <c r="V358" s="287"/>
      <c r="W358" s="289" t="str">
        <f t="shared" si="176"/>
        <v/>
      </c>
      <c r="X358" s="287"/>
      <c r="Y358" s="290" t="str">
        <f t="shared" si="177"/>
        <v/>
      </c>
      <c r="Z358" s="291">
        <f ca="1">SUMIF($T$8:Y$1018,"QUANT.",T358:Y358)</f>
        <v>0</v>
      </c>
      <c r="AA358" s="292">
        <f t="shared" ca="1" si="178"/>
        <v>0</v>
      </c>
      <c r="AB358" s="293" t="str">
        <f t="shared" ca="1" si="179"/>
        <v>MEDIR</v>
      </c>
      <c r="AC358" s="294">
        <f t="shared" ca="1" si="180"/>
        <v>6.3</v>
      </c>
      <c r="AD358" s="294">
        <f t="shared" ca="1" si="181"/>
        <v>53.03</v>
      </c>
      <c r="AE358" s="295"/>
      <c r="AF358" s="295"/>
      <c r="AG358" s="296"/>
      <c r="AH358" s="296"/>
      <c r="AI358" s="296"/>
      <c r="AJ358" s="325"/>
      <c r="AK358" s="325"/>
      <c r="AL358" s="325"/>
      <c r="AM358" s="325"/>
    </row>
    <row r="359" spans="1:39" x14ac:dyDescent="0.25">
      <c r="A359" s="232">
        <f t="shared" si="167"/>
        <v>359</v>
      </c>
      <c r="B359" s="232"/>
      <c r="C359" s="307" t="str">
        <f>+C358</f>
        <v>13.24</v>
      </c>
      <c r="D359" s="308">
        <f>1+D358</f>
        <v>5</v>
      </c>
      <c r="E359" s="309" t="str">
        <f>C359&amp;"."&amp;D359</f>
        <v>13.24.5</v>
      </c>
      <c r="F359" s="310">
        <v>93382</v>
      </c>
      <c r="G359" s="311" t="str">
        <f>IF($F359="","",IFERROR(VLOOKUP($F359,SERVIÇOS!$B:$G,2,0),IFERROR(VLOOKUP($F359,'COMPOSIÇÕES COMPLEMENTARES '!$D:$L,2,0),IFERROR(VLOOKUP($F359,INSUMOS!$A:$D,2,0),""))))</f>
        <v>REATERRO MANUAL DE VALAS, COM COMPACTADOR DE SOLOS DE PERCUSSÃO. AF_08/2023</v>
      </c>
      <c r="H359" s="312" t="str">
        <f>IF($F359="","",IFERROR(VLOOKUP($F359,SERVIÇOS!$B:$G,3,0),IFERROR(VLOOKUP($F359,'COMPOSIÇÕES COMPLEMENTARES '!$D:$L,3,0),IFERROR(VLOOKUP($F359,INSUMOS!$A:$D,3,0),""))))</f>
        <v>M3</v>
      </c>
      <c r="I359" s="313">
        <v>2.63</v>
      </c>
      <c r="J359" s="314">
        <f>IF($F359="","",IFERROR(VLOOKUP($F359,SERVIÇOS!$B:$G,4,0),IFERROR(VLOOKUP($F359,'COMPOSIÇÕES COMPLEMENTARES '!$D:$L,6,0),IFERROR(VLOOKUP($F359,INSUMOS!$A:$D,4,0),""))))</f>
        <v>12.29</v>
      </c>
      <c r="K359" s="314">
        <f>IF($F359="","",IFERROR(VLOOKUP($F359,SERVIÇOS!$B:$G,5,0),IFERROR(VLOOKUP($F359,'COMPOSIÇÕES COMPLEMENTARES '!$D:$L,7,0),0)))</f>
        <v>20.78</v>
      </c>
      <c r="L359" s="314">
        <f>IF(I359="","",J359+K359)</f>
        <v>33.07</v>
      </c>
      <c r="M359" s="314">
        <f>IF(I359="","",TRUNC((I359*J359),2))</f>
        <v>32.32</v>
      </c>
      <c r="N359" s="314">
        <f>IF(I359="","",TRUNC((I359*K359),2))</f>
        <v>54.65</v>
      </c>
      <c r="O359" s="314">
        <f>IF(I359="","",TRUNC((M359+N359),2))</f>
        <v>86.97</v>
      </c>
      <c r="P359" s="314"/>
      <c r="Q359" s="315"/>
      <c r="R359" s="315"/>
      <c r="S359" s="286"/>
      <c r="T359" s="287"/>
      <c r="U359" s="288" t="str">
        <f t="shared" si="175"/>
        <v/>
      </c>
      <c r="V359" s="287"/>
      <c r="W359" s="289" t="str">
        <f t="shared" si="176"/>
        <v/>
      </c>
      <c r="X359" s="287"/>
      <c r="Y359" s="290" t="str">
        <f t="shared" si="177"/>
        <v/>
      </c>
      <c r="Z359" s="291">
        <f ca="1">SUMIF($T$8:Y$1018,"QUANT.",T359:Y359)</f>
        <v>0</v>
      </c>
      <c r="AA359" s="292">
        <f t="shared" ca="1" si="178"/>
        <v>0</v>
      </c>
      <c r="AB359" s="293" t="str">
        <f t="shared" ca="1" si="179"/>
        <v>MEDIR</v>
      </c>
      <c r="AC359" s="294">
        <f t="shared" ca="1" si="180"/>
        <v>2.63</v>
      </c>
      <c r="AD359" s="294">
        <f t="shared" ca="1" si="181"/>
        <v>86.97</v>
      </c>
      <c r="AE359" s="295"/>
      <c r="AF359" s="295"/>
      <c r="AG359" s="296"/>
      <c r="AH359" s="296"/>
      <c r="AI359" s="296"/>
      <c r="AJ359" s="325"/>
      <c r="AK359" s="325"/>
      <c r="AL359" s="325"/>
      <c r="AM359" s="325"/>
    </row>
    <row r="360" spans="1:39" x14ac:dyDescent="0.25">
      <c r="A360" s="232">
        <f t="shared" si="167"/>
        <v>360</v>
      </c>
      <c r="B360" s="232"/>
      <c r="C360" s="281">
        <f>+E360</f>
        <v>14</v>
      </c>
      <c r="D360" s="297"/>
      <c r="E360" s="298">
        <v>14</v>
      </c>
      <c r="F360" s="322"/>
      <c r="G360" s="299" t="s">
        <v>12166</v>
      </c>
      <c r="H360" s="300"/>
      <c r="I360" s="303"/>
      <c r="J360" s="302"/>
      <c r="K360" s="303"/>
      <c r="L360" s="303"/>
      <c r="M360" s="304">
        <f>TRUNC(SUMIF(M361:M367,"&gt;0",M361:M367),2)</f>
        <v>2944.36</v>
      </c>
      <c r="N360" s="304">
        <f>TRUNC(SUMIF(N361:N367,"&gt;0",N361:N367),2)</f>
        <v>362.51</v>
      </c>
      <c r="O360" s="305"/>
      <c r="P360" s="304">
        <f>SUMIF(O361:O367,"&gt;0",O361:O367)</f>
        <v>3306.8700000000003</v>
      </c>
      <c r="Q360" s="306"/>
      <c r="R360" s="306"/>
      <c r="S360" s="286"/>
      <c r="T360" s="287"/>
      <c r="U360" s="288" t="str">
        <f t="shared" si="175"/>
        <v/>
      </c>
      <c r="V360" s="287"/>
      <c r="W360" s="289" t="str">
        <f t="shared" si="176"/>
        <v/>
      </c>
      <c r="X360" s="287"/>
      <c r="Y360" s="290" t="str">
        <f t="shared" si="177"/>
        <v/>
      </c>
      <c r="Z360" s="291">
        <f ca="1">SUMIF($T$8:Y$1018,"QUANT.",T360:Y360)</f>
        <v>0</v>
      </c>
      <c r="AA360" s="292">
        <f t="shared" ca="1" si="178"/>
        <v>0</v>
      </c>
      <c r="AB360" s="293" t="str">
        <f t="shared" si="179"/>
        <v/>
      </c>
      <c r="AC360" s="294">
        <f t="shared" ca="1" si="180"/>
        <v>0</v>
      </c>
      <c r="AD360" s="294">
        <f t="shared" ca="1" si="181"/>
        <v>0</v>
      </c>
      <c r="AE360" s="295"/>
      <c r="AF360" s="295"/>
      <c r="AG360" s="296"/>
      <c r="AH360" s="296"/>
      <c r="AI360" s="296"/>
      <c r="AJ360" s="325"/>
      <c r="AK360" s="325"/>
      <c r="AL360" s="325"/>
      <c r="AM360" s="325"/>
    </row>
    <row r="361" spans="1:39" x14ac:dyDescent="0.25">
      <c r="A361" s="232">
        <f t="shared" si="167"/>
        <v>361</v>
      </c>
      <c r="B361" s="232"/>
      <c r="C361" s="316" t="str">
        <f>+E361</f>
        <v>14.1</v>
      </c>
      <c r="D361" s="297"/>
      <c r="E361" s="317" t="s">
        <v>12167</v>
      </c>
      <c r="F361" s="317"/>
      <c r="G361" s="318" t="s">
        <v>12168</v>
      </c>
      <c r="H361" s="317"/>
      <c r="I361" s="319"/>
      <c r="J361" s="317"/>
      <c r="K361" s="317"/>
      <c r="L361" s="317"/>
      <c r="M361" s="317"/>
      <c r="N361" s="317"/>
      <c r="O361" s="317"/>
      <c r="P361" s="317"/>
      <c r="Q361" s="320"/>
      <c r="R361" s="306"/>
      <c r="S361" s="286"/>
      <c r="T361" s="287"/>
      <c r="U361" s="288" t="str">
        <f t="shared" si="175"/>
        <v/>
      </c>
      <c r="V361" s="287"/>
      <c r="W361" s="289" t="str">
        <f t="shared" si="176"/>
        <v/>
      </c>
      <c r="X361" s="287"/>
      <c r="Y361" s="290" t="str">
        <f t="shared" si="177"/>
        <v/>
      </c>
      <c r="Z361" s="291">
        <f ca="1">SUMIF($T$8:Y$1018,"QUANT.",T361:Y361)</f>
        <v>0</v>
      </c>
      <c r="AA361" s="292">
        <f t="shared" ca="1" si="178"/>
        <v>0</v>
      </c>
      <c r="AB361" s="293" t="str">
        <f t="shared" si="179"/>
        <v/>
      </c>
      <c r="AC361" s="294">
        <f t="shared" ca="1" si="180"/>
        <v>0</v>
      </c>
      <c r="AD361" s="294">
        <f t="shared" ca="1" si="181"/>
        <v>0</v>
      </c>
      <c r="AE361" s="295"/>
      <c r="AF361" s="295"/>
      <c r="AG361" s="296"/>
      <c r="AH361" s="296"/>
      <c r="AI361" s="296"/>
      <c r="AJ361" s="325"/>
      <c r="AK361" s="325"/>
      <c r="AL361" s="325"/>
      <c r="AM361" s="325"/>
    </row>
    <row r="362" spans="1:39" x14ac:dyDescent="0.25">
      <c r="A362" s="232">
        <f t="shared" si="167"/>
        <v>362</v>
      </c>
      <c r="B362" s="232"/>
      <c r="C362" s="307" t="str">
        <f>+C361</f>
        <v>14.1</v>
      </c>
      <c r="D362" s="308">
        <f>1+D361</f>
        <v>1</v>
      </c>
      <c r="E362" s="309" t="str">
        <f>C362&amp;"."&amp;D362</f>
        <v>14.1.1</v>
      </c>
      <c r="F362" s="310" t="s">
        <v>12169</v>
      </c>
      <c r="G362" s="311" t="str">
        <f>IF($F362="","",IFERROR(VLOOKUP($F362,SERVIÇOS!$B:$G,2,0),IFERROR(VLOOKUP($F362,'COMPOSIÇÕES COMPLEMENTARES '!$D:$L,2,0),IFERROR(VLOOKUP($F362,INSUMOS!$A:$D,2,0),""))))</f>
        <v>EXTINTOR PORTÁTIL 4 KG COM SUPORTE DE PAREDE E CARGA DE PÓ ABC 2-A; 20-B:C</v>
      </c>
      <c r="H362" s="312" t="str">
        <f>IF($F362="","",IFERROR(VLOOKUP($F362,SERVIÇOS!$B:$G,3,0),IFERROR(VLOOKUP($F362,'COMPOSIÇÕES COMPLEMENTARES '!$D:$L,3,0),IFERROR(VLOOKUP($F362,INSUMOS!$A:$D,3,0),""))))</f>
        <v>UN</v>
      </c>
      <c r="I362" s="313">
        <v>9</v>
      </c>
      <c r="J362" s="314">
        <f>IF($F362="","",IFERROR(VLOOKUP($F362,SERVIÇOS!$B:$G,4,0),IFERROR(VLOOKUP($F362,'COMPOSIÇÕES COMPLEMENTARES '!$D:$L,6,0),IFERROR(VLOOKUP($F362,INSUMOS!$A:$D,4,0),""))))</f>
        <v>206.39</v>
      </c>
      <c r="K362" s="314">
        <f>IF($F362="","",IFERROR(VLOOKUP($F362,SERVIÇOS!$B:$G,5,0),IFERROR(VLOOKUP($F362,'COMPOSIÇÕES COMPLEMENTARES '!$D:$L,7,0),0)))</f>
        <v>23.56</v>
      </c>
      <c r="L362" s="314">
        <f>IF(I362="","",J362+K362)</f>
        <v>229.95</v>
      </c>
      <c r="M362" s="314">
        <f>IF(I362="","",TRUNC((I362*J362),2))</f>
        <v>1857.51</v>
      </c>
      <c r="N362" s="314">
        <f>IF(I362="","",TRUNC((I362*K362),2))</f>
        <v>212.04</v>
      </c>
      <c r="O362" s="314">
        <f>IF(I362="","",TRUNC((M362+N362),2))</f>
        <v>2069.5500000000002</v>
      </c>
      <c r="P362" s="314"/>
      <c r="Q362" s="315"/>
      <c r="R362" s="315"/>
      <c r="S362" s="286"/>
      <c r="T362" s="287"/>
      <c r="U362" s="288" t="str">
        <f t="shared" si="175"/>
        <v/>
      </c>
      <c r="V362" s="287"/>
      <c r="W362" s="289" t="str">
        <f t="shared" si="176"/>
        <v/>
      </c>
      <c r="X362" s="287"/>
      <c r="Y362" s="290" t="str">
        <f t="shared" si="177"/>
        <v/>
      </c>
      <c r="Z362" s="291">
        <f ca="1">SUMIF($T$8:Y$1018,"QUANT.",T362:Y362)</f>
        <v>0</v>
      </c>
      <c r="AA362" s="292">
        <f t="shared" ca="1" si="178"/>
        <v>0</v>
      </c>
      <c r="AB362" s="293" t="str">
        <f t="shared" ca="1" si="179"/>
        <v>MEDIR</v>
      </c>
      <c r="AC362" s="294">
        <f t="shared" ca="1" si="180"/>
        <v>9</v>
      </c>
      <c r="AD362" s="294">
        <f t="shared" ca="1" si="181"/>
        <v>2069.5500000000002</v>
      </c>
      <c r="AE362" s="295"/>
      <c r="AF362" s="295"/>
      <c r="AG362" s="296"/>
      <c r="AH362" s="296"/>
      <c r="AI362" s="296"/>
      <c r="AJ362" s="325"/>
      <c r="AK362" s="325"/>
      <c r="AL362" s="325"/>
      <c r="AM362" s="325"/>
    </row>
    <row r="363" spans="1:39" x14ac:dyDescent="0.25">
      <c r="A363" s="232">
        <f t="shared" si="167"/>
        <v>363</v>
      </c>
      <c r="B363" s="232"/>
      <c r="C363" s="307" t="str">
        <f>+C362</f>
        <v>14.1</v>
      </c>
      <c r="D363" s="308">
        <f>1+D362</f>
        <v>2</v>
      </c>
      <c r="E363" s="309" t="str">
        <f>C363&amp;"."&amp;D363</f>
        <v>14.1.2</v>
      </c>
      <c r="F363" s="310" t="s">
        <v>12170</v>
      </c>
      <c r="G363" s="311" t="str">
        <f>IF($F363="","",IFERROR(VLOOKUP($F363,SERVIÇOS!$B:$G,2,0),IFERROR(VLOOKUP($F363,'COMPOSIÇÕES COMPLEMENTARES '!$D:$L,2,0),IFERROR(VLOOKUP($F363,INSUMOS!$A:$D,2,0),""))))</f>
        <v>EXTINTOR PORTÁTIL 4 KG COM SUPORTE DE PAREDE E CARGA DE PÓ QUIMICO SECO 20-B</v>
      </c>
      <c r="H363" s="312" t="str">
        <f>IF($F363="","",IFERROR(VLOOKUP($F363,SERVIÇOS!$B:$G,3,0),IFERROR(VLOOKUP($F363,'COMPOSIÇÕES COMPLEMENTARES '!$D:$L,3,0),IFERROR(VLOOKUP($F363,INSUMOS!$A:$D,3,0),""))))</f>
        <v>UN</v>
      </c>
      <c r="I363" s="313">
        <v>2</v>
      </c>
      <c r="J363" s="314">
        <f>IF($F363="","",IFERROR(VLOOKUP($F363,SERVIÇOS!$B:$G,4,0),IFERROR(VLOOKUP($F363,'COMPOSIÇÕES COMPLEMENTARES '!$D:$L,6,0),IFERROR(VLOOKUP($F363,INSUMOS!$A:$D,4,0),""))))</f>
        <v>195.39</v>
      </c>
      <c r="K363" s="314">
        <f>IF($F363="","",IFERROR(VLOOKUP($F363,SERVIÇOS!$B:$G,5,0),IFERROR(VLOOKUP($F363,'COMPOSIÇÕES COMPLEMENTARES '!$D:$L,7,0),0)))</f>
        <v>23.56</v>
      </c>
      <c r="L363" s="314">
        <f>IF(I363="","",J363+K363)</f>
        <v>218.95</v>
      </c>
      <c r="M363" s="314">
        <f>IF(I363="","",TRUNC((I363*J363),2))</f>
        <v>390.78</v>
      </c>
      <c r="N363" s="314">
        <f>IF(I363="","",TRUNC((I363*K363),2))</f>
        <v>47.12</v>
      </c>
      <c r="O363" s="314">
        <f>IF(I363="","",TRUNC((M363+N363),2))</f>
        <v>437.9</v>
      </c>
      <c r="P363" s="314"/>
      <c r="Q363" s="315"/>
      <c r="R363" s="315"/>
      <c r="S363" s="286"/>
      <c r="T363" s="287"/>
      <c r="U363" s="288" t="str">
        <f t="shared" si="175"/>
        <v/>
      </c>
      <c r="V363" s="287"/>
      <c r="W363" s="289" t="str">
        <f t="shared" si="176"/>
        <v/>
      </c>
      <c r="X363" s="287"/>
      <c r="Y363" s="290" t="str">
        <f t="shared" si="177"/>
        <v/>
      </c>
      <c r="Z363" s="291">
        <f ca="1">SUMIF($T$8:Y$1018,"QUANT.",T363:Y363)</f>
        <v>0</v>
      </c>
      <c r="AA363" s="292">
        <f t="shared" ca="1" si="178"/>
        <v>0</v>
      </c>
      <c r="AB363" s="293" t="str">
        <f t="shared" ca="1" si="179"/>
        <v>MEDIR</v>
      </c>
      <c r="AC363" s="294">
        <f t="shared" ca="1" si="180"/>
        <v>2</v>
      </c>
      <c r="AD363" s="294">
        <f t="shared" ca="1" si="181"/>
        <v>437.9</v>
      </c>
      <c r="AE363" s="295"/>
      <c r="AF363" s="295"/>
      <c r="AG363" s="296"/>
      <c r="AH363" s="296"/>
      <c r="AI363" s="296"/>
      <c r="AJ363" s="325"/>
      <c r="AK363" s="325"/>
      <c r="AL363" s="325"/>
      <c r="AM363" s="325"/>
    </row>
    <row r="364" spans="1:39" x14ac:dyDescent="0.25">
      <c r="A364" s="232">
        <f t="shared" si="167"/>
        <v>364</v>
      </c>
      <c r="B364" s="232"/>
      <c r="C364" s="316" t="str">
        <f>+E364</f>
        <v>14.2</v>
      </c>
      <c r="D364" s="297"/>
      <c r="E364" s="317" t="s">
        <v>12171</v>
      </c>
      <c r="F364" s="317"/>
      <c r="G364" s="318" t="s">
        <v>12172</v>
      </c>
      <c r="H364" s="317"/>
      <c r="I364" s="319"/>
      <c r="J364" s="317"/>
      <c r="K364" s="317"/>
      <c r="L364" s="317"/>
      <c r="M364" s="317"/>
      <c r="N364" s="317"/>
      <c r="O364" s="317"/>
      <c r="P364" s="317"/>
      <c r="Q364" s="320"/>
      <c r="R364" s="306"/>
      <c r="S364" s="286"/>
      <c r="T364" s="287"/>
      <c r="U364" s="288" t="str">
        <f t="shared" si="175"/>
        <v/>
      </c>
      <c r="V364" s="287"/>
      <c r="W364" s="289" t="str">
        <f t="shared" si="176"/>
        <v/>
      </c>
      <c r="X364" s="287"/>
      <c r="Y364" s="290" t="str">
        <f t="shared" si="177"/>
        <v/>
      </c>
      <c r="Z364" s="291">
        <f ca="1">SUMIF($T$8:Y$1018,"QUANT.",T364:Y364)</f>
        <v>0</v>
      </c>
      <c r="AA364" s="292">
        <f t="shared" ca="1" si="178"/>
        <v>0</v>
      </c>
      <c r="AB364" s="293" t="str">
        <f t="shared" si="179"/>
        <v/>
      </c>
      <c r="AC364" s="294">
        <f t="shared" ca="1" si="180"/>
        <v>0</v>
      </c>
      <c r="AD364" s="294">
        <f t="shared" ca="1" si="181"/>
        <v>0</v>
      </c>
      <c r="AE364" s="295"/>
      <c r="AF364" s="295"/>
      <c r="AG364" s="296"/>
      <c r="AH364" s="296"/>
      <c r="AI364" s="296"/>
      <c r="AJ364" s="325"/>
      <c r="AK364" s="325"/>
      <c r="AL364" s="325"/>
      <c r="AM364" s="325"/>
    </row>
    <row r="365" spans="1:39" ht="25.5" x14ac:dyDescent="0.25">
      <c r="A365" s="232">
        <f t="shared" si="167"/>
        <v>365</v>
      </c>
      <c r="B365" s="232"/>
      <c r="C365" s="307" t="str">
        <f>+C364</f>
        <v>14.2</v>
      </c>
      <c r="D365" s="308">
        <f>1+D364</f>
        <v>1</v>
      </c>
      <c r="E365" s="309" t="str">
        <f>C365&amp;"."&amp;D365</f>
        <v>14.2.1</v>
      </c>
      <c r="F365" s="310" t="s">
        <v>12173</v>
      </c>
      <c r="G365" s="311" t="str">
        <f>IF($F365="","",IFERROR(VLOOKUP($F365,SERVIÇOS!$B:$G,2,0),IFERROR(VLOOKUP($F365,'COMPOSIÇÕES COMPLEMENTARES '!$D:$L,2,0),IFERROR(VLOOKUP($F365,INSUMOS!$A:$D,2,0),""))))</f>
        <v>PLACA DE SINALIZAÇÃO S2D/S2E/S3/S8/S9/S12/S17 - 240X120 MM - (SIMBOLOS, CORES E PICTOGRAMAS CONFORME NBR 13434)</v>
      </c>
      <c r="H365" s="312" t="str">
        <f>IF($F365="","",IFERROR(VLOOKUP($F365,SERVIÇOS!$B:$G,3,0),IFERROR(VLOOKUP($F365,'COMPOSIÇÕES COMPLEMENTARES '!$D:$L,3,0),IFERROR(VLOOKUP($F365,INSUMOS!$A:$D,3,0),""))))</f>
        <v>UN</v>
      </c>
      <c r="I365" s="313">
        <v>24</v>
      </c>
      <c r="J365" s="314">
        <f>IF($F365="","",IFERROR(VLOOKUP($F365,SERVIÇOS!$B:$G,4,0),IFERROR(VLOOKUP($F365,'COMPOSIÇÕES COMPLEMENTARES '!$D:$L,6,0),IFERROR(VLOOKUP($F365,INSUMOS!$A:$D,4,0),""))))</f>
        <v>13.42</v>
      </c>
      <c r="K365" s="314">
        <f>IF($F365="","",IFERROR(VLOOKUP($F365,SERVIÇOS!$B:$G,5,0),IFERROR(VLOOKUP($F365,'COMPOSIÇÕES COMPLEMENTARES '!$D:$L,7,0),0)))</f>
        <v>1.95</v>
      </c>
      <c r="L365" s="314">
        <f>IF(I365="","",J365+K365)</f>
        <v>15.37</v>
      </c>
      <c r="M365" s="314">
        <f>IF(I365="","",TRUNC((I365*J365),2))</f>
        <v>322.08</v>
      </c>
      <c r="N365" s="314">
        <f>IF(I365="","",TRUNC((I365*K365),2))</f>
        <v>46.8</v>
      </c>
      <c r="O365" s="314">
        <f>IF(I365="","",TRUNC((M365+N365),2))</f>
        <v>368.88</v>
      </c>
      <c r="P365" s="314"/>
      <c r="Q365" s="315"/>
      <c r="R365" s="315"/>
      <c r="S365" s="286"/>
      <c r="T365" s="287"/>
      <c r="U365" s="288" t="str">
        <f t="shared" si="175"/>
        <v/>
      </c>
      <c r="V365" s="287"/>
      <c r="W365" s="289" t="str">
        <f t="shared" si="176"/>
        <v/>
      </c>
      <c r="X365" s="287"/>
      <c r="Y365" s="290" t="str">
        <f t="shared" si="177"/>
        <v/>
      </c>
      <c r="Z365" s="291">
        <f ca="1">SUMIF($T$8:Y$1018,"QUANT.",T365:Y365)</f>
        <v>0</v>
      </c>
      <c r="AA365" s="292">
        <f t="shared" ca="1" si="178"/>
        <v>0</v>
      </c>
      <c r="AB365" s="293" t="str">
        <f t="shared" ca="1" si="179"/>
        <v>MEDIR</v>
      </c>
      <c r="AC365" s="294">
        <f t="shared" ca="1" si="180"/>
        <v>24</v>
      </c>
      <c r="AD365" s="294">
        <f t="shared" ca="1" si="181"/>
        <v>368.88</v>
      </c>
      <c r="AE365" s="295"/>
      <c r="AF365" s="295"/>
      <c r="AG365" s="296"/>
      <c r="AH365" s="296"/>
      <c r="AI365" s="296"/>
      <c r="AJ365" s="325"/>
      <c r="AK365" s="325"/>
      <c r="AL365" s="325"/>
      <c r="AM365" s="325"/>
    </row>
    <row r="366" spans="1:39" ht="25.5" x14ac:dyDescent="0.25">
      <c r="A366" s="232">
        <f t="shared" si="167"/>
        <v>366</v>
      </c>
      <c r="B366" s="232"/>
      <c r="C366" s="307" t="str">
        <f>+C365</f>
        <v>14.2</v>
      </c>
      <c r="D366" s="308">
        <f>1+D365</f>
        <v>2</v>
      </c>
      <c r="E366" s="309" t="str">
        <f>C366&amp;"."&amp;D366</f>
        <v>14.2.2</v>
      </c>
      <c r="F366" s="310" t="s">
        <v>12174</v>
      </c>
      <c r="G366" s="311" t="str">
        <f>IF($F366="","",IFERROR(VLOOKUP($F366,SERVIÇOS!$B:$G,2,0),IFERROR(VLOOKUP($F366,'COMPOSIÇÕES COMPLEMENTARES '!$D:$L,2,0),IFERROR(VLOOKUP($F366,INSUMOS!$A:$D,2,0),""))))</f>
        <v>PLACA DE SINALIZAÇÃO E2/E3/E5/E11/A1/A3/A5/P1/P2 - 150 MM - (SIMBOLOS, CORES E PICTOGRAMAS CONFORME NBR 13434)</v>
      </c>
      <c r="H366" s="312" t="str">
        <f>IF($F366="","",IFERROR(VLOOKUP($F366,SERVIÇOS!$B:$G,3,0),IFERROR(VLOOKUP($F366,'COMPOSIÇÕES COMPLEMENTARES '!$D:$L,3,0),IFERROR(VLOOKUP($F366,INSUMOS!$A:$D,3,0),""))))</f>
        <v>UN</v>
      </c>
      <c r="I366" s="313">
        <v>27</v>
      </c>
      <c r="J366" s="314">
        <f>IF($F366="","",IFERROR(VLOOKUP($F366,SERVIÇOS!$B:$G,4,0),IFERROR(VLOOKUP($F366,'COMPOSIÇÕES COMPLEMENTARES '!$D:$L,6,0),IFERROR(VLOOKUP($F366,INSUMOS!$A:$D,4,0),""))))</f>
        <v>8.39</v>
      </c>
      <c r="K366" s="314">
        <f>IF($F366="","",IFERROR(VLOOKUP($F366,SERVIÇOS!$B:$G,5,0),IFERROR(VLOOKUP($F366,'COMPOSIÇÕES COMPLEMENTARES '!$D:$L,7,0),0)))</f>
        <v>1.95</v>
      </c>
      <c r="L366" s="314">
        <f>IF(I366="","",J366+K366)</f>
        <v>10.34</v>
      </c>
      <c r="M366" s="314">
        <f>IF(I366="","",TRUNC((I366*J366),2))</f>
        <v>226.53</v>
      </c>
      <c r="N366" s="314">
        <f>IF(I366="","",TRUNC((I366*K366),2))</f>
        <v>52.65</v>
      </c>
      <c r="O366" s="314">
        <f>IF(I366="","",TRUNC((M366+N366),2))</f>
        <v>279.18</v>
      </c>
      <c r="P366" s="314"/>
      <c r="Q366" s="315"/>
      <c r="R366" s="315"/>
      <c r="S366" s="286"/>
      <c r="T366" s="287"/>
      <c r="U366" s="288" t="str">
        <f t="shared" si="175"/>
        <v/>
      </c>
      <c r="V366" s="287"/>
      <c r="W366" s="289" t="str">
        <f t="shared" si="176"/>
        <v/>
      </c>
      <c r="X366" s="287"/>
      <c r="Y366" s="290" t="str">
        <f t="shared" si="177"/>
        <v/>
      </c>
      <c r="Z366" s="291">
        <f ca="1">SUMIF($T$8:Y$1018,"QUANT.",T366:Y366)</f>
        <v>0</v>
      </c>
      <c r="AA366" s="292">
        <f t="shared" ca="1" si="178"/>
        <v>0</v>
      </c>
      <c r="AB366" s="293" t="str">
        <f t="shared" ca="1" si="179"/>
        <v>MEDIR</v>
      </c>
      <c r="AC366" s="294">
        <f t="shared" ca="1" si="180"/>
        <v>27</v>
      </c>
      <c r="AD366" s="294">
        <f t="shared" ca="1" si="181"/>
        <v>279.18</v>
      </c>
      <c r="AE366" s="295"/>
      <c r="AF366" s="295"/>
      <c r="AG366" s="296"/>
      <c r="AH366" s="296"/>
      <c r="AI366" s="296"/>
      <c r="AJ366" s="325"/>
      <c r="AK366" s="325"/>
      <c r="AL366" s="325"/>
      <c r="AM366" s="325"/>
    </row>
    <row r="367" spans="1:39" ht="25.5" x14ac:dyDescent="0.25">
      <c r="A367" s="232">
        <f t="shared" si="167"/>
        <v>367</v>
      </c>
      <c r="B367" s="232"/>
      <c r="C367" s="307" t="str">
        <f>+C366</f>
        <v>14.2</v>
      </c>
      <c r="D367" s="308">
        <f>1+D366</f>
        <v>3</v>
      </c>
      <c r="E367" s="309" t="str">
        <f>C367&amp;"."&amp;D367</f>
        <v>14.2.3</v>
      </c>
      <c r="F367" s="310" t="s">
        <v>12175</v>
      </c>
      <c r="G367" s="311" t="str">
        <f>IF($F367="","",IFERROR(VLOOKUP($F367,SERVIÇOS!$B:$G,2,0),IFERROR(VLOOKUP($F367,'COMPOSIÇÕES COMPLEMENTARES '!$D:$L,2,0),IFERROR(VLOOKUP($F367,INSUMOS!$A:$D,2,0),""))))</f>
        <v>PLACA DE SINALIZAÇÃO INDICAÇÃO DOS SISTEMAS DE PROTEÇÃO CONTRA INCÊNDIO EXISTENTES NA EDIFICAÇÃO (SIMBOLOS, CORES E PICTOGRAMAS CONFORME NBR 13434), TIPO M1</v>
      </c>
      <c r="H367" s="312" t="str">
        <f>IF($F367="","",IFERROR(VLOOKUP($F367,SERVIÇOS!$B:$G,3,0),IFERROR(VLOOKUP($F367,'COMPOSIÇÕES COMPLEMENTARES '!$D:$L,3,0),IFERROR(VLOOKUP($F367,INSUMOS!$A:$D,3,0),""))))</f>
        <v>UN</v>
      </c>
      <c r="I367" s="313">
        <v>1</v>
      </c>
      <c r="J367" s="314">
        <f>IF($F367="","",IFERROR(VLOOKUP($F367,SERVIÇOS!$B:$G,4,0),IFERROR(VLOOKUP($F367,'COMPOSIÇÕES COMPLEMENTARES '!$D:$L,6,0),IFERROR(VLOOKUP($F367,INSUMOS!$A:$D,4,0),""))))</f>
        <v>147.46</v>
      </c>
      <c r="K367" s="314">
        <f>IF($F367="","",IFERROR(VLOOKUP($F367,SERVIÇOS!$B:$G,5,0),IFERROR(VLOOKUP($F367,'COMPOSIÇÕES COMPLEMENTARES '!$D:$L,7,0),0)))</f>
        <v>3.9</v>
      </c>
      <c r="L367" s="314">
        <f>IF(I367="","",J367+K367)</f>
        <v>151.36000000000001</v>
      </c>
      <c r="M367" s="314">
        <f>IF(I367="","",TRUNC((I367*J367),2))</f>
        <v>147.46</v>
      </c>
      <c r="N367" s="314">
        <f>IF(I367="","",TRUNC((I367*K367),2))</f>
        <v>3.9</v>
      </c>
      <c r="O367" s="314">
        <f>IF(I367="","",TRUNC((M367+N367),2))</f>
        <v>151.36000000000001</v>
      </c>
      <c r="P367" s="314"/>
      <c r="Q367" s="315"/>
      <c r="R367" s="315"/>
      <c r="S367" s="286"/>
      <c r="T367" s="287"/>
      <c r="U367" s="288" t="str">
        <f t="shared" si="175"/>
        <v/>
      </c>
      <c r="V367" s="287"/>
      <c r="W367" s="289" t="str">
        <f t="shared" si="176"/>
        <v/>
      </c>
      <c r="X367" s="287"/>
      <c r="Y367" s="290" t="str">
        <f t="shared" si="177"/>
        <v/>
      </c>
      <c r="Z367" s="291">
        <f ca="1">SUMIF($T$8:Y$1018,"QUANT.",T367:Y367)</f>
        <v>0</v>
      </c>
      <c r="AA367" s="292">
        <f t="shared" ca="1" si="178"/>
        <v>0</v>
      </c>
      <c r="AB367" s="293" t="str">
        <f t="shared" ca="1" si="179"/>
        <v>MEDIR</v>
      </c>
      <c r="AC367" s="294">
        <f t="shared" ca="1" si="180"/>
        <v>1</v>
      </c>
      <c r="AD367" s="294">
        <f t="shared" ca="1" si="181"/>
        <v>151.36000000000001</v>
      </c>
      <c r="AE367" s="295"/>
      <c r="AF367" s="295"/>
      <c r="AG367" s="296"/>
      <c r="AH367" s="296"/>
      <c r="AI367" s="296"/>
      <c r="AJ367" s="325"/>
      <c r="AK367" s="325"/>
      <c r="AL367" s="325"/>
      <c r="AM367" s="325"/>
    </row>
    <row r="368" spans="1:39" ht="25.5" x14ac:dyDescent="0.25">
      <c r="A368" s="232">
        <f t="shared" si="167"/>
        <v>368</v>
      </c>
      <c r="B368" s="232"/>
      <c r="C368" s="281">
        <f>+E368</f>
        <v>15</v>
      </c>
      <c r="D368" s="297"/>
      <c r="E368" s="298">
        <v>15</v>
      </c>
      <c r="F368" s="322"/>
      <c r="G368" s="299" t="s">
        <v>12176</v>
      </c>
      <c r="H368" s="300"/>
      <c r="I368" s="303"/>
      <c r="J368" s="302"/>
      <c r="K368" s="303"/>
      <c r="L368" s="303"/>
      <c r="M368" s="304">
        <f>TRUNC(SUMIF(M369:M709,"&gt;0",M369:M709),2)</f>
        <v>456555.93</v>
      </c>
      <c r="N368" s="304">
        <f>TRUNC(SUMIF(N369:N709,"&gt;0",N369:N709),2)</f>
        <v>156670.6</v>
      </c>
      <c r="O368" s="305"/>
      <c r="P368" s="304">
        <f>SUMIF(O369:O709,"&gt;0",O369:O709)</f>
        <v>613226.53000000038</v>
      </c>
      <c r="Q368" s="306"/>
      <c r="R368" s="306"/>
      <c r="S368" s="286"/>
      <c r="T368" s="287"/>
      <c r="U368" s="288" t="str">
        <f t="shared" si="175"/>
        <v/>
      </c>
      <c r="V368" s="287"/>
      <c r="W368" s="289" t="str">
        <f t="shared" si="176"/>
        <v/>
      </c>
      <c r="X368" s="287"/>
      <c r="Y368" s="290" t="str">
        <f t="shared" si="177"/>
        <v/>
      </c>
      <c r="Z368" s="291">
        <f ca="1">SUMIF($T$8:Y$1018,"QUANT.",T368:Y368)</f>
        <v>0</v>
      </c>
      <c r="AA368" s="292">
        <f t="shared" ca="1" si="178"/>
        <v>0</v>
      </c>
      <c r="AB368" s="293" t="str">
        <f t="shared" si="179"/>
        <v/>
      </c>
      <c r="AC368" s="294">
        <f t="shared" ca="1" si="180"/>
        <v>0</v>
      </c>
      <c r="AD368" s="294">
        <f t="shared" ca="1" si="181"/>
        <v>0</v>
      </c>
      <c r="AE368" s="295"/>
      <c r="AF368" s="295"/>
      <c r="AG368" s="296"/>
      <c r="AH368" s="296"/>
      <c r="AI368" s="296"/>
      <c r="AJ368" s="325"/>
      <c r="AK368" s="325"/>
      <c r="AL368" s="325"/>
      <c r="AM368" s="325"/>
    </row>
    <row r="369" spans="1:39" x14ac:dyDescent="0.25">
      <c r="A369" s="232">
        <f t="shared" si="167"/>
        <v>369</v>
      </c>
      <c r="B369" s="232"/>
      <c r="C369" s="316" t="str">
        <f>+E369</f>
        <v>15.1</v>
      </c>
      <c r="D369" s="297"/>
      <c r="E369" s="317" t="s">
        <v>12177</v>
      </c>
      <c r="F369" s="317"/>
      <c r="G369" s="318" t="s">
        <v>12178</v>
      </c>
      <c r="H369" s="317"/>
      <c r="I369" s="319"/>
      <c r="J369" s="317"/>
      <c r="K369" s="317"/>
      <c r="L369" s="317"/>
      <c r="M369" s="317"/>
      <c r="N369" s="317"/>
      <c r="O369" s="317"/>
      <c r="P369" s="317"/>
      <c r="Q369" s="320"/>
      <c r="R369" s="306"/>
      <c r="S369" s="286"/>
      <c r="T369" s="287"/>
      <c r="U369" s="288" t="str">
        <f t="shared" si="175"/>
        <v/>
      </c>
      <c r="V369" s="287"/>
      <c r="W369" s="289" t="str">
        <f t="shared" si="176"/>
        <v/>
      </c>
      <c r="X369" s="287"/>
      <c r="Y369" s="290" t="str">
        <f t="shared" si="177"/>
        <v/>
      </c>
      <c r="Z369" s="291">
        <f ca="1">SUMIF($T$8:Y$1018,"QUANT.",T369:Y369)</f>
        <v>0</v>
      </c>
      <c r="AA369" s="292">
        <f t="shared" ca="1" si="178"/>
        <v>0</v>
      </c>
      <c r="AB369" s="293" t="str">
        <f t="shared" si="179"/>
        <v/>
      </c>
      <c r="AC369" s="294">
        <f t="shared" ca="1" si="180"/>
        <v>0</v>
      </c>
      <c r="AD369" s="294">
        <f t="shared" ca="1" si="181"/>
        <v>0</v>
      </c>
      <c r="AE369" s="295"/>
      <c r="AF369" s="295"/>
      <c r="AG369" s="296"/>
      <c r="AH369" s="296"/>
      <c r="AI369" s="296"/>
      <c r="AJ369" s="325"/>
      <c r="AK369" s="325"/>
      <c r="AL369" s="325"/>
      <c r="AM369" s="325"/>
    </row>
    <row r="370" spans="1:39" ht="38.25" x14ac:dyDescent="0.25">
      <c r="A370" s="232">
        <f t="shared" si="167"/>
        <v>370</v>
      </c>
      <c r="B370" s="232"/>
      <c r="C370" s="307" t="str">
        <f t="shared" ref="C370:C387" si="182">+C369</f>
        <v>15.1</v>
      </c>
      <c r="D370" s="308">
        <f t="shared" ref="D370:D387" si="183">1+D369</f>
        <v>1</v>
      </c>
      <c r="E370" s="309" t="str">
        <f t="shared" ref="E370:E387" si="184">C370&amp;"."&amp;D370</f>
        <v>15.1.1</v>
      </c>
      <c r="F370" s="310" t="s">
        <v>12179</v>
      </c>
      <c r="G370" s="311" t="str">
        <f>IF($F370="","",IFERROR(VLOOKUP($F370,SERVIÇOS!$B:$G,2,0),IFERROR(VLOOKUP($F370,'COMPOSIÇÕES COMPLEMENTARES '!$D:$L,2,0),IFERROR(VLOOKUP($F370,INSUMOS!$A:$D,2,0),""))))</f>
        <v>QDG - QUADRO DE DISTRIBUIÇÃO EM CHAPA DE AÇO 16USG, PINTURA EM EPÓXI COR BEGE, COM TRINCO, BARRAMENTOS EM COBRE, ESPELHO INTERNO C/ PLAQUETAS DE IDENTIFICAÇÃO EM ACRÍLICO PARA CADA CIRCUITO E PORTA PROJETO. DEVERÁ ATENDER O SOLICITADO NO DIAGRAMA UNIFILAR EM PROJETO.</v>
      </c>
      <c r="H370" s="312" t="str">
        <f>IF($F370="","",IFERROR(VLOOKUP($F370,SERVIÇOS!$B:$G,3,0),IFERROR(VLOOKUP($F370,'COMPOSIÇÕES COMPLEMENTARES '!$D:$L,3,0),IFERROR(VLOOKUP($F370,INSUMOS!$A:$D,3,0),""))))</f>
        <v>UN</v>
      </c>
      <c r="I370" s="313">
        <v>1</v>
      </c>
      <c r="J370" s="314">
        <f>IF($F370="","",IFERROR(VLOOKUP($F370,SERVIÇOS!$B:$G,4,0),IFERROR(VLOOKUP($F370,'COMPOSIÇÕES COMPLEMENTARES '!$D:$L,6,0),IFERROR(VLOOKUP($F370,INSUMOS!$A:$D,4,0),""))))</f>
        <v>6272.44</v>
      </c>
      <c r="K370" s="314">
        <f>IF($F370="","",IFERROR(VLOOKUP($F370,SERVIÇOS!$B:$G,5,0),IFERROR(VLOOKUP($F370,'COMPOSIÇÕES COMPLEMENTARES '!$D:$L,7,0),0)))</f>
        <v>348.09</v>
      </c>
      <c r="L370" s="314">
        <f t="shared" ref="L370:L387" si="185">IF(I370="","",J370+K370)</f>
        <v>6620.53</v>
      </c>
      <c r="M370" s="314">
        <f t="shared" ref="M370:M387" si="186">IF(I370="","",TRUNC((I370*J370),2))</f>
        <v>6272.44</v>
      </c>
      <c r="N370" s="314">
        <f t="shared" ref="N370:N387" si="187">IF(I370="","",TRUNC((I370*K370),2))</f>
        <v>348.09</v>
      </c>
      <c r="O370" s="314">
        <f t="shared" ref="O370:O387" si="188">IF(I370="","",TRUNC((M370+N370),2))</f>
        <v>6620.53</v>
      </c>
      <c r="P370" s="314"/>
      <c r="Q370" s="315"/>
      <c r="R370" s="315"/>
      <c r="S370" s="286"/>
      <c r="T370" s="287"/>
      <c r="U370" s="288" t="str">
        <f t="shared" si="175"/>
        <v/>
      </c>
      <c r="V370" s="287"/>
      <c r="W370" s="289" t="str">
        <f t="shared" si="176"/>
        <v/>
      </c>
      <c r="X370" s="287"/>
      <c r="Y370" s="290" t="str">
        <f t="shared" si="177"/>
        <v/>
      </c>
      <c r="Z370" s="291">
        <f ca="1">SUMIF($T$8:Y$1018,"QUANT.",T370:Y370)</f>
        <v>0</v>
      </c>
      <c r="AA370" s="292">
        <f t="shared" ca="1" si="178"/>
        <v>0</v>
      </c>
      <c r="AB370" s="293" t="str">
        <f t="shared" ca="1" si="179"/>
        <v>MEDIR</v>
      </c>
      <c r="AC370" s="294">
        <f t="shared" ca="1" si="180"/>
        <v>1</v>
      </c>
      <c r="AD370" s="294">
        <f t="shared" ca="1" si="181"/>
        <v>6620.53</v>
      </c>
      <c r="AE370" s="295"/>
      <c r="AF370" s="295"/>
      <c r="AG370" s="296"/>
      <c r="AH370" s="296"/>
      <c r="AI370" s="296"/>
      <c r="AJ370" s="325"/>
      <c r="AK370" s="325"/>
      <c r="AL370" s="325"/>
      <c r="AM370" s="325"/>
    </row>
    <row r="371" spans="1:39" ht="25.5" x14ac:dyDescent="0.25">
      <c r="A371" s="232">
        <f t="shared" si="167"/>
        <v>371</v>
      </c>
      <c r="B371" s="232"/>
      <c r="C371" s="307" t="str">
        <f t="shared" si="182"/>
        <v>15.1</v>
      </c>
      <c r="D371" s="308">
        <f t="shared" si="183"/>
        <v>2</v>
      </c>
      <c r="E371" s="309" t="str">
        <f t="shared" si="184"/>
        <v>15.1.2</v>
      </c>
      <c r="F371" s="310">
        <v>101898</v>
      </c>
      <c r="G371" s="311" t="str">
        <f>IF($F371="","",IFERROR(VLOOKUP($F371,SERVIÇOS!$B:$G,2,0),IFERROR(VLOOKUP($F371,'COMPOSIÇÕES COMPLEMENTARES '!$D:$L,2,0),IFERROR(VLOOKUP($F371,INSUMOS!$A:$D,2,0),""))))</f>
        <v>DISJUNTOR TERMOMAGNÉTICO TRIPOLAR , CORRENTE NOMINAL DE 400A - FORNECIMENTO E INSTALAÇÃO. AF_10/2020</v>
      </c>
      <c r="H371" s="312" t="str">
        <f>IF($F371="","",IFERROR(VLOOKUP($F371,SERVIÇOS!$B:$G,3,0),IFERROR(VLOOKUP($F371,'COMPOSIÇÕES COMPLEMENTARES '!$D:$L,3,0),IFERROR(VLOOKUP($F371,INSUMOS!$A:$D,3,0),""))))</f>
        <v>UN</v>
      </c>
      <c r="I371" s="313">
        <v>1</v>
      </c>
      <c r="J371" s="314">
        <f>IF($F371="","",IFERROR(VLOOKUP($F371,SERVIÇOS!$B:$G,4,0),IFERROR(VLOOKUP($F371,'COMPOSIÇÕES COMPLEMENTARES '!$D:$L,6,0),IFERROR(VLOOKUP($F371,INSUMOS!$A:$D,4,0),""))))</f>
        <v>1411.22</v>
      </c>
      <c r="K371" s="314">
        <f>IF($F371="","",IFERROR(VLOOKUP($F371,SERVIÇOS!$B:$G,5,0),IFERROR(VLOOKUP($F371,'COMPOSIÇÕES COMPLEMENTARES '!$D:$L,7,0),0)))</f>
        <v>65.56</v>
      </c>
      <c r="L371" s="314">
        <f t="shared" si="185"/>
        <v>1476.78</v>
      </c>
      <c r="M371" s="314">
        <f t="shared" si="186"/>
        <v>1411.22</v>
      </c>
      <c r="N371" s="314">
        <f t="shared" si="187"/>
        <v>65.56</v>
      </c>
      <c r="O371" s="314">
        <f t="shared" si="188"/>
        <v>1476.78</v>
      </c>
      <c r="P371" s="314"/>
      <c r="Q371" s="315"/>
      <c r="R371" s="315"/>
      <c r="S371" s="286"/>
      <c r="T371" s="287"/>
      <c r="U371" s="288" t="str">
        <f t="shared" si="175"/>
        <v/>
      </c>
      <c r="V371" s="287"/>
      <c r="W371" s="289" t="str">
        <f t="shared" si="176"/>
        <v/>
      </c>
      <c r="X371" s="287"/>
      <c r="Y371" s="290" t="str">
        <f t="shared" si="177"/>
        <v/>
      </c>
      <c r="Z371" s="291">
        <f ca="1">SUMIF($T$8:Y$1018,"QUANT.",T371:Y371)</f>
        <v>0</v>
      </c>
      <c r="AA371" s="292">
        <f t="shared" ca="1" si="178"/>
        <v>0</v>
      </c>
      <c r="AB371" s="293" t="str">
        <f t="shared" ca="1" si="179"/>
        <v>MEDIR</v>
      </c>
      <c r="AC371" s="294">
        <f t="shared" ca="1" si="180"/>
        <v>1</v>
      </c>
      <c r="AD371" s="294">
        <f t="shared" ca="1" si="181"/>
        <v>1476.78</v>
      </c>
      <c r="AE371" s="295"/>
      <c r="AF371" s="295"/>
      <c r="AG371" s="296"/>
      <c r="AH371" s="296"/>
      <c r="AI371" s="296"/>
      <c r="AJ371" s="325"/>
      <c r="AK371" s="325"/>
      <c r="AL371" s="325"/>
      <c r="AM371" s="325"/>
    </row>
    <row r="372" spans="1:39" x14ac:dyDescent="0.25">
      <c r="A372" s="232">
        <f t="shared" si="167"/>
        <v>372</v>
      </c>
      <c r="B372" s="232"/>
      <c r="C372" s="307" t="str">
        <f t="shared" si="182"/>
        <v>15.1</v>
      </c>
      <c r="D372" s="308">
        <f t="shared" si="183"/>
        <v>3</v>
      </c>
      <c r="E372" s="309" t="str">
        <f t="shared" si="184"/>
        <v>15.1.3</v>
      </c>
      <c r="F372" s="310" t="s">
        <v>12180</v>
      </c>
      <c r="G372" s="311" t="str">
        <f>IF($F372="","",IFERROR(VLOOKUP($F372,SERVIÇOS!$B:$G,2,0),IFERROR(VLOOKUP($F372,'COMPOSIÇÕES COMPLEMENTARES '!$D:$L,2,0),IFERROR(VLOOKUP($F372,INSUMOS!$A:$D,2,0),""))))</f>
        <v>DISJUNTOR TERMOMAGNÉTICO TRIPOLAR 225A CAPAC. 50KA</v>
      </c>
      <c r="H372" s="312" t="str">
        <f>IF($F372="","",IFERROR(VLOOKUP($F372,SERVIÇOS!$B:$G,3,0),IFERROR(VLOOKUP($F372,'COMPOSIÇÕES COMPLEMENTARES '!$D:$L,3,0),IFERROR(VLOOKUP($F372,INSUMOS!$A:$D,3,0),""))))</f>
        <v>UN</v>
      </c>
      <c r="I372" s="313">
        <v>1</v>
      </c>
      <c r="J372" s="314">
        <f>IF($F372="","",IFERROR(VLOOKUP($F372,SERVIÇOS!$B:$G,4,0),IFERROR(VLOOKUP($F372,'COMPOSIÇÕES COMPLEMENTARES '!$D:$L,6,0),IFERROR(VLOOKUP($F372,INSUMOS!$A:$D,4,0),""))))</f>
        <v>1030.56</v>
      </c>
      <c r="K372" s="314">
        <f>IF($F372="","",IFERROR(VLOOKUP($F372,SERVIÇOS!$B:$G,5,0),IFERROR(VLOOKUP($F372,'COMPOSIÇÕES COMPLEMENTARES '!$D:$L,7,0),0)))</f>
        <v>19.809999999999999</v>
      </c>
      <c r="L372" s="314">
        <f t="shared" si="185"/>
        <v>1050.3699999999999</v>
      </c>
      <c r="M372" s="314">
        <f t="shared" si="186"/>
        <v>1030.56</v>
      </c>
      <c r="N372" s="314">
        <f t="shared" si="187"/>
        <v>19.809999999999999</v>
      </c>
      <c r="O372" s="314">
        <f t="shared" si="188"/>
        <v>1050.3699999999999</v>
      </c>
      <c r="P372" s="314"/>
      <c r="Q372" s="315"/>
      <c r="R372" s="315"/>
      <c r="S372" s="286"/>
      <c r="T372" s="287"/>
      <c r="U372" s="288" t="str">
        <f t="shared" si="175"/>
        <v/>
      </c>
      <c r="V372" s="287"/>
      <c r="W372" s="289" t="str">
        <f t="shared" si="176"/>
        <v/>
      </c>
      <c r="X372" s="287"/>
      <c r="Y372" s="290" t="str">
        <f t="shared" si="177"/>
        <v/>
      </c>
      <c r="Z372" s="291">
        <f ca="1">SUMIF($T$8:Y$1018,"QUANT.",T372:Y372)</f>
        <v>0</v>
      </c>
      <c r="AA372" s="292">
        <f t="shared" ca="1" si="178"/>
        <v>0</v>
      </c>
      <c r="AB372" s="293" t="str">
        <f t="shared" ca="1" si="179"/>
        <v>MEDIR</v>
      </c>
      <c r="AC372" s="294">
        <f t="shared" ca="1" si="180"/>
        <v>1</v>
      </c>
      <c r="AD372" s="294">
        <f t="shared" ca="1" si="181"/>
        <v>1050.3699999999999</v>
      </c>
      <c r="AE372" s="295"/>
      <c r="AF372" s="295"/>
      <c r="AG372" s="296"/>
      <c r="AH372" s="296"/>
      <c r="AI372" s="296"/>
      <c r="AJ372" s="325"/>
      <c r="AK372" s="325"/>
      <c r="AL372" s="325"/>
      <c r="AM372" s="325"/>
    </row>
    <row r="373" spans="1:39" x14ac:dyDescent="0.25">
      <c r="A373" s="232">
        <f t="shared" si="167"/>
        <v>373</v>
      </c>
      <c r="B373" s="232"/>
      <c r="C373" s="307" t="str">
        <f t="shared" si="182"/>
        <v>15.1</v>
      </c>
      <c r="D373" s="308">
        <f t="shared" si="183"/>
        <v>4</v>
      </c>
      <c r="E373" s="309" t="str">
        <f t="shared" si="184"/>
        <v>15.1.4</v>
      </c>
      <c r="F373" s="310" t="s">
        <v>12181</v>
      </c>
      <c r="G373" s="311" t="str">
        <f>IF($F373="","",IFERROR(VLOOKUP($F373,SERVIÇOS!$B:$G,2,0),IFERROR(VLOOKUP($F373,'COMPOSIÇÕES COMPLEMENTARES '!$D:$L,2,0),IFERROR(VLOOKUP($F373,INSUMOS!$A:$D,2,0),""))))</f>
        <v>DISJUNTOR TRIPOLAR TIPO DIN, CORRENTE NOMINAL DE 200A</v>
      </c>
      <c r="H373" s="312" t="str">
        <f>IF($F373="","",IFERROR(VLOOKUP($F373,SERVIÇOS!$B:$G,3,0),IFERROR(VLOOKUP($F373,'COMPOSIÇÕES COMPLEMENTARES '!$D:$L,3,0),IFERROR(VLOOKUP($F373,INSUMOS!$A:$D,3,0),""))))</f>
        <v>UN</v>
      </c>
      <c r="I373" s="313">
        <v>1</v>
      </c>
      <c r="J373" s="314">
        <f>IF($F373="","",IFERROR(VLOOKUP($F373,SERVIÇOS!$B:$G,4,0),IFERROR(VLOOKUP($F373,'COMPOSIÇÕES COMPLEMENTARES '!$D:$L,6,0),IFERROR(VLOOKUP($F373,INSUMOS!$A:$D,4,0),""))))</f>
        <v>222.8</v>
      </c>
      <c r="K373" s="314">
        <f>IF($F373="","",IFERROR(VLOOKUP($F373,SERVIÇOS!$B:$G,5,0),IFERROR(VLOOKUP($F373,'COMPOSIÇÕES COMPLEMENTARES '!$D:$L,7,0),0)))</f>
        <v>47.57</v>
      </c>
      <c r="L373" s="314">
        <f t="shared" si="185"/>
        <v>270.37</v>
      </c>
      <c r="M373" s="314">
        <f t="shared" si="186"/>
        <v>222.8</v>
      </c>
      <c r="N373" s="314">
        <f t="shared" si="187"/>
        <v>47.57</v>
      </c>
      <c r="O373" s="314">
        <f t="shared" si="188"/>
        <v>270.37</v>
      </c>
      <c r="P373" s="314"/>
      <c r="Q373" s="315"/>
      <c r="R373" s="315"/>
      <c r="S373" s="286"/>
      <c r="T373" s="287"/>
      <c r="U373" s="288" t="str">
        <f t="shared" si="175"/>
        <v/>
      </c>
      <c r="V373" s="287"/>
      <c r="W373" s="289" t="str">
        <f t="shared" si="176"/>
        <v/>
      </c>
      <c r="X373" s="287"/>
      <c r="Y373" s="290" t="str">
        <f t="shared" si="177"/>
        <v/>
      </c>
      <c r="Z373" s="291">
        <f ca="1">SUMIF($T$8:Y$1018,"QUANT.",T373:Y373)</f>
        <v>0</v>
      </c>
      <c r="AA373" s="292">
        <f t="shared" ca="1" si="178"/>
        <v>0</v>
      </c>
      <c r="AB373" s="293" t="str">
        <f t="shared" ca="1" si="179"/>
        <v>MEDIR</v>
      </c>
      <c r="AC373" s="294">
        <f t="shared" ca="1" si="180"/>
        <v>1</v>
      </c>
      <c r="AD373" s="294">
        <f t="shared" ca="1" si="181"/>
        <v>270.37</v>
      </c>
      <c r="AE373" s="295"/>
      <c r="AF373" s="295"/>
      <c r="AG373" s="296"/>
      <c r="AH373" s="296"/>
      <c r="AI373" s="296"/>
      <c r="AJ373" s="325"/>
      <c r="AK373" s="325"/>
      <c r="AL373" s="325"/>
      <c r="AM373" s="325"/>
    </row>
    <row r="374" spans="1:39" x14ac:dyDescent="0.25">
      <c r="A374" s="232">
        <f t="shared" si="167"/>
        <v>374</v>
      </c>
      <c r="B374" s="232"/>
      <c r="C374" s="307" t="str">
        <f t="shared" si="182"/>
        <v>15.1</v>
      </c>
      <c r="D374" s="308">
        <f t="shared" si="183"/>
        <v>5</v>
      </c>
      <c r="E374" s="309" t="str">
        <f t="shared" si="184"/>
        <v>15.1.5</v>
      </c>
      <c r="F374" s="310" t="s">
        <v>12182</v>
      </c>
      <c r="G374" s="311" t="str">
        <f>IF($F374="","",IFERROR(VLOOKUP($F374,SERVIÇOS!$B:$G,2,0),IFERROR(VLOOKUP($F374,'COMPOSIÇÕES COMPLEMENTARES '!$D:$L,2,0),IFERROR(VLOOKUP($F374,INSUMOS!$A:$D,2,0),""))))</f>
        <v>DISJUNTOR TERMOMAGNÉTICO TRIPOLAR 100A</v>
      </c>
      <c r="H374" s="312" t="str">
        <f>IF($F374="","",IFERROR(VLOOKUP($F374,SERVIÇOS!$B:$G,3,0),IFERROR(VLOOKUP($F374,'COMPOSIÇÕES COMPLEMENTARES '!$D:$L,3,0),IFERROR(VLOOKUP($F374,INSUMOS!$A:$D,3,0),""))))</f>
        <v>UN</v>
      </c>
      <c r="I374" s="313">
        <v>1</v>
      </c>
      <c r="J374" s="314">
        <f>IF($F374="","",IFERROR(VLOOKUP($F374,SERVIÇOS!$B:$G,4,0),IFERROR(VLOOKUP($F374,'COMPOSIÇÕES COMPLEMENTARES '!$D:$L,6,0),IFERROR(VLOOKUP($F374,INSUMOS!$A:$D,4,0),""))))</f>
        <v>154.91</v>
      </c>
      <c r="K374" s="314">
        <f>IF($F374="","",IFERROR(VLOOKUP($F374,SERVIÇOS!$B:$G,5,0),IFERROR(VLOOKUP($F374,'COMPOSIÇÕES COMPLEMENTARES '!$D:$L,7,0),0)))</f>
        <v>99.08</v>
      </c>
      <c r="L374" s="314">
        <f t="shared" si="185"/>
        <v>253.99</v>
      </c>
      <c r="M374" s="314">
        <f t="shared" si="186"/>
        <v>154.91</v>
      </c>
      <c r="N374" s="314">
        <f t="shared" si="187"/>
        <v>99.08</v>
      </c>
      <c r="O374" s="314">
        <f t="shared" si="188"/>
        <v>253.99</v>
      </c>
      <c r="P374" s="314"/>
      <c r="Q374" s="315"/>
      <c r="R374" s="315"/>
      <c r="S374" s="286"/>
      <c r="T374" s="287"/>
      <c r="U374" s="288" t="str">
        <f t="shared" si="175"/>
        <v/>
      </c>
      <c r="V374" s="287"/>
      <c r="W374" s="289" t="str">
        <f t="shared" si="176"/>
        <v/>
      </c>
      <c r="X374" s="287"/>
      <c r="Y374" s="290" t="str">
        <f t="shared" si="177"/>
        <v/>
      </c>
      <c r="Z374" s="291">
        <f ca="1">SUMIF($T$8:Y$1018,"QUANT.",T374:Y374)</f>
        <v>0</v>
      </c>
      <c r="AA374" s="292">
        <f t="shared" ca="1" si="178"/>
        <v>0</v>
      </c>
      <c r="AB374" s="293" t="str">
        <f t="shared" ca="1" si="179"/>
        <v>MEDIR</v>
      </c>
      <c r="AC374" s="294">
        <f t="shared" ca="1" si="180"/>
        <v>1</v>
      </c>
      <c r="AD374" s="294">
        <f t="shared" ca="1" si="181"/>
        <v>253.99</v>
      </c>
      <c r="AE374" s="295"/>
      <c r="AF374" s="295"/>
      <c r="AG374" s="296"/>
      <c r="AH374" s="296"/>
      <c r="AI374" s="296"/>
      <c r="AJ374" s="325"/>
      <c r="AK374" s="325"/>
      <c r="AL374" s="325"/>
      <c r="AM374" s="325"/>
    </row>
    <row r="375" spans="1:39" x14ac:dyDescent="0.25">
      <c r="A375" s="232">
        <f t="shared" si="167"/>
        <v>375</v>
      </c>
      <c r="B375" s="232"/>
      <c r="C375" s="307" t="str">
        <f t="shared" si="182"/>
        <v>15.1</v>
      </c>
      <c r="D375" s="308">
        <f t="shared" si="183"/>
        <v>6</v>
      </c>
      <c r="E375" s="309" t="str">
        <f t="shared" si="184"/>
        <v>15.1.6</v>
      </c>
      <c r="F375" s="310" t="s">
        <v>12183</v>
      </c>
      <c r="G375" s="311" t="str">
        <f>IF($F375="","",IFERROR(VLOOKUP($F375,SERVIÇOS!$B:$G,2,0),IFERROR(VLOOKUP($F375,'COMPOSIÇÕES COMPLEMENTARES '!$D:$L,2,0),IFERROR(VLOOKUP($F375,INSUMOS!$A:$D,2,0),""))))</f>
        <v>DISJUNTOR TERMOMAGNÉTICO TRIPOLAR 80A</v>
      </c>
      <c r="H375" s="312" t="str">
        <f>IF($F375="","",IFERROR(VLOOKUP($F375,SERVIÇOS!$B:$G,3,0),IFERROR(VLOOKUP($F375,'COMPOSIÇÕES COMPLEMENTARES '!$D:$L,3,0),IFERROR(VLOOKUP($F375,INSUMOS!$A:$D,3,0),""))))</f>
        <v>UN</v>
      </c>
      <c r="I375" s="313">
        <v>2</v>
      </c>
      <c r="J375" s="314">
        <f>IF($F375="","",IFERROR(VLOOKUP($F375,SERVIÇOS!$B:$G,4,0),IFERROR(VLOOKUP($F375,'COMPOSIÇÕES COMPLEMENTARES '!$D:$L,6,0),IFERROR(VLOOKUP($F375,INSUMOS!$A:$D,4,0),""))))</f>
        <v>446.75</v>
      </c>
      <c r="K375" s="314">
        <f>IF($F375="","",IFERROR(VLOOKUP($F375,SERVIÇOS!$B:$G,5,0),IFERROR(VLOOKUP($F375,'COMPOSIÇÕES COMPLEMENTARES '!$D:$L,7,0),0)))</f>
        <v>44.58</v>
      </c>
      <c r="L375" s="314">
        <f t="shared" si="185"/>
        <v>491.33</v>
      </c>
      <c r="M375" s="314">
        <f t="shared" si="186"/>
        <v>893.5</v>
      </c>
      <c r="N375" s="314">
        <f t="shared" si="187"/>
        <v>89.16</v>
      </c>
      <c r="O375" s="314">
        <f t="shared" si="188"/>
        <v>982.66</v>
      </c>
      <c r="P375" s="314"/>
      <c r="Q375" s="315"/>
      <c r="R375" s="315"/>
      <c r="S375" s="286"/>
      <c r="T375" s="287"/>
      <c r="U375" s="288" t="str">
        <f t="shared" si="175"/>
        <v/>
      </c>
      <c r="V375" s="287"/>
      <c r="W375" s="289" t="str">
        <f t="shared" si="176"/>
        <v/>
      </c>
      <c r="X375" s="287"/>
      <c r="Y375" s="290" t="str">
        <f t="shared" si="177"/>
        <v/>
      </c>
      <c r="Z375" s="291">
        <f ca="1">SUMIF($T$8:Y$1018,"QUANT.",T375:Y375)</f>
        <v>0</v>
      </c>
      <c r="AA375" s="292">
        <f t="shared" ca="1" si="178"/>
        <v>0</v>
      </c>
      <c r="AB375" s="293" t="str">
        <f t="shared" ca="1" si="179"/>
        <v>MEDIR</v>
      </c>
      <c r="AC375" s="294">
        <f t="shared" ca="1" si="180"/>
        <v>2</v>
      </c>
      <c r="AD375" s="294">
        <f t="shared" ca="1" si="181"/>
        <v>982.66</v>
      </c>
      <c r="AE375" s="295"/>
      <c r="AF375" s="295"/>
      <c r="AG375" s="296"/>
      <c r="AH375" s="296"/>
      <c r="AI375" s="296"/>
      <c r="AJ375" s="325"/>
      <c r="AK375" s="325"/>
      <c r="AL375" s="325"/>
      <c r="AM375" s="325"/>
    </row>
    <row r="376" spans="1:39" x14ac:dyDescent="0.25">
      <c r="A376" s="232">
        <f t="shared" si="167"/>
        <v>376</v>
      </c>
      <c r="B376" s="232"/>
      <c r="C376" s="307" t="str">
        <f t="shared" si="182"/>
        <v>15.1</v>
      </c>
      <c r="D376" s="308">
        <f t="shared" si="183"/>
        <v>7</v>
      </c>
      <c r="E376" s="309" t="str">
        <f t="shared" si="184"/>
        <v>15.1.7</v>
      </c>
      <c r="F376" s="310" t="s">
        <v>12184</v>
      </c>
      <c r="G376" s="311" t="str">
        <f>IF($F376="","",IFERROR(VLOOKUP($F376,SERVIÇOS!$B:$G,2,0),IFERROR(VLOOKUP($F376,'COMPOSIÇÕES COMPLEMENTARES '!$D:$L,2,0),IFERROR(VLOOKUP($F376,INSUMOS!$A:$D,2,0),""))))</f>
        <v>DISJUNTOR TIPO DIN/IEC, TRIPOLAR 63 A</v>
      </c>
      <c r="H376" s="312" t="str">
        <f>IF($F376="","",IFERROR(VLOOKUP($F376,SERVIÇOS!$B:$G,3,0),IFERROR(VLOOKUP($F376,'COMPOSIÇÕES COMPLEMENTARES '!$D:$L,3,0),IFERROR(VLOOKUP($F376,INSUMOS!$A:$D,3,0),""))))</f>
        <v>UN</v>
      </c>
      <c r="I376" s="313">
        <v>1</v>
      </c>
      <c r="J376" s="314">
        <f>IF($F376="","",IFERROR(VLOOKUP($F376,SERVIÇOS!$B:$G,4,0),IFERROR(VLOOKUP($F376,'COMPOSIÇÕES COMPLEMENTARES '!$D:$L,6,0),IFERROR(VLOOKUP($F376,INSUMOS!$A:$D,4,0),""))))</f>
        <v>99.2</v>
      </c>
      <c r="K376" s="314">
        <f>IF($F376="","",IFERROR(VLOOKUP($F376,SERVIÇOS!$B:$G,5,0),IFERROR(VLOOKUP($F376,'COMPOSIÇÕES COMPLEMENTARES '!$D:$L,7,0),0)))</f>
        <v>49.54</v>
      </c>
      <c r="L376" s="314">
        <f t="shared" si="185"/>
        <v>148.74</v>
      </c>
      <c r="M376" s="314">
        <f t="shared" si="186"/>
        <v>99.2</v>
      </c>
      <c r="N376" s="314">
        <f t="shared" si="187"/>
        <v>49.54</v>
      </c>
      <c r="O376" s="314">
        <f t="shared" si="188"/>
        <v>148.74</v>
      </c>
      <c r="P376" s="314"/>
      <c r="Q376" s="315"/>
      <c r="R376" s="315"/>
      <c r="S376" s="286"/>
      <c r="T376" s="287"/>
      <c r="U376" s="288" t="str">
        <f t="shared" si="175"/>
        <v/>
      </c>
      <c r="V376" s="287"/>
      <c r="W376" s="289" t="str">
        <f t="shared" si="176"/>
        <v/>
      </c>
      <c r="X376" s="287"/>
      <c r="Y376" s="290" t="str">
        <f t="shared" si="177"/>
        <v/>
      </c>
      <c r="Z376" s="291">
        <f ca="1">SUMIF($T$8:Y$1018,"QUANT.",T376:Y376)</f>
        <v>0</v>
      </c>
      <c r="AA376" s="292">
        <f t="shared" ca="1" si="178"/>
        <v>0</v>
      </c>
      <c r="AB376" s="293" t="str">
        <f t="shared" ca="1" si="179"/>
        <v>MEDIR</v>
      </c>
      <c r="AC376" s="294">
        <f t="shared" ca="1" si="180"/>
        <v>1</v>
      </c>
      <c r="AD376" s="294">
        <f t="shared" ca="1" si="181"/>
        <v>148.74</v>
      </c>
      <c r="AE376" s="295"/>
      <c r="AF376" s="295"/>
      <c r="AG376" s="296"/>
      <c r="AH376" s="296"/>
      <c r="AI376" s="296"/>
      <c r="AJ376" s="325"/>
      <c r="AK376" s="325"/>
      <c r="AL376" s="325"/>
      <c r="AM376" s="325"/>
    </row>
    <row r="377" spans="1:39" x14ac:dyDescent="0.25">
      <c r="A377" s="232">
        <f t="shared" si="167"/>
        <v>377</v>
      </c>
      <c r="B377" s="232"/>
      <c r="C377" s="307" t="str">
        <f t="shared" si="182"/>
        <v>15.1</v>
      </c>
      <c r="D377" s="308">
        <f t="shared" si="183"/>
        <v>8</v>
      </c>
      <c r="E377" s="309" t="str">
        <f t="shared" si="184"/>
        <v>15.1.8</v>
      </c>
      <c r="F377" s="310">
        <v>93673</v>
      </c>
      <c r="G377" s="311" t="str">
        <f>IF($F377="","",IFERROR(VLOOKUP($F377,SERVIÇOS!$B:$G,2,0),IFERROR(VLOOKUP($F377,'COMPOSIÇÕES COMPLEMENTARES '!$D:$L,2,0),IFERROR(VLOOKUP($F377,INSUMOS!$A:$D,2,0),""))))</f>
        <v>DISJUNTOR TRIPOLAR TIPO DIN, CORRENTE NOMINAL DE 50A - FORNECIMENTO E INSTALAÇÃO. AF_10/2020</v>
      </c>
      <c r="H377" s="312" t="str">
        <f>IF($F377="","",IFERROR(VLOOKUP($F377,SERVIÇOS!$B:$G,3,0),IFERROR(VLOOKUP($F377,'COMPOSIÇÕES COMPLEMENTARES '!$D:$L,3,0),IFERROR(VLOOKUP($F377,INSUMOS!$A:$D,3,0),""))))</f>
        <v>UN</v>
      </c>
      <c r="I377" s="313">
        <v>1</v>
      </c>
      <c r="J377" s="314">
        <f>IF($F377="","",IFERROR(VLOOKUP($F377,SERVIÇOS!$B:$G,4,0),IFERROR(VLOOKUP($F377,'COMPOSIÇÕES COMPLEMENTARES '!$D:$L,6,0),IFERROR(VLOOKUP($F377,INSUMOS!$A:$D,4,0),""))))</f>
        <v>84.73</v>
      </c>
      <c r="K377" s="314">
        <f>IF($F377="","",IFERROR(VLOOKUP($F377,SERVIÇOS!$B:$G,5,0),IFERROR(VLOOKUP($F377,'COMPOSIÇÕES COMPLEMENTARES '!$D:$L,7,0),0)))</f>
        <v>28.1</v>
      </c>
      <c r="L377" s="314">
        <f t="shared" si="185"/>
        <v>112.83000000000001</v>
      </c>
      <c r="M377" s="314">
        <f t="shared" si="186"/>
        <v>84.73</v>
      </c>
      <c r="N377" s="314">
        <f t="shared" si="187"/>
        <v>28.1</v>
      </c>
      <c r="O377" s="314">
        <f t="shared" si="188"/>
        <v>112.83</v>
      </c>
      <c r="P377" s="314"/>
      <c r="Q377" s="315"/>
      <c r="R377" s="315"/>
      <c r="S377" s="286"/>
      <c r="T377" s="287"/>
      <c r="U377" s="288" t="str">
        <f t="shared" si="175"/>
        <v/>
      </c>
      <c r="V377" s="287"/>
      <c r="W377" s="289" t="str">
        <f t="shared" si="176"/>
        <v/>
      </c>
      <c r="X377" s="287"/>
      <c r="Y377" s="290" t="str">
        <f t="shared" si="177"/>
        <v/>
      </c>
      <c r="Z377" s="291">
        <f ca="1">SUMIF($T$8:Y$1018,"QUANT.",T377:Y377)</f>
        <v>0</v>
      </c>
      <c r="AA377" s="292">
        <f t="shared" ca="1" si="178"/>
        <v>0</v>
      </c>
      <c r="AB377" s="293" t="str">
        <f t="shared" ca="1" si="179"/>
        <v>MEDIR</v>
      </c>
      <c r="AC377" s="294">
        <f t="shared" ca="1" si="180"/>
        <v>1</v>
      </c>
      <c r="AD377" s="294">
        <f t="shared" ca="1" si="181"/>
        <v>112.83</v>
      </c>
      <c r="AE377" s="295"/>
      <c r="AF377" s="295"/>
      <c r="AG377" s="296"/>
      <c r="AH377" s="296"/>
      <c r="AI377" s="296"/>
      <c r="AJ377" s="325"/>
      <c r="AK377" s="325"/>
      <c r="AL377" s="325"/>
      <c r="AM377" s="325"/>
    </row>
    <row r="378" spans="1:39" x14ac:dyDescent="0.25">
      <c r="A378" s="232">
        <f t="shared" si="167"/>
        <v>378</v>
      </c>
      <c r="B378" s="232"/>
      <c r="C378" s="307" t="str">
        <f t="shared" si="182"/>
        <v>15.1</v>
      </c>
      <c r="D378" s="308">
        <f t="shared" si="183"/>
        <v>9</v>
      </c>
      <c r="E378" s="309" t="str">
        <f t="shared" si="184"/>
        <v>15.1.9</v>
      </c>
      <c r="F378" s="310" t="s">
        <v>12185</v>
      </c>
      <c r="G378" s="311" t="str">
        <f>IF($F378="","",IFERROR(VLOOKUP($F378,SERVIÇOS!$B:$G,2,0),IFERROR(VLOOKUP($F378,'COMPOSIÇÕES COMPLEMENTARES '!$D:$L,2,0),IFERROR(VLOOKUP($F378,INSUMOS!$A:$D,2,0),""))))</f>
        <v>DISPOSITIVO PROTETOR CONTRA SURTOS (DPS) 10/350 45KA - 275V CLASSE I</v>
      </c>
      <c r="H378" s="312" t="str">
        <f>IF($F378="","",IFERROR(VLOOKUP($F378,SERVIÇOS!$B:$G,3,0),IFERROR(VLOOKUP($F378,'COMPOSIÇÕES COMPLEMENTARES '!$D:$L,3,0),IFERROR(VLOOKUP($F378,INSUMOS!$A:$D,3,0),""))))</f>
        <v>UN</v>
      </c>
      <c r="I378" s="313">
        <v>4</v>
      </c>
      <c r="J378" s="314">
        <f>IF($F378="","",IFERROR(VLOOKUP($F378,SERVIÇOS!$B:$G,4,0),IFERROR(VLOOKUP($F378,'COMPOSIÇÕES COMPLEMENTARES '!$D:$L,6,0),IFERROR(VLOOKUP($F378,INSUMOS!$A:$D,4,0),""))))</f>
        <v>116.15</v>
      </c>
      <c r="K378" s="314">
        <f>IF($F378="","",IFERROR(VLOOKUP($F378,SERVIÇOS!$B:$G,5,0),IFERROR(VLOOKUP($F378,'COMPOSIÇÕES COMPLEMENTARES '!$D:$L,7,0),0)))</f>
        <v>14.85</v>
      </c>
      <c r="L378" s="314">
        <f t="shared" si="185"/>
        <v>131</v>
      </c>
      <c r="M378" s="314">
        <f t="shared" si="186"/>
        <v>464.6</v>
      </c>
      <c r="N378" s="314">
        <f t="shared" si="187"/>
        <v>59.4</v>
      </c>
      <c r="O378" s="314">
        <f t="shared" si="188"/>
        <v>524</v>
      </c>
      <c r="P378" s="314"/>
      <c r="Q378" s="315"/>
      <c r="R378" s="315"/>
      <c r="S378" s="286"/>
      <c r="T378" s="287"/>
      <c r="U378" s="288" t="str">
        <f t="shared" si="175"/>
        <v/>
      </c>
      <c r="V378" s="287"/>
      <c r="W378" s="289" t="str">
        <f t="shared" si="176"/>
        <v/>
      </c>
      <c r="X378" s="287"/>
      <c r="Y378" s="290" t="str">
        <f t="shared" si="177"/>
        <v/>
      </c>
      <c r="Z378" s="291">
        <f ca="1">SUMIF($T$8:Y$1018,"QUANT.",T378:Y378)</f>
        <v>0</v>
      </c>
      <c r="AA378" s="292">
        <f t="shared" ca="1" si="178"/>
        <v>0</v>
      </c>
      <c r="AB378" s="293" t="str">
        <f t="shared" ca="1" si="179"/>
        <v>MEDIR</v>
      </c>
      <c r="AC378" s="294">
        <f t="shared" ca="1" si="180"/>
        <v>4</v>
      </c>
      <c r="AD378" s="294">
        <f t="shared" ca="1" si="181"/>
        <v>524</v>
      </c>
      <c r="AE378" s="295"/>
      <c r="AF378" s="295"/>
      <c r="AG378" s="296"/>
      <c r="AH378" s="296"/>
      <c r="AI378" s="296"/>
      <c r="AJ378" s="325"/>
      <c r="AK378" s="325"/>
      <c r="AL378" s="325"/>
      <c r="AM378" s="325"/>
    </row>
    <row r="379" spans="1:39" x14ac:dyDescent="0.25">
      <c r="A379" s="232">
        <f t="shared" si="167"/>
        <v>379</v>
      </c>
      <c r="B379" s="232"/>
      <c r="C379" s="307" t="str">
        <f t="shared" si="182"/>
        <v>15.1</v>
      </c>
      <c r="D379" s="308">
        <f t="shared" si="183"/>
        <v>10</v>
      </c>
      <c r="E379" s="309" t="str">
        <f t="shared" si="184"/>
        <v>15.1.10</v>
      </c>
      <c r="F379" s="310" t="s">
        <v>12186</v>
      </c>
      <c r="G379" s="311" t="str">
        <f>IF($F379="","",IFERROR(VLOOKUP($F379,SERVIÇOS!$B:$G,2,0),IFERROR(VLOOKUP($F379,'COMPOSIÇÕES COMPLEMENTARES '!$D:$L,2,0),IFERROR(VLOOKUP($F379,INSUMOS!$A:$D,2,0),""))))</f>
        <v>CONDUTOR DE COBRE FLEX. ISOL. 1KV - 90º - #95MM² - AFUMEX</v>
      </c>
      <c r="H379" s="312" t="str">
        <f>IF($F379="","",IFERROR(VLOOKUP($F379,SERVIÇOS!$B:$G,3,0),IFERROR(VLOOKUP($F379,'COMPOSIÇÕES COMPLEMENTARES '!$D:$L,3,0),IFERROR(VLOOKUP($F379,INSUMOS!$A:$D,3,0),""))))</f>
        <v>M</v>
      </c>
      <c r="I379" s="313">
        <v>296</v>
      </c>
      <c r="J379" s="314">
        <f>IF($F379="","",IFERROR(VLOOKUP($F379,SERVIÇOS!$B:$G,4,0),IFERROR(VLOOKUP($F379,'COMPOSIÇÕES COMPLEMENTARES '!$D:$L,6,0),IFERROR(VLOOKUP($F379,INSUMOS!$A:$D,4,0),""))))</f>
        <v>85.88</v>
      </c>
      <c r="K379" s="314">
        <f>IF($F379="","",IFERROR(VLOOKUP($F379,SERVIÇOS!$B:$G,5,0),IFERROR(VLOOKUP($F379,'COMPOSIÇÕES COMPLEMENTARES '!$D:$L,7,0),0)))</f>
        <v>6.33</v>
      </c>
      <c r="L379" s="314">
        <f t="shared" si="185"/>
        <v>92.21</v>
      </c>
      <c r="M379" s="314">
        <f t="shared" si="186"/>
        <v>25420.48</v>
      </c>
      <c r="N379" s="314">
        <f t="shared" si="187"/>
        <v>1873.68</v>
      </c>
      <c r="O379" s="314">
        <f t="shared" si="188"/>
        <v>27294.16</v>
      </c>
      <c r="P379" s="314"/>
      <c r="Q379" s="315"/>
      <c r="R379" s="315"/>
      <c r="S379" s="286"/>
      <c r="T379" s="287"/>
      <c r="U379" s="288" t="str">
        <f t="shared" si="175"/>
        <v/>
      </c>
      <c r="V379" s="287"/>
      <c r="W379" s="289" t="str">
        <f t="shared" si="176"/>
        <v/>
      </c>
      <c r="X379" s="287"/>
      <c r="Y379" s="290" t="str">
        <f t="shared" si="177"/>
        <v/>
      </c>
      <c r="Z379" s="291">
        <f ca="1">SUMIF($T$8:Y$1018,"QUANT.",T379:Y379)</f>
        <v>0</v>
      </c>
      <c r="AA379" s="292">
        <f t="shared" ca="1" si="178"/>
        <v>0</v>
      </c>
      <c r="AB379" s="293" t="str">
        <f t="shared" ca="1" si="179"/>
        <v>MEDIR</v>
      </c>
      <c r="AC379" s="294">
        <f t="shared" ca="1" si="180"/>
        <v>296</v>
      </c>
      <c r="AD379" s="294">
        <f t="shared" ca="1" si="181"/>
        <v>27294.16</v>
      </c>
      <c r="AE379" s="295"/>
      <c r="AF379" s="295"/>
      <c r="AG379" s="296"/>
      <c r="AH379" s="296"/>
      <c r="AI379" s="296"/>
      <c r="AJ379" s="325"/>
      <c r="AK379" s="325"/>
      <c r="AL379" s="325"/>
      <c r="AM379" s="325"/>
    </row>
    <row r="380" spans="1:39" x14ac:dyDescent="0.25">
      <c r="A380" s="232">
        <f t="shared" si="167"/>
        <v>380</v>
      </c>
      <c r="B380" s="232"/>
      <c r="C380" s="307" t="str">
        <f t="shared" si="182"/>
        <v>15.1</v>
      </c>
      <c r="D380" s="308">
        <f t="shared" si="183"/>
        <v>11</v>
      </c>
      <c r="E380" s="309" t="str">
        <f t="shared" si="184"/>
        <v>15.1.11</v>
      </c>
      <c r="F380" s="310" t="s">
        <v>12187</v>
      </c>
      <c r="G380" s="311" t="str">
        <f>IF($F380="","",IFERROR(VLOOKUP($F380,SERVIÇOS!$B:$G,2,0),IFERROR(VLOOKUP($F380,'COMPOSIÇÕES COMPLEMENTARES '!$D:$L,2,0),IFERROR(VLOOKUP($F380,INSUMOS!$A:$D,2,0),""))))</f>
        <v>CONDUTOR DE COBRE FLEX. ISOL. 1KV - 90º - #50MM² - AFUMEX</v>
      </c>
      <c r="H380" s="312" t="str">
        <f>IF($F380="","",IFERROR(VLOOKUP($F380,SERVIÇOS!$B:$G,3,0),IFERROR(VLOOKUP($F380,'COMPOSIÇÕES COMPLEMENTARES '!$D:$L,3,0),IFERROR(VLOOKUP($F380,INSUMOS!$A:$D,3,0),""))))</f>
        <v>M</v>
      </c>
      <c r="I380" s="313">
        <v>74</v>
      </c>
      <c r="J380" s="314">
        <f>IF($F380="","",IFERROR(VLOOKUP($F380,SERVIÇOS!$B:$G,4,0),IFERROR(VLOOKUP($F380,'COMPOSIÇÕES COMPLEMENTARES '!$D:$L,6,0),IFERROR(VLOOKUP($F380,INSUMOS!$A:$D,4,0),""))))</f>
        <v>51.15</v>
      </c>
      <c r="K380" s="314">
        <f>IF($F380="","",IFERROR(VLOOKUP($F380,SERVIÇOS!$B:$G,5,0),IFERROR(VLOOKUP($F380,'COMPOSIÇÕES COMPLEMENTARES '!$D:$L,7,0),0)))</f>
        <v>4.3</v>
      </c>
      <c r="L380" s="314">
        <f t="shared" si="185"/>
        <v>55.449999999999996</v>
      </c>
      <c r="M380" s="314">
        <f t="shared" si="186"/>
        <v>3785.1</v>
      </c>
      <c r="N380" s="314">
        <f t="shared" si="187"/>
        <v>318.2</v>
      </c>
      <c r="O380" s="314">
        <f t="shared" si="188"/>
        <v>4103.3</v>
      </c>
      <c r="P380" s="314"/>
      <c r="Q380" s="315"/>
      <c r="R380" s="315"/>
      <c r="S380" s="286"/>
      <c r="T380" s="287"/>
      <c r="U380" s="288" t="str">
        <f t="shared" si="175"/>
        <v/>
      </c>
      <c r="V380" s="287"/>
      <c r="W380" s="289" t="str">
        <f t="shared" si="176"/>
        <v/>
      </c>
      <c r="X380" s="287"/>
      <c r="Y380" s="290" t="str">
        <f t="shared" si="177"/>
        <v/>
      </c>
      <c r="Z380" s="291">
        <f ca="1">SUMIF($T$8:Y$1018,"QUANT.",T380:Y380)</f>
        <v>0</v>
      </c>
      <c r="AA380" s="292">
        <f t="shared" ca="1" si="178"/>
        <v>0</v>
      </c>
      <c r="AB380" s="293" t="str">
        <f t="shared" ca="1" si="179"/>
        <v>MEDIR</v>
      </c>
      <c r="AC380" s="294">
        <f t="shared" ca="1" si="180"/>
        <v>74</v>
      </c>
      <c r="AD380" s="294">
        <f t="shared" ca="1" si="181"/>
        <v>4103.3</v>
      </c>
      <c r="AE380" s="295"/>
      <c r="AF380" s="295"/>
      <c r="AG380" s="296"/>
      <c r="AH380" s="296"/>
      <c r="AI380" s="296"/>
      <c r="AJ380" s="325"/>
      <c r="AK380" s="325"/>
      <c r="AL380" s="325"/>
      <c r="AM380" s="325"/>
    </row>
    <row r="381" spans="1:39" x14ac:dyDescent="0.25">
      <c r="A381" s="232">
        <f t="shared" si="167"/>
        <v>381</v>
      </c>
      <c r="B381" s="232"/>
      <c r="C381" s="307" t="str">
        <f t="shared" si="182"/>
        <v>15.1</v>
      </c>
      <c r="D381" s="308">
        <f t="shared" si="183"/>
        <v>12</v>
      </c>
      <c r="E381" s="309" t="str">
        <f t="shared" si="184"/>
        <v>15.1.12</v>
      </c>
      <c r="F381" s="310" t="s">
        <v>12188</v>
      </c>
      <c r="G381" s="311" t="str">
        <f>IF($F381="","",IFERROR(VLOOKUP($F381,SERVIÇOS!$B:$G,2,0),IFERROR(VLOOKUP($F381,'COMPOSIÇÕES COMPLEMENTARES '!$D:$L,2,0),IFERROR(VLOOKUP($F381,INSUMOS!$A:$D,2,0),""))))</f>
        <v>TERMINAL DE COMPRESSÃO #95MM²</v>
      </c>
      <c r="H381" s="312" t="str">
        <f>IF($F381="","",IFERROR(VLOOKUP($F381,SERVIÇOS!$B:$G,3,0),IFERROR(VLOOKUP($F381,'COMPOSIÇÕES COMPLEMENTARES '!$D:$L,3,0),IFERROR(VLOOKUP($F381,INSUMOS!$A:$D,3,0),""))))</f>
        <v>UN</v>
      </c>
      <c r="I381" s="313">
        <v>16</v>
      </c>
      <c r="J381" s="314">
        <f>IF($F381="","",IFERROR(VLOOKUP($F381,SERVIÇOS!$B:$G,4,0),IFERROR(VLOOKUP($F381,'COMPOSIÇÕES COMPLEMENTARES '!$D:$L,6,0),IFERROR(VLOOKUP($F381,INSUMOS!$A:$D,4,0),""))))</f>
        <v>9.99</v>
      </c>
      <c r="K381" s="314">
        <f>IF($F381="","",IFERROR(VLOOKUP($F381,SERVIÇOS!$B:$G,5,0),IFERROR(VLOOKUP($F381,'COMPOSIÇÕES COMPLEMENTARES '!$D:$L,7,0),0)))</f>
        <v>1.68</v>
      </c>
      <c r="L381" s="314">
        <f t="shared" si="185"/>
        <v>11.67</v>
      </c>
      <c r="M381" s="314">
        <f t="shared" si="186"/>
        <v>159.84</v>
      </c>
      <c r="N381" s="314">
        <f t="shared" si="187"/>
        <v>26.88</v>
      </c>
      <c r="O381" s="314">
        <f t="shared" si="188"/>
        <v>186.72</v>
      </c>
      <c r="P381" s="314"/>
      <c r="Q381" s="315"/>
      <c r="R381" s="315"/>
      <c r="S381" s="286"/>
      <c r="T381" s="287"/>
      <c r="U381" s="288" t="str">
        <f t="shared" si="175"/>
        <v/>
      </c>
      <c r="V381" s="287"/>
      <c r="W381" s="289" t="str">
        <f t="shared" si="176"/>
        <v/>
      </c>
      <c r="X381" s="287"/>
      <c r="Y381" s="290" t="str">
        <f t="shared" si="177"/>
        <v/>
      </c>
      <c r="Z381" s="291">
        <f ca="1">SUMIF($T$8:Y$1018,"QUANT.",T381:Y381)</f>
        <v>0</v>
      </c>
      <c r="AA381" s="292">
        <f t="shared" ca="1" si="178"/>
        <v>0</v>
      </c>
      <c r="AB381" s="293" t="str">
        <f t="shared" ca="1" si="179"/>
        <v>MEDIR</v>
      </c>
      <c r="AC381" s="294">
        <f t="shared" ca="1" si="180"/>
        <v>16</v>
      </c>
      <c r="AD381" s="294">
        <f t="shared" ca="1" si="181"/>
        <v>186.72</v>
      </c>
      <c r="AE381" s="295"/>
      <c r="AF381" s="295"/>
      <c r="AG381" s="296"/>
      <c r="AH381" s="296"/>
      <c r="AI381" s="296"/>
      <c r="AJ381" s="325"/>
      <c r="AK381" s="325"/>
      <c r="AL381" s="325"/>
      <c r="AM381" s="325"/>
    </row>
    <row r="382" spans="1:39" x14ac:dyDescent="0.25">
      <c r="A382" s="232">
        <f t="shared" si="167"/>
        <v>382</v>
      </c>
      <c r="B382" s="232"/>
      <c r="C382" s="307" t="str">
        <f t="shared" si="182"/>
        <v>15.1</v>
      </c>
      <c r="D382" s="308">
        <f t="shared" si="183"/>
        <v>13</v>
      </c>
      <c r="E382" s="309" t="str">
        <f t="shared" si="184"/>
        <v>15.1.13</v>
      </c>
      <c r="F382" s="310" t="s">
        <v>12189</v>
      </c>
      <c r="G382" s="311" t="str">
        <f>IF($F382="","",IFERROR(VLOOKUP($F382,SERVIÇOS!$B:$G,2,0),IFERROR(VLOOKUP($F382,'COMPOSIÇÕES COMPLEMENTARES '!$D:$L,2,0),IFERROR(VLOOKUP($F382,INSUMOS!$A:$D,2,0),""))))</f>
        <v>TERMINAL DE COMPRESSÃO #50MM²</v>
      </c>
      <c r="H382" s="312" t="str">
        <f>IF($F382="","",IFERROR(VLOOKUP($F382,SERVIÇOS!$B:$G,3,0),IFERROR(VLOOKUP($F382,'COMPOSIÇÕES COMPLEMENTARES '!$D:$L,3,0),IFERROR(VLOOKUP($F382,INSUMOS!$A:$D,3,0),""))))</f>
        <v>UN</v>
      </c>
      <c r="I382" s="313">
        <v>4</v>
      </c>
      <c r="J382" s="314">
        <f>IF($F382="","",IFERROR(VLOOKUP($F382,SERVIÇOS!$B:$G,4,0),IFERROR(VLOOKUP($F382,'COMPOSIÇÕES COMPLEMENTARES '!$D:$L,6,0),IFERROR(VLOOKUP($F382,INSUMOS!$A:$D,4,0),""))))</f>
        <v>6.63</v>
      </c>
      <c r="K382" s="314">
        <f>IF($F382="","",IFERROR(VLOOKUP($F382,SERVIÇOS!$B:$G,5,0),IFERROR(VLOOKUP($F382,'COMPOSIÇÕES COMPLEMENTARES '!$D:$L,7,0),0)))</f>
        <v>1.4</v>
      </c>
      <c r="L382" s="314">
        <f t="shared" si="185"/>
        <v>8.0299999999999994</v>
      </c>
      <c r="M382" s="314">
        <f t="shared" si="186"/>
        <v>26.52</v>
      </c>
      <c r="N382" s="314">
        <f t="shared" si="187"/>
        <v>5.6</v>
      </c>
      <c r="O382" s="314">
        <f t="shared" si="188"/>
        <v>32.119999999999997</v>
      </c>
      <c r="P382" s="314"/>
      <c r="Q382" s="315"/>
      <c r="R382" s="315"/>
      <c r="S382" s="286"/>
      <c r="T382" s="287"/>
      <c r="U382" s="288" t="str">
        <f t="shared" si="175"/>
        <v/>
      </c>
      <c r="V382" s="287"/>
      <c r="W382" s="289" t="str">
        <f t="shared" si="176"/>
        <v/>
      </c>
      <c r="X382" s="287"/>
      <c r="Y382" s="290" t="str">
        <f t="shared" si="177"/>
        <v/>
      </c>
      <c r="Z382" s="291">
        <f ca="1">SUMIF($T$8:Y$1018,"QUANT.",T382:Y382)</f>
        <v>0</v>
      </c>
      <c r="AA382" s="292">
        <f t="shared" ca="1" si="178"/>
        <v>0</v>
      </c>
      <c r="AB382" s="293" t="str">
        <f t="shared" ca="1" si="179"/>
        <v>MEDIR</v>
      </c>
      <c r="AC382" s="294">
        <f t="shared" ca="1" si="180"/>
        <v>4</v>
      </c>
      <c r="AD382" s="294">
        <f t="shared" ca="1" si="181"/>
        <v>32.119999999999997</v>
      </c>
      <c r="AE382" s="295"/>
      <c r="AF382" s="295"/>
      <c r="AG382" s="296"/>
      <c r="AH382" s="296"/>
      <c r="AI382" s="296"/>
      <c r="AJ382" s="325"/>
      <c r="AK382" s="325"/>
      <c r="AL382" s="325"/>
      <c r="AM382" s="325"/>
    </row>
    <row r="383" spans="1:39" ht="25.5" x14ac:dyDescent="0.25">
      <c r="A383" s="232">
        <f t="shared" si="167"/>
        <v>383</v>
      </c>
      <c r="B383" s="232"/>
      <c r="C383" s="307" t="str">
        <f t="shared" si="182"/>
        <v>15.1</v>
      </c>
      <c r="D383" s="308">
        <f t="shared" si="183"/>
        <v>14</v>
      </c>
      <c r="E383" s="309" t="str">
        <f t="shared" si="184"/>
        <v>15.1.14</v>
      </c>
      <c r="F383" s="310">
        <v>97669</v>
      </c>
      <c r="G383" s="311" t="str">
        <f>IF($F383="","",IFERROR(VLOOKUP($F383,SERVIÇOS!$B:$G,2,0),IFERROR(VLOOKUP($F383,'COMPOSIÇÕES COMPLEMENTARES '!$D:$L,2,0),IFERROR(VLOOKUP($F383,INSUMOS!$A:$D,2,0),""))))</f>
        <v>ELETRODUTO FLEXÍVEL CORRUGADO, PEAD, DN 90 (3"), PARA REDE ENTERRADA DE DISTRIBUIÇÃO DE ENERGIA ELÉTRICA - FORNECIMENTO E INSTALAÇÃO. AF_12/2021</v>
      </c>
      <c r="H383" s="312" t="str">
        <f>IF($F383="","",IFERROR(VLOOKUP($F383,SERVIÇOS!$B:$G,3,0),IFERROR(VLOOKUP($F383,'COMPOSIÇÕES COMPLEMENTARES '!$D:$L,3,0),IFERROR(VLOOKUP($F383,INSUMOS!$A:$D,3,0),""))))</f>
        <v>M</v>
      </c>
      <c r="I383" s="313">
        <v>111</v>
      </c>
      <c r="J383" s="314">
        <f>IF($F383="","",IFERROR(VLOOKUP($F383,SERVIÇOS!$B:$G,4,0),IFERROR(VLOOKUP($F383,'COMPOSIÇÕES COMPLEMENTARES '!$D:$L,6,0),IFERROR(VLOOKUP($F383,INSUMOS!$A:$D,4,0),""))))</f>
        <v>16.05</v>
      </c>
      <c r="K383" s="314">
        <f>IF($F383="","",IFERROR(VLOOKUP($F383,SERVIÇOS!$B:$G,5,0),IFERROR(VLOOKUP($F383,'COMPOSIÇÕES COMPLEMENTARES '!$D:$L,7,0),0)))</f>
        <v>7.46</v>
      </c>
      <c r="L383" s="314">
        <f t="shared" si="185"/>
        <v>23.51</v>
      </c>
      <c r="M383" s="314">
        <f t="shared" si="186"/>
        <v>1781.55</v>
      </c>
      <c r="N383" s="314">
        <f t="shared" si="187"/>
        <v>828.06</v>
      </c>
      <c r="O383" s="314">
        <f t="shared" si="188"/>
        <v>2609.61</v>
      </c>
      <c r="P383" s="314"/>
      <c r="Q383" s="315"/>
      <c r="R383" s="315"/>
      <c r="S383" s="286"/>
      <c r="T383" s="287"/>
      <c r="U383" s="288" t="str">
        <f t="shared" si="175"/>
        <v/>
      </c>
      <c r="V383" s="287"/>
      <c r="W383" s="289" t="str">
        <f t="shared" si="176"/>
        <v/>
      </c>
      <c r="X383" s="287"/>
      <c r="Y383" s="290" t="str">
        <f t="shared" si="177"/>
        <v/>
      </c>
      <c r="Z383" s="291">
        <f ca="1">SUMIF($T$8:Y$1018,"QUANT.",T383:Y383)</f>
        <v>0</v>
      </c>
      <c r="AA383" s="292">
        <f t="shared" ca="1" si="178"/>
        <v>0</v>
      </c>
      <c r="AB383" s="293" t="str">
        <f t="shared" ca="1" si="179"/>
        <v>MEDIR</v>
      </c>
      <c r="AC383" s="294">
        <f t="shared" ca="1" si="180"/>
        <v>111</v>
      </c>
      <c r="AD383" s="294">
        <f t="shared" ca="1" si="181"/>
        <v>2609.61</v>
      </c>
      <c r="AE383" s="295"/>
      <c r="AF383" s="295"/>
      <c r="AG383" s="296"/>
      <c r="AH383" s="296"/>
      <c r="AI383" s="296"/>
      <c r="AJ383" s="325"/>
      <c r="AK383" s="325"/>
      <c r="AL383" s="325"/>
      <c r="AM383" s="325"/>
    </row>
    <row r="384" spans="1:39" x14ac:dyDescent="0.25">
      <c r="A384" s="232">
        <f t="shared" si="167"/>
        <v>384</v>
      </c>
      <c r="B384" s="232"/>
      <c r="C384" s="307" t="str">
        <f t="shared" si="182"/>
        <v>15.1</v>
      </c>
      <c r="D384" s="308">
        <f t="shared" si="183"/>
        <v>15</v>
      </c>
      <c r="E384" s="309" t="str">
        <f t="shared" si="184"/>
        <v>15.1.15</v>
      </c>
      <c r="F384" s="310" t="s">
        <v>12190</v>
      </c>
      <c r="G384" s="311" t="str">
        <f>IF($F384="","",IFERROR(VLOOKUP($F384,SERVIÇOS!$B:$G,2,0),IFERROR(VLOOKUP($F384,'COMPOSIÇÕES COMPLEMENTARES '!$D:$L,2,0),IFERROR(VLOOKUP($F384,INSUMOS!$A:$D,2,0),""))))</f>
        <v xml:space="preserve">TAMPÃO E ARO DE FERRO FUNDIDO MEDIDO 60X60X60CM </v>
      </c>
      <c r="H384" s="312" t="str">
        <f>IF($F384="","",IFERROR(VLOOKUP($F384,SERVIÇOS!$B:$G,3,0),IFERROR(VLOOKUP($F384,'COMPOSIÇÕES COMPLEMENTARES '!$D:$L,3,0),IFERROR(VLOOKUP($F384,INSUMOS!$A:$D,3,0),""))))</f>
        <v>UN</v>
      </c>
      <c r="I384" s="313">
        <v>2</v>
      </c>
      <c r="J384" s="314">
        <f>IF($F384="","",IFERROR(VLOOKUP($F384,SERVIÇOS!$B:$G,4,0),IFERROR(VLOOKUP($F384,'COMPOSIÇÕES COMPLEMENTARES '!$D:$L,6,0),IFERROR(VLOOKUP($F384,INSUMOS!$A:$D,4,0),""))))</f>
        <v>490.83</v>
      </c>
      <c r="K384" s="314">
        <f>IF($F384="","",IFERROR(VLOOKUP($F384,SERVIÇOS!$B:$G,5,0),IFERROR(VLOOKUP($F384,'COMPOSIÇÕES COMPLEMENTARES '!$D:$L,7,0),0)))</f>
        <v>133.79</v>
      </c>
      <c r="L384" s="314">
        <f t="shared" si="185"/>
        <v>624.62</v>
      </c>
      <c r="M384" s="314">
        <f t="shared" si="186"/>
        <v>981.66</v>
      </c>
      <c r="N384" s="314">
        <f t="shared" si="187"/>
        <v>267.58</v>
      </c>
      <c r="O384" s="314">
        <f t="shared" si="188"/>
        <v>1249.24</v>
      </c>
      <c r="P384" s="314"/>
      <c r="Q384" s="315"/>
      <c r="R384" s="315"/>
      <c r="S384" s="286"/>
      <c r="T384" s="287"/>
      <c r="U384" s="288" t="str">
        <f t="shared" si="175"/>
        <v/>
      </c>
      <c r="V384" s="287"/>
      <c r="W384" s="289" t="str">
        <f t="shared" si="176"/>
        <v/>
      </c>
      <c r="X384" s="287"/>
      <c r="Y384" s="290" t="str">
        <f t="shared" si="177"/>
        <v/>
      </c>
      <c r="Z384" s="291">
        <f ca="1">SUMIF($T$8:Y$1018,"QUANT.",T384:Y384)</f>
        <v>0</v>
      </c>
      <c r="AA384" s="292">
        <f t="shared" ca="1" si="178"/>
        <v>0</v>
      </c>
      <c r="AB384" s="293" t="str">
        <f t="shared" ca="1" si="179"/>
        <v>MEDIR</v>
      </c>
      <c r="AC384" s="294">
        <f t="shared" ca="1" si="180"/>
        <v>2</v>
      </c>
      <c r="AD384" s="294">
        <f t="shared" ca="1" si="181"/>
        <v>1249.24</v>
      </c>
      <c r="AE384" s="295"/>
      <c r="AF384" s="295"/>
      <c r="AG384" s="296"/>
      <c r="AH384" s="296"/>
      <c r="AI384" s="296"/>
      <c r="AJ384" s="325"/>
      <c r="AK384" s="325"/>
      <c r="AL384" s="325"/>
      <c r="AM384" s="325"/>
    </row>
    <row r="385" spans="1:39" ht="25.5" x14ac:dyDescent="0.25">
      <c r="A385" s="232">
        <f t="shared" si="167"/>
        <v>385</v>
      </c>
      <c r="B385" s="232"/>
      <c r="C385" s="307" t="str">
        <f t="shared" si="182"/>
        <v>15.1</v>
      </c>
      <c r="D385" s="308">
        <f t="shared" si="183"/>
        <v>16</v>
      </c>
      <c r="E385" s="309" t="str">
        <f t="shared" si="184"/>
        <v>15.1.16</v>
      </c>
      <c r="F385" s="310">
        <v>97888</v>
      </c>
      <c r="G385" s="311" t="str">
        <f>IF($F385="","",IFERROR(VLOOKUP($F385,SERVIÇOS!$B:$G,2,0),IFERROR(VLOOKUP($F385,'COMPOSIÇÕES COMPLEMENTARES '!$D:$L,2,0),IFERROR(VLOOKUP($F385,INSUMOS!$A:$D,2,0),""))))</f>
        <v>CAIXA ENTERRADA ELÉTRICA RETANGULAR, EM ALVENARIA COM TIJOLOS CERÂMICOS MACIÇOS, FUNDO COM BRITA, DIMENSÕES INTERNAS: 0,6X0,6X0,6 M. AF_12/2020</v>
      </c>
      <c r="H385" s="312" t="str">
        <f>IF($F385="","",IFERROR(VLOOKUP($F385,SERVIÇOS!$B:$G,3,0),IFERROR(VLOOKUP($F385,'COMPOSIÇÕES COMPLEMENTARES '!$D:$L,3,0),IFERROR(VLOOKUP($F385,INSUMOS!$A:$D,3,0),""))))</f>
        <v>UN</v>
      </c>
      <c r="I385" s="313">
        <v>2</v>
      </c>
      <c r="J385" s="314">
        <f>IF($F385="","",IFERROR(VLOOKUP($F385,SERVIÇOS!$B:$G,4,0),IFERROR(VLOOKUP($F385,'COMPOSIÇÕES COMPLEMENTARES '!$D:$L,6,0),IFERROR(VLOOKUP($F385,INSUMOS!$A:$D,4,0),""))))</f>
        <v>291.77999999999997</v>
      </c>
      <c r="K385" s="314">
        <f>IF($F385="","",IFERROR(VLOOKUP($F385,SERVIÇOS!$B:$G,5,0),IFERROR(VLOOKUP($F385,'COMPOSIÇÕES COMPLEMENTARES '!$D:$L,7,0),0)))</f>
        <v>283.60000000000002</v>
      </c>
      <c r="L385" s="314">
        <f t="shared" si="185"/>
        <v>575.38</v>
      </c>
      <c r="M385" s="314">
        <f t="shared" si="186"/>
        <v>583.55999999999995</v>
      </c>
      <c r="N385" s="314">
        <f t="shared" si="187"/>
        <v>567.20000000000005</v>
      </c>
      <c r="O385" s="314">
        <f t="shared" si="188"/>
        <v>1150.76</v>
      </c>
      <c r="P385" s="314"/>
      <c r="Q385" s="315"/>
      <c r="R385" s="315"/>
      <c r="S385" s="286"/>
      <c r="T385" s="287"/>
      <c r="U385" s="288" t="str">
        <f t="shared" si="175"/>
        <v/>
      </c>
      <c r="V385" s="287"/>
      <c r="W385" s="289" t="str">
        <f t="shared" si="176"/>
        <v/>
      </c>
      <c r="X385" s="287"/>
      <c r="Y385" s="290" t="str">
        <f t="shared" si="177"/>
        <v/>
      </c>
      <c r="Z385" s="291">
        <f ca="1">SUMIF($T$8:Y$1018,"QUANT.",T385:Y385)</f>
        <v>0</v>
      </c>
      <c r="AA385" s="292">
        <f t="shared" ca="1" si="178"/>
        <v>0</v>
      </c>
      <c r="AB385" s="293" t="str">
        <f t="shared" ca="1" si="179"/>
        <v>MEDIR</v>
      </c>
      <c r="AC385" s="294">
        <f t="shared" ca="1" si="180"/>
        <v>2</v>
      </c>
      <c r="AD385" s="294">
        <f t="shared" ca="1" si="181"/>
        <v>1150.76</v>
      </c>
      <c r="AE385" s="295"/>
      <c r="AF385" s="295"/>
      <c r="AG385" s="296"/>
      <c r="AH385" s="296"/>
      <c r="AI385" s="296"/>
      <c r="AJ385" s="325"/>
      <c r="AK385" s="325"/>
      <c r="AL385" s="325"/>
      <c r="AM385" s="325"/>
    </row>
    <row r="386" spans="1:39" ht="38.25" x14ac:dyDescent="0.25">
      <c r="A386" s="232">
        <f t="shared" ref="A386:A449" si="189">1+A385</f>
        <v>386</v>
      </c>
      <c r="B386" s="232"/>
      <c r="C386" s="307" t="str">
        <f t="shared" si="182"/>
        <v>15.1</v>
      </c>
      <c r="D386" s="308">
        <f t="shared" si="183"/>
        <v>17</v>
      </c>
      <c r="E386" s="309" t="str">
        <f t="shared" si="184"/>
        <v>15.1.17</v>
      </c>
      <c r="F386" s="310">
        <v>102279</v>
      </c>
      <c r="G386" s="311" t="str">
        <f>IF($F386="","",IFERROR(VLOOKUP($F386,SERVIÇOS!$B:$G,2,0),IFERROR(VLOOKUP($F386,'COMPOSIÇÕES COMPLEMENTARES '!$D:$L,2,0),IFERROR(VLOOKUP($F386,INSUMOS!$A:$D,2,0),""))))</f>
        <v>ESCAVAÇÃO MECANIZADA DE VALA COM PROF. ATÉ 1,5 M (MÉDIA MONTANTE E JUSANTE/UMA COMPOSIÇÃO POR TRECHO), ESCAVADEIRA (0,8 M3),LARG. MENOR QUE 1,5 M, EM SOLO DE 1A CATEGORIA, LOCAIS COM BAIXO NÍVEL DE INTERFERÊNCIA. AF_09/2024</v>
      </c>
      <c r="H386" s="312" t="str">
        <f>IF($F386="","",IFERROR(VLOOKUP($F386,SERVIÇOS!$B:$G,3,0),IFERROR(VLOOKUP($F386,'COMPOSIÇÕES COMPLEMENTARES '!$D:$L,3,0),IFERROR(VLOOKUP($F386,INSUMOS!$A:$D,3,0),""))))</f>
        <v>M3</v>
      </c>
      <c r="I386" s="313">
        <v>22</v>
      </c>
      <c r="J386" s="314">
        <f>IF($F386="","",IFERROR(VLOOKUP($F386,SERVIÇOS!$B:$G,4,0),IFERROR(VLOOKUP($F386,'COMPOSIÇÕES COMPLEMENTARES '!$D:$L,6,0),IFERROR(VLOOKUP($F386,INSUMOS!$A:$D,4,0),""))))</f>
        <v>5.79</v>
      </c>
      <c r="K386" s="314">
        <f>IF($F386="","",IFERROR(VLOOKUP($F386,SERVIÇOS!$B:$G,5,0),IFERROR(VLOOKUP($F386,'COMPOSIÇÕES COMPLEMENTARES '!$D:$L,7,0),0)))</f>
        <v>1.76</v>
      </c>
      <c r="L386" s="314">
        <f t="shared" si="185"/>
        <v>7.55</v>
      </c>
      <c r="M386" s="314">
        <f t="shared" si="186"/>
        <v>127.38</v>
      </c>
      <c r="N386" s="314">
        <f t="shared" si="187"/>
        <v>38.72</v>
      </c>
      <c r="O386" s="314">
        <f t="shared" si="188"/>
        <v>166.1</v>
      </c>
      <c r="P386" s="314"/>
      <c r="Q386" s="315"/>
      <c r="R386" s="315"/>
      <c r="S386" s="286"/>
      <c r="T386" s="287"/>
      <c r="U386" s="288" t="str">
        <f t="shared" si="175"/>
        <v/>
      </c>
      <c r="V386" s="287"/>
      <c r="W386" s="289" t="str">
        <f t="shared" si="176"/>
        <v/>
      </c>
      <c r="X386" s="287"/>
      <c r="Y386" s="290" t="str">
        <f t="shared" si="177"/>
        <v/>
      </c>
      <c r="Z386" s="291">
        <f ca="1">SUMIF($T$8:Y$1018,"QUANT.",T386:Y386)</f>
        <v>0</v>
      </c>
      <c r="AA386" s="292">
        <f t="shared" ca="1" si="178"/>
        <v>0</v>
      </c>
      <c r="AB386" s="293" t="str">
        <f t="shared" ca="1" si="179"/>
        <v>MEDIR</v>
      </c>
      <c r="AC386" s="294">
        <f t="shared" ca="1" si="180"/>
        <v>22</v>
      </c>
      <c r="AD386" s="294">
        <f t="shared" ca="1" si="181"/>
        <v>166.1</v>
      </c>
      <c r="AE386" s="295"/>
      <c r="AF386" s="295"/>
      <c r="AG386" s="296"/>
      <c r="AH386" s="296"/>
      <c r="AI386" s="296"/>
      <c r="AJ386" s="325"/>
      <c r="AK386" s="325"/>
      <c r="AL386" s="325"/>
      <c r="AM386" s="325"/>
    </row>
    <row r="387" spans="1:39" x14ac:dyDescent="0.25">
      <c r="A387" s="232">
        <f t="shared" si="189"/>
        <v>387</v>
      </c>
      <c r="B387" s="232"/>
      <c r="C387" s="307" t="str">
        <f t="shared" si="182"/>
        <v>15.1</v>
      </c>
      <c r="D387" s="308">
        <f t="shared" si="183"/>
        <v>18</v>
      </c>
      <c r="E387" s="309" t="str">
        <f t="shared" si="184"/>
        <v>15.1.18</v>
      </c>
      <c r="F387" s="310" t="s">
        <v>12191</v>
      </c>
      <c r="G387" s="311" t="str">
        <f>IF($F387="","",IFERROR(VLOOKUP($F387,SERVIÇOS!$B:$G,2,0),IFERROR(VLOOKUP($F387,'COMPOSIÇÕES COMPLEMENTARES '!$D:$L,2,0),IFERROR(VLOOKUP($F387,INSUMOS!$A:$D,2,0),""))))</f>
        <v>ENVELOPAMENTO DE CONCRETO NO BANCO DE DUTOS</v>
      </c>
      <c r="H387" s="312" t="str">
        <f>IF($F387="","",IFERROR(VLOOKUP($F387,SERVIÇOS!$B:$G,3,0),IFERROR(VLOOKUP($F387,'COMPOSIÇÕES COMPLEMENTARES '!$D:$L,3,0),IFERROR(VLOOKUP($F387,INSUMOS!$A:$D,3,0),""))))</f>
        <v>M3</v>
      </c>
      <c r="I387" s="313">
        <v>2</v>
      </c>
      <c r="J387" s="314">
        <f>IF($F387="","",IFERROR(VLOOKUP($F387,SERVIÇOS!$B:$G,4,0),IFERROR(VLOOKUP($F387,'COMPOSIÇÕES COMPLEMENTARES '!$D:$L,6,0),IFERROR(VLOOKUP($F387,INSUMOS!$A:$D,4,0),""))))</f>
        <v>353.89</v>
      </c>
      <c r="K387" s="314">
        <f>IF($F387="","",IFERROR(VLOOKUP($F387,SERVIÇOS!$B:$G,5,0),IFERROR(VLOOKUP($F387,'COMPOSIÇÕES COMPLEMENTARES '!$D:$L,7,0),0)))</f>
        <v>82.48</v>
      </c>
      <c r="L387" s="314">
        <f t="shared" si="185"/>
        <v>436.37</v>
      </c>
      <c r="M387" s="314">
        <f t="shared" si="186"/>
        <v>707.78</v>
      </c>
      <c r="N387" s="314">
        <f t="shared" si="187"/>
        <v>164.96</v>
      </c>
      <c r="O387" s="314">
        <f t="shared" si="188"/>
        <v>872.74</v>
      </c>
      <c r="P387" s="314"/>
      <c r="Q387" s="315"/>
      <c r="R387" s="315"/>
      <c r="S387" s="286"/>
      <c r="T387" s="287"/>
      <c r="U387" s="288" t="str">
        <f t="shared" si="175"/>
        <v/>
      </c>
      <c r="V387" s="287"/>
      <c r="W387" s="289" t="str">
        <f t="shared" si="176"/>
        <v/>
      </c>
      <c r="X387" s="287"/>
      <c r="Y387" s="290" t="str">
        <f t="shared" si="177"/>
        <v/>
      </c>
      <c r="Z387" s="291">
        <f ca="1">SUMIF($T$8:Y$1018,"QUANT.",T387:Y387)</f>
        <v>0</v>
      </c>
      <c r="AA387" s="292">
        <f t="shared" ca="1" si="178"/>
        <v>0</v>
      </c>
      <c r="AB387" s="293" t="str">
        <f t="shared" ca="1" si="179"/>
        <v>MEDIR</v>
      </c>
      <c r="AC387" s="294">
        <f t="shared" ca="1" si="180"/>
        <v>2</v>
      </c>
      <c r="AD387" s="294">
        <f t="shared" ca="1" si="181"/>
        <v>872.74</v>
      </c>
      <c r="AE387" s="295"/>
      <c r="AF387" s="295"/>
      <c r="AG387" s="296"/>
      <c r="AH387" s="296"/>
      <c r="AI387" s="296"/>
      <c r="AJ387" s="325"/>
      <c r="AK387" s="325"/>
      <c r="AL387" s="325"/>
      <c r="AM387" s="325"/>
    </row>
    <row r="388" spans="1:39" x14ac:dyDescent="0.25">
      <c r="A388" s="232">
        <f t="shared" si="189"/>
        <v>388</v>
      </c>
      <c r="B388" s="232"/>
      <c r="C388" s="316" t="str">
        <f>+E388</f>
        <v>15.2</v>
      </c>
      <c r="D388" s="297"/>
      <c r="E388" s="317" t="s">
        <v>12192</v>
      </c>
      <c r="F388" s="317"/>
      <c r="G388" s="318" t="s">
        <v>12193</v>
      </c>
      <c r="H388" s="317"/>
      <c r="I388" s="319"/>
      <c r="J388" s="317"/>
      <c r="K388" s="317"/>
      <c r="L388" s="317"/>
      <c r="M388" s="317"/>
      <c r="N388" s="317"/>
      <c r="O388" s="317"/>
      <c r="P388" s="317"/>
      <c r="Q388" s="320"/>
      <c r="R388" s="306"/>
      <c r="S388" s="286"/>
      <c r="T388" s="287"/>
      <c r="U388" s="288" t="str">
        <f t="shared" si="175"/>
        <v/>
      </c>
      <c r="V388" s="287"/>
      <c r="W388" s="289" t="str">
        <f t="shared" si="176"/>
        <v/>
      </c>
      <c r="X388" s="287"/>
      <c r="Y388" s="290" t="str">
        <f t="shared" si="177"/>
        <v/>
      </c>
      <c r="Z388" s="291">
        <f ca="1">SUMIF($T$8:Y$1018,"QUANT.",T388:Y388)</f>
        <v>0</v>
      </c>
      <c r="AA388" s="292">
        <f t="shared" ca="1" si="178"/>
        <v>0</v>
      </c>
      <c r="AB388" s="293" t="str">
        <f t="shared" si="179"/>
        <v/>
      </c>
      <c r="AC388" s="294">
        <f t="shared" ca="1" si="180"/>
        <v>0</v>
      </c>
      <c r="AD388" s="294">
        <f t="shared" ca="1" si="181"/>
        <v>0</v>
      </c>
      <c r="AE388" s="295"/>
      <c r="AF388" s="295"/>
      <c r="AG388" s="296"/>
      <c r="AH388" s="296"/>
      <c r="AI388" s="296"/>
      <c r="AJ388" s="325"/>
      <c r="AK388" s="325"/>
      <c r="AL388" s="325"/>
      <c r="AM388" s="325"/>
    </row>
    <row r="389" spans="1:39" ht="25.5" x14ac:dyDescent="0.25">
      <c r="A389" s="232">
        <f t="shared" si="189"/>
        <v>389</v>
      </c>
      <c r="B389" s="232"/>
      <c r="C389" s="307" t="str">
        <f t="shared" ref="C389:C395" si="190">+C388</f>
        <v>15.2</v>
      </c>
      <c r="D389" s="308">
        <f t="shared" ref="D389:D395" si="191">1+D388</f>
        <v>1</v>
      </c>
      <c r="E389" s="309" t="str">
        <f t="shared" ref="E389:E395" si="192">C389&amp;"."&amp;D389</f>
        <v>15.2.1</v>
      </c>
      <c r="F389" s="310">
        <v>97669</v>
      </c>
      <c r="G389" s="311" t="str">
        <f>IF($F389="","",IFERROR(VLOOKUP($F389,SERVIÇOS!$B:$G,2,0),IFERROR(VLOOKUP($F389,'COMPOSIÇÕES COMPLEMENTARES '!$D:$L,2,0),IFERROR(VLOOKUP($F389,INSUMOS!$A:$D,2,0),""))))</f>
        <v>ELETRODUTO FLEXÍVEL CORRUGADO, PEAD, DN 90 (3"), PARA REDE ENTERRADA DE DISTRIBUIÇÃO DE ENERGIA ELÉTRICA - FORNECIMENTO E INSTALAÇÃO. AF_12/2021</v>
      </c>
      <c r="H389" s="312" t="str">
        <f>IF($F389="","",IFERROR(VLOOKUP($F389,SERVIÇOS!$B:$G,3,0),IFERROR(VLOOKUP($F389,'COMPOSIÇÕES COMPLEMENTARES '!$D:$L,3,0),IFERROR(VLOOKUP($F389,INSUMOS!$A:$D,3,0),""))))</f>
        <v>M</v>
      </c>
      <c r="I389" s="313">
        <v>27</v>
      </c>
      <c r="J389" s="314">
        <f>IF($F389="","",IFERROR(VLOOKUP($F389,SERVIÇOS!$B:$G,4,0),IFERROR(VLOOKUP($F389,'COMPOSIÇÕES COMPLEMENTARES '!$D:$L,6,0),IFERROR(VLOOKUP($F389,INSUMOS!$A:$D,4,0),""))))</f>
        <v>16.05</v>
      </c>
      <c r="K389" s="314">
        <f>IF($F389="","",IFERROR(VLOOKUP($F389,SERVIÇOS!$B:$G,5,0),IFERROR(VLOOKUP($F389,'COMPOSIÇÕES COMPLEMENTARES '!$D:$L,7,0),0)))</f>
        <v>7.46</v>
      </c>
      <c r="L389" s="314">
        <f t="shared" ref="L389:L395" si="193">IF(I389="","",J389+K389)</f>
        <v>23.51</v>
      </c>
      <c r="M389" s="314">
        <f t="shared" ref="M389:M395" si="194">IF(I389="","",TRUNC((I389*J389),2))</f>
        <v>433.35</v>
      </c>
      <c r="N389" s="314">
        <f t="shared" ref="N389:N395" si="195">IF(I389="","",TRUNC((I389*K389),2))</f>
        <v>201.42</v>
      </c>
      <c r="O389" s="314">
        <f t="shared" ref="O389:O395" si="196">IF(I389="","",TRUNC((M389+N389),2))</f>
        <v>634.77</v>
      </c>
      <c r="P389" s="314"/>
      <c r="Q389" s="315"/>
      <c r="R389" s="315"/>
      <c r="S389" s="286"/>
      <c r="T389" s="287"/>
      <c r="U389" s="288" t="str">
        <f t="shared" si="175"/>
        <v/>
      </c>
      <c r="V389" s="287"/>
      <c r="W389" s="289" t="str">
        <f t="shared" si="176"/>
        <v/>
      </c>
      <c r="X389" s="287"/>
      <c r="Y389" s="290" t="str">
        <f t="shared" si="177"/>
        <v/>
      </c>
      <c r="Z389" s="291">
        <f ca="1">SUMIF($T$8:Y$1018,"QUANT.",T389:Y389)</f>
        <v>0</v>
      </c>
      <c r="AA389" s="292">
        <f t="shared" ca="1" si="178"/>
        <v>0</v>
      </c>
      <c r="AB389" s="293" t="str">
        <f t="shared" ca="1" si="179"/>
        <v>MEDIR</v>
      </c>
      <c r="AC389" s="294">
        <f t="shared" ca="1" si="180"/>
        <v>27</v>
      </c>
      <c r="AD389" s="294">
        <f t="shared" ca="1" si="181"/>
        <v>634.77</v>
      </c>
      <c r="AE389" s="295"/>
      <c r="AF389" s="295"/>
      <c r="AG389" s="296"/>
      <c r="AH389" s="296"/>
      <c r="AI389" s="296"/>
      <c r="AJ389" s="325"/>
      <c r="AK389" s="325"/>
      <c r="AL389" s="325"/>
      <c r="AM389" s="325"/>
    </row>
    <row r="390" spans="1:39" x14ac:dyDescent="0.25">
      <c r="A390" s="232">
        <f t="shared" si="189"/>
        <v>390</v>
      </c>
      <c r="B390" s="232"/>
      <c r="C390" s="307" t="str">
        <f t="shared" si="190"/>
        <v>15.2</v>
      </c>
      <c r="D390" s="308">
        <f t="shared" si="191"/>
        <v>2</v>
      </c>
      <c r="E390" s="309" t="str">
        <f t="shared" si="192"/>
        <v>15.2.2</v>
      </c>
      <c r="F390" s="310" t="s">
        <v>12194</v>
      </c>
      <c r="G390" s="311" t="str">
        <f>IF($F390="","",IFERROR(VLOOKUP($F390,SERVIÇOS!$B:$G,2,0),IFERROR(VLOOKUP($F390,'COMPOSIÇÕES COMPLEMENTARES '!$D:$L,2,0),IFERROR(VLOOKUP($F390,INSUMOS!$A:$D,2,0),""))))</f>
        <v xml:space="preserve">TAMPÃO E ARO DE FERRO FUNDIDO MEDIDO 80X80X80CM </v>
      </c>
      <c r="H390" s="312" t="str">
        <f>IF($F390="","",IFERROR(VLOOKUP($F390,SERVIÇOS!$B:$G,3,0),IFERROR(VLOOKUP($F390,'COMPOSIÇÕES COMPLEMENTARES '!$D:$L,3,0),IFERROR(VLOOKUP($F390,INSUMOS!$A:$D,3,0),""))))</f>
        <v>UN</v>
      </c>
      <c r="I390" s="313">
        <v>1</v>
      </c>
      <c r="J390" s="314">
        <f>IF($F390="","",IFERROR(VLOOKUP($F390,SERVIÇOS!$B:$G,4,0),IFERROR(VLOOKUP($F390,'COMPOSIÇÕES COMPLEMENTARES '!$D:$L,6,0),IFERROR(VLOOKUP($F390,INSUMOS!$A:$D,4,0),""))))</f>
        <v>828.64</v>
      </c>
      <c r="K390" s="314">
        <f>IF($F390="","",IFERROR(VLOOKUP($F390,SERVIÇOS!$B:$G,5,0),IFERROR(VLOOKUP($F390,'COMPOSIÇÕES COMPLEMENTARES '!$D:$L,7,0),0)))</f>
        <v>133.79</v>
      </c>
      <c r="L390" s="314">
        <f t="shared" si="193"/>
        <v>962.43</v>
      </c>
      <c r="M390" s="314">
        <f t="shared" si="194"/>
        <v>828.64</v>
      </c>
      <c r="N390" s="314">
        <f t="shared" si="195"/>
        <v>133.79</v>
      </c>
      <c r="O390" s="314">
        <f t="shared" si="196"/>
        <v>962.43</v>
      </c>
      <c r="P390" s="314"/>
      <c r="Q390" s="315"/>
      <c r="R390" s="315"/>
      <c r="S390" s="286"/>
      <c r="T390" s="287"/>
      <c r="U390" s="288" t="str">
        <f t="shared" si="175"/>
        <v/>
      </c>
      <c r="V390" s="287"/>
      <c r="W390" s="289" t="str">
        <f t="shared" si="176"/>
        <v/>
      </c>
      <c r="X390" s="287"/>
      <c r="Y390" s="290" t="str">
        <f t="shared" si="177"/>
        <v/>
      </c>
      <c r="Z390" s="291">
        <f ca="1">SUMIF($T$8:Y$1018,"QUANT.",T390:Y390)</f>
        <v>0</v>
      </c>
      <c r="AA390" s="292">
        <f t="shared" ca="1" si="178"/>
        <v>0</v>
      </c>
      <c r="AB390" s="293" t="str">
        <f t="shared" ca="1" si="179"/>
        <v>MEDIR</v>
      </c>
      <c r="AC390" s="294">
        <f t="shared" ca="1" si="180"/>
        <v>1</v>
      </c>
      <c r="AD390" s="294">
        <f t="shared" ca="1" si="181"/>
        <v>962.43</v>
      </c>
      <c r="AE390" s="295"/>
      <c r="AF390" s="295"/>
      <c r="AG390" s="296"/>
      <c r="AH390" s="296"/>
      <c r="AI390" s="296"/>
      <c r="AJ390" s="325"/>
      <c r="AK390" s="325"/>
      <c r="AL390" s="325"/>
      <c r="AM390" s="325"/>
    </row>
    <row r="391" spans="1:39" ht="25.5" x14ac:dyDescent="0.25">
      <c r="A391" s="232">
        <f t="shared" si="189"/>
        <v>391</v>
      </c>
      <c r="B391" s="232"/>
      <c r="C391" s="307" t="str">
        <f t="shared" si="190"/>
        <v>15.2</v>
      </c>
      <c r="D391" s="308">
        <f t="shared" si="191"/>
        <v>3</v>
      </c>
      <c r="E391" s="309" t="str">
        <f t="shared" si="192"/>
        <v>15.2.3</v>
      </c>
      <c r="F391" s="310">
        <v>97889</v>
      </c>
      <c r="G391" s="311" t="str">
        <f>IF($F391="","",IFERROR(VLOOKUP($F391,SERVIÇOS!$B:$G,2,0),IFERROR(VLOOKUP($F391,'COMPOSIÇÕES COMPLEMENTARES '!$D:$L,2,0),IFERROR(VLOOKUP($F391,INSUMOS!$A:$D,2,0),""))))</f>
        <v>CAIXA ENTERRADA ELÉTRICA RETANGULAR, EM ALVENARIA COM TIJOLOS CERÂMICOS MACIÇOS, FUNDO COM BRITA, DIMENSÕES INTERNAS: 0,8X0,8X0,6 M. AF_12/2020</v>
      </c>
      <c r="H391" s="312" t="str">
        <f>IF($F391="","",IFERROR(VLOOKUP($F391,SERVIÇOS!$B:$G,3,0),IFERROR(VLOOKUP($F391,'COMPOSIÇÕES COMPLEMENTARES '!$D:$L,3,0),IFERROR(VLOOKUP($F391,INSUMOS!$A:$D,3,0),""))))</f>
        <v>UN</v>
      </c>
      <c r="I391" s="313">
        <v>1</v>
      </c>
      <c r="J391" s="314">
        <f>IF($F391="","",IFERROR(VLOOKUP($F391,SERVIÇOS!$B:$G,4,0),IFERROR(VLOOKUP($F391,'COMPOSIÇÕES COMPLEMENTARES '!$D:$L,6,0),IFERROR(VLOOKUP($F391,INSUMOS!$A:$D,4,0),""))))</f>
        <v>394.65</v>
      </c>
      <c r="K391" s="314">
        <f>IF($F391="","",IFERROR(VLOOKUP($F391,SERVIÇOS!$B:$G,5,0),IFERROR(VLOOKUP($F391,'COMPOSIÇÕES COMPLEMENTARES '!$D:$L,7,0),0)))</f>
        <v>385.74</v>
      </c>
      <c r="L391" s="314">
        <f t="shared" si="193"/>
        <v>780.39</v>
      </c>
      <c r="M391" s="314">
        <f t="shared" si="194"/>
        <v>394.65</v>
      </c>
      <c r="N391" s="314">
        <f t="shared" si="195"/>
        <v>385.74</v>
      </c>
      <c r="O391" s="314">
        <f t="shared" si="196"/>
        <v>780.39</v>
      </c>
      <c r="P391" s="314"/>
      <c r="Q391" s="315"/>
      <c r="R391" s="315"/>
      <c r="S391" s="286"/>
      <c r="T391" s="287"/>
      <c r="U391" s="288" t="str">
        <f t="shared" si="175"/>
        <v/>
      </c>
      <c r="V391" s="287"/>
      <c r="W391" s="289" t="str">
        <f t="shared" si="176"/>
        <v/>
      </c>
      <c r="X391" s="287"/>
      <c r="Y391" s="290" t="str">
        <f t="shared" si="177"/>
        <v/>
      </c>
      <c r="Z391" s="291">
        <f ca="1">SUMIF($T$8:Y$1018,"QUANT.",T391:Y391)</f>
        <v>0</v>
      </c>
      <c r="AA391" s="292">
        <f t="shared" ca="1" si="178"/>
        <v>0</v>
      </c>
      <c r="AB391" s="293" t="str">
        <f t="shared" ca="1" si="179"/>
        <v>MEDIR</v>
      </c>
      <c r="AC391" s="294">
        <f t="shared" ca="1" si="180"/>
        <v>1</v>
      </c>
      <c r="AD391" s="294">
        <f t="shared" ca="1" si="181"/>
        <v>780.39</v>
      </c>
      <c r="AE391" s="295"/>
      <c r="AF391" s="295"/>
      <c r="AG391" s="296"/>
      <c r="AH391" s="296"/>
      <c r="AI391" s="296"/>
      <c r="AJ391" s="325"/>
      <c r="AK391" s="325"/>
      <c r="AL391" s="325"/>
      <c r="AM391" s="325"/>
    </row>
    <row r="392" spans="1:39" x14ac:dyDescent="0.25">
      <c r="A392" s="232">
        <f t="shared" si="189"/>
        <v>392</v>
      </c>
      <c r="B392" s="232"/>
      <c r="C392" s="307" t="str">
        <f t="shared" si="190"/>
        <v>15.2</v>
      </c>
      <c r="D392" s="308">
        <f t="shared" si="191"/>
        <v>4</v>
      </c>
      <c r="E392" s="309" t="str">
        <f t="shared" si="192"/>
        <v>15.2.4</v>
      </c>
      <c r="F392" s="310" t="s">
        <v>12190</v>
      </c>
      <c r="G392" s="311" t="str">
        <f>IF($F392="","",IFERROR(VLOOKUP($F392,SERVIÇOS!$B:$G,2,0),IFERROR(VLOOKUP($F392,'COMPOSIÇÕES COMPLEMENTARES '!$D:$L,2,0),IFERROR(VLOOKUP($F392,INSUMOS!$A:$D,2,0),""))))</f>
        <v xml:space="preserve">TAMPÃO E ARO DE FERRO FUNDIDO MEDIDO 60X60X60CM </v>
      </c>
      <c r="H392" s="312" t="str">
        <f>IF($F392="","",IFERROR(VLOOKUP($F392,SERVIÇOS!$B:$G,3,0),IFERROR(VLOOKUP($F392,'COMPOSIÇÕES COMPLEMENTARES '!$D:$L,3,0),IFERROR(VLOOKUP($F392,INSUMOS!$A:$D,3,0),""))))</f>
        <v>UN</v>
      </c>
      <c r="I392" s="313">
        <v>1</v>
      </c>
      <c r="J392" s="314">
        <f>IF($F392="","",IFERROR(VLOOKUP($F392,SERVIÇOS!$B:$G,4,0),IFERROR(VLOOKUP($F392,'COMPOSIÇÕES COMPLEMENTARES '!$D:$L,6,0),IFERROR(VLOOKUP($F392,INSUMOS!$A:$D,4,0),""))))</f>
        <v>490.83</v>
      </c>
      <c r="K392" s="314">
        <f>IF($F392="","",IFERROR(VLOOKUP($F392,SERVIÇOS!$B:$G,5,0),IFERROR(VLOOKUP($F392,'COMPOSIÇÕES COMPLEMENTARES '!$D:$L,7,0),0)))</f>
        <v>133.79</v>
      </c>
      <c r="L392" s="314">
        <f t="shared" si="193"/>
        <v>624.62</v>
      </c>
      <c r="M392" s="314">
        <f t="shared" si="194"/>
        <v>490.83</v>
      </c>
      <c r="N392" s="314">
        <f t="shared" si="195"/>
        <v>133.79</v>
      </c>
      <c r="O392" s="314">
        <f t="shared" si="196"/>
        <v>624.62</v>
      </c>
      <c r="P392" s="314"/>
      <c r="Q392" s="315"/>
      <c r="R392" s="315"/>
      <c r="S392" s="286"/>
      <c r="T392" s="287"/>
      <c r="U392" s="288" t="str">
        <f t="shared" si="175"/>
        <v/>
      </c>
      <c r="V392" s="287"/>
      <c r="W392" s="289" t="str">
        <f t="shared" si="176"/>
        <v/>
      </c>
      <c r="X392" s="287"/>
      <c r="Y392" s="290" t="str">
        <f t="shared" si="177"/>
        <v/>
      </c>
      <c r="Z392" s="291">
        <f ca="1">SUMIF($T$8:Y$1018,"QUANT.",T392:Y392)</f>
        <v>0</v>
      </c>
      <c r="AA392" s="292">
        <f t="shared" ca="1" si="178"/>
        <v>0</v>
      </c>
      <c r="AB392" s="293" t="str">
        <f t="shared" ca="1" si="179"/>
        <v>MEDIR</v>
      </c>
      <c r="AC392" s="294">
        <f t="shared" ca="1" si="180"/>
        <v>1</v>
      </c>
      <c r="AD392" s="294">
        <f t="shared" ca="1" si="181"/>
        <v>624.62</v>
      </c>
      <c r="AE392" s="295"/>
      <c r="AF392" s="295"/>
      <c r="AG392" s="296"/>
      <c r="AH392" s="296"/>
      <c r="AI392" s="296"/>
      <c r="AJ392" s="325"/>
      <c r="AK392" s="325"/>
      <c r="AL392" s="325"/>
      <c r="AM392" s="325"/>
    </row>
    <row r="393" spans="1:39" ht="25.5" x14ac:dyDescent="0.25">
      <c r="A393" s="232">
        <f t="shared" si="189"/>
        <v>393</v>
      </c>
      <c r="B393" s="232"/>
      <c r="C393" s="307" t="str">
        <f t="shared" si="190"/>
        <v>15.2</v>
      </c>
      <c r="D393" s="308">
        <f t="shared" si="191"/>
        <v>5</v>
      </c>
      <c r="E393" s="309" t="str">
        <f t="shared" si="192"/>
        <v>15.2.5</v>
      </c>
      <c r="F393" s="310">
        <v>97889</v>
      </c>
      <c r="G393" s="311" t="str">
        <f>IF($F393="","",IFERROR(VLOOKUP($F393,SERVIÇOS!$B:$G,2,0),IFERROR(VLOOKUP($F393,'COMPOSIÇÕES COMPLEMENTARES '!$D:$L,2,0),IFERROR(VLOOKUP($F393,INSUMOS!$A:$D,2,0),""))))</f>
        <v>CAIXA ENTERRADA ELÉTRICA RETANGULAR, EM ALVENARIA COM TIJOLOS CERÂMICOS MACIÇOS, FUNDO COM BRITA, DIMENSÕES INTERNAS: 0,8X0,8X0,6 M. AF_12/2020</v>
      </c>
      <c r="H393" s="312" t="str">
        <f>IF($F393="","",IFERROR(VLOOKUP($F393,SERVIÇOS!$B:$G,3,0),IFERROR(VLOOKUP($F393,'COMPOSIÇÕES COMPLEMENTARES '!$D:$L,3,0),IFERROR(VLOOKUP($F393,INSUMOS!$A:$D,3,0),""))))</f>
        <v>UN</v>
      </c>
      <c r="I393" s="313">
        <v>1</v>
      </c>
      <c r="J393" s="314">
        <f>IF($F393="","",IFERROR(VLOOKUP($F393,SERVIÇOS!$B:$G,4,0),IFERROR(VLOOKUP($F393,'COMPOSIÇÕES COMPLEMENTARES '!$D:$L,6,0),IFERROR(VLOOKUP($F393,INSUMOS!$A:$D,4,0),""))))</f>
        <v>394.65</v>
      </c>
      <c r="K393" s="314">
        <f>IF($F393="","",IFERROR(VLOOKUP($F393,SERVIÇOS!$B:$G,5,0),IFERROR(VLOOKUP($F393,'COMPOSIÇÕES COMPLEMENTARES '!$D:$L,7,0),0)))</f>
        <v>385.74</v>
      </c>
      <c r="L393" s="314">
        <f t="shared" si="193"/>
        <v>780.39</v>
      </c>
      <c r="M393" s="314">
        <f t="shared" si="194"/>
        <v>394.65</v>
      </c>
      <c r="N393" s="314">
        <f t="shared" si="195"/>
        <v>385.74</v>
      </c>
      <c r="O393" s="314">
        <f t="shared" si="196"/>
        <v>780.39</v>
      </c>
      <c r="P393" s="314"/>
      <c r="Q393" s="315"/>
      <c r="R393" s="315"/>
      <c r="S393" s="286"/>
      <c r="T393" s="287"/>
      <c r="U393" s="288" t="str">
        <f t="shared" si="175"/>
        <v/>
      </c>
      <c r="V393" s="287"/>
      <c r="W393" s="289" t="str">
        <f t="shared" si="176"/>
        <v/>
      </c>
      <c r="X393" s="287"/>
      <c r="Y393" s="290" t="str">
        <f t="shared" si="177"/>
        <v/>
      </c>
      <c r="Z393" s="291">
        <f ca="1">SUMIF($T$8:Y$1018,"QUANT.",T393:Y393)</f>
        <v>0</v>
      </c>
      <c r="AA393" s="292">
        <f t="shared" ca="1" si="178"/>
        <v>0</v>
      </c>
      <c r="AB393" s="293" t="str">
        <f t="shared" ca="1" si="179"/>
        <v>MEDIR</v>
      </c>
      <c r="AC393" s="294">
        <f t="shared" ca="1" si="180"/>
        <v>1</v>
      </c>
      <c r="AD393" s="294">
        <f t="shared" ca="1" si="181"/>
        <v>780.39</v>
      </c>
      <c r="AE393" s="295"/>
      <c r="AF393" s="295"/>
      <c r="AG393" s="296"/>
      <c r="AH393" s="296"/>
      <c r="AI393" s="296"/>
      <c r="AJ393" s="325"/>
      <c r="AK393" s="325"/>
      <c r="AL393" s="325"/>
      <c r="AM393" s="325"/>
    </row>
    <row r="394" spans="1:39" ht="38.25" x14ac:dyDescent="0.25">
      <c r="A394" s="232">
        <f t="shared" si="189"/>
        <v>394</v>
      </c>
      <c r="B394" s="232"/>
      <c r="C394" s="307" t="str">
        <f t="shared" si="190"/>
        <v>15.2</v>
      </c>
      <c r="D394" s="308">
        <f t="shared" si="191"/>
        <v>6</v>
      </c>
      <c r="E394" s="309" t="str">
        <f t="shared" si="192"/>
        <v>15.2.6</v>
      </c>
      <c r="F394" s="310">
        <v>102279</v>
      </c>
      <c r="G394" s="311" t="str">
        <f>IF($F394="","",IFERROR(VLOOKUP($F394,SERVIÇOS!$B:$G,2,0),IFERROR(VLOOKUP($F394,'COMPOSIÇÕES COMPLEMENTARES '!$D:$L,2,0),IFERROR(VLOOKUP($F394,INSUMOS!$A:$D,2,0),""))))</f>
        <v>ESCAVAÇÃO MECANIZADA DE VALA COM PROF. ATÉ 1,5 M (MÉDIA MONTANTE E JUSANTE/UMA COMPOSIÇÃO POR TRECHO), ESCAVADEIRA (0,8 M3),LARG. MENOR QUE 1,5 M, EM SOLO DE 1A CATEGORIA, LOCAIS COM BAIXO NÍVEL DE INTERFERÊNCIA. AF_09/2024</v>
      </c>
      <c r="H394" s="312" t="str">
        <f>IF($F394="","",IFERROR(VLOOKUP($F394,SERVIÇOS!$B:$G,3,0),IFERROR(VLOOKUP($F394,'COMPOSIÇÕES COMPLEMENTARES '!$D:$L,3,0),IFERROR(VLOOKUP($F394,INSUMOS!$A:$D,3,0),""))))</f>
        <v>M3</v>
      </c>
      <c r="I394" s="313">
        <v>22</v>
      </c>
      <c r="J394" s="314">
        <f>IF($F394="","",IFERROR(VLOOKUP($F394,SERVIÇOS!$B:$G,4,0),IFERROR(VLOOKUP($F394,'COMPOSIÇÕES COMPLEMENTARES '!$D:$L,6,0),IFERROR(VLOOKUP($F394,INSUMOS!$A:$D,4,0),""))))</f>
        <v>5.79</v>
      </c>
      <c r="K394" s="314">
        <f>IF($F394="","",IFERROR(VLOOKUP($F394,SERVIÇOS!$B:$G,5,0),IFERROR(VLOOKUP($F394,'COMPOSIÇÕES COMPLEMENTARES '!$D:$L,7,0),0)))</f>
        <v>1.76</v>
      </c>
      <c r="L394" s="314">
        <f t="shared" si="193"/>
        <v>7.55</v>
      </c>
      <c r="M394" s="314">
        <f t="shared" si="194"/>
        <v>127.38</v>
      </c>
      <c r="N394" s="314">
        <f t="shared" si="195"/>
        <v>38.72</v>
      </c>
      <c r="O394" s="314">
        <f t="shared" si="196"/>
        <v>166.1</v>
      </c>
      <c r="P394" s="314"/>
      <c r="Q394" s="315"/>
      <c r="R394" s="315"/>
      <c r="S394" s="286"/>
      <c r="T394" s="287"/>
      <c r="U394" s="288" t="str">
        <f t="shared" si="175"/>
        <v/>
      </c>
      <c r="V394" s="287"/>
      <c r="W394" s="289" t="str">
        <f t="shared" si="176"/>
        <v/>
      </c>
      <c r="X394" s="287"/>
      <c r="Y394" s="290" t="str">
        <f t="shared" si="177"/>
        <v/>
      </c>
      <c r="Z394" s="291">
        <f ca="1">SUMIF($T$8:Y$1018,"QUANT.",T394:Y394)</f>
        <v>0</v>
      </c>
      <c r="AA394" s="292">
        <f t="shared" ca="1" si="178"/>
        <v>0</v>
      </c>
      <c r="AB394" s="293" t="str">
        <f t="shared" ca="1" si="179"/>
        <v>MEDIR</v>
      </c>
      <c r="AC394" s="294">
        <f t="shared" ca="1" si="180"/>
        <v>22</v>
      </c>
      <c r="AD394" s="294">
        <f t="shared" ca="1" si="181"/>
        <v>166.1</v>
      </c>
      <c r="AE394" s="295"/>
      <c r="AF394" s="295"/>
      <c r="AG394" s="296"/>
      <c r="AH394" s="296"/>
      <c r="AI394" s="296"/>
      <c r="AJ394" s="325"/>
      <c r="AK394" s="325"/>
      <c r="AL394" s="325"/>
      <c r="AM394" s="325"/>
    </row>
    <row r="395" spans="1:39" x14ac:dyDescent="0.25">
      <c r="A395" s="232">
        <f t="shared" si="189"/>
        <v>395</v>
      </c>
      <c r="B395" s="232"/>
      <c r="C395" s="307" t="str">
        <f t="shared" si="190"/>
        <v>15.2</v>
      </c>
      <c r="D395" s="308">
        <f t="shared" si="191"/>
        <v>7</v>
      </c>
      <c r="E395" s="309" t="str">
        <f t="shared" si="192"/>
        <v>15.2.7</v>
      </c>
      <c r="F395" s="310" t="s">
        <v>12191</v>
      </c>
      <c r="G395" s="311" t="str">
        <f>IF($F395="","",IFERROR(VLOOKUP($F395,SERVIÇOS!$B:$G,2,0),IFERROR(VLOOKUP($F395,'COMPOSIÇÕES COMPLEMENTARES '!$D:$L,2,0),IFERROR(VLOOKUP($F395,INSUMOS!$A:$D,2,0),""))))</f>
        <v>ENVELOPAMENTO DE CONCRETO NO BANCO DE DUTOS</v>
      </c>
      <c r="H395" s="312" t="str">
        <f>IF($F395="","",IFERROR(VLOOKUP($F395,SERVIÇOS!$B:$G,3,0),IFERROR(VLOOKUP($F395,'COMPOSIÇÕES COMPLEMENTARES '!$D:$L,3,0),IFERROR(VLOOKUP($F395,INSUMOS!$A:$D,3,0),""))))</f>
        <v>M3</v>
      </c>
      <c r="I395" s="313">
        <v>22</v>
      </c>
      <c r="J395" s="314">
        <f>IF($F395="","",IFERROR(VLOOKUP($F395,SERVIÇOS!$B:$G,4,0),IFERROR(VLOOKUP($F395,'COMPOSIÇÕES COMPLEMENTARES '!$D:$L,6,0),IFERROR(VLOOKUP($F395,INSUMOS!$A:$D,4,0),""))))</f>
        <v>353.89</v>
      </c>
      <c r="K395" s="314">
        <f>IF($F395="","",IFERROR(VLOOKUP($F395,SERVIÇOS!$B:$G,5,0),IFERROR(VLOOKUP($F395,'COMPOSIÇÕES COMPLEMENTARES '!$D:$L,7,0),0)))</f>
        <v>82.48</v>
      </c>
      <c r="L395" s="314">
        <f t="shared" si="193"/>
        <v>436.37</v>
      </c>
      <c r="M395" s="314">
        <f t="shared" si="194"/>
        <v>7785.58</v>
      </c>
      <c r="N395" s="314">
        <f t="shared" si="195"/>
        <v>1814.56</v>
      </c>
      <c r="O395" s="314">
        <f t="shared" si="196"/>
        <v>9600.14</v>
      </c>
      <c r="P395" s="314"/>
      <c r="Q395" s="315"/>
      <c r="R395" s="315"/>
      <c r="S395" s="286"/>
      <c r="T395" s="287"/>
      <c r="U395" s="288" t="str">
        <f t="shared" si="175"/>
        <v/>
      </c>
      <c r="V395" s="287"/>
      <c r="W395" s="289" t="str">
        <f t="shared" si="176"/>
        <v/>
      </c>
      <c r="X395" s="287"/>
      <c r="Y395" s="290" t="str">
        <f t="shared" si="177"/>
        <v/>
      </c>
      <c r="Z395" s="291">
        <f ca="1">SUMIF($T$8:Y$1018,"QUANT.",T395:Y395)</f>
        <v>0</v>
      </c>
      <c r="AA395" s="292">
        <f t="shared" ca="1" si="178"/>
        <v>0</v>
      </c>
      <c r="AB395" s="293" t="str">
        <f t="shared" ca="1" si="179"/>
        <v>MEDIR</v>
      </c>
      <c r="AC395" s="294">
        <f t="shared" ca="1" si="180"/>
        <v>22</v>
      </c>
      <c r="AD395" s="294">
        <f t="shared" ca="1" si="181"/>
        <v>9600.14</v>
      </c>
      <c r="AE395" s="295"/>
      <c r="AF395" s="295"/>
      <c r="AG395" s="296"/>
      <c r="AH395" s="296"/>
      <c r="AI395" s="296"/>
      <c r="AJ395" s="325"/>
      <c r="AK395" s="325"/>
      <c r="AL395" s="325"/>
      <c r="AM395" s="325"/>
    </row>
    <row r="396" spans="1:39" x14ac:dyDescent="0.25">
      <c r="A396" s="232">
        <f t="shared" si="189"/>
        <v>396</v>
      </c>
      <c r="B396" s="232"/>
      <c r="C396" s="316" t="str">
        <f>+E396</f>
        <v>15.3</v>
      </c>
      <c r="D396" s="297"/>
      <c r="E396" s="317" t="s">
        <v>12195</v>
      </c>
      <c r="F396" s="317"/>
      <c r="G396" s="318" t="s">
        <v>12196</v>
      </c>
      <c r="H396" s="317"/>
      <c r="I396" s="319"/>
      <c r="J396" s="317"/>
      <c r="K396" s="317"/>
      <c r="L396" s="317"/>
      <c r="M396" s="317"/>
      <c r="N396" s="317"/>
      <c r="O396" s="317"/>
      <c r="P396" s="317"/>
      <c r="Q396" s="320"/>
      <c r="R396" s="306"/>
      <c r="S396" s="286"/>
      <c r="T396" s="287"/>
      <c r="U396" s="288" t="str">
        <f t="shared" si="175"/>
        <v/>
      </c>
      <c r="V396" s="287"/>
      <c r="W396" s="289" t="str">
        <f t="shared" si="176"/>
        <v/>
      </c>
      <c r="X396" s="287"/>
      <c r="Y396" s="290" t="str">
        <f t="shared" si="177"/>
        <v/>
      </c>
      <c r="Z396" s="291">
        <f ca="1">SUMIF($T$8:Y$1018,"QUANT.",T396:Y396)</f>
        <v>0</v>
      </c>
      <c r="AA396" s="292">
        <f t="shared" ca="1" si="178"/>
        <v>0</v>
      </c>
      <c r="AB396" s="293" t="str">
        <f t="shared" si="179"/>
        <v/>
      </c>
      <c r="AC396" s="294">
        <f t="shared" ca="1" si="180"/>
        <v>0</v>
      </c>
      <c r="AD396" s="294">
        <f t="shared" ca="1" si="181"/>
        <v>0</v>
      </c>
      <c r="AE396" s="295"/>
      <c r="AF396" s="295"/>
      <c r="AG396" s="296"/>
      <c r="AH396" s="296"/>
      <c r="AI396" s="296"/>
      <c r="AJ396" s="325"/>
      <c r="AK396" s="325"/>
      <c r="AL396" s="325"/>
      <c r="AM396" s="325"/>
    </row>
    <row r="397" spans="1:39" ht="38.25" x14ac:dyDescent="0.25">
      <c r="A397" s="232">
        <f t="shared" si="189"/>
        <v>397</v>
      </c>
      <c r="B397" s="232"/>
      <c r="C397" s="307" t="str">
        <f t="shared" ref="C397:C413" si="197">+C396</f>
        <v>15.3</v>
      </c>
      <c r="D397" s="308">
        <f t="shared" ref="D397:D413" si="198">1+D396</f>
        <v>1</v>
      </c>
      <c r="E397" s="309" t="str">
        <f t="shared" ref="E397:E413" si="199">C397&amp;"."&amp;D397</f>
        <v>15.3.1</v>
      </c>
      <c r="F397" s="310" t="s">
        <v>12197</v>
      </c>
      <c r="G397" s="311" t="str">
        <f>IF($F397="","",IFERROR(VLOOKUP($F397,SERVIÇOS!$B:$G,2,0),IFERROR(VLOOKUP($F397,'COMPOSIÇÕES COMPLEMENTARES '!$D:$L,2,0),IFERROR(VLOOKUP($F397,INSUMOS!$A:$D,2,0),""))))</f>
        <v>QD-1 - QUADRO DE DISTRIBUIÇÃO EM CHAPA DE AÇO 16USG, PINTURA EM EPÓXI COR BEGE, COM TRINCO, BARRAMENTOS EM COBRE, ESPELHO INTERNO C/ PLAQUETAS DE IDENTIFICAÇÃO EM ACRÍLICO PARA CADA CIRCUITO E PORTA PROJETO. DEVERÁ ATENDER O SOLICITADO NO DIAGRAMA UNIFILAR EM PROJETO.</v>
      </c>
      <c r="H397" s="312" t="str">
        <f>IF($F397="","",IFERROR(VLOOKUP($F397,SERVIÇOS!$B:$G,3,0),IFERROR(VLOOKUP($F397,'COMPOSIÇÕES COMPLEMENTARES '!$D:$L,3,0),IFERROR(VLOOKUP($F397,INSUMOS!$A:$D,3,0),""))))</f>
        <v>UN</v>
      </c>
      <c r="I397" s="313">
        <v>1</v>
      </c>
      <c r="J397" s="314">
        <f>IF($F397="","",IFERROR(VLOOKUP($F397,SERVIÇOS!$B:$G,4,0),IFERROR(VLOOKUP($F397,'COMPOSIÇÕES COMPLEMENTARES '!$D:$L,6,0),IFERROR(VLOOKUP($F397,INSUMOS!$A:$D,4,0),""))))</f>
        <v>3411.58</v>
      </c>
      <c r="K397" s="314">
        <f>IF($F397="","",IFERROR(VLOOKUP($F397,SERVIÇOS!$B:$G,5,0),IFERROR(VLOOKUP($F397,'COMPOSIÇÕES COMPLEMENTARES '!$D:$L,7,0),0)))</f>
        <v>348.09</v>
      </c>
      <c r="L397" s="314">
        <f t="shared" ref="L397:L413" si="200">IF(I397="","",J397+K397)</f>
        <v>3759.67</v>
      </c>
      <c r="M397" s="314">
        <f t="shared" ref="M397:M413" si="201">IF(I397="","",TRUNC((I397*J397),2))</f>
        <v>3411.58</v>
      </c>
      <c r="N397" s="314">
        <f t="shared" ref="N397:N413" si="202">IF(I397="","",TRUNC((I397*K397),2))</f>
        <v>348.09</v>
      </c>
      <c r="O397" s="314">
        <f t="shared" ref="O397:O413" si="203">IF(I397="","",TRUNC((M397+N397),2))</f>
        <v>3759.67</v>
      </c>
      <c r="P397" s="314"/>
      <c r="Q397" s="315"/>
      <c r="R397" s="315"/>
      <c r="S397" s="286"/>
      <c r="T397" s="287"/>
      <c r="U397" s="288" t="str">
        <f t="shared" si="175"/>
        <v/>
      </c>
      <c r="V397" s="287"/>
      <c r="W397" s="289" t="str">
        <f t="shared" si="176"/>
        <v/>
      </c>
      <c r="X397" s="287"/>
      <c r="Y397" s="290" t="str">
        <f t="shared" si="177"/>
        <v/>
      </c>
      <c r="Z397" s="291">
        <f ca="1">SUMIF($T$8:Y$1018,"QUANT.",T397:Y397)</f>
        <v>0</v>
      </c>
      <c r="AA397" s="292">
        <f t="shared" ca="1" si="178"/>
        <v>0</v>
      </c>
      <c r="AB397" s="293" t="str">
        <f t="shared" ca="1" si="179"/>
        <v>MEDIR</v>
      </c>
      <c r="AC397" s="294">
        <f t="shared" ca="1" si="180"/>
        <v>1</v>
      </c>
      <c r="AD397" s="294">
        <f t="shared" ca="1" si="181"/>
        <v>3759.67</v>
      </c>
      <c r="AE397" s="295"/>
      <c r="AF397" s="295"/>
      <c r="AG397" s="296"/>
      <c r="AH397" s="296"/>
      <c r="AI397" s="296"/>
      <c r="AJ397" s="325"/>
      <c r="AK397" s="325"/>
      <c r="AL397" s="325"/>
      <c r="AM397" s="325"/>
    </row>
    <row r="398" spans="1:39" x14ac:dyDescent="0.25">
      <c r="A398" s="232">
        <f t="shared" si="189"/>
        <v>398</v>
      </c>
      <c r="B398" s="232"/>
      <c r="C398" s="307" t="str">
        <f t="shared" si="197"/>
        <v>15.3</v>
      </c>
      <c r="D398" s="308">
        <f t="shared" si="198"/>
        <v>2</v>
      </c>
      <c r="E398" s="309" t="str">
        <f t="shared" si="199"/>
        <v>15.3.2</v>
      </c>
      <c r="F398" s="310" t="s">
        <v>12182</v>
      </c>
      <c r="G398" s="311" t="str">
        <f>IF($F398="","",IFERROR(VLOOKUP($F398,SERVIÇOS!$B:$G,2,0),IFERROR(VLOOKUP($F398,'COMPOSIÇÕES COMPLEMENTARES '!$D:$L,2,0),IFERROR(VLOOKUP($F398,INSUMOS!$A:$D,2,0),""))))</f>
        <v>DISJUNTOR TERMOMAGNÉTICO TRIPOLAR 100A</v>
      </c>
      <c r="H398" s="312" t="str">
        <f>IF($F398="","",IFERROR(VLOOKUP($F398,SERVIÇOS!$B:$G,3,0),IFERROR(VLOOKUP($F398,'COMPOSIÇÕES COMPLEMENTARES '!$D:$L,3,0),IFERROR(VLOOKUP($F398,INSUMOS!$A:$D,3,0),""))))</f>
        <v>UN</v>
      </c>
      <c r="I398" s="313">
        <v>1</v>
      </c>
      <c r="J398" s="314">
        <f>IF($F398="","",IFERROR(VLOOKUP($F398,SERVIÇOS!$B:$G,4,0),IFERROR(VLOOKUP($F398,'COMPOSIÇÕES COMPLEMENTARES '!$D:$L,6,0),IFERROR(VLOOKUP($F398,INSUMOS!$A:$D,4,0),""))))</f>
        <v>154.91</v>
      </c>
      <c r="K398" s="314">
        <f>IF($F398="","",IFERROR(VLOOKUP($F398,SERVIÇOS!$B:$G,5,0),IFERROR(VLOOKUP($F398,'COMPOSIÇÕES COMPLEMENTARES '!$D:$L,7,0),0)))</f>
        <v>99.08</v>
      </c>
      <c r="L398" s="314">
        <f t="shared" si="200"/>
        <v>253.99</v>
      </c>
      <c r="M398" s="314">
        <f t="shared" si="201"/>
        <v>154.91</v>
      </c>
      <c r="N398" s="314">
        <f t="shared" si="202"/>
        <v>99.08</v>
      </c>
      <c r="O398" s="314">
        <f t="shared" si="203"/>
        <v>253.99</v>
      </c>
      <c r="P398" s="314"/>
      <c r="Q398" s="315"/>
      <c r="R398" s="315"/>
      <c r="S398" s="286"/>
      <c r="T398" s="287"/>
      <c r="U398" s="288" t="str">
        <f t="shared" si="175"/>
        <v/>
      </c>
      <c r="V398" s="287"/>
      <c r="W398" s="289" t="str">
        <f t="shared" si="176"/>
        <v/>
      </c>
      <c r="X398" s="287"/>
      <c r="Y398" s="290" t="str">
        <f t="shared" si="177"/>
        <v/>
      </c>
      <c r="Z398" s="291">
        <f ca="1">SUMIF($T$8:Y$1018,"QUANT.",T398:Y398)</f>
        <v>0</v>
      </c>
      <c r="AA398" s="292">
        <f t="shared" ca="1" si="178"/>
        <v>0</v>
      </c>
      <c r="AB398" s="293" t="str">
        <f t="shared" ca="1" si="179"/>
        <v>MEDIR</v>
      </c>
      <c r="AC398" s="294">
        <f t="shared" ca="1" si="180"/>
        <v>1</v>
      </c>
      <c r="AD398" s="294">
        <f t="shared" ca="1" si="181"/>
        <v>253.99</v>
      </c>
      <c r="AE398" s="295"/>
      <c r="AF398" s="295"/>
      <c r="AG398" s="296"/>
      <c r="AH398" s="296"/>
      <c r="AI398" s="296"/>
      <c r="AJ398" s="325"/>
      <c r="AK398" s="325"/>
      <c r="AL398" s="325"/>
      <c r="AM398" s="325"/>
    </row>
    <row r="399" spans="1:39" x14ac:dyDescent="0.25">
      <c r="A399" s="232">
        <f t="shared" si="189"/>
        <v>399</v>
      </c>
      <c r="B399" s="232"/>
      <c r="C399" s="307" t="str">
        <f t="shared" si="197"/>
        <v>15.3</v>
      </c>
      <c r="D399" s="308">
        <f t="shared" si="198"/>
        <v>3</v>
      </c>
      <c r="E399" s="309" t="str">
        <f t="shared" si="199"/>
        <v>15.3.3</v>
      </c>
      <c r="F399" s="310">
        <v>93664</v>
      </c>
      <c r="G399" s="311" t="str">
        <f>IF($F399="","",IFERROR(VLOOKUP($F399,SERVIÇOS!$B:$G,2,0),IFERROR(VLOOKUP($F399,'COMPOSIÇÕES COMPLEMENTARES '!$D:$L,2,0),IFERROR(VLOOKUP($F399,INSUMOS!$A:$D,2,0),""))))</f>
        <v>DISJUNTOR BIPOLAR TIPO DIN, CORRENTE NOMINAL DE 32A - FORNECIMENTO E INSTALAÇÃO. AF_10/2020</v>
      </c>
      <c r="H399" s="312" t="str">
        <f>IF($F399="","",IFERROR(VLOOKUP($F399,SERVIÇOS!$B:$G,3,0),IFERROR(VLOOKUP($F399,'COMPOSIÇÕES COMPLEMENTARES '!$D:$L,3,0),IFERROR(VLOOKUP($F399,INSUMOS!$A:$D,3,0),""))))</f>
        <v>UN</v>
      </c>
      <c r="I399" s="313">
        <v>9</v>
      </c>
      <c r="J399" s="314">
        <f>IF($F399="","",IFERROR(VLOOKUP($F399,SERVIÇOS!$B:$G,4,0),IFERROR(VLOOKUP($F399,'COMPOSIÇÕES COMPLEMENTARES '!$D:$L,6,0),IFERROR(VLOOKUP($F399,INSUMOS!$A:$D,4,0),""))))</f>
        <v>61.93</v>
      </c>
      <c r="K399" s="314">
        <f>IF($F399="","",IFERROR(VLOOKUP($F399,SERVIÇOS!$B:$G,5,0),IFERROR(VLOOKUP($F399,'COMPOSIÇÕES COMPLEMENTARES '!$D:$L,7,0),0)))</f>
        <v>9.01</v>
      </c>
      <c r="L399" s="314">
        <f t="shared" si="200"/>
        <v>70.94</v>
      </c>
      <c r="M399" s="314">
        <f t="shared" si="201"/>
        <v>557.37</v>
      </c>
      <c r="N399" s="314">
        <f t="shared" si="202"/>
        <v>81.09</v>
      </c>
      <c r="O399" s="314">
        <f t="shared" si="203"/>
        <v>638.46</v>
      </c>
      <c r="P399" s="314"/>
      <c r="Q399" s="315"/>
      <c r="R399" s="315"/>
      <c r="S399" s="286"/>
      <c r="T399" s="287"/>
      <c r="U399" s="288" t="str">
        <f t="shared" si="175"/>
        <v/>
      </c>
      <c r="V399" s="287"/>
      <c r="W399" s="289" t="str">
        <f t="shared" si="176"/>
        <v/>
      </c>
      <c r="X399" s="287"/>
      <c r="Y399" s="290" t="str">
        <f t="shared" si="177"/>
        <v/>
      </c>
      <c r="Z399" s="291">
        <f ca="1">SUMIF($T$8:Y$1018,"QUANT.",T399:Y399)</f>
        <v>0</v>
      </c>
      <c r="AA399" s="292">
        <f t="shared" ca="1" si="178"/>
        <v>0</v>
      </c>
      <c r="AB399" s="293" t="str">
        <f t="shared" ca="1" si="179"/>
        <v>MEDIR</v>
      </c>
      <c r="AC399" s="294">
        <f t="shared" ca="1" si="180"/>
        <v>9</v>
      </c>
      <c r="AD399" s="294">
        <f t="shared" ca="1" si="181"/>
        <v>638.46</v>
      </c>
      <c r="AE399" s="295"/>
      <c r="AF399" s="295"/>
      <c r="AG399" s="296"/>
      <c r="AH399" s="296"/>
      <c r="AI399" s="296"/>
      <c r="AJ399" s="325"/>
      <c r="AK399" s="325"/>
      <c r="AL399" s="325"/>
      <c r="AM399" s="325"/>
    </row>
    <row r="400" spans="1:39" x14ac:dyDescent="0.25">
      <c r="A400" s="232">
        <f t="shared" si="189"/>
        <v>400</v>
      </c>
      <c r="B400" s="232"/>
      <c r="C400" s="307" t="str">
        <f t="shared" si="197"/>
        <v>15.3</v>
      </c>
      <c r="D400" s="308">
        <f t="shared" si="198"/>
        <v>4</v>
      </c>
      <c r="E400" s="309" t="str">
        <f t="shared" si="199"/>
        <v>15.3.4</v>
      </c>
      <c r="F400" s="310">
        <v>93663</v>
      </c>
      <c r="G400" s="311" t="str">
        <f>IF($F400="","",IFERROR(VLOOKUP($F400,SERVIÇOS!$B:$G,2,0),IFERROR(VLOOKUP($F400,'COMPOSIÇÕES COMPLEMENTARES '!$D:$L,2,0),IFERROR(VLOOKUP($F400,INSUMOS!$A:$D,2,0),""))))</f>
        <v>DISJUNTOR BIPOLAR TIPO DIN, CORRENTE NOMINAL DE 25A - FORNECIMENTO E INSTALAÇÃO. AF_10/2020</v>
      </c>
      <c r="H400" s="312" t="str">
        <f>IF($F400="","",IFERROR(VLOOKUP($F400,SERVIÇOS!$B:$G,3,0),IFERROR(VLOOKUP($F400,'COMPOSIÇÕES COMPLEMENTARES '!$D:$L,3,0),IFERROR(VLOOKUP($F400,INSUMOS!$A:$D,3,0),""))))</f>
        <v>UN</v>
      </c>
      <c r="I400" s="313">
        <v>2</v>
      </c>
      <c r="J400" s="314">
        <f>IF($F400="","",IFERROR(VLOOKUP($F400,SERVIÇOS!$B:$G,4,0),IFERROR(VLOOKUP($F400,'COMPOSIÇÕES COMPLEMENTARES '!$D:$L,6,0),IFERROR(VLOOKUP($F400,INSUMOS!$A:$D,4,0),""))))</f>
        <v>60.44</v>
      </c>
      <c r="K400" s="314">
        <f>IF($F400="","",IFERROR(VLOOKUP($F400,SERVIÇOS!$B:$G,5,0),IFERROR(VLOOKUP($F400,'COMPOSIÇÕES COMPLEMENTARES '!$D:$L,7,0),0)))</f>
        <v>6.55</v>
      </c>
      <c r="L400" s="314">
        <f t="shared" si="200"/>
        <v>66.989999999999995</v>
      </c>
      <c r="M400" s="314">
        <f t="shared" si="201"/>
        <v>120.88</v>
      </c>
      <c r="N400" s="314">
        <f t="shared" si="202"/>
        <v>13.1</v>
      </c>
      <c r="O400" s="314">
        <f t="shared" si="203"/>
        <v>133.97999999999999</v>
      </c>
      <c r="P400" s="314"/>
      <c r="Q400" s="315"/>
      <c r="R400" s="315"/>
      <c r="S400" s="286"/>
      <c r="T400" s="287"/>
      <c r="U400" s="288" t="str">
        <f t="shared" si="175"/>
        <v/>
      </c>
      <c r="V400" s="287"/>
      <c r="W400" s="289" t="str">
        <f t="shared" si="176"/>
        <v/>
      </c>
      <c r="X400" s="287"/>
      <c r="Y400" s="290" t="str">
        <f t="shared" si="177"/>
        <v/>
      </c>
      <c r="Z400" s="291">
        <f ca="1">SUMIF($T$8:Y$1018,"QUANT.",T400:Y400)</f>
        <v>0</v>
      </c>
      <c r="AA400" s="292">
        <f t="shared" ca="1" si="178"/>
        <v>0</v>
      </c>
      <c r="AB400" s="293" t="str">
        <f t="shared" ca="1" si="179"/>
        <v>MEDIR</v>
      </c>
      <c r="AC400" s="294">
        <f t="shared" ca="1" si="180"/>
        <v>2</v>
      </c>
      <c r="AD400" s="294">
        <f t="shared" ca="1" si="181"/>
        <v>133.97999999999999</v>
      </c>
      <c r="AE400" s="295"/>
      <c r="AF400" s="295"/>
      <c r="AG400" s="296"/>
      <c r="AH400" s="296"/>
      <c r="AI400" s="296"/>
      <c r="AJ400" s="325"/>
      <c r="AK400" s="325"/>
      <c r="AL400" s="325"/>
      <c r="AM400" s="325"/>
    </row>
    <row r="401" spans="1:39" x14ac:dyDescent="0.25">
      <c r="A401" s="232">
        <f t="shared" si="189"/>
        <v>401</v>
      </c>
      <c r="B401" s="232"/>
      <c r="C401" s="307" t="str">
        <f t="shared" si="197"/>
        <v>15.3</v>
      </c>
      <c r="D401" s="308">
        <f t="shared" si="198"/>
        <v>5</v>
      </c>
      <c r="E401" s="309" t="str">
        <f t="shared" si="199"/>
        <v>15.3.5</v>
      </c>
      <c r="F401" s="310">
        <v>93662</v>
      </c>
      <c r="G401" s="311" t="str">
        <f>IF($F401="","",IFERROR(VLOOKUP($F401,SERVIÇOS!$B:$G,2,0),IFERROR(VLOOKUP($F401,'COMPOSIÇÕES COMPLEMENTARES '!$D:$L,2,0),IFERROR(VLOOKUP($F401,INSUMOS!$A:$D,2,0),""))))</f>
        <v>DISJUNTOR BIPOLAR TIPO DIN, CORRENTE NOMINAL DE 20A - FORNECIMENTO E INSTALAÇÃO. AF_10/2020</v>
      </c>
      <c r="H401" s="312" t="str">
        <f>IF($F401="","",IFERROR(VLOOKUP($F401,SERVIÇOS!$B:$G,3,0),IFERROR(VLOOKUP($F401,'COMPOSIÇÕES COMPLEMENTARES '!$D:$L,3,0),IFERROR(VLOOKUP($F401,INSUMOS!$A:$D,3,0),""))))</f>
        <v>UN</v>
      </c>
      <c r="I401" s="313">
        <v>1</v>
      </c>
      <c r="J401" s="314">
        <f>IF($F401="","",IFERROR(VLOOKUP($F401,SERVIÇOS!$B:$G,4,0),IFERROR(VLOOKUP($F401,'COMPOSIÇÕES COMPLEMENTARES '!$D:$L,6,0),IFERROR(VLOOKUP($F401,INSUMOS!$A:$D,4,0),""))))</f>
        <v>60.44</v>
      </c>
      <c r="K401" s="314">
        <f>IF($F401="","",IFERROR(VLOOKUP($F401,SERVIÇOS!$B:$G,5,0),IFERROR(VLOOKUP($F401,'COMPOSIÇÕES COMPLEMENTARES '!$D:$L,7,0),0)))</f>
        <v>6.55</v>
      </c>
      <c r="L401" s="314">
        <f t="shared" si="200"/>
        <v>66.989999999999995</v>
      </c>
      <c r="M401" s="314">
        <f t="shared" si="201"/>
        <v>60.44</v>
      </c>
      <c r="N401" s="314">
        <f t="shared" si="202"/>
        <v>6.55</v>
      </c>
      <c r="O401" s="314">
        <f t="shared" si="203"/>
        <v>66.989999999999995</v>
      </c>
      <c r="P401" s="314"/>
      <c r="Q401" s="315"/>
      <c r="R401" s="315"/>
      <c r="S401" s="286"/>
      <c r="T401" s="287"/>
      <c r="U401" s="288" t="str">
        <f t="shared" si="175"/>
        <v/>
      </c>
      <c r="V401" s="287"/>
      <c r="W401" s="289" t="str">
        <f t="shared" si="176"/>
        <v/>
      </c>
      <c r="X401" s="287"/>
      <c r="Y401" s="290" t="str">
        <f t="shared" si="177"/>
        <v/>
      </c>
      <c r="Z401" s="291">
        <f ca="1">SUMIF($T$8:Y$1018,"QUANT.",T401:Y401)</f>
        <v>0</v>
      </c>
      <c r="AA401" s="292">
        <f t="shared" ca="1" si="178"/>
        <v>0</v>
      </c>
      <c r="AB401" s="293" t="str">
        <f t="shared" ca="1" si="179"/>
        <v>MEDIR</v>
      </c>
      <c r="AC401" s="294">
        <f t="shared" ca="1" si="180"/>
        <v>1</v>
      </c>
      <c r="AD401" s="294">
        <f t="shared" ca="1" si="181"/>
        <v>66.989999999999995</v>
      </c>
      <c r="AE401" s="295"/>
      <c r="AF401" s="295"/>
      <c r="AG401" s="296"/>
      <c r="AH401" s="296"/>
      <c r="AI401" s="296"/>
      <c r="AJ401" s="325"/>
      <c r="AK401" s="325"/>
      <c r="AL401" s="325"/>
      <c r="AM401" s="325"/>
    </row>
    <row r="402" spans="1:39" x14ac:dyDescent="0.25">
      <c r="A402" s="232">
        <f t="shared" si="189"/>
        <v>402</v>
      </c>
      <c r="B402" s="232"/>
      <c r="C402" s="307" t="str">
        <f t="shared" si="197"/>
        <v>15.3</v>
      </c>
      <c r="D402" s="308">
        <f t="shared" si="198"/>
        <v>6</v>
      </c>
      <c r="E402" s="309" t="str">
        <f t="shared" si="199"/>
        <v>15.3.6</v>
      </c>
      <c r="F402" s="310">
        <v>93661</v>
      </c>
      <c r="G402" s="311" t="str">
        <f>IF($F402="","",IFERROR(VLOOKUP($F402,SERVIÇOS!$B:$G,2,0),IFERROR(VLOOKUP($F402,'COMPOSIÇÕES COMPLEMENTARES '!$D:$L,2,0),IFERROR(VLOOKUP($F402,INSUMOS!$A:$D,2,0),""))))</f>
        <v>DISJUNTOR BIPOLAR TIPO DIN, CORRENTE NOMINAL DE 16A - FORNECIMENTO E INSTALAÇÃO. AF_10/2020</v>
      </c>
      <c r="H402" s="312" t="str">
        <f>IF($F402="","",IFERROR(VLOOKUP($F402,SERVIÇOS!$B:$G,3,0),IFERROR(VLOOKUP($F402,'COMPOSIÇÕES COMPLEMENTARES '!$D:$L,3,0),IFERROR(VLOOKUP($F402,INSUMOS!$A:$D,3,0),""))))</f>
        <v>UN</v>
      </c>
      <c r="I402" s="313">
        <v>1</v>
      </c>
      <c r="J402" s="314">
        <f>IF($F402="","",IFERROR(VLOOKUP($F402,SERVIÇOS!$B:$G,4,0),IFERROR(VLOOKUP($F402,'COMPOSIÇÕES COMPLEMENTARES '!$D:$L,6,0),IFERROR(VLOOKUP($F402,INSUMOS!$A:$D,4,0),""))))</f>
        <v>59.08</v>
      </c>
      <c r="K402" s="314">
        <f>IF($F402="","",IFERROR(VLOOKUP($F402,SERVIÇOS!$B:$G,5,0),IFERROR(VLOOKUP($F402,'COMPOSIÇÕES COMPLEMENTARES '!$D:$L,7,0),0)))</f>
        <v>4.7</v>
      </c>
      <c r="L402" s="314">
        <f t="shared" si="200"/>
        <v>63.78</v>
      </c>
      <c r="M402" s="314">
        <f t="shared" si="201"/>
        <v>59.08</v>
      </c>
      <c r="N402" s="314">
        <f t="shared" si="202"/>
        <v>4.7</v>
      </c>
      <c r="O402" s="314">
        <f t="shared" si="203"/>
        <v>63.78</v>
      </c>
      <c r="P402" s="314"/>
      <c r="Q402" s="315"/>
      <c r="R402" s="315"/>
      <c r="S402" s="286"/>
      <c r="T402" s="287"/>
      <c r="U402" s="288" t="str">
        <f t="shared" si="175"/>
        <v/>
      </c>
      <c r="V402" s="287"/>
      <c r="W402" s="289" t="str">
        <f t="shared" si="176"/>
        <v/>
      </c>
      <c r="X402" s="287"/>
      <c r="Y402" s="290" t="str">
        <f t="shared" si="177"/>
        <v/>
      </c>
      <c r="Z402" s="291">
        <f ca="1">SUMIF($T$8:Y$1018,"QUANT.",T402:Y402)</f>
        <v>0</v>
      </c>
      <c r="AA402" s="292">
        <f t="shared" ca="1" si="178"/>
        <v>0</v>
      </c>
      <c r="AB402" s="293" t="str">
        <f t="shared" ca="1" si="179"/>
        <v>MEDIR</v>
      </c>
      <c r="AC402" s="294">
        <f t="shared" ca="1" si="180"/>
        <v>1</v>
      </c>
      <c r="AD402" s="294">
        <f t="shared" ca="1" si="181"/>
        <v>63.78</v>
      </c>
      <c r="AE402" s="295"/>
      <c r="AF402" s="295"/>
      <c r="AG402" s="296"/>
      <c r="AH402" s="296"/>
      <c r="AI402" s="296"/>
      <c r="AJ402" s="325"/>
      <c r="AK402" s="325"/>
      <c r="AL402" s="325"/>
      <c r="AM402" s="325"/>
    </row>
    <row r="403" spans="1:39" ht="25.5" x14ac:dyDescent="0.25">
      <c r="A403" s="232">
        <f t="shared" si="189"/>
        <v>403</v>
      </c>
      <c r="B403" s="232"/>
      <c r="C403" s="307" t="str">
        <f t="shared" si="197"/>
        <v>15.3</v>
      </c>
      <c r="D403" s="308">
        <f t="shared" si="198"/>
        <v>7</v>
      </c>
      <c r="E403" s="309" t="str">
        <f t="shared" si="199"/>
        <v>15.3.7</v>
      </c>
      <c r="F403" s="310">
        <v>93655</v>
      </c>
      <c r="G403" s="311" t="str">
        <f>IF($F403="","",IFERROR(VLOOKUP($F403,SERVIÇOS!$B:$G,2,0),IFERROR(VLOOKUP($F403,'COMPOSIÇÕES COMPLEMENTARES '!$D:$L,2,0),IFERROR(VLOOKUP($F403,INSUMOS!$A:$D,2,0),""))))</f>
        <v>DISJUNTOR MONOPOLAR TIPO DIN, CORRENTE NOMINAL DE 20A - FORNECIMENTO E INSTALAÇÃO. AF_10/2020</v>
      </c>
      <c r="H403" s="312" t="str">
        <f>IF($F403="","",IFERROR(VLOOKUP($F403,SERVIÇOS!$B:$G,3,0),IFERROR(VLOOKUP($F403,'COMPOSIÇÕES COMPLEMENTARES '!$D:$L,3,0),IFERROR(VLOOKUP($F403,INSUMOS!$A:$D,3,0),""))))</f>
        <v>UN</v>
      </c>
      <c r="I403" s="313">
        <v>7</v>
      </c>
      <c r="J403" s="314">
        <f>IF($F403="","",IFERROR(VLOOKUP($F403,SERVIÇOS!$B:$G,4,0),IFERROR(VLOOKUP($F403,'COMPOSIÇÕES COMPLEMENTARES '!$D:$L,6,0),IFERROR(VLOOKUP($F403,INSUMOS!$A:$D,4,0),""))))</f>
        <v>12.28</v>
      </c>
      <c r="K403" s="314">
        <f>IF($F403="","",IFERROR(VLOOKUP($F403,SERVIÇOS!$B:$G,5,0),IFERROR(VLOOKUP($F403,'COMPOSIÇÕES COMPLEMENTARES '!$D:$L,7,0),0)))</f>
        <v>3.28</v>
      </c>
      <c r="L403" s="314">
        <f t="shared" si="200"/>
        <v>15.559999999999999</v>
      </c>
      <c r="M403" s="314">
        <f t="shared" si="201"/>
        <v>85.96</v>
      </c>
      <c r="N403" s="314">
        <f t="shared" si="202"/>
        <v>22.96</v>
      </c>
      <c r="O403" s="314">
        <f t="shared" si="203"/>
        <v>108.92</v>
      </c>
      <c r="P403" s="314"/>
      <c r="Q403" s="315"/>
      <c r="R403" s="315"/>
      <c r="S403" s="286"/>
      <c r="T403" s="287"/>
      <c r="U403" s="288" t="str">
        <f t="shared" ref="U403:U466" si="204">IF(OR(T403="",$O403=""),"",(T403/$I403)*$O403)</f>
        <v/>
      </c>
      <c r="V403" s="287"/>
      <c r="W403" s="289" t="str">
        <f t="shared" ref="W403:W466" si="205">IF(OR(V403="",$O403=""),"",(V403/$I403)*$O403)</f>
        <v/>
      </c>
      <c r="X403" s="287"/>
      <c r="Y403" s="290" t="str">
        <f t="shared" ref="Y403:Y466" si="206">IF(OR(X403="",$O403=""),"",(X403/$I403)*$O403)</f>
        <v/>
      </c>
      <c r="Z403" s="291">
        <f ca="1">SUMIF($T$8:Y$1018,"QUANT.",T403:Y403)</f>
        <v>0</v>
      </c>
      <c r="AA403" s="292">
        <f t="shared" ref="AA403:AA466" ca="1" si="207">SUMIF($T$8:$Y$1018,"CUSTO",T403:Y403)</f>
        <v>0</v>
      </c>
      <c r="AB403" s="293" t="str">
        <f t="shared" ref="AB403:AB466" ca="1" si="208">IF(F403&lt;&gt;"",IF(AA403=0,"MEDIR",IF(O403-AA403=0,"OK",IF(O403-AA403&gt;0,"MEDIR","ALERTA!"))),"")</f>
        <v>MEDIR</v>
      </c>
      <c r="AC403" s="294">
        <f t="shared" ref="AC403:AC466" ca="1" si="209">IF(Z403="",0,I403-Z403)</f>
        <v>7</v>
      </c>
      <c r="AD403" s="294">
        <f t="shared" ref="AD403:AD466" ca="1" si="210">IF(AA403="",0,O403-AA403)</f>
        <v>108.92</v>
      </c>
      <c r="AE403" s="295"/>
      <c r="AF403" s="295"/>
      <c r="AG403" s="296"/>
      <c r="AH403" s="296"/>
      <c r="AI403" s="296"/>
      <c r="AJ403" s="325"/>
      <c r="AK403" s="325"/>
      <c r="AL403" s="325"/>
      <c r="AM403" s="325"/>
    </row>
    <row r="404" spans="1:39" ht="25.5" x14ac:dyDescent="0.25">
      <c r="A404" s="232">
        <f t="shared" si="189"/>
        <v>404</v>
      </c>
      <c r="B404" s="232"/>
      <c r="C404" s="307" t="str">
        <f t="shared" si="197"/>
        <v>15.3</v>
      </c>
      <c r="D404" s="308">
        <f t="shared" si="198"/>
        <v>8</v>
      </c>
      <c r="E404" s="309" t="str">
        <f t="shared" si="199"/>
        <v>15.3.8</v>
      </c>
      <c r="F404" s="310">
        <v>93654</v>
      </c>
      <c r="G404" s="311" t="str">
        <f>IF($F404="","",IFERROR(VLOOKUP($F404,SERVIÇOS!$B:$G,2,0),IFERROR(VLOOKUP($F404,'COMPOSIÇÕES COMPLEMENTARES '!$D:$L,2,0),IFERROR(VLOOKUP($F404,INSUMOS!$A:$D,2,0),""))))</f>
        <v>DISJUNTOR MONOPOLAR TIPO DIN, CORRENTE NOMINAL DE 16A - FORNECIMENTO E INSTALAÇÃO. AF_10/2020</v>
      </c>
      <c r="H404" s="312" t="str">
        <f>IF($F404="","",IFERROR(VLOOKUP($F404,SERVIÇOS!$B:$G,3,0),IFERROR(VLOOKUP($F404,'COMPOSIÇÕES COMPLEMENTARES '!$D:$L,3,0),IFERROR(VLOOKUP($F404,INSUMOS!$A:$D,3,0),""))))</f>
        <v>UN</v>
      </c>
      <c r="I404" s="313">
        <v>2</v>
      </c>
      <c r="J404" s="314">
        <f>IF($F404="","",IFERROR(VLOOKUP($F404,SERVIÇOS!$B:$G,4,0),IFERROR(VLOOKUP($F404,'COMPOSIÇÕES COMPLEMENTARES '!$D:$L,6,0),IFERROR(VLOOKUP($F404,INSUMOS!$A:$D,4,0),""))))</f>
        <v>11.6</v>
      </c>
      <c r="K404" s="314">
        <f>IF($F404="","",IFERROR(VLOOKUP($F404,SERVIÇOS!$B:$G,5,0),IFERROR(VLOOKUP($F404,'COMPOSIÇÕES COMPLEMENTARES '!$D:$L,7,0),0)))</f>
        <v>2.35</v>
      </c>
      <c r="L404" s="314">
        <f t="shared" si="200"/>
        <v>13.95</v>
      </c>
      <c r="M404" s="314">
        <f t="shared" si="201"/>
        <v>23.2</v>
      </c>
      <c r="N404" s="314">
        <f t="shared" si="202"/>
        <v>4.7</v>
      </c>
      <c r="O404" s="314">
        <f t="shared" si="203"/>
        <v>27.9</v>
      </c>
      <c r="P404" s="314"/>
      <c r="Q404" s="315"/>
      <c r="R404" s="315"/>
      <c r="S404" s="286"/>
      <c r="T404" s="287"/>
      <c r="U404" s="288" t="str">
        <f t="shared" si="204"/>
        <v/>
      </c>
      <c r="V404" s="287"/>
      <c r="W404" s="289" t="str">
        <f t="shared" si="205"/>
        <v/>
      </c>
      <c r="X404" s="287"/>
      <c r="Y404" s="290" t="str">
        <f t="shared" si="206"/>
        <v/>
      </c>
      <c r="Z404" s="291">
        <f ca="1">SUMIF($T$8:Y$1018,"QUANT.",T404:Y404)</f>
        <v>0</v>
      </c>
      <c r="AA404" s="292">
        <f t="shared" ca="1" si="207"/>
        <v>0</v>
      </c>
      <c r="AB404" s="293" t="str">
        <f t="shared" ca="1" si="208"/>
        <v>MEDIR</v>
      </c>
      <c r="AC404" s="294">
        <f t="shared" ca="1" si="209"/>
        <v>2</v>
      </c>
      <c r="AD404" s="294">
        <f t="shared" ca="1" si="210"/>
        <v>27.9</v>
      </c>
      <c r="AE404" s="295"/>
      <c r="AF404" s="295"/>
      <c r="AG404" s="296"/>
      <c r="AH404" s="296"/>
      <c r="AI404" s="296"/>
      <c r="AJ404" s="325"/>
      <c r="AK404" s="325"/>
      <c r="AL404" s="325"/>
      <c r="AM404" s="325"/>
    </row>
    <row r="405" spans="1:39" x14ac:dyDescent="0.25">
      <c r="A405" s="232">
        <f t="shared" si="189"/>
        <v>405</v>
      </c>
      <c r="B405" s="232"/>
      <c r="C405" s="307" t="str">
        <f t="shared" si="197"/>
        <v>15.3</v>
      </c>
      <c r="D405" s="308">
        <f t="shared" si="198"/>
        <v>9</v>
      </c>
      <c r="E405" s="309" t="str">
        <f t="shared" si="199"/>
        <v>15.3.9</v>
      </c>
      <c r="F405" s="310" t="s">
        <v>12198</v>
      </c>
      <c r="G405" s="311" t="str">
        <f>IF($F405="","",IFERROR(VLOOKUP($F405,SERVIÇOS!$B:$G,2,0),IFERROR(VLOOKUP($F405,'COMPOSIÇÕES COMPLEMENTARES '!$D:$L,2,0),IFERROR(VLOOKUP($F405,INSUMOS!$A:$D,2,0),""))))</f>
        <v>DISPOSITIVO PROTETOR CONTRA SURTOS (DPS) 8/20 45KA - 275V CLASSE II</v>
      </c>
      <c r="H405" s="312" t="str">
        <f>IF($F405="","",IFERROR(VLOOKUP($F405,SERVIÇOS!$B:$G,3,0),IFERROR(VLOOKUP($F405,'COMPOSIÇÕES COMPLEMENTARES '!$D:$L,3,0),IFERROR(VLOOKUP($F405,INSUMOS!$A:$D,3,0),""))))</f>
        <v>UN</v>
      </c>
      <c r="I405" s="313">
        <v>4</v>
      </c>
      <c r="J405" s="314">
        <f>IF($F405="","",IFERROR(VLOOKUP($F405,SERVIÇOS!$B:$G,4,0),IFERROR(VLOOKUP($F405,'COMPOSIÇÕES COMPLEMENTARES '!$D:$L,6,0),IFERROR(VLOOKUP($F405,INSUMOS!$A:$D,4,0),""))))</f>
        <v>116.15</v>
      </c>
      <c r="K405" s="314">
        <f>IF($F405="","",IFERROR(VLOOKUP($F405,SERVIÇOS!$B:$G,5,0),IFERROR(VLOOKUP($F405,'COMPOSIÇÕES COMPLEMENTARES '!$D:$L,7,0),0)))</f>
        <v>14.85</v>
      </c>
      <c r="L405" s="314">
        <f t="shared" si="200"/>
        <v>131</v>
      </c>
      <c r="M405" s="314">
        <f t="shared" si="201"/>
        <v>464.6</v>
      </c>
      <c r="N405" s="314">
        <f t="shared" si="202"/>
        <v>59.4</v>
      </c>
      <c r="O405" s="314">
        <f t="shared" si="203"/>
        <v>524</v>
      </c>
      <c r="P405" s="314"/>
      <c r="Q405" s="315"/>
      <c r="R405" s="315"/>
      <c r="S405" s="286"/>
      <c r="T405" s="287"/>
      <c r="U405" s="288" t="str">
        <f t="shared" si="204"/>
        <v/>
      </c>
      <c r="V405" s="287"/>
      <c r="W405" s="289" t="str">
        <f t="shared" si="205"/>
        <v/>
      </c>
      <c r="X405" s="287"/>
      <c r="Y405" s="290" t="str">
        <f t="shared" si="206"/>
        <v/>
      </c>
      <c r="Z405" s="291">
        <f ca="1">SUMIF($T$8:Y$1018,"QUANT.",T405:Y405)</f>
        <v>0</v>
      </c>
      <c r="AA405" s="292">
        <f t="shared" ca="1" si="207"/>
        <v>0</v>
      </c>
      <c r="AB405" s="293" t="str">
        <f t="shared" ca="1" si="208"/>
        <v>MEDIR</v>
      </c>
      <c r="AC405" s="294">
        <f t="shared" ca="1" si="209"/>
        <v>4</v>
      </c>
      <c r="AD405" s="294">
        <f t="shared" ca="1" si="210"/>
        <v>524</v>
      </c>
      <c r="AE405" s="295"/>
      <c r="AF405" s="295"/>
      <c r="AG405" s="296"/>
      <c r="AH405" s="296"/>
      <c r="AI405" s="296"/>
      <c r="AJ405" s="325"/>
      <c r="AK405" s="325"/>
      <c r="AL405" s="325"/>
      <c r="AM405" s="325"/>
    </row>
    <row r="406" spans="1:39" x14ac:dyDescent="0.25">
      <c r="A406" s="232">
        <f t="shared" si="189"/>
        <v>406</v>
      </c>
      <c r="B406" s="232"/>
      <c r="C406" s="307" t="str">
        <f t="shared" si="197"/>
        <v>15.3</v>
      </c>
      <c r="D406" s="308">
        <f t="shared" si="198"/>
        <v>10</v>
      </c>
      <c r="E406" s="309" t="str">
        <f t="shared" si="199"/>
        <v>15.3.10</v>
      </c>
      <c r="F406" s="310" t="s">
        <v>12199</v>
      </c>
      <c r="G406" s="311" t="str">
        <f>IF($F406="","",IFERROR(VLOOKUP($F406,SERVIÇOS!$B:$G,2,0),IFERROR(VLOOKUP($F406,'COMPOSIÇÕES COMPLEMENTARES '!$D:$L,2,0),IFERROR(VLOOKUP($F406,INSUMOS!$A:$D,2,0),""))))</f>
        <v>INTERRUPTOR DIFERENCIAL BIPOLAR 2X40A SENS. 30MA</v>
      </c>
      <c r="H406" s="312" t="str">
        <f>IF($F406="","",IFERROR(VLOOKUP($F406,SERVIÇOS!$B:$G,3,0),IFERROR(VLOOKUP($F406,'COMPOSIÇÕES COMPLEMENTARES '!$D:$L,3,0),IFERROR(VLOOKUP($F406,INSUMOS!$A:$D,3,0),""))))</f>
        <v>UN</v>
      </c>
      <c r="I406" s="313">
        <v>1</v>
      </c>
      <c r="J406" s="314">
        <f>IF($F406="","",IFERROR(VLOOKUP($F406,SERVIÇOS!$B:$G,4,0),IFERROR(VLOOKUP($F406,'COMPOSIÇÕES COMPLEMENTARES '!$D:$L,6,0),IFERROR(VLOOKUP($F406,INSUMOS!$A:$D,4,0),""))))</f>
        <v>218.04</v>
      </c>
      <c r="K406" s="314">
        <f>IF($F406="","",IFERROR(VLOOKUP($F406,SERVIÇOS!$B:$G,5,0),IFERROR(VLOOKUP($F406,'COMPOSIÇÕES COMPLEMENTARES '!$D:$L,7,0),0)))</f>
        <v>100.29</v>
      </c>
      <c r="L406" s="314">
        <f t="shared" si="200"/>
        <v>318.33</v>
      </c>
      <c r="M406" s="314">
        <f t="shared" si="201"/>
        <v>218.04</v>
      </c>
      <c r="N406" s="314">
        <f t="shared" si="202"/>
        <v>100.29</v>
      </c>
      <c r="O406" s="314">
        <f t="shared" si="203"/>
        <v>318.33</v>
      </c>
      <c r="P406" s="314"/>
      <c r="Q406" s="315"/>
      <c r="R406" s="315"/>
      <c r="S406" s="286"/>
      <c r="T406" s="287"/>
      <c r="U406" s="288" t="str">
        <f t="shared" si="204"/>
        <v/>
      </c>
      <c r="V406" s="287"/>
      <c r="W406" s="289" t="str">
        <f t="shared" si="205"/>
        <v/>
      </c>
      <c r="X406" s="287"/>
      <c r="Y406" s="290" t="str">
        <f t="shared" si="206"/>
        <v/>
      </c>
      <c r="Z406" s="291">
        <f ca="1">SUMIF($T$8:Y$1018,"QUANT.",T406:Y406)</f>
        <v>0</v>
      </c>
      <c r="AA406" s="292">
        <f t="shared" ca="1" si="207"/>
        <v>0</v>
      </c>
      <c r="AB406" s="293" t="str">
        <f t="shared" ca="1" si="208"/>
        <v>MEDIR</v>
      </c>
      <c r="AC406" s="294">
        <f t="shared" ca="1" si="209"/>
        <v>1</v>
      </c>
      <c r="AD406" s="294">
        <f t="shared" ca="1" si="210"/>
        <v>318.33</v>
      </c>
      <c r="AE406" s="295"/>
      <c r="AF406" s="295"/>
      <c r="AG406" s="296"/>
      <c r="AH406" s="296"/>
      <c r="AI406" s="296"/>
      <c r="AJ406" s="325"/>
      <c r="AK406" s="325"/>
      <c r="AL406" s="325"/>
      <c r="AM406" s="325"/>
    </row>
    <row r="407" spans="1:39" x14ac:dyDescent="0.25">
      <c r="A407" s="232">
        <f t="shared" si="189"/>
        <v>407</v>
      </c>
      <c r="B407" s="232"/>
      <c r="C407" s="307" t="str">
        <f t="shared" si="197"/>
        <v>15.3</v>
      </c>
      <c r="D407" s="308">
        <f t="shared" si="198"/>
        <v>11</v>
      </c>
      <c r="E407" s="309" t="str">
        <f t="shared" si="199"/>
        <v>15.3.11</v>
      </c>
      <c r="F407" s="310" t="s">
        <v>12200</v>
      </c>
      <c r="G407" s="311" t="str">
        <f>IF($F407="","",IFERROR(VLOOKUP($F407,SERVIÇOS!$B:$G,2,0),IFERROR(VLOOKUP($F407,'COMPOSIÇÕES COMPLEMENTARES '!$D:$L,2,0),IFERROR(VLOOKUP($F407,INSUMOS!$A:$D,2,0),""))))</f>
        <v>INTERRUPTOR DIFERENCIAL TETRAPOLAR 4X63A SENS. 30MA</v>
      </c>
      <c r="H407" s="312" t="str">
        <f>IF($F407="","",IFERROR(VLOOKUP($F407,SERVIÇOS!$B:$G,3,0),IFERROR(VLOOKUP($F407,'COMPOSIÇÕES COMPLEMENTARES '!$D:$L,3,0),IFERROR(VLOOKUP($F407,INSUMOS!$A:$D,3,0),""))))</f>
        <v>UN</v>
      </c>
      <c r="I407" s="313">
        <v>3</v>
      </c>
      <c r="J407" s="314">
        <f>IF($F407="","",IFERROR(VLOOKUP($F407,SERVIÇOS!$B:$G,4,0),IFERROR(VLOOKUP($F407,'COMPOSIÇÕES COMPLEMENTARES '!$D:$L,6,0),IFERROR(VLOOKUP($F407,INSUMOS!$A:$D,4,0),""))))</f>
        <v>279.11</v>
      </c>
      <c r="K407" s="314">
        <f>IF($F407="","",IFERROR(VLOOKUP($F407,SERVIÇOS!$B:$G,5,0),IFERROR(VLOOKUP($F407,'COMPOSIÇÕES COMPLEMENTARES '!$D:$L,7,0),0)))</f>
        <v>120.12</v>
      </c>
      <c r="L407" s="314">
        <f t="shared" si="200"/>
        <v>399.23</v>
      </c>
      <c r="M407" s="314">
        <f t="shared" si="201"/>
        <v>837.33</v>
      </c>
      <c r="N407" s="314">
        <f t="shared" si="202"/>
        <v>360.36</v>
      </c>
      <c r="O407" s="314">
        <f t="shared" si="203"/>
        <v>1197.69</v>
      </c>
      <c r="P407" s="314"/>
      <c r="Q407" s="315"/>
      <c r="R407" s="315"/>
      <c r="S407" s="286"/>
      <c r="T407" s="287"/>
      <c r="U407" s="288" t="str">
        <f t="shared" si="204"/>
        <v/>
      </c>
      <c r="V407" s="287"/>
      <c r="W407" s="289" t="str">
        <f t="shared" si="205"/>
        <v/>
      </c>
      <c r="X407" s="287"/>
      <c r="Y407" s="290" t="str">
        <f t="shared" si="206"/>
        <v/>
      </c>
      <c r="Z407" s="291">
        <f ca="1">SUMIF($T$8:Y$1018,"QUANT.",T407:Y407)</f>
        <v>0</v>
      </c>
      <c r="AA407" s="292">
        <f t="shared" ca="1" si="207"/>
        <v>0</v>
      </c>
      <c r="AB407" s="293" t="str">
        <f t="shared" ca="1" si="208"/>
        <v>MEDIR</v>
      </c>
      <c r="AC407" s="294">
        <f t="shared" ca="1" si="209"/>
        <v>3</v>
      </c>
      <c r="AD407" s="294">
        <f t="shared" ca="1" si="210"/>
        <v>1197.69</v>
      </c>
      <c r="AE407" s="295"/>
      <c r="AF407" s="295"/>
      <c r="AG407" s="296"/>
      <c r="AH407" s="296"/>
      <c r="AI407" s="296"/>
      <c r="AJ407" s="325"/>
      <c r="AK407" s="325"/>
      <c r="AL407" s="325"/>
      <c r="AM407" s="325"/>
    </row>
    <row r="408" spans="1:39" x14ac:dyDescent="0.25">
      <c r="A408" s="232">
        <f t="shared" si="189"/>
        <v>408</v>
      </c>
      <c r="B408" s="232"/>
      <c r="C408" s="307" t="str">
        <f t="shared" si="197"/>
        <v>15.3</v>
      </c>
      <c r="D408" s="308">
        <f t="shared" si="198"/>
        <v>12</v>
      </c>
      <c r="E408" s="309" t="str">
        <f t="shared" si="199"/>
        <v>15.3.12</v>
      </c>
      <c r="F408" s="310" t="s">
        <v>12201</v>
      </c>
      <c r="G408" s="311" t="str">
        <f>IF($F408="","",IFERROR(VLOOKUP($F408,SERVIÇOS!$B:$G,2,0),IFERROR(VLOOKUP($F408,'COMPOSIÇÕES COMPLEMENTARES '!$D:$L,2,0),IFERROR(VLOOKUP($F408,INSUMOS!$A:$D,2,0),""))))</f>
        <v>CONDUTOR DE COBRE FLEX. ISOL. 1KV - 90º - #35MM² - AFUMEX</v>
      </c>
      <c r="H408" s="312" t="str">
        <f>IF($F408="","",IFERROR(VLOOKUP($F408,SERVIÇOS!$B:$G,3,0),IFERROR(VLOOKUP($F408,'COMPOSIÇÕES COMPLEMENTARES '!$D:$L,3,0),IFERROR(VLOOKUP($F408,INSUMOS!$A:$D,3,0),""))))</f>
        <v>M</v>
      </c>
      <c r="I408" s="313">
        <v>20</v>
      </c>
      <c r="J408" s="314">
        <f>IF($F408="","",IFERROR(VLOOKUP($F408,SERVIÇOS!$B:$G,4,0),IFERROR(VLOOKUP($F408,'COMPOSIÇÕES COMPLEMENTARES '!$D:$L,6,0),IFERROR(VLOOKUP($F408,INSUMOS!$A:$D,4,0),""))))</f>
        <v>33.159999999999997</v>
      </c>
      <c r="K408" s="314">
        <f>IF($F408="","",IFERROR(VLOOKUP($F408,SERVIÇOS!$B:$G,5,0),IFERROR(VLOOKUP($F408,'COMPOSIÇÕES COMPLEMENTARES '!$D:$L,7,0),0)))</f>
        <v>3.6</v>
      </c>
      <c r="L408" s="314">
        <f t="shared" si="200"/>
        <v>36.76</v>
      </c>
      <c r="M408" s="314">
        <f t="shared" si="201"/>
        <v>663.2</v>
      </c>
      <c r="N408" s="314">
        <f t="shared" si="202"/>
        <v>72</v>
      </c>
      <c r="O408" s="314">
        <f t="shared" si="203"/>
        <v>735.2</v>
      </c>
      <c r="P408" s="314"/>
      <c r="Q408" s="315"/>
      <c r="R408" s="315"/>
      <c r="S408" s="286"/>
      <c r="T408" s="287"/>
      <c r="U408" s="288" t="str">
        <f t="shared" si="204"/>
        <v/>
      </c>
      <c r="V408" s="287"/>
      <c r="W408" s="289" t="str">
        <f t="shared" si="205"/>
        <v/>
      </c>
      <c r="X408" s="287"/>
      <c r="Y408" s="290" t="str">
        <f t="shared" si="206"/>
        <v/>
      </c>
      <c r="Z408" s="291">
        <f ca="1">SUMIF($T$8:Y$1018,"QUANT.",T408:Y408)</f>
        <v>0</v>
      </c>
      <c r="AA408" s="292">
        <f t="shared" ca="1" si="207"/>
        <v>0</v>
      </c>
      <c r="AB408" s="293" t="str">
        <f t="shared" ca="1" si="208"/>
        <v>MEDIR</v>
      </c>
      <c r="AC408" s="294">
        <f t="shared" ca="1" si="209"/>
        <v>20</v>
      </c>
      <c r="AD408" s="294">
        <f t="shared" ca="1" si="210"/>
        <v>735.2</v>
      </c>
      <c r="AE408" s="295"/>
      <c r="AF408" s="295"/>
      <c r="AG408" s="296"/>
      <c r="AH408" s="296"/>
      <c r="AI408" s="296"/>
      <c r="AJ408" s="325"/>
      <c r="AK408" s="325"/>
      <c r="AL408" s="325"/>
      <c r="AM408" s="325"/>
    </row>
    <row r="409" spans="1:39" x14ac:dyDescent="0.25">
      <c r="A409" s="232">
        <f t="shared" si="189"/>
        <v>409</v>
      </c>
      <c r="B409" s="232"/>
      <c r="C409" s="307" t="str">
        <f t="shared" si="197"/>
        <v>15.3</v>
      </c>
      <c r="D409" s="308">
        <f t="shared" si="198"/>
        <v>13</v>
      </c>
      <c r="E409" s="309" t="str">
        <f t="shared" si="199"/>
        <v>15.3.13</v>
      </c>
      <c r="F409" s="310" t="s">
        <v>12202</v>
      </c>
      <c r="G409" s="311" t="str">
        <f>IF($F409="","",IFERROR(VLOOKUP($F409,SERVIÇOS!$B:$G,2,0),IFERROR(VLOOKUP($F409,'COMPOSIÇÕES COMPLEMENTARES '!$D:$L,2,0),IFERROR(VLOOKUP($F409,INSUMOS!$A:$D,2,0),""))))</f>
        <v>CONDUTOR DE COBRE FLEX. ISOL. 1KV - 90º - #16MM² - AFUMEX</v>
      </c>
      <c r="H409" s="312" t="str">
        <f>IF($F409="","",IFERROR(VLOOKUP($F409,SERVIÇOS!$B:$G,3,0),IFERROR(VLOOKUP($F409,'COMPOSIÇÕES COMPLEMENTARES '!$D:$L,3,0),IFERROR(VLOOKUP($F409,INSUMOS!$A:$D,3,0),""))))</f>
        <v>M</v>
      </c>
      <c r="I409" s="313">
        <v>5</v>
      </c>
      <c r="J409" s="314">
        <f>IF($F409="","",IFERROR(VLOOKUP($F409,SERVIÇOS!$B:$G,4,0),IFERROR(VLOOKUP($F409,'COMPOSIÇÕES COMPLEMENTARES '!$D:$L,6,0),IFERROR(VLOOKUP($F409,INSUMOS!$A:$D,4,0),""))))</f>
        <v>19.739999999999998</v>
      </c>
      <c r="K409" s="314">
        <f>IF($F409="","",IFERROR(VLOOKUP($F409,SERVIÇOS!$B:$G,5,0),IFERROR(VLOOKUP($F409,'COMPOSIÇÕES COMPLEMENTARES '!$D:$L,7,0),0)))</f>
        <v>5.69</v>
      </c>
      <c r="L409" s="314">
        <f t="shared" si="200"/>
        <v>25.43</v>
      </c>
      <c r="M409" s="314">
        <f t="shared" si="201"/>
        <v>98.7</v>
      </c>
      <c r="N409" s="314">
        <f t="shared" si="202"/>
        <v>28.45</v>
      </c>
      <c r="O409" s="314">
        <f t="shared" si="203"/>
        <v>127.15</v>
      </c>
      <c r="P409" s="314"/>
      <c r="Q409" s="315"/>
      <c r="R409" s="315"/>
      <c r="S409" s="286"/>
      <c r="T409" s="287"/>
      <c r="U409" s="288" t="str">
        <f t="shared" si="204"/>
        <v/>
      </c>
      <c r="V409" s="287"/>
      <c r="W409" s="289" t="str">
        <f t="shared" si="205"/>
        <v/>
      </c>
      <c r="X409" s="287"/>
      <c r="Y409" s="290" t="str">
        <f t="shared" si="206"/>
        <v/>
      </c>
      <c r="Z409" s="291">
        <f ca="1">SUMIF($T$8:Y$1018,"QUANT.",T409:Y409)</f>
        <v>0</v>
      </c>
      <c r="AA409" s="292">
        <f t="shared" ca="1" si="207"/>
        <v>0</v>
      </c>
      <c r="AB409" s="293" t="str">
        <f t="shared" ca="1" si="208"/>
        <v>MEDIR</v>
      </c>
      <c r="AC409" s="294">
        <f t="shared" ca="1" si="209"/>
        <v>5</v>
      </c>
      <c r="AD409" s="294">
        <f t="shared" ca="1" si="210"/>
        <v>127.15</v>
      </c>
      <c r="AE409" s="295"/>
      <c r="AF409" s="295"/>
      <c r="AG409" s="296"/>
      <c r="AH409" s="296"/>
      <c r="AI409" s="296"/>
      <c r="AJ409" s="325"/>
      <c r="AK409" s="325"/>
      <c r="AL409" s="325"/>
      <c r="AM409" s="325"/>
    </row>
    <row r="410" spans="1:39" x14ac:dyDescent="0.25">
      <c r="A410" s="232">
        <f t="shared" si="189"/>
        <v>410</v>
      </c>
      <c r="B410" s="232"/>
      <c r="C410" s="307" t="str">
        <f t="shared" si="197"/>
        <v>15.3</v>
      </c>
      <c r="D410" s="308">
        <f t="shared" si="198"/>
        <v>14</v>
      </c>
      <c r="E410" s="309" t="str">
        <f t="shared" si="199"/>
        <v>15.3.14</v>
      </c>
      <c r="F410" s="310" t="s">
        <v>12203</v>
      </c>
      <c r="G410" s="311" t="str">
        <f>IF($F410="","",IFERROR(VLOOKUP($F410,SERVIÇOS!$B:$G,2,0),IFERROR(VLOOKUP($F410,'COMPOSIÇÕES COMPLEMENTARES '!$D:$L,2,0),IFERROR(VLOOKUP($F410,INSUMOS!$A:$D,2,0),""))))</f>
        <v>TERMINAL DE COMPRESSÃO #35MM²</v>
      </c>
      <c r="H410" s="312" t="str">
        <f>IF($F410="","",IFERROR(VLOOKUP($F410,SERVIÇOS!$B:$G,3,0),IFERROR(VLOOKUP($F410,'COMPOSIÇÕES COMPLEMENTARES '!$D:$L,3,0),IFERROR(VLOOKUP($F410,INSUMOS!$A:$D,3,0),""))))</f>
        <v>UN</v>
      </c>
      <c r="I410" s="313">
        <v>8</v>
      </c>
      <c r="J410" s="314">
        <f>IF($F410="","",IFERROR(VLOOKUP($F410,SERVIÇOS!$B:$G,4,0),IFERROR(VLOOKUP($F410,'COMPOSIÇÕES COMPLEMENTARES '!$D:$L,6,0),IFERROR(VLOOKUP($F410,INSUMOS!$A:$D,4,0),""))))</f>
        <v>4.13</v>
      </c>
      <c r="K410" s="314">
        <f>IF($F410="","",IFERROR(VLOOKUP($F410,SERVIÇOS!$B:$G,5,0),IFERROR(VLOOKUP($F410,'COMPOSIÇÕES COMPLEMENTARES '!$D:$L,7,0),0)))</f>
        <v>1.57</v>
      </c>
      <c r="L410" s="314">
        <f t="shared" si="200"/>
        <v>5.7</v>
      </c>
      <c r="M410" s="314">
        <f t="shared" si="201"/>
        <v>33.04</v>
      </c>
      <c r="N410" s="314">
        <f t="shared" si="202"/>
        <v>12.56</v>
      </c>
      <c r="O410" s="314">
        <f t="shared" si="203"/>
        <v>45.6</v>
      </c>
      <c r="P410" s="314"/>
      <c r="Q410" s="315"/>
      <c r="R410" s="315"/>
      <c r="S410" s="286"/>
      <c r="T410" s="287"/>
      <c r="U410" s="288" t="str">
        <f t="shared" si="204"/>
        <v/>
      </c>
      <c r="V410" s="287"/>
      <c r="W410" s="289" t="str">
        <f t="shared" si="205"/>
        <v/>
      </c>
      <c r="X410" s="287"/>
      <c r="Y410" s="290" t="str">
        <f t="shared" si="206"/>
        <v/>
      </c>
      <c r="Z410" s="291">
        <f ca="1">SUMIF($T$8:Y$1018,"QUANT.",T410:Y410)</f>
        <v>0</v>
      </c>
      <c r="AA410" s="292">
        <f t="shared" ca="1" si="207"/>
        <v>0</v>
      </c>
      <c r="AB410" s="293" t="str">
        <f t="shared" ca="1" si="208"/>
        <v>MEDIR</v>
      </c>
      <c r="AC410" s="294">
        <f t="shared" ca="1" si="209"/>
        <v>8</v>
      </c>
      <c r="AD410" s="294">
        <f t="shared" ca="1" si="210"/>
        <v>45.6</v>
      </c>
      <c r="AE410" s="295"/>
      <c r="AF410" s="295"/>
      <c r="AG410" s="296"/>
      <c r="AH410" s="296"/>
      <c r="AI410" s="296"/>
      <c r="AJ410" s="325"/>
      <c r="AK410" s="325"/>
      <c r="AL410" s="325"/>
      <c r="AM410" s="325"/>
    </row>
    <row r="411" spans="1:39" x14ac:dyDescent="0.25">
      <c r="A411" s="232">
        <f t="shared" si="189"/>
        <v>411</v>
      </c>
      <c r="B411" s="232"/>
      <c r="C411" s="307" t="str">
        <f t="shared" si="197"/>
        <v>15.3</v>
      </c>
      <c r="D411" s="308">
        <f t="shared" si="198"/>
        <v>15</v>
      </c>
      <c r="E411" s="309" t="str">
        <f t="shared" si="199"/>
        <v>15.3.15</v>
      </c>
      <c r="F411" s="310" t="s">
        <v>12204</v>
      </c>
      <c r="G411" s="311" t="str">
        <f>IF($F411="","",IFERROR(VLOOKUP($F411,SERVIÇOS!$B:$G,2,0),IFERROR(VLOOKUP($F411,'COMPOSIÇÕES COMPLEMENTARES '!$D:$L,2,0),IFERROR(VLOOKUP($F411,INSUMOS!$A:$D,2,0),""))))</f>
        <v>TERMINAL DE COMPRESSÃO #16MM²</v>
      </c>
      <c r="H411" s="312" t="str">
        <f>IF($F411="","",IFERROR(VLOOKUP($F411,SERVIÇOS!$B:$G,3,0),IFERROR(VLOOKUP($F411,'COMPOSIÇÕES COMPLEMENTARES '!$D:$L,3,0),IFERROR(VLOOKUP($F411,INSUMOS!$A:$D,3,0),""))))</f>
        <v>UN</v>
      </c>
      <c r="I411" s="313">
        <v>2</v>
      </c>
      <c r="J411" s="314">
        <f>IF($F411="","",IFERROR(VLOOKUP($F411,SERVIÇOS!$B:$G,4,0),IFERROR(VLOOKUP($F411,'COMPOSIÇÕES COMPLEMENTARES '!$D:$L,6,0),IFERROR(VLOOKUP($F411,INSUMOS!$A:$D,4,0),""))))</f>
        <v>2.71</v>
      </c>
      <c r="K411" s="314">
        <f>IF($F411="","",IFERROR(VLOOKUP($F411,SERVIÇOS!$B:$G,5,0),IFERROR(VLOOKUP($F411,'COMPOSIÇÕES COMPLEMENTARES '!$D:$L,7,0),0)))</f>
        <v>1.1200000000000001</v>
      </c>
      <c r="L411" s="314">
        <f t="shared" si="200"/>
        <v>3.83</v>
      </c>
      <c r="M411" s="314">
        <f t="shared" si="201"/>
        <v>5.42</v>
      </c>
      <c r="N411" s="314">
        <f t="shared" si="202"/>
        <v>2.2400000000000002</v>
      </c>
      <c r="O411" s="314">
        <f t="shared" si="203"/>
        <v>7.66</v>
      </c>
      <c r="P411" s="314"/>
      <c r="Q411" s="315"/>
      <c r="R411" s="315"/>
      <c r="S411" s="286"/>
      <c r="T411" s="287"/>
      <c r="U411" s="288" t="str">
        <f t="shared" si="204"/>
        <v/>
      </c>
      <c r="V411" s="287"/>
      <c r="W411" s="289" t="str">
        <f t="shared" si="205"/>
        <v/>
      </c>
      <c r="X411" s="287"/>
      <c r="Y411" s="290" t="str">
        <f t="shared" si="206"/>
        <v/>
      </c>
      <c r="Z411" s="291">
        <f ca="1">SUMIF($T$8:Y$1018,"QUANT.",T411:Y411)</f>
        <v>0</v>
      </c>
      <c r="AA411" s="292">
        <f t="shared" ca="1" si="207"/>
        <v>0</v>
      </c>
      <c r="AB411" s="293" t="str">
        <f t="shared" ca="1" si="208"/>
        <v>MEDIR</v>
      </c>
      <c r="AC411" s="294">
        <f t="shared" ca="1" si="209"/>
        <v>2</v>
      </c>
      <c r="AD411" s="294">
        <f t="shared" ca="1" si="210"/>
        <v>7.66</v>
      </c>
      <c r="AE411" s="295"/>
      <c r="AF411" s="295"/>
      <c r="AG411" s="296"/>
      <c r="AH411" s="296"/>
      <c r="AI411" s="296"/>
      <c r="AJ411" s="325"/>
      <c r="AK411" s="325"/>
      <c r="AL411" s="325"/>
      <c r="AM411" s="325"/>
    </row>
    <row r="412" spans="1:39" ht="25.5" x14ac:dyDescent="0.25">
      <c r="A412" s="232">
        <f t="shared" si="189"/>
        <v>412</v>
      </c>
      <c r="B412" s="232"/>
      <c r="C412" s="307" t="str">
        <f t="shared" si="197"/>
        <v>15.3</v>
      </c>
      <c r="D412" s="308">
        <f t="shared" si="198"/>
        <v>16</v>
      </c>
      <c r="E412" s="309" t="str">
        <f t="shared" si="199"/>
        <v>15.3.16</v>
      </c>
      <c r="F412" s="310">
        <v>97668</v>
      </c>
      <c r="G412" s="311" t="str">
        <f>IF($F412="","",IFERROR(VLOOKUP($F412,SERVIÇOS!$B:$G,2,0),IFERROR(VLOOKUP($F412,'COMPOSIÇÕES COMPLEMENTARES '!$D:$L,2,0),IFERROR(VLOOKUP($F412,INSUMOS!$A:$D,2,0),""))))</f>
        <v>ELETRODUTO FLEXÍVEL CORRUGADO, PEAD, DN 63 (2"), PARA REDE ENTERRADA DE DISTRIBUIÇÃO DE ENERGIA ELÉTRICA - FORNECIMENTO E INSTALAÇÃO. AF_12/2021</v>
      </c>
      <c r="H412" s="312" t="str">
        <f>IF($F412="","",IFERROR(VLOOKUP($F412,SERVIÇOS!$B:$G,3,0),IFERROR(VLOOKUP($F412,'COMPOSIÇÕES COMPLEMENTARES '!$D:$L,3,0),IFERROR(VLOOKUP($F412,INSUMOS!$A:$D,3,0),""))))</f>
        <v>M</v>
      </c>
      <c r="I412" s="313">
        <v>5</v>
      </c>
      <c r="J412" s="314">
        <f>IF($F412="","",IFERROR(VLOOKUP($F412,SERVIÇOS!$B:$G,4,0),IFERROR(VLOOKUP($F412,'COMPOSIÇÕES COMPLEMENTARES '!$D:$L,6,0),IFERROR(VLOOKUP($F412,INSUMOS!$A:$D,4,0),""))))</f>
        <v>11.19</v>
      </c>
      <c r="K412" s="314">
        <f>IF($F412="","",IFERROR(VLOOKUP($F412,SERVIÇOS!$B:$G,5,0),IFERROR(VLOOKUP($F412,'COMPOSIÇÕES COMPLEMENTARES '!$D:$L,7,0),0)))</f>
        <v>4.68</v>
      </c>
      <c r="L412" s="314">
        <f t="shared" si="200"/>
        <v>15.87</v>
      </c>
      <c r="M412" s="314">
        <f t="shared" si="201"/>
        <v>55.95</v>
      </c>
      <c r="N412" s="314">
        <f t="shared" si="202"/>
        <v>23.4</v>
      </c>
      <c r="O412" s="314">
        <f t="shared" si="203"/>
        <v>79.349999999999994</v>
      </c>
      <c r="P412" s="314"/>
      <c r="Q412" s="315"/>
      <c r="R412" s="315"/>
      <c r="S412" s="286"/>
      <c r="T412" s="287"/>
      <c r="U412" s="288" t="str">
        <f t="shared" si="204"/>
        <v/>
      </c>
      <c r="V412" s="287"/>
      <c r="W412" s="289" t="str">
        <f t="shared" si="205"/>
        <v/>
      </c>
      <c r="X412" s="287"/>
      <c r="Y412" s="290" t="str">
        <f t="shared" si="206"/>
        <v/>
      </c>
      <c r="Z412" s="291">
        <f ca="1">SUMIF($T$8:Y$1018,"QUANT.",T412:Y412)</f>
        <v>0</v>
      </c>
      <c r="AA412" s="292">
        <f t="shared" ca="1" si="207"/>
        <v>0</v>
      </c>
      <c r="AB412" s="293" t="str">
        <f t="shared" ca="1" si="208"/>
        <v>MEDIR</v>
      </c>
      <c r="AC412" s="294">
        <f t="shared" ca="1" si="209"/>
        <v>5</v>
      </c>
      <c r="AD412" s="294">
        <f t="shared" ca="1" si="210"/>
        <v>79.349999999999994</v>
      </c>
      <c r="AE412" s="295"/>
      <c r="AF412" s="295"/>
      <c r="AG412" s="296"/>
      <c r="AH412" s="296"/>
      <c r="AI412" s="296"/>
      <c r="AJ412" s="325"/>
      <c r="AK412" s="325"/>
      <c r="AL412" s="325"/>
      <c r="AM412" s="325"/>
    </row>
    <row r="413" spans="1:39" x14ac:dyDescent="0.25">
      <c r="A413" s="232">
        <f t="shared" si="189"/>
        <v>413</v>
      </c>
      <c r="B413" s="232"/>
      <c r="C413" s="307" t="str">
        <f t="shared" si="197"/>
        <v>15.3</v>
      </c>
      <c r="D413" s="308">
        <f t="shared" si="198"/>
        <v>17</v>
      </c>
      <c r="E413" s="309" t="str">
        <f t="shared" si="199"/>
        <v>15.3.17</v>
      </c>
      <c r="F413" s="310" t="s">
        <v>12205</v>
      </c>
      <c r="G413" s="311" t="str">
        <f>IF($F413="","",IFERROR(VLOOKUP($F413,SERVIÇOS!$B:$G,2,0),IFERROR(VLOOKUP($F413,'COMPOSIÇÕES COMPLEMENTARES '!$D:$L,2,0),IFERROR(VLOOKUP($F413,INSUMOS!$A:$D,2,0),""))))</f>
        <v>UNIDUT CÔNICO Ø2" COM BUCHA E ARRUELA DE ALUMÍNIO Ø2"</v>
      </c>
      <c r="H413" s="312" t="str">
        <f>IF($F413="","",IFERROR(VLOOKUP($F413,SERVIÇOS!$B:$G,3,0),IFERROR(VLOOKUP($F413,'COMPOSIÇÕES COMPLEMENTARES '!$D:$L,3,0),IFERROR(VLOOKUP($F413,INSUMOS!$A:$D,3,0),""))))</f>
        <v>UN</v>
      </c>
      <c r="I413" s="313">
        <v>2</v>
      </c>
      <c r="J413" s="314">
        <f>IF($F413="","",IFERROR(VLOOKUP($F413,SERVIÇOS!$B:$G,4,0),IFERROR(VLOOKUP($F413,'COMPOSIÇÕES COMPLEMENTARES '!$D:$L,6,0),IFERROR(VLOOKUP($F413,INSUMOS!$A:$D,4,0),""))))</f>
        <v>17.22</v>
      </c>
      <c r="K413" s="314">
        <f>IF($F413="","",IFERROR(VLOOKUP($F413,SERVIÇOS!$B:$G,5,0),IFERROR(VLOOKUP($F413,'COMPOSIÇÕES COMPLEMENTARES '!$D:$L,7,0),0)))</f>
        <v>2.4700000000000002</v>
      </c>
      <c r="L413" s="314">
        <f t="shared" si="200"/>
        <v>19.689999999999998</v>
      </c>
      <c r="M413" s="314">
        <f t="shared" si="201"/>
        <v>34.44</v>
      </c>
      <c r="N413" s="314">
        <f t="shared" si="202"/>
        <v>4.9400000000000004</v>
      </c>
      <c r="O413" s="314">
        <f t="shared" si="203"/>
        <v>39.380000000000003</v>
      </c>
      <c r="P413" s="314"/>
      <c r="Q413" s="315"/>
      <c r="R413" s="315"/>
      <c r="S413" s="286"/>
      <c r="T413" s="287"/>
      <c r="U413" s="288" t="str">
        <f t="shared" si="204"/>
        <v/>
      </c>
      <c r="V413" s="287"/>
      <c r="W413" s="289" t="str">
        <f t="shared" si="205"/>
        <v/>
      </c>
      <c r="X413" s="287"/>
      <c r="Y413" s="290" t="str">
        <f t="shared" si="206"/>
        <v/>
      </c>
      <c r="Z413" s="291">
        <f ca="1">SUMIF($T$8:Y$1018,"QUANT.",T413:Y413)</f>
        <v>0</v>
      </c>
      <c r="AA413" s="292">
        <f t="shared" ca="1" si="207"/>
        <v>0</v>
      </c>
      <c r="AB413" s="293" t="str">
        <f t="shared" ca="1" si="208"/>
        <v>MEDIR</v>
      </c>
      <c r="AC413" s="294">
        <f t="shared" ca="1" si="209"/>
        <v>2</v>
      </c>
      <c r="AD413" s="294">
        <f t="shared" ca="1" si="210"/>
        <v>39.380000000000003</v>
      </c>
      <c r="AE413" s="295"/>
      <c r="AF413" s="295"/>
      <c r="AG413" s="296"/>
      <c r="AH413" s="296"/>
      <c r="AI413" s="296"/>
      <c r="AJ413" s="325"/>
      <c r="AK413" s="325"/>
      <c r="AL413" s="325"/>
      <c r="AM413" s="325"/>
    </row>
    <row r="414" spans="1:39" x14ac:dyDescent="0.25">
      <c r="A414" s="232">
        <f t="shared" si="189"/>
        <v>414</v>
      </c>
      <c r="B414" s="232"/>
      <c r="C414" s="316" t="str">
        <f>+E414</f>
        <v>15.4</v>
      </c>
      <c r="D414" s="297"/>
      <c r="E414" s="317" t="s">
        <v>12206</v>
      </c>
      <c r="F414" s="317"/>
      <c r="G414" s="318" t="s">
        <v>12207</v>
      </c>
      <c r="H414" s="317"/>
      <c r="I414" s="319"/>
      <c r="J414" s="317"/>
      <c r="K414" s="317"/>
      <c r="L414" s="317"/>
      <c r="M414" s="317"/>
      <c r="N414" s="317"/>
      <c r="O414" s="317"/>
      <c r="P414" s="317"/>
      <c r="Q414" s="320"/>
      <c r="R414" s="306"/>
      <c r="S414" s="286"/>
      <c r="T414" s="287"/>
      <c r="U414" s="288" t="str">
        <f t="shared" si="204"/>
        <v/>
      </c>
      <c r="V414" s="287"/>
      <c r="W414" s="289" t="str">
        <f t="shared" si="205"/>
        <v/>
      </c>
      <c r="X414" s="287"/>
      <c r="Y414" s="290" t="str">
        <f t="shared" si="206"/>
        <v/>
      </c>
      <c r="Z414" s="291">
        <f ca="1">SUMIF($T$8:Y$1018,"QUANT.",T414:Y414)</f>
        <v>0</v>
      </c>
      <c r="AA414" s="292">
        <f t="shared" ca="1" si="207"/>
        <v>0</v>
      </c>
      <c r="AB414" s="293" t="str">
        <f t="shared" si="208"/>
        <v/>
      </c>
      <c r="AC414" s="294">
        <f t="shared" ca="1" si="209"/>
        <v>0</v>
      </c>
      <c r="AD414" s="294">
        <f t="shared" ca="1" si="210"/>
        <v>0</v>
      </c>
      <c r="AE414" s="295"/>
      <c r="AF414" s="295"/>
      <c r="AG414" s="296"/>
      <c r="AH414" s="296"/>
      <c r="AI414" s="296"/>
      <c r="AJ414" s="325"/>
      <c r="AK414" s="325"/>
      <c r="AL414" s="325"/>
      <c r="AM414" s="325"/>
    </row>
    <row r="415" spans="1:39" ht="25.5" x14ac:dyDescent="0.25">
      <c r="A415" s="232">
        <f t="shared" si="189"/>
        <v>415</v>
      </c>
      <c r="B415" s="232"/>
      <c r="C415" s="307" t="str">
        <f t="shared" ref="C415:C430" si="211">+C414</f>
        <v>15.4</v>
      </c>
      <c r="D415" s="308">
        <f t="shared" ref="D415:D430" si="212">1+D414</f>
        <v>1</v>
      </c>
      <c r="E415" s="309" t="str">
        <f t="shared" ref="E415:E430" si="213">C415&amp;"."&amp;D415</f>
        <v>15.4.1</v>
      </c>
      <c r="F415" s="310" t="s">
        <v>12208</v>
      </c>
      <c r="G415" s="311" t="str">
        <f>IF($F415="","",IFERROR(VLOOKUP($F415,SERVIÇOS!$B:$G,2,0),IFERROR(VLOOKUP($F415,'COMPOSIÇÕES COMPLEMENTARES '!$D:$L,2,0),IFERROR(VLOOKUP($F415,INSUMOS!$A:$D,2,0),""))))</f>
        <v>LUMINÁRIA QUADRADA TIPO PLACA DE LED 30X30 CM DE EMBUTIR, 24W/127V - 1700 LM - 4000K - STH9954Q/40 - BIVOLT - STELLA OU SIMILAR.</v>
      </c>
      <c r="H415" s="312" t="str">
        <f>IF($F415="","",IFERROR(VLOOKUP($F415,SERVIÇOS!$B:$G,3,0),IFERROR(VLOOKUP($F415,'COMPOSIÇÕES COMPLEMENTARES '!$D:$L,3,0),IFERROR(VLOOKUP($F415,INSUMOS!$A:$D,3,0),""))))</f>
        <v>UN</v>
      </c>
      <c r="I415" s="313">
        <v>40</v>
      </c>
      <c r="J415" s="314">
        <f>IF($F415="","",IFERROR(VLOOKUP($F415,SERVIÇOS!$B:$G,4,0),IFERROR(VLOOKUP($F415,'COMPOSIÇÕES COMPLEMENTARES '!$D:$L,6,0),IFERROR(VLOOKUP($F415,INSUMOS!$A:$D,4,0),""))))</f>
        <v>87.24</v>
      </c>
      <c r="K415" s="314">
        <f>IF($F415="","",IFERROR(VLOOKUP($F415,SERVIÇOS!$B:$G,5,0),IFERROR(VLOOKUP($F415,'COMPOSIÇÕES COMPLEMENTARES '!$D:$L,7,0),0)))</f>
        <v>43.89</v>
      </c>
      <c r="L415" s="314">
        <f t="shared" ref="L415:L430" si="214">IF(I415="","",J415+K415)</f>
        <v>131.13</v>
      </c>
      <c r="M415" s="314">
        <f t="shared" ref="M415:M430" si="215">IF(I415="","",TRUNC((I415*J415),2))</f>
        <v>3489.6</v>
      </c>
      <c r="N415" s="314">
        <f t="shared" ref="N415:N430" si="216">IF(I415="","",TRUNC((I415*K415),2))</f>
        <v>1755.6</v>
      </c>
      <c r="O415" s="314">
        <f t="shared" ref="O415:O430" si="217">IF(I415="","",TRUNC((M415+N415),2))</f>
        <v>5245.2</v>
      </c>
      <c r="P415" s="314"/>
      <c r="Q415" s="315"/>
      <c r="R415" s="315"/>
      <c r="S415" s="286"/>
      <c r="T415" s="287"/>
      <c r="U415" s="288" t="str">
        <f t="shared" si="204"/>
        <v/>
      </c>
      <c r="V415" s="287"/>
      <c r="W415" s="289" t="str">
        <f t="shared" si="205"/>
        <v/>
      </c>
      <c r="X415" s="287"/>
      <c r="Y415" s="290" t="str">
        <f t="shared" si="206"/>
        <v/>
      </c>
      <c r="Z415" s="291">
        <f ca="1">SUMIF($T$8:Y$1018,"QUANT.",T415:Y415)</f>
        <v>0</v>
      </c>
      <c r="AA415" s="292">
        <f t="shared" ca="1" si="207"/>
        <v>0</v>
      </c>
      <c r="AB415" s="293" t="str">
        <f t="shared" ca="1" si="208"/>
        <v>MEDIR</v>
      </c>
      <c r="AC415" s="294">
        <f t="shared" ca="1" si="209"/>
        <v>40</v>
      </c>
      <c r="AD415" s="294">
        <f t="shared" ca="1" si="210"/>
        <v>5245.2</v>
      </c>
      <c r="AE415" s="295"/>
      <c r="AF415" s="295"/>
      <c r="AG415" s="296"/>
      <c r="AH415" s="296"/>
      <c r="AI415" s="296"/>
      <c r="AJ415" s="325"/>
      <c r="AK415" s="325"/>
      <c r="AL415" s="325"/>
      <c r="AM415" s="325"/>
    </row>
    <row r="416" spans="1:39" ht="25.5" x14ac:dyDescent="0.25">
      <c r="A416" s="232">
        <f t="shared" si="189"/>
        <v>416</v>
      </c>
      <c r="B416" s="232"/>
      <c r="C416" s="307" t="str">
        <f t="shared" si="211"/>
        <v>15.4</v>
      </c>
      <c r="D416" s="308">
        <f t="shared" si="212"/>
        <v>2</v>
      </c>
      <c r="E416" s="309" t="str">
        <f t="shared" si="213"/>
        <v>15.4.2</v>
      </c>
      <c r="F416" s="310" t="s">
        <v>12209</v>
      </c>
      <c r="G416" s="311" t="str">
        <f>IF($F416="","",IFERROR(VLOOKUP($F416,SERVIÇOS!$B:$G,2,0),IFERROR(VLOOKUP($F416,'COMPOSIÇÕES COMPLEMENTARES '!$D:$L,2,0),IFERROR(VLOOKUP($F416,INSUMOS!$A:$D,2,0),""))))</f>
        <v>ARANDELA LUMIDEC REF. EX02S EM ALUM. EXTRUDADO, PINTURA MICROTEX. BRANCA, COM LÂMPADA LED DE BULBO 9W SOQUETE E27, INSTALADA A 2,10M DO PISO.</v>
      </c>
      <c r="H416" s="312" t="str">
        <f>IF($F416="","",IFERROR(VLOOKUP($F416,SERVIÇOS!$B:$G,3,0),IFERROR(VLOOKUP($F416,'COMPOSIÇÕES COMPLEMENTARES '!$D:$L,3,0),IFERROR(VLOOKUP($F416,INSUMOS!$A:$D,3,0),""))))</f>
        <v>UN</v>
      </c>
      <c r="I416" s="313">
        <v>2</v>
      </c>
      <c r="J416" s="314">
        <f>IF($F416="","",IFERROR(VLOOKUP($F416,SERVIÇOS!$B:$G,4,0),IFERROR(VLOOKUP($F416,'COMPOSIÇÕES COMPLEMENTARES '!$D:$L,6,0),IFERROR(VLOOKUP($F416,INSUMOS!$A:$D,4,0),""))))</f>
        <v>157.22999999999999</v>
      </c>
      <c r="K416" s="314">
        <f>IF($F416="","",IFERROR(VLOOKUP($F416,SERVIÇOS!$B:$G,5,0),IFERROR(VLOOKUP($F416,'COMPOSIÇÕES COMPLEMENTARES '!$D:$L,7,0),0)))</f>
        <v>43.89</v>
      </c>
      <c r="L416" s="314">
        <f t="shared" si="214"/>
        <v>201.12</v>
      </c>
      <c r="M416" s="314">
        <f t="shared" si="215"/>
        <v>314.45999999999998</v>
      </c>
      <c r="N416" s="314">
        <f t="shared" si="216"/>
        <v>87.78</v>
      </c>
      <c r="O416" s="314">
        <f t="shared" si="217"/>
        <v>402.24</v>
      </c>
      <c r="P416" s="314"/>
      <c r="Q416" s="315"/>
      <c r="R416" s="315"/>
      <c r="S416" s="286"/>
      <c r="T416" s="287"/>
      <c r="U416" s="288" t="str">
        <f t="shared" si="204"/>
        <v/>
      </c>
      <c r="V416" s="287"/>
      <c r="W416" s="289" t="str">
        <f t="shared" si="205"/>
        <v/>
      </c>
      <c r="X416" s="287"/>
      <c r="Y416" s="290" t="str">
        <f t="shared" si="206"/>
        <v/>
      </c>
      <c r="Z416" s="291">
        <f ca="1">SUMIF($T$8:Y$1018,"QUANT.",T416:Y416)</f>
        <v>0</v>
      </c>
      <c r="AA416" s="292">
        <f t="shared" ca="1" si="207"/>
        <v>0</v>
      </c>
      <c r="AB416" s="293" t="str">
        <f t="shared" ca="1" si="208"/>
        <v>MEDIR</v>
      </c>
      <c r="AC416" s="294">
        <f t="shared" ca="1" si="209"/>
        <v>2</v>
      </c>
      <c r="AD416" s="294">
        <f t="shared" ca="1" si="210"/>
        <v>402.24</v>
      </c>
      <c r="AE416" s="295"/>
      <c r="AF416" s="295"/>
      <c r="AG416" s="296"/>
      <c r="AH416" s="296"/>
      <c r="AI416" s="296"/>
      <c r="AJ416" s="325"/>
      <c r="AK416" s="325"/>
      <c r="AL416" s="325"/>
      <c r="AM416" s="325"/>
    </row>
    <row r="417" spans="1:39" ht="25.5" x14ac:dyDescent="0.25">
      <c r="A417" s="232">
        <f t="shared" si="189"/>
        <v>417</v>
      </c>
      <c r="B417" s="232"/>
      <c r="C417" s="307" t="str">
        <f t="shared" si="211"/>
        <v>15.4</v>
      </c>
      <c r="D417" s="308">
        <f t="shared" si="212"/>
        <v>3</v>
      </c>
      <c r="E417" s="309" t="str">
        <f t="shared" si="213"/>
        <v>15.4.3</v>
      </c>
      <c r="F417" s="310" t="s">
        <v>12210</v>
      </c>
      <c r="G417" s="311" t="str">
        <f>IF($F417="","",IFERROR(VLOOKUP($F417,SERVIÇOS!$B:$G,2,0),IFERROR(VLOOKUP($F417,'COMPOSIÇÕES COMPLEMENTARES '!$D:$L,2,0),IFERROR(VLOOKUP($F417,INSUMOS!$A:$D,2,0),""))))</f>
        <v>PROJETOR PARA LÂMPADA ELETRÔNICA LED 50W/220V, PARA ILUMINAÇÃO EXTERNA COM RELÉ FOTIMER(FOTOELETRICO + TEMPORIZADO).</v>
      </c>
      <c r="H417" s="312" t="str">
        <f>IF($F417="","",IFERROR(VLOOKUP($F417,SERVIÇOS!$B:$G,3,0),IFERROR(VLOOKUP($F417,'COMPOSIÇÕES COMPLEMENTARES '!$D:$L,3,0),IFERROR(VLOOKUP($F417,INSUMOS!$A:$D,3,0),""))))</f>
        <v>UN</v>
      </c>
      <c r="I417" s="313">
        <v>4</v>
      </c>
      <c r="J417" s="314">
        <f>IF($F417="","",IFERROR(VLOOKUP($F417,SERVIÇOS!$B:$G,4,0),IFERROR(VLOOKUP($F417,'COMPOSIÇÕES COMPLEMENTARES '!$D:$L,6,0),IFERROR(VLOOKUP($F417,INSUMOS!$A:$D,4,0),""))))</f>
        <v>138.43</v>
      </c>
      <c r="K417" s="314">
        <f>IF($F417="","",IFERROR(VLOOKUP($F417,SERVIÇOS!$B:$G,5,0),IFERROR(VLOOKUP($F417,'COMPOSIÇÕES COMPLEMENTARES '!$D:$L,7,0),0)))</f>
        <v>17.5</v>
      </c>
      <c r="L417" s="314">
        <f t="shared" si="214"/>
        <v>155.93</v>
      </c>
      <c r="M417" s="314">
        <f t="shared" si="215"/>
        <v>553.72</v>
      </c>
      <c r="N417" s="314">
        <f t="shared" si="216"/>
        <v>70</v>
      </c>
      <c r="O417" s="314">
        <f t="shared" si="217"/>
        <v>623.72</v>
      </c>
      <c r="P417" s="314"/>
      <c r="Q417" s="315"/>
      <c r="R417" s="315"/>
      <c r="S417" s="286"/>
      <c r="T417" s="287"/>
      <c r="U417" s="288" t="str">
        <f t="shared" si="204"/>
        <v/>
      </c>
      <c r="V417" s="287"/>
      <c r="W417" s="289" t="str">
        <f t="shared" si="205"/>
        <v/>
      </c>
      <c r="X417" s="287"/>
      <c r="Y417" s="290" t="str">
        <f t="shared" si="206"/>
        <v/>
      </c>
      <c r="Z417" s="291">
        <f ca="1">SUMIF($T$8:Y$1018,"QUANT.",T417:Y417)</f>
        <v>0</v>
      </c>
      <c r="AA417" s="292">
        <f t="shared" ca="1" si="207"/>
        <v>0</v>
      </c>
      <c r="AB417" s="293" t="str">
        <f t="shared" ca="1" si="208"/>
        <v>MEDIR</v>
      </c>
      <c r="AC417" s="294">
        <f t="shared" ca="1" si="209"/>
        <v>4</v>
      </c>
      <c r="AD417" s="294">
        <f t="shared" ca="1" si="210"/>
        <v>623.72</v>
      </c>
      <c r="AE417" s="295"/>
      <c r="AF417" s="295"/>
      <c r="AG417" s="296"/>
      <c r="AH417" s="296"/>
      <c r="AI417" s="296"/>
      <c r="AJ417" s="295"/>
      <c r="AK417" s="325"/>
      <c r="AL417" s="325"/>
      <c r="AM417" s="325"/>
    </row>
    <row r="418" spans="1:39" ht="25.5" x14ac:dyDescent="0.25">
      <c r="A418" s="232">
        <f t="shared" si="189"/>
        <v>418</v>
      </c>
      <c r="B418" s="232"/>
      <c r="C418" s="307" t="str">
        <f t="shared" si="211"/>
        <v>15.4</v>
      </c>
      <c r="D418" s="308">
        <f t="shared" si="212"/>
        <v>4</v>
      </c>
      <c r="E418" s="309" t="str">
        <f t="shared" si="213"/>
        <v>15.4.4</v>
      </c>
      <c r="F418" s="310">
        <v>91997</v>
      </c>
      <c r="G418" s="311" t="str">
        <f>IF($F418="","",IFERROR(VLOOKUP($F418,SERVIÇOS!$B:$G,2,0),IFERROR(VLOOKUP($F418,'COMPOSIÇÕES COMPLEMENTARES '!$D:$L,2,0),IFERROR(VLOOKUP($F418,INSUMOS!$A:$D,2,0),""))))</f>
        <v>TOMADA MÉDIA DE EMBUTIR (1 MÓDULO), 2P+T 20 A, INCLUINDO SUPORTE E PLACA - FORNECIMENTO E INSTALAÇÃO. AF_03/2023</v>
      </c>
      <c r="H418" s="312" t="str">
        <f>IF($F418="","",IFERROR(VLOOKUP($F418,SERVIÇOS!$B:$G,3,0),IFERROR(VLOOKUP($F418,'COMPOSIÇÕES COMPLEMENTARES '!$D:$L,3,0),IFERROR(VLOOKUP($F418,INSUMOS!$A:$D,3,0),""))))</f>
        <v>UN</v>
      </c>
      <c r="I418" s="313">
        <v>3</v>
      </c>
      <c r="J418" s="314">
        <f>IF($F418="","",IFERROR(VLOOKUP($F418,SERVIÇOS!$B:$G,4,0),IFERROR(VLOOKUP($F418,'COMPOSIÇÕES COMPLEMENTARES '!$D:$L,6,0),IFERROR(VLOOKUP($F418,INSUMOS!$A:$D,4,0),""))))</f>
        <v>24.26</v>
      </c>
      <c r="K418" s="314">
        <f>IF($F418="","",IFERROR(VLOOKUP($F418,SERVIÇOS!$B:$G,5,0),IFERROR(VLOOKUP($F418,'COMPOSIÇÕES COMPLEMENTARES '!$D:$L,7,0),0)))</f>
        <v>22.03</v>
      </c>
      <c r="L418" s="314">
        <f t="shared" si="214"/>
        <v>46.290000000000006</v>
      </c>
      <c r="M418" s="314">
        <f t="shared" si="215"/>
        <v>72.78</v>
      </c>
      <c r="N418" s="314">
        <f t="shared" si="216"/>
        <v>66.09</v>
      </c>
      <c r="O418" s="314">
        <f t="shared" si="217"/>
        <v>138.87</v>
      </c>
      <c r="P418" s="314"/>
      <c r="Q418" s="315"/>
      <c r="R418" s="315"/>
      <c r="S418" s="286"/>
      <c r="T418" s="287"/>
      <c r="U418" s="288" t="str">
        <f t="shared" si="204"/>
        <v/>
      </c>
      <c r="V418" s="287"/>
      <c r="W418" s="289" t="str">
        <f t="shared" si="205"/>
        <v/>
      </c>
      <c r="X418" s="287"/>
      <c r="Y418" s="290" t="str">
        <f t="shared" si="206"/>
        <v/>
      </c>
      <c r="Z418" s="291">
        <f ca="1">SUMIF($T$8:Y$1018,"QUANT.",T418:Y418)</f>
        <v>0</v>
      </c>
      <c r="AA418" s="292">
        <f t="shared" ca="1" si="207"/>
        <v>0</v>
      </c>
      <c r="AB418" s="293" t="str">
        <f t="shared" ca="1" si="208"/>
        <v>MEDIR</v>
      </c>
      <c r="AC418" s="294">
        <f t="shared" ca="1" si="209"/>
        <v>3</v>
      </c>
      <c r="AD418" s="294">
        <f t="shared" ca="1" si="210"/>
        <v>138.87</v>
      </c>
      <c r="AE418" s="295"/>
      <c r="AF418" s="295"/>
      <c r="AG418" s="296"/>
      <c r="AH418" s="296"/>
      <c r="AI418" s="296"/>
      <c r="AJ418" s="295"/>
      <c r="AK418" s="325"/>
      <c r="AL418" s="325"/>
      <c r="AM418" s="325"/>
    </row>
    <row r="419" spans="1:39" ht="25.5" x14ac:dyDescent="0.25">
      <c r="A419" s="232">
        <f t="shared" si="189"/>
        <v>419</v>
      </c>
      <c r="B419" s="232"/>
      <c r="C419" s="307" t="str">
        <f t="shared" si="211"/>
        <v>15.4</v>
      </c>
      <c r="D419" s="308">
        <f t="shared" si="212"/>
        <v>5</v>
      </c>
      <c r="E419" s="309" t="str">
        <f t="shared" si="213"/>
        <v>15.4.5</v>
      </c>
      <c r="F419" s="310">
        <v>91957</v>
      </c>
      <c r="G419" s="311" t="str">
        <f>IF($F419="","",IFERROR(VLOOKUP($F419,SERVIÇOS!$B:$G,2,0),IFERROR(VLOOKUP($F419,'COMPOSIÇÕES COMPLEMENTARES '!$D:$L,2,0),IFERROR(VLOOKUP($F419,INSUMOS!$A:$D,2,0),""))))</f>
        <v>INTERRUPTOR SIMPLES (1 MÓDULO) COM INTERRUPTOR PARALELO (1 MÓDULO), 10A/250V, INCLUINDO SUPORTE E PLACA - FORNECIMENTO E INSTALAÇÃO. AF_03/2023</v>
      </c>
      <c r="H419" s="312" t="str">
        <f>IF($F419="","",IFERROR(VLOOKUP($F419,SERVIÇOS!$B:$G,3,0),IFERROR(VLOOKUP($F419,'COMPOSIÇÕES COMPLEMENTARES '!$D:$L,3,0),IFERROR(VLOOKUP($F419,INSUMOS!$A:$D,3,0),""))))</f>
        <v>UN</v>
      </c>
      <c r="I419" s="313">
        <v>1</v>
      </c>
      <c r="J419" s="314">
        <f>IF($F419="","",IFERROR(VLOOKUP($F419,SERVIÇOS!$B:$G,4,0),IFERROR(VLOOKUP($F419,'COMPOSIÇÕES COMPLEMENTARES '!$D:$L,6,0),IFERROR(VLOOKUP($F419,INSUMOS!$A:$D,4,0),""))))</f>
        <v>33.85</v>
      </c>
      <c r="K419" s="314">
        <f>IF($F419="","",IFERROR(VLOOKUP($F419,SERVIÇOS!$B:$G,5,0),IFERROR(VLOOKUP($F419,'COMPOSIÇÕES COMPLEMENTARES '!$D:$L,7,0),0)))</f>
        <v>30.4</v>
      </c>
      <c r="L419" s="314">
        <f t="shared" si="214"/>
        <v>64.25</v>
      </c>
      <c r="M419" s="314">
        <f t="shared" si="215"/>
        <v>33.85</v>
      </c>
      <c r="N419" s="314">
        <f t="shared" si="216"/>
        <v>30.4</v>
      </c>
      <c r="O419" s="314">
        <f t="shared" si="217"/>
        <v>64.25</v>
      </c>
      <c r="P419" s="314"/>
      <c r="Q419" s="315"/>
      <c r="R419" s="315"/>
      <c r="S419" s="286"/>
      <c r="T419" s="287"/>
      <c r="U419" s="288" t="str">
        <f t="shared" si="204"/>
        <v/>
      </c>
      <c r="V419" s="287"/>
      <c r="W419" s="289" t="str">
        <f t="shared" si="205"/>
        <v/>
      </c>
      <c r="X419" s="287"/>
      <c r="Y419" s="290" t="str">
        <f t="shared" si="206"/>
        <v/>
      </c>
      <c r="Z419" s="291">
        <f ca="1">SUMIF($T$8:Y$1018,"QUANT.",T419:Y419)</f>
        <v>0</v>
      </c>
      <c r="AA419" s="292">
        <f t="shared" ca="1" si="207"/>
        <v>0</v>
      </c>
      <c r="AB419" s="293" t="str">
        <f t="shared" ca="1" si="208"/>
        <v>MEDIR</v>
      </c>
      <c r="AC419" s="294">
        <f t="shared" ca="1" si="209"/>
        <v>1</v>
      </c>
      <c r="AD419" s="294">
        <f t="shared" ca="1" si="210"/>
        <v>64.25</v>
      </c>
      <c r="AE419" s="295"/>
      <c r="AF419" s="295"/>
      <c r="AG419" s="296"/>
      <c r="AH419" s="296"/>
      <c r="AI419" s="296"/>
      <c r="AJ419" s="295"/>
      <c r="AK419" s="325"/>
      <c r="AL419" s="325"/>
      <c r="AM419" s="325"/>
    </row>
    <row r="420" spans="1:39" ht="25.5" x14ac:dyDescent="0.25">
      <c r="A420" s="232">
        <f t="shared" si="189"/>
        <v>420</v>
      </c>
      <c r="B420" s="232"/>
      <c r="C420" s="307" t="str">
        <f t="shared" si="211"/>
        <v>15.4</v>
      </c>
      <c r="D420" s="308">
        <f t="shared" si="212"/>
        <v>6</v>
      </c>
      <c r="E420" s="309" t="str">
        <f t="shared" si="213"/>
        <v>15.4.6</v>
      </c>
      <c r="F420" s="310">
        <v>91955</v>
      </c>
      <c r="G420" s="311" t="str">
        <f>IF($F420="","",IFERROR(VLOOKUP($F420,SERVIÇOS!$B:$G,2,0),IFERROR(VLOOKUP($F420,'COMPOSIÇÕES COMPLEMENTARES '!$D:$L,2,0),IFERROR(VLOOKUP($F420,INSUMOS!$A:$D,2,0),""))))</f>
        <v>INTERRUPTOR PARALELO (1 MÓDULO), 10A/250V, INCLUINDO SUPORTE E PLACA - FORNECIMENTO E INSTALAÇÃO. AF_03/2023</v>
      </c>
      <c r="H420" s="312" t="str">
        <f>IF($F420="","",IFERROR(VLOOKUP($F420,SERVIÇOS!$B:$G,3,0),IFERROR(VLOOKUP($F420,'COMPOSIÇÕES COMPLEMENTARES '!$D:$L,3,0),IFERROR(VLOOKUP($F420,INSUMOS!$A:$D,3,0),""))))</f>
        <v>UN</v>
      </c>
      <c r="I420" s="313">
        <v>1</v>
      </c>
      <c r="J420" s="314">
        <f>IF($F420="","",IFERROR(VLOOKUP($F420,SERVIÇOS!$B:$G,4,0),IFERROR(VLOOKUP($F420,'COMPOSIÇÕES COMPLEMENTARES '!$D:$L,6,0),IFERROR(VLOOKUP($F420,INSUMOS!$A:$D,4,0),""))))</f>
        <v>23.08</v>
      </c>
      <c r="K420" s="314">
        <f>IF($F420="","",IFERROR(VLOOKUP($F420,SERVIÇOS!$B:$G,5,0),IFERROR(VLOOKUP($F420,'COMPOSIÇÕES COMPLEMENTARES '!$D:$L,7,0),0)))</f>
        <v>22.04</v>
      </c>
      <c r="L420" s="314">
        <f t="shared" si="214"/>
        <v>45.12</v>
      </c>
      <c r="M420" s="314">
        <f t="shared" si="215"/>
        <v>23.08</v>
      </c>
      <c r="N420" s="314">
        <f t="shared" si="216"/>
        <v>22.04</v>
      </c>
      <c r="O420" s="314">
        <f t="shared" si="217"/>
        <v>45.12</v>
      </c>
      <c r="P420" s="314"/>
      <c r="Q420" s="315"/>
      <c r="R420" s="315"/>
      <c r="S420" s="286"/>
      <c r="T420" s="287"/>
      <c r="U420" s="288" t="str">
        <f t="shared" si="204"/>
        <v/>
      </c>
      <c r="V420" s="287"/>
      <c r="W420" s="289" t="str">
        <f t="shared" si="205"/>
        <v/>
      </c>
      <c r="X420" s="287"/>
      <c r="Y420" s="290" t="str">
        <f t="shared" si="206"/>
        <v/>
      </c>
      <c r="Z420" s="291">
        <f ca="1">SUMIF($T$8:Y$1018,"QUANT.",T420:Y420)</f>
        <v>0</v>
      </c>
      <c r="AA420" s="292">
        <f t="shared" ca="1" si="207"/>
        <v>0</v>
      </c>
      <c r="AB420" s="293" t="str">
        <f t="shared" ca="1" si="208"/>
        <v>MEDIR</v>
      </c>
      <c r="AC420" s="294">
        <f t="shared" ca="1" si="209"/>
        <v>1</v>
      </c>
      <c r="AD420" s="294">
        <f t="shared" ca="1" si="210"/>
        <v>45.12</v>
      </c>
      <c r="AE420" s="295"/>
      <c r="AF420" s="295"/>
      <c r="AG420" s="296"/>
      <c r="AH420" s="296"/>
      <c r="AI420" s="296"/>
      <c r="AJ420" s="295"/>
      <c r="AK420" s="295"/>
      <c r="AL420" s="295"/>
      <c r="AM420" s="295"/>
    </row>
    <row r="421" spans="1:39" ht="25.5" x14ac:dyDescent="0.25">
      <c r="A421" s="232">
        <f t="shared" si="189"/>
        <v>421</v>
      </c>
      <c r="B421" s="232"/>
      <c r="C421" s="307" t="str">
        <f t="shared" si="211"/>
        <v>15.4</v>
      </c>
      <c r="D421" s="308">
        <f t="shared" si="212"/>
        <v>7</v>
      </c>
      <c r="E421" s="309" t="str">
        <f t="shared" si="213"/>
        <v>15.4.7</v>
      </c>
      <c r="F421" s="310">
        <v>91953</v>
      </c>
      <c r="G421" s="311" t="str">
        <f>IF($F421="","",IFERROR(VLOOKUP($F421,SERVIÇOS!$B:$G,2,0),IFERROR(VLOOKUP($F421,'COMPOSIÇÕES COMPLEMENTARES '!$D:$L,2,0),IFERROR(VLOOKUP($F421,INSUMOS!$A:$D,2,0),""))))</f>
        <v>INTERRUPTOR SIMPLES (1 MÓDULO), 10A/250V, INCLUINDO SUPORTE E PLACA - FORNECIMENTO E INSTALAÇÃO. AF_03/2023</v>
      </c>
      <c r="H421" s="312" t="str">
        <f>IF($F421="","",IFERROR(VLOOKUP($F421,SERVIÇOS!$B:$G,3,0),IFERROR(VLOOKUP($F421,'COMPOSIÇÕES COMPLEMENTARES '!$D:$L,3,0),IFERROR(VLOOKUP($F421,INSUMOS!$A:$D,3,0),""))))</f>
        <v>UN</v>
      </c>
      <c r="I421" s="313">
        <v>17</v>
      </c>
      <c r="J421" s="314">
        <f>IF($F421="","",IFERROR(VLOOKUP($F421,SERVIÇOS!$B:$G,4,0),IFERROR(VLOOKUP($F421,'COMPOSIÇÕES COMPLEMENTARES '!$D:$L,6,0),IFERROR(VLOOKUP($F421,INSUMOS!$A:$D,4,0),""))))</f>
        <v>19.2</v>
      </c>
      <c r="K421" s="314">
        <f>IF($F421="","",IFERROR(VLOOKUP($F421,SERVIÇOS!$B:$G,5,0),IFERROR(VLOOKUP($F421,'COMPOSIÇÕES COMPLEMENTARES '!$D:$L,7,0),0)))</f>
        <v>17.82</v>
      </c>
      <c r="L421" s="314">
        <f t="shared" si="214"/>
        <v>37.019999999999996</v>
      </c>
      <c r="M421" s="314">
        <f t="shared" si="215"/>
        <v>326.39999999999998</v>
      </c>
      <c r="N421" s="314">
        <f t="shared" si="216"/>
        <v>302.94</v>
      </c>
      <c r="O421" s="314">
        <f t="shared" si="217"/>
        <v>629.34</v>
      </c>
      <c r="P421" s="314"/>
      <c r="Q421" s="315"/>
      <c r="R421" s="315"/>
      <c r="S421" s="286"/>
      <c r="T421" s="287"/>
      <c r="U421" s="288" t="str">
        <f t="shared" si="204"/>
        <v/>
      </c>
      <c r="V421" s="287"/>
      <c r="W421" s="289" t="str">
        <f t="shared" si="205"/>
        <v/>
      </c>
      <c r="X421" s="287"/>
      <c r="Y421" s="290" t="str">
        <f t="shared" si="206"/>
        <v/>
      </c>
      <c r="Z421" s="291">
        <f ca="1">SUMIF($T$8:Y$1018,"QUANT.",T421:Y421)</f>
        <v>0</v>
      </c>
      <c r="AA421" s="292">
        <f t="shared" ca="1" si="207"/>
        <v>0</v>
      </c>
      <c r="AB421" s="293" t="str">
        <f t="shared" ca="1" si="208"/>
        <v>MEDIR</v>
      </c>
      <c r="AC421" s="294">
        <f t="shared" ca="1" si="209"/>
        <v>17</v>
      </c>
      <c r="AD421" s="294">
        <f t="shared" ca="1" si="210"/>
        <v>629.34</v>
      </c>
      <c r="AE421" s="295"/>
      <c r="AF421" s="295"/>
      <c r="AG421" s="296"/>
      <c r="AH421" s="296"/>
      <c r="AI421" s="296"/>
      <c r="AJ421" s="295"/>
      <c r="AK421" s="295"/>
      <c r="AL421" s="295"/>
      <c r="AM421" s="295"/>
    </row>
    <row r="422" spans="1:39" ht="25.5" x14ac:dyDescent="0.25">
      <c r="A422" s="232">
        <f t="shared" si="189"/>
        <v>422</v>
      </c>
      <c r="B422" s="232"/>
      <c r="C422" s="307" t="str">
        <f t="shared" si="211"/>
        <v>15.4</v>
      </c>
      <c r="D422" s="308">
        <f t="shared" si="212"/>
        <v>8</v>
      </c>
      <c r="E422" s="309" t="str">
        <f t="shared" si="213"/>
        <v>15.4.8</v>
      </c>
      <c r="F422" s="310">
        <v>91959</v>
      </c>
      <c r="G422" s="311" t="str">
        <f>IF($F422="","",IFERROR(VLOOKUP($F422,SERVIÇOS!$B:$G,2,0),IFERROR(VLOOKUP($F422,'COMPOSIÇÕES COMPLEMENTARES '!$D:$L,2,0),IFERROR(VLOOKUP($F422,INSUMOS!$A:$D,2,0),""))))</f>
        <v>INTERRUPTOR SIMPLES (2 MÓDULOS), 10A/250V, INCLUINDO SUPORTE E PLACA - FORNECIMENTO E INSTALAÇÃO. AF_03/2023</v>
      </c>
      <c r="H422" s="312" t="str">
        <f>IF($F422="","",IFERROR(VLOOKUP($F422,SERVIÇOS!$B:$G,3,0),IFERROR(VLOOKUP($F422,'COMPOSIÇÕES COMPLEMENTARES '!$D:$L,3,0),IFERROR(VLOOKUP($F422,INSUMOS!$A:$D,3,0),""))))</f>
        <v>UN</v>
      </c>
      <c r="I422" s="313">
        <v>1</v>
      </c>
      <c r="J422" s="314">
        <f>IF($F422="","",IFERROR(VLOOKUP($F422,SERVIÇOS!$B:$G,4,0),IFERROR(VLOOKUP($F422,'COMPOSIÇÕES COMPLEMENTARES '!$D:$L,6,0),IFERROR(VLOOKUP($F422,INSUMOS!$A:$D,4,0),""))))</f>
        <v>29.99</v>
      </c>
      <c r="K422" s="314">
        <f>IF($F422="","",IFERROR(VLOOKUP($F422,SERVIÇOS!$B:$G,5,0),IFERROR(VLOOKUP($F422,'COMPOSIÇÕES COMPLEMENTARES '!$D:$L,7,0),0)))</f>
        <v>26.24</v>
      </c>
      <c r="L422" s="314">
        <f t="shared" si="214"/>
        <v>56.23</v>
      </c>
      <c r="M422" s="314">
        <f t="shared" si="215"/>
        <v>29.99</v>
      </c>
      <c r="N422" s="314">
        <f t="shared" si="216"/>
        <v>26.24</v>
      </c>
      <c r="O422" s="314">
        <f t="shared" si="217"/>
        <v>56.23</v>
      </c>
      <c r="P422" s="314"/>
      <c r="Q422" s="315"/>
      <c r="R422" s="315"/>
      <c r="S422" s="286"/>
      <c r="T422" s="287"/>
      <c r="U422" s="288" t="str">
        <f t="shared" si="204"/>
        <v/>
      </c>
      <c r="V422" s="287"/>
      <c r="W422" s="289" t="str">
        <f t="shared" si="205"/>
        <v/>
      </c>
      <c r="X422" s="287"/>
      <c r="Y422" s="290" t="str">
        <f t="shared" si="206"/>
        <v/>
      </c>
      <c r="Z422" s="291">
        <f ca="1">SUMIF($T$8:Y$1018,"QUANT.",T422:Y422)</f>
        <v>0</v>
      </c>
      <c r="AA422" s="292">
        <f t="shared" ca="1" si="207"/>
        <v>0</v>
      </c>
      <c r="AB422" s="293" t="str">
        <f t="shared" ca="1" si="208"/>
        <v>MEDIR</v>
      </c>
      <c r="AC422" s="294">
        <f t="shared" ca="1" si="209"/>
        <v>1</v>
      </c>
      <c r="AD422" s="294">
        <f t="shared" ca="1" si="210"/>
        <v>56.23</v>
      </c>
      <c r="AE422" s="295"/>
      <c r="AF422" s="295"/>
      <c r="AG422" s="296"/>
      <c r="AH422" s="296"/>
      <c r="AI422" s="296"/>
      <c r="AJ422" s="295"/>
      <c r="AK422" s="295"/>
      <c r="AL422" s="295"/>
      <c r="AM422" s="295"/>
    </row>
    <row r="423" spans="1:39" x14ac:dyDescent="0.25">
      <c r="A423" s="232">
        <f t="shared" si="189"/>
        <v>423</v>
      </c>
      <c r="B423" s="232"/>
      <c r="C423" s="307" t="str">
        <f t="shared" si="211"/>
        <v>15.4</v>
      </c>
      <c r="D423" s="308">
        <f t="shared" si="212"/>
        <v>9</v>
      </c>
      <c r="E423" s="309" t="str">
        <f t="shared" si="213"/>
        <v>15.4.9</v>
      </c>
      <c r="F423" s="310" t="s">
        <v>12211</v>
      </c>
      <c r="G423" s="311" t="str">
        <f>IF($F423="","",IFERROR(VLOOKUP($F423,SERVIÇOS!$B:$G,2,0),IFERROR(VLOOKUP($F423,'COMPOSIÇÕES COMPLEMENTARES '!$D:$L,2,0),IFERROR(VLOOKUP($F423,INSUMOS!$A:$D,2,0),""))))</f>
        <v>INTERRUPTOR C/ 1 TECLA SIMPLES + TOMADA 20A/220V PADRÃO BRASILEIRO EM CX. 4"X2"</v>
      </c>
      <c r="H423" s="312" t="str">
        <f>IF($F423="","",IFERROR(VLOOKUP($F423,SERVIÇOS!$B:$G,3,0),IFERROR(VLOOKUP($F423,'COMPOSIÇÕES COMPLEMENTARES '!$D:$L,3,0),IFERROR(VLOOKUP($F423,INSUMOS!$A:$D,3,0),""))))</f>
        <v>UN</v>
      </c>
      <c r="I423" s="313">
        <v>1</v>
      </c>
      <c r="J423" s="314">
        <f>IF($F423="","",IFERROR(VLOOKUP($F423,SERVIÇOS!$B:$G,4,0),IFERROR(VLOOKUP($F423,'COMPOSIÇÕES COMPLEMENTARES '!$D:$L,6,0),IFERROR(VLOOKUP($F423,INSUMOS!$A:$D,4,0),""))))</f>
        <v>34.75</v>
      </c>
      <c r="K423" s="314">
        <f>IF($F423="","",IFERROR(VLOOKUP($F423,SERVIÇOS!$B:$G,5,0),IFERROR(VLOOKUP($F423,'COMPOSIÇÕES COMPLEMENTARES '!$D:$L,7,0),0)))</f>
        <v>29.7</v>
      </c>
      <c r="L423" s="314">
        <f t="shared" si="214"/>
        <v>64.45</v>
      </c>
      <c r="M423" s="314">
        <f t="shared" si="215"/>
        <v>34.75</v>
      </c>
      <c r="N423" s="314">
        <f t="shared" si="216"/>
        <v>29.7</v>
      </c>
      <c r="O423" s="314">
        <f t="shared" si="217"/>
        <v>64.45</v>
      </c>
      <c r="P423" s="314"/>
      <c r="Q423" s="315"/>
      <c r="R423" s="315"/>
      <c r="S423" s="286"/>
      <c r="T423" s="287"/>
      <c r="U423" s="288" t="str">
        <f t="shared" si="204"/>
        <v/>
      </c>
      <c r="V423" s="287"/>
      <c r="W423" s="289" t="str">
        <f t="shared" si="205"/>
        <v/>
      </c>
      <c r="X423" s="287"/>
      <c r="Y423" s="290" t="str">
        <f t="shared" si="206"/>
        <v/>
      </c>
      <c r="Z423" s="291">
        <f ca="1">SUMIF($T$8:Y$1018,"QUANT.",T423:Y423)</f>
        <v>0</v>
      </c>
      <c r="AA423" s="292">
        <f t="shared" ca="1" si="207"/>
        <v>0</v>
      </c>
      <c r="AB423" s="293" t="str">
        <f t="shared" ca="1" si="208"/>
        <v>MEDIR</v>
      </c>
      <c r="AC423" s="294">
        <f t="shared" ca="1" si="209"/>
        <v>1</v>
      </c>
      <c r="AD423" s="294">
        <f t="shared" ca="1" si="210"/>
        <v>64.45</v>
      </c>
      <c r="AE423" s="295"/>
      <c r="AF423" s="295"/>
      <c r="AG423" s="296"/>
      <c r="AH423" s="296"/>
      <c r="AI423" s="296"/>
      <c r="AJ423" s="295"/>
      <c r="AK423" s="295"/>
      <c r="AL423" s="295"/>
      <c r="AM423" s="295"/>
    </row>
    <row r="424" spans="1:39" ht="25.5" x14ac:dyDescent="0.25">
      <c r="A424" s="232">
        <f t="shared" si="189"/>
        <v>424</v>
      </c>
      <c r="B424" s="232"/>
      <c r="C424" s="307" t="str">
        <f t="shared" si="211"/>
        <v>15.4</v>
      </c>
      <c r="D424" s="308">
        <f t="shared" si="212"/>
        <v>10</v>
      </c>
      <c r="E424" s="309" t="str">
        <f t="shared" si="213"/>
        <v>15.4.10</v>
      </c>
      <c r="F424" s="310">
        <v>91997</v>
      </c>
      <c r="G424" s="311" t="str">
        <f>IF($F424="","",IFERROR(VLOOKUP($F424,SERVIÇOS!$B:$G,2,0),IFERROR(VLOOKUP($F424,'COMPOSIÇÕES COMPLEMENTARES '!$D:$L,2,0),IFERROR(VLOOKUP($F424,INSUMOS!$A:$D,2,0),""))))</f>
        <v>TOMADA MÉDIA DE EMBUTIR (1 MÓDULO), 2P+T 20 A, INCLUINDO SUPORTE E PLACA - FORNECIMENTO E INSTALAÇÃO. AF_03/2023</v>
      </c>
      <c r="H424" s="312" t="str">
        <f>IF($F424="","",IFERROR(VLOOKUP($F424,SERVIÇOS!$B:$G,3,0),IFERROR(VLOOKUP($F424,'COMPOSIÇÕES COMPLEMENTARES '!$D:$L,3,0),IFERROR(VLOOKUP($F424,INSUMOS!$A:$D,3,0),""))))</f>
        <v>UN</v>
      </c>
      <c r="I424" s="313">
        <v>31</v>
      </c>
      <c r="J424" s="314">
        <f>IF($F424="","",IFERROR(VLOOKUP($F424,SERVIÇOS!$B:$G,4,0),IFERROR(VLOOKUP($F424,'COMPOSIÇÕES COMPLEMENTARES '!$D:$L,6,0),IFERROR(VLOOKUP($F424,INSUMOS!$A:$D,4,0),""))))</f>
        <v>24.26</v>
      </c>
      <c r="K424" s="314">
        <f>IF($F424="","",IFERROR(VLOOKUP($F424,SERVIÇOS!$B:$G,5,0),IFERROR(VLOOKUP($F424,'COMPOSIÇÕES COMPLEMENTARES '!$D:$L,7,0),0)))</f>
        <v>22.03</v>
      </c>
      <c r="L424" s="314">
        <f t="shared" si="214"/>
        <v>46.290000000000006</v>
      </c>
      <c r="M424" s="314">
        <f t="shared" si="215"/>
        <v>752.06</v>
      </c>
      <c r="N424" s="314">
        <f t="shared" si="216"/>
        <v>682.93</v>
      </c>
      <c r="O424" s="314">
        <f t="shared" si="217"/>
        <v>1434.99</v>
      </c>
      <c r="P424" s="314"/>
      <c r="Q424" s="315"/>
      <c r="R424" s="315"/>
      <c r="S424" s="286"/>
      <c r="T424" s="287"/>
      <c r="U424" s="288" t="str">
        <f t="shared" si="204"/>
        <v/>
      </c>
      <c r="V424" s="287"/>
      <c r="W424" s="289" t="str">
        <f t="shared" si="205"/>
        <v/>
      </c>
      <c r="X424" s="287"/>
      <c r="Y424" s="290" t="str">
        <f t="shared" si="206"/>
        <v/>
      </c>
      <c r="Z424" s="291">
        <f ca="1">SUMIF($T$8:Y$1018,"QUANT.",T424:Y424)</f>
        <v>0</v>
      </c>
      <c r="AA424" s="292">
        <f t="shared" ca="1" si="207"/>
        <v>0</v>
      </c>
      <c r="AB424" s="293" t="str">
        <f t="shared" ca="1" si="208"/>
        <v>MEDIR</v>
      </c>
      <c r="AC424" s="294">
        <f t="shared" ca="1" si="209"/>
        <v>31</v>
      </c>
      <c r="AD424" s="294">
        <f t="shared" ca="1" si="210"/>
        <v>1434.99</v>
      </c>
      <c r="AE424" s="295"/>
      <c r="AF424" s="295"/>
      <c r="AG424" s="296"/>
      <c r="AH424" s="296"/>
      <c r="AI424" s="296"/>
      <c r="AJ424" s="325"/>
      <c r="AK424" s="295"/>
      <c r="AL424" s="295"/>
      <c r="AM424" s="295"/>
    </row>
    <row r="425" spans="1:39" ht="25.5" x14ac:dyDescent="0.25">
      <c r="A425" s="232">
        <f t="shared" si="189"/>
        <v>425</v>
      </c>
      <c r="B425" s="232"/>
      <c r="C425" s="307" t="str">
        <f t="shared" si="211"/>
        <v>15.4</v>
      </c>
      <c r="D425" s="308">
        <f t="shared" si="212"/>
        <v>11</v>
      </c>
      <c r="E425" s="309" t="str">
        <f t="shared" si="213"/>
        <v>15.4.11</v>
      </c>
      <c r="F425" s="310">
        <v>92005</v>
      </c>
      <c r="G425" s="311" t="str">
        <f>IF($F425="","",IFERROR(VLOOKUP($F425,SERVIÇOS!$B:$G,2,0),IFERROR(VLOOKUP($F425,'COMPOSIÇÕES COMPLEMENTARES '!$D:$L,2,0),IFERROR(VLOOKUP($F425,INSUMOS!$A:$D,2,0),""))))</f>
        <v>TOMADA MÉDIA DE EMBUTIR (2 MÓDULOS), 2P+T 20 A, INCLUINDO SUPORTE E PLACA - FORNECIMENTO E INSTALAÇÃO. AF_03/2023</v>
      </c>
      <c r="H425" s="312" t="str">
        <f>IF($F425="","",IFERROR(VLOOKUP($F425,SERVIÇOS!$B:$G,3,0),IFERROR(VLOOKUP($F425,'COMPOSIÇÕES COMPLEMENTARES '!$D:$L,3,0),IFERROR(VLOOKUP($F425,INSUMOS!$A:$D,3,0),""))))</f>
        <v>UN</v>
      </c>
      <c r="I425" s="313">
        <v>5</v>
      </c>
      <c r="J425" s="314">
        <f>IF($F425="","",IFERROR(VLOOKUP($F425,SERVIÇOS!$B:$G,4,0),IFERROR(VLOOKUP($F425,'COMPOSIÇÕES COMPLEMENTARES '!$D:$L,6,0),IFERROR(VLOOKUP($F425,INSUMOS!$A:$D,4,0),""))))</f>
        <v>40.08</v>
      </c>
      <c r="K425" s="314">
        <f>IF($F425="","",IFERROR(VLOOKUP($F425,SERVIÇOS!$B:$G,5,0),IFERROR(VLOOKUP($F425,'COMPOSIÇÕES COMPLEMENTARES '!$D:$L,7,0),0)))</f>
        <v>34.67</v>
      </c>
      <c r="L425" s="314">
        <f t="shared" si="214"/>
        <v>74.75</v>
      </c>
      <c r="M425" s="314">
        <f t="shared" si="215"/>
        <v>200.4</v>
      </c>
      <c r="N425" s="314">
        <f t="shared" si="216"/>
        <v>173.35</v>
      </c>
      <c r="O425" s="314">
        <f t="shared" si="217"/>
        <v>373.75</v>
      </c>
      <c r="P425" s="314"/>
      <c r="Q425" s="315"/>
      <c r="R425" s="315"/>
      <c r="S425" s="286"/>
      <c r="T425" s="287"/>
      <c r="U425" s="288" t="str">
        <f t="shared" si="204"/>
        <v/>
      </c>
      <c r="V425" s="287"/>
      <c r="W425" s="289" t="str">
        <f t="shared" si="205"/>
        <v/>
      </c>
      <c r="X425" s="287"/>
      <c r="Y425" s="290" t="str">
        <f t="shared" si="206"/>
        <v/>
      </c>
      <c r="Z425" s="291">
        <f ca="1">SUMIF($T$8:Y$1018,"QUANT.",T425:Y425)</f>
        <v>0</v>
      </c>
      <c r="AA425" s="292">
        <f t="shared" ca="1" si="207"/>
        <v>0</v>
      </c>
      <c r="AB425" s="293" t="str">
        <f t="shared" ca="1" si="208"/>
        <v>MEDIR</v>
      </c>
      <c r="AC425" s="294">
        <f t="shared" ca="1" si="209"/>
        <v>5</v>
      </c>
      <c r="AD425" s="294">
        <f t="shared" ca="1" si="210"/>
        <v>373.75</v>
      </c>
      <c r="AE425" s="295"/>
      <c r="AF425" s="295"/>
      <c r="AG425" s="296"/>
      <c r="AH425" s="296"/>
      <c r="AI425" s="296"/>
      <c r="AJ425" s="326"/>
      <c r="AK425" s="295"/>
      <c r="AL425" s="295"/>
      <c r="AM425" s="295"/>
    </row>
    <row r="426" spans="1:39" ht="25.5" x14ac:dyDescent="0.25">
      <c r="A426" s="232">
        <f t="shared" si="189"/>
        <v>426</v>
      </c>
      <c r="B426" s="232"/>
      <c r="C426" s="307" t="str">
        <f t="shared" si="211"/>
        <v>15.4</v>
      </c>
      <c r="D426" s="308">
        <f t="shared" si="212"/>
        <v>12</v>
      </c>
      <c r="E426" s="309" t="str">
        <f t="shared" si="213"/>
        <v>15.4.12</v>
      </c>
      <c r="F426" s="310">
        <v>91997</v>
      </c>
      <c r="G426" s="311" t="str">
        <f>IF($F426="","",IFERROR(VLOOKUP($F426,SERVIÇOS!$B:$G,2,0),IFERROR(VLOOKUP($F426,'COMPOSIÇÕES COMPLEMENTARES '!$D:$L,2,0),IFERROR(VLOOKUP($F426,INSUMOS!$A:$D,2,0),""))))</f>
        <v>TOMADA MÉDIA DE EMBUTIR (1 MÓDULO), 2P+T 20 A, INCLUINDO SUPORTE E PLACA - FORNECIMENTO E INSTALAÇÃO. AF_03/2023</v>
      </c>
      <c r="H426" s="312" t="str">
        <f>IF($F426="","",IFERROR(VLOOKUP($F426,SERVIÇOS!$B:$G,3,0),IFERROR(VLOOKUP($F426,'COMPOSIÇÕES COMPLEMENTARES '!$D:$L,3,0),IFERROR(VLOOKUP($F426,INSUMOS!$A:$D,3,0),""))))</f>
        <v>UN</v>
      </c>
      <c r="I426" s="313">
        <v>4</v>
      </c>
      <c r="J426" s="314">
        <f>IF($F426="","",IFERROR(VLOOKUP($F426,SERVIÇOS!$B:$G,4,0),IFERROR(VLOOKUP($F426,'COMPOSIÇÕES COMPLEMENTARES '!$D:$L,6,0),IFERROR(VLOOKUP($F426,INSUMOS!$A:$D,4,0),""))))</f>
        <v>24.26</v>
      </c>
      <c r="K426" s="314">
        <f>IF($F426="","",IFERROR(VLOOKUP($F426,SERVIÇOS!$B:$G,5,0),IFERROR(VLOOKUP($F426,'COMPOSIÇÕES COMPLEMENTARES '!$D:$L,7,0),0)))</f>
        <v>22.03</v>
      </c>
      <c r="L426" s="314">
        <f t="shared" si="214"/>
        <v>46.290000000000006</v>
      </c>
      <c r="M426" s="314">
        <f t="shared" si="215"/>
        <v>97.04</v>
      </c>
      <c r="N426" s="314">
        <f t="shared" si="216"/>
        <v>88.12</v>
      </c>
      <c r="O426" s="314">
        <f t="shared" si="217"/>
        <v>185.16</v>
      </c>
      <c r="P426" s="314"/>
      <c r="Q426" s="315"/>
      <c r="R426" s="315"/>
      <c r="S426" s="286"/>
      <c r="T426" s="287"/>
      <c r="U426" s="288" t="str">
        <f t="shared" si="204"/>
        <v/>
      </c>
      <c r="V426" s="287"/>
      <c r="W426" s="289" t="str">
        <f t="shared" si="205"/>
        <v/>
      </c>
      <c r="X426" s="287"/>
      <c r="Y426" s="290" t="str">
        <f t="shared" si="206"/>
        <v/>
      </c>
      <c r="Z426" s="291">
        <f ca="1">SUMIF($T$8:Y$1018,"QUANT.",T426:Y426)</f>
        <v>0</v>
      </c>
      <c r="AA426" s="292">
        <f t="shared" ca="1" si="207"/>
        <v>0</v>
      </c>
      <c r="AB426" s="293" t="str">
        <f t="shared" ca="1" si="208"/>
        <v>MEDIR</v>
      </c>
      <c r="AC426" s="294">
        <f t="shared" ca="1" si="209"/>
        <v>4</v>
      </c>
      <c r="AD426" s="294">
        <f t="shared" ca="1" si="210"/>
        <v>185.16</v>
      </c>
      <c r="AE426" s="295"/>
      <c r="AF426" s="295"/>
      <c r="AG426" s="296"/>
      <c r="AH426" s="296"/>
      <c r="AI426" s="296"/>
      <c r="AJ426" s="326"/>
      <c r="AK426" s="295"/>
      <c r="AL426" s="295"/>
      <c r="AM426" s="295"/>
    </row>
    <row r="427" spans="1:39" x14ac:dyDescent="0.25">
      <c r="A427" s="232">
        <f t="shared" si="189"/>
        <v>427</v>
      </c>
      <c r="B427" s="232"/>
      <c r="C427" s="307" t="str">
        <f t="shared" si="211"/>
        <v>15.4</v>
      </c>
      <c r="D427" s="308">
        <f t="shared" si="212"/>
        <v>13</v>
      </c>
      <c r="E427" s="309" t="str">
        <f t="shared" si="213"/>
        <v>15.4.13</v>
      </c>
      <c r="F427" s="310" t="s">
        <v>12212</v>
      </c>
      <c r="G427" s="311" t="str">
        <f>IF($F427="","",IFERROR(VLOOKUP($F427,SERVIÇOS!$B:$G,2,0),IFERROR(VLOOKUP($F427,'COMPOSIÇÕES COMPLEMENTARES '!$D:$L,2,0),IFERROR(VLOOKUP($F427,INSUMOS!$A:$D,2,0),""))))</f>
        <v>PONTO ELÉTRICO COM PLACA DE SAÍDA DE FIO - EM CX. 4"X2"</v>
      </c>
      <c r="H427" s="312" t="str">
        <f>IF($F427="","",IFERROR(VLOOKUP($F427,SERVIÇOS!$B:$G,3,0),IFERROR(VLOOKUP($F427,'COMPOSIÇÕES COMPLEMENTARES '!$D:$L,3,0),IFERROR(VLOOKUP($F427,INSUMOS!$A:$D,3,0),""))))</f>
        <v>UN</v>
      </c>
      <c r="I427" s="313">
        <v>9</v>
      </c>
      <c r="J427" s="314">
        <f>IF($F427="","",IFERROR(VLOOKUP($F427,SERVIÇOS!$B:$G,4,0),IFERROR(VLOOKUP($F427,'COMPOSIÇÕES COMPLEMENTARES '!$D:$L,6,0),IFERROR(VLOOKUP($F427,INSUMOS!$A:$D,4,0),""))))</f>
        <v>11.28</v>
      </c>
      <c r="K427" s="314">
        <f>IF($F427="","",IFERROR(VLOOKUP($F427,SERVIÇOS!$B:$G,5,0),IFERROR(VLOOKUP($F427,'COMPOSIÇÕES COMPLEMENTARES '!$D:$L,7,0),0)))</f>
        <v>5.29</v>
      </c>
      <c r="L427" s="314">
        <f t="shared" si="214"/>
        <v>16.57</v>
      </c>
      <c r="M427" s="314">
        <f t="shared" si="215"/>
        <v>101.52</v>
      </c>
      <c r="N427" s="314">
        <f t="shared" si="216"/>
        <v>47.61</v>
      </c>
      <c r="O427" s="314">
        <f t="shared" si="217"/>
        <v>149.13</v>
      </c>
      <c r="P427" s="314"/>
      <c r="Q427" s="315"/>
      <c r="R427" s="315"/>
      <c r="S427" s="286"/>
      <c r="T427" s="287"/>
      <c r="U427" s="288" t="str">
        <f t="shared" si="204"/>
        <v/>
      </c>
      <c r="V427" s="287"/>
      <c r="W427" s="289" t="str">
        <f t="shared" si="205"/>
        <v/>
      </c>
      <c r="X427" s="287"/>
      <c r="Y427" s="290" t="str">
        <f t="shared" si="206"/>
        <v/>
      </c>
      <c r="Z427" s="291">
        <f ca="1">SUMIF($T$8:Y$1018,"QUANT.",T427:Y427)</f>
        <v>0</v>
      </c>
      <c r="AA427" s="292">
        <f t="shared" ca="1" si="207"/>
        <v>0</v>
      </c>
      <c r="AB427" s="293" t="str">
        <f t="shared" ca="1" si="208"/>
        <v>MEDIR</v>
      </c>
      <c r="AC427" s="294">
        <f t="shared" ca="1" si="209"/>
        <v>9</v>
      </c>
      <c r="AD427" s="294">
        <f t="shared" ca="1" si="210"/>
        <v>149.13</v>
      </c>
      <c r="AE427" s="295"/>
      <c r="AF427" s="295"/>
      <c r="AG427" s="296"/>
      <c r="AH427" s="296"/>
      <c r="AI427" s="296"/>
      <c r="AJ427" s="326"/>
      <c r="AK427" s="325"/>
      <c r="AL427" s="325"/>
      <c r="AM427" s="325"/>
    </row>
    <row r="428" spans="1:39" ht="25.5" x14ac:dyDescent="0.25">
      <c r="A428" s="232">
        <f t="shared" si="189"/>
        <v>428</v>
      </c>
      <c r="B428" s="232"/>
      <c r="C428" s="307" t="str">
        <f t="shared" si="211"/>
        <v>15.4</v>
      </c>
      <c r="D428" s="308">
        <f t="shared" si="212"/>
        <v>14</v>
      </c>
      <c r="E428" s="309" t="str">
        <f t="shared" si="213"/>
        <v>15.4.14</v>
      </c>
      <c r="F428" s="310">
        <v>91953</v>
      </c>
      <c r="G428" s="311" t="str">
        <f>IF($F428="","",IFERROR(VLOOKUP($F428,SERVIÇOS!$B:$G,2,0),IFERROR(VLOOKUP($F428,'COMPOSIÇÕES COMPLEMENTARES '!$D:$L,2,0),IFERROR(VLOOKUP($F428,INSUMOS!$A:$D,2,0),""))))</f>
        <v>INTERRUPTOR SIMPLES (1 MÓDULO), 10A/250V, INCLUINDO SUPORTE E PLACA - FORNECIMENTO E INSTALAÇÃO. AF_03/2023</v>
      </c>
      <c r="H428" s="312" t="str">
        <f>IF($F428="","",IFERROR(VLOOKUP($F428,SERVIÇOS!$B:$G,3,0),IFERROR(VLOOKUP($F428,'COMPOSIÇÕES COMPLEMENTARES '!$D:$L,3,0),IFERROR(VLOOKUP($F428,INSUMOS!$A:$D,3,0),""))))</f>
        <v>UN</v>
      </c>
      <c r="I428" s="313">
        <v>1</v>
      </c>
      <c r="J428" s="314">
        <f>IF($F428="","",IFERROR(VLOOKUP($F428,SERVIÇOS!$B:$G,4,0),IFERROR(VLOOKUP($F428,'COMPOSIÇÕES COMPLEMENTARES '!$D:$L,6,0),IFERROR(VLOOKUP($F428,INSUMOS!$A:$D,4,0),""))))</f>
        <v>19.2</v>
      </c>
      <c r="K428" s="314">
        <f>IF($F428="","",IFERROR(VLOOKUP($F428,SERVIÇOS!$B:$G,5,0),IFERROR(VLOOKUP($F428,'COMPOSIÇÕES COMPLEMENTARES '!$D:$L,7,0),0)))</f>
        <v>17.82</v>
      </c>
      <c r="L428" s="314">
        <f t="shared" si="214"/>
        <v>37.019999999999996</v>
      </c>
      <c r="M428" s="314">
        <f t="shared" si="215"/>
        <v>19.2</v>
      </c>
      <c r="N428" s="314">
        <f t="shared" si="216"/>
        <v>17.82</v>
      </c>
      <c r="O428" s="314">
        <f t="shared" si="217"/>
        <v>37.020000000000003</v>
      </c>
      <c r="P428" s="314"/>
      <c r="Q428" s="315"/>
      <c r="R428" s="315"/>
      <c r="S428" s="286"/>
      <c r="T428" s="287"/>
      <c r="U428" s="288" t="str">
        <f t="shared" si="204"/>
        <v/>
      </c>
      <c r="V428" s="287"/>
      <c r="W428" s="289" t="str">
        <f t="shared" si="205"/>
        <v/>
      </c>
      <c r="X428" s="287"/>
      <c r="Y428" s="290" t="str">
        <f t="shared" si="206"/>
        <v/>
      </c>
      <c r="Z428" s="291">
        <f ca="1">SUMIF($T$8:Y$1018,"QUANT.",T428:Y428)</f>
        <v>0</v>
      </c>
      <c r="AA428" s="292">
        <f t="shared" ca="1" si="207"/>
        <v>0</v>
      </c>
      <c r="AB428" s="293" t="str">
        <f t="shared" ca="1" si="208"/>
        <v>MEDIR</v>
      </c>
      <c r="AC428" s="294">
        <f t="shared" ca="1" si="209"/>
        <v>1</v>
      </c>
      <c r="AD428" s="294">
        <f t="shared" ca="1" si="210"/>
        <v>37.020000000000003</v>
      </c>
      <c r="AE428" s="295"/>
      <c r="AF428" s="295"/>
      <c r="AG428" s="296"/>
      <c r="AH428" s="296"/>
      <c r="AI428" s="296"/>
      <c r="AJ428" s="326"/>
      <c r="AK428" s="326"/>
      <c r="AL428" s="326"/>
      <c r="AM428" s="326"/>
    </row>
    <row r="429" spans="1:39" ht="25.5" x14ac:dyDescent="0.25">
      <c r="A429" s="232">
        <f t="shared" si="189"/>
        <v>429</v>
      </c>
      <c r="B429" s="232"/>
      <c r="C429" s="307" t="str">
        <f t="shared" si="211"/>
        <v>15.4</v>
      </c>
      <c r="D429" s="308">
        <f t="shared" si="212"/>
        <v>15</v>
      </c>
      <c r="E429" s="309" t="str">
        <f t="shared" si="213"/>
        <v>15.4.15</v>
      </c>
      <c r="F429" s="310">
        <v>91940</v>
      </c>
      <c r="G429" s="311" t="str">
        <f>IF($F429="","",IFERROR(VLOOKUP($F429,SERVIÇOS!$B:$G,2,0),IFERROR(VLOOKUP($F429,'COMPOSIÇÕES COMPLEMENTARES '!$D:$L,2,0),IFERROR(VLOOKUP($F429,INSUMOS!$A:$D,2,0),""))))</f>
        <v>CAIXA RETANGULAR 4" X 2" MÉDIA (1,30 M DO PISO), PVC, INSTALADA EM PAREDE - FORNECIMENTO E INSTALAÇÃO. AF_03/2023</v>
      </c>
      <c r="H429" s="312" t="str">
        <f>IF($F429="","",IFERROR(VLOOKUP($F429,SERVIÇOS!$B:$G,3,0),IFERROR(VLOOKUP($F429,'COMPOSIÇÕES COMPLEMENTARES '!$D:$L,3,0),IFERROR(VLOOKUP($F429,INSUMOS!$A:$D,3,0),""))))</f>
        <v>UN</v>
      </c>
      <c r="I429" s="313">
        <v>69</v>
      </c>
      <c r="J429" s="314">
        <f>IF($F429="","",IFERROR(VLOOKUP($F429,SERVIÇOS!$B:$G,4,0),IFERROR(VLOOKUP($F429,'COMPOSIÇÕES COMPLEMENTARES '!$D:$L,6,0),IFERROR(VLOOKUP($F429,INSUMOS!$A:$D,4,0),""))))</f>
        <v>9.7799999999999994</v>
      </c>
      <c r="K429" s="314">
        <f>IF($F429="","",IFERROR(VLOOKUP($F429,SERVIÇOS!$B:$G,5,0),IFERROR(VLOOKUP($F429,'COMPOSIÇÕES COMPLEMENTARES '!$D:$L,7,0),0)))</f>
        <v>14.56</v>
      </c>
      <c r="L429" s="314">
        <f t="shared" si="214"/>
        <v>24.34</v>
      </c>
      <c r="M429" s="314">
        <f t="shared" si="215"/>
        <v>674.82</v>
      </c>
      <c r="N429" s="314">
        <f t="shared" si="216"/>
        <v>1004.64</v>
      </c>
      <c r="O429" s="314">
        <f t="shared" si="217"/>
        <v>1679.46</v>
      </c>
      <c r="P429" s="314"/>
      <c r="Q429" s="315"/>
      <c r="R429" s="315"/>
      <c r="S429" s="286"/>
      <c r="T429" s="287"/>
      <c r="U429" s="288" t="str">
        <f t="shared" si="204"/>
        <v/>
      </c>
      <c r="V429" s="287"/>
      <c r="W429" s="289" t="str">
        <f t="shared" si="205"/>
        <v/>
      </c>
      <c r="X429" s="287"/>
      <c r="Y429" s="290" t="str">
        <f t="shared" si="206"/>
        <v/>
      </c>
      <c r="Z429" s="291">
        <f ca="1">SUMIF($T$8:Y$1018,"QUANT.",T429:Y429)</f>
        <v>0</v>
      </c>
      <c r="AA429" s="292">
        <f t="shared" ca="1" si="207"/>
        <v>0</v>
      </c>
      <c r="AB429" s="293" t="str">
        <f t="shared" ca="1" si="208"/>
        <v>MEDIR</v>
      </c>
      <c r="AC429" s="294">
        <f t="shared" ca="1" si="209"/>
        <v>69</v>
      </c>
      <c r="AD429" s="294">
        <f t="shared" ca="1" si="210"/>
        <v>1679.46</v>
      </c>
      <c r="AE429" s="295"/>
      <c r="AF429" s="295"/>
      <c r="AG429" s="296"/>
      <c r="AH429" s="296"/>
      <c r="AI429" s="296"/>
      <c r="AJ429" s="326"/>
      <c r="AK429" s="326"/>
      <c r="AL429" s="326"/>
      <c r="AM429" s="326"/>
    </row>
    <row r="430" spans="1:39" ht="25.5" x14ac:dyDescent="0.25">
      <c r="A430" s="232">
        <f t="shared" si="189"/>
        <v>430</v>
      </c>
      <c r="B430" s="232"/>
      <c r="C430" s="307" t="str">
        <f t="shared" si="211"/>
        <v>15.4</v>
      </c>
      <c r="D430" s="308">
        <f t="shared" si="212"/>
        <v>16</v>
      </c>
      <c r="E430" s="309" t="str">
        <f t="shared" si="213"/>
        <v>15.4.16</v>
      </c>
      <c r="F430" s="310">
        <v>95777</v>
      </c>
      <c r="G430" s="311" t="str">
        <f>IF($F430="","",IFERROR(VLOOKUP($F430,SERVIÇOS!$B:$G,2,0),IFERROR(VLOOKUP($F430,'COMPOSIÇÕES COMPLEMENTARES '!$D:$L,2,0),IFERROR(VLOOKUP($F430,INSUMOS!$A:$D,2,0),""))))</f>
        <v>CONDULETE DE ALUMÍNIO, TIPO B, PARA ELETRODUTO DE AÇO GALVANIZADO DN 20 MM (3/4''), APARENTE - FORNECIMENTO E INSTALAÇÃO. AF_10/2022</v>
      </c>
      <c r="H430" s="312" t="str">
        <f>IF($F430="","",IFERROR(VLOOKUP($F430,SERVIÇOS!$B:$G,3,0),IFERROR(VLOOKUP($F430,'COMPOSIÇÕES COMPLEMENTARES '!$D:$L,3,0),IFERROR(VLOOKUP($F430,INSUMOS!$A:$D,3,0),""))))</f>
        <v>UN</v>
      </c>
      <c r="I430" s="313">
        <v>3</v>
      </c>
      <c r="J430" s="314">
        <f>IF($F430="","",IFERROR(VLOOKUP($F430,SERVIÇOS!$B:$G,4,0),IFERROR(VLOOKUP($F430,'COMPOSIÇÕES COMPLEMENTARES '!$D:$L,6,0),IFERROR(VLOOKUP($F430,INSUMOS!$A:$D,4,0),""))))</f>
        <v>19.920000000000002</v>
      </c>
      <c r="K430" s="314">
        <f>IF($F430="","",IFERROR(VLOOKUP($F430,SERVIÇOS!$B:$G,5,0),IFERROR(VLOOKUP($F430,'COMPOSIÇÕES COMPLEMENTARES '!$D:$L,7,0),0)))</f>
        <v>11.39</v>
      </c>
      <c r="L430" s="314">
        <f t="shared" si="214"/>
        <v>31.310000000000002</v>
      </c>
      <c r="M430" s="314">
        <f t="shared" si="215"/>
        <v>59.76</v>
      </c>
      <c r="N430" s="314">
        <f t="shared" si="216"/>
        <v>34.17</v>
      </c>
      <c r="O430" s="314">
        <f t="shared" si="217"/>
        <v>93.93</v>
      </c>
      <c r="P430" s="314"/>
      <c r="Q430" s="315"/>
      <c r="R430" s="315"/>
      <c r="S430" s="286"/>
      <c r="T430" s="287"/>
      <c r="U430" s="288" t="str">
        <f t="shared" si="204"/>
        <v/>
      </c>
      <c r="V430" s="287"/>
      <c r="W430" s="289" t="str">
        <f t="shared" si="205"/>
        <v/>
      </c>
      <c r="X430" s="287"/>
      <c r="Y430" s="290" t="str">
        <f t="shared" si="206"/>
        <v/>
      </c>
      <c r="Z430" s="291">
        <f ca="1">SUMIF($T$8:Y$1018,"QUANT.",T430:Y430)</f>
        <v>0</v>
      </c>
      <c r="AA430" s="292">
        <f t="shared" ca="1" si="207"/>
        <v>0</v>
      </c>
      <c r="AB430" s="293" t="str">
        <f t="shared" ca="1" si="208"/>
        <v>MEDIR</v>
      </c>
      <c r="AC430" s="294">
        <f t="shared" ca="1" si="209"/>
        <v>3</v>
      </c>
      <c r="AD430" s="294">
        <f t="shared" ca="1" si="210"/>
        <v>93.93</v>
      </c>
      <c r="AE430" s="295"/>
      <c r="AF430" s="295"/>
      <c r="AG430" s="296"/>
      <c r="AH430" s="296"/>
      <c r="AI430" s="296"/>
      <c r="AJ430" s="326"/>
      <c r="AK430" s="326"/>
      <c r="AL430" s="326"/>
      <c r="AM430" s="326"/>
    </row>
    <row r="431" spans="1:39" x14ac:dyDescent="0.25">
      <c r="A431" s="232">
        <f t="shared" si="189"/>
        <v>431</v>
      </c>
      <c r="B431" s="232"/>
      <c r="C431" s="316" t="str">
        <f>+E431</f>
        <v>15.5</v>
      </c>
      <c r="D431" s="297"/>
      <c r="E431" s="317" t="s">
        <v>12213</v>
      </c>
      <c r="F431" s="317"/>
      <c r="G431" s="318" t="s">
        <v>12214</v>
      </c>
      <c r="H431" s="317"/>
      <c r="I431" s="319"/>
      <c r="J431" s="317"/>
      <c r="K431" s="317"/>
      <c r="L431" s="317"/>
      <c r="M431" s="317"/>
      <c r="N431" s="317"/>
      <c r="O431" s="317"/>
      <c r="P431" s="317"/>
      <c r="Q431" s="320"/>
      <c r="R431" s="306"/>
      <c r="S431" s="286"/>
      <c r="T431" s="287"/>
      <c r="U431" s="288" t="str">
        <f t="shared" si="204"/>
        <v/>
      </c>
      <c r="V431" s="287"/>
      <c r="W431" s="289" t="str">
        <f t="shared" si="205"/>
        <v/>
      </c>
      <c r="X431" s="287"/>
      <c r="Y431" s="290" t="str">
        <f t="shared" si="206"/>
        <v/>
      </c>
      <c r="Z431" s="291">
        <f ca="1">SUMIF($T$8:Y$1018,"QUANT.",T431:Y431)</f>
        <v>0</v>
      </c>
      <c r="AA431" s="292">
        <f t="shared" ca="1" si="207"/>
        <v>0</v>
      </c>
      <c r="AB431" s="293" t="str">
        <f t="shared" si="208"/>
        <v/>
      </c>
      <c r="AC431" s="294">
        <f t="shared" ca="1" si="209"/>
        <v>0</v>
      </c>
      <c r="AD431" s="294">
        <f t="shared" ca="1" si="210"/>
        <v>0</v>
      </c>
      <c r="AE431" s="295"/>
      <c r="AF431" s="295"/>
      <c r="AG431" s="296"/>
      <c r="AH431" s="296"/>
      <c r="AI431" s="296"/>
      <c r="AJ431" s="326"/>
      <c r="AK431" s="326"/>
      <c r="AL431" s="326"/>
      <c r="AM431" s="326"/>
    </row>
    <row r="432" spans="1:39" x14ac:dyDescent="0.25">
      <c r="A432" s="232">
        <f t="shared" si="189"/>
        <v>432</v>
      </c>
      <c r="B432" s="232"/>
      <c r="C432" s="307" t="str">
        <f t="shared" ref="C432:C440" si="218">+C431</f>
        <v>15.5</v>
      </c>
      <c r="D432" s="308">
        <f t="shared" ref="D432:D440" si="219">1+D431</f>
        <v>1</v>
      </c>
      <c r="E432" s="309" t="str">
        <f t="shared" ref="E432:E440" si="220">C432&amp;"."&amp;D432</f>
        <v>15.5.1</v>
      </c>
      <c r="F432" s="310" t="s">
        <v>12215</v>
      </c>
      <c r="G432" s="311" t="str">
        <f>IF($F432="","",IFERROR(VLOOKUP($F432,SERVIÇOS!$B:$G,2,0),IFERROR(VLOOKUP($F432,'COMPOSIÇÕES COMPLEMENTARES '!$D:$L,2,0),IFERROR(VLOOKUP($F432,INSUMOS!$A:$D,2,0),""))))</f>
        <v>PERFILADO PERFURADO COM TAMPA 38X38X6000MM CHAPA 18, INCLUSO CONEXÕES E FIXAÇÕES</v>
      </c>
      <c r="H432" s="312" t="str">
        <f>IF($F432="","",IFERROR(VLOOKUP($F432,SERVIÇOS!$B:$G,3,0),IFERROR(VLOOKUP($F432,'COMPOSIÇÕES COMPLEMENTARES '!$D:$L,3,0),IFERROR(VLOOKUP($F432,INSUMOS!$A:$D,3,0),""))))</f>
        <v>M</v>
      </c>
      <c r="I432" s="313">
        <v>108</v>
      </c>
      <c r="J432" s="314">
        <f>IF($F432="","",IFERROR(VLOOKUP($F432,SERVIÇOS!$B:$G,4,0),IFERROR(VLOOKUP($F432,'COMPOSIÇÕES COMPLEMENTARES '!$D:$L,6,0),IFERROR(VLOOKUP($F432,INSUMOS!$A:$D,4,0),""))))</f>
        <v>61.76</v>
      </c>
      <c r="K432" s="314">
        <f>IF($F432="","",IFERROR(VLOOKUP($F432,SERVIÇOS!$B:$G,5,0),IFERROR(VLOOKUP($F432,'COMPOSIÇÕES COMPLEMENTARES '!$D:$L,7,0),0)))</f>
        <v>31.6</v>
      </c>
      <c r="L432" s="314">
        <f t="shared" ref="L432:L440" si="221">IF(I432="","",J432+K432)</f>
        <v>93.36</v>
      </c>
      <c r="M432" s="314">
        <f t="shared" ref="M432:M440" si="222">IF(I432="","",TRUNC((I432*J432),2))</f>
        <v>6670.08</v>
      </c>
      <c r="N432" s="314">
        <f t="shared" ref="N432:N440" si="223">IF(I432="","",TRUNC((I432*K432),2))</f>
        <v>3412.8</v>
      </c>
      <c r="O432" s="314">
        <f t="shared" ref="O432:O440" si="224">IF(I432="","",TRUNC((M432+N432),2))</f>
        <v>10082.879999999999</v>
      </c>
      <c r="P432" s="314"/>
      <c r="Q432" s="315"/>
      <c r="R432" s="315"/>
      <c r="S432" s="286"/>
      <c r="T432" s="287"/>
      <c r="U432" s="288" t="str">
        <f t="shared" si="204"/>
        <v/>
      </c>
      <c r="V432" s="287"/>
      <c r="W432" s="289" t="str">
        <f t="shared" si="205"/>
        <v/>
      </c>
      <c r="X432" s="287"/>
      <c r="Y432" s="290" t="str">
        <f t="shared" si="206"/>
        <v/>
      </c>
      <c r="Z432" s="291">
        <f ca="1">SUMIF($T$8:Y$1018,"QUANT.",T432:Y432)</f>
        <v>0</v>
      </c>
      <c r="AA432" s="292">
        <f t="shared" ca="1" si="207"/>
        <v>0</v>
      </c>
      <c r="AB432" s="293" t="str">
        <f t="shared" ca="1" si="208"/>
        <v>MEDIR</v>
      </c>
      <c r="AC432" s="294">
        <f t="shared" ca="1" si="209"/>
        <v>108</v>
      </c>
      <c r="AD432" s="294">
        <f t="shared" ca="1" si="210"/>
        <v>10082.879999999999</v>
      </c>
      <c r="AE432" s="295"/>
      <c r="AF432" s="295"/>
      <c r="AG432" s="296"/>
      <c r="AH432" s="296"/>
      <c r="AI432" s="296"/>
      <c r="AJ432" s="326"/>
      <c r="AK432" s="326"/>
      <c r="AL432" s="326"/>
      <c r="AM432" s="326"/>
    </row>
    <row r="433" spans="1:39" x14ac:dyDescent="0.25">
      <c r="A433" s="232">
        <f t="shared" si="189"/>
        <v>433</v>
      </c>
      <c r="B433" s="232"/>
      <c r="C433" s="307" t="str">
        <f t="shared" si="218"/>
        <v>15.5</v>
      </c>
      <c r="D433" s="308">
        <f t="shared" si="219"/>
        <v>2</v>
      </c>
      <c r="E433" s="309" t="str">
        <f t="shared" si="220"/>
        <v>15.5.2</v>
      </c>
      <c r="F433" s="310" t="s">
        <v>12216</v>
      </c>
      <c r="G433" s="311" t="str">
        <f>IF($F433="","",IFERROR(VLOOKUP($F433,SERVIÇOS!$B:$G,2,0),IFERROR(VLOOKUP($F433,'COMPOSIÇÕES COMPLEMENTARES '!$D:$L,2,0),IFERROR(VLOOKUP($F433,INSUMOS!$A:$D,2,0),""))))</f>
        <v>ELETROCALHA PERFURADA 200X100X3000MM - CH 18, INCLUSO CONEXÕES E SUPORTES DE FIXAÇÃO</v>
      </c>
      <c r="H433" s="312" t="str">
        <f>IF($F433="","",IFERROR(VLOOKUP($F433,SERVIÇOS!$B:$G,3,0),IFERROR(VLOOKUP($F433,'COMPOSIÇÕES COMPLEMENTARES '!$D:$L,3,0),IFERROR(VLOOKUP($F433,INSUMOS!$A:$D,3,0),""))))</f>
        <v>M</v>
      </c>
      <c r="I433" s="313">
        <v>30</v>
      </c>
      <c r="J433" s="314">
        <f>IF($F433="","",IFERROR(VLOOKUP($F433,SERVIÇOS!$B:$G,4,0),IFERROR(VLOOKUP($F433,'COMPOSIÇÕES COMPLEMENTARES '!$D:$L,6,0),IFERROR(VLOOKUP($F433,INSUMOS!$A:$D,4,0),""))))</f>
        <v>241.21</v>
      </c>
      <c r="K433" s="314">
        <f>IF($F433="","",IFERROR(VLOOKUP($F433,SERVIÇOS!$B:$G,5,0),IFERROR(VLOOKUP($F433,'COMPOSIÇÕES COMPLEMENTARES '!$D:$L,7,0),0)))</f>
        <v>43.98</v>
      </c>
      <c r="L433" s="314">
        <f t="shared" si="221"/>
        <v>285.19</v>
      </c>
      <c r="M433" s="314">
        <f t="shared" si="222"/>
        <v>7236.3</v>
      </c>
      <c r="N433" s="314">
        <f t="shared" si="223"/>
        <v>1319.4</v>
      </c>
      <c r="O433" s="314">
        <f t="shared" si="224"/>
        <v>8555.7000000000007</v>
      </c>
      <c r="P433" s="314"/>
      <c r="Q433" s="315"/>
      <c r="R433" s="315"/>
      <c r="S433" s="286"/>
      <c r="T433" s="287"/>
      <c r="U433" s="288" t="str">
        <f t="shared" si="204"/>
        <v/>
      </c>
      <c r="V433" s="287"/>
      <c r="W433" s="289" t="str">
        <f t="shared" si="205"/>
        <v/>
      </c>
      <c r="X433" s="287"/>
      <c r="Y433" s="290" t="str">
        <f t="shared" si="206"/>
        <v/>
      </c>
      <c r="Z433" s="291">
        <f ca="1">SUMIF($T$8:Y$1018,"QUANT.",T433:Y433)</f>
        <v>0</v>
      </c>
      <c r="AA433" s="292">
        <f t="shared" ca="1" si="207"/>
        <v>0</v>
      </c>
      <c r="AB433" s="293" t="str">
        <f t="shared" ca="1" si="208"/>
        <v>MEDIR</v>
      </c>
      <c r="AC433" s="294">
        <f t="shared" ca="1" si="209"/>
        <v>30</v>
      </c>
      <c r="AD433" s="294">
        <f t="shared" ca="1" si="210"/>
        <v>8555.7000000000007</v>
      </c>
      <c r="AE433" s="295"/>
      <c r="AF433" s="295"/>
      <c r="AG433" s="296"/>
      <c r="AH433" s="296"/>
      <c r="AI433" s="296"/>
      <c r="AJ433" s="326"/>
      <c r="AK433" s="326"/>
      <c r="AL433" s="326"/>
      <c r="AM433" s="326"/>
    </row>
    <row r="434" spans="1:39" ht="25.5" x14ac:dyDescent="0.25">
      <c r="A434" s="232">
        <f t="shared" si="189"/>
        <v>434</v>
      </c>
      <c r="B434" s="232"/>
      <c r="C434" s="307" t="str">
        <f t="shared" si="218"/>
        <v>15.5</v>
      </c>
      <c r="D434" s="308">
        <f t="shared" si="219"/>
        <v>3</v>
      </c>
      <c r="E434" s="309" t="str">
        <f t="shared" si="220"/>
        <v>15.5.3</v>
      </c>
      <c r="F434" s="310" t="s">
        <v>12217</v>
      </c>
      <c r="G434" s="311" t="str">
        <f>IF($F434="","",IFERROR(VLOOKUP($F434,SERVIÇOS!$B:$G,2,0),IFERROR(VLOOKUP($F434,'COMPOSIÇÕES COMPLEMENTARES '!$D:$L,2,0),IFERROR(VLOOKUP($F434,INSUMOS!$A:$D,2,0),""))))</f>
        <v>ELETRODUTO RÍGIDO ROSCÁVEL, PVC, DN 25 MM (3/4"), INCLUSO CONEXÕES E ACESSÓRIOS, INSTALAÇÃO APARENTE - FORNECIMENTO E INSTALAÇÃO</v>
      </c>
      <c r="H434" s="312" t="str">
        <f>IF($F434="","",IFERROR(VLOOKUP($F434,SERVIÇOS!$B:$G,3,0),IFERROR(VLOOKUP($F434,'COMPOSIÇÕES COMPLEMENTARES '!$D:$L,3,0),IFERROR(VLOOKUP($F434,INSUMOS!$A:$D,3,0),""))))</f>
        <v>M</v>
      </c>
      <c r="I434" s="313">
        <v>186</v>
      </c>
      <c r="J434" s="314">
        <f>IF($F434="","",IFERROR(VLOOKUP($F434,SERVIÇOS!$B:$G,4,0),IFERROR(VLOOKUP($F434,'COMPOSIÇÕES COMPLEMENTARES '!$D:$L,6,0),IFERROR(VLOOKUP($F434,INSUMOS!$A:$D,4,0),""))))</f>
        <v>14.79</v>
      </c>
      <c r="K434" s="314">
        <f>IF($F434="","",IFERROR(VLOOKUP($F434,SERVIÇOS!$B:$G,5,0),IFERROR(VLOOKUP($F434,'COMPOSIÇÕES COMPLEMENTARES '!$D:$L,7,0),0)))</f>
        <v>8.75</v>
      </c>
      <c r="L434" s="314">
        <f t="shared" si="221"/>
        <v>23.54</v>
      </c>
      <c r="M434" s="314">
        <f t="shared" si="222"/>
        <v>2750.94</v>
      </c>
      <c r="N434" s="314">
        <f t="shared" si="223"/>
        <v>1627.5</v>
      </c>
      <c r="O434" s="314">
        <f t="shared" si="224"/>
        <v>4378.4399999999996</v>
      </c>
      <c r="P434" s="314"/>
      <c r="Q434" s="315"/>
      <c r="R434" s="315"/>
      <c r="S434" s="286"/>
      <c r="T434" s="287"/>
      <c r="U434" s="288" t="str">
        <f t="shared" si="204"/>
        <v/>
      </c>
      <c r="V434" s="287"/>
      <c r="W434" s="289" t="str">
        <f t="shared" si="205"/>
        <v/>
      </c>
      <c r="X434" s="287"/>
      <c r="Y434" s="290" t="str">
        <f t="shared" si="206"/>
        <v/>
      </c>
      <c r="Z434" s="291">
        <f ca="1">SUMIF($T$8:Y$1018,"QUANT.",T434:Y434)</f>
        <v>0</v>
      </c>
      <c r="AA434" s="292">
        <f t="shared" ca="1" si="207"/>
        <v>0</v>
      </c>
      <c r="AB434" s="293" t="str">
        <f t="shared" ca="1" si="208"/>
        <v>MEDIR</v>
      </c>
      <c r="AC434" s="294">
        <f t="shared" ca="1" si="209"/>
        <v>186</v>
      </c>
      <c r="AD434" s="294">
        <f t="shared" ca="1" si="210"/>
        <v>4378.4399999999996</v>
      </c>
      <c r="AE434" s="295"/>
      <c r="AF434" s="295"/>
      <c r="AG434" s="296"/>
      <c r="AH434" s="296"/>
      <c r="AI434" s="296"/>
      <c r="AJ434" s="326"/>
      <c r="AK434" s="326"/>
      <c r="AL434" s="326"/>
      <c r="AM434" s="326"/>
    </row>
    <row r="435" spans="1:39" ht="25.5" x14ac:dyDescent="0.25">
      <c r="A435" s="232">
        <f t="shared" si="189"/>
        <v>435</v>
      </c>
      <c r="B435" s="232"/>
      <c r="C435" s="307" t="str">
        <f t="shared" si="218"/>
        <v>15.5</v>
      </c>
      <c r="D435" s="308">
        <f t="shared" si="219"/>
        <v>4</v>
      </c>
      <c r="E435" s="309" t="str">
        <f t="shared" si="220"/>
        <v>15.5.4</v>
      </c>
      <c r="F435" s="310" t="s">
        <v>12218</v>
      </c>
      <c r="G435" s="311" t="str">
        <f>IF($F435="","",IFERROR(VLOOKUP($F435,SERVIÇOS!$B:$G,2,0),IFERROR(VLOOKUP($F435,'COMPOSIÇÕES COMPLEMENTARES '!$D:$L,2,0),IFERROR(VLOOKUP($F435,INSUMOS!$A:$D,2,0),""))))</f>
        <v>ELETRODUTO RÍGIDO ROSCÁVEL, PVC, DN 25 MM (3/4"), INCLUSO CONEXÕES - FORNECIMENTO E INSTALAÇÃO</v>
      </c>
      <c r="H435" s="312" t="str">
        <f>IF($F435="","",IFERROR(VLOOKUP($F435,SERVIÇOS!$B:$G,3,0),IFERROR(VLOOKUP($F435,'COMPOSIÇÕES COMPLEMENTARES '!$D:$L,3,0),IFERROR(VLOOKUP($F435,INSUMOS!$A:$D,3,0),""))))</f>
        <v>M</v>
      </c>
      <c r="I435" s="313">
        <v>186</v>
      </c>
      <c r="J435" s="314">
        <f>IF($F435="","",IFERROR(VLOOKUP($F435,SERVIÇOS!$B:$G,4,0),IFERROR(VLOOKUP($F435,'COMPOSIÇÕES COMPLEMENTARES '!$D:$L,6,0),IFERROR(VLOOKUP($F435,INSUMOS!$A:$D,4,0),""))))</f>
        <v>9.18</v>
      </c>
      <c r="K435" s="314">
        <f>IF($F435="","",IFERROR(VLOOKUP($F435,SERVIÇOS!$B:$G,5,0),IFERROR(VLOOKUP($F435,'COMPOSIÇÕES COMPLEMENTARES '!$D:$L,7,0),0)))</f>
        <v>4.1500000000000004</v>
      </c>
      <c r="L435" s="314">
        <f t="shared" si="221"/>
        <v>13.33</v>
      </c>
      <c r="M435" s="314">
        <f t="shared" si="222"/>
        <v>1707.48</v>
      </c>
      <c r="N435" s="314">
        <f t="shared" si="223"/>
        <v>771.9</v>
      </c>
      <c r="O435" s="314">
        <f t="shared" si="224"/>
        <v>2479.38</v>
      </c>
      <c r="P435" s="314"/>
      <c r="Q435" s="315"/>
      <c r="R435" s="315"/>
      <c r="S435" s="286"/>
      <c r="T435" s="287"/>
      <c r="U435" s="288" t="str">
        <f t="shared" si="204"/>
        <v/>
      </c>
      <c r="V435" s="287"/>
      <c r="W435" s="289" t="str">
        <f t="shared" si="205"/>
        <v/>
      </c>
      <c r="X435" s="287"/>
      <c r="Y435" s="290" t="str">
        <f t="shared" si="206"/>
        <v/>
      </c>
      <c r="Z435" s="291">
        <f ca="1">SUMIF($T$8:Y$1018,"QUANT.",T435:Y435)</f>
        <v>0</v>
      </c>
      <c r="AA435" s="292">
        <f t="shared" ca="1" si="207"/>
        <v>0</v>
      </c>
      <c r="AB435" s="293" t="str">
        <f t="shared" ca="1" si="208"/>
        <v>MEDIR</v>
      </c>
      <c r="AC435" s="294">
        <f t="shared" ca="1" si="209"/>
        <v>186</v>
      </c>
      <c r="AD435" s="294">
        <f t="shared" ca="1" si="210"/>
        <v>2479.38</v>
      </c>
      <c r="AE435" s="295"/>
      <c r="AF435" s="295"/>
      <c r="AG435" s="296"/>
      <c r="AH435" s="296"/>
      <c r="AI435" s="296"/>
      <c r="AJ435" s="326"/>
      <c r="AK435" s="326"/>
      <c r="AL435" s="326"/>
      <c r="AM435" s="326"/>
    </row>
    <row r="436" spans="1:39" ht="25.5" x14ac:dyDescent="0.25">
      <c r="A436" s="232">
        <f t="shared" si="189"/>
        <v>436</v>
      </c>
      <c r="B436" s="232"/>
      <c r="C436" s="307" t="str">
        <f t="shared" si="218"/>
        <v>15.5</v>
      </c>
      <c r="D436" s="308">
        <f t="shared" si="219"/>
        <v>5</v>
      </c>
      <c r="E436" s="309" t="str">
        <f t="shared" si="220"/>
        <v>15.5.5</v>
      </c>
      <c r="F436" s="310" t="s">
        <v>12219</v>
      </c>
      <c r="G436" s="311" t="str">
        <f>IF($F436="","",IFERROR(VLOOKUP($F436,SERVIÇOS!$B:$G,2,0),IFERROR(VLOOKUP($F436,'COMPOSIÇÕES COMPLEMENTARES '!$D:$L,2,0),IFERROR(VLOOKUP($F436,INSUMOS!$A:$D,2,0),""))))</f>
        <v>ELETRODUTO RÍGIDO ROSCÁVEL, PVC, DN 32 MM (1"), INCLUSO CONEXÕES E ACESSÓRIOS, INSTALAÇÃO APARENTE - FORNECIMENTO E INSTALAÇÃO</v>
      </c>
      <c r="H436" s="312" t="str">
        <f>IF($F436="","",IFERROR(VLOOKUP($F436,SERVIÇOS!$B:$G,3,0),IFERROR(VLOOKUP($F436,'COMPOSIÇÕES COMPLEMENTARES '!$D:$L,3,0),IFERROR(VLOOKUP($F436,INSUMOS!$A:$D,3,0),""))))</f>
        <v>M</v>
      </c>
      <c r="I436" s="313">
        <v>45</v>
      </c>
      <c r="J436" s="314">
        <f>IF($F436="","",IFERROR(VLOOKUP($F436,SERVIÇOS!$B:$G,4,0),IFERROR(VLOOKUP($F436,'COMPOSIÇÕES COMPLEMENTARES '!$D:$L,6,0),IFERROR(VLOOKUP($F436,INSUMOS!$A:$D,4,0),""))))</f>
        <v>19.420000000000002</v>
      </c>
      <c r="K436" s="314">
        <f>IF($F436="","",IFERROR(VLOOKUP($F436,SERVIÇOS!$B:$G,5,0),IFERROR(VLOOKUP($F436,'COMPOSIÇÕES COMPLEMENTARES '!$D:$L,7,0),0)))</f>
        <v>9.32</v>
      </c>
      <c r="L436" s="314">
        <f t="shared" si="221"/>
        <v>28.740000000000002</v>
      </c>
      <c r="M436" s="314">
        <f t="shared" si="222"/>
        <v>873.9</v>
      </c>
      <c r="N436" s="314">
        <f t="shared" si="223"/>
        <v>419.4</v>
      </c>
      <c r="O436" s="314">
        <f t="shared" si="224"/>
        <v>1293.3</v>
      </c>
      <c r="P436" s="314"/>
      <c r="Q436" s="315"/>
      <c r="R436" s="315"/>
      <c r="S436" s="286"/>
      <c r="T436" s="287"/>
      <c r="U436" s="288" t="str">
        <f t="shared" si="204"/>
        <v/>
      </c>
      <c r="V436" s="287"/>
      <c r="W436" s="289" t="str">
        <f t="shared" si="205"/>
        <v/>
      </c>
      <c r="X436" s="287"/>
      <c r="Y436" s="290" t="str">
        <f t="shared" si="206"/>
        <v/>
      </c>
      <c r="Z436" s="291">
        <f ca="1">SUMIF($T$8:Y$1018,"QUANT.",T436:Y436)</f>
        <v>0</v>
      </c>
      <c r="AA436" s="292">
        <f t="shared" ca="1" si="207"/>
        <v>0</v>
      </c>
      <c r="AB436" s="293" t="str">
        <f t="shared" ca="1" si="208"/>
        <v>MEDIR</v>
      </c>
      <c r="AC436" s="294">
        <f t="shared" ca="1" si="209"/>
        <v>45</v>
      </c>
      <c r="AD436" s="294">
        <f t="shared" ca="1" si="210"/>
        <v>1293.3</v>
      </c>
      <c r="AE436" s="295"/>
      <c r="AF436" s="295"/>
      <c r="AG436" s="296"/>
      <c r="AH436" s="296"/>
      <c r="AI436" s="296"/>
      <c r="AJ436" s="326"/>
      <c r="AK436" s="326"/>
      <c r="AL436" s="326"/>
      <c r="AM436" s="326"/>
    </row>
    <row r="437" spans="1:39" x14ac:dyDescent="0.25">
      <c r="A437" s="232">
        <f t="shared" si="189"/>
        <v>437</v>
      </c>
      <c r="B437" s="232"/>
      <c r="C437" s="307" t="str">
        <f t="shared" si="218"/>
        <v>15.5</v>
      </c>
      <c r="D437" s="308">
        <f t="shared" si="219"/>
        <v>6</v>
      </c>
      <c r="E437" s="309" t="str">
        <f t="shared" si="220"/>
        <v>15.5.6</v>
      </c>
      <c r="F437" s="310" t="s">
        <v>12220</v>
      </c>
      <c r="G437" s="311" t="str">
        <f>IF($F437="","",IFERROR(VLOOKUP($F437,SERVIÇOS!$B:$G,2,0),IFERROR(VLOOKUP($F437,'COMPOSIÇÕES COMPLEMENTARES '!$D:$L,2,0),IFERROR(VLOOKUP($F437,INSUMOS!$A:$D,2,0),""))))</f>
        <v>ELETRODUTO RÍGIDO ROSCÁVEL, PVC, DN 32 MM (1"), INCLUSO CONEXÕES - FORNECIMENTO E INSTALAÇÃO</v>
      </c>
      <c r="H437" s="312" t="str">
        <f>IF($F437="","",IFERROR(VLOOKUP($F437,SERVIÇOS!$B:$G,3,0),IFERROR(VLOOKUP($F437,'COMPOSIÇÕES COMPLEMENTARES '!$D:$L,3,0),IFERROR(VLOOKUP($F437,INSUMOS!$A:$D,3,0),""))))</f>
        <v>M</v>
      </c>
      <c r="I437" s="313">
        <v>45</v>
      </c>
      <c r="J437" s="314">
        <f>IF($F437="","",IFERROR(VLOOKUP($F437,SERVIÇOS!$B:$G,4,0),IFERROR(VLOOKUP($F437,'COMPOSIÇÕES COMPLEMENTARES '!$D:$L,6,0),IFERROR(VLOOKUP($F437,INSUMOS!$A:$D,4,0),""))))</f>
        <v>20.07</v>
      </c>
      <c r="K437" s="314">
        <f>IF($F437="","",IFERROR(VLOOKUP($F437,SERVIÇOS!$B:$G,5,0),IFERROR(VLOOKUP($F437,'COMPOSIÇÕES COMPLEMENTARES '!$D:$L,7,0),0)))</f>
        <v>12.07</v>
      </c>
      <c r="L437" s="314">
        <f t="shared" si="221"/>
        <v>32.14</v>
      </c>
      <c r="M437" s="314">
        <f t="shared" si="222"/>
        <v>903.15</v>
      </c>
      <c r="N437" s="314">
        <f t="shared" si="223"/>
        <v>543.15</v>
      </c>
      <c r="O437" s="314">
        <f t="shared" si="224"/>
        <v>1446.3</v>
      </c>
      <c r="P437" s="314"/>
      <c r="Q437" s="315"/>
      <c r="R437" s="315"/>
      <c r="S437" s="286"/>
      <c r="T437" s="287"/>
      <c r="U437" s="288" t="str">
        <f t="shared" si="204"/>
        <v/>
      </c>
      <c r="V437" s="287"/>
      <c r="W437" s="289" t="str">
        <f t="shared" si="205"/>
        <v/>
      </c>
      <c r="X437" s="287"/>
      <c r="Y437" s="290" t="str">
        <f t="shared" si="206"/>
        <v/>
      </c>
      <c r="Z437" s="291">
        <f ca="1">SUMIF($T$8:Y$1018,"QUANT.",T437:Y437)</f>
        <v>0</v>
      </c>
      <c r="AA437" s="292">
        <f t="shared" ca="1" si="207"/>
        <v>0</v>
      </c>
      <c r="AB437" s="293" t="str">
        <f t="shared" ca="1" si="208"/>
        <v>MEDIR</v>
      </c>
      <c r="AC437" s="294">
        <f t="shared" ca="1" si="209"/>
        <v>45</v>
      </c>
      <c r="AD437" s="294">
        <f t="shared" ca="1" si="210"/>
        <v>1446.3</v>
      </c>
      <c r="AE437" s="295"/>
      <c r="AF437" s="295"/>
      <c r="AG437" s="296"/>
      <c r="AH437" s="296"/>
      <c r="AI437" s="296"/>
      <c r="AJ437" s="326"/>
      <c r="AK437" s="326"/>
      <c r="AL437" s="326"/>
      <c r="AM437" s="326"/>
    </row>
    <row r="438" spans="1:39" x14ac:dyDescent="0.25">
      <c r="A438" s="232">
        <f t="shared" si="189"/>
        <v>438</v>
      </c>
      <c r="B438" s="232"/>
      <c r="C438" s="307" t="str">
        <f t="shared" si="218"/>
        <v>15.5</v>
      </c>
      <c r="D438" s="308">
        <f t="shared" si="219"/>
        <v>7</v>
      </c>
      <c r="E438" s="309" t="str">
        <f t="shared" si="220"/>
        <v>15.5.7</v>
      </c>
      <c r="F438" s="310" t="s">
        <v>12221</v>
      </c>
      <c r="G438" s="311" t="str">
        <f>IF($F438="","",IFERROR(VLOOKUP($F438,SERVIÇOS!$B:$G,2,0),IFERROR(VLOOKUP($F438,'COMPOSIÇÕES COMPLEMENTARES '!$D:$L,2,0),IFERROR(VLOOKUP($F438,INSUMOS!$A:$D,2,0),""))))</f>
        <v>CABO FLEXÍVEL ISOL. 750V  -  #2,5MM² - AFUMEX</v>
      </c>
      <c r="H438" s="312" t="str">
        <f>IF($F438="","",IFERROR(VLOOKUP($F438,SERVIÇOS!$B:$G,3,0),IFERROR(VLOOKUP($F438,'COMPOSIÇÕES COMPLEMENTARES '!$D:$L,3,0),IFERROR(VLOOKUP($F438,INSUMOS!$A:$D,3,0),""))))</f>
        <v>M</v>
      </c>
      <c r="I438" s="313">
        <v>2200</v>
      </c>
      <c r="J438" s="314">
        <f>IF($F438="","",IFERROR(VLOOKUP($F438,SERVIÇOS!$B:$G,4,0),IFERROR(VLOOKUP($F438,'COMPOSIÇÕES COMPLEMENTARES '!$D:$L,6,0),IFERROR(VLOOKUP($F438,INSUMOS!$A:$D,4,0),""))))</f>
        <v>3.59</v>
      </c>
      <c r="K438" s="314">
        <f>IF($F438="","",IFERROR(VLOOKUP($F438,SERVIÇOS!$B:$G,5,0),IFERROR(VLOOKUP($F438,'COMPOSIÇÕES COMPLEMENTARES '!$D:$L,7,0),0)))</f>
        <v>1.48</v>
      </c>
      <c r="L438" s="314">
        <f t="shared" si="221"/>
        <v>5.07</v>
      </c>
      <c r="M438" s="314">
        <f t="shared" si="222"/>
        <v>7898</v>
      </c>
      <c r="N438" s="314">
        <f t="shared" si="223"/>
        <v>3256</v>
      </c>
      <c r="O438" s="314">
        <f t="shared" si="224"/>
        <v>11154</v>
      </c>
      <c r="P438" s="314"/>
      <c r="Q438" s="315"/>
      <c r="R438" s="315"/>
      <c r="S438" s="286"/>
      <c r="T438" s="287"/>
      <c r="U438" s="288" t="str">
        <f t="shared" si="204"/>
        <v/>
      </c>
      <c r="V438" s="287"/>
      <c r="W438" s="289" t="str">
        <f t="shared" si="205"/>
        <v/>
      </c>
      <c r="X438" s="287"/>
      <c r="Y438" s="290" t="str">
        <f t="shared" si="206"/>
        <v/>
      </c>
      <c r="Z438" s="291">
        <f ca="1">SUMIF($T$8:Y$1018,"QUANT.",T438:Y438)</f>
        <v>0</v>
      </c>
      <c r="AA438" s="292">
        <f t="shared" ca="1" si="207"/>
        <v>0</v>
      </c>
      <c r="AB438" s="293" t="str">
        <f t="shared" ca="1" si="208"/>
        <v>MEDIR</v>
      </c>
      <c r="AC438" s="294">
        <f t="shared" ca="1" si="209"/>
        <v>2200</v>
      </c>
      <c r="AD438" s="294">
        <f t="shared" ca="1" si="210"/>
        <v>11154</v>
      </c>
      <c r="AE438" s="295"/>
      <c r="AF438" s="295"/>
      <c r="AG438" s="296"/>
      <c r="AH438" s="296"/>
      <c r="AI438" s="296"/>
      <c r="AJ438" s="326"/>
      <c r="AK438" s="326"/>
      <c r="AL438" s="326"/>
      <c r="AM438" s="326"/>
    </row>
    <row r="439" spans="1:39" x14ac:dyDescent="0.25">
      <c r="A439" s="232">
        <f t="shared" si="189"/>
        <v>439</v>
      </c>
      <c r="B439" s="232"/>
      <c r="C439" s="307" t="str">
        <f t="shared" si="218"/>
        <v>15.5</v>
      </c>
      <c r="D439" s="308">
        <f t="shared" si="219"/>
        <v>8</v>
      </c>
      <c r="E439" s="309" t="str">
        <f t="shared" si="220"/>
        <v>15.5.8</v>
      </c>
      <c r="F439" s="310" t="s">
        <v>12222</v>
      </c>
      <c r="G439" s="311" t="str">
        <f>IF($F439="","",IFERROR(VLOOKUP($F439,SERVIÇOS!$B:$G,2,0),IFERROR(VLOOKUP($F439,'COMPOSIÇÕES COMPLEMENTARES '!$D:$L,2,0),IFERROR(VLOOKUP($F439,INSUMOS!$A:$D,2,0),""))))</f>
        <v>CONDUTOR DE COBRE FLEX ISOL. 1KV - 90º -  #4,0MM² - AFUMEX</v>
      </c>
      <c r="H439" s="312" t="str">
        <f>IF($F439="","",IFERROR(VLOOKUP($F439,SERVIÇOS!$B:$G,3,0),IFERROR(VLOOKUP($F439,'COMPOSIÇÕES COMPLEMENTARES '!$D:$L,3,0),IFERROR(VLOOKUP($F439,INSUMOS!$A:$D,3,0),""))))</f>
        <v>M</v>
      </c>
      <c r="I439" s="313">
        <v>150</v>
      </c>
      <c r="J439" s="314">
        <f>IF($F439="","",IFERROR(VLOOKUP($F439,SERVIÇOS!$B:$G,4,0),IFERROR(VLOOKUP($F439,'COMPOSIÇÕES COMPLEMENTARES '!$D:$L,6,0),IFERROR(VLOOKUP($F439,INSUMOS!$A:$D,4,0),""))))</f>
        <v>6.12</v>
      </c>
      <c r="K439" s="314">
        <f>IF($F439="","",IFERROR(VLOOKUP($F439,SERVIÇOS!$B:$G,5,0),IFERROR(VLOOKUP($F439,'COMPOSIÇÕES COMPLEMENTARES '!$D:$L,7,0),0)))</f>
        <v>1.97</v>
      </c>
      <c r="L439" s="314">
        <f t="shared" si="221"/>
        <v>8.09</v>
      </c>
      <c r="M439" s="314">
        <f t="shared" si="222"/>
        <v>918</v>
      </c>
      <c r="N439" s="314">
        <f t="shared" si="223"/>
        <v>295.5</v>
      </c>
      <c r="O439" s="314">
        <f t="shared" si="224"/>
        <v>1213.5</v>
      </c>
      <c r="P439" s="314"/>
      <c r="Q439" s="315"/>
      <c r="R439" s="315"/>
      <c r="S439" s="286"/>
      <c r="T439" s="287"/>
      <c r="U439" s="288" t="str">
        <f t="shared" si="204"/>
        <v/>
      </c>
      <c r="V439" s="287"/>
      <c r="W439" s="289" t="str">
        <f t="shared" si="205"/>
        <v/>
      </c>
      <c r="X439" s="287"/>
      <c r="Y439" s="290" t="str">
        <f t="shared" si="206"/>
        <v/>
      </c>
      <c r="Z439" s="291">
        <f ca="1">SUMIF($T$8:Y$1018,"QUANT.",T439:Y439)</f>
        <v>0</v>
      </c>
      <c r="AA439" s="292">
        <f t="shared" ca="1" si="207"/>
        <v>0</v>
      </c>
      <c r="AB439" s="293" t="str">
        <f t="shared" ca="1" si="208"/>
        <v>MEDIR</v>
      </c>
      <c r="AC439" s="294">
        <f t="shared" ca="1" si="209"/>
        <v>150</v>
      </c>
      <c r="AD439" s="294">
        <f t="shared" ca="1" si="210"/>
        <v>1213.5</v>
      </c>
      <c r="AE439" s="295"/>
      <c r="AF439" s="295"/>
      <c r="AG439" s="296"/>
      <c r="AH439" s="296"/>
      <c r="AI439" s="296"/>
      <c r="AJ439" s="326"/>
      <c r="AK439" s="326"/>
      <c r="AL439" s="326"/>
      <c r="AM439" s="326"/>
    </row>
    <row r="440" spans="1:39" x14ac:dyDescent="0.25">
      <c r="A440" s="232">
        <f t="shared" si="189"/>
        <v>440</v>
      </c>
      <c r="B440" s="232"/>
      <c r="C440" s="307" t="str">
        <f t="shared" si="218"/>
        <v>15.5</v>
      </c>
      <c r="D440" s="308">
        <f t="shared" si="219"/>
        <v>9</v>
      </c>
      <c r="E440" s="309" t="str">
        <f t="shared" si="220"/>
        <v>15.5.9</v>
      </c>
      <c r="F440" s="310" t="s">
        <v>12223</v>
      </c>
      <c r="G440" s="311" t="str">
        <f>IF($F440="","",IFERROR(VLOOKUP($F440,SERVIÇOS!$B:$G,2,0),IFERROR(VLOOKUP($F440,'COMPOSIÇÕES COMPLEMENTARES '!$D:$L,2,0),IFERROR(VLOOKUP($F440,INSUMOS!$A:$D,2,0),""))))</f>
        <v>CONDUTOR DE COBRE FLEX ISOL. 1KV - 90º -  #6,0MM² - AFUMEX</v>
      </c>
      <c r="H440" s="312" t="str">
        <f>IF($F440="","",IFERROR(VLOOKUP($F440,SERVIÇOS!$B:$G,3,0),IFERROR(VLOOKUP($F440,'COMPOSIÇÕES COMPLEMENTARES '!$D:$L,3,0),IFERROR(VLOOKUP($F440,INSUMOS!$A:$D,3,0),""))))</f>
        <v>M</v>
      </c>
      <c r="I440" s="313">
        <v>480</v>
      </c>
      <c r="J440" s="314">
        <f>IF($F440="","",IFERROR(VLOOKUP($F440,SERVIÇOS!$B:$G,4,0),IFERROR(VLOOKUP($F440,'COMPOSIÇÕES COMPLEMENTARES '!$D:$L,6,0),IFERROR(VLOOKUP($F440,INSUMOS!$A:$D,4,0),""))))</f>
        <v>7.81</v>
      </c>
      <c r="K440" s="314">
        <f>IF($F440="","",IFERROR(VLOOKUP($F440,SERVIÇOS!$B:$G,5,0),IFERROR(VLOOKUP($F440,'COMPOSIÇÕES COMPLEMENTARES '!$D:$L,7,0),0)))</f>
        <v>1.97</v>
      </c>
      <c r="L440" s="314">
        <f t="shared" si="221"/>
        <v>9.7799999999999994</v>
      </c>
      <c r="M440" s="314">
        <f t="shared" si="222"/>
        <v>3748.8</v>
      </c>
      <c r="N440" s="314">
        <f t="shared" si="223"/>
        <v>945.6</v>
      </c>
      <c r="O440" s="314">
        <f t="shared" si="224"/>
        <v>4694.3999999999996</v>
      </c>
      <c r="P440" s="314"/>
      <c r="Q440" s="315"/>
      <c r="R440" s="315"/>
      <c r="S440" s="286"/>
      <c r="T440" s="287"/>
      <c r="U440" s="288" t="str">
        <f t="shared" si="204"/>
        <v/>
      </c>
      <c r="V440" s="287"/>
      <c r="W440" s="289" t="str">
        <f t="shared" si="205"/>
        <v/>
      </c>
      <c r="X440" s="287"/>
      <c r="Y440" s="290" t="str">
        <f t="shared" si="206"/>
        <v/>
      </c>
      <c r="Z440" s="291">
        <f ca="1">SUMIF($T$8:Y$1018,"QUANT.",T440:Y440)</f>
        <v>0</v>
      </c>
      <c r="AA440" s="292">
        <f t="shared" ca="1" si="207"/>
        <v>0</v>
      </c>
      <c r="AB440" s="293" t="str">
        <f t="shared" ca="1" si="208"/>
        <v>MEDIR</v>
      </c>
      <c r="AC440" s="294">
        <f t="shared" ca="1" si="209"/>
        <v>480</v>
      </c>
      <c r="AD440" s="294">
        <f t="shared" ca="1" si="210"/>
        <v>4694.3999999999996</v>
      </c>
      <c r="AE440" s="295"/>
      <c r="AF440" s="295"/>
      <c r="AG440" s="296"/>
      <c r="AH440" s="296"/>
      <c r="AI440" s="296"/>
      <c r="AJ440" s="326"/>
      <c r="AK440" s="326"/>
      <c r="AL440" s="326"/>
      <c r="AM440" s="326"/>
    </row>
    <row r="441" spans="1:39" x14ac:dyDescent="0.25">
      <c r="A441" s="232">
        <f t="shared" si="189"/>
        <v>441</v>
      </c>
      <c r="B441" s="232"/>
      <c r="C441" s="316" t="str">
        <f>+E441</f>
        <v>15.6</v>
      </c>
      <c r="D441" s="297"/>
      <c r="E441" s="317" t="s">
        <v>12224</v>
      </c>
      <c r="F441" s="317"/>
      <c r="G441" s="318" t="s">
        <v>12225</v>
      </c>
      <c r="H441" s="317"/>
      <c r="I441" s="319"/>
      <c r="J441" s="317"/>
      <c r="K441" s="317"/>
      <c r="L441" s="317"/>
      <c r="M441" s="317"/>
      <c r="N441" s="317"/>
      <c r="O441" s="317"/>
      <c r="P441" s="317"/>
      <c r="Q441" s="320"/>
      <c r="R441" s="306"/>
      <c r="S441" s="286"/>
      <c r="T441" s="287"/>
      <c r="U441" s="288" t="str">
        <f t="shared" si="204"/>
        <v/>
      </c>
      <c r="V441" s="287"/>
      <c r="W441" s="289" t="str">
        <f t="shared" si="205"/>
        <v/>
      </c>
      <c r="X441" s="287"/>
      <c r="Y441" s="290" t="str">
        <f t="shared" si="206"/>
        <v/>
      </c>
      <c r="Z441" s="291">
        <f ca="1">SUMIF($T$8:Y$1018,"QUANT.",T441:Y441)</f>
        <v>0</v>
      </c>
      <c r="AA441" s="292">
        <f t="shared" ca="1" si="207"/>
        <v>0</v>
      </c>
      <c r="AB441" s="293" t="str">
        <f t="shared" si="208"/>
        <v/>
      </c>
      <c r="AC441" s="294">
        <f t="shared" ca="1" si="209"/>
        <v>0</v>
      </c>
      <c r="AD441" s="294">
        <f t="shared" ca="1" si="210"/>
        <v>0</v>
      </c>
      <c r="AE441" s="295"/>
      <c r="AF441" s="295"/>
      <c r="AG441" s="296"/>
      <c r="AH441" s="296"/>
      <c r="AI441" s="296"/>
      <c r="AJ441" s="326"/>
      <c r="AK441" s="326"/>
      <c r="AL441" s="326"/>
      <c r="AM441" s="326"/>
    </row>
    <row r="442" spans="1:39" ht="38.25" x14ac:dyDescent="0.25">
      <c r="A442" s="232">
        <f t="shared" si="189"/>
        <v>442</v>
      </c>
      <c r="B442" s="232"/>
      <c r="C442" s="307" t="str">
        <f t="shared" ref="C442:C455" si="225">+C441</f>
        <v>15.6</v>
      </c>
      <c r="D442" s="308">
        <f t="shared" ref="D442:D455" si="226">1+D441</f>
        <v>1</v>
      </c>
      <c r="E442" s="309" t="str">
        <f t="shared" ref="E442:E455" si="227">C442&amp;"."&amp;D442</f>
        <v>15.6.1</v>
      </c>
      <c r="F442" s="310" t="s">
        <v>12226</v>
      </c>
      <c r="G442" s="311" t="str">
        <f>IF($F442="","",IFERROR(VLOOKUP($F442,SERVIÇOS!$B:$G,2,0),IFERROR(VLOOKUP($F442,'COMPOSIÇÕES COMPLEMENTARES '!$D:$L,2,0),IFERROR(VLOOKUP($F442,INSUMOS!$A:$D,2,0),""))))</f>
        <v>QD-2 - QUADRO DE DISTRIBUIÇÃO EM CHAPA DE AÇO 16USG, PINTURA EM EPÓXI COR BEGE, COM TRINCO, BARRAMENTOS EM COBRE, ESPELHO INTERNO C/ PLAQUETAS DE IDENTIFICAÇÃO EM ACRÍLICO PARA CADA CIRCUITO E PORTA PROJETO. DEVERÁ ATENDER O SOLICITADO NO DIAGRAMA UNIFILAR EM PROJETO.</v>
      </c>
      <c r="H442" s="312" t="str">
        <f>IF($F442="","",IFERROR(VLOOKUP($F442,SERVIÇOS!$B:$G,3,0),IFERROR(VLOOKUP($F442,'COMPOSIÇÕES COMPLEMENTARES '!$D:$L,3,0),IFERROR(VLOOKUP($F442,INSUMOS!$A:$D,3,0),""))))</f>
        <v>UN</v>
      </c>
      <c r="I442" s="313">
        <v>1</v>
      </c>
      <c r="J442" s="314">
        <f>IF($F442="","",IFERROR(VLOOKUP($F442,SERVIÇOS!$B:$G,4,0),IFERROR(VLOOKUP($F442,'COMPOSIÇÕES COMPLEMENTARES '!$D:$L,6,0),IFERROR(VLOOKUP($F442,INSUMOS!$A:$D,4,0),""))))</f>
        <v>3411.58</v>
      </c>
      <c r="K442" s="314">
        <f>IF($F442="","",IFERROR(VLOOKUP($F442,SERVIÇOS!$B:$G,5,0),IFERROR(VLOOKUP($F442,'COMPOSIÇÕES COMPLEMENTARES '!$D:$L,7,0),0)))</f>
        <v>348.09</v>
      </c>
      <c r="L442" s="314">
        <f t="shared" ref="L442:L455" si="228">IF(I442="","",J442+K442)</f>
        <v>3759.67</v>
      </c>
      <c r="M442" s="314">
        <f t="shared" ref="M442:M455" si="229">IF(I442="","",TRUNC((I442*J442),2))</f>
        <v>3411.58</v>
      </c>
      <c r="N442" s="314">
        <f t="shared" ref="N442:N455" si="230">IF(I442="","",TRUNC((I442*K442),2))</f>
        <v>348.09</v>
      </c>
      <c r="O442" s="314">
        <f t="shared" ref="O442:O455" si="231">IF(I442="","",TRUNC((M442+N442),2))</f>
        <v>3759.67</v>
      </c>
      <c r="P442" s="314"/>
      <c r="Q442" s="315"/>
      <c r="R442" s="315"/>
      <c r="S442" s="286"/>
      <c r="T442" s="287"/>
      <c r="U442" s="288" t="str">
        <f t="shared" si="204"/>
        <v/>
      </c>
      <c r="V442" s="287"/>
      <c r="W442" s="289" t="str">
        <f t="shared" si="205"/>
        <v/>
      </c>
      <c r="X442" s="287"/>
      <c r="Y442" s="290" t="str">
        <f t="shared" si="206"/>
        <v/>
      </c>
      <c r="Z442" s="291">
        <f ca="1">SUMIF($T$8:Y$1018,"QUANT.",T442:Y442)</f>
        <v>0</v>
      </c>
      <c r="AA442" s="292">
        <f t="shared" ca="1" si="207"/>
        <v>0</v>
      </c>
      <c r="AB442" s="293" t="str">
        <f t="shared" ca="1" si="208"/>
        <v>MEDIR</v>
      </c>
      <c r="AC442" s="294">
        <f t="shared" ca="1" si="209"/>
        <v>1</v>
      </c>
      <c r="AD442" s="294">
        <f t="shared" ca="1" si="210"/>
        <v>3759.67</v>
      </c>
      <c r="AE442" s="295"/>
      <c r="AF442" s="295"/>
      <c r="AG442" s="296"/>
      <c r="AH442" s="296"/>
      <c r="AI442" s="296"/>
      <c r="AJ442" s="326"/>
      <c r="AK442" s="326"/>
      <c r="AL442" s="326"/>
      <c r="AM442" s="326"/>
    </row>
    <row r="443" spans="1:39" x14ac:dyDescent="0.25">
      <c r="A443" s="232">
        <f t="shared" si="189"/>
        <v>443</v>
      </c>
      <c r="B443" s="232"/>
      <c r="C443" s="307" t="str">
        <f t="shared" si="225"/>
        <v>15.6</v>
      </c>
      <c r="D443" s="308">
        <f t="shared" si="226"/>
        <v>2</v>
      </c>
      <c r="E443" s="309" t="str">
        <f t="shared" si="227"/>
        <v>15.6.2</v>
      </c>
      <c r="F443" s="310" t="s">
        <v>12184</v>
      </c>
      <c r="G443" s="311" t="str">
        <f>IF($F443="","",IFERROR(VLOOKUP($F443,SERVIÇOS!$B:$G,2,0),IFERROR(VLOOKUP($F443,'COMPOSIÇÕES COMPLEMENTARES '!$D:$L,2,0),IFERROR(VLOOKUP($F443,INSUMOS!$A:$D,2,0),""))))</f>
        <v>DISJUNTOR TIPO DIN/IEC, TRIPOLAR 63 A</v>
      </c>
      <c r="H443" s="312" t="str">
        <f>IF($F443="","",IFERROR(VLOOKUP($F443,SERVIÇOS!$B:$G,3,0),IFERROR(VLOOKUP($F443,'COMPOSIÇÕES COMPLEMENTARES '!$D:$L,3,0),IFERROR(VLOOKUP($F443,INSUMOS!$A:$D,3,0),""))))</f>
        <v>UN</v>
      </c>
      <c r="I443" s="313">
        <v>1</v>
      </c>
      <c r="J443" s="314">
        <f>IF($F443="","",IFERROR(VLOOKUP($F443,SERVIÇOS!$B:$G,4,0),IFERROR(VLOOKUP($F443,'COMPOSIÇÕES COMPLEMENTARES '!$D:$L,6,0),IFERROR(VLOOKUP($F443,INSUMOS!$A:$D,4,0),""))))</f>
        <v>99.2</v>
      </c>
      <c r="K443" s="314">
        <f>IF($F443="","",IFERROR(VLOOKUP($F443,SERVIÇOS!$B:$G,5,0),IFERROR(VLOOKUP($F443,'COMPOSIÇÕES COMPLEMENTARES '!$D:$L,7,0),0)))</f>
        <v>49.54</v>
      </c>
      <c r="L443" s="314">
        <f t="shared" si="228"/>
        <v>148.74</v>
      </c>
      <c r="M443" s="314">
        <f t="shared" si="229"/>
        <v>99.2</v>
      </c>
      <c r="N443" s="314">
        <f t="shared" si="230"/>
        <v>49.54</v>
      </c>
      <c r="O443" s="314">
        <f t="shared" si="231"/>
        <v>148.74</v>
      </c>
      <c r="P443" s="314"/>
      <c r="Q443" s="315"/>
      <c r="R443" s="315"/>
      <c r="S443" s="286"/>
      <c r="T443" s="287"/>
      <c r="U443" s="288" t="str">
        <f t="shared" si="204"/>
        <v/>
      </c>
      <c r="V443" s="287"/>
      <c r="W443" s="289" t="str">
        <f t="shared" si="205"/>
        <v/>
      </c>
      <c r="X443" s="287"/>
      <c r="Y443" s="290" t="str">
        <f t="shared" si="206"/>
        <v/>
      </c>
      <c r="Z443" s="291">
        <f ca="1">SUMIF($T$8:Y$1018,"QUANT.",T443:Y443)</f>
        <v>0</v>
      </c>
      <c r="AA443" s="292">
        <f t="shared" ca="1" si="207"/>
        <v>0</v>
      </c>
      <c r="AB443" s="293" t="str">
        <f t="shared" ca="1" si="208"/>
        <v>MEDIR</v>
      </c>
      <c r="AC443" s="294">
        <f t="shared" ca="1" si="209"/>
        <v>1</v>
      </c>
      <c r="AD443" s="294">
        <f t="shared" ca="1" si="210"/>
        <v>148.74</v>
      </c>
      <c r="AE443" s="295"/>
      <c r="AF443" s="295"/>
      <c r="AG443" s="296"/>
      <c r="AH443" s="296"/>
      <c r="AI443" s="296"/>
      <c r="AJ443" s="326"/>
      <c r="AK443" s="326"/>
      <c r="AL443" s="326"/>
      <c r="AM443" s="326"/>
    </row>
    <row r="444" spans="1:39" x14ac:dyDescent="0.25">
      <c r="A444" s="232">
        <f t="shared" si="189"/>
        <v>444</v>
      </c>
      <c r="B444" s="232"/>
      <c r="C444" s="307" t="str">
        <f t="shared" si="225"/>
        <v>15.6</v>
      </c>
      <c r="D444" s="308">
        <f t="shared" si="226"/>
        <v>3</v>
      </c>
      <c r="E444" s="309" t="str">
        <f t="shared" si="227"/>
        <v>15.6.3</v>
      </c>
      <c r="F444" s="310">
        <v>93664</v>
      </c>
      <c r="G444" s="311" t="str">
        <f>IF($F444="","",IFERROR(VLOOKUP($F444,SERVIÇOS!$B:$G,2,0),IFERROR(VLOOKUP($F444,'COMPOSIÇÕES COMPLEMENTARES '!$D:$L,2,0),IFERROR(VLOOKUP($F444,INSUMOS!$A:$D,2,0),""))))</f>
        <v>DISJUNTOR BIPOLAR TIPO DIN, CORRENTE NOMINAL DE 32A - FORNECIMENTO E INSTALAÇÃO. AF_10/2020</v>
      </c>
      <c r="H444" s="312" t="str">
        <f>IF($F444="","",IFERROR(VLOOKUP($F444,SERVIÇOS!$B:$G,3,0),IFERROR(VLOOKUP($F444,'COMPOSIÇÕES COMPLEMENTARES '!$D:$L,3,0),IFERROR(VLOOKUP($F444,INSUMOS!$A:$D,3,0),""))))</f>
        <v>UN</v>
      </c>
      <c r="I444" s="313">
        <v>3</v>
      </c>
      <c r="J444" s="314">
        <f>IF($F444="","",IFERROR(VLOOKUP($F444,SERVIÇOS!$B:$G,4,0),IFERROR(VLOOKUP($F444,'COMPOSIÇÕES COMPLEMENTARES '!$D:$L,6,0),IFERROR(VLOOKUP($F444,INSUMOS!$A:$D,4,0),""))))</f>
        <v>61.93</v>
      </c>
      <c r="K444" s="314">
        <f>IF($F444="","",IFERROR(VLOOKUP($F444,SERVIÇOS!$B:$G,5,0),IFERROR(VLOOKUP($F444,'COMPOSIÇÕES COMPLEMENTARES '!$D:$L,7,0),0)))</f>
        <v>9.01</v>
      </c>
      <c r="L444" s="314">
        <f t="shared" si="228"/>
        <v>70.94</v>
      </c>
      <c r="M444" s="314">
        <f t="shared" si="229"/>
        <v>185.79</v>
      </c>
      <c r="N444" s="314">
        <f t="shared" si="230"/>
        <v>27.03</v>
      </c>
      <c r="O444" s="314">
        <f t="shared" si="231"/>
        <v>212.82</v>
      </c>
      <c r="P444" s="314"/>
      <c r="Q444" s="315"/>
      <c r="R444" s="315"/>
      <c r="S444" s="286"/>
      <c r="T444" s="287"/>
      <c r="U444" s="288" t="str">
        <f t="shared" si="204"/>
        <v/>
      </c>
      <c r="V444" s="287"/>
      <c r="W444" s="289" t="str">
        <f t="shared" si="205"/>
        <v/>
      </c>
      <c r="X444" s="287"/>
      <c r="Y444" s="290" t="str">
        <f t="shared" si="206"/>
        <v/>
      </c>
      <c r="Z444" s="291">
        <f ca="1">SUMIF($T$8:Y$1018,"QUANT.",T444:Y444)</f>
        <v>0</v>
      </c>
      <c r="AA444" s="292">
        <f t="shared" ca="1" si="207"/>
        <v>0</v>
      </c>
      <c r="AB444" s="293" t="str">
        <f t="shared" ca="1" si="208"/>
        <v>MEDIR</v>
      </c>
      <c r="AC444" s="294">
        <f t="shared" ca="1" si="209"/>
        <v>3</v>
      </c>
      <c r="AD444" s="294">
        <f t="shared" ca="1" si="210"/>
        <v>212.82</v>
      </c>
      <c r="AE444" s="295"/>
      <c r="AF444" s="295"/>
      <c r="AG444" s="296"/>
      <c r="AH444" s="296"/>
      <c r="AI444" s="296"/>
      <c r="AJ444" s="326"/>
      <c r="AK444" s="326"/>
      <c r="AL444" s="326"/>
      <c r="AM444" s="326"/>
    </row>
    <row r="445" spans="1:39" x14ac:dyDescent="0.25">
      <c r="A445" s="232">
        <f t="shared" si="189"/>
        <v>445</v>
      </c>
      <c r="B445" s="232"/>
      <c r="C445" s="307" t="str">
        <f t="shared" si="225"/>
        <v>15.6</v>
      </c>
      <c r="D445" s="308">
        <f t="shared" si="226"/>
        <v>4</v>
      </c>
      <c r="E445" s="309" t="str">
        <f t="shared" si="227"/>
        <v>15.6.4</v>
      </c>
      <c r="F445" s="310">
        <v>93662</v>
      </c>
      <c r="G445" s="311" t="str">
        <f>IF($F445="","",IFERROR(VLOOKUP($F445,SERVIÇOS!$B:$G,2,0),IFERROR(VLOOKUP($F445,'COMPOSIÇÕES COMPLEMENTARES '!$D:$L,2,0),IFERROR(VLOOKUP($F445,INSUMOS!$A:$D,2,0),""))))</f>
        <v>DISJUNTOR BIPOLAR TIPO DIN, CORRENTE NOMINAL DE 20A - FORNECIMENTO E INSTALAÇÃO. AF_10/2020</v>
      </c>
      <c r="H445" s="312" t="str">
        <f>IF($F445="","",IFERROR(VLOOKUP($F445,SERVIÇOS!$B:$G,3,0),IFERROR(VLOOKUP($F445,'COMPOSIÇÕES COMPLEMENTARES '!$D:$L,3,0),IFERROR(VLOOKUP($F445,INSUMOS!$A:$D,3,0),""))))</f>
        <v>UN</v>
      </c>
      <c r="I445" s="313">
        <v>2</v>
      </c>
      <c r="J445" s="314">
        <f>IF($F445="","",IFERROR(VLOOKUP($F445,SERVIÇOS!$B:$G,4,0),IFERROR(VLOOKUP($F445,'COMPOSIÇÕES COMPLEMENTARES '!$D:$L,6,0),IFERROR(VLOOKUP($F445,INSUMOS!$A:$D,4,0),""))))</f>
        <v>60.44</v>
      </c>
      <c r="K445" s="314">
        <f>IF($F445="","",IFERROR(VLOOKUP($F445,SERVIÇOS!$B:$G,5,0),IFERROR(VLOOKUP($F445,'COMPOSIÇÕES COMPLEMENTARES '!$D:$L,7,0),0)))</f>
        <v>6.55</v>
      </c>
      <c r="L445" s="314">
        <f t="shared" si="228"/>
        <v>66.989999999999995</v>
      </c>
      <c r="M445" s="314">
        <f t="shared" si="229"/>
        <v>120.88</v>
      </c>
      <c r="N445" s="314">
        <f t="shared" si="230"/>
        <v>13.1</v>
      </c>
      <c r="O445" s="314">
        <f t="shared" si="231"/>
        <v>133.97999999999999</v>
      </c>
      <c r="P445" s="314"/>
      <c r="Q445" s="315"/>
      <c r="R445" s="315"/>
      <c r="S445" s="286"/>
      <c r="T445" s="287"/>
      <c r="U445" s="288" t="str">
        <f t="shared" si="204"/>
        <v/>
      </c>
      <c r="V445" s="287"/>
      <c r="W445" s="289" t="str">
        <f t="shared" si="205"/>
        <v/>
      </c>
      <c r="X445" s="287"/>
      <c r="Y445" s="290" t="str">
        <f t="shared" si="206"/>
        <v/>
      </c>
      <c r="Z445" s="291">
        <f ca="1">SUMIF($T$8:Y$1018,"QUANT.",T445:Y445)</f>
        <v>0</v>
      </c>
      <c r="AA445" s="292">
        <f t="shared" ca="1" si="207"/>
        <v>0</v>
      </c>
      <c r="AB445" s="293" t="str">
        <f t="shared" ca="1" si="208"/>
        <v>MEDIR</v>
      </c>
      <c r="AC445" s="294">
        <f t="shared" ca="1" si="209"/>
        <v>2</v>
      </c>
      <c r="AD445" s="294">
        <f t="shared" ca="1" si="210"/>
        <v>133.97999999999999</v>
      </c>
      <c r="AE445" s="295"/>
      <c r="AF445" s="295"/>
      <c r="AG445" s="296"/>
      <c r="AH445" s="296"/>
      <c r="AI445" s="296"/>
      <c r="AJ445" s="326"/>
      <c r="AK445" s="326"/>
      <c r="AL445" s="326"/>
      <c r="AM445" s="326"/>
    </row>
    <row r="446" spans="1:39" x14ac:dyDescent="0.25">
      <c r="A446" s="232">
        <f t="shared" si="189"/>
        <v>446</v>
      </c>
      <c r="B446" s="232"/>
      <c r="C446" s="307" t="str">
        <f t="shared" si="225"/>
        <v>15.6</v>
      </c>
      <c r="D446" s="308">
        <f t="shared" si="226"/>
        <v>5</v>
      </c>
      <c r="E446" s="309" t="str">
        <f t="shared" si="227"/>
        <v>15.6.5</v>
      </c>
      <c r="F446" s="310">
        <v>93661</v>
      </c>
      <c r="G446" s="311" t="str">
        <f>IF($F446="","",IFERROR(VLOOKUP($F446,SERVIÇOS!$B:$G,2,0),IFERROR(VLOOKUP($F446,'COMPOSIÇÕES COMPLEMENTARES '!$D:$L,2,0),IFERROR(VLOOKUP($F446,INSUMOS!$A:$D,2,0),""))))</f>
        <v>DISJUNTOR BIPOLAR TIPO DIN, CORRENTE NOMINAL DE 16A - FORNECIMENTO E INSTALAÇÃO. AF_10/2020</v>
      </c>
      <c r="H446" s="312" t="str">
        <f>IF($F446="","",IFERROR(VLOOKUP($F446,SERVIÇOS!$B:$G,3,0),IFERROR(VLOOKUP($F446,'COMPOSIÇÕES COMPLEMENTARES '!$D:$L,3,0),IFERROR(VLOOKUP($F446,INSUMOS!$A:$D,3,0),""))))</f>
        <v>UN</v>
      </c>
      <c r="I446" s="313">
        <v>1</v>
      </c>
      <c r="J446" s="314">
        <f>IF($F446="","",IFERROR(VLOOKUP($F446,SERVIÇOS!$B:$G,4,0),IFERROR(VLOOKUP($F446,'COMPOSIÇÕES COMPLEMENTARES '!$D:$L,6,0),IFERROR(VLOOKUP($F446,INSUMOS!$A:$D,4,0),""))))</f>
        <v>59.08</v>
      </c>
      <c r="K446" s="314">
        <f>IF($F446="","",IFERROR(VLOOKUP($F446,SERVIÇOS!$B:$G,5,0),IFERROR(VLOOKUP($F446,'COMPOSIÇÕES COMPLEMENTARES '!$D:$L,7,0),0)))</f>
        <v>4.7</v>
      </c>
      <c r="L446" s="314">
        <f t="shared" si="228"/>
        <v>63.78</v>
      </c>
      <c r="M446" s="314">
        <f t="shared" si="229"/>
        <v>59.08</v>
      </c>
      <c r="N446" s="314">
        <f t="shared" si="230"/>
        <v>4.7</v>
      </c>
      <c r="O446" s="314">
        <f t="shared" si="231"/>
        <v>63.78</v>
      </c>
      <c r="P446" s="314"/>
      <c r="Q446" s="315"/>
      <c r="R446" s="315"/>
      <c r="S446" s="286"/>
      <c r="T446" s="287"/>
      <c r="U446" s="288" t="str">
        <f t="shared" si="204"/>
        <v/>
      </c>
      <c r="V446" s="287"/>
      <c r="W446" s="289" t="str">
        <f t="shared" si="205"/>
        <v/>
      </c>
      <c r="X446" s="287"/>
      <c r="Y446" s="290" t="str">
        <f t="shared" si="206"/>
        <v/>
      </c>
      <c r="Z446" s="291">
        <f ca="1">SUMIF($T$8:Y$1018,"QUANT.",T446:Y446)</f>
        <v>0</v>
      </c>
      <c r="AA446" s="292">
        <f t="shared" ca="1" si="207"/>
        <v>0</v>
      </c>
      <c r="AB446" s="293" t="str">
        <f t="shared" ca="1" si="208"/>
        <v>MEDIR</v>
      </c>
      <c r="AC446" s="294">
        <f t="shared" ca="1" si="209"/>
        <v>1</v>
      </c>
      <c r="AD446" s="294">
        <f t="shared" ca="1" si="210"/>
        <v>63.78</v>
      </c>
      <c r="AE446" s="295"/>
      <c r="AF446" s="295"/>
      <c r="AG446" s="296"/>
      <c r="AH446" s="296"/>
      <c r="AI446" s="296"/>
      <c r="AJ446" s="326"/>
      <c r="AK446" s="326"/>
      <c r="AL446" s="326"/>
      <c r="AM446" s="326"/>
    </row>
    <row r="447" spans="1:39" ht="25.5" x14ac:dyDescent="0.25">
      <c r="A447" s="232">
        <f t="shared" si="189"/>
        <v>447</v>
      </c>
      <c r="B447" s="232"/>
      <c r="C447" s="307" t="str">
        <f t="shared" si="225"/>
        <v>15.6</v>
      </c>
      <c r="D447" s="308">
        <f t="shared" si="226"/>
        <v>6</v>
      </c>
      <c r="E447" s="309" t="str">
        <f t="shared" si="227"/>
        <v>15.6.6</v>
      </c>
      <c r="F447" s="310">
        <v>93655</v>
      </c>
      <c r="G447" s="311" t="str">
        <f>IF($F447="","",IFERROR(VLOOKUP($F447,SERVIÇOS!$B:$G,2,0),IFERROR(VLOOKUP($F447,'COMPOSIÇÕES COMPLEMENTARES '!$D:$L,2,0),IFERROR(VLOOKUP($F447,INSUMOS!$A:$D,2,0),""))))</f>
        <v>DISJUNTOR MONOPOLAR TIPO DIN, CORRENTE NOMINAL DE 20A - FORNECIMENTO E INSTALAÇÃO. AF_10/2020</v>
      </c>
      <c r="H447" s="312" t="str">
        <f>IF($F447="","",IFERROR(VLOOKUP($F447,SERVIÇOS!$B:$G,3,0),IFERROR(VLOOKUP($F447,'COMPOSIÇÕES COMPLEMENTARES '!$D:$L,3,0),IFERROR(VLOOKUP($F447,INSUMOS!$A:$D,3,0),""))))</f>
        <v>UN</v>
      </c>
      <c r="I447" s="313">
        <v>6</v>
      </c>
      <c r="J447" s="314">
        <f>IF($F447="","",IFERROR(VLOOKUP($F447,SERVIÇOS!$B:$G,4,0),IFERROR(VLOOKUP($F447,'COMPOSIÇÕES COMPLEMENTARES '!$D:$L,6,0),IFERROR(VLOOKUP($F447,INSUMOS!$A:$D,4,0),""))))</f>
        <v>12.28</v>
      </c>
      <c r="K447" s="314">
        <f>IF($F447="","",IFERROR(VLOOKUP($F447,SERVIÇOS!$B:$G,5,0),IFERROR(VLOOKUP($F447,'COMPOSIÇÕES COMPLEMENTARES '!$D:$L,7,0),0)))</f>
        <v>3.28</v>
      </c>
      <c r="L447" s="314">
        <f t="shared" si="228"/>
        <v>15.559999999999999</v>
      </c>
      <c r="M447" s="314">
        <f t="shared" si="229"/>
        <v>73.680000000000007</v>
      </c>
      <c r="N447" s="314">
        <f t="shared" si="230"/>
        <v>19.68</v>
      </c>
      <c r="O447" s="314">
        <f t="shared" si="231"/>
        <v>93.36</v>
      </c>
      <c r="P447" s="314"/>
      <c r="Q447" s="315"/>
      <c r="R447" s="315"/>
      <c r="S447" s="286"/>
      <c r="T447" s="287"/>
      <c r="U447" s="288" t="str">
        <f t="shared" si="204"/>
        <v/>
      </c>
      <c r="V447" s="287"/>
      <c r="W447" s="289" t="str">
        <f t="shared" si="205"/>
        <v/>
      </c>
      <c r="X447" s="287"/>
      <c r="Y447" s="290" t="str">
        <f t="shared" si="206"/>
        <v/>
      </c>
      <c r="Z447" s="291">
        <f ca="1">SUMIF($T$8:Y$1018,"QUANT.",T447:Y447)</f>
        <v>0</v>
      </c>
      <c r="AA447" s="292">
        <f t="shared" ca="1" si="207"/>
        <v>0</v>
      </c>
      <c r="AB447" s="293" t="str">
        <f t="shared" ca="1" si="208"/>
        <v>MEDIR</v>
      </c>
      <c r="AC447" s="294">
        <f t="shared" ca="1" si="209"/>
        <v>6</v>
      </c>
      <c r="AD447" s="294">
        <f t="shared" ca="1" si="210"/>
        <v>93.36</v>
      </c>
      <c r="AE447" s="295"/>
      <c r="AF447" s="295"/>
      <c r="AG447" s="296"/>
      <c r="AH447" s="296"/>
      <c r="AI447" s="296"/>
      <c r="AJ447" s="326"/>
      <c r="AK447" s="326"/>
      <c r="AL447" s="326"/>
      <c r="AM447" s="326"/>
    </row>
    <row r="448" spans="1:39" ht="25.5" x14ac:dyDescent="0.25">
      <c r="A448" s="232">
        <f t="shared" si="189"/>
        <v>448</v>
      </c>
      <c r="B448" s="232"/>
      <c r="C448" s="307" t="str">
        <f t="shared" si="225"/>
        <v>15.6</v>
      </c>
      <c r="D448" s="308">
        <f t="shared" si="226"/>
        <v>7</v>
      </c>
      <c r="E448" s="309" t="str">
        <f t="shared" si="227"/>
        <v>15.6.7</v>
      </c>
      <c r="F448" s="310">
        <v>93654</v>
      </c>
      <c r="G448" s="311" t="str">
        <f>IF($F448="","",IFERROR(VLOOKUP($F448,SERVIÇOS!$B:$G,2,0),IFERROR(VLOOKUP($F448,'COMPOSIÇÕES COMPLEMENTARES '!$D:$L,2,0),IFERROR(VLOOKUP($F448,INSUMOS!$A:$D,2,0),""))))</f>
        <v>DISJUNTOR MONOPOLAR TIPO DIN, CORRENTE NOMINAL DE 16A - FORNECIMENTO E INSTALAÇÃO. AF_10/2020</v>
      </c>
      <c r="H448" s="312" t="str">
        <f>IF($F448="","",IFERROR(VLOOKUP($F448,SERVIÇOS!$B:$G,3,0),IFERROR(VLOOKUP($F448,'COMPOSIÇÕES COMPLEMENTARES '!$D:$L,3,0),IFERROR(VLOOKUP($F448,INSUMOS!$A:$D,3,0),""))))</f>
        <v>UN</v>
      </c>
      <c r="I448" s="313">
        <v>2</v>
      </c>
      <c r="J448" s="314">
        <f>IF($F448="","",IFERROR(VLOOKUP($F448,SERVIÇOS!$B:$G,4,0),IFERROR(VLOOKUP($F448,'COMPOSIÇÕES COMPLEMENTARES '!$D:$L,6,0),IFERROR(VLOOKUP($F448,INSUMOS!$A:$D,4,0),""))))</f>
        <v>11.6</v>
      </c>
      <c r="K448" s="314">
        <f>IF($F448="","",IFERROR(VLOOKUP($F448,SERVIÇOS!$B:$G,5,0),IFERROR(VLOOKUP($F448,'COMPOSIÇÕES COMPLEMENTARES '!$D:$L,7,0),0)))</f>
        <v>2.35</v>
      </c>
      <c r="L448" s="314">
        <f t="shared" si="228"/>
        <v>13.95</v>
      </c>
      <c r="M448" s="314">
        <f t="shared" si="229"/>
        <v>23.2</v>
      </c>
      <c r="N448" s="314">
        <f t="shared" si="230"/>
        <v>4.7</v>
      </c>
      <c r="O448" s="314">
        <f t="shared" si="231"/>
        <v>27.9</v>
      </c>
      <c r="P448" s="314"/>
      <c r="Q448" s="315"/>
      <c r="R448" s="315"/>
      <c r="S448" s="286"/>
      <c r="T448" s="287"/>
      <c r="U448" s="288" t="str">
        <f t="shared" si="204"/>
        <v/>
      </c>
      <c r="V448" s="287"/>
      <c r="W448" s="289" t="str">
        <f t="shared" si="205"/>
        <v/>
      </c>
      <c r="X448" s="287"/>
      <c r="Y448" s="290" t="str">
        <f t="shared" si="206"/>
        <v/>
      </c>
      <c r="Z448" s="291">
        <f ca="1">SUMIF($T$8:Y$1018,"QUANT.",T448:Y448)</f>
        <v>0</v>
      </c>
      <c r="AA448" s="292">
        <f t="shared" ca="1" si="207"/>
        <v>0</v>
      </c>
      <c r="AB448" s="293" t="str">
        <f t="shared" ca="1" si="208"/>
        <v>MEDIR</v>
      </c>
      <c r="AC448" s="294">
        <f t="shared" ca="1" si="209"/>
        <v>2</v>
      </c>
      <c r="AD448" s="294">
        <f t="shared" ca="1" si="210"/>
        <v>27.9</v>
      </c>
      <c r="AE448" s="295"/>
      <c r="AF448" s="295"/>
      <c r="AG448" s="296"/>
      <c r="AH448" s="296"/>
      <c r="AI448" s="296"/>
      <c r="AJ448" s="326"/>
      <c r="AK448" s="326"/>
      <c r="AL448" s="326"/>
      <c r="AM448" s="326"/>
    </row>
    <row r="449" spans="1:39" x14ac:dyDescent="0.25">
      <c r="A449" s="232">
        <f t="shared" si="189"/>
        <v>449</v>
      </c>
      <c r="B449" s="232"/>
      <c r="C449" s="307" t="str">
        <f t="shared" si="225"/>
        <v>15.6</v>
      </c>
      <c r="D449" s="308">
        <f t="shared" si="226"/>
        <v>8</v>
      </c>
      <c r="E449" s="309" t="str">
        <f t="shared" si="227"/>
        <v>15.6.8</v>
      </c>
      <c r="F449" s="310" t="s">
        <v>12198</v>
      </c>
      <c r="G449" s="311" t="str">
        <f>IF($F449="","",IFERROR(VLOOKUP($F449,SERVIÇOS!$B:$G,2,0),IFERROR(VLOOKUP($F449,'COMPOSIÇÕES COMPLEMENTARES '!$D:$L,2,0),IFERROR(VLOOKUP($F449,INSUMOS!$A:$D,2,0),""))))</f>
        <v>DISPOSITIVO PROTETOR CONTRA SURTOS (DPS) 8/20 45KA - 275V CLASSE II</v>
      </c>
      <c r="H449" s="312" t="str">
        <f>IF($F449="","",IFERROR(VLOOKUP($F449,SERVIÇOS!$B:$G,3,0),IFERROR(VLOOKUP($F449,'COMPOSIÇÕES COMPLEMENTARES '!$D:$L,3,0),IFERROR(VLOOKUP($F449,INSUMOS!$A:$D,3,0),""))))</f>
        <v>UN</v>
      </c>
      <c r="I449" s="313">
        <v>4</v>
      </c>
      <c r="J449" s="314">
        <f>IF($F449="","",IFERROR(VLOOKUP($F449,SERVIÇOS!$B:$G,4,0),IFERROR(VLOOKUP($F449,'COMPOSIÇÕES COMPLEMENTARES '!$D:$L,6,0),IFERROR(VLOOKUP($F449,INSUMOS!$A:$D,4,0),""))))</f>
        <v>116.15</v>
      </c>
      <c r="K449" s="314">
        <f>IF($F449="","",IFERROR(VLOOKUP($F449,SERVIÇOS!$B:$G,5,0),IFERROR(VLOOKUP($F449,'COMPOSIÇÕES COMPLEMENTARES '!$D:$L,7,0),0)))</f>
        <v>14.85</v>
      </c>
      <c r="L449" s="314">
        <f t="shared" si="228"/>
        <v>131</v>
      </c>
      <c r="M449" s="314">
        <f t="shared" si="229"/>
        <v>464.6</v>
      </c>
      <c r="N449" s="314">
        <f t="shared" si="230"/>
        <v>59.4</v>
      </c>
      <c r="O449" s="314">
        <f t="shared" si="231"/>
        <v>524</v>
      </c>
      <c r="P449" s="314"/>
      <c r="Q449" s="315"/>
      <c r="R449" s="315"/>
      <c r="S449" s="286"/>
      <c r="T449" s="287"/>
      <c r="U449" s="288" t="str">
        <f t="shared" si="204"/>
        <v/>
      </c>
      <c r="V449" s="287"/>
      <c r="W449" s="289" t="str">
        <f t="shared" si="205"/>
        <v/>
      </c>
      <c r="X449" s="287"/>
      <c r="Y449" s="290" t="str">
        <f t="shared" si="206"/>
        <v/>
      </c>
      <c r="Z449" s="291">
        <f ca="1">SUMIF($T$8:Y$1018,"QUANT.",T449:Y449)</f>
        <v>0</v>
      </c>
      <c r="AA449" s="292">
        <f t="shared" ca="1" si="207"/>
        <v>0</v>
      </c>
      <c r="AB449" s="293" t="str">
        <f t="shared" ca="1" si="208"/>
        <v>MEDIR</v>
      </c>
      <c r="AC449" s="294">
        <f t="shared" ca="1" si="209"/>
        <v>4</v>
      </c>
      <c r="AD449" s="294">
        <f t="shared" ca="1" si="210"/>
        <v>524</v>
      </c>
      <c r="AE449" s="295"/>
      <c r="AF449" s="295"/>
      <c r="AG449" s="296"/>
      <c r="AH449" s="296"/>
      <c r="AI449" s="296"/>
      <c r="AJ449" s="326"/>
      <c r="AK449" s="326"/>
      <c r="AL449" s="326"/>
      <c r="AM449" s="326"/>
    </row>
    <row r="450" spans="1:39" x14ac:dyDescent="0.25">
      <c r="A450" s="232">
        <f t="shared" ref="A450:A513" si="232">1+A449</f>
        <v>450</v>
      </c>
      <c r="B450" s="232"/>
      <c r="C450" s="307" t="str">
        <f t="shared" si="225"/>
        <v>15.6</v>
      </c>
      <c r="D450" s="308">
        <f t="shared" si="226"/>
        <v>9</v>
      </c>
      <c r="E450" s="309" t="str">
        <f t="shared" si="227"/>
        <v>15.6.9</v>
      </c>
      <c r="F450" s="310" t="s">
        <v>12199</v>
      </c>
      <c r="G450" s="311" t="str">
        <f>IF($F450="","",IFERROR(VLOOKUP($F450,SERVIÇOS!$B:$G,2,0),IFERROR(VLOOKUP($F450,'COMPOSIÇÕES COMPLEMENTARES '!$D:$L,2,0),IFERROR(VLOOKUP($F450,INSUMOS!$A:$D,2,0),""))))</f>
        <v>INTERRUPTOR DIFERENCIAL BIPOLAR 2X40A SENS. 30MA</v>
      </c>
      <c r="H450" s="312" t="str">
        <f>IF($F450="","",IFERROR(VLOOKUP($F450,SERVIÇOS!$B:$G,3,0),IFERROR(VLOOKUP($F450,'COMPOSIÇÕES COMPLEMENTARES '!$D:$L,3,0),IFERROR(VLOOKUP($F450,INSUMOS!$A:$D,3,0),""))))</f>
        <v>UN</v>
      </c>
      <c r="I450" s="313">
        <v>6</v>
      </c>
      <c r="J450" s="314">
        <f>IF($F450="","",IFERROR(VLOOKUP($F450,SERVIÇOS!$B:$G,4,0),IFERROR(VLOOKUP($F450,'COMPOSIÇÕES COMPLEMENTARES '!$D:$L,6,0),IFERROR(VLOOKUP($F450,INSUMOS!$A:$D,4,0),""))))</f>
        <v>218.04</v>
      </c>
      <c r="K450" s="314">
        <f>IF($F450="","",IFERROR(VLOOKUP($F450,SERVIÇOS!$B:$G,5,0),IFERROR(VLOOKUP($F450,'COMPOSIÇÕES COMPLEMENTARES '!$D:$L,7,0),0)))</f>
        <v>100.29</v>
      </c>
      <c r="L450" s="314">
        <f t="shared" si="228"/>
        <v>318.33</v>
      </c>
      <c r="M450" s="314">
        <f t="shared" si="229"/>
        <v>1308.24</v>
      </c>
      <c r="N450" s="314">
        <f t="shared" si="230"/>
        <v>601.74</v>
      </c>
      <c r="O450" s="314">
        <f t="shared" si="231"/>
        <v>1909.98</v>
      </c>
      <c r="P450" s="314"/>
      <c r="Q450" s="315"/>
      <c r="R450" s="315"/>
      <c r="S450" s="286"/>
      <c r="T450" s="287"/>
      <c r="U450" s="288" t="str">
        <f t="shared" si="204"/>
        <v/>
      </c>
      <c r="V450" s="287"/>
      <c r="W450" s="289" t="str">
        <f t="shared" si="205"/>
        <v/>
      </c>
      <c r="X450" s="287"/>
      <c r="Y450" s="290" t="str">
        <f t="shared" si="206"/>
        <v/>
      </c>
      <c r="Z450" s="291">
        <f ca="1">SUMIF($T$8:Y$1018,"QUANT.",T450:Y450)</f>
        <v>0</v>
      </c>
      <c r="AA450" s="292">
        <f t="shared" ca="1" si="207"/>
        <v>0</v>
      </c>
      <c r="AB450" s="293" t="str">
        <f t="shared" ca="1" si="208"/>
        <v>MEDIR</v>
      </c>
      <c r="AC450" s="294">
        <f t="shared" ca="1" si="209"/>
        <v>6</v>
      </c>
      <c r="AD450" s="294">
        <f t="shared" ca="1" si="210"/>
        <v>1909.98</v>
      </c>
      <c r="AE450" s="295"/>
      <c r="AF450" s="295"/>
      <c r="AG450" s="296"/>
      <c r="AH450" s="296"/>
      <c r="AI450" s="296"/>
      <c r="AJ450" s="326"/>
      <c r="AK450" s="326"/>
      <c r="AL450" s="326"/>
      <c r="AM450" s="326"/>
    </row>
    <row r="451" spans="1:39" x14ac:dyDescent="0.25">
      <c r="A451" s="232">
        <f t="shared" si="232"/>
        <v>451</v>
      </c>
      <c r="B451" s="232"/>
      <c r="C451" s="307" t="str">
        <f t="shared" si="225"/>
        <v>15.6</v>
      </c>
      <c r="D451" s="308">
        <f t="shared" si="226"/>
        <v>10</v>
      </c>
      <c r="E451" s="309" t="str">
        <f t="shared" si="227"/>
        <v>15.6.10</v>
      </c>
      <c r="F451" s="310" t="s">
        <v>12200</v>
      </c>
      <c r="G451" s="311" t="str">
        <f>IF($F451="","",IFERROR(VLOOKUP($F451,SERVIÇOS!$B:$G,2,0),IFERROR(VLOOKUP($F451,'COMPOSIÇÕES COMPLEMENTARES '!$D:$L,2,0),IFERROR(VLOOKUP($F451,INSUMOS!$A:$D,2,0),""))))</f>
        <v>INTERRUPTOR DIFERENCIAL TETRAPOLAR 4X63A SENS. 30MA</v>
      </c>
      <c r="H451" s="312" t="str">
        <f>IF($F451="","",IFERROR(VLOOKUP($F451,SERVIÇOS!$B:$G,3,0),IFERROR(VLOOKUP($F451,'COMPOSIÇÕES COMPLEMENTARES '!$D:$L,3,0),IFERROR(VLOOKUP($F451,INSUMOS!$A:$D,3,0),""))))</f>
        <v>UN</v>
      </c>
      <c r="I451" s="313">
        <v>1</v>
      </c>
      <c r="J451" s="314">
        <f>IF($F451="","",IFERROR(VLOOKUP($F451,SERVIÇOS!$B:$G,4,0),IFERROR(VLOOKUP($F451,'COMPOSIÇÕES COMPLEMENTARES '!$D:$L,6,0),IFERROR(VLOOKUP($F451,INSUMOS!$A:$D,4,0),""))))</f>
        <v>279.11</v>
      </c>
      <c r="K451" s="314">
        <f>IF($F451="","",IFERROR(VLOOKUP($F451,SERVIÇOS!$B:$G,5,0),IFERROR(VLOOKUP($F451,'COMPOSIÇÕES COMPLEMENTARES '!$D:$L,7,0),0)))</f>
        <v>120.12</v>
      </c>
      <c r="L451" s="314">
        <f t="shared" si="228"/>
        <v>399.23</v>
      </c>
      <c r="M451" s="314">
        <f t="shared" si="229"/>
        <v>279.11</v>
      </c>
      <c r="N451" s="314">
        <f t="shared" si="230"/>
        <v>120.12</v>
      </c>
      <c r="O451" s="314">
        <f t="shared" si="231"/>
        <v>399.23</v>
      </c>
      <c r="P451" s="314"/>
      <c r="Q451" s="315"/>
      <c r="R451" s="315"/>
      <c r="S451" s="286"/>
      <c r="T451" s="287"/>
      <c r="U451" s="288" t="str">
        <f t="shared" si="204"/>
        <v/>
      </c>
      <c r="V451" s="287"/>
      <c r="W451" s="289" t="str">
        <f t="shared" si="205"/>
        <v/>
      </c>
      <c r="X451" s="287"/>
      <c r="Y451" s="290" t="str">
        <f t="shared" si="206"/>
        <v/>
      </c>
      <c r="Z451" s="291">
        <f ca="1">SUMIF($T$8:Y$1018,"QUANT.",T451:Y451)</f>
        <v>0</v>
      </c>
      <c r="AA451" s="292">
        <f t="shared" ca="1" si="207"/>
        <v>0</v>
      </c>
      <c r="AB451" s="293" t="str">
        <f t="shared" ca="1" si="208"/>
        <v>MEDIR</v>
      </c>
      <c r="AC451" s="294">
        <f t="shared" ca="1" si="209"/>
        <v>1</v>
      </c>
      <c r="AD451" s="294">
        <f t="shared" ca="1" si="210"/>
        <v>399.23</v>
      </c>
      <c r="AE451" s="295"/>
      <c r="AF451" s="295"/>
      <c r="AG451" s="296"/>
      <c r="AH451" s="296"/>
      <c r="AI451" s="296"/>
      <c r="AJ451" s="326"/>
      <c r="AK451" s="326"/>
      <c r="AL451" s="326"/>
      <c r="AM451" s="326"/>
    </row>
    <row r="452" spans="1:39" x14ac:dyDescent="0.25">
      <c r="A452" s="232">
        <f t="shared" si="232"/>
        <v>452</v>
      </c>
      <c r="B452" s="232"/>
      <c r="C452" s="307" t="str">
        <f t="shared" si="225"/>
        <v>15.6</v>
      </c>
      <c r="D452" s="308">
        <f t="shared" si="226"/>
        <v>11</v>
      </c>
      <c r="E452" s="309" t="str">
        <f t="shared" si="227"/>
        <v>15.6.11</v>
      </c>
      <c r="F452" s="310" t="s">
        <v>12202</v>
      </c>
      <c r="G452" s="311" t="str">
        <f>IF($F452="","",IFERROR(VLOOKUP($F452,SERVIÇOS!$B:$G,2,0),IFERROR(VLOOKUP($F452,'COMPOSIÇÕES COMPLEMENTARES '!$D:$L,2,0),IFERROR(VLOOKUP($F452,INSUMOS!$A:$D,2,0),""))))</f>
        <v>CONDUTOR DE COBRE FLEX. ISOL. 1KV - 90º - #16MM² - AFUMEX</v>
      </c>
      <c r="H452" s="312" t="str">
        <f>IF($F452="","",IFERROR(VLOOKUP($F452,SERVIÇOS!$B:$G,3,0),IFERROR(VLOOKUP($F452,'COMPOSIÇÕES COMPLEMENTARES '!$D:$L,3,0),IFERROR(VLOOKUP($F452,INSUMOS!$A:$D,3,0),""))))</f>
        <v>M</v>
      </c>
      <c r="I452" s="313">
        <v>70</v>
      </c>
      <c r="J452" s="314">
        <f>IF($F452="","",IFERROR(VLOOKUP($F452,SERVIÇOS!$B:$G,4,0),IFERROR(VLOOKUP($F452,'COMPOSIÇÕES COMPLEMENTARES '!$D:$L,6,0),IFERROR(VLOOKUP($F452,INSUMOS!$A:$D,4,0),""))))</f>
        <v>19.739999999999998</v>
      </c>
      <c r="K452" s="314">
        <f>IF($F452="","",IFERROR(VLOOKUP($F452,SERVIÇOS!$B:$G,5,0),IFERROR(VLOOKUP($F452,'COMPOSIÇÕES COMPLEMENTARES '!$D:$L,7,0),0)))</f>
        <v>5.69</v>
      </c>
      <c r="L452" s="314">
        <f t="shared" si="228"/>
        <v>25.43</v>
      </c>
      <c r="M452" s="314">
        <f t="shared" si="229"/>
        <v>1381.8</v>
      </c>
      <c r="N452" s="314">
        <f t="shared" si="230"/>
        <v>398.3</v>
      </c>
      <c r="O452" s="314">
        <f t="shared" si="231"/>
        <v>1780.1</v>
      </c>
      <c r="P452" s="314"/>
      <c r="Q452" s="315"/>
      <c r="R452" s="315"/>
      <c r="S452" s="286"/>
      <c r="T452" s="287"/>
      <c r="U452" s="288" t="str">
        <f t="shared" si="204"/>
        <v/>
      </c>
      <c r="V452" s="287"/>
      <c r="W452" s="289" t="str">
        <f t="shared" si="205"/>
        <v/>
      </c>
      <c r="X452" s="287"/>
      <c r="Y452" s="290" t="str">
        <f t="shared" si="206"/>
        <v/>
      </c>
      <c r="Z452" s="291">
        <f ca="1">SUMIF($T$8:Y$1018,"QUANT.",T452:Y452)</f>
        <v>0</v>
      </c>
      <c r="AA452" s="292">
        <f t="shared" ca="1" si="207"/>
        <v>0</v>
      </c>
      <c r="AB452" s="293" t="str">
        <f t="shared" ca="1" si="208"/>
        <v>MEDIR</v>
      </c>
      <c r="AC452" s="294">
        <f t="shared" ca="1" si="209"/>
        <v>70</v>
      </c>
      <c r="AD452" s="294">
        <f t="shared" ca="1" si="210"/>
        <v>1780.1</v>
      </c>
      <c r="AE452" s="295"/>
      <c r="AF452" s="295"/>
      <c r="AG452" s="296"/>
      <c r="AH452" s="296"/>
      <c r="AI452" s="296"/>
      <c r="AJ452" s="326"/>
      <c r="AK452" s="326"/>
      <c r="AL452" s="326"/>
      <c r="AM452" s="326"/>
    </row>
    <row r="453" spans="1:39" x14ac:dyDescent="0.25">
      <c r="A453" s="232">
        <f t="shared" si="232"/>
        <v>453</v>
      </c>
      <c r="B453" s="232"/>
      <c r="C453" s="307" t="str">
        <f t="shared" si="225"/>
        <v>15.6</v>
      </c>
      <c r="D453" s="308">
        <f t="shared" si="226"/>
        <v>12</v>
      </c>
      <c r="E453" s="309" t="str">
        <f t="shared" si="227"/>
        <v>15.6.12</v>
      </c>
      <c r="F453" s="310" t="s">
        <v>12204</v>
      </c>
      <c r="G453" s="311" t="str">
        <f>IF($F453="","",IFERROR(VLOOKUP($F453,SERVIÇOS!$B:$G,2,0),IFERROR(VLOOKUP($F453,'COMPOSIÇÕES COMPLEMENTARES '!$D:$L,2,0),IFERROR(VLOOKUP($F453,INSUMOS!$A:$D,2,0),""))))</f>
        <v>TERMINAL DE COMPRESSÃO #16MM²</v>
      </c>
      <c r="H453" s="312" t="str">
        <f>IF($F453="","",IFERROR(VLOOKUP($F453,SERVIÇOS!$B:$G,3,0),IFERROR(VLOOKUP($F453,'COMPOSIÇÕES COMPLEMENTARES '!$D:$L,3,0),IFERROR(VLOOKUP($F453,INSUMOS!$A:$D,3,0),""))))</f>
        <v>UN</v>
      </c>
      <c r="I453" s="313">
        <v>10</v>
      </c>
      <c r="J453" s="314">
        <f>IF($F453="","",IFERROR(VLOOKUP($F453,SERVIÇOS!$B:$G,4,0),IFERROR(VLOOKUP($F453,'COMPOSIÇÕES COMPLEMENTARES '!$D:$L,6,0),IFERROR(VLOOKUP($F453,INSUMOS!$A:$D,4,0),""))))</f>
        <v>2.71</v>
      </c>
      <c r="K453" s="314">
        <f>IF($F453="","",IFERROR(VLOOKUP($F453,SERVIÇOS!$B:$G,5,0),IFERROR(VLOOKUP($F453,'COMPOSIÇÕES COMPLEMENTARES '!$D:$L,7,0),0)))</f>
        <v>1.1200000000000001</v>
      </c>
      <c r="L453" s="314">
        <f t="shared" si="228"/>
        <v>3.83</v>
      </c>
      <c r="M453" s="314">
        <f t="shared" si="229"/>
        <v>27.1</v>
      </c>
      <c r="N453" s="314">
        <f t="shared" si="230"/>
        <v>11.2</v>
      </c>
      <c r="O453" s="314">
        <f t="shared" si="231"/>
        <v>38.299999999999997</v>
      </c>
      <c r="P453" s="314"/>
      <c r="Q453" s="315"/>
      <c r="R453" s="315"/>
      <c r="S453" s="286"/>
      <c r="T453" s="287"/>
      <c r="U453" s="288" t="str">
        <f t="shared" si="204"/>
        <v/>
      </c>
      <c r="V453" s="287"/>
      <c r="W453" s="289" t="str">
        <f t="shared" si="205"/>
        <v/>
      </c>
      <c r="X453" s="287"/>
      <c r="Y453" s="290" t="str">
        <f t="shared" si="206"/>
        <v/>
      </c>
      <c r="Z453" s="291">
        <f ca="1">SUMIF($T$8:Y$1018,"QUANT.",T453:Y453)</f>
        <v>0</v>
      </c>
      <c r="AA453" s="292">
        <f t="shared" ca="1" si="207"/>
        <v>0</v>
      </c>
      <c r="AB453" s="293" t="str">
        <f t="shared" ca="1" si="208"/>
        <v>MEDIR</v>
      </c>
      <c r="AC453" s="294">
        <f t="shared" ca="1" si="209"/>
        <v>10</v>
      </c>
      <c r="AD453" s="294">
        <f t="shared" ca="1" si="210"/>
        <v>38.299999999999997</v>
      </c>
      <c r="AE453" s="295"/>
      <c r="AF453" s="295"/>
      <c r="AG453" s="296"/>
      <c r="AH453" s="296"/>
      <c r="AI453" s="296"/>
      <c r="AJ453" s="326"/>
      <c r="AK453" s="326"/>
      <c r="AL453" s="326"/>
      <c r="AM453" s="326"/>
    </row>
    <row r="454" spans="1:39" ht="25.5" x14ac:dyDescent="0.25">
      <c r="A454" s="232">
        <f t="shared" si="232"/>
        <v>454</v>
      </c>
      <c r="B454" s="232"/>
      <c r="C454" s="307" t="str">
        <f t="shared" si="225"/>
        <v>15.6</v>
      </c>
      <c r="D454" s="308">
        <f t="shared" si="226"/>
        <v>13</v>
      </c>
      <c r="E454" s="309" t="str">
        <f t="shared" si="227"/>
        <v>15.6.13</v>
      </c>
      <c r="F454" s="310">
        <v>97668</v>
      </c>
      <c r="G454" s="311" t="str">
        <f>IF($F454="","",IFERROR(VLOOKUP($F454,SERVIÇOS!$B:$G,2,0),IFERROR(VLOOKUP($F454,'COMPOSIÇÕES COMPLEMENTARES '!$D:$L,2,0),IFERROR(VLOOKUP($F454,INSUMOS!$A:$D,2,0),""))))</f>
        <v>ELETRODUTO FLEXÍVEL CORRUGADO, PEAD, DN 63 (2"), PARA REDE ENTERRADA DE DISTRIBUIÇÃO DE ENERGIA ELÉTRICA - FORNECIMENTO E INSTALAÇÃO. AF_12/2021</v>
      </c>
      <c r="H454" s="312" t="str">
        <f>IF($F454="","",IFERROR(VLOOKUP($F454,SERVIÇOS!$B:$G,3,0),IFERROR(VLOOKUP($F454,'COMPOSIÇÕES COMPLEMENTARES '!$D:$L,3,0),IFERROR(VLOOKUP($F454,INSUMOS!$A:$D,3,0),""))))</f>
        <v>M</v>
      </c>
      <c r="I454" s="313">
        <v>14</v>
      </c>
      <c r="J454" s="314">
        <f>IF($F454="","",IFERROR(VLOOKUP($F454,SERVIÇOS!$B:$G,4,0),IFERROR(VLOOKUP($F454,'COMPOSIÇÕES COMPLEMENTARES '!$D:$L,6,0),IFERROR(VLOOKUP($F454,INSUMOS!$A:$D,4,0),""))))</f>
        <v>11.19</v>
      </c>
      <c r="K454" s="314">
        <f>IF($F454="","",IFERROR(VLOOKUP($F454,SERVIÇOS!$B:$G,5,0),IFERROR(VLOOKUP($F454,'COMPOSIÇÕES COMPLEMENTARES '!$D:$L,7,0),0)))</f>
        <v>4.68</v>
      </c>
      <c r="L454" s="314">
        <f t="shared" si="228"/>
        <v>15.87</v>
      </c>
      <c r="M454" s="314">
        <f t="shared" si="229"/>
        <v>156.66</v>
      </c>
      <c r="N454" s="314">
        <f t="shared" si="230"/>
        <v>65.52</v>
      </c>
      <c r="O454" s="314">
        <f t="shared" si="231"/>
        <v>222.18</v>
      </c>
      <c r="P454" s="314"/>
      <c r="Q454" s="315"/>
      <c r="R454" s="315"/>
      <c r="S454" s="286"/>
      <c r="T454" s="287"/>
      <c r="U454" s="288" t="str">
        <f t="shared" si="204"/>
        <v/>
      </c>
      <c r="V454" s="287"/>
      <c r="W454" s="289" t="str">
        <f t="shared" si="205"/>
        <v/>
      </c>
      <c r="X454" s="287"/>
      <c r="Y454" s="290" t="str">
        <f t="shared" si="206"/>
        <v/>
      </c>
      <c r="Z454" s="291">
        <f ca="1">SUMIF($T$8:Y$1018,"QUANT.",T454:Y454)</f>
        <v>0</v>
      </c>
      <c r="AA454" s="292">
        <f t="shared" ca="1" si="207"/>
        <v>0</v>
      </c>
      <c r="AB454" s="293" t="str">
        <f t="shared" ca="1" si="208"/>
        <v>MEDIR</v>
      </c>
      <c r="AC454" s="294">
        <f t="shared" ca="1" si="209"/>
        <v>14</v>
      </c>
      <c r="AD454" s="294">
        <f t="shared" ca="1" si="210"/>
        <v>222.18</v>
      </c>
      <c r="AE454" s="295"/>
      <c r="AF454" s="295"/>
      <c r="AG454" s="296"/>
      <c r="AH454" s="296"/>
      <c r="AI454" s="296"/>
      <c r="AJ454" s="326"/>
      <c r="AK454" s="326"/>
      <c r="AL454" s="326"/>
      <c r="AM454" s="326"/>
    </row>
    <row r="455" spans="1:39" x14ac:dyDescent="0.25">
      <c r="A455" s="232">
        <f t="shared" si="232"/>
        <v>455</v>
      </c>
      <c r="B455" s="232"/>
      <c r="C455" s="307" t="str">
        <f t="shared" si="225"/>
        <v>15.6</v>
      </c>
      <c r="D455" s="308">
        <f t="shared" si="226"/>
        <v>14</v>
      </c>
      <c r="E455" s="309" t="str">
        <f t="shared" si="227"/>
        <v>15.6.14</v>
      </c>
      <c r="F455" s="310" t="s">
        <v>12205</v>
      </c>
      <c r="G455" s="311" t="str">
        <f>IF($F455="","",IFERROR(VLOOKUP($F455,SERVIÇOS!$B:$G,2,0),IFERROR(VLOOKUP($F455,'COMPOSIÇÕES COMPLEMENTARES '!$D:$L,2,0),IFERROR(VLOOKUP($F455,INSUMOS!$A:$D,2,0),""))))</f>
        <v>UNIDUT CÔNICO Ø2" COM BUCHA E ARRUELA DE ALUMÍNIO Ø2"</v>
      </c>
      <c r="H455" s="312" t="str">
        <f>IF($F455="","",IFERROR(VLOOKUP($F455,SERVIÇOS!$B:$G,3,0),IFERROR(VLOOKUP($F455,'COMPOSIÇÕES COMPLEMENTARES '!$D:$L,3,0),IFERROR(VLOOKUP($F455,INSUMOS!$A:$D,3,0),""))))</f>
        <v>UN</v>
      </c>
      <c r="I455" s="313">
        <v>2</v>
      </c>
      <c r="J455" s="314">
        <f>IF($F455="","",IFERROR(VLOOKUP($F455,SERVIÇOS!$B:$G,4,0),IFERROR(VLOOKUP($F455,'COMPOSIÇÕES COMPLEMENTARES '!$D:$L,6,0),IFERROR(VLOOKUP($F455,INSUMOS!$A:$D,4,0),""))))</f>
        <v>17.22</v>
      </c>
      <c r="K455" s="314">
        <f>IF($F455="","",IFERROR(VLOOKUP($F455,SERVIÇOS!$B:$G,5,0),IFERROR(VLOOKUP($F455,'COMPOSIÇÕES COMPLEMENTARES '!$D:$L,7,0),0)))</f>
        <v>2.4700000000000002</v>
      </c>
      <c r="L455" s="314">
        <f t="shared" si="228"/>
        <v>19.689999999999998</v>
      </c>
      <c r="M455" s="314">
        <f t="shared" si="229"/>
        <v>34.44</v>
      </c>
      <c r="N455" s="314">
        <f t="shared" si="230"/>
        <v>4.9400000000000004</v>
      </c>
      <c r="O455" s="314">
        <f t="shared" si="231"/>
        <v>39.380000000000003</v>
      </c>
      <c r="P455" s="314"/>
      <c r="Q455" s="315"/>
      <c r="R455" s="315"/>
      <c r="S455" s="286"/>
      <c r="T455" s="287"/>
      <c r="U455" s="288" t="str">
        <f t="shared" si="204"/>
        <v/>
      </c>
      <c r="V455" s="287"/>
      <c r="W455" s="289" t="str">
        <f t="shared" si="205"/>
        <v/>
      </c>
      <c r="X455" s="287"/>
      <c r="Y455" s="290" t="str">
        <f t="shared" si="206"/>
        <v/>
      </c>
      <c r="Z455" s="291">
        <f ca="1">SUMIF($T$8:Y$1018,"QUANT.",T455:Y455)</f>
        <v>0</v>
      </c>
      <c r="AA455" s="292">
        <f t="shared" ca="1" si="207"/>
        <v>0</v>
      </c>
      <c r="AB455" s="293" t="str">
        <f t="shared" ca="1" si="208"/>
        <v>MEDIR</v>
      </c>
      <c r="AC455" s="294">
        <f t="shared" ca="1" si="209"/>
        <v>2</v>
      </c>
      <c r="AD455" s="294">
        <f t="shared" ca="1" si="210"/>
        <v>39.380000000000003</v>
      </c>
      <c r="AE455" s="295"/>
      <c r="AF455" s="295"/>
      <c r="AG455" s="296"/>
      <c r="AH455" s="296"/>
      <c r="AI455" s="296"/>
      <c r="AJ455" s="326"/>
      <c r="AK455" s="326"/>
      <c r="AL455" s="326"/>
      <c r="AM455" s="326"/>
    </row>
    <row r="456" spans="1:39" x14ac:dyDescent="0.25">
      <c r="A456" s="232">
        <f t="shared" si="232"/>
        <v>456</v>
      </c>
      <c r="B456" s="232"/>
      <c r="C456" s="316" t="str">
        <f>+E456</f>
        <v>15.7</v>
      </c>
      <c r="D456" s="297"/>
      <c r="E456" s="317" t="s">
        <v>12227</v>
      </c>
      <c r="F456" s="317"/>
      <c r="G456" s="318" t="s">
        <v>12228</v>
      </c>
      <c r="H456" s="317"/>
      <c r="I456" s="319"/>
      <c r="J456" s="317"/>
      <c r="K456" s="317"/>
      <c r="L456" s="317"/>
      <c r="M456" s="317"/>
      <c r="N456" s="317"/>
      <c r="O456" s="317"/>
      <c r="P456" s="317"/>
      <c r="Q456" s="320"/>
      <c r="R456" s="306"/>
      <c r="S456" s="286"/>
      <c r="T456" s="287"/>
      <c r="U456" s="288" t="str">
        <f t="shared" si="204"/>
        <v/>
      </c>
      <c r="V456" s="287"/>
      <c r="W456" s="289" t="str">
        <f t="shared" si="205"/>
        <v/>
      </c>
      <c r="X456" s="287"/>
      <c r="Y456" s="290" t="str">
        <f t="shared" si="206"/>
        <v/>
      </c>
      <c r="Z456" s="291">
        <f ca="1">SUMIF($T$8:Y$1018,"QUANT.",T456:Y456)</f>
        <v>0</v>
      </c>
      <c r="AA456" s="292">
        <f t="shared" ca="1" si="207"/>
        <v>0</v>
      </c>
      <c r="AB456" s="293" t="str">
        <f t="shared" si="208"/>
        <v/>
      </c>
      <c r="AC456" s="294">
        <f t="shared" ca="1" si="209"/>
        <v>0</v>
      </c>
      <c r="AD456" s="294">
        <f t="shared" ca="1" si="210"/>
        <v>0</v>
      </c>
      <c r="AE456" s="295"/>
      <c r="AF456" s="295"/>
      <c r="AG456" s="296"/>
      <c r="AH456" s="296"/>
      <c r="AI456" s="296"/>
      <c r="AJ456" s="326"/>
      <c r="AK456" s="326"/>
      <c r="AL456" s="326"/>
      <c r="AM456" s="326"/>
    </row>
    <row r="457" spans="1:39" ht="25.5" x14ac:dyDescent="0.25">
      <c r="A457" s="232">
        <f t="shared" si="232"/>
        <v>457</v>
      </c>
      <c r="B457" s="232"/>
      <c r="C457" s="307" t="str">
        <f t="shared" ref="C457:C468" si="233">+C456</f>
        <v>15.7</v>
      </c>
      <c r="D457" s="308">
        <f t="shared" ref="D457:D468" si="234">1+D456</f>
        <v>1</v>
      </c>
      <c r="E457" s="309" t="str">
        <f t="shared" ref="E457:E468" si="235">C457&amp;"."&amp;D457</f>
        <v>15.7.1</v>
      </c>
      <c r="F457" s="310" t="s">
        <v>12208</v>
      </c>
      <c r="G457" s="311" t="str">
        <f>IF($F457="","",IFERROR(VLOOKUP($F457,SERVIÇOS!$B:$G,2,0),IFERROR(VLOOKUP($F457,'COMPOSIÇÕES COMPLEMENTARES '!$D:$L,2,0),IFERROR(VLOOKUP($F457,INSUMOS!$A:$D,2,0),""))))</f>
        <v>LUMINÁRIA QUADRADA TIPO PLACA DE LED 30X30 CM DE EMBUTIR, 24W/127V - 1700 LM - 4000K - STH9954Q/40 - BIVOLT - STELLA OU SIMILAR.</v>
      </c>
      <c r="H457" s="312" t="str">
        <f>IF($F457="","",IFERROR(VLOOKUP($F457,SERVIÇOS!$B:$G,3,0),IFERROR(VLOOKUP($F457,'COMPOSIÇÕES COMPLEMENTARES '!$D:$L,3,0),IFERROR(VLOOKUP($F457,INSUMOS!$A:$D,3,0),""))))</f>
        <v>UN</v>
      </c>
      <c r="I457" s="313">
        <v>27</v>
      </c>
      <c r="J457" s="314">
        <f>IF($F457="","",IFERROR(VLOOKUP($F457,SERVIÇOS!$B:$G,4,0),IFERROR(VLOOKUP($F457,'COMPOSIÇÕES COMPLEMENTARES '!$D:$L,6,0),IFERROR(VLOOKUP($F457,INSUMOS!$A:$D,4,0),""))))</f>
        <v>87.24</v>
      </c>
      <c r="K457" s="314">
        <f>IF($F457="","",IFERROR(VLOOKUP($F457,SERVIÇOS!$B:$G,5,0),IFERROR(VLOOKUP($F457,'COMPOSIÇÕES COMPLEMENTARES '!$D:$L,7,0),0)))</f>
        <v>43.89</v>
      </c>
      <c r="L457" s="314">
        <f t="shared" ref="L457:L468" si="236">IF(I457="","",J457+K457)</f>
        <v>131.13</v>
      </c>
      <c r="M457" s="314">
        <f t="shared" ref="M457:M468" si="237">IF(I457="","",TRUNC((I457*J457),2))</f>
        <v>2355.48</v>
      </c>
      <c r="N457" s="314">
        <f t="shared" ref="N457:N468" si="238">IF(I457="","",TRUNC((I457*K457),2))</f>
        <v>1185.03</v>
      </c>
      <c r="O457" s="314">
        <f t="shared" ref="O457:O468" si="239">IF(I457="","",TRUNC((M457+N457),2))</f>
        <v>3540.51</v>
      </c>
      <c r="P457" s="314"/>
      <c r="Q457" s="315"/>
      <c r="R457" s="315"/>
      <c r="S457" s="286"/>
      <c r="T457" s="287"/>
      <c r="U457" s="288" t="str">
        <f t="shared" si="204"/>
        <v/>
      </c>
      <c r="V457" s="287"/>
      <c r="W457" s="289" t="str">
        <f t="shared" si="205"/>
        <v/>
      </c>
      <c r="X457" s="287"/>
      <c r="Y457" s="290" t="str">
        <f t="shared" si="206"/>
        <v/>
      </c>
      <c r="Z457" s="291">
        <f ca="1">SUMIF($T$8:Y$1018,"QUANT.",T457:Y457)</f>
        <v>0</v>
      </c>
      <c r="AA457" s="292">
        <f t="shared" ca="1" si="207"/>
        <v>0</v>
      </c>
      <c r="AB457" s="293" t="str">
        <f t="shared" ca="1" si="208"/>
        <v>MEDIR</v>
      </c>
      <c r="AC457" s="294">
        <f t="shared" ca="1" si="209"/>
        <v>27</v>
      </c>
      <c r="AD457" s="294">
        <f t="shared" ca="1" si="210"/>
        <v>3540.51</v>
      </c>
      <c r="AE457" s="295"/>
      <c r="AF457" s="295"/>
      <c r="AG457" s="296"/>
      <c r="AH457" s="296"/>
      <c r="AI457" s="296"/>
      <c r="AJ457" s="326"/>
      <c r="AK457" s="326"/>
      <c r="AL457" s="326"/>
      <c r="AM457" s="326"/>
    </row>
    <row r="458" spans="1:39" ht="25.5" x14ac:dyDescent="0.25">
      <c r="A458" s="232">
        <f t="shared" si="232"/>
        <v>458</v>
      </c>
      <c r="B458" s="232"/>
      <c r="C458" s="307" t="str">
        <f t="shared" si="233"/>
        <v>15.7</v>
      </c>
      <c r="D458" s="308">
        <f t="shared" si="234"/>
        <v>2</v>
      </c>
      <c r="E458" s="309" t="str">
        <f t="shared" si="235"/>
        <v>15.7.2</v>
      </c>
      <c r="F458" s="310">
        <v>91997</v>
      </c>
      <c r="G458" s="311" t="str">
        <f>IF($F458="","",IFERROR(VLOOKUP($F458,SERVIÇOS!$B:$G,2,0),IFERROR(VLOOKUP($F458,'COMPOSIÇÕES COMPLEMENTARES '!$D:$L,2,0),IFERROR(VLOOKUP($F458,INSUMOS!$A:$D,2,0),""))))</f>
        <v>TOMADA MÉDIA DE EMBUTIR (1 MÓDULO), 2P+T 20 A, INCLUINDO SUPORTE E PLACA - FORNECIMENTO E INSTALAÇÃO. AF_03/2023</v>
      </c>
      <c r="H458" s="312" t="str">
        <f>IF($F458="","",IFERROR(VLOOKUP($F458,SERVIÇOS!$B:$G,3,0),IFERROR(VLOOKUP($F458,'COMPOSIÇÕES COMPLEMENTARES '!$D:$L,3,0),IFERROR(VLOOKUP($F458,INSUMOS!$A:$D,3,0),""))))</f>
        <v>UN</v>
      </c>
      <c r="I458" s="313">
        <v>4</v>
      </c>
      <c r="J458" s="314">
        <f>IF($F458="","",IFERROR(VLOOKUP($F458,SERVIÇOS!$B:$G,4,0),IFERROR(VLOOKUP($F458,'COMPOSIÇÕES COMPLEMENTARES '!$D:$L,6,0),IFERROR(VLOOKUP($F458,INSUMOS!$A:$D,4,0),""))))</f>
        <v>24.26</v>
      </c>
      <c r="K458" s="314">
        <f>IF($F458="","",IFERROR(VLOOKUP($F458,SERVIÇOS!$B:$G,5,0),IFERROR(VLOOKUP($F458,'COMPOSIÇÕES COMPLEMENTARES '!$D:$L,7,0),0)))</f>
        <v>22.03</v>
      </c>
      <c r="L458" s="314">
        <f t="shared" si="236"/>
        <v>46.290000000000006</v>
      </c>
      <c r="M458" s="314">
        <f t="shared" si="237"/>
        <v>97.04</v>
      </c>
      <c r="N458" s="314">
        <f t="shared" si="238"/>
        <v>88.12</v>
      </c>
      <c r="O458" s="314">
        <f t="shared" si="239"/>
        <v>185.16</v>
      </c>
      <c r="P458" s="314"/>
      <c r="Q458" s="315"/>
      <c r="R458" s="315"/>
      <c r="S458" s="286"/>
      <c r="T458" s="287"/>
      <c r="U458" s="288" t="str">
        <f t="shared" si="204"/>
        <v/>
      </c>
      <c r="V458" s="287"/>
      <c r="W458" s="289" t="str">
        <f t="shared" si="205"/>
        <v/>
      </c>
      <c r="X458" s="287"/>
      <c r="Y458" s="290" t="str">
        <f t="shared" si="206"/>
        <v/>
      </c>
      <c r="Z458" s="291">
        <f ca="1">SUMIF($T$8:Y$1018,"QUANT.",T458:Y458)</f>
        <v>0</v>
      </c>
      <c r="AA458" s="292">
        <f t="shared" ca="1" si="207"/>
        <v>0</v>
      </c>
      <c r="AB458" s="293" t="str">
        <f t="shared" ca="1" si="208"/>
        <v>MEDIR</v>
      </c>
      <c r="AC458" s="294">
        <f t="shared" ca="1" si="209"/>
        <v>4</v>
      </c>
      <c r="AD458" s="294">
        <f t="shared" ca="1" si="210"/>
        <v>185.16</v>
      </c>
      <c r="AE458" s="295"/>
      <c r="AF458" s="295"/>
      <c r="AG458" s="296"/>
      <c r="AH458" s="296"/>
      <c r="AI458" s="296"/>
      <c r="AJ458" s="326"/>
      <c r="AK458" s="326"/>
      <c r="AL458" s="326"/>
      <c r="AM458" s="326"/>
    </row>
    <row r="459" spans="1:39" x14ac:dyDescent="0.25">
      <c r="A459" s="232">
        <f t="shared" si="232"/>
        <v>459</v>
      </c>
      <c r="B459" s="232"/>
      <c r="C459" s="307" t="str">
        <f t="shared" si="233"/>
        <v>15.7</v>
      </c>
      <c r="D459" s="308">
        <f t="shared" si="234"/>
        <v>3</v>
      </c>
      <c r="E459" s="309" t="str">
        <f t="shared" si="235"/>
        <v>15.7.3</v>
      </c>
      <c r="F459" s="310" t="s">
        <v>12229</v>
      </c>
      <c r="G459" s="311" t="str">
        <f>IF($F459="","",IFERROR(VLOOKUP($F459,SERVIÇOS!$B:$G,2,0),IFERROR(VLOOKUP($F459,'COMPOSIÇÕES COMPLEMENTARES '!$D:$L,2,0),IFERROR(VLOOKUP($F459,INSUMOS!$A:$D,2,0),""))))</f>
        <v>INTERRUPTOR C/ 5 TECLAS SIMPLES EM CX. 4"X4"</v>
      </c>
      <c r="H459" s="312" t="str">
        <f>IF($F459="","",IFERROR(VLOOKUP($F459,SERVIÇOS!$B:$G,3,0),IFERROR(VLOOKUP($F459,'COMPOSIÇÕES COMPLEMENTARES '!$D:$L,3,0),IFERROR(VLOOKUP($F459,INSUMOS!$A:$D,3,0),""))))</f>
        <v>UN</v>
      </c>
      <c r="I459" s="313">
        <v>1</v>
      </c>
      <c r="J459" s="314">
        <f>IF($F459="","",IFERROR(VLOOKUP($F459,SERVIÇOS!$B:$G,4,0),IFERROR(VLOOKUP($F459,'COMPOSIÇÕES COMPLEMENTARES '!$D:$L,6,0),IFERROR(VLOOKUP($F459,INSUMOS!$A:$D,4,0),""))))</f>
        <v>60.39</v>
      </c>
      <c r="K459" s="314">
        <f>IF($F459="","",IFERROR(VLOOKUP($F459,SERVIÇOS!$B:$G,5,0),IFERROR(VLOOKUP($F459,'COMPOSIÇÕES COMPLEMENTARES '!$D:$L,7,0),0)))</f>
        <v>34.65</v>
      </c>
      <c r="L459" s="314">
        <f t="shared" si="236"/>
        <v>95.039999999999992</v>
      </c>
      <c r="M459" s="314">
        <f t="shared" si="237"/>
        <v>60.39</v>
      </c>
      <c r="N459" s="314">
        <f t="shared" si="238"/>
        <v>34.65</v>
      </c>
      <c r="O459" s="314">
        <f t="shared" si="239"/>
        <v>95.04</v>
      </c>
      <c r="P459" s="314"/>
      <c r="Q459" s="315"/>
      <c r="R459" s="315"/>
      <c r="S459" s="286"/>
      <c r="T459" s="287"/>
      <c r="U459" s="288" t="str">
        <f t="shared" si="204"/>
        <v/>
      </c>
      <c r="V459" s="287"/>
      <c r="W459" s="289" t="str">
        <f t="shared" si="205"/>
        <v/>
      </c>
      <c r="X459" s="287"/>
      <c r="Y459" s="290" t="str">
        <f t="shared" si="206"/>
        <v/>
      </c>
      <c r="Z459" s="291">
        <f ca="1">SUMIF($T$8:Y$1018,"QUANT.",T459:Y459)</f>
        <v>0</v>
      </c>
      <c r="AA459" s="292">
        <f t="shared" ca="1" si="207"/>
        <v>0</v>
      </c>
      <c r="AB459" s="293" t="str">
        <f t="shared" ca="1" si="208"/>
        <v>MEDIR</v>
      </c>
      <c r="AC459" s="294">
        <f t="shared" ca="1" si="209"/>
        <v>1</v>
      </c>
      <c r="AD459" s="294">
        <f t="shared" ca="1" si="210"/>
        <v>95.04</v>
      </c>
      <c r="AE459" s="295"/>
      <c r="AF459" s="295"/>
      <c r="AG459" s="296"/>
      <c r="AH459" s="296"/>
      <c r="AI459" s="296"/>
      <c r="AJ459" s="326"/>
      <c r="AK459" s="326"/>
      <c r="AL459" s="326"/>
      <c r="AM459" s="326"/>
    </row>
    <row r="460" spans="1:39" ht="25.5" x14ac:dyDescent="0.25">
      <c r="A460" s="232">
        <f t="shared" si="232"/>
        <v>460</v>
      </c>
      <c r="B460" s="232"/>
      <c r="C460" s="307" t="str">
        <f t="shared" si="233"/>
        <v>15.7</v>
      </c>
      <c r="D460" s="308">
        <f t="shared" si="234"/>
        <v>4</v>
      </c>
      <c r="E460" s="309" t="str">
        <f t="shared" si="235"/>
        <v>15.7.4</v>
      </c>
      <c r="F460" s="310">
        <v>91953</v>
      </c>
      <c r="G460" s="311" t="str">
        <f>IF($F460="","",IFERROR(VLOOKUP($F460,SERVIÇOS!$B:$G,2,0),IFERROR(VLOOKUP($F460,'COMPOSIÇÕES COMPLEMENTARES '!$D:$L,2,0),IFERROR(VLOOKUP($F460,INSUMOS!$A:$D,2,0),""))))</f>
        <v>INTERRUPTOR SIMPLES (1 MÓDULO), 10A/250V, INCLUINDO SUPORTE E PLACA - FORNECIMENTO E INSTALAÇÃO. AF_03/2023</v>
      </c>
      <c r="H460" s="312" t="str">
        <f>IF($F460="","",IFERROR(VLOOKUP($F460,SERVIÇOS!$B:$G,3,0),IFERROR(VLOOKUP($F460,'COMPOSIÇÕES COMPLEMENTARES '!$D:$L,3,0),IFERROR(VLOOKUP($F460,INSUMOS!$A:$D,3,0),""))))</f>
        <v>UN</v>
      </c>
      <c r="I460" s="313">
        <v>2</v>
      </c>
      <c r="J460" s="314">
        <f>IF($F460="","",IFERROR(VLOOKUP($F460,SERVIÇOS!$B:$G,4,0),IFERROR(VLOOKUP($F460,'COMPOSIÇÕES COMPLEMENTARES '!$D:$L,6,0),IFERROR(VLOOKUP($F460,INSUMOS!$A:$D,4,0),""))))</f>
        <v>19.2</v>
      </c>
      <c r="K460" s="314">
        <f>IF($F460="","",IFERROR(VLOOKUP($F460,SERVIÇOS!$B:$G,5,0),IFERROR(VLOOKUP($F460,'COMPOSIÇÕES COMPLEMENTARES '!$D:$L,7,0),0)))</f>
        <v>17.82</v>
      </c>
      <c r="L460" s="314">
        <f t="shared" si="236"/>
        <v>37.019999999999996</v>
      </c>
      <c r="M460" s="314">
        <f t="shared" si="237"/>
        <v>38.4</v>
      </c>
      <c r="N460" s="314">
        <f t="shared" si="238"/>
        <v>35.64</v>
      </c>
      <c r="O460" s="314">
        <f t="shared" si="239"/>
        <v>74.040000000000006</v>
      </c>
      <c r="P460" s="314"/>
      <c r="Q460" s="315"/>
      <c r="R460" s="315"/>
      <c r="S460" s="286"/>
      <c r="T460" s="287"/>
      <c r="U460" s="288" t="str">
        <f t="shared" si="204"/>
        <v/>
      </c>
      <c r="V460" s="287"/>
      <c r="W460" s="289" t="str">
        <f t="shared" si="205"/>
        <v/>
      </c>
      <c r="X460" s="287"/>
      <c r="Y460" s="290" t="str">
        <f t="shared" si="206"/>
        <v/>
      </c>
      <c r="Z460" s="291">
        <f ca="1">SUMIF($T$8:Y$1018,"QUANT.",T460:Y460)</f>
        <v>0</v>
      </c>
      <c r="AA460" s="292">
        <f t="shared" ca="1" si="207"/>
        <v>0</v>
      </c>
      <c r="AB460" s="293" t="str">
        <f t="shared" ca="1" si="208"/>
        <v>MEDIR</v>
      </c>
      <c r="AC460" s="294">
        <f t="shared" ca="1" si="209"/>
        <v>2</v>
      </c>
      <c r="AD460" s="294">
        <f t="shared" ca="1" si="210"/>
        <v>74.040000000000006</v>
      </c>
      <c r="AE460" s="295"/>
      <c r="AF460" s="295"/>
      <c r="AG460" s="296"/>
      <c r="AH460" s="296"/>
      <c r="AI460" s="296"/>
      <c r="AJ460" s="326"/>
      <c r="AK460" s="326"/>
      <c r="AL460" s="326"/>
      <c r="AM460" s="326"/>
    </row>
    <row r="461" spans="1:39" ht="25.5" x14ac:dyDescent="0.25">
      <c r="A461" s="232">
        <f t="shared" si="232"/>
        <v>461</v>
      </c>
      <c r="B461" s="232"/>
      <c r="C461" s="307" t="str">
        <f t="shared" si="233"/>
        <v>15.7</v>
      </c>
      <c r="D461" s="308">
        <f t="shared" si="234"/>
        <v>5</v>
      </c>
      <c r="E461" s="309" t="str">
        <f t="shared" si="235"/>
        <v>15.7.5</v>
      </c>
      <c r="F461" s="310">
        <v>91997</v>
      </c>
      <c r="G461" s="311" t="str">
        <f>IF($F461="","",IFERROR(VLOOKUP($F461,SERVIÇOS!$B:$G,2,0),IFERROR(VLOOKUP($F461,'COMPOSIÇÕES COMPLEMENTARES '!$D:$L,2,0),IFERROR(VLOOKUP($F461,INSUMOS!$A:$D,2,0),""))))</f>
        <v>TOMADA MÉDIA DE EMBUTIR (1 MÓDULO), 2P+T 20 A, INCLUINDO SUPORTE E PLACA - FORNECIMENTO E INSTALAÇÃO. AF_03/2023</v>
      </c>
      <c r="H461" s="312" t="str">
        <f>IF($F461="","",IFERROR(VLOOKUP($F461,SERVIÇOS!$B:$G,3,0),IFERROR(VLOOKUP($F461,'COMPOSIÇÕES COMPLEMENTARES '!$D:$L,3,0),IFERROR(VLOOKUP($F461,INSUMOS!$A:$D,3,0),""))))</f>
        <v>UN</v>
      </c>
      <c r="I461" s="313">
        <v>37</v>
      </c>
      <c r="J461" s="314">
        <f>IF($F461="","",IFERROR(VLOOKUP($F461,SERVIÇOS!$B:$G,4,0),IFERROR(VLOOKUP($F461,'COMPOSIÇÕES COMPLEMENTARES '!$D:$L,6,0),IFERROR(VLOOKUP($F461,INSUMOS!$A:$D,4,0),""))))</f>
        <v>24.26</v>
      </c>
      <c r="K461" s="314">
        <f>IF($F461="","",IFERROR(VLOOKUP($F461,SERVIÇOS!$B:$G,5,0),IFERROR(VLOOKUP($F461,'COMPOSIÇÕES COMPLEMENTARES '!$D:$L,7,0),0)))</f>
        <v>22.03</v>
      </c>
      <c r="L461" s="314">
        <f t="shared" si="236"/>
        <v>46.290000000000006</v>
      </c>
      <c r="M461" s="314">
        <f t="shared" si="237"/>
        <v>897.62</v>
      </c>
      <c r="N461" s="314">
        <f t="shared" si="238"/>
        <v>815.11</v>
      </c>
      <c r="O461" s="314">
        <f t="shared" si="239"/>
        <v>1712.73</v>
      </c>
      <c r="P461" s="314"/>
      <c r="Q461" s="315"/>
      <c r="R461" s="315"/>
      <c r="S461" s="286"/>
      <c r="T461" s="287"/>
      <c r="U461" s="288" t="str">
        <f t="shared" si="204"/>
        <v/>
      </c>
      <c r="V461" s="287"/>
      <c r="W461" s="289" t="str">
        <f t="shared" si="205"/>
        <v/>
      </c>
      <c r="X461" s="287"/>
      <c r="Y461" s="290" t="str">
        <f t="shared" si="206"/>
        <v/>
      </c>
      <c r="Z461" s="291">
        <f ca="1">SUMIF($T$8:Y$1018,"QUANT.",T461:Y461)</f>
        <v>0</v>
      </c>
      <c r="AA461" s="292">
        <f t="shared" ca="1" si="207"/>
        <v>0</v>
      </c>
      <c r="AB461" s="293" t="str">
        <f t="shared" ca="1" si="208"/>
        <v>MEDIR</v>
      </c>
      <c r="AC461" s="294">
        <f t="shared" ca="1" si="209"/>
        <v>37</v>
      </c>
      <c r="AD461" s="294">
        <f t="shared" ca="1" si="210"/>
        <v>1712.73</v>
      </c>
      <c r="AE461" s="295"/>
      <c r="AF461" s="295"/>
      <c r="AG461" s="296"/>
      <c r="AH461" s="296"/>
      <c r="AI461" s="296"/>
      <c r="AJ461" s="326"/>
      <c r="AK461" s="326"/>
      <c r="AL461" s="326"/>
      <c r="AM461" s="326"/>
    </row>
    <row r="462" spans="1:39" ht="25.5" x14ac:dyDescent="0.25">
      <c r="A462" s="232">
        <f t="shared" si="232"/>
        <v>462</v>
      </c>
      <c r="B462" s="232"/>
      <c r="C462" s="307" t="str">
        <f t="shared" si="233"/>
        <v>15.7</v>
      </c>
      <c r="D462" s="308">
        <f t="shared" si="234"/>
        <v>6</v>
      </c>
      <c r="E462" s="309" t="str">
        <f t="shared" si="235"/>
        <v>15.7.6</v>
      </c>
      <c r="F462" s="310">
        <v>92005</v>
      </c>
      <c r="G462" s="311" t="str">
        <f>IF($F462="","",IFERROR(VLOOKUP($F462,SERVIÇOS!$B:$G,2,0),IFERROR(VLOOKUP($F462,'COMPOSIÇÕES COMPLEMENTARES '!$D:$L,2,0),IFERROR(VLOOKUP($F462,INSUMOS!$A:$D,2,0),""))))</f>
        <v>TOMADA MÉDIA DE EMBUTIR (2 MÓDULOS), 2P+T 20 A, INCLUINDO SUPORTE E PLACA - FORNECIMENTO E INSTALAÇÃO. AF_03/2023</v>
      </c>
      <c r="H462" s="312" t="str">
        <f>IF($F462="","",IFERROR(VLOOKUP($F462,SERVIÇOS!$B:$G,3,0),IFERROR(VLOOKUP($F462,'COMPOSIÇÕES COMPLEMENTARES '!$D:$L,3,0),IFERROR(VLOOKUP($F462,INSUMOS!$A:$D,3,0),""))))</f>
        <v>UN</v>
      </c>
      <c r="I462" s="313">
        <v>12</v>
      </c>
      <c r="J462" s="314">
        <f>IF($F462="","",IFERROR(VLOOKUP($F462,SERVIÇOS!$B:$G,4,0),IFERROR(VLOOKUP($F462,'COMPOSIÇÕES COMPLEMENTARES '!$D:$L,6,0),IFERROR(VLOOKUP($F462,INSUMOS!$A:$D,4,0),""))))</f>
        <v>40.08</v>
      </c>
      <c r="K462" s="314">
        <f>IF($F462="","",IFERROR(VLOOKUP($F462,SERVIÇOS!$B:$G,5,0),IFERROR(VLOOKUP($F462,'COMPOSIÇÕES COMPLEMENTARES '!$D:$L,7,0),0)))</f>
        <v>34.67</v>
      </c>
      <c r="L462" s="314">
        <f t="shared" si="236"/>
        <v>74.75</v>
      </c>
      <c r="M462" s="314">
        <f t="shared" si="237"/>
        <v>480.96</v>
      </c>
      <c r="N462" s="314">
        <f t="shared" si="238"/>
        <v>416.04</v>
      </c>
      <c r="O462" s="314">
        <f t="shared" si="239"/>
        <v>897</v>
      </c>
      <c r="P462" s="314"/>
      <c r="Q462" s="315"/>
      <c r="R462" s="315"/>
      <c r="S462" s="286"/>
      <c r="T462" s="287"/>
      <c r="U462" s="288" t="str">
        <f t="shared" si="204"/>
        <v/>
      </c>
      <c r="V462" s="287"/>
      <c r="W462" s="289" t="str">
        <f t="shared" si="205"/>
        <v/>
      </c>
      <c r="X462" s="287"/>
      <c r="Y462" s="290" t="str">
        <f t="shared" si="206"/>
        <v/>
      </c>
      <c r="Z462" s="291">
        <f ca="1">SUMIF($T$8:Y$1018,"QUANT.",T462:Y462)</f>
        <v>0</v>
      </c>
      <c r="AA462" s="292">
        <f t="shared" ca="1" si="207"/>
        <v>0</v>
      </c>
      <c r="AB462" s="293" t="str">
        <f t="shared" ca="1" si="208"/>
        <v>MEDIR</v>
      </c>
      <c r="AC462" s="294">
        <f t="shared" ca="1" si="209"/>
        <v>12</v>
      </c>
      <c r="AD462" s="294">
        <f t="shared" ca="1" si="210"/>
        <v>897</v>
      </c>
      <c r="AE462" s="295"/>
      <c r="AF462" s="295"/>
      <c r="AG462" s="296"/>
      <c r="AH462" s="296"/>
      <c r="AI462" s="296"/>
      <c r="AJ462" s="326"/>
      <c r="AK462" s="326"/>
      <c r="AL462" s="326"/>
      <c r="AM462" s="326"/>
    </row>
    <row r="463" spans="1:39" x14ac:dyDescent="0.25">
      <c r="A463" s="232">
        <f t="shared" si="232"/>
        <v>463</v>
      </c>
      <c r="B463" s="232"/>
      <c r="C463" s="307" t="str">
        <f t="shared" si="233"/>
        <v>15.7</v>
      </c>
      <c r="D463" s="308">
        <f t="shared" si="234"/>
        <v>7</v>
      </c>
      <c r="E463" s="309" t="str">
        <f t="shared" si="235"/>
        <v>15.7.7</v>
      </c>
      <c r="F463" s="310" t="s">
        <v>12230</v>
      </c>
      <c r="G463" s="311" t="str">
        <f>IF($F463="","",IFERROR(VLOOKUP($F463,SERVIÇOS!$B:$G,2,0),IFERROR(VLOOKUP($F463,'COMPOSIÇÕES COMPLEMENTARES '!$D:$L,2,0),IFERROR(VLOOKUP($F463,INSUMOS!$A:$D,2,0),""))))</f>
        <v>TOMADA QUADRUPLA 20A/127V 2P+T - MIOLO BRANCO (PADRÃO BRASILEIRO) EM CX. 4"X4"</v>
      </c>
      <c r="H463" s="312" t="str">
        <f>IF($F463="","",IFERROR(VLOOKUP($F463,SERVIÇOS!$B:$G,3,0),IFERROR(VLOOKUP($F463,'COMPOSIÇÕES COMPLEMENTARES '!$D:$L,3,0),IFERROR(VLOOKUP($F463,INSUMOS!$A:$D,3,0),""))))</f>
        <v>UN</v>
      </c>
      <c r="I463" s="313">
        <v>2</v>
      </c>
      <c r="J463" s="314">
        <f>IF($F463="","",IFERROR(VLOOKUP($F463,SERVIÇOS!$B:$G,4,0),IFERROR(VLOOKUP($F463,'COMPOSIÇÕES COMPLEMENTARES '!$D:$L,6,0),IFERROR(VLOOKUP($F463,INSUMOS!$A:$D,4,0),""))))</f>
        <v>70.11</v>
      </c>
      <c r="K463" s="314">
        <f>IF($F463="","",IFERROR(VLOOKUP($F463,SERVIÇOS!$B:$G,5,0),IFERROR(VLOOKUP($F463,'COMPOSIÇÕES COMPLEMENTARES '!$D:$L,7,0),0)))</f>
        <v>60.6</v>
      </c>
      <c r="L463" s="314">
        <f t="shared" si="236"/>
        <v>130.71</v>
      </c>
      <c r="M463" s="314">
        <f t="shared" si="237"/>
        <v>140.22</v>
      </c>
      <c r="N463" s="314">
        <f t="shared" si="238"/>
        <v>121.2</v>
      </c>
      <c r="O463" s="314">
        <f t="shared" si="239"/>
        <v>261.42</v>
      </c>
      <c r="P463" s="314"/>
      <c r="Q463" s="315"/>
      <c r="R463" s="315"/>
      <c r="S463" s="286"/>
      <c r="T463" s="287"/>
      <c r="U463" s="288" t="str">
        <f t="shared" si="204"/>
        <v/>
      </c>
      <c r="V463" s="287"/>
      <c r="W463" s="289" t="str">
        <f t="shared" si="205"/>
        <v/>
      </c>
      <c r="X463" s="287"/>
      <c r="Y463" s="290" t="str">
        <f t="shared" si="206"/>
        <v/>
      </c>
      <c r="Z463" s="291">
        <f ca="1">SUMIF($T$8:Y$1018,"QUANT.",T463:Y463)</f>
        <v>0</v>
      </c>
      <c r="AA463" s="292">
        <f t="shared" ca="1" si="207"/>
        <v>0</v>
      </c>
      <c r="AB463" s="293" t="str">
        <f t="shared" ca="1" si="208"/>
        <v>MEDIR</v>
      </c>
      <c r="AC463" s="294">
        <f t="shared" ca="1" si="209"/>
        <v>2</v>
      </c>
      <c r="AD463" s="294">
        <f t="shared" ca="1" si="210"/>
        <v>261.42</v>
      </c>
      <c r="AE463" s="295"/>
      <c r="AF463" s="295"/>
      <c r="AG463" s="296"/>
      <c r="AH463" s="296"/>
      <c r="AI463" s="296"/>
      <c r="AJ463" s="326"/>
      <c r="AK463" s="326"/>
      <c r="AL463" s="326"/>
      <c r="AM463" s="326"/>
    </row>
    <row r="464" spans="1:39" ht="25.5" x14ac:dyDescent="0.25">
      <c r="A464" s="232">
        <f t="shared" si="232"/>
        <v>464</v>
      </c>
      <c r="B464" s="232"/>
      <c r="C464" s="307" t="str">
        <f t="shared" si="233"/>
        <v>15.7</v>
      </c>
      <c r="D464" s="308">
        <f t="shared" si="234"/>
        <v>8</v>
      </c>
      <c r="E464" s="309" t="str">
        <f t="shared" si="235"/>
        <v>15.7.8</v>
      </c>
      <c r="F464" s="310">
        <v>92005</v>
      </c>
      <c r="G464" s="311" t="str">
        <f>IF($F464="","",IFERROR(VLOOKUP($F464,SERVIÇOS!$B:$G,2,0),IFERROR(VLOOKUP($F464,'COMPOSIÇÕES COMPLEMENTARES '!$D:$L,2,0),IFERROR(VLOOKUP($F464,INSUMOS!$A:$D,2,0),""))))</f>
        <v>TOMADA MÉDIA DE EMBUTIR (2 MÓDULOS), 2P+T 20 A, INCLUINDO SUPORTE E PLACA - FORNECIMENTO E INSTALAÇÃO. AF_03/2023</v>
      </c>
      <c r="H464" s="312" t="str">
        <f>IF($F464="","",IFERROR(VLOOKUP($F464,SERVIÇOS!$B:$G,3,0),IFERROR(VLOOKUP($F464,'COMPOSIÇÕES COMPLEMENTARES '!$D:$L,3,0),IFERROR(VLOOKUP($F464,INSUMOS!$A:$D,3,0),""))))</f>
        <v>UN</v>
      </c>
      <c r="I464" s="313">
        <v>11</v>
      </c>
      <c r="J464" s="314">
        <f>IF($F464="","",IFERROR(VLOOKUP($F464,SERVIÇOS!$B:$G,4,0),IFERROR(VLOOKUP($F464,'COMPOSIÇÕES COMPLEMENTARES '!$D:$L,6,0),IFERROR(VLOOKUP($F464,INSUMOS!$A:$D,4,0),""))))</f>
        <v>40.08</v>
      </c>
      <c r="K464" s="314">
        <f>IF($F464="","",IFERROR(VLOOKUP($F464,SERVIÇOS!$B:$G,5,0),IFERROR(VLOOKUP($F464,'COMPOSIÇÕES COMPLEMENTARES '!$D:$L,7,0),0)))</f>
        <v>34.67</v>
      </c>
      <c r="L464" s="314">
        <f t="shared" si="236"/>
        <v>74.75</v>
      </c>
      <c r="M464" s="314">
        <f t="shared" si="237"/>
        <v>440.88</v>
      </c>
      <c r="N464" s="314">
        <f t="shared" si="238"/>
        <v>381.37</v>
      </c>
      <c r="O464" s="314">
        <f t="shared" si="239"/>
        <v>822.25</v>
      </c>
      <c r="P464" s="314"/>
      <c r="Q464" s="315"/>
      <c r="R464" s="315"/>
      <c r="S464" s="286"/>
      <c r="T464" s="287"/>
      <c r="U464" s="288" t="str">
        <f t="shared" si="204"/>
        <v/>
      </c>
      <c r="V464" s="287"/>
      <c r="W464" s="289" t="str">
        <f t="shared" si="205"/>
        <v/>
      </c>
      <c r="X464" s="287"/>
      <c r="Y464" s="290" t="str">
        <f t="shared" si="206"/>
        <v/>
      </c>
      <c r="Z464" s="291">
        <f ca="1">SUMIF($T$8:Y$1018,"QUANT.",T464:Y464)</f>
        <v>0</v>
      </c>
      <c r="AA464" s="292">
        <f t="shared" ca="1" si="207"/>
        <v>0</v>
      </c>
      <c r="AB464" s="293" t="str">
        <f t="shared" ca="1" si="208"/>
        <v>MEDIR</v>
      </c>
      <c r="AC464" s="294">
        <f t="shared" ca="1" si="209"/>
        <v>11</v>
      </c>
      <c r="AD464" s="294">
        <f t="shared" ca="1" si="210"/>
        <v>822.25</v>
      </c>
      <c r="AE464" s="295"/>
      <c r="AF464" s="295"/>
      <c r="AG464" s="296"/>
      <c r="AH464" s="296"/>
      <c r="AI464" s="296"/>
      <c r="AJ464" s="326"/>
      <c r="AK464" s="326"/>
      <c r="AL464" s="326"/>
      <c r="AM464" s="326"/>
    </row>
    <row r="465" spans="1:39" x14ac:dyDescent="0.25">
      <c r="A465" s="232">
        <f t="shared" si="232"/>
        <v>465</v>
      </c>
      <c r="B465" s="232"/>
      <c r="C465" s="307" t="str">
        <f t="shared" si="233"/>
        <v>15.7</v>
      </c>
      <c r="D465" s="308">
        <f t="shared" si="234"/>
        <v>9</v>
      </c>
      <c r="E465" s="309" t="str">
        <f t="shared" si="235"/>
        <v>15.7.9</v>
      </c>
      <c r="F465" s="310" t="s">
        <v>12231</v>
      </c>
      <c r="G465" s="311" t="str">
        <f>IF($F465="","",IFERROR(VLOOKUP($F465,SERVIÇOS!$B:$G,2,0),IFERROR(VLOOKUP($F465,'COMPOSIÇÕES COMPLEMENTARES '!$D:$L,2,0),IFERROR(VLOOKUP($F465,INSUMOS!$A:$D,2,0),""))))</f>
        <v>TOMADA 32A/220V 3P+T - TAMPA AZUL (PADRÃO STECK DE SOBREPOR) EM CAIXA 4"X2"</v>
      </c>
      <c r="H465" s="312" t="str">
        <f>IF($F465="","",IFERROR(VLOOKUP($F465,SERVIÇOS!$B:$G,3,0),IFERROR(VLOOKUP($F465,'COMPOSIÇÕES COMPLEMENTARES '!$D:$L,3,0),IFERROR(VLOOKUP($F465,INSUMOS!$A:$D,3,0),""))))</f>
        <v>UN</v>
      </c>
      <c r="I465" s="313">
        <v>2</v>
      </c>
      <c r="J465" s="314">
        <f>IF($F465="","",IFERROR(VLOOKUP($F465,SERVIÇOS!$B:$G,4,0),IFERROR(VLOOKUP($F465,'COMPOSIÇÕES COMPLEMENTARES '!$D:$L,6,0),IFERROR(VLOOKUP($F465,INSUMOS!$A:$D,4,0),""))))</f>
        <v>62.37</v>
      </c>
      <c r="K465" s="314">
        <f>IF($F465="","",IFERROR(VLOOKUP($F465,SERVIÇOS!$B:$G,5,0),IFERROR(VLOOKUP($F465,'COMPOSIÇÕES COMPLEMENTARES '!$D:$L,7,0),0)))</f>
        <v>22.28</v>
      </c>
      <c r="L465" s="314">
        <f t="shared" si="236"/>
        <v>84.65</v>
      </c>
      <c r="M465" s="314">
        <f t="shared" si="237"/>
        <v>124.74</v>
      </c>
      <c r="N465" s="314">
        <f t="shared" si="238"/>
        <v>44.56</v>
      </c>
      <c r="O465" s="314">
        <f t="shared" si="239"/>
        <v>169.3</v>
      </c>
      <c r="P465" s="314"/>
      <c r="Q465" s="315"/>
      <c r="R465" s="315"/>
      <c r="S465" s="286"/>
      <c r="T465" s="287"/>
      <c r="U465" s="288" t="str">
        <f t="shared" si="204"/>
        <v/>
      </c>
      <c r="V465" s="287"/>
      <c r="W465" s="289" t="str">
        <f t="shared" si="205"/>
        <v/>
      </c>
      <c r="X465" s="287"/>
      <c r="Y465" s="290" t="str">
        <f t="shared" si="206"/>
        <v/>
      </c>
      <c r="Z465" s="291">
        <f ca="1">SUMIF($T$8:Y$1018,"QUANT.",T465:Y465)</f>
        <v>0</v>
      </c>
      <c r="AA465" s="292">
        <f t="shared" ca="1" si="207"/>
        <v>0</v>
      </c>
      <c r="AB465" s="293" t="str">
        <f t="shared" ca="1" si="208"/>
        <v>MEDIR</v>
      </c>
      <c r="AC465" s="294">
        <f t="shared" ca="1" si="209"/>
        <v>2</v>
      </c>
      <c r="AD465" s="294">
        <f t="shared" ca="1" si="210"/>
        <v>169.3</v>
      </c>
      <c r="AE465" s="295"/>
      <c r="AF465" s="295"/>
      <c r="AG465" s="296"/>
      <c r="AH465" s="296"/>
      <c r="AI465" s="296"/>
      <c r="AJ465" s="326"/>
      <c r="AK465" s="326"/>
      <c r="AL465" s="326"/>
      <c r="AM465" s="326"/>
    </row>
    <row r="466" spans="1:39" x14ac:dyDescent="0.25">
      <c r="A466" s="232">
        <f t="shared" si="232"/>
        <v>466</v>
      </c>
      <c r="B466" s="232"/>
      <c r="C466" s="307" t="str">
        <f t="shared" si="233"/>
        <v>15.7</v>
      </c>
      <c r="D466" s="308">
        <f t="shared" si="234"/>
        <v>10</v>
      </c>
      <c r="E466" s="309" t="str">
        <f t="shared" si="235"/>
        <v>15.7.10</v>
      </c>
      <c r="F466" s="310" t="s">
        <v>12212</v>
      </c>
      <c r="G466" s="311" t="str">
        <f>IF($F466="","",IFERROR(VLOOKUP($F466,SERVIÇOS!$B:$G,2,0),IFERROR(VLOOKUP($F466,'COMPOSIÇÕES COMPLEMENTARES '!$D:$L,2,0),IFERROR(VLOOKUP($F466,INSUMOS!$A:$D,2,0),""))))</f>
        <v>PONTO ELÉTRICO COM PLACA DE SAÍDA DE FIO - EM CX. 4"X2"</v>
      </c>
      <c r="H466" s="312" t="str">
        <f>IF($F466="","",IFERROR(VLOOKUP($F466,SERVIÇOS!$B:$G,3,0),IFERROR(VLOOKUP($F466,'COMPOSIÇÕES COMPLEMENTARES '!$D:$L,3,0),IFERROR(VLOOKUP($F466,INSUMOS!$A:$D,3,0),""))))</f>
        <v>UN</v>
      </c>
      <c r="I466" s="313">
        <v>2</v>
      </c>
      <c r="J466" s="314">
        <f>IF($F466="","",IFERROR(VLOOKUP($F466,SERVIÇOS!$B:$G,4,0),IFERROR(VLOOKUP($F466,'COMPOSIÇÕES COMPLEMENTARES '!$D:$L,6,0),IFERROR(VLOOKUP($F466,INSUMOS!$A:$D,4,0),""))))</f>
        <v>11.28</v>
      </c>
      <c r="K466" s="314">
        <f>IF($F466="","",IFERROR(VLOOKUP($F466,SERVIÇOS!$B:$G,5,0),IFERROR(VLOOKUP($F466,'COMPOSIÇÕES COMPLEMENTARES '!$D:$L,7,0),0)))</f>
        <v>5.29</v>
      </c>
      <c r="L466" s="314">
        <f t="shared" si="236"/>
        <v>16.57</v>
      </c>
      <c r="M466" s="314">
        <f t="shared" si="237"/>
        <v>22.56</v>
      </c>
      <c r="N466" s="314">
        <f t="shared" si="238"/>
        <v>10.58</v>
      </c>
      <c r="O466" s="314">
        <f t="shared" si="239"/>
        <v>33.14</v>
      </c>
      <c r="P466" s="314"/>
      <c r="Q466" s="315"/>
      <c r="R466" s="315"/>
      <c r="S466" s="286"/>
      <c r="T466" s="287"/>
      <c r="U466" s="288" t="str">
        <f t="shared" si="204"/>
        <v/>
      </c>
      <c r="V466" s="287"/>
      <c r="W466" s="289" t="str">
        <f t="shared" si="205"/>
        <v/>
      </c>
      <c r="X466" s="287"/>
      <c r="Y466" s="290" t="str">
        <f t="shared" si="206"/>
        <v/>
      </c>
      <c r="Z466" s="291">
        <f ca="1">SUMIF($T$8:Y$1018,"QUANT.",T466:Y466)</f>
        <v>0</v>
      </c>
      <c r="AA466" s="292">
        <f t="shared" ca="1" si="207"/>
        <v>0</v>
      </c>
      <c r="AB466" s="293" t="str">
        <f t="shared" ca="1" si="208"/>
        <v>MEDIR</v>
      </c>
      <c r="AC466" s="294">
        <f t="shared" ca="1" si="209"/>
        <v>2</v>
      </c>
      <c r="AD466" s="294">
        <f t="shared" ca="1" si="210"/>
        <v>33.14</v>
      </c>
      <c r="AE466" s="295"/>
      <c r="AF466" s="295"/>
      <c r="AG466" s="296"/>
      <c r="AH466" s="296"/>
      <c r="AI466" s="296"/>
      <c r="AJ466" s="326"/>
      <c r="AK466" s="326"/>
      <c r="AL466" s="326"/>
      <c r="AM466" s="326"/>
    </row>
    <row r="467" spans="1:39" ht="25.5" x14ac:dyDescent="0.25">
      <c r="A467" s="232">
        <f t="shared" si="232"/>
        <v>467</v>
      </c>
      <c r="B467" s="232"/>
      <c r="C467" s="307" t="str">
        <f t="shared" si="233"/>
        <v>15.7</v>
      </c>
      <c r="D467" s="308">
        <f t="shared" si="234"/>
        <v>11</v>
      </c>
      <c r="E467" s="309" t="str">
        <f t="shared" si="235"/>
        <v>15.7.11</v>
      </c>
      <c r="F467" s="310">
        <v>91940</v>
      </c>
      <c r="G467" s="311" t="str">
        <f>IF($F467="","",IFERROR(VLOOKUP($F467,SERVIÇOS!$B:$G,2,0),IFERROR(VLOOKUP($F467,'COMPOSIÇÕES COMPLEMENTARES '!$D:$L,2,0),IFERROR(VLOOKUP($F467,INSUMOS!$A:$D,2,0),""))))</f>
        <v>CAIXA RETANGULAR 4" X 2" MÉDIA (1,30 M DO PISO), PVC, INSTALADA EM PAREDE - FORNECIMENTO E INSTALAÇÃO. AF_03/2023</v>
      </c>
      <c r="H467" s="312" t="str">
        <f>IF($F467="","",IFERROR(VLOOKUP($F467,SERVIÇOS!$B:$G,3,0),IFERROR(VLOOKUP($F467,'COMPOSIÇÕES COMPLEMENTARES '!$D:$L,3,0),IFERROR(VLOOKUP($F467,INSUMOS!$A:$D,3,0),""))))</f>
        <v>UN</v>
      </c>
      <c r="I467" s="313">
        <v>66</v>
      </c>
      <c r="J467" s="314">
        <f>IF($F467="","",IFERROR(VLOOKUP($F467,SERVIÇOS!$B:$G,4,0),IFERROR(VLOOKUP($F467,'COMPOSIÇÕES COMPLEMENTARES '!$D:$L,6,0),IFERROR(VLOOKUP($F467,INSUMOS!$A:$D,4,0),""))))</f>
        <v>9.7799999999999994</v>
      </c>
      <c r="K467" s="314">
        <f>IF($F467="","",IFERROR(VLOOKUP($F467,SERVIÇOS!$B:$G,5,0),IFERROR(VLOOKUP($F467,'COMPOSIÇÕES COMPLEMENTARES '!$D:$L,7,0),0)))</f>
        <v>14.56</v>
      </c>
      <c r="L467" s="314">
        <f t="shared" si="236"/>
        <v>24.34</v>
      </c>
      <c r="M467" s="314">
        <f t="shared" si="237"/>
        <v>645.48</v>
      </c>
      <c r="N467" s="314">
        <f t="shared" si="238"/>
        <v>960.96</v>
      </c>
      <c r="O467" s="314">
        <f t="shared" si="239"/>
        <v>1606.44</v>
      </c>
      <c r="P467" s="314"/>
      <c r="Q467" s="315"/>
      <c r="R467" s="315"/>
      <c r="S467" s="286"/>
      <c r="T467" s="287"/>
      <c r="U467" s="288" t="str">
        <f t="shared" ref="U467:U530" si="240">IF(OR(T467="",$O467=""),"",(T467/$I467)*$O467)</f>
        <v/>
      </c>
      <c r="V467" s="287"/>
      <c r="W467" s="289" t="str">
        <f t="shared" ref="W467:W530" si="241">IF(OR(V467="",$O467=""),"",(V467/$I467)*$O467)</f>
        <v/>
      </c>
      <c r="X467" s="287"/>
      <c r="Y467" s="290" t="str">
        <f t="shared" ref="Y467:Y530" si="242">IF(OR(X467="",$O467=""),"",(X467/$I467)*$O467)</f>
        <v/>
      </c>
      <c r="Z467" s="291">
        <f ca="1">SUMIF($T$8:Y$1018,"QUANT.",T467:Y467)</f>
        <v>0</v>
      </c>
      <c r="AA467" s="292">
        <f t="shared" ref="AA467:AA530" ca="1" si="243">SUMIF($T$8:$Y$1018,"CUSTO",T467:Y467)</f>
        <v>0</v>
      </c>
      <c r="AB467" s="293" t="str">
        <f t="shared" ref="AB467:AB530" ca="1" si="244">IF(F467&lt;&gt;"",IF(AA467=0,"MEDIR",IF(O467-AA467=0,"OK",IF(O467-AA467&gt;0,"MEDIR","ALERTA!"))),"")</f>
        <v>MEDIR</v>
      </c>
      <c r="AC467" s="294">
        <f t="shared" ref="AC467:AC530" ca="1" si="245">IF(Z467="",0,I467-Z467)</f>
        <v>66</v>
      </c>
      <c r="AD467" s="294">
        <f t="shared" ref="AD467:AD530" ca="1" si="246">IF(AA467="",0,O467-AA467)</f>
        <v>1606.44</v>
      </c>
      <c r="AE467" s="295"/>
      <c r="AF467" s="295"/>
      <c r="AG467" s="296"/>
      <c r="AH467" s="296"/>
      <c r="AI467" s="296"/>
      <c r="AJ467" s="326"/>
      <c r="AK467" s="326"/>
      <c r="AL467" s="326"/>
      <c r="AM467" s="326"/>
    </row>
    <row r="468" spans="1:39" ht="25.5" x14ac:dyDescent="0.25">
      <c r="A468" s="232">
        <f t="shared" si="232"/>
        <v>468</v>
      </c>
      <c r="B468" s="232"/>
      <c r="C468" s="307" t="str">
        <f t="shared" si="233"/>
        <v>15.7</v>
      </c>
      <c r="D468" s="308">
        <f t="shared" si="234"/>
        <v>12</v>
      </c>
      <c r="E468" s="309" t="str">
        <f t="shared" si="235"/>
        <v>15.7.12</v>
      </c>
      <c r="F468" s="310">
        <v>91940</v>
      </c>
      <c r="G468" s="311" t="str">
        <f>IF($F468="","",IFERROR(VLOOKUP($F468,SERVIÇOS!$B:$G,2,0),IFERROR(VLOOKUP($F468,'COMPOSIÇÕES COMPLEMENTARES '!$D:$L,2,0),IFERROR(VLOOKUP($F468,INSUMOS!$A:$D,2,0),""))))</f>
        <v>CAIXA RETANGULAR 4" X 2" MÉDIA (1,30 M DO PISO), PVC, INSTALADA EM PAREDE - FORNECIMENTO E INSTALAÇÃO. AF_03/2023</v>
      </c>
      <c r="H468" s="312" t="str">
        <f>IF($F468="","",IFERROR(VLOOKUP($F468,SERVIÇOS!$B:$G,3,0),IFERROR(VLOOKUP($F468,'COMPOSIÇÕES COMPLEMENTARES '!$D:$L,3,0),IFERROR(VLOOKUP($F468,INSUMOS!$A:$D,3,0),""))))</f>
        <v>UN</v>
      </c>
      <c r="I468" s="313">
        <v>3</v>
      </c>
      <c r="J468" s="314">
        <f>IF($F468="","",IFERROR(VLOOKUP($F468,SERVIÇOS!$B:$G,4,0),IFERROR(VLOOKUP($F468,'COMPOSIÇÕES COMPLEMENTARES '!$D:$L,6,0),IFERROR(VLOOKUP($F468,INSUMOS!$A:$D,4,0),""))))</f>
        <v>9.7799999999999994</v>
      </c>
      <c r="K468" s="314">
        <f>IF($F468="","",IFERROR(VLOOKUP($F468,SERVIÇOS!$B:$G,5,0),IFERROR(VLOOKUP($F468,'COMPOSIÇÕES COMPLEMENTARES '!$D:$L,7,0),0)))</f>
        <v>14.56</v>
      </c>
      <c r="L468" s="314">
        <f t="shared" si="236"/>
        <v>24.34</v>
      </c>
      <c r="M468" s="314">
        <f t="shared" si="237"/>
        <v>29.34</v>
      </c>
      <c r="N468" s="314">
        <f t="shared" si="238"/>
        <v>43.68</v>
      </c>
      <c r="O468" s="314">
        <f t="shared" si="239"/>
        <v>73.02</v>
      </c>
      <c r="P468" s="314"/>
      <c r="Q468" s="315"/>
      <c r="R468" s="315"/>
      <c r="S468" s="286"/>
      <c r="T468" s="287"/>
      <c r="U468" s="288" t="str">
        <f t="shared" si="240"/>
        <v/>
      </c>
      <c r="V468" s="287"/>
      <c r="W468" s="289" t="str">
        <f t="shared" si="241"/>
        <v/>
      </c>
      <c r="X468" s="287"/>
      <c r="Y468" s="290" t="str">
        <f t="shared" si="242"/>
        <v/>
      </c>
      <c r="Z468" s="291">
        <f ca="1">SUMIF($T$8:Y$1018,"QUANT.",T468:Y468)</f>
        <v>0</v>
      </c>
      <c r="AA468" s="292">
        <f t="shared" ca="1" si="243"/>
        <v>0</v>
      </c>
      <c r="AB468" s="293" t="str">
        <f t="shared" ca="1" si="244"/>
        <v>MEDIR</v>
      </c>
      <c r="AC468" s="294">
        <f t="shared" ca="1" si="245"/>
        <v>3</v>
      </c>
      <c r="AD468" s="294">
        <f t="shared" ca="1" si="246"/>
        <v>73.02</v>
      </c>
      <c r="AE468" s="295"/>
      <c r="AF468" s="295"/>
      <c r="AG468" s="296"/>
      <c r="AH468" s="296"/>
      <c r="AI468" s="296"/>
      <c r="AJ468" s="326"/>
      <c r="AK468" s="326"/>
      <c r="AL468" s="326"/>
      <c r="AM468" s="326"/>
    </row>
    <row r="469" spans="1:39" x14ac:dyDescent="0.25">
      <c r="A469" s="232">
        <f t="shared" si="232"/>
        <v>469</v>
      </c>
      <c r="B469" s="232"/>
      <c r="C469" s="316" t="str">
        <f>+E469</f>
        <v>15.8</v>
      </c>
      <c r="D469" s="297"/>
      <c r="E469" s="317" t="s">
        <v>12232</v>
      </c>
      <c r="F469" s="317"/>
      <c r="G469" s="318" t="s">
        <v>12233</v>
      </c>
      <c r="H469" s="317"/>
      <c r="I469" s="319"/>
      <c r="J469" s="317"/>
      <c r="K469" s="317"/>
      <c r="L469" s="317"/>
      <c r="M469" s="317"/>
      <c r="N469" s="317"/>
      <c r="O469" s="317"/>
      <c r="P469" s="317"/>
      <c r="Q469" s="320"/>
      <c r="R469" s="306"/>
      <c r="S469" s="286"/>
      <c r="T469" s="287"/>
      <c r="U469" s="288" t="str">
        <f t="shared" si="240"/>
        <v/>
      </c>
      <c r="V469" s="287"/>
      <c r="W469" s="289" t="str">
        <f t="shared" si="241"/>
        <v/>
      </c>
      <c r="X469" s="287"/>
      <c r="Y469" s="290" t="str">
        <f t="shared" si="242"/>
        <v/>
      </c>
      <c r="Z469" s="291">
        <f ca="1">SUMIF($T$8:Y$1018,"QUANT.",T469:Y469)</f>
        <v>0</v>
      </c>
      <c r="AA469" s="292">
        <f t="shared" ca="1" si="243"/>
        <v>0</v>
      </c>
      <c r="AB469" s="293" t="str">
        <f t="shared" si="244"/>
        <v/>
      </c>
      <c r="AC469" s="294">
        <f t="shared" ca="1" si="245"/>
        <v>0</v>
      </c>
      <c r="AD469" s="294">
        <f t="shared" ca="1" si="246"/>
        <v>0</v>
      </c>
      <c r="AE469" s="295"/>
      <c r="AF469" s="295"/>
      <c r="AG469" s="296"/>
      <c r="AH469" s="296"/>
      <c r="AI469" s="296"/>
      <c r="AJ469" s="326"/>
      <c r="AK469" s="326"/>
      <c r="AL469" s="326"/>
      <c r="AM469" s="326"/>
    </row>
    <row r="470" spans="1:39" x14ac:dyDescent="0.25">
      <c r="A470" s="232">
        <f t="shared" si="232"/>
        <v>470</v>
      </c>
      <c r="B470" s="232"/>
      <c r="C470" s="307" t="str">
        <f t="shared" ref="C470:C477" si="247">+C469</f>
        <v>15.8</v>
      </c>
      <c r="D470" s="308">
        <f t="shared" ref="D470:D477" si="248">1+D469</f>
        <v>1</v>
      </c>
      <c r="E470" s="309" t="str">
        <f t="shared" ref="E470:E477" si="249">C470&amp;"."&amp;D470</f>
        <v>15.8.1</v>
      </c>
      <c r="F470" s="310" t="s">
        <v>12215</v>
      </c>
      <c r="G470" s="311" t="str">
        <f>IF($F470="","",IFERROR(VLOOKUP($F470,SERVIÇOS!$B:$G,2,0),IFERROR(VLOOKUP($F470,'COMPOSIÇÕES COMPLEMENTARES '!$D:$L,2,0),IFERROR(VLOOKUP($F470,INSUMOS!$A:$D,2,0),""))))</f>
        <v>PERFILADO PERFURADO COM TAMPA 38X38X6000MM CHAPA 18, INCLUSO CONEXÕES E FIXAÇÕES</v>
      </c>
      <c r="H470" s="312" t="str">
        <f>IF($F470="","",IFERROR(VLOOKUP($F470,SERVIÇOS!$B:$G,3,0),IFERROR(VLOOKUP($F470,'COMPOSIÇÕES COMPLEMENTARES '!$D:$L,3,0),IFERROR(VLOOKUP($F470,INSUMOS!$A:$D,3,0),""))))</f>
        <v>M</v>
      </c>
      <c r="I470" s="313">
        <v>60</v>
      </c>
      <c r="J470" s="314">
        <f>IF($F470="","",IFERROR(VLOOKUP($F470,SERVIÇOS!$B:$G,4,0),IFERROR(VLOOKUP($F470,'COMPOSIÇÕES COMPLEMENTARES '!$D:$L,6,0),IFERROR(VLOOKUP($F470,INSUMOS!$A:$D,4,0),""))))</f>
        <v>61.76</v>
      </c>
      <c r="K470" s="314">
        <f>IF($F470="","",IFERROR(VLOOKUP($F470,SERVIÇOS!$B:$G,5,0),IFERROR(VLOOKUP($F470,'COMPOSIÇÕES COMPLEMENTARES '!$D:$L,7,0),0)))</f>
        <v>31.6</v>
      </c>
      <c r="L470" s="314">
        <f t="shared" ref="L470:L477" si="250">IF(I470="","",J470+K470)</f>
        <v>93.36</v>
      </c>
      <c r="M470" s="314">
        <f t="shared" ref="M470:M477" si="251">IF(I470="","",TRUNC((I470*J470),2))</f>
        <v>3705.6</v>
      </c>
      <c r="N470" s="314">
        <f t="shared" ref="N470:N477" si="252">IF(I470="","",TRUNC((I470*K470),2))</f>
        <v>1896</v>
      </c>
      <c r="O470" s="314">
        <f t="shared" ref="O470:O477" si="253">IF(I470="","",TRUNC((M470+N470),2))</f>
        <v>5601.6</v>
      </c>
      <c r="P470" s="314"/>
      <c r="Q470" s="315"/>
      <c r="R470" s="315"/>
      <c r="S470" s="286"/>
      <c r="T470" s="287"/>
      <c r="U470" s="288" t="str">
        <f t="shared" si="240"/>
        <v/>
      </c>
      <c r="V470" s="287"/>
      <c r="W470" s="289" t="str">
        <f t="shared" si="241"/>
        <v/>
      </c>
      <c r="X470" s="287"/>
      <c r="Y470" s="290" t="str">
        <f t="shared" si="242"/>
        <v/>
      </c>
      <c r="Z470" s="291">
        <f ca="1">SUMIF($T$8:Y$1018,"QUANT.",T470:Y470)</f>
        <v>0</v>
      </c>
      <c r="AA470" s="292">
        <f t="shared" ca="1" si="243"/>
        <v>0</v>
      </c>
      <c r="AB470" s="293" t="str">
        <f t="shared" ca="1" si="244"/>
        <v>MEDIR</v>
      </c>
      <c r="AC470" s="294">
        <f t="shared" ca="1" si="245"/>
        <v>60</v>
      </c>
      <c r="AD470" s="294">
        <f t="shared" ca="1" si="246"/>
        <v>5601.6</v>
      </c>
      <c r="AE470" s="295"/>
      <c r="AF470" s="295"/>
      <c r="AG470" s="296"/>
      <c r="AH470" s="296"/>
      <c r="AI470" s="296"/>
      <c r="AJ470" s="326"/>
      <c r="AK470" s="326"/>
      <c r="AL470" s="326"/>
      <c r="AM470" s="326"/>
    </row>
    <row r="471" spans="1:39" x14ac:dyDescent="0.25">
      <c r="A471" s="232">
        <f t="shared" si="232"/>
        <v>471</v>
      </c>
      <c r="B471" s="232"/>
      <c r="C471" s="307" t="str">
        <f t="shared" si="247"/>
        <v>15.8</v>
      </c>
      <c r="D471" s="308">
        <f t="shared" si="248"/>
        <v>2</v>
      </c>
      <c r="E471" s="309" t="str">
        <f t="shared" si="249"/>
        <v>15.8.2</v>
      </c>
      <c r="F471" s="310" t="s">
        <v>12234</v>
      </c>
      <c r="G471" s="311" t="str">
        <f>IF($F471="","",IFERROR(VLOOKUP($F471,SERVIÇOS!$B:$G,2,0),IFERROR(VLOOKUP($F471,'COMPOSIÇÕES COMPLEMENTARES '!$D:$L,2,0),IFERROR(VLOOKUP($F471,INSUMOS!$A:$D,2,0),""))))</f>
        <v>ELETROCALHA PERFURADA 100X100X3000MM - CH 18, INCLUSO CONEXÕES E SUPORTE DE FIXAÇÃO</v>
      </c>
      <c r="H471" s="312" t="str">
        <f>IF($F471="","",IFERROR(VLOOKUP($F471,SERVIÇOS!$B:$G,3,0),IFERROR(VLOOKUP($F471,'COMPOSIÇÕES COMPLEMENTARES '!$D:$L,3,0),IFERROR(VLOOKUP($F471,INSUMOS!$A:$D,3,0),""))))</f>
        <v>M</v>
      </c>
      <c r="I471" s="313">
        <v>12</v>
      </c>
      <c r="J471" s="314">
        <f>IF($F471="","",IFERROR(VLOOKUP($F471,SERVIÇOS!$B:$G,4,0),IFERROR(VLOOKUP($F471,'COMPOSIÇÕES COMPLEMENTARES '!$D:$L,6,0),IFERROR(VLOOKUP($F471,INSUMOS!$A:$D,4,0),""))))</f>
        <v>129.66999999999999</v>
      </c>
      <c r="K471" s="314">
        <f>IF($F471="","",IFERROR(VLOOKUP($F471,SERVIÇOS!$B:$G,5,0),IFERROR(VLOOKUP($F471,'COMPOSIÇÕES COMPLEMENTARES '!$D:$L,7,0),0)))</f>
        <v>37.15</v>
      </c>
      <c r="L471" s="314">
        <f t="shared" si="250"/>
        <v>166.82</v>
      </c>
      <c r="M471" s="314">
        <f t="shared" si="251"/>
        <v>1556.04</v>
      </c>
      <c r="N471" s="314">
        <f t="shared" si="252"/>
        <v>445.8</v>
      </c>
      <c r="O471" s="314">
        <f t="shared" si="253"/>
        <v>2001.84</v>
      </c>
      <c r="P471" s="314"/>
      <c r="Q471" s="315"/>
      <c r="R471" s="315"/>
      <c r="S471" s="286"/>
      <c r="T471" s="287"/>
      <c r="U471" s="288" t="str">
        <f t="shared" si="240"/>
        <v/>
      </c>
      <c r="V471" s="287"/>
      <c r="W471" s="289" t="str">
        <f t="shared" si="241"/>
        <v/>
      </c>
      <c r="X471" s="287"/>
      <c r="Y471" s="290" t="str">
        <f t="shared" si="242"/>
        <v/>
      </c>
      <c r="Z471" s="291">
        <f ca="1">SUMIF($T$8:Y$1018,"QUANT.",T471:Y471)</f>
        <v>0</v>
      </c>
      <c r="AA471" s="292">
        <f t="shared" ca="1" si="243"/>
        <v>0</v>
      </c>
      <c r="AB471" s="293" t="str">
        <f t="shared" ca="1" si="244"/>
        <v>MEDIR</v>
      </c>
      <c r="AC471" s="294">
        <f t="shared" ca="1" si="245"/>
        <v>12</v>
      </c>
      <c r="AD471" s="294">
        <f t="shared" ca="1" si="246"/>
        <v>2001.84</v>
      </c>
      <c r="AE471" s="295"/>
      <c r="AF471" s="295"/>
      <c r="AG471" s="296"/>
      <c r="AH471" s="296"/>
      <c r="AI471" s="296"/>
      <c r="AJ471" s="326"/>
      <c r="AK471" s="326"/>
      <c r="AL471" s="326"/>
      <c r="AM471" s="326"/>
    </row>
    <row r="472" spans="1:39" ht="25.5" x14ac:dyDescent="0.25">
      <c r="A472" s="232">
        <f t="shared" si="232"/>
        <v>472</v>
      </c>
      <c r="B472" s="232"/>
      <c r="C472" s="307" t="str">
        <f t="shared" si="247"/>
        <v>15.8</v>
      </c>
      <c r="D472" s="308">
        <f t="shared" si="248"/>
        <v>3</v>
      </c>
      <c r="E472" s="309" t="str">
        <f t="shared" si="249"/>
        <v>15.8.3</v>
      </c>
      <c r="F472" s="310" t="s">
        <v>12217</v>
      </c>
      <c r="G472" s="311" t="str">
        <f>IF($F472="","",IFERROR(VLOOKUP($F472,SERVIÇOS!$B:$G,2,0),IFERROR(VLOOKUP($F472,'COMPOSIÇÕES COMPLEMENTARES '!$D:$L,2,0),IFERROR(VLOOKUP($F472,INSUMOS!$A:$D,2,0),""))))</f>
        <v>ELETRODUTO RÍGIDO ROSCÁVEL, PVC, DN 25 MM (3/4"), INCLUSO CONEXÕES E ACESSÓRIOS, INSTALAÇÃO APARENTE - FORNECIMENTO E INSTALAÇÃO</v>
      </c>
      <c r="H472" s="312" t="str">
        <f>IF($F472="","",IFERROR(VLOOKUP($F472,SERVIÇOS!$B:$G,3,0),IFERROR(VLOOKUP($F472,'COMPOSIÇÕES COMPLEMENTARES '!$D:$L,3,0),IFERROR(VLOOKUP($F472,INSUMOS!$A:$D,3,0),""))))</f>
        <v>M</v>
      </c>
      <c r="I472" s="313">
        <v>117</v>
      </c>
      <c r="J472" s="314">
        <f>IF($F472="","",IFERROR(VLOOKUP($F472,SERVIÇOS!$B:$G,4,0),IFERROR(VLOOKUP($F472,'COMPOSIÇÕES COMPLEMENTARES '!$D:$L,6,0),IFERROR(VLOOKUP($F472,INSUMOS!$A:$D,4,0),""))))</f>
        <v>14.79</v>
      </c>
      <c r="K472" s="314">
        <f>IF($F472="","",IFERROR(VLOOKUP($F472,SERVIÇOS!$B:$G,5,0),IFERROR(VLOOKUP($F472,'COMPOSIÇÕES COMPLEMENTARES '!$D:$L,7,0),0)))</f>
        <v>8.75</v>
      </c>
      <c r="L472" s="314">
        <f t="shared" si="250"/>
        <v>23.54</v>
      </c>
      <c r="M472" s="314">
        <f t="shared" si="251"/>
        <v>1730.43</v>
      </c>
      <c r="N472" s="314">
        <f t="shared" si="252"/>
        <v>1023.75</v>
      </c>
      <c r="O472" s="314">
        <f t="shared" si="253"/>
        <v>2754.18</v>
      </c>
      <c r="P472" s="314"/>
      <c r="Q472" s="315"/>
      <c r="R472" s="315"/>
      <c r="S472" s="286"/>
      <c r="T472" s="287"/>
      <c r="U472" s="288" t="str">
        <f t="shared" si="240"/>
        <v/>
      </c>
      <c r="V472" s="287"/>
      <c r="W472" s="289" t="str">
        <f t="shared" si="241"/>
        <v/>
      </c>
      <c r="X472" s="287"/>
      <c r="Y472" s="290" t="str">
        <f t="shared" si="242"/>
        <v/>
      </c>
      <c r="Z472" s="291">
        <f ca="1">SUMIF($T$8:Y$1018,"QUANT.",T472:Y472)</f>
        <v>0</v>
      </c>
      <c r="AA472" s="292">
        <f t="shared" ca="1" si="243"/>
        <v>0</v>
      </c>
      <c r="AB472" s="293" t="str">
        <f t="shared" ca="1" si="244"/>
        <v>MEDIR</v>
      </c>
      <c r="AC472" s="294">
        <f t="shared" ca="1" si="245"/>
        <v>117</v>
      </c>
      <c r="AD472" s="294">
        <f t="shared" ca="1" si="246"/>
        <v>2754.18</v>
      </c>
      <c r="AE472" s="295"/>
      <c r="AF472" s="295"/>
      <c r="AG472" s="296"/>
      <c r="AH472" s="296"/>
      <c r="AI472" s="296"/>
      <c r="AJ472" s="326"/>
      <c r="AK472" s="326"/>
      <c r="AL472" s="326"/>
      <c r="AM472" s="326"/>
    </row>
    <row r="473" spans="1:39" ht="25.5" x14ac:dyDescent="0.25">
      <c r="A473" s="232">
        <f t="shared" si="232"/>
        <v>473</v>
      </c>
      <c r="B473" s="232"/>
      <c r="C473" s="307" t="str">
        <f t="shared" si="247"/>
        <v>15.8</v>
      </c>
      <c r="D473" s="308">
        <f t="shared" si="248"/>
        <v>4</v>
      </c>
      <c r="E473" s="309" t="str">
        <f t="shared" si="249"/>
        <v>15.8.4</v>
      </c>
      <c r="F473" s="310" t="s">
        <v>12218</v>
      </c>
      <c r="G473" s="311" t="str">
        <f>IF($F473="","",IFERROR(VLOOKUP($F473,SERVIÇOS!$B:$G,2,0),IFERROR(VLOOKUP($F473,'COMPOSIÇÕES COMPLEMENTARES '!$D:$L,2,0),IFERROR(VLOOKUP($F473,INSUMOS!$A:$D,2,0),""))))</f>
        <v>ELETRODUTO RÍGIDO ROSCÁVEL, PVC, DN 25 MM (3/4"), INCLUSO CONEXÕES - FORNECIMENTO E INSTALAÇÃO</v>
      </c>
      <c r="H473" s="312" t="str">
        <f>IF($F473="","",IFERROR(VLOOKUP($F473,SERVIÇOS!$B:$G,3,0),IFERROR(VLOOKUP($F473,'COMPOSIÇÕES COMPLEMENTARES '!$D:$L,3,0),IFERROR(VLOOKUP($F473,INSUMOS!$A:$D,3,0),""))))</f>
        <v>M</v>
      </c>
      <c r="I473" s="313">
        <v>117</v>
      </c>
      <c r="J473" s="314">
        <f>IF($F473="","",IFERROR(VLOOKUP($F473,SERVIÇOS!$B:$G,4,0),IFERROR(VLOOKUP($F473,'COMPOSIÇÕES COMPLEMENTARES '!$D:$L,6,0),IFERROR(VLOOKUP($F473,INSUMOS!$A:$D,4,0),""))))</f>
        <v>9.18</v>
      </c>
      <c r="K473" s="314">
        <f>IF($F473="","",IFERROR(VLOOKUP($F473,SERVIÇOS!$B:$G,5,0),IFERROR(VLOOKUP($F473,'COMPOSIÇÕES COMPLEMENTARES '!$D:$L,7,0),0)))</f>
        <v>4.1500000000000004</v>
      </c>
      <c r="L473" s="314">
        <f t="shared" si="250"/>
        <v>13.33</v>
      </c>
      <c r="M473" s="314">
        <f t="shared" si="251"/>
        <v>1074.06</v>
      </c>
      <c r="N473" s="314">
        <f t="shared" si="252"/>
        <v>485.55</v>
      </c>
      <c r="O473" s="314">
        <f t="shared" si="253"/>
        <v>1559.61</v>
      </c>
      <c r="P473" s="314"/>
      <c r="Q473" s="315"/>
      <c r="R473" s="315"/>
      <c r="S473" s="286"/>
      <c r="T473" s="287"/>
      <c r="U473" s="288" t="str">
        <f t="shared" si="240"/>
        <v/>
      </c>
      <c r="V473" s="287"/>
      <c r="W473" s="289" t="str">
        <f t="shared" si="241"/>
        <v/>
      </c>
      <c r="X473" s="287"/>
      <c r="Y473" s="290" t="str">
        <f t="shared" si="242"/>
        <v/>
      </c>
      <c r="Z473" s="291">
        <f ca="1">SUMIF($T$8:Y$1018,"QUANT.",T473:Y473)</f>
        <v>0</v>
      </c>
      <c r="AA473" s="292">
        <f t="shared" ca="1" si="243"/>
        <v>0</v>
      </c>
      <c r="AB473" s="293" t="str">
        <f t="shared" ca="1" si="244"/>
        <v>MEDIR</v>
      </c>
      <c r="AC473" s="294">
        <f t="shared" ca="1" si="245"/>
        <v>117</v>
      </c>
      <c r="AD473" s="294">
        <f t="shared" ca="1" si="246"/>
        <v>1559.61</v>
      </c>
      <c r="AE473" s="295"/>
      <c r="AF473" s="295"/>
      <c r="AG473" s="296"/>
      <c r="AH473" s="296"/>
      <c r="AI473" s="296"/>
      <c r="AJ473" s="326"/>
      <c r="AK473" s="326"/>
      <c r="AL473" s="326"/>
      <c r="AM473" s="326"/>
    </row>
    <row r="474" spans="1:39" ht="25.5" x14ac:dyDescent="0.25">
      <c r="A474" s="232">
        <f t="shared" si="232"/>
        <v>474</v>
      </c>
      <c r="B474" s="232"/>
      <c r="C474" s="307" t="str">
        <f t="shared" si="247"/>
        <v>15.8</v>
      </c>
      <c r="D474" s="308">
        <f t="shared" si="248"/>
        <v>5</v>
      </c>
      <c r="E474" s="309" t="str">
        <f t="shared" si="249"/>
        <v>15.8.5</v>
      </c>
      <c r="F474" s="310" t="s">
        <v>12219</v>
      </c>
      <c r="G474" s="311" t="str">
        <f>IF($F474="","",IFERROR(VLOOKUP($F474,SERVIÇOS!$B:$G,2,0),IFERROR(VLOOKUP($F474,'COMPOSIÇÕES COMPLEMENTARES '!$D:$L,2,0),IFERROR(VLOOKUP($F474,INSUMOS!$A:$D,2,0),""))))</f>
        <v>ELETRODUTO RÍGIDO ROSCÁVEL, PVC, DN 32 MM (1"), INCLUSO CONEXÕES E ACESSÓRIOS, INSTALAÇÃO APARENTE - FORNECIMENTO E INSTALAÇÃO</v>
      </c>
      <c r="H474" s="312" t="str">
        <f>IF($F474="","",IFERROR(VLOOKUP($F474,SERVIÇOS!$B:$G,3,0),IFERROR(VLOOKUP($F474,'COMPOSIÇÕES COMPLEMENTARES '!$D:$L,3,0),IFERROR(VLOOKUP($F474,INSUMOS!$A:$D,3,0),""))))</f>
        <v>M</v>
      </c>
      <c r="I474" s="313">
        <v>27</v>
      </c>
      <c r="J474" s="314">
        <f>IF($F474="","",IFERROR(VLOOKUP($F474,SERVIÇOS!$B:$G,4,0),IFERROR(VLOOKUP($F474,'COMPOSIÇÕES COMPLEMENTARES '!$D:$L,6,0),IFERROR(VLOOKUP($F474,INSUMOS!$A:$D,4,0),""))))</f>
        <v>19.420000000000002</v>
      </c>
      <c r="K474" s="314">
        <f>IF($F474="","",IFERROR(VLOOKUP($F474,SERVIÇOS!$B:$G,5,0),IFERROR(VLOOKUP($F474,'COMPOSIÇÕES COMPLEMENTARES '!$D:$L,7,0),0)))</f>
        <v>9.32</v>
      </c>
      <c r="L474" s="314">
        <f t="shared" si="250"/>
        <v>28.740000000000002</v>
      </c>
      <c r="M474" s="314">
        <f t="shared" si="251"/>
        <v>524.34</v>
      </c>
      <c r="N474" s="314">
        <f t="shared" si="252"/>
        <v>251.64</v>
      </c>
      <c r="O474" s="314">
        <f t="shared" si="253"/>
        <v>775.98</v>
      </c>
      <c r="P474" s="314"/>
      <c r="Q474" s="315"/>
      <c r="R474" s="315"/>
      <c r="S474" s="286"/>
      <c r="T474" s="287"/>
      <c r="U474" s="288" t="str">
        <f t="shared" si="240"/>
        <v/>
      </c>
      <c r="V474" s="287"/>
      <c r="W474" s="289" t="str">
        <f t="shared" si="241"/>
        <v/>
      </c>
      <c r="X474" s="287"/>
      <c r="Y474" s="290" t="str">
        <f t="shared" si="242"/>
        <v/>
      </c>
      <c r="Z474" s="291">
        <f ca="1">SUMIF($T$8:Y$1018,"QUANT.",T474:Y474)</f>
        <v>0</v>
      </c>
      <c r="AA474" s="292">
        <f t="shared" ca="1" si="243"/>
        <v>0</v>
      </c>
      <c r="AB474" s="293" t="str">
        <f t="shared" ca="1" si="244"/>
        <v>MEDIR</v>
      </c>
      <c r="AC474" s="294">
        <f t="shared" ca="1" si="245"/>
        <v>27</v>
      </c>
      <c r="AD474" s="294">
        <f t="shared" ca="1" si="246"/>
        <v>775.98</v>
      </c>
      <c r="AE474" s="295"/>
      <c r="AF474" s="295"/>
      <c r="AG474" s="296"/>
      <c r="AH474" s="296"/>
      <c r="AI474" s="296"/>
      <c r="AJ474" s="326"/>
      <c r="AK474" s="326"/>
      <c r="AL474" s="326"/>
      <c r="AM474" s="326"/>
    </row>
    <row r="475" spans="1:39" x14ac:dyDescent="0.25">
      <c r="A475" s="232">
        <f t="shared" si="232"/>
        <v>475</v>
      </c>
      <c r="B475" s="232"/>
      <c r="C475" s="307" t="str">
        <f t="shared" si="247"/>
        <v>15.8</v>
      </c>
      <c r="D475" s="308">
        <f t="shared" si="248"/>
        <v>6</v>
      </c>
      <c r="E475" s="309" t="str">
        <f t="shared" si="249"/>
        <v>15.8.6</v>
      </c>
      <c r="F475" s="310" t="s">
        <v>12220</v>
      </c>
      <c r="G475" s="311" t="str">
        <f>IF($F475="","",IFERROR(VLOOKUP($F475,SERVIÇOS!$B:$G,2,0),IFERROR(VLOOKUP($F475,'COMPOSIÇÕES COMPLEMENTARES '!$D:$L,2,0),IFERROR(VLOOKUP($F475,INSUMOS!$A:$D,2,0),""))))</f>
        <v>ELETRODUTO RÍGIDO ROSCÁVEL, PVC, DN 32 MM (1"), INCLUSO CONEXÕES - FORNECIMENTO E INSTALAÇÃO</v>
      </c>
      <c r="H475" s="312" t="str">
        <f>IF($F475="","",IFERROR(VLOOKUP($F475,SERVIÇOS!$B:$G,3,0),IFERROR(VLOOKUP($F475,'COMPOSIÇÕES COMPLEMENTARES '!$D:$L,3,0),IFERROR(VLOOKUP($F475,INSUMOS!$A:$D,3,0),""))))</f>
        <v>M</v>
      </c>
      <c r="I475" s="313">
        <v>27</v>
      </c>
      <c r="J475" s="314">
        <f>IF($F475="","",IFERROR(VLOOKUP($F475,SERVIÇOS!$B:$G,4,0),IFERROR(VLOOKUP($F475,'COMPOSIÇÕES COMPLEMENTARES '!$D:$L,6,0),IFERROR(VLOOKUP($F475,INSUMOS!$A:$D,4,0),""))))</f>
        <v>20.07</v>
      </c>
      <c r="K475" s="314">
        <f>IF($F475="","",IFERROR(VLOOKUP($F475,SERVIÇOS!$B:$G,5,0),IFERROR(VLOOKUP($F475,'COMPOSIÇÕES COMPLEMENTARES '!$D:$L,7,0),0)))</f>
        <v>12.07</v>
      </c>
      <c r="L475" s="314">
        <f t="shared" si="250"/>
        <v>32.14</v>
      </c>
      <c r="M475" s="314">
        <f t="shared" si="251"/>
        <v>541.89</v>
      </c>
      <c r="N475" s="314">
        <f t="shared" si="252"/>
        <v>325.89</v>
      </c>
      <c r="O475" s="314">
        <f t="shared" si="253"/>
        <v>867.78</v>
      </c>
      <c r="P475" s="314"/>
      <c r="Q475" s="315"/>
      <c r="R475" s="315"/>
      <c r="S475" s="286"/>
      <c r="T475" s="287"/>
      <c r="U475" s="288" t="str">
        <f t="shared" si="240"/>
        <v/>
      </c>
      <c r="V475" s="287"/>
      <c r="W475" s="289" t="str">
        <f t="shared" si="241"/>
        <v/>
      </c>
      <c r="X475" s="287"/>
      <c r="Y475" s="290" t="str">
        <f t="shared" si="242"/>
        <v/>
      </c>
      <c r="Z475" s="291">
        <f ca="1">SUMIF($T$8:Y$1018,"QUANT.",T475:Y475)</f>
        <v>0</v>
      </c>
      <c r="AA475" s="292">
        <f t="shared" ca="1" si="243"/>
        <v>0</v>
      </c>
      <c r="AB475" s="293" t="str">
        <f t="shared" ca="1" si="244"/>
        <v>MEDIR</v>
      </c>
      <c r="AC475" s="294">
        <f t="shared" ca="1" si="245"/>
        <v>27</v>
      </c>
      <c r="AD475" s="294">
        <f t="shared" ca="1" si="246"/>
        <v>867.78</v>
      </c>
      <c r="AE475" s="295"/>
      <c r="AF475" s="295"/>
      <c r="AG475" s="296"/>
      <c r="AH475" s="296"/>
      <c r="AI475" s="296"/>
      <c r="AJ475" s="326"/>
      <c r="AK475" s="326"/>
      <c r="AL475" s="326"/>
      <c r="AM475" s="326"/>
    </row>
    <row r="476" spans="1:39" x14ac:dyDescent="0.25">
      <c r="A476" s="232">
        <f t="shared" si="232"/>
        <v>476</v>
      </c>
      <c r="B476" s="232"/>
      <c r="C476" s="307" t="str">
        <f t="shared" si="247"/>
        <v>15.8</v>
      </c>
      <c r="D476" s="308">
        <f t="shared" si="248"/>
        <v>7</v>
      </c>
      <c r="E476" s="309" t="str">
        <f t="shared" si="249"/>
        <v>15.8.7</v>
      </c>
      <c r="F476" s="310" t="s">
        <v>12221</v>
      </c>
      <c r="G476" s="311" t="str">
        <f>IF($F476="","",IFERROR(VLOOKUP($F476,SERVIÇOS!$B:$G,2,0),IFERROR(VLOOKUP($F476,'COMPOSIÇÕES COMPLEMENTARES '!$D:$L,2,0),IFERROR(VLOOKUP($F476,INSUMOS!$A:$D,2,0),""))))</f>
        <v>CABO FLEXÍVEL ISOL. 750V  -  #2,5MM² - AFUMEX</v>
      </c>
      <c r="H476" s="312" t="str">
        <f>IF($F476="","",IFERROR(VLOOKUP($F476,SERVIÇOS!$B:$G,3,0),IFERROR(VLOOKUP($F476,'COMPOSIÇÕES COMPLEMENTARES '!$D:$L,3,0),IFERROR(VLOOKUP($F476,INSUMOS!$A:$D,3,0),""))))</f>
        <v>M</v>
      </c>
      <c r="I476" s="313">
        <v>2200</v>
      </c>
      <c r="J476" s="314">
        <f>IF($F476="","",IFERROR(VLOOKUP($F476,SERVIÇOS!$B:$G,4,0),IFERROR(VLOOKUP($F476,'COMPOSIÇÕES COMPLEMENTARES '!$D:$L,6,0),IFERROR(VLOOKUP($F476,INSUMOS!$A:$D,4,0),""))))</f>
        <v>3.59</v>
      </c>
      <c r="K476" s="314">
        <f>IF($F476="","",IFERROR(VLOOKUP($F476,SERVIÇOS!$B:$G,5,0),IFERROR(VLOOKUP($F476,'COMPOSIÇÕES COMPLEMENTARES '!$D:$L,7,0),0)))</f>
        <v>1.48</v>
      </c>
      <c r="L476" s="314">
        <f t="shared" si="250"/>
        <v>5.07</v>
      </c>
      <c r="M476" s="314">
        <f t="shared" si="251"/>
        <v>7898</v>
      </c>
      <c r="N476" s="314">
        <f t="shared" si="252"/>
        <v>3256</v>
      </c>
      <c r="O476" s="314">
        <f t="shared" si="253"/>
        <v>11154</v>
      </c>
      <c r="P476" s="314"/>
      <c r="Q476" s="315"/>
      <c r="R476" s="315"/>
      <c r="S476" s="286"/>
      <c r="T476" s="287"/>
      <c r="U476" s="288" t="str">
        <f t="shared" si="240"/>
        <v/>
      </c>
      <c r="V476" s="287"/>
      <c r="W476" s="289" t="str">
        <f t="shared" si="241"/>
        <v/>
      </c>
      <c r="X476" s="287"/>
      <c r="Y476" s="290" t="str">
        <f t="shared" si="242"/>
        <v/>
      </c>
      <c r="Z476" s="291">
        <f ca="1">SUMIF($T$8:Y$1018,"QUANT.",T476:Y476)</f>
        <v>0</v>
      </c>
      <c r="AA476" s="292">
        <f t="shared" ca="1" si="243"/>
        <v>0</v>
      </c>
      <c r="AB476" s="293" t="str">
        <f t="shared" ca="1" si="244"/>
        <v>MEDIR</v>
      </c>
      <c r="AC476" s="294">
        <f t="shared" ca="1" si="245"/>
        <v>2200</v>
      </c>
      <c r="AD476" s="294">
        <f t="shared" ca="1" si="246"/>
        <v>11154</v>
      </c>
      <c r="AE476" s="295"/>
      <c r="AF476" s="295"/>
      <c r="AG476" s="296"/>
      <c r="AH476" s="296"/>
      <c r="AI476" s="296"/>
      <c r="AJ476" s="326"/>
      <c r="AK476" s="326"/>
      <c r="AL476" s="326"/>
      <c r="AM476" s="326"/>
    </row>
    <row r="477" spans="1:39" x14ac:dyDescent="0.25">
      <c r="A477" s="232">
        <f t="shared" si="232"/>
        <v>477</v>
      </c>
      <c r="B477" s="232"/>
      <c r="C477" s="307" t="str">
        <f t="shared" si="247"/>
        <v>15.8</v>
      </c>
      <c r="D477" s="308">
        <f t="shared" si="248"/>
        <v>8</v>
      </c>
      <c r="E477" s="309" t="str">
        <f t="shared" si="249"/>
        <v>15.8.8</v>
      </c>
      <c r="F477" s="310" t="s">
        <v>12223</v>
      </c>
      <c r="G477" s="311" t="str">
        <f>IF($F477="","",IFERROR(VLOOKUP($F477,SERVIÇOS!$B:$G,2,0),IFERROR(VLOOKUP($F477,'COMPOSIÇÕES COMPLEMENTARES '!$D:$L,2,0),IFERROR(VLOOKUP($F477,INSUMOS!$A:$D,2,0),""))))</f>
        <v>CONDUTOR DE COBRE FLEX ISOL. 1KV - 90º -  #6,0MM² - AFUMEX</v>
      </c>
      <c r="H477" s="312" t="str">
        <f>IF($F477="","",IFERROR(VLOOKUP($F477,SERVIÇOS!$B:$G,3,0),IFERROR(VLOOKUP($F477,'COMPOSIÇÕES COMPLEMENTARES '!$D:$L,3,0),IFERROR(VLOOKUP($F477,INSUMOS!$A:$D,3,0),""))))</f>
        <v>M</v>
      </c>
      <c r="I477" s="313">
        <v>195</v>
      </c>
      <c r="J477" s="314">
        <f>IF($F477="","",IFERROR(VLOOKUP($F477,SERVIÇOS!$B:$G,4,0),IFERROR(VLOOKUP($F477,'COMPOSIÇÕES COMPLEMENTARES '!$D:$L,6,0),IFERROR(VLOOKUP($F477,INSUMOS!$A:$D,4,0),""))))</f>
        <v>7.81</v>
      </c>
      <c r="K477" s="314">
        <f>IF($F477="","",IFERROR(VLOOKUP($F477,SERVIÇOS!$B:$G,5,0),IFERROR(VLOOKUP($F477,'COMPOSIÇÕES COMPLEMENTARES '!$D:$L,7,0),0)))</f>
        <v>1.97</v>
      </c>
      <c r="L477" s="314">
        <f t="shared" si="250"/>
        <v>9.7799999999999994</v>
      </c>
      <c r="M477" s="314">
        <f t="shared" si="251"/>
        <v>1522.95</v>
      </c>
      <c r="N477" s="314">
        <f t="shared" si="252"/>
        <v>384.15</v>
      </c>
      <c r="O477" s="314">
        <f t="shared" si="253"/>
        <v>1907.1</v>
      </c>
      <c r="P477" s="314"/>
      <c r="Q477" s="315"/>
      <c r="R477" s="315"/>
      <c r="S477" s="286"/>
      <c r="T477" s="287"/>
      <c r="U477" s="288" t="str">
        <f t="shared" si="240"/>
        <v/>
      </c>
      <c r="V477" s="287"/>
      <c r="W477" s="289" t="str">
        <f t="shared" si="241"/>
        <v/>
      </c>
      <c r="X477" s="287"/>
      <c r="Y477" s="290" t="str">
        <f t="shared" si="242"/>
        <v/>
      </c>
      <c r="Z477" s="291">
        <f ca="1">SUMIF($T$8:Y$1018,"QUANT.",T477:Y477)</f>
        <v>0</v>
      </c>
      <c r="AA477" s="292">
        <f t="shared" ca="1" si="243"/>
        <v>0</v>
      </c>
      <c r="AB477" s="293" t="str">
        <f t="shared" ca="1" si="244"/>
        <v>MEDIR</v>
      </c>
      <c r="AC477" s="294">
        <f t="shared" ca="1" si="245"/>
        <v>195</v>
      </c>
      <c r="AD477" s="294">
        <f t="shared" ca="1" si="246"/>
        <v>1907.1</v>
      </c>
      <c r="AE477" s="295"/>
      <c r="AF477" s="295"/>
      <c r="AG477" s="296"/>
      <c r="AH477" s="296"/>
      <c r="AI477" s="296"/>
      <c r="AJ477" s="326"/>
      <c r="AK477" s="326"/>
      <c r="AL477" s="326"/>
      <c r="AM477" s="326"/>
    </row>
    <row r="478" spans="1:39" x14ac:dyDescent="0.25">
      <c r="A478" s="232">
        <f t="shared" si="232"/>
        <v>478</v>
      </c>
      <c r="B478" s="232"/>
      <c r="C478" s="316" t="str">
        <f>+E478</f>
        <v>15.9</v>
      </c>
      <c r="D478" s="297"/>
      <c r="E478" s="317" t="s">
        <v>12235</v>
      </c>
      <c r="F478" s="317"/>
      <c r="G478" s="318" t="s">
        <v>12236</v>
      </c>
      <c r="H478" s="317"/>
      <c r="I478" s="319"/>
      <c r="J478" s="317"/>
      <c r="K478" s="317"/>
      <c r="L478" s="317"/>
      <c r="M478" s="317"/>
      <c r="N478" s="317"/>
      <c r="O478" s="317"/>
      <c r="P478" s="317"/>
      <c r="Q478" s="320"/>
      <c r="R478" s="306"/>
      <c r="S478" s="286"/>
      <c r="T478" s="287"/>
      <c r="U478" s="288" t="str">
        <f t="shared" si="240"/>
        <v/>
      </c>
      <c r="V478" s="287"/>
      <c r="W478" s="289" t="str">
        <f t="shared" si="241"/>
        <v/>
      </c>
      <c r="X478" s="287"/>
      <c r="Y478" s="290" t="str">
        <f t="shared" si="242"/>
        <v/>
      </c>
      <c r="Z478" s="291">
        <f ca="1">SUMIF($T$8:Y$1018,"QUANT.",T478:Y478)</f>
        <v>0</v>
      </c>
      <c r="AA478" s="292">
        <f t="shared" ca="1" si="243"/>
        <v>0</v>
      </c>
      <c r="AB478" s="293" t="str">
        <f t="shared" si="244"/>
        <v/>
      </c>
      <c r="AC478" s="294">
        <f t="shared" ca="1" si="245"/>
        <v>0</v>
      </c>
      <c r="AD478" s="294">
        <f t="shared" ca="1" si="246"/>
        <v>0</v>
      </c>
      <c r="AE478" s="295"/>
      <c r="AF478" s="295"/>
      <c r="AG478" s="296"/>
      <c r="AH478" s="296"/>
      <c r="AI478" s="296"/>
      <c r="AJ478" s="326"/>
      <c r="AK478" s="326"/>
      <c r="AL478" s="326"/>
      <c r="AM478" s="326"/>
    </row>
    <row r="479" spans="1:39" ht="38.25" x14ac:dyDescent="0.25">
      <c r="A479" s="232">
        <f t="shared" si="232"/>
        <v>479</v>
      </c>
      <c r="B479" s="232"/>
      <c r="C479" s="307" t="str">
        <f t="shared" ref="C479:C496" si="254">+C478</f>
        <v>15.9</v>
      </c>
      <c r="D479" s="308">
        <f t="shared" ref="D479:D496" si="255">1+D478</f>
        <v>1</v>
      </c>
      <c r="E479" s="309" t="str">
        <f t="shared" ref="E479:E496" si="256">C479&amp;"."&amp;D479</f>
        <v>15.9.1</v>
      </c>
      <c r="F479" s="310" t="s">
        <v>12237</v>
      </c>
      <c r="G479" s="311" t="str">
        <f>IF($F479="","",IFERROR(VLOOKUP($F479,SERVIÇOS!$B:$G,2,0),IFERROR(VLOOKUP($F479,'COMPOSIÇÕES COMPLEMENTARES '!$D:$L,2,0),IFERROR(VLOOKUP($F479,INSUMOS!$A:$D,2,0),""))))</f>
        <v>QD-3 - QUADRO DE DISTRIBUIÇÃO EM CHAPA DE AÇO 16USG, PINTURA EM EPÓXI COR BEGE, COM TRINCO, BARRAMENTOS EM COBRE, ESPELHO INTERNO C/ PLAQUETAS DE IDENTIFICAÇÃO EM ACRÍLICO PARA CADA CIRCUITO E PORTA PROJETO. DEVERÁ ATENDER O SOLICITADO NO DIAGRAMA UNIFILAR EM PROJETO.</v>
      </c>
      <c r="H479" s="312" t="str">
        <f>IF($F479="","",IFERROR(VLOOKUP($F479,SERVIÇOS!$B:$G,3,0),IFERROR(VLOOKUP($F479,'COMPOSIÇÕES COMPLEMENTARES '!$D:$L,3,0),IFERROR(VLOOKUP($F479,INSUMOS!$A:$D,3,0),""))))</f>
        <v>UN</v>
      </c>
      <c r="I479" s="313">
        <v>1</v>
      </c>
      <c r="J479" s="314">
        <f>IF($F479="","",IFERROR(VLOOKUP($F479,SERVIÇOS!$B:$G,4,0),IFERROR(VLOOKUP($F479,'COMPOSIÇÕES COMPLEMENTARES '!$D:$L,6,0),IFERROR(VLOOKUP($F479,INSUMOS!$A:$D,4,0),""))))</f>
        <v>3411.58</v>
      </c>
      <c r="K479" s="314">
        <f>IF($F479="","",IFERROR(VLOOKUP($F479,SERVIÇOS!$B:$G,5,0),IFERROR(VLOOKUP($F479,'COMPOSIÇÕES COMPLEMENTARES '!$D:$L,7,0),0)))</f>
        <v>348.09</v>
      </c>
      <c r="L479" s="314">
        <f t="shared" ref="L479:L496" si="257">IF(I479="","",J479+K479)</f>
        <v>3759.67</v>
      </c>
      <c r="M479" s="314">
        <f t="shared" ref="M479:M496" si="258">IF(I479="","",TRUNC((I479*J479),2))</f>
        <v>3411.58</v>
      </c>
      <c r="N479" s="314">
        <f t="shared" ref="N479:N496" si="259">IF(I479="","",TRUNC((I479*K479),2))</f>
        <v>348.09</v>
      </c>
      <c r="O479" s="314">
        <f t="shared" ref="O479:O496" si="260">IF(I479="","",TRUNC((M479+N479),2))</f>
        <v>3759.67</v>
      </c>
      <c r="P479" s="314"/>
      <c r="Q479" s="315"/>
      <c r="R479" s="315"/>
      <c r="S479" s="286"/>
      <c r="T479" s="287"/>
      <c r="U479" s="288" t="str">
        <f t="shared" si="240"/>
        <v/>
      </c>
      <c r="V479" s="287"/>
      <c r="W479" s="289" t="str">
        <f t="shared" si="241"/>
        <v/>
      </c>
      <c r="X479" s="287"/>
      <c r="Y479" s="290" t="str">
        <f t="shared" si="242"/>
        <v/>
      </c>
      <c r="Z479" s="291">
        <f ca="1">SUMIF($T$8:Y$1018,"QUANT.",T479:Y479)</f>
        <v>0</v>
      </c>
      <c r="AA479" s="292">
        <f t="shared" ca="1" si="243"/>
        <v>0</v>
      </c>
      <c r="AB479" s="293" t="str">
        <f t="shared" ca="1" si="244"/>
        <v>MEDIR</v>
      </c>
      <c r="AC479" s="294">
        <f t="shared" ca="1" si="245"/>
        <v>1</v>
      </c>
      <c r="AD479" s="294">
        <f t="shared" ca="1" si="246"/>
        <v>3759.67</v>
      </c>
      <c r="AE479" s="295"/>
      <c r="AF479" s="295"/>
      <c r="AG479" s="296"/>
      <c r="AH479" s="296"/>
      <c r="AI479" s="296"/>
      <c r="AJ479" s="326"/>
      <c r="AK479" s="326"/>
      <c r="AL479" s="326"/>
      <c r="AM479" s="326"/>
    </row>
    <row r="480" spans="1:39" x14ac:dyDescent="0.25">
      <c r="A480" s="232">
        <f t="shared" si="232"/>
        <v>480</v>
      </c>
      <c r="B480" s="232"/>
      <c r="C480" s="307" t="str">
        <f t="shared" si="254"/>
        <v>15.9</v>
      </c>
      <c r="D480" s="308">
        <f t="shared" si="255"/>
        <v>2</v>
      </c>
      <c r="E480" s="309" t="str">
        <f t="shared" si="256"/>
        <v>15.9.2</v>
      </c>
      <c r="F480" s="310" t="s">
        <v>12183</v>
      </c>
      <c r="G480" s="311" t="str">
        <f>IF($F480="","",IFERROR(VLOOKUP($F480,SERVIÇOS!$B:$G,2,0),IFERROR(VLOOKUP($F480,'COMPOSIÇÕES COMPLEMENTARES '!$D:$L,2,0),IFERROR(VLOOKUP($F480,INSUMOS!$A:$D,2,0),""))))</f>
        <v>DISJUNTOR TERMOMAGNÉTICO TRIPOLAR 80A</v>
      </c>
      <c r="H480" s="312" t="str">
        <f>IF($F480="","",IFERROR(VLOOKUP($F480,SERVIÇOS!$B:$G,3,0),IFERROR(VLOOKUP($F480,'COMPOSIÇÕES COMPLEMENTARES '!$D:$L,3,0),IFERROR(VLOOKUP($F480,INSUMOS!$A:$D,3,0),""))))</f>
        <v>UN</v>
      </c>
      <c r="I480" s="313">
        <v>1</v>
      </c>
      <c r="J480" s="314">
        <f>IF($F480="","",IFERROR(VLOOKUP($F480,SERVIÇOS!$B:$G,4,0),IFERROR(VLOOKUP($F480,'COMPOSIÇÕES COMPLEMENTARES '!$D:$L,6,0),IFERROR(VLOOKUP($F480,INSUMOS!$A:$D,4,0),""))))</f>
        <v>446.75</v>
      </c>
      <c r="K480" s="314">
        <f>IF($F480="","",IFERROR(VLOOKUP($F480,SERVIÇOS!$B:$G,5,0),IFERROR(VLOOKUP($F480,'COMPOSIÇÕES COMPLEMENTARES '!$D:$L,7,0),0)))</f>
        <v>44.58</v>
      </c>
      <c r="L480" s="314">
        <f t="shared" si="257"/>
        <v>491.33</v>
      </c>
      <c r="M480" s="314">
        <f t="shared" si="258"/>
        <v>446.75</v>
      </c>
      <c r="N480" s="314">
        <f t="shared" si="259"/>
        <v>44.58</v>
      </c>
      <c r="O480" s="314">
        <f t="shared" si="260"/>
        <v>491.33</v>
      </c>
      <c r="P480" s="314"/>
      <c r="Q480" s="315"/>
      <c r="R480" s="315"/>
      <c r="S480" s="286"/>
      <c r="T480" s="287"/>
      <c r="U480" s="288" t="str">
        <f t="shared" si="240"/>
        <v/>
      </c>
      <c r="V480" s="287"/>
      <c r="W480" s="289" t="str">
        <f t="shared" si="241"/>
        <v/>
      </c>
      <c r="X480" s="287"/>
      <c r="Y480" s="290" t="str">
        <f t="shared" si="242"/>
        <v/>
      </c>
      <c r="Z480" s="291">
        <f ca="1">SUMIF($T$8:Y$1018,"QUANT.",T480:Y480)</f>
        <v>0</v>
      </c>
      <c r="AA480" s="292">
        <f t="shared" ca="1" si="243"/>
        <v>0</v>
      </c>
      <c r="AB480" s="293" t="str">
        <f t="shared" ca="1" si="244"/>
        <v>MEDIR</v>
      </c>
      <c r="AC480" s="294">
        <f t="shared" ca="1" si="245"/>
        <v>1</v>
      </c>
      <c r="AD480" s="294">
        <f t="shared" ca="1" si="246"/>
        <v>491.33</v>
      </c>
      <c r="AE480" s="295"/>
      <c r="AF480" s="295"/>
      <c r="AG480" s="296"/>
      <c r="AH480" s="296"/>
      <c r="AI480" s="296"/>
      <c r="AJ480" s="326"/>
      <c r="AK480" s="326"/>
      <c r="AL480" s="326"/>
      <c r="AM480" s="326"/>
    </row>
    <row r="481" spans="1:39" x14ac:dyDescent="0.25">
      <c r="A481" s="232">
        <f t="shared" si="232"/>
        <v>481</v>
      </c>
      <c r="B481" s="232"/>
      <c r="C481" s="307" t="str">
        <f t="shared" si="254"/>
        <v>15.9</v>
      </c>
      <c r="D481" s="308">
        <f t="shared" si="255"/>
        <v>3</v>
      </c>
      <c r="E481" s="309" t="str">
        <f t="shared" si="256"/>
        <v>15.9.3</v>
      </c>
      <c r="F481" s="310">
        <v>93671</v>
      </c>
      <c r="G481" s="311" t="str">
        <f>IF($F481="","",IFERROR(VLOOKUP($F481,SERVIÇOS!$B:$G,2,0),IFERROR(VLOOKUP($F481,'COMPOSIÇÕES COMPLEMENTARES '!$D:$L,2,0),IFERROR(VLOOKUP($F481,INSUMOS!$A:$D,2,0),""))))</f>
        <v>DISJUNTOR TRIPOLAR TIPO DIN, CORRENTE NOMINAL DE 32A - FORNECIMENTO E INSTALAÇÃO. AF_10/2020</v>
      </c>
      <c r="H481" s="312" t="str">
        <f>IF($F481="","",IFERROR(VLOOKUP($F481,SERVIÇOS!$B:$G,3,0),IFERROR(VLOOKUP($F481,'COMPOSIÇÕES COMPLEMENTARES '!$D:$L,3,0),IFERROR(VLOOKUP($F481,INSUMOS!$A:$D,3,0),""))))</f>
        <v>UN</v>
      </c>
      <c r="I481" s="313">
        <v>1</v>
      </c>
      <c r="J481" s="314">
        <f>IF($F481="","",IFERROR(VLOOKUP($F481,SERVIÇOS!$B:$G,4,0),IFERROR(VLOOKUP($F481,'COMPOSIÇÕES COMPLEMENTARES '!$D:$L,6,0),IFERROR(VLOOKUP($F481,INSUMOS!$A:$D,4,0),""))))</f>
        <v>77.73</v>
      </c>
      <c r="K481" s="314">
        <f>IF($F481="","",IFERROR(VLOOKUP($F481,SERVIÇOS!$B:$G,5,0),IFERROR(VLOOKUP($F481,'COMPOSIÇÕES COMPLEMENTARES '!$D:$L,7,0),0)))</f>
        <v>13.54</v>
      </c>
      <c r="L481" s="314">
        <f t="shared" si="257"/>
        <v>91.27000000000001</v>
      </c>
      <c r="M481" s="314">
        <f t="shared" si="258"/>
        <v>77.73</v>
      </c>
      <c r="N481" s="314">
        <f t="shared" si="259"/>
        <v>13.54</v>
      </c>
      <c r="O481" s="314">
        <f t="shared" si="260"/>
        <v>91.27</v>
      </c>
      <c r="P481" s="314"/>
      <c r="Q481" s="315"/>
      <c r="R481" s="315"/>
      <c r="S481" s="286"/>
      <c r="T481" s="287"/>
      <c r="U481" s="288" t="str">
        <f t="shared" si="240"/>
        <v/>
      </c>
      <c r="V481" s="287"/>
      <c r="W481" s="289" t="str">
        <f t="shared" si="241"/>
        <v/>
      </c>
      <c r="X481" s="287"/>
      <c r="Y481" s="290" t="str">
        <f t="shared" si="242"/>
        <v/>
      </c>
      <c r="Z481" s="291">
        <f ca="1">SUMIF($T$8:Y$1018,"QUANT.",T481:Y481)</f>
        <v>0</v>
      </c>
      <c r="AA481" s="292">
        <f t="shared" ca="1" si="243"/>
        <v>0</v>
      </c>
      <c r="AB481" s="293" t="str">
        <f t="shared" ca="1" si="244"/>
        <v>MEDIR</v>
      </c>
      <c r="AC481" s="294">
        <f t="shared" ca="1" si="245"/>
        <v>1</v>
      </c>
      <c r="AD481" s="294">
        <f t="shared" ca="1" si="246"/>
        <v>91.27</v>
      </c>
      <c r="AE481" s="295"/>
      <c r="AF481" s="295"/>
      <c r="AG481" s="296"/>
      <c r="AH481" s="296"/>
      <c r="AI481" s="296"/>
      <c r="AJ481" s="326"/>
      <c r="AK481" s="326"/>
      <c r="AL481" s="326"/>
      <c r="AM481" s="326"/>
    </row>
    <row r="482" spans="1:39" x14ac:dyDescent="0.25">
      <c r="A482" s="232">
        <f t="shared" si="232"/>
        <v>482</v>
      </c>
      <c r="B482" s="232"/>
      <c r="C482" s="307" t="str">
        <f t="shared" si="254"/>
        <v>15.9</v>
      </c>
      <c r="D482" s="308">
        <f t="shared" si="255"/>
        <v>4</v>
      </c>
      <c r="E482" s="309" t="str">
        <f t="shared" si="256"/>
        <v>15.9.4</v>
      </c>
      <c r="F482" s="310">
        <v>93670</v>
      </c>
      <c r="G482" s="311" t="str">
        <f>IF($F482="","",IFERROR(VLOOKUP($F482,SERVIÇOS!$B:$G,2,0),IFERROR(VLOOKUP($F482,'COMPOSIÇÕES COMPLEMENTARES '!$D:$L,2,0),IFERROR(VLOOKUP($F482,INSUMOS!$A:$D,2,0),""))))</f>
        <v>DISJUNTOR TRIPOLAR TIPO DIN, CORRENTE NOMINAL DE 25A - FORNECIMENTO E INSTALAÇÃO. AF_10/2020</v>
      </c>
      <c r="H482" s="312" t="str">
        <f>IF($F482="","",IFERROR(VLOOKUP($F482,SERVIÇOS!$B:$G,3,0),IFERROR(VLOOKUP($F482,'COMPOSIÇÕES COMPLEMENTARES '!$D:$L,3,0),IFERROR(VLOOKUP($F482,INSUMOS!$A:$D,3,0),""))))</f>
        <v>UN</v>
      </c>
      <c r="I482" s="313">
        <v>2</v>
      </c>
      <c r="J482" s="314">
        <f>IF($F482="","",IFERROR(VLOOKUP($F482,SERVIÇOS!$B:$G,4,0),IFERROR(VLOOKUP($F482,'COMPOSIÇÕES COMPLEMENTARES '!$D:$L,6,0),IFERROR(VLOOKUP($F482,INSUMOS!$A:$D,4,0),""))))</f>
        <v>75.510000000000005</v>
      </c>
      <c r="K482" s="314">
        <f>IF($F482="","",IFERROR(VLOOKUP($F482,SERVIÇOS!$B:$G,5,0),IFERROR(VLOOKUP($F482,'COMPOSIÇÕES COMPLEMENTARES '!$D:$L,7,0),0)))</f>
        <v>9.83</v>
      </c>
      <c r="L482" s="314">
        <f t="shared" si="257"/>
        <v>85.34</v>
      </c>
      <c r="M482" s="314">
        <f t="shared" si="258"/>
        <v>151.02000000000001</v>
      </c>
      <c r="N482" s="314">
        <f t="shared" si="259"/>
        <v>19.66</v>
      </c>
      <c r="O482" s="314">
        <f t="shared" si="260"/>
        <v>170.68</v>
      </c>
      <c r="P482" s="314"/>
      <c r="Q482" s="315"/>
      <c r="R482" s="315"/>
      <c r="S482" s="286"/>
      <c r="T482" s="287"/>
      <c r="U482" s="288" t="str">
        <f t="shared" si="240"/>
        <v/>
      </c>
      <c r="V482" s="287"/>
      <c r="W482" s="289" t="str">
        <f t="shared" si="241"/>
        <v/>
      </c>
      <c r="X482" s="287"/>
      <c r="Y482" s="290" t="str">
        <f t="shared" si="242"/>
        <v/>
      </c>
      <c r="Z482" s="291">
        <f ca="1">SUMIF($T$8:Y$1018,"QUANT.",T482:Y482)</f>
        <v>0</v>
      </c>
      <c r="AA482" s="292">
        <f t="shared" ca="1" si="243"/>
        <v>0</v>
      </c>
      <c r="AB482" s="293" t="str">
        <f t="shared" ca="1" si="244"/>
        <v>MEDIR</v>
      </c>
      <c r="AC482" s="294">
        <f t="shared" ca="1" si="245"/>
        <v>2</v>
      </c>
      <c r="AD482" s="294">
        <f t="shared" ca="1" si="246"/>
        <v>170.68</v>
      </c>
      <c r="AE482" s="295"/>
      <c r="AF482" s="295"/>
      <c r="AG482" s="296"/>
      <c r="AH482" s="296"/>
      <c r="AI482" s="296"/>
      <c r="AJ482" s="326"/>
      <c r="AK482" s="326"/>
      <c r="AL482" s="326"/>
      <c r="AM482" s="326"/>
    </row>
    <row r="483" spans="1:39" x14ac:dyDescent="0.25">
      <c r="A483" s="232">
        <f t="shared" si="232"/>
        <v>483</v>
      </c>
      <c r="B483" s="232"/>
      <c r="C483" s="307" t="str">
        <f t="shared" si="254"/>
        <v>15.9</v>
      </c>
      <c r="D483" s="308">
        <f t="shared" si="255"/>
        <v>5</v>
      </c>
      <c r="E483" s="309" t="str">
        <f t="shared" si="256"/>
        <v>15.9.5</v>
      </c>
      <c r="F483" s="310">
        <v>93664</v>
      </c>
      <c r="G483" s="311" t="str">
        <f>IF($F483="","",IFERROR(VLOOKUP($F483,SERVIÇOS!$B:$G,2,0),IFERROR(VLOOKUP($F483,'COMPOSIÇÕES COMPLEMENTARES '!$D:$L,2,0),IFERROR(VLOOKUP($F483,INSUMOS!$A:$D,2,0),""))))</f>
        <v>DISJUNTOR BIPOLAR TIPO DIN, CORRENTE NOMINAL DE 32A - FORNECIMENTO E INSTALAÇÃO. AF_10/2020</v>
      </c>
      <c r="H483" s="312" t="str">
        <f>IF($F483="","",IFERROR(VLOOKUP($F483,SERVIÇOS!$B:$G,3,0),IFERROR(VLOOKUP($F483,'COMPOSIÇÕES COMPLEMENTARES '!$D:$L,3,0),IFERROR(VLOOKUP($F483,INSUMOS!$A:$D,3,0),""))))</f>
        <v>UN</v>
      </c>
      <c r="I483" s="313">
        <v>6</v>
      </c>
      <c r="J483" s="314">
        <f>IF($F483="","",IFERROR(VLOOKUP($F483,SERVIÇOS!$B:$G,4,0),IFERROR(VLOOKUP($F483,'COMPOSIÇÕES COMPLEMENTARES '!$D:$L,6,0),IFERROR(VLOOKUP($F483,INSUMOS!$A:$D,4,0),""))))</f>
        <v>61.93</v>
      </c>
      <c r="K483" s="314">
        <f>IF($F483="","",IFERROR(VLOOKUP($F483,SERVIÇOS!$B:$G,5,0),IFERROR(VLOOKUP($F483,'COMPOSIÇÕES COMPLEMENTARES '!$D:$L,7,0),0)))</f>
        <v>9.01</v>
      </c>
      <c r="L483" s="314">
        <f t="shared" si="257"/>
        <v>70.94</v>
      </c>
      <c r="M483" s="314">
        <f t="shared" si="258"/>
        <v>371.58</v>
      </c>
      <c r="N483" s="314">
        <f t="shared" si="259"/>
        <v>54.06</v>
      </c>
      <c r="O483" s="314">
        <f t="shared" si="260"/>
        <v>425.64</v>
      </c>
      <c r="P483" s="314"/>
      <c r="Q483" s="315"/>
      <c r="R483" s="315"/>
      <c r="S483" s="286"/>
      <c r="T483" s="287"/>
      <c r="U483" s="288" t="str">
        <f t="shared" si="240"/>
        <v/>
      </c>
      <c r="V483" s="287"/>
      <c r="W483" s="289" t="str">
        <f t="shared" si="241"/>
        <v/>
      </c>
      <c r="X483" s="287"/>
      <c r="Y483" s="290" t="str">
        <f t="shared" si="242"/>
        <v/>
      </c>
      <c r="Z483" s="291">
        <f ca="1">SUMIF($T$8:Y$1018,"QUANT.",T483:Y483)</f>
        <v>0</v>
      </c>
      <c r="AA483" s="292">
        <f t="shared" ca="1" si="243"/>
        <v>0</v>
      </c>
      <c r="AB483" s="293" t="str">
        <f t="shared" ca="1" si="244"/>
        <v>MEDIR</v>
      </c>
      <c r="AC483" s="294">
        <f t="shared" ca="1" si="245"/>
        <v>6</v>
      </c>
      <c r="AD483" s="294">
        <f t="shared" ca="1" si="246"/>
        <v>425.64</v>
      </c>
      <c r="AE483" s="295"/>
      <c r="AF483" s="295"/>
      <c r="AG483" s="296"/>
      <c r="AH483" s="296"/>
      <c r="AI483" s="296"/>
      <c r="AJ483" s="326"/>
      <c r="AK483" s="326"/>
      <c r="AL483" s="326"/>
      <c r="AM483" s="326"/>
    </row>
    <row r="484" spans="1:39" x14ac:dyDescent="0.25">
      <c r="A484" s="232">
        <f t="shared" si="232"/>
        <v>484</v>
      </c>
      <c r="B484" s="232"/>
      <c r="C484" s="307" t="str">
        <f t="shared" si="254"/>
        <v>15.9</v>
      </c>
      <c r="D484" s="308">
        <f t="shared" si="255"/>
        <v>6</v>
      </c>
      <c r="E484" s="309" t="str">
        <f t="shared" si="256"/>
        <v>15.9.6</v>
      </c>
      <c r="F484" s="310">
        <v>93662</v>
      </c>
      <c r="G484" s="311" t="str">
        <f>IF($F484="","",IFERROR(VLOOKUP($F484,SERVIÇOS!$B:$G,2,0),IFERROR(VLOOKUP($F484,'COMPOSIÇÕES COMPLEMENTARES '!$D:$L,2,0),IFERROR(VLOOKUP($F484,INSUMOS!$A:$D,2,0),""))))</f>
        <v>DISJUNTOR BIPOLAR TIPO DIN, CORRENTE NOMINAL DE 20A - FORNECIMENTO E INSTALAÇÃO. AF_10/2020</v>
      </c>
      <c r="H484" s="312" t="str">
        <f>IF($F484="","",IFERROR(VLOOKUP($F484,SERVIÇOS!$B:$G,3,0),IFERROR(VLOOKUP($F484,'COMPOSIÇÕES COMPLEMENTARES '!$D:$L,3,0),IFERROR(VLOOKUP($F484,INSUMOS!$A:$D,3,0),""))))</f>
        <v>UN</v>
      </c>
      <c r="I484" s="313">
        <v>5</v>
      </c>
      <c r="J484" s="314">
        <f>IF($F484="","",IFERROR(VLOOKUP($F484,SERVIÇOS!$B:$G,4,0),IFERROR(VLOOKUP($F484,'COMPOSIÇÕES COMPLEMENTARES '!$D:$L,6,0),IFERROR(VLOOKUP($F484,INSUMOS!$A:$D,4,0),""))))</f>
        <v>60.44</v>
      </c>
      <c r="K484" s="314">
        <f>IF($F484="","",IFERROR(VLOOKUP($F484,SERVIÇOS!$B:$G,5,0),IFERROR(VLOOKUP($F484,'COMPOSIÇÕES COMPLEMENTARES '!$D:$L,7,0),0)))</f>
        <v>6.55</v>
      </c>
      <c r="L484" s="314">
        <f t="shared" si="257"/>
        <v>66.989999999999995</v>
      </c>
      <c r="M484" s="314">
        <f t="shared" si="258"/>
        <v>302.2</v>
      </c>
      <c r="N484" s="314">
        <f t="shared" si="259"/>
        <v>32.75</v>
      </c>
      <c r="O484" s="314">
        <f t="shared" si="260"/>
        <v>334.95</v>
      </c>
      <c r="P484" s="314"/>
      <c r="Q484" s="315"/>
      <c r="R484" s="315"/>
      <c r="S484" s="286"/>
      <c r="T484" s="287"/>
      <c r="U484" s="288" t="str">
        <f t="shared" si="240"/>
        <v/>
      </c>
      <c r="V484" s="287"/>
      <c r="W484" s="289" t="str">
        <f t="shared" si="241"/>
        <v/>
      </c>
      <c r="X484" s="287"/>
      <c r="Y484" s="290" t="str">
        <f t="shared" si="242"/>
        <v/>
      </c>
      <c r="Z484" s="291">
        <f ca="1">SUMIF($T$8:Y$1018,"QUANT.",T484:Y484)</f>
        <v>0</v>
      </c>
      <c r="AA484" s="292">
        <f t="shared" ca="1" si="243"/>
        <v>0</v>
      </c>
      <c r="AB484" s="293" t="str">
        <f t="shared" ca="1" si="244"/>
        <v>MEDIR</v>
      </c>
      <c r="AC484" s="294">
        <f t="shared" ca="1" si="245"/>
        <v>5</v>
      </c>
      <c r="AD484" s="294">
        <f t="shared" ca="1" si="246"/>
        <v>334.95</v>
      </c>
      <c r="AE484" s="295"/>
      <c r="AF484" s="295"/>
      <c r="AG484" s="296"/>
      <c r="AH484" s="296"/>
      <c r="AI484" s="296"/>
      <c r="AJ484" s="326"/>
      <c r="AK484" s="326"/>
      <c r="AL484" s="326"/>
      <c r="AM484" s="326"/>
    </row>
    <row r="485" spans="1:39" x14ac:dyDescent="0.25">
      <c r="A485" s="232">
        <f t="shared" si="232"/>
        <v>485</v>
      </c>
      <c r="B485" s="232"/>
      <c r="C485" s="307" t="str">
        <f t="shared" si="254"/>
        <v>15.9</v>
      </c>
      <c r="D485" s="308">
        <f t="shared" si="255"/>
        <v>7</v>
      </c>
      <c r="E485" s="309" t="str">
        <f t="shared" si="256"/>
        <v>15.9.7</v>
      </c>
      <c r="F485" s="310">
        <v>93661</v>
      </c>
      <c r="G485" s="311" t="str">
        <f>IF($F485="","",IFERROR(VLOOKUP($F485,SERVIÇOS!$B:$G,2,0),IFERROR(VLOOKUP($F485,'COMPOSIÇÕES COMPLEMENTARES '!$D:$L,2,0),IFERROR(VLOOKUP($F485,INSUMOS!$A:$D,2,0),""))))</f>
        <v>DISJUNTOR BIPOLAR TIPO DIN, CORRENTE NOMINAL DE 16A - FORNECIMENTO E INSTALAÇÃO. AF_10/2020</v>
      </c>
      <c r="H485" s="312" t="str">
        <f>IF($F485="","",IFERROR(VLOOKUP($F485,SERVIÇOS!$B:$G,3,0),IFERROR(VLOOKUP($F485,'COMPOSIÇÕES COMPLEMENTARES '!$D:$L,3,0),IFERROR(VLOOKUP($F485,INSUMOS!$A:$D,3,0),""))))</f>
        <v>UN</v>
      </c>
      <c r="I485" s="313">
        <v>1</v>
      </c>
      <c r="J485" s="314">
        <f>IF($F485="","",IFERROR(VLOOKUP($F485,SERVIÇOS!$B:$G,4,0),IFERROR(VLOOKUP($F485,'COMPOSIÇÕES COMPLEMENTARES '!$D:$L,6,0),IFERROR(VLOOKUP($F485,INSUMOS!$A:$D,4,0),""))))</f>
        <v>59.08</v>
      </c>
      <c r="K485" s="314">
        <f>IF($F485="","",IFERROR(VLOOKUP($F485,SERVIÇOS!$B:$G,5,0),IFERROR(VLOOKUP($F485,'COMPOSIÇÕES COMPLEMENTARES '!$D:$L,7,0),0)))</f>
        <v>4.7</v>
      </c>
      <c r="L485" s="314">
        <f t="shared" si="257"/>
        <v>63.78</v>
      </c>
      <c r="M485" s="314">
        <f t="shared" si="258"/>
        <v>59.08</v>
      </c>
      <c r="N485" s="314">
        <f t="shared" si="259"/>
        <v>4.7</v>
      </c>
      <c r="O485" s="314">
        <f t="shared" si="260"/>
        <v>63.78</v>
      </c>
      <c r="P485" s="314"/>
      <c r="Q485" s="315"/>
      <c r="R485" s="315"/>
      <c r="S485" s="286"/>
      <c r="T485" s="287"/>
      <c r="U485" s="288" t="str">
        <f t="shared" si="240"/>
        <v/>
      </c>
      <c r="V485" s="287"/>
      <c r="W485" s="289" t="str">
        <f t="shared" si="241"/>
        <v/>
      </c>
      <c r="X485" s="287"/>
      <c r="Y485" s="290" t="str">
        <f t="shared" si="242"/>
        <v/>
      </c>
      <c r="Z485" s="291">
        <f ca="1">SUMIF($T$8:Y$1018,"QUANT.",T485:Y485)</f>
        <v>0</v>
      </c>
      <c r="AA485" s="292">
        <f t="shared" ca="1" si="243"/>
        <v>0</v>
      </c>
      <c r="AB485" s="293" t="str">
        <f t="shared" ca="1" si="244"/>
        <v>MEDIR</v>
      </c>
      <c r="AC485" s="294">
        <f t="shared" ca="1" si="245"/>
        <v>1</v>
      </c>
      <c r="AD485" s="294">
        <f t="shared" ca="1" si="246"/>
        <v>63.78</v>
      </c>
      <c r="AE485" s="295"/>
      <c r="AF485" s="295"/>
      <c r="AG485" s="296"/>
      <c r="AH485" s="296"/>
      <c r="AI485" s="296"/>
      <c r="AJ485" s="326"/>
      <c r="AK485" s="326"/>
      <c r="AL485" s="326"/>
      <c r="AM485" s="326"/>
    </row>
    <row r="486" spans="1:39" ht="25.5" x14ac:dyDescent="0.25">
      <c r="A486" s="232">
        <f t="shared" si="232"/>
        <v>486</v>
      </c>
      <c r="B486" s="232"/>
      <c r="C486" s="307" t="str">
        <f t="shared" si="254"/>
        <v>15.9</v>
      </c>
      <c r="D486" s="308">
        <f t="shared" si="255"/>
        <v>8</v>
      </c>
      <c r="E486" s="309" t="str">
        <f t="shared" si="256"/>
        <v>15.9.8</v>
      </c>
      <c r="F486" s="310">
        <v>93655</v>
      </c>
      <c r="G486" s="311" t="str">
        <f>IF($F486="","",IFERROR(VLOOKUP($F486,SERVIÇOS!$B:$G,2,0),IFERROR(VLOOKUP($F486,'COMPOSIÇÕES COMPLEMENTARES '!$D:$L,2,0),IFERROR(VLOOKUP($F486,INSUMOS!$A:$D,2,0),""))))</f>
        <v>DISJUNTOR MONOPOLAR TIPO DIN, CORRENTE NOMINAL DE 20A - FORNECIMENTO E INSTALAÇÃO. AF_10/2020</v>
      </c>
      <c r="H486" s="312" t="str">
        <f>IF($F486="","",IFERROR(VLOOKUP($F486,SERVIÇOS!$B:$G,3,0),IFERROR(VLOOKUP($F486,'COMPOSIÇÕES COMPLEMENTARES '!$D:$L,3,0),IFERROR(VLOOKUP($F486,INSUMOS!$A:$D,3,0),""))))</f>
        <v>UN</v>
      </c>
      <c r="I486" s="313">
        <v>12</v>
      </c>
      <c r="J486" s="314">
        <f>IF($F486="","",IFERROR(VLOOKUP($F486,SERVIÇOS!$B:$G,4,0),IFERROR(VLOOKUP($F486,'COMPOSIÇÕES COMPLEMENTARES '!$D:$L,6,0),IFERROR(VLOOKUP($F486,INSUMOS!$A:$D,4,0),""))))</f>
        <v>12.28</v>
      </c>
      <c r="K486" s="314">
        <f>IF($F486="","",IFERROR(VLOOKUP($F486,SERVIÇOS!$B:$G,5,0),IFERROR(VLOOKUP($F486,'COMPOSIÇÕES COMPLEMENTARES '!$D:$L,7,0),0)))</f>
        <v>3.28</v>
      </c>
      <c r="L486" s="314">
        <f t="shared" si="257"/>
        <v>15.559999999999999</v>
      </c>
      <c r="M486" s="314">
        <f t="shared" si="258"/>
        <v>147.36000000000001</v>
      </c>
      <c r="N486" s="314">
        <f t="shared" si="259"/>
        <v>39.36</v>
      </c>
      <c r="O486" s="314">
        <f t="shared" si="260"/>
        <v>186.72</v>
      </c>
      <c r="P486" s="314"/>
      <c r="Q486" s="315"/>
      <c r="R486" s="315"/>
      <c r="S486" s="286"/>
      <c r="T486" s="287"/>
      <c r="U486" s="288" t="str">
        <f t="shared" si="240"/>
        <v/>
      </c>
      <c r="V486" s="287"/>
      <c r="W486" s="289" t="str">
        <f t="shared" si="241"/>
        <v/>
      </c>
      <c r="X486" s="287"/>
      <c r="Y486" s="290" t="str">
        <f t="shared" si="242"/>
        <v/>
      </c>
      <c r="Z486" s="291">
        <f ca="1">SUMIF($T$8:Y$1018,"QUANT.",T486:Y486)</f>
        <v>0</v>
      </c>
      <c r="AA486" s="292">
        <f t="shared" ca="1" si="243"/>
        <v>0</v>
      </c>
      <c r="AB486" s="293" t="str">
        <f t="shared" ca="1" si="244"/>
        <v>MEDIR</v>
      </c>
      <c r="AC486" s="294">
        <f t="shared" ca="1" si="245"/>
        <v>12</v>
      </c>
      <c r="AD486" s="294">
        <f t="shared" ca="1" si="246"/>
        <v>186.72</v>
      </c>
      <c r="AE486" s="295"/>
      <c r="AF486" s="295"/>
      <c r="AG486" s="296"/>
      <c r="AH486" s="296"/>
      <c r="AI486" s="296"/>
      <c r="AJ486" s="326"/>
      <c r="AK486" s="326"/>
      <c r="AL486" s="326"/>
      <c r="AM486" s="326"/>
    </row>
    <row r="487" spans="1:39" ht="25.5" x14ac:dyDescent="0.25">
      <c r="A487" s="232">
        <f t="shared" si="232"/>
        <v>487</v>
      </c>
      <c r="B487" s="232"/>
      <c r="C487" s="307" t="str">
        <f t="shared" si="254"/>
        <v>15.9</v>
      </c>
      <c r="D487" s="308">
        <f t="shared" si="255"/>
        <v>9</v>
      </c>
      <c r="E487" s="309" t="str">
        <f t="shared" si="256"/>
        <v>15.9.9</v>
      </c>
      <c r="F487" s="310">
        <v>93654</v>
      </c>
      <c r="G487" s="311" t="str">
        <f>IF($F487="","",IFERROR(VLOOKUP($F487,SERVIÇOS!$B:$G,2,0),IFERROR(VLOOKUP($F487,'COMPOSIÇÕES COMPLEMENTARES '!$D:$L,2,0),IFERROR(VLOOKUP($F487,INSUMOS!$A:$D,2,0),""))))</f>
        <v>DISJUNTOR MONOPOLAR TIPO DIN, CORRENTE NOMINAL DE 16A - FORNECIMENTO E INSTALAÇÃO. AF_10/2020</v>
      </c>
      <c r="H487" s="312" t="str">
        <f>IF($F487="","",IFERROR(VLOOKUP($F487,SERVIÇOS!$B:$G,3,0),IFERROR(VLOOKUP($F487,'COMPOSIÇÕES COMPLEMENTARES '!$D:$L,3,0),IFERROR(VLOOKUP($F487,INSUMOS!$A:$D,3,0),""))))</f>
        <v>UN</v>
      </c>
      <c r="I487" s="313">
        <v>3</v>
      </c>
      <c r="J487" s="314">
        <f>IF($F487="","",IFERROR(VLOOKUP($F487,SERVIÇOS!$B:$G,4,0),IFERROR(VLOOKUP($F487,'COMPOSIÇÕES COMPLEMENTARES '!$D:$L,6,0),IFERROR(VLOOKUP($F487,INSUMOS!$A:$D,4,0),""))))</f>
        <v>11.6</v>
      </c>
      <c r="K487" s="314">
        <f>IF($F487="","",IFERROR(VLOOKUP($F487,SERVIÇOS!$B:$G,5,0),IFERROR(VLOOKUP($F487,'COMPOSIÇÕES COMPLEMENTARES '!$D:$L,7,0),0)))</f>
        <v>2.35</v>
      </c>
      <c r="L487" s="314">
        <f t="shared" si="257"/>
        <v>13.95</v>
      </c>
      <c r="M487" s="314">
        <f t="shared" si="258"/>
        <v>34.799999999999997</v>
      </c>
      <c r="N487" s="314">
        <f t="shared" si="259"/>
        <v>7.05</v>
      </c>
      <c r="O487" s="314">
        <f t="shared" si="260"/>
        <v>41.85</v>
      </c>
      <c r="P487" s="314"/>
      <c r="Q487" s="315"/>
      <c r="R487" s="315"/>
      <c r="S487" s="286"/>
      <c r="T487" s="287"/>
      <c r="U487" s="288" t="str">
        <f t="shared" si="240"/>
        <v/>
      </c>
      <c r="V487" s="287"/>
      <c r="W487" s="289" t="str">
        <f t="shared" si="241"/>
        <v/>
      </c>
      <c r="X487" s="287"/>
      <c r="Y487" s="290" t="str">
        <f t="shared" si="242"/>
        <v/>
      </c>
      <c r="Z487" s="291">
        <f ca="1">SUMIF($T$8:Y$1018,"QUANT.",T487:Y487)</f>
        <v>0</v>
      </c>
      <c r="AA487" s="292">
        <f t="shared" ca="1" si="243"/>
        <v>0</v>
      </c>
      <c r="AB487" s="293" t="str">
        <f t="shared" ca="1" si="244"/>
        <v>MEDIR</v>
      </c>
      <c r="AC487" s="294">
        <f t="shared" ca="1" si="245"/>
        <v>3</v>
      </c>
      <c r="AD487" s="294">
        <f t="shared" ca="1" si="246"/>
        <v>41.85</v>
      </c>
      <c r="AE487" s="295"/>
      <c r="AF487" s="295"/>
      <c r="AG487" s="296"/>
      <c r="AH487" s="296"/>
      <c r="AI487" s="296"/>
      <c r="AJ487" s="326"/>
      <c r="AK487" s="326"/>
      <c r="AL487" s="326"/>
      <c r="AM487" s="326"/>
    </row>
    <row r="488" spans="1:39" x14ac:dyDescent="0.25">
      <c r="A488" s="232">
        <f t="shared" si="232"/>
        <v>488</v>
      </c>
      <c r="B488" s="232"/>
      <c r="C488" s="307" t="str">
        <f t="shared" si="254"/>
        <v>15.9</v>
      </c>
      <c r="D488" s="308">
        <f t="shared" si="255"/>
        <v>10</v>
      </c>
      <c r="E488" s="309" t="str">
        <f t="shared" si="256"/>
        <v>15.9.10</v>
      </c>
      <c r="F488" s="310" t="s">
        <v>12198</v>
      </c>
      <c r="G488" s="311" t="str">
        <f>IF($F488="","",IFERROR(VLOOKUP($F488,SERVIÇOS!$B:$G,2,0),IFERROR(VLOOKUP($F488,'COMPOSIÇÕES COMPLEMENTARES '!$D:$L,2,0),IFERROR(VLOOKUP($F488,INSUMOS!$A:$D,2,0),""))))</f>
        <v>DISPOSITIVO PROTETOR CONTRA SURTOS (DPS) 8/20 45KA - 275V CLASSE II</v>
      </c>
      <c r="H488" s="312" t="str">
        <f>IF($F488="","",IFERROR(VLOOKUP($F488,SERVIÇOS!$B:$G,3,0),IFERROR(VLOOKUP($F488,'COMPOSIÇÕES COMPLEMENTARES '!$D:$L,3,0),IFERROR(VLOOKUP($F488,INSUMOS!$A:$D,3,0),""))))</f>
        <v>UN</v>
      </c>
      <c r="I488" s="313">
        <v>4</v>
      </c>
      <c r="J488" s="314">
        <f>IF($F488="","",IFERROR(VLOOKUP($F488,SERVIÇOS!$B:$G,4,0),IFERROR(VLOOKUP($F488,'COMPOSIÇÕES COMPLEMENTARES '!$D:$L,6,0),IFERROR(VLOOKUP($F488,INSUMOS!$A:$D,4,0),""))))</f>
        <v>116.15</v>
      </c>
      <c r="K488" s="314">
        <f>IF($F488="","",IFERROR(VLOOKUP($F488,SERVIÇOS!$B:$G,5,0),IFERROR(VLOOKUP($F488,'COMPOSIÇÕES COMPLEMENTARES '!$D:$L,7,0),0)))</f>
        <v>14.85</v>
      </c>
      <c r="L488" s="314">
        <f t="shared" si="257"/>
        <v>131</v>
      </c>
      <c r="M488" s="314">
        <f t="shared" si="258"/>
        <v>464.6</v>
      </c>
      <c r="N488" s="314">
        <f t="shared" si="259"/>
        <v>59.4</v>
      </c>
      <c r="O488" s="314">
        <f t="shared" si="260"/>
        <v>524</v>
      </c>
      <c r="P488" s="314"/>
      <c r="Q488" s="315"/>
      <c r="R488" s="315"/>
      <c r="S488" s="286"/>
      <c r="T488" s="287"/>
      <c r="U488" s="288" t="str">
        <f t="shared" si="240"/>
        <v/>
      </c>
      <c r="V488" s="287"/>
      <c r="W488" s="289" t="str">
        <f t="shared" si="241"/>
        <v/>
      </c>
      <c r="X488" s="287"/>
      <c r="Y488" s="290" t="str">
        <f t="shared" si="242"/>
        <v/>
      </c>
      <c r="Z488" s="291">
        <f ca="1">SUMIF($T$8:Y$1018,"QUANT.",T488:Y488)</f>
        <v>0</v>
      </c>
      <c r="AA488" s="292">
        <f t="shared" ca="1" si="243"/>
        <v>0</v>
      </c>
      <c r="AB488" s="293" t="str">
        <f t="shared" ca="1" si="244"/>
        <v>MEDIR</v>
      </c>
      <c r="AC488" s="294">
        <f t="shared" ca="1" si="245"/>
        <v>4</v>
      </c>
      <c r="AD488" s="294">
        <f t="shared" ca="1" si="246"/>
        <v>524</v>
      </c>
      <c r="AE488" s="295"/>
      <c r="AF488" s="295"/>
      <c r="AG488" s="296"/>
      <c r="AH488" s="296"/>
      <c r="AI488" s="296"/>
      <c r="AJ488" s="326"/>
      <c r="AK488" s="326"/>
      <c r="AL488" s="326"/>
      <c r="AM488" s="326"/>
    </row>
    <row r="489" spans="1:39" x14ac:dyDescent="0.25">
      <c r="A489" s="232">
        <f t="shared" si="232"/>
        <v>489</v>
      </c>
      <c r="B489" s="232"/>
      <c r="C489" s="307" t="str">
        <f t="shared" si="254"/>
        <v>15.9</v>
      </c>
      <c r="D489" s="308">
        <f t="shared" si="255"/>
        <v>11</v>
      </c>
      <c r="E489" s="309" t="str">
        <f t="shared" si="256"/>
        <v>15.9.11</v>
      </c>
      <c r="F489" s="310" t="s">
        <v>12199</v>
      </c>
      <c r="G489" s="311" t="str">
        <f>IF($F489="","",IFERROR(VLOOKUP($F489,SERVIÇOS!$B:$G,2,0),IFERROR(VLOOKUP($F489,'COMPOSIÇÕES COMPLEMENTARES '!$D:$L,2,0),IFERROR(VLOOKUP($F489,INSUMOS!$A:$D,2,0),""))))</f>
        <v>INTERRUPTOR DIFERENCIAL BIPOLAR 2X40A SENS. 30MA</v>
      </c>
      <c r="H489" s="312" t="str">
        <f>IF($F489="","",IFERROR(VLOOKUP($F489,SERVIÇOS!$B:$G,3,0),IFERROR(VLOOKUP($F489,'COMPOSIÇÕES COMPLEMENTARES '!$D:$L,3,0),IFERROR(VLOOKUP($F489,INSUMOS!$A:$D,3,0),""))))</f>
        <v>UN</v>
      </c>
      <c r="I489" s="313">
        <v>8</v>
      </c>
      <c r="J489" s="314">
        <f>IF($F489="","",IFERROR(VLOOKUP($F489,SERVIÇOS!$B:$G,4,0),IFERROR(VLOOKUP($F489,'COMPOSIÇÕES COMPLEMENTARES '!$D:$L,6,0),IFERROR(VLOOKUP($F489,INSUMOS!$A:$D,4,0),""))))</f>
        <v>218.04</v>
      </c>
      <c r="K489" s="314">
        <f>IF($F489="","",IFERROR(VLOOKUP($F489,SERVIÇOS!$B:$G,5,0),IFERROR(VLOOKUP($F489,'COMPOSIÇÕES COMPLEMENTARES '!$D:$L,7,0),0)))</f>
        <v>100.29</v>
      </c>
      <c r="L489" s="314">
        <f t="shared" si="257"/>
        <v>318.33</v>
      </c>
      <c r="M489" s="314">
        <f t="shared" si="258"/>
        <v>1744.32</v>
      </c>
      <c r="N489" s="314">
        <f t="shared" si="259"/>
        <v>802.32</v>
      </c>
      <c r="O489" s="314">
        <f t="shared" si="260"/>
        <v>2546.64</v>
      </c>
      <c r="P489" s="314"/>
      <c r="Q489" s="315"/>
      <c r="R489" s="315"/>
      <c r="S489" s="286"/>
      <c r="T489" s="287"/>
      <c r="U489" s="288" t="str">
        <f t="shared" si="240"/>
        <v/>
      </c>
      <c r="V489" s="287"/>
      <c r="W489" s="289" t="str">
        <f t="shared" si="241"/>
        <v/>
      </c>
      <c r="X489" s="287"/>
      <c r="Y489" s="290" t="str">
        <f t="shared" si="242"/>
        <v/>
      </c>
      <c r="Z489" s="291">
        <f ca="1">SUMIF($T$8:Y$1018,"QUANT.",T489:Y489)</f>
        <v>0</v>
      </c>
      <c r="AA489" s="292">
        <f t="shared" ca="1" si="243"/>
        <v>0</v>
      </c>
      <c r="AB489" s="293" t="str">
        <f t="shared" ca="1" si="244"/>
        <v>MEDIR</v>
      </c>
      <c r="AC489" s="294">
        <f t="shared" ca="1" si="245"/>
        <v>8</v>
      </c>
      <c r="AD489" s="294">
        <f t="shared" ca="1" si="246"/>
        <v>2546.64</v>
      </c>
      <c r="AE489" s="295"/>
      <c r="AF489" s="295"/>
      <c r="AG489" s="296"/>
      <c r="AH489" s="296"/>
      <c r="AI489" s="296"/>
      <c r="AJ489" s="326"/>
      <c r="AK489" s="326"/>
      <c r="AL489" s="326"/>
      <c r="AM489" s="326"/>
    </row>
    <row r="490" spans="1:39" x14ac:dyDescent="0.25">
      <c r="A490" s="232">
        <f t="shared" si="232"/>
        <v>490</v>
      </c>
      <c r="B490" s="232"/>
      <c r="C490" s="307" t="str">
        <f t="shared" si="254"/>
        <v>15.9</v>
      </c>
      <c r="D490" s="308">
        <f t="shared" si="255"/>
        <v>12</v>
      </c>
      <c r="E490" s="309" t="str">
        <f t="shared" si="256"/>
        <v>15.9.12</v>
      </c>
      <c r="F490" s="310" t="s">
        <v>12200</v>
      </c>
      <c r="G490" s="311" t="str">
        <f>IF($F490="","",IFERROR(VLOOKUP($F490,SERVIÇOS!$B:$G,2,0),IFERROR(VLOOKUP($F490,'COMPOSIÇÕES COMPLEMENTARES '!$D:$L,2,0),IFERROR(VLOOKUP($F490,INSUMOS!$A:$D,2,0),""))))</f>
        <v>INTERRUPTOR DIFERENCIAL TETRAPOLAR 4X63A SENS. 30MA</v>
      </c>
      <c r="H490" s="312" t="str">
        <f>IF($F490="","",IFERROR(VLOOKUP($F490,SERVIÇOS!$B:$G,3,0),IFERROR(VLOOKUP($F490,'COMPOSIÇÕES COMPLEMENTARES '!$D:$L,3,0),IFERROR(VLOOKUP($F490,INSUMOS!$A:$D,3,0),""))))</f>
        <v>UN</v>
      </c>
      <c r="I490" s="313">
        <v>2</v>
      </c>
      <c r="J490" s="314">
        <f>IF($F490="","",IFERROR(VLOOKUP($F490,SERVIÇOS!$B:$G,4,0),IFERROR(VLOOKUP($F490,'COMPOSIÇÕES COMPLEMENTARES '!$D:$L,6,0),IFERROR(VLOOKUP($F490,INSUMOS!$A:$D,4,0),""))))</f>
        <v>279.11</v>
      </c>
      <c r="K490" s="314">
        <f>IF($F490="","",IFERROR(VLOOKUP($F490,SERVIÇOS!$B:$G,5,0),IFERROR(VLOOKUP($F490,'COMPOSIÇÕES COMPLEMENTARES '!$D:$L,7,0),0)))</f>
        <v>120.12</v>
      </c>
      <c r="L490" s="314">
        <f t="shared" si="257"/>
        <v>399.23</v>
      </c>
      <c r="M490" s="314">
        <f t="shared" si="258"/>
        <v>558.22</v>
      </c>
      <c r="N490" s="314">
        <f t="shared" si="259"/>
        <v>240.24</v>
      </c>
      <c r="O490" s="314">
        <f t="shared" si="260"/>
        <v>798.46</v>
      </c>
      <c r="P490" s="314"/>
      <c r="Q490" s="315"/>
      <c r="R490" s="315"/>
      <c r="S490" s="286"/>
      <c r="T490" s="287"/>
      <c r="U490" s="288" t="str">
        <f t="shared" si="240"/>
        <v/>
      </c>
      <c r="V490" s="287"/>
      <c r="W490" s="289" t="str">
        <f t="shared" si="241"/>
        <v/>
      </c>
      <c r="X490" s="287"/>
      <c r="Y490" s="290" t="str">
        <f t="shared" si="242"/>
        <v/>
      </c>
      <c r="Z490" s="291">
        <f ca="1">SUMIF($T$8:Y$1018,"QUANT.",T490:Y490)</f>
        <v>0</v>
      </c>
      <c r="AA490" s="292">
        <f t="shared" ca="1" si="243"/>
        <v>0</v>
      </c>
      <c r="AB490" s="293" t="str">
        <f t="shared" ca="1" si="244"/>
        <v>MEDIR</v>
      </c>
      <c r="AC490" s="294">
        <f t="shared" ca="1" si="245"/>
        <v>2</v>
      </c>
      <c r="AD490" s="294">
        <f t="shared" ca="1" si="246"/>
        <v>798.46</v>
      </c>
      <c r="AE490" s="295"/>
      <c r="AF490" s="295"/>
      <c r="AG490" s="296"/>
      <c r="AH490" s="296"/>
      <c r="AI490" s="296"/>
      <c r="AJ490" s="326"/>
      <c r="AK490" s="326"/>
      <c r="AL490" s="326"/>
      <c r="AM490" s="326"/>
    </row>
    <row r="491" spans="1:39" x14ac:dyDescent="0.25">
      <c r="A491" s="232">
        <f t="shared" si="232"/>
        <v>491</v>
      </c>
      <c r="B491" s="232"/>
      <c r="C491" s="307" t="str">
        <f t="shared" si="254"/>
        <v>15.9</v>
      </c>
      <c r="D491" s="308">
        <f t="shared" si="255"/>
        <v>13</v>
      </c>
      <c r="E491" s="309" t="str">
        <f t="shared" si="256"/>
        <v>15.9.13</v>
      </c>
      <c r="F491" s="310" t="s">
        <v>12238</v>
      </c>
      <c r="G491" s="311" t="str">
        <f>IF($F491="","",IFERROR(VLOOKUP($F491,SERVIÇOS!$B:$G,2,0),IFERROR(VLOOKUP($F491,'COMPOSIÇÕES COMPLEMENTARES '!$D:$L,2,0),IFERROR(VLOOKUP($F491,INSUMOS!$A:$D,2,0),""))))</f>
        <v>CONDUTOR DE COBRE FLEX. ISOL. 1KV - 90º - #25MM² - AFUMEX</v>
      </c>
      <c r="H491" s="312" t="str">
        <f>IF($F491="","",IFERROR(VLOOKUP($F491,SERVIÇOS!$B:$G,3,0),IFERROR(VLOOKUP($F491,'COMPOSIÇÕES COMPLEMENTARES '!$D:$L,3,0),IFERROR(VLOOKUP($F491,INSUMOS!$A:$D,3,0),""))))</f>
        <v>M</v>
      </c>
      <c r="I491" s="313">
        <v>112</v>
      </c>
      <c r="J491" s="314">
        <f>IF($F491="","",IFERROR(VLOOKUP($F491,SERVIÇOS!$B:$G,4,0),IFERROR(VLOOKUP($F491,'COMPOSIÇÕES COMPLEMENTARES '!$D:$L,6,0),IFERROR(VLOOKUP($F491,INSUMOS!$A:$D,4,0),""))))</f>
        <v>25.38</v>
      </c>
      <c r="K491" s="314">
        <f>IF($F491="","",IFERROR(VLOOKUP($F491,SERVIÇOS!$B:$G,5,0),IFERROR(VLOOKUP($F491,'COMPOSIÇÕES COMPLEMENTARES '!$D:$L,7,0),0)))</f>
        <v>3.16</v>
      </c>
      <c r="L491" s="314">
        <f t="shared" si="257"/>
        <v>28.54</v>
      </c>
      <c r="M491" s="314">
        <f t="shared" si="258"/>
        <v>2842.56</v>
      </c>
      <c r="N491" s="314">
        <f t="shared" si="259"/>
        <v>353.92</v>
      </c>
      <c r="O491" s="314">
        <f t="shared" si="260"/>
        <v>3196.48</v>
      </c>
      <c r="P491" s="314"/>
      <c r="Q491" s="315"/>
      <c r="R491" s="315"/>
      <c r="S491" s="286"/>
      <c r="T491" s="287"/>
      <c r="U491" s="288" t="str">
        <f t="shared" si="240"/>
        <v/>
      </c>
      <c r="V491" s="287"/>
      <c r="W491" s="289" t="str">
        <f t="shared" si="241"/>
        <v/>
      </c>
      <c r="X491" s="287"/>
      <c r="Y491" s="290" t="str">
        <f t="shared" si="242"/>
        <v/>
      </c>
      <c r="Z491" s="291">
        <f ca="1">SUMIF($T$8:Y$1018,"QUANT.",T491:Y491)</f>
        <v>0</v>
      </c>
      <c r="AA491" s="292">
        <f t="shared" ca="1" si="243"/>
        <v>0</v>
      </c>
      <c r="AB491" s="293" t="str">
        <f t="shared" ca="1" si="244"/>
        <v>MEDIR</v>
      </c>
      <c r="AC491" s="294">
        <f t="shared" ca="1" si="245"/>
        <v>112</v>
      </c>
      <c r="AD491" s="294">
        <f t="shared" ca="1" si="246"/>
        <v>3196.48</v>
      </c>
      <c r="AE491" s="295"/>
      <c r="AF491" s="295"/>
      <c r="AG491" s="296"/>
      <c r="AH491" s="296"/>
      <c r="AI491" s="296"/>
      <c r="AJ491" s="326"/>
      <c r="AK491" s="326"/>
      <c r="AL491" s="326"/>
      <c r="AM491" s="326"/>
    </row>
    <row r="492" spans="1:39" x14ac:dyDescent="0.25">
      <c r="A492" s="232">
        <f t="shared" si="232"/>
        <v>492</v>
      </c>
      <c r="B492" s="232"/>
      <c r="C492" s="307" t="str">
        <f t="shared" si="254"/>
        <v>15.9</v>
      </c>
      <c r="D492" s="308">
        <f t="shared" si="255"/>
        <v>14</v>
      </c>
      <c r="E492" s="309" t="str">
        <f t="shared" si="256"/>
        <v>15.9.14</v>
      </c>
      <c r="F492" s="310" t="s">
        <v>12202</v>
      </c>
      <c r="G492" s="311" t="str">
        <f>IF($F492="","",IFERROR(VLOOKUP($F492,SERVIÇOS!$B:$G,2,0),IFERROR(VLOOKUP($F492,'COMPOSIÇÕES COMPLEMENTARES '!$D:$L,2,0),IFERROR(VLOOKUP($F492,INSUMOS!$A:$D,2,0),""))))</f>
        <v>CONDUTOR DE COBRE FLEX. ISOL. 1KV - 90º - #16MM² - AFUMEX</v>
      </c>
      <c r="H492" s="312" t="str">
        <f>IF($F492="","",IFERROR(VLOOKUP($F492,SERVIÇOS!$B:$G,3,0),IFERROR(VLOOKUP($F492,'COMPOSIÇÕES COMPLEMENTARES '!$D:$L,3,0),IFERROR(VLOOKUP($F492,INSUMOS!$A:$D,3,0),""))))</f>
        <v>M</v>
      </c>
      <c r="I492" s="313">
        <v>28</v>
      </c>
      <c r="J492" s="314">
        <f>IF($F492="","",IFERROR(VLOOKUP($F492,SERVIÇOS!$B:$G,4,0),IFERROR(VLOOKUP($F492,'COMPOSIÇÕES COMPLEMENTARES '!$D:$L,6,0),IFERROR(VLOOKUP($F492,INSUMOS!$A:$D,4,0),""))))</f>
        <v>19.739999999999998</v>
      </c>
      <c r="K492" s="314">
        <f>IF($F492="","",IFERROR(VLOOKUP($F492,SERVIÇOS!$B:$G,5,0),IFERROR(VLOOKUP($F492,'COMPOSIÇÕES COMPLEMENTARES '!$D:$L,7,0),0)))</f>
        <v>5.69</v>
      </c>
      <c r="L492" s="314">
        <f t="shared" si="257"/>
        <v>25.43</v>
      </c>
      <c r="M492" s="314">
        <f t="shared" si="258"/>
        <v>552.72</v>
      </c>
      <c r="N492" s="314">
        <f t="shared" si="259"/>
        <v>159.32</v>
      </c>
      <c r="O492" s="314">
        <f t="shared" si="260"/>
        <v>712.04</v>
      </c>
      <c r="P492" s="314"/>
      <c r="Q492" s="315"/>
      <c r="R492" s="315"/>
      <c r="S492" s="286"/>
      <c r="T492" s="287"/>
      <c r="U492" s="288" t="str">
        <f t="shared" si="240"/>
        <v/>
      </c>
      <c r="V492" s="287"/>
      <c r="W492" s="289" t="str">
        <f t="shared" si="241"/>
        <v/>
      </c>
      <c r="X492" s="287"/>
      <c r="Y492" s="290" t="str">
        <f t="shared" si="242"/>
        <v/>
      </c>
      <c r="Z492" s="291">
        <f ca="1">SUMIF($T$8:Y$1018,"QUANT.",T492:Y492)</f>
        <v>0</v>
      </c>
      <c r="AA492" s="292">
        <f t="shared" ca="1" si="243"/>
        <v>0</v>
      </c>
      <c r="AB492" s="293" t="str">
        <f t="shared" ca="1" si="244"/>
        <v>MEDIR</v>
      </c>
      <c r="AC492" s="294">
        <f t="shared" ca="1" si="245"/>
        <v>28</v>
      </c>
      <c r="AD492" s="294">
        <f t="shared" ca="1" si="246"/>
        <v>712.04</v>
      </c>
      <c r="AE492" s="295"/>
      <c r="AF492" s="295"/>
      <c r="AG492" s="296"/>
      <c r="AH492" s="296"/>
      <c r="AI492" s="296"/>
      <c r="AJ492" s="326"/>
      <c r="AK492" s="326"/>
      <c r="AL492" s="326"/>
      <c r="AM492" s="326"/>
    </row>
    <row r="493" spans="1:39" x14ac:dyDescent="0.25">
      <c r="A493" s="232">
        <f t="shared" si="232"/>
        <v>493</v>
      </c>
      <c r="B493" s="232"/>
      <c r="C493" s="307" t="str">
        <f t="shared" si="254"/>
        <v>15.9</v>
      </c>
      <c r="D493" s="308">
        <f t="shared" si="255"/>
        <v>15</v>
      </c>
      <c r="E493" s="309" t="str">
        <f t="shared" si="256"/>
        <v>15.9.15</v>
      </c>
      <c r="F493" s="310" t="s">
        <v>12239</v>
      </c>
      <c r="G493" s="311" t="str">
        <f>IF($F493="","",IFERROR(VLOOKUP($F493,SERVIÇOS!$B:$G,2,0),IFERROR(VLOOKUP($F493,'COMPOSIÇÕES COMPLEMENTARES '!$D:$L,2,0),IFERROR(VLOOKUP($F493,INSUMOS!$A:$D,2,0),""))))</f>
        <v>TERMINAL DE COMPRESSÃO #25MM²</v>
      </c>
      <c r="H493" s="312" t="str">
        <f>IF($F493="","",IFERROR(VLOOKUP($F493,SERVIÇOS!$B:$G,3,0),IFERROR(VLOOKUP($F493,'COMPOSIÇÕES COMPLEMENTARES '!$D:$L,3,0),IFERROR(VLOOKUP($F493,INSUMOS!$A:$D,3,0),""))))</f>
        <v>UN</v>
      </c>
      <c r="I493" s="313">
        <v>8</v>
      </c>
      <c r="J493" s="314">
        <f>IF($F493="","",IFERROR(VLOOKUP($F493,SERVIÇOS!$B:$G,4,0),IFERROR(VLOOKUP($F493,'COMPOSIÇÕES COMPLEMENTARES '!$D:$L,6,0),IFERROR(VLOOKUP($F493,INSUMOS!$A:$D,4,0),""))))</f>
        <v>3.65</v>
      </c>
      <c r="K493" s="314">
        <f>IF($F493="","",IFERROR(VLOOKUP($F493,SERVIÇOS!$B:$G,5,0),IFERROR(VLOOKUP($F493,'COMPOSIÇÕES COMPLEMENTARES '!$D:$L,7,0),0)))</f>
        <v>1.4</v>
      </c>
      <c r="L493" s="314">
        <f t="shared" si="257"/>
        <v>5.05</v>
      </c>
      <c r="M493" s="314">
        <f t="shared" si="258"/>
        <v>29.2</v>
      </c>
      <c r="N493" s="314">
        <f t="shared" si="259"/>
        <v>11.2</v>
      </c>
      <c r="O493" s="314">
        <f t="shared" si="260"/>
        <v>40.4</v>
      </c>
      <c r="P493" s="314"/>
      <c r="Q493" s="315"/>
      <c r="R493" s="315"/>
      <c r="S493" s="286"/>
      <c r="T493" s="287"/>
      <c r="U493" s="288" t="str">
        <f t="shared" si="240"/>
        <v/>
      </c>
      <c r="V493" s="287"/>
      <c r="W493" s="289" t="str">
        <f t="shared" si="241"/>
        <v/>
      </c>
      <c r="X493" s="287"/>
      <c r="Y493" s="290" t="str">
        <f t="shared" si="242"/>
        <v/>
      </c>
      <c r="Z493" s="291">
        <f ca="1">SUMIF($T$8:Y$1018,"QUANT.",T493:Y493)</f>
        <v>0</v>
      </c>
      <c r="AA493" s="292">
        <f t="shared" ca="1" si="243"/>
        <v>0</v>
      </c>
      <c r="AB493" s="293" t="str">
        <f t="shared" ca="1" si="244"/>
        <v>MEDIR</v>
      </c>
      <c r="AC493" s="294">
        <f t="shared" ca="1" si="245"/>
        <v>8</v>
      </c>
      <c r="AD493" s="294">
        <f t="shared" ca="1" si="246"/>
        <v>40.4</v>
      </c>
      <c r="AE493" s="295"/>
      <c r="AF493" s="295"/>
      <c r="AG493" s="296"/>
      <c r="AH493" s="296"/>
      <c r="AI493" s="296"/>
      <c r="AJ493" s="326"/>
      <c r="AK493" s="326"/>
      <c r="AL493" s="326"/>
      <c r="AM493" s="326"/>
    </row>
    <row r="494" spans="1:39" x14ac:dyDescent="0.25">
      <c r="A494" s="232">
        <f t="shared" si="232"/>
        <v>494</v>
      </c>
      <c r="B494" s="232"/>
      <c r="C494" s="307" t="str">
        <f t="shared" si="254"/>
        <v>15.9</v>
      </c>
      <c r="D494" s="308">
        <f t="shared" si="255"/>
        <v>16</v>
      </c>
      <c r="E494" s="309" t="str">
        <f t="shared" si="256"/>
        <v>15.9.16</v>
      </c>
      <c r="F494" s="310" t="s">
        <v>12204</v>
      </c>
      <c r="G494" s="311" t="str">
        <f>IF($F494="","",IFERROR(VLOOKUP($F494,SERVIÇOS!$B:$G,2,0),IFERROR(VLOOKUP($F494,'COMPOSIÇÕES COMPLEMENTARES '!$D:$L,2,0),IFERROR(VLOOKUP($F494,INSUMOS!$A:$D,2,0),""))))</f>
        <v>TERMINAL DE COMPRESSÃO #16MM²</v>
      </c>
      <c r="H494" s="312" t="str">
        <f>IF($F494="","",IFERROR(VLOOKUP($F494,SERVIÇOS!$B:$G,3,0),IFERROR(VLOOKUP($F494,'COMPOSIÇÕES COMPLEMENTARES '!$D:$L,3,0),IFERROR(VLOOKUP($F494,INSUMOS!$A:$D,3,0),""))))</f>
        <v>UN</v>
      </c>
      <c r="I494" s="313">
        <v>2</v>
      </c>
      <c r="J494" s="314">
        <f>IF($F494="","",IFERROR(VLOOKUP($F494,SERVIÇOS!$B:$G,4,0),IFERROR(VLOOKUP($F494,'COMPOSIÇÕES COMPLEMENTARES '!$D:$L,6,0),IFERROR(VLOOKUP($F494,INSUMOS!$A:$D,4,0),""))))</f>
        <v>2.71</v>
      </c>
      <c r="K494" s="314">
        <f>IF($F494="","",IFERROR(VLOOKUP($F494,SERVIÇOS!$B:$G,5,0),IFERROR(VLOOKUP($F494,'COMPOSIÇÕES COMPLEMENTARES '!$D:$L,7,0),0)))</f>
        <v>1.1200000000000001</v>
      </c>
      <c r="L494" s="314">
        <f t="shared" si="257"/>
        <v>3.83</v>
      </c>
      <c r="M494" s="314">
        <f t="shared" si="258"/>
        <v>5.42</v>
      </c>
      <c r="N494" s="314">
        <f t="shared" si="259"/>
        <v>2.2400000000000002</v>
      </c>
      <c r="O494" s="314">
        <f t="shared" si="260"/>
        <v>7.66</v>
      </c>
      <c r="P494" s="314"/>
      <c r="Q494" s="315"/>
      <c r="R494" s="315"/>
      <c r="S494" s="286"/>
      <c r="T494" s="287"/>
      <c r="U494" s="288" t="str">
        <f t="shared" si="240"/>
        <v/>
      </c>
      <c r="V494" s="287"/>
      <c r="W494" s="289" t="str">
        <f t="shared" si="241"/>
        <v/>
      </c>
      <c r="X494" s="287"/>
      <c r="Y494" s="290" t="str">
        <f t="shared" si="242"/>
        <v/>
      </c>
      <c r="Z494" s="291">
        <f ca="1">SUMIF($T$8:Y$1018,"QUANT.",T494:Y494)</f>
        <v>0</v>
      </c>
      <c r="AA494" s="292">
        <f t="shared" ca="1" si="243"/>
        <v>0</v>
      </c>
      <c r="AB494" s="293" t="str">
        <f t="shared" ca="1" si="244"/>
        <v>MEDIR</v>
      </c>
      <c r="AC494" s="294">
        <f t="shared" ca="1" si="245"/>
        <v>2</v>
      </c>
      <c r="AD494" s="294">
        <f t="shared" ca="1" si="246"/>
        <v>7.66</v>
      </c>
      <c r="AE494" s="295"/>
      <c r="AF494" s="295"/>
      <c r="AG494" s="296"/>
      <c r="AH494" s="296"/>
      <c r="AI494" s="296"/>
      <c r="AJ494" s="326"/>
      <c r="AK494" s="326"/>
      <c r="AL494" s="326"/>
      <c r="AM494" s="326"/>
    </row>
    <row r="495" spans="1:39" ht="25.5" x14ac:dyDescent="0.25">
      <c r="A495" s="232">
        <f t="shared" si="232"/>
        <v>495</v>
      </c>
      <c r="B495" s="232"/>
      <c r="C495" s="307" t="str">
        <f t="shared" si="254"/>
        <v>15.9</v>
      </c>
      <c r="D495" s="308">
        <f t="shared" si="255"/>
        <v>17</v>
      </c>
      <c r="E495" s="309" t="str">
        <f t="shared" si="256"/>
        <v>15.9.17</v>
      </c>
      <c r="F495" s="310">
        <v>97668</v>
      </c>
      <c r="G495" s="311" t="str">
        <f>IF($F495="","",IFERROR(VLOOKUP($F495,SERVIÇOS!$B:$G,2,0),IFERROR(VLOOKUP($F495,'COMPOSIÇÕES COMPLEMENTARES '!$D:$L,2,0),IFERROR(VLOOKUP($F495,INSUMOS!$A:$D,2,0),""))))</f>
        <v>ELETRODUTO FLEXÍVEL CORRUGADO, PEAD, DN 63 (2"), PARA REDE ENTERRADA DE DISTRIBUIÇÃO DE ENERGIA ELÉTRICA - FORNECIMENTO E INSTALAÇÃO. AF_12/2021</v>
      </c>
      <c r="H495" s="312" t="str">
        <f>IF($F495="","",IFERROR(VLOOKUP($F495,SERVIÇOS!$B:$G,3,0),IFERROR(VLOOKUP($F495,'COMPOSIÇÕES COMPLEMENTARES '!$D:$L,3,0),IFERROR(VLOOKUP($F495,INSUMOS!$A:$D,3,0),""))))</f>
        <v>M</v>
      </c>
      <c r="I495" s="313">
        <v>28</v>
      </c>
      <c r="J495" s="314">
        <f>IF($F495="","",IFERROR(VLOOKUP($F495,SERVIÇOS!$B:$G,4,0),IFERROR(VLOOKUP($F495,'COMPOSIÇÕES COMPLEMENTARES '!$D:$L,6,0),IFERROR(VLOOKUP($F495,INSUMOS!$A:$D,4,0),""))))</f>
        <v>11.19</v>
      </c>
      <c r="K495" s="314">
        <f>IF($F495="","",IFERROR(VLOOKUP($F495,SERVIÇOS!$B:$G,5,0),IFERROR(VLOOKUP($F495,'COMPOSIÇÕES COMPLEMENTARES '!$D:$L,7,0),0)))</f>
        <v>4.68</v>
      </c>
      <c r="L495" s="314">
        <f t="shared" si="257"/>
        <v>15.87</v>
      </c>
      <c r="M495" s="314">
        <f t="shared" si="258"/>
        <v>313.32</v>
      </c>
      <c r="N495" s="314">
        <f t="shared" si="259"/>
        <v>131.04</v>
      </c>
      <c r="O495" s="314">
        <f t="shared" si="260"/>
        <v>444.36</v>
      </c>
      <c r="P495" s="314"/>
      <c r="Q495" s="315"/>
      <c r="R495" s="315"/>
      <c r="S495" s="286"/>
      <c r="T495" s="287"/>
      <c r="U495" s="288" t="str">
        <f t="shared" si="240"/>
        <v/>
      </c>
      <c r="V495" s="287"/>
      <c r="W495" s="289" t="str">
        <f t="shared" si="241"/>
        <v/>
      </c>
      <c r="X495" s="287"/>
      <c r="Y495" s="290" t="str">
        <f t="shared" si="242"/>
        <v/>
      </c>
      <c r="Z495" s="291">
        <f ca="1">SUMIF($T$8:Y$1018,"QUANT.",T495:Y495)</f>
        <v>0</v>
      </c>
      <c r="AA495" s="292">
        <f t="shared" ca="1" si="243"/>
        <v>0</v>
      </c>
      <c r="AB495" s="293" t="str">
        <f t="shared" ca="1" si="244"/>
        <v>MEDIR</v>
      </c>
      <c r="AC495" s="294">
        <f t="shared" ca="1" si="245"/>
        <v>28</v>
      </c>
      <c r="AD495" s="294">
        <f t="shared" ca="1" si="246"/>
        <v>444.36</v>
      </c>
      <c r="AE495" s="295"/>
      <c r="AF495" s="295"/>
      <c r="AG495" s="296"/>
      <c r="AH495" s="296"/>
      <c r="AI495" s="296"/>
      <c r="AJ495" s="326"/>
      <c r="AK495" s="326"/>
      <c r="AL495" s="326"/>
      <c r="AM495" s="326"/>
    </row>
    <row r="496" spans="1:39" x14ac:dyDescent="0.25">
      <c r="A496" s="232">
        <f t="shared" si="232"/>
        <v>496</v>
      </c>
      <c r="B496" s="232"/>
      <c r="C496" s="307" t="str">
        <f t="shared" si="254"/>
        <v>15.9</v>
      </c>
      <c r="D496" s="308">
        <f t="shared" si="255"/>
        <v>18</v>
      </c>
      <c r="E496" s="309" t="str">
        <f t="shared" si="256"/>
        <v>15.9.18</v>
      </c>
      <c r="F496" s="310" t="s">
        <v>12205</v>
      </c>
      <c r="G496" s="311" t="str">
        <f>IF($F496="","",IFERROR(VLOOKUP($F496,SERVIÇOS!$B:$G,2,0),IFERROR(VLOOKUP($F496,'COMPOSIÇÕES COMPLEMENTARES '!$D:$L,2,0),IFERROR(VLOOKUP($F496,INSUMOS!$A:$D,2,0),""))))</f>
        <v>UNIDUT CÔNICO Ø2" COM BUCHA E ARRUELA DE ALUMÍNIO Ø2"</v>
      </c>
      <c r="H496" s="312" t="str">
        <f>IF($F496="","",IFERROR(VLOOKUP($F496,SERVIÇOS!$B:$G,3,0),IFERROR(VLOOKUP($F496,'COMPOSIÇÕES COMPLEMENTARES '!$D:$L,3,0),IFERROR(VLOOKUP($F496,INSUMOS!$A:$D,3,0),""))))</f>
        <v>UN</v>
      </c>
      <c r="I496" s="313">
        <v>4</v>
      </c>
      <c r="J496" s="314">
        <f>IF($F496="","",IFERROR(VLOOKUP($F496,SERVIÇOS!$B:$G,4,0),IFERROR(VLOOKUP($F496,'COMPOSIÇÕES COMPLEMENTARES '!$D:$L,6,0),IFERROR(VLOOKUP($F496,INSUMOS!$A:$D,4,0),""))))</f>
        <v>17.22</v>
      </c>
      <c r="K496" s="314">
        <f>IF($F496="","",IFERROR(VLOOKUP($F496,SERVIÇOS!$B:$G,5,0),IFERROR(VLOOKUP($F496,'COMPOSIÇÕES COMPLEMENTARES '!$D:$L,7,0),0)))</f>
        <v>2.4700000000000002</v>
      </c>
      <c r="L496" s="314">
        <f t="shared" si="257"/>
        <v>19.689999999999998</v>
      </c>
      <c r="M496" s="314">
        <f t="shared" si="258"/>
        <v>68.88</v>
      </c>
      <c r="N496" s="314">
        <f t="shared" si="259"/>
        <v>9.8800000000000008</v>
      </c>
      <c r="O496" s="314">
        <f t="shared" si="260"/>
        <v>78.760000000000005</v>
      </c>
      <c r="P496" s="314"/>
      <c r="Q496" s="315"/>
      <c r="R496" s="315"/>
      <c r="S496" s="286"/>
      <c r="T496" s="287"/>
      <c r="U496" s="288" t="str">
        <f t="shared" si="240"/>
        <v/>
      </c>
      <c r="V496" s="287"/>
      <c r="W496" s="289" t="str">
        <f t="shared" si="241"/>
        <v/>
      </c>
      <c r="X496" s="287"/>
      <c r="Y496" s="290" t="str">
        <f t="shared" si="242"/>
        <v/>
      </c>
      <c r="Z496" s="291">
        <f ca="1">SUMIF($T$8:Y$1018,"QUANT.",T496:Y496)</f>
        <v>0</v>
      </c>
      <c r="AA496" s="292">
        <f t="shared" ca="1" si="243"/>
        <v>0</v>
      </c>
      <c r="AB496" s="293" t="str">
        <f t="shared" ca="1" si="244"/>
        <v>MEDIR</v>
      </c>
      <c r="AC496" s="294">
        <f t="shared" ca="1" si="245"/>
        <v>4</v>
      </c>
      <c r="AD496" s="294">
        <f t="shared" ca="1" si="246"/>
        <v>78.760000000000005</v>
      </c>
      <c r="AE496" s="295"/>
      <c r="AF496" s="295"/>
      <c r="AG496" s="296"/>
      <c r="AH496" s="296"/>
      <c r="AI496" s="296"/>
      <c r="AJ496" s="326"/>
      <c r="AK496" s="326"/>
      <c r="AL496" s="326"/>
      <c r="AM496" s="326"/>
    </row>
    <row r="497" spans="1:39" x14ac:dyDescent="0.25">
      <c r="A497" s="232">
        <f t="shared" si="232"/>
        <v>497</v>
      </c>
      <c r="B497" s="232"/>
      <c r="C497" s="316" t="str">
        <f>+E497</f>
        <v>15.10</v>
      </c>
      <c r="D497" s="297"/>
      <c r="E497" s="317" t="s">
        <v>12240</v>
      </c>
      <c r="F497" s="317"/>
      <c r="G497" s="318" t="s">
        <v>12241</v>
      </c>
      <c r="H497" s="317"/>
      <c r="I497" s="319"/>
      <c r="J497" s="317"/>
      <c r="K497" s="317"/>
      <c r="L497" s="317"/>
      <c r="M497" s="317"/>
      <c r="N497" s="317"/>
      <c r="O497" s="317"/>
      <c r="P497" s="317"/>
      <c r="Q497" s="320"/>
      <c r="R497" s="306"/>
      <c r="S497" s="286"/>
      <c r="T497" s="287"/>
      <c r="U497" s="288" t="str">
        <f t="shared" si="240"/>
        <v/>
      </c>
      <c r="V497" s="287"/>
      <c r="W497" s="289" t="str">
        <f t="shared" si="241"/>
        <v/>
      </c>
      <c r="X497" s="287"/>
      <c r="Y497" s="290" t="str">
        <f t="shared" si="242"/>
        <v/>
      </c>
      <c r="Z497" s="291">
        <f ca="1">SUMIF($T$8:Y$1018,"QUANT.",T497:Y497)</f>
        <v>0</v>
      </c>
      <c r="AA497" s="292">
        <f t="shared" ca="1" si="243"/>
        <v>0</v>
      </c>
      <c r="AB497" s="293" t="str">
        <f t="shared" si="244"/>
        <v/>
      </c>
      <c r="AC497" s="294">
        <f t="shared" ca="1" si="245"/>
        <v>0</v>
      </c>
      <c r="AD497" s="294">
        <f t="shared" ca="1" si="246"/>
        <v>0</v>
      </c>
      <c r="AE497" s="295"/>
      <c r="AF497" s="295"/>
      <c r="AG497" s="296"/>
      <c r="AH497" s="296"/>
      <c r="AI497" s="296"/>
      <c r="AJ497" s="326"/>
      <c r="AK497" s="326"/>
      <c r="AL497" s="326"/>
      <c r="AM497" s="326"/>
    </row>
    <row r="498" spans="1:39" ht="25.5" x14ac:dyDescent="0.25">
      <c r="A498" s="232">
        <f t="shared" si="232"/>
        <v>498</v>
      </c>
      <c r="B498" s="232"/>
      <c r="C498" s="307" t="str">
        <f t="shared" ref="C498:C527" si="261">+C497</f>
        <v>15.10</v>
      </c>
      <c r="D498" s="308">
        <f t="shared" ref="D498:D527" si="262">1+D497</f>
        <v>1</v>
      </c>
      <c r="E498" s="309" t="str">
        <f t="shared" ref="E498:E527" si="263">C498&amp;"."&amp;D498</f>
        <v>15.10.1</v>
      </c>
      <c r="F498" s="310" t="s">
        <v>12242</v>
      </c>
      <c r="G498" s="311" t="str">
        <f>IF($F498="","",IFERROR(VLOOKUP($F498,SERVIÇOS!$B:$G,2,0),IFERROR(VLOOKUP($F498,'COMPOSIÇÕES COMPLEMENTARES '!$D:$L,2,0),IFERROR(VLOOKUP($F498,INSUMOS!$A:$D,2,0),""))))</f>
        <v xml:space="preserve">LUMINÁRIA HERMÉTICA RETANGULAR DE SOBREPOR, DUA LAMPADAS TUBULED PHILLIPS (OU SIMILAR) 4000K - 2X21W/127V. REFERÊNCIA: CHT02-E 232 AC (LUMICENTER). </v>
      </c>
      <c r="H498" s="312" t="str">
        <f>IF($F498="","",IFERROR(VLOOKUP($F498,SERVIÇOS!$B:$G,3,0),IFERROR(VLOOKUP($F498,'COMPOSIÇÕES COMPLEMENTARES '!$D:$L,3,0),IFERROR(VLOOKUP($F498,INSUMOS!$A:$D,3,0),""))))</f>
        <v>UN</v>
      </c>
      <c r="I498" s="313">
        <v>3</v>
      </c>
      <c r="J498" s="314">
        <f>IF($F498="","",IFERROR(VLOOKUP($F498,SERVIÇOS!$B:$G,4,0),IFERROR(VLOOKUP($F498,'COMPOSIÇÕES COMPLEMENTARES '!$D:$L,6,0),IFERROR(VLOOKUP($F498,INSUMOS!$A:$D,4,0),""))))</f>
        <v>197.34</v>
      </c>
      <c r="K498" s="314">
        <f>IF($F498="","",IFERROR(VLOOKUP($F498,SERVIÇOS!$B:$G,5,0),IFERROR(VLOOKUP($F498,'COMPOSIÇÕES COMPLEMENTARES '!$D:$L,7,0),0)))</f>
        <v>47.65</v>
      </c>
      <c r="L498" s="314">
        <f t="shared" ref="L498:L527" si="264">IF(I498="","",J498+K498)</f>
        <v>244.99</v>
      </c>
      <c r="M498" s="314">
        <f t="shared" ref="M498:M527" si="265">IF(I498="","",TRUNC((I498*J498),2))</f>
        <v>592.02</v>
      </c>
      <c r="N498" s="314">
        <f t="shared" ref="N498:N527" si="266">IF(I498="","",TRUNC((I498*K498),2))</f>
        <v>142.94999999999999</v>
      </c>
      <c r="O498" s="314">
        <f t="shared" ref="O498:O527" si="267">IF(I498="","",TRUNC((M498+N498),2))</f>
        <v>734.97</v>
      </c>
      <c r="P498" s="314"/>
      <c r="Q498" s="315"/>
      <c r="R498" s="315"/>
      <c r="S498" s="286"/>
      <c r="T498" s="287"/>
      <c r="U498" s="288" t="str">
        <f t="shared" si="240"/>
        <v/>
      </c>
      <c r="V498" s="287"/>
      <c r="W498" s="289" t="str">
        <f t="shared" si="241"/>
        <v/>
      </c>
      <c r="X498" s="287"/>
      <c r="Y498" s="290" t="str">
        <f t="shared" si="242"/>
        <v/>
      </c>
      <c r="Z498" s="291">
        <f ca="1">SUMIF($T$8:Y$1018,"QUANT.",T498:Y498)</f>
        <v>0</v>
      </c>
      <c r="AA498" s="292">
        <f t="shared" ca="1" si="243"/>
        <v>0</v>
      </c>
      <c r="AB498" s="293" t="str">
        <f t="shared" ca="1" si="244"/>
        <v>MEDIR</v>
      </c>
      <c r="AC498" s="294">
        <f t="shared" ca="1" si="245"/>
        <v>3</v>
      </c>
      <c r="AD498" s="294">
        <f t="shared" ca="1" si="246"/>
        <v>734.97</v>
      </c>
      <c r="AE498" s="295"/>
      <c r="AF498" s="295"/>
      <c r="AG498" s="296"/>
      <c r="AH498" s="296"/>
      <c r="AI498" s="296"/>
      <c r="AJ498" s="326"/>
      <c r="AK498" s="326"/>
      <c r="AL498" s="326"/>
      <c r="AM498" s="326"/>
    </row>
    <row r="499" spans="1:39" ht="25.5" x14ac:dyDescent="0.25">
      <c r="A499" s="232">
        <f t="shared" si="232"/>
        <v>499</v>
      </c>
      <c r="B499" s="232"/>
      <c r="C499" s="307" t="str">
        <f t="shared" si="261"/>
        <v>15.10</v>
      </c>
      <c r="D499" s="308">
        <f t="shared" si="262"/>
        <v>2</v>
      </c>
      <c r="E499" s="309" t="str">
        <f t="shared" si="263"/>
        <v>15.10.2</v>
      </c>
      <c r="F499" s="310" t="s">
        <v>12243</v>
      </c>
      <c r="G499" s="311" t="str">
        <f>IF($F499="","",IFERROR(VLOOKUP($F499,SERVIÇOS!$B:$G,2,0),IFERROR(VLOOKUP($F499,'COMPOSIÇÕES COMPLEMENTARES '!$D:$L,2,0),IFERROR(VLOOKUP($F499,INSUMOS!$A:$D,2,0),""))))</f>
        <v>LUMINÁRIA QUADRADA TIPO PLACA DE LED 30X30CM DE SOBREPOR, 24W/127V. REFERÊNCIA: STH21964Q/40 (STELLA).</v>
      </c>
      <c r="H499" s="312" t="str">
        <f>IF($F499="","",IFERROR(VLOOKUP($F499,SERVIÇOS!$B:$G,3,0),IFERROR(VLOOKUP($F499,'COMPOSIÇÕES COMPLEMENTARES '!$D:$L,3,0),IFERROR(VLOOKUP($F499,INSUMOS!$A:$D,3,0),""))))</f>
        <v>UN</v>
      </c>
      <c r="I499" s="313">
        <v>4</v>
      </c>
      <c r="J499" s="314">
        <f>IF($F499="","",IFERROR(VLOOKUP($F499,SERVIÇOS!$B:$G,4,0),IFERROR(VLOOKUP($F499,'COMPOSIÇÕES COMPLEMENTARES '!$D:$L,6,0),IFERROR(VLOOKUP($F499,INSUMOS!$A:$D,4,0),""))))</f>
        <v>87.24</v>
      </c>
      <c r="K499" s="314">
        <f>IF($F499="","",IFERROR(VLOOKUP($F499,SERVIÇOS!$B:$G,5,0),IFERROR(VLOOKUP($F499,'COMPOSIÇÕES COMPLEMENTARES '!$D:$L,7,0),0)))</f>
        <v>43.89</v>
      </c>
      <c r="L499" s="314">
        <f t="shared" si="264"/>
        <v>131.13</v>
      </c>
      <c r="M499" s="314">
        <f t="shared" si="265"/>
        <v>348.96</v>
      </c>
      <c r="N499" s="314">
        <f t="shared" si="266"/>
        <v>175.56</v>
      </c>
      <c r="O499" s="314">
        <f t="shared" si="267"/>
        <v>524.52</v>
      </c>
      <c r="P499" s="314"/>
      <c r="Q499" s="315"/>
      <c r="R499" s="315"/>
      <c r="S499" s="286"/>
      <c r="T499" s="287"/>
      <c r="U499" s="288" t="str">
        <f t="shared" si="240"/>
        <v/>
      </c>
      <c r="V499" s="287"/>
      <c r="W499" s="289" t="str">
        <f t="shared" si="241"/>
        <v/>
      </c>
      <c r="X499" s="287"/>
      <c r="Y499" s="290" t="str">
        <f t="shared" si="242"/>
        <v/>
      </c>
      <c r="Z499" s="291">
        <f ca="1">SUMIF($T$8:Y$1018,"QUANT.",T499:Y499)</f>
        <v>0</v>
      </c>
      <c r="AA499" s="292">
        <f t="shared" ca="1" si="243"/>
        <v>0</v>
      </c>
      <c r="AB499" s="293" t="str">
        <f t="shared" ca="1" si="244"/>
        <v>MEDIR</v>
      </c>
      <c r="AC499" s="294">
        <f t="shared" ca="1" si="245"/>
        <v>4</v>
      </c>
      <c r="AD499" s="294">
        <f t="shared" ca="1" si="246"/>
        <v>524.52</v>
      </c>
      <c r="AE499" s="295"/>
      <c r="AF499" s="295"/>
      <c r="AG499" s="296"/>
      <c r="AH499" s="296"/>
      <c r="AI499" s="296"/>
      <c r="AJ499" s="326"/>
      <c r="AK499" s="326"/>
      <c r="AL499" s="326"/>
      <c r="AM499" s="326"/>
    </row>
    <row r="500" spans="1:39" ht="25.5" x14ac:dyDescent="0.25">
      <c r="A500" s="232">
        <f t="shared" si="232"/>
        <v>500</v>
      </c>
      <c r="B500" s="232"/>
      <c r="C500" s="307" t="str">
        <f t="shared" si="261"/>
        <v>15.10</v>
      </c>
      <c r="D500" s="308">
        <f t="shared" si="262"/>
        <v>3</v>
      </c>
      <c r="E500" s="309" t="str">
        <f t="shared" si="263"/>
        <v>15.10.3</v>
      </c>
      <c r="F500" s="310" t="s">
        <v>12208</v>
      </c>
      <c r="G500" s="311" t="str">
        <f>IF($F500="","",IFERROR(VLOOKUP($F500,SERVIÇOS!$B:$G,2,0),IFERROR(VLOOKUP($F500,'COMPOSIÇÕES COMPLEMENTARES '!$D:$L,2,0),IFERROR(VLOOKUP($F500,INSUMOS!$A:$D,2,0),""))))</f>
        <v>LUMINÁRIA QUADRADA TIPO PLACA DE LED 30X30 CM DE EMBUTIR, 24W/127V - 1700 LM - 4000K - STH9954Q/40 - BIVOLT - STELLA OU SIMILAR.</v>
      </c>
      <c r="H500" s="312" t="str">
        <f>IF($F500="","",IFERROR(VLOOKUP($F500,SERVIÇOS!$B:$G,3,0),IFERROR(VLOOKUP($F500,'COMPOSIÇÕES COMPLEMENTARES '!$D:$L,3,0),IFERROR(VLOOKUP($F500,INSUMOS!$A:$D,3,0),""))))</f>
        <v>UN</v>
      </c>
      <c r="I500" s="313">
        <v>53</v>
      </c>
      <c r="J500" s="314">
        <f>IF($F500="","",IFERROR(VLOOKUP($F500,SERVIÇOS!$B:$G,4,0),IFERROR(VLOOKUP($F500,'COMPOSIÇÕES COMPLEMENTARES '!$D:$L,6,0),IFERROR(VLOOKUP($F500,INSUMOS!$A:$D,4,0),""))))</f>
        <v>87.24</v>
      </c>
      <c r="K500" s="314">
        <f>IF($F500="","",IFERROR(VLOOKUP($F500,SERVIÇOS!$B:$G,5,0),IFERROR(VLOOKUP($F500,'COMPOSIÇÕES COMPLEMENTARES '!$D:$L,7,0),0)))</f>
        <v>43.89</v>
      </c>
      <c r="L500" s="314">
        <f t="shared" si="264"/>
        <v>131.13</v>
      </c>
      <c r="M500" s="314">
        <f t="shared" si="265"/>
        <v>4623.72</v>
      </c>
      <c r="N500" s="314">
        <f t="shared" si="266"/>
        <v>2326.17</v>
      </c>
      <c r="O500" s="314">
        <f t="shared" si="267"/>
        <v>6949.89</v>
      </c>
      <c r="P500" s="314"/>
      <c r="Q500" s="315"/>
      <c r="R500" s="315"/>
      <c r="S500" s="286"/>
      <c r="T500" s="287"/>
      <c r="U500" s="288" t="str">
        <f t="shared" si="240"/>
        <v/>
      </c>
      <c r="V500" s="287"/>
      <c r="W500" s="289" t="str">
        <f t="shared" si="241"/>
        <v/>
      </c>
      <c r="X500" s="287"/>
      <c r="Y500" s="290" t="str">
        <f t="shared" si="242"/>
        <v/>
      </c>
      <c r="Z500" s="291">
        <f ca="1">SUMIF($T$8:Y$1018,"QUANT.",T500:Y500)</f>
        <v>0</v>
      </c>
      <c r="AA500" s="292">
        <f t="shared" ca="1" si="243"/>
        <v>0</v>
      </c>
      <c r="AB500" s="293" t="str">
        <f t="shared" ca="1" si="244"/>
        <v>MEDIR</v>
      </c>
      <c r="AC500" s="294">
        <f t="shared" ca="1" si="245"/>
        <v>53</v>
      </c>
      <c r="AD500" s="294">
        <f t="shared" ca="1" si="246"/>
        <v>6949.89</v>
      </c>
      <c r="AE500" s="295"/>
      <c r="AF500" s="295"/>
      <c r="AG500" s="296"/>
      <c r="AH500" s="296"/>
      <c r="AI500" s="296"/>
      <c r="AJ500" s="326"/>
      <c r="AK500" s="326"/>
      <c r="AL500" s="326"/>
      <c r="AM500" s="326"/>
    </row>
    <row r="501" spans="1:39" ht="25.5" x14ac:dyDescent="0.25">
      <c r="A501" s="232">
        <f t="shared" si="232"/>
        <v>501</v>
      </c>
      <c r="B501" s="232"/>
      <c r="C501" s="307" t="str">
        <f t="shared" si="261"/>
        <v>15.10</v>
      </c>
      <c r="D501" s="308">
        <f t="shared" si="262"/>
        <v>4</v>
      </c>
      <c r="E501" s="309" t="str">
        <f t="shared" si="263"/>
        <v>15.10.4</v>
      </c>
      <c r="F501" s="310">
        <v>91997</v>
      </c>
      <c r="G501" s="311" t="str">
        <f>IF($F501="","",IFERROR(VLOOKUP($F501,SERVIÇOS!$B:$G,2,0),IFERROR(VLOOKUP($F501,'COMPOSIÇÕES COMPLEMENTARES '!$D:$L,2,0),IFERROR(VLOOKUP($F501,INSUMOS!$A:$D,2,0),""))))</f>
        <v>TOMADA MÉDIA DE EMBUTIR (1 MÓDULO), 2P+T 20 A, INCLUINDO SUPORTE E PLACA - FORNECIMENTO E INSTALAÇÃO. AF_03/2023</v>
      </c>
      <c r="H501" s="312" t="str">
        <f>IF($F501="","",IFERROR(VLOOKUP($F501,SERVIÇOS!$B:$G,3,0),IFERROR(VLOOKUP($F501,'COMPOSIÇÕES COMPLEMENTARES '!$D:$L,3,0),IFERROR(VLOOKUP($F501,INSUMOS!$A:$D,3,0),""))))</f>
        <v>UN</v>
      </c>
      <c r="I501" s="313">
        <v>6</v>
      </c>
      <c r="J501" s="314">
        <f>IF($F501="","",IFERROR(VLOOKUP($F501,SERVIÇOS!$B:$G,4,0),IFERROR(VLOOKUP($F501,'COMPOSIÇÕES COMPLEMENTARES '!$D:$L,6,0),IFERROR(VLOOKUP($F501,INSUMOS!$A:$D,4,0),""))))</f>
        <v>24.26</v>
      </c>
      <c r="K501" s="314">
        <f>IF($F501="","",IFERROR(VLOOKUP($F501,SERVIÇOS!$B:$G,5,0),IFERROR(VLOOKUP($F501,'COMPOSIÇÕES COMPLEMENTARES '!$D:$L,7,0),0)))</f>
        <v>22.03</v>
      </c>
      <c r="L501" s="314">
        <f t="shared" si="264"/>
        <v>46.290000000000006</v>
      </c>
      <c r="M501" s="314">
        <f t="shared" si="265"/>
        <v>145.56</v>
      </c>
      <c r="N501" s="314">
        <f t="shared" si="266"/>
        <v>132.18</v>
      </c>
      <c r="O501" s="314">
        <f t="shared" si="267"/>
        <v>277.74</v>
      </c>
      <c r="P501" s="314"/>
      <c r="Q501" s="315"/>
      <c r="R501" s="315"/>
      <c r="S501" s="286"/>
      <c r="T501" s="287"/>
      <c r="U501" s="288" t="str">
        <f t="shared" si="240"/>
        <v/>
      </c>
      <c r="V501" s="287"/>
      <c r="W501" s="289" t="str">
        <f t="shared" si="241"/>
        <v/>
      </c>
      <c r="X501" s="287"/>
      <c r="Y501" s="290" t="str">
        <f t="shared" si="242"/>
        <v/>
      </c>
      <c r="Z501" s="291">
        <f ca="1">SUMIF($T$8:Y$1018,"QUANT.",T501:Y501)</f>
        <v>0</v>
      </c>
      <c r="AA501" s="292">
        <f t="shared" ca="1" si="243"/>
        <v>0</v>
      </c>
      <c r="AB501" s="293" t="str">
        <f t="shared" ca="1" si="244"/>
        <v>MEDIR</v>
      </c>
      <c r="AC501" s="294">
        <f t="shared" ca="1" si="245"/>
        <v>6</v>
      </c>
      <c r="AD501" s="294">
        <f t="shared" ca="1" si="246"/>
        <v>277.74</v>
      </c>
      <c r="AE501" s="295"/>
      <c r="AF501" s="295"/>
      <c r="AG501" s="296"/>
      <c r="AH501" s="296"/>
      <c r="AI501" s="296"/>
      <c r="AJ501" s="326"/>
      <c r="AK501" s="326"/>
      <c r="AL501" s="326"/>
      <c r="AM501" s="326"/>
    </row>
    <row r="502" spans="1:39" ht="25.5" x14ac:dyDescent="0.25">
      <c r="A502" s="232">
        <f t="shared" si="232"/>
        <v>502</v>
      </c>
      <c r="B502" s="232"/>
      <c r="C502" s="307" t="str">
        <f t="shared" si="261"/>
        <v>15.10</v>
      </c>
      <c r="D502" s="308">
        <f t="shared" si="262"/>
        <v>5</v>
      </c>
      <c r="E502" s="309" t="str">
        <f t="shared" si="263"/>
        <v>15.10.5</v>
      </c>
      <c r="F502" s="310" t="s">
        <v>12209</v>
      </c>
      <c r="G502" s="311" t="str">
        <f>IF($F502="","",IFERROR(VLOOKUP($F502,SERVIÇOS!$B:$G,2,0),IFERROR(VLOOKUP($F502,'COMPOSIÇÕES COMPLEMENTARES '!$D:$L,2,0),IFERROR(VLOOKUP($F502,INSUMOS!$A:$D,2,0),""))))</f>
        <v>ARANDELA LUMIDEC REF. EX02S EM ALUM. EXTRUDADO, PINTURA MICROTEX. BRANCA, COM LÂMPADA LED DE BULBO 9W SOQUETE E27, INSTALADA A 2,10M DO PISO.</v>
      </c>
      <c r="H502" s="312" t="str">
        <f>IF($F502="","",IFERROR(VLOOKUP($F502,SERVIÇOS!$B:$G,3,0),IFERROR(VLOOKUP($F502,'COMPOSIÇÕES COMPLEMENTARES '!$D:$L,3,0),IFERROR(VLOOKUP($F502,INSUMOS!$A:$D,3,0),""))))</f>
        <v>UN</v>
      </c>
      <c r="I502" s="313">
        <v>6</v>
      </c>
      <c r="J502" s="314">
        <f>IF($F502="","",IFERROR(VLOOKUP($F502,SERVIÇOS!$B:$G,4,0),IFERROR(VLOOKUP($F502,'COMPOSIÇÕES COMPLEMENTARES '!$D:$L,6,0),IFERROR(VLOOKUP($F502,INSUMOS!$A:$D,4,0),""))))</f>
        <v>157.22999999999999</v>
      </c>
      <c r="K502" s="314">
        <f>IF($F502="","",IFERROR(VLOOKUP($F502,SERVIÇOS!$B:$G,5,0),IFERROR(VLOOKUP($F502,'COMPOSIÇÕES COMPLEMENTARES '!$D:$L,7,0),0)))</f>
        <v>43.89</v>
      </c>
      <c r="L502" s="314">
        <f t="shared" si="264"/>
        <v>201.12</v>
      </c>
      <c r="M502" s="314">
        <f t="shared" si="265"/>
        <v>943.38</v>
      </c>
      <c r="N502" s="314">
        <f t="shared" si="266"/>
        <v>263.33999999999997</v>
      </c>
      <c r="O502" s="314">
        <f t="shared" si="267"/>
        <v>1206.72</v>
      </c>
      <c r="P502" s="314"/>
      <c r="Q502" s="315"/>
      <c r="R502" s="315"/>
      <c r="S502" s="286"/>
      <c r="T502" s="287"/>
      <c r="U502" s="288" t="str">
        <f t="shared" si="240"/>
        <v/>
      </c>
      <c r="V502" s="287"/>
      <c r="W502" s="289" t="str">
        <f t="shared" si="241"/>
        <v/>
      </c>
      <c r="X502" s="287"/>
      <c r="Y502" s="290" t="str">
        <f t="shared" si="242"/>
        <v/>
      </c>
      <c r="Z502" s="291">
        <f ca="1">SUMIF($T$8:Y$1018,"QUANT.",T502:Y502)</f>
        <v>0</v>
      </c>
      <c r="AA502" s="292">
        <f t="shared" ca="1" si="243"/>
        <v>0</v>
      </c>
      <c r="AB502" s="293" t="str">
        <f t="shared" ca="1" si="244"/>
        <v>MEDIR</v>
      </c>
      <c r="AC502" s="294">
        <f t="shared" ca="1" si="245"/>
        <v>6</v>
      </c>
      <c r="AD502" s="294">
        <f t="shared" ca="1" si="246"/>
        <v>1206.72</v>
      </c>
      <c r="AE502" s="295"/>
      <c r="AF502" s="295"/>
      <c r="AG502" s="296"/>
      <c r="AH502" s="296"/>
      <c r="AI502" s="296"/>
      <c r="AJ502" s="326"/>
      <c r="AK502" s="326"/>
      <c r="AL502" s="326"/>
      <c r="AM502" s="326"/>
    </row>
    <row r="503" spans="1:39" ht="25.5" x14ac:dyDescent="0.25">
      <c r="A503" s="232">
        <f t="shared" si="232"/>
        <v>503</v>
      </c>
      <c r="B503" s="232"/>
      <c r="C503" s="307" t="str">
        <f t="shared" si="261"/>
        <v>15.10</v>
      </c>
      <c r="D503" s="308">
        <f t="shared" si="262"/>
        <v>6</v>
      </c>
      <c r="E503" s="309" t="str">
        <f t="shared" si="263"/>
        <v>15.10.6</v>
      </c>
      <c r="F503" s="310" t="s">
        <v>12210</v>
      </c>
      <c r="G503" s="311" t="str">
        <f>IF($F503="","",IFERROR(VLOOKUP($F503,SERVIÇOS!$B:$G,2,0),IFERROR(VLOOKUP($F503,'COMPOSIÇÕES COMPLEMENTARES '!$D:$L,2,0),IFERROR(VLOOKUP($F503,INSUMOS!$A:$D,2,0),""))))</f>
        <v>PROJETOR PARA LÂMPADA ELETRÔNICA LED 50W/220V, PARA ILUMINAÇÃO EXTERNA COM RELÉ FOTIMER(FOTOELETRICO + TEMPORIZADO).</v>
      </c>
      <c r="H503" s="312" t="str">
        <f>IF($F503="","",IFERROR(VLOOKUP($F503,SERVIÇOS!$B:$G,3,0),IFERROR(VLOOKUP($F503,'COMPOSIÇÕES COMPLEMENTARES '!$D:$L,3,0),IFERROR(VLOOKUP($F503,INSUMOS!$A:$D,3,0),""))))</f>
        <v>UN</v>
      </c>
      <c r="I503" s="313">
        <v>6</v>
      </c>
      <c r="J503" s="314">
        <f>IF($F503="","",IFERROR(VLOOKUP($F503,SERVIÇOS!$B:$G,4,0),IFERROR(VLOOKUP($F503,'COMPOSIÇÕES COMPLEMENTARES '!$D:$L,6,0),IFERROR(VLOOKUP($F503,INSUMOS!$A:$D,4,0),""))))</f>
        <v>138.43</v>
      </c>
      <c r="K503" s="314">
        <f>IF($F503="","",IFERROR(VLOOKUP($F503,SERVIÇOS!$B:$G,5,0),IFERROR(VLOOKUP($F503,'COMPOSIÇÕES COMPLEMENTARES '!$D:$L,7,0),0)))</f>
        <v>17.5</v>
      </c>
      <c r="L503" s="314">
        <f t="shared" si="264"/>
        <v>155.93</v>
      </c>
      <c r="M503" s="314">
        <f t="shared" si="265"/>
        <v>830.58</v>
      </c>
      <c r="N503" s="314">
        <f t="shared" si="266"/>
        <v>105</v>
      </c>
      <c r="O503" s="314">
        <f t="shared" si="267"/>
        <v>935.58</v>
      </c>
      <c r="P503" s="314"/>
      <c r="Q503" s="315"/>
      <c r="R503" s="315"/>
      <c r="S503" s="286"/>
      <c r="T503" s="287"/>
      <c r="U503" s="288" t="str">
        <f t="shared" si="240"/>
        <v/>
      </c>
      <c r="V503" s="287"/>
      <c r="W503" s="289" t="str">
        <f t="shared" si="241"/>
        <v/>
      </c>
      <c r="X503" s="287"/>
      <c r="Y503" s="290" t="str">
        <f t="shared" si="242"/>
        <v/>
      </c>
      <c r="Z503" s="291">
        <f ca="1">SUMIF($T$8:Y$1018,"QUANT.",T503:Y503)</f>
        <v>0</v>
      </c>
      <c r="AA503" s="292">
        <f t="shared" ca="1" si="243"/>
        <v>0</v>
      </c>
      <c r="AB503" s="293" t="str">
        <f t="shared" ca="1" si="244"/>
        <v>MEDIR</v>
      </c>
      <c r="AC503" s="294">
        <f t="shared" ca="1" si="245"/>
        <v>6</v>
      </c>
      <c r="AD503" s="294">
        <f t="shared" ca="1" si="246"/>
        <v>935.58</v>
      </c>
      <c r="AE503" s="295"/>
      <c r="AF503" s="295"/>
      <c r="AG503" s="296"/>
      <c r="AH503" s="296"/>
      <c r="AI503" s="296"/>
      <c r="AJ503" s="326"/>
      <c r="AK503" s="326"/>
      <c r="AL503" s="326"/>
      <c r="AM503" s="326"/>
    </row>
    <row r="504" spans="1:39" ht="25.5" x14ac:dyDescent="0.25">
      <c r="A504" s="232">
        <f t="shared" si="232"/>
        <v>504</v>
      </c>
      <c r="B504" s="232"/>
      <c r="C504" s="307" t="str">
        <f t="shared" si="261"/>
        <v>15.10</v>
      </c>
      <c r="D504" s="308">
        <f t="shared" si="262"/>
        <v>7</v>
      </c>
      <c r="E504" s="309" t="str">
        <f t="shared" si="263"/>
        <v>15.10.7</v>
      </c>
      <c r="F504" s="310">
        <v>91973</v>
      </c>
      <c r="G504" s="311" t="str">
        <f>IF($F504="","",IFERROR(VLOOKUP($F504,SERVIÇOS!$B:$G,2,0),IFERROR(VLOOKUP($F504,'COMPOSIÇÕES COMPLEMENTARES '!$D:$L,2,0),IFERROR(VLOOKUP($F504,INSUMOS!$A:$D,2,0),""))))</f>
        <v>INTERRUPTOR SIMPLES (2 MÓDULOS) COM INTERRUPTOR PARALELO (2 MÓDULOS), 10A/250V, INCLUINDO SUPORTE E PLACA - FORNECIMENTO E INSTALAÇÃO. AF_03/2023</v>
      </c>
      <c r="H504" s="312" t="str">
        <f>IF($F504="","",IFERROR(VLOOKUP($F504,SERVIÇOS!$B:$G,3,0),IFERROR(VLOOKUP($F504,'COMPOSIÇÕES COMPLEMENTARES '!$D:$L,3,0),IFERROR(VLOOKUP($F504,INSUMOS!$A:$D,3,0),""))))</f>
        <v>UN</v>
      </c>
      <c r="I504" s="313">
        <v>1</v>
      </c>
      <c r="J504" s="314">
        <f>IF($F504="","",IFERROR(VLOOKUP($F504,SERVIÇOS!$B:$G,4,0),IFERROR(VLOOKUP($F504,'COMPOSIÇÕES COMPLEMENTARES '!$D:$L,6,0),IFERROR(VLOOKUP($F504,INSUMOS!$A:$D,4,0),""))))</f>
        <v>64.260000000000005</v>
      </c>
      <c r="K504" s="314">
        <f>IF($F504="","",IFERROR(VLOOKUP($F504,SERVIÇOS!$B:$G,5,0),IFERROR(VLOOKUP($F504,'COMPOSIÇÕES COMPLEMENTARES '!$D:$L,7,0),0)))</f>
        <v>52.93</v>
      </c>
      <c r="L504" s="314">
        <f t="shared" si="264"/>
        <v>117.19</v>
      </c>
      <c r="M504" s="314">
        <f t="shared" si="265"/>
        <v>64.260000000000005</v>
      </c>
      <c r="N504" s="314">
        <f t="shared" si="266"/>
        <v>52.93</v>
      </c>
      <c r="O504" s="314">
        <f t="shared" si="267"/>
        <v>117.19</v>
      </c>
      <c r="P504" s="314"/>
      <c r="Q504" s="315"/>
      <c r="R504" s="315"/>
      <c r="S504" s="286"/>
      <c r="T504" s="287"/>
      <c r="U504" s="288" t="str">
        <f t="shared" si="240"/>
        <v/>
      </c>
      <c r="V504" s="287"/>
      <c r="W504" s="289" t="str">
        <f t="shared" si="241"/>
        <v/>
      </c>
      <c r="X504" s="287"/>
      <c r="Y504" s="290" t="str">
        <f t="shared" si="242"/>
        <v/>
      </c>
      <c r="Z504" s="291">
        <f ca="1">SUMIF($T$8:Y$1018,"QUANT.",T504:Y504)</f>
        <v>0</v>
      </c>
      <c r="AA504" s="292">
        <f t="shared" ca="1" si="243"/>
        <v>0</v>
      </c>
      <c r="AB504" s="293" t="str">
        <f t="shared" ca="1" si="244"/>
        <v>MEDIR</v>
      </c>
      <c r="AC504" s="294">
        <f t="shared" ca="1" si="245"/>
        <v>1</v>
      </c>
      <c r="AD504" s="294">
        <f t="shared" ca="1" si="246"/>
        <v>117.19</v>
      </c>
      <c r="AE504" s="295"/>
      <c r="AF504" s="295"/>
      <c r="AG504" s="296"/>
      <c r="AH504" s="296"/>
      <c r="AI504" s="296"/>
      <c r="AJ504" s="326"/>
      <c r="AK504" s="326"/>
      <c r="AL504" s="326"/>
      <c r="AM504" s="326"/>
    </row>
    <row r="505" spans="1:39" ht="25.5" x14ac:dyDescent="0.25">
      <c r="A505" s="232">
        <f t="shared" si="232"/>
        <v>505</v>
      </c>
      <c r="B505" s="232"/>
      <c r="C505" s="307" t="str">
        <f t="shared" si="261"/>
        <v>15.10</v>
      </c>
      <c r="D505" s="308">
        <f t="shared" si="262"/>
        <v>8</v>
      </c>
      <c r="E505" s="309" t="str">
        <f t="shared" si="263"/>
        <v>15.10.8</v>
      </c>
      <c r="F505" s="310">
        <v>91957</v>
      </c>
      <c r="G505" s="311" t="str">
        <f>IF($F505="","",IFERROR(VLOOKUP($F505,SERVIÇOS!$B:$G,2,0),IFERROR(VLOOKUP($F505,'COMPOSIÇÕES COMPLEMENTARES '!$D:$L,2,0),IFERROR(VLOOKUP($F505,INSUMOS!$A:$D,2,0),""))))</f>
        <v>INTERRUPTOR SIMPLES (1 MÓDULO) COM INTERRUPTOR PARALELO (1 MÓDULO), 10A/250V, INCLUINDO SUPORTE E PLACA - FORNECIMENTO E INSTALAÇÃO. AF_03/2023</v>
      </c>
      <c r="H505" s="312" t="str">
        <f>IF($F505="","",IFERROR(VLOOKUP($F505,SERVIÇOS!$B:$G,3,0),IFERROR(VLOOKUP($F505,'COMPOSIÇÕES COMPLEMENTARES '!$D:$L,3,0),IFERROR(VLOOKUP($F505,INSUMOS!$A:$D,3,0),""))))</f>
        <v>UN</v>
      </c>
      <c r="I505" s="313">
        <v>1</v>
      </c>
      <c r="J505" s="314">
        <f>IF($F505="","",IFERROR(VLOOKUP($F505,SERVIÇOS!$B:$G,4,0),IFERROR(VLOOKUP($F505,'COMPOSIÇÕES COMPLEMENTARES '!$D:$L,6,0),IFERROR(VLOOKUP($F505,INSUMOS!$A:$D,4,0),""))))</f>
        <v>33.85</v>
      </c>
      <c r="K505" s="314">
        <f>IF($F505="","",IFERROR(VLOOKUP($F505,SERVIÇOS!$B:$G,5,0),IFERROR(VLOOKUP($F505,'COMPOSIÇÕES COMPLEMENTARES '!$D:$L,7,0),0)))</f>
        <v>30.4</v>
      </c>
      <c r="L505" s="314">
        <f t="shared" si="264"/>
        <v>64.25</v>
      </c>
      <c r="M505" s="314">
        <f t="shared" si="265"/>
        <v>33.85</v>
      </c>
      <c r="N505" s="314">
        <f t="shared" si="266"/>
        <v>30.4</v>
      </c>
      <c r="O505" s="314">
        <f t="shared" si="267"/>
        <v>64.25</v>
      </c>
      <c r="P505" s="314"/>
      <c r="Q505" s="315"/>
      <c r="R505" s="315"/>
      <c r="S505" s="286"/>
      <c r="T505" s="287"/>
      <c r="U505" s="288" t="str">
        <f t="shared" si="240"/>
        <v/>
      </c>
      <c r="V505" s="287"/>
      <c r="W505" s="289" t="str">
        <f t="shared" si="241"/>
        <v/>
      </c>
      <c r="X505" s="287"/>
      <c r="Y505" s="290" t="str">
        <f t="shared" si="242"/>
        <v/>
      </c>
      <c r="Z505" s="291">
        <f ca="1">SUMIF($T$8:Y$1018,"QUANT.",T505:Y505)</f>
        <v>0</v>
      </c>
      <c r="AA505" s="292">
        <f t="shared" ca="1" si="243"/>
        <v>0</v>
      </c>
      <c r="AB505" s="293" t="str">
        <f t="shared" ca="1" si="244"/>
        <v>MEDIR</v>
      </c>
      <c r="AC505" s="294">
        <f t="shared" ca="1" si="245"/>
        <v>1</v>
      </c>
      <c r="AD505" s="294">
        <f t="shared" ca="1" si="246"/>
        <v>64.25</v>
      </c>
      <c r="AE505" s="295"/>
      <c r="AF505" s="295"/>
      <c r="AG505" s="296"/>
      <c r="AH505" s="296"/>
      <c r="AI505" s="296"/>
      <c r="AJ505" s="326"/>
      <c r="AK505" s="326"/>
      <c r="AL505" s="326"/>
      <c r="AM505" s="326"/>
    </row>
    <row r="506" spans="1:39" ht="25.5" x14ac:dyDescent="0.25">
      <c r="A506" s="232">
        <f t="shared" si="232"/>
        <v>506</v>
      </c>
      <c r="B506" s="232"/>
      <c r="C506" s="307" t="str">
        <f t="shared" si="261"/>
        <v>15.10</v>
      </c>
      <c r="D506" s="308">
        <f t="shared" si="262"/>
        <v>9</v>
      </c>
      <c r="E506" s="309" t="str">
        <f t="shared" si="263"/>
        <v>15.10.9</v>
      </c>
      <c r="F506" s="310">
        <v>91955</v>
      </c>
      <c r="G506" s="311" t="str">
        <f>IF($F506="","",IFERROR(VLOOKUP($F506,SERVIÇOS!$B:$G,2,0),IFERROR(VLOOKUP($F506,'COMPOSIÇÕES COMPLEMENTARES '!$D:$L,2,0),IFERROR(VLOOKUP($F506,INSUMOS!$A:$D,2,0),""))))</f>
        <v>INTERRUPTOR PARALELO (1 MÓDULO), 10A/250V, INCLUINDO SUPORTE E PLACA - FORNECIMENTO E INSTALAÇÃO. AF_03/2023</v>
      </c>
      <c r="H506" s="312" t="str">
        <f>IF($F506="","",IFERROR(VLOOKUP($F506,SERVIÇOS!$B:$G,3,0),IFERROR(VLOOKUP($F506,'COMPOSIÇÕES COMPLEMENTARES '!$D:$L,3,0),IFERROR(VLOOKUP($F506,INSUMOS!$A:$D,3,0),""))))</f>
        <v>UN</v>
      </c>
      <c r="I506" s="313">
        <v>1</v>
      </c>
      <c r="J506" s="314">
        <f>IF($F506="","",IFERROR(VLOOKUP($F506,SERVIÇOS!$B:$G,4,0),IFERROR(VLOOKUP($F506,'COMPOSIÇÕES COMPLEMENTARES '!$D:$L,6,0),IFERROR(VLOOKUP($F506,INSUMOS!$A:$D,4,0),""))))</f>
        <v>23.08</v>
      </c>
      <c r="K506" s="314">
        <f>IF($F506="","",IFERROR(VLOOKUP($F506,SERVIÇOS!$B:$G,5,0),IFERROR(VLOOKUP($F506,'COMPOSIÇÕES COMPLEMENTARES '!$D:$L,7,0),0)))</f>
        <v>22.04</v>
      </c>
      <c r="L506" s="314">
        <f t="shared" si="264"/>
        <v>45.12</v>
      </c>
      <c r="M506" s="314">
        <f t="shared" si="265"/>
        <v>23.08</v>
      </c>
      <c r="N506" s="314">
        <f t="shared" si="266"/>
        <v>22.04</v>
      </c>
      <c r="O506" s="314">
        <f t="shared" si="267"/>
        <v>45.12</v>
      </c>
      <c r="P506" s="314"/>
      <c r="Q506" s="315"/>
      <c r="R506" s="315"/>
      <c r="S506" s="286"/>
      <c r="T506" s="287"/>
      <c r="U506" s="288" t="str">
        <f t="shared" si="240"/>
        <v/>
      </c>
      <c r="V506" s="287"/>
      <c r="W506" s="289" t="str">
        <f t="shared" si="241"/>
        <v/>
      </c>
      <c r="X506" s="287"/>
      <c r="Y506" s="290" t="str">
        <f t="shared" si="242"/>
        <v/>
      </c>
      <c r="Z506" s="291">
        <f ca="1">SUMIF($T$8:Y$1018,"QUANT.",T506:Y506)</f>
        <v>0</v>
      </c>
      <c r="AA506" s="292">
        <f t="shared" ca="1" si="243"/>
        <v>0</v>
      </c>
      <c r="AB506" s="293" t="str">
        <f t="shared" ca="1" si="244"/>
        <v>MEDIR</v>
      </c>
      <c r="AC506" s="294">
        <f t="shared" ca="1" si="245"/>
        <v>1</v>
      </c>
      <c r="AD506" s="294">
        <f t="shared" ca="1" si="246"/>
        <v>45.12</v>
      </c>
      <c r="AE506" s="295"/>
      <c r="AF506" s="295"/>
      <c r="AG506" s="296"/>
      <c r="AH506" s="296"/>
      <c r="AI506" s="296"/>
      <c r="AJ506" s="326"/>
      <c r="AK506" s="326"/>
      <c r="AL506" s="326"/>
      <c r="AM506" s="326"/>
    </row>
    <row r="507" spans="1:39" ht="25.5" x14ac:dyDescent="0.25">
      <c r="A507" s="232">
        <f t="shared" si="232"/>
        <v>507</v>
      </c>
      <c r="B507" s="232"/>
      <c r="C507" s="307" t="str">
        <f t="shared" si="261"/>
        <v>15.10</v>
      </c>
      <c r="D507" s="308">
        <f t="shared" si="262"/>
        <v>10</v>
      </c>
      <c r="E507" s="309" t="str">
        <f t="shared" si="263"/>
        <v>15.10.10</v>
      </c>
      <c r="F507" s="310">
        <v>91967</v>
      </c>
      <c r="G507" s="311" t="str">
        <f>IF($F507="","",IFERROR(VLOOKUP($F507,SERVIÇOS!$B:$G,2,0),IFERROR(VLOOKUP($F507,'COMPOSIÇÕES COMPLEMENTARES '!$D:$L,2,0),IFERROR(VLOOKUP($F507,INSUMOS!$A:$D,2,0),""))))</f>
        <v>INTERRUPTOR SIMPLES (3 MÓDULOS), 10A/250V, INCLUINDO SUPORTE E PLACA - FORNECIMENTO E INSTALAÇÃO. AF_03/2023</v>
      </c>
      <c r="H507" s="312" t="str">
        <f>IF($F507="","",IFERROR(VLOOKUP($F507,SERVIÇOS!$B:$G,3,0),IFERROR(VLOOKUP($F507,'COMPOSIÇÕES COMPLEMENTARES '!$D:$L,3,0),IFERROR(VLOOKUP($F507,INSUMOS!$A:$D,3,0),""))))</f>
        <v>UN</v>
      </c>
      <c r="I507" s="313">
        <v>2</v>
      </c>
      <c r="J507" s="314">
        <f>IF($F507="","",IFERROR(VLOOKUP($F507,SERVIÇOS!$B:$G,4,0),IFERROR(VLOOKUP($F507,'COMPOSIÇÕES COMPLEMENTARES '!$D:$L,6,0),IFERROR(VLOOKUP($F507,INSUMOS!$A:$D,4,0),""))))</f>
        <v>40.75</v>
      </c>
      <c r="K507" s="314">
        <f>IF($F507="","",IFERROR(VLOOKUP($F507,SERVIÇOS!$B:$G,5,0),IFERROR(VLOOKUP($F507,'COMPOSIÇÕES COMPLEMENTARES '!$D:$L,7,0),0)))</f>
        <v>34.67</v>
      </c>
      <c r="L507" s="314">
        <f t="shared" si="264"/>
        <v>75.42</v>
      </c>
      <c r="M507" s="314">
        <f t="shared" si="265"/>
        <v>81.5</v>
      </c>
      <c r="N507" s="314">
        <f t="shared" si="266"/>
        <v>69.34</v>
      </c>
      <c r="O507" s="314">
        <f t="shared" si="267"/>
        <v>150.84</v>
      </c>
      <c r="P507" s="314"/>
      <c r="Q507" s="315"/>
      <c r="R507" s="315"/>
      <c r="S507" s="286"/>
      <c r="T507" s="287"/>
      <c r="U507" s="288" t="str">
        <f t="shared" si="240"/>
        <v/>
      </c>
      <c r="V507" s="287"/>
      <c r="W507" s="289" t="str">
        <f t="shared" si="241"/>
        <v/>
      </c>
      <c r="X507" s="287"/>
      <c r="Y507" s="290" t="str">
        <f t="shared" si="242"/>
        <v/>
      </c>
      <c r="Z507" s="291">
        <f ca="1">SUMIF($T$8:Y$1018,"QUANT.",T507:Y507)</f>
        <v>0</v>
      </c>
      <c r="AA507" s="292">
        <f t="shared" ca="1" si="243"/>
        <v>0</v>
      </c>
      <c r="AB507" s="293" t="str">
        <f t="shared" ca="1" si="244"/>
        <v>MEDIR</v>
      </c>
      <c r="AC507" s="294">
        <f t="shared" ca="1" si="245"/>
        <v>2</v>
      </c>
      <c r="AD507" s="294">
        <f t="shared" ca="1" si="246"/>
        <v>150.84</v>
      </c>
      <c r="AE507" s="295"/>
      <c r="AF507" s="295"/>
      <c r="AG507" s="296"/>
      <c r="AH507" s="296"/>
      <c r="AI507" s="296"/>
      <c r="AJ507" s="326"/>
      <c r="AK507" s="326"/>
      <c r="AL507" s="326"/>
      <c r="AM507" s="326"/>
    </row>
    <row r="508" spans="1:39" ht="25.5" x14ac:dyDescent="0.25">
      <c r="A508" s="232">
        <f t="shared" si="232"/>
        <v>508</v>
      </c>
      <c r="B508" s="232"/>
      <c r="C508" s="307" t="str">
        <f t="shared" si="261"/>
        <v>15.10</v>
      </c>
      <c r="D508" s="308">
        <f t="shared" si="262"/>
        <v>11</v>
      </c>
      <c r="E508" s="309" t="str">
        <f t="shared" si="263"/>
        <v>15.10.11</v>
      </c>
      <c r="F508" s="310">
        <v>91959</v>
      </c>
      <c r="G508" s="311" t="str">
        <f>IF($F508="","",IFERROR(VLOOKUP($F508,SERVIÇOS!$B:$G,2,0),IFERROR(VLOOKUP($F508,'COMPOSIÇÕES COMPLEMENTARES '!$D:$L,2,0),IFERROR(VLOOKUP($F508,INSUMOS!$A:$D,2,0),""))))</f>
        <v>INTERRUPTOR SIMPLES (2 MÓDULOS), 10A/250V, INCLUINDO SUPORTE E PLACA - FORNECIMENTO E INSTALAÇÃO. AF_03/2023</v>
      </c>
      <c r="H508" s="312" t="str">
        <f>IF($F508="","",IFERROR(VLOOKUP($F508,SERVIÇOS!$B:$G,3,0),IFERROR(VLOOKUP($F508,'COMPOSIÇÕES COMPLEMENTARES '!$D:$L,3,0),IFERROR(VLOOKUP($F508,INSUMOS!$A:$D,3,0),""))))</f>
        <v>UN</v>
      </c>
      <c r="I508" s="313">
        <v>2</v>
      </c>
      <c r="J508" s="314">
        <f>IF($F508="","",IFERROR(VLOOKUP($F508,SERVIÇOS!$B:$G,4,0),IFERROR(VLOOKUP($F508,'COMPOSIÇÕES COMPLEMENTARES '!$D:$L,6,0),IFERROR(VLOOKUP($F508,INSUMOS!$A:$D,4,0),""))))</f>
        <v>29.99</v>
      </c>
      <c r="K508" s="314">
        <f>IF($F508="","",IFERROR(VLOOKUP($F508,SERVIÇOS!$B:$G,5,0),IFERROR(VLOOKUP($F508,'COMPOSIÇÕES COMPLEMENTARES '!$D:$L,7,0),0)))</f>
        <v>26.24</v>
      </c>
      <c r="L508" s="314">
        <f t="shared" si="264"/>
        <v>56.23</v>
      </c>
      <c r="M508" s="314">
        <f t="shared" si="265"/>
        <v>59.98</v>
      </c>
      <c r="N508" s="314">
        <f t="shared" si="266"/>
        <v>52.48</v>
      </c>
      <c r="O508" s="314">
        <f t="shared" si="267"/>
        <v>112.46</v>
      </c>
      <c r="P508" s="314"/>
      <c r="Q508" s="315"/>
      <c r="R508" s="315"/>
      <c r="S508" s="286"/>
      <c r="T508" s="287"/>
      <c r="U508" s="288" t="str">
        <f t="shared" si="240"/>
        <v/>
      </c>
      <c r="V508" s="287"/>
      <c r="W508" s="289" t="str">
        <f t="shared" si="241"/>
        <v/>
      </c>
      <c r="X508" s="287"/>
      <c r="Y508" s="290" t="str">
        <f t="shared" si="242"/>
        <v/>
      </c>
      <c r="Z508" s="291">
        <f ca="1">SUMIF($T$8:Y$1018,"QUANT.",T508:Y508)</f>
        <v>0</v>
      </c>
      <c r="AA508" s="292">
        <f t="shared" ca="1" si="243"/>
        <v>0</v>
      </c>
      <c r="AB508" s="293" t="str">
        <f t="shared" ca="1" si="244"/>
        <v>MEDIR</v>
      </c>
      <c r="AC508" s="294">
        <f t="shared" ca="1" si="245"/>
        <v>2</v>
      </c>
      <c r="AD508" s="294">
        <f t="shared" ca="1" si="246"/>
        <v>112.46</v>
      </c>
      <c r="AE508" s="295"/>
      <c r="AF508" s="295"/>
      <c r="AG508" s="296"/>
      <c r="AH508" s="296"/>
      <c r="AI508" s="296"/>
      <c r="AJ508" s="326"/>
      <c r="AK508" s="326"/>
      <c r="AL508" s="326"/>
      <c r="AM508" s="326"/>
    </row>
    <row r="509" spans="1:39" ht="25.5" x14ac:dyDescent="0.25">
      <c r="A509" s="232">
        <f t="shared" si="232"/>
        <v>509</v>
      </c>
      <c r="B509" s="232"/>
      <c r="C509" s="307" t="str">
        <f t="shared" si="261"/>
        <v>15.10</v>
      </c>
      <c r="D509" s="308">
        <f t="shared" si="262"/>
        <v>12</v>
      </c>
      <c r="E509" s="309" t="str">
        <f t="shared" si="263"/>
        <v>15.10.12</v>
      </c>
      <c r="F509" s="310">
        <v>91953</v>
      </c>
      <c r="G509" s="311" t="str">
        <f>IF($F509="","",IFERROR(VLOOKUP($F509,SERVIÇOS!$B:$G,2,0),IFERROR(VLOOKUP($F509,'COMPOSIÇÕES COMPLEMENTARES '!$D:$L,2,0),IFERROR(VLOOKUP($F509,INSUMOS!$A:$D,2,0),""))))</f>
        <v>INTERRUPTOR SIMPLES (1 MÓDULO), 10A/250V, INCLUINDO SUPORTE E PLACA - FORNECIMENTO E INSTALAÇÃO. AF_03/2023</v>
      </c>
      <c r="H509" s="312" t="str">
        <f>IF($F509="","",IFERROR(VLOOKUP($F509,SERVIÇOS!$B:$G,3,0),IFERROR(VLOOKUP($F509,'COMPOSIÇÕES COMPLEMENTARES '!$D:$L,3,0),IFERROR(VLOOKUP($F509,INSUMOS!$A:$D,3,0),""))))</f>
        <v>UN</v>
      </c>
      <c r="I509" s="313">
        <v>15</v>
      </c>
      <c r="J509" s="314">
        <f>IF($F509="","",IFERROR(VLOOKUP($F509,SERVIÇOS!$B:$G,4,0),IFERROR(VLOOKUP($F509,'COMPOSIÇÕES COMPLEMENTARES '!$D:$L,6,0),IFERROR(VLOOKUP($F509,INSUMOS!$A:$D,4,0),""))))</f>
        <v>19.2</v>
      </c>
      <c r="K509" s="314">
        <f>IF($F509="","",IFERROR(VLOOKUP($F509,SERVIÇOS!$B:$G,5,0),IFERROR(VLOOKUP($F509,'COMPOSIÇÕES COMPLEMENTARES '!$D:$L,7,0),0)))</f>
        <v>17.82</v>
      </c>
      <c r="L509" s="314">
        <f t="shared" si="264"/>
        <v>37.019999999999996</v>
      </c>
      <c r="M509" s="314">
        <f t="shared" si="265"/>
        <v>288</v>
      </c>
      <c r="N509" s="314">
        <f t="shared" si="266"/>
        <v>267.3</v>
      </c>
      <c r="O509" s="314">
        <f t="shared" si="267"/>
        <v>555.29999999999995</v>
      </c>
      <c r="P509" s="314"/>
      <c r="Q509" s="315"/>
      <c r="R509" s="315"/>
      <c r="S509" s="286"/>
      <c r="T509" s="287"/>
      <c r="U509" s="288" t="str">
        <f t="shared" si="240"/>
        <v/>
      </c>
      <c r="V509" s="287"/>
      <c r="W509" s="289" t="str">
        <f t="shared" si="241"/>
        <v/>
      </c>
      <c r="X509" s="287"/>
      <c r="Y509" s="290" t="str">
        <f t="shared" si="242"/>
        <v/>
      </c>
      <c r="Z509" s="291">
        <f ca="1">SUMIF($T$8:Y$1018,"QUANT.",T509:Y509)</f>
        <v>0</v>
      </c>
      <c r="AA509" s="292">
        <f t="shared" ca="1" si="243"/>
        <v>0</v>
      </c>
      <c r="AB509" s="293" t="str">
        <f t="shared" ca="1" si="244"/>
        <v>MEDIR</v>
      </c>
      <c r="AC509" s="294">
        <f t="shared" ca="1" si="245"/>
        <v>15</v>
      </c>
      <c r="AD509" s="294">
        <f t="shared" ca="1" si="246"/>
        <v>555.29999999999995</v>
      </c>
      <c r="AE509" s="295"/>
      <c r="AF509" s="295"/>
      <c r="AG509" s="296"/>
      <c r="AH509" s="296"/>
      <c r="AI509" s="296"/>
      <c r="AJ509" s="326"/>
      <c r="AK509" s="326"/>
      <c r="AL509" s="326"/>
      <c r="AM509" s="326"/>
    </row>
    <row r="510" spans="1:39" x14ac:dyDescent="0.25">
      <c r="A510" s="232">
        <f t="shared" si="232"/>
        <v>510</v>
      </c>
      <c r="B510" s="232"/>
      <c r="C510" s="307" t="str">
        <f t="shared" si="261"/>
        <v>15.10</v>
      </c>
      <c r="D510" s="308">
        <f t="shared" si="262"/>
        <v>13</v>
      </c>
      <c r="E510" s="309" t="str">
        <f t="shared" si="263"/>
        <v>15.10.13</v>
      </c>
      <c r="F510" s="310" t="s">
        <v>12211</v>
      </c>
      <c r="G510" s="311" t="str">
        <f>IF($F510="","",IFERROR(VLOOKUP($F510,SERVIÇOS!$B:$G,2,0),IFERROR(VLOOKUP($F510,'COMPOSIÇÕES COMPLEMENTARES '!$D:$L,2,0),IFERROR(VLOOKUP($F510,INSUMOS!$A:$D,2,0),""))))</f>
        <v>INTERRUPTOR C/ 1 TECLA SIMPLES + TOMADA 20A/220V PADRÃO BRASILEIRO EM CX. 4"X2"</v>
      </c>
      <c r="H510" s="312" t="str">
        <f>IF($F510="","",IFERROR(VLOOKUP($F510,SERVIÇOS!$B:$G,3,0),IFERROR(VLOOKUP($F510,'COMPOSIÇÕES COMPLEMENTARES '!$D:$L,3,0),IFERROR(VLOOKUP($F510,INSUMOS!$A:$D,3,0),""))))</f>
        <v>UN</v>
      </c>
      <c r="I510" s="313">
        <v>4</v>
      </c>
      <c r="J510" s="314">
        <f>IF($F510="","",IFERROR(VLOOKUP($F510,SERVIÇOS!$B:$G,4,0),IFERROR(VLOOKUP($F510,'COMPOSIÇÕES COMPLEMENTARES '!$D:$L,6,0),IFERROR(VLOOKUP($F510,INSUMOS!$A:$D,4,0),""))))</f>
        <v>34.75</v>
      </c>
      <c r="K510" s="314">
        <f>IF($F510="","",IFERROR(VLOOKUP($F510,SERVIÇOS!$B:$G,5,0),IFERROR(VLOOKUP($F510,'COMPOSIÇÕES COMPLEMENTARES '!$D:$L,7,0),0)))</f>
        <v>29.7</v>
      </c>
      <c r="L510" s="314">
        <f t="shared" si="264"/>
        <v>64.45</v>
      </c>
      <c r="M510" s="314">
        <f t="shared" si="265"/>
        <v>139</v>
      </c>
      <c r="N510" s="314">
        <f t="shared" si="266"/>
        <v>118.8</v>
      </c>
      <c r="O510" s="314">
        <f t="shared" si="267"/>
        <v>257.8</v>
      </c>
      <c r="P510" s="314"/>
      <c r="Q510" s="315"/>
      <c r="R510" s="315"/>
      <c r="S510" s="286"/>
      <c r="T510" s="287"/>
      <c r="U510" s="288" t="str">
        <f t="shared" si="240"/>
        <v/>
      </c>
      <c r="V510" s="287"/>
      <c r="W510" s="289" t="str">
        <f t="shared" si="241"/>
        <v/>
      </c>
      <c r="X510" s="287"/>
      <c r="Y510" s="290" t="str">
        <f t="shared" si="242"/>
        <v/>
      </c>
      <c r="Z510" s="291">
        <f ca="1">SUMIF($T$8:Y$1018,"QUANT.",T510:Y510)</f>
        <v>0</v>
      </c>
      <c r="AA510" s="292">
        <f t="shared" ca="1" si="243"/>
        <v>0</v>
      </c>
      <c r="AB510" s="293" t="str">
        <f t="shared" ca="1" si="244"/>
        <v>MEDIR</v>
      </c>
      <c r="AC510" s="294">
        <f t="shared" ca="1" si="245"/>
        <v>4</v>
      </c>
      <c r="AD510" s="294">
        <f t="shared" ca="1" si="246"/>
        <v>257.8</v>
      </c>
      <c r="AE510" s="295"/>
      <c r="AF510" s="295"/>
      <c r="AG510" s="296"/>
      <c r="AH510" s="296"/>
      <c r="AI510" s="296"/>
      <c r="AJ510" s="326"/>
      <c r="AK510" s="326"/>
      <c r="AL510" s="326"/>
      <c r="AM510" s="326"/>
    </row>
    <row r="511" spans="1:39" ht="25.5" x14ac:dyDescent="0.25">
      <c r="A511" s="232">
        <f t="shared" si="232"/>
        <v>511</v>
      </c>
      <c r="B511" s="232"/>
      <c r="C511" s="307" t="str">
        <f t="shared" si="261"/>
        <v>15.10</v>
      </c>
      <c r="D511" s="308">
        <f t="shared" si="262"/>
        <v>14</v>
      </c>
      <c r="E511" s="309" t="str">
        <f t="shared" si="263"/>
        <v>15.10.14</v>
      </c>
      <c r="F511" s="310" t="s">
        <v>12244</v>
      </c>
      <c r="G511" s="311" t="str">
        <f>IF($F511="","",IFERROR(VLOOKUP($F511,SERVIÇOS!$B:$G,2,0),IFERROR(VLOOKUP($F511,'COMPOSIÇÕES COMPLEMENTARES '!$D:$L,2,0),IFERROR(VLOOKUP($F511,INSUMOS!$A:$D,2,0),""))))</f>
        <v>ESTAÇÃO DE CHAMADA DE BANHEIRO SISTEMA ECONÔMICO, EM CX. 4"X2" C/ CORDEL - REFERÊNCIA ESSENCIAL E SUPREMO</v>
      </c>
      <c r="H511" s="312" t="str">
        <f>IF($F511="","",IFERROR(VLOOKUP($F511,SERVIÇOS!$B:$G,3,0),IFERROR(VLOOKUP($F511,'COMPOSIÇÕES COMPLEMENTARES '!$D:$L,3,0),IFERROR(VLOOKUP($F511,INSUMOS!$A:$D,3,0),""))))</f>
        <v>UN</v>
      </c>
      <c r="I511" s="313">
        <v>3</v>
      </c>
      <c r="J511" s="314">
        <f>IF($F511="","",IFERROR(VLOOKUP($F511,SERVIÇOS!$B:$G,4,0),IFERROR(VLOOKUP($F511,'COMPOSIÇÕES COMPLEMENTARES '!$D:$L,6,0),IFERROR(VLOOKUP($F511,INSUMOS!$A:$D,4,0),""))))</f>
        <v>552.95000000000005</v>
      </c>
      <c r="K511" s="314">
        <f>IF($F511="","",IFERROR(VLOOKUP($F511,SERVIÇOS!$B:$G,5,0),IFERROR(VLOOKUP($F511,'COMPOSIÇÕES COMPLEMENTARES '!$D:$L,7,0),0)))</f>
        <v>24.77</v>
      </c>
      <c r="L511" s="314">
        <f t="shared" si="264"/>
        <v>577.72</v>
      </c>
      <c r="M511" s="314">
        <f t="shared" si="265"/>
        <v>1658.85</v>
      </c>
      <c r="N511" s="314">
        <f t="shared" si="266"/>
        <v>74.31</v>
      </c>
      <c r="O511" s="314">
        <f t="shared" si="267"/>
        <v>1733.16</v>
      </c>
      <c r="P511" s="314"/>
      <c r="Q511" s="315"/>
      <c r="R511" s="315"/>
      <c r="S511" s="286"/>
      <c r="T511" s="287"/>
      <c r="U511" s="288" t="str">
        <f t="shared" si="240"/>
        <v/>
      </c>
      <c r="V511" s="287"/>
      <c r="W511" s="289" t="str">
        <f t="shared" si="241"/>
        <v/>
      </c>
      <c r="X511" s="287"/>
      <c r="Y511" s="290" t="str">
        <f t="shared" si="242"/>
        <v/>
      </c>
      <c r="Z511" s="291">
        <f ca="1">SUMIF($T$8:Y$1018,"QUANT.",T511:Y511)</f>
        <v>0</v>
      </c>
      <c r="AA511" s="292">
        <f t="shared" ca="1" si="243"/>
        <v>0</v>
      </c>
      <c r="AB511" s="293" t="str">
        <f t="shared" ca="1" si="244"/>
        <v>MEDIR</v>
      </c>
      <c r="AC511" s="294">
        <f t="shared" ca="1" si="245"/>
        <v>3</v>
      </c>
      <c r="AD511" s="294">
        <f t="shared" ca="1" si="246"/>
        <v>1733.16</v>
      </c>
      <c r="AE511" s="295"/>
      <c r="AF511" s="295"/>
      <c r="AG511" s="296"/>
      <c r="AH511" s="296"/>
      <c r="AI511" s="296"/>
      <c r="AJ511" s="326"/>
      <c r="AK511" s="326"/>
      <c r="AL511" s="326"/>
      <c r="AM511" s="326"/>
    </row>
    <row r="512" spans="1:39" ht="25.5" x14ac:dyDescent="0.25">
      <c r="A512" s="232">
        <f t="shared" si="232"/>
        <v>512</v>
      </c>
      <c r="B512" s="232"/>
      <c r="C512" s="307" t="str">
        <f t="shared" si="261"/>
        <v>15.10</v>
      </c>
      <c r="D512" s="308">
        <f t="shared" si="262"/>
        <v>15</v>
      </c>
      <c r="E512" s="309" t="str">
        <f t="shared" si="263"/>
        <v>15.10.15</v>
      </c>
      <c r="F512" s="310">
        <v>91997</v>
      </c>
      <c r="G512" s="311" t="str">
        <f>IF($F512="","",IFERROR(VLOOKUP($F512,SERVIÇOS!$B:$G,2,0),IFERROR(VLOOKUP($F512,'COMPOSIÇÕES COMPLEMENTARES '!$D:$L,2,0),IFERROR(VLOOKUP($F512,INSUMOS!$A:$D,2,0),""))))</f>
        <v>TOMADA MÉDIA DE EMBUTIR (1 MÓDULO), 2P+T 20 A, INCLUINDO SUPORTE E PLACA - FORNECIMENTO E INSTALAÇÃO. AF_03/2023</v>
      </c>
      <c r="H512" s="312" t="str">
        <f>IF($F512="","",IFERROR(VLOOKUP($F512,SERVIÇOS!$B:$G,3,0),IFERROR(VLOOKUP($F512,'COMPOSIÇÕES COMPLEMENTARES '!$D:$L,3,0),IFERROR(VLOOKUP($F512,INSUMOS!$A:$D,3,0),""))))</f>
        <v>UN</v>
      </c>
      <c r="I512" s="313">
        <v>35</v>
      </c>
      <c r="J512" s="314">
        <f>IF($F512="","",IFERROR(VLOOKUP($F512,SERVIÇOS!$B:$G,4,0),IFERROR(VLOOKUP($F512,'COMPOSIÇÕES COMPLEMENTARES '!$D:$L,6,0),IFERROR(VLOOKUP($F512,INSUMOS!$A:$D,4,0),""))))</f>
        <v>24.26</v>
      </c>
      <c r="K512" s="314">
        <f>IF($F512="","",IFERROR(VLOOKUP($F512,SERVIÇOS!$B:$G,5,0),IFERROR(VLOOKUP($F512,'COMPOSIÇÕES COMPLEMENTARES '!$D:$L,7,0),0)))</f>
        <v>22.03</v>
      </c>
      <c r="L512" s="314">
        <f t="shared" si="264"/>
        <v>46.290000000000006</v>
      </c>
      <c r="M512" s="314">
        <f t="shared" si="265"/>
        <v>849.1</v>
      </c>
      <c r="N512" s="314">
        <f t="shared" si="266"/>
        <v>771.05</v>
      </c>
      <c r="O512" s="314">
        <f t="shared" si="267"/>
        <v>1620.15</v>
      </c>
      <c r="P512" s="314"/>
      <c r="Q512" s="315"/>
      <c r="R512" s="315"/>
      <c r="S512" s="286"/>
      <c r="T512" s="287"/>
      <c r="U512" s="288" t="str">
        <f t="shared" si="240"/>
        <v/>
      </c>
      <c r="V512" s="287"/>
      <c r="W512" s="289" t="str">
        <f t="shared" si="241"/>
        <v/>
      </c>
      <c r="X512" s="287"/>
      <c r="Y512" s="290" t="str">
        <f t="shared" si="242"/>
        <v/>
      </c>
      <c r="Z512" s="291">
        <f ca="1">SUMIF($T$8:Y$1018,"QUANT.",T512:Y512)</f>
        <v>0</v>
      </c>
      <c r="AA512" s="292">
        <f t="shared" ca="1" si="243"/>
        <v>0</v>
      </c>
      <c r="AB512" s="293" t="str">
        <f t="shared" ca="1" si="244"/>
        <v>MEDIR</v>
      </c>
      <c r="AC512" s="294">
        <f t="shared" ca="1" si="245"/>
        <v>35</v>
      </c>
      <c r="AD512" s="294">
        <f t="shared" ca="1" si="246"/>
        <v>1620.15</v>
      </c>
      <c r="AE512" s="295"/>
      <c r="AF512" s="295"/>
      <c r="AG512" s="296"/>
      <c r="AH512" s="296"/>
      <c r="AI512" s="296"/>
      <c r="AJ512" s="326"/>
      <c r="AK512" s="326"/>
      <c r="AL512" s="326"/>
      <c r="AM512" s="326"/>
    </row>
    <row r="513" spans="1:39" ht="25.5" x14ac:dyDescent="0.25">
      <c r="A513" s="232">
        <f t="shared" si="232"/>
        <v>513</v>
      </c>
      <c r="B513" s="232"/>
      <c r="C513" s="307" t="str">
        <f t="shared" si="261"/>
        <v>15.10</v>
      </c>
      <c r="D513" s="308">
        <f t="shared" si="262"/>
        <v>16</v>
      </c>
      <c r="E513" s="309" t="str">
        <f t="shared" si="263"/>
        <v>15.10.16</v>
      </c>
      <c r="F513" s="310">
        <v>92005</v>
      </c>
      <c r="G513" s="311" t="str">
        <f>IF($F513="","",IFERROR(VLOOKUP($F513,SERVIÇOS!$B:$G,2,0),IFERROR(VLOOKUP($F513,'COMPOSIÇÕES COMPLEMENTARES '!$D:$L,2,0),IFERROR(VLOOKUP($F513,INSUMOS!$A:$D,2,0),""))))</f>
        <v>TOMADA MÉDIA DE EMBUTIR (2 MÓDULOS), 2P+T 20 A, INCLUINDO SUPORTE E PLACA - FORNECIMENTO E INSTALAÇÃO. AF_03/2023</v>
      </c>
      <c r="H513" s="312" t="str">
        <f>IF($F513="","",IFERROR(VLOOKUP($F513,SERVIÇOS!$B:$G,3,0),IFERROR(VLOOKUP($F513,'COMPOSIÇÕES COMPLEMENTARES '!$D:$L,3,0),IFERROR(VLOOKUP($F513,INSUMOS!$A:$D,3,0),""))))</f>
        <v>UN</v>
      </c>
      <c r="I513" s="313">
        <v>5</v>
      </c>
      <c r="J513" s="314">
        <f>IF($F513="","",IFERROR(VLOOKUP($F513,SERVIÇOS!$B:$G,4,0),IFERROR(VLOOKUP($F513,'COMPOSIÇÕES COMPLEMENTARES '!$D:$L,6,0),IFERROR(VLOOKUP($F513,INSUMOS!$A:$D,4,0),""))))</f>
        <v>40.08</v>
      </c>
      <c r="K513" s="314">
        <f>IF($F513="","",IFERROR(VLOOKUP($F513,SERVIÇOS!$B:$G,5,0),IFERROR(VLOOKUP($F513,'COMPOSIÇÕES COMPLEMENTARES '!$D:$L,7,0),0)))</f>
        <v>34.67</v>
      </c>
      <c r="L513" s="314">
        <f t="shared" si="264"/>
        <v>74.75</v>
      </c>
      <c r="M513" s="314">
        <f t="shared" si="265"/>
        <v>200.4</v>
      </c>
      <c r="N513" s="314">
        <f t="shared" si="266"/>
        <v>173.35</v>
      </c>
      <c r="O513" s="314">
        <f t="shared" si="267"/>
        <v>373.75</v>
      </c>
      <c r="P513" s="314"/>
      <c r="Q513" s="315"/>
      <c r="R513" s="315"/>
      <c r="S513" s="286"/>
      <c r="T513" s="287"/>
      <c r="U513" s="288" t="str">
        <f t="shared" si="240"/>
        <v/>
      </c>
      <c r="V513" s="287"/>
      <c r="W513" s="289" t="str">
        <f t="shared" si="241"/>
        <v/>
      </c>
      <c r="X513" s="287"/>
      <c r="Y513" s="290" t="str">
        <f t="shared" si="242"/>
        <v/>
      </c>
      <c r="Z513" s="291">
        <f ca="1">SUMIF($T$8:Y$1018,"QUANT.",T513:Y513)</f>
        <v>0</v>
      </c>
      <c r="AA513" s="292">
        <f t="shared" ca="1" si="243"/>
        <v>0</v>
      </c>
      <c r="AB513" s="293" t="str">
        <f t="shared" ca="1" si="244"/>
        <v>MEDIR</v>
      </c>
      <c r="AC513" s="294">
        <f t="shared" ca="1" si="245"/>
        <v>5</v>
      </c>
      <c r="AD513" s="294">
        <f t="shared" ca="1" si="246"/>
        <v>373.75</v>
      </c>
      <c r="AE513" s="295"/>
      <c r="AF513" s="295"/>
      <c r="AG513" s="296"/>
      <c r="AH513" s="296"/>
      <c r="AI513" s="296"/>
      <c r="AJ513" s="326"/>
      <c r="AK513" s="326"/>
      <c r="AL513" s="326"/>
      <c r="AM513" s="326"/>
    </row>
    <row r="514" spans="1:39" ht="25.5" x14ac:dyDescent="0.25">
      <c r="A514" s="232">
        <f t="shared" ref="A514:A577" si="268">1+A513</f>
        <v>514</v>
      </c>
      <c r="B514" s="232"/>
      <c r="C514" s="307" t="str">
        <f t="shared" si="261"/>
        <v>15.10</v>
      </c>
      <c r="D514" s="308">
        <f t="shared" si="262"/>
        <v>17</v>
      </c>
      <c r="E514" s="309" t="str">
        <f t="shared" si="263"/>
        <v>15.10.17</v>
      </c>
      <c r="F514" s="310">
        <v>92005</v>
      </c>
      <c r="G514" s="311" t="str">
        <f>IF($F514="","",IFERROR(VLOOKUP($F514,SERVIÇOS!$B:$G,2,0),IFERROR(VLOOKUP($F514,'COMPOSIÇÕES COMPLEMENTARES '!$D:$L,2,0),IFERROR(VLOOKUP($F514,INSUMOS!$A:$D,2,0),""))))</f>
        <v>TOMADA MÉDIA DE EMBUTIR (2 MÓDULOS), 2P+T 20 A, INCLUINDO SUPORTE E PLACA - FORNECIMENTO E INSTALAÇÃO. AF_03/2023</v>
      </c>
      <c r="H514" s="312" t="str">
        <f>IF($F514="","",IFERROR(VLOOKUP($F514,SERVIÇOS!$B:$G,3,0),IFERROR(VLOOKUP($F514,'COMPOSIÇÕES COMPLEMENTARES '!$D:$L,3,0),IFERROR(VLOOKUP($F514,INSUMOS!$A:$D,3,0),""))))</f>
        <v>UN</v>
      </c>
      <c r="I514" s="313">
        <v>12</v>
      </c>
      <c r="J514" s="314">
        <f>IF($F514="","",IFERROR(VLOOKUP($F514,SERVIÇOS!$B:$G,4,0),IFERROR(VLOOKUP($F514,'COMPOSIÇÕES COMPLEMENTARES '!$D:$L,6,0),IFERROR(VLOOKUP($F514,INSUMOS!$A:$D,4,0),""))))</f>
        <v>40.08</v>
      </c>
      <c r="K514" s="314">
        <f>IF($F514="","",IFERROR(VLOOKUP($F514,SERVIÇOS!$B:$G,5,0),IFERROR(VLOOKUP($F514,'COMPOSIÇÕES COMPLEMENTARES '!$D:$L,7,0),0)))</f>
        <v>34.67</v>
      </c>
      <c r="L514" s="314">
        <f t="shared" si="264"/>
        <v>74.75</v>
      </c>
      <c r="M514" s="314">
        <f t="shared" si="265"/>
        <v>480.96</v>
      </c>
      <c r="N514" s="314">
        <f t="shared" si="266"/>
        <v>416.04</v>
      </c>
      <c r="O514" s="314">
        <f t="shared" si="267"/>
        <v>897</v>
      </c>
      <c r="P514" s="314"/>
      <c r="Q514" s="315"/>
      <c r="R514" s="315"/>
      <c r="S514" s="286"/>
      <c r="T514" s="287"/>
      <c r="U514" s="288" t="str">
        <f t="shared" si="240"/>
        <v/>
      </c>
      <c r="V514" s="287"/>
      <c r="W514" s="289" t="str">
        <f t="shared" si="241"/>
        <v/>
      </c>
      <c r="X514" s="287"/>
      <c r="Y514" s="290" t="str">
        <f t="shared" si="242"/>
        <v/>
      </c>
      <c r="Z514" s="291">
        <f ca="1">SUMIF($T$8:Y$1018,"QUANT.",T514:Y514)</f>
        <v>0</v>
      </c>
      <c r="AA514" s="292">
        <f t="shared" ca="1" si="243"/>
        <v>0</v>
      </c>
      <c r="AB514" s="293" t="str">
        <f t="shared" ca="1" si="244"/>
        <v>MEDIR</v>
      </c>
      <c r="AC514" s="294">
        <f t="shared" ca="1" si="245"/>
        <v>12</v>
      </c>
      <c r="AD514" s="294">
        <f t="shared" ca="1" si="246"/>
        <v>897</v>
      </c>
      <c r="AE514" s="295"/>
      <c r="AF514" s="295"/>
      <c r="AG514" s="296"/>
      <c r="AH514" s="296"/>
      <c r="AI514" s="296"/>
      <c r="AJ514" s="326"/>
      <c r="AK514" s="326"/>
      <c r="AL514" s="326"/>
      <c r="AM514" s="326"/>
    </row>
    <row r="515" spans="1:39" x14ac:dyDescent="0.25">
      <c r="A515" s="232">
        <f t="shared" si="268"/>
        <v>515</v>
      </c>
      <c r="B515" s="232"/>
      <c r="C515" s="307" t="str">
        <f t="shared" si="261"/>
        <v>15.10</v>
      </c>
      <c r="D515" s="308">
        <f t="shared" si="262"/>
        <v>18</v>
      </c>
      <c r="E515" s="309" t="str">
        <f t="shared" si="263"/>
        <v>15.10.18</v>
      </c>
      <c r="F515" s="310" t="s">
        <v>12230</v>
      </c>
      <c r="G515" s="311" t="str">
        <f>IF($F515="","",IFERROR(VLOOKUP($F515,SERVIÇOS!$B:$G,2,0),IFERROR(VLOOKUP($F515,'COMPOSIÇÕES COMPLEMENTARES '!$D:$L,2,0),IFERROR(VLOOKUP($F515,INSUMOS!$A:$D,2,0),""))))</f>
        <v>TOMADA QUADRUPLA 20A/127V 2P+T - MIOLO BRANCO (PADRÃO BRASILEIRO) EM CX. 4"X4"</v>
      </c>
      <c r="H515" s="312" t="str">
        <f>IF($F515="","",IFERROR(VLOOKUP($F515,SERVIÇOS!$B:$G,3,0),IFERROR(VLOOKUP($F515,'COMPOSIÇÕES COMPLEMENTARES '!$D:$L,3,0),IFERROR(VLOOKUP($F515,INSUMOS!$A:$D,3,0),""))))</f>
        <v>UN</v>
      </c>
      <c r="I515" s="313">
        <v>1</v>
      </c>
      <c r="J515" s="314">
        <f>IF($F515="","",IFERROR(VLOOKUP($F515,SERVIÇOS!$B:$G,4,0),IFERROR(VLOOKUP($F515,'COMPOSIÇÕES COMPLEMENTARES '!$D:$L,6,0),IFERROR(VLOOKUP($F515,INSUMOS!$A:$D,4,0),""))))</f>
        <v>70.11</v>
      </c>
      <c r="K515" s="314">
        <f>IF($F515="","",IFERROR(VLOOKUP($F515,SERVIÇOS!$B:$G,5,0),IFERROR(VLOOKUP($F515,'COMPOSIÇÕES COMPLEMENTARES '!$D:$L,7,0),0)))</f>
        <v>60.6</v>
      </c>
      <c r="L515" s="314">
        <f t="shared" si="264"/>
        <v>130.71</v>
      </c>
      <c r="M515" s="314">
        <f t="shared" si="265"/>
        <v>70.11</v>
      </c>
      <c r="N515" s="314">
        <f t="shared" si="266"/>
        <v>60.6</v>
      </c>
      <c r="O515" s="314">
        <f t="shared" si="267"/>
        <v>130.71</v>
      </c>
      <c r="P515" s="314"/>
      <c r="Q515" s="315"/>
      <c r="R515" s="315"/>
      <c r="S515" s="286"/>
      <c r="T515" s="287"/>
      <c r="U515" s="288" t="str">
        <f t="shared" si="240"/>
        <v/>
      </c>
      <c r="V515" s="287"/>
      <c r="W515" s="289" t="str">
        <f t="shared" si="241"/>
        <v/>
      </c>
      <c r="X515" s="287"/>
      <c r="Y515" s="290" t="str">
        <f t="shared" si="242"/>
        <v/>
      </c>
      <c r="Z515" s="291">
        <f ca="1">SUMIF($T$8:Y$1018,"QUANT.",T515:Y515)</f>
        <v>0</v>
      </c>
      <c r="AA515" s="292">
        <f t="shared" ca="1" si="243"/>
        <v>0</v>
      </c>
      <c r="AB515" s="293" t="str">
        <f t="shared" ca="1" si="244"/>
        <v>MEDIR</v>
      </c>
      <c r="AC515" s="294">
        <f t="shared" ca="1" si="245"/>
        <v>1</v>
      </c>
      <c r="AD515" s="294">
        <f t="shared" ca="1" si="246"/>
        <v>130.71</v>
      </c>
      <c r="AE515" s="295"/>
      <c r="AF515" s="295"/>
      <c r="AG515" s="296"/>
      <c r="AH515" s="296"/>
      <c r="AI515" s="296"/>
      <c r="AJ515" s="326"/>
      <c r="AK515" s="326"/>
      <c r="AL515" s="326"/>
      <c r="AM515" s="326"/>
    </row>
    <row r="516" spans="1:39" ht="25.5" x14ac:dyDescent="0.25">
      <c r="A516" s="232">
        <f t="shared" si="268"/>
        <v>516</v>
      </c>
      <c r="B516" s="232"/>
      <c r="C516" s="307" t="str">
        <f t="shared" si="261"/>
        <v>15.10</v>
      </c>
      <c r="D516" s="308">
        <f t="shared" si="262"/>
        <v>19</v>
      </c>
      <c r="E516" s="309" t="str">
        <f t="shared" si="263"/>
        <v>15.10.19</v>
      </c>
      <c r="F516" s="310">
        <v>91997</v>
      </c>
      <c r="G516" s="311" t="str">
        <f>IF($F516="","",IFERROR(VLOOKUP($F516,SERVIÇOS!$B:$G,2,0),IFERROR(VLOOKUP($F516,'COMPOSIÇÕES COMPLEMENTARES '!$D:$L,2,0),IFERROR(VLOOKUP($F516,INSUMOS!$A:$D,2,0),""))))</f>
        <v>TOMADA MÉDIA DE EMBUTIR (1 MÓDULO), 2P+T 20 A, INCLUINDO SUPORTE E PLACA - FORNECIMENTO E INSTALAÇÃO. AF_03/2023</v>
      </c>
      <c r="H516" s="312" t="str">
        <f>IF($F516="","",IFERROR(VLOOKUP($F516,SERVIÇOS!$B:$G,3,0),IFERROR(VLOOKUP($F516,'COMPOSIÇÕES COMPLEMENTARES '!$D:$L,3,0),IFERROR(VLOOKUP($F516,INSUMOS!$A:$D,3,0),""))))</f>
        <v>UN</v>
      </c>
      <c r="I516" s="313">
        <v>1</v>
      </c>
      <c r="J516" s="314">
        <f>IF($F516="","",IFERROR(VLOOKUP($F516,SERVIÇOS!$B:$G,4,0),IFERROR(VLOOKUP($F516,'COMPOSIÇÕES COMPLEMENTARES '!$D:$L,6,0),IFERROR(VLOOKUP($F516,INSUMOS!$A:$D,4,0),""))))</f>
        <v>24.26</v>
      </c>
      <c r="K516" s="314">
        <f>IF($F516="","",IFERROR(VLOOKUP($F516,SERVIÇOS!$B:$G,5,0),IFERROR(VLOOKUP($F516,'COMPOSIÇÕES COMPLEMENTARES '!$D:$L,7,0),0)))</f>
        <v>22.03</v>
      </c>
      <c r="L516" s="314">
        <f t="shared" si="264"/>
        <v>46.290000000000006</v>
      </c>
      <c r="M516" s="314">
        <f t="shared" si="265"/>
        <v>24.26</v>
      </c>
      <c r="N516" s="314">
        <f t="shared" si="266"/>
        <v>22.03</v>
      </c>
      <c r="O516" s="314">
        <f t="shared" si="267"/>
        <v>46.29</v>
      </c>
      <c r="P516" s="314"/>
      <c r="Q516" s="315"/>
      <c r="R516" s="315"/>
      <c r="S516" s="286"/>
      <c r="T516" s="287"/>
      <c r="U516" s="288" t="str">
        <f t="shared" si="240"/>
        <v/>
      </c>
      <c r="V516" s="287"/>
      <c r="W516" s="289" t="str">
        <f t="shared" si="241"/>
        <v/>
      </c>
      <c r="X516" s="287"/>
      <c r="Y516" s="290" t="str">
        <f t="shared" si="242"/>
        <v/>
      </c>
      <c r="Z516" s="291">
        <f ca="1">SUMIF($T$8:Y$1018,"QUANT.",T516:Y516)</f>
        <v>0</v>
      </c>
      <c r="AA516" s="292">
        <f t="shared" ca="1" si="243"/>
        <v>0</v>
      </c>
      <c r="AB516" s="293" t="str">
        <f t="shared" ca="1" si="244"/>
        <v>MEDIR</v>
      </c>
      <c r="AC516" s="294">
        <f t="shared" ca="1" si="245"/>
        <v>1</v>
      </c>
      <c r="AD516" s="294">
        <f t="shared" ca="1" si="246"/>
        <v>46.29</v>
      </c>
      <c r="AE516" s="295"/>
      <c r="AF516" s="295"/>
      <c r="AG516" s="296"/>
      <c r="AH516" s="296"/>
      <c r="AI516" s="296"/>
      <c r="AJ516" s="326"/>
      <c r="AK516" s="326"/>
      <c r="AL516" s="326"/>
      <c r="AM516" s="326"/>
    </row>
    <row r="517" spans="1:39" x14ac:dyDescent="0.25">
      <c r="A517" s="232">
        <f t="shared" si="268"/>
        <v>517</v>
      </c>
      <c r="B517" s="232"/>
      <c r="C517" s="307" t="str">
        <f t="shared" si="261"/>
        <v>15.10</v>
      </c>
      <c r="D517" s="308">
        <f t="shared" si="262"/>
        <v>20</v>
      </c>
      <c r="E517" s="309" t="str">
        <f t="shared" si="263"/>
        <v>15.10.20</v>
      </c>
      <c r="F517" s="310" t="s">
        <v>12245</v>
      </c>
      <c r="G517" s="311" t="str">
        <f>IF($F517="","",IFERROR(VLOOKUP($F517,SERVIÇOS!$B:$G,2,0),IFERROR(VLOOKUP($F517,'COMPOSIÇÕES COMPLEMENTARES '!$D:$L,2,0),IFERROR(VLOOKUP($F517,INSUMOS!$A:$D,2,0),""))))</f>
        <v>TOMADA 16A/220V 3P+T - TAMPA VERMELHA (PADRÃO STECK DE EMBUTIR), EM CX. 4"X2".</v>
      </c>
      <c r="H517" s="312" t="str">
        <f>IF($F517="","",IFERROR(VLOOKUP($F517,SERVIÇOS!$B:$G,3,0),IFERROR(VLOOKUP($F517,'COMPOSIÇÕES COMPLEMENTARES '!$D:$L,3,0),IFERROR(VLOOKUP($F517,INSUMOS!$A:$D,3,0),""))))</f>
        <v>UN</v>
      </c>
      <c r="I517" s="313">
        <v>1</v>
      </c>
      <c r="J517" s="314">
        <f>IF($F517="","",IFERROR(VLOOKUP($F517,SERVIÇOS!$B:$G,4,0),IFERROR(VLOOKUP($F517,'COMPOSIÇÕES COMPLEMENTARES '!$D:$L,6,0),IFERROR(VLOOKUP($F517,INSUMOS!$A:$D,4,0),""))))</f>
        <v>60.23</v>
      </c>
      <c r="K517" s="314">
        <f>IF($F517="","",IFERROR(VLOOKUP($F517,SERVIÇOS!$B:$G,5,0),IFERROR(VLOOKUP($F517,'COMPOSIÇÕES COMPLEMENTARES '!$D:$L,7,0),0)))</f>
        <v>70.06</v>
      </c>
      <c r="L517" s="314">
        <f t="shared" si="264"/>
        <v>130.29</v>
      </c>
      <c r="M517" s="314">
        <f t="shared" si="265"/>
        <v>60.23</v>
      </c>
      <c r="N517" s="314">
        <f t="shared" si="266"/>
        <v>70.06</v>
      </c>
      <c r="O517" s="314">
        <f t="shared" si="267"/>
        <v>130.29</v>
      </c>
      <c r="P517" s="314"/>
      <c r="Q517" s="315"/>
      <c r="R517" s="315"/>
      <c r="S517" s="286"/>
      <c r="T517" s="287"/>
      <c r="U517" s="288" t="str">
        <f t="shared" si="240"/>
        <v/>
      </c>
      <c r="V517" s="287"/>
      <c r="W517" s="289" t="str">
        <f t="shared" si="241"/>
        <v/>
      </c>
      <c r="X517" s="287"/>
      <c r="Y517" s="290" t="str">
        <f t="shared" si="242"/>
        <v/>
      </c>
      <c r="Z517" s="291">
        <f ca="1">SUMIF($T$8:Y$1018,"QUANT.",T517:Y517)</f>
        <v>0</v>
      </c>
      <c r="AA517" s="292">
        <f t="shared" ca="1" si="243"/>
        <v>0</v>
      </c>
      <c r="AB517" s="293" t="str">
        <f t="shared" ca="1" si="244"/>
        <v>MEDIR</v>
      </c>
      <c r="AC517" s="294">
        <f t="shared" ca="1" si="245"/>
        <v>1</v>
      </c>
      <c r="AD517" s="294">
        <f t="shared" ca="1" si="246"/>
        <v>130.29</v>
      </c>
      <c r="AE517" s="295"/>
      <c r="AF517" s="295"/>
      <c r="AG517" s="296"/>
      <c r="AH517" s="296"/>
      <c r="AI517" s="296"/>
      <c r="AJ517" s="326"/>
      <c r="AK517" s="326"/>
      <c r="AL517" s="326"/>
      <c r="AM517" s="326"/>
    </row>
    <row r="518" spans="1:39" x14ac:dyDescent="0.25">
      <c r="A518" s="232">
        <f t="shared" si="268"/>
        <v>518</v>
      </c>
      <c r="B518" s="232"/>
      <c r="C518" s="307" t="str">
        <f t="shared" si="261"/>
        <v>15.10</v>
      </c>
      <c r="D518" s="308">
        <f t="shared" si="262"/>
        <v>21</v>
      </c>
      <c r="E518" s="309" t="str">
        <f t="shared" si="263"/>
        <v>15.10.21</v>
      </c>
      <c r="F518" s="310" t="s">
        <v>12231</v>
      </c>
      <c r="G518" s="311" t="str">
        <f>IF($F518="","",IFERROR(VLOOKUP($F518,SERVIÇOS!$B:$G,2,0),IFERROR(VLOOKUP($F518,'COMPOSIÇÕES COMPLEMENTARES '!$D:$L,2,0),IFERROR(VLOOKUP($F518,INSUMOS!$A:$D,2,0),""))))</f>
        <v>TOMADA 32A/220V 3P+T - TAMPA AZUL (PADRÃO STECK DE SOBREPOR) EM CAIXA 4"X2"</v>
      </c>
      <c r="H518" s="312" t="str">
        <f>IF($F518="","",IFERROR(VLOOKUP($F518,SERVIÇOS!$B:$G,3,0),IFERROR(VLOOKUP($F518,'COMPOSIÇÕES COMPLEMENTARES '!$D:$L,3,0),IFERROR(VLOOKUP($F518,INSUMOS!$A:$D,3,0),""))))</f>
        <v>UN</v>
      </c>
      <c r="I518" s="313">
        <v>2</v>
      </c>
      <c r="J518" s="314">
        <f>IF($F518="","",IFERROR(VLOOKUP($F518,SERVIÇOS!$B:$G,4,0),IFERROR(VLOOKUP($F518,'COMPOSIÇÕES COMPLEMENTARES '!$D:$L,6,0),IFERROR(VLOOKUP($F518,INSUMOS!$A:$D,4,0),""))))</f>
        <v>62.37</v>
      </c>
      <c r="K518" s="314">
        <f>IF($F518="","",IFERROR(VLOOKUP($F518,SERVIÇOS!$B:$G,5,0),IFERROR(VLOOKUP($F518,'COMPOSIÇÕES COMPLEMENTARES '!$D:$L,7,0),0)))</f>
        <v>22.28</v>
      </c>
      <c r="L518" s="314">
        <f t="shared" si="264"/>
        <v>84.65</v>
      </c>
      <c r="M518" s="314">
        <f t="shared" si="265"/>
        <v>124.74</v>
      </c>
      <c r="N518" s="314">
        <f t="shared" si="266"/>
        <v>44.56</v>
      </c>
      <c r="O518" s="314">
        <f t="shared" si="267"/>
        <v>169.3</v>
      </c>
      <c r="P518" s="314"/>
      <c r="Q518" s="315"/>
      <c r="R518" s="315"/>
      <c r="S518" s="286"/>
      <c r="T518" s="287"/>
      <c r="U518" s="288" t="str">
        <f t="shared" si="240"/>
        <v/>
      </c>
      <c r="V518" s="287"/>
      <c r="W518" s="289" t="str">
        <f t="shared" si="241"/>
        <v/>
      </c>
      <c r="X518" s="287"/>
      <c r="Y518" s="290" t="str">
        <f t="shared" si="242"/>
        <v/>
      </c>
      <c r="Z518" s="291">
        <f ca="1">SUMIF($T$8:Y$1018,"QUANT.",T518:Y518)</f>
        <v>0</v>
      </c>
      <c r="AA518" s="292">
        <f t="shared" ca="1" si="243"/>
        <v>0</v>
      </c>
      <c r="AB518" s="293" t="str">
        <f t="shared" ca="1" si="244"/>
        <v>MEDIR</v>
      </c>
      <c r="AC518" s="294">
        <f t="shared" ca="1" si="245"/>
        <v>2</v>
      </c>
      <c r="AD518" s="294">
        <f t="shared" ca="1" si="246"/>
        <v>169.3</v>
      </c>
      <c r="AE518" s="295"/>
      <c r="AF518" s="295"/>
      <c r="AG518" s="296"/>
      <c r="AH518" s="296"/>
      <c r="AI518" s="296"/>
      <c r="AJ518" s="326"/>
      <c r="AK518" s="326"/>
      <c r="AL518" s="326"/>
      <c r="AM518" s="326"/>
    </row>
    <row r="519" spans="1:39" x14ac:dyDescent="0.25">
      <c r="A519" s="232">
        <f t="shared" si="268"/>
        <v>519</v>
      </c>
      <c r="B519" s="232"/>
      <c r="C519" s="307" t="str">
        <f t="shared" si="261"/>
        <v>15.10</v>
      </c>
      <c r="D519" s="308">
        <f t="shared" si="262"/>
        <v>22</v>
      </c>
      <c r="E519" s="309" t="str">
        <f t="shared" si="263"/>
        <v>15.10.22</v>
      </c>
      <c r="F519" s="310" t="s">
        <v>12246</v>
      </c>
      <c r="G519" s="311" t="str">
        <f>IF($F519="","",IFERROR(VLOOKUP($F519,SERVIÇOS!$B:$G,2,0),IFERROR(VLOOKUP($F519,'COMPOSIÇÕES COMPLEMENTARES '!$D:$L,2,0),IFERROR(VLOOKUP($F519,INSUMOS!$A:$D,2,0),""))))</f>
        <v>PONTO PARA CAMPAINHA PARA BANHEIRO PNE EM CX. 4"X2"</v>
      </c>
      <c r="H519" s="312" t="str">
        <f>IF($F519="","",IFERROR(VLOOKUP($F519,SERVIÇOS!$B:$G,3,0),IFERROR(VLOOKUP($F519,'COMPOSIÇÕES COMPLEMENTARES '!$D:$L,3,0),IFERROR(VLOOKUP($F519,INSUMOS!$A:$D,3,0),""))))</f>
        <v>UN</v>
      </c>
      <c r="I519" s="313">
        <v>3</v>
      </c>
      <c r="J519" s="314">
        <f>IF($F519="","",IFERROR(VLOOKUP($F519,SERVIÇOS!$B:$G,4,0),IFERROR(VLOOKUP($F519,'COMPOSIÇÕES COMPLEMENTARES '!$D:$L,6,0),IFERROR(VLOOKUP($F519,INSUMOS!$A:$D,4,0),""))))</f>
        <v>17.059999999999999</v>
      </c>
      <c r="K519" s="314">
        <f>IF($F519="","",IFERROR(VLOOKUP($F519,SERVIÇOS!$B:$G,5,0),IFERROR(VLOOKUP($F519,'COMPOSIÇÕES COMPLEMENTARES '!$D:$L,7,0),0)))</f>
        <v>20.89</v>
      </c>
      <c r="L519" s="314">
        <f t="shared" si="264"/>
        <v>37.950000000000003</v>
      </c>
      <c r="M519" s="314">
        <f t="shared" si="265"/>
        <v>51.18</v>
      </c>
      <c r="N519" s="314">
        <f t="shared" si="266"/>
        <v>62.67</v>
      </c>
      <c r="O519" s="314">
        <f t="shared" si="267"/>
        <v>113.85</v>
      </c>
      <c r="P519" s="314"/>
      <c r="Q519" s="315"/>
      <c r="R519" s="315"/>
      <c r="S519" s="286"/>
      <c r="T519" s="287"/>
      <c r="U519" s="288" t="str">
        <f t="shared" si="240"/>
        <v/>
      </c>
      <c r="V519" s="287"/>
      <c r="W519" s="289" t="str">
        <f t="shared" si="241"/>
        <v/>
      </c>
      <c r="X519" s="287"/>
      <c r="Y519" s="290" t="str">
        <f t="shared" si="242"/>
        <v/>
      </c>
      <c r="Z519" s="291">
        <f ca="1">SUMIF($T$8:Y$1018,"QUANT.",T519:Y519)</f>
        <v>0</v>
      </c>
      <c r="AA519" s="292">
        <f t="shared" ca="1" si="243"/>
        <v>0</v>
      </c>
      <c r="AB519" s="293" t="str">
        <f t="shared" ca="1" si="244"/>
        <v>MEDIR</v>
      </c>
      <c r="AC519" s="294">
        <f t="shared" ca="1" si="245"/>
        <v>3</v>
      </c>
      <c r="AD519" s="294">
        <f t="shared" ca="1" si="246"/>
        <v>113.85</v>
      </c>
      <c r="AE519" s="295"/>
      <c r="AF519" s="295"/>
      <c r="AG519" s="296"/>
      <c r="AH519" s="296"/>
      <c r="AI519" s="296"/>
      <c r="AJ519" s="326"/>
      <c r="AK519" s="326"/>
      <c r="AL519" s="326"/>
      <c r="AM519" s="326"/>
    </row>
    <row r="520" spans="1:39" x14ac:dyDescent="0.25">
      <c r="A520" s="232">
        <f t="shared" si="268"/>
        <v>520</v>
      </c>
      <c r="B520" s="232"/>
      <c r="C520" s="307" t="str">
        <f t="shared" si="261"/>
        <v>15.10</v>
      </c>
      <c r="D520" s="308">
        <f t="shared" si="262"/>
        <v>23</v>
      </c>
      <c r="E520" s="309" t="str">
        <f t="shared" si="263"/>
        <v>15.10.23</v>
      </c>
      <c r="F520" s="310" t="s">
        <v>12212</v>
      </c>
      <c r="G520" s="311" t="str">
        <f>IF($F520="","",IFERROR(VLOOKUP($F520,SERVIÇOS!$B:$G,2,0),IFERROR(VLOOKUP($F520,'COMPOSIÇÕES COMPLEMENTARES '!$D:$L,2,0),IFERROR(VLOOKUP($F520,INSUMOS!$A:$D,2,0),""))))</f>
        <v>PONTO ELÉTRICO COM PLACA DE SAÍDA DE FIO - EM CX. 4"X2"</v>
      </c>
      <c r="H520" s="312" t="str">
        <f>IF($F520="","",IFERROR(VLOOKUP($F520,SERVIÇOS!$B:$G,3,0),IFERROR(VLOOKUP($F520,'COMPOSIÇÕES COMPLEMENTARES '!$D:$L,3,0),IFERROR(VLOOKUP($F520,INSUMOS!$A:$D,3,0),""))))</f>
        <v>UN</v>
      </c>
      <c r="I520" s="313">
        <v>1</v>
      </c>
      <c r="J520" s="314">
        <f>IF($F520="","",IFERROR(VLOOKUP($F520,SERVIÇOS!$B:$G,4,0),IFERROR(VLOOKUP($F520,'COMPOSIÇÕES COMPLEMENTARES '!$D:$L,6,0),IFERROR(VLOOKUP($F520,INSUMOS!$A:$D,4,0),""))))</f>
        <v>11.28</v>
      </c>
      <c r="K520" s="314">
        <f>IF($F520="","",IFERROR(VLOOKUP($F520,SERVIÇOS!$B:$G,5,0),IFERROR(VLOOKUP($F520,'COMPOSIÇÕES COMPLEMENTARES '!$D:$L,7,0),0)))</f>
        <v>5.29</v>
      </c>
      <c r="L520" s="314">
        <f t="shared" si="264"/>
        <v>16.57</v>
      </c>
      <c r="M520" s="314">
        <f t="shared" si="265"/>
        <v>11.28</v>
      </c>
      <c r="N520" s="314">
        <f t="shared" si="266"/>
        <v>5.29</v>
      </c>
      <c r="O520" s="314">
        <f t="shared" si="267"/>
        <v>16.57</v>
      </c>
      <c r="P520" s="314"/>
      <c r="Q520" s="315"/>
      <c r="R520" s="315"/>
      <c r="S520" s="286"/>
      <c r="T520" s="287"/>
      <c r="U520" s="288" t="str">
        <f t="shared" si="240"/>
        <v/>
      </c>
      <c r="V520" s="287"/>
      <c r="W520" s="289" t="str">
        <f t="shared" si="241"/>
        <v/>
      </c>
      <c r="X520" s="287"/>
      <c r="Y520" s="290" t="str">
        <f t="shared" si="242"/>
        <v/>
      </c>
      <c r="Z520" s="291">
        <f ca="1">SUMIF($T$8:Y$1018,"QUANT.",T520:Y520)</f>
        <v>0</v>
      </c>
      <c r="AA520" s="292">
        <f t="shared" ca="1" si="243"/>
        <v>0</v>
      </c>
      <c r="AB520" s="293" t="str">
        <f t="shared" ca="1" si="244"/>
        <v>MEDIR</v>
      </c>
      <c r="AC520" s="294">
        <f t="shared" ca="1" si="245"/>
        <v>1</v>
      </c>
      <c r="AD520" s="294">
        <f t="shared" ca="1" si="246"/>
        <v>16.57</v>
      </c>
      <c r="AE520" s="295"/>
      <c r="AF520" s="295"/>
      <c r="AG520" s="296"/>
      <c r="AH520" s="296"/>
      <c r="AI520" s="296"/>
      <c r="AJ520" s="326"/>
      <c r="AK520" s="326"/>
      <c r="AL520" s="326"/>
      <c r="AM520" s="326"/>
    </row>
    <row r="521" spans="1:39" x14ac:dyDescent="0.25">
      <c r="A521" s="232">
        <f t="shared" si="268"/>
        <v>521</v>
      </c>
      <c r="B521" s="232"/>
      <c r="C521" s="307" t="str">
        <f t="shared" si="261"/>
        <v>15.10</v>
      </c>
      <c r="D521" s="308">
        <f t="shared" si="262"/>
        <v>24</v>
      </c>
      <c r="E521" s="309" t="str">
        <f t="shared" si="263"/>
        <v>15.10.24</v>
      </c>
      <c r="F521" s="310" t="s">
        <v>12247</v>
      </c>
      <c r="G521" s="311" t="str">
        <f>IF($F521="","",IFERROR(VLOOKUP($F521,SERVIÇOS!$B:$G,2,0),IFERROR(VLOOKUP($F521,'COMPOSIÇÕES COMPLEMENTARES '!$D:$L,2,0),IFERROR(VLOOKUP($F521,INSUMOS!$A:$D,2,0),""))))</f>
        <v>PONTO ELETRICO COM PLACA DE SAÍDA DE FIO - EM CX. 4"X4"</v>
      </c>
      <c r="H521" s="312" t="str">
        <f>IF($F521="","",IFERROR(VLOOKUP($F521,SERVIÇOS!$B:$G,3,0),IFERROR(VLOOKUP($F521,'COMPOSIÇÕES COMPLEMENTARES '!$D:$L,3,0),IFERROR(VLOOKUP($F521,INSUMOS!$A:$D,3,0),""))))</f>
        <v>UN</v>
      </c>
      <c r="I521" s="313">
        <v>2</v>
      </c>
      <c r="J521" s="314">
        <f>IF($F521="","",IFERROR(VLOOKUP($F521,SERVIÇOS!$B:$G,4,0),IFERROR(VLOOKUP($F521,'COMPOSIÇÕES COMPLEMENTARES '!$D:$L,6,0),IFERROR(VLOOKUP($F521,INSUMOS!$A:$D,4,0),""))))</f>
        <v>12.1</v>
      </c>
      <c r="K521" s="314">
        <f>IF($F521="","",IFERROR(VLOOKUP($F521,SERVIÇOS!$B:$G,5,0),IFERROR(VLOOKUP($F521,'COMPOSIÇÕES COMPLEMENTARES '!$D:$L,7,0),0)))</f>
        <v>7.41</v>
      </c>
      <c r="L521" s="314">
        <f t="shared" si="264"/>
        <v>19.509999999999998</v>
      </c>
      <c r="M521" s="314">
        <f t="shared" si="265"/>
        <v>24.2</v>
      </c>
      <c r="N521" s="314">
        <f t="shared" si="266"/>
        <v>14.82</v>
      </c>
      <c r="O521" s="314">
        <f t="shared" si="267"/>
        <v>39.020000000000003</v>
      </c>
      <c r="P521" s="314"/>
      <c r="Q521" s="315"/>
      <c r="R521" s="315"/>
      <c r="S521" s="286"/>
      <c r="T521" s="287"/>
      <c r="U521" s="288" t="str">
        <f t="shared" si="240"/>
        <v/>
      </c>
      <c r="V521" s="287"/>
      <c r="W521" s="289" t="str">
        <f t="shared" si="241"/>
        <v/>
      </c>
      <c r="X521" s="287"/>
      <c r="Y521" s="290" t="str">
        <f t="shared" si="242"/>
        <v/>
      </c>
      <c r="Z521" s="291">
        <f ca="1">SUMIF($T$8:Y$1018,"QUANT.",T521:Y521)</f>
        <v>0</v>
      </c>
      <c r="AA521" s="292">
        <f t="shared" ca="1" si="243"/>
        <v>0</v>
      </c>
      <c r="AB521" s="293" t="str">
        <f t="shared" ca="1" si="244"/>
        <v>MEDIR</v>
      </c>
      <c r="AC521" s="294">
        <f t="shared" ca="1" si="245"/>
        <v>2</v>
      </c>
      <c r="AD521" s="294">
        <f t="shared" ca="1" si="246"/>
        <v>39.020000000000003</v>
      </c>
      <c r="AE521" s="295"/>
      <c r="AF521" s="295"/>
      <c r="AG521" s="296"/>
      <c r="AH521" s="296"/>
      <c r="AI521" s="296"/>
      <c r="AJ521" s="326"/>
      <c r="AK521" s="326"/>
      <c r="AL521" s="326"/>
      <c r="AM521" s="326"/>
    </row>
    <row r="522" spans="1:39" x14ac:dyDescent="0.25">
      <c r="A522" s="232">
        <f t="shared" si="268"/>
        <v>522</v>
      </c>
      <c r="B522" s="232"/>
      <c r="C522" s="307" t="str">
        <f t="shared" si="261"/>
        <v>15.10</v>
      </c>
      <c r="D522" s="308">
        <f t="shared" si="262"/>
        <v>25</v>
      </c>
      <c r="E522" s="309" t="str">
        <f t="shared" si="263"/>
        <v>15.10.25</v>
      </c>
      <c r="F522" s="310" t="s">
        <v>12212</v>
      </c>
      <c r="G522" s="311" t="str">
        <f>IF($F522="","",IFERROR(VLOOKUP($F522,SERVIÇOS!$B:$G,2,0),IFERROR(VLOOKUP($F522,'COMPOSIÇÕES COMPLEMENTARES '!$D:$L,2,0),IFERROR(VLOOKUP($F522,INSUMOS!$A:$D,2,0),""))))</f>
        <v>PONTO ELÉTRICO COM PLACA DE SAÍDA DE FIO - EM CX. 4"X2"</v>
      </c>
      <c r="H522" s="312" t="str">
        <f>IF($F522="","",IFERROR(VLOOKUP($F522,SERVIÇOS!$B:$G,3,0),IFERROR(VLOOKUP($F522,'COMPOSIÇÕES COMPLEMENTARES '!$D:$L,3,0),IFERROR(VLOOKUP($F522,INSUMOS!$A:$D,3,0),""))))</f>
        <v>UN</v>
      </c>
      <c r="I522" s="313">
        <v>4</v>
      </c>
      <c r="J522" s="314">
        <f>IF($F522="","",IFERROR(VLOOKUP($F522,SERVIÇOS!$B:$G,4,0),IFERROR(VLOOKUP($F522,'COMPOSIÇÕES COMPLEMENTARES '!$D:$L,6,0),IFERROR(VLOOKUP($F522,INSUMOS!$A:$D,4,0),""))))</f>
        <v>11.28</v>
      </c>
      <c r="K522" s="314">
        <f>IF($F522="","",IFERROR(VLOOKUP($F522,SERVIÇOS!$B:$G,5,0),IFERROR(VLOOKUP($F522,'COMPOSIÇÕES COMPLEMENTARES '!$D:$L,7,0),0)))</f>
        <v>5.29</v>
      </c>
      <c r="L522" s="314">
        <f t="shared" si="264"/>
        <v>16.57</v>
      </c>
      <c r="M522" s="314">
        <f t="shared" si="265"/>
        <v>45.12</v>
      </c>
      <c r="N522" s="314">
        <f t="shared" si="266"/>
        <v>21.16</v>
      </c>
      <c r="O522" s="314">
        <f t="shared" si="267"/>
        <v>66.28</v>
      </c>
      <c r="P522" s="314"/>
      <c r="Q522" s="315"/>
      <c r="R522" s="315"/>
      <c r="S522" s="286"/>
      <c r="T522" s="287"/>
      <c r="U522" s="288" t="str">
        <f t="shared" si="240"/>
        <v/>
      </c>
      <c r="V522" s="287"/>
      <c r="W522" s="289" t="str">
        <f t="shared" si="241"/>
        <v/>
      </c>
      <c r="X522" s="287"/>
      <c r="Y522" s="290" t="str">
        <f t="shared" si="242"/>
        <v/>
      </c>
      <c r="Z522" s="291">
        <f ca="1">SUMIF($T$8:Y$1018,"QUANT.",T522:Y522)</f>
        <v>0</v>
      </c>
      <c r="AA522" s="292">
        <f t="shared" ca="1" si="243"/>
        <v>0</v>
      </c>
      <c r="AB522" s="293" t="str">
        <f t="shared" ca="1" si="244"/>
        <v>MEDIR</v>
      </c>
      <c r="AC522" s="294">
        <f t="shared" ca="1" si="245"/>
        <v>4</v>
      </c>
      <c r="AD522" s="294">
        <f t="shared" ca="1" si="246"/>
        <v>66.28</v>
      </c>
      <c r="AE522" s="295"/>
      <c r="AF522" s="295"/>
      <c r="AG522" s="296"/>
      <c r="AH522" s="296"/>
      <c r="AI522" s="296"/>
      <c r="AJ522" s="326"/>
      <c r="AK522" s="326"/>
      <c r="AL522" s="326"/>
      <c r="AM522" s="326"/>
    </row>
    <row r="523" spans="1:39" ht="25.5" x14ac:dyDescent="0.25">
      <c r="A523" s="232">
        <f t="shared" si="268"/>
        <v>523</v>
      </c>
      <c r="B523" s="232"/>
      <c r="C523" s="307" t="str">
        <f t="shared" si="261"/>
        <v>15.10</v>
      </c>
      <c r="D523" s="308">
        <f t="shared" si="262"/>
        <v>26</v>
      </c>
      <c r="E523" s="309" t="str">
        <f t="shared" si="263"/>
        <v>15.10.26</v>
      </c>
      <c r="F523" s="310">
        <v>91940</v>
      </c>
      <c r="G523" s="311" t="str">
        <f>IF($F523="","",IFERROR(VLOOKUP($F523,SERVIÇOS!$B:$G,2,0),IFERROR(VLOOKUP($F523,'COMPOSIÇÕES COMPLEMENTARES '!$D:$L,2,0),IFERROR(VLOOKUP($F523,INSUMOS!$A:$D,2,0),""))))</f>
        <v>CAIXA RETANGULAR 4" X 2" MÉDIA (1,30 M DO PISO), PVC, INSTALADA EM PAREDE - FORNECIMENTO E INSTALAÇÃO. AF_03/2023</v>
      </c>
      <c r="H523" s="312" t="str">
        <f>IF($F523="","",IFERROR(VLOOKUP($F523,SERVIÇOS!$B:$G,3,0),IFERROR(VLOOKUP($F523,'COMPOSIÇÕES COMPLEMENTARES '!$D:$L,3,0),IFERROR(VLOOKUP($F523,INSUMOS!$A:$D,3,0),""))))</f>
        <v>UN</v>
      </c>
      <c r="I523" s="313">
        <v>104</v>
      </c>
      <c r="J523" s="314">
        <f>IF($F523="","",IFERROR(VLOOKUP($F523,SERVIÇOS!$B:$G,4,0),IFERROR(VLOOKUP($F523,'COMPOSIÇÕES COMPLEMENTARES '!$D:$L,6,0),IFERROR(VLOOKUP($F523,INSUMOS!$A:$D,4,0),""))))</f>
        <v>9.7799999999999994</v>
      </c>
      <c r="K523" s="314">
        <f>IF($F523="","",IFERROR(VLOOKUP($F523,SERVIÇOS!$B:$G,5,0),IFERROR(VLOOKUP($F523,'COMPOSIÇÕES COMPLEMENTARES '!$D:$L,7,0),0)))</f>
        <v>14.56</v>
      </c>
      <c r="L523" s="314">
        <f t="shared" si="264"/>
        <v>24.34</v>
      </c>
      <c r="M523" s="314">
        <f t="shared" si="265"/>
        <v>1017.12</v>
      </c>
      <c r="N523" s="314">
        <f t="shared" si="266"/>
        <v>1514.24</v>
      </c>
      <c r="O523" s="314">
        <f t="shared" si="267"/>
        <v>2531.36</v>
      </c>
      <c r="P523" s="314"/>
      <c r="Q523" s="315"/>
      <c r="R523" s="315"/>
      <c r="S523" s="286"/>
      <c r="T523" s="287"/>
      <c r="U523" s="288" t="str">
        <f t="shared" si="240"/>
        <v/>
      </c>
      <c r="V523" s="287"/>
      <c r="W523" s="289" t="str">
        <f t="shared" si="241"/>
        <v/>
      </c>
      <c r="X523" s="287"/>
      <c r="Y523" s="290" t="str">
        <f t="shared" si="242"/>
        <v/>
      </c>
      <c r="Z523" s="291">
        <f ca="1">SUMIF($T$8:Y$1018,"QUANT.",T523:Y523)</f>
        <v>0</v>
      </c>
      <c r="AA523" s="292">
        <f t="shared" ca="1" si="243"/>
        <v>0</v>
      </c>
      <c r="AB523" s="293" t="str">
        <f t="shared" ca="1" si="244"/>
        <v>MEDIR</v>
      </c>
      <c r="AC523" s="294">
        <f t="shared" ca="1" si="245"/>
        <v>104</v>
      </c>
      <c r="AD523" s="294">
        <f t="shared" ca="1" si="246"/>
        <v>2531.36</v>
      </c>
      <c r="AE523" s="295"/>
      <c r="AF523" s="295"/>
      <c r="AG523" s="296"/>
      <c r="AH523" s="296"/>
      <c r="AI523" s="296"/>
      <c r="AJ523" s="326"/>
      <c r="AK523" s="326"/>
      <c r="AL523" s="326"/>
      <c r="AM523" s="326"/>
    </row>
    <row r="524" spans="1:39" ht="25.5" x14ac:dyDescent="0.25">
      <c r="A524" s="232">
        <f t="shared" si="268"/>
        <v>524</v>
      </c>
      <c r="B524" s="232"/>
      <c r="C524" s="307" t="str">
        <f t="shared" si="261"/>
        <v>15.10</v>
      </c>
      <c r="D524" s="308">
        <f t="shared" si="262"/>
        <v>27</v>
      </c>
      <c r="E524" s="309" t="str">
        <f t="shared" si="263"/>
        <v>15.10.27</v>
      </c>
      <c r="F524" s="310">
        <v>91943</v>
      </c>
      <c r="G524" s="311" t="str">
        <f>IF($F524="","",IFERROR(VLOOKUP($F524,SERVIÇOS!$B:$G,2,0),IFERROR(VLOOKUP($F524,'COMPOSIÇÕES COMPLEMENTARES '!$D:$L,2,0),IFERROR(VLOOKUP($F524,INSUMOS!$A:$D,2,0),""))))</f>
        <v>CAIXA RETANGULAR 4" X 4" MÉDIA (1,30 M DO PISO), PVC, INSTALADA EM PAREDE - FORNECIMENTO E INSTALAÇÃO. AF_03/2023</v>
      </c>
      <c r="H524" s="312" t="str">
        <f>IF($F524="","",IFERROR(VLOOKUP($F524,SERVIÇOS!$B:$G,3,0),IFERROR(VLOOKUP($F524,'COMPOSIÇÕES COMPLEMENTARES '!$D:$L,3,0),IFERROR(VLOOKUP($F524,INSUMOS!$A:$D,3,0),""))))</f>
        <v>UN</v>
      </c>
      <c r="I524" s="313">
        <v>4</v>
      </c>
      <c r="J524" s="314">
        <f>IF($F524="","",IFERROR(VLOOKUP($F524,SERVIÇOS!$B:$G,4,0),IFERROR(VLOOKUP($F524,'COMPOSIÇÕES COMPLEMENTARES '!$D:$L,6,0),IFERROR(VLOOKUP($F524,INSUMOS!$A:$D,4,0),""))))</f>
        <v>13.98</v>
      </c>
      <c r="K524" s="314">
        <f>IF($F524="","",IFERROR(VLOOKUP($F524,SERVIÇOS!$B:$G,5,0),IFERROR(VLOOKUP($F524,'COMPOSIÇÕES COMPLEMENTARES '!$D:$L,7,0),0)))</f>
        <v>15.09</v>
      </c>
      <c r="L524" s="314">
        <f t="shared" si="264"/>
        <v>29.07</v>
      </c>
      <c r="M524" s="314">
        <f t="shared" si="265"/>
        <v>55.92</v>
      </c>
      <c r="N524" s="314">
        <f t="shared" si="266"/>
        <v>60.36</v>
      </c>
      <c r="O524" s="314">
        <f t="shared" si="267"/>
        <v>116.28</v>
      </c>
      <c r="P524" s="314"/>
      <c r="Q524" s="315"/>
      <c r="R524" s="315"/>
      <c r="S524" s="286"/>
      <c r="T524" s="287"/>
      <c r="U524" s="288" t="str">
        <f t="shared" si="240"/>
        <v/>
      </c>
      <c r="V524" s="287"/>
      <c r="W524" s="289" t="str">
        <f t="shared" si="241"/>
        <v/>
      </c>
      <c r="X524" s="287"/>
      <c r="Y524" s="290" t="str">
        <f t="shared" si="242"/>
        <v/>
      </c>
      <c r="Z524" s="291">
        <f ca="1">SUMIF($T$8:Y$1018,"QUANT.",T524:Y524)</f>
        <v>0</v>
      </c>
      <c r="AA524" s="292">
        <f t="shared" ca="1" si="243"/>
        <v>0</v>
      </c>
      <c r="AB524" s="293" t="str">
        <f t="shared" ca="1" si="244"/>
        <v>MEDIR</v>
      </c>
      <c r="AC524" s="294">
        <f t="shared" ca="1" si="245"/>
        <v>4</v>
      </c>
      <c r="AD524" s="294">
        <f t="shared" ca="1" si="246"/>
        <v>116.28</v>
      </c>
      <c r="AE524" s="295"/>
      <c r="AF524" s="295"/>
      <c r="AG524" s="296"/>
      <c r="AH524" s="296"/>
      <c r="AI524" s="296"/>
      <c r="AJ524" s="326"/>
      <c r="AK524" s="326"/>
      <c r="AL524" s="326"/>
      <c r="AM524" s="326"/>
    </row>
    <row r="525" spans="1:39" ht="25.5" x14ac:dyDescent="0.25">
      <c r="A525" s="232">
        <f t="shared" si="268"/>
        <v>525</v>
      </c>
      <c r="B525" s="232"/>
      <c r="C525" s="307" t="str">
        <f t="shared" si="261"/>
        <v>15.10</v>
      </c>
      <c r="D525" s="308">
        <f t="shared" si="262"/>
        <v>28</v>
      </c>
      <c r="E525" s="309" t="str">
        <f t="shared" si="263"/>
        <v>15.10.28</v>
      </c>
      <c r="F525" s="310">
        <v>97887</v>
      </c>
      <c r="G525" s="311" t="str">
        <f>IF($F525="","",IFERROR(VLOOKUP($F525,SERVIÇOS!$B:$G,2,0),IFERROR(VLOOKUP($F525,'COMPOSIÇÕES COMPLEMENTARES '!$D:$L,2,0),IFERROR(VLOOKUP($F525,INSUMOS!$A:$D,2,0),""))))</f>
        <v>CAIXA ENTERRADA ELÉTRICA RETANGULAR, EM ALVENARIA COM TIJOLOS CERÂMICOS MACIÇOS, FUNDO COM BRITA, DIMENSÕES INTERNAS: 0,4X0,4X0,4 M. AF_12/2020</v>
      </c>
      <c r="H525" s="312" t="str">
        <f>IF($F525="","",IFERROR(VLOOKUP($F525,SERVIÇOS!$B:$G,3,0),IFERROR(VLOOKUP($F525,'COMPOSIÇÕES COMPLEMENTARES '!$D:$L,3,0),IFERROR(VLOOKUP($F525,INSUMOS!$A:$D,3,0),""))))</f>
        <v>UN</v>
      </c>
      <c r="I525" s="313">
        <v>8</v>
      </c>
      <c r="J525" s="314">
        <f>IF($F525="","",IFERROR(VLOOKUP($F525,SERVIÇOS!$B:$G,4,0),IFERROR(VLOOKUP($F525,'COMPOSIÇÕES COMPLEMENTARES '!$D:$L,6,0),IFERROR(VLOOKUP($F525,INSUMOS!$A:$D,4,0),""))))</f>
        <v>147.86000000000001</v>
      </c>
      <c r="K525" s="314">
        <f>IF($F525="","",IFERROR(VLOOKUP($F525,SERVIÇOS!$B:$G,5,0),IFERROR(VLOOKUP($F525,'COMPOSIÇÕES COMPLEMENTARES '!$D:$L,7,0),0)))</f>
        <v>152.05000000000001</v>
      </c>
      <c r="L525" s="314">
        <f t="shared" si="264"/>
        <v>299.91000000000003</v>
      </c>
      <c r="M525" s="314">
        <f t="shared" si="265"/>
        <v>1182.8800000000001</v>
      </c>
      <c r="N525" s="314">
        <f t="shared" si="266"/>
        <v>1216.4000000000001</v>
      </c>
      <c r="O525" s="314">
        <f t="shared" si="267"/>
        <v>2399.2800000000002</v>
      </c>
      <c r="P525" s="314"/>
      <c r="Q525" s="315"/>
      <c r="R525" s="315"/>
      <c r="S525" s="286"/>
      <c r="T525" s="287"/>
      <c r="U525" s="288" t="str">
        <f t="shared" si="240"/>
        <v/>
      </c>
      <c r="V525" s="287"/>
      <c r="W525" s="289" t="str">
        <f t="shared" si="241"/>
        <v/>
      </c>
      <c r="X525" s="287"/>
      <c r="Y525" s="290" t="str">
        <f t="shared" si="242"/>
        <v/>
      </c>
      <c r="Z525" s="291">
        <f ca="1">SUMIF($T$8:Y$1018,"QUANT.",T525:Y525)</f>
        <v>0</v>
      </c>
      <c r="AA525" s="292">
        <f t="shared" ca="1" si="243"/>
        <v>0</v>
      </c>
      <c r="AB525" s="293" t="str">
        <f t="shared" ca="1" si="244"/>
        <v>MEDIR</v>
      </c>
      <c r="AC525" s="294">
        <f t="shared" ca="1" si="245"/>
        <v>8</v>
      </c>
      <c r="AD525" s="294">
        <f t="shared" ca="1" si="246"/>
        <v>2399.2800000000002</v>
      </c>
      <c r="AE525" s="295"/>
      <c r="AF525" s="295"/>
      <c r="AG525" s="296"/>
      <c r="AH525" s="296"/>
      <c r="AI525" s="296"/>
      <c r="AJ525" s="326"/>
      <c r="AK525" s="326"/>
      <c r="AL525" s="326"/>
      <c r="AM525" s="326"/>
    </row>
    <row r="526" spans="1:39" ht="25.5" x14ac:dyDescent="0.25">
      <c r="A526" s="232">
        <f t="shared" si="268"/>
        <v>526</v>
      </c>
      <c r="B526" s="232"/>
      <c r="C526" s="307" t="str">
        <f t="shared" si="261"/>
        <v>15.10</v>
      </c>
      <c r="D526" s="308">
        <f t="shared" si="262"/>
        <v>29</v>
      </c>
      <c r="E526" s="309" t="str">
        <f t="shared" si="263"/>
        <v>15.10.29</v>
      </c>
      <c r="F526" s="310">
        <v>97886</v>
      </c>
      <c r="G526" s="311" t="str">
        <f>IF($F526="","",IFERROR(VLOOKUP($F526,SERVIÇOS!$B:$G,2,0),IFERROR(VLOOKUP($F526,'COMPOSIÇÕES COMPLEMENTARES '!$D:$L,2,0),IFERROR(VLOOKUP($F526,INSUMOS!$A:$D,2,0),""))))</f>
        <v>CAIXA ENTERRADA ELÉTRICA RETANGULAR, EM ALVENARIA COM TIJOLOS CERÂMICOS MACIÇOS, FUNDO COM BRITA, DIMENSÕES INTERNAS: 0,3X0,3X0,3 M. AF_12/2020</v>
      </c>
      <c r="H526" s="312" t="str">
        <f>IF($F526="","",IFERROR(VLOOKUP($F526,SERVIÇOS!$B:$G,3,0),IFERROR(VLOOKUP($F526,'COMPOSIÇÕES COMPLEMENTARES '!$D:$L,3,0),IFERROR(VLOOKUP($F526,INSUMOS!$A:$D,3,0),""))))</f>
        <v>UN</v>
      </c>
      <c r="I526" s="313">
        <v>1</v>
      </c>
      <c r="J526" s="314">
        <f>IF($F526="","",IFERROR(VLOOKUP($F526,SERVIÇOS!$B:$G,4,0),IFERROR(VLOOKUP($F526,'COMPOSIÇÕES COMPLEMENTARES '!$D:$L,6,0),IFERROR(VLOOKUP($F526,INSUMOS!$A:$D,4,0),""))))</f>
        <v>93.52</v>
      </c>
      <c r="K526" s="314">
        <f>IF($F526="","",IFERROR(VLOOKUP($F526,SERVIÇOS!$B:$G,5,0),IFERROR(VLOOKUP($F526,'COMPOSIÇÕES COMPLEMENTARES '!$D:$L,7,0),0)))</f>
        <v>96.78</v>
      </c>
      <c r="L526" s="314">
        <f t="shared" si="264"/>
        <v>190.3</v>
      </c>
      <c r="M526" s="314">
        <f t="shared" si="265"/>
        <v>93.52</v>
      </c>
      <c r="N526" s="314">
        <f t="shared" si="266"/>
        <v>96.78</v>
      </c>
      <c r="O526" s="314">
        <f t="shared" si="267"/>
        <v>190.3</v>
      </c>
      <c r="P526" s="314"/>
      <c r="Q526" s="315"/>
      <c r="R526" s="315"/>
      <c r="S526" s="286"/>
      <c r="T526" s="287"/>
      <c r="U526" s="288" t="str">
        <f t="shared" si="240"/>
        <v/>
      </c>
      <c r="V526" s="287"/>
      <c r="W526" s="289" t="str">
        <f t="shared" si="241"/>
        <v/>
      </c>
      <c r="X526" s="287"/>
      <c r="Y526" s="290" t="str">
        <f t="shared" si="242"/>
        <v/>
      </c>
      <c r="Z526" s="291">
        <f ca="1">SUMIF($T$8:Y$1018,"QUANT.",T526:Y526)</f>
        <v>0</v>
      </c>
      <c r="AA526" s="292">
        <f t="shared" ca="1" si="243"/>
        <v>0</v>
      </c>
      <c r="AB526" s="293" t="str">
        <f t="shared" ca="1" si="244"/>
        <v>MEDIR</v>
      </c>
      <c r="AC526" s="294">
        <f t="shared" ca="1" si="245"/>
        <v>1</v>
      </c>
      <c r="AD526" s="294">
        <f t="shared" ca="1" si="246"/>
        <v>190.3</v>
      </c>
      <c r="AE526" s="295"/>
      <c r="AF526" s="295"/>
      <c r="AG526" s="296"/>
      <c r="AH526" s="296"/>
      <c r="AI526" s="296"/>
      <c r="AJ526" s="326"/>
      <c r="AK526" s="326"/>
      <c r="AL526" s="326"/>
      <c r="AM526" s="326"/>
    </row>
    <row r="527" spans="1:39" x14ac:dyDescent="0.25">
      <c r="A527" s="232">
        <f t="shared" si="268"/>
        <v>527</v>
      </c>
      <c r="B527" s="232"/>
      <c r="C527" s="307" t="str">
        <f t="shared" si="261"/>
        <v>15.10</v>
      </c>
      <c r="D527" s="308">
        <f t="shared" si="262"/>
        <v>30</v>
      </c>
      <c r="E527" s="309" t="str">
        <f t="shared" si="263"/>
        <v>15.10.30</v>
      </c>
      <c r="F527" s="310" t="s">
        <v>12248</v>
      </c>
      <c r="G527" s="311" t="str">
        <f>IF($F527="","",IFERROR(VLOOKUP($F527,SERVIÇOS!$B:$G,2,0),IFERROR(VLOOKUP($F527,'COMPOSIÇÕES COMPLEMENTARES '!$D:$L,2,0),IFERROR(VLOOKUP($F527,INSUMOS!$A:$D,2,0),""))))</f>
        <v>CAIXA DE PASSAGEM, METÁLICA. MEDINDO 20X20X10CM</v>
      </c>
      <c r="H527" s="312" t="str">
        <f>IF($F527="","",IFERROR(VLOOKUP($F527,SERVIÇOS!$B:$G,3,0),IFERROR(VLOOKUP($F527,'COMPOSIÇÕES COMPLEMENTARES '!$D:$L,3,0),IFERROR(VLOOKUP($F527,INSUMOS!$A:$D,3,0),""))))</f>
        <v>UN</v>
      </c>
      <c r="I527" s="313">
        <v>1</v>
      </c>
      <c r="J527" s="314">
        <f>IF($F527="","",IFERROR(VLOOKUP($F527,SERVIÇOS!$B:$G,4,0),IFERROR(VLOOKUP($F527,'COMPOSIÇÕES COMPLEMENTARES '!$D:$L,6,0),IFERROR(VLOOKUP($F527,INSUMOS!$A:$D,4,0),""))))</f>
        <v>51.44</v>
      </c>
      <c r="K527" s="314">
        <f>IF($F527="","",IFERROR(VLOOKUP($F527,SERVIÇOS!$B:$G,5,0),IFERROR(VLOOKUP($F527,'COMPOSIÇÕES COMPLEMENTARES '!$D:$L,7,0),0)))</f>
        <v>61.92</v>
      </c>
      <c r="L527" s="314">
        <f t="shared" si="264"/>
        <v>113.36</v>
      </c>
      <c r="M527" s="314">
        <f t="shared" si="265"/>
        <v>51.44</v>
      </c>
      <c r="N527" s="314">
        <f t="shared" si="266"/>
        <v>61.92</v>
      </c>
      <c r="O527" s="314">
        <f t="shared" si="267"/>
        <v>113.36</v>
      </c>
      <c r="P527" s="314"/>
      <c r="Q527" s="315"/>
      <c r="R527" s="315"/>
      <c r="S527" s="286"/>
      <c r="T527" s="287"/>
      <c r="U527" s="288" t="str">
        <f t="shared" si="240"/>
        <v/>
      </c>
      <c r="V527" s="287"/>
      <c r="W527" s="289" t="str">
        <f t="shared" si="241"/>
        <v/>
      </c>
      <c r="X527" s="287"/>
      <c r="Y527" s="290" t="str">
        <f t="shared" si="242"/>
        <v/>
      </c>
      <c r="Z527" s="291">
        <f ca="1">SUMIF($T$8:Y$1018,"QUANT.",T527:Y527)</f>
        <v>0</v>
      </c>
      <c r="AA527" s="292">
        <f t="shared" ca="1" si="243"/>
        <v>0</v>
      </c>
      <c r="AB527" s="293" t="str">
        <f t="shared" ca="1" si="244"/>
        <v>MEDIR</v>
      </c>
      <c r="AC527" s="294">
        <f t="shared" ca="1" si="245"/>
        <v>1</v>
      </c>
      <c r="AD527" s="294">
        <f t="shared" ca="1" si="246"/>
        <v>113.36</v>
      </c>
      <c r="AE527" s="295"/>
      <c r="AF527" s="295"/>
      <c r="AG527" s="296"/>
      <c r="AH527" s="296"/>
      <c r="AI527" s="296"/>
      <c r="AJ527" s="326"/>
      <c r="AK527" s="326"/>
      <c r="AL527" s="326"/>
      <c r="AM527" s="326"/>
    </row>
    <row r="528" spans="1:39" x14ac:dyDescent="0.25">
      <c r="A528" s="232">
        <f t="shared" si="268"/>
        <v>528</v>
      </c>
      <c r="B528" s="232"/>
      <c r="C528" s="316" t="str">
        <f>+E528</f>
        <v>15.11</v>
      </c>
      <c r="D528" s="297"/>
      <c r="E528" s="317" t="s">
        <v>12249</v>
      </c>
      <c r="F528" s="317"/>
      <c r="G528" s="318" t="s">
        <v>12250</v>
      </c>
      <c r="H528" s="317"/>
      <c r="I528" s="319"/>
      <c r="J528" s="317"/>
      <c r="K528" s="317"/>
      <c r="L528" s="317"/>
      <c r="M528" s="317"/>
      <c r="N528" s="317"/>
      <c r="O528" s="317"/>
      <c r="P528" s="317"/>
      <c r="Q528" s="320"/>
      <c r="R528" s="306"/>
      <c r="S528" s="286"/>
      <c r="T528" s="287"/>
      <c r="U528" s="288" t="str">
        <f t="shared" si="240"/>
        <v/>
      </c>
      <c r="V528" s="287"/>
      <c r="W528" s="289" t="str">
        <f t="shared" si="241"/>
        <v/>
      </c>
      <c r="X528" s="287"/>
      <c r="Y528" s="290" t="str">
        <f t="shared" si="242"/>
        <v/>
      </c>
      <c r="Z528" s="291">
        <f ca="1">SUMIF($T$8:Y$1018,"QUANT.",T528:Y528)</f>
        <v>0</v>
      </c>
      <c r="AA528" s="292">
        <f t="shared" ca="1" si="243"/>
        <v>0</v>
      </c>
      <c r="AB528" s="293" t="str">
        <f t="shared" si="244"/>
        <v/>
      </c>
      <c r="AC528" s="294">
        <f t="shared" ca="1" si="245"/>
        <v>0</v>
      </c>
      <c r="AD528" s="294">
        <f t="shared" ca="1" si="246"/>
        <v>0</v>
      </c>
      <c r="AE528" s="295"/>
      <c r="AF528" s="295"/>
      <c r="AG528" s="296"/>
      <c r="AH528" s="296"/>
      <c r="AI528" s="296"/>
      <c r="AJ528" s="326"/>
      <c r="AK528" s="326"/>
      <c r="AL528" s="326"/>
      <c r="AM528" s="326"/>
    </row>
    <row r="529" spans="1:39" x14ac:dyDescent="0.25">
      <c r="A529" s="232">
        <f t="shared" si="268"/>
        <v>529</v>
      </c>
      <c r="B529" s="232"/>
      <c r="C529" s="307" t="str">
        <f t="shared" ref="C529:C541" si="269">+C528</f>
        <v>15.11</v>
      </c>
      <c r="D529" s="308">
        <f t="shared" ref="D529:D541" si="270">1+D528</f>
        <v>1</v>
      </c>
      <c r="E529" s="309" t="str">
        <f t="shared" ref="E529:E541" si="271">C529&amp;"."&amp;D529</f>
        <v>15.11.1</v>
      </c>
      <c r="F529" s="310" t="s">
        <v>12215</v>
      </c>
      <c r="G529" s="311" t="str">
        <f>IF($F529="","",IFERROR(VLOOKUP($F529,SERVIÇOS!$B:$G,2,0),IFERROR(VLOOKUP($F529,'COMPOSIÇÕES COMPLEMENTARES '!$D:$L,2,0),IFERROR(VLOOKUP($F529,INSUMOS!$A:$D,2,0),""))))</f>
        <v>PERFILADO PERFURADO COM TAMPA 38X38X6000MM CHAPA 18, INCLUSO CONEXÕES E FIXAÇÕES</v>
      </c>
      <c r="H529" s="312" t="str">
        <f>IF($F529="","",IFERROR(VLOOKUP($F529,SERVIÇOS!$B:$G,3,0),IFERROR(VLOOKUP($F529,'COMPOSIÇÕES COMPLEMENTARES '!$D:$L,3,0),IFERROR(VLOOKUP($F529,INSUMOS!$A:$D,3,0),""))))</f>
        <v>M</v>
      </c>
      <c r="I529" s="313">
        <v>132</v>
      </c>
      <c r="J529" s="314">
        <f>IF($F529="","",IFERROR(VLOOKUP($F529,SERVIÇOS!$B:$G,4,0),IFERROR(VLOOKUP($F529,'COMPOSIÇÕES COMPLEMENTARES '!$D:$L,6,0),IFERROR(VLOOKUP($F529,INSUMOS!$A:$D,4,0),""))))</f>
        <v>61.76</v>
      </c>
      <c r="K529" s="314">
        <f>IF($F529="","",IFERROR(VLOOKUP($F529,SERVIÇOS!$B:$G,5,0),IFERROR(VLOOKUP($F529,'COMPOSIÇÕES COMPLEMENTARES '!$D:$L,7,0),0)))</f>
        <v>31.6</v>
      </c>
      <c r="L529" s="314">
        <f t="shared" ref="L529:L541" si="272">IF(I529="","",J529+K529)</f>
        <v>93.36</v>
      </c>
      <c r="M529" s="314">
        <f t="shared" ref="M529:M541" si="273">IF(I529="","",TRUNC((I529*J529),2))</f>
        <v>8152.32</v>
      </c>
      <c r="N529" s="314">
        <f t="shared" ref="N529:N541" si="274">IF(I529="","",TRUNC((I529*K529),2))</f>
        <v>4171.2</v>
      </c>
      <c r="O529" s="314">
        <f t="shared" ref="O529:O541" si="275">IF(I529="","",TRUNC((M529+N529),2))</f>
        <v>12323.52</v>
      </c>
      <c r="P529" s="314"/>
      <c r="Q529" s="315"/>
      <c r="R529" s="315"/>
      <c r="S529" s="286"/>
      <c r="T529" s="287"/>
      <c r="U529" s="288" t="str">
        <f t="shared" si="240"/>
        <v/>
      </c>
      <c r="V529" s="287"/>
      <c r="W529" s="289" t="str">
        <f t="shared" si="241"/>
        <v/>
      </c>
      <c r="X529" s="287"/>
      <c r="Y529" s="290" t="str">
        <f t="shared" si="242"/>
        <v/>
      </c>
      <c r="Z529" s="291">
        <f ca="1">SUMIF($T$8:Y$1018,"QUANT.",T529:Y529)</f>
        <v>0</v>
      </c>
      <c r="AA529" s="292">
        <f t="shared" ca="1" si="243"/>
        <v>0</v>
      </c>
      <c r="AB529" s="293" t="str">
        <f t="shared" ca="1" si="244"/>
        <v>MEDIR</v>
      </c>
      <c r="AC529" s="294">
        <f t="shared" ca="1" si="245"/>
        <v>132</v>
      </c>
      <c r="AD529" s="294">
        <f t="shared" ca="1" si="246"/>
        <v>12323.52</v>
      </c>
      <c r="AE529" s="295"/>
      <c r="AF529" s="295"/>
      <c r="AG529" s="296"/>
      <c r="AH529" s="296"/>
      <c r="AI529" s="296"/>
      <c r="AJ529" s="326"/>
      <c r="AK529" s="326"/>
      <c r="AL529" s="326"/>
      <c r="AM529" s="326"/>
    </row>
    <row r="530" spans="1:39" x14ac:dyDescent="0.25">
      <c r="A530" s="232">
        <f t="shared" si="268"/>
        <v>530</v>
      </c>
      <c r="B530" s="232"/>
      <c r="C530" s="307" t="str">
        <f t="shared" si="269"/>
        <v>15.11</v>
      </c>
      <c r="D530" s="308">
        <f t="shared" si="270"/>
        <v>2</v>
      </c>
      <c r="E530" s="309" t="str">
        <f t="shared" si="271"/>
        <v>15.11.2</v>
      </c>
      <c r="F530" s="310" t="s">
        <v>12234</v>
      </c>
      <c r="G530" s="311" t="str">
        <f>IF($F530="","",IFERROR(VLOOKUP($F530,SERVIÇOS!$B:$G,2,0),IFERROR(VLOOKUP($F530,'COMPOSIÇÕES COMPLEMENTARES '!$D:$L,2,0),IFERROR(VLOOKUP($F530,INSUMOS!$A:$D,2,0),""))))</f>
        <v>ELETROCALHA PERFURADA 100X100X3000MM - CH 18, INCLUSO CONEXÕES E SUPORTE DE FIXAÇÃO</v>
      </c>
      <c r="H530" s="312" t="str">
        <f>IF($F530="","",IFERROR(VLOOKUP($F530,SERVIÇOS!$B:$G,3,0),IFERROR(VLOOKUP($F530,'COMPOSIÇÕES COMPLEMENTARES '!$D:$L,3,0),IFERROR(VLOOKUP($F530,INSUMOS!$A:$D,3,0),""))))</f>
        <v>M</v>
      </c>
      <c r="I530" s="313">
        <v>45</v>
      </c>
      <c r="J530" s="314">
        <f>IF($F530="","",IFERROR(VLOOKUP($F530,SERVIÇOS!$B:$G,4,0),IFERROR(VLOOKUP($F530,'COMPOSIÇÕES COMPLEMENTARES '!$D:$L,6,0),IFERROR(VLOOKUP($F530,INSUMOS!$A:$D,4,0),""))))</f>
        <v>129.66999999999999</v>
      </c>
      <c r="K530" s="314">
        <f>IF($F530="","",IFERROR(VLOOKUP($F530,SERVIÇOS!$B:$G,5,0),IFERROR(VLOOKUP($F530,'COMPOSIÇÕES COMPLEMENTARES '!$D:$L,7,0),0)))</f>
        <v>37.15</v>
      </c>
      <c r="L530" s="314">
        <f t="shared" si="272"/>
        <v>166.82</v>
      </c>
      <c r="M530" s="314">
        <f t="shared" si="273"/>
        <v>5835.15</v>
      </c>
      <c r="N530" s="314">
        <f t="shared" si="274"/>
        <v>1671.75</v>
      </c>
      <c r="O530" s="314">
        <f t="shared" si="275"/>
        <v>7506.9</v>
      </c>
      <c r="P530" s="314"/>
      <c r="Q530" s="315"/>
      <c r="R530" s="315"/>
      <c r="S530" s="286"/>
      <c r="T530" s="287"/>
      <c r="U530" s="288" t="str">
        <f t="shared" si="240"/>
        <v/>
      </c>
      <c r="V530" s="287"/>
      <c r="W530" s="289" t="str">
        <f t="shared" si="241"/>
        <v/>
      </c>
      <c r="X530" s="287"/>
      <c r="Y530" s="290" t="str">
        <f t="shared" si="242"/>
        <v/>
      </c>
      <c r="Z530" s="291">
        <f ca="1">SUMIF($T$8:Y$1018,"QUANT.",T530:Y530)</f>
        <v>0</v>
      </c>
      <c r="AA530" s="292">
        <f t="shared" ca="1" si="243"/>
        <v>0</v>
      </c>
      <c r="AB530" s="293" t="str">
        <f t="shared" ca="1" si="244"/>
        <v>MEDIR</v>
      </c>
      <c r="AC530" s="294">
        <f t="shared" ca="1" si="245"/>
        <v>45</v>
      </c>
      <c r="AD530" s="294">
        <f t="shared" ca="1" si="246"/>
        <v>7506.9</v>
      </c>
      <c r="AE530" s="295"/>
      <c r="AF530" s="295"/>
      <c r="AG530" s="296"/>
      <c r="AH530" s="296"/>
      <c r="AI530" s="296"/>
      <c r="AJ530" s="326"/>
      <c r="AK530" s="326"/>
      <c r="AL530" s="326"/>
      <c r="AM530" s="326"/>
    </row>
    <row r="531" spans="1:39" ht="25.5" x14ac:dyDescent="0.25">
      <c r="A531" s="232">
        <f t="shared" si="268"/>
        <v>531</v>
      </c>
      <c r="B531" s="232"/>
      <c r="C531" s="307" t="str">
        <f t="shared" si="269"/>
        <v>15.11</v>
      </c>
      <c r="D531" s="308">
        <f t="shared" si="270"/>
        <v>3</v>
      </c>
      <c r="E531" s="309" t="str">
        <f t="shared" si="271"/>
        <v>15.11.3</v>
      </c>
      <c r="F531" s="310" t="s">
        <v>12217</v>
      </c>
      <c r="G531" s="311" t="str">
        <f>IF($F531="","",IFERROR(VLOOKUP($F531,SERVIÇOS!$B:$G,2,0),IFERROR(VLOOKUP($F531,'COMPOSIÇÕES COMPLEMENTARES '!$D:$L,2,0),IFERROR(VLOOKUP($F531,INSUMOS!$A:$D,2,0),""))))</f>
        <v>ELETRODUTO RÍGIDO ROSCÁVEL, PVC, DN 25 MM (3/4"), INCLUSO CONEXÕES E ACESSÓRIOS, INSTALAÇÃO APARENTE - FORNECIMENTO E INSTALAÇÃO</v>
      </c>
      <c r="H531" s="312" t="str">
        <f>IF($F531="","",IFERROR(VLOOKUP($F531,SERVIÇOS!$B:$G,3,0),IFERROR(VLOOKUP($F531,'COMPOSIÇÕES COMPLEMENTARES '!$D:$L,3,0),IFERROR(VLOOKUP($F531,INSUMOS!$A:$D,3,0),""))))</f>
        <v>M</v>
      </c>
      <c r="I531" s="313">
        <v>213</v>
      </c>
      <c r="J531" s="314">
        <f>IF($F531="","",IFERROR(VLOOKUP($F531,SERVIÇOS!$B:$G,4,0),IFERROR(VLOOKUP($F531,'COMPOSIÇÕES COMPLEMENTARES '!$D:$L,6,0),IFERROR(VLOOKUP($F531,INSUMOS!$A:$D,4,0),""))))</f>
        <v>14.79</v>
      </c>
      <c r="K531" s="314">
        <f>IF($F531="","",IFERROR(VLOOKUP($F531,SERVIÇOS!$B:$G,5,0),IFERROR(VLOOKUP($F531,'COMPOSIÇÕES COMPLEMENTARES '!$D:$L,7,0),0)))</f>
        <v>8.75</v>
      </c>
      <c r="L531" s="314">
        <f t="shared" si="272"/>
        <v>23.54</v>
      </c>
      <c r="M531" s="314">
        <f t="shared" si="273"/>
        <v>3150.27</v>
      </c>
      <c r="N531" s="314">
        <f t="shared" si="274"/>
        <v>1863.75</v>
      </c>
      <c r="O531" s="314">
        <f t="shared" si="275"/>
        <v>5014.0200000000004</v>
      </c>
      <c r="P531" s="314"/>
      <c r="Q531" s="315"/>
      <c r="R531" s="315"/>
      <c r="S531" s="286"/>
      <c r="T531" s="287"/>
      <c r="U531" s="288" t="str">
        <f t="shared" ref="U531:U594" si="276">IF(OR(T531="",$O531=""),"",(T531/$I531)*$O531)</f>
        <v/>
      </c>
      <c r="V531" s="287"/>
      <c r="W531" s="289" t="str">
        <f t="shared" ref="W531:W594" si="277">IF(OR(V531="",$O531=""),"",(V531/$I531)*$O531)</f>
        <v/>
      </c>
      <c r="X531" s="287"/>
      <c r="Y531" s="290" t="str">
        <f t="shared" ref="Y531:Y594" si="278">IF(OR(X531="",$O531=""),"",(X531/$I531)*$O531)</f>
        <v/>
      </c>
      <c r="Z531" s="291">
        <f ca="1">SUMIF($T$8:Y$1018,"QUANT.",T531:Y531)</f>
        <v>0</v>
      </c>
      <c r="AA531" s="292">
        <f t="shared" ref="AA531:AA594" ca="1" si="279">SUMIF($T$8:$Y$1018,"CUSTO",T531:Y531)</f>
        <v>0</v>
      </c>
      <c r="AB531" s="293" t="str">
        <f t="shared" ref="AB531:AB594" ca="1" si="280">IF(F531&lt;&gt;"",IF(AA531=0,"MEDIR",IF(O531-AA531=0,"OK",IF(O531-AA531&gt;0,"MEDIR","ALERTA!"))),"")</f>
        <v>MEDIR</v>
      </c>
      <c r="AC531" s="294">
        <f t="shared" ref="AC531:AC594" ca="1" si="281">IF(Z531="",0,I531-Z531)</f>
        <v>213</v>
      </c>
      <c r="AD531" s="294">
        <f t="shared" ref="AD531:AD594" ca="1" si="282">IF(AA531="",0,O531-AA531)</f>
        <v>5014.0200000000004</v>
      </c>
      <c r="AE531" s="295"/>
      <c r="AF531" s="295"/>
      <c r="AG531" s="296"/>
      <c r="AH531" s="296"/>
      <c r="AI531" s="296"/>
      <c r="AJ531" s="326"/>
      <c r="AK531" s="326"/>
      <c r="AL531" s="326"/>
      <c r="AM531" s="326"/>
    </row>
    <row r="532" spans="1:39" ht="25.5" x14ac:dyDescent="0.25">
      <c r="A532" s="232">
        <f t="shared" si="268"/>
        <v>532</v>
      </c>
      <c r="B532" s="232"/>
      <c r="C532" s="307" t="str">
        <f t="shared" si="269"/>
        <v>15.11</v>
      </c>
      <c r="D532" s="308">
        <f t="shared" si="270"/>
        <v>4</v>
      </c>
      <c r="E532" s="309" t="str">
        <f t="shared" si="271"/>
        <v>15.11.4</v>
      </c>
      <c r="F532" s="310" t="s">
        <v>12218</v>
      </c>
      <c r="G532" s="311" t="str">
        <f>IF($F532="","",IFERROR(VLOOKUP($F532,SERVIÇOS!$B:$G,2,0),IFERROR(VLOOKUP($F532,'COMPOSIÇÕES COMPLEMENTARES '!$D:$L,2,0),IFERROR(VLOOKUP($F532,INSUMOS!$A:$D,2,0),""))))</f>
        <v>ELETRODUTO RÍGIDO ROSCÁVEL, PVC, DN 25 MM (3/4"), INCLUSO CONEXÕES - FORNECIMENTO E INSTALAÇÃO</v>
      </c>
      <c r="H532" s="312" t="str">
        <f>IF($F532="","",IFERROR(VLOOKUP($F532,SERVIÇOS!$B:$G,3,0),IFERROR(VLOOKUP($F532,'COMPOSIÇÕES COMPLEMENTARES '!$D:$L,3,0),IFERROR(VLOOKUP($F532,INSUMOS!$A:$D,3,0),""))))</f>
        <v>M</v>
      </c>
      <c r="I532" s="313">
        <v>213</v>
      </c>
      <c r="J532" s="314">
        <f>IF($F532="","",IFERROR(VLOOKUP($F532,SERVIÇOS!$B:$G,4,0),IFERROR(VLOOKUP($F532,'COMPOSIÇÕES COMPLEMENTARES '!$D:$L,6,0),IFERROR(VLOOKUP($F532,INSUMOS!$A:$D,4,0),""))))</f>
        <v>9.18</v>
      </c>
      <c r="K532" s="314">
        <f>IF($F532="","",IFERROR(VLOOKUP($F532,SERVIÇOS!$B:$G,5,0),IFERROR(VLOOKUP($F532,'COMPOSIÇÕES COMPLEMENTARES '!$D:$L,7,0),0)))</f>
        <v>4.1500000000000004</v>
      </c>
      <c r="L532" s="314">
        <f t="shared" si="272"/>
        <v>13.33</v>
      </c>
      <c r="M532" s="314">
        <f t="shared" si="273"/>
        <v>1955.34</v>
      </c>
      <c r="N532" s="314">
        <f t="shared" si="274"/>
        <v>883.95</v>
      </c>
      <c r="O532" s="314">
        <f t="shared" si="275"/>
        <v>2839.29</v>
      </c>
      <c r="P532" s="314"/>
      <c r="Q532" s="315"/>
      <c r="R532" s="315"/>
      <c r="S532" s="286"/>
      <c r="T532" s="287"/>
      <c r="U532" s="288" t="str">
        <f t="shared" si="276"/>
        <v/>
      </c>
      <c r="V532" s="287"/>
      <c r="W532" s="289" t="str">
        <f t="shared" si="277"/>
        <v/>
      </c>
      <c r="X532" s="287"/>
      <c r="Y532" s="290" t="str">
        <f t="shared" si="278"/>
        <v/>
      </c>
      <c r="Z532" s="291">
        <f ca="1">SUMIF($T$8:Y$1018,"QUANT.",T532:Y532)</f>
        <v>0</v>
      </c>
      <c r="AA532" s="292">
        <f t="shared" ca="1" si="279"/>
        <v>0</v>
      </c>
      <c r="AB532" s="293" t="str">
        <f t="shared" ca="1" si="280"/>
        <v>MEDIR</v>
      </c>
      <c r="AC532" s="294">
        <f t="shared" ca="1" si="281"/>
        <v>213</v>
      </c>
      <c r="AD532" s="294">
        <f t="shared" ca="1" si="282"/>
        <v>2839.29</v>
      </c>
      <c r="AE532" s="295"/>
      <c r="AF532" s="295"/>
      <c r="AG532" s="296"/>
      <c r="AH532" s="296"/>
      <c r="AI532" s="296"/>
      <c r="AJ532" s="326"/>
      <c r="AK532" s="326"/>
      <c r="AL532" s="326"/>
      <c r="AM532" s="326"/>
    </row>
    <row r="533" spans="1:39" ht="25.5" x14ac:dyDescent="0.25">
      <c r="A533" s="232">
        <f t="shared" si="268"/>
        <v>533</v>
      </c>
      <c r="B533" s="232"/>
      <c r="C533" s="307" t="str">
        <f t="shared" si="269"/>
        <v>15.11</v>
      </c>
      <c r="D533" s="308">
        <f t="shared" si="270"/>
        <v>5</v>
      </c>
      <c r="E533" s="309" t="str">
        <f t="shared" si="271"/>
        <v>15.11.5</v>
      </c>
      <c r="F533" s="310" t="s">
        <v>12219</v>
      </c>
      <c r="G533" s="311" t="str">
        <f>IF($F533="","",IFERROR(VLOOKUP($F533,SERVIÇOS!$B:$G,2,0),IFERROR(VLOOKUP($F533,'COMPOSIÇÕES COMPLEMENTARES '!$D:$L,2,0),IFERROR(VLOOKUP($F533,INSUMOS!$A:$D,2,0),""))))</f>
        <v>ELETRODUTO RÍGIDO ROSCÁVEL, PVC, DN 32 MM (1"), INCLUSO CONEXÕES E ACESSÓRIOS, INSTALAÇÃO APARENTE - FORNECIMENTO E INSTALAÇÃO</v>
      </c>
      <c r="H533" s="312" t="str">
        <f>IF($F533="","",IFERROR(VLOOKUP($F533,SERVIÇOS!$B:$G,3,0),IFERROR(VLOOKUP($F533,'COMPOSIÇÕES COMPLEMENTARES '!$D:$L,3,0),IFERROR(VLOOKUP($F533,INSUMOS!$A:$D,3,0),""))))</f>
        <v>M</v>
      </c>
      <c r="I533" s="313">
        <v>27</v>
      </c>
      <c r="J533" s="314">
        <f>IF($F533="","",IFERROR(VLOOKUP($F533,SERVIÇOS!$B:$G,4,0),IFERROR(VLOOKUP($F533,'COMPOSIÇÕES COMPLEMENTARES '!$D:$L,6,0),IFERROR(VLOOKUP($F533,INSUMOS!$A:$D,4,0),""))))</f>
        <v>19.420000000000002</v>
      </c>
      <c r="K533" s="314">
        <f>IF($F533="","",IFERROR(VLOOKUP($F533,SERVIÇOS!$B:$G,5,0),IFERROR(VLOOKUP($F533,'COMPOSIÇÕES COMPLEMENTARES '!$D:$L,7,0),0)))</f>
        <v>9.32</v>
      </c>
      <c r="L533" s="314">
        <f t="shared" si="272"/>
        <v>28.740000000000002</v>
      </c>
      <c r="M533" s="314">
        <f t="shared" si="273"/>
        <v>524.34</v>
      </c>
      <c r="N533" s="314">
        <f t="shared" si="274"/>
        <v>251.64</v>
      </c>
      <c r="O533" s="314">
        <f t="shared" si="275"/>
        <v>775.98</v>
      </c>
      <c r="P533" s="314"/>
      <c r="Q533" s="315"/>
      <c r="R533" s="315"/>
      <c r="S533" s="286"/>
      <c r="T533" s="287"/>
      <c r="U533" s="288" t="str">
        <f t="shared" si="276"/>
        <v/>
      </c>
      <c r="V533" s="287"/>
      <c r="W533" s="289" t="str">
        <f t="shared" si="277"/>
        <v/>
      </c>
      <c r="X533" s="287"/>
      <c r="Y533" s="290" t="str">
        <f t="shared" si="278"/>
        <v/>
      </c>
      <c r="Z533" s="291">
        <f ca="1">SUMIF($T$8:Y$1018,"QUANT.",T533:Y533)</f>
        <v>0</v>
      </c>
      <c r="AA533" s="292">
        <f t="shared" ca="1" si="279"/>
        <v>0</v>
      </c>
      <c r="AB533" s="293" t="str">
        <f t="shared" ca="1" si="280"/>
        <v>MEDIR</v>
      </c>
      <c r="AC533" s="294">
        <f t="shared" ca="1" si="281"/>
        <v>27</v>
      </c>
      <c r="AD533" s="294">
        <f t="shared" ca="1" si="282"/>
        <v>775.98</v>
      </c>
      <c r="AE533" s="295"/>
      <c r="AF533" s="295"/>
      <c r="AG533" s="296"/>
      <c r="AH533" s="296"/>
      <c r="AI533" s="296"/>
      <c r="AJ533" s="326"/>
      <c r="AK533" s="326"/>
      <c r="AL533" s="326"/>
      <c r="AM533" s="326"/>
    </row>
    <row r="534" spans="1:39" x14ac:dyDescent="0.25">
      <c r="A534" s="232">
        <f t="shared" si="268"/>
        <v>534</v>
      </c>
      <c r="B534" s="232"/>
      <c r="C534" s="307" t="str">
        <f t="shared" si="269"/>
        <v>15.11</v>
      </c>
      <c r="D534" s="308">
        <f t="shared" si="270"/>
        <v>6</v>
      </c>
      <c r="E534" s="309" t="str">
        <f t="shared" si="271"/>
        <v>15.11.6</v>
      </c>
      <c r="F534" s="310" t="s">
        <v>12220</v>
      </c>
      <c r="G534" s="311" t="str">
        <f>IF($F534="","",IFERROR(VLOOKUP($F534,SERVIÇOS!$B:$G,2,0),IFERROR(VLOOKUP($F534,'COMPOSIÇÕES COMPLEMENTARES '!$D:$L,2,0),IFERROR(VLOOKUP($F534,INSUMOS!$A:$D,2,0),""))))</f>
        <v>ELETRODUTO RÍGIDO ROSCÁVEL, PVC, DN 32 MM (1"), INCLUSO CONEXÕES - FORNECIMENTO E INSTALAÇÃO</v>
      </c>
      <c r="H534" s="312" t="str">
        <f>IF($F534="","",IFERROR(VLOOKUP($F534,SERVIÇOS!$B:$G,3,0),IFERROR(VLOOKUP($F534,'COMPOSIÇÕES COMPLEMENTARES '!$D:$L,3,0),IFERROR(VLOOKUP($F534,INSUMOS!$A:$D,3,0),""))))</f>
        <v>M</v>
      </c>
      <c r="I534" s="313">
        <v>27</v>
      </c>
      <c r="J534" s="314">
        <f>IF($F534="","",IFERROR(VLOOKUP($F534,SERVIÇOS!$B:$G,4,0),IFERROR(VLOOKUP($F534,'COMPOSIÇÕES COMPLEMENTARES '!$D:$L,6,0),IFERROR(VLOOKUP($F534,INSUMOS!$A:$D,4,0),""))))</f>
        <v>20.07</v>
      </c>
      <c r="K534" s="314">
        <f>IF($F534="","",IFERROR(VLOOKUP($F534,SERVIÇOS!$B:$G,5,0),IFERROR(VLOOKUP($F534,'COMPOSIÇÕES COMPLEMENTARES '!$D:$L,7,0),0)))</f>
        <v>12.07</v>
      </c>
      <c r="L534" s="314">
        <f t="shared" si="272"/>
        <v>32.14</v>
      </c>
      <c r="M534" s="314">
        <f t="shared" si="273"/>
        <v>541.89</v>
      </c>
      <c r="N534" s="314">
        <f t="shared" si="274"/>
        <v>325.89</v>
      </c>
      <c r="O534" s="314">
        <f t="shared" si="275"/>
        <v>867.78</v>
      </c>
      <c r="P534" s="314"/>
      <c r="Q534" s="315"/>
      <c r="R534" s="315"/>
      <c r="S534" s="286"/>
      <c r="T534" s="287"/>
      <c r="U534" s="288" t="str">
        <f t="shared" si="276"/>
        <v/>
      </c>
      <c r="V534" s="287"/>
      <c r="W534" s="289" t="str">
        <f t="shared" si="277"/>
        <v/>
      </c>
      <c r="X534" s="287"/>
      <c r="Y534" s="290" t="str">
        <f t="shared" si="278"/>
        <v/>
      </c>
      <c r="Z534" s="291">
        <f ca="1">SUMIF($T$8:Y$1018,"QUANT.",T534:Y534)</f>
        <v>0</v>
      </c>
      <c r="AA534" s="292">
        <f t="shared" ca="1" si="279"/>
        <v>0</v>
      </c>
      <c r="AB534" s="293" t="str">
        <f t="shared" ca="1" si="280"/>
        <v>MEDIR</v>
      </c>
      <c r="AC534" s="294">
        <f t="shared" ca="1" si="281"/>
        <v>27</v>
      </c>
      <c r="AD534" s="294">
        <f t="shared" ca="1" si="282"/>
        <v>867.78</v>
      </c>
      <c r="AE534" s="295"/>
      <c r="AF534" s="295"/>
      <c r="AG534" s="296"/>
      <c r="AH534" s="296"/>
      <c r="AI534" s="296"/>
      <c r="AJ534" s="326"/>
      <c r="AK534" s="326"/>
      <c r="AL534" s="326"/>
      <c r="AM534" s="326"/>
    </row>
    <row r="535" spans="1:39" ht="25.5" x14ac:dyDescent="0.25">
      <c r="A535" s="232">
        <f t="shared" si="268"/>
        <v>535</v>
      </c>
      <c r="B535" s="232"/>
      <c r="C535" s="307" t="str">
        <f t="shared" si="269"/>
        <v>15.11</v>
      </c>
      <c r="D535" s="308">
        <f t="shared" si="270"/>
        <v>7</v>
      </c>
      <c r="E535" s="309" t="str">
        <f t="shared" si="271"/>
        <v>15.11.7</v>
      </c>
      <c r="F535" s="310">
        <v>91855</v>
      </c>
      <c r="G535" s="311" t="str">
        <f>IF($F535="","",IFERROR(VLOOKUP($F535,SERVIÇOS!$B:$G,2,0),IFERROR(VLOOKUP($F535,'COMPOSIÇÕES COMPLEMENTARES '!$D:$L,2,0),IFERROR(VLOOKUP($F535,INSUMOS!$A:$D,2,0),""))))</f>
        <v>ELETRODUTO FLEXÍVEL CORRUGADO REFORÇADO, PVC, DN 25 MM (3/4"), PARA CIRCUITOS TERMINAIS, INSTALADO EM PAREDE - FORNECIMENTO E INSTALAÇÃO. AF_03/2023</v>
      </c>
      <c r="H535" s="312" t="str">
        <f>IF($F535="","",IFERROR(VLOOKUP($F535,SERVIÇOS!$B:$G,3,0),IFERROR(VLOOKUP($F535,'COMPOSIÇÕES COMPLEMENTARES '!$D:$L,3,0),IFERROR(VLOOKUP($F535,INSUMOS!$A:$D,3,0),""))))</f>
        <v>M</v>
      </c>
      <c r="I535" s="313">
        <v>32</v>
      </c>
      <c r="J535" s="314">
        <f>IF($F535="","",IFERROR(VLOOKUP($F535,SERVIÇOS!$B:$G,4,0),IFERROR(VLOOKUP($F535,'COMPOSIÇÕES COMPLEMENTARES '!$D:$L,6,0),IFERROR(VLOOKUP($F535,INSUMOS!$A:$D,4,0),""))))</f>
        <v>8.57</v>
      </c>
      <c r="K535" s="314">
        <f>IF($F535="","",IFERROR(VLOOKUP($F535,SERVIÇOS!$B:$G,5,0),IFERROR(VLOOKUP($F535,'COMPOSIÇÕES COMPLEMENTARES '!$D:$L,7,0),0)))</f>
        <v>6.63</v>
      </c>
      <c r="L535" s="314">
        <f t="shared" si="272"/>
        <v>15.2</v>
      </c>
      <c r="M535" s="314">
        <f t="shared" si="273"/>
        <v>274.24</v>
      </c>
      <c r="N535" s="314">
        <f t="shared" si="274"/>
        <v>212.16</v>
      </c>
      <c r="O535" s="314">
        <f t="shared" si="275"/>
        <v>486.4</v>
      </c>
      <c r="P535" s="314"/>
      <c r="Q535" s="315"/>
      <c r="R535" s="315"/>
      <c r="S535" s="286"/>
      <c r="T535" s="287"/>
      <c r="U535" s="288" t="str">
        <f t="shared" si="276"/>
        <v/>
      </c>
      <c r="V535" s="287"/>
      <c r="W535" s="289" t="str">
        <f t="shared" si="277"/>
        <v/>
      </c>
      <c r="X535" s="287"/>
      <c r="Y535" s="290" t="str">
        <f t="shared" si="278"/>
        <v/>
      </c>
      <c r="Z535" s="291">
        <f ca="1">SUMIF($T$8:Y$1018,"QUANT.",T535:Y535)</f>
        <v>0</v>
      </c>
      <c r="AA535" s="292">
        <f t="shared" ca="1" si="279"/>
        <v>0</v>
      </c>
      <c r="AB535" s="293" t="str">
        <f t="shared" ca="1" si="280"/>
        <v>MEDIR</v>
      </c>
      <c r="AC535" s="294">
        <f t="shared" ca="1" si="281"/>
        <v>32</v>
      </c>
      <c r="AD535" s="294">
        <f t="shared" ca="1" si="282"/>
        <v>486.4</v>
      </c>
      <c r="AE535" s="295"/>
      <c r="AF535" s="295"/>
      <c r="AG535" s="296"/>
      <c r="AH535" s="296"/>
      <c r="AI535" s="296"/>
      <c r="AJ535" s="326"/>
      <c r="AK535" s="326"/>
      <c r="AL535" s="326"/>
      <c r="AM535" s="326"/>
    </row>
    <row r="536" spans="1:39" ht="25.5" x14ac:dyDescent="0.25">
      <c r="A536" s="232">
        <f t="shared" si="268"/>
        <v>536</v>
      </c>
      <c r="B536" s="232"/>
      <c r="C536" s="307" t="str">
        <f t="shared" si="269"/>
        <v>15.11</v>
      </c>
      <c r="D536" s="308">
        <f t="shared" si="270"/>
        <v>8</v>
      </c>
      <c r="E536" s="309" t="str">
        <f t="shared" si="271"/>
        <v>15.11.8</v>
      </c>
      <c r="F536" s="310">
        <v>91839</v>
      </c>
      <c r="G536" s="311" t="str">
        <f>IF($F536="","",IFERROR(VLOOKUP($F536,SERVIÇOS!$B:$G,2,0),IFERROR(VLOOKUP($F536,'COMPOSIÇÕES COMPLEMENTARES '!$D:$L,2,0),IFERROR(VLOOKUP($F536,INSUMOS!$A:$D,2,0),""))))</f>
        <v>ELETRODUTO FLEXÍVEL LISO, PEAD, DN 32 MM (1"), PARA CIRCUITOS TERMINAIS, INSTALADO EM FORRO - FORNECIMENTO E INSTALAÇÃO. AF_03/2023</v>
      </c>
      <c r="H536" s="312" t="str">
        <f>IF($F536="","",IFERROR(VLOOKUP($F536,SERVIÇOS!$B:$G,3,0),IFERROR(VLOOKUP($F536,'COMPOSIÇÕES COMPLEMENTARES '!$D:$L,3,0),IFERROR(VLOOKUP($F536,INSUMOS!$A:$D,3,0),""))))</f>
        <v>M</v>
      </c>
      <c r="I536" s="313">
        <v>126</v>
      </c>
      <c r="J536" s="314">
        <f>IF($F536="","",IFERROR(VLOOKUP($F536,SERVIÇOS!$B:$G,4,0),IFERROR(VLOOKUP($F536,'COMPOSIÇÕES COMPLEMENTARES '!$D:$L,6,0),IFERROR(VLOOKUP($F536,INSUMOS!$A:$D,4,0),""))))</f>
        <v>12.01</v>
      </c>
      <c r="K536" s="314">
        <f>IF($F536="","",IFERROR(VLOOKUP($F536,SERVIÇOS!$B:$G,5,0),IFERROR(VLOOKUP($F536,'COMPOSIÇÕES COMPLEMENTARES '!$D:$L,7,0),0)))</f>
        <v>12.01</v>
      </c>
      <c r="L536" s="314">
        <f t="shared" si="272"/>
        <v>24.02</v>
      </c>
      <c r="M536" s="314">
        <f t="shared" si="273"/>
        <v>1513.26</v>
      </c>
      <c r="N536" s="314">
        <f t="shared" si="274"/>
        <v>1513.26</v>
      </c>
      <c r="O536" s="314">
        <f t="shared" si="275"/>
        <v>3026.52</v>
      </c>
      <c r="P536" s="314"/>
      <c r="Q536" s="315"/>
      <c r="R536" s="315"/>
      <c r="S536" s="286"/>
      <c r="T536" s="287"/>
      <c r="U536" s="288" t="str">
        <f t="shared" si="276"/>
        <v/>
      </c>
      <c r="V536" s="287"/>
      <c r="W536" s="289" t="str">
        <f t="shared" si="277"/>
        <v/>
      </c>
      <c r="X536" s="287"/>
      <c r="Y536" s="290" t="str">
        <f t="shared" si="278"/>
        <v/>
      </c>
      <c r="Z536" s="291">
        <f ca="1">SUMIF($T$8:Y$1018,"QUANT.",T536:Y536)</f>
        <v>0</v>
      </c>
      <c r="AA536" s="292">
        <f t="shared" ca="1" si="279"/>
        <v>0</v>
      </c>
      <c r="AB536" s="293" t="str">
        <f t="shared" ca="1" si="280"/>
        <v>MEDIR</v>
      </c>
      <c r="AC536" s="294">
        <f t="shared" ca="1" si="281"/>
        <v>126</v>
      </c>
      <c r="AD536" s="294">
        <f t="shared" ca="1" si="282"/>
        <v>3026.52</v>
      </c>
      <c r="AE536" s="295"/>
      <c r="AF536" s="295"/>
      <c r="AG536" s="296"/>
      <c r="AH536" s="296"/>
      <c r="AI536" s="296"/>
      <c r="AJ536" s="326"/>
      <c r="AK536" s="326"/>
      <c r="AL536" s="326"/>
      <c r="AM536" s="326"/>
    </row>
    <row r="537" spans="1:39" ht="25.5" x14ac:dyDescent="0.25">
      <c r="A537" s="232">
        <f t="shared" si="268"/>
        <v>537</v>
      </c>
      <c r="B537" s="232"/>
      <c r="C537" s="307" t="str">
        <f t="shared" si="269"/>
        <v>15.11</v>
      </c>
      <c r="D537" s="308">
        <f t="shared" si="270"/>
        <v>9</v>
      </c>
      <c r="E537" s="309" t="str">
        <f t="shared" si="271"/>
        <v>15.11.9</v>
      </c>
      <c r="F537" s="310">
        <v>97668</v>
      </c>
      <c r="G537" s="311" t="str">
        <f>IF($F537="","",IFERROR(VLOOKUP($F537,SERVIÇOS!$B:$G,2,0),IFERROR(VLOOKUP($F537,'COMPOSIÇÕES COMPLEMENTARES '!$D:$L,2,0),IFERROR(VLOOKUP($F537,INSUMOS!$A:$D,2,0),""))))</f>
        <v>ELETRODUTO FLEXÍVEL CORRUGADO, PEAD, DN 63 (2"), PARA REDE ENTERRADA DE DISTRIBUIÇÃO DE ENERGIA ELÉTRICA - FORNECIMENTO E INSTALAÇÃO. AF_12/2021</v>
      </c>
      <c r="H537" s="312" t="str">
        <f>IF($F537="","",IFERROR(VLOOKUP($F537,SERVIÇOS!$B:$G,3,0),IFERROR(VLOOKUP($F537,'COMPOSIÇÕES COMPLEMENTARES '!$D:$L,3,0),IFERROR(VLOOKUP($F537,INSUMOS!$A:$D,3,0),""))))</f>
        <v>M</v>
      </c>
      <c r="I537" s="313">
        <v>110</v>
      </c>
      <c r="J537" s="314">
        <f>IF($F537="","",IFERROR(VLOOKUP($F537,SERVIÇOS!$B:$G,4,0),IFERROR(VLOOKUP($F537,'COMPOSIÇÕES COMPLEMENTARES '!$D:$L,6,0),IFERROR(VLOOKUP($F537,INSUMOS!$A:$D,4,0),""))))</f>
        <v>11.19</v>
      </c>
      <c r="K537" s="314">
        <f>IF($F537="","",IFERROR(VLOOKUP($F537,SERVIÇOS!$B:$G,5,0),IFERROR(VLOOKUP($F537,'COMPOSIÇÕES COMPLEMENTARES '!$D:$L,7,0),0)))</f>
        <v>4.68</v>
      </c>
      <c r="L537" s="314">
        <f t="shared" si="272"/>
        <v>15.87</v>
      </c>
      <c r="M537" s="314">
        <f t="shared" si="273"/>
        <v>1230.9000000000001</v>
      </c>
      <c r="N537" s="314">
        <f t="shared" si="274"/>
        <v>514.79999999999995</v>
      </c>
      <c r="O537" s="314">
        <f t="shared" si="275"/>
        <v>1745.7</v>
      </c>
      <c r="P537" s="314"/>
      <c r="Q537" s="315"/>
      <c r="R537" s="315"/>
      <c r="S537" s="286"/>
      <c r="T537" s="287"/>
      <c r="U537" s="288" t="str">
        <f t="shared" si="276"/>
        <v/>
      </c>
      <c r="V537" s="287"/>
      <c r="W537" s="289" t="str">
        <f t="shared" si="277"/>
        <v/>
      </c>
      <c r="X537" s="287"/>
      <c r="Y537" s="290" t="str">
        <f t="shared" si="278"/>
        <v/>
      </c>
      <c r="Z537" s="291">
        <f ca="1">SUMIF($T$8:Y$1018,"QUANT.",T537:Y537)</f>
        <v>0</v>
      </c>
      <c r="AA537" s="292">
        <f t="shared" ca="1" si="279"/>
        <v>0</v>
      </c>
      <c r="AB537" s="293" t="str">
        <f t="shared" ca="1" si="280"/>
        <v>MEDIR</v>
      </c>
      <c r="AC537" s="294">
        <f t="shared" ca="1" si="281"/>
        <v>110</v>
      </c>
      <c r="AD537" s="294">
        <f t="shared" ca="1" si="282"/>
        <v>1745.7</v>
      </c>
      <c r="AE537" s="295"/>
      <c r="AF537" s="295"/>
      <c r="AG537" s="296"/>
      <c r="AH537" s="296"/>
      <c r="AI537" s="296"/>
      <c r="AJ537" s="326"/>
      <c r="AK537" s="326"/>
      <c r="AL537" s="326"/>
      <c r="AM537" s="326"/>
    </row>
    <row r="538" spans="1:39" x14ac:dyDescent="0.25">
      <c r="A538" s="232">
        <f t="shared" si="268"/>
        <v>538</v>
      </c>
      <c r="B538" s="232"/>
      <c r="C538" s="307" t="str">
        <f t="shared" si="269"/>
        <v>15.11</v>
      </c>
      <c r="D538" s="308">
        <f t="shared" si="270"/>
        <v>10</v>
      </c>
      <c r="E538" s="309" t="str">
        <f t="shared" si="271"/>
        <v>15.11.10</v>
      </c>
      <c r="F538" s="310" t="s">
        <v>12221</v>
      </c>
      <c r="G538" s="311" t="str">
        <f>IF($F538="","",IFERROR(VLOOKUP($F538,SERVIÇOS!$B:$G,2,0),IFERROR(VLOOKUP($F538,'COMPOSIÇÕES COMPLEMENTARES '!$D:$L,2,0),IFERROR(VLOOKUP($F538,INSUMOS!$A:$D,2,0),""))))</f>
        <v>CABO FLEXÍVEL ISOL. 750V  -  #2,5MM² - AFUMEX</v>
      </c>
      <c r="H538" s="312" t="str">
        <f>IF($F538="","",IFERROR(VLOOKUP($F538,SERVIÇOS!$B:$G,3,0),IFERROR(VLOOKUP($F538,'COMPOSIÇÕES COMPLEMENTARES '!$D:$L,3,0),IFERROR(VLOOKUP($F538,INSUMOS!$A:$D,3,0),""))))</f>
        <v>M</v>
      </c>
      <c r="I538" s="313">
        <v>4000</v>
      </c>
      <c r="J538" s="314">
        <f>IF($F538="","",IFERROR(VLOOKUP($F538,SERVIÇOS!$B:$G,4,0),IFERROR(VLOOKUP($F538,'COMPOSIÇÕES COMPLEMENTARES '!$D:$L,6,0),IFERROR(VLOOKUP($F538,INSUMOS!$A:$D,4,0),""))))</f>
        <v>3.59</v>
      </c>
      <c r="K538" s="314">
        <f>IF($F538="","",IFERROR(VLOOKUP($F538,SERVIÇOS!$B:$G,5,0),IFERROR(VLOOKUP($F538,'COMPOSIÇÕES COMPLEMENTARES '!$D:$L,7,0),0)))</f>
        <v>1.48</v>
      </c>
      <c r="L538" s="314">
        <f t="shared" si="272"/>
        <v>5.07</v>
      </c>
      <c r="M538" s="314">
        <f t="shared" si="273"/>
        <v>14360</v>
      </c>
      <c r="N538" s="314">
        <f t="shared" si="274"/>
        <v>5920</v>
      </c>
      <c r="O538" s="314">
        <f t="shared" si="275"/>
        <v>20280</v>
      </c>
      <c r="P538" s="314"/>
      <c r="Q538" s="315"/>
      <c r="R538" s="315"/>
      <c r="S538" s="286"/>
      <c r="T538" s="287"/>
      <c r="U538" s="288" t="str">
        <f t="shared" si="276"/>
        <v/>
      </c>
      <c r="V538" s="287"/>
      <c r="W538" s="289" t="str">
        <f t="shared" si="277"/>
        <v/>
      </c>
      <c r="X538" s="287"/>
      <c r="Y538" s="290" t="str">
        <f t="shared" si="278"/>
        <v/>
      </c>
      <c r="Z538" s="291">
        <f ca="1">SUMIF($T$8:Y$1018,"QUANT.",T538:Y538)</f>
        <v>0</v>
      </c>
      <c r="AA538" s="292">
        <f t="shared" ca="1" si="279"/>
        <v>0</v>
      </c>
      <c r="AB538" s="293" t="str">
        <f t="shared" ca="1" si="280"/>
        <v>MEDIR</v>
      </c>
      <c r="AC538" s="294">
        <f t="shared" ca="1" si="281"/>
        <v>4000</v>
      </c>
      <c r="AD538" s="294">
        <f t="shared" ca="1" si="282"/>
        <v>20280</v>
      </c>
      <c r="AE538" s="295"/>
      <c r="AF538" s="295"/>
      <c r="AG538" s="296"/>
      <c r="AH538" s="296"/>
      <c r="AI538" s="296"/>
      <c r="AJ538" s="326"/>
      <c r="AK538" s="326"/>
      <c r="AL538" s="326"/>
      <c r="AM538" s="326"/>
    </row>
    <row r="539" spans="1:39" x14ac:dyDescent="0.25">
      <c r="A539" s="232">
        <f t="shared" si="268"/>
        <v>539</v>
      </c>
      <c r="B539" s="232"/>
      <c r="C539" s="307" t="str">
        <f t="shared" si="269"/>
        <v>15.11</v>
      </c>
      <c r="D539" s="308">
        <f t="shared" si="270"/>
        <v>11</v>
      </c>
      <c r="E539" s="309" t="str">
        <f t="shared" si="271"/>
        <v>15.11.11</v>
      </c>
      <c r="F539" s="310" t="s">
        <v>12251</v>
      </c>
      <c r="G539" s="311" t="str">
        <f>IF($F539="","",IFERROR(VLOOKUP($F539,SERVIÇOS!$B:$G,2,0),IFERROR(VLOOKUP($F539,'COMPOSIÇÕES COMPLEMENTARES '!$D:$L,2,0),IFERROR(VLOOKUP($F539,INSUMOS!$A:$D,2,0),""))))</f>
        <v>CABO FLEXÍVEL ISOL. 750V  -  #6,0MM² - AFUMEX</v>
      </c>
      <c r="H539" s="312" t="str">
        <f>IF($F539="","",IFERROR(VLOOKUP($F539,SERVIÇOS!$B:$G,3,0),IFERROR(VLOOKUP($F539,'COMPOSIÇÕES COMPLEMENTARES '!$D:$L,3,0),IFERROR(VLOOKUP($F539,INSUMOS!$A:$D,3,0),""))))</f>
        <v>M</v>
      </c>
      <c r="I539" s="313">
        <v>300</v>
      </c>
      <c r="J539" s="314">
        <f>IF($F539="","",IFERROR(VLOOKUP($F539,SERVIÇOS!$B:$G,4,0),IFERROR(VLOOKUP($F539,'COMPOSIÇÕES COMPLEMENTARES '!$D:$L,6,0),IFERROR(VLOOKUP($F539,INSUMOS!$A:$D,4,0),""))))</f>
        <v>7.73</v>
      </c>
      <c r="K539" s="314">
        <f>IF($F539="","",IFERROR(VLOOKUP($F539,SERVIÇOS!$B:$G,5,0),IFERROR(VLOOKUP($F539,'COMPOSIÇÕES COMPLEMENTARES '!$D:$L,7,0),0)))</f>
        <v>2.56</v>
      </c>
      <c r="L539" s="314">
        <f t="shared" si="272"/>
        <v>10.290000000000001</v>
      </c>
      <c r="M539" s="314">
        <f t="shared" si="273"/>
        <v>2319</v>
      </c>
      <c r="N539" s="314">
        <f t="shared" si="274"/>
        <v>768</v>
      </c>
      <c r="O539" s="314">
        <f t="shared" si="275"/>
        <v>3087</v>
      </c>
      <c r="P539" s="314"/>
      <c r="Q539" s="315"/>
      <c r="R539" s="315"/>
      <c r="S539" s="286"/>
      <c r="T539" s="287"/>
      <c r="U539" s="288" t="str">
        <f t="shared" si="276"/>
        <v/>
      </c>
      <c r="V539" s="287"/>
      <c r="W539" s="289" t="str">
        <f t="shared" si="277"/>
        <v/>
      </c>
      <c r="X539" s="287"/>
      <c r="Y539" s="290" t="str">
        <f t="shared" si="278"/>
        <v/>
      </c>
      <c r="Z539" s="291">
        <f ca="1">SUMIF($T$8:Y$1018,"QUANT.",T539:Y539)</f>
        <v>0</v>
      </c>
      <c r="AA539" s="292">
        <f t="shared" ca="1" si="279"/>
        <v>0</v>
      </c>
      <c r="AB539" s="293" t="str">
        <f t="shared" ca="1" si="280"/>
        <v>MEDIR</v>
      </c>
      <c r="AC539" s="294">
        <f t="shared" ca="1" si="281"/>
        <v>300</v>
      </c>
      <c r="AD539" s="294">
        <f t="shared" ca="1" si="282"/>
        <v>3087</v>
      </c>
      <c r="AE539" s="295"/>
      <c r="AF539" s="295"/>
      <c r="AG539" s="296"/>
      <c r="AH539" s="296"/>
      <c r="AI539" s="296"/>
      <c r="AJ539" s="326"/>
      <c r="AK539" s="326"/>
      <c r="AL539" s="326"/>
      <c r="AM539" s="326"/>
    </row>
    <row r="540" spans="1:39" x14ac:dyDescent="0.25">
      <c r="A540" s="232">
        <f t="shared" si="268"/>
        <v>540</v>
      </c>
      <c r="B540" s="232"/>
      <c r="C540" s="307" t="str">
        <f t="shared" si="269"/>
        <v>15.11</v>
      </c>
      <c r="D540" s="308">
        <f t="shared" si="270"/>
        <v>12</v>
      </c>
      <c r="E540" s="309" t="str">
        <f t="shared" si="271"/>
        <v>15.11.12</v>
      </c>
      <c r="F540" s="310" t="s">
        <v>12252</v>
      </c>
      <c r="G540" s="311" t="str">
        <f>IF($F540="","",IFERROR(VLOOKUP($F540,SERVIÇOS!$B:$G,2,0),IFERROR(VLOOKUP($F540,'COMPOSIÇÕES COMPLEMENTARES '!$D:$L,2,0),IFERROR(VLOOKUP($F540,INSUMOS!$A:$D,2,0),""))))</f>
        <v>CABO AFUMEX 0,6/1KV 1 CONDUTOR 2,5mm2</v>
      </c>
      <c r="H540" s="312" t="str">
        <f>IF($F540="","",IFERROR(VLOOKUP($F540,SERVIÇOS!$B:$G,3,0),IFERROR(VLOOKUP($F540,'COMPOSIÇÕES COMPLEMENTARES '!$D:$L,3,0),IFERROR(VLOOKUP($F540,INSUMOS!$A:$D,3,0),""))))</f>
        <v>M</v>
      </c>
      <c r="I540" s="313">
        <v>495</v>
      </c>
      <c r="J540" s="314">
        <f>IF($F540="","",IFERROR(VLOOKUP($F540,SERVIÇOS!$B:$G,4,0),IFERROR(VLOOKUP($F540,'COMPOSIÇÕES COMPLEMENTARES '!$D:$L,6,0),IFERROR(VLOOKUP($F540,INSUMOS!$A:$D,4,0),""))))</f>
        <v>6.98</v>
      </c>
      <c r="K540" s="314">
        <f>IF($F540="","",IFERROR(VLOOKUP($F540,SERVIÇOS!$B:$G,5,0),IFERROR(VLOOKUP($F540,'COMPOSIÇÕES COMPLEMENTARES '!$D:$L,7,0),0)))</f>
        <v>10.199999999999999</v>
      </c>
      <c r="L540" s="314">
        <f t="shared" si="272"/>
        <v>17.18</v>
      </c>
      <c r="M540" s="314">
        <f t="shared" si="273"/>
        <v>3455.1</v>
      </c>
      <c r="N540" s="314">
        <f t="shared" si="274"/>
        <v>5049</v>
      </c>
      <c r="O540" s="314">
        <f t="shared" si="275"/>
        <v>8504.1</v>
      </c>
      <c r="P540" s="314"/>
      <c r="Q540" s="315"/>
      <c r="R540" s="315"/>
      <c r="S540" s="286"/>
      <c r="T540" s="287"/>
      <c r="U540" s="288" t="str">
        <f t="shared" si="276"/>
        <v/>
      </c>
      <c r="V540" s="287"/>
      <c r="W540" s="289" t="str">
        <f t="shared" si="277"/>
        <v/>
      </c>
      <c r="X540" s="287"/>
      <c r="Y540" s="290" t="str">
        <f t="shared" si="278"/>
        <v/>
      </c>
      <c r="Z540" s="291">
        <f ca="1">SUMIF($T$8:Y$1018,"QUANT.",T540:Y540)</f>
        <v>0</v>
      </c>
      <c r="AA540" s="292">
        <f t="shared" ca="1" si="279"/>
        <v>0</v>
      </c>
      <c r="AB540" s="293" t="str">
        <f t="shared" ca="1" si="280"/>
        <v>MEDIR</v>
      </c>
      <c r="AC540" s="294">
        <f t="shared" ca="1" si="281"/>
        <v>495</v>
      </c>
      <c r="AD540" s="294">
        <f t="shared" ca="1" si="282"/>
        <v>8504.1</v>
      </c>
      <c r="AE540" s="295"/>
      <c r="AF540" s="295"/>
      <c r="AG540" s="296"/>
      <c r="AH540" s="296"/>
      <c r="AI540" s="296"/>
      <c r="AJ540" s="326"/>
      <c r="AK540" s="326"/>
      <c r="AL540" s="326"/>
      <c r="AM540" s="326"/>
    </row>
    <row r="541" spans="1:39" x14ac:dyDescent="0.25">
      <c r="A541" s="232">
        <f t="shared" si="268"/>
        <v>541</v>
      </c>
      <c r="B541" s="232"/>
      <c r="C541" s="307" t="str">
        <f t="shared" si="269"/>
        <v>15.11</v>
      </c>
      <c r="D541" s="308">
        <f t="shared" si="270"/>
        <v>13</v>
      </c>
      <c r="E541" s="309" t="str">
        <f t="shared" si="271"/>
        <v>15.11.13</v>
      </c>
      <c r="F541" s="310" t="s">
        <v>12222</v>
      </c>
      <c r="G541" s="311" t="str">
        <f>IF($F541="","",IFERROR(VLOOKUP($F541,SERVIÇOS!$B:$G,2,0),IFERROR(VLOOKUP($F541,'COMPOSIÇÕES COMPLEMENTARES '!$D:$L,2,0),IFERROR(VLOOKUP($F541,INSUMOS!$A:$D,2,0),""))))</f>
        <v>CONDUTOR DE COBRE FLEX ISOL. 1KV - 90º -  #4,0MM² - AFUMEX</v>
      </c>
      <c r="H541" s="312" t="str">
        <f>IF($F541="","",IFERROR(VLOOKUP($F541,SERVIÇOS!$B:$G,3,0),IFERROR(VLOOKUP($F541,'COMPOSIÇÕES COMPLEMENTARES '!$D:$L,3,0),IFERROR(VLOOKUP($F541,INSUMOS!$A:$D,3,0),""))))</f>
        <v>M</v>
      </c>
      <c r="I541" s="313">
        <v>128</v>
      </c>
      <c r="J541" s="314">
        <f>IF($F541="","",IFERROR(VLOOKUP($F541,SERVIÇOS!$B:$G,4,0),IFERROR(VLOOKUP($F541,'COMPOSIÇÕES COMPLEMENTARES '!$D:$L,6,0),IFERROR(VLOOKUP($F541,INSUMOS!$A:$D,4,0),""))))</f>
        <v>6.12</v>
      </c>
      <c r="K541" s="314">
        <f>IF($F541="","",IFERROR(VLOOKUP($F541,SERVIÇOS!$B:$G,5,0),IFERROR(VLOOKUP($F541,'COMPOSIÇÕES COMPLEMENTARES '!$D:$L,7,0),0)))</f>
        <v>1.97</v>
      </c>
      <c r="L541" s="314">
        <f t="shared" si="272"/>
        <v>8.09</v>
      </c>
      <c r="M541" s="314">
        <f t="shared" si="273"/>
        <v>783.36</v>
      </c>
      <c r="N541" s="314">
        <f t="shared" si="274"/>
        <v>252.16</v>
      </c>
      <c r="O541" s="314">
        <f t="shared" si="275"/>
        <v>1035.52</v>
      </c>
      <c r="P541" s="314"/>
      <c r="Q541" s="315"/>
      <c r="R541" s="315"/>
      <c r="S541" s="286"/>
      <c r="T541" s="287"/>
      <c r="U541" s="288" t="str">
        <f t="shared" si="276"/>
        <v/>
      </c>
      <c r="V541" s="287"/>
      <c r="W541" s="289" t="str">
        <f t="shared" si="277"/>
        <v/>
      </c>
      <c r="X541" s="287"/>
      <c r="Y541" s="290" t="str">
        <f t="shared" si="278"/>
        <v/>
      </c>
      <c r="Z541" s="291">
        <f ca="1">SUMIF($T$8:Y$1018,"QUANT.",T541:Y541)</f>
        <v>0</v>
      </c>
      <c r="AA541" s="292">
        <f t="shared" ca="1" si="279"/>
        <v>0</v>
      </c>
      <c r="AB541" s="293" t="str">
        <f t="shared" ca="1" si="280"/>
        <v>MEDIR</v>
      </c>
      <c r="AC541" s="294">
        <f t="shared" ca="1" si="281"/>
        <v>128</v>
      </c>
      <c r="AD541" s="294">
        <f t="shared" ca="1" si="282"/>
        <v>1035.52</v>
      </c>
      <c r="AE541" s="295"/>
      <c r="AF541" s="295"/>
      <c r="AG541" s="296"/>
      <c r="AH541" s="296"/>
      <c r="AI541" s="296"/>
      <c r="AJ541" s="326"/>
      <c r="AK541" s="326"/>
      <c r="AL541" s="326"/>
      <c r="AM541" s="326"/>
    </row>
    <row r="542" spans="1:39" x14ac:dyDescent="0.25">
      <c r="A542" s="232">
        <f t="shared" si="268"/>
        <v>542</v>
      </c>
      <c r="B542" s="232"/>
      <c r="C542" s="316" t="str">
        <f>+E542</f>
        <v>15.12</v>
      </c>
      <c r="D542" s="297"/>
      <c r="E542" s="317" t="s">
        <v>12253</v>
      </c>
      <c r="F542" s="317"/>
      <c r="G542" s="318" t="s">
        <v>12254</v>
      </c>
      <c r="H542" s="317"/>
      <c r="I542" s="319"/>
      <c r="J542" s="317"/>
      <c r="K542" s="317"/>
      <c r="L542" s="317"/>
      <c r="M542" s="317"/>
      <c r="N542" s="317"/>
      <c r="O542" s="317"/>
      <c r="P542" s="317"/>
      <c r="Q542" s="320"/>
      <c r="R542" s="306"/>
      <c r="S542" s="286"/>
      <c r="T542" s="287"/>
      <c r="U542" s="288" t="str">
        <f t="shared" si="276"/>
        <v/>
      </c>
      <c r="V542" s="287"/>
      <c r="W542" s="289" t="str">
        <f t="shared" si="277"/>
        <v/>
      </c>
      <c r="X542" s="287"/>
      <c r="Y542" s="290" t="str">
        <f t="shared" si="278"/>
        <v/>
      </c>
      <c r="Z542" s="291">
        <f ca="1">SUMIF($T$8:Y$1018,"QUANT.",T542:Y542)</f>
        <v>0</v>
      </c>
      <c r="AA542" s="292">
        <f t="shared" ca="1" si="279"/>
        <v>0</v>
      </c>
      <c r="AB542" s="293" t="str">
        <f t="shared" si="280"/>
        <v/>
      </c>
      <c r="AC542" s="294">
        <f t="shared" ca="1" si="281"/>
        <v>0</v>
      </c>
      <c r="AD542" s="294">
        <f t="shared" ca="1" si="282"/>
        <v>0</v>
      </c>
      <c r="AE542" s="295"/>
      <c r="AF542" s="295"/>
      <c r="AG542" s="296"/>
      <c r="AH542" s="296"/>
      <c r="AI542" s="296"/>
      <c r="AJ542" s="326"/>
      <c r="AK542" s="326"/>
      <c r="AL542" s="326"/>
      <c r="AM542" s="326"/>
    </row>
    <row r="543" spans="1:39" x14ac:dyDescent="0.25">
      <c r="A543" s="232">
        <f t="shared" si="268"/>
        <v>543</v>
      </c>
      <c r="B543" s="232"/>
      <c r="C543" s="307" t="str">
        <f t="shared" ref="C543:C548" si="283">+C542</f>
        <v>15.12</v>
      </c>
      <c r="D543" s="308">
        <f t="shared" ref="D543:D548" si="284">1+D542</f>
        <v>1</v>
      </c>
      <c r="E543" s="309" t="str">
        <f t="shared" ref="E543:E548" si="285">C543&amp;"."&amp;D543</f>
        <v>15.12.1</v>
      </c>
      <c r="F543" s="310" t="s">
        <v>12255</v>
      </c>
      <c r="G543" s="311" t="str">
        <f>IF($F543="","",IFERROR(VLOOKUP($F543,SERVIÇOS!$B:$G,2,0),IFERROR(VLOOKUP($F543,'COMPOSIÇÕES COMPLEMENTARES '!$D:$L,2,0),IFERROR(VLOOKUP($F543,INSUMOS!$A:$D,2,0),""))))</f>
        <v>QF-VÁCUO - QUADRO DE COMANDO 40X40X15CM PARA ESPERA DOS CABOS DA CENTRAL DE VÁCUO</v>
      </c>
      <c r="H543" s="312" t="str">
        <f>IF($F543="","",IFERROR(VLOOKUP($F543,SERVIÇOS!$B:$G,3,0),IFERROR(VLOOKUP($F543,'COMPOSIÇÕES COMPLEMENTARES '!$D:$L,3,0),IFERROR(VLOOKUP($F543,INSUMOS!$A:$D,3,0),""))))</f>
        <v>UN</v>
      </c>
      <c r="I543" s="313">
        <v>1</v>
      </c>
      <c r="J543" s="314">
        <f>IF($F543="","",IFERROR(VLOOKUP($F543,SERVIÇOS!$B:$G,4,0),IFERROR(VLOOKUP($F543,'COMPOSIÇÕES COMPLEMENTARES '!$D:$L,6,0),IFERROR(VLOOKUP($F543,INSUMOS!$A:$D,4,0),""))))</f>
        <v>552.09</v>
      </c>
      <c r="K543" s="314">
        <f>IF($F543="","",IFERROR(VLOOKUP($F543,SERVIÇOS!$B:$G,5,0),IFERROR(VLOOKUP($F543,'COMPOSIÇÕES COMPLEMENTARES '!$D:$L,7,0),0)))</f>
        <v>35.61</v>
      </c>
      <c r="L543" s="314">
        <f t="shared" ref="L543:L548" si="286">IF(I543="","",J543+K543)</f>
        <v>587.70000000000005</v>
      </c>
      <c r="M543" s="314">
        <f t="shared" ref="M543:M548" si="287">IF(I543="","",TRUNC((I543*J543),2))</f>
        <v>552.09</v>
      </c>
      <c r="N543" s="314">
        <f t="shared" ref="N543:N548" si="288">IF(I543="","",TRUNC((I543*K543),2))</f>
        <v>35.61</v>
      </c>
      <c r="O543" s="314">
        <f t="shared" ref="O543:O548" si="289">IF(I543="","",TRUNC((M543+N543),2))</f>
        <v>587.70000000000005</v>
      </c>
      <c r="P543" s="314"/>
      <c r="Q543" s="315"/>
      <c r="R543" s="315"/>
      <c r="S543" s="286"/>
      <c r="T543" s="287"/>
      <c r="U543" s="288" t="str">
        <f t="shared" si="276"/>
        <v/>
      </c>
      <c r="V543" s="287"/>
      <c r="W543" s="289" t="str">
        <f t="shared" si="277"/>
        <v/>
      </c>
      <c r="X543" s="287"/>
      <c r="Y543" s="290" t="str">
        <f t="shared" si="278"/>
        <v/>
      </c>
      <c r="Z543" s="291">
        <f ca="1">SUMIF($T$8:Y$1018,"QUANT.",T543:Y543)</f>
        <v>0</v>
      </c>
      <c r="AA543" s="292">
        <f t="shared" ca="1" si="279"/>
        <v>0</v>
      </c>
      <c r="AB543" s="293" t="str">
        <f t="shared" ca="1" si="280"/>
        <v>MEDIR</v>
      </c>
      <c r="AC543" s="294">
        <f t="shared" ca="1" si="281"/>
        <v>1</v>
      </c>
      <c r="AD543" s="294">
        <f t="shared" ca="1" si="282"/>
        <v>587.70000000000005</v>
      </c>
      <c r="AE543" s="295"/>
      <c r="AF543" s="295"/>
      <c r="AG543" s="296"/>
      <c r="AH543" s="296"/>
      <c r="AI543" s="296"/>
      <c r="AJ543" s="326"/>
      <c r="AK543" s="326"/>
      <c r="AL543" s="326"/>
      <c r="AM543" s="326"/>
    </row>
    <row r="544" spans="1:39" x14ac:dyDescent="0.25">
      <c r="A544" s="232">
        <f t="shared" si="268"/>
        <v>544</v>
      </c>
      <c r="B544" s="232"/>
      <c r="C544" s="307" t="str">
        <f t="shared" si="283"/>
        <v>15.12</v>
      </c>
      <c r="D544" s="308">
        <f t="shared" si="284"/>
        <v>2</v>
      </c>
      <c r="E544" s="309" t="str">
        <f t="shared" si="285"/>
        <v>15.12.2</v>
      </c>
      <c r="F544" s="310">
        <v>93670</v>
      </c>
      <c r="G544" s="311" t="str">
        <f>IF($F544="","",IFERROR(VLOOKUP($F544,SERVIÇOS!$B:$G,2,0),IFERROR(VLOOKUP($F544,'COMPOSIÇÕES COMPLEMENTARES '!$D:$L,2,0),IFERROR(VLOOKUP($F544,INSUMOS!$A:$D,2,0),""))))</f>
        <v>DISJUNTOR TRIPOLAR TIPO DIN, CORRENTE NOMINAL DE 25A - FORNECIMENTO E INSTALAÇÃO. AF_10/2020</v>
      </c>
      <c r="H544" s="312" t="str">
        <f>IF($F544="","",IFERROR(VLOOKUP($F544,SERVIÇOS!$B:$G,3,0),IFERROR(VLOOKUP($F544,'COMPOSIÇÕES COMPLEMENTARES '!$D:$L,3,0),IFERROR(VLOOKUP($F544,INSUMOS!$A:$D,3,0),""))))</f>
        <v>UN</v>
      </c>
      <c r="I544" s="313">
        <v>1</v>
      </c>
      <c r="J544" s="314">
        <f>IF($F544="","",IFERROR(VLOOKUP($F544,SERVIÇOS!$B:$G,4,0),IFERROR(VLOOKUP($F544,'COMPOSIÇÕES COMPLEMENTARES '!$D:$L,6,0),IFERROR(VLOOKUP($F544,INSUMOS!$A:$D,4,0),""))))</f>
        <v>75.510000000000005</v>
      </c>
      <c r="K544" s="314">
        <f>IF($F544="","",IFERROR(VLOOKUP($F544,SERVIÇOS!$B:$G,5,0),IFERROR(VLOOKUP($F544,'COMPOSIÇÕES COMPLEMENTARES '!$D:$L,7,0),0)))</f>
        <v>9.83</v>
      </c>
      <c r="L544" s="314">
        <f t="shared" si="286"/>
        <v>85.34</v>
      </c>
      <c r="M544" s="314">
        <f t="shared" si="287"/>
        <v>75.510000000000005</v>
      </c>
      <c r="N544" s="314">
        <f t="shared" si="288"/>
        <v>9.83</v>
      </c>
      <c r="O544" s="314">
        <f t="shared" si="289"/>
        <v>85.34</v>
      </c>
      <c r="P544" s="314"/>
      <c r="Q544" s="315"/>
      <c r="R544" s="315"/>
      <c r="S544" s="286"/>
      <c r="T544" s="287"/>
      <c r="U544" s="288" t="str">
        <f t="shared" si="276"/>
        <v/>
      </c>
      <c r="V544" s="287"/>
      <c r="W544" s="289" t="str">
        <f t="shared" si="277"/>
        <v/>
      </c>
      <c r="X544" s="287"/>
      <c r="Y544" s="290" t="str">
        <f t="shared" si="278"/>
        <v/>
      </c>
      <c r="Z544" s="291">
        <f ca="1">SUMIF($T$8:Y$1018,"QUANT.",T544:Y544)</f>
        <v>0</v>
      </c>
      <c r="AA544" s="292">
        <f t="shared" ca="1" si="279"/>
        <v>0</v>
      </c>
      <c r="AB544" s="293" t="str">
        <f t="shared" ca="1" si="280"/>
        <v>MEDIR</v>
      </c>
      <c r="AC544" s="294">
        <f t="shared" ca="1" si="281"/>
        <v>1</v>
      </c>
      <c r="AD544" s="294">
        <f t="shared" ca="1" si="282"/>
        <v>85.34</v>
      </c>
      <c r="AE544" s="295"/>
      <c r="AF544" s="295"/>
      <c r="AG544" s="296"/>
      <c r="AH544" s="296"/>
      <c r="AI544" s="296"/>
      <c r="AJ544" s="326"/>
      <c r="AK544" s="326"/>
      <c r="AL544" s="326"/>
      <c r="AM544" s="326"/>
    </row>
    <row r="545" spans="1:39" x14ac:dyDescent="0.25">
      <c r="A545" s="232">
        <f t="shared" si="268"/>
        <v>545</v>
      </c>
      <c r="B545" s="232"/>
      <c r="C545" s="307" t="str">
        <f t="shared" si="283"/>
        <v>15.12</v>
      </c>
      <c r="D545" s="308">
        <f t="shared" si="284"/>
        <v>3</v>
      </c>
      <c r="E545" s="309" t="str">
        <f t="shared" si="285"/>
        <v>15.12.3</v>
      </c>
      <c r="F545" s="310" t="s">
        <v>12222</v>
      </c>
      <c r="G545" s="311" t="str">
        <f>IF($F545="","",IFERROR(VLOOKUP($F545,SERVIÇOS!$B:$G,2,0),IFERROR(VLOOKUP($F545,'COMPOSIÇÕES COMPLEMENTARES '!$D:$L,2,0),IFERROR(VLOOKUP($F545,INSUMOS!$A:$D,2,0),""))))</f>
        <v>CONDUTOR DE COBRE FLEX ISOL. 1KV - 90º -  #4,0MM² - AFUMEX</v>
      </c>
      <c r="H545" s="312" t="str">
        <f>IF($F545="","",IFERROR(VLOOKUP($F545,SERVIÇOS!$B:$G,3,0),IFERROR(VLOOKUP($F545,'COMPOSIÇÕES COMPLEMENTARES '!$D:$L,3,0),IFERROR(VLOOKUP($F545,INSUMOS!$A:$D,3,0),""))))</f>
        <v>M</v>
      </c>
      <c r="I545" s="313">
        <v>160</v>
      </c>
      <c r="J545" s="314">
        <f>IF($F545="","",IFERROR(VLOOKUP($F545,SERVIÇOS!$B:$G,4,0),IFERROR(VLOOKUP($F545,'COMPOSIÇÕES COMPLEMENTARES '!$D:$L,6,0),IFERROR(VLOOKUP($F545,INSUMOS!$A:$D,4,0),""))))</f>
        <v>6.12</v>
      </c>
      <c r="K545" s="314">
        <f>IF($F545="","",IFERROR(VLOOKUP($F545,SERVIÇOS!$B:$G,5,0),IFERROR(VLOOKUP($F545,'COMPOSIÇÕES COMPLEMENTARES '!$D:$L,7,0),0)))</f>
        <v>1.97</v>
      </c>
      <c r="L545" s="314">
        <f t="shared" si="286"/>
        <v>8.09</v>
      </c>
      <c r="M545" s="314">
        <f t="shared" si="287"/>
        <v>979.2</v>
      </c>
      <c r="N545" s="314">
        <f t="shared" si="288"/>
        <v>315.2</v>
      </c>
      <c r="O545" s="314">
        <f t="shared" si="289"/>
        <v>1294.4000000000001</v>
      </c>
      <c r="P545" s="314"/>
      <c r="Q545" s="315"/>
      <c r="R545" s="315"/>
      <c r="S545" s="286"/>
      <c r="T545" s="287"/>
      <c r="U545" s="288" t="str">
        <f t="shared" si="276"/>
        <v/>
      </c>
      <c r="V545" s="287"/>
      <c r="W545" s="289" t="str">
        <f t="shared" si="277"/>
        <v/>
      </c>
      <c r="X545" s="287"/>
      <c r="Y545" s="290" t="str">
        <f t="shared" si="278"/>
        <v/>
      </c>
      <c r="Z545" s="291">
        <f ca="1">SUMIF($T$8:Y$1018,"QUANT.",T545:Y545)</f>
        <v>0</v>
      </c>
      <c r="AA545" s="292">
        <f t="shared" ca="1" si="279"/>
        <v>0</v>
      </c>
      <c r="AB545" s="293" t="str">
        <f t="shared" ca="1" si="280"/>
        <v>MEDIR</v>
      </c>
      <c r="AC545" s="294">
        <f t="shared" ca="1" si="281"/>
        <v>160</v>
      </c>
      <c r="AD545" s="294">
        <f t="shared" ca="1" si="282"/>
        <v>1294.4000000000001</v>
      </c>
      <c r="AE545" s="295"/>
      <c r="AF545" s="295"/>
      <c r="AG545" s="296"/>
      <c r="AH545" s="296"/>
      <c r="AI545" s="296"/>
      <c r="AJ545" s="326"/>
      <c r="AK545" s="326"/>
      <c r="AL545" s="326"/>
      <c r="AM545" s="326"/>
    </row>
    <row r="546" spans="1:39" x14ac:dyDescent="0.25">
      <c r="A546" s="232">
        <f t="shared" si="268"/>
        <v>546</v>
      </c>
      <c r="B546" s="232"/>
      <c r="C546" s="307" t="str">
        <f t="shared" si="283"/>
        <v>15.12</v>
      </c>
      <c r="D546" s="308">
        <f t="shared" si="284"/>
        <v>4</v>
      </c>
      <c r="E546" s="309" t="str">
        <f t="shared" si="285"/>
        <v>15.12.4</v>
      </c>
      <c r="F546" s="310" t="s">
        <v>12256</v>
      </c>
      <c r="G546" s="311" t="str">
        <f>IF($F546="","",IFERROR(VLOOKUP($F546,SERVIÇOS!$B:$G,2,0),IFERROR(VLOOKUP($F546,'COMPOSIÇÕES COMPLEMENTARES '!$D:$L,2,0),IFERROR(VLOOKUP($F546,INSUMOS!$A:$D,2,0),""))))</f>
        <v xml:space="preserve">TERMINAL DE COMPRESSÃO #4,0MM² </v>
      </c>
      <c r="H546" s="312" t="str">
        <f>IF($F546="","",IFERROR(VLOOKUP($F546,SERVIÇOS!$B:$G,3,0),IFERROR(VLOOKUP($F546,'COMPOSIÇÕES COMPLEMENTARES '!$D:$L,3,0),IFERROR(VLOOKUP($F546,INSUMOS!$A:$D,3,0),""))))</f>
        <v>UN</v>
      </c>
      <c r="I546" s="313">
        <v>10</v>
      </c>
      <c r="J546" s="314">
        <f>IF($F546="","",IFERROR(VLOOKUP($F546,SERVIÇOS!$B:$G,4,0),IFERROR(VLOOKUP($F546,'COMPOSIÇÕES COMPLEMENTARES '!$D:$L,6,0),IFERROR(VLOOKUP($F546,INSUMOS!$A:$D,4,0),""))))</f>
        <v>1.93</v>
      </c>
      <c r="K546" s="314">
        <f>IF($F546="","",IFERROR(VLOOKUP($F546,SERVIÇOS!$B:$G,5,0),IFERROR(VLOOKUP($F546,'COMPOSIÇÕES COMPLEMENTARES '!$D:$L,7,0),0)))</f>
        <v>1.1200000000000001</v>
      </c>
      <c r="L546" s="314">
        <f t="shared" si="286"/>
        <v>3.05</v>
      </c>
      <c r="M546" s="314">
        <f t="shared" si="287"/>
        <v>19.3</v>
      </c>
      <c r="N546" s="314">
        <f t="shared" si="288"/>
        <v>11.2</v>
      </c>
      <c r="O546" s="314">
        <f t="shared" si="289"/>
        <v>30.5</v>
      </c>
      <c r="P546" s="314"/>
      <c r="Q546" s="315"/>
      <c r="R546" s="315"/>
      <c r="S546" s="286"/>
      <c r="T546" s="287"/>
      <c r="U546" s="288" t="str">
        <f t="shared" si="276"/>
        <v/>
      </c>
      <c r="V546" s="287"/>
      <c r="W546" s="289" t="str">
        <f t="shared" si="277"/>
        <v/>
      </c>
      <c r="X546" s="287"/>
      <c r="Y546" s="290" t="str">
        <f t="shared" si="278"/>
        <v/>
      </c>
      <c r="Z546" s="291">
        <f ca="1">SUMIF($T$8:Y$1018,"QUANT.",T546:Y546)</f>
        <v>0</v>
      </c>
      <c r="AA546" s="292">
        <f t="shared" ca="1" si="279"/>
        <v>0</v>
      </c>
      <c r="AB546" s="293" t="str">
        <f t="shared" ca="1" si="280"/>
        <v>MEDIR</v>
      </c>
      <c r="AC546" s="294">
        <f t="shared" ca="1" si="281"/>
        <v>10</v>
      </c>
      <c r="AD546" s="294">
        <f t="shared" ca="1" si="282"/>
        <v>30.5</v>
      </c>
      <c r="AE546" s="295"/>
      <c r="AF546" s="295"/>
      <c r="AG546" s="296"/>
      <c r="AH546" s="296"/>
      <c r="AI546" s="296"/>
      <c r="AJ546" s="326"/>
      <c r="AK546" s="326"/>
      <c r="AL546" s="326"/>
      <c r="AM546" s="326"/>
    </row>
    <row r="547" spans="1:39" x14ac:dyDescent="0.25">
      <c r="A547" s="232">
        <f t="shared" si="268"/>
        <v>547</v>
      </c>
      <c r="B547" s="232"/>
      <c r="C547" s="307" t="str">
        <f t="shared" si="283"/>
        <v>15.12</v>
      </c>
      <c r="D547" s="308">
        <f t="shared" si="284"/>
        <v>5</v>
      </c>
      <c r="E547" s="309" t="str">
        <f t="shared" si="285"/>
        <v>15.12.5</v>
      </c>
      <c r="F547" s="310" t="s">
        <v>12257</v>
      </c>
      <c r="G547" s="311" t="str">
        <f>IF($F547="","",IFERROR(VLOOKUP($F547,SERVIÇOS!$B:$G,2,0),IFERROR(VLOOKUP($F547,'COMPOSIÇÕES COMPLEMENTARES '!$D:$L,2,0),IFERROR(VLOOKUP($F547,INSUMOS!$A:$D,2,0),""))))</f>
        <v>ELETRODUTO FLEXÍVEL EM PEAD Ø1"</v>
      </c>
      <c r="H547" s="312" t="str">
        <f>IF($F547="","",IFERROR(VLOOKUP($F547,SERVIÇOS!$B:$G,3,0),IFERROR(VLOOKUP($F547,'COMPOSIÇÕES COMPLEMENTARES '!$D:$L,3,0),IFERROR(VLOOKUP($F547,INSUMOS!$A:$D,3,0),""))))</f>
        <v>M</v>
      </c>
      <c r="I547" s="313">
        <v>32</v>
      </c>
      <c r="J547" s="314">
        <f>IF($F547="","",IFERROR(VLOOKUP($F547,SERVIÇOS!$B:$G,4,0),IFERROR(VLOOKUP($F547,'COMPOSIÇÕES COMPLEMENTARES '!$D:$L,6,0),IFERROR(VLOOKUP($F547,INSUMOS!$A:$D,4,0),""))))</f>
        <v>6.53</v>
      </c>
      <c r="K547" s="314">
        <f>IF($F547="","",IFERROR(VLOOKUP($F547,SERVIÇOS!$B:$G,5,0),IFERROR(VLOOKUP($F547,'COMPOSIÇÕES COMPLEMENTARES '!$D:$L,7,0),0)))</f>
        <v>8.1199999999999992</v>
      </c>
      <c r="L547" s="314">
        <f t="shared" si="286"/>
        <v>14.649999999999999</v>
      </c>
      <c r="M547" s="314">
        <f t="shared" si="287"/>
        <v>208.96</v>
      </c>
      <c r="N547" s="314">
        <f t="shared" si="288"/>
        <v>259.83999999999997</v>
      </c>
      <c r="O547" s="314">
        <f t="shared" si="289"/>
        <v>468.8</v>
      </c>
      <c r="P547" s="314"/>
      <c r="Q547" s="315"/>
      <c r="R547" s="315"/>
      <c r="S547" s="286"/>
      <c r="T547" s="287"/>
      <c r="U547" s="288" t="str">
        <f t="shared" si="276"/>
        <v/>
      </c>
      <c r="V547" s="287"/>
      <c r="W547" s="289" t="str">
        <f t="shared" si="277"/>
        <v/>
      </c>
      <c r="X547" s="287"/>
      <c r="Y547" s="290" t="str">
        <f t="shared" si="278"/>
        <v/>
      </c>
      <c r="Z547" s="291">
        <f ca="1">SUMIF($T$8:Y$1018,"QUANT.",T547:Y547)</f>
        <v>0</v>
      </c>
      <c r="AA547" s="292">
        <f t="shared" ca="1" si="279"/>
        <v>0</v>
      </c>
      <c r="AB547" s="293" t="str">
        <f t="shared" ca="1" si="280"/>
        <v>MEDIR</v>
      </c>
      <c r="AC547" s="294">
        <f t="shared" ca="1" si="281"/>
        <v>32</v>
      </c>
      <c r="AD547" s="294">
        <f t="shared" ca="1" si="282"/>
        <v>468.8</v>
      </c>
      <c r="AE547" s="295"/>
      <c r="AF547" s="295"/>
      <c r="AG547" s="296"/>
      <c r="AH547" s="296"/>
      <c r="AI547" s="296"/>
      <c r="AJ547" s="326"/>
      <c r="AK547" s="326"/>
      <c r="AL547" s="326"/>
      <c r="AM547" s="326"/>
    </row>
    <row r="548" spans="1:39" x14ac:dyDescent="0.25">
      <c r="A548" s="232">
        <f t="shared" si="268"/>
        <v>548</v>
      </c>
      <c r="B548" s="232"/>
      <c r="C548" s="307" t="str">
        <f t="shared" si="283"/>
        <v>15.12</v>
      </c>
      <c r="D548" s="308">
        <f t="shared" si="284"/>
        <v>6</v>
      </c>
      <c r="E548" s="309" t="str">
        <f t="shared" si="285"/>
        <v>15.12.6</v>
      </c>
      <c r="F548" s="310" t="s">
        <v>12258</v>
      </c>
      <c r="G548" s="311" t="str">
        <f>IF($F548="","",IFERROR(VLOOKUP($F548,SERVIÇOS!$B:$G,2,0),IFERROR(VLOOKUP($F548,'COMPOSIÇÕES COMPLEMENTARES '!$D:$L,2,0),IFERROR(VLOOKUP($F548,INSUMOS!$A:$D,2,0),""))))</f>
        <v>UNIDUT CÔNICO Ø1" COM BUCHA E ARRUELA DE ALUMÍNIO Ø1"</v>
      </c>
      <c r="H548" s="312" t="str">
        <f>IF($F548="","",IFERROR(VLOOKUP($F548,SERVIÇOS!$B:$G,3,0),IFERROR(VLOOKUP($F548,'COMPOSIÇÕES COMPLEMENTARES '!$D:$L,3,0),IFERROR(VLOOKUP($F548,INSUMOS!$A:$D,3,0),""))))</f>
        <v>UN</v>
      </c>
      <c r="I548" s="313">
        <v>6</v>
      </c>
      <c r="J548" s="314">
        <f>IF($F548="","",IFERROR(VLOOKUP($F548,SERVIÇOS!$B:$G,4,0),IFERROR(VLOOKUP($F548,'COMPOSIÇÕES COMPLEMENTARES '!$D:$L,6,0),IFERROR(VLOOKUP($F548,INSUMOS!$A:$D,4,0),""))))</f>
        <v>7.12</v>
      </c>
      <c r="K548" s="314">
        <f>IF($F548="","",IFERROR(VLOOKUP($F548,SERVIÇOS!$B:$G,5,0),IFERROR(VLOOKUP($F548,'COMPOSIÇÕES COMPLEMENTARES '!$D:$L,7,0),0)))</f>
        <v>2.4700000000000002</v>
      </c>
      <c r="L548" s="314">
        <f t="shared" si="286"/>
        <v>9.59</v>
      </c>
      <c r="M548" s="314">
        <f t="shared" si="287"/>
        <v>42.72</v>
      </c>
      <c r="N548" s="314">
        <f t="shared" si="288"/>
        <v>14.82</v>
      </c>
      <c r="O548" s="314">
        <f t="shared" si="289"/>
        <v>57.54</v>
      </c>
      <c r="P548" s="314"/>
      <c r="Q548" s="315"/>
      <c r="R548" s="315"/>
      <c r="S548" s="286"/>
      <c r="T548" s="287"/>
      <c r="U548" s="288" t="str">
        <f t="shared" si="276"/>
        <v/>
      </c>
      <c r="V548" s="287"/>
      <c r="W548" s="289" t="str">
        <f t="shared" si="277"/>
        <v/>
      </c>
      <c r="X548" s="287"/>
      <c r="Y548" s="290" t="str">
        <f t="shared" si="278"/>
        <v/>
      </c>
      <c r="Z548" s="291">
        <f ca="1">SUMIF($T$8:Y$1018,"QUANT.",T548:Y548)</f>
        <v>0</v>
      </c>
      <c r="AA548" s="292">
        <f t="shared" ca="1" si="279"/>
        <v>0</v>
      </c>
      <c r="AB548" s="293" t="str">
        <f t="shared" ca="1" si="280"/>
        <v>MEDIR</v>
      </c>
      <c r="AC548" s="294">
        <f t="shared" ca="1" si="281"/>
        <v>6</v>
      </c>
      <c r="AD548" s="294">
        <f t="shared" ca="1" si="282"/>
        <v>57.54</v>
      </c>
      <c r="AE548" s="295"/>
      <c r="AF548" s="295"/>
      <c r="AG548" s="296"/>
      <c r="AH548" s="296"/>
      <c r="AI548" s="296"/>
      <c r="AJ548" s="326"/>
      <c r="AK548" s="326"/>
      <c r="AL548" s="326"/>
      <c r="AM548" s="326"/>
    </row>
    <row r="549" spans="1:39" x14ac:dyDescent="0.25">
      <c r="A549" s="232">
        <f t="shared" si="268"/>
        <v>549</v>
      </c>
      <c r="B549" s="232"/>
      <c r="C549" s="316" t="str">
        <f>+E549</f>
        <v>15.13</v>
      </c>
      <c r="D549" s="297"/>
      <c r="E549" s="317" t="s">
        <v>12259</v>
      </c>
      <c r="F549" s="317"/>
      <c r="G549" s="318" t="s">
        <v>12260</v>
      </c>
      <c r="H549" s="317"/>
      <c r="I549" s="319"/>
      <c r="J549" s="317"/>
      <c r="K549" s="317"/>
      <c r="L549" s="317"/>
      <c r="M549" s="317"/>
      <c r="N549" s="317"/>
      <c r="O549" s="317"/>
      <c r="P549" s="317"/>
      <c r="Q549" s="320"/>
      <c r="R549" s="306"/>
      <c r="S549" s="286"/>
      <c r="T549" s="287"/>
      <c r="U549" s="288" t="str">
        <f t="shared" si="276"/>
        <v/>
      </c>
      <c r="V549" s="287"/>
      <c r="W549" s="289" t="str">
        <f t="shared" si="277"/>
        <v/>
      </c>
      <c r="X549" s="287"/>
      <c r="Y549" s="290" t="str">
        <f t="shared" si="278"/>
        <v/>
      </c>
      <c r="Z549" s="291">
        <f ca="1">SUMIF($T$8:Y$1018,"QUANT.",T549:Y549)</f>
        <v>0</v>
      </c>
      <c r="AA549" s="292">
        <f t="shared" ca="1" si="279"/>
        <v>0</v>
      </c>
      <c r="AB549" s="293" t="str">
        <f t="shared" si="280"/>
        <v/>
      </c>
      <c r="AC549" s="294">
        <f t="shared" ca="1" si="281"/>
        <v>0</v>
      </c>
      <c r="AD549" s="294">
        <f t="shared" ca="1" si="282"/>
        <v>0</v>
      </c>
      <c r="AE549" s="295"/>
      <c r="AF549" s="295"/>
      <c r="AG549" s="296"/>
      <c r="AH549" s="296"/>
      <c r="AI549" s="296"/>
      <c r="AJ549" s="326"/>
      <c r="AK549" s="326"/>
      <c r="AL549" s="326"/>
      <c r="AM549" s="326"/>
    </row>
    <row r="550" spans="1:39" ht="25.5" x14ac:dyDescent="0.25">
      <c r="A550" s="232">
        <f t="shared" si="268"/>
        <v>550</v>
      </c>
      <c r="B550" s="232"/>
      <c r="C550" s="307" t="str">
        <f t="shared" ref="C550:C555" si="290">+C549</f>
        <v>15.13</v>
      </c>
      <c r="D550" s="308">
        <f t="shared" ref="D550:D555" si="291">1+D549</f>
        <v>1</v>
      </c>
      <c r="E550" s="309" t="str">
        <f t="shared" ref="E550:E555" si="292">C550&amp;"."&amp;D550</f>
        <v>15.13.1</v>
      </c>
      <c r="F550" s="310" t="s">
        <v>12261</v>
      </c>
      <c r="G550" s="311" t="str">
        <f>IF($F550="","",IFERROR(VLOOKUP($F550,SERVIÇOS!$B:$G,2,0),IFERROR(VLOOKUP($F550,'COMPOSIÇÕES COMPLEMENTARES '!$D:$L,2,0),IFERROR(VLOOKUP($F550,INSUMOS!$A:$D,2,0),""))))</f>
        <v>QF-AR COMPRIMIDO - QUADRO DE COMANDO 40X40X15CM PARA ESPERA DOS CABOS DA CENTRAL DE AR COMPRIMIDO</v>
      </c>
      <c r="H550" s="312" t="str">
        <f>IF($F550="","",IFERROR(VLOOKUP($F550,SERVIÇOS!$B:$G,3,0),IFERROR(VLOOKUP($F550,'COMPOSIÇÕES COMPLEMENTARES '!$D:$L,3,0),IFERROR(VLOOKUP($F550,INSUMOS!$A:$D,3,0),""))))</f>
        <v>UN</v>
      </c>
      <c r="I550" s="313">
        <v>1</v>
      </c>
      <c r="J550" s="314">
        <f>IF($F550="","",IFERROR(VLOOKUP($F550,SERVIÇOS!$B:$G,4,0),IFERROR(VLOOKUP($F550,'COMPOSIÇÕES COMPLEMENTARES '!$D:$L,6,0),IFERROR(VLOOKUP($F550,INSUMOS!$A:$D,4,0),""))))</f>
        <v>479.87</v>
      </c>
      <c r="K550" s="314">
        <f>IF($F550="","",IFERROR(VLOOKUP($F550,SERVIÇOS!$B:$G,5,0),IFERROR(VLOOKUP($F550,'COMPOSIÇÕES COMPLEMENTARES '!$D:$L,7,0),0)))</f>
        <v>29.65</v>
      </c>
      <c r="L550" s="314">
        <f t="shared" ref="L550:L555" si="293">IF(I550="","",J550+K550)</f>
        <v>509.52</v>
      </c>
      <c r="M550" s="314">
        <f t="shared" ref="M550:M555" si="294">IF(I550="","",TRUNC((I550*J550),2))</f>
        <v>479.87</v>
      </c>
      <c r="N550" s="314">
        <f t="shared" ref="N550:N555" si="295">IF(I550="","",TRUNC((I550*K550),2))</f>
        <v>29.65</v>
      </c>
      <c r="O550" s="314">
        <f t="shared" ref="O550:O555" si="296">IF(I550="","",TRUNC((M550+N550),2))</f>
        <v>509.52</v>
      </c>
      <c r="P550" s="314"/>
      <c r="Q550" s="315"/>
      <c r="R550" s="315"/>
      <c r="S550" s="286"/>
      <c r="T550" s="287"/>
      <c r="U550" s="288" t="str">
        <f t="shared" si="276"/>
        <v/>
      </c>
      <c r="V550" s="287"/>
      <c r="W550" s="289" t="str">
        <f t="shared" si="277"/>
        <v/>
      </c>
      <c r="X550" s="287"/>
      <c r="Y550" s="290" t="str">
        <f t="shared" si="278"/>
        <v/>
      </c>
      <c r="Z550" s="291">
        <f ca="1">SUMIF($T$8:Y$1018,"QUANT.",T550:Y550)</f>
        <v>0</v>
      </c>
      <c r="AA550" s="292">
        <f t="shared" ca="1" si="279"/>
        <v>0</v>
      </c>
      <c r="AB550" s="293" t="str">
        <f t="shared" ca="1" si="280"/>
        <v>MEDIR</v>
      </c>
      <c r="AC550" s="294">
        <f t="shared" ca="1" si="281"/>
        <v>1</v>
      </c>
      <c r="AD550" s="294">
        <f t="shared" ca="1" si="282"/>
        <v>509.52</v>
      </c>
      <c r="AE550" s="295"/>
      <c r="AF550" s="295"/>
      <c r="AG550" s="296"/>
      <c r="AH550" s="296"/>
      <c r="AI550" s="296"/>
      <c r="AJ550" s="326"/>
      <c r="AK550" s="326"/>
      <c r="AL550" s="326"/>
      <c r="AM550" s="326"/>
    </row>
    <row r="551" spans="1:39" x14ac:dyDescent="0.25">
      <c r="A551" s="232">
        <f t="shared" si="268"/>
        <v>551</v>
      </c>
      <c r="B551" s="232"/>
      <c r="C551" s="307" t="str">
        <f t="shared" si="290"/>
        <v>15.13</v>
      </c>
      <c r="D551" s="308">
        <f t="shared" si="291"/>
        <v>2</v>
      </c>
      <c r="E551" s="309" t="str">
        <f t="shared" si="292"/>
        <v>15.13.2</v>
      </c>
      <c r="F551" s="310">
        <v>93671</v>
      </c>
      <c r="G551" s="311" t="str">
        <f>IF($F551="","",IFERROR(VLOOKUP($F551,SERVIÇOS!$B:$G,2,0),IFERROR(VLOOKUP($F551,'COMPOSIÇÕES COMPLEMENTARES '!$D:$L,2,0),IFERROR(VLOOKUP($F551,INSUMOS!$A:$D,2,0),""))))</f>
        <v>DISJUNTOR TRIPOLAR TIPO DIN, CORRENTE NOMINAL DE 32A - FORNECIMENTO E INSTALAÇÃO. AF_10/2020</v>
      </c>
      <c r="H551" s="312" t="str">
        <f>IF($F551="","",IFERROR(VLOOKUP($F551,SERVIÇOS!$B:$G,3,0),IFERROR(VLOOKUP($F551,'COMPOSIÇÕES COMPLEMENTARES '!$D:$L,3,0),IFERROR(VLOOKUP($F551,INSUMOS!$A:$D,3,0),""))))</f>
        <v>UN</v>
      </c>
      <c r="I551" s="313">
        <v>1</v>
      </c>
      <c r="J551" s="314">
        <f>IF($F551="","",IFERROR(VLOOKUP($F551,SERVIÇOS!$B:$G,4,0),IFERROR(VLOOKUP($F551,'COMPOSIÇÕES COMPLEMENTARES '!$D:$L,6,0),IFERROR(VLOOKUP($F551,INSUMOS!$A:$D,4,0),""))))</f>
        <v>77.73</v>
      </c>
      <c r="K551" s="314">
        <f>IF($F551="","",IFERROR(VLOOKUP($F551,SERVIÇOS!$B:$G,5,0),IFERROR(VLOOKUP($F551,'COMPOSIÇÕES COMPLEMENTARES '!$D:$L,7,0),0)))</f>
        <v>13.54</v>
      </c>
      <c r="L551" s="314">
        <f t="shared" si="293"/>
        <v>91.27000000000001</v>
      </c>
      <c r="M551" s="314">
        <f t="shared" si="294"/>
        <v>77.73</v>
      </c>
      <c r="N551" s="314">
        <f t="shared" si="295"/>
        <v>13.54</v>
      </c>
      <c r="O551" s="314">
        <f t="shared" si="296"/>
        <v>91.27</v>
      </c>
      <c r="P551" s="314"/>
      <c r="Q551" s="315"/>
      <c r="R551" s="315"/>
      <c r="S551" s="286"/>
      <c r="T551" s="287"/>
      <c r="U551" s="288" t="str">
        <f t="shared" si="276"/>
        <v/>
      </c>
      <c r="V551" s="287"/>
      <c r="W551" s="289" t="str">
        <f t="shared" si="277"/>
        <v/>
      </c>
      <c r="X551" s="287"/>
      <c r="Y551" s="290" t="str">
        <f t="shared" si="278"/>
        <v/>
      </c>
      <c r="Z551" s="291">
        <f ca="1">SUMIF($T$8:Y$1018,"QUANT.",T551:Y551)</f>
        <v>0</v>
      </c>
      <c r="AA551" s="292">
        <f t="shared" ca="1" si="279"/>
        <v>0</v>
      </c>
      <c r="AB551" s="293" t="str">
        <f t="shared" ca="1" si="280"/>
        <v>MEDIR</v>
      </c>
      <c r="AC551" s="294">
        <f t="shared" ca="1" si="281"/>
        <v>1</v>
      </c>
      <c r="AD551" s="294">
        <f t="shared" ca="1" si="282"/>
        <v>91.27</v>
      </c>
      <c r="AE551" s="295"/>
      <c r="AF551" s="295"/>
      <c r="AG551" s="296"/>
      <c r="AH551" s="296"/>
      <c r="AI551" s="296"/>
      <c r="AJ551" s="326"/>
      <c r="AK551" s="326"/>
      <c r="AL551" s="326"/>
      <c r="AM551" s="326"/>
    </row>
    <row r="552" spans="1:39" x14ac:dyDescent="0.25">
      <c r="A552" s="232">
        <f t="shared" si="268"/>
        <v>552</v>
      </c>
      <c r="B552" s="232"/>
      <c r="C552" s="307" t="str">
        <f t="shared" si="290"/>
        <v>15.13</v>
      </c>
      <c r="D552" s="308">
        <f t="shared" si="291"/>
        <v>3</v>
      </c>
      <c r="E552" s="309" t="str">
        <f t="shared" si="292"/>
        <v>15.13.3</v>
      </c>
      <c r="F552" s="310" t="s">
        <v>12223</v>
      </c>
      <c r="G552" s="311" t="str">
        <f>IF($F552="","",IFERROR(VLOOKUP($F552,SERVIÇOS!$B:$G,2,0),IFERROR(VLOOKUP($F552,'COMPOSIÇÕES COMPLEMENTARES '!$D:$L,2,0),IFERROR(VLOOKUP($F552,INSUMOS!$A:$D,2,0),""))))</f>
        <v>CONDUTOR DE COBRE FLEX ISOL. 1KV - 90º -  #6,0MM² - AFUMEX</v>
      </c>
      <c r="H552" s="312" t="str">
        <f>IF($F552="","",IFERROR(VLOOKUP($F552,SERVIÇOS!$B:$G,3,0),IFERROR(VLOOKUP($F552,'COMPOSIÇÕES COMPLEMENTARES '!$D:$L,3,0),IFERROR(VLOOKUP($F552,INSUMOS!$A:$D,3,0),""))))</f>
        <v>M</v>
      </c>
      <c r="I552" s="313">
        <v>165</v>
      </c>
      <c r="J552" s="314">
        <f>IF($F552="","",IFERROR(VLOOKUP($F552,SERVIÇOS!$B:$G,4,0),IFERROR(VLOOKUP($F552,'COMPOSIÇÕES COMPLEMENTARES '!$D:$L,6,0),IFERROR(VLOOKUP($F552,INSUMOS!$A:$D,4,0),""))))</f>
        <v>7.81</v>
      </c>
      <c r="K552" s="314">
        <f>IF($F552="","",IFERROR(VLOOKUP($F552,SERVIÇOS!$B:$G,5,0),IFERROR(VLOOKUP($F552,'COMPOSIÇÕES COMPLEMENTARES '!$D:$L,7,0),0)))</f>
        <v>1.97</v>
      </c>
      <c r="L552" s="314">
        <f t="shared" si="293"/>
        <v>9.7799999999999994</v>
      </c>
      <c r="M552" s="314">
        <f t="shared" si="294"/>
        <v>1288.6500000000001</v>
      </c>
      <c r="N552" s="314">
        <f t="shared" si="295"/>
        <v>325.05</v>
      </c>
      <c r="O552" s="314">
        <f t="shared" si="296"/>
        <v>1613.7</v>
      </c>
      <c r="P552" s="314"/>
      <c r="Q552" s="315"/>
      <c r="R552" s="315"/>
      <c r="S552" s="286"/>
      <c r="T552" s="287"/>
      <c r="U552" s="288" t="str">
        <f t="shared" si="276"/>
        <v/>
      </c>
      <c r="V552" s="287"/>
      <c r="W552" s="289" t="str">
        <f t="shared" si="277"/>
        <v/>
      </c>
      <c r="X552" s="287"/>
      <c r="Y552" s="290" t="str">
        <f t="shared" si="278"/>
        <v/>
      </c>
      <c r="Z552" s="291">
        <f ca="1">SUMIF($T$8:Y$1018,"QUANT.",T552:Y552)</f>
        <v>0</v>
      </c>
      <c r="AA552" s="292">
        <f t="shared" ca="1" si="279"/>
        <v>0</v>
      </c>
      <c r="AB552" s="293" t="str">
        <f t="shared" ca="1" si="280"/>
        <v>MEDIR</v>
      </c>
      <c r="AC552" s="294">
        <f t="shared" ca="1" si="281"/>
        <v>165</v>
      </c>
      <c r="AD552" s="294">
        <f t="shared" ca="1" si="282"/>
        <v>1613.7</v>
      </c>
      <c r="AE552" s="295"/>
      <c r="AF552" s="295"/>
      <c r="AG552" s="296"/>
      <c r="AH552" s="296"/>
      <c r="AI552" s="296"/>
      <c r="AJ552" s="326"/>
      <c r="AK552" s="326"/>
      <c r="AL552" s="326"/>
      <c r="AM552" s="326"/>
    </row>
    <row r="553" spans="1:39" x14ac:dyDescent="0.25">
      <c r="A553" s="232">
        <f t="shared" si="268"/>
        <v>553</v>
      </c>
      <c r="B553" s="232"/>
      <c r="C553" s="307" t="str">
        <f t="shared" si="290"/>
        <v>15.13</v>
      </c>
      <c r="D553" s="308">
        <f t="shared" si="291"/>
        <v>4</v>
      </c>
      <c r="E553" s="309" t="str">
        <f t="shared" si="292"/>
        <v>15.13.4</v>
      </c>
      <c r="F553" s="310" t="s">
        <v>12262</v>
      </c>
      <c r="G553" s="311" t="str">
        <f>IF($F553="","",IFERROR(VLOOKUP($F553,SERVIÇOS!$B:$G,2,0),IFERROR(VLOOKUP($F553,'COMPOSIÇÕES COMPLEMENTARES '!$D:$L,2,0),IFERROR(VLOOKUP($F553,INSUMOS!$A:$D,2,0),""))))</f>
        <v xml:space="preserve">TERMINAL DE COMPRESSÃO # 6,0MM² </v>
      </c>
      <c r="H553" s="312" t="str">
        <f>IF($F553="","",IFERROR(VLOOKUP($F553,SERVIÇOS!$B:$G,3,0),IFERROR(VLOOKUP($F553,'COMPOSIÇÕES COMPLEMENTARES '!$D:$L,3,0),IFERROR(VLOOKUP($F553,INSUMOS!$A:$D,3,0),""))))</f>
        <v>UN</v>
      </c>
      <c r="I553" s="313">
        <v>10</v>
      </c>
      <c r="J553" s="314">
        <f>IF($F553="","",IFERROR(VLOOKUP($F553,SERVIÇOS!$B:$G,4,0),IFERROR(VLOOKUP($F553,'COMPOSIÇÕES COMPLEMENTARES '!$D:$L,6,0),IFERROR(VLOOKUP($F553,INSUMOS!$A:$D,4,0),""))))</f>
        <v>2.21</v>
      </c>
      <c r="K553" s="314">
        <f>IF($F553="","",IFERROR(VLOOKUP($F553,SERVIÇOS!$B:$G,5,0),IFERROR(VLOOKUP($F553,'COMPOSIÇÕES COMPLEMENTARES '!$D:$L,7,0),0)))</f>
        <v>1.1200000000000001</v>
      </c>
      <c r="L553" s="314">
        <f t="shared" si="293"/>
        <v>3.33</v>
      </c>
      <c r="M553" s="314">
        <f t="shared" si="294"/>
        <v>22.1</v>
      </c>
      <c r="N553" s="314">
        <f t="shared" si="295"/>
        <v>11.2</v>
      </c>
      <c r="O553" s="314">
        <f t="shared" si="296"/>
        <v>33.299999999999997</v>
      </c>
      <c r="P553" s="314"/>
      <c r="Q553" s="315"/>
      <c r="R553" s="315"/>
      <c r="S553" s="286"/>
      <c r="T553" s="287"/>
      <c r="U553" s="288" t="str">
        <f t="shared" si="276"/>
        <v/>
      </c>
      <c r="V553" s="287"/>
      <c r="W553" s="289" t="str">
        <f t="shared" si="277"/>
        <v/>
      </c>
      <c r="X553" s="287"/>
      <c r="Y553" s="290" t="str">
        <f t="shared" si="278"/>
        <v/>
      </c>
      <c r="Z553" s="291">
        <f ca="1">SUMIF($T$8:Y$1018,"QUANT.",T553:Y553)</f>
        <v>0</v>
      </c>
      <c r="AA553" s="292">
        <f t="shared" ca="1" si="279"/>
        <v>0</v>
      </c>
      <c r="AB553" s="293" t="str">
        <f t="shared" ca="1" si="280"/>
        <v>MEDIR</v>
      </c>
      <c r="AC553" s="294">
        <f t="shared" ca="1" si="281"/>
        <v>10</v>
      </c>
      <c r="AD553" s="294">
        <f t="shared" ca="1" si="282"/>
        <v>33.299999999999997</v>
      </c>
      <c r="AE553" s="295"/>
      <c r="AF553" s="295"/>
      <c r="AG553" s="296"/>
      <c r="AH553" s="296"/>
      <c r="AI553" s="296"/>
      <c r="AJ553" s="326"/>
      <c r="AK553" s="326"/>
      <c r="AL553" s="326"/>
      <c r="AM553" s="326"/>
    </row>
    <row r="554" spans="1:39" x14ac:dyDescent="0.25">
      <c r="A554" s="232">
        <f t="shared" si="268"/>
        <v>554</v>
      </c>
      <c r="B554" s="232"/>
      <c r="C554" s="307" t="str">
        <f t="shared" si="290"/>
        <v>15.13</v>
      </c>
      <c r="D554" s="308">
        <f t="shared" si="291"/>
        <v>5</v>
      </c>
      <c r="E554" s="309" t="str">
        <f t="shared" si="292"/>
        <v>15.13.5</v>
      </c>
      <c r="F554" s="310" t="s">
        <v>12257</v>
      </c>
      <c r="G554" s="311" t="str">
        <f>IF($F554="","",IFERROR(VLOOKUP($F554,SERVIÇOS!$B:$G,2,0),IFERROR(VLOOKUP($F554,'COMPOSIÇÕES COMPLEMENTARES '!$D:$L,2,0),IFERROR(VLOOKUP($F554,INSUMOS!$A:$D,2,0),""))))</f>
        <v>ELETRODUTO FLEXÍVEL EM PEAD Ø1"</v>
      </c>
      <c r="H554" s="312" t="str">
        <f>IF($F554="","",IFERROR(VLOOKUP($F554,SERVIÇOS!$B:$G,3,0),IFERROR(VLOOKUP($F554,'COMPOSIÇÕES COMPLEMENTARES '!$D:$L,3,0),IFERROR(VLOOKUP($F554,INSUMOS!$A:$D,3,0),""))))</f>
        <v>M</v>
      </c>
      <c r="I554" s="313">
        <v>33</v>
      </c>
      <c r="J554" s="314">
        <f>IF($F554="","",IFERROR(VLOOKUP($F554,SERVIÇOS!$B:$G,4,0),IFERROR(VLOOKUP($F554,'COMPOSIÇÕES COMPLEMENTARES '!$D:$L,6,0),IFERROR(VLOOKUP($F554,INSUMOS!$A:$D,4,0),""))))</f>
        <v>6.53</v>
      </c>
      <c r="K554" s="314">
        <f>IF($F554="","",IFERROR(VLOOKUP($F554,SERVIÇOS!$B:$G,5,0),IFERROR(VLOOKUP($F554,'COMPOSIÇÕES COMPLEMENTARES '!$D:$L,7,0),0)))</f>
        <v>8.1199999999999992</v>
      </c>
      <c r="L554" s="314">
        <f t="shared" si="293"/>
        <v>14.649999999999999</v>
      </c>
      <c r="M554" s="314">
        <f t="shared" si="294"/>
        <v>215.49</v>
      </c>
      <c r="N554" s="314">
        <f t="shared" si="295"/>
        <v>267.95999999999998</v>
      </c>
      <c r="O554" s="314">
        <f t="shared" si="296"/>
        <v>483.45</v>
      </c>
      <c r="P554" s="314"/>
      <c r="Q554" s="315"/>
      <c r="R554" s="315"/>
      <c r="S554" s="286"/>
      <c r="T554" s="287"/>
      <c r="U554" s="288" t="str">
        <f t="shared" si="276"/>
        <v/>
      </c>
      <c r="V554" s="287"/>
      <c r="W554" s="289" t="str">
        <f t="shared" si="277"/>
        <v/>
      </c>
      <c r="X554" s="287"/>
      <c r="Y554" s="290" t="str">
        <f t="shared" si="278"/>
        <v/>
      </c>
      <c r="Z554" s="291">
        <f ca="1">SUMIF($T$8:Y$1018,"QUANT.",T554:Y554)</f>
        <v>0</v>
      </c>
      <c r="AA554" s="292">
        <f t="shared" ca="1" si="279"/>
        <v>0</v>
      </c>
      <c r="AB554" s="293" t="str">
        <f t="shared" ca="1" si="280"/>
        <v>MEDIR</v>
      </c>
      <c r="AC554" s="294">
        <f t="shared" ca="1" si="281"/>
        <v>33</v>
      </c>
      <c r="AD554" s="294">
        <f t="shared" ca="1" si="282"/>
        <v>483.45</v>
      </c>
      <c r="AE554" s="295"/>
      <c r="AF554" s="295"/>
      <c r="AG554" s="296"/>
      <c r="AH554" s="296"/>
      <c r="AI554" s="296"/>
      <c r="AJ554" s="326"/>
      <c r="AK554" s="326"/>
      <c r="AL554" s="326"/>
      <c r="AM554" s="326"/>
    </row>
    <row r="555" spans="1:39" x14ac:dyDescent="0.25">
      <c r="A555" s="232">
        <f t="shared" si="268"/>
        <v>555</v>
      </c>
      <c r="B555" s="232"/>
      <c r="C555" s="307" t="str">
        <f t="shared" si="290"/>
        <v>15.13</v>
      </c>
      <c r="D555" s="308">
        <f t="shared" si="291"/>
        <v>6</v>
      </c>
      <c r="E555" s="309" t="str">
        <f t="shared" si="292"/>
        <v>15.13.6</v>
      </c>
      <c r="F555" s="310" t="s">
        <v>12258</v>
      </c>
      <c r="G555" s="311" t="str">
        <f>IF($F555="","",IFERROR(VLOOKUP($F555,SERVIÇOS!$B:$G,2,0),IFERROR(VLOOKUP($F555,'COMPOSIÇÕES COMPLEMENTARES '!$D:$L,2,0),IFERROR(VLOOKUP($F555,INSUMOS!$A:$D,2,0),""))))</f>
        <v>UNIDUT CÔNICO Ø1" COM BUCHA E ARRUELA DE ALUMÍNIO Ø1"</v>
      </c>
      <c r="H555" s="312" t="str">
        <f>IF($F555="","",IFERROR(VLOOKUP($F555,SERVIÇOS!$B:$G,3,0),IFERROR(VLOOKUP($F555,'COMPOSIÇÕES COMPLEMENTARES '!$D:$L,3,0),IFERROR(VLOOKUP($F555,INSUMOS!$A:$D,3,0),""))))</f>
        <v>UN</v>
      </c>
      <c r="I555" s="313">
        <v>6</v>
      </c>
      <c r="J555" s="314">
        <f>IF($F555="","",IFERROR(VLOOKUP($F555,SERVIÇOS!$B:$G,4,0),IFERROR(VLOOKUP($F555,'COMPOSIÇÕES COMPLEMENTARES '!$D:$L,6,0),IFERROR(VLOOKUP($F555,INSUMOS!$A:$D,4,0),""))))</f>
        <v>7.12</v>
      </c>
      <c r="K555" s="314">
        <f>IF($F555="","",IFERROR(VLOOKUP($F555,SERVIÇOS!$B:$G,5,0),IFERROR(VLOOKUP($F555,'COMPOSIÇÕES COMPLEMENTARES '!$D:$L,7,0),0)))</f>
        <v>2.4700000000000002</v>
      </c>
      <c r="L555" s="314">
        <f t="shared" si="293"/>
        <v>9.59</v>
      </c>
      <c r="M555" s="314">
        <f t="shared" si="294"/>
        <v>42.72</v>
      </c>
      <c r="N555" s="314">
        <f t="shared" si="295"/>
        <v>14.82</v>
      </c>
      <c r="O555" s="314">
        <f t="shared" si="296"/>
        <v>57.54</v>
      </c>
      <c r="P555" s="314"/>
      <c r="Q555" s="315"/>
      <c r="R555" s="315"/>
      <c r="S555" s="286"/>
      <c r="T555" s="287"/>
      <c r="U555" s="288" t="str">
        <f t="shared" si="276"/>
        <v/>
      </c>
      <c r="V555" s="287"/>
      <c r="W555" s="289" t="str">
        <f t="shared" si="277"/>
        <v/>
      </c>
      <c r="X555" s="287"/>
      <c r="Y555" s="290" t="str">
        <f t="shared" si="278"/>
        <v/>
      </c>
      <c r="Z555" s="291">
        <f ca="1">SUMIF($T$8:Y$1018,"QUANT.",T555:Y555)</f>
        <v>0</v>
      </c>
      <c r="AA555" s="292">
        <f t="shared" ca="1" si="279"/>
        <v>0</v>
      </c>
      <c r="AB555" s="293" t="str">
        <f t="shared" ca="1" si="280"/>
        <v>MEDIR</v>
      </c>
      <c r="AC555" s="294">
        <f t="shared" ca="1" si="281"/>
        <v>6</v>
      </c>
      <c r="AD555" s="294">
        <f t="shared" ca="1" si="282"/>
        <v>57.54</v>
      </c>
      <c r="AE555" s="295"/>
      <c r="AF555" s="295"/>
      <c r="AG555" s="296"/>
      <c r="AH555" s="296"/>
      <c r="AI555" s="296"/>
      <c r="AJ555" s="326"/>
      <c r="AK555" s="326"/>
      <c r="AL555" s="326"/>
      <c r="AM555" s="326"/>
    </row>
    <row r="556" spans="1:39" x14ac:dyDescent="0.25">
      <c r="A556" s="232">
        <f t="shared" si="268"/>
        <v>556</v>
      </c>
      <c r="B556" s="232"/>
      <c r="C556" s="316" t="str">
        <f>+E556</f>
        <v>15.14</v>
      </c>
      <c r="D556" s="297"/>
      <c r="E556" s="317" t="s">
        <v>12263</v>
      </c>
      <c r="F556" s="317"/>
      <c r="G556" s="318" t="s">
        <v>12264</v>
      </c>
      <c r="H556" s="317"/>
      <c r="I556" s="319"/>
      <c r="J556" s="317"/>
      <c r="K556" s="317"/>
      <c r="L556" s="317"/>
      <c r="M556" s="317"/>
      <c r="N556" s="317"/>
      <c r="O556" s="317"/>
      <c r="P556" s="317"/>
      <c r="Q556" s="320"/>
      <c r="R556" s="306"/>
      <c r="S556" s="286"/>
      <c r="T556" s="287"/>
      <c r="U556" s="288" t="str">
        <f t="shared" si="276"/>
        <v/>
      </c>
      <c r="V556" s="287"/>
      <c r="W556" s="289" t="str">
        <f t="shared" si="277"/>
        <v/>
      </c>
      <c r="X556" s="287"/>
      <c r="Y556" s="290" t="str">
        <f t="shared" si="278"/>
        <v/>
      </c>
      <c r="Z556" s="291">
        <f ca="1">SUMIF($T$8:Y$1018,"QUANT.",T556:Y556)</f>
        <v>0</v>
      </c>
      <c r="AA556" s="292">
        <f t="shared" ca="1" si="279"/>
        <v>0</v>
      </c>
      <c r="AB556" s="293" t="str">
        <f t="shared" si="280"/>
        <v/>
      </c>
      <c r="AC556" s="294">
        <f t="shared" ca="1" si="281"/>
        <v>0</v>
      </c>
      <c r="AD556" s="294">
        <f t="shared" ca="1" si="282"/>
        <v>0</v>
      </c>
      <c r="AE556" s="295"/>
      <c r="AF556" s="295"/>
      <c r="AG556" s="296"/>
      <c r="AH556" s="296"/>
      <c r="AI556" s="296"/>
      <c r="AJ556" s="326"/>
      <c r="AK556" s="326"/>
      <c r="AL556" s="326"/>
      <c r="AM556" s="326"/>
    </row>
    <row r="557" spans="1:39" ht="38.25" x14ac:dyDescent="0.25">
      <c r="A557" s="232">
        <f t="shared" si="268"/>
        <v>557</v>
      </c>
      <c r="B557" s="232"/>
      <c r="C557" s="307" t="str">
        <f t="shared" ref="C557:C568" si="297">+C556</f>
        <v>15.14</v>
      </c>
      <c r="D557" s="308">
        <f t="shared" ref="D557:D568" si="298">1+D556</f>
        <v>1</v>
      </c>
      <c r="E557" s="309" t="str">
        <f t="shared" ref="E557:E568" si="299">C557&amp;"."&amp;D557</f>
        <v>15.14.1</v>
      </c>
      <c r="F557" s="310" t="s">
        <v>12265</v>
      </c>
      <c r="G557" s="311" t="str">
        <f>IF($F557="","",IFERROR(VLOOKUP($F557,SERVIÇOS!$B:$G,2,0),IFERROR(VLOOKUP($F557,'COMPOSIÇÕES COMPLEMENTARES '!$D:$L,2,0),IFERROR(VLOOKUP($F557,INSUMOS!$A:$D,2,0),""))))</f>
        <v>QD-4 - QUADRO DE DISTRIBUIÇÃO EM CHAPA DE AÇO 16USG, PINTURA EM EPÓXI COR BEGE, COM TRINCO, BARRAMENTOS EM COBRE, ESPELHO INTERNO C/ PLAQUETAS DE IDENTIFICAÇÃO EM ACRÍLICO PARA CADA CIRCUITO E PORTA PROJETO. DEVERÁ ATENDER O SOLICITADO NO DIAGRAMA UNIFILAR EM PROJETO.</v>
      </c>
      <c r="H557" s="312" t="str">
        <f>IF($F557="","",IFERROR(VLOOKUP($F557,SERVIÇOS!$B:$G,3,0),IFERROR(VLOOKUP($F557,'COMPOSIÇÕES COMPLEMENTARES '!$D:$L,3,0),IFERROR(VLOOKUP($F557,INSUMOS!$A:$D,3,0),""))))</f>
        <v>UN</v>
      </c>
      <c r="I557" s="313">
        <v>1</v>
      </c>
      <c r="J557" s="314">
        <f>IF($F557="","",IFERROR(VLOOKUP($F557,SERVIÇOS!$B:$G,4,0),IFERROR(VLOOKUP($F557,'COMPOSIÇÕES COMPLEMENTARES '!$D:$L,6,0),IFERROR(VLOOKUP($F557,INSUMOS!$A:$D,4,0),""))))</f>
        <v>3384.17</v>
      </c>
      <c r="K557" s="314">
        <f>IF($F557="","",IFERROR(VLOOKUP($F557,SERVIÇOS!$B:$G,5,0),IFERROR(VLOOKUP($F557,'COMPOSIÇÕES COMPLEMENTARES '!$D:$L,7,0),0)))</f>
        <v>396.32</v>
      </c>
      <c r="L557" s="314">
        <f t="shared" ref="L557:L568" si="300">IF(I557="","",J557+K557)</f>
        <v>3780.4900000000002</v>
      </c>
      <c r="M557" s="314">
        <f t="shared" ref="M557:M568" si="301">IF(I557="","",TRUNC((I557*J557),2))</f>
        <v>3384.17</v>
      </c>
      <c r="N557" s="314">
        <f t="shared" ref="N557:N568" si="302">IF(I557="","",TRUNC((I557*K557),2))</f>
        <v>396.32</v>
      </c>
      <c r="O557" s="314">
        <f t="shared" ref="O557:O568" si="303">IF(I557="","",TRUNC((M557+N557),2))</f>
        <v>3780.49</v>
      </c>
      <c r="P557" s="314"/>
      <c r="Q557" s="315"/>
      <c r="R557" s="315"/>
      <c r="S557" s="286"/>
      <c r="T557" s="287"/>
      <c r="U557" s="288" t="str">
        <f t="shared" si="276"/>
        <v/>
      </c>
      <c r="V557" s="287"/>
      <c r="W557" s="289" t="str">
        <f t="shared" si="277"/>
        <v/>
      </c>
      <c r="X557" s="287"/>
      <c r="Y557" s="290" t="str">
        <f t="shared" si="278"/>
        <v/>
      </c>
      <c r="Z557" s="291">
        <f ca="1">SUMIF($T$8:Y$1018,"QUANT.",T557:Y557)</f>
        <v>0</v>
      </c>
      <c r="AA557" s="292">
        <f t="shared" ca="1" si="279"/>
        <v>0</v>
      </c>
      <c r="AB557" s="293" t="str">
        <f t="shared" ca="1" si="280"/>
        <v>MEDIR</v>
      </c>
      <c r="AC557" s="294">
        <f t="shared" ca="1" si="281"/>
        <v>1</v>
      </c>
      <c r="AD557" s="294">
        <f t="shared" ca="1" si="282"/>
        <v>3780.49</v>
      </c>
      <c r="AE557" s="295"/>
      <c r="AF557" s="295"/>
      <c r="AG557" s="296"/>
      <c r="AH557" s="296"/>
      <c r="AI557" s="296"/>
      <c r="AJ557" s="326"/>
      <c r="AK557" s="326"/>
      <c r="AL557" s="326"/>
      <c r="AM557" s="326"/>
    </row>
    <row r="558" spans="1:39" x14ac:dyDescent="0.25">
      <c r="A558" s="232">
        <f t="shared" si="268"/>
        <v>558</v>
      </c>
      <c r="B558" s="232"/>
      <c r="C558" s="307" t="str">
        <f t="shared" si="297"/>
        <v>15.14</v>
      </c>
      <c r="D558" s="308">
        <f t="shared" si="298"/>
        <v>2</v>
      </c>
      <c r="E558" s="309" t="str">
        <f t="shared" si="299"/>
        <v>15.14.2</v>
      </c>
      <c r="F558" s="310">
        <v>93673</v>
      </c>
      <c r="G558" s="311" t="str">
        <f>IF($F558="","",IFERROR(VLOOKUP($F558,SERVIÇOS!$B:$G,2,0),IFERROR(VLOOKUP($F558,'COMPOSIÇÕES COMPLEMENTARES '!$D:$L,2,0),IFERROR(VLOOKUP($F558,INSUMOS!$A:$D,2,0),""))))</f>
        <v>DISJUNTOR TRIPOLAR TIPO DIN, CORRENTE NOMINAL DE 50A - FORNECIMENTO E INSTALAÇÃO. AF_10/2020</v>
      </c>
      <c r="H558" s="312" t="str">
        <f>IF($F558="","",IFERROR(VLOOKUP($F558,SERVIÇOS!$B:$G,3,0),IFERROR(VLOOKUP($F558,'COMPOSIÇÕES COMPLEMENTARES '!$D:$L,3,0),IFERROR(VLOOKUP($F558,INSUMOS!$A:$D,3,0),""))))</f>
        <v>UN</v>
      </c>
      <c r="I558" s="313">
        <v>1</v>
      </c>
      <c r="J558" s="314">
        <f>IF($F558="","",IFERROR(VLOOKUP($F558,SERVIÇOS!$B:$G,4,0),IFERROR(VLOOKUP($F558,'COMPOSIÇÕES COMPLEMENTARES '!$D:$L,6,0),IFERROR(VLOOKUP($F558,INSUMOS!$A:$D,4,0),""))))</f>
        <v>84.73</v>
      </c>
      <c r="K558" s="314">
        <f>IF($F558="","",IFERROR(VLOOKUP($F558,SERVIÇOS!$B:$G,5,0),IFERROR(VLOOKUP($F558,'COMPOSIÇÕES COMPLEMENTARES '!$D:$L,7,0),0)))</f>
        <v>28.1</v>
      </c>
      <c r="L558" s="314">
        <f t="shared" si="300"/>
        <v>112.83000000000001</v>
      </c>
      <c r="M558" s="314">
        <f t="shared" si="301"/>
        <v>84.73</v>
      </c>
      <c r="N558" s="314">
        <f t="shared" si="302"/>
        <v>28.1</v>
      </c>
      <c r="O558" s="314">
        <f t="shared" si="303"/>
        <v>112.83</v>
      </c>
      <c r="P558" s="314"/>
      <c r="Q558" s="315"/>
      <c r="R558" s="315"/>
      <c r="S558" s="286"/>
      <c r="T558" s="287"/>
      <c r="U558" s="288" t="str">
        <f t="shared" si="276"/>
        <v/>
      </c>
      <c r="V558" s="287"/>
      <c r="W558" s="289" t="str">
        <f t="shared" si="277"/>
        <v/>
      </c>
      <c r="X558" s="287"/>
      <c r="Y558" s="290" t="str">
        <f t="shared" si="278"/>
        <v/>
      </c>
      <c r="Z558" s="291">
        <f ca="1">SUMIF($T$8:Y$1018,"QUANT.",T558:Y558)</f>
        <v>0</v>
      </c>
      <c r="AA558" s="292">
        <f t="shared" ca="1" si="279"/>
        <v>0</v>
      </c>
      <c r="AB558" s="293" t="str">
        <f t="shared" ca="1" si="280"/>
        <v>MEDIR</v>
      </c>
      <c r="AC558" s="294">
        <f t="shared" ca="1" si="281"/>
        <v>1</v>
      </c>
      <c r="AD558" s="294">
        <f t="shared" ca="1" si="282"/>
        <v>112.83</v>
      </c>
      <c r="AE558" s="295"/>
      <c r="AF558" s="295"/>
      <c r="AG558" s="296"/>
      <c r="AH558" s="296"/>
      <c r="AI558" s="296"/>
      <c r="AJ558" s="326"/>
      <c r="AK558" s="326"/>
      <c r="AL558" s="326"/>
      <c r="AM558" s="326"/>
    </row>
    <row r="559" spans="1:39" x14ac:dyDescent="0.25">
      <c r="A559" s="232">
        <f t="shared" si="268"/>
        <v>559</v>
      </c>
      <c r="B559" s="232"/>
      <c r="C559" s="307" t="str">
        <f t="shared" si="297"/>
        <v>15.14</v>
      </c>
      <c r="D559" s="308">
        <f t="shared" si="298"/>
        <v>3</v>
      </c>
      <c r="E559" s="309" t="str">
        <f t="shared" si="299"/>
        <v>15.14.3</v>
      </c>
      <c r="F559" s="310">
        <v>93663</v>
      </c>
      <c r="G559" s="311" t="str">
        <f>IF($F559="","",IFERROR(VLOOKUP($F559,SERVIÇOS!$B:$G,2,0),IFERROR(VLOOKUP($F559,'COMPOSIÇÕES COMPLEMENTARES '!$D:$L,2,0),IFERROR(VLOOKUP($F559,INSUMOS!$A:$D,2,0),""))))</f>
        <v>DISJUNTOR BIPOLAR TIPO DIN, CORRENTE NOMINAL DE 25A - FORNECIMENTO E INSTALAÇÃO. AF_10/2020</v>
      </c>
      <c r="H559" s="312" t="str">
        <f>IF($F559="","",IFERROR(VLOOKUP($F559,SERVIÇOS!$B:$G,3,0),IFERROR(VLOOKUP($F559,'COMPOSIÇÕES COMPLEMENTARES '!$D:$L,3,0),IFERROR(VLOOKUP($F559,INSUMOS!$A:$D,3,0),""))))</f>
        <v>UN</v>
      </c>
      <c r="I559" s="313">
        <v>1</v>
      </c>
      <c r="J559" s="314">
        <f>IF($F559="","",IFERROR(VLOOKUP($F559,SERVIÇOS!$B:$G,4,0),IFERROR(VLOOKUP($F559,'COMPOSIÇÕES COMPLEMENTARES '!$D:$L,6,0),IFERROR(VLOOKUP($F559,INSUMOS!$A:$D,4,0),""))))</f>
        <v>60.44</v>
      </c>
      <c r="K559" s="314">
        <f>IF($F559="","",IFERROR(VLOOKUP($F559,SERVIÇOS!$B:$G,5,0),IFERROR(VLOOKUP($F559,'COMPOSIÇÕES COMPLEMENTARES '!$D:$L,7,0),0)))</f>
        <v>6.55</v>
      </c>
      <c r="L559" s="314">
        <f t="shared" si="300"/>
        <v>66.989999999999995</v>
      </c>
      <c r="M559" s="314">
        <f t="shared" si="301"/>
        <v>60.44</v>
      </c>
      <c r="N559" s="314">
        <f t="shared" si="302"/>
        <v>6.55</v>
      </c>
      <c r="O559" s="314">
        <f t="shared" si="303"/>
        <v>66.989999999999995</v>
      </c>
      <c r="P559" s="314"/>
      <c r="Q559" s="315"/>
      <c r="R559" s="315"/>
      <c r="S559" s="286"/>
      <c r="T559" s="287"/>
      <c r="U559" s="288" t="str">
        <f t="shared" si="276"/>
        <v/>
      </c>
      <c r="V559" s="287"/>
      <c r="W559" s="289" t="str">
        <f t="shared" si="277"/>
        <v/>
      </c>
      <c r="X559" s="287"/>
      <c r="Y559" s="290" t="str">
        <f t="shared" si="278"/>
        <v/>
      </c>
      <c r="Z559" s="291">
        <f ca="1">SUMIF($T$8:Y$1018,"QUANT.",T559:Y559)</f>
        <v>0</v>
      </c>
      <c r="AA559" s="292">
        <f t="shared" ca="1" si="279"/>
        <v>0</v>
      </c>
      <c r="AB559" s="293" t="str">
        <f t="shared" ca="1" si="280"/>
        <v>MEDIR</v>
      </c>
      <c r="AC559" s="294">
        <f t="shared" ca="1" si="281"/>
        <v>1</v>
      </c>
      <c r="AD559" s="294">
        <f t="shared" ca="1" si="282"/>
        <v>66.989999999999995</v>
      </c>
      <c r="AE559" s="295"/>
      <c r="AF559" s="295"/>
      <c r="AG559" s="296"/>
      <c r="AH559" s="296"/>
      <c r="AI559" s="296"/>
      <c r="AJ559" s="326"/>
      <c r="AK559" s="326"/>
      <c r="AL559" s="326"/>
      <c r="AM559" s="326"/>
    </row>
    <row r="560" spans="1:39" x14ac:dyDescent="0.25">
      <c r="A560" s="232">
        <f t="shared" si="268"/>
        <v>560</v>
      </c>
      <c r="B560" s="232"/>
      <c r="C560" s="307" t="str">
        <f t="shared" si="297"/>
        <v>15.14</v>
      </c>
      <c r="D560" s="308">
        <f t="shared" si="298"/>
        <v>4</v>
      </c>
      <c r="E560" s="309" t="str">
        <f t="shared" si="299"/>
        <v>15.14.4</v>
      </c>
      <c r="F560" s="310">
        <v>93662</v>
      </c>
      <c r="G560" s="311" t="str">
        <f>IF($F560="","",IFERROR(VLOOKUP($F560,SERVIÇOS!$B:$G,2,0),IFERROR(VLOOKUP($F560,'COMPOSIÇÕES COMPLEMENTARES '!$D:$L,2,0),IFERROR(VLOOKUP($F560,INSUMOS!$A:$D,2,0),""))))</f>
        <v>DISJUNTOR BIPOLAR TIPO DIN, CORRENTE NOMINAL DE 20A - FORNECIMENTO E INSTALAÇÃO. AF_10/2020</v>
      </c>
      <c r="H560" s="312" t="str">
        <f>IF($F560="","",IFERROR(VLOOKUP($F560,SERVIÇOS!$B:$G,3,0),IFERROR(VLOOKUP($F560,'COMPOSIÇÕES COMPLEMENTARES '!$D:$L,3,0),IFERROR(VLOOKUP($F560,INSUMOS!$A:$D,3,0),""))))</f>
        <v>UN</v>
      </c>
      <c r="I560" s="313">
        <v>1</v>
      </c>
      <c r="J560" s="314">
        <f>IF($F560="","",IFERROR(VLOOKUP($F560,SERVIÇOS!$B:$G,4,0),IFERROR(VLOOKUP($F560,'COMPOSIÇÕES COMPLEMENTARES '!$D:$L,6,0),IFERROR(VLOOKUP($F560,INSUMOS!$A:$D,4,0),""))))</f>
        <v>60.44</v>
      </c>
      <c r="K560" s="314">
        <f>IF($F560="","",IFERROR(VLOOKUP($F560,SERVIÇOS!$B:$G,5,0),IFERROR(VLOOKUP($F560,'COMPOSIÇÕES COMPLEMENTARES '!$D:$L,7,0),0)))</f>
        <v>6.55</v>
      </c>
      <c r="L560" s="314">
        <f t="shared" si="300"/>
        <v>66.989999999999995</v>
      </c>
      <c r="M560" s="314">
        <f t="shared" si="301"/>
        <v>60.44</v>
      </c>
      <c r="N560" s="314">
        <f t="shared" si="302"/>
        <v>6.55</v>
      </c>
      <c r="O560" s="314">
        <f t="shared" si="303"/>
        <v>66.989999999999995</v>
      </c>
      <c r="P560" s="314"/>
      <c r="Q560" s="315"/>
      <c r="R560" s="315"/>
      <c r="S560" s="286"/>
      <c r="T560" s="287"/>
      <c r="U560" s="288" t="str">
        <f t="shared" si="276"/>
        <v/>
      </c>
      <c r="V560" s="287"/>
      <c r="W560" s="289" t="str">
        <f t="shared" si="277"/>
        <v/>
      </c>
      <c r="X560" s="287"/>
      <c r="Y560" s="290" t="str">
        <f t="shared" si="278"/>
        <v/>
      </c>
      <c r="Z560" s="291">
        <f ca="1">SUMIF($T$8:Y$1018,"QUANT.",T560:Y560)</f>
        <v>0</v>
      </c>
      <c r="AA560" s="292">
        <f t="shared" ca="1" si="279"/>
        <v>0</v>
      </c>
      <c r="AB560" s="293" t="str">
        <f t="shared" ca="1" si="280"/>
        <v>MEDIR</v>
      </c>
      <c r="AC560" s="294">
        <f t="shared" ca="1" si="281"/>
        <v>1</v>
      </c>
      <c r="AD560" s="294">
        <f t="shared" ca="1" si="282"/>
        <v>66.989999999999995</v>
      </c>
      <c r="AE560" s="295"/>
      <c r="AF560" s="295"/>
      <c r="AG560" s="296"/>
      <c r="AH560" s="296"/>
      <c r="AI560" s="296"/>
      <c r="AJ560" s="326"/>
      <c r="AK560" s="326"/>
      <c r="AL560" s="326"/>
      <c r="AM560" s="326"/>
    </row>
    <row r="561" spans="1:39" ht="25.5" x14ac:dyDescent="0.25">
      <c r="A561" s="232">
        <f t="shared" si="268"/>
        <v>561</v>
      </c>
      <c r="B561" s="232"/>
      <c r="C561" s="307" t="str">
        <f t="shared" si="297"/>
        <v>15.14</v>
      </c>
      <c r="D561" s="308">
        <f t="shared" si="298"/>
        <v>5</v>
      </c>
      <c r="E561" s="309" t="str">
        <f t="shared" si="299"/>
        <v>15.14.5</v>
      </c>
      <c r="F561" s="310">
        <v>93655</v>
      </c>
      <c r="G561" s="311" t="str">
        <f>IF($F561="","",IFERROR(VLOOKUP($F561,SERVIÇOS!$B:$G,2,0),IFERROR(VLOOKUP($F561,'COMPOSIÇÕES COMPLEMENTARES '!$D:$L,2,0),IFERROR(VLOOKUP($F561,INSUMOS!$A:$D,2,0),""))))</f>
        <v>DISJUNTOR MONOPOLAR TIPO DIN, CORRENTE NOMINAL DE 20A - FORNECIMENTO E INSTALAÇÃO. AF_10/2020</v>
      </c>
      <c r="H561" s="312" t="str">
        <f>IF($F561="","",IFERROR(VLOOKUP($F561,SERVIÇOS!$B:$G,3,0),IFERROR(VLOOKUP($F561,'COMPOSIÇÕES COMPLEMENTARES '!$D:$L,3,0),IFERROR(VLOOKUP($F561,INSUMOS!$A:$D,3,0),""))))</f>
        <v>UN</v>
      </c>
      <c r="I561" s="313">
        <v>11</v>
      </c>
      <c r="J561" s="314">
        <f>IF($F561="","",IFERROR(VLOOKUP($F561,SERVIÇOS!$B:$G,4,0),IFERROR(VLOOKUP($F561,'COMPOSIÇÕES COMPLEMENTARES '!$D:$L,6,0),IFERROR(VLOOKUP($F561,INSUMOS!$A:$D,4,0),""))))</f>
        <v>12.28</v>
      </c>
      <c r="K561" s="314">
        <f>IF($F561="","",IFERROR(VLOOKUP($F561,SERVIÇOS!$B:$G,5,0),IFERROR(VLOOKUP($F561,'COMPOSIÇÕES COMPLEMENTARES '!$D:$L,7,0),0)))</f>
        <v>3.28</v>
      </c>
      <c r="L561" s="314">
        <f t="shared" si="300"/>
        <v>15.559999999999999</v>
      </c>
      <c r="M561" s="314">
        <f t="shared" si="301"/>
        <v>135.08000000000001</v>
      </c>
      <c r="N561" s="314">
        <f t="shared" si="302"/>
        <v>36.08</v>
      </c>
      <c r="O561" s="314">
        <f t="shared" si="303"/>
        <v>171.16</v>
      </c>
      <c r="P561" s="314"/>
      <c r="Q561" s="315"/>
      <c r="R561" s="315"/>
      <c r="S561" s="286"/>
      <c r="T561" s="287"/>
      <c r="U561" s="288" t="str">
        <f t="shared" si="276"/>
        <v/>
      </c>
      <c r="V561" s="287"/>
      <c r="W561" s="289" t="str">
        <f t="shared" si="277"/>
        <v/>
      </c>
      <c r="X561" s="287"/>
      <c r="Y561" s="290" t="str">
        <f t="shared" si="278"/>
        <v/>
      </c>
      <c r="Z561" s="291">
        <f ca="1">SUMIF($T$8:Y$1018,"QUANT.",T561:Y561)</f>
        <v>0</v>
      </c>
      <c r="AA561" s="292">
        <f t="shared" ca="1" si="279"/>
        <v>0</v>
      </c>
      <c r="AB561" s="293" t="str">
        <f t="shared" ca="1" si="280"/>
        <v>MEDIR</v>
      </c>
      <c r="AC561" s="294">
        <f t="shared" ca="1" si="281"/>
        <v>11</v>
      </c>
      <c r="AD561" s="294">
        <f t="shared" ca="1" si="282"/>
        <v>171.16</v>
      </c>
      <c r="AE561" s="295"/>
      <c r="AF561" s="295"/>
      <c r="AG561" s="296"/>
      <c r="AH561" s="296"/>
      <c r="AI561" s="296"/>
      <c r="AJ561" s="326"/>
      <c r="AK561" s="326"/>
      <c r="AL561" s="326"/>
      <c r="AM561" s="326"/>
    </row>
    <row r="562" spans="1:39" ht="25.5" x14ac:dyDescent="0.25">
      <c r="A562" s="232">
        <f t="shared" si="268"/>
        <v>562</v>
      </c>
      <c r="B562" s="232"/>
      <c r="C562" s="307" t="str">
        <f t="shared" si="297"/>
        <v>15.14</v>
      </c>
      <c r="D562" s="308">
        <f t="shared" si="298"/>
        <v>6</v>
      </c>
      <c r="E562" s="309" t="str">
        <f t="shared" si="299"/>
        <v>15.14.6</v>
      </c>
      <c r="F562" s="310">
        <v>93654</v>
      </c>
      <c r="G562" s="311" t="str">
        <f>IF($F562="","",IFERROR(VLOOKUP($F562,SERVIÇOS!$B:$G,2,0),IFERROR(VLOOKUP($F562,'COMPOSIÇÕES COMPLEMENTARES '!$D:$L,2,0),IFERROR(VLOOKUP($F562,INSUMOS!$A:$D,2,0),""))))</f>
        <v>DISJUNTOR MONOPOLAR TIPO DIN, CORRENTE NOMINAL DE 16A - FORNECIMENTO E INSTALAÇÃO. AF_10/2020</v>
      </c>
      <c r="H562" s="312" t="str">
        <f>IF($F562="","",IFERROR(VLOOKUP($F562,SERVIÇOS!$B:$G,3,0),IFERROR(VLOOKUP($F562,'COMPOSIÇÕES COMPLEMENTARES '!$D:$L,3,0),IFERROR(VLOOKUP($F562,INSUMOS!$A:$D,3,0),""))))</f>
        <v>UN</v>
      </c>
      <c r="I562" s="313">
        <v>2</v>
      </c>
      <c r="J562" s="314">
        <f>IF($F562="","",IFERROR(VLOOKUP($F562,SERVIÇOS!$B:$G,4,0),IFERROR(VLOOKUP($F562,'COMPOSIÇÕES COMPLEMENTARES '!$D:$L,6,0),IFERROR(VLOOKUP($F562,INSUMOS!$A:$D,4,0),""))))</f>
        <v>11.6</v>
      </c>
      <c r="K562" s="314">
        <f>IF($F562="","",IFERROR(VLOOKUP($F562,SERVIÇOS!$B:$G,5,0),IFERROR(VLOOKUP($F562,'COMPOSIÇÕES COMPLEMENTARES '!$D:$L,7,0),0)))</f>
        <v>2.35</v>
      </c>
      <c r="L562" s="314">
        <f t="shared" si="300"/>
        <v>13.95</v>
      </c>
      <c r="M562" s="314">
        <f t="shared" si="301"/>
        <v>23.2</v>
      </c>
      <c r="N562" s="314">
        <f t="shared" si="302"/>
        <v>4.7</v>
      </c>
      <c r="O562" s="314">
        <f t="shared" si="303"/>
        <v>27.9</v>
      </c>
      <c r="P562" s="314"/>
      <c r="Q562" s="315"/>
      <c r="R562" s="315"/>
      <c r="S562" s="286"/>
      <c r="T562" s="287"/>
      <c r="U562" s="288" t="str">
        <f t="shared" si="276"/>
        <v/>
      </c>
      <c r="V562" s="287"/>
      <c r="W562" s="289" t="str">
        <f t="shared" si="277"/>
        <v/>
      </c>
      <c r="X562" s="287"/>
      <c r="Y562" s="290" t="str">
        <f t="shared" si="278"/>
        <v/>
      </c>
      <c r="Z562" s="291">
        <f ca="1">SUMIF($T$8:Y$1018,"QUANT.",T562:Y562)</f>
        <v>0</v>
      </c>
      <c r="AA562" s="292">
        <f t="shared" ca="1" si="279"/>
        <v>0</v>
      </c>
      <c r="AB562" s="293" t="str">
        <f t="shared" ca="1" si="280"/>
        <v>MEDIR</v>
      </c>
      <c r="AC562" s="294">
        <f t="shared" ca="1" si="281"/>
        <v>2</v>
      </c>
      <c r="AD562" s="294">
        <f t="shared" ca="1" si="282"/>
        <v>27.9</v>
      </c>
      <c r="AE562" s="295"/>
      <c r="AF562" s="295"/>
      <c r="AG562" s="296"/>
      <c r="AH562" s="296"/>
      <c r="AI562" s="296"/>
      <c r="AJ562" s="326"/>
      <c r="AK562" s="326"/>
      <c r="AL562" s="326"/>
      <c r="AM562" s="326"/>
    </row>
    <row r="563" spans="1:39" x14ac:dyDescent="0.25">
      <c r="A563" s="232">
        <f t="shared" si="268"/>
        <v>563</v>
      </c>
      <c r="B563" s="232"/>
      <c r="C563" s="307" t="str">
        <f t="shared" si="297"/>
        <v>15.14</v>
      </c>
      <c r="D563" s="308">
        <f t="shared" si="298"/>
        <v>7</v>
      </c>
      <c r="E563" s="309" t="str">
        <f t="shared" si="299"/>
        <v>15.14.7</v>
      </c>
      <c r="F563" s="310" t="s">
        <v>12198</v>
      </c>
      <c r="G563" s="311" t="str">
        <f>IF($F563="","",IFERROR(VLOOKUP($F563,SERVIÇOS!$B:$G,2,0),IFERROR(VLOOKUP($F563,'COMPOSIÇÕES COMPLEMENTARES '!$D:$L,2,0),IFERROR(VLOOKUP($F563,INSUMOS!$A:$D,2,0),""))))</f>
        <v>DISPOSITIVO PROTETOR CONTRA SURTOS (DPS) 8/20 45KA - 275V CLASSE II</v>
      </c>
      <c r="H563" s="312" t="str">
        <f>IF($F563="","",IFERROR(VLOOKUP($F563,SERVIÇOS!$B:$G,3,0),IFERROR(VLOOKUP($F563,'COMPOSIÇÕES COMPLEMENTARES '!$D:$L,3,0),IFERROR(VLOOKUP($F563,INSUMOS!$A:$D,3,0),""))))</f>
        <v>UN</v>
      </c>
      <c r="I563" s="313">
        <v>4</v>
      </c>
      <c r="J563" s="314">
        <f>IF($F563="","",IFERROR(VLOOKUP($F563,SERVIÇOS!$B:$G,4,0),IFERROR(VLOOKUP($F563,'COMPOSIÇÕES COMPLEMENTARES '!$D:$L,6,0),IFERROR(VLOOKUP($F563,INSUMOS!$A:$D,4,0),""))))</f>
        <v>116.15</v>
      </c>
      <c r="K563" s="314">
        <f>IF($F563="","",IFERROR(VLOOKUP($F563,SERVIÇOS!$B:$G,5,0),IFERROR(VLOOKUP($F563,'COMPOSIÇÕES COMPLEMENTARES '!$D:$L,7,0),0)))</f>
        <v>14.85</v>
      </c>
      <c r="L563" s="314">
        <f t="shared" si="300"/>
        <v>131</v>
      </c>
      <c r="M563" s="314">
        <f t="shared" si="301"/>
        <v>464.6</v>
      </c>
      <c r="N563" s="314">
        <f t="shared" si="302"/>
        <v>59.4</v>
      </c>
      <c r="O563" s="314">
        <f t="shared" si="303"/>
        <v>524</v>
      </c>
      <c r="P563" s="314"/>
      <c r="Q563" s="315"/>
      <c r="R563" s="315"/>
      <c r="S563" s="286"/>
      <c r="T563" s="287"/>
      <c r="U563" s="288" t="str">
        <f t="shared" si="276"/>
        <v/>
      </c>
      <c r="V563" s="287"/>
      <c r="W563" s="289" t="str">
        <f t="shared" si="277"/>
        <v/>
      </c>
      <c r="X563" s="287"/>
      <c r="Y563" s="290" t="str">
        <f t="shared" si="278"/>
        <v/>
      </c>
      <c r="Z563" s="291">
        <f ca="1">SUMIF($T$8:Y$1018,"QUANT.",T563:Y563)</f>
        <v>0</v>
      </c>
      <c r="AA563" s="292">
        <f t="shared" ca="1" si="279"/>
        <v>0</v>
      </c>
      <c r="AB563" s="293" t="str">
        <f t="shared" ca="1" si="280"/>
        <v>MEDIR</v>
      </c>
      <c r="AC563" s="294">
        <f t="shared" ca="1" si="281"/>
        <v>4</v>
      </c>
      <c r="AD563" s="294">
        <f t="shared" ca="1" si="282"/>
        <v>524</v>
      </c>
      <c r="AE563" s="295"/>
      <c r="AF563" s="295"/>
      <c r="AG563" s="296"/>
      <c r="AH563" s="296"/>
      <c r="AI563" s="296"/>
      <c r="AJ563" s="326"/>
      <c r="AK563" s="326"/>
      <c r="AL563" s="326"/>
      <c r="AM563" s="326"/>
    </row>
    <row r="564" spans="1:39" x14ac:dyDescent="0.25">
      <c r="A564" s="232">
        <f t="shared" si="268"/>
        <v>564</v>
      </c>
      <c r="B564" s="232"/>
      <c r="C564" s="307" t="str">
        <f t="shared" si="297"/>
        <v>15.14</v>
      </c>
      <c r="D564" s="308">
        <f t="shared" si="298"/>
        <v>8</v>
      </c>
      <c r="E564" s="309" t="str">
        <f t="shared" si="299"/>
        <v>15.14.8</v>
      </c>
      <c r="F564" s="310" t="s">
        <v>12200</v>
      </c>
      <c r="G564" s="311" t="str">
        <f>IF($F564="","",IFERROR(VLOOKUP($F564,SERVIÇOS!$B:$G,2,0),IFERROR(VLOOKUP($F564,'COMPOSIÇÕES COMPLEMENTARES '!$D:$L,2,0),IFERROR(VLOOKUP($F564,INSUMOS!$A:$D,2,0),""))))</f>
        <v>INTERRUPTOR DIFERENCIAL TETRAPOLAR 4X63A SENS. 30MA</v>
      </c>
      <c r="H564" s="312" t="str">
        <f>IF($F564="","",IFERROR(VLOOKUP($F564,SERVIÇOS!$B:$G,3,0),IFERROR(VLOOKUP($F564,'COMPOSIÇÕES COMPLEMENTARES '!$D:$L,3,0),IFERROR(VLOOKUP($F564,INSUMOS!$A:$D,3,0),""))))</f>
        <v>UN</v>
      </c>
      <c r="I564" s="313">
        <v>1</v>
      </c>
      <c r="J564" s="314">
        <f>IF($F564="","",IFERROR(VLOOKUP($F564,SERVIÇOS!$B:$G,4,0),IFERROR(VLOOKUP($F564,'COMPOSIÇÕES COMPLEMENTARES '!$D:$L,6,0),IFERROR(VLOOKUP($F564,INSUMOS!$A:$D,4,0),""))))</f>
        <v>279.11</v>
      </c>
      <c r="K564" s="314">
        <f>IF($F564="","",IFERROR(VLOOKUP($F564,SERVIÇOS!$B:$G,5,0),IFERROR(VLOOKUP($F564,'COMPOSIÇÕES COMPLEMENTARES '!$D:$L,7,0),0)))</f>
        <v>120.12</v>
      </c>
      <c r="L564" s="314">
        <f t="shared" si="300"/>
        <v>399.23</v>
      </c>
      <c r="M564" s="314">
        <f t="shared" si="301"/>
        <v>279.11</v>
      </c>
      <c r="N564" s="314">
        <f t="shared" si="302"/>
        <v>120.12</v>
      </c>
      <c r="O564" s="314">
        <f t="shared" si="303"/>
        <v>399.23</v>
      </c>
      <c r="P564" s="314"/>
      <c r="Q564" s="315"/>
      <c r="R564" s="315"/>
      <c r="S564" s="286"/>
      <c r="T564" s="287"/>
      <c r="U564" s="288" t="str">
        <f t="shared" si="276"/>
        <v/>
      </c>
      <c r="V564" s="287"/>
      <c r="W564" s="289" t="str">
        <f t="shared" si="277"/>
        <v/>
      </c>
      <c r="X564" s="287"/>
      <c r="Y564" s="290" t="str">
        <f t="shared" si="278"/>
        <v/>
      </c>
      <c r="Z564" s="291">
        <f ca="1">SUMIF($T$8:Y$1018,"QUANT.",T564:Y564)</f>
        <v>0</v>
      </c>
      <c r="AA564" s="292">
        <f t="shared" ca="1" si="279"/>
        <v>0</v>
      </c>
      <c r="AB564" s="293" t="str">
        <f t="shared" ca="1" si="280"/>
        <v>MEDIR</v>
      </c>
      <c r="AC564" s="294">
        <f t="shared" ca="1" si="281"/>
        <v>1</v>
      </c>
      <c r="AD564" s="294">
        <f t="shared" ca="1" si="282"/>
        <v>399.23</v>
      </c>
      <c r="AE564" s="295"/>
      <c r="AF564" s="295"/>
      <c r="AG564" s="296"/>
      <c r="AH564" s="296"/>
      <c r="AI564" s="296"/>
      <c r="AJ564" s="326"/>
      <c r="AK564" s="326"/>
      <c r="AL564" s="326"/>
      <c r="AM564" s="326"/>
    </row>
    <row r="565" spans="1:39" x14ac:dyDescent="0.25">
      <c r="A565" s="232">
        <f t="shared" si="268"/>
        <v>565</v>
      </c>
      <c r="B565" s="232"/>
      <c r="C565" s="307" t="str">
        <f t="shared" si="297"/>
        <v>15.14</v>
      </c>
      <c r="D565" s="308">
        <f t="shared" si="298"/>
        <v>9</v>
      </c>
      <c r="E565" s="309" t="str">
        <f t="shared" si="299"/>
        <v>15.14.9</v>
      </c>
      <c r="F565" s="310" t="s">
        <v>12202</v>
      </c>
      <c r="G565" s="311" t="str">
        <f>IF($F565="","",IFERROR(VLOOKUP($F565,SERVIÇOS!$B:$G,2,0),IFERROR(VLOOKUP($F565,'COMPOSIÇÕES COMPLEMENTARES '!$D:$L,2,0),IFERROR(VLOOKUP($F565,INSUMOS!$A:$D,2,0),""))))</f>
        <v>CONDUTOR DE COBRE FLEX. ISOL. 1KV - 90º - #16MM² - AFUMEX</v>
      </c>
      <c r="H565" s="312" t="str">
        <f>IF($F565="","",IFERROR(VLOOKUP($F565,SERVIÇOS!$B:$G,3,0),IFERROR(VLOOKUP($F565,'COMPOSIÇÕES COMPLEMENTARES '!$D:$L,3,0),IFERROR(VLOOKUP($F565,INSUMOS!$A:$D,3,0),""))))</f>
        <v>M</v>
      </c>
      <c r="I565" s="313">
        <v>125</v>
      </c>
      <c r="J565" s="314">
        <f>IF($F565="","",IFERROR(VLOOKUP($F565,SERVIÇOS!$B:$G,4,0),IFERROR(VLOOKUP($F565,'COMPOSIÇÕES COMPLEMENTARES '!$D:$L,6,0),IFERROR(VLOOKUP($F565,INSUMOS!$A:$D,4,0),""))))</f>
        <v>19.739999999999998</v>
      </c>
      <c r="K565" s="314">
        <f>IF($F565="","",IFERROR(VLOOKUP($F565,SERVIÇOS!$B:$G,5,0),IFERROR(VLOOKUP($F565,'COMPOSIÇÕES COMPLEMENTARES '!$D:$L,7,0),0)))</f>
        <v>5.69</v>
      </c>
      <c r="L565" s="314">
        <f t="shared" si="300"/>
        <v>25.43</v>
      </c>
      <c r="M565" s="314">
        <f t="shared" si="301"/>
        <v>2467.5</v>
      </c>
      <c r="N565" s="314">
        <f t="shared" si="302"/>
        <v>711.25</v>
      </c>
      <c r="O565" s="314">
        <f t="shared" si="303"/>
        <v>3178.75</v>
      </c>
      <c r="P565" s="314"/>
      <c r="Q565" s="315"/>
      <c r="R565" s="315"/>
      <c r="S565" s="286"/>
      <c r="T565" s="287"/>
      <c r="U565" s="288" t="str">
        <f t="shared" si="276"/>
        <v/>
      </c>
      <c r="V565" s="287"/>
      <c r="W565" s="289" t="str">
        <f t="shared" si="277"/>
        <v/>
      </c>
      <c r="X565" s="287"/>
      <c r="Y565" s="290" t="str">
        <f t="shared" si="278"/>
        <v/>
      </c>
      <c r="Z565" s="291">
        <f ca="1">SUMIF($T$8:Y$1018,"QUANT.",T565:Y565)</f>
        <v>0</v>
      </c>
      <c r="AA565" s="292">
        <f t="shared" ca="1" si="279"/>
        <v>0</v>
      </c>
      <c r="AB565" s="293" t="str">
        <f t="shared" ca="1" si="280"/>
        <v>MEDIR</v>
      </c>
      <c r="AC565" s="294">
        <f t="shared" ca="1" si="281"/>
        <v>125</v>
      </c>
      <c r="AD565" s="294">
        <f t="shared" ca="1" si="282"/>
        <v>3178.75</v>
      </c>
      <c r="AE565" s="295"/>
      <c r="AF565" s="295"/>
      <c r="AG565" s="296"/>
      <c r="AH565" s="296"/>
      <c r="AI565" s="296"/>
      <c r="AJ565" s="326"/>
      <c r="AK565" s="326"/>
      <c r="AL565" s="326"/>
      <c r="AM565" s="326"/>
    </row>
    <row r="566" spans="1:39" x14ac:dyDescent="0.25">
      <c r="A566" s="232">
        <f t="shared" si="268"/>
        <v>566</v>
      </c>
      <c r="B566" s="232"/>
      <c r="C566" s="307" t="str">
        <f t="shared" si="297"/>
        <v>15.14</v>
      </c>
      <c r="D566" s="308">
        <f t="shared" si="298"/>
        <v>10</v>
      </c>
      <c r="E566" s="309" t="str">
        <f t="shared" si="299"/>
        <v>15.14.10</v>
      </c>
      <c r="F566" s="310" t="s">
        <v>12204</v>
      </c>
      <c r="G566" s="311" t="str">
        <f>IF($F566="","",IFERROR(VLOOKUP($F566,SERVIÇOS!$B:$G,2,0),IFERROR(VLOOKUP($F566,'COMPOSIÇÕES COMPLEMENTARES '!$D:$L,2,0),IFERROR(VLOOKUP($F566,INSUMOS!$A:$D,2,0),""))))</f>
        <v>TERMINAL DE COMPRESSÃO #16MM²</v>
      </c>
      <c r="H566" s="312" t="str">
        <f>IF($F566="","",IFERROR(VLOOKUP($F566,SERVIÇOS!$B:$G,3,0),IFERROR(VLOOKUP($F566,'COMPOSIÇÕES COMPLEMENTARES '!$D:$L,3,0),IFERROR(VLOOKUP($F566,INSUMOS!$A:$D,3,0),""))))</f>
        <v>UN</v>
      </c>
      <c r="I566" s="313">
        <v>10</v>
      </c>
      <c r="J566" s="314">
        <f>IF($F566="","",IFERROR(VLOOKUP($F566,SERVIÇOS!$B:$G,4,0),IFERROR(VLOOKUP($F566,'COMPOSIÇÕES COMPLEMENTARES '!$D:$L,6,0),IFERROR(VLOOKUP($F566,INSUMOS!$A:$D,4,0),""))))</f>
        <v>2.71</v>
      </c>
      <c r="K566" s="314">
        <f>IF($F566="","",IFERROR(VLOOKUP($F566,SERVIÇOS!$B:$G,5,0),IFERROR(VLOOKUP($F566,'COMPOSIÇÕES COMPLEMENTARES '!$D:$L,7,0),0)))</f>
        <v>1.1200000000000001</v>
      </c>
      <c r="L566" s="314">
        <f t="shared" si="300"/>
        <v>3.83</v>
      </c>
      <c r="M566" s="314">
        <f t="shared" si="301"/>
        <v>27.1</v>
      </c>
      <c r="N566" s="314">
        <f t="shared" si="302"/>
        <v>11.2</v>
      </c>
      <c r="O566" s="314">
        <f t="shared" si="303"/>
        <v>38.299999999999997</v>
      </c>
      <c r="P566" s="314"/>
      <c r="Q566" s="315"/>
      <c r="R566" s="315"/>
      <c r="S566" s="286"/>
      <c r="T566" s="287"/>
      <c r="U566" s="288" t="str">
        <f t="shared" si="276"/>
        <v/>
      </c>
      <c r="V566" s="287"/>
      <c r="W566" s="289" t="str">
        <f t="shared" si="277"/>
        <v/>
      </c>
      <c r="X566" s="287"/>
      <c r="Y566" s="290" t="str">
        <f t="shared" si="278"/>
        <v/>
      </c>
      <c r="Z566" s="291">
        <f ca="1">SUMIF($T$8:Y$1018,"QUANT.",T566:Y566)</f>
        <v>0</v>
      </c>
      <c r="AA566" s="292">
        <f t="shared" ca="1" si="279"/>
        <v>0</v>
      </c>
      <c r="AB566" s="293" t="str">
        <f t="shared" ca="1" si="280"/>
        <v>MEDIR</v>
      </c>
      <c r="AC566" s="294">
        <f t="shared" ca="1" si="281"/>
        <v>10</v>
      </c>
      <c r="AD566" s="294">
        <f t="shared" ca="1" si="282"/>
        <v>38.299999999999997</v>
      </c>
      <c r="AE566" s="295"/>
      <c r="AF566" s="295"/>
      <c r="AG566" s="296"/>
      <c r="AH566" s="296"/>
      <c r="AI566" s="296"/>
      <c r="AJ566" s="326"/>
      <c r="AK566" s="326"/>
      <c r="AL566" s="326"/>
      <c r="AM566" s="326"/>
    </row>
    <row r="567" spans="1:39" ht="25.5" x14ac:dyDescent="0.25">
      <c r="A567" s="232">
        <f t="shared" si="268"/>
        <v>567</v>
      </c>
      <c r="B567" s="232"/>
      <c r="C567" s="307" t="str">
        <f t="shared" si="297"/>
        <v>15.14</v>
      </c>
      <c r="D567" s="308">
        <f t="shared" si="298"/>
        <v>11</v>
      </c>
      <c r="E567" s="309" t="str">
        <f t="shared" si="299"/>
        <v>15.14.11</v>
      </c>
      <c r="F567" s="310">
        <v>97668</v>
      </c>
      <c r="G567" s="311" t="str">
        <f>IF($F567="","",IFERROR(VLOOKUP($F567,SERVIÇOS!$B:$G,2,0),IFERROR(VLOOKUP($F567,'COMPOSIÇÕES COMPLEMENTARES '!$D:$L,2,0),IFERROR(VLOOKUP($F567,INSUMOS!$A:$D,2,0),""))))</f>
        <v>ELETRODUTO FLEXÍVEL CORRUGADO, PEAD, DN 63 (2"), PARA REDE ENTERRADA DE DISTRIBUIÇÃO DE ENERGIA ELÉTRICA - FORNECIMENTO E INSTALAÇÃO. AF_12/2021</v>
      </c>
      <c r="H567" s="312" t="str">
        <f>IF($F567="","",IFERROR(VLOOKUP($F567,SERVIÇOS!$B:$G,3,0),IFERROR(VLOOKUP($F567,'COMPOSIÇÕES COMPLEMENTARES '!$D:$L,3,0),IFERROR(VLOOKUP($F567,INSUMOS!$A:$D,3,0),""))))</f>
        <v>M</v>
      </c>
      <c r="I567" s="313">
        <v>25</v>
      </c>
      <c r="J567" s="314">
        <f>IF($F567="","",IFERROR(VLOOKUP($F567,SERVIÇOS!$B:$G,4,0),IFERROR(VLOOKUP($F567,'COMPOSIÇÕES COMPLEMENTARES '!$D:$L,6,0),IFERROR(VLOOKUP($F567,INSUMOS!$A:$D,4,0),""))))</f>
        <v>11.19</v>
      </c>
      <c r="K567" s="314">
        <f>IF($F567="","",IFERROR(VLOOKUP($F567,SERVIÇOS!$B:$G,5,0),IFERROR(VLOOKUP($F567,'COMPOSIÇÕES COMPLEMENTARES '!$D:$L,7,0),0)))</f>
        <v>4.68</v>
      </c>
      <c r="L567" s="314">
        <f t="shared" si="300"/>
        <v>15.87</v>
      </c>
      <c r="M567" s="314">
        <f t="shared" si="301"/>
        <v>279.75</v>
      </c>
      <c r="N567" s="314">
        <f t="shared" si="302"/>
        <v>117</v>
      </c>
      <c r="O567" s="314">
        <f t="shared" si="303"/>
        <v>396.75</v>
      </c>
      <c r="P567" s="314"/>
      <c r="Q567" s="315"/>
      <c r="R567" s="315"/>
      <c r="S567" s="286"/>
      <c r="T567" s="287"/>
      <c r="U567" s="288" t="str">
        <f t="shared" si="276"/>
        <v/>
      </c>
      <c r="V567" s="287"/>
      <c r="W567" s="289" t="str">
        <f t="shared" si="277"/>
        <v/>
      </c>
      <c r="X567" s="287"/>
      <c r="Y567" s="290" t="str">
        <f t="shared" si="278"/>
        <v/>
      </c>
      <c r="Z567" s="291">
        <f ca="1">SUMIF($T$8:Y$1018,"QUANT.",T567:Y567)</f>
        <v>0</v>
      </c>
      <c r="AA567" s="292">
        <f t="shared" ca="1" si="279"/>
        <v>0</v>
      </c>
      <c r="AB567" s="293" t="str">
        <f t="shared" ca="1" si="280"/>
        <v>MEDIR</v>
      </c>
      <c r="AC567" s="294">
        <f t="shared" ca="1" si="281"/>
        <v>25</v>
      </c>
      <c r="AD567" s="294">
        <f t="shared" ca="1" si="282"/>
        <v>396.75</v>
      </c>
      <c r="AE567" s="295"/>
      <c r="AF567" s="295"/>
      <c r="AG567" s="296"/>
      <c r="AH567" s="296"/>
      <c r="AI567" s="296"/>
      <c r="AJ567" s="326"/>
      <c r="AK567" s="326"/>
      <c r="AL567" s="326"/>
      <c r="AM567" s="326"/>
    </row>
    <row r="568" spans="1:39" x14ac:dyDescent="0.25">
      <c r="A568" s="232">
        <f t="shared" si="268"/>
        <v>568</v>
      </c>
      <c r="B568" s="232"/>
      <c r="C568" s="307" t="str">
        <f t="shared" si="297"/>
        <v>15.14</v>
      </c>
      <c r="D568" s="308">
        <f t="shared" si="298"/>
        <v>12</v>
      </c>
      <c r="E568" s="309" t="str">
        <f t="shared" si="299"/>
        <v>15.14.12</v>
      </c>
      <c r="F568" s="310" t="s">
        <v>12205</v>
      </c>
      <c r="G568" s="311" t="str">
        <f>IF($F568="","",IFERROR(VLOOKUP($F568,SERVIÇOS!$B:$G,2,0),IFERROR(VLOOKUP($F568,'COMPOSIÇÕES COMPLEMENTARES '!$D:$L,2,0),IFERROR(VLOOKUP($F568,INSUMOS!$A:$D,2,0),""))))</f>
        <v>UNIDUT CÔNICO Ø2" COM BUCHA E ARRUELA DE ALUMÍNIO Ø2"</v>
      </c>
      <c r="H568" s="312" t="str">
        <f>IF($F568="","",IFERROR(VLOOKUP($F568,SERVIÇOS!$B:$G,3,0),IFERROR(VLOOKUP($F568,'COMPOSIÇÕES COMPLEMENTARES '!$D:$L,3,0),IFERROR(VLOOKUP($F568,INSUMOS!$A:$D,3,0),""))))</f>
        <v>UN</v>
      </c>
      <c r="I568" s="313">
        <v>4</v>
      </c>
      <c r="J568" s="314">
        <f>IF($F568="","",IFERROR(VLOOKUP($F568,SERVIÇOS!$B:$G,4,0),IFERROR(VLOOKUP($F568,'COMPOSIÇÕES COMPLEMENTARES '!$D:$L,6,0),IFERROR(VLOOKUP($F568,INSUMOS!$A:$D,4,0),""))))</f>
        <v>17.22</v>
      </c>
      <c r="K568" s="314">
        <f>IF($F568="","",IFERROR(VLOOKUP($F568,SERVIÇOS!$B:$G,5,0),IFERROR(VLOOKUP($F568,'COMPOSIÇÕES COMPLEMENTARES '!$D:$L,7,0),0)))</f>
        <v>2.4700000000000002</v>
      </c>
      <c r="L568" s="314">
        <f t="shared" si="300"/>
        <v>19.689999999999998</v>
      </c>
      <c r="M568" s="314">
        <f t="shared" si="301"/>
        <v>68.88</v>
      </c>
      <c r="N568" s="314">
        <f t="shared" si="302"/>
        <v>9.8800000000000008</v>
      </c>
      <c r="O568" s="314">
        <f t="shared" si="303"/>
        <v>78.760000000000005</v>
      </c>
      <c r="P568" s="314"/>
      <c r="Q568" s="315"/>
      <c r="R568" s="315"/>
      <c r="S568" s="286"/>
      <c r="T568" s="287"/>
      <c r="U568" s="288" t="str">
        <f t="shared" si="276"/>
        <v/>
      </c>
      <c r="V568" s="287"/>
      <c r="W568" s="289" t="str">
        <f t="shared" si="277"/>
        <v/>
      </c>
      <c r="X568" s="287"/>
      <c r="Y568" s="290" t="str">
        <f t="shared" si="278"/>
        <v/>
      </c>
      <c r="Z568" s="291">
        <f ca="1">SUMIF($T$8:Y$1018,"QUANT.",T568:Y568)</f>
        <v>0</v>
      </c>
      <c r="AA568" s="292">
        <f t="shared" ca="1" si="279"/>
        <v>0</v>
      </c>
      <c r="AB568" s="293" t="str">
        <f t="shared" ca="1" si="280"/>
        <v>MEDIR</v>
      </c>
      <c r="AC568" s="294">
        <f t="shared" ca="1" si="281"/>
        <v>4</v>
      </c>
      <c r="AD568" s="294">
        <f t="shared" ca="1" si="282"/>
        <v>78.760000000000005</v>
      </c>
      <c r="AE568" s="295"/>
      <c r="AF568" s="295"/>
      <c r="AG568" s="296"/>
      <c r="AH568" s="296"/>
      <c r="AI568" s="296"/>
      <c r="AJ568" s="326"/>
      <c r="AK568" s="326"/>
      <c r="AL568" s="326"/>
      <c r="AM568" s="326"/>
    </row>
    <row r="569" spans="1:39" x14ac:dyDescent="0.25">
      <c r="A569" s="232">
        <f t="shared" si="268"/>
        <v>569</v>
      </c>
      <c r="B569" s="232"/>
      <c r="C569" s="316" t="str">
        <f>+E569</f>
        <v>15.15</v>
      </c>
      <c r="D569" s="297"/>
      <c r="E569" s="317" t="s">
        <v>12266</v>
      </c>
      <c r="F569" s="317"/>
      <c r="G569" s="318" t="s">
        <v>12267</v>
      </c>
      <c r="H569" s="317"/>
      <c r="I569" s="319"/>
      <c r="J569" s="317"/>
      <c r="K569" s="317"/>
      <c r="L569" s="317"/>
      <c r="M569" s="317"/>
      <c r="N569" s="317"/>
      <c r="O569" s="317"/>
      <c r="P569" s="317"/>
      <c r="Q569" s="320"/>
      <c r="R569" s="306"/>
      <c r="S569" s="286"/>
      <c r="T569" s="287"/>
      <c r="U569" s="288" t="str">
        <f t="shared" si="276"/>
        <v/>
      </c>
      <c r="V569" s="287"/>
      <c r="W569" s="289" t="str">
        <f t="shared" si="277"/>
        <v/>
      </c>
      <c r="X569" s="287"/>
      <c r="Y569" s="290" t="str">
        <f t="shared" si="278"/>
        <v/>
      </c>
      <c r="Z569" s="291">
        <f ca="1">SUMIF($T$8:Y$1018,"QUANT.",T569:Y569)</f>
        <v>0</v>
      </c>
      <c r="AA569" s="292">
        <f t="shared" ca="1" si="279"/>
        <v>0</v>
      </c>
      <c r="AB569" s="293" t="str">
        <f t="shared" si="280"/>
        <v/>
      </c>
      <c r="AC569" s="294">
        <f t="shared" ca="1" si="281"/>
        <v>0</v>
      </c>
      <c r="AD569" s="294">
        <f t="shared" ca="1" si="282"/>
        <v>0</v>
      </c>
      <c r="AE569" s="295"/>
      <c r="AF569" s="295"/>
      <c r="AG569" s="296"/>
      <c r="AH569" s="296"/>
      <c r="AI569" s="296"/>
      <c r="AJ569" s="326"/>
      <c r="AK569" s="326"/>
      <c r="AL569" s="326"/>
      <c r="AM569" s="326"/>
    </row>
    <row r="570" spans="1:39" ht="25.5" x14ac:dyDescent="0.25">
      <c r="A570" s="232">
        <f t="shared" si="268"/>
        <v>570</v>
      </c>
      <c r="B570" s="232"/>
      <c r="C570" s="307" t="str">
        <f t="shared" ref="C570:C579" si="304">+C569</f>
        <v>15.15</v>
      </c>
      <c r="D570" s="308">
        <f t="shared" ref="D570:D579" si="305">1+D569</f>
        <v>1</v>
      </c>
      <c r="E570" s="309" t="str">
        <f t="shared" ref="E570:E579" si="306">C570&amp;"."&amp;D570</f>
        <v>15.15.1</v>
      </c>
      <c r="F570" s="310" t="s">
        <v>12208</v>
      </c>
      <c r="G570" s="311" t="str">
        <f>IF($F570="","",IFERROR(VLOOKUP($F570,SERVIÇOS!$B:$G,2,0),IFERROR(VLOOKUP($F570,'COMPOSIÇÕES COMPLEMENTARES '!$D:$L,2,0),IFERROR(VLOOKUP($F570,INSUMOS!$A:$D,2,0),""))))</f>
        <v>LUMINÁRIA QUADRADA TIPO PLACA DE LED 30X30 CM DE EMBUTIR, 24W/127V - 1700 LM - 4000K - STH9954Q/40 - BIVOLT - STELLA OU SIMILAR.</v>
      </c>
      <c r="H570" s="312" t="str">
        <f>IF($F570="","",IFERROR(VLOOKUP($F570,SERVIÇOS!$B:$G,3,0),IFERROR(VLOOKUP($F570,'COMPOSIÇÕES COMPLEMENTARES '!$D:$L,3,0),IFERROR(VLOOKUP($F570,INSUMOS!$A:$D,3,0),""))))</f>
        <v>UN</v>
      </c>
      <c r="I570" s="313">
        <v>22</v>
      </c>
      <c r="J570" s="314">
        <f>IF($F570="","",IFERROR(VLOOKUP($F570,SERVIÇOS!$B:$G,4,0),IFERROR(VLOOKUP($F570,'COMPOSIÇÕES COMPLEMENTARES '!$D:$L,6,0),IFERROR(VLOOKUP($F570,INSUMOS!$A:$D,4,0),""))))</f>
        <v>87.24</v>
      </c>
      <c r="K570" s="314">
        <f>IF($F570="","",IFERROR(VLOOKUP($F570,SERVIÇOS!$B:$G,5,0),IFERROR(VLOOKUP($F570,'COMPOSIÇÕES COMPLEMENTARES '!$D:$L,7,0),0)))</f>
        <v>43.89</v>
      </c>
      <c r="L570" s="314">
        <f t="shared" ref="L570:L579" si="307">IF(I570="","",J570+K570)</f>
        <v>131.13</v>
      </c>
      <c r="M570" s="314">
        <f t="shared" ref="M570:M579" si="308">IF(I570="","",TRUNC((I570*J570),2))</f>
        <v>1919.28</v>
      </c>
      <c r="N570" s="314">
        <f t="shared" ref="N570:N579" si="309">IF(I570="","",TRUNC((I570*K570),2))</f>
        <v>965.58</v>
      </c>
      <c r="O570" s="314">
        <f t="shared" ref="O570:O579" si="310">IF(I570="","",TRUNC((M570+N570),2))</f>
        <v>2884.86</v>
      </c>
      <c r="P570" s="314"/>
      <c r="Q570" s="315"/>
      <c r="R570" s="315"/>
      <c r="S570" s="286"/>
      <c r="T570" s="287"/>
      <c r="U570" s="288" t="str">
        <f t="shared" si="276"/>
        <v/>
      </c>
      <c r="V570" s="287"/>
      <c r="W570" s="289" t="str">
        <f t="shared" si="277"/>
        <v/>
      </c>
      <c r="X570" s="287"/>
      <c r="Y570" s="290" t="str">
        <f t="shared" si="278"/>
        <v/>
      </c>
      <c r="Z570" s="291">
        <f ca="1">SUMIF($T$8:Y$1018,"QUANT.",T570:Y570)</f>
        <v>0</v>
      </c>
      <c r="AA570" s="292">
        <f t="shared" ca="1" si="279"/>
        <v>0</v>
      </c>
      <c r="AB570" s="293" t="str">
        <f t="shared" ca="1" si="280"/>
        <v>MEDIR</v>
      </c>
      <c r="AC570" s="294">
        <f t="shared" ca="1" si="281"/>
        <v>22</v>
      </c>
      <c r="AD570" s="294">
        <f t="shared" ca="1" si="282"/>
        <v>2884.86</v>
      </c>
      <c r="AE570" s="295"/>
      <c r="AF570" s="295"/>
      <c r="AG570" s="296"/>
      <c r="AH570" s="296"/>
      <c r="AI570" s="296"/>
      <c r="AJ570" s="326"/>
      <c r="AK570" s="326"/>
      <c r="AL570" s="326"/>
      <c r="AM570" s="326"/>
    </row>
    <row r="571" spans="1:39" ht="25.5" x14ac:dyDescent="0.25">
      <c r="A571" s="232">
        <f t="shared" si="268"/>
        <v>571</v>
      </c>
      <c r="B571" s="232"/>
      <c r="C571" s="307" t="str">
        <f t="shared" si="304"/>
        <v>15.15</v>
      </c>
      <c r="D571" s="308">
        <f t="shared" si="305"/>
        <v>2</v>
      </c>
      <c r="E571" s="309" t="str">
        <f t="shared" si="306"/>
        <v>15.15.2</v>
      </c>
      <c r="F571" s="310">
        <v>91997</v>
      </c>
      <c r="G571" s="311" t="str">
        <f>IF($F571="","",IFERROR(VLOOKUP($F571,SERVIÇOS!$B:$G,2,0),IFERROR(VLOOKUP($F571,'COMPOSIÇÕES COMPLEMENTARES '!$D:$L,2,0),IFERROR(VLOOKUP($F571,INSUMOS!$A:$D,2,0),""))))</f>
        <v>TOMADA MÉDIA DE EMBUTIR (1 MÓDULO), 2P+T 20 A, INCLUINDO SUPORTE E PLACA - FORNECIMENTO E INSTALAÇÃO. AF_03/2023</v>
      </c>
      <c r="H571" s="312" t="str">
        <f>IF($F571="","",IFERROR(VLOOKUP($F571,SERVIÇOS!$B:$G,3,0),IFERROR(VLOOKUP($F571,'COMPOSIÇÕES COMPLEMENTARES '!$D:$L,3,0),IFERROR(VLOOKUP($F571,INSUMOS!$A:$D,3,0),""))))</f>
        <v>UN</v>
      </c>
      <c r="I571" s="313">
        <v>3</v>
      </c>
      <c r="J571" s="314">
        <f>IF($F571="","",IFERROR(VLOOKUP($F571,SERVIÇOS!$B:$G,4,0),IFERROR(VLOOKUP($F571,'COMPOSIÇÕES COMPLEMENTARES '!$D:$L,6,0),IFERROR(VLOOKUP($F571,INSUMOS!$A:$D,4,0),""))))</f>
        <v>24.26</v>
      </c>
      <c r="K571" s="314">
        <f>IF($F571="","",IFERROR(VLOOKUP($F571,SERVIÇOS!$B:$G,5,0),IFERROR(VLOOKUP($F571,'COMPOSIÇÕES COMPLEMENTARES '!$D:$L,7,0),0)))</f>
        <v>22.03</v>
      </c>
      <c r="L571" s="314">
        <f t="shared" si="307"/>
        <v>46.290000000000006</v>
      </c>
      <c r="M571" s="314">
        <f t="shared" si="308"/>
        <v>72.78</v>
      </c>
      <c r="N571" s="314">
        <f t="shared" si="309"/>
        <v>66.09</v>
      </c>
      <c r="O571" s="314">
        <f t="shared" si="310"/>
        <v>138.87</v>
      </c>
      <c r="P571" s="314"/>
      <c r="Q571" s="315"/>
      <c r="R571" s="315"/>
      <c r="S571" s="286"/>
      <c r="T571" s="287"/>
      <c r="U571" s="288" t="str">
        <f t="shared" si="276"/>
        <v/>
      </c>
      <c r="V571" s="287"/>
      <c r="W571" s="289" t="str">
        <f t="shared" si="277"/>
        <v/>
      </c>
      <c r="X571" s="287"/>
      <c r="Y571" s="290" t="str">
        <f t="shared" si="278"/>
        <v/>
      </c>
      <c r="Z571" s="291">
        <f ca="1">SUMIF($T$8:Y$1018,"QUANT.",T571:Y571)</f>
        <v>0</v>
      </c>
      <c r="AA571" s="292">
        <f t="shared" ca="1" si="279"/>
        <v>0</v>
      </c>
      <c r="AB571" s="293" t="str">
        <f t="shared" ca="1" si="280"/>
        <v>MEDIR</v>
      </c>
      <c r="AC571" s="294">
        <f t="shared" ca="1" si="281"/>
        <v>3</v>
      </c>
      <c r="AD571" s="294">
        <f t="shared" ca="1" si="282"/>
        <v>138.87</v>
      </c>
      <c r="AE571" s="295"/>
      <c r="AF571" s="295"/>
      <c r="AG571" s="296"/>
      <c r="AH571" s="296"/>
      <c r="AI571" s="296"/>
      <c r="AJ571" s="326"/>
      <c r="AK571" s="326"/>
      <c r="AL571" s="326"/>
      <c r="AM571" s="326"/>
    </row>
    <row r="572" spans="1:39" ht="25.5" x14ac:dyDescent="0.25">
      <c r="A572" s="232">
        <f t="shared" si="268"/>
        <v>572</v>
      </c>
      <c r="B572" s="232"/>
      <c r="C572" s="307" t="str">
        <f t="shared" si="304"/>
        <v>15.15</v>
      </c>
      <c r="D572" s="308">
        <f t="shared" si="305"/>
        <v>3</v>
      </c>
      <c r="E572" s="309" t="str">
        <f t="shared" si="306"/>
        <v>15.15.3</v>
      </c>
      <c r="F572" s="310">
        <v>91955</v>
      </c>
      <c r="G572" s="311" t="str">
        <f>IF($F572="","",IFERROR(VLOOKUP($F572,SERVIÇOS!$B:$G,2,0),IFERROR(VLOOKUP($F572,'COMPOSIÇÕES COMPLEMENTARES '!$D:$L,2,0),IFERROR(VLOOKUP($F572,INSUMOS!$A:$D,2,0),""))))</f>
        <v>INTERRUPTOR PARALELO (1 MÓDULO), 10A/250V, INCLUINDO SUPORTE E PLACA - FORNECIMENTO E INSTALAÇÃO. AF_03/2023</v>
      </c>
      <c r="H572" s="312" t="str">
        <f>IF($F572="","",IFERROR(VLOOKUP($F572,SERVIÇOS!$B:$G,3,0),IFERROR(VLOOKUP($F572,'COMPOSIÇÕES COMPLEMENTARES '!$D:$L,3,0),IFERROR(VLOOKUP($F572,INSUMOS!$A:$D,3,0),""))))</f>
        <v>UN</v>
      </c>
      <c r="I572" s="313">
        <v>4</v>
      </c>
      <c r="J572" s="314">
        <f>IF($F572="","",IFERROR(VLOOKUP($F572,SERVIÇOS!$B:$G,4,0),IFERROR(VLOOKUP($F572,'COMPOSIÇÕES COMPLEMENTARES '!$D:$L,6,0),IFERROR(VLOOKUP($F572,INSUMOS!$A:$D,4,0),""))))</f>
        <v>23.08</v>
      </c>
      <c r="K572" s="314">
        <f>IF($F572="","",IFERROR(VLOOKUP($F572,SERVIÇOS!$B:$G,5,0),IFERROR(VLOOKUP($F572,'COMPOSIÇÕES COMPLEMENTARES '!$D:$L,7,0),0)))</f>
        <v>22.04</v>
      </c>
      <c r="L572" s="314">
        <f t="shared" si="307"/>
        <v>45.12</v>
      </c>
      <c r="M572" s="314">
        <f t="shared" si="308"/>
        <v>92.32</v>
      </c>
      <c r="N572" s="314">
        <f t="shared" si="309"/>
        <v>88.16</v>
      </c>
      <c r="O572" s="314">
        <f t="shared" si="310"/>
        <v>180.48</v>
      </c>
      <c r="P572" s="314"/>
      <c r="Q572" s="315"/>
      <c r="R572" s="315"/>
      <c r="S572" s="286"/>
      <c r="T572" s="287"/>
      <c r="U572" s="288" t="str">
        <f t="shared" si="276"/>
        <v/>
      </c>
      <c r="V572" s="287"/>
      <c r="W572" s="289" t="str">
        <f t="shared" si="277"/>
        <v/>
      </c>
      <c r="X572" s="287"/>
      <c r="Y572" s="290" t="str">
        <f t="shared" si="278"/>
        <v/>
      </c>
      <c r="Z572" s="291">
        <f ca="1">SUMIF($T$8:Y$1018,"QUANT.",T572:Y572)</f>
        <v>0</v>
      </c>
      <c r="AA572" s="292">
        <f t="shared" ca="1" si="279"/>
        <v>0</v>
      </c>
      <c r="AB572" s="293" t="str">
        <f t="shared" ca="1" si="280"/>
        <v>MEDIR</v>
      </c>
      <c r="AC572" s="294">
        <f t="shared" ca="1" si="281"/>
        <v>4</v>
      </c>
      <c r="AD572" s="294">
        <f t="shared" ca="1" si="282"/>
        <v>180.48</v>
      </c>
      <c r="AE572" s="295"/>
      <c r="AF572" s="295"/>
      <c r="AG572" s="296"/>
      <c r="AH572" s="296"/>
      <c r="AI572" s="296"/>
      <c r="AJ572" s="326"/>
      <c r="AK572" s="326"/>
      <c r="AL572" s="326"/>
      <c r="AM572" s="326"/>
    </row>
    <row r="573" spans="1:39" ht="25.5" x14ac:dyDescent="0.25">
      <c r="A573" s="232">
        <f t="shared" si="268"/>
        <v>573</v>
      </c>
      <c r="B573" s="232"/>
      <c r="C573" s="307" t="str">
        <f t="shared" si="304"/>
        <v>15.15</v>
      </c>
      <c r="D573" s="308">
        <f t="shared" si="305"/>
        <v>4</v>
      </c>
      <c r="E573" s="309" t="str">
        <f t="shared" si="306"/>
        <v>15.15.4</v>
      </c>
      <c r="F573" s="310">
        <v>91953</v>
      </c>
      <c r="G573" s="311" t="str">
        <f>IF($F573="","",IFERROR(VLOOKUP($F573,SERVIÇOS!$B:$G,2,0),IFERROR(VLOOKUP($F573,'COMPOSIÇÕES COMPLEMENTARES '!$D:$L,2,0),IFERROR(VLOOKUP($F573,INSUMOS!$A:$D,2,0),""))))</f>
        <v>INTERRUPTOR SIMPLES (1 MÓDULO), 10A/250V, INCLUINDO SUPORTE E PLACA - FORNECIMENTO E INSTALAÇÃO. AF_03/2023</v>
      </c>
      <c r="H573" s="312" t="str">
        <f>IF($F573="","",IFERROR(VLOOKUP($F573,SERVIÇOS!$B:$G,3,0),IFERROR(VLOOKUP($F573,'COMPOSIÇÕES COMPLEMENTARES '!$D:$L,3,0),IFERROR(VLOOKUP($F573,INSUMOS!$A:$D,3,0),""))))</f>
        <v>UN</v>
      </c>
      <c r="I573" s="313">
        <v>8</v>
      </c>
      <c r="J573" s="314">
        <f>IF($F573="","",IFERROR(VLOOKUP($F573,SERVIÇOS!$B:$G,4,0),IFERROR(VLOOKUP($F573,'COMPOSIÇÕES COMPLEMENTARES '!$D:$L,6,0),IFERROR(VLOOKUP($F573,INSUMOS!$A:$D,4,0),""))))</f>
        <v>19.2</v>
      </c>
      <c r="K573" s="314">
        <f>IF($F573="","",IFERROR(VLOOKUP($F573,SERVIÇOS!$B:$G,5,0),IFERROR(VLOOKUP($F573,'COMPOSIÇÕES COMPLEMENTARES '!$D:$L,7,0),0)))</f>
        <v>17.82</v>
      </c>
      <c r="L573" s="314">
        <f t="shared" si="307"/>
        <v>37.019999999999996</v>
      </c>
      <c r="M573" s="314">
        <f t="shared" si="308"/>
        <v>153.6</v>
      </c>
      <c r="N573" s="314">
        <f t="shared" si="309"/>
        <v>142.56</v>
      </c>
      <c r="O573" s="314">
        <f t="shared" si="310"/>
        <v>296.16000000000003</v>
      </c>
      <c r="P573" s="314"/>
      <c r="Q573" s="315"/>
      <c r="R573" s="315"/>
      <c r="S573" s="286"/>
      <c r="T573" s="287"/>
      <c r="U573" s="288" t="str">
        <f t="shared" si="276"/>
        <v/>
      </c>
      <c r="V573" s="287"/>
      <c r="W573" s="289" t="str">
        <f t="shared" si="277"/>
        <v/>
      </c>
      <c r="X573" s="287"/>
      <c r="Y573" s="290" t="str">
        <f t="shared" si="278"/>
        <v/>
      </c>
      <c r="Z573" s="291">
        <f ca="1">SUMIF($T$8:Y$1018,"QUANT.",T573:Y573)</f>
        <v>0</v>
      </c>
      <c r="AA573" s="292">
        <f t="shared" ca="1" si="279"/>
        <v>0</v>
      </c>
      <c r="AB573" s="293" t="str">
        <f t="shared" ca="1" si="280"/>
        <v>MEDIR</v>
      </c>
      <c r="AC573" s="294">
        <f t="shared" ca="1" si="281"/>
        <v>8</v>
      </c>
      <c r="AD573" s="294">
        <f t="shared" ca="1" si="282"/>
        <v>296.16000000000003</v>
      </c>
      <c r="AE573" s="295"/>
      <c r="AF573" s="295"/>
      <c r="AG573" s="296"/>
      <c r="AH573" s="296"/>
      <c r="AI573" s="296"/>
      <c r="AJ573" s="326"/>
      <c r="AK573" s="326"/>
      <c r="AL573" s="326"/>
      <c r="AM573" s="326"/>
    </row>
    <row r="574" spans="1:39" ht="25.5" x14ac:dyDescent="0.25">
      <c r="A574" s="232">
        <f t="shared" si="268"/>
        <v>574</v>
      </c>
      <c r="B574" s="232"/>
      <c r="C574" s="307" t="str">
        <f t="shared" si="304"/>
        <v>15.15</v>
      </c>
      <c r="D574" s="308">
        <f t="shared" si="305"/>
        <v>5</v>
      </c>
      <c r="E574" s="309" t="str">
        <f t="shared" si="306"/>
        <v>15.15.5</v>
      </c>
      <c r="F574" s="310">
        <v>91985</v>
      </c>
      <c r="G574" s="311" t="str">
        <f>IF($F574="","",IFERROR(VLOOKUP($F574,SERVIÇOS!$B:$G,2,0),IFERROR(VLOOKUP($F574,'COMPOSIÇÕES COMPLEMENTARES '!$D:$L,2,0),IFERROR(VLOOKUP($F574,INSUMOS!$A:$D,2,0),""))))</f>
        <v>INTERRUPTOR PULSADOR CAMPAINHA (1 MÓDULO), 10A/250V, INCLUINDO SUPORTE E PLACA - FORNECIMENTO E INSTALAÇÃO. AF_03/2023</v>
      </c>
      <c r="H574" s="312" t="str">
        <f>IF($F574="","",IFERROR(VLOOKUP($F574,SERVIÇOS!$B:$G,3,0),IFERROR(VLOOKUP($F574,'COMPOSIÇÕES COMPLEMENTARES '!$D:$L,3,0),IFERROR(VLOOKUP($F574,INSUMOS!$A:$D,3,0),""))))</f>
        <v>UN</v>
      </c>
      <c r="I574" s="313">
        <v>1</v>
      </c>
      <c r="J574" s="314">
        <f>IF($F574="","",IFERROR(VLOOKUP($F574,SERVIÇOS!$B:$G,4,0),IFERROR(VLOOKUP($F574,'COMPOSIÇÕES COMPLEMENTARES '!$D:$L,6,0),IFERROR(VLOOKUP($F574,INSUMOS!$A:$D,4,0),""))))</f>
        <v>17.98</v>
      </c>
      <c r="K574" s="314">
        <f>IF($F574="","",IFERROR(VLOOKUP($F574,SERVIÇOS!$B:$G,5,0),IFERROR(VLOOKUP($F574,'COMPOSIÇÕES COMPLEMENTARES '!$D:$L,7,0),0)))</f>
        <v>17.809999999999999</v>
      </c>
      <c r="L574" s="314">
        <f t="shared" si="307"/>
        <v>35.79</v>
      </c>
      <c r="M574" s="314">
        <f t="shared" si="308"/>
        <v>17.98</v>
      </c>
      <c r="N574" s="314">
        <f t="shared" si="309"/>
        <v>17.809999999999999</v>
      </c>
      <c r="O574" s="314">
        <f t="shared" si="310"/>
        <v>35.79</v>
      </c>
      <c r="P574" s="314"/>
      <c r="Q574" s="315"/>
      <c r="R574" s="315"/>
      <c r="S574" s="286"/>
      <c r="T574" s="287"/>
      <c r="U574" s="288" t="str">
        <f t="shared" si="276"/>
        <v/>
      </c>
      <c r="V574" s="287"/>
      <c r="W574" s="289" t="str">
        <f t="shared" si="277"/>
        <v/>
      </c>
      <c r="X574" s="287"/>
      <c r="Y574" s="290" t="str">
        <f t="shared" si="278"/>
        <v/>
      </c>
      <c r="Z574" s="291">
        <f ca="1">SUMIF($T$8:Y$1018,"QUANT.",T574:Y574)</f>
        <v>0</v>
      </c>
      <c r="AA574" s="292">
        <f t="shared" ca="1" si="279"/>
        <v>0</v>
      </c>
      <c r="AB574" s="293" t="str">
        <f t="shared" ca="1" si="280"/>
        <v>MEDIR</v>
      </c>
      <c r="AC574" s="294">
        <f t="shared" ca="1" si="281"/>
        <v>1</v>
      </c>
      <c r="AD574" s="294">
        <f t="shared" ca="1" si="282"/>
        <v>35.79</v>
      </c>
      <c r="AE574" s="295"/>
      <c r="AF574" s="295"/>
      <c r="AG574" s="296"/>
      <c r="AH574" s="296"/>
      <c r="AI574" s="296"/>
      <c r="AJ574" s="326"/>
      <c r="AK574" s="326"/>
      <c r="AL574" s="326"/>
      <c r="AM574" s="326"/>
    </row>
    <row r="575" spans="1:39" ht="25.5" x14ac:dyDescent="0.25">
      <c r="A575" s="232">
        <f t="shared" si="268"/>
        <v>575</v>
      </c>
      <c r="B575" s="232"/>
      <c r="C575" s="307" t="str">
        <f t="shared" si="304"/>
        <v>15.15</v>
      </c>
      <c r="D575" s="308">
        <f t="shared" si="305"/>
        <v>6</v>
      </c>
      <c r="E575" s="309" t="str">
        <f t="shared" si="306"/>
        <v>15.15.6</v>
      </c>
      <c r="F575" s="310">
        <v>91997</v>
      </c>
      <c r="G575" s="311" t="str">
        <f>IF($F575="","",IFERROR(VLOOKUP($F575,SERVIÇOS!$B:$G,2,0),IFERROR(VLOOKUP($F575,'COMPOSIÇÕES COMPLEMENTARES '!$D:$L,2,0),IFERROR(VLOOKUP($F575,INSUMOS!$A:$D,2,0),""))))</f>
        <v>TOMADA MÉDIA DE EMBUTIR (1 MÓDULO), 2P+T 20 A, INCLUINDO SUPORTE E PLACA - FORNECIMENTO E INSTALAÇÃO. AF_03/2023</v>
      </c>
      <c r="H575" s="312" t="str">
        <f>IF($F575="","",IFERROR(VLOOKUP($F575,SERVIÇOS!$B:$G,3,0),IFERROR(VLOOKUP($F575,'COMPOSIÇÕES COMPLEMENTARES '!$D:$L,3,0),IFERROR(VLOOKUP($F575,INSUMOS!$A:$D,3,0),""))))</f>
        <v>UN</v>
      </c>
      <c r="I575" s="313">
        <v>52</v>
      </c>
      <c r="J575" s="314">
        <f>IF($F575="","",IFERROR(VLOOKUP($F575,SERVIÇOS!$B:$G,4,0),IFERROR(VLOOKUP($F575,'COMPOSIÇÕES COMPLEMENTARES '!$D:$L,6,0),IFERROR(VLOOKUP($F575,INSUMOS!$A:$D,4,0),""))))</f>
        <v>24.26</v>
      </c>
      <c r="K575" s="314">
        <f>IF($F575="","",IFERROR(VLOOKUP($F575,SERVIÇOS!$B:$G,5,0),IFERROR(VLOOKUP($F575,'COMPOSIÇÕES COMPLEMENTARES '!$D:$L,7,0),0)))</f>
        <v>22.03</v>
      </c>
      <c r="L575" s="314">
        <f t="shared" si="307"/>
        <v>46.290000000000006</v>
      </c>
      <c r="M575" s="314">
        <f t="shared" si="308"/>
        <v>1261.52</v>
      </c>
      <c r="N575" s="314">
        <f t="shared" si="309"/>
        <v>1145.56</v>
      </c>
      <c r="O575" s="314">
        <f t="shared" si="310"/>
        <v>2407.08</v>
      </c>
      <c r="P575" s="314"/>
      <c r="Q575" s="315"/>
      <c r="R575" s="315"/>
      <c r="S575" s="286"/>
      <c r="T575" s="287"/>
      <c r="U575" s="288" t="str">
        <f t="shared" si="276"/>
        <v/>
      </c>
      <c r="V575" s="287"/>
      <c r="W575" s="289" t="str">
        <f t="shared" si="277"/>
        <v/>
      </c>
      <c r="X575" s="287"/>
      <c r="Y575" s="290" t="str">
        <f t="shared" si="278"/>
        <v/>
      </c>
      <c r="Z575" s="291">
        <f ca="1">SUMIF($T$8:Y$1018,"QUANT.",T575:Y575)</f>
        <v>0</v>
      </c>
      <c r="AA575" s="292">
        <f t="shared" ca="1" si="279"/>
        <v>0</v>
      </c>
      <c r="AB575" s="293" t="str">
        <f t="shared" ca="1" si="280"/>
        <v>MEDIR</v>
      </c>
      <c r="AC575" s="294">
        <f t="shared" ca="1" si="281"/>
        <v>52</v>
      </c>
      <c r="AD575" s="294">
        <f t="shared" ca="1" si="282"/>
        <v>2407.08</v>
      </c>
      <c r="AE575" s="295"/>
      <c r="AF575" s="295"/>
      <c r="AG575" s="296"/>
      <c r="AH575" s="296"/>
      <c r="AI575" s="296"/>
      <c r="AJ575" s="326"/>
      <c r="AK575" s="326"/>
      <c r="AL575" s="326"/>
      <c r="AM575" s="326"/>
    </row>
    <row r="576" spans="1:39" ht="25.5" x14ac:dyDescent="0.25">
      <c r="A576" s="232">
        <f t="shared" si="268"/>
        <v>576</v>
      </c>
      <c r="B576" s="232"/>
      <c r="C576" s="307" t="str">
        <f t="shared" si="304"/>
        <v>15.15</v>
      </c>
      <c r="D576" s="308">
        <f t="shared" si="305"/>
        <v>7</v>
      </c>
      <c r="E576" s="309" t="str">
        <f t="shared" si="306"/>
        <v>15.15.7</v>
      </c>
      <c r="F576" s="310">
        <v>92005</v>
      </c>
      <c r="G576" s="311" t="str">
        <f>IF($F576="","",IFERROR(VLOOKUP($F576,SERVIÇOS!$B:$G,2,0),IFERROR(VLOOKUP($F576,'COMPOSIÇÕES COMPLEMENTARES '!$D:$L,2,0),IFERROR(VLOOKUP($F576,INSUMOS!$A:$D,2,0),""))))</f>
        <v>TOMADA MÉDIA DE EMBUTIR (2 MÓDULOS), 2P+T 20 A, INCLUINDO SUPORTE E PLACA - FORNECIMENTO E INSTALAÇÃO. AF_03/2023</v>
      </c>
      <c r="H576" s="312" t="str">
        <f>IF($F576="","",IFERROR(VLOOKUP($F576,SERVIÇOS!$B:$G,3,0),IFERROR(VLOOKUP($F576,'COMPOSIÇÕES COMPLEMENTARES '!$D:$L,3,0),IFERROR(VLOOKUP($F576,INSUMOS!$A:$D,3,0),""))))</f>
        <v>UN</v>
      </c>
      <c r="I576" s="313">
        <v>6</v>
      </c>
      <c r="J576" s="314">
        <f>IF($F576="","",IFERROR(VLOOKUP($F576,SERVIÇOS!$B:$G,4,0),IFERROR(VLOOKUP($F576,'COMPOSIÇÕES COMPLEMENTARES '!$D:$L,6,0),IFERROR(VLOOKUP($F576,INSUMOS!$A:$D,4,0),""))))</f>
        <v>40.08</v>
      </c>
      <c r="K576" s="314">
        <f>IF($F576="","",IFERROR(VLOOKUP($F576,SERVIÇOS!$B:$G,5,0),IFERROR(VLOOKUP($F576,'COMPOSIÇÕES COMPLEMENTARES '!$D:$L,7,0),0)))</f>
        <v>34.67</v>
      </c>
      <c r="L576" s="314">
        <f t="shared" si="307"/>
        <v>74.75</v>
      </c>
      <c r="M576" s="314">
        <f t="shared" si="308"/>
        <v>240.48</v>
      </c>
      <c r="N576" s="314">
        <f t="shared" si="309"/>
        <v>208.02</v>
      </c>
      <c r="O576" s="314">
        <f t="shared" si="310"/>
        <v>448.5</v>
      </c>
      <c r="P576" s="314"/>
      <c r="Q576" s="315"/>
      <c r="R576" s="315"/>
      <c r="S576" s="286"/>
      <c r="T576" s="287"/>
      <c r="U576" s="288" t="str">
        <f t="shared" si="276"/>
        <v/>
      </c>
      <c r="V576" s="287"/>
      <c r="W576" s="289" t="str">
        <f t="shared" si="277"/>
        <v/>
      </c>
      <c r="X576" s="287"/>
      <c r="Y576" s="290" t="str">
        <f t="shared" si="278"/>
        <v/>
      </c>
      <c r="Z576" s="291">
        <f ca="1">SUMIF($T$8:Y$1018,"QUANT.",T576:Y576)</f>
        <v>0</v>
      </c>
      <c r="AA576" s="292">
        <f t="shared" ca="1" si="279"/>
        <v>0</v>
      </c>
      <c r="AB576" s="293" t="str">
        <f t="shared" ca="1" si="280"/>
        <v>MEDIR</v>
      </c>
      <c r="AC576" s="294">
        <f t="shared" ca="1" si="281"/>
        <v>6</v>
      </c>
      <c r="AD576" s="294">
        <f t="shared" ca="1" si="282"/>
        <v>448.5</v>
      </c>
      <c r="AE576" s="295"/>
      <c r="AF576" s="295"/>
      <c r="AG576" s="296"/>
      <c r="AH576" s="296"/>
      <c r="AI576" s="296"/>
      <c r="AJ576" s="326"/>
      <c r="AK576" s="326"/>
      <c r="AL576" s="326"/>
      <c r="AM576" s="326"/>
    </row>
    <row r="577" spans="1:39" ht="25.5" x14ac:dyDescent="0.25">
      <c r="A577" s="232">
        <f t="shared" si="268"/>
        <v>577</v>
      </c>
      <c r="B577" s="232"/>
      <c r="C577" s="307" t="str">
        <f t="shared" si="304"/>
        <v>15.15</v>
      </c>
      <c r="D577" s="308">
        <f t="shared" si="305"/>
        <v>8</v>
      </c>
      <c r="E577" s="309" t="str">
        <f t="shared" si="306"/>
        <v>15.15.8</v>
      </c>
      <c r="F577" s="310">
        <v>91997</v>
      </c>
      <c r="G577" s="311" t="str">
        <f>IF($F577="","",IFERROR(VLOOKUP($F577,SERVIÇOS!$B:$G,2,0),IFERROR(VLOOKUP($F577,'COMPOSIÇÕES COMPLEMENTARES '!$D:$L,2,0),IFERROR(VLOOKUP($F577,INSUMOS!$A:$D,2,0),""))))</f>
        <v>TOMADA MÉDIA DE EMBUTIR (1 MÓDULO), 2P+T 20 A, INCLUINDO SUPORTE E PLACA - FORNECIMENTO E INSTALAÇÃO. AF_03/2023</v>
      </c>
      <c r="H577" s="312" t="str">
        <f>IF($F577="","",IFERROR(VLOOKUP($F577,SERVIÇOS!$B:$G,3,0),IFERROR(VLOOKUP($F577,'COMPOSIÇÕES COMPLEMENTARES '!$D:$L,3,0),IFERROR(VLOOKUP($F577,INSUMOS!$A:$D,3,0),""))))</f>
        <v>UN</v>
      </c>
      <c r="I577" s="313">
        <v>1</v>
      </c>
      <c r="J577" s="314">
        <f>IF($F577="","",IFERROR(VLOOKUP($F577,SERVIÇOS!$B:$G,4,0),IFERROR(VLOOKUP($F577,'COMPOSIÇÕES COMPLEMENTARES '!$D:$L,6,0),IFERROR(VLOOKUP($F577,INSUMOS!$A:$D,4,0),""))))</f>
        <v>24.26</v>
      </c>
      <c r="K577" s="314">
        <f>IF($F577="","",IFERROR(VLOOKUP($F577,SERVIÇOS!$B:$G,5,0),IFERROR(VLOOKUP($F577,'COMPOSIÇÕES COMPLEMENTARES '!$D:$L,7,0),0)))</f>
        <v>22.03</v>
      </c>
      <c r="L577" s="314">
        <f t="shared" si="307"/>
        <v>46.290000000000006</v>
      </c>
      <c r="M577" s="314">
        <f t="shared" si="308"/>
        <v>24.26</v>
      </c>
      <c r="N577" s="314">
        <f t="shared" si="309"/>
        <v>22.03</v>
      </c>
      <c r="O577" s="314">
        <f t="shared" si="310"/>
        <v>46.29</v>
      </c>
      <c r="P577" s="314"/>
      <c r="Q577" s="315"/>
      <c r="R577" s="315"/>
      <c r="S577" s="286"/>
      <c r="T577" s="287"/>
      <c r="U577" s="288" t="str">
        <f t="shared" si="276"/>
        <v/>
      </c>
      <c r="V577" s="287"/>
      <c r="W577" s="289" t="str">
        <f t="shared" si="277"/>
        <v/>
      </c>
      <c r="X577" s="287"/>
      <c r="Y577" s="290" t="str">
        <f t="shared" si="278"/>
        <v/>
      </c>
      <c r="Z577" s="291">
        <f ca="1">SUMIF($T$8:Y$1018,"QUANT.",T577:Y577)</f>
        <v>0</v>
      </c>
      <c r="AA577" s="292">
        <f t="shared" ca="1" si="279"/>
        <v>0</v>
      </c>
      <c r="AB577" s="293" t="str">
        <f t="shared" ca="1" si="280"/>
        <v>MEDIR</v>
      </c>
      <c r="AC577" s="294">
        <f t="shared" ca="1" si="281"/>
        <v>1</v>
      </c>
      <c r="AD577" s="294">
        <f t="shared" ca="1" si="282"/>
        <v>46.29</v>
      </c>
      <c r="AE577" s="295"/>
      <c r="AF577" s="295"/>
      <c r="AG577" s="296"/>
      <c r="AH577" s="296"/>
      <c r="AI577" s="296"/>
      <c r="AJ577" s="326"/>
      <c r="AK577" s="326"/>
      <c r="AL577" s="326"/>
      <c r="AM577" s="326"/>
    </row>
    <row r="578" spans="1:39" x14ac:dyDescent="0.25">
      <c r="A578" s="232">
        <f t="shared" ref="A578:A641" si="311">1+A577</f>
        <v>578</v>
      </c>
      <c r="B578" s="232"/>
      <c r="C578" s="307" t="str">
        <f t="shared" si="304"/>
        <v>15.15</v>
      </c>
      <c r="D578" s="308">
        <f t="shared" si="305"/>
        <v>9</v>
      </c>
      <c r="E578" s="309" t="str">
        <f t="shared" si="306"/>
        <v>15.15.9</v>
      </c>
      <c r="F578" s="310" t="s">
        <v>12268</v>
      </c>
      <c r="G578" s="311" t="str">
        <f>IF($F578="","",IFERROR(VLOOKUP($F578,SERVIÇOS!$B:$G,2,0),IFERROR(VLOOKUP($F578,'COMPOSIÇÕES COMPLEMENTARES '!$D:$L,2,0),IFERROR(VLOOKUP($F578,INSUMOS!$A:$D,2,0),""))))</f>
        <v>PONTO PARA CAMPAINHA EM CX. 4"X2"</v>
      </c>
      <c r="H578" s="312" t="str">
        <f>IF($F578="","",IFERROR(VLOOKUP($F578,SERVIÇOS!$B:$G,3,0),IFERROR(VLOOKUP($F578,'COMPOSIÇÕES COMPLEMENTARES '!$D:$L,3,0),IFERROR(VLOOKUP($F578,INSUMOS!$A:$D,3,0),""))))</f>
        <v>UN</v>
      </c>
      <c r="I578" s="313">
        <v>1</v>
      </c>
      <c r="J578" s="314">
        <f>IF($F578="","",IFERROR(VLOOKUP($F578,SERVIÇOS!$B:$G,4,0),IFERROR(VLOOKUP($F578,'COMPOSIÇÕES COMPLEMENTARES '!$D:$L,6,0),IFERROR(VLOOKUP($F578,INSUMOS!$A:$D,4,0),""))))</f>
        <v>17.059999999999999</v>
      </c>
      <c r="K578" s="314">
        <f>IF($F578="","",IFERROR(VLOOKUP($F578,SERVIÇOS!$B:$G,5,0),IFERROR(VLOOKUP($F578,'COMPOSIÇÕES COMPLEMENTARES '!$D:$L,7,0),0)))</f>
        <v>20.89</v>
      </c>
      <c r="L578" s="314">
        <f t="shared" si="307"/>
        <v>37.950000000000003</v>
      </c>
      <c r="M578" s="314">
        <f t="shared" si="308"/>
        <v>17.059999999999999</v>
      </c>
      <c r="N578" s="314">
        <f t="shared" si="309"/>
        <v>20.89</v>
      </c>
      <c r="O578" s="314">
        <f t="shared" si="310"/>
        <v>37.950000000000003</v>
      </c>
      <c r="P578" s="314"/>
      <c r="Q578" s="315"/>
      <c r="R578" s="315"/>
      <c r="S578" s="286"/>
      <c r="T578" s="287"/>
      <c r="U578" s="288" t="str">
        <f t="shared" si="276"/>
        <v/>
      </c>
      <c r="V578" s="287"/>
      <c r="W578" s="289" t="str">
        <f t="shared" si="277"/>
        <v/>
      </c>
      <c r="X578" s="287"/>
      <c r="Y578" s="290" t="str">
        <f t="shared" si="278"/>
        <v/>
      </c>
      <c r="Z578" s="291">
        <f ca="1">SUMIF($T$8:Y$1018,"QUANT.",T578:Y578)</f>
        <v>0</v>
      </c>
      <c r="AA578" s="292">
        <f t="shared" ca="1" si="279"/>
        <v>0</v>
      </c>
      <c r="AB578" s="293" t="str">
        <f t="shared" ca="1" si="280"/>
        <v>MEDIR</v>
      </c>
      <c r="AC578" s="294">
        <f t="shared" ca="1" si="281"/>
        <v>1</v>
      </c>
      <c r="AD578" s="294">
        <f t="shared" ca="1" si="282"/>
        <v>37.950000000000003</v>
      </c>
      <c r="AE578" s="295"/>
      <c r="AF578" s="295"/>
      <c r="AG578" s="296"/>
      <c r="AH578" s="296"/>
      <c r="AI578" s="296"/>
      <c r="AJ578" s="326"/>
      <c r="AK578" s="326"/>
      <c r="AL578" s="326"/>
      <c r="AM578" s="326"/>
    </row>
    <row r="579" spans="1:39" ht="25.5" x14ac:dyDescent="0.25">
      <c r="A579" s="232">
        <f t="shared" si="311"/>
        <v>579</v>
      </c>
      <c r="B579" s="232"/>
      <c r="C579" s="307" t="str">
        <f t="shared" si="304"/>
        <v>15.15</v>
      </c>
      <c r="D579" s="308">
        <f t="shared" si="305"/>
        <v>10</v>
      </c>
      <c r="E579" s="309" t="str">
        <f t="shared" si="306"/>
        <v>15.15.10</v>
      </c>
      <c r="F579" s="310">
        <v>91940</v>
      </c>
      <c r="G579" s="311" t="str">
        <f>IF($F579="","",IFERROR(VLOOKUP($F579,SERVIÇOS!$B:$G,2,0),IFERROR(VLOOKUP($F579,'COMPOSIÇÕES COMPLEMENTARES '!$D:$L,2,0),IFERROR(VLOOKUP($F579,INSUMOS!$A:$D,2,0),""))))</f>
        <v>CAIXA RETANGULAR 4" X 2" MÉDIA (1,30 M DO PISO), PVC, INSTALADA EM PAREDE - FORNECIMENTO E INSTALAÇÃO. AF_03/2023</v>
      </c>
      <c r="H579" s="312" t="str">
        <f>IF($F579="","",IFERROR(VLOOKUP($F579,SERVIÇOS!$B:$G,3,0),IFERROR(VLOOKUP($F579,'COMPOSIÇÕES COMPLEMENTARES '!$D:$L,3,0),IFERROR(VLOOKUP($F579,INSUMOS!$A:$D,3,0),""))))</f>
        <v>UN</v>
      </c>
      <c r="I579" s="313">
        <v>76</v>
      </c>
      <c r="J579" s="314">
        <f>IF($F579="","",IFERROR(VLOOKUP($F579,SERVIÇOS!$B:$G,4,0),IFERROR(VLOOKUP($F579,'COMPOSIÇÕES COMPLEMENTARES '!$D:$L,6,0),IFERROR(VLOOKUP($F579,INSUMOS!$A:$D,4,0),""))))</f>
        <v>9.7799999999999994</v>
      </c>
      <c r="K579" s="314">
        <f>IF($F579="","",IFERROR(VLOOKUP($F579,SERVIÇOS!$B:$G,5,0),IFERROR(VLOOKUP($F579,'COMPOSIÇÕES COMPLEMENTARES '!$D:$L,7,0),0)))</f>
        <v>14.56</v>
      </c>
      <c r="L579" s="314">
        <f t="shared" si="307"/>
        <v>24.34</v>
      </c>
      <c r="M579" s="314">
        <f t="shared" si="308"/>
        <v>743.28</v>
      </c>
      <c r="N579" s="314">
        <f t="shared" si="309"/>
        <v>1106.56</v>
      </c>
      <c r="O579" s="314">
        <f t="shared" si="310"/>
        <v>1849.84</v>
      </c>
      <c r="P579" s="314"/>
      <c r="Q579" s="315"/>
      <c r="R579" s="315"/>
      <c r="S579" s="286"/>
      <c r="T579" s="287"/>
      <c r="U579" s="288" t="str">
        <f t="shared" si="276"/>
        <v/>
      </c>
      <c r="V579" s="287"/>
      <c r="W579" s="289" t="str">
        <f t="shared" si="277"/>
        <v/>
      </c>
      <c r="X579" s="287"/>
      <c r="Y579" s="290" t="str">
        <f t="shared" si="278"/>
        <v/>
      </c>
      <c r="Z579" s="291">
        <f ca="1">SUMIF($T$8:Y$1018,"QUANT.",T579:Y579)</f>
        <v>0</v>
      </c>
      <c r="AA579" s="292">
        <f t="shared" ca="1" si="279"/>
        <v>0</v>
      </c>
      <c r="AB579" s="293" t="str">
        <f t="shared" ca="1" si="280"/>
        <v>MEDIR</v>
      </c>
      <c r="AC579" s="294">
        <f t="shared" ca="1" si="281"/>
        <v>76</v>
      </c>
      <c r="AD579" s="294">
        <f t="shared" ca="1" si="282"/>
        <v>1849.84</v>
      </c>
      <c r="AE579" s="295"/>
      <c r="AF579" s="295"/>
      <c r="AG579" s="296"/>
      <c r="AH579" s="296"/>
      <c r="AI579" s="296"/>
      <c r="AJ579" s="326"/>
      <c r="AK579" s="326"/>
      <c r="AL579" s="326"/>
      <c r="AM579" s="326"/>
    </row>
    <row r="580" spans="1:39" x14ac:dyDescent="0.25">
      <c r="A580" s="232">
        <f t="shared" si="311"/>
        <v>580</v>
      </c>
      <c r="B580" s="232"/>
      <c r="C580" s="316" t="str">
        <f>+E580</f>
        <v>15.16</v>
      </c>
      <c r="D580" s="297"/>
      <c r="E580" s="317" t="s">
        <v>12269</v>
      </c>
      <c r="F580" s="317"/>
      <c r="G580" s="318" t="s">
        <v>12270</v>
      </c>
      <c r="H580" s="317"/>
      <c r="I580" s="319"/>
      <c r="J580" s="317"/>
      <c r="K580" s="317"/>
      <c r="L580" s="317"/>
      <c r="M580" s="317"/>
      <c r="N580" s="317"/>
      <c r="O580" s="317"/>
      <c r="P580" s="317"/>
      <c r="Q580" s="320"/>
      <c r="R580" s="306"/>
      <c r="S580" s="286"/>
      <c r="T580" s="287"/>
      <c r="U580" s="288" t="str">
        <f t="shared" si="276"/>
        <v/>
      </c>
      <c r="V580" s="287"/>
      <c r="W580" s="289" t="str">
        <f t="shared" si="277"/>
        <v/>
      </c>
      <c r="X580" s="287"/>
      <c r="Y580" s="290" t="str">
        <f t="shared" si="278"/>
        <v/>
      </c>
      <c r="Z580" s="291">
        <f ca="1">SUMIF($T$8:Y$1018,"QUANT.",T580:Y580)</f>
        <v>0</v>
      </c>
      <c r="AA580" s="292">
        <f t="shared" ca="1" si="279"/>
        <v>0</v>
      </c>
      <c r="AB580" s="293" t="str">
        <f t="shared" si="280"/>
        <v/>
      </c>
      <c r="AC580" s="294">
        <f t="shared" ca="1" si="281"/>
        <v>0</v>
      </c>
      <c r="AD580" s="294">
        <f t="shared" ca="1" si="282"/>
        <v>0</v>
      </c>
      <c r="AE580" s="295"/>
      <c r="AF580" s="295"/>
      <c r="AG580" s="296"/>
      <c r="AH580" s="296"/>
      <c r="AI580" s="296"/>
      <c r="AJ580" s="326"/>
      <c r="AK580" s="326"/>
      <c r="AL580" s="326"/>
      <c r="AM580" s="326"/>
    </row>
    <row r="581" spans="1:39" x14ac:dyDescent="0.25">
      <c r="A581" s="232">
        <f t="shared" si="311"/>
        <v>581</v>
      </c>
      <c r="B581" s="232"/>
      <c r="C581" s="307" t="str">
        <f t="shared" ref="C581:C588" si="312">+C580</f>
        <v>15.16</v>
      </c>
      <c r="D581" s="308">
        <f t="shared" ref="D581:D588" si="313">1+D580</f>
        <v>1</v>
      </c>
      <c r="E581" s="309" t="str">
        <f t="shared" ref="E581:E588" si="314">C581&amp;"."&amp;D581</f>
        <v>15.16.1</v>
      </c>
      <c r="F581" s="310" t="s">
        <v>12215</v>
      </c>
      <c r="G581" s="311" t="str">
        <f>IF($F581="","",IFERROR(VLOOKUP($F581,SERVIÇOS!$B:$G,2,0),IFERROR(VLOOKUP($F581,'COMPOSIÇÕES COMPLEMENTARES '!$D:$L,2,0),IFERROR(VLOOKUP($F581,INSUMOS!$A:$D,2,0),""))))</f>
        <v>PERFILADO PERFURADO COM TAMPA 38X38X6000MM CHAPA 18, INCLUSO CONEXÕES E FIXAÇÕES</v>
      </c>
      <c r="H581" s="312" t="str">
        <f>IF($F581="","",IFERROR(VLOOKUP($F581,SERVIÇOS!$B:$G,3,0),IFERROR(VLOOKUP($F581,'COMPOSIÇÕES COMPLEMENTARES '!$D:$L,3,0),IFERROR(VLOOKUP($F581,INSUMOS!$A:$D,3,0),""))))</f>
        <v>M</v>
      </c>
      <c r="I581" s="313">
        <v>54</v>
      </c>
      <c r="J581" s="314">
        <f>IF($F581="","",IFERROR(VLOOKUP($F581,SERVIÇOS!$B:$G,4,0),IFERROR(VLOOKUP($F581,'COMPOSIÇÕES COMPLEMENTARES '!$D:$L,6,0),IFERROR(VLOOKUP($F581,INSUMOS!$A:$D,4,0),""))))</f>
        <v>61.76</v>
      </c>
      <c r="K581" s="314">
        <f>IF($F581="","",IFERROR(VLOOKUP($F581,SERVIÇOS!$B:$G,5,0),IFERROR(VLOOKUP($F581,'COMPOSIÇÕES COMPLEMENTARES '!$D:$L,7,0),0)))</f>
        <v>31.6</v>
      </c>
      <c r="L581" s="314">
        <f t="shared" ref="L581:L588" si="315">IF(I581="","",J581+K581)</f>
        <v>93.36</v>
      </c>
      <c r="M581" s="314">
        <f t="shared" ref="M581:M588" si="316">IF(I581="","",TRUNC((I581*J581),2))</f>
        <v>3335.04</v>
      </c>
      <c r="N581" s="314">
        <f t="shared" ref="N581:N588" si="317">IF(I581="","",TRUNC((I581*K581),2))</f>
        <v>1706.4</v>
      </c>
      <c r="O581" s="314">
        <f t="shared" ref="O581:O588" si="318">IF(I581="","",TRUNC((M581+N581),2))</f>
        <v>5041.4399999999996</v>
      </c>
      <c r="P581" s="314"/>
      <c r="Q581" s="315"/>
      <c r="R581" s="315"/>
      <c r="S581" s="286"/>
      <c r="T581" s="287"/>
      <c r="U581" s="288" t="str">
        <f t="shared" si="276"/>
        <v/>
      </c>
      <c r="V581" s="287"/>
      <c r="W581" s="289" t="str">
        <f t="shared" si="277"/>
        <v/>
      </c>
      <c r="X581" s="287"/>
      <c r="Y581" s="290" t="str">
        <f t="shared" si="278"/>
        <v/>
      </c>
      <c r="Z581" s="291">
        <f ca="1">SUMIF($T$8:Y$1018,"QUANT.",T581:Y581)</f>
        <v>0</v>
      </c>
      <c r="AA581" s="292">
        <f t="shared" ca="1" si="279"/>
        <v>0</v>
      </c>
      <c r="AB581" s="293" t="str">
        <f t="shared" ca="1" si="280"/>
        <v>MEDIR</v>
      </c>
      <c r="AC581" s="294">
        <f t="shared" ca="1" si="281"/>
        <v>54</v>
      </c>
      <c r="AD581" s="294">
        <f t="shared" ca="1" si="282"/>
        <v>5041.4399999999996</v>
      </c>
      <c r="AE581" s="295"/>
      <c r="AF581" s="295"/>
      <c r="AG581" s="296"/>
      <c r="AH581" s="296"/>
      <c r="AI581" s="296"/>
      <c r="AJ581" s="326"/>
      <c r="AK581" s="326"/>
      <c r="AL581" s="326"/>
      <c r="AM581" s="326"/>
    </row>
    <row r="582" spans="1:39" x14ac:dyDescent="0.25">
      <c r="A582" s="232">
        <f t="shared" si="311"/>
        <v>582</v>
      </c>
      <c r="B582" s="232"/>
      <c r="C582" s="307" t="str">
        <f t="shared" si="312"/>
        <v>15.16</v>
      </c>
      <c r="D582" s="308">
        <f t="shared" si="313"/>
        <v>2</v>
      </c>
      <c r="E582" s="309" t="str">
        <f t="shared" si="314"/>
        <v>15.16.2</v>
      </c>
      <c r="F582" s="310" t="s">
        <v>12234</v>
      </c>
      <c r="G582" s="311" t="str">
        <f>IF($F582="","",IFERROR(VLOOKUP($F582,SERVIÇOS!$B:$G,2,0),IFERROR(VLOOKUP($F582,'COMPOSIÇÕES COMPLEMENTARES '!$D:$L,2,0),IFERROR(VLOOKUP($F582,INSUMOS!$A:$D,2,0),""))))</f>
        <v>ELETROCALHA PERFURADA 100X100X3000MM - CH 18, INCLUSO CONEXÕES E SUPORTE DE FIXAÇÃO</v>
      </c>
      <c r="H582" s="312" t="str">
        <f>IF($F582="","",IFERROR(VLOOKUP($F582,SERVIÇOS!$B:$G,3,0),IFERROR(VLOOKUP($F582,'COMPOSIÇÕES COMPLEMENTARES '!$D:$L,3,0),IFERROR(VLOOKUP($F582,INSUMOS!$A:$D,3,0),""))))</f>
        <v>M</v>
      </c>
      <c r="I582" s="313">
        <v>27</v>
      </c>
      <c r="J582" s="314">
        <f>IF($F582="","",IFERROR(VLOOKUP($F582,SERVIÇOS!$B:$G,4,0),IFERROR(VLOOKUP($F582,'COMPOSIÇÕES COMPLEMENTARES '!$D:$L,6,0),IFERROR(VLOOKUP($F582,INSUMOS!$A:$D,4,0),""))))</f>
        <v>129.66999999999999</v>
      </c>
      <c r="K582" s="314">
        <f>IF($F582="","",IFERROR(VLOOKUP($F582,SERVIÇOS!$B:$G,5,0),IFERROR(VLOOKUP($F582,'COMPOSIÇÕES COMPLEMENTARES '!$D:$L,7,0),0)))</f>
        <v>37.15</v>
      </c>
      <c r="L582" s="314">
        <f t="shared" si="315"/>
        <v>166.82</v>
      </c>
      <c r="M582" s="314">
        <f t="shared" si="316"/>
        <v>3501.09</v>
      </c>
      <c r="N582" s="314">
        <f t="shared" si="317"/>
        <v>1003.05</v>
      </c>
      <c r="O582" s="314">
        <f t="shared" si="318"/>
        <v>4504.1400000000003</v>
      </c>
      <c r="P582" s="314"/>
      <c r="Q582" s="315"/>
      <c r="R582" s="315"/>
      <c r="S582" s="286"/>
      <c r="T582" s="287"/>
      <c r="U582" s="288" t="str">
        <f t="shared" si="276"/>
        <v/>
      </c>
      <c r="V582" s="287"/>
      <c r="W582" s="289" t="str">
        <f t="shared" si="277"/>
        <v/>
      </c>
      <c r="X582" s="287"/>
      <c r="Y582" s="290" t="str">
        <f t="shared" si="278"/>
        <v/>
      </c>
      <c r="Z582" s="291">
        <f ca="1">SUMIF($T$8:Y$1018,"QUANT.",T582:Y582)</f>
        <v>0</v>
      </c>
      <c r="AA582" s="292">
        <f t="shared" ca="1" si="279"/>
        <v>0</v>
      </c>
      <c r="AB582" s="293" t="str">
        <f t="shared" ca="1" si="280"/>
        <v>MEDIR</v>
      </c>
      <c r="AC582" s="294">
        <f t="shared" ca="1" si="281"/>
        <v>27</v>
      </c>
      <c r="AD582" s="294">
        <f t="shared" ca="1" si="282"/>
        <v>4504.1400000000003</v>
      </c>
      <c r="AE582" s="295"/>
      <c r="AF582" s="295"/>
      <c r="AG582" s="296"/>
      <c r="AH582" s="296"/>
      <c r="AI582" s="296"/>
      <c r="AJ582" s="326"/>
      <c r="AK582" s="326"/>
      <c r="AL582" s="326"/>
      <c r="AM582" s="326"/>
    </row>
    <row r="583" spans="1:39" ht="25.5" x14ac:dyDescent="0.25">
      <c r="A583" s="232">
        <f t="shared" si="311"/>
        <v>583</v>
      </c>
      <c r="B583" s="232"/>
      <c r="C583" s="307" t="str">
        <f t="shared" si="312"/>
        <v>15.16</v>
      </c>
      <c r="D583" s="308">
        <f t="shared" si="313"/>
        <v>3</v>
      </c>
      <c r="E583" s="309" t="str">
        <f t="shared" si="314"/>
        <v>15.16.3</v>
      </c>
      <c r="F583" s="310" t="s">
        <v>12217</v>
      </c>
      <c r="G583" s="311" t="str">
        <f>IF($F583="","",IFERROR(VLOOKUP($F583,SERVIÇOS!$B:$G,2,0),IFERROR(VLOOKUP($F583,'COMPOSIÇÕES COMPLEMENTARES '!$D:$L,2,0),IFERROR(VLOOKUP($F583,INSUMOS!$A:$D,2,0),""))))</f>
        <v>ELETRODUTO RÍGIDO ROSCÁVEL, PVC, DN 25 MM (3/4"), INCLUSO CONEXÕES E ACESSÓRIOS, INSTALAÇÃO APARENTE - FORNECIMENTO E INSTALAÇÃO</v>
      </c>
      <c r="H583" s="312" t="str">
        <f>IF($F583="","",IFERROR(VLOOKUP($F583,SERVIÇOS!$B:$G,3,0),IFERROR(VLOOKUP($F583,'COMPOSIÇÕES COMPLEMENTARES '!$D:$L,3,0),IFERROR(VLOOKUP($F583,INSUMOS!$A:$D,3,0),""))))</f>
        <v>M</v>
      </c>
      <c r="I583" s="313">
        <v>108</v>
      </c>
      <c r="J583" s="314">
        <f>IF($F583="","",IFERROR(VLOOKUP($F583,SERVIÇOS!$B:$G,4,0),IFERROR(VLOOKUP($F583,'COMPOSIÇÕES COMPLEMENTARES '!$D:$L,6,0),IFERROR(VLOOKUP($F583,INSUMOS!$A:$D,4,0),""))))</f>
        <v>14.79</v>
      </c>
      <c r="K583" s="314">
        <f>IF($F583="","",IFERROR(VLOOKUP($F583,SERVIÇOS!$B:$G,5,0),IFERROR(VLOOKUP($F583,'COMPOSIÇÕES COMPLEMENTARES '!$D:$L,7,0),0)))</f>
        <v>8.75</v>
      </c>
      <c r="L583" s="314">
        <f t="shared" si="315"/>
        <v>23.54</v>
      </c>
      <c r="M583" s="314">
        <f t="shared" si="316"/>
        <v>1597.32</v>
      </c>
      <c r="N583" s="314">
        <f t="shared" si="317"/>
        <v>945</v>
      </c>
      <c r="O583" s="314">
        <f t="shared" si="318"/>
        <v>2542.3200000000002</v>
      </c>
      <c r="P583" s="314"/>
      <c r="Q583" s="315"/>
      <c r="R583" s="315"/>
      <c r="S583" s="286"/>
      <c r="T583" s="287"/>
      <c r="U583" s="288" t="str">
        <f t="shared" si="276"/>
        <v/>
      </c>
      <c r="V583" s="287"/>
      <c r="W583" s="289" t="str">
        <f t="shared" si="277"/>
        <v/>
      </c>
      <c r="X583" s="287"/>
      <c r="Y583" s="290" t="str">
        <f t="shared" si="278"/>
        <v/>
      </c>
      <c r="Z583" s="291">
        <f ca="1">SUMIF($T$8:Y$1018,"QUANT.",T583:Y583)</f>
        <v>0</v>
      </c>
      <c r="AA583" s="292">
        <f t="shared" ca="1" si="279"/>
        <v>0</v>
      </c>
      <c r="AB583" s="293" t="str">
        <f t="shared" ca="1" si="280"/>
        <v>MEDIR</v>
      </c>
      <c r="AC583" s="294">
        <f t="shared" ca="1" si="281"/>
        <v>108</v>
      </c>
      <c r="AD583" s="294">
        <f t="shared" ca="1" si="282"/>
        <v>2542.3200000000002</v>
      </c>
      <c r="AE583" s="295"/>
      <c r="AF583" s="295"/>
      <c r="AG583" s="296"/>
      <c r="AH583" s="296"/>
      <c r="AI583" s="296"/>
      <c r="AJ583" s="326"/>
      <c r="AK583" s="326"/>
      <c r="AL583" s="326"/>
      <c r="AM583" s="326"/>
    </row>
    <row r="584" spans="1:39" ht="25.5" x14ac:dyDescent="0.25">
      <c r="A584" s="232">
        <f t="shared" si="311"/>
        <v>584</v>
      </c>
      <c r="B584" s="232"/>
      <c r="C584" s="307" t="str">
        <f t="shared" si="312"/>
        <v>15.16</v>
      </c>
      <c r="D584" s="308">
        <f t="shared" si="313"/>
        <v>4</v>
      </c>
      <c r="E584" s="309" t="str">
        <f t="shared" si="314"/>
        <v>15.16.4</v>
      </c>
      <c r="F584" s="310" t="s">
        <v>12217</v>
      </c>
      <c r="G584" s="311" t="str">
        <f>IF($F584="","",IFERROR(VLOOKUP($F584,SERVIÇOS!$B:$G,2,0),IFERROR(VLOOKUP($F584,'COMPOSIÇÕES COMPLEMENTARES '!$D:$L,2,0),IFERROR(VLOOKUP($F584,INSUMOS!$A:$D,2,0),""))))</f>
        <v>ELETRODUTO RÍGIDO ROSCÁVEL, PVC, DN 25 MM (3/4"), INCLUSO CONEXÕES E ACESSÓRIOS, INSTALAÇÃO APARENTE - FORNECIMENTO E INSTALAÇÃO</v>
      </c>
      <c r="H584" s="312" t="str">
        <f>IF($F584="","",IFERROR(VLOOKUP($F584,SERVIÇOS!$B:$G,3,0),IFERROR(VLOOKUP($F584,'COMPOSIÇÕES COMPLEMENTARES '!$D:$L,3,0),IFERROR(VLOOKUP($F584,INSUMOS!$A:$D,3,0),""))))</f>
        <v>M</v>
      </c>
      <c r="I584" s="313">
        <v>108</v>
      </c>
      <c r="J584" s="314">
        <f>IF($F584="","",IFERROR(VLOOKUP($F584,SERVIÇOS!$B:$G,4,0),IFERROR(VLOOKUP($F584,'COMPOSIÇÕES COMPLEMENTARES '!$D:$L,6,0),IFERROR(VLOOKUP($F584,INSUMOS!$A:$D,4,0),""))))</f>
        <v>14.79</v>
      </c>
      <c r="K584" s="314">
        <f>IF($F584="","",IFERROR(VLOOKUP($F584,SERVIÇOS!$B:$G,5,0),IFERROR(VLOOKUP($F584,'COMPOSIÇÕES COMPLEMENTARES '!$D:$L,7,0),0)))</f>
        <v>8.75</v>
      </c>
      <c r="L584" s="314">
        <f t="shared" si="315"/>
        <v>23.54</v>
      </c>
      <c r="M584" s="314">
        <f t="shared" si="316"/>
        <v>1597.32</v>
      </c>
      <c r="N584" s="314">
        <f t="shared" si="317"/>
        <v>945</v>
      </c>
      <c r="O584" s="314">
        <f t="shared" si="318"/>
        <v>2542.3200000000002</v>
      </c>
      <c r="P584" s="314"/>
      <c r="Q584" s="315"/>
      <c r="R584" s="315"/>
      <c r="S584" s="286"/>
      <c r="T584" s="287"/>
      <c r="U584" s="288" t="str">
        <f t="shared" si="276"/>
        <v/>
      </c>
      <c r="V584" s="287"/>
      <c r="W584" s="289" t="str">
        <f t="shared" si="277"/>
        <v/>
      </c>
      <c r="X584" s="287"/>
      <c r="Y584" s="290" t="str">
        <f t="shared" si="278"/>
        <v/>
      </c>
      <c r="Z584" s="291">
        <f ca="1">SUMIF($T$8:Y$1018,"QUANT.",T584:Y584)</f>
        <v>0</v>
      </c>
      <c r="AA584" s="292">
        <f t="shared" ca="1" si="279"/>
        <v>0</v>
      </c>
      <c r="AB584" s="293" t="str">
        <f t="shared" ca="1" si="280"/>
        <v>MEDIR</v>
      </c>
      <c r="AC584" s="294">
        <f t="shared" ca="1" si="281"/>
        <v>108</v>
      </c>
      <c r="AD584" s="294">
        <f t="shared" ca="1" si="282"/>
        <v>2542.3200000000002</v>
      </c>
      <c r="AE584" s="295"/>
      <c r="AF584" s="295"/>
      <c r="AG584" s="296"/>
      <c r="AH584" s="296"/>
      <c r="AI584" s="296"/>
      <c r="AJ584" s="326"/>
      <c r="AK584" s="326"/>
      <c r="AL584" s="326"/>
      <c r="AM584" s="326"/>
    </row>
    <row r="585" spans="1:39" ht="25.5" x14ac:dyDescent="0.25">
      <c r="A585" s="232">
        <f t="shared" si="311"/>
        <v>585</v>
      </c>
      <c r="B585" s="232"/>
      <c r="C585" s="307" t="str">
        <f t="shared" si="312"/>
        <v>15.16</v>
      </c>
      <c r="D585" s="308">
        <f t="shared" si="313"/>
        <v>5</v>
      </c>
      <c r="E585" s="309" t="str">
        <f t="shared" si="314"/>
        <v>15.16.5</v>
      </c>
      <c r="F585" s="310" t="s">
        <v>12219</v>
      </c>
      <c r="G585" s="311" t="str">
        <f>IF($F585="","",IFERROR(VLOOKUP($F585,SERVIÇOS!$B:$G,2,0),IFERROR(VLOOKUP($F585,'COMPOSIÇÕES COMPLEMENTARES '!$D:$L,2,0),IFERROR(VLOOKUP($F585,INSUMOS!$A:$D,2,0),""))))</f>
        <v>ELETRODUTO RÍGIDO ROSCÁVEL, PVC, DN 32 MM (1"), INCLUSO CONEXÕES E ACESSÓRIOS, INSTALAÇÃO APARENTE - FORNECIMENTO E INSTALAÇÃO</v>
      </c>
      <c r="H585" s="312" t="str">
        <f>IF($F585="","",IFERROR(VLOOKUP($F585,SERVIÇOS!$B:$G,3,0),IFERROR(VLOOKUP($F585,'COMPOSIÇÕES COMPLEMENTARES '!$D:$L,3,0),IFERROR(VLOOKUP($F585,INSUMOS!$A:$D,3,0),""))))</f>
        <v>M</v>
      </c>
      <c r="I585" s="313">
        <v>22</v>
      </c>
      <c r="J585" s="314">
        <f>IF($F585="","",IFERROR(VLOOKUP($F585,SERVIÇOS!$B:$G,4,0),IFERROR(VLOOKUP($F585,'COMPOSIÇÕES COMPLEMENTARES '!$D:$L,6,0),IFERROR(VLOOKUP($F585,INSUMOS!$A:$D,4,0),""))))</f>
        <v>19.420000000000002</v>
      </c>
      <c r="K585" s="314">
        <f>IF($F585="","",IFERROR(VLOOKUP($F585,SERVIÇOS!$B:$G,5,0),IFERROR(VLOOKUP($F585,'COMPOSIÇÕES COMPLEMENTARES '!$D:$L,7,0),0)))</f>
        <v>9.32</v>
      </c>
      <c r="L585" s="314">
        <f t="shared" si="315"/>
        <v>28.740000000000002</v>
      </c>
      <c r="M585" s="314">
        <f t="shared" si="316"/>
        <v>427.24</v>
      </c>
      <c r="N585" s="314">
        <f t="shared" si="317"/>
        <v>205.04</v>
      </c>
      <c r="O585" s="314">
        <f t="shared" si="318"/>
        <v>632.28</v>
      </c>
      <c r="P585" s="314"/>
      <c r="Q585" s="315"/>
      <c r="R585" s="315"/>
      <c r="S585" s="286"/>
      <c r="T585" s="287"/>
      <c r="U585" s="288" t="str">
        <f t="shared" si="276"/>
        <v/>
      </c>
      <c r="V585" s="287"/>
      <c r="W585" s="289" t="str">
        <f t="shared" si="277"/>
        <v/>
      </c>
      <c r="X585" s="287"/>
      <c r="Y585" s="290" t="str">
        <f t="shared" si="278"/>
        <v/>
      </c>
      <c r="Z585" s="291">
        <f ca="1">SUMIF($T$8:Y$1018,"QUANT.",T585:Y585)</f>
        <v>0</v>
      </c>
      <c r="AA585" s="292">
        <f t="shared" ca="1" si="279"/>
        <v>0</v>
      </c>
      <c r="AB585" s="293" t="str">
        <f t="shared" ca="1" si="280"/>
        <v>MEDIR</v>
      </c>
      <c r="AC585" s="294">
        <f t="shared" ca="1" si="281"/>
        <v>22</v>
      </c>
      <c r="AD585" s="294">
        <f t="shared" ca="1" si="282"/>
        <v>632.28</v>
      </c>
      <c r="AE585" s="295"/>
      <c r="AF585" s="295"/>
      <c r="AG585" s="296"/>
      <c r="AH585" s="296"/>
      <c r="AI585" s="296"/>
      <c r="AJ585" s="326"/>
      <c r="AK585" s="326"/>
      <c r="AL585" s="326"/>
      <c r="AM585" s="326"/>
    </row>
    <row r="586" spans="1:39" ht="25.5" x14ac:dyDescent="0.25">
      <c r="A586" s="232">
        <f t="shared" si="311"/>
        <v>586</v>
      </c>
      <c r="B586" s="232"/>
      <c r="C586" s="307" t="str">
        <f t="shared" si="312"/>
        <v>15.16</v>
      </c>
      <c r="D586" s="308">
        <f t="shared" si="313"/>
        <v>6</v>
      </c>
      <c r="E586" s="309" t="str">
        <f t="shared" si="314"/>
        <v>15.16.6</v>
      </c>
      <c r="F586" s="310" t="s">
        <v>12219</v>
      </c>
      <c r="G586" s="311" t="str">
        <f>IF($F586="","",IFERROR(VLOOKUP($F586,SERVIÇOS!$B:$G,2,0),IFERROR(VLOOKUP($F586,'COMPOSIÇÕES COMPLEMENTARES '!$D:$L,2,0),IFERROR(VLOOKUP($F586,INSUMOS!$A:$D,2,0),""))))</f>
        <v>ELETRODUTO RÍGIDO ROSCÁVEL, PVC, DN 32 MM (1"), INCLUSO CONEXÕES E ACESSÓRIOS, INSTALAÇÃO APARENTE - FORNECIMENTO E INSTALAÇÃO</v>
      </c>
      <c r="H586" s="312" t="str">
        <f>IF($F586="","",IFERROR(VLOOKUP($F586,SERVIÇOS!$B:$G,3,0),IFERROR(VLOOKUP($F586,'COMPOSIÇÕES COMPLEMENTARES '!$D:$L,3,0),IFERROR(VLOOKUP($F586,INSUMOS!$A:$D,3,0),""))))</f>
        <v>M</v>
      </c>
      <c r="I586" s="313">
        <v>22</v>
      </c>
      <c r="J586" s="314">
        <f>IF($F586="","",IFERROR(VLOOKUP($F586,SERVIÇOS!$B:$G,4,0),IFERROR(VLOOKUP($F586,'COMPOSIÇÕES COMPLEMENTARES '!$D:$L,6,0),IFERROR(VLOOKUP($F586,INSUMOS!$A:$D,4,0),""))))</f>
        <v>19.420000000000002</v>
      </c>
      <c r="K586" s="314">
        <f>IF($F586="","",IFERROR(VLOOKUP($F586,SERVIÇOS!$B:$G,5,0),IFERROR(VLOOKUP($F586,'COMPOSIÇÕES COMPLEMENTARES '!$D:$L,7,0),0)))</f>
        <v>9.32</v>
      </c>
      <c r="L586" s="314">
        <f t="shared" si="315"/>
        <v>28.740000000000002</v>
      </c>
      <c r="M586" s="314">
        <f t="shared" si="316"/>
        <v>427.24</v>
      </c>
      <c r="N586" s="314">
        <f t="shared" si="317"/>
        <v>205.04</v>
      </c>
      <c r="O586" s="314">
        <f t="shared" si="318"/>
        <v>632.28</v>
      </c>
      <c r="P586" s="314"/>
      <c r="Q586" s="315"/>
      <c r="R586" s="315"/>
      <c r="S586" s="286"/>
      <c r="T586" s="287"/>
      <c r="U586" s="288" t="str">
        <f t="shared" si="276"/>
        <v/>
      </c>
      <c r="V586" s="287"/>
      <c r="W586" s="289" t="str">
        <f t="shared" si="277"/>
        <v/>
      </c>
      <c r="X586" s="287"/>
      <c r="Y586" s="290" t="str">
        <f t="shared" si="278"/>
        <v/>
      </c>
      <c r="Z586" s="291">
        <f ca="1">SUMIF($T$8:Y$1018,"QUANT.",T586:Y586)</f>
        <v>0</v>
      </c>
      <c r="AA586" s="292">
        <f t="shared" ca="1" si="279"/>
        <v>0</v>
      </c>
      <c r="AB586" s="293" t="str">
        <f t="shared" ca="1" si="280"/>
        <v>MEDIR</v>
      </c>
      <c r="AC586" s="294">
        <f t="shared" ca="1" si="281"/>
        <v>22</v>
      </c>
      <c r="AD586" s="294">
        <f t="shared" ca="1" si="282"/>
        <v>632.28</v>
      </c>
      <c r="AE586" s="295"/>
      <c r="AF586" s="295"/>
      <c r="AG586" s="296"/>
      <c r="AH586" s="296"/>
      <c r="AI586" s="296"/>
      <c r="AJ586" s="326"/>
      <c r="AK586" s="326"/>
      <c r="AL586" s="326"/>
      <c r="AM586" s="326"/>
    </row>
    <row r="587" spans="1:39" x14ac:dyDescent="0.25">
      <c r="A587" s="232">
        <f t="shared" si="311"/>
        <v>587</v>
      </c>
      <c r="B587" s="232"/>
      <c r="C587" s="307" t="str">
        <f t="shared" si="312"/>
        <v>15.16</v>
      </c>
      <c r="D587" s="308">
        <f t="shared" si="313"/>
        <v>7</v>
      </c>
      <c r="E587" s="309" t="str">
        <f t="shared" si="314"/>
        <v>15.16.7</v>
      </c>
      <c r="F587" s="310" t="s">
        <v>12221</v>
      </c>
      <c r="G587" s="311" t="str">
        <f>IF($F587="","",IFERROR(VLOOKUP($F587,SERVIÇOS!$B:$G,2,0),IFERROR(VLOOKUP($F587,'COMPOSIÇÕES COMPLEMENTARES '!$D:$L,2,0),IFERROR(VLOOKUP($F587,INSUMOS!$A:$D,2,0),""))))</f>
        <v>CABO FLEXÍVEL ISOL. 750V  -  #2,5MM² - AFUMEX</v>
      </c>
      <c r="H587" s="312" t="str">
        <f>IF($F587="","",IFERROR(VLOOKUP($F587,SERVIÇOS!$B:$G,3,0),IFERROR(VLOOKUP($F587,'COMPOSIÇÕES COMPLEMENTARES '!$D:$L,3,0),IFERROR(VLOOKUP($F587,INSUMOS!$A:$D,3,0),""))))</f>
        <v>M</v>
      </c>
      <c r="I587" s="313">
        <v>2800</v>
      </c>
      <c r="J587" s="314">
        <f>IF($F587="","",IFERROR(VLOOKUP($F587,SERVIÇOS!$B:$G,4,0),IFERROR(VLOOKUP($F587,'COMPOSIÇÕES COMPLEMENTARES '!$D:$L,6,0),IFERROR(VLOOKUP($F587,INSUMOS!$A:$D,4,0),""))))</f>
        <v>3.59</v>
      </c>
      <c r="K587" s="314">
        <f>IF($F587="","",IFERROR(VLOOKUP($F587,SERVIÇOS!$B:$G,5,0),IFERROR(VLOOKUP($F587,'COMPOSIÇÕES COMPLEMENTARES '!$D:$L,7,0),0)))</f>
        <v>1.48</v>
      </c>
      <c r="L587" s="314">
        <f t="shared" si="315"/>
        <v>5.07</v>
      </c>
      <c r="M587" s="314">
        <f t="shared" si="316"/>
        <v>10052</v>
      </c>
      <c r="N587" s="314">
        <f t="shared" si="317"/>
        <v>4144</v>
      </c>
      <c r="O587" s="314">
        <f t="shared" si="318"/>
        <v>14196</v>
      </c>
      <c r="P587" s="314"/>
      <c r="Q587" s="315"/>
      <c r="R587" s="315"/>
      <c r="S587" s="286"/>
      <c r="T587" s="287"/>
      <c r="U587" s="288" t="str">
        <f t="shared" si="276"/>
        <v/>
      </c>
      <c r="V587" s="287"/>
      <c r="W587" s="289" t="str">
        <f t="shared" si="277"/>
        <v/>
      </c>
      <c r="X587" s="287"/>
      <c r="Y587" s="290" t="str">
        <f t="shared" si="278"/>
        <v/>
      </c>
      <c r="Z587" s="291">
        <f ca="1">SUMIF($T$8:Y$1018,"QUANT.",T587:Y587)</f>
        <v>0</v>
      </c>
      <c r="AA587" s="292">
        <f t="shared" ca="1" si="279"/>
        <v>0</v>
      </c>
      <c r="AB587" s="293" t="str">
        <f t="shared" ca="1" si="280"/>
        <v>MEDIR</v>
      </c>
      <c r="AC587" s="294">
        <f t="shared" ca="1" si="281"/>
        <v>2800</v>
      </c>
      <c r="AD587" s="294">
        <f t="shared" ca="1" si="282"/>
        <v>14196</v>
      </c>
      <c r="AE587" s="295"/>
      <c r="AF587" s="295"/>
      <c r="AG587" s="296"/>
      <c r="AH587" s="296"/>
      <c r="AI587" s="296"/>
      <c r="AJ587" s="326"/>
      <c r="AK587" s="326"/>
      <c r="AL587" s="326"/>
      <c r="AM587" s="326"/>
    </row>
    <row r="588" spans="1:39" x14ac:dyDescent="0.25">
      <c r="A588" s="232">
        <f t="shared" si="311"/>
        <v>588</v>
      </c>
      <c r="B588" s="232"/>
      <c r="C588" s="307" t="str">
        <f t="shared" si="312"/>
        <v>15.16</v>
      </c>
      <c r="D588" s="308">
        <f t="shared" si="313"/>
        <v>8</v>
      </c>
      <c r="E588" s="309" t="str">
        <f t="shared" si="314"/>
        <v>15.16.8</v>
      </c>
      <c r="F588" s="310" t="s">
        <v>12271</v>
      </c>
      <c r="G588" s="311" t="str">
        <f>IF($F588="","",IFERROR(VLOOKUP($F588,SERVIÇOS!$B:$G,2,0),IFERROR(VLOOKUP($F588,'COMPOSIÇÕES COMPLEMENTARES '!$D:$L,2,0),IFERROR(VLOOKUP($F588,INSUMOS!$A:$D,2,0),""))))</f>
        <v>CABO FLEXÍVEL ISOL. 750V  -  #4,0MM² - AFUMEX</v>
      </c>
      <c r="H588" s="312" t="str">
        <f>IF($F588="","",IFERROR(VLOOKUP($F588,SERVIÇOS!$B:$G,3,0),IFERROR(VLOOKUP($F588,'COMPOSIÇÕES COMPLEMENTARES '!$D:$L,3,0),IFERROR(VLOOKUP($F588,INSUMOS!$A:$D,3,0),""))))</f>
        <v>M</v>
      </c>
      <c r="I588" s="313">
        <v>20</v>
      </c>
      <c r="J588" s="314">
        <f>IF($F588="","",IFERROR(VLOOKUP($F588,SERVIÇOS!$B:$G,4,0),IFERROR(VLOOKUP($F588,'COMPOSIÇÕES COMPLEMENTARES '!$D:$L,6,0),IFERROR(VLOOKUP($F588,INSUMOS!$A:$D,4,0),""))))</f>
        <v>5.38</v>
      </c>
      <c r="K588" s="314">
        <f>IF($F588="","",IFERROR(VLOOKUP($F588,SERVIÇOS!$B:$G,5,0),IFERROR(VLOOKUP($F588,'COMPOSIÇÕES COMPLEMENTARES '!$D:$L,7,0),0)))</f>
        <v>1.97</v>
      </c>
      <c r="L588" s="314">
        <f t="shared" si="315"/>
        <v>7.35</v>
      </c>
      <c r="M588" s="314">
        <f t="shared" si="316"/>
        <v>107.6</v>
      </c>
      <c r="N588" s="314">
        <f t="shared" si="317"/>
        <v>39.4</v>
      </c>
      <c r="O588" s="314">
        <f t="shared" si="318"/>
        <v>147</v>
      </c>
      <c r="P588" s="314"/>
      <c r="Q588" s="315"/>
      <c r="R588" s="315"/>
      <c r="S588" s="286"/>
      <c r="T588" s="287"/>
      <c r="U588" s="288" t="str">
        <f t="shared" si="276"/>
        <v/>
      </c>
      <c r="V588" s="287"/>
      <c r="W588" s="289" t="str">
        <f t="shared" si="277"/>
        <v/>
      </c>
      <c r="X588" s="287"/>
      <c r="Y588" s="290" t="str">
        <f t="shared" si="278"/>
        <v/>
      </c>
      <c r="Z588" s="291">
        <f ca="1">SUMIF($T$8:Y$1018,"QUANT.",T588:Y588)</f>
        <v>0</v>
      </c>
      <c r="AA588" s="292">
        <f t="shared" ca="1" si="279"/>
        <v>0</v>
      </c>
      <c r="AB588" s="293" t="str">
        <f t="shared" ca="1" si="280"/>
        <v>MEDIR</v>
      </c>
      <c r="AC588" s="294">
        <f t="shared" ca="1" si="281"/>
        <v>20</v>
      </c>
      <c r="AD588" s="294">
        <f t="shared" ca="1" si="282"/>
        <v>147</v>
      </c>
      <c r="AE588" s="295"/>
      <c r="AF588" s="295"/>
      <c r="AG588" s="296"/>
      <c r="AH588" s="296"/>
      <c r="AI588" s="296"/>
      <c r="AJ588" s="326"/>
      <c r="AK588" s="326"/>
      <c r="AL588" s="326"/>
      <c r="AM588" s="326"/>
    </row>
    <row r="589" spans="1:39" x14ac:dyDescent="0.25">
      <c r="A589" s="232">
        <f t="shared" si="311"/>
        <v>589</v>
      </c>
      <c r="B589" s="232"/>
      <c r="C589" s="316" t="str">
        <f>+E589</f>
        <v>15.17</v>
      </c>
      <c r="D589" s="297"/>
      <c r="E589" s="317" t="s">
        <v>12272</v>
      </c>
      <c r="F589" s="317"/>
      <c r="G589" s="318" t="s">
        <v>12273</v>
      </c>
      <c r="H589" s="317"/>
      <c r="I589" s="319"/>
      <c r="J589" s="317"/>
      <c r="K589" s="317"/>
      <c r="L589" s="317"/>
      <c r="M589" s="317"/>
      <c r="N589" s="317"/>
      <c r="O589" s="317"/>
      <c r="P589" s="317"/>
      <c r="Q589" s="320"/>
      <c r="R589" s="306"/>
      <c r="S589" s="286"/>
      <c r="T589" s="287"/>
      <c r="U589" s="288" t="str">
        <f t="shared" si="276"/>
        <v/>
      </c>
      <c r="V589" s="287"/>
      <c r="W589" s="289" t="str">
        <f t="shared" si="277"/>
        <v/>
      </c>
      <c r="X589" s="287"/>
      <c r="Y589" s="290" t="str">
        <f t="shared" si="278"/>
        <v/>
      </c>
      <c r="Z589" s="291">
        <f ca="1">SUMIF($T$8:Y$1018,"QUANT.",T589:Y589)</f>
        <v>0</v>
      </c>
      <c r="AA589" s="292">
        <f t="shared" ca="1" si="279"/>
        <v>0</v>
      </c>
      <c r="AB589" s="293" t="str">
        <f t="shared" si="280"/>
        <v/>
      </c>
      <c r="AC589" s="294">
        <f t="shared" ca="1" si="281"/>
        <v>0</v>
      </c>
      <c r="AD589" s="294">
        <f t="shared" ca="1" si="282"/>
        <v>0</v>
      </c>
      <c r="AE589" s="295"/>
      <c r="AF589" s="295"/>
      <c r="AG589" s="296"/>
      <c r="AH589" s="296"/>
      <c r="AI589" s="296"/>
      <c r="AJ589" s="326"/>
      <c r="AK589" s="326"/>
      <c r="AL589" s="326"/>
      <c r="AM589" s="326"/>
    </row>
    <row r="590" spans="1:39" ht="51" x14ac:dyDescent="0.25">
      <c r="A590" s="232">
        <f t="shared" si="311"/>
        <v>590</v>
      </c>
      <c r="B590" s="232"/>
      <c r="C590" s="307" t="str">
        <f t="shared" ref="C590:C601" si="319">+C589</f>
        <v>15.17</v>
      </c>
      <c r="D590" s="308">
        <f t="shared" ref="D590:D601" si="320">1+D589</f>
        <v>1</v>
      </c>
      <c r="E590" s="309" t="str">
        <f t="shared" ref="E590:E601" si="321">C590&amp;"."&amp;D590</f>
        <v>15.17.1</v>
      </c>
      <c r="F590" s="310" t="s">
        <v>12274</v>
      </c>
      <c r="G590" s="311" t="str">
        <f>IF($F590="","",IFERROR(VLOOKUP($F590,SERVIÇOS!$B:$G,2,0),IFERROR(VLOOKUP($F590,'COMPOSIÇÕES COMPLEMENTARES '!$D:$L,2,0),IFERROR(VLOOKUP($F590,INSUMOS!$A:$D,2,0),""))))</f>
        <v>QD-AC-1 - QUADRO DE DISTRIBUIÇÃO EM CHAPA DE AÇO 16USG, PINTURA EM EPÓXI COR BEGE, COM TRINCO, BARRAMENTOS EM COBRE, ESPELHO INTERNO C/ PLAQUETAS DE IDENTIFICAÇÃO EM ACRÍLICO PARA CADA CIRCUITO E PORTA PROJETO. DEVERÁ ATENDER O SOLICITADO NO DIAGRAMA UNIFILAR EM PROJETO.</v>
      </c>
      <c r="H590" s="312" t="str">
        <f>IF($F590="","",IFERROR(VLOOKUP($F590,SERVIÇOS!$B:$G,3,0),IFERROR(VLOOKUP($F590,'COMPOSIÇÕES COMPLEMENTARES '!$D:$L,3,0),IFERROR(VLOOKUP($F590,INSUMOS!$A:$D,3,0),""))))</f>
        <v>UN</v>
      </c>
      <c r="I590" s="313">
        <v>1</v>
      </c>
      <c r="J590" s="314">
        <f>IF($F590="","",IFERROR(VLOOKUP($F590,SERVIÇOS!$B:$G,4,0),IFERROR(VLOOKUP($F590,'COMPOSIÇÕES COMPLEMENTARES '!$D:$L,6,0),IFERROR(VLOOKUP($F590,INSUMOS!$A:$D,4,0),""))))</f>
        <v>3411.58</v>
      </c>
      <c r="K590" s="314">
        <f>IF($F590="","",IFERROR(VLOOKUP($F590,SERVIÇOS!$B:$G,5,0),IFERROR(VLOOKUP($F590,'COMPOSIÇÕES COMPLEMENTARES '!$D:$L,7,0),0)))</f>
        <v>348.09</v>
      </c>
      <c r="L590" s="314">
        <f t="shared" ref="L590:L601" si="322">IF(I590="","",J590+K590)</f>
        <v>3759.67</v>
      </c>
      <c r="M590" s="314">
        <f t="shared" ref="M590:M601" si="323">IF(I590="","",TRUNC((I590*J590),2))</f>
        <v>3411.58</v>
      </c>
      <c r="N590" s="314">
        <f t="shared" ref="N590:N601" si="324">IF(I590="","",TRUNC((I590*K590),2))</f>
        <v>348.09</v>
      </c>
      <c r="O590" s="314">
        <f t="shared" ref="O590:O601" si="325">IF(I590="","",TRUNC((M590+N590),2))</f>
        <v>3759.67</v>
      </c>
      <c r="P590" s="314"/>
      <c r="Q590" s="315"/>
      <c r="R590" s="315"/>
      <c r="S590" s="286"/>
      <c r="T590" s="287"/>
      <c r="U590" s="288" t="str">
        <f t="shared" si="276"/>
        <v/>
      </c>
      <c r="V590" s="287"/>
      <c r="W590" s="289" t="str">
        <f t="shared" si="277"/>
        <v/>
      </c>
      <c r="X590" s="287"/>
      <c r="Y590" s="290" t="str">
        <f t="shared" si="278"/>
        <v/>
      </c>
      <c r="Z590" s="291">
        <f ca="1">SUMIF($T$8:Y$1018,"QUANT.",T590:Y590)</f>
        <v>0</v>
      </c>
      <c r="AA590" s="292">
        <f t="shared" ca="1" si="279"/>
        <v>0</v>
      </c>
      <c r="AB590" s="293" t="str">
        <f t="shared" ca="1" si="280"/>
        <v>MEDIR</v>
      </c>
      <c r="AC590" s="294">
        <f t="shared" ca="1" si="281"/>
        <v>1</v>
      </c>
      <c r="AD590" s="294">
        <f t="shared" ca="1" si="282"/>
        <v>3759.67</v>
      </c>
      <c r="AE590" s="295"/>
      <c r="AF590" s="295"/>
      <c r="AG590" s="296"/>
      <c r="AH590" s="296"/>
      <c r="AI590" s="296"/>
      <c r="AJ590" s="326"/>
      <c r="AK590" s="326"/>
      <c r="AL590" s="326"/>
      <c r="AM590" s="326"/>
    </row>
    <row r="591" spans="1:39" x14ac:dyDescent="0.25">
      <c r="A591" s="232">
        <f t="shared" si="311"/>
        <v>591</v>
      </c>
      <c r="B591" s="232"/>
      <c r="C591" s="307" t="str">
        <f t="shared" si="319"/>
        <v>15.17</v>
      </c>
      <c r="D591" s="308">
        <f t="shared" si="320"/>
        <v>2</v>
      </c>
      <c r="E591" s="309" t="str">
        <f t="shared" si="321"/>
        <v>15.17.2</v>
      </c>
      <c r="F591" s="310" t="s">
        <v>12180</v>
      </c>
      <c r="G591" s="311" t="str">
        <f>IF($F591="","",IFERROR(VLOOKUP($F591,SERVIÇOS!$B:$G,2,0),IFERROR(VLOOKUP($F591,'COMPOSIÇÕES COMPLEMENTARES '!$D:$L,2,0),IFERROR(VLOOKUP($F591,INSUMOS!$A:$D,2,0),""))))</f>
        <v>DISJUNTOR TERMOMAGNÉTICO TRIPOLAR 225A CAPAC. 50KA</v>
      </c>
      <c r="H591" s="312" t="str">
        <f>IF($F591="","",IFERROR(VLOOKUP($F591,SERVIÇOS!$B:$G,3,0),IFERROR(VLOOKUP($F591,'COMPOSIÇÕES COMPLEMENTARES '!$D:$L,3,0),IFERROR(VLOOKUP($F591,INSUMOS!$A:$D,3,0),""))))</f>
        <v>UN</v>
      </c>
      <c r="I591" s="313">
        <v>1</v>
      </c>
      <c r="J591" s="314">
        <f>IF($F591="","",IFERROR(VLOOKUP($F591,SERVIÇOS!$B:$G,4,0),IFERROR(VLOOKUP($F591,'COMPOSIÇÕES COMPLEMENTARES '!$D:$L,6,0),IFERROR(VLOOKUP($F591,INSUMOS!$A:$D,4,0),""))))</f>
        <v>1030.56</v>
      </c>
      <c r="K591" s="314">
        <f>IF($F591="","",IFERROR(VLOOKUP($F591,SERVIÇOS!$B:$G,5,0),IFERROR(VLOOKUP($F591,'COMPOSIÇÕES COMPLEMENTARES '!$D:$L,7,0),0)))</f>
        <v>19.809999999999999</v>
      </c>
      <c r="L591" s="314">
        <f t="shared" si="322"/>
        <v>1050.3699999999999</v>
      </c>
      <c r="M591" s="314">
        <f t="shared" si="323"/>
        <v>1030.56</v>
      </c>
      <c r="N591" s="314">
        <f t="shared" si="324"/>
        <v>19.809999999999999</v>
      </c>
      <c r="O591" s="314">
        <f t="shared" si="325"/>
        <v>1050.3699999999999</v>
      </c>
      <c r="P591" s="314"/>
      <c r="Q591" s="315"/>
      <c r="R591" s="315"/>
      <c r="S591" s="286"/>
      <c r="T591" s="287"/>
      <c r="U591" s="288" t="str">
        <f t="shared" si="276"/>
        <v/>
      </c>
      <c r="V591" s="287"/>
      <c r="W591" s="289" t="str">
        <f t="shared" si="277"/>
        <v/>
      </c>
      <c r="X591" s="287"/>
      <c r="Y591" s="290" t="str">
        <f t="shared" si="278"/>
        <v/>
      </c>
      <c r="Z591" s="291">
        <f ca="1">SUMIF($T$8:Y$1018,"QUANT.",T591:Y591)</f>
        <v>0</v>
      </c>
      <c r="AA591" s="292">
        <f t="shared" ca="1" si="279"/>
        <v>0</v>
      </c>
      <c r="AB591" s="293" t="str">
        <f t="shared" ca="1" si="280"/>
        <v>MEDIR</v>
      </c>
      <c r="AC591" s="294">
        <f t="shared" ca="1" si="281"/>
        <v>1</v>
      </c>
      <c r="AD591" s="294">
        <f t="shared" ca="1" si="282"/>
        <v>1050.3699999999999</v>
      </c>
      <c r="AE591" s="295"/>
      <c r="AF591" s="295"/>
      <c r="AG591" s="296"/>
      <c r="AH591" s="296"/>
      <c r="AI591" s="296"/>
      <c r="AJ591" s="326"/>
      <c r="AK591" s="326"/>
      <c r="AL591" s="326"/>
      <c r="AM591" s="326"/>
    </row>
    <row r="592" spans="1:39" x14ac:dyDescent="0.25">
      <c r="A592" s="232">
        <f t="shared" si="311"/>
        <v>592</v>
      </c>
      <c r="B592" s="232"/>
      <c r="C592" s="307" t="str">
        <f t="shared" si="319"/>
        <v>15.17</v>
      </c>
      <c r="D592" s="308">
        <f t="shared" si="320"/>
        <v>3</v>
      </c>
      <c r="E592" s="309" t="str">
        <f t="shared" si="321"/>
        <v>15.17.3</v>
      </c>
      <c r="F592" s="310">
        <v>93672</v>
      </c>
      <c r="G592" s="311" t="str">
        <f>IF($F592="","",IFERROR(VLOOKUP($F592,SERVIÇOS!$B:$G,2,0),IFERROR(VLOOKUP($F592,'COMPOSIÇÕES COMPLEMENTARES '!$D:$L,2,0),IFERROR(VLOOKUP($F592,INSUMOS!$A:$D,2,0),""))))</f>
        <v>DISJUNTOR TRIPOLAR TIPO DIN, CORRENTE NOMINAL DE 40A - FORNECIMENTO E INSTALAÇÃO. AF_10/2020</v>
      </c>
      <c r="H592" s="312" t="str">
        <f>IF($F592="","",IFERROR(VLOOKUP($F592,SERVIÇOS!$B:$G,3,0),IFERROR(VLOOKUP($F592,'COMPOSIÇÕES COMPLEMENTARES '!$D:$L,3,0),IFERROR(VLOOKUP($F592,INSUMOS!$A:$D,3,0),""))))</f>
        <v>UN</v>
      </c>
      <c r="I592" s="313">
        <v>1</v>
      </c>
      <c r="J592" s="314">
        <f>IF($F592="","",IFERROR(VLOOKUP($F592,SERVIÇOS!$B:$G,4,0),IFERROR(VLOOKUP($F592,'COMPOSIÇÕES COMPLEMENTARES '!$D:$L,6,0),IFERROR(VLOOKUP($F592,INSUMOS!$A:$D,4,0),""))))</f>
        <v>80.62</v>
      </c>
      <c r="K592" s="314">
        <f>IF($F592="","",IFERROR(VLOOKUP($F592,SERVIÇOS!$B:$G,5,0),IFERROR(VLOOKUP($F592,'COMPOSIÇÕES COMPLEMENTARES '!$D:$L,7,0),0)))</f>
        <v>20.09</v>
      </c>
      <c r="L592" s="314">
        <f t="shared" si="322"/>
        <v>100.71000000000001</v>
      </c>
      <c r="M592" s="314">
        <f t="shared" si="323"/>
        <v>80.62</v>
      </c>
      <c r="N592" s="314">
        <f t="shared" si="324"/>
        <v>20.09</v>
      </c>
      <c r="O592" s="314">
        <f t="shared" si="325"/>
        <v>100.71</v>
      </c>
      <c r="P592" s="314"/>
      <c r="Q592" s="315"/>
      <c r="R592" s="315"/>
      <c r="S592" s="286"/>
      <c r="T592" s="287"/>
      <c r="U592" s="288" t="str">
        <f t="shared" si="276"/>
        <v/>
      </c>
      <c r="V592" s="287"/>
      <c r="W592" s="289" t="str">
        <f t="shared" si="277"/>
        <v/>
      </c>
      <c r="X592" s="287"/>
      <c r="Y592" s="290" t="str">
        <f t="shared" si="278"/>
        <v/>
      </c>
      <c r="Z592" s="291">
        <f ca="1">SUMIF($T$8:Y$1018,"QUANT.",T592:Y592)</f>
        <v>0</v>
      </c>
      <c r="AA592" s="292">
        <f t="shared" ca="1" si="279"/>
        <v>0</v>
      </c>
      <c r="AB592" s="293" t="str">
        <f t="shared" ca="1" si="280"/>
        <v>MEDIR</v>
      </c>
      <c r="AC592" s="294">
        <f t="shared" ca="1" si="281"/>
        <v>1</v>
      </c>
      <c r="AD592" s="294">
        <f t="shared" ca="1" si="282"/>
        <v>100.71</v>
      </c>
      <c r="AE592" s="295"/>
      <c r="AF592" s="295"/>
      <c r="AG592" s="296"/>
      <c r="AH592" s="296"/>
      <c r="AI592" s="296"/>
      <c r="AJ592" s="326"/>
      <c r="AK592" s="326"/>
      <c r="AL592" s="326"/>
      <c r="AM592" s="326"/>
    </row>
    <row r="593" spans="1:39" x14ac:dyDescent="0.25">
      <c r="A593" s="232">
        <f t="shared" si="311"/>
        <v>593</v>
      </c>
      <c r="B593" s="232"/>
      <c r="C593" s="307" t="str">
        <f t="shared" si="319"/>
        <v>15.17</v>
      </c>
      <c r="D593" s="308">
        <f t="shared" si="320"/>
        <v>4</v>
      </c>
      <c r="E593" s="309" t="str">
        <f t="shared" si="321"/>
        <v>15.17.4</v>
      </c>
      <c r="F593" s="310">
        <v>93669</v>
      </c>
      <c r="G593" s="311" t="str">
        <f>IF($F593="","",IFERROR(VLOOKUP($F593,SERVIÇOS!$B:$G,2,0),IFERROR(VLOOKUP($F593,'COMPOSIÇÕES COMPLEMENTARES '!$D:$L,2,0),IFERROR(VLOOKUP($F593,INSUMOS!$A:$D,2,0),""))))</f>
        <v>DISJUNTOR TRIPOLAR TIPO DIN, CORRENTE NOMINAL DE 20A - FORNECIMENTO E INSTALAÇÃO. AF_10/2020</v>
      </c>
      <c r="H593" s="312" t="str">
        <f>IF($F593="","",IFERROR(VLOOKUP($F593,SERVIÇOS!$B:$G,3,0),IFERROR(VLOOKUP($F593,'COMPOSIÇÕES COMPLEMENTARES '!$D:$L,3,0),IFERROR(VLOOKUP($F593,INSUMOS!$A:$D,3,0),""))))</f>
        <v>UN</v>
      </c>
      <c r="I593" s="313">
        <v>16</v>
      </c>
      <c r="J593" s="314">
        <f>IF($F593="","",IFERROR(VLOOKUP($F593,SERVIÇOS!$B:$G,4,0),IFERROR(VLOOKUP($F593,'COMPOSIÇÕES COMPLEMENTARES '!$D:$L,6,0),IFERROR(VLOOKUP($F593,INSUMOS!$A:$D,4,0),""))))</f>
        <v>75.510000000000005</v>
      </c>
      <c r="K593" s="314">
        <f>IF($F593="","",IFERROR(VLOOKUP($F593,SERVIÇOS!$B:$G,5,0),IFERROR(VLOOKUP($F593,'COMPOSIÇÕES COMPLEMENTARES '!$D:$L,7,0),0)))</f>
        <v>9.83</v>
      </c>
      <c r="L593" s="314">
        <f t="shared" si="322"/>
        <v>85.34</v>
      </c>
      <c r="M593" s="314">
        <f t="shared" si="323"/>
        <v>1208.1600000000001</v>
      </c>
      <c r="N593" s="314">
        <f t="shared" si="324"/>
        <v>157.28</v>
      </c>
      <c r="O593" s="314">
        <f t="shared" si="325"/>
        <v>1365.44</v>
      </c>
      <c r="P593" s="314"/>
      <c r="Q593" s="315"/>
      <c r="R593" s="315"/>
      <c r="S593" s="286"/>
      <c r="T593" s="287"/>
      <c r="U593" s="288" t="str">
        <f t="shared" si="276"/>
        <v/>
      </c>
      <c r="V593" s="287"/>
      <c r="W593" s="289" t="str">
        <f t="shared" si="277"/>
        <v/>
      </c>
      <c r="X593" s="287"/>
      <c r="Y593" s="290" t="str">
        <f t="shared" si="278"/>
        <v/>
      </c>
      <c r="Z593" s="291">
        <f ca="1">SUMIF($T$8:Y$1018,"QUANT.",T593:Y593)</f>
        <v>0</v>
      </c>
      <c r="AA593" s="292">
        <f t="shared" ca="1" si="279"/>
        <v>0</v>
      </c>
      <c r="AB593" s="293" t="str">
        <f t="shared" ca="1" si="280"/>
        <v>MEDIR</v>
      </c>
      <c r="AC593" s="294">
        <f t="shared" ca="1" si="281"/>
        <v>16</v>
      </c>
      <c r="AD593" s="294">
        <f t="shared" ca="1" si="282"/>
        <v>1365.44</v>
      </c>
      <c r="AE593" s="295"/>
      <c r="AF593" s="295"/>
      <c r="AG593" s="296"/>
      <c r="AH593" s="296"/>
      <c r="AI593" s="296"/>
      <c r="AJ593" s="326"/>
      <c r="AK593" s="326"/>
      <c r="AL593" s="326"/>
      <c r="AM593" s="326"/>
    </row>
    <row r="594" spans="1:39" x14ac:dyDescent="0.25">
      <c r="A594" s="232">
        <f t="shared" si="311"/>
        <v>594</v>
      </c>
      <c r="B594" s="232"/>
      <c r="C594" s="307" t="str">
        <f t="shared" si="319"/>
        <v>15.17</v>
      </c>
      <c r="D594" s="308">
        <f t="shared" si="320"/>
        <v>5</v>
      </c>
      <c r="E594" s="309" t="str">
        <f t="shared" si="321"/>
        <v>15.17.5</v>
      </c>
      <c r="F594" s="310">
        <v>93662</v>
      </c>
      <c r="G594" s="311" t="str">
        <f>IF($F594="","",IFERROR(VLOOKUP($F594,SERVIÇOS!$B:$G,2,0),IFERROR(VLOOKUP($F594,'COMPOSIÇÕES COMPLEMENTARES '!$D:$L,2,0),IFERROR(VLOOKUP($F594,INSUMOS!$A:$D,2,0),""))))</f>
        <v>DISJUNTOR BIPOLAR TIPO DIN, CORRENTE NOMINAL DE 20A - FORNECIMENTO E INSTALAÇÃO. AF_10/2020</v>
      </c>
      <c r="H594" s="312" t="str">
        <f>IF($F594="","",IFERROR(VLOOKUP($F594,SERVIÇOS!$B:$G,3,0),IFERROR(VLOOKUP($F594,'COMPOSIÇÕES COMPLEMENTARES '!$D:$L,3,0),IFERROR(VLOOKUP($F594,INSUMOS!$A:$D,3,0),""))))</f>
        <v>UN</v>
      </c>
      <c r="I594" s="313">
        <v>1</v>
      </c>
      <c r="J594" s="314">
        <f>IF($F594="","",IFERROR(VLOOKUP($F594,SERVIÇOS!$B:$G,4,0),IFERROR(VLOOKUP($F594,'COMPOSIÇÕES COMPLEMENTARES '!$D:$L,6,0),IFERROR(VLOOKUP($F594,INSUMOS!$A:$D,4,0),""))))</f>
        <v>60.44</v>
      </c>
      <c r="K594" s="314">
        <f>IF($F594="","",IFERROR(VLOOKUP($F594,SERVIÇOS!$B:$G,5,0),IFERROR(VLOOKUP($F594,'COMPOSIÇÕES COMPLEMENTARES '!$D:$L,7,0),0)))</f>
        <v>6.55</v>
      </c>
      <c r="L594" s="314">
        <f t="shared" si="322"/>
        <v>66.989999999999995</v>
      </c>
      <c r="M594" s="314">
        <f t="shared" si="323"/>
        <v>60.44</v>
      </c>
      <c r="N594" s="314">
        <f t="shared" si="324"/>
        <v>6.55</v>
      </c>
      <c r="O594" s="314">
        <f t="shared" si="325"/>
        <v>66.989999999999995</v>
      </c>
      <c r="P594" s="314"/>
      <c r="Q594" s="315"/>
      <c r="R594" s="315"/>
      <c r="S594" s="286"/>
      <c r="T594" s="287"/>
      <c r="U594" s="288" t="str">
        <f t="shared" si="276"/>
        <v/>
      </c>
      <c r="V594" s="287"/>
      <c r="W594" s="289" t="str">
        <f t="shared" si="277"/>
        <v/>
      </c>
      <c r="X594" s="287"/>
      <c r="Y594" s="290" t="str">
        <f t="shared" si="278"/>
        <v/>
      </c>
      <c r="Z594" s="291">
        <f ca="1">SUMIF($T$8:Y$1018,"QUANT.",T594:Y594)</f>
        <v>0</v>
      </c>
      <c r="AA594" s="292">
        <f t="shared" ca="1" si="279"/>
        <v>0</v>
      </c>
      <c r="AB594" s="293" t="str">
        <f t="shared" ca="1" si="280"/>
        <v>MEDIR</v>
      </c>
      <c r="AC594" s="294">
        <f t="shared" ca="1" si="281"/>
        <v>1</v>
      </c>
      <c r="AD594" s="294">
        <f t="shared" ca="1" si="282"/>
        <v>66.989999999999995</v>
      </c>
      <c r="AE594" s="295"/>
      <c r="AF594" s="295"/>
      <c r="AG594" s="296"/>
      <c r="AH594" s="296"/>
      <c r="AI594" s="296"/>
      <c r="AJ594" s="326"/>
      <c r="AK594" s="326"/>
      <c r="AL594" s="326"/>
      <c r="AM594" s="326"/>
    </row>
    <row r="595" spans="1:39" x14ac:dyDescent="0.25">
      <c r="A595" s="232">
        <f t="shared" si="311"/>
        <v>595</v>
      </c>
      <c r="B595" s="232"/>
      <c r="C595" s="307" t="str">
        <f t="shared" si="319"/>
        <v>15.17</v>
      </c>
      <c r="D595" s="308">
        <f t="shared" si="320"/>
        <v>6</v>
      </c>
      <c r="E595" s="309" t="str">
        <f t="shared" si="321"/>
        <v>15.17.6</v>
      </c>
      <c r="F595" s="310" t="s">
        <v>12198</v>
      </c>
      <c r="G595" s="311" t="str">
        <f>IF($F595="","",IFERROR(VLOOKUP($F595,SERVIÇOS!$B:$G,2,0),IFERROR(VLOOKUP($F595,'COMPOSIÇÕES COMPLEMENTARES '!$D:$L,2,0),IFERROR(VLOOKUP($F595,INSUMOS!$A:$D,2,0),""))))</f>
        <v>DISPOSITIVO PROTETOR CONTRA SURTOS (DPS) 8/20 45KA - 275V CLASSE II</v>
      </c>
      <c r="H595" s="312" t="str">
        <f>IF($F595="","",IFERROR(VLOOKUP($F595,SERVIÇOS!$B:$G,3,0),IFERROR(VLOOKUP($F595,'COMPOSIÇÕES COMPLEMENTARES '!$D:$L,3,0),IFERROR(VLOOKUP($F595,INSUMOS!$A:$D,3,0),""))))</f>
        <v>UN</v>
      </c>
      <c r="I595" s="313">
        <v>4</v>
      </c>
      <c r="J595" s="314">
        <f>IF($F595="","",IFERROR(VLOOKUP($F595,SERVIÇOS!$B:$G,4,0),IFERROR(VLOOKUP($F595,'COMPOSIÇÕES COMPLEMENTARES '!$D:$L,6,0),IFERROR(VLOOKUP($F595,INSUMOS!$A:$D,4,0),""))))</f>
        <v>116.15</v>
      </c>
      <c r="K595" s="314">
        <f>IF($F595="","",IFERROR(VLOOKUP($F595,SERVIÇOS!$B:$G,5,0),IFERROR(VLOOKUP($F595,'COMPOSIÇÕES COMPLEMENTARES '!$D:$L,7,0),0)))</f>
        <v>14.85</v>
      </c>
      <c r="L595" s="314">
        <f t="shared" si="322"/>
        <v>131</v>
      </c>
      <c r="M595" s="314">
        <f t="shared" si="323"/>
        <v>464.6</v>
      </c>
      <c r="N595" s="314">
        <f t="shared" si="324"/>
        <v>59.4</v>
      </c>
      <c r="O595" s="314">
        <f t="shared" si="325"/>
        <v>524</v>
      </c>
      <c r="P595" s="314"/>
      <c r="Q595" s="315"/>
      <c r="R595" s="315"/>
      <c r="S595" s="286"/>
      <c r="T595" s="287"/>
      <c r="U595" s="288" t="str">
        <f t="shared" ref="U595:U638" si="326">IF(OR(T595="",$O595=""),"",(T595/$I595)*$O595)</f>
        <v/>
      </c>
      <c r="V595" s="287"/>
      <c r="W595" s="289" t="str">
        <f t="shared" ref="W595:W638" si="327">IF(OR(V595="",$O595=""),"",(V595/$I595)*$O595)</f>
        <v/>
      </c>
      <c r="X595" s="287"/>
      <c r="Y595" s="290" t="str">
        <f t="shared" ref="Y595:Y638" si="328">IF(OR(X595="",$O595=""),"",(X595/$I595)*$O595)</f>
        <v/>
      </c>
      <c r="Z595" s="291">
        <f ca="1">SUMIF($T$8:Y$1018,"QUANT.",T595:Y595)</f>
        <v>0</v>
      </c>
      <c r="AA595" s="292">
        <f t="shared" ref="AA595:AA638" ca="1" si="329">SUMIF($T$8:$Y$1018,"CUSTO",T595:Y595)</f>
        <v>0</v>
      </c>
      <c r="AB595" s="293" t="str">
        <f t="shared" ref="AB595:AB638" ca="1" si="330">IF(F595&lt;&gt;"",IF(AA595=0,"MEDIR",IF(O595-AA595=0,"OK",IF(O595-AA595&gt;0,"MEDIR","ALERTA!"))),"")</f>
        <v>MEDIR</v>
      </c>
      <c r="AC595" s="294">
        <f t="shared" ref="AC595:AC638" ca="1" si="331">IF(Z595="",0,I595-Z595)</f>
        <v>4</v>
      </c>
      <c r="AD595" s="294">
        <f t="shared" ref="AD595:AD638" ca="1" si="332">IF(AA595="",0,O595-AA595)</f>
        <v>524</v>
      </c>
      <c r="AE595" s="295"/>
      <c r="AF595" s="295"/>
      <c r="AG595" s="296"/>
      <c r="AH595" s="296"/>
      <c r="AI595" s="296"/>
      <c r="AJ595" s="326"/>
      <c r="AK595" s="326"/>
      <c r="AL595" s="326"/>
      <c r="AM595" s="326"/>
    </row>
    <row r="596" spans="1:39" x14ac:dyDescent="0.25">
      <c r="A596" s="232">
        <f t="shared" si="311"/>
        <v>596</v>
      </c>
      <c r="B596" s="232"/>
      <c r="C596" s="307" t="str">
        <f t="shared" si="319"/>
        <v>15.17</v>
      </c>
      <c r="D596" s="308">
        <f t="shared" si="320"/>
        <v>7</v>
      </c>
      <c r="E596" s="309" t="str">
        <f t="shared" si="321"/>
        <v>15.17.7</v>
      </c>
      <c r="F596" s="310" t="s">
        <v>12275</v>
      </c>
      <c r="G596" s="311" t="str">
        <f>IF($F596="","",IFERROR(VLOOKUP($F596,SERVIÇOS!$B:$G,2,0),IFERROR(VLOOKUP($F596,'COMPOSIÇÕES COMPLEMENTARES '!$D:$L,2,0),IFERROR(VLOOKUP($F596,INSUMOS!$A:$D,2,0),""))))</f>
        <v>CONDUTOR DE COBRE FLEX. ISOL. 1KV - 90º - #120MM² - AFUMEX</v>
      </c>
      <c r="H596" s="312" t="str">
        <f>IF($F596="","",IFERROR(VLOOKUP($F596,SERVIÇOS!$B:$G,3,0),IFERROR(VLOOKUP($F596,'COMPOSIÇÕES COMPLEMENTARES '!$D:$L,3,0),IFERROR(VLOOKUP($F596,INSUMOS!$A:$D,3,0),""))))</f>
        <v>M</v>
      </c>
      <c r="I596" s="313">
        <v>16</v>
      </c>
      <c r="J596" s="314">
        <f>IF($F596="","",IFERROR(VLOOKUP($F596,SERVIÇOS!$B:$G,4,0),IFERROR(VLOOKUP($F596,'COMPOSIÇÕES COMPLEMENTARES '!$D:$L,6,0),IFERROR(VLOOKUP($F596,INSUMOS!$A:$D,4,0),""))))</f>
        <v>116.08</v>
      </c>
      <c r="K596" s="314">
        <f>IF($F596="","",IFERROR(VLOOKUP($F596,SERVIÇOS!$B:$G,5,0),IFERROR(VLOOKUP($F596,'COMPOSIÇÕES COMPLEMENTARES '!$D:$L,7,0),0)))</f>
        <v>7.52</v>
      </c>
      <c r="L596" s="314">
        <f t="shared" si="322"/>
        <v>123.6</v>
      </c>
      <c r="M596" s="314">
        <f t="shared" si="323"/>
        <v>1857.28</v>
      </c>
      <c r="N596" s="314">
        <f t="shared" si="324"/>
        <v>120.32</v>
      </c>
      <c r="O596" s="314">
        <f t="shared" si="325"/>
        <v>1977.6</v>
      </c>
      <c r="P596" s="314"/>
      <c r="Q596" s="315"/>
      <c r="R596" s="315"/>
      <c r="S596" s="286"/>
      <c r="T596" s="287"/>
      <c r="U596" s="288" t="str">
        <f t="shared" si="326"/>
        <v/>
      </c>
      <c r="V596" s="287"/>
      <c r="W596" s="289" t="str">
        <f t="shared" si="327"/>
        <v/>
      </c>
      <c r="X596" s="287"/>
      <c r="Y596" s="290" t="str">
        <f t="shared" si="328"/>
        <v/>
      </c>
      <c r="Z596" s="291">
        <f ca="1">SUMIF($T$8:Y$1018,"QUANT.",T596:Y596)</f>
        <v>0</v>
      </c>
      <c r="AA596" s="292">
        <f t="shared" ca="1" si="329"/>
        <v>0</v>
      </c>
      <c r="AB596" s="293" t="str">
        <f t="shared" ca="1" si="330"/>
        <v>MEDIR</v>
      </c>
      <c r="AC596" s="294">
        <f t="shared" ca="1" si="331"/>
        <v>16</v>
      </c>
      <c r="AD596" s="294">
        <f t="shared" ca="1" si="332"/>
        <v>1977.6</v>
      </c>
      <c r="AE596" s="295"/>
      <c r="AF596" s="295"/>
      <c r="AG596" s="296"/>
      <c r="AH596" s="296"/>
      <c r="AI596" s="296"/>
      <c r="AJ596" s="326"/>
      <c r="AK596" s="326"/>
      <c r="AL596" s="326"/>
      <c r="AM596" s="326"/>
    </row>
    <row r="597" spans="1:39" x14ac:dyDescent="0.25">
      <c r="A597" s="232">
        <f t="shared" si="311"/>
        <v>597</v>
      </c>
      <c r="B597" s="232"/>
      <c r="C597" s="307" t="str">
        <f t="shared" si="319"/>
        <v>15.17</v>
      </c>
      <c r="D597" s="308">
        <f t="shared" si="320"/>
        <v>8</v>
      </c>
      <c r="E597" s="309" t="str">
        <f t="shared" si="321"/>
        <v>15.17.8</v>
      </c>
      <c r="F597" s="310" t="s">
        <v>12276</v>
      </c>
      <c r="G597" s="311" t="str">
        <f>IF($F597="","",IFERROR(VLOOKUP($F597,SERVIÇOS!$B:$G,2,0),IFERROR(VLOOKUP($F597,'COMPOSIÇÕES COMPLEMENTARES '!$D:$L,2,0),IFERROR(VLOOKUP($F597,INSUMOS!$A:$D,2,0),""))))</f>
        <v>CONDUTOR DE COBRE FLEX. ISOL. 1KV - 90º - #70MM² - AFUMEX</v>
      </c>
      <c r="H597" s="312" t="str">
        <f>IF($F597="","",IFERROR(VLOOKUP($F597,SERVIÇOS!$B:$G,3,0),IFERROR(VLOOKUP($F597,'COMPOSIÇÕES COMPLEMENTARES '!$D:$L,3,0),IFERROR(VLOOKUP($F597,INSUMOS!$A:$D,3,0),""))))</f>
        <v>M</v>
      </c>
      <c r="I597" s="313">
        <v>4</v>
      </c>
      <c r="J597" s="314">
        <f>IF($F597="","",IFERROR(VLOOKUP($F597,SERVIÇOS!$B:$G,4,0),IFERROR(VLOOKUP($F597,'COMPOSIÇÕES COMPLEMENTARES '!$D:$L,6,0),IFERROR(VLOOKUP($F597,INSUMOS!$A:$D,4,0),""))))</f>
        <v>60.85</v>
      </c>
      <c r="K597" s="314">
        <f>IF($F597="","",IFERROR(VLOOKUP($F597,SERVIÇOS!$B:$G,5,0),IFERROR(VLOOKUP($F597,'COMPOSIÇÕES COMPLEMENTARES '!$D:$L,7,0),0)))</f>
        <v>5.19</v>
      </c>
      <c r="L597" s="314">
        <f t="shared" si="322"/>
        <v>66.040000000000006</v>
      </c>
      <c r="M597" s="314">
        <f t="shared" si="323"/>
        <v>243.4</v>
      </c>
      <c r="N597" s="314">
        <f t="shared" si="324"/>
        <v>20.76</v>
      </c>
      <c r="O597" s="314">
        <f t="shared" si="325"/>
        <v>264.16000000000003</v>
      </c>
      <c r="P597" s="314"/>
      <c r="Q597" s="315"/>
      <c r="R597" s="315"/>
      <c r="S597" s="286"/>
      <c r="T597" s="287"/>
      <c r="U597" s="288" t="str">
        <f t="shared" si="326"/>
        <v/>
      </c>
      <c r="V597" s="287"/>
      <c r="W597" s="289" t="str">
        <f t="shared" si="327"/>
        <v/>
      </c>
      <c r="X597" s="287"/>
      <c r="Y597" s="290" t="str">
        <f t="shared" si="328"/>
        <v/>
      </c>
      <c r="Z597" s="291">
        <f ca="1">SUMIF($T$8:Y$1018,"QUANT.",T597:Y597)</f>
        <v>0</v>
      </c>
      <c r="AA597" s="292">
        <f t="shared" ca="1" si="329"/>
        <v>0</v>
      </c>
      <c r="AB597" s="293" t="str">
        <f t="shared" ca="1" si="330"/>
        <v>MEDIR</v>
      </c>
      <c r="AC597" s="294">
        <f t="shared" ca="1" si="331"/>
        <v>4</v>
      </c>
      <c r="AD597" s="294">
        <f t="shared" ca="1" si="332"/>
        <v>264.16000000000003</v>
      </c>
      <c r="AE597" s="295"/>
      <c r="AF597" s="295"/>
      <c r="AG597" s="296"/>
      <c r="AH597" s="296"/>
      <c r="AI597" s="296"/>
      <c r="AJ597" s="326"/>
      <c r="AK597" s="326"/>
      <c r="AL597" s="326"/>
      <c r="AM597" s="326"/>
    </row>
    <row r="598" spans="1:39" x14ac:dyDescent="0.25">
      <c r="A598" s="232">
        <f t="shared" si="311"/>
        <v>598</v>
      </c>
      <c r="B598" s="232"/>
      <c r="C598" s="307" t="str">
        <f t="shared" si="319"/>
        <v>15.17</v>
      </c>
      <c r="D598" s="308">
        <f t="shared" si="320"/>
        <v>9</v>
      </c>
      <c r="E598" s="309" t="str">
        <f t="shared" si="321"/>
        <v>15.17.9</v>
      </c>
      <c r="F598" s="310" t="s">
        <v>12277</v>
      </c>
      <c r="G598" s="311" t="str">
        <f>IF($F598="","",IFERROR(VLOOKUP($F598,SERVIÇOS!$B:$G,2,0),IFERROR(VLOOKUP($F598,'COMPOSIÇÕES COMPLEMENTARES '!$D:$L,2,0),IFERROR(VLOOKUP($F598,INSUMOS!$A:$D,2,0),""))))</f>
        <v xml:space="preserve">TERMINAL DE COMPRESSÃO #120MM² </v>
      </c>
      <c r="H598" s="312" t="str">
        <f>IF($F598="","",IFERROR(VLOOKUP($F598,SERVIÇOS!$B:$G,3,0),IFERROR(VLOOKUP($F598,'COMPOSIÇÕES COMPLEMENTARES '!$D:$L,3,0),IFERROR(VLOOKUP($F598,INSUMOS!$A:$D,3,0),""))))</f>
        <v>UN</v>
      </c>
      <c r="I598" s="313">
        <v>8</v>
      </c>
      <c r="J598" s="314">
        <f>IF($F598="","",IFERROR(VLOOKUP($F598,SERVIÇOS!$B:$G,4,0),IFERROR(VLOOKUP($F598,'COMPOSIÇÕES COMPLEMENTARES '!$D:$L,6,0),IFERROR(VLOOKUP($F598,INSUMOS!$A:$D,4,0),""))))</f>
        <v>34.24</v>
      </c>
      <c r="K598" s="314">
        <f>IF($F598="","",IFERROR(VLOOKUP($F598,SERVIÇOS!$B:$G,5,0),IFERROR(VLOOKUP($F598,'COMPOSIÇÕES COMPLEMENTARES '!$D:$L,7,0),0)))</f>
        <v>9.51</v>
      </c>
      <c r="L598" s="314">
        <f t="shared" si="322"/>
        <v>43.75</v>
      </c>
      <c r="M598" s="314">
        <f t="shared" si="323"/>
        <v>273.92</v>
      </c>
      <c r="N598" s="314">
        <f t="shared" si="324"/>
        <v>76.08</v>
      </c>
      <c r="O598" s="314">
        <f t="shared" si="325"/>
        <v>350</v>
      </c>
      <c r="P598" s="314"/>
      <c r="Q598" s="315"/>
      <c r="R598" s="315"/>
      <c r="S598" s="286"/>
      <c r="T598" s="287"/>
      <c r="U598" s="288" t="str">
        <f t="shared" si="326"/>
        <v/>
      </c>
      <c r="V598" s="287"/>
      <c r="W598" s="289" t="str">
        <f t="shared" si="327"/>
        <v/>
      </c>
      <c r="X598" s="287"/>
      <c r="Y598" s="290" t="str">
        <f t="shared" si="328"/>
        <v/>
      </c>
      <c r="Z598" s="291">
        <f ca="1">SUMIF($T$8:Y$1018,"QUANT.",T598:Y598)</f>
        <v>0</v>
      </c>
      <c r="AA598" s="292">
        <f t="shared" ca="1" si="329"/>
        <v>0</v>
      </c>
      <c r="AB598" s="293" t="str">
        <f t="shared" ca="1" si="330"/>
        <v>MEDIR</v>
      </c>
      <c r="AC598" s="294">
        <f t="shared" ca="1" si="331"/>
        <v>8</v>
      </c>
      <c r="AD598" s="294">
        <f t="shared" ca="1" si="332"/>
        <v>350</v>
      </c>
      <c r="AE598" s="295"/>
      <c r="AF598" s="295"/>
      <c r="AG598" s="296"/>
      <c r="AH598" s="296"/>
      <c r="AI598" s="296"/>
      <c r="AJ598" s="326"/>
      <c r="AK598" s="326"/>
      <c r="AL598" s="326"/>
      <c r="AM598" s="326"/>
    </row>
    <row r="599" spans="1:39" x14ac:dyDescent="0.25">
      <c r="A599" s="232">
        <f t="shared" si="311"/>
        <v>599</v>
      </c>
      <c r="B599" s="232"/>
      <c r="C599" s="307" t="str">
        <f t="shared" si="319"/>
        <v>15.17</v>
      </c>
      <c r="D599" s="308">
        <f t="shared" si="320"/>
        <v>10</v>
      </c>
      <c r="E599" s="309" t="str">
        <f t="shared" si="321"/>
        <v>15.17.10</v>
      </c>
      <c r="F599" s="310" t="s">
        <v>12278</v>
      </c>
      <c r="G599" s="311" t="str">
        <f>IF($F599="","",IFERROR(VLOOKUP($F599,SERVIÇOS!$B:$G,2,0),IFERROR(VLOOKUP($F599,'COMPOSIÇÕES COMPLEMENTARES '!$D:$L,2,0),IFERROR(VLOOKUP($F599,INSUMOS!$A:$D,2,0),""))))</f>
        <v xml:space="preserve">TERMINAL DE COMPRESSÃO #70MM² </v>
      </c>
      <c r="H599" s="312" t="str">
        <f>IF($F599="","",IFERROR(VLOOKUP($F599,SERVIÇOS!$B:$G,3,0),IFERROR(VLOOKUP($F599,'COMPOSIÇÕES COMPLEMENTARES '!$D:$L,3,0),IFERROR(VLOOKUP($F599,INSUMOS!$A:$D,3,0),""))))</f>
        <v>UN</v>
      </c>
      <c r="I599" s="313">
        <v>2</v>
      </c>
      <c r="J599" s="314">
        <f>IF($F599="","",IFERROR(VLOOKUP($F599,SERVIÇOS!$B:$G,4,0),IFERROR(VLOOKUP($F599,'COMPOSIÇÕES COMPLEMENTARES '!$D:$L,6,0),IFERROR(VLOOKUP($F599,INSUMOS!$A:$D,4,0),""))))</f>
        <v>11.23</v>
      </c>
      <c r="K599" s="314">
        <f>IF($F599="","",IFERROR(VLOOKUP($F599,SERVIÇOS!$B:$G,5,0),IFERROR(VLOOKUP($F599,'COMPOSIÇÕES COMPLEMENTARES '!$D:$L,7,0),0)))</f>
        <v>9.9</v>
      </c>
      <c r="L599" s="314">
        <f t="shared" si="322"/>
        <v>21.130000000000003</v>
      </c>
      <c r="M599" s="314">
        <f t="shared" si="323"/>
        <v>22.46</v>
      </c>
      <c r="N599" s="314">
        <f t="shared" si="324"/>
        <v>19.8</v>
      </c>
      <c r="O599" s="314">
        <f t="shared" si="325"/>
        <v>42.26</v>
      </c>
      <c r="P599" s="314"/>
      <c r="Q599" s="315"/>
      <c r="R599" s="315"/>
      <c r="S599" s="286"/>
      <c r="T599" s="287"/>
      <c r="U599" s="288" t="str">
        <f t="shared" si="326"/>
        <v/>
      </c>
      <c r="V599" s="287"/>
      <c r="W599" s="289" t="str">
        <f t="shared" si="327"/>
        <v/>
      </c>
      <c r="X599" s="287"/>
      <c r="Y599" s="290" t="str">
        <f t="shared" si="328"/>
        <v/>
      </c>
      <c r="Z599" s="291">
        <f ca="1">SUMIF($T$8:Y$1018,"QUANT.",T599:Y599)</f>
        <v>0</v>
      </c>
      <c r="AA599" s="292">
        <f t="shared" ca="1" si="329"/>
        <v>0</v>
      </c>
      <c r="AB599" s="293" t="str">
        <f t="shared" ca="1" si="330"/>
        <v>MEDIR</v>
      </c>
      <c r="AC599" s="294">
        <f t="shared" ca="1" si="331"/>
        <v>2</v>
      </c>
      <c r="AD599" s="294">
        <f t="shared" ca="1" si="332"/>
        <v>42.26</v>
      </c>
      <c r="AE599" s="295"/>
      <c r="AF599" s="295"/>
      <c r="AG599" s="296"/>
      <c r="AH599" s="296"/>
      <c r="AI599" s="296"/>
      <c r="AJ599" s="326"/>
      <c r="AK599" s="326"/>
      <c r="AL599" s="326"/>
      <c r="AM599" s="326"/>
    </row>
    <row r="600" spans="1:39" ht="25.5" x14ac:dyDescent="0.25">
      <c r="A600" s="232">
        <f t="shared" si="311"/>
        <v>600</v>
      </c>
      <c r="B600" s="232"/>
      <c r="C600" s="307" t="str">
        <f t="shared" si="319"/>
        <v>15.17</v>
      </c>
      <c r="D600" s="308">
        <f t="shared" si="320"/>
        <v>11</v>
      </c>
      <c r="E600" s="309" t="str">
        <f t="shared" si="321"/>
        <v>15.17.11</v>
      </c>
      <c r="F600" s="310">
        <v>97670</v>
      </c>
      <c r="G600" s="311" t="str">
        <f>IF($F600="","",IFERROR(VLOOKUP($F600,SERVIÇOS!$B:$G,2,0),IFERROR(VLOOKUP($F600,'COMPOSIÇÕES COMPLEMENTARES '!$D:$L,2,0),IFERROR(VLOOKUP($F600,INSUMOS!$A:$D,2,0),""))))</f>
        <v>ELETRODUTO FLEXÍVEL CORRUGADO, PEAD, DN 100 (4"), PARA REDE ENTERRADA DE DISTRIBUIÇÃO DE ENERGIA ELÉTRICA - FORNECIMENTO E INSTALAÇÃO. AF_12/2021</v>
      </c>
      <c r="H600" s="312" t="str">
        <f>IF($F600="","",IFERROR(VLOOKUP($F600,SERVIÇOS!$B:$G,3,0),IFERROR(VLOOKUP($F600,'COMPOSIÇÕES COMPLEMENTARES '!$D:$L,3,0),IFERROR(VLOOKUP($F600,INSUMOS!$A:$D,3,0),""))))</f>
        <v>M</v>
      </c>
      <c r="I600" s="313">
        <v>4</v>
      </c>
      <c r="J600" s="314">
        <f>IF($F600="","",IFERROR(VLOOKUP($F600,SERVIÇOS!$B:$G,4,0),IFERROR(VLOOKUP($F600,'COMPOSIÇÕES COMPLEMENTARES '!$D:$L,6,0),IFERROR(VLOOKUP($F600,INSUMOS!$A:$D,4,0),""))))</f>
        <v>21.64</v>
      </c>
      <c r="K600" s="314">
        <f>IF($F600="","",IFERROR(VLOOKUP($F600,SERVIÇOS!$B:$G,5,0),IFERROR(VLOOKUP($F600,'COMPOSIÇÕES COMPLEMENTARES '!$D:$L,7,0),0)))</f>
        <v>8.51</v>
      </c>
      <c r="L600" s="314">
        <f t="shared" si="322"/>
        <v>30.15</v>
      </c>
      <c r="M600" s="314">
        <f t="shared" si="323"/>
        <v>86.56</v>
      </c>
      <c r="N600" s="314">
        <f t="shared" si="324"/>
        <v>34.04</v>
      </c>
      <c r="O600" s="314">
        <f t="shared" si="325"/>
        <v>120.6</v>
      </c>
      <c r="P600" s="314"/>
      <c r="Q600" s="315"/>
      <c r="R600" s="315"/>
      <c r="S600" s="286"/>
      <c r="T600" s="287"/>
      <c r="U600" s="288" t="str">
        <f t="shared" si="326"/>
        <v/>
      </c>
      <c r="V600" s="287"/>
      <c r="W600" s="289" t="str">
        <f t="shared" si="327"/>
        <v/>
      </c>
      <c r="X600" s="287"/>
      <c r="Y600" s="290" t="str">
        <f t="shared" si="328"/>
        <v/>
      </c>
      <c r="Z600" s="291">
        <f ca="1">SUMIF($T$8:Y$1018,"QUANT.",T600:Y600)</f>
        <v>0</v>
      </c>
      <c r="AA600" s="292">
        <f t="shared" ca="1" si="329"/>
        <v>0</v>
      </c>
      <c r="AB600" s="293" t="str">
        <f t="shared" ca="1" si="330"/>
        <v>MEDIR</v>
      </c>
      <c r="AC600" s="294">
        <f t="shared" ca="1" si="331"/>
        <v>4</v>
      </c>
      <c r="AD600" s="294">
        <f t="shared" ca="1" si="332"/>
        <v>120.6</v>
      </c>
      <c r="AE600" s="295"/>
      <c r="AF600" s="295"/>
      <c r="AG600" s="296"/>
      <c r="AH600" s="296"/>
      <c r="AI600" s="296"/>
      <c r="AJ600" s="326"/>
      <c r="AK600" s="326"/>
      <c r="AL600" s="326"/>
      <c r="AM600" s="326"/>
    </row>
    <row r="601" spans="1:39" x14ac:dyDescent="0.25">
      <c r="A601" s="232">
        <f t="shared" si="311"/>
        <v>601</v>
      </c>
      <c r="B601" s="232"/>
      <c r="C601" s="307" t="str">
        <f t="shared" si="319"/>
        <v>15.17</v>
      </c>
      <c r="D601" s="308">
        <f t="shared" si="320"/>
        <v>12</v>
      </c>
      <c r="E601" s="309" t="str">
        <f t="shared" si="321"/>
        <v>15.17.12</v>
      </c>
      <c r="F601" s="310" t="s">
        <v>12279</v>
      </c>
      <c r="G601" s="311" t="str">
        <f>IF($F601="","",IFERROR(VLOOKUP($F601,SERVIÇOS!$B:$G,2,0),IFERROR(VLOOKUP($F601,'COMPOSIÇÕES COMPLEMENTARES '!$D:$L,2,0),IFERROR(VLOOKUP($F601,INSUMOS!$A:$D,2,0),""))))</f>
        <v>UNIDUT CÔNICO Ø4" COM BUCHA E ARRUELA DE ALUMÍNIO Ø4"</v>
      </c>
      <c r="H601" s="312" t="str">
        <f>IF($F601="","",IFERROR(VLOOKUP($F601,SERVIÇOS!$B:$G,3,0),IFERROR(VLOOKUP($F601,'COMPOSIÇÕES COMPLEMENTARES '!$D:$L,3,0),IFERROR(VLOOKUP($F601,INSUMOS!$A:$D,3,0),""))))</f>
        <v>UN</v>
      </c>
      <c r="I601" s="313">
        <v>2</v>
      </c>
      <c r="J601" s="314">
        <f>IF($F601="","",IFERROR(VLOOKUP($F601,SERVIÇOS!$B:$G,4,0),IFERROR(VLOOKUP($F601,'COMPOSIÇÕES COMPLEMENTARES '!$D:$L,6,0),IFERROR(VLOOKUP($F601,INSUMOS!$A:$D,4,0),""))))</f>
        <v>63.47</v>
      </c>
      <c r="K601" s="314">
        <f>IF($F601="","",IFERROR(VLOOKUP($F601,SERVIÇOS!$B:$G,5,0),IFERROR(VLOOKUP($F601,'COMPOSIÇÕES COMPLEMENTARES '!$D:$L,7,0),0)))</f>
        <v>2.37</v>
      </c>
      <c r="L601" s="314">
        <f t="shared" si="322"/>
        <v>65.84</v>
      </c>
      <c r="M601" s="314">
        <f t="shared" si="323"/>
        <v>126.94</v>
      </c>
      <c r="N601" s="314">
        <f t="shared" si="324"/>
        <v>4.74</v>
      </c>
      <c r="O601" s="314">
        <f t="shared" si="325"/>
        <v>131.68</v>
      </c>
      <c r="P601" s="314"/>
      <c r="Q601" s="315"/>
      <c r="R601" s="315"/>
      <c r="S601" s="286"/>
      <c r="T601" s="287"/>
      <c r="U601" s="288" t="str">
        <f t="shared" si="326"/>
        <v/>
      </c>
      <c r="V601" s="287"/>
      <c r="W601" s="289" t="str">
        <f t="shared" si="327"/>
        <v/>
      </c>
      <c r="X601" s="287"/>
      <c r="Y601" s="290" t="str">
        <f t="shared" si="328"/>
        <v/>
      </c>
      <c r="Z601" s="291">
        <f ca="1">SUMIF($T$8:Y$1018,"QUANT.",T601:Y601)</f>
        <v>0</v>
      </c>
      <c r="AA601" s="292">
        <f t="shared" ca="1" si="329"/>
        <v>0</v>
      </c>
      <c r="AB601" s="293" t="str">
        <f t="shared" ca="1" si="330"/>
        <v>MEDIR</v>
      </c>
      <c r="AC601" s="294">
        <f t="shared" ca="1" si="331"/>
        <v>2</v>
      </c>
      <c r="AD601" s="294">
        <f t="shared" ca="1" si="332"/>
        <v>131.68</v>
      </c>
      <c r="AE601" s="295"/>
      <c r="AF601" s="295"/>
      <c r="AG601" s="296"/>
      <c r="AH601" s="296"/>
      <c r="AI601" s="296"/>
      <c r="AJ601" s="326"/>
      <c r="AK601" s="326"/>
      <c r="AL601" s="326"/>
      <c r="AM601" s="326"/>
    </row>
    <row r="602" spans="1:39" x14ac:dyDescent="0.25">
      <c r="A602" s="232">
        <f t="shared" si="311"/>
        <v>602</v>
      </c>
      <c r="B602" s="232"/>
      <c r="C602" s="316" t="str">
        <f>+E602</f>
        <v>15.18</v>
      </c>
      <c r="D602" s="297"/>
      <c r="E602" s="317" t="s">
        <v>12280</v>
      </c>
      <c r="F602" s="317"/>
      <c r="G602" s="318" t="s">
        <v>12281</v>
      </c>
      <c r="H602" s="317"/>
      <c r="I602" s="319"/>
      <c r="J602" s="317"/>
      <c r="K602" s="317"/>
      <c r="L602" s="317"/>
      <c r="M602" s="317"/>
      <c r="N602" s="317"/>
      <c r="O602" s="317"/>
      <c r="P602" s="317"/>
      <c r="Q602" s="320"/>
      <c r="R602" s="306"/>
      <c r="S602" s="286"/>
      <c r="T602" s="287"/>
      <c r="U602" s="288" t="str">
        <f t="shared" si="326"/>
        <v/>
      </c>
      <c r="V602" s="287"/>
      <c r="W602" s="289" t="str">
        <f t="shared" si="327"/>
        <v/>
      </c>
      <c r="X602" s="287"/>
      <c r="Y602" s="290" t="str">
        <f t="shared" si="328"/>
        <v/>
      </c>
      <c r="Z602" s="291">
        <f ca="1">SUMIF($T$8:Y$1018,"QUANT.",T602:Y602)</f>
        <v>0</v>
      </c>
      <c r="AA602" s="292">
        <f t="shared" ca="1" si="329"/>
        <v>0</v>
      </c>
      <c r="AB602" s="293" t="str">
        <f t="shared" si="330"/>
        <v/>
      </c>
      <c r="AC602" s="294">
        <f t="shared" ca="1" si="331"/>
        <v>0</v>
      </c>
      <c r="AD602" s="294">
        <f t="shared" ca="1" si="332"/>
        <v>0</v>
      </c>
      <c r="AE602" s="295"/>
      <c r="AF602" s="295"/>
      <c r="AG602" s="296"/>
      <c r="AH602" s="296"/>
      <c r="AI602" s="296"/>
      <c r="AJ602" s="326"/>
      <c r="AK602" s="326"/>
      <c r="AL602" s="326"/>
      <c r="AM602" s="326"/>
    </row>
    <row r="603" spans="1:39" ht="25.5" x14ac:dyDescent="0.25">
      <c r="A603" s="232">
        <f t="shared" si="311"/>
        <v>603</v>
      </c>
      <c r="B603" s="232"/>
      <c r="C603" s="307" t="str">
        <f t="shared" ref="C603:C617" si="333">+C602</f>
        <v>15.18</v>
      </c>
      <c r="D603" s="308">
        <f t="shared" ref="D603:D617" si="334">1+D602</f>
        <v>1</v>
      </c>
      <c r="E603" s="309" t="str">
        <f t="shared" ref="E603:E617" si="335">C603&amp;"."&amp;D603</f>
        <v>15.18.1</v>
      </c>
      <c r="F603" s="310">
        <v>91953</v>
      </c>
      <c r="G603" s="311" t="str">
        <f>IF($F603="","",IFERROR(VLOOKUP($F603,SERVIÇOS!$B:$G,2,0),IFERROR(VLOOKUP($F603,'COMPOSIÇÕES COMPLEMENTARES '!$D:$L,2,0),IFERROR(VLOOKUP($F603,INSUMOS!$A:$D,2,0),""))))</f>
        <v>INTERRUPTOR SIMPLES (1 MÓDULO), 10A/250V, INCLUINDO SUPORTE E PLACA - FORNECIMENTO E INSTALAÇÃO. AF_03/2023</v>
      </c>
      <c r="H603" s="312" t="str">
        <f>IF($F603="","",IFERROR(VLOOKUP($F603,SERVIÇOS!$B:$G,3,0),IFERROR(VLOOKUP($F603,'COMPOSIÇÕES COMPLEMENTARES '!$D:$L,3,0),IFERROR(VLOOKUP($F603,INSUMOS!$A:$D,3,0),""))))</f>
        <v>UN</v>
      </c>
      <c r="I603" s="313">
        <v>7</v>
      </c>
      <c r="J603" s="314">
        <f>IF($F603="","",IFERROR(VLOOKUP($F603,SERVIÇOS!$B:$G,4,0),IFERROR(VLOOKUP($F603,'COMPOSIÇÕES COMPLEMENTARES '!$D:$L,6,0),IFERROR(VLOOKUP($F603,INSUMOS!$A:$D,4,0),""))))</f>
        <v>19.2</v>
      </c>
      <c r="K603" s="314">
        <f>IF($F603="","",IFERROR(VLOOKUP($F603,SERVIÇOS!$B:$G,5,0),IFERROR(VLOOKUP($F603,'COMPOSIÇÕES COMPLEMENTARES '!$D:$L,7,0),0)))</f>
        <v>17.82</v>
      </c>
      <c r="L603" s="314">
        <f t="shared" ref="L603:L617" si="336">IF(I603="","",J603+K603)</f>
        <v>37.019999999999996</v>
      </c>
      <c r="M603" s="314">
        <f t="shared" ref="M603:M617" si="337">IF(I603="","",TRUNC((I603*J603),2))</f>
        <v>134.4</v>
      </c>
      <c r="N603" s="314">
        <f t="shared" ref="N603:N617" si="338">IF(I603="","",TRUNC((I603*K603),2))</f>
        <v>124.74</v>
      </c>
      <c r="O603" s="314">
        <f t="shared" ref="O603:O617" si="339">IF(I603="","",TRUNC((M603+N603),2))</f>
        <v>259.14</v>
      </c>
      <c r="P603" s="314"/>
      <c r="Q603" s="315"/>
      <c r="R603" s="315"/>
      <c r="S603" s="286"/>
      <c r="T603" s="287"/>
      <c r="U603" s="288" t="str">
        <f t="shared" si="326"/>
        <v/>
      </c>
      <c r="V603" s="287"/>
      <c r="W603" s="289" t="str">
        <f t="shared" si="327"/>
        <v/>
      </c>
      <c r="X603" s="287"/>
      <c r="Y603" s="290" t="str">
        <f t="shared" si="328"/>
        <v/>
      </c>
      <c r="Z603" s="291">
        <f ca="1">SUMIF($T$8:Y$1018,"QUANT.",T603:Y603)</f>
        <v>0</v>
      </c>
      <c r="AA603" s="292">
        <f t="shared" ca="1" si="329"/>
        <v>0</v>
      </c>
      <c r="AB603" s="293" t="str">
        <f t="shared" ca="1" si="330"/>
        <v>MEDIR</v>
      </c>
      <c r="AC603" s="294">
        <f t="shared" ca="1" si="331"/>
        <v>7</v>
      </c>
      <c r="AD603" s="294">
        <f t="shared" ca="1" si="332"/>
        <v>259.14</v>
      </c>
      <c r="AE603" s="295"/>
      <c r="AF603" s="295"/>
      <c r="AG603" s="296"/>
      <c r="AH603" s="296"/>
      <c r="AI603" s="296"/>
      <c r="AJ603" s="326"/>
      <c r="AK603" s="326"/>
      <c r="AL603" s="326"/>
      <c r="AM603" s="326"/>
    </row>
    <row r="604" spans="1:39" ht="25.5" x14ac:dyDescent="0.25">
      <c r="A604" s="232">
        <f t="shared" si="311"/>
        <v>604</v>
      </c>
      <c r="B604" s="232"/>
      <c r="C604" s="307" t="str">
        <f t="shared" si="333"/>
        <v>15.18</v>
      </c>
      <c r="D604" s="308">
        <f t="shared" si="334"/>
        <v>2</v>
      </c>
      <c r="E604" s="309" t="str">
        <f t="shared" si="335"/>
        <v>15.18.2</v>
      </c>
      <c r="F604" s="310">
        <v>91940</v>
      </c>
      <c r="G604" s="311" t="str">
        <f>IF($F604="","",IFERROR(VLOOKUP($F604,SERVIÇOS!$B:$G,2,0),IFERROR(VLOOKUP($F604,'COMPOSIÇÕES COMPLEMENTARES '!$D:$L,2,0),IFERROR(VLOOKUP($F604,INSUMOS!$A:$D,2,0),""))))</f>
        <v>CAIXA RETANGULAR 4" X 2" MÉDIA (1,30 M DO PISO), PVC, INSTALADA EM PAREDE - FORNECIMENTO E INSTALAÇÃO. AF_03/2023</v>
      </c>
      <c r="H604" s="312" t="str">
        <f>IF($F604="","",IFERROR(VLOOKUP($F604,SERVIÇOS!$B:$G,3,0),IFERROR(VLOOKUP($F604,'COMPOSIÇÕES COMPLEMENTARES '!$D:$L,3,0),IFERROR(VLOOKUP($F604,INSUMOS!$A:$D,3,0),""))))</f>
        <v>UN</v>
      </c>
      <c r="I604" s="313">
        <v>7</v>
      </c>
      <c r="J604" s="314">
        <f>IF($F604="","",IFERROR(VLOOKUP($F604,SERVIÇOS!$B:$G,4,0),IFERROR(VLOOKUP($F604,'COMPOSIÇÕES COMPLEMENTARES '!$D:$L,6,0),IFERROR(VLOOKUP($F604,INSUMOS!$A:$D,4,0),""))))</f>
        <v>9.7799999999999994</v>
      </c>
      <c r="K604" s="314">
        <f>IF($F604="","",IFERROR(VLOOKUP($F604,SERVIÇOS!$B:$G,5,0),IFERROR(VLOOKUP($F604,'COMPOSIÇÕES COMPLEMENTARES '!$D:$L,7,0),0)))</f>
        <v>14.56</v>
      </c>
      <c r="L604" s="314">
        <f t="shared" si="336"/>
        <v>24.34</v>
      </c>
      <c r="M604" s="314">
        <f t="shared" si="337"/>
        <v>68.459999999999994</v>
      </c>
      <c r="N604" s="314">
        <f t="shared" si="338"/>
        <v>101.92</v>
      </c>
      <c r="O604" s="314">
        <f t="shared" si="339"/>
        <v>170.38</v>
      </c>
      <c r="P604" s="314"/>
      <c r="Q604" s="315"/>
      <c r="R604" s="315"/>
      <c r="S604" s="286"/>
      <c r="T604" s="287"/>
      <c r="U604" s="288" t="str">
        <f t="shared" si="326"/>
        <v/>
      </c>
      <c r="V604" s="287"/>
      <c r="W604" s="289" t="str">
        <f t="shared" si="327"/>
        <v/>
      </c>
      <c r="X604" s="287"/>
      <c r="Y604" s="290" t="str">
        <f t="shared" si="328"/>
        <v/>
      </c>
      <c r="Z604" s="291">
        <f ca="1">SUMIF($T$8:Y$1018,"QUANT.",T604:Y604)</f>
        <v>0</v>
      </c>
      <c r="AA604" s="292">
        <f t="shared" ca="1" si="329"/>
        <v>0</v>
      </c>
      <c r="AB604" s="293" t="str">
        <f t="shared" ca="1" si="330"/>
        <v>MEDIR</v>
      </c>
      <c r="AC604" s="294">
        <f t="shared" ca="1" si="331"/>
        <v>7</v>
      </c>
      <c r="AD604" s="294">
        <f t="shared" ca="1" si="332"/>
        <v>170.38</v>
      </c>
      <c r="AE604" s="295"/>
      <c r="AF604" s="295"/>
      <c r="AG604" s="296"/>
      <c r="AH604" s="296"/>
      <c r="AI604" s="296"/>
      <c r="AJ604" s="326"/>
      <c r="AK604" s="326"/>
      <c r="AL604" s="326"/>
      <c r="AM604" s="326"/>
    </row>
    <row r="605" spans="1:39" ht="38.25" x14ac:dyDescent="0.25">
      <c r="A605" s="232">
        <f t="shared" si="311"/>
        <v>605</v>
      </c>
      <c r="B605" s="232"/>
      <c r="C605" s="307" t="str">
        <f t="shared" si="333"/>
        <v>15.18</v>
      </c>
      <c r="D605" s="308">
        <f t="shared" si="334"/>
        <v>3</v>
      </c>
      <c r="E605" s="309" t="str">
        <f t="shared" si="335"/>
        <v>15.18.3</v>
      </c>
      <c r="F605" s="310" t="s">
        <v>12282</v>
      </c>
      <c r="G605" s="311" t="str">
        <f>IF($F605="","",IFERROR(VLOOKUP($F605,SERVIÇOS!$B:$G,2,0),IFERROR(VLOOKUP($F605,'COMPOSIÇÕES COMPLEMENTARES '!$D:$L,2,0),IFERROR(VLOOKUP($F605,INSUMOS!$A:$D,2,0),""))))</f>
        <v>LEITO PARA CABOS TIPO MÉDIO GALVANIZADO A FOGO, COM TAMPA 2 AGUAS. DIMENSÕES: 300MM (LARGURA) X 100MM (ALTURA) X 3000MM (COMPRIMENTO DA BARRA) - INCLUSO SUPORTE DE FIXAÇÃO NO PISO</v>
      </c>
      <c r="H605" s="312" t="str">
        <f>IF($F605="","",IFERROR(VLOOKUP($F605,SERVIÇOS!$B:$G,3,0),IFERROR(VLOOKUP($F605,'COMPOSIÇÕES COMPLEMENTARES '!$D:$L,3,0),IFERROR(VLOOKUP($F605,INSUMOS!$A:$D,3,0),""))))</f>
        <v>M</v>
      </c>
      <c r="I605" s="313">
        <v>21</v>
      </c>
      <c r="J605" s="314">
        <f>IF($F605="","",IFERROR(VLOOKUP($F605,SERVIÇOS!$B:$G,4,0),IFERROR(VLOOKUP($F605,'COMPOSIÇÕES COMPLEMENTARES '!$D:$L,6,0),IFERROR(VLOOKUP($F605,INSUMOS!$A:$D,4,0),""))))</f>
        <v>300.02</v>
      </c>
      <c r="K605" s="314">
        <f>IF($F605="","",IFERROR(VLOOKUP($F605,SERVIÇOS!$B:$G,5,0),IFERROR(VLOOKUP($F605,'COMPOSIÇÕES COMPLEMENTARES '!$D:$L,7,0),0)))</f>
        <v>14.85</v>
      </c>
      <c r="L605" s="314">
        <f t="shared" si="336"/>
        <v>314.87</v>
      </c>
      <c r="M605" s="314">
        <f t="shared" si="337"/>
        <v>6300.42</v>
      </c>
      <c r="N605" s="314">
        <f t="shared" si="338"/>
        <v>311.85000000000002</v>
      </c>
      <c r="O605" s="314">
        <f t="shared" si="339"/>
        <v>6612.27</v>
      </c>
      <c r="P605" s="314"/>
      <c r="Q605" s="315"/>
      <c r="R605" s="315"/>
      <c r="S605" s="286"/>
      <c r="T605" s="287"/>
      <c r="U605" s="288" t="str">
        <f t="shared" si="326"/>
        <v/>
      </c>
      <c r="V605" s="287"/>
      <c r="W605" s="289" t="str">
        <f t="shared" si="327"/>
        <v/>
      </c>
      <c r="X605" s="287"/>
      <c r="Y605" s="290" t="str">
        <f t="shared" si="328"/>
        <v/>
      </c>
      <c r="Z605" s="291">
        <f ca="1">SUMIF($T$8:Y$1018,"QUANT.",T605:Y605)</f>
        <v>0</v>
      </c>
      <c r="AA605" s="292">
        <f t="shared" ca="1" si="329"/>
        <v>0</v>
      </c>
      <c r="AB605" s="293" t="str">
        <f t="shared" ca="1" si="330"/>
        <v>MEDIR</v>
      </c>
      <c r="AC605" s="294">
        <f t="shared" ca="1" si="331"/>
        <v>21</v>
      </c>
      <c r="AD605" s="294">
        <f t="shared" ca="1" si="332"/>
        <v>6612.27</v>
      </c>
      <c r="AE605" s="295"/>
      <c r="AF605" s="295"/>
      <c r="AG605" s="296"/>
      <c r="AH605" s="296"/>
      <c r="AI605" s="296"/>
      <c r="AJ605" s="326"/>
      <c r="AK605" s="326"/>
      <c r="AL605" s="326"/>
      <c r="AM605" s="326"/>
    </row>
    <row r="606" spans="1:39" ht="25.5" x14ac:dyDescent="0.25">
      <c r="A606" s="232">
        <f t="shared" si="311"/>
        <v>606</v>
      </c>
      <c r="B606" s="232"/>
      <c r="C606" s="307" t="str">
        <f t="shared" si="333"/>
        <v>15.18</v>
      </c>
      <c r="D606" s="308">
        <f t="shared" si="334"/>
        <v>4</v>
      </c>
      <c r="E606" s="309" t="str">
        <f t="shared" si="335"/>
        <v>15.18.4</v>
      </c>
      <c r="F606" s="310" t="s">
        <v>12283</v>
      </c>
      <c r="G606" s="311" t="str">
        <f>IF($F606="","",IFERROR(VLOOKUP($F606,SERVIÇOS!$B:$G,2,0),IFERROR(VLOOKUP($F606,'COMPOSIÇÕES COMPLEMENTARES '!$D:$L,2,0),IFERROR(VLOOKUP($F606,INSUMOS!$A:$D,2,0),""))))</f>
        <v>LEITO PARA CABOS TIPO PESADO GALVANIZADO A FOGO. DIMENSÕES: 200MM (LARGURA) X 100MM (ALTURA) X 3000MM (COMPRIMENTO DA BARRA)</v>
      </c>
      <c r="H606" s="312" t="str">
        <f>IF($F606="","",IFERROR(VLOOKUP($F606,SERVIÇOS!$B:$G,3,0),IFERROR(VLOOKUP($F606,'COMPOSIÇÕES COMPLEMENTARES '!$D:$L,3,0),IFERROR(VLOOKUP($F606,INSUMOS!$A:$D,3,0),""))))</f>
        <v>M</v>
      </c>
      <c r="I606" s="313">
        <v>24</v>
      </c>
      <c r="J606" s="314">
        <f>IF($F606="","",IFERROR(VLOOKUP($F606,SERVIÇOS!$B:$G,4,0),IFERROR(VLOOKUP($F606,'COMPOSIÇÕES COMPLEMENTARES '!$D:$L,6,0),IFERROR(VLOOKUP($F606,INSUMOS!$A:$D,4,0),""))))</f>
        <v>115.88</v>
      </c>
      <c r="K606" s="314">
        <f>IF($F606="","",IFERROR(VLOOKUP($F606,SERVIÇOS!$B:$G,5,0),IFERROR(VLOOKUP($F606,'COMPOSIÇÕES COMPLEMENTARES '!$D:$L,7,0),0)))</f>
        <v>14.85</v>
      </c>
      <c r="L606" s="314">
        <f t="shared" si="336"/>
        <v>130.72999999999999</v>
      </c>
      <c r="M606" s="314">
        <f t="shared" si="337"/>
        <v>2781.12</v>
      </c>
      <c r="N606" s="314">
        <f t="shared" si="338"/>
        <v>356.4</v>
      </c>
      <c r="O606" s="314">
        <f t="shared" si="339"/>
        <v>3137.52</v>
      </c>
      <c r="P606" s="314"/>
      <c r="Q606" s="315"/>
      <c r="R606" s="315"/>
      <c r="S606" s="286"/>
      <c r="T606" s="287"/>
      <c r="U606" s="288" t="str">
        <f t="shared" si="326"/>
        <v/>
      </c>
      <c r="V606" s="287"/>
      <c r="W606" s="289" t="str">
        <f t="shared" si="327"/>
        <v/>
      </c>
      <c r="X606" s="287"/>
      <c r="Y606" s="290" t="str">
        <f t="shared" si="328"/>
        <v/>
      </c>
      <c r="Z606" s="291">
        <f ca="1">SUMIF($T$8:Y$1018,"QUANT.",T606:Y606)</f>
        <v>0</v>
      </c>
      <c r="AA606" s="292">
        <f t="shared" ca="1" si="329"/>
        <v>0</v>
      </c>
      <c r="AB606" s="293" t="str">
        <f t="shared" ca="1" si="330"/>
        <v>MEDIR</v>
      </c>
      <c r="AC606" s="294">
        <f t="shared" ca="1" si="331"/>
        <v>24</v>
      </c>
      <c r="AD606" s="294">
        <f t="shared" ca="1" si="332"/>
        <v>3137.52</v>
      </c>
      <c r="AE606" s="295"/>
      <c r="AF606" s="295"/>
      <c r="AG606" s="296"/>
      <c r="AH606" s="296"/>
      <c r="AI606" s="296"/>
      <c r="AJ606" s="326"/>
      <c r="AK606" s="326"/>
      <c r="AL606" s="326"/>
      <c r="AM606" s="326"/>
    </row>
    <row r="607" spans="1:39" x14ac:dyDescent="0.25">
      <c r="A607" s="232">
        <f t="shared" si="311"/>
        <v>607</v>
      </c>
      <c r="B607" s="232"/>
      <c r="C607" s="307" t="str">
        <f t="shared" si="333"/>
        <v>15.18</v>
      </c>
      <c r="D607" s="308">
        <f t="shared" si="334"/>
        <v>5</v>
      </c>
      <c r="E607" s="309" t="str">
        <f t="shared" si="335"/>
        <v>15.18.5</v>
      </c>
      <c r="F607" s="310" t="s">
        <v>12284</v>
      </c>
      <c r="G607" s="311" t="str">
        <f>IF($F607="","",IFERROR(VLOOKUP($F607,SERVIÇOS!$B:$G,2,0),IFERROR(VLOOKUP($F607,'COMPOSIÇÕES COMPLEMENTARES '!$D:$L,2,0),IFERROR(VLOOKUP($F607,INSUMOS!$A:$D,2,0),""))))</f>
        <v>ELETROCALHA PERFURADA 300X100X3000MM - CH 18, INCLUSO CONEXÕES E SUPORTES DE FIXAÇÃO</v>
      </c>
      <c r="H607" s="312" t="str">
        <f>IF($F607="","",IFERROR(VLOOKUP($F607,SERVIÇOS!$B:$G,3,0),IFERROR(VLOOKUP($F607,'COMPOSIÇÕES COMPLEMENTARES '!$D:$L,3,0),IFERROR(VLOOKUP($F607,INSUMOS!$A:$D,3,0),""))))</f>
        <v>M</v>
      </c>
      <c r="I607" s="313">
        <v>9</v>
      </c>
      <c r="J607" s="314">
        <f>IF($F607="","",IFERROR(VLOOKUP($F607,SERVIÇOS!$B:$G,4,0),IFERROR(VLOOKUP($F607,'COMPOSIÇÕES COMPLEMENTARES '!$D:$L,6,0),IFERROR(VLOOKUP($F607,INSUMOS!$A:$D,4,0),""))))</f>
        <v>258.89</v>
      </c>
      <c r="K607" s="314">
        <f>IF($F607="","",IFERROR(VLOOKUP($F607,SERVIÇOS!$B:$G,5,0),IFERROR(VLOOKUP($F607,'COMPOSIÇÕES COMPLEMENTARES '!$D:$L,7,0),0)))</f>
        <v>56.37</v>
      </c>
      <c r="L607" s="314">
        <f t="shared" si="336"/>
        <v>315.26</v>
      </c>
      <c r="M607" s="314">
        <f t="shared" si="337"/>
        <v>2330.0100000000002</v>
      </c>
      <c r="N607" s="314">
        <f t="shared" si="338"/>
        <v>507.33</v>
      </c>
      <c r="O607" s="314">
        <f t="shared" si="339"/>
        <v>2837.34</v>
      </c>
      <c r="P607" s="314"/>
      <c r="Q607" s="315"/>
      <c r="R607" s="315"/>
      <c r="S607" s="286"/>
      <c r="T607" s="287"/>
      <c r="U607" s="288" t="str">
        <f t="shared" si="326"/>
        <v/>
      </c>
      <c r="V607" s="287"/>
      <c r="W607" s="289" t="str">
        <f t="shared" si="327"/>
        <v/>
      </c>
      <c r="X607" s="287"/>
      <c r="Y607" s="290" t="str">
        <f t="shared" si="328"/>
        <v/>
      </c>
      <c r="Z607" s="291">
        <f ca="1">SUMIF($T$8:Y$1018,"QUANT.",T607:Y607)</f>
        <v>0</v>
      </c>
      <c r="AA607" s="292">
        <f t="shared" ca="1" si="329"/>
        <v>0</v>
      </c>
      <c r="AB607" s="293" t="str">
        <f t="shared" ca="1" si="330"/>
        <v>MEDIR</v>
      </c>
      <c r="AC607" s="294">
        <f t="shared" ca="1" si="331"/>
        <v>9</v>
      </c>
      <c r="AD607" s="294">
        <f t="shared" ca="1" si="332"/>
        <v>2837.34</v>
      </c>
      <c r="AE607" s="295"/>
      <c r="AF607" s="295"/>
      <c r="AG607" s="296"/>
      <c r="AH607" s="296"/>
      <c r="AI607" s="296"/>
      <c r="AJ607" s="326"/>
      <c r="AK607" s="326"/>
      <c r="AL607" s="326"/>
      <c r="AM607" s="326"/>
    </row>
    <row r="608" spans="1:39" ht="25.5" x14ac:dyDescent="0.25">
      <c r="A608" s="232">
        <f t="shared" si="311"/>
        <v>608</v>
      </c>
      <c r="B608" s="232"/>
      <c r="C608" s="307" t="str">
        <f t="shared" si="333"/>
        <v>15.18</v>
      </c>
      <c r="D608" s="308">
        <f t="shared" si="334"/>
        <v>6</v>
      </c>
      <c r="E608" s="309" t="str">
        <f t="shared" si="335"/>
        <v>15.18.6</v>
      </c>
      <c r="F608" s="310" t="s">
        <v>12285</v>
      </c>
      <c r="G608" s="311" t="str">
        <f>IF($F608="","",IFERROR(VLOOKUP($F608,SERVIÇOS!$B:$G,2,0),IFERROR(VLOOKUP($F608,'COMPOSIÇÕES COMPLEMENTARES '!$D:$L,2,0),IFERROR(VLOOKUP($F608,INSUMOS!$A:$D,2,0),""))))</f>
        <v>ELETROCALHA PERFURADA 200X100X3000MM - CH 18 COM TAMPA, INCLUSO CONEXÕES E SUPORTE PARA FIXAÇÃO</v>
      </c>
      <c r="H608" s="312" t="str">
        <f>IF($F608="","",IFERROR(VLOOKUP($F608,SERVIÇOS!$B:$G,3,0),IFERROR(VLOOKUP($F608,'COMPOSIÇÕES COMPLEMENTARES '!$D:$L,3,0),IFERROR(VLOOKUP($F608,INSUMOS!$A:$D,3,0),""))))</f>
        <v>M</v>
      </c>
      <c r="I608" s="313">
        <v>21</v>
      </c>
      <c r="J608" s="314">
        <f>IF($F608="","",IFERROR(VLOOKUP($F608,SERVIÇOS!$B:$G,4,0),IFERROR(VLOOKUP($F608,'COMPOSIÇÕES COMPLEMENTARES '!$D:$L,6,0),IFERROR(VLOOKUP($F608,INSUMOS!$A:$D,4,0),""))))</f>
        <v>171.96</v>
      </c>
      <c r="K608" s="314">
        <f>IF($F608="","",IFERROR(VLOOKUP($F608,SERVIÇOS!$B:$G,5,0),IFERROR(VLOOKUP($F608,'COMPOSIÇÕES COMPLEMENTARES '!$D:$L,7,0),0)))</f>
        <v>31.55</v>
      </c>
      <c r="L608" s="314">
        <f t="shared" si="336"/>
        <v>203.51000000000002</v>
      </c>
      <c r="M608" s="314">
        <f t="shared" si="337"/>
        <v>3611.16</v>
      </c>
      <c r="N608" s="314">
        <f t="shared" si="338"/>
        <v>662.55</v>
      </c>
      <c r="O608" s="314">
        <f t="shared" si="339"/>
        <v>4273.71</v>
      </c>
      <c r="P608" s="314"/>
      <c r="Q608" s="315"/>
      <c r="R608" s="315"/>
      <c r="S608" s="286"/>
      <c r="T608" s="287"/>
      <c r="U608" s="288" t="str">
        <f t="shared" si="326"/>
        <v/>
      </c>
      <c r="V608" s="287"/>
      <c r="W608" s="289" t="str">
        <f t="shared" si="327"/>
        <v/>
      </c>
      <c r="X608" s="287"/>
      <c r="Y608" s="290" t="str">
        <f t="shared" si="328"/>
        <v/>
      </c>
      <c r="Z608" s="291">
        <f ca="1">SUMIF($T$8:Y$1018,"QUANT.",T608:Y608)</f>
        <v>0</v>
      </c>
      <c r="AA608" s="292">
        <f t="shared" ca="1" si="329"/>
        <v>0</v>
      </c>
      <c r="AB608" s="293" t="str">
        <f t="shared" ca="1" si="330"/>
        <v>MEDIR</v>
      </c>
      <c r="AC608" s="294">
        <f t="shared" ca="1" si="331"/>
        <v>21</v>
      </c>
      <c r="AD608" s="294">
        <f t="shared" ca="1" si="332"/>
        <v>4273.71</v>
      </c>
      <c r="AE608" s="295"/>
      <c r="AF608" s="295"/>
      <c r="AG608" s="296"/>
      <c r="AH608" s="296"/>
      <c r="AI608" s="296"/>
      <c r="AJ608" s="326"/>
      <c r="AK608" s="326"/>
      <c r="AL608" s="326"/>
      <c r="AM608" s="326"/>
    </row>
    <row r="609" spans="1:39" ht="25.5" x14ac:dyDescent="0.25">
      <c r="A609" s="232">
        <f t="shared" si="311"/>
        <v>609</v>
      </c>
      <c r="B609" s="232"/>
      <c r="C609" s="307" t="str">
        <f t="shared" si="333"/>
        <v>15.18</v>
      </c>
      <c r="D609" s="308">
        <f t="shared" si="334"/>
        <v>7</v>
      </c>
      <c r="E609" s="309" t="str">
        <f t="shared" si="335"/>
        <v>15.18.7</v>
      </c>
      <c r="F609" s="310" t="s">
        <v>12217</v>
      </c>
      <c r="G609" s="311" t="str">
        <f>IF($F609="","",IFERROR(VLOOKUP($F609,SERVIÇOS!$B:$G,2,0),IFERROR(VLOOKUP($F609,'COMPOSIÇÕES COMPLEMENTARES '!$D:$L,2,0),IFERROR(VLOOKUP($F609,INSUMOS!$A:$D,2,0),""))))</f>
        <v>ELETRODUTO RÍGIDO ROSCÁVEL, PVC, DN 25 MM (3/4"), INCLUSO CONEXÕES E ACESSÓRIOS, INSTALAÇÃO APARENTE - FORNECIMENTO E INSTALAÇÃO</v>
      </c>
      <c r="H609" s="312" t="str">
        <f>IF($F609="","",IFERROR(VLOOKUP($F609,SERVIÇOS!$B:$G,3,0),IFERROR(VLOOKUP($F609,'COMPOSIÇÕES COMPLEMENTARES '!$D:$L,3,0),IFERROR(VLOOKUP($F609,INSUMOS!$A:$D,3,0),""))))</f>
        <v>M</v>
      </c>
      <c r="I609" s="313">
        <v>50</v>
      </c>
      <c r="J609" s="314">
        <f>IF($F609="","",IFERROR(VLOOKUP($F609,SERVIÇOS!$B:$G,4,0),IFERROR(VLOOKUP($F609,'COMPOSIÇÕES COMPLEMENTARES '!$D:$L,6,0),IFERROR(VLOOKUP($F609,INSUMOS!$A:$D,4,0),""))))</f>
        <v>14.79</v>
      </c>
      <c r="K609" s="314">
        <f>IF($F609="","",IFERROR(VLOOKUP($F609,SERVIÇOS!$B:$G,5,0),IFERROR(VLOOKUP($F609,'COMPOSIÇÕES COMPLEMENTARES '!$D:$L,7,0),0)))</f>
        <v>8.75</v>
      </c>
      <c r="L609" s="314">
        <f t="shared" si="336"/>
        <v>23.54</v>
      </c>
      <c r="M609" s="314">
        <f t="shared" si="337"/>
        <v>739.5</v>
      </c>
      <c r="N609" s="314">
        <f t="shared" si="338"/>
        <v>437.5</v>
      </c>
      <c r="O609" s="314">
        <f t="shared" si="339"/>
        <v>1177</v>
      </c>
      <c r="P609" s="314"/>
      <c r="Q609" s="315"/>
      <c r="R609" s="315"/>
      <c r="S609" s="286"/>
      <c r="T609" s="287"/>
      <c r="U609" s="288" t="str">
        <f t="shared" si="326"/>
        <v/>
      </c>
      <c r="V609" s="287"/>
      <c r="W609" s="289" t="str">
        <f t="shared" si="327"/>
        <v/>
      </c>
      <c r="X609" s="287"/>
      <c r="Y609" s="290" t="str">
        <f t="shared" si="328"/>
        <v/>
      </c>
      <c r="Z609" s="291">
        <f ca="1">SUMIF($T$8:Y$1018,"QUANT.",T609:Y609)</f>
        <v>0</v>
      </c>
      <c r="AA609" s="292">
        <f t="shared" ca="1" si="329"/>
        <v>0</v>
      </c>
      <c r="AB609" s="293" t="str">
        <f t="shared" ca="1" si="330"/>
        <v>MEDIR</v>
      </c>
      <c r="AC609" s="294">
        <f t="shared" ca="1" si="331"/>
        <v>50</v>
      </c>
      <c r="AD609" s="294">
        <f t="shared" ca="1" si="332"/>
        <v>1177</v>
      </c>
      <c r="AE609" s="295"/>
      <c r="AF609" s="295"/>
      <c r="AG609" s="296"/>
      <c r="AH609" s="296"/>
      <c r="AI609" s="296"/>
      <c r="AJ609" s="326"/>
      <c r="AK609" s="326"/>
      <c r="AL609" s="326"/>
      <c r="AM609" s="326"/>
    </row>
    <row r="610" spans="1:39" ht="25.5" x14ac:dyDescent="0.25">
      <c r="A610" s="232">
        <f t="shared" si="311"/>
        <v>610</v>
      </c>
      <c r="B610" s="232"/>
      <c r="C610" s="307" t="str">
        <f t="shared" si="333"/>
        <v>15.18</v>
      </c>
      <c r="D610" s="308">
        <f t="shared" si="334"/>
        <v>8</v>
      </c>
      <c r="E610" s="309" t="str">
        <f t="shared" si="335"/>
        <v>15.18.8</v>
      </c>
      <c r="F610" s="310" t="s">
        <v>12218</v>
      </c>
      <c r="G610" s="311" t="str">
        <f>IF($F610="","",IFERROR(VLOOKUP($F610,SERVIÇOS!$B:$G,2,0),IFERROR(VLOOKUP($F610,'COMPOSIÇÕES COMPLEMENTARES '!$D:$L,2,0),IFERROR(VLOOKUP($F610,INSUMOS!$A:$D,2,0),""))))</f>
        <v>ELETRODUTO RÍGIDO ROSCÁVEL, PVC, DN 25 MM (3/4"), INCLUSO CONEXÕES - FORNECIMENTO E INSTALAÇÃO</v>
      </c>
      <c r="H610" s="312" t="str">
        <f>IF($F610="","",IFERROR(VLOOKUP($F610,SERVIÇOS!$B:$G,3,0),IFERROR(VLOOKUP($F610,'COMPOSIÇÕES COMPLEMENTARES '!$D:$L,3,0),IFERROR(VLOOKUP($F610,INSUMOS!$A:$D,3,0),""))))</f>
        <v>M</v>
      </c>
      <c r="I610" s="313">
        <v>50</v>
      </c>
      <c r="J610" s="314">
        <f>IF($F610="","",IFERROR(VLOOKUP($F610,SERVIÇOS!$B:$G,4,0),IFERROR(VLOOKUP($F610,'COMPOSIÇÕES COMPLEMENTARES '!$D:$L,6,0),IFERROR(VLOOKUP($F610,INSUMOS!$A:$D,4,0),""))))</f>
        <v>9.18</v>
      </c>
      <c r="K610" s="314">
        <f>IF($F610="","",IFERROR(VLOOKUP($F610,SERVIÇOS!$B:$G,5,0),IFERROR(VLOOKUP($F610,'COMPOSIÇÕES COMPLEMENTARES '!$D:$L,7,0),0)))</f>
        <v>4.1500000000000004</v>
      </c>
      <c r="L610" s="314">
        <f t="shared" si="336"/>
        <v>13.33</v>
      </c>
      <c r="M610" s="314">
        <f t="shared" si="337"/>
        <v>459</v>
      </c>
      <c r="N610" s="314">
        <f t="shared" si="338"/>
        <v>207.5</v>
      </c>
      <c r="O610" s="314">
        <f t="shared" si="339"/>
        <v>666.5</v>
      </c>
      <c r="P610" s="314"/>
      <c r="Q610" s="315"/>
      <c r="R610" s="315"/>
      <c r="S610" s="286"/>
      <c r="T610" s="287"/>
      <c r="U610" s="288" t="str">
        <f t="shared" si="326"/>
        <v/>
      </c>
      <c r="V610" s="287"/>
      <c r="W610" s="289" t="str">
        <f t="shared" si="327"/>
        <v/>
      </c>
      <c r="X610" s="287"/>
      <c r="Y610" s="290" t="str">
        <f t="shared" si="328"/>
        <v/>
      </c>
      <c r="Z610" s="291">
        <f ca="1">SUMIF($T$8:Y$1018,"QUANT.",T610:Y610)</f>
        <v>0</v>
      </c>
      <c r="AA610" s="292">
        <f t="shared" ca="1" si="329"/>
        <v>0</v>
      </c>
      <c r="AB610" s="293" t="str">
        <f t="shared" ca="1" si="330"/>
        <v>MEDIR</v>
      </c>
      <c r="AC610" s="294">
        <f t="shared" ca="1" si="331"/>
        <v>50</v>
      </c>
      <c r="AD610" s="294">
        <f t="shared" ca="1" si="332"/>
        <v>666.5</v>
      </c>
      <c r="AE610" s="295"/>
      <c r="AF610" s="295"/>
      <c r="AG610" s="296"/>
      <c r="AH610" s="296"/>
      <c r="AI610" s="296"/>
      <c r="AJ610" s="326"/>
      <c r="AK610" s="326"/>
      <c r="AL610" s="326"/>
      <c r="AM610" s="326"/>
    </row>
    <row r="611" spans="1:39" x14ac:dyDescent="0.25">
      <c r="A611" s="232">
        <f t="shared" si="311"/>
        <v>611</v>
      </c>
      <c r="B611" s="232"/>
      <c r="C611" s="307" t="str">
        <f t="shared" si="333"/>
        <v>15.18</v>
      </c>
      <c r="D611" s="308">
        <f t="shared" si="334"/>
        <v>9</v>
      </c>
      <c r="E611" s="309" t="str">
        <f t="shared" si="335"/>
        <v>15.18.9</v>
      </c>
      <c r="F611" s="310" t="s">
        <v>12220</v>
      </c>
      <c r="G611" s="311" t="str">
        <f>IF($F611="","",IFERROR(VLOOKUP($F611,SERVIÇOS!$B:$G,2,0),IFERROR(VLOOKUP($F611,'COMPOSIÇÕES COMPLEMENTARES '!$D:$L,2,0),IFERROR(VLOOKUP($F611,INSUMOS!$A:$D,2,0),""))))</f>
        <v>ELETRODUTO RÍGIDO ROSCÁVEL, PVC, DN 32 MM (1"), INCLUSO CONEXÕES - FORNECIMENTO E INSTALAÇÃO</v>
      </c>
      <c r="H611" s="312" t="str">
        <f>IF($F611="","",IFERROR(VLOOKUP($F611,SERVIÇOS!$B:$G,3,0),IFERROR(VLOOKUP($F611,'COMPOSIÇÕES COMPLEMENTARES '!$D:$L,3,0),IFERROR(VLOOKUP($F611,INSUMOS!$A:$D,3,0),""))))</f>
        <v>M</v>
      </c>
      <c r="I611" s="313">
        <v>5</v>
      </c>
      <c r="J611" s="314">
        <f>IF($F611="","",IFERROR(VLOOKUP($F611,SERVIÇOS!$B:$G,4,0),IFERROR(VLOOKUP($F611,'COMPOSIÇÕES COMPLEMENTARES '!$D:$L,6,0),IFERROR(VLOOKUP($F611,INSUMOS!$A:$D,4,0),""))))</f>
        <v>20.07</v>
      </c>
      <c r="K611" s="314">
        <f>IF($F611="","",IFERROR(VLOOKUP($F611,SERVIÇOS!$B:$G,5,0),IFERROR(VLOOKUP($F611,'COMPOSIÇÕES COMPLEMENTARES '!$D:$L,7,0),0)))</f>
        <v>12.07</v>
      </c>
      <c r="L611" s="314">
        <f t="shared" si="336"/>
        <v>32.14</v>
      </c>
      <c r="M611" s="314">
        <f t="shared" si="337"/>
        <v>100.35</v>
      </c>
      <c r="N611" s="314">
        <f t="shared" si="338"/>
        <v>60.35</v>
      </c>
      <c r="O611" s="314">
        <f t="shared" si="339"/>
        <v>160.69999999999999</v>
      </c>
      <c r="P611" s="314"/>
      <c r="Q611" s="315"/>
      <c r="R611" s="315"/>
      <c r="S611" s="286"/>
      <c r="T611" s="287"/>
      <c r="U611" s="288" t="str">
        <f t="shared" si="326"/>
        <v/>
      </c>
      <c r="V611" s="287"/>
      <c r="W611" s="289" t="str">
        <f t="shared" si="327"/>
        <v/>
      </c>
      <c r="X611" s="287"/>
      <c r="Y611" s="290" t="str">
        <f t="shared" si="328"/>
        <v/>
      </c>
      <c r="Z611" s="291">
        <f ca="1">SUMIF($T$8:Y$1018,"QUANT.",T611:Y611)</f>
        <v>0</v>
      </c>
      <c r="AA611" s="292">
        <f t="shared" ca="1" si="329"/>
        <v>0</v>
      </c>
      <c r="AB611" s="293" t="str">
        <f t="shared" ca="1" si="330"/>
        <v>MEDIR</v>
      </c>
      <c r="AC611" s="294">
        <f t="shared" ca="1" si="331"/>
        <v>5</v>
      </c>
      <c r="AD611" s="294">
        <f t="shared" ca="1" si="332"/>
        <v>160.69999999999999</v>
      </c>
      <c r="AE611" s="295"/>
      <c r="AF611" s="295"/>
      <c r="AG611" s="296"/>
      <c r="AH611" s="296"/>
      <c r="AI611" s="296"/>
      <c r="AJ611" s="326"/>
      <c r="AK611" s="326"/>
      <c r="AL611" s="326"/>
      <c r="AM611" s="326"/>
    </row>
    <row r="612" spans="1:39" x14ac:dyDescent="0.25">
      <c r="A612" s="232">
        <f t="shared" si="311"/>
        <v>612</v>
      </c>
      <c r="B612" s="232"/>
      <c r="C612" s="307" t="str">
        <f t="shared" si="333"/>
        <v>15.18</v>
      </c>
      <c r="D612" s="308">
        <f t="shared" si="334"/>
        <v>10</v>
      </c>
      <c r="E612" s="309" t="str">
        <f t="shared" si="335"/>
        <v>15.18.10</v>
      </c>
      <c r="F612" s="310" t="s">
        <v>12286</v>
      </c>
      <c r="G612" s="311" t="str">
        <f>IF($F612="","",IFERROR(VLOOKUP($F612,SERVIÇOS!$B:$G,2,0),IFERROR(VLOOKUP($F612,'COMPOSIÇÕES COMPLEMENTARES '!$D:$L,2,0),IFERROR(VLOOKUP($F612,INSUMOS!$A:$D,2,0),""))))</f>
        <v>ELETRODUTO RÍGIDO ROSCÁVEL, PVC, DN 60 MM (2"), INCLUSO CONEXÕES - FORNECIMENTO E INSTALAÇÃO</v>
      </c>
      <c r="H612" s="312" t="str">
        <f>IF($F612="","",IFERROR(VLOOKUP($F612,SERVIÇOS!$B:$G,3,0),IFERROR(VLOOKUP($F612,'COMPOSIÇÕES COMPLEMENTARES '!$D:$L,3,0),IFERROR(VLOOKUP($F612,INSUMOS!$A:$D,3,0),""))))</f>
        <v>M</v>
      </c>
      <c r="I612" s="313">
        <v>5</v>
      </c>
      <c r="J612" s="314">
        <f>IF($F612="","",IFERROR(VLOOKUP($F612,SERVIÇOS!$B:$G,4,0),IFERROR(VLOOKUP($F612,'COMPOSIÇÕES COMPLEMENTARES '!$D:$L,6,0),IFERROR(VLOOKUP($F612,INSUMOS!$A:$D,4,0),""))))</f>
        <v>33.049999999999997</v>
      </c>
      <c r="K612" s="314">
        <f>IF($F612="","",IFERROR(VLOOKUP($F612,SERVIÇOS!$B:$G,5,0),IFERROR(VLOOKUP($F612,'COMPOSIÇÕES COMPLEMENTARES '!$D:$L,7,0),0)))</f>
        <v>6.38</v>
      </c>
      <c r="L612" s="314">
        <f t="shared" si="336"/>
        <v>39.43</v>
      </c>
      <c r="M612" s="314">
        <f t="shared" si="337"/>
        <v>165.25</v>
      </c>
      <c r="N612" s="314">
        <f t="shared" si="338"/>
        <v>31.9</v>
      </c>
      <c r="O612" s="314">
        <f t="shared" si="339"/>
        <v>197.15</v>
      </c>
      <c r="P612" s="314"/>
      <c r="Q612" s="315"/>
      <c r="R612" s="315"/>
      <c r="S612" s="286"/>
      <c r="T612" s="287"/>
      <c r="U612" s="288" t="str">
        <f t="shared" si="326"/>
        <v/>
      </c>
      <c r="V612" s="287"/>
      <c r="W612" s="289" t="str">
        <f t="shared" si="327"/>
        <v/>
      </c>
      <c r="X612" s="287"/>
      <c r="Y612" s="290" t="str">
        <f t="shared" si="328"/>
        <v/>
      </c>
      <c r="Z612" s="291">
        <f ca="1">SUMIF($T$8:Y$1018,"QUANT.",T612:Y612)</f>
        <v>0</v>
      </c>
      <c r="AA612" s="292">
        <f t="shared" ca="1" si="329"/>
        <v>0</v>
      </c>
      <c r="AB612" s="293" t="str">
        <f t="shared" ca="1" si="330"/>
        <v>MEDIR</v>
      </c>
      <c r="AC612" s="294">
        <f t="shared" ca="1" si="331"/>
        <v>5</v>
      </c>
      <c r="AD612" s="294">
        <f t="shared" ca="1" si="332"/>
        <v>197.15</v>
      </c>
      <c r="AE612" s="295"/>
      <c r="AF612" s="295"/>
      <c r="AG612" s="296"/>
      <c r="AH612" s="296"/>
      <c r="AI612" s="296"/>
      <c r="AJ612" s="326"/>
      <c r="AK612" s="326"/>
      <c r="AL612" s="326"/>
      <c r="AM612" s="326"/>
    </row>
    <row r="613" spans="1:39" x14ac:dyDescent="0.25">
      <c r="A613" s="232">
        <f t="shared" si="311"/>
        <v>613</v>
      </c>
      <c r="B613" s="232"/>
      <c r="C613" s="307" t="str">
        <f t="shared" si="333"/>
        <v>15.18</v>
      </c>
      <c r="D613" s="308">
        <f t="shared" si="334"/>
        <v>11</v>
      </c>
      <c r="E613" s="309" t="str">
        <f t="shared" si="335"/>
        <v>15.18.11</v>
      </c>
      <c r="F613" s="310" t="s">
        <v>12287</v>
      </c>
      <c r="G613" s="311" t="str">
        <f>IF($F613="","",IFERROR(VLOOKUP($F613,SERVIÇOS!$B:$G,2,0),IFERROR(VLOOKUP($F613,'COMPOSIÇÕES COMPLEMENTARES '!$D:$L,2,0),IFERROR(VLOOKUP($F613,INSUMOS!$A:$D,2,0),""))))</f>
        <v xml:space="preserve">ELETRODUTO DE PVC RÍGIDO Ø4" COM CONEXÕES E ACESSÓRIOS DE FIXAÇÃO </v>
      </c>
      <c r="H613" s="312" t="str">
        <f>IF($F613="","",IFERROR(VLOOKUP($F613,SERVIÇOS!$B:$G,3,0),IFERROR(VLOOKUP($F613,'COMPOSIÇÕES COMPLEMENTARES '!$D:$L,3,0),IFERROR(VLOOKUP($F613,INSUMOS!$A:$D,3,0),""))))</f>
        <v>M</v>
      </c>
      <c r="I613" s="313">
        <v>5</v>
      </c>
      <c r="J613" s="314">
        <f>IF($F613="","",IFERROR(VLOOKUP($F613,SERVIÇOS!$B:$G,4,0),IFERROR(VLOOKUP($F613,'COMPOSIÇÕES COMPLEMENTARES '!$D:$L,6,0),IFERROR(VLOOKUP($F613,INSUMOS!$A:$D,4,0),""))))</f>
        <v>118.08</v>
      </c>
      <c r="K613" s="314">
        <f>IF($F613="","",IFERROR(VLOOKUP($F613,SERVIÇOS!$B:$G,5,0),IFERROR(VLOOKUP($F613,'COMPOSIÇÕES COMPLEMENTARES '!$D:$L,7,0),0)))</f>
        <v>14.85</v>
      </c>
      <c r="L613" s="314">
        <f t="shared" si="336"/>
        <v>132.93</v>
      </c>
      <c r="M613" s="314">
        <f t="shared" si="337"/>
        <v>590.4</v>
      </c>
      <c r="N613" s="314">
        <f t="shared" si="338"/>
        <v>74.25</v>
      </c>
      <c r="O613" s="314">
        <f t="shared" si="339"/>
        <v>664.65</v>
      </c>
      <c r="P613" s="314"/>
      <c r="Q613" s="315"/>
      <c r="R613" s="315"/>
      <c r="S613" s="286"/>
      <c r="T613" s="287"/>
      <c r="U613" s="288" t="str">
        <f t="shared" si="326"/>
        <v/>
      </c>
      <c r="V613" s="287"/>
      <c r="W613" s="289" t="str">
        <f t="shared" si="327"/>
        <v/>
      </c>
      <c r="X613" s="287"/>
      <c r="Y613" s="290" t="str">
        <f t="shared" si="328"/>
        <v/>
      </c>
      <c r="Z613" s="291">
        <f ca="1">SUMIF($T$8:Y$1018,"QUANT.",T613:Y613)</f>
        <v>0</v>
      </c>
      <c r="AA613" s="292">
        <f t="shared" ca="1" si="329"/>
        <v>0</v>
      </c>
      <c r="AB613" s="293" t="str">
        <f t="shared" ca="1" si="330"/>
        <v>MEDIR</v>
      </c>
      <c r="AC613" s="294">
        <f t="shared" ca="1" si="331"/>
        <v>5</v>
      </c>
      <c r="AD613" s="294">
        <f t="shared" ca="1" si="332"/>
        <v>664.65</v>
      </c>
      <c r="AE613" s="295"/>
      <c r="AF613" s="295"/>
      <c r="AG613" s="296"/>
      <c r="AH613" s="296"/>
      <c r="AI613" s="296"/>
      <c r="AJ613" s="326"/>
      <c r="AK613" s="326"/>
      <c r="AL613" s="326"/>
      <c r="AM613" s="326"/>
    </row>
    <row r="614" spans="1:39" x14ac:dyDescent="0.25">
      <c r="A614" s="232">
        <f t="shared" si="311"/>
        <v>614</v>
      </c>
      <c r="B614" s="232"/>
      <c r="C614" s="307" t="str">
        <f t="shared" si="333"/>
        <v>15.18</v>
      </c>
      <c r="D614" s="308">
        <f t="shared" si="334"/>
        <v>12</v>
      </c>
      <c r="E614" s="309" t="str">
        <f t="shared" si="335"/>
        <v>15.18.12</v>
      </c>
      <c r="F614" s="310" t="s">
        <v>12221</v>
      </c>
      <c r="G614" s="311" t="str">
        <f>IF($F614="","",IFERROR(VLOOKUP($F614,SERVIÇOS!$B:$G,2,0),IFERROR(VLOOKUP($F614,'COMPOSIÇÕES COMPLEMENTARES '!$D:$L,2,0),IFERROR(VLOOKUP($F614,INSUMOS!$A:$D,2,0),""))))</f>
        <v>CABO FLEXÍVEL ISOL. 750V  -  #2,5MM² - AFUMEX</v>
      </c>
      <c r="H614" s="312" t="str">
        <f>IF($F614="","",IFERROR(VLOOKUP($F614,SERVIÇOS!$B:$G,3,0),IFERROR(VLOOKUP($F614,'COMPOSIÇÕES COMPLEMENTARES '!$D:$L,3,0),IFERROR(VLOOKUP($F614,INSUMOS!$A:$D,3,0),""))))</f>
        <v>M</v>
      </c>
      <c r="I614" s="313">
        <v>200</v>
      </c>
      <c r="J614" s="314">
        <f>IF($F614="","",IFERROR(VLOOKUP($F614,SERVIÇOS!$B:$G,4,0),IFERROR(VLOOKUP($F614,'COMPOSIÇÕES COMPLEMENTARES '!$D:$L,6,0),IFERROR(VLOOKUP($F614,INSUMOS!$A:$D,4,0),""))))</f>
        <v>3.59</v>
      </c>
      <c r="K614" s="314">
        <f>IF($F614="","",IFERROR(VLOOKUP($F614,SERVIÇOS!$B:$G,5,0),IFERROR(VLOOKUP($F614,'COMPOSIÇÕES COMPLEMENTARES '!$D:$L,7,0),0)))</f>
        <v>1.48</v>
      </c>
      <c r="L614" s="314">
        <f t="shared" si="336"/>
        <v>5.07</v>
      </c>
      <c r="M614" s="314">
        <f t="shared" si="337"/>
        <v>718</v>
      </c>
      <c r="N614" s="314">
        <f t="shared" si="338"/>
        <v>296</v>
      </c>
      <c r="O614" s="314">
        <f t="shared" si="339"/>
        <v>1014</v>
      </c>
      <c r="P614" s="314"/>
      <c r="Q614" s="315"/>
      <c r="R614" s="315"/>
      <c r="S614" s="286"/>
      <c r="T614" s="287"/>
      <c r="U614" s="288" t="str">
        <f t="shared" si="326"/>
        <v/>
      </c>
      <c r="V614" s="287"/>
      <c r="W614" s="289" t="str">
        <f t="shared" si="327"/>
        <v/>
      </c>
      <c r="X614" s="287"/>
      <c r="Y614" s="290" t="str">
        <f t="shared" si="328"/>
        <v/>
      </c>
      <c r="Z614" s="291">
        <f ca="1">SUMIF($T$8:Y$1018,"QUANT.",T614:Y614)</f>
        <v>0</v>
      </c>
      <c r="AA614" s="292">
        <f t="shared" ca="1" si="329"/>
        <v>0</v>
      </c>
      <c r="AB614" s="293" t="str">
        <f t="shared" ca="1" si="330"/>
        <v>MEDIR</v>
      </c>
      <c r="AC614" s="294">
        <f t="shared" ca="1" si="331"/>
        <v>200</v>
      </c>
      <c r="AD614" s="294">
        <f t="shared" ca="1" si="332"/>
        <v>1014</v>
      </c>
      <c r="AE614" s="295"/>
      <c r="AF614" s="295"/>
      <c r="AG614" s="296"/>
      <c r="AH614" s="296"/>
      <c r="AI614" s="296"/>
      <c r="AJ614" s="326"/>
      <c r="AK614" s="326"/>
      <c r="AL614" s="326"/>
      <c r="AM614" s="326"/>
    </row>
    <row r="615" spans="1:39" x14ac:dyDescent="0.25">
      <c r="A615" s="232">
        <f t="shared" si="311"/>
        <v>615</v>
      </c>
      <c r="B615" s="232"/>
      <c r="C615" s="307" t="str">
        <f t="shared" si="333"/>
        <v>15.18</v>
      </c>
      <c r="D615" s="308">
        <f t="shared" si="334"/>
        <v>13</v>
      </c>
      <c r="E615" s="309" t="str">
        <f t="shared" si="335"/>
        <v>15.18.13</v>
      </c>
      <c r="F615" s="310" t="s">
        <v>12288</v>
      </c>
      <c r="G615" s="311" t="str">
        <f>IF($F615="","",IFERROR(VLOOKUP($F615,SERVIÇOS!$B:$G,2,0),IFERROR(VLOOKUP($F615,'COMPOSIÇÕES COMPLEMENTARES '!$D:$L,2,0),IFERROR(VLOOKUP($F615,INSUMOS!$A:$D,2,0),""))))</f>
        <v>CABO FLEXÍVEL MULTIPOLAR ISOL. 1KV  - 4X#4,0MM² - AFUMEX (PARA ALIMENTAÇÃO MÁQUINAS DE AR)</v>
      </c>
      <c r="H615" s="312" t="str">
        <f>IF($F615="","",IFERROR(VLOOKUP($F615,SERVIÇOS!$B:$G,3,0),IFERROR(VLOOKUP($F615,'COMPOSIÇÕES COMPLEMENTARES '!$D:$L,3,0),IFERROR(VLOOKUP($F615,INSUMOS!$A:$D,3,0),""))))</f>
        <v>M</v>
      </c>
      <c r="I615" s="313">
        <v>475</v>
      </c>
      <c r="J615" s="314">
        <f>IF($F615="","",IFERROR(VLOOKUP($F615,SERVIÇOS!$B:$G,4,0),IFERROR(VLOOKUP($F615,'COMPOSIÇÕES COMPLEMENTARES '!$D:$L,6,0),IFERROR(VLOOKUP($F615,INSUMOS!$A:$D,4,0),""))))</f>
        <v>19.55</v>
      </c>
      <c r="K615" s="314">
        <f>IF($F615="","",IFERROR(VLOOKUP($F615,SERVIÇOS!$B:$G,5,0),IFERROR(VLOOKUP($F615,'COMPOSIÇÕES COMPLEMENTARES '!$D:$L,7,0),0)))</f>
        <v>1.87</v>
      </c>
      <c r="L615" s="314">
        <f t="shared" si="336"/>
        <v>21.42</v>
      </c>
      <c r="M615" s="314">
        <f t="shared" si="337"/>
        <v>9286.25</v>
      </c>
      <c r="N615" s="314">
        <f t="shared" si="338"/>
        <v>888.25</v>
      </c>
      <c r="O615" s="314">
        <f t="shared" si="339"/>
        <v>10174.5</v>
      </c>
      <c r="P615" s="314"/>
      <c r="Q615" s="315"/>
      <c r="R615" s="315"/>
      <c r="S615" s="286"/>
      <c r="T615" s="287"/>
      <c r="U615" s="288" t="str">
        <f t="shared" si="326"/>
        <v/>
      </c>
      <c r="V615" s="287"/>
      <c r="W615" s="289" t="str">
        <f t="shared" si="327"/>
        <v/>
      </c>
      <c r="X615" s="287"/>
      <c r="Y615" s="290" t="str">
        <f t="shared" si="328"/>
        <v/>
      </c>
      <c r="Z615" s="291">
        <f ca="1">SUMIF($T$8:Y$1018,"QUANT.",T615:Y615)</f>
        <v>0</v>
      </c>
      <c r="AA615" s="292">
        <f t="shared" ca="1" si="329"/>
        <v>0</v>
      </c>
      <c r="AB615" s="293" t="str">
        <f t="shared" ca="1" si="330"/>
        <v>MEDIR</v>
      </c>
      <c r="AC615" s="294">
        <f t="shared" ca="1" si="331"/>
        <v>475</v>
      </c>
      <c r="AD615" s="294">
        <f t="shared" ca="1" si="332"/>
        <v>10174.5</v>
      </c>
      <c r="AE615" s="295"/>
      <c r="AF615" s="295"/>
      <c r="AG615" s="296"/>
      <c r="AH615" s="296"/>
      <c r="AI615" s="296"/>
      <c r="AJ615" s="326"/>
      <c r="AK615" s="326"/>
      <c r="AL615" s="326"/>
      <c r="AM615" s="326"/>
    </row>
    <row r="616" spans="1:39" x14ac:dyDescent="0.25">
      <c r="A616" s="232">
        <f t="shared" si="311"/>
        <v>616</v>
      </c>
      <c r="B616" s="232"/>
      <c r="C616" s="307" t="str">
        <f t="shared" si="333"/>
        <v>15.18</v>
      </c>
      <c r="D616" s="308">
        <f t="shared" si="334"/>
        <v>14</v>
      </c>
      <c r="E616" s="309" t="str">
        <f t="shared" si="335"/>
        <v>15.18.14</v>
      </c>
      <c r="F616" s="310" t="s">
        <v>12289</v>
      </c>
      <c r="G616" s="311" t="str">
        <f>IF($F616="","",IFERROR(VLOOKUP($F616,SERVIÇOS!$B:$G,2,0),IFERROR(VLOOKUP($F616,'COMPOSIÇÕES COMPLEMENTARES '!$D:$L,2,0),IFERROR(VLOOKUP($F616,INSUMOS!$A:$D,2,0),""))))</f>
        <v xml:space="preserve">CABO FLEXÍVEL MULTIPOLAR ISOL. 1KV  - 4X#10MM² - AFUMEX (PARA ALIMENTAÇÃO MÁQUINAS DE AR) </v>
      </c>
      <c r="H616" s="312" t="str">
        <f>IF($F616="","",IFERROR(VLOOKUP($F616,SERVIÇOS!$B:$G,3,0),IFERROR(VLOOKUP($F616,'COMPOSIÇÕES COMPLEMENTARES '!$D:$L,3,0),IFERROR(VLOOKUP($F616,INSUMOS!$A:$D,3,0),""))))</f>
        <v>M</v>
      </c>
      <c r="I616" s="313">
        <v>30</v>
      </c>
      <c r="J616" s="314">
        <f>IF($F616="","",IFERROR(VLOOKUP($F616,SERVIÇOS!$B:$G,4,0),IFERROR(VLOOKUP($F616,'COMPOSIÇÕES COMPLEMENTARES '!$D:$L,6,0),IFERROR(VLOOKUP($F616,INSUMOS!$A:$D,4,0),""))))</f>
        <v>44.17</v>
      </c>
      <c r="K616" s="314">
        <f>IF($F616="","",IFERROR(VLOOKUP($F616,SERVIÇOS!$B:$G,5,0),IFERROR(VLOOKUP($F616,'COMPOSIÇÕES COMPLEMENTARES '!$D:$L,7,0),0)))</f>
        <v>1.87</v>
      </c>
      <c r="L616" s="314">
        <f t="shared" si="336"/>
        <v>46.04</v>
      </c>
      <c r="M616" s="314">
        <f t="shared" si="337"/>
        <v>1325.1</v>
      </c>
      <c r="N616" s="314">
        <f t="shared" si="338"/>
        <v>56.1</v>
      </c>
      <c r="O616" s="314">
        <f t="shared" si="339"/>
        <v>1381.2</v>
      </c>
      <c r="P616" s="314"/>
      <c r="Q616" s="315"/>
      <c r="R616" s="315"/>
      <c r="S616" s="286"/>
      <c r="T616" s="287"/>
      <c r="U616" s="288" t="str">
        <f t="shared" si="326"/>
        <v/>
      </c>
      <c r="V616" s="287"/>
      <c r="W616" s="289" t="str">
        <f t="shared" si="327"/>
        <v/>
      </c>
      <c r="X616" s="287"/>
      <c r="Y616" s="290" t="str">
        <f t="shared" si="328"/>
        <v/>
      </c>
      <c r="Z616" s="291">
        <f ca="1">SUMIF($T$8:Y$1018,"QUANT.",T616:Y616)</f>
        <v>0</v>
      </c>
      <c r="AA616" s="292">
        <f t="shared" ca="1" si="329"/>
        <v>0</v>
      </c>
      <c r="AB616" s="293" t="str">
        <f t="shared" ca="1" si="330"/>
        <v>MEDIR</v>
      </c>
      <c r="AC616" s="294">
        <f t="shared" ca="1" si="331"/>
        <v>30</v>
      </c>
      <c r="AD616" s="294">
        <f t="shared" ca="1" si="332"/>
        <v>1381.2</v>
      </c>
      <c r="AE616" s="295"/>
      <c r="AF616" s="295"/>
      <c r="AG616" s="296"/>
      <c r="AH616" s="296"/>
      <c r="AI616" s="296"/>
      <c r="AJ616" s="326"/>
      <c r="AK616" s="326"/>
      <c r="AL616" s="326"/>
      <c r="AM616" s="326"/>
    </row>
    <row r="617" spans="1:39" x14ac:dyDescent="0.25">
      <c r="A617" s="232">
        <f t="shared" si="311"/>
        <v>617</v>
      </c>
      <c r="B617" s="232"/>
      <c r="C617" s="307" t="str">
        <f t="shared" si="333"/>
        <v>15.18</v>
      </c>
      <c r="D617" s="308">
        <f t="shared" si="334"/>
        <v>15</v>
      </c>
      <c r="E617" s="309" t="str">
        <f t="shared" si="335"/>
        <v>15.18.15</v>
      </c>
      <c r="F617" s="310" t="s">
        <v>12290</v>
      </c>
      <c r="G617" s="311" t="str">
        <f>IF($F617="","",IFERROR(VLOOKUP($F617,SERVIÇOS!$B:$G,2,0),IFERROR(VLOOKUP($F617,'COMPOSIÇÕES COMPLEMENTARES '!$D:$L,2,0),IFERROR(VLOOKUP($F617,INSUMOS!$A:$D,2,0),""))))</f>
        <v>CABO FLEXÍVEL MULTIPOLAR ISOL. 1KV  - 4X#120MM² - AFUMEX (PARA ALIMENTAÇÃO MÁQUINAS DE AR)</v>
      </c>
      <c r="H617" s="312" t="str">
        <f>IF($F617="","",IFERROR(VLOOKUP($F617,SERVIÇOS!$B:$G,3,0),IFERROR(VLOOKUP($F617,'COMPOSIÇÕES COMPLEMENTARES '!$D:$L,3,0),IFERROR(VLOOKUP($F617,INSUMOS!$A:$D,3,0),""))))</f>
        <v>M</v>
      </c>
      <c r="I617" s="313">
        <v>33</v>
      </c>
      <c r="J617" s="314">
        <f>IF($F617="","",IFERROR(VLOOKUP($F617,SERVIÇOS!$B:$G,4,0),IFERROR(VLOOKUP($F617,'COMPOSIÇÕES COMPLEMENTARES '!$D:$L,6,0),IFERROR(VLOOKUP($F617,INSUMOS!$A:$D,4,0),""))))</f>
        <v>487.14</v>
      </c>
      <c r="K617" s="314">
        <f>IF($F617="","",IFERROR(VLOOKUP($F617,SERVIÇOS!$B:$G,5,0),IFERROR(VLOOKUP($F617,'COMPOSIÇÕES COMPLEMENTARES '!$D:$L,7,0),0)))</f>
        <v>49.58</v>
      </c>
      <c r="L617" s="314">
        <f t="shared" si="336"/>
        <v>536.72</v>
      </c>
      <c r="M617" s="314">
        <f t="shared" si="337"/>
        <v>16075.62</v>
      </c>
      <c r="N617" s="314">
        <f t="shared" si="338"/>
        <v>1636.14</v>
      </c>
      <c r="O617" s="314">
        <f t="shared" si="339"/>
        <v>17711.759999999998</v>
      </c>
      <c r="P617" s="314"/>
      <c r="Q617" s="315"/>
      <c r="R617" s="315"/>
      <c r="S617" s="286"/>
      <c r="T617" s="287"/>
      <c r="U617" s="288" t="str">
        <f t="shared" si="326"/>
        <v/>
      </c>
      <c r="V617" s="287"/>
      <c r="W617" s="289" t="str">
        <f t="shared" si="327"/>
        <v/>
      </c>
      <c r="X617" s="287"/>
      <c r="Y617" s="290" t="str">
        <f t="shared" si="328"/>
        <v/>
      </c>
      <c r="Z617" s="291">
        <f ca="1">SUMIF($T$8:Y$1018,"QUANT.",T617:Y617)</f>
        <v>0</v>
      </c>
      <c r="AA617" s="292">
        <f t="shared" ca="1" si="329"/>
        <v>0</v>
      </c>
      <c r="AB617" s="293" t="str">
        <f t="shared" ca="1" si="330"/>
        <v>MEDIR</v>
      </c>
      <c r="AC617" s="294">
        <f t="shared" ca="1" si="331"/>
        <v>33</v>
      </c>
      <c r="AD617" s="294">
        <f t="shared" ca="1" si="332"/>
        <v>17711.759999999998</v>
      </c>
      <c r="AE617" s="295"/>
      <c r="AF617" s="295"/>
      <c r="AG617" s="296"/>
      <c r="AH617" s="296"/>
      <c r="AI617" s="296"/>
      <c r="AJ617" s="326"/>
      <c r="AK617" s="326"/>
      <c r="AL617" s="326"/>
      <c r="AM617" s="326"/>
    </row>
    <row r="618" spans="1:39" x14ac:dyDescent="0.25">
      <c r="A618" s="232">
        <f t="shared" si="311"/>
        <v>618</v>
      </c>
      <c r="B618" s="232"/>
      <c r="C618" s="316" t="str">
        <f>+E618</f>
        <v>15.19</v>
      </c>
      <c r="D618" s="297"/>
      <c r="E618" s="317" t="s">
        <v>12291</v>
      </c>
      <c r="F618" s="317"/>
      <c r="G618" s="318" t="s">
        <v>12292</v>
      </c>
      <c r="H618" s="317"/>
      <c r="I618" s="319"/>
      <c r="J618" s="317"/>
      <c r="K618" s="317"/>
      <c r="L618" s="317"/>
      <c r="M618" s="317"/>
      <c r="N618" s="317"/>
      <c r="O618" s="317"/>
      <c r="P618" s="317"/>
      <c r="Q618" s="320"/>
      <c r="R618" s="306"/>
      <c r="S618" s="286"/>
      <c r="T618" s="287"/>
      <c r="U618" s="288" t="str">
        <f t="shared" si="326"/>
        <v/>
      </c>
      <c r="V618" s="287"/>
      <c r="W618" s="289" t="str">
        <f t="shared" si="327"/>
        <v/>
      </c>
      <c r="X618" s="287"/>
      <c r="Y618" s="290" t="str">
        <f t="shared" si="328"/>
        <v/>
      </c>
      <c r="Z618" s="291">
        <f ca="1">SUMIF($T$8:Y$1018,"QUANT.",T618:Y618)</f>
        <v>0</v>
      </c>
      <c r="AA618" s="292">
        <f t="shared" ca="1" si="329"/>
        <v>0</v>
      </c>
      <c r="AB618" s="293" t="str">
        <f t="shared" si="330"/>
        <v/>
      </c>
      <c r="AC618" s="294">
        <f t="shared" ca="1" si="331"/>
        <v>0</v>
      </c>
      <c r="AD618" s="294">
        <f t="shared" ca="1" si="332"/>
        <v>0</v>
      </c>
      <c r="AE618" s="295"/>
      <c r="AF618" s="295"/>
      <c r="AG618" s="296"/>
      <c r="AH618" s="296"/>
      <c r="AI618" s="296"/>
      <c r="AJ618" s="326"/>
      <c r="AK618" s="326"/>
      <c r="AL618" s="326"/>
      <c r="AM618" s="326"/>
    </row>
    <row r="619" spans="1:39" ht="51" x14ac:dyDescent="0.25">
      <c r="A619" s="232">
        <f t="shared" si="311"/>
        <v>619</v>
      </c>
      <c r="B619" s="232"/>
      <c r="C619" s="307" t="str">
        <f t="shared" ref="C619:C629" si="340">+C618</f>
        <v>15.19</v>
      </c>
      <c r="D619" s="308">
        <f t="shared" ref="D619:D629" si="341">1+D618</f>
        <v>1</v>
      </c>
      <c r="E619" s="309" t="str">
        <f t="shared" ref="E619:E629" si="342">C619&amp;"."&amp;D619</f>
        <v>15.19.1</v>
      </c>
      <c r="F619" s="310" t="s">
        <v>12293</v>
      </c>
      <c r="G619" s="311" t="str">
        <f>IF($F619="","",IFERROR(VLOOKUP($F619,SERVIÇOS!$B:$G,2,0),IFERROR(VLOOKUP($F619,'COMPOSIÇÕES COMPLEMENTARES '!$D:$L,2,0),IFERROR(VLOOKUP($F619,INSUMOS!$A:$D,2,0),""))))</f>
        <v>QD-AC-2 - QUADRO DE DISTRIBUIÇÃO EM CHAPA DE AÇO 16USG, PINTURA EM EPÓXI COR BEGE, COM TRINCO, BARRAMENTOS EM COBRE, ESPELHO INTERNO C/ PLAQUETAS DE IDENTIFICAÇÃO EM ACRÍLICO PARA CADA CIRCUITO E PORTA PROJETO. DEVERÁ ATENDER O SOLICITADO NO DIAGRAMA UNIFILAR EM PROJETO.</v>
      </c>
      <c r="H619" s="312" t="str">
        <f>IF($F619="","",IFERROR(VLOOKUP($F619,SERVIÇOS!$B:$G,3,0),IFERROR(VLOOKUP($F619,'COMPOSIÇÕES COMPLEMENTARES '!$D:$L,3,0),IFERROR(VLOOKUP($F619,INSUMOS!$A:$D,3,0),""))))</f>
        <v>UN</v>
      </c>
      <c r="I619" s="313">
        <v>1</v>
      </c>
      <c r="J619" s="314">
        <f>IF($F619="","",IFERROR(VLOOKUP($F619,SERVIÇOS!$B:$G,4,0),IFERROR(VLOOKUP($F619,'COMPOSIÇÕES COMPLEMENTARES '!$D:$L,6,0),IFERROR(VLOOKUP($F619,INSUMOS!$A:$D,4,0),""))))</f>
        <v>3384.17</v>
      </c>
      <c r="K619" s="314">
        <f>IF($F619="","",IFERROR(VLOOKUP($F619,SERVIÇOS!$B:$G,5,0),IFERROR(VLOOKUP($F619,'COMPOSIÇÕES COMPLEMENTARES '!$D:$L,7,0),0)))</f>
        <v>396.32</v>
      </c>
      <c r="L619" s="314">
        <f t="shared" ref="L619:L629" si="343">IF(I619="","",J619+K619)</f>
        <v>3780.4900000000002</v>
      </c>
      <c r="M619" s="314">
        <f t="shared" ref="M619:M629" si="344">IF(I619="","",TRUNC((I619*J619),2))</f>
        <v>3384.17</v>
      </c>
      <c r="N619" s="314">
        <f t="shared" ref="N619:N629" si="345">IF(I619="","",TRUNC((I619*K619),2))</f>
        <v>396.32</v>
      </c>
      <c r="O619" s="314">
        <f t="shared" ref="O619:O629" si="346">IF(I619="","",TRUNC((M619+N619),2))</f>
        <v>3780.49</v>
      </c>
      <c r="P619" s="314"/>
      <c r="Q619" s="315"/>
      <c r="R619" s="315"/>
      <c r="S619" s="286"/>
      <c r="T619" s="287"/>
      <c r="U619" s="288" t="str">
        <f t="shared" si="326"/>
        <v/>
      </c>
      <c r="V619" s="287"/>
      <c r="W619" s="289" t="str">
        <f t="shared" si="327"/>
        <v/>
      </c>
      <c r="X619" s="287"/>
      <c r="Y619" s="290" t="str">
        <f t="shared" si="328"/>
        <v/>
      </c>
      <c r="Z619" s="291">
        <f ca="1">SUMIF($T$8:Y$1018,"QUANT.",T619:Y619)</f>
        <v>0</v>
      </c>
      <c r="AA619" s="292">
        <f t="shared" ca="1" si="329"/>
        <v>0</v>
      </c>
      <c r="AB619" s="293" t="str">
        <f t="shared" ca="1" si="330"/>
        <v>MEDIR</v>
      </c>
      <c r="AC619" s="294">
        <f t="shared" ca="1" si="331"/>
        <v>1</v>
      </c>
      <c r="AD619" s="294">
        <f t="shared" ca="1" si="332"/>
        <v>3780.49</v>
      </c>
      <c r="AE619" s="295"/>
      <c r="AF619" s="295"/>
      <c r="AG619" s="296"/>
      <c r="AH619" s="296"/>
      <c r="AI619" s="296"/>
      <c r="AJ619" s="326"/>
      <c r="AK619" s="326"/>
      <c r="AL619" s="326"/>
      <c r="AM619" s="326"/>
    </row>
    <row r="620" spans="1:39" ht="25.5" x14ac:dyDescent="0.25">
      <c r="A620" s="232">
        <f t="shared" si="311"/>
        <v>620</v>
      </c>
      <c r="B620" s="232"/>
      <c r="C620" s="307" t="str">
        <f t="shared" si="340"/>
        <v>15.19</v>
      </c>
      <c r="D620" s="308">
        <f t="shared" si="341"/>
        <v>2</v>
      </c>
      <c r="E620" s="309" t="str">
        <f t="shared" si="342"/>
        <v>15.19.2</v>
      </c>
      <c r="F620" s="310">
        <v>101894</v>
      </c>
      <c r="G620" s="311" t="str">
        <f>IF($F620="","",IFERROR(VLOOKUP($F620,SERVIÇOS!$B:$G,2,0),IFERROR(VLOOKUP($F620,'COMPOSIÇÕES COMPLEMENTARES '!$D:$L,2,0),IFERROR(VLOOKUP($F620,INSUMOS!$A:$D,2,0),""))))</f>
        <v>DISJUNTOR TRIPOLAR TIPO NEMA, CORRENTE NOMINAL DE 60 ATÉ 100A - FORNECIMENTO E INSTALAÇÃO. AF_10/2020</v>
      </c>
      <c r="H620" s="312" t="str">
        <f>IF($F620="","",IFERROR(VLOOKUP($F620,SERVIÇOS!$B:$G,3,0),IFERROR(VLOOKUP($F620,'COMPOSIÇÕES COMPLEMENTARES '!$D:$L,3,0),IFERROR(VLOOKUP($F620,INSUMOS!$A:$D,3,0),""))))</f>
        <v>UN</v>
      </c>
      <c r="I620" s="313">
        <v>2</v>
      </c>
      <c r="J620" s="314">
        <f>IF($F620="","",IFERROR(VLOOKUP($F620,SERVIÇOS!$B:$G,4,0),IFERROR(VLOOKUP($F620,'COMPOSIÇÕES COMPLEMENTARES '!$D:$L,6,0),IFERROR(VLOOKUP($F620,INSUMOS!$A:$D,4,0),""))))</f>
        <v>141.47</v>
      </c>
      <c r="K620" s="314">
        <f>IF($F620="","",IFERROR(VLOOKUP($F620,SERVIÇOS!$B:$G,5,0),IFERROR(VLOOKUP($F620,'COMPOSIÇÕES COMPLEMENTARES '!$D:$L,7,0),0)))</f>
        <v>38.79</v>
      </c>
      <c r="L620" s="314">
        <f t="shared" si="343"/>
        <v>180.26</v>
      </c>
      <c r="M620" s="314">
        <f t="shared" si="344"/>
        <v>282.94</v>
      </c>
      <c r="N620" s="314">
        <f t="shared" si="345"/>
        <v>77.58</v>
      </c>
      <c r="O620" s="314">
        <f t="shared" si="346"/>
        <v>360.52</v>
      </c>
      <c r="P620" s="314"/>
      <c r="Q620" s="315"/>
      <c r="R620" s="315"/>
      <c r="S620" s="286"/>
      <c r="T620" s="287"/>
      <c r="U620" s="288" t="str">
        <f t="shared" si="326"/>
        <v/>
      </c>
      <c r="V620" s="287"/>
      <c r="W620" s="289" t="str">
        <f t="shared" si="327"/>
        <v/>
      </c>
      <c r="X620" s="287"/>
      <c r="Y620" s="290" t="str">
        <f t="shared" si="328"/>
        <v/>
      </c>
      <c r="Z620" s="291">
        <f ca="1">SUMIF($T$8:Y$1018,"QUANT.",T620:Y620)</f>
        <v>0</v>
      </c>
      <c r="AA620" s="292">
        <f t="shared" ca="1" si="329"/>
        <v>0</v>
      </c>
      <c r="AB620" s="293" t="str">
        <f t="shared" ca="1" si="330"/>
        <v>MEDIR</v>
      </c>
      <c r="AC620" s="294">
        <f t="shared" ca="1" si="331"/>
        <v>2</v>
      </c>
      <c r="AD620" s="294">
        <f t="shared" ca="1" si="332"/>
        <v>360.52</v>
      </c>
      <c r="AE620" s="295"/>
      <c r="AF620" s="295"/>
      <c r="AG620" s="296"/>
      <c r="AH620" s="296"/>
      <c r="AI620" s="296"/>
      <c r="AJ620" s="326"/>
      <c r="AK620" s="326"/>
      <c r="AL620" s="326"/>
      <c r="AM620" s="326"/>
    </row>
    <row r="621" spans="1:39" x14ac:dyDescent="0.25">
      <c r="A621" s="232">
        <f t="shared" si="311"/>
        <v>621</v>
      </c>
      <c r="B621" s="232"/>
      <c r="C621" s="307" t="str">
        <f t="shared" si="340"/>
        <v>15.19</v>
      </c>
      <c r="D621" s="308">
        <f t="shared" si="341"/>
        <v>3</v>
      </c>
      <c r="E621" s="309" t="str">
        <f t="shared" si="342"/>
        <v>15.19.3</v>
      </c>
      <c r="F621" s="310">
        <v>93669</v>
      </c>
      <c r="G621" s="311" t="str">
        <f>IF($F621="","",IFERROR(VLOOKUP($F621,SERVIÇOS!$B:$G,2,0),IFERROR(VLOOKUP($F621,'COMPOSIÇÕES COMPLEMENTARES '!$D:$L,2,0),IFERROR(VLOOKUP($F621,INSUMOS!$A:$D,2,0),""))))</f>
        <v>DISJUNTOR TRIPOLAR TIPO DIN, CORRENTE NOMINAL DE 20A - FORNECIMENTO E INSTALAÇÃO. AF_10/2020</v>
      </c>
      <c r="H621" s="312" t="str">
        <f>IF($F621="","",IFERROR(VLOOKUP($F621,SERVIÇOS!$B:$G,3,0),IFERROR(VLOOKUP($F621,'COMPOSIÇÕES COMPLEMENTARES '!$D:$L,3,0),IFERROR(VLOOKUP($F621,INSUMOS!$A:$D,3,0),""))))</f>
        <v>UN</v>
      </c>
      <c r="I621" s="313">
        <v>4</v>
      </c>
      <c r="J621" s="314">
        <f>IF($F621="","",IFERROR(VLOOKUP($F621,SERVIÇOS!$B:$G,4,0),IFERROR(VLOOKUP($F621,'COMPOSIÇÕES COMPLEMENTARES '!$D:$L,6,0),IFERROR(VLOOKUP($F621,INSUMOS!$A:$D,4,0),""))))</f>
        <v>75.510000000000005</v>
      </c>
      <c r="K621" s="314">
        <f>IF($F621="","",IFERROR(VLOOKUP($F621,SERVIÇOS!$B:$G,5,0),IFERROR(VLOOKUP($F621,'COMPOSIÇÕES COMPLEMENTARES '!$D:$L,7,0),0)))</f>
        <v>9.83</v>
      </c>
      <c r="L621" s="314">
        <f t="shared" si="343"/>
        <v>85.34</v>
      </c>
      <c r="M621" s="314">
        <f t="shared" si="344"/>
        <v>302.04000000000002</v>
      </c>
      <c r="N621" s="314">
        <f t="shared" si="345"/>
        <v>39.32</v>
      </c>
      <c r="O621" s="314">
        <f t="shared" si="346"/>
        <v>341.36</v>
      </c>
      <c r="P621" s="314"/>
      <c r="Q621" s="315"/>
      <c r="R621" s="315"/>
      <c r="S621" s="286"/>
      <c r="T621" s="287"/>
      <c r="U621" s="288" t="str">
        <f t="shared" si="326"/>
        <v/>
      </c>
      <c r="V621" s="287"/>
      <c r="W621" s="289" t="str">
        <f t="shared" si="327"/>
        <v/>
      </c>
      <c r="X621" s="287"/>
      <c r="Y621" s="290" t="str">
        <f t="shared" si="328"/>
        <v/>
      </c>
      <c r="Z621" s="291">
        <f ca="1">SUMIF($T$8:Y$1018,"QUANT.",T621:Y621)</f>
        <v>0</v>
      </c>
      <c r="AA621" s="292">
        <f t="shared" ca="1" si="329"/>
        <v>0</v>
      </c>
      <c r="AB621" s="293" t="str">
        <f t="shared" ca="1" si="330"/>
        <v>MEDIR</v>
      </c>
      <c r="AC621" s="294">
        <f t="shared" ca="1" si="331"/>
        <v>4</v>
      </c>
      <c r="AD621" s="294">
        <f t="shared" ca="1" si="332"/>
        <v>341.36</v>
      </c>
      <c r="AE621" s="295"/>
      <c r="AF621" s="295"/>
      <c r="AG621" s="296"/>
      <c r="AH621" s="296"/>
      <c r="AI621" s="296"/>
      <c r="AJ621" s="326"/>
      <c r="AK621" s="326"/>
      <c r="AL621" s="326"/>
      <c r="AM621" s="326"/>
    </row>
    <row r="622" spans="1:39" x14ac:dyDescent="0.25">
      <c r="A622" s="232">
        <f t="shared" si="311"/>
        <v>622</v>
      </c>
      <c r="B622" s="232"/>
      <c r="C622" s="307" t="str">
        <f t="shared" si="340"/>
        <v>15.19</v>
      </c>
      <c r="D622" s="308">
        <f t="shared" si="341"/>
        <v>4</v>
      </c>
      <c r="E622" s="309" t="str">
        <f t="shared" si="342"/>
        <v>15.19.4</v>
      </c>
      <c r="F622" s="310">
        <v>93662</v>
      </c>
      <c r="G622" s="311" t="str">
        <f>IF($F622="","",IFERROR(VLOOKUP($F622,SERVIÇOS!$B:$G,2,0),IFERROR(VLOOKUP($F622,'COMPOSIÇÕES COMPLEMENTARES '!$D:$L,2,0),IFERROR(VLOOKUP($F622,INSUMOS!$A:$D,2,0),""))))</f>
        <v>DISJUNTOR BIPOLAR TIPO DIN, CORRENTE NOMINAL DE 20A - FORNECIMENTO E INSTALAÇÃO. AF_10/2020</v>
      </c>
      <c r="H622" s="312" t="str">
        <f>IF($F622="","",IFERROR(VLOOKUP($F622,SERVIÇOS!$B:$G,3,0),IFERROR(VLOOKUP($F622,'COMPOSIÇÕES COMPLEMENTARES '!$D:$L,3,0),IFERROR(VLOOKUP($F622,INSUMOS!$A:$D,3,0),""))))</f>
        <v>UN</v>
      </c>
      <c r="I622" s="313">
        <v>1</v>
      </c>
      <c r="J622" s="314">
        <f>IF($F622="","",IFERROR(VLOOKUP($F622,SERVIÇOS!$B:$G,4,0),IFERROR(VLOOKUP($F622,'COMPOSIÇÕES COMPLEMENTARES '!$D:$L,6,0),IFERROR(VLOOKUP($F622,INSUMOS!$A:$D,4,0),""))))</f>
        <v>60.44</v>
      </c>
      <c r="K622" s="314">
        <f>IF($F622="","",IFERROR(VLOOKUP($F622,SERVIÇOS!$B:$G,5,0),IFERROR(VLOOKUP($F622,'COMPOSIÇÕES COMPLEMENTARES '!$D:$L,7,0),0)))</f>
        <v>6.55</v>
      </c>
      <c r="L622" s="314">
        <f t="shared" si="343"/>
        <v>66.989999999999995</v>
      </c>
      <c r="M622" s="314">
        <f t="shared" si="344"/>
        <v>60.44</v>
      </c>
      <c r="N622" s="314">
        <f t="shared" si="345"/>
        <v>6.55</v>
      </c>
      <c r="O622" s="314">
        <f t="shared" si="346"/>
        <v>66.989999999999995</v>
      </c>
      <c r="P622" s="314"/>
      <c r="Q622" s="315"/>
      <c r="R622" s="315"/>
      <c r="S622" s="286"/>
      <c r="T622" s="287"/>
      <c r="U622" s="288" t="str">
        <f t="shared" si="326"/>
        <v/>
      </c>
      <c r="V622" s="287"/>
      <c r="W622" s="289" t="str">
        <f t="shared" si="327"/>
        <v/>
      </c>
      <c r="X622" s="287"/>
      <c r="Y622" s="290" t="str">
        <f t="shared" si="328"/>
        <v/>
      </c>
      <c r="Z622" s="291">
        <f ca="1">SUMIF($T$8:Y$1018,"QUANT.",T622:Y622)</f>
        <v>0</v>
      </c>
      <c r="AA622" s="292">
        <f t="shared" ca="1" si="329"/>
        <v>0</v>
      </c>
      <c r="AB622" s="293" t="str">
        <f t="shared" ca="1" si="330"/>
        <v>MEDIR</v>
      </c>
      <c r="AC622" s="294">
        <f t="shared" ca="1" si="331"/>
        <v>1</v>
      </c>
      <c r="AD622" s="294">
        <f t="shared" ca="1" si="332"/>
        <v>66.989999999999995</v>
      </c>
      <c r="AE622" s="295"/>
      <c r="AF622" s="295"/>
      <c r="AG622" s="296"/>
      <c r="AH622" s="296"/>
      <c r="AI622" s="296"/>
      <c r="AJ622" s="326"/>
      <c r="AK622" s="326"/>
      <c r="AL622" s="326"/>
      <c r="AM622" s="326"/>
    </row>
    <row r="623" spans="1:39" x14ac:dyDescent="0.25">
      <c r="A623" s="232">
        <f t="shared" si="311"/>
        <v>623</v>
      </c>
      <c r="B623" s="232"/>
      <c r="C623" s="307" t="str">
        <f t="shared" si="340"/>
        <v>15.19</v>
      </c>
      <c r="D623" s="308">
        <f t="shared" si="341"/>
        <v>5</v>
      </c>
      <c r="E623" s="309" t="str">
        <f t="shared" si="342"/>
        <v>15.19.5</v>
      </c>
      <c r="F623" s="310" t="s">
        <v>12198</v>
      </c>
      <c r="G623" s="311" t="str">
        <f>IF($F623="","",IFERROR(VLOOKUP($F623,SERVIÇOS!$B:$G,2,0),IFERROR(VLOOKUP($F623,'COMPOSIÇÕES COMPLEMENTARES '!$D:$L,2,0),IFERROR(VLOOKUP($F623,INSUMOS!$A:$D,2,0),""))))</f>
        <v>DISPOSITIVO PROTETOR CONTRA SURTOS (DPS) 8/20 45KA - 275V CLASSE II</v>
      </c>
      <c r="H623" s="312" t="str">
        <f>IF($F623="","",IFERROR(VLOOKUP($F623,SERVIÇOS!$B:$G,3,0),IFERROR(VLOOKUP($F623,'COMPOSIÇÕES COMPLEMENTARES '!$D:$L,3,0),IFERROR(VLOOKUP($F623,INSUMOS!$A:$D,3,0),""))))</f>
        <v>UN</v>
      </c>
      <c r="I623" s="313">
        <v>4</v>
      </c>
      <c r="J623" s="314">
        <f>IF($F623="","",IFERROR(VLOOKUP($F623,SERVIÇOS!$B:$G,4,0),IFERROR(VLOOKUP($F623,'COMPOSIÇÕES COMPLEMENTARES '!$D:$L,6,0),IFERROR(VLOOKUP($F623,INSUMOS!$A:$D,4,0),""))))</f>
        <v>116.15</v>
      </c>
      <c r="K623" s="314">
        <f>IF($F623="","",IFERROR(VLOOKUP($F623,SERVIÇOS!$B:$G,5,0),IFERROR(VLOOKUP($F623,'COMPOSIÇÕES COMPLEMENTARES '!$D:$L,7,0),0)))</f>
        <v>14.85</v>
      </c>
      <c r="L623" s="314">
        <f t="shared" si="343"/>
        <v>131</v>
      </c>
      <c r="M623" s="314">
        <f t="shared" si="344"/>
        <v>464.6</v>
      </c>
      <c r="N623" s="314">
        <f t="shared" si="345"/>
        <v>59.4</v>
      </c>
      <c r="O623" s="314">
        <f t="shared" si="346"/>
        <v>524</v>
      </c>
      <c r="P623" s="314"/>
      <c r="Q623" s="315"/>
      <c r="R623" s="315"/>
      <c r="S623" s="286"/>
      <c r="T623" s="287"/>
      <c r="U623" s="288" t="str">
        <f t="shared" si="326"/>
        <v/>
      </c>
      <c r="V623" s="287"/>
      <c r="W623" s="289" t="str">
        <f t="shared" si="327"/>
        <v/>
      </c>
      <c r="X623" s="287"/>
      <c r="Y623" s="290" t="str">
        <f t="shared" si="328"/>
        <v/>
      </c>
      <c r="Z623" s="291">
        <f ca="1">SUMIF($T$8:Y$1018,"QUANT.",T623:Y623)</f>
        <v>0</v>
      </c>
      <c r="AA623" s="292">
        <f t="shared" ca="1" si="329"/>
        <v>0</v>
      </c>
      <c r="AB623" s="293" t="str">
        <f t="shared" ca="1" si="330"/>
        <v>MEDIR</v>
      </c>
      <c r="AC623" s="294">
        <f t="shared" ca="1" si="331"/>
        <v>4</v>
      </c>
      <c r="AD623" s="294">
        <f t="shared" ca="1" si="332"/>
        <v>524</v>
      </c>
      <c r="AE623" s="295"/>
      <c r="AF623" s="295"/>
      <c r="AG623" s="296"/>
      <c r="AH623" s="296"/>
      <c r="AI623" s="296"/>
      <c r="AJ623" s="326"/>
      <c r="AK623" s="326"/>
      <c r="AL623" s="326"/>
      <c r="AM623" s="326"/>
    </row>
    <row r="624" spans="1:39" x14ac:dyDescent="0.25">
      <c r="A624" s="232">
        <f t="shared" si="311"/>
        <v>624</v>
      </c>
      <c r="B624" s="232"/>
      <c r="C624" s="307" t="str">
        <f t="shared" si="340"/>
        <v>15.19</v>
      </c>
      <c r="D624" s="308">
        <f t="shared" si="341"/>
        <v>6</v>
      </c>
      <c r="E624" s="309" t="str">
        <f t="shared" si="342"/>
        <v>15.19.6</v>
      </c>
      <c r="F624" s="310" t="s">
        <v>12238</v>
      </c>
      <c r="G624" s="311" t="str">
        <f>IF($F624="","",IFERROR(VLOOKUP($F624,SERVIÇOS!$B:$G,2,0),IFERROR(VLOOKUP($F624,'COMPOSIÇÕES COMPLEMENTARES '!$D:$L,2,0),IFERROR(VLOOKUP($F624,INSUMOS!$A:$D,2,0),""))))</f>
        <v>CONDUTOR DE COBRE FLEX. ISOL. 1KV - 90º - #25MM² - AFUMEX</v>
      </c>
      <c r="H624" s="312" t="str">
        <f>IF($F624="","",IFERROR(VLOOKUP($F624,SERVIÇOS!$B:$G,3,0),IFERROR(VLOOKUP($F624,'COMPOSIÇÕES COMPLEMENTARES '!$D:$L,3,0),IFERROR(VLOOKUP($F624,INSUMOS!$A:$D,3,0),""))))</f>
        <v>M</v>
      </c>
      <c r="I624" s="313">
        <v>108</v>
      </c>
      <c r="J624" s="314">
        <f>IF($F624="","",IFERROR(VLOOKUP($F624,SERVIÇOS!$B:$G,4,0),IFERROR(VLOOKUP($F624,'COMPOSIÇÕES COMPLEMENTARES '!$D:$L,6,0),IFERROR(VLOOKUP($F624,INSUMOS!$A:$D,4,0),""))))</f>
        <v>25.38</v>
      </c>
      <c r="K624" s="314">
        <f>IF($F624="","",IFERROR(VLOOKUP($F624,SERVIÇOS!$B:$G,5,0),IFERROR(VLOOKUP($F624,'COMPOSIÇÕES COMPLEMENTARES '!$D:$L,7,0),0)))</f>
        <v>3.16</v>
      </c>
      <c r="L624" s="314">
        <f t="shared" si="343"/>
        <v>28.54</v>
      </c>
      <c r="M624" s="314">
        <f t="shared" si="344"/>
        <v>2741.04</v>
      </c>
      <c r="N624" s="314">
        <f t="shared" si="345"/>
        <v>341.28</v>
      </c>
      <c r="O624" s="314">
        <f t="shared" si="346"/>
        <v>3082.32</v>
      </c>
      <c r="P624" s="314"/>
      <c r="Q624" s="315"/>
      <c r="R624" s="315"/>
      <c r="S624" s="286"/>
      <c r="T624" s="287"/>
      <c r="U624" s="288" t="str">
        <f t="shared" si="326"/>
        <v/>
      </c>
      <c r="V624" s="287"/>
      <c r="W624" s="289" t="str">
        <f t="shared" si="327"/>
        <v/>
      </c>
      <c r="X624" s="287"/>
      <c r="Y624" s="290" t="str">
        <f t="shared" si="328"/>
        <v/>
      </c>
      <c r="Z624" s="291">
        <f ca="1">SUMIF($T$8:Y$1018,"QUANT.",T624:Y624)</f>
        <v>0</v>
      </c>
      <c r="AA624" s="292">
        <f t="shared" ca="1" si="329"/>
        <v>0</v>
      </c>
      <c r="AB624" s="293" t="str">
        <f t="shared" ca="1" si="330"/>
        <v>MEDIR</v>
      </c>
      <c r="AC624" s="294">
        <f t="shared" ca="1" si="331"/>
        <v>108</v>
      </c>
      <c r="AD624" s="294">
        <f t="shared" ca="1" si="332"/>
        <v>3082.32</v>
      </c>
      <c r="AE624" s="295"/>
      <c r="AF624" s="295"/>
      <c r="AG624" s="296"/>
      <c r="AH624" s="296"/>
      <c r="AI624" s="296"/>
      <c r="AJ624" s="326"/>
      <c r="AK624" s="326"/>
      <c r="AL624" s="326"/>
      <c r="AM624" s="326"/>
    </row>
    <row r="625" spans="1:39" x14ac:dyDescent="0.25">
      <c r="A625" s="232">
        <f t="shared" si="311"/>
        <v>625</v>
      </c>
      <c r="B625" s="232"/>
      <c r="C625" s="307" t="str">
        <f t="shared" si="340"/>
        <v>15.19</v>
      </c>
      <c r="D625" s="308">
        <f t="shared" si="341"/>
        <v>7</v>
      </c>
      <c r="E625" s="309" t="str">
        <f t="shared" si="342"/>
        <v>15.19.7</v>
      </c>
      <c r="F625" s="310" t="s">
        <v>12202</v>
      </c>
      <c r="G625" s="311" t="str">
        <f>IF($F625="","",IFERROR(VLOOKUP($F625,SERVIÇOS!$B:$G,2,0),IFERROR(VLOOKUP($F625,'COMPOSIÇÕES COMPLEMENTARES '!$D:$L,2,0),IFERROR(VLOOKUP($F625,INSUMOS!$A:$D,2,0),""))))</f>
        <v>CONDUTOR DE COBRE FLEX. ISOL. 1KV - 90º - #16MM² - AFUMEX</v>
      </c>
      <c r="H625" s="312" t="str">
        <f>IF($F625="","",IFERROR(VLOOKUP($F625,SERVIÇOS!$B:$G,3,0),IFERROR(VLOOKUP($F625,'COMPOSIÇÕES COMPLEMENTARES '!$D:$L,3,0),IFERROR(VLOOKUP($F625,INSUMOS!$A:$D,3,0),""))))</f>
        <v>M</v>
      </c>
      <c r="I625" s="313">
        <v>27</v>
      </c>
      <c r="J625" s="314">
        <f>IF($F625="","",IFERROR(VLOOKUP($F625,SERVIÇOS!$B:$G,4,0),IFERROR(VLOOKUP($F625,'COMPOSIÇÕES COMPLEMENTARES '!$D:$L,6,0),IFERROR(VLOOKUP($F625,INSUMOS!$A:$D,4,0),""))))</f>
        <v>19.739999999999998</v>
      </c>
      <c r="K625" s="314">
        <f>IF($F625="","",IFERROR(VLOOKUP($F625,SERVIÇOS!$B:$G,5,0),IFERROR(VLOOKUP($F625,'COMPOSIÇÕES COMPLEMENTARES '!$D:$L,7,0),0)))</f>
        <v>5.69</v>
      </c>
      <c r="L625" s="314">
        <f t="shared" si="343"/>
        <v>25.43</v>
      </c>
      <c r="M625" s="314">
        <f t="shared" si="344"/>
        <v>532.98</v>
      </c>
      <c r="N625" s="314">
        <f t="shared" si="345"/>
        <v>153.63</v>
      </c>
      <c r="O625" s="314">
        <f t="shared" si="346"/>
        <v>686.61</v>
      </c>
      <c r="P625" s="314"/>
      <c r="Q625" s="315"/>
      <c r="R625" s="315"/>
      <c r="S625" s="286"/>
      <c r="T625" s="287"/>
      <c r="U625" s="288" t="str">
        <f t="shared" si="326"/>
        <v/>
      </c>
      <c r="V625" s="287"/>
      <c r="W625" s="289" t="str">
        <f t="shared" si="327"/>
        <v/>
      </c>
      <c r="X625" s="287"/>
      <c r="Y625" s="290" t="str">
        <f t="shared" si="328"/>
        <v/>
      </c>
      <c r="Z625" s="291">
        <f ca="1">SUMIF($T$8:Y$1018,"QUANT.",T625:Y625)</f>
        <v>0</v>
      </c>
      <c r="AA625" s="292">
        <f t="shared" ca="1" si="329"/>
        <v>0</v>
      </c>
      <c r="AB625" s="293" t="str">
        <f t="shared" ca="1" si="330"/>
        <v>MEDIR</v>
      </c>
      <c r="AC625" s="294">
        <f t="shared" ca="1" si="331"/>
        <v>27</v>
      </c>
      <c r="AD625" s="294">
        <f t="shared" ca="1" si="332"/>
        <v>686.61</v>
      </c>
      <c r="AE625" s="295"/>
      <c r="AF625" s="295"/>
      <c r="AG625" s="296"/>
      <c r="AH625" s="296"/>
      <c r="AI625" s="296"/>
      <c r="AJ625" s="326"/>
      <c r="AK625" s="326"/>
      <c r="AL625" s="326"/>
      <c r="AM625" s="326"/>
    </row>
    <row r="626" spans="1:39" x14ac:dyDescent="0.25">
      <c r="A626" s="232">
        <f t="shared" si="311"/>
        <v>626</v>
      </c>
      <c r="B626" s="232"/>
      <c r="C626" s="307" t="str">
        <f t="shared" si="340"/>
        <v>15.19</v>
      </c>
      <c r="D626" s="308">
        <f t="shared" si="341"/>
        <v>8</v>
      </c>
      <c r="E626" s="309" t="str">
        <f t="shared" si="342"/>
        <v>15.19.8</v>
      </c>
      <c r="F626" s="310" t="s">
        <v>12239</v>
      </c>
      <c r="G626" s="311" t="str">
        <f>IF($F626="","",IFERROR(VLOOKUP($F626,SERVIÇOS!$B:$G,2,0),IFERROR(VLOOKUP($F626,'COMPOSIÇÕES COMPLEMENTARES '!$D:$L,2,0),IFERROR(VLOOKUP($F626,INSUMOS!$A:$D,2,0),""))))</f>
        <v>TERMINAL DE COMPRESSÃO #25MM²</v>
      </c>
      <c r="H626" s="312" t="str">
        <f>IF($F626="","",IFERROR(VLOOKUP($F626,SERVIÇOS!$B:$G,3,0),IFERROR(VLOOKUP($F626,'COMPOSIÇÕES COMPLEMENTARES '!$D:$L,3,0),IFERROR(VLOOKUP($F626,INSUMOS!$A:$D,3,0),""))))</f>
        <v>UN</v>
      </c>
      <c r="I626" s="313">
        <v>8</v>
      </c>
      <c r="J626" s="314">
        <f>IF($F626="","",IFERROR(VLOOKUP($F626,SERVIÇOS!$B:$G,4,0),IFERROR(VLOOKUP($F626,'COMPOSIÇÕES COMPLEMENTARES '!$D:$L,6,0),IFERROR(VLOOKUP($F626,INSUMOS!$A:$D,4,0),""))))</f>
        <v>3.65</v>
      </c>
      <c r="K626" s="314">
        <f>IF($F626="","",IFERROR(VLOOKUP($F626,SERVIÇOS!$B:$G,5,0),IFERROR(VLOOKUP($F626,'COMPOSIÇÕES COMPLEMENTARES '!$D:$L,7,0),0)))</f>
        <v>1.4</v>
      </c>
      <c r="L626" s="314">
        <f t="shared" si="343"/>
        <v>5.05</v>
      </c>
      <c r="M626" s="314">
        <f t="shared" si="344"/>
        <v>29.2</v>
      </c>
      <c r="N626" s="314">
        <f t="shared" si="345"/>
        <v>11.2</v>
      </c>
      <c r="O626" s="314">
        <f t="shared" si="346"/>
        <v>40.4</v>
      </c>
      <c r="P626" s="314"/>
      <c r="Q626" s="315"/>
      <c r="R626" s="315"/>
      <c r="S626" s="286"/>
      <c r="T626" s="287"/>
      <c r="U626" s="288" t="str">
        <f t="shared" si="326"/>
        <v/>
      </c>
      <c r="V626" s="287"/>
      <c r="W626" s="289" t="str">
        <f t="shared" si="327"/>
        <v/>
      </c>
      <c r="X626" s="287"/>
      <c r="Y626" s="290" t="str">
        <f t="shared" si="328"/>
        <v/>
      </c>
      <c r="Z626" s="291">
        <f ca="1">SUMIF($T$8:Y$1018,"QUANT.",T626:Y626)</f>
        <v>0</v>
      </c>
      <c r="AA626" s="292">
        <f t="shared" ca="1" si="329"/>
        <v>0</v>
      </c>
      <c r="AB626" s="293" t="str">
        <f t="shared" ca="1" si="330"/>
        <v>MEDIR</v>
      </c>
      <c r="AC626" s="294">
        <f t="shared" ca="1" si="331"/>
        <v>8</v>
      </c>
      <c r="AD626" s="294">
        <f t="shared" ca="1" si="332"/>
        <v>40.4</v>
      </c>
      <c r="AE626" s="295"/>
      <c r="AF626" s="295"/>
      <c r="AG626" s="296"/>
      <c r="AH626" s="296"/>
      <c r="AI626" s="296"/>
      <c r="AJ626" s="326"/>
      <c r="AK626" s="326"/>
      <c r="AL626" s="326"/>
      <c r="AM626" s="326"/>
    </row>
    <row r="627" spans="1:39" x14ac:dyDescent="0.25">
      <c r="A627" s="232">
        <f t="shared" si="311"/>
        <v>627</v>
      </c>
      <c r="B627" s="232"/>
      <c r="C627" s="307" t="str">
        <f t="shared" si="340"/>
        <v>15.19</v>
      </c>
      <c r="D627" s="308">
        <f t="shared" si="341"/>
        <v>9</v>
      </c>
      <c r="E627" s="309" t="str">
        <f t="shared" si="342"/>
        <v>15.19.9</v>
      </c>
      <c r="F627" s="310" t="s">
        <v>12204</v>
      </c>
      <c r="G627" s="311" t="str">
        <f>IF($F627="","",IFERROR(VLOOKUP($F627,SERVIÇOS!$B:$G,2,0),IFERROR(VLOOKUP($F627,'COMPOSIÇÕES COMPLEMENTARES '!$D:$L,2,0),IFERROR(VLOOKUP($F627,INSUMOS!$A:$D,2,0),""))))</f>
        <v>TERMINAL DE COMPRESSÃO #16MM²</v>
      </c>
      <c r="H627" s="312" t="str">
        <f>IF($F627="","",IFERROR(VLOOKUP($F627,SERVIÇOS!$B:$G,3,0),IFERROR(VLOOKUP($F627,'COMPOSIÇÕES COMPLEMENTARES '!$D:$L,3,0),IFERROR(VLOOKUP($F627,INSUMOS!$A:$D,3,0),""))))</f>
        <v>UN</v>
      </c>
      <c r="I627" s="313">
        <v>2</v>
      </c>
      <c r="J627" s="314">
        <f>IF($F627="","",IFERROR(VLOOKUP($F627,SERVIÇOS!$B:$G,4,0),IFERROR(VLOOKUP($F627,'COMPOSIÇÕES COMPLEMENTARES '!$D:$L,6,0),IFERROR(VLOOKUP($F627,INSUMOS!$A:$D,4,0),""))))</f>
        <v>2.71</v>
      </c>
      <c r="K627" s="314">
        <f>IF($F627="","",IFERROR(VLOOKUP($F627,SERVIÇOS!$B:$G,5,0),IFERROR(VLOOKUP($F627,'COMPOSIÇÕES COMPLEMENTARES '!$D:$L,7,0),0)))</f>
        <v>1.1200000000000001</v>
      </c>
      <c r="L627" s="314">
        <f t="shared" si="343"/>
        <v>3.83</v>
      </c>
      <c r="M627" s="314">
        <f t="shared" si="344"/>
        <v>5.42</v>
      </c>
      <c r="N627" s="314">
        <f t="shared" si="345"/>
        <v>2.2400000000000002</v>
      </c>
      <c r="O627" s="314">
        <f t="shared" si="346"/>
        <v>7.66</v>
      </c>
      <c r="P627" s="314"/>
      <c r="Q627" s="315"/>
      <c r="R627" s="315"/>
      <c r="S627" s="286"/>
      <c r="T627" s="287"/>
      <c r="U627" s="288" t="str">
        <f t="shared" si="326"/>
        <v/>
      </c>
      <c r="V627" s="287"/>
      <c r="W627" s="289" t="str">
        <f t="shared" si="327"/>
        <v/>
      </c>
      <c r="X627" s="287"/>
      <c r="Y627" s="290" t="str">
        <f t="shared" si="328"/>
        <v/>
      </c>
      <c r="Z627" s="291">
        <f ca="1">SUMIF($T$8:Y$1018,"QUANT.",T627:Y627)</f>
        <v>0</v>
      </c>
      <c r="AA627" s="292">
        <f t="shared" ca="1" si="329"/>
        <v>0</v>
      </c>
      <c r="AB627" s="293" t="str">
        <f t="shared" ca="1" si="330"/>
        <v>MEDIR</v>
      </c>
      <c r="AC627" s="294">
        <f t="shared" ca="1" si="331"/>
        <v>2</v>
      </c>
      <c r="AD627" s="294">
        <f t="shared" ca="1" si="332"/>
        <v>7.66</v>
      </c>
      <c r="AE627" s="295"/>
      <c r="AF627" s="295"/>
      <c r="AG627" s="296"/>
      <c r="AH627" s="296"/>
      <c r="AI627" s="296"/>
      <c r="AJ627" s="326"/>
      <c r="AK627" s="326"/>
      <c r="AL627" s="326"/>
      <c r="AM627" s="326"/>
    </row>
    <row r="628" spans="1:39" ht="25.5" x14ac:dyDescent="0.25">
      <c r="A628" s="232">
        <f t="shared" si="311"/>
        <v>628</v>
      </c>
      <c r="B628" s="232"/>
      <c r="C628" s="307" t="str">
        <f t="shared" si="340"/>
        <v>15.19</v>
      </c>
      <c r="D628" s="308">
        <f t="shared" si="341"/>
        <v>10</v>
      </c>
      <c r="E628" s="309" t="str">
        <f t="shared" si="342"/>
        <v>15.19.10</v>
      </c>
      <c r="F628" s="310">
        <v>97668</v>
      </c>
      <c r="G628" s="311" t="str">
        <f>IF($F628="","",IFERROR(VLOOKUP($F628,SERVIÇOS!$B:$G,2,0),IFERROR(VLOOKUP($F628,'COMPOSIÇÕES COMPLEMENTARES '!$D:$L,2,0),IFERROR(VLOOKUP($F628,INSUMOS!$A:$D,2,0),""))))</f>
        <v>ELETRODUTO FLEXÍVEL CORRUGADO, PEAD, DN 63 (2"), PARA REDE ENTERRADA DE DISTRIBUIÇÃO DE ENERGIA ELÉTRICA - FORNECIMENTO E INSTALAÇÃO. AF_12/2021</v>
      </c>
      <c r="H628" s="312" t="str">
        <f>IF($F628="","",IFERROR(VLOOKUP($F628,SERVIÇOS!$B:$G,3,0),IFERROR(VLOOKUP($F628,'COMPOSIÇÕES COMPLEMENTARES '!$D:$L,3,0),IFERROR(VLOOKUP($F628,INSUMOS!$A:$D,3,0),""))))</f>
        <v>M</v>
      </c>
      <c r="I628" s="313">
        <v>27</v>
      </c>
      <c r="J628" s="314">
        <f>IF($F628="","",IFERROR(VLOOKUP($F628,SERVIÇOS!$B:$G,4,0),IFERROR(VLOOKUP($F628,'COMPOSIÇÕES COMPLEMENTARES '!$D:$L,6,0),IFERROR(VLOOKUP($F628,INSUMOS!$A:$D,4,0),""))))</f>
        <v>11.19</v>
      </c>
      <c r="K628" s="314">
        <f>IF($F628="","",IFERROR(VLOOKUP($F628,SERVIÇOS!$B:$G,5,0),IFERROR(VLOOKUP($F628,'COMPOSIÇÕES COMPLEMENTARES '!$D:$L,7,0),0)))</f>
        <v>4.68</v>
      </c>
      <c r="L628" s="314">
        <f t="shared" si="343"/>
        <v>15.87</v>
      </c>
      <c r="M628" s="314">
        <f t="shared" si="344"/>
        <v>302.13</v>
      </c>
      <c r="N628" s="314">
        <f t="shared" si="345"/>
        <v>126.36</v>
      </c>
      <c r="O628" s="314">
        <f t="shared" si="346"/>
        <v>428.49</v>
      </c>
      <c r="P628" s="314"/>
      <c r="Q628" s="315"/>
      <c r="R628" s="315"/>
      <c r="S628" s="286"/>
      <c r="T628" s="287"/>
      <c r="U628" s="288" t="str">
        <f t="shared" si="326"/>
        <v/>
      </c>
      <c r="V628" s="287"/>
      <c r="W628" s="289" t="str">
        <f t="shared" si="327"/>
        <v/>
      </c>
      <c r="X628" s="287"/>
      <c r="Y628" s="290" t="str">
        <f t="shared" si="328"/>
        <v/>
      </c>
      <c r="Z628" s="291">
        <f ca="1">SUMIF($T$8:Y$1018,"QUANT.",T628:Y628)</f>
        <v>0</v>
      </c>
      <c r="AA628" s="292">
        <f t="shared" ca="1" si="329"/>
        <v>0</v>
      </c>
      <c r="AB628" s="293" t="str">
        <f t="shared" ca="1" si="330"/>
        <v>MEDIR</v>
      </c>
      <c r="AC628" s="294">
        <f t="shared" ca="1" si="331"/>
        <v>27</v>
      </c>
      <c r="AD628" s="294">
        <f t="shared" ca="1" si="332"/>
        <v>428.49</v>
      </c>
      <c r="AE628" s="295"/>
      <c r="AF628" s="295"/>
      <c r="AG628" s="296"/>
      <c r="AH628" s="296"/>
      <c r="AI628" s="296"/>
      <c r="AJ628" s="326"/>
      <c r="AK628" s="326"/>
      <c r="AL628" s="326"/>
      <c r="AM628" s="326"/>
    </row>
    <row r="629" spans="1:39" x14ac:dyDescent="0.25">
      <c r="A629" s="232">
        <f t="shared" si="311"/>
        <v>629</v>
      </c>
      <c r="B629" s="232"/>
      <c r="C629" s="307" t="str">
        <f t="shared" si="340"/>
        <v>15.19</v>
      </c>
      <c r="D629" s="308">
        <f t="shared" si="341"/>
        <v>11</v>
      </c>
      <c r="E629" s="309" t="str">
        <f t="shared" si="342"/>
        <v>15.19.11</v>
      </c>
      <c r="F629" s="310" t="s">
        <v>12205</v>
      </c>
      <c r="G629" s="311" t="str">
        <f>IF($F629="","",IFERROR(VLOOKUP($F629,SERVIÇOS!$B:$G,2,0),IFERROR(VLOOKUP($F629,'COMPOSIÇÕES COMPLEMENTARES '!$D:$L,2,0),IFERROR(VLOOKUP($F629,INSUMOS!$A:$D,2,0),""))))</f>
        <v>UNIDUT CÔNICO Ø2" COM BUCHA E ARRUELA DE ALUMÍNIO Ø2"</v>
      </c>
      <c r="H629" s="312" t="str">
        <f>IF($F629="","",IFERROR(VLOOKUP($F629,SERVIÇOS!$B:$G,3,0),IFERROR(VLOOKUP($F629,'COMPOSIÇÕES COMPLEMENTARES '!$D:$L,3,0),IFERROR(VLOOKUP($F629,INSUMOS!$A:$D,3,0),""))))</f>
        <v>UN</v>
      </c>
      <c r="I629" s="313">
        <v>4</v>
      </c>
      <c r="J629" s="314">
        <f>IF($F629="","",IFERROR(VLOOKUP($F629,SERVIÇOS!$B:$G,4,0),IFERROR(VLOOKUP($F629,'COMPOSIÇÕES COMPLEMENTARES '!$D:$L,6,0),IFERROR(VLOOKUP($F629,INSUMOS!$A:$D,4,0),""))))</f>
        <v>17.22</v>
      </c>
      <c r="K629" s="314">
        <f>IF($F629="","",IFERROR(VLOOKUP($F629,SERVIÇOS!$B:$G,5,0),IFERROR(VLOOKUP($F629,'COMPOSIÇÕES COMPLEMENTARES '!$D:$L,7,0),0)))</f>
        <v>2.4700000000000002</v>
      </c>
      <c r="L629" s="314">
        <f t="shared" si="343"/>
        <v>19.689999999999998</v>
      </c>
      <c r="M629" s="314">
        <f t="shared" si="344"/>
        <v>68.88</v>
      </c>
      <c r="N629" s="314">
        <f t="shared" si="345"/>
        <v>9.8800000000000008</v>
      </c>
      <c r="O629" s="314">
        <f t="shared" si="346"/>
        <v>78.760000000000005</v>
      </c>
      <c r="P629" s="314"/>
      <c r="Q629" s="315"/>
      <c r="R629" s="315"/>
      <c r="S629" s="286"/>
      <c r="T629" s="287"/>
      <c r="U629" s="288" t="str">
        <f t="shared" si="326"/>
        <v/>
      </c>
      <c r="V629" s="287"/>
      <c r="W629" s="289" t="str">
        <f t="shared" si="327"/>
        <v/>
      </c>
      <c r="X629" s="287"/>
      <c r="Y629" s="290" t="str">
        <f t="shared" si="328"/>
        <v/>
      </c>
      <c r="Z629" s="291">
        <f ca="1">SUMIF($T$8:Y$1018,"QUANT.",T629:Y629)</f>
        <v>0</v>
      </c>
      <c r="AA629" s="292">
        <f t="shared" ca="1" si="329"/>
        <v>0</v>
      </c>
      <c r="AB629" s="293" t="str">
        <f t="shared" ca="1" si="330"/>
        <v>MEDIR</v>
      </c>
      <c r="AC629" s="294">
        <f t="shared" ca="1" si="331"/>
        <v>4</v>
      </c>
      <c r="AD629" s="294">
        <f t="shared" ca="1" si="332"/>
        <v>78.760000000000005</v>
      </c>
      <c r="AE629" s="295"/>
      <c r="AF629" s="295"/>
      <c r="AG629" s="296"/>
      <c r="AH629" s="296"/>
      <c r="AI629" s="296"/>
      <c r="AJ629" s="326"/>
      <c r="AK629" s="326"/>
      <c r="AL629" s="326"/>
      <c r="AM629" s="326"/>
    </row>
    <row r="630" spans="1:39" x14ac:dyDescent="0.25">
      <c r="A630" s="232">
        <f t="shared" si="311"/>
        <v>630</v>
      </c>
      <c r="B630" s="232"/>
      <c r="C630" s="316" t="str">
        <f>+E630</f>
        <v>15.20</v>
      </c>
      <c r="D630" s="297"/>
      <c r="E630" s="317" t="s">
        <v>12294</v>
      </c>
      <c r="F630" s="317"/>
      <c r="G630" s="318" t="s">
        <v>12295</v>
      </c>
      <c r="H630" s="317"/>
      <c r="I630" s="319"/>
      <c r="J630" s="317"/>
      <c r="K630" s="317"/>
      <c r="L630" s="317"/>
      <c r="M630" s="317"/>
      <c r="N630" s="317"/>
      <c r="O630" s="317"/>
      <c r="P630" s="317"/>
      <c r="Q630" s="320"/>
      <c r="R630" s="306"/>
      <c r="S630" s="286"/>
      <c r="T630" s="287"/>
      <c r="U630" s="288" t="str">
        <f t="shared" si="326"/>
        <v/>
      </c>
      <c r="V630" s="287"/>
      <c r="W630" s="289" t="str">
        <f t="shared" si="327"/>
        <v/>
      </c>
      <c r="X630" s="287"/>
      <c r="Y630" s="290" t="str">
        <f t="shared" si="328"/>
        <v/>
      </c>
      <c r="Z630" s="291">
        <f ca="1">SUMIF($T$8:Y$1018,"QUANT.",T630:Y630)</f>
        <v>0</v>
      </c>
      <c r="AA630" s="292">
        <f t="shared" ca="1" si="329"/>
        <v>0</v>
      </c>
      <c r="AB630" s="293" t="str">
        <f t="shared" si="330"/>
        <v/>
      </c>
      <c r="AC630" s="294">
        <f t="shared" ca="1" si="331"/>
        <v>0</v>
      </c>
      <c r="AD630" s="294">
        <f t="shared" ca="1" si="332"/>
        <v>0</v>
      </c>
      <c r="AE630" s="295"/>
      <c r="AF630" s="295"/>
      <c r="AG630" s="296"/>
      <c r="AH630" s="296"/>
      <c r="AI630" s="296"/>
      <c r="AJ630" s="326"/>
      <c r="AK630" s="326"/>
      <c r="AL630" s="326"/>
      <c r="AM630" s="326"/>
    </row>
    <row r="631" spans="1:39" ht="25.5" x14ac:dyDescent="0.25">
      <c r="A631" s="232">
        <f t="shared" si="311"/>
        <v>631</v>
      </c>
      <c r="B631" s="232"/>
      <c r="C631" s="307" t="str">
        <f t="shared" ref="C631:C642" si="347">+C630</f>
        <v>15.20</v>
      </c>
      <c r="D631" s="308">
        <f t="shared" ref="D631:D642" si="348">1+D630</f>
        <v>1</v>
      </c>
      <c r="E631" s="309" t="str">
        <f t="shared" ref="E631:E642" si="349">C631&amp;"."&amp;D631</f>
        <v>15.20.1</v>
      </c>
      <c r="F631" s="310">
        <v>91981</v>
      </c>
      <c r="G631" s="311" t="str">
        <f>IF($F631="","",IFERROR(VLOOKUP($F631,SERVIÇOS!$B:$G,2,0),IFERROR(VLOOKUP($F631,'COMPOSIÇÕES COMPLEMENTARES '!$D:$L,2,0),IFERROR(VLOOKUP($F631,INSUMOS!$A:$D,2,0),""))))</f>
        <v>INTERRUPTOR BIPOLAR (1 MÓDULO), 10A/250V, INCLUINDO SUPORTE E PLACA - FORNECIMENTO E INSTALAÇÃO. AF_03/2023</v>
      </c>
      <c r="H631" s="312" t="str">
        <f>IF($F631="","",IFERROR(VLOOKUP($F631,SERVIÇOS!$B:$G,3,0),IFERROR(VLOOKUP($F631,'COMPOSIÇÕES COMPLEMENTARES '!$D:$L,3,0),IFERROR(VLOOKUP($F631,INSUMOS!$A:$D,3,0),""))))</f>
        <v>UN</v>
      </c>
      <c r="I631" s="313">
        <v>2</v>
      </c>
      <c r="J631" s="314">
        <f>IF($F631="","",IFERROR(VLOOKUP($F631,SERVIÇOS!$B:$G,4,0),IFERROR(VLOOKUP($F631,'COMPOSIÇÕES COMPLEMENTARES '!$D:$L,6,0),IFERROR(VLOOKUP($F631,INSUMOS!$A:$D,4,0),""))))</f>
        <v>34.49</v>
      </c>
      <c r="K631" s="314">
        <f>IF($F631="","",IFERROR(VLOOKUP($F631,SERVIÇOS!$B:$G,5,0),IFERROR(VLOOKUP($F631,'COMPOSIÇÕES COMPLEMENTARES '!$D:$L,7,0),0)))</f>
        <v>26.24</v>
      </c>
      <c r="L631" s="314">
        <f t="shared" ref="L631:L642" si="350">IF(I631="","",J631+K631)</f>
        <v>60.730000000000004</v>
      </c>
      <c r="M631" s="314">
        <f t="shared" ref="M631:M642" si="351">IF(I631="","",TRUNC((I631*J631),2))</f>
        <v>68.98</v>
      </c>
      <c r="N631" s="314">
        <f t="shared" ref="N631:N642" si="352">IF(I631="","",TRUNC((I631*K631),2))</f>
        <v>52.48</v>
      </c>
      <c r="O631" s="314">
        <f t="shared" ref="O631:O642" si="353">IF(I631="","",TRUNC((M631+N631),2))</f>
        <v>121.46</v>
      </c>
      <c r="P631" s="314"/>
      <c r="Q631" s="315"/>
      <c r="R631" s="315"/>
      <c r="S631" s="286"/>
      <c r="T631" s="287"/>
      <c r="U631" s="288" t="str">
        <f t="shared" si="326"/>
        <v/>
      </c>
      <c r="V631" s="287"/>
      <c r="W631" s="289" t="str">
        <f t="shared" si="327"/>
        <v/>
      </c>
      <c r="X631" s="287"/>
      <c r="Y631" s="290" t="str">
        <f t="shared" si="328"/>
        <v/>
      </c>
      <c r="Z631" s="291">
        <f ca="1">SUMIF($T$8:Y$1018,"QUANT.",T631:Y631)</f>
        <v>0</v>
      </c>
      <c r="AA631" s="292">
        <f t="shared" ca="1" si="329"/>
        <v>0</v>
      </c>
      <c r="AB631" s="293" t="str">
        <f t="shared" ca="1" si="330"/>
        <v>MEDIR</v>
      </c>
      <c r="AC631" s="294">
        <f t="shared" ca="1" si="331"/>
        <v>2</v>
      </c>
      <c r="AD631" s="294">
        <f t="shared" ca="1" si="332"/>
        <v>121.46</v>
      </c>
      <c r="AE631" s="295"/>
      <c r="AF631" s="295"/>
      <c r="AG631" s="296"/>
      <c r="AH631" s="296"/>
      <c r="AI631" s="296"/>
      <c r="AJ631" s="326"/>
      <c r="AK631" s="326"/>
      <c r="AL631" s="326"/>
      <c r="AM631" s="326"/>
    </row>
    <row r="632" spans="1:39" ht="25.5" x14ac:dyDescent="0.25">
      <c r="A632" s="232">
        <f t="shared" si="311"/>
        <v>632</v>
      </c>
      <c r="B632" s="232"/>
      <c r="C632" s="307" t="str">
        <f t="shared" si="347"/>
        <v>15.20</v>
      </c>
      <c r="D632" s="308">
        <f t="shared" si="348"/>
        <v>2</v>
      </c>
      <c r="E632" s="309" t="str">
        <f t="shared" si="349"/>
        <v>15.20.2</v>
      </c>
      <c r="F632" s="310">
        <v>91940</v>
      </c>
      <c r="G632" s="311" t="str">
        <f>IF($F632="","",IFERROR(VLOOKUP($F632,SERVIÇOS!$B:$G,2,0),IFERROR(VLOOKUP($F632,'COMPOSIÇÕES COMPLEMENTARES '!$D:$L,2,0),IFERROR(VLOOKUP($F632,INSUMOS!$A:$D,2,0),""))))</f>
        <v>CAIXA RETANGULAR 4" X 2" MÉDIA (1,30 M DO PISO), PVC, INSTALADA EM PAREDE - FORNECIMENTO E INSTALAÇÃO. AF_03/2023</v>
      </c>
      <c r="H632" s="312" t="str">
        <f>IF($F632="","",IFERROR(VLOOKUP($F632,SERVIÇOS!$B:$G,3,0),IFERROR(VLOOKUP($F632,'COMPOSIÇÕES COMPLEMENTARES '!$D:$L,3,0),IFERROR(VLOOKUP($F632,INSUMOS!$A:$D,3,0),""))))</f>
        <v>UN</v>
      </c>
      <c r="I632" s="313">
        <v>2</v>
      </c>
      <c r="J632" s="314">
        <f>IF($F632="","",IFERROR(VLOOKUP($F632,SERVIÇOS!$B:$G,4,0),IFERROR(VLOOKUP($F632,'COMPOSIÇÕES COMPLEMENTARES '!$D:$L,6,0),IFERROR(VLOOKUP($F632,INSUMOS!$A:$D,4,0),""))))</f>
        <v>9.7799999999999994</v>
      </c>
      <c r="K632" s="314">
        <f>IF($F632="","",IFERROR(VLOOKUP($F632,SERVIÇOS!$B:$G,5,0),IFERROR(VLOOKUP($F632,'COMPOSIÇÕES COMPLEMENTARES '!$D:$L,7,0),0)))</f>
        <v>14.56</v>
      </c>
      <c r="L632" s="314">
        <f t="shared" si="350"/>
        <v>24.34</v>
      </c>
      <c r="M632" s="314">
        <f t="shared" si="351"/>
        <v>19.559999999999999</v>
      </c>
      <c r="N632" s="314">
        <f t="shared" si="352"/>
        <v>29.12</v>
      </c>
      <c r="O632" s="314">
        <f t="shared" si="353"/>
        <v>48.68</v>
      </c>
      <c r="P632" s="314"/>
      <c r="Q632" s="315"/>
      <c r="R632" s="315"/>
      <c r="S632" s="286"/>
      <c r="T632" s="287"/>
      <c r="U632" s="288" t="str">
        <f t="shared" si="326"/>
        <v/>
      </c>
      <c r="V632" s="287"/>
      <c r="W632" s="289" t="str">
        <f t="shared" si="327"/>
        <v/>
      </c>
      <c r="X632" s="287"/>
      <c r="Y632" s="290" t="str">
        <f t="shared" si="328"/>
        <v/>
      </c>
      <c r="Z632" s="291">
        <f ca="1">SUMIF($T$8:Y$1018,"QUANT.",T632:Y632)</f>
        <v>0</v>
      </c>
      <c r="AA632" s="292">
        <f t="shared" ca="1" si="329"/>
        <v>0</v>
      </c>
      <c r="AB632" s="293" t="str">
        <f t="shared" ca="1" si="330"/>
        <v>MEDIR</v>
      </c>
      <c r="AC632" s="294">
        <f t="shared" ca="1" si="331"/>
        <v>2</v>
      </c>
      <c r="AD632" s="294">
        <f t="shared" ca="1" si="332"/>
        <v>48.68</v>
      </c>
      <c r="AE632" s="295"/>
      <c r="AF632" s="295"/>
      <c r="AG632" s="296"/>
      <c r="AH632" s="296"/>
      <c r="AI632" s="296"/>
      <c r="AJ632" s="326"/>
      <c r="AK632" s="326"/>
      <c r="AL632" s="326"/>
      <c r="AM632" s="326"/>
    </row>
    <row r="633" spans="1:39" ht="25.5" x14ac:dyDescent="0.25">
      <c r="A633" s="232">
        <f t="shared" si="311"/>
        <v>633</v>
      </c>
      <c r="B633" s="232"/>
      <c r="C633" s="307" t="str">
        <f t="shared" si="347"/>
        <v>15.20</v>
      </c>
      <c r="D633" s="308">
        <f t="shared" si="348"/>
        <v>3</v>
      </c>
      <c r="E633" s="309" t="str">
        <f t="shared" si="349"/>
        <v>15.20.3</v>
      </c>
      <c r="F633" s="310" t="s">
        <v>12283</v>
      </c>
      <c r="G633" s="311" t="str">
        <f>IF($F633="","",IFERROR(VLOOKUP($F633,SERVIÇOS!$B:$G,2,0),IFERROR(VLOOKUP($F633,'COMPOSIÇÕES COMPLEMENTARES '!$D:$L,2,0),IFERROR(VLOOKUP($F633,INSUMOS!$A:$D,2,0),""))))</f>
        <v>LEITO PARA CABOS TIPO PESADO GALVANIZADO A FOGO. DIMENSÕES: 200MM (LARGURA) X 100MM (ALTURA) X 3000MM (COMPRIMENTO DA BARRA)</v>
      </c>
      <c r="H633" s="312" t="str">
        <f>IF($F633="","",IFERROR(VLOOKUP($F633,SERVIÇOS!$B:$G,3,0),IFERROR(VLOOKUP($F633,'COMPOSIÇÕES COMPLEMENTARES '!$D:$L,3,0),IFERROR(VLOOKUP($F633,INSUMOS!$A:$D,3,0),""))))</f>
        <v>M</v>
      </c>
      <c r="I633" s="313">
        <v>15</v>
      </c>
      <c r="J633" s="314">
        <f>IF($F633="","",IFERROR(VLOOKUP($F633,SERVIÇOS!$B:$G,4,0),IFERROR(VLOOKUP($F633,'COMPOSIÇÕES COMPLEMENTARES '!$D:$L,6,0),IFERROR(VLOOKUP($F633,INSUMOS!$A:$D,4,0),""))))</f>
        <v>115.88</v>
      </c>
      <c r="K633" s="314">
        <f>IF($F633="","",IFERROR(VLOOKUP($F633,SERVIÇOS!$B:$G,5,0),IFERROR(VLOOKUP($F633,'COMPOSIÇÕES COMPLEMENTARES '!$D:$L,7,0),0)))</f>
        <v>14.85</v>
      </c>
      <c r="L633" s="314">
        <f t="shared" si="350"/>
        <v>130.72999999999999</v>
      </c>
      <c r="M633" s="314">
        <f t="shared" si="351"/>
        <v>1738.2</v>
      </c>
      <c r="N633" s="314">
        <f t="shared" si="352"/>
        <v>222.75</v>
      </c>
      <c r="O633" s="314">
        <f t="shared" si="353"/>
        <v>1960.95</v>
      </c>
      <c r="P633" s="314"/>
      <c r="Q633" s="315"/>
      <c r="R633" s="315"/>
      <c r="S633" s="286"/>
      <c r="T633" s="287"/>
      <c r="U633" s="288" t="str">
        <f t="shared" si="326"/>
        <v/>
      </c>
      <c r="V633" s="287"/>
      <c r="W633" s="289" t="str">
        <f t="shared" si="327"/>
        <v/>
      </c>
      <c r="X633" s="287"/>
      <c r="Y633" s="290" t="str">
        <f t="shared" si="328"/>
        <v/>
      </c>
      <c r="Z633" s="291">
        <f ca="1">SUMIF($T$8:Y$1018,"QUANT.",T633:Y633)</f>
        <v>0</v>
      </c>
      <c r="AA633" s="292">
        <f t="shared" ca="1" si="329"/>
        <v>0</v>
      </c>
      <c r="AB633" s="293" t="str">
        <f t="shared" ca="1" si="330"/>
        <v>MEDIR</v>
      </c>
      <c r="AC633" s="294">
        <f t="shared" ca="1" si="331"/>
        <v>15</v>
      </c>
      <c r="AD633" s="294">
        <f t="shared" ca="1" si="332"/>
        <v>1960.95</v>
      </c>
      <c r="AE633" s="295"/>
      <c r="AF633" s="295"/>
      <c r="AG633" s="296"/>
      <c r="AH633" s="296"/>
      <c r="AI633" s="296"/>
      <c r="AJ633" s="326"/>
      <c r="AK633" s="326"/>
      <c r="AL633" s="326"/>
      <c r="AM633" s="326"/>
    </row>
    <row r="634" spans="1:39" x14ac:dyDescent="0.25">
      <c r="A634" s="232">
        <f t="shared" si="311"/>
        <v>634</v>
      </c>
      <c r="B634" s="232"/>
      <c r="C634" s="307" t="str">
        <f t="shared" si="347"/>
        <v>15.20</v>
      </c>
      <c r="D634" s="308">
        <f t="shared" si="348"/>
        <v>4</v>
      </c>
      <c r="E634" s="309" t="str">
        <f t="shared" si="349"/>
        <v>15.20.4</v>
      </c>
      <c r="F634" s="310" t="s">
        <v>12216</v>
      </c>
      <c r="G634" s="311" t="str">
        <f>IF($F634="","",IFERROR(VLOOKUP($F634,SERVIÇOS!$B:$G,2,0),IFERROR(VLOOKUP($F634,'COMPOSIÇÕES COMPLEMENTARES '!$D:$L,2,0),IFERROR(VLOOKUP($F634,INSUMOS!$A:$D,2,0),""))))</f>
        <v>ELETROCALHA PERFURADA 200X100X3000MM - CH 18, INCLUSO CONEXÕES E SUPORTES DE FIXAÇÃO</v>
      </c>
      <c r="H634" s="312" t="str">
        <f>IF($F634="","",IFERROR(VLOOKUP($F634,SERVIÇOS!$B:$G,3,0),IFERROR(VLOOKUP($F634,'COMPOSIÇÕES COMPLEMENTARES '!$D:$L,3,0),IFERROR(VLOOKUP($F634,INSUMOS!$A:$D,3,0),""))))</f>
        <v>M</v>
      </c>
      <c r="I634" s="313">
        <v>12</v>
      </c>
      <c r="J634" s="314">
        <f>IF($F634="","",IFERROR(VLOOKUP($F634,SERVIÇOS!$B:$G,4,0),IFERROR(VLOOKUP($F634,'COMPOSIÇÕES COMPLEMENTARES '!$D:$L,6,0),IFERROR(VLOOKUP($F634,INSUMOS!$A:$D,4,0),""))))</f>
        <v>241.21</v>
      </c>
      <c r="K634" s="314">
        <f>IF($F634="","",IFERROR(VLOOKUP($F634,SERVIÇOS!$B:$G,5,0),IFERROR(VLOOKUP($F634,'COMPOSIÇÕES COMPLEMENTARES '!$D:$L,7,0),0)))</f>
        <v>43.98</v>
      </c>
      <c r="L634" s="314">
        <f t="shared" si="350"/>
        <v>285.19</v>
      </c>
      <c r="M634" s="314">
        <f t="shared" si="351"/>
        <v>2894.52</v>
      </c>
      <c r="N634" s="314">
        <f t="shared" si="352"/>
        <v>527.76</v>
      </c>
      <c r="O634" s="314">
        <f t="shared" si="353"/>
        <v>3422.28</v>
      </c>
      <c r="P634" s="314"/>
      <c r="Q634" s="315"/>
      <c r="R634" s="315"/>
      <c r="S634" s="286"/>
      <c r="T634" s="287"/>
      <c r="U634" s="288" t="str">
        <f t="shared" si="326"/>
        <v/>
      </c>
      <c r="V634" s="287"/>
      <c r="W634" s="289" t="str">
        <f t="shared" si="327"/>
        <v/>
      </c>
      <c r="X634" s="287"/>
      <c r="Y634" s="290" t="str">
        <f t="shared" si="328"/>
        <v/>
      </c>
      <c r="Z634" s="291">
        <f ca="1">SUMIF($T$8:Y$1018,"QUANT.",T634:Y634)</f>
        <v>0</v>
      </c>
      <c r="AA634" s="292">
        <f t="shared" ca="1" si="329"/>
        <v>0</v>
      </c>
      <c r="AB634" s="293" t="str">
        <f t="shared" ca="1" si="330"/>
        <v>MEDIR</v>
      </c>
      <c r="AC634" s="294">
        <f t="shared" ca="1" si="331"/>
        <v>12</v>
      </c>
      <c r="AD634" s="294">
        <f t="shared" ca="1" si="332"/>
        <v>3422.28</v>
      </c>
      <c r="AE634" s="295"/>
      <c r="AF634" s="295"/>
      <c r="AG634" s="296"/>
      <c r="AH634" s="296"/>
      <c r="AI634" s="296"/>
      <c r="AJ634" s="326"/>
      <c r="AK634" s="326"/>
      <c r="AL634" s="326"/>
      <c r="AM634" s="326"/>
    </row>
    <row r="635" spans="1:39" x14ac:dyDescent="0.25">
      <c r="A635" s="232">
        <f t="shared" si="311"/>
        <v>635</v>
      </c>
      <c r="B635" s="232"/>
      <c r="C635" s="307" t="str">
        <f t="shared" si="347"/>
        <v>15.20</v>
      </c>
      <c r="D635" s="308">
        <f t="shared" si="348"/>
        <v>5</v>
      </c>
      <c r="E635" s="309" t="str">
        <f t="shared" si="349"/>
        <v>15.20.5</v>
      </c>
      <c r="F635" s="310" t="s">
        <v>12234</v>
      </c>
      <c r="G635" s="311" t="str">
        <f>IF($F635="","",IFERROR(VLOOKUP($F635,SERVIÇOS!$B:$G,2,0),IFERROR(VLOOKUP($F635,'COMPOSIÇÕES COMPLEMENTARES '!$D:$L,2,0),IFERROR(VLOOKUP($F635,INSUMOS!$A:$D,2,0),""))))</f>
        <v>ELETROCALHA PERFURADA 100X100X3000MM - CH 18, INCLUSO CONEXÕES E SUPORTE DE FIXAÇÃO</v>
      </c>
      <c r="H635" s="312" t="str">
        <f>IF($F635="","",IFERROR(VLOOKUP($F635,SERVIÇOS!$B:$G,3,0),IFERROR(VLOOKUP($F635,'COMPOSIÇÕES COMPLEMENTARES '!$D:$L,3,0),IFERROR(VLOOKUP($F635,INSUMOS!$A:$D,3,0),""))))</f>
        <v>M</v>
      </c>
      <c r="I635" s="313">
        <v>12</v>
      </c>
      <c r="J635" s="314">
        <f>IF($F635="","",IFERROR(VLOOKUP($F635,SERVIÇOS!$B:$G,4,0),IFERROR(VLOOKUP($F635,'COMPOSIÇÕES COMPLEMENTARES '!$D:$L,6,0),IFERROR(VLOOKUP($F635,INSUMOS!$A:$D,4,0),""))))</f>
        <v>129.66999999999999</v>
      </c>
      <c r="K635" s="314">
        <f>IF($F635="","",IFERROR(VLOOKUP($F635,SERVIÇOS!$B:$G,5,0),IFERROR(VLOOKUP($F635,'COMPOSIÇÕES COMPLEMENTARES '!$D:$L,7,0),0)))</f>
        <v>37.15</v>
      </c>
      <c r="L635" s="314">
        <f t="shared" si="350"/>
        <v>166.82</v>
      </c>
      <c r="M635" s="314">
        <f t="shared" si="351"/>
        <v>1556.04</v>
      </c>
      <c r="N635" s="314">
        <f t="shared" si="352"/>
        <v>445.8</v>
      </c>
      <c r="O635" s="314">
        <f t="shared" si="353"/>
        <v>2001.84</v>
      </c>
      <c r="P635" s="314"/>
      <c r="Q635" s="315"/>
      <c r="R635" s="315"/>
      <c r="S635" s="286"/>
      <c r="T635" s="287"/>
      <c r="U635" s="288" t="str">
        <f t="shared" si="326"/>
        <v/>
      </c>
      <c r="V635" s="287"/>
      <c r="W635" s="289" t="str">
        <f t="shared" si="327"/>
        <v/>
      </c>
      <c r="X635" s="287"/>
      <c r="Y635" s="290" t="str">
        <f t="shared" si="328"/>
        <v/>
      </c>
      <c r="Z635" s="291">
        <f ca="1">SUMIF($T$8:Y$1018,"QUANT.",T635:Y635)</f>
        <v>0</v>
      </c>
      <c r="AA635" s="292">
        <f t="shared" ca="1" si="329"/>
        <v>0</v>
      </c>
      <c r="AB635" s="293" t="str">
        <f t="shared" ca="1" si="330"/>
        <v>MEDIR</v>
      </c>
      <c r="AC635" s="294">
        <f t="shared" ca="1" si="331"/>
        <v>12</v>
      </c>
      <c r="AD635" s="294">
        <f t="shared" ca="1" si="332"/>
        <v>2001.84</v>
      </c>
      <c r="AE635" s="295"/>
      <c r="AF635" s="295"/>
      <c r="AG635" s="296"/>
      <c r="AH635" s="296"/>
      <c r="AI635" s="296"/>
      <c r="AJ635" s="326"/>
      <c r="AK635" s="326"/>
      <c r="AL635" s="326"/>
      <c r="AM635" s="326"/>
    </row>
    <row r="636" spans="1:39" ht="25.5" x14ac:dyDescent="0.25">
      <c r="A636" s="232">
        <f t="shared" si="311"/>
        <v>636</v>
      </c>
      <c r="B636" s="232"/>
      <c r="C636" s="307" t="str">
        <f t="shared" si="347"/>
        <v>15.20</v>
      </c>
      <c r="D636" s="308">
        <f t="shared" si="348"/>
        <v>6</v>
      </c>
      <c r="E636" s="309" t="str">
        <f t="shared" si="349"/>
        <v>15.20.6</v>
      </c>
      <c r="F636" s="310" t="s">
        <v>12217</v>
      </c>
      <c r="G636" s="311" t="str">
        <f>IF($F636="","",IFERROR(VLOOKUP($F636,SERVIÇOS!$B:$G,2,0),IFERROR(VLOOKUP($F636,'COMPOSIÇÕES COMPLEMENTARES '!$D:$L,2,0),IFERROR(VLOOKUP($F636,INSUMOS!$A:$D,2,0),""))))</f>
        <v>ELETRODUTO RÍGIDO ROSCÁVEL, PVC, DN 25 MM (3/4"), INCLUSO CONEXÕES E ACESSÓRIOS, INSTALAÇÃO APARENTE - FORNECIMENTO E INSTALAÇÃO</v>
      </c>
      <c r="H636" s="312" t="str">
        <f>IF($F636="","",IFERROR(VLOOKUP($F636,SERVIÇOS!$B:$G,3,0),IFERROR(VLOOKUP($F636,'COMPOSIÇÕES COMPLEMENTARES '!$D:$L,3,0),IFERROR(VLOOKUP($F636,INSUMOS!$A:$D,3,0),""))))</f>
        <v>M</v>
      </c>
      <c r="I636" s="313">
        <v>18</v>
      </c>
      <c r="J636" s="314">
        <f>IF($F636="","",IFERROR(VLOOKUP($F636,SERVIÇOS!$B:$G,4,0),IFERROR(VLOOKUP($F636,'COMPOSIÇÕES COMPLEMENTARES '!$D:$L,6,0),IFERROR(VLOOKUP($F636,INSUMOS!$A:$D,4,0),""))))</f>
        <v>14.79</v>
      </c>
      <c r="K636" s="314">
        <f>IF($F636="","",IFERROR(VLOOKUP($F636,SERVIÇOS!$B:$G,5,0),IFERROR(VLOOKUP($F636,'COMPOSIÇÕES COMPLEMENTARES '!$D:$L,7,0),0)))</f>
        <v>8.75</v>
      </c>
      <c r="L636" s="314">
        <f t="shared" si="350"/>
        <v>23.54</v>
      </c>
      <c r="M636" s="314">
        <f t="shared" si="351"/>
        <v>266.22000000000003</v>
      </c>
      <c r="N636" s="314">
        <f t="shared" si="352"/>
        <v>157.5</v>
      </c>
      <c r="O636" s="314">
        <f t="shared" si="353"/>
        <v>423.72</v>
      </c>
      <c r="P636" s="314"/>
      <c r="Q636" s="315"/>
      <c r="R636" s="315"/>
      <c r="S636" s="286"/>
      <c r="T636" s="287"/>
      <c r="U636" s="288" t="str">
        <f t="shared" si="326"/>
        <v/>
      </c>
      <c r="V636" s="287"/>
      <c r="W636" s="289" t="str">
        <f t="shared" si="327"/>
        <v/>
      </c>
      <c r="X636" s="287"/>
      <c r="Y636" s="290" t="str">
        <f t="shared" si="328"/>
        <v/>
      </c>
      <c r="Z636" s="291">
        <f ca="1">SUMIF($T$8:Y$1018,"QUANT.",T636:Y636)</f>
        <v>0</v>
      </c>
      <c r="AA636" s="292">
        <f t="shared" ca="1" si="329"/>
        <v>0</v>
      </c>
      <c r="AB636" s="293" t="str">
        <f t="shared" ca="1" si="330"/>
        <v>MEDIR</v>
      </c>
      <c r="AC636" s="294">
        <f t="shared" ca="1" si="331"/>
        <v>18</v>
      </c>
      <c r="AD636" s="294">
        <f t="shared" ca="1" si="332"/>
        <v>423.72</v>
      </c>
      <c r="AE636" s="295"/>
      <c r="AF636" s="295"/>
      <c r="AG636" s="296"/>
      <c r="AH636" s="296"/>
      <c r="AI636" s="296"/>
      <c r="AJ636" s="326"/>
      <c r="AK636" s="326"/>
      <c r="AL636" s="326"/>
      <c r="AM636" s="326"/>
    </row>
    <row r="637" spans="1:39" ht="25.5" x14ac:dyDescent="0.25">
      <c r="A637" s="232">
        <f t="shared" si="311"/>
        <v>637</v>
      </c>
      <c r="B637" s="232"/>
      <c r="C637" s="307" t="str">
        <f t="shared" si="347"/>
        <v>15.20</v>
      </c>
      <c r="D637" s="308">
        <f t="shared" si="348"/>
        <v>7</v>
      </c>
      <c r="E637" s="309" t="str">
        <f t="shared" si="349"/>
        <v>15.20.7</v>
      </c>
      <c r="F637" s="310" t="s">
        <v>12218</v>
      </c>
      <c r="G637" s="311" t="str">
        <f>IF($F637="","",IFERROR(VLOOKUP($F637,SERVIÇOS!$B:$G,2,0),IFERROR(VLOOKUP($F637,'COMPOSIÇÕES COMPLEMENTARES '!$D:$L,2,0),IFERROR(VLOOKUP($F637,INSUMOS!$A:$D,2,0),""))))</f>
        <v>ELETRODUTO RÍGIDO ROSCÁVEL, PVC, DN 25 MM (3/4"), INCLUSO CONEXÕES - FORNECIMENTO E INSTALAÇÃO</v>
      </c>
      <c r="H637" s="312" t="str">
        <f>IF($F637="","",IFERROR(VLOOKUP($F637,SERVIÇOS!$B:$G,3,0),IFERROR(VLOOKUP($F637,'COMPOSIÇÕES COMPLEMENTARES '!$D:$L,3,0),IFERROR(VLOOKUP($F637,INSUMOS!$A:$D,3,0),""))))</f>
        <v>M</v>
      </c>
      <c r="I637" s="313">
        <v>26</v>
      </c>
      <c r="J637" s="314">
        <f>IF($F637="","",IFERROR(VLOOKUP($F637,SERVIÇOS!$B:$G,4,0),IFERROR(VLOOKUP($F637,'COMPOSIÇÕES COMPLEMENTARES '!$D:$L,6,0),IFERROR(VLOOKUP($F637,INSUMOS!$A:$D,4,0),""))))</f>
        <v>9.18</v>
      </c>
      <c r="K637" s="314">
        <f>IF($F637="","",IFERROR(VLOOKUP($F637,SERVIÇOS!$B:$G,5,0),IFERROR(VLOOKUP($F637,'COMPOSIÇÕES COMPLEMENTARES '!$D:$L,7,0),0)))</f>
        <v>4.1500000000000004</v>
      </c>
      <c r="L637" s="314">
        <f t="shared" si="350"/>
        <v>13.33</v>
      </c>
      <c r="M637" s="314">
        <f t="shared" si="351"/>
        <v>238.68</v>
      </c>
      <c r="N637" s="314">
        <f t="shared" si="352"/>
        <v>107.9</v>
      </c>
      <c r="O637" s="314">
        <f t="shared" si="353"/>
        <v>346.58</v>
      </c>
      <c r="P637" s="314"/>
      <c r="Q637" s="315"/>
      <c r="R637" s="315"/>
      <c r="S637" s="286"/>
      <c r="T637" s="287"/>
      <c r="U637" s="288" t="str">
        <f t="shared" si="326"/>
        <v/>
      </c>
      <c r="V637" s="287"/>
      <c r="W637" s="289" t="str">
        <f t="shared" si="327"/>
        <v/>
      </c>
      <c r="X637" s="287"/>
      <c r="Y637" s="290" t="str">
        <f t="shared" si="328"/>
        <v/>
      </c>
      <c r="Z637" s="291">
        <f ca="1">SUMIF($T$8:Y$1018,"QUANT.",T637:Y637)</f>
        <v>0</v>
      </c>
      <c r="AA637" s="292">
        <f t="shared" ca="1" si="329"/>
        <v>0</v>
      </c>
      <c r="AB637" s="293" t="str">
        <f t="shared" ca="1" si="330"/>
        <v>MEDIR</v>
      </c>
      <c r="AC637" s="294">
        <f t="shared" ca="1" si="331"/>
        <v>26</v>
      </c>
      <c r="AD637" s="294">
        <f t="shared" ca="1" si="332"/>
        <v>346.58</v>
      </c>
      <c r="AE637" s="295"/>
      <c r="AF637" s="295"/>
      <c r="AG637" s="296"/>
      <c r="AH637" s="296"/>
      <c r="AI637" s="296"/>
      <c r="AJ637" s="326"/>
      <c r="AK637" s="326"/>
      <c r="AL637" s="326"/>
      <c r="AM637" s="326"/>
    </row>
    <row r="638" spans="1:39" x14ac:dyDescent="0.25">
      <c r="A638" s="232">
        <f t="shared" si="311"/>
        <v>638</v>
      </c>
      <c r="B638" s="232"/>
      <c r="C638" s="307" t="str">
        <f t="shared" si="347"/>
        <v>15.20</v>
      </c>
      <c r="D638" s="308">
        <f t="shared" si="348"/>
        <v>8</v>
      </c>
      <c r="E638" s="309" t="str">
        <f t="shared" si="349"/>
        <v>15.20.8</v>
      </c>
      <c r="F638" s="310" t="s">
        <v>12220</v>
      </c>
      <c r="G638" s="311" t="str">
        <f>IF($F638="","",IFERROR(VLOOKUP($F638,SERVIÇOS!$B:$G,2,0),IFERROR(VLOOKUP($F638,'COMPOSIÇÕES COMPLEMENTARES '!$D:$L,2,0),IFERROR(VLOOKUP($F638,INSUMOS!$A:$D,2,0),""))))</f>
        <v>ELETRODUTO RÍGIDO ROSCÁVEL, PVC, DN 32 MM (1"), INCLUSO CONEXÕES - FORNECIMENTO E INSTALAÇÃO</v>
      </c>
      <c r="H638" s="312" t="str">
        <f>IF($F638="","",IFERROR(VLOOKUP($F638,SERVIÇOS!$B:$G,3,0),IFERROR(VLOOKUP($F638,'COMPOSIÇÕES COMPLEMENTARES '!$D:$L,3,0),IFERROR(VLOOKUP($F638,INSUMOS!$A:$D,3,0),""))))</f>
        <v>M</v>
      </c>
      <c r="I638" s="313">
        <v>13</v>
      </c>
      <c r="J638" s="314">
        <f>IF($F638="","",IFERROR(VLOOKUP($F638,SERVIÇOS!$B:$G,4,0),IFERROR(VLOOKUP($F638,'COMPOSIÇÕES COMPLEMENTARES '!$D:$L,6,0),IFERROR(VLOOKUP($F638,INSUMOS!$A:$D,4,0),""))))</f>
        <v>20.07</v>
      </c>
      <c r="K638" s="314">
        <f>IF($F638="","",IFERROR(VLOOKUP($F638,SERVIÇOS!$B:$G,5,0),IFERROR(VLOOKUP($F638,'COMPOSIÇÕES COMPLEMENTARES '!$D:$L,7,0),0)))</f>
        <v>12.07</v>
      </c>
      <c r="L638" s="314">
        <f t="shared" si="350"/>
        <v>32.14</v>
      </c>
      <c r="M638" s="314">
        <f t="shared" si="351"/>
        <v>260.91000000000003</v>
      </c>
      <c r="N638" s="314">
        <f t="shared" si="352"/>
        <v>156.91</v>
      </c>
      <c r="O638" s="314">
        <f t="shared" si="353"/>
        <v>417.82</v>
      </c>
      <c r="P638" s="314"/>
      <c r="Q638" s="315"/>
      <c r="R638" s="315"/>
      <c r="S638" s="286"/>
      <c r="T638" s="287"/>
      <c r="U638" s="288" t="str">
        <f t="shared" si="326"/>
        <v/>
      </c>
      <c r="V638" s="287"/>
      <c r="W638" s="289" t="str">
        <f t="shared" si="327"/>
        <v/>
      </c>
      <c r="X638" s="287"/>
      <c r="Y638" s="290" t="str">
        <f t="shared" si="328"/>
        <v/>
      </c>
      <c r="Z638" s="291">
        <f ca="1">SUMIF($T$8:Y$1018,"QUANT.",T638:Y638)</f>
        <v>0</v>
      </c>
      <c r="AA638" s="292">
        <f t="shared" ca="1" si="329"/>
        <v>0</v>
      </c>
      <c r="AB638" s="293" t="str">
        <f t="shared" ca="1" si="330"/>
        <v>MEDIR</v>
      </c>
      <c r="AC638" s="294">
        <f t="shared" ca="1" si="331"/>
        <v>13</v>
      </c>
      <c r="AD638" s="294">
        <f t="shared" ca="1" si="332"/>
        <v>417.82</v>
      </c>
      <c r="AE638" s="295"/>
      <c r="AF638" s="295"/>
      <c r="AG638" s="296"/>
      <c r="AH638" s="296"/>
      <c r="AI638" s="296"/>
      <c r="AJ638" s="326"/>
      <c r="AK638" s="326"/>
      <c r="AL638" s="326"/>
      <c r="AM638" s="326"/>
    </row>
    <row r="639" spans="1:39" x14ac:dyDescent="0.25">
      <c r="A639" s="232">
        <f t="shared" si="311"/>
        <v>639</v>
      </c>
      <c r="B639" s="232"/>
      <c r="C639" s="307" t="str">
        <f t="shared" si="347"/>
        <v>15.20</v>
      </c>
      <c r="D639" s="308">
        <f t="shared" si="348"/>
        <v>9</v>
      </c>
      <c r="E639" s="309" t="str">
        <f t="shared" si="349"/>
        <v>15.20.9</v>
      </c>
      <c r="F639" s="310" t="s">
        <v>12286</v>
      </c>
      <c r="G639" s="311" t="str">
        <f>IF($F639="","",IFERROR(VLOOKUP($F639,SERVIÇOS!$B:$G,2,0),IFERROR(VLOOKUP($F639,'COMPOSIÇÕES COMPLEMENTARES '!$D:$L,2,0),IFERROR(VLOOKUP($F639,INSUMOS!$A:$D,2,0),""))))</f>
        <v>ELETRODUTO RÍGIDO ROSCÁVEL, PVC, DN 60 MM (2"), INCLUSO CONEXÕES - FORNECIMENTO E INSTALAÇÃO</v>
      </c>
      <c r="H639" s="312" t="str">
        <f>IF($F639="","",IFERROR(VLOOKUP($F639,SERVIÇOS!$B:$G,3,0),IFERROR(VLOOKUP($F639,'COMPOSIÇÕES COMPLEMENTARES '!$D:$L,3,0),IFERROR(VLOOKUP($F639,INSUMOS!$A:$D,3,0),""))))</f>
        <v>M</v>
      </c>
      <c r="I639" s="313">
        <v>5</v>
      </c>
      <c r="J639" s="314">
        <f>IF($F639="","",IFERROR(VLOOKUP($F639,SERVIÇOS!$B:$G,4,0),IFERROR(VLOOKUP($F639,'COMPOSIÇÕES COMPLEMENTARES '!$D:$L,6,0),IFERROR(VLOOKUP($F639,INSUMOS!$A:$D,4,0),""))))</f>
        <v>33.049999999999997</v>
      </c>
      <c r="K639" s="314">
        <f>IF($F639="","",IFERROR(VLOOKUP($F639,SERVIÇOS!$B:$G,5,0),IFERROR(VLOOKUP($F639,'COMPOSIÇÕES COMPLEMENTARES '!$D:$L,7,0),0)))</f>
        <v>6.38</v>
      </c>
      <c r="L639" s="314">
        <f t="shared" si="350"/>
        <v>39.43</v>
      </c>
      <c r="M639" s="314">
        <f t="shared" si="351"/>
        <v>165.25</v>
      </c>
      <c r="N639" s="314">
        <f t="shared" si="352"/>
        <v>31.9</v>
      </c>
      <c r="O639" s="314">
        <f t="shared" si="353"/>
        <v>197.15</v>
      </c>
      <c r="P639" s="314"/>
      <c r="Q639" s="315"/>
      <c r="R639" s="315"/>
      <c r="S639" s="286"/>
      <c r="T639" s="287"/>
      <c r="U639" s="288"/>
      <c r="V639" s="287"/>
      <c r="W639" s="289"/>
      <c r="X639" s="287"/>
      <c r="Y639" s="290"/>
      <c r="Z639" s="291"/>
      <c r="AA639" s="292"/>
      <c r="AB639" s="293"/>
      <c r="AC639" s="294"/>
      <c r="AD639" s="294"/>
      <c r="AE639" s="295"/>
      <c r="AF639" s="295"/>
      <c r="AG639" s="296"/>
      <c r="AH639" s="296"/>
      <c r="AI639" s="296"/>
      <c r="AJ639" s="326"/>
      <c r="AK639" s="326"/>
      <c r="AL639" s="326"/>
      <c r="AM639" s="326"/>
    </row>
    <row r="640" spans="1:39" x14ac:dyDescent="0.25">
      <c r="A640" s="232">
        <f t="shared" si="311"/>
        <v>640</v>
      </c>
      <c r="B640" s="232"/>
      <c r="C640" s="307" t="str">
        <f t="shared" si="347"/>
        <v>15.20</v>
      </c>
      <c r="D640" s="308">
        <f t="shared" si="348"/>
        <v>10</v>
      </c>
      <c r="E640" s="309" t="str">
        <f t="shared" si="349"/>
        <v>15.20.10</v>
      </c>
      <c r="F640" s="310" t="s">
        <v>12221</v>
      </c>
      <c r="G640" s="311" t="str">
        <f>IF($F640="","",IFERROR(VLOOKUP($F640,SERVIÇOS!$B:$G,2,0),IFERROR(VLOOKUP($F640,'COMPOSIÇÕES COMPLEMENTARES '!$D:$L,2,0),IFERROR(VLOOKUP($F640,INSUMOS!$A:$D,2,0),""))))</f>
        <v>CABO FLEXÍVEL ISOL. 750V  -  #2,5MM² - AFUMEX</v>
      </c>
      <c r="H640" s="312" t="str">
        <f>IF($F640="","",IFERROR(VLOOKUP($F640,SERVIÇOS!$B:$G,3,0),IFERROR(VLOOKUP($F640,'COMPOSIÇÕES COMPLEMENTARES '!$D:$L,3,0),IFERROR(VLOOKUP($F640,INSUMOS!$A:$D,3,0),""))))</f>
        <v>M</v>
      </c>
      <c r="I640" s="313">
        <v>102</v>
      </c>
      <c r="J640" s="314">
        <f>IF($F640="","",IFERROR(VLOOKUP($F640,SERVIÇOS!$B:$G,4,0),IFERROR(VLOOKUP($F640,'COMPOSIÇÕES COMPLEMENTARES '!$D:$L,6,0),IFERROR(VLOOKUP($F640,INSUMOS!$A:$D,4,0),""))))</f>
        <v>3.59</v>
      </c>
      <c r="K640" s="314">
        <f>IF($F640="","",IFERROR(VLOOKUP($F640,SERVIÇOS!$B:$G,5,0),IFERROR(VLOOKUP($F640,'COMPOSIÇÕES COMPLEMENTARES '!$D:$L,7,0),0)))</f>
        <v>1.48</v>
      </c>
      <c r="L640" s="314">
        <f t="shared" si="350"/>
        <v>5.07</v>
      </c>
      <c r="M640" s="314">
        <f t="shared" si="351"/>
        <v>366.18</v>
      </c>
      <c r="N640" s="314">
        <f t="shared" si="352"/>
        <v>150.96</v>
      </c>
      <c r="O640" s="314">
        <f t="shared" si="353"/>
        <v>517.14</v>
      </c>
      <c r="P640" s="314"/>
      <c r="Q640" s="315"/>
      <c r="R640" s="315"/>
      <c r="S640" s="286"/>
      <c r="T640" s="287"/>
      <c r="U640" s="288" t="str">
        <f t="shared" ref="U640:U653" si="354">IF(OR(T640="",$O640=""),"",(T640/$I640)*$O640)</f>
        <v/>
      </c>
      <c r="V640" s="287"/>
      <c r="W640" s="289" t="str">
        <f t="shared" ref="W640:W653" si="355">IF(OR(V640="",$O640=""),"",(V640/$I640)*$O640)</f>
        <v/>
      </c>
      <c r="X640" s="287"/>
      <c r="Y640" s="290" t="str">
        <f t="shared" ref="Y640:Y653" si="356">IF(OR(X640="",$O640=""),"",(X640/$I640)*$O640)</f>
        <v/>
      </c>
      <c r="Z640" s="291">
        <f ca="1">SUMIF($T$8:Y$1018,"QUANT.",T640:Y640)</f>
        <v>0</v>
      </c>
      <c r="AA640" s="292">
        <f t="shared" ref="AA640:AA653" ca="1" si="357">SUMIF($T$8:$Y$1018,"CUSTO",T640:Y640)</f>
        <v>0</v>
      </c>
      <c r="AB640" s="293" t="str">
        <f t="shared" ref="AB640:AB653" ca="1" si="358">IF(F640&lt;&gt;"",IF(AA640=0,"MEDIR",IF(O640-AA640=0,"OK",IF(O640-AA640&gt;0,"MEDIR","ALERTA!"))),"")</f>
        <v>MEDIR</v>
      </c>
      <c r="AC640" s="294">
        <f t="shared" ref="AC640:AC653" ca="1" si="359">IF(Z640="",0,I640-Z640)</f>
        <v>102</v>
      </c>
      <c r="AD640" s="294">
        <f t="shared" ref="AD640:AD653" ca="1" si="360">IF(AA640="",0,O640-AA640)</f>
        <v>517.14</v>
      </c>
      <c r="AE640" s="295"/>
      <c r="AF640" s="295"/>
      <c r="AG640" s="296"/>
      <c r="AH640" s="296"/>
      <c r="AI640" s="296"/>
      <c r="AJ640" s="326"/>
      <c r="AK640" s="326"/>
      <c r="AL640" s="326"/>
      <c r="AM640" s="326"/>
    </row>
    <row r="641" spans="1:39" x14ac:dyDescent="0.25">
      <c r="A641" s="232">
        <f t="shared" si="311"/>
        <v>641</v>
      </c>
      <c r="B641" s="232"/>
      <c r="C641" s="307" t="str">
        <f t="shared" si="347"/>
        <v>15.20</v>
      </c>
      <c r="D641" s="308">
        <f t="shared" si="348"/>
        <v>11</v>
      </c>
      <c r="E641" s="309" t="str">
        <f t="shared" si="349"/>
        <v>15.20.11</v>
      </c>
      <c r="F641" s="310" t="s">
        <v>12288</v>
      </c>
      <c r="G641" s="311" t="str">
        <f>IF($F641="","",IFERROR(VLOOKUP($F641,SERVIÇOS!$B:$G,2,0),IFERROR(VLOOKUP($F641,'COMPOSIÇÕES COMPLEMENTARES '!$D:$L,2,0),IFERROR(VLOOKUP($F641,INSUMOS!$A:$D,2,0),""))))</f>
        <v>CABO FLEXÍVEL MULTIPOLAR ISOL. 1KV  - 4X#4,0MM² - AFUMEX (PARA ALIMENTAÇÃO MÁQUINAS DE AR)</v>
      </c>
      <c r="H641" s="312" t="str">
        <f>IF($F641="","",IFERROR(VLOOKUP($F641,SERVIÇOS!$B:$G,3,0),IFERROR(VLOOKUP($F641,'COMPOSIÇÕES COMPLEMENTARES '!$D:$L,3,0),IFERROR(VLOOKUP($F641,INSUMOS!$A:$D,3,0),""))))</f>
        <v>M</v>
      </c>
      <c r="I641" s="313">
        <v>70</v>
      </c>
      <c r="J641" s="314">
        <f>IF($F641="","",IFERROR(VLOOKUP($F641,SERVIÇOS!$B:$G,4,0),IFERROR(VLOOKUP($F641,'COMPOSIÇÕES COMPLEMENTARES '!$D:$L,6,0),IFERROR(VLOOKUP($F641,INSUMOS!$A:$D,4,0),""))))</f>
        <v>19.55</v>
      </c>
      <c r="K641" s="314">
        <f>IF($F641="","",IFERROR(VLOOKUP($F641,SERVIÇOS!$B:$G,5,0),IFERROR(VLOOKUP($F641,'COMPOSIÇÕES COMPLEMENTARES '!$D:$L,7,0),0)))</f>
        <v>1.87</v>
      </c>
      <c r="L641" s="314">
        <f t="shared" si="350"/>
        <v>21.42</v>
      </c>
      <c r="M641" s="314">
        <f t="shared" si="351"/>
        <v>1368.5</v>
      </c>
      <c r="N641" s="314">
        <f t="shared" si="352"/>
        <v>130.9</v>
      </c>
      <c r="O641" s="314">
        <f t="shared" si="353"/>
        <v>1499.4</v>
      </c>
      <c r="P641" s="314"/>
      <c r="Q641" s="315"/>
      <c r="R641" s="315"/>
      <c r="S641" s="286"/>
      <c r="T641" s="287"/>
      <c r="U641" s="288" t="str">
        <f t="shared" si="354"/>
        <v/>
      </c>
      <c r="V641" s="287"/>
      <c r="W641" s="289" t="str">
        <f t="shared" si="355"/>
        <v/>
      </c>
      <c r="X641" s="287"/>
      <c r="Y641" s="290" t="str">
        <f t="shared" si="356"/>
        <v/>
      </c>
      <c r="Z641" s="291">
        <f ca="1">SUMIF($T$8:Y$1018,"QUANT.",T641:Y641)</f>
        <v>0</v>
      </c>
      <c r="AA641" s="292">
        <f t="shared" ca="1" si="357"/>
        <v>0</v>
      </c>
      <c r="AB641" s="293" t="str">
        <f t="shared" ca="1" si="358"/>
        <v>MEDIR</v>
      </c>
      <c r="AC641" s="294">
        <f t="shared" ca="1" si="359"/>
        <v>70</v>
      </c>
      <c r="AD641" s="294">
        <f t="shared" ca="1" si="360"/>
        <v>1499.4</v>
      </c>
      <c r="AE641" s="295"/>
      <c r="AF641" s="295"/>
      <c r="AG641" s="296"/>
      <c r="AH641" s="296"/>
      <c r="AI641" s="296"/>
      <c r="AJ641" s="326"/>
      <c r="AK641" s="326"/>
      <c r="AL641" s="326"/>
      <c r="AM641" s="326"/>
    </row>
    <row r="642" spans="1:39" x14ac:dyDescent="0.25">
      <c r="A642" s="232">
        <f t="shared" ref="A642:A705" si="361">1+A641</f>
        <v>642</v>
      </c>
      <c r="B642" s="232"/>
      <c r="C642" s="307" t="str">
        <f t="shared" si="347"/>
        <v>15.20</v>
      </c>
      <c r="D642" s="308">
        <f t="shared" si="348"/>
        <v>12</v>
      </c>
      <c r="E642" s="309" t="str">
        <f t="shared" si="349"/>
        <v>15.20.12</v>
      </c>
      <c r="F642" s="310" t="s">
        <v>12296</v>
      </c>
      <c r="G642" s="311" t="str">
        <f>IF($F642="","",IFERROR(VLOOKUP($F642,SERVIÇOS!$B:$G,2,0),IFERROR(VLOOKUP($F642,'COMPOSIÇÕES COMPLEMENTARES '!$D:$L,2,0),IFERROR(VLOOKUP($F642,INSUMOS!$A:$D,2,0),""))))</f>
        <v>CABO FLEXÍVEL MULTIPOLAR ISOL. 1KV  - 4X#25MM² - AFUMEX (PARA ALIMENTAÇÃO MÁQUINAS DE AR)</v>
      </c>
      <c r="H642" s="312" t="str">
        <f>IF($F642="","",IFERROR(VLOOKUP($F642,SERVIÇOS!$B:$G,3,0),IFERROR(VLOOKUP($F642,'COMPOSIÇÕES COMPLEMENTARES '!$D:$L,3,0),IFERROR(VLOOKUP($F642,INSUMOS!$A:$D,3,0),""))))</f>
        <v>M</v>
      </c>
      <c r="I642" s="313">
        <v>20</v>
      </c>
      <c r="J642" s="314">
        <f>IF($F642="","",IFERROR(VLOOKUP($F642,SERVIÇOS!$B:$G,4,0),IFERROR(VLOOKUP($F642,'COMPOSIÇÕES COMPLEMENTARES '!$D:$L,6,0),IFERROR(VLOOKUP($F642,INSUMOS!$A:$D,4,0),""))))</f>
        <v>103.72</v>
      </c>
      <c r="K642" s="314">
        <f>IF($F642="","",IFERROR(VLOOKUP($F642,SERVIÇOS!$B:$G,5,0),IFERROR(VLOOKUP($F642,'COMPOSIÇÕES COMPLEMENTARES '!$D:$L,7,0),0)))</f>
        <v>9.9</v>
      </c>
      <c r="L642" s="314">
        <f t="shared" si="350"/>
        <v>113.62</v>
      </c>
      <c r="M642" s="314">
        <f t="shared" si="351"/>
        <v>2074.4</v>
      </c>
      <c r="N642" s="314">
        <f t="shared" si="352"/>
        <v>198</v>
      </c>
      <c r="O642" s="314">
        <f t="shared" si="353"/>
        <v>2272.4</v>
      </c>
      <c r="P642" s="314"/>
      <c r="Q642" s="315"/>
      <c r="R642" s="315"/>
      <c r="S642" s="286"/>
      <c r="T642" s="287"/>
      <c r="U642" s="288" t="str">
        <f t="shared" si="354"/>
        <v/>
      </c>
      <c r="V642" s="287"/>
      <c r="W642" s="289" t="str">
        <f t="shared" si="355"/>
        <v/>
      </c>
      <c r="X642" s="287"/>
      <c r="Y642" s="290" t="str">
        <f t="shared" si="356"/>
        <v/>
      </c>
      <c r="Z642" s="291">
        <f ca="1">SUMIF($T$8:Y$1018,"QUANT.",T642:Y642)</f>
        <v>0</v>
      </c>
      <c r="AA642" s="292">
        <f t="shared" ca="1" si="357"/>
        <v>0</v>
      </c>
      <c r="AB642" s="293" t="str">
        <f t="shared" ca="1" si="358"/>
        <v>MEDIR</v>
      </c>
      <c r="AC642" s="294">
        <f t="shared" ca="1" si="359"/>
        <v>20</v>
      </c>
      <c r="AD642" s="294">
        <f t="shared" ca="1" si="360"/>
        <v>2272.4</v>
      </c>
      <c r="AE642" s="295"/>
      <c r="AF642" s="295"/>
      <c r="AG642" s="296"/>
      <c r="AH642" s="296"/>
      <c r="AI642" s="296"/>
      <c r="AJ642" s="326"/>
      <c r="AK642" s="326"/>
      <c r="AL642" s="326"/>
      <c r="AM642" s="326"/>
    </row>
    <row r="643" spans="1:39" x14ac:dyDescent="0.25">
      <c r="A643" s="232">
        <f t="shared" si="361"/>
        <v>643</v>
      </c>
      <c r="B643" s="232"/>
      <c r="C643" s="316" t="str">
        <f>+E643</f>
        <v>15.21</v>
      </c>
      <c r="D643" s="297"/>
      <c r="E643" s="317" t="s">
        <v>12297</v>
      </c>
      <c r="F643" s="317"/>
      <c r="G643" s="318" t="s">
        <v>12298</v>
      </c>
      <c r="H643" s="317"/>
      <c r="I643" s="319"/>
      <c r="J643" s="317"/>
      <c r="K643" s="317"/>
      <c r="L643" s="317"/>
      <c r="M643" s="317"/>
      <c r="N643" s="317"/>
      <c r="O643" s="317"/>
      <c r="P643" s="317"/>
      <c r="Q643" s="320"/>
      <c r="R643" s="306"/>
      <c r="S643" s="286"/>
      <c r="T643" s="287"/>
      <c r="U643" s="288" t="str">
        <f t="shared" si="354"/>
        <v/>
      </c>
      <c r="V643" s="287"/>
      <c r="W643" s="289" t="str">
        <f t="shared" si="355"/>
        <v/>
      </c>
      <c r="X643" s="287"/>
      <c r="Y643" s="290" t="str">
        <f t="shared" si="356"/>
        <v/>
      </c>
      <c r="Z643" s="291">
        <f ca="1">SUMIF($T$8:Y$1018,"QUANT.",T643:Y643)</f>
        <v>0</v>
      </c>
      <c r="AA643" s="292">
        <f t="shared" ca="1" si="357"/>
        <v>0</v>
      </c>
      <c r="AB643" s="293" t="str">
        <f t="shared" si="358"/>
        <v/>
      </c>
      <c r="AC643" s="294">
        <f t="shared" ca="1" si="359"/>
        <v>0</v>
      </c>
      <c r="AD643" s="294">
        <f t="shared" ca="1" si="360"/>
        <v>0</v>
      </c>
      <c r="AE643" s="295"/>
      <c r="AF643" s="295"/>
      <c r="AG643" s="296"/>
      <c r="AH643" s="296"/>
      <c r="AI643" s="296"/>
      <c r="AJ643" s="326"/>
      <c r="AK643" s="326"/>
      <c r="AL643" s="326"/>
      <c r="AM643" s="326"/>
    </row>
    <row r="644" spans="1:39" x14ac:dyDescent="0.25">
      <c r="A644" s="232">
        <f t="shared" si="361"/>
        <v>644</v>
      </c>
      <c r="B644" s="232"/>
      <c r="C644" s="307" t="str">
        <f t="shared" ref="C644:C651" si="362">+C643</f>
        <v>15.21</v>
      </c>
      <c r="D644" s="308">
        <f t="shared" ref="D644:D651" si="363">1+D643</f>
        <v>1</v>
      </c>
      <c r="E644" s="309" t="str">
        <f t="shared" ref="E644:E651" si="364">C644&amp;"."&amp;D644</f>
        <v>15.21.1</v>
      </c>
      <c r="F644" s="310" t="s">
        <v>12299</v>
      </c>
      <c r="G644" s="311" t="str">
        <f>IF($F644="","",IFERROR(VLOOKUP($F644,SERVIÇOS!$B:$G,2,0),IFERROR(VLOOKUP($F644,'COMPOSIÇÕES COMPLEMENTARES '!$D:$L,2,0),IFERROR(VLOOKUP($F644,INSUMOS!$A:$D,2,0),""))))</f>
        <v>QF-RX - QUADRO DE COMANDO 60X50X25CM PARA ESPERA DOS CABOS RX</v>
      </c>
      <c r="H644" s="312" t="str">
        <f>IF($F644="","",IFERROR(VLOOKUP($F644,SERVIÇOS!$B:$G,3,0),IFERROR(VLOOKUP($F644,'COMPOSIÇÕES COMPLEMENTARES '!$D:$L,3,0),IFERROR(VLOOKUP($F644,INSUMOS!$A:$D,3,0),""))))</f>
        <v>UN</v>
      </c>
      <c r="I644" s="313">
        <v>1</v>
      </c>
      <c r="J644" s="314">
        <f>IF($F644="","",IFERROR(VLOOKUP($F644,SERVIÇOS!$B:$G,4,0),IFERROR(VLOOKUP($F644,'COMPOSIÇÕES COMPLEMENTARES '!$D:$L,6,0),IFERROR(VLOOKUP($F644,INSUMOS!$A:$D,4,0),""))))</f>
        <v>552.09</v>
      </c>
      <c r="K644" s="314">
        <f>IF($F644="","",IFERROR(VLOOKUP($F644,SERVIÇOS!$B:$G,5,0),IFERROR(VLOOKUP($F644,'COMPOSIÇÕES COMPLEMENTARES '!$D:$L,7,0),0)))</f>
        <v>35.61</v>
      </c>
      <c r="L644" s="314">
        <f t="shared" ref="L644:L651" si="365">IF(I644="","",J644+K644)</f>
        <v>587.70000000000005</v>
      </c>
      <c r="M644" s="314">
        <f t="shared" ref="M644:M651" si="366">IF(I644="","",TRUNC((I644*J644),2))</f>
        <v>552.09</v>
      </c>
      <c r="N644" s="314">
        <f t="shared" ref="N644:N651" si="367">IF(I644="","",TRUNC((I644*K644),2))</f>
        <v>35.61</v>
      </c>
      <c r="O644" s="314">
        <f t="shared" ref="O644:O651" si="368">IF(I644="","",TRUNC((M644+N644),2))</f>
        <v>587.70000000000005</v>
      </c>
      <c r="P644" s="314"/>
      <c r="Q644" s="315"/>
      <c r="R644" s="315"/>
      <c r="S644" s="286"/>
      <c r="T644" s="287"/>
      <c r="U644" s="288" t="str">
        <f t="shared" si="354"/>
        <v/>
      </c>
      <c r="V644" s="287"/>
      <c r="W644" s="289" t="str">
        <f t="shared" si="355"/>
        <v/>
      </c>
      <c r="X644" s="287"/>
      <c r="Y644" s="290" t="str">
        <f t="shared" si="356"/>
        <v/>
      </c>
      <c r="Z644" s="291">
        <f ca="1">SUMIF($T$8:Y$1018,"QUANT.",T644:Y644)</f>
        <v>0</v>
      </c>
      <c r="AA644" s="292">
        <f t="shared" ca="1" si="357"/>
        <v>0</v>
      </c>
      <c r="AB644" s="293" t="str">
        <f t="shared" ca="1" si="358"/>
        <v>MEDIR</v>
      </c>
      <c r="AC644" s="294">
        <f t="shared" ca="1" si="359"/>
        <v>1</v>
      </c>
      <c r="AD644" s="294">
        <f t="shared" ca="1" si="360"/>
        <v>587.70000000000005</v>
      </c>
      <c r="AE644" s="295"/>
      <c r="AF644" s="295"/>
      <c r="AG644" s="296"/>
      <c r="AH644" s="296"/>
      <c r="AI644" s="296"/>
      <c r="AJ644" s="326"/>
      <c r="AK644" s="326"/>
      <c r="AL644" s="326"/>
      <c r="AM644" s="326"/>
    </row>
    <row r="645" spans="1:39" x14ac:dyDescent="0.25">
      <c r="A645" s="232">
        <f t="shared" si="361"/>
        <v>645</v>
      </c>
      <c r="B645" s="232"/>
      <c r="C645" s="307" t="str">
        <f t="shared" si="362"/>
        <v>15.21</v>
      </c>
      <c r="D645" s="308">
        <f t="shared" si="363"/>
        <v>2</v>
      </c>
      <c r="E645" s="309" t="str">
        <f t="shared" si="364"/>
        <v>15.21.2</v>
      </c>
      <c r="F645" s="310" t="s">
        <v>12181</v>
      </c>
      <c r="G645" s="311" t="str">
        <f>IF($F645="","",IFERROR(VLOOKUP($F645,SERVIÇOS!$B:$G,2,0),IFERROR(VLOOKUP($F645,'COMPOSIÇÕES COMPLEMENTARES '!$D:$L,2,0),IFERROR(VLOOKUP($F645,INSUMOS!$A:$D,2,0),""))))</f>
        <v>DISJUNTOR TRIPOLAR TIPO DIN, CORRENTE NOMINAL DE 200A</v>
      </c>
      <c r="H645" s="312" t="str">
        <f>IF($F645="","",IFERROR(VLOOKUP($F645,SERVIÇOS!$B:$G,3,0),IFERROR(VLOOKUP($F645,'COMPOSIÇÕES COMPLEMENTARES '!$D:$L,3,0),IFERROR(VLOOKUP($F645,INSUMOS!$A:$D,3,0),""))))</f>
        <v>UN</v>
      </c>
      <c r="I645" s="313">
        <v>1</v>
      </c>
      <c r="J645" s="314">
        <f>IF($F645="","",IFERROR(VLOOKUP($F645,SERVIÇOS!$B:$G,4,0),IFERROR(VLOOKUP($F645,'COMPOSIÇÕES COMPLEMENTARES '!$D:$L,6,0),IFERROR(VLOOKUP($F645,INSUMOS!$A:$D,4,0),""))))</f>
        <v>222.8</v>
      </c>
      <c r="K645" s="314">
        <f>IF($F645="","",IFERROR(VLOOKUP($F645,SERVIÇOS!$B:$G,5,0),IFERROR(VLOOKUP($F645,'COMPOSIÇÕES COMPLEMENTARES '!$D:$L,7,0),0)))</f>
        <v>47.57</v>
      </c>
      <c r="L645" s="314">
        <f t="shared" si="365"/>
        <v>270.37</v>
      </c>
      <c r="M645" s="314">
        <f t="shared" si="366"/>
        <v>222.8</v>
      </c>
      <c r="N645" s="314">
        <f t="shared" si="367"/>
        <v>47.57</v>
      </c>
      <c r="O645" s="314">
        <f t="shared" si="368"/>
        <v>270.37</v>
      </c>
      <c r="P645" s="314"/>
      <c r="Q645" s="315"/>
      <c r="R645" s="315"/>
      <c r="S645" s="286"/>
      <c r="T645" s="287"/>
      <c r="U645" s="288" t="str">
        <f t="shared" si="354"/>
        <v/>
      </c>
      <c r="V645" s="287"/>
      <c r="W645" s="289" t="str">
        <f t="shared" si="355"/>
        <v/>
      </c>
      <c r="X645" s="287"/>
      <c r="Y645" s="290" t="str">
        <f t="shared" si="356"/>
        <v/>
      </c>
      <c r="Z645" s="291">
        <f ca="1">SUMIF($T$8:Y$1018,"QUANT.",T645:Y645)</f>
        <v>0</v>
      </c>
      <c r="AA645" s="292">
        <f t="shared" ca="1" si="357"/>
        <v>0</v>
      </c>
      <c r="AB645" s="293" t="str">
        <f t="shared" ca="1" si="358"/>
        <v>MEDIR</v>
      </c>
      <c r="AC645" s="294">
        <f t="shared" ca="1" si="359"/>
        <v>1</v>
      </c>
      <c r="AD645" s="294">
        <f t="shared" ca="1" si="360"/>
        <v>270.37</v>
      </c>
      <c r="AE645" s="295"/>
      <c r="AF645" s="295"/>
      <c r="AG645" s="296"/>
      <c r="AH645" s="296"/>
      <c r="AI645" s="296"/>
      <c r="AJ645" s="326"/>
      <c r="AK645" s="326"/>
      <c r="AL645" s="326"/>
      <c r="AM645" s="326"/>
    </row>
    <row r="646" spans="1:39" x14ac:dyDescent="0.25">
      <c r="A646" s="232">
        <f t="shared" si="361"/>
        <v>646</v>
      </c>
      <c r="B646" s="232"/>
      <c r="C646" s="307" t="str">
        <f t="shared" si="362"/>
        <v>15.21</v>
      </c>
      <c r="D646" s="308">
        <f t="shared" si="363"/>
        <v>3</v>
      </c>
      <c r="E646" s="309" t="str">
        <f t="shared" si="364"/>
        <v>15.21.3</v>
      </c>
      <c r="F646" s="310" t="s">
        <v>12186</v>
      </c>
      <c r="G646" s="311" t="str">
        <f>IF($F646="","",IFERROR(VLOOKUP($F646,SERVIÇOS!$B:$G,2,0),IFERROR(VLOOKUP($F646,'COMPOSIÇÕES COMPLEMENTARES '!$D:$L,2,0),IFERROR(VLOOKUP($F646,INSUMOS!$A:$D,2,0),""))))</f>
        <v>CONDUTOR DE COBRE FLEX. ISOL. 1KV - 90º - #95MM² - AFUMEX</v>
      </c>
      <c r="H646" s="312" t="str">
        <f>IF($F646="","",IFERROR(VLOOKUP($F646,SERVIÇOS!$B:$G,3,0),IFERROR(VLOOKUP($F646,'COMPOSIÇÕES COMPLEMENTARES '!$D:$L,3,0),IFERROR(VLOOKUP($F646,INSUMOS!$A:$D,3,0),""))))</f>
        <v>M</v>
      </c>
      <c r="I646" s="313">
        <v>160</v>
      </c>
      <c r="J646" s="314">
        <f>IF($F646="","",IFERROR(VLOOKUP($F646,SERVIÇOS!$B:$G,4,0),IFERROR(VLOOKUP($F646,'COMPOSIÇÕES COMPLEMENTARES '!$D:$L,6,0),IFERROR(VLOOKUP($F646,INSUMOS!$A:$D,4,0),""))))</f>
        <v>85.88</v>
      </c>
      <c r="K646" s="314">
        <f>IF($F646="","",IFERROR(VLOOKUP($F646,SERVIÇOS!$B:$G,5,0),IFERROR(VLOOKUP($F646,'COMPOSIÇÕES COMPLEMENTARES '!$D:$L,7,0),0)))</f>
        <v>6.33</v>
      </c>
      <c r="L646" s="314">
        <f t="shared" si="365"/>
        <v>92.21</v>
      </c>
      <c r="M646" s="314">
        <f t="shared" si="366"/>
        <v>13740.8</v>
      </c>
      <c r="N646" s="314">
        <f t="shared" si="367"/>
        <v>1012.8</v>
      </c>
      <c r="O646" s="314">
        <f t="shared" si="368"/>
        <v>14753.6</v>
      </c>
      <c r="P646" s="314"/>
      <c r="Q646" s="315"/>
      <c r="R646" s="315"/>
      <c r="S646" s="286"/>
      <c r="T646" s="287"/>
      <c r="U646" s="288" t="str">
        <f t="shared" si="354"/>
        <v/>
      </c>
      <c r="V646" s="287"/>
      <c r="W646" s="289" t="str">
        <f t="shared" si="355"/>
        <v/>
      </c>
      <c r="X646" s="287"/>
      <c r="Y646" s="290" t="str">
        <f t="shared" si="356"/>
        <v/>
      </c>
      <c r="Z646" s="291">
        <f ca="1">SUMIF($T$8:Y$1018,"QUANT.",T646:Y646)</f>
        <v>0</v>
      </c>
      <c r="AA646" s="292">
        <f t="shared" ca="1" si="357"/>
        <v>0</v>
      </c>
      <c r="AB646" s="293" t="str">
        <f t="shared" ca="1" si="358"/>
        <v>MEDIR</v>
      </c>
      <c r="AC646" s="294">
        <f t="shared" ca="1" si="359"/>
        <v>160</v>
      </c>
      <c r="AD646" s="294">
        <f t="shared" ca="1" si="360"/>
        <v>14753.6</v>
      </c>
      <c r="AE646" s="295"/>
      <c r="AF646" s="295"/>
      <c r="AG646" s="296"/>
      <c r="AH646" s="296"/>
      <c r="AI646" s="296"/>
      <c r="AJ646" s="326"/>
      <c r="AK646" s="326"/>
      <c r="AL646" s="326"/>
      <c r="AM646" s="326"/>
    </row>
    <row r="647" spans="1:39" x14ac:dyDescent="0.25">
      <c r="A647" s="232">
        <f t="shared" si="361"/>
        <v>647</v>
      </c>
      <c r="B647" s="232"/>
      <c r="C647" s="307" t="str">
        <f t="shared" si="362"/>
        <v>15.21</v>
      </c>
      <c r="D647" s="308">
        <f t="shared" si="363"/>
        <v>4</v>
      </c>
      <c r="E647" s="309" t="str">
        <f t="shared" si="364"/>
        <v>15.21.4</v>
      </c>
      <c r="F647" s="310" t="s">
        <v>12187</v>
      </c>
      <c r="G647" s="311" t="str">
        <f>IF($F647="","",IFERROR(VLOOKUP($F647,SERVIÇOS!$B:$G,2,0),IFERROR(VLOOKUP($F647,'COMPOSIÇÕES COMPLEMENTARES '!$D:$L,2,0),IFERROR(VLOOKUP($F647,INSUMOS!$A:$D,2,0),""))))</f>
        <v>CONDUTOR DE COBRE FLEX. ISOL. 1KV - 90º - #50MM² - AFUMEX</v>
      </c>
      <c r="H647" s="312" t="str">
        <f>IF($F647="","",IFERROR(VLOOKUP($F647,SERVIÇOS!$B:$G,3,0),IFERROR(VLOOKUP($F647,'COMPOSIÇÕES COMPLEMENTARES '!$D:$L,3,0),IFERROR(VLOOKUP($F647,INSUMOS!$A:$D,3,0),""))))</f>
        <v>M</v>
      </c>
      <c r="I647" s="313">
        <v>40</v>
      </c>
      <c r="J647" s="314">
        <f>IF($F647="","",IFERROR(VLOOKUP($F647,SERVIÇOS!$B:$G,4,0),IFERROR(VLOOKUP($F647,'COMPOSIÇÕES COMPLEMENTARES '!$D:$L,6,0),IFERROR(VLOOKUP($F647,INSUMOS!$A:$D,4,0),""))))</f>
        <v>51.15</v>
      </c>
      <c r="K647" s="314">
        <f>IF($F647="","",IFERROR(VLOOKUP($F647,SERVIÇOS!$B:$G,5,0),IFERROR(VLOOKUP($F647,'COMPOSIÇÕES COMPLEMENTARES '!$D:$L,7,0),0)))</f>
        <v>4.3</v>
      </c>
      <c r="L647" s="314">
        <f t="shared" si="365"/>
        <v>55.449999999999996</v>
      </c>
      <c r="M647" s="314">
        <f t="shared" si="366"/>
        <v>2046</v>
      </c>
      <c r="N647" s="314">
        <f t="shared" si="367"/>
        <v>172</v>
      </c>
      <c r="O647" s="314">
        <f t="shared" si="368"/>
        <v>2218</v>
      </c>
      <c r="P647" s="314"/>
      <c r="Q647" s="315"/>
      <c r="R647" s="315"/>
      <c r="S647" s="286"/>
      <c r="T647" s="287"/>
      <c r="U647" s="288" t="str">
        <f t="shared" si="354"/>
        <v/>
      </c>
      <c r="V647" s="287"/>
      <c r="W647" s="289" t="str">
        <f t="shared" si="355"/>
        <v/>
      </c>
      <c r="X647" s="287"/>
      <c r="Y647" s="290" t="str">
        <f t="shared" si="356"/>
        <v/>
      </c>
      <c r="Z647" s="291">
        <f ca="1">SUMIF($T$8:Y$1018,"QUANT.",T647:Y647)</f>
        <v>0</v>
      </c>
      <c r="AA647" s="292">
        <f t="shared" ca="1" si="357"/>
        <v>0</v>
      </c>
      <c r="AB647" s="293" t="str">
        <f t="shared" ca="1" si="358"/>
        <v>MEDIR</v>
      </c>
      <c r="AC647" s="294">
        <f t="shared" ca="1" si="359"/>
        <v>40</v>
      </c>
      <c r="AD647" s="294">
        <f t="shared" ca="1" si="360"/>
        <v>2218</v>
      </c>
      <c r="AE647" s="295"/>
      <c r="AF647" s="295"/>
      <c r="AG647" s="296"/>
      <c r="AH647" s="296"/>
      <c r="AI647" s="296"/>
      <c r="AJ647" s="326"/>
      <c r="AK647" s="326"/>
      <c r="AL647" s="326"/>
      <c r="AM647" s="326"/>
    </row>
    <row r="648" spans="1:39" x14ac:dyDescent="0.25">
      <c r="A648" s="232">
        <f t="shared" si="361"/>
        <v>648</v>
      </c>
      <c r="B648" s="232"/>
      <c r="C648" s="307" t="str">
        <f t="shared" si="362"/>
        <v>15.21</v>
      </c>
      <c r="D648" s="308">
        <f t="shared" si="363"/>
        <v>5</v>
      </c>
      <c r="E648" s="309" t="str">
        <f t="shared" si="364"/>
        <v>15.21.5</v>
      </c>
      <c r="F648" s="310" t="s">
        <v>12188</v>
      </c>
      <c r="G648" s="311" t="str">
        <f>IF($F648="","",IFERROR(VLOOKUP($F648,SERVIÇOS!$B:$G,2,0),IFERROR(VLOOKUP($F648,'COMPOSIÇÕES COMPLEMENTARES '!$D:$L,2,0),IFERROR(VLOOKUP($F648,INSUMOS!$A:$D,2,0),""))))</f>
        <v>TERMINAL DE COMPRESSÃO #95MM²</v>
      </c>
      <c r="H648" s="312" t="str">
        <f>IF($F648="","",IFERROR(VLOOKUP($F648,SERVIÇOS!$B:$G,3,0),IFERROR(VLOOKUP($F648,'COMPOSIÇÕES COMPLEMENTARES '!$D:$L,3,0),IFERROR(VLOOKUP($F648,INSUMOS!$A:$D,3,0),""))))</f>
        <v>UN</v>
      </c>
      <c r="I648" s="313">
        <v>8</v>
      </c>
      <c r="J648" s="314">
        <f>IF($F648="","",IFERROR(VLOOKUP($F648,SERVIÇOS!$B:$G,4,0),IFERROR(VLOOKUP($F648,'COMPOSIÇÕES COMPLEMENTARES '!$D:$L,6,0),IFERROR(VLOOKUP($F648,INSUMOS!$A:$D,4,0),""))))</f>
        <v>9.99</v>
      </c>
      <c r="K648" s="314">
        <f>IF($F648="","",IFERROR(VLOOKUP($F648,SERVIÇOS!$B:$G,5,0),IFERROR(VLOOKUP($F648,'COMPOSIÇÕES COMPLEMENTARES '!$D:$L,7,0),0)))</f>
        <v>1.68</v>
      </c>
      <c r="L648" s="314">
        <f t="shared" si="365"/>
        <v>11.67</v>
      </c>
      <c r="M648" s="314">
        <f t="shared" si="366"/>
        <v>79.92</v>
      </c>
      <c r="N648" s="314">
        <f t="shared" si="367"/>
        <v>13.44</v>
      </c>
      <c r="O648" s="314">
        <f t="shared" si="368"/>
        <v>93.36</v>
      </c>
      <c r="P648" s="314"/>
      <c r="Q648" s="315"/>
      <c r="R648" s="315"/>
      <c r="S648" s="286"/>
      <c r="T648" s="287"/>
      <c r="U648" s="288" t="str">
        <f t="shared" si="354"/>
        <v/>
      </c>
      <c r="V648" s="287"/>
      <c r="W648" s="289" t="str">
        <f t="shared" si="355"/>
        <v/>
      </c>
      <c r="X648" s="287"/>
      <c r="Y648" s="290" t="str">
        <f t="shared" si="356"/>
        <v/>
      </c>
      <c r="Z648" s="291">
        <f ca="1">SUMIF($T$8:Y$1018,"QUANT.",T648:Y648)</f>
        <v>0</v>
      </c>
      <c r="AA648" s="292">
        <f t="shared" ca="1" si="357"/>
        <v>0</v>
      </c>
      <c r="AB648" s="293" t="str">
        <f t="shared" ca="1" si="358"/>
        <v>MEDIR</v>
      </c>
      <c r="AC648" s="294">
        <f t="shared" ca="1" si="359"/>
        <v>8</v>
      </c>
      <c r="AD648" s="294">
        <f t="shared" ca="1" si="360"/>
        <v>93.36</v>
      </c>
      <c r="AE648" s="295"/>
      <c r="AF648" s="295"/>
      <c r="AG648" s="296"/>
      <c r="AH648" s="296"/>
      <c r="AI648" s="296"/>
      <c r="AJ648" s="326"/>
      <c r="AK648" s="326"/>
      <c r="AL648" s="326"/>
      <c r="AM648" s="326"/>
    </row>
    <row r="649" spans="1:39" x14ac:dyDescent="0.25">
      <c r="A649" s="232">
        <f t="shared" si="361"/>
        <v>649</v>
      </c>
      <c r="B649" s="232"/>
      <c r="C649" s="307" t="str">
        <f t="shared" si="362"/>
        <v>15.21</v>
      </c>
      <c r="D649" s="308">
        <f t="shared" si="363"/>
        <v>6</v>
      </c>
      <c r="E649" s="309" t="str">
        <f t="shared" si="364"/>
        <v>15.21.6</v>
      </c>
      <c r="F649" s="310" t="s">
        <v>12189</v>
      </c>
      <c r="G649" s="311" t="str">
        <f>IF($F649="","",IFERROR(VLOOKUP($F649,SERVIÇOS!$B:$G,2,0),IFERROR(VLOOKUP($F649,'COMPOSIÇÕES COMPLEMENTARES '!$D:$L,2,0),IFERROR(VLOOKUP($F649,INSUMOS!$A:$D,2,0),""))))</f>
        <v>TERMINAL DE COMPRESSÃO #50MM²</v>
      </c>
      <c r="H649" s="312" t="str">
        <f>IF($F649="","",IFERROR(VLOOKUP($F649,SERVIÇOS!$B:$G,3,0),IFERROR(VLOOKUP($F649,'COMPOSIÇÕES COMPLEMENTARES '!$D:$L,3,0),IFERROR(VLOOKUP($F649,INSUMOS!$A:$D,3,0),""))))</f>
        <v>UN</v>
      </c>
      <c r="I649" s="313">
        <v>2</v>
      </c>
      <c r="J649" s="314">
        <f>IF($F649="","",IFERROR(VLOOKUP($F649,SERVIÇOS!$B:$G,4,0),IFERROR(VLOOKUP($F649,'COMPOSIÇÕES COMPLEMENTARES '!$D:$L,6,0),IFERROR(VLOOKUP($F649,INSUMOS!$A:$D,4,0),""))))</f>
        <v>6.63</v>
      </c>
      <c r="K649" s="314">
        <f>IF($F649="","",IFERROR(VLOOKUP($F649,SERVIÇOS!$B:$G,5,0),IFERROR(VLOOKUP($F649,'COMPOSIÇÕES COMPLEMENTARES '!$D:$L,7,0),0)))</f>
        <v>1.4</v>
      </c>
      <c r="L649" s="314">
        <f t="shared" si="365"/>
        <v>8.0299999999999994</v>
      </c>
      <c r="M649" s="314">
        <f t="shared" si="366"/>
        <v>13.26</v>
      </c>
      <c r="N649" s="314">
        <f t="shared" si="367"/>
        <v>2.8</v>
      </c>
      <c r="O649" s="314">
        <f t="shared" si="368"/>
        <v>16.059999999999999</v>
      </c>
      <c r="P649" s="314"/>
      <c r="Q649" s="315"/>
      <c r="R649" s="315"/>
      <c r="S649" s="286"/>
      <c r="T649" s="287"/>
      <c r="U649" s="288" t="str">
        <f t="shared" si="354"/>
        <v/>
      </c>
      <c r="V649" s="287"/>
      <c r="W649" s="289" t="str">
        <f t="shared" si="355"/>
        <v/>
      </c>
      <c r="X649" s="287"/>
      <c r="Y649" s="290" t="str">
        <f t="shared" si="356"/>
        <v/>
      </c>
      <c r="Z649" s="291">
        <f ca="1">SUMIF($T$8:Y$1018,"QUANT.",T649:Y649)</f>
        <v>0</v>
      </c>
      <c r="AA649" s="292">
        <f t="shared" ca="1" si="357"/>
        <v>0</v>
      </c>
      <c r="AB649" s="293" t="str">
        <f t="shared" ca="1" si="358"/>
        <v>MEDIR</v>
      </c>
      <c r="AC649" s="294">
        <f t="shared" ca="1" si="359"/>
        <v>2</v>
      </c>
      <c r="AD649" s="294">
        <f t="shared" ca="1" si="360"/>
        <v>16.059999999999999</v>
      </c>
      <c r="AE649" s="295"/>
      <c r="AF649" s="295"/>
      <c r="AG649" s="296"/>
      <c r="AH649" s="296"/>
      <c r="AI649" s="296"/>
      <c r="AJ649" s="326"/>
      <c r="AK649" s="326"/>
      <c r="AL649" s="326"/>
      <c r="AM649" s="326"/>
    </row>
    <row r="650" spans="1:39" ht="25.5" x14ac:dyDescent="0.25">
      <c r="A650" s="232">
        <f t="shared" si="361"/>
        <v>650</v>
      </c>
      <c r="B650" s="232"/>
      <c r="C650" s="307" t="str">
        <f t="shared" si="362"/>
        <v>15.21</v>
      </c>
      <c r="D650" s="308">
        <f t="shared" si="363"/>
        <v>7</v>
      </c>
      <c r="E650" s="309" t="str">
        <f t="shared" si="364"/>
        <v>15.21.7</v>
      </c>
      <c r="F650" s="310">
        <v>97669</v>
      </c>
      <c r="G650" s="311" t="str">
        <f>IF($F650="","",IFERROR(VLOOKUP($F650,SERVIÇOS!$B:$G,2,0),IFERROR(VLOOKUP($F650,'COMPOSIÇÕES COMPLEMENTARES '!$D:$L,2,0),IFERROR(VLOOKUP($F650,INSUMOS!$A:$D,2,0),""))))</f>
        <v>ELETRODUTO FLEXÍVEL CORRUGADO, PEAD, DN 90 (3"), PARA REDE ENTERRADA DE DISTRIBUIÇÃO DE ENERGIA ELÉTRICA - FORNECIMENTO E INSTALAÇÃO. AF_12/2021</v>
      </c>
      <c r="H650" s="312" t="str">
        <f>IF($F650="","",IFERROR(VLOOKUP($F650,SERVIÇOS!$B:$G,3,0),IFERROR(VLOOKUP($F650,'COMPOSIÇÕES COMPLEMENTARES '!$D:$L,3,0),IFERROR(VLOOKUP($F650,INSUMOS!$A:$D,3,0),""))))</f>
        <v>M</v>
      </c>
      <c r="I650" s="313">
        <v>40</v>
      </c>
      <c r="J650" s="314">
        <f>IF($F650="","",IFERROR(VLOOKUP($F650,SERVIÇOS!$B:$G,4,0),IFERROR(VLOOKUP($F650,'COMPOSIÇÕES COMPLEMENTARES '!$D:$L,6,0),IFERROR(VLOOKUP($F650,INSUMOS!$A:$D,4,0),""))))</f>
        <v>16.05</v>
      </c>
      <c r="K650" s="314">
        <f>IF($F650="","",IFERROR(VLOOKUP($F650,SERVIÇOS!$B:$G,5,0),IFERROR(VLOOKUP($F650,'COMPOSIÇÕES COMPLEMENTARES '!$D:$L,7,0),0)))</f>
        <v>7.46</v>
      </c>
      <c r="L650" s="314">
        <f t="shared" si="365"/>
        <v>23.51</v>
      </c>
      <c r="M650" s="314">
        <f t="shared" si="366"/>
        <v>642</v>
      </c>
      <c r="N650" s="314">
        <f t="shared" si="367"/>
        <v>298.39999999999998</v>
      </c>
      <c r="O650" s="314">
        <f t="shared" si="368"/>
        <v>940.4</v>
      </c>
      <c r="P650" s="314"/>
      <c r="Q650" s="315"/>
      <c r="R650" s="315"/>
      <c r="S650" s="286"/>
      <c r="T650" s="287"/>
      <c r="U650" s="288" t="str">
        <f t="shared" si="354"/>
        <v/>
      </c>
      <c r="V650" s="287"/>
      <c r="W650" s="289" t="str">
        <f t="shared" si="355"/>
        <v/>
      </c>
      <c r="X650" s="287"/>
      <c r="Y650" s="290" t="str">
        <f t="shared" si="356"/>
        <v/>
      </c>
      <c r="Z650" s="291">
        <f ca="1">SUMIF($T$8:Y$1018,"QUANT.",T650:Y650)</f>
        <v>0</v>
      </c>
      <c r="AA650" s="292">
        <f t="shared" ca="1" si="357"/>
        <v>0</v>
      </c>
      <c r="AB650" s="293" t="str">
        <f t="shared" ca="1" si="358"/>
        <v>MEDIR</v>
      </c>
      <c r="AC650" s="294">
        <f t="shared" ca="1" si="359"/>
        <v>40</v>
      </c>
      <c r="AD650" s="294">
        <f t="shared" ca="1" si="360"/>
        <v>940.4</v>
      </c>
      <c r="AE650" s="295"/>
      <c r="AF650" s="295"/>
      <c r="AG650" s="296"/>
      <c r="AH650" s="296"/>
      <c r="AI650" s="296"/>
      <c r="AJ650" s="326"/>
      <c r="AK650" s="326"/>
      <c r="AL650" s="326"/>
      <c r="AM650" s="326"/>
    </row>
    <row r="651" spans="1:39" x14ac:dyDescent="0.25">
      <c r="A651" s="232">
        <f t="shared" si="361"/>
        <v>651</v>
      </c>
      <c r="B651" s="232"/>
      <c r="C651" s="307" t="str">
        <f t="shared" si="362"/>
        <v>15.21</v>
      </c>
      <c r="D651" s="308">
        <f t="shared" si="363"/>
        <v>8</v>
      </c>
      <c r="E651" s="309" t="str">
        <f t="shared" si="364"/>
        <v>15.21.8</v>
      </c>
      <c r="F651" s="310" t="s">
        <v>12300</v>
      </c>
      <c r="G651" s="311" t="str">
        <f>IF($F651="","",IFERROR(VLOOKUP($F651,SERVIÇOS!$B:$G,2,0),IFERROR(VLOOKUP($F651,'COMPOSIÇÕES COMPLEMENTARES '!$D:$L,2,0),IFERROR(VLOOKUP($F651,INSUMOS!$A:$D,2,0),""))))</f>
        <v>UNIDUT CÔNICO Ø3" COM BUCHA E ARRUELA DE ALUMÍNIO Ø3"</v>
      </c>
      <c r="H651" s="312" t="str">
        <f>IF($F651="","",IFERROR(VLOOKUP($F651,SERVIÇOS!$B:$G,3,0),IFERROR(VLOOKUP($F651,'COMPOSIÇÕES COMPLEMENTARES '!$D:$L,3,0),IFERROR(VLOOKUP($F651,INSUMOS!$A:$D,3,0),""))))</f>
        <v>UN</v>
      </c>
      <c r="I651" s="313">
        <v>6</v>
      </c>
      <c r="J651" s="314">
        <f>IF($F651="","",IFERROR(VLOOKUP($F651,SERVIÇOS!$B:$G,4,0),IFERROR(VLOOKUP($F651,'COMPOSIÇÕES COMPLEMENTARES '!$D:$L,6,0),IFERROR(VLOOKUP($F651,INSUMOS!$A:$D,4,0),""))))</f>
        <v>44.02</v>
      </c>
      <c r="K651" s="314">
        <f>IF($F651="","",IFERROR(VLOOKUP($F651,SERVIÇOS!$B:$G,5,0),IFERROR(VLOOKUP($F651,'COMPOSIÇÕES COMPLEMENTARES '!$D:$L,7,0),0)))</f>
        <v>2.4700000000000002</v>
      </c>
      <c r="L651" s="314">
        <f t="shared" si="365"/>
        <v>46.49</v>
      </c>
      <c r="M651" s="314">
        <f t="shared" si="366"/>
        <v>264.12</v>
      </c>
      <c r="N651" s="314">
        <f t="shared" si="367"/>
        <v>14.82</v>
      </c>
      <c r="O651" s="314">
        <f t="shared" si="368"/>
        <v>278.94</v>
      </c>
      <c r="P651" s="314"/>
      <c r="Q651" s="315"/>
      <c r="R651" s="315"/>
      <c r="S651" s="286"/>
      <c r="T651" s="287"/>
      <c r="U651" s="288" t="str">
        <f t="shared" si="354"/>
        <v/>
      </c>
      <c r="V651" s="287"/>
      <c r="W651" s="289" t="str">
        <f t="shared" si="355"/>
        <v/>
      </c>
      <c r="X651" s="287"/>
      <c r="Y651" s="290" t="str">
        <f t="shared" si="356"/>
        <v/>
      </c>
      <c r="Z651" s="291">
        <f ca="1">SUMIF($T$8:Y$1018,"QUANT.",T651:Y651)</f>
        <v>0</v>
      </c>
      <c r="AA651" s="292">
        <f t="shared" ca="1" si="357"/>
        <v>0</v>
      </c>
      <c r="AB651" s="293" t="str">
        <f t="shared" ca="1" si="358"/>
        <v>MEDIR</v>
      </c>
      <c r="AC651" s="294">
        <f t="shared" ca="1" si="359"/>
        <v>6</v>
      </c>
      <c r="AD651" s="294">
        <f t="shared" ca="1" si="360"/>
        <v>278.94</v>
      </c>
      <c r="AE651" s="295"/>
      <c r="AF651" s="295"/>
      <c r="AG651" s="296"/>
      <c r="AH651" s="296"/>
      <c r="AI651" s="296"/>
      <c r="AJ651" s="326"/>
      <c r="AK651" s="326"/>
      <c r="AL651" s="326"/>
      <c r="AM651" s="326"/>
    </row>
    <row r="652" spans="1:39" x14ac:dyDescent="0.25">
      <c r="A652" s="232">
        <f t="shared" si="361"/>
        <v>652</v>
      </c>
      <c r="B652" s="232"/>
      <c r="C652" s="316" t="str">
        <f>+E652</f>
        <v>15.22</v>
      </c>
      <c r="D652" s="297"/>
      <c r="E652" s="317" t="s">
        <v>12301</v>
      </c>
      <c r="F652" s="317"/>
      <c r="G652" s="327" t="s">
        <v>12302</v>
      </c>
      <c r="H652" s="317"/>
      <c r="I652" s="319"/>
      <c r="J652" s="317"/>
      <c r="K652" s="317"/>
      <c r="L652" s="317"/>
      <c r="M652" s="317"/>
      <c r="N652" s="317"/>
      <c r="O652" s="317"/>
      <c r="P652" s="317"/>
      <c r="Q652" s="320"/>
      <c r="R652" s="306"/>
      <c r="S652" s="286"/>
      <c r="T652" s="287"/>
      <c r="U652" s="288" t="str">
        <f t="shared" si="354"/>
        <v/>
      </c>
      <c r="V652" s="287"/>
      <c r="W652" s="289" t="str">
        <f t="shared" si="355"/>
        <v/>
      </c>
      <c r="X652" s="287"/>
      <c r="Y652" s="290" t="str">
        <f t="shared" si="356"/>
        <v/>
      </c>
      <c r="Z652" s="291">
        <f ca="1">SUMIF($T$8:Y$1018,"QUANT.",T652:Y652)</f>
        <v>0</v>
      </c>
      <c r="AA652" s="292">
        <f t="shared" ca="1" si="357"/>
        <v>0</v>
      </c>
      <c r="AB652" s="293" t="str">
        <f t="shared" si="358"/>
        <v/>
      </c>
      <c r="AC652" s="294">
        <f t="shared" ca="1" si="359"/>
        <v>0</v>
      </c>
      <c r="AD652" s="294">
        <f t="shared" ca="1" si="360"/>
        <v>0</v>
      </c>
      <c r="AE652" s="295"/>
      <c r="AF652" s="295"/>
      <c r="AG652" s="296"/>
      <c r="AH652" s="296"/>
      <c r="AI652" s="296"/>
      <c r="AJ652" s="326"/>
      <c r="AK652" s="326"/>
      <c r="AL652" s="326"/>
      <c r="AM652" s="326"/>
    </row>
    <row r="653" spans="1:39" x14ac:dyDescent="0.25">
      <c r="A653" s="232">
        <f t="shared" si="361"/>
        <v>653</v>
      </c>
      <c r="B653" s="232"/>
      <c r="C653" s="308" t="str">
        <f>+C652</f>
        <v>15.22</v>
      </c>
      <c r="D653" s="308">
        <f>1+D652</f>
        <v>1</v>
      </c>
      <c r="E653" s="309" t="str">
        <f>C653&amp;"."&amp;D653</f>
        <v>15.22.1</v>
      </c>
      <c r="F653" s="328"/>
      <c r="G653" s="329" t="s">
        <v>12303</v>
      </c>
      <c r="H653" s="312"/>
      <c r="I653" s="313"/>
      <c r="J653" s="314"/>
      <c r="K653" s="314"/>
      <c r="L653" s="314"/>
      <c r="M653" s="314"/>
      <c r="N653" s="314"/>
      <c r="O653" s="314"/>
      <c r="P653" s="314"/>
      <c r="Q653" s="315"/>
      <c r="R653" s="306"/>
      <c r="S653" s="286"/>
      <c r="T653" s="287"/>
      <c r="U653" s="288" t="str">
        <f t="shared" si="354"/>
        <v/>
      </c>
      <c r="V653" s="287"/>
      <c r="W653" s="289" t="str">
        <f t="shared" si="355"/>
        <v/>
      </c>
      <c r="X653" s="287"/>
      <c r="Y653" s="290" t="str">
        <f t="shared" si="356"/>
        <v/>
      </c>
      <c r="Z653" s="291">
        <f ca="1">SUMIF($T$8:Y$1018,"QUANT.",T653:Y653)</f>
        <v>0</v>
      </c>
      <c r="AA653" s="292">
        <f t="shared" ca="1" si="357"/>
        <v>0</v>
      </c>
      <c r="AB653" s="293" t="str">
        <f t="shared" si="358"/>
        <v/>
      </c>
      <c r="AC653" s="294">
        <f t="shared" ca="1" si="359"/>
        <v>0</v>
      </c>
      <c r="AD653" s="294">
        <f t="shared" ca="1" si="360"/>
        <v>0</v>
      </c>
      <c r="AE653" s="295"/>
      <c r="AF653" s="295"/>
      <c r="AG653" s="296"/>
      <c r="AH653" s="296"/>
      <c r="AI653" s="296"/>
      <c r="AJ653" s="326"/>
      <c r="AK653" s="326"/>
      <c r="AL653" s="326"/>
      <c r="AM653" s="326"/>
    </row>
    <row r="654" spans="1:39" s="342" customFormat="1" ht="25.5" x14ac:dyDescent="0.25">
      <c r="A654" s="232">
        <f t="shared" si="361"/>
        <v>654</v>
      </c>
      <c r="B654" s="232"/>
      <c r="C654" s="307" t="str">
        <f>+C653</f>
        <v>15.22</v>
      </c>
      <c r="D654" s="308">
        <f>1+D653</f>
        <v>2</v>
      </c>
      <c r="E654" s="309" t="str">
        <f>C654&amp;"."&amp;D654</f>
        <v>15.22.2</v>
      </c>
      <c r="F654" s="310" t="s">
        <v>12304</v>
      </c>
      <c r="G654" s="311" t="str">
        <f>IF($F654="","",IFERROR(VLOOKUP($F654,SERVIÇOS!$B:$G,2,0),IFERROR(VLOOKUP($F654,'COMPOSIÇÕES COMPLEMENTARES '!$D:$L,2,0),IFERROR(VLOOKUP($F654,INSUMOS!$A:$D,2,0),""))))</f>
        <v>CAIXA ENTERRADA PARA INSTALAÇÕES TELEFÔNICAS TIPO R1 E TAMPA PARA CAIXA TIPO R1, EM FERRO FUNDIDO, DIMENSÕES INTERNAS: 0,40 X 0,60 M - FORNECIMENTO E INSTALAÇÃO</v>
      </c>
      <c r="H654" s="312" t="str">
        <f>IF($F654="","",IFERROR(VLOOKUP($F654,SERVIÇOS!$B:$G,3,0),IFERROR(VLOOKUP($F654,'COMPOSIÇÕES COMPLEMENTARES '!$D:$L,3,0),IFERROR(VLOOKUP($F654,INSUMOS!$A:$D,3,0),""))))</f>
        <v>UN</v>
      </c>
      <c r="I654" s="313">
        <v>3</v>
      </c>
      <c r="J654" s="314">
        <f>IF($F654="","",IFERROR(VLOOKUP($F654,SERVIÇOS!$B:$G,4,0),IFERROR(VLOOKUP($F654,'COMPOSIÇÕES COMPLEMENTARES '!$D:$L,6,0),IFERROR(VLOOKUP($F654,INSUMOS!$A:$D,4,0),""))))</f>
        <v>740.47</v>
      </c>
      <c r="K654" s="314">
        <f>IF($F654="","",IFERROR(VLOOKUP($F654,SERVIÇOS!$B:$G,5,0),IFERROR(VLOOKUP($F654,'COMPOSIÇÕES COMPLEMENTARES '!$D:$L,7,0),0)))</f>
        <v>309.86</v>
      </c>
      <c r="L654" s="314">
        <f>IF(I654="","",J654+K654)</f>
        <v>1050.33</v>
      </c>
      <c r="M654" s="314">
        <f>IF(I654="","",TRUNC((I654*J654),2))</f>
        <v>2221.41</v>
      </c>
      <c r="N654" s="314">
        <f>IF(I654="","",TRUNC((I654*K654),2))</f>
        <v>929.58</v>
      </c>
      <c r="O654" s="314">
        <f>IF(I654="","",TRUNC((M654+N654),2))</f>
        <v>3150.99</v>
      </c>
      <c r="P654" s="314"/>
      <c r="Q654" s="315"/>
      <c r="R654" s="330"/>
      <c r="S654" s="286"/>
      <c r="T654" s="331"/>
      <c r="U654" s="332"/>
      <c r="V654" s="331"/>
      <c r="W654" s="333"/>
      <c r="X654" s="331"/>
      <c r="Y654" s="334"/>
      <c r="Z654" s="335"/>
      <c r="AA654" s="336"/>
      <c r="AB654" s="337"/>
      <c r="AC654" s="338"/>
      <c r="AD654" s="338"/>
      <c r="AE654" s="339"/>
      <c r="AF654" s="339"/>
      <c r="AG654" s="340"/>
      <c r="AH654" s="340"/>
      <c r="AI654" s="340"/>
      <c r="AJ654" s="341"/>
      <c r="AK654" s="341"/>
      <c r="AL654" s="341"/>
      <c r="AM654" s="341"/>
    </row>
    <row r="655" spans="1:39" s="342" customFormat="1" ht="25.5" x14ac:dyDescent="0.25">
      <c r="A655" s="232">
        <f t="shared" si="361"/>
        <v>655</v>
      </c>
      <c r="B655" s="232"/>
      <c r="C655" s="307" t="str">
        <f>+C654</f>
        <v>15.22</v>
      </c>
      <c r="D655" s="308">
        <f>1+D654</f>
        <v>3</v>
      </c>
      <c r="E655" s="309" t="str">
        <f>C655&amp;"."&amp;D655</f>
        <v>15.22.3</v>
      </c>
      <c r="F655" s="310">
        <v>97668</v>
      </c>
      <c r="G655" s="311" t="str">
        <f>IF($F655="","",IFERROR(VLOOKUP($F655,SERVIÇOS!$B:$G,2,0),IFERROR(VLOOKUP($F655,'COMPOSIÇÕES COMPLEMENTARES '!$D:$L,2,0),IFERROR(VLOOKUP($F655,INSUMOS!$A:$D,2,0),""))))</f>
        <v>ELETRODUTO FLEXÍVEL CORRUGADO, PEAD, DN 63 (2"), PARA REDE ENTERRADA DE DISTRIBUIÇÃO DE ENERGIA ELÉTRICA - FORNECIMENTO E INSTALAÇÃO. AF_12/2021</v>
      </c>
      <c r="H655" s="312" t="str">
        <f>IF($F655="","",IFERROR(VLOOKUP($F655,SERVIÇOS!$B:$G,3,0),IFERROR(VLOOKUP($F655,'COMPOSIÇÕES COMPLEMENTARES '!$D:$L,3,0),IFERROR(VLOOKUP($F655,INSUMOS!$A:$D,3,0),""))))</f>
        <v>M</v>
      </c>
      <c r="I655" s="313">
        <v>84</v>
      </c>
      <c r="J655" s="314">
        <f>IF($F655="","",IFERROR(VLOOKUP($F655,SERVIÇOS!$B:$G,4,0),IFERROR(VLOOKUP($F655,'COMPOSIÇÕES COMPLEMENTARES '!$D:$L,6,0),IFERROR(VLOOKUP($F655,INSUMOS!$A:$D,4,0),""))))</f>
        <v>11.19</v>
      </c>
      <c r="K655" s="314">
        <f>IF($F655="","",IFERROR(VLOOKUP($F655,SERVIÇOS!$B:$G,5,0),IFERROR(VLOOKUP($F655,'COMPOSIÇÕES COMPLEMENTARES '!$D:$L,7,0),0)))</f>
        <v>4.68</v>
      </c>
      <c r="L655" s="314">
        <f>IF(I655="","",J655+K655)</f>
        <v>15.87</v>
      </c>
      <c r="M655" s="314">
        <f>IF(I655="","",TRUNC((I655*J655),2))</f>
        <v>939.96</v>
      </c>
      <c r="N655" s="314">
        <f>IF(I655="","",TRUNC((I655*K655),2))</f>
        <v>393.12</v>
      </c>
      <c r="O655" s="314">
        <f>IF(I655="","",TRUNC((M655+N655),2))</f>
        <v>1333.08</v>
      </c>
      <c r="P655" s="314"/>
      <c r="Q655" s="315"/>
      <c r="R655" s="330"/>
      <c r="S655" s="286"/>
      <c r="T655" s="331"/>
      <c r="U655" s="332"/>
      <c r="V655" s="331"/>
      <c r="W655" s="333"/>
      <c r="X655" s="331"/>
      <c r="Y655" s="334"/>
      <c r="Z655" s="335"/>
      <c r="AA655" s="336"/>
      <c r="AB655" s="337"/>
      <c r="AC655" s="338"/>
      <c r="AD655" s="338"/>
      <c r="AE655" s="339"/>
      <c r="AF655" s="339"/>
      <c r="AG655" s="340"/>
      <c r="AH655" s="340"/>
      <c r="AI655" s="340"/>
      <c r="AJ655" s="341"/>
      <c r="AK655" s="341"/>
      <c r="AL655" s="341"/>
      <c r="AM655" s="341"/>
    </row>
    <row r="656" spans="1:39" s="342" customFormat="1" ht="38.25" x14ac:dyDescent="0.25">
      <c r="A656" s="232">
        <f t="shared" si="361"/>
        <v>656</v>
      </c>
      <c r="B656" s="232"/>
      <c r="C656" s="307" t="str">
        <f>+C655</f>
        <v>15.22</v>
      </c>
      <c r="D656" s="308">
        <f>1+D655</f>
        <v>4</v>
      </c>
      <c r="E656" s="309" t="str">
        <f>C656&amp;"."&amp;D656</f>
        <v>15.22.4</v>
      </c>
      <c r="F656" s="310">
        <v>102279</v>
      </c>
      <c r="G656" s="311" t="str">
        <f>IF($F656="","",IFERROR(VLOOKUP($F656,SERVIÇOS!$B:$G,2,0),IFERROR(VLOOKUP($F656,'COMPOSIÇÕES COMPLEMENTARES '!$D:$L,2,0),IFERROR(VLOOKUP($F656,INSUMOS!$A:$D,2,0),""))))</f>
        <v>ESCAVAÇÃO MECANIZADA DE VALA COM PROF. ATÉ 1,5 M (MÉDIA MONTANTE E JUSANTE/UMA COMPOSIÇÃO POR TRECHO), ESCAVADEIRA (0,8 M3),LARG. MENOR QUE 1,5 M, EM SOLO DE 1A CATEGORIA, LOCAIS COM BAIXO NÍVEL DE INTERFERÊNCIA. AF_09/2024</v>
      </c>
      <c r="H656" s="312" t="str">
        <f>IF($F656="","",IFERROR(VLOOKUP($F656,SERVIÇOS!$B:$G,3,0),IFERROR(VLOOKUP($F656,'COMPOSIÇÕES COMPLEMENTARES '!$D:$L,3,0),IFERROR(VLOOKUP($F656,INSUMOS!$A:$D,3,0),""))))</f>
        <v>M3</v>
      </c>
      <c r="I656" s="313">
        <v>15.12</v>
      </c>
      <c r="J656" s="314">
        <f>IF($F656="","",IFERROR(VLOOKUP($F656,SERVIÇOS!$B:$G,4,0),IFERROR(VLOOKUP($F656,'COMPOSIÇÕES COMPLEMENTARES '!$D:$L,6,0),IFERROR(VLOOKUP($F656,INSUMOS!$A:$D,4,0),""))))</f>
        <v>5.79</v>
      </c>
      <c r="K656" s="314">
        <f>IF($F656="","",IFERROR(VLOOKUP($F656,SERVIÇOS!$B:$G,5,0),IFERROR(VLOOKUP($F656,'COMPOSIÇÕES COMPLEMENTARES '!$D:$L,7,0),0)))</f>
        <v>1.76</v>
      </c>
      <c r="L656" s="314">
        <f>IF(I656="","",J656+K656)</f>
        <v>7.55</v>
      </c>
      <c r="M656" s="314">
        <f>IF(I656="","",TRUNC((I656*J656),2))</f>
        <v>87.54</v>
      </c>
      <c r="N656" s="314">
        <f>IF(I656="","",TRUNC((I656*K656),2))</f>
        <v>26.61</v>
      </c>
      <c r="O656" s="314">
        <f>IF(I656="","",TRUNC((M656+N656),2))</f>
        <v>114.15</v>
      </c>
      <c r="P656" s="314"/>
      <c r="Q656" s="315"/>
      <c r="R656" s="330"/>
      <c r="S656" s="286"/>
      <c r="T656" s="331"/>
      <c r="U656" s="332"/>
      <c r="V656" s="331"/>
      <c r="W656" s="333"/>
      <c r="X656" s="331"/>
      <c r="Y656" s="334"/>
      <c r="Z656" s="335"/>
      <c r="AA656" s="336"/>
      <c r="AB656" s="337"/>
      <c r="AC656" s="338"/>
      <c r="AD656" s="338"/>
      <c r="AE656" s="339"/>
      <c r="AF656" s="339"/>
      <c r="AG656" s="340"/>
      <c r="AH656" s="340"/>
      <c r="AI656" s="340"/>
      <c r="AJ656" s="341"/>
      <c r="AK656" s="341"/>
      <c r="AL656" s="341"/>
      <c r="AM656" s="341"/>
    </row>
    <row r="657" spans="1:39" s="342" customFormat="1" x14ac:dyDescent="0.25">
      <c r="A657" s="232">
        <f t="shared" si="361"/>
        <v>657</v>
      </c>
      <c r="B657" s="232"/>
      <c r="C657" s="307" t="str">
        <f>+C656</f>
        <v>15.22</v>
      </c>
      <c r="D657" s="308">
        <f>1+D656</f>
        <v>5</v>
      </c>
      <c r="E657" s="309" t="str">
        <f>C657&amp;"."&amp;D657</f>
        <v>15.22.5</v>
      </c>
      <c r="F657" s="310" t="s">
        <v>12191</v>
      </c>
      <c r="G657" s="311" t="str">
        <f>IF($F657="","",IFERROR(VLOOKUP($F657,SERVIÇOS!$B:$G,2,0),IFERROR(VLOOKUP($F657,'COMPOSIÇÕES COMPLEMENTARES '!$D:$L,2,0),IFERROR(VLOOKUP($F657,INSUMOS!$A:$D,2,0),""))))</f>
        <v>ENVELOPAMENTO DE CONCRETO NO BANCO DE DUTOS</v>
      </c>
      <c r="H657" s="312" t="str">
        <f>IF($F657="","",IFERROR(VLOOKUP($F657,SERVIÇOS!$B:$G,3,0),IFERROR(VLOOKUP($F657,'COMPOSIÇÕES COMPLEMENTARES '!$D:$L,3,0),IFERROR(VLOOKUP($F657,INSUMOS!$A:$D,3,0),""))))</f>
        <v>M3</v>
      </c>
      <c r="I657" s="313">
        <v>2.52</v>
      </c>
      <c r="J657" s="314">
        <f>IF($F657="","",IFERROR(VLOOKUP($F657,SERVIÇOS!$B:$G,4,0),IFERROR(VLOOKUP($F657,'COMPOSIÇÕES COMPLEMENTARES '!$D:$L,6,0),IFERROR(VLOOKUP($F657,INSUMOS!$A:$D,4,0),""))))</f>
        <v>353.89</v>
      </c>
      <c r="K657" s="314">
        <f>IF($F657="","",IFERROR(VLOOKUP($F657,SERVIÇOS!$B:$G,5,0),IFERROR(VLOOKUP($F657,'COMPOSIÇÕES COMPLEMENTARES '!$D:$L,7,0),0)))</f>
        <v>82.48</v>
      </c>
      <c r="L657" s="314">
        <f>IF(I657="","",J657+K657)</f>
        <v>436.37</v>
      </c>
      <c r="M657" s="314">
        <f>IF(I657="","",TRUNC((I657*J657),2))</f>
        <v>891.8</v>
      </c>
      <c r="N657" s="314">
        <f>IF(I657="","",TRUNC((I657*K657),2))</f>
        <v>207.84</v>
      </c>
      <c r="O657" s="314">
        <f>IF(I657="","",TRUNC((M657+N657),2))</f>
        <v>1099.6400000000001</v>
      </c>
      <c r="P657" s="314"/>
      <c r="Q657" s="315"/>
      <c r="R657" s="330"/>
      <c r="S657" s="286"/>
      <c r="T657" s="331"/>
      <c r="U657" s="332"/>
      <c r="V657" s="331"/>
      <c r="W657" s="333"/>
      <c r="X657" s="331"/>
      <c r="Y657" s="334"/>
      <c r="Z657" s="335"/>
      <c r="AA657" s="336"/>
      <c r="AB657" s="337"/>
      <c r="AC657" s="338"/>
      <c r="AD657" s="338"/>
      <c r="AE657" s="339"/>
      <c r="AF657" s="339"/>
      <c r="AG657" s="340"/>
      <c r="AH657" s="340"/>
      <c r="AI657" s="340"/>
      <c r="AJ657" s="341"/>
      <c r="AK657" s="341"/>
      <c r="AL657" s="341"/>
      <c r="AM657" s="341"/>
    </row>
    <row r="658" spans="1:39" s="342" customFormat="1" x14ac:dyDescent="0.25">
      <c r="A658" s="232">
        <f t="shared" si="361"/>
        <v>658</v>
      </c>
      <c r="B658" s="232"/>
      <c r="C658" s="281" t="str">
        <f>+E658</f>
        <v>15.22.2</v>
      </c>
      <c r="D658" s="297"/>
      <c r="E658" s="343" t="s">
        <v>12305</v>
      </c>
      <c r="F658" s="328"/>
      <c r="G658" s="329" t="s">
        <v>12306</v>
      </c>
      <c r="H658" s="312"/>
      <c r="I658" s="313"/>
      <c r="J658" s="314"/>
      <c r="K658" s="314"/>
      <c r="L658" s="314"/>
      <c r="M658" s="314"/>
      <c r="N658" s="314"/>
      <c r="O658" s="314"/>
      <c r="P658" s="314"/>
      <c r="Q658" s="330"/>
      <c r="R658" s="306"/>
      <c r="S658" s="286"/>
      <c r="T658" s="331"/>
      <c r="U658" s="332" t="str">
        <f t="shared" ref="U658:U663" si="369">IF(OR(T658="",$O658=""),"",(T658/$I658)*$O658)</f>
        <v/>
      </c>
      <c r="V658" s="331"/>
      <c r="W658" s="333" t="str">
        <f t="shared" ref="W658:W663" si="370">IF(OR(V658="",$O658=""),"",(V658/$I658)*$O658)</f>
        <v/>
      </c>
      <c r="X658" s="331"/>
      <c r="Y658" s="334" t="str">
        <f t="shared" ref="Y658:Y663" si="371">IF(OR(X658="",$O658=""),"",(X658/$I658)*$O658)</f>
        <v/>
      </c>
      <c r="Z658" s="335">
        <f ca="1">SUMIF($T$8:Y$1018,"QUANT.",T658:Y658)</f>
        <v>0</v>
      </c>
      <c r="AA658" s="336">
        <f t="shared" ref="AA658:AA663" ca="1" si="372">SUMIF($T$8:$Y$1018,"CUSTO",T658:Y658)</f>
        <v>0</v>
      </c>
      <c r="AB658" s="337" t="str">
        <f t="shared" ref="AB658:AB663" si="373">IF(F658&lt;&gt;"",IF(AA658=0,"MEDIR",IF(O658-AA658=0,"OK",IF(O658-AA658&gt;0,"MEDIR","ALERTA!"))),"")</f>
        <v/>
      </c>
      <c r="AC658" s="338">
        <f t="shared" ref="AC658:AC663" ca="1" si="374">IF(Z658="",0,I658-Z658)</f>
        <v>0</v>
      </c>
      <c r="AD658" s="338">
        <f t="shared" ref="AD658:AD663" ca="1" si="375">IF(AA658="",0,O658-AA658)</f>
        <v>0</v>
      </c>
      <c r="AE658" s="339"/>
      <c r="AF658" s="339"/>
      <c r="AG658" s="340"/>
      <c r="AH658" s="340"/>
      <c r="AI658" s="340"/>
      <c r="AJ658" s="341"/>
      <c r="AK658" s="341"/>
      <c r="AL658" s="341"/>
      <c r="AM658" s="341"/>
    </row>
    <row r="659" spans="1:39" s="342" customFormat="1" x14ac:dyDescent="0.25">
      <c r="A659" s="232">
        <f t="shared" si="361"/>
        <v>659</v>
      </c>
      <c r="B659" s="232"/>
      <c r="C659" s="307" t="str">
        <f t="shared" ref="C659:C677" si="376">+C658</f>
        <v>15.22.2</v>
      </c>
      <c r="D659" s="308">
        <f t="shared" ref="D659:D677" si="377">1+D658</f>
        <v>1</v>
      </c>
      <c r="E659" s="309" t="str">
        <f t="shared" ref="E659:E677" si="378">C659&amp;"."&amp;D659</f>
        <v>15.22.2.1</v>
      </c>
      <c r="F659" s="310" t="s">
        <v>12307</v>
      </c>
      <c r="G659" s="311" t="str">
        <f>IF($F659="","",IFERROR(VLOOKUP($F659,SERVIÇOS!$B:$G,2,0),IFERROR(VLOOKUP($F659,'COMPOSIÇÕES COMPLEMENTARES '!$D:$L,2,0),IFERROR(VLOOKUP($F659,INSUMOS!$A:$D,2,0),""))))</f>
        <v>CAIXA DE PASSAGEM METÁLICA MEDINDO 40X40X12CM</v>
      </c>
      <c r="H659" s="312" t="str">
        <f>IF($F659="","",IFERROR(VLOOKUP($F659,SERVIÇOS!$B:$G,3,0),IFERROR(VLOOKUP($F659,'COMPOSIÇÕES COMPLEMENTARES '!$D:$L,3,0),IFERROR(VLOOKUP($F659,INSUMOS!$A:$D,3,0),""))))</f>
        <v>UN</v>
      </c>
      <c r="I659" s="313">
        <v>1</v>
      </c>
      <c r="J659" s="314">
        <f>IF($F659="","",IFERROR(VLOOKUP($F659,SERVIÇOS!$B:$G,4,0),IFERROR(VLOOKUP($F659,'COMPOSIÇÕES COMPLEMENTARES '!$D:$L,6,0),IFERROR(VLOOKUP($F659,INSUMOS!$A:$D,4,0),""))))</f>
        <v>407.12</v>
      </c>
      <c r="K659" s="314">
        <f>IF($F659="","",IFERROR(VLOOKUP($F659,SERVIÇOS!$B:$G,5,0),IFERROR(VLOOKUP($F659,'COMPOSIÇÕES COMPLEMENTARES '!$D:$L,7,0),0)))</f>
        <v>103.12</v>
      </c>
      <c r="L659" s="314">
        <f t="shared" ref="L659:L677" si="379">IF(I659="","",J659+K659)</f>
        <v>510.24</v>
      </c>
      <c r="M659" s="314">
        <f t="shared" ref="M659:M677" si="380">IF(I659="","",TRUNC((I659*J659),2))</f>
        <v>407.12</v>
      </c>
      <c r="N659" s="314">
        <f t="shared" ref="N659:N677" si="381">IF(I659="","",TRUNC((I659*K659),2))</f>
        <v>103.12</v>
      </c>
      <c r="O659" s="314">
        <f t="shared" ref="O659:O677" si="382">IF(I659="","",TRUNC((M659+N659),2))</f>
        <v>510.24</v>
      </c>
      <c r="P659" s="314"/>
      <c r="Q659" s="315"/>
      <c r="R659" s="330"/>
      <c r="S659" s="286"/>
      <c r="T659" s="331"/>
      <c r="U659" s="332" t="str">
        <f t="shared" si="369"/>
        <v/>
      </c>
      <c r="V659" s="331"/>
      <c r="W659" s="333" t="str">
        <f t="shared" si="370"/>
        <v/>
      </c>
      <c r="X659" s="331"/>
      <c r="Y659" s="334" t="str">
        <f t="shared" si="371"/>
        <v/>
      </c>
      <c r="Z659" s="335">
        <f ca="1">SUMIF($T$8:Y$1018,"QUANT.",T659:Y659)</f>
        <v>0</v>
      </c>
      <c r="AA659" s="336">
        <f t="shared" ca="1" si="372"/>
        <v>0</v>
      </c>
      <c r="AB659" s="337" t="str">
        <f t="shared" ca="1" si="373"/>
        <v>MEDIR</v>
      </c>
      <c r="AC659" s="338">
        <f t="shared" ca="1" si="374"/>
        <v>1</v>
      </c>
      <c r="AD659" s="338">
        <f t="shared" ca="1" si="375"/>
        <v>510.24</v>
      </c>
      <c r="AE659" s="339"/>
      <c r="AF659" s="339"/>
      <c r="AG659" s="340"/>
      <c r="AH659" s="340"/>
      <c r="AI659" s="340"/>
      <c r="AJ659" s="341"/>
      <c r="AK659" s="341"/>
      <c r="AL659" s="341"/>
      <c r="AM659" s="341"/>
    </row>
    <row r="660" spans="1:39" s="342" customFormat="1" x14ac:dyDescent="0.25">
      <c r="A660" s="232">
        <f t="shared" si="361"/>
        <v>660</v>
      </c>
      <c r="B660" s="232"/>
      <c r="C660" s="307" t="str">
        <f t="shared" si="376"/>
        <v>15.22.2</v>
      </c>
      <c r="D660" s="308">
        <f t="shared" si="377"/>
        <v>2</v>
      </c>
      <c r="E660" s="309" t="str">
        <f t="shared" si="378"/>
        <v>15.22.2.2</v>
      </c>
      <c r="F660" s="310" t="s">
        <v>12308</v>
      </c>
      <c r="G660" s="311" t="str">
        <f>IF($F660="","",IFERROR(VLOOKUP($F660,SERVIÇOS!$B:$G,2,0),IFERROR(VLOOKUP($F660,'COMPOSIÇÕES COMPLEMENTARES '!$D:$L,2,0),IFERROR(VLOOKUP($F660,INSUMOS!$A:$D,2,0),""))))</f>
        <v>CAIXA DE PASSAGEM METÁLICA MEDINDO (30X30X10)CM</v>
      </c>
      <c r="H660" s="312" t="str">
        <f>IF($F660="","",IFERROR(VLOOKUP($F660,SERVIÇOS!$B:$G,3,0),IFERROR(VLOOKUP($F660,'COMPOSIÇÕES COMPLEMENTARES '!$D:$L,3,0),IFERROR(VLOOKUP($F660,INSUMOS!$A:$D,3,0),""))))</f>
        <v>UN</v>
      </c>
      <c r="I660" s="313">
        <v>1</v>
      </c>
      <c r="J660" s="314">
        <f>IF($F660="","",IFERROR(VLOOKUP($F660,SERVIÇOS!$B:$G,4,0),IFERROR(VLOOKUP($F660,'COMPOSIÇÕES COMPLEMENTARES '!$D:$L,6,0),IFERROR(VLOOKUP($F660,INSUMOS!$A:$D,4,0),""))))</f>
        <v>77.03</v>
      </c>
      <c r="K660" s="314">
        <f>IF($F660="","",IFERROR(VLOOKUP($F660,SERVIÇOS!$B:$G,5,0),IFERROR(VLOOKUP($F660,'COMPOSIÇÕES COMPLEMENTARES '!$D:$L,7,0),0)))</f>
        <v>57.66</v>
      </c>
      <c r="L660" s="314">
        <f t="shared" si="379"/>
        <v>134.69</v>
      </c>
      <c r="M660" s="314">
        <f t="shared" si="380"/>
        <v>77.03</v>
      </c>
      <c r="N660" s="314">
        <f t="shared" si="381"/>
        <v>57.66</v>
      </c>
      <c r="O660" s="314">
        <f t="shared" si="382"/>
        <v>134.69</v>
      </c>
      <c r="P660" s="314"/>
      <c r="Q660" s="315"/>
      <c r="R660" s="330"/>
      <c r="S660" s="286"/>
      <c r="T660" s="331"/>
      <c r="U660" s="332" t="str">
        <f t="shared" si="369"/>
        <v/>
      </c>
      <c r="V660" s="331"/>
      <c r="W660" s="333" t="str">
        <f t="shared" si="370"/>
        <v/>
      </c>
      <c r="X660" s="331"/>
      <c r="Y660" s="334" t="str">
        <f t="shared" si="371"/>
        <v/>
      </c>
      <c r="Z660" s="335">
        <f ca="1">SUMIF($T$8:Y$1018,"QUANT.",T660:Y660)</f>
        <v>0</v>
      </c>
      <c r="AA660" s="336">
        <f t="shared" ca="1" si="372"/>
        <v>0</v>
      </c>
      <c r="AB660" s="337" t="str">
        <f t="shared" ca="1" si="373"/>
        <v>MEDIR</v>
      </c>
      <c r="AC660" s="338">
        <f t="shared" ca="1" si="374"/>
        <v>1</v>
      </c>
      <c r="AD660" s="338">
        <f t="shared" ca="1" si="375"/>
        <v>134.69</v>
      </c>
      <c r="AE660" s="339"/>
      <c r="AF660" s="339"/>
      <c r="AG660" s="340"/>
      <c r="AH660" s="340"/>
      <c r="AI660" s="340"/>
      <c r="AJ660" s="341"/>
      <c r="AK660" s="341"/>
      <c r="AL660" s="341"/>
      <c r="AM660" s="341"/>
    </row>
    <row r="661" spans="1:39" s="342" customFormat="1" ht="51" x14ac:dyDescent="0.25">
      <c r="A661" s="232">
        <f t="shared" si="361"/>
        <v>661</v>
      </c>
      <c r="B661" s="232"/>
      <c r="C661" s="307" t="str">
        <f t="shared" si="376"/>
        <v>15.22.2</v>
      </c>
      <c r="D661" s="308">
        <f t="shared" si="377"/>
        <v>3</v>
      </c>
      <c r="E661" s="309" t="str">
        <f t="shared" si="378"/>
        <v>15.22.2.3</v>
      </c>
      <c r="F661" s="310" t="s">
        <v>12309</v>
      </c>
      <c r="G661" s="311" t="str">
        <f>IF($F661="","",IFERROR(VLOOKUP($F661,SERVIÇOS!$B:$G,2,0),IFERROR(VLOOKUP($F661,'COMPOSIÇÕES COMPLEMENTARES '!$D:$L,2,0),IFERROR(VLOOKUP($F661,INSUMOS!$A:$D,2,0),""))))</f>
        <v xml:space="preserve">RACK "A" PADRÃO 19 (DEZENOVE) POLEGADAS, ALTURA 16U, PROFUNDIDADE EXTERNA MÍNIMA DE 67MM, COM 2 DUTOS VERTICAIS NAS LATERAIS DO RACK, PORTA FRONTAL REMOVÍVEL COM VISOR DE ACRÍLICO, LATERAIS COM VENTILAÇÃO PERMANENTE E REMOVÍVEIS,  UM TETO COM ABERTURA PARA DOIS VENTILADORES E PASSAGEM DE CABOS. </v>
      </c>
      <c r="H661" s="312" t="str">
        <f>IF($F661="","",IFERROR(VLOOKUP($F661,SERVIÇOS!$B:$G,3,0),IFERROR(VLOOKUP($F661,'COMPOSIÇÕES COMPLEMENTARES '!$D:$L,3,0),IFERROR(VLOOKUP($F661,INSUMOS!$A:$D,3,0),""))))</f>
        <v>UN</v>
      </c>
      <c r="I661" s="313">
        <v>1</v>
      </c>
      <c r="J661" s="314">
        <f>IF($F661="","",IFERROR(VLOOKUP($F661,SERVIÇOS!$B:$G,4,0),IFERROR(VLOOKUP($F661,'COMPOSIÇÕES COMPLEMENTARES '!$D:$L,6,0),IFERROR(VLOOKUP($F661,INSUMOS!$A:$D,4,0),""))))</f>
        <v>733.45</v>
      </c>
      <c r="K661" s="314">
        <f>IF($F661="","",IFERROR(VLOOKUP($F661,SERVIÇOS!$B:$G,5,0),IFERROR(VLOOKUP($F661,'COMPOSIÇÕES COMPLEMENTARES '!$D:$L,7,0),0)))</f>
        <v>99.08</v>
      </c>
      <c r="L661" s="314">
        <f t="shared" si="379"/>
        <v>832.53000000000009</v>
      </c>
      <c r="M661" s="314">
        <f t="shared" si="380"/>
        <v>733.45</v>
      </c>
      <c r="N661" s="314">
        <f t="shared" si="381"/>
        <v>99.08</v>
      </c>
      <c r="O661" s="314">
        <f t="shared" si="382"/>
        <v>832.53</v>
      </c>
      <c r="P661" s="314"/>
      <c r="Q661" s="315"/>
      <c r="R661" s="330"/>
      <c r="S661" s="286"/>
      <c r="T661" s="331"/>
      <c r="U661" s="332" t="str">
        <f t="shared" si="369"/>
        <v/>
      </c>
      <c r="V661" s="331"/>
      <c r="W661" s="333" t="str">
        <f t="shared" si="370"/>
        <v/>
      </c>
      <c r="X661" s="331"/>
      <c r="Y661" s="334" t="str">
        <f t="shared" si="371"/>
        <v/>
      </c>
      <c r="Z661" s="335">
        <f ca="1">SUMIF($T$8:Y$1018,"QUANT.",T661:Y661)</f>
        <v>0</v>
      </c>
      <c r="AA661" s="336">
        <f t="shared" ca="1" si="372"/>
        <v>0</v>
      </c>
      <c r="AB661" s="337" t="str">
        <f t="shared" ca="1" si="373"/>
        <v>MEDIR</v>
      </c>
      <c r="AC661" s="338">
        <f t="shared" ca="1" si="374"/>
        <v>1</v>
      </c>
      <c r="AD661" s="338">
        <f t="shared" ca="1" si="375"/>
        <v>832.53</v>
      </c>
      <c r="AE661" s="339"/>
      <c r="AF661" s="339"/>
      <c r="AG661" s="340"/>
      <c r="AH661" s="340"/>
      <c r="AI661" s="340"/>
      <c r="AJ661" s="341"/>
      <c r="AK661" s="341"/>
      <c r="AL661" s="341"/>
      <c r="AM661" s="341"/>
    </row>
    <row r="662" spans="1:39" s="342" customFormat="1" ht="89.25" x14ac:dyDescent="0.25">
      <c r="A662" s="232">
        <f t="shared" si="361"/>
        <v>662</v>
      </c>
      <c r="B662" s="232"/>
      <c r="C662" s="307" t="str">
        <f t="shared" si="376"/>
        <v>15.22.2</v>
      </c>
      <c r="D662" s="308">
        <f t="shared" si="377"/>
        <v>4</v>
      </c>
      <c r="E662" s="309" t="str">
        <f t="shared" si="378"/>
        <v>15.22.2.4</v>
      </c>
      <c r="F662" s="310" t="s">
        <v>12310</v>
      </c>
      <c r="G662" s="311" t="str">
        <f>IF($F662="","",IFERROR(VLOOKUP($F662,SERVIÇOS!$B:$G,2,0),IFERROR(VLOOKUP($F662,'COMPOSIÇÕES COMPLEMENTARES '!$D:$L,2,0),IFERROR(VLOOKUP($F662,INSUMOS!$A:$D,2,0),""))))</f>
        <v>DIO 24 FIBRAS MM/LC - COM CAIXA METÁLICA PARA FIXAÇÃO EM RACK PADRÃO 19’, ALTURA DE 1U, CONFECCIONADO EM AÇO NA COR PRETA, COM CAPACIDADE PARA ACOMODAÇÃO DE NO MÍNIMO 12  FIBRAS. DEVE POSSUIR BANDEJAS DE ACOMODAÇÃO PARA AS FIBRAS ÓPTICAS, DEVE CONSTAR O FORNECIMENTO TODOS OS MÓDULOS INTERNOS PARA ACOMODAÇÃO DAS FIBRAS ÓPTICAS E CONECTORES DO TIPO LC ALÉM DE PIG TAIS CONSTITUÍDOS DE 1 FIBRA TIPO MULTIMODO (50ΜM/125ΜM), CONECTORIZADAS EM UMA DAS EXTREMIDADES COM CONECTOR TIPO LC. DEVERÁ SER FORNECIDO COM TODOS OS ACESSÓRIOS E COM A PREVISÃO DE UTILIZAÇÃO DE SUA CAPACIDADE INTEGRAL (24 FIBRAS).</v>
      </c>
      <c r="H662" s="312" t="str">
        <f>IF($F662="","",IFERROR(VLOOKUP($F662,SERVIÇOS!$B:$G,3,0),IFERROR(VLOOKUP($F662,'COMPOSIÇÕES COMPLEMENTARES '!$D:$L,3,0),IFERROR(VLOOKUP($F662,INSUMOS!$A:$D,3,0),""))))</f>
        <v>UN</v>
      </c>
      <c r="I662" s="313">
        <v>1</v>
      </c>
      <c r="J662" s="314">
        <f>IF($F662="","",IFERROR(VLOOKUP($F662,SERVIÇOS!$B:$G,4,0),IFERROR(VLOOKUP($F662,'COMPOSIÇÕES COMPLEMENTARES '!$D:$L,6,0),IFERROR(VLOOKUP($F662,INSUMOS!$A:$D,4,0),""))))</f>
        <v>710.36</v>
      </c>
      <c r="K662" s="314">
        <f>IF($F662="","",IFERROR(VLOOKUP($F662,SERVIÇOS!$B:$G,5,0),IFERROR(VLOOKUP($F662,'COMPOSIÇÕES COMPLEMENTARES '!$D:$L,7,0),0)))</f>
        <v>123.85</v>
      </c>
      <c r="L662" s="314">
        <f t="shared" si="379"/>
        <v>834.21</v>
      </c>
      <c r="M662" s="314">
        <f t="shared" si="380"/>
        <v>710.36</v>
      </c>
      <c r="N662" s="314">
        <f t="shared" si="381"/>
        <v>123.85</v>
      </c>
      <c r="O662" s="314">
        <f t="shared" si="382"/>
        <v>834.21</v>
      </c>
      <c r="P662" s="314"/>
      <c r="Q662" s="315"/>
      <c r="R662" s="330"/>
      <c r="S662" s="286"/>
      <c r="T662" s="331"/>
      <c r="U662" s="332" t="str">
        <f t="shared" si="369"/>
        <v/>
      </c>
      <c r="V662" s="331"/>
      <c r="W662" s="333" t="str">
        <f t="shared" si="370"/>
        <v/>
      </c>
      <c r="X662" s="331"/>
      <c r="Y662" s="334" t="str">
        <f t="shared" si="371"/>
        <v/>
      </c>
      <c r="Z662" s="335">
        <f ca="1">SUMIF($T$8:Y$1018,"QUANT.",T662:Y662)</f>
        <v>0</v>
      </c>
      <c r="AA662" s="336">
        <f t="shared" ca="1" si="372"/>
        <v>0</v>
      </c>
      <c r="AB662" s="337" t="str">
        <f t="shared" ca="1" si="373"/>
        <v>MEDIR</v>
      </c>
      <c r="AC662" s="338">
        <f t="shared" ca="1" si="374"/>
        <v>1</v>
      </c>
      <c r="AD662" s="338">
        <f t="shared" ca="1" si="375"/>
        <v>834.21</v>
      </c>
      <c r="AE662" s="339"/>
      <c r="AF662" s="339"/>
      <c r="AG662" s="340"/>
      <c r="AH662" s="340"/>
      <c r="AI662" s="340"/>
      <c r="AJ662" s="341"/>
      <c r="AK662" s="341"/>
      <c r="AL662" s="341"/>
      <c r="AM662" s="341"/>
    </row>
    <row r="663" spans="1:39" x14ac:dyDescent="0.25">
      <c r="A663" s="232">
        <f t="shared" si="361"/>
        <v>663</v>
      </c>
      <c r="B663" s="232"/>
      <c r="C663" s="307" t="str">
        <f t="shared" si="376"/>
        <v>15.22.2</v>
      </c>
      <c r="D663" s="308">
        <f t="shared" si="377"/>
        <v>5</v>
      </c>
      <c r="E663" s="309" t="str">
        <f t="shared" si="378"/>
        <v>15.22.2.5</v>
      </c>
      <c r="F663" s="310">
        <v>98302</v>
      </c>
      <c r="G663" s="311" t="str">
        <f>IF($F663="","",IFERROR(VLOOKUP($F663,SERVIÇOS!$B:$G,2,0),IFERROR(VLOOKUP($F663,'COMPOSIÇÕES COMPLEMENTARES '!$D:$L,2,0),IFERROR(VLOOKUP($F663,INSUMOS!$A:$D,2,0),""))))</f>
        <v>PATCH PANEL 24 PORTAS, CATEGORIA 6 - FORNECIMENTO E INSTALAÇÃO. AF_11/2019</v>
      </c>
      <c r="H663" s="312" t="str">
        <f>IF($F663="","",IFERROR(VLOOKUP($F663,SERVIÇOS!$B:$G,3,0),IFERROR(VLOOKUP($F663,'COMPOSIÇÕES COMPLEMENTARES '!$D:$L,3,0),IFERROR(VLOOKUP($F663,INSUMOS!$A:$D,3,0),""))))</f>
        <v>UN</v>
      </c>
      <c r="I663" s="313">
        <v>3</v>
      </c>
      <c r="J663" s="314">
        <f>IF($F663="","",IFERROR(VLOOKUP($F663,SERVIÇOS!$B:$G,4,0),IFERROR(VLOOKUP($F663,'COMPOSIÇÕES COMPLEMENTARES '!$D:$L,6,0),IFERROR(VLOOKUP($F663,INSUMOS!$A:$D,4,0),""))))</f>
        <v>932.02</v>
      </c>
      <c r="K663" s="314">
        <f>IF($F663="","",IFERROR(VLOOKUP($F663,SERVIÇOS!$B:$G,5,0),IFERROR(VLOOKUP($F663,'COMPOSIÇÕES COMPLEMENTARES '!$D:$L,7,0),0)))</f>
        <v>307.2</v>
      </c>
      <c r="L663" s="314">
        <f t="shared" si="379"/>
        <v>1239.22</v>
      </c>
      <c r="M663" s="314">
        <f t="shared" si="380"/>
        <v>2796.06</v>
      </c>
      <c r="N663" s="314">
        <f t="shared" si="381"/>
        <v>921.6</v>
      </c>
      <c r="O663" s="314">
        <f t="shared" si="382"/>
        <v>3717.66</v>
      </c>
      <c r="P663" s="314"/>
      <c r="Q663" s="315"/>
      <c r="R663" s="315"/>
      <c r="S663" s="286"/>
      <c r="T663" s="287"/>
      <c r="U663" s="288" t="str">
        <f t="shared" si="369"/>
        <v/>
      </c>
      <c r="V663" s="287"/>
      <c r="W663" s="289" t="str">
        <f t="shared" si="370"/>
        <v/>
      </c>
      <c r="X663" s="287"/>
      <c r="Y663" s="290" t="str">
        <f t="shared" si="371"/>
        <v/>
      </c>
      <c r="Z663" s="291">
        <f ca="1">SUMIF($T$8:Y$1018,"QUANT.",T663:Y663)</f>
        <v>0</v>
      </c>
      <c r="AA663" s="292">
        <f t="shared" ca="1" si="372"/>
        <v>0</v>
      </c>
      <c r="AB663" s="293" t="str">
        <f t="shared" ca="1" si="373"/>
        <v>MEDIR</v>
      </c>
      <c r="AC663" s="294">
        <f t="shared" ca="1" si="374"/>
        <v>3</v>
      </c>
      <c r="AD663" s="294">
        <f t="shared" ca="1" si="375"/>
        <v>3717.66</v>
      </c>
      <c r="AE663" s="295"/>
      <c r="AF663" s="295"/>
      <c r="AG663" s="296"/>
      <c r="AH663" s="296"/>
      <c r="AI663" s="296"/>
      <c r="AJ663" s="326"/>
      <c r="AK663" s="326"/>
      <c r="AL663" s="326"/>
      <c r="AM663" s="326"/>
    </row>
    <row r="664" spans="1:39" ht="25.5" x14ac:dyDescent="0.25">
      <c r="A664" s="232">
        <f t="shared" si="361"/>
        <v>664</v>
      </c>
      <c r="B664" s="232"/>
      <c r="C664" s="307" t="str">
        <f t="shared" si="376"/>
        <v>15.22.2</v>
      </c>
      <c r="D664" s="308">
        <f t="shared" si="377"/>
        <v>6</v>
      </c>
      <c r="E664" s="309" t="str">
        <f t="shared" si="378"/>
        <v>15.22.2.6</v>
      </c>
      <c r="F664" s="310" t="s">
        <v>12311</v>
      </c>
      <c r="G664" s="311" t="str">
        <f>IF($F664="","",IFERROR(VLOOKUP($F664,SERVIÇOS!$B:$G,2,0),IFERROR(VLOOKUP($F664,'COMPOSIÇÕES COMPLEMENTARES '!$D:$L,2,0),IFERROR(VLOOKUP($F664,INSUMOS!$A:$D,2,0),""))))</f>
        <v>GUIA DE CABOS PADRÃO 19”, FABRICADO EM CHAPA DE AÇO COM ESPESSURA DE 1,5MM, PINTURA EM EPÓXI , COR PRETA, ALTURA DE 2 US (80 MM), DEVERÁ SER DA MESMA MARCA DO PATCH PANEL.</v>
      </c>
      <c r="H664" s="312" t="str">
        <f>IF($F664="","",IFERROR(VLOOKUP($F664,SERVIÇOS!$B:$G,3,0),IFERROR(VLOOKUP($F664,'COMPOSIÇÕES COMPLEMENTARES '!$D:$L,3,0),IFERROR(VLOOKUP($F664,INSUMOS!$A:$D,3,0),""))))</f>
        <v>UN</v>
      </c>
      <c r="I664" s="313">
        <v>7</v>
      </c>
      <c r="J664" s="314">
        <f>IF($F664="","",IFERROR(VLOOKUP($F664,SERVIÇOS!$B:$G,4,0),IFERROR(VLOOKUP($F664,'COMPOSIÇÕES COMPLEMENTARES '!$D:$L,6,0),IFERROR(VLOOKUP($F664,INSUMOS!$A:$D,4,0),""))))</f>
        <v>372.52</v>
      </c>
      <c r="K664" s="314">
        <f>IF($F664="","",IFERROR(VLOOKUP($F664,SERVIÇOS!$B:$G,5,0),IFERROR(VLOOKUP($F664,'COMPOSIÇÕES COMPLEMENTARES '!$D:$L,7,0),0)))</f>
        <v>7.61</v>
      </c>
      <c r="L664" s="314">
        <f t="shared" si="379"/>
        <v>380.13</v>
      </c>
      <c r="M664" s="314">
        <f t="shared" si="380"/>
        <v>2607.64</v>
      </c>
      <c r="N664" s="314">
        <f t="shared" si="381"/>
        <v>53.27</v>
      </c>
      <c r="O664" s="314">
        <f t="shared" si="382"/>
        <v>2660.91</v>
      </c>
      <c r="P664" s="314"/>
      <c r="Q664" s="315"/>
      <c r="R664" s="315"/>
      <c r="S664" s="286"/>
      <c r="T664" s="287"/>
      <c r="U664" s="288"/>
      <c r="V664" s="287"/>
      <c r="W664" s="289"/>
      <c r="X664" s="287"/>
      <c r="Y664" s="290"/>
      <c r="Z664" s="291"/>
      <c r="AA664" s="292"/>
      <c r="AB664" s="293"/>
      <c r="AC664" s="294"/>
      <c r="AD664" s="294"/>
      <c r="AE664" s="295"/>
      <c r="AF664" s="295"/>
      <c r="AG664" s="296"/>
      <c r="AH664" s="296"/>
      <c r="AI664" s="296"/>
      <c r="AJ664" s="326"/>
      <c r="AK664" s="326"/>
      <c r="AL664" s="326"/>
      <c r="AM664" s="326"/>
    </row>
    <row r="665" spans="1:39" x14ac:dyDescent="0.25">
      <c r="A665" s="232">
        <f t="shared" si="361"/>
        <v>665</v>
      </c>
      <c r="B665" s="232"/>
      <c r="C665" s="307" t="str">
        <f t="shared" si="376"/>
        <v>15.22.2</v>
      </c>
      <c r="D665" s="308">
        <f t="shared" si="377"/>
        <v>7</v>
      </c>
      <c r="E665" s="309" t="str">
        <f t="shared" si="378"/>
        <v>15.22.2.7</v>
      </c>
      <c r="F665" s="310" t="s">
        <v>12312</v>
      </c>
      <c r="G665" s="311" t="str">
        <f>IF($F665="","",IFERROR(VLOOKUP($F665,SERVIÇOS!$B:$G,2,0),IFERROR(VLOOKUP($F665,'COMPOSIÇÕES COMPLEMENTARES '!$D:$L,2,0),IFERROR(VLOOKUP($F665,INSUMOS!$A:$D,2,0),""))))</f>
        <v>RÉGUA DE TOMADAS 6 PADRÃO BRASILEIRO (PARA RACK)</v>
      </c>
      <c r="H665" s="312" t="str">
        <f>IF($F665="","",IFERROR(VLOOKUP($F665,SERVIÇOS!$B:$G,3,0),IFERROR(VLOOKUP($F665,'COMPOSIÇÕES COMPLEMENTARES '!$D:$L,3,0),IFERROR(VLOOKUP($F665,INSUMOS!$A:$D,3,0),""))))</f>
        <v>UN</v>
      </c>
      <c r="I665" s="313">
        <v>1</v>
      </c>
      <c r="J665" s="314">
        <f>IF($F665="","",IFERROR(VLOOKUP($F665,SERVIÇOS!$B:$G,4,0),IFERROR(VLOOKUP($F665,'COMPOSIÇÕES COMPLEMENTARES '!$D:$L,6,0),IFERROR(VLOOKUP($F665,INSUMOS!$A:$D,4,0),""))))</f>
        <v>24.64</v>
      </c>
      <c r="K665" s="314">
        <f>IF($F665="","",IFERROR(VLOOKUP($F665,SERVIÇOS!$B:$G,5,0),IFERROR(VLOOKUP($F665,'COMPOSIÇÕES COMPLEMENTARES '!$D:$L,7,0),0)))</f>
        <v>3.8</v>
      </c>
      <c r="L665" s="314">
        <f t="shared" si="379"/>
        <v>28.44</v>
      </c>
      <c r="M665" s="314">
        <f t="shared" si="380"/>
        <v>24.64</v>
      </c>
      <c r="N665" s="314">
        <f t="shared" si="381"/>
        <v>3.8</v>
      </c>
      <c r="O665" s="314">
        <f t="shared" si="382"/>
        <v>28.44</v>
      </c>
      <c r="P665" s="314"/>
      <c r="Q665" s="315"/>
      <c r="R665" s="315"/>
      <c r="S665" s="286"/>
      <c r="T665" s="287"/>
      <c r="U665" s="288"/>
      <c r="V665" s="287"/>
      <c r="W665" s="289"/>
      <c r="X665" s="287"/>
      <c r="Y665" s="290"/>
      <c r="Z665" s="291"/>
      <c r="AA665" s="292"/>
      <c r="AB665" s="293"/>
      <c r="AC665" s="294"/>
      <c r="AD665" s="294"/>
      <c r="AE665" s="295"/>
      <c r="AF665" s="295"/>
      <c r="AG665" s="296"/>
      <c r="AH665" s="296"/>
      <c r="AI665" s="296"/>
      <c r="AJ665" s="326"/>
      <c r="AK665" s="326"/>
      <c r="AL665" s="326"/>
      <c r="AM665" s="326"/>
    </row>
    <row r="666" spans="1:39" x14ac:dyDescent="0.25">
      <c r="A666" s="232">
        <f t="shared" si="361"/>
        <v>666</v>
      </c>
      <c r="B666" s="232"/>
      <c r="C666" s="307" t="str">
        <f t="shared" si="376"/>
        <v>15.22.2</v>
      </c>
      <c r="D666" s="308">
        <f t="shared" si="377"/>
        <v>8</v>
      </c>
      <c r="E666" s="309" t="str">
        <f t="shared" si="378"/>
        <v>15.22.2.8</v>
      </c>
      <c r="F666" s="310" t="s">
        <v>12313</v>
      </c>
      <c r="G666" s="311" t="str">
        <f>IF($F666="","",IFERROR(VLOOKUP($F666,SERVIÇOS!$B:$G,2,0),IFERROR(VLOOKUP($F666,'COMPOSIÇÕES COMPLEMENTARES '!$D:$L,2,0),IFERROR(VLOOKUP($F666,INSUMOS!$A:$D,2,0),""))))</f>
        <v>PATCH CORD RJ45 - RJ45 CAT.6, NA COR CINZA, COM UM COMPRIMENTO DE 1 METRO - TELEFONIA</v>
      </c>
      <c r="H666" s="312" t="str">
        <f>IF($F666="","",IFERROR(VLOOKUP($F666,SERVIÇOS!$B:$G,3,0),IFERROR(VLOOKUP($F666,'COMPOSIÇÕES COMPLEMENTARES '!$D:$L,3,0),IFERROR(VLOOKUP($F666,INSUMOS!$A:$D,3,0),""))))</f>
        <v>UN</v>
      </c>
      <c r="I666" s="313">
        <v>17</v>
      </c>
      <c r="J666" s="314">
        <f>IF($F666="","",IFERROR(VLOOKUP($F666,SERVIÇOS!$B:$G,4,0),IFERROR(VLOOKUP($F666,'COMPOSIÇÕES COMPLEMENTARES '!$D:$L,6,0),IFERROR(VLOOKUP($F666,INSUMOS!$A:$D,4,0),""))))</f>
        <v>50.66</v>
      </c>
      <c r="K666" s="314">
        <f>IF($F666="","",IFERROR(VLOOKUP($F666,SERVIÇOS!$B:$G,5,0),IFERROR(VLOOKUP($F666,'COMPOSIÇÕES COMPLEMENTARES '!$D:$L,7,0),0)))</f>
        <v>4.9400000000000004</v>
      </c>
      <c r="L666" s="314">
        <f t="shared" si="379"/>
        <v>55.599999999999994</v>
      </c>
      <c r="M666" s="314">
        <f t="shared" si="380"/>
        <v>861.22</v>
      </c>
      <c r="N666" s="314">
        <f t="shared" si="381"/>
        <v>83.98</v>
      </c>
      <c r="O666" s="314">
        <f t="shared" si="382"/>
        <v>945.2</v>
      </c>
      <c r="P666" s="314"/>
      <c r="Q666" s="315"/>
      <c r="R666" s="315"/>
      <c r="S666" s="286"/>
      <c r="T666" s="287"/>
      <c r="U666" s="288" t="str">
        <f t="shared" ref="U666:U676" si="383">IF(OR(T666="",$O666=""),"",(T666/$I666)*$O666)</f>
        <v/>
      </c>
      <c r="V666" s="287"/>
      <c r="W666" s="289" t="str">
        <f t="shared" ref="W666:W676" si="384">IF(OR(V666="",$O666=""),"",(V666/$I666)*$O666)</f>
        <v/>
      </c>
      <c r="X666" s="287"/>
      <c r="Y666" s="290" t="str">
        <f t="shared" ref="Y666:Y676" si="385">IF(OR(X666="",$O666=""),"",(X666/$I666)*$O666)</f>
        <v/>
      </c>
      <c r="Z666" s="291">
        <f ca="1">SUMIF($T$8:Y$1018,"QUANT.",T666:Y666)</f>
        <v>0</v>
      </c>
      <c r="AA666" s="292">
        <f t="shared" ref="AA666:AA676" ca="1" si="386">SUMIF($T$8:$Y$1018,"CUSTO",T666:Y666)</f>
        <v>0</v>
      </c>
      <c r="AB666" s="293" t="str">
        <f t="shared" ref="AB666:AB676" ca="1" si="387">IF(F666&lt;&gt;"",IF(AA666=0,"MEDIR",IF(O666-AA666=0,"OK",IF(O666-AA666&gt;0,"MEDIR","ALERTA!"))),"")</f>
        <v>MEDIR</v>
      </c>
      <c r="AC666" s="294">
        <f t="shared" ref="AC666:AC676" ca="1" si="388">IF(Z666="",0,I666-Z666)</f>
        <v>17</v>
      </c>
      <c r="AD666" s="294">
        <f t="shared" ref="AD666:AD676" ca="1" si="389">IF(AA666="",0,O666-AA666)</f>
        <v>945.2</v>
      </c>
      <c r="AE666" s="295"/>
      <c r="AF666" s="295"/>
      <c r="AG666" s="296"/>
      <c r="AH666" s="296"/>
      <c r="AI666" s="296"/>
      <c r="AJ666" s="326"/>
      <c r="AK666" s="326"/>
      <c r="AL666" s="326"/>
      <c r="AM666" s="326"/>
    </row>
    <row r="667" spans="1:39" x14ac:dyDescent="0.25">
      <c r="A667" s="232">
        <f t="shared" si="361"/>
        <v>667</v>
      </c>
      <c r="B667" s="232"/>
      <c r="C667" s="307" t="str">
        <f t="shared" si="376"/>
        <v>15.22.2</v>
      </c>
      <c r="D667" s="308">
        <f t="shared" si="377"/>
        <v>9</v>
      </c>
      <c r="E667" s="309" t="str">
        <f t="shared" si="378"/>
        <v>15.22.2.9</v>
      </c>
      <c r="F667" s="310" t="s">
        <v>12314</v>
      </c>
      <c r="G667" s="311" t="str">
        <f>IF($F667="","",IFERROR(VLOOKUP($F667,SERVIÇOS!$B:$G,2,0),IFERROR(VLOOKUP($F667,'COMPOSIÇÕES COMPLEMENTARES '!$D:$L,2,0),IFERROR(VLOOKUP($F667,INSUMOS!$A:$D,2,0),""))))</f>
        <v>PATCH CORD RJ45 - RJ45 CAT.6, NA COR AZUL, COM UM COMPRIMENTO DE 1 METRO - REDE</v>
      </c>
      <c r="H667" s="312" t="str">
        <f>IF($F667="","",IFERROR(VLOOKUP($F667,SERVIÇOS!$B:$G,3,0),IFERROR(VLOOKUP($F667,'COMPOSIÇÕES COMPLEMENTARES '!$D:$L,3,0),IFERROR(VLOOKUP($F667,INSUMOS!$A:$D,3,0),""))))</f>
        <v>UN</v>
      </c>
      <c r="I667" s="313">
        <v>25</v>
      </c>
      <c r="J667" s="314">
        <f>IF($F667="","",IFERROR(VLOOKUP($F667,SERVIÇOS!$B:$G,4,0),IFERROR(VLOOKUP($F667,'COMPOSIÇÕES COMPLEMENTARES '!$D:$L,6,0),IFERROR(VLOOKUP($F667,INSUMOS!$A:$D,4,0),""))))</f>
        <v>50.66</v>
      </c>
      <c r="K667" s="314">
        <f>IF($F667="","",IFERROR(VLOOKUP($F667,SERVIÇOS!$B:$G,5,0),IFERROR(VLOOKUP($F667,'COMPOSIÇÕES COMPLEMENTARES '!$D:$L,7,0),0)))</f>
        <v>4.9400000000000004</v>
      </c>
      <c r="L667" s="314">
        <f t="shared" si="379"/>
        <v>55.599999999999994</v>
      </c>
      <c r="M667" s="314">
        <f t="shared" si="380"/>
        <v>1266.5</v>
      </c>
      <c r="N667" s="314">
        <f t="shared" si="381"/>
        <v>123.5</v>
      </c>
      <c r="O667" s="314">
        <f t="shared" si="382"/>
        <v>1390</v>
      </c>
      <c r="P667" s="314"/>
      <c r="Q667" s="315"/>
      <c r="R667" s="315"/>
      <c r="S667" s="286"/>
      <c r="T667" s="287"/>
      <c r="U667" s="288" t="str">
        <f t="shared" si="383"/>
        <v/>
      </c>
      <c r="V667" s="287"/>
      <c r="W667" s="289" t="str">
        <f t="shared" si="384"/>
        <v/>
      </c>
      <c r="X667" s="287"/>
      <c r="Y667" s="290" t="str">
        <f t="shared" si="385"/>
        <v/>
      </c>
      <c r="Z667" s="291">
        <f ca="1">SUMIF($T$8:Y$1018,"QUANT.",T667:Y667)</f>
        <v>0</v>
      </c>
      <c r="AA667" s="292">
        <f t="shared" ca="1" si="386"/>
        <v>0</v>
      </c>
      <c r="AB667" s="293" t="str">
        <f t="shared" ca="1" si="387"/>
        <v>MEDIR</v>
      </c>
      <c r="AC667" s="294">
        <f t="shared" ca="1" si="388"/>
        <v>25</v>
      </c>
      <c r="AD667" s="294">
        <f t="shared" ca="1" si="389"/>
        <v>1390</v>
      </c>
      <c r="AE667" s="295"/>
      <c r="AF667" s="295"/>
      <c r="AG667" s="296"/>
      <c r="AH667" s="296"/>
      <c r="AI667" s="296"/>
      <c r="AJ667" s="326"/>
      <c r="AK667" s="326"/>
      <c r="AL667" s="326"/>
      <c r="AM667" s="326"/>
    </row>
    <row r="668" spans="1:39" x14ac:dyDescent="0.25">
      <c r="A668" s="232">
        <f t="shared" si="361"/>
        <v>668</v>
      </c>
      <c r="B668" s="232"/>
      <c r="C668" s="307" t="str">
        <f t="shared" si="376"/>
        <v>15.22.2</v>
      </c>
      <c r="D668" s="308">
        <f t="shared" si="377"/>
        <v>10</v>
      </c>
      <c r="E668" s="309" t="str">
        <f t="shared" si="378"/>
        <v>15.22.2.10</v>
      </c>
      <c r="F668" s="310" t="s">
        <v>12315</v>
      </c>
      <c r="G668" s="311" t="str">
        <f>IF($F668="","",IFERROR(VLOOKUP($F668,SERVIÇOS!$B:$G,2,0),IFERROR(VLOOKUP($F668,'COMPOSIÇÕES COMPLEMENTARES '!$D:$L,2,0),IFERROR(VLOOKUP($F668,INSUMOS!$A:$D,2,0),""))))</f>
        <v>PATCH CORD RJ45 - RJ45 CAT.6, NA COR AMARELO, COM UM COMPRIMENTO DE 1 METRO - CFTV</v>
      </c>
      <c r="H668" s="312" t="str">
        <f>IF($F668="","",IFERROR(VLOOKUP($F668,SERVIÇOS!$B:$G,3,0),IFERROR(VLOOKUP($F668,'COMPOSIÇÕES COMPLEMENTARES '!$D:$L,3,0),IFERROR(VLOOKUP($F668,INSUMOS!$A:$D,3,0),""))))</f>
        <v>UN</v>
      </c>
      <c r="I668" s="313">
        <v>24</v>
      </c>
      <c r="J668" s="314">
        <f>IF($F668="","",IFERROR(VLOOKUP($F668,SERVIÇOS!$B:$G,4,0),IFERROR(VLOOKUP($F668,'COMPOSIÇÕES COMPLEMENTARES '!$D:$L,6,0),IFERROR(VLOOKUP($F668,INSUMOS!$A:$D,4,0),""))))</f>
        <v>50.66</v>
      </c>
      <c r="K668" s="314">
        <f>IF($F668="","",IFERROR(VLOOKUP($F668,SERVIÇOS!$B:$G,5,0),IFERROR(VLOOKUP($F668,'COMPOSIÇÕES COMPLEMENTARES '!$D:$L,7,0),0)))</f>
        <v>4.9400000000000004</v>
      </c>
      <c r="L668" s="314">
        <f t="shared" si="379"/>
        <v>55.599999999999994</v>
      </c>
      <c r="M668" s="314">
        <f t="shared" si="380"/>
        <v>1215.8399999999999</v>
      </c>
      <c r="N668" s="314">
        <f t="shared" si="381"/>
        <v>118.56</v>
      </c>
      <c r="O668" s="314">
        <f t="shared" si="382"/>
        <v>1334.4</v>
      </c>
      <c r="P668" s="314"/>
      <c r="Q668" s="315"/>
      <c r="R668" s="315"/>
      <c r="S668" s="286"/>
      <c r="T668" s="287"/>
      <c r="U668" s="288" t="str">
        <f t="shared" si="383"/>
        <v/>
      </c>
      <c r="V668" s="287"/>
      <c r="W668" s="289" t="str">
        <f t="shared" si="384"/>
        <v/>
      </c>
      <c r="X668" s="287"/>
      <c r="Y668" s="290" t="str">
        <f t="shared" si="385"/>
        <v/>
      </c>
      <c r="Z668" s="291">
        <f ca="1">SUMIF($T$8:Y$1018,"QUANT.",T668:Y668)</f>
        <v>0</v>
      </c>
      <c r="AA668" s="292">
        <f t="shared" ca="1" si="386"/>
        <v>0</v>
      </c>
      <c r="AB668" s="293" t="str">
        <f t="shared" ca="1" si="387"/>
        <v>MEDIR</v>
      </c>
      <c r="AC668" s="294">
        <f t="shared" ca="1" si="388"/>
        <v>24</v>
      </c>
      <c r="AD668" s="294">
        <f t="shared" ca="1" si="389"/>
        <v>1334.4</v>
      </c>
      <c r="AE668" s="295"/>
      <c r="AF668" s="295"/>
      <c r="AG668" s="296"/>
      <c r="AH668" s="296"/>
      <c r="AI668" s="296"/>
      <c r="AJ668" s="326"/>
      <c r="AK668" s="326"/>
      <c r="AL668" s="326"/>
      <c r="AM668" s="326"/>
    </row>
    <row r="669" spans="1:39" x14ac:dyDescent="0.25">
      <c r="A669" s="232">
        <f t="shared" si="361"/>
        <v>669</v>
      </c>
      <c r="B669" s="232"/>
      <c r="C669" s="307" t="str">
        <f t="shared" si="376"/>
        <v>15.22.2</v>
      </c>
      <c r="D669" s="308">
        <f t="shared" si="377"/>
        <v>11</v>
      </c>
      <c r="E669" s="309" t="str">
        <f t="shared" si="378"/>
        <v>15.22.2.11</v>
      </c>
      <c r="F669" s="310" t="s">
        <v>12316</v>
      </c>
      <c r="G669" s="311" t="str">
        <f>IF($F669="","",IFERROR(VLOOKUP($F669,SERVIÇOS!$B:$G,2,0),IFERROR(VLOOKUP($F669,'COMPOSIÇÕES COMPLEMENTARES '!$D:$L,2,0),IFERROR(VLOOKUP($F669,INSUMOS!$A:$D,2,0),""))))</f>
        <v>PLACA 4"X4" COM 4 TOMADAS TIPO RJ45 CAT. 6</v>
      </c>
      <c r="H669" s="312" t="str">
        <f>IF($F669="","",IFERROR(VLOOKUP($F669,SERVIÇOS!$B:$G,3,0),IFERROR(VLOOKUP($F669,'COMPOSIÇÕES COMPLEMENTARES '!$D:$L,3,0),IFERROR(VLOOKUP($F669,INSUMOS!$A:$D,3,0),""))))</f>
        <v>UN</v>
      </c>
      <c r="I669" s="313">
        <v>3</v>
      </c>
      <c r="J669" s="314">
        <f>IF($F669="","",IFERROR(VLOOKUP($F669,SERVIÇOS!$B:$G,4,0),IFERROR(VLOOKUP($F669,'COMPOSIÇÕES COMPLEMENTARES '!$D:$L,6,0),IFERROR(VLOOKUP($F669,INSUMOS!$A:$D,4,0),""))))</f>
        <v>207.35</v>
      </c>
      <c r="K669" s="314">
        <f>IF($F669="","",IFERROR(VLOOKUP($F669,SERVIÇOS!$B:$G,5,0),IFERROR(VLOOKUP($F669,'COMPOSIÇÕES COMPLEMENTARES '!$D:$L,7,0),0)))</f>
        <v>34.67</v>
      </c>
      <c r="L669" s="314">
        <f t="shared" si="379"/>
        <v>242.01999999999998</v>
      </c>
      <c r="M669" s="314">
        <f t="shared" si="380"/>
        <v>622.04999999999995</v>
      </c>
      <c r="N669" s="314">
        <f t="shared" si="381"/>
        <v>104.01</v>
      </c>
      <c r="O669" s="314">
        <f t="shared" si="382"/>
        <v>726.06</v>
      </c>
      <c r="P669" s="314"/>
      <c r="Q669" s="315"/>
      <c r="R669" s="315"/>
      <c r="S669" s="286"/>
      <c r="T669" s="287"/>
      <c r="U669" s="288" t="str">
        <f t="shared" si="383"/>
        <v/>
      </c>
      <c r="V669" s="287"/>
      <c r="W669" s="289" t="str">
        <f t="shared" si="384"/>
        <v/>
      </c>
      <c r="X669" s="287"/>
      <c r="Y669" s="290" t="str">
        <f t="shared" si="385"/>
        <v/>
      </c>
      <c r="Z669" s="291">
        <f ca="1">SUMIF($T$8:Y$1018,"QUANT.",T669:Y669)</f>
        <v>0</v>
      </c>
      <c r="AA669" s="292">
        <f t="shared" ca="1" si="386"/>
        <v>0</v>
      </c>
      <c r="AB669" s="293" t="str">
        <f t="shared" ca="1" si="387"/>
        <v>MEDIR</v>
      </c>
      <c r="AC669" s="294">
        <f t="shared" ca="1" si="388"/>
        <v>3</v>
      </c>
      <c r="AD669" s="294">
        <f t="shared" ca="1" si="389"/>
        <v>726.06</v>
      </c>
      <c r="AE669" s="295"/>
      <c r="AF669" s="295"/>
      <c r="AG669" s="296"/>
      <c r="AH669" s="296"/>
      <c r="AI669" s="296"/>
      <c r="AJ669" s="326"/>
      <c r="AK669" s="326"/>
      <c r="AL669" s="326"/>
      <c r="AM669" s="326"/>
    </row>
    <row r="670" spans="1:39" x14ac:dyDescent="0.25">
      <c r="A670" s="232">
        <f t="shared" si="361"/>
        <v>670</v>
      </c>
      <c r="B670" s="232"/>
      <c r="C670" s="307" t="str">
        <f t="shared" si="376"/>
        <v>15.22.2</v>
      </c>
      <c r="D670" s="308">
        <f t="shared" si="377"/>
        <v>12</v>
      </c>
      <c r="E670" s="309" t="str">
        <f t="shared" si="378"/>
        <v>15.22.2.12</v>
      </c>
      <c r="F670" s="310" t="s">
        <v>12317</v>
      </c>
      <c r="G670" s="311" t="str">
        <f>IF($F670="","",IFERROR(VLOOKUP($F670,SERVIÇOS!$B:$G,2,0),IFERROR(VLOOKUP($F670,'COMPOSIÇÕES COMPLEMENTARES '!$D:$L,2,0),IFERROR(VLOOKUP($F670,INSUMOS!$A:$D,2,0),""))))</f>
        <v>PLACA 4"X2" COM 2 TOMADAS TIPO RJ45 CAT. 6</v>
      </c>
      <c r="H670" s="312" t="str">
        <f>IF($F670="","",IFERROR(VLOOKUP($F670,SERVIÇOS!$B:$G,3,0),IFERROR(VLOOKUP($F670,'COMPOSIÇÕES COMPLEMENTARES '!$D:$L,3,0),IFERROR(VLOOKUP($F670,INSUMOS!$A:$D,3,0),""))))</f>
        <v>UN</v>
      </c>
      <c r="I670" s="313">
        <v>11</v>
      </c>
      <c r="J670" s="314">
        <f>IF($F670="","",IFERROR(VLOOKUP($F670,SERVIÇOS!$B:$G,4,0),IFERROR(VLOOKUP($F670,'COMPOSIÇÕES COMPLEMENTARES '!$D:$L,6,0),IFERROR(VLOOKUP($F670,INSUMOS!$A:$D,4,0),""))))</f>
        <v>97.08</v>
      </c>
      <c r="K670" s="314">
        <f>IF($F670="","",IFERROR(VLOOKUP($F670,SERVIÇOS!$B:$G,5,0),IFERROR(VLOOKUP($F670,'COMPOSIÇÕES COMPLEMENTARES '!$D:$L,7,0),0)))</f>
        <v>20.420000000000002</v>
      </c>
      <c r="L670" s="314">
        <f t="shared" si="379"/>
        <v>117.5</v>
      </c>
      <c r="M670" s="314">
        <f t="shared" si="380"/>
        <v>1067.8800000000001</v>
      </c>
      <c r="N670" s="314">
        <f t="shared" si="381"/>
        <v>224.62</v>
      </c>
      <c r="O670" s="314">
        <f t="shared" si="382"/>
        <v>1292.5</v>
      </c>
      <c r="P670" s="314"/>
      <c r="Q670" s="315"/>
      <c r="R670" s="315"/>
      <c r="S670" s="286"/>
      <c r="T670" s="287"/>
      <c r="U670" s="288" t="str">
        <f t="shared" si="383"/>
        <v/>
      </c>
      <c r="V670" s="287"/>
      <c r="W670" s="289" t="str">
        <f t="shared" si="384"/>
        <v/>
      </c>
      <c r="X670" s="287"/>
      <c r="Y670" s="290" t="str">
        <f t="shared" si="385"/>
        <v/>
      </c>
      <c r="Z670" s="291">
        <f ca="1">SUMIF($T$8:Y$1018,"QUANT.",T670:Y670)</f>
        <v>0</v>
      </c>
      <c r="AA670" s="292">
        <f t="shared" ca="1" si="386"/>
        <v>0</v>
      </c>
      <c r="AB670" s="293" t="str">
        <f t="shared" ca="1" si="387"/>
        <v>MEDIR</v>
      </c>
      <c r="AC670" s="294">
        <f t="shared" ca="1" si="388"/>
        <v>11</v>
      </c>
      <c r="AD670" s="294">
        <f t="shared" ca="1" si="389"/>
        <v>1292.5</v>
      </c>
      <c r="AE670" s="295"/>
      <c r="AF670" s="295"/>
      <c r="AG670" s="296"/>
      <c r="AH670" s="296"/>
      <c r="AI670" s="296"/>
      <c r="AJ670" s="326"/>
      <c r="AK670" s="326"/>
      <c r="AL670" s="326"/>
      <c r="AM670" s="326"/>
    </row>
    <row r="671" spans="1:39" x14ac:dyDescent="0.25">
      <c r="A671" s="232">
        <f t="shared" si="361"/>
        <v>671</v>
      </c>
      <c r="B671" s="232"/>
      <c r="C671" s="307" t="str">
        <f t="shared" si="376"/>
        <v>15.22.2</v>
      </c>
      <c r="D671" s="308">
        <f t="shared" si="377"/>
        <v>13</v>
      </c>
      <c r="E671" s="309" t="str">
        <f t="shared" si="378"/>
        <v>15.22.2.13</v>
      </c>
      <c r="F671" s="310" t="s">
        <v>12318</v>
      </c>
      <c r="G671" s="311" t="str">
        <f>IF($F671="","",IFERROR(VLOOKUP($F671,SERVIÇOS!$B:$G,2,0),IFERROR(VLOOKUP($F671,'COMPOSIÇÕES COMPLEMENTARES '!$D:$L,2,0),IFERROR(VLOOKUP($F671,INSUMOS!$A:$D,2,0),""))))</f>
        <v>PLACA 4"X2" COM 1 TOMADA TIPO RJ45 CAT. 6</v>
      </c>
      <c r="H671" s="312" t="str">
        <f>IF($F671="","",IFERROR(VLOOKUP($F671,SERVIÇOS!$B:$G,3,0),IFERROR(VLOOKUP($F671,'COMPOSIÇÕES COMPLEMENTARES '!$D:$L,3,0),IFERROR(VLOOKUP($F671,INSUMOS!$A:$D,3,0),""))))</f>
        <v>UN</v>
      </c>
      <c r="I671" s="313">
        <v>20</v>
      </c>
      <c r="J671" s="314">
        <f>IF($F671="","",IFERROR(VLOOKUP($F671,SERVIÇOS!$B:$G,4,0),IFERROR(VLOOKUP($F671,'COMPOSIÇÕES COMPLEMENTARES '!$D:$L,6,0),IFERROR(VLOOKUP($F671,INSUMOS!$A:$D,4,0),""))))</f>
        <v>38.299999999999997</v>
      </c>
      <c r="K671" s="314">
        <f>IF($F671="","",IFERROR(VLOOKUP($F671,SERVIÇOS!$B:$G,5,0),IFERROR(VLOOKUP($F671,'COMPOSIÇÕES COMPLEMENTARES '!$D:$L,7,0),0)))</f>
        <v>10.199999999999999</v>
      </c>
      <c r="L671" s="314">
        <f t="shared" si="379"/>
        <v>48.5</v>
      </c>
      <c r="M671" s="314">
        <f t="shared" si="380"/>
        <v>766</v>
      </c>
      <c r="N671" s="314">
        <f t="shared" si="381"/>
        <v>204</v>
      </c>
      <c r="O671" s="314">
        <f t="shared" si="382"/>
        <v>970</v>
      </c>
      <c r="P671" s="314"/>
      <c r="Q671" s="315"/>
      <c r="R671" s="315"/>
      <c r="S671" s="286"/>
      <c r="T671" s="287"/>
      <c r="U671" s="288" t="str">
        <f t="shared" si="383"/>
        <v/>
      </c>
      <c r="V671" s="287"/>
      <c r="W671" s="289" t="str">
        <f t="shared" si="384"/>
        <v/>
      </c>
      <c r="X671" s="287"/>
      <c r="Y671" s="290" t="str">
        <f t="shared" si="385"/>
        <v/>
      </c>
      <c r="Z671" s="291">
        <f ca="1">SUMIF($T$8:Y$1018,"QUANT.",T671:Y671)</f>
        <v>0</v>
      </c>
      <c r="AA671" s="292">
        <f t="shared" ca="1" si="386"/>
        <v>0</v>
      </c>
      <c r="AB671" s="293" t="str">
        <f t="shared" ca="1" si="387"/>
        <v>MEDIR</v>
      </c>
      <c r="AC671" s="294">
        <f t="shared" ca="1" si="388"/>
        <v>20</v>
      </c>
      <c r="AD671" s="294">
        <f t="shared" ca="1" si="389"/>
        <v>970</v>
      </c>
      <c r="AE671" s="295"/>
      <c r="AF671" s="295"/>
      <c r="AG671" s="296"/>
      <c r="AH671" s="296"/>
      <c r="AI671" s="296"/>
      <c r="AJ671" s="326"/>
      <c r="AK671" s="326"/>
      <c r="AL671" s="326"/>
      <c r="AM671" s="326"/>
    </row>
    <row r="672" spans="1:39" x14ac:dyDescent="0.25">
      <c r="A672" s="232">
        <f t="shared" si="361"/>
        <v>672</v>
      </c>
      <c r="B672" s="232"/>
      <c r="C672" s="307" t="str">
        <f t="shared" si="376"/>
        <v>15.22.2</v>
      </c>
      <c r="D672" s="308">
        <f t="shared" si="377"/>
        <v>14</v>
      </c>
      <c r="E672" s="309" t="str">
        <f t="shared" si="378"/>
        <v>15.22.2.14</v>
      </c>
      <c r="F672" s="310" t="s">
        <v>12318</v>
      </c>
      <c r="G672" s="311" t="str">
        <f>IF($F672="","",IFERROR(VLOOKUP($F672,SERVIÇOS!$B:$G,2,0),IFERROR(VLOOKUP($F672,'COMPOSIÇÕES COMPLEMENTARES '!$D:$L,2,0),IFERROR(VLOOKUP($F672,INSUMOS!$A:$D,2,0),""))))</f>
        <v>PLACA 4"X2" COM 1 TOMADA TIPO RJ45 CAT. 6</v>
      </c>
      <c r="H672" s="312" t="str">
        <f>IF($F672="","",IFERROR(VLOOKUP($F672,SERVIÇOS!$B:$G,3,0),IFERROR(VLOOKUP($F672,'COMPOSIÇÕES COMPLEMENTARES '!$D:$L,3,0),IFERROR(VLOOKUP($F672,INSUMOS!$A:$D,3,0),""))))</f>
        <v>UN</v>
      </c>
      <c r="I672" s="313">
        <v>24</v>
      </c>
      <c r="J672" s="314">
        <f>IF($F672="","",IFERROR(VLOOKUP($F672,SERVIÇOS!$B:$G,4,0),IFERROR(VLOOKUP($F672,'COMPOSIÇÕES COMPLEMENTARES '!$D:$L,6,0),IFERROR(VLOOKUP($F672,INSUMOS!$A:$D,4,0),""))))</f>
        <v>38.299999999999997</v>
      </c>
      <c r="K672" s="314">
        <f>IF($F672="","",IFERROR(VLOOKUP($F672,SERVIÇOS!$B:$G,5,0),IFERROR(VLOOKUP($F672,'COMPOSIÇÕES COMPLEMENTARES '!$D:$L,7,0),0)))</f>
        <v>10.199999999999999</v>
      </c>
      <c r="L672" s="314">
        <f t="shared" si="379"/>
        <v>48.5</v>
      </c>
      <c r="M672" s="314">
        <f t="shared" si="380"/>
        <v>919.2</v>
      </c>
      <c r="N672" s="314">
        <f t="shared" si="381"/>
        <v>244.8</v>
      </c>
      <c r="O672" s="314">
        <f t="shared" si="382"/>
        <v>1164</v>
      </c>
      <c r="P672" s="314"/>
      <c r="Q672" s="315"/>
      <c r="R672" s="315"/>
      <c r="S672" s="286"/>
      <c r="T672" s="287"/>
      <c r="U672" s="288" t="str">
        <f t="shared" si="383"/>
        <v/>
      </c>
      <c r="V672" s="287"/>
      <c r="W672" s="289" t="str">
        <f t="shared" si="384"/>
        <v/>
      </c>
      <c r="X672" s="287"/>
      <c r="Y672" s="290" t="str">
        <f t="shared" si="385"/>
        <v/>
      </c>
      <c r="Z672" s="291">
        <f ca="1">SUMIF($T$8:Y$1018,"QUANT.",T672:Y672)</f>
        <v>0</v>
      </c>
      <c r="AA672" s="292">
        <f t="shared" ca="1" si="386"/>
        <v>0</v>
      </c>
      <c r="AB672" s="293" t="str">
        <f t="shared" ca="1" si="387"/>
        <v>MEDIR</v>
      </c>
      <c r="AC672" s="294">
        <f t="shared" ca="1" si="388"/>
        <v>24</v>
      </c>
      <c r="AD672" s="294">
        <f t="shared" ca="1" si="389"/>
        <v>1164</v>
      </c>
      <c r="AE672" s="295"/>
      <c r="AF672" s="295"/>
      <c r="AG672" s="296"/>
      <c r="AH672" s="296"/>
      <c r="AI672" s="296"/>
      <c r="AJ672" s="326"/>
      <c r="AK672" s="326"/>
      <c r="AL672" s="326"/>
      <c r="AM672" s="326"/>
    </row>
    <row r="673" spans="1:39" x14ac:dyDescent="0.25">
      <c r="A673" s="232">
        <f t="shared" si="361"/>
        <v>673</v>
      </c>
      <c r="B673" s="232"/>
      <c r="C673" s="307" t="str">
        <f t="shared" si="376"/>
        <v>15.22.2</v>
      </c>
      <c r="D673" s="308">
        <f t="shared" si="377"/>
        <v>15</v>
      </c>
      <c r="E673" s="309" t="str">
        <f t="shared" si="378"/>
        <v>15.22.2.15</v>
      </c>
      <c r="F673" s="310" t="s">
        <v>12319</v>
      </c>
      <c r="G673" s="311" t="str">
        <f>IF($F673="","",IFERROR(VLOOKUP($F673,SERVIÇOS!$B:$G,2,0),IFERROR(VLOOKUP($F673,'COMPOSIÇÕES COMPLEMENTARES '!$D:$L,2,0),IFERROR(VLOOKUP($F673,INSUMOS!$A:$D,2,0),""))))</f>
        <v>TOMADA RGC59 COM PLACA 4X4" PARA ANTENA DE TV</v>
      </c>
      <c r="H673" s="312" t="str">
        <f>IF($F673="","",IFERROR(VLOOKUP($F673,SERVIÇOS!$B:$G,3,0),IFERROR(VLOOKUP($F673,'COMPOSIÇÕES COMPLEMENTARES '!$D:$L,3,0),IFERROR(VLOOKUP($F673,INSUMOS!$A:$D,3,0),""))))</f>
        <v>UN</v>
      </c>
      <c r="I673" s="313">
        <v>2</v>
      </c>
      <c r="J673" s="314">
        <f>IF($F673="","",IFERROR(VLOOKUP($F673,SERVIÇOS!$B:$G,4,0),IFERROR(VLOOKUP($F673,'COMPOSIÇÕES COMPLEMENTARES '!$D:$L,6,0),IFERROR(VLOOKUP($F673,INSUMOS!$A:$D,4,0),""))))</f>
        <v>26.41</v>
      </c>
      <c r="K673" s="314">
        <f>IF($F673="","",IFERROR(VLOOKUP($F673,SERVIÇOS!$B:$G,5,0),IFERROR(VLOOKUP($F673,'COMPOSIÇÕES COMPLEMENTARES '!$D:$L,7,0),0)))</f>
        <v>15.19</v>
      </c>
      <c r="L673" s="314">
        <f t="shared" si="379"/>
        <v>41.6</v>
      </c>
      <c r="M673" s="314">
        <f t="shared" si="380"/>
        <v>52.82</v>
      </c>
      <c r="N673" s="314">
        <f t="shared" si="381"/>
        <v>30.38</v>
      </c>
      <c r="O673" s="314">
        <f t="shared" si="382"/>
        <v>83.2</v>
      </c>
      <c r="P673" s="314"/>
      <c r="Q673" s="315"/>
      <c r="R673" s="315"/>
      <c r="S673" s="286"/>
      <c r="T673" s="287"/>
      <c r="U673" s="288" t="str">
        <f t="shared" si="383"/>
        <v/>
      </c>
      <c r="V673" s="287"/>
      <c r="W673" s="289" t="str">
        <f t="shared" si="384"/>
        <v/>
      </c>
      <c r="X673" s="287"/>
      <c r="Y673" s="290" t="str">
        <f t="shared" si="385"/>
        <v/>
      </c>
      <c r="Z673" s="291">
        <f ca="1">SUMIF($T$8:Y$1018,"QUANT.",T673:Y673)</f>
        <v>0</v>
      </c>
      <c r="AA673" s="292">
        <f t="shared" ca="1" si="386"/>
        <v>0</v>
      </c>
      <c r="AB673" s="293" t="str">
        <f t="shared" ca="1" si="387"/>
        <v>MEDIR</v>
      </c>
      <c r="AC673" s="294">
        <f t="shared" ca="1" si="388"/>
        <v>2</v>
      </c>
      <c r="AD673" s="294">
        <f t="shared" ca="1" si="389"/>
        <v>83.2</v>
      </c>
      <c r="AE673" s="295"/>
      <c r="AF673" s="295"/>
      <c r="AG673" s="296"/>
      <c r="AH673" s="296"/>
      <c r="AI673" s="296"/>
      <c r="AJ673" s="326"/>
      <c r="AK673" s="326"/>
      <c r="AL673" s="326"/>
      <c r="AM673" s="326"/>
    </row>
    <row r="674" spans="1:39" ht="25.5" x14ac:dyDescent="0.25">
      <c r="A674" s="232">
        <f t="shared" si="361"/>
        <v>674</v>
      </c>
      <c r="B674" s="232"/>
      <c r="C674" s="307" t="str">
        <f t="shared" si="376"/>
        <v>15.22.2</v>
      </c>
      <c r="D674" s="308">
        <f t="shared" si="377"/>
        <v>16</v>
      </c>
      <c r="E674" s="309" t="str">
        <f t="shared" si="378"/>
        <v>15.22.2.16</v>
      </c>
      <c r="F674" s="310">
        <v>91943</v>
      </c>
      <c r="G674" s="311" t="str">
        <f>IF($F674="","",IFERROR(VLOOKUP($F674,SERVIÇOS!$B:$G,2,0),IFERROR(VLOOKUP($F674,'COMPOSIÇÕES COMPLEMENTARES '!$D:$L,2,0),IFERROR(VLOOKUP($F674,INSUMOS!$A:$D,2,0),""))))</f>
        <v>CAIXA RETANGULAR 4" X 4" MÉDIA (1,30 M DO PISO), PVC, INSTALADA EM PAREDE - FORNECIMENTO E INSTALAÇÃO. AF_03/2023</v>
      </c>
      <c r="H674" s="312" t="str">
        <f>IF($F674="","",IFERROR(VLOOKUP($F674,SERVIÇOS!$B:$G,3,0),IFERROR(VLOOKUP($F674,'COMPOSIÇÕES COMPLEMENTARES '!$D:$L,3,0),IFERROR(VLOOKUP($F674,INSUMOS!$A:$D,3,0),""))))</f>
        <v>UN</v>
      </c>
      <c r="I674" s="313">
        <v>39</v>
      </c>
      <c r="J674" s="314">
        <f>IF($F674="","",IFERROR(VLOOKUP($F674,SERVIÇOS!$B:$G,4,0),IFERROR(VLOOKUP($F674,'COMPOSIÇÕES COMPLEMENTARES '!$D:$L,6,0),IFERROR(VLOOKUP($F674,INSUMOS!$A:$D,4,0),""))))</f>
        <v>13.98</v>
      </c>
      <c r="K674" s="314">
        <f>IF($F674="","",IFERROR(VLOOKUP($F674,SERVIÇOS!$B:$G,5,0),IFERROR(VLOOKUP($F674,'COMPOSIÇÕES COMPLEMENTARES '!$D:$L,7,0),0)))</f>
        <v>15.09</v>
      </c>
      <c r="L674" s="314">
        <f t="shared" si="379"/>
        <v>29.07</v>
      </c>
      <c r="M674" s="314">
        <f t="shared" si="380"/>
        <v>545.22</v>
      </c>
      <c r="N674" s="314">
        <f t="shared" si="381"/>
        <v>588.51</v>
      </c>
      <c r="O674" s="314">
        <f t="shared" si="382"/>
        <v>1133.73</v>
      </c>
      <c r="P674" s="314"/>
      <c r="Q674" s="315"/>
      <c r="R674" s="315"/>
      <c r="S674" s="286"/>
      <c r="T674" s="287"/>
      <c r="U674" s="288" t="str">
        <f t="shared" si="383"/>
        <v/>
      </c>
      <c r="V674" s="287"/>
      <c r="W674" s="289" t="str">
        <f t="shared" si="384"/>
        <v/>
      </c>
      <c r="X674" s="287"/>
      <c r="Y674" s="290" t="str">
        <f t="shared" si="385"/>
        <v/>
      </c>
      <c r="Z674" s="291">
        <f ca="1">SUMIF($T$8:Y$1018,"QUANT.",T674:Y674)</f>
        <v>0</v>
      </c>
      <c r="AA674" s="292">
        <f t="shared" ca="1" si="386"/>
        <v>0</v>
      </c>
      <c r="AB674" s="293" t="str">
        <f t="shared" ca="1" si="387"/>
        <v>MEDIR</v>
      </c>
      <c r="AC674" s="294">
        <f t="shared" ca="1" si="388"/>
        <v>39</v>
      </c>
      <c r="AD674" s="294">
        <f t="shared" ca="1" si="389"/>
        <v>1133.73</v>
      </c>
      <c r="AE674" s="295"/>
      <c r="AF674" s="295"/>
      <c r="AG674" s="296"/>
      <c r="AH674" s="296"/>
      <c r="AI674" s="296"/>
      <c r="AJ674" s="326"/>
      <c r="AK674" s="326"/>
      <c r="AL674" s="326"/>
      <c r="AM674" s="326"/>
    </row>
    <row r="675" spans="1:39" ht="25.5" x14ac:dyDescent="0.25">
      <c r="A675" s="232">
        <f t="shared" si="361"/>
        <v>675</v>
      </c>
      <c r="B675" s="232"/>
      <c r="C675" s="307" t="str">
        <f t="shared" si="376"/>
        <v>15.22.2</v>
      </c>
      <c r="D675" s="308">
        <f t="shared" si="377"/>
        <v>17</v>
      </c>
      <c r="E675" s="309" t="str">
        <f t="shared" si="378"/>
        <v>15.22.2.17</v>
      </c>
      <c r="F675" s="310">
        <v>91940</v>
      </c>
      <c r="G675" s="311" t="str">
        <f>IF($F675="","",IFERROR(VLOOKUP($F675,SERVIÇOS!$B:$G,2,0),IFERROR(VLOOKUP($F675,'COMPOSIÇÕES COMPLEMENTARES '!$D:$L,2,0),IFERROR(VLOOKUP($F675,INSUMOS!$A:$D,2,0),""))))</f>
        <v>CAIXA RETANGULAR 4" X 2" MÉDIA (1,30 M DO PISO), PVC, INSTALADA EM PAREDE - FORNECIMENTO E INSTALAÇÃO. AF_03/2023</v>
      </c>
      <c r="H675" s="312" t="str">
        <f>IF($F675="","",IFERROR(VLOOKUP($F675,SERVIÇOS!$B:$G,3,0),IFERROR(VLOOKUP($F675,'COMPOSIÇÕES COMPLEMENTARES '!$D:$L,3,0),IFERROR(VLOOKUP($F675,INSUMOS!$A:$D,3,0),""))))</f>
        <v>UN</v>
      </c>
      <c r="I675" s="313">
        <v>24</v>
      </c>
      <c r="J675" s="314">
        <f>IF($F675="","",IFERROR(VLOOKUP($F675,SERVIÇOS!$B:$G,4,0),IFERROR(VLOOKUP($F675,'COMPOSIÇÕES COMPLEMENTARES '!$D:$L,6,0),IFERROR(VLOOKUP($F675,INSUMOS!$A:$D,4,0),""))))</f>
        <v>9.7799999999999994</v>
      </c>
      <c r="K675" s="314">
        <f>IF($F675="","",IFERROR(VLOOKUP($F675,SERVIÇOS!$B:$G,5,0),IFERROR(VLOOKUP($F675,'COMPOSIÇÕES COMPLEMENTARES '!$D:$L,7,0),0)))</f>
        <v>14.56</v>
      </c>
      <c r="L675" s="314">
        <f t="shared" si="379"/>
        <v>24.34</v>
      </c>
      <c r="M675" s="314">
        <f t="shared" si="380"/>
        <v>234.72</v>
      </c>
      <c r="N675" s="314">
        <f t="shared" si="381"/>
        <v>349.44</v>
      </c>
      <c r="O675" s="314">
        <f t="shared" si="382"/>
        <v>584.16</v>
      </c>
      <c r="P675" s="314"/>
      <c r="Q675" s="315"/>
      <c r="R675" s="315"/>
      <c r="S675" s="286"/>
      <c r="T675" s="287"/>
      <c r="U675" s="288" t="str">
        <f t="shared" si="383"/>
        <v/>
      </c>
      <c r="V675" s="287"/>
      <c r="W675" s="289" t="str">
        <f t="shared" si="384"/>
        <v/>
      </c>
      <c r="X675" s="287"/>
      <c r="Y675" s="290" t="str">
        <f t="shared" si="385"/>
        <v/>
      </c>
      <c r="Z675" s="291">
        <f ca="1">SUMIF($T$8:Y$1018,"QUANT.",T675:Y675)</f>
        <v>0</v>
      </c>
      <c r="AA675" s="292">
        <f t="shared" ca="1" si="386"/>
        <v>0</v>
      </c>
      <c r="AB675" s="293" t="str">
        <f t="shared" ca="1" si="387"/>
        <v>MEDIR</v>
      </c>
      <c r="AC675" s="294">
        <f t="shared" ca="1" si="388"/>
        <v>24</v>
      </c>
      <c r="AD675" s="294">
        <f t="shared" ca="1" si="389"/>
        <v>584.16</v>
      </c>
      <c r="AE675" s="295"/>
      <c r="AF675" s="295"/>
      <c r="AG675" s="296"/>
      <c r="AH675" s="296"/>
      <c r="AI675" s="296"/>
      <c r="AJ675" s="326"/>
      <c r="AK675" s="326"/>
      <c r="AL675" s="326"/>
      <c r="AM675" s="326"/>
    </row>
    <row r="676" spans="1:39" ht="25.5" x14ac:dyDescent="0.25">
      <c r="A676" s="232">
        <f t="shared" si="361"/>
        <v>676</v>
      </c>
      <c r="B676" s="232"/>
      <c r="C676" s="307" t="str">
        <f t="shared" si="376"/>
        <v>15.22.2</v>
      </c>
      <c r="D676" s="308">
        <f t="shared" si="377"/>
        <v>18</v>
      </c>
      <c r="E676" s="309" t="str">
        <f t="shared" si="378"/>
        <v>15.22.2.18</v>
      </c>
      <c r="F676" s="310">
        <v>98297</v>
      </c>
      <c r="G676" s="311" t="str">
        <f>IF($F676="","",IFERROR(VLOOKUP($F676,SERVIÇOS!$B:$G,2,0),IFERROR(VLOOKUP($F676,'COMPOSIÇÕES COMPLEMENTARES '!$D:$L,2,0),IFERROR(VLOOKUP($F676,INSUMOS!$A:$D,2,0),""))))</f>
        <v>CABO ELETRÔNICO CATEGORIA 6, INSTALADO EM EDIFICAÇÃO INSTITUCIONAL - FORNECIMENTO E INSTALAÇÃO. AF_11/2019</v>
      </c>
      <c r="H676" s="312" t="str">
        <f>IF($F676="","",IFERROR(VLOOKUP($F676,SERVIÇOS!$B:$G,3,0),IFERROR(VLOOKUP($F676,'COMPOSIÇÕES COMPLEMENTARES '!$D:$L,3,0),IFERROR(VLOOKUP($F676,INSUMOS!$A:$D,3,0),""))))</f>
        <v>M</v>
      </c>
      <c r="I676" s="313">
        <v>3300</v>
      </c>
      <c r="J676" s="314">
        <f>IF($F676="","",IFERROR(VLOOKUP($F676,SERVIÇOS!$B:$G,4,0),IFERROR(VLOOKUP($F676,'COMPOSIÇÕES COMPLEMENTARES '!$D:$L,6,0),IFERROR(VLOOKUP($F676,INSUMOS!$A:$D,4,0),""))))</f>
        <v>10.81</v>
      </c>
      <c r="K676" s="314">
        <f>IF($F676="","",IFERROR(VLOOKUP($F676,SERVIÇOS!$B:$G,5,0),IFERROR(VLOOKUP($F676,'COMPOSIÇÕES COMPLEMENTARES '!$D:$L,7,0),0)))</f>
        <v>0.21</v>
      </c>
      <c r="L676" s="314">
        <f t="shared" si="379"/>
        <v>11.020000000000001</v>
      </c>
      <c r="M676" s="314">
        <f t="shared" si="380"/>
        <v>35673</v>
      </c>
      <c r="N676" s="314">
        <f t="shared" si="381"/>
        <v>693</v>
      </c>
      <c r="O676" s="314">
        <f t="shared" si="382"/>
        <v>36366</v>
      </c>
      <c r="P676" s="314"/>
      <c r="Q676" s="315"/>
      <c r="R676" s="315"/>
      <c r="S676" s="286"/>
      <c r="T676" s="287"/>
      <c r="U676" s="288" t="str">
        <f t="shared" si="383"/>
        <v/>
      </c>
      <c r="V676" s="287"/>
      <c r="W676" s="289" t="str">
        <f t="shared" si="384"/>
        <v/>
      </c>
      <c r="X676" s="287"/>
      <c r="Y676" s="290" t="str">
        <f t="shared" si="385"/>
        <v/>
      </c>
      <c r="Z676" s="291">
        <f ca="1">SUMIF($T$8:Y$1018,"QUANT.",T676:Y676)</f>
        <v>0</v>
      </c>
      <c r="AA676" s="292">
        <f t="shared" ca="1" si="386"/>
        <v>0</v>
      </c>
      <c r="AB676" s="293" t="str">
        <f t="shared" ca="1" si="387"/>
        <v>MEDIR</v>
      </c>
      <c r="AC676" s="294">
        <f t="shared" ca="1" si="388"/>
        <v>3300</v>
      </c>
      <c r="AD676" s="294">
        <f t="shared" ca="1" si="389"/>
        <v>36366</v>
      </c>
      <c r="AE676" s="295"/>
      <c r="AF676" s="295"/>
      <c r="AG676" s="296"/>
      <c r="AH676" s="296"/>
      <c r="AI676" s="296"/>
      <c r="AJ676" s="326"/>
      <c r="AK676" s="326"/>
      <c r="AL676" s="326"/>
      <c r="AM676" s="326"/>
    </row>
    <row r="677" spans="1:39" x14ac:dyDescent="0.25">
      <c r="A677" s="232">
        <f t="shared" si="361"/>
        <v>677</v>
      </c>
      <c r="B677" s="232"/>
      <c r="C677" s="307" t="str">
        <f t="shared" si="376"/>
        <v>15.22.2</v>
      </c>
      <c r="D677" s="308">
        <f t="shared" si="377"/>
        <v>19</v>
      </c>
      <c r="E677" s="309" t="str">
        <f t="shared" si="378"/>
        <v>15.22.2.19</v>
      </c>
      <c r="F677" s="310" t="s">
        <v>12320</v>
      </c>
      <c r="G677" s="311" t="str">
        <f>IF($F677="","",IFERROR(VLOOKUP($F677,SERVIÇOS!$B:$G,2,0),IFERROR(VLOOKUP($F677,'COMPOSIÇÕES COMPLEMENTARES '!$D:$L,2,0),IFERROR(VLOOKUP($F677,INSUMOS!$A:$D,2,0),""))))</f>
        <v>CERTIFICAÇÃO DO CABEAMENTO HORIZONTAL CONFORME NORMAS PARA ATENDIMENTO DA CAT. 6</v>
      </c>
      <c r="H677" s="312" t="str">
        <f>IF($F677="","",IFERROR(VLOOKUP($F677,SERVIÇOS!$B:$G,3,0),IFERROR(VLOOKUP($F677,'COMPOSIÇÕES COMPLEMENTARES '!$D:$L,3,0),IFERROR(VLOOKUP($F677,INSUMOS!$A:$D,3,0),""))))</f>
        <v>UN</v>
      </c>
      <c r="I677" s="313">
        <v>66</v>
      </c>
      <c r="J677" s="314">
        <f>IF($F677="","",IFERROR(VLOOKUP($F677,SERVIÇOS!$B:$G,4,0),IFERROR(VLOOKUP($F677,'COMPOSIÇÕES COMPLEMENTARES '!$D:$L,6,0),IFERROR(VLOOKUP($F677,INSUMOS!$A:$D,4,0),""))))</f>
        <v>10.5</v>
      </c>
      <c r="K677" s="314">
        <f>IF($F677="","",IFERROR(VLOOKUP($F677,SERVIÇOS!$B:$G,5,0),IFERROR(VLOOKUP($F677,'COMPOSIÇÕES COMPLEMENTARES '!$D:$L,7,0),0)))</f>
        <v>31.65</v>
      </c>
      <c r="L677" s="314">
        <f t="shared" si="379"/>
        <v>42.15</v>
      </c>
      <c r="M677" s="314">
        <f t="shared" si="380"/>
        <v>693</v>
      </c>
      <c r="N677" s="314">
        <f t="shared" si="381"/>
        <v>2088.9</v>
      </c>
      <c r="O677" s="314">
        <f t="shared" si="382"/>
        <v>2781.9</v>
      </c>
      <c r="P677" s="314"/>
      <c r="Q677" s="315"/>
      <c r="R677" s="315"/>
      <c r="S677" s="286"/>
      <c r="T677" s="287"/>
      <c r="U677" s="288"/>
      <c r="V677" s="287"/>
      <c r="W677" s="289"/>
      <c r="X677" s="287"/>
      <c r="Y677" s="290"/>
      <c r="Z677" s="291"/>
      <c r="AA677" s="292"/>
      <c r="AB677" s="293"/>
      <c r="AC677" s="294"/>
      <c r="AD677" s="294"/>
      <c r="AE677" s="295"/>
      <c r="AF677" s="295"/>
      <c r="AG677" s="296"/>
      <c r="AH677" s="296"/>
      <c r="AI677" s="296"/>
      <c r="AJ677" s="326"/>
      <c r="AK677" s="326"/>
      <c r="AL677" s="326"/>
      <c r="AM677" s="326"/>
    </row>
    <row r="678" spans="1:39" x14ac:dyDescent="0.25">
      <c r="A678" s="232">
        <f t="shared" si="361"/>
        <v>678</v>
      </c>
      <c r="B678" s="232"/>
      <c r="C678" s="281" t="str">
        <f>+E678</f>
        <v>15.22.3</v>
      </c>
      <c r="D678" s="297"/>
      <c r="E678" s="343" t="s">
        <v>12321</v>
      </c>
      <c r="F678" s="328"/>
      <c r="G678" s="329" t="s">
        <v>12322</v>
      </c>
      <c r="H678" s="312"/>
      <c r="I678" s="313"/>
      <c r="J678" s="314"/>
      <c r="K678" s="314"/>
      <c r="L678" s="314"/>
      <c r="M678" s="314"/>
      <c r="N678" s="314"/>
      <c r="O678" s="314"/>
      <c r="P678" s="314"/>
      <c r="Q678" s="315"/>
      <c r="R678" s="306"/>
      <c r="S678" s="286"/>
      <c r="T678" s="287"/>
      <c r="U678" s="288" t="str">
        <f t="shared" ref="U678:U741" si="390">IF(OR(T678="",$O678=""),"",(T678/$I678)*$O678)</f>
        <v/>
      </c>
      <c r="V678" s="287"/>
      <c r="W678" s="289" t="str">
        <f t="shared" ref="W678:W741" si="391">IF(OR(V678="",$O678=""),"",(V678/$I678)*$O678)</f>
        <v/>
      </c>
      <c r="X678" s="287"/>
      <c r="Y678" s="290" t="str">
        <f t="shared" ref="Y678:Y741" si="392">IF(OR(X678="",$O678=""),"",(X678/$I678)*$O678)</f>
        <v/>
      </c>
      <c r="Z678" s="291">
        <f ca="1">SUMIF($T$8:Y$1018,"QUANT.",T678:Y678)</f>
        <v>0</v>
      </c>
      <c r="AA678" s="292">
        <f t="shared" ref="AA678:AA741" ca="1" si="393">SUMIF($T$8:$Y$1018,"CUSTO",T678:Y678)</f>
        <v>0</v>
      </c>
      <c r="AB678" s="293" t="str">
        <f t="shared" ref="AB678:AB741" si="394">IF(F678&lt;&gt;"",IF(AA678=0,"MEDIR",IF(O678-AA678=0,"OK",IF(O678-AA678&gt;0,"MEDIR","ALERTA!"))),"")</f>
        <v/>
      </c>
      <c r="AC678" s="294">
        <f t="shared" ref="AC678:AC741" ca="1" si="395">IF(Z678="",0,I678-Z678)</f>
        <v>0</v>
      </c>
      <c r="AD678" s="294">
        <f t="shared" ref="AD678:AD741" ca="1" si="396">IF(AA678="",0,O678-AA678)</f>
        <v>0</v>
      </c>
      <c r="AE678" s="295"/>
      <c r="AF678" s="295"/>
      <c r="AG678" s="296"/>
      <c r="AH678" s="296"/>
      <c r="AI678" s="296"/>
      <c r="AJ678" s="326"/>
      <c r="AK678" s="326"/>
      <c r="AL678" s="326"/>
      <c r="AM678" s="326"/>
    </row>
    <row r="679" spans="1:39" x14ac:dyDescent="0.25">
      <c r="A679" s="232">
        <f t="shared" si="361"/>
        <v>679</v>
      </c>
      <c r="B679" s="232"/>
      <c r="C679" s="307" t="str">
        <f>+C678</f>
        <v>15.22.3</v>
      </c>
      <c r="D679" s="308">
        <f>1+D678</f>
        <v>1</v>
      </c>
      <c r="E679" s="309" t="str">
        <f>C679&amp;"."&amp;D679</f>
        <v>15.22.3.1</v>
      </c>
      <c r="F679" s="310" t="s">
        <v>12323</v>
      </c>
      <c r="G679" s="311" t="str">
        <f>IF($F679="","",IFERROR(VLOOKUP($F679,SERVIÇOS!$B:$G,2,0),IFERROR(VLOOKUP($F679,'COMPOSIÇÕES COMPLEMENTARES '!$D:$L,2,0),IFERROR(VLOOKUP($F679,INSUMOS!$A:$D,2,0),""))))</f>
        <v>ELETRODUTO DE PVC RÍGIDO 32 MM (1"), INCLUSO CONEXÕES - FORNECIMENTO E INSTALAÇÃO</v>
      </c>
      <c r="H679" s="312" t="str">
        <f>IF($F679="","",IFERROR(VLOOKUP($F679,SERVIÇOS!$B:$G,3,0),IFERROR(VLOOKUP($F679,'COMPOSIÇÕES COMPLEMENTARES '!$D:$L,3,0),IFERROR(VLOOKUP($F679,INSUMOS!$A:$D,3,0),""))))</f>
        <v>M</v>
      </c>
      <c r="I679" s="313">
        <v>464</v>
      </c>
      <c r="J679" s="314">
        <f>IF($F679="","",IFERROR(VLOOKUP($F679,SERVIÇOS!$B:$G,4,0),IFERROR(VLOOKUP($F679,'COMPOSIÇÕES COMPLEMENTARES '!$D:$L,6,0),IFERROR(VLOOKUP($F679,INSUMOS!$A:$D,4,0),""))))</f>
        <v>20.02</v>
      </c>
      <c r="K679" s="314">
        <f>IF($F679="","",IFERROR(VLOOKUP($F679,SERVIÇOS!$B:$G,5,0),IFERROR(VLOOKUP($F679,'COMPOSIÇÕES COMPLEMENTARES '!$D:$L,7,0),0)))</f>
        <v>10.89</v>
      </c>
      <c r="L679" s="314">
        <f>IF(I679="","",J679+K679)</f>
        <v>30.91</v>
      </c>
      <c r="M679" s="314">
        <f>IF(I679="","",TRUNC((I679*J679),2))</f>
        <v>9289.2800000000007</v>
      </c>
      <c r="N679" s="314">
        <f>IF(I679="","",TRUNC((I679*K679),2))</f>
        <v>5052.96</v>
      </c>
      <c r="O679" s="314">
        <f>IF(I679="","",TRUNC((M679+N679),2))</f>
        <v>14342.24</v>
      </c>
      <c r="P679" s="314"/>
      <c r="Q679" s="315"/>
      <c r="R679" s="315"/>
      <c r="S679" s="286"/>
      <c r="T679" s="287"/>
      <c r="U679" s="288" t="str">
        <f t="shared" si="390"/>
        <v/>
      </c>
      <c r="V679" s="287"/>
      <c r="W679" s="289" t="str">
        <f t="shared" si="391"/>
        <v/>
      </c>
      <c r="X679" s="287"/>
      <c r="Y679" s="290" t="str">
        <f t="shared" si="392"/>
        <v/>
      </c>
      <c r="Z679" s="291">
        <f ca="1">SUMIF($T$8:Y$1018,"QUANT.",T679:Y679)</f>
        <v>0</v>
      </c>
      <c r="AA679" s="292">
        <f t="shared" ca="1" si="393"/>
        <v>0</v>
      </c>
      <c r="AB679" s="293" t="str">
        <f t="shared" ca="1" si="394"/>
        <v>MEDIR</v>
      </c>
      <c r="AC679" s="294">
        <f t="shared" ca="1" si="395"/>
        <v>464</v>
      </c>
      <c r="AD679" s="294">
        <f t="shared" ca="1" si="396"/>
        <v>14342.24</v>
      </c>
      <c r="AE679" s="295"/>
      <c r="AF679" s="295"/>
      <c r="AG679" s="296"/>
      <c r="AH679" s="296"/>
      <c r="AI679" s="296"/>
      <c r="AJ679" s="326"/>
      <c r="AK679" s="326"/>
      <c r="AL679" s="326"/>
      <c r="AM679" s="326"/>
    </row>
    <row r="680" spans="1:39" x14ac:dyDescent="0.25">
      <c r="A680" s="232">
        <f t="shared" si="361"/>
        <v>680</v>
      </c>
      <c r="B680" s="232"/>
      <c r="C680" s="307" t="str">
        <f>+C679</f>
        <v>15.22.3</v>
      </c>
      <c r="D680" s="308">
        <f>1+D679</f>
        <v>2</v>
      </c>
      <c r="E680" s="309" t="str">
        <f>C680&amp;"."&amp;D680</f>
        <v>15.22.3.2</v>
      </c>
      <c r="F680" s="310" t="s">
        <v>12215</v>
      </c>
      <c r="G680" s="311" t="str">
        <f>IF($F680="","",IFERROR(VLOOKUP($F680,SERVIÇOS!$B:$G,2,0),IFERROR(VLOOKUP($F680,'COMPOSIÇÕES COMPLEMENTARES '!$D:$L,2,0),IFERROR(VLOOKUP($F680,INSUMOS!$A:$D,2,0),""))))</f>
        <v>PERFILADO PERFURADO COM TAMPA 38X38X6000MM CHAPA 18, INCLUSO CONEXÕES E FIXAÇÕES</v>
      </c>
      <c r="H680" s="312" t="str">
        <f>IF($F680="","",IFERROR(VLOOKUP($F680,SERVIÇOS!$B:$G,3,0),IFERROR(VLOOKUP($F680,'COMPOSIÇÕES COMPLEMENTARES '!$D:$L,3,0),IFERROR(VLOOKUP($F680,INSUMOS!$A:$D,3,0),""))))</f>
        <v>M</v>
      </c>
      <c r="I680" s="313">
        <v>36</v>
      </c>
      <c r="J680" s="314">
        <f>IF($F680="","",IFERROR(VLOOKUP($F680,SERVIÇOS!$B:$G,4,0),IFERROR(VLOOKUP($F680,'COMPOSIÇÕES COMPLEMENTARES '!$D:$L,6,0),IFERROR(VLOOKUP($F680,INSUMOS!$A:$D,4,0),""))))</f>
        <v>61.76</v>
      </c>
      <c r="K680" s="314">
        <f>IF($F680="","",IFERROR(VLOOKUP($F680,SERVIÇOS!$B:$G,5,0),IFERROR(VLOOKUP($F680,'COMPOSIÇÕES COMPLEMENTARES '!$D:$L,7,0),0)))</f>
        <v>31.6</v>
      </c>
      <c r="L680" s="314">
        <f>IF(I680="","",J680+K680)</f>
        <v>93.36</v>
      </c>
      <c r="M680" s="314">
        <f>IF(I680="","",TRUNC((I680*J680),2))</f>
        <v>2223.36</v>
      </c>
      <c r="N680" s="314">
        <f>IF(I680="","",TRUNC((I680*K680),2))</f>
        <v>1137.5999999999999</v>
      </c>
      <c r="O680" s="314">
        <f>IF(I680="","",TRUNC((M680+N680),2))</f>
        <v>3360.96</v>
      </c>
      <c r="P680" s="314"/>
      <c r="Q680" s="315"/>
      <c r="R680" s="315"/>
      <c r="S680" s="286"/>
      <c r="T680" s="287"/>
      <c r="U680" s="288" t="str">
        <f t="shared" si="390"/>
        <v/>
      </c>
      <c r="V680" s="287"/>
      <c r="W680" s="289" t="str">
        <f t="shared" si="391"/>
        <v/>
      </c>
      <c r="X680" s="287"/>
      <c r="Y680" s="290" t="str">
        <f t="shared" si="392"/>
        <v/>
      </c>
      <c r="Z680" s="291">
        <f ca="1">SUMIF($T$8:Y$1018,"QUANT.",T680:Y680)</f>
        <v>0</v>
      </c>
      <c r="AA680" s="292">
        <f t="shared" ca="1" si="393"/>
        <v>0</v>
      </c>
      <c r="AB680" s="293" t="str">
        <f t="shared" ca="1" si="394"/>
        <v>MEDIR</v>
      </c>
      <c r="AC680" s="294">
        <f t="shared" ca="1" si="395"/>
        <v>36</v>
      </c>
      <c r="AD680" s="294">
        <f t="shared" ca="1" si="396"/>
        <v>3360.96</v>
      </c>
      <c r="AE680" s="295"/>
      <c r="AF680" s="295"/>
      <c r="AG680" s="296"/>
      <c r="AH680" s="296"/>
      <c r="AI680" s="296"/>
      <c r="AJ680" s="326"/>
      <c r="AK680" s="326"/>
      <c r="AL680" s="326"/>
      <c r="AM680" s="326"/>
    </row>
    <row r="681" spans="1:39" x14ac:dyDescent="0.25">
      <c r="A681" s="232">
        <f t="shared" si="361"/>
        <v>681</v>
      </c>
      <c r="B681" s="232"/>
      <c r="C681" s="307" t="str">
        <f>+C680</f>
        <v>15.22.3</v>
      </c>
      <c r="D681" s="308">
        <f>1+D680</f>
        <v>3</v>
      </c>
      <c r="E681" s="309" t="str">
        <f>C681&amp;"."&amp;D681</f>
        <v>15.22.3.3</v>
      </c>
      <c r="F681" s="310" t="s">
        <v>12216</v>
      </c>
      <c r="G681" s="311" t="str">
        <f>IF($F681="","",IFERROR(VLOOKUP($F681,SERVIÇOS!$B:$G,2,0),IFERROR(VLOOKUP($F681,'COMPOSIÇÕES COMPLEMENTARES '!$D:$L,2,0),IFERROR(VLOOKUP($F681,INSUMOS!$A:$D,2,0),""))))</f>
        <v>ELETROCALHA PERFURADA 200X100X3000MM - CH 18, INCLUSO CONEXÕES E SUPORTES DE FIXAÇÃO</v>
      </c>
      <c r="H681" s="312" t="str">
        <f>IF($F681="","",IFERROR(VLOOKUP($F681,SERVIÇOS!$B:$G,3,0),IFERROR(VLOOKUP($F681,'COMPOSIÇÕES COMPLEMENTARES '!$D:$L,3,0),IFERROR(VLOOKUP($F681,INSUMOS!$A:$D,3,0),""))))</f>
        <v>M</v>
      </c>
      <c r="I681" s="313">
        <v>30</v>
      </c>
      <c r="J681" s="314">
        <f>IF($F681="","",IFERROR(VLOOKUP($F681,SERVIÇOS!$B:$G,4,0),IFERROR(VLOOKUP($F681,'COMPOSIÇÕES COMPLEMENTARES '!$D:$L,6,0),IFERROR(VLOOKUP($F681,INSUMOS!$A:$D,4,0),""))))</f>
        <v>241.21</v>
      </c>
      <c r="K681" s="314">
        <f>IF($F681="","",IFERROR(VLOOKUP($F681,SERVIÇOS!$B:$G,5,0),IFERROR(VLOOKUP($F681,'COMPOSIÇÕES COMPLEMENTARES '!$D:$L,7,0),0)))</f>
        <v>43.98</v>
      </c>
      <c r="L681" s="314">
        <f>IF(I681="","",J681+K681)</f>
        <v>285.19</v>
      </c>
      <c r="M681" s="314">
        <f>IF(I681="","",TRUNC((I681*J681),2))</f>
        <v>7236.3</v>
      </c>
      <c r="N681" s="314">
        <f>IF(I681="","",TRUNC((I681*K681),2))</f>
        <v>1319.4</v>
      </c>
      <c r="O681" s="314">
        <f>IF(I681="","",TRUNC((M681+N681),2))</f>
        <v>8555.7000000000007</v>
      </c>
      <c r="P681" s="314"/>
      <c r="Q681" s="315"/>
      <c r="R681" s="315"/>
      <c r="S681" s="286"/>
      <c r="T681" s="287"/>
      <c r="U681" s="288" t="str">
        <f t="shared" si="390"/>
        <v/>
      </c>
      <c r="V681" s="287"/>
      <c r="W681" s="289" t="str">
        <f t="shared" si="391"/>
        <v/>
      </c>
      <c r="X681" s="287"/>
      <c r="Y681" s="290" t="str">
        <f t="shared" si="392"/>
        <v/>
      </c>
      <c r="Z681" s="291">
        <f ca="1">SUMIF($T$8:Y$1018,"QUANT.",T681:Y681)</f>
        <v>0</v>
      </c>
      <c r="AA681" s="292">
        <f t="shared" ca="1" si="393"/>
        <v>0</v>
      </c>
      <c r="AB681" s="293" t="str">
        <f t="shared" ca="1" si="394"/>
        <v>MEDIR</v>
      </c>
      <c r="AC681" s="294">
        <f t="shared" ca="1" si="395"/>
        <v>30</v>
      </c>
      <c r="AD681" s="294">
        <f t="shared" ca="1" si="396"/>
        <v>8555.7000000000007</v>
      </c>
      <c r="AE681" s="295"/>
      <c r="AF681" s="295"/>
      <c r="AG681" s="296"/>
      <c r="AH681" s="296"/>
      <c r="AI681" s="296"/>
      <c r="AJ681" s="326"/>
      <c r="AK681" s="326"/>
      <c r="AL681" s="326"/>
      <c r="AM681" s="326"/>
    </row>
    <row r="682" spans="1:39" x14ac:dyDescent="0.25">
      <c r="A682" s="232">
        <f t="shared" si="361"/>
        <v>682</v>
      </c>
      <c r="B682" s="232"/>
      <c r="C682" s="307" t="str">
        <f>+C681</f>
        <v>15.22.3</v>
      </c>
      <c r="D682" s="308">
        <f>1+D681</f>
        <v>4</v>
      </c>
      <c r="E682" s="309" t="str">
        <f>C682&amp;"."&amp;D682</f>
        <v>15.22.3.4</v>
      </c>
      <c r="F682" s="310" t="s">
        <v>12234</v>
      </c>
      <c r="G682" s="311" t="str">
        <f>IF($F682="","",IFERROR(VLOOKUP($F682,SERVIÇOS!$B:$G,2,0),IFERROR(VLOOKUP($F682,'COMPOSIÇÕES COMPLEMENTARES '!$D:$L,2,0),IFERROR(VLOOKUP($F682,INSUMOS!$A:$D,2,0),""))))</f>
        <v>ELETROCALHA PERFURADA 100X100X3000MM - CH 18, INCLUSO CONEXÕES E SUPORTE DE FIXAÇÃO</v>
      </c>
      <c r="H682" s="312" t="str">
        <f>IF($F682="","",IFERROR(VLOOKUP($F682,SERVIÇOS!$B:$G,3,0),IFERROR(VLOOKUP($F682,'COMPOSIÇÕES COMPLEMENTARES '!$D:$L,3,0),IFERROR(VLOOKUP($F682,INSUMOS!$A:$D,3,0),""))))</f>
        <v>M</v>
      </c>
      <c r="I682" s="313">
        <v>57</v>
      </c>
      <c r="J682" s="314">
        <f>IF($F682="","",IFERROR(VLOOKUP($F682,SERVIÇOS!$B:$G,4,0),IFERROR(VLOOKUP($F682,'COMPOSIÇÕES COMPLEMENTARES '!$D:$L,6,0),IFERROR(VLOOKUP($F682,INSUMOS!$A:$D,4,0),""))))</f>
        <v>129.66999999999999</v>
      </c>
      <c r="K682" s="314">
        <f>IF($F682="","",IFERROR(VLOOKUP($F682,SERVIÇOS!$B:$G,5,0),IFERROR(VLOOKUP($F682,'COMPOSIÇÕES COMPLEMENTARES '!$D:$L,7,0),0)))</f>
        <v>37.15</v>
      </c>
      <c r="L682" s="314">
        <f>IF(I682="","",J682+K682)</f>
        <v>166.82</v>
      </c>
      <c r="M682" s="314">
        <f>IF(I682="","",TRUNC((I682*J682),2))</f>
        <v>7391.19</v>
      </c>
      <c r="N682" s="314">
        <f>IF(I682="","",TRUNC((I682*K682),2))</f>
        <v>2117.5500000000002</v>
      </c>
      <c r="O682" s="314">
        <f>IF(I682="","",TRUNC((M682+N682),2))</f>
        <v>9508.74</v>
      </c>
      <c r="P682" s="314"/>
      <c r="Q682" s="315"/>
      <c r="R682" s="315"/>
      <c r="S682" s="286"/>
      <c r="T682" s="287"/>
      <c r="U682" s="288" t="str">
        <f t="shared" si="390"/>
        <v/>
      </c>
      <c r="V682" s="287"/>
      <c r="W682" s="289" t="str">
        <f t="shared" si="391"/>
        <v/>
      </c>
      <c r="X682" s="287"/>
      <c r="Y682" s="290" t="str">
        <f t="shared" si="392"/>
        <v/>
      </c>
      <c r="Z682" s="291">
        <f ca="1">SUMIF($T$8:Y$1018,"QUANT.",T682:Y682)</f>
        <v>0</v>
      </c>
      <c r="AA682" s="292">
        <f t="shared" ca="1" si="393"/>
        <v>0</v>
      </c>
      <c r="AB682" s="293" t="str">
        <f t="shared" ca="1" si="394"/>
        <v>MEDIR</v>
      </c>
      <c r="AC682" s="294">
        <f t="shared" ca="1" si="395"/>
        <v>57</v>
      </c>
      <c r="AD682" s="294">
        <f t="shared" ca="1" si="396"/>
        <v>9508.74</v>
      </c>
      <c r="AE682" s="295"/>
      <c r="AF682" s="295"/>
      <c r="AG682" s="296"/>
      <c r="AH682" s="296"/>
      <c r="AI682" s="296"/>
      <c r="AJ682" s="326"/>
      <c r="AK682" s="326"/>
      <c r="AL682" s="326"/>
      <c r="AM682" s="326"/>
    </row>
    <row r="683" spans="1:39" x14ac:dyDescent="0.25">
      <c r="A683" s="232">
        <f t="shared" si="361"/>
        <v>683</v>
      </c>
      <c r="B683" s="232"/>
      <c r="C683" s="316" t="str">
        <f>+E683</f>
        <v>15.22</v>
      </c>
      <c r="D683" s="297"/>
      <c r="E683" s="317" t="s">
        <v>12301</v>
      </c>
      <c r="F683" s="317"/>
      <c r="G683" s="327" t="s">
        <v>12324</v>
      </c>
      <c r="H683" s="317"/>
      <c r="I683" s="319"/>
      <c r="J683" s="317"/>
      <c r="K683" s="317"/>
      <c r="L683" s="317"/>
      <c r="M683" s="317"/>
      <c r="N683" s="317"/>
      <c r="O683" s="317"/>
      <c r="P683" s="317"/>
      <c r="Q683" s="320"/>
      <c r="R683" s="306"/>
      <c r="S683" s="286"/>
      <c r="T683" s="287"/>
      <c r="U683" s="288" t="str">
        <f t="shared" si="390"/>
        <v/>
      </c>
      <c r="V683" s="287"/>
      <c r="W683" s="289" t="str">
        <f t="shared" si="391"/>
        <v/>
      </c>
      <c r="X683" s="287"/>
      <c r="Y683" s="290" t="str">
        <f t="shared" si="392"/>
        <v/>
      </c>
      <c r="Z683" s="291">
        <f ca="1">SUMIF($T$8:Y$1018,"QUANT.",T683:Y683)</f>
        <v>0</v>
      </c>
      <c r="AA683" s="292">
        <f t="shared" ca="1" si="393"/>
        <v>0</v>
      </c>
      <c r="AB683" s="293" t="str">
        <f t="shared" si="394"/>
        <v/>
      </c>
      <c r="AC683" s="294">
        <f t="shared" ca="1" si="395"/>
        <v>0</v>
      </c>
      <c r="AD683" s="294">
        <f t="shared" ca="1" si="396"/>
        <v>0</v>
      </c>
      <c r="AE683" s="295"/>
      <c r="AF683" s="295"/>
      <c r="AG683" s="296"/>
      <c r="AH683" s="296"/>
      <c r="AI683" s="296"/>
      <c r="AJ683" s="326"/>
      <c r="AK683" s="326"/>
      <c r="AL683" s="326"/>
      <c r="AM683" s="326"/>
    </row>
    <row r="684" spans="1:39" x14ac:dyDescent="0.25">
      <c r="A684" s="232">
        <f t="shared" si="361"/>
        <v>684</v>
      </c>
      <c r="B684" s="232"/>
      <c r="C684" s="281" t="str">
        <f>+E684</f>
        <v>15.23.1</v>
      </c>
      <c r="D684" s="297"/>
      <c r="E684" s="343" t="s">
        <v>12325</v>
      </c>
      <c r="F684" s="328"/>
      <c r="G684" s="329" t="s">
        <v>12326</v>
      </c>
      <c r="H684" s="312"/>
      <c r="I684" s="313"/>
      <c r="J684" s="314"/>
      <c r="K684" s="314"/>
      <c r="L684" s="314"/>
      <c r="M684" s="314"/>
      <c r="N684" s="314"/>
      <c r="O684" s="314"/>
      <c r="P684" s="314"/>
      <c r="Q684" s="315"/>
      <c r="R684" s="306"/>
      <c r="S684" s="286"/>
      <c r="T684" s="287"/>
      <c r="U684" s="288" t="str">
        <f t="shared" si="390"/>
        <v/>
      </c>
      <c r="V684" s="287"/>
      <c r="W684" s="289" t="str">
        <f t="shared" si="391"/>
        <v/>
      </c>
      <c r="X684" s="287"/>
      <c r="Y684" s="290" t="str">
        <f t="shared" si="392"/>
        <v/>
      </c>
      <c r="Z684" s="291">
        <f ca="1">SUMIF($T$8:Y$1018,"QUANT.",T684:Y684)</f>
        <v>0</v>
      </c>
      <c r="AA684" s="292">
        <f t="shared" ca="1" si="393"/>
        <v>0</v>
      </c>
      <c r="AB684" s="293" t="str">
        <f t="shared" si="394"/>
        <v/>
      </c>
      <c r="AC684" s="294">
        <f t="shared" ca="1" si="395"/>
        <v>0</v>
      </c>
      <c r="AD684" s="294">
        <f t="shared" ca="1" si="396"/>
        <v>0</v>
      </c>
      <c r="AE684" s="295"/>
      <c r="AF684" s="295"/>
      <c r="AG684" s="296"/>
      <c r="AH684" s="296"/>
      <c r="AI684" s="296"/>
      <c r="AJ684" s="326"/>
      <c r="AK684" s="326"/>
      <c r="AL684" s="326"/>
      <c r="AM684" s="326"/>
    </row>
    <row r="685" spans="1:39" x14ac:dyDescent="0.25">
      <c r="A685" s="232">
        <f t="shared" si="361"/>
        <v>685</v>
      </c>
      <c r="B685" s="232"/>
      <c r="C685" s="307" t="str">
        <f t="shared" ref="C685:C690" si="397">+C684</f>
        <v>15.23.1</v>
      </c>
      <c r="D685" s="308">
        <f t="shared" ref="D685:D690" si="398">1+D684</f>
        <v>1</v>
      </c>
      <c r="E685" s="309" t="str">
        <f t="shared" ref="E685:E690" si="399">C685&amp;"."&amp;D685</f>
        <v>15.23.1.1</v>
      </c>
      <c r="F685" s="310" t="s">
        <v>12248</v>
      </c>
      <c r="G685" s="311" t="str">
        <f>IF($F685="","",IFERROR(VLOOKUP($F685,SERVIÇOS!$B:$G,2,0),IFERROR(VLOOKUP($F685,'COMPOSIÇÕES COMPLEMENTARES '!$D:$L,2,0),IFERROR(VLOOKUP($F685,INSUMOS!$A:$D,2,0),""))))</f>
        <v>CAIXA DE PASSAGEM, METÁLICA. MEDINDO 20X20X10CM</v>
      </c>
      <c r="H685" s="312" t="str">
        <f>IF($F685="","",IFERROR(VLOOKUP($F685,SERVIÇOS!$B:$G,3,0),IFERROR(VLOOKUP($F685,'COMPOSIÇÕES COMPLEMENTARES '!$D:$L,3,0),IFERROR(VLOOKUP($F685,INSUMOS!$A:$D,3,0),""))))</f>
        <v>UN</v>
      </c>
      <c r="I685" s="313">
        <v>1</v>
      </c>
      <c r="J685" s="314">
        <f>IF($F685="","",IFERROR(VLOOKUP($F685,SERVIÇOS!$B:$G,4,0),IFERROR(VLOOKUP($F685,'COMPOSIÇÕES COMPLEMENTARES '!$D:$L,6,0),IFERROR(VLOOKUP($F685,INSUMOS!$A:$D,4,0),""))))</f>
        <v>51.44</v>
      </c>
      <c r="K685" s="314">
        <f>IF($F685="","",IFERROR(VLOOKUP($F685,SERVIÇOS!$B:$G,5,0),IFERROR(VLOOKUP($F685,'COMPOSIÇÕES COMPLEMENTARES '!$D:$L,7,0),0)))</f>
        <v>61.92</v>
      </c>
      <c r="L685" s="314">
        <f t="shared" ref="L685:L690" si="400">IF(I685="","",J685+K685)</f>
        <v>113.36</v>
      </c>
      <c r="M685" s="314">
        <f t="shared" ref="M685:M690" si="401">IF(I685="","",TRUNC((I685*J685),2))</f>
        <v>51.44</v>
      </c>
      <c r="N685" s="314">
        <f t="shared" ref="N685:N690" si="402">IF(I685="","",TRUNC((I685*K685),2))</f>
        <v>61.92</v>
      </c>
      <c r="O685" s="314">
        <f t="shared" ref="O685:O690" si="403">IF(I685="","",TRUNC((M685+N685),2))</f>
        <v>113.36</v>
      </c>
      <c r="P685" s="314"/>
      <c r="Q685" s="315"/>
      <c r="R685" s="315"/>
      <c r="S685" s="286"/>
      <c r="T685" s="287"/>
      <c r="U685" s="288" t="str">
        <f t="shared" si="390"/>
        <v/>
      </c>
      <c r="V685" s="287"/>
      <c r="W685" s="289" t="str">
        <f t="shared" si="391"/>
        <v/>
      </c>
      <c r="X685" s="287"/>
      <c r="Y685" s="290" t="str">
        <f t="shared" si="392"/>
        <v/>
      </c>
      <c r="Z685" s="291">
        <f ca="1">SUMIF($T$8:Y$1018,"QUANT.",T685:Y685)</f>
        <v>0</v>
      </c>
      <c r="AA685" s="292">
        <f t="shared" ca="1" si="393"/>
        <v>0</v>
      </c>
      <c r="AB685" s="293" t="str">
        <f t="shared" ca="1" si="394"/>
        <v>MEDIR</v>
      </c>
      <c r="AC685" s="294">
        <f t="shared" ca="1" si="395"/>
        <v>1</v>
      </c>
      <c r="AD685" s="294">
        <f t="shared" ca="1" si="396"/>
        <v>113.36</v>
      </c>
      <c r="AE685" s="295"/>
      <c r="AF685" s="295"/>
      <c r="AG685" s="296"/>
      <c r="AH685" s="296"/>
      <c r="AI685" s="296"/>
      <c r="AJ685" s="326"/>
      <c r="AK685" s="326"/>
      <c r="AL685" s="326"/>
      <c r="AM685" s="326"/>
    </row>
    <row r="686" spans="1:39" ht="25.5" x14ac:dyDescent="0.25">
      <c r="A686" s="232">
        <f t="shared" si="361"/>
        <v>686</v>
      </c>
      <c r="B686" s="232"/>
      <c r="C686" s="307" t="str">
        <f t="shared" si="397"/>
        <v>15.23.1</v>
      </c>
      <c r="D686" s="308">
        <f t="shared" si="398"/>
        <v>2</v>
      </c>
      <c r="E686" s="309" t="str">
        <f t="shared" si="399"/>
        <v>15.23.1.2</v>
      </c>
      <c r="F686" s="310">
        <v>91940</v>
      </c>
      <c r="G686" s="311" t="str">
        <f>IF($F686="","",IFERROR(VLOOKUP($F686,SERVIÇOS!$B:$G,2,0),IFERROR(VLOOKUP($F686,'COMPOSIÇÕES COMPLEMENTARES '!$D:$L,2,0),IFERROR(VLOOKUP($F686,INSUMOS!$A:$D,2,0),""))))</f>
        <v>CAIXA RETANGULAR 4" X 2" MÉDIA (1,30 M DO PISO), PVC, INSTALADA EM PAREDE - FORNECIMENTO E INSTALAÇÃO. AF_03/2023</v>
      </c>
      <c r="H686" s="312" t="str">
        <f>IF($F686="","",IFERROR(VLOOKUP($F686,SERVIÇOS!$B:$G,3,0),IFERROR(VLOOKUP($F686,'COMPOSIÇÕES COMPLEMENTARES '!$D:$L,3,0),IFERROR(VLOOKUP($F686,INSUMOS!$A:$D,3,0),""))))</f>
        <v>UN</v>
      </c>
      <c r="I686" s="313">
        <v>14</v>
      </c>
      <c r="J686" s="314">
        <f>IF($F686="","",IFERROR(VLOOKUP($F686,SERVIÇOS!$B:$G,4,0),IFERROR(VLOOKUP($F686,'COMPOSIÇÕES COMPLEMENTARES '!$D:$L,6,0),IFERROR(VLOOKUP($F686,INSUMOS!$A:$D,4,0),""))))</f>
        <v>9.7799999999999994</v>
      </c>
      <c r="K686" s="314">
        <f>IF($F686="","",IFERROR(VLOOKUP($F686,SERVIÇOS!$B:$G,5,0),IFERROR(VLOOKUP($F686,'COMPOSIÇÕES COMPLEMENTARES '!$D:$L,7,0),0)))</f>
        <v>14.56</v>
      </c>
      <c r="L686" s="314">
        <f t="shared" si="400"/>
        <v>24.34</v>
      </c>
      <c r="M686" s="314">
        <f t="shared" si="401"/>
        <v>136.91999999999999</v>
      </c>
      <c r="N686" s="314">
        <f t="shared" si="402"/>
        <v>203.84</v>
      </c>
      <c r="O686" s="314">
        <f t="shared" si="403"/>
        <v>340.76</v>
      </c>
      <c r="P686" s="314"/>
      <c r="Q686" s="315"/>
      <c r="R686" s="315"/>
      <c r="S686" s="286"/>
      <c r="T686" s="287"/>
      <c r="U686" s="288" t="str">
        <f t="shared" si="390"/>
        <v/>
      </c>
      <c r="V686" s="287"/>
      <c r="W686" s="289" t="str">
        <f t="shared" si="391"/>
        <v/>
      </c>
      <c r="X686" s="287"/>
      <c r="Y686" s="290" t="str">
        <f t="shared" si="392"/>
        <v/>
      </c>
      <c r="Z686" s="291">
        <f ca="1">SUMIF($T$8:Y$1018,"QUANT.",T686:Y686)</f>
        <v>0</v>
      </c>
      <c r="AA686" s="292">
        <f t="shared" ca="1" si="393"/>
        <v>0</v>
      </c>
      <c r="AB686" s="293" t="str">
        <f t="shared" ca="1" si="394"/>
        <v>MEDIR</v>
      </c>
      <c r="AC686" s="294">
        <f t="shared" ca="1" si="395"/>
        <v>14</v>
      </c>
      <c r="AD686" s="294">
        <f t="shared" ca="1" si="396"/>
        <v>340.76</v>
      </c>
      <c r="AE686" s="295"/>
      <c r="AF686" s="295"/>
      <c r="AG686" s="296"/>
      <c r="AH686" s="296"/>
      <c r="AI686" s="296"/>
      <c r="AJ686" s="326"/>
      <c r="AK686" s="326"/>
      <c r="AL686" s="326"/>
      <c r="AM686" s="326"/>
    </row>
    <row r="687" spans="1:39" x14ac:dyDescent="0.25">
      <c r="A687" s="232">
        <f t="shared" si="361"/>
        <v>687</v>
      </c>
      <c r="B687" s="232"/>
      <c r="C687" s="307" t="str">
        <f t="shared" si="397"/>
        <v>15.23.1</v>
      </c>
      <c r="D687" s="308">
        <f t="shared" si="398"/>
        <v>3</v>
      </c>
      <c r="E687" s="309" t="str">
        <f t="shared" si="399"/>
        <v>15.23.1.3</v>
      </c>
      <c r="F687" s="310" t="s">
        <v>12327</v>
      </c>
      <c r="G687" s="311" t="str">
        <f>IF($F687="","",IFERROR(VLOOKUP($F687,SERVIÇOS!$B:$G,2,0),IFERROR(VLOOKUP($F687,'COMPOSIÇÕES COMPLEMENTARES '!$D:$L,2,0),IFERROR(VLOOKUP($F687,INSUMOS!$A:$D,2,0),""))))</f>
        <v>CABO FLEXÍVEL ISOL. 750V  -  #1,0MM² - AFUMEX GREEN</v>
      </c>
      <c r="H687" s="312" t="str">
        <f>IF($F687="","",IFERROR(VLOOKUP($F687,SERVIÇOS!$B:$G,3,0),IFERROR(VLOOKUP($F687,'COMPOSIÇÕES COMPLEMENTARES '!$D:$L,3,0),IFERROR(VLOOKUP($F687,INSUMOS!$A:$D,3,0),""))))</f>
        <v>M</v>
      </c>
      <c r="I687" s="313">
        <v>350</v>
      </c>
      <c r="J687" s="314">
        <f>IF($F687="","",IFERROR(VLOOKUP($F687,SERVIÇOS!$B:$G,4,0),IFERROR(VLOOKUP($F687,'COMPOSIÇÕES COMPLEMENTARES '!$D:$L,6,0),IFERROR(VLOOKUP($F687,INSUMOS!$A:$D,4,0),""))))</f>
        <v>1.94</v>
      </c>
      <c r="K687" s="314">
        <f>IF($F687="","",IFERROR(VLOOKUP($F687,SERVIÇOS!$B:$G,5,0),IFERROR(VLOOKUP($F687,'COMPOSIÇÕES COMPLEMENTARES '!$D:$L,7,0),0)))</f>
        <v>1.48</v>
      </c>
      <c r="L687" s="314">
        <f t="shared" si="400"/>
        <v>3.42</v>
      </c>
      <c r="M687" s="314">
        <f t="shared" si="401"/>
        <v>679</v>
      </c>
      <c r="N687" s="314">
        <f t="shared" si="402"/>
        <v>518</v>
      </c>
      <c r="O687" s="314">
        <f t="shared" si="403"/>
        <v>1197</v>
      </c>
      <c r="P687" s="314"/>
      <c r="Q687" s="315"/>
      <c r="R687" s="315"/>
      <c r="S687" s="286"/>
      <c r="T687" s="287"/>
      <c r="U687" s="288" t="str">
        <f t="shared" si="390"/>
        <v/>
      </c>
      <c r="V687" s="287"/>
      <c r="W687" s="289" t="str">
        <f t="shared" si="391"/>
        <v/>
      </c>
      <c r="X687" s="287"/>
      <c r="Y687" s="290" t="str">
        <f t="shared" si="392"/>
        <v/>
      </c>
      <c r="Z687" s="291">
        <f ca="1">SUMIF($T$8:Y$1018,"QUANT.",T687:Y687)</f>
        <v>0</v>
      </c>
      <c r="AA687" s="292">
        <f t="shared" ca="1" si="393"/>
        <v>0</v>
      </c>
      <c r="AB687" s="293" t="str">
        <f t="shared" ca="1" si="394"/>
        <v>MEDIR</v>
      </c>
      <c r="AC687" s="294">
        <f t="shared" ca="1" si="395"/>
        <v>350</v>
      </c>
      <c r="AD687" s="294">
        <f t="shared" ca="1" si="396"/>
        <v>1197</v>
      </c>
      <c r="AE687" s="295"/>
      <c r="AF687" s="295"/>
      <c r="AG687" s="296"/>
      <c r="AH687" s="296"/>
      <c r="AI687" s="296"/>
      <c r="AJ687" s="326"/>
      <c r="AK687" s="326"/>
      <c r="AL687" s="326"/>
      <c r="AM687" s="326"/>
    </row>
    <row r="688" spans="1:39" x14ac:dyDescent="0.25">
      <c r="A688" s="232">
        <f t="shared" si="361"/>
        <v>688</v>
      </c>
      <c r="B688" s="232"/>
      <c r="C688" s="307" t="str">
        <f t="shared" si="397"/>
        <v>15.23.1</v>
      </c>
      <c r="D688" s="308">
        <f t="shared" si="398"/>
        <v>4</v>
      </c>
      <c r="E688" s="309" t="str">
        <f t="shared" si="399"/>
        <v>15.23.1.4</v>
      </c>
      <c r="F688" s="310" t="s">
        <v>12323</v>
      </c>
      <c r="G688" s="311" t="str">
        <f>IF($F688="","",IFERROR(VLOOKUP($F688,SERVIÇOS!$B:$G,2,0),IFERROR(VLOOKUP($F688,'COMPOSIÇÕES COMPLEMENTARES '!$D:$L,2,0),IFERROR(VLOOKUP($F688,INSUMOS!$A:$D,2,0),""))))</f>
        <v>ELETRODUTO DE PVC RÍGIDO 32 MM (1"), INCLUSO CONEXÕES - FORNECIMENTO E INSTALAÇÃO</v>
      </c>
      <c r="H688" s="312" t="str">
        <f>IF($F688="","",IFERROR(VLOOKUP($F688,SERVIÇOS!$B:$G,3,0),IFERROR(VLOOKUP($F688,'COMPOSIÇÕES COMPLEMENTARES '!$D:$L,3,0),IFERROR(VLOOKUP($F688,INSUMOS!$A:$D,3,0),""))))</f>
        <v>M</v>
      </c>
      <c r="I688" s="313">
        <v>20</v>
      </c>
      <c r="J688" s="314">
        <f>IF($F688="","",IFERROR(VLOOKUP($F688,SERVIÇOS!$B:$G,4,0),IFERROR(VLOOKUP($F688,'COMPOSIÇÕES COMPLEMENTARES '!$D:$L,6,0),IFERROR(VLOOKUP($F688,INSUMOS!$A:$D,4,0),""))))</f>
        <v>20.02</v>
      </c>
      <c r="K688" s="314">
        <f>IF($F688="","",IFERROR(VLOOKUP($F688,SERVIÇOS!$B:$G,5,0),IFERROR(VLOOKUP($F688,'COMPOSIÇÕES COMPLEMENTARES '!$D:$L,7,0),0)))</f>
        <v>10.89</v>
      </c>
      <c r="L688" s="314">
        <f t="shared" si="400"/>
        <v>30.91</v>
      </c>
      <c r="M688" s="314">
        <f t="shared" si="401"/>
        <v>400.4</v>
      </c>
      <c r="N688" s="314">
        <f t="shared" si="402"/>
        <v>217.8</v>
      </c>
      <c r="O688" s="314">
        <f t="shared" si="403"/>
        <v>618.20000000000005</v>
      </c>
      <c r="P688" s="314"/>
      <c r="Q688" s="315"/>
      <c r="R688" s="315"/>
      <c r="S688" s="286"/>
      <c r="T688" s="287"/>
      <c r="U688" s="288" t="str">
        <f t="shared" si="390"/>
        <v/>
      </c>
      <c r="V688" s="287"/>
      <c r="W688" s="289" t="str">
        <f t="shared" si="391"/>
        <v/>
      </c>
      <c r="X688" s="287"/>
      <c r="Y688" s="290" t="str">
        <f t="shared" si="392"/>
        <v/>
      </c>
      <c r="Z688" s="291">
        <f ca="1">SUMIF($T$8:Y$1018,"QUANT.",T688:Y688)</f>
        <v>0</v>
      </c>
      <c r="AA688" s="292">
        <f t="shared" ca="1" si="393"/>
        <v>0</v>
      </c>
      <c r="AB688" s="293" t="str">
        <f t="shared" ca="1" si="394"/>
        <v>MEDIR</v>
      </c>
      <c r="AC688" s="294">
        <f t="shared" ca="1" si="395"/>
        <v>20</v>
      </c>
      <c r="AD688" s="294">
        <f t="shared" ca="1" si="396"/>
        <v>618.20000000000005</v>
      </c>
      <c r="AE688" s="295"/>
      <c r="AF688" s="295"/>
      <c r="AG688" s="296"/>
      <c r="AH688" s="296"/>
      <c r="AI688" s="296"/>
      <c r="AJ688" s="326"/>
      <c r="AK688" s="326"/>
      <c r="AL688" s="326"/>
      <c r="AM688" s="326"/>
    </row>
    <row r="689" spans="1:39" ht="25.5" x14ac:dyDescent="0.25">
      <c r="A689" s="232">
        <f t="shared" si="361"/>
        <v>689</v>
      </c>
      <c r="B689" s="232"/>
      <c r="C689" s="307" t="str">
        <f t="shared" si="397"/>
        <v>15.23.1</v>
      </c>
      <c r="D689" s="308">
        <f t="shared" si="398"/>
        <v>5</v>
      </c>
      <c r="E689" s="309" t="str">
        <f t="shared" si="399"/>
        <v>15.23.1.5</v>
      </c>
      <c r="F689" s="310" t="s">
        <v>12217</v>
      </c>
      <c r="G689" s="311" t="str">
        <f>IF($F689="","",IFERROR(VLOOKUP($F689,SERVIÇOS!$B:$G,2,0),IFERROR(VLOOKUP($F689,'COMPOSIÇÕES COMPLEMENTARES '!$D:$L,2,0),IFERROR(VLOOKUP($F689,INSUMOS!$A:$D,2,0),""))))</f>
        <v>ELETRODUTO RÍGIDO ROSCÁVEL, PVC, DN 25 MM (3/4"), INCLUSO CONEXÕES E ACESSÓRIOS, INSTALAÇÃO APARENTE - FORNECIMENTO E INSTALAÇÃO</v>
      </c>
      <c r="H689" s="312" t="str">
        <f>IF($F689="","",IFERROR(VLOOKUP($F689,SERVIÇOS!$B:$G,3,0),IFERROR(VLOOKUP($F689,'COMPOSIÇÕES COMPLEMENTARES '!$D:$L,3,0),IFERROR(VLOOKUP($F689,INSUMOS!$A:$D,3,0),""))))</f>
        <v>M</v>
      </c>
      <c r="I689" s="313">
        <v>90</v>
      </c>
      <c r="J689" s="314">
        <f>IF($F689="","",IFERROR(VLOOKUP($F689,SERVIÇOS!$B:$G,4,0),IFERROR(VLOOKUP($F689,'COMPOSIÇÕES COMPLEMENTARES '!$D:$L,6,0),IFERROR(VLOOKUP($F689,INSUMOS!$A:$D,4,0),""))))</f>
        <v>14.79</v>
      </c>
      <c r="K689" s="314">
        <f>IF($F689="","",IFERROR(VLOOKUP($F689,SERVIÇOS!$B:$G,5,0),IFERROR(VLOOKUP($F689,'COMPOSIÇÕES COMPLEMENTARES '!$D:$L,7,0),0)))</f>
        <v>8.75</v>
      </c>
      <c r="L689" s="314">
        <f t="shared" si="400"/>
        <v>23.54</v>
      </c>
      <c r="M689" s="314">
        <f t="shared" si="401"/>
        <v>1331.1</v>
      </c>
      <c r="N689" s="314">
        <f t="shared" si="402"/>
        <v>787.5</v>
      </c>
      <c r="O689" s="314">
        <f t="shared" si="403"/>
        <v>2118.6</v>
      </c>
      <c r="P689" s="314"/>
      <c r="Q689" s="315"/>
      <c r="R689" s="315"/>
      <c r="S689" s="286"/>
      <c r="T689" s="287"/>
      <c r="U689" s="288" t="str">
        <f t="shared" si="390"/>
        <v/>
      </c>
      <c r="V689" s="287"/>
      <c r="W689" s="289" t="str">
        <f t="shared" si="391"/>
        <v/>
      </c>
      <c r="X689" s="287"/>
      <c r="Y689" s="290" t="str">
        <f t="shared" si="392"/>
        <v/>
      </c>
      <c r="Z689" s="291">
        <f ca="1">SUMIF($T$8:Y$1018,"QUANT.",T689:Y689)</f>
        <v>0</v>
      </c>
      <c r="AA689" s="292">
        <f t="shared" ca="1" si="393"/>
        <v>0</v>
      </c>
      <c r="AB689" s="293" t="str">
        <f t="shared" ca="1" si="394"/>
        <v>MEDIR</v>
      </c>
      <c r="AC689" s="294">
        <f t="shared" ca="1" si="395"/>
        <v>90</v>
      </c>
      <c r="AD689" s="294">
        <f t="shared" ca="1" si="396"/>
        <v>2118.6</v>
      </c>
      <c r="AE689" s="295"/>
      <c r="AF689" s="295"/>
      <c r="AG689" s="296"/>
      <c r="AH689" s="296"/>
      <c r="AI689" s="296"/>
      <c r="AJ689" s="326"/>
      <c r="AK689" s="326"/>
      <c r="AL689" s="326"/>
      <c r="AM689" s="326"/>
    </row>
    <row r="690" spans="1:39" x14ac:dyDescent="0.25">
      <c r="A690" s="232">
        <f t="shared" si="361"/>
        <v>690</v>
      </c>
      <c r="B690" s="232"/>
      <c r="C690" s="307" t="str">
        <f t="shared" si="397"/>
        <v>15.23.1</v>
      </c>
      <c r="D690" s="308">
        <f t="shared" si="398"/>
        <v>6</v>
      </c>
      <c r="E690" s="309" t="str">
        <f t="shared" si="399"/>
        <v>15.23.1.6</v>
      </c>
      <c r="F690" s="310" t="s">
        <v>12215</v>
      </c>
      <c r="G690" s="311" t="str">
        <f>IF($F690="","",IFERROR(VLOOKUP($F690,SERVIÇOS!$B:$G,2,0),IFERROR(VLOOKUP($F690,'COMPOSIÇÕES COMPLEMENTARES '!$D:$L,2,0),IFERROR(VLOOKUP($F690,INSUMOS!$A:$D,2,0),""))))</f>
        <v>PERFILADO PERFURADO COM TAMPA 38X38X6000MM CHAPA 18, INCLUSO CONEXÕES E FIXAÇÕES</v>
      </c>
      <c r="H690" s="312" t="str">
        <f>IF($F690="","",IFERROR(VLOOKUP($F690,SERVIÇOS!$B:$G,3,0),IFERROR(VLOOKUP($F690,'COMPOSIÇÕES COMPLEMENTARES '!$D:$L,3,0),IFERROR(VLOOKUP($F690,INSUMOS!$A:$D,3,0),""))))</f>
        <v>M</v>
      </c>
      <c r="I690" s="313">
        <v>54</v>
      </c>
      <c r="J690" s="314">
        <f>IF($F690="","",IFERROR(VLOOKUP($F690,SERVIÇOS!$B:$G,4,0),IFERROR(VLOOKUP($F690,'COMPOSIÇÕES COMPLEMENTARES '!$D:$L,6,0),IFERROR(VLOOKUP($F690,INSUMOS!$A:$D,4,0),""))))</f>
        <v>61.76</v>
      </c>
      <c r="K690" s="314">
        <f>IF($F690="","",IFERROR(VLOOKUP($F690,SERVIÇOS!$B:$G,5,0),IFERROR(VLOOKUP($F690,'COMPOSIÇÕES COMPLEMENTARES '!$D:$L,7,0),0)))</f>
        <v>31.6</v>
      </c>
      <c r="L690" s="314">
        <f t="shared" si="400"/>
        <v>93.36</v>
      </c>
      <c r="M690" s="314">
        <f t="shared" si="401"/>
        <v>3335.04</v>
      </c>
      <c r="N690" s="314">
        <f t="shared" si="402"/>
        <v>1706.4</v>
      </c>
      <c r="O690" s="314">
        <f t="shared" si="403"/>
        <v>5041.4399999999996</v>
      </c>
      <c r="P690" s="314"/>
      <c r="Q690" s="315"/>
      <c r="R690" s="315"/>
      <c r="S690" s="286"/>
      <c r="T690" s="287"/>
      <c r="U690" s="288" t="str">
        <f t="shared" si="390"/>
        <v/>
      </c>
      <c r="V690" s="287"/>
      <c r="W690" s="289" t="str">
        <f t="shared" si="391"/>
        <v/>
      </c>
      <c r="X690" s="287"/>
      <c r="Y690" s="290" t="str">
        <f t="shared" si="392"/>
        <v/>
      </c>
      <c r="Z690" s="291">
        <f ca="1">SUMIF($T$8:Y$1018,"QUANT.",T690:Y690)</f>
        <v>0</v>
      </c>
      <c r="AA690" s="292">
        <f t="shared" ca="1" si="393"/>
        <v>0</v>
      </c>
      <c r="AB690" s="293" t="str">
        <f t="shared" ca="1" si="394"/>
        <v>MEDIR</v>
      </c>
      <c r="AC690" s="294">
        <f t="shared" ca="1" si="395"/>
        <v>54</v>
      </c>
      <c r="AD690" s="294">
        <f t="shared" ca="1" si="396"/>
        <v>5041.4399999999996</v>
      </c>
      <c r="AE690" s="295"/>
      <c r="AF690" s="295"/>
      <c r="AG690" s="296"/>
      <c r="AH690" s="296"/>
      <c r="AI690" s="296"/>
      <c r="AJ690" s="326"/>
      <c r="AK690" s="326"/>
      <c r="AL690" s="326"/>
      <c r="AM690" s="326"/>
    </row>
    <row r="691" spans="1:39" x14ac:dyDescent="0.25">
      <c r="A691" s="232">
        <f t="shared" si="361"/>
        <v>691</v>
      </c>
      <c r="B691" s="232"/>
      <c r="C691" s="316" t="str">
        <f>+E691</f>
        <v>15.23</v>
      </c>
      <c r="D691" s="297"/>
      <c r="E691" s="317" t="s">
        <v>12328</v>
      </c>
      <c r="F691" s="317"/>
      <c r="G691" s="327" t="s">
        <v>12329</v>
      </c>
      <c r="H691" s="317"/>
      <c r="I691" s="319"/>
      <c r="J691" s="317"/>
      <c r="K691" s="317"/>
      <c r="L691" s="317"/>
      <c r="M691" s="317"/>
      <c r="N691" s="317"/>
      <c r="O691" s="317"/>
      <c r="P691" s="317"/>
      <c r="Q691" s="320"/>
      <c r="R691" s="306"/>
      <c r="S691" s="286"/>
      <c r="T691" s="287"/>
      <c r="U691" s="288" t="str">
        <f t="shared" si="390"/>
        <v/>
      </c>
      <c r="V691" s="287"/>
      <c r="W691" s="289" t="str">
        <f t="shared" si="391"/>
        <v/>
      </c>
      <c r="X691" s="287"/>
      <c r="Y691" s="290" t="str">
        <f t="shared" si="392"/>
        <v/>
      </c>
      <c r="Z691" s="291">
        <f ca="1">SUMIF($T$8:Y$1018,"QUANT.",T691:Y691)</f>
        <v>0</v>
      </c>
      <c r="AA691" s="292">
        <f t="shared" ca="1" si="393"/>
        <v>0</v>
      </c>
      <c r="AB691" s="293" t="str">
        <f t="shared" si="394"/>
        <v/>
      </c>
      <c r="AC691" s="294">
        <f t="shared" ca="1" si="395"/>
        <v>0</v>
      </c>
      <c r="AD691" s="294">
        <f t="shared" ca="1" si="396"/>
        <v>0</v>
      </c>
      <c r="AE691" s="295"/>
      <c r="AF691" s="295"/>
      <c r="AG691" s="296"/>
      <c r="AH691" s="296"/>
      <c r="AI691" s="296"/>
      <c r="AJ691" s="326"/>
      <c r="AK691" s="326"/>
      <c r="AL691" s="326"/>
      <c r="AM691" s="326"/>
    </row>
    <row r="692" spans="1:39" x14ac:dyDescent="0.25">
      <c r="A692" s="232">
        <f t="shared" si="361"/>
        <v>692</v>
      </c>
      <c r="B692" s="232"/>
      <c r="C692" s="307" t="str">
        <f t="shared" ref="C692:C702" si="404">+C691</f>
        <v>15.23</v>
      </c>
      <c r="D692" s="308">
        <f t="shared" ref="D692:D702" si="405">1+D691</f>
        <v>1</v>
      </c>
      <c r="E692" s="309" t="str">
        <f t="shared" ref="E692:E702" si="406">C692&amp;"."&amp;D692</f>
        <v>15.23.1</v>
      </c>
      <c r="F692" s="310">
        <v>96977</v>
      </c>
      <c r="G692" s="311" t="str">
        <f>IF($F692="","",IFERROR(VLOOKUP($F692,SERVIÇOS!$B:$G,2,0),IFERROR(VLOOKUP($F692,'COMPOSIÇÕES COMPLEMENTARES '!$D:$L,2,0),IFERROR(VLOOKUP($F692,INSUMOS!$A:$D,2,0),""))))</f>
        <v>CORDOALHA DE COBRE NU 50 MM², ENTERRADA - FORNECIMENTO E INSTALAÇÃO. AF_08/2023</v>
      </c>
      <c r="H692" s="312" t="str">
        <f>IF($F692="","",IFERROR(VLOOKUP($F692,SERVIÇOS!$B:$G,3,0),IFERROR(VLOOKUP($F692,'COMPOSIÇÕES COMPLEMENTARES '!$D:$L,3,0),IFERROR(VLOOKUP($F692,INSUMOS!$A:$D,3,0),""))))</f>
        <v>M</v>
      </c>
      <c r="I692" s="313">
        <v>250</v>
      </c>
      <c r="J692" s="314">
        <f>IF($F692="","",IFERROR(VLOOKUP($F692,SERVIÇOS!$B:$G,4,0),IFERROR(VLOOKUP($F692,'COMPOSIÇÕES COMPLEMENTARES '!$D:$L,6,0),IFERROR(VLOOKUP($F692,INSUMOS!$A:$D,4,0),""))))</f>
        <v>55.81</v>
      </c>
      <c r="K692" s="314">
        <f>IF($F692="","",IFERROR(VLOOKUP($F692,SERVIÇOS!$B:$G,5,0),IFERROR(VLOOKUP($F692,'COMPOSIÇÕES COMPLEMENTARES '!$D:$L,7,0),0)))</f>
        <v>1.63</v>
      </c>
      <c r="L692" s="314">
        <f t="shared" ref="L692:L702" si="407">IF(I692="","",J692+K692)</f>
        <v>57.440000000000005</v>
      </c>
      <c r="M692" s="314">
        <f t="shared" ref="M692:M702" si="408">IF(I692="","",TRUNC((I692*J692),2))</f>
        <v>13952.5</v>
      </c>
      <c r="N692" s="314">
        <f t="shared" ref="N692:N702" si="409">IF(I692="","",TRUNC((I692*K692),2))</f>
        <v>407.5</v>
      </c>
      <c r="O692" s="314">
        <f t="shared" ref="O692:O702" si="410">IF(I692="","",TRUNC((M692+N692),2))</f>
        <v>14360</v>
      </c>
      <c r="P692" s="314"/>
      <c r="Q692" s="315"/>
      <c r="R692" s="315"/>
      <c r="S692" s="286"/>
      <c r="T692" s="287"/>
      <c r="U692" s="288" t="str">
        <f t="shared" si="390"/>
        <v/>
      </c>
      <c r="V692" s="287"/>
      <c r="W692" s="289" t="str">
        <f t="shared" si="391"/>
        <v/>
      </c>
      <c r="X692" s="287"/>
      <c r="Y692" s="290" t="str">
        <f t="shared" si="392"/>
        <v/>
      </c>
      <c r="Z692" s="291">
        <f ca="1">SUMIF($T$8:Y$1018,"QUANT.",T692:Y692)</f>
        <v>0</v>
      </c>
      <c r="AA692" s="292">
        <f t="shared" ca="1" si="393"/>
        <v>0</v>
      </c>
      <c r="AB692" s="293" t="str">
        <f t="shared" ca="1" si="394"/>
        <v>MEDIR</v>
      </c>
      <c r="AC692" s="294">
        <f t="shared" ca="1" si="395"/>
        <v>250</v>
      </c>
      <c r="AD692" s="294">
        <f t="shared" ca="1" si="396"/>
        <v>14360</v>
      </c>
      <c r="AE692" s="295"/>
      <c r="AF692" s="295"/>
      <c r="AG692" s="296"/>
      <c r="AH692" s="296"/>
      <c r="AI692" s="296"/>
      <c r="AJ692" s="326"/>
      <c r="AK692" s="326"/>
      <c r="AL692" s="326"/>
      <c r="AM692" s="326"/>
    </row>
    <row r="693" spans="1:39" ht="38.25" x14ac:dyDescent="0.25">
      <c r="A693" s="232">
        <f t="shared" si="361"/>
        <v>693</v>
      </c>
      <c r="B693" s="232"/>
      <c r="C693" s="307" t="str">
        <f t="shared" si="404"/>
        <v>15.23</v>
      </c>
      <c r="D693" s="308">
        <f t="shared" si="405"/>
        <v>2</v>
      </c>
      <c r="E693" s="309" t="str">
        <f t="shared" si="406"/>
        <v>15.23.2</v>
      </c>
      <c r="F693" s="310">
        <v>102279</v>
      </c>
      <c r="G693" s="311" t="str">
        <f>IF($F693="","",IFERROR(VLOOKUP($F693,SERVIÇOS!$B:$G,2,0),IFERROR(VLOOKUP($F693,'COMPOSIÇÕES COMPLEMENTARES '!$D:$L,2,0),IFERROR(VLOOKUP($F693,INSUMOS!$A:$D,2,0),""))))</f>
        <v>ESCAVAÇÃO MECANIZADA DE VALA COM PROF. ATÉ 1,5 M (MÉDIA MONTANTE E JUSANTE/UMA COMPOSIÇÃO POR TRECHO), ESCAVADEIRA (0,8 M3),LARG. MENOR QUE 1,5 M, EM SOLO DE 1A CATEGORIA, LOCAIS COM BAIXO NÍVEL DE INTERFERÊNCIA. AF_09/2024</v>
      </c>
      <c r="H693" s="312" t="str">
        <f>IF($F693="","",IFERROR(VLOOKUP($F693,SERVIÇOS!$B:$G,3,0),IFERROR(VLOOKUP($F693,'COMPOSIÇÕES COMPLEMENTARES '!$D:$L,3,0),IFERROR(VLOOKUP($F693,INSUMOS!$A:$D,3,0),""))))</f>
        <v>M3</v>
      </c>
      <c r="I693" s="313">
        <v>38</v>
      </c>
      <c r="J693" s="314">
        <f>IF($F693="","",IFERROR(VLOOKUP($F693,SERVIÇOS!$B:$G,4,0),IFERROR(VLOOKUP($F693,'COMPOSIÇÕES COMPLEMENTARES '!$D:$L,6,0),IFERROR(VLOOKUP($F693,INSUMOS!$A:$D,4,0),""))))</f>
        <v>5.79</v>
      </c>
      <c r="K693" s="314">
        <f>IF($F693="","",IFERROR(VLOOKUP($F693,SERVIÇOS!$B:$G,5,0),IFERROR(VLOOKUP($F693,'COMPOSIÇÕES COMPLEMENTARES '!$D:$L,7,0),0)))</f>
        <v>1.76</v>
      </c>
      <c r="L693" s="314">
        <f t="shared" si="407"/>
        <v>7.55</v>
      </c>
      <c r="M693" s="314">
        <f t="shared" si="408"/>
        <v>220.02</v>
      </c>
      <c r="N693" s="314">
        <f t="shared" si="409"/>
        <v>66.88</v>
      </c>
      <c r="O693" s="314">
        <f t="shared" si="410"/>
        <v>286.89999999999998</v>
      </c>
      <c r="P693" s="314"/>
      <c r="Q693" s="315"/>
      <c r="R693" s="315"/>
      <c r="S693" s="286"/>
      <c r="T693" s="287"/>
      <c r="U693" s="288" t="str">
        <f t="shared" si="390"/>
        <v/>
      </c>
      <c r="V693" s="287"/>
      <c r="W693" s="289" t="str">
        <f t="shared" si="391"/>
        <v/>
      </c>
      <c r="X693" s="287"/>
      <c r="Y693" s="290" t="str">
        <f t="shared" si="392"/>
        <v/>
      </c>
      <c r="Z693" s="291">
        <f ca="1">SUMIF($T$8:Y$1018,"QUANT.",T693:Y693)</f>
        <v>0</v>
      </c>
      <c r="AA693" s="292">
        <f t="shared" ca="1" si="393"/>
        <v>0</v>
      </c>
      <c r="AB693" s="293" t="str">
        <f t="shared" ca="1" si="394"/>
        <v>MEDIR</v>
      </c>
      <c r="AC693" s="294">
        <f t="shared" ca="1" si="395"/>
        <v>38</v>
      </c>
      <c r="AD693" s="294">
        <f t="shared" ca="1" si="396"/>
        <v>286.89999999999998</v>
      </c>
      <c r="AE693" s="295"/>
      <c r="AF693" s="295"/>
      <c r="AG693" s="296"/>
      <c r="AH693" s="296"/>
      <c r="AI693" s="296"/>
      <c r="AJ693" s="326"/>
      <c r="AK693" s="326"/>
      <c r="AL693" s="326"/>
      <c r="AM693" s="326"/>
    </row>
    <row r="694" spans="1:39" x14ac:dyDescent="0.25">
      <c r="A694" s="232">
        <f t="shared" si="361"/>
        <v>694</v>
      </c>
      <c r="B694" s="232"/>
      <c r="C694" s="307" t="str">
        <f t="shared" si="404"/>
        <v>15.23</v>
      </c>
      <c r="D694" s="308">
        <f t="shared" si="405"/>
        <v>3</v>
      </c>
      <c r="E694" s="309" t="str">
        <f t="shared" si="406"/>
        <v>15.23.3</v>
      </c>
      <c r="F694" s="310">
        <v>93382</v>
      </c>
      <c r="G694" s="311" t="str">
        <f>IF($F694="","",IFERROR(VLOOKUP($F694,SERVIÇOS!$B:$G,2,0),IFERROR(VLOOKUP($F694,'COMPOSIÇÕES COMPLEMENTARES '!$D:$L,2,0),IFERROR(VLOOKUP($F694,INSUMOS!$A:$D,2,0),""))))</f>
        <v>REATERRO MANUAL DE VALAS, COM COMPACTADOR DE SOLOS DE PERCUSSÃO. AF_08/2023</v>
      </c>
      <c r="H694" s="312" t="str">
        <f>IF($F694="","",IFERROR(VLOOKUP($F694,SERVIÇOS!$B:$G,3,0),IFERROR(VLOOKUP($F694,'COMPOSIÇÕES COMPLEMENTARES '!$D:$L,3,0),IFERROR(VLOOKUP($F694,INSUMOS!$A:$D,3,0),""))))</f>
        <v>M3</v>
      </c>
      <c r="I694" s="313">
        <v>38</v>
      </c>
      <c r="J694" s="314">
        <f>IF($F694="","",IFERROR(VLOOKUP($F694,SERVIÇOS!$B:$G,4,0),IFERROR(VLOOKUP($F694,'COMPOSIÇÕES COMPLEMENTARES '!$D:$L,6,0),IFERROR(VLOOKUP($F694,INSUMOS!$A:$D,4,0),""))))</f>
        <v>12.29</v>
      </c>
      <c r="K694" s="314">
        <f>IF($F694="","",IFERROR(VLOOKUP($F694,SERVIÇOS!$B:$G,5,0),IFERROR(VLOOKUP($F694,'COMPOSIÇÕES COMPLEMENTARES '!$D:$L,7,0),0)))</f>
        <v>20.78</v>
      </c>
      <c r="L694" s="314">
        <f t="shared" si="407"/>
        <v>33.07</v>
      </c>
      <c r="M694" s="314">
        <f t="shared" si="408"/>
        <v>467.02</v>
      </c>
      <c r="N694" s="314">
        <f t="shared" si="409"/>
        <v>789.64</v>
      </c>
      <c r="O694" s="314">
        <f t="shared" si="410"/>
        <v>1256.6600000000001</v>
      </c>
      <c r="P694" s="314"/>
      <c r="Q694" s="315"/>
      <c r="R694" s="315"/>
      <c r="S694" s="286"/>
      <c r="T694" s="287"/>
      <c r="U694" s="288" t="str">
        <f t="shared" si="390"/>
        <v/>
      </c>
      <c r="V694" s="287"/>
      <c r="W694" s="289" t="str">
        <f t="shared" si="391"/>
        <v/>
      </c>
      <c r="X694" s="287"/>
      <c r="Y694" s="290" t="str">
        <f t="shared" si="392"/>
        <v/>
      </c>
      <c r="Z694" s="291">
        <f ca="1">SUMIF($T$8:Y$1018,"QUANT.",T694:Y694)</f>
        <v>0</v>
      </c>
      <c r="AA694" s="292">
        <f t="shared" ca="1" si="393"/>
        <v>0</v>
      </c>
      <c r="AB694" s="293" t="str">
        <f t="shared" ca="1" si="394"/>
        <v>MEDIR</v>
      </c>
      <c r="AC694" s="294">
        <f t="shared" ca="1" si="395"/>
        <v>38</v>
      </c>
      <c r="AD694" s="294">
        <f t="shared" ca="1" si="396"/>
        <v>1256.6600000000001</v>
      </c>
      <c r="AE694" s="295"/>
      <c r="AF694" s="295"/>
      <c r="AG694" s="296"/>
      <c r="AH694" s="296"/>
      <c r="AI694" s="296"/>
      <c r="AJ694" s="326"/>
      <c r="AK694" s="326"/>
      <c r="AL694" s="326"/>
      <c r="AM694" s="326"/>
    </row>
    <row r="695" spans="1:39" x14ac:dyDescent="0.25">
      <c r="A695" s="232">
        <f t="shared" si="361"/>
        <v>695</v>
      </c>
      <c r="B695" s="232"/>
      <c r="C695" s="307" t="str">
        <f t="shared" si="404"/>
        <v>15.23</v>
      </c>
      <c r="D695" s="308">
        <f t="shared" si="405"/>
        <v>4</v>
      </c>
      <c r="E695" s="309" t="str">
        <f t="shared" si="406"/>
        <v>15.23.4</v>
      </c>
      <c r="F695" s="310" t="s">
        <v>12330</v>
      </c>
      <c r="G695" s="311" t="str">
        <f>IF($F695="","",IFERROR(VLOOKUP($F695,SERVIÇOS!$B:$G,2,0),IFERROR(VLOOKUP($F695,'COMPOSIÇÕES COMPLEMENTARES '!$D:$L,2,0),IFERROR(VLOOKUP($F695,INSUMOS!$A:$D,2,0),""))))</f>
        <v>CAIXA DE CONCRETO 30X30X30CM PARA INSPEÇÃO DE ATERRAMENTO</v>
      </c>
      <c r="H695" s="312" t="str">
        <f>IF($F695="","",IFERROR(VLOOKUP($F695,SERVIÇOS!$B:$G,3,0),IFERROR(VLOOKUP($F695,'COMPOSIÇÕES COMPLEMENTARES '!$D:$L,3,0),IFERROR(VLOOKUP($F695,INSUMOS!$A:$D,3,0),""))))</f>
        <v>UN</v>
      </c>
      <c r="I695" s="313">
        <v>10</v>
      </c>
      <c r="J695" s="314">
        <f>IF($F695="","",IFERROR(VLOOKUP($F695,SERVIÇOS!$B:$G,4,0),IFERROR(VLOOKUP($F695,'COMPOSIÇÕES COMPLEMENTARES '!$D:$L,6,0),IFERROR(VLOOKUP($F695,INSUMOS!$A:$D,4,0),""))))</f>
        <v>119.43</v>
      </c>
      <c r="K695" s="314">
        <f>IF($F695="","",IFERROR(VLOOKUP($F695,SERVIÇOS!$B:$G,5,0),IFERROR(VLOOKUP($F695,'COMPOSIÇÕES COMPLEMENTARES '!$D:$L,7,0),0)))</f>
        <v>9.64</v>
      </c>
      <c r="L695" s="314">
        <f t="shared" si="407"/>
        <v>129.07</v>
      </c>
      <c r="M695" s="314">
        <f t="shared" si="408"/>
        <v>1194.3</v>
      </c>
      <c r="N695" s="314">
        <f t="shared" si="409"/>
        <v>96.4</v>
      </c>
      <c r="O695" s="314">
        <f t="shared" si="410"/>
        <v>1290.7</v>
      </c>
      <c r="P695" s="314"/>
      <c r="Q695" s="315"/>
      <c r="R695" s="315"/>
      <c r="S695" s="286"/>
      <c r="T695" s="287"/>
      <c r="U695" s="288" t="str">
        <f t="shared" si="390"/>
        <v/>
      </c>
      <c r="V695" s="287"/>
      <c r="W695" s="289" t="str">
        <f t="shared" si="391"/>
        <v/>
      </c>
      <c r="X695" s="287"/>
      <c r="Y695" s="290" t="str">
        <f t="shared" si="392"/>
        <v/>
      </c>
      <c r="Z695" s="291">
        <f ca="1">SUMIF($T$8:Y$1018,"QUANT.",T695:Y695)</f>
        <v>0</v>
      </c>
      <c r="AA695" s="292">
        <f t="shared" ca="1" si="393"/>
        <v>0</v>
      </c>
      <c r="AB695" s="293" t="str">
        <f t="shared" ca="1" si="394"/>
        <v>MEDIR</v>
      </c>
      <c r="AC695" s="294">
        <f t="shared" ca="1" si="395"/>
        <v>10</v>
      </c>
      <c r="AD695" s="294">
        <f t="shared" ca="1" si="396"/>
        <v>1290.7</v>
      </c>
      <c r="AE695" s="295"/>
      <c r="AF695" s="295"/>
      <c r="AG695" s="296"/>
      <c r="AH695" s="296"/>
      <c r="AI695" s="296"/>
      <c r="AJ695" s="326"/>
      <c r="AK695" s="326"/>
      <c r="AL695" s="326"/>
      <c r="AM695" s="326"/>
    </row>
    <row r="696" spans="1:39" x14ac:dyDescent="0.25">
      <c r="A696" s="232">
        <f t="shared" si="361"/>
        <v>696</v>
      </c>
      <c r="B696" s="232"/>
      <c r="C696" s="307" t="str">
        <f t="shared" si="404"/>
        <v>15.23</v>
      </c>
      <c r="D696" s="308">
        <f t="shared" si="405"/>
        <v>5</v>
      </c>
      <c r="E696" s="309" t="str">
        <f t="shared" si="406"/>
        <v>15.23.5</v>
      </c>
      <c r="F696" s="310" t="s">
        <v>12331</v>
      </c>
      <c r="G696" s="311" t="str">
        <f>IF($F696="","",IFERROR(VLOOKUP($F696,SERVIÇOS!$B:$G,2,0),IFERROR(VLOOKUP($F696,'COMPOSIÇÕES COMPLEMENTARES '!$D:$L,2,0),IFERROR(VLOOKUP($F696,INSUMOS!$A:$D,2,0),""))))</f>
        <v>HASTE DE ATERRAMENTO COBREADA 5/8"X2,4M - 254 MICRONS, ALTA CAMADA  CONFORME NBR 13571</v>
      </c>
      <c r="H696" s="312" t="str">
        <f>IF($F696="","",IFERROR(VLOOKUP($F696,SERVIÇOS!$B:$G,3,0),IFERROR(VLOOKUP($F696,'COMPOSIÇÕES COMPLEMENTARES '!$D:$L,3,0),IFERROR(VLOOKUP($F696,INSUMOS!$A:$D,3,0),""))))</f>
        <v>UN</v>
      </c>
      <c r="I696" s="313">
        <v>30</v>
      </c>
      <c r="J696" s="314">
        <f>IF($F696="","",IFERROR(VLOOKUP($F696,SERVIÇOS!$B:$G,4,0),IFERROR(VLOOKUP($F696,'COMPOSIÇÕES COMPLEMENTARES '!$D:$L,6,0),IFERROR(VLOOKUP($F696,INSUMOS!$A:$D,4,0),""))))</f>
        <v>64.38</v>
      </c>
      <c r="K696" s="314">
        <f>IF($F696="","",IFERROR(VLOOKUP($F696,SERVIÇOS!$B:$G,5,0),IFERROR(VLOOKUP($F696,'COMPOSIÇÕES COMPLEMENTARES '!$D:$L,7,0),0)))</f>
        <v>19.809999999999999</v>
      </c>
      <c r="L696" s="314">
        <f t="shared" si="407"/>
        <v>84.19</v>
      </c>
      <c r="M696" s="314">
        <f t="shared" si="408"/>
        <v>1931.4</v>
      </c>
      <c r="N696" s="314">
        <f t="shared" si="409"/>
        <v>594.29999999999995</v>
      </c>
      <c r="O696" s="314">
        <f t="shared" si="410"/>
        <v>2525.6999999999998</v>
      </c>
      <c r="P696" s="314"/>
      <c r="Q696" s="315"/>
      <c r="R696" s="315"/>
      <c r="S696" s="286"/>
      <c r="T696" s="287"/>
      <c r="U696" s="288" t="str">
        <f t="shared" si="390"/>
        <v/>
      </c>
      <c r="V696" s="287"/>
      <c r="W696" s="289" t="str">
        <f t="shared" si="391"/>
        <v/>
      </c>
      <c r="X696" s="287"/>
      <c r="Y696" s="290" t="str">
        <f t="shared" si="392"/>
        <v/>
      </c>
      <c r="Z696" s="291">
        <f ca="1">SUMIF($T$8:Y$1018,"QUANT.",T696:Y696)</f>
        <v>0</v>
      </c>
      <c r="AA696" s="292">
        <f t="shared" ca="1" si="393"/>
        <v>0</v>
      </c>
      <c r="AB696" s="293" t="str">
        <f t="shared" ca="1" si="394"/>
        <v>MEDIR</v>
      </c>
      <c r="AC696" s="294">
        <f t="shared" ca="1" si="395"/>
        <v>30</v>
      </c>
      <c r="AD696" s="294">
        <f t="shared" ca="1" si="396"/>
        <v>2525.6999999999998</v>
      </c>
      <c r="AE696" s="295"/>
      <c r="AF696" s="295"/>
      <c r="AG696" s="296"/>
      <c r="AH696" s="296"/>
      <c r="AI696" s="296"/>
      <c r="AJ696" s="326"/>
      <c r="AK696" s="326"/>
      <c r="AL696" s="326"/>
      <c r="AM696" s="326"/>
    </row>
    <row r="697" spans="1:39" x14ac:dyDescent="0.25">
      <c r="A697" s="232">
        <f t="shared" si="361"/>
        <v>697</v>
      </c>
      <c r="B697" s="232"/>
      <c r="C697" s="307" t="str">
        <f t="shared" si="404"/>
        <v>15.23</v>
      </c>
      <c r="D697" s="308">
        <f t="shared" si="405"/>
        <v>6</v>
      </c>
      <c r="E697" s="309" t="str">
        <f t="shared" si="406"/>
        <v>15.23.6</v>
      </c>
      <c r="F697" s="310" t="s">
        <v>12332</v>
      </c>
      <c r="G697" s="311" t="str">
        <f>IF($F697="","",IFERROR(VLOOKUP($F697,SERVIÇOS!$B:$G,2,0),IFERROR(VLOOKUP($F697,'COMPOSIÇÕES COMPLEMENTARES '!$D:$L,2,0),IFERROR(VLOOKUP($F697,INSUMOS!$A:$D,2,0),""))))</f>
        <v>RE-BAR BARRA REDONDA Ø10MM X 3,00M #80MM² DE AÇO GALVANIZADO A FOGO EM BARRA REF. TEL-768</v>
      </c>
      <c r="H697" s="312" t="str">
        <f>IF($F697="","",IFERROR(VLOOKUP($F697,SERVIÇOS!$B:$G,3,0),IFERROR(VLOOKUP($F697,'COMPOSIÇÕES COMPLEMENTARES '!$D:$L,3,0),IFERROR(VLOOKUP($F697,INSUMOS!$A:$D,3,0),""))))</f>
        <v>UN</v>
      </c>
      <c r="I697" s="313">
        <v>26</v>
      </c>
      <c r="J697" s="314">
        <f>IF($F697="","",IFERROR(VLOOKUP($F697,SERVIÇOS!$B:$G,4,0),IFERROR(VLOOKUP($F697,'COMPOSIÇÕES COMPLEMENTARES '!$D:$L,6,0),IFERROR(VLOOKUP($F697,INSUMOS!$A:$D,4,0),""))))</f>
        <v>45.51</v>
      </c>
      <c r="K697" s="314">
        <f>IF($F697="","",IFERROR(VLOOKUP($F697,SERVIÇOS!$B:$G,5,0),IFERROR(VLOOKUP($F697,'COMPOSIÇÕES COMPLEMENTARES '!$D:$L,7,0),0)))</f>
        <v>14.85</v>
      </c>
      <c r="L697" s="314">
        <f t="shared" si="407"/>
        <v>60.36</v>
      </c>
      <c r="M697" s="314">
        <f t="shared" si="408"/>
        <v>1183.26</v>
      </c>
      <c r="N697" s="314">
        <f t="shared" si="409"/>
        <v>386.1</v>
      </c>
      <c r="O697" s="314">
        <f t="shared" si="410"/>
        <v>1569.36</v>
      </c>
      <c r="P697" s="314"/>
      <c r="Q697" s="315"/>
      <c r="R697" s="315"/>
      <c r="S697" s="286"/>
      <c r="T697" s="287"/>
      <c r="U697" s="288" t="str">
        <f t="shared" si="390"/>
        <v/>
      </c>
      <c r="V697" s="287"/>
      <c r="W697" s="289" t="str">
        <f t="shared" si="391"/>
        <v/>
      </c>
      <c r="X697" s="287"/>
      <c r="Y697" s="290" t="str">
        <f t="shared" si="392"/>
        <v/>
      </c>
      <c r="Z697" s="291">
        <f ca="1">SUMIF($T$8:Y$1018,"QUANT.",T697:Y697)</f>
        <v>0</v>
      </c>
      <c r="AA697" s="292">
        <f t="shared" ca="1" si="393"/>
        <v>0</v>
      </c>
      <c r="AB697" s="293" t="str">
        <f t="shared" ca="1" si="394"/>
        <v>MEDIR</v>
      </c>
      <c r="AC697" s="294">
        <f t="shared" ca="1" si="395"/>
        <v>26</v>
      </c>
      <c r="AD697" s="294">
        <f t="shared" ca="1" si="396"/>
        <v>1569.36</v>
      </c>
      <c r="AE697" s="295"/>
      <c r="AF697" s="295"/>
      <c r="AG697" s="296"/>
      <c r="AH697" s="296"/>
      <c r="AI697" s="296"/>
      <c r="AJ697" s="326"/>
      <c r="AK697" s="326"/>
      <c r="AL697" s="326"/>
      <c r="AM697" s="326"/>
    </row>
    <row r="698" spans="1:39" x14ac:dyDescent="0.25">
      <c r="A698" s="232">
        <f t="shared" si="361"/>
        <v>698</v>
      </c>
      <c r="B698" s="232"/>
      <c r="C698" s="307" t="str">
        <f t="shared" si="404"/>
        <v>15.23</v>
      </c>
      <c r="D698" s="308">
        <f t="shared" si="405"/>
        <v>7</v>
      </c>
      <c r="E698" s="309" t="str">
        <f t="shared" si="406"/>
        <v>15.23.7</v>
      </c>
      <c r="F698" s="310" t="s">
        <v>12333</v>
      </c>
      <c r="G698" s="311" t="str">
        <f>IF($F698="","",IFERROR(VLOOKUP($F698,SERVIÇOS!$B:$G,2,0),IFERROR(VLOOKUP($F698,'COMPOSIÇÕES COMPLEMENTARES '!$D:$L,2,0),IFERROR(VLOOKUP($F698,INSUMOS!$A:$D,2,0),""))))</f>
        <v>BARRA CHATA DE ALUMINIO 7/8"X1/8"X3M-TEL-771</v>
      </c>
      <c r="H698" s="312" t="str">
        <f>IF($F698="","",IFERROR(VLOOKUP($F698,SERVIÇOS!$B:$G,3,0),IFERROR(VLOOKUP($F698,'COMPOSIÇÕES COMPLEMENTARES '!$D:$L,3,0),IFERROR(VLOOKUP($F698,INSUMOS!$A:$D,3,0),""))))</f>
        <v>M</v>
      </c>
      <c r="I698" s="313">
        <v>384</v>
      </c>
      <c r="J698" s="314">
        <f>IF($F698="","",IFERROR(VLOOKUP($F698,SERVIÇOS!$B:$G,4,0),IFERROR(VLOOKUP($F698,'COMPOSIÇÕES COMPLEMENTARES '!$D:$L,6,0),IFERROR(VLOOKUP($F698,INSUMOS!$A:$D,4,0),""))))</f>
        <v>13.72</v>
      </c>
      <c r="K698" s="314">
        <f>IF($F698="","",IFERROR(VLOOKUP($F698,SERVIÇOS!$B:$G,5,0),IFERROR(VLOOKUP($F698,'COMPOSIÇÕES COMPLEMENTARES '!$D:$L,7,0),0)))</f>
        <v>16.5</v>
      </c>
      <c r="L698" s="314">
        <f t="shared" si="407"/>
        <v>30.22</v>
      </c>
      <c r="M698" s="314">
        <f t="shared" si="408"/>
        <v>5268.48</v>
      </c>
      <c r="N698" s="314">
        <f t="shared" si="409"/>
        <v>6336</v>
      </c>
      <c r="O698" s="314">
        <f t="shared" si="410"/>
        <v>11604.48</v>
      </c>
      <c r="P698" s="314"/>
      <c r="Q698" s="315"/>
      <c r="R698" s="315"/>
      <c r="S698" s="286"/>
      <c r="T698" s="287"/>
      <c r="U698" s="288" t="str">
        <f t="shared" si="390"/>
        <v/>
      </c>
      <c r="V698" s="287"/>
      <c r="W698" s="289" t="str">
        <f t="shared" si="391"/>
        <v/>
      </c>
      <c r="X698" s="287"/>
      <c r="Y698" s="290" t="str">
        <f t="shared" si="392"/>
        <v/>
      </c>
      <c r="Z698" s="291">
        <f ca="1">SUMIF($T$8:Y$1018,"QUANT.",T698:Y698)</f>
        <v>0</v>
      </c>
      <c r="AA698" s="292">
        <f t="shared" ca="1" si="393"/>
        <v>0</v>
      </c>
      <c r="AB698" s="293" t="str">
        <f t="shared" ca="1" si="394"/>
        <v>MEDIR</v>
      </c>
      <c r="AC698" s="294">
        <f t="shared" ca="1" si="395"/>
        <v>384</v>
      </c>
      <c r="AD698" s="294">
        <f t="shared" ca="1" si="396"/>
        <v>11604.48</v>
      </c>
      <c r="AE698" s="295"/>
      <c r="AF698" s="295"/>
      <c r="AG698" s="296"/>
      <c r="AH698" s="296"/>
      <c r="AI698" s="296"/>
      <c r="AJ698" s="326"/>
      <c r="AK698" s="326"/>
      <c r="AL698" s="326"/>
      <c r="AM698" s="326"/>
    </row>
    <row r="699" spans="1:39" x14ac:dyDescent="0.25">
      <c r="A699" s="232">
        <f t="shared" si="361"/>
        <v>699</v>
      </c>
      <c r="B699" s="232"/>
      <c r="C699" s="307" t="str">
        <f t="shared" si="404"/>
        <v>15.23</v>
      </c>
      <c r="D699" s="308">
        <f t="shared" si="405"/>
        <v>8</v>
      </c>
      <c r="E699" s="309" t="str">
        <f t="shared" si="406"/>
        <v>15.23.8</v>
      </c>
      <c r="F699" s="310" t="s">
        <v>12334</v>
      </c>
      <c r="G699" s="311" t="str">
        <f>IF($F699="","",IFERROR(VLOOKUP($F699,SERVIÇOS!$B:$G,2,0),IFERROR(VLOOKUP($F699,'COMPOSIÇÕES COMPLEMENTARES '!$D:$L,2,0),IFERROR(VLOOKUP($F699,INSUMOS!$A:$D,2,0),""))))</f>
        <v>SUPORTE DE FIXAÇÃO SGG 02/F (TRANSVERSAL) PARA FIXAÇÃO DA BARRA CHATA DE ALUMÍNIO (A CADA 1M)</v>
      </c>
      <c r="H699" s="312" t="str">
        <f>IF($F699="","",IFERROR(VLOOKUP($F699,SERVIÇOS!$B:$G,3,0),IFERROR(VLOOKUP($F699,'COMPOSIÇÕES COMPLEMENTARES '!$D:$L,3,0),IFERROR(VLOOKUP($F699,INSUMOS!$A:$D,3,0),""))))</f>
        <v>UN</v>
      </c>
      <c r="I699" s="313">
        <v>385</v>
      </c>
      <c r="J699" s="314">
        <f>IF($F699="","",IFERROR(VLOOKUP($F699,SERVIÇOS!$B:$G,4,0),IFERROR(VLOOKUP($F699,'COMPOSIÇÕES COMPLEMENTARES '!$D:$L,6,0),IFERROR(VLOOKUP($F699,INSUMOS!$A:$D,4,0),""))))</f>
        <v>8</v>
      </c>
      <c r="K699" s="314">
        <f>IF($F699="","",IFERROR(VLOOKUP($F699,SERVIÇOS!$B:$G,5,0),IFERROR(VLOOKUP($F699,'COMPOSIÇÕES COMPLEMENTARES '!$D:$L,7,0),0)))</f>
        <v>4.2</v>
      </c>
      <c r="L699" s="314">
        <f t="shared" si="407"/>
        <v>12.2</v>
      </c>
      <c r="M699" s="314">
        <f t="shared" si="408"/>
        <v>3080</v>
      </c>
      <c r="N699" s="314">
        <f t="shared" si="409"/>
        <v>1617</v>
      </c>
      <c r="O699" s="314">
        <f t="shared" si="410"/>
        <v>4697</v>
      </c>
      <c r="P699" s="314"/>
      <c r="Q699" s="315"/>
      <c r="R699" s="315"/>
      <c r="S699" s="286"/>
      <c r="T699" s="287"/>
      <c r="U699" s="288" t="str">
        <f t="shared" si="390"/>
        <v/>
      </c>
      <c r="V699" s="287"/>
      <c r="W699" s="289" t="str">
        <f t="shared" si="391"/>
        <v/>
      </c>
      <c r="X699" s="287"/>
      <c r="Y699" s="290" t="str">
        <f t="shared" si="392"/>
        <v/>
      </c>
      <c r="Z699" s="291">
        <f ca="1">SUMIF($T$8:Y$1018,"QUANT.",T699:Y699)</f>
        <v>0</v>
      </c>
      <c r="AA699" s="292">
        <f t="shared" ca="1" si="393"/>
        <v>0</v>
      </c>
      <c r="AB699" s="293" t="str">
        <f t="shared" ca="1" si="394"/>
        <v>MEDIR</v>
      </c>
      <c r="AC699" s="294">
        <f t="shared" ca="1" si="395"/>
        <v>385</v>
      </c>
      <c r="AD699" s="294">
        <f t="shared" ca="1" si="396"/>
        <v>4697</v>
      </c>
      <c r="AE699" s="295"/>
      <c r="AF699" s="295"/>
      <c r="AG699" s="296"/>
      <c r="AH699" s="296"/>
      <c r="AI699" s="296"/>
      <c r="AJ699" s="326"/>
      <c r="AK699" s="326"/>
      <c r="AL699" s="326"/>
      <c r="AM699" s="326"/>
    </row>
    <row r="700" spans="1:39" x14ac:dyDescent="0.25">
      <c r="A700" s="232">
        <f t="shared" si="361"/>
        <v>700</v>
      </c>
      <c r="B700" s="232"/>
      <c r="C700" s="307" t="str">
        <f t="shared" si="404"/>
        <v>15.23</v>
      </c>
      <c r="D700" s="308">
        <f t="shared" si="405"/>
        <v>9</v>
      </c>
      <c r="E700" s="309" t="str">
        <f t="shared" si="406"/>
        <v>15.23.9</v>
      </c>
      <c r="F700" s="310" t="s">
        <v>12335</v>
      </c>
      <c r="G700" s="311" t="str">
        <f>IF($F700="","",IFERROR(VLOOKUP($F700,SERVIÇOS!$B:$G,2,0),IFERROR(VLOOKUP($F700,'COMPOSIÇÕES COMPLEMENTARES '!$D:$L,2,0),IFERROR(VLOOKUP($F700,INSUMOS!$A:$D,2,0),""))))</f>
        <v>SOLDA EXOTÉRMICA  RE-BAR/ CABO</v>
      </c>
      <c r="H700" s="312" t="str">
        <f>IF($F700="","",IFERROR(VLOOKUP($F700,SERVIÇOS!$B:$G,3,0),IFERROR(VLOOKUP($F700,'COMPOSIÇÕES COMPLEMENTARES '!$D:$L,3,0),IFERROR(VLOOKUP($F700,INSUMOS!$A:$D,3,0),""))))</f>
        <v>UN</v>
      </c>
      <c r="I700" s="313">
        <v>20</v>
      </c>
      <c r="J700" s="314">
        <f>IF($F700="","",IFERROR(VLOOKUP($F700,SERVIÇOS!$B:$G,4,0),IFERROR(VLOOKUP($F700,'COMPOSIÇÕES COMPLEMENTARES '!$D:$L,6,0),IFERROR(VLOOKUP($F700,INSUMOS!$A:$D,4,0),""))))</f>
        <v>32.82</v>
      </c>
      <c r="K700" s="314">
        <f>IF($F700="","",IFERROR(VLOOKUP($F700,SERVIÇOS!$B:$G,5,0),IFERROR(VLOOKUP($F700,'COMPOSIÇÕES COMPLEMENTARES '!$D:$L,7,0),0)))</f>
        <v>24.77</v>
      </c>
      <c r="L700" s="314">
        <f t="shared" si="407"/>
        <v>57.59</v>
      </c>
      <c r="M700" s="314">
        <f t="shared" si="408"/>
        <v>656.4</v>
      </c>
      <c r="N700" s="314">
        <f t="shared" si="409"/>
        <v>495.4</v>
      </c>
      <c r="O700" s="314">
        <f t="shared" si="410"/>
        <v>1151.8</v>
      </c>
      <c r="P700" s="314"/>
      <c r="Q700" s="315"/>
      <c r="R700" s="315"/>
      <c r="S700" s="286"/>
      <c r="T700" s="287"/>
      <c r="U700" s="288" t="str">
        <f t="shared" si="390"/>
        <v/>
      </c>
      <c r="V700" s="287"/>
      <c r="W700" s="289" t="str">
        <f t="shared" si="391"/>
        <v/>
      </c>
      <c r="X700" s="287"/>
      <c r="Y700" s="290" t="str">
        <f t="shared" si="392"/>
        <v/>
      </c>
      <c r="Z700" s="291">
        <f ca="1">SUMIF($T$8:Y$1018,"QUANT.",T700:Y700)</f>
        <v>0</v>
      </c>
      <c r="AA700" s="292">
        <f t="shared" ca="1" si="393"/>
        <v>0</v>
      </c>
      <c r="AB700" s="293" t="str">
        <f t="shared" ca="1" si="394"/>
        <v>MEDIR</v>
      </c>
      <c r="AC700" s="294">
        <f t="shared" ca="1" si="395"/>
        <v>20</v>
      </c>
      <c r="AD700" s="294">
        <f t="shared" ca="1" si="396"/>
        <v>1151.8</v>
      </c>
      <c r="AE700" s="295"/>
      <c r="AF700" s="295"/>
      <c r="AG700" s="296"/>
      <c r="AH700" s="296"/>
      <c r="AI700" s="296"/>
      <c r="AJ700" s="326"/>
      <c r="AK700" s="326"/>
      <c r="AL700" s="326"/>
      <c r="AM700" s="326"/>
    </row>
    <row r="701" spans="1:39" x14ac:dyDescent="0.25">
      <c r="A701" s="232">
        <f t="shared" si="361"/>
        <v>701</v>
      </c>
      <c r="B701" s="232"/>
      <c r="C701" s="307" t="str">
        <f t="shared" si="404"/>
        <v>15.23</v>
      </c>
      <c r="D701" s="308">
        <f t="shared" si="405"/>
        <v>10</v>
      </c>
      <c r="E701" s="309" t="str">
        <f t="shared" si="406"/>
        <v>15.23.10</v>
      </c>
      <c r="F701" s="310" t="s">
        <v>12336</v>
      </c>
      <c r="G701" s="311" t="str">
        <f>IF($F701="","",IFERROR(VLOOKUP($F701,SERVIÇOS!$B:$G,2,0),IFERROR(VLOOKUP($F701,'COMPOSIÇÕES COMPLEMENTARES '!$D:$L,2,0),IFERROR(VLOOKUP($F701,INSUMOS!$A:$D,2,0),""))))</f>
        <v>SOLDA EXOTÉRMICA  CABO/ HASTE</v>
      </c>
      <c r="H701" s="312" t="str">
        <f>IF($F701="","",IFERROR(VLOOKUP($F701,SERVIÇOS!$B:$G,3,0),IFERROR(VLOOKUP($F701,'COMPOSIÇÕES COMPLEMENTARES '!$D:$L,3,0),IFERROR(VLOOKUP($F701,INSUMOS!$A:$D,3,0),""))))</f>
        <v>UN</v>
      </c>
      <c r="I701" s="313">
        <v>20</v>
      </c>
      <c r="J701" s="314">
        <f>IF($F701="","",IFERROR(VLOOKUP($F701,SERVIÇOS!$B:$G,4,0),IFERROR(VLOOKUP($F701,'COMPOSIÇÕES COMPLEMENTARES '!$D:$L,6,0),IFERROR(VLOOKUP($F701,INSUMOS!$A:$D,4,0),""))))</f>
        <v>32.82</v>
      </c>
      <c r="K701" s="314">
        <f>IF($F701="","",IFERROR(VLOOKUP($F701,SERVIÇOS!$B:$G,5,0),IFERROR(VLOOKUP($F701,'COMPOSIÇÕES COMPLEMENTARES '!$D:$L,7,0),0)))</f>
        <v>24.77</v>
      </c>
      <c r="L701" s="314">
        <f t="shared" si="407"/>
        <v>57.59</v>
      </c>
      <c r="M701" s="314">
        <f t="shared" si="408"/>
        <v>656.4</v>
      </c>
      <c r="N701" s="314">
        <f t="shared" si="409"/>
        <v>495.4</v>
      </c>
      <c r="O701" s="314">
        <f t="shared" si="410"/>
        <v>1151.8</v>
      </c>
      <c r="P701" s="314"/>
      <c r="Q701" s="315"/>
      <c r="R701" s="315"/>
      <c r="S701" s="286"/>
      <c r="T701" s="287"/>
      <c r="U701" s="288" t="str">
        <f t="shared" si="390"/>
        <v/>
      </c>
      <c r="V701" s="287"/>
      <c r="W701" s="289" t="str">
        <f t="shared" si="391"/>
        <v/>
      </c>
      <c r="X701" s="287"/>
      <c r="Y701" s="290" t="str">
        <f t="shared" si="392"/>
        <v/>
      </c>
      <c r="Z701" s="291">
        <f ca="1">SUMIF($T$8:Y$1018,"QUANT.",T701:Y701)</f>
        <v>0</v>
      </c>
      <c r="AA701" s="292">
        <f t="shared" ca="1" si="393"/>
        <v>0</v>
      </c>
      <c r="AB701" s="293" t="str">
        <f t="shared" ca="1" si="394"/>
        <v>MEDIR</v>
      </c>
      <c r="AC701" s="294">
        <f t="shared" ca="1" si="395"/>
        <v>20</v>
      </c>
      <c r="AD701" s="294">
        <f t="shared" ca="1" si="396"/>
        <v>1151.8</v>
      </c>
      <c r="AE701" s="295"/>
      <c r="AF701" s="295"/>
      <c r="AG701" s="296"/>
      <c r="AH701" s="296"/>
      <c r="AI701" s="296"/>
      <c r="AJ701" s="326"/>
      <c r="AK701" s="326"/>
      <c r="AL701" s="326"/>
      <c r="AM701" s="326"/>
    </row>
    <row r="702" spans="1:39" x14ac:dyDescent="0.25">
      <c r="A702" s="232">
        <f t="shared" si="361"/>
        <v>702</v>
      </c>
      <c r="B702" s="232"/>
      <c r="C702" s="307" t="str">
        <f t="shared" si="404"/>
        <v>15.23</v>
      </c>
      <c r="D702" s="308">
        <f t="shared" si="405"/>
        <v>11</v>
      </c>
      <c r="E702" s="309" t="str">
        <f t="shared" si="406"/>
        <v>15.23.11</v>
      </c>
      <c r="F702" s="310" t="s">
        <v>12337</v>
      </c>
      <c r="G702" s="311" t="str">
        <f>IF($F702="","",IFERROR(VLOOKUP($F702,SERVIÇOS!$B:$G,2,0),IFERROR(VLOOKUP($F702,'COMPOSIÇÕES COMPLEMENTARES '!$D:$L,2,0),IFERROR(VLOOKUP($F702,INSUMOS!$A:$D,2,0),""))))</f>
        <v>SOLDA EXOTÉRMICA  CABO PASSANTE/ HASTE</v>
      </c>
      <c r="H702" s="312" t="str">
        <f>IF($F702="","",IFERROR(VLOOKUP($F702,SERVIÇOS!$B:$G,3,0),IFERROR(VLOOKUP($F702,'COMPOSIÇÕES COMPLEMENTARES '!$D:$L,3,0),IFERROR(VLOOKUP($F702,INSUMOS!$A:$D,3,0),""))))</f>
        <v>UN</v>
      </c>
      <c r="I702" s="313">
        <v>23</v>
      </c>
      <c r="J702" s="314">
        <f>IF($F702="","",IFERROR(VLOOKUP($F702,SERVIÇOS!$B:$G,4,0),IFERROR(VLOOKUP($F702,'COMPOSIÇÕES COMPLEMENTARES '!$D:$L,6,0),IFERROR(VLOOKUP($F702,INSUMOS!$A:$D,4,0),""))))</f>
        <v>39.11</v>
      </c>
      <c r="K702" s="314">
        <f>IF($F702="","",IFERROR(VLOOKUP($F702,SERVIÇOS!$B:$G,5,0),IFERROR(VLOOKUP($F702,'COMPOSIÇÕES COMPLEMENTARES '!$D:$L,7,0),0)))</f>
        <v>24.77</v>
      </c>
      <c r="L702" s="314">
        <f t="shared" si="407"/>
        <v>63.879999999999995</v>
      </c>
      <c r="M702" s="314">
        <f t="shared" si="408"/>
        <v>899.53</v>
      </c>
      <c r="N702" s="314">
        <f t="shared" si="409"/>
        <v>569.71</v>
      </c>
      <c r="O702" s="314">
        <f t="shared" si="410"/>
        <v>1469.24</v>
      </c>
      <c r="P702" s="314"/>
      <c r="Q702" s="315"/>
      <c r="R702" s="315"/>
      <c r="S702" s="286"/>
      <c r="T702" s="287"/>
      <c r="U702" s="288" t="str">
        <f t="shared" si="390"/>
        <v/>
      </c>
      <c r="V702" s="287"/>
      <c r="W702" s="289" t="str">
        <f t="shared" si="391"/>
        <v/>
      </c>
      <c r="X702" s="287"/>
      <c r="Y702" s="290" t="str">
        <f t="shared" si="392"/>
        <v/>
      </c>
      <c r="Z702" s="291">
        <f ca="1">SUMIF($T$8:Y$1018,"QUANT.",T702:Y702)</f>
        <v>0</v>
      </c>
      <c r="AA702" s="292">
        <f t="shared" ca="1" si="393"/>
        <v>0</v>
      </c>
      <c r="AB702" s="293" t="str">
        <f t="shared" ca="1" si="394"/>
        <v>MEDIR</v>
      </c>
      <c r="AC702" s="294">
        <f t="shared" ca="1" si="395"/>
        <v>23</v>
      </c>
      <c r="AD702" s="294">
        <f t="shared" ca="1" si="396"/>
        <v>1469.24</v>
      </c>
      <c r="AE702" s="295"/>
      <c r="AF702" s="295"/>
      <c r="AG702" s="296"/>
      <c r="AH702" s="296"/>
      <c r="AI702" s="296"/>
      <c r="AJ702" s="326"/>
      <c r="AK702" s="326"/>
      <c r="AL702" s="326"/>
      <c r="AM702" s="326"/>
    </row>
    <row r="703" spans="1:39" x14ac:dyDescent="0.25">
      <c r="A703" s="232">
        <f t="shared" si="361"/>
        <v>703</v>
      </c>
      <c r="B703" s="232"/>
      <c r="C703" s="316" t="str">
        <f>+E703</f>
        <v>15.24</v>
      </c>
      <c r="D703" s="297"/>
      <c r="E703" s="317" t="s">
        <v>12338</v>
      </c>
      <c r="F703" s="317"/>
      <c r="G703" s="327" t="s">
        <v>12112</v>
      </c>
      <c r="H703" s="317"/>
      <c r="I703" s="319"/>
      <c r="J703" s="317"/>
      <c r="K703" s="317"/>
      <c r="L703" s="317"/>
      <c r="M703" s="317"/>
      <c r="N703" s="317"/>
      <c r="O703" s="317"/>
      <c r="P703" s="317"/>
      <c r="Q703" s="320"/>
      <c r="R703" s="306"/>
      <c r="S703" s="286"/>
      <c r="T703" s="287"/>
      <c r="U703" s="288" t="str">
        <f t="shared" si="390"/>
        <v/>
      </c>
      <c r="V703" s="287"/>
      <c r="W703" s="289" t="str">
        <f t="shared" si="391"/>
        <v/>
      </c>
      <c r="X703" s="287"/>
      <c r="Y703" s="290" t="str">
        <f t="shared" si="392"/>
        <v/>
      </c>
      <c r="Z703" s="291">
        <f ca="1">SUMIF($T$8:Y$1018,"QUANT.",T703:Y703)</f>
        <v>0</v>
      </c>
      <c r="AA703" s="292">
        <f t="shared" ca="1" si="393"/>
        <v>0</v>
      </c>
      <c r="AB703" s="293" t="str">
        <f t="shared" si="394"/>
        <v/>
      </c>
      <c r="AC703" s="294">
        <f t="shared" ca="1" si="395"/>
        <v>0</v>
      </c>
      <c r="AD703" s="294">
        <f t="shared" ca="1" si="396"/>
        <v>0</v>
      </c>
      <c r="AE703" s="295"/>
      <c r="AF703" s="295"/>
      <c r="AG703" s="296"/>
      <c r="AH703" s="296"/>
      <c r="AI703" s="296"/>
      <c r="AJ703" s="326"/>
      <c r="AK703" s="326"/>
      <c r="AL703" s="326"/>
      <c r="AM703" s="326"/>
    </row>
    <row r="704" spans="1:39" ht="25.5" x14ac:dyDescent="0.25">
      <c r="A704" s="232">
        <f t="shared" si="361"/>
        <v>704</v>
      </c>
      <c r="B704" s="232"/>
      <c r="C704" s="307" t="str">
        <f t="shared" ref="C704:C709" si="411">+C703</f>
        <v>15.24</v>
      </c>
      <c r="D704" s="308">
        <f t="shared" ref="D704:D709" si="412">1+D703</f>
        <v>1</v>
      </c>
      <c r="E704" s="309" t="str">
        <f t="shared" ref="E704:E709" si="413">C704&amp;"."&amp;D704</f>
        <v>15.24.1</v>
      </c>
      <c r="F704" s="310">
        <v>90443</v>
      </c>
      <c r="G704" s="311" t="str">
        <f>IF($F704="","",IFERROR(VLOOKUP($F704,SERVIÇOS!$B:$G,2,0),IFERROR(VLOOKUP($F704,'COMPOSIÇÕES COMPLEMENTARES '!$D:$L,2,0),IFERROR(VLOOKUP($F704,INSUMOS!$A:$D,2,0),""))))</f>
        <v>RASGO LINEAR MANUAL EM ALVENARIA, PARA RAMAIS/ DISTRIBUIÇÃO DE INSTALAÇÕES HIDRÁULICAS, DIÂMETROS MENORES OU IGUAIS A 40 MM. AF_09/2023</v>
      </c>
      <c r="H704" s="312" t="str">
        <f>IF($F704="","",IFERROR(VLOOKUP($F704,SERVIÇOS!$B:$G,3,0),IFERROR(VLOOKUP($F704,'COMPOSIÇÕES COMPLEMENTARES '!$D:$L,3,0),IFERROR(VLOOKUP($F704,INSUMOS!$A:$D,3,0),""))))</f>
        <v>M</v>
      </c>
      <c r="I704" s="313">
        <v>1067</v>
      </c>
      <c r="J704" s="314">
        <f>IF($F704="","",IFERROR(VLOOKUP($F704,SERVIÇOS!$B:$G,4,0),IFERROR(VLOOKUP($F704,'COMPOSIÇÕES COMPLEMENTARES '!$D:$L,6,0),IFERROR(VLOOKUP($F704,INSUMOS!$A:$D,4,0),""))))</f>
        <v>2.6</v>
      </c>
      <c r="K704" s="314">
        <f>IF($F704="","",IFERROR(VLOOKUP($F704,SERVIÇOS!$B:$G,5,0),IFERROR(VLOOKUP($F704,'COMPOSIÇÕES COMPLEMENTARES '!$D:$L,7,0),0)))</f>
        <v>7.85</v>
      </c>
      <c r="L704" s="314">
        <f t="shared" ref="L704:L709" si="414">IF(I704="","",J704+K704)</f>
        <v>10.45</v>
      </c>
      <c r="M704" s="314">
        <f t="shared" ref="M704:M709" si="415">IF(I704="","",TRUNC((I704*J704),2))</f>
        <v>2774.2</v>
      </c>
      <c r="N704" s="314">
        <f t="shared" ref="N704:N709" si="416">IF(I704="","",TRUNC((I704*K704),2))</f>
        <v>8375.9500000000007</v>
      </c>
      <c r="O704" s="314">
        <f t="shared" ref="O704:O709" si="417">IF(I704="","",TRUNC((M704+N704),2))</f>
        <v>11150.15</v>
      </c>
      <c r="P704" s="314"/>
      <c r="Q704" s="315"/>
      <c r="R704" s="315"/>
      <c r="S704" s="286"/>
      <c r="T704" s="287"/>
      <c r="U704" s="288" t="str">
        <f t="shared" si="390"/>
        <v/>
      </c>
      <c r="V704" s="287"/>
      <c r="W704" s="289" t="str">
        <f t="shared" si="391"/>
        <v/>
      </c>
      <c r="X704" s="287"/>
      <c r="Y704" s="290" t="str">
        <f t="shared" si="392"/>
        <v/>
      </c>
      <c r="Z704" s="291">
        <f ca="1">SUMIF($T$8:Y$1018,"QUANT.",T704:Y704)</f>
        <v>0</v>
      </c>
      <c r="AA704" s="292">
        <f t="shared" ca="1" si="393"/>
        <v>0</v>
      </c>
      <c r="AB704" s="293" t="str">
        <f t="shared" ca="1" si="394"/>
        <v>MEDIR</v>
      </c>
      <c r="AC704" s="294">
        <f t="shared" ca="1" si="395"/>
        <v>1067</v>
      </c>
      <c r="AD704" s="294">
        <f t="shared" ca="1" si="396"/>
        <v>11150.15</v>
      </c>
      <c r="AE704" s="295"/>
      <c r="AF704" s="295"/>
      <c r="AG704" s="296"/>
      <c r="AH704" s="296"/>
      <c r="AI704" s="296"/>
      <c r="AJ704" s="326"/>
      <c r="AK704" s="326"/>
      <c r="AL704" s="326"/>
      <c r="AM704" s="326"/>
    </row>
    <row r="705" spans="1:39" ht="25.5" x14ac:dyDescent="0.25">
      <c r="A705" s="232">
        <f t="shared" si="361"/>
        <v>705</v>
      </c>
      <c r="B705" s="232"/>
      <c r="C705" s="307" t="str">
        <f t="shared" si="411"/>
        <v>15.24</v>
      </c>
      <c r="D705" s="308">
        <f t="shared" si="412"/>
        <v>2</v>
      </c>
      <c r="E705" s="309" t="str">
        <f t="shared" si="413"/>
        <v>15.24.2</v>
      </c>
      <c r="F705" s="310">
        <v>91222</v>
      </c>
      <c r="G705" s="311" t="str">
        <f>IF($F705="","",IFERROR(VLOOKUP($F705,SERVIÇOS!$B:$G,2,0),IFERROR(VLOOKUP($F705,'COMPOSIÇÕES COMPLEMENTARES '!$D:$L,2,0),IFERROR(VLOOKUP($F705,INSUMOS!$A:$D,2,0),""))))</f>
        <v>RASGO LINEAR MANUAL EM ALVENARIA, PARA RAMAIS/ DISTRIBUIÇÃO DE INSTALAÇÕES HIDRÁULICAS, DIÂMETROS MAIORES QUE 40 MM E MENORES OU IGUAIS A 75 MM. AF_09/2023</v>
      </c>
      <c r="H705" s="312" t="str">
        <f>IF($F705="","",IFERROR(VLOOKUP($F705,SERVIÇOS!$B:$G,3,0),IFERROR(VLOOKUP($F705,'COMPOSIÇÕES COMPLEMENTARES '!$D:$L,3,0),IFERROR(VLOOKUP($F705,INSUMOS!$A:$D,3,0),""))))</f>
        <v>M</v>
      </c>
      <c r="I705" s="313">
        <v>5</v>
      </c>
      <c r="J705" s="314">
        <f>IF($F705="","",IFERROR(VLOOKUP($F705,SERVIÇOS!$B:$G,4,0),IFERROR(VLOOKUP($F705,'COMPOSIÇÕES COMPLEMENTARES '!$D:$L,6,0),IFERROR(VLOOKUP($F705,INSUMOS!$A:$D,4,0),""))))</f>
        <v>2.89</v>
      </c>
      <c r="K705" s="314">
        <f>IF($F705="","",IFERROR(VLOOKUP($F705,SERVIÇOS!$B:$G,5,0),IFERROR(VLOOKUP($F705,'COMPOSIÇÕES COMPLEMENTARES '!$D:$L,7,0),0)))</f>
        <v>8.7200000000000006</v>
      </c>
      <c r="L705" s="314">
        <f t="shared" si="414"/>
        <v>11.610000000000001</v>
      </c>
      <c r="M705" s="314">
        <f t="shared" si="415"/>
        <v>14.45</v>
      </c>
      <c r="N705" s="314">
        <f t="shared" si="416"/>
        <v>43.6</v>
      </c>
      <c r="O705" s="314">
        <f t="shared" si="417"/>
        <v>58.05</v>
      </c>
      <c r="P705" s="314"/>
      <c r="Q705" s="315"/>
      <c r="R705" s="315"/>
      <c r="S705" s="286"/>
      <c r="T705" s="287"/>
      <c r="U705" s="288" t="str">
        <f t="shared" si="390"/>
        <v/>
      </c>
      <c r="V705" s="287"/>
      <c r="W705" s="289" t="str">
        <f t="shared" si="391"/>
        <v/>
      </c>
      <c r="X705" s="287"/>
      <c r="Y705" s="290" t="str">
        <f t="shared" si="392"/>
        <v/>
      </c>
      <c r="Z705" s="291">
        <f ca="1">SUMIF($T$8:Y$1018,"QUANT.",T705:Y705)</f>
        <v>0</v>
      </c>
      <c r="AA705" s="292">
        <f t="shared" ca="1" si="393"/>
        <v>0</v>
      </c>
      <c r="AB705" s="293" t="str">
        <f t="shared" ca="1" si="394"/>
        <v>MEDIR</v>
      </c>
      <c r="AC705" s="294">
        <f t="shared" ca="1" si="395"/>
        <v>5</v>
      </c>
      <c r="AD705" s="294">
        <f t="shared" ca="1" si="396"/>
        <v>58.05</v>
      </c>
      <c r="AE705" s="295"/>
      <c r="AF705" s="295"/>
      <c r="AG705" s="296"/>
      <c r="AH705" s="296"/>
      <c r="AI705" s="296"/>
      <c r="AJ705" s="326"/>
      <c r="AK705" s="326"/>
      <c r="AL705" s="326"/>
      <c r="AM705" s="326"/>
    </row>
    <row r="706" spans="1:39" ht="25.5" x14ac:dyDescent="0.25">
      <c r="A706" s="232">
        <f t="shared" ref="A706:A769" si="418">1+A705</f>
        <v>706</v>
      </c>
      <c r="B706" s="232"/>
      <c r="C706" s="307" t="str">
        <f t="shared" si="411"/>
        <v>15.24</v>
      </c>
      <c r="D706" s="308">
        <f t="shared" si="412"/>
        <v>3</v>
      </c>
      <c r="E706" s="309" t="str">
        <f t="shared" si="413"/>
        <v>15.24.3</v>
      </c>
      <c r="F706" s="310" t="s">
        <v>12155</v>
      </c>
      <c r="G706" s="311" t="str">
        <f>IF($F706="","",IFERROR(VLOOKUP($F706,SERVIÇOS!$B:$G,2,0),IFERROR(VLOOKUP($F706,'COMPOSIÇÕES COMPLEMENTARES '!$D:$L,2,0),IFERROR(VLOOKUP($F706,INSUMOS!$A:$D,2,0),""))))</f>
        <v>RASGO EM ALVENARIA PARA RAMAIS/ DISTRIBUIÇÃO COM DIÂMETROS MAIORES QUE 75 MM E MENORES OU IGUAIS A 100 MM</v>
      </c>
      <c r="H706" s="312" t="str">
        <f>IF($F706="","",IFERROR(VLOOKUP($F706,SERVIÇOS!$B:$G,3,0),IFERROR(VLOOKUP($F706,'COMPOSIÇÕES COMPLEMENTARES '!$D:$L,3,0),IFERROR(VLOOKUP($F706,INSUMOS!$A:$D,3,0),""))))</f>
        <v>M</v>
      </c>
      <c r="I706" s="313">
        <v>5</v>
      </c>
      <c r="J706" s="314">
        <f>IF($F706="","",IFERROR(VLOOKUP($F706,SERVIÇOS!$B:$G,4,0),IFERROR(VLOOKUP($F706,'COMPOSIÇÕES COMPLEMENTARES '!$D:$L,6,0),IFERROR(VLOOKUP($F706,INSUMOS!$A:$D,4,0),""))))</f>
        <v>4.8099999999999996</v>
      </c>
      <c r="K706" s="314">
        <f>IF($F706="","",IFERROR(VLOOKUP($F706,SERVIÇOS!$B:$G,5,0),IFERROR(VLOOKUP($F706,'COMPOSIÇÕES COMPLEMENTARES '!$D:$L,7,0),0)))</f>
        <v>7.01</v>
      </c>
      <c r="L706" s="314">
        <f t="shared" si="414"/>
        <v>11.82</v>
      </c>
      <c r="M706" s="314">
        <f t="shared" si="415"/>
        <v>24.05</v>
      </c>
      <c r="N706" s="314">
        <f t="shared" si="416"/>
        <v>35.049999999999997</v>
      </c>
      <c r="O706" s="314">
        <f t="shared" si="417"/>
        <v>59.1</v>
      </c>
      <c r="P706" s="314"/>
      <c r="Q706" s="315"/>
      <c r="R706" s="315"/>
      <c r="S706" s="286"/>
      <c r="T706" s="287"/>
      <c r="U706" s="288" t="str">
        <f t="shared" si="390"/>
        <v/>
      </c>
      <c r="V706" s="287"/>
      <c r="W706" s="289" t="str">
        <f t="shared" si="391"/>
        <v/>
      </c>
      <c r="X706" s="287"/>
      <c r="Y706" s="290" t="str">
        <f t="shared" si="392"/>
        <v/>
      </c>
      <c r="Z706" s="291">
        <f ca="1">SUMIF($T$8:Y$1018,"QUANT.",T706:Y706)</f>
        <v>0</v>
      </c>
      <c r="AA706" s="292">
        <f t="shared" ca="1" si="393"/>
        <v>0</v>
      </c>
      <c r="AB706" s="293" t="str">
        <f t="shared" ca="1" si="394"/>
        <v>MEDIR</v>
      </c>
      <c r="AC706" s="294">
        <f t="shared" ca="1" si="395"/>
        <v>5</v>
      </c>
      <c r="AD706" s="294">
        <f t="shared" ca="1" si="396"/>
        <v>59.1</v>
      </c>
      <c r="AE706" s="295"/>
      <c r="AF706" s="295"/>
      <c r="AG706" s="296"/>
      <c r="AH706" s="296"/>
      <c r="AI706" s="296"/>
      <c r="AJ706" s="326"/>
      <c r="AK706" s="326"/>
      <c r="AL706" s="326"/>
      <c r="AM706" s="326"/>
    </row>
    <row r="707" spans="1:39" ht="25.5" x14ac:dyDescent="0.25">
      <c r="A707" s="232">
        <f t="shared" si="418"/>
        <v>707</v>
      </c>
      <c r="B707" s="232"/>
      <c r="C707" s="307" t="str">
        <f t="shared" si="411"/>
        <v>15.24</v>
      </c>
      <c r="D707" s="308">
        <f t="shared" si="412"/>
        <v>4</v>
      </c>
      <c r="E707" s="309" t="str">
        <f t="shared" si="413"/>
        <v>15.24.4</v>
      </c>
      <c r="F707" s="310">
        <v>90466</v>
      </c>
      <c r="G707" s="311" t="str">
        <f>IF($F707="","",IFERROR(VLOOKUP($F707,SERVIÇOS!$B:$G,2,0),IFERROR(VLOOKUP($F707,'COMPOSIÇÕES COMPLEMENTARES '!$D:$L,2,0),IFERROR(VLOOKUP($F707,INSUMOS!$A:$D,2,0),""))))</f>
        <v>CHUMBAMENTO LINEAR EM ALVENARIA PARA RAMAIS/DISTRIBUIÇÃO DE INSTALAÇÕES HIDRÁULICAS COM DIÂMETROS MENORES OU IGUAIS A 40 MM. AF_09/2023</v>
      </c>
      <c r="H707" s="312" t="str">
        <f>IF($F707="","",IFERROR(VLOOKUP($F707,SERVIÇOS!$B:$G,3,0),IFERROR(VLOOKUP($F707,'COMPOSIÇÕES COMPLEMENTARES '!$D:$L,3,0),IFERROR(VLOOKUP($F707,INSUMOS!$A:$D,3,0),""))))</f>
        <v>M</v>
      </c>
      <c r="I707" s="313">
        <v>1067</v>
      </c>
      <c r="J707" s="314">
        <f>IF($F707="","",IFERROR(VLOOKUP($F707,SERVIÇOS!$B:$G,4,0),IFERROR(VLOOKUP($F707,'COMPOSIÇÕES COMPLEMENTARES '!$D:$L,6,0),IFERROR(VLOOKUP($F707,INSUMOS!$A:$D,4,0),""))))</f>
        <v>6.59</v>
      </c>
      <c r="K707" s="314">
        <f>IF($F707="","",IFERROR(VLOOKUP($F707,SERVIÇOS!$B:$G,5,0),IFERROR(VLOOKUP($F707,'COMPOSIÇÕES COMPLEMENTARES '!$D:$L,7,0),0)))</f>
        <v>12.64</v>
      </c>
      <c r="L707" s="314">
        <f t="shared" si="414"/>
        <v>19.23</v>
      </c>
      <c r="M707" s="314">
        <f t="shared" si="415"/>
        <v>7031.53</v>
      </c>
      <c r="N707" s="314">
        <f t="shared" si="416"/>
        <v>13486.88</v>
      </c>
      <c r="O707" s="314">
        <f t="shared" si="417"/>
        <v>20518.41</v>
      </c>
      <c r="P707" s="314"/>
      <c r="Q707" s="315"/>
      <c r="R707" s="315"/>
      <c r="S707" s="286"/>
      <c r="T707" s="287"/>
      <c r="U707" s="288" t="str">
        <f t="shared" si="390"/>
        <v/>
      </c>
      <c r="V707" s="287"/>
      <c r="W707" s="289" t="str">
        <f t="shared" si="391"/>
        <v/>
      </c>
      <c r="X707" s="287"/>
      <c r="Y707" s="290" t="str">
        <f t="shared" si="392"/>
        <v/>
      </c>
      <c r="Z707" s="291">
        <f ca="1">SUMIF($T$8:Y$1018,"QUANT.",T707:Y707)</f>
        <v>0</v>
      </c>
      <c r="AA707" s="292">
        <f t="shared" ca="1" si="393"/>
        <v>0</v>
      </c>
      <c r="AB707" s="293" t="str">
        <f t="shared" ca="1" si="394"/>
        <v>MEDIR</v>
      </c>
      <c r="AC707" s="294">
        <f t="shared" ca="1" si="395"/>
        <v>1067</v>
      </c>
      <c r="AD707" s="294">
        <f t="shared" ca="1" si="396"/>
        <v>20518.41</v>
      </c>
      <c r="AE707" s="295"/>
      <c r="AF707" s="295"/>
      <c r="AG707" s="296"/>
      <c r="AH707" s="296"/>
      <c r="AI707" s="296"/>
      <c r="AJ707" s="326"/>
      <c r="AK707" s="326"/>
      <c r="AL707" s="326"/>
      <c r="AM707" s="326"/>
    </row>
    <row r="708" spans="1:39" ht="25.5" x14ac:dyDescent="0.25">
      <c r="A708" s="232">
        <f t="shared" si="418"/>
        <v>708</v>
      </c>
      <c r="B708" s="232"/>
      <c r="C708" s="307" t="str">
        <f t="shared" si="411"/>
        <v>15.24</v>
      </c>
      <c r="D708" s="308">
        <f t="shared" si="412"/>
        <v>5</v>
      </c>
      <c r="E708" s="309" t="str">
        <f t="shared" si="413"/>
        <v>15.24.5</v>
      </c>
      <c r="F708" s="310">
        <v>90467</v>
      </c>
      <c r="G708" s="311" t="str">
        <f>IF($F708="","",IFERROR(VLOOKUP($F708,SERVIÇOS!$B:$G,2,0),IFERROR(VLOOKUP($F708,'COMPOSIÇÕES COMPLEMENTARES '!$D:$L,2,0),IFERROR(VLOOKUP($F708,INSUMOS!$A:$D,2,0),""))))</f>
        <v>CHUMBAMENTO LINEAR EM ALVENARIA PARA RAMAIS/DISTRIBUIÇÃO DE INSTALAÇÕES HIDRÁULICAS COM DIÂMETROS MAIORES QUE 40 MM E MENORES OU IGUAIS A 75 MM. AF_09/2023</v>
      </c>
      <c r="H708" s="312" t="str">
        <f>IF($F708="","",IFERROR(VLOOKUP($F708,SERVIÇOS!$B:$G,3,0),IFERROR(VLOOKUP($F708,'COMPOSIÇÕES COMPLEMENTARES '!$D:$L,3,0),IFERROR(VLOOKUP($F708,INSUMOS!$A:$D,3,0),""))))</f>
        <v>M</v>
      </c>
      <c r="I708" s="313">
        <v>5</v>
      </c>
      <c r="J708" s="314">
        <f>IF($F708="","",IFERROR(VLOOKUP($F708,SERVIÇOS!$B:$G,4,0),IFERROR(VLOOKUP($F708,'COMPOSIÇÕES COMPLEMENTARES '!$D:$L,6,0),IFERROR(VLOOKUP($F708,INSUMOS!$A:$D,4,0),""))))</f>
        <v>9.99</v>
      </c>
      <c r="K708" s="314">
        <f>IF($F708="","",IFERROR(VLOOKUP($F708,SERVIÇOS!$B:$G,5,0),IFERROR(VLOOKUP($F708,'COMPOSIÇÕES COMPLEMENTARES '!$D:$L,7,0),0)))</f>
        <v>18.89</v>
      </c>
      <c r="L708" s="314">
        <f t="shared" si="414"/>
        <v>28.880000000000003</v>
      </c>
      <c r="M708" s="314">
        <f t="shared" si="415"/>
        <v>49.95</v>
      </c>
      <c r="N708" s="314">
        <f t="shared" si="416"/>
        <v>94.45</v>
      </c>
      <c r="O708" s="314">
        <f t="shared" si="417"/>
        <v>144.4</v>
      </c>
      <c r="P708" s="314"/>
      <c r="Q708" s="315"/>
      <c r="R708" s="315"/>
      <c r="S708" s="286"/>
      <c r="T708" s="287"/>
      <c r="U708" s="288" t="str">
        <f t="shared" si="390"/>
        <v/>
      </c>
      <c r="V708" s="287"/>
      <c r="W708" s="289" t="str">
        <f t="shared" si="391"/>
        <v/>
      </c>
      <c r="X708" s="287"/>
      <c r="Y708" s="290" t="str">
        <f t="shared" si="392"/>
        <v/>
      </c>
      <c r="Z708" s="291">
        <f ca="1">SUMIF($T$8:Y$1018,"QUANT.",T708:Y708)</f>
        <v>0</v>
      </c>
      <c r="AA708" s="292">
        <f t="shared" ca="1" si="393"/>
        <v>0</v>
      </c>
      <c r="AB708" s="293" t="str">
        <f t="shared" ca="1" si="394"/>
        <v>MEDIR</v>
      </c>
      <c r="AC708" s="294">
        <f t="shared" ca="1" si="395"/>
        <v>5</v>
      </c>
      <c r="AD708" s="294">
        <f t="shared" ca="1" si="396"/>
        <v>144.4</v>
      </c>
      <c r="AE708" s="295"/>
      <c r="AF708" s="295"/>
      <c r="AG708" s="296"/>
      <c r="AH708" s="296"/>
      <c r="AI708" s="296"/>
      <c r="AJ708" s="326"/>
      <c r="AK708" s="326"/>
      <c r="AL708" s="326"/>
      <c r="AM708" s="326"/>
    </row>
    <row r="709" spans="1:39" ht="25.5" x14ac:dyDescent="0.25">
      <c r="A709" s="232">
        <f t="shared" si="418"/>
        <v>709</v>
      </c>
      <c r="B709" s="232"/>
      <c r="C709" s="307" t="str">
        <f t="shared" si="411"/>
        <v>15.24</v>
      </c>
      <c r="D709" s="308">
        <f t="shared" si="412"/>
        <v>6</v>
      </c>
      <c r="E709" s="309" t="str">
        <f t="shared" si="413"/>
        <v>15.24.6</v>
      </c>
      <c r="F709" s="310" t="s">
        <v>12156</v>
      </c>
      <c r="G709" s="311" t="str">
        <f>IF($F709="","",IFERROR(VLOOKUP($F709,SERVIÇOS!$B:$G,2,0),IFERROR(VLOOKUP($F709,'COMPOSIÇÕES COMPLEMENTARES '!$D:$L,2,0),IFERROR(VLOOKUP($F709,INSUMOS!$A:$D,2,0),""))))</f>
        <v>CHUMBAMENTO EM ALVENARIA PARA RAMAIS/ DISTRIBUIÇÃO COM DIÂMETROS MAIORES QUE 75 MM E MENORES OU IGUAIS A 100 MM</v>
      </c>
      <c r="H709" s="312" t="str">
        <f>IF($F709="","",IFERROR(VLOOKUP($F709,SERVIÇOS!$B:$G,3,0),IFERROR(VLOOKUP($F709,'COMPOSIÇÕES COMPLEMENTARES '!$D:$L,3,0),IFERROR(VLOOKUP($F709,INSUMOS!$A:$D,3,0),""))))</f>
        <v>M</v>
      </c>
      <c r="I709" s="313">
        <v>5</v>
      </c>
      <c r="J709" s="314">
        <f>IF($F709="","",IFERROR(VLOOKUP($F709,SERVIÇOS!$B:$G,4,0),IFERROR(VLOOKUP($F709,'COMPOSIÇÕES COMPLEMENTARES '!$D:$L,6,0),IFERROR(VLOOKUP($F709,INSUMOS!$A:$D,4,0),""))))</f>
        <v>6.55</v>
      </c>
      <c r="K709" s="314">
        <f>IF($F709="","",IFERROR(VLOOKUP($F709,SERVIÇOS!$B:$G,5,0),IFERROR(VLOOKUP($F709,'COMPOSIÇÕES COMPLEMENTARES '!$D:$L,7,0),0)))</f>
        <v>8.9600000000000009</v>
      </c>
      <c r="L709" s="314">
        <f t="shared" si="414"/>
        <v>15.510000000000002</v>
      </c>
      <c r="M709" s="314">
        <f t="shared" si="415"/>
        <v>32.75</v>
      </c>
      <c r="N709" s="314">
        <f t="shared" si="416"/>
        <v>44.8</v>
      </c>
      <c r="O709" s="314">
        <f t="shared" si="417"/>
        <v>77.55</v>
      </c>
      <c r="P709" s="314"/>
      <c r="Q709" s="315"/>
      <c r="R709" s="315"/>
      <c r="S709" s="286"/>
      <c r="T709" s="287"/>
      <c r="U709" s="288" t="str">
        <f t="shared" si="390"/>
        <v/>
      </c>
      <c r="V709" s="287"/>
      <c r="W709" s="289" t="str">
        <f t="shared" si="391"/>
        <v/>
      </c>
      <c r="X709" s="287"/>
      <c r="Y709" s="290" t="str">
        <f t="shared" si="392"/>
        <v/>
      </c>
      <c r="Z709" s="291">
        <f ca="1">SUMIF($T$8:Y$1018,"QUANT.",T709:Y709)</f>
        <v>0</v>
      </c>
      <c r="AA709" s="292">
        <f t="shared" ca="1" si="393"/>
        <v>0</v>
      </c>
      <c r="AB709" s="293" t="str">
        <f t="shared" ca="1" si="394"/>
        <v>MEDIR</v>
      </c>
      <c r="AC709" s="294">
        <f t="shared" ca="1" si="395"/>
        <v>5</v>
      </c>
      <c r="AD709" s="294">
        <f t="shared" ca="1" si="396"/>
        <v>77.55</v>
      </c>
      <c r="AE709" s="295"/>
      <c r="AF709" s="295"/>
      <c r="AG709" s="296"/>
      <c r="AH709" s="296"/>
      <c r="AI709" s="296"/>
      <c r="AJ709" s="326"/>
      <c r="AK709" s="326"/>
      <c r="AL709" s="326"/>
      <c r="AM709" s="326"/>
    </row>
    <row r="710" spans="1:39" x14ac:dyDescent="0.25">
      <c r="A710" s="232">
        <f t="shared" si="418"/>
        <v>710</v>
      </c>
      <c r="B710" s="232"/>
      <c r="C710" s="281">
        <f>+E710</f>
        <v>16</v>
      </c>
      <c r="D710" s="297"/>
      <c r="E710" s="298">
        <v>16</v>
      </c>
      <c r="F710" s="322"/>
      <c r="G710" s="299" t="s">
        <v>12339</v>
      </c>
      <c r="H710" s="300"/>
      <c r="I710" s="303"/>
      <c r="J710" s="302"/>
      <c r="K710" s="303"/>
      <c r="L710" s="303"/>
      <c r="M710" s="304">
        <f>TRUNC(SUMIF(M711:M742,"&gt;0",M711:M742),2)</f>
        <v>61233.58</v>
      </c>
      <c r="N710" s="304">
        <f>TRUNC(SUMIF(N711:N742,"&gt;0",N711:N742),2)</f>
        <v>14627.06</v>
      </c>
      <c r="O710" s="305"/>
      <c r="P710" s="304">
        <f>SUMIF(O711:O742,"&gt;0",O711:O742)</f>
        <v>75860.640000000029</v>
      </c>
      <c r="Q710" s="306"/>
      <c r="R710" s="306"/>
      <c r="S710" s="286"/>
      <c r="T710" s="287"/>
      <c r="U710" s="288" t="str">
        <f t="shared" si="390"/>
        <v/>
      </c>
      <c r="V710" s="287"/>
      <c r="W710" s="289" t="str">
        <f t="shared" si="391"/>
        <v/>
      </c>
      <c r="X710" s="287"/>
      <c r="Y710" s="290" t="str">
        <f t="shared" si="392"/>
        <v/>
      </c>
      <c r="Z710" s="291">
        <f ca="1">SUMIF($T$8:Y$1018,"QUANT.",T710:Y710)</f>
        <v>0</v>
      </c>
      <c r="AA710" s="292">
        <f t="shared" ca="1" si="393"/>
        <v>0</v>
      </c>
      <c r="AB710" s="293" t="str">
        <f t="shared" si="394"/>
        <v/>
      </c>
      <c r="AC710" s="294">
        <f t="shared" ca="1" si="395"/>
        <v>0</v>
      </c>
      <c r="AD710" s="294">
        <f t="shared" ca="1" si="396"/>
        <v>0</v>
      </c>
      <c r="AE710" s="295"/>
      <c r="AF710" s="295"/>
      <c r="AG710" s="296"/>
      <c r="AH710" s="296"/>
      <c r="AI710" s="296"/>
      <c r="AJ710" s="326"/>
      <c r="AK710" s="326"/>
      <c r="AL710" s="326"/>
      <c r="AM710" s="326"/>
    </row>
    <row r="711" spans="1:39" x14ac:dyDescent="0.25">
      <c r="A711" s="232">
        <f t="shared" si="418"/>
        <v>711</v>
      </c>
      <c r="B711" s="232"/>
      <c r="C711" s="316" t="str">
        <f>+E711</f>
        <v>16.1</v>
      </c>
      <c r="D711" s="297"/>
      <c r="E711" s="317" t="s">
        <v>12340</v>
      </c>
      <c r="F711" s="317"/>
      <c r="G711" s="318" t="s">
        <v>12341</v>
      </c>
      <c r="H711" s="317"/>
      <c r="I711" s="319"/>
      <c r="J711" s="317"/>
      <c r="K711" s="317"/>
      <c r="L711" s="317"/>
      <c r="M711" s="317"/>
      <c r="N711" s="317"/>
      <c r="O711" s="317"/>
      <c r="P711" s="317"/>
      <c r="Q711" s="320"/>
      <c r="R711" s="306"/>
      <c r="S711" s="286"/>
      <c r="T711" s="287"/>
      <c r="U711" s="288" t="str">
        <f t="shared" si="390"/>
        <v/>
      </c>
      <c r="V711" s="287"/>
      <c r="W711" s="289" t="str">
        <f t="shared" si="391"/>
        <v/>
      </c>
      <c r="X711" s="287"/>
      <c r="Y711" s="290" t="str">
        <f t="shared" si="392"/>
        <v/>
      </c>
      <c r="Z711" s="291">
        <f ca="1">SUMIF($T$8:Y$1018,"QUANT.",T711:Y711)</f>
        <v>0</v>
      </c>
      <c r="AA711" s="292">
        <f t="shared" ca="1" si="393"/>
        <v>0</v>
      </c>
      <c r="AB711" s="293" t="str">
        <f t="shared" si="394"/>
        <v/>
      </c>
      <c r="AC711" s="294">
        <f t="shared" ca="1" si="395"/>
        <v>0</v>
      </c>
      <c r="AD711" s="294">
        <f t="shared" ca="1" si="396"/>
        <v>0</v>
      </c>
      <c r="AE711" s="295"/>
      <c r="AF711" s="295"/>
      <c r="AG711" s="296"/>
      <c r="AH711" s="296"/>
      <c r="AI711" s="296"/>
      <c r="AJ711" s="326"/>
      <c r="AK711" s="326"/>
      <c r="AL711" s="326"/>
      <c r="AM711" s="326"/>
    </row>
    <row r="712" spans="1:39" ht="25.5" x14ac:dyDescent="0.25">
      <c r="A712" s="232">
        <f t="shared" si="418"/>
        <v>712</v>
      </c>
      <c r="B712" s="232"/>
      <c r="C712" s="307" t="str">
        <f>+C711</f>
        <v>16.1</v>
      </c>
      <c r="D712" s="308">
        <f>1+D711</f>
        <v>1</v>
      </c>
      <c r="E712" s="309" t="str">
        <f>C712&amp;"."&amp;D712</f>
        <v>16.1.1</v>
      </c>
      <c r="F712" s="310" t="s">
        <v>12342</v>
      </c>
      <c r="G712" s="311" t="str">
        <f>IF($F712="","",IFERROR(VLOOKUP($F712,SERVIÇOS!$B:$G,2,0),IFERROR(VLOOKUP($F712,'COMPOSIÇÕES COMPLEMENTARES '!$D:$L,2,0),IFERROR(VLOOKUP($F712,INSUMOS!$A:$D,2,0),""))))</f>
        <v>TUBO DE COBRE CLASSE "A", DN = 1/2 " (15 MM), PARA INSTALACOES DE MEDIA PRESSAO PARA GASES COMBUSTIVEIS E MEDICINAIS</v>
      </c>
      <c r="H712" s="312" t="str">
        <f>IF($F712="","",IFERROR(VLOOKUP($F712,SERVIÇOS!$B:$G,3,0),IFERROR(VLOOKUP($F712,'COMPOSIÇÕES COMPLEMENTARES '!$D:$L,3,0),IFERROR(VLOOKUP($F712,INSUMOS!$A:$D,3,0),""))))</f>
        <v>M</v>
      </c>
      <c r="I712" s="313">
        <v>229.49</v>
      </c>
      <c r="J712" s="314">
        <f>IF($F712="","",IFERROR(VLOOKUP($F712,SERVIÇOS!$B:$G,4,0),IFERROR(VLOOKUP($F712,'COMPOSIÇÕES COMPLEMENTARES '!$D:$L,6,0),IFERROR(VLOOKUP($F712,INSUMOS!$A:$D,4,0),""))))</f>
        <v>97.06</v>
      </c>
      <c r="K712" s="314">
        <f>IF($F712="","",IFERROR(VLOOKUP($F712,SERVIÇOS!$B:$G,5,0),IFERROR(VLOOKUP($F712,'COMPOSIÇÕES COMPLEMENTARES '!$D:$L,7,0),0)))</f>
        <v>16.03</v>
      </c>
      <c r="L712" s="314">
        <f>IF(I712="","",J712+K712)</f>
        <v>113.09</v>
      </c>
      <c r="M712" s="314">
        <f>IF(I712="","",TRUNC((I712*J712),2))</f>
        <v>22274.29</v>
      </c>
      <c r="N712" s="314">
        <f>IF(I712="","",TRUNC((I712*K712),2))</f>
        <v>3678.72</v>
      </c>
      <c r="O712" s="314">
        <f>IF(I712="","",TRUNC((M712+N712),2))</f>
        <v>25953.01</v>
      </c>
      <c r="P712" s="314"/>
      <c r="Q712" s="315"/>
      <c r="R712" s="315"/>
      <c r="S712" s="286"/>
      <c r="T712" s="287"/>
      <c r="U712" s="288" t="str">
        <f t="shared" si="390"/>
        <v/>
      </c>
      <c r="V712" s="287"/>
      <c r="W712" s="289" t="str">
        <f t="shared" si="391"/>
        <v/>
      </c>
      <c r="X712" s="287"/>
      <c r="Y712" s="290" t="str">
        <f t="shared" si="392"/>
        <v/>
      </c>
      <c r="Z712" s="291">
        <f ca="1">SUMIF($T$8:Y$1018,"QUANT.",T712:Y712)</f>
        <v>0</v>
      </c>
      <c r="AA712" s="292">
        <f t="shared" ca="1" si="393"/>
        <v>0</v>
      </c>
      <c r="AB712" s="293" t="str">
        <f t="shared" ca="1" si="394"/>
        <v>MEDIR</v>
      </c>
      <c r="AC712" s="294">
        <f t="shared" ca="1" si="395"/>
        <v>229.49</v>
      </c>
      <c r="AD712" s="294">
        <f t="shared" ca="1" si="396"/>
        <v>25953.01</v>
      </c>
      <c r="AE712" s="295"/>
      <c r="AF712" s="295"/>
      <c r="AG712" s="296"/>
      <c r="AH712" s="296"/>
      <c r="AI712" s="296"/>
      <c r="AJ712" s="326"/>
      <c r="AK712" s="326"/>
      <c r="AL712" s="326"/>
      <c r="AM712" s="326"/>
    </row>
    <row r="713" spans="1:39" ht="25.5" x14ac:dyDescent="0.25">
      <c r="A713" s="232">
        <f t="shared" si="418"/>
        <v>713</v>
      </c>
      <c r="B713" s="232"/>
      <c r="C713" s="307" t="str">
        <f>+C712</f>
        <v>16.1</v>
      </c>
      <c r="D713" s="308">
        <f>1+D712</f>
        <v>2</v>
      </c>
      <c r="E713" s="309" t="str">
        <f>C713&amp;"."&amp;D713</f>
        <v>16.1.2</v>
      </c>
      <c r="F713" s="310" t="s">
        <v>12343</v>
      </c>
      <c r="G713" s="311" t="str">
        <f>IF($F713="","",IFERROR(VLOOKUP($F713,SERVIÇOS!$B:$G,2,0),IFERROR(VLOOKUP($F713,'COMPOSIÇÕES COMPLEMENTARES '!$D:$L,2,0),IFERROR(VLOOKUP($F713,INSUMOS!$A:$D,2,0),""))))</f>
        <v>TUBO DE COBRE CLASSE "A", DN = 3/4 " (22 MM), PARA INSTALACOES DE MEDIA PRESSAO PARA GASES COMBUSTIVEIS E MEDICINAIS</v>
      </c>
      <c r="H713" s="312" t="str">
        <f>IF($F713="","",IFERROR(VLOOKUP($F713,SERVIÇOS!$B:$G,3,0),IFERROR(VLOOKUP($F713,'COMPOSIÇÕES COMPLEMENTARES '!$D:$L,3,0),IFERROR(VLOOKUP($F713,INSUMOS!$A:$D,3,0),""))))</f>
        <v>M</v>
      </c>
      <c r="I713" s="313">
        <v>126.62</v>
      </c>
      <c r="J713" s="314">
        <f>IF($F713="","",IFERROR(VLOOKUP($F713,SERVIÇOS!$B:$G,4,0),IFERROR(VLOOKUP($F713,'COMPOSIÇÕES COMPLEMENTARES '!$D:$L,6,0),IFERROR(VLOOKUP($F713,INSUMOS!$A:$D,4,0),""))))</f>
        <v>146.01</v>
      </c>
      <c r="K713" s="314">
        <f>IF($F713="","",IFERROR(VLOOKUP($F713,SERVIÇOS!$B:$G,5,0),IFERROR(VLOOKUP($F713,'COMPOSIÇÕES COMPLEMENTARES '!$D:$L,7,0),0)))</f>
        <v>17.489999999999998</v>
      </c>
      <c r="L713" s="314">
        <f>IF(I713="","",J713+K713)</f>
        <v>163.5</v>
      </c>
      <c r="M713" s="314">
        <f>IF(I713="","",TRUNC((I713*J713),2))</f>
        <v>18487.78</v>
      </c>
      <c r="N713" s="314">
        <f>IF(I713="","",TRUNC((I713*K713),2))</f>
        <v>2214.58</v>
      </c>
      <c r="O713" s="314">
        <f>IF(I713="","",TRUNC((M713+N713),2))</f>
        <v>20702.36</v>
      </c>
      <c r="P713" s="314"/>
      <c r="Q713" s="315"/>
      <c r="R713" s="315"/>
      <c r="S713" s="286"/>
      <c r="T713" s="287"/>
      <c r="U713" s="288" t="str">
        <f t="shared" si="390"/>
        <v/>
      </c>
      <c r="V713" s="287"/>
      <c r="W713" s="289" t="str">
        <f t="shared" si="391"/>
        <v/>
      </c>
      <c r="X713" s="287"/>
      <c r="Y713" s="290" t="str">
        <f t="shared" si="392"/>
        <v/>
      </c>
      <c r="Z713" s="291">
        <f ca="1">SUMIF($T$8:Y$1018,"QUANT.",T713:Y713)</f>
        <v>0</v>
      </c>
      <c r="AA713" s="292">
        <f t="shared" ca="1" si="393"/>
        <v>0</v>
      </c>
      <c r="AB713" s="293" t="str">
        <f t="shared" ca="1" si="394"/>
        <v>MEDIR</v>
      </c>
      <c r="AC713" s="294">
        <f t="shared" ca="1" si="395"/>
        <v>126.62</v>
      </c>
      <c r="AD713" s="294">
        <f t="shared" ca="1" si="396"/>
        <v>20702.36</v>
      </c>
      <c r="AE713" s="295"/>
      <c r="AF713" s="295"/>
      <c r="AG713" s="296"/>
      <c r="AH713" s="296"/>
      <c r="AI713" s="296"/>
      <c r="AJ713" s="326"/>
      <c r="AK713" s="326"/>
      <c r="AL713" s="326"/>
      <c r="AM713" s="326"/>
    </row>
    <row r="714" spans="1:39" x14ac:dyDescent="0.25">
      <c r="A714" s="232">
        <f t="shared" si="418"/>
        <v>714</v>
      </c>
      <c r="B714" s="232"/>
      <c r="C714" s="316" t="str">
        <f>+E714</f>
        <v>16.2</v>
      </c>
      <c r="D714" s="297"/>
      <c r="E714" s="317" t="s">
        <v>12344</v>
      </c>
      <c r="F714" s="317"/>
      <c r="G714" s="327" t="s">
        <v>12345</v>
      </c>
      <c r="H714" s="317"/>
      <c r="I714" s="319"/>
      <c r="J714" s="317"/>
      <c r="K714" s="317"/>
      <c r="L714" s="317"/>
      <c r="M714" s="317"/>
      <c r="N714" s="317"/>
      <c r="O714" s="317"/>
      <c r="P714" s="317"/>
      <c r="Q714" s="320"/>
      <c r="R714" s="306"/>
      <c r="S714" s="286"/>
      <c r="T714" s="287"/>
      <c r="U714" s="288" t="str">
        <f t="shared" si="390"/>
        <v/>
      </c>
      <c r="V714" s="287"/>
      <c r="W714" s="289" t="str">
        <f t="shared" si="391"/>
        <v/>
      </c>
      <c r="X714" s="287"/>
      <c r="Y714" s="290" t="str">
        <f t="shared" si="392"/>
        <v/>
      </c>
      <c r="Z714" s="291">
        <f ca="1">SUMIF($T$8:Y$1018,"QUANT.",T714:Y714)</f>
        <v>0</v>
      </c>
      <c r="AA714" s="292">
        <f t="shared" ca="1" si="393"/>
        <v>0</v>
      </c>
      <c r="AB714" s="293" t="str">
        <f t="shared" si="394"/>
        <v/>
      </c>
      <c r="AC714" s="294">
        <f t="shared" ca="1" si="395"/>
        <v>0</v>
      </c>
      <c r="AD714" s="294">
        <f t="shared" ca="1" si="396"/>
        <v>0</v>
      </c>
      <c r="AE714" s="295"/>
      <c r="AF714" s="295"/>
      <c r="AG714" s="296"/>
      <c r="AH714" s="296"/>
      <c r="AI714" s="296"/>
      <c r="AJ714" s="326"/>
      <c r="AK714" s="326"/>
      <c r="AL714" s="326"/>
      <c r="AM714" s="326"/>
    </row>
    <row r="715" spans="1:39" ht="25.5" x14ac:dyDescent="0.25">
      <c r="A715" s="232">
        <f t="shared" si="418"/>
        <v>715</v>
      </c>
      <c r="B715" s="232"/>
      <c r="C715" s="307" t="str">
        <f>+C714</f>
        <v>16.2</v>
      </c>
      <c r="D715" s="308">
        <f>1+D714</f>
        <v>1</v>
      </c>
      <c r="E715" s="309" t="str">
        <f>C715&amp;"."&amp;D715</f>
        <v>16.2.1</v>
      </c>
      <c r="F715" s="310" t="s">
        <v>12346</v>
      </c>
      <c r="G715" s="311" t="str">
        <f>IF($F715="","",IFERROR(VLOOKUP($F715,SERVIÇOS!$B:$G,2,0),IFERROR(VLOOKUP($F715,'COMPOSIÇÕES COMPLEMENTARES '!$D:$L,2,0),IFERROR(VLOOKUP($F715,INSUMOS!$A:$D,2,0),""))))</f>
        <v>TUBO DE COBRE CLASSE "A", DN = 1 " (28 MM), PARA INSTALACOES DE MEDIA PRESSAO PARA GASES COMBUSTIVEIS E MEDICINAIS</v>
      </c>
      <c r="H715" s="312" t="str">
        <f>IF($F715="","",IFERROR(VLOOKUP($F715,SERVIÇOS!$B:$G,3,0),IFERROR(VLOOKUP($F715,'COMPOSIÇÕES COMPLEMENTARES '!$D:$L,3,0),IFERROR(VLOOKUP($F715,INSUMOS!$A:$D,3,0),""))))</f>
        <v>M</v>
      </c>
      <c r="I715" s="313">
        <v>33.28</v>
      </c>
      <c r="J715" s="314">
        <f>IF($F715="","",IFERROR(VLOOKUP($F715,SERVIÇOS!$B:$G,4,0),IFERROR(VLOOKUP($F715,'COMPOSIÇÕES COMPLEMENTARES '!$D:$L,6,0),IFERROR(VLOOKUP($F715,INSUMOS!$A:$D,4,0),""))))</f>
        <v>175.18</v>
      </c>
      <c r="K715" s="314">
        <f>IF($F715="","",IFERROR(VLOOKUP($F715,SERVIÇOS!$B:$G,5,0),IFERROR(VLOOKUP($F715,'COMPOSIÇÕES COMPLEMENTARES '!$D:$L,7,0),0)))</f>
        <v>21.86</v>
      </c>
      <c r="L715" s="314">
        <f>IF(I715="","",J715+K715)</f>
        <v>197.04000000000002</v>
      </c>
      <c r="M715" s="314">
        <f>IF(I715="","",TRUNC((I715*J715),2))</f>
        <v>5829.99</v>
      </c>
      <c r="N715" s="314">
        <f>IF(I715="","",TRUNC((I715*K715),2))</f>
        <v>727.5</v>
      </c>
      <c r="O715" s="314">
        <f>IF(I715="","",TRUNC((M715+N715),2))</f>
        <v>6557.49</v>
      </c>
      <c r="P715" s="314"/>
      <c r="Q715" s="315"/>
      <c r="R715" s="315"/>
      <c r="S715" s="286"/>
      <c r="T715" s="287"/>
      <c r="U715" s="288" t="str">
        <f t="shared" si="390"/>
        <v/>
      </c>
      <c r="V715" s="287"/>
      <c r="W715" s="289" t="str">
        <f t="shared" si="391"/>
        <v/>
      </c>
      <c r="X715" s="287"/>
      <c r="Y715" s="290" t="str">
        <f t="shared" si="392"/>
        <v/>
      </c>
      <c r="Z715" s="291">
        <f ca="1">SUMIF($T$8:Y$1018,"QUANT.",T715:Y715)</f>
        <v>0</v>
      </c>
      <c r="AA715" s="292">
        <f t="shared" ca="1" si="393"/>
        <v>0</v>
      </c>
      <c r="AB715" s="293" t="str">
        <f t="shared" ca="1" si="394"/>
        <v>MEDIR</v>
      </c>
      <c r="AC715" s="294">
        <f t="shared" ca="1" si="395"/>
        <v>33.28</v>
      </c>
      <c r="AD715" s="294">
        <f t="shared" ca="1" si="396"/>
        <v>6557.49</v>
      </c>
      <c r="AE715" s="295"/>
      <c r="AF715" s="295"/>
      <c r="AG715" s="296"/>
      <c r="AH715" s="296"/>
      <c r="AI715" s="296"/>
      <c r="AJ715" s="326"/>
      <c r="AK715" s="326"/>
      <c r="AL715" s="326"/>
      <c r="AM715" s="326"/>
    </row>
    <row r="716" spans="1:39" x14ac:dyDescent="0.25">
      <c r="A716" s="232">
        <f t="shared" si="418"/>
        <v>716</v>
      </c>
      <c r="B716" s="232"/>
      <c r="C716" s="316" t="str">
        <f>+E716</f>
        <v>16.3</v>
      </c>
      <c r="D716" s="297"/>
      <c r="E716" s="317" t="s">
        <v>12347</v>
      </c>
      <c r="F716" s="317"/>
      <c r="G716" s="327" t="s">
        <v>12348</v>
      </c>
      <c r="H716" s="317"/>
      <c r="I716" s="319"/>
      <c r="J716" s="317"/>
      <c r="K716" s="317"/>
      <c r="L716" s="317"/>
      <c r="M716" s="317"/>
      <c r="N716" s="317"/>
      <c r="O716" s="317"/>
      <c r="P716" s="317"/>
      <c r="Q716" s="320"/>
      <c r="R716" s="306"/>
      <c r="S716" s="286"/>
      <c r="T716" s="287"/>
      <c r="U716" s="288" t="str">
        <f t="shared" si="390"/>
        <v/>
      </c>
      <c r="V716" s="287"/>
      <c r="W716" s="289" t="str">
        <f t="shared" si="391"/>
        <v/>
      </c>
      <c r="X716" s="287"/>
      <c r="Y716" s="290" t="str">
        <f t="shared" si="392"/>
        <v/>
      </c>
      <c r="Z716" s="291">
        <f ca="1">SUMIF($T$8:Y$1018,"QUANT.",T716:Y716)</f>
        <v>0</v>
      </c>
      <c r="AA716" s="292">
        <f t="shared" ca="1" si="393"/>
        <v>0</v>
      </c>
      <c r="AB716" s="293" t="str">
        <f t="shared" si="394"/>
        <v/>
      </c>
      <c r="AC716" s="294">
        <f t="shared" ca="1" si="395"/>
        <v>0</v>
      </c>
      <c r="AD716" s="294">
        <f t="shared" ca="1" si="396"/>
        <v>0</v>
      </c>
      <c r="AE716" s="295"/>
      <c r="AF716" s="295"/>
      <c r="AG716" s="296"/>
      <c r="AH716" s="296"/>
      <c r="AI716" s="296"/>
      <c r="AJ716" s="326"/>
      <c r="AK716" s="326"/>
      <c r="AL716" s="326"/>
      <c r="AM716" s="326"/>
    </row>
    <row r="717" spans="1:39" x14ac:dyDescent="0.25">
      <c r="A717" s="232">
        <f t="shared" si="418"/>
        <v>717</v>
      </c>
      <c r="B717" s="232"/>
      <c r="C717" s="307" t="str">
        <f>+C716</f>
        <v>16.3</v>
      </c>
      <c r="D717" s="308">
        <f>1+D716</f>
        <v>1</v>
      </c>
      <c r="E717" s="309" t="str">
        <f>C717&amp;"."&amp;D717</f>
        <v>16.3.1</v>
      </c>
      <c r="F717" s="310" t="s">
        <v>12349</v>
      </c>
      <c r="G717" s="311" t="str">
        <f>IF($F717="","",IFERROR(VLOOKUP($F717,SERVIÇOS!$B:$G,2,0),IFERROR(VLOOKUP($F717,'COMPOSIÇÕES COMPLEMENTARES '!$D:$L,2,0),IFERROR(VLOOKUP($F717,INSUMOS!$A:$D,2,0),""))))</f>
        <v>PINTURA EM ESMALTE SINTÉTICO AMARELO-SEGURANÇA PADRÃO MUNSELL 5 Y 8/12 EM LATA DE 3,6 LITROS</v>
      </c>
      <c r="H717" s="312" t="str">
        <f>IF($F717="","",IFERROR(VLOOKUP($F717,SERVIÇOS!$B:$G,3,0),IFERROR(VLOOKUP($F717,'COMPOSIÇÕES COMPLEMENTARES '!$D:$L,3,0),IFERROR(VLOOKUP($F717,INSUMOS!$A:$D,3,0),""))))</f>
        <v>M</v>
      </c>
      <c r="I717" s="313">
        <v>177</v>
      </c>
      <c r="J717" s="314">
        <f>IF($F717="","",IFERROR(VLOOKUP($F717,SERVIÇOS!$B:$G,4,0),IFERROR(VLOOKUP($F717,'COMPOSIÇÕES COMPLEMENTARES '!$D:$L,6,0),IFERROR(VLOOKUP($F717,INSUMOS!$A:$D,4,0),""))))</f>
        <v>2.0299999999999998</v>
      </c>
      <c r="K717" s="314">
        <f>IF($F717="","",IFERROR(VLOOKUP($F717,SERVIÇOS!$B:$G,5,0),IFERROR(VLOOKUP($F717,'COMPOSIÇÕES COMPLEMENTARES '!$D:$L,7,0),0)))</f>
        <v>1.99</v>
      </c>
      <c r="L717" s="314">
        <f>IF(I717="","",J717+K717)</f>
        <v>4.0199999999999996</v>
      </c>
      <c r="M717" s="314">
        <f>IF(I717="","",TRUNC((I717*J717),2))</f>
        <v>359.31</v>
      </c>
      <c r="N717" s="314">
        <f>IF(I717="","",TRUNC((I717*K717),2))</f>
        <v>352.23</v>
      </c>
      <c r="O717" s="314">
        <f>IF(I717="","",TRUNC((M717+N717),2))</f>
        <v>711.54</v>
      </c>
      <c r="P717" s="314"/>
      <c r="Q717" s="315"/>
      <c r="R717" s="315"/>
      <c r="S717" s="286"/>
      <c r="T717" s="287"/>
      <c r="U717" s="288" t="str">
        <f t="shared" si="390"/>
        <v/>
      </c>
      <c r="V717" s="287"/>
      <c r="W717" s="289" t="str">
        <f t="shared" si="391"/>
        <v/>
      </c>
      <c r="X717" s="287"/>
      <c r="Y717" s="290" t="str">
        <f t="shared" si="392"/>
        <v/>
      </c>
      <c r="Z717" s="291">
        <f ca="1">SUMIF($T$8:Y$1018,"QUANT.",T717:Y717)</f>
        <v>0</v>
      </c>
      <c r="AA717" s="292">
        <f t="shared" ca="1" si="393"/>
        <v>0</v>
      </c>
      <c r="AB717" s="293" t="str">
        <f t="shared" ca="1" si="394"/>
        <v>MEDIR</v>
      </c>
      <c r="AC717" s="294">
        <f t="shared" ca="1" si="395"/>
        <v>177</v>
      </c>
      <c r="AD717" s="294">
        <f t="shared" ca="1" si="396"/>
        <v>711.54</v>
      </c>
      <c r="AE717" s="295"/>
      <c r="AF717" s="295"/>
      <c r="AG717" s="296"/>
      <c r="AH717" s="296"/>
      <c r="AI717" s="296"/>
      <c r="AJ717" s="326"/>
      <c r="AK717" s="326"/>
      <c r="AL717" s="326"/>
      <c r="AM717" s="326"/>
    </row>
    <row r="718" spans="1:39" x14ac:dyDescent="0.25">
      <c r="A718" s="232">
        <f t="shared" si="418"/>
        <v>718</v>
      </c>
      <c r="B718" s="232"/>
      <c r="C718" s="307" t="str">
        <f>+C717</f>
        <v>16.3</v>
      </c>
      <c r="D718" s="308">
        <f>1+D717</f>
        <v>2</v>
      </c>
      <c r="E718" s="309" t="str">
        <f>C718&amp;"."&amp;D718</f>
        <v>16.3.2</v>
      </c>
      <c r="F718" s="310" t="s">
        <v>12350</v>
      </c>
      <c r="G718" s="311" t="str">
        <f>IF($F718="","",IFERROR(VLOOKUP($F718,SERVIÇOS!$B:$G,2,0),IFERROR(VLOOKUP($F718,'COMPOSIÇÕES COMPLEMENTARES '!$D:$L,2,0),IFERROR(VLOOKUP($F718,INSUMOS!$A:$D,2,0),""))))</f>
        <v>PINTURA EM ESMALTE SINTÉTICO VERDE-EMBLEMA PADRÃO MUNSELL 2,5 G 4/8 EM LATA DE 3,6 LITROS</v>
      </c>
      <c r="H718" s="312" t="str">
        <f>IF($F718="","",IFERROR(VLOOKUP($F718,SERVIÇOS!$B:$G,3,0),IFERROR(VLOOKUP($F718,'COMPOSIÇÕES COMPLEMENTARES '!$D:$L,3,0),IFERROR(VLOOKUP($F718,INSUMOS!$A:$D,3,0),""))))</f>
        <v>M</v>
      </c>
      <c r="I718" s="313">
        <v>153</v>
      </c>
      <c r="J718" s="314">
        <f>IF($F718="","",IFERROR(VLOOKUP($F718,SERVIÇOS!$B:$G,4,0),IFERROR(VLOOKUP($F718,'COMPOSIÇÕES COMPLEMENTARES '!$D:$L,6,0),IFERROR(VLOOKUP($F718,INSUMOS!$A:$D,4,0),""))))</f>
        <v>2.0299999999999998</v>
      </c>
      <c r="K718" s="314">
        <f>IF($F718="","",IFERROR(VLOOKUP($F718,SERVIÇOS!$B:$G,5,0),IFERROR(VLOOKUP($F718,'COMPOSIÇÕES COMPLEMENTARES '!$D:$L,7,0),0)))</f>
        <v>1.99</v>
      </c>
      <c r="L718" s="314">
        <f>IF(I718="","",J718+K718)</f>
        <v>4.0199999999999996</v>
      </c>
      <c r="M718" s="314">
        <f>IF(I718="","",TRUNC((I718*J718),2))</f>
        <v>310.58999999999997</v>
      </c>
      <c r="N718" s="314">
        <f>IF(I718="","",TRUNC((I718*K718),2))</f>
        <v>304.47000000000003</v>
      </c>
      <c r="O718" s="314">
        <f>IF(I718="","",TRUNC((M718+N718),2))</f>
        <v>615.05999999999995</v>
      </c>
      <c r="P718" s="314"/>
      <c r="Q718" s="315"/>
      <c r="R718" s="315"/>
      <c r="S718" s="286"/>
      <c r="T718" s="287"/>
      <c r="U718" s="288" t="str">
        <f t="shared" si="390"/>
        <v/>
      </c>
      <c r="V718" s="287"/>
      <c r="W718" s="289" t="str">
        <f t="shared" si="391"/>
        <v/>
      </c>
      <c r="X718" s="287"/>
      <c r="Y718" s="290" t="str">
        <f t="shared" si="392"/>
        <v/>
      </c>
      <c r="Z718" s="291">
        <f ca="1">SUMIF($T$8:Y$1018,"QUANT.",T718:Y718)</f>
        <v>0</v>
      </c>
      <c r="AA718" s="292">
        <f t="shared" ca="1" si="393"/>
        <v>0</v>
      </c>
      <c r="AB718" s="293" t="str">
        <f t="shared" ca="1" si="394"/>
        <v>MEDIR</v>
      </c>
      <c r="AC718" s="294">
        <f t="shared" ca="1" si="395"/>
        <v>153</v>
      </c>
      <c r="AD718" s="294">
        <f t="shared" ca="1" si="396"/>
        <v>615.05999999999995</v>
      </c>
      <c r="AE718" s="295"/>
      <c r="AF718" s="295"/>
      <c r="AG718" s="296"/>
      <c r="AH718" s="296"/>
      <c r="AI718" s="296"/>
      <c r="AJ718" s="326"/>
      <c r="AK718" s="326"/>
      <c r="AL718" s="326"/>
      <c r="AM718" s="326"/>
    </row>
    <row r="719" spans="1:39" x14ac:dyDescent="0.25">
      <c r="A719" s="232">
        <f t="shared" si="418"/>
        <v>719</v>
      </c>
      <c r="B719" s="232"/>
      <c r="C719" s="307" t="str">
        <f>+C718</f>
        <v>16.3</v>
      </c>
      <c r="D719" s="308">
        <f>1+D718</f>
        <v>3</v>
      </c>
      <c r="E719" s="309" t="str">
        <f>C719&amp;"."&amp;D719</f>
        <v>16.3.3</v>
      </c>
      <c r="F719" s="310" t="s">
        <v>12351</v>
      </c>
      <c r="G719" s="311" t="str">
        <f>IF($F719="","",IFERROR(VLOOKUP($F719,SERVIÇOS!$B:$G,2,0),IFERROR(VLOOKUP($F719,'COMPOSIÇÕES COMPLEMENTARES '!$D:$L,2,0),IFERROR(VLOOKUP($F719,INSUMOS!$A:$D,2,0),""))))</f>
        <v>PINTURA EM ESMALTE SINTÉTICO CINZA-CLARO PADRÃO MUNSELL N 6,5 EM LATA DE 3,6 LITROS</v>
      </c>
      <c r="H719" s="312" t="str">
        <f>IF($F719="","",IFERROR(VLOOKUP($F719,SERVIÇOS!$B:$G,3,0),IFERROR(VLOOKUP($F719,'COMPOSIÇÕES COMPLEMENTARES '!$D:$L,3,0),IFERROR(VLOOKUP($F719,INSUMOS!$A:$D,3,0),""))))</f>
        <v>M</v>
      </c>
      <c r="I719" s="313">
        <v>80</v>
      </c>
      <c r="J719" s="314">
        <f>IF($F719="","",IFERROR(VLOOKUP($F719,SERVIÇOS!$B:$G,4,0),IFERROR(VLOOKUP($F719,'COMPOSIÇÕES COMPLEMENTARES '!$D:$L,6,0),IFERROR(VLOOKUP($F719,INSUMOS!$A:$D,4,0),""))))</f>
        <v>2.0299999999999998</v>
      </c>
      <c r="K719" s="314">
        <f>IF($F719="","",IFERROR(VLOOKUP($F719,SERVIÇOS!$B:$G,5,0),IFERROR(VLOOKUP($F719,'COMPOSIÇÕES COMPLEMENTARES '!$D:$L,7,0),0)))</f>
        <v>1.99</v>
      </c>
      <c r="L719" s="314">
        <f>IF(I719="","",J719+K719)</f>
        <v>4.0199999999999996</v>
      </c>
      <c r="M719" s="314">
        <f>IF(I719="","",TRUNC((I719*J719),2))</f>
        <v>162.4</v>
      </c>
      <c r="N719" s="314">
        <f>IF(I719="","",TRUNC((I719*K719),2))</f>
        <v>159.19999999999999</v>
      </c>
      <c r="O719" s="314">
        <f>IF(I719="","",TRUNC((M719+N719),2))</f>
        <v>321.60000000000002</v>
      </c>
      <c r="P719" s="314"/>
      <c r="Q719" s="315"/>
      <c r="R719" s="315"/>
      <c r="S719" s="286"/>
      <c r="T719" s="287"/>
      <c r="U719" s="288" t="str">
        <f t="shared" si="390"/>
        <v/>
      </c>
      <c r="V719" s="287"/>
      <c r="W719" s="289" t="str">
        <f t="shared" si="391"/>
        <v/>
      </c>
      <c r="X719" s="287"/>
      <c r="Y719" s="290" t="str">
        <f t="shared" si="392"/>
        <v/>
      </c>
      <c r="Z719" s="291">
        <f ca="1">SUMIF($T$8:Y$1018,"QUANT.",T719:Y719)</f>
        <v>0</v>
      </c>
      <c r="AA719" s="292">
        <f t="shared" ca="1" si="393"/>
        <v>0</v>
      </c>
      <c r="AB719" s="293" t="str">
        <f t="shared" ca="1" si="394"/>
        <v>MEDIR</v>
      </c>
      <c r="AC719" s="294">
        <f t="shared" ca="1" si="395"/>
        <v>80</v>
      </c>
      <c r="AD719" s="294">
        <f t="shared" ca="1" si="396"/>
        <v>321.60000000000002</v>
      </c>
      <c r="AE719" s="295"/>
      <c r="AF719" s="295"/>
      <c r="AG719" s="296"/>
      <c r="AH719" s="296"/>
      <c r="AI719" s="296"/>
      <c r="AJ719" s="326"/>
      <c r="AK719" s="326"/>
      <c r="AL719" s="326"/>
      <c r="AM719" s="326"/>
    </row>
    <row r="720" spans="1:39" x14ac:dyDescent="0.25">
      <c r="A720" s="232">
        <f t="shared" si="418"/>
        <v>720</v>
      </c>
      <c r="B720" s="232"/>
      <c r="C720" s="307" t="str">
        <f>+C719</f>
        <v>16.3</v>
      </c>
      <c r="D720" s="308">
        <f>1+D719</f>
        <v>4</v>
      </c>
      <c r="E720" s="309" t="str">
        <f>C720&amp;"."&amp;D720</f>
        <v>16.3.4</v>
      </c>
      <c r="F720" s="310" t="s">
        <v>12352</v>
      </c>
      <c r="G720" s="311" t="str">
        <f>IF($F720="","",IFERROR(VLOOKUP($F720,SERVIÇOS!$B:$G,2,0),IFERROR(VLOOKUP($F720,'COMPOSIÇÕES COMPLEMENTARES '!$D:$L,2,0),IFERROR(VLOOKUP($F720,INSUMOS!$A:$D,2,0),""))))</f>
        <v>PINTURA EM ESMALTE SINTÉTICO AZUL-MARINHO PADRÃO MUNSELL 55 PB 2/4 EM LATA DE 3,6 LITROS</v>
      </c>
      <c r="H720" s="312" t="str">
        <f>IF($F720="","",IFERROR(VLOOKUP($F720,SERVIÇOS!$B:$G,3,0),IFERROR(VLOOKUP($F720,'COMPOSIÇÕES COMPLEMENTARES '!$D:$L,3,0),IFERROR(VLOOKUP($F720,INSUMOS!$A:$D,3,0),""))))</f>
        <v>M</v>
      </c>
      <c r="I720" s="313">
        <v>65</v>
      </c>
      <c r="J720" s="314">
        <f>IF($F720="","",IFERROR(VLOOKUP($F720,SERVIÇOS!$B:$G,4,0),IFERROR(VLOOKUP($F720,'COMPOSIÇÕES COMPLEMENTARES '!$D:$L,6,0),IFERROR(VLOOKUP($F720,INSUMOS!$A:$D,4,0),""))))</f>
        <v>2.0299999999999998</v>
      </c>
      <c r="K720" s="314">
        <f>IF($F720="","",IFERROR(VLOOKUP($F720,SERVIÇOS!$B:$G,5,0),IFERROR(VLOOKUP($F720,'COMPOSIÇÕES COMPLEMENTARES '!$D:$L,7,0),0)))</f>
        <v>1.99</v>
      </c>
      <c r="L720" s="314">
        <f>IF(I720="","",J720+K720)</f>
        <v>4.0199999999999996</v>
      </c>
      <c r="M720" s="314">
        <f>IF(I720="","",TRUNC((I720*J720),2))</f>
        <v>131.94999999999999</v>
      </c>
      <c r="N720" s="314">
        <f>IF(I720="","",TRUNC((I720*K720),2))</f>
        <v>129.35</v>
      </c>
      <c r="O720" s="314">
        <f>IF(I720="","",TRUNC((M720+N720),2))</f>
        <v>261.3</v>
      </c>
      <c r="P720" s="314"/>
      <c r="Q720" s="315"/>
      <c r="R720" s="315"/>
      <c r="S720" s="286"/>
      <c r="T720" s="287"/>
      <c r="U720" s="288" t="str">
        <f t="shared" si="390"/>
        <v/>
      </c>
      <c r="V720" s="287"/>
      <c r="W720" s="289" t="str">
        <f t="shared" si="391"/>
        <v/>
      </c>
      <c r="X720" s="287"/>
      <c r="Y720" s="290" t="str">
        <f t="shared" si="392"/>
        <v/>
      </c>
      <c r="Z720" s="291">
        <f ca="1">SUMIF($T$8:Y$1018,"QUANT.",T720:Y720)</f>
        <v>0</v>
      </c>
      <c r="AA720" s="292">
        <f t="shared" ca="1" si="393"/>
        <v>0</v>
      </c>
      <c r="AB720" s="293" t="str">
        <f t="shared" ca="1" si="394"/>
        <v>MEDIR</v>
      </c>
      <c r="AC720" s="294">
        <f t="shared" ca="1" si="395"/>
        <v>65</v>
      </c>
      <c r="AD720" s="294">
        <f t="shared" ca="1" si="396"/>
        <v>261.3</v>
      </c>
      <c r="AE720" s="295"/>
      <c r="AF720" s="295"/>
      <c r="AG720" s="296"/>
      <c r="AH720" s="296"/>
      <c r="AI720" s="296"/>
      <c r="AJ720" s="326"/>
      <c r="AK720" s="326"/>
      <c r="AL720" s="326"/>
      <c r="AM720" s="326"/>
    </row>
    <row r="721" spans="1:39" x14ac:dyDescent="0.25">
      <c r="A721" s="232">
        <f t="shared" si="418"/>
        <v>721</v>
      </c>
      <c r="B721" s="232"/>
      <c r="C721" s="316" t="str">
        <f>+E721</f>
        <v>16.4</v>
      </c>
      <c r="D721" s="297"/>
      <c r="E721" s="317" t="s">
        <v>12353</v>
      </c>
      <c r="F721" s="317"/>
      <c r="G721" s="327" t="s">
        <v>12354</v>
      </c>
      <c r="H721" s="317"/>
      <c r="I721" s="319"/>
      <c r="J721" s="317"/>
      <c r="K721" s="317"/>
      <c r="L721" s="317"/>
      <c r="M721" s="317"/>
      <c r="N721" s="317"/>
      <c r="O721" s="317"/>
      <c r="P721" s="317"/>
      <c r="Q721" s="320"/>
      <c r="R721" s="306"/>
      <c r="S721" s="286"/>
      <c r="T721" s="287"/>
      <c r="U721" s="288" t="str">
        <f t="shared" si="390"/>
        <v/>
      </c>
      <c r="V721" s="287"/>
      <c r="W721" s="289" t="str">
        <f t="shared" si="391"/>
        <v/>
      </c>
      <c r="X721" s="287"/>
      <c r="Y721" s="290" t="str">
        <f t="shared" si="392"/>
        <v/>
      </c>
      <c r="Z721" s="291">
        <f ca="1">SUMIF($T$8:Y$1018,"QUANT.",T721:Y721)</f>
        <v>0</v>
      </c>
      <c r="AA721" s="292">
        <f t="shared" ca="1" si="393"/>
        <v>0</v>
      </c>
      <c r="AB721" s="293" t="str">
        <f t="shared" si="394"/>
        <v/>
      </c>
      <c r="AC721" s="294">
        <f t="shared" ca="1" si="395"/>
        <v>0</v>
      </c>
      <c r="AD721" s="294">
        <f t="shared" ca="1" si="396"/>
        <v>0</v>
      </c>
      <c r="AE721" s="295"/>
      <c r="AF721" s="295"/>
      <c r="AG721" s="296"/>
      <c r="AH721" s="296"/>
      <c r="AI721" s="296"/>
      <c r="AJ721" s="326"/>
      <c r="AK721" s="326"/>
      <c r="AL721" s="326"/>
      <c r="AM721" s="326"/>
    </row>
    <row r="722" spans="1:39" x14ac:dyDescent="0.25">
      <c r="A722" s="232">
        <f t="shared" si="418"/>
        <v>722</v>
      </c>
      <c r="B722" s="232"/>
      <c r="C722" s="307" t="str">
        <f>+C721</f>
        <v>16.4</v>
      </c>
      <c r="D722" s="308">
        <f>1+D721</f>
        <v>1</v>
      </c>
      <c r="E722" s="309" t="str">
        <f>C722&amp;"."&amp;D722</f>
        <v>16.4.1</v>
      </c>
      <c r="F722" s="310" t="s">
        <v>12355</v>
      </c>
      <c r="G722" s="311" t="str">
        <f>IF($F722="","",IFERROR(VLOOKUP($F722,SERVIÇOS!$B:$G,2,0),IFERROR(VLOOKUP($F722,'COMPOSIÇÕES COMPLEMENTARES '!$D:$L,2,0),IFERROR(VLOOKUP($F722,INSUMOS!$A:$D,2,0),""))))</f>
        <v>EXECUÇÃO DE CANALETA DE CONCRETO CONFORME DETALHE DE PROJETO</v>
      </c>
      <c r="H722" s="312" t="str">
        <f>IF($F722="","",IFERROR(VLOOKUP($F722,SERVIÇOS!$B:$G,3,0),IFERROR(VLOOKUP($F722,'COMPOSIÇÕES COMPLEMENTARES '!$D:$L,3,0),IFERROR(VLOOKUP($F722,INSUMOS!$A:$D,3,0),""))))</f>
        <v>M</v>
      </c>
      <c r="I722" s="313">
        <v>41</v>
      </c>
      <c r="J722" s="314">
        <f>IF($F722="","",IFERROR(VLOOKUP($F722,SERVIÇOS!$B:$G,4,0),IFERROR(VLOOKUP($F722,'COMPOSIÇÕES COMPLEMENTARES '!$D:$L,6,0),IFERROR(VLOOKUP($F722,INSUMOS!$A:$D,4,0),""))))</f>
        <v>128.72999999999999</v>
      </c>
      <c r="K722" s="314">
        <f>IF($F722="","",IFERROR(VLOOKUP($F722,SERVIÇOS!$B:$G,5,0),IFERROR(VLOOKUP($F722,'COMPOSIÇÕES COMPLEMENTARES '!$D:$L,7,0),0)))</f>
        <v>138.62</v>
      </c>
      <c r="L722" s="314">
        <f>IF(I722="","",J722+K722)</f>
        <v>267.35000000000002</v>
      </c>
      <c r="M722" s="314">
        <f>IF(I722="","",TRUNC((I722*J722),2))</f>
        <v>5277.93</v>
      </c>
      <c r="N722" s="314">
        <f>IF(I722="","",TRUNC((I722*K722),2))</f>
        <v>5683.42</v>
      </c>
      <c r="O722" s="314">
        <f>IF(I722="","",TRUNC((M722+N722),2))</f>
        <v>10961.35</v>
      </c>
      <c r="P722" s="314"/>
      <c r="Q722" s="315"/>
      <c r="R722" s="315"/>
      <c r="S722" s="286"/>
      <c r="T722" s="287"/>
      <c r="U722" s="288" t="str">
        <f t="shared" si="390"/>
        <v/>
      </c>
      <c r="V722" s="287"/>
      <c r="W722" s="289" t="str">
        <f t="shared" si="391"/>
        <v/>
      </c>
      <c r="X722" s="287"/>
      <c r="Y722" s="290" t="str">
        <f t="shared" si="392"/>
        <v/>
      </c>
      <c r="Z722" s="291">
        <f ca="1">SUMIF($T$8:Y$1018,"QUANT.",T722:Y722)</f>
        <v>0</v>
      </c>
      <c r="AA722" s="292">
        <f t="shared" ca="1" si="393"/>
        <v>0</v>
      </c>
      <c r="AB722" s="293" t="str">
        <f t="shared" ca="1" si="394"/>
        <v>MEDIR</v>
      </c>
      <c r="AC722" s="294">
        <f t="shared" ca="1" si="395"/>
        <v>41</v>
      </c>
      <c r="AD722" s="294">
        <f t="shared" ca="1" si="396"/>
        <v>10961.35</v>
      </c>
      <c r="AE722" s="295"/>
      <c r="AF722" s="295"/>
      <c r="AG722" s="296"/>
      <c r="AH722" s="296"/>
      <c r="AI722" s="296"/>
      <c r="AJ722" s="326"/>
      <c r="AK722" s="326"/>
      <c r="AL722" s="326"/>
      <c r="AM722" s="326"/>
    </row>
    <row r="723" spans="1:39" x14ac:dyDescent="0.25">
      <c r="A723" s="232">
        <f t="shared" si="418"/>
        <v>723</v>
      </c>
      <c r="B723" s="232"/>
      <c r="C723" s="316" t="str">
        <f>+E723</f>
        <v>16.5</v>
      </c>
      <c r="D723" s="297"/>
      <c r="E723" s="317" t="s">
        <v>12356</v>
      </c>
      <c r="F723" s="317"/>
      <c r="G723" s="327" t="s">
        <v>12357</v>
      </c>
      <c r="H723" s="317"/>
      <c r="I723" s="319"/>
      <c r="J723" s="317"/>
      <c r="K723" s="317"/>
      <c r="L723" s="317"/>
      <c r="M723" s="317"/>
      <c r="N723" s="317"/>
      <c r="O723" s="317"/>
      <c r="P723" s="317"/>
      <c r="Q723" s="320"/>
      <c r="R723" s="306"/>
      <c r="S723" s="286"/>
      <c r="T723" s="287"/>
      <c r="U723" s="288" t="str">
        <f t="shared" si="390"/>
        <v/>
      </c>
      <c r="V723" s="287"/>
      <c r="W723" s="289" t="str">
        <f t="shared" si="391"/>
        <v/>
      </c>
      <c r="X723" s="287"/>
      <c r="Y723" s="290" t="str">
        <f t="shared" si="392"/>
        <v/>
      </c>
      <c r="Z723" s="291">
        <f ca="1">SUMIF($T$8:Y$1018,"QUANT.",T723:Y723)</f>
        <v>0</v>
      </c>
      <c r="AA723" s="292">
        <f t="shared" ca="1" si="393"/>
        <v>0</v>
      </c>
      <c r="AB723" s="293" t="str">
        <f t="shared" si="394"/>
        <v/>
      </c>
      <c r="AC723" s="294">
        <f t="shared" ca="1" si="395"/>
        <v>0</v>
      </c>
      <c r="AD723" s="294">
        <f t="shared" ca="1" si="396"/>
        <v>0</v>
      </c>
      <c r="AE723" s="295"/>
      <c r="AF723" s="295"/>
      <c r="AG723" s="296"/>
      <c r="AH723" s="296"/>
      <c r="AI723" s="296"/>
      <c r="AJ723" s="326"/>
      <c r="AK723" s="326"/>
      <c r="AL723" s="326"/>
      <c r="AM723" s="326"/>
    </row>
    <row r="724" spans="1:39" ht="25.5" x14ac:dyDescent="0.25">
      <c r="A724" s="232">
        <f t="shared" si="418"/>
        <v>724</v>
      </c>
      <c r="B724" s="232"/>
      <c r="C724" s="307" t="str">
        <f>+C723</f>
        <v>16.5</v>
      </c>
      <c r="D724" s="308">
        <f>1+D723</f>
        <v>1</v>
      </c>
      <c r="E724" s="309" t="str">
        <f>C724&amp;"."&amp;D724</f>
        <v>16.5.1</v>
      </c>
      <c r="F724" s="310" t="s">
        <v>12358</v>
      </c>
      <c r="G724" s="311" t="str">
        <f>IF($F724="","",IFERROR(VLOOKUP($F724,SERVIÇOS!$B:$G,2,0),IFERROR(VLOOKUP($F724,'COMPOSIÇÕES COMPLEMENTARES '!$D:$L,2,0),IFERROR(VLOOKUP($F724,INSUMOS!$A:$D,2,0),""))))</f>
        <v>CAIXA PARA VÁLVULAS DE SEÇÃO DE GASES MEDICINAIS, 365 MM X 125 MM X 235 MM (COMPRIMENTO X PROFUNDIDADE X ALTURA), METÁLICA COM TAMPA ACRÍLICA PARA 01 VÁLVULA DE GÁS MEDICINAL.</v>
      </c>
      <c r="H724" s="312" t="str">
        <f>IF($F724="","",IFERROR(VLOOKUP($F724,SERVIÇOS!$B:$G,3,0),IFERROR(VLOOKUP($F724,'COMPOSIÇÕES COMPLEMENTARES '!$D:$L,3,0),IFERROR(VLOOKUP($F724,INSUMOS!$A:$D,3,0),""))))</f>
        <v>UN</v>
      </c>
      <c r="I724" s="313">
        <v>1</v>
      </c>
      <c r="J724" s="314">
        <f>IF($F724="","",IFERROR(VLOOKUP($F724,SERVIÇOS!$B:$G,4,0),IFERROR(VLOOKUP($F724,'COMPOSIÇÕES COMPLEMENTARES '!$D:$L,6,0),IFERROR(VLOOKUP($F724,INSUMOS!$A:$D,4,0),""))))</f>
        <v>200.93</v>
      </c>
      <c r="K724" s="314">
        <f>IF($F724="","",IFERROR(VLOOKUP($F724,SERVIÇOS!$B:$G,5,0),IFERROR(VLOOKUP($F724,'COMPOSIÇÕES COMPLEMENTARES '!$D:$L,7,0),0)))</f>
        <v>24.3</v>
      </c>
      <c r="L724" s="314">
        <f>IF(I724="","",J724+K724)</f>
        <v>225.23000000000002</v>
      </c>
      <c r="M724" s="314">
        <f>IF(I724="","",TRUNC((I724*J724),2))</f>
        <v>200.93</v>
      </c>
      <c r="N724" s="314">
        <f>IF(I724="","",TRUNC((I724*K724),2))</f>
        <v>24.3</v>
      </c>
      <c r="O724" s="314">
        <f>IF(I724="","",TRUNC((M724+N724),2))</f>
        <v>225.23</v>
      </c>
      <c r="P724" s="314"/>
      <c r="Q724" s="315"/>
      <c r="R724" s="315"/>
      <c r="S724" s="286"/>
      <c r="T724" s="287"/>
      <c r="U724" s="288" t="str">
        <f t="shared" si="390"/>
        <v/>
      </c>
      <c r="V724" s="287"/>
      <c r="W724" s="289" t="str">
        <f t="shared" si="391"/>
        <v/>
      </c>
      <c r="X724" s="287"/>
      <c r="Y724" s="290" t="str">
        <f t="shared" si="392"/>
        <v/>
      </c>
      <c r="Z724" s="291">
        <f ca="1">SUMIF($T$8:Y$1018,"QUANT.",T724:Y724)</f>
        <v>0</v>
      </c>
      <c r="AA724" s="292">
        <f t="shared" ca="1" si="393"/>
        <v>0</v>
      </c>
      <c r="AB724" s="293" t="str">
        <f t="shared" ca="1" si="394"/>
        <v>MEDIR</v>
      </c>
      <c r="AC724" s="294">
        <f t="shared" ca="1" si="395"/>
        <v>1</v>
      </c>
      <c r="AD724" s="294">
        <f t="shared" ca="1" si="396"/>
        <v>225.23</v>
      </c>
      <c r="AE724" s="295"/>
      <c r="AF724" s="295"/>
      <c r="AG724" s="296"/>
      <c r="AH724" s="296"/>
      <c r="AI724" s="296"/>
      <c r="AJ724" s="326"/>
      <c r="AK724" s="326"/>
      <c r="AL724" s="326"/>
      <c r="AM724" s="326"/>
    </row>
    <row r="725" spans="1:39" ht="25.5" x14ac:dyDescent="0.25">
      <c r="A725" s="232">
        <f t="shared" si="418"/>
        <v>725</v>
      </c>
      <c r="B725" s="232"/>
      <c r="C725" s="307" t="str">
        <f>+C724</f>
        <v>16.5</v>
      </c>
      <c r="D725" s="308">
        <f>1+D724</f>
        <v>2</v>
      </c>
      <c r="E725" s="309" t="str">
        <f>C725&amp;"."&amp;D725</f>
        <v>16.5.2</v>
      </c>
      <c r="F725" s="310" t="s">
        <v>12359</v>
      </c>
      <c r="G725" s="311" t="str">
        <f>IF($F725="","",IFERROR(VLOOKUP($F725,SERVIÇOS!$B:$G,2,0),IFERROR(VLOOKUP($F725,'COMPOSIÇÕES COMPLEMENTARES '!$D:$L,2,0),IFERROR(VLOOKUP($F725,INSUMOS!$A:$D,2,0),""))))</f>
        <v>CAIXA PARA VÁLVULAS DE SEÇÃO DE GASES MEDICINAIS, 365 MM X 125 MM X 385 MM (COMPRIMENTO X PROFUNDIDADE X ALTURA), METÁLICA COM TAMPA ACRÍLICA PARA 02 VÁLVULAS DE GÁS MEDICINAL.</v>
      </c>
      <c r="H725" s="312" t="str">
        <f>IF($F725="","",IFERROR(VLOOKUP($F725,SERVIÇOS!$B:$G,3,0),IFERROR(VLOOKUP($F725,'COMPOSIÇÕES COMPLEMENTARES '!$D:$L,3,0),IFERROR(VLOOKUP($F725,INSUMOS!$A:$D,3,0),""))))</f>
        <v>UN</v>
      </c>
      <c r="I725" s="313">
        <v>1</v>
      </c>
      <c r="J725" s="314">
        <f>IF($F725="","",IFERROR(VLOOKUP($F725,SERVIÇOS!$B:$G,4,0),IFERROR(VLOOKUP($F725,'COMPOSIÇÕES COMPLEMENTARES '!$D:$L,6,0),IFERROR(VLOOKUP($F725,INSUMOS!$A:$D,4,0),""))))</f>
        <v>323.68</v>
      </c>
      <c r="K725" s="314">
        <f>IF($F725="","",IFERROR(VLOOKUP($F725,SERVIÇOS!$B:$G,5,0),IFERROR(VLOOKUP($F725,'COMPOSIÇÕES COMPLEMENTARES '!$D:$L,7,0),0)))</f>
        <v>24.3</v>
      </c>
      <c r="L725" s="314">
        <f>IF(I725="","",J725+K725)</f>
        <v>347.98</v>
      </c>
      <c r="M725" s="314">
        <f>IF(I725="","",TRUNC((I725*J725),2))</f>
        <v>323.68</v>
      </c>
      <c r="N725" s="314">
        <f>IF(I725="","",TRUNC((I725*K725),2))</f>
        <v>24.3</v>
      </c>
      <c r="O725" s="314">
        <f>IF(I725="","",TRUNC((M725+N725),2))</f>
        <v>347.98</v>
      </c>
      <c r="P725" s="314"/>
      <c r="Q725" s="315"/>
      <c r="R725" s="315"/>
      <c r="S725" s="286"/>
      <c r="T725" s="287"/>
      <c r="U725" s="288" t="str">
        <f t="shared" si="390"/>
        <v/>
      </c>
      <c r="V725" s="287"/>
      <c r="W725" s="289" t="str">
        <f t="shared" si="391"/>
        <v/>
      </c>
      <c r="X725" s="287"/>
      <c r="Y725" s="290" t="str">
        <f t="shared" si="392"/>
        <v/>
      </c>
      <c r="Z725" s="291">
        <f ca="1">SUMIF($T$8:Y$1018,"QUANT.",T725:Y725)</f>
        <v>0</v>
      </c>
      <c r="AA725" s="292">
        <f t="shared" ca="1" si="393"/>
        <v>0</v>
      </c>
      <c r="AB725" s="293" t="str">
        <f t="shared" ca="1" si="394"/>
        <v>MEDIR</v>
      </c>
      <c r="AC725" s="294">
        <f t="shared" ca="1" si="395"/>
        <v>1</v>
      </c>
      <c r="AD725" s="294">
        <f t="shared" ca="1" si="396"/>
        <v>347.98</v>
      </c>
      <c r="AE725" s="295"/>
      <c r="AF725" s="295"/>
      <c r="AG725" s="296"/>
      <c r="AH725" s="296"/>
      <c r="AI725" s="296"/>
      <c r="AJ725" s="326"/>
      <c r="AK725" s="326"/>
      <c r="AL725" s="326"/>
      <c r="AM725" s="326"/>
    </row>
    <row r="726" spans="1:39" ht="25.5" x14ac:dyDescent="0.25">
      <c r="A726" s="232">
        <f t="shared" si="418"/>
        <v>726</v>
      </c>
      <c r="B726" s="232"/>
      <c r="C726" s="307" t="str">
        <f>+C725</f>
        <v>16.5</v>
      </c>
      <c r="D726" s="308">
        <f>1+D725</f>
        <v>3</v>
      </c>
      <c r="E726" s="309" t="str">
        <f>C726&amp;"."&amp;D726</f>
        <v>16.5.3</v>
      </c>
      <c r="F726" s="310" t="s">
        <v>12360</v>
      </c>
      <c r="G726" s="311" t="str">
        <f>IF($F726="","",IFERROR(VLOOKUP($F726,SERVIÇOS!$B:$G,2,0),IFERROR(VLOOKUP($F726,'COMPOSIÇÕES COMPLEMENTARES '!$D:$L,2,0),IFERROR(VLOOKUP($F726,INSUMOS!$A:$D,2,0),""))))</f>
        <v>CAIXA PARA VÁLVULAS DE SEÇÃO DE GASES MEDICINAIS, 365 MM X 125 MM X 535 MM (COMPRIMENTO X PROFUNDIDADE X ALTURA), METÁLICA COM TAMPA ACRÍLICA PARA 03 VÁLVULAS DE GÁS MEDICINAL.</v>
      </c>
      <c r="H726" s="312" t="str">
        <f>IF($F726="","",IFERROR(VLOOKUP($F726,SERVIÇOS!$B:$G,3,0),IFERROR(VLOOKUP($F726,'COMPOSIÇÕES COMPLEMENTARES '!$D:$L,3,0),IFERROR(VLOOKUP($F726,INSUMOS!$A:$D,3,0),""))))</f>
        <v>UN</v>
      </c>
      <c r="I726" s="313">
        <v>4</v>
      </c>
      <c r="J726" s="314">
        <f>IF($F726="","",IFERROR(VLOOKUP($F726,SERVIÇOS!$B:$G,4,0),IFERROR(VLOOKUP($F726,'COMPOSIÇÕES COMPLEMENTARES '!$D:$L,6,0),IFERROR(VLOOKUP($F726,INSUMOS!$A:$D,4,0),""))))</f>
        <v>446.42</v>
      </c>
      <c r="K726" s="314">
        <f>IF($F726="","",IFERROR(VLOOKUP($F726,SERVIÇOS!$B:$G,5,0),IFERROR(VLOOKUP($F726,'COMPOSIÇÕES COMPLEMENTARES '!$D:$L,7,0),0)))</f>
        <v>24.3</v>
      </c>
      <c r="L726" s="314">
        <f>IF(I726="","",J726+K726)</f>
        <v>470.72</v>
      </c>
      <c r="M726" s="314">
        <f>IF(I726="","",TRUNC((I726*J726),2))</f>
        <v>1785.68</v>
      </c>
      <c r="N726" s="314">
        <f>IF(I726="","",TRUNC((I726*K726),2))</f>
        <v>97.2</v>
      </c>
      <c r="O726" s="314">
        <f>IF(I726="","",TRUNC((M726+N726),2))</f>
        <v>1882.88</v>
      </c>
      <c r="P726" s="314"/>
      <c r="Q726" s="315"/>
      <c r="R726" s="315"/>
      <c r="S726" s="286"/>
      <c r="T726" s="287"/>
      <c r="U726" s="288" t="str">
        <f t="shared" si="390"/>
        <v/>
      </c>
      <c r="V726" s="287"/>
      <c r="W726" s="289" t="str">
        <f t="shared" si="391"/>
        <v/>
      </c>
      <c r="X726" s="287"/>
      <c r="Y726" s="290" t="str">
        <f t="shared" si="392"/>
        <v/>
      </c>
      <c r="Z726" s="291">
        <f ca="1">SUMIF($T$8:Y$1018,"QUANT.",T726:Y726)</f>
        <v>0</v>
      </c>
      <c r="AA726" s="292">
        <f t="shared" ca="1" si="393"/>
        <v>0</v>
      </c>
      <c r="AB726" s="293" t="str">
        <f t="shared" ca="1" si="394"/>
        <v>MEDIR</v>
      </c>
      <c r="AC726" s="294">
        <f t="shared" ca="1" si="395"/>
        <v>4</v>
      </c>
      <c r="AD726" s="294">
        <f t="shared" ca="1" si="396"/>
        <v>1882.88</v>
      </c>
      <c r="AE726" s="295"/>
      <c r="AF726" s="295"/>
      <c r="AG726" s="296"/>
      <c r="AH726" s="296"/>
      <c r="AI726" s="296"/>
      <c r="AJ726" s="326"/>
      <c r="AK726" s="326"/>
      <c r="AL726" s="326"/>
      <c r="AM726" s="326"/>
    </row>
    <row r="727" spans="1:39" ht="25.5" x14ac:dyDescent="0.25">
      <c r="A727" s="232">
        <f t="shared" si="418"/>
        <v>727</v>
      </c>
      <c r="B727" s="232"/>
      <c r="C727" s="316" t="str">
        <f>+E727</f>
        <v>16.6</v>
      </c>
      <c r="D727" s="297"/>
      <c r="E727" s="317" t="s">
        <v>12361</v>
      </c>
      <c r="F727" s="317"/>
      <c r="G727" s="327" t="s">
        <v>12362</v>
      </c>
      <c r="H727" s="317"/>
      <c r="I727" s="319"/>
      <c r="J727" s="317"/>
      <c r="K727" s="317"/>
      <c r="L727" s="317"/>
      <c r="M727" s="317"/>
      <c r="N727" s="317"/>
      <c r="O727" s="317"/>
      <c r="P727" s="317"/>
      <c r="Q727" s="320"/>
      <c r="R727" s="306"/>
      <c r="S727" s="286"/>
      <c r="T727" s="287"/>
      <c r="U727" s="288" t="str">
        <f t="shared" si="390"/>
        <v/>
      </c>
      <c r="V727" s="287"/>
      <c r="W727" s="289" t="str">
        <f t="shared" si="391"/>
        <v/>
      </c>
      <c r="X727" s="287"/>
      <c r="Y727" s="290" t="str">
        <f t="shared" si="392"/>
        <v/>
      </c>
      <c r="Z727" s="291">
        <f ca="1">SUMIF($T$8:Y$1018,"QUANT.",T727:Y727)</f>
        <v>0</v>
      </c>
      <c r="AA727" s="292">
        <f t="shared" ca="1" si="393"/>
        <v>0</v>
      </c>
      <c r="AB727" s="293" t="str">
        <f t="shared" si="394"/>
        <v/>
      </c>
      <c r="AC727" s="294">
        <f t="shared" ca="1" si="395"/>
        <v>0</v>
      </c>
      <c r="AD727" s="294">
        <f t="shared" ca="1" si="396"/>
        <v>0</v>
      </c>
      <c r="AE727" s="295"/>
      <c r="AF727" s="295"/>
      <c r="AG727" s="296"/>
      <c r="AH727" s="296"/>
      <c r="AI727" s="296"/>
      <c r="AJ727" s="326"/>
      <c r="AK727" s="326"/>
      <c r="AL727" s="326"/>
      <c r="AM727" s="326"/>
    </row>
    <row r="728" spans="1:39" ht="51" x14ac:dyDescent="0.25">
      <c r="A728" s="232">
        <f t="shared" si="418"/>
        <v>728</v>
      </c>
      <c r="B728" s="232"/>
      <c r="C728" s="307" t="str">
        <f>+C727</f>
        <v>16.6</v>
      </c>
      <c r="D728" s="308">
        <f>1+D727</f>
        <v>1</v>
      </c>
      <c r="E728" s="309" t="str">
        <f>C728&amp;"."&amp;D728</f>
        <v>16.6.1</v>
      </c>
      <c r="F728" s="310" t="s">
        <v>12363</v>
      </c>
      <c r="G728" s="311" t="str">
        <f>IF($F728="","",IFERROR(VLOOKUP($F728,SERVIÇOS!$B:$G,2,0),IFERROR(VLOOKUP($F728,'COMPOSIÇÕES COMPLEMENTARES '!$D:$L,2,0),IFERROR(VLOOKUP($F728,INSUMOS!$A:$D,2,0),""))))</f>
        <v>VÁLVULA DE SEÇÃO (BLOQUEIO) PARA GÁSMEDICINAL  OU VÁCUO CLÍNICO Ø1/2" ROSCA FÊMEA NPT, DO TIPO ESFERA, TRIPARTIDA, DE PASSAGEM PLENA, FECHAMENTO RÁPIDO COM CORPO EM LATÃO FORJADO E ESFERA DE AÇO INOXIDÁVEL. QUIMICAMENTE COMPATÍVEL COM O GÁS CONDUZIDO E CAPAZ DE SUPORTAR PRESSÕES SUPERIORES A 20 KGF/CM² (CLASSE 300 PSI).</v>
      </c>
      <c r="H728" s="312" t="str">
        <f>IF($F728="","",IFERROR(VLOOKUP($F728,SERVIÇOS!$B:$G,3,0),IFERROR(VLOOKUP($F728,'COMPOSIÇÕES COMPLEMENTARES '!$D:$L,3,0),IFERROR(VLOOKUP($F728,INSUMOS!$A:$D,3,0),""))))</f>
        <v>UN</v>
      </c>
      <c r="I728" s="313">
        <v>9</v>
      </c>
      <c r="J728" s="314">
        <f>IF($F728="","",IFERROR(VLOOKUP($F728,SERVIÇOS!$B:$G,4,0),IFERROR(VLOOKUP($F728,'COMPOSIÇÕES COMPLEMENTARES '!$D:$L,6,0),IFERROR(VLOOKUP($F728,INSUMOS!$A:$D,4,0),""))))</f>
        <v>98.26</v>
      </c>
      <c r="K728" s="314">
        <f>IF($F728="","",IFERROR(VLOOKUP($F728,SERVIÇOS!$B:$G,5,0),IFERROR(VLOOKUP($F728,'COMPOSIÇÕES COMPLEMENTARES '!$D:$L,7,0),0)))</f>
        <v>21.86</v>
      </c>
      <c r="L728" s="314">
        <f>IF(I728="","",J728+K728)</f>
        <v>120.12</v>
      </c>
      <c r="M728" s="314">
        <f>IF(I728="","",TRUNC((I728*J728),2))</f>
        <v>884.34</v>
      </c>
      <c r="N728" s="314">
        <f>IF(I728="","",TRUNC((I728*K728),2))</f>
        <v>196.74</v>
      </c>
      <c r="O728" s="314">
        <f>IF(I728="","",TRUNC((M728+N728),2))</f>
        <v>1081.08</v>
      </c>
      <c r="P728" s="314"/>
      <c r="Q728" s="315"/>
      <c r="R728" s="315"/>
      <c r="S728" s="286"/>
      <c r="T728" s="287"/>
      <c r="U728" s="288" t="str">
        <f t="shared" si="390"/>
        <v/>
      </c>
      <c r="V728" s="287"/>
      <c r="W728" s="289" t="str">
        <f t="shared" si="391"/>
        <v/>
      </c>
      <c r="X728" s="287"/>
      <c r="Y728" s="290" t="str">
        <f t="shared" si="392"/>
        <v/>
      </c>
      <c r="Z728" s="291">
        <f ca="1">SUMIF($T$8:Y$1018,"QUANT.",T728:Y728)</f>
        <v>0</v>
      </c>
      <c r="AA728" s="292">
        <f t="shared" ca="1" si="393"/>
        <v>0</v>
      </c>
      <c r="AB728" s="293" t="str">
        <f t="shared" ca="1" si="394"/>
        <v>MEDIR</v>
      </c>
      <c r="AC728" s="294">
        <f t="shared" ca="1" si="395"/>
        <v>9</v>
      </c>
      <c r="AD728" s="294">
        <f t="shared" ca="1" si="396"/>
        <v>1081.08</v>
      </c>
      <c r="AE728" s="295"/>
      <c r="AF728" s="295"/>
      <c r="AG728" s="296"/>
      <c r="AH728" s="296"/>
      <c r="AI728" s="296"/>
      <c r="AJ728" s="326"/>
      <c r="AK728" s="326"/>
      <c r="AL728" s="326"/>
      <c r="AM728" s="326"/>
    </row>
    <row r="729" spans="1:39" ht="51" x14ac:dyDescent="0.25">
      <c r="A729" s="232">
        <f t="shared" si="418"/>
        <v>729</v>
      </c>
      <c r="B729" s="232"/>
      <c r="C729" s="307" t="str">
        <f>+C728</f>
        <v>16.6</v>
      </c>
      <c r="D729" s="308">
        <f>1+D728</f>
        <v>2</v>
      </c>
      <c r="E729" s="309" t="str">
        <f>C729&amp;"."&amp;D729</f>
        <v>16.6.2</v>
      </c>
      <c r="F729" s="310" t="s">
        <v>12364</v>
      </c>
      <c r="G729" s="311" t="str">
        <f>IF($F729="","",IFERROR(VLOOKUP($F729,SERVIÇOS!$B:$G,2,0),IFERROR(VLOOKUP($F729,'COMPOSIÇÕES COMPLEMENTARES '!$D:$L,2,0),IFERROR(VLOOKUP($F729,INSUMOS!$A:$D,2,0),""))))</f>
        <v>VÁLVULA DE SEÇÃO (BLOQUEIO) PARA GÁSMEDICINAL  OU VÁCUO CLÍNICO Ø3/4" ROSCA FÊMEA NPT, DO TIPO ESFERA, TRIPARTIDA, DE PASSAGEM PLENA, FECHAMENTO RÁPIDO COM CORPO EM LATÃO FORJADO E ESFERA DE AÇO INOXIDÁVEL. QUIMICAMENTE COMPATÍVEL COM O GÁS CONDUZIDO E CAPAZ DE SUPORTAR PRESSÕES SUPERIORES A 20 KGF/CM² (CLASSE 300 PSI).</v>
      </c>
      <c r="H729" s="312" t="str">
        <f>IF($F729="","",IFERROR(VLOOKUP($F729,SERVIÇOS!$B:$G,3,0),IFERROR(VLOOKUP($F729,'COMPOSIÇÕES COMPLEMENTARES '!$D:$L,3,0),IFERROR(VLOOKUP($F729,INSUMOS!$A:$D,3,0),""))))</f>
        <v>UN</v>
      </c>
      <c r="I729" s="313">
        <v>7</v>
      </c>
      <c r="J729" s="314">
        <f>IF($F729="","",IFERROR(VLOOKUP($F729,SERVIÇOS!$B:$G,4,0),IFERROR(VLOOKUP($F729,'COMPOSIÇÕES COMPLEMENTARES '!$D:$L,6,0),IFERROR(VLOOKUP($F729,INSUMOS!$A:$D,4,0),""))))</f>
        <v>127.41</v>
      </c>
      <c r="K729" s="314">
        <f>IF($F729="","",IFERROR(VLOOKUP($F729,SERVIÇOS!$B:$G,5,0),IFERROR(VLOOKUP($F729,'COMPOSIÇÕES COMPLEMENTARES '!$D:$L,7,0),0)))</f>
        <v>21.86</v>
      </c>
      <c r="L729" s="314">
        <f>IF(I729="","",J729+K729)</f>
        <v>149.26999999999998</v>
      </c>
      <c r="M729" s="314">
        <f>IF(I729="","",TRUNC((I729*J729),2))</f>
        <v>891.87</v>
      </c>
      <c r="N729" s="314">
        <f>IF(I729="","",TRUNC((I729*K729),2))</f>
        <v>153.02000000000001</v>
      </c>
      <c r="O729" s="314">
        <f>IF(I729="","",TRUNC((M729+N729),2))</f>
        <v>1044.8900000000001</v>
      </c>
      <c r="P729" s="314"/>
      <c r="Q729" s="315"/>
      <c r="R729" s="315"/>
      <c r="S729" s="286"/>
      <c r="T729" s="287"/>
      <c r="U729" s="288" t="str">
        <f t="shared" si="390"/>
        <v/>
      </c>
      <c r="V729" s="287"/>
      <c r="W729" s="289" t="str">
        <f t="shared" si="391"/>
        <v/>
      </c>
      <c r="X729" s="287"/>
      <c r="Y729" s="290" t="str">
        <f t="shared" si="392"/>
        <v/>
      </c>
      <c r="Z729" s="291">
        <f ca="1">SUMIF($T$8:Y$1018,"QUANT.",T729:Y729)</f>
        <v>0</v>
      </c>
      <c r="AA729" s="292">
        <f t="shared" ca="1" si="393"/>
        <v>0</v>
      </c>
      <c r="AB729" s="293" t="str">
        <f t="shared" ca="1" si="394"/>
        <v>MEDIR</v>
      </c>
      <c r="AC729" s="294">
        <f t="shared" ca="1" si="395"/>
        <v>7</v>
      </c>
      <c r="AD729" s="294">
        <f t="shared" ca="1" si="396"/>
        <v>1044.8900000000001</v>
      </c>
      <c r="AE729" s="295"/>
      <c r="AF729" s="295"/>
      <c r="AG729" s="296"/>
      <c r="AH729" s="296"/>
      <c r="AI729" s="296"/>
      <c r="AJ729" s="326"/>
      <c r="AK729" s="326"/>
      <c r="AL729" s="326"/>
      <c r="AM729" s="326"/>
    </row>
    <row r="730" spans="1:39" ht="51" x14ac:dyDescent="0.25">
      <c r="A730" s="232">
        <f t="shared" si="418"/>
        <v>730</v>
      </c>
      <c r="B730" s="232"/>
      <c r="C730" s="307" t="str">
        <f>+C729</f>
        <v>16.6</v>
      </c>
      <c r="D730" s="308">
        <f>1+D729</f>
        <v>3</v>
      </c>
      <c r="E730" s="309" t="str">
        <f>C730&amp;"."&amp;D730</f>
        <v>16.6.3</v>
      </c>
      <c r="F730" s="310" t="s">
        <v>12365</v>
      </c>
      <c r="G730" s="311" t="str">
        <f>IF($F730="","",IFERROR(VLOOKUP($F730,SERVIÇOS!$B:$G,2,0),IFERROR(VLOOKUP($F730,'COMPOSIÇÕES COMPLEMENTARES '!$D:$L,2,0),IFERROR(VLOOKUP($F730,INSUMOS!$A:$D,2,0),""))))</f>
        <v>VÁLVULA DE SEÇÃO (BLOQUEIO) PARA GÁSMEDICINAL  OU VÁCUO CLÍNICO Ø1" ROSCA FÊMEA NPT, DO TIPO ESFERA, TRIPARTIDA, DE PASSAGEM PLENA, FECHAMENTO RÁPIDO COM CORPO EM LATÃO FORJADO E ESFERA DE AÇO INOXIDÁVEL. QUIMICAMENTE COMPATÍVEL COM O GÁS CONDUZIDO E CAPAZ DE SUPORTAR PRESSÕES SUPERIORES A 20 KGF/CM² (CLASSE 300 PSI).</v>
      </c>
      <c r="H730" s="312" t="str">
        <f>IF($F730="","",IFERROR(VLOOKUP($F730,SERVIÇOS!$B:$G,3,0),IFERROR(VLOOKUP($F730,'COMPOSIÇÕES COMPLEMENTARES '!$D:$L,3,0),IFERROR(VLOOKUP($F730,INSUMOS!$A:$D,3,0),""))))</f>
        <v>UN</v>
      </c>
      <c r="I730" s="313">
        <v>2</v>
      </c>
      <c r="J730" s="314">
        <f>IF($F730="","",IFERROR(VLOOKUP($F730,SERVIÇOS!$B:$G,4,0),IFERROR(VLOOKUP($F730,'COMPOSIÇÕES COMPLEMENTARES '!$D:$L,6,0),IFERROR(VLOOKUP($F730,INSUMOS!$A:$D,4,0),""))))</f>
        <v>181.22</v>
      </c>
      <c r="K730" s="314">
        <f>IF($F730="","",IFERROR(VLOOKUP($F730,SERVIÇOS!$B:$G,5,0),IFERROR(VLOOKUP($F730,'COMPOSIÇÕES COMPLEMENTARES '!$D:$L,7,0),0)))</f>
        <v>21.86</v>
      </c>
      <c r="L730" s="314">
        <f>IF(I730="","",J730+K730)</f>
        <v>203.07999999999998</v>
      </c>
      <c r="M730" s="314">
        <f>IF(I730="","",TRUNC((I730*J730),2))</f>
        <v>362.44</v>
      </c>
      <c r="N730" s="314">
        <f>IF(I730="","",TRUNC((I730*K730),2))</f>
        <v>43.72</v>
      </c>
      <c r="O730" s="314">
        <f>IF(I730="","",TRUNC((M730+N730),2))</f>
        <v>406.16</v>
      </c>
      <c r="P730" s="314"/>
      <c r="Q730" s="315"/>
      <c r="R730" s="315"/>
      <c r="S730" s="286"/>
      <c r="T730" s="287"/>
      <c r="U730" s="288" t="str">
        <f t="shared" si="390"/>
        <v/>
      </c>
      <c r="V730" s="287"/>
      <c r="W730" s="289" t="str">
        <f t="shared" si="391"/>
        <v/>
      </c>
      <c r="X730" s="287"/>
      <c r="Y730" s="290" t="str">
        <f t="shared" si="392"/>
        <v/>
      </c>
      <c r="Z730" s="291">
        <f ca="1">SUMIF($T$8:Y$1018,"QUANT.",T730:Y730)</f>
        <v>0</v>
      </c>
      <c r="AA730" s="292">
        <f t="shared" ca="1" si="393"/>
        <v>0</v>
      </c>
      <c r="AB730" s="293" t="str">
        <f t="shared" ca="1" si="394"/>
        <v>MEDIR</v>
      </c>
      <c r="AC730" s="294">
        <f t="shared" ca="1" si="395"/>
        <v>2</v>
      </c>
      <c r="AD730" s="294">
        <f t="shared" ca="1" si="396"/>
        <v>406.16</v>
      </c>
      <c r="AE730" s="295"/>
      <c r="AF730" s="295"/>
      <c r="AG730" s="296"/>
      <c r="AH730" s="296"/>
      <c r="AI730" s="296"/>
      <c r="AJ730" s="326"/>
      <c r="AK730" s="326"/>
      <c r="AL730" s="326"/>
      <c r="AM730" s="326"/>
    </row>
    <row r="731" spans="1:39" x14ac:dyDescent="0.25">
      <c r="A731" s="232">
        <f t="shared" si="418"/>
        <v>731</v>
      </c>
      <c r="B731" s="232"/>
      <c r="C731" s="316" t="str">
        <f>+E731</f>
        <v>16.7</v>
      </c>
      <c r="D731" s="297"/>
      <c r="E731" s="317" t="s">
        <v>12366</v>
      </c>
      <c r="F731" s="317"/>
      <c r="G731" s="327" t="s">
        <v>12367</v>
      </c>
      <c r="H731" s="317"/>
      <c r="I731" s="319"/>
      <c r="J731" s="317"/>
      <c r="K731" s="317"/>
      <c r="L731" s="317"/>
      <c r="M731" s="317"/>
      <c r="N731" s="317"/>
      <c r="O731" s="317"/>
      <c r="P731" s="317"/>
      <c r="Q731" s="320"/>
      <c r="R731" s="306"/>
      <c r="S731" s="286"/>
      <c r="T731" s="287"/>
      <c r="U731" s="288" t="str">
        <f t="shared" si="390"/>
        <v/>
      </c>
      <c r="V731" s="287"/>
      <c r="W731" s="289" t="str">
        <f t="shared" si="391"/>
        <v/>
      </c>
      <c r="X731" s="287"/>
      <c r="Y731" s="290" t="str">
        <f t="shared" si="392"/>
        <v/>
      </c>
      <c r="Z731" s="291">
        <f ca="1">SUMIF($T$8:Y$1018,"QUANT.",T731:Y731)</f>
        <v>0</v>
      </c>
      <c r="AA731" s="292">
        <f t="shared" ca="1" si="393"/>
        <v>0</v>
      </c>
      <c r="AB731" s="293" t="str">
        <f t="shared" si="394"/>
        <v/>
      </c>
      <c r="AC731" s="294">
        <f t="shared" ca="1" si="395"/>
        <v>0</v>
      </c>
      <c r="AD731" s="294">
        <f t="shared" ca="1" si="396"/>
        <v>0</v>
      </c>
      <c r="AE731" s="295"/>
      <c r="AF731" s="295"/>
      <c r="AG731" s="296"/>
      <c r="AH731" s="296"/>
      <c r="AI731" s="296"/>
      <c r="AJ731" s="326"/>
      <c r="AK731" s="326"/>
      <c r="AL731" s="326"/>
      <c r="AM731" s="326"/>
    </row>
    <row r="732" spans="1:39" ht="51" x14ac:dyDescent="0.25">
      <c r="A732" s="232">
        <f t="shared" si="418"/>
        <v>732</v>
      </c>
      <c r="B732" s="232"/>
      <c r="C732" s="307" t="str">
        <f>+C731</f>
        <v>16.7</v>
      </c>
      <c r="D732" s="308">
        <f>1+D731</f>
        <v>1</v>
      </c>
      <c r="E732" s="309" t="str">
        <f>C732&amp;"."&amp;D732</f>
        <v>16.7.1</v>
      </c>
      <c r="F732" s="310" t="s">
        <v>12368</v>
      </c>
      <c r="G732" s="311" t="str">
        <f>IF($F732="","",IFERROR(VLOOKUP($F732,SERVIÇOS!$B:$G,2,0),IFERROR(VLOOKUP($F732,'COMPOSIÇÕES COMPLEMENTARES '!$D:$L,2,0),IFERROR(VLOOKUP($F732,INSUMOS!$A:$D,2,0),""))))</f>
        <v>TOMADA/POSTO DE CONSUMO DE PAREDE PARA AR COMPRIMIDO MEDICINAL COM TARUGO INTERNO EMBUTIDO, VÁLVULA AUTOVEDANTE, PINO DE IMPACTO, CANOPLA EM MATERIAL PLÁSTICO DE ABS E ETIQUETA DE IDENTIFICAÇÃO DO POSTO - FORNECIMENTO E INSTALAÇÃO. REF: PROTEC, WHITE MARTINS, UNITEC HOSPITALAR, AIR LIQUIDE, VALMIG</v>
      </c>
      <c r="H732" s="312" t="str">
        <f>IF($F732="","",IFERROR(VLOOKUP($F732,SERVIÇOS!$B:$G,3,0),IFERROR(VLOOKUP($F732,'COMPOSIÇÕES COMPLEMENTARES '!$D:$L,3,0),IFERROR(VLOOKUP($F732,INSUMOS!$A:$D,3,0),""))))</f>
        <v>UN</v>
      </c>
      <c r="I732" s="313">
        <v>14</v>
      </c>
      <c r="J732" s="314">
        <f>IF($F732="","",IFERROR(VLOOKUP($F732,SERVIÇOS!$B:$G,4,0),IFERROR(VLOOKUP($F732,'COMPOSIÇÕES COMPLEMENTARES '!$D:$L,6,0),IFERROR(VLOOKUP($F732,INSUMOS!$A:$D,4,0),""))))</f>
        <v>73.650000000000006</v>
      </c>
      <c r="K732" s="314">
        <f>IF($F732="","",IFERROR(VLOOKUP($F732,SERVIÇOS!$B:$G,5,0),IFERROR(VLOOKUP($F732,'COMPOSIÇÕES COMPLEMENTARES '!$D:$L,7,0),0)))</f>
        <v>24.3</v>
      </c>
      <c r="L732" s="314">
        <f>IF(I732="","",J732+K732)</f>
        <v>97.95</v>
      </c>
      <c r="M732" s="314">
        <f>IF(I732="","",TRUNC((I732*J732),2))</f>
        <v>1031.0999999999999</v>
      </c>
      <c r="N732" s="314">
        <f>IF(I732="","",TRUNC((I732*K732),2))</f>
        <v>340.2</v>
      </c>
      <c r="O732" s="314">
        <f>IF(I732="","",TRUNC((M732+N732),2))</f>
        <v>1371.3</v>
      </c>
      <c r="P732" s="314"/>
      <c r="Q732" s="315"/>
      <c r="R732" s="315"/>
      <c r="S732" s="286"/>
      <c r="T732" s="287"/>
      <c r="U732" s="288" t="str">
        <f t="shared" si="390"/>
        <v/>
      </c>
      <c r="V732" s="287"/>
      <c r="W732" s="289" t="str">
        <f t="shared" si="391"/>
        <v/>
      </c>
      <c r="X732" s="287"/>
      <c r="Y732" s="290" t="str">
        <f t="shared" si="392"/>
        <v/>
      </c>
      <c r="Z732" s="291">
        <f ca="1">SUMIF($T$8:Y$1018,"QUANT.",T732:Y732)</f>
        <v>0</v>
      </c>
      <c r="AA732" s="292">
        <f t="shared" ca="1" si="393"/>
        <v>0</v>
      </c>
      <c r="AB732" s="293" t="str">
        <f t="shared" ca="1" si="394"/>
        <v>MEDIR</v>
      </c>
      <c r="AC732" s="294">
        <f t="shared" ca="1" si="395"/>
        <v>14</v>
      </c>
      <c r="AD732" s="294">
        <f t="shared" ca="1" si="396"/>
        <v>1371.3</v>
      </c>
      <c r="AE732" s="295"/>
      <c r="AF732" s="295"/>
      <c r="AG732" s="296"/>
      <c r="AH732" s="296"/>
      <c r="AI732" s="296"/>
      <c r="AJ732" s="326"/>
      <c r="AK732" s="326"/>
      <c r="AL732" s="326"/>
      <c r="AM732" s="326"/>
    </row>
    <row r="733" spans="1:39" ht="51" x14ac:dyDescent="0.25">
      <c r="A733" s="232">
        <f t="shared" si="418"/>
        <v>733</v>
      </c>
      <c r="B733" s="232"/>
      <c r="C733" s="307" t="str">
        <f>+C732</f>
        <v>16.7</v>
      </c>
      <c r="D733" s="308">
        <f>1+D732</f>
        <v>2</v>
      </c>
      <c r="E733" s="309" t="str">
        <f>C733&amp;"."&amp;D733</f>
        <v>16.7.2</v>
      </c>
      <c r="F733" s="310" t="s">
        <v>12369</v>
      </c>
      <c r="G733" s="311" t="str">
        <f>IF($F733="","",IFERROR(VLOOKUP($F733,SERVIÇOS!$B:$G,2,0),IFERROR(VLOOKUP($F733,'COMPOSIÇÕES COMPLEMENTARES '!$D:$L,2,0),IFERROR(VLOOKUP($F733,INSUMOS!$A:$D,2,0),""))))</f>
        <v>TOMADA/POSTO DE CONSUMO DE PAREDE PARA OXIGÊNIO MEDICINAL COM TARUGO INTERNO EMBUTIDO, VÁLVULA AUTOVEDANTE, PINO DE IMPACTO, CANOPLA EM MATERIAL PLÁSTICO DE ABS E ETIQUETA DE IDENTIFICAÇÃO DO POSTO - FORNECIMENTO E INSTALAÇÃO. REF: PROTEC, WHITE MARTINS, UNITEC HOSPITALAR, AIR LIQUIDE, VALMIG</v>
      </c>
      <c r="H733" s="312" t="str">
        <f>IF($F733="","",IFERROR(VLOOKUP($F733,SERVIÇOS!$B:$G,3,0),IFERROR(VLOOKUP($F733,'COMPOSIÇÕES COMPLEMENTARES '!$D:$L,3,0),IFERROR(VLOOKUP($F733,INSUMOS!$A:$D,3,0),""))))</f>
        <v>UN</v>
      </c>
      <c r="I733" s="313">
        <v>13</v>
      </c>
      <c r="J733" s="314">
        <f>IF($F733="","",IFERROR(VLOOKUP($F733,SERVIÇOS!$B:$G,4,0),IFERROR(VLOOKUP($F733,'COMPOSIÇÕES COMPLEMENTARES '!$D:$L,6,0),IFERROR(VLOOKUP($F733,INSUMOS!$A:$D,4,0),""))))</f>
        <v>73.650000000000006</v>
      </c>
      <c r="K733" s="314">
        <f>IF($F733="","",IFERROR(VLOOKUP($F733,SERVIÇOS!$B:$G,5,0),IFERROR(VLOOKUP($F733,'COMPOSIÇÕES COMPLEMENTARES '!$D:$L,7,0),0)))</f>
        <v>24.3</v>
      </c>
      <c r="L733" s="314">
        <f>IF(I733="","",J733+K733)</f>
        <v>97.95</v>
      </c>
      <c r="M733" s="314">
        <f>IF(I733="","",TRUNC((I733*J733),2))</f>
        <v>957.45</v>
      </c>
      <c r="N733" s="314">
        <f>IF(I733="","",TRUNC((I733*K733),2))</f>
        <v>315.89999999999998</v>
      </c>
      <c r="O733" s="314">
        <f>IF(I733="","",TRUNC((M733+N733),2))</f>
        <v>1273.3499999999999</v>
      </c>
      <c r="P733" s="314"/>
      <c r="Q733" s="315"/>
      <c r="R733" s="315"/>
      <c r="S733" s="286"/>
      <c r="T733" s="287"/>
      <c r="U733" s="288" t="str">
        <f t="shared" si="390"/>
        <v/>
      </c>
      <c r="V733" s="287"/>
      <c r="W733" s="289" t="str">
        <f t="shared" si="391"/>
        <v/>
      </c>
      <c r="X733" s="287"/>
      <c r="Y733" s="290" t="str">
        <f t="shared" si="392"/>
        <v/>
      </c>
      <c r="Z733" s="291">
        <f ca="1">SUMIF($T$8:Y$1018,"QUANT.",T733:Y733)</f>
        <v>0</v>
      </c>
      <c r="AA733" s="292">
        <f t="shared" ca="1" si="393"/>
        <v>0</v>
      </c>
      <c r="AB733" s="293" t="str">
        <f t="shared" ca="1" si="394"/>
        <v>MEDIR</v>
      </c>
      <c r="AC733" s="294">
        <f t="shared" ca="1" si="395"/>
        <v>13</v>
      </c>
      <c r="AD733" s="294">
        <f t="shared" ca="1" si="396"/>
        <v>1273.3499999999999</v>
      </c>
      <c r="AE733" s="295"/>
      <c r="AF733" s="295"/>
      <c r="AG733" s="296"/>
      <c r="AH733" s="296"/>
      <c r="AI733" s="296"/>
      <c r="AJ733" s="326"/>
      <c r="AK733" s="326"/>
      <c r="AL733" s="326"/>
      <c r="AM733" s="326"/>
    </row>
    <row r="734" spans="1:39" ht="51" x14ac:dyDescent="0.25">
      <c r="A734" s="232">
        <f t="shared" si="418"/>
        <v>734</v>
      </c>
      <c r="B734" s="232"/>
      <c r="C734" s="307" t="str">
        <f>+C733</f>
        <v>16.7</v>
      </c>
      <c r="D734" s="308">
        <f>1+D733</f>
        <v>3</v>
      </c>
      <c r="E734" s="309" t="str">
        <f>C734&amp;"."&amp;D734</f>
        <v>16.7.3</v>
      </c>
      <c r="F734" s="310" t="s">
        <v>12370</v>
      </c>
      <c r="G734" s="311" t="str">
        <f>IF($F734="","",IFERROR(VLOOKUP($F734,SERVIÇOS!$B:$G,2,0),IFERROR(VLOOKUP($F734,'COMPOSIÇÕES COMPLEMENTARES '!$D:$L,2,0),IFERROR(VLOOKUP($F734,INSUMOS!$A:$D,2,0),""))))</f>
        <v>TOMADA/POSTO DE CONSUMO DE PAREDE PARA VÁCUO CLÍNICO COM TARUGO INTERNO EMBUTIDO, VÁLVULA AUTOVEDANTE, PINO DE IMPACTO, CANOPLA EM MATERIAL PLÁSTICO DE ABS E ETIQUETA DE IDENTIFICAÇÃO DO POSTO - FORNECIMENTO E INSTALAÇÃO. REF: PROTEC, WHITE MARTINS, UNITEC HOSPITALAR, AIR LIQUIDE, VALMIG</v>
      </c>
      <c r="H734" s="312" t="str">
        <f>IF($F734="","",IFERROR(VLOOKUP($F734,SERVIÇOS!$B:$G,3,0),IFERROR(VLOOKUP($F734,'COMPOSIÇÕES COMPLEMENTARES '!$D:$L,3,0),IFERROR(VLOOKUP($F734,INSUMOS!$A:$D,3,0),""))))</f>
        <v>UN</v>
      </c>
      <c r="I734" s="313">
        <v>4</v>
      </c>
      <c r="J734" s="314">
        <f>IF($F734="","",IFERROR(VLOOKUP($F734,SERVIÇOS!$B:$G,4,0),IFERROR(VLOOKUP($F734,'COMPOSIÇÕES COMPLEMENTARES '!$D:$L,6,0),IFERROR(VLOOKUP($F734,INSUMOS!$A:$D,4,0),""))))</f>
        <v>73.650000000000006</v>
      </c>
      <c r="K734" s="314">
        <f>IF($F734="","",IFERROR(VLOOKUP($F734,SERVIÇOS!$B:$G,5,0),IFERROR(VLOOKUP($F734,'COMPOSIÇÕES COMPLEMENTARES '!$D:$L,7,0),0)))</f>
        <v>24.3</v>
      </c>
      <c r="L734" s="314">
        <f>IF(I734="","",J734+K734)</f>
        <v>97.95</v>
      </c>
      <c r="M734" s="314">
        <f>IF(I734="","",TRUNC((I734*J734),2))</f>
        <v>294.60000000000002</v>
      </c>
      <c r="N734" s="314">
        <f>IF(I734="","",TRUNC((I734*K734),2))</f>
        <v>97.2</v>
      </c>
      <c r="O734" s="314">
        <f>IF(I734="","",TRUNC((M734+N734),2))</f>
        <v>391.8</v>
      </c>
      <c r="P734" s="314"/>
      <c r="Q734" s="315"/>
      <c r="R734" s="315"/>
      <c r="S734" s="286"/>
      <c r="T734" s="287"/>
      <c r="U734" s="288" t="str">
        <f t="shared" si="390"/>
        <v/>
      </c>
      <c r="V734" s="287"/>
      <c r="W734" s="289" t="str">
        <f t="shared" si="391"/>
        <v/>
      </c>
      <c r="X734" s="287"/>
      <c r="Y734" s="290" t="str">
        <f t="shared" si="392"/>
        <v/>
      </c>
      <c r="Z734" s="291">
        <f ca="1">SUMIF($T$8:Y$1018,"QUANT.",T734:Y734)</f>
        <v>0</v>
      </c>
      <c r="AA734" s="292">
        <f t="shared" ca="1" si="393"/>
        <v>0</v>
      </c>
      <c r="AB734" s="293" t="str">
        <f t="shared" ca="1" si="394"/>
        <v>MEDIR</v>
      </c>
      <c r="AC734" s="294">
        <f t="shared" ca="1" si="395"/>
        <v>4</v>
      </c>
      <c r="AD734" s="294">
        <f t="shared" ca="1" si="396"/>
        <v>391.8</v>
      </c>
      <c r="AE734" s="295"/>
      <c r="AF734" s="295"/>
      <c r="AG734" s="296"/>
      <c r="AH734" s="296"/>
      <c r="AI734" s="296"/>
      <c r="AJ734" s="326"/>
      <c r="AK734" s="326"/>
      <c r="AL734" s="326"/>
      <c r="AM734" s="326"/>
    </row>
    <row r="735" spans="1:39" x14ac:dyDescent="0.25">
      <c r="A735" s="232">
        <f t="shared" si="418"/>
        <v>735</v>
      </c>
      <c r="B735" s="232"/>
      <c r="C735" s="316" t="str">
        <f>+E735</f>
        <v>16.8</v>
      </c>
      <c r="D735" s="297"/>
      <c r="E735" s="317" t="s">
        <v>12371</v>
      </c>
      <c r="F735" s="317"/>
      <c r="G735" s="327" t="s">
        <v>12372</v>
      </c>
      <c r="H735" s="317"/>
      <c r="I735" s="319"/>
      <c r="J735" s="317"/>
      <c r="K735" s="317"/>
      <c r="L735" s="317"/>
      <c r="M735" s="317"/>
      <c r="N735" s="317"/>
      <c r="O735" s="317"/>
      <c r="P735" s="317"/>
      <c r="Q735" s="320"/>
      <c r="R735" s="306"/>
      <c r="S735" s="286"/>
      <c r="T735" s="287"/>
      <c r="U735" s="288" t="str">
        <f t="shared" si="390"/>
        <v/>
      </c>
      <c r="V735" s="287"/>
      <c r="W735" s="289" t="str">
        <f t="shared" si="391"/>
        <v/>
      </c>
      <c r="X735" s="287"/>
      <c r="Y735" s="290" t="str">
        <f t="shared" si="392"/>
        <v/>
      </c>
      <c r="Z735" s="291">
        <f ca="1">SUMIF($T$8:Y$1018,"QUANT.",T735:Y735)</f>
        <v>0</v>
      </c>
      <c r="AA735" s="292">
        <f t="shared" ca="1" si="393"/>
        <v>0</v>
      </c>
      <c r="AB735" s="293" t="str">
        <f t="shared" si="394"/>
        <v/>
      </c>
      <c r="AC735" s="294">
        <f t="shared" ca="1" si="395"/>
        <v>0</v>
      </c>
      <c r="AD735" s="294">
        <f t="shared" ca="1" si="396"/>
        <v>0</v>
      </c>
      <c r="AE735" s="295"/>
      <c r="AF735" s="295"/>
      <c r="AG735" s="296"/>
      <c r="AH735" s="296"/>
      <c r="AI735" s="296"/>
      <c r="AJ735" s="326"/>
      <c r="AK735" s="326"/>
      <c r="AL735" s="326"/>
      <c r="AM735" s="326"/>
    </row>
    <row r="736" spans="1:39" ht="63.75" x14ac:dyDescent="0.25">
      <c r="A736" s="232">
        <f t="shared" si="418"/>
        <v>736</v>
      </c>
      <c r="B736" s="232"/>
      <c r="C736" s="307" t="str">
        <f>+C735</f>
        <v>16.8</v>
      </c>
      <c r="D736" s="308">
        <f>1+D735</f>
        <v>1</v>
      </c>
      <c r="E736" s="309" t="str">
        <f>C736&amp;"."&amp;D736</f>
        <v>16.8.1</v>
      </c>
      <c r="F736" s="310" t="s">
        <v>12373</v>
      </c>
      <c r="G736" s="311" t="str">
        <f>IF($F736="","",IFERROR(VLOOKUP($F736,SERVIÇOS!$B:$G,2,0),IFERROR(VLOOKUP($F736,'COMPOSIÇÕES COMPLEMENTARES '!$D:$L,2,0),IFERROR(VLOOKUP($F736,INSUMOS!$A:$D,2,0),""))))</f>
        <v>PAINEL DE ALARME DE EMERGÊNCIA PARA REDE DE AR COMPRIMIDO MEDICINAL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v>
      </c>
      <c r="H736" s="312" t="str">
        <f>IF($F736="","",IFERROR(VLOOKUP($F736,SERVIÇOS!$B:$G,3,0),IFERROR(VLOOKUP($F736,'COMPOSIÇÕES COMPLEMENTARES '!$D:$L,3,0),IFERROR(VLOOKUP($F736,INSUMOS!$A:$D,3,0),""))))</f>
        <v>UN</v>
      </c>
      <c r="I736" s="313">
        <v>1</v>
      </c>
      <c r="J736" s="314">
        <f>IF($F736="","",IFERROR(VLOOKUP($F736,SERVIÇOS!$B:$G,4,0),IFERROR(VLOOKUP($F736,'COMPOSIÇÕES COMPLEMENTARES '!$D:$L,6,0),IFERROR(VLOOKUP($F736,INSUMOS!$A:$D,4,0),""))))</f>
        <v>495.95</v>
      </c>
      <c r="K736" s="314">
        <f>IF($F736="","",IFERROR(VLOOKUP($F736,SERVIÇOS!$B:$G,5,0),IFERROR(VLOOKUP($F736,'COMPOSIÇÕES COMPLEMENTARES '!$D:$L,7,0),0)))</f>
        <v>12.15</v>
      </c>
      <c r="L736" s="314">
        <f>IF(I736="","",J736+K736)</f>
        <v>508.09999999999997</v>
      </c>
      <c r="M736" s="314">
        <f>IF(I736="","",TRUNC((I736*J736),2))</f>
        <v>495.95</v>
      </c>
      <c r="N736" s="314">
        <f>IF(I736="","",TRUNC((I736*K736),2))</f>
        <v>12.15</v>
      </c>
      <c r="O736" s="314">
        <f>IF(I736="","",TRUNC((M736+N736),2))</f>
        <v>508.1</v>
      </c>
      <c r="P736" s="314"/>
      <c r="Q736" s="315"/>
      <c r="R736" s="315"/>
      <c r="S736" s="286"/>
      <c r="T736" s="287"/>
      <c r="U736" s="288" t="str">
        <f t="shared" si="390"/>
        <v/>
      </c>
      <c r="V736" s="287"/>
      <c r="W736" s="289" t="str">
        <f t="shared" si="391"/>
        <v/>
      </c>
      <c r="X736" s="287"/>
      <c r="Y736" s="290" t="str">
        <f t="shared" si="392"/>
        <v/>
      </c>
      <c r="Z736" s="291">
        <f ca="1">SUMIF($T$8:Y$1018,"QUANT.",T736:Y736)</f>
        <v>0</v>
      </c>
      <c r="AA736" s="292">
        <f t="shared" ca="1" si="393"/>
        <v>0</v>
      </c>
      <c r="AB736" s="293" t="str">
        <f t="shared" ca="1" si="394"/>
        <v>MEDIR</v>
      </c>
      <c r="AC736" s="294">
        <f t="shared" ca="1" si="395"/>
        <v>1</v>
      </c>
      <c r="AD736" s="294">
        <f t="shared" ca="1" si="396"/>
        <v>508.1</v>
      </c>
      <c r="AE736" s="295"/>
      <c r="AF736" s="295"/>
      <c r="AG736" s="296"/>
      <c r="AH736" s="296"/>
      <c r="AI736" s="296"/>
      <c r="AJ736" s="326"/>
      <c r="AK736" s="326"/>
      <c r="AL736" s="326"/>
      <c r="AM736" s="326"/>
    </row>
    <row r="737" spans="1:39" ht="63.75" x14ac:dyDescent="0.25">
      <c r="A737" s="232">
        <f t="shared" si="418"/>
        <v>737</v>
      </c>
      <c r="B737" s="232"/>
      <c r="C737" s="307" t="str">
        <f>+C736</f>
        <v>16.8</v>
      </c>
      <c r="D737" s="308">
        <f>1+D736</f>
        <v>2</v>
      </c>
      <c r="E737" s="309" t="str">
        <f>C737&amp;"."&amp;D737</f>
        <v>16.8.2</v>
      </c>
      <c r="F737" s="310" t="s">
        <v>12374</v>
      </c>
      <c r="G737" s="311" t="str">
        <f>IF($F737="","",IFERROR(VLOOKUP($F737,SERVIÇOS!$B:$G,2,0),IFERROR(VLOOKUP($F737,'COMPOSIÇÕES COMPLEMENTARES '!$D:$L,2,0),IFERROR(VLOOKUP($F737,INSUMOS!$A:$D,2,0),""))))</f>
        <v>PAINEL DE ALARME DE EMERGÊNCIA PARA REDE DE OXIGÊNIO MEDICINAL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v>
      </c>
      <c r="H737" s="312" t="str">
        <f>IF($F737="","",IFERROR(VLOOKUP($F737,SERVIÇOS!$B:$G,3,0),IFERROR(VLOOKUP($F737,'COMPOSIÇÕES COMPLEMENTARES '!$D:$L,3,0),IFERROR(VLOOKUP($F737,INSUMOS!$A:$D,3,0),""))))</f>
        <v>UN</v>
      </c>
      <c r="I737" s="313">
        <v>1</v>
      </c>
      <c r="J737" s="314">
        <f>IF($F737="","",IFERROR(VLOOKUP($F737,SERVIÇOS!$B:$G,4,0),IFERROR(VLOOKUP($F737,'COMPOSIÇÕES COMPLEMENTARES '!$D:$L,6,0),IFERROR(VLOOKUP($F737,INSUMOS!$A:$D,4,0),""))))</f>
        <v>495.95</v>
      </c>
      <c r="K737" s="314">
        <f>IF($F737="","",IFERROR(VLOOKUP($F737,SERVIÇOS!$B:$G,5,0),IFERROR(VLOOKUP($F737,'COMPOSIÇÕES COMPLEMENTARES '!$D:$L,7,0),0)))</f>
        <v>12.15</v>
      </c>
      <c r="L737" s="314">
        <f>IF(I737="","",J737+K737)</f>
        <v>508.09999999999997</v>
      </c>
      <c r="M737" s="314">
        <f>IF(I737="","",TRUNC((I737*J737),2))</f>
        <v>495.95</v>
      </c>
      <c r="N737" s="314">
        <f>IF(I737="","",TRUNC((I737*K737),2))</f>
        <v>12.15</v>
      </c>
      <c r="O737" s="314">
        <f>IF(I737="","",TRUNC((M737+N737),2))</f>
        <v>508.1</v>
      </c>
      <c r="P737" s="314"/>
      <c r="Q737" s="315"/>
      <c r="R737" s="315"/>
      <c r="S737" s="286"/>
      <c r="T737" s="287"/>
      <c r="U737" s="288" t="str">
        <f t="shared" si="390"/>
        <v/>
      </c>
      <c r="V737" s="287"/>
      <c r="W737" s="289" t="str">
        <f t="shared" si="391"/>
        <v/>
      </c>
      <c r="X737" s="287"/>
      <c r="Y737" s="290" t="str">
        <f t="shared" si="392"/>
        <v/>
      </c>
      <c r="Z737" s="291">
        <f ca="1">SUMIF($T$8:Y$1018,"QUANT.",T737:Y737)</f>
        <v>0</v>
      </c>
      <c r="AA737" s="292">
        <f t="shared" ca="1" si="393"/>
        <v>0</v>
      </c>
      <c r="AB737" s="293" t="str">
        <f t="shared" ca="1" si="394"/>
        <v>MEDIR</v>
      </c>
      <c r="AC737" s="294">
        <f t="shared" ca="1" si="395"/>
        <v>1</v>
      </c>
      <c r="AD737" s="294">
        <f t="shared" ca="1" si="396"/>
        <v>508.1</v>
      </c>
      <c r="AE737" s="295"/>
      <c r="AF737" s="295"/>
      <c r="AG737" s="296"/>
      <c r="AH737" s="296"/>
      <c r="AI737" s="296"/>
      <c r="AJ737" s="326"/>
      <c r="AK737" s="326"/>
      <c r="AL737" s="326"/>
      <c r="AM737" s="326"/>
    </row>
    <row r="738" spans="1:39" ht="63.75" x14ac:dyDescent="0.25">
      <c r="A738" s="232">
        <f t="shared" si="418"/>
        <v>738</v>
      </c>
      <c r="B738" s="232"/>
      <c r="C738" s="307" t="str">
        <f>+C737</f>
        <v>16.8</v>
      </c>
      <c r="D738" s="308">
        <f>1+D737</f>
        <v>3</v>
      </c>
      <c r="E738" s="309" t="str">
        <f>C738&amp;"."&amp;D738</f>
        <v>16.8.3</v>
      </c>
      <c r="F738" s="310" t="s">
        <v>12375</v>
      </c>
      <c r="G738" s="311" t="str">
        <f>IF($F738="","",IFERROR(VLOOKUP($F738,SERVIÇOS!$B:$G,2,0),IFERROR(VLOOKUP($F738,'COMPOSIÇÕES COMPLEMENTARES '!$D:$L,2,0),IFERROR(VLOOKUP($F738,INSUMOS!$A:$D,2,0),""))))</f>
        <v>PAINEL DE ALARME DE EMERGÊNCIA PARA REDE DE VÁCUO CLÍNICO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v>
      </c>
      <c r="H738" s="312" t="str">
        <f>IF($F738="","",IFERROR(VLOOKUP($F738,SERVIÇOS!$B:$G,3,0),IFERROR(VLOOKUP($F738,'COMPOSIÇÕES COMPLEMENTARES '!$D:$L,3,0),IFERROR(VLOOKUP($F738,INSUMOS!$A:$D,3,0),""))))</f>
        <v>UN</v>
      </c>
      <c r="I738" s="313">
        <v>1</v>
      </c>
      <c r="J738" s="314">
        <f>IF($F738="","",IFERROR(VLOOKUP($F738,SERVIÇOS!$B:$G,4,0),IFERROR(VLOOKUP($F738,'COMPOSIÇÕES COMPLEMENTARES '!$D:$L,6,0),IFERROR(VLOOKUP($F738,INSUMOS!$A:$D,4,0),""))))</f>
        <v>495.95</v>
      </c>
      <c r="K738" s="314">
        <f>IF($F738="","",IFERROR(VLOOKUP($F738,SERVIÇOS!$B:$G,5,0),IFERROR(VLOOKUP($F738,'COMPOSIÇÕES COMPLEMENTARES '!$D:$L,7,0),0)))</f>
        <v>12.15</v>
      </c>
      <c r="L738" s="314">
        <f>IF(I738="","",J738+K738)</f>
        <v>508.09999999999997</v>
      </c>
      <c r="M738" s="314">
        <f>IF(I738="","",TRUNC((I738*J738),2))</f>
        <v>495.95</v>
      </c>
      <c r="N738" s="314">
        <f>IF(I738="","",TRUNC((I738*K738),2))</f>
        <v>12.15</v>
      </c>
      <c r="O738" s="314">
        <f>IF(I738="","",TRUNC((M738+N738),2))</f>
        <v>508.1</v>
      </c>
      <c r="P738" s="314"/>
      <c r="Q738" s="315"/>
      <c r="R738" s="315"/>
      <c r="S738" s="286"/>
      <c r="T738" s="287"/>
      <c r="U738" s="288" t="str">
        <f t="shared" si="390"/>
        <v/>
      </c>
      <c r="V738" s="287"/>
      <c r="W738" s="289" t="str">
        <f t="shared" si="391"/>
        <v/>
      </c>
      <c r="X738" s="287"/>
      <c r="Y738" s="290" t="str">
        <f t="shared" si="392"/>
        <v/>
      </c>
      <c r="Z738" s="291">
        <f ca="1">SUMIF($T$8:Y$1018,"QUANT.",T738:Y738)</f>
        <v>0</v>
      </c>
      <c r="AA738" s="292">
        <f t="shared" ca="1" si="393"/>
        <v>0</v>
      </c>
      <c r="AB738" s="293" t="str">
        <f t="shared" ca="1" si="394"/>
        <v>MEDIR</v>
      </c>
      <c r="AC738" s="294">
        <f t="shared" ca="1" si="395"/>
        <v>1</v>
      </c>
      <c r="AD738" s="294">
        <f t="shared" ca="1" si="396"/>
        <v>508.1</v>
      </c>
      <c r="AE738" s="295"/>
      <c r="AF738" s="295"/>
      <c r="AG738" s="296"/>
      <c r="AH738" s="296"/>
      <c r="AI738" s="296"/>
      <c r="AJ738" s="326"/>
      <c r="AK738" s="326"/>
      <c r="AL738" s="326"/>
      <c r="AM738" s="326"/>
    </row>
    <row r="739" spans="1:39" x14ac:dyDescent="0.25">
      <c r="A739" s="232">
        <f t="shared" si="418"/>
        <v>739</v>
      </c>
      <c r="B739" s="232"/>
      <c r="C739" s="316" t="str">
        <f>+E739</f>
        <v>16.9</v>
      </c>
      <c r="D739" s="297"/>
      <c r="E739" s="317" t="s">
        <v>12376</v>
      </c>
      <c r="F739" s="317"/>
      <c r="G739" s="327" t="s">
        <v>12377</v>
      </c>
      <c r="H739" s="317"/>
      <c r="I739" s="319"/>
      <c r="J739" s="317"/>
      <c r="K739" s="317"/>
      <c r="L739" s="317"/>
      <c r="M739" s="317"/>
      <c r="N739" s="317"/>
      <c r="O739" s="317"/>
      <c r="P739" s="317"/>
      <c r="Q739" s="320"/>
      <c r="R739" s="306"/>
      <c r="S739" s="286"/>
      <c r="T739" s="287"/>
      <c r="U739" s="288" t="str">
        <f t="shared" si="390"/>
        <v/>
      </c>
      <c r="V739" s="287"/>
      <c r="W739" s="289" t="str">
        <f t="shared" si="391"/>
        <v/>
      </c>
      <c r="X739" s="287"/>
      <c r="Y739" s="290" t="str">
        <f t="shared" si="392"/>
        <v/>
      </c>
      <c r="Z739" s="291">
        <f ca="1">SUMIF($T$8:Y$1018,"QUANT.",T739:Y739)</f>
        <v>0</v>
      </c>
      <c r="AA739" s="292">
        <f t="shared" ca="1" si="393"/>
        <v>0</v>
      </c>
      <c r="AB739" s="293" t="str">
        <f t="shared" si="394"/>
        <v/>
      </c>
      <c r="AC739" s="294">
        <f t="shared" ca="1" si="395"/>
        <v>0</v>
      </c>
      <c r="AD739" s="294">
        <f t="shared" ca="1" si="396"/>
        <v>0</v>
      </c>
      <c r="AE739" s="295"/>
      <c r="AF739" s="295"/>
      <c r="AG739" s="296"/>
      <c r="AH739" s="296"/>
      <c r="AI739" s="296"/>
      <c r="AJ739" s="326"/>
      <c r="AK739" s="326"/>
      <c r="AL739" s="326"/>
      <c r="AM739" s="326"/>
    </row>
    <row r="740" spans="1:39" x14ac:dyDescent="0.25">
      <c r="A740" s="232">
        <f t="shared" si="418"/>
        <v>740</v>
      </c>
      <c r="B740" s="232"/>
      <c r="C740" s="307" t="str">
        <f>+C739</f>
        <v>16.9</v>
      </c>
      <c r="D740" s="308">
        <f>1+D739</f>
        <v>1</v>
      </c>
      <c r="E740" s="309" t="str">
        <f>C740&amp;"."&amp;D740</f>
        <v>16.9.1</v>
      </c>
      <c r="F740" s="310" t="s">
        <v>12378</v>
      </c>
      <c r="G740" s="311" t="str">
        <f>IF($F740="","",IFERROR(VLOOKUP($F740,SERVIÇOS!$B:$G,2,0),IFERROR(VLOOKUP($F740,'COMPOSIÇÕES COMPLEMENTARES '!$D:$L,2,0),IFERROR(VLOOKUP($F740,INSUMOS!$A:$D,2,0),""))))</f>
        <v>PONTO PARA PISTOLA DE AR COMPRIMIDO PARA LIMPEZA</v>
      </c>
      <c r="H740" s="312" t="str">
        <f>IF($F740="","",IFERROR(VLOOKUP($F740,SERVIÇOS!$B:$G,3,0),IFERROR(VLOOKUP($F740,'COMPOSIÇÕES COMPLEMENTARES '!$D:$L,3,0),IFERROR(VLOOKUP($F740,INSUMOS!$A:$D,3,0),""))))</f>
        <v>UN</v>
      </c>
      <c r="I740" s="313">
        <v>2</v>
      </c>
      <c r="J740" s="314">
        <f>IF($F740="","",IFERROR(VLOOKUP($F740,SERVIÇOS!$B:$G,4,0),IFERROR(VLOOKUP($F740,'COMPOSIÇÕES COMPLEMENTARES '!$D:$L,6,0),IFERROR(VLOOKUP($F740,INSUMOS!$A:$D,4,0),""))))</f>
        <v>23.62</v>
      </c>
      <c r="K740" s="314">
        <f>IF($F740="","",IFERROR(VLOOKUP($F740,SERVIÇOS!$B:$G,5,0),IFERROR(VLOOKUP($F740,'COMPOSIÇÕES COMPLEMENTARES '!$D:$L,7,0),0)))</f>
        <v>2.42</v>
      </c>
      <c r="L740" s="314">
        <f>IF(I740="","",J740+K740)</f>
        <v>26.04</v>
      </c>
      <c r="M740" s="314">
        <f>IF(I740="","",TRUNC((I740*J740),2))</f>
        <v>47.24</v>
      </c>
      <c r="N740" s="314">
        <f>IF(I740="","",TRUNC((I740*K740),2))</f>
        <v>4.84</v>
      </c>
      <c r="O740" s="314">
        <f>IF(I740="","",TRUNC((M740+N740),2))</f>
        <v>52.08</v>
      </c>
      <c r="P740" s="314"/>
      <c r="Q740" s="315"/>
      <c r="R740" s="315"/>
      <c r="S740" s="286"/>
      <c r="T740" s="287"/>
      <c r="U740" s="288" t="str">
        <f t="shared" si="390"/>
        <v/>
      </c>
      <c r="V740" s="287"/>
      <c r="W740" s="289" t="str">
        <f t="shared" si="391"/>
        <v/>
      </c>
      <c r="X740" s="287"/>
      <c r="Y740" s="290" t="str">
        <f t="shared" si="392"/>
        <v/>
      </c>
      <c r="Z740" s="291">
        <f ca="1">SUMIF($T$8:Y$1018,"QUANT.",T740:Y740)</f>
        <v>0</v>
      </c>
      <c r="AA740" s="292">
        <f t="shared" ca="1" si="393"/>
        <v>0</v>
      </c>
      <c r="AB740" s="293" t="str">
        <f t="shared" ca="1" si="394"/>
        <v>MEDIR</v>
      </c>
      <c r="AC740" s="294">
        <f t="shared" ca="1" si="395"/>
        <v>2</v>
      </c>
      <c r="AD740" s="294">
        <f t="shared" ca="1" si="396"/>
        <v>52.08</v>
      </c>
      <c r="AE740" s="295"/>
      <c r="AF740" s="295"/>
      <c r="AG740" s="296"/>
      <c r="AH740" s="296"/>
      <c r="AI740" s="296"/>
      <c r="AJ740" s="326"/>
      <c r="AK740" s="326"/>
      <c r="AL740" s="326"/>
      <c r="AM740" s="326"/>
    </row>
    <row r="741" spans="1:39" x14ac:dyDescent="0.25">
      <c r="A741" s="232">
        <f t="shared" si="418"/>
        <v>741</v>
      </c>
      <c r="B741" s="232"/>
      <c r="C741" s="316" t="str">
        <f>+E741</f>
        <v>16.10</v>
      </c>
      <c r="D741" s="297"/>
      <c r="E741" s="317" t="s">
        <v>12379</v>
      </c>
      <c r="F741" s="317"/>
      <c r="G741" s="327" t="s">
        <v>12380</v>
      </c>
      <c r="H741" s="317"/>
      <c r="I741" s="319"/>
      <c r="J741" s="317"/>
      <c r="K741" s="317"/>
      <c r="L741" s="317"/>
      <c r="M741" s="317"/>
      <c r="N741" s="317"/>
      <c r="O741" s="317"/>
      <c r="P741" s="317"/>
      <c r="Q741" s="320"/>
      <c r="R741" s="306"/>
      <c r="S741" s="286"/>
      <c r="T741" s="287"/>
      <c r="U741" s="288" t="str">
        <f t="shared" si="390"/>
        <v/>
      </c>
      <c r="V741" s="287"/>
      <c r="W741" s="289" t="str">
        <f t="shared" si="391"/>
        <v/>
      </c>
      <c r="X741" s="287"/>
      <c r="Y741" s="290" t="str">
        <f t="shared" si="392"/>
        <v/>
      </c>
      <c r="Z741" s="291">
        <f ca="1">SUMIF($T$8:Y$1018,"QUANT.",T741:Y741)</f>
        <v>0</v>
      </c>
      <c r="AA741" s="292">
        <f t="shared" ca="1" si="393"/>
        <v>0</v>
      </c>
      <c r="AB741" s="293" t="str">
        <f t="shared" si="394"/>
        <v/>
      </c>
      <c r="AC741" s="294">
        <f t="shared" ca="1" si="395"/>
        <v>0</v>
      </c>
      <c r="AD741" s="294">
        <f t="shared" ca="1" si="396"/>
        <v>0</v>
      </c>
      <c r="AE741" s="295"/>
      <c r="AF741" s="295"/>
      <c r="AG741" s="296"/>
      <c r="AH741" s="296"/>
      <c r="AI741" s="296"/>
      <c r="AJ741" s="326"/>
      <c r="AK741" s="326"/>
      <c r="AL741" s="326"/>
      <c r="AM741" s="326"/>
    </row>
    <row r="742" spans="1:39" x14ac:dyDescent="0.25">
      <c r="A742" s="232">
        <f t="shared" si="418"/>
        <v>742</v>
      </c>
      <c r="B742" s="232"/>
      <c r="C742" s="307" t="str">
        <f>+C741</f>
        <v>16.10</v>
      </c>
      <c r="D742" s="308">
        <f>1+D741</f>
        <v>1</v>
      </c>
      <c r="E742" s="309" t="str">
        <f>C742&amp;"."&amp;D742</f>
        <v>16.10.1</v>
      </c>
      <c r="F742" s="310" t="s">
        <v>12381</v>
      </c>
      <c r="G742" s="311" t="str">
        <f>IF($F742="","",IFERROR(VLOOKUP($F742,SERVIÇOS!$B:$G,2,0),IFERROR(VLOOKUP($F742,'COMPOSIÇÕES COMPLEMENTARES '!$D:$L,2,0),IFERROR(VLOOKUP($F742,INSUMOS!$A:$D,2,0),""))))</f>
        <v>MANGUEIRA DE CONDUÇÃO DE AR COMPRIMIDO ALTA PRESSÃO, COMPRIMENTO DE 3 METRO</v>
      </c>
      <c r="H742" s="312" t="str">
        <f>IF($F742="","",IFERROR(VLOOKUP($F742,SERVIÇOS!$B:$G,3,0),IFERROR(VLOOKUP($F742,'COMPOSIÇÕES COMPLEMENTARES '!$D:$L,3,0),IFERROR(VLOOKUP($F742,INSUMOS!$A:$D,3,0),""))))</f>
        <v>UN</v>
      </c>
      <c r="I742" s="313">
        <v>2</v>
      </c>
      <c r="J742" s="314">
        <f>IF($F742="","",IFERROR(VLOOKUP($F742,SERVIÇOS!$B:$G,4,0),IFERROR(VLOOKUP($F742,'COMPOSIÇÕES COMPLEMENTARES '!$D:$L,6,0),IFERROR(VLOOKUP($F742,INSUMOS!$A:$D,4,0),""))))</f>
        <v>66.08</v>
      </c>
      <c r="K742" s="314">
        <f>IF($F742="","",IFERROR(VLOOKUP($F742,SERVIÇOS!$B:$G,5,0),IFERROR(VLOOKUP($F742,'COMPOSIÇÕES COMPLEMENTARES '!$D:$L,7,0),0)))</f>
        <v>21.86</v>
      </c>
      <c r="L742" s="314">
        <f>IF(I742="","",J742+K742)</f>
        <v>87.94</v>
      </c>
      <c r="M742" s="314">
        <f>IF(I742="","",TRUNC((I742*J742),2))</f>
        <v>132.16</v>
      </c>
      <c r="N742" s="314">
        <f>IF(I742="","",TRUNC((I742*K742),2))</f>
        <v>43.72</v>
      </c>
      <c r="O742" s="314">
        <f>IF(I742="","",TRUNC((M742+N742),2))</f>
        <v>175.88</v>
      </c>
      <c r="P742" s="314"/>
      <c r="Q742" s="315"/>
      <c r="R742" s="315"/>
      <c r="S742" s="286"/>
      <c r="T742" s="287"/>
      <c r="U742" s="288" t="str">
        <f t="shared" ref="U742:U805" si="419">IF(OR(T742="",$O742=""),"",(T742/$I742)*$O742)</f>
        <v/>
      </c>
      <c r="V742" s="287"/>
      <c r="W742" s="289" t="str">
        <f t="shared" ref="W742:W805" si="420">IF(OR(V742="",$O742=""),"",(V742/$I742)*$O742)</f>
        <v/>
      </c>
      <c r="X742" s="287"/>
      <c r="Y742" s="290" t="str">
        <f t="shared" ref="Y742:Y805" si="421">IF(OR(X742="",$O742=""),"",(X742/$I742)*$O742)</f>
        <v/>
      </c>
      <c r="Z742" s="291">
        <f ca="1">SUMIF($T$8:Y$1018,"QUANT.",T742:Y742)</f>
        <v>0</v>
      </c>
      <c r="AA742" s="292">
        <f t="shared" ref="AA742:AA805" ca="1" si="422">SUMIF($T$8:$Y$1018,"CUSTO",T742:Y742)</f>
        <v>0</v>
      </c>
      <c r="AB742" s="293" t="str">
        <f t="shared" ref="AB742:AB805" ca="1" si="423">IF(F742&lt;&gt;"",IF(AA742=0,"MEDIR",IF(O742-AA742=0,"OK",IF(O742-AA742&gt;0,"MEDIR","ALERTA!"))),"")</f>
        <v>MEDIR</v>
      </c>
      <c r="AC742" s="294">
        <f t="shared" ref="AC742:AC805" ca="1" si="424">IF(Z742="",0,I742-Z742)</f>
        <v>2</v>
      </c>
      <c r="AD742" s="294">
        <f t="shared" ref="AD742:AD805" ca="1" si="425">IF(AA742="",0,O742-AA742)</f>
        <v>175.88</v>
      </c>
      <c r="AE742" s="295"/>
      <c r="AF742" s="295"/>
      <c r="AG742" s="296"/>
      <c r="AH742" s="296"/>
      <c r="AI742" s="296"/>
      <c r="AJ742" s="326"/>
      <c r="AK742" s="326"/>
      <c r="AL742" s="326"/>
      <c r="AM742" s="326"/>
    </row>
    <row r="743" spans="1:39" x14ac:dyDescent="0.25">
      <c r="A743" s="232">
        <f t="shared" si="418"/>
        <v>743</v>
      </c>
      <c r="B743" s="232"/>
      <c r="C743" s="281">
        <f>+E743</f>
        <v>17</v>
      </c>
      <c r="D743" s="297"/>
      <c r="E743" s="298">
        <v>17</v>
      </c>
      <c r="F743" s="322"/>
      <c r="G743" s="299" t="s">
        <v>12382</v>
      </c>
      <c r="H743" s="300"/>
      <c r="I743" s="301"/>
      <c r="J743" s="302"/>
      <c r="K743" s="303"/>
      <c r="L743" s="303"/>
      <c r="M743" s="304">
        <f>TRUNC(SUMIF(M744:M838,"&gt;0",M744:M838),2)</f>
        <v>196589.97</v>
      </c>
      <c r="N743" s="304">
        <f>TRUNC(SUMIF(N744:N838,"&gt;0",N744:N838),2)</f>
        <v>66437.899999999994</v>
      </c>
      <c r="O743" s="305"/>
      <c r="P743" s="304">
        <f>TRUNC(SUMIF(O744:O838,"&gt;0",O744:O838),2)</f>
        <v>263027.87</v>
      </c>
      <c r="Q743" s="306"/>
      <c r="R743" s="306"/>
      <c r="S743" s="286"/>
      <c r="T743" s="287"/>
      <c r="U743" s="288" t="str">
        <f t="shared" si="419"/>
        <v/>
      </c>
      <c r="V743" s="287"/>
      <c r="W743" s="289" t="str">
        <f t="shared" si="420"/>
        <v/>
      </c>
      <c r="X743" s="287"/>
      <c r="Y743" s="290" t="str">
        <f t="shared" si="421"/>
        <v/>
      </c>
      <c r="Z743" s="291">
        <f ca="1">SUMIF($T$8:Y$1018,"QUANT.",T743:Y743)</f>
        <v>0</v>
      </c>
      <c r="AA743" s="292">
        <f t="shared" ca="1" si="422"/>
        <v>0</v>
      </c>
      <c r="AB743" s="293" t="str">
        <f t="shared" si="423"/>
        <v/>
      </c>
      <c r="AC743" s="294">
        <f t="shared" ca="1" si="424"/>
        <v>0</v>
      </c>
      <c r="AD743" s="294">
        <f t="shared" ca="1" si="425"/>
        <v>0</v>
      </c>
      <c r="AE743" s="295"/>
      <c r="AF743" s="295"/>
      <c r="AG743" s="296"/>
      <c r="AH743" s="296"/>
      <c r="AI743" s="296"/>
      <c r="AJ743" s="326"/>
      <c r="AK743" s="326"/>
      <c r="AL743" s="326"/>
      <c r="AM743" s="326"/>
    </row>
    <row r="744" spans="1:39" ht="25.5" x14ac:dyDescent="0.25">
      <c r="A744" s="232">
        <f t="shared" si="418"/>
        <v>744</v>
      </c>
      <c r="B744" s="232"/>
      <c r="C744" s="316" t="str">
        <f>+E744</f>
        <v>17.1</v>
      </c>
      <c r="D744" s="297"/>
      <c r="E744" s="317" t="s">
        <v>12383</v>
      </c>
      <c r="F744" s="317"/>
      <c r="G744" s="327" t="s">
        <v>12384</v>
      </c>
      <c r="H744" s="317"/>
      <c r="I744" s="344"/>
      <c r="J744" s="317"/>
      <c r="K744" s="317"/>
      <c r="L744" s="317"/>
      <c r="M744" s="317"/>
      <c r="N744" s="317"/>
      <c r="O744" s="317"/>
      <c r="P744" s="317"/>
      <c r="Q744" s="320"/>
      <c r="R744" s="306"/>
      <c r="S744" s="286"/>
      <c r="T744" s="287"/>
      <c r="U744" s="288" t="str">
        <f t="shared" si="419"/>
        <v/>
      </c>
      <c r="V744" s="287"/>
      <c r="W744" s="289" t="str">
        <f t="shared" si="420"/>
        <v/>
      </c>
      <c r="X744" s="287"/>
      <c r="Y744" s="290" t="str">
        <f t="shared" si="421"/>
        <v/>
      </c>
      <c r="Z744" s="291">
        <f ca="1">SUMIF($T$8:Y$1018,"QUANT.",T744:Y744)</f>
        <v>0</v>
      </c>
      <c r="AA744" s="292">
        <f t="shared" ca="1" si="422"/>
        <v>0</v>
      </c>
      <c r="AB744" s="293" t="str">
        <f t="shared" si="423"/>
        <v/>
      </c>
      <c r="AC744" s="294">
        <f t="shared" ca="1" si="424"/>
        <v>0</v>
      </c>
      <c r="AD744" s="294">
        <f t="shared" ca="1" si="425"/>
        <v>0</v>
      </c>
      <c r="AE744" s="295"/>
      <c r="AF744" s="295"/>
      <c r="AG744" s="296"/>
      <c r="AH744" s="296"/>
      <c r="AI744" s="296"/>
      <c r="AJ744" s="326"/>
      <c r="AK744" s="326"/>
      <c r="AL744" s="326"/>
      <c r="AM744" s="326"/>
    </row>
    <row r="745" spans="1:39" ht="51" x14ac:dyDescent="0.25">
      <c r="A745" s="232">
        <f t="shared" si="418"/>
        <v>745</v>
      </c>
      <c r="B745" s="232"/>
      <c r="C745" s="307" t="str">
        <f>+C744</f>
        <v>17.1</v>
      </c>
      <c r="D745" s="308">
        <f>1+D744</f>
        <v>1</v>
      </c>
      <c r="E745" s="309" t="str">
        <f>C745&amp;"."&amp;D745</f>
        <v>17.1.1</v>
      </c>
      <c r="F745" s="310" t="s">
        <v>12385</v>
      </c>
      <c r="G745" s="311" t="str">
        <f>IF($F745="","",IFERROR(VLOOKUP($F745,SERVIÇOS!$B:$G,2,0),IFERROR(VLOOKUP($F745,'COMPOSIÇÕES COMPLEMENTARES '!$D:$L,2,0),IFERROR(VLOOKUP($F745,INSUMOS!$A:$D,2,0),""))))</f>
        <v>TUBULAÇÃO DE INTERLIGAÇÃO FRIGORÍGENA PARA REDES DE AR CONDICIONADO DIÂMETRO NOMINAL Ø6,35MM (Ø1/4") - ESPESSURA MÍNIMA 0,8MM COM ISOLAMENTO TÉRMICO FLEXÍVEL DE ESPUMA ELASTOMÉRICA COM ESPESSURA MÍNIMA DE PAREDE DE 12MM E DIÂMETRO INTERNO MÍNIMO DE 7 A 8,5MM PARA TUBOS DE COBRE Ø1/4". REFERÊNCIA: ARMACELL LINHA ARMAFLEX F</v>
      </c>
      <c r="H745" s="312" t="str">
        <f>IF($F745="","",IFERROR(VLOOKUP($F745,SERVIÇOS!$B:$G,3,0),IFERROR(VLOOKUP($F745,'COMPOSIÇÕES COMPLEMENTARES '!$D:$L,3,0),IFERROR(VLOOKUP($F745,INSUMOS!$A:$D,3,0),""))))</f>
        <v>M</v>
      </c>
      <c r="I745" s="313">
        <v>45</v>
      </c>
      <c r="J745" s="314">
        <f>IF($F745="","",IFERROR(VLOOKUP($F745,SERVIÇOS!$B:$G,4,0),IFERROR(VLOOKUP($F745,'COMPOSIÇÕES COMPLEMENTARES '!$D:$L,6,0),IFERROR(VLOOKUP($F745,INSUMOS!$A:$D,4,0),""))))</f>
        <v>36.26</v>
      </c>
      <c r="K745" s="314">
        <f>IF($F745="","",IFERROR(VLOOKUP($F745,SERVIÇOS!$B:$G,5,0),IFERROR(VLOOKUP($F745,'COMPOSIÇÕES COMPLEMENTARES '!$D:$L,7,0),0)))</f>
        <v>19.190000000000001</v>
      </c>
      <c r="L745" s="314">
        <f>IF(I745="","",J745+K745)</f>
        <v>55.45</v>
      </c>
      <c r="M745" s="314">
        <f>IF(I745="","",TRUNC((I745*J745),2))</f>
        <v>1631.7</v>
      </c>
      <c r="N745" s="314">
        <f>IF(I745="","",TRUNC((I745*K745),2))</f>
        <v>863.55</v>
      </c>
      <c r="O745" s="314">
        <f>IF(I745="","",TRUNC((M745+N745),2))</f>
        <v>2495.25</v>
      </c>
      <c r="P745" s="314"/>
      <c r="Q745" s="315"/>
      <c r="R745" s="315"/>
      <c r="S745" s="286"/>
      <c r="T745" s="287"/>
      <c r="U745" s="288" t="str">
        <f t="shared" si="419"/>
        <v/>
      </c>
      <c r="V745" s="287"/>
      <c r="W745" s="289" t="str">
        <f t="shared" si="420"/>
        <v/>
      </c>
      <c r="X745" s="287"/>
      <c r="Y745" s="290" t="str">
        <f t="shared" si="421"/>
        <v/>
      </c>
      <c r="Z745" s="291">
        <f ca="1">SUMIF($T$8:Y$1018,"QUANT.",T745:Y745)</f>
        <v>0</v>
      </c>
      <c r="AA745" s="292">
        <f t="shared" ca="1" si="422"/>
        <v>0</v>
      </c>
      <c r="AB745" s="293" t="str">
        <f t="shared" ca="1" si="423"/>
        <v>MEDIR</v>
      </c>
      <c r="AC745" s="294">
        <f t="shared" ca="1" si="424"/>
        <v>45</v>
      </c>
      <c r="AD745" s="294">
        <f t="shared" ca="1" si="425"/>
        <v>2495.25</v>
      </c>
      <c r="AE745" s="295"/>
      <c r="AF745" s="295"/>
      <c r="AG745" s="296"/>
      <c r="AH745" s="296"/>
      <c r="AI745" s="296"/>
      <c r="AJ745" s="326"/>
      <c r="AK745" s="326"/>
      <c r="AL745" s="326"/>
      <c r="AM745" s="326"/>
    </row>
    <row r="746" spans="1:39" ht="51" x14ac:dyDescent="0.25">
      <c r="A746" s="232">
        <f t="shared" si="418"/>
        <v>746</v>
      </c>
      <c r="B746" s="232"/>
      <c r="C746" s="307" t="str">
        <f>+C745</f>
        <v>17.1</v>
      </c>
      <c r="D746" s="308">
        <f>1+D745</f>
        <v>2</v>
      </c>
      <c r="E746" s="309" t="str">
        <f>C746&amp;"."&amp;D746</f>
        <v>17.1.2</v>
      </c>
      <c r="F746" s="310" t="s">
        <v>12386</v>
      </c>
      <c r="G746" s="311" t="str">
        <f>IF($F746="","",IFERROR(VLOOKUP($F746,SERVIÇOS!$B:$G,2,0),IFERROR(VLOOKUP($F746,'COMPOSIÇÕES COMPLEMENTARES '!$D:$L,2,0),IFERROR(VLOOKUP($F746,INSUMOS!$A:$D,2,0),""))))</f>
        <v>TUBULAÇÃO DE INTERLIGAÇÃO FRIGORÍGENA PARA REDES DE AR CONDICIONADO DIÂMETRO NOMINAL Ø9,52MM (Ø3/8") - ESPESSURA MÍNIMA 0,8MM COM ISOLAMENTO TÉRMICO FLEXÍVEL DE ESPUMA ELASTOMÉRICA COM ESPESSURA MÍNIMA DE PAREDE DE 19MM E DIÂMETRO INTERNO MÍNIMO DE 11 A 12,5MM PARA TUBOS DE COBRE Ø3/8". REFERÊNCIA: ARMACELL LINHA ARMAFLEX M</v>
      </c>
      <c r="H746" s="312" t="str">
        <f>IF($F746="","",IFERROR(VLOOKUP($F746,SERVIÇOS!$B:$G,3,0),IFERROR(VLOOKUP($F746,'COMPOSIÇÕES COMPLEMENTARES '!$D:$L,3,0),IFERROR(VLOOKUP($F746,INSUMOS!$A:$D,3,0),""))))</f>
        <v>M</v>
      </c>
      <c r="I746" s="313">
        <v>55</v>
      </c>
      <c r="J746" s="314">
        <f>IF($F746="","",IFERROR(VLOOKUP($F746,SERVIÇOS!$B:$G,4,0),IFERROR(VLOOKUP($F746,'COMPOSIÇÕES COMPLEMENTARES '!$D:$L,6,0),IFERROR(VLOOKUP($F746,INSUMOS!$A:$D,4,0),""))))</f>
        <v>59.76</v>
      </c>
      <c r="K746" s="314">
        <f>IF($F746="","",IFERROR(VLOOKUP($F746,SERVIÇOS!$B:$G,5,0),IFERROR(VLOOKUP($F746,'COMPOSIÇÕES COMPLEMENTARES '!$D:$L,7,0),0)))</f>
        <v>23.32</v>
      </c>
      <c r="L746" s="314">
        <f>IF(I746="","",J746+K746)</f>
        <v>83.08</v>
      </c>
      <c r="M746" s="314">
        <f>IF(I746="","",TRUNC((I746*J746),2))</f>
        <v>3286.8</v>
      </c>
      <c r="N746" s="314">
        <f>IF(I746="","",TRUNC((I746*K746),2))</f>
        <v>1282.5999999999999</v>
      </c>
      <c r="O746" s="314">
        <f>IF(I746="","",TRUNC((M746+N746),2))</f>
        <v>4569.3999999999996</v>
      </c>
      <c r="P746" s="314"/>
      <c r="Q746" s="315"/>
      <c r="R746" s="315"/>
      <c r="S746" s="286"/>
      <c r="T746" s="287"/>
      <c r="U746" s="288" t="str">
        <f t="shared" si="419"/>
        <v/>
      </c>
      <c r="V746" s="287"/>
      <c r="W746" s="289" t="str">
        <f t="shared" si="420"/>
        <v/>
      </c>
      <c r="X746" s="287"/>
      <c r="Y746" s="290" t="str">
        <f t="shared" si="421"/>
        <v/>
      </c>
      <c r="Z746" s="291">
        <f ca="1">SUMIF($T$8:Y$1018,"QUANT.",T746:Y746)</f>
        <v>0</v>
      </c>
      <c r="AA746" s="292">
        <f t="shared" ca="1" si="422"/>
        <v>0</v>
      </c>
      <c r="AB746" s="293" t="str">
        <f t="shared" ca="1" si="423"/>
        <v>MEDIR</v>
      </c>
      <c r="AC746" s="294">
        <f t="shared" ca="1" si="424"/>
        <v>55</v>
      </c>
      <c r="AD746" s="294">
        <f t="shared" ca="1" si="425"/>
        <v>4569.3999999999996</v>
      </c>
      <c r="AE746" s="295"/>
      <c r="AF746" s="295"/>
      <c r="AG746" s="296"/>
      <c r="AH746" s="296"/>
      <c r="AI746" s="296"/>
      <c r="AJ746" s="326"/>
      <c r="AK746" s="326"/>
      <c r="AL746" s="326"/>
      <c r="AM746" s="326"/>
    </row>
    <row r="747" spans="1:39" ht="51" x14ac:dyDescent="0.25">
      <c r="A747" s="232">
        <f t="shared" si="418"/>
        <v>747</v>
      </c>
      <c r="B747" s="232"/>
      <c r="C747" s="307" t="str">
        <f>+C746</f>
        <v>17.1</v>
      </c>
      <c r="D747" s="308">
        <f>1+D746</f>
        <v>3</v>
      </c>
      <c r="E747" s="309" t="str">
        <f>C747&amp;"."&amp;D747</f>
        <v>17.1.3</v>
      </c>
      <c r="F747" s="310" t="s">
        <v>12387</v>
      </c>
      <c r="G747" s="311" t="str">
        <f>IF($F747="","",IFERROR(VLOOKUP($F747,SERVIÇOS!$B:$G,2,0),IFERROR(VLOOKUP($F747,'COMPOSIÇÕES COMPLEMENTARES '!$D:$L,2,0),IFERROR(VLOOKUP($F747,INSUMOS!$A:$D,2,0),""))))</f>
        <v>TUBULAÇÃO DE INTERLIGAÇÃO FRIGORÍGENA PARA REDES DE AR CONDICIONADO DIÂMETRO NOMINAL Ø12,7MM (Ø1/2") - ESPESSURA MÍNIMA 0,8MM COM ISOLAMENTO TÉRMICO FLEXÍVEL DE ESPUMA ELASTOMÉRICA COM ESPESSURA MÍNIMA DE PAREDE DE 19MM E DIÂMETRO INTERNO MÍNIMO DE 13 A 14,5MM PARA TUBOS DE COBRE Ø1/2". REFERÊNCIA: ARMACELL LINHA ARMAFLEX M</v>
      </c>
      <c r="H747" s="312" t="str">
        <f>IF($F747="","",IFERROR(VLOOKUP($F747,SERVIÇOS!$B:$G,3,0),IFERROR(VLOOKUP($F747,'COMPOSIÇÕES COMPLEMENTARES '!$D:$L,3,0),IFERROR(VLOOKUP($F747,INSUMOS!$A:$D,3,0),""))))</f>
        <v>M</v>
      </c>
      <c r="I747" s="313">
        <v>45</v>
      </c>
      <c r="J747" s="314">
        <f>IF($F747="","",IFERROR(VLOOKUP($F747,SERVIÇOS!$B:$G,4,0),IFERROR(VLOOKUP($F747,'COMPOSIÇÕES COMPLEMENTARES '!$D:$L,6,0),IFERROR(VLOOKUP($F747,INSUMOS!$A:$D,4,0),""))))</f>
        <v>62.459999999999994</v>
      </c>
      <c r="K747" s="314">
        <f>IF($F747="","",IFERROR(VLOOKUP($F747,SERVIÇOS!$B:$G,5,0),IFERROR(VLOOKUP($F747,'COMPOSIÇÕES COMPLEMENTARES '!$D:$L,7,0),0)))</f>
        <v>23.32</v>
      </c>
      <c r="L747" s="314">
        <f>IF(I747="","",J747+K747)</f>
        <v>85.78</v>
      </c>
      <c r="M747" s="314">
        <f>IF(I747="","",TRUNC((I747*J747),2))</f>
        <v>2810.7</v>
      </c>
      <c r="N747" s="314">
        <f>IF(I747="","",TRUNC((I747*K747),2))</f>
        <v>1049.4000000000001</v>
      </c>
      <c r="O747" s="314">
        <f>IF(I747="","",TRUNC((M747+N747),2))</f>
        <v>3860.1</v>
      </c>
      <c r="P747" s="314"/>
      <c r="Q747" s="315"/>
      <c r="R747" s="315"/>
      <c r="S747" s="286"/>
      <c r="T747" s="287"/>
      <c r="U747" s="288" t="str">
        <f t="shared" si="419"/>
        <v/>
      </c>
      <c r="V747" s="287"/>
      <c r="W747" s="289" t="str">
        <f t="shared" si="420"/>
        <v/>
      </c>
      <c r="X747" s="287"/>
      <c r="Y747" s="290" t="str">
        <f t="shared" si="421"/>
        <v/>
      </c>
      <c r="Z747" s="291">
        <f ca="1">SUMIF($T$8:Y$1018,"QUANT.",T747:Y747)</f>
        <v>0</v>
      </c>
      <c r="AA747" s="292">
        <f t="shared" ca="1" si="422"/>
        <v>0</v>
      </c>
      <c r="AB747" s="293" t="str">
        <f t="shared" ca="1" si="423"/>
        <v>MEDIR</v>
      </c>
      <c r="AC747" s="294">
        <f t="shared" ca="1" si="424"/>
        <v>45</v>
      </c>
      <c r="AD747" s="294">
        <f t="shared" ca="1" si="425"/>
        <v>3860.1</v>
      </c>
      <c r="AE747" s="295"/>
      <c r="AF747" s="295"/>
      <c r="AG747" s="296"/>
      <c r="AH747" s="296"/>
      <c r="AI747" s="296"/>
      <c r="AJ747" s="326"/>
      <c r="AK747" s="326"/>
      <c r="AL747" s="326"/>
      <c r="AM747" s="326"/>
    </row>
    <row r="748" spans="1:39" ht="51" x14ac:dyDescent="0.25">
      <c r="A748" s="232">
        <f t="shared" si="418"/>
        <v>748</v>
      </c>
      <c r="B748" s="232"/>
      <c r="C748" s="307" t="str">
        <f>+C747</f>
        <v>17.1</v>
      </c>
      <c r="D748" s="308">
        <f>1+D747</f>
        <v>4</v>
      </c>
      <c r="E748" s="309" t="str">
        <f>C748&amp;"."&amp;D748</f>
        <v>17.1.4</v>
      </c>
      <c r="F748" s="310" t="s">
        <v>12388</v>
      </c>
      <c r="G748" s="311" t="str">
        <f>IF($F748="","",IFERROR(VLOOKUP($F748,SERVIÇOS!$B:$G,2,0),IFERROR(VLOOKUP($F748,'COMPOSIÇÕES COMPLEMENTARES '!$D:$L,2,0),IFERROR(VLOOKUP($F748,INSUMOS!$A:$D,2,0),""))))</f>
        <v>TUBULAÇÃO DE INTERLIGAÇÃO FRIGORÍGENA PARA REDES DE AR CONDICIONADO DIÂMETRO NOMINAL Ø15,87MM (Ø5/8") - ESPESSURA MÍNIMA 0,8MM COM ISOLAMENTO TÉRMICO FLEXÍVEL DE ESPUMA ELASTOMÉRICA COM ESPESSURA MÍNIMA DE PAREDE DE 19MM E DIÂMETRO INTERNO MÍNIMO DE 16 A 17,5MM PARA TUBOS DE COBRE Ø5/8". REFERÊNCIA: ARMACELL LINHA ARMAFLEX M</v>
      </c>
      <c r="H748" s="312" t="str">
        <f>IF($F748="","",IFERROR(VLOOKUP($F748,SERVIÇOS!$B:$G,3,0),IFERROR(VLOOKUP($F748,'COMPOSIÇÕES COMPLEMENTARES '!$D:$L,3,0),IFERROR(VLOOKUP($F748,INSUMOS!$A:$D,3,0),""))))</f>
        <v>M</v>
      </c>
      <c r="I748" s="313">
        <v>20</v>
      </c>
      <c r="J748" s="314">
        <f>IF($F748="","",IFERROR(VLOOKUP($F748,SERVIÇOS!$B:$G,4,0),IFERROR(VLOOKUP($F748,'COMPOSIÇÕES COMPLEMENTARES '!$D:$L,6,0),IFERROR(VLOOKUP($F748,INSUMOS!$A:$D,4,0),""))))</f>
        <v>75.45</v>
      </c>
      <c r="K748" s="314">
        <f>IF($F748="","",IFERROR(VLOOKUP($F748,SERVIÇOS!$B:$G,5,0),IFERROR(VLOOKUP($F748,'COMPOSIÇÕES COMPLEMENTARES '!$D:$L,7,0),0)))</f>
        <v>23.32</v>
      </c>
      <c r="L748" s="314">
        <f>IF(I748="","",J748+K748)</f>
        <v>98.77000000000001</v>
      </c>
      <c r="M748" s="314">
        <f>IF(I748="","",TRUNC((I748*J748),2))</f>
        <v>1509</v>
      </c>
      <c r="N748" s="314">
        <f>IF(I748="","",TRUNC((I748*K748),2))</f>
        <v>466.4</v>
      </c>
      <c r="O748" s="314">
        <f>IF(I748="","",TRUNC((M748+N748),2))</f>
        <v>1975.4</v>
      </c>
      <c r="P748" s="314"/>
      <c r="Q748" s="315"/>
      <c r="R748" s="315"/>
      <c r="S748" s="286"/>
      <c r="T748" s="287"/>
      <c r="U748" s="288" t="str">
        <f t="shared" si="419"/>
        <v/>
      </c>
      <c r="V748" s="287"/>
      <c r="W748" s="289" t="str">
        <f t="shared" si="420"/>
        <v/>
      </c>
      <c r="X748" s="287"/>
      <c r="Y748" s="290" t="str">
        <f t="shared" si="421"/>
        <v/>
      </c>
      <c r="Z748" s="291">
        <f ca="1">SUMIF($T$8:Y$1018,"QUANT.",T748:Y748)</f>
        <v>0</v>
      </c>
      <c r="AA748" s="292">
        <f t="shared" ca="1" si="422"/>
        <v>0</v>
      </c>
      <c r="AB748" s="293" t="str">
        <f t="shared" ca="1" si="423"/>
        <v>MEDIR</v>
      </c>
      <c r="AC748" s="294">
        <f t="shared" ca="1" si="424"/>
        <v>20</v>
      </c>
      <c r="AD748" s="294">
        <f t="shared" ca="1" si="425"/>
        <v>1975.4</v>
      </c>
      <c r="AE748" s="295"/>
      <c r="AF748" s="295"/>
      <c r="AG748" s="296"/>
      <c r="AH748" s="296"/>
      <c r="AI748" s="296"/>
      <c r="AJ748" s="326"/>
      <c r="AK748" s="326"/>
      <c r="AL748" s="326"/>
      <c r="AM748" s="326"/>
    </row>
    <row r="749" spans="1:39" ht="51" x14ac:dyDescent="0.25">
      <c r="A749" s="232">
        <f t="shared" si="418"/>
        <v>749</v>
      </c>
      <c r="B749" s="232"/>
      <c r="C749" s="307" t="str">
        <f>+C748</f>
        <v>17.1</v>
      </c>
      <c r="D749" s="308">
        <f>1+D748</f>
        <v>5</v>
      </c>
      <c r="E749" s="309" t="str">
        <f>C749&amp;"."&amp;D749</f>
        <v>17.1.5</v>
      </c>
      <c r="F749" s="310" t="s">
        <v>12389</v>
      </c>
      <c r="G749" s="311" t="str">
        <f>IF($F749="","",IFERROR(VLOOKUP($F749,SERVIÇOS!$B:$G,2,0),IFERROR(VLOOKUP($F749,'COMPOSIÇÕES COMPLEMENTARES '!$D:$L,2,0),IFERROR(VLOOKUP($F749,INSUMOS!$A:$D,2,0),""))))</f>
        <v>TUBULAÇÃO DE INTERLIGAÇÃO FRIGORÍGENA PARA REDES DE AR CONDICIONADO DIÂMETRO NOMINAL Ø19,05MM (Ø3/4") - ESPESSURA MÍNIMA 0,8MM COM ISOLAMENTO TÉRMICO FLEXÍVEL DE ESPUMA ELASTOMÉRICA COM ESPESSURA MÍNIMA DE PAREDE DE 23MM E DIÂMETRO INTERNO MÍNIMO DE 19 A 20,5MM PARA TUBOS DE COBRE Ø3/4". REFERÊNCIA: ARMACELL LINHA ARMAFLEX M</v>
      </c>
      <c r="H749" s="312" t="str">
        <f>IF($F749="","",IFERROR(VLOOKUP($F749,SERVIÇOS!$B:$G,3,0),IFERROR(VLOOKUP($F749,'COMPOSIÇÕES COMPLEMENTARES '!$D:$L,3,0),IFERROR(VLOOKUP($F749,INSUMOS!$A:$D,3,0),""))))</f>
        <v>M</v>
      </c>
      <c r="I749" s="313">
        <v>35</v>
      </c>
      <c r="J749" s="314">
        <f>IF($F749="","",IFERROR(VLOOKUP($F749,SERVIÇOS!$B:$G,4,0),IFERROR(VLOOKUP($F749,'COMPOSIÇÕES COMPLEMENTARES '!$D:$L,6,0),IFERROR(VLOOKUP($F749,INSUMOS!$A:$D,4,0),""))))</f>
        <v>98.79</v>
      </c>
      <c r="K749" s="314">
        <f>IF($F749="","",IFERROR(VLOOKUP($F749,SERVIÇOS!$B:$G,5,0),IFERROR(VLOOKUP($F749,'COMPOSIÇÕES COMPLEMENTARES '!$D:$L,7,0),0)))</f>
        <v>23.32</v>
      </c>
      <c r="L749" s="314">
        <f>IF(I749="","",J749+K749)</f>
        <v>122.11000000000001</v>
      </c>
      <c r="M749" s="314">
        <f>IF(I749="","",TRUNC((I749*J749),2))</f>
        <v>3457.65</v>
      </c>
      <c r="N749" s="314">
        <f>IF(I749="","",TRUNC((I749*K749),2))</f>
        <v>816.2</v>
      </c>
      <c r="O749" s="314">
        <f>IF(I749="","",TRUNC((M749+N749),2))</f>
        <v>4273.8500000000004</v>
      </c>
      <c r="P749" s="314"/>
      <c r="Q749" s="315"/>
      <c r="R749" s="315"/>
      <c r="S749" s="286"/>
      <c r="T749" s="287"/>
      <c r="U749" s="288" t="str">
        <f t="shared" si="419"/>
        <v/>
      </c>
      <c r="V749" s="287"/>
      <c r="W749" s="289" t="str">
        <f t="shared" si="420"/>
        <v/>
      </c>
      <c r="X749" s="287"/>
      <c r="Y749" s="290" t="str">
        <f t="shared" si="421"/>
        <v/>
      </c>
      <c r="Z749" s="291">
        <f ca="1">SUMIF($T$8:Y$1018,"QUANT.",T749:Y749)</f>
        <v>0</v>
      </c>
      <c r="AA749" s="292">
        <f t="shared" ca="1" si="422"/>
        <v>0</v>
      </c>
      <c r="AB749" s="293" t="str">
        <f t="shared" ca="1" si="423"/>
        <v>MEDIR</v>
      </c>
      <c r="AC749" s="294">
        <f t="shared" ca="1" si="424"/>
        <v>35</v>
      </c>
      <c r="AD749" s="294">
        <f t="shared" ca="1" si="425"/>
        <v>4273.8500000000004</v>
      </c>
      <c r="AE749" s="295"/>
      <c r="AF749" s="295"/>
      <c r="AG749" s="296"/>
      <c r="AH749" s="296"/>
      <c r="AI749" s="296"/>
      <c r="AJ749" s="326"/>
      <c r="AK749" s="326"/>
      <c r="AL749" s="326"/>
      <c r="AM749" s="326"/>
    </row>
    <row r="750" spans="1:39" ht="25.5" x14ac:dyDescent="0.25">
      <c r="A750" s="232">
        <f t="shared" si="418"/>
        <v>750</v>
      </c>
      <c r="B750" s="232"/>
      <c r="C750" s="316" t="str">
        <f>+E750</f>
        <v>17.2</v>
      </c>
      <c r="D750" s="297"/>
      <c r="E750" s="317" t="s">
        <v>12390</v>
      </c>
      <c r="F750" s="317"/>
      <c r="G750" s="327" t="s">
        <v>12391</v>
      </c>
      <c r="H750" s="317"/>
      <c r="I750" s="344"/>
      <c r="J750" s="317"/>
      <c r="K750" s="317"/>
      <c r="L750" s="317"/>
      <c r="M750" s="317"/>
      <c r="N750" s="317"/>
      <c r="O750" s="317"/>
      <c r="P750" s="317"/>
      <c r="Q750" s="320"/>
      <c r="R750" s="306"/>
      <c r="S750" s="286"/>
      <c r="T750" s="287"/>
      <c r="U750" s="288" t="str">
        <f t="shared" si="419"/>
        <v/>
      </c>
      <c r="V750" s="287"/>
      <c r="W750" s="289" t="str">
        <f t="shared" si="420"/>
        <v/>
      </c>
      <c r="X750" s="287"/>
      <c r="Y750" s="290" t="str">
        <f t="shared" si="421"/>
        <v/>
      </c>
      <c r="Z750" s="291">
        <f ca="1">SUMIF($T$8:Y$1018,"QUANT.",T750:Y750)</f>
        <v>0</v>
      </c>
      <c r="AA750" s="292">
        <f t="shared" ca="1" si="422"/>
        <v>0</v>
      </c>
      <c r="AB750" s="293" t="str">
        <f t="shared" si="423"/>
        <v/>
      </c>
      <c r="AC750" s="294">
        <f t="shared" ca="1" si="424"/>
        <v>0</v>
      </c>
      <c r="AD750" s="294">
        <f t="shared" ca="1" si="425"/>
        <v>0</v>
      </c>
      <c r="AE750" s="295"/>
      <c r="AF750" s="295"/>
      <c r="AG750" s="296"/>
      <c r="AH750" s="296"/>
      <c r="AI750" s="296"/>
      <c r="AJ750" s="326"/>
      <c r="AK750" s="326"/>
      <c r="AL750" s="326"/>
      <c r="AM750" s="326"/>
    </row>
    <row r="751" spans="1:39" ht="51" x14ac:dyDescent="0.25">
      <c r="A751" s="232">
        <f t="shared" si="418"/>
        <v>751</v>
      </c>
      <c r="B751" s="232"/>
      <c r="C751" s="307" t="str">
        <f>+C750</f>
        <v>17.2</v>
      </c>
      <c r="D751" s="308">
        <f>1+D750</f>
        <v>1</v>
      </c>
      <c r="E751" s="309" t="str">
        <f>C751&amp;"."&amp;D751</f>
        <v>17.2.1</v>
      </c>
      <c r="F751" s="310" t="s">
        <v>12392</v>
      </c>
      <c r="G751" s="311" t="str">
        <f>IF($F751="","",IFERROR(VLOOKUP($F751,SERVIÇOS!$B:$G,2,0),IFERROR(VLOOKUP($F751,'COMPOSIÇÕES COMPLEMENTARES '!$D:$L,2,0),IFERROR(VLOOKUP($F751,INSUMOS!$A:$D,2,0),""))))</f>
        <v>TUBULAÇÃO DE INTERLIGAÇÃO FRIGORÍGENA PARA REDES DE AR CONDICIONADO DIÂMETRO NOMINAL 22,22MM (Ø7/8") - ESPESSURA MÍNIMA 0,8MM COM ISOLAMENTO TÉRMICO FLEXÍVEL DE ESPUMA ELASTOMÉRICA COM ESPESSURA MÍNIMA DE PAREDE DE 23MM E DIÂMETRO INTERNO MÍNIMO DE 23 A 24,5MM PARA TUBOS DE COBRE Ø7/8". REFERÊNCIA: ARMACELL LINHA ARMAFLEX M</v>
      </c>
      <c r="H751" s="312" t="str">
        <f>IF($F751="","",IFERROR(VLOOKUP($F751,SERVIÇOS!$B:$G,3,0),IFERROR(VLOOKUP($F751,'COMPOSIÇÕES COMPLEMENTARES '!$D:$L,3,0),IFERROR(VLOOKUP($F751,INSUMOS!$A:$D,3,0),""))))</f>
        <v>M</v>
      </c>
      <c r="I751" s="313">
        <v>15</v>
      </c>
      <c r="J751" s="314">
        <f>IF($F751="","",IFERROR(VLOOKUP($F751,SERVIÇOS!$B:$G,4,0),IFERROR(VLOOKUP($F751,'COMPOSIÇÕES COMPLEMENTARES '!$D:$L,6,0),IFERROR(VLOOKUP($F751,INSUMOS!$A:$D,4,0),""))))</f>
        <v>140.75</v>
      </c>
      <c r="K751" s="314">
        <f>IF($F751="","",IFERROR(VLOOKUP($F751,SERVIÇOS!$B:$G,5,0),IFERROR(VLOOKUP($F751,'COMPOSIÇÕES COMPLEMENTARES '!$D:$L,7,0),0)))</f>
        <v>23.32</v>
      </c>
      <c r="L751" s="314">
        <f>IF(I751="","",J751+K751)</f>
        <v>164.07</v>
      </c>
      <c r="M751" s="314">
        <f>IF(I751="","",TRUNC((I751*J751),2))</f>
        <v>2111.25</v>
      </c>
      <c r="N751" s="314">
        <f>IF(I751="","",TRUNC((I751*K751),2))</f>
        <v>349.8</v>
      </c>
      <c r="O751" s="314">
        <f>IF(I751="","",TRUNC((M751+N751),2))</f>
        <v>2461.0500000000002</v>
      </c>
      <c r="P751" s="314"/>
      <c r="Q751" s="315"/>
      <c r="R751" s="315"/>
      <c r="S751" s="286"/>
      <c r="T751" s="287"/>
      <c r="U751" s="288" t="str">
        <f t="shared" si="419"/>
        <v/>
      </c>
      <c r="V751" s="287"/>
      <c r="W751" s="289" t="str">
        <f t="shared" si="420"/>
        <v/>
      </c>
      <c r="X751" s="287"/>
      <c r="Y751" s="290" t="str">
        <f t="shared" si="421"/>
        <v/>
      </c>
      <c r="Z751" s="291">
        <f ca="1">SUMIF($T$8:Y$1018,"QUANT.",T751:Y751)</f>
        <v>0</v>
      </c>
      <c r="AA751" s="292">
        <f t="shared" ca="1" si="422"/>
        <v>0</v>
      </c>
      <c r="AB751" s="293" t="str">
        <f t="shared" ca="1" si="423"/>
        <v>MEDIR</v>
      </c>
      <c r="AC751" s="294">
        <f t="shared" ca="1" si="424"/>
        <v>15</v>
      </c>
      <c r="AD751" s="294">
        <f t="shared" ca="1" si="425"/>
        <v>2461.0500000000002</v>
      </c>
      <c r="AE751" s="295"/>
      <c r="AF751" s="295"/>
      <c r="AG751" s="296"/>
      <c r="AH751" s="296"/>
      <c r="AI751" s="296"/>
      <c r="AJ751" s="326"/>
      <c r="AK751" s="326"/>
      <c r="AL751" s="326"/>
      <c r="AM751" s="326"/>
    </row>
    <row r="752" spans="1:39" ht="51" x14ac:dyDescent="0.25">
      <c r="A752" s="232">
        <f t="shared" si="418"/>
        <v>752</v>
      </c>
      <c r="B752" s="232"/>
      <c r="C752" s="307" t="str">
        <f>+C751</f>
        <v>17.2</v>
      </c>
      <c r="D752" s="308">
        <f>1+D751</f>
        <v>2</v>
      </c>
      <c r="E752" s="309" t="str">
        <f>C752&amp;"."&amp;D752</f>
        <v>17.2.2</v>
      </c>
      <c r="F752" s="310" t="s">
        <v>12393</v>
      </c>
      <c r="G752" s="311" t="str">
        <f>IF($F752="","",IFERROR(VLOOKUP($F752,SERVIÇOS!$B:$G,2,0),IFERROR(VLOOKUP($F752,'COMPOSIÇÕES COMPLEMENTARES '!$D:$L,2,0),IFERROR(VLOOKUP($F752,INSUMOS!$A:$D,2,0),""))))</f>
        <v>TUBULAÇÃO DE INTERLIGAÇÃO FRIGORÍGENA PARA REDES DE AR CONDICIONADO DIÂMETRO NOMINAL Ø30MM (Ø1.1/8") - ESPESSURA MÍNIMA 0,8MM COM ISOLAMENTO TÉRMICO FLEXÍVEL DE ESPUMA ELASTOMÉRICA COM ESPESSURA MÍNIMA DE PAREDE DE 23MM E DIÂMETRO INTERNO MÍNIMO DE 29 A 30,5MM PARA TUBOS DE COBRE Ø1.1/8". REFERÊNCIA: ARMACELL LINHA ARMAFLEX M</v>
      </c>
      <c r="H752" s="312" t="str">
        <f>IF($F752="","",IFERROR(VLOOKUP($F752,SERVIÇOS!$B:$G,3,0),IFERROR(VLOOKUP($F752,'COMPOSIÇÕES COMPLEMENTARES '!$D:$L,3,0),IFERROR(VLOOKUP($F752,INSUMOS!$A:$D,3,0),""))))</f>
        <v>M</v>
      </c>
      <c r="I752" s="313">
        <v>5</v>
      </c>
      <c r="J752" s="314">
        <f>IF($F752="","",IFERROR(VLOOKUP($F752,SERVIÇOS!$B:$G,4,0),IFERROR(VLOOKUP($F752,'COMPOSIÇÕES COMPLEMENTARES '!$D:$L,6,0),IFERROR(VLOOKUP($F752,INSUMOS!$A:$D,4,0),""))))</f>
        <v>147.86000000000001</v>
      </c>
      <c r="K752" s="314">
        <f>IF($F752="","",IFERROR(VLOOKUP($F752,SERVIÇOS!$B:$G,5,0),IFERROR(VLOOKUP($F752,'COMPOSIÇÕES COMPLEMENTARES '!$D:$L,7,0),0)))</f>
        <v>23.32</v>
      </c>
      <c r="L752" s="314">
        <f>IF(I752="","",J752+K752)</f>
        <v>171.18</v>
      </c>
      <c r="M752" s="314">
        <f>IF(I752="","",TRUNC((I752*J752),2))</f>
        <v>739.3</v>
      </c>
      <c r="N752" s="314">
        <f>IF(I752="","",TRUNC((I752*K752),2))</f>
        <v>116.6</v>
      </c>
      <c r="O752" s="314">
        <f>IF(I752="","",TRUNC((M752+N752),2))</f>
        <v>855.9</v>
      </c>
      <c r="P752" s="314"/>
      <c r="Q752" s="315"/>
      <c r="R752" s="315"/>
      <c r="S752" s="286"/>
      <c r="T752" s="287"/>
      <c r="U752" s="288" t="str">
        <f t="shared" si="419"/>
        <v/>
      </c>
      <c r="V752" s="287"/>
      <c r="W752" s="289" t="str">
        <f t="shared" si="420"/>
        <v/>
      </c>
      <c r="X752" s="287"/>
      <c r="Y752" s="290" t="str">
        <f t="shared" si="421"/>
        <v/>
      </c>
      <c r="Z752" s="291">
        <f ca="1">SUMIF($T$8:Y$1018,"QUANT.",T752:Y752)</f>
        <v>0</v>
      </c>
      <c r="AA752" s="292">
        <f t="shared" ca="1" si="422"/>
        <v>0</v>
      </c>
      <c r="AB752" s="293" t="str">
        <f t="shared" ca="1" si="423"/>
        <v>MEDIR</v>
      </c>
      <c r="AC752" s="294">
        <f t="shared" ca="1" si="424"/>
        <v>5</v>
      </c>
      <c r="AD752" s="294">
        <f t="shared" ca="1" si="425"/>
        <v>855.9</v>
      </c>
      <c r="AE752" s="295"/>
      <c r="AF752" s="295"/>
      <c r="AG752" s="296"/>
      <c r="AH752" s="296"/>
      <c r="AI752" s="296"/>
      <c r="AJ752" s="326"/>
      <c r="AK752" s="326"/>
      <c r="AL752" s="326"/>
      <c r="AM752" s="326"/>
    </row>
    <row r="753" spans="1:39" x14ac:dyDescent="0.25">
      <c r="A753" s="232">
        <f t="shared" si="418"/>
        <v>753</v>
      </c>
      <c r="B753" s="232"/>
      <c r="C753" s="316" t="str">
        <f>+E753</f>
        <v>17.3</v>
      </c>
      <c r="D753" s="297"/>
      <c r="E753" s="317" t="s">
        <v>12394</v>
      </c>
      <c r="F753" s="317"/>
      <c r="G753" s="327" t="s">
        <v>12395</v>
      </c>
      <c r="H753" s="317"/>
      <c r="I753" s="344"/>
      <c r="J753" s="317"/>
      <c r="K753" s="317"/>
      <c r="L753" s="317"/>
      <c r="M753" s="317"/>
      <c r="N753" s="317"/>
      <c r="O753" s="317"/>
      <c r="P753" s="317"/>
      <c r="Q753" s="320"/>
      <c r="R753" s="306"/>
      <c r="S753" s="286"/>
      <c r="T753" s="287"/>
      <c r="U753" s="288" t="str">
        <f t="shared" si="419"/>
        <v/>
      </c>
      <c r="V753" s="287"/>
      <c r="W753" s="289" t="str">
        <f t="shared" si="420"/>
        <v/>
      </c>
      <c r="X753" s="287"/>
      <c r="Y753" s="290" t="str">
        <f t="shared" si="421"/>
        <v/>
      </c>
      <c r="Z753" s="291">
        <f ca="1">SUMIF($T$8:Y$1018,"QUANT.",T753:Y753)</f>
        <v>0</v>
      </c>
      <c r="AA753" s="292">
        <f t="shared" ca="1" si="422"/>
        <v>0</v>
      </c>
      <c r="AB753" s="293" t="str">
        <f t="shared" si="423"/>
        <v/>
      </c>
      <c r="AC753" s="294">
        <f t="shared" ca="1" si="424"/>
        <v>0</v>
      </c>
      <c r="AD753" s="294">
        <f t="shared" ca="1" si="425"/>
        <v>0</v>
      </c>
      <c r="AE753" s="295"/>
      <c r="AF753" s="295"/>
      <c r="AG753" s="296"/>
      <c r="AH753" s="296"/>
      <c r="AI753" s="296"/>
      <c r="AJ753" s="326"/>
      <c r="AK753" s="326"/>
      <c r="AL753" s="326"/>
      <c r="AM753" s="326"/>
    </row>
    <row r="754" spans="1:39" ht="38.25" x14ac:dyDescent="0.25">
      <c r="A754" s="232">
        <f t="shared" si="418"/>
        <v>754</v>
      </c>
      <c r="B754" s="232"/>
      <c r="C754" s="307" t="str">
        <f>+C753</f>
        <v>17.3</v>
      </c>
      <c r="D754" s="308">
        <f>1+D753</f>
        <v>1</v>
      </c>
      <c r="E754" s="309" t="str">
        <f>C754&amp;"."&amp;D754</f>
        <v>17.3.1</v>
      </c>
      <c r="F754" s="310" t="s">
        <v>12396</v>
      </c>
      <c r="G754" s="311" t="str">
        <f>IF($F754="","",IFERROR(VLOOKUP($F754,SERVIÇOS!$B:$G,2,0),IFERROR(VLOOKUP($F754,'COMPOSIÇÕES COMPLEMENTARES '!$D:$L,2,0),IFERROR(VLOOKUP($F754,INSUMOS!$A:$D,2,0),""))))</f>
        <v>VÁLVULA DE ESFERA Ø1/4" PARA TUBULAÇÃO DE COBRE EM REDES FRIGORÍGENAS COM CORPO E ACENTO DE ESTRUTURA SOLDADA, TEMPERATURA DE TRABALHO DE -40°C A +120°C, PRESSÃO MÁXIMA 45 BAR. REFERÊNCIA: SANHUA SBV02-019, DANFOSS GBC OU EQUIVALENTE</v>
      </c>
      <c r="H754" s="312" t="str">
        <f>IF($F754="","",IFERROR(VLOOKUP($F754,SERVIÇOS!$B:$G,3,0),IFERROR(VLOOKUP($F754,'COMPOSIÇÕES COMPLEMENTARES '!$D:$L,3,0),IFERROR(VLOOKUP($F754,INSUMOS!$A:$D,3,0),""))))</f>
        <v>UN</v>
      </c>
      <c r="I754" s="313">
        <v>14</v>
      </c>
      <c r="J754" s="314">
        <f>IF($F754="","",IFERROR(VLOOKUP($F754,SERVIÇOS!$B:$G,4,0),IFERROR(VLOOKUP($F754,'COMPOSIÇÕES COMPLEMENTARES '!$D:$L,6,0),IFERROR(VLOOKUP($F754,INSUMOS!$A:$D,4,0),""))))</f>
        <v>130.88</v>
      </c>
      <c r="K754" s="314">
        <f>IF($F754="","",IFERROR(VLOOKUP($F754,SERVIÇOS!$B:$G,5,0),IFERROR(VLOOKUP($F754,'COMPOSIÇÕES COMPLEMENTARES '!$D:$L,7,0),0)))</f>
        <v>8.74</v>
      </c>
      <c r="L754" s="314">
        <f>IF(I754="","",J754+K754)</f>
        <v>139.62</v>
      </c>
      <c r="M754" s="314">
        <f>IF(I754="","",TRUNC((I754*J754),2))</f>
        <v>1832.32</v>
      </c>
      <c r="N754" s="314">
        <f>IF(I754="","",TRUNC((I754*K754),2))</f>
        <v>122.36</v>
      </c>
      <c r="O754" s="314">
        <f>IF(I754="","",TRUNC((M754+N754),2))</f>
        <v>1954.68</v>
      </c>
      <c r="P754" s="314"/>
      <c r="Q754" s="315"/>
      <c r="R754" s="315"/>
      <c r="S754" s="286"/>
      <c r="T754" s="287"/>
      <c r="U754" s="288" t="str">
        <f t="shared" si="419"/>
        <v/>
      </c>
      <c r="V754" s="287"/>
      <c r="W754" s="289" t="str">
        <f t="shared" si="420"/>
        <v/>
      </c>
      <c r="X754" s="287"/>
      <c r="Y754" s="290" t="str">
        <f t="shared" si="421"/>
        <v/>
      </c>
      <c r="Z754" s="291">
        <f ca="1">SUMIF($T$8:Y$1018,"QUANT.",T754:Y754)</f>
        <v>0</v>
      </c>
      <c r="AA754" s="292">
        <f t="shared" ca="1" si="422"/>
        <v>0</v>
      </c>
      <c r="AB754" s="293" t="str">
        <f t="shared" ca="1" si="423"/>
        <v>MEDIR</v>
      </c>
      <c r="AC754" s="294">
        <f t="shared" ca="1" si="424"/>
        <v>14</v>
      </c>
      <c r="AD754" s="294">
        <f t="shared" ca="1" si="425"/>
        <v>1954.68</v>
      </c>
      <c r="AE754" s="295"/>
      <c r="AF754" s="295"/>
      <c r="AG754" s="296"/>
      <c r="AH754" s="296"/>
      <c r="AI754" s="296"/>
      <c r="AJ754" s="326"/>
      <c r="AK754" s="326"/>
      <c r="AL754" s="326"/>
      <c r="AM754" s="326"/>
    </row>
    <row r="755" spans="1:39" ht="38.25" x14ac:dyDescent="0.25">
      <c r="A755" s="232">
        <f t="shared" si="418"/>
        <v>755</v>
      </c>
      <c r="B755" s="232"/>
      <c r="C755" s="307" t="str">
        <f>+C754</f>
        <v>17.3</v>
      </c>
      <c r="D755" s="308">
        <f>1+D754</f>
        <v>2</v>
      </c>
      <c r="E755" s="309" t="str">
        <f>C755&amp;"."&amp;D755</f>
        <v>17.3.2</v>
      </c>
      <c r="F755" s="310" t="s">
        <v>12397</v>
      </c>
      <c r="G755" s="311" t="str">
        <f>IF($F755="","",IFERROR(VLOOKUP($F755,SERVIÇOS!$B:$G,2,0),IFERROR(VLOOKUP($F755,'COMPOSIÇÕES COMPLEMENTARES '!$D:$L,2,0),IFERROR(VLOOKUP($F755,INSUMOS!$A:$D,2,0),""))))</f>
        <v>VÁLVULA DE ESFERA Ø3/8" PARA TUBULAÇÃO DE COBRE EM REDES FRIGORÍGENAS COM CORPO E ACENTO DE ESTRUTURA SOLDADA, TEMPERATURA DE TRABALHO DE -40°C A +120°C, PRESSÃO MÁXIMA 45 BAR. REFERÊNCIA: SANHUA SBV03-019, DANFOSS GBC OU EQUIVALENTE</v>
      </c>
      <c r="H755" s="312" t="str">
        <f>IF($F755="","",IFERROR(VLOOKUP($F755,SERVIÇOS!$B:$G,3,0),IFERROR(VLOOKUP($F755,'COMPOSIÇÕES COMPLEMENTARES '!$D:$L,3,0),IFERROR(VLOOKUP($F755,INSUMOS!$A:$D,3,0),""))))</f>
        <v>UN</v>
      </c>
      <c r="I755" s="313">
        <v>1</v>
      </c>
      <c r="J755" s="314">
        <f>IF($F755="","",IFERROR(VLOOKUP($F755,SERVIÇOS!$B:$G,4,0),IFERROR(VLOOKUP($F755,'COMPOSIÇÕES COMPLEMENTARES '!$D:$L,6,0),IFERROR(VLOOKUP($F755,INSUMOS!$A:$D,4,0),""))))</f>
        <v>147.16999999999999</v>
      </c>
      <c r="K755" s="314">
        <f>IF($F755="","",IFERROR(VLOOKUP($F755,SERVIÇOS!$B:$G,5,0),IFERROR(VLOOKUP($F755,'COMPOSIÇÕES COMPLEMENTARES '!$D:$L,7,0),0)))</f>
        <v>8.74</v>
      </c>
      <c r="L755" s="314">
        <f>IF(I755="","",J755+K755)</f>
        <v>155.91</v>
      </c>
      <c r="M755" s="314">
        <f>IF(I755="","",TRUNC((I755*J755),2))</f>
        <v>147.16999999999999</v>
      </c>
      <c r="N755" s="314">
        <f>IF(I755="","",TRUNC((I755*K755),2))</f>
        <v>8.74</v>
      </c>
      <c r="O755" s="314">
        <f>IF(I755="","",TRUNC((M755+N755),2))</f>
        <v>155.91</v>
      </c>
      <c r="P755" s="314"/>
      <c r="Q755" s="315"/>
      <c r="R755" s="315"/>
      <c r="S755" s="286"/>
      <c r="T755" s="287"/>
      <c r="U755" s="288" t="str">
        <f t="shared" si="419"/>
        <v/>
      </c>
      <c r="V755" s="287"/>
      <c r="W755" s="289" t="str">
        <f t="shared" si="420"/>
        <v/>
      </c>
      <c r="X755" s="287"/>
      <c r="Y755" s="290" t="str">
        <f t="shared" si="421"/>
        <v/>
      </c>
      <c r="Z755" s="291">
        <f ca="1">SUMIF($T$8:Y$1018,"QUANT.",T755:Y755)</f>
        <v>0</v>
      </c>
      <c r="AA755" s="292">
        <f t="shared" ca="1" si="422"/>
        <v>0</v>
      </c>
      <c r="AB755" s="293" t="str">
        <f t="shared" ca="1" si="423"/>
        <v>MEDIR</v>
      </c>
      <c r="AC755" s="294">
        <f t="shared" ca="1" si="424"/>
        <v>1</v>
      </c>
      <c r="AD755" s="294">
        <f t="shared" ca="1" si="425"/>
        <v>155.91</v>
      </c>
      <c r="AE755" s="295"/>
      <c r="AF755" s="295"/>
      <c r="AG755" s="296"/>
      <c r="AH755" s="296"/>
      <c r="AI755" s="296"/>
      <c r="AJ755" s="326"/>
      <c r="AK755" s="326"/>
      <c r="AL755" s="326"/>
      <c r="AM755" s="326"/>
    </row>
    <row r="756" spans="1:39" ht="38.25" x14ac:dyDescent="0.25">
      <c r="A756" s="232">
        <f t="shared" si="418"/>
        <v>756</v>
      </c>
      <c r="B756" s="232"/>
      <c r="C756" s="307" t="str">
        <f>+C755</f>
        <v>17.3</v>
      </c>
      <c r="D756" s="308">
        <f>1+D755</f>
        <v>3</v>
      </c>
      <c r="E756" s="309" t="str">
        <f>C756&amp;"."&amp;D756</f>
        <v>17.3.3</v>
      </c>
      <c r="F756" s="310" t="s">
        <v>12398</v>
      </c>
      <c r="G756" s="311" t="str">
        <f>IF($F756="","",IFERROR(VLOOKUP($F756,SERVIÇOS!$B:$G,2,0),IFERROR(VLOOKUP($F756,'COMPOSIÇÕES COMPLEMENTARES '!$D:$L,2,0),IFERROR(VLOOKUP($F756,INSUMOS!$A:$D,2,0),""))))</f>
        <v>VÁLVULA DE ESFERA Ø1/2" PARA TUBULAÇÃO DE COBRE EM REDES FRIGORÍGENAS COM CORPO E ACENTO DE ESTRUTURA SOLDADA, TEMPERATURA DE TRABALHO DE -40°C A +120°C, PRESSÃO MÁXIMA 45 BAR. REFERÊNCIA: SANHUA SBV04-019, DANFOSS GBC OU EQUIVALENTE</v>
      </c>
      <c r="H756" s="312" t="str">
        <f>IF($F756="","",IFERROR(VLOOKUP($F756,SERVIÇOS!$B:$G,3,0),IFERROR(VLOOKUP($F756,'COMPOSIÇÕES COMPLEMENTARES '!$D:$L,3,0),IFERROR(VLOOKUP($F756,INSUMOS!$A:$D,3,0),""))))</f>
        <v>UN</v>
      </c>
      <c r="I756" s="313">
        <v>14</v>
      </c>
      <c r="J756" s="314">
        <f>IF($F756="","",IFERROR(VLOOKUP($F756,SERVIÇOS!$B:$G,4,0),IFERROR(VLOOKUP($F756,'COMPOSIÇÕES COMPLEMENTARES '!$D:$L,6,0),IFERROR(VLOOKUP($F756,INSUMOS!$A:$D,4,0),""))))</f>
        <v>241.31</v>
      </c>
      <c r="K756" s="314">
        <f>IF($F756="","",IFERROR(VLOOKUP($F756,SERVIÇOS!$B:$G,5,0),IFERROR(VLOOKUP($F756,'COMPOSIÇÕES COMPLEMENTARES '!$D:$L,7,0),0)))</f>
        <v>8.74</v>
      </c>
      <c r="L756" s="314">
        <f>IF(I756="","",J756+K756)</f>
        <v>250.05</v>
      </c>
      <c r="M756" s="314">
        <f>IF(I756="","",TRUNC((I756*J756),2))</f>
        <v>3378.34</v>
      </c>
      <c r="N756" s="314">
        <f>IF(I756="","",TRUNC((I756*K756),2))</f>
        <v>122.36</v>
      </c>
      <c r="O756" s="314">
        <f>IF(I756="","",TRUNC((M756+N756),2))</f>
        <v>3500.7</v>
      </c>
      <c r="P756" s="314"/>
      <c r="Q756" s="315"/>
      <c r="R756" s="315"/>
      <c r="S756" s="286"/>
      <c r="T756" s="287"/>
      <c r="U756" s="288" t="str">
        <f t="shared" si="419"/>
        <v/>
      </c>
      <c r="V756" s="287"/>
      <c r="W756" s="289" t="str">
        <f t="shared" si="420"/>
        <v/>
      </c>
      <c r="X756" s="287"/>
      <c r="Y756" s="290" t="str">
        <f t="shared" si="421"/>
        <v/>
      </c>
      <c r="Z756" s="291">
        <f ca="1">SUMIF($T$8:Y$1018,"QUANT.",T756:Y756)</f>
        <v>0</v>
      </c>
      <c r="AA756" s="292">
        <f t="shared" ca="1" si="422"/>
        <v>0</v>
      </c>
      <c r="AB756" s="293" t="str">
        <f t="shared" ca="1" si="423"/>
        <v>MEDIR</v>
      </c>
      <c r="AC756" s="294">
        <f t="shared" ca="1" si="424"/>
        <v>14</v>
      </c>
      <c r="AD756" s="294">
        <f t="shared" ca="1" si="425"/>
        <v>3500.7</v>
      </c>
      <c r="AE756" s="295"/>
      <c r="AF756" s="295"/>
      <c r="AG756" s="296"/>
      <c r="AH756" s="296"/>
      <c r="AI756" s="296"/>
      <c r="AJ756" s="326"/>
      <c r="AK756" s="326"/>
      <c r="AL756" s="326"/>
      <c r="AM756" s="326"/>
    </row>
    <row r="757" spans="1:39" ht="38.25" x14ac:dyDescent="0.25">
      <c r="A757" s="232">
        <f t="shared" si="418"/>
        <v>757</v>
      </c>
      <c r="B757" s="232"/>
      <c r="C757" s="307" t="str">
        <f>+C756</f>
        <v>17.3</v>
      </c>
      <c r="D757" s="308">
        <f>1+D756</f>
        <v>4</v>
      </c>
      <c r="E757" s="309" t="str">
        <f>C757&amp;"."&amp;D757</f>
        <v>17.3.4</v>
      </c>
      <c r="F757" s="310" t="s">
        <v>12399</v>
      </c>
      <c r="G757" s="311" t="str">
        <f>IF($F757="","",IFERROR(VLOOKUP($F757,SERVIÇOS!$B:$G,2,0),IFERROR(VLOOKUP($F757,'COMPOSIÇÕES COMPLEMENTARES '!$D:$L,2,0),IFERROR(VLOOKUP($F757,INSUMOS!$A:$D,2,0),""))))</f>
        <v>VÁLVULA DE ESFERA Ø3/4" PARA TUBULAÇÃO DE COBRE EM REDES FRIGORÍGENAS COM CORPO E ACENTO DE ESTRUTURA SOLDADA, TEMPERATURA DE TRABALHO DE -40°C A +120°C, PRESSÃO MÁXIMA 45 BAR. REFERÊNCIA: SANHUA SBV(M)-A6YHSY-1-S, DANFOSS GBC OU EQUIVALENTE</v>
      </c>
      <c r="H757" s="312" t="str">
        <f>IF($F757="","",IFERROR(VLOOKUP($F757,SERVIÇOS!$B:$G,3,0),IFERROR(VLOOKUP($F757,'COMPOSIÇÕES COMPLEMENTARES '!$D:$L,3,0),IFERROR(VLOOKUP($F757,INSUMOS!$A:$D,3,0),""))))</f>
        <v>UN</v>
      </c>
      <c r="I757" s="313">
        <v>1</v>
      </c>
      <c r="J757" s="314">
        <f>IF($F757="","",IFERROR(VLOOKUP($F757,SERVIÇOS!$B:$G,4,0),IFERROR(VLOOKUP($F757,'COMPOSIÇÕES COMPLEMENTARES '!$D:$L,6,0),IFERROR(VLOOKUP($F757,INSUMOS!$A:$D,4,0),""))))</f>
        <v>241.31</v>
      </c>
      <c r="K757" s="314">
        <f>IF($F757="","",IFERROR(VLOOKUP($F757,SERVIÇOS!$B:$G,5,0),IFERROR(VLOOKUP($F757,'COMPOSIÇÕES COMPLEMENTARES '!$D:$L,7,0),0)))</f>
        <v>8.74</v>
      </c>
      <c r="L757" s="314">
        <f>IF(I757="","",J757+K757)</f>
        <v>250.05</v>
      </c>
      <c r="M757" s="314">
        <f>IF(I757="","",TRUNC((I757*J757),2))</f>
        <v>241.31</v>
      </c>
      <c r="N757" s="314">
        <f>IF(I757="","",TRUNC((I757*K757),2))</f>
        <v>8.74</v>
      </c>
      <c r="O757" s="314">
        <f>IF(I757="","",TRUNC((M757+N757),2))</f>
        <v>250.05</v>
      </c>
      <c r="P757" s="314"/>
      <c r="Q757" s="315"/>
      <c r="R757" s="315"/>
      <c r="S757" s="286"/>
      <c r="T757" s="287"/>
      <c r="U757" s="288" t="str">
        <f t="shared" si="419"/>
        <v/>
      </c>
      <c r="V757" s="287"/>
      <c r="W757" s="289" t="str">
        <f t="shared" si="420"/>
        <v/>
      </c>
      <c r="X757" s="287"/>
      <c r="Y757" s="290" t="str">
        <f t="shared" si="421"/>
        <v/>
      </c>
      <c r="Z757" s="291">
        <f ca="1">SUMIF($T$8:Y$1018,"QUANT.",T757:Y757)</f>
        <v>0</v>
      </c>
      <c r="AA757" s="292">
        <f t="shared" ca="1" si="422"/>
        <v>0</v>
      </c>
      <c r="AB757" s="293" t="str">
        <f t="shared" ca="1" si="423"/>
        <v>MEDIR</v>
      </c>
      <c r="AC757" s="294">
        <f t="shared" ca="1" si="424"/>
        <v>1</v>
      </c>
      <c r="AD757" s="294">
        <f t="shared" ca="1" si="425"/>
        <v>250.05</v>
      </c>
      <c r="AE757" s="295"/>
      <c r="AF757" s="295"/>
      <c r="AG757" s="296"/>
      <c r="AH757" s="296"/>
      <c r="AI757" s="296"/>
      <c r="AJ757" s="326"/>
      <c r="AK757" s="326"/>
      <c r="AL757" s="326"/>
      <c r="AM757" s="326"/>
    </row>
    <row r="758" spans="1:39" x14ac:dyDescent="0.25">
      <c r="A758" s="232">
        <f t="shared" si="418"/>
        <v>758</v>
      </c>
      <c r="B758" s="232"/>
      <c r="C758" s="316" t="str">
        <f>+E758</f>
        <v>17.4</v>
      </c>
      <c r="D758" s="297"/>
      <c r="E758" s="317" t="s">
        <v>12400</v>
      </c>
      <c r="F758" s="317"/>
      <c r="G758" s="327" t="s">
        <v>12401</v>
      </c>
      <c r="H758" s="317"/>
      <c r="I758" s="344"/>
      <c r="J758" s="317"/>
      <c r="K758" s="317"/>
      <c r="L758" s="317"/>
      <c r="M758" s="317"/>
      <c r="N758" s="317"/>
      <c r="O758" s="317"/>
      <c r="P758" s="317"/>
      <c r="Q758" s="320"/>
      <c r="R758" s="306"/>
      <c r="S758" s="286"/>
      <c r="T758" s="287"/>
      <c r="U758" s="288" t="str">
        <f t="shared" si="419"/>
        <v/>
      </c>
      <c r="V758" s="287"/>
      <c r="W758" s="289" t="str">
        <f t="shared" si="420"/>
        <v/>
      </c>
      <c r="X758" s="287"/>
      <c r="Y758" s="290" t="str">
        <f t="shared" si="421"/>
        <v/>
      </c>
      <c r="Z758" s="291">
        <f ca="1">SUMIF($T$8:Y$1018,"QUANT.",T758:Y758)</f>
        <v>0</v>
      </c>
      <c r="AA758" s="292">
        <f t="shared" ca="1" si="422"/>
        <v>0</v>
      </c>
      <c r="AB758" s="293" t="str">
        <f t="shared" si="423"/>
        <v/>
      </c>
      <c r="AC758" s="294">
        <f t="shared" ca="1" si="424"/>
        <v>0</v>
      </c>
      <c r="AD758" s="294">
        <f t="shared" ca="1" si="425"/>
        <v>0</v>
      </c>
      <c r="AE758" s="295"/>
      <c r="AF758" s="295"/>
      <c r="AG758" s="296"/>
      <c r="AH758" s="296"/>
      <c r="AI758" s="296"/>
      <c r="AJ758" s="326"/>
      <c r="AK758" s="326"/>
      <c r="AL758" s="326"/>
      <c r="AM758" s="326"/>
    </row>
    <row r="759" spans="1:39" ht="25.5" x14ac:dyDescent="0.25">
      <c r="A759" s="232">
        <f t="shared" si="418"/>
        <v>759</v>
      </c>
      <c r="B759" s="232"/>
      <c r="C759" s="307" t="str">
        <f>+C758</f>
        <v>17.4</v>
      </c>
      <c r="D759" s="308">
        <f>1+D758</f>
        <v>1</v>
      </c>
      <c r="E759" s="309" t="str">
        <f>C759&amp;"."&amp;D759</f>
        <v>17.4.1</v>
      </c>
      <c r="F759" s="310" t="s">
        <v>12402</v>
      </c>
      <c r="G759" s="311" t="str">
        <f>IF($F759="","",IFERROR(VLOOKUP($F759,SERVIÇOS!$B:$G,2,0),IFERROR(VLOOKUP($F759,'COMPOSIÇÕES COMPLEMENTARES '!$D:$L,2,0),IFERROR(VLOOKUP($F759,INSUMOS!$A:$D,2,0),""))))</f>
        <v>KIT REFINET PARA CONEXÃO DE UNIDADES INTERNAS MARCA DAIKIN  (OU EQUIVALENTE TÉCNICO) MODELO KHRP26A22T</v>
      </c>
      <c r="H759" s="312" t="str">
        <f>IF($F759="","",IFERROR(VLOOKUP($F759,SERVIÇOS!$B:$G,3,0),IFERROR(VLOOKUP($F759,'COMPOSIÇÕES COMPLEMENTARES '!$D:$L,3,0),IFERROR(VLOOKUP($F759,INSUMOS!$A:$D,3,0),""))))</f>
        <v>UN</v>
      </c>
      <c r="I759" s="313">
        <v>5</v>
      </c>
      <c r="J759" s="314">
        <f>IF($F759="","",IFERROR(VLOOKUP($F759,SERVIÇOS!$B:$G,4,0),IFERROR(VLOOKUP($F759,'COMPOSIÇÕES COMPLEMENTARES '!$D:$L,6,0),IFERROR(VLOOKUP($F759,INSUMOS!$A:$D,4,0),""))))</f>
        <v>367.35</v>
      </c>
      <c r="K759" s="314">
        <f>IF($F759="","",IFERROR(VLOOKUP($F759,SERVIÇOS!$B:$G,5,0),IFERROR(VLOOKUP($F759,'COMPOSIÇÕES COMPLEMENTARES '!$D:$L,7,0),0)))</f>
        <v>6.21</v>
      </c>
      <c r="L759" s="314">
        <f>IF(I759="","",J759+K759)</f>
        <v>373.56</v>
      </c>
      <c r="M759" s="314">
        <f>IF(I759="","",TRUNC((I759*J759),2))</f>
        <v>1836.75</v>
      </c>
      <c r="N759" s="314">
        <f>IF(I759="","",TRUNC((I759*K759),2))</f>
        <v>31.05</v>
      </c>
      <c r="O759" s="314">
        <f>IF(I759="","",TRUNC((M759+N759),2))</f>
        <v>1867.8</v>
      </c>
      <c r="P759" s="314"/>
      <c r="Q759" s="315"/>
      <c r="R759" s="315"/>
      <c r="S759" s="286"/>
      <c r="T759" s="287"/>
      <c r="U759" s="288" t="str">
        <f t="shared" si="419"/>
        <v/>
      </c>
      <c r="V759" s="287"/>
      <c r="W759" s="289" t="str">
        <f t="shared" si="420"/>
        <v/>
      </c>
      <c r="X759" s="287"/>
      <c r="Y759" s="290" t="str">
        <f t="shared" si="421"/>
        <v/>
      </c>
      <c r="Z759" s="291">
        <f ca="1">SUMIF($T$8:Y$1018,"QUANT.",T759:Y759)</f>
        <v>0</v>
      </c>
      <c r="AA759" s="292">
        <f t="shared" ca="1" si="422"/>
        <v>0</v>
      </c>
      <c r="AB759" s="293" t="str">
        <f t="shared" ca="1" si="423"/>
        <v>MEDIR</v>
      </c>
      <c r="AC759" s="294">
        <f t="shared" ca="1" si="424"/>
        <v>5</v>
      </c>
      <c r="AD759" s="294">
        <f t="shared" ca="1" si="425"/>
        <v>1867.8</v>
      </c>
      <c r="AE759" s="295"/>
      <c r="AF759" s="295"/>
      <c r="AG759" s="296"/>
      <c r="AH759" s="296"/>
      <c r="AI759" s="296"/>
      <c r="AJ759" s="326"/>
      <c r="AK759" s="326"/>
      <c r="AL759" s="326"/>
      <c r="AM759" s="326"/>
    </row>
    <row r="760" spans="1:39" ht="25.5" x14ac:dyDescent="0.25">
      <c r="A760" s="232">
        <f t="shared" si="418"/>
        <v>760</v>
      </c>
      <c r="B760" s="232"/>
      <c r="C760" s="307" t="str">
        <f>+C759</f>
        <v>17.4</v>
      </c>
      <c r="D760" s="308">
        <f>1+D759</f>
        <v>2</v>
      </c>
      <c r="E760" s="309" t="str">
        <f>C760&amp;"."&amp;D760</f>
        <v>17.4.2</v>
      </c>
      <c r="F760" s="310" t="s">
        <v>12403</v>
      </c>
      <c r="G760" s="311" t="str">
        <f>IF($F760="","",IFERROR(VLOOKUP($F760,SERVIÇOS!$B:$G,2,0),IFERROR(VLOOKUP($F760,'COMPOSIÇÕES COMPLEMENTARES '!$D:$L,2,0),IFERROR(VLOOKUP($F760,INSUMOS!$A:$D,2,0),""))))</f>
        <v>KIT REFINET PARA CONEXÃO DE UNIDADES INTERNAS MARCA DAIKIN  (OU EQUIVALENTE TÉCNICO) MODELO KHRP26A33T</v>
      </c>
      <c r="H760" s="312" t="str">
        <f>IF($F760="","",IFERROR(VLOOKUP($F760,SERVIÇOS!$B:$G,3,0),IFERROR(VLOOKUP($F760,'COMPOSIÇÕES COMPLEMENTARES '!$D:$L,3,0),IFERROR(VLOOKUP($F760,INSUMOS!$A:$D,3,0),""))))</f>
        <v>UN</v>
      </c>
      <c r="I760" s="313">
        <v>2</v>
      </c>
      <c r="J760" s="314">
        <f>IF($F760="","",IFERROR(VLOOKUP($F760,SERVIÇOS!$B:$G,4,0),IFERROR(VLOOKUP($F760,'COMPOSIÇÕES COMPLEMENTARES '!$D:$L,6,0),IFERROR(VLOOKUP($F760,INSUMOS!$A:$D,4,0),""))))</f>
        <v>382.65</v>
      </c>
      <c r="K760" s="314">
        <f>IF($F760="","",IFERROR(VLOOKUP($F760,SERVIÇOS!$B:$G,5,0),IFERROR(VLOOKUP($F760,'COMPOSIÇÕES COMPLEMENTARES '!$D:$L,7,0),0)))</f>
        <v>7.38</v>
      </c>
      <c r="L760" s="314">
        <f>IF(I760="","",J760+K760)</f>
        <v>390.03</v>
      </c>
      <c r="M760" s="314">
        <f>IF(I760="","",TRUNC((I760*J760),2))</f>
        <v>765.3</v>
      </c>
      <c r="N760" s="314">
        <f>IF(I760="","",TRUNC((I760*K760),2))</f>
        <v>14.76</v>
      </c>
      <c r="O760" s="314">
        <f>IF(I760="","",TRUNC((M760+N760),2))</f>
        <v>780.06</v>
      </c>
      <c r="P760" s="314"/>
      <c r="Q760" s="315"/>
      <c r="R760" s="315"/>
      <c r="S760" s="286"/>
      <c r="T760" s="287"/>
      <c r="U760" s="288" t="str">
        <f t="shared" si="419"/>
        <v/>
      </c>
      <c r="V760" s="287"/>
      <c r="W760" s="289" t="str">
        <f t="shared" si="420"/>
        <v/>
      </c>
      <c r="X760" s="287"/>
      <c r="Y760" s="290" t="str">
        <f t="shared" si="421"/>
        <v/>
      </c>
      <c r="Z760" s="291">
        <f ca="1">SUMIF($T$8:Y$1018,"QUANT.",T760:Y760)</f>
        <v>0</v>
      </c>
      <c r="AA760" s="292">
        <f t="shared" ca="1" si="422"/>
        <v>0</v>
      </c>
      <c r="AB760" s="293" t="str">
        <f t="shared" ca="1" si="423"/>
        <v>MEDIR</v>
      </c>
      <c r="AC760" s="294">
        <f t="shared" ca="1" si="424"/>
        <v>2</v>
      </c>
      <c r="AD760" s="294">
        <f t="shared" ca="1" si="425"/>
        <v>780.06</v>
      </c>
      <c r="AE760" s="295"/>
      <c r="AF760" s="295"/>
      <c r="AG760" s="296"/>
      <c r="AH760" s="296"/>
      <c r="AI760" s="296"/>
      <c r="AJ760" s="326"/>
      <c r="AK760" s="326"/>
      <c r="AL760" s="326"/>
      <c r="AM760" s="326"/>
    </row>
    <row r="761" spans="1:39" ht="25.5" x14ac:dyDescent="0.25">
      <c r="A761" s="232">
        <f t="shared" si="418"/>
        <v>761</v>
      </c>
      <c r="B761" s="232"/>
      <c r="C761" s="307" t="str">
        <f>+C760</f>
        <v>17.4</v>
      </c>
      <c r="D761" s="308">
        <f>1+D760</f>
        <v>3</v>
      </c>
      <c r="E761" s="309" t="str">
        <f>C761&amp;"."&amp;D761</f>
        <v>17.4.3</v>
      </c>
      <c r="F761" s="310" t="s">
        <v>12404</v>
      </c>
      <c r="G761" s="311" t="str">
        <f>IF($F761="","",IFERROR(VLOOKUP($F761,SERVIÇOS!$B:$G,2,0),IFERROR(VLOOKUP($F761,'COMPOSIÇÕES COMPLEMENTARES '!$D:$L,2,0),IFERROR(VLOOKUP($F761,INSUMOS!$A:$D,2,0),""))))</f>
        <v>KIT REFINET PARA CONEXÃO DE UNIDADES INTERNAS MARCA DAIKIN (OU EQUIVALENTE TÉCNICO) MODELO KHRP26A72T</v>
      </c>
      <c r="H761" s="312" t="str">
        <f>IF($F761="","",IFERROR(VLOOKUP($F761,SERVIÇOS!$B:$G,3,0),IFERROR(VLOOKUP($F761,'COMPOSIÇÕES COMPLEMENTARES '!$D:$L,3,0),IFERROR(VLOOKUP($F761,INSUMOS!$A:$D,3,0),""))))</f>
        <v>UN</v>
      </c>
      <c r="I761" s="313">
        <v>1</v>
      </c>
      <c r="J761" s="314">
        <f>IF($F761="","",IFERROR(VLOOKUP($F761,SERVIÇOS!$B:$G,4,0),IFERROR(VLOOKUP($F761,'COMPOSIÇÕES COMPLEMENTARES '!$D:$L,6,0),IFERROR(VLOOKUP($F761,INSUMOS!$A:$D,4,0),""))))</f>
        <v>586.42999999999995</v>
      </c>
      <c r="K761" s="314">
        <f>IF($F761="","",IFERROR(VLOOKUP($F761,SERVIÇOS!$B:$G,5,0),IFERROR(VLOOKUP($F761,'COMPOSIÇÕES COMPLEMENTARES '!$D:$L,7,0),0)))</f>
        <v>7.38</v>
      </c>
      <c r="L761" s="314">
        <f>IF(I761="","",J761+K761)</f>
        <v>593.80999999999995</v>
      </c>
      <c r="M761" s="314">
        <f>IF(I761="","",TRUNC((I761*J761),2))</f>
        <v>586.42999999999995</v>
      </c>
      <c r="N761" s="314">
        <f>IF(I761="","",TRUNC((I761*K761),2))</f>
        <v>7.38</v>
      </c>
      <c r="O761" s="314">
        <f>IF(I761="","",TRUNC((M761+N761),2))</f>
        <v>593.80999999999995</v>
      </c>
      <c r="P761" s="314"/>
      <c r="Q761" s="315"/>
      <c r="R761" s="315"/>
      <c r="S761" s="286"/>
      <c r="T761" s="287"/>
      <c r="U761" s="288" t="str">
        <f t="shared" si="419"/>
        <v/>
      </c>
      <c r="V761" s="287"/>
      <c r="W761" s="289" t="str">
        <f t="shared" si="420"/>
        <v/>
      </c>
      <c r="X761" s="287"/>
      <c r="Y761" s="290" t="str">
        <f t="shared" si="421"/>
        <v/>
      </c>
      <c r="Z761" s="291">
        <f ca="1">SUMIF($T$8:Y$1018,"QUANT.",T761:Y761)</f>
        <v>0</v>
      </c>
      <c r="AA761" s="292">
        <f t="shared" ca="1" si="422"/>
        <v>0</v>
      </c>
      <c r="AB761" s="293" t="str">
        <f t="shared" ca="1" si="423"/>
        <v>MEDIR</v>
      </c>
      <c r="AC761" s="294">
        <f t="shared" ca="1" si="424"/>
        <v>1</v>
      </c>
      <c r="AD761" s="294">
        <f t="shared" ca="1" si="425"/>
        <v>593.80999999999995</v>
      </c>
      <c r="AE761" s="295"/>
      <c r="AF761" s="295"/>
      <c r="AG761" s="296"/>
      <c r="AH761" s="296"/>
      <c r="AI761" s="296"/>
      <c r="AJ761" s="326"/>
      <c r="AK761" s="326"/>
      <c r="AL761" s="326"/>
      <c r="AM761" s="326"/>
    </row>
    <row r="762" spans="1:39" ht="25.5" x14ac:dyDescent="0.25">
      <c r="A762" s="232">
        <f t="shared" si="418"/>
        <v>762</v>
      </c>
      <c r="B762" s="232"/>
      <c r="C762" s="307" t="str">
        <f>+C761</f>
        <v>17.4</v>
      </c>
      <c r="D762" s="308">
        <f>1+D761</f>
        <v>4</v>
      </c>
      <c r="E762" s="309" t="str">
        <f>C762&amp;"."&amp;D762</f>
        <v>17.4.4</v>
      </c>
      <c r="F762" s="310" t="s">
        <v>12405</v>
      </c>
      <c r="G762" s="311" t="str">
        <f>IF($F762="","",IFERROR(VLOOKUP($F762,SERVIÇOS!$B:$G,2,0),IFERROR(VLOOKUP($F762,'COMPOSIÇÕES COMPLEMENTARES '!$D:$L,2,0),IFERROR(VLOOKUP($F762,INSUMOS!$A:$D,2,0),""))))</f>
        <v>KIT REFINET PARA CONEXÃO DE UNIDADES EXTERNAS MARCA DAIKIN  (OU EQUIVALENTE TÉCNICO) MODELO BHFP22P151</v>
      </c>
      <c r="H762" s="312" t="str">
        <f>IF($F762="","",IFERROR(VLOOKUP($F762,SERVIÇOS!$B:$G,3,0),IFERROR(VLOOKUP($F762,'COMPOSIÇÕES COMPLEMENTARES '!$D:$L,3,0),IFERROR(VLOOKUP($F762,INSUMOS!$A:$D,3,0),""))))</f>
        <v>UN</v>
      </c>
      <c r="I762" s="313">
        <v>1</v>
      </c>
      <c r="J762" s="314">
        <f>IF($F762="","",IFERROR(VLOOKUP($F762,SERVIÇOS!$B:$G,4,0),IFERROR(VLOOKUP($F762,'COMPOSIÇÕES COMPLEMENTARES '!$D:$L,6,0),IFERROR(VLOOKUP($F762,INSUMOS!$A:$D,4,0),""))))</f>
        <v>439.81</v>
      </c>
      <c r="K762" s="314">
        <f>IF($F762="","",IFERROR(VLOOKUP($F762,SERVIÇOS!$B:$G,5,0),IFERROR(VLOOKUP($F762,'COMPOSIÇÕES COMPLEMENTARES '!$D:$L,7,0),0)))</f>
        <v>145.83000000000001</v>
      </c>
      <c r="L762" s="314">
        <f>IF(I762="","",J762+K762)</f>
        <v>585.64</v>
      </c>
      <c r="M762" s="314">
        <f>IF(I762="","",TRUNC((I762*J762),2))</f>
        <v>439.81</v>
      </c>
      <c r="N762" s="314">
        <f>IF(I762="","",TRUNC((I762*K762),2))</f>
        <v>145.83000000000001</v>
      </c>
      <c r="O762" s="314">
        <f>IF(I762="","",TRUNC((M762+N762),2))</f>
        <v>585.64</v>
      </c>
      <c r="P762" s="314"/>
      <c r="Q762" s="315"/>
      <c r="R762" s="315"/>
      <c r="S762" s="286"/>
      <c r="T762" s="287"/>
      <c r="U762" s="288" t="str">
        <f t="shared" si="419"/>
        <v/>
      </c>
      <c r="V762" s="287"/>
      <c r="W762" s="289" t="str">
        <f t="shared" si="420"/>
        <v/>
      </c>
      <c r="X762" s="287"/>
      <c r="Y762" s="290" t="str">
        <f t="shared" si="421"/>
        <v/>
      </c>
      <c r="Z762" s="291">
        <f ca="1">SUMIF($T$8:Y$1018,"QUANT.",T762:Y762)</f>
        <v>0</v>
      </c>
      <c r="AA762" s="292">
        <f t="shared" ca="1" si="422"/>
        <v>0</v>
      </c>
      <c r="AB762" s="293" t="str">
        <f t="shared" ca="1" si="423"/>
        <v>MEDIR</v>
      </c>
      <c r="AC762" s="294">
        <f t="shared" ca="1" si="424"/>
        <v>1</v>
      </c>
      <c r="AD762" s="294">
        <f t="shared" ca="1" si="425"/>
        <v>585.64</v>
      </c>
      <c r="AE762" s="295"/>
      <c r="AF762" s="295"/>
      <c r="AG762" s="296"/>
      <c r="AH762" s="296"/>
      <c r="AI762" s="296"/>
      <c r="AJ762" s="326"/>
      <c r="AK762" s="326"/>
      <c r="AL762" s="326"/>
      <c r="AM762" s="326"/>
    </row>
    <row r="763" spans="1:39" x14ac:dyDescent="0.25">
      <c r="A763" s="232">
        <f t="shared" si="418"/>
        <v>763</v>
      </c>
      <c r="B763" s="232"/>
      <c r="C763" s="316" t="str">
        <f>+E763</f>
        <v>17.5</v>
      </c>
      <c r="D763" s="297"/>
      <c r="E763" s="317" t="s">
        <v>12406</v>
      </c>
      <c r="F763" s="317"/>
      <c r="G763" s="327" t="s">
        <v>12407</v>
      </c>
      <c r="H763" s="317"/>
      <c r="I763" s="344"/>
      <c r="J763" s="317"/>
      <c r="K763" s="317"/>
      <c r="L763" s="317"/>
      <c r="M763" s="317"/>
      <c r="N763" s="317"/>
      <c r="O763" s="317"/>
      <c r="P763" s="317"/>
      <c r="Q763" s="320"/>
      <c r="R763" s="306"/>
      <c r="S763" s="286"/>
      <c r="T763" s="287"/>
      <c r="U763" s="288" t="str">
        <f t="shared" si="419"/>
        <v/>
      </c>
      <c r="V763" s="287"/>
      <c r="W763" s="289" t="str">
        <f t="shared" si="420"/>
        <v/>
      </c>
      <c r="X763" s="287"/>
      <c r="Y763" s="290" t="str">
        <f t="shared" si="421"/>
        <v/>
      </c>
      <c r="Z763" s="291">
        <f ca="1">SUMIF($T$8:Y$1018,"QUANT.",T763:Y763)</f>
        <v>0</v>
      </c>
      <c r="AA763" s="292">
        <f t="shared" ca="1" si="422"/>
        <v>0</v>
      </c>
      <c r="AB763" s="293" t="str">
        <f t="shared" si="423"/>
        <v/>
      </c>
      <c r="AC763" s="294">
        <f t="shared" ca="1" si="424"/>
        <v>0</v>
      </c>
      <c r="AD763" s="294">
        <f t="shared" ca="1" si="425"/>
        <v>0</v>
      </c>
      <c r="AE763" s="295"/>
      <c r="AF763" s="295"/>
      <c r="AG763" s="296"/>
      <c r="AH763" s="296"/>
      <c r="AI763" s="296"/>
      <c r="AJ763" s="326"/>
      <c r="AK763" s="326"/>
      <c r="AL763" s="326"/>
      <c r="AM763" s="326"/>
    </row>
    <row r="764" spans="1:39" x14ac:dyDescent="0.25">
      <c r="A764" s="232">
        <f t="shared" si="418"/>
        <v>764</v>
      </c>
      <c r="B764" s="232"/>
      <c r="C764" s="307" t="str">
        <f>+C763</f>
        <v>17.5</v>
      </c>
      <c r="D764" s="308">
        <f>1+D763</f>
        <v>1</v>
      </c>
      <c r="E764" s="309" t="str">
        <f>C764&amp;"."&amp;D764</f>
        <v>17.5.1</v>
      </c>
      <c r="F764" s="310" t="s">
        <v>12408</v>
      </c>
      <c r="G764" s="311" t="str">
        <f>IF($F764="","",IFERROR(VLOOKUP($F764,SERVIÇOS!$B:$G,2,0),IFERROR(VLOOKUP($F764,'COMPOSIÇÕES COMPLEMENTARES '!$D:$L,2,0),IFERROR(VLOOKUP($F764,INSUMOS!$A:$D,2,0),""))))</f>
        <v>CARGA DE GÁS EXTRA DE REFRIGERANTE R410A</v>
      </c>
      <c r="H764" s="312" t="str">
        <f>IF($F764="","",IFERROR(VLOOKUP($F764,SERVIÇOS!$B:$G,3,0),IFERROR(VLOOKUP($F764,'COMPOSIÇÕES COMPLEMENTARES '!$D:$L,3,0),IFERROR(VLOOKUP($F764,INSUMOS!$A:$D,3,0),""))))</f>
        <v>KG</v>
      </c>
      <c r="I764" s="313">
        <v>5</v>
      </c>
      <c r="J764" s="314">
        <f>IF($F764="","",IFERROR(VLOOKUP($F764,SERVIÇOS!$B:$G,4,0),IFERROR(VLOOKUP($F764,'COMPOSIÇÕES COMPLEMENTARES '!$D:$L,6,0),IFERROR(VLOOKUP($F764,INSUMOS!$A:$D,4,0),""))))</f>
        <v>132.83000000000001</v>
      </c>
      <c r="K764" s="314">
        <f>IF($F764="","",IFERROR(VLOOKUP($F764,SERVIÇOS!$B:$G,5,0),IFERROR(VLOOKUP($F764,'COMPOSIÇÕES COMPLEMENTARES '!$D:$L,7,0),0)))</f>
        <v>237.78</v>
      </c>
      <c r="L764" s="314">
        <f>IF(I764="","",J764+K764)</f>
        <v>370.61</v>
      </c>
      <c r="M764" s="314">
        <f>IF(I764="","",TRUNC((I764*J764),2))</f>
        <v>664.15</v>
      </c>
      <c r="N764" s="314">
        <f>IF(I764="","",TRUNC((I764*K764),2))</f>
        <v>1188.9000000000001</v>
      </c>
      <c r="O764" s="314">
        <f>IF(I764="","",TRUNC((M764+N764),2))</f>
        <v>1853.05</v>
      </c>
      <c r="P764" s="314"/>
      <c r="Q764" s="315"/>
      <c r="R764" s="315"/>
      <c r="S764" s="286"/>
      <c r="T764" s="287"/>
      <c r="U764" s="288" t="str">
        <f t="shared" si="419"/>
        <v/>
      </c>
      <c r="V764" s="287"/>
      <c r="W764" s="289" t="str">
        <f t="shared" si="420"/>
        <v/>
      </c>
      <c r="X764" s="287"/>
      <c r="Y764" s="290" t="str">
        <f t="shared" si="421"/>
        <v/>
      </c>
      <c r="Z764" s="291">
        <f ca="1">SUMIF($T$8:Y$1018,"QUANT.",T764:Y764)</f>
        <v>0</v>
      </c>
      <c r="AA764" s="292">
        <f t="shared" ca="1" si="422"/>
        <v>0</v>
      </c>
      <c r="AB764" s="293" t="str">
        <f t="shared" ca="1" si="423"/>
        <v>MEDIR</v>
      </c>
      <c r="AC764" s="294">
        <f t="shared" ca="1" si="424"/>
        <v>5</v>
      </c>
      <c r="AD764" s="294">
        <f t="shared" ca="1" si="425"/>
        <v>1853.05</v>
      </c>
      <c r="AE764" s="295"/>
      <c r="AF764" s="295"/>
      <c r="AG764" s="296"/>
      <c r="AH764" s="296"/>
      <c r="AI764" s="296"/>
      <c r="AJ764" s="326"/>
      <c r="AK764" s="326"/>
      <c r="AL764" s="326"/>
      <c r="AM764" s="326"/>
    </row>
    <row r="765" spans="1:39" x14ac:dyDescent="0.25">
      <c r="A765" s="232">
        <f t="shared" si="418"/>
        <v>765</v>
      </c>
      <c r="B765" s="232"/>
      <c r="C765" s="316" t="str">
        <f>+E765</f>
        <v>17.6</v>
      </c>
      <c r="D765" s="297"/>
      <c r="E765" s="317" t="s">
        <v>12409</v>
      </c>
      <c r="F765" s="317"/>
      <c r="G765" s="327" t="s">
        <v>12410</v>
      </c>
      <c r="H765" s="317"/>
      <c r="I765" s="344"/>
      <c r="J765" s="317"/>
      <c r="K765" s="317"/>
      <c r="L765" s="317"/>
      <c r="M765" s="317"/>
      <c r="N765" s="317"/>
      <c r="O765" s="317"/>
      <c r="P765" s="317"/>
      <c r="Q765" s="320"/>
      <c r="R765" s="306"/>
      <c r="S765" s="286"/>
      <c r="T765" s="287"/>
      <c r="U765" s="288" t="str">
        <f t="shared" si="419"/>
        <v/>
      </c>
      <c r="V765" s="287"/>
      <c r="W765" s="289" t="str">
        <f t="shared" si="420"/>
        <v/>
      </c>
      <c r="X765" s="287"/>
      <c r="Y765" s="290" t="str">
        <f t="shared" si="421"/>
        <v/>
      </c>
      <c r="Z765" s="291">
        <f ca="1">SUMIF($T$8:Y$1018,"QUANT.",T765:Y765)</f>
        <v>0</v>
      </c>
      <c r="AA765" s="292">
        <f t="shared" ca="1" si="422"/>
        <v>0</v>
      </c>
      <c r="AB765" s="293" t="str">
        <f t="shared" si="423"/>
        <v/>
      </c>
      <c r="AC765" s="294">
        <f t="shared" ca="1" si="424"/>
        <v>0</v>
      </c>
      <c r="AD765" s="294">
        <f t="shared" ca="1" si="425"/>
        <v>0</v>
      </c>
      <c r="AE765" s="295"/>
      <c r="AF765" s="295"/>
      <c r="AG765" s="296"/>
      <c r="AH765" s="296"/>
      <c r="AI765" s="296"/>
      <c r="AJ765" s="326"/>
      <c r="AK765" s="326"/>
      <c r="AL765" s="326"/>
      <c r="AM765" s="326"/>
    </row>
    <row r="766" spans="1:39" ht="25.5" x14ac:dyDescent="0.25">
      <c r="A766" s="232">
        <f t="shared" si="418"/>
        <v>766</v>
      </c>
      <c r="B766" s="232"/>
      <c r="C766" s="307" t="str">
        <f>+C765</f>
        <v>17.6</v>
      </c>
      <c r="D766" s="308">
        <f>1+D765</f>
        <v>1</v>
      </c>
      <c r="E766" s="309" t="str">
        <f>C766&amp;"."&amp;D766</f>
        <v>17.6.1</v>
      </c>
      <c r="F766" s="310" t="s">
        <v>12411</v>
      </c>
      <c r="G766" s="311" t="str">
        <f>IF($F766="","",IFERROR(VLOOKUP($F766,SERVIÇOS!$B:$G,2,0),IFERROR(VLOOKUP($F766,'COMPOSIÇÕES COMPLEMENTARES '!$D:$L,2,0),IFERROR(VLOOKUP($F766,INSUMOS!$A:$D,2,0),""))))</f>
        <v>CONTROLE CENTRALIZADO - BACNET INTERFACE-INTEGRATED CONTROL SYSTEM CONENECTING VRV SYSTEM WITH BMS SYSTEM. REFERÊNCIA: DAIKIN DMS502B51</v>
      </c>
      <c r="H766" s="312" t="str">
        <f>IF($F766="","",IFERROR(VLOOKUP($F766,SERVIÇOS!$B:$G,3,0),IFERROR(VLOOKUP($F766,'COMPOSIÇÕES COMPLEMENTARES '!$D:$L,3,0),IFERROR(VLOOKUP($F766,INSUMOS!$A:$D,3,0),""))))</f>
        <v>UN</v>
      </c>
      <c r="I766" s="313">
        <v>1</v>
      </c>
      <c r="J766" s="314">
        <f>IF($F766="","",IFERROR(VLOOKUP($F766,SERVIÇOS!$B:$G,4,0),IFERROR(VLOOKUP($F766,'COMPOSIÇÕES COMPLEMENTARES '!$D:$L,6,0),IFERROR(VLOOKUP($F766,INSUMOS!$A:$D,4,0),""))))</f>
        <v>25257.040000000001</v>
      </c>
      <c r="K766" s="314">
        <f>IF($F766="","",IFERROR(VLOOKUP($F766,SERVIÇOS!$B:$G,5,0),IFERROR(VLOOKUP($F766,'COMPOSIÇÕES COMPLEMENTARES '!$D:$L,7,0),0)))</f>
        <v>452.48</v>
      </c>
      <c r="L766" s="314">
        <f>IF(I766="","",J766+K766)</f>
        <v>25709.52</v>
      </c>
      <c r="M766" s="314">
        <f>IF(I766="","",TRUNC((I766*J766),2))</f>
        <v>25257.040000000001</v>
      </c>
      <c r="N766" s="314">
        <f>IF(I766="","",TRUNC((I766*K766),2))</f>
        <v>452.48</v>
      </c>
      <c r="O766" s="314">
        <f>IF(I766="","",TRUNC((M766+N766),2))</f>
        <v>25709.52</v>
      </c>
      <c r="P766" s="314"/>
      <c r="Q766" s="315"/>
      <c r="R766" s="315"/>
      <c r="S766" s="286"/>
      <c r="T766" s="287"/>
      <c r="U766" s="288" t="str">
        <f t="shared" si="419"/>
        <v/>
      </c>
      <c r="V766" s="287"/>
      <c r="W766" s="289" t="str">
        <f t="shared" si="420"/>
        <v/>
      </c>
      <c r="X766" s="287"/>
      <c r="Y766" s="290" t="str">
        <f t="shared" si="421"/>
        <v/>
      </c>
      <c r="Z766" s="291">
        <f ca="1">SUMIF($T$8:Y$1018,"QUANT.",T766:Y766)</f>
        <v>0</v>
      </c>
      <c r="AA766" s="292">
        <f t="shared" ca="1" si="422"/>
        <v>0</v>
      </c>
      <c r="AB766" s="293" t="str">
        <f t="shared" ca="1" si="423"/>
        <v>MEDIR</v>
      </c>
      <c r="AC766" s="294">
        <f t="shared" ca="1" si="424"/>
        <v>1</v>
      </c>
      <c r="AD766" s="294">
        <f t="shared" ca="1" si="425"/>
        <v>25709.52</v>
      </c>
      <c r="AE766" s="295"/>
      <c r="AF766" s="295"/>
      <c r="AG766" s="296"/>
      <c r="AH766" s="296"/>
      <c r="AI766" s="296"/>
      <c r="AJ766" s="326"/>
      <c r="AK766" s="326"/>
      <c r="AL766" s="326"/>
      <c r="AM766" s="326"/>
    </row>
    <row r="767" spans="1:39" x14ac:dyDescent="0.25">
      <c r="A767" s="232">
        <f t="shared" si="418"/>
        <v>767</v>
      </c>
      <c r="B767" s="232"/>
      <c r="C767" s="307" t="str">
        <f>+C766</f>
        <v>17.6</v>
      </c>
      <c r="D767" s="308">
        <f>1+D766</f>
        <v>2</v>
      </c>
      <c r="E767" s="309" t="str">
        <f>C767&amp;"."&amp;D767</f>
        <v>17.6.2</v>
      </c>
      <c r="F767" s="310" t="s">
        <v>12412</v>
      </c>
      <c r="G767" s="311" t="str">
        <f>IF($F767="","",IFERROR(VLOOKUP($F767,SERVIÇOS!$B:$G,2,0),IFERROR(VLOOKUP($F767,'COMPOSIÇÕES COMPLEMENTARES '!$D:$L,2,0),IFERROR(VLOOKUP($F767,INSUMOS!$A:$D,2,0),""))))</f>
        <v>CONTROLE CENTRALIZADO - INTELLIGENT TOUCH MANAGER. REFERÊNCIA: DAIKIN DCM601A51</v>
      </c>
      <c r="H767" s="312" t="str">
        <f>IF($F767="","",IFERROR(VLOOKUP($F767,SERVIÇOS!$B:$G,3,0),IFERROR(VLOOKUP($F767,'COMPOSIÇÕES COMPLEMENTARES '!$D:$L,3,0),IFERROR(VLOOKUP($F767,INSUMOS!$A:$D,3,0),""))))</f>
        <v>UN</v>
      </c>
      <c r="I767" s="313">
        <v>1</v>
      </c>
      <c r="J767" s="314">
        <f>IF($F767="","",IFERROR(VLOOKUP($F767,SERVIÇOS!$B:$G,4,0),IFERROR(VLOOKUP($F767,'COMPOSIÇÕES COMPLEMENTARES '!$D:$L,6,0),IFERROR(VLOOKUP($F767,INSUMOS!$A:$D,4,0),""))))</f>
        <v>19076.02</v>
      </c>
      <c r="K767" s="314">
        <f>IF($F767="","",IFERROR(VLOOKUP($F767,SERVIÇOS!$B:$G,5,0),IFERROR(VLOOKUP($F767,'COMPOSIÇÕES COMPLEMENTARES '!$D:$L,7,0),0)))</f>
        <v>452.48</v>
      </c>
      <c r="L767" s="314">
        <f>IF(I767="","",J767+K767)</f>
        <v>19528.5</v>
      </c>
      <c r="M767" s="314">
        <f>IF(I767="","",TRUNC((I767*J767),2))</f>
        <v>19076.02</v>
      </c>
      <c r="N767" s="314">
        <f>IF(I767="","",TRUNC((I767*K767),2))</f>
        <v>452.48</v>
      </c>
      <c r="O767" s="314">
        <f>IF(I767="","",TRUNC((M767+N767),2))</f>
        <v>19528.5</v>
      </c>
      <c r="P767" s="314"/>
      <c r="Q767" s="315"/>
      <c r="R767" s="315"/>
      <c r="S767" s="286"/>
      <c r="T767" s="287"/>
      <c r="U767" s="288" t="str">
        <f t="shared" si="419"/>
        <v/>
      </c>
      <c r="V767" s="287"/>
      <c r="W767" s="289" t="str">
        <f t="shared" si="420"/>
        <v/>
      </c>
      <c r="X767" s="287"/>
      <c r="Y767" s="290" t="str">
        <f t="shared" si="421"/>
        <v/>
      </c>
      <c r="Z767" s="291">
        <f ca="1">SUMIF($T$8:Y$1018,"QUANT.",T767:Y767)</f>
        <v>0</v>
      </c>
      <c r="AA767" s="292">
        <f t="shared" ca="1" si="422"/>
        <v>0</v>
      </c>
      <c r="AB767" s="293" t="str">
        <f t="shared" ca="1" si="423"/>
        <v>MEDIR</v>
      </c>
      <c r="AC767" s="294">
        <f t="shared" ca="1" si="424"/>
        <v>1</v>
      </c>
      <c r="AD767" s="294">
        <f t="shared" ca="1" si="425"/>
        <v>19528.5</v>
      </c>
      <c r="AE767" s="295"/>
      <c r="AF767" s="295"/>
      <c r="AG767" s="296"/>
      <c r="AH767" s="296"/>
      <c r="AI767" s="296"/>
      <c r="AJ767" s="326"/>
      <c r="AK767" s="326"/>
      <c r="AL767" s="326"/>
      <c r="AM767" s="326"/>
    </row>
    <row r="768" spans="1:39" x14ac:dyDescent="0.25">
      <c r="A768" s="232">
        <f t="shared" si="418"/>
        <v>768</v>
      </c>
      <c r="B768" s="232"/>
      <c r="C768" s="307" t="str">
        <f>+C767</f>
        <v>17.6</v>
      </c>
      <c r="D768" s="308">
        <f>1+D767</f>
        <v>3</v>
      </c>
      <c r="E768" s="309" t="str">
        <f>C768&amp;"."&amp;D768</f>
        <v>17.6.3</v>
      </c>
      <c r="F768" s="310" t="s">
        <v>12413</v>
      </c>
      <c r="G768" s="311" t="str">
        <f>IF($F768="","",IFERROR(VLOOKUP($F768,SERVIÇOS!$B:$G,2,0),IFERROR(VLOOKUP($F768,'COMPOSIÇÕES COMPLEMENTARES '!$D:$L,2,0),IFERROR(VLOOKUP($F768,INSUMOS!$A:$D,2,0),""))))</f>
        <v>CABO BLINDADO 2VIAS # 0,75mm², PAR TRANÇADO, DUPLA BLINDAGEM E SEM POLARIDADE</v>
      </c>
      <c r="H768" s="312" t="str">
        <f>IF($F768="","",IFERROR(VLOOKUP($F768,SERVIÇOS!$B:$G,3,0),IFERROR(VLOOKUP($F768,'COMPOSIÇÕES COMPLEMENTARES '!$D:$L,3,0),IFERROR(VLOOKUP($F768,INSUMOS!$A:$D,3,0),""))))</f>
        <v>M</v>
      </c>
      <c r="I768" s="313">
        <v>130</v>
      </c>
      <c r="J768" s="314">
        <f>IF($F768="","",IFERROR(VLOOKUP($F768,SERVIÇOS!$B:$G,4,0),IFERROR(VLOOKUP($F768,'COMPOSIÇÕES COMPLEMENTARES '!$D:$L,6,0),IFERROR(VLOOKUP($F768,INSUMOS!$A:$D,4,0),""))))</f>
        <v>6.9399999999999995</v>
      </c>
      <c r="K768" s="314">
        <f>IF($F768="","",IFERROR(VLOOKUP($F768,SERVIÇOS!$B:$G,5,0),IFERROR(VLOOKUP($F768,'COMPOSIÇÕES COMPLEMENTARES '!$D:$L,7,0),0)))</f>
        <v>4.9399999999999995</v>
      </c>
      <c r="L768" s="314">
        <f>IF(I768="","",J768+K768)</f>
        <v>11.879999999999999</v>
      </c>
      <c r="M768" s="314">
        <f>IF(I768="","",TRUNC((I768*J768),2))</f>
        <v>902.2</v>
      </c>
      <c r="N768" s="314">
        <f>IF(I768="","",TRUNC((I768*K768),2))</f>
        <v>642.20000000000005</v>
      </c>
      <c r="O768" s="314">
        <f>IF(I768="","",TRUNC((M768+N768),2))</f>
        <v>1544.4</v>
      </c>
      <c r="P768" s="314"/>
      <c r="Q768" s="315"/>
      <c r="R768" s="315"/>
      <c r="S768" s="286"/>
      <c r="T768" s="287"/>
      <c r="U768" s="288" t="str">
        <f t="shared" si="419"/>
        <v/>
      </c>
      <c r="V768" s="287"/>
      <c r="W768" s="289" t="str">
        <f t="shared" si="420"/>
        <v/>
      </c>
      <c r="X768" s="287"/>
      <c r="Y768" s="290" t="str">
        <f t="shared" si="421"/>
        <v/>
      </c>
      <c r="Z768" s="291">
        <f ca="1">SUMIF($T$8:Y$1018,"QUANT.",T768:Y768)</f>
        <v>0</v>
      </c>
      <c r="AA768" s="292">
        <f t="shared" ca="1" si="422"/>
        <v>0</v>
      </c>
      <c r="AB768" s="293" t="str">
        <f t="shared" ca="1" si="423"/>
        <v>MEDIR</v>
      </c>
      <c r="AC768" s="294">
        <f t="shared" ca="1" si="424"/>
        <v>130</v>
      </c>
      <c r="AD768" s="294">
        <f t="shared" ca="1" si="425"/>
        <v>1544.4</v>
      </c>
      <c r="AE768" s="295"/>
      <c r="AF768" s="295"/>
      <c r="AG768" s="296"/>
      <c r="AH768" s="296"/>
      <c r="AI768" s="296"/>
      <c r="AJ768" s="326"/>
      <c r="AK768" s="326"/>
      <c r="AL768" s="326"/>
      <c r="AM768" s="326"/>
    </row>
    <row r="769" spans="1:39" x14ac:dyDescent="0.25">
      <c r="A769" s="232">
        <f t="shared" si="418"/>
        <v>769</v>
      </c>
      <c r="B769" s="232"/>
      <c r="C769" s="316" t="str">
        <f>+E769</f>
        <v>17.7</v>
      </c>
      <c r="D769" s="297"/>
      <c r="E769" s="317" t="s">
        <v>12414</v>
      </c>
      <c r="F769" s="317"/>
      <c r="G769" s="327" t="s">
        <v>12415</v>
      </c>
      <c r="H769" s="317"/>
      <c r="I769" s="344"/>
      <c r="J769" s="317"/>
      <c r="K769" s="317"/>
      <c r="L769" s="317"/>
      <c r="M769" s="317"/>
      <c r="N769" s="317"/>
      <c r="O769" s="317"/>
      <c r="P769" s="317"/>
      <c r="Q769" s="320"/>
      <c r="R769" s="306"/>
      <c r="S769" s="286"/>
      <c r="T769" s="287"/>
      <c r="U769" s="288" t="str">
        <f t="shared" si="419"/>
        <v/>
      </c>
      <c r="V769" s="287"/>
      <c r="W769" s="289" t="str">
        <f t="shared" si="420"/>
        <v/>
      </c>
      <c r="X769" s="287"/>
      <c r="Y769" s="290" t="str">
        <f t="shared" si="421"/>
        <v/>
      </c>
      <c r="Z769" s="291">
        <f ca="1">SUMIF($T$8:Y$1018,"QUANT.",T769:Y769)</f>
        <v>0</v>
      </c>
      <c r="AA769" s="292">
        <f t="shared" ca="1" si="422"/>
        <v>0</v>
      </c>
      <c r="AB769" s="293" t="str">
        <f t="shared" si="423"/>
        <v/>
      </c>
      <c r="AC769" s="294">
        <f t="shared" ca="1" si="424"/>
        <v>0</v>
      </c>
      <c r="AD769" s="294">
        <f t="shared" ca="1" si="425"/>
        <v>0</v>
      </c>
      <c r="AE769" s="295"/>
      <c r="AF769" s="295"/>
      <c r="AG769" s="296"/>
      <c r="AH769" s="296"/>
      <c r="AI769" s="296"/>
      <c r="AJ769" s="326"/>
      <c r="AK769" s="326"/>
      <c r="AL769" s="326"/>
      <c r="AM769" s="326"/>
    </row>
    <row r="770" spans="1:39" ht="25.5" x14ac:dyDescent="0.25">
      <c r="A770" s="232">
        <f t="shared" ref="A770:A833" si="426">1+A769</f>
        <v>770</v>
      </c>
      <c r="B770" s="232"/>
      <c r="C770" s="307" t="str">
        <f>+C769</f>
        <v>17.7</v>
      </c>
      <c r="D770" s="308">
        <f>1+D769</f>
        <v>1</v>
      </c>
      <c r="E770" s="309" t="str">
        <f>C770&amp;"."&amp;D770</f>
        <v>17.7.1</v>
      </c>
      <c r="F770" s="310" t="s">
        <v>12416</v>
      </c>
      <c r="G770" s="311" t="str">
        <f>IF($F770="","",IFERROR(VLOOKUP($F770,SERVIÇOS!$B:$G,2,0),IFERROR(VLOOKUP($F770,'COMPOSIÇÕES COMPLEMENTARES '!$D:$L,2,0),IFERROR(VLOOKUP($F770,INSUMOS!$A:$D,2,0),""))))</f>
        <v>VIGA EM CONCRETO ARMADO PARA APOIO DE EQUIPAMENTOS DE AR CONDICIONADO 15X15CM, CONFORME DETALHE</v>
      </c>
      <c r="H770" s="312" t="str">
        <f>IF($F770="","",IFERROR(VLOOKUP($F770,SERVIÇOS!$B:$G,3,0),IFERROR(VLOOKUP($F770,'COMPOSIÇÕES COMPLEMENTARES '!$D:$L,3,0),IFERROR(VLOOKUP($F770,INSUMOS!$A:$D,3,0),""))))</f>
        <v>M</v>
      </c>
      <c r="I770" s="313">
        <v>8</v>
      </c>
      <c r="J770" s="314">
        <f>IF($F770="","",IFERROR(VLOOKUP($F770,SERVIÇOS!$B:$G,4,0),IFERROR(VLOOKUP($F770,'COMPOSIÇÕES COMPLEMENTARES '!$D:$L,6,0),IFERROR(VLOOKUP($F770,INSUMOS!$A:$D,4,0),""))))</f>
        <v>50.33</v>
      </c>
      <c r="K770" s="314">
        <f>IF($F770="","",IFERROR(VLOOKUP($F770,SERVIÇOS!$B:$G,5,0),IFERROR(VLOOKUP($F770,'COMPOSIÇÕES COMPLEMENTARES '!$D:$L,7,0),0)))</f>
        <v>35.700000000000003</v>
      </c>
      <c r="L770" s="314">
        <f>IF(I770="","",J770+K770)</f>
        <v>86.03</v>
      </c>
      <c r="M770" s="314">
        <f>IF(I770="","",TRUNC((I770*J770),2))</f>
        <v>402.64</v>
      </c>
      <c r="N770" s="314">
        <f>IF(I770="","",TRUNC((I770*K770),2))</f>
        <v>285.60000000000002</v>
      </c>
      <c r="O770" s="314">
        <f>IF(I770="","",TRUNC((M770+N770),2))</f>
        <v>688.24</v>
      </c>
      <c r="P770" s="314"/>
      <c r="Q770" s="315"/>
      <c r="R770" s="315"/>
      <c r="S770" s="286"/>
      <c r="T770" s="287"/>
      <c r="U770" s="288" t="str">
        <f t="shared" si="419"/>
        <v/>
      </c>
      <c r="V770" s="287"/>
      <c r="W770" s="289" t="str">
        <f t="shared" si="420"/>
        <v/>
      </c>
      <c r="X770" s="287"/>
      <c r="Y770" s="290" t="str">
        <f t="shared" si="421"/>
        <v/>
      </c>
      <c r="Z770" s="291">
        <f ca="1">SUMIF($T$8:Y$1018,"QUANT.",T770:Y770)</f>
        <v>0</v>
      </c>
      <c r="AA770" s="292">
        <f t="shared" ca="1" si="422"/>
        <v>0</v>
      </c>
      <c r="AB770" s="293" t="str">
        <f t="shared" ca="1" si="423"/>
        <v>MEDIR</v>
      </c>
      <c r="AC770" s="294">
        <f t="shared" ca="1" si="424"/>
        <v>8</v>
      </c>
      <c r="AD770" s="294">
        <f t="shared" ca="1" si="425"/>
        <v>688.24</v>
      </c>
      <c r="AE770" s="295"/>
      <c r="AF770" s="295"/>
      <c r="AG770" s="296"/>
      <c r="AH770" s="296"/>
      <c r="AI770" s="296"/>
      <c r="AJ770" s="326"/>
      <c r="AK770" s="326"/>
      <c r="AL770" s="326"/>
      <c r="AM770" s="326"/>
    </row>
    <row r="771" spans="1:39" x14ac:dyDescent="0.25">
      <c r="A771" s="232">
        <f t="shared" si="426"/>
        <v>771</v>
      </c>
      <c r="B771" s="232"/>
      <c r="C771" s="307" t="str">
        <f>+C770</f>
        <v>17.7</v>
      </c>
      <c r="D771" s="308">
        <f>1+D770</f>
        <v>2</v>
      </c>
      <c r="E771" s="309" t="str">
        <f>C771&amp;"."&amp;D771</f>
        <v>17.7.2</v>
      </c>
      <c r="F771" s="310" t="s">
        <v>12417</v>
      </c>
      <c r="G771" s="311" t="str">
        <f>IF($F771="","",IFERROR(VLOOKUP($F771,SERVIÇOS!$B:$G,2,0),IFERROR(VLOOKUP($F771,'COMPOSIÇÕES COMPLEMENTARES '!$D:$L,2,0),IFERROR(VLOOKUP($F771,INSUMOS!$A:$D,2,0),""))))</f>
        <v>CALÇO DE BORRACHA NEOPRENE, ESPESSURA 10MM</v>
      </c>
      <c r="H771" s="312" t="str">
        <f>IF($F771="","",IFERROR(VLOOKUP($F771,SERVIÇOS!$B:$G,3,0),IFERROR(VLOOKUP($F771,'COMPOSIÇÕES COMPLEMENTARES '!$D:$L,3,0),IFERROR(VLOOKUP($F771,INSUMOS!$A:$D,3,0),""))))</f>
        <v>UN</v>
      </c>
      <c r="I771" s="313">
        <v>16</v>
      </c>
      <c r="J771" s="314">
        <f>IF($F771="","",IFERROR(VLOOKUP($F771,SERVIÇOS!$B:$G,4,0),IFERROR(VLOOKUP($F771,'COMPOSIÇÕES COMPLEMENTARES '!$D:$L,6,0),IFERROR(VLOOKUP($F771,INSUMOS!$A:$D,4,0),""))))</f>
        <v>59.08</v>
      </c>
      <c r="K771" s="314">
        <f>IF($F771="","",IFERROR(VLOOKUP($F771,SERVIÇOS!$B:$G,5,0),IFERROR(VLOOKUP($F771,'COMPOSIÇÕES COMPLEMENTARES '!$D:$L,7,0),0)))</f>
        <v>4.8499999999999996</v>
      </c>
      <c r="L771" s="314">
        <f>IF(I771="","",J771+K771)</f>
        <v>63.93</v>
      </c>
      <c r="M771" s="314">
        <f>IF(I771="","",TRUNC((I771*J771),2))</f>
        <v>945.28</v>
      </c>
      <c r="N771" s="314">
        <f>IF(I771="","",TRUNC((I771*K771),2))</f>
        <v>77.599999999999994</v>
      </c>
      <c r="O771" s="314">
        <f>IF(I771="","",TRUNC((M771+N771),2))</f>
        <v>1022.88</v>
      </c>
      <c r="P771" s="314"/>
      <c r="Q771" s="315"/>
      <c r="R771" s="315"/>
      <c r="S771" s="286"/>
      <c r="T771" s="287"/>
      <c r="U771" s="288" t="str">
        <f t="shared" si="419"/>
        <v/>
      </c>
      <c r="V771" s="287"/>
      <c r="W771" s="289" t="str">
        <f t="shared" si="420"/>
        <v/>
      </c>
      <c r="X771" s="287"/>
      <c r="Y771" s="290" t="str">
        <f t="shared" si="421"/>
        <v/>
      </c>
      <c r="Z771" s="291">
        <f ca="1">SUMIF($T$8:Y$1018,"QUANT.",T771:Y771)</f>
        <v>0</v>
      </c>
      <c r="AA771" s="292">
        <f t="shared" ca="1" si="422"/>
        <v>0</v>
      </c>
      <c r="AB771" s="293" t="str">
        <f t="shared" ca="1" si="423"/>
        <v>MEDIR</v>
      </c>
      <c r="AC771" s="294">
        <f t="shared" ca="1" si="424"/>
        <v>16</v>
      </c>
      <c r="AD771" s="294">
        <f t="shared" ca="1" si="425"/>
        <v>1022.88</v>
      </c>
      <c r="AE771" s="295"/>
      <c r="AF771" s="295"/>
      <c r="AG771" s="296"/>
      <c r="AH771" s="296"/>
      <c r="AI771" s="296"/>
      <c r="AJ771" s="326"/>
      <c r="AK771" s="326"/>
      <c r="AL771" s="326"/>
      <c r="AM771" s="326"/>
    </row>
    <row r="772" spans="1:39" x14ac:dyDescent="0.25">
      <c r="A772" s="232">
        <f t="shared" si="426"/>
        <v>772</v>
      </c>
      <c r="B772" s="232"/>
      <c r="C772" s="316" t="str">
        <f>+E772</f>
        <v>17.8</v>
      </c>
      <c r="D772" s="297"/>
      <c r="E772" s="317" t="s">
        <v>12418</v>
      </c>
      <c r="F772" s="317"/>
      <c r="G772" s="318" t="s">
        <v>12419</v>
      </c>
      <c r="H772" s="317"/>
      <c r="I772" s="344"/>
      <c r="J772" s="317"/>
      <c r="K772" s="317"/>
      <c r="L772" s="317"/>
      <c r="M772" s="317"/>
      <c r="N772" s="317"/>
      <c r="O772" s="317"/>
      <c r="P772" s="317"/>
      <c r="Q772" s="320"/>
      <c r="R772" s="306"/>
      <c r="S772" s="286"/>
      <c r="T772" s="287"/>
      <c r="U772" s="288" t="str">
        <f t="shared" si="419"/>
        <v/>
      </c>
      <c r="V772" s="287"/>
      <c r="W772" s="289" t="str">
        <f t="shared" si="420"/>
        <v/>
      </c>
      <c r="X772" s="287"/>
      <c r="Y772" s="290" t="str">
        <f t="shared" si="421"/>
        <v/>
      </c>
      <c r="Z772" s="291">
        <f ca="1">SUMIF($T$8:Y$1018,"QUANT.",T772:Y772)</f>
        <v>0</v>
      </c>
      <c r="AA772" s="292">
        <f t="shared" ca="1" si="422"/>
        <v>0</v>
      </c>
      <c r="AB772" s="293" t="str">
        <f t="shared" si="423"/>
        <v/>
      </c>
      <c r="AC772" s="294">
        <f t="shared" ca="1" si="424"/>
        <v>0</v>
      </c>
      <c r="AD772" s="294">
        <f t="shared" ca="1" si="425"/>
        <v>0</v>
      </c>
      <c r="AE772" s="295"/>
      <c r="AF772" s="295"/>
      <c r="AG772" s="296"/>
      <c r="AH772" s="296"/>
      <c r="AI772" s="296"/>
      <c r="AJ772" s="326"/>
      <c r="AK772" s="326"/>
      <c r="AL772" s="326"/>
      <c r="AM772" s="326"/>
    </row>
    <row r="773" spans="1:39" x14ac:dyDescent="0.25">
      <c r="A773" s="232">
        <f t="shared" si="426"/>
        <v>773</v>
      </c>
      <c r="B773" s="232"/>
      <c r="C773" s="316" t="str">
        <f>+E773</f>
        <v>17.9</v>
      </c>
      <c r="D773" s="297"/>
      <c r="E773" s="317" t="s">
        <v>12420</v>
      </c>
      <c r="F773" s="317"/>
      <c r="G773" s="318" t="s">
        <v>12421</v>
      </c>
      <c r="H773" s="317"/>
      <c r="I773" s="344"/>
      <c r="J773" s="317"/>
      <c r="K773" s="317"/>
      <c r="L773" s="317"/>
      <c r="M773" s="317"/>
      <c r="N773" s="317"/>
      <c r="O773" s="317"/>
      <c r="P773" s="317"/>
      <c r="Q773" s="320"/>
      <c r="R773" s="306"/>
      <c r="S773" s="286"/>
      <c r="T773" s="287"/>
      <c r="U773" s="288" t="str">
        <f t="shared" si="419"/>
        <v/>
      </c>
      <c r="V773" s="287"/>
      <c r="W773" s="289" t="str">
        <f t="shared" si="420"/>
        <v/>
      </c>
      <c r="X773" s="287"/>
      <c r="Y773" s="290" t="str">
        <f t="shared" si="421"/>
        <v/>
      </c>
      <c r="Z773" s="291">
        <f ca="1">SUMIF($T$8:Y$1018,"QUANT.",T773:Y773)</f>
        <v>0</v>
      </c>
      <c r="AA773" s="292">
        <f t="shared" ca="1" si="422"/>
        <v>0</v>
      </c>
      <c r="AB773" s="293" t="str">
        <f t="shared" si="423"/>
        <v/>
      </c>
      <c r="AC773" s="294">
        <f t="shared" ca="1" si="424"/>
        <v>0</v>
      </c>
      <c r="AD773" s="294">
        <f t="shared" ca="1" si="425"/>
        <v>0</v>
      </c>
      <c r="AE773" s="295"/>
      <c r="AF773" s="295"/>
      <c r="AG773" s="296"/>
      <c r="AH773" s="296"/>
      <c r="AI773" s="296"/>
      <c r="AJ773" s="326"/>
      <c r="AK773" s="326"/>
      <c r="AL773" s="326"/>
      <c r="AM773" s="326"/>
    </row>
    <row r="774" spans="1:39" ht="38.25" x14ac:dyDescent="0.25">
      <c r="A774" s="232">
        <f t="shared" si="426"/>
        <v>774</v>
      </c>
      <c r="B774" s="232"/>
      <c r="C774" s="307" t="str">
        <f t="shared" ref="C774:C779" si="427">+C773</f>
        <v>17.9</v>
      </c>
      <c r="D774" s="308">
        <f t="shared" ref="D774:D779" si="428">1+D773</f>
        <v>1</v>
      </c>
      <c r="E774" s="309" t="str">
        <f t="shared" ref="E774:E779" si="429">C774&amp;"."&amp;D774</f>
        <v>17.9.1</v>
      </c>
      <c r="F774" s="310" t="s">
        <v>12422</v>
      </c>
      <c r="G774" s="311" t="str">
        <f>IF($F774="","",IFERROR(VLOOKUP($F774,SERVIÇOS!$B:$G,2,0),IFERROR(VLOOKUP($F774,'COMPOSIÇÕES COMPLEMENTARES '!$D:$L,2,0),IFERROR(VLOOKUP($F774,INSUMOS!$A:$D,2,0),""))))</f>
        <v>DIFUSOR DE 3 VIAS DO TIPO QUADRADO EUROPEU TAMANHO 1 PARA INSUFLAMENTO DE AR EM ALUMÍNIO COM REGISTRO - MARCA TROPICAL (OU SIMILAR OU SIMILAR - TROX, SEIMMEI, DIFUSAR) - MODELO: DQE-31-T1-RGA - FORNECIMENTO E INSTALAÇÃO</v>
      </c>
      <c r="H774" s="312" t="str">
        <f>IF($F774="","",IFERROR(VLOOKUP($F774,SERVIÇOS!$B:$G,3,0),IFERROR(VLOOKUP($F774,'COMPOSIÇÕES COMPLEMENTARES '!$D:$L,3,0),IFERROR(VLOOKUP($F774,INSUMOS!$A:$D,3,0),""))))</f>
        <v>UN</v>
      </c>
      <c r="I774" s="313">
        <v>13</v>
      </c>
      <c r="J774" s="314">
        <f>IF($F774="","",IFERROR(VLOOKUP($F774,SERVIÇOS!$B:$G,4,0),IFERROR(VLOOKUP($F774,'COMPOSIÇÕES COMPLEMENTARES '!$D:$L,6,0),IFERROR(VLOOKUP($F774,INSUMOS!$A:$D,4,0),""))))</f>
        <v>74.2</v>
      </c>
      <c r="K774" s="314">
        <f>IF($F774="","",IFERROR(VLOOKUP($F774,SERVIÇOS!$B:$G,5,0),IFERROR(VLOOKUP($F774,'COMPOSIÇÕES COMPLEMENTARES '!$D:$L,7,0),0)))</f>
        <v>3.16</v>
      </c>
      <c r="L774" s="314">
        <f t="shared" ref="L774:L779" si="430">IF(I774="","",J774+K774)</f>
        <v>77.36</v>
      </c>
      <c r="M774" s="314">
        <f t="shared" ref="M774:M779" si="431">IF(I774="","",TRUNC((I774*J774),2))</f>
        <v>964.6</v>
      </c>
      <c r="N774" s="314">
        <f t="shared" ref="N774:N779" si="432">IF(I774="","",TRUNC((I774*K774),2))</f>
        <v>41.08</v>
      </c>
      <c r="O774" s="314">
        <f t="shared" ref="O774:O779" si="433">IF(I774="","",TRUNC((M774+N774),2))</f>
        <v>1005.68</v>
      </c>
      <c r="P774" s="314"/>
      <c r="Q774" s="315"/>
      <c r="R774" s="315"/>
      <c r="S774" s="286"/>
      <c r="T774" s="287"/>
      <c r="U774" s="288" t="str">
        <f t="shared" si="419"/>
        <v/>
      </c>
      <c r="V774" s="287"/>
      <c r="W774" s="289" t="str">
        <f t="shared" si="420"/>
        <v/>
      </c>
      <c r="X774" s="287"/>
      <c r="Y774" s="290" t="str">
        <f t="shared" si="421"/>
        <v/>
      </c>
      <c r="Z774" s="291">
        <f ca="1">SUMIF($T$8:Y$1018,"QUANT.",T774:Y774)</f>
        <v>0</v>
      </c>
      <c r="AA774" s="292">
        <f t="shared" ca="1" si="422"/>
        <v>0</v>
      </c>
      <c r="AB774" s="293" t="str">
        <f t="shared" ca="1" si="423"/>
        <v>MEDIR</v>
      </c>
      <c r="AC774" s="294">
        <f t="shared" ca="1" si="424"/>
        <v>13</v>
      </c>
      <c r="AD774" s="294">
        <f t="shared" ca="1" si="425"/>
        <v>1005.68</v>
      </c>
      <c r="AE774" s="295"/>
      <c r="AF774" s="295"/>
      <c r="AG774" s="296"/>
      <c r="AH774" s="296"/>
      <c r="AI774" s="296"/>
      <c r="AJ774" s="326"/>
      <c r="AK774" s="326"/>
      <c r="AL774" s="326"/>
      <c r="AM774" s="326"/>
    </row>
    <row r="775" spans="1:39" ht="38.25" x14ac:dyDescent="0.25">
      <c r="A775" s="232">
        <f t="shared" si="426"/>
        <v>775</v>
      </c>
      <c r="B775" s="232"/>
      <c r="C775" s="307" t="str">
        <f t="shared" si="427"/>
        <v>17.9</v>
      </c>
      <c r="D775" s="308">
        <f t="shared" si="428"/>
        <v>2</v>
      </c>
      <c r="E775" s="309" t="str">
        <f t="shared" si="429"/>
        <v>17.9.2</v>
      </c>
      <c r="F775" s="310" t="s">
        <v>12423</v>
      </c>
      <c r="G775" s="311" t="str">
        <f>IF($F775="","",IFERROR(VLOOKUP($F775,SERVIÇOS!$B:$G,2,0),IFERROR(VLOOKUP($F775,'COMPOSIÇÕES COMPLEMENTARES '!$D:$L,2,0),IFERROR(VLOOKUP($F775,INSUMOS!$A:$D,2,0),""))))</f>
        <v>DIFUSOR DE 4 VIAS DO TIPO QUADRADO EUROPEU TAMANHO 1 PARA INSUFLAMENTO DE AR EM ALUMÍNIO COM REGISTRO - MARCA TROPICAL (OU SIMILAR OU SIMILAR - TROX, SEIMMEI, DIFUSAR) - MODELO: DQE-41-T1-RGA</v>
      </c>
      <c r="H775" s="312" t="str">
        <f>IF($F775="","",IFERROR(VLOOKUP($F775,SERVIÇOS!$B:$G,3,0),IFERROR(VLOOKUP($F775,'COMPOSIÇÕES COMPLEMENTARES '!$D:$L,3,0),IFERROR(VLOOKUP($F775,INSUMOS!$A:$D,3,0),""))))</f>
        <v>UN</v>
      </c>
      <c r="I775" s="313">
        <v>2</v>
      </c>
      <c r="J775" s="314">
        <f>IF($F775="","",IFERROR(VLOOKUP($F775,SERVIÇOS!$B:$G,4,0),IFERROR(VLOOKUP($F775,'COMPOSIÇÕES COMPLEMENTARES '!$D:$L,6,0),IFERROR(VLOOKUP($F775,INSUMOS!$A:$D,4,0),""))))</f>
        <v>375.19</v>
      </c>
      <c r="K775" s="314">
        <f>IF($F775="","",IFERROR(VLOOKUP($F775,SERVIÇOS!$B:$G,5,0),IFERROR(VLOOKUP($F775,'COMPOSIÇÕES COMPLEMENTARES '!$D:$L,7,0),0)))</f>
        <v>16</v>
      </c>
      <c r="L775" s="314">
        <f t="shared" si="430"/>
        <v>391.19</v>
      </c>
      <c r="M775" s="314">
        <f t="shared" si="431"/>
        <v>750.38</v>
      </c>
      <c r="N775" s="314">
        <f t="shared" si="432"/>
        <v>32</v>
      </c>
      <c r="O775" s="314">
        <f t="shared" si="433"/>
        <v>782.38</v>
      </c>
      <c r="P775" s="314"/>
      <c r="Q775" s="315"/>
      <c r="R775" s="315"/>
      <c r="S775" s="286"/>
      <c r="T775" s="287"/>
      <c r="U775" s="288" t="str">
        <f t="shared" si="419"/>
        <v/>
      </c>
      <c r="V775" s="287"/>
      <c r="W775" s="289" t="str">
        <f t="shared" si="420"/>
        <v/>
      </c>
      <c r="X775" s="287"/>
      <c r="Y775" s="290" t="str">
        <f t="shared" si="421"/>
        <v/>
      </c>
      <c r="Z775" s="291">
        <f ca="1">SUMIF($T$8:Y$1018,"QUANT.",T775:Y775)</f>
        <v>0</v>
      </c>
      <c r="AA775" s="292">
        <f t="shared" ca="1" si="422"/>
        <v>0</v>
      </c>
      <c r="AB775" s="293" t="str">
        <f t="shared" ca="1" si="423"/>
        <v>MEDIR</v>
      </c>
      <c r="AC775" s="294">
        <f t="shared" ca="1" si="424"/>
        <v>2</v>
      </c>
      <c r="AD775" s="294">
        <f t="shared" ca="1" si="425"/>
        <v>782.38</v>
      </c>
      <c r="AE775" s="295"/>
      <c r="AF775" s="295"/>
      <c r="AG775" s="296"/>
      <c r="AH775" s="296"/>
      <c r="AI775" s="296"/>
      <c r="AJ775" s="326"/>
      <c r="AK775" s="326"/>
      <c r="AL775" s="326"/>
      <c r="AM775" s="326"/>
    </row>
    <row r="776" spans="1:39" ht="38.25" x14ac:dyDescent="0.25">
      <c r="A776" s="232">
        <f t="shared" si="426"/>
        <v>776</v>
      </c>
      <c r="B776" s="232"/>
      <c r="C776" s="307" t="str">
        <f t="shared" si="427"/>
        <v>17.9</v>
      </c>
      <c r="D776" s="308">
        <f t="shared" si="428"/>
        <v>3</v>
      </c>
      <c r="E776" s="309" t="str">
        <f t="shared" si="429"/>
        <v>17.9.3</v>
      </c>
      <c r="F776" s="310" t="s">
        <v>12424</v>
      </c>
      <c r="G776" s="311" t="str">
        <f>IF($F776="","",IFERROR(VLOOKUP($F776,SERVIÇOS!$B:$G,2,0),IFERROR(VLOOKUP($F776,'COMPOSIÇÕES COMPLEMENTARES '!$D:$L,2,0),IFERROR(VLOOKUP($F776,INSUMOS!$A:$D,2,0),""))))</f>
        <v>DIFUSOR DE 4 VIAS DO TIPO QUADRADO EUROPEU TAMANHO 2 PARA INSUFLAMENTO DE AR EM ALUMÍNIO COM REGISTRO - MARCA TROPICAL (OU SIMILAR OU SIMILAR - TROX, SEIMMEI, DIFUSAR) - MODELO: DQE-41-T2-RGA</v>
      </c>
      <c r="H776" s="312" t="str">
        <f>IF($F776="","",IFERROR(VLOOKUP($F776,SERVIÇOS!$B:$G,3,0),IFERROR(VLOOKUP($F776,'COMPOSIÇÕES COMPLEMENTARES '!$D:$L,3,0),IFERROR(VLOOKUP($F776,INSUMOS!$A:$D,3,0),""))))</f>
        <v>UN</v>
      </c>
      <c r="I776" s="313">
        <v>13</v>
      </c>
      <c r="J776" s="314">
        <f>IF($F776="","",IFERROR(VLOOKUP($F776,SERVIÇOS!$B:$G,4,0),IFERROR(VLOOKUP($F776,'COMPOSIÇÕES COMPLEMENTARES '!$D:$L,6,0),IFERROR(VLOOKUP($F776,INSUMOS!$A:$D,4,0),""))))</f>
        <v>148.43</v>
      </c>
      <c r="K776" s="314">
        <f>IF($F776="","",IFERROR(VLOOKUP($F776,SERVIÇOS!$B:$G,5,0),IFERROR(VLOOKUP($F776,'COMPOSIÇÕES COMPLEMENTARES '!$D:$L,7,0),0)))</f>
        <v>6.33</v>
      </c>
      <c r="L776" s="314">
        <f t="shared" si="430"/>
        <v>154.76000000000002</v>
      </c>
      <c r="M776" s="314">
        <f t="shared" si="431"/>
        <v>1929.59</v>
      </c>
      <c r="N776" s="314">
        <f t="shared" si="432"/>
        <v>82.29</v>
      </c>
      <c r="O776" s="314">
        <f t="shared" si="433"/>
        <v>2011.88</v>
      </c>
      <c r="P776" s="314"/>
      <c r="Q776" s="315"/>
      <c r="R776" s="315"/>
      <c r="S776" s="286"/>
      <c r="T776" s="287"/>
      <c r="U776" s="288" t="str">
        <f t="shared" si="419"/>
        <v/>
      </c>
      <c r="V776" s="287"/>
      <c r="W776" s="289" t="str">
        <f t="shared" si="420"/>
        <v/>
      </c>
      <c r="X776" s="287"/>
      <c r="Y776" s="290" t="str">
        <f t="shared" si="421"/>
        <v/>
      </c>
      <c r="Z776" s="291">
        <f ca="1">SUMIF($T$8:Y$1018,"QUANT.",T776:Y776)</f>
        <v>0</v>
      </c>
      <c r="AA776" s="292">
        <f t="shared" ca="1" si="422"/>
        <v>0</v>
      </c>
      <c r="AB776" s="293" t="str">
        <f t="shared" ca="1" si="423"/>
        <v>MEDIR</v>
      </c>
      <c r="AC776" s="294">
        <f t="shared" ca="1" si="424"/>
        <v>13</v>
      </c>
      <c r="AD776" s="294">
        <f t="shared" ca="1" si="425"/>
        <v>2011.88</v>
      </c>
      <c r="AE776" s="295"/>
      <c r="AF776" s="295"/>
      <c r="AG776" s="296"/>
      <c r="AH776" s="296"/>
      <c r="AI776" s="296"/>
      <c r="AJ776" s="326"/>
      <c r="AK776" s="326"/>
      <c r="AL776" s="326"/>
      <c r="AM776" s="326"/>
    </row>
    <row r="777" spans="1:39" ht="38.25" x14ac:dyDescent="0.25">
      <c r="A777" s="232">
        <f t="shared" si="426"/>
        <v>777</v>
      </c>
      <c r="B777" s="232"/>
      <c r="C777" s="307" t="str">
        <f t="shared" si="427"/>
        <v>17.9</v>
      </c>
      <c r="D777" s="308">
        <f t="shared" si="428"/>
        <v>4</v>
      </c>
      <c r="E777" s="309" t="str">
        <f t="shared" si="429"/>
        <v>17.9.4</v>
      </c>
      <c r="F777" s="310" t="s">
        <v>12425</v>
      </c>
      <c r="G777" s="311" t="str">
        <f>IF($F777="","",IFERROR(VLOOKUP($F777,SERVIÇOS!$B:$G,2,0),IFERROR(VLOOKUP($F777,'COMPOSIÇÕES COMPLEMENTARES '!$D:$L,2,0),IFERROR(VLOOKUP($F777,INSUMOS!$A:$D,2,0),""))))</f>
        <v>DIFUSOR DE 4 VIAS DO TIPO QUADRADO EUROPEU TAMANHO 3 PARA INSUFLAMENTO DE AR EM ALUMÍNIO COM REGISTRO - MARCA TROPICAL (OU SIMILAR OU SIMILAR - TROX, SEIMMEI, DIFUSAR) - MODELO: DQE-41-T3-RGA</v>
      </c>
      <c r="H777" s="312" t="str">
        <f>IF($F777="","",IFERROR(VLOOKUP($F777,SERVIÇOS!$B:$G,3,0),IFERROR(VLOOKUP($F777,'COMPOSIÇÕES COMPLEMENTARES '!$D:$L,3,0),IFERROR(VLOOKUP($F777,INSUMOS!$A:$D,3,0),""))))</f>
        <v>UN</v>
      </c>
      <c r="I777" s="313">
        <v>9</v>
      </c>
      <c r="J777" s="314">
        <f>IF($F777="","",IFERROR(VLOOKUP($F777,SERVIÇOS!$B:$G,4,0),IFERROR(VLOOKUP($F777,'COMPOSIÇÕES COMPLEMENTARES '!$D:$L,6,0),IFERROR(VLOOKUP($F777,INSUMOS!$A:$D,4,0),""))))</f>
        <v>251.5</v>
      </c>
      <c r="K777" s="314">
        <f>IF($F777="","",IFERROR(VLOOKUP($F777,SERVIÇOS!$B:$G,5,0),IFERROR(VLOOKUP($F777,'COMPOSIÇÕES COMPLEMENTARES '!$D:$L,7,0),0)))</f>
        <v>10.72</v>
      </c>
      <c r="L777" s="314">
        <f t="shared" si="430"/>
        <v>262.22000000000003</v>
      </c>
      <c r="M777" s="314">
        <f t="shared" si="431"/>
        <v>2263.5</v>
      </c>
      <c r="N777" s="314">
        <f t="shared" si="432"/>
        <v>96.48</v>
      </c>
      <c r="O777" s="314">
        <f t="shared" si="433"/>
        <v>2359.98</v>
      </c>
      <c r="P777" s="314"/>
      <c r="Q777" s="315"/>
      <c r="R777" s="315"/>
      <c r="S777" s="286"/>
      <c r="T777" s="287"/>
      <c r="U777" s="288" t="str">
        <f t="shared" si="419"/>
        <v/>
      </c>
      <c r="V777" s="287"/>
      <c r="W777" s="289" t="str">
        <f t="shared" si="420"/>
        <v/>
      </c>
      <c r="X777" s="287"/>
      <c r="Y777" s="290" t="str">
        <f t="shared" si="421"/>
        <v/>
      </c>
      <c r="Z777" s="291">
        <f ca="1">SUMIF($T$8:Y$1018,"QUANT.",T777:Y777)</f>
        <v>0</v>
      </c>
      <c r="AA777" s="292">
        <f t="shared" ca="1" si="422"/>
        <v>0</v>
      </c>
      <c r="AB777" s="293" t="str">
        <f t="shared" ca="1" si="423"/>
        <v>MEDIR</v>
      </c>
      <c r="AC777" s="294">
        <f t="shared" ca="1" si="424"/>
        <v>9</v>
      </c>
      <c r="AD777" s="294">
        <f t="shared" ca="1" si="425"/>
        <v>2359.98</v>
      </c>
      <c r="AE777" s="295"/>
      <c r="AF777" s="295"/>
      <c r="AG777" s="296"/>
      <c r="AH777" s="296"/>
      <c r="AI777" s="296"/>
      <c r="AJ777" s="326"/>
      <c r="AK777" s="326"/>
      <c r="AL777" s="326"/>
      <c r="AM777" s="326"/>
    </row>
    <row r="778" spans="1:39" ht="38.25" x14ac:dyDescent="0.25">
      <c r="A778" s="232">
        <f t="shared" si="426"/>
        <v>778</v>
      </c>
      <c r="B778" s="232"/>
      <c r="C778" s="307" t="str">
        <f t="shared" si="427"/>
        <v>17.9</v>
      </c>
      <c r="D778" s="308">
        <f t="shared" si="428"/>
        <v>5</v>
      </c>
      <c r="E778" s="309" t="str">
        <f t="shared" si="429"/>
        <v>17.9.5</v>
      </c>
      <c r="F778" s="310" t="s">
        <v>12426</v>
      </c>
      <c r="G778" s="311" t="str">
        <f>IF($F778="","",IFERROR(VLOOKUP($F778,SERVIÇOS!$B:$G,2,0),IFERROR(VLOOKUP($F778,'COMPOSIÇÕES COMPLEMENTARES '!$D:$L,2,0),IFERROR(VLOOKUP($F778,INSUMOS!$A:$D,2,0),""))))</f>
        <v>DIFUSOR DE 4 VIAS DO TIPO QUADRADO EUROPEU TAMANHO 4 PARA INSUFLAMENTO DE AR EM ALUMÍNIO COM REGISTRO - MARCA TROPICAL (OU SIMILAR OU SIMILAR - TROX, SEIMMEI, DIFUSAR) - MODELO: DQE-41-T4-RGA</v>
      </c>
      <c r="H778" s="312" t="str">
        <f>IF($F778="","",IFERROR(VLOOKUP($F778,SERVIÇOS!$B:$G,3,0),IFERROR(VLOOKUP($F778,'COMPOSIÇÕES COMPLEMENTARES '!$D:$L,3,0),IFERROR(VLOOKUP($F778,INSUMOS!$A:$D,3,0),""))))</f>
        <v>UN</v>
      </c>
      <c r="I778" s="313">
        <v>1</v>
      </c>
      <c r="J778" s="314">
        <f>IF($F778="","",IFERROR(VLOOKUP($F778,SERVIÇOS!$B:$G,4,0),IFERROR(VLOOKUP($F778,'COMPOSIÇÕES COMPLEMENTARES '!$D:$L,6,0),IFERROR(VLOOKUP($F778,INSUMOS!$A:$D,4,0),""))))</f>
        <v>375.19</v>
      </c>
      <c r="K778" s="314">
        <f>IF($F778="","",IFERROR(VLOOKUP($F778,SERVIÇOS!$B:$G,5,0),IFERROR(VLOOKUP($F778,'COMPOSIÇÕES COMPLEMENTARES '!$D:$L,7,0),0)))</f>
        <v>16</v>
      </c>
      <c r="L778" s="314">
        <f t="shared" si="430"/>
        <v>391.19</v>
      </c>
      <c r="M778" s="314">
        <f t="shared" si="431"/>
        <v>375.19</v>
      </c>
      <c r="N778" s="314">
        <f t="shared" si="432"/>
        <v>16</v>
      </c>
      <c r="O778" s="314">
        <f t="shared" si="433"/>
        <v>391.19</v>
      </c>
      <c r="P778" s="314"/>
      <c r="Q778" s="315"/>
      <c r="R778" s="315"/>
      <c r="S778" s="286"/>
      <c r="T778" s="287"/>
      <c r="U778" s="288" t="str">
        <f t="shared" si="419"/>
        <v/>
      </c>
      <c r="V778" s="287"/>
      <c r="W778" s="289" t="str">
        <f t="shared" si="420"/>
        <v/>
      </c>
      <c r="X778" s="287"/>
      <c r="Y778" s="290" t="str">
        <f t="shared" si="421"/>
        <v/>
      </c>
      <c r="Z778" s="291">
        <f ca="1">SUMIF($T$8:Y$1018,"QUANT.",T778:Y778)</f>
        <v>0</v>
      </c>
      <c r="AA778" s="292">
        <f t="shared" ca="1" si="422"/>
        <v>0</v>
      </c>
      <c r="AB778" s="293" t="str">
        <f t="shared" ca="1" si="423"/>
        <v>MEDIR</v>
      </c>
      <c r="AC778" s="294">
        <f t="shared" ca="1" si="424"/>
        <v>1</v>
      </c>
      <c r="AD778" s="294">
        <f t="shared" ca="1" si="425"/>
        <v>391.19</v>
      </c>
      <c r="AE778" s="295"/>
      <c r="AF778" s="295"/>
      <c r="AG778" s="296"/>
      <c r="AH778" s="296"/>
      <c r="AI778" s="296"/>
      <c r="AJ778" s="326"/>
      <c r="AK778" s="326"/>
      <c r="AL778" s="326"/>
      <c r="AM778" s="326"/>
    </row>
    <row r="779" spans="1:39" ht="38.25" x14ac:dyDescent="0.25">
      <c r="A779" s="232">
        <f t="shared" si="426"/>
        <v>779</v>
      </c>
      <c r="B779" s="232"/>
      <c r="C779" s="307" t="str">
        <f t="shared" si="427"/>
        <v>17.9</v>
      </c>
      <c r="D779" s="308">
        <f t="shared" si="428"/>
        <v>6</v>
      </c>
      <c r="E779" s="309" t="str">
        <f t="shared" si="429"/>
        <v>17.9.6</v>
      </c>
      <c r="F779" s="310" t="s">
        <v>12427</v>
      </c>
      <c r="G779" s="311" t="str">
        <f>IF($F779="","",IFERROR(VLOOKUP($F779,SERVIÇOS!$B:$G,2,0),IFERROR(VLOOKUP($F779,'COMPOSIÇÕES COMPLEMENTARES '!$D:$L,2,0),IFERROR(VLOOKUP($F779,INSUMOS!$A:$D,2,0),""))))</f>
        <v>DIFUSOR DE 2 VIAS DO TIPO QUADRADO EUROPEU TAMANHO 1 PARA INSUFLAMENTO DE AR EM ALUMÍNIO COM REGISTRO - MARCA TROPICAL (OU SIMILAR OU SIMILAR - TROX, SEIMMEI, DIFUSAR) - MODELO: DQE-21-T1-RGA - FORNECIMENTO E INSTALAÇÃO</v>
      </c>
      <c r="H779" s="312" t="str">
        <f>IF($F779="","",IFERROR(VLOOKUP($F779,SERVIÇOS!$B:$G,3,0),IFERROR(VLOOKUP($F779,'COMPOSIÇÕES COMPLEMENTARES '!$D:$L,3,0),IFERROR(VLOOKUP($F779,INSUMOS!$A:$D,3,0),""))))</f>
        <v>UN</v>
      </c>
      <c r="I779" s="313">
        <v>1</v>
      </c>
      <c r="J779" s="314">
        <f>IF($F779="","",IFERROR(VLOOKUP($F779,SERVIÇOS!$B:$G,4,0),IFERROR(VLOOKUP($F779,'COMPOSIÇÕES COMPLEMENTARES '!$D:$L,6,0),IFERROR(VLOOKUP($F779,INSUMOS!$A:$D,4,0),""))))</f>
        <v>74.2</v>
      </c>
      <c r="K779" s="314">
        <f>IF($F779="","",IFERROR(VLOOKUP($F779,SERVIÇOS!$B:$G,5,0),IFERROR(VLOOKUP($F779,'COMPOSIÇÕES COMPLEMENTARES '!$D:$L,7,0),0)))</f>
        <v>3.16</v>
      </c>
      <c r="L779" s="314">
        <f t="shared" si="430"/>
        <v>77.36</v>
      </c>
      <c r="M779" s="314">
        <f t="shared" si="431"/>
        <v>74.2</v>
      </c>
      <c r="N779" s="314">
        <f t="shared" si="432"/>
        <v>3.16</v>
      </c>
      <c r="O779" s="314">
        <f t="shared" si="433"/>
        <v>77.36</v>
      </c>
      <c r="P779" s="314"/>
      <c r="Q779" s="315"/>
      <c r="R779" s="315"/>
      <c r="S779" s="286"/>
      <c r="T779" s="287"/>
      <c r="U779" s="288" t="str">
        <f t="shared" si="419"/>
        <v/>
      </c>
      <c r="V779" s="287"/>
      <c r="W779" s="289" t="str">
        <f t="shared" si="420"/>
        <v/>
      </c>
      <c r="X779" s="287"/>
      <c r="Y779" s="290" t="str">
        <f t="shared" si="421"/>
        <v/>
      </c>
      <c r="Z779" s="291">
        <f ca="1">SUMIF($T$8:Y$1018,"QUANT.",T779:Y779)</f>
        <v>0</v>
      </c>
      <c r="AA779" s="292">
        <f t="shared" ca="1" si="422"/>
        <v>0</v>
      </c>
      <c r="AB779" s="293" t="str">
        <f t="shared" ca="1" si="423"/>
        <v>MEDIR</v>
      </c>
      <c r="AC779" s="294">
        <f t="shared" ca="1" si="424"/>
        <v>1</v>
      </c>
      <c r="AD779" s="294">
        <f t="shared" ca="1" si="425"/>
        <v>77.36</v>
      </c>
      <c r="AE779" s="295"/>
      <c r="AF779" s="295"/>
      <c r="AG779" s="296"/>
      <c r="AH779" s="296"/>
      <c r="AI779" s="296"/>
      <c r="AJ779" s="326"/>
      <c r="AK779" s="326"/>
      <c r="AL779" s="326"/>
      <c r="AM779" s="326"/>
    </row>
    <row r="780" spans="1:39" x14ac:dyDescent="0.25">
      <c r="A780" s="232">
        <f t="shared" si="426"/>
        <v>780</v>
      </c>
      <c r="B780" s="232"/>
      <c r="C780" s="316" t="str">
        <f>+E780</f>
        <v>17.10</v>
      </c>
      <c r="D780" s="297"/>
      <c r="E780" s="317" t="s">
        <v>12428</v>
      </c>
      <c r="F780" s="317"/>
      <c r="G780" s="327" t="s">
        <v>12429</v>
      </c>
      <c r="H780" s="317"/>
      <c r="I780" s="344"/>
      <c r="J780" s="317"/>
      <c r="K780" s="317"/>
      <c r="L780" s="317"/>
      <c r="M780" s="317"/>
      <c r="N780" s="317"/>
      <c r="O780" s="317"/>
      <c r="P780" s="317"/>
      <c r="Q780" s="320"/>
      <c r="R780" s="306"/>
      <c r="S780" s="286"/>
      <c r="T780" s="287"/>
      <c r="U780" s="288" t="str">
        <f t="shared" si="419"/>
        <v/>
      </c>
      <c r="V780" s="287"/>
      <c r="W780" s="289" t="str">
        <f t="shared" si="420"/>
        <v/>
      </c>
      <c r="X780" s="287"/>
      <c r="Y780" s="290" t="str">
        <f t="shared" si="421"/>
        <v/>
      </c>
      <c r="Z780" s="291">
        <f ca="1">SUMIF($T$8:Y$1018,"QUANT.",T780:Y780)</f>
        <v>0</v>
      </c>
      <c r="AA780" s="292">
        <f t="shared" ca="1" si="422"/>
        <v>0</v>
      </c>
      <c r="AB780" s="293" t="str">
        <f t="shared" si="423"/>
        <v/>
      </c>
      <c r="AC780" s="294">
        <f t="shared" ca="1" si="424"/>
        <v>0</v>
      </c>
      <c r="AD780" s="294">
        <f t="shared" ca="1" si="425"/>
        <v>0</v>
      </c>
      <c r="AE780" s="295"/>
      <c r="AF780" s="295"/>
      <c r="AG780" s="296"/>
      <c r="AH780" s="296"/>
      <c r="AI780" s="296"/>
      <c r="AJ780" s="326"/>
      <c r="AK780" s="326"/>
      <c r="AL780" s="326"/>
      <c r="AM780" s="326"/>
    </row>
    <row r="781" spans="1:39" ht="38.25" x14ac:dyDescent="0.25">
      <c r="A781" s="232">
        <f t="shared" si="426"/>
        <v>781</v>
      </c>
      <c r="B781" s="232"/>
      <c r="C781" s="307" t="str">
        <f>+C780</f>
        <v>17.10</v>
      </c>
      <c r="D781" s="308">
        <f>1+D780</f>
        <v>1</v>
      </c>
      <c r="E781" s="309" t="str">
        <f>C781&amp;"."&amp;D781</f>
        <v>17.10.1</v>
      </c>
      <c r="F781" s="310" t="s">
        <v>12430</v>
      </c>
      <c r="G781" s="311" t="str">
        <f>IF($F781="","",IFERROR(VLOOKUP($F781,SERVIÇOS!$B:$G,2,0),IFERROR(VLOOKUP($F781,'COMPOSIÇÕES COMPLEMENTARES '!$D:$L,2,0),IFERROR(VLOOKUP($F781,INSUMOS!$A:$D,2,0),""))))</f>
        <v>GRELHA DE INSUFLAMENTO ALETAS VERTICAIS DE SIMPLES DEFLEXÃO COM REGISTRO EM ALUMÍNIO 0x0MM. MARCA TROPICAL MOD. SV-200x100-RGA (OU SIMILAR - TROX, SEIMMEI, DIFUSAR) -  FORNECIMENTO E INSTALAÇÃO</v>
      </c>
      <c r="H781" s="312" t="str">
        <f>IF($F781="","",IFERROR(VLOOKUP($F781,SERVIÇOS!$B:$G,3,0),IFERROR(VLOOKUP($F781,'COMPOSIÇÕES COMPLEMENTARES '!$D:$L,3,0),IFERROR(VLOOKUP($F781,INSUMOS!$A:$D,3,0),""))))</f>
        <v>UN</v>
      </c>
      <c r="I781" s="313">
        <v>6</v>
      </c>
      <c r="J781" s="314">
        <f>IF($F781="","",IFERROR(VLOOKUP($F781,SERVIÇOS!$B:$G,4,0),IFERROR(VLOOKUP($F781,'COMPOSIÇÕES COMPLEMENTARES '!$D:$L,6,0),IFERROR(VLOOKUP($F781,INSUMOS!$A:$D,4,0),""))))</f>
        <v>57.21</v>
      </c>
      <c r="K781" s="314">
        <f>IF($F781="","",IFERROR(VLOOKUP($F781,SERVIÇOS!$B:$G,5,0),IFERROR(VLOOKUP($F781,'COMPOSIÇÕES COMPLEMENTARES '!$D:$L,7,0),0)))</f>
        <v>9.84</v>
      </c>
      <c r="L781" s="314">
        <f>IF(I781="","",J781+K781)</f>
        <v>67.05</v>
      </c>
      <c r="M781" s="314">
        <f>IF(I781="","",TRUNC((I781*J781),2))</f>
        <v>343.26</v>
      </c>
      <c r="N781" s="314">
        <f>IF(I781="","",TRUNC((I781*K781),2))</f>
        <v>59.04</v>
      </c>
      <c r="O781" s="314">
        <f>IF(I781="","",TRUNC((M781+N781),2))</f>
        <v>402.3</v>
      </c>
      <c r="P781" s="314"/>
      <c r="Q781" s="315"/>
      <c r="R781" s="315"/>
      <c r="S781" s="286"/>
      <c r="T781" s="287"/>
      <c r="U781" s="288" t="str">
        <f t="shared" si="419"/>
        <v/>
      </c>
      <c r="V781" s="287"/>
      <c r="W781" s="289" t="str">
        <f t="shared" si="420"/>
        <v/>
      </c>
      <c r="X781" s="287"/>
      <c r="Y781" s="290" t="str">
        <f t="shared" si="421"/>
        <v/>
      </c>
      <c r="Z781" s="291">
        <f ca="1">SUMIF($T$8:Y$1018,"QUANT.",T781:Y781)</f>
        <v>0</v>
      </c>
      <c r="AA781" s="292">
        <f t="shared" ca="1" si="422"/>
        <v>0</v>
      </c>
      <c r="AB781" s="293" t="str">
        <f t="shared" ca="1" si="423"/>
        <v>MEDIR</v>
      </c>
      <c r="AC781" s="294">
        <f t="shared" ca="1" si="424"/>
        <v>6</v>
      </c>
      <c r="AD781" s="294">
        <f t="shared" ca="1" si="425"/>
        <v>402.3</v>
      </c>
      <c r="AE781" s="295"/>
      <c r="AF781" s="295"/>
      <c r="AG781" s="296"/>
      <c r="AH781" s="296"/>
      <c r="AI781" s="296"/>
      <c r="AJ781" s="326"/>
      <c r="AK781" s="326"/>
      <c r="AL781" s="326"/>
      <c r="AM781" s="326"/>
    </row>
    <row r="782" spans="1:39" x14ac:dyDescent="0.25">
      <c r="A782" s="232">
        <f t="shared" si="426"/>
        <v>782</v>
      </c>
      <c r="B782" s="232"/>
      <c r="C782" s="316" t="str">
        <f>+E782</f>
        <v>17.11</v>
      </c>
      <c r="D782" s="297"/>
      <c r="E782" s="317" t="s">
        <v>12431</v>
      </c>
      <c r="F782" s="317"/>
      <c r="G782" s="327" t="s">
        <v>12432</v>
      </c>
      <c r="H782" s="317"/>
      <c r="I782" s="344"/>
      <c r="J782" s="317"/>
      <c r="K782" s="317"/>
      <c r="L782" s="317"/>
      <c r="M782" s="317"/>
      <c r="N782" s="317"/>
      <c r="O782" s="317"/>
      <c r="P782" s="317"/>
      <c r="Q782" s="320"/>
      <c r="R782" s="306"/>
      <c r="S782" s="286"/>
      <c r="T782" s="287"/>
      <c r="U782" s="288" t="str">
        <f t="shared" si="419"/>
        <v/>
      </c>
      <c r="V782" s="287"/>
      <c r="W782" s="289" t="str">
        <f t="shared" si="420"/>
        <v/>
      </c>
      <c r="X782" s="287"/>
      <c r="Y782" s="290" t="str">
        <f t="shared" si="421"/>
        <v/>
      </c>
      <c r="Z782" s="291">
        <f ca="1">SUMIF($T$8:Y$1018,"QUANT.",T782:Y782)</f>
        <v>0</v>
      </c>
      <c r="AA782" s="292">
        <f t="shared" ca="1" si="422"/>
        <v>0</v>
      </c>
      <c r="AB782" s="293" t="str">
        <f t="shared" si="423"/>
        <v/>
      </c>
      <c r="AC782" s="294">
        <f t="shared" ca="1" si="424"/>
        <v>0</v>
      </c>
      <c r="AD782" s="294">
        <f t="shared" ca="1" si="425"/>
        <v>0</v>
      </c>
      <c r="AE782" s="295"/>
      <c r="AF782" s="295"/>
      <c r="AG782" s="296"/>
      <c r="AH782" s="296"/>
      <c r="AI782" s="296"/>
      <c r="AJ782" s="326"/>
      <c r="AK782" s="326"/>
      <c r="AL782" s="326"/>
      <c r="AM782" s="326"/>
    </row>
    <row r="783" spans="1:39" ht="25.5" x14ac:dyDescent="0.25">
      <c r="A783" s="232">
        <f t="shared" si="426"/>
        <v>783</v>
      </c>
      <c r="B783" s="232"/>
      <c r="C783" s="307" t="str">
        <f t="shared" ref="C783:C789" si="434">+C782</f>
        <v>17.11</v>
      </c>
      <c r="D783" s="308">
        <f t="shared" ref="D783:D789" si="435">1+D782</f>
        <v>1</v>
      </c>
      <c r="E783" s="309" t="str">
        <f t="shared" ref="E783:E789" si="436">C783&amp;"."&amp;D783</f>
        <v>17.11.1</v>
      </c>
      <c r="F783" s="310" t="s">
        <v>12433</v>
      </c>
      <c r="G783" s="311" t="str">
        <f>IF($F783="","",IFERROR(VLOOKUP($F783,SERVIÇOS!$B:$G,2,0),IFERROR(VLOOKUP($F783,'COMPOSIÇÕES COMPLEMENTARES '!$D:$L,2,0),IFERROR(VLOOKUP($F783,INSUMOS!$A:$D,2,0),""))))</f>
        <v>GRELHA DE RETORNO DE AR ALETAS HORIZONTAIS COM REGISTRO EM ALUMÍNIO 200x100MM. MARCA TROPICAL MOD. RHN-200x100-RGA (OU SIMILAR - TROX, SEIMMEI, DIFUSAR)</v>
      </c>
      <c r="H783" s="312" t="str">
        <f>IF($F783="","",IFERROR(VLOOKUP($F783,SERVIÇOS!$B:$G,3,0),IFERROR(VLOOKUP($F783,'COMPOSIÇÕES COMPLEMENTARES '!$D:$L,3,0),IFERROR(VLOOKUP($F783,INSUMOS!$A:$D,3,0),""))))</f>
        <v>UN</v>
      </c>
      <c r="I783" s="313">
        <v>2</v>
      </c>
      <c r="J783" s="314">
        <f>IF($F783="","",IFERROR(VLOOKUP($F783,SERVIÇOS!$B:$G,4,0),IFERROR(VLOOKUP($F783,'COMPOSIÇÕES COMPLEMENTARES '!$D:$L,6,0),IFERROR(VLOOKUP($F783,INSUMOS!$A:$D,4,0),""))))</f>
        <v>58.32</v>
      </c>
      <c r="K783" s="314">
        <f>IF($F783="","",IFERROR(VLOOKUP($F783,SERVIÇOS!$B:$G,5,0),IFERROR(VLOOKUP($F783,'COMPOSIÇÕES COMPLEMENTARES '!$D:$L,7,0),0)))</f>
        <v>9.84</v>
      </c>
      <c r="L783" s="314">
        <f t="shared" ref="L783:L789" si="437">IF(I783="","",J783+K783)</f>
        <v>68.16</v>
      </c>
      <c r="M783" s="314">
        <f t="shared" ref="M783:M789" si="438">IF(I783="","",TRUNC((I783*J783),2))</f>
        <v>116.64</v>
      </c>
      <c r="N783" s="314">
        <f t="shared" ref="N783:N789" si="439">IF(I783="","",TRUNC((I783*K783),2))</f>
        <v>19.68</v>
      </c>
      <c r="O783" s="314">
        <f t="shared" ref="O783:O789" si="440">IF(I783="","",TRUNC((M783+N783),2))</f>
        <v>136.32</v>
      </c>
      <c r="P783" s="314"/>
      <c r="Q783" s="315"/>
      <c r="R783" s="315"/>
      <c r="S783" s="286"/>
      <c r="T783" s="287"/>
      <c r="U783" s="288" t="str">
        <f t="shared" si="419"/>
        <v/>
      </c>
      <c r="V783" s="287"/>
      <c r="W783" s="289" t="str">
        <f t="shared" si="420"/>
        <v/>
      </c>
      <c r="X783" s="287"/>
      <c r="Y783" s="290" t="str">
        <f t="shared" si="421"/>
        <v/>
      </c>
      <c r="Z783" s="291">
        <f ca="1">SUMIF($T$8:Y$1018,"QUANT.",T783:Y783)</f>
        <v>0</v>
      </c>
      <c r="AA783" s="292">
        <f t="shared" ca="1" si="422"/>
        <v>0</v>
      </c>
      <c r="AB783" s="293" t="str">
        <f t="shared" ca="1" si="423"/>
        <v>MEDIR</v>
      </c>
      <c r="AC783" s="294">
        <f t="shared" ca="1" si="424"/>
        <v>2</v>
      </c>
      <c r="AD783" s="294">
        <f t="shared" ca="1" si="425"/>
        <v>136.32</v>
      </c>
      <c r="AE783" s="295"/>
      <c r="AF783" s="295"/>
      <c r="AG783" s="296"/>
      <c r="AH783" s="296"/>
      <c r="AI783" s="296"/>
      <c r="AJ783" s="326"/>
      <c r="AK783" s="326"/>
      <c r="AL783" s="326"/>
      <c r="AM783" s="326"/>
    </row>
    <row r="784" spans="1:39" ht="25.5" x14ac:dyDescent="0.25">
      <c r="A784" s="232">
        <f t="shared" si="426"/>
        <v>784</v>
      </c>
      <c r="B784" s="232"/>
      <c r="C784" s="307" t="str">
        <f t="shared" si="434"/>
        <v>17.11</v>
      </c>
      <c r="D784" s="308">
        <f t="shared" si="435"/>
        <v>2</v>
      </c>
      <c r="E784" s="309" t="str">
        <f t="shared" si="436"/>
        <v>17.11.2</v>
      </c>
      <c r="F784" s="310" t="s">
        <v>12434</v>
      </c>
      <c r="G784" s="311" t="str">
        <f>IF($F784="","",IFERROR(VLOOKUP($F784,SERVIÇOS!$B:$G,2,0),IFERROR(VLOOKUP($F784,'COMPOSIÇÕES COMPLEMENTARES '!$D:$L,2,0),IFERROR(VLOOKUP($F784,INSUMOS!$A:$D,2,0),""))))</f>
        <v>GRELHA DE RETORNO DE AR ALETAS HORIZONTAIS COM REGISTRO EM ALUMÍNIO 300x200MM. MARCA TROPICAL MOD. RHN-300x200-RGA (OU SIMILAR - TROX, SEIMMEI, DIFUSAR)</v>
      </c>
      <c r="H784" s="312" t="str">
        <f>IF($F784="","",IFERROR(VLOOKUP($F784,SERVIÇOS!$B:$G,3,0),IFERROR(VLOOKUP($F784,'COMPOSIÇÕES COMPLEMENTARES '!$D:$L,3,0),IFERROR(VLOOKUP($F784,INSUMOS!$A:$D,3,0),""))))</f>
        <v>UN</v>
      </c>
      <c r="I784" s="313">
        <v>10</v>
      </c>
      <c r="J784" s="314">
        <f>IF($F784="","",IFERROR(VLOOKUP($F784,SERVIÇOS!$B:$G,4,0),IFERROR(VLOOKUP($F784,'COMPOSIÇÕES COMPLEMENTARES '!$D:$L,6,0),IFERROR(VLOOKUP($F784,INSUMOS!$A:$D,4,0),""))))</f>
        <v>169.52</v>
      </c>
      <c r="K784" s="314">
        <f>IF($F784="","",IFERROR(VLOOKUP($F784,SERVIÇOS!$B:$G,5,0),IFERROR(VLOOKUP($F784,'COMPOSIÇÕES COMPLEMENTARES '!$D:$L,7,0),0)))</f>
        <v>14.77</v>
      </c>
      <c r="L784" s="314">
        <f t="shared" si="437"/>
        <v>184.29000000000002</v>
      </c>
      <c r="M784" s="314">
        <f t="shared" si="438"/>
        <v>1695.2</v>
      </c>
      <c r="N784" s="314">
        <f t="shared" si="439"/>
        <v>147.69999999999999</v>
      </c>
      <c r="O784" s="314">
        <f t="shared" si="440"/>
        <v>1842.9</v>
      </c>
      <c r="P784" s="314"/>
      <c r="Q784" s="315"/>
      <c r="R784" s="315"/>
      <c r="S784" s="286"/>
      <c r="T784" s="287"/>
      <c r="U784" s="288" t="str">
        <f t="shared" si="419"/>
        <v/>
      </c>
      <c r="V784" s="287"/>
      <c r="W784" s="289" t="str">
        <f t="shared" si="420"/>
        <v/>
      </c>
      <c r="X784" s="287"/>
      <c r="Y784" s="290" t="str">
        <f t="shared" si="421"/>
        <v/>
      </c>
      <c r="Z784" s="291">
        <f ca="1">SUMIF($T$8:Y$1018,"QUANT.",T784:Y784)</f>
        <v>0</v>
      </c>
      <c r="AA784" s="292">
        <f t="shared" ca="1" si="422"/>
        <v>0</v>
      </c>
      <c r="AB784" s="293" t="str">
        <f t="shared" ca="1" si="423"/>
        <v>MEDIR</v>
      </c>
      <c r="AC784" s="294">
        <f t="shared" ca="1" si="424"/>
        <v>10</v>
      </c>
      <c r="AD784" s="294">
        <f t="shared" ca="1" si="425"/>
        <v>1842.9</v>
      </c>
      <c r="AE784" s="295"/>
      <c r="AF784" s="295"/>
      <c r="AG784" s="296"/>
      <c r="AH784" s="296"/>
      <c r="AI784" s="296"/>
      <c r="AJ784" s="326"/>
      <c r="AK784" s="326"/>
      <c r="AL784" s="326"/>
      <c r="AM784" s="326"/>
    </row>
    <row r="785" spans="1:39" ht="25.5" x14ac:dyDescent="0.25">
      <c r="A785" s="232">
        <f t="shared" si="426"/>
        <v>785</v>
      </c>
      <c r="B785" s="232"/>
      <c r="C785" s="307" t="str">
        <f t="shared" si="434"/>
        <v>17.11</v>
      </c>
      <c r="D785" s="308">
        <f t="shared" si="435"/>
        <v>3</v>
      </c>
      <c r="E785" s="309" t="str">
        <f t="shared" si="436"/>
        <v>17.11.3</v>
      </c>
      <c r="F785" s="310" t="s">
        <v>12435</v>
      </c>
      <c r="G785" s="311" t="str">
        <f>IF($F785="","",IFERROR(VLOOKUP($F785,SERVIÇOS!$B:$G,2,0),IFERROR(VLOOKUP($F785,'COMPOSIÇÕES COMPLEMENTARES '!$D:$L,2,0),IFERROR(VLOOKUP($F785,INSUMOS!$A:$D,2,0),""))))</f>
        <v>GRELHA DE RETORNO DE AR ALETAS HORIZONTAIS COM REGISTRO EM ALUMÍNIO 300x400MM. MARCA TROPICAL MOD. RHN-300x400-RGA (OU SIMILAR - TROX, SEIMMEI, DIFUSAR)</v>
      </c>
      <c r="H785" s="312" t="str">
        <f>IF($F785="","",IFERROR(VLOOKUP($F785,SERVIÇOS!$B:$G,3,0),IFERROR(VLOOKUP($F785,'COMPOSIÇÕES COMPLEMENTARES '!$D:$L,3,0),IFERROR(VLOOKUP($F785,INSUMOS!$A:$D,3,0),""))))</f>
        <v>UN</v>
      </c>
      <c r="I785" s="313">
        <v>1</v>
      </c>
      <c r="J785" s="314">
        <f>IF($F785="","",IFERROR(VLOOKUP($F785,SERVIÇOS!$B:$G,4,0),IFERROR(VLOOKUP($F785,'COMPOSIÇÕES COMPLEMENTARES '!$D:$L,6,0),IFERROR(VLOOKUP($F785,INSUMOS!$A:$D,4,0),""))))</f>
        <v>337.21</v>
      </c>
      <c r="K785" s="314">
        <f>IF($F785="","",IFERROR(VLOOKUP($F785,SERVIÇOS!$B:$G,5,0),IFERROR(VLOOKUP($F785,'COMPOSIÇÕES COMPLEMENTARES '!$D:$L,7,0),0)))</f>
        <v>24.62</v>
      </c>
      <c r="L785" s="314">
        <f t="shared" si="437"/>
        <v>361.83</v>
      </c>
      <c r="M785" s="314">
        <f t="shared" si="438"/>
        <v>337.21</v>
      </c>
      <c r="N785" s="314">
        <f t="shared" si="439"/>
        <v>24.62</v>
      </c>
      <c r="O785" s="314">
        <f t="shared" si="440"/>
        <v>361.83</v>
      </c>
      <c r="P785" s="314"/>
      <c r="Q785" s="315"/>
      <c r="R785" s="315"/>
      <c r="S785" s="286"/>
      <c r="T785" s="287"/>
      <c r="U785" s="288" t="str">
        <f t="shared" si="419"/>
        <v/>
      </c>
      <c r="V785" s="287"/>
      <c r="W785" s="289" t="str">
        <f t="shared" si="420"/>
        <v/>
      </c>
      <c r="X785" s="287"/>
      <c r="Y785" s="290" t="str">
        <f t="shared" si="421"/>
        <v/>
      </c>
      <c r="Z785" s="291">
        <f ca="1">SUMIF($T$8:Y$1018,"QUANT.",T785:Y785)</f>
        <v>0</v>
      </c>
      <c r="AA785" s="292">
        <f t="shared" ca="1" si="422"/>
        <v>0</v>
      </c>
      <c r="AB785" s="293" t="str">
        <f t="shared" ca="1" si="423"/>
        <v>MEDIR</v>
      </c>
      <c r="AC785" s="294">
        <f t="shared" ca="1" si="424"/>
        <v>1</v>
      </c>
      <c r="AD785" s="294">
        <f t="shared" ca="1" si="425"/>
        <v>361.83</v>
      </c>
      <c r="AE785" s="295"/>
      <c r="AF785" s="295"/>
      <c r="AG785" s="296"/>
      <c r="AH785" s="296"/>
      <c r="AI785" s="296"/>
      <c r="AJ785" s="326"/>
      <c r="AK785" s="326"/>
      <c r="AL785" s="326"/>
      <c r="AM785" s="326"/>
    </row>
    <row r="786" spans="1:39" ht="25.5" x14ac:dyDescent="0.25">
      <c r="A786" s="232">
        <f t="shared" si="426"/>
        <v>786</v>
      </c>
      <c r="B786" s="232"/>
      <c r="C786" s="307" t="str">
        <f t="shared" si="434"/>
        <v>17.11</v>
      </c>
      <c r="D786" s="308">
        <f t="shared" si="435"/>
        <v>4</v>
      </c>
      <c r="E786" s="309" t="str">
        <f t="shared" si="436"/>
        <v>17.11.4</v>
      </c>
      <c r="F786" s="310" t="s">
        <v>12436</v>
      </c>
      <c r="G786" s="311" t="str">
        <f>IF($F786="","",IFERROR(VLOOKUP($F786,SERVIÇOS!$B:$G,2,0),IFERROR(VLOOKUP($F786,'COMPOSIÇÕES COMPLEMENTARES '!$D:$L,2,0),IFERROR(VLOOKUP($F786,INSUMOS!$A:$D,2,0),""))))</f>
        <v>GRELHA DE RETORNO DE AR ALETAS HORIZONTAIS COM REGISTRO EM ALUMÍNIO 400x200MM. MARCA TROPICAL MOD. RHN-400x200-RGA (OU SIMILAR - TROX, SEIMMEI, DIFUSAR)</v>
      </c>
      <c r="H786" s="312" t="str">
        <f>IF($F786="","",IFERROR(VLOOKUP($F786,SERVIÇOS!$B:$G,3,0),IFERROR(VLOOKUP($F786,'COMPOSIÇÕES COMPLEMENTARES '!$D:$L,3,0),IFERROR(VLOOKUP($F786,INSUMOS!$A:$D,3,0),""))))</f>
        <v>UN</v>
      </c>
      <c r="I786" s="313">
        <v>3</v>
      </c>
      <c r="J786" s="314">
        <f>IF($F786="","",IFERROR(VLOOKUP($F786,SERVIÇOS!$B:$G,4,0),IFERROR(VLOOKUP($F786,'COMPOSIÇÕES COMPLEMENTARES '!$D:$L,6,0),IFERROR(VLOOKUP($F786,INSUMOS!$A:$D,4,0),""))))</f>
        <v>226.02</v>
      </c>
      <c r="K786" s="314">
        <f>IF($F786="","",IFERROR(VLOOKUP($F786,SERVIÇOS!$B:$G,5,0),IFERROR(VLOOKUP($F786,'COMPOSIÇÕES COMPLEMENTARES '!$D:$L,7,0),0)))</f>
        <v>19.690000000000001</v>
      </c>
      <c r="L786" s="314">
        <f t="shared" si="437"/>
        <v>245.71</v>
      </c>
      <c r="M786" s="314">
        <f t="shared" si="438"/>
        <v>678.06</v>
      </c>
      <c r="N786" s="314">
        <f t="shared" si="439"/>
        <v>59.07</v>
      </c>
      <c r="O786" s="314">
        <f t="shared" si="440"/>
        <v>737.13</v>
      </c>
      <c r="P786" s="314"/>
      <c r="Q786" s="315"/>
      <c r="R786" s="315"/>
      <c r="S786" s="286"/>
      <c r="T786" s="287"/>
      <c r="U786" s="288" t="str">
        <f t="shared" si="419"/>
        <v/>
      </c>
      <c r="V786" s="287"/>
      <c r="W786" s="289" t="str">
        <f t="shared" si="420"/>
        <v/>
      </c>
      <c r="X786" s="287"/>
      <c r="Y786" s="290" t="str">
        <f t="shared" si="421"/>
        <v/>
      </c>
      <c r="Z786" s="291">
        <f ca="1">SUMIF($T$8:Y$1018,"QUANT.",T786:Y786)</f>
        <v>0</v>
      </c>
      <c r="AA786" s="292">
        <f t="shared" ca="1" si="422"/>
        <v>0</v>
      </c>
      <c r="AB786" s="293" t="str">
        <f t="shared" ca="1" si="423"/>
        <v>MEDIR</v>
      </c>
      <c r="AC786" s="294">
        <f t="shared" ca="1" si="424"/>
        <v>3</v>
      </c>
      <c r="AD786" s="294">
        <f t="shared" ca="1" si="425"/>
        <v>737.13</v>
      </c>
      <c r="AE786" s="295"/>
      <c r="AF786" s="295"/>
      <c r="AG786" s="296"/>
      <c r="AH786" s="296"/>
      <c r="AI786" s="296"/>
      <c r="AJ786" s="326"/>
      <c r="AK786" s="326"/>
      <c r="AL786" s="326"/>
      <c r="AM786" s="326"/>
    </row>
    <row r="787" spans="1:39" ht="25.5" x14ac:dyDescent="0.25">
      <c r="A787" s="232">
        <f t="shared" si="426"/>
        <v>787</v>
      </c>
      <c r="B787" s="232"/>
      <c r="C787" s="307" t="str">
        <f t="shared" si="434"/>
        <v>17.11</v>
      </c>
      <c r="D787" s="308">
        <f t="shared" si="435"/>
        <v>5</v>
      </c>
      <c r="E787" s="309" t="str">
        <f t="shared" si="436"/>
        <v>17.11.5</v>
      </c>
      <c r="F787" s="310" t="s">
        <v>12437</v>
      </c>
      <c r="G787" s="311" t="str">
        <f>IF($F787="","",IFERROR(VLOOKUP($F787,SERVIÇOS!$B:$G,2,0),IFERROR(VLOOKUP($F787,'COMPOSIÇÕES COMPLEMENTARES '!$D:$L,2,0),IFERROR(VLOOKUP($F787,INSUMOS!$A:$D,2,0),""))))</f>
        <v>GRELHA DE RETORNO DE AR ALETAS HORIZONTAIS COM REGISTRO EM ALUMÍNIO 400x300MM. MARCA TROPICAL MOD. RHN-400x300-RGA (OU SIMILAR - TROX, SEIMMEI, DIFUSAR)</v>
      </c>
      <c r="H787" s="312" t="str">
        <f>IF($F787="","",IFERROR(VLOOKUP($F787,SERVIÇOS!$B:$G,3,0),IFERROR(VLOOKUP($F787,'COMPOSIÇÕES COMPLEMENTARES '!$D:$L,3,0),IFERROR(VLOOKUP($F787,INSUMOS!$A:$D,3,0),""))))</f>
        <v>UN</v>
      </c>
      <c r="I787" s="313">
        <v>3</v>
      </c>
      <c r="J787" s="314">
        <f>IF($F787="","",IFERROR(VLOOKUP($F787,SERVIÇOS!$B:$G,4,0),IFERROR(VLOOKUP($F787,'COMPOSIÇÕES COMPLEMENTARES '!$D:$L,6,0),IFERROR(VLOOKUP($F787,INSUMOS!$A:$D,4,0),""))))</f>
        <v>248.28</v>
      </c>
      <c r="K787" s="314">
        <f>IF($F787="","",IFERROR(VLOOKUP($F787,SERVIÇOS!$B:$G,5,0),IFERROR(VLOOKUP($F787,'COMPOSIÇÕES COMPLEMENTARES '!$D:$L,7,0),0)))</f>
        <v>12.05</v>
      </c>
      <c r="L787" s="314">
        <f t="shared" si="437"/>
        <v>260.33</v>
      </c>
      <c r="M787" s="314">
        <f t="shared" si="438"/>
        <v>744.84</v>
      </c>
      <c r="N787" s="314">
        <f t="shared" si="439"/>
        <v>36.15</v>
      </c>
      <c r="O787" s="314">
        <f t="shared" si="440"/>
        <v>780.99</v>
      </c>
      <c r="P787" s="314"/>
      <c r="Q787" s="315"/>
      <c r="R787" s="315"/>
      <c r="S787" s="286"/>
      <c r="T787" s="287"/>
      <c r="U787" s="288" t="str">
        <f t="shared" si="419"/>
        <v/>
      </c>
      <c r="V787" s="287"/>
      <c r="W787" s="289" t="str">
        <f t="shared" si="420"/>
        <v/>
      </c>
      <c r="X787" s="287"/>
      <c r="Y787" s="290" t="str">
        <f t="shared" si="421"/>
        <v/>
      </c>
      <c r="Z787" s="291">
        <f ca="1">SUMIF($T$8:Y$1018,"QUANT.",T787:Y787)</f>
        <v>0</v>
      </c>
      <c r="AA787" s="292">
        <f t="shared" ca="1" si="422"/>
        <v>0</v>
      </c>
      <c r="AB787" s="293" t="str">
        <f t="shared" ca="1" si="423"/>
        <v>MEDIR</v>
      </c>
      <c r="AC787" s="294">
        <f t="shared" ca="1" si="424"/>
        <v>3</v>
      </c>
      <c r="AD787" s="294">
        <f t="shared" ca="1" si="425"/>
        <v>780.99</v>
      </c>
      <c r="AE787" s="295"/>
      <c r="AF787" s="295"/>
      <c r="AG787" s="296"/>
      <c r="AH787" s="296"/>
      <c r="AI787" s="296"/>
      <c r="AJ787" s="326"/>
      <c r="AK787" s="326"/>
      <c r="AL787" s="326"/>
      <c r="AM787" s="326"/>
    </row>
    <row r="788" spans="1:39" ht="25.5" x14ac:dyDescent="0.25">
      <c r="A788" s="232">
        <f t="shared" si="426"/>
        <v>788</v>
      </c>
      <c r="B788" s="232"/>
      <c r="C788" s="307" t="str">
        <f t="shared" si="434"/>
        <v>17.11</v>
      </c>
      <c r="D788" s="308">
        <f t="shared" si="435"/>
        <v>6</v>
      </c>
      <c r="E788" s="309" t="str">
        <f t="shared" si="436"/>
        <v>17.11.6</v>
      </c>
      <c r="F788" s="310" t="s">
        <v>12438</v>
      </c>
      <c r="G788" s="311" t="str">
        <f>IF($F788="","",IFERROR(VLOOKUP($F788,SERVIÇOS!$B:$G,2,0),IFERROR(VLOOKUP($F788,'COMPOSIÇÕES COMPLEMENTARES '!$D:$L,2,0),IFERROR(VLOOKUP($F788,INSUMOS!$A:$D,2,0),""))))</f>
        <v>GRELHA DE RETORNO DE AR ALETAS HORIZONTAIS COM REGISTRO EM ALUMÍNIO 500x300MM. MARCA TROPICAL MOD. RHN-500x300-RGA (OU SIMILAR - TROX, SEIMMEI, DIFUSAR)</v>
      </c>
      <c r="H788" s="312" t="str">
        <f>IF($F788="","",IFERROR(VLOOKUP($F788,SERVIÇOS!$B:$G,3,0),IFERROR(VLOOKUP($F788,'COMPOSIÇÕES COMPLEMENTARES '!$D:$L,3,0),IFERROR(VLOOKUP($F788,INSUMOS!$A:$D,3,0),""))))</f>
        <v>UN</v>
      </c>
      <c r="I788" s="313">
        <v>3</v>
      </c>
      <c r="J788" s="314">
        <f>IF($F788="","",IFERROR(VLOOKUP($F788,SERVIÇOS!$B:$G,4,0),IFERROR(VLOOKUP($F788,'COMPOSIÇÕES COMPLEMENTARES '!$D:$L,6,0),IFERROR(VLOOKUP($F788,INSUMOS!$A:$D,4,0),""))))</f>
        <v>310.36</v>
      </c>
      <c r="K788" s="314">
        <f>IF($F788="","",IFERROR(VLOOKUP($F788,SERVIÇOS!$B:$G,5,0),IFERROR(VLOOKUP($F788,'COMPOSIÇÕES COMPLEMENTARES '!$D:$L,7,0),0)))</f>
        <v>15.07</v>
      </c>
      <c r="L788" s="314">
        <f t="shared" si="437"/>
        <v>325.43</v>
      </c>
      <c r="M788" s="314">
        <f t="shared" si="438"/>
        <v>931.08</v>
      </c>
      <c r="N788" s="314">
        <f t="shared" si="439"/>
        <v>45.21</v>
      </c>
      <c r="O788" s="314">
        <f t="shared" si="440"/>
        <v>976.29</v>
      </c>
      <c r="P788" s="314"/>
      <c r="Q788" s="315"/>
      <c r="R788" s="315"/>
      <c r="S788" s="286"/>
      <c r="T788" s="287"/>
      <c r="U788" s="288" t="str">
        <f t="shared" si="419"/>
        <v/>
      </c>
      <c r="V788" s="287"/>
      <c r="W788" s="289" t="str">
        <f t="shared" si="420"/>
        <v/>
      </c>
      <c r="X788" s="287"/>
      <c r="Y788" s="290" t="str">
        <f t="shared" si="421"/>
        <v/>
      </c>
      <c r="Z788" s="291">
        <f ca="1">SUMIF($T$8:Y$1018,"QUANT.",T788:Y788)</f>
        <v>0</v>
      </c>
      <c r="AA788" s="292">
        <f t="shared" ca="1" si="422"/>
        <v>0</v>
      </c>
      <c r="AB788" s="293" t="str">
        <f t="shared" ca="1" si="423"/>
        <v>MEDIR</v>
      </c>
      <c r="AC788" s="294">
        <f t="shared" ca="1" si="424"/>
        <v>3</v>
      </c>
      <c r="AD788" s="294">
        <f t="shared" ca="1" si="425"/>
        <v>976.29</v>
      </c>
      <c r="AE788" s="295"/>
      <c r="AF788" s="295"/>
      <c r="AG788" s="296"/>
      <c r="AH788" s="296"/>
      <c r="AI788" s="296"/>
      <c r="AJ788" s="326"/>
      <c r="AK788" s="326"/>
      <c r="AL788" s="326"/>
      <c r="AM788" s="326"/>
    </row>
    <row r="789" spans="1:39" ht="25.5" x14ac:dyDescent="0.25">
      <c r="A789" s="232">
        <f t="shared" si="426"/>
        <v>789</v>
      </c>
      <c r="B789" s="232"/>
      <c r="C789" s="307" t="str">
        <f t="shared" si="434"/>
        <v>17.11</v>
      </c>
      <c r="D789" s="308">
        <f t="shared" si="435"/>
        <v>7</v>
      </c>
      <c r="E789" s="309" t="str">
        <f t="shared" si="436"/>
        <v>17.11.7</v>
      </c>
      <c r="F789" s="310" t="s">
        <v>12439</v>
      </c>
      <c r="G789" s="311" t="str">
        <f>IF($F789="","",IFERROR(VLOOKUP($F789,SERVIÇOS!$B:$G,2,0),IFERROR(VLOOKUP($F789,'COMPOSIÇÕES COMPLEMENTARES '!$D:$L,2,0),IFERROR(VLOOKUP($F789,INSUMOS!$A:$D,2,0),""))))</f>
        <v>GRELHA DE RETORNO DE AR ALETAS HORIZONTAIS COM REGISTRO EM ALUMÍNIO 600x300MM. MARCA TROPICAL MOD. RHN-600x300-RGA (OU SIMILAR - TROX, SEIMMEI, DIFUSAR)</v>
      </c>
      <c r="H789" s="312" t="str">
        <f>IF($F789="","",IFERROR(VLOOKUP($F789,SERVIÇOS!$B:$G,3,0),IFERROR(VLOOKUP($F789,'COMPOSIÇÕES COMPLEMENTARES '!$D:$L,3,0),IFERROR(VLOOKUP($F789,INSUMOS!$A:$D,3,0),""))))</f>
        <v>UN</v>
      </c>
      <c r="I789" s="313">
        <v>4</v>
      </c>
      <c r="J789" s="314">
        <f>IF($F789="","",IFERROR(VLOOKUP($F789,SERVIÇOS!$B:$G,4,0),IFERROR(VLOOKUP($F789,'COMPOSIÇÕES COMPLEMENTARES '!$D:$L,6,0),IFERROR(VLOOKUP($F789,INSUMOS!$A:$D,4,0),""))))</f>
        <v>365.35</v>
      </c>
      <c r="K789" s="314">
        <f>IF($F789="","",IFERROR(VLOOKUP($F789,SERVIÇOS!$B:$G,5,0),IFERROR(VLOOKUP($F789,'COMPOSIÇÕES COMPLEMENTARES '!$D:$L,7,0),0)))</f>
        <v>18.079999999999998</v>
      </c>
      <c r="L789" s="314">
        <f t="shared" si="437"/>
        <v>383.43</v>
      </c>
      <c r="M789" s="314">
        <f t="shared" si="438"/>
        <v>1461.4</v>
      </c>
      <c r="N789" s="314">
        <f t="shared" si="439"/>
        <v>72.319999999999993</v>
      </c>
      <c r="O789" s="314">
        <f t="shared" si="440"/>
        <v>1533.72</v>
      </c>
      <c r="P789" s="314"/>
      <c r="Q789" s="315"/>
      <c r="R789" s="315"/>
      <c r="S789" s="286"/>
      <c r="T789" s="287"/>
      <c r="U789" s="288" t="str">
        <f t="shared" si="419"/>
        <v/>
      </c>
      <c r="V789" s="287"/>
      <c r="W789" s="289" t="str">
        <f t="shared" si="420"/>
        <v/>
      </c>
      <c r="X789" s="287"/>
      <c r="Y789" s="290" t="str">
        <f t="shared" si="421"/>
        <v/>
      </c>
      <c r="Z789" s="291">
        <f ca="1">SUMIF($T$8:Y$1018,"QUANT.",T789:Y789)</f>
        <v>0</v>
      </c>
      <c r="AA789" s="292">
        <f t="shared" ca="1" si="422"/>
        <v>0</v>
      </c>
      <c r="AB789" s="293" t="str">
        <f t="shared" ca="1" si="423"/>
        <v>MEDIR</v>
      </c>
      <c r="AC789" s="294">
        <f t="shared" ca="1" si="424"/>
        <v>4</v>
      </c>
      <c r="AD789" s="294">
        <f t="shared" ca="1" si="425"/>
        <v>1533.72</v>
      </c>
      <c r="AE789" s="295"/>
      <c r="AF789" s="295"/>
      <c r="AG789" s="296"/>
      <c r="AH789" s="296"/>
      <c r="AI789" s="296"/>
      <c r="AJ789" s="326"/>
      <c r="AK789" s="326"/>
      <c r="AL789" s="326"/>
      <c r="AM789" s="326"/>
    </row>
    <row r="790" spans="1:39" x14ac:dyDescent="0.25">
      <c r="A790" s="232">
        <f t="shared" si="426"/>
        <v>790</v>
      </c>
      <c r="B790" s="232"/>
      <c r="C790" s="316" t="str">
        <f>+E790</f>
        <v>17.12</v>
      </c>
      <c r="D790" s="297"/>
      <c r="E790" s="317" t="s">
        <v>12440</v>
      </c>
      <c r="F790" s="317"/>
      <c r="G790" s="327" t="s">
        <v>12441</v>
      </c>
      <c r="H790" s="317"/>
      <c r="I790" s="344"/>
      <c r="J790" s="317"/>
      <c r="K790" s="317"/>
      <c r="L790" s="317"/>
      <c r="M790" s="317"/>
      <c r="N790" s="317"/>
      <c r="O790" s="317"/>
      <c r="P790" s="317"/>
      <c r="Q790" s="320"/>
      <c r="R790" s="306"/>
      <c r="S790" s="286"/>
      <c r="T790" s="287"/>
      <c r="U790" s="288" t="str">
        <f t="shared" si="419"/>
        <v/>
      </c>
      <c r="V790" s="287"/>
      <c r="W790" s="289" t="str">
        <f t="shared" si="420"/>
        <v/>
      </c>
      <c r="X790" s="287"/>
      <c r="Y790" s="290" t="str">
        <f t="shared" si="421"/>
        <v/>
      </c>
      <c r="Z790" s="291">
        <f ca="1">SUMIF($T$8:Y$1018,"QUANT.",T790:Y790)</f>
        <v>0</v>
      </c>
      <c r="AA790" s="292">
        <f t="shared" ca="1" si="422"/>
        <v>0</v>
      </c>
      <c r="AB790" s="293" t="str">
        <f t="shared" si="423"/>
        <v/>
      </c>
      <c r="AC790" s="294">
        <f t="shared" ca="1" si="424"/>
        <v>0</v>
      </c>
      <c r="AD790" s="294">
        <f t="shared" ca="1" si="425"/>
        <v>0</v>
      </c>
      <c r="AE790" s="295"/>
      <c r="AF790" s="295"/>
      <c r="AG790" s="296"/>
      <c r="AH790" s="296"/>
      <c r="AI790" s="296"/>
      <c r="AJ790" s="326"/>
      <c r="AK790" s="326"/>
      <c r="AL790" s="326"/>
      <c r="AM790" s="326"/>
    </row>
    <row r="791" spans="1:39" ht="25.5" x14ac:dyDescent="0.25">
      <c r="A791" s="232">
        <f t="shared" si="426"/>
        <v>791</v>
      </c>
      <c r="B791" s="232"/>
      <c r="C791" s="307" t="str">
        <f>+C790</f>
        <v>17.12</v>
      </c>
      <c r="D791" s="308">
        <f>1+D790</f>
        <v>1</v>
      </c>
      <c r="E791" s="309" t="str">
        <f>C791&amp;"."&amp;D791</f>
        <v>17.12.1</v>
      </c>
      <c r="F791" s="310" t="s">
        <v>12442</v>
      </c>
      <c r="G791" s="311" t="str">
        <f>IF($F791="","",IFERROR(VLOOKUP($F791,SERVIÇOS!$B:$G,2,0),IFERROR(VLOOKUP($F791,'COMPOSIÇÕES COMPLEMENTARES '!$D:$L,2,0),IFERROR(VLOOKUP($F791,INSUMOS!$A:$D,2,0),""))))</f>
        <v>VENEZIANA DE TOMADA DE AR EXTERNO EM ALUMÍNIO COM REGISTRO  300x200MM. MARCA TROPICAL MOD. TAE-300x200-RGA (OU SIMILAR - TROX, SEIMMEI, DIFUSAR)</v>
      </c>
      <c r="H791" s="312" t="str">
        <f>IF($F791="","",IFERROR(VLOOKUP($F791,SERVIÇOS!$B:$G,3,0),IFERROR(VLOOKUP($F791,'COMPOSIÇÕES COMPLEMENTARES '!$D:$L,3,0),IFERROR(VLOOKUP($F791,INSUMOS!$A:$D,3,0),""))))</f>
        <v>UN</v>
      </c>
      <c r="I791" s="313">
        <v>1</v>
      </c>
      <c r="J791" s="314">
        <f>IF($F791="","",IFERROR(VLOOKUP($F791,SERVIÇOS!$B:$G,4,0),IFERROR(VLOOKUP($F791,'COMPOSIÇÕES COMPLEMENTARES '!$D:$L,6,0),IFERROR(VLOOKUP($F791,INSUMOS!$A:$D,4,0),""))))</f>
        <v>94.2</v>
      </c>
      <c r="K791" s="314">
        <f>IF($F791="","",IFERROR(VLOOKUP($F791,SERVIÇOS!$B:$G,5,0),IFERROR(VLOOKUP($F791,'COMPOSIÇÕES COMPLEMENTARES '!$D:$L,7,0),0)))</f>
        <v>20.41</v>
      </c>
      <c r="L791" s="314">
        <f>IF(I791="","",J791+K791)</f>
        <v>114.61</v>
      </c>
      <c r="M791" s="314">
        <f>IF(I791="","",TRUNC((I791*J791),2))</f>
        <v>94.2</v>
      </c>
      <c r="N791" s="314">
        <f>IF(I791="","",TRUNC((I791*K791),2))</f>
        <v>20.41</v>
      </c>
      <c r="O791" s="314">
        <f>IF(I791="","",TRUNC((M791+N791),2))</f>
        <v>114.61</v>
      </c>
      <c r="P791" s="314"/>
      <c r="Q791" s="315"/>
      <c r="R791" s="315"/>
      <c r="S791" s="286"/>
      <c r="T791" s="287"/>
      <c r="U791" s="288" t="str">
        <f t="shared" si="419"/>
        <v/>
      </c>
      <c r="V791" s="287"/>
      <c r="W791" s="289" t="str">
        <f t="shared" si="420"/>
        <v/>
      </c>
      <c r="X791" s="287"/>
      <c r="Y791" s="290" t="str">
        <f t="shared" si="421"/>
        <v/>
      </c>
      <c r="Z791" s="291">
        <f ca="1">SUMIF($T$8:Y$1018,"QUANT.",T791:Y791)</f>
        <v>0</v>
      </c>
      <c r="AA791" s="292">
        <f t="shared" ca="1" si="422"/>
        <v>0</v>
      </c>
      <c r="AB791" s="293" t="str">
        <f t="shared" ca="1" si="423"/>
        <v>MEDIR</v>
      </c>
      <c r="AC791" s="294">
        <f t="shared" ca="1" si="424"/>
        <v>1</v>
      </c>
      <c r="AD791" s="294">
        <f t="shared" ca="1" si="425"/>
        <v>114.61</v>
      </c>
      <c r="AE791" s="295"/>
      <c r="AF791" s="295"/>
      <c r="AG791" s="296"/>
      <c r="AH791" s="296"/>
      <c r="AI791" s="296"/>
      <c r="AJ791" s="326"/>
      <c r="AK791" s="326"/>
      <c r="AL791" s="326"/>
      <c r="AM791" s="326"/>
    </row>
    <row r="792" spans="1:39" x14ac:dyDescent="0.25">
      <c r="A792" s="232">
        <f t="shared" si="426"/>
        <v>792</v>
      </c>
      <c r="B792" s="232"/>
      <c r="C792" s="316" t="str">
        <f>+E792</f>
        <v>17.13</v>
      </c>
      <c r="D792" s="297"/>
      <c r="E792" s="317" t="s">
        <v>12443</v>
      </c>
      <c r="F792" s="317"/>
      <c r="G792" s="327" t="s">
        <v>12444</v>
      </c>
      <c r="H792" s="317"/>
      <c r="I792" s="344"/>
      <c r="J792" s="317"/>
      <c r="K792" s="317"/>
      <c r="L792" s="317"/>
      <c r="M792" s="317"/>
      <c r="N792" s="317"/>
      <c r="O792" s="317"/>
      <c r="P792" s="317"/>
      <c r="Q792" s="320"/>
      <c r="R792" s="306"/>
      <c r="S792" s="286"/>
      <c r="T792" s="287"/>
      <c r="U792" s="288" t="str">
        <f t="shared" si="419"/>
        <v/>
      </c>
      <c r="V792" s="287"/>
      <c r="W792" s="289" t="str">
        <f t="shared" si="420"/>
        <v/>
      </c>
      <c r="X792" s="287"/>
      <c r="Y792" s="290" t="str">
        <f t="shared" si="421"/>
        <v/>
      </c>
      <c r="Z792" s="291">
        <f ca="1">SUMIF($T$8:Y$1018,"QUANT.",T792:Y792)</f>
        <v>0</v>
      </c>
      <c r="AA792" s="292">
        <f t="shared" ca="1" si="422"/>
        <v>0</v>
      </c>
      <c r="AB792" s="293" t="str">
        <f t="shared" si="423"/>
        <v/>
      </c>
      <c r="AC792" s="294">
        <f t="shared" ca="1" si="424"/>
        <v>0</v>
      </c>
      <c r="AD792" s="294">
        <f t="shared" ca="1" si="425"/>
        <v>0</v>
      </c>
      <c r="AE792" s="295"/>
      <c r="AF792" s="295"/>
      <c r="AG792" s="296"/>
      <c r="AH792" s="296"/>
      <c r="AI792" s="296"/>
      <c r="AJ792" s="326"/>
      <c r="AK792" s="326"/>
      <c r="AL792" s="326"/>
      <c r="AM792" s="326"/>
    </row>
    <row r="793" spans="1:39" ht="51" x14ac:dyDescent="0.25">
      <c r="A793" s="232">
        <f t="shared" si="426"/>
        <v>793</v>
      </c>
      <c r="B793" s="232"/>
      <c r="C793" s="307" t="str">
        <f>+C792</f>
        <v>17.13</v>
      </c>
      <c r="D793" s="308">
        <f>1+D792</f>
        <v>1</v>
      </c>
      <c r="E793" s="309" t="str">
        <f>C793&amp;"."&amp;D793</f>
        <v>17.13.1</v>
      </c>
      <c r="F793" s="310" t="s">
        <v>12445</v>
      </c>
      <c r="G793" s="311" t="str">
        <f>IF($F793="","",IFERROR(VLOOKUP($F793,SERVIÇOS!$B:$G,2,0),IFERROR(VLOOKUP($F793,'COMPOSIÇÕES COMPLEMENTARES '!$D:$L,2,0),IFERROR(VLOOKUP($F793,INSUMOS!$A:$D,2,0),""))))</f>
        <v>GRELHA PLÁSTICA FIXA COM COLARINHO, COM TELA ANTI-INSETOS, DIÂMETRO NOMINAL Ø100MM, , EM PLÁSTICO ABS COM PROTEÇÃO ANTI-UV, COM ÁREA EFETIVA LIVRE MÍNIMA DE 49 CM². REFERÊNCIA: SICFLUX S100 OU EQUIVALENTE TÉCNICO (WDB GRADE COM ADAPTADOR, MULTIVAC OU OUTRO). FORNECIMENTO E INSTALAÇÃO</v>
      </c>
      <c r="H793" s="312" t="str">
        <f>IF($F793="","",IFERROR(VLOOKUP($F793,SERVIÇOS!$B:$G,3,0),IFERROR(VLOOKUP($F793,'COMPOSIÇÕES COMPLEMENTARES '!$D:$L,3,0),IFERROR(VLOOKUP($F793,INSUMOS!$A:$D,3,0),""))))</f>
        <v>UN</v>
      </c>
      <c r="I793" s="313">
        <v>4</v>
      </c>
      <c r="J793" s="314">
        <f>IF($F793="","",IFERROR(VLOOKUP($F793,SERVIÇOS!$B:$G,4,0),IFERROR(VLOOKUP($F793,'COMPOSIÇÕES COMPLEMENTARES '!$D:$L,6,0),IFERROR(VLOOKUP($F793,INSUMOS!$A:$D,4,0),""))))</f>
        <v>30.57</v>
      </c>
      <c r="K793" s="314">
        <f>IF($F793="","",IFERROR(VLOOKUP($F793,SERVIÇOS!$B:$G,5,0),IFERROR(VLOOKUP($F793,'COMPOSIÇÕES COMPLEMENTARES '!$D:$L,7,0),0)))</f>
        <v>15.43</v>
      </c>
      <c r="L793" s="314">
        <f>IF(I793="","",J793+K793)</f>
        <v>46</v>
      </c>
      <c r="M793" s="314">
        <f>IF(I793="","",TRUNC((I793*J793),2))</f>
        <v>122.28</v>
      </c>
      <c r="N793" s="314">
        <f>IF(I793="","",TRUNC((I793*K793),2))</f>
        <v>61.72</v>
      </c>
      <c r="O793" s="314">
        <f>IF(I793="","",TRUNC((M793+N793),2))</f>
        <v>184</v>
      </c>
      <c r="P793" s="314"/>
      <c r="Q793" s="315"/>
      <c r="R793" s="315"/>
      <c r="S793" s="286"/>
      <c r="T793" s="287"/>
      <c r="U793" s="288" t="str">
        <f t="shared" si="419"/>
        <v/>
      </c>
      <c r="V793" s="287"/>
      <c r="W793" s="289" t="str">
        <f t="shared" si="420"/>
        <v/>
      </c>
      <c r="X793" s="287"/>
      <c r="Y793" s="290" t="str">
        <f t="shared" si="421"/>
        <v/>
      </c>
      <c r="Z793" s="291">
        <f ca="1">SUMIF($T$8:Y$1018,"QUANT.",T793:Y793)</f>
        <v>0</v>
      </c>
      <c r="AA793" s="292">
        <f t="shared" ca="1" si="422"/>
        <v>0</v>
      </c>
      <c r="AB793" s="293" t="str">
        <f t="shared" ca="1" si="423"/>
        <v>MEDIR</v>
      </c>
      <c r="AC793" s="294">
        <f t="shared" ca="1" si="424"/>
        <v>4</v>
      </c>
      <c r="AD793" s="294">
        <f t="shared" ca="1" si="425"/>
        <v>184</v>
      </c>
      <c r="AE793" s="295"/>
      <c r="AF793" s="295"/>
      <c r="AG793" s="296"/>
      <c r="AH793" s="296"/>
      <c r="AI793" s="296"/>
      <c r="AJ793" s="326"/>
      <c r="AK793" s="326"/>
      <c r="AL793" s="326"/>
      <c r="AM793" s="326"/>
    </row>
    <row r="794" spans="1:39" ht="51" x14ac:dyDescent="0.25">
      <c r="A794" s="232">
        <f t="shared" si="426"/>
        <v>794</v>
      </c>
      <c r="B794" s="232"/>
      <c r="C794" s="307" t="str">
        <f>+C793</f>
        <v>17.13</v>
      </c>
      <c r="D794" s="308">
        <f>1+D793</f>
        <v>2</v>
      </c>
      <c r="E794" s="309" t="str">
        <f>C794&amp;"."&amp;D794</f>
        <v>17.13.2</v>
      </c>
      <c r="F794" s="310" t="s">
        <v>12446</v>
      </c>
      <c r="G794" s="311" t="str">
        <f>IF($F794="","",IFERROR(VLOOKUP($F794,SERVIÇOS!$B:$G,2,0),IFERROR(VLOOKUP($F794,'COMPOSIÇÕES COMPLEMENTARES '!$D:$L,2,0),IFERROR(VLOOKUP($F794,INSUMOS!$A:$D,2,0),""))))</f>
        <v>GRELHA PLÁSTICA FIXA COM COLARINHO, COM TELA ANTI-INSETOS, DIÂMETRO NOMINAL Ø125MM, , EM PLÁSTICO ABS COM PROTEÇÃO ANTI-UV, COM ÁREA EFETIVA LIVRE MÍNIMA DE 85 CM². REFERÊNCIA: SICFLUX S125 OU EQUIVALENTE TÉCNICO (WDB GRADE COM ADAPTADOR, MULTIVAC OU OUTRO). FORNECIMENTO E INSTALAÇÃO</v>
      </c>
      <c r="H794" s="312" t="str">
        <f>IF($F794="","",IFERROR(VLOOKUP($F794,SERVIÇOS!$B:$G,3,0),IFERROR(VLOOKUP($F794,'COMPOSIÇÕES COMPLEMENTARES '!$D:$L,3,0),IFERROR(VLOOKUP($F794,INSUMOS!$A:$D,3,0),""))))</f>
        <v>UN</v>
      </c>
      <c r="I794" s="313">
        <v>17</v>
      </c>
      <c r="J794" s="314">
        <f>IF($F794="","",IFERROR(VLOOKUP($F794,SERVIÇOS!$B:$G,4,0),IFERROR(VLOOKUP($F794,'COMPOSIÇÕES COMPLEMENTARES '!$D:$L,6,0),IFERROR(VLOOKUP($F794,INSUMOS!$A:$D,4,0),""))))</f>
        <v>40.57</v>
      </c>
      <c r="K794" s="314">
        <f>IF($F794="","",IFERROR(VLOOKUP($F794,SERVIÇOS!$B:$G,5,0),IFERROR(VLOOKUP($F794,'COMPOSIÇÕES COMPLEMENTARES '!$D:$L,7,0),0)))</f>
        <v>15.43</v>
      </c>
      <c r="L794" s="314">
        <f>IF(I794="","",J794+K794)</f>
        <v>56</v>
      </c>
      <c r="M794" s="314">
        <f>IF(I794="","",TRUNC((I794*J794),2))</f>
        <v>689.69</v>
      </c>
      <c r="N794" s="314">
        <f>IF(I794="","",TRUNC((I794*K794),2))</f>
        <v>262.31</v>
      </c>
      <c r="O794" s="314">
        <f>IF(I794="","",TRUNC((M794+N794),2))</f>
        <v>952</v>
      </c>
      <c r="P794" s="314"/>
      <c r="Q794" s="315"/>
      <c r="R794" s="315"/>
      <c r="S794" s="286"/>
      <c r="T794" s="287"/>
      <c r="U794" s="288" t="str">
        <f t="shared" si="419"/>
        <v/>
      </c>
      <c r="V794" s="287"/>
      <c r="W794" s="289" t="str">
        <f t="shared" si="420"/>
        <v/>
      </c>
      <c r="X794" s="287"/>
      <c r="Y794" s="290" t="str">
        <f t="shared" si="421"/>
        <v/>
      </c>
      <c r="Z794" s="291">
        <f ca="1">SUMIF($T$8:Y$1018,"QUANT.",T794:Y794)</f>
        <v>0</v>
      </c>
      <c r="AA794" s="292">
        <f t="shared" ca="1" si="422"/>
        <v>0</v>
      </c>
      <c r="AB794" s="293" t="str">
        <f t="shared" ca="1" si="423"/>
        <v>MEDIR</v>
      </c>
      <c r="AC794" s="294">
        <f t="shared" ca="1" si="424"/>
        <v>17</v>
      </c>
      <c r="AD794" s="294">
        <f t="shared" ca="1" si="425"/>
        <v>952</v>
      </c>
      <c r="AE794" s="295"/>
      <c r="AF794" s="295"/>
      <c r="AG794" s="296"/>
      <c r="AH794" s="296"/>
      <c r="AI794" s="296"/>
      <c r="AJ794" s="326"/>
      <c r="AK794" s="326"/>
      <c r="AL794" s="326"/>
      <c r="AM794" s="326"/>
    </row>
    <row r="795" spans="1:39" ht="51" x14ac:dyDescent="0.25">
      <c r="A795" s="232">
        <f t="shared" si="426"/>
        <v>795</v>
      </c>
      <c r="B795" s="232"/>
      <c r="C795" s="307" t="str">
        <f>+C794</f>
        <v>17.13</v>
      </c>
      <c r="D795" s="308">
        <f>1+D794</f>
        <v>3</v>
      </c>
      <c r="E795" s="309" t="str">
        <f>C795&amp;"."&amp;D795</f>
        <v>17.13.3</v>
      </c>
      <c r="F795" s="310" t="s">
        <v>12447</v>
      </c>
      <c r="G795" s="311" t="str">
        <f>IF($F795="","",IFERROR(VLOOKUP($F795,SERVIÇOS!$B:$G,2,0),IFERROR(VLOOKUP($F795,'COMPOSIÇÕES COMPLEMENTARES '!$D:$L,2,0),IFERROR(VLOOKUP($F795,INSUMOS!$A:$D,2,0),""))))</f>
        <v>GRELHA PLÁSTICA FIXA COM COLARINHO, COM TELA ANTI-INSETOS, DIÂMETRO NOMINAL Ø150MM, , EM PLÁSTICO ABS COM PROTEÇÃO ANTI-UV, COM ÁREA EFETIVA LIVRE MÍNIMA DE 130 CM². REFERÊNCIA: SICFLUX S150 OU EQUIVALENTE TÉCNICO (WDB GRADE COM ADAPTADOR, MULTIVAC OU OUTRO). FORNECIMENTO E INSTALAÇÃO</v>
      </c>
      <c r="H795" s="312" t="str">
        <f>IF($F795="","",IFERROR(VLOOKUP($F795,SERVIÇOS!$B:$G,3,0),IFERROR(VLOOKUP($F795,'COMPOSIÇÕES COMPLEMENTARES '!$D:$L,3,0),IFERROR(VLOOKUP($F795,INSUMOS!$A:$D,3,0),""))))</f>
        <v>UN</v>
      </c>
      <c r="I795" s="313">
        <v>5</v>
      </c>
      <c r="J795" s="314">
        <f>IF($F795="","",IFERROR(VLOOKUP($F795,SERVIÇOS!$B:$G,4,0),IFERROR(VLOOKUP($F795,'COMPOSIÇÕES COMPLEMENTARES '!$D:$L,6,0),IFERROR(VLOOKUP($F795,INSUMOS!$A:$D,4,0),""))))</f>
        <v>40.57</v>
      </c>
      <c r="K795" s="314">
        <f>IF($F795="","",IFERROR(VLOOKUP($F795,SERVIÇOS!$B:$G,5,0),IFERROR(VLOOKUP($F795,'COMPOSIÇÕES COMPLEMENTARES '!$D:$L,7,0),0)))</f>
        <v>15.43</v>
      </c>
      <c r="L795" s="314">
        <f>IF(I795="","",J795+K795)</f>
        <v>56</v>
      </c>
      <c r="M795" s="314">
        <f>IF(I795="","",TRUNC((I795*J795),2))</f>
        <v>202.85</v>
      </c>
      <c r="N795" s="314">
        <f>IF(I795="","",TRUNC((I795*K795),2))</f>
        <v>77.150000000000006</v>
      </c>
      <c r="O795" s="314">
        <f>IF(I795="","",TRUNC((M795+N795),2))</f>
        <v>280</v>
      </c>
      <c r="P795" s="314"/>
      <c r="Q795" s="315"/>
      <c r="R795" s="315"/>
      <c r="S795" s="286"/>
      <c r="T795" s="287"/>
      <c r="U795" s="288" t="str">
        <f t="shared" si="419"/>
        <v/>
      </c>
      <c r="V795" s="287"/>
      <c r="W795" s="289" t="str">
        <f t="shared" si="420"/>
        <v/>
      </c>
      <c r="X795" s="287"/>
      <c r="Y795" s="290" t="str">
        <f t="shared" si="421"/>
        <v/>
      </c>
      <c r="Z795" s="291">
        <f ca="1">SUMIF($T$8:Y$1018,"QUANT.",T795:Y795)</f>
        <v>0</v>
      </c>
      <c r="AA795" s="292">
        <f t="shared" ca="1" si="422"/>
        <v>0</v>
      </c>
      <c r="AB795" s="293" t="str">
        <f t="shared" ca="1" si="423"/>
        <v>MEDIR</v>
      </c>
      <c r="AC795" s="294">
        <f t="shared" ca="1" si="424"/>
        <v>5</v>
      </c>
      <c r="AD795" s="294">
        <f t="shared" ca="1" si="425"/>
        <v>280</v>
      </c>
      <c r="AE795" s="295"/>
      <c r="AF795" s="295"/>
      <c r="AG795" s="296"/>
      <c r="AH795" s="296"/>
      <c r="AI795" s="296"/>
      <c r="AJ795" s="326"/>
      <c r="AK795" s="326"/>
      <c r="AL795" s="326"/>
      <c r="AM795" s="326"/>
    </row>
    <row r="796" spans="1:39" x14ac:dyDescent="0.25">
      <c r="A796" s="232">
        <f t="shared" si="426"/>
        <v>796</v>
      </c>
      <c r="B796" s="232"/>
      <c r="C796" s="316" t="str">
        <f>+E796</f>
        <v>17.14</v>
      </c>
      <c r="D796" s="297"/>
      <c r="E796" s="317" t="s">
        <v>12448</v>
      </c>
      <c r="F796" s="317"/>
      <c r="G796" s="327" t="s">
        <v>12449</v>
      </c>
      <c r="H796" s="317"/>
      <c r="I796" s="344"/>
      <c r="J796" s="317"/>
      <c r="K796" s="317"/>
      <c r="L796" s="317"/>
      <c r="M796" s="317"/>
      <c r="N796" s="317"/>
      <c r="O796" s="317"/>
      <c r="P796" s="317"/>
      <c r="Q796" s="320"/>
      <c r="R796" s="306"/>
      <c r="S796" s="286"/>
      <c r="T796" s="287"/>
      <c r="U796" s="288" t="str">
        <f t="shared" si="419"/>
        <v/>
      </c>
      <c r="V796" s="287"/>
      <c r="W796" s="289" t="str">
        <f t="shared" si="420"/>
        <v/>
      </c>
      <c r="X796" s="287"/>
      <c r="Y796" s="290" t="str">
        <f t="shared" si="421"/>
        <v/>
      </c>
      <c r="Z796" s="291">
        <f ca="1">SUMIF($T$8:Y$1018,"QUANT.",T796:Y796)</f>
        <v>0</v>
      </c>
      <c r="AA796" s="292">
        <f t="shared" ca="1" si="422"/>
        <v>0</v>
      </c>
      <c r="AB796" s="293" t="str">
        <f t="shared" si="423"/>
        <v/>
      </c>
      <c r="AC796" s="294">
        <f t="shared" ca="1" si="424"/>
        <v>0</v>
      </c>
      <c r="AD796" s="294">
        <f t="shared" ca="1" si="425"/>
        <v>0</v>
      </c>
      <c r="AE796" s="295"/>
      <c r="AF796" s="295"/>
      <c r="AG796" s="296"/>
      <c r="AH796" s="296"/>
      <c r="AI796" s="296"/>
      <c r="AJ796" s="326"/>
      <c r="AK796" s="326"/>
      <c r="AL796" s="326"/>
      <c r="AM796" s="326"/>
    </row>
    <row r="797" spans="1:39" ht="38.25" x14ac:dyDescent="0.25">
      <c r="A797" s="232">
        <f t="shared" si="426"/>
        <v>797</v>
      </c>
      <c r="B797" s="232"/>
      <c r="C797" s="307" t="str">
        <f>+C796</f>
        <v>17.14</v>
      </c>
      <c r="D797" s="308">
        <f>1+D796</f>
        <v>1</v>
      </c>
      <c r="E797" s="309" t="str">
        <f>C797&amp;"."&amp;D797</f>
        <v>17.14.1</v>
      </c>
      <c r="F797" s="310" t="s">
        <v>12450</v>
      </c>
      <c r="G797" s="311" t="str">
        <f>IF($F797="","",IFERROR(VLOOKUP($F797,SERVIÇOS!$B:$G,2,0),IFERROR(VLOOKUP($F797,'COMPOSIÇÕES COMPLEMENTARES '!$D:$L,2,0),IFERROR(VLOOKUP($F797,INSUMOS!$A:$D,2,0),""))))</f>
        <v>REGULADOR DE VAZÃO DE AR PARA INSTALAÇÃO EM TETO, EM PLÁSTICO ABS, DIÂMETRO NOMINAL Ø100. REFERÊNCIA: SICFLUX RVA100 OU EQUIVALENTE TÉCNICO (MULTIVAC DVK-100, OTAM BOC-100 OU OUTRO). FORNECIMENTO E INSTALAÇÃO</v>
      </c>
      <c r="H797" s="312" t="str">
        <f>IF($F797="","",IFERROR(VLOOKUP($F797,SERVIÇOS!$B:$G,3,0),IFERROR(VLOOKUP($F797,'COMPOSIÇÕES COMPLEMENTARES '!$D:$L,3,0),IFERROR(VLOOKUP($F797,INSUMOS!$A:$D,3,0),""))))</f>
        <v>UN</v>
      </c>
      <c r="I797" s="313">
        <v>5</v>
      </c>
      <c r="J797" s="314">
        <f>IF($F797="","",IFERROR(VLOOKUP($F797,SERVIÇOS!$B:$G,4,0),IFERROR(VLOOKUP($F797,'COMPOSIÇÕES COMPLEMENTARES '!$D:$L,6,0),IFERROR(VLOOKUP($F797,INSUMOS!$A:$D,4,0),""))))</f>
        <v>52.06</v>
      </c>
      <c r="K797" s="314">
        <f>IF($F797="","",IFERROR(VLOOKUP($F797,SERVIÇOS!$B:$G,5,0),IFERROR(VLOOKUP($F797,'COMPOSIÇÕES COMPLEMENTARES '!$D:$L,7,0),0)))</f>
        <v>15.07</v>
      </c>
      <c r="L797" s="314">
        <f>IF(I797="","",J797+K797)</f>
        <v>67.13</v>
      </c>
      <c r="M797" s="314">
        <f>IF(I797="","",TRUNC((I797*J797),2))</f>
        <v>260.3</v>
      </c>
      <c r="N797" s="314">
        <f>IF(I797="","",TRUNC((I797*K797),2))</f>
        <v>75.349999999999994</v>
      </c>
      <c r="O797" s="314">
        <f>IF(I797="","",TRUNC((M797+N797),2))</f>
        <v>335.65</v>
      </c>
      <c r="P797" s="314"/>
      <c r="Q797" s="315"/>
      <c r="R797" s="315"/>
      <c r="S797" s="286"/>
      <c r="T797" s="287"/>
      <c r="U797" s="288" t="str">
        <f t="shared" si="419"/>
        <v/>
      </c>
      <c r="V797" s="287"/>
      <c r="W797" s="289" t="str">
        <f t="shared" si="420"/>
        <v/>
      </c>
      <c r="X797" s="287"/>
      <c r="Y797" s="290" t="str">
        <f t="shared" si="421"/>
        <v/>
      </c>
      <c r="Z797" s="291">
        <f ca="1">SUMIF($T$8:Y$1018,"QUANT.",T797:Y797)</f>
        <v>0</v>
      </c>
      <c r="AA797" s="292">
        <f t="shared" ca="1" si="422"/>
        <v>0</v>
      </c>
      <c r="AB797" s="293" t="str">
        <f t="shared" ca="1" si="423"/>
        <v>MEDIR</v>
      </c>
      <c r="AC797" s="294">
        <f t="shared" ca="1" si="424"/>
        <v>5</v>
      </c>
      <c r="AD797" s="294">
        <f t="shared" ca="1" si="425"/>
        <v>335.65</v>
      </c>
      <c r="AE797" s="295"/>
      <c r="AF797" s="295"/>
      <c r="AG797" s="296"/>
      <c r="AH797" s="296"/>
      <c r="AI797" s="296"/>
      <c r="AJ797" s="326"/>
      <c r="AK797" s="326"/>
      <c r="AL797" s="326"/>
      <c r="AM797" s="326"/>
    </row>
    <row r="798" spans="1:39" x14ac:dyDescent="0.25">
      <c r="A798" s="232">
        <f t="shared" si="426"/>
        <v>798</v>
      </c>
      <c r="B798" s="232"/>
      <c r="C798" s="316" t="str">
        <f>+E798</f>
        <v>17.15</v>
      </c>
      <c r="D798" s="297"/>
      <c r="E798" s="317" t="s">
        <v>12451</v>
      </c>
      <c r="F798" s="317"/>
      <c r="G798" s="327" t="s">
        <v>12452</v>
      </c>
      <c r="H798" s="317"/>
      <c r="I798" s="344"/>
      <c r="J798" s="317"/>
      <c r="K798" s="317"/>
      <c r="L798" s="317"/>
      <c r="M798" s="317"/>
      <c r="N798" s="317"/>
      <c r="O798" s="317"/>
      <c r="P798" s="317"/>
      <c r="Q798" s="320"/>
      <c r="R798" s="306"/>
      <c r="S798" s="286"/>
      <c r="T798" s="287"/>
      <c r="U798" s="288" t="str">
        <f t="shared" si="419"/>
        <v/>
      </c>
      <c r="V798" s="287"/>
      <c r="W798" s="289" t="str">
        <f t="shared" si="420"/>
        <v/>
      </c>
      <c r="X798" s="287"/>
      <c r="Y798" s="290" t="str">
        <f t="shared" si="421"/>
        <v/>
      </c>
      <c r="Z798" s="291">
        <f ca="1">SUMIF($T$8:Y$1018,"QUANT.",T798:Y798)</f>
        <v>0</v>
      </c>
      <c r="AA798" s="292">
        <f t="shared" ca="1" si="422"/>
        <v>0</v>
      </c>
      <c r="AB798" s="293" t="str">
        <f t="shared" si="423"/>
        <v/>
      </c>
      <c r="AC798" s="294">
        <f t="shared" ca="1" si="424"/>
        <v>0</v>
      </c>
      <c r="AD798" s="294">
        <f t="shared" ca="1" si="425"/>
        <v>0</v>
      </c>
      <c r="AE798" s="295"/>
      <c r="AF798" s="295"/>
      <c r="AG798" s="296"/>
      <c r="AH798" s="296"/>
      <c r="AI798" s="296"/>
      <c r="AJ798" s="326"/>
      <c r="AK798" s="326"/>
      <c r="AL798" s="326"/>
      <c r="AM798" s="326"/>
    </row>
    <row r="799" spans="1:39" ht="25.5" x14ac:dyDescent="0.25">
      <c r="A799" s="232">
        <f t="shared" si="426"/>
        <v>799</v>
      </c>
      <c r="B799" s="232"/>
      <c r="C799" s="307" t="str">
        <f t="shared" ref="C799:C817" si="441">+C798</f>
        <v>17.15</v>
      </c>
      <c r="D799" s="308">
        <f t="shared" ref="D799:D817" si="442">1+D798</f>
        <v>1</v>
      </c>
      <c r="E799" s="309" t="str">
        <f t="shared" ref="E799:E817" si="443">C799&amp;"."&amp;D799</f>
        <v>17.15.1</v>
      </c>
      <c r="F799" s="310" t="s">
        <v>12453</v>
      </c>
      <c r="G799" s="311" t="str">
        <f>IF($F799="","",IFERROR(VLOOKUP($F799,SERVIÇOS!$B:$G,2,0),IFERROR(VLOOKUP($F799,'COMPOSIÇÕES COMPLEMENTARES '!$D:$L,2,0),IFERROR(VLOOKUP($F799,INSUMOS!$A:$D,2,0),""))))</f>
        <v>DAMPER DE REGULAGEM DE VAZÃO 100x100MM. MARCA TROPICAL DRV-100x100 (OU EQUIVALENTE (OU SIMILAR - TROX, SEIMMEI, DIFUSAR)</v>
      </c>
      <c r="H799" s="312" t="str">
        <f>IF($F799="","",IFERROR(VLOOKUP($F799,SERVIÇOS!$B:$G,3,0),IFERROR(VLOOKUP($F799,'COMPOSIÇÕES COMPLEMENTARES '!$D:$L,3,0),IFERROR(VLOOKUP($F799,INSUMOS!$A:$D,3,0),""))))</f>
        <v>UN</v>
      </c>
      <c r="I799" s="313">
        <v>5</v>
      </c>
      <c r="J799" s="314">
        <f>IF($F799="","",IFERROR(VLOOKUP($F799,SERVIÇOS!$B:$G,4,0),IFERROR(VLOOKUP($F799,'COMPOSIÇÕES COMPLEMENTARES '!$D:$L,6,0),IFERROR(VLOOKUP($F799,INSUMOS!$A:$D,4,0),""))))</f>
        <v>25.51</v>
      </c>
      <c r="K799" s="314">
        <f>IF($F799="","",IFERROR(VLOOKUP($F799,SERVIÇOS!$B:$G,5,0),IFERROR(VLOOKUP($F799,'COMPOSIÇÕES COMPLEMENTARES '!$D:$L,7,0),0)))</f>
        <v>11.05</v>
      </c>
      <c r="L799" s="314">
        <f t="shared" ref="L799:L817" si="444">IF(I799="","",J799+K799)</f>
        <v>36.56</v>
      </c>
      <c r="M799" s="314">
        <f t="shared" ref="M799:M817" si="445">IF(I799="","",TRUNC((I799*J799),2))</f>
        <v>127.55</v>
      </c>
      <c r="N799" s="314">
        <f t="shared" ref="N799:N817" si="446">IF(I799="","",TRUNC((I799*K799),2))</f>
        <v>55.25</v>
      </c>
      <c r="O799" s="314">
        <f t="shared" ref="O799:O817" si="447">IF(I799="","",TRUNC((M799+N799),2))</f>
        <v>182.8</v>
      </c>
      <c r="P799" s="314"/>
      <c r="Q799" s="315"/>
      <c r="R799" s="315"/>
      <c r="S799" s="286"/>
      <c r="T799" s="287"/>
      <c r="U799" s="288" t="str">
        <f t="shared" si="419"/>
        <v/>
      </c>
      <c r="V799" s="287"/>
      <c r="W799" s="289" t="str">
        <f t="shared" si="420"/>
        <v/>
      </c>
      <c r="X799" s="287"/>
      <c r="Y799" s="290" t="str">
        <f t="shared" si="421"/>
        <v/>
      </c>
      <c r="Z799" s="291">
        <f ca="1">SUMIF($T$8:Y$1018,"QUANT.",T799:Y799)</f>
        <v>0</v>
      </c>
      <c r="AA799" s="292">
        <f t="shared" ca="1" si="422"/>
        <v>0</v>
      </c>
      <c r="AB799" s="293" t="str">
        <f t="shared" ca="1" si="423"/>
        <v>MEDIR</v>
      </c>
      <c r="AC799" s="294">
        <f t="shared" ca="1" si="424"/>
        <v>5</v>
      </c>
      <c r="AD799" s="294">
        <f t="shared" ca="1" si="425"/>
        <v>182.8</v>
      </c>
      <c r="AE799" s="295"/>
      <c r="AF799" s="295"/>
      <c r="AG799" s="296"/>
      <c r="AH799" s="296"/>
      <c r="AI799" s="296"/>
      <c r="AJ799" s="326"/>
      <c r="AK799" s="326"/>
      <c r="AL799" s="326"/>
      <c r="AM799" s="326"/>
    </row>
    <row r="800" spans="1:39" ht="25.5" x14ac:dyDescent="0.25">
      <c r="A800" s="232">
        <f t="shared" si="426"/>
        <v>800</v>
      </c>
      <c r="B800" s="232"/>
      <c r="C800" s="307" t="str">
        <f t="shared" si="441"/>
        <v>17.15</v>
      </c>
      <c r="D800" s="308">
        <f t="shared" si="442"/>
        <v>2</v>
      </c>
      <c r="E800" s="309" t="str">
        <f t="shared" si="443"/>
        <v>17.15.2</v>
      </c>
      <c r="F800" s="310" t="s">
        <v>12454</v>
      </c>
      <c r="G800" s="311" t="str">
        <f>IF($F800="","",IFERROR(VLOOKUP($F800,SERVIÇOS!$B:$G,2,0),IFERROR(VLOOKUP($F800,'COMPOSIÇÕES COMPLEMENTARES '!$D:$L,2,0),IFERROR(VLOOKUP($F800,INSUMOS!$A:$D,2,0),""))))</f>
        <v>DAMPER DE REGULAGEM DE VAZÃO 150x100MM. MARCA TROPICAL DRV-150x100 (OU EQUIVALENTE (OU SIMILAR - TROX, SEIMMEI, DIFUSAR)</v>
      </c>
      <c r="H800" s="312" t="str">
        <f>IF($F800="","",IFERROR(VLOOKUP($F800,SERVIÇOS!$B:$G,3,0),IFERROR(VLOOKUP($F800,'COMPOSIÇÕES COMPLEMENTARES '!$D:$L,3,0),IFERROR(VLOOKUP($F800,INSUMOS!$A:$D,3,0),""))))</f>
        <v>UN</v>
      </c>
      <c r="I800" s="313">
        <v>10</v>
      </c>
      <c r="J800" s="314">
        <f>IF($F800="","",IFERROR(VLOOKUP($F800,SERVIÇOS!$B:$G,4,0),IFERROR(VLOOKUP($F800,'COMPOSIÇÕES COMPLEMENTARES '!$D:$L,6,0),IFERROR(VLOOKUP($F800,INSUMOS!$A:$D,4,0),""))))</f>
        <v>36.22</v>
      </c>
      <c r="K800" s="314">
        <f>IF($F800="","",IFERROR(VLOOKUP($F800,SERVIÇOS!$B:$G,5,0),IFERROR(VLOOKUP($F800,'COMPOSIÇÕES COMPLEMENTARES '!$D:$L,7,0),0)))</f>
        <v>11.05</v>
      </c>
      <c r="L800" s="314">
        <f t="shared" si="444"/>
        <v>47.269999999999996</v>
      </c>
      <c r="M800" s="314">
        <f t="shared" si="445"/>
        <v>362.2</v>
      </c>
      <c r="N800" s="314">
        <f t="shared" si="446"/>
        <v>110.5</v>
      </c>
      <c r="O800" s="314">
        <f t="shared" si="447"/>
        <v>472.7</v>
      </c>
      <c r="P800" s="314"/>
      <c r="Q800" s="315"/>
      <c r="R800" s="315"/>
      <c r="S800" s="286"/>
      <c r="T800" s="287"/>
      <c r="U800" s="288" t="str">
        <f t="shared" si="419"/>
        <v/>
      </c>
      <c r="V800" s="287"/>
      <c r="W800" s="289" t="str">
        <f t="shared" si="420"/>
        <v/>
      </c>
      <c r="X800" s="287"/>
      <c r="Y800" s="290" t="str">
        <f t="shared" si="421"/>
        <v/>
      </c>
      <c r="Z800" s="291">
        <f ca="1">SUMIF($T$8:Y$1018,"QUANT.",T800:Y800)</f>
        <v>0</v>
      </c>
      <c r="AA800" s="292">
        <f t="shared" ca="1" si="422"/>
        <v>0</v>
      </c>
      <c r="AB800" s="293" t="str">
        <f t="shared" ca="1" si="423"/>
        <v>MEDIR</v>
      </c>
      <c r="AC800" s="294">
        <f t="shared" ca="1" si="424"/>
        <v>10</v>
      </c>
      <c r="AD800" s="294">
        <f t="shared" ca="1" si="425"/>
        <v>472.7</v>
      </c>
      <c r="AE800" s="295"/>
      <c r="AF800" s="295"/>
      <c r="AG800" s="296"/>
      <c r="AH800" s="296"/>
      <c r="AI800" s="296"/>
      <c r="AJ800" s="326"/>
      <c r="AK800" s="326"/>
      <c r="AL800" s="326"/>
      <c r="AM800" s="326"/>
    </row>
    <row r="801" spans="1:39" ht="25.5" x14ac:dyDescent="0.25">
      <c r="A801" s="232">
        <f t="shared" si="426"/>
        <v>801</v>
      </c>
      <c r="B801" s="232"/>
      <c r="C801" s="307" t="str">
        <f t="shared" si="441"/>
        <v>17.15</v>
      </c>
      <c r="D801" s="308">
        <f t="shared" si="442"/>
        <v>3</v>
      </c>
      <c r="E801" s="309" t="str">
        <f t="shared" si="443"/>
        <v>17.15.3</v>
      </c>
      <c r="F801" s="310" t="s">
        <v>12455</v>
      </c>
      <c r="G801" s="311" t="str">
        <f>IF($F801="","",IFERROR(VLOOKUP($F801,SERVIÇOS!$B:$G,2,0),IFERROR(VLOOKUP($F801,'COMPOSIÇÕES COMPLEMENTARES '!$D:$L,2,0),IFERROR(VLOOKUP($F801,INSUMOS!$A:$D,2,0),""))))</f>
        <v>DAMPER DE REGULAGEM DE VAZÃO 150x150MM. MARCA TROPICAL DRV-150x150 (OU EQUIVALENTE (OU SIMILAR - TROX, SEIMMEI, DIFUSAR) -  FORNECIMENTO E INSTALAÇÃO</v>
      </c>
      <c r="H801" s="312" t="str">
        <f>IF($F801="","",IFERROR(VLOOKUP($F801,SERVIÇOS!$B:$G,3,0),IFERROR(VLOOKUP($F801,'COMPOSIÇÕES COMPLEMENTARES '!$D:$L,3,0),IFERROR(VLOOKUP($F801,INSUMOS!$A:$D,3,0),""))))</f>
        <v>UN</v>
      </c>
      <c r="I801" s="313">
        <v>1</v>
      </c>
      <c r="J801" s="314">
        <f>IF($F801="","",IFERROR(VLOOKUP($F801,SERVIÇOS!$B:$G,4,0),IFERROR(VLOOKUP($F801,'COMPOSIÇÕES COMPLEMENTARES '!$D:$L,6,0),IFERROR(VLOOKUP($F801,INSUMOS!$A:$D,4,0),""))))</f>
        <v>52.290000000000006</v>
      </c>
      <c r="K801" s="314">
        <f>IF($F801="","",IFERROR(VLOOKUP($F801,SERVIÇOS!$B:$G,5,0),IFERROR(VLOOKUP($F801,'COMPOSIÇÕES COMPLEMENTARES '!$D:$L,7,0),0)))</f>
        <v>11.05</v>
      </c>
      <c r="L801" s="314">
        <f t="shared" si="444"/>
        <v>63.34</v>
      </c>
      <c r="M801" s="314">
        <f t="shared" si="445"/>
        <v>52.29</v>
      </c>
      <c r="N801" s="314">
        <f t="shared" si="446"/>
        <v>11.05</v>
      </c>
      <c r="O801" s="314">
        <f t="shared" si="447"/>
        <v>63.34</v>
      </c>
      <c r="P801" s="314"/>
      <c r="Q801" s="315"/>
      <c r="R801" s="315"/>
      <c r="S801" s="286"/>
      <c r="T801" s="287"/>
      <c r="U801" s="288" t="str">
        <f t="shared" si="419"/>
        <v/>
      </c>
      <c r="V801" s="287"/>
      <c r="W801" s="289" t="str">
        <f t="shared" si="420"/>
        <v/>
      </c>
      <c r="X801" s="287"/>
      <c r="Y801" s="290" t="str">
        <f t="shared" si="421"/>
        <v/>
      </c>
      <c r="Z801" s="291">
        <f ca="1">SUMIF($T$8:Y$1018,"QUANT.",T801:Y801)</f>
        <v>0</v>
      </c>
      <c r="AA801" s="292">
        <f t="shared" ca="1" si="422"/>
        <v>0</v>
      </c>
      <c r="AB801" s="293" t="str">
        <f t="shared" ca="1" si="423"/>
        <v>MEDIR</v>
      </c>
      <c r="AC801" s="294">
        <f t="shared" ca="1" si="424"/>
        <v>1</v>
      </c>
      <c r="AD801" s="294">
        <f t="shared" ca="1" si="425"/>
        <v>63.34</v>
      </c>
      <c r="AE801" s="295"/>
      <c r="AF801" s="295"/>
      <c r="AG801" s="296"/>
      <c r="AH801" s="296"/>
      <c r="AI801" s="296"/>
      <c r="AJ801" s="326"/>
      <c r="AK801" s="326"/>
      <c r="AL801" s="326"/>
      <c r="AM801" s="326"/>
    </row>
    <row r="802" spans="1:39" ht="25.5" x14ac:dyDescent="0.25">
      <c r="A802" s="232">
        <f t="shared" si="426"/>
        <v>802</v>
      </c>
      <c r="B802" s="232"/>
      <c r="C802" s="307" t="str">
        <f t="shared" si="441"/>
        <v>17.15</v>
      </c>
      <c r="D802" s="308">
        <f t="shared" si="442"/>
        <v>4</v>
      </c>
      <c r="E802" s="309" t="str">
        <f t="shared" si="443"/>
        <v>17.15.4</v>
      </c>
      <c r="F802" s="310" t="s">
        <v>12456</v>
      </c>
      <c r="G802" s="311" t="str">
        <f>IF($F802="","",IFERROR(VLOOKUP($F802,SERVIÇOS!$B:$G,2,0),IFERROR(VLOOKUP($F802,'COMPOSIÇÕES COMPLEMENTARES '!$D:$L,2,0),IFERROR(VLOOKUP($F802,INSUMOS!$A:$D,2,0),""))))</f>
        <v>DAMPER DE REGULAGEM DE VAZÃO 200x100MM. MARCA TROPICAL DRV-200x100 (OU EQUIVALENTE (OU SIMILAR - TROX, SEIMMEI, DIFUSAR)</v>
      </c>
      <c r="H802" s="312" t="str">
        <f>IF($F802="","",IFERROR(VLOOKUP($F802,SERVIÇOS!$B:$G,3,0),IFERROR(VLOOKUP($F802,'COMPOSIÇÕES COMPLEMENTARES '!$D:$L,3,0),IFERROR(VLOOKUP($F802,INSUMOS!$A:$D,3,0),""))))</f>
        <v>UN</v>
      </c>
      <c r="I802" s="313">
        <v>5</v>
      </c>
      <c r="J802" s="314">
        <f>IF($F802="","",IFERROR(VLOOKUP($F802,SERVIÇOS!$B:$G,4,0),IFERROR(VLOOKUP($F802,'COMPOSIÇÕES COMPLEMENTARES '!$D:$L,6,0),IFERROR(VLOOKUP($F802,INSUMOS!$A:$D,4,0),""))))</f>
        <v>46.94</v>
      </c>
      <c r="K802" s="314">
        <f>IF($F802="","",IFERROR(VLOOKUP($F802,SERVIÇOS!$B:$G,5,0),IFERROR(VLOOKUP($F802,'COMPOSIÇÕES COMPLEMENTARES '!$D:$L,7,0),0)))</f>
        <v>11.05</v>
      </c>
      <c r="L802" s="314">
        <f t="shared" si="444"/>
        <v>57.989999999999995</v>
      </c>
      <c r="M802" s="314">
        <f t="shared" si="445"/>
        <v>234.7</v>
      </c>
      <c r="N802" s="314">
        <f t="shared" si="446"/>
        <v>55.25</v>
      </c>
      <c r="O802" s="314">
        <f t="shared" si="447"/>
        <v>289.95</v>
      </c>
      <c r="P802" s="314"/>
      <c r="Q802" s="315"/>
      <c r="R802" s="315"/>
      <c r="S802" s="286"/>
      <c r="T802" s="287"/>
      <c r="U802" s="288" t="str">
        <f t="shared" si="419"/>
        <v/>
      </c>
      <c r="V802" s="287"/>
      <c r="W802" s="289" t="str">
        <f t="shared" si="420"/>
        <v/>
      </c>
      <c r="X802" s="287"/>
      <c r="Y802" s="290" t="str">
        <f t="shared" si="421"/>
        <v/>
      </c>
      <c r="Z802" s="291">
        <f ca="1">SUMIF($T$8:Y$1018,"QUANT.",T802:Y802)</f>
        <v>0</v>
      </c>
      <c r="AA802" s="292">
        <f t="shared" ca="1" si="422"/>
        <v>0</v>
      </c>
      <c r="AB802" s="293" t="str">
        <f t="shared" ca="1" si="423"/>
        <v>MEDIR</v>
      </c>
      <c r="AC802" s="294">
        <f t="shared" ca="1" si="424"/>
        <v>5</v>
      </c>
      <c r="AD802" s="294">
        <f t="shared" ca="1" si="425"/>
        <v>289.95</v>
      </c>
      <c r="AE802" s="295"/>
      <c r="AF802" s="295"/>
      <c r="AG802" s="296"/>
      <c r="AH802" s="296"/>
      <c r="AI802" s="296"/>
      <c r="AJ802" s="326"/>
      <c r="AK802" s="326"/>
      <c r="AL802" s="326"/>
      <c r="AM802" s="326"/>
    </row>
    <row r="803" spans="1:39" ht="25.5" x14ac:dyDescent="0.25">
      <c r="A803" s="232">
        <f t="shared" si="426"/>
        <v>803</v>
      </c>
      <c r="B803" s="232"/>
      <c r="C803" s="307" t="str">
        <f t="shared" si="441"/>
        <v>17.15</v>
      </c>
      <c r="D803" s="308">
        <f t="shared" si="442"/>
        <v>5</v>
      </c>
      <c r="E803" s="309" t="str">
        <f t="shared" si="443"/>
        <v>17.15.5</v>
      </c>
      <c r="F803" s="310" t="s">
        <v>12457</v>
      </c>
      <c r="G803" s="311" t="str">
        <f>IF($F803="","",IFERROR(VLOOKUP($F803,SERVIÇOS!$B:$G,2,0),IFERROR(VLOOKUP($F803,'COMPOSIÇÕES COMPLEMENTARES '!$D:$L,2,0),IFERROR(VLOOKUP($F803,INSUMOS!$A:$D,2,0),""))))</f>
        <v>DAMPER DE REGULAGEM DE VAZÃO 200x150MM. MARCA TROPICAL DRV-200x150 (OU EQUIVALENTE (OU SIMILAR - TROX, SEIMMEI, DIFUSAR)</v>
      </c>
      <c r="H803" s="312" t="str">
        <f>IF($F803="","",IFERROR(VLOOKUP($F803,SERVIÇOS!$B:$G,3,0),IFERROR(VLOOKUP($F803,'COMPOSIÇÕES COMPLEMENTARES '!$D:$L,3,0),IFERROR(VLOOKUP($F803,INSUMOS!$A:$D,3,0),""))))</f>
        <v>UN</v>
      </c>
      <c r="I803" s="313">
        <v>3</v>
      </c>
      <c r="J803" s="314">
        <f>IF($F803="","",IFERROR(VLOOKUP($F803,SERVIÇOS!$B:$G,4,0),IFERROR(VLOOKUP($F803,'COMPOSIÇÕES COMPLEMENTARES '!$D:$L,6,0),IFERROR(VLOOKUP($F803,INSUMOS!$A:$D,4,0),""))))</f>
        <v>68.36</v>
      </c>
      <c r="K803" s="314">
        <f>IF($F803="","",IFERROR(VLOOKUP($F803,SERVIÇOS!$B:$G,5,0),IFERROR(VLOOKUP($F803,'COMPOSIÇÕES COMPLEMENTARES '!$D:$L,7,0),0)))</f>
        <v>11.05</v>
      </c>
      <c r="L803" s="314">
        <f t="shared" si="444"/>
        <v>79.41</v>
      </c>
      <c r="M803" s="314">
        <f t="shared" si="445"/>
        <v>205.08</v>
      </c>
      <c r="N803" s="314">
        <f t="shared" si="446"/>
        <v>33.15</v>
      </c>
      <c r="O803" s="314">
        <f t="shared" si="447"/>
        <v>238.23</v>
      </c>
      <c r="P803" s="314"/>
      <c r="Q803" s="315"/>
      <c r="R803" s="315"/>
      <c r="S803" s="286"/>
      <c r="T803" s="287"/>
      <c r="U803" s="288" t="str">
        <f t="shared" si="419"/>
        <v/>
      </c>
      <c r="V803" s="287"/>
      <c r="W803" s="289" t="str">
        <f t="shared" si="420"/>
        <v/>
      </c>
      <c r="X803" s="287"/>
      <c r="Y803" s="290" t="str">
        <f t="shared" si="421"/>
        <v/>
      </c>
      <c r="Z803" s="291">
        <f ca="1">SUMIF($T$8:Y$1018,"QUANT.",T803:Y803)</f>
        <v>0</v>
      </c>
      <c r="AA803" s="292">
        <f t="shared" ca="1" si="422"/>
        <v>0</v>
      </c>
      <c r="AB803" s="293" t="str">
        <f t="shared" ca="1" si="423"/>
        <v>MEDIR</v>
      </c>
      <c r="AC803" s="294">
        <f t="shared" ca="1" si="424"/>
        <v>3</v>
      </c>
      <c r="AD803" s="294">
        <f t="shared" ca="1" si="425"/>
        <v>238.23</v>
      </c>
      <c r="AE803" s="295"/>
      <c r="AF803" s="295"/>
      <c r="AG803" s="296"/>
      <c r="AH803" s="296"/>
      <c r="AI803" s="296"/>
      <c r="AJ803" s="326"/>
      <c r="AK803" s="326"/>
      <c r="AL803" s="326"/>
      <c r="AM803" s="326"/>
    </row>
    <row r="804" spans="1:39" ht="25.5" x14ac:dyDescent="0.25">
      <c r="A804" s="232">
        <f t="shared" si="426"/>
        <v>804</v>
      </c>
      <c r="B804" s="232"/>
      <c r="C804" s="307" t="str">
        <f t="shared" si="441"/>
        <v>17.15</v>
      </c>
      <c r="D804" s="308">
        <f t="shared" si="442"/>
        <v>6</v>
      </c>
      <c r="E804" s="309" t="str">
        <f t="shared" si="443"/>
        <v>17.15.6</v>
      </c>
      <c r="F804" s="310" t="s">
        <v>12458</v>
      </c>
      <c r="G804" s="311" t="str">
        <f>IF($F804="","",IFERROR(VLOOKUP($F804,SERVIÇOS!$B:$G,2,0),IFERROR(VLOOKUP($F804,'COMPOSIÇÕES COMPLEMENTARES '!$D:$L,2,0),IFERROR(VLOOKUP($F804,INSUMOS!$A:$D,2,0),""))))</f>
        <v>DAMPER DE REGULAGEM DE VAZÃO 250x100MM. MARCA TROPICAL DRV-250x100 (OU EQUIVALENTE (OU SIMILAR - TROX, SEIMMEI, DIFUSAR)</v>
      </c>
      <c r="H804" s="312" t="str">
        <f>IF($F804="","",IFERROR(VLOOKUP($F804,SERVIÇOS!$B:$G,3,0),IFERROR(VLOOKUP($F804,'COMPOSIÇÕES COMPLEMENTARES '!$D:$L,3,0),IFERROR(VLOOKUP($F804,INSUMOS!$A:$D,3,0),""))))</f>
        <v>UN</v>
      </c>
      <c r="I804" s="313">
        <v>1</v>
      </c>
      <c r="J804" s="314">
        <f>IF($F804="","",IFERROR(VLOOKUP($F804,SERVIÇOS!$B:$G,4,0),IFERROR(VLOOKUP($F804,'COMPOSIÇÕES COMPLEMENTARES '!$D:$L,6,0),IFERROR(VLOOKUP($F804,INSUMOS!$A:$D,4,0),""))))</f>
        <v>57.65</v>
      </c>
      <c r="K804" s="314">
        <f>IF($F804="","",IFERROR(VLOOKUP($F804,SERVIÇOS!$B:$G,5,0),IFERROR(VLOOKUP($F804,'COMPOSIÇÕES COMPLEMENTARES '!$D:$L,7,0),0)))</f>
        <v>11.05</v>
      </c>
      <c r="L804" s="314">
        <f t="shared" si="444"/>
        <v>68.7</v>
      </c>
      <c r="M804" s="314">
        <f t="shared" si="445"/>
        <v>57.65</v>
      </c>
      <c r="N804" s="314">
        <f t="shared" si="446"/>
        <v>11.05</v>
      </c>
      <c r="O804" s="314">
        <f t="shared" si="447"/>
        <v>68.7</v>
      </c>
      <c r="P804" s="314"/>
      <c r="Q804" s="315"/>
      <c r="R804" s="315"/>
      <c r="S804" s="286"/>
      <c r="T804" s="287"/>
      <c r="U804" s="288" t="str">
        <f t="shared" si="419"/>
        <v/>
      </c>
      <c r="V804" s="287"/>
      <c r="W804" s="289" t="str">
        <f t="shared" si="420"/>
        <v/>
      </c>
      <c r="X804" s="287"/>
      <c r="Y804" s="290" t="str">
        <f t="shared" si="421"/>
        <v/>
      </c>
      <c r="Z804" s="291">
        <f ca="1">SUMIF($T$8:Y$1018,"QUANT.",T804:Y804)</f>
        <v>0</v>
      </c>
      <c r="AA804" s="292">
        <f t="shared" ca="1" si="422"/>
        <v>0</v>
      </c>
      <c r="AB804" s="293" t="str">
        <f t="shared" ca="1" si="423"/>
        <v>MEDIR</v>
      </c>
      <c r="AC804" s="294">
        <f t="shared" ca="1" si="424"/>
        <v>1</v>
      </c>
      <c r="AD804" s="294">
        <f t="shared" ca="1" si="425"/>
        <v>68.7</v>
      </c>
      <c r="AE804" s="295"/>
      <c r="AF804" s="295"/>
      <c r="AG804" s="296"/>
      <c r="AH804" s="296"/>
      <c r="AI804" s="296"/>
      <c r="AJ804" s="326"/>
      <c r="AK804" s="326"/>
      <c r="AL804" s="326"/>
      <c r="AM804" s="326"/>
    </row>
    <row r="805" spans="1:39" ht="25.5" x14ac:dyDescent="0.25">
      <c r="A805" s="232">
        <f t="shared" si="426"/>
        <v>805</v>
      </c>
      <c r="B805" s="232"/>
      <c r="C805" s="307" t="str">
        <f t="shared" si="441"/>
        <v>17.15</v>
      </c>
      <c r="D805" s="308">
        <f t="shared" si="442"/>
        <v>7</v>
      </c>
      <c r="E805" s="309" t="str">
        <f t="shared" si="443"/>
        <v>17.15.7</v>
      </c>
      <c r="F805" s="310" t="s">
        <v>12459</v>
      </c>
      <c r="G805" s="311" t="str">
        <f>IF($F805="","",IFERROR(VLOOKUP($F805,SERVIÇOS!$B:$G,2,0),IFERROR(VLOOKUP($F805,'COMPOSIÇÕES COMPLEMENTARES '!$D:$L,2,0),IFERROR(VLOOKUP($F805,INSUMOS!$A:$D,2,0),""))))</f>
        <v>DAMPER DE REGULAGEM DE VAZÃO 250x200MM. MARCA TROPICAL DRV-250x200 (OU EQUIVALENTE (OU SIMILAR - TROX, SEIMMEI, DIFUSAR)</v>
      </c>
      <c r="H805" s="312" t="str">
        <f>IF($F805="","",IFERROR(VLOOKUP($F805,SERVIÇOS!$B:$G,3,0),IFERROR(VLOOKUP($F805,'COMPOSIÇÕES COMPLEMENTARES '!$D:$L,3,0),IFERROR(VLOOKUP($F805,INSUMOS!$A:$D,3,0),""))))</f>
        <v>UN</v>
      </c>
      <c r="I805" s="313">
        <v>1</v>
      </c>
      <c r="J805" s="314">
        <f>IF($F805="","",IFERROR(VLOOKUP($F805,SERVIÇOS!$B:$G,4,0),IFERROR(VLOOKUP($F805,'COMPOSIÇÕES COMPLEMENTARES '!$D:$L,6,0),IFERROR(VLOOKUP($F805,INSUMOS!$A:$D,4,0),""))))</f>
        <v>111.22</v>
      </c>
      <c r="K805" s="314">
        <f>IF($F805="","",IFERROR(VLOOKUP($F805,SERVIÇOS!$B:$G,5,0),IFERROR(VLOOKUP($F805,'COMPOSIÇÕES COMPLEMENTARES '!$D:$L,7,0),0)))</f>
        <v>11.05</v>
      </c>
      <c r="L805" s="314">
        <f t="shared" si="444"/>
        <v>122.27</v>
      </c>
      <c r="M805" s="314">
        <f t="shared" si="445"/>
        <v>111.22</v>
      </c>
      <c r="N805" s="314">
        <f t="shared" si="446"/>
        <v>11.05</v>
      </c>
      <c r="O805" s="314">
        <f t="shared" si="447"/>
        <v>122.27</v>
      </c>
      <c r="P805" s="314"/>
      <c r="Q805" s="315"/>
      <c r="R805" s="315"/>
      <c r="S805" s="286"/>
      <c r="T805" s="287"/>
      <c r="U805" s="288" t="str">
        <f t="shared" si="419"/>
        <v/>
      </c>
      <c r="V805" s="287"/>
      <c r="W805" s="289" t="str">
        <f t="shared" si="420"/>
        <v/>
      </c>
      <c r="X805" s="287"/>
      <c r="Y805" s="290" t="str">
        <f t="shared" si="421"/>
        <v/>
      </c>
      <c r="Z805" s="291">
        <f ca="1">SUMIF($T$8:Y$1018,"QUANT.",T805:Y805)</f>
        <v>0</v>
      </c>
      <c r="AA805" s="292">
        <f t="shared" ca="1" si="422"/>
        <v>0</v>
      </c>
      <c r="AB805" s="293" t="str">
        <f t="shared" ca="1" si="423"/>
        <v>MEDIR</v>
      </c>
      <c r="AC805" s="294">
        <f t="shared" ca="1" si="424"/>
        <v>1</v>
      </c>
      <c r="AD805" s="294">
        <f t="shared" ca="1" si="425"/>
        <v>122.27</v>
      </c>
      <c r="AE805" s="295"/>
      <c r="AF805" s="295"/>
      <c r="AG805" s="296"/>
      <c r="AH805" s="296"/>
      <c r="AI805" s="296"/>
      <c r="AJ805" s="326"/>
      <c r="AK805" s="326"/>
      <c r="AL805" s="326"/>
      <c r="AM805" s="326"/>
    </row>
    <row r="806" spans="1:39" ht="25.5" x14ac:dyDescent="0.25">
      <c r="A806" s="232">
        <f t="shared" si="426"/>
        <v>806</v>
      </c>
      <c r="B806" s="232"/>
      <c r="C806" s="307" t="str">
        <f t="shared" si="441"/>
        <v>17.15</v>
      </c>
      <c r="D806" s="308">
        <f t="shared" si="442"/>
        <v>8</v>
      </c>
      <c r="E806" s="309" t="str">
        <f t="shared" si="443"/>
        <v>17.15.8</v>
      </c>
      <c r="F806" s="310" t="s">
        <v>12460</v>
      </c>
      <c r="G806" s="311" t="str">
        <f>IF($F806="","",IFERROR(VLOOKUP($F806,SERVIÇOS!$B:$G,2,0),IFERROR(VLOOKUP($F806,'COMPOSIÇÕES COMPLEMENTARES '!$D:$L,2,0),IFERROR(VLOOKUP($F806,INSUMOS!$A:$D,2,0),""))))</f>
        <v>DAMPER DE REGULAGEM DE VAZÃO 250x250MM. MARCA TROPICAL DRV-250x250 (OU EQUIVALENTE (OU SIMILAR - TROX, SEIMMEI, DIFUSAR) -  FORNECIMENTO E INSTALAÇÃO</v>
      </c>
      <c r="H806" s="312" t="str">
        <f>IF($F806="","",IFERROR(VLOOKUP($F806,SERVIÇOS!$B:$G,3,0),IFERROR(VLOOKUP($F806,'COMPOSIÇÕES COMPLEMENTARES '!$D:$L,3,0),IFERROR(VLOOKUP($F806,INSUMOS!$A:$D,3,0),""))))</f>
        <v>UN</v>
      </c>
      <c r="I806" s="313">
        <v>1</v>
      </c>
      <c r="J806" s="314">
        <f>IF($F806="","",IFERROR(VLOOKUP($F806,SERVIÇOS!$B:$G,4,0),IFERROR(VLOOKUP($F806,'COMPOSIÇÕES COMPLEMENTARES '!$D:$L,6,0),IFERROR(VLOOKUP($F806,INSUMOS!$A:$D,4,0),""))))</f>
        <v>138</v>
      </c>
      <c r="K806" s="314">
        <f>IF($F806="","",IFERROR(VLOOKUP($F806,SERVIÇOS!$B:$G,5,0),IFERROR(VLOOKUP($F806,'COMPOSIÇÕES COMPLEMENTARES '!$D:$L,7,0),0)))</f>
        <v>11.05</v>
      </c>
      <c r="L806" s="314">
        <f t="shared" si="444"/>
        <v>149.05000000000001</v>
      </c>
      <c r="M806" s="314">
        <f t="shared" si="445"/>
        <v>138</v>
      </c>
      <c r="N806" s="314">
        <f t="shared" si="446"/>
        <v>11.05</v>
      </c>
      <c r="O806" s="314">
        <f t="shared" si="447"/>
        <v>149.05000000000001</v>
      </c>
      <c r="P806" s="314"/>
      <c r="Q806" s="315"/>
      <c r="R806" s="315"/>
      <c r="S806" s="286"/>
      <c r="T806" s="287"/>
      <c r="U806" s="288" t="str">
        <f t="shared" ref="U806:U861" si="448">IF(OR(T806="",$O806=""),"",(T806/$I806)*$O806)</f>
        <v/>
      </c>
      <c r="V806" s="287"/>
      <c r="W806" s="289" t="str">
        <f t="shared" ref="W806:W861" si="449">IF(OR(V806="",$O806=""),"",(V806/$I806)*$O806)</f>
        <v/>
      </c>
      <c r="X806" s="287"/>
      <c r="Y806" s="290" t="str">
        <f t="shared" ref="Y806:Y861" si="450">IF(OR(X806="",$O806=""),"",(X806/$I806)*$O806)</f>
        <v/>
      </c>
      <c r="Z806" s="291">
        <f ca="1">SUMIF($T$8:Y$1018,"QUANT.",T806:Y806)</f>
        <v>0</v>
      </c>
      <c r="AA806" s="292">
        <f t="shared" ref="AA806:AA869" ca="1" si="451">SUMIF($T$8:$Y$1018,"CUSTO",T806:Y806)</f>
        <v>0</v>
      </c>
      <c r="AB806" s="293" t="str">
        <f t="shared" ref="AB806:AB861" ca="1" si="452">IF(F806&lt;&gt;"",IF(AA806=0,"MEDIR",IF(O806-AA806=0,"OK",IF(O806-AA806&gt;0,"MEDIR","ALERTA!"))),"")</f>
        <v>MEDIR</v>
      </c>
      <c r="AC806" s="294">
        <f t="shared" ref="AC806:AC861" ca="1" si="453">IF(Z806="",0,I806-Z806)</f>
        <v>1</v>
      </c>
      <c r="AD806" s="294">
        <f t="shared" ref="AD806:AD861" ca="1" si="454">IF(AA806="",0,O806-AA806)</f>
        <v>149.05000000000001</v>
      </c>
      <c r="AE806" s="295"/>
      <c r="AF806" s="295"/>
      <c r="AG806" s="296"/>
      <c r="AH806" s="296"/>
      <c r="AI806" s="296"/>
      <c r="AJ806" s="295"/>
      <c r="AK806" s="326"/>
      <c r="AL806" s="326"/>
      <c r="AM806" s="326"/>
    </row>
    <row r="807" spans="1:39" ht="25.5" x14ac:dyDescent="0.25">
      <c r="A807" s="232">
        <f t="shared" si="426"/>
        <v>807</v>
      </c>
      <c r="B807" s="232"/>
      <c r="C807" s="307" t="str">
        <f t="shared" si="441"/>
        <v>17.15</v>
      </c>
      <c r="D807" s="308">
        <f t="shared" si="442"/>
        <v>9</v>
      </c>
      <c r="E807" s="309" t="str">
        <f t="shared" si="443"/>
        <v>17.15.9</v>
      </c>
      <c r="F807" s="310" t="s">
        <v>12461</v>
      </c>
      <c r="G807" s="311" t="str">
        <f>IF($F807="","",IFERROR(VLOOKUP($F807,SERVIÇOS!$B:$G,2,0),IFERROR(VLOOKUP($F807,'COMPOSIÇÕES COMPLEMENTARES '!$D:$L,2,0),IFERROR(VLOOKUP($F807,INSUMOS!$A:$D,2,0),""))))</f>
        <v>DAMPER DE REGULAGEM DE VAZÃO 300x100MM. MARCA TROPICAL DRV-300x100 (OU EQUIVALENTE (OU SIMILAR - TROX, SEIMMEI, DIFUSAR)</v>
      </c>
      <c r="H807" s="312" t="str">
        <f>IF($F807="","",IFERROR(VLOOKUP($F807,SERVIÇOS!$B:$G,3,0),IFERROR(VLOOKUP($F807,'COMPOSIÇÕES COMPLEMENTARES '!$D:$L,3,0),IFERROR(VLOOKUP($F807,INSUMOS!$A:$D,3,0),""))))</f>
        <v>UN</v>
      </c>
      <c r="I807" s="313">
        <v>4</v>
      </c>
      <c r="J807" s="314">
        <f>IF($F807="","",IFERROR(VLOOKUP($F807,SERVIÇOS!$B:$G,4,0),IFERROR(VLOOKUP($F807,'COMPOSIÇÕES COMPLEMENTARES '!$D:$L,6,0),IFERROR(VLOOKUP($F807,INSUMOS!$A:$D,4,0),""))))</f>
        <v>68.36</v>
      </c>
      <c r="K807" s="314">
        <f>IF($F807="","",IFERROR(VLOOKUP($F807,SERVIÇOS!$B:$G,5,0),IFERROR(VLOOKUP($F807,'COMPOSIÇÕES COMPLEMENTARES '!$D:$L,7,0),0)))</f>
        <v>11.05</v>
      </c>
      <c r="L807" s="314">
        <f t="shared" si="444"/>
        <v>79.41</v>
      </c>
      <c r="M807" s="314">
        <f t="shared" si="445"/>
        <v>273.44</v>
      </c>
      <c r="N807" s="314">
        <f t="shared" si="446"/>
        <v>44.2</v>
      </c>
      <c r="O807" s="314">
        <f t="shared" si="447"/>
        <v>317.64</v>
      </c>
      <c r="P807" s="314"/>
      <c r="Q807" s="315"/>
      <c r="R807" s="315"/>
      <c r="S807" s="286"/>
      <c r="T807" s="287"/>
      <c r="U807" s="288" t="str">
        <f t="shared" si="448"/>
        <v/>
      </c>
      <c r="V807" s="287"/>
      <c r="W807" s="289" t="str">
        <f t="shared" si="449"/>
        <v/>
      </c>
      <c r="X807" s="287"/>
      <c r="Y807" s="290" t="str">
        <f t="shared" si="450"/>
        <v/>
      </c>
      <c r="Z807" s="291">
        <f ca="1">SUMIF($T$8:Y$1018,"QUANT.",T807:Y807)</f>
        <v>0</v>
      </c>
      <c r="AA807" s="292">
        <f t="shared" ca="1" si="451"/>
        <v>0</v>
      </c>
      <c r="AB807" s="293" t="str">
        <f t="shared" ca="1" si="452"/>
        <v>MEDIR</v>
      </c>
      <c r="AC807" s="294">
        <f t="shared" ca="1" si="453"/>
        <v>4</v>
      </c>
      <c r="AD807" s="294">
        <f t="shared" ca="1" si="454"/>
        <v>317.64</v>
      </c>
      <c r="AE807" s="295"/>
      <c r="AF807" s="295"/>
      <c r="AG807" s="296"/>
      <c r="AH807" s="296"/>
      <c r="AI807" s="296"/>
      <c r="AJ807" s="295"/>
      <c r="AK807" s="326"/>
      <c r="AL807" s="326"/>
      <c r="AM807" s="326"/>
    </row>
    <row r="808" spans="1:39" ht="25.5" x14ac:dyDescent="0.25">
      <c r="A808" s="232">
        <f t="shared" si="426"/>
        <v>808</v>
      </c>
      <c r="B808" s="232"/>
      <c r="C808" s="307" t="str">
        <f t="shared" si="441"/>
        <v>17.15</v>
      </c>
      <c r="D808" s="308">
        <f t="shared" si="442"/>
        <v>10</v>
      </c>
      <c r="E808" s="309" t="str">
        <f t="shared" si="443"/>
        <v>17.15.10</v>
      </c>
      <c r="F808" s="310" t="s">
        <v>12462</v>
      </c>
      <c r="G808" s="311" t="str">
        <f>IF($F808="","",IFERROR(VLOOKUP($F808,SERVIÇOS!$B:$G,2,0),IFERROR(VLOOKUP($F808,'COMPOSIÇÕES COMPLEMENTARES '!$D:$L,2,0),IFERROR(VLOOKUP($F808,INSUMOS!$A:$D,2,0),""))))</f>
        <v>DAMPER DE REGULAGEM DE VAZÃO 300x150MM. MARCA TROPICAL DRV-300x150 (OU EQUIVALENTE (OU SIMILAR - TROX, SEIMMEI, DIFUSAR)</v>
      </c>
      <c r="H808" s="312" t="str">
        <f>IF($F808="","",IFERROR(VLOOKUP($F808,SERVIÇOS!$B:$G,3,0),IFERROR(VLOOKUP($F808,'COMPOSIÇÕES COMPLEMENTARES '!$D:$L,3,0),IFERROR(VLOOKUP($F808,INSUMOS!$A:$D,3,0),""))))</f>
        <v>UN</v>
      </c>
      <c r="I808" s="313">
        <v>1</v>
      </c>
      <c r="J808" s="314">
        <f>IF($F808="","",IFERROR(VLOOKUP($F808,SERVIÇOS!$B:$G,4,0),IFERROR(VLOOKUP($F808,'COMPOSIÇÕES COMPLEMENTARES '!$D:$L,6,0),IFERROR(VLOOKUP($F808,INSUMOS!$A:$D,4,0),""))))</f>
        <v>100.5</v>
      </c>
      <c r="K808" s="314">
        <f>IF($F808="","",IFERROR(VLOOKUP($F808,SERVIÇOS!$B:$G,5,0),IFERROR(VLOOKUP($F808,'COMPOSIÇÕES COMPLEMENTARES '!$D:$L,7,0),0)))</f>
        <v>11.05</v>
      </c>
      <c r="L808" s="314">
        <f t="shared" si="444"/>
        <v>111.55</v>
      </c>
      <c r="M808" s="314">
        <f t="shared" si="445"/>
        <v>100.5</v>
      </c>
      <c r="N808" s="314">
        <f t="shared" si="446"/>
        <v>11.05</v>
      </c>
      <c r="O808" s="314">
        <f t="shared" si="447"/>
        <v>111.55</v>
      </c>
      <c r="P808" s="314"/>
      <c r="Q808" s="315"/>
      <c r="R808" s="315"/>
      <c r="S808" s="286"/>
      <c r="T808" s="287"/>
      <c r="U808" s="288" t="str">
        <f t="shared" si="448"/>
        <v/>
      </c>
      <c r="V808" s="287"/>
      <c r="W808" s="289" t="str">
        <f t="shared" si="449"/>
        <v/>
      </c>
      <c r="X808" s="287"/>
      <c r="Y808" s="290" t="str">
        <f t="shared" si="450"/>
        <v/>
      </c>
      <c r="Z808" s="291">
        <f ca="1">SUMIF($T$8:Y$1018,"QUANT.",T808:Y808)</f>
        <v>0</v>
      </c>
      <c r="AA808" s="292">
        <f t="shared" ca="1" si="451"/>
        <v>0</v>
      </c>
      <c r="AB808" s="293" t="str">
        <f t="shared" ca="1" si="452"/>
        <v>MEDIR</v>
      </c>
      <c r="AC808" s="294">
        <f t="shared" ca="1" si="453"/>
        <v>1</v>
      </c>
      <c r="AD808" s="294">
        <f t="shared" ca="1" si="454"/>
        <v>111.55</v>
      </c>
      <c r="AE808" s="295"/>
      <c r="AF808" s="295"/>
      <c r="AG808" s="296"/>
      <c r="AH808" s="296"/>
      <c r="AI808" s="296"/>
      <c r="AJ808" s="295"/>
      <c r="AK808" s="326"/>
      <c r="AL808" s="326"/>
      <c r="AM808" s="326"/>
    </row>
    <row r="809" spans="1:39" ht="25.5" x14ac:dyDescent="0.25">
      <c r="A809" s="232">
        <f t="shared" si="426"/>
        <v>809</v>
      </c>
      <c r="B809" s="232"/>
      <c r="C809" s="307" t="str">
        <f t="shared" si="441"/>
        <v>17.15</v>
      </c>
      <c r="D809" s="308">
        <f t="shared" si="442"/>
        <v>11</v>
      </c>
      <c r="E809" s="309" t="str">
        <f t="shared" si="443"/>
        <v>17.15.11</v>
      </c>
      <c r="F809" s="310" t="s">
        <v>12463</v>
      </c>
      <c r="G809" s="311" t="str">
        <f>IF($F809="","",IFERROR(VLOOKUP($F809,SERVIÇOS!$B:$G,2,0),IFERROR(VLOOKUP($F809,'COMPOSIÇÕES COMPLEMENTARES '!$D:$L,2,0),IFERROR(VLOOKUP($F809,INSUMOS!$A:$D,2,0),""))))</f>
        <v>DAMPER DE REGULAGEM DE VAZÃO 300x250MM. MARCA TROPICAL DRV-300x250 (OU EQUIVALENTE (OU SIMILAR - TROX, SEIMMEI, DIFUSAR)</v>
      </c>
      <c r="H809" s="312" t="str">
        <f>IF($F809="","",IFERROR(VLOOKUP($F809,SERVIÇOS!$B:$G,3,0),IFERROR(VLOOKUP($F809,'COMPOSIÇÕES COMPLEMENTARES '!$D:$L,3,0),IFERROR(VLOOKUP($F809,INSUMOS!$A:$D,3,0),""))))</f>
        <v>UN</v>
      </c>
      <c r="I809" s="313">
        <v>1</v>
      </c>
      <c r="J809" s="314">
        <f>IF($F809="","",IFERROR(VLOOKUP($F809,SERVIÇOS!$B:$G,4,0),IFERROR(VLOOKUP($F809,'COMPOSIÇÕES COMPLEMENTARES '!$D:$L,6,0),IFERROR(VLOOKUP($F809,INSUMOS!$A:$D,4,0),""))))</f>
        <v>164.78</v>
      </c>
      <c r="K809" s="314">
        <f>IF($F809="","",IFERROR(VLOOKUP($F809,SERVIÇOS!$B:$G,5,0),IFERROR(VLOOKUP($F809,'COMPOSIÇÕES COMPLEMENTARES '!$D:$L,7,0),0)))</f>
        <v>11.05</v>
      </c>
      <c r="L809" s="314">
        <f t="shared" si="444"/>
        <v>175.83</v>
      </c>
      <c r="M809" s="314">
        <f t="shared" si="445"/>
        <v>164.78</v>
      </c>
      <c r="N809" s="314">
        <f t="shared" si="446"/>
        <v>11.05</v>
      </c>
      <c r="O809" s="314">
        <f t="shared" si="447"/>
        <v>175.83</v>
      </c>
      <c r="P809" s="314"/>
      <c r="Q809" s="315"/>
      <c r="R809" s="315"/>
      <c r="S809" s="286"/>
      <c r="T809" s="287"/>
      <c r="U809" s="288" t="str">
        <f t="shared" si="448"/>
        <v/>
      </c>
      <c r="V809" s="287"/>
      <c r="W809" s="289" t="str">
        <f t="shared" si="449"/>
        <v/>
      </c>
      <c r="X809" s="287"/>
      <c r="Y809" s="290" t="str">
        <f t="shared" si="450"/>
        <v/>
      </c>
      <c r="Z809" s="291">
        <f ca="1">SUMIF($T$8:Y$1018,"QUANT.",T809:Y809)</f>
        <v>0</v>
      </c>
      <c r="AA809" s="292">
        <f t="shared" ca="1" si="451"/>
        <v>0</v>
      </c>
      <c r="AB809" s="293" t="str">
        <f t="shared" ca="1" si="452"/>
        <v>MEDIR</v>
      </c>
      <c r="AC809" s="294">
        <f t="shared" ca="1" si="453"/>
        <v>1</v>
      </c>
      <c r="AD809" s="294">
        <f t="shared" ca="1" si="454"/>
        <v>175.83</v>
      </c>
      <c r="AE809" s="295"/>
      <c r="AF809" s="295"/>
      <c r="AG809" s="296"/>
      <c r="AH809" s="296"/>
      <c r="AI809" s="296"/>
      <c r="AJ809" s="295"/>
      <c r="AK809" s="326"/>
      <c r="AL809" s="326"/>
      <c r="AM809" s="326"/>
    </row>
    <row r="810" spans="1:39" ht="25.5" x14ac:dyDescent="0.25">
      <c r="A810" s="232">
        <f t="shared" si="426"/>
        <v>810</v>
      </c>
      <c r="B810" s="232"/>
      <c r="C810" s="307" t="str">
        <f t="shared" si="441"/>
        <v>17.15</v>
      </c>
      <c r="D810" s="308">
        <f t="shared" si="442"/>
        <v>12</v>
      </c>
      <c r="E810" s="309" t="str">
        <f t="shared" si="443"/>
        <v>17.15.12</v>
      </c>
      <c r="F810" s="310" t="s">
        <v>12464</v>
      </c>
      <c r="G810" s="311" t="str">
        <f>IF($F810="","",IFERROR(VLOOKUP($F810,SERVIÇOS!$B:$G,2,0),IFERROR(VLOOKUP($F810,'COMPOSIÇÕES COMPLEMENTARES '!$D:$L,2,0),IFERROR(VLOOKUP($F810,INSUMOS!$A:$D,2,0),""))))</f>
        <v>DAMPER DE REGULAGEM DE VAZÃO 350x100MM. MARCA TROPICAL DRV-350x100 (OU EQUIVALENTE (OU SIMILAR - TROX, SEIMMEI, DIFUSAR) -  FORNECIMENTO E INSTALAÇÃO</v>
      </c>
      <c r="H810" s="312" t="str">
        <f>IF($F810="","",IFERROR(VLOOKUP($F810,SERVIÇOS!$B:$G,3,0),IFERROR(VLOOKUP($F810,'COMPOSIÇÕES COMPLEMENTARES '!$D:$L,3,0),IFERROR(VLOOKUP($F810,INSUMOS!$A:$D,3,0),""))))</f>
        <v>UN</v>
      </c>
      <c r="I810" s="313">
        <v>7</v>
      </c>
      <c r="J810" s="314">
        <f>IF($F810="","",IFERROR(VLOOKUP($F810,SERVIÇOS!$B:$G,4,0),IFERROR(VLOOKUP($F810,'COMPOSIÇÕES COMPLEMENTARES '!$D:$L,6,0),IFERROR(VLOOKUP($F810,INSUMOS!$A:$D,4,0),""))))</f>
        <v>79.08</v>
      </c>
      <c r="K810" s="314">
        <f>IF($F810="","",IFERROR(VLOOKUP($F810,SERVIÇOS!$B:$G,5,0),IFERROR(VLOOKUP($F810,'COMPOSIÇÕES COMPLEMENTARES '!$D:$L,7,0),0)))</f>
        <v>11.05</v>
      </c>
      <c r="L810" s="314">
        <f t="shared" si="444"/>
        <v>90.13</v>
      </c>
      <c r="M810" s="314">
        <f t="shared" si="445"/>
        <v>553.55999999999995</v>
      </c>
      <c r="N810" s="314">
        <f t="shared" si="446"/>
        <v>77.349999999999994</v>
      </c>
      <c r="O810" s="314">
        <f t="shared" si="447"/>
        <v>630.91</v>
      </c>
      <c r="P810" s="314"/>
      <c r="Q810" s="315"/>
      <c r="R810" s="315"/>
      <c r="S810" s="286"/>
      <c r="T810" s="287"/>
      <c r="U810" s="288" t="str">
        <f t="shared" si="448"/>
        <v/>
      </c>
      <c r="V810" s="287"/>
      <c r="W810" s="289" t="str">
        <f t="shared" si="449"/>
        <v/>
      </c>
      <c r="X810" s="287"/>
      <c r="Y810" s="290" t="str">
        <f t="shared" si="450"/>
        <v/>
      </c>
      <c r="Z810" s="291">
        <f ca="1">SUMIF($T$8:Y$1018,"QUANT.",T810:Y810)</f>
        <v>0</v>
      </c>
      <c r="AA810" s="292">
        <f t="shared" ca="1" si="451"/>
        <v>0</v>
      </c>
      <c r="AB810" s="293" t="str">
        <f t="shared" ca="1" si="452"/>
        <v>MEDIR</v>
      </c>
      <c r="AC810" s="294">
        <f t="shared" ca="1" si="453"/>
        <v>7</v>
      </c>
      <c r="AD810" s="294">
        <f t="shared" ca="1" si="454"/>
        <v>630.91</v>
      </c>
      <c r="AE810" s="295"/>
      <c r="AF810" s="295"/>
      <c r="AG810" s="296"/>
      <c r="AH810" s="296"/>
      <c r="AI810" s="296"/>
      <c r="AJ810" s="295"/>
      <c r="AK810" s="326"/>
      <c r="AL810" s="326"/>
      <c r="AM810" s="326"/>
    </row>
    <row r="811" spans="1:39" ht="25.5" x14ac:dyDescent="0.25">
      <c r="A811" s="232">
        <f t="shared" si="426"/>
        <v>811</v>
      </c>
      <c r="B811" s="232"/>
      <c r="C811" s="307" t="str">
        <f t="shared" si="441"/>
        <v>17.15</v>
      </c>
      <c r="D811" s="308">
        <f t="shared" si="442"/>
        <v>13</v>
      </c>
      <c r="E811" s="309" t="str">
        <f t="shared" si="443"/>
        <v>17.15.13</v>
      </c>
      <c r="F811" s="310" t="s">
        <v>12465</v>
      </c>
      <c r="G811" s="311" t="str">
        <f>IF($F811="","",IFERROR(VLOOKUP($F811,SERVIÇOS!$B:$G,2,0),IFERROR(VLOOKUP($F811,'COMPOSIÇÕES COMPLEMENTARES '!$D:$L,2,0),IFERROR(VLOOKUP($F811,INSUMOS!$A:$D,2,0),""))))</f>
        <v>DAMPER DE REGULAGEM DE VAZÃO 350x150MM. MARCA TROPICAL DRV-350x150 (OU EQUIVALENTE (OU SIMILAR - TROX, SEIMMEI, DIFUSAR)</v>
      </c>
      <c r="H811" s="312" t="str">
        <f>IF($F811="","",IFERROR(VLOOKUP($F811,SERVIÇOS!$B:$G,3,0),IFERROR(VLOOKUP($F811,'COMPOSIÇÕES COMPLEMENTARES '!$D:$L,3,0),IFERROR(VLOOKUP($F811,INSUMOS!$A:$D,3,0),""))))</f>
        <v>UN</v>
      </c>
      <c r="I811" s="313">
        <v>4</v>
      </c>
      <c r="J811" s="314">
        <f>IF($F811="","",IFERROR(VLOOKUP($F811,SERVIÇOS!$B:$G,4,0),IFERROR(VLOOKUP($F811,'COMPOSIÇÕES COMPLEMENTARES '!$D:$L,6,0),IFERROR(VLOOKUP($F811,INSUMOS!$A:$D,4,0),""))))</f>
        <v>116.57</v>
      </c>
      <c r="K811" s="314">
        <f>IF($F811="","",IFERROR(VLOOKUP($F811,SERVIÇOS!$B:$G,5,0),IFERROR(VLOOKUP($F811,'COMPOSIÇÕES COMPLEMENTARES '!$D:$L,7,0),0)))</f>
        <v>11.05</v>
      </c>
      <c r="L811" s="314">
        <f t="shared" si="444"/>
        <v>127.61999999999999</v>
      </c>
      <c r="M811" s="314">
        <f t="shared" si="445"/>
        <v>466.28</v>
      </c>
      <c r="N811" s="314">
        <f t="shared" si="446"/>
        <v>44.2</v>
      </c>
      <c r="O811" s="314">
        <f t="shared" si="447"/>
        <v>510.48</v>
      </c>
      <c r="P811" s="314"/>
      <c r="Q811" s="315"/>
      <c r="R811" s="315"/>
      <c r="S811" s="286"/>
      <c r="T811" s="287"/>
      <c r="U811" s="288" t="str">
        <f t="shared" si="448"/>
        <v/>
      </c>
      <c r="V811" s="287"/>
      <c r="W811" s="289" t="str">
        <f t="shared" si="449"/>
        <v/>
      </c>
      <c r="X811" s="287"/>
      <c r="Y811" s="290" t="str">
        <f t="shared" si="450"/>
        <v/>
      </c>
      <c r="Z811" s="291">
        <f ca="1">SUMIF($T$8:Y$1018,"QUANT.",T811:Y811)</f>
        <v>0</v>
      </c>
      <c r="AA811" s="292">
        <f t="shared" ca="1" si="451"/>
        <v>0</v>
      </c>
      <c r="AB811" s="293" t="str">
        <f t="shared" ca="1" si="452"/>
        <v>MEDIR</v>
      </c>
      <c r="AC811" s="294">
        <f t="shared" ca="1" si="453"/>
        <v>4</v>
      </c>
      <c r="AD811" s="294">
        <f t="shared" ca="1" si="454"/>
        <v>510.48</v>
      </c>
      <c r="AE811" s="295"/>
      <c r="AF811" s="295"/>
      <c r="AG811" s="296"/>
      <c r="AH811" s="296"/>
      <c r="AI811" s="296"/>
      <c r="AJ811" s="295"/>
      <c r="AK811" s="295"/>
      <c r="AL811" s="326"/>
      <c r="AM811" s="326"/>
    </row>
    <row r="812" spans="1:39" ht="25.5" x14ac:dyDescent="0.25">
      <c r="A812" s="232">
        <f t="shared" si="426"/>
        <v>812</v>
      </c>
      <c r="B812" s="232"/>
      <c r="C812" s="307" t="str">
        <f t="shared" si="441"/>
        <v>17.15</v>
      </c>
      <c r="D812" s="308">
        <f t="shared" si="442"/>
        <v>14</v>
      </c>
      <c r="E812" s="309" t="str">
        <f t="shared" si="443"/>
        <v>17.15.14</v>
      </c>
      <c r="F812" s="310" t="s">
        <v>12466</v>
      </c>
      <c r="G812" s="311" t="str">
        <f>IF($F812="","",IFERROR(VLOOKUP($F812,SERVIÇOS!$B:$G,2,0),IFERROR(VLOOKUP($F812,'COMPOSIÇÕES COMPLEMENTARES '!$D:$L,2,0),IFERROR(VLOOKUP($F812,INSUMOS!$A:$D,2,0),""))))</f>
        <v>DAMPER DE REGULAGEM DE VAZÃO 350x300MM. MARCA TROPICAL DRV-350x300 (OU EQUIVALENTE (OU SIMILAR - TROX, SEIMMEI, DIFUSAR) -  FORNECIMENTO E INSTALAÇÃO</v>
      </c>
      <c r="H812" s="312" t="str">
        <f>IF($F812="","",IFERROR(VLOOKUP($F812,SERVIÇOS!$B:$G,3,0),IFERROR(VLOOKUP($F812,'COMPOSIÇÕES COMPLEMENTARES '!$D:$L,3,0),IFERROR(VLOOKUP($F812,INSUMOS!$A:$D,3,0),""))))</f>
        <v>UN</v>
      </c>
      <c r="I812" s="313">
        <v>2</v>
      </c>
      <c r="J812" s="314">
        <f>IF($F812="","",IFERROR(VLOOKUP($F812,SERVIÇOS!$B:$G,4,0),IFERROR(VLOOKUP($F812,'COMPOSIÇÕES COMPLEMENTARES '!$D:$L,6,0),IFERROR(VLOOKUP($F812,INSUMOS!$A:$D,4,0),""))))</f>
        <v>229.06</v>
      </c>
      <c r="K812" s="314">
        <f>IF($F812="","",IFERROR(VLOOKUP($F812,SERVIÇOS!$B:$G,5,0),IFERROR(VLOOKUP($F812,'COMPOSIÇÕES COMPLEMENTARES '!$D:$L,7,0),0)))</f>
        <v>11.05</v>
      </c>
      <c r="L812" s="314">
        <f t="shared" si="444"/>
        <v>240.11</v>
      </c>
      <c r="M812" s="314">
        <f t="shared" si="445"/>
        <v>458.12</v>
      </c>
      <c r="N812" s="314">
        <f t="shared" si="446"/>
        <v>22.1</v>
      </c>
      <c r="O812" s="314">
        <f t="shared" si="447"/>
        <v>480.22</v>
      </c>
      <c r="P812" s="314"/>
      <c r="Q812" s="315"/>
      <c r="R812" s="315"/>
      <c r="S812" s="286"/>
      <c r="T812" s="287"/>
      <c r="U812" s="288" t="str">
        <f t="shared" si="448"/>
        <v/>
      </c>
      <c r="V812" s="287"/>
      <c r="W812" s="289" t="str">
        <f t="shared" si="449"/>
        <v/>
      </c>
      <c r="X812" s="287"/>
      <c r="Y812" s="290" t="str">
        <f t="shared" si="450"/>
        <v/>
      </c>
      <c r="Z812" s="291">
        <f ca="1">SUMIF($T$8:Y$1018,"QUANT.",T812:Y812)</f>
        <v>0</v>
      </c>
      <c r="AA812" s="292">
        <f t="shared" ca="1" si="451"/>
        <v>0</v>
      </c>
      <c r="AB812" s="293" t="str">
        <f t="shared" ca="1" si="452"/>
        <v>MEDIR</v>
      </c>
      <c r="AC812" s="294">
        <f t="shared" ca="1" si="453"/>
        <v>2</v>
      </c>
      <c r="AD812" s="294">
        <f t="shared" ca="1" si="454"/>
        <v>480.22</v>
      </c>
      <c r="AE812" s="295"/>
      <c r="AF812" s="295"/>
      <c r="AG812" s="296"/>
      <c r="AH812" s="296"/>
      <c r="AI812" s="296"/>
      <c r="AJ812" s="295"/>
      <c r="AK812" s="295"/>
      <c r="AL812" s="326"/>
      <c r="AM812" s="326"/>
    </row>
    <row r="813" spans="1:39" ht="25.5" x14ac:dyDescent="0.25">
      <c r="A813" s="232">
        <f t="shared" si="426"/>
        <v>813</v>
      </c>
      <c r="B813" s="232"/>
      <c r="C813" s="307" t="str">
        <f t="shared" si="441"/>
        <v>17.15</v>
      </c>
      <c r="D813" s="308">
        <f t="shared" si="442"/>
        <v>15</v>
      </c>
      <c r="E813" s="309" t="str">
        <f t="shared" si="443"/>
        <v>17.15.15</v>
      </c>
      <c r="F813" s="310" t="s">
        <v>12467</v>
      </c>
      <c r="G813" s="311" t="str">
        <f>IF($F813="","",IFERROR(VLOOKUP($F813,SERVIÇOS!$B:$G,2,0),IFERROR(VLOOKUP($F813,'COMPOSIÇÕES COMPLEMENTARES '!$D:$L,2,0),IFERROR(VLOOKUP($F813,INSUMOS!$A:$D,2,0),""))))</f>
        <v>DAMPER DE REGULAGEM DE VAZÃO 400x150MM. MARCA TROPICAL DRV-400x150 (OU EQUIVALENTE (OU SIMILAR - TROX, SEIMMEI, DIFUSAR)</v>
      </c>
      <c r="H813" s="312" t="str">
        <f>IF($F813="","",IFERROR(VLOOKUP($F813,SERVIÇOS!$B:$G,3,0),IFERROR(VLOOKUP($F813,'COMPOSIÇÕES COMPLEMENTARES '!$D:$L,3,0),IFERROR(VLOOKUP($F813,INSUMOS!$A:$D,3,0),""))))</f>
        <v>UN</v>
      </c>
      <c r="I813" s="313">
        <v>1</v>
      </c>
      <c r="J813" s="314">
        <f>IF($F813="","",IFERROR(VLOOKUP($F813,SERVIÇOS!$B:$G,4,0),IFERROR(VLOOKUP($F813,'COMPOSIÇÕES COMPLEMENTARES '!$D:$L,6,0),IFERROR(VLOOKUP($F813,INSUMOS!$A:$D,4,0),""))))</f>
        <v>89.79</v>
      </c>
      <c r="K813" s="314">
        <f>IF($F813="","",IFERROR(VLOOKUP($F813,SERVIÇOS!$B:$G,5,0),IFERROR(VLOOKUP($F813,'COMPOSIÇÕES COMPLEMENTARES '!$D:$L,7,0),0)))</f>
        <v>11.05</v>
      </c>
      <c r="L813" s="314">
        <f t="shared" si="444"/>
        <v>100.84</v>
      </c>
      <c r="M813" s="314">
        <f t="shared" si="445"/>
        <v>89.79</v>
      </c>
      <c r="N813" s="314">
        <f t="shared" si="446"/>
        <v>11.05</v>
      </c>
      <c r="O813" s="314">
        <f t="shared" si="447"/>
        <v>100.84</v>
      </c>
      <c r="P813" s="314"/>
      <c r="Q813" s="315"/>
      <c r="R813" s="315"/>
      <c r="S813" s="286"/>
      <c r="T813" s="287"/>
      <c r="U813" s="288" t="str">
        <f t="shared" si="448"/>
        <v/>
      </c>
      <c r="V813" s="287"/>
      <c r="W813" s="289" t="str">
        <f t="shared" si="449"/>
        <v/>
      </c>
      <c r="X813" s="287"/>
      <c r="Y813" s="290" t="str">
        <f t="shared" si="450"/>
        <v/>
      </c>
      <c r="Z813" s="291">
        <f ca="1">SUMIF($T$8:Y$1018,"QUANT.",T813:Y813)</f>
        <v>0</v>
      </c>
      <c r="AA813" s="292">
        <f t="shared" ca="1" si="451"/>
        <v>0</v>
      </c>
      <c r="AB813" s="293" t="str">
        <f t="shared" ca="1" si="452"/>
        <v>MEDIR</v>
      </c>
      <c r="AC813" s="294">
        <f t="shared" ca="1" si="453"/>
        <v>1</v>
      </c>
      <c r="AD813" s="294">
        <f t="shared" ca="1" si="454"/>
        <v>100.84</v>
      </c>
      <c r="AE813" s="295"/>
      <c r="AF813" s="295"/>
      <c r="AG813" s="296"/>
      <c r="AH813" s="296"/>
      <c r="AI813" s="296"/>
      <c r="AJ813" s="295"/>
      <c r="AK813" s="295"/>
      <c r="AL813" s="295"/>
      <c r="AM813" s="295"/>
    </row>
    <row r="814" spans="1:39" ht="25.5" x14ac:dyDescent="0.25">
      <c r="A814" s="232">
        <f t="shared" si="426"/>
        <v>814</v>
      </c>
      <c r="B814" s="232"/>
      <c r="C814" s="307" t="str">
        <f t="shared" si="441"/>
        <v>17.15</v>
      </c>
      <c r="D814" s="308">
        <f t="shared" si="442"/>
        <v>16</v>
      </c>
      <c r="E814" s="309" t="str">
        <f t="shared" si="443"/>
        <v>17.15.16</v>
      </c>
      <c r="F814" s="310" t="s">
        <v>12468</v>
      </c>
      <c r="G814" s="311" t="str">
        <f>IF($F814="","",IFERROR(VLOOKUP($F814,SERVIÇOS!$B:$G,2,0),IFERROR(VLOOKUP($F814,'COMPOSIÇÕES COMPLEMENTARES '!$D:$L,2,0),IFERROR(VLOOKUP($F814,INSUMOS!$A:$D,2,0),""))))</f>
        <v>DAMPER DE REGULAGEM DE VAZÃO 400x200MM. MARCA TROPICAL DRV-400x200 (OU EQUIVALENTE (OU SIMILAR - TROX, SEIMMEI, DIFUSAR) -  FORNECIMENTO E INSTALAÇÃO</v>
      </c>
      <c r="H814" s="312" t="str">
        <f>IF($F814="","",IFERROR(VLOOKUP($F814,SERVIÇOS!$B:$G,3,0),IFERROR(VLOOKUP($F814,'COMPOSIÇÕES COMPLEMENTARES '!$D:$L,3,0),IFERROR(VLOOKUP($F814,INSUMOS!$A:$D,3,0),""))))</f>
        <v>UN</v>
      </c>
      <c r="I814" s="313">
        <v>2</v>
      </c>
      <c r="J814" s="314">
        <f>IF($F814="","",IFERROR(VLOOKUP($F814,SERVIÇOS!$B:$G,4,0),IFERROR(VLOOKUP($F814,'COMPOSIÇÕES COMPLEMENTARES '!$D:$L,6,0),IFERROR(VLOOKUP($F814,INSUMOS!$A:$D,4,0),""))))</f>
        <v>175.5</v>
      </c>
      <c r="K814" s="314">
        <f>IF($F814="","",IFERROR(VLOOKUP($F814,SERVIÇOS!$B:$G,5,0),IFERROR(VLOOKUP($F814,'COMPOSIÇÕES COMPLEMENTARES '!$D:$L,7,0),0)))</f>
        <v>11.05</v>
      </c>
      <c r="L814" s="314">
        <f t="shared" si="444"/>
        <v>186.55</v>
      </c>
      <c r="M814" s="314">
        <f t="shared" si="445"/>
        <v>351</v>
      </c>
      <c r="N814" s="314">
        <f t="shared" si="446"/>
        <v>22.1</v>
      </c>
      <c r="O814" s="314">
        <f t="shared" si="447"/>
        <v>373.1</v>
      </c>
      <c r="P814" s="314"/>
      <c r="Q814" s="315"/>
      <c r="R814" s="315"/>
      <c r="S814" s="286"/>
      <c r="T814" s="287"/>
      <c r="U814" s="288" t="str">
        <f t="shared" si="448"/>
        <v/>
      </c>
      <c r="V814" s="287"/>
      <c r="W814" s="289" t="str">
        <f t="shared" si="449"/>
        <v/>
      </c>
      <c r="X814" s="287"/>
      <c r="Y814" s="290" t="str">
        <f t="shared" si="450"/>
        <v/>
      </c>
      <c r="Z814" s="291">
        <f ca="1">SUMIF($T$8:Y$1018,"QUANT.",T814:Y814)</f>
        <v>0</v>
      </c>
      <c r="AA814" s="292">
        <f t="shared" ca="1" si="451"/>
        <v>0</v>
      </c>
      <c r="AB814" s="293" t="str">
        <f t="shared" ca="1" si="452"/>
        <v>MEDIR</v>
      </c>
      <c r="AC814" s="294">
        <f t="shared" ca="1" si="453"/>
        <v>2</v>
      </c>
      <c r="AD814" s="294">
        <f t="shared" ca="1" si="454"/>
        <v>373.1</v>
      </c>
      <c r="AE814" s="295"/>
      <c r="AF814" s="295"/>
      <c r="AG814" s="296"/>
      <c r="AH814" s="296"/>
      <c r="AI814" s="296"/>
      <c r="AJ814" s="295"/>
      <c r="AK814" s="295"/>
      <c r="AL814" s="295"/>
      <c r="AM814" s="295"/>
    </row>
    <row r="815" spans="1:39" ht="25.5" x14ac:dyDescent="0.25">
      <c r="A815" s="232">
        <f t="shared" si="426"/>
        <v>815</v>
      </c>
      <c r="B815" s="232"/>
      <c r="C815" s="307" t="str">
        <f t="shared" si="441"/>
        <v>17.15</v>
      </c>
      <c r="D815" s="308">
        <f t="shared" si="442"/>
        <v>17</v>
      </c>
      <c r="E815" s="309" t="str">
        <f t="shared" si="443"/>
        <v>17.15.17</v>
      </c>
      <c r="F815" s="310" t="s">
        <v>12469</v>
      </c>
      <c r="G815" s="311" t="str">
        <f>IF($F815="","",IFERROR(VLOOKUP($F815,SERVIÇOS!$B:$G,2,0),IFERROR(VLOOKUP($F815,'COMPOSIÇÕES COMPLEMENTARES '!$D:$L,2,0),IFERROR(VLOOKUP($F815,INSUMOS!$A:$D,2,0),""))))</f>
        <v>DAMPER DE REGULAGEM DE VAZÃO 450x150MM. MARCA TROPICAL DRV-450x150 (OU EQUIVALENTE (OU SIMILAR - TROX, SEIMMEI, DIFUSAR)</v>
      </c>
      <c r="H815" s="312" t="str">
        <f>IF($F815="","",IFERROR(VLOOKUP($F815,SERVIÇOS!$B:$G,3,0),IFERROR(VLOOKUP($F815,'COMPOSIÇÕES COMPLEMENTARES '!$D:$L,3,0),IFERROR(VLOOKUP($F815,INSUMOS!$A:$D,3,0),""))))</f>
        <v>UN</v>
      </c>
      <c r="I815" s="313">
        <v>1</v>
      </c>
      <c r="J815" s="314">
        <f>IF($F815="","",IFERROR(VLOOKUP($F815,SERVIÇOS!$B:$G,4,0),IFERROR(VLOOKUP($F815,'COMPOSIÇÕES COMPLEMENTARES '!$D:$L,6,0),IFERROR(VLOOKUP($F815,INSUMOS!$A:$D,4,0),""))))</f>
        <v>148.71</v>
      </c>
      <c r="K815" s="314">
        <f>IF($F815="","",IFERROR(VLOOKUP($F815,SERVIÇOS!$B:$G,5,0),IFERROR(VLOOKUP($F815,'COMPOSIÇÕES COMPLEMENTARES '!$D:$L,7,0),0)))</f>
        <v>11.05</v>
      </c>
      <c r="L815" s="314">
        <f t="shared" si="444"/>
        <v>159.76000000000002</v>
      </c>
      <c r="M815" s="314">
        <f t="shared" si="445"/>
        <v>148.71</v>
      </c>
      <c r="N815" s="314">
        <f t="shared" si="446"/>
        <v>11.05</v>
      </c>
      <c r="O815" s="314">
        <f t="shared" si="447"/>
        <v>159.76</v>
      </c>
      <c r="P815" s="314"/>
      <c r="Q815" s="315"/>
      <c r="R815" s="315"/>
      <c r="S815" s="286"/>
      <c r="T815" s="287"/>
      <c r="U815" s="288" t="str">
        <f t="shared" si="448"/>
        <v/>
      </c>
      <c r="V815" s="287"/>
      <c r="W815" s="289" t="str">
        <f t="shared" si="449"/>
        <v/>
      </c>
      <c r="X815" s="287"/>
      <c r="Y815" s="290" t="str">
        <f t="shared" si="450"/>
        <v/>
      </c>
      <c r="Z815" s="291">
        <f ca="1">SUMIF($T$8:Y$1018,"QUANT.",T815:Y815)</f>
        <v>0</v>
      </c>
      <c r="AA815" s="292">
        <f t="shared" ca="1" si="451"/>
        <v>0</v>
      </c>
      <c r="AB815" s="293" t="str">
        <f t="shared" ca="1" si="452"/>
        <v>MEDIR</v>
      </c>
      <c r="AC815" s="294">
        <f t="shared" ca="1" si="453"/>
        <v>1</v>
      </c>
      <c r="AD815" s="294">
        <f t="shared" ca="1" si="454"/>
        <v>159.76</v>
      </c>
      <c r="AE815" s="295"/>
      <c r="AF815" s="295"/>
      <c r="AG815" s="296"/>
      <c r="AH815" s="296"/>
      <c r="AI815" s="296"/>
      <c r="AJ815" s="295"/>
      <c r="AK815" s="295"/>
      <c r="AL815" s="295"/>
      <c r="AM815" s="295"/>
    </row>
    <row r="816" spans="1:39" ht="25.5" x14ac:dyDescent="0.25">
      <c r="A816" s="232">
        <f t="shared" si="426"/>
        <v>816</v>
      </c>
      <c r="B816" s="232"/>
      <c r="C816" s="307" t="str">
        <f t="shared" si="441"/>
        <v>17.15</v>
      </c>
      <c r="D816" s="308">
        <f t="shared" si="442"/>
        <v>18</v>
      </c>
      <c r="E816" s="309" t="str">
        <f t="shared" si="443"/>
        <v>17.15.18</v>
      </c>
      <c r="F816" s="310" t="s">
        <v>12470</v>
      </c>
      <c r="G816" s="311" t="str">
        <f>IF($F816="","",IFERROR(VLOOKUP($F816,SERVIÇOS!$B:$G,2,0),IFERROR(VLOOKUP($F816,'COMPOSIÇÕES COMPLEMENTARES '!$D:$L,2,0),IFERROR(VLOOKUP($F816,INSUMOS!$A:$D,2,0),""))))</f>
        <v>DAMPER DE REGULAGEM DE VAZÃO 450x250MM. MARCA TROPICAL DRV-450x250 (OU EQUIVALENTE (OU SIMILAR - TROX, SEIMMEI, DIFUSAR) -  FORNECIMENTO E INSTALAÇÃO</v>
      </c>
      <c r="H816" s="312" t="str">
        <f>IF($F816="","",IFERROR(VLOOKUP($F816,SERVIÇOS!$B:$G,3,0),IFERROR(VLOOKUP($F816,'COMPOSIÇÕES COMPLEMENTARES '!$D:$L,3,0),IFERROR(VLOOKUP($F816,INSUMOS!$A:$D,3,0),""))))</f>
        <v>UN</v>
      </c>
      <c r="I816" s="313">
        <v>1</v>
      </c>
      <c r="J816" s="314">
        <f>IF($F816="","",IFERROR(VLOOKUP($F816,SERVIÇOS!$B:$G,4,0),IFERROR(VLOOKUP($F816,'COMPOSIÇÕES COMPLEMENTARES '!$D:$L,6,0),IFERROR(VLOOKUP($F816,INSUMOS!$A:$D,4,0),""))))</f>
        <v>245.13</v>
      </c>
      <c r="K816" s="314">
        <f>IF($F816="","",IFERROR(VLOOKUP($F816,SERVIÇOS!$B:$G,5,0),IFERROR(VLOOKUP($F816,'COMPOSIÇÕES COMPLEMENTARES '!$D:$L,7,0),0)))</f>
        <v>11.05</v>
      </c>
      <c r="L816" s="314">
        <f t="shared" si="444"/>
        <v>256.18</v>
      </c>
      <c r="M816" s="314">
        <f t="shared" si="445"/>
        <v>245.13</v>
      </c>
      <c r="N816" s="314">
        <f t="shared" si="446"/>
        <v>11.05</v>
      </c>
      <c r="O816" s="314">
        <f t="shared" si="447"/>
        <v>256.18</v>
      </c>
      <c r="P816" s="314"/>
      <c r="Q816" s="315"/>
      <c r="R816" s="315"/>
      <c r="S816" s="286"/>
      <c r="T816" s="287"/>
      <c r="U816" s="288" t="str">
        <f t="shared" si="448"/>
        <v/>
      </c>
      <c r="V816" s="287"/>
      <c r="W816" s="289" t="str">
        <f t="shared" si="449"/>
        <v/>
      </c>
      <c r="X816" s="287"/>
      <c r="Y816" s="290" t="str">
        <f t="shared" si="450"/>
        <v/>
      </c>
      <c r="Z816" s="291">
        <f ca="1">SUMIF($T$8:Y$1018,"QUANT.",T816:Y816)</f>
        <v>0</v>
      </c>
      <c r="AA816" s="292">
        <f t="shared" ca="1" si="451"/>
        <v>0</v>
      </c>
      <c r="AB816" s="293" t="str">
        <f t="shared" ca="1" si="452"/>
        <v>MEDIR</v>
      </c>
      <c r="AC816" s="294">
        <f t="shared" ca="1" si="453"/>
        <v>1</v>
      </c>
      <c r="AD816" s="294">
        <f t="shared" ca="1" si="454"/>
        <v>256.18</v>
      </c>
      <c r="AE816" s="295"/>
      <c r="AF816" s="295"/>
      <c r="AG816" s="296"/>
      <c r="AH816" s="296"/>
      <c r="AI816" s="296"/>
      <c r="AJ816" s="295"/>
      <c r="AK816" s="295"/>
      <c r="AL816" s="295"/>
      <c r="AM816" s="295"/>
    </row>
    <row r="817" spans="1:39" ht="25.5" x14ac:dyDescent="0.25">
      <c r="A817" s="232">
        <f t="shared" si="426"/>
        <v>817</v>
      </c>
      <c r="B817" s="232"/>
      <c r="C817" s="307" t="str">
        <f t="shared" si="441"/>
        <v>17.15</v>
      </c>
      <c r="D817" s="308">
        <f t="shared" si="442"/>
        <v>19</v>
      </c>
      <c r="E817" s="309" t="str">
        <f t="shared" si="443"/>
        <v>17.15.19</v>
      </c>
      <c r="F817" s="310" t="s">
        <v>12471</v>
      </c>
      <c r="G817" s="311" t="str">
        <f>IF($F817="","",IFERROR(VLOOKUP($F817,SERVIÇOS!$B:$G,2,0),IFERROR(VLOOKUP($F817,'COMPOSIÇÕES COMPLEMENTARES '!$D:$L,2,0),IFERROR(VLOOKUP($F817,INSUMOS!$A:$D,2,0),""))))</f>
        <v>DAMPER DE REGULAGEM DE VAZÃO 500x150MM. MARCA TROPICAL DRV-500x150 (OU EQUIVALENTE (OU SIMILAR - TROX, SEIMMEI, DIFUSAR) -  FORNECIMENTO E INSTALAÇÃO</v>
      </c>
      <c r="H817" s="312" t="str">
        <f>IF($F817="","",IFERROR(VLOOKUP($F817,SERVIÇOS!$B:$G,3,0),IFERROR(VLOOKUP($F817,'COMPOSIÇÕES COMPLEMENTARES '!$D:$L,3,0),IFERROR(VLOOKUP($F817,INSUMOS!$A:$D,3,0),""))))</f>
        <v>UN</v>
      </c>
      <c r="I817" s="313">
        <v>2</v>
      </c>
      <c r="J817" s="314">
        <f>IF($F817="","",IFERROR(VLOOKUP($F817,SERVIÇOS!$B:$G,4,0),IFERROR(VLOOKUP($F817,'COMPOSIÇÕES COMPLEMENTARES '!$D:$L,6,0),IFERROR(VLOOKUP($F817,INSUMOS!$A:$D,4,0),""))))</f>
        <v>164.78</v>
      </c>
      <c r="K817" s="314">
        <f>IF($F817="","",IFERROR(VLOOKUP($F817,SERVIÇOS!$B:$G,5,0),IFERROR(VLOOKUP($F817,'COMPOSIÇÕES COMPLEMENTARES '!$D:$L,7,0),0)))</f>
        <v>11.05</v>
      </c>
      <c r="L817" s="314">
        <f t="shared" si="444"/>
        <v>175.83</v>
      </c>
      <c r="M817" s="314">
        <f t="shared" si="445"/>
        <v>329.56</v>
      </c>
      <c r="N817" s="314">
        <f t="shared" si="446"/>
        <v>22.1</v>
      </c>
      <c r="O817" s="314">
        <f t="shared" si="447"/>
        <v>351.66</v>
      </c>
      <c r="P817" s="314"/>
      <c r="Q817" s="315"/>
      <c r="R817" s="315"/>
      <c r="S817" s="286"/>
      <c r="T817" s="287"/>
      <c r="U817" s="288" t="str">
        <f t="shared" si="448"/>
        <v/>
      </c>
      <c r="V817" s="287"/>
      <c r="W817" s="289" t="str">
        <f t="shared" si="449"/>
        <v/>
      </c>
      <c r="X817" s="287"/>
      <c r="Y817" s="290" t="str">
        <f t="shared" si="450"/>
        <v/>
      </c>
      <c r="Z817" s="291">
        <f ca="1">SUMIF($T$8:Y$1018,"QUANT.",T817:Y817)</f>
        <v>0</v>
      </c>
      <c r="AA817" s="292">
        <f t="shared" ca="1" si="451"/>
        <v>0</v>
      </c>
      <c r="AB817" s="293" t="str">
        <f t="shared" ca="1" si="452"/>
        <v>MEDIR</v>
      </c>
      <c r="AC817" s="294">
        <f t="shared" ca="1" si="453"/>
        <v>2</v>
      </c>
      <c r="AD817" s="294">
        <f t="shared" ca="1" si="454"/>
        <v>351.66</v>
      </c>
      <c r="AE817" s="295"/>
      <c r="AF817" s="295"/>
      <c r="AG817" s="296"/>
      <c r="AH817" s="296"/>
      <c r="AI817" s="296"/>
      <c r="AJ817" s="295"/>
      <c r="AK817" s="295"/>
      <c r="AL817" s="295"/>
      <c r="AM817" s="295"/>
    </row>
    <row r="818" spans="1:39" x14ac:dyDescent="0.25">
      <c r="A818" s="232">
        <f t="shared" si="426"/>
        <v>818</v>
      </c>
      <c r="B818" s="232"/>
      <c r="C818" s="316" t="str">
        <f>+E818</f>
        <v>17.16</v>
      </c>
      <c r="D818" s="297"/>
      <c r="E818" s="317" t="s">
        <v>12472</v>
      </c>
      <c r="F818" s="317"/>
      <c r="G818" s="327" t="s">
        <v>12473</v>
      </c>
      <c r="H818" s="317"/>
      <c r="I818" s="319"/>
      <c r="J818" s="317"/>
      <c r="K818" s="317"/>
      <c r="L818" s="317"/>
      <c r="M818" s="317"/>
      <c r="N818" s="317"/>
      <c r="O818" s="317"/>
      <c r="P818" s="317"/>
      <c r="Q818" s="320"/>
      <c r="R818" s="306"/>
      <c r="S818" s="286"/>
      <c r="T818" s="287"/>
      <c r="U818" s="288" t="str">
        <f t="shared" si="448"/>
        <v/>
      </c>
      <c r="V818" s="287"/>
      <c r="W818" s="289" t="str">
        <f t="shared" si="449"/>
        <v/>
      </c>
      <c r="X818" s="287"/>
      <c r="Y818" s="290" t="str">
        <f t="shared" si="450"/>
        <v/>
      </c>
      <c r="Z818" s="291">
        <f ca="1">SUMIF($T$8:Y$1018,"QUANT.",T818:Y818)</f>
        <v>0</v>
      </c>
      <c r="AA818" s="292">
        <f t="shared" ca="1" si="451"/>
        <v>0</v>
      </c>
      <c r="AB818" s="293" t="str">
        <f t="shared" si="452"/>
        <v/>
      </c>
      <c r="AC818" s="294">
        <f t="shared" ca="1" si="453"/>
        <v>0</v>
      </c>
      <c r="AD818" s="294">
        <f t="shared" ca="1" si="454"/>
        <v>0</v>
      </c>
      <c r="AE818" s="295"/>
      <c r="AF818" s="295"/>
      <c r="AG818" s="296"/>
      <c r="AH818" s="296"/>
      <c r="AI818" s="296"/>
      <c r="AJ818" s="295"/>
      <c r="AK818" s="295"/>
      <c r="AL818" s="295"/>
      <c r="AM818" s="295"/>
    </row>
    <row r="819" spans="1:39" ht="51" x14ac:dyDescent="0.25">
      <c r="A819" s="232">
        <f t="shared" si="426"/>
        <v>819</v>
      </c>
      <c r="B819" s="232"/>
      <c r="C819" s="307" t="str">
        <f>+C818</f>
        <v>17.16</v>
      </c>
      <c r="D819" s="308">
        <f>1+D818</f>
        <v>1</v>
      </c>
      <c r="E819" s="309" t="str">
        <f>C819&amp;"."&amp;D819</f>
        <v>17.16.1</v>
      </c>
      <c r="F819" s="310" t="s">
        <v>12474</v>
      </c>
      <c r="G819" s="311" t="str">
        <f>IF($F819="","",IFERROR(VLOOKUP($F819,SERVIÇOS!$B:$G,2,0),IFERROR(VLOOKUP($F819,'COMPOSIÇÕES COMPLEMENTARES '!$D:$L,2,0),IFERROR(VLOOKUP($F819,INSUMOS!$A:$D,2,0),""))))</f>
        <v>DAMPER CORTA FOGO E FUMAÇA, EM CHAPA DE AÇO ZINCADO CONFORME NBR 7008 ZC, REVESTIMENTO B, DE FECHAMENTO AUTOMÁTICO, DE TEMPO DE RESISTÊNCIA AO FOGO DE 90 MINUTOS, DIMENSÕES 750X300MM COM ELEMENTO FUSÍVEL 72°C, CHAVE FIM DE CURSO E SOLENÓIDE DE DISPARO E SOLENÓIDE. REFERÊNCIA: TROX FKA-TI-BR-90 OU EQUIVALENTE TÉCNICO</v>
      </c>
      <c r="H819" s="312" t="str">
        <f>IF($F819="","",IFERROR(VLOOKUP($F819,SERVIÇOS!$B:$G,3,0),IFERROR(VLOOKUP($F819,'COMPOSIÇÕES COMPLEMENTARES '!$D:$L,3,0),IFERROR(VLOOKUP($F819,INSUMOS!$A:$D,3,0),""))))</f>
        <v>UN</v>
      </c>
      <c r="I819" s="313">
        <v>1</v>
      </c>
      <c r="J819" s="314">
        <f>IF($F819="","",IFERROR(VLOOKUP($F819,SERVIÇOS!$B:$G,4,0),IFERROR(VLOOKUP($F819,'COMPOSIÇÕES COMPLEMENTARES '!$D:$L,6,0),IFERROR(VLOOKUP($F819,INSUMOS!$A:$D,4,0),""))))</f>
        <v>1383.67</v>
      </c>
      <c r="K819" s="314">
        <f>IF($F819="","",IFERROR(VLOOKUP($F819,SERVIÇOS!$B:$G,5,0),IFERROR(VLOOKUP($F819,'COMPOSIÇÕES COMPLEMENTARES '!$D:$L,7,0),0)))</f>
        <v>16.96</v>
      </c>
      <c r="L819" s="314">
        <f>IF(I819="","",J819+K819)</f>
        <v>1400.63</v>
      </c>
      <c r="M819" s="314">
        <f>IF(I819="","",TRUNC((I819*J819),2))</f>
        <v>1383.67</v>
      </c>
      <c r="N819" s="314">
        <f>IF(I819="","",TRUNC((I819*K819),2))</f>
        <v>16.96</v>
      </c>
      <c r="O819" s="314">
        <f>IF(I819="","",TRUNC((M819+N819),2))</f>
        <v>1400.63</v>
      </c>
      <c r="P819" s="314"/>
      <c r="Q819" s="315"/>
      <c r="R819" s="315"/>
      <c r="S819" s="286"/>
      <c r="T819" s="287"/>
      <c r="U819" s="288" t="str">
        <f t="shared" si="448"/>
        <v/>
      </c>
      <c r="V819" s="287"/>
      <c r="W819" s="289" t="str">
        <f t="shared" si="449"/>
        <v/>
      </c>
      <c r="X819" s="287"/>
      <c r="Y819" s="290" t="str">
        <f t="shared" si="450"/>
        <v/>
      </c>
      <c r="Z819" s="291">
        <f ca="1">SUMIF($T$8:Y$1018,"QUANT.",T819:Y819)</f>
        <v>0</v>
      </c>
      <c r="AA819" s="292">
        <f t="shared" ca="1" si="451"/>
        <v>0</v>
      </c>
      <c r="AB819" s="293" t="str">
        <f t="shared" ca="1" si="452"/>
        <v>MEDIR</v>
      </c>
      <c r="AC819" s="294">
        <f t="shared" ca="1" si="453"/>
        <v>1</v>
      </c>
      <c r="AD819" s="294">
        <f t="shared" ca="1" si="454"/>
        <v>1400.63</v>
      </c>
      <c r="AE819" s="295"/>
      <c r="AF819" s="295"/>
      <c r="AG819" s="296"/>
      <c r="AH819" s="296"/>
      <c r="AI819" s="296"/>
      <c r="AJ819" s="295"/>
      <c r="AK819" s="295"/>
      <c r="AL819" s="295"/>
      <c r="AM819" s="295"/>
    </row>
    <row r="820" spans="1:39" ht="51" x14ac:dyDescent="0.25">
      <c r="A820" s="232">
        <f t="shared" si="426"/>
        <v>820</v>
      </c>
      <c r="B820" s="232"/>
      <c r="C820" s="307" t="str">
        <f>+C819</f>
        <v>17.16</v>
      </c>
      <c r="D820" s="308">
        <f>1+D819</f>
        <v>2</v>
      </c>
      <c r="E820" s="309" t="str">
        <f>C820&amp;"."&amp;D820</f>
        <v>17.16.2</v>
      </c>
      <c r="F820" s="310" t="s">
        <v>12475</v>
      </c>
      <c r="G820" s="311" t="str">
        <f>IF($F820="","",IFERROR(VLOOKUP($F820,SERVIÇOS!$B:$G,2,0),IFERROR(VLOOKUP($F820,'COMPOSIÇÕES COMPLEMENTARES '!$D:$L,2,0),IFERROR(VLOOKUP($F820,INSUMOS!$A:$D,2,0),""))))</f>
        <v>DAMPER CORTA FOGO E FUMAÇA, EM CHAPA DE AÇO ZINCADO CONFORME NBR 7008 ZC, REVESTIMENTO B, DE FECHAMENTO AUTOMÁTICO, DE TEMPO DE RESISTÊNCIA AO FOGO DE 90 MINUTOS, DIMENSÕES 300X150MM COM ELEMENTO FUSÍVEL 72°C, CHAVE FIM DE CURSO E SOLENÓIDE DE DISPARO E SOLENÓIDE. REFERÊNCIA: TROX FKA-TI-BR-90 OU EQUIVALENTE TÉCNICO</v>
      </c>
      <c r="H820" s="312" t="str">
        <f>IF($F820="","",IFERROR(VLOOKUP($F820,SERVIÇOS!$B:$G,3,0),IFERROR(VLOOKUP($F820,'COMPOSIÇÕES COMPLEMENTARES '!$D:$L,3,0),IFERROR(VLOOKUP($F820,INSUMOS!$A:$D,3,0),""))))</f>
        <v>UN</v>
      </c>
      <c r="I820" s="313">
        <v>5</v>
      </c>
      <c r="J820" s="314">
        <f>IF($F820="","",IFERROR(VLOOKUP($F820,SERVIÇOS!$B:$G,4,0),IFERROR(VLOOKUP($F820,'COMPOSIÇÕES COMPLEMENTARES '!$D:$L,6,0),IFERROR(VLOOKUP($F820,INSUMOS!$A:$D,4,0),""))))</f>
        <v>279.57</v>
      </c>
      <c r="K820" s="314">
        <f>IF($F820="","",IFERROR(VLOOKUP($F820,SERVIÇOS!$B:$G,5,0),IFERROR(VLOOKUP($F820,'COMPOSIÇÕES COMPLEMENTARES '!$D:$L,7,0),0)))</f>
        <v>11.05</v>
      </c>
      <c r="L820" s="314">
        <f>IF(I820="","",J820+K820)</f>
        <v>290.62</v>
      </c>
      <c r="M820" s="314">
        <f>IF(I820="","",TRUNC((I820*J820),2))</f>
        <v>1397.85</v>
      </c>
      <c r="N820" s="314">
        <f>IF(I820="","",TRUNC((I820*K820),2))</f>
        <v>55.25</v>
      </c>
      <c r="O820" s="314">
        <f>IF(I820="","",TRUNC((M820+N820),2))</f>
        <v>1453.1</v>
      </c>
      <c r="P820" s="314"/>
      <c r="Q820" s="315"/>
      <c r="R820" s="315"/>
      <c r="S820" s="286"/>
      <c r="T820" s="287"/>
      <c r="U820" s="288" t="str">
        <f t="shared" si="448"/>
        <v/>
      </c>
      <c r="V820" s="287"/>
      <c r="W820" s="289" t="str">
        <f t="shared" si="449"/>
        <v/>
      </c>
      <c r="X820" s="287"/>
      <c r="Y820" s="290" t="str">
        <f t="shared" si="450"/>
        <v/>
      </c>
      <c r="Z820" s="291">
        <f ca="1">SUMIF($T$8:Y$1018,"QUANT.",T820:Y820)</f>
        <v>0</v>
      </c>
      <c r="AA820" s="292">
        <f t="shared" ca="1" si="451"/>
        <v>0</v>
      </c>
      <c r="AB820" s="293" t="str">
        <f t="shared" ca="1" si="452"/>
        <v>MEDIR</v>
      </c>
      <c r="AC820" s="294">
        <f t="shared" ca="1" si="453"/>
        <v>5</v>
      </c>
      <c r="AD820" s="294">
        <f t="shared" ca="1" si="454"/>
        <v>1453.1</v>
      </c>
      <c r="AE820" s="295"/>
      <c r="AF820" s="295"/>
      <c r="AG820" s="296"/>
      <c r="AH820" s="296"/>
      <c r="AI820" s="296"/>
      <c r="AJ820" s="295"/>
      <c r="AK820" s="295"/>
      <c r="AL820" s="295"/>
      <c r="AM820" s="295"/>
    </row>
    <row r="821" spans="1:39" ht="51" x14ac:dyDescent="0.25">
      <c r="A821" s="232">
        <f t="shared" si="426"/>
        <v>821</v>
      </c>
      <c r="B821" s="232"/>
      <c r="C821" s="307" t="str">
        <f>+C820</f>
        <v>17.16</v>
      </c>
      <c r="D821" s="308">
        <f>1+D820</f>
        <v>3</v>
      </c>
      <c r="E821" s="309" t="str">
        <f>C821&amp;"."&amp;D821</f>
        <v>17.16.3</v>
      </c>
      <c r="F821" s="310" t="s">
        <v>12476</v>
      </c>
      <c r="G821" s="311" t="str">
        <f>IF($F821="","",IFERROR(VLOOKUP($F821,SERVIÇOS!$B:$G,2,0),IFERROR(VLOOKUP($F821,'COMPOSIÇÕES COMPLEMENTARES '!$D:$L,2,0),IFERROR(VLOOKUP($F821,INSUMOS!$A:$D,2,0),""))))</f>
        <v>DAMPER CORTA FOGO E FUMAÇA, EM CHAPA DE AÇO ZINCADO CONFORME NBR 7008 ZC, REVESTIMENTO B, DE FECHAMENTO AUTOMÁTICO, DE TEMPO DE RESISTÊNCIA AO FOGO DE 90 MINUTOS, DIMENSÕES 300X250MM COM ELEMENTO FUSÍVEL 72°C, CHAVE FIM DE CURSO E SOLENÓIDE DE DISPARO E SOLENÓIDE. REFERÊNCIA: TROX FKA-TI-BR-90 OU EQUIVALENTE TÉCNICO</v>
      </c>
      <c r="H821" s="312" t="str">
        <f>IF($F821="","",IFERROR(VLOOKUP($F821,SERVIÇOS!$B:$G,3,0),IFERROR(VLOOKUP($F821,'COMPOSIÇÕES COMPLEMENTARES '!$D:$L,3,0),IFERROR(VLOOKUP($F821,INSUMOS!$A:$D,3,0),""))))</f>
        <v>UN</v>
      </c>
      <c r="I821" s="313">
        <v>1</v>
      </c>
      <c r="J821" s="314">
        <f>IF($F821="","",IFERROR(VLOOKUP($F821,SERVIÇOS!$B:$G,4,0),IFERROR(VLOOKUP($F821,'COMPOSIÇÕES COMPLEMENTARES '!$D:$L,6,0),IFERROR(VLOOKUP($F821,INSUMOS!$A:$D,4,0),""))))</f>
        <v>464.24</v>
      </c>
      <c r="K821" s="314">
        <f>IF($F821="","",IFERROR(VLOOKUP($F821,SERVIÇOS!$B:$G,5,0),IFERROR(VLOOKUP($F821,'COMPOSIÇÕES COMPLEMENTARES '!$D:$L,7,0),0)))</f>
        <v>13.81</v>
      </c>
      <c r="L821" s="314">
        <f>IF(I821="","",J821+K821)</f>
        <v>478.05</v>
      </c>
      <c r="M821" s="314">
        <f>IF(I821="","",TRUNC((I821*J821),2))</f>
        <v>464.24</v>
      </c>
      <c r="N821" s="314">
        <f>IF(I821="","",TRUNC((I821*K821),2))</f>
        <v>13.81</v>
      </c>
      <c r="O821" s="314">
        <f>IF(I821="","",TRUNC((M821+N821),2))</f>
        <v>478.05</v>
      </c>
      <c r="P821" s="314"/>
      <c r="Q821" s="315"/>
      <c r="R821" s="315"/>
      <c r="S821" s="286"/>
      <c r="T821" s="287"/>
      <c r="U821" s="288" t="str">
        <f t="shared" si="448"/>
        <v/>
      </c>
      <c r="V821" s="287"/>
      <c r="W821" s="289" t="str">
        <f t="shared" si="449"/>
        <v/>
      </c>
      <c r="X821" s="287"/>
      <c r="Y821" s="290" t="str">
        <f t="shared" si="450"/>
        <v/>
      </c>
      <c r="Z821" s="291">
        <f ca="1">SUMIF($T$8:Y$1018,"QUANT.",T821:Y821)</f>
        <v>0</v>
      </c>
      <c r="AA821" s="292">
        <f t="shared" ca="1" si="451"/>
        <v>0</v>
      </c>
      <c r="AB821" s="293" t="str">
        <f t="shared" ca="1" si="452"/>
        <v>MEDIR</v>
      </c>
      <c r="AC821" s="294">
        <f t="shared" ca="1" si="453"/>
        <v>1</v>
      </c>
      <c r="AD821" s="294">
        <f t="shared" ca="1" si="454"/>
        <v>478.05</v>
      </c>
      <c r="AE821" s="295"/>
      <c r="AF821" s="295"/>
      <c r="AG821" s="296"/>
      <c r="AH821" s="296"/>
      <c r="AI821" s="296"/>
      <c r="AJ821" s="295"/>
      <c r="AK821" s="295"/>
      <c r="AL821" s="295"/>
      <c r="AM821" s="295"/>
    </row>
    <row r="822" spans="1:39" ht="51" x14ac:dyDescent="0.25">
      <c r="A822" s="232">
        <f t="shared" si="426"/>
        <v>822</v>
      </c>
      <c r="B822" s="232"/>
      <c r="C822" s="307" t="str">
        <f>+C821</f>
        <v>17.16</v>
      </c>
      <c r="D822" s="308">
        <f>1+D821</f>
        <v>4</v>
      </c>
      <c r="E822" s="309" t="str">
        <f>C822&amp;"."&amp;D822</f>
        <v>17.16.4</v>
      </c>
      <c r="F822" s="310" t="s">
        <v>12477</v>
      </c>
      <c r="G822" s="311" t="str">
        <f>IF($F822="","",IFERROR(VLOOKUP($F822,SERVIÇOS!$B:$G,2,0),IFERROR(VLOOKUP($F822,'COMPOSIÇÕES COMPLEMENTARES '!$D:$L,2,0),IFERROR(VLOOKUP($F822,INSUMOS!$A:$D,2,0),""))))</f>
        <v>DAMPER CORTA FOGO E FUMAÇA, EM CHAPA DE AÇO ZINCADO CONFORME NBR 7008 ZC, REVESTIMENTO B, DE FECHAMENTO AUTOMÁTICO, DE TEMPO DE RESISTÊNCIA AO FOGO DE 90 MINUTOS, DIMENSÕES 450X250MM COM ELEMENTO FUSÍVEL 72°C, CHAVE FIM DE CURSO E SOLENÓIDE DE DISPARO E SOLENÓIDE. REFERÊNCIA: TROX FKA-TI-BR-90 OU EQUIVALENTE TÉCNICO</v>
      </c>
      <c r="H822" s="312" t="str">
        <f>IF($F822="","",IFERROR(VLOOKUP($F822,SERVIÇOS!$B:$G,3,0),IFERROR(VLOOKUP($F822,'COMPOSIÇÕES COMPLEMENTARES '!$D:$L,3,0),IFERROR(VLOOKUP($F822,INSUMOS!$A:$D,3,0),""))))</f>
        <v>UN</v>
      </c>
      <c r="I822" s="313">
        <v>1</v>
      </c>
      <c r="J822" s="314">
        <f>IF($F822="","",IFERROR(VLOOKUP($F822,SERVIÇOS!$B:$G,4,0),IFERROR(VLOOKUP($F822,'COMPOSIÇÕES COMPLEMENTARES '!$D:$L,6,0),IFERROR(VLOOKUP($F822,INSUMOS!$A:$D,4,0),""))))</f>
        <v>693.61</v>
      </c>
      <c r="K822" s="314">
        <f>IF($F822="","",IFERROR(VLOOKUP($F822,SERVIÇOS!$B:$G,5,0),IFERROR(VLOOKUP($F822,'COMPOSIÇÕES COMPLEMENTARES '!$D:$L,7,0),0)))</f>
        <v>13.26</v>
      </c>
      <c r="L822" s="314">
        <f>IF(I822="","",J822+K822)</f>
        <v>706.87</v>
      </c>
      <c r="M822" s="314">
        <f>IF(I822="","",TRUNC((I822*J822),2))</f>
        <v>693.61</v>
      </c>
      <c r="N822" s="314">
        <f>IF(I822="","",TRUNC((I822*K822),2))</f>
        <v>13.26</v>
      </c>
      <c r="O822" s="314">
        <f>IF(I822="","",TRUNC((M822+N822),2))</f>
        <v>706.87</v>
      </c>
      <c r="P822" s="314"/>
      <c r="Q822" s="315"/>
      <c r="R822" s="315"/>
      <c r="S822" s="286"/>
      <c r="T822" s="287"/>
      <c r="U822" s="288" t="str">
        <f t="shared" si="448"/>
        <v/>
      </c>
      <c r="V822" s="287"/>
      <c r="W822" s="289" t="str">
        <f t="shared" si="449"/>
        <v/>
      </c>
      <c r="X822" s="287"/>
      <c r="Y822" s="290" t="str">
        <f t="shared" si="450"/>
        <v/>
      </c>
      <c r="Z822" s="291">
        <f ca="1">SUMIF($T$8:Y$1018,"QUANT.",T822:Y822)</f>
        <v>0</v>
      </c>
      <c r="AA822" s="292">
        <f t="shared" ca="1" si="451"/>
        <v>0</v>
      </c>
      <c r="AB822" s="293" t="str">
        <f t="shared" ca="1" si="452"/>
        <v>MEDIR</v>
      </c>
      <c r="AC822" s="294">
        <f t="shared" ca="1" si="453"/>
        <v>1</v>
      </c>
      <c r="AD822" s="294">
        <f t="shared" ca="1" si="454"/>
        <v>706.87</v>
      </c>
      <c r="AE822" s="295"/>
      <c r="AF822" s="295"/>
      <c r="AG822" s="296"/>
      <c r="AH822" s="296"/>
      <c r="AI822" s="296"/>
      <c r="AJ822" s="295"/>
      <c r="AK822" s="295"/>
      <c r="AL822" s="295"/>
      <c r="AM822" s="295"/>
    </row>
    <row r="823" spans="1:39" x14ac:dyDescent="0.25">
      <c r="A823" s="232">
        <f t="shared" si="426"/>
        <v>823</v>
      </c>
      <c r="B823" s="232"/>
      <c r="C823" s="316" t="str">
        <f>+E823</f>
        <v>17.17</v>
      </c>
      <c r="D823" s="297"/>
      <c r="E823" s="317" t="s">
        <v>12478</v>
      </c>
      <c r="F823" s="317"/>
      <c r="G823" s="327" t="s">
        <v>12479</v>
      </c>
      <c r="H823" s="317"/>
      <c r="I823" s="344"/>
      <c r="J823" s="317"/>
      <c r="K823" s="317"/>
      <c r="L823" s="317"/>
      <c r="M823" s="317"/>
      <c r="N823" s="317"/>
      <c r="O823" s="317"/>
      <c r="P823" s="317"/>
      <c r="Q823" s="320"/>
      <c r="R823" s="306"/>
      <c r="S823" s="286"/>
      <c r="T823" s="287"/>
      <c r="U823" s="288" t="str">
        <f t="shared" si="448"/>
        <v/>
      </c>
      <c r="V823" s="287"/>
      <c r="W823" s="289" t="str">
        <f t="shared" si="449"/>
        <v/>
      </c>
      <c r="X823" s="287"/>
      <c r="Y823" s="290" t="str">
        <f t="shared" si="450"/>
        <v/>
      </c>
      <c r="Z823" s="291">
        <f ca="1">SUMIF($T$8:Y$1018,"QUANT.",T823:Y823)</f>
        <v>0</v>
      </c>
      <c r="AA823" s="292">
        <f t="shared" ca="1" si="451"/>
        <v>0</v>
      </c>
      <c r="AB823" s="293" t="str">
        <f t="shared" si="452"/>
        <v/>
      </c>
      <c r="AC823" s="294">
        <f t="shared" ca="1" si="453"/>
        <v>0</v>
      </c>
      <c r="AD823" s="294">
        <f t="shared" ca="1" si="454"/>
        <v>0</v>
      </c>
      <c r="AE823" s="295"/>
      <c r="AF823" s="295"/>
      <c r="AG823" s="296"/>
      <c r="AH823" s="296"/>
      <c r="AI823" s="296"/>
      <c r="AJ823" s="295"/>
      <c r="AK823" s="295"/>
      <c r="AL823" s="295"/>
      <c r="AM823" s="295"/>
    </row>
    <row r="824" spans="1:39" ht="38.25" x14ac:dyDescent="0.25">
      <c r="A824" s="232">
        <f t="shared" si="426"/>
        <v>824</v>
      </c>
      <c r="B824" s="232"/>
      <c r="C824" s="307" t="str">
        <f>+C823</f>
        <v>17.17</v>
      </c>
      <c r="D824" s="308">
        <f>1+D823</f>
        <v>1</v>
      </c>
      <c r="E824" s="309" t="str">
        <f>C824&amp;"."&amp;D824</f>
        <v>17.17.1</v>
      </c>
      <c r="F824" s="310" t="s">
        <v>12480</v>
      </c>
      <c r="G824" s="311" t="str">
        <f>IF($F824="","",IFERROR(VLOOKUP($F824,SERVIÇOS!$B:$G,2,0),IFERROR(VLOOKUP($F824,'COMPOSIÇÕES COMPLEMENTARES '!$D:$L,2,0),IFERROR(VLOOKUP($F824,INSUMOS!$A:$D,2,0),""))))</f>
        <v>DUTO EM CHAPA DE AÇO GALVANIZADO Nº26, ESPESSURA 0,50MM COM ISOLAMENTO, PARA AR CONDICIONADO, COM SISTEMA DE VEDAÇÃO ESTANQUE, MONTADO COM SISTEMA FLANGEADO, REFERÊNCIA TDC POWERMATIC</v>
      </c>
      <c r="H824" s="312" t="str">
        <f>IF($F824="","",IFERROR(VLOOKUP($F824,SERVIÇOS!$B:$G,3,0),IFERROR(VLOOKUP($F824,'COMPOSIÇÕES COMPLEMENTARES '!$D:$L,3,0),IFERROR(VLOOKUP($F824,INSUMOS!$A:$D,3,0),""))))</f>
        <v>KG</v>
      </c>
      <c r="I824" s="313">
        <v>320</v>
      </c>
      <c r="J824" s="314">
        <f>IF($F824="","",IFERROR(VLOOKUP($F824,SERVIÇOS!$B:$G,4,0),IFERROR(VLOOKUP($F824,'COMPOSIÇÕES COMPLEMENTARES '!$D:$L,6,0),IFERROR(VLOOKUP($F824,INSUMOS!$A:$D,4,0),""))))</f>
        <v>35.700000000000003</v>
      </c>
      <c r="K824" s="314">
        <f>IF($F824="","",IFERROR(VLOOKUP($F824,SERVIÇOS!$B:$G,5,0),IFERROR(VLOOKUP($F824,'COMPOSIÇÕES COMPLEMENTARES '!$D:$L,7,0),0)))</f>
        <v>30.51</v>
      </c>
      <c r="L824" s="314">
        <f>IF(I824="","",J824+K824)</f>
        <v>66.210000000000008</v>
      </c>
      <c r="M824" s="314">
        <f>IF(I824="","",TRUNC((I824*J824),2))</f>
        <v>11424</v>
      </c>
      <c r="N824" s="314">
        <f>IF(I824="","",TRUNC((I824*K824),2))</f>
        <v>9763.2000000000007</v>
      </c>
      <c r="O824" s="314">
        <f>IF(I824="","",TRUNC((M824+N824),2))</f>
        <v>21187.200000000001</v>
      </c>
      <c r="P824" s="314"/>
      <c r="Q824" s="315"/>
      <c r="R824" s="315"/>
      <c r="S824" s="286"/>
      <c r="T824" s="287"/>
      <c r="U824" s="288" t="str">
        <f t="shared" si="448"/>
        <v/>
      </c>
      <c r="V824" s="287"/>
      <c r="W824" s="289" t="str">
        <f t="shared" si="449"/>
        <v/>
      </c>
      <c r="X824" s="287"/>
      <c r="Y824" s="290" t="str">
        <f t="shared" si="450"/>
        <v/>
      </c>
      <c r="Z824" s="291">
        <f ca="1">SUMIF($T$8:Y$1018,"QUANT.",T824:Y824)</f>
        <v>0</v>
      </c>
      <c r="AA824" s="292">
        <f t="shared" ca="1" si="451"/>
        <v>0</v>
      </c>
      <c r="AB824" s="293" t="str">
        <f t="shared" ca="1" si="452"/>
        <v>MEDIR</v>
      </c>
      <c r="AC824" s="294">
        <f t="shared" ca="1" si="453"/>
        <v>320</v>
      </c>
      <c r="AD824" s="294">
        <f t="shared" ca="1" si="454"/>
        <v>21187.200000000001</v>
      </c>
      <c r="AE824" s="295"/>
      <c r="AF824" s="295"/>
      <c r="AG824" s="296"/>
      <c r="AH824" s="296"/>
      <c r="AI824" s="296"/>
      <c r="AJ824" s="295"/>
      <c r="AK824" s="295"/>
      <c r="AL824" s="295"/>
      <c r="AM824" s="295"/>
    </row>
    <row r="825" spans="1:39" ht="38.25" x14ac:dyDescent="0.25">
      <c r="A825" s="232">
        <f t="shared" si="426"/>
        <v>825</v>
      </c>
      <c r="B825" s="232"/>
      <c r="C825" s="307" t="str">
        <f>+C824</f>
        <v>17.17</v>
      </c>
      <c r="D825" s="308">
        <f>1+D824</f>
        <v>2</v>
      </c>
      <c r="E825" s="309" t="str">
        <f>C825&amp;"."&amp;D825</f>
        <v>17.17.2</v>
      </c>
      <c r="F825" s="310" t="s">
        <v>12481</v>
      </c>
      <c r="G825" s="311" t="str">
        <f>IF($F825="","",IFERROR(VLOOKUP($F825,SERVIÇOS!$B:$G,2,0),IFERROR(VLOOKUP($F825,'COMPOSIÇÕES COMPLEMENTARES '!$D:$L,2,0),IFERROR(VLOOKUP($F825,INSUMOS!$A:$D,2,0),""))))</f>
        <v xml:space="preserve">DUTO EM CHAPA DE AÇO GALVANIZADO Nº24, ESPESSURA 0,64MM COM ISOLAMENTO, PARA AR CONDICIONADO, COM SISTEMA DE VEDAÇÃO ESTANQUE, MONTADO COM SISTEMA FLANGEADO, REFERÊNCIA TDC POWERMATIC </v>
      </c>
      <c r="H825" s="312" t="str">
        <f>IF($F825="","",IFERROR(VLOOKUP($F825,SERVIÇOS!$B:$G,3,0),IFERROR(VLOOKUP($F825,'COMPOSIÇÕES COMPLEMENTARES '!$D:$L,3,0),IFERROR(VLOOKUP($F825,INSUMOS!$A:$D,3,0),""))))</f>
        <v>KG</v>
      </c>
      <c r="I825" s="313">
        <v>1120</v>
      </c>
      <c r="J825" s="314">
        <f>IF($F825="","",IFERROR(VLOOKUP($F825,SERVIÇOS!$B:$G,4,0),IFERROR(VLOOKUP($F825,'COMPOSIÇÕES COMPLEMENTARES '!$D:$L,6,0),IFERROR(VLOOKUP($F825,INSUMOS!$A:$D,4,0),""))))</f>
        <v>33.979999999999997</v>
      </c>
      <c r="K825" s="314">
        <f>IF($F825="","",IFERROR(VLOOKUP($F825,SERVIÇOS!$B:$G,5,0),IFERROR(VLOOKUP($F825,'COMPOSIÇÕES COMPLEMENTARES '!$D:$L,7,0),0)))</f>
        <v>30.51</v>
      </c>
      <c r="L825" s="314">
        <f>IF(I825="","",J825+K825)</f>
        <v>64.489999999999995</v>
      </c>
      <c r="M825" s="314">
        <f>IF(I825="","",TRUNC((I825*J825),2))</f>
        <v>38057.599999999999</v>
      </c>
      <c r="N825" s="314">
        <f>IF(I825="","",TRUNC((I825*K825),2))</f>
        <v>34171.199999999997</v>
      </c>
      <c r="O825" s="314">
        <f>IF(I825="","",TRUNC((M825+N825),2))</f>
        <v>72228.800000000003</v>
      </c>
      <c r="P825" s="314"/>
      <c r="Q825" s="315"/>
      <c r="R825" s="315"/>
      <c r="S825" s="286"/>
      <c r="T825" s="287"/>
      <c r="U825" s="288" t="str">
        <f t="shared" si="448"/>
        <v/>
      </c>
      <c r="V825" s="287"/>
      <c r="W825" s="289" t="str">
        <f t="shared" si="449"/>
        <v/>
      </c>
      <c r="X825" s="287"/>
      <c r="Y825" s="290" t="str">
        <f t="shared" si="450"/>
        <v/>
      </c>
      <c r="Z825" s="291">
        <f ca="1">SUMIF($T$8:Y$1018,"QUANT.",T825:Y825)</f>
        <v>0</v>
      </c>
      <c r="AA825" s="292">
        <f t="shared" ca="1" si="451"/>
        <v>0</v>
      </c>
      <c r="AB825" s="293" t="str">
        <f t="shared" ca="1" si="452"/>
        <v>MEDIR</v>
      </c>
      <c r="AC825" s="294">
        <f t="shared" ca="1" si="453"/>
        <v>1120</v>
      </c>
      <c r="AD825" s="294">
        <f t="shared" ca="1" si="454"/>
        <v>72228.800000000003</v>
      </c>
      <c r="AE825" s="295"/>
      <c r="AF825" s="295"/>
      <c r="AG825" s="296"/>
      <c r="AH825" s="296"/>
      <c r="AI825" s="296"/>
      <c r="AJ825" s="295"/>
      <c r="AK825" s="295"/>
      <c r="AL825" s="295"/>
      <c r="AM825" s="295"/>
    </row>
    <row r="826" spans="1:39" ht="38.25" x14ac:dyDescent="0.25">
      <c r="A826" s="232">
        <f t="shared" si="426"/>
        <v>826</v>
      </c>
      <c r="B826" s="232"/>
      <c r="C826" s="307" t="str">
        <f>+C825</f>
        <v>17.17</v>
      </c>
      <c r="D826" s="308">
        <f>1+D825</f>
        <v>3</v>
      </c>
      <c r="E826" s="309" t="str">
        <f>C826&amp;"."&amp;D826</f>
        <v>17.17.3</v>
      </c>
      <c r="F826" s="310" t="s">
        <v>12482</v>
      </c>
      <c r="G826" s="311" t="str">
        <f>IF($F826="","",IFERROR(VLOOKUP($F826,SERVIÇOS!$B:$G,2,0),IFERROR(VLOOKUP($F826,'COMPOSIÇÕES COMPLEMENTARES '!$D:$L,2,0),IFERROR(VLOOKUP($F826,INSUMOS!$A:$D,2,0),""))))</f>
        <v>DUTO EM CHAPA DE AÇO GALVANIZADO Nº22, ESPESSURA 0,79MM COM ISOLAMENTO, PARA AR CONDICIONADO, COM SISTEMA DE VEDAÇÃO ESTANQUE, MONTADO COM SISTEMA FLANGEADO, REFERÊNCIA TDC POWERMATIC</v>
      </c>
      <c r="H826" s="312" t="str">
        <f>IF($F826="","",IFERROR(VLOOKUP($F826,SERVIÇOS!$B:$G,3,0),IFERROR(VLOOKUP($F826,'COMPOSIÇÕES COMPLEMENTARES '!$D:$L,3,0),IFERROR(VLOOKUP($F826,INSUMOS!$A:$D,3,0),""))))</f>
        <v>KG</v>
      </c>
      <c r="I826" s="313">
        <v>20</v>
      </c>
      <c r="J826" s="314">
        <f>IF($F826="","",IFERROR(VLOOKUP($F826,SERVIÇOS!$B:$G,4,0),IFERROR(VLOOKUP($F826,'COMPOSIÇÕES COMPLEMENTARES '!$D:$L,6,0),IFERROR(VLOOKUP($F826,INSUMOS!$A:$D,4,0),""))))</f>
        <v>32.9</v>
      </c>
      <c r="K826" s="314">
        <f>IF($F826="","",IFERROR(VLOOKUP($F826,SERVIÇOS!$B:$G,5,0),IFERROR(VLOOKUP($F826,'COMPOSIÇÕES COMPLEMENTARES '!$D:$L,7,0),0)))</f>
        <v>30.51</v>
      </c>
      <c r="L826" s="314">
        <f>IF(I826="","",J826+K826)</f>
        <v>63.41</v>
      </c>
      <c r="M826" s="314">
        <f>IF(I826="","",TRUNC((I826*J826),2))</f>
        <v>658</v>
      </c>
      <c r="N826" s="314">
        <f>IF(I826="","",TRUNC((I826*K826),2))</f>
        <v>610.20000000000005</v>
      </c>
      <c r="O826" s="314">
        <f>IF(I826="","",TRUNC((M826+N826),2))</f>
        <v>1268.2</v>
      </c>
      <c r="P826" s="314"/>
      <c r="Q826" s="315"/>
      <c r="R826" s="315"/>
      <c r="S826" s="286"/>
      <c r="T826" s="287"/>
      <c r="U826" s="288" t="str">
        <f t="shared" si="448"/>
        <v/>
      </c>
      <c r="V826" s="287"/>
      <c r="W826" s="289" t="str">
        <f t="shared" si="449"/>
        <v/>
      </c>
      <c r="X826" s="287"/>
      <c r="Y826" s="290" t="str">
        <f t="shared" si="450"/>
        <v/>
      </c>
      <c r="Z826" s="291">
        <f ca="1">SUMIF($T$8:Y$1018,"QUANT.",T826:Y826)</f>
        <v>0</v>
      </c>
      <c r="AA826" s="292">
        <f t="shared" ca="1" si="451"/>
        <v>0</v>
      </c>
      <c r="AB826" s="293" t="str">
        <f t="shared" ca="1" si="452"/>
        <v>MEDIR</v>
      </c>
      <c r="AC826" s="294">
        <f t="shared" ca="1" si="453"/>
        <v>20</v>
      </c>
      <c r="AD826" s="294">
        <f t="shared" ca="1" si="454"/>
        <v>1268.2</v>
      </c>
      <c r="AE826" s="295"/>
      <c r="AF826" s="295"/>
      <c r="AG826" s="296"/>
      <c r="AH826" s="296"/>
      <c r="AI826" s="296"/>
      <c r="AJ826" s="295"/>
      <c r="AK826" s="295"/>
      <c r="AL826" s="295"/>
      <c r="AM826" s="295"/>
    </row>
    <row r="827" spans="1:39" x14ac:dyDescent="0.25">
      <c r="A827" s="232">
        <f t="shared" si="426"/>
        <v>827</v>
      </c>
      <c r="B827" s="232"/>
      <c r="C827" s="316" t="str">
        <f>+E827</f>
        <v>17.18</v>
      </c>
      <c r="D827" s="297"/>
      <c r="E827" s="317" t="s">
        <v>12483</v>
      </c>
      <c r="F827" s="317"/>
      <c r="G827" s="327" t="s">
        <v>12484</v>
      </c>
      <c r="H827" s="317"/>
      <c r="I827" s="344"/>
      <c r="J827" s="317"/>
      <c r="K827" s="317"/>
      <c r="L827" s="317"/>
      <c r="M827" s="317"/>
      <c r="N827" s="317"/>
      <c r="O827" s="317"/>
      <c r="P827" s="317"/>
      <c r="Q827" s="320"/>
      <c r="R827" s="306"/>
      <c r="S827" s="286"/>
      <c r="T827" s="287"/>
      <c r="U827" s="288" t="str">
        <f t="shared" si="448"/>
        <v/>
      </c>
      <c r="V827" s="287"/>
      <c r="W827" s="289" t="str">
        <f t="shared" si="449"/>
        <v/>
      </c>
      <c r="X827" s="287"/>
      <c r="Y827" s="290" t="str">
        <f t="shared" si="450"/>
        <v/>
      </c>
      <c r="Z827" s="291">
        <f ca="1">SUMIF($T$8:Y$1018,"QUANT.",T827:Y827)</f>
        <v>0</v>
      </c>
      <c r="AA827" s="292">
        <f t="shared" ca="1" si="451"/>
        <v>0</v>
      </c>
      <c r="AB827" s="293" t="str">
        <f t="shared" si="452"/>
        <v/>
      </c>
      <c r="AC827" s="294">
        <f t="shared" ca="1" si="453"/>
        <v>0</v>
      </c>
      <c r="AD827" s="294">
        <f t="shared" ca="1" si="454"/>
        <v>0</v>
      </c>
      <c r="AE827" s="295"/>
      <c r="AF827" s="295"/>
      <c r="AG827" s="296"/>
      <c r="AH827" s="296"/>
      <c r="AI827" s="296"/>
      <c r="AJ827" s="295"/>
      <c r="AK827" s="295"/>
      <c r="AL827" s="295"/>
      <c r="AM827" s="295"/>
    </row>
    <row r="828" spans="1:39" ht="38.25" x14ac:dyDescent="0.25">
      <c r="A828" s="232">
        <f t="shared" si="426"/>
        <v>828</v>
      </c>
      <c r="B828" s="232"/>
      <c r="C828" s="307" t="str">
        <f>+C827</f>
        <v>17.18</v>
      </c>
      <c r="D828" s="308">
        <f>1+D827</f>
        <v>1</v>
      </c>
      <c r="E828" s="309" t="str">
        <f>C828&amp;"."&amp;D828</f>
        <v>17.18.1</v>
      </c>
      <c r="F828" s="310" t="s">
        <v>12485</v>
      </c>
      <c r="G828" s="311" t="str">
        <f>IF($F828="","",IFERROR(VLOOKUP($F828,SERVIÇOS!$B:$G,2,0),IFERROR(VLOOKUP($F828,'COMPOSIÇÕES COMPLEMENTARES '!$D:$L,2,0),IFERROR(VLOOKUP($F828,INSUMOS!$A:$D,2,0),""))))</f>
        <v>DUTO EM CHAPA DE AÇO GALVANIZADO Nº26, ESPESSURA 0,50MM, SEM ISOLAMENTO, PARA AR CONDICIONADO, COM SISTEMA DE VEDAÇÃO ESTANQUE, MONTADO COM SISTEMA FLANGEADO, REFERÊNCIA POWERMATIC</v>
      </c>
      <c r="H828" s="312" t="str">
        <f>IF($F828="","",IFERROR(VLOOKUP($F828,SERVIÇOS!$B:$G,3,0),IFERROR(VLOOKUP($F828,'COMPOSIÇÕES COMPLEMENTARES '!$D:$L,3,0),IFERROR(VLOOKUP($F828,INSUMOS!$A:$D,3,0),""))))</f>
        <v>KG</v>
      </c>
      <c r="I828" s="313">
        <v>290</v>
      </c>
      <c r="J828" s="314">
        <f>IF($F828="","",IFERROR(VLOOKUP($F828,SERVIÇOS!$B:$G,4,0),IFERROR(VLOOKUP($F828,'COMPOSIÇÕES COMPLEMENTARES '!$D:$L,6,0),IFERROR(VLOOKUP($F828,INSUMOS!$A:$D,4,0),""))))</f>
        <v>27.17</v>
      </c>
      <c r="K828" s="314">
        <f>IF($F828="","",IFERROR(VLOOKUP($F828,SERVIÇOS!$B:$G,5,0),IFERROR(VLOOKUP($F828,'COMPOSIÇÕES COMPLEMENTARES '!$D:$L,7,0),0)))</f>
        <v>26.56</v>
      </c>
      <c r="L828" s="314">
        <f>IF(I828="","",J828+K828)</f>
        <v>53.730000000000004</v>
      </c>
      <c r="M828" s="314">
        <f>IF(I828="","",TRUNC((I828*J828),2))</f>
        <v>7879.3</v>
      </c>
      <c r="N828" s="314">
        <f>IF(I828="","",TRUNC((I828*K828),2))</f>
        <v>7702.4</v>
      </c>
      <c r="O828" s="314">
        <f>IF(I828="","",TRUNC((M828+N828),2))</f>
        <v>15581.7</v>
      </c>
      <c r="P828" s="314"/>
      <c r="Q828" s="315"/>
      <c r="R828" s="315"/>
      <c r="S828" s="286"/>
      <c r="T828" s="287"/>
      <c r="U828" s="288" t="str">
        <f t="shared" si="448"/>
        <v/>
      </c>
      <c r="V828" s="287"/>
      <c r="W828" s="289" t="str">
        <f t="shared" si="449"/>
        <v/>
      </c>
      <c r="X828" s="287"/>
      <c r="Y828" s="290" t="str">
        <f t="shared" si="450"/>
        <v/>
      </c>
      <c r="Z828" s="291">
        <f ca="1">SUMIF($T$8:Y$1018,"QUANT.",T828:Y828)</f>
        <v>0</v>
      </c>
      <c r="AA828" s="292">
        <f t="shared" ca="1" si="451"/>
        <v>0</v>
      </c>
      <c r="AB828" s="293" t="str">
        <f t="shared" ca="1" si="452"/>
        <v>MEDIR</v>
      </c>
      <c r="AC828" s="294">
        <f t="shared" ca="1" si="453"/>
        <v>290</v>
      </c>
      <c r="AD828" s="294">
        <f t="shared" ca="1" si="454"/>
        <v>15581.7</v>
      </c>
      <c r="AE828" s="295"/>
      <c r="AF828" s="295"/>
      <c r="AG828" s="296"/>
      <c r="AH828" s="296"/>
      <c r="AI828" s="296"/>
      <c r="AJ828" s="295"/>
      <c r="AK828" s="295"/>
      <c r="AL828" s="295"/>
      <c r="AM828" s="295"/>
    </row>
    <row r="829" spans="1:39" ht="38.25" x14ac:dyDescent="0.25">
      <c r="A829" s="232">
        <f t="shared" si="426"/>
        <v>829</v>
      </c>
      <c r="B829" s="232"/>
      <c r="C829" s="307" t="str">
        <f>+C828</f>
        <v>17.18</v>
      </c>
      <c r="D829" s="308">
        <f>1+D828</f>
        <v>2</v>
      </c>
      <c r="E829" s="309" t="str">
        <f>C829&amp;"."&amp;D829</f>
        <v>17.18.2</v>
      </c>
      <c r="F829" s="310" t="s">
        <v>12486</v>
      </c>
      <c r="G829" s="311" t="str">
        <f>IF($F829="","",IFERROR(VLOOKUP($F829,SERVIÇOS!$B:$G,2,0),IFERROR(VLOOKUP($F829,'COMPOSIÇÕES COMPLEMENTARES '!$D:$L,2,0),IFERROR(VLOOKUP($F829,INSUMOS!$A:$D,2,0),""))))</f>
        <v>DUTO EM CHAPA DE AÇO GALVANIZADO Nº24, ESPESSURA 0,64MM, SEM ISOLAMENTO, PARA AR CONDICIONADO, COM SISTEMA DE VEDAÇÃO ESTANQUE, MONTADO COM SISTEMA FLANGEADO, REFERÊNCIA POWERMATIC</v>
      </c>
      <c r="H829" s="312" t="str">
        <f>IF($F829="","",IFERROR(VLOOKUP($F829,SERVIÇOS!$B:$G,3,0),IFERROR(VLOOKUP($F829,'COMPOSIÇÕES COMPLEMENTARES '!$D:$L,3,0),IFERROR(VLOOKUP($F829,INSUMOS!$A:$D,3,0),""))))</f>
        <v>KG</v>
      </c>
      <c r="I829" s="313">
        <v>90</v>
      </c>
      <c r="J829" s="314">
        <f>IF($F829="","",IFERROR(VLOOKUP($F829,SERVIÇOS!$B:$G,4,0),IFERROR(VLOOKUP($F829,'COMPOSIÇÕES COMPLEMENTARES '!$D:$L,6,0),IFERROR(VLOOKUP($F829,INSUMOS!$A:$D,4,0),""))))</f>
        <v>27.17</v>
      </c>
      <c r="K829" s="314">
        <f>IF($F829="","",IFERROR(VLOOKUP($F829,SERVIÇOS!$B:$G,5,0),IFERROR(VLOOKUP($F829,'COMPOSIÇÕES COMPLEMENTARES '!$D:$L,7,0),0)))</f>
        <v>26.56</v>
      </c>
      <c r="L829" s="314">
        <f>IF(I829="","",J829+K829)</f>
        <v>53.730000000000004</v>
      </c>
      <c r="M829" s="314">
        <f>IF(I829="","",TRUNC((I829*J829),2))</f>
        <v>2445.3000000000002</v>
      </c>
      <c r="N829" s="314">
        <f>IF(I829="","",TRUNC((I829*K829),2))</f>
        <v>2390.4</v>
      </c>
      <c r="O829" s="314">
        <f>IF(I829="","",TRUNC((M829+N829),2))</f>
        <v>4835.7</v>
      </c>
      <c r="P829" s="314"/>
      <c r="Q829" s="315"/>
      <c r="R829" s="315"/>
      <c r="S829" s="286"/>
      <c r="T829" s="287"/>
      <c r="U829" s="288" t="str">
        <f t="shared" si="448"/>
        <v/>
      </c>
      <c r="V829" s="287"/>
      <c r="W829" s="289" t="str">
        <f t="shared" si="449"/>
        <v/>
      </c>
      <c r="X829" s="287"/>
      <c r="Y829" s="290" t="str">
        <f t="shared" si="450"/>
        <v/>
      </c>
      <c r="Z829" s="291">
        <f ca="1">SUMIF($T$8:Y$1018,"QUANT.",T829:Y829)</f>
        <v>0</v>
      </c>
      <c r="AA829" s="292">
        <f t="shared" ca="1" si="451"/>
        <v>0</v>
      </c>
      <c r="AB829" s="293" t="str">
        <f t="shared" ca="1" si="452"/>
        <v>MEDIR</v>
      </c>
      <c r="AC829" s="294">
        <f t="shared" ca="1" si="453"/>
        <v>90</v>
      </c>
      <c r="AD829" s="294">
        <f t="shared" ca="1" si="454"/>
        <v>4835.7</v>
      </c>
      <c r="AE829" s="295"/>
      <c r="AF829" s="295"/>
      <c r="AG829" s="296"/>
      <c r="AH829" s="296"/>
      <c r="AI829" s="296"/>
      <c r="AJ829" s="295"/>
      <c r="AK829" s="295"/>
      <c r="AL829" s="295"/>
      <c r="AM829" s="295"/>
    </row>
    <row r="830" spans="1:39" x14ac:dyDescent="0.25">
      <c r="A830" s="232">
        <f t="shared" si="426"/>
        <v>830</v>
      </c>
      <c r="B830" s="232"/>
      <c r="C830" s="316" t="str">
        <f>+E830</f>
        <v>17.19</v>
      </c>
      <c r="D830" s="297"/>
      <c r="E830" s="317" t="s">
        <v>12487</v>
      </c>
      <c r="F830" s="317"/>
      <c r="G830" s="327" t="s">
        <v>12488</v>
      </c>
      <c r="H830" s="317"/>
      <c r="I830" s="344"/>
      <c r="J830" s="317"/>
      <c r="K830" s="317"/>
      <c r="L830" s="317"/>
      <c r="M830" s="317"/>
      <c r="N830" s="317"/>
      <c r="O830" s="317"/>
      <c r="P830" s="317"/>
      <c r="Q830" s="320"/>
      <c r="R830" s="306"/>
      <c r="S830" s="286"/>
      <c r="T830" s="287"/>
      <c r="U830" s="288" t="str">
        <f t="shared" si="448"/>
        <v/>
      </c>
      <c r="V830" s="287"/>
      <c r="W830" s="289" t="str">
        <f t="shared" si="449"/>
        <v/>
      </c>
      <c r="X830" s="287"/>
      <c r="Y830" s="290" t="str">
        <f t="shared" si="450"/>
        <v/>
      </c>
      <c r="Z830" s="291">
        <f ca="1">SUMIF($T$8:Y$1018,"QUANT.",T830:Y830)</f>
        <v>0</v>
      </c>
      <c r="AA830" s="292">
        <f t="shared" ca="1" si="451"/>
        <v>0</v>
      </c>
      <c r="AB830" s="293" t="str">
        <f t="shared" si="452"/>
        <v/>
      </c>
      <c r="AC830" s="294">
        <f t="shared" ca="1" si="453"/>
        <v>0</v>
      </c>
      <c r="AD830" s="294">
        <f t="shared" ca="1" si="454"/>
        <v>0</v>
      </c>
      <c r="AE830" s="295"/>
      <c r="AF830" s="295"/>
      <c r="AG830" s="296"/>
      <c r="AH830" s="296"/>
      <c r="AI830" s="296"/>
      <c r="AJ830" s="295"/>
      <c r="AK830" s="295"/>
      <c r="AL830" s="295"/>
      <c r="AM830" s="295"/>
    </row>
    <row r="831" spans="1:39" x14ac:dyDescent="0.25">
      <c r="A831" s="232">
        <f t="shared" si="426"/>
        <v>831</v>
      </c>
      <c r="B831" s="232"/>
      <c r="C831" s="307" t="str">
        <f>+C830</f>
        <v>17.19</v>
      </c>
      <c r="D831" s="308">
        <f>1+D830</f>
        <v>1</v>
      </c>
      <c r="E831" s="309" t="str">
        <f>C831&amp;"."&amp;D831</f>
        <v>17.19.1</v>
      </c>
      <c r="F831" s="310" t="s">
        <v>12489</v>
      </c>
      <c r="G831" s="311" t="str">
        <f>IF($F831="","",IFERROR(VLOOKUP($F831,SERVIÇOS!$B:$G,2,0),IFERROR(VLOOKUP($F831,'COMPOSIÇÕES COMPLEMENTARES '!$D:$L,2,0),IFERROR(VLOOKUP($F831,INSUMOS!$A:$D,2,0),""))))</f>
        <v xml:space="preserve">DUTO FLEXÍVEL ALUMINIZADO SEM ISOLAMENTO TÉRMICO Ø100MM </v>
      </c>
      <c r="H831" s="312" t="str">
        <f>IF($F831="","",IFERROR(VLOOKUP($F831,SERVIÇOS!$B:$G,3,0),IFERROR(VLOOKUP($F831,'COMPOSIÇÕES COMPLEMENTARES '!$D:$L,3,0),IFERROR(VLOOKUP($F831,INSUMOS!$A:$D,3,0),""))))</f>
        <v>M</v>
      </c>
      <c r="I831" s="313">
        <v>15</v>
      </c>
      <c r="J831" s="314">
        <f>IF($F831="","",IFERROR(VLOOKUP($F831,SERVIÇOS!$B:$G,4,0),IFERROR(VLOOKUP($F831,'COMPOSIÇÕES COMPLEMENTARES '!$D:$L,6,0),IFERROR(VLOOKUP($F831,INSUMOS!$A:$D,4,0),""))))</f>
        <v>31.66</v>
      </c>
      <c r="K831" s="314">
        <f>IF($F831="","",IFERROR(VLOOKUP($F831,SERVIÇOS!$B:$G,5,0),IFERROR(VLOOKUP($F831,'COMPOSIÇÕES COMPLEMENTARES '!$D:$L,7,0),0)))</f>
        <v>14.97</v>
      </c>
      <c r="L831" s="314">
        <f>IF(I831="","",J831+K831)</f>
        <v>46.63</v>
      </c>
      <c r="M831" s="314">
        <f>IF(I831="","",TRUNC((I831*J831),2))</f>
        <v>474.9</v>
      </c>
      <c r="N831" s="314">
        <f>IF(I831="","",TRUNC((I831*K831),2))</f>
        <v>224.55</v>
      </c>
      <c r="O831" s="314">
        <f>IF(I831="","",TRUNC((M831+N831),2))</f>
        <v>699.45</v>
      </c>
      <c r="P831" s="314"/>
      <c r="Q831" s="315"/>
      <c r="R831" s="315"/>
      <c r="S831" s="286"/>
      <c r="T831" s="287"/>
      <c r="U831" s="288" t="str">
        <f t="shared" si="448"/>
        <v/>
      </c>
      <c r="V831" s="287"/>
      <c r="W831" s="289" t="str">
        <f t="shared" si="449"/>
        <v/>
      </c>
      <c r="X831" s="287"/>
      <c r="Y831" s="290" t="str">
        <f t="shared" si="450"/>
        <v/>
      </c>
      <c r="Z831" s="291">
        <f ca="1">SUMIF($T$8:Y$1018,"QUANT.",T831:Y831)</f>
        <v>0</v>
      </c>
      <c r="AA831" s="292">
        <f t="shared" ca="1" si="451"/>
        <v>0</v>
      </c>
      <c r="AB831" s="293" t="str">
        <f t="shared" ca="1" si="452"/>
        <v>MEDIR</v>
      </c>
      <c r="AC831" s="294">
        <f t="shared" ca="1" si="453"/>
        <v>15</v>
      </c>
      <c r="AD831" s="294">
        <f t="shared" ca="1" si="454"/>
        <v>699.45</v>
      </c>
      <c r="AE831" s="295"/>
      <c r="AF831" s="295"/>
      <c r="AG831" s="296"/>
      <c r="AH831" s="296"/>
      <c r="AI831" s="296"/>
      <c r="AJ831" s="295"/>
      <c r="AK831" s="295"/>
      <c r="AL831" s="295"/>
      <c r="AM831" s="295"/>
    </row>
    <row r="832" spans="1:39" x14ac:dyDescent="0.25">
      <c r="A832" s="232">
        <f t="shared" si="426"/>
        <v>832</v>
      </c>
      <c r="B832" s="232"/>
      <c r="C832" s="307" t="str">
        <f>+C831</f>
        <v>17.19</v>
      </c>
      <c r="D832" s="308">
        <f>1+D831</f>
        <v>2</v>
      </c>
      <c r="E832" s="309" t="str">
        <f>C832&amp;"."&amp;D832</f>
        <v>17.19.2</v>
      </c>
      <c r="F832" s="310" t="s">
        <v>12490</v>
      </c>
      <c r="G832" s="311" t="str">
        <f>IF($F832="","",IFERROR(VLOOKUP($F832,SERVIÇOS!$B:$G,2,0),IFERROR(VLOOKUP($F832,'COMPOSIÇÕES COMPLEMENTARES '!$D:$L,2,0),IFERROR(VLOOKUP($F832,INSUMOS!$A:$D,2,0),""))))</f>
        <v xml:space="preserve">DUTO FLEXÍVEL ALUMINIZADO SEM ISOLAMENTO TÉRMICO Ø125MM </v>
      </c>
      <c r="H832" s="312" t="str">
        <f>IF($F832="","",IFERROR(VLOOKUP($F832,SERVIÇOS!$B:$G,3,0),IFERROR(VLOOKUP($F832,'COMPOSIÇÕES COMPLEMENTARES '!$D:$L,3,0),IFERROR(VLOOKUP($F832,INSUMOS!$A:$D,3,0),""))))</f>
        <v>M</v>
      </c>
      <c r="I832" s="313">
        <v>30</v>
      </c>
      <c r="J832" s="314">
        <f>IF($F832="","",IFERROR(VLOOKUP($F832,SERVIÇOS!$B:$G,4,0),IFERROR(VLOOKUP($F832,'COMPOSIÇÕES COMPLEMENTARES '!$D:$L,6,0),IFERROR(VLOOKUP($F832,INSUMOS!$A:$D,4,0),""))))</f>
        <v>44.17</v>
      </c>
      <c r="K832" s="314">
        <f>IF($F832="","",IFERROR(VLOOKUP($F832,SERVIÇOS!$B:$G,5,0),IFERROR(VLOOKUP($F832,'COMPOSIÇÕES COMPLEMENTARES '!$D:$L,7,0),0)))</f>
        <v>14.97</v>
      </c>
      <c r="L832" s="314">
        <f>IF(I832="","",J832+K832)</f>
        <v>59.14</v>
      </c>
      <c r="M832" s="314">
        <f>IF(I832="","",TRUNC((I832*J832),2))</f>
        <v>1325.1</v>
      </c>
      <c r="N832" s="314">
        <f>IF(I832="","",TRUNC((I832*K832),2))</f>
        <v>449.1</v>
      </c>
      <c r="O832" s="314">
        <f>IF(I832="","",TRUNC((M832+N832),2))</f>
        <v>1774.2</v>
      </c>
      <c r="P832" s="314"/>
      <c r="Q832" s="315"/>
      <c r="R832" s="315"/>
      <c r="S832" s="286"/>
      <c r="T832" s="287"/>
      <c r="U832" s="288" t="str">
        <f t="shared" si="448"/>
        <v/>
      </c>
      <c r="V832" s="287"/>
      <c r="W832" s="289" t="str">
        <f t="shared" si="449"/>
        <v/>
      </c>
      <c r="X832" s="287"/>
      <c r="Y832" s="290" t="str">
        <f t="shared" si="450"/>
        <v/>
      </c>
      <c r="Z832" s="291">
        <f ca="1">SUMIF($T$8:Y$1018,"QUANT.",T832:Y832)</f>
        <v>0</v>
      </c>
      <c r="AA832" s="292">
        <f t="shared" ca="1" si="451"/>
        <v>0</v>
      </c>
      <c r="AB832" s="293" t="str">
        <f t="shared" ca="1" si="452"/>
        <v>MEDIR</v>
      </c>
      <c r="AC832" s="294">
        <f t="shared" ca="1" si="453"/>
        <v>30</v>
      </c>
      <c r="AD832" s="294">
        <f t="shared" ca="1" si="454"/>
        <v>1774.2</v>
      </c>
      <c r="AE832" s="295"/>
      <c r="AF832" s="295"/>
      <c r="AG832" s="296"/>
      <c r="AH832" s="296"/>
      <c r="AI832" s="296"/>
      <c r="AJ832" s="295"/>
      <c r="AK832" s="295"/>
      <c r="AL832" s="295"/>
      <c r="AM832" s="295"/>
    </row>
    <row r="833" spans="1:39" x14ac:dyDescent="0.25">
      <c r="A833" s="232">
        <f t="shared" si="426"/>
        <v>833</v>
      </c>
      <c r="B833" s="232"/>
      <c r="C833" s="307" t="str">
        <f>+C832</f>
        <v>17.19</v>
      </c>
      <c r="D833" s="308">
        <f>1+D832</f>
        <v>3</v>
      </c>
      <c r="E833" s="309" t="str">
        <f>C833&amp;"."&amp;D833</f>
        <v>17.19.3</v>
      </c>
      <c r="F833" s="310" t="s">
        <v>12491</v>
      </c>
      <c r="G833" s="311" t="str">
        <f>IF($F833="","",IFERROR(VLOOKUP($F833,SERVIÇOS!$B:$G,2,0),IFERROR(VLOOKUP($F833,'COMPOSIÇÕES COMPLEMENTARES '!$D:$L,2,0),IFERROR(VLOOKUP($F833,INSUMOS!$A:$D,2,0),""))))</f>
        <v>DUTO FLEXÍVEL ALUMINIZADO SEM ISOLAMENTO TÉRMICO Ø150MM</v>
      </c>
      <c r="H833" s="312" t="str">
        <f>IF($F833="","",IFERROR(VLOOKUP($F833,SERVIÇOS!$B:$G,3,0),IFERROR(VLOOKUP($F833,'COMPOSIÇÕES COMPLEMENTARES '!$D:$L,3,0),IFERROR(VLOOKUP($F833,INSUMOS!$A:$D,3,0),""))))</f>
        <v>M</v>
      </c>
      <c r="I833" s="313">
        <v>10</v>
      </c>
      <c r="J833" s="314">
        <f>IF($F833="","",IFERROR(VLOOKUP($F833,SERVIÇOS!$B:$G,4,0),IFERROR(VLOOKUP($F833,'COMPOSIÇÕES COMPLEMENTARES '!$D:$L,6,0),IFERROR(VLOOKUP($F833,INSUMOS!$A:$D,4,0),""))))</f>
        <v>38.46</v>
      </c>
      <c r="K833" s="314">
        <f>IF($F833="","",IFERROR(VLOOKUP($F833,SERVIÇOS!$B:$G,5,0),IFERROR(VLOOKUP($F833,'COMPOSIÇÕES COMPLEMENTARES '!$D:$L,7,0),0)))</f>
        <v>14.97</v>
      </c>
      <c r="L833" s="314">
        <f>IF(I833="","",J833+K833)</f>
        <v>53.43</v>
      </c>
      <c r="M833" s="314">
        <f>IF(I833="","",TRUNC((I833*J833),2))</f>
        <v>384.6</v>
      </c>
      <c r="N833" s="314">
        <f>IF(I833="","",TRUNC((I833*K833),2))</f>
        <v>149.69999999999999</v>
      </c>
      <c r="O833" s="314">
        <f>IF(I833="","",TRUNC((M833+N833),2))</f>
        <v>534.29999999999995</v>
      </c>
      <c r="P833" s="314"/>
      <c r="Q833" s="315"/>
      <c r="R833" s="315"/>
      <c r="S833" s="286"/>
      <c r="T833" s="287"/>
      <c r="U833" s="288" t="str">
        <f t="shared" si="448"/>
        <v/>
      </c>
      <c r="V833" s="287"/>
      <c r="W833" s="289" t="str">
        <f t="shared" si="449"/>
        <v/>
      </c>
      <c r="X833" s="287"/>
      <c r="Y833" s="290" t="str">
        <f t="shared" si="450"/>
        <v/>
      </c>
      <c r="Z833" s="291">
        <f ca="1">SUMIF($T$8:Y$1018,"QUANT.",T833:Y833)</f>
        <v>0</v>
      </c>
      <c r="AA833" s="292">
        <f t="shared" ca="1" si="451"/>
        <v>0</v>
      </c>
      <c r="AB833" s="293" t="str">
        <f t="shared" ca="1" si="452"/>
        <v>MEDIR</v>
      </c>
      <c r="AC833" s="294">
        <f t="shared" ca="1" si="453"/>
        <v>10</v>
      </c>
      <c r="AD833" s="294">
        <f t="shared" ca="1" si="454"/>
        <v>534.29999999999995</v>
      </c>
      <c r="AE833" s="295"/>
      <c r="AF833" s="295"/>
      <c r="AG833" s="296"/>
      <c r="AH833" s="296"/>
      <c r="AI833" s="296"/>
      <c r="AJ833" s="295"/>
      <c r="AK833" s="295"/>
      <c r="AL833" s="295"/>
      <c r="AM833" s="295"/>
    </row>
    <row r="834" spans="1:39" x14ac:dyDescent="0.25">
      <c r="A834" s="232">
        <f t="shared" ref="A834:A897" si="455">1+A833</f>
        <v>834</v>
      </c>
      <c r="B834" s="232"/>
      <c r="C834" s="316" t="str">
        <f>+E834</f>
        <v>17.20</v>
      </c>
      <c r="D834" s="297"/>
      <c r="E834" s="317" t="s">
        <v>12492</v>
      </c>
      <c r="F834" s="317"/>
      <c r="G834" s="327" t="s">
        <v>12493</v>
      </c>
      <c r="H834" s="317"/>
      <c r="I834" s="344"/>
      <c r="J834" s="317"/>
      <c r="K834" s="317"/>
      <c r="L834" s="317"/>
      <c r="M834" s="317"/>
      <c r="N834" s="317"/>
      <c r="O834" s="317"/>
      <c r="P834" s="317"/>
      <c r="Q834" s="320"/>
      <c r="R834" s="306"/>
      <c r="S834" s="286"/>
      <c r="T834" s="287"/>
      <c r="U834" s="288" t="str">
        <f t="shared" si="448"/>
        <v/>
      </c>
      <c r="V834" s="287"/>
      <c r="W834" s="289" t="str">
        <f t="shared" si="449"/>
        <v/>
      </c>
      <c r="X834" s="287"/>
      <c r="Y834" s="290" t="str">
        <f t="shared" si="450"/>
        <v/>
      </c>
      <c r="Z834" s="291">
        <f ca="1">SUMIF($T$8:Y$1018,"QUANT.",T834:Y834)</f>
        <v>0</v>
      </c>
      <c r="AA834" s="292">
        <f t="shared" ca="1" si="451"/>
        <v>0</v>
      </c>
      <c r="AB834" s="293" t="str">
        <f t="shared" si="452"/>
        <v/>
      </c>
      <c r="AC834" s="294">
        <f t="shared" ca="1" si="453"/>
        <v>0</v>
      </c>
      <c r="AD834" s="294">
        <f t="shared" ca="1" si="454"/>
        <v>0</v>
      </c>
      <c r="AE834" s="295"/>
      <c r="AF834" s="295"/>
      <c r="AG834" s="296"/>
      <c r="AH834" s="296"/>
      <c r="AI834" s="296"/>
      <c r="AJ834" s="295"/>
      <c r="AK834" s="295"/>
      <c r="AL834" s="295"/>
      <c r="AM834" s="295"/>
    </row>
    <row r="835" spans="1:39" ht="51" x14ac:dyDescent="0.25">
      <c r="A835" s="232">
        <f t="shared" si="455"/>
        <v>835</v>
      </c>
      <c r="B835" s="232"/>
      <c r="C835" s="307" t="str">
        <f>+C834</f>
        <v>17.20</v>
      </c>
      <c r="D835" s="308">
        <f>1+D834</f>
        <v>1</v>
      </c>
      <c r="E835" s="309" t="str">
        <f>C835&amp;"."&amp;D835</f>
        <v>17.20.1</v>
      </c>
      <c r="F835" s="310" t="s">
        <v>12494</v>
      </c>
      <c r="G835" s="311" t="str">
        <f>IF($F835="","",IFERROR(VLOOKUP($F835,SERVIÇOS!$B:$G,2,0),IFERROR(VLOOKUP($F835,'COMPOSIÇÕES COMPLEMENTARES '!$D:$L,2,0),IFERROR(VLOOKUP($F835,INSUMOS!$A:$D,2,0),""))))</f>
        <v>TRANSDUTOR DE TEMPERATURA E UMIDADE PARA MONTAGEM EM DUTOS IP65. CERTIFICADO DE CALIBRAÇÃO. O OUTPUT DEVE CONTER NO MÍNIMO O TBS E A UR. A PRECISÃO DEVE SER DE ±2 % NA MEDIÇÃO DE UR E DE ±0.2 °C NA MEDIÇÃO DE TEMPERATURA. SAÍDAS MODBUS E ANALÓGICA 4-20 MA.
REF. VAISALA HMD110 OU EQUIVALENTE TÉCNICO DWYER, IMI, BELIMO, AERIS</v>
      </c>
      <c r="H835" s="312" t="str">
        <f>IF($F835="","",IFERROR(VLOOKUP($F835,SERVIÇOS!$B:$G,3,0),IFERROR(VLOOKUP($F835,'COMPOSIÇÕES COMPLEMENTARES '!$D:$L,3,0),IFERROR(VLOOKUP($F835,INSUMOS!$A:$D,3,0),""))))</f>
        <v>UN</v>
      </c>
      <c r="I835" s="313">
        <v>1</v>
      </c>
      <c r="J835" s="314">
        <f>IF($F835="","",IFERROR(VLOOKUP($F835,SERVIÇOS!$B:$G,4,0),IFERROR(VLOOKUP($F835,'COMPOSIÇÕES COMPLEMENTARES '!$D:$L,6,0),IFERROR(VLOOKUP($F835,INSUMOS!$A:$D,4,0),""))))</f>
        <v>6493.21</v>
      </c>
      <c r="K835" s="314">
        <f>IF($F835="","",IFERROR(VLOOKUP($F835,SERVIÇOS!$B:$G,5,0),IFERROR(VLOOKUP($F835,'COMPOSIÇÕES COMPLEMENTARES '!$D:$L,7,0),0)))</f>
        <v>24.15</v>
      </c>
      <c r="L835" s="314">
        <f>IF(I835="","",J835+K835)</f>
        <v>6517.36</v>
      </c>
      <c r="M835" s="314">
        <f>IF(I835="","",TRUNC((I835*J835),2))</f>
        <v>6493.21</v>
      </c>
      <c r="N835" s="314">
        <f>IF(I835="","",TRUNC((I835*K835),2))</f>
        <v>24.15</v>
      </c>
      <c r="O835" s="314">
        <f>IF(I835="","",TRUNC((M835+N835),2))</f>
        <v>6517.36</v>
      </c>
      <c r="P835" s="314"/>
      <c r="Q835" s="315"/>
      <c r="R835" s="315"/>
      <c r="S835" s="286"/>
      <c r="T835" s="287"/>
      <c r="U835" s="288" t="str">
        <f t="shared" si="448"/>
        <v/>
      </c>
      <c r="V835" s="287"/>
      <c r="W835" s="289" t="str">
        <f t="shared" si="449"/>
        <v/>
      </c>
      <c r="X835" s="287"/>
      <c r="Y835" s="290" t="str">
        <f t="shared" si="450"/>
        <v/>
      </c>
      <c r="Z835" s="291">
        <f ca="1">SUMIF($T$8:Y$1018,"QUANT.",T835:Y835)</f>
        <v>0</v>
      </c>
      <c r="AA835" s="292">
        <f t="shared" ca="1" si="451"/>
        <v>0</v>
      </c>
      <c r="AB835" s="293" t="str">
        <f t="shared" ca="1" si="452"/>
        <v>MEDIR</v>
      </c>
      <c r="AC835" s="294">
        <f t="shared" ca="1" si="453"/>
        <v>1</v>
      </c>
      <c r="AD835" s="294">
        <f t="shared" ca="1" si="454"/>
        <v>6517.36</v>
      </c>
      <c r="AE835" s="295"/>
      <c r="AF835" s="295"/>
      <c r="AG835" s="296"/>
      <c r="AH835" s="296"/>
      <c r="AI835" s="296"/>
      <c r="AJ835" s="295"/>
      <c r="AK835" s="295"/>
      <c r="AL835" s="295"/>
      <c r="AM835" s="295"/>
    </row>
    <row r="836" spans="1:39" ht="63.75" x14ac:dyDescent="0.25">
      <c r="A836" s="232">
        <f t="shared" si="455"/>
        <v>836</v>
      </c>
      <c r="B836" s="232"/>
      <c r="C836" s="307" t="str">
        <f>+C835</f>
        <v>17.20</v>
      </c>
      <c r="D836" s="308">
        <f>1+D835</f>
        <v>2</v>
      </c>
      <c r="E836" s="309" t="str">
        <f>C836&amp;"."&amp;D836</f>
        <v>17.20.2</v>
      </c>
      <c r="F836" s="310" t="s">
        <v>12495</v>
      </c>
      <c r="G836" s="311" t="str">
        <f>IF($F836="","",IFERROR(VLOOKUP($F836,SERVIÇOS!$B:$G,2,0),IFERROR(VLOOKUP($F836,'COMPOSIÇÕES COMPLEMENTARES '!$D:$L,2,0),IFERROR(VLOOKUP($F836,INSUMOS!$A:$D,2,0),""))))</f>
        <v>TRANSDUTOR DE TEMPERATURA E UMIDADE PARA MONTAGEM NA PAREDE DO AMBIENTE (IP65). CERTIFICADO DE CALIBRAÇÃO. O OUTPUT DEVE CONTER NO MÍNIMO O TBS E A UR. A PRECISÃO DEVE SER DE ±1,7% NA MEDIÇÃO DE UR E DE ±0.2 °C NA MEDIÇÃO DE TEMPERATURA. SAÍDAS MODBUS E ANALÓGICA (4-20 MA).
REF. VAISALA HMW90 UR+T OU EQUIVALENTE TÉCNICO (DWYER, IMI, BELIMO, AERIS...).</v>
      </c>
      <c r="H836" s="312" t="str">
        <f>IF($F836="","",IFERROR(VLOOKUP($F836,SERVIÇOS!$B:$G,3,0),IFERROR(VLOOKUP($F836,'COMPOSIÇÕES COMPLEMENTARES '!$D:$L,3,0),IFERROR(VLOOKUP($F836,INSUMOS!$A:$D,3,0),""))))</f>
        <v>UN</v>
      </c>
      <c r="I836" s="313">
        <v>10</v>
      </c>
      <c r="J836" s="314">
        <f>IF($F836="","",IFERROR(VLOOKUP($F836,SERVIÇOS!$B:$G,4,0),IFERROR(VLOOKUP($F836,'COMPOSIÇÕES COMPLEMENTARES '!$D:$L,6,0),IFERROR(VLOOKUP($F836,INSUMOS!$A:$D,4,0),""))))</f>
        <v>1531.7</v>
      </c>
      <c r="K836" s="314">
        <f>IF($F836="","",IFERROR(VLOOKUP($F836,SERVIÇOS!$B:$G,5,0),IFERROR(VLOOKUP($F836,'COMPOSIÇÕES COMPLEMENTARES '!$D:$L,7,0),0)))</f>
        <v>24.15</v>
      </c>
      <c r="L836" s="314">
        <f>IF(I836="","",J836+K836)</f>
        <v>1555.8500000000001</v>
      </c>
      <c r="M836" s="314">
        <f>IF(I836="","",TRUNC((I836*J836),2))</f>
        <v>15317</v>
      </c>
      <c r="N836" s="314">
        <f>IF(I836="","",TRUNC((I836*K836),2))</f>
        <v>241.5</v>
      </c>
      <c r="O836" s="314">
        <f>IF(I836="","",TRUNC((M836+N836),2))</f>
        <v>15558.5</v>
      </c>
      <c r="P836" s="314"/>
      <c r="Q836" s="315"/>
      <c r="R836" s="315"/>
      <c r="S836" s="286"/>
      <c r="T836" s="287"/>
      <c r="U836" s="288" t="str">
        <f t="shared" si="448"/>
        <v/>
      </c>
      <c r="V836" s="287"/>
      <c r="W836" s="289" t="str">
        <f t="shared" si="449"/>
        <v/>
      </c>
      <c r="X836" s="287"/>
      <c r="Y836" s="290" t="str">
        <f t="shared" si="450"/>
        <v/>
      </c>
      <c r="Z836" s="291">
        <f ca="1">SUMIF($T$8:Y$1018,"QUANT.",T836:Y836)</f>
        <v>0</v>
      </c>
      <c r="AA836" s="292">
        <f t="shared" ca="1" si="451"/>
        <v>0</v>
      </c>
      <c r="AB836" s="293" t="str">
        <f t="shared" ca="1" si="452"/>
        <v>MEDIR</v>
      </c>
      <c r="AC836" s="294">
        <f t="shared" ca="1" si="453"/>
        <v>10</v>
      </c>
      <c r="AD836" s="294">
        <f t="shared" ca="1" si="454"/>
        <v>15558.5</v>
      </c>
      <c r="AE836" s="295"/>
      <c r="AF836" s="295"/>
      <c r="AG836" s="296"/>
      <c r="AH836" s="296"/>
      <c r="AI836" s="296"/>
      <c r="AJ836" s="295"/>
      <c r="AK836" s="295"/>
      <c r="AL836" s="295"/>
      <c r="AM836" s="295"/>
    </row>
    <row r="837" spans="1:39" x14ac:dyDescent="0.25">
      <c r="A837" s="232">
        <f t="shared" si="455"/>
        <v>837</v>
      </c>
      <c r="B837" s="232"/>
      <c r="C837" s="316" t="str">
        <f>+E837</f>
        <v>17.21</v>
      </c>
      <c r="D837" s="297"/>
      <c r="E837" s="317" t="s">
        <v>12496</v>
      </c>
      <c r="F837" s="317"/>
      <c r="G837" s="327" t="s">
        <v>12497</v>
      </c>
      <c r="H837" s="317"/>
      <c r="I837" s="344"/>
      <c r="J837" s="317"/>
      <c r="K837" s="317"/>
      <c r="L837" s="317"/>
      <c r="M837" s="317"/>
      <c r="N837" s="317"/>
      <c r="O837" s="317"/>
      <c r="P837" s="317"/>
      <c r="Q837" s="320"/>
      <c r="R837" s="306"/>
      <c r="S837" s="286"/>
      <c r="T837" s="287"/>
      <c r="U837" s="288" t="str">
        <f t="shared" si="448"/>
        <v/>
      </c>
      <c r="V837" s="287"/>
      <c r="W837" s="289" t="str">
        <f t="shared" si="449"/>
        <v/>
      </c>
      <c r="X837" s="287"/>
      <c r="Y837" s="290" t="str">
        <f t="shared" si="450"/>
        <v/>
      </c>
      <c r="Z837" s="291">
        <f ca="1">SUMIF($T$8:Y$1018,"QUANT.",T837:Y837)</f>
        <v>0</v>
      </c>
      <c r="AA837" s="292">
        <f t="shared" ca="1" si="451"/>
        <v>0</v>
      </c>
      <c r="AB837" s="293" t="str">
        <f t="shared" si="452"/>
        <v/>
      </c>
      <c r="AC837" s="294">
        <f t="shared" ca="1" si="453"/>
        <v>0</v>
      </c>
      <c r="AD837" s="294">
        <f t="shared" ca="1" si="454"/>
        <v>0</v>
      </c>
      <c r="AE837" s="295"/>
      <c r="AF837" s="295"/>
      <c r="AG837" s="296"/>
      <c r="AH837" s="296"/>
      <c r="AI837" s="296"/>
      <c r="AJ837" s="325"/>
      <c r="AK837" s="295"/>
      <c r="AL837" s="295"/>
      <c r="AM837" s="295"/>
    </row>
    <row r="838" spans="1:39" ht="63.75" x14ac:dyDescent="0.25">
      <c r="A838" s="232">
        <f t="shared" si="455"/>
        <v>838</v>
      </c>
      <c r="B838" s="232"/>
      <c r="C838" s="307" t="str">
        <f>+C837</f>
        <v>17.21</v>
      </c>
      <c r="D838" s="308">
        <f>1+D837</f>
        <v>1</v>
      </c>
      <c r="E838" s="309" t="str">
        <f>C838&amp;"."&amp;D838</f>
        <v>17.21.1</v>
      </c>
      <c r="F838" s="310" t="s">
        <v>12498</v>
      </c>
      <c r="G838" s="311" t="str">
        <f>IF($F838="","",IFERROR(VLOOKUP($F838,SERVIÇOS!$B:$G,2,0),IFERROR(VLOOKUP($F838,'COMPOSIÇÕES COMPLEMENTARES '!$D:$L,2,0),IFERROR(VLOOKUP($F838,INSUMOS!$A:$D,2,0),""))))</f>
        <v>MONITOR/TRANSDUTOR PRESSÃO RELATIVA COM DISPLAY DIGITAL PARA MONTAGEM EM PAREDE (IP20). DEVE POSSUIR UMA INTERFACE GRÁFICA AO USUÁRIO QUE PERMITA O ACESSO A CONFIGURAÇÕES DE PRESSÃO, SEGURANÇA, CALIBRAÇÃO E ALARMES. A PRECISÃO DEVE SER DE ±12,5PA NA MEDIÇÃO DE PRESSÃO RELATIVA. DEVE OPERAR EM 24VAC.
REF. DWYER RSM OU EQUIVALENTE TÉCNICO (VAISALA, IMI, BELIMO, AERIS...).</v>
      </c>
      <c r="H838" s="312" t="str">
        <f>IF($F838="","",IFERROR(VLOOKUP($F838,SERVIÇOS!$B:$G,3,0),IFERROR(VLOOKUP($F838,'COMPOSIÇÕES COMPLEMENTARES '!$D:$L,3,0),IFERROR(VLOOKUP($F838,INSUMOS!$A:$D,3,0),""))))</f>
        <v>UN</v>
      </c>
      <c r="I838" s="313">
        <v>12</v>
      </c>
      <c r="J838" s="314">
        <f>IF($F838="","",IFERROR(VLOOKUP($F838,SERVIÇOS!$B:$G,4,0),IFERROR(VLOOKUP($F838,'COMPOSIÇÕES COMPLEMENTARES '!$D:$L,6,0),IFERROR(VLOOKUP($F838,INSUMOS!$A:$D,4,0),""))))</f>
        <v>1472.2</v>
      </c>
      <c r="K838" s="314">
        <f>IF($F838="","",IFERROR(VLOOKUP($F838,SERVIÇOS!$B:$G,5,0),IFERROR(VLOOKUP($F838,'COMPOSIÇÕES COMPLEMENTARES '!$D:$L,7,0),0)))</f>
        <v>24.15</v>
      </c>
      <c r="L838" s="314">
        <f>IF(I838="","",J838+K838)</f>
        <v>1496.3500000000001</v>
      </c>
      <c r="M838" s="314">
        <f>IF(I838="","",TRUNC((I838*J838),2))</f>
        <v>17666.400000000001</v>
      </c>
      <c r="N838" s="314">
        <f>IF(I838="","",TRUNC((I838*K838),2))</f>
        <v>289.8</v>
      </c>
      <c r="O838" s="314">
        <f>IF(I838="","",TRUNC((M838+N838),2))</f>
        <v>17956.2</v>
      </c>
      <c r="P838" s="314"/>
      <c r="Q838" s="315"/>
      <c r="R838" s="315"/>
      <c r="S838" s="286"/>
      <c r="T838" s="287"/>
      <c r="U838" s="288" t="str">
        <f t="shared" si="448"/>
        <v/>
      </c>
      <c r="V838" s="287"/>
      <c r="W838" s="289" t="str">
        <f t="shared" si="449"/>
        <v/>
      </c>
      <c r="X838" s="287"/>
      <c r="Y838" s="290" t="str">
        <f t="shared" si="450"/>
        <v/>
      </c>
      <c r="Z838" s="291">
        <f ca="1">SUMIF($T$8:Y$1018,"QUANT.",T838:Y838)</f>
        <v>0</v>
      </c>
      <c r="AA838" s="292">
        <f t="shared" ca="1" si="451"/>
        <v>0</v>
      </c>
      <c r="AB838" s="293" t="str">
        <f t="shared" ca="1" si="452"/>
        <v>MEDIR</v>
      </c>
      <c r="AC838" s="294">
        <f t="shared" ca="1" si="453"/>
        <v>12</v>
      </c>
      <c r="AD838" s="294">
        <f t="shared" ca="1" si="454"/>
        <v>17956.2</v>
      </c>
      <c r="AE838" s="295"/>
      <c r="AF838" s="295"/>
      <c r="AG838" s="296"/>
      <c r="AH838" s="296"/>
      <c r="AI838" s="296"/>
      <c r="AJ838" s="295"/>
      <c r="AK838" s="295"/>
      <c r="AL838" s="295"/>
      <c r="AM838" s="295"/>
    </row>
    <row r="839" spans="1:39" x14ac:dyDescent="0.25">
      <c r="A839" s="232">
        <f t="shared" si="455"/>
        <v>839</v>
      </c>
      <c r="B839" s="232"/>
      <c r="C839" s="281">
        <f>+E839</f>
        <v>18</v>
      </c>
      <c r="D839" s="297"/>
      <c r="E839" s="298">
        <v>18</v>
      </c>
      <c r="F839" s="322"/>
      <c r="G839" s="299" t="s">
        <v>12499</v>
      </c>
      <c r="H839" s="300"/>
      <c r="I839" s="345"/>
      <c r="J839" s="302"/>
      <c r="K839" s="303"/>
      <c r="L839" s="303"/>
      <c r="M839" s="304">
        <f>TRUNC(SUMIF(M840:M842,"&gt;0",M840:M842),2)</f>
        <v>3444.54</v>
      </c>
      <c r="N839" s="304">
        <f>TRUNC(SUMIF(N840:N842,"&gt;0",N840:N842),2)</f>
        <v>3701.39</v>
      </c>
      <c r="O839" s="305"/>
      <c r="P839" s="304">
        <f>SUMIF(O840:O842,"&gt;0",O840:O842)</f>
        <v>7145.93</v>
      </c>
      <c r="Q839" s="306"/>
      <c r="R839" s="306"/>
      <c r="S839" s="286"/>
      <c r="T839" s="287"/>
      <c r="U839" s="288" t="str">
        <f t="shared" si="448"/>
        <v/>
      </c>
      <c r="V839" s="287"/>
      <c r="W839" s="289" t="str">
        <f t="shared" si="449"/>
        <v/>
      </c>
      <c r="X839" s="287"/>
      <c r="Y839" s="290" t="str">
        <f t="shared" si="450"/>
        <v/>
      </c>
      <c r="Z839" s="291">
        <f ca="1">SUMIF($T$8:Y$1018,"QUANT.",T839:Y839)</f>
        <v>0</v>
      </c>
      <c r="AA839" s="292">
        <f t="shared" ca="1" si="451"/>
        <v>0</v>
      </c>
      <c r="AB839" s="293" t="str">
        <f t="shared" si="452"/>
        <v/>
      </c>
      <c r="AC839" s="294">
        <f t="shared" ca="1" si="453"/>
        <v>0</v>
      </c>
      <c r="AD839" s="294">
        <f t="shared" ca="1" si="454"/>
        <v>0</v>
      </c>
      <c r="AE839" s="295"/>
      <c r="AF839" s="295"/>
      <c r="AG839" s="296"/>
      <c r="AH839" s="296"/>
      <c r="AI839" s="296"/>
      <c r="AJ839" s="295"/>
      <c r="AK839" s="295"/>
      <c r="AL839" s="295"/>
      <c r="AM839" s="295"/>
    </row>
    <row r="840" spans="1:39" x14ac:dyDescent="0.25">
      <c r="A840" s="232">
        <f t="shared" si="455"/>
        <v>840</v>
      </c>
      <c r="B840" s="232"/>
      <c r="C840" s="307">
        <f>+C839</f>
        <v>18</v>
      </c>
      <c r="D840" s="308">
        <f>1+D839</f>
        <v>1</v>
      </c>
      <c r="E840" s="309" t="str">
        <f>C840&amp;"."&amp;D840</f>
        <v>18.1</v>
      </c>
      <c r="F840" s="310" t="s">
        <v>12500</v>
      </c>
      <c r="G840" s="311" t="str">
        <f>IF($F840="","",IFERROR(VLOOKUP($F840,SERVIÇOS!$B:$G,2,0),IFERROR(VLOOKUP($F840,'COMPOSIÇÕES COMPLEMENTARES '!$D:$L,2,0),IFERROR(VLOOKUP($F840,INSUMOS!$A:$D,2,0),""))))</f>
        <v>LIMPEZA FINAL DA OBRA</v>
      </c>
      <c r="H840" s="312" t="str">
        <f>IF($F840="","",IFERROR(VLOOKUP($F840,SERVIÇOS!$B:$G,3,0),IFERROR(VLOOKUP($F840,'COMPOSIÇÕES COMPLEMENTARES '!$D:$L,3,0),IFERROR(VLOOKUP($F840,INSUMOS!$A:$D,3,0),""))))</f>
        <v>M2</v>
      </c>
      <c r="I840" s="313">
        <v>755.45</v>
      </c>
      <c r="J840" s="314">
        <f>IF($F840="","",IFERROR(VLOOKUP($F840,SERVIÇOS!$B:$G,4,0),IFERROR(VLOOKUP($F840,'COMPOSIÇÕES COMPLEMENTARES '!$D:$L,6,0),IFERROR(VLOOKUP($F840,INSUMOS!$A:$D,4,0),""))))</f>
        <v>2.0099999999999998</v>
      </c>
      <c r="K840" s="314">
        <f>IF($F840="","",IFERROR(VLOOKUP($F840,SERVIÇOS!$B:$G,5,0),IFERROR(VLOOKUP($F840,'COMPOSIÇÕES COMPLEMENTARES '!$D:$L,7,0),0)))</f>
        <v>2.73</v>
      </c>
      <c r="L840" s="314">
        <f>IF(I840="","",J840+K840)</f>
        <v>4.74</v>
      </c>
      <c r="M840" s="314">
        <f>IF(I840="","",TRUNC((I840*J840),2))</f>
        <v>1518.45</v>
      </c>
      <c r="N840" s="314">
        <f>IF(I840="","",TRUNC((I840*K840),2))</f>
        <v>2062.37</v>
      </c>
      <c r="O840" s="314">
        <f>IF(I840="","",TRUNC((M840+N840),2))</f>
        <v>3580.82</v>
      </c>
      <c r="P840" s="314"/>
      <c r="Q840" s="315"/>
      <c r="R840" s="315"/>
      <c r="S840" s="286"/>
      <c r="T840" s="287"/>
      <c r="U840" s="288" t="str">
        <f t="shared" si="448"/>
        <v/>
      </c>
      <c r="V840" s="287"/>
      <c r="W840" s="289" t="str">
        <f t="shared" si="449"/>
        <v/>
      </c>
      <c r="X840" s="287"/>
      <c r="Y840" s="290" t="str">
        <f t="shared" si="450"/>
        <v/>
      </c>
      <c r="Z840" s="291">
        <f ca="1">SUMIF($T$8:Y$1018,"QUANT.",T840:Y840)</f>
        <v>0</v>
      </c>
      <c r="AA840" s="292">
        <f t="shared" ca="1" si="451"/>
        <v>0</v>
      </c>
      <c r="AB840" s="293" t="str">
        <f t="shared" ca="1" si="452"/>
        <v>MEDIR</v>
      </c>
      <c r="AC840" s="294">
        <f t="shared" ca="1" si="453"/>
        <v>755.45</v>
      </c>
      <c r="AD840" s="294">
        <f t="shared" ca="1" si="454"/>
        <v>3580.82</v>
      </c>
      <c r="AE840" s="295"/>
      <c r="AF840" s="295"/>
      <c r="AG840" s="296"/>
      <c r="AH840" s="296"/>
      <c r="AI840" s="296"/>
      <c r="AJ840" s="295"/>
      <c r="AK840" s="295"/>
      <c r="AL840" s="295"/>
      <c r="AM840" s="295"/>
    </row>
    <row r="841" spans="1:39" x14ac:dyDescent="0.25">
      <c r="A841" s="232">
        <f t="shared" si="455"/>
        <v>841</v>
      </c>
      <c r="B841" s="232"/>
      <c r="C841" s="307">
        <f>+C840</f>
        <v>18</v>
      </c>
      <c r="D841" s="308">
        <f>1+D840</f>
        <v>2</v>
      </c>
      <c r="E841" s="309" t="str">
        <f>C841&amp;"."&amp;D841</f>
        <v>18.2</v>
      </c>
      <c r="F841" s="310" t="s">
        <v>12501</v>
      </c>
      <c r="G841" s="311" t="str">
        <f>IF($F841="","",IFERROR(VLOOKUP($F841,SERVIÇOS!$B:$G,2,0),IFERROR(VLOOKUP($F841,'COMPOSIÇÕES COMPLEMENTARES '!$D:$L,2,0),IFERROR(VLOOKUP($F841,INSUMOS!$A:$D,2,0),""))))</f>
        <v>CARGA MANUAL E REMOÇÃO DE ENTULHO, INCLUSIVE TRANSPORTE ATÉ 1 KM</v>
      </c>
      <c r="H841" s="312" t="str">
        <f>IF($F841="","",IFERROR(VLOOKUP($F841,SERVIÇOS!$B:$G,3,0),IFERROR(VLOOKUP($F841,'COMPOSIÇÕES COMPLEMENTARES '!$D:$L,3,0),IFERROR(VLOOKUP($F841,INSUMOS!$A:$D,3,0),""))))</f>
        <v>M3</v>
      </c>
      <c r="I841" s="313">
        <v>60.436</v>
      </c>
      <c r="J841" s="314">
        <f>IF($F841="","",IFERROR(VLOOKUP($F841,SERVIÇOS!$B:$G,4,0),IFERROR(VLOOKUP($F841,'COMPOSIÇÕES COMPLEMENTARES '!$D:$L,6,0),IFERROR(VLOOKUP($F841,INSUMOS!$A:$D,4,0),""))))</f>
        <v>18.669999999999998</v>
      </c>
      <c r="K841" s="314">
        <f>IF($F841="","",IFERROR(VLOOKUP($F841,SERVIÇOS!$B:$G,5,0),IFERROR(VLOOKUP($F841,'COMPOSIÇÕES COMPLEMENTARES '!$D:$L,7,0),0)))</f>
        <v>24.27</v>
      </c>
      <c r="L841" s="314">
        <f>IF(I841="","",J841+K841)</f>
        <v>42.94</v>
      </c>
      <c r="M841" s="314">
        <f>IF(I841="","",TRUNC((I841*J841),2))</f>
        <v>1128.3399999999999</v>
      </c>
      <c r="N841" s="314">
        <f>IF(I841="","",TRUNC((I841*K841),2))</f>
        <v>1466.78</v>
      </c>
      <c r="O841" s="314">
        <f>IF(I841="","",TRUNC((M841+N841),2))</f>
        <v>2595.12</v>
      </c>
      <c r="P841" s="314"/>
      <c r="Q841" s="315"/>
      <c r="R841" s="315"/>
      <c r="S841" s="286"/>
      <c r="T841" s="287"/>
      <c r="U841" s="288" t="str">
        <f t="shared" si="448"/>
        <v/>
      </c>
      <c r="V841" s="287"/>
      <c r="W841" s="289" t="str">
        <f t="shared" si="449"/>
        <v/>
      </c>
      <c r="X841" s="287"/>
      <c r="Y841" s="290" t="str">
        <f t="shared" si="450"/>
        <v/>
      </c>
      <c r="Z841" s="291">
        <f ca="1">SUMIF($T$8:Y$1018,"QUANT.",T841:Y841)</f>
        <v>0</v>
      </c>
      <c r="AA841" s="292">
        <f t="shared" ca="1" si="451"/>
        <v>0</v>
      </c>
      <c r="AB841" s="293" t="str">
        <f t="shared" ca="1" si="452"/>
        <v>MEDIR</v>
      </c>
      <c r="AC841" s="294">
        <f t="shared" ca="1" si="453"/>
        <v>60.436</v>
      </c>
      <c r="AD841" s="294">
        <f t="shared" ca="1" si="454"/>
        <v>2595.12</v>
      </c>
      <c r="AE841" s="295"/>
      <c r="AF841" s="295"/>
      <c r="AG841" s="296"/>
      <c r="AH841" s="296"/>
      <c r="AI841" s="296"/>
      <c r="AJ841" s="295"/>
      <c r="AK841" s="295"/>
      <c r="AL841" s="295"/>
      <c r="AM841" s="295"/>
    </row>
    <row r="842" spans="1:39" ht="25.5" x14ac:dyDescent="0.25">
      <c r="A842" s="232">
        <f t="shared" si="455"/>
        <v>842</v>
      </c>
      <c r="B842" s="232"/>
      <c r="C842" s="307">
        <f>+C841</f>
        <v>18</v>
      </c>
      <c r="D842" s="308">
        <f>1+D841</f>
        <v>3</v>
      </c>
      <c r="E842" s="309" t="str">
        <f>C842&amp;"."&amp;D842</f>
        <v>18.3</v>
      </c>
      <c r="F842" s="310">
        <v>97914</v>
      </c>
      <c r="G842" s="311" t="str">
        <f>IF($F842="","",IFERROR(VLOOKUP($F842,SERVIÇOS!$B:$G,2,0),IFERROR(VLOOKUP($F842,'COMPOSIÇÕES COMPLEMENTARES '!$D:$L,2,0),IFERROR(VLOOKUP($F842,INSUMOS!$A:$D,2,0),""))))</f>
        <v>TRANSPORTE COM CAMINHÃO BASCULANTE DE 6 M³, EM VIA URBANA PAVIMENTADA, DMT ATÉ 30 KM (UNIDADE: M3XKM). AF_07/2020</v>
      </c>
      <c r="H842" s="312" t="str">
        <f>IF($F842="","",IFERROR(VLOOKUP($F842,SERVIÇOS!$B:$G,3,0),IFERROR(VLOOKUP($F842,'COMPOSIÇÕES COMPLEMENTARES '!$D:$L,3,0),IFERROR(VLOOKUP($F842,INSUMOS!$A:$D,3,0),""))))</f>
        <v>M3XKM</v>
      </c>
      <c r="I842" s="313">
        <v>302.18</v>
      </c>
      <c r="J842" s="314">
        <f>IF($F842="","",IFERROR(VLOOKUP($F842,SERVIÇOS!$B:$G,4,0),IFERROR(VLOOKUP($F842,'COMPOSIÇÕES COMPLEMENTARES '!$D:$L,6,0),IFERROR(VLOOKUP($F842,INSUMOS!$A:$D,4,0),""))))</f>
        <v>2.64</v>
      </c>
      <c r="K842" s="314">
        <f>IF($F842="","",IFERROR(VLOOKUP($F842,SERVIÇOS!$B:$G,5,0),IFERROR(VLOOKUP($F842,'COMPOSIÇÕES COMPLEMENTARES '!$D:$L,7,0),0)))</f>
        <v>0.56999999999999995</v>
      </c>
      <c r="L842" s="314">
        <f>IF(I842="","",J842+K842)</f>
        <v>3.21</v>
      </c>
      <c r="M842" s="314">
        <f>IF(I842="","",TRUNC((I842*J842),2))</f>
        <v>797.75</v>
      </c>
      <c r="N842" s="314">
        <f>IF(I842="","",TRUNC((I842*K842),2))</f>
        <v>172.24</v>
      </c>
      <c r="O842" s="314">
        <f>IF(I842="","",TRUNC((M842+N842),2))</f>
        <v>969.99</v>
      </c>
      <c r="P842" s="314"/>
      <c r="Q842" s="315"/>
      <c r="R842" s="315"/>
      <c r="S842" s="286"/>
      <c r="T842" s="287"/>
      <c r="U842" s="288" t="str">
        <f t="shared" si="448"/>
        <v/>
      </c>
      <c r="V842" s="287"/>
      <c r="W842" s="289" t="str">
        <f t="shared" si="449"/>
        <v/>
      </c>
      <c r="X842" s="287"/>
      <c r="Y842" s="290" t="str">
        <f t="shared" si="450"/>
        <v/>
      </c>
      <c r="Z842" s="291">
        <f ca="1">SUMIF($T$8:Y$1018,"QUANT.",T842:Y842)</f>
        <v>0</v>
      </c>
      <c r="AA842" s="292">
        <f t="shared" ca="1" si="451"/>
        <v>0</v>
      </c>
      <c r="AB842" s="293" t="str">
        <f t="shared" ca="1" si="452"/>
        <v>MEDIR</v>
      </c>
      <c r="AC842" s="294">
        <f t="shared" ca="1" si="453"/>
        <v>302.18</v>
      </c>
      <c r="AD842" s="294">
        <f t="shared" ca="1" si="454"/>
        <v>969.99</v>
      </c>
      <c r="AE842" s="295"/>
      <c r="AF842" s="295"/>
      <c r="AG842" s="296"/>
      <c r="AH842" s="296"/>
      <c r="AI842" s="296"/>
      <c r="AJ842" s="295"/>
      <c r="AK842" s="325"/>
      <c r="AL842" s="295"/>
      <c r="AM842" s="295"/>
    </row>
    <row r="843" spans="1:39" x14ac:dyDescent="0.25">
      <c r="A843" s="232">
        <f t="shared" si="455"/>
        <v>843</v>
      </c>
      <c r="B843" s="232"/>
      <c r="C843" s="281">
        <f>+E843</f>
        <v>0</v>
      </c>
      <c r="D843" s="297"/>
      <c r="E843" s="346"/>
      <c r="F843" s="346"/>
      <c r="G843" s="347" t="s">
        <v>12502</v>
      </c>
      <c r="H843" s="346"/>
      <c r="I843" s="348"/>
      <c r="J843" s="346"/>
      <c r="K843" s="346"/>
      <c r="L843" s="346"/>
      <c r="M843" s="346"/>
      <c r="N843" s="346"/>
      <c r="O843" s="346"/>
      <c r="P843" s="346"/>
      <c r="Q843" s="349"/>
      <c r="R843" s="306"/>
      <c r="S843" s="286"/>
      <c r="T843" s="287"/>
      <c r="U843" s="288" t="str">
        <f t="shared" si="448"/>
        <v/>
      </c>
      <c r="V843" s="287"/>
      <c r="W843" s="289" t="str">
        <f t="shared" si="449"/>
        <v/>
      </c>
      <c r="X843" s="287"/>
      <c r="Y843" s="290" t="str">
        <f t="shared" si="450"/>
        <v/>
      </c>
      <c r="Z843" s="291">
        <f ca="1">SUMIF($T$8:Y$1018,"QUANT.",T843:Y843)</f>
        <v>0</v>
      </c>
      <c r="AA843" s="292">
        <f t="shared" ca="1" si="451"/>
        <v>0</v>
      </c>
      <c r="AB843" s="293" t="str">
        <f t="shared" si="452"/>
        <v/>
      </c>
      <c r="AC843" s="294">
        <f t="shared" ca="1" si="453"/>
        <v>0</v>
      </c>
      <c r="AD843" s="294">
        <f t="shared" ca="1" si="454"/>
        <v>0</v>
      </c>
      <c r="AE843" s="295"/>
      <c r="AF843" s="295"/>
      <c r="AG843" s="296"/>
      <c r="AH843" s="296"/>
      <c r="AI843" s="296"/>
      <c r="AJ843" s="295"/>
      <c r="AK843" s="295"/>
      <c r="AL843" s="295"/>
      <c r="AM843" s="295"/>
    </row>
    <row r="844" spans="1:39" x14ac:dyDescent="0.25">
      <c r="A844" s="232">
        <f t="shared" si="455"/>
        <v>844</v>
      </c>
      <c r="B844" s="232"/>
      <c r="C844" s="281">
        <f>+E844</f>
        <v>19</v>
      </c>
      <c r="D844" s="297"/>
      <c r="E844" s="298">
        <v>19</v>
      </c>
      <c r="F844" s="322"/>
      <c r="G844" s="299" t="s">
        <v>11920</v>
      </c>
      <c r="H844" s="300"/>
      <c r="I844" s="345"/>
      <c r="J844" s="302"/>
      <c r="K844" s="303"/>
      <c r="L844" s="303"/>
      <c r="M844" s="304">
        <f>TRUNC(SUMIF(M845:M852,"&gt;0",M845:M852),2)</f>
        <v>56550.559999999998</v>
      </c>
      <c r="N844" s="304">
        <f>TRUNC(SUMIF(N845:N852,"&gt;0",N845:N852),2)</f>
        <v>10005.83</v>
      </c>
      <c r="O844" s="305"/>
      <c r="P844" s="304">
        <f>SUMIF(O845:O852,"&gt;0",O845:O852)</f>
        <v>66556.39</v>
      </c>
      <c r="Q844" s="306"/>
      <c r="R844" s="306"/>
      <c r="S844" s="286"/>
      <c r="T844" s="287"/>
      <c r="U844" s="288" t="str">
        <f t="shared" si="448"/>
        <v/>
      </c>
      <c r="V844" s="287"/>
      <c r="W844" s="289" t="str">
        <f t="shared" si="449"/>
        <v/>
      </c>
      <c r="X844" s="287"/>
      <c r="Y844" s="290" t="str">
        <f t="shared" si="450"/>
        <v/>
      </c>
      <c r="Z844" s="291">
        <f ca="1">SUMIF($T$8:Y$1018,"QUANT.",T844:Y844)</f>
        <v>0</v>
      </c>
      <c r="AA844" s="292">
        <f t="shared" ca="1" si="451"/>
        <v>0</v>
      </c>
      <c r="AB844" s="293" t="str">
        <f t="shared" si="452"/>
        <v/>
      </c>
      <c r="AC844" s="294">
        <f t="shared" ca="1" si="453"/>
        <v>0</v>
      </c>
      <c r="AD844" s="294">
        <f t="shared" ca="1" si="454"/>
        <v>0</v>
      </c>
      <c r="AE844" s="295"/>
      <c r="AF844" s="295"/>
      <c r="AG844" s="296"/>
      <c r="AH844" s="296"/>
      <c r="AI844" s="296"/>
      <c r="AJ844" s="295"/>
      <c r="AK844" s="295"/>
      <c r="AL844" s="325"/>
      <c r="AM844" s="325"/>
    </row>
    <row r="845" spans="1:39" x14ac:dyDescent="0.25">
      <c r="A845" s="232">
        <f t="shared" si="455"/>
        <v>845</v>
      </c>
      <c r="B845" s="232"/>
      <c r="C845" s="316" t="str">
        <f>+E845</f>
        <v>19.1</v>
      </c>
      <c r="D845" s="297"/>
      <c r="E845" s="317" t="s">
        <v>12503</v>
      </c>
      <c r="F845" s="317"/>
      <c r="G845" s="318" t="s">
        <v>12504</v>
      </c>
      <c r="H845" s="317"/>
      <c r="I845" s="319"/>
      <c r="J845" s="317"/>
      <c r="K845" s="317"/>
      <c r="L845" s="317"/>
      <c r="M845" s="317"/>
      <c r="N845" s="317"/>
      <c r="O845" s="317"/>
      <c r="P845" s="317"/>
      <c r="Q845" s="320"/>
      <c r="R845" s="306"/>
      <c r="S845" s="286"/>
      <c r="T845" s="287"/>
      <c r="U845" s="288" t="str">
        <f t="shared" si="448"/>
        <v/>
      </c>
      <c r="V845" s="287"/>
      <c r="W845" s="289" t="str">
        <f t="shared" si="449"/>
        <v/>
      </c>
      <c r="X845" s="287"/>
      <c r="Y845" s="290" t="str">
        <f t="shared" si="450"/>
        <v/>
      </c>
      <c r="Z845" s="291">
        <f ca="1">SUMIF($T$8:Y$1018,"QUANT.",T845:Y845)</f>
        <v>0</v>
      </c>
      <c r="AA845" s="292">
        <f t="shared" ca="1" si="451"/>
        <v>0</v>
      </c>
      <c r="AB845" s="293" t="str">
        <f t="shared" si="452"/>
        <v/>
      </c>
      <c r="AC845" s="294">
        <f t="shared" ca="1" si="453"/>
        <v>0</v>
      </c>
      <c r="AD845" s="294">
        <f t="shared" ca="1" si="454"/>
        <v>0</v>
      </c>
      <c r="AE845" s="295"/>
      <c r="AF845" s="295"/>
      <c r="AG845" s="296"/>
      <c r="AH845" s="296"/>
      <c r="AI845" s="296"/>
      <c r="AJ845" s="295"/>
      <c r="AK845" s="295"/>
      <c r="AL845" s="295"/>
      <c r="AM845" s="295"/>
    </row>
    <row r="846" spans="1:39" ht="25.5" x14ac:dyDescent="0.25">
      <c r="A846" s="232">
        <f t="shared" si="455"/>
        <v>846</v>
      </c>
      <c r="B846" s="232"/>
      <c r="C846" s="307" t="str">
        <f>+C845</f>
        <v>19.1</v>
      </c>
      <c r="D846" s="308">
        <f>1+D845</f>
        <v>1</v>
      </c>
      <c r="E846" s="309" t="str">
        <f>C846&amp;"."&amp;D846</f>
        <v>19.1.1</v>
      </c>
      <c r="F846" s="310">
        <v>98525</v>
      </c>
      <c r="G846" s="311" t="str">
        <f>IF($F846="","",IFERROR(VLOOKUP($F846,SERVIÇOS!$B:$G,2,0),IFERROR(VLOOKUP($F846,'COMPOSIÇÕES COMPLEMENTARES '!$D:$L,2,0),IFERROR(VLOOKUP($F846,INSUMOS!$A:$D,2,0),""))))</f>
        <v>LIMPEZA MECANIZADA DE CAMADA VEGETAL, VEGETAÇÃO E PEQUENAS ÁRVORES (DIÂMETRO DE TRONCO MENOR QUE 0,20 M), COM TRATOR DE ESTEIRAS. AF_03/2024</v>
      </c>
      <c r="H846" s="312" t="str">
        <f>IF($F846="","",IFERROR(VLOOKUP($F846,SERVIÇOS!$B:$G,3,0),IFERROR(VLOOKUP($F846,'COMPOSIÇÕES COMPLEMENTARES '!$D:$L,3,0),IFERROR(VLOOKUP($F846,INSUMOS!$A:$D,3,0),""))))</f>
        <v>M2</v>
      </c>
      <c r="I846" s="313">
        <v>2894</v>
      </c>
      <c r="J846" s="314">
        <f>IF($F846="","",IFERROR(VLOOKUP($F846,SERVIÇOS!$B:$G,4,0),IFERROR(VLOOKUP($F846,'COMPOSIÇÕES COMPLEMENTARES '!$D:$L,6,0),IFERROR(VLOOKUP($F846,INSUMOS!$A:$D,4,0),""))))</f>
        <v>0.52</v>
      </c>
      <c r="K846" s="314">
        <f>IF($F846="","",IFERROR(VLOOKUP($F846,SERVIÇOS!$B:$G,5,0),IFERROR(VLOOKUP($F846,'COMPOSIÇÕES COMPLEMENTARES '!$D:$L,7,0),0)))</f>
        <v>0.2</v>
      </c>
      <c r="L846" s="314">
        <f>IF(I846="","",J846+K846)</f>
        <v>0.72</v>
      </c>
      <c r="M846" s="314">
        <f>IF(I846="","",TRUNC((I846*J846),2))</f>
        <v>1504.88</v>
      </c>
      <c r="N846" s="314">
        <f>IF(I846="","",TRUNC((I846*K846),2))</f>
        <v>578.79999999999995</v>
      </c>
      <c r="O846" s="314">
        <f>IF(I846="","",TRUNC((M846+N846),2))</f>
        <v>2083.6799999999998</v>
      </c>
      <c r="P846" s="314"/>
      <c r="Q846" s="315"/>
      <c r="R846" s="315"/>
      <c r="S846" s="286"/>
      <c r="T846" s="287"/>
      <c r="U846" s="288" t="str">
        <f t="shared" si="448"/>
        <v/>
      </c>
      <c r="V846" s="287"/>
      <c r="W846" s="289" t="str">
        <f t="shared" si="449"/>
        <v/>
      </c>
      <c r="X846" s="287"/>
      <c r="Y846" s="290" t="str">
        <f t="shared" si="450"/>
        <v/>
      </c>
      <c r="Z846" s="291">
        <f ca="1">SUMIF($T$8:Y$1018,"QUANT.",T846:Y846)</f>
        <v>0</v>
      </c>
      <c r="AA846" s="292">
        <f t="shared" ca="1" si="451"/>
        <v>0</v>
      </c>
      <c r="AB846" s="293" t="str">
        <f t="shared" ca="1" si="452"/>
        <v>MEDIR</v>
      </c>
      <c r="AC846" s="294">
        <f t="shared" ca="1" si="453"/>
        <v>2894</v>
      </c>
      <c r="AD846" s="294">
        <f t="shared" ca="1" si="454"/>
        <v>2083.6799999999998</v>
      </c>
      <c r="AE846" s="295"/>
      <c r="AF846" s="295"/>
      <c r="AG846" s="296"/>
      <c r="AH846" s="296"/>
      <c r="AI846" s="296"/>
      <c r="AJ846" s="295"/>
      <c r="AK846" s="295"/>
      <c r="AL846" s="295"/>
      <c r="AM846" s="295"/>
    </row>
    <row r="847" spans="1:39" ht="25.5" x14ac:dyDescent="0.25">
      <c r="A847" s="232">
        <f t="shared" si="455"/>
        <v>847</v>
      </c>
      <c r="B847" s="232"/>
      <c r="C847" s="307" t="str">
        <f>+C846</f>
        <v>19.1</v>
      </c>
      <c r="D847" s="308">
        <f>1+D846</f>
        <v>2</v>
      </c>
      <c r="E847" s="309" t="str">
        <f>C847&amp;"."&amp;D847</f>
        <v>19.1.2</v>
      </c>
      <c r="F847" s="310">
        <v>100982</v>
      </c>
      <c r="G847" s="311" t="str">
        <f>IF($F847="","",IFERROR(VLOOKUP($F847,SERVIÇOS!$B:$G,2,0),IFERROR(VLOOKUP($F847,'COMPOSIÇÕES COMPLEMENTARES '!$D:$L,2,0),IFERROR(VLOOKUP($F847,INSUMOS!$A:$D,2,0),""))))</f>
        <v>CARGA, MANOBRA E DESCARGA DE ENTULHO EM CAMINHÃO BASCULANTE 10 M³ - CARGA COM ESCAVADEIRA HIDRÁULICA  (CAÇAMBA DE 0,80 M³ / 111 HP) E DESCARGA LIVRE (UNIDADE: M3). AF_07/2020</v>
      </c>
      <c r="H847" s="312" t="str">
        <f>IF($F847="","",IFERROR(VLOOKUP($F847,SERVIÇOS!$B:$G,3,0),IFERROR(VLOOKUP($F847,'COMPOSIÇÕES COMPLEMENTARES '!$D:$L,3,0),IFERROR(VLOOKUP($F847,INSUMOS!$A:$D,3,0),""))))</f>
        <v>M3</v>
      </c>
      <c r="I847" s="313">
        <v>289.39999999999998</v>
      </c>
      <c r="J847" s="314">
        <f>IF($F847="","",IFERROR(VLOOKUP($F847,SERVIÇOS!$B:$G,4,0),IFERROR(VLOOKUP($F847,'COMPOSIÇÕES COMPLEMENTARES '!$D:$L,6,0),IFERROR(VLOOKUP($F847,INSUMOS!$A:$D,4,0),""))))</f>
        <v>8.23</v>
      </c>
      <c r="K847" s="314">
        <f>IF($F847="","",IFERROR(VLOOKUP($F847,SERVIÇOS!$B:$G,5,0),IFERROR(VLOOKUP($F847,'COMPOSIÇÕES COMPLEMENTARES '!$D:$L,7,0),0)))</f>
        <v>1.49</v>
      </c>
      <c r="L847" s="314">
        <f>IF(I847="","",J847+K847)</f>
        <v>9.7200000000000006</v>
      </c>
      <c r="M847" s="314">
        <f>IF(I847="","",TRUNC((I847*J847),2))</f>
        <v>2381.7600000000002</v>
      </c>
      <c r="N847" s="314">
        <f>IF(I847="","",TRUNC((I847*K847),2))</f>
        <v>431.2</v>
      </c>
      <c r="O847" s="314">
        <f>IF(I847="","",TRUNC((M847+N847),2))</f>
        <v>2812.96</v>
      </c>
      <c r="P847" s="314"/>
      <c r="Q847" s="315"/>
      <c r="R847" s="315"/>
      <c r="S847" s="286"/>
      <c r="T847" s="287"/>
      <c r="U847" s="288" t="str">
        <f t="shared" si="448"/>
        <v/>
      </c>
      <c r="V847" s="287"/>
      <c r="W847" s="289" t="str">
        <f t="shared" si="449"/>
        <v/>
      </c>
      <c r="X847" s="287"/>
      <c r="Y847" s="290" t="str">
        <f t="shared" si="450"/>
        <v/>
      </c>
      <c r="Z847" s="291">
        <f ca="1">SUMIF($T$8:Y$1018,"QUANT.",T847:Y847)</f>
        <v>0</v>
      </c>
      <c r="AA847" s="292">
        <f t="shared" ca="1" si="451"/>
        <v>0</v>
      </c>
      <c r="AB847" s="293" t="str">
        <f t="shared" ca="1" si="452"/>
        <v>MEDIR</v>
      </c>
      <c r="AC847" s="294">
        <f t="shared" ca="1" si="453"/>
        <v>289.39999999999998</v>
      </c>
      <c r="AD847" s="294">
        <f t="shared" ca="1" si="454"/>
        <v>2812.96</v>
      </c>
      <c r="AE847" s="295"/>
      <c r="AF847" s="295"/>
      <c r="AG847" s="296"/>
      <c r="AH847" s="296"/>
      <c r="AI847" s="296"/>
      <c r="AJ847" s="295"/>
      <c r="AK847" s="295"/>
      <c r="AL847" s="295"/>
      <c r="AM847" s="295"/>
    </row>
    <row r="848" spans="1:39" ht="25.5" x14ac:dyDescent="0.25">
      <c r="A848" s="232">
        <f t="shared" si="455"/>
        <v>848</v>
      </c>
      <c r="B848" s="232"/>
      <c r="C848" s="307" t="str">
        <f>+C847</f>
        <v>19.1</v>
      </c>
      <c r="D848" s="308">
        <f>1+D847</f>
        <v>3</v>
      </c>
      <c r="E848" s="309" t="str">
        <f>C848&amp;"."&amp;D848</f>
        <v>19.1.3</v>
      </c>
      <c r="F848" s="310">
        <v>97914</v>
      </c>
      <c r="G848" s="311" t="str">
        <f>IF($F848="","",IFERROR(VLOOKUP($F848,SERVIÇOS!$B:$G,2,0),IFERROR(VLOOKUP($F848,'COMPOSIÇÕES COMPLEMENTARES '!$D:$L,2,0),IFERROR(VLOOKUP($F848,INSUMOS!$A:$D,2,0),""))))</f>
        <v>TRANSPORTE COM CAMINHÃO BASCULANTE DE 6 M³, EM VIA URBANA PAVIMENTADA, DMT ATÉ 30 KM (UNIDADE: M3XKM). AF_07/2020</v>
      </c>
      <c r="H848" s="312" t="str">
        <f>IF($F848="","",IFERROR(VLOOKUP($F848,SERVIÇOS!$B:$G,3,0),IFERROR(VLOOKUP($F848,'COMPOSIÇÕES COMPLEMENTARES '!$D:$L,3,0),IFERROR(VLOOKUP($F848,INSUMOS!$A:$D,3,0),""))))</f>
        <v>M3XKM</v>
      </c>
      <c r="I848" s="313">
        <v>2894</v>
      </c>
      <c r="J848" s="314">
        <f>IF($F848="","",IFERROR(VLOOKUP($F848,SERVIÇOS!$B:$G,4,0),IFERROR(VLOOKUP($F848,'COMPOSIÇÕES COMPLEMENTARES '!$D:$L,6,0),IFERROR(VLOOKUP($F848,INSUMOS!$A:$D,4,0),""))))</f>
        <v>2.64</v>
      </c>
      <c r="K848" s="314">
        <f>IF($F848="","",IFERROR(VLOOKUP($F848,SERVIÇOS!$B:$G,5,0),IFERROR(VLOOKUP($F848,'COMPOSIÇÕES COMPLEMENTARES '!$D:$L,7,0),0)))</f>
        <v>0.56999999999999995</v>
      </c>
      <c r="L848" s="314">
        <f>IF(I848="","",J848+K848)</f>
        <v>3.21</v>
      </c>
      <c r="M848" s="314">
        <f>IF(I848="","",TRUNC((I848*J848),2))</f>
        <v>7640.16</v>
      </c>
      <c r="N848" s="314">
        <f>IF(I848="","",TRUNC((I848*K848),2))</f>
        <v>1649.58</v>
      </c>
      <c r="O848" s="314">
        <f>IF(I848="","",TRUNC((M848+N848),2))</f>
        <v>9289.74</v>
      </c>
      <c r="P848" s="314"/>
      <c r="Q848" s="315"/>
      <c r="R848" s="315"/>
      <c r="S848" s="286"/>
      <c r="T848" s="287"/>
      <c r="U848" s="288" t="str">
        <f t="shared" si="448"/>
        <v/>
      </c>
      <c r="V848" s="287"/>
      <c r="W848" s="289" t="str">
        <f t="shared" si="449"/>
        <v/>
      </c>
      <c r="X848" s="287"/>
      <c r="Y848" s="290" t="str">
        <f t="shared" si="450"/>
        <v/>
      </c>
      <c r="Z848" s="291">
        <f ca="1">SUMIF($T$8:Y$1018,"QUANT.",T848:Y848)</f>
        <v>0</v>
      </c>
      <c r="AA848" s="292">
        <f t="shared" ca="1" si="451"/>
        <v>0</v>
      </c>
      <c r="AB848" s="293" t="str">
        <f t="shared" ca="1" si="452"/>
        <v>MEDIR</v>
      </c>
      <c r="AC848" s="294">
        <f t="shared" ca="1" si="453"/>
        <v>2894</v>
      </c>
      <c r="AD848" s="294">
        <f t="shared" ca="1" si="454"/>
        <v>9289.74</v>
      </c>
      <c r="AE848" s="295"/>
      <c r="AF848" s="295"/>
      <c r="AG848" s="296"/>
      <c r="AH848" s="296"/>
      <c r="AI848" s="296"/>
      <c r="AJ848" s="295"/>
      <c r="AK848" s="295"/>
      <c r="AL848" s="295"/>
      <c r="AM848" s="295"/>
    </row>
    <row r="849" spans="1:39" x14ac:dyDescent="0.25">
      <c r="A849" s="232">
        <f t="shared" si="455"/>
        <v>849</v>
      </c>
      <c r="B849" s="232"/>
      <c r="C849" s="316" t="str">
        <f>+E849</f>
        <v>19.2</v>
      </c>
      <c r="D849" s="297"/>
      <c r="E849" s="317" t="s">
        <v>12505</v>
      </c>
      <c r="F849" s="317"/>
      <c r="G849" s="327" t="s">
        <v>20466</v>
      </c>
      <c r="H849" s="317"/>
      <c r="I849" s="319"/>
      <c r="J849" s="317"/>
      <c r="K849" s="317"/>
      <c r="L849" s="317"/>
      <c r="M849" s="317"/>
      <c r="N849" s="317"/>
      <c r="O849" s="317"/>
      <c r="P849" s="317"/>
      <c r="Q849" s="320"/>
      <c r="R849" s="306"/>
      <c r="S849" s="286"/>
      <c r="T849" s="287"/>
      <c r="U849" s="288" t="str">
        <f t="shared" si="448"/>
        <v/>
      </c>
      <c r="V849" s="287"/>
      <c r="W849" s="289" t="str">
        <f t="shared" si="449"/>
        <v/>
      </c>
      <c r="X849" s="287"/>
      <c r="Y849" s="290" t="str">
        <f t="shared" si="450"/>
        <v/>
      </c>
      <c r="Z849" s="291">
        <f ca="1">SUMIF($T$8:Y$1018,"QUANT.",T849:Y849)</f>
        <v>0</v>
      </c>
      <c r="AA849" s="292">
        <f t="shared" ca="1" si="451"/>
        <v>0</v>
      </c>
      <c r="AB849" s="293" t="str">
        <f t="shared" si="452"/>
        <v/>
      </c>
      <c r="AC849" s="294">
        <f t="shared" ca="1" si="453"/>
        <v>0</v>
      </c>
      <c r="AD849" s="294">
        <f t="shared" ca="1" si="454"/>
        <v>0</v>
      </c>
      <c r="AE849" s="295"/>
      <c r="AF849" s="295"/>
      <c r="AG849" s="296"/>
      <c r="AH849" s="296"/>
      <c r="AI849" s="296"/>
      <c r="AJ849" s="295"/>
      <c r="AK849" s="295"/>
      <c r="AL849" s="295"/>
      <c r="AM849" s="295"/>
    </row>
    <row r="850" spans="1:39" x14ac:dyDescent="0.25">
      <c r="A850" s="232">
        <f t="shared" si="455"/>
        <v>850</v>
      </c>
      <c r="B850" s="232"/>
      <c r="C850" s="307" t="str">
        <f>+C849</f>
        <v>19.2</v>
      </c>
      <c r="D850" s="308">
        <f>1+D849</f>
        <v>1</v>
      </c>
      <c r="E850" s="309" t="str">
        <f>C850&amp;"."&amp;D850</f>
        <v>19.2.1</v>
      </c>
      <c r="F850" s="310">
        <v>100574</v>
      </c>
      <c r="G850" s="311" t="str">
        <f>IF($F850="","",IFERROR(VLOOKUP($F850,SERVIÇOS!$B:$G,2,0),IFERROR(VLOOKUP($F850,'COMPOSIÇÕES COMPLEMENTARES '!$D:$L,2,0),IFERROR(VLOOKUP($F850,INSUMOS!$A:$D,2,0),""))))</f>
        <v>ESPALHAMENTO DE MATERIAL COM TRATOR DE ESTEIRAS. AF_09/2024</v>
      </c>
      <c r="H850" s="312" t="str">
        <f>IF($F850="","",IFERROR(VLOOKUP($F850,SERVIÇOS!$B:$G,3,0),IFERROR(VLOOKUP($F850,'COMPOSIÇÕES COMPLEMENTARES '!$D:$L,3,0),IFERROR(VLOOKUP($F850,INSUMOS!$A:$D,3,0),""))))</f>
        <v>M3</v>
      </c>
      <c r="I850" s="313">
        <v>4174.7700000000004</v>
      </c>
      <c r="J850" s="314">
        <f>IF($F850="","",IFERROR(VLOOKUP($F850,SERVIÇOS!$B:$G,4,0),IFERROR(VLOOKUP($F850,'COMPOSIÇÕES COMPLEMENTARES '!$D:$L,6,0),IFERROR(VLOOKUP($F850,INSUMOS!$A:$D,4,0),""))))</f>
        <v>1.1399999999999999</v>
      </c>
      <c r="K850" s="314">
        <f>IF($F850="","",IFERROR(VLOOKUP($F850,SERVIÇOS!$B:$G,5,0),IFERROR(VLOOKUP($F850,'COMPOSIÇÕES COMPLEMENTARES '!$D:$L,7,0),0)))</f>
        <v>0.38</v>
      </c>
      <c r="L850" s="314">
        <f>IF(I850="","",J850+K850)</f>
        <v>1.52</v>
      </c>
      <c r="M850" s="314">
        <f>IF(I850="","",TRUNC((I850*J850),2))</f>
        <v>4759.2299999999996</v>
      </c>
      <c r="N850" s="314">
        <f>IF(I850="","",TRUNC((I850*K850),2))</f>
        <v>1586.41</v>
      </c>
      <c r="O850" s="314">
        <f>IF(I850="","",TRUNC((M850+N850),2))</f>
        <v>6345.64</v>
      </c>
      <c r="P850" s="314"/>
      <c r="Q850" s="315"/>
      <c r="R850" s="315"/>
      <c r="S850" s="286"/>
      <c r="T850" s="287"/>
      <c r="U850" s="288" t="str">
        <f t="shared" si="448"/>
        <v/>
      </c>
      <c r="V850" s="287"/>
      <c r="W850" s="289" t="str">
        <f t="shared" si="449"/>
        <v/>
      </c>
      <c r="X850" s="287"/>
      <c r="Y850" s="290" t="str">
        <f t="shared" si="450"/>
        <v/>
      </c>
      <c r="Z850" s="291">
        <f ca="1">SUMIF($T$8:Y$1018,"QUANT.",T850:Y850)</f>
        <v>0</v>
      </c>
      <c r="AA850" s="292">
        <f t="shared" ca="1" si="451"/>
        <v>0</v>
      </c>
      <c r="AB850" s="293" t="str">
        <f t="shared" ca="1" si="452"/>
        <v>MEDIR</v>
      </c>
      <c r="AC850" s="294">
        <f t="shared" ca="1" si="453"/>
        <v>4174.7700000000004</v>
      </c>
      <c r="AD850" s="294">
        <f t="shared" ca="1" si="454"/>
        <v>6345.64</v>
      </c>
      <c r="AE850" s="295"/>
      <c r="AF850" s="295"/>
      <c r="AG850" s="296"/>
      <c r="AH850" s="296"/>
      <c r="AI850" s="296"/>
      <c r="AJ850" s="295"/>
      <c r="AK850" s="295"/>
      <c r="AL850" s="295"/>
      <c r="AM850" s="295"/>
    </row>
    <row r="851" spans="1:39" ht="38.25" x14ac:dyDescent="0.25">
      <c r="A851" s="232">
        <f t="shared" si="455"/>
        <v>851</v>
      </c>
      <c r="B851" s="232"/>
      <c r="C851" s="307" t="str">
        <f>+C850</f>
        <v>19.2</v>
      </c>
      <c r="D851" s="308">
        <f>1+D850</f>
        <v>2</v>
      </c>
      <c r="E851" s="309" t="str">
        <f>C851&amp;"."&amp;D851</f>
        <v>19.2.2</v>
      </c>
      <c r="F851" s="310">
        <v>96386</v>
      </c>
      <c r="G851" s="311" t="str">
        <f>IF($F851="","",IFERROR(VLOOKUP($F851,SERVIÇOS!$B:$G,2,0),IFERROR(VLOOKUP($F851,'COMPOSIÇÕES COMPLEMENTARES '!$D:$L,2,0),IFERROR(VLOOKUP($F851,INSUMOS!$A:$D,2,0),""))))</f>
        <v>EXECUÇÃO E COMPACTAÇÃO DE CORPO DE ATERRO (95% DE ENERGIA DO PROCTOR NORMAL) COM SOLO PREDOMINANTEMENTE ARENOSO ESPESSURA 15CM - EXCLUSIVE MATERIAL, ESCAVAÇÃO, CARGA E TRANSPORTE. AF_09/2024</v>
      </c>
      <c r="H851" s="312" t="str">
        <f>IF($F851="","",IFERROR(VLOOKUP($F851,SERVIÇOS!$B:$G,3,0),IFERROR(VLOOKUP($F851,'COMPOSIÇÕES COMPLEMENTARES '!$D:$L,3,0),IFERROR(VLOOKUP($F851,INSUMOS!$A:$D,3,0),""))))</f>
        <v>M3</v>
      </c>
      <c r="I851" s="313">
        <v>45</v>
      </c>
      <c r="J851" s="314">
        <f>IF($F851="","",IFERROR(VLOOKUP($F851,SERVIÇOS!$B:$G,4,0),IFERROR(VLOOKUP($F851,'COMPOSIÇÕES COMPLEMENTARES '!$D:$L,6,0),IFERROR(VLOOKUP($F851,INSUMOS!$A:$D,4,0),""))))</f>
        <v>5.88</v>
      </c>
      <c r="K851" s="314">
        <f>IF($F851="","",IFERROR(VLOOKUP($F851,SERVIÇOS!$B:$G,5,0),IFERROR(VLOOKUP($F851,'COMPOSIÇÕES COMPLEMENTARES '!$D:$L,7,0),0)))</f>
        <v>1.56</v>
      </c>
      <c r="L851" s="314">
        <f>IF(I851="","",J851+K851)</f>
        <v>7.4399999999999995</v>
      </c>
      <c r="M851" s="314">
        <f>IF(I851="","",TRUNC((I851*J851),2))</f>
        <v>264.60000000000002</v>
      </c>
      <c r="N851" s="314">
        <f>IF(I851="","",TRUNC((I851*K851),2))</f>
        <v>70.2</v>
      </c>
      <c r="O851" s="314">
        <f>IF(I851="","",TRUNC((M851+N851),2))</f>
        <v>334.8</v>
      </c>
      <c r="P851" s="314"/>
      <c r="Q851" s="315"/>
      <c r="R851" s="315"/>
      <c r="S851" s="286"/>
      <c r="T851" s="287"/>
      <c r="U851" s="288" t="str">
        <f t="shared" si="448"/>
        <v/>
      </c>
      <c r="V851" s="287"/>
      <c r="W851" s="289" t="str">
        <f t="shared" si="449"/>
        <v/>
      </c>
      <c r="X851" s="287"/>
      <c r="Y851" s="290" t="str">
        <f t="shared" si="450"/>
        <v/>
      </c>
      <c r="Z851" s="291">
        <f ca="1">SUMIF($T$8:Y$1018,"QUANT.",T851:Y851)</f>
        <v>0</v>
      </c>
      <c r="AA851" s="292">
        <f t="shared" ca="1" si="451"/>
        <v>0</v>
      </c>
      <c r="AB851" s="293" t="str">
        <f t="shared" ca="1" si="452"/>
        <v>MEDIR</v>
      </c>
      <c r="AC851" s="294">
        <f t="shared" ca="1" si="453"/>
        <v>45</v>
      </c>
      <c r="AD851" s="294">
        <f t="shared" ca="1" si="454"/>
        <v>334.8</v>
      </c>
      <c r="AE851" s="295"/>
      <c r="AF851" s="295"/>
      <c r="AG851" s="296"/>
      <c r="AH851" s="296"/>
      <c r="AI851" s="296"/>
      <c r="AJ851" s="295"/>
      <c r="AK851" s="295"/>
      <c r="AL851" s="295"/>
      <c r="AM851" s="295"/>
    </row>
    <row r="852" spans="1:39" ht="25.5" x14ac:dyDescent="0.25">
      <c r="A852" s="232">
        <f t="shared" si="455"/>
        <v>852</v>
      </c>
      <c r="B852" s="232"/>
      <c r="C852" s="307" t="str">
        <f>+C851</f>
        <v>19.2</v>
      </c>
      <c r="D852" s="308">
        <f>1+D851</f>
        <v>3</v>
      </c>
      <c r="E852" s="309" t="str">
        <f>C852&amp;"."&amp;D852</f>
        <v>19.2.3</v>
      </c>
      <c r="F852" s="310">
        <v>95875</v>
      </c>
      <c r="G852" s="311" t="str">
        <f>IF($F852="","",IFERROR(VLOOKUP($F852,SERVIÇOS!$B:$G,2,0),IFERROR(VLOOKUP($F852,'COMPOSIÇÕES COMPLEMENTARES '!$D:$L,2,0),IFERROR(VLOOKUP($F852,INSUMOS!$A:$D,2,0),""))))</f>
        <v>TRANSPORTE COM CAMINHÃO BASCULANTE DE 10 M³, EM VIA URBANA PAVIMENTADA, DMT ATÉ 30 KM (UNIDADE: M3XKM). AF_07/2020</v>
      </c>
      <c r="H852" s="312" t="str">
        <f>IF($F852="","",IFERROR(VLOOKUP($F852,SERVIÇOS!$B:$G,3,0),IFERROR(VLOOKUP($F852,'COMPOSIÇÕES COMPLEMENTARES '!$D:$L,3,0),IFERROR(VLOOKUP($F852,INSUMOS!$A:$D,3,0),""))))</f>
        <v>M3XKM</v>
      </c>
      <c r="I852" s="313">
        <v>17241.349999999999</v>
      </c>
      <c r="J852" s="314">
        <f>IF($F852="","",IFERROR(VLOOKUP($F852,SERVIÇOS!$B:$G,4,0),IFERROR(VLOOKUP($F852,'COMPOSIÇÕES COMPLEMENTARES '!$D:$L,6,0),IFERROR(VLOOKUP($F852,INSUMOS!$A:$D,4,0),""))))</f>
        <v>2.3199999999999998</v>
      </c>
      <c r="K852" s="314">
        <f>IF($F852="","",IFERROR(VLOOKUP($F852,SERVIÇOS!$B:$G,5,0),IFERROR(VLOOKUP($F852,'COMPOSIÇÕES COMPLEMENTARES '!$D:$L,7,0),0)))</f>
        <v>0.33</v>
      </c>
      <c r="L852" s="314">
        <f>IF(I852="","",J852+K852)</f>
        <v>2.65</v>
      </c>
      <c r="M852" s="314">
        <f>IF(I852="","",TRUNC((I852*J852),2))</f>
        <v>39999.93</v>
      </c>
      <c r="N852" s="314">
        <f>IF(I852="","",TRUNC((I852*K852),2))</f>
        <v>5689.64</v>
      </c>
      <c r="O852" s="314">
        <f>IF(I852="","",TRUNC((M852+N852),2))</f>
        <v>45689.57</v>
      </c>
      <c r="P852" s="314"/>
      <c r="Q852" s="315"/>
      <c r="R852" s="315"/>
      <c r="S852" s="286"/>
      <c r="T852" s="287"/>
      <c r="U852" s="288" t="str">
        <f t="shared" si="448"/>
        <v/>
      </c>
      <c r="V852" s="287"/>
      <c r="W852" s="289" t="str">
        <f t="shared" si="449"/>
        <v/>
      </c>
      <c r="X852" s="287"/>
      <c r="Y852" s="290" t="str">
        <f t="shared" si="450"/>
        <v/>
      </c>
      <c r="Z852" s="291">
        <f ca="1">SUMIF($T$8:Y$1018,"QUANT.",T852:Y852)</f>
        <v>0</v>
      </c>
      <c r="AA852" s="292">
        <f t="shared" ca="1" si="451"/>
        <v>0</v>
      </c>
      <c r="AB852" s="293" t="str">
        <f t="shared" ca="1" si="452"/>
        <v>MEDIR</v>
      </c>
      <c r="AC852" s="294">
        <f t="shared" ca="1" si="453"/>
        <v>17241.349999999999</v>
      </c>
      <c r="AD852" s="294">
        <f t="shared" ca="1" si="454"/>
        <v>45689.57</v>
      </c>
      <c r="AE852" s="295"/>
      <c r="AF852" s="295"/>
      <c r="AG852" s="296"/>
      <c r="AH852" s="296"/>
      <c r="AI852" s="296"/>
      <c r="AJ852" s="295"/>
      <c r="AK852" s="295"/>
      <c r="AL852" s="295"/>
      <c r="AM852" s="295"/>
    </row>
    <row r="853" spans="1:39" x14ac:dyDescent="0.25">
      <c r="A853" s="232">
        <f t="shared" si="455"/>
        <v>853</v>
      </c>
      <c r="B853" s="232"/>
      <c r="C853" s="281">
        <f>+E853</f>
        <v>20</v>
      </c>
      <c r="D853" s="297"/>
      <c r="E853" s="298">
        <v>20</v>
      </c>
      <c r="F853" s="298"/>
      <c r="G853" s="299" t="s">
        <v>20547</v>
      </c>
      <c r="H853" s="300"/>
      <c r="I853" s="345"/>
      <c r="J853" s="302"/>
      <c r="K853" s="303"/>
      <c r="L853" s="303"/>
      <c r="M853" s="304">
        <f>TRUNC(SUMIF(M855:M883,"&gt;0",M855:M883),2)</f>
        <v>381535.55</v>
      </c>
      <c r="N853" s="304">
        <f>TRUNC(SUMIF(N855:N883,"&gt;0",N855:N883),2)</f>
        <v>84575.02</v>
      </c>
      <c r="O853" s="305"/>
      <c r="P853" s="304">
        <f>SUMIF(O855:O883,"&gt;0",O855:O883)</f>
        <v>466110.57</v>
      </c>
      <c r="Q853" s="306"/>
      <c r="R853" s="306"/>
      <c r="S853" s="286"/>
      <c r="T853" s="287"/>
      <c r="U853" s="288" t="str">
        <f t="shared" si="448"/>
        <v/>
      </c>
      <c r="V853" s="287"/>
      <c r="W853" s="289" t="str">
        <f t="shared" si="449"/>
        <v/>
      </c>
      <c r="X853" s="287"/>
      <c r="Y853" s="290" t="str">
        <f t="shared" si="450"/>
        <v/>
      </c>
      <c r="Z853" s="291">
        <f ca="1">SUMIF($T$8:Y$1018,"QUANT.",T853:Y853)</f>
        <v>0</v>
      </c>
      <c r="AA853" s="292">
        <f t="shared" ca="1" si="451"/>
        <v>0</v>
      </c>
      <c r="AB853" s="293" t="str">
        <f t="shared" si="452"/>
        <v/>
      </c>
      <c r="AC853" s="294">
        <f t="shared" ca="1" si="453"/>
        <v>0</v>
      </c>
      <c r="AD853" s="294">
        <f t="shared" ca="1" si="454"/>
        <v>0</v>
      </c>
      <c r="AE853" s="295"/>
      <c r="AF853" s="295"/>
      <c r="AG853" s="296"/>
      <c r="AH853" s="296"/>
      <c r="AI853" s="296"/>
      <c r="AJ853" s="295"/>
      <c r="AK853" s="295"/>
      <c r="AL853" s="295"/>
      <c r="AM853" s="295"/>
    </row>
    <row r="854" spans="1:39" x14ac:dyDescent="0.25">
      <c r="A854" s="232">
        <f t="shared" si="455"/>
        <v>854</v>
      </c>
      <c r="B854" s="232"/>
      <c r="C854" s="316" t="str">
        <f>+E854</f>
        <v>20.1</v>
      </c>
      <c r="D854" s="297"/>
      <c r="E854" s="317" t="s">
        <v>12506</v>
      </c>
      <c r="F854" s="317"/>
      <c r="G854" s="318" t="s">
        <v>20465</v>
      </c>
      <c r="H854" s="317"/>
      <c r="I854" s="319"/>
      <c r="J854" s="317"/>
      <c r="K854" s="317"/>
      <c r="L854" s="317"/>
      <c r="M854" s="317"/>
      <c r="N854" s="317"/>
      <c r="O854" s="317"/>
      <c r="P854" s="317"/>
      <c r="Q854" s="320"/>
      <c r="R854" s="306"/>
      <c r="S854" s="286"/>
      <c r="T854" s="287"/>
      <c r="U854" s="288" t="str">
        <f t="shared" ref="U854" si="456">IF(OR(T854="",$O854=""),"",(T854/$I854)*$O854)</f>
        <v/>
      </c>
      <c r="V854" s="287"/>
      <c r="W854" s="289" t="str">
        <f t="shared" ref="W854" si="457">IF(OR(V854="",$O854=""),"",(V854/$I854)*$O854)</f>
        <v/>
      </c>
      <c r="X854" s="287"/>
      <c r="Y854" s="290" t="str">
        <f t="shared" ref="Y854" si="458">IF(OR(X854="",$O854=""),"",(X854/$I854)*$O854)</f>
        <v/>
      </c>
      <c r="Z854" s="291">
        <f ca="1">SUMIF($T$8:Y$1018,"QUANT.",T854:Y854)</f>
        <v>0</v>
      </c>
      <c r="AA854" s="292">
        <f t="shared" ca="1" si="451"/>
        <v>0</v>
      </c>
      <c r="AB854" s="293" t="str">
        <f t="shared" ref="AB854" si="459">IF(F854&lt;&gt;"",IF(AA854=0,"MEDIR",IF(O854-AA854=0,"OK",IF(O854-AA854&gt;0,"MEDIR","ALERTA!"))),"")</f>
        <v/>
      </c>
      <c r="AC854" s="294">
        <f t="shared" ref="AC854" ca="1" si="460">IF(Z854="",0,I854-Z854)</f>
        <v>0</v>
      </c>
      <c r="AD854" s="294">
        <f t="shared" ref="AD854" ca="1" si="461">IF(AA854="",0,O854-AA854)</f>
        <v>0</v>
      </c>
      <c r="AE854" s="295"/>
      <c r="AF854" s="295"/>
      <c r="AG854" s="296"/>
      <c r="AH854" s="296"/>
      <c r="AI854" s="296"/>
      <c r="AJ854" s="295"/>
      <c r="AK854" s="295"/>
      <c r="AL854" s="295"/>
      <c r="AM854" s="295"/>
    </row>
    <row r="855" spans="1:39" x14ac:dyDescent="0.25">
      <c r="A855" s="232">
        <f t="shared" si="455"/>
        <v>855</v>
      </c>
      <c r="B855" s="232"/>
      <c r="C855" s="316" t="str">
        <f>+E855</f>
        <v>20.1.1</v>
      </c>
      <c r="D855" s="297"/>
      <c r="E855" s="317" t="s">
        <v>20548</v>
      </c>
      <c r="F855" s="317"/>
      <c r="G855" s="318" t="s">
        <v>11920</v>
      </c>
      <c r="H855" s="317"/>
      <c r="I855" s="319"/>
      <c r="J855" s="317"/>
      <c r="K855" s="317"/>
      <c r="L855" s="317"/>
      <c r="M855" s="317"/>
      <c r="N855" s="317"/>
      <c r="O855" s="317"/>
      <c r="P855" s="317"/>
      <c r="Q855" s="320"/>
      <c r="R855" s="306"/>
      <c r="S855" s="286"/>
      <c r="T855" s="287"/>
      <c r="U855" s="288" t="str">
        <f t="shared" si="448"/>
        <v/>
      </c>
      <c r="V855" s="287"/>
      <c r="W855" s="289" t="str">
        <f t="shared" si="449"/>
        <v/>
      </c>
      <c r="X855" s="287"/>
      <c r="Y855" s="290" t="str">
        <f t="shared" si="450"/>
        <v/>
      </c>
      <c r="Z855" s="291">
        <f ca="1">SUMIF($T$8:Y$1018,"QUANT.",T855:Y855)</f>
        <v>0</v>
      </c>
      <c r="AA855" s="292">
        <f t="shared" ca="1" si="451"/>
        <v>0</v>
      </c>
      <c r="AB855" s="293" t="str">
        <f t="shared" si="452"/>
        <v/>
      </c>
      <c r="AC855" s="294">
        <f t="shared" ca="1" si="453"/>
        <v>0</v>
      </c>
      <c r="AD855" s="294">
        <f t="shared" ca="1" si="454"/>
        <v>0</v>
      </c>
      <c r="AE855" s="295"/>
      <c r="AF855" s="295"/>
      <c r="AG855" s="296"/>
      <c r="AH855" s="296"/>
      <c r="AI855" s="296"/>
      <c r="AJ855" s="295"/>
      <c r="AK855" s="295"/>
      <c r="AL855" s="295"/>
      <c r="AM855" s="295"/>
    </row>
    <row r="856" spans="1:39" ht="38.25" x14ac:dyDescent="0.25">
      <c r="A856" s="232">
        <f t="shared" si="455"/>
        <v>856</v>
      </c>
      <c r="B856" s="232"/>
      <c r="C856" s="307" t="str">
        <f>+C855</f>
        <v>20.1.1</v>
      </c>
      <c r="D856" s="308">
        <f>1+D855</f>
        <v>1</v>
      </c>
      <c r="E856" s="309" t="str">
        <f>C856&amp;"."&amp;D856</f>
        <v>20.1.1.1</v>
      </c>
      <c r="F856" s="310">
        <v>90082</v>
      </c>
      <c r="G856" s="311" t="str">
        <f>IF($F856="","",IFERROR(VLOOKUP($F856,SERVIÇOS!$B:$G,2,0),IFERROR(VLOOKUP($F856,'COMPOSIÇÕES COMPLEMENTARES '!$D:$L,2,0),IFERROR(VLOOKUP($F856,INSUMOS!$A:$D,2,0),""))))</f>
        <v>ESCAVAÇÃO MECANIZADA DE VALA COM PROF. ATÉ 1,5 M (MÉDIA MONTANTE E JUSANTE/UMA COMPOSIÇÃO POR TRECHO), ESCAVADEIRA (0,8 M3), LARG. DE 1,5 M A 2,5 M, EM SOLO DE 1A CATEGORIA, EM LOCAIS COM ALTO NÍVEL DE INTERFERÊNCIA. AF_09/2024</v>
      </c>
      <c r="H856" s="312" t="str">
        <f>IF($F856="","",IFERROR(VLOOKUP($F856,SERVIÇOS!$B:$G,3,0),IFERROR(VLOOKUP($F856,'COMPOSIÇÕES COMPLEMENTARES '!$D:$L,3,0),IFERROR(VLOOKUP($F856,INSUMOS!$A:$D,3,0),""))))</f>
        <v>M3</v>
      </c>
      <c r="I856" s="313">
        <v>171.52</v>
      </c>
      <c r="J856" s="314">
        <f>IF($F856="","",IFERROR(VLOOKUP($F856,SERVIÇOS!$B:$G,4,0),IFERROR(VLOOKUP($F856,'COMPOSIÇÕES COMPLEMENTARES '!$D:$L,6,0),IFERROR(VLOOKUP($F856,INSUMOS!$A:$D,4,0),""))))</f>
        <v>8.14</v>
      </c>
      <c r="K856" s="314">
        <f>IF($F856="","",IFERROR(VLOOKUP($F856,SERVIÇOS!$B:$G,5,0),IFERROR(VLOOKUP($F856,'COMPOSIÇÕES COMPLEMENTARES '!$D:$L,7,0),0)))</f>
        <v>2.5099999999999998</v>
      </c>
      <c r="L856" s="314">
        <f>IF(I856="","",J856+K856)</f>
        <v>10.65</v>
      </c>
      <c r="M856" s="314">
        <f>IF(I856="","",TRUNC((I856*J856),2))</f>
        <v>1396.17</v>
      </c>
      <c r="N856" s="314">
        <f>IF(I856="","",TRUNC((I856*K856),2))</f>
        <v>430.51</v>
      </c>
      <c r="O856" s="314">
        <f>IF(I856="","",TRUNC((M856+N856),2))</f>
        <v>1826.68</v>
      </c>
      <c r="P856" s="314"/>
      <c r="Q856" s="315"/>
      <c r="R856" s="315"/>
      <c r="S856" s="286"/>
      <c r="T856" s="287"/>
      <c r="U856" s="288" t="str">
        <f t="shared" ref="U856" si="462">IF(OR(T856="",$O856=""),"",(T856/$I856)*$O856)</f>
        <v/>
      </c>
      <c r="V856" s="287"/>
      <c r="W856" s="289" t="str">
        <f t="shared" ref="W856" si="463">IF(OR(V856="",$O856=""),"",(V856/$I856)*$O856)</f>
        <v/>
      </c>
      <c r="X856" s="287"/>
      <c r="Y856" s="290" t="str">
        <f t="shared" ref="Y856" si="464">IF(OR(X856="",$O856=""),"",(X856/$I856)*$O856)</f>
        <v/>
      </c>
      <c r="Z856" s="291">
        <f ca="1">SUMIF($T$8:Y$1018,"QUANT.",T856:Y856)</f>
        <v>0</v>
      </c>
      <c r="AA856" s="292">
        <f t="shared" ca="1" si="451"/>
        <v>0</v>
      </c>
      <c r="AB856" s="293" t="str">
        <f t="shared" ref="AB856" ca="1" si="465">IF(F856&lt;&gt;"",IF(AA856=0,"MEDIR",IF(O856-AA856=0,"OK",IF(O856-AA856&gt;0,"MEDIR","ALERTA!"))),"")</f>
        <v>MEDIR</v>
      </c>
      <c r="AC856" s="294">
        <f t="shared" ref="AC856" ca="1" si="466">IF(Z856="",0,I856-Z856)</f>
        <v>171.52</v>
      </c>
      <c r="AD856" s="294">
        <f t="shared" ref="AD856" ca="1" si="467">IF(AA856="",0,O856-AA856)</f>
        <v>1826.68</v>
      </c>
      <c r="AE856" s="295"/>
      <c r="AF856" s="295"/>
      <c r="AG856" s="296"/>
      <c r="AH856" s="296"/>
      <c r="AI856" s="296"/>
      <c r="AJ856" s="295"/>
      <c r="AK856" s="295"/>
      <c r="AL856" s="295"/>
      <c r="AM856" s="295"/>
    </row>
    <row r="857" spans="1:39" x14ac:dyDescent="0.25">
      <c r="A857" s="232">
        <f t="shared" si="455"/>
        <v>857</v>
      </c>
      <c r="B857" s="232"/>
      <c r="C857" s="316" t="str">
        <f>+E857</f>
        <v>20.1.2</v>
      </c>
      <c r="D857" s="297"/>
      <c r="E857" s="317" t="s">
        <v>20549</v>
      </c>
      <c r="F857" s="317"/>
      <c r="G857" s="318" t="s">
        <v>20462</v>
      </c>
      <c r="H857" s="317"/>
      <c r="I857" s="319"/>
      <c r="J857" s="317"/>
      <c r="K857" s="317"/>
      <c r="L857" s="317"/>
      <c r="M857" s="317"/>
      <c r="N857" s="317"/>
      <c r="O857" s="317"/>
      <c r="P857" s="317"/>
      <c r="Q857" s="320"/>
      <c r="R857" s="306"/>
      <c r="S857" s="286"/>
      <c r="T857" s="287"/>
      <c r="U857" s="288" t="str">
        <f t="shared" si="448"/>
        <v/>
      </c>
      <c r="V857" s="287"/>
      <c r="W857" s="289" t="str">
        <f t="shared" si="449"/>
        <v/>
      </c>
      <c r="X857" s="287"/>
      <c r="Y857" s="290" t="str">
        <f t="shared" si="450"/>
        <v/>
      </c>
      <c r="Z857" s="291">
        <f ca="1">SUMIF($T$8:Y$1018,"QUANT.",T857:Y857)</f>
        <v>0</v>
      </c>
      <c r="AA857" s="292">
        <f t="shared" ca="1" si="451"/>
        <v>0</v>
      </c>
      <c r="AB857" s="293" t="str">
        <f t="shared" si="452"/>
        <v/>
      </c>
      <c r="AC857" s="294">
        <f t="shared" ca="1" si="453"/>
        <v>0</v>
      </c>
      <c r="AD857" s="294">
        <f t="shared" ca="1" si="454"/>
        <v>0</v>
      </c>
      <c r="AE857" s="295"/>
      <c r="AF857" s="295"/>
      <c r="AG857" s="296"/>
      <c r="AH857" s="296"/>
      <c r="AI857" s="296"/>
      <c r="AJ857" s="295"/>
      <c r="AK857" s="295"/>
      <c r="AL857" s="295"/>
      <c r="AM857" s="295"/>
    </row>
    <row r="858" spans="1:39" ht="25.5" x14ac:dyDescent="0.25">
      <c r="A858" s="232">
        <f t="shared" si="455"/>
        <v>858</v>
      </c>
      <c r="B858" s="232"/>
      <c r="C858" s="307" t="str">
        <f t="shared" ref="C858:C861" si="468">+C857</f>
        <v>20.1.2</v>
      </c>
      <c r="D858" s="308">
        <f t="shared" ref="D858:D861" si="469">1+D857</f>
        <v>1</v>
      </c>
      <c r="E858" s="309" t="str">
        <f t="shared" ref="E858:E861" si="470">C858&amp;"."&amp;D858</f>
        <v>20.1.2.1</v>
      </c>
      <c r="F858" s="310">
        <v>100341</v>
      </c>
      <c r="G858" s="311" t="str">
        <f>IF($F858="","",IFERROR(VLOOKUP($F858,SERVIÇOS!$B:$G,2,0),IFERROR(VLOOKUP($F858,'COMPOSIÇÕES COMPLEMENTARES '!$D:$L,2,0),IFERROR(VLOOKUP($F858,INSUMOS!$A:$D,2,0),""))))</f>
        <v>FABRICAÇÃO, MONTAGEM E DESMONTAGEM DE FÔRMA PARA CORTINA DE CONTENÇÃO, EM CHAPA DE MADEIRA COMPENSADA PLASTIFICADA, E = 18 MM, 10 UTILIZAÇÕES. AF_11/2024</v>
      </c>
      <c r="H858" s="312" t="str">
        <f>IF($F858="","",IFERROR(VLOOKUP($F858,SERVIÇOS!$B:$G,3,0),IFERROR(VLOOKUP($F858,'COMPOSIÇÕES COMPLEMENTARES '!$D:$L,3,0),IFERROR(VLOOKUP($F858,INSUMOS!$A:$D,3,0),""))))</f>
        <v>M2</v>
      </c>
      <c r="I858" s="313">
        <v>842.42</v>
      </c>
      <c r="J858" s="314">
        <f>IF($F858="","",IFERROR(VLOOKUP($F858,SERVIÇOS!$B:$G,4,0),IFERROR(VLOOKUP($F858,'COMPOSIÇÕES COMPLEMENTARES '!$D:$L,6,0),IFERROR(VLOOKUP($F858,INSUMOS!$A:$D,4,0),""))))</f>
        <v>25.79</v>
      </c>
      <c r="K858" s="314">
        <f>IF($F858="","",IFERROR(VLOOKUP($F858,SERVIÇOS!$B:$G,5,0),IFERROR(VLOOKUP($F858,'COMPOSIÇÕES COMPLEMENTARES '!$D:$L,7,0),0)))</f>
        <v>19.95</v>
      </c>
      <c r="L858" s="314">
        <f t="shared" ref="L858:L861" si="471">IF(I858="","",J858+K858)</f>
        <v>45.739999999999995</v>
      </c>
      <c r="M858" s="314">
        <f t="shared" ref="M858:M861" si="472">IF(I858="","",TRUNC((I858*J858),2))</f>
        <v>21726.01</v>
      </c>
      <c r="N858" s="314">
        <f t="shared" ref="N858:N861" si="473">IF(I858="","",TRUNC((I858*K858),2))</f>
        <v>16806.27</v>
      </c>
      <c r="O858" s="314">
        <f t="shared" ref="O858:O861" si="474">IF(I858="","",TRUNC((M858+N858),2))</f>
        <v>38532.28</v>
      </c>
      <c r="P858" s="314"/>
      <c r="Q858" s="315"/>
      <c r="R858" s="315"/>
      <c r="S858" s="286"/>
      <c r="T858" s="287"/>
      <c r="U858" s="288" t="str">
        <f t="shared" si="448"/>
        <v/>
      </c>
      <c r="V858" s="287"/>
      <c r="W858" s="289" t="str">
        <f t="shared" si="449"/>
        <v/>
      </c>
      <c r="X858" s="287"/>
      <c r="Y858" s="290" t="str">
        <f t="shared" si="450"/>
        <v/>
      </c>
      <c r="Z858" s="291">
        <f ca="1">SUMIF($T$8:Y$1018,"QUANT.",T858:Y858)</f>
        <v>0</v>
      </c>
      <c r="AA858" s="292">
        <f t="shared" ca="1" si="451"/>
        <v>0</v>
      </c>
      <c r="AB858" s="293" t="str">
        <f ca="1">IF(F858&lt;&gt;"",IF(AA858=0,"MEDIR",IF(O858-AA858=0,"OK",IF(O858-AA858&gt;0,"MEDIR","ALERTA!"))),"")</f>
        <v>MEDIR</v>
      </c>
      <c r="AC858" s="294">
        <f t="shared" ca="1" si="453"/>
        <v>842.42</v>
      </c>
      <c r="AD858" s="294">
        <f t="shared" ca="1" si="454"/>
        <v>38532.28</v>
      </c>
      <c r="AE858" s="295"/>
      <c r="AF858" s="295"/>
      <c r="AG858" s="296"/>
      <c r="AH858" s="296"/>
      <c r="AI858" s="296"/>
      <c r="AJ858" s="295"/>
      <c r="AK858" s="295"/>
      <c r="AL858" s="295"/>
      <c r="AM858" s="295"/>
    </row>
    <row r="859" spans="1:39" ht="25.5" x14ac:dyDescent="0.25">
      <c r="A859" s="232">
        <f t="shared" si="455"/>
        <v>859</v>
      </c>
      <c r="B859" s="232"/>
      <c r="C859" s="307" t="str">
        <f t="shared" si="468"/>
        <v>20.1.2</v>
      </c>
      <c r="D859" s="308">
        <f t="shared" si="469"/>
        <v>2</v>
      </c>
      <c r="E859" s="309" t="str">
        <f t="shared" si="470"/>
        <v>20.1.2.2</v>
      </c>
      <c r="F859" s="310">
        <v>100342</v>
      </c>
      <c r="G859" s="311" t="str">
        <f>IF($F859="","",IFERROR(VLOOKUP($F859,SERVIÇOS!$B:$G,2,0),IFERROR(VLOOKUP($F859,'COMPOSIÇÕES COMPLEMENTARES '!$D:$L,2,0),IFERROR(VLOOKUP($F859,INSUMOS!$A:$D,2,0),""))))</f>
        <v>ARMAÇÃO DE CORTINA DE CONTENÇÃO EM CONCRETO ARMADO, COM AÇO CA-50 DE 6,3 MM - MONTAGEM. AF_11/2024</v>
      </c>
      <c r="H859" s="312" t="str">
        <f>IF($F859="","",IFERROR(VLOOKUP($F859,SERVIÇOS!$B:$G,3,0),IFERROR(VLOOKUP($F859,'COMPOSIÇÕES COMPLEMENTARES '!$D:$L,3,0),IFERROR(VLOOKUP($F859,INSUMOS!$A:$D,3,0),""))))</f>
        <v>KG</v>
      </c>
      <c r="I859" s="313">
        <v>2922.9</v>
      </c>
      <c r="J859" s="314">
        <f>IF($F859="","",IFERROR(VLOOKUP($F859,SERVIÇOS!$B:$G,4,0),IFERROR(VLOOKUP($F859,'COMPOSIÇÕES COMPLEMENTARES '!$D:$L,6,0),IFERROR(VLOOKUP($F859,INSUMOS!$A:$D,4,0),""))))</f>
        <v>11.99</v>
      </c>
      <c r="K859" s="314">
        <f>IF($F859="","",IFERROR(VLOOKUP($F859,SERVIÇOS!$B:$G,5,0),IFERROR(VLOOKUP($F859,'COMPOSIÇÕES COMPLEMENTARES '!$D:$L,7,0),0)))</f>
        <v>7.02</v>
      </c>
      <c r="L859" s="314">
        <f t="shared" si="471"/>
        <v>19.009999999999998</v>
      </c>
      <c r="M859" s="314">
        <f t="shared" si="472"/>
        <v>35045.57</v>
      </c>
      <c r="N859" s="314">
        <f t="shared" si="473"/>
        <v>20518.75</v>
      </c>
      <c r="O859" s="314">
        <f t="shared" si="474"/>
        <v>55564.32</v>
      </c>
      <c r="P859" s="314"/>
      <c r="Q859" s="315"/>
      <c r="R859" s="315"/>
      <c r="S859" s="286"/>
      <c r="T859" s="287"/>
      <c r="U859" s="288" t="str">
        <f t="shared" si="448"/>
        <v/>
      </c>
      <c r="V859" s="287"/>
      <c r="W859" s="289" t="str">
        <f t="shared" si="449"/>
        <v/>
      </c>
      <c r="X859" s="287"/>
      <c r="Y859" s="290" t="str">
        <f t="shared" si="450"/>
        <v/>
      </c>
      <c r="Z859" s="291">
        <f ca="1">SUMIF($T$8:Y$1018,"QUANT.",T859:Y859)</f>
        <v>0</v>
      </c>
      <c r="AA859" s="292">
        <f t="shared" ca="1" si="451"/>
        <v>0</v>
      </c>
      <c r="AB859" s="293" t="str">
        <f ca="1">IF(F859&lt;&gt;"",IF(AA859=0,"MEDIR",IF(O859-AA859=0,"OK",IF(O859-AA859&gt;0,"MEDIR","ALERTA!"))),"")</f>
        <v>MEDIR</v>
      </c>
      <c r="AC859" s="294">
        <f t="shared" ca="1" si="453"/>
        <v>2922.9</v>
      </c>
      <c r="AD859" s="294">
        <f t="shared" ca="1" si="454"/>
        <v>55564.32</v>
      </c>
      <c r="AE859" s="295"/>
      <c r="AF859" s="295"/>
      <c r="AG859" s="296"/>
      <c r="AH859" s="296"/>
      <c r="AI859" s="296"/>
      <c r="AJ859" s="295"/>
      <c r="AK859" s="295"/>
      <c r="AL859" s="295"/>
      <c r="AM859" s="295"/>
    </row>
    <row r="860" spans="1:39" ht="25.5" x14ac:dyDescent="0.25">
      <c r="A860" s="232">
        <f t="shared" si="455"/>
        <v>860</v>
      </c>
      <c r="B860" s="232"/>
      <c r="C860" s="307" t="str">
        <f t="shared" si="468"/>
        <v>20.1.2</v>
      </c>
      <c r="D860" s="308">
        <f t="shared" si="469"/>
        <v>3</v>
      </c>
      <c r="E860" s="309" t="str">
        <f t="shared" si="470"/>
        <v>20.1.2.3</v>
      </c>
      <c r="F860" s="310">
        <v>100344</v>
      </c>
      <c r="G860" s="311" t="str">
        <f>IF($F860="","",IFERROR(VLOOKUP($F860,SERVIÇOS!$B:$G,2,0),IFERROR(VLOOKUP($F860,'COMPOSIÇÕES COMPLEMENTARES '!$D:$L,2,0),IFERROR(VLOOKUP($F860,INSUMOS!$A:$D,2,0),""))))</f>
        <v>ARMAÇÃO DE CORTINA DE CONTENÇÃO EM CONCRETO ARMADO, COM AÇO CA-50 DE 10 MM - MONTAGEM. AF_11/2024</v>
      </c>
      <c r="H860" s="312" t="str">
        <f>IF($F860="","",IFERROR(VLOOKUP($F860,SERVIÇOS!$B:$G,3,0),IFERROR(VLOOKUP($F860,'COMPOSIÇÕES COMPLEMENTARES '!$D:$L,3,0),IFERROR(VLOOKUP($F860,INSUMOS!$A:$D,3,0),""))))</f>
        <v>KG</v>
      </c>
      <c r="I860" s="313">
        <v>528.5</v>
      </c>
      <c r="J860" s="314">
        <f>IF($F860="","",IFERROR(VLOOKUP($F860,SERVIÇOS!$B:$G,4,0),IFERROR(VLOOKUP($F860,'COMPOSIÇÕES COMPLEMENTARES '!$D:$L,6,0),IFERROR(VLOOKUP($F860,INSUMOS!$A:$D,4,0),""))))</f>
        <v>10.3</v>
      </c>
      <c r="K860" s="314">
        <f>IF($F860="","",IFERROR(VLOOKUP($F860,SERVIÇOS!$B:$G,5,0),IFERROR(VLOOKUP($F860,'COMPOSIÇÕES COMPLEMENTARES '!$D:$L,7,0),0)))</f>
        <v>2.79</v>
      </c>
      <c r="L860" s="314">
        <f t="shared" si="471"/>
        <v>13.09</v>
      </c>
      <c r="M860" s="314">
        <f t="shared" si="472"/>
        <v>5443.55</v>
      </c>
      <c r="N860" s="314">
        <f t="shared" si="473"/>
        <v>1474.51</v>
      </c>
      <c r="O860" s="314">
        <f t="shared" si="474"/>
        <v>6918.06</v>
      </c>
      <c r="P860" s="314"/>
      <c r="Q860" s="315"/>
      <c r="R860" s="315"/>
      <c r="S860" s="286"/>
      <c r="T860" s="287"/>
      <c r="U860" s="288" t="str">
        <f t="shared" si="448"/>
        <v/>
      </c>
      <c r="V860" s="287"/>
      <c r="W860" s="289" t="str">
        <f t="shared" si="449"/>
        <v/>
      </c>
      <c r="X860" s="287"/>
      <c r="Y860" s="290" t="str">
        <f t="shared" si="450"/>
        <v/>
      </c>
      <c r="Z860" s="291">
        <f ca="1">SUMIF($T$8:Y$1018,"QUANT.",T860:Y860)</f>
        <v>0</v>
      </c>
      <c r="AA860" s="292">
        <f t="shared" ca="1" si="451"/>
        <v>0</v>
      </c>
      <c r="AB860" s="293" t="str">
        <f t="shared" ca="1" si="452"/>
        <v>MEDIR</v>
      </c>
      <c r="AC860" s="294">
        <f t="shared" ca="1" si="453"/>
        <v>528.5</v>
      </c>
      <c r="AD860" s="294">
        <f t="shared" ca="1" si="454"/>
        <v>6918.06</v>
      </c>
      <c r="AE860" s="295"/>
      <c r="AF860" s="295"/>
      <c r="AG860" s="296"/>
      <c r="AH860" s="296"/>
      <c r="AI860" s="296"/>
      <c r="AJ860" s="295"/>
      <c r="AK860" s="295"/>
      <c r="AL860" s="295"/>
      <c r="AM860" s="295"/>
    </row>
    <row r="861" spans="1:39" ht="25.5" x14ac:dyDescent="0.25">
      <c r="A861" s="232">
        <f t="shared" si="455"/>
        <v>861</v>
      </c>
      <c r="B861" s="232"/>
      <c r="C861" s="307" t="str">
        <f t="shared" si="468"/>
        <v>20.1.2</v>
      </c>
      <c r="D861" s="308">
        <f t="shared" si="469"/>
        <v>4</v>
      </c>
      <c r="E861" s="309" t="str">
        <f t="shared" si="470"/>
        <v>20.1.2.4</v>
      </c>
      <c r="F861" s="310" t="s">
        <v>20457</v>
      </c>
      <c r="G861" s="311" t="str">
        <f>IF($F861="","",IFERROR(VLOOKUP($F861,SERVIÇOS!$B:$G,2,0),IFERROR(VLOOKUP($F861,'COMPOSIÇÕES COMPLEMENTARES '!$D:$L,2,0),IFERROR(VLOOKUP($F861,INSUMOS!$A:$D,2,0),""))))</f>
        <v>ARMAÇÃO DE MURO/CORTINA DE CONCRETO ARMADO, EXCETO VIGAS, PILARES, LAJES E FUNDAÇÕES, UTILIZANDO AÇO CA-60 DE 5,0 MM - MONTAGEM. AF_06/2022.</v>
      </c>
      <c r="H861" s="312" t="str">
        <f>IF($F861="","",IFERROR(VLOOKUP($F861,SERVIÇOS!$B:$G,3,0),IFERROR(VLOOKUP($F861,'COMPOSIÇÕES COMPLEMENTARES '!$D:$L,3,0),IFERROR(VLOOKUP($F861,INSUMOS!$A:$D,3,0),""))))</f>
        <v>KG</v>
      </c>
      <c r="I861" s="313">
        <v>374.6</v>
      </c>
      <c r="J861" s="314">
        <f>IF($F861="","",IFERROR(VLOOKUP($F861,SERVIÇOS!$B:$G,4,0),IFERROR(VLOOKUP($F861,'COMPOSIÇÕES COMPLEMENTARES '!$D:$L,6,0),IFERROR(VLOOKUP($F861,INSUMOS!$A:$D,4,0),""))))</f>
        <v>11.18</v>
      </c>
      <c r="K861" s="314">
        <f>IF($F861="","",IFERROR(VLOOKUP($F861,SERVIÇOS!$B:$G,5,0),IFERROR(VLOOKUP($F861,'COMPOSIÇÕES COMPLEMENTARES '!$D:$L,7,0),0)))</f>
        <v>7.73</v>
      </c>
      <c r="L861" s="314">
        <f t="shared" si="471"/>
        <v>18.91</v>
      </c>
      <c r="M861" s="314">
        <f t="shared" si="472"/>
        <v>4188.0200000000004</v>
      </c>
      <c r="N861" s="314">
        <f t="shared" si="473"/>
        <v>2895.65</v>
      </c>
      <c r="O861" s="314">
        <f t="shared" si="474"/>
        <v>7083.67</v>
      </c>
      <c r="P861" s="314"/>
      <c r="Q861" s="315"/>
      <c r="R861" s="315"/>
      <c r="S861" s="286"/>
      <c r="T861" s="287"/>
      <c r="U861" s="288" t="str">
        <f t="shared" si="448"/>
        <v/>
      </c>
      <c r="V861" s="287"/>
      <c r="W861" s="289" t="str">
        <f t="shared" si="449"/>
        <v/>
      </c>
      <c r="X861" s="287"/>
      <c r="Y861" s="290" t="str">
        <f t="shared" si="450"/>
        <v/>
      </c>
      <c r="Z861" s="291">
        <f ca="1">SUMIF($T$8:Y$1018,"QUANT.",T861:Y861)</f>
        <v>0</v>
      </c>
      <c r="AA861" s="292">
        <f t="shared" ca="1" si="451"/>
        <v>0</v>
      </c>
      <c r="AB861" s="293" t="str">
        <f t="shared" ca="1" si="452"/>
        <v>MEDIR</v>
      </c>
      <c r="AC861" s="294">
        <f t="shared" ca="1" si="453"/>
        <v>374.6</v>
      </c>
      <c r="AD861" s="294">
        <f t="shared" ca="1" si="454"/>
        <v>7083.67</v>
      </c>
      <c r="AE861" s="295"/>
      <c r="AF861" s="295"/>
      <c r="AG861" s="296"/>
      <c r="AH861" s="296"/>
      <c r="AI861" s="296"/>
      <c r="AJ861" s="295"/>
      <c r="AK861" s="295"/>
      <c r="AL861" s="295"/>
      <c r="AM861" s="295"/>
    </row>
    <row r="862" spans="1:39" x14ac:dyDescent="0.25">
      <c r="A862" s="232">
        <f t="shared" si="455"/>
        <v>862</v>
      </c>
      <c r="B862" s="232"/>
      <c r="C862" s="316" t="str">
        <f>+E862</f>
        <v>20.1.3</v>
      </c>
      <c r="D862" s="297"/>
      <c r="E862" s="317" t="s">
        <v>20550</v>
      </c>
      <c r="F862" s="317"/>
      <c r="G862" s="318" t="s">
        <v>20463</v>
      </c>
      <c r="H862" s="317"/>
      <c r="I862" s="319"/>
      <c r="J862" s="317"/>
      <c r="K862" s="317"/>
      <c r="L862" s="317"/>
      <c r="M862" s="317"/>
      <c r="N862" s="317"/>
      <c r="O862" s="317"/>
      <c r="P862" s="317"/>
      <c r="Q862" s="320"/>
      <c r="R862" s="306"/>
      <c r="S862" s="286"/>
      <c r="T862" s="287"/>
      <c r="U862" s="288" t="str">
        <f t="shared" ref="U862:U936" si="475">IF(OR(T862="",$O862=""),"",(T862/$I862)*$O862)</f>
        <v/>
      </c>
      <c r="V862" s="287"/>
      <c r="W862" s="289" t="str">
        <f t="shared" ref="W862:W936" si="476">IF(OR(V862="",$O862=""),"",(V862/$I862)*$O862)</f>
        <v/>
      </c>
      <c r="X862" s="287"/>
      <c r="Y862" s="290" t="str">
        <f t="shared" ref="Y862:Y936" si="477">IF(OR(X862="",$O862=""),"",(X862/$I862)*$O862)</f>
        <v/>
      </c>
      <c r="Z862" s="291">
        <f ca="1">SUMIF($T$8:Y$1018,"QUANT.",T862:Y862)</f>
        <v>0</v>
      </c>
      <c r="AA862" s="292">
        <f t="shared" ca="1" si="451"/>
        <v>0</v>
      </c>
      <c r="AB862" s="293" t="str">
        <f t="shared" ref="AB862:AB936" si="478">IF(F862&lt;&gt;"",IF(AA862=0,"MEDIR",IF(O862-AA862=0,"OK",IF(O862-AA862&gt;0,"MEDIR","ALERTA!"))),"")</f>
        <v/>
      </c>
      <c r="AC862" s="294">
        <f t="shared" ref="AC862:AC937" ca="1" si="479">IF(Z862="",0,I862-Z862)</f>
        <v>0</v>
      </c>
      <c r="AD862" s="294">
        <f t="shared" ref="AD862:AD937" ca="1" si="480">IF(AA862="",0,O862-AA862)</f>
        <v>0</v>
      </c>
      <c r="AE862" s="295"/>
      <c r="AF862" s="295"/>
      <c r="AG862" s="296"/>
      <c r="AH862" s="296"/>
      <c r="AI862" s="296"/>
      <c r="AJ862" s="295"/>
      <c r="AK862" s="295"/>
      <c r="AL862" s="295"/>
      <c r="AM862" s="295"/>
    </row>
    <row r="863" spans="1:39" ht="51" x14ac:dyDescent="0.25">
      <c r="A863" s="232">
        <f t="shared" si="455"/>
        <v>863</v>
      </c>
      <c r="B863" s="232"/>
      <c r="C863" s="307" t="str">
        <f>+C862</f>
        <v>20.1.3</v>
      </c>
      <c r="D863" s="308">
        <f>1+D862</f>
        <v>1</v>
      </c>
      <c r="E863" s="309" t="str">
        <f>C863&amp;"."&amp;D863</f>
        <v>20.1.3.1</v>
      </c>
      <c r="F863" s="310" t="s">
        <v>20456</v>
      </c>
      <c r="G863" s="311" t="str">
        <f>IF($F863="","",IFERROR(VLOOKUP($F863,SERVIÇOS!$B:$G,2,0),IFERROR(VLOOKUP($F863,'COMPOSIÇÕES COMPLEMENTARES '!$D:$L,2,0),IFERROR(VLOOKUP($F863,INSUMOS!$A:$D,2,0),""))))</f>
        <v>FORNECIMENTO DE CONCRETO USINADO BOMBEÁVEL, CLASSE DE RESISTÊNCIA C25, COM BRITA 0 E 1, SLUMP = 100 +/- 20 MM, INCLUI SERVIÇO DE BOMBEAMENTO, SEM LANÇAMENTO, COM MÃO DE OBRA E SERVIÇOS AUXILIARES PARA APLICAÇÃO + CONCRETAGEM DE CORTINA DE CONTENÇÃO, ATRAVÉS DE BOMBA, COM LANÇAMENTO, ADENSAMENTO E ACABAMENTO.</v>
      </c>
      <c r="H863" s="312" t="str">
        <f>IF($F863="","",IFERROR(VLOOKUP($F863,SERVIÇOS!$B:$G,3,0),IFERROR(VLOOKUP($F863,'COMPOSIÇÕES COMPLEMENTARES '!$D:$L,3,0),IFERROR(VLOOKUP($F863,INSUMOS!$A:$D,3,0),""))))</f>
        <v>M3</v>
      </c>
      <c r="I863" s="313">
        <v>87.33</v>
      </c>
      <c r="J863" s="314">
        <f>IF($F863="","",IFERROR(VLOOKUP($F863,SERVIÇOS!$B:$G,4,0),IFERROR(VLOOKUP($F863,'COMPOSIÇÕES COMPLEMENTARES '!$D:$L,6,0),IFERROR(VLOOKUP($F863,INSUMOS!$A:$D,4,0),""))))</f>
        <v>1096.1199999999999</v>
      </c>
      <c r="K863" s="314">
        <f>IF($F863="","",IFERROR(VLOOKUP($F863,SERVIÇOS!$B:$G,5,0),IFERROR(VLOOKUP($F863,'COMPOSIÇÕES COMPLEMENTARES '!$D:$L,7,0),0)))</f>
        <v>58.09</v>
      </c>
      <c r="L863" s="314">
        <f>IF(I863="","",J863+K863)</f>
        <v>1154.2099999999998</v>
      </c>
      <c r="M863" s="314">
        <f>IF(I863="","",TRUNC((I863*J863),2))</f>
        <v>95724.15</v>
      </c>
      <c r="N863" s="314">
        <f>IF(I863="","",TRUNC((I863*K863),2))</f>
        <v>5072.99</v>
      </c>
      <c r="O863" s="314">
        <f>IF(I863="","",TRUNC((M863+N863),2))</f>
        <v>100797.14</v>
      </c>
      <c r="P863" s="314"/>
      <c r="Q863" s="315"/>
      <c r="R863" s="315"/>
      <c r="S863" s="286"/>
      <c r="T863" s="287"/>
      <c r="U863" s="288" t="str">
        <f t="shared" si="475"/>
        <v/>
      </c>
      <c r="V863" s="287"/>
      <c r="W863" s="289" t="str">
        <f t="shared" si="476"/>
        <v/>
      </c>
      <c r="X863" s="287"/>
      <c r="Y863" s="290" t="str">
        <f t="shared" si="477"/>
        <v/>
      </c>
      <c r="Z863" s="291">
        <f ca="1">SUMIF($T$8:Y$1018,"QUANT.",T863:Y863)</f>
        <v>0</v>
      </c>
      <c r="AA863" s="292">
        <f t="shared" ca="1" si="451"/>
        <v>0</v>
      </c>
      <c r="AB863" s="293" t="str">
        <f t="shared" ca="1" si="478"/>
        <v>MEDIR</v>
      </c>
      <c r="AC863" s="294">
        <f t="shared" ca="1" si="479"/>
        <v>87.33</v>
      </c>
      <c r="AD863" s="294">
        <f t="shared" ca="1" si="480"/>
        <v>100797.14</v>
      </c>
      <c r="AE863" s="295"/>
      <c r="AF863" s="295"/>
      <c r="AG863" s="296"/>
      <c r="AH863" s="296"/>
      <c r="AI863" s="296"/>
      <c r="AJ863" s="295"/>
      <c r="AK863" s="295"/>
      <c r="AL863" s="295"/>
      <c r="AM863" s="295"/>
    </row>
    <row r="864" spans="1:39" x14ac:dyDescent="0.25">
      <c r="A864" s="232">
        <f t="shared" si="455"/>
        <v>864</v>
      </c>
      <c r="B864" s="232"/>
      <c r="C864" s="316" t="str">
        <f>+E864</f>
        <v>20.1.4</v>
      </c>
      <c r="D864" s="297"/>
      <c r="E864" s="317" t="s">
        <v>20551</v>
      </c>
      <c r="F864" s="317"/>
      <c r="G864" s="327" t="s">
        <v>20464</v>
      </c>
      <c r="H864" s="317"/>
      <c r="I864" s="319"/>
      <c r="J864" s="317"/>
      <c r="K864" s="317"/>
      <c r="L864" s="317"/>
      <c r="M864" s="317"/>
      <c r="N864" s="317"/>
      <c r="O864" s="317"/>
      <c r="P864" s="317"/>
      <c r="Q864" s="320"/>
      <c r="R864" s="306"/>
      <c r="S864" s="286"/>
      <c r="T864" s="287"/>
      <c r="U864" s="288" t="str">
        <f t="shared" si="475"/>
        <v/>
      </c>
      <c r="V864" s="287"/>
      <c r="W864" s="289" t="str">
        <f t="shared" si="476"/>
        <v/>
      </c>
      <c r="X864" s="287"/>
      <c r="Y864" s="290" t="str">
        <f t="shared" si="477"/>
        <v/>
      </c>
      <c r="Z864" s="291">
        <f ca="1">SUMIF($T$8:Y$1018,"QUANT.",T864:Y864)</f>
        <v>0</v>
      </c>
      <c r="AA864" s="292">
        <f t="shared" ca="1" si="451"/>
        <v>0</v>
      </c>
      <c r="AB864" s="293" t="str">
        <f t="shared" si="478"/>
        <v/>
      </c>
      <c r="AC864" s="294">
        <f t="shared" ca="1" si="479"/>
        <v>0</v>
      </c>
      <c r="AD864" s="294">
        <f t="shared" ca="1" si="480"/>
        <v>0</v>
      </c>
      <c r="AE864" s="295"/>
      <c r="AF864" s="295"/>
      <c r="AG864" s="296"/>
      <c r="AH864" s="296"/>
      <c r="AI864" s="296"/>
      <c r="AJ864" s="295"/>
      <c r="AK864" s="295"/>
      <c r="AL864" s="295"/>
      <c r="AM864" s="295"/>
    </row>
    <row r="865" spans="1:39" ht="38.25" x14ac:dyDescent="0.25">
      <c r="A865" s="232">
        <f t="shared" si="455"/>
        <v>865</v>
      </c>
      <c r="B865" s="232"/>
      <c r="C865" s="307" t="str">
        <f>+C864</f>
        <v>20.1.4</v>
      </c>
      <c r="D865" s="308">
        <f>1+D864</f>
        <v>1</v>
      </c>
      <c r="E865" s="309" t="str">
        <f>C865&amp;"."&amp;D865</f>
        <v>20.1.4.1</v>
      </c>
      <c r="F865" s="310" t="s">
        <v>20458</v>
      </c>
      <c r="G865" s="311" t="str">
        <f>IF($F865="","",IFERROR(VLOOKUP($F865,SERVIÇOS!$B:$G,2,0),IFERROR(VLOOKUP($F865,'COMPOSIÇÕES COMPLEMENTARES '!$D:$L,2,0),IFERROR(VLOOKUP($F865,INSUMOS!$A:$D,2,0),""))))</f>
        <v>EXECUÇÃO DE CANALETA DE CONCRETO PARA DRENAGEM SUPERFICIAL, TIPO MEIA CANA, ASSENTADA EM ARGAMASSA, NA PARTE SUPERIOR EXTERNA DO TALUDE, INCLUSIVE ESCAVAÇÃO MANUAL DE VALA, ASSENTAMENTO E ACABAMENTO.</v>
      </c>
      <c r="H865" s="312" t="str">
        <f>IF($F865="","",IFERROR(VLOOKUP($F865,SERVIÇOS!$B:$G,3,0),IFERROR(VLOOKUP($F865,'COMPOSIÇÕES COMPLEMENTARES '!$D:$L,3,0),IFERROR(VLOOKUP($F865,INSUMOS!$A:$D,3,0),""))))</f>
        <v>M</v>
      </c>
      <c r="I865" s="313">
        <v>105.02</v>
      </c>
      <c r="J865" s="314">
        <f>IF($F865="","",IFERROR(VLOOKUP($F865,SERVIÇOS!$B:$G,4,0),IFERROR(VLOOKUP($F865,'COMPOSIÇÕES COMPLEMENTARES '!$D:$L,6,0),IFERROR(VLOOKUP($F865,INSUMOS!$A:$D,4,0),""))))</f>
        <v>518.80000000000007</v>
      </c>
      <c r="K865" s="314">
        <f>IF($F865="","",IFERROR(VLOOKUP($F865,SERVIÇOS!$B:$G,5,0),IFERROR(VLOOKUP($F865,'COMPOSIÇÕES COMPLEMENTARES '!$D:$L,7,0),0)))</f>
        <v>38.56</v>
      </c>
      <c r="L865" s="314">
        <f>IF(I865="","",J865+K865)</f>
        <v>557.36000000000013</v>
      </c>
      <c r="M865" s="314">
        <f>IF(I865="","",TRUNC((I865*J865),2))</f>
        <v>54484.37</v>
      </c>
      <c r="N865" s="314">
        <f>IF(I865="","",TRUNC((I865*K865),2))</f>
        <v>4049.57</v>
      </c>
      <c r="O865" s="314">
        <f>IF(I865="","",TRUNC((M865+N865),2))</f>
        <v>58533.94</v>
      </c>
      <c r="P865" s="314"/>
      <c r="Q865" s="315"/>
      <c r="R865" s="315"/>
      <c r="S865" s="286"/>
      <c r="T865" s="287"/>
      <c r="U865" s="288" t="str">
        <f t="shared" si="475"/>
        <v/>
      </c>
      <c r="V865" s="287"/>
      <c r="W865" s="289" t="str">
        <f t="shared" si="476"/>
        <v/>
      </c>
      <c r="X865" s="287"/>
      <c r="Y865" s="290" t="str">
        <f t="shared" si="477"/>
        <v/>
      </c>
      <c r="Z865" s="291">
        <f ca="1">SUMIF($T$8:Y$1018,"QUANT.",T865:Y865)</f>
        <v>0</v>
      </c>
      <c r="AA865" s="292">
        <f t="shared" ca="1" si="451"/>
        <v>0</v>
      </c>
      <c r="AB865" s="293" t="str">
        <f t="shared" ca="1" si="478"/>
        <v>MEDIR</v>
      </c>
      <c r="AC865" s="294">
        <f t="shared" ca="1" si="479"/>
        <v>105.02</v>
      </c>
      <c r="AD865" s="294">
        <f t="shared" ca="1" si="480"/>
        <v>58533.94</v>
      </c>
      <c r="AE865" s="295"/>
      <c r="AF865" s="295"/>
      <c r="AG865" s="296"/>
      <c r="AH865" s="296"/>
      <c r="AI865" s="296"/>
      <c r="AJ865" s="295"/>
      <c r="AK865" s="295"/>
      <c r="AL865" s="295"/>
      <c r="AM865" s="295"/>
    </row>
    <row r="866" spans="1:39" x14ac:dyDescent="0.25">
      <c r="A866" s="232">
        <f t="shared" si="455"/>
        <v>866</v>
      </c>
      <c r="B866" s="232"/>
      <c r="C866" s="316" t="str">
        <f>+E866</f>
        <v>20.1.5</v>
      </c>
      <c r="D866" s="297"/>
      <c r="E866" s="317" t="s">
        <v>20552</v>
      </c>
      <c r="F866" s="317"/>
      <c r="G866" s="318" t="s">
        <v>20344</v>
      </c>
      <c r="H866" s="317"/>
      <c r="I866" s="319"/>
      <c r="J866" s="317"/>
      <c r="K866" s="317"/>
      <c r="L866" s="317"/>
      <c r="M866" s="317"/>
      <c r="N866" s="317"/>
      <c r="O866" s="317"/>
      <c r="P866" s="317"/>
      <c r="Q866" s="320"/>
      <c r="R866" s="306"/>
      <c r="S866" s="286"/>
      <c r="T866" s="287"/>
      <c r="U866" s="288" t="str">
        <f>IF(OR(T866="",$O866=""),"",(T866/$I866)*$O866)</f>
        <v/>
      </c>
      <c r="V866" s="287"/>
      <c r="W866" s="289" t="str">
        <f>IF(OR(V866="",$O866=""),"",(V866/$I866)*$O866)</f>
        <v/>
      </c>
      <c r="X866" s="287"/>
      <c r="Y866" s="290" t="str">
        <f>IF(OR(X866="",$O866=""),"",(X866/$I866)*$O866)</f>
        <v/>
      </c>
      <c r="Z866" s="291">
        <f ca="1">SUMIF($T$8:Y$1018,"QUANT.",T866:Y866)</f>
        <v>0</v>
      </c>
      <c r="AA866" s="292">
        <f t="shared" ca="1" si="451"/>
        <v>0</v>
      </c>
      <c r="AB866" s="293" t="str">
        <f>IF(F866&lt;&gt;"",IF(AA866=0,"MEDIR",IF(O866-AA866=0,"OK",IF(O866-AA866&gt;0,"MEDIR","ALERTA!"))),"")</f>
        <v/>
      </c>
      <c r="AC866" s="294">
        <f ca="1">IF(Z866="",0,I866-Z866)</f>
        <v>0</v>
      </c>
      <c r="AD866" s="294">
        <f ca="1">IF(AA866="",0,O866-AA866)</f>
        <v>0</v>
      </c>
      <c r="AE866" s="295"/>
      <c r="AF866" s="295"/>
      <c r="AG866" s="296"/>
      <c r="AH866" s="296"/>
      <c r="AI866" s="296"/>
      <c r="AJ866" s="295"/>
      <c r="AK866" s="295"/>
      <c r="AL866" s="295"/>
      <c r="AM866" s="295"/>
    </row>
    <row r="867" spans="1:39" ht="25.5" x14ac:dyDescent="0.25">
      <c r="A867" s="232">
        <f t="shared" si="455"/>
        <v>867</v>
      </c>
      <c r="B867" s="232"/>
      <c r="C867" s="307" t="str">
        <f t="shared" ref="C867:C868" si="481">+C866</f>
        <v>20.1.5</v>
      </c>
      <c r="D867" s="308">
        <f t="shared" ref="D867:D868" si="482">1+D866</f>
        <v>1</v>
      </c>
      <c r="E867" s="309" t="str">
        <f t="shared" ref="E867:E868" si="483">C867&amp;"."&amp;D867</f>
        <v>20.1.5.1</v>
      </c>
      <c r="F867" s="310">
        <v>98546</v>
      </c>
      <c r="G867" s="311" t="str">
        <f>IF($F867="","",IFERROR(VLOOKUP($F867,SERVIÇOS!$B:$G,2,0),IFERROR(VLOOKUP($F867,'COMPOSIÇÕES COMPLEMENTARES '!$D:$L,2,0),IFERROR(VLOOKUP($F867,INSUMOS!$A:$D,2,0),""))))</f>
        <v>IMPERMEABILIZAÇÃO DE SUPERFÍCIE COM MANTA ASFÁLTICA, UMA CAMADA, INCLUSIVE APLICAÇÃO DE PRIMER ASFÁLTICO, E=4MM. AF_09/2023</v>
      </c>
      <c r="H867" s="312" t="str">
        <f>IF($F867="","",IFERROR(VLOOKUP($F867,SERVIÇOS!$B:$G,3,0),IFERROR(VLOOKUP($F867,'COMPOSIÇÕES COMPLEMENTARES '!$D:$L,3,0),IFERROR(VLOOKUP($F867,INSUMOS!$A:$D,3,0),""))))</f>
        <v>M2</v>
      </c>
      <c r="I867" s="313">
        <v>293.69</v>
      </c>
      <c r="J867" s="314">
        <f>IF($F867="","",IFERROR(VLOOKUP($F867,SERVIÇOS!$B:$G,4,0),IFERROR(VLOOKUP($F867,'COMPOSIÇÕES COMPLEMENTARES '!$D:$L,6,0),IFERROR(VLOOKUP($F867,INSUMOS!$A:$D,4,0),""))))</f>
        <v>106.98</v>
      </c>
      <c r="K867" s="314">
        <f>IF($F867="","",IFERROR(VLOOKUP($F867,SERVIÇOS!$B:$G,5,0),IFERROR(VLOOKUP($F867,'COMPOSIÇÕES COMPLEMENTARES '!$D:$L,7,0),0)))</f>
        <v>30.08</v>
      </c>
      <c r="L867" s="314">
        <f t="shared" ref="L867:L868" si="484">IF(I867="","",J867+K867)</f>
        <v>137.06</v>
      </c>
      <c r="M867" s="314">
        <f t="shared" ref="M867:M868" si="485">IF(I867="","",TRUNC((I867*J867),2))</f>
        <v>31418.95</v>
      </c>
      <c r="N867" s="314">
        <f t="shared" ref="N867:N868" si="486">IF(I867="","",TRUNC((I867*K867),2))</f>
        <v>8834.19</v>
      </c>
      <c r="O867" s="314">
        <f t="shared" ref="O867:O868" si="487">IF(I867="","",TRUNC((M867+N867),2))</f>
        <v>40253.14</v>
      </c>
      <c r="P867" s="314"/>
      <c r="Q867" s="315"/>
      <c r="R867" s="315"/>
      <c r="S867" s="286"/>
      <c r="T867" s="287"/>
      <c r="U867" s="288" t="str">
        <f>IF(OR(T867="",$O867=""),"",(T867/$I867)*$O867)</f>
        <v/>
      </c>
      <c r="V867" s="287"/>
      <c r="W867" s="289" t="str">
        <f>IF(OR(V867="",$O867=""),"",(V867/$I867)*$O867)</f>
        <v/>
      </c>
      <c r="X867" s="287"/>
      <c r="Y867" s="290" t="str">
        <f>IF(OR(X867="",$O867=""),"",(X867/$I867)*$O867)</f>
        <v/>
      </c>
      <c r="Z867" s="291">
        <f ca="1">SUMIF($T$8:Y$1018,"QUANT.",T867:Y867)</f>
        <v>0</v>
      </c>
      <c r="AA867" s="292">
        <f t="shared" ca="1" si="451"/>
        <v>0</v>
      </c>
      <c r="AB867" s="293" t="str">
        <f ca="1">IF(F867&lt;&gt;"",IF(AA867=0,"MEDIR",IF(O867-AA867=0,"OK",IF(O867-AA867&gt;0,"MEDIR","ALERTA!"))),"")</f>
        <v>MEDIR</v>
      </c>
      <c r="AC867" s="294">
        <f ca="1">IF(Z867="",0,I867-Z867)</f>
        <v>293.69</v>
      </c>
      <c r="AD867" s="294">
        <f ca="1">IF(AA867="",0,O867-AA867)</f>
        <v>40253.14</v>
      </c>
      <c r="AE867" s="295"/>
      <c r="AF867" s="295"/>
      <c r="AG867" s="296"/>
      <c r="AH867" s="296"/>
      <c r="AI867" s="296"/>
      <c r="AJ867" s="295"/>
      <c r="AK867" s="295"/>
      <c r="AL867" s="295"/>
      <c r="AM867" s="295"/>
    </row>
    <row r="868" spans="1:39" ht="25.5" x14ac:dyDescent="0.25">
      <c r="A868" s="232">
        <f t="shared" si="455"/>
        <v>868</v>
      </c>
      <c r="B868" s="232"/>
      <c r="C868" s="307" t="str">
        <f t="shared" si="481"/>
        <v>20.1.5</v>
      </c>
      <c r="D868" s="308">
        <f t="shared" si="482"/>
        <v>2</v>
      </c>
      <c r="E868" s="309" t="str">
        <f t="shared" si="483"/>
        <v>20.1.5.2</v>
      </c>
      <c r="F868" s="310">
        <v>98564</v>
      </c>
      <c r="G868" s="311" t="str">
        <f>IF($F868="","",IFERROR(VLOOKUP($F868,SERVIÇOS!$B:$G,2,0),IFERROR(VLOOKUP($F868,'COMPOSIÇÕES COMPLEMENTARES '!$D:$L,2,0),IFERROR(VLOOKUP($F868,INSUMOS!$A:$D,2,0),""))))</f>
        <v>PROTEÇÃO MECÂNICA DE SUPERFÍCIE VERTICAL COM ARGAMASSA DE CIMENTO E AREIA, TRAÇO 1:3, E=2CM. AF_09/2023</v>
      </c>
      <c r="H868" s="312" t="str">
        <f>IF($F868="","",IFERROR(VLOOKUP($F868,SERVIÇOS!$B:$G,3,0),IFERROR(VLOOKUP($F868,'COMPOSIÇÕES COMPLEMENTARES '!$D:$L,3,0),IFERROR(VLOOKUP($F868,INSUMOS!$A:$D,3,0),""))))</f>
        <v>M2</v>
      </c>
      <c r="I868" s="313">
        <v>293.69</v>
      </c>
      <c r="J868" s="314">
        <f>IF($F868="","",IFERROR(VLOOKUP($F868,SERVIÇOS!$B:$G,4,0),IFERROR(VLOOKUP($F868,'COMPOSIÇÕES COMPLEMENTARES '!$D:$L,6,0),IFERROR(VLOOKUP($F868,INSUMOS!$A:$D,4,0),""))))</f>
        <v>37.29</v>
      </c>
      <c r="K868" s="314">
        <f>IF($F868="","",IFERROR(VLOOKUP($F868,SERVIÇOS!$B:$G,5,0),IFERROR(VLOOKUP($F868,'COMPOSIÇÕES COMPLEMENTARES '!$D:$L,7,0),0)))</f>
        <v>22.17</v>
      </c>
      <c r="L868" s="314">
        <f t="shared" si="484"/>
        <v>59.46</v>
      </c>
      <c r="M868" s="314">
        <f t="shared" si="485"/>
        <v>10951.7</v>
      </c>
      <c r="N868" s="314">
        <f t="shared" si="486"/>
        <v>6511.1</v>
      </c>
      <c r="O868" s="314">
        <f t="shared" si="487"/>
        <v>17462.8</v>
      </c>
      <c r="P868" s="314"/>
      <c r="Q868" s="315"/>
      <c r="R868" s="315"/>
      <c r="S868" s="286"/>
      <c r="T868" s="287"/>
      <c r="U868" s="288" t="str">
        <f>IF(OR(T868="",$O868=""),"",(T868/$I868)*$O868)</f>
        <v/>
      </c>
      <c r="V868" s="287"/>
      <c r="W868" s="289" t="str">
        <f>IF(OR(V868="",$O868=""),"",(V868/$I868)*$O868)</f>
        <v/>
      </c>
      <c r="X868" s="287"/>
      <c r="Y868" s="290" t="str">
        <f>IF(OR(X868="",$O868=""),"",(X868/$I868)*$O868)</f>
        <v/>
      </c>
      <c r="Z868" s="291">
        <f ca="1">SUMIF($T$8:Y$1018,"QUANT.",T868:Y868)</f>
        <v>0</v>
      </c>
      <c r="AA868" s="292">
        <f t="shared" ca="1" si="451"/>
        <v>0</v>
      </c>
      <c r="AB868" s="293" t="str">
        <f ca="1">IF(F868&lt;&gt;"",IF(AA868=0,"MEDIR",IF(O868-AA868=0,"OK",IF(O868-AA868&gt;0,"MEDIR","ALERTA!"))),"")</f>
        <v>MEDIR</v>
      </c>
      <c r="AC868" s="294">
        <f ca="1">IF(Z868="",0,I868-Z868)</f>
        <v>293.69</v>
      </c>
      <c r="AD868" s="294">
        <f ca="1">IF(AA868="",0,O868-AA868)</f>
        <v>17462.8</v>
      </c>
      <c r="AE868" s="295"/>
      <c r="AF868" s="295"/>
      <c r="AG868" s="296"/>
      <c r="AH868" s="296"/>
      <c r="AI868" s="296"/>
      <c r="AJ868" s="295"/>
      <c r="AK868" s="295"/>
      <c r="AL868" s="295"/>
      <c r="AM868" s="295"/>
    </row>
    <row r="869" spans="1:39" x14ac:dyDescent="0.25">
      <c r="A869" s="232">
        <f t="shared" si="455"/>
        <v>869</v>
      </c>
      <c r="B869" s="232"/>
      <c r="C869" s="316" t="str">
        <f>+E869</f>
        <v>20.1.6</v>
      </c>
      <c r="D869" s="297"/>
      <c r="E869" s="317" t="s">
        <v>20562</v>
      </c>
      <c r="F869" s="317"/>
      <c r="G869" s="327" t="s">
        <v>20474</v>
      </c>
      <c r="H869" s="317"/>
      <c r="I869" s="319"/>
      <c r="J869" s="317"/>
      <c r="K869" s="317"/>
      <c r="L869" s="317"/>
      <c r="M869" s="317"/>
      <c r="N869" s="317"/>
      <c r="O869" s="317"/>
      <c r="P869" s="317"/>
      <c r="Q869" s="320"/>
      <c r="R869" s="306"/>
      <c r="S869" s="286"/>
      <c r="T869" s="287"/>
      <c r="U869" s="288" t="str">
        <f t="shared" ref="U869" si="488">IF(OR(T869="",$O869=""),"",(T869/$I869)*$O869)</f>
        <v/>
      </c>
      <c r="V869" s="287"/>
      <c r="W869" s="289" t="str">
        <f t="shared" ref="W869" si="489">IF(OR(V869="",$O869=""),"",(V869/$I869)*$O869)</f>
        <v/>
      </c>
      <c r="X869" s="287"/>
      <c r="Y869" s="290" t="str">
        <f t="shared" ref="Y869" si="490">IF(OR(X869="",$O869=""),"",(X869/$I869)*$O869)</f>
        <v/>
      </c>
      <c r="Z869" s="291">
        <f ca="1">SUMIF($T$8:Y$1018,"QUANT.",T869:Y869)</f>
        <v>0</v>
      </c>
      <c r="AA869" s="292">
        <f t="shared" ca="1" si="451"/>
        <v>0</v>
      </c>
      <c r="AB869" s="293" t="str">
        <f t="shared" ref="AB869" si="491">IF(F869&lt;&gt;"",IF(AA869=0,"MEDIR",IF(O869-AA869=0,"OK",IF(O869-AA869&gt;0,"MEDIR","ALERTA!"))),"")</f>
        <v/>
      </c>
      <c r="AC869" s="294">
        <f t="shared" ref="AC869" ca="1" si="492">IF(Z869="",0,I869-Z869)</f>
        <v>0</v>
      </c>
      <c r="AD869" s="294">
        <f t="shared" ref="AD869" ca="1" si="493">IF(AA869="",0,O869-AA869)</f>
        <v>0</v>
      </c>
      <c r="AE869" s="295"/>
      <c r="AF869" s="295"/>
      <c r="AG869" s="296"/>
      <c r="AH869" s="296"/>
      <c r="AI869" s="296"/>
      <c r="AJ869" s="295"/>
      <c r="AK869" s="295"/>
      <c r="AL869" s="295"/>
      <c r="AM869" s="295"/>
    </row>
    <row r="870" spans="1:39" ht="25.5" x14ac:dyDescent="0.25">
      <c r="A870" s="232">
        <f t="shared" si="455"/>
        <v>870</v>
      </c>
      <c r="B870" s="232"/>
      <c r="C870" s="307" t="str">
        <f>+C869</f>
        <v>20.1.6</v>
      </c>
      <c r="D870" s="308">
        <f>1+D869</f>
        <v>1</v>
      </c>
      <c r="E870" s="309" t="str">
        <f>C870&amp;"."&amp;D870</f>
        <v>20.1.6.1</v>
      </c>
      <c r="F870" s="310">
        <v>88423</v>
      </c>
      <c r="G870" s="311" t="str">
        <f>IF($F870="","",IFERROR(VLOOKUP($F870,SERVIÇOS!$B:$G,2,0),IFERROR(VLOOKUP($F870,'COMPOSIÇÕES COMPLEMENTARES '!$D:$L,2,0),IFERROR(VLOOKUP($F870,INSUMOS!$A:$D,2,0),""))))</f>
        <v>APLICAÇÃO MANUAL DE PINTURA COM TINTA TEXTURIZADA ACRÍLICA EM PAREDES EXTERNAS DE CASAS, UMA COR. AF_03/2024</v>
      </c>
      <c r="H870" s="312" t="str">
        <f>IF($F870="","",IFERROR(VLOOKUP($F870,SERVIÇOS!$B:$G,3,0),IFERROR(VLOOKUP($F870,'COMPOSIÇÕES COMPLEMENTARES '!$D:$L,3,0),IFERROR(VLOOKUP($F870,INSUMOS!$A:$D,3,0),""))))</f>
        <v>M2</v>
      </c>
      <c r="I870" s="313">
        <f>245.02</f>
        <v>245.02</v>
      </c>
      <c r="J870" s="314">
        <f>IF($F870="","",IFERROR(VLOOKUP($F870,SERVIÇOS!$B:$G,4,0),IFERROR(VLOOKUP($F870,'COMPOSIÇÕES COMPLEMENTARES '!$D:$L,6,0),IFERROR(VLOOKUP($F870,INSUMOS!$A:$D,4,0),""))))</f>
        <v>16.98</v>
      </c>
      <c r="K870" s="314">
        <f>IF($F870="","",IFERROR(VLOOKUP($F870,SERVIÇOS!$B:$G,5,0),IFERROR(VLOOKUP($F870,'COMPOSIÇÕES COMPLEMENTARES '!$D:$L,7,0),0)))</f>
        <v>4.6500000000000004</v>
      </c>
      <c r="L870" s="314">
        <f>IF(I870="","",J870+K870)</f>
        <v>21.630000000000003</v>
      </c>
      <c r="M870" s="314">
        <f>IF(I870="","",TRUNC((I870*J870),2))</f>
        <v>4160.43</v>
      </c>
      <c r="N870" s="314">
        <f>IF(I870="","",TRUNC((I870*K870),2))</f>
        <v>1139.3399999999999</v>
      </c>
      <c r="O870" s="314">
        <f>IF(I870="","",TRUNC((M870+N870),2))</f>
        <v>5299.77</v>
      </c>
      <c r="P870" s="314"/>
      <c r="Q870" s="315"/>
      <c r="R870" s="315"/>
      <c r="S870" s="286"/>
      <c r="T870" s="287"/>
      <c r="U870" s="288" t="str">
        <f t="shared" ref="U870" si="494">IF(OR(T870="",$O870=""),"",(T870/$I870)*$O870)</f>
        <v/>
      </c>
      <c r="V870" s="287"/>
      <c r="W870" s="289" t="str">
        <f t="shared" ref="W870" si="495">IF(OR(V870="",$O870=""),"",(V870/$I870)*$O870)</f>
        <v/>
      </c>
      <c r="X870" s="287"/>
      <c r="Y870" s="290" t="str">
        <f t="shared" ref="Y870" si="496">IF(OR(X870="",$O870=""),"",(X870/$I870)*$O870)</f>
        <v/>
      </c>
      <c r="Z870" s="291">
        <f ca="1">SUMIF($T$8:Y$1018,"QUANT.",T870:Y870)</f>
        <v>0</v>
      </c>
      <c r="AA870" s="292">
        <f t="shared" ref="AA870:AA937" ca="1" si="497">SUMIF($T$8:$Y$1018,"CUSTO",T870:Y870)</f>
        <v>0</v>
      </c>
      <c r="AB870" s="293" t="str">
        <f t="shared" ref="AB870" ca="1" si="498">IF(F870&lt;&gt;"",IF(AA870=0,"MEDIR",IF(O870-AA870=0,"OK",IF(O870-AA870&gt;0,"MEDIR","ALERTA!"))),"")</f>
        <v>MEDIR</v>
      </c>
      <c r="AC870" s="294">
        <f t="shared" ref="AC870" ca="1" si="499">IF(Z870="",0,I870-Z870)</f>
        <v>245.02</v>
      </c>
      <c r="AD870" s="294">
        <f t="shared" ref="AD870" ca="1" si="500">IF(AA870="",0,O870-AA870)</f>
        <v>5299.77</v>
      </c>
      <c r="AE870" s="295"/>
      <c r="AF870" s="295"/>
      <c r="AG870" s="296"/>
      <c r="AH870" s="296"/>
      <c r="AI870" s="296"/>
      <c r="AJ870" s="295"/>
      <c r="AK870" s="295"/>
      <c r="AL870" s="325"/>
      <c r="AM870" s="325"/>
    </row>
    <row r="871" spans="1:39" x14ac:dyDescent="0.25">
      <c r="A871" s="232">
        <f t="shared" si="455"/>
        <v>871</v>
      </c>
      <c r="B871" s="232"/>
      <c r="C871" s="316" t="str">
        <f>+E871</f>
        <v>20.2</v>
      </c>
      <c r="D871" s="297"/>
      <c r="E871" s="317" t="s">
        <v>12507</v>
      </c>
      <c r="F871" s="317"/>
      <c r="G871" s="318" t="s">
        <v>20485</v>
      </c>
      <c r="H871" s="317"/>
      <c r="I871" s="319"/>
      <c r="J871" s="317"/>
      <c r="K871" s="317"/>
      <c r="L871" s="317"/>
      <c r="M871" s="743"/>
      <c r="N871" s="743"/>
      <c r="O871" s="743"/>
      <c r="P871" s="743"/>
      <c r="Q871" s="320"/>
      <c r="R871" s="306"/>
      <c r="S871" s="286"/>
      <c r="T871" s="287"/>
      <c r="U871" s="288" t="str">
        <f t="shared" si="475"/>
        <v/>
      </c>
      <c r="V871" s="287"/>
      <c r="W871" s="289" t="str">
        <f t="shared" si="476"/>
        <v/>
      </c>
      <c r="X871" s="287"/>
      <c r="Y871" s="290" t="str">
        <f t="shared" si="477"/>
        <v/>
      </c>
      <c r="Z871" s="291">
        <f ca="1">SUMIF($T$8:Y$1018,"QUANT.",T871:Y871)</f>
        <v>0</v>
      </c>
      <c r="AA871" s="292">
        <f t="shared" ca="1" si="497"/>
        <v>0</v>
      </c>
      <c r="AB871" s="293" t="str">
        <f t="shared" si="478"/>
        <v/>
      </c>
      <c r="AC871" s="294">
        <f t="shared" ca="1" si="479"/>
        <v>0</v>
      </c>
      <c r="AD871" s="294">
        <f t="shared" ca="1" si="480"/>
        <v>0</v>
      </c>
      <c r="AE871" s="295"/>
      <c r="AF871" s="295"/>
      <c r="AG871" s="296"/>
      <c r="AH871" s="296"/>
      <c r="AI871" s="296"/>
      <c r="AJ871" s="295"/>
      <c r="AK871" s="295"/>
      <c r="AL871" s="295"/>
      <c r="AM871" s="295"/>
    </row>
    <row r="872" spans="1:39" x14ac:dyDescent="0.25">
      <c r="A872" s="232">
        <f t="shared" si="455"/>
        <v>872</v>
      </c>
      <c r="B872" s="232"/>
      <c r="C872" s="316" t="str">
        <f>+E872</f>
        <v>20.2.1</v>
      </c>
      <c r="D872" s="297"/>
      <c r="E872" s="317" t="s">
        <v>20553</v>
      </c>
      <c r="F872" s="317"/>
      <c r="G872" s="318" t="s">
        <v>20467</v>
      </c>
      <c r="H872" s="317"/>
      <c r="I872" s="319"/>
      <c r="J872" s="317"/>
      <c r="K872" s="317"/>
      <c r="L872" s="317"/>
      <c r="M872" s="317"/>
      <c r="N872" s="317"/>
      <c r="O872" s="317"/>
      <c r="P872" s="317"/>
      <c r="Q872" s="320"/>
      <c r="R872" s="306"/>
      <c r="S872" s="286"/>
      <c r="T872" s="287"/>
      <c r="U872" s="288" t="str">
        <f t="shared" ref="U872:U882" si="501">IF(OR(T872="",$O872=""),"",(T872/$I872)*$O872)</f>
        <v/>
      </c>
      <c r="V872" s="287"/>
      <c r="W872" s="289" t="str">
        <f t="shared" ref="W872:W882" si="502">IF(OR(V872="",$O872=""),"",(V872/$I872)*$O872)</f>
        <v/>
      </c>
      <c r="X872" s="287"/>
      <c r="Y872" s="290" t="str">
        <f t="shared" ref="Y872:Y882" si="503">IF(OR(X872="",$O872=""),"",(X872/$I872)*$O872)</f>
        <v/>
      </c>
      <c r="Z872" s="291">
        <f ca="1">SUMIF($T$8:Y$1018,"QUANT.",T872:Y872)</f>
        <v>0</v>
      </c>
      <c r="AA872" s="292">
        <f t="shared" ca="1" si="497"/>
        <v>0</v>
      </c>
      <c r="AB872" s="293" t="str">
        <f t="shared" ref="AB872:AB874" si="504">IF(F872&lt;&gt;"",IF(AA872=0,"MEDIR",IF(O872-AA872=0,"OK",IF(O872-AA872&gt;0,"MEDIR","ALERTA!"))),"")</f>
        <v/>
      </c>
      <c r="AC872" s="294">
        <f t="shared" ref="AC872:AC882" ca="1" si="505">IF(Z872="",0,I872-Z872)</f>
        <v>0</v>
      </c>
      <c r="AD872" s="294">
        <f t="shared" ref="AD872:AD882" ca="1" si="506">IF(AA872="",0,O872-AA872)</f>
        <v>0</v>
      </c>
      <c r="AE872" s="295"/>
      <c r="AF872" s="295"/>
      <c r="AG872" s="296"/>
      <c r="AH872" s="296"/>
      <c r="AI872" s="296"/>
      <c r="AJ872" s="295"/>
      <c r="AK872" s="295"/>
      <c r="AL872" s="295"/>
      <c r="AM872" s="295"/>
    </row>
    <row r="873" spans="1:39" ht="25.5" x14ac:dyDescent="0.25">
      <c r="A873" s="232">
        <f t="shared" si="455"/>
        <v>873</v>
      </c>
      <c r="B873" s="232"/>
      <c r="C873" s="307" t="str">
        <f>+C872</f>
        <v>20.2.1</v>
      </c>
      <c r="D873" s="308">
        <f>1+D872</f>
        <v>1</v>
      </c>
      <c r="E873" s="309" t="str">
        <f>C873&amp;"."&amp;D873</f>
        <v>20.2.1.1</v>
      </c>
      <c r="F873" s="310">
        <v>89480</v>
      </c>
      <c r="G873" s="311" t="str">
        <f>IF($F873="","",IFERROR(VLOOKUP($F873,SERVIÇOS!$B:$G,2,0),IFERROR(VLOOKUP($F873,'COMPOSIÇÕES COMPLEMENTARES '!$D:$L,2,0),IFERROR(VLOOKUP($F873,INSUMOS!$A:$D,2,0),""))))</f>
        <v>ALVENARIA DE BLOCOS DE CONCRETO ESTRUTURAL 14X19X29 CM (ESPESSURA 14 CM), FBK = 14 MPA, UTILIZANDO COLHER DE PEDREIRO. AF_10/2022</v>
      </c>
      <c r="H873" s="312" t="str">
        <f>IF($F873="","",IFERROR(VLOOKUP($F873,SERVIÇOS!$B:$G,3,0),IFERROR(VLOOKUP($F873,'COMPOSIÇÕES COMPLEMENTARES '!$D:$L,3,0),IFERROR(VLOOKUP($F873,INSUMOS!$A:$D,3,0),""))))</f>
        <v>M2</v>
      </c>
      <c r="I873" s="313">
        <v>81.89</v>
      </c>
      <c r="J873" s="314">
        <f>IF($F873="","",IFERROR(VLOOKUP($F873,SERVIÇOS!$B:$G,4,0),IFERROR(VLOOKUP($F873,'COMPOSIÇÕES COMPLEMENTARES '!$D:$L,6,0),IFERROR(VLOOKUP($F873,INSUMOS!$A:$D,4,0),""))))</f>
        <v>104.84</v>
      </c>
      <c r="K873" s="314">
        <f>IF($F873="","",IFERROR(VLOOKUP($F873,SERVIÇOS!$B:$G,5,0),IFERROR(VLOOKUP($F873,'COMPOSIÇÕES COMPLEMENTARES '!$D:$L,7,0),0)))</f>
        <v>55.07</v>
      </c>
      <c r="L873" s="314">
        <f>IF(I873="","",J873+K873)</f>
        <v>159.91</v>
      </c>
      <c r="M873" s="314">
        <f>IF(I873="","",TRUNC((I873*J873),2))</f>
        <v>8585.34</v>
      </c>
      <c r="N873" s="314">
        <f>IF(I873="","",TRUNC((I873*K873),2))</f>
        <v>4509.68</v>
      </c>
      <c r="O873" s="314">
        <f>IF(I873="","",TRUNC((M873+N873),2))</f>
        <v>13095.02</v>
      </c>
      <c r="P873" s="314"/>
      <c r="Q873" s="315"/>
      <c r="R873" s="315"/>
      <c r="S873" s="286"/>
      <c r="T873" s="287"/>
      <c r="U873" s="288" t="str">
        <f t="shared" si="501"/>
        <v/>
      </c>
      <c r="V873" s="287"/>
      <c r="W873" s="289" t="str">
        <f t="shared" si="502"/>
        <v/>
      </c>
      <c r="X873" s="287"/>
      <c r="Y873" s="290" t="str">
        <f t="shared" si="503"/>
        <v/>
      </c>
      <c r="Z873" s="291">
        <f ca="1">SUMIF($T$8:Y$1018,"QUANT.",T873:Y873)</f>
        <v>0</v>
      </c>
      <c r="AA873" s="292">
        <f t="shared" ca="1" si="497"/>
        <v>0</v>
      </c>
      <c r="AB873" s="293" t="str">
        <f t="shared" ca="1" si="504"/>
        <v>MEDIR</v>
      </c>
      <c r="AC873" s="294">
        <f t="shared" ca="1" si="505"/>
        <v>81.89</v>
      </c>
      <c r="AD873" s="294">
        <f t="shared" ca="1" si="506"/>
        <v>13095.02</v>
      </c>
      <c r="AE873" s="295"/>
      <c r="AF873" s="295"/>
      <c r="AG873" s="296"/>
      <c r="AH873" s="296"/>
      <c r="AI873" s="296"/>
      <c r="AJ873" s="295"/>
      <c r="AK873" s="295"/>
      <c r="AL873" s="295"/>
      <c r="AM873" s="295"/>
    </row>
    <row r="874" spans="1:39" x14ac:dyDescent="0.25">
      <c r="A874" s="232">
        <f t="shared" si="455"/>
        <v>874</v>
      </c>
      <c r="B874" s="232"/>
      <c r="C874" s="316" t="str">
        <f>+E874</f>
        <v>20.2.2</v>
      </c>
      <c r="D874" s="297"/>
      <c r="E874" s="317" t="s">
        <v>20554</v>
      </c>
      <c r="F874" s="317"/>
      <c r="G874" s="318" t="s">
        <v>20468</v>
      </c>
      <c r="H874" s="317"/>
      <c r="I874" s="319"/>
      <c r="J874" s="317"/>
      <c r="K874" s="317"/>
      <c r="L874" s="317"/>
      <c r="M874" s="317"/>
      <c r="N874" s="317"/>
      <c r="O874" s="317"/>
      <c r="P874" s="317"/>
      <c r="Q874" s="320"/>
      <c r="R874" s="306"/>
      <c r="S874" s="286"/>
      <c r="T874" s="287"/>
      <c r="U874" s="288" t="str">
        <f t="shared" si="501"/>
        <v/>
      </c>
      <c r="V874" s="287"/>
      <c r="W874" s="289" t="str">
        <f t="shared" si="502"/>
        <v/>
      </c>
      <c r="X874" s="287"/>
      <c r="Y874" s="290" t="str">
        <f t="shared" si="503"/>
        <v/>
      </c>
      <c r="Z874" s="291">
        <f ca="1">SUMIF($T$8:Y$1018,"QUANT.",T874:Y874)</f>
        <v>0</v>
      </c>
      <c r="AA874" s="292">
        <f t="shared" ca="1" si="497"/>
        <v>0</v>
      </c>
      <c r="AB874" s="293" t="str">
        <f t="shared" si="504"/>
        <v/>
      </c>
      <c r="AC874" s="294">
        <f t="shared" ca="1" si="505"/>
        <v>0</v>
      </c>
      <c r="AD874" s="294">
        <f t="shared" ca="1" si="506"/>
        <v>0</v>
      </c>
      <c r="AE874" s="295"/>
      <c r="AF874" s="295"/>
      <c r="AG874" s="296"/>
      <c r="AH874" s="296"/>
      <c r="AI874" s="296"/>
      <c r="AJ874" s="295"/>
      <c r="AK874" s="295"/>
      <c r="AL874" s="295"/>
      <c r="AM874" s="295"/>
    </row>
    <row r="875" spans="1:39" ht="38.25" x14ac:dyDescent="0.25">
      <c r="A875" s="232">
        <f t="shared" si="455"/>
        <v>875</v>
      </c>
      <c r="B875" s="232"/>
      <c r="C875" s="307" t="str">
        <f t="shared" ref="C875:C877" si="507">+C874</f>
        <v>20.2.2</v>
      </c>
      <c r="D875" s="308">
        <f t="shared" ref="D875:D877" si="508">1+D874</f>
        <v>1</v>
      </c>
      <c r="E875" s="309" t="str">
        <f t="shared" ref="E875:E877" si="509">C875&amp;"."&amp;D875</f>
        <v>20.2.2.1</v>
      </c>
      <c r="F875" s="310">
        <v>87792</v>
      </c>
      <c r="G875" s="311" t="str">
        <f>IF($F875="","",IFERROR(VLOOKUP($F875,SERVIÇOS!$B:$G,2,0),IFERROR(VLOOKUP($F875,'COMPOSIÇÕES COMPLEMENTARES '!$D:$L,2,0),IFERROR(VLOOKUP($F875,INSUMOS!$A:$D,2,0),""))))</f>
        <v>EMBOÇO OU MASSA ÚNICA EM ARGAMASSA TRAÇO 1:2:8, PREPARO MECÂNICO COM BETONEIRA 400 L, APLICADA MANUALMENTE EM PANOS CEGOS DE FACHADA (SEM PRESENÇA DE VÃOS), ESPESSURA DE 25 MM. AF_08/2022</v>
      </c>
      <c r="H875" s="312" t="str">
        <f>IF($F875="","",IFERROR(VLOOKUP($F875,SERVIÇOS!$B:$G,3,0),IFERROR(VLOOKUP($F875,'COMPOSIÇÕES COMPLEMENTARES '!$D:$L,3,0),IFERROR(VLOOKUP($F875,INSUMOS!$A:$D,3,0),""))))</f>
        <v>M2</v>
      </c>
      <c r="I875" s="313">
        <v>136.88999999999999</v>
      </c>
      <c r="J875" s="314">
        <f>IF($F875="","",IFERROR(VLOOKUP($F875,SERVIÇOS!$B:$G,4,0),IFERROR(VLOOKUP($F875,'COMPOSIÇÕES COMPLEMENTARES '!$D:$L,6,0),IFERROR(VLOOKUP($F875,INSUMOS!$A:$D,4,0),""))))</f>
        <v>23.89</v>
      </c>
      <c r="K875" s="314">
        <f>IF($F875="","",IFERROR(VLOOKUP($F875,SERVIÇOS!$B:$G,5,0),IFERROR(VLOOKUP($F875,'COMPOSIÇÕES COMPLEMENTARES '!$D:$L,7,0),0)))</f>
        <v>22.57</v>
      </c>
      <c r="L875" s="314">
        <f t="shared" ref="L875:L877" si="510">IF(I875="","",J875+K875)</f>
        <v>46.46</v>
      </c>
      <c r="M875" s="314">
        <f t="shared" ref="M875:M877" si="511">IF(I875="","",TRUNC((I875*J875),2))</f>
        <v>3270.3</v>
      </c>
      <c r="N875" s="314">
        <f t="shared" ref="N875:N877" si="512">IF(I875="","",TRUNC((I875*K875),2))</f>
        <v>3089.6</v>
      </c>
      <c r="O875" s="314">
        <f t="shared" ref="O875:O877" si="513">IF(I875="","",TRUNC((M875+N875),2))</f>
        <v>6359.9</v>
      </c>
      <c r="P875" s="314"/>
      <c r="Q875" s="315"/>
      <c r="R875" s="315"/>
      <c r="S875" s="286"/>
      <c r="T875" s="287"/>
      <c r="U875" s="288" t="str">
        <f t="shared" si="501"/>
        <v/>
      </c>
      <c r="V875" s="287"/>
      <c r="W875" s="289" t="str">
        <f t="shared" si="502"/>
        <v/>
      </c>
      <c r="X875" s="287"/>
      <c r="Y875" s="290" t="str">
        <f t="shared" si="503"/>
        <v/>
      </c>
      <c r="Z875" s="291">
        <f ca="1">SUMIF($T$8:Y$1018,"QUANT.",T875:Y875)</f>
        <v>0</v>
      </c>
      <c r="AA875" s="292">
        <f t="shared" ca="1" si="497"/>
        <v>0</v>
      </c>
      <c r="AB875" s="293" t="str">
        <f ca="1">IF(F875&lt;&gt;"",IF(AA875=0,"MEDIR",IF(O875-AA875=0,"OK",IF(O875-AA875&gt;0,"MEDIR","ALERTA!"))),"")</f>
        <v>MEDIR</v>
      </c>
      <c r="AC875" s="294">
        <f t="shared" ca="1" si="505"/>
        <v>136.88999999999999</v>
      </c>
      <c r="AD875" s="294">
        <f t="shared" ca="1" si="506"/>
        <v>6359.9</v>
      </c>
      <c r="AE875" s="295"/>
      <c r="AF875" s="295"/>
      <c r="AG875" s="296"/>
      <c r="AH875" s="296"/>
      <c r="AI875" s="296"/>
      <c r="AJ875" s="295"/>
      <c r="AK875" s="295"/>
      <c r="AL875" s="295"/>
      <c r="AM875" s="295"/>
    </row>
    <row r="876" spans="1:39" x14ac:dyDescent="0.25">
      <c r="A876" s="232">
        <f t="shared" si="455"/>
        <v>876</v>
      </c>
      <c r="B876" s="232"/>
      <c r="C876" s="316" t="str">
        <f>+E876</f>
        <v>20.2.3</v>
      </c>
      <c r="D876" s="297"/>
      <c r="E876" s="317" t="s">
        <v>20555</v>
      </c>
      <c r="F876" s="317"/>
      <c r="G876" s="318" t="s">
        <v>20486</v>
      </c>
      <c r="H876" s="317"/>
      <c r="I876" s="319"/>
      <c r="J876" s="317"/>
      <c r="K876" s="317"/>
      <c r="L876" s="317"/>
      <c r="M876" s="317"/>
      <c r="N876" s="317"/>
      <c r="O876" s="317"/>
      <c r="P876" s="317"/>
      <c r="Q876" s="320"/>
      <c r="R876" s="306"/>
      <c r="S876" s="286"/>
      <c r="T876" s="287"/>
      <c r="U876" s="288" t="str">
        <f t="shared" ref="U876" si="514">IF(OR(T876="",$O876=""),"",(T876/$I876)*$O876)</f>
        <v/>
      </c>
      <c r="V876" s="287"/>
      <c r="W876" s="289" t="str">
        <f t="shared" ref="W876" si="515">IF(OR(V876="",$O876=""),"",(V876/$I876)*$O876)</f>
        <v/>
      </c>
      <c r="X876" s="287"/>
      <c r="Y876" s="290" t="str">
        <f t="shared" ref="Y876" si="516">IF(OR(X876="",$O876=""),"",(X876/$I876)*$O876)</f>
        <v/>
      </c>
      <c r="Z876" s="291">
        <f ca="1">SUMIF($T$8:Y$1018,"QUANT.",T876:Y876)</f>
        <v>0</v>
      </c>
      <c r="AA876" s="292">
        <f t="shared" ca="1" si="497"/>
        <v>0</v>
      </c>
      <c r="AB876" s="293" t="str">
        <f t="shared" ref="AB876" si="517">IF(F876&lt;&gt;"",IF(AA876=0,"MEDIR",IF(O876-AA876=0,"OK",IF(O876-AA876&gt;0,"MEDIR","ALERTA!"))),"")</f>
        <v/>
      </c>
      <c r="AC876" s="294">
        <f t="shared" ref="AC876" ca="1" si="518">IF(Z876="",0,I876-Z876)</f>
        <v>0</v>
      </c>
      <c r="AD876" s="294">
        <f t="shared" ref="AD876" ca="1" si="519">IF(AA876="",0,O876-AA876)</f>
        <v>0</v>
      </c>
      <c r="AE876" s="295"/>
      <c r="AF876" s="295"/>
      <c r="AG876" s="296"/>
      <c r="AH876" s="296"/>
      <c r="AI876" s="296"/>
      <c r="AJ876" s="295"/>
      <c r="AK876" s="295"/>
      <c r="AL876" s="295"/>
      <c r="AM876" s="295"/>
    </row>
    <row r="877" spans="1:39" ht="25.5" x14ac:dyDescent="0.25">
      <c r="A877" s="232">
        <f t="shared" si="455"/>
        <v>877</v>
      </c>
      <c r="B877" s="232"/>
      <c r="C877" s="307" t="str">
        <f t="shared" si="507"/>
        <v>20.2.3</v>
      </c>
      <c r="D877" s="308">
        <f t="shared" si="508"/>
        <v>1</v>
      </c>
      <c r="E877" s="309" t="str">
        <f t="shared" si="509"/>
        <v>20.2.3.1</v>
      </c>
      <c r="F877" s="310">
        <v>88423</v>
      </c>
      <c r="G877" s="311" t="str">
        <f>IF($F877="","",IFERROR(VLOOKUP($F877,SERVIÇOS!$B:$G,2,0),IFERROR(VLOOKUP($F877,'COMPOSIÇÕES COMPLEMENTARES '!$D:$L,2,0),IFERROR(VLOOKUP($F877,INSUMOS!$A:$D,2,0),""))))</f>
        <v>APLICAÇÃO MANUAL DE PINTURA COM TINTA TEXTURIZADA ACRÍLICA EM PAREDES EXTERNAS DE CASAS, UMA COR. AF_03/2024</v>
      </c>
      <c r="H877" s="312" t="str">
        <f>IF($F877="","",IFERROR(VLOOKUP($F877,SERVIÇOS!$B:$G,3,0),IFERROR(VLOOKUP($F877,'COMPOSIÇÕES COMPLEMENTARES '!$D:$L,3,0),IFERROR(VLOOKUP($F877,INSUMOS!$A:$D,3,0),""))))</f>
        <v>M2</v>
      </c>
      <c r="I877" s="313">
        <v>136.88999999999999</v>
      </c>
      <c r="J877" s="314">
        <f>IF($F877="","",IFERROR(VLOOKUP($F877,SERVIÇOS!$B:$G,4,0),IFERROR(VLOOKUP($F877,'COMPOSIÇÕES COMPLEMENTARES '!$D:$L,6,0),IFERROR(VLOOKUP($F877,INSUMOS!$A:$D,4,0),""))))</f>
        <v>16.98</v>
      </c>
      <c r="K877" s="314">
        <f>IF($F877="","",IFERROR(VLOOKUP($F877,SERVIÇOS!$B:$G,5,0),IFERROR(VLOOKUP($F877,'COMPOSIÇÕES COMPLEMENTARES '!$D:$L,7,0),0)))</f>
        <v>4.6500000000000004</v>
      </c>
      <c r="L877" s="314">
        <f t="shared" si="510"/>
        <v>21.630000000000003</v>
      </c>
      <c r="M877" s="314">
        <f t="shared" si="511"/>
        <v>2324.39</v>
      </c>
      <c r="N877" s="314">
        <f t="shared" si="512"/>
        <v>636.53</v>
      </c>
      <c r="O877" s="314">
        <f t="shared" si="513"/>
        <v>2960.92</v>
      </c>
      <c r="P877" s="314"/>
      <c r="Q877" s="315"/>
      <c r="R877" s="315"/>
      <c r="S877" s="286"/>
      <c r="T877" s="287"/>
      <c r="U877" s="288" t="str">
        <f t="shared" si="501"/>
        <v/>
      </c>
      <c r="V877" s="287"/>
      <c r="W877" s="289" t="str">
        <f t="shared" si="502"/>
        <v/>
      </c>
      <c r="X877" s="287"/>
      <c r="Y877" s="290" t="str">
        <f t="shared" si="503"/>
        <v/>
      </c>
      <c r="Z877" s="291">
        <f ca="1">SUMIF($T$8:Y$1018,"QUANT.",T877:Y877)</f>
        <v>0</v>
      </c>
      <c r="AA877" s="292">
        <f t="shared" ca="1" si="497"/>
        <v>0</v>
      </c>
      <c r="AB877" s="293" t="str">
        <f t="shared" ref="AB877:AB882" ca="1" si="520">IF(F877&lt;&gt;"",IF(AA877=0,"MEDIR",IF(O877-AA877=0,"OK",IF(O877-AA877&gt;0,"MEDIR","ALERTA!"))),"")</f>
        <v>MEDIR</v>
      </c>
      <c r="AC877" s="294">
        <f t="shared" ca="1" si="505"/>
        <v>136.88999999999999</v>
      </c>
      <c r="AD877" s="294">
        <f t="shared" ca="1" si="506"/>
        <v>2960.92</v>
      </c>
      <c r="AE877" s="295"/>
      <c r="AF877" s="295"/>
      <c r="AG877" s="296"/>
      <c r="AH877" s="296"/>
      <c r="AI877" s="296"/>
      <c r="AJ877" s="295"/>
      <c r="AK877" s="295"/>
      <c r="AL877" s="295"/>
      <c r="AM877" s="295"/>
    </row>
    <row r="878" spans="1:39" x14ac:dyDescent="0.25">
      <c r="A878" s="232">
        <f t="shared" si="455"/>
        <v>878</v>
      </c>
      <c r="B878" s="232"/>
      <c r="C878" s="316" t="str">
        <f>+E878</f>
        <v>20.2.4</v>
      </c>
      <c r="D878" s="297"/>
      <c r="E878" s="317" t="s">
        <v>20556</v>
      </c>
      <c r="F878" s="317"/>
      <c r="G878" s="318" t="s">
        <v>20469</v>
      </c>
      <c r="H878" s="317"/>
      <c r="I878" s="319"/>
      <c r="J878" s="317"/>
      <c r="K878" s="317"/>
      <c r="L878" s="317"/>
      <c r="M878" s="317"/>
      <c r="N878" s="317"/>
      <c r="O878" s="317"/>
      <c r="P878" s="317"/>
      <c r="Q878" s="320"/>
      <c r="R878" s="306"/>
      <c r="S878" s="286"/>
      <c r="T878" s="287"/>
      <c r="U878" s="288" t="str">
        <f t="shared" ref="U878:U879" si="521">IF(OR(T878="",$O878=""),"",(T878/$I878)*$O878)</f>
        <v/>
      </c>
      <c r="V878" s="287"/>
      <c r="W878" s="289" t="str">
        <f t="shared" ref="W878:W879" si="522">IF(OR(V878="",$O878=""),"",(V878/$I878)*$O878)</f>
        <v/>
      </c>
      <c r="X878" s="287"/>
      <c r="Y878" s="290" t="str">
        <f t="shared" ref="Y878:Y879" si="523">IF(OR(X878="",$O878=""),"",(X878/$I878)*$O878)</f>
        <v/>
      </c>
      <c r="Z878" s="291">
        <f ca="1">SUMIF($T$8:Y$1018,"QUANT.",T878:Y878)</f>
        <v>0</v>
      </c>
      <c r="AA878" s="292">
        <f t="shared" ca="1" si="497"/>
        <v>0</v>
      </c>
      <c r="AB878" s="293" t="str">
        <f t="shared" ref="AB878:AB879" si="524">IF(F878&lt;&gt;"",IF(AA878=0,"MEDIR",IF(O878-AA878=0,"OK",IF(O878-AA878&gt;0,"MEDIR","ALERTA!"))),"")</f>
        <v/>
      </c>
      <c r="AC878" s="294">
        <f t="shared" ref="AC878:AC879" ca="1" si="525">IF(Z878="",0,I878-Z878)</f>
        <v>0</v>
      </c>
      <c r="AD878" s="294">
        <f t="shared" ref="AD878:AD879" ca="1" si="526">IF(AA878="",0,O878-AA878)</f>
        <v>0</v>
      </c>
      <c r="AE878" s="295"/>
      <c r="AF878" s="295"/>
      <c r="AG878" s="296"/>
      <c r="AH878" s="296"/>
      <c r="AI878" s="296"/>
      <c r="AJ878" s="295"/>
      <c r="AK878" s="295"/>
      <c r="AL878" s="295"/>
      <c r="AM878" s="295"/>
    </row>
    <row r="879" spans="1:39" ht="51" x14ac:dyDescent="0.25">
      <c r="A879" s="232">
        <f t="shared" si="455"/>
        <v>879</v>
      </c>
      <c r="B879" s="232"/>
      <c r="C879" s="307" t="str">
        <f>+C878</f>
        <v>20.2.4</v>
      </c>
      <c r="D879" s="308">
        <f>1+D878</f>
        <v>1</v>
      </c>
      <c r="E879" s="309" t="str">
        <f>C879&amp;"."&amp;D879</f>
        <v>20.2.4.1</v>
      </c>
      <c r="F879" s="310" t="s">
        <v>20471</v>
      </c>
      <c r="G879" s="311" t="str">
        <f>IF($F879="","",IFERROR(VLOOKUP($F879,SERVIÇOS!$B:$G,2,0),IFERROR(VLOOKUP($F879,'COMPOSIÇÕES COMPLEMENTARES '!$D:$L,2,0),IFERROR(VLOOKUP($F879,INSUMOS!$A:$D,2,0),""))))</f>
        <v>CERCA/GRADIL NYLOFOR H=2,43M, MALHA 5 X 20CM - FIO 5,00MM, COM FIXADORES DE
POLIAMIDA EM POSTE 40 x 60 MM CHUMBADOS EM BASE DE CONCRETO (EXCLUSIVE ESTA),
REVESTIDOS EM POLIESTER POR PROCESSO DE PINTURA ELETROSTÁTICA (GRADIL E POSTE),
NAS CORES VERDE OU BRANCA - FORNECIMENTO E INSTALAÇÃO</v>
      </c>
      <c r="H879" s="312" t="str">
        <f>IF($F879="","",IFERROR(VLOOKUP($F879,SERVIÇOS!$B:$G,3,0),IFERROR(VLOOKUP($F879,'COMPOSIÇÕES COMPLEMENTARES '!$D:$L,3,0),IFERROR(VLOOKUP($F879,INSUMOS!$A:$D,3,0),""))))</f>
        <v>M</v>
      </c>
      <c r="I879" s="313">
        <v>187.93</v>
      </c>
      <c r="J879" s="314">
        <f>IF($F879="","",IFERROR(VLOOKUP($F879,SERVIÇOS!$B:$G,4,0),IFERROR(VLOOKUP($F879,'COMPOSIÇÕES COMPLEMENTARES '!$D:$L,6,0),IFERROR(VLOOKUP($F879,INSUMOS!$A:$D,4,0),""))))</f>
        <v>455.23</v>
      </c>
      <c r="K879" s="314">
        <f>IF($F879="","",IFERROR(VLOOKUP($F879,SERVIÇOS!$B:$G,5,0),IFERROR(VLOOKUP($F879,'COMPOSIÇÕES COMPLEMENTARES '!$D:$L,7,0),0)))</f>
        <v>0</v>
      </c>
      <c r="L879" s="314">
        <f>IF(I879="","",J879+K879)</f>
        <v>455.23</v>
      </c>
      <c r="M879" s="314">
        <f>IF(I879="","",TRUNC((I879*J879),2))</f>
        <v>85551.37</v>
      </c>
      <c r="N879" s="314">
        <f>IF(I879="","",TRUNC((I879*K879),2))</f>
        <v>0</v>
      </c>
      <c r="O879" s="314">
        <f>IF(I879="","",TRUNC((M879+N879),2))</f>
        <v>85551.37</v>
      </c>
      <c r="P879" s="314"/>
      <c r="Q879" s="315"/>
      <c r="R879" s="315"/>
      <c r="S879" s="286"/>
      <c r="T879" s="287"/>
      <c r="U879" s="288" t="str">
        <f t="shared" si="521"/>
        <v/>
      </c>
      <c r="V879" s="287"/>
      <c r="W879" s="289" t="str">
        <f t="shared" si="522"/>
        <v/>
      </c>
      <c r="X879" s="287"/>
      <c r="Y879" s="290" t="str">
        <f t="shared" si="523"/>
        <v/>
      </c>
      <c r="Z879" s="291">
        <f ca="1">SUMIF($T$8:Y$1018,"QUANT.",T879:Y879)</f>
        <v>0</v>
      </c>
      <c r="AA879" s="292">
        <f t="shared" ca="1" si="497"/>
        <v>0</v>
      </c>
      <c r="AB879" s="293" t="str">
        <f t="shared" ca="1" si="524"/>
        <v>MEDIR</v>
      </c>
      <c r="AC879" s="294">
        <f t="shared" ca="1" si="525"/>
        <v>187.93</v>
      </c>
      <c r="AD879" s="294">
        <f t="shared" ca="1" si="526"/>
        <v>85551.37</v>
      </c>
      <c r="AE879" s="295"/>
      <c r="AF879" s="295"/>
      <c r="AG879" s="296"/>
      <c r="AH879" s="296"/>
      <c r="AI879" s="296"/>
      <c r="AJ879" s="295"/>
      <c r="AK879" s="295"/>
      <c r="AL879" s="295"/>
      <c r="AM879" s="295"/>
    </row>
    <row r="880" spans="1:39" ht="25.5" x14ac:dyDescent="0.25">
      <c r="A880" s="232">
        <f t="shared" si="455"/>
        <v>880</v>
      </c>
      <c r="B880" s="232"/>
      <c r="C880" s="307" t="str">
        <f>+C879</f>
        <v>20.2.4</v>
      </c>
      <c r="D880" s="308">
        <f>1+D879</f>
        <v>2</v>
      </c>
      <c r="E880" s="309" t="str">
        <f>C880&amp;"."&amp;D880</f>
        <v>20.2.4.2</v>
      </c>
      <c r="F880" s="310">
        <v>92761</v>
      </c>
      <c r="G880" s="311" t="str">
        <f>IF($F880="","",IFERROR(VLOOKUP($F880,SERVIÇOS!$B:$G,2,0),IFERROR(VLOOKUP($F880,'COMPOSIÇÕES COMPLEMENTARES '!$D:$L,2,0),IFERROR(VLOOKUP($F880,INSUMOS!$A:$D,2,0),""))))</f>
        <v>ARMAÇÃO DE PILAR OU VIGA DE ESTRUTURA CONVENCIONAL DE CONCRETO ARMADO UTILIZANDO AÇO CA-50 DE 8,0 MM - MONTAGEM. AF_06/2022</v>
      </c>
      <c r="H880" s="312" t="str">
        <f>IF($F880="","",IFERROR(VLOOKUP($F880,SERVIÇOS!$B:$G,3,0),IFERROR(VLOOKUP($F880,'COMPOSIÇÕES COMPLEMENTARES '!$D:$L,3,0),IFERROR(VLOOKUP($F880,INSUMOS!$A:$D,3,0),""))))</f>
        <v>KG</v>
      </c>
      <c r="I880" s="313">
        <v>274.81</v>
      </c>
      <c r="J880" s="314">
        <f>IF($F880="","",IFERROR(VLOOKUP($F880,SERVIÇOS!$B:$G,4,0),IFERROR(VLOOKUP($F880,'COMPOSIÇÕES COMPLEMENTARES '!$D:$L,6,0),IFERROR(VLOOKUP($F880,INSUMOS!$A:$D,4,0),""))))</f>
        <v>10.68</v>
      </c>
      <c r="K880" s="314">
        <f>IF($F880="","",IFERROR(VLOOKUP($F880,SERVIÇOS!$B:$G,5,0),IFERROR(VLOOKUP($F880,'COMPOSIÇÕES COMPLEMENTARES '!$D:$L,7,0),0)))</f>
        <v>2.21</v>
      </c>
      <c r="L880" s="314">
        <f>IF(I880="","",J880+K880)</f>
        <v>12.89</v>
      </c>
      <c r="M880" s="314">
        <f>IF(I880="","",TRUNC((I880*J880),2))</f>
        <v>2934.97</v>
      </c>
      <c r="N880" s="314">
        <f>IF(I880="","",TRUNC((I880*K880),2))</f>
        <v>607.33000000000004</v>
      </c>
      <c r="O880" s="314">
        <f>IF(I880="","",TRUNC((M880+N880),2))</f>
        <v>3542.3</v>
      </c>
      <c r="P880" s="314"/>
      <c r="Q880" s="315"/>
      <c r="R880" s="315"/>
      <c r="S880" s="286"/>
      <c r="T880" s="287"/>
      <c r="U880" s="288" t="str">
        <f t="shared" si="501"/>
        <v/>
      </c>
      <c r="V880" s="287"/>
      <c r="W880" s="289" t="str">
        <f t="shared" si="502"/>
        <v/>
      </c>
      <c r="X880" s="287"/>
      <c r="Y880" s="290" t="str">
        <f t="shared" si="503"/>
        <v/>
      </c>
      <c r="Z880" s="291">
        <f ca="1">SUMIF($T$8:Y$1018,"QUANT.",T880:Y880)</f>
        <v>0</v>
      </c>
      <c r="AA880" s="292">
        <f t="shared" ca="1" si="497"/>
        <v>0</v>
      </c>
      <c r="AB880" s="293" t="str">
        <f t="shared" ca="1" si="520"/>
        <v>MEDIR</v>
      </c>
      <c r="AC880" s="294">
        <f t="shared" ca="1" si="505"/>
        <v>274.81</v>
      </c>
      <c r="AD880" s="294">
        <f t="shared" ca="1" si="506"/>
        <v>3542.3</v>
      </c>
      <c r="AE880" s="295"/>
      <c r="AF880" s="295"/>
      <c r="AG880" s="296"/>
      <c r="AH880" s="296"/>
      <c r="AI880" s="296"/>
      <c r="AJ880" s="295"/>
      <c r="AK880" s="295"/>
      <c r="AL880" s="295"/>
      <c r="AM880" s="295"/>
    </row>
    <row r="881" spans="1:39" x14ac:dyDescent="0.25">
      <c r="A881" s="232">
        <f t="shared" si="455"/>
        <v>881</v>
      </c>
      <c r="B881" s="232"/>
      <c r="C881" s="307" t="str">
        <f>+C880</f>
        <v>20.2.4</v>
      </c>
      <c r="D881" s="308">
        <f>1+D880</f>
        <v>3</v>
      </c>
      <c r="E881" s="309" t="str">
        <f>C881&amp;"."&amp;D881</f>
        <v>20.2.4.3</v>
      </c>
      <c r="F881" s="310" t="s">
        <v>11931</v>
      </c>
      <c r="G881" s="311" t="str">
        <f>IF($F881="","",IFERROR(VLOOKUP($F881,SERVIÇOS!$B:$G,2,0),IFERROR(VLOOKUP($F881,'COMPOSIÇÕES COMPLEMENTARES '!$D:$L,2,0),IFERROR(VLOOKUP($F881,INSUMOS!$A:$D,2,0),""))))</f>
        <v>FORMA TABUA PARA CONCRETO EM FUNDACAO C/ REAPROVEITAMENTO 5X</v>
      </c>
      <c r="H881" s="312" t="str">
        <f>IF($F881="","",IFERROR(VLOOKUP($F881,SERVIÇOS!$B:$G,3,0),IFERROR(VLOOKUP($F881,'COMPOSIÇÕES COMPLEMENTARES '!$D:$L,3,0),IFERROR(VLOOKUP($F881,INSUMOS!$A:$D,3,0),""))))</f>
        <v>M2</v>
      </c>
      <c r="I881" s="313">
        <v>104.36</v>
      </c>
      <c r="J881" s="314">
        <f>IF($F881="","",IFERROR(VLOOKUP($F881,SERVIÇOS!$B:$G,4,0),IFERROR(VLOOKUP($F881,'COMPOSIÇÕES COMPLEMENTARES '!$D:$L,6,0),IFERROR(VLOOKUP($F881,INSUMOS!$A:$D,4,0),""))))</f>
        <v>40.69</v>
      </c>
      <c r="K881" s="314">
        <f>IF($F881="","",IFERROR(VLOOKUP($F881,SERVIÇOS!$B:$G,5,0),IFERROR(VLOOKUP($F881,'COMPOSIÇÕES COMPLEMENTARES '!$D:$L,7,0),0)))</f>
        <v>29.34</v>
      </c>
      <c r="L881" s="314">
        <f>IF(I881="","",J881+K881)</f>
        <v>70.03</v>
      </c>
      <c r="M881" s="314">
        <f>IF(I881="","",TRUNC((I881*J881),2))</f>
        <v>4246.3999999999996</v>
      </c>
      <c r="N881" s="314">
        <f>IF(I881="","",TRUNC((I881*K881),2))</f>
        <v>3061.92</v>
      </c>
      <c r="O881" s="314">
        <f>IF(I881="","",TRUNC((M881+N881),2))</f>
        <v>7308.32</v>
      </c>
      <c r="P881" s="314"/>
      <c r="Q881" s="315"/>
      <c r="R881" s="315"/>
      <c r="S881" s="286"/>
      <c r="T881" s="287"/>
      <c r="U881" s="288" t="str">
        <f t="shared" ref="U881" si="527">IF(OR(T881="",$O881=""),"",(T881/$I881)*$O881)</f>
        <v/>
      </c>
      <c r="V881" s="287"/>
      <c r="W881" s="289" t="str">
        <f t="shared" ref="W881" si="528">IF(OR(V881="",$O881=""),"",(V881/$I881)*$O881)</f>
        <v/>
      </c>
      <c r="X881" s="287"/>
      <c r="Y881" s="290" t="str">
        <f t="shared" ref="Y881" si="529">IF(OR(X881="",$O881=""),"",(X881/$I881)*$O881)</f>
        <v/>
      </c>
      <c r="Z881" s="291">
        <f ca="1">SUMIF($T$8:Y$1018,"QUANT.",T881:Y881)</f>
        <v>0</v>
      </c>
      <c r="AA881" s="292">
        <f t="shared" ca="1" si="497"/>
        <v>0</v>
      </c>
      <c r="AB881" s="293" t="str">
        <f t="shared" ref="AB881" ca="1" si="530">IF(F881&lt;&gt;"",IF(AA881=0,"MEDIR",IF(O881-AA881=0,"OK",IF(O881-AA881&gt;0,"MEDIR","ALERTA!"))),"")</f>
        <v>MEDIR</v>
      </c>
      <c r="AC881" s="294">
        <f t="shared" ref="AC881" ca="1" si="531">IF(Z881="",0,I881-Z881)</f>
        <v>104.36</v>
      </c>
      <c r="AD881" s="294">
        <f t="shared" ref="AD881" ca="1" si="532">IF(AA881="",0,O881-AA881)</f>
        <v>7308.32</v>
      </c>
      <c r="AE881" s="295"/>
      <c r="AF881" s="295"/>
      <c r="AG881" s="296"/>
      <c r="AH881" s="296"/>
      <c r="AI881" s="296"/>
      <c r="AJ881" s="295"/>
      <c r="AK881" s="295"/>
      <c r="AL881" s="295"/>
      <c r="AM881" s="295"/>
    </row>
    <row r="882" spans="1:39" ht="25.5" x14ac:dyDescent="0.25">
      <c r="A882" s="232">
        <f t="shared" si="455"/>
        <v>882</v>
      </c>
      <c r="B882" s="232"/>
      <c r="C882" s="307" t="str">
        <f>+C881</f>
        <v>20.2.4</v>
      </c>
      <c r="D882" s="308">
        <f>1+D881</f>
        <v>4</v>
      </c>
      <c r="E882" s="309" t="str">
        <f>C882&amp;"."&amp;D882</f>
        <v>20.2.4.4</v>
      </c>
      <c r="F882" s="310">
        <v>102480</v>
      </c>
      <c r="G882" s="311" t="str">
        <f>IF($F882="","",IFERROR(VLOOKUP($F882,SERVIÇOS!$B:$G,2,0),IFERROR(VLOOKUP($F882,'COMPOSIÇÕES COMPLEMENTARES '!$D:$L,2,0),IFERROR(VLOOKUP($F882,INSUMOS!$A:$D,2,0),""))))</f>
        <v>CONCRETO FCK = 15MPA, TRAÇO 1:3,4:3,4 (EM MASSA SECA DE CIMENTO/ AREIA MÉDIA/ SEIXO ROLADO) - PREPARO MECÂNICO COM BETONEIRA 600 L. AF_05/2021</v>
      </c>
      <c r="H882" s="312" t="str">
        <f>IF($F882="","",IFERROR(VLOOKUP($F882,SERVIÇOS!$B:$G,3,0),IFERROR(VLOOKUP($F882,'COMPOSIÇÕES COMPLEMENTARES '!$D:$L,3,0),IFERROR(VLOOKUP($F882,INSUMOS!$A:$D,3,0),""))))</f>
        <v>M3</v>
      </c>
      <c r="I882" s="313">
        <v>10.44</v>
      </c>
      <c r="J882" s="314">
        <f>IF($F882="","",IFERROR(VLOOKUP($F882,SERVIÇOS!$B:$G,4,0),IFERROR(VLOOKUP($F882,'COMPOSIÇÕES COMPLEMENTARES '!$D:$L,6,0),IFERROR(VLOOKUP($F882,INSUMOS!$A:$D,4,0),""))))</f>
        <v>444.91</v>
      </c>
      <c r="K882" s="314">
        <f>IF($F882="","",IFERROR(VLOOKUP($F882,SERVIÇOS!$B:$G,5,0),IFERROR(VLOOKUP($F882,'COMPOSIÇÕES COMPLEMENTARES '!$D:$L,7,0),0)))</f>
        <v>73.150000000000006</v>
      </c>
      <c r="L882" s="314">
        <f>IF(I882="","",J882+K882)</f>
        <v>518.06000000000006</v>
      </c>
      <c r="M882" s="314">
        <f>IF(I882="","",TRUNC((I882*J882),2))</f>
        <v>4644.8599999999997</v>
      </c>
      <c r="N882" s="314">
        <f>IF(I882="","",TRUNC((I882*K882),2))</f>
        <v>763.68</v>
      </c>
      <c r="O882" s="314">
        <f>IF(I882="","",TRUNC((M882+N882),2))</f>
        <v>5408.54</v>
      </c>
      <c r="P882" s="314"/>
      <c r="Q882" s="315"/>
      <c r="R882" s="315"/>
      <c r="S882" s="286"/>
      <c r="T882" s="287"/>
      <c r="U882" s="288" t="str">
        <f t="shared" si="501"/>
        <v/>
      </c>
      <c r="V882" s="287"/>
      <c r="W882" s="289" t="str">
        <f t="shared" si="502"/>
        <v/>
      </c>
      <c r="X882" s="287"/>
      <c r="Y882" s="290" t="str">
        <f t="shared" si="503"/>
        <v/>
      </c>
      <c r="Z882" s="291">
        <f ca="1">SUMIF($T$8:Y$1018,"QUANT.",T882:Y882)</f>
        <v>0</v>
      </c>
      <c r="AA882" s="292">
        <f t="shared" ca="1" si="497"/>
        <v>0</v>
      </c>
      <c r="AB882" s="293" t="str">
        <f t="shared" ca="1" si="520"/>
        <v>MEDIR</v>
      </c>
      <c r="AC882" s="294">
        <f t="shared" ca="1" si="505"/>
        <v>10.44</v>
      </c>
      <c r="AD882" s="294">
        <f t="shared" ca="1" si="506"/>
        <v>5408.54</v>
      </c>
      <c r="AE882" s="295"/>
      <c r="AF882" s="295"/>
      <c r="AG882" s="296"/>
      <c r="AH882" s="296"/>
      <c r="AI882" s="296"/>
      <c r="AJ882" s="295"/>
      <c r="AK882" s="295"/>
      <c r="AL882" s="295"/>
      <c r="AM882" s="295"/>
    </row>
    <row r="883" spans="1:39" ht="25.5" x14ac:dyDescent="0.25">
      <c r="A883" s="232">
        <f t="shared" si="455"/>
        <v>883</v>
      </c>
      <c r="B883" s="232"/>
      <c r="C883" s="307" t="str">
        <f>+C882</f>
        <v>20.2.4</v>
      </c>
      <c r="D883" s="308">
        <f>1+D882</f>
        <v>5</v>
      </c>
      <c r="E883" s="309" t="str">
        <f>C883&amp;"."&amp;D883</f>
        <v>20.2.4.5</v>
      </c>
      <c r="F883" s="310">
        <v>101173</v>
      </c>
      <c r="G883" s="311" t="str">
        <f>IF($F883="","",IFERROR(VLOOKUP($F883,SERVIÇOS!$B:$G,2,0),IFERROR(VLOOKUP($F883,'COMPOSIÇÕES COMPLEMENTARES '!$D:$L,2,0),IFERROR(VLOOKUP($F883,INSUMOS!$A:$D,2,0),""))))</f>
        <v>ESTACA BROCA DE CONCRETO, DIÂMETRO DE 20CM, ESCAVAÇÃO MANUAL COM TRADO CONCHA, COM ARMADURA DE ARRANQUE. AF_05/2020</v>
      </c>
      <c r="H883" s="312" t="str">
        <f>IF($F883="","",IFERROR(VLOOKUP($F883,SERVIÇOS!$B:$G,3,0),IFERROR(VLOOKUP($F883,'COMPOSIÇÕES COMPLEMENTARES '!$D:$L,3,0),IFERROR(VLOOKUP($F883,INSUMOS!$A:$D,3,0),""))))</f>
        <v>M</v>
      </c>
      <c r="I883" s="313">
        <v>140</v>
      </c>
      <c r="J883" s="314">
        <f>IF($F883="","",IFERROR(VLOOKUP($F883,SERVIÇOS!$B:$G,4,0),IFERROR(VLOOKUP($F883,'COMPOSIÇÕES COMPLEMENTARES '!$D:$L,6,0),IFERROR(VLOOKUP($F883,INSUMOS!$A:$D,4,0),""))))</f>
        <v>38.85</v>
      </c>
      <c r="K883" s="314">
        <f>IF($F883="","",IFERROR(VLOOKUP($F883,SERVIÇOS!$B:$G,5,0),IFERROR(VLOOKUP($F883,'COMPOSIÇÕES COMPLEMENTARES '!$D:$L,7,0),0)))</f>
        <v>29.81</v>
      </c>
      <c r="L883" s="314">
        <f>IF(I883="","",J883+K883)</f>
        <v>68.66</v>
      </c>
      <c r="M883" s="314">
        <f>IF(I883="","",TRUNC((I883*J883),2))</f>
        <v>5439</v>
      </c>
      <c r="N883" s="314">
        <f>IF(I883="","",TRUNC((I883*K883),2))</f>
        <v>4173.3999999999996</v>
      </c>
      <c r="O883" s="314">
        <f>IF(I883="","",TRUNC((M883+N883),2))</f>
        <v>9612.4</v>
      </c>
      <c r="P883" s="314"/>
      <c r="Q883" s="315"/>
      <c r="R883" s="315"/>
      <c r="S883" s="286"/>
      <c r="T883" s="287"/>
      <c r="U883" s="288" t="str">
        <f t="shared" ref="U883" si="533">IF(OR(T883="",$O883=""),"",(T883/$I883)*$O883)</f>
        <v/>
      </c>
      <c r="V883" s="287"/>
      <c r="W883" s="289" t="str">
        <f t="shared" ref="W883" si="534">IF(OR(V883="",$O883=""),"",(V883/$I883)*$O883)</f>
        <v/>
      </c>
      <c r="X883" s="287"/>
      <c r="Y883" s="290" t="str">
        <f t="shared" ref="Y883" si="535">IF(OR(X883="",$O883=""),"",(X883/$I883)*$O883)</f>
        <v/>
      </c>
      <c r="Z883" s="291">
        <f ca="1">SUMIF($T$8:Y$1018,"QUANT.",T883:Y883)</f>
        <v>0</v>
      </c>
      <c r="AA883" s="292">
        <f t="shared" ca="1" si="497"/>
        <v>0</v>
      </c>
      <c r="AB883" s="293" t="e">
        <f>IF(#REF!&lt;&gt;"",IF(AA883=0,"MEDIR",IF(O883-AA883=0,"OK",IF(O883-AA883&gt;0,"MEDIR","ALERTA!"))),"")</f>
        <v>#REF!</v>
      </c>
      <c r="AC883" s="294">
        <f t="shared" ref="AC883" ca="1" si="536">IF(Z883="",0,I883-Z883)</f>
        <v>140</v>
      </c>
      <c r="AD883" s="294">
        <f t="shared" ref="AD883" ca="1" si="537">IF(AA883="",0,O883-AA883)</f>
        <v>9612.4</v>
      </c>
      <c r="AE883" s="295"/>
      <c r="AF883" s="295"/>
      <c r="AG883" s="296"/>
      <c r="AH883" s="296"/>
      <c r="AI883" s="296"/>
      <c r="AJ883" s="295"/>
      <c r="AK883" s="295"/>
      <c r="AL883" s="325"/>
      <c r="AM883" s="325"/>
    </row>
    <row r="884" spans="1:39" x14ac:dyDescent="0.25">
      <c r="A884" s="232">
        <f t="shared" si="455"/>
        <v>884</v>
      </c>
      <c r="B884" s="232"/>
      <c r="C884" s="281">
        <f>+E884</f>
        <v>21</v>
      </c>
      <c r="D884" s="297"/>
      <c r="E884" s="298">
        <v>21</v>
      </c>
      <c r="F884" s="322"/>
      <c r="G884" s="299" t="s">
        <v>20543</v>
      </c>
      <c r="H884" s="300"/>
      <c r="I884" s="345"/>
      <c r="J884" s="302"/>
      <c r="K884" s="303"/>
      <c r="L884" s="303"/>
      <c r="M884" s="304">
        <f>TRUNC(SUMIF(M885:M904,"&gt;0",M885:M904),2)</f>
        <v>186369.53</v>
      </c>
      <c r="N884" s="304">
        <f>TRUNC(SUMIF(N885:N904,"&gt;0",N885:N904),2)</f>
        <v>35638.19</v>
      </c>
      <c r="O884" s="305"/>
      <c r="P884" s="304">
        <f>SUMIF(O885:O904,"&gt;0",O885:O904)</f>
        <v>222007.72000000006</v>
      </c>
      <c r="Q884" s="306"/>
      <c r="R884" s="306"/>
      <c r="S884" s="286"/>
      <c r="T884" s="287"/>
      <c r="U884" s="288" t="str">
        <f t="shared" si="475"/>
        <v/>
      </c>
      <c r="V884" s="287"/>
      <c r="W884" s="289" t="str">
        <f t="shared" si="476"/>
        <v/>
      </c>
      <c r="X884" s="287"/>
      <c r="Y884" s="290" t="str">
        <f t="shared" si="477"/>
        <v/>
      </c>
      <c r="Z884" s="291">
        <f ca="1">SUMIF($T$8:Y$1018,"QUANT.",T884:Y884)</f>
        <v>0</v>
      </c>
      <c r="AA884" s="292">
        <f t="shared" ca="1" si="497"/>
        <v>0</v>
      </c>
      <c r="AB884" s="293" t="str">
        <f t="shared" si="478"/>
        <v/>
      </c>
      <c r="AC884" s="294">
        <f t="shared" ca="1" si="479"/>
        <v>0</v>
      </c>
      <c r="AD884" s="294">
        <f t="shared" ca="1" si="480"/>
        <v>0</v>
      </c>
      <c r="AE884" s="295"/>
      <c r="AF884" s="295"/>
      <c r="AG884" s="296"/>
      <c r="AH884" s="296"/>
      <c r="AI884" s="296"/>
      <c r="AJ884" s="326"/>
      <c r="AK884" s="295"/>
      <c r="AL884" s="295"/>
      <c r="AM884" s="295"/>
    </row>
    <row r="885" spans="1:39" x14ac:dyDescent="0.25">
      <c r="A885" s="232">
        <f t="shared" si="455"/>
        <v>885</v>
      </c>
      <c r="B885" s="232"/>
      <c r="C885" s="316" t="str">
        <f>+E885</f>
        <v>22.1</v>
      </c>
      <c r="D885" s="297"/>
      <c r="E885" s="317" t="s">
        <v>12516</v>
      </c>
      <c r="F885" s="317"/>
      <c r="G885" s="318" t="s">
        <v>12508</v>
      </c>
      <c r="H885" s="317"/>
      <c r="I885" s="319"/>
      <c r="J885" s="317"/>
      <c r="K885" s="317"/>
      <c r="L885" s="317"/>
      <c r="M885" s="317"/>
      <c r="N885" s="317"/>
      <c r="O885" s="317"/>
      <c r="P885" s="317"/>
      <c r="Q885" s="320"/>
      <c r="R885" s="306"/>
      <c r="S885" s="286"/>
      <c r="T885" s="287"/>
      <c r="U885" s="288" t="str">
        <f t="shared" si="475"/>
        <v/>
      </c>
      <c r="V885" s="287"/>
      <c r="W885" s="289" t="str">
        <f t="shared" si="476"/>
        <v/>
      </c>
      <c r="X885" s="287"/>
      <c r="Y885" s="290" t="str">
        <f t="shared" si="477"/>
        <v/>
      </c>
      <c r="Z885" s="291">
        <f ca="1">SUMIF($T$8:Y$1018,"QUANT.",T885:Y885)</f>
        <v>0</v>
      </c>
      <c r="AA885" s="292">
        <f t="shared" ca="1" si="497"/>
        <v>0</v>
      </c>
      <c r="AB885" s="293" t="str">
        <f t="shared" si="478"/>
        <v/>
      </c>
      <c r="AC885" s="294">
        <f t="shared" ca="1" si="479"/>
        <v>0</v>
      </c>
      <c r="AD885" s="294">
        <f t="shared" ca="1" si="480"/>
        <v>0</v>
      </c>
      <c r="AE885" s="295"/>
      <c r="AF885" s="295"/>
      <c r="AG885" s="296"/>
      <c r="AH885" s="296"/>
      <c r="AI885" s="296"/>
      <c r="AJ885" s="326"/>
      <c r="AK885" s="295"/>
      <c r="AL885" s="295"/>
      <c r="AM885" s="295"/>
    </row>
    <row r="886" spans="1:39" ht="25.5" x14ac:dyDescent="0.25">
      <c r="A886" s="232">
        <f t="shared" si="455"/>
        <v>886</v>
      </c>
      <c r="B886" s="232"/>
      <c r="C886" s="307" t="str">
        <f t="shared" ref="C886:C891" si="538">+C885</f>
        <v>22.1</v>
      </c>
      <c r="D886" s="308">
        <f t="shared" ref="D886:D891" si="539">1+D885</f>
        <v>1</v>
      </c>
      <c r="E886" s="309" t="str">
        <f t="shared" ref="E886:E891" si="540">C886&amp;"."&amp;D886</f>
        <v>22.1.1</v>
      </c>
      <c r="F886" s="310">
        <v>96396</v>
      </c>
      <c r="G886" s="311" t="str">
        <f>IF($F886="","",IFERROR(VLOOKUP($F886,SERVIÇOS!$B:$G,2,0),IFERROR(VLOOKUP($F886,'COMPOSIÇÕES COMPLEMENTARES '!$D:$L,2,0),IFERROR(VLOOKUP($F886,INSUMOS!$A:$D,2,0),""))))</f>
        <v>CONSTRUÇÃO DE BASE E SUB-BASE PARA PAVIMENTAÇÃO DE BRITA GRADUADA SIMPLES, COM ESPESSURA DE 15 CM - EXCLUSIVE CARGA E TRANSPORTE. AF_09/2024</v>
      </c>
      <c r="H886" s="312" t="str">
        <f>IF($F886="","",IFERROR(VLOOKUP($F886,SERVIÇOS!$B:$G,3,0),IFERROR(VLOOKUP($F886,'COMPOSIÇÕES COMPLEMENTARES '!$D:$L,3,0),IFERROR(VLOOKUP($F886,INSUMOS!$A:$D,3,0),""))))</f>
        <v>M3</v>
      </c>
      <c r="I886" s="313">
        <v>191.96</v>
      </c>
      <c r="J886" s="314">
        <f>IF($F886="","",IFERROR(VLOOKUP($F886,SERVIÇOS!$B:$G,4,0),IFERROR(VLOOKUP($F886,'COMPOSIÇÕES COMPLEMENTARES '!$D:$L,6,0),IFERROR(VLOOKUP($F886,INSUMOS!$A:$D,4,0),""))))</f>
        <v>114.26</v>
      </c>
      <c r="K886" s="314">
        <f>IF($F886="","",IFERROR(VLOOKUP($F886,SERVIÇOS!$B:$G,5,0),IFERROR(VLOOKUP($F886,'COMPOSIÇÕES COMPLEMENTARES '!$D:$L,7,0),0)))</f>
        <v>5.83</v>
      </c>
      <c r="L886" s="314">
        <f t="shared" ref="L886:L891" si="541">IF(I886="","",J886+K886)</f>
        <v>120.09</v>
      </c>
      <c r="M886" s="314">
        <f t="shared" ref="M886:M891" si="542">IF(I886="","",TRUNC((I886*J886),2))</f>
        <v>21933.34</v>
      </c>
      <c r="N886" s="314">
        <f t="shared" ref="N886:N891" si="543">IF(I886="","",TRUNC((I886*K886),2))</f>
        <v>1119.1199999999999</v>
      </c>
      <c r="O886" s="314">
        <f t="shared" ref="O886:O891" si="544">IF(I886="","",TRUNC((M886+N886),2))</f>
        <v>23052.46</v>
      </c>
      <c r="P886" s="314"/>
      <c r="Q886" s="315"/>
      <c r="R886" s="315"/>
      <c r="S886" s="286"/>
      <c r="T886" s="287"/>
      <c r="U886" s="288" t="str">
        <f t="shared" si="475"/>
        <v/>
      </c>
      <c r="V886" s="287"/>
      <c r="W886" s="289" t="str">
        <f t="shared" si="476"/>
        <v/>
      </c>
      <c r="X886" s="287"/>
      <c r="Y886" s="290" t="str">
        <f t="shared" si="477"/>
        <v/>
      </c>
      <c r="Z886" s="291">
        <f ca="1">SUMIF($T$8:Y$1018,"QUANT.",T886:Y886)</f>
        <v>0</v>
      </c>
      <c r="AA886" s="292">
        <f t="shared" ca="1" si="497"/>
        <v>0</v>
      </c>
      <c r="AB886" s="293" t="str">
        <f t="shared" ca="1" si="478"/>
        <v>MEDIR</v>
      </c>
      <c r="AC886" s="294">
        <f t="shared" ca="1" si="479"/>
        <v>191.96</v>
      </c>
      <c r="AD886" s="294">
        <f t="shared" ca="1" si="480"/>
        <v>23052.46</v>
      </c>
      <c r="AE886" s="295"/>
      <c r="AF886" s="295"/>
      <c r="AG886" s="296"/>
      <c r="AH886" s="296"/>
      <c r="AI886" s="296"/>
      <c r="AJ886" s="326"/>
      <c r="AK886" s="325"/>
      <c r="AL886" s="295"/>
      <c r="AM886" s="295"/>
    </row>
    <row r="887" spans="1:39" ht="38.25" x14ac:dyDescent="0.25">
      <c r="A887" s="232">
        <f t="shared" si="455"/>
        <v>887</v>
      </c>
      <c r="B887" s="232"/>
      <c r="C887" s="307" t="str">
        <f t="shared" si="538"/>
        <v>22.1</v>
      </c>
      <c r="D887" s="308">
        <f t="shared" si="539"/>
        <v>2</v>
      </c>
      <c r="E887" s="309" t="str">
        <f t="shared" si="540"/>
        <v>22.1.2</v>
      </c>
      <c r="F887" s="310">
        <v>100978</v>
      </c>
      <c r="G887" s="311" t="str">
        <f>IF($F887="","",IFERROR(VLOOKUP($F887,SERVIÇOS!$B:$G,2,0),IFERROR(VLOOKUP($F887,'COMPOSIÇÕES COMPLEMENTARES '!$D:$L,2,0),IFERROR(VLOOKUP($F887,INSUMOS!$A:$D,2,0),""))))</f>
        <v>CARGA, MANOBRA E DESCARGA DE SOLOS E MATERIAIS GRANULARES EM CAMINHÃO BASCULANTE 10 M³ - CARGA COM ESCAVADEIRA HIDRÁULICA (CAÇAMBA DE 1,20 M³ / 155 HP) E DESCARGA LIVRE (UNIDADE: M3). AF_07/2020</v>
      </c>
      <c r="H887" s="312" t="str">
        <f>IF($F887="","",IFERROR(VLOOKUP($F887,SERVIÇOS!$B:$G,3,0),IFERROR(VLOOKUP($F887,'COMPOSIÇÕES COMPLEMENTARES '!$D:$L,3,0),IFERROR(VLOOKUP($F887,INSUMOS!$A:$D,3,0),""))))</f>
        <v>M3</v>
      </c>
      <c r="I887" s="313">
        <v>191.96</v>
      </c>
      <c r="J887" s="314">
        <f>IF($F887="","",IFERROR(VLOOKUP($F887,SERVIÇOS!$B:$G,4,0),IFERROR(VLOOKUP($F887,'COMPOSIÇÕES COMPLEMENTARES '!$D:$L,6,0),IFERROR(VLOOKUP($F887,INSUMOS!$A:$D,4,0),""))))</f>
        <v>6.4</v>
      </c>
      <c r="K887" s="314">
        <f>IF($F887="","",IFERROR(VLOOKUP($F887,SERVIÇOS!$B:$G,5,0),IFERROR(VLOOKUP($F887,'COMPOSIÇÕES COMPLEMENTARES '!$D:$L,7,0),0)))</f>
        <v>1.1399999999999999</v>
      </c>
      <c r="L887" s="314">
        <f t="shared" si="541"/>
        <v>7.54</v>
      </c>
      <c r="M887" s="314">
        <f t="shared" si="542"/>
        <v>1228.54</v>
      </c>
      <c r="N887" s="314">
        <f t="shared" si="543"/>
        <v>218.83</v>
      </c>
      <c r="O887" s="314">
        <f t="shared" si="544"/>
        <v>1447.37</v>
      </c>
      <c r="P887" s="314"/>
      <c r="Q887" s="315"/>
      <c r="R887" s="315"/>
      <c r="S887" s="286"/>
      <c r="T887" s="287"/>
      <c r="U887" s="288" t="str">
        <f t="shared" si="475"/>
        <v/>
      </c>
      <c r="V887" s="287"/>
      <c r="W887" s="289" t="str">
        <f t="shared" si="476"/>
        <v/>
      </c>
      <c r="X887" s="287"/>
      <c r="Y887" s="290" t="str">
        <f t="shared" si="477"/>
        <v/>
      </c>
      <c r="Z887" s="291">
        <f ca="1">SUMIF($T$8:Y$1018,"QUANT.",T887:Y887)</f>
        <v>0</v>
      </c>
      <c r="AA887" s="292">
        <f t="shared" ca="1" si="497"/>
        <v>0</v>
      </c>
      <c r="AB887" s="293" t="str">
        <f t="shared" ca="1" si="478"/>
        <v>MEDIR</v>
      </c>
      <c r="AC887" s="294">
        <f t="shared" ca="1" si="479"/>
        <v>191.96</v>
      </c>
      <c r="AD887" s="294">
        <f t="shared" ca="1" si="480"/>
        <v>1447.37</v>
      </c>
      <c r="AE887" s="295"/>
      <c r="AF887" s="295"/>
      <c r="AG887" s="296"/>
      <c r="AH887" s="296"/>
      <c r="AI887" s="296"/>
      <c r="AJ887" s="326"/>
      <c r="AK887" s="326"/>
      <c r="AL887" s="295"/>
      <c r="AM887" s="295"/>
    </row>
    <row r="888" spans="1:39" ht="25.5" x14ac:dyDescent="0.25">
      <c r="A888" s="232">
        <f t="shared" si="455"/>
        <v>888</v>
      </c>
      <c r="B888" s="232"/>
      <c r="C888" s="307" t="str">
        <f t="shared" si="538"/>
        <v>22.1</v>
      </c>
      <c r="D888" s="308">
        <f t="shared" si="539"/>
        <v>3</v>
      </c>
      <c r="E888" s="309" t="str">
        <f t="shared" si="540"/>
        <v>22.1.3</v>
      </c>
      <c r="F888" s="310">
        <v>95875</v>
      </c>
      <c r="G888" s="311" t="str">
        <f>IF($F888="","",IFERROR(VLOOKUP($F888,SERVIÇOS!$B:$G,2,0),IFERROR(VLOOKUP($F888,'COMPOSIÇÕES COMPLEMENTARES '!$D:$L,2,0),IFERROR(VLOOKUP($F888,INSUMOS!$A:$D,2,0),""))))</f>
        <v>TRANSPORTE COM CAMINHÃO BASCULANTE DE 10 M³, EM VIA URBANA PAVIMENTADA, DMT ATÉ 30 KM (UNIDADE: M3XKM). AF_07/2020</v>
      </c>
      <c r="H888" s="312" t="str">
        <f>IF($F888="","",IFERROR(VLOOKUP($F888,SERVIÇOS!$B:$G,3,0),IFERROR(VLOOKUP($F888,'COMPOSIÇÕES COMPLEMENTARES '!$D:$L,3,0),IFERROR(VLOOKUP($F888,INSUMOS!$A:$D,3,0),""))))</f>
        <v>M3XKM</v>
      </c>
      <c r="I888" s="313">
        <v>671.84250000000009</v>
      </c>
      <c r="J888" s="314">
        <f>IF($F888="","",IFERROR(VLOOKUP($F888,SERVIÇOS!$B:$G,4,0),IFERROR(VLOOKUP($F888,'COMPOSIÇÕES COMPLEMENTARES '!$D:$L,6,0),IFERROR(VLOOKUP($F888,INSUMOS!$A:$D,4,0),""))))</f>
        <v>2.3199999999999998</v>
      </c>
      <c r="K888" s="314">
        <f>IF($F888="","",IFERROR(VLOOKUP($F888,SERVIÇOS!$B:$G,5,0),IFERROR(VLOOKUP($F888,'COMPOSIÇÕES COMPLEMENTARES '!$D:$L,7,0),0)))</f>
        <v>0.33</v>
      </c>
      <c r="L888" s="314">
        <f t="shared" si="541"/>
        <v>2.65</v>
      </c>
      <c r="M888" s="314">
        <f t="shared" si="542"/>
        <v>1558.67</v>
      </c>
      <c r="N888" s="314">
        <f t="shared" si="543"/>
        <v>221.7</v>
      </c>
      <c r="O888" s="314">
        <f t="shared" si="544"/>
        <v>1780.37</v>
      </c>
      <c r="P888" s="314"/>
      <c r="Q888" s="315"/>
      <c r="R888" s="315"/>
      <c r="S888" s="286"/>
      <c r="T888" s="287"/>
      <c r="U888" s="288" t="str">
        <f t="shared" si="475"/>
        <v/>
      </c>
      <c r="V888" s="287"/>
      <c r="W888" s="289" t="str">
        <f t="shared" si="476"/>
        <v/>
      </c>
      <c r="X888" s="287"/>
      <c r="Y888" s="290" t="str">
        <f t="shared" si="477"/>
        <v/>
      </c>
      <c r="Z888" s="291">
        <f ca="1">SUMIF($T$8:Y$1018,"QUANT.",T888:Y888)</f>
        <v>0</v>
      </c>
      <c r="AA888" s="292">
        <f t="shared" ca="1" si="497"/>
        <v>0</v>
      </c>
      <c r="AB888" s="293" t="str">
        <f t="shared" ca="1" si="478"/>
        <v>MEDIR</v>
      </c>
      <c r="AC888" s="294">
        <f t="shared" ca="1" si="479"/>
        <v>671.84250000000009</v>
      </c>
      <c r="AD888" s="294">
        <f t="shared" ca="1" si="480"/>
        <v>1780.37</v>
      </c>
      <c r="AE888" s="295"/>
      <c r="AF888" s="295"/>
      <c r="AG888" s="296"/>
      <c r="AH888" s="296"/>
      <c r="AI888" s="296"/>
      <c r="AJ888" s="326"/>
      <c r="AK888" s="326"/>
      <c r="AL888" s="325"/>
      <c r="AM888" s="325"/>
    </row>
    <row r="889" spans="1:39" ht="25.5" x14ac:dyDescent="0.25">
      <c r="A889" s="232">
        <f t="shared" si="455"/>
        <v>889</v>
      </c>
      <c r="B889" s="232"/>
      <c r="C889" s="307" t="str">
        <f t="shared" si="538"/>
        <v>22.1</v>
      </c>
      <c r="D889" s="308">
        <f t="shared" si="539"/>
        <v>4</v>
      </c>
      <c r="E889" s="309" t="str">
        <f t="shared" si="540"/>
        <v>22.1.4</v>
      </c>
      <c r="F889" s="310">
        <v>101126</v>
      </c>
      <c r="G889" s="311" t="str">
        <f>IF($F889="","",IFERROR(VLOOKUP($F889,SERVIÇOS!$B:$G,2,0),IFERROR(VLOOKUP($F889,'COMPOSIÇÕES COMPLEMENTARES '!$D:$L,2,0),IFERROR(VLOOKUP($F889,INSUMOS!$A:$D,2,0),""))))</f>
        <v>ESCAVAÇÃO HORIZONTAL, INCLUINDO CARGA E DESCARGA EM SOLO DE 1A CATEGORIA COM TRATOR DE ESTEIRAS (170HP/LÂMINA: 5,20M3). AF_07/2020</v>
      </c>
      <c r="H889" s="312" t="str">
        <f>IF($F889="","",IFERROR(VLOOKUP($F889,SERVIÇOS!$B:$G,3,0),IFERROR(VLOOKUP($F889,'COMPOSIÇÕES COMPLEMENTARES '!$D:$L,3,0),IFERROR(VLOOKUP($F889,INSUMOS!$A:$D,3,0),""))))</f>
        <v>M3</v>
      </c>
      <c r="I889" s="313">
        <v>358.31600000000003</v>
      </c>
      <c r="J889" s="314">
        <f>IF($F889="","",IFERROR(VLOOKUP($F889,SERVIÇOS!$B:$G,4,0),IFERROR(VLOOKUP($F889,'COMPOSIÇÕES COMPLEMENTARES '!$D:$L,6,0),IFERROR(VLOOKUP($F889,INSUMOS!$A:$D,4,0),""))))</f>
        <v>11.85</v>
      </c>
      <c r="K889" s="314">
        <f>IF($F889="","",IFERROR(VLOOKUP($F889,SERVIÇOS!$B:$G,5,0),IFERROR(VLOOKUP($F889,'COMPOSIÇÕES COMPLEMENTARES '!$D:$L,7,0),0)))</f>
        <v>2.4</v>
      </c>
      <c r="L889" s="314">
        <f t="shared" si="541"/>
        <v>14.25</v>
      </c>
      <c r="M889" s="314">
        <f t="shared" si="542"/>
        <v>4246.04</v>
      </c>
      <c r="N889" s="314">
        <f t="shared" si="543"/>
        <v>859.95</v>
      </c>
      <c r="O889" s="314">
        <f t="shared" si="544"/>
        <v>5105.99</v>
      </c>
      <c r="P889" s="314"/>
      <c r="Q889" s="315"/>
      <c r="R889" s="315"/>
      <c r="S889" s="286"/>
      <c r="T889" s="287"/>
      <c r="U889" s="288" t="str">
        <f t="shared" si="475"/>
        <v/>
      </c>
      <c r="V889" s="287"/>
      <c r="W889" s="289" t="str">
        <f t="shared" si="476"/>
        <v/>
      </c>
      <c r="X889" s="287"/>
      <c r="Y889" s="290" t="str">
        <f t="shared" si="477"/>
        <v/>
      </c>
      <c r="Z889" s="291">
        <f ca="1">SUMIF($T$8:Y$1018,"QUANT.",T889:Y889)</f>
        <v>0</v>
      </c>
      <c r="AA889" s="292">
        <f t="shared" ca="1" si="497"/>
        <v>0</v>
      </c>
      <c r="AB889" s="293" t="str">
        <f t="shared" ca="1" si="478"/>
        <v>MEDIR</v>
      </c>
      <c r="AC889" s="294">
        <f t="shared" ca="1" si="479"/>
        <v>358.31600000000003</v>
      </c>
      <c r="AD889" s="294">
        <f t="shared" ca="1" si="480"/>
        <v>5105.99</v>
      </c>
      <c r="AE889" s="295"/>
      <c r="AF889" s="295"/>
      <c r="AG889" s="296"/>
      <c r="AH889" s="296"/>
      <c r="AI889" s="296"/>
      <c r="AJ889" s="326"/>
      <c r="AK889" s="326"/>
      <c r="AL889" s="326"/>
      <c r="AM889" s="326"/>
    </row>
    <row r="890" spans="1:39" ht="25.5" x14ac:dyDescent="0.25">
      <c r="A890" s="232">
        <f t="shared" si="455"/>
        <v>890</v>
      </c>
      <c r="B890" s="232"/>
      <c r="C890" s="307" t="str">
        <f t="shared" si="538"/>
        <v>22.1</v>
      </c>
      <c r="D890" s="308">
        <f t="shared" si="539"/>
        <v>5</v>
      </c>
      <c r="E890" s="309" t="str">
        <f t="shared" si="540"/>
        <v>22.1.5</v>
      </c>
      <c r="F890" s="310">
        <v>100981</v>
      </c>
      <c r="G890" s="311" t="str">
        <f>IF($F890="","",IFERROR(VLOOKUP($F890,SERVIÇOS!$B:$G,2,0),IFERROR(VLOOKUP($F890,'COMPOSIÇÕES COMPLEMENTARES '!$D:$L,2,0),IFERROR(VLOOKUP($F890,INSUMOS!$A:$D,2,0),""))))</f>
        <v>CARGA, MANOBRA E DESCARGA DE ENTULHO EM CAMINHÃO BASCULANTE 6 M³ - CARGA COM ESCAVADEIRA HIDRÁULICA  (CAÇAMBA DE 0,80 M³ / 111 HP) E DESCARGA LIVRE (UNIDADE: M3). AF_07/2020</v>
      </c>
      <c r="H890" s="312" t="str">
        <f>IF($F890="","",IFERROR(VLOOKUP($F890,SERVIÇOS!$B:$G,3,0),IFERROR(VLOOKUP($F890,'COMPOSIÇÕES COMPLEMENTARES '!$D:$L,3,0),IFERROR(VLOOKUP($F890,INSUMOS!$A:$D,3,0),""))))</f>
        <v>M3</v>
      </c>
      <c r="I890" s="313">
        <v>1279.7</v>
      </c>
      <c r="J890" s="314">
        <f>IF($F890="","",IFERROR(VLOOKUP($F890,SERVIÇOS!$B:$G,4,0),IFERROR(VLOOKUP($F890,'COMPOSIÇÕES COMPLEMENTARES '!$D:$L,6,0),IFERROR(VLOOKUP($F890,INSUMOS!$A:$D,4,0),""))))</f>
        <v>8.24</v>
      </c>
      <c r="K890" s="314">
        <f>IF($F890="","",IFERROR(VLOOKUP($F890,SERVIÇOS!$B:$G,5,0),IFERROR(VLOOKUP($F890,'COMPOSIÇÕES COMPLEMENTARES '!$D:$L,7,0),0)))</f>
        <v>1.99</v>
      </c>
      <c r="L890" s="314">
        <f t="shared" si="541"/>
        <v>10.23</v>
      </c>
      <c r="M890" s="314">
        <f t="shared" si="542"/>
        <v>10544.72</v>
      </c>
      <c r="N890" s="314">
        <f t="shared" si="543"/>
        <v>2546.6</v>
      </c>
      <c r="O890" s="314">
        <f t="shared" si="544"/>
        <v>13091.32</v>
      </c>
      <c r="P890" s="314"/>
      <c r="Q890" s="315"/>
      <c r="R890" s="315"/>
      <c r="S890" s="286"/>
      <c r="T890" s="287"/>
      <c r="U890" s="288" t="str">
        <f t="shared" si="475"/>
        <v/>
      </c>
      <c r="V890" s="287"/>
      <c r="W890" s="289" t="str">
        <f t="shared" si="476"/>
        <v/>
      </c>
      <c r="X890" s="287"/>
      <c r="Y890" s="290" t="str">
        <f t="shared" si="477"/>
        <v/>
      </c>
      <c r="Z890" s="291">
        <f ca="1">SUMIF($T$8:Y$1018,"QUANT.",T890:Y890)</f>
        <v>0</v>
      </c>
      <c r="AA890" s="292">
        <f t="shared" ca="1" si="497"/>
        <v>0</v>
      </c>
      <c r="AB890" s="293" t="str">
        <f t="shared" ca="1" si="478"/>
        <v>MEDIR</v>
      </c>
      <c r="AC890" s="294">
        <f t="shared" ca="1" si="479"/>
        <v>1279.7</v>
      </c>
      <c r="AD890" s="294">
        <f t="shared" ca="1" si="480"/>
        <v>13091.32</v>
      </c>
      <c r="AE890" s="295"/>
      <c r="AF890" s="295"/>
      <c r="AG890" s="296"/>
      <c r="AH890" s="296"/>
      <c r="AI890" s="296"/>
      <c r="AJ890" s="326"/>
      <c r="AK890" s="326"/>
      <c r="AL890" s="326"/>
      <c r="AM890" s="326"/>
    </row>
    <row r="891" spans="1:39" ht="25.5" x14ac:dyDescent="0.25">
      <c r="A891" s="232">
        <f t="shared" si="455"/>
        <v>891</v>
      </c>
      <c r="B891" s="232"/>
      <c r="C891" s="307" t="str">
        <f t="shared" si="538"/>
        <v>22.1</v>
      </c>
      <c r="D891" s="308">
        <f t="shared" si="539"/>
        <v>6</v>
      </c>
      <c r="E891" s="309" t="str">
        <f t="shared" si="540"/>
        <v>22.1.6</v>
      </c>
      <c r="F891" s="310">
        <v>97914</v>
      </c>
      <c r="G891" s="311" t="str">
        <f>IF($F891="","",IFERROR(VLOOKUP($F891,SERVIÇOS!$B:$G,2,0),IFERROR(VLOOKUP($F891,'COMPOSIÇÕES COMPLEMENTARES '!$D:$L,2,0),IFERROR(VLOOKUP($F891,INSUMOS!$A:$D,2,0),""))))</f>
        <v>TRANSPORTE COM CAMINHÃO BASCULANTE DE 6 M³, EM VIA URBANA PAVIMENTADA, DMT ATÉ 30 KM (UNIDADE: M3XKM). AF_07/2020</v>
      </c>
      <c r="H891" s="312" t="str">
        <f>IF($F891="","",IFERROR(VLOOKUP($F891,SERVIÇOS!$B:$G,3,0),IFERROR(VLOOKUP($F891,'COMPOSIÇÕES COMPLEMENTARES '!$D:$L,3,0),IFERROR(VLOOKUP($F891,INSUMOS!$A:$D,3,0),""))))</f>
        <v>M3XKM</v>
      </c>
      <c r="I891" s="313">
        <v>34.380000000000003</v>
      </c>
      <c r="J891" s="314">
        <f>IF($F891="","",IFERROR(VLOOKUP($F891,SERVIÇOS!$B:$G,4,0),IFERROR(VLOOKUP($F891,'COMPOSIÇÕES COMPLEMENTARES '!$D:$L,6,0),IFERROR(VLOOKUP($F891,INSUMOS!$A:$D,4,0),""))))</f>
        <v>2.64</v>
      </c>
      <c r="K891" s="314">
        <f>IF($F891="","",IFERROR(VLOOKUP($F891,SERVIÇOS!$B:$G,5,0),IFERROR(VLOOKUP($F891,'COMPOSIÇÕES COMPLEMENTARES '!$D:$L,7,0),0)))</f>
        <v>0.56999999999999995</v>
      </c>
      <c r="L891" s="314">
        <f t="shared" si="541"/>
        <v>3.21</v>
      </c>
      <c r="M891" s="314">
        <f t="shared" si="542"/>
        <v>90.76</v>
      </c>
      <c r="N891" s="314">
        <f t="shared" si="543"/>
        <v>19.59</v>
      </c>
      <c r="O891" s="314">
        <f t="shared" si="544"/>
        <v>110.35</v>
      </c>
      <c r="P891" s="314"/>
      <c r="Q891" s="315"/>
      <c r="R891" s="315"/>
      <c r="S891" s="286"/>
      <c r="T891" s="287"/>
      <c r="U891" s="288" t="str">
        <f t="shared" si="475"/>
        <v/>
      </c>
      <c r="V891" s="287"/>
      <c r="W891" s="289" t="str">
        <f t="shared" si="476"/>
        <v/>
      </c>
      <c r="X891" s="287"/>
      <c r="Y891" s="290" t="str">
        <f t="shared" si="477"/>
        <v/>
      </c>
      <c r="Z891" s="291">
        <f ca="1">SUMIF($T$8:Y$1018,"QUANT.",T891:Y891)</f>
        <v>0</v>
      </c>
      <c r="AA891" s="292">
        <f t="shared" ca="1" si="497"/>
        <v>0</v>
      </c>
      <c r="AB891" s="293" t="str">
        <f t="shared" ca="1" si="478"/>
        <v>MEDIR</v>
      </c>
      <c r="AC891" s="294">
        <f t="shared" ca="1" si="479"/>
        <v>34.380000000000003</v>
      </c>
      <c r="AD891" s="294">
        <f t="shared" ca="1" si="480"/>
        <v>110.35</v>
      </c>
      <c r="AE891" s="295"/>
      <c r="AF891" s="295"/>
      <c r="AG891" s="296"/>
      <c r="AH891" s="296"/>
      <c r="AI891" s="296"/>
      <c r="AJ891" s="326"/>
      <c r="AK891" s="326"/>
      <c r="AL891" s="326"/>
      <c r="AM891" s="326"/>
    </row>
    <row r="892" spans="1:39" x14ac:dyDescent="0.25">
      <c r="A892" s="232">
        <f t="shared" si="455"/>
        <v>892</v>
      </c>
      <c r="B892" s="232"/>
      <c r="C892" s="316" t="str">
        <f>+E892</f>
        <v>22.2</v>
      </c>
      <c r="D892" s="297"/>
      <c r="E892" s="317" t="s">
        <v>12520</v>
      </c>
      <c r="F892" s="317"/>
      <c r="G892" s="327" t="s">
        <v>12509</v>
      </c>
      <c r="H892" s="317"/>
      <c r="I892" s="319"/>
      <c r="J892" s="317"/>
      <c r="K892" s="317"/>
      <c r="L892" s="317"/>
      <c r="M892" s="317"/>
      <c r="N892" s="317"/>
      <c r="O892" s="317"/>
      <c r="P892" s="317"/>
      <c r="Q892" s="320"/>
      <c r="R892" s="306"/>
      <c r="S892" s="286"/>
      <c r="T892" s="287"/>
      <c r="U892" s="288" t="str">
        <f t="shared" si="475"/>
        <v/>
      </c>
      <c r="V892" s="287"/>
      <c r="W892" s="289" t="str">
        <f t="shared" si="476"/>
        <v/>
      </c>
      <c r="X892" s="287"/>
      <c r="Y892" s="290" t="str">
        <f t="shared" si="477"/>
        <v/>
      </c>
      <c r="Z892" s="291">
        <f ca="1">SUMIF($T$8:Y$1018,"QUANT.",T892:Y892)</f>
        <v>0</v>
      </c>
      <c r="AA892" s="292">
        <f t="shared" ca="1" si="497"/>
        <v>0</v>
      </c>
      <c r="AB892" s="293" t="str">
        <f t="shared" si="478"/>
        <v/>
      </c>
      <c r="AC892" s="294">
        <f t="shared" ca="1" si="479"/>
        <v>0</v>
      </c>
      <c r="AD892" s="294">
        <f t="shared" ca="1" si="480"/>
        <v>0</v>
      </c>
      <c r="AE892" s="295"/>
      <c r="AF892" s="295"/>
      <c r="AG892" s="296"/>
      <c r="AH892" s="296"/>
      <c r="AI892" s="296"/>
      <c r="AJ892" s="326"/>
      <c r="AK892" s="326"/>
      <c r="AL892" s="326"/>
      <c r="AM892" s="326"/>
    </row>
    <row r="893" spans="1:39" ht="25.5" x14ac:dyDescent="0.25">
      <c r="A893" s="232">
        <f t="shared" si="455"/>
        <v>893</v>
      </c>
      <c r="B893" s="232"/>
      <c r="C893" s="307" t="str">
        <f t="shared" ref="C893:C898" si="545">+C892</f>
        <v>22.2</v>
      </c>
      <c r="D893" s="308">
        <f t="shared" ref="D893:D898" si="546">1+D892</f>
        <v>1</v>
      </c>
      <c r="E893" s="309" t="str">
        <f t="shared" ref="E893:E898" si="547">C893&amp;"."&amp;D893</f>
        <v>22.2.1</v>
      </c>
      <c r="F893" s="310" t="s">
        <v>12510</v>
      </c>
      <c r="G893" s="311" t="str">
        <f>IF($F893="","",IFERROR(VLOOKUP($F893,SERVIÇOS!$B:$G,2,0),IFERROR(VLOOKUP($F893,'COMPOSIÇÕES COMPLEMENTARES '!$D:$L,2,0),IFERROR(VLOOKUP($F893,INSUMOS!$A:$D,2,0),""))))</f>
        <v>PASSEIO EM CONCRETO SIMPLES COM CIMENTADO, ACABAMENTO LISO, MOLDADO IN LOCO, ESPESSURA 5CM</v>
      </c>
      <c r="H893" s="312" t="str">
        <f>IF($F893="","",IFERROR(VLOOKUP($F893,SERVIÇOS!$B:$G,3,0),IFERROR(VLOOKUP($F893,'COMPOSIÇÕES COMPLEMENTARES '!$D:$L,3,0),IFERROR(VLOOKUP($F893,INSUMOS!$A:$D,3,0),""))))</f>
        <v>M2</v>
      </c>
      <c r="I893" s="313">
        <v>417.83</v>
      </c>
      <c r="J893" s="314">
        <f>IF($F893="","",IFERROR(VLOOKUP($F893,SERVIÇOS!$B:$G,4,0),IFERROR(VLOOKUP($F893,'COMPOSIÇÕES COMPLEMENTARES '!$D:$L,6,0),IFERROR(VLOOKUP($F893,INSUMOS!$A:$D,4,0),""))))</f>
        <v>28.61</v>
      </c>
      <c r="K893" s="314">
        <f>IF($F893="","",IFERROR(VLOOKUP($F893,SERVIÇOS!$B:$G,5,0),IFERROR(VLOOKUP($F893,'COMPOSIÇÕES COMPLEMENTARES '!$D:$L,7,0),0)))</f>
        <v>15.74</v>
      </c>
      <c r="L893" s="314">
        <f t="shared" ref="L893:L898" si="548">IF(I893="","",J893+K893)</f>
        <v>44.35</v>
      </c>
      <c r="M893" s="314">
        <f t="shared" ref="M893:M898" si="549">IF(I893="","",TRUNC((I893*J893),2))</f>
        <v>11954.11</v>
      </c>
      <c r="N893" s="314">
        <f t="shared" ref="N893:N898" si="550">IF(I893="","",TRUNC((I893*K893),2))</f>
        <v>6576.64</v>
      </c>
      <c r="O893" s="314">
        <f t="shared" ref="O893:O898" si="551">IF(I893="","",TRUNC((M893+N893),2))</f>
        <v>18530.75</v>
      </c>
      <c r="P893" s="314"/>
      <c r="Q893" s="315"/>
      <c r="R893" s="315"/>
      <c r="S893" s="286"/>
      <c r="T893" s="287"/>
      <c r="U893" s="288" t="str">
        <f t="shared" si="475"/>
        <v/>
      </c>
      <c r="V893" s="287"/>
      <c r="W893" s="289" t="str">
        <f t="shared" si="476"/>
        <v/>
      </c>
      <c r="X893" s="287"/>
      <c r="Y893" s="290" t="str">
        <f t="shared" si="477"/>
        <v/>
      </c>
      <c r="Z893" s="291">
        <f ca="1">SUMIF($T$8:Y$1018,"QUANT.",T893:Y893)</f>
        <v>0</v>
      </c>
      <c r="AA893" s="292">
        <f t="shared" ca="1" si="497"/>
        <v>0</v>
      </c>
      <c r="AB893" s="293" t="str">
        <f t="shared" ca="1" si="478"/>
        <v>MEDIR</v>
      </c>
      <c r="AC893" s="294">
        <f t="shared" ca="1" si="479"/>
        <v>417.83</v>
      </c>
      <c r="AD893" s="294">
        <f t="shared" ca="1" si="480"/>
        <v>18530.75</v>
      </c>
      <c r="AE893" s="295"/>
      <c r="AF893" s="295"/>
      <c r="AG893" s="296"/>
      <c r="AH893" s="296"/>
      <c r="AI893" s="296"/>
      <c r="AJ893" s="326"/>
      <c r="AK893" s="326"/>
      <c r="AL893" s="326"/>
      <c r="AM893" s="326"/>
    </row>
    <row r="894" spans="1:39" ht="25.5" x14ac:dyDescent="0.25">
      <c r="A894" s="232">
        <f t="shared" si="455"/>
        <v>894</v>
      </c>
      <c r="B894" s="232"/>
      <c r="C894" s="307" t="str">
        <f t="shared" si="545"/>
        <v>22.2</v>
      </c>
      <c r="D894" s="308">
        <f t="shared" si="546"/>
        <v>2</v>
      </c>
      <c r="E894" s="309" t="str">
        <f t="shared" si="547"/>
        <v>22.2.2</v>
      </c>
      <c r="F894" s="310">
        <v>92398</v>
      </c>
      <c r="G894" s="311" t="str">
        <f>IF($F894="","",IFERROR(VLOOKUP($F894,SERVIÇOS!$B:$G,2,0),IFERROR(VLOOKUP($F894,'COMPOSIÇÕES COMPLEMENTARES '!$D:$L,2,0),IFERROR(VLOOKUP($F894,INSUMOS!$A:$D,2,0),""))))</f>
        <v>EXECUÇÃO DE PAVIMENTO EM PISO INTERTRAVADO, COM BLOCO RETANGULAR COR NATURAL DE 20 X 10 CM, ESPESSURA 8 CM. AF_10/2022</v>
      </c>
      <c r="H894" s="312" t="str">
        <f>IF($F894="","",IFERROR(VLOOKUP($F894,SERVIÇOS!$B:$G,3,0),IFERROR(VLOOKUP($F894,'COMPOSIÇÕES COMPLEMENTARES '!$D:$L,3,0),IFERROR(VLOOKUP($F894,INSUMOS!$A:$D,3,0),""))))</f>
        <v>M2</v>
      </c>
      <c r="I894" s="313">
        <v>476.41</v>
      </c>
      <c r="J894" s="314">
        <f>IF($F894="","",IFERROR(VLOOKUP($F894,SERVIÇOS!$B:$G,4,0),IFERROR(VLOOKUP($F894,'COMPOSIÇÕES COMPLEMENTARES '!$D:$L,6,0),IFERROR(VLOOKUP($F894,INSUMOS!$A:$D,4,0),""))))</f>
        <v>67.349999999999994</v>
      </c>
      <c r="K894" s="314">
        <f>IF($F894="","",IFERROR(VLOOKUP($F894,SERVIÇOS!$B:$G,5,0),IFERROR(VLOOKUP($F894,'COMPOSIÇÕES COMPLEMENTARES '!$D:$L,7,0),0)))</f>
        <v>11.23</v>
      </c>
      <c r="L894" s="314">
        <f t="shared" si="548"/>
        <v>78.58</v>
      </c>
      <c r="M894" s="314">
        <f t="shared" si="549"/>
        <v>32086.21</v>
      </c>
      <c r="N894" s="314">
        <f t="shared" si="550"/>
        <v>5350.08</v>
      </c>
      <c r="O894" s="314">
        <f t="shared" si="551"/>
        <v>37436.29</v>
      </c>
      <c r="P894" s="314"/>
      <c r="Q894" s="315"/>
      <c r="R894" s="315"/>
      <c r="S894" s="286"/>
      <c r="T894" s="287"/>
      <c r="U894" s="288" t="str">
        <f t="shared" si="475"/>
        <v/>
      </c>
      <c r="V894" s="287"/>
      <c r="W894" s="289" t="str">
        <f t="shared" si="476"/>
        <v/>
      </c>
      <c r="X894" s="287"/>
      <c r="Y894" s="290" t="str">
        <f t="shared" si="477"/>
        <v/>
      </c>
      <c r="Z894" s="291">
        <f ca="1">SUMIF($T$8:Y$1018,"QUANT.",T894:Y894)</f>
        <v>0</v>
      </c>
      <c r="AA894" s="292">
        <f t="shared" ca="1" si="497"/>
        <v>0</v>
      </c>
      <c r="AB894" s="293" t="str">
        <f t="shared" ca="1" si="478"/>
        <v>MEDIR</v>
      </c>
      <c r="AC894" s="294">
        <f t="shared" ca="1" si="479"/>
        <v>476.41</v>
      </c>
      <c r="AD894" s="294">
        <f t="shared" ca="1" si="480"/>
        <v>37436.29</v>
      </c>
      <c r="AE894" s="295"/>
      <c r="AF894" s="295"/>
      <c r="AG894" s="296"/>
      <c r="AH894" s="296"/>
      <c r="AI894" s="296"/>
      <c r="AJ894" s="326"/>
      <c r="AK894" s="326"/>
      <c r="AL894" s="326"/>
      <c r="AM894" s="326"/>
    </row>
    <row r="895" spans="1:39" ht="38.25" x14ac:dyDescent="0.25">
      <c r="A895" s="232">
        <f t="shared" si="455"/>
        <v>895</v>
      </c>
      <c r="B895" s="232"/>
      <c r="C895" s="307" t="str">
        <f t="shared" si="545"/>
        <v>22.2</v>
      </c>
      <c r="D895" s="308">
        <f t="shared" si="546"/>
        <v>3</v>
      </c>
      <c r="E895" s="309" t="str">
        <f t="shared" si="547"/>
        <v>22.2.3</v>
      </c>
      <c r="F895" s="310" t="s">
        <v>12511</v>
      </c>
      <c r="G895" s="311" t="str">
        <f>IF($F895="","",IFERROR(VLOOKUP($F895,SERVIÇOS!$B:$G,2,0),IFERROR(VLOOKUP($F895,'COMPOSIÇÕES COMPLEMENTARES '!$D:$L,2,0),IFERROR(VLOOKUP($F895,INSUMOS!$A:$D,2,0),""))))</f>
        <v>LADRILHO HIDRAULICO PODOTÁTIL DE 30X30CM, ESPESSURA DE 2CM, COMPOSTO DE CIMENTO, AREIA, PÓ DE PEDRA E PIGMENTOS DO TIPO DIRECIONAL/ALERTA, COR TERRACOTA, INCLUSO BASE DE AREIA E REJUNTAMENTO COM PÓ DE PEDRA (CPU), CONFORME NBR/ABNT 9050 E LEGISLAÇÃO MUNICIPAL</v>
      </c>
      <c r="H895" s="312" t="str">
        <f>IF($F895="","",IFERROR(VLOOKUP($F895,SERVIÇOS!$B:$G,3,0),IFERROR(VLOOKUP($F895,'COMPOSIÇÕES COMPLEMENTARES '!$D:$L,3,0),IFERROR(VLOOKUP($F895,INSUMOS!$A:$D,3,0),""))))</f>
        <v>M2</v>
      </c>
      <c r="I895" s="313">
        <v>30.930000000000003</v>
      </c>
      <c r="J895" s="314">
        <f>IF($F895="","",IFERROR(VLOOKUP($F895,SERVIÇOS!$B:$G,4,0),IFERROR(VLOOKUP($F895,'COMPOSIÇÕES COMPLEMENTARES '!$D:$L,6,0),IFERROR(VLOOKUP($F895,INSUMOS!$A:$D,4,0),""))))</f>
        <v>92.97</v>
      </c>
      <c r="K895" s="314">
        <f>IF($F895="","",IFERROR(VLOOKUP($F895,SERVIÇOS!$B:$G,5,0),IFERROR(VLOOKUP($F895,'COMPOSIÇÕES COMPLEMENTARES '!$D:$L,7,0),0)))</f>
        <v>37.22</v>
      </c>
      <c r="L895" s="314">
        <f t="shared" si="548"/>
        <v>130.19</v>
      </c>
      <c r="M895" s="314">
        <f t="shared" si="549"/>
        <v>2875.56</v>
      </c>
      <c r="N895" s="314">
        <f t="shared" si="550"/>
        <v>1151.21</v>
      </c>
      <c r="O895" s="314">
        <f t="shared" si="551"/>
        <v>4026.77</v>
      </c>
      <c r="P895" s="314"/>
      <c r="Q895" s="315"/>
      <c r="R895" s="315"/>
      <c r="S895" s="286"/>
      <c r="T895" s="287"/>
      <c r="U895" s="288" t="str">
        <f t="shared" si="475"/>
        <v/>
      </c>
      <c r="V895" s="287"/>
      <c r="W895" s="289" t="str">
        <f t="shared" si="476"/>
        <v/>
      </c>
      <c r="X895" s="287"/>
      <c r="Y895" s="290" t="str">
        <f t="shared" si="477"/>
        <v/>
      </c>
      <c r="Z895" s="291">
        <f ca="1">SUMIF($T$8:Y$1018,"QUANT.",T895:Y895)</f>
        <v>0</v>
      </c>
      <c r="AA895" s="292">
        <f t="shared" ca="1" si="497"/>
        <v>0</v>
      </c>
      <c r="AB895" s="293" t="str">
        <f t="shared" ca="1" si="478"/>
        <v>MEDIR</v>
      </c>
      <c r="AC895" s="294">
        <f t="shared" ca="1" si="479"/>
        <v>30.930000000000003</v>
      </c>
      <c r="AD895" s="294">
        <f t="shared" ca="1" si="480"/>
        <v>4026.77</v>
      </c>
      <c r="AE895" s="295"/>
      <c r="AF895" s="295"/>
      <c r="AG895" s="296"/>
      <c r="AH895" s="296"/>
      <c r="AI895" s="296"/>
      <c r="AJ895" s="326"/>
      <c r="AK895" s="326"/>
      <c r="AL895" s="326"/>
      <c r="AM895" s="326"/>
    </row>
    <row r="896" spans="1:39" ht="25.5" x14ac:dyDescent="0.25">
      <c r="A896" s="232">
        <f t="shared" si="455"/>
        <v>896</v>
      </c>
      <c r="B896" s="232"/>
      <c r="C896" s="307" t="str">
        <f t="shared" si="545"/>
        <v>22.2</v>
      </c>
      <c r="D896" s="308">
        <f t="shared" si="546"/>
        <v>4</v>
      </c>
      <c r="E896" s="309" t="str">
        <f t="shared" si="547"/>
        <v>22.2.4</v>
      </c>
      <c r="F896" s="310">
        <v>92398</v>
      </c>
      <c r="G896" s="311" t="str">
        <f>IF($F896="","",IFERROR(VLOOKUP($F896,SERVIÇOS!$B:$G,2,0),IFERROR(VLOOKUP($F896,'COMPOSIÇÕES COMPLEMENTARES '!$D:$L,2,0),IFERROR(VLOOKUP($F896,INSUMOS!$A:$D,2,0),""))))</f>
        <v>EXECUÇÃO DE PAVIMENTO EM PISO INTERTRAVADO, COM BLOCO RETANGULAR COR NATURAL DE 20 X 10 CM, ESPESSURA 8 CM. AF_10/2022</v>
      </c>
      <c r="H896" s="312" t="str">
        <f>IF($F896="","",IFERROR(VLOOKUP($F896,SERVIÇOS!$B:$G,3,0),IFERROR(VLOOKUP($F896,'COMPOSIÇÕES COMPLEMENTARES '!$D:$L,3,0),IFERROR(VLOOKUP($F896,INSUMOS!$A:$D,3,0),""))))</f>
        <v>M2</v>
      </c>
      <c r="I896" s="313">
        <v>1279.7</v>
      </c>
      <c r="J896" s="314">
        <f>IF($F896="","",IFERROR(VLOOKUP($F896,SERVIÇOS!$B:$G,4,0),IFERROR(VLOOKUP($F896,'COMPOSIÇÕES COMPLEMENTARES '!$D:$L,6,0),IFERROR(VLOOKUP($F896,INSUMOS!$A:$D,4,0),""))))</f>
        <v>67.349999999999994</v>
      </c>
      <c r="K896" s="314">
        <f>IF($F896="","",IFERROR(VLOOKUP($F896,SERVIÇOS!$B:$G,5,0),IFERROR(VLOOKUP($F896,'COMPOSIÇÕES COMPLEMENTARES '!$D:$L,7,0),0)))</f>
        <v>11.23</v>
      </c>
      <c r="L896" s="314">
        <f t="shared" si="548"/>
        <v>78.58</v>
      </c>
      <c r="M896" s="314">
        <f t="shared" si="549"/>
        <v>86187.79</v>
      </c>
      <c r="N896" s="314">
        <f t="shared" si="550"/>
        <v>14371.03</v>
      </c>
      <c r="O896" s="314">
        <f t="shared" si="551"/>
        <v>100558.82</v>
      </c>
      <c r="P896" s="314"/>
      <c r="Q896" s="315"/>
      <c r="R896" s="315"/>
      <c r="S896" s="286"/>
      <c r="T896" s="287"/>
      <c r="U896" s="288" t="str">
        <f t="shared" si="475"/>
        <v/>
      </c>
      <c r="V896" s="287"/>
      <c r="W896" s="289" t="str">
        <f t="shared" si="476"/>
        <v/>
      </c>
      <c r="X896" s="287"/>
      <c r="Y896" s="290" t="str">
        <f t="shared" si="477"/>
        <v/>
      </c>
      <c r="Z896" s="291">
        <f ca="1">SUMIF($T$8:Y$1018,"QUANT.",T896:Y896)</f>
        <v>0</v>
      </c>
      <c r="AA896" s="292">
        <f t="shared" ca="1" si="497"/>
        <v>0</v>
      </c>
      <c r="AB896" s="293" t="str">
        <f t="shared" ca="1" si="478"/>
        <v>MEDIR</v>
      </c>
      <c r="AC896" s="294">
        <f t="shared" ca="1" si="479"/>
        <v>1279.7</v>
      </c>
      <c r="AD896" s="294">
        <f t="shared" ca="1" si="480"/>
        <v>100558.82</v>
      </c>
      <c r="AE896" s="295"/>
      <c r="AF896" s="295"/>
      <c r="AG896" s="296"/>
      <c r="AH896" s="296"/>
      <c r="AI896" s="296"/>
      <c r="AJ896" s="326"/>
      <c r="AK896" s="326"/>
      <c r="AL896" s="326"/>
      <c r="AM896" s="326"/>
    </row>
    <row r="897" spans="1:39" ht="38.25" x14ac:dyDescent="0.25">
      <c r="A897" s="232">
        <f t="shared" si="455"/>
        <v>897</v>
      </c>
      <c r="B897" s="232"/>
      <c r="C897" s="307" t="str">
        <f t="shared" si="545"/>
        <v>22.2</v>
      </c>
      <c r="D897" s="308">
        <f t="shared" si="546"/>
        <v>5</v>
      </c>
      <c r="E897" s="309" t="str">
        <f t="shared" si="547"/>
        <v>22.2.5</v>
      </c>
      <c r="F897" s="310">
        <v>100978</v>
      </c>
      <c r="G897" s="311" t="str">
        <f>IF($F897="","",IFERROR(VLOOKUP($F897,SERVIÇOS!$B:$G,2,0),IFERROR(VLOOKUP($F897,'COMPOSIÇÕES COMPLEMENTARES '!$D:$L,2,0),IFERROR(VLOOKUP($F897,INSUMOS!$A:$D,2,0),""))))</f>
        <v>CARGA, MANOBRA E DESCARGA DE SOLOS E MATERIAIS GRANULARES EM CAMINHÃO BASCULANTE 10 M³ - CARGA COM ESCAVADEIRA HIDRÁULICA (CAÇAMBA DE 1,20 M³ / 155 HP) E DESCARGA LIVRE (UNIDADE: M3). AF_07/2020</v>
      </c>
      <c r="H897" s="312" t="str">
        <f>IF($F897="","",IFERROR(VLOOKUP($F897,SERVIÇOS!$B:$G,3,0),IFERROR(VLOOKUP($F897,'COMPOSIÇÕES COMPLEMENTARES '!$D:$L,3,0),IFERROR(VLOOKUP($F897,INSUMOS!$A:$D,3,0),""))))</f>
        <v>M3</v>
      </c>
      <c r="I897" s="313">
        <v>20.891500000000001</v>
      </c>
      <c r="J897" s="314">
        <f>IF($F897="","",IFERROR(VLOOKUP($F897,SERVIÇOS!$B:$G,4,0),IFERROR(VLOOKUP($F897,'COMPOSIÇÕES COMPLEMENTARES '!$D:$L,6,0),IFERROR(VLOOKUP($F897,INSUMOS!$A:$D,4,0),""))))</f>
        <v>6.4</v>
      </c>
      <c r="K897" s="314">
        <f>IF($F897="","",IFERROR(VLOOKUP($F897,SERVIÇOS!$B:$G,5,0),IFERROR(VLOOKUP($F897,'COMPOSIÇÕES COMPLEMENTARES '!$D:$L,7,0),0)))</f>
        <v>1.1399999999999999</v>
      </c>
      <c r="L897" s="314">
        <f t="shared" si="548"/>
        <v>7.54</v>
      </c>
      <c r="M897" s="314">
        <f t="shared" si="549"/>
        <v>133.69999999999999</v>
      </c>
      <c r="N897" s="314">
        <f t="shared" si="550"/>
        <v>23.81</v>
      </c>
      <c r="O897" s="314">
        <f t="shared" si="551"/>
        <v>157.51</v>
      </c>
      <c r="P897" s="314"/>
      <c r="Q897" s="315"/>
      <c r="R897" s="315"/>
      <c r="S897" s="286"/>
      <c r="T897" s="287"/>
      <c r="U897" s="288" t="str">
        <f t="shared" si="475"/>
        <v/>
      </c>
      <c r="V897" s="287"/>
      <c r="W897" s="289" t="str">
        <f t="shared" si="476"/>
        <v/>
      </c>
      <c r="X897" s="287"/>
      <c r="Y897" s="290" t="str">
        <f t="shared" si="477"/>
        <v/>
      </c>
      <c r="Z897" s="291">
        <f ca="1">SUMIF($T$8:Y$1018,"QUANT.",T897:Y897)</f>
        <v>0</v>
      </c>
      <c r="AA897" s="292">
        <f t="shared" ca="1" si="497"/>
        <v>0</v>
      </c>
      <c r="AB897" s="293" t="str">
        <f t="shared" ca="1" si="478"/>
        <v>MEDIR</v>
      </c>
      <c r="AC897" s="294">
        <f t="shared" ca="1" si="479"/>
        <v>20.891500000000001</v>
      </c>
      <c r="AD897" s="294">
        <f t="shared" ca="1" si="480"/>
        <v>157.51</v>
      </c>
      <c r="AE897" s="295"/>
      <c r="AF897" s="295"/>
      <c r="AG897" s="296"/>
      <c r="AH897" s="296"/>
      <c r="AI897" s="296"/>
      <c r="AJ897" s="326"/>
      <c r="AK897" s="326"/>
      <c r="AL897" s="326"/>
      <c r="AM897" s="326"/>
    </row>
    <row r="898" spans="1:39" ht="25.5" x14ac:dyDescent="0.25">
      <c r="A898" s="232">
        <f t="shared" ref="A898:A961" si="552">1+A897</f>
        <v>898</v>
      </c>
      <c r="B898" s="232"/>
      <c r="C898" s="307" t="str">
        <f t="shared" si="545"/>
        <v>22.2</v>
      </c>
      <c r="D898" s="308">
        <f t="shared" si="546"/>
        <v>6</v>
      </c>
      <c r="E898" s="309" t="str">
        <f t="shared" si="547"/>
        <v>22.2.6</v>
      </c>
      <c r="F898" s="310">
        <v>95875</v>
      </c>
      <c r="G898" s="311" t="str">
        <f>IF($F898="","",IFERROR(VLOOKUP($F898,SERVIÇOS!$B:$G,2,0),IFERROR(VLOOKUP($F898,'COMPOSIÇÕES COMPLEMENTARES '!$D:$L,2,0),IFERROR(VLOOKUP($F898,INSUMOS!$A:$D,2,0),""))))</f>
        <v>TRANSPORTE COM CAMINHÃO BASCULANTE DE 10 M³, EM VIA URBANA PAVIMENTADA, DMT ATÉ 30 KM (UNIDADE: M3XKM). AF_07/2020</v>
      </c>
      <c r="H898" s="312" t="str">
        <f>IF($F898="","",IFERROR(VLOOKUP($F898,SERVIÇOS!$B:$G,3,0),IFERROR(VLOOKUP($F898,'COMPOSIÇÕES COMPLEMENTARES '!$D:$L,3,0),IFERROR(VLOOKUP($F898,INSUMOS!$A:$D,3,0),""))))</f>
        <v>M3XKM</v>
      </c>
      <c r="I898" s="313">
        <v>73.120249999999999</v>
      </c>
      <c r="J898" s="314">
        <f>IF($F898="","",IFERROR(VLOOKUP($F898,SERVIÇOS!$B:$G,4,0),IFERROR(VLOOKUP($F898,'COMPOSIÇÕES COMPLEMENTARES '!$D:$L,6,0),IFERROR(VLOOKUP($F898,INSUMOS!$A:$D,4,0),""))))</f>
        <v>2.3199999999999998</v>
      </c>
      <c r="K898" s="314">
        <f>IF($F898="","",IFERROR(VLOOKUP($F898,SERVIÇOS!$B:$G,5,0),IFERROR(VLOOKUP($F898,'COMPOSIÇÕES COMPLEMENTARES '!$D:$L,7,0),0)))</f>
        <v>0.33</v>
      </c>
      <c r="L898" s="314">
        <f t="shared" si="548"/>
        <v>2.65</v>
      </c>
      <c r="M898" s="314">
        <f t="shared" si="549"/>
        <v>169.63</v>
      </c>
      <c r="N898" s="314">
        <f t="shared" si="550"/>
        <v>24.12</v>
      </c>
      <c r="O898" s="314">
        <f t="shared" si="551"/>
        <v>193.75</v>
      </c>
      <c r="P898" s="314"/>
      <c r="Q898" s="315"/>
      <c r="R898" s="315"/>
      <c r="S898" s="286"/>
      <c r="T898" s="287"/>
      <c r="U898" s="288" t="str">
        <f t="shared" si="475"/>
        <v/>
      </c>
      <c r="V898" s="287"/>
      <c r="W898" s="289" t="str">
        <f t="shared" si="476"/>
        <v/>
      </c>
      <c r="X898" s="287"/>
      <c r="Y898" s="290" t="str">
        <f t="shared" si="477"/>
        <v/>
      </c>
      <c r="Z898" s="291">
        <f ca="1">SUMIF($T$8:Y$1018,"QUANT.",T898:Y898)</f>
        <v>0</v>
      </c>
      <c r="AA898" s="292">
        <f t="shared" ca="1" si="497"/>
        <v>0</v>
      </c>
      <c r="AB898" s="293" t="str">
        <f t="shared" ca="1" si="478"/>
        <v>MEDIR</v>
      </c>
      <c r="AC898" s="294">
        <f t="shared" ca="1" si="479"/>
        <v>73.120249999999999</v>
      </c>
      <c r="AD898" s="294">
        <f t="shared" ca="1" si="480"/>
        <v>193.75</v>
      </c>
      <c r="AE898" s="295"/>
      <c r="AF898" s="295"/>
      <c r="AG898" s="296"/>
      <c r="AH898" s="296"/>
      <c r="AI898" s="296"/>
      <c r="AJ898" s="326"/>
      <c r="AK898" s="326"/>
      <c r="AL898" s="326"/>
      <c r="AM898" s="326"/>
    </row>
    <row r="899" spans="1:39" x14ac:dyDescent="0.25">
      <c r="A899" s="232">
        <f t="shared" si="552"/>
        <v>899</v>
      </c>
      <c r="B899" s="232"/>
      <c r="C899" s="316" t="str">
        <f>+E899</f>
        <v>22.3</v>
      </c>
      <c r="D899" s="297"/>
      <c r="E899" s="317" t="s">
        <v>12521</v>
      </c>
      <c r="F899" s="317"/>
      <c r="G899" s="327" t="s">
        <v>12513</v>
      </c>
      <c r="H899" s="317"/>
      <c r="I899" s="319"/>
      <c r="J899" s="317"/>
      <c r="K899" s="317"/>
      <c r="L899" s="317"/>
      <c r="M899" s="317"/>
      <c r="N899" s="317"/>
      <c r="O899" s="743"/>
      <c r="P899" s="317"/>
      <c r="Q899" s="320"/>
      <c r="R899" s="306"/>
      <c r="S899" s="286"/>
      <c r="T899" s="287"/>
      <c r="U899" s="288" t="str">
        <f t="shared" si="475"/>
        <v/>
      </c>
      <c r="V899" s="287"/>
      <c r="W899" s="289" t="str">
        <f t="shared" si="476"/>
        <v/>
      </c>
      <c r="X899" s="287"/>
      <c r="Y899" s="290" t="str">
        <f t="shared" si="477"/>
        <v/>
      </c>
      <c r="Z899" s="291">
        <f ca="1">SUMIF($T$8:Y$1018,"QUANT.",T899:Y899)</f>
        <v>0</v>
      </c>
      <c r="AA899" s="292">
        <f t="shared" ca="1" si="497"/>
        <v>0</v>
      </c>
      <c r="AB899" s="293" t="str">
        <f t="shared" si="478"/>
        <v/>
      </c>
      <c r="AC899" s="294">
        <f t="shared" ca="1" si="479"/>
        <v>0</v>
      </c>
      <c r="AD899" s="294">
        <f t="shared" ca="1" si="480"/>
        <v>0</v>
      </c>
      <c r="AE899" s="295"/>
      <c r="AF899" s="295"/>
      <c r="AG899" s="296"/>
      <c r="AH899" s="296"/>
      <c r="AI899" s="296"/>
      <c r="AJ899" s="326"/>
      <c r="AK899" s="326"/>
      <c r="AL899" s="326"/>
      <c r="AM899" s="326"/>
    </row>
    <row r="900" spans="1:39" x14ac:dyDescent="0.25">
      <c r="A900" s="232">
        <f t="shared" si="552"/>
        <v>900</v>
      </c>
      <c r="B900" s="232"/>
      <c r="C900" s="307" t="str">
        <f t="shared" ref="C900:C902" si="553">+C899</f>
        <v>22.3</v>
      </c>
      <c r="D900" s="308">
        <f t="shared" ref="D900:D902" si="554">1+D899</f>
        <v>1</v>
      </c>
      <c r="E900" s="309" t="str">
        <f t="shared" ref="E900:E904" si="555">C900&amp;"."&amp;D900</f>
        <v>22.3.1</v>
      </c>
      <c r="F900" s="744" t="s">
        <v>20487</v>
      </c>
      <c r="G900" s="311" t="str">
        <f>IF($F900="","",IFERROR(VLOOKUP($F900,SERVIÇOS!$B:$G,2,0),IFERROR(VLOOKUP($F900,'COMPOSIÇÕES COMPLEMENTARES '!$D:$L,2,0),IFERROR(VLOOKUP($F900,INSUMOS!$A:$D,2,0),""))))</f>
        <v xml:space="preserve">ASSENTAMENTO DE MEIO FIO DE CONCRETO TIPO 2  DER/PR- PRÉ-MOLDADO </v>
      </c>
      <c r="H900" s="312" t="str">
        <f>IF($F900="","",IFERROR(VLOOKUP($F900,SERVIÇOS!$B:$G,3,0),IFERROR(VLOOKUP($F900,'COMPOSIÇÕES COMPLEMENTARES '!$D:$L,3,0),IFERROR(VLOOKUP($F900,INSUMOS!$A:$D,3,0),""))))</f>
        <v>M</v>
      </c>
      <c r="I900" s="313">
        <v>114.21</v>
      </c>
      <c r="J900" s="314">
        <f>IF($F900="","",IFERROR(VLOOKUP($F900,SERVIÇOS!$B:$G,4,0),IFERROR(VLOOKUP($F900,'COMPOSIÇÕES COMPLEMENTARES '!$D:$L,6,0),IFERROR(VLOOKUP($F900,INSUMOS!$A:$D,4,0),""))))</f>
        <v>49.94</v>
      </c>
      <c r="K900" s="314">
        <f>IF($F900="","",IFERROR(VLOOKUP($F900,SERVIÇOS!$B:$G,5,0),IFERROR(VLOOKUP($F900,'COMPOSIÇÕES COMPLEMENTARES '!$D:$L,7,0),0)))</f>
        <v>9.23</v>
      </c>
      <c r="L900" s="314">
        <f t="shared" ref="L900:L904" si="556">IF(I900="","",J900+K900)</f>
        <v>59.17</v>
      </c>
      <c r="M900" s="314">
        <f t="shared" ref="M900:M904" si="557">IF(I900="","",TRUNC((I900*J900),2))</f>
        <v>5703.64</v>
      </c>
      <c r="N900" s="314">
        <f t="shared" ref="N900:N904" si="558">IF(I900="","",TRUNC((I900*K900),2))</f>
        <v>1054.1500000000001</v>
      </c>
      <c r="O900" s="314">
        <f t="shared" ref="O900:O904" si="559">IF(I900="","",TRUNC((M900+N900),2))</f>
        <v>6757.79</v>
      </c>
      <c r="P900" s="314"/>
      <c r="Q900" s="315"/>
      <c r="R900" s="315"/>
      <c r="S900" s="286"/>
      <c r="T900" s="287"/>
      <c r="U900" s="288" t="str">
        <f t="shared" si="475"/>
        <v/>
      </c>
      <c r="V900" s="287"/>
      <c r="W900" s="289" t="str">
        <f t="shared" si="476"/>
        <v/>
      </c>
      <c r="X900" s="287"/>
      <c r="Y900" s="290" t="str">
        <f t="shared" si="477"/>
        <v/>
      </c>
      <c r="Z900" s="291">
        <f ca="1">SUMIF($T$8:Y$1018,"QUANT.",T900:Y900)</f>
        <v>0</v>
      </c>
      <c r="AA900" s="292">
        <f t="shared" ca="1" si="497"/>
        <v>0</v>
      </c>
      <c r="AB900" s="293" t="str">
        <f t="shared" ca="1" si="478"/>
        <v>MEDIR</v>
      </c>
      <c r="AC900" s="294">
        <f t="shared" ca="1" si="479"/>
        <v>114.21</v>
      </c>
      <c r="AD900" s="294">
        <f t="shared" ca="1" si="480"/>
        <v>6757.79</v>
      </c>
      <c r="AE900" s="295"/>
      <c r="AF900" s="295"/>
      <c r="AG900" s="296"/>
      <c r="AH900" s="296"/>
      <c r="AI900" s="296"/>
      <c r="AJ900" s="326"/>
      <c r="AK900" s="326"/>
      <c r="AL900" s="326"/>
      <c r="AM900" s="326"/>
    </row>
    <row r="901" spans="1:39" x14ac:dyDescent="0.25">
      <c r="A901" s="232">
        <f t="shared" si="552"/>
        <v>901</v>
      </c>
      <c r="B901" s="232"/>
      <c r="C901" s="307" t="str">
        <f t="shared" si="553"/>
        <v>22.3</v>
      </c>
      <c r="D901" s="308">
        <f t="shared" si="554"/>
        <v>2</v>
      </c>
      <c r="E901" s="309" t="str">
        <f t="shared" si="555"/>
        <v>22.3.2</v>
      </c>
      <c r="F901" s="744" t="s">
        <v>20488</v>
      </c>
      <c r="G901" s="311" t="str">
        <f>IF($F901="","",IFERROR(VLOOKUP($F901,SERVIÇOS!$B:$G,2,0),IFERROR(VLOOKUP($F901,'COMPOSIÇÕES COMPLEMENTARES '!$D:$L,2,0),IFERROR(VLOOKUP($F901,INSUMOS!$A:$D,2,0),""))))</f>
        <v>ASSENTAMENTO DE MEIO FIO DE CONCRETO TIPO 3 DER/PR - PRÉ-MOLDADO</v>
      </c>
      <c r="H901" s="312" t="str">
        <f>IF($F901="","",IFERROR(VLOOKUP($F901,SERVIÇOS!$B:$G,3,0),IFERROR(VLOOKUP($F901,'COMPOSIÇÕES COMPLEMENTARES '!$D:$L,3,0),IFERROR(VLOOKUP($F901,INSUMOS!$A:$D,3,0),""))))</f>
        <v>M</v>
      </c>
      <c r="I901" s="313">
        <v>126.00000000000001</v>
      </c>
      <c r="J901" s="314">
        <f>IF($F901="","",IFERROR(VLOOKUP($F901,SERVIÇOS!$B:$G,4,0),IFERROR(VLOOKUP($F901,'COMPOSIÇÕES COMPLEMENTARES '!$D:$L,6,0),IFERROR(VLOOKUP($F901,INSUMOS!$A:$D,4,0),""))))</f>
        <v>49.94</v>
      </c>
      <c r="K901" s="314">
        <f>IF($F901="","",IFERROR(VLOOKUP($F901,SERVIÇOS!$B:$G,5,0),IFERROR(VLOOKUP($F901,'COMPOSIÇÕES COMPLEMENTARES '!$D:$L,7,0),0)))</f>
        <v>9.23</v>
      </c>
      <c r="L901" s="314">
        <f t="shared" si="556"/>
        <v>59.17</v>
      </c>
      <c r="M901" s="314">
        <f t="shared" si="557"/>
        <v>6292.44</v>
      </c>
      <c r="N901" s="314">
        <f t="shared" si="558"/>
        <v>1162.98</v>
      </c>
      <c r="O901" s="314">
        <f t="shared" si="559"/>
        <v>7455.42</v>
      </c>
      <c r="P901" s="314"/>
      <c r="Q901" s="315"/>
      <c r="R901" s="315"/>
      <c r="S901" s="286"/>
      <c r="T901" s="287"/>
      <c r="U901" s="288" t="str">
        <f t="shared" si="475"/>
        <v/>
      </c>
      <c r="V901" s="287"/>
      <c r="W901" s="289" t="str">
        <f t="shared" si="476"/>
        <v/>
      </c>
      <c r="X901" s="287"/>
      <c r="Y901" s="290" t="str">
        <f t="shared" si="477"/>
        <v/>
      </c>
      <c r="Z901" s="291">
        <f ca="1">SUMIF($T$8:Y$1018,"QUANT.",T901:Y901)</f>
        <v>0</v>
      </c>
      <c r="AA901" s="292">
        <f t="shared" ca="1" si="497"/>
        <v>0</v>
      </c>
      <c r="AB901" s="293" t="str">
        <f t="shared" ca="1" si="478"/>
        <v>MEDIR</v>
      </c>
      <c r="AC901" s="294">
        <f t="shared" ca="1" si="479"/>
        <v>126.00000000000001</v>
      </c>
      <c r="AD901" s="294">
        <f t="shared" ca="1" si="480"/>
        <v>7455.42</v>
      </c>
      <c r="AE901" s="295"/>
      <c r="AF901" s="295"/>
      <c r="AG901" s="296"/>
      <c r="AH901" s="296"/>
      <c r="AI901" s="296"/>
      <c r="AJ901" s="326"/>
      <c r="AK901" s="326"/>
      <c r="AL901" s="326"/>
      <c r="AM901" s="326"/>
    </row>
    <row r="902" spans="1:39" x14ac:dyDescent="0.25">
      <c r="A902" s="232">
        <f t="shared" si="552"/>
        <v>902</v>
      </c>
      <c r="B902" s="232"/>
      <c r="C902" s="307" t="str">
        <f t="shared" si="553"/>
        <v>22.3</v>
      </c>
      <c r="D902" s="308">
        <f t="shared" si="554"/>
        <v>3</v>
      </c>
      <c r="E902" s="309" t="str">
        <f t="shared" si="555"/>
        <v>22.3.3</v>
      </c>
      <c r="F902" s="744" t="s">
        <v>20489</v>
      </c>
      <c r="G902" s="311" t="str">
        <f>IF($F902="","",IFERROR(VLOOKUP($F902,SERVIÇOS!$B:$G,2,0),IFERROR(VLOOKUP($F902,'COMPOSIÇÕES COMPLEMENTARES '!$D:$L,2,0),IFERROR(VLOOKUP($F902,INSUMOS!$A:$D,2,0),""))))</f>
        <v>ASSENTAMENTO DE MEIO FIO DE CONCRETO TIPO 5 DER/PR - PRÉ-MOLDADO</v>
      </c>
      <c r="H902" s="312" t="str">
        <f>IF($F902="","",IFERROR(VLOOKUP($F902,SERVIÇOS!$B:$G,3,0),IFERROR(VLOOKUP($F902,'COMPOSIÇÕES COMPLEMENTARES '!$D:$L,3,0),IFERROR(VLOOKUP($F902,INSUMOS!$A:$D,3,0),""))))</f>
        <v>M</v>
      </c>
      <c r="I902" s="313">
        <v>27.999999999999993</v>
      </c>
      <c r="J902" s="314">
        <f>IF($F902="","",IFERROR(VLOOKUP($F902,SERVIÇOS!$B:$G,4,0),IFERROR(VLOOKUP($F902,'COMPOSIÇÕES COMPLEMENTARES '!$D:$L,6,0),IFERROR(VLOOKUP($F902,INSUMOS!$A:$D,4,0),""))))</f>
        <v>28.41</v>
      </c>
      <c r="K902" s="314">
        <f>IF($F902="","",IFERROR(VLOOKUP($F902,SERVIÇOS!$B:$G,5,0),IFERROR(VLOOKUP($F902,'COMPOSIÇÕES COMPLEMENTARES '!$D:$L,7,0),0)))</f>
        <v>9.23</v>
      </c>
      <c r="L902" s="314">
        <f t="shared" si="556"/>
        <v>37.64</v>
      </c>
      <c r="M902" s="314">
        <f t="shared" si="557"/>
        <v>795.48</v>
      </c>
      <c r="N902" s="314">
        <f t="shared" si="558"/>
        <v>258.44</v>
      </c>
      <c r="O902" s="314">
        <f t="shared" si="559"/>
        <v>1053.92</v>
      </c>
      <c r="P902" s="314"/>
      <c r="Q902" s="315"/>
      <c r="R902" s="315"/>
      <c r="S902" s="286"/>
      <c r="T902" s="287"/>
      <c r="U902" s="288" t="str">
        <f t="shared" si="475"/>
        <v/>
      </c>
      <c r="V902" s="287"/>
      <c r="W902" s="289" t="str">
        <f t="shared" si="476"/>
        <v/>
      </c>
      <c r="X902" s="287"/>
      <c r="Y902" s="290" t="str">
        <f t="shared" si="477"/>
        <v/>
      </c>
      <c r="Z902" s="291">
        <f ca="1">SUMIF($T$8:Y$1018,"QUANT.",T902:Y902)</f>
        <v>0</v>
      </c>
      <c r="AA902" s="292">
        <f t="shared" ca="1" si="497"/>
        <v>0</v>
      </c>
      <c r="AB902" s="293" t="str">
        <f t="shared" ca="1" si="478"/>
        <v>MEDIR</v>
      </c>
      <c r="AC902" s="294">
        <f t="shared" ca="1" si="479"/>
        <v>27.999999999999993</v>
      </c>
      <c r="AD902" s="294">
        <f t="shared" ca="1" si="480"/>
        <v>1053.92</v>
      </c>
      <c r="AE902" s="295"/>
      <c r="AF902" s="295"/>
      <c r="AG902" s="296"/>
      <c r="AH902" s="296"/>
      <c r="AI902" s="296"/>
      <c r="AJ902" s="326"/>
      <c r="AK902" s="326"/>
      <c r="AL902" s="326"/>
      <c r="AM902" s="326"/>
    </row>
    <row r="903" spans="1:39" x14ac:dyDescent="0.25">
      <c r="A903" s="232">
        <f t="shared" si="552"/>
        <v>903</v>
      </c>
      <c r="B903" s="232"/>
      <c r="C903" s="307" t="str">
        <f>+C902</f>
        <v>22.3</v>
      </c>
      <c r="D903" s="308">
        <f>1+D902</f>
        <v>4</v>
      </c>
      <c r="E903" s="309" t="str">
        <f t="shared" si="555"/>
        <v>22.3.4</v>
      </c>
      <c r="F903" s="310" t="s">
        <v>12514</v>
      </c>
      <c r="G903" s="311" t="str">
        <f>IF($F903="","",IFERROR(VLOOKUP($F903,SERVIÇOS!$B:$G,2,0),IFERROR(VLOOKUP($F903,'COMPOSIÇÕES COMPLEMENTARES '!$D:$L,2,0),IFERROR(VLOOKUP($F903,INSUMOS!$A:$D,2,0),""))))</f>
        <v>REBAIXAMENTO DE GUIA</v>
      </c>
      <c r="H903" s="312" t="str">
        <f>IF($F903="","",IFERROR(VLOOKUP($F903,SERVIÇOS!$B:$G,3,0),IFERROR(VLOOKUP($F903,'COMPOSIÇÕES COMPLEMENTARES '!$D:$L,3,0),IFERROR(VLOOKUP($F903,INSUMOS!$A:$D,3,0),""))))</f>
        <v>M</v>
      </c>
      <c r="I903" s="313">
        <v>17</v>
      </c>
      <c r="J903" s="314">
        <f>IF($F903="","",IFERROR(VLOOKUP($F903,SERVIÇOS!$B:$G,4,0),IFERROR(VLOOKUP($F903,'COMPOSIÇÕES COMPLEMENTARES '!$D:$L,6,0),IFERROR(VLOOKUP($F903,INSUMOS!$A:$D,4,0),""))))</f>
        <v>19.440000000000001</v>
      </c>
      <c r="K903" s="314">
        <f>IF($F903="","",IFERROR(VLOOKUP($F903,SERVIÇOS!$B:$G,5,0),IFERROR(VLOOKUP($F903,'COMPOSIÇÕES COMPLEMENTARES '!$D:$L,7,0),0)))</f>
        <v>26.98</v>
      </c>
      <c r="L903" s="314">
        <f t="shared" si="556"/>
        <v>46.42</v>
      </c>
      <c r="M903" s="314">
        <f t="shared" si="557"/>
        <v>330.48</v>
      </c>
      <c r="N903" s="314">
        <f t="shared" si="558"/>
        <v>458.66</v>
      </c>
      <c r="O903" s="314">
        <f t="shared" si="559"/>
        <v>789.14</v>
      </c>
      <c r="P903" s="314"/>
      <c r="Q903" s="315"/>
      <c r="R903" s="315"/>
      <c r="S903" s="286"/>
      <c r="T903" s="287"/>
      <c r="U903" s="288" t="str">
        <f t="shared" si="475"/>
        <v/>
      </c>
      <c r="V903" s="287"/>
      <c r="W903" s="289" t="str">
        <f t="shared" si="476"/>
        <v/>
      </c>
      <c r="X903" s="287"/>
      <c r="Y903" s="290" t="str">
        <f t="shared" si="477"/>
        <v/>
      </c>
      <c r="Z903" s="291">
        <f ca="1">SUMIF($T$8:Y$1018,"QUANT.",T903:Y903)</f>
        <v>0</v>
      </c>
      <c r="AA903" s="292">
        <f t="shared" ca="1" si="497"/>
        <v>0</v>
      </c>
      <c r="AB903" s="293" t="str">
        <f t="shared" ca="1" si="478"/>
        <v>MEDIR</v>
      </c>
      <c r="AC903" s="294">
        <f t="shared" ca="1" si="479"/>
        <v>17</v>
      </c>
      <c r="AD903" s="294">
        <f t="shared" ca="1" si="480"/>
        <v>789.14</v>
      </c>
      <c r="AE903" s="295"/>
      <c r="AF903" s="295"/>
      <c r="AG903" s="296"/>
      <c r="AH903" s="296"/>
      <c r="AI903" s="296"/>
      <c r="AJ903" s="326"/>
      <c r="AK903" s="326"/>
      <c r="AL903" s="326"/>
      <c r="AM903" s="326"/>
    </row>
    <row r="904" spans="1:39" ht="25.5" x14ac:dyDescent="0.25">
      <c r="A904" s="232">
        <f t="shared" si="552"/>
        <v>904</v>
      </c>
      <c r="B904" s="232"/>
      <c r="C904" s="307" t="str">
        <f>+C903</f>
        <v>22.3</v>
      </c>
      <c r="D904" s="308">
        <f>1+D903</f>
        <v>5</v>
      </c>
      <c r="E904" s="309" t="str">
        <f t="shared" si="555"/>
        <v>22.3.5</v>
      </c>
      <c r="F904" s="310" t="s">
        <v>12515</v>
      </c>
      <c r="G904" s="311" t="str">
        <f>IF($F904="","",IFERROR(VLOOKUP($F904,SERVIÇOS!$B:$G,2,0),IFERROR(VLOOKUP($F904,'COMPOSIÇÕES COMPLEMENTARES '!$D:$L,2,0),IFERROR(VLOOKUP($F904,INSUMOS!$A:$D,2,0),""))))</f>
        <v>RAMPA PADRÃO PARA ACESSO DE DEFICIENTES A PASSEIO PÚBLICO, EM CONCRETO SIMPLES FCK=25MPA, DESEMPOLADA, PINTADA EM NOVACOR, 02 DEMÃOS E PISO TÁTIL DE ALERTA/DIRECIONAL.</v>
      </c>
      <c r="H904" s="312" t="str">
        <f>IF($F904="","",IFERROR(VLOOKUP($F904,SERVIÇOS!$B:$G,3,0),IFERROR(VLOOKUP($F904,'COMPOSIÇÕES COMPLEMENTARES '!$D:$L,3,0),IFERROR(VLOOKUP($F904,INSUMOS!$A:$D,3,0),""))))</f>
        <v>UN</v>
      </c>
      <c r="I904" s="313">
        <v>2</v>
      </c>
      <c r="J904" s="314">
        <f>IF($F904="","",IFERROR(VLOOKUP($F904,SERVIÇOS!$B:$G,4,0),IFERROR(VLOOKUP($F904,'COMPOSIÇÕES COMPLEMENTARES '!$D:$L,6,0),IFERROR(VLOOKUP($F904,INSUMOS!$A:$D,4,0),""))))</f>
        <v>119.21</v>
      </c>
      <c r="K904" s="314">
        <f>IF($F904="","",IFERROR(VLOOKUP($F904,SERVIÇOS!$B:$G,5,0),IFERROR(VLOOKUP($F904,'COMPOSIÇÕES COMPLEMENTARES '!$D:$L,7,0),0)))</f>
        <v>110.64</v>
      </c>
      <c r="L904" s="314">
        <f t="shared" si="556"/>
        <v>229.85</v>
      </c>
      <c r="M904" s="314">
        <f t="shared" si="557"/>
        <v>238.42</v>
      </c>
      <c r="N904" s="314">
        <f t="shared" si="558"/>
        <v>221.28</v>
      </c>
      <c r="O904" s="314">
        <f t="shared" si="559"/>
        <v>459.7</v>
      </c>
      <c r="P904" s="314"/>
      <c r="Q904" s="315"/>
      <c r="R904" s="315"/>
      <c r="S904" s="286"/>
      <c r="T904" s="287"/>
      <c r="U904" s="288" t="str">
        <f t="shared" si="475"/>
        <v/>
      </c>
      <c r="V904" s="287"/>
      <c r="W904" s="289" t="str">
        <f t="shared" si="476"/>
        <v/>
      </c>
      <c r="X904" s="287"/>
      <c r="Y904" s="290" t="str">
        <f t="shared" si="477"/>
        <v/>
      </c>
      <c r="Z904" s="291">
        <f ca="1">SUMIF($T$8:Y$1018,"QUANT.",T904:Y904)</f>
        <v>0</v>
      </c>
      <c r="AA904" s="292">
        <f t="shared" ca="1" si="497"/>
        <v>0</v>
      </c>
      <c r="AB904" s="293" t="str">
        <f t="shared" ca="1" si="478"/>
        <v>MEDIR</v>
      </c>
      <c r="AC904" s="294">
        <f t="shared" ca="1" si="479"/>
        <v>2</v>
      </c>
      <c r="AD904" s="294">
        <f t="shared" ca="1" si="480"/>
        <v>459.7</v>
      </c>
      <c r="AE904" s="295"/>
      <c r="AF904" s="295"/>
      <c r="AG904" s="296"/>
      <c r="AH904" s="296"/>
      <c r="AI904" s="296"/>
      <c r="AJ904" s="326"/>
      <c r="AK904" s="326"/>
      <c r="AL904" s="326"/>
      <c r="AM904" s="326"/>
    </row>
    <row r="905" spans="1:39" x14ac:dyDescent="0.25">
      <c r="A905" s="232">
        <f t="shared" si="552"/>
        <v>905</v>
      </c>
      <c r="B905" s="232"/>
      <c r="C905" s="281">
        <f>+E905</f>
        <v>22</v>
      </c>
      <c r="D905" s="297"/>
      <c r="E905" s="298">
        <v>22</v>
      </c>
      <c r="F905" s="322"/>
      <c r="G905" s="299" t="s">
        <v>12522</v>
      </c>
      <c r="H905" s="300"/>
      <c r="I905" s="345"/>
      <c r="J905" s="302"/>
      <c r="K905" s="303"/>
      <c r="L905" s="303"/>
      <c r="M905" s="304">
        <f>TRUNC(SUMIF(M906:M929,"&gt;0",M906:M929),2)</f>
        <v>62137.88</v>
      </c>
      <c r="N905" s="304">
        <f>TRUNC(SUMIF(N906:N929,"&gt;0",N906:N929),2)</f>
        <v>10509.5</v>
      </c>
      <c r="O905" s="305"/>
      <c r="P905" s="304">
        <f>SUMIF(O906:O929,"&gt;0",O906:O929)</f>
        <v>72647.37999999999</v>
      </c>
      <c r="Q905" s="306"/>
      <c r="R905" s="306"/>
      <c r="S905" s="286"/>
      <c r="T905" s="287"/>
      <c r="U905" s="288" t="str">
        <f t="shared" ref="U905:U929" si="560">IF(OR(T905="",$O905=""),"",(T905/$I905)*$O905)</f>
        <v/>
      </c>
      <c r="V905" s="287"/>
      <c r="W905" s="289" t="str">
        <f t="shared" ref="W905:W929" si="561">IF(OR(V905="",$O905=""),"",(V905/$I905)*$O905)</f>
        <v/>
      </c>
      <c r="X905" s="287"/>
      <c r="Y905" s="290" t="str">
        <f t="shared" ref="Y905:Y929" si="562">IF(OR(X905="",$O905=""),"",(X905/$I905)*$O905)</f>
        <v/>
      </c>
      <c r="Z905" s="291">
        <f ca="1">SUMIF($T$8:Y$1018,"QUANT.",T905:Y905)</f>
        <v>0</v>
      </c>
      <c r="AA905" s="292">
        <f t="shared" ca="1" si="497"/>
        <v>0</v>
      </c>
      <c r="AB905" s="293" t="str">
        <f t="shared" ref="AB905:AB929" si="563">IF(F905&lt;&gt;"",IF(AA905=0,"MEDIR",IF(O905-AA905=0,"OK",IF(O905-AA905&gt;0,"MEDIR","ALERTA!"))),"")</f>
        <v/>
      </c>
      <c r="AC905" s="294">
        <f t="shared" ref="AC905:AC929" ca="1" si="564">IF(Z905="",0,I905-Z905)</f>
        <v>0</v>
      </c>
      <c r="AD905" s="294">
        <f t="shared" ref="AD905:AD929" ca="1" si="565">IF(AA905="",0,O905-AA905)</f>
        <v>0</v>
      </c>
      <c r="AE905" s="295"/>
      <c r="AF905" s="295"/>
      <c r="AG905" s="296"/>
      <c r="AH905" s="296"/>
      <c r="AI905" s="296"/>
      <c r="AJ905" s="326"/>
      <c r="AK905" s="326"/>
      <c r="AL905" s="326"/>
      <c r="AM905" s="326"/>
    </row>
    <row r="906" spans="1:39" x14ac:dyDescent="0.25">
      <c r="A906" s="232">
        <f t="shared" si="552"/>
        <v>906</v>
      </c>
      <c r="B906" s="232"/>
      <c r="C906" s="316" t="str">
        <f>+E906</f>
        <v>23.1</v>
      </c>
      <c r="D906" s="297"/>
      <c r="E906" s="317" t="s">
        <v>12523</v>
      </c>
      <c r="F906" s="317"/>
      <c r="G906" s="318" t="s">
        <v>12524</v>
      </c>
      <c r="H906" s="317"/>
      <c r="I906" s="319"/>
      <c r="J906" s="317"/>
      <c r="K906" s="317"/>
      <c r="L906" s="317"/>
      <c r="M906" s="317"/>
      <c r="N906" s="317"/>
      <c r="O906" s="317"/>
      <c r="P906" s="317"/>
      <c r="Q906" s="320"/>
      <c r="R906" s="306"/>
      <c r="S906" s="286"/>
      <c r="T906" s="287"/>
      <c r="U906" s="288" t="str">
        <f t="shared" si="560"/>
        <v/>
      </c>
      <c r="V906" s="287"/>
      <c r="W906" s="289" t="str">
        <f t="shared" si="561"/>
        <v/>
      </c>
      <c r="X906" s="287"/>
      <c r="Y906" s="290" t="str">
        <f t="shared" si="562"/>
        <v/>
      </c>
      <c r="Z906" s="291">
        <f ca="1">SUMIF($T$8:Y$1018,"QUANT.",T906:Y906)</f>
        <v>0</v>
      </c>
      <c r="AA906" s="292">
        <f t="shared" ca="1" si="497"/>
        <v>0</v>
      </c>
      <c r="AB906" s="293" t="str">
        <f t="shared" si="563"/>
        <v/>
      </c>
      <c r="AC906" s="294">
        <f t="shared" ca="1" si="564"/>
        <v>0</v>
      </c>
      <c r="AD906" s="294">
        <f t="shared" ca="1" si="565"/>
        <v>0</v>
      </c>
      <c r="AE906" s="295"/>
      <c r="AF906" s="295"/>
      <c r="AG906" s="296"/>
      <c r="AH906" s="296"/>
      <c r="AI906" s="296"/>
      <c r="AJ906" s="326"/>
      <c r="AK906" s="326"/>
      <c r="AL906" s="325"/>
      <c r="AM906" s="325"/>
    </row>
    <row r="907" spans="1:39" x14ac:dyDescent="0.25">
      <c r="A907" s="232">
        <f t="shared" si="552"/>
        <v>907</v>
      </c>
      <c r="B907" s="232"/>
      <c r="C907" s="281" t="str">
        <f>+E907</f>
        <v>23.1.1</v>
      </c>
      <c r="D907" s="297"/>
      <c r="E907" s="317" t="s">
        <v>20544</v>
      </c>
      <c r="F907" s="317"/>
      <c r="G907" s="318" t="s">
        <v>12525</v>
      </c>
      <c r="H907" s="317"/>
      <c r="I907" s="319"/>
      <c r="J907" s="317"/>
      <c r="K907" s="317"/>
      <c r="L907" s="317"/>
      <c r="M907" s="317"/>
      <c r="N907" s="317"/>
      <c r="O907" s="317"/>
      <c r="P907" s="317"/>
      <c r="Q907" s="315"/>
      <c r="R907" s="306"/>
      <c r="S907" s="286"/>
      <c r="T907" s="287"/>
      <c r="U907" s="288" t="str">
        <f t="shared" si="560"/>
        <v/>
      </c>
      <c r="V907" s="287"/>
      <c r="W907" s="289" t="str">
        <f t="shared" si="561"/>
        <v/>
      </c>
      <c r="X907" s="287"/>
      <c r="Y907" s="290" t="str">
        <f t="shared" si="562"/>
        <v/>
      </c>
      <c r="Z907" s="291">
        <f ca="1">SUMIF($T$8:Y$1018,"QUANT.",T907:Y907)</f>
        <v>0</v>
      </c>
      <c r="AA907" s="292">
        <f t="shared" ca="1" si="497"/>
        <v>0</v>
      </c>
      <c r="AB907" s="293" t="str">
        <f t="shared" si="563"/>
        <v/>
      </c>
      <c r="AC907" s="294">
        <f t="shared" ca="1" si="564"/>
        <v>0</v>
      </c>
      <c r="AD907" s="294">
        <f t="shared" ca="1" si="565"/>
        <v>0</v>
      </c>
      <c r="AE907" s="295"/>
      <c r="AF907" s="295"/>
      <c r="AG907" s="296"/>
      <c r="AH907" s="296"/>
      <c r="AI907" s="296"/>
      <c r="AJ907" s="326"/>
      <c r="AK907" s="326"/>
      <c r="AL907" s="326"/>
      <c r="AM907" s="326"/>
    </row>
    <row r="908" spans="1:39" ht="25.5" x14ac:dyDescent="0.25">
      <c r="A908" s="232">
        <f t="shared" si="552"/>
        <v>908</v>
      </c>
      <c r="B908" s="232"/>
      <c r="C908" s="307" t="str">
        <f>+C907</f>
        <v>23.1.1</v>
      </c>
      <c r="D908" s="308">
        <f>1+D907</f>
        <v>1</v>
      </c>
      <c r="E908" s="309" t="str">
        <f>C908&amp;"."&amp;D908</f>
        <v>23.1.1.1</v>
      </c>
      <c r="F908" s="310" t="s">
        <v>12526</v>
      </c>
      <c r="G908" s="311" t="str">
        <f>IF($F908="","",IFERROR(VLOOKUP($F908,SERVIÇOS!$B:$G,2,0),IFERROR(VLOOKUP($F908,'COMPOSIÇÕES COMPLEMENTARES '!$D:$L,2,0),IFERROR(VLOOKUP($F908,INSUMOS!$A:$D,2,0),""))))</f>
        <v>POSTO DE TRANSFORMAÇÃO - 150KVA - 220/127V - CONFORME PROJETO, MEMORIAL E LISTA DE MATERIAIS</v>
      </c>
      <c r="H908" s="312" t="str">
        <f>IF($F908="","",IFERROR(VLOOKUP($F908,SERVIÇOS!$B:$G,3,0),IFERROR(VLOOKUP($F908,'COMPOSIÇÕES COMPLEMENTARES '!$D:$L,3,0),IFERROR(VLOOKUP($F908,INSUMOS!$A:$D,3,0),""))))</f>
        <v>CJ</v>
      </c>
      <c r="I908" s="313">
        <v>1</v>
      </c>
      <c r="J908" s="314">
        <f>IF($F908="","",IFERROR(VLOOKUP($F908,SERVIÇOS!$B:$G,4,0),IFERROR(VLOOKUP($F908,'COMPOSIÇÕES COMPLEMENTARES '!$D:$L,6,0),IFERROR(VLOOKUP($F908,INSUMOS!$A:$D,4,0),""))))</f>
        <v>43581.56</v>
      </c>
      <c r="K908" s="314">
        <f>IF($F908="","",IFERROR(VLOOKUP($F908,SERVIÇOS!$B:$G,5,0),IFERROR(VLOOKUP($F908,'COMPOSIÇÕES COMPLEMENTARES '!$D:$L,7,0),0)))</f>
        <v>6220.83</v>
      </c>
      <c r="L908" s="314">
        <f>IF(I908="","",J908+K908)</f>
        <v>49802.39</v>
      </c>
      <c r="M908" s="314">
        <f>IF(I908="","",TRUNC((I908*J908),2))</f>
        <v>43581.56</v>
      </c>
      <c r="N908" s="314">
        <f>IF(I908="","",TRUNC((I908*K908),2))</f>
        <v>6220.83</v>
      </c>
      <c r="O908" s="314">
        <f>IF(I908="","",TRUNC((M908+N908),2))</f>
        <v>49802.39</v>
      </c>
      <c r="P908" s="314"/>
      <c r="Q908" s="315"/>
      <c r="R908" s="315"/>
      <c r="S908" s="286"/>
      <c r="T908" s="287"/>
      <c r="U908" s="288" t="str">
        <f t="shared" si="560"/>
        <v/>
      </c>
      <c r="V908" s="287"/>
      <c r="W908" s="289" t="str">
        <f t="shared" si="561"/>
        <v/>
      </c>
      <c r="X908" s="287"/>
      <c r="Y908" s="290" t="str">
        <f t="shared" si="562"/>
        <v/>
      </c>
      <c r="Z908" s="291">
        <f ca="1">SUMIF($T$8:Y$1018,"QUANT.",T908:Y908)</f>
        <v>0</v>
      </c>
      <c r="AA908" s="292">
        <f t="shared" ca="1" si="497"/>
        <v>0</v>
      </c>
      <c r="AB908" s="293" t="str">
        <f t="shared" ca="1" si="563"/>
        <v>MEDIR</v>
      </c>
      <c r="AC908" s="294">
        <f t="shared" ca="1" si="564"/>
        <v>1</v>
      </c>
      <c r="AD908" s="294">
        <f t="shared" ca="1" si="565"/>
        <v>49802.39</v>
      </c>
      <c r="AE908" s="295"/>
      <c r="AF908" s="295"/>
      <c r="AG908" s="296"/>
      <c r="AH908" s="296"/>
      <c r="AI908" s="296"/>
      <c r="AJ908" s="326"/>
      <c r="AK908" s="326"/>
      <c r="AL908" s="326"/>
      <c r="AM908" s="326"/>
    </row>
    <row r="909" spans="1:39" x14ac:dyDescent="0.25">
      <c r="A909" s="232">
        <f t="shared" si="552"/>
        <v>909</v>
      </c>
      <c r="B909" s="232"/>
      <c r="C909" s="281" t="str">
        <f>+E909</f>
        <v>23.1.2</v>
      </c>
      <c r="D909" s="297"/>
      <c r="E909" s="317" t="s">
        <v>20545</v>
      </c>
      <c r="F909" s="317"/>
      <c r="G909" s="318" t="s">
        <v>12527</v>
      </c>
      <c r="H909" s="317"/>
      <c r="I909" s="319"/>
      <c r="J909" s="317"/>
      <c r="K909" s="317"/>
      <c r="L909" s="317"/>
      <c r="M909" s="317"/>
      <c r="N909" s="317"/>
      <c r="O909" s="317"/>
      <c r="P909" s="317"/>
      <c r="Q909" s="315"/>
      <c r="R909" s="306"/>
      <c r="S909" s="286"/>
      <c r="T909" s="287"/>
      <c r="U909" s="288" t="str">
        <f t="shared" si="560"/>
        <v/>
      </c>
      <c r="V909" s="287"/>
      <c r="W909" s="289" t="str">
        <f t="shared" si="561"/>
        <v/>
      </c>
      <c r="X909" s="287"/>
      <c r="Y909" s="290" t="str">
        <f t="shared" si="562"/>
        <v/>
      </c>
      <c r="Z909" s="291">
        <f ca="1">SUMIF($T$8:Y$1018,"QUANT.",T909:Y909)</f>
        <v>0</v>
      </c>
      <c r="AA909" s="292">
        <f t="shared" ca="1" si="497"/>
        <v>0</v>
      </c>
      <c r="AB909" s="293" t="str">
        <f t="shared" si="563"/>
        <v/>
      </c>
      <c r="AC909" s="294">
        <f t="shared" ca="1" si="564"/>
        <v>0</v>
      </c>
      <c r="AD909" s="294">
        <f t="shared" ca="1" si="565"/>
        <v>0</v>
      </c>
      <c r="AE909" s="295"/>
      <c r="AF909" s="295"/>
      <c r="AG909" s="296"/>
      <c r="AH909" s="296"/>
      <c r="AI909" s="296"/>
      <c r="AJ909" s="326"/>
      <c r="AK909" s="326"/>
      <c r="AL909" s="326"/>
      <c r="AM909" s="326"/>
    </row>
    <row r="910" spans="1:39" ht="25.5" x14ac:dyDescent="0.25">
      <c r="A910" s="232">
        <f t="shared" si="552"/>
        <v>910</v>
      </c>
      <c r="B910" s="232"/>
      <c r="C910" s="307" t="str">
        <f t="shared" ref="C910:C918" si="566">+C909</f>
        <v>23.1.2</v>
      </c>
      <c r="D910" s="308">
        <f t="shared" ref="D910:D918" si="567">1+D909</f>
        <v>1</v>
      </c>
      <c r="E910" s="309" t="str">
        <f t="shared" ref="E910:E918" si="568">C910&amp;"."&amp;D910</f>
        <v>23.1.2.1</v>
      </c>
      <c r="F910" s="310">
        <v>97669</v>
      </c>
      <c r="G910" s="311" t="str">
        <f>IF($F910="","",IFERROR(VLOOKUP($F910,SERVIÇOS!$B:$G,2,0),IFERROR(VLOOKUP($F910,'COMPOSIÇÕES COMPLEMENTARES '!$D:$L,2,0),IFERROR(VLOOKUP($F910,INSUMOS!$A:$D,2,0),""))))</f>
        <v>ELETRODUTO FLEXÍVEL CORRUGADO, PEAD, DN 90 (3"), PARA REDE ENTERRADA DE DISTRIBUIÇÃO DE ENERGIA ELÉTRICA - FORNECIMENTO E INSTALAÇÃO. AF_12/2021</v>
      </c>
      <c r="H910" s="312" t="str">
        <f>IF($F910="","",IFERROR(VLOOKUP($F910,SERVIÇOS!$B:$G,3,0),IFERROR(VLOOKUP($F910,'COMPOSIÇÕES COMPLEMENTARES '!$D:$L,3,0),IFERROR(VLOOKUP($F910,INSUMOS!$A:$D,3,0),""))))</f>
        <v>M</v>
      </c>
      <c r="I910" s="313">
        <v>18</v>
      </c>
      <c r="J910" s="314">
        <f>IF($F910="","",IFERROR(VLOOKUP($F910,SERVIÇOS!$B:$G,4,0),IFERROR(VLOOKUP($F910,'COMPOSIÇÕES COMPLEMENTARES '!$D:$L,6,0),IFERROR(VLOOKUP($F910,INSUMOS!$A:$D,4,0),""))))</f>
        <v>16.05</v>
      </c>
      <c r="K910" s="314">
        <f>IF($F910="","",IFERROR(VLOOKUP($F910,SERVIÇOS!$B:$G,5,0),IFERROR(VLOOKUP($F910,'COMPOSIÇÕES COMPLEMENTARES '!$D:$L,7,0),0)))</f>
        <v>7.46</v>
      </c>
      <c r="L910" s="314">
        <f t="shared" ref="L910:L918" si="569">IF(I910="","",J910+K910)</f>
        <v>23.51</v>
      </c>
      <c r="M910" s="314">
        <f t="shared" ref="M910:M918" si="570">IF(I910="","",TRUNC((I910*J910),2))</f>
        <v>288.89999999999998</v>
      </c>
      <c r="N910" s="314">
        <f t="shared" ref="N910:N918" si="571">IF(I910="","",TRUNC((I910*K910),2))</f>
        <v>134.28</v>
      </c>
      <c r="O910" s="314">
        <f t="shared" ref="O910:O918" si="572">IF(I910="","",TRUNC((M910+N910),2))</f>
        <v>423.18</v>
      </c>
      <c r="P910" s="314"/>
      <c r="Q910" s="315"/>
      <c r="R910" s="315"/>
      <c r="S910" s="286"/>
      <c r="T910" s="287"/>
      <c r="U910" s="288" t="str">
        <f t="shared" si="560"/>
        <v/>
      </c>
      <c r="V910" s="287"/>
      <c r="W910" s="289" t="str">
        <f t="shared" si="561"/>
        <v/>
      </c>
      <c r="X910" s="287"/>
      <c r="Y910" s="290" t="str">
        <f t="shared" si="562"/>
        <v/>
      </c>
      <c r="Z910" s="291">
        <f ca="1">SUMIF($T$8:Y$1018,"QUANT.",T910:Y910)</f>
        <v>0</v>
      </c>
      <c r="AA910" s="292">
        <f t="shared" ca="1" si="497"/>
        <v>0</v>
      </c>
      <c r="AB910" s="293" t="str">
        <f t="shared" ca="1" si="563"/>
        <v>MEDIR</v>
      </c>
      <c r="AC910" s="294">
        <f t="shared" ca="1" si="564"/>
        <v>18</v>
      </c>
      <c r="AD910" s="294">
        <f t="shared" ca="1" si="565"/>
        <v>423.18</v>
      </c>
      <c r="AE910" s="295"/>
      <c r="AF910" s="295"/>
      <c r="AG910" s="296"/>
      <c r="AH910" s="296"/>
      <c r="AI910" s="296"/>
      <c r="AJ910" s="326"/>
      <c r="AK910" s="326"/>
      <c r="AL910" s="326"/>
      <c r="AM910" s="326"/>
    </row>
    <row r="911" spans="1:39" x14ac:dyDescent="0.25">
      <c r="A911" s="232">
        <f t="shared" si="552"/>
        <v>911</v>
      </c>
      <c r="B911" s="232"/>
      <c r="C911" s="307" t="str">
        <f t="shared" si="566"/>
        <v>23.1.2</v>
      </c>
      <c r="D911" s="308">
        <f t="shared" si="567"/>
        <v>2</v>
      </c>
      <c r="E911" s="309" t="str">
        <f t="shared" si="568"/>
        <v>23.1.2.2</v>
      </c>
      <c r="F911" s="310" t="s">
        <v>12186</v>
      </c>
      <c r="G911" s="311" t="str">
        <f>IF($F911="","",IFERROR(VLOOKUP($F911,SERVIÇOS!$B:$G,2,0),IFERROR(VLOOKUP($F911,'COMPOSIÇÕES COMPLEMENTARES '!$D:$L,2,0),IFERROR(VLOOKUP($F911,INSUMOS!$A:$D,2,0),""))))</f>
        <v>CONDUTOR DE COBRE FLEX. ISOL. 1KV - 90º - #95MM² - AFUMEX</v>
      </c>
      <c r="H911" s="312" t="str">
        <f>IF($F911="","",IFERROR(VLOOKUP($F911,SERVIÇOS!$B:$G,3,0),IFERROR(VLOOKUP($F911,'COMPOSIÇÕES COMPLEMENTARES '!$D:$L,3,0),IFERROR(VLOOKUP($F911,INSUMOS!$A:$D,3,0),""))))</f>
        <v>M</v>
      </c>
      <c r="I911" s="313">
        <v>48</v>
      </c>
      <c r="J911" s="314">
        <f>IF($F911="","",IFERROR(VLOOKUP($F911,SERVIÇOS!$B:$G,4,0),IFERROR(VLOOKUP($F911,'COMPOSIÇÕES COMPLEMENTARES '!$D:$L,6,0),IFERROR(VLOOKUP($F911,INSUMOS!$A:$D,4,0),""))))</f>
        <v>85.88</v>
      </c>
      <c r="K911" s="314">
        <f>IF($F911="","",IFERROR(VLOOKUP($F911,SERVIÇOS!$B:$G,5,0),IFERROR(VLOOKUP($F911,'COMPOSIÇÕES COMPLEMENTARES '!$D:$L,7,0),0)))</f>
        <v>6.33</v>
      </c>
      <c r="L911" s="314">
        <f t="shared" si="569"/>
        <v>92.21</v>
      </c>
      <c r="M911" s="314">
        <f t="shared" si="570"/>
        <v>4122.24</v>
      </c>
      <c r="N911" s="314">
        <f t="shared" si="571"/>
        <v>303.83999999999997</v>
      </c>
      <c r="O911" s="314">
        <f t="shared" si="572"/>
        <v>4426.08</v>
      </c>
      <c r="P911" s="314"/>
      <c r="Q911" s="315"/>
      <c r="R911" s="315"/>
      <c r="S911" s="286"/>
      <c r="T911" s="287"/>
      <c r="U911" s="288" t="str">
        <f t="shared" si="560"/>
        <v/>
      </c>
      <c r="V911" s="287"/>
      <c r="W911" s="289" t="str">
        <f t="shared" si="561"/>
        <v/>
      </c>
      <c r="X911" s="287"/>
      <c r="Y911" s="290" t="str">
        <f t="shared" si="562"/>
        <v/>
      </c>
      <c r="Z911" s="291">
        <f ca="1">SUMIF($T$8:Y$1018,"QUANT.",T911:Y911)</f>
        <v>0</v>
      </c>
      <c r="AA911" s="292">
        <f t="shared" ca="1" si="497"/>
        <v>0</v>
      </c>
      <c r="AB911" s="293" t="str">
        <f t="shared" ca="1" si="563"/>
        <v>MEDIR</v>
      </c>
      <c r="AC911" s="294">
        <f t="shared" ca="1" si="564"/>
        <v>48</v>
      </c>
      <c r="AD911" s="294">
        <f t="shared" ca="1" si="565"/>
        <v>4426.08</v>
      </c>
      <c r="AE911" s="295"/>
      <c r="AF911" s="295"/>
      <c r="AG911" s="296"/>
      <c r="AH911" s="296"/>
      <c r="AI911" s="296"/>
      <c r="AJ911" s="326"/>
      <c r="AK911" s="326"/>
      <c r="AL911" s="326"/>
      <c r="AM911" s="326"/>
    </row>
    <row r="912" spans="1:39" x14ac:dyDescent="0.25">
      <c r="A912" s="232">
        <f t="shared" si="552"/>
        <v>912</v>
      </c>
      <c r="B912" s="232"/>
      <c r="C912" s="307" t="str">
        <f t="shared" si="566"/>
        <v>23.1.2</v>
      </c>
      <c r="D912" s="308">
        <f t="shared" si="567"/>
        <v>3</v>
      </c>
      <c r="E912" s="309" t="str">
        <f t="shared" si="568"/>
        <v>23.1.2.3</v>
      </c>
      <c r="F912" s="310" t="s">
        <v>12187</v>
      </c>
      <c r="G912" s="311" t="str">
        <f>IF($F912="","",IFERROR(VLOOKUP($F912,SERVIÇOS!$B:$G,2,0),IFERROR(VLOOKUP($F912,'COMPOSIÇÕES COMPLEMENTARES '!$D:$L,2,0),IFERROR(VLOOKUP($F912,INSUMOS!$A:$D,2,0),""))))</f>
        <v>CONDUTOR DE COBRE FLEX. ISOL. 1KV - 90º - #50MM² - AFUMEX</v>
      </c>
      <c r="H912" s="312" t="str">
        <f>IF($F912="","",IFERROR(VLOOKUP($F912,SERVIÇOS!$B:$G,3,0),IFERROR(VLOOKUP($F912,'COMPOSIÇÕES COMPLEMENTARES '!$D:$L,3,0),IFERROR(VLOOKUP($F912,INSUMOS!$A:$D,3,0),""))))</f>
        <v>M</v>
      </c>
      <c r="I912" s="313">
        <v>12</v>
      </c>
      <c r="J912" s="314">
        <f>IF($F912="","",IFERROR(VLOOKUP($F912,SERVIÇOS!$B:$G,4,0),IFERROR(VLOOKUP($F912,'COMPOSIÇÕES COMPLEMENTARES '!$D:$L,6,0),IFERROR(VLOOKUP($F912,INSUMOS!$A:$D,4,0),""))))</f>
        <v>51.15</v>
      </c>
      <c r="K912" s="314">
        <f>IF($F912="","",IFERROR(VLOOKUP($F912,SERVIÇOS!$B:$G,5,0),IFERROR(VLOOKUP($F912,'COMPOSIÇÕES COMPLEMENTARES '!$D:$L,7,0),0)))</f>
        <v>4.3</v>
      </c>
      <c r="L912" s="314">
        <f t="shared" si="569"/>
        <v>55.449999999999996</v>
      </c>
      <c r="M912" s="314">
        <f t="shared" si="570"/>
        <v>613.79999999999995</v>
      </c>
      <c r="N912" s="314">
        <f t="shared" si="571"/>
        <v>51.6</v>
      </c>
      <c r="O912" s="314">
        <f t="shared" si="572"/>
        <v>665.4</v>
      </c>
      <c r="P912" s="314"/>
      <c r="Q912" s="315"/>
      <c r="R912" s="315"/>
      <c r="S912" s="286"/>
      <c r="T912" s="287"/>
      <c r="U912" s="288" t="str">
        <f t="shared" si="560"/>
        <v/>
      </c>
      <c r="V912" s="287"/>
      <c r="W912" s="289" t="str">
        <f t="shared" si="561"/>
        <v/>
      </c>
      <c r="X912" s="287"/>
      <c r="Y912" s="290" t="str">
        <f t="shared" si="562"/>
        <v/>
      </c>
      <c r="Z912" s="291">
        <f ca="1">SUMIF($T$8:Y$1018,"QUANT.",T912:Y912)</f>
        <v>0</v>
      </c>
      <c r="AA912" s="292">
        <f t="shared" ca="1" si="497"/>
        <v>0</v>
      </c>
      <c r="AB912" s="293" t="str">
        <f t="shared" ca="1" si="563"/>
        <v>MEDIR</v>
      </c>
      <c r="AC912" s="294">
        <f t="shared" ca="1" si="564"/>
        <v>12</v>
      </c>
      <c r="AD912" s="294">
        <f t="shared" ca="1" si="565"/>
        <v>665.4</v>
      </c>
      <c r="AE912" s="295"/>
      <c r="AF912" s="295"/>
      <c r="AG912" s="296"/>
      <c r="AH912" s="296"/>
      <c r="AI912" s="296"/>
      <c r="AJ912" s="326"/>
      <c r="AK912" s="326"/>
      <c r="AL912" s="326"/>
      <c r="AM912" s="326"/>
    </row>
    <row r="913" spans="1:39" x14ac:dyDescent="0.25">
      <c r="A913" s="232">
        <f t="shared" si="552"/>
        <v>913</v>
      </c>
      <c r="B913" s="232"/>
      <c r="C913" s="307" t="str">
        <f t="shared" si="566"/>
        <v>23.1.2</v>
      </c>
      <c r="D913" s="308">
        <f t="shared" si="567"/>
        <v>4</v>
      </c>
      <c r="E913" s="309" t="str">
        <f t="shared" si="568"/>
        <v>23.1.2.4</v>
      </c>
      <c r="F913" s="310" t="s">
        <v>12188</v>
      </c>
      <c r="G913" s="311" t="str">
        <f>IF($F913="","",IFERROR(VLOOKUP($F913,SERVIÇOS!$B:$G,2,0),IFERROR(VLOOKUP($F913,'COMPOSIÇÕES COMPLEMENTARES '!$D:$L,2,0),IFERROR(VLOOKUP($F913,INSUMOS!$A:$D,2,0),""))))</f>
        <v>TERMINAL DE COMPRESSÃO #95MM²</v>
      </c>
      <c r="H913" s="312" t="str">
        <f>IF($F913="","",IFERROR(VLOOKUP($F913,SERVIÇOS!$B:$G,3,0),IFERROR(VLOOKUP($F913,'COMPOSIÇÕES COMPLEMENTARES '!$D:$L,3,0),IFERROR(VLOOKUP($F913,INSUMOS!$A:$D,3,0),""))))</f>
        <v>UN</v>
      </c>
      <c r="I913" s="313">
        <v>8</v>
      </c>
      <c r="J913" s="314">
        <f>IF($F913="","",IFERROR(VLOOKUP($F913,SERVIÇOS!$B:$G,4,0),IFERROR(VLOOKUP($F913,'COMPOSIÇÕES COMPLEMENTARES '!$D:$L,6,0),IFERROR(VLOOKUP($F913,INSUMOS!$A:$D,4,0),""))))</f>
        <v>9.99</v>
      </c>
      <c r="K913" s="314">
        <f>IF($F913="","",IFERROR(VLOOKUP($F913,SERVIÇOS!$B:$G,5,0),IFERROR(VLOOKUP($F913,'COMPOSIÇÕES COMPLEMENTARES '!$D:$L,7,0),0)))</f>
        <v>1.68</v>
      </c>
      <c r="L913" s="314">
        <f t="shared" si="569"/>
        <v>11.67</v>
      </c>
      <c r="M913" s="314">
        <f t="shared" si="570"/>
        <v>79.92</v>
      </c>
      <c r="N913" s="314">
        <f t="shared" si="571"/>
        <v>13.44</v>
      </c>
      <c r="O913" s="314">
        <f t="shared" si="572"/>
        <v>93.36</v>
      </c>
      <c r="P913" s="314"/>
      <c r="Q913" s="315"/>
      <c r="R913" s="315"/>
      <c r="S913" s="286"/>
      <c r="T913" s="287"/>
      <c r="U913" s="288" t="str">
        <f t="shared" si="560"/>
        <v/>
      </c>
      <c r="V913" s="287"/>
      <c r="W913" s="289" t="str">
        <f t="shared" si="561"/>
        <v/>
      </c>
      <c r="X913" s="287"/>
      <c r="Y913" s="290" t="str">
        <f t="shared" si="562"/>
        <v/>
      </c>
      <c r="Z913" s="291">
        <f ca="1">SUMIF($T$8:Y$1018,"QUANT.",T913:Y913)</f>
        <v>0</v>
      </c>
      <c r="AA913" s="292">
        <f t="shared" ca="1" si="497"/>
        <v>0</v>
      </c>
      <c r="AB913" s="293" t="str">
        <f t="shared" ca="1" si="563"/>
        <v>MEDIR</v>
      </c>
      <c r="AC913" s="294">
        <f t="shared" ca="1" si="564"/>
        <v>8</v>
      </c>
      <c r="AD913" s="294">
        <f t="shared" ca="1" si="565"/>
        <v>93.36</v>
      </c>
      <c r="AE913" s="295"/>
      <c r="AF913" s="295"/>
      <c r="AG913" s="296"/>
      <c r="AH913" s="296"/>
      <c r="AI913" s="296"/>
      <c r="AJ913" s="326"/>
      <c r="AK913" s="326"/>
      <c r="AL913" s="326"/>
      <c r="AM913" s="326"/>
    </row>
    <row r="914" spans="1:39" x14ac:dyDescent="0.25">
      <c r="A914" s="232">
        <f t="shared" si="552"/>
        <v>914</v>
      </c>
      <c r="B914" s="232"/>
      <c r="C914" s="307" t="str">
        <f t="shared" si="566"/>
        <v>23.1.2</v>
      </c>
      <c r="D914" s="308">
        <f t="shared" si="567"/>
        <v>5</v>
      </c>
      <c r="E914" s="309" t="str">
        <f t="shared" si="568"/>
        <v>23.1.2.5</v>
      </c>
      <c r="F914" s="310" t="s">
        <v>12189</v>
      </c>
      <c r="G914" s="311" t="str">
        <f>IF($F914="","",IFERROR(VLOOKUP($F914,SERVIÇOS!$B:$G,2,0),IFERROR(VLOOKUP($F914,'COMPOSIÇÕES COMPLEMENTARES '!$D:$L,2,0),IFERROR(VLOOKUP($F914,INSUMOS!$A:$D,2,0),""))))</f>
        <v>TERMINAL DE COMPRESSÃO #50MM²</v>
      </c>
      <c r="H914" s="312" t="str">
        <f>IF($F914="","",IFERROR(VLOOKUP($F914,SERVIÇOS!$B:$G,3,0),IFERROR(VLOOKUP($F914,'COMPOSIÇÕES COMPLEMENTARES '!$D:$L,3,0),IFERROR(VLOOKUP($F914,INSUMOS!$A:$D,3,0),""))))</f>
        <v>UN</v>
      </c>
      <c r="I914" s="313">
        <v>2</v>
      </c>
      <c r="J914" s="314">
        <f>IF($F914="","",IFERROR(VLOOKUP($F914,SERVIÇOS!$B:$G,4,0),IFERROR(VLOOKUP($F914,'COMPOSIÇÕES COMPLEMENTARES '!$D:$L,6,0),IFERROR(VLOOKUP($F914,INSUMOS!$A:$D,4,0),""))))</f>
        <v>6.63</v>
      </c>
      <c r="K914" s="314">
        <f>IF($F914="","",IFERROR(VLOOKUP($F914,SERVIÇOS!$B:$G,5,0),IFERROR(VLOOKUP($F914,'COMPOSIÇÕES COMPLEMENTARES '!$D:$L,7,0),0)))</f>
        <v>1.4</v>
      </c>
      <c r="L914" s="314">
        <f t="shared" si="569"/>
        <v>8.0299999999999994</v>
      </c>
      <c r="M914" s="314">
        <f t="shared" si="570"/>
        <v>13.26</v>
      </c>
      <c r="N914" s="314">
        <f t="shared" si="571"/>
        <v>2.8</v>
      </c>
      <c r="O914" s="314">
        <f t="shared" si="572"/>
        <v>16.059999999999999</v>
      </c>
      <c r="P914" s="314"/>
      <c r="Q914" s="315"/>
      <c r="R914" s="315"/>
      <c r="S914" s="286"/>
      <c r="T914" s="287"/>
      <c r="U914" s="288" t="str">
        <f t="shared" si="560"/>
        <v/>
      </c>
      <c r="V914" s="287"/>
      <c r="W914" s="289" t="str">
        <f t="shared" si="561"/>
        <v/>
      </c>
      <c r="X914" s="287"/>
      <c r="Y914" s="290" t="str">
        <f t="shared" si="562"/>
        <v/>
      </c>
      <c r="Z914" s="291">
        <f ca="1">SUMIF($T$8:Y$1018,"QUANT.",T914:Y914)</f>
        <v>0</v>
      </c>
      <c r="AA914" s="292">
        <f t="shared" ca="1" si="497"/>
        <v>0</v>
      </c>
      <c r="AB914" s="293" t="str">
        <f t="shared" ca="1" si="563"/>
        <v>MEDIR</v>
      </c>
      <c r="AC914" s="294">
        <f t="shared" ca="1" si="564"/>
        <v>2</v>
      </c>
      <c r="AD914" s="294">
        <f t="shared" ca="1" si="565"/>
        <v>16.059999999999999</v>
      </c>
      <c r="AE914" s="295"/>
      <c r="AF914" s="295"/>
      <c r="AG914" s="296"/>
      <c r="AH914" s="296"/>
      <c r="AI914" s="296"/>
      <c r="AJ914" s="326"/>
      <c r="AK914" s="326"/>
      <c r="AL914" s="326"/>
      <c r="AM914" s="326"/>
    </row>
    <row r="915" spans="1:39" x14ac:dyDescent="0.25">
      <c r="A915" s="232">
        <f t="shared" si="552"/>
        <v>915</v>
      </c>
      <c r="B915" s="232"/>
      <c r="C915" s="307" t="str">
        <f t="shared" si="566"/>
        <v>23.1.2</v>
      </c>
      <c r="D915" s="308">
        <f t="shared" si="567"/>
        <v>6</v>
      </c>
      <c r="E915" s="309" t="str">
        <f t="shared" si="568"/>
        <v>23.1.2.6</v>
      </c>
      <c r="F915" s="310" t="s">
        <v>12190</v>
      </c>
      <c r="G915" s="311" t="str">
        <f>IF($F915="","",IFERROR(VLOOKUP($F915,SERVIÇOS!$B:$G,2,0),IFERROR(VLOOKUP($F915,'COMPOSIÇÕES COMPLEMENTARES '!$D:$L,2,0),IFERROR(VLOOKUP($F915,INSUMOS!$A:$D,2,0),""))))</f>
        <v xml:space="preserve">TAMPÃO E ARO DE FERRO FUNDIDO MEDIDO 60X60X60CM </v>
      </c>
      <c r="H915" s="312" t="str">
        <f>IF($F915="","",IFERROR(VLOOKUP($F915,SERVIÇOS!$B:$G,3,0),IFERROR(VLOOKUP($F915,'COMPOSIÇÕES COMPLEMENTARES '!$D:$L,3,0),IFERROR(VLOOKUP($F915,INSUMOS!$A:$D,3,0),""))))</f>
        <v>UN</v>
      </c>
      <c r="I915" s="313">
        <v>1</v>
      </c>
      <c r="J915" s="314">
        <f>IF($F915="","",IFERROR(VLOOKUP($F915,SERVIÇOS!$B:$G,4,0),IFERROR(VLOOKUP($F915,'COMPOSIÇÕES COMPLEMENTARES '!$D:$L,6,0),IFERROR(VLOOKUP($F915,INSUMOS!$A:$D,4,0),""))))</f>
        <v>490.83</v>
      </c>
      <c r="K915" s="314">
        <f>IF($F915="","",IFERROR(VLOOKUP($F915,SERVIÇOS!$B:$G,5,0),IFERROR(VLOOKUP($F915,'COMPOSIÇÕES COMPLEMENTARES '!$D:$L,7,0),0)))</f>
        <v>133.79</v>
      </c>
      <c r="L915" s="314">
        <f t="shared" si="569"/>
        <v>624.62</v>
      </c>
      <c r="M915" s="314">
        <f t="shared" si="570"/>
        <v>490.83</v>
      </c>
      <c r="N915" s="314">
        <f t="shared" si="571"/>
        <v>133.79</v>
      </c>
      <c r="O915" s="314">
        <f t="shared" si="572"/>
        <v>624.62</v>
      </c>
      <c r="P915" s="314"/>
      <c r="Q915" s="315"/>
      <c r="R915" s="315"/>
      <c r="S915" s="286"/>
      <c r="T915" s="287"/>
      <c r="U915" s="288" t="str">
        <f t="shared" si="560"/>
        <v/>
      </c>
      <c r="V915" s="287"/>
      <c r="W915" s="289" t="str">
        <f t="shared" si="561"/>
        <v/>
      </c>
      <c r="X915" s="287"/>
      <c r="Y915" s="290" t="str">
        <f t="shared" si="562"/>
        <v/>
      </c>
      <c r="Z915" s="291">
        <f ca="1">SUMIF($T$8:Y$1018,"QUANT.",T915:Y915)</f>
        <v>0</v>
      </c>
      <c r="AA915" s="292">
        <f t="shared" ca="1" si="497"/>
        <v>0</v>
      </c>
      <c r="AB915" s="293" t="str">
        <f t="shared" ca="1" si="563"/>
        <v>MEDIR</v>
      </c>
      <c r="AC915" s="294">
        <f t="shared" ca="1" si="564"/>
        <v>1</v>
      </c>
      <c r="AD915" s="294">
        <f t="shared" ca="1" si="565"/>
        <v>624.62</v>
      </c>
      <c r="AE915" s="295"/>
      <c r="AF915" s="295"/>
      <c r="AG915" s="296"/>
      <c r="AH915" s="296"/>
      <c r="AI915" s="296"/>
      <c r="AJ915" s="326"/>
      <c r="AK915" s="326"/>
      <c r="AL915" s="326"/>
      <c r="AM915" s="326"/>
    </row>
    <row r="916" spans="1:39" ht="25.5" x14ac:dyDescent="0.25">
      <c r="A916" s="232">
        <f t="shared" si="552"/>
        <v>916</v>
      </c>
      <c r="B916" s="232"/>
      <c r="C916" s="307" t="str">
        <f t="shared" si="566"/>
        <v>23.1.2</v>
      </c>
      <c r="D916" s="308">
        <f t="shared" si="567"/>
        <v>7</v>
      </c>
      <c r="E916" s="309" t="str">
        <f t="shared" si="568"/>
        <v>23.1.2.7</v>
      </c>
      <c r="F916" s="310">
        <v>97888</v>
      </c>
      <c r="G916" s="311" t="str">
        <f>IF($F916="","",IFERROR(VLOOKUP($F916,SERVIÇOS!$B:$G,2,0),IFERROR(VLOOKUP($F916,'COMPOSIÇÕES COMPLEMENTARES '!$D:$L,2,0),IFERROR(VLOOKUP($F916,INSUMOS!$A:$D,2,0),""))))</f>
        <v>CAIXA ENTERRADA ELÉTRICA RETANGULAR, EM ALVENARIA COM TIJOLOS CERÂMICOS MACIÇOS, FUNDO COM BRITA, DIMENSÕES INTERNAS: 0,6X0,6X0,6 M. AF_12/2020</v>
      </c>
      <c r="H916" s="312" t="str">
        <f>IF($F916="","",IFERROR(VLOOKUP($F916,SERVIÇOS!$B:$G,3,0),IFERROR(VLOOKUP($F916,'COMPOSIÇÕES COMPLEMENTARES '!$D:$L,3,0),IFERROR(VLOOKUP($F916,INSUMOS!$A:$D,3,0),""))))</f>
        <v>UN</v>
      </c>
      <c r="I916" s="313">
        <v>1</v>
      </c>
      <c r="J916" s="314">
        <f>IF($F916="","",IFERROR(VLOOKUP($F916,SERVIÇOS!$B:$G,4,0),IFERROR(VLOOKUP($F916,'COMPOSIÇÕES COMPLEMENTARES '!$D:$L,6,0),IFERROR(VLOOKUP($F916,INSUMOS!$A:$D,4,0),""))))</f>
        <v>291.77999999999997</v>
      </c>
      <c r="K916" s="314">
        <f>IF($F916="","",IFERROR(VLOOKUP($F916,SERVIÇOS!$B:$G,5,0),IFERROR(VLOOKUP($F916,'COMPOSIÇÕES COMPLEMENTARES '!$D:$L,7,0),0)))</f>
        <v>283.60000000000002</v>
      </c>
      <c r="L916" s="314">
        <f t="shared" si="569"/>
        <v>575.38</v>
      </c>
      <c r="M916" s="314">
        <f t="shared" si="570"/>
        <v>291.77999999999997</v>
      </c>
      <c r="N916" s="314">
        <f t="shared" si="571"/>
        <v>283.60000000000002</v>
      </c>
      <c r="O916" s="314">
        <f t="shared" si="572"/>
        <v>575.38</v>
      </c>
      <c r="P916" s="314"/>
      <c r="Q916" s="315"/>
      <c r="R916" s="315"/>
      <c r="S916" s="286"/>
      <c r="T916" s="287"/>
      <c r="U916" s="288" t="str">
        <f t="shared" si="560"/>
        <v/>
      </c>
      <c r="V916" s="287"/>
      <c r="W916" s="289" t="str">
        <f t="shared" si="561"/>
        <v/>
      </c>
      <c r="X916" s="287"/>
      <c r="Y916" s="290" t="str">
        <f t="shared" si="562"/>
        <v/>
      </c>
      <c r="Z916" s="291">
        <f ca="1">SUMIF($T$8:Y$1018,"QUANT.",T916:Y916)</f>
        <v>0</v>
      </c>
      <c r="AA916" s="292">
        <f t="shared" ca="1" si="497"/>
        <v>0</v>
      </c>
      <c r="AB916" s="293" t="str">
        <f t="shared" ca="1" si="563"/>
        <v>MEDIR</v>
      </c>
      <c r="AC916" s="294">
        <f t="shared" ca="1" si="564"/>
        <v>1</v>
      </c>
      <c r="AD916" s="294">
        <f t="shared" ca="1" si="565"/>
        <v>575.38</v>
      </c>
      <c r="AE916" s="295"/>
      <c r="AF916" s="295"/>
      <c r="AG916" s="296"/>
      <c r="AH916" s="296"/>
      <c r="AI916" s="296"/>
      <c r="AJ916" s="326"/>
      <c r="AK916" s="326"/>
      <c r="AL916" s="326"/>
      <c r="AM916" s="326"/>
    </row>
    <row r="917" spans="1:39" ht="38.25" x14ac:dyDescent="0.25">
      <c r="A917" s="232">
        <f t="shared" si="552"/>
        <v>917</v>
      </c>
      <c r="B917" s="232"/>
      <c r="C917" s="307" t="str">
        <f t="shared" si="566"/>
        <v>23.1.2</v>
      </c>
      <c r="D917" s="308">
        <f t="shared" si="567"/>
        <v>8</v>
      </c>
      <c r="E917" s="309" t="str">
        <f t="shared" si="568"/>
        <v>23.1.2.8</v>
      </c>
      <c r="F917" s="310">
        <v>102279</v>
      </c>
      <c r="G917" s="311" t="str">
        <f>IF($F917="","",IFERROR(VLOOKUP($F917,SERVIÇOS!$B:$G,2,0),IFERROR(VLOOKUP($F917,'COMPOSIÇÕES COMPLEMENTARES '!$D:$L,2,0),IFERROR(VLOOKUP($F917,INSUMOS!$A:$D,2,0),""))))</f>
        <v>ESCAVAÇÃO MECANIZADA DE VALA COM PROF. ATÉ 1,5 M (MÉDIA MONTANTE E JUSANTE/UMA COMPOSIÇÃO POR TRECHO), ESCAVADEIRA (0,8 M3),LARG. MENOR QUE 1,5 M, EM SOLO DE 1A CATEGORIA, LOCAIS COM BAIXO NÍVEL DE INTERFERÊNCIA. AF_09/2024</v>
      </c>
      <c r="H917" s="312" t="str">
        <f>IF($F917="","",IFERROR(VLOOKUP($F917,SERVIÇOS!$B:$G,3,0),IFERROR(VLOOKUP($F917,'COMPOSIÇÕES COMPLEMENTARES '!$D:$L,3,0),IFERROR(VLOOKUP($F917,INSUMOS!$A:$D,3,0),""))))</f>
        <v>M3</v>
      </c>
      <c r="I917" s="313">
        <v>3.6</v>
      </c>
      <c r="J917" s="314">
        <f>IF($F917="","",IFERROR(VLOOKUP($F917,SERVIÇOS!$B:$G,4,0),IFERROR(VLOOKUP($F917,'COMPOSIÇÕES COMPLEMENTARES '!$D:$L,6,0),IFERROR(VLOOKUP($F917,INSUMOS!$A:$D,4,0),""))))</f>
        <v>5.79</v>
      </c>
      <c r="K917" s="314">
        <f>IF($F917="","",IFERROR(VLOOKUP($F917,SERVIÇOS!$B:$G,5,0),IFERROR(VLOOKUP($F917,'COMPOSIÇÕES COMPLEMENTARES '!$D:$L,7,0),0)))</f>
        <v>1.76</v>
      </c>
      <c r="L917" s="314">
        <f t="shared" si="569"/>
        <v>7.55</v>
      </c>
      <c r="M917" s="314">
        <f t="shared" si="570"/>
        <v>20.84</v>
      </c>
      <c r="N917" s="314">
        <f t="shared" si="571"/>
        <v>6.33</v>
      </c>
      <c r="O917" s="314">
        <f t="shared" si="572"/>
        <v>27.17</v>
      </c>
      <c r="P917" s="314"/>
      <c r="Q917" s="315"/>
      <c r="R917" s="315"/>
      <c r="S917" s="286"/>
      <c r="T917" s="287"/>
      <c r="U917" s="288" t="str">
        <f t="shared" si="560"/>
        <v/>
      </c>
      <c r="V917" s="287"/>
      <c r="W917" s="289" t="str">
        <f t="shared" si="561"/>
        <v/>
      </c>
      <c r="X917" s="287"/>
      <c r="Y917" s="290" t="str">
        <f t="shared" si="562"/>
        <v/>
      </c>
      <c r="Z917" s="291">
        <f ca="1">SUMIF($T$8:Y$1018,"QUANT.",T917:Y917)</f>
        <v>0</v>
      </c>
      <c r="AA917" s="292">
        <f t="shared" ca="1" si="497"/>
        <v>0</v>
      </c>
      <c r="AB917" s="293" t="str">
        <f t="shared" ca="1" si="563"/>
        <v>MEDIR</v>
      </c>
      <c r="AC917" s="294">
        <f t="shared" ca="1" si="564"/>
        <v>3.6</v>
      </c>
      <c r="AD917" s="294">
        <f t="shared" ca="1" si="565"/>
        <v>27.17</v>
      </c>
      <c r="AE917" s="295"/>
      <c r="AF917" s="295"/>
      <c r="AG917" s="296"/>
      <c r="AH917" s="296"/>
      <c r="AI917" s="296"/>
      <c r="AJ917" s="326"/>
      <c r="AK917" s="326"/>
      <c r="AL917" s="326"/>
      <c r="AM917" s="326"/>
    </row>
    <row r="918" spans="1:39" x14ac:dyDescent="0.25">
      <c r="A918" s="232">
        <f t="shared" si="552"/>
        <v>918</v>
      </c>
      <c r="B918" s="232"/>
      <c r="C918" s="307" t="str">
        <f t="shared" si="566"/>
        <v>23.1.2</v>
      </c>
      <c r="D918" s="308">
        <f t="shared" si="567"/>
        <v>9</v>
      </c>
      <c r="E918" s="309" t="str">
        <f t="shared" si="568"/>
        <v>23.1.2.9</v>
      </c>
      <c r="F918" s="310" t="s">
        <v>12191</v>
      </c>
      <c r="G918" s="311" t="str">
        <f>IF($F918="","",IFERROR(VLOOKUP($F918,SERVIÇOS!$B:$G,2,0),IFERROR(VLOOKUP($F918,'COMPOSIÇÕES COMPLEMENTARES '!$D:$L,2,0),IFERROR(VLOOKUP($F918,INSUMOS!$A:$D,2,0),""))))</f>
        <v>ENVELOPAMENTO DE CONCRETO NO BANCO DE DUTOS</v>
      </c>
      <c r="H918" s="312" t="str">
        <f>IF($F918="","",IFERROR(VLOOKUP($F918,SERVIÇOS!$B:$G,3,0),IFERROR(VLOOKUP($F918,'COMPOSIÇÕES COMPLEMENTARES '!$D:$L,3,0),IFERROR(VLOOKUP($F918,INSUMOS!$A:$D,3,0),""))))</f>
        <v>M3</v>
      </c>
      <c r="I918" s="313">
        <v>0.36</v>
      </c>
      <c r="J918" s="314">
        <f>IF($F918="","",IFERROR(VLOOKUP($F918,SERVIÇOS!$B:$G,4,0),IFERROR(VLOOKUP($F918,'COMPOSIÇÕES COMPLEMENTARES '!$D:$L,6,0),IFERROR(VLOOKUP($F918,INSUMOS!$A:$D,4,0),""))))</f>
        <v>353.89</v>
      </c>
      <c r="K918" s="314">
        <f>IF($F918="","",IFERROR(VLOOKUP($F918,SERVIÇOS!$B:$G,5,0),IFERROR(VLOOKUP($F918,'COMPOSIÇÕES COMPLEMENTARES '!$D:$L,7,0),0)))</f>
        <v>82.48</v>
      </c>
      <c r="L918" s="314">
        <f t="shared" si="569"/>
        <v>436.37</v>
      </c>
      <c r="M918" s="314">
        <f t="shared" si="570"/>
        <v>127.4</v>
      </c>
      <c r="N918" s="314">
        <f t="shared" si="571"/>
        <v>29.69</v>
      </c>
      <c r="O918" s="314">
        <f t="shared" si="572"/>
        <v>157.09</v>
      </c>
      <c r="P918" s="314"/>
      <c r="Q918" s="315"/>
      <c r="R918" s="315"/>
      <c r="S918" s="286"/>
      <c r="T918" s="287"/>
      <c r="U918" s="288" t="str">
        <f t="shared" si="560"/>
        <v/>
      </c>
      <c r="V918" s="287"/>
      <c r="W918" s="289" t="str">
        <f t="shared" si="561"/>
        <v/>
      </c>
      <c r="X918" s="287"/>
      <c r="Y918" s="290" t="str">
        <f t="shared" si="562"/>
        <v/>
      </c>
      <c r="Z918" s="291">
        <f ca="1">SUMIF($T$8:Y$1018,"QUANT.",T918:Y918)</f>
        <v>0</v>
      </c>
      <c r="AA918" s="292">
        <f t="shared" ca="1" si="497"/>
        <v>0</v>
      </c>
      <c r="AB918" s="293" t="str">
        <f t="shared" ca="1" si="563"/>
        <v>MEDIR</v>
      </c>
      <c r="AC918" s="294">
        <f t="shared" ca="1" si="564"/>
        <v>0.36</v>
      </c>
      <c r="AD918" s="294">
        <f t="shared" ca="1" si="565"/>
        <v>157.09</v>
      </c>
      <c r="AE918" s="295"/>
      <c r="AF918" s="295"/>
      <c r="AG918" s="296"/>
      <c r="AH918" s="296"/>
      <c r="AI918" s="296"/>
      <c r="AJ918" s="326"/>
      <c r="AK918" s="326"/>
      <c r="AL918" s="326"/>
      <c r="AM918" s="326"/>
    </row>
    <row r="919" spans="1:39" x14ac:dyDescent="0.25">
      <c r="A919" s="232">
        <f t="shared" si="552"/>
        <v>919</v>
      </c>
      <c r="B919" s="232"/>
      <c r="C919" s="281" t="str">
        <f>+E919</f>
        <v>23.1.3</v>
      </c>
      <c r="D919" s="297"/>
      <c r="E919" s="317" t="s">
        <v>20546</v>
      </c>
      <c r="F919" s="317"/>
      <c r="G919" s="318" t="s">
        <v>12528</v>
      </c>
      <c r="H919" s="317"/>
      <c r="I919" s="319"/>
      <c r="J919" s="317"/>
      <c r="K919" s="317"/>
      <c r="L919" s="317"/>
      <c r="M919" s="317"/>
      <c r="N919" s="317"/>
      <c r="O919" s="317"/>
      <c r="P919" s="317"/>
      <c r="Q919" s="315"/>
      <c r="R919" s="306"/>
      <c r="S919" s="286"/>
      <c r="T919" s="287"/>
      <c r="U919" s="288" t="str">
        <f t="shared" si="560"/>
        <v/>
      </c>
      <c r="V919" s="287"/>
      <c r="W919" s="289" t="str">
        <f t="shared" si="561"/>
        <v/>
      </c>
      <c r="X919" s="287"/>
      <c r="Y919" s="290" t="str">
        <f t="shared" si="562"/>
        <v/>
      </c>
      <c r="Z919" s="291">
        <f ca="1">SUMIF($T$8:Y$1018,"QUANT.",T919:Y919)</f>
        <v>0</v>
      </c>
      <c r="AA919" s="292">
        <f t="shared" ca="1" si="497"/>
        <v>0</v>
      </c>
      <c r="AB919" s="293" t="str">
        <f t="shared" si="563"/>
        <v/>
      </c>
      <c r="AC919" s="294">
        <f t="shared" ca="1" si="564"/>
        <v>0</v>
      </c>
      <c r="AD919" s="294">
        <f t="shared" ca="1" si="565"/>
        <v>0</v>
      </c>
      <c r="AE919" s="295"/>
      <c r="AF919" s="295"/>
      <c r="AG919" s="296"/>
      <c r="AH919" s="296"/>
      <c r="AI919" s="296"/>
      <c r="AJ919" s="326"/>
      <c r="AK919" s="326"/>
      <c r="AL919" s="326"/>
      <c r="AM919" s="326"/>
    </row>
    <row r="920" spans="1:39" x14ac:dyDescent="0.25">
      <c r="A920" s="232">
        <f t="shared" si="552"/>
        <v>920</v>
      </c>
      <c r="B920" s="232"/>
      <c r="C920" s="307" t="str">
        <f>+C919</f>
        <v>23.1.3</v>
      </c>
      <c r="D920" s="308">
        <f>1+D919</f>
        <v>1</v>
      </c>
      <c r="E920" s="309" t="str">
        <f>C920&amp;"."&amp;D920</f>
        <v>23.1.3.1</v>
      </c>
      <c r="F920" s="310" t="s">
        <v>12529</v>
      </c>
      <c r="G920" s="311" t="str">
        <f>IF($F920="","",IFERROR(VLOOKUP($F920,SERVIÇOS!$B:$G,2,0),IFERROR(VLOOKUP($F920,'COMPOSIÇÕES COMPLEMENTARES '!$D:$L,2,0),IFERROR(VLOOKUP($F920,INSUMOS!$A:$D,2,0),""))))</f>
        <v>HASTE DE COBRE PARA ATERRAMENTO 5/8"X3M C/ CONECTOR GAR ALTA 254 MICRAS.</v>
      </c>
      <c r="H920" s="312" t="str">
        <f>IF($F920="","",IFERROR(VLOOKUP($F920,SERVIÇOS!$B:$G,3,0),IFERROR(VLOOKUP($F920,'COMPOSIÇÕES COMPLEMENTARES '!$D:$L,3,0),IFERROR(VLOOKUP($F920,INSUMOS!$A:$D,3,0),""))))</f>
        <v>UN</v>
      </c>
      <c r="I920" s="313">
        <v>8</v>
      </c>
      <c r="J920" s="314">
        <f>IF($F920="","",IFERROR(VLOOKUP($F920,SERVIÇOS!$B:$G,4,0),IFERROR(VLOOKUP($F920,'COMPOSIÇÕES COMPLEMENTARES '!$D:$L,6,0),IFERROR(VLOOKUP($F920,INSUMOS!$A:$D,4,0),""))))</f>
        <v>67.62</v>
      </c>
      <c r="K920" s="314">
        <f>IF($F920="","",IFERROR(VLOOKUP($F920,SERVIÇOS!$B:$G,5,0),IFERROR(VLOOKUP($F920,'COMPOSIÇÕES COMPLEMENTARES '!$D:$L,7,0),0)))</f>
        <v>19.809999999999999</v>
      </c>
      <c r="L920" s="314">
        <f>IF(I920="","",J920+K920)</f>
        <v>87.43</v>
      </c>
      <c r="M920" s="314">
        <f>IF(I920="","",TRUNC((I920*J920),2))</f>
        <v>540.96</v>
      </c>
      <c r="N920" s="314">
        <f>IF(I920="","",TRUNC((I920*K920),2))</f>
        <v>158.47999999999999</v>
      </c>
      <c r="O920" s="314">
        <f>IF(I920="","",TRUNC((M920+N920),2))</f>
        <v>699.44</v>
      </c>
      <c r="P920" s="314"/>
      <c r="Q920" s="315"/>
      <c r="R920" s="315"/>
      <c r="S920" s="286"/>
      <c r="T920" s="287"/>
      <c r="U920" s="288" t="str">
        <f t="shared" si="560"/>
        <v/>
      </c>
      <c r="V920" s="287"/>
      <c r="W920" s="289" t="str">
        <f t="shared" si="561"/>
        <v/>
      </c>
      <c r="X920" s="287"/>
      <c r="Y920" s="290" t="str">
        <f t="shared" si="562"/>
        <v/>
      </c>
      <c r="Z920" s="291">
        <f ca="1">SUMIF($T$8:Y$1018,"QUANT.",T920:Y920)</f>
        <v>0</v>
      </c>
      <c r="AA920" s="292">
        <f t="shared" ca="1" si="497"/>
        <v>0</v>
      </c>
      <c r="AB920" s="293" t="str">
        <f t="shared" ca="1" si="563"/>
        <v>MEDIR</v>
      </c>
      <c r="AC920" s="294">
        <f t="shared" ca="1" si="564"/>
        <v>8</v>
      </c>
      <c r="AD920" s="294">
        <f t="shared" ca="1" si="565"/>
        <v>699.44</v>
      </c>
      <c r="AE920" s="295"/>
      <c r="AF920" s="295"/>
      <c r="AG920" s="296"/>
      <c r="AH920" s="296"/>
      <c r="AI920" s="296"/>
      <c r="AJ920" s="326"/>
      <c r="AK920" s="326"/>
      <c r="AL920" s="326"/>
      <c r="AM920" s="326"/>
    </row>
    <row r="921" spans="1:39" x14ac:dyDescent="0.25">
      <c r="A921" s="232">
        <f t="shared" si="552"/>
        <v>921</v>
      </c>
      <c r="B921" s="232"/>
      <c r="C921" s="307" t="str">
        <f>+C920</f>
        <v>23.1.3</v>
      </c>
      <c r="D921" s="308">
        <f>1+D920</f>
        <v>2</v>
      </c>
      <c r="E921" s="309" t="str">
        <f>C921&amp;"."&amp;D921</f>
        <v>23.1.3.2</v>
      </c>
      <c r="F921" s="310">
        <v>96977</v>
      </c>
      <c r="G921" s="311" t="str">
        <f>IF($F921="","",IFERROR(VLOOKUP($F921,SERVIÇOS!$B:$G,2,0),IFERROR(VLOOKUP($F921,'COMPOSIÇÕES COMPLEMENTARES '!$D:$L,2,0),IFERROR(VLOOKUP($F921,INSUMOS!$A:$D,2,0),""))))</f>
        <v>CORDOALHA DE COBRE NU 50 MM², ENTERRADA - FORNECIMENTO E INSTALAÇÃO. AF_08/2023</v>
      </c>
      <c r="H921" s="312" t="str">
        <f>IF($F921="","",IFERROR(VLOOKUP($F921,SERVIÇOS!$B:$G,3,0),IFERROR(VLOOKUP($F921,'COMPOSIÇÕES COMPLEMENTARES '!$D:$L,3,0),IFERROR(VLOOKUP($F921,INSUMOS!$A:$D,3,0),""))))</f>
        <v>M</v>
      </c>
      <c r="I921" s="313">
        <v>45</v>
      </c>
      <c r="J921" s="314">
        <f>IF($F921="","",IFERROR(VLOOKUP($F921,SERVIÇOS!$B:$G,4,0),IFERROR(VLOOKUP($F921,'COMPOSIÇÕES COMPLEMENTARES '!$D:$L,6,0),IFERROR(VLOOKUP($F921,INSUMOS!$A:$D,4,0),""))))</f>
        <v>55.81</v>
      </c>
      <c r="K921" s="314">
        <f>IF($F921="","",IFERROR(VLOOKUP($F921,SERVIÇOS!$B:$G,5,0),IFERROR(VLOOKUP($F921,'COMPOSIÇÕES COMPLEMENTARES '!$D:$L,7,0),0)))</f>
        <v>1.63</v>
      </c>
      <c r="L921" s="314">
        <f>IF(I921="","",J921+K921)</f>
        <v>57.440000000000005</v>
      </c>
      <c r="M921" s="314">
        <f>IF(I921="","",TRUNC((I921*J921),2))</f>
        <v>2511.4499999999998</v>
      </c>
      <c r="N921" s="314">
        <f>IF(I921="","",TRUNC((I921*K921),2))</f>
        <v>73.349999999999994</v>
      </c>
      <c r="O921" s="314">
        <f>IF(I921="","",TRUNC((M921+N921),2))</f>
        <v>2584.8000000000002</v>
      </c>
      <c r="P921" s="314"/>
      <c r="Q921" s="315"/>
      <c r="R921" s="315"/>
      <c r="S921" s="286"/>
      <c r="T921" s="287"/>
      <c r="U921" s="288" t="str">
        <f t="shared" si="560"/>
        <v/>
      </c>
      <c r="V921" s="287"/>
      <c r="W921" s="289" t="str">
        <f t="shared" si="561"/>
        <v/>
      </c>
      <c r="X921" s="287"/>
      <c r="Y921" s="290" t="str">
        <f t="shared" si="562"/>
        <v/>
      </c>
      <c r="Z921" s="291">
        <f ca="1">SUMIF($T$8:Y$1018,"QUANT.",T921:Y921)</f>
        <v>0</v>
      </c>
      <c r="AA921" s="292">
        <f t="shared" ca="1" si="497"/>
        <v>0</v>
      </c>
      <c r="AB921" s="293" t="str">
        <f t="shared" ca="1" si="563"/>
        <v>MEDIR</v>
      </c>
      <c r="AC921" s="294">
        <f t="shared" ca="1" si="564"/>
        <v>45</v>
      </c>
      <c r="AD921" s="294">
        <f t="shared" ca="1" si="565"/>
        <v>2584.8000000000002</v>
      </c>
      <c r="AE921" s="295"/>
      <c r="AF921" s="295"/>
      <c r="AG921" s="296"/>
      <c r="AH921" s="296"/>
      <c r="AI921" s="296"/>
      <c r="AJ921" s="326"/>
      <c r="AK921" s="326"/>
      <c r="AL921" s="326"/>
      <c r="AM921" s="326"/>
    </row>
    <row r="922" spans="1:39" x14ac:dyDescent="0.25">
      <c r="A922" s="232">
        <f t="shared" si="552"/>
        <v>922</v>
      </c>
      <c r="B922" s="232"/>
      <c r="C922" s="307" t="str">
        <f>+C921</f>
        <v>23.1.3</v>
      </c>
      <c r="D922" s="308">
        <f>1+D921</f>
        <v>3</v>
      </c>
      <c r="E922" s="309" t="str">
        <f>C922&amp;"."&amp;D922</f>
        <v>23.1.3.3</v>
      </c>
      <c r="F922" s="310" t="s">
        <v>12189</v>
      </c>
      <c r="G922" s="311" t="str">
        <f>IF($F922="","",IFERROR(VLOOKUP($F922,SERVIÇOS!$B:$G,2,0),IFERROR(VLOOKUP($F922,'COMPOSIÇÕES COMPLEMENTARES '!$D:$L,2,0),IFERROR(VLOOKUP($F922,INSUMOS!$A:$D,2,0),""))))</f>
        <v>TERMINAL DE COMPRESSÃO #50MM²</v>
      </c>
      <c r="H922" s="312" t="str">
        <f>IF($F922="","",IFERROR(VLOOKUP($F922,SERVIÇOS!$B:$G,3,0),IFERROR(VLOOKUP($F922,'COMPOSIÇÕES COMPLEMENTARES '!$D:$L,3,0),IFERROR(VLOOKUP($F922,INSUMOS!$A:$D,3,0),""))))</f>
        <v>UN</v>
      </c>
      <c r="I922" s="313">
        <v>5</v>
      </c>
      <c r="J922" s="314">
        <f>IF($F922="","",IFERROR(VLOOKUP($F922,SERVIÇOS!$B:$G,4,0),IFERROR(VLOOKUP($F922,'COMPOSIÇÕES COMPLEMENTARES '!$D:$L,6,0),IFERROR(VLOOKUP($F922,INSUMOS!$A:$D,4,0),""))))</f>
        <v>6.63</v>
      </c>
      <c r="K922" s="314">
        <f>IF($F922="","",IFERROR(VLOOKUP($F922,SERVIÇOS!$B:$G,5,0),IFERROR(VLOOKUP($F922,'COMPOSIÇÕES COMPLEMENTARES '!$D:$L,7,0),0)))</f>
        <v>1.4</v>
      </c>
      <c r="L922" s="314">
        <f>IF(I922="","",J922+K922)</f>
        <v>8.0299999999999994</v>
      </c>
      <c r="M922" s="314">
        <f>IF(I922="","",TRUNC((I922*J922),2))</f>
        <v>33.15</v>
      </c>
      <c r="N922" s="314">
        <f>IF(I922="","",TRUNC((I922*K922),2))</f>
        <v>7</v>
      </c>
      <c r="O922" s="314">
        <f>IF(I922="","",TRUNC((M922+N922),2))</f>
        <v>40.15</v>
      </c>
      <c r="P922" s="314"/>
      <c r="Q922" s="315"/>
      <c r="R922" s="315"/>
      <c r="S922" s="286"/>
      <c r="T922" s="287"/>
      <c r="U922" s="288" t="str">
        <f t="shared" si="560"/>
        <v/>
      </c>
      <c r="V922" s="287"/>
      <c r="W922" s="289" t="str">
        <f t="shared" si="561"/>
        <v/>
      </c>
      <c r="X922" s="287"/>
      <c r="Y922" s="290" t="str">
        <f t="shared" si="562"/>
        <v/>
      </c>
      <c r="Z922" s="291">
        <f ca="1">SUMIF($T$8:Y$1018,"QUANT.",T922:Y922)</f>
        <v>0</v>
      </c>
      <c r="AA922" s="292">
        <f t="shared" ca="1" si="497"/>
        <v>0</v>
      </c>
      <c r="AB922" s="293" t="str">
        <f t="shared" ca="1" si="563"/>
        <v>MEDIR</v>
      </c>
      <c r="AC922" s="294">
        <f t="shared" ca="1" si="564"/>
        <v>5</v>
      </c>
      <c r="AD922" s="294">
        <f t="shared" ca="1" si="565"/>
        <v>40.15</v>
      </c>
      <c r="AE922" s="295"/>
      <c r="AF922" s="295"/>
      <c r="AG922" s="296"/>
      <c r="AH922" s="296"/>
      <c r="AI922" s="296"/>
      <c r="AJ922" s="326"/>
      <c r="AK922" s="326"/>
      <c r="AL922" s="326"/>
      <c r="AM922" s="326"/>
    </row>
    <row r="923" spans="1:39" ht="25.5" x14ac:dyDescent="0.25">
      <c r="A923" s="232">
        <f t="shared" si="552"/>
        <v>923</v>
      </c>
      <c r="B923" s="232"/>
      <c r="C923" s="307" t="str">
        <f>+C922</f>
        <v>23.1.3</v>
      </c>
      <c r="D923" s="308">
        <f>1+D922</f>
        <v>4</v>
      </c>
      <c r="E923" s="309" t="str">
        <f>C923&amp;"."&amp;D923</f>
        <v>23.1.3.4</v>
      </c>
      <c r="F923" s="310" t="s">
        <v>12530</v>
      </c>
      <c r="G923" s="311" t="str">
        <f>IF($F923="","",IFERROR(VLOOKUP($F923,SERVIÇOS!$B:$G,2,0),IFERROR(VLOOKUP($F923,'COMPOSIÇÕES COMPLEMENTARES '!$D:$L,2,0),IFERROR(VLOOKUP($F923,INSUMOS!$A:$D,2,0),""))))</f>
        <v>PEDRA BRITA Nº2 PARA SUBESTAÇÃO DE ENERGIA, 20CM DE PROFUNDIDADE: 54M² DE COMPRIMENTO X0,2M DE PROFUNDIDADE</v>
      </c>
      <c r="H923" s="312" t="str">
        <f>IF($F923="","",IFERROR(VLOOKUP($F923,SERVIÇOS!$B:$G,3,0),IFERROR(VLOOKUP($F923,'COMPOSIÇÕES COMPLEMENTARES '!$D:$L,3,0),IFERROR(VLOOKUP($F923,INSUMOS!$A:$D,3,0),""))))</f>
        <v>M3</v>
      </c>
      <c r="I923" s="313">
        <v>13.2</v>
      </c>
      <c r="J923" s="314">
        <f>IF($F923="","",IFERROR(VLOOKUP($F923,SERVIÇOS!$B:$G,4,0),IFERROR(VLOOKUP($F923,'COMPOSIÇÕES COMPLEMENTARES '!$D:$L,6,0),IFERROR(VLOOKUP($F923,INSUMOS!$A:$D,4,0),""))))</f>
        <v>316.29000000000002</v>
      </c>
      <c r="K923" s="314">
        <f>IF($F923="","",IFERROR(VLOOKUP($F923,SERVIÇOS!$B:$G,5,0),IFERROR(VLOOKUP($F923,'COMPOSIÇÕES COMPLEMENTARES '!$D:$L,7,0),0)))</f>
        <v>83.63</v>
      </c>
      <c r="L923" s="314">
        <f>IF(I923="","",J923+K923)</f>
        <v>399.92</v>
      </c>
      <c r="M923" s="314">
        <f>IF(I923="","",TRUNC((I923*J923),2))</f>
        <v>4175.0200000000004</v>
      </c>
      <c r="N923" s="314">
        <f>IF(I923="","",TRUNC((I923*K923),2))</f>
        <v>1103.9100000000001</v>
      </c>
      <c r="O923" s="314">
        <f>IF(I923="","",TRUNC((M923+N923),2))</f>
        <v>5278.93</v>
      </c>
      <c r="P923" s="314"/>
      <c r="Q923" s="315"/>
      <c r="R923" s="315"/>
      <c r="S923" s="286"/>
      <c r="T923" s="287"/>
      <c r="U923" s="288" t="str">
        <f t="shared" si="560"/>
        <v/>
      </c>
      <c r="V923" s="287"/>
      <c r="W923" s="289" t="str">
        <f t="shared" si="561"/>
        <v/>
      </c>
      <c r="X923" s="287"/>
      <c r="Y923" s="290" t="str">
        <f t="shared" si="562"/>
        <v/>
      </c>
      <c r="Z923" s="291">
        <f ca="1">SUMIF($T$8:Y$1018,"QUANT.",T923:Y923)</f>
        <v>0</v>
      </c>
      <c r="AA923" s="292">
        <f t="shared" ca="1" si="497"/>
        <v>0</v>
      </c>
      <c r="AB923" s="293" t="str">
        <f t="shared" ca="1" si="563"/>
        <v>MEDIR</v>
      </c>
      <c r="AC923" s="294">
        <f t="shared" ca="1" si="564"/>
        <v>13.2</v>
      </c>
      <c r="AD923" s="294">
        <f t="shared" ca="1" si="565"/>
        <v>5278.93</v>
      </c>
      <c r="AE923" s="295"/>
      <c r="AF923" s="295"/>
      <c r="AG923" s="296"/>
      <c r="AH923" s="296"/>
      <c r="AI923" s="296"/>
      <c r="AJ923" s="326"/>
      <c r="AK923" s="326"/>
      <c r="AL923" s="326"/>
      <c r="AM923" s="326"/>
    </row>
    <row r="924" spans="1:39" x14ac:dyDescent="0.25">
      <c r="A924" s="232">
        <f t="shared" si="552"/>
        <v>924</v>
      </c>
      <c r="B924" s="232"/>
      <c r="C924" s="316" t="str">
        <f>+E924</f>
        <v>23.2</v>
      </c>
      <c r="D924" s="297"/>
      <c r="E924" s="317" t="s">
        <v>12531</v>
      </c>
      <c r="F924" s="317"/>
      <c r="G924" s="327" t="s">
        <v>12302</v>
      </c>
      <c r="H924" s="317"/>
      <c r="I924" s="319"/>
      <c r="J924" s="317"/>
      <c r="K924" s="317"/>
      <c r="L924" s="317"/>
      <c r="M924" s="317"/>
      <c r="N924" s="317"/>
      <c r="O924" s="317"/>
      <c r="P924" s="317"/>
      <c r="Q924" s="320"/>
      <c r="R924" s="306"/>
      <c r="S924" s="286"/>
      <c r="T924" s="287"/>
      <c r="U924" s="288" t="str">
        <f t="shared" si="560"/>
        <v/>
      </c>
      <c r="V924" s="287"/>
      <c r="W924" s="289" t="str">
        <f t="shared" si="561"/>
        <v/>
      </c>
      <c r="X924" s="287"/>
      <c r="Y924" s="290" t="str">
        <f t="shared" si="562"/>
        <v/>
      </c>
      <c r="Z924" s="291">
        <f ca="1">SUMIF($T$8:Y$1018,"QUANT.",T924:Y924)</f>
        <v>0</v>
      </c>
      <c r="AA924" s="292">
        <f t="shared" ca="1" si="497"/>
        <v>0</v>
      </c>
      <c r="AB924" s="293" t="str">
        <f t="shared" si="563"/>
        <v/>
      </c>
      <c r="AC924" s="294">
        <f t="shared" ca="1" si="564"/>
        <v>0</v>
      </c>
      <c r="AD924" s="294">
        <f t="shared" ca="1" si="565"/>
        <v>0</v>
      </c>
      <c r="AE924" s="295"/>
      <c r="AF924" s="295"/>
      <c r="AG924" s="296"/>
      <c r="AH924" s="296"/>
      <c r="AI924" s="296"/>
      <c r="AJ924" s="326"/>
      <c r="AK924" s="326"/>
      <c r="AL924" s="326"/>
      <c r="AM924" s="326"/>
    </row>
    <row r="925" spans="1:39" x14ac:dyDescent="0.25">
      <c r="A925" s="232">
        <f t="shared" si="552"/>
        <v>925</v>
      </c>
      <c r="B925" s="232"/>
      <c r="C925" s="281" t="str">
        <f>+E925</f>
        <v>24.2.1</v>
      </c>
      <c r="D925" s="297"/>
      <c r="E925" s="343" t="s">
        <v>20541</v>
      </c>
      <c r="F925" s="328"/>
      <c r="G925" s="329" t="s">
        <v>12532</v>
      </c>
      <c r="H925" s="312"/>
      <c r="I925" s="313"/>
      <c r="J925" s="314"/>
      <c r="K925" s="314"/>
      <c r="L925" s="314"/>
      <c r="M925" s="314"/>
      <c r="N925" s="314"/>
      <c r="O925" s="314"/>
      <c r="P925" s="314"/>
      <c r="Q925" s="315"/>
      <c r="R925" s="306"/>
      <c r="S925" s="286"/>
      <c r="T925" s="287"/>
      <c r="U925" s="288" t="str">
        <f t="shared" si="560"/>
        <v/>
      </c>
      <c r="V925" s="287"/>
      <c r="W925" s="289" t="str">
        <f t="shared" si="561"/>
        <v/>
      </c>
      <c r="X925" s="287"/>
      <c r="Y925" s="290" t="str">
        <f t="shared" si="562"/>
        <v/>
      </c>
      <c r="Z925" s="291">
        <f ca="1">SUMIF($T$8:Y$1018,"QUANT.",T925:Y925)</f>
        <v>0</v>
      </c>
      <c r="AA925" s="292">
        <f t="shared" ca="1" si="497"/>
        <v>0</v>
      </c>
      <c r="AB925" s="293" t="str">
        <f t="shared" si="563"/>
        <v/>
      </c>
      <c r="AC925" s="294">
        <f t="shared" ca="1" si="564"/>
        <v>0</v>
      </c>
      <c r="AD925" s="294">
        <f t="shared" ca="1" si="565"/>
        <v>0</v>
      </c>
      <c r="AE925" s="295"/>
      <c r="AF925" s="295"/>
      <c r="AG925" s="296"/>
      <c r="AH925" s="296"/>
      <c r="AI925" s="296"/>
      <c r="AJ925" s="326"/>
      <c r="AK925" s="326"/>
      <c r="AL925" s="326"/>
      <c r="AM925" s="326"/>
    </row>
    <row r="926" spans="1:39" ht="25.5" x14ac:dyDescent="0.25">
      <c r="A926" s="232">
        <f t="shared" si="552"/>
        <v>926</v>
      </c>
      <c r="B926" s="232"/>
      <c r="C926" s="307" t="str">
        <f>+C925</f>
        <v>24.2.1</v>
      </c>
      <c r="D926" s="308">
        <f>1+D925</f>
        <v>1</v>
      </c>
      <c r="E926" s="309" t="str">
        <f>C926&amp;"."&amp;D926</f>
        <v>24.2.1.1</v>
      </c>
      <c r="F926" s="310" t="s">
        <v>12304</v>
      </c>
      <c r="G926" s="311" t="str">
        <f>IF($F926="","",IFERROR(VLOOKUP($F926,SERVIÇOS!$B:$G,2,0),IFERROR(VLOOKUP($F926,'COMPOSIÇÕES COMPLEMENTARES '!$D:$L,2,0),IFERROR(VLOOKUP($F926,INSUMOS!$A:$D,2,0),""))))</f>
        <v>CAIXA ENTERRADA PARA INSTALAÇÕES TELEFÔNICAS TIPO R1 E TAMPA PARA CAIXA TIPO R1, EM FERRO FUNDIDO, DIMENSÕES INTERNAS: 0,40 X 0,60 M - FORNECIMENTO E INSTALAÇÃO</v>
      </c>
      <c r="H926" s="312" t="str">
        <f>IF($F926="","",IFERROR(VLOOKUP($F926,SERVIÇOS!$B:$G,3,0),IFERROR(VLOOKUP($F926,'COMPOSIÇÕES COMPLEMENTARES '!$D:$L,3,0),IFERROR(VLOOKUP($F926,INSUMOS!$A:$D,3,0),""))))</f>
        <v>UN</v>
      </c>
      <c r="I926" s="313">
        <v>4</v>
      </c>
      <c r="J926" s="314">
        <f>IF($F926="","",IFERROR(VLOOKUP($F926,SERVIÇOS!$B:$G,4,0),IFERROR(VLOOKUP($F926,'COMPOSIÇÕES COMPLEMENTARES '!$D:$L,6,0),IFERROR(VLOOKUP($F926,INSUMOS!$A:$D,4,0),""))))</f>
        <v>740.47</v>
      </c>
      <c r="K926" s="314">
        <f>IF($F926="","",IFERROR(VLOOKUP($F926,SERVIÇOS!$B:$G,5,0),IFERROR(VLOOKUP($F926,'COMPOSIÇÕES COMPLEMENTARES '!$D:$L,7,0),0)))</f>
        <v>309.86</v>
      </c>
      <c r="L926" s="314">
        <f>IF(I926="","",J926+K926)</f>
        <v>1050.33</v>
      </c>
      <c r="M926" s="314">
        <f>IF(I926="","",TRUNC((I926*J926),2))</f>
        <v>2961.88</v>
      </c>
      <c r="N926" s="314">
        <f>IF(I926="","",TRUNC((I926*K926),2))</f>
        <v>1239.44</v>
      </c>
      <c r="O926" s="314">
        <f>IF(I926="","",TRUNC((M926+N926),2))</f>
        <v>4201.32</v>
      </c>
      <c r="P926" s="314"/>
      <c r="Q926" s="315"/>
      <c r="R926" s="315"/>
      <c r="S926" s="286"/>
      <c r="T926" s="287"/>
      <c r="U926" s="288" t="str">
        <f t="shared" si="560"/>
        <v/>
      </c>
      <c r="V926" s="287"/>
      <c r="W926" s="289" t="str">
        <f t="shared" si="561"/>
        <v/>
      </c>
      <c r="X926" s="287"/>
      <c r="Y926" s="290" t="str">
        <f t="shared" si="562"/>
        <v/>
      </c>
      <c r="Z926" s="291">
        <f ca="1">SUMIF($T$8:Y$1018,"QUANT.",T926:Y926)</f>
        <v>0</v>
      </c>
      <c r="AA926" s="292">
        <f t="shared" ca="1" si="497"/>
        <v>0</v>
      </c>
      <c r="AB926" s="293" t="str">
        <f t="shared" ca="1" si="563"/>
        <v>MEDIR</v>
      </c>
      <c r="AC926" s="294">
        <f t="shared" ca="1" si="564"/>
        <v>4</v>
      </c>
      <c r="AD926" s="294">
        <f t="shared" ca="1" si="565"/>
        <v>4201.32</v>
      </c>
      <c r="AE926" s="295"/>
      <c r="AF926" s="295"/>
      <c r="AG926" s="296"/>
      <c r="AH926" s="296"/>
      <c r="AI926" s="296"/>
      <c r="AJ926" s="326"/>
      <c r="AK926" s="326"/>
      <c r="AL926" s="326"/>
      <c r="AM926" s="326"/>
    </row>
    <row r="927" spans="1:39" ht="25.5" x14ac:dyDescent="0.25">
      <c r="A927" s="232">
        <f t="shared" si="552"/>
        <v>927</v>
      </c>
      <c r="B927" s="232"/>
      <c r="C927" s="307" t="str">
        <f>+C926</f>
        <v>24.2.1</v>
      </c>
      <c r="D927" s="308">
        <f>1+D926</f>
        <v>2</v>
      </c>
      <c r="E927" s="309" t="str">
        <f>C927&amp;"."&amp;D927</f>
        <v>24.2.1.2</v>
      </c>
      <c r="F927" s="310">
        <v>97668</v>
      </c>
      <c r="G927" s="311" t="str">
        <f>IF($F927="","",IFERROR(VLOOKUP($F927,SERVIÇOS!$B:$G,2,0),IFERROR(VLOOKUP($F927,'COMPOSIÇÕES COMPLEMENTARES '!$D:$L,2,0),IFERROR(VLOOKUP($F927,INSUMOS!$A:$D,2,0),""))))</f>
        <v>ELETRODUTO FLEXÍVEL CORRUGADO, PEAD, DN 63 (2"), PARA REDE ENTERRADA DE DISTRIBUIÇÃO DE ENERGIA ELÉTRICA - FORNECIMENTO E INSTALAÇÃO. AF_12/2021</v>
      </c>
      <c r="H927" s="312" t="str">
        <f>IF($F927="","",IFERROR(VLOOKUP($F927,SERVIÇOS!$B:$G,3,0),IFERROR(VLOOKUP($F927,'COMPOSIÇÕES COMPLEMENTARES '!$D:$L,3,0),IFERROR(VLOOKUP($F927,INSUMOS!$A:$D,3,0),""))))</f>
        <v>M</v>
      </c>
      <c r="I927" s="313">
        <v>100</v>
      </c>
      <c r="J927" s="314">
        <f>IF($F927="","",IFERROR(VLOOKUP($F927,SERVIÇOS!$B:$G,4,0),IFERROR(VLOOKUP($F927,'COMPOSIÇÕES COMPLEMENTARES '!$D:$L,6,0),IFERROR(VLOOKUP($F927,INSUMOS!$A:$D,4,0),""))))</f>
        <v>11.19</v>
      </c>
      <c r="K927" s="314">
        <f>IF($F927="","",IFERROR(VLOOKUP($F927,SERVIÇOS!$B:$G,5,0),IFERROR(VLOOKUP($F927,'COMPOSIÇÕES COMPLEMENTARES '!$D:$L,7,0),0)))</f>
        <v>4.68</v>
      </c>
      <c r="L927" s="314">
        <f>IF(I927="","",J927+K927)</f>
        <v>15.87</v>
      </c>
      <c r="M927" s="314">
        <f>IF(I927="","",TRUNC((I927*J927),2))</f>
        <v>1119</v>
      </c>
      <c r="N927" s="314">
        <f>IF(I927="","",TRUNC((I927*K927),2))</f>
        <v>468</v>
      </c>
      <c r="O927" s="314">
        <f>IF(I927="","",TRUNC((M927+N927),2))</f>
        <v>1587</v>
      </c>
      <c r="P927" s="314"/>
      <c r="Q927" s="315"/>
      <c r="R927" s="315"/>
      <c r="S927" s="286"/>
      <c r="T927" s="287"/>
      <c r="U927" s="288" t="str">
        <f t="shared" si="560"/>
        <v/>
      </c>
      <c r="V927" s="287"/>
      <c r="W927" s="289" t="str">
        <f t="shared" si="561"/>
        <v/>
      </c>
      <c r="X927" s="287"/>
      <c r="Y927" s="290" t="str">
        <f t="shared" si="562"/>
        <v/>
      </c>
      <c r="Z927" s="291">
        <f ca="1">SUMIF($T$8:Y$1018,"QUANT.",T927:Y927)</f>
        <v>0</v>
      </c>
      <c r="AA927" s="292">
        <f t="shared" ca="1" si="497"/>
        <v>0</v>
      </c>
      <c r="AB927" s="293" t="str">
        <f t="shared" ca="1" si="563"/>
        <v>MEDIR</v>
      </c>
      <c r="AC927" s="294">
        <f t="shared" ca="1" si="564"/>
        <v>100</v>
      </c>
      <c r="AD927" s="294">
        <f t="shared" ca="1" si="565"/>
        <v>1587</v>
      </c>
      <c r="AE927" s="295"/>
      <c r="AF927" s="295"/>
      <c r="AG927" s="296"/>
      <c r="AH927" s="296"/>
      <c r="AI927" s="296"/>
      <c r="AJ927" s="326"/>
      <c r="AK927" s="326"/>
      <c r="AL927" s="326"/>
      <c r="AM927" s="326"/>
    </row>
    <row r="928" spans="1:39" ht="38.25" x14ac:dyDescent="0.25">
      <c r="A928" s="232">
        <f t="shared" si="552"/>
        <v>928</v>
      </c>
      <c r="B928" s="232"/>
      <c r="C928" s="307" t="str">
        <f>+C927</f>
        <v>24.2.1</v>
      </c>
      <c r="D928" s="308">
        <f>1+D927</f>
        <v>3</v>
      </c>
      <c r="E928" s="309" t="str">
        <f>C928&amp;"."&amp;D928</f>
        <v>24.2.1.3</v>
      </c>
      <c r="F928" s="310">
        <v>102279</v>
      </c>
      <c r="G928" s="311" t="str">
        <f>IF($F928="","",IFERROR(VLOOKUP($F928,SERVIÇOS!$B:$G,2,0),IFERROR(VLOOKUP($F928,'COMPOSIÇÕES COMPLEMENTARES '!$D:$L,2,0),IFERROR(VLOOKUP($F928,INSUMOS!$A:$D,2,0),""))))</f>
        <v>ESCAVAÇÃO MECANIZADA DE VALA COM PROF. ATÉ 1,5 M (MÉDIA MONTANTE E JUSANTE/UMA COMPOSIÇÃO POR TRECHO), ESCAVADEIRA (0,8 M3),LARG. MENOR QUE 1,5 M, EM SOLO DE 1A CATEGORIA, LOCAIS COM BAIXO NÍVEL DE INTERFERÊNCIA. AF_09/2024</v>
      </c>
      <c r="H928" s="312" t="str">
        <f>IF($F928="","",IFERROR(VLOOKUP($F928,SERVIÇOS!$B:$G,3,0),IFERROR(VLOOKUP($F928,'COMPOSIÇÕES COMPLEMENTARES '!$D:$L,3,0),IFERROR(VLOOKUP($F928,INSUMOS!$A:$D,3,0),""))))</f>
        <v>M3</v>
      </c>
      <c r="I928" s="313">
        <v>18</v>
      </c>
      <c r="J928" s="314">
        <f>IF($F928="","",IFERROR(VLOOKUP($F928,SERVIÇOS!$B:$G,4,0),IFERROR(VLOOKUP($F928,'COMPOSIÇÕES COMPLEMENTARES '!$D:$L,6,0),IFERROR(VLOOKUP($F928,INSUMOS!$A:$D,4,0),""))))</f>
        <v>5.79</v>
      </c>
      <c r="K928" s="314">
        <f>IF($F928="","",IFERROR(VLOOKUP($F928,SERVIÇOS!$B:$G,5,0),IFERROR(VLOOKUP($F928,'COMPOSIÇÕES COMPLEMENTARES '!$D:$L,7,0),0)))</f>
        <v>1.76</v>
      </c>
      <c r="L928" s="314">
        <f>IF(I928="","",J928+K928)</f>
        <v>7.55</v>
      </c>
      <c r="M928" s="314">
        <f>IF(I928="","",TRUNC((I928*J928),2))</f>
        <v>104.22</v>
      </c>
      <c r="N928" s="314">
        <f>IF(I928="","",TRUNC((I928*K928),2))</f>
        <v>31.68</v>
      </c>
      <c r="O928" s="314">
        <f>IF(I928="","",TRUNC((M928+N928),2))</f>
        <v>135.9</v>
      </c>
      <c r="P928" s="314"/>
      <c r="Q928" s="315"/>
      <c r="R928" s="315"/>
      <c r="S928" s="286"/>
      <c r="T928" s="287"/>
      <c r="U928" s="288" t="str">
        <f t="shared" si="560"/>
        <v/>
      </c>
      <c r="V928" s="287"/>
      <c r="W928" s="289" t="str">
        <f t="shared" si="561"/>
        <v/>
      </c>
      <c r="X928" s="287"/>
      <c r="Y928" s="290" t="str">
        <f t="shared" si="562"/>
        <v/>
      </c>
      <c r="Z928" s="291">
        <f ca="1">SUMIF($T$8:Y$1018,"QUANT.",T928:Y928)</f>
        <v>0</v>
      </c>
      <c r="AA928" s="292">
        <f t="shared" ca="1" si="497"/>
        <v>0</v>
      </c>
      <c r="AB928" s="293" t="str">
        <f t="shared" ca="1" si="563"/>
        <v>MEDIR</v>
      </c>
      <c r="AC928" s="294">
        <f t="shared" ca="1" si="564"/>
        <v>18</v>
      </c>
      <c r="AD928" s="294">
        <f t="shared" ca="1" si="565"/>
        <v>135.9</v>
      </c>
      <c r="AE928" s="295"/>
      <c r="AF928" s="295"/>
      <c r="AG928" s="296"/>
      <c r="AH928" s="296"/>
      <c r="AI928" s="296"/>
      <c r="AJ928" s="326"/>
      <c r="AK928" s="326"/>
      <c r="AL928" s="326"/>
      <c r="AM928" s="326"/>
    </row>
    <row r="929" spans="1:39" x14ac:dyDescent="0.25">
      <c r="A929" s="232">
        <f t="shared" si="552"/>
        <v>929</v>
      </c>
      <c r="B929" s="232"/>
      <c r="C929" s="307" t="str">
        <f>+C928</f>
        <v>24.2.1</v>
      </c>
      <c r="D929" s="308">
        <f>1+D928</f>
        <v>4</v>
      </c>
      <c r="E929" s="309" t="str">
        <f>C929&amp;"."&amp;D929</f>
        <v>24.2.1.4</v>
      </c>
      <c r="F929" s="310" t="s">
        <v>12191</v>
      </c>
      <c r="G929" s="311" t="str">
        <f>IF($F929="","",IFERROR(VLOOKUP($F929,SERVIÇOS!$B:$G,2,0),IFERROR(VLOOKUP($F929,'COMPOSIÇÕES COMPLEMENTARES '!$D:$L,2,0),IFERROR(VLOOKUP($F929,INSUMOS!$A:$D,2,0),""))))</f>
        <v>ENVELOPAMENTO DE CONCRETO NO BANCO DE DUTOS</v>
      </c>
      <c r="H929" s="312" t="str">
        <f>IF($F929="","",IFERROR(VLOOKUP($F929,SERVIÇOS!$B:$G,3,0),IFERROR(VLOOKUP($F929,'COMPOSIÇÕES COMPLEMENTARES '!$D:$L,3,0),IFERROR(VLOOKUP($F929,INSUMOS!$A:$D,3,0),""))))</f>
        <v>M3</v>
      </c>
      <c r="I929" s="313">
        <v>3</v>
      </c>
      <c r="J929" s="314">
        <f>IF($F929="","",IFERROR(VLOOKUP($F929,SERVIÇOS!$B:$G,4,0),IFERROR(VLOOKUP($F929,'COMPOSIÇÕES COMPLEMENTARES '!$D:$L,6,0),IFERROR(VLOOKUP($F929,INSUMOS!$A:$D,4,0),""))))</f>
        <v>353.89</v>
      </c>
      <c r="K929" s="314">
        <f>IF($F929="","",IFERROR(VLOOKUP($F929,SERVIÇOS!$B:$G,5,0),IFERROR(VLOOKUP($F929,'COMPOSIÇÕES COMPLEMENTARES '!$D:$L,7,0),0)))</f>
        <v>82.48</v>
      </c>
      <c r="L929" s="314">
        <f>IF(I929="","",J929+K929)</f>
        <v>436.37</v>
      </c>
      <c r="M929" s="314">
        <f>IF(I929="","",TRUNC((I929*J929),2))</f>
        <v>1061.67</v>
      </c>
      <c r="N929" s="314">
        <f>IF(I929="","",TRUNC((I929*K929),2))</f>
        <v>247.44</v>
      </c>
      <c r="O929" s="314">
        <f>IF(I929="","",TRUNC((M929+N929),2))</f>
        <v>1309.1099999999999</v>
      </c>
      <c r="P929" s="314"/>
      <c r="Q929" s="315"/>
      <c r="R929" s="315"/>
      <c r="S929" s="286"/>
      <c r="T929" s="287"/>
      <c r="U929" s="288" t="str">
        <f t="shared" si="560"/>
        <v/>
      </c>
      <c r="V929" s="287"/>
      <c r="W929" s="289" t="str">
        <f t="shared" si="561"/>
        <v/>
      </c>
      <c r="X929" s="287"/>
      <c r="Y929" s="290" t="str">
        <f t="shared" si="562"/>
        <v/>
      </c>
      <c r="Z929" s="291">
        <f ca="1">SUMIF($T$8:Y$1018,"QUANT.",T929:Y929)</f>
        <v>0</v>
      </c>
      <c r="AA929" s="292">
        <f t="shared" ca="1" si="497"/>
        <v>0</v>
      </c>
      <c r="AB929" s="293" t="str">
        <f t="shared" ca="1" si="563"/>
        <v>MEDIR</v>
      </c>
      <c r="AC929" s="294">
        <f t="shared" ca="1" si="564"/>
        <v>3</v>
      </c>
      <c r="AD929" s="294">
        <f t="shared" ca="1" si="565"/>
        <v>1309.1099999999999</v>
      </c>
      <c r="AE929" s="295"/>
      <c r="AF929" s="295"/>
      <c r="AG929" s="296"/>
      <c r="AH929" s="296"/>
      <c r="AI929" s="296"/>
      <c r="AJ929" s="326"/>
      <c r="AK929" s="326"/>
      <c r="AL929" s="326"/>
      <c r="AM929" s="326"/>
    </row>
    <row r="930" spans="1:39" x14ac:dyDescent="0.25">
      <c r="A930" s="232">
        <f t="shared" si="552"/>
        <v>930</v>
      </c>
      <c r="B930" s="232"/>
      <c r="C930" s="281">
        <f>+E930</f>
        <v>23</v>
      </c>
      <c r="D930" s="297"/>
      <c r="E930" s="298">
        <v>23</v>
      </c>
      <c r="F930" s="322"/>
      <c r="G930" s="299" t="s">
        <v>12008</v>
      </c>
      <c r="H930" s="300"/>
      <c r="I930" s="345"/>
      <c r="J930" s="302"/>
      <c r="K930" s="303"/>
      <c r="L930" s="303"/>
      <c r="M930" s="304">
        <f>TRUNC(SUMIF(M931:M936,"&gt;0",M931:M936),2)</f>
        <v>11340.58</v>
      </c>
      <c r="N930" s="304">
        <f>TRUNC(SUMIF(N931:N936,"&gt;0",N931:N936),2)</f>
        <v>1790.4</v>
      </c>
      <c r="O930" s="305"/>
      <c r="P930" s="304">
        <f>SUMIF(O931:O936,"&gt;0",O931:O936)</f>
        <v>13130.98</v>
      </c>
      <c r="Q930" s="306"/>
      <c r="R930" s="306"/>
      <c r="S930" s="286"/>
      <c r="T930" s="287"/>
      <c r="U930" s="288" t="str">
        <f t="shared" si="475"/>
        <v/>
      </c>
      <c r="V930" s="287"/>
      <c r="W930" s="289" t="str">
        <f t="shared" si="476"/>
        <v/>
      </c>
      <c r="X930" s="287"/>
      <c r="Y930" s="290" t="str">
        <f t="shared" si="477"/>
        <v/>
      </c>
      <c r="Z930" s="291">
        <f ca="1">SUMIF($T$8:Y$1018,"QUANT.",T930:Y930)</f>
        <v>0</v>
      </c>
      <c r="AA930" s="292">
        <f t="shared" ca="1" si="497"/>
        <v>0</v>
      </c>
      <c r="AB930" s="293" t="str">
        <f t="shared" si="478"/>
        <v/>
      </c>
      <c r="AC930" s="294">
        <f t="shared" ca="1" si="479"/>
        <v>0</v>
      </c>
      <c r="AD930" s="294">
        <f t="shared" ca="1" si="480"/>
        <v>0</v>
      </c>
      <c r="AE930" s="295"/>
      <c r="AF930" s="295"/>
      <c r="AG930" s="296"/>
      <c r="AH930" s="296"/>
      <c r="AI930" s="296"/>
      <c r="AJ930" s="326"/>
      <c r="AK930" s="326"/>
      <c r="AL930" s="326"/>
      <c r="AM930" s="326"/>
    </row>
    <row r="931" spans="1:39" x14ac:dyDescent="0.25">
      <c r="A931" s="232">
        <f t="shared" si="552"/>
        <v>931</v>
      </c>
      <c r="B931" s="232"/>
      <c r="C931" s="316" t="str">
        <f>+E931</f>
        <v>24.1</v>
      </c>
      <c r="D931" s="297"/>
      <c r="E931" s="317" t="s">
        <v>20475</v>
      </c>
      <c r="F931" s="317"/>
      <c r="G931" s="318" t="s">
        <v>12517</v>
      </c>
      <c r="H931" s="317"/>
      <c r="I931" s="319"/>
      <c r="J931" s="317"/>
      <c r="K931" s="317"/>
      <c r="L931" s="317"/>
      <c r="M931" s="317"/>
      <c r="N931" s="317"/>
      <c r="O931" s="317"/>
      <c r="P931" s="317"/>
      <c r="Q931" s="320"/>
      <c r="R931" s="306"/>
      <c r="S931" s="286"/>
      <c r="T931" s="287"/>
      <c r="U931" s="288" t="str">
        <f t="shared" si="475"/>
        <v/>
      </c>
      <c r="V931" s="287"/>
      <c r="W931" s="289" t="str">
        <f t="shared" si="476"/>
        <v/>
      </c>
      <c r="X931" s="287"/>
      <c r="Y931" s="290" t="str">
        <f t="shared" si="477"/>
        <v/>
      </c>
      <c r="Z931" s="291">
        <f ca="1">SUMIF($T$8:Y$1018,"QUANT.",T931:Y931)</f>
        <v>0</v>
      </c>
      <c r="AA931" s="292">
        <f t="shared" ca="1" si="497"/>
        <v>0</v>
      </c>
      <c r="AB931" s="293" t="str">
        <f t="shared" si="478"/>
        <v/>
      </c>
      <c r="AC931" s="294">
        <f t="shared" ca="1" si="479"/>
        <v>0</v>
      </c>
      <c r="AD931" s="294">
        <f t="shared" ca="1" si="480"/>
        <v>0</v>
      </c>
      <c r="AE931" s="295"/>
      <c r="AF931" s="295"/>
      <c r="AG931" s="296"/>
      <c r="AH931" s="296"/>
      <c r="AI931" s="296"/>
      <c r="AJ931" s="326"/>
      <c r="AK931" s="326"/>
      <c r="AL931" s="326"/>
      <c r="AM931" s="326"/>
    </row>
    <row r="932" spans="1:39" x14ac:dyDescent="0.25">
      <c r="A932" s="232">
        <f t="shared" si="552"/>
        <v>932</v>
      </c>
      <c r="B932" s="232"/>
      <c r="C932" s="307" t="str">
        <f>+C931</f>
        <v>24.1</v>
      </c>
      <c r="D932" s="308">
        <f>1+D931</f>
        <v>1</v>
      </c>
      <c r="E932" s="309" t="str">
        <f>C932&amp;"."&amp;D932</f>
        <v>24.1.1</v>
      </c>
      <c r="F932" s="310" t="s">
        <v>12518</v>
      </c>
      <c r="G932" s="311" t="str">
        <f>IF($F932="","",IFERROR(VLOOKUP($F932,SERVIÇOS!$B:$G,2,0),IFERROR(VLOOKUP($F932,'COMPOSIÇÕES COMPLEMENTARES '!$D:$L,2,0),IFERROR(VLOOKUP($F932,INSUMOS!$A:$D,2,0),""))))</f>
        <v>PORTÃO DE CORRER EM TELA ONDULADA DE AÇO GALVANIZADO, SOB MEDIDA</v>
      </c>
      <c r="H932" s="312" t="str">
        <f>IF($F932="","",IFERROR(VLOOKUP($F932,SERVIÇOS!$B:$G,3,0),IFERROR(VLOOKUP($F932,'COMPOSIÇÕES COMPLEMENTARES '!$D:$L,3,0),IFERROR(VLOOKUP($F932,INSUMOS!$A:$D,3,0),""))))</f>
        <v>M2</v>
      </c>
      <c r="I932" s="313">
        <v>11</v>
      </c>
      <c r="J932" s="314">
        <f>IF($F932="","",IFERROR(VLOOKUP($F932,SERVIÇOS!$B:$G,4,0),IFERROR(VLOOKUP($F932,'COMPOSIÇÕES COMPLEMENTARES '!$D:$L,6,0),IFERROR(VLOOKUP($F932,INSUMOS!$A:$D,4,0),""))))</f>
        <v>638.66</v>
      </c>
      <c r="K932" s="314">
        <f>IF($F932="","",IFERROR(VLOOKUP($F932,SERVIÇOS!$B:$G,5,0),IFERROR(VLOOKUP($F932,'COMPOSIÇÕES COMPLEMENTARES '!$D:$L,7,0),0)))</f>
        <v>86.16</v>
      </c>
      <c r="L932" s="314">
        <f>IF(I932="","",J932+K932)</f>
        <v>724.81999999999994</v>
      </c>
      <c r="M932" s="314">
        <f>IF(I932="","",TRUNC((I932*J932),2))</f>
        <v>7025.26</v>
      </c>
      <c r="N932" s="314">
        <f>IF(I932="","",TRUNC((I932*K932),2))</f>
        <v>947.76</v>
      </c>
      <c r="O932" s="314">
        <f>IF(I932="","",TRUNC((M932+N932),2))</f>
        <v>7973.02</v>
      </c>
      <c r="P932" s="314"/>
      <c r="Q932" s="315"/>
      <c r="R932" s="315"/>
      <c r="S932" s="286"/>
      <c r="T932" s="287"/>
      <c r="U932" s="288" t="str">
        <f t="shared" si="475"/>
        <v/>
      </c>
      <c r="V932" s="287"/>
      <c r="W932" s="289" t="str">
        <f t="shared" si="476"/>
        <v/>
      </c>
      <c r="X932" s="287"/>
      <c r="Y932" s="290" t="str">
        <f t="shared" si="477"/>
        <v/>
      </c>
      <c r="Z932" s="291">
        <f ca="1">SUMIF($T$8:Y$1018,"QUANT.",T932:Y932)</f>
        <v>0</v>
      </c>
      <c r="AA932" s="292">
        <f t="shared" ca="1" si="497"/>
        <v>0</v>
      </c>
      <c r="AB932" s="293" t="str">
        <f t="shared" ca="1" si="478"/>
        <v>MEDIR</v>
      </c>
      <c r="AC932" s="294">
        <f t="shared" ca="1" si="479"/>
        <v>11</v>
      </c>
      <c r="AD932" s="294">
        <f t="shared" ca="1" si="480"/>
        <v>7973.02</v>
      </c>
      <c r="AE932" s="295"/>
      <c r="AF932" s="295"/>
      <c r="AG932" s="296"/>
      <c r="AH932" s="296"/>
      <c r="AI932" s="296"/>
      <c r="AJ932" s="326"/>
      <c r="AK932" s="326"/>
      <c r="AL932" s="326"/>
      <c r="AM932" s="326"/>
    </row>
    <row r="933" spans="1:39" ht="25.5" x14ac:dyDescent="0.25">
      <c r="A933" s="232">
        <f t="shared" si="552"/>
        <v>933</v>
      </c>
      <c r="B933" s="232"/>
      <c r="C933" s="307" t="str">
        <f>+C932</f>
        <v>24.1</v>
      </c>
      <c r="D933" s="308">
        <f>1+D932</f>
        <v>2</v>
      </c>
      <c r="E933" s="309" t="str">
        <f>C933&amp;"."&amp;D933</f>
        <v>24.1.2</v>
      </c>
      <c r="F933" s="310" t="s">
        <v>12043</v>
      </c>
      <c r="G933" s="311" t="str">
        <f>IF($F933="","",IFERROR(VLOOKUP($F933,SERVIÇOS!$B:$G,2,0),IFERROR(VLOOKUP($F933,'COMPOSIÇÕES COMPLEMENTARES '!$D:$L,2,0),IFERROR(VLOOKUP($F933,INSUMOS!$A:$D,2,0),""))))</f>
        <v xml:space="preserve">PORTA/PORTÃO EM FERRO GALVANIZADO, 1 OU 2 FOLHAS, EM TUBO DE AÇO GALVANIZADO 2" E TELA ARAME GALVANIZADO </v>
      </c>
      <c r="H933" s="312" t="str">
        <f>IF($F933="","",IFERROR(VLOOKUP($F933,SERVIÇOS!$B:$G,3,0),IFERROR(VLOOKUP($F933,'COMPOSIÇÕES COMPLEMENTARES '!$D:$L,3,0),IFERROR(VLOOKUP($F933,INSUMOS!$A:$D,3,0),""))))</f>
        <v>M2</v>
      </c>
      <c r="I933" s="313">
        <v>4.2</v>
      </c>
      <c r="J933" s="314">
        <f>IF($F933="","",IFERROR(VLOOKUP($F933,SERVIÇOS!$B:$G,4,0),IFERROR(VLOOKUP($F933,'COMPOSIÇÕES COMPLEMENTARES '!$D:$L,6,0),IFERROR(VLOOKUP($F933,INSUMOS!$A:$D,4,0),""))))</f>
        <v>818.66</v>
      </c>
      <c r="K933" s="314">
        <f>IF($F933="","",IFERROR(VLOOKUP($F933,SERVIÇOS!$B:$G,5,0),IFERROR(VLOOKUP($F933,'COMPOSIÇÕES COMPLEMENTARES '!$D:$L,7,0),0)))</f>
        <v>66.650000000000006</v>
      </c>
      <c r="L933" s="314">
        <f>IF(I933="","",J933+K933)</f>
        <v>885.31</v>
      </c>
      <c r="M933" s="314">
        <f>IF(I933="","",TRUNC((I933*J933),2))</f>
        <v>3438.37</v>
      </c>
      <c r="N933" s="314">
        <f>IF(I933="","",TRUNC((I933*K933),2))</f>
        <v>279.93</v>
      </c>
      <c r="O933" s="314">
        <f>IF(I933="","",TRUNC((M933+N933),2))</f>
        <v>3718.3</v>
      </c>
      <c r="P933" s="314"/>
      <c r="Q933" s="315"/>
      <c r="R933" s="315"/>
      <c r="S933" s="286"/>
      <c r="T933" s="287"/>
      <c r="U933" s="288" t="str">
        <f t="shared" si="475"/>
        <v/>
      </c>
      <c r="V933" s="287"/>
      <c r="W933" s="289" t="str">
        <f t="shared" si="476"/>
        <v/>
      </c>
      <c r="X933" s="287"/>
      <c r="Y933" s="290" t="str">
        <f t="shared" si="477"/>
        <v/>
      </c>
      <c r="Z933" s="291">
        <f ca="1">SUMIF($T$8:Y$1018,"QUANT.",T933:Y933)</f>
        <v>0</v>
      </c>
      <c r="AA933" s="292">
        <f t="shared" ca="1" si="497"/>
        <v>0</v>
      </c>
      <c r="AB933" s="293" t="str">
        <f t="shared" ca="1" si="478"/>
        <v>MEDIR</v>
      </c>
      <c r="AC933" s="294">
        <f t="shared" ca="1" si="479"/>
        <v>4.2</v>
      </c>
      <c r="AD933" s="294">
        <f t="shared" ca="1" si="480"/>
        <v>3718.3</v>
      </c>
      <c r="AE933" s="295"/>
      <c r="AF933" s="295"/>
      <c r="AG933" s="296"/>
      <c r="AH933" s="296"/>
      <c r="AI933" s="296"/>
      <c r="AJ933" s="325"/>
      <c r="AK933" s="326"/>
      <c r="AL933" s="326"/>
      <c r="AM933" s="326"/>
    </row>
    <row r="934" spans="1:39" x14ac:dyDescent="0.25">
      <c r="A934" s="232">
        <f t="shared" si="552"/>
        <v>934</v>
      </c>
      <c r="B934" s="232"/>
      <c r="C934" s="316" t="str">
        <f>+E934</f>
        <v>24.2</v>
      </c>
      <c r="D934" s="297"/>
      <c r="E934" s="317" t="s">
        <v>20476</v>
      </c>
      <c r="F934" s="317"/>
      <c r="G934" s="327" t="s">
        <v>12046</v>
      </c>
      <c r="H934" s="317"/>
      <c r="I934" s="319"/>
      <c r="J934" s="317"/>
      <c r="K934" s="317"/>
      <c r="L934" s="317"/>
      <c r="M934" s="317"/>
      <c r="N934" s="317"/>
      <c r="O934" s="317"/>
      <c r="P934" s="317"/>
      <c r="Q934" s="320"/>
      <c r="R934" s="306"/>
      <c r="S934" s="286"/>
      <c r="T934" s="287"/>
      <c r="U934" s="288" t="str">
        <f t="shared" si="475"/>
        <v/>
      </c>
      <c r="V934" s="287"/>
      <c r="W934" s="289" t="str">
        <f t="shared" si="476"/>
        <v/>
      </c>
      <c r="X934" s="287"/>
      <c r="Y934" s="290" t="str">
        <f t="shared" si="477"/>
        <v/>
      </c>
      <c r="Z934" s="291">
        <f ca="1">SUMIF($T$8:Y$1018,"QUANT.",T934:Y934)</f>
        <v>0</v>
      </c>
      <c r="AA934" s="292">
        <f t="shared" ca="1" si="497"/>
        <v>0</v>
      </c>
      <c r="AB934" s="293" t="str">
        <f t="shared" si="478"/>
        <v/>
      </c>
      <c r="AC934" s="294">
        <f t="shared" ca="1" si="479"/>
        <v>0</v>
      </c>
      <c r="AD934" s="294">
        <f t="shared" ca="1" si="480"/>
        <v>0</v>
      </c>
      <c r="AE934" s="295"/>
      <c r="AF934" s="295"/>
      <c r="AG934" s="296"/>
      <c r="AH934" s="296"/>
      <c r="AI934" s="296"/>
      <c r="AJ934" s="326"/>
      <c r="AK934" s="326"/>
      <c r="AL934" s="326"/>
      <c r="AM934" s="326"/>
    </row>
    <row r="935" spans="1:39" ht="25.5" x14ac:dyDescent="0.25">
      <c r="A935" s="232">
        <f t="shared" si="552"/>
        <v>935</v>
      </c>
      <c r="B935" s="232"/>
      <c r="C935" s="307" t="str">
        <f>+C934</f>
        <v>24.2</v>
      </c>
      <c r="D935" s="308">
        <f>1+D934</f>
        <v>1</v>
      </c>
      <c r="E935" s="309" t="str">
        <f>C935&amp;"."&amp;D935</f>
        <v>24.2.1</v>
      </c>
      <c r="F935" s="310">
        <v>100719</v>
      </c>
      <c r="G935" s="311" t="str">
        <f>IF($F935="","",IFERROR(VLOOKUP($F935,SERVIÇOS!$B:$G,2,0),IFERROR(VLOOKUP($F935,'COMPOSIÇÕES COMPLEMENTARES '!$D:$L,2,0),IFERROR(VLOOKUP($F935,INSUMOS!$A:$D,2,0),""))))</f>
        <v>PINTURA COM TINTA ALQUÍDICA DE FUNDO (TIPO ZARCÃO) PULVERIZADA SOBRE PERFIL METÁLICO EXECUTADO EM FÁBRICA (POR DEMÃO). AF_01/2020_PE</v>
      </c>
      <c r="H935" s="312" t="str">
        <f>IF($F935="","",IFERROR(VLOOKUP($F935,SERVIÇOS!$B:$G,3,0),IFERROR(VLOOKUP($F935,'COMPOSIÇÕES COMPLEMENTARES '!$D:$L,3,0),IFERROR(VLOOKUP($F935,INSUMOS!$A:$D,3,0),""))))</f>
        <v>M2</v>
      </c>
      <c r="I935" s="313">
        <v>34.799999999999997</v>
      </c>
      <c r="J935" s="314">
        <f>IF($F935="","",IFERROR(VLOOKUP($F935,SERVIÇOS!$B:$G,4,0),IFERROR(VLOOKUP($F935,'COMPOSIÇÕES COMPLEMENTARES '!$D:$L,6,0),IFERROR(VLOOKUP($F935,INSUMOS!$A:$D,4,0),""))))</f>
        <v>9.5299999999999994</v>
      </c>
      <c r="K935" s="314">
        <f>IF($F935="","",IFERROR(VLOOKUP($F935,SERVIÇOS!$B:$G,5,0),IFERROR(VLOOKUP($F935,'COMPOSIÇÕES COMPLEMENTARES '!$D:$L,7,0),0)))</f>
        <v>1.73</v>
      </c>
      <c r="L935" s="314">
        <f>IF(I935="","",J935+K935)</f>
        <v>11.26</v>
      </c>
      <c r="M935" s="314">
        <f>IF(I935="","",TRUNC((I935*J935),2))</f>
        <v>331.64</v>
      </c>
      <c r="N935" s="314">
        <f>IF(I935="","",TRUNC((I935*K935),2))</f>
        <v>60.2</v>
      </c>
      <c r="O935" s="314">
        <f>IF(I935="","",TRUNC((M935+N935),2))</f>
        <v>391.84</v>
      </c>
      <c r="P935" s="314"/>
      <c r="Q935" s="315"/>
      <c r="R935" s="315"/>
      <c r="S935" s="286"/>
      <c r="T935" s="287"/>
      <c r="U935" s="288" t="str">
        <f t="shared" si="475"/>
        <v/>
      </c>
      <c r="V935" s="287"/>
      <c r="W935" s="289" t="str">
        <f t="shared" si="476"/>
        <v/>
      </c>
      <c r="X935" s="287"/>
      <c r="Y935" s="290" t="str">
        <f t="shared" si="477"/>
        <v/>
      </c>
      <c r="Z935" s="291">
        <f ca="1">SUMIF($T$8:Y$1018,"QUANT.",T935:Y935)</f>
        <v>0</v>
      </c>
      <c r="AA935" s="292">
        <f t="shared" ca="1" si="497"/>
        <v>0</v>
      </c>
      <c r="AB935" s="293" t="str">
        <f t="shared" ca="1" si="478"/>
        <v>MEDIR</v>
      </c>
      <c r="AC935" s="294">
        <f t="shared" ca="1" si="479"/>
        <v>34.799999999999997</v>
      </c>
      <c r="AD935" s="294">
        <f t="shared" ca="1" si="480"/>
        <v>391.84</v>
      </c>
      <c r="AE935" s="295"/>
      <c r="AF935" s="295"/>
      <c r="AG935" s="296"/>
      <c r="AH935" s="296"/>
      <c r="AI935" s="296"/>
      <c r="AJ935" s="326"/>
      <c r="AK935" s="326"/>
      <c r="AL935" s="326"/>
      <c r="AM935" s="326"/>
    </row>
    <row r="936" spans="1:39" ht="25.5" x14ac:dyDescent="0.25">
      <c r="A936" s="232">
        <f t="shared" si="552"/>
        <v>936</v>
      </c>
      <c r="B936" s="232"/>
      <c r="C936" s="307" t="str">
        <f>+C935</f>
        <v>24.2</v>
      </c>
      <c r="D936" s="308">
        <f>1+D935</f>
        <v>2</v>
      </c>
      <c r="E936" s="309" t="str">
        <f>C936&amp;"."&amp;D936</f>
        <v>24.2.2</v>
      </c>
      <c r="F936" s="310">
        <v>100725</v>
      </c>
      <c r="G936" s="311" t="str">
        <f>IF($F936="","",IFERROR(VLOOKUP($F936,SERVIÇOS!$B:$G,2,0),IFERROR(VLOOKUP($F936,'COMPOSIÇÕES COMPLEMENTARES '!$D:$L,2,0),IFERROR(VLOOKUP($F936,INSUMOS!$A:$D,2,0),""))))</f>
        <v>PINTURA COM TINTA ALQUÍDICA DE FUNDO E ACABAMENTO (ESMALTE SINTÉTICO GRAFITE) PULVERIZADA SOBRE SUPERFÍCIES METÁLICAS (EXCETO PERFIL) EXECUTADO EM OBRA (POR DEMÃO). AF_01/2020_PE</v>
      </c>
      <c r="H936" s="312" t="str">
        <f>IF($F936="","",IFERROR(VLOOKUP($F936,SERVIÇOS!$B:$G,3,0),IFERROR(VLOOKUP($F936,'COMPOSIÇÕES COMPLEMENTARES '!$D:$L,3,0),IFERROR(VLOOKUP($F936,INSUMOS!$A:$D,3,0),""))))</f>
        <v>M2</v>
      </c>
      <c r="I936" s="313">
        <v>34.799999999999997</v>
      </c>
      <c r="J936" s="314">
        <f>IF($F936="","",IFERROR(VLOOKUP($F936,SERVIÇOS!$B:$G,4,0),IFERROR(VLOOKUP($F936,'COMPOSIÇÕES COMPLEMENTARES '!$D:$L,6,0),IFERROR(VLOOKUP($F936,INSUMOS!$A:$D,4,0),""))))</f>
        <v>15.67</v>
      </c>
      <c r="K936" s="314">
        <f>IF($F936="","",IFERROR(VLOOKUP($F936,SERVIÇOS!$B:$G,5,0),IFERROR(VLOOKUP($F936,'COMPOSIÇÕES COMPLEMENTARES '!$D:$L,7,0),0)))</f>
        <v>14.44</v>
      </c>
      <c r="L936" s="314">
        <f>IF(I936="","",J936+K936)</f>
        <v>30.11</v>
      </c>
      <c r="M936" s="314">
        <f>IF(I936="","",TRUNC((I936*J936),2))</f>
        <v>545.30999999999995</v>
      </c>
      <c r="N936" s="314">
        <f>IF(I936="","",TRUNC((I936*K936),2))</f>
        <v>502.51</v>
      </c>
      <c r="O936" s="314">
        <f>IF(I936="","",TRUNC((M936+N936),2))</f>
        <v>1047.82</v>
      </c>
      <c r="P936" s="314"/>
      <c r="Q936" s="315"/>
      <c r="R936" s="315"/>
      <c r="S936" s="286"/>
      <c r="T936" s="287"/>
      <c r="U936" s="288" t="str">
        <f t="shared" si="475"/>
        <v/>
      </c>
      <c r="V936" s="287"/>
      <c r="W936" s="289" t="str">
        <f t="shared" si="476"/>
        <v/>
      </c>
      <c r="X936" s="287"/>
      <c r="Y936" s="290" t="str">
        <f t="shared" si="477"/>
        <v/>
      </c>
      <c r="Z936" s="291">
        <f ca="1">SUMIF($T$8:Y$1018,"QUANT.",T936:Y936)</f>
        <v>0</v>
      </c>
      <c r="AA936" s="292">
        <f t="shared" ca="1" si="497"/>
        <v>0</v>
      </c>
      <c r="AB936" s="293" t="str">
        <f t="shared" ca="1" si="478"/>
        <v>MEDIR</v>
      </c>
      <c r="AC936" s="294">
        <f t="shared" ca="1" si="479"/>
        <v>34.799999999999997</v>
      </c>
      <c r="AD936" s="294">
        <f t="shared" ca="1" si="480"/>
        <v>1047.82</v>
      </c>
      <c r="AE936" s="295"/>
      <c r="AF936" s="295"/>
      <c r="AG936" s="296"/>
      <c r="AH936" s="296"/>
      <c r="AI936" s="296"/>
      <c r="AJ936" s="326"/>
      <c r="AK936" s="325"/>
      <c r="AL936" s="326"/>
      <c r="AM936" s="326"/>
    </row>
    <row r="937" spans="1:39" x14ac:dyDescent="0.25">
      <c r="A937" s="232">
        <f t="shared" si="552"/>
        <v>937</v>
      </c>
      <c r="B937" s="232"/>
      <c r="C937" s="281">
        <f>+E937</f>
        <v>24</v>
      </c>
      <c r="D937" s="297"/>
      <c r="E937" s="298">
        <v>24</v>
      </c>
      <c r="F937" s="322"/>
      <c r="G937" s="299" t="s">
        <v>12533</v>
      </c>
      <c r="H937" s="300"/>
      <c r="I937" s="345"/>
      <c r="J937" s="302"/>
      <c r="K937" s="303"/>
      <c r="L937" s="303"/>
      <c r="M937" s="304">
        <f>SUM(M938)</f>
        <v>174370.05</v>
      </c>
      <c r="N937" s="304">
        <f>SUM(N938)</f>
        <v>0</v>
      </c>
      <c r="O937" s="305"/>
      <c r="P937" s="304">
        <f>SUM(O938)</f>
        <v>174370.05</v>
      </c>
      <c r="Q937" s="306"/>
      <c r="R937" s="306"/>
      <c r="S937" s="286"/>
      <c r="T937" s="287"/>
      <c r="U937" s="288" t="str">
        <f t="shared" ref="U937" si="573">IF(OR(T937="",$O937=""),"",(T937/$I937)*$O937)</f>
        <v/>
      </c>
      <c r="V937" s="287"/>
      <c r="W937" s="289" t="str">
        <f t="shared" ref="W937" si="574">IF(OR(V937="",$O937=""),"",(V937/$I937)*$O937)</f>
        <v/>
      </c>
      <c r="X937" s="287"/>
      <c r="Y937" s="290" t="str">
        <f t="shared" ref="Y937" si="575">IF(OR(X937="",$O937=""),"",(X937/$I937)*$O937)</f>
        <v/>
      </c>
      <c r="Z937" s="291">
        <f ca="1">SUMIF($T$8:Y$1018,"QUANT.",T937:Y937)</f>
        <v>0</v>
      </c>
      <c r="AA937" s="292">
        <f t="shared" ca="1" si="497"/>
        <v>0</v>
      </c>
      <c r="AB937" s="293" t="str">
        <f t="shared" ref="AB937" si="576">IF(F937&lt;&gt;"",IF(AA937=0,"MEDIR",IF(O937-AA937=0,"OK",IF(O937-AA937&gt;0,"MEDIR","ALERTA!"))),"")</f>
        <v/>
      </c>
      <c r="AC937" s="294">
        <f t="shared" ca="1" si="479"/>
        <v>0</v>
      </c>
      <c r="AD937" s="294">
        <f t="shared" ca="1" si="480"/>
        <v>0</v>
      </c>
      <c r="AE937" s="295"/>
      <c r="AF937" s="295"/>
      <c r="AG937" s="296"/>
      <c r="AH937" s="296"/>
      <c r="AI937" s="296"/>
      <c r="AJ937" s="326"/>
      <c r="AK937" s="326"/>
      <c r="AL937" s="326"/>
      <c r="AM937" s="326"/>
    </row>
    <row r="938" spans="1:39" s="342" customFormat="1" ht="51" x14ac:dyDescent="0.25">
      <c r="A938" s="232">
        <f t="shared" si="552"/>
        <v>938</v>
      </c>
      <c r="B938" s="232"/>
      <c r="C938" s="307">
        <f>+C937</f>
        <v>24</v>
      </c>
      <c r="D938" s="308">
        <f>1+D937</f>
        <v>1</v>
      </c>
      <c r="E938" s="309" t="str">
        <f>C938&amp;"."&amp;D938</f>
        <v>24.1</v>
      </c>
      <c r="F938" s="310" t="s">
        <v>12534</v>
      </c>
      <c r="G938" s="311" t="str">
        <f>IF($F938="","",IFERROR(VLOOKUP($F938,SERVIÇOS!$B:$G,2,0),IFERROR(VLOOKUP($F938,'COMPOSIÇÕES COMPLEMENTARES '!$D:$L,2,0),IFERROR(VLOOKUP($F938,INSUMOS!$A:$D,2,0),""))))</f>
        <v>GRUPO MOTOR GERADOR A DIESEL EM CONTAINER SSL COM POTÊNCIA NOMINAL DE: 145KW (181KVA) EM REGIME "STANDY-BY" , FREQUÊNCIA 60HZ (1800RPM), TENSÃO DE TRABALHO DE 220/127 VOLTS. INCLUSO PAINEL DE TRANSFERÊNCIA E CARENAGEM 85DB .(VIDE ESPECIFICAÇÃO NO MEMORIAL DESCRITIVO) - REF: C145 D6 MOTORMAC OU SIMILAR</v>
      </c>
      <c r="H938" s="312" t="str">
        <f>IF($F938="","",IFERROR(VLOOKUP($F938,SERVIÇOS!$B:$G,3,0),IFERROR(VLOOKUP($F938,'COMPOSIÇÕES COMPLEMENTARES '!$D:$L,3,0),IFERROR(VLOOKUP($F938,INSUMOS!$A:$D,3,0),""))))</f>
        <v>UN</v>
      </c>
      <c r="I938" s="313">
        <v>1</v>
      </c>
      <c r="J938" s="314">
        <f>IF($F938="","",IFERROR(VLOOKUP($F938,SERVIÇOS!$B:$G,4,0),IFERROR(VLOOKUP($F938,'COMPOSIÇÕES COMPLEMENTARES '!$D:$L,6,0),IFERROR(VLOOKUP($F938,INSUMOS!$A:$D,4,0),""))))</f>
        <v>174370.05</v>
      </c>
      <c r="K938" s="314">
        <f>IF($F938="","",IFERROR(VLOOKUP($F938,SERVIÇOS!$B:$G,5,0),IFERROR(VLOOKUP($F938,'COMPOSIÇÕES COMPLEMENTARES '!$D:$L,7,0),0)))</f>
        <v>0</v>
      </c>
      <c r="L938" s="314">
        <f>IF(I938="","",J938+K938)</f>
        <v>174370.05</v>
      </c>
      <c r="M938" s="314">
        <f>IF(I938="","",TRUNC((I938*J938),2))</f>
        <v>174370.05</v>
      </c>
      <c r="N938" s="314">
        <f>IF(I938="","",TRUNC((I938*K938),2))</f>
        <v>0</v>
      </c>
      <c r="O938" s="314">
        <f>IF(I938="","",TRUNC((M938+N938),2))</f>
        <v>174370.05</v>
      </c>
      <c r="P938" s="314"/>
      <c r="Q938" s="315"/>
      <c r="R938" s="330"/>
      <c r="S938" s="286"/>
      <c r="T938" s="331"/>
      <c r="U938" s="332"/>
      <c r="V938" s="331"/>
      <c r="W938" s="333"/>
      <c r="X938" s="331"/>
      <c r="Y938" s="334"/>
      <c r="Z938" s="335"/>
      <c r="AA938" s="336"/>
      <c r="AB938" s="337"/>
      <c r="AC938" s="338"/>
      <c r="AD938" s="338"/>
      <c r="AE938" s="339"/>
      <c r="AF938" s="339"/>
      <c r="AG938" s="340"/>
      <c r="AH938" s="340"/>
      <c r="AI938" s="340"/>
      <c r="AJ938" s="341"/>
      <c r="AK938" s="341"/>
      <c r="AL938" s="341"/>
      <c r="AM938" s="341"/>
    </row>
    <row r="939" spans="1:39" s="342" customFormat="1" x14ac:dyDescent="0.25">
      <c r="A939" s="232">
        <f t="shared" si="552"/>
        <v>939</v>
      </c>
      <c r="B939" s="232"/>
      <c r="C939" s="281">
        <f>+E939</f>
        <v>25</v>
      </c>
      <c r="D939" s="297"/>
      <c r="E939" s="298">
        <v>25</v>
      </c>
      <c r="F939" s="322"/>
      <c r="G939" s="299" t="s">
        <v>12535</v>
      </c>
      <c r="H939" s="300"/>
      <c r="I939" s="345"/>
      <c r="J939" s="302"/>
      <c r="K939" s="303"/>
      <c r="L939" s="303"/>
      <c r="M939" s="304">
        <f>SUM(M940:M944)</f>
        <v>41801.590000000004</v>
      </c>
      <c r="N939" s="304">
        <f>SUM(N940:N944)</f>
        <v>8260.98</v>
      </c>
      <c r="O939" s="305"/>
      <c r="P939" s="304">
        <f>SUM(O940:O944)</f>
        <v>50062.57</v>
      </c>
      <c r="Q939" s="350"/>
      <c r="R939" s="306"/>
      <c r="S939" s="286"/>
      <c r="T939" s="331"/>
      <c r="U939" s="332" t="str">
        <f>IF(OR(T939="",$O939=""),"",(T939/$I939)*$O939)</f>
        <v/>
      </c>
      <c r="V939" s="331"/>
      <c r="W939" s="333" t="str">
        <f>IF(OR(V939="",$O939=""),"",(V939/$I939)*$O939)</f>
        <v/>
      </c>
      <c r="X939" s="331"/>
      <c r="Y939" s="334" t="str">
        <f>IF(OR(X939="",$O939=""),"",(X939/$I939)*$O939)</f>
        <v/>
      </c>
      <c r="Z939" s="335">
        <f ca="1">SUMIF($T$8:Y$1018,"QUANT.",T939:Y939)</f>
        <v>0</v>
      </c>
      <c r="AA939" s="336">
        <f ca="1">SUMIF($T$8:$Y$1018,"CUSTO",T939:Y939)</f>
        <v>0</v>
      </c>
      <c r="AB939" s="337" t="str">
        <f>IF(F939&lt;&gt;"",IF(AA939=0,"MEDIR",IF(O939-AA939=0,"OK",IF(O939-AA939&gt;0,"MEDIR","ALERTA!"))),"")</f>
        <v/>
      </c>
      <c r="AC939" s="338">
        <f ca="1">IF(Z939="",0,I939-Z939)</f>
        <v>0</v>
      </c>
      <c r="AD939" s="338">
        <f ca="1">IF(AA939="",0,O939-AA939)</f>
        <v>0</v>
      </c>
      <c r="AE939" s="339"/>
      <c r="AF939" s="339"/>
      <c r="AG939" s="340"/>
      <c r="AH939" s="340"/>
      <c r="AI939" s="340"/>
      <c r="AJ939" s="341"/>
      <c r="AK939" s="341"/>
      <c r="AL939" s="341"/>
      <c r="AM939" s="341"/>
    </row>
    <row r="940" spans="1:39" s="342" customFormat="1" x14ac:dyDescent="0.25">
      <c r="A940" s="232">
        <f t="shared" si="552"/>
        <v>940</v>
      </c>
      <c r="B940" s="232"/>
      <c r="C940" s="307">
        <f>+C939</f>
        <v>25</v>
      </c>
      <c r="D940" s="308">
        <f>1+D939</f>
        <v>1</v>
      </c>
      <c r="E940" s="309" t="str">
        <f>C940&amp;"."&amp;D940</f>
        <v>25.1</v>
      </c>
      <c r="F940" s="310" t="s">
        <v>12536</v>
      </c>
      <c r="G940" s="311" t="str">
        <f>IF($F940="","",IFERROR(VLOOKUP($F940,SERVIÇOS!$B:$G,2,0),IFERROR(VLOOKUP($F940,'COMPOSIÇÕES COMPLEMENTARES '!$D:$L,2,0),IFERROR(VLOOKUP($F940,INSUMOS!$A:$D,2,0),""))))</f>
        <v>SWITCH 24 PORTAS 10/100/1000, MARCA HP , REF. J9561 BR</v>
      </c>
      <c r="H940" s="312" t="str">
        <f>IF($F940="","",IFERROR(VLOOKUP($F940,SERVIÇOS!$B:$G,3,0),IFERROR(VLOOKUP($F940,'COMPOSIÇÕES COMPLEMENTARES '!$D:$L,3,0),IFERROR(VLOOKUP($F940,INSUMOS!$A:$D,3,0),""))))</f>
        <v>UN</v>
      </c>
      <c r="I940" s="313">
        <v>2</v>
      </c>
      <c r="J940" s="314">
        <f>IF($F940="","",IFERROR(VLOOKUP($F940,SERVIÇOS!$B:$G,4,0),IFERROR(VLOOKUP($F940,'COMPOSIÇÕES COMPLEMENTARES '!$D:$L,6,0),IFERROR(VLOOKUP($F940,INSUMOS!$A:$D,4,0),""))))</f>
        <v>2333.0499999999997</v>
      </c>
      <c r="K940" s="314">
        <f>IF($F940="","",IFERROR(VLOOKUP($F940,SERVIÇOS!$B:$G,5,0),IFERROR(VLOOKUP($F940,'COMPOSIÇÕES COMPLEMENTARES '!$D:$L,7,0),0)))</f>
        <v>112.24</v>
      </c>
      <c r="L940" s="314">
        <f>IF(I940="","",J940+K940)</f>
        <v>2445.2899999999995</v>
      </c>
      <c r="M940" s="314">
        <f>IF(I940="","",TRUNC((I940*J940),2))</f>
        <v>4666.1000000000004</v>
      </c>
      <c r="N940" s="314">
        <f>IF(I940="","",TRUNC((I940*K940),2))</f>
        <v>224.48</v>
      </c>
      <c r="O940" s="314">
        <f>IF(I940="","",TRUNC((M940+N940),2))</f>
        <v>4890.58</v>
      </c>
      <c r="P940" s="314"/>
      <c r="Q940" s="315"/>
      <c r="R940" s="330"/>
      <c r="S940" s="286"/>
      <c r="T940" s="331"/>
      <c r="U940" s="332"/>
      <c r="V940" s="331"/>
      <c r="W940" s="333"/>
      <c r="X940" s="331"/>
      <c r="Y940" s="334"/>
      <c r="Z940" s="335"/>
      <c r="AA940" s="336"/>
      <c r="AB940" s="337"/>
      <c r="AC940" s="338"/>
      <c r="AD940" s="338"/>
      <c r="AE940" s="339"/>
      <c r="AF940" s="339"/>
      <c r="AG940" s="340"/>
      <c r="AH940" s="340"/>
      <c r="AI940" s="340"/>
      <c r="AJ940" s="341"/>
      <c r="AK940" s="341"/>
      <c r="AL940" s="341"/>
      <c r="AM940" s="341"/>
    </row>
    <row r="941" spans="1:39" s="342" customFormat="1" ht="63.75" x14ac:dyDescent="0.25">
      <c r="A941" s="232">
        <f t="shared" si="552"/>
        <v>941</v>
      </c>
      <c r="B941" s="232"/>
      <c r="C941" s="307">
        <f>+C940</f>
        <v>25</v>
      </c>
      <c r="D941" s="308">
        <f>1+D940</f>
        <v>2</v>
      </c>
      <c r="E941" s="309" t="str">
        <f>C941&amp;"."&amp;D941</f>
        <v>25.2</v>
      </c>
      <c r="F941" s="310" t="s">
        <v>12537</v>
      </c>
      <c r="G941" s="311" t="str">
        <f>IF($F941="","",IFERROR(VLOOKUP($F941,SERVIÇOS!$B:$G,2,0),IFERROR(VLOOKUP($F941,'COMPOSIÇÕES COMPLEMENTARES '!$D:$L,2,0),IFERROR(VLOOKUP($F941,INSUMOS!$A:$D,2,0),""))))</f>
        <v>SWITCH 24 ETHERNET 10/100/1000 POE+ PORTS; 4 10 GIG SFP+; POE+; DOUBLE HOT SWAPPABLE AC/DC POWER SUPPLIES, ONE 500W AC OR 650W DC POWER MODULE IS CONFIGURED BY DEFAULT; FORWARDING PERFORMANCE: 132 MPPS; SWITCHING CAPACITY: 336GBPS. O SWITCH DEVE POSSUIR COMPATIBILIDADE COM AS TECNOLOGIAS: MÚLTIPLAS VLAN´S, GERENCIAMENTO VIA INTERFACE WEB E PORTA CONSOLE, QOS. MODELO: S5720-52X-PWR-SI-AC.</v>
      </c>
      <c r="H941" s="312" t="str">
        <f>IF($F941="","",IFERROR(VLOOKUP($F941,SERVIÇOS!$B:$G,3,0),IFERROR(VLOOKUP($F941,'COMPOSIÇÕES COMPLEMENTARES '!$D:$L,3,0),IFERROR(VLOOKUP($F941,INSUMOS!$A:$D,3,0),""))))</f>
        <v>UN</v>
      </c>
      <c r="I941" s="313">
        <v>2</v>
      </c>
      <c r="J941" s="314">
        <f>IF($F941="","",IFERROR(VLOOKUP($F941,SERVIÇOS!$B:$G,4,0),IFERROR(VLOOKUP($F941,'COMPOSIÇÕES COMPLEMENTARES '!$D:$L,6,0),IFERROR(VLOOKUP($F941,INSUMOS!$A:$D,4,0),""))))</f>
        <v>3313.69</v>
      </c>
      <c r="K941" s="314">
        <f>IF($F941="","",IFERROR(VLOOKUP($F941,SERVIÇOS!$B:$G,5,0),IFERROR(VLOOKUP($F941,'COMPOSIÇÕES COMPLEMENTARES '!$D:$L,7,0),0)))</f>
        <v>14.850000000000001</v>
      </c>
      <c r="L941" s="314">
        <f>IF(I941="","",J941+K941)</f>
        <v>3328.54</v>
      </c>
      <c r="M941" s="314">
        <f>IF(I941="","",TRUNC((I941*J941),2))</f>
        <v>6627.38</v>
      </c>
      <c r="N941" s="314">
        <f>IF(I941="","",TRUNC((I941*K941),2))</f>
        <v>29.7</v>
      </c>
      <c r="O941" s="314">
        <f>IF(I941="","",TRUNC((M941+N941),2))</f>
        <v>6657.08</v>
      </c>
      <c r="P941" s="314"/>
      <c r="Q941" s="315"/>
      <c r="R941" s="330"/>
      <c r="S941" s="286"/>
      <c r="T941" s="331"/>
      <c r="U941" s="332"/>
      <c r="V941" s="331"/>
      <c r="W941" s="333"/>
      <c r="X941" s="331"/>
      <c r="Y941" s="334"/>
      <c r="Z941" s="335"/>
      <c r="AA941" s="336"/>
      <c r="AB941" s="337"/>
      <c r="AC941" s="338"/>
      <c r="AD941" s="338"/>
      <c r="AE941" s="339"/>
      <c r="AF941" s="339"/>
      <c r="AG941" s="340"/>
      <c r="AH941" s="340"/>
      <c r="AI941" s="340"/>
      <c r="AJ941" s="341"/>
      <c r="AK941" s="341"/>
      <c r="AL941" s="341"/>
      <c r="AM941" s="341"/>
    </row>
    <row r="942" spans="1:39" s="342" customFormat="1" ht="25.5" x14ac:dyDescent="0.25">
      <c r="A942" s="232">
        <f t="shared" si="552"/>
        <v>942</v>
      </c>
      <c r="B942" s="232"/>
      <c r="C942" s="307">
        <f>+C941</f>
        <v>25</v>
      </c>
      <c r="D942" s="308">
        <f>1+D941</f>
        <v>3</v>
      </c>
      <c r="E942" s="309" t="str">
        <f>C942&amp;"."&amp;D942</f>
        <v>25.3</v>
      </c>
      <c r="F942" s="310" t="s">
        <v>12538</v>
      </c>
      <c r="G942" s="311" t="str">
        <f>IF($F942="","",IFERROR(VLOOKUP($F942,SERVIÇOS!$B:$G,2,0),IFERROR(VLOOKUP($F942,'COMPOSIÇÕES COMPLEMENTARES '!$D:$L,2,0),IFERROR(VLOOKUP($F942,INSUMOS!$A:$D,2,0),""))))</f>
        <v>GRAVADOR DIGITAL DE VÍDEO - SISTEMAS DE MONITORAMENTO, NVD 3016 COM 2 HD 6TB PARA 16 CÂMERAS</v>
      </c>
      <c r="H942" s="312" t="str">
        <f>IF($F942="","",IFERROR(VLOOKUP($F942,SERVIÇOS!$B:$G,3,0),IFERROR(VLOOKUP($F942,'COMPOSIÇÕES COMPLEMENTARES '!$D:$L,3,0),IFERROR(VLOOKUP($F942,INSUMOS!$A:$D,3,0),""))))</f>
        <v>UN</v>
      </c>
      <c r="I942" s="313">
        <v>2</v>
      </c>
      <c r="J942" s="314">
        <f>IF($F942="","",IFERROR(VLOOKUP($F942,SERVIÇOS!$B:$G,4,0),IFERROR(VLOOKUP($F942,'COMPOSIÇÕES COMPLEMENTARES '!$D:$L,6,0),IFERROR(VLOOKUP($F942,INSUMOS!$A:$D,4,0),""))))</f>
        <v>682.94</v>
      </c>
      <c r="K942" s="314">
        <f>IF($F942="","",IFERROR(VLOOKUP($F942,SERVIÇOS!$B:$G,5,0),IFERROR(VLOOKUP($F942,'COMPOSIÇÕES COMPLEMENTARES '!$D:$L,7,0),0)))</f>
        <v>140.32</v>
      </c>
      <c r="L942" s="314">
        <f>IF(I942="","",J942+K942)</f>
        <v>823.26</v>
      </c>
      <c r="M942" s="314">
        <f>IF(I942="","",TRUNC((I942*J942),2))</f>
        <v>1365.88</v>
      </c>
      <c r="N942" s="314">
        <f>IF(I942="","",TRUNC((I942*K942),2))</f>
        <v>280.64</v>
      </c>
      <c r="O942" s="314">
        <f>IF(I942="","",TRUNC((M942+N942),2))</f>
        <v>1646.52</v>
      </c>
      <c r="P942" s="314"/>
      <c r="Q942" s="315"/>
      <c r="R942" s="330"/>
      <c r="S942" s="286"/>
      <c r="T942" s="331"/>
      <c r="U942" s="332"/>
      <c r="V942" s="331"/>
      <c r="W942" s="333"/>
      <c r="X942" s="331"/>
      <c r="Y942" s="334"/>
      <c r="Z942" s="335"/>
      <c r="AA942" s="336"/>
      <c r="AB942" s="337"/>
      <c r="AC942" s="338"/>
      <c r="AD942" s="338"/>
      <c r="AE942" s="339"/>
      <c r="AF942" s="339"/>
      <c r="AG942" s="340"/>
      <c r="AH942" s="340"/>
      <c r="AI942" s="340"/>
      <c r="AJ942" s="341"/>
      <c r="AK942" s="341"/>
      <c r="AL942" s="341"/>
      <c r="AM942" s="341"/>
    </row>
    <row r="943" spans="1:39" s="342" customFormat="1" ht="63.75" x14ac:dyDescent="0.25">
      <c r="A943" s="232">
        <f t="shared" si="552"/>
        <v>943</v>
      </c>
      <c r="B943" s="232"/>
      <c r="C943" s="307">
        <f>+C942</f>
        <v>25</v>
      </c>
      <c r="D943" s="308">
        <f>1+D942</f>
        <v>4</v>
      </c>
      <c r="E943" s="309" t="str">
        <f>C943&amp;"."&amp;D943</f>
        <v>25.4</v>
      </c>
      <c r="F943" s="310" t="s">
        <v>12539</v>
      </c>
      <c r="G943" s="311" t="str">
        <f>IF($F943="","",IFERROR(VLOOKUP($F943,SERVIÇOS!$B:$G,2,0),IFERROR(VLOOKUP($F943,'COMPOSIÇÕES COMPLEMENTARES '!$D:$L,2,0),IFERROR(VLOOKUP($F943,INSUMOS!$A:$D,2,0),""))))</f>
        <v>CÂMERA DE SEGURANÇA DIGITAL IP - VIP S3020, COM ALIMENTAÇÃO POE, VIDE MEMORIAL DESCRITIVO COM CAIXA DE PROTEÇÃO PARA USO INTERNA A , A SEGURANÇA É EM ALTA DEFINIÇÃO, COM RESOLUÇÃO DE 720P (HD) E TECNOLOGIA DE VARREDURA PROGRESSIVA QUE OFERECE MAIS NITIDEZ E DETALHES PARA AS IMAGENS. CÂMERA BULLET COM IR INTELIGENTE DE 20 METROS, QUE GARANTE IMAGENS MAIS NÍTIDAS E ILUMINAÇÃO UNIFORME NO MODO NOITE.</v>
      </c>
      <c r="H943" s="312" t="str">
        <f>IF($F943="","",IFERROR(VLOOKUP($F943,SERVIÇOS!$B:$G,3,0),IFERROR(VLOOKUP($F943,'COMPOSIÇÕES COMPLEMENTARES '!$D:$L,3,0),IFERROR(VLOOKUP($F943,INSUMOS!$A:$D,3,0),""))))</f>
        <v>UN</v>
      </c>
      <c r="I943" s="313">
        <v>24</v>
      </c>
      <c r="J943" s="314">
        <f>IF($F943="","",IFERROR(VLOOKUP($F943,SERVIÇOS!$B:$G,4,0),IFERROR(VLOOKUP($F943,'COMPOSIÇÕES COMPLEMENTARES '!$D:$L,6,0),IFERROR(VLOOKUP($F943,INSUMOS!$A:$D,4,0),""))))</f>
        <v>974.32</v>
      </c>
      <c r="K943" s="314">
        <f>IF($F943="","",IFERROR(VLOOKUP($F943,SERVIÇOS!$B:$G,5,0),IFERROR(VLOOKUP($F943,'COMPOSIÇÕES COMPLEMENTARES '!$D:$L,7,0),0)))</f>
        <v>280.64</v>
      </c>
      <c r="L943" s="314">
        <f>IF(I943="","",J943+K943)</f>
        <v>1254.96</v>
      </c>
      <c r="M943" s="314">
        <f>IF(I943="","",TRUNC((I943*J943),2))</f>
        <v>23383.68</v>
      </c>
      <c r="N943" s="314">
        <f>IF(I943="","",TRUNC((I943*K943),2))</f>
        <v>6735.36</v>
      </c>
      <c r="O943" s="314">
        <f>IF(I943="","",TRUNC((M943+N943),2))</f>
        <v>30119.040000000001</v>
      </c>
      <c r="P943" s="314"/>
      <c r="Q943" s="315"/>
      <c r="R943" s="330"/>
      <c r="S943" s="286"/>
      <c r="T943" s="331"/>
      <c r="U943" s="332"/>
      <c r="V943" s="331"/>
      <c r="W943" s="333"/>
      <c r="X943" s="331"/>
      <c r="Y943" s="334"/>
      <c r="Z943" s="335"/>
      <c r="AA943" s="336"/>
      <c r="AB943" s="337"/>
      <c r="AC943" s="338"/>
      <c r="AD943" s="338"/>
      <c r="AE943" s="339"/>
      <c r="AF943" s="339"/>
      <c r="AG943" s="340"/>
      <c r="AH943" s="340"/>
      <c r="AI943" s="340"/>
      <c r="AJ943" s="341"/>
      <c r="AK943" s="341"/>
      <c r="AL943" s="341"/>
      <c r="AM943" s="341"/>
    </row>
    <row r="944" spans="1:39" s="342" customFormat="1" ht="51" x14ac:dyDescent="0.25">
      <c r="A944" s="232">
        <f t="shared" si="552"/>
        <v>944</v>
      </c>
      <c r="B944" s="232"/>
      <c r="C944" s="307">
        <f>+C943</f>
        <v>25</v>
      </c>
      <c r="D944" s="308">
        <f>1+D943</f>
        <v>5</v>
      </c>
      <c r="E944" s="309" t="str">
        <f>C944&amp;"."&amp;D944</f>
        <v>25.5</v>
      </c>
      <c r="F944" s="310" t="s">
        <v>12540</v>
      </c>
      <c r="G944" s="311" t="str">
        <f>IF($F944="","",IFERROR(VLOOKUP($F944,SERVIÇOS!$B:$G,2,0),IFERROR(VLOOKUP($F944,'COMPOSIÇÕES COMPLEMENTARES '!$D:$L,2,0),IFERROR(VLOOKUP($F944,INSUMOS!$A:$D,2,0),""))))</f>
        <v>ACCESS POINT - PADRÃO IEEE 802.11A/B/G/N/AC, COM OPERAÇÃO NAS FREQUÊNCIAS 2.4 GHZ E 5GHZ DE FORMA SIMULTÂNEA. DEVE SUPORTAR A UTILIZAÇÃO DE SISTEMA ANTIFURTO DO TIPO KENSINGTON LOCK OU SIMILAR QUE PERMITA A INSTALAÇÃO DE UM CABO DE SEGURANÇA COM A FINALIDADE DE EVITAR FURTO DO EQUIPAMENTO</v>
      </c>
      <c r="H944" s="312" t="str">
        <f>IF($F944="","",IFERROR(VLOOKUP($F944,SERVIÇOS!$B:$G,3,0),IFERROR(VLOOKUP($F944,'COMPOSIÇÕES COMPLEMENTARES '!$D:$L,3,0),IFERROR(VLOOKUP($F944,INSUMOS!$A:$D,3,0),""))))</f>
        <v>UN</v>
      </c>
      <c r="I944" s="313">
        <v>5</v>
      </c>
      <c r="J944" s="314">
        <f>IF($F944="","",IFERROR(VLOOKUP($F944,SERVIÇOS!$B:$G,4,0),IFERROR(VLOOKUP($F944,'COMPOSIÇÕES COMPLEMENTARES '!$D:$L,6,0),IFERROR(VLOOKUP($F944,INSUMOS!$A:$D,4,0),""))))</f>
        <v>1151.71</v>
      </c>
      <c r="K944" s="314">
        <f>IF($F944="","",IFERROR(VLOOKUP($F944,SERVIÇOS!$B:$G,5,0),IFERROR(VLOOKUP($F944,'COMPOSIÇÕES COMPLEMENTARES '!$D:$L,7,0),0)))</f>
        <v>198.16</v>
      </c>
      <c r="L944" s="314">
        <f>IF(I944="","",J944+K944)</f>
        <v>1349.8700000000001</v>
      </c>
      <c r="M944" s="314">
        <f>IF(I944="","",TRUNC((I944*J944),2))</f>
        <v>5758.55</v>
      </c>
      <c r="N944" s="314">
        <f>IF(I944="","",TRUNC((I944*K944),2))</f>
        <v>990.8</v>
      </c>
      <c r="O944" s="314">
        <f>IF(I944="","",TRUNC((M944+N944),2))</f>
        <v>6749.35</v>
      </c>
      <c r="P944" s="314"/>
      <c r="Q944" s="315"/>
      <c r="R944" s="330"/>
      <c r="S944" s="286"/>
      <c r="T944" s="331"/>
      <c r="U944" s="332"/>
      <c r="V944" s="331"/>
      <c r="W944" s="333"/>
      <c r="X944" s="331"/>
      <c r="Y944" s="334"/>
      <c r="Z944" s="335"/>
      <c r="AA944" s="336"/>
      <c r="AB944" s="337"/>
      <c r="AC944" s="338"/>
      <c r="AD944" s="338"/>
      <c r="AE944" s="339"/>
      <c r="AF944" s="339"/>
      <c r="AG944" s="340"/>
      <c r="AH944" s="340"/>
      <c r="AI944" s="340"/>
      <c r="AJ944" s="341"/>
      <c r="AK944" s="341"/>
      <c r="AL944" s="341"/>
      <c r="AM944" s="341"/>
    </row>
    <row r="945" spans="1:39" s="342" customFormat="1" x14ac:dyDescent="0.25">
      <c r="A945" s="232">
        <f t="shared" si="552"/>
        <v>945</v>
      </c>
      <c r="B945" s="232"/>
      <c r="C945" s="281">
        <f>+E945</f>
        <v>26</v>
      </c>
      <c r="D945" s="297"/>
      <c r="E945" s="298">
        <v>26</v>
      </c>
      <c r="F945" s="322"/>
      <c r="G945" s="299" t="s">
        <v>12541</v>
      </c>
      <c r="H945" s="300"/>
      <c r="I945" s="345"/>
      <c r="J945" s="302"/>
      <c r="K945" s="303"/>
      <c r="L945" s="303"/>
      <c r="M945" s="304">
        <f>SUM(M946:M950)</f>
        <v>5029.54</v>
      </c>
      <c r="N945" s="304">
        <f>SUM(N946:N950)</f>
        <v>736.15</v>
      </c>
      <c r="O945" s="305"/>
      <c r="P945" s="304">
        <f>SUM(O946:O950)</f>
        <v>5765.69</v>
      </c>
      <c r="Q945" s="350"/>
      <c r="R945" s="306"/>
      <c r="S945" s="286"/>
      <c r="T945" s="331"/>
      <c r="U945" s="332" t="str">
        <f>IF(OR(T945="",$O945=""),"",(T945/$I945)*$O945)</f>
        <v/>
      </c>
      <c r="V945" s="331"/>
      <c r="W945" s="333" t="str">
        <f>IF(OR(V945="",$O945=""),"",(V945/$I945)*$O945)</f>
        <v/>
      </c>
      <c r="X945" s="331"/>
      <c r="Y945" s="334" t="str">
        <f>IF(OR(X945="",$O945=""),"",(X945/$I945)*$O945)</f>
        <v/>
      </c>
      <c r="Z945" s="335">
        <f ca="1">SUMIF($T$8:Y$1018,"QUANT.",T945:Y945)</f>
        <v>0</v>
      </c>
      <c r="AA945" s="336">
        <f ca="1">SUMIF($T$8:$Y$1018,"CUSTO",T945:Y945)</f>
        <v>0</v>
      </c>
      <c r="AB945" s="337" t="str">
        <f>IF(F945&lt;&gt;"",IF(AA945=0,"MEDIR",IF(O945-AA945=0,"OK",IF(O945-AA945&gt;0,"MEDIR","ALERTA!"))),"")</f>
        <v/>
      </c>
      <c r="AC945" s="338">
        <f ca="1">IF(Z945="",0,I945-Z945)</f>
        <v>0</v>
      </c>
      <c r="AD945" s="338">
        <f ca="1">IF(AA945="",0,O945-AA945)</f>
        <v>0</v>
      </c>
      <c r="AE945" s="339"/>
      <c r="AF945" s="339"/>
      <c r="AG945" s="340"/>
      <c r="AH945" s="340"/>
      <c r="AI945" s="340"/>
      <c r="AJ945" s="341"/>
      <c r="AK945" s="341"/>
      <c r="AL945" s="341"/>
      <c r="AM945" s="341"/>
    </row>
    <row r="946" spans="1:39" s="342" customFormat="1" ht="25.5" x14ac:dyDescent="0.25">
      <c r="A946" s="232">
        <f t="shared" si="552"/>
        <v>946</v>
      </c>
      <c r="B946" s="232"/>
      <c r="C946" s="307">
        <f>+C945</f>
        <v>26</v>
      </c>
      <c r="D946" s="308">
        <f>1+D945</f>
        <v>1</v>
      </c>
      <c r="E946" s="309" t="str">
        <f>C946&amp;"."&amp;D946</f>
        <v>26.1</v>
      </c>
      <c r="F946" s="310" t="s">
        <v>12542</v>
      </c>
      <c r="G946" s="311" t="str">
        <f>IF($F946="","",IFERROR(VLOOKUP($F946,SERVIÇOS!$B:$G,2,0),IFERROR(VLOOKUP($F946,'COMPOSIÇÕES COMPLEMENTARES '!$D:$L,2,0),IFERROR(VLOOKUP($F946,INSUMOS!$A:$D,2,0),""))))</f>
        <v>CENTRAL DE CHAMADA DE ENFERMAGEM MODELO ECONÔMICO ESSENCIAL, PARA ATÉ 16 PONTOS DE ACIONAMENTO.</v>
      </c>
      <c r="H946" s="312" t="str">
        <f>IF($F946="","",IFERROR(VLOOKUP($F946,SERVIÇOS!$B:$G,3,0),IFERROR(VLOOKUP($F946,'COMPOSIÇÕES COMPLEMENTARES '!$D:$L,3,0),IFERROR(VLOOKUP($F946,INSUMOS!$A:$D,3,0),""))))</f>
        <v>UN</v>
      </c>
      <c r="I946" s="313">
        <v>1</v>
      </c>
      <c r="J946" s="314">
        <f>IF($F946="","",IFERROR(VLOOKUP($F946,SERVIÇOS!$B:$G,4,0),IFERROR(VLOOKUP($F946,'COMPOSIÇÕES COMPLEMENTARES '!$D:$L,6,0),IFERROR(VLOOKUP($F946,INSUMOS!$A:$D,4,0),""))))</f>
        <v>1120.5600000000002</v>
      </c>
      <c r="K946" s="314">
        <f>IF($F946="","",IFERROR(VLOOKUP($F946,SERVIÇOS!$B:$G,5,0),IFERROR(VLOOKUP($F946,'COMPOSIÇÕES COMPLEMENTARES '!$D:$L,7,0),0)))</f>
        <v>9.64</v>
      </c>
      <c r="L946" s="314">
        <f>IF(I946="","",J946+K946)</f>
        <v>1130.2000000000003</v>
      </c>
      <c r="M946" s="314">
        <f>IF(I946="","",TRUNC((I946*J946),2))</f>
        <v>1120.56</v>
      </c>
      <c r="N946" s="314">
        <f>IF(I946="","",TRUNC((I946*K946),2))</f>
        <v>9.64</v>
      </c>
      <c r="O946" s="314">
        <f>IF(I946="","",TRUNC((M946+N946),2))</f>
        <v>1130.2</v>
      </c>
      <c r="P946" s="314"/>
      <c r="Q946" s="315"/>
      <c r="R946" s="330"/>
      <c r="S946" s="286"/>
      <c r="T946" s="331"/>
      <c r="U946" s="332"/>
      <c r="V946" s="331"/>
      <c r="W946" s="333"/>
      <c r="X946" s="331"/>
      <c r="Y946" s="334"/>
      <c r="Z946" s="335"/>
      <c r="AA946" s="336"/>
      <c r="AB946" s="337"/>
      <c r="AC946" s="338"/>
      <c r="AD946" s="338"/>
      <c r="AE946" s="339"/>
      <c r="AF946" s="339"/>
      <c r="AG946" s="340"/>
      <c r="AH946" s="340"/>
      <c r="AI946" s="340"/>
      <c r="AJ946" s="341"/>
      <c r="AK946" s="341"/>
      <c r="AL946" s="341"/>
      <c r="AM946" s="341"/>
    </row>
    <row r="947" spans="1:39" s="342" customFormat="1" x14ac:dyDescent="0.25">
      <c r="A947" s="232">
        <f t="shared" si="552"/>
        <v>947</v>
      </c>
      <c r="B947" s="232"/>
      <c r="C947" s="307">
        <f>+C946</f>
        <v>26</v>
      </c>
      <c r="D947" s="308">
        <f>1+D946</f>
        <v>2</v>
      </c>
      <c r="E947" s="309" t="str">
        <f>C947&amp;"."&amp;D947</f>
        <v>26.2</v>
      </c>
      <c r="F947" s="310" t="s">
        <v>12543</v>
      </c>
      <c r="G947" s="311" t="str">
        <f>IF($F947="","",IFERROR(VLOOKUP($F947,SERVIÇOS!$B:$G,2,0),IFERROR(VLOOKUP($F947,'COMPOSIÇÕES COMPLEMENTARES '!$D:$L,2,0),IFERROR(VLOOKUP($F947,INSUMOS!$A:$D,2,0),""))))</f>
        <v>FONTE DE ENERGIA 12VCC / 220V</v>
      </c>
      <c r="H947" s="312" t="str">
        <f>IF($F947="","",IFERROR(VLOOKUP($F947,SERVIÇOS!$B:$G,3,0),IFERROR(VLOOKUP($F947,'COMPOSIÇÕES COMPLEMENTARES '!$D:$L,3,0),IFERROR(VLOOKUP($F947,INSUMOS!$A:$D,3,0),""))))</f>
        <v>UN</v>
      </c>
      <c r="I947" s="313">
        <v>1</v>
      </c>
      <c r="J947" s="314">
        <f>IF($F947="","",IFERROR(VLOOKUP($F947,SERVIÇOS!$B:$G,4,0),IFERROR(VLOOKUP($F947,'COMPOSIÇÕES COMPLEMENTARES '!$D:$L,6,0),IFERROR(VLOOKUP($F947,INSUMOS!$A:$D,4,0),""))))</f>
        <v>66.3</v>
      </c>
      <c r="K947" s="314">
        <f>IF($F947="","",IFERROR(VLOOKUP($F947,SERVIÇOS!$B:$G,5,0),IFERROR(VLOOKUP($F947,'COMPOSIÇÕES COMPLEMENTARES '!$D:$L,7,0),0)))</f>
        <v>28.06</v>
      </c>
      <c r="L947" s="314">
        <f>IF(I947="","",J947+K947)</f>
        <v>94.36</v>
      </c>
      <c r="M947" s="314">
        <f>IF(I947="","",TRUNC((I947*J947),2))</f>
        <v>66.3</v>
      </c>
      <c r="N947" s="314">
        <f>IF(I947="","",TRUNC((I947*K947),2))</f>
        <v>28.06</v>
      </c>
      <c r="O947" s="314">
        <f>IF(I947="","",TRUNC((M947+N947),2))</f>
        <v>94.36</v>
      </c>
      <c r="P947" s="314"/>
      <c r="Q947" s="315"/>
      <c r="R947" s="330"/>
      <c r="S947" s="286"/>
      <c r="T947" s="331"/>
      <c r="U947" s="332"/>
      <c r="V947" s="331"/>
      <c r="W947" s="333"/>
      <c r="X947" s="331"/>
      <c r="Y947" s="334"/>
      <c r="Z947" s="335"/>
      <c r="AA947" s="336"/>
      <c r="AB947" s="337"/>
      <c r="AC947" s="338"/>
      <c r="AD947" s="338"/>
      <c r="AE947" s="339"/>
      <c r="AF947" s="339"/>
      <c r="AG947" s="340"/>
      <c r="AH947" s="340"/>
      <c r="AI947" s="340"/>
      <c r="AJ947" s="341"/>
      <c r="AK947" s="341"/>
      <c r="AL947" s="341"/>
      <c r="AM947" s="341"/>
    </row>
    <row r="948" spans="1:39" s="342" customFormat="1" ht="25.5" x14ac:dyDescent="0.25">
      <c r="A948" s="232">
        <f t="shared" si="552"/>
        <v>948</v>
      </c>
      <c r="B948" s="232"/>
      <c r="C948" s="307">
        <f>+C947</f>
        <v>26</v>
      </c>
      <c r="D948" s="308">
        <f>1+D947</f>
        <v>3</v>
      </c>
      <c r="E948" s="309" t="str">
        <f>C948&amp;"."&amp;D948</f>
        <v>26.3</v>
      </c>
      <c r="F948" s="310" t="s">
        <v>12244</v>
      </c>
      <c r="G948" s="311" t="str">
        <f>IF($F948="","",IFERROR(VLOOKUP($F948,SERVIÇOS!$B:$G,2,0),IFERROR(VLOOKUP($F948,'COMPOSIÇÕES COMPLEMENTARES '!$D:$L,2,0),IFERROR(VLOOKUP($F948,INSUMOS!$A:$D,2,0),""))))</f>
        <v>ESTAÇÃO DE CHAMADA DE BANHEIRO SISTEMA ECONÔMICO, EM CX. 4"X2" C/ CORDEL - REFERÊNCIA ESSENCIAL E SUPREMO</v>
      </c>
      <c r="H948" s="312" t="str">
        <f>IF($F948="","",IFERROR(VLOOKUP($F948,SERVIÇOS!$B:$G,3,0),IFERROR(VLOOKUP($F948,'COMPOSIÇÕES COMPLEMENTARES '!$D:$L,3,0),IFERROR(VLOOKUP($F948,INSUMOS!$A:$D,3,0),""))))</f>
        <v>UN</v>
      </c>
      <c r="I948" s="313">
        <v>3</v>
      </c>
      <c r="J948" s="314">
        <f>IF($F948="","",IFERROR(VLOOKUP($F948,SERVIÇOS!$B:$G,4,0),IFERROR(VLOOKUP($F948,'COMPOSIÇÕES COMPLEMENTARES '!$D:$L,6,0),IFERROR(VLOOKUP($F948,INSUMOS!$A:$D,4,0),""))))</f>
        <v>552.95000000000005</v>
      </c>
      <c r="K948" s="314">
        <f>IF($F948="","",IFERROR(VLOOKUP($F948,SERVIÇOS!$B:$G,5,0),IFERROR(VLOOKUP($F948,'COMPOSIÇÕES COMPLEMENTARES '!$D:$L,7,0),0)))</f>
        <v>24.77</v>
      </c>
      <c r="L948" s="314">
        <f>IF(I948="","",J948+K948)</f>
        <v>577.72</v>
      </c>
      <c r="M948" s="314">
        <f>IF(I948="","",TRUNC((I948*J948),2))</f>
        <v>1658.85</v>
      </c>
      <c r="N948" s="314">
        <f>IF(I948="","",TRUNC((I948*K948),2))</f>
        <v>74.31</v>
      </c>
      <c r="O948" s="314">
        <f>IF(I948="","",TRUNC((M948+N948),2))</f>
        <v>1733.16</v>
      </c>
      <c r="P948" s="314"/>
      <c r="Q948" s="315"/>
      <c r="R948" s="330"/>
      <c r="S948" s="286"/>
      <c r="T948" s="331"/>
      <c r="U948" s="332"/>
      <c r="V948" s="331"/>
      <c r="W948" s="333"/>
      <c r="X948" s="331"/>
      <c r="Y948" s="334"/>
      <c r="Z948" s="335"/>
      <c r="AA948" s="336"/>
      <c r="AB948" s="337"/>
      <c r="AC948" s="338"/>
      <c r="AD948" s="338"/>
      <c r="AE948" s="339"/>
      <c r="AF948" s="339"/>
      <c r="AG948" s="340"/>
      <c r="AH948" s="340"/>
      <c r="AI948" s="340"/>
      <c r="AJ948" s="341"/>
      <c r="AK948" s="341"/>
      <c r="AL948" s="341"/>
      <c r="AM948" s="341"/>
    </row>
    <row r="949" spans="1:39" s="342" customFormat="1" ht="25.5" x14ac:dyDescent="0.25">
      <c r="A949" s="232">
        <f t="shared" si="552"/>
        <v>949</v>
      </c>
      <c r="B949" s="232"/>
      <c r="C949" s="307">
        <f>+C948</f>
        <v>26</v>
      </c>
      <c r="D949" s="308">
        <f>1+D948</f>
        <v>4</v>
      </c>
      <c r="E949" s="309" t="str">
        <f>C949&amp;"."&amp;D949</f>
        <v>26.4</v>
      </c>
      <c r="F949" s="310" t="s">
        <v>12544</v>
      </c>
      <c r="G949" s="311" t="str">
        <f>IF($F949="","",IFERROR(VLOOKUP($F949,SERVIÇOS!$B:$G,2,0),IFERROR(VLOOKUP($F949,'COMPOSIÇÕES COMPLEMENTARES '!$D:$L,2,0),IFERROR(VLOOKUP($F949,INSUMOS!$A:$D,2,0),""))))</f>
        <v>ESTAÇÃO DE CHAMADA DE LEITO SISTEMA ECONÔMICO, EM CX. 4"X2" C/ CORDEL - REFERÊNCIA ESSENCIAL E SUPREMO</v>
      </c>
      <c r="H949" s="312" t="str">
        <f>IF($F949="","",IFERROR(VLOOKUP($F949,SERVIÇOS!$B:$G,3,0),IFERROR(VLOOKUP($F949,'COMPOSIÇÕES COMPLEMENTARES '!$D:$L,3,0),IFERROR(VLOOKUP($F949,INSUMOS!$A:$D,3,0),""))))</f>
        <v>UN</v>
      </c>
      <c r="I949" s="313">
        <v>8</v>
      </c>
      <c r="J949" s="314">
        <f>IF($F949="","",IFERROR(VLOOKUP($F949,SERVIÇOS!$B:$G,4,0),IFERROR(VLOOKUP($F949,'COMPOSIÇÕES COMPLEMENTARES '!$D:$L,6,0),IFERROR(VLOOKUP($F949,INSUMOS!$A:$D,4,0),""))))</f>
        <v>85.73</v>
      </c>
      <c r="K949" s="314">
        <f>IF($F949="","",IFERROR(VLOOKUP($F949,SERVIÇOS!$B:$G,5,0),IFERROR(VLOOKUP($F949,'COMPOSIÇÕES COMPLEMENTARES '!$D:$L,7,0),0)))</f>
        <v>59.44</v>
      </c>
      <c r="L949" s="314">
        <f>IF(I949="","",J949+K949)</f>
        <v>145.17000000000002</v>
      </c>
      <c r="M949" s="314">
        <f>IF(I949="","",TRUNC((I949*J949),2))</f>
        <v>685.84</v>
      </c>
      <c r="N949" s="314">
        <f>IF(I949="","",TRUNC((I949*K949),2))</f>
        <v>475.52</v>
      </c>
      <c r="O949" s="314">
        <f>IF(I949="","",TRUNC((M949+N949),2))</f>
        <v>1161.3599999999999</v>
      </c>
      <c r="P949" s="314"/>
      <c r="Q949" s="315"/>
      <c r="R949" s="330"/>
      <c r="S949" s="286"/>
      <c r="T949" s="331"/>
      <c r="U949" s="332"/>
      <c r="V949" s="331"/>
      <c r="W949" s="333"/>
      <c r="X949" s="331"/>
      <c r="Y949" s="334"/>
      <c r="Z949" s="335"/>
      <c r="AA949" s="336"/>
      <c r="AB949" s="337"/>
      <c r="AC949" s="338"/>
      <c r="AD949" s="338"/>
      <c r="AE949" s="339"/>
      <c r="AF949" s="339"/>
      <c r="AG949" s="340"/>
      <c r="AH949" s="340"/>
      <c r="AI949" s="340"/>
      <c r="AJ949" s="341"/>
      <c r="AK949" s="341"/>
      <c r="AL949" s="341"/>
      <c r="AM949" s="341"/>
    </row>
    <row r="950" spans="1:39" s="342" customFormat="1" x14ac:dyDescent="0.25">
      <c r="A950" s="232">
        <f t="shared" si="552"/>
        <v>950</v>
      </c>
      <c r="B950" s="232"/>
      <c r="C950" s="307">
        <f>+C949</f>
        <v>26</v>
      </c>
      <c r="D950" s="308">
        <f>1+D949</f>
        <v>5</v>
      </c>
      <c r="E950" s="309" t="str">
        <f>C950&amp;"."&amp;D950</f>
        <v>26.5</v>
      </c>
      <c r="F950" s="310" t="s">
        <v>12545</v>
      </c>
      <c r="G950" s="311" t="str">
        <f>IF($F950="","",IFERROR(VLOOKUP($F950,SERVIÇOS!$B:$G,2,0),IFERROR(VLOOKUP($F950,'COMPOSIÇÕES COMPLEMENTARES '!$D:$L,2,0),IFERROR(VLOOKUP($F950,INSUMOS!$A:$D,2,0),""))))</f>
        <v>SINALEIRO DE PORTA SD001 SISTEMA ECONÔMICO, INSTALADO EM CAIXA 4X2" - REFERÊNCIA SUPREMO</v>
      </c>
      <c r="H950" s="312" t="str">
        <f>IF($F950="","",IFERROR(VLOOKUP($F950,SERVIÇOS!$B:$G,3,0),IFERROR(VLOOKUP($F950,'COMPOSIÇÕES COMPLEMENTARES '!$D:$L,3,0),IFERROR(VLOOKUP($F950,INSUMOS!$A:$D,3,0),""))))</f>
        <v>UN</v>
      </c>
      <c r="I950" s="313">
        <v>3</v>
      </c>
      <c r="J950" s="314">
        <f>IF($F950="","",IFERROR(VLOOKUP($F950,SERVIÇOS!$B:$G,4,0),IFERROR(VLOOKUP($F950,'COMPOSIÇÕES COMPLEMENTARES '!$D:$L,6,0),IFERROR(VLOOKUP($F950,INSUMOS!$A:$D,4,0),""))))</f>
        <v>499.33</v>
      </c>
      <c r="K950" s="314">
        <f>IF($F950="","",IFERROR(VLOOKUP($F950,SERVIÇOS!$B:$G,5,0),IFERROR(VLOOKUP($F950,'COMPOSIÇÕES COMPLEMENTARES '!$D:$L,7,0),0)))</f>
        <v>49.54</v>
      </c>
      <c r="L950" s="314">
        <f>IF(I950="","",J950+K950)</f>
        <v>548.87</v>
      </c>
      <c r="M950" s="314">
        <f>IF(I950="","",TRUNC((I950*J950),2))</f>
        <v>1497.99</v>
      </c>
      <c r="N950" s="314">
        <f>IF(I950="","",TRUNC((I950*K950),2))</f>
        <v>148.62</v>
      </c>
      <c r="O950" s="314">
        <f>IF(I950="","",TRUNC((M950+N950),2))</f>
        <v>1646.61</v>
      </c>
      <c r="P950" s="314"/>
      <c r="Q950" s="315"/>
      <c r="R950" s="330"/>
      <c r="S950" s="286"/>
      <c r="T950" s="331"/>
      <c r="U950" s="332"/>
      <c r="V950" s="331"/>
      <c r="W950" s="333"/>
      <c r="X950" s="331"/>
      <c r="Y950" s="334"/>
      <c r="Z950" s="335"/>
      <c r="AA950" s="336"/>
      <c r="AB950" s="337"/>
      <c r="AC950" s="338"/>
      <c r="AD950" s="338"/>
      <c r="AE950" s="339"/>
      <c r="AF950" s="339"/>
      <c r="AG950" s="340"/>
      <c r="AH950" s="340"/>
      <c r="AI950" s="340"/>
      <c r="AJ950" s="341"/>
      <c r="AK950" s="341"/>
      <c r="AL950" s="341"/>
      <c r="AM950" s="341"/>
    </row>
    <row r="951" spans="1:39" x14ac:dyDescent="0.25">
      <c r="A951" s="232">
        <f t="shared" si="552"/>
        <v>951</v>
      </c>
      <c r="B951" s="232"/>
      <c r="C951" s="281">
        <f>+E951</f>
        <v>27</v>
      </c>
      <c r="D951" s="297"/>
      <c r="E951" s="298">
        <v>27</v>
      </c>
      <c r="F951" s="322"/>
      <c r="G951" s="299" t="s">
        <v>12546</v>
      </c>
      <c r="H951" s="300"/>
      <c r="I951" s="345"/>
      <c r="J951" s="302"/>
      <c r="K951" s="303"/>
      <c r="L951" s="303"/>
      <c r="M951" s="304">
        <f>TRUNC(SUMIF(M952:M959,"&gt;0",M952:M959),2)</f>
        <v>29173.31</v>
      </c>
      <c r="N951" s="304">
        <f>TRUNC(SUMIF(N952:N959,"&gt;0",N952:N959),2)</f>
        <v>10829.59</v>
      </c>
      <c r="O951" s="305"/>
      <c r="P951" s="304">
        <f>SUMIF(O952:O959,"&gt;0",O952:O959)</f>
        <v>40002.899999999994</v>
      </c>
      <c r="Q951" s="306"/>
      <c r="R951" s="306"/>
      <c r="S951" s="286"/>
      <c r="T951" s="287"/>
      <c r="U951" s="288" t="str">
        <f t="shared" ref="U951:U980" si="577">IF(OR(T951="",$O951=""),"",(T951/$I951)*$O951)</f>
        <v/>
      </c>
      <c r="V951" s="287"/>
      <c r="W951" s="289" t="str">
        <f t="shared" ref="W951:W980" si="578">IF(OR(V951="",$O951=""),"",(V951/$I951)*$O951)</f>
        <v/>
      </c>
      <c r="X951" s="287"/>
      <c r="Y951" s="290" t="str">
        <f t="shared" ref="Y951:Y980" si="579">IF(OR(X951="",$O951=""),"",(X951/$I951)*$O951)</f>
        <v/>
      </c>
      <c r="Z951" s="291">
        <f ca="1">SUMIF($T$8:Y$1018,"QUANT.",T951:Y951)</f>
        <v>0</v>
      </c>
      <c r="AA951" s="292">
        <f t="shared" ref="AA951:AA982" ca="1" si="580">SUMIF($T$8:$Y$1018,"CUSTO",T951:Y951)</f>
        <v>0</v>
      </c>
      <c r="AB951" s="293" t="str">
        <f t="shared" ref="AB951:AB980" si="581">IF(F951&lt;&gt;"",IF(AA951=0,"MEDIR",IF(O951-AA951=0,"OK",IF(O951-AA951&gt;0,"MEDIR","ALERTA!"))),"")</f>
        <v/>
      </c>
      <c r="AC951" s="294">
        <f t="shared" ref="AC951:AC980" ca="1" si="582">IF(Z951="",0,I951-Z951)</f>
        <v>0</v>
      </c>
      <c r="AD951" s="294">
        <f t="shared" ref="AD951:AD980" ca="1" si="583">IF(AA951="",0,O951-AA951)</f>
        <v>0</v>
      </c>
      <c r="AE951" s="295"/>
      <c r="AF951" s="295"/>
      <c r="AG951" s="296"/>
      <c r="AH951" s="296"/>
      <c r="AI951" s="296"/>
      <c r="AJ951" s="326"/>
      <c r="AK951" s="326"/>
      <c r="AL951" s="326"/>
      <c r="AM951" s="326"/>
    </row>
    <row r="952" spans="1:39" x14ac:dyDescent="0.25">
      <c r="A952" s="232">
        <f t="shared" si="552"/>
        <v>952</v>
      </c>
      <c r="B952" s="232"/>
      <c r="C952" s="316" t="str">
        <f>+E952</f>
        <v>28.1</v>
      </c>
      <c r="D952" s="297"/>
      <c r="E952" s="317" t="s">
        <v>12555</v>
      </c>
      <c r="F952" s="317"/>
      <c r="G952" s="318" t="s">
        <v>12547</v>
      </c>
      <c r="H952" s="317"/>
      <c r="I952" s="319"/>
      <c r="J952" s="317"/>
      <c r="K952" s="317"/>
      <c r="L952" s="317"/>
      <c r="M952" s="317"/>
      <c r="N952" s="317"/>
      <c r="O952" s="317"/>
      <c r="P952" s="317"/>
      <c r="Q952" s="320"/>
      <c r="R952" s="306"/>
      <c r="S952" s="286"/>
      <c r="T952" s="287"/>
      <c r="U952" s="288" t="str">
        <f t="shared" si="577"/>
        <v/>
      </c>
      <c r="V952" s="287"/>
      <c r="W952" s="289" t="str">
        <f t="shared" si="578"/>
        <v/>
      </c>
      <c r="X952" s="287"/>
      <c r="Y952" s="290" t="str">
        <f t="shared" si="579"/>
        <v/>
      </c>
      <c r="Z952" s="291">
        <f ca="1">SUMIF($T$8:Y$1018,"QUANT.",T952:Y952)</f>
        <v>0</v>
      </c>
      <c r="AA952" s="292">
        <f t="shared" ca="1" si="580"/>
        <v>0</v>
      </c>
      <c r="AB952" s="293" t="str">
        <f t="shared" si="581"/>
        <v/>
      </c>
      <c r="AC952" s="294">
        <f t="shared" ca="1" si="582"/>
        <v>0</v>
      </c>
      <c r="AD952" s="294">
        <f t="shared" ca="1" si="583"/>
        <v>0</v>
      </c>
      <c r="AE952" s="295"/>
      <c r="AF952" s="295"/>
      <c r="AG952" s="296"/>
      <c r="AH952" s="296"/>
      <c r="AI952" s="296"/>
      <c r="AJ952" s="326"/>
      <c r="AK952" s="326"/>
      <c r="AL952" s="326"/>
      <c r="AM952" s="326"/>
    </row>
    <row r="953" spans="1:39" x14ac:dyDescent="0.25">
      <c r="A953" s="232">
        <f t="shared" si="552"/>
        <v>953</v>
      </c>
      <c r="B953" s="232"/>
      <c r="C953" s="307" t="str">
        <f>+C952</f>
        <v>28.1</v>
      </c>
      <c r="D953" s="308">
        <f>1+D952</f>
        <v>1</v>
      </c>
      <c r="E953" s="309" t="str">
        <f>C953&amp;"."&amp;D953</f>
        <v>28.1.1</v>
      </c>
      <c r="F953" s="310" t="s">
        <v>12548</v>
      </c>
      <c r="G953" s="311" t="str">
        <f>IF($F953="","",IFERROR(VLOOKUP($F953,SERVIÇOS!$B:$G,2,0),IFERROR(VLOOKUP($F953,'COMPOSIÇÕES COMPLEMENTARES '!$D:$L,2,0),IFERROR(VLOOKUP($F953,INSUMOS!$A:$D,2,0),""))))</f>
        <v>PLANTIO DE GRAMA ESMERALDA EM PLACAS</v>
      </c>
      <c r="H953" s="312" t="str">
        <f>IF($F953="","",IFERROR(VLOOKUP($F953,SERVIÇOS!$B:$G,3,0),IFERROR(VLOOKUP($F953,'COMPOSIÇÕES COMPLEMENTARES '!$D:$L,3,0),IFERROR(VLOOKUP($F953,INSUMOS!$A:$D,3,0),""))))</f>
        <v>M2</v>
      </c>
      <c r="I953" s="313">
        <v>2096.6320000000001</v>
      </c>
      <c r="J953" s="314">
        <f>IF($F953="","",IFERROR(VLOOKUP($F953,SERVIÇOS!$B:$G,4,0),IFERROR(VLOOKUP($F953,'COMPOSIÇÕES COMPLEMENTARES '!$D:$L,6,0),IFERROR(VLOOKUP($F953,INSUMOS!$A:$D,4,0),""))))</f>
        <v>11.29</v>
      </c>
      <c r="K953" s="314">
        <f>IF($F953="","",IFERROR(VLOOKUP($F953,SERVIÇOS!$B:$G,5,0),IFERROR(VLOOKUP($F953,'COMPOSIÇÕES COMPLEMENTARES '!$D:$L,7,0),0)))</f>
        <v>3.85</v>
      </c>
      <c r="L953" s="314">
        <f>IF(I953="","",J953+K953)</f>
        <v>15.139999999999999</v>
      </c>
      <c r="M953" s="314">
        <f>IF(I953="","",TRUNC((I953*J953),2))</f>
        <v>23670.97</v>
      </c>
      <c r="N953" s="314">
        <f>IF(I953="","",TRUNC((I953*K953),2))</f>
        <v>8072.03</v>
      </c>
      <c r="O953" s="314">
        <f>IF(I953="","",TRUNC((M953+N953),2))</f>
        <v>31743</v>
      </c>
      <c r="P953" s="314"/>
      <c r="Q953" s="315"/>
      <c r="R953" s="315"/>
      <c r="S953" s="286"/>
      <c r="T953" s="287"/>
      <c r="U953" s="288" t="str">
        <f t="shared" si="577"/>
        <v/>
      </c>
      <c r="V953" s="287"/>
      <c r="W953" s="289" t="str">
        <f t="shared" si="578"/>
        <v/>
      </c>
      <c r="X953" s="287"/>
      <c r="Y953" s="290" t="str">
        <f t="shared" si="579"/>
        <v/>
      </c>
      <c r="Z953" s="291">
        <f ca="1">SUMIF($T$8:Y$1018,"QUANT.",T953:Y953)</f>
        <v>0</v>
      </c>
      <c r="AA953" s="292">
        <f t="shared" ca="1" si="580"/>
        <v>0</v>
      </c>
      <c r="AB953" s="293" t="str">
        <f t="shared" ca="1" si="581"/>
        <v>MEDIR</v>
      </c>
      <c r="AC953" s="294">
        <f t="shared" ca="1" si="582"/>
        <v>2096.6320000000001</v>
      </c>
      <c r="AD953" s="294">
        <f t="shared" ca="1" si="583"/>
        <v>31743</v>
      </c>
      <c r="AE953" s="295"/>
      <c r="AF953" s="295"/>
      <c r="AG953" s="296"/>
      <c r="AH953" s="296"/>
      <c r="AI953" s="296"/>
      <c r="AJ953" s="326"/>
      <c r="AK953" s="326"/>
      <c r="AL953" s="326"/>
      <c r="AM953" s="326"/>
    </row>
    <row r="954" spans="1:39" x14ac:dyDescent="0.25">
      <c r="A954" s="232">
        <f t="shared" si="552"/>
        <v>954</v>
      </c>
      <c r="B954" s="232"/>
      <c r="C954" s="307" t="str">
        <f>+C953</f>
        <v>28.1</v>
      </c>
      <c r="D954" s="308">
        <f>1+D953</f>
        <v>2</v>
      </c>
      <c r="E954" s="309" t="str">
        <f>C954&amp;"."&amp;D954</f>
        <v>28.1.2</v>
      </c>
      <c r="F954" s="310">
        <v>98510</v>
      </c>
      <c r="G954" s="311" t="str">
        <f>IF($F954="","",IFERROR(VLOOKUP($F954,SERVIÇOS!$B:$G,2,0),IFERROR(VLOOKUP($F954,'COMPOSIÇÕES COMPLEMENTARES '!$D:$L,2,0),IFERROR(VLOOKUP($F954,INSUMOS!$A:$D,2,0),""))))</f>
        <v>PLANTIO DE ÁRVORE ORNAMENTAL COM ALTURA DE MUDA MENOR OU IGUAL A 2,00 M . AF_07/2024</v>
      </c>
      <c r="H954" s="312" t="str">
        <f>IF($F954="","",IFERROR(VLOOKUP($F954,SERVIÇOS!$B:$G,3,0),IFERROR(VLOOKUP($F954,'COMPOSIÇÕES COMPLEMENTARES '!$D:$L,3,0),IFERROR(VLOOKUP($F954,INSUMOS!$A:$D,3,0),""))))</f>
        <v>UN</v>
      </c>
      <c r="I954" s="313">
        <v>34</v>
      </c>
      <c r="J954" s="314">
        <f>IF($F954="","",IFERROR(VLOOKUP($F954,SERVIÇOS!$B:$G,4,0),IFERROR(VLOOKUP($F954,'COMPOSIÇÕES COMPLEMENTARES '!$D:$L,6,0),IFERROR(VLOOKUP($F954,INSUMOS!$A:$D,4,0),""))))</f>
        <v>54.02</v>
      </c>
      <c r="K954" s="314">
        <f>IF($F954="","",IFERROR(VLOOKUP($F954,SERVIÇOS!$B:$G,5,0),IFERROR(VLOOKUP($F954,'COMPOSIÇÕES COMPLEMENTARES '!$D:$L,7,0),0)))</f>
        <v>24.99</v>
      </c>
      <c r="L954" s="314">
        <f>IF(I954="","",J954+K954)</f>
        <v>79.010000000000005</v>
      </c>
      <c r="M954" s="314">
        <f>IF(I954="","",TRUNC((I954*J954),2))</f>
        <v>1836.68</v>
      </c>
      <c r="N954" s="314">
        <f>IF(I954="","",TRUNC((I954*K954),2))</f>
        <v>849.66</v>
      </c>
      <c r="O954" s="314">
        <f>IF(I954="","",TRUNC((M954+N954),2))</f>
        <v>2686.34</v>
      </c>
      <c r="P954" s="314"/>
      <c r="Q954" s="315"/>
      <c r="R954" s="315"/>
      <c r="S954" s="286"/>
      <c r="T954" s="287"/>
      <c r="U954" s="288" t="str">
        <f t="shared" si="577"/>
        <v/>
      </c>
      <c r="V954" s="287"/>
      <c r="W954" s="289" t="str">
        <f t="shared" si="578"/>
        <v/>
      </c>
      <c r="X954" s="287"/>
      <c r="Y954" s="290" t="str">
        <f t="shared" si="579"/>
        <v/>
      </c>
      <c r="Z954" s="291">
        <f ca="1">SUMIF($T$8:Y$1018,"QUANT.",T954:Y954)</f>
        <v>0</v>
      </c>
      <c r="AA954" s="292">
        <f t="shared" ca="1" si="580"/>
        <v>0</v>
      </c>
      <c r="AB954" s="293" t="str">
        <f t="shared" ca="1" si="581"/>
        <v>MEDIR</v>
      </c>
      <c r="AC954" s="294">
        <f t="shared" ca="1" si="582"/>
        <v>34</v>
      </c>
      <c r="AD954" s="294">
        <f t="shared" ca="1" si="583"/>
        <v>2686.34</v>
      </c>
      <c r="AE954" s="295"/>
      <c r="AF954" s="295"/>
      <c r="AG954" s="296"/>
      <c r="AH954" s="296"/>
      <c r="AI954" s="296"/>
      <c r="AJ954" s="326"/>
      <c r="AK954" s="326"/>
      <c r="AL954" s="326"/>
      <c r="AM954" s="326"/>
    </row>
    <row r="955" spans="1:39" x14ac:dyDescent="0.25">
      <c r="A955" s="232">
        <f t="shared" si="552"/>
        <v>955</v>
      </c>
      <c r="B955" s="232"/>
      <c r="C955" s="316" t="str">
        <f>+E955</f>
        <v>28.2</v>
      </c>
      <c r="D955" s="297"/>
      <c r="E955" s="317" t="s">
        <v>12558</v>
      </c>
      <c r="F955" s="317"/>
      <c r="G955" s="327" t="s">
        <v>12549</v>
      </c>
      <c r="H955" s="317"/>
      <c r="I955" s="319"/>
      <c r="J955" s="317"/>
      <c r="K955" s="317"/>
      <c r="L955" s="317"/>
      <c r="M955" s="317"/>
      <c r="N955" s="317"/>
      <c r="O955" s="317"/>
      <c r="P955" s="317"/>
      <c r="Q955" s="320"/>
      <c r="R955" s="306"/>
      <c r="S955" s="286"/>
      <c r="T955" s="287"/>
      <c r="U955" s="288" t="str">
        <f t="shared" si="577"/>
        <v/>
      </c>
      <c r="V955" s="287"/>
      <c r="W955" s="289" t="str">
        <f t="shared" si="578"/>
        <v/>
      </c>
      <c r="X955" s="287"/>
      <c r="Y955" s="290" t="str">
        <f t="shared" si="579"/>
        <v/>
      </c>
      <c r="Z955" s="291">
        <f ca="1">SUMIF($T$8:Y$1018,"QUANT.",T955:Y955)</f>
        <v>0</v>
      </c>
      <c r="AA955" s="292">
        <f t="shared" ca="1" si="580"/>
        <v>0</v>
      </c>
      <c r="AB955" s="293" t="str">
        <f t="shared" si="581"/>
        <v/>
      </c>
      <c r="AC955" s="294">
        <f t="shared" ca="1" si="582"/>
        <v>0</v>
      </c>
      <c r="AD955" s="294">
        <f t="shared" ca="1" si="583"/>
        <v>0</v>
      </c>
      <c r="AE955" s="295"/>
      <c r="AF955" s="295"/>
      <c r="AG955" s="296"/>
      <c r="AH955" s="296"/>
      <c r="AI955" s="296"/>
      <c r="AJ955" s="326"/>
      <c r="AK955" s="326"/>
      <c r="AL955" s="326"/>
      <c r="AM955" s="326"/>
    </row>
    <row r="956" spans="1:39" x14ac:dyDescent="0.25">
      <c r="A956" s="232">
        <f t="shared" si="552"/>
        <v>956</v>
      </c>
      <c r="B956" s="232"/>
      <c r="C956" s="307" t="str">
        <f>+C955</f>
        <v>28.2</v>
      </c>
      <c r="D956" s="308">
        <f>1+D955</f>
        <v>1</v>
      </c>
      <c r="E956" s="309" t="str">
        <f>C956&amp;"."&amp;D956</f>
        <v>28.2.1</v>
      </c>
      <c r="F956" s="310" t="s">
        <v>12551</v>
      </c>
      <c r="G956" s="311" t="str">
        <f>IF($F956="","",IFERROR(VLOOKUP($F956,SERVIÇOS!$B:$G,2,0),IFERROR(VLOOKUP($F956,'COMPOSIÇÕES COMPLEMENTARES '!$D:$L,2,0),IFERROR(VLOOKUP($F956,INSUMOS!$A:$D,2,0),""))))</f>
        <v>PINTURA DE DEMARCAÇÃO DE VAGA ACESSÍVEL COM TINTA ACRÍLICA</v>
      </c>
      <c r="H956" s="312" t="str">
        <f>IF($F956="","",IFERROR(VLOOKUP($F956,SERVIÇOS!$B:$G,3,0),IFERROR(VLOOKUP($F956,'COMPOSIÇÕES COMPLEMENTARES '!$D:$L,3,0),IFERROR(VLOOKUP($F956,INSUMOS!$A:$D,3,0),""))))</f>
        <v>UN</v>
      </c>
      <c r="I956" s="313">
        <v>2</v>
      </c>
      <c r="J956" s="314">
        <f>IF($F956="","",IFERROR(VLOOKUP($F956,SERVIÇOS!$B:$G,4,0),IFERROR(VLOOKUP($F956,'COMPOSIÇÕES COMPLEMENTARES '!$D:$L,6,0),IFERROR(VLOOKUP($F956,INSUMOS!$A:$D,4,0),""))))</f>
        <v>222.83</v>
      </c>
      <c r="K956" s="314">
        <f>IF($F956="","",IFERROR(VLOOKUP($F956,SERVIÇOS!$B:$G,5,0),IFERROR(VLOOKUP($F956,'COMPOSIÇÕES COMPLEMENTARES '!$D:$L,7,0),0)))</f>
        <v>375.6</v>
      </c>
      <c r="L956" s="314">
        <f>IF(I956="","",J956+K956)</f>
        <v>598.43000000000006</v>
      </c>
      <c r="M956" s="314">
        <f>IF(I956="","",TRUNC((I956*J956),2))</f>
        <v>445.66</v>
      </c>
      <c r="N956" s="314">
        <f>IF(I956="","",TRUNC((I956*K956),2))</f>
        <v>751.2</v>
      </c>
      <c r="O956" s="314">
        <f>IF(I956="","",TRUNC((M956+N956),2))</f>
        <v>1196.8599999999999</v>
      </c>
      <c r="P956" s="314"/>
      <c r="Q956" s="315"/>
      <c r="R956" s="315"/>
      <c r="S956" s="286"/>
      <c r="T956" s="287"/>
      <c r="U956" s="288" t="str">
        <f t="shared" si="577"/>
        <v/>
      </c>
      <c r="V956" s="287"/>
      <c r="W956" s="289" t="str">
        <f t="shared" si="578"/>
        <v/>
      </c>
      <c r="X956" s="287"/>
      <c r="Y956" s="290" t="str">
        <f t="shared" si="579"/>
        <v/>
      </c>
      <c r="Z956" s="291">
        <f ca="1">SUMIF($T$8:Y$1018,"QUANT.",T956:Y956)</f>
        <v>0</v>
      </c>
      <c r="AA956" s="292">
        <f t="shared" ca="1" si="580"/>
        <v>0</v>
      </c>
      <c r="AB956" s="293" t="str">
        <f t="shared" ca="1" si="581"/>
        <v>MEDIR</v>
      </c>
      <c r="AC956" s="294">
        <f t="shared" ca="1" si="582"/>
        <v>2</v>
      </c>
      <c r="AD956" s="294">
        <f t="shared" ca="1" si="583"/>
        <v>1196.8599999999999</v>
      </c>
      <c r="AE956" s="295"/>
      <c r="AF956" s="295"/>
      <c r="AG956" s="296"/>
      <c r="AH956" s="296"/>
      <c r="AI956" s="296"/>
      <c r="AJ956" s="326"/>
      <c r="AK956" s="326"/>
      <c r="AL956" s="326"/>
      <c r="AM956" s="326"/>
    </row>
    <row r="957" spans="1:39" x14ac:dyDescent="0.25">
      <c r="A957" s="232">
        <f t="shared" si="552"/>
        <v>957</v>
      </c>
      <c r="B957" s="232"/>
      <c r="C957" s="307" t="str">
        <f>+C956</f>
        <v>28.2</v>
      </c>
      <c r="D957" s="308">
        <f>1+D956</f>
        <v>2</v>
      </c>
      <c r="E957" s="309" t="str">
        <f>C957&amp;"."&amp;D957</f>
        <v>28.2.2</v>
      </c>
      <c r="F957" s="310">
        <v>102500</v>
      </c>
      <c r="G957" s="311" t="str">
        <f>IF($F957="","",IFERROR(VLOOKUP($F957,SERVIÇOS!$B:$G,2,0),IFERROR(VLOOKUP($F957,'COMPOSIÇÕES COMPLEMENTARES '!$D:$L,2,0),IFERROR(VLOOKUP($F957,INSUMOS!$A:$D,2,0),""))))</f>
        <v>PINTURA DE DEMARCAÇÃO DE VAGA COM TINTA ACRÍLICA, E = 10 CM, APLICAÇÃO MANUAL. AF_05/2021</v>
      </c>
      <c r="H957" s="312" t="str">
        <f>IF($F957="","",IFERROR(VLOOKUP($F957,SERVIÇOS!$B:$G,3,0),IFERROR(VLOOKUP($F957,'COMPOSIÇÕES COMPLEMENTARES '!$D:$L,3,0),IFERROR(VLOOKUP($F957,INSUMOS!$A:$D,3,0),""))))</f>
        <v>M</v>
      </c>
      <c r="I957" s="313">
        <v>98</v>
      </c>
      <c r="J957" s="314">
        <f>IF($F957="","",IFERROR(VLOOKUP($F957,SERVIÇOS!$B:$G,4,0),IFERROR(VLOOKUP($F957,'COMPOSIÇÕES COMPLEMENTARES '!$D:$L,6,0),IFERROR(VLOOKUP($F957,INSUMOS!$A:$D,4,0),""))))</f>
        <v>2.36</v>
      </c>
      <c r="K957" s="314">
        <f>IF($F957="","",IFERROR(VLOOKUP($F957,SERVIÇOS!$B:$G,5,0),IFERROR(VLOOKUP($F957,'COMPOSIÇÕES COMPLEMENTARES '!$D:$L,7,0),0)))</f>
        <v>2.95</v>
      </c>
      <c r="L957" s="314">
        <f>IF(I957="","",J957+K957)</f>
        <v>5.3100000000000005</v>
      </c>
      <c r="M957" s="314">
        <f>IF(I957="","",TRUNC((I957*J957),2))</f>
        <v>231.28</v>
      </c>
      <c r="N957" s="314">
        <f>IF(I957="","",TRUNC((I957*K957),2))</f>
        <v>289.10000000000002</v>
      </c>
      <c r="O957" s="314">
        <f>IF(I957="","",TRUNC((M957+N957),2))</f>
        <v>520.38</v>
      </c>
      <c r="P957" s="314"/>
      <c r="Q957" s="315"/>
      <c r="R957" s="315"/>
      <c r="S957" s="286"/>
      <c r="T957" s="287"/>
      <c r="U957" s="288" t="str">
        <f t="shared" si="577"/>
        <v/>
      </c>
      <c r="V957" s="287"/>
      <c r="W957" s="289" t="str">
        <f t="shared" si="578"/>
        <v/>
      </c>
      <c r="X957" s="287"/>
      <c r="Y957" s="290" t="str">
        <f t="shared" si="579"/>
        <v/>
      </c>
      <c r="Z957" s="291">
        <f ca="1">SUMIF($T$8:Y$1018,"QUANT.",T957:Y957)</f>
        <v>0</v>
      </c>
      <c r="AA957" s="292">
        <f t="shared" ca="1" si="580"/>
        <v>0</v>
      </c>
      <c r="AB957" s="293" t="str">
        <f t="shared" ca="1" si="581"/>
        <v>MEDIR</v>
      </c>
      <c r="AC957" s="294">
        <f t="shared" ca="1" si="582"/>
        <v>98</v>
      </c>
      <c r="AD957" s="294">
        <f t="shared" ca="1" si="583"/>
        <v>520.38</v>
      </c>
      <c r="AE957" s="295"/>
      <c r="AF957" s="295"/>
      <c r="AG957" s="296"/>
      <c r="AH957" s="296"/>
      <c r="AI957" s="296"/>
      <c r="AJ957" s="326"/>
      <c r="AK957" s="326"/>
      <c r="AL957" s="326"/>
      <c r="AM957" s="326"/>
    </row>
    <row r="958" spans="1:39" x14ac:dyDescent="0.25">
      <c r="A958" s="232">
        <f t="shared" si="552"/>
        <v>958</v>
      </c>
      <c r="B958" s="232"/>
      <c r="C958" s="316" t="str">
        <f>+E958</f>
        <v>28.3</v>
      </c>
      <c r="D958" s="297"/>
      <c r="E958" s="317" t="s">
        <v>12561</v>
      </c>
      <c r="F958" s="317"/>
      <c r="G958" s="327" t="s">
        <v>12552</v>
      </c>
      <c r="H958" s="317"/>
      <c r="I958" s="319"/>
      <c r="J958" s="317"/>
      <c r="K958" s="317"/>
      <c r="L958" s="317"/>
      <c r="M958" s="317"/>
      <c r="N958" s="317"/>
      <c r="O958" s="317"/>
      <c r="P958" s="317"/>
      <c r="Q958" s="320"/>
      <c r="R958" s="306"/>
      <c r="S958" s="286"/>
      <c r="T958" s="287"/>
      <c r="U958" s="288" t="str">
        <f t="shared" si="577"/>
        <v/>
      </c>
      <c r="V958" s="287"/>
      <c r="W958" s="289" t="str">
        <f t="shared" si="578"/>
        <v/>
      </c>
      <c r="X958" s="287"/>
      <c r="Y958" s="290" t="str">
        <f t="shared" si="579"/>
        <v/>
      </c>
      <c r="Z958" s="291">
        <f ca="1">SUMIF($T$8:Y$1018,"QUANT.",T958:Y958)</f>
        <v>0</v>
      </c>
      <c r="AA958" s="292">
        <f t="shared" ca="1" si="580"/>
        <v>0</v>
      </c>
      <c r="AB958" s="293" t="str">
        <f t="shared" si="581"/>
        <v/>
      </c>
      <c r="AC958" s="294">
        <f t="shared" ca="1" si="582"/>
        <v>0</v>
      </c>
      <c r="AD958" s="294">
        <f t="shared" ca="1" si="583"/>
        <v>0</v>
      </c>
      <c r="AE958" s="295"/>
      <c r="AF958" s="295"/>
      <c r="AG958" s="296"/>
      <c r="AH958" s="296"/>
      <c r="AI958" s="296"/>
      <c r="AJ958" s="326"/>
      <c r="AK958" s="326"/>
      <c r="AL958" s="326"/>
      <c r="AM958" s="326"/>
    </row>
    <row r="959" spans="1:39" x14ac:dyDescent="0.25">
      <c r="A959" s="232">
        <f t="shared" si="552"/>
        <v>959</v>
      </c>
      <c r="B959" s="232"/>
      <c r="C959" s="307" t="str">
        <f>+C958</f>
        <v>28.3</v>
      </c>
      <c r="D959" s="308">
        <f>1+D958</f>
        <v>1</v>
      </c>
      <c r="E959" s="309" t="str">
        <f>C959&amp;"."&amp;D959</f>
        <v>28.3.1</v>
      </c>
      <c r="F959" s="310" t="s">
        <v>12553</v>
      </c>
      <c r="G959" s="311" t="str">
        <f>IF($F959="","",IFERROR(VLOOKUP($F959,SERVIÇOS!$B:$G,2,0),IFERROR(VLOOKUP($F959,'COMPOSIÇÕES COMPLEMENTARES '!$D:$L,2,0),IFERROR(VLOOKUP($F959,INSUMOS!$A:$D,2,0),""))))</f>
        <v>BANCO DE CONCRETO, DIMENSÃO 360 X 50 CM</v>
      </c>
      <c r="H959" s="312" t="str">
        <f>IF($F959="","",IFERROR(VLOOKUP($F959,SERVIÇOS!$B:$G,3,0),IFERROR(VLOOKUP($F959,'COMPOSIÇÕES COMPLEMENTARES '!$D:$L,3,0),IFERROR(VLOOKUP($F959,INSUMOS!$A:$D,3,0),""))))</f>
        <v>M</v>
      </c>
      <c r="I959" s="313">
        <v>18</v>
      </c>
      <c r="J959" s="314">
        <f>IF($F959="","",IFERROR(VLOOKUP($F959,SERVIÇOS!$B:$G,4,0),IFERROR(VLOOKUP($F959,'COMPOSIÇÕES COMPLEMENTARES '!$D:$L,6,0),IFERROR(VLOOKUP($F959,INSUMOS!$A:$D,4,0),""))))</f>
        <v>166.04</v>
      </c>
      <c r="K959" s="314">
        <f>IF($F959="","",IFERROR(VLOOKUP($F959,SERVIÇOS!$B:$G,5,0),IFERROR(VLOOKUP($F959,'COMPOSIÇÕES COMPLEMENTARES '!$D:$L,7,0),0)))</f>
        <v>48.2</v>
      </c>
      <c r="L959" s="314">
        <f>IF(I959="","",J959+K959)</f>
        <v>214.24</v>
      </c>
      <c r="M959" s="314">
        <f>IF(I959="","",TRUNC((I959*J959),2))</f>
        <v>2988.72</v>
      </c>
      <c r="N959" s="314">
        <f>IF(I959="","",TRUNC((I959*K959),2))</f>
        <v>867.6</v>
      </c>
      <c r="O959" s="314">
        <f>IF(I959="","",TRUNC((M959+N959),2))</f>
        <v>3856.32</v>
      </c>
      <c r="P959" s="314"/>
      <c r="Q959" s="315"/>
      <c r="R959" s="315"/>
      <c r="S959" s="286"/>
      <c r="T959" s="287"/>
      <c r="U959" s="288" t="str">
        <f t="shared" si="577"/>
        <v/>
      </c>
      <c r="V959" s="287"/>
      <c r="W959" s="289" t="str">
        <f t="shared" si="578"/>
        <v/>
      </c>
      <c r="X959" s="287"/>
      <c r="Y959" s="290" t="str">
        <f t="shared" si="579"/>
        <v/>
      </c>
      <c r="Z959" s="291">
        <f ca="1">SUMIF($T$8:Y$1018,"QUANT.",T959:Y959)</f>
        <v>0</v>
      </c>
      <c r="AA959" s="292">
        <f t="shared" ca="1" si="580"/>
        <v>0</v>
      </c>
      <c r="AB959" s="293" t="str">
        <f t="shared" ca="1" si="581"/>
        <v>MEDIR</v>
      </c>
      <c r="AC959" s="294">
        <f t="shared" ca="1" si="582"/>
        <v>18</v>
      </c>
      <c r="AD959" s="294">
        <f t="shared" ca="1" si="583"/>
        <v>3856.32</v>
      </c>
      <c r="AE959" s="295"/>
      <c r="AF959" s="295"/>
      <c r="AG959" s="296"/>
      <c r="AH959" s="296"/>
      <c r="AI959" s="296"/>
      <c r="AJ959" s="326"/>
      <c r="AK959" s="326"/>
      <c r="AL959" s="326"/>
      <c r="AM959" s="326"/>
    </row>
    <row r="960" spans="1:39" x14ac:dyDescent="0.25">
      <c r="A960" s="232">
        <f t="shared" si="552"/>
        <v>960</v>
      </c>
      <c r="B960" s="232"/>
      <c r="C960" s="281">
        <f>+E960</f>
        <v>28</v>
      </c>
      <c r="D960" s="297"/>
      <c r="E960" s="298">
        <v>28</v>
      </c>
      <c r="F960" s="322"/>
      <c r="G960" s="299" t="s">
        <v>12554</v>
      </c>
      <c r="H960" s="300"/>
      <c r="I960" s="345"/>
      <c r="J960" s="302"/>
      <c r="K960" s="303"/>
      <c r="L960" s="303"/>
      <c r="M960" s="304">
        <f>TRUNC(SUMIF(M961:M972,"&gt;0",M961:M972),2)</f>
        <v>77254.73</v>
      </c>
      <c r="N960" s="304">
        <f>TRUNC(SUMIF(N961:N972,"&gt;0",N961:N972),2)</f>
        <v>16097.24</v>
      </c>
      <c r="O960" s="305"/>
      <c r="P960" s="304">
        <f>SUMIF(O961:O972,"&gt;0",O961:O972)</f>
        <v>93351.97</v>
      </c>
      <c r="Q960" s="306"/>
      <c r="R960" s="306"/>
      <c r="S960" s="286"/>
      <c r="T960" s="287"/>
      <c r="U960" s="288" t="str">
        <f t="shared" si="577"/>
        <v/>
      </c>
      <c r="V960" s="287"/>
      <c r="W960" s="289" t="str">
        <f t="shared" si="578"/>
        <v/>
      </c>
      <c r="X960" s="287"/>
      <c r="Y960" s="290" t="str">
        <f t="shared" si="579"/>
        <v/>
      </c>
      <c r="Z960" s="291">
        <f ca="1">SUMIF($T$8:Y$1018,"QUANT.",T960:Y960)</f>
        <v>0</v>
      </c>
      <c r="AA960" s="292">
        <f t="shared" ca="1" si="580"/>
        <v>0</v>
      </c>
      <c r="AB960" s="293" t="str">
        <f t="shared" si="581"/>
        <v/>
      </c>
      <c r="AC960" s="294">
        <f t="shared" ca="1" si="582"/>
        <v>0</v>
      </c>
      <c r="AD960" s="294">
        <f t="shared" ca="1" si="583"/>
        <v>0</v>
      </c>
      <c r="AE960" s="295"/>
      <c r="AF960" s="295"/>
      <c r="AG960" s="296"/>
      <c r="AH960" s="296"/>
      <c r="AI960" s="296"/>
      <c r="AJ960" s="326"/>
      <c r="AK960" s="326"/>
      <c r="AL960" s="326"/>
      <c r="AM960" s="326"/>
    </row>
    <row r="961" spans="1:39" x14ac:dyDescent="0.25">
      <c r="A961" s="232">
        <f t="shared" si="552"/>
        <v>961</v>
      </c>
      <c r="B961" s="232"/>
      <c r="C961" s="316" t="str">
        <f>+E961</f>
        <v>29.1</v>
      </c>
      <c r="D961" s="297"/>
      <c r="E961" s="317" t="s">
        <v>12570</v>
      </c>
      <c r="F961" s="317"/>
      <c r="G961" s="318" t="s">
        <v>12556</v>
      </c>
      <c r="H961" s="317"/>
      <c r="I961" s="319"/>
      <c r="J961" s="317"/>
      <c r="K961" s="317"/>
      <c r="L961" s="317"/>
      <c r="M961" s="317"/>
      <c r="N961" s="317"/>
      <c r="O961" s="317"/>
      <c r="P961" s="317"/>
      <c r="Q961" s="320"/>
      <c r="R961" s="306"/>
      <c r="S961" s="286"/>
      <c r="T961" s="287"/>
      <c r="U961" s="288" t="str">
        <f t="shared" si="577"/>
        <v/>
      </c>
      <c r="V961" s="287"/>
      <c r="W961" s="289" t="str">
        <f t="shared" si="578"/>
        <v/>
      </c>
      <c r="X961" s="287"/>
      <c r="Y961" s="290" t="str">
        <f t="shared" si="579"/>
        <v/>
      </c>
      <c r="Z961" s="291">
        <f ca="1">SUMIF($T$8:Y$1018,"QUANT.",T961:Y961)</f>
        <v>0</v>
      </c>
      <c r="AA961" s="292">
        <f t="shared" ca="1" si="580"/>
        <v>0</v>
      </c>
      <c r="AB961" s="293" t="str">
        <f t="shared" si="581"/>
        <v/>
      </c>
      <c r="AC961" s="294">
        <f t="shared" ca="1" si="582"/>
        <v>0</v>
      </c>
      <c r="AD961" s="294">
        <f t="shared" ca="1" si="583"/>
        <v>0</v>
      </c>
      <c r="AE961" s="295"/>
      <c r="AF961" s="295"/>
      <c r="AG961" s="296"/>
      <c r="AH961" s="296"/>
      <c r="AI961" s="296"/>
      <c r="AJ961" s="326"/>
      <c r="AK961" s="326"/>
      <c r="AL961" s="326"/>
      <c r="AM961" s="326"/>
    </row>
    <row r="962" spans="1:39" ht="25.5" x14ac:dyDescent="0.25">
      <c r="A962" s="232">
        <f t="shared" ref="A962:A1019" si="584">1+A961</f>
        <v>962</v>
      </c>
      <c r="B962" s="232"/>
      <c r="C962" s="307" t="str">
        <f>+C961</f>
        <v>29.1</v>
      </c>
      <c r="D962" s="308">
        <f>1+D961</f>
        <v>1</v>
      </c>
      <c r="E962" s="309" t="str">
        <f>C962&amp;"."&amp;D962</f>
        <v>29.1.1</v>
      </c>
      <c r="F962" s="310" t="s">
        <v>12557</v>
      </c>
      <c r="G962" s="311" t="str">
        <f>IF($F962="","",IFERROR(VLOOKUP($F962,SERVIÇOS!$B:$G,2,0),IFERROR(VLOOKUP($F962,'COMPOSIÇÕES COMPLEMENTARES '!$D:$L,2,0),IFERROR(VLOOKUP($F962,INSUMOS!$A:$D,2,0),""))))</f>
        <v>EXECUÇÃO DE SANITÁRIO EM ALVENARIA DE BLOCO DE CONCRETO PARA CANTEIRO DE OBRA, NÃO INCLUSO MOBILIÁRIO, CONFORME DETALHE DE PROJETO</v>
      </c>
      <c r="H962" s="312" t="str">
        <f>IF($F962="","",IFERROR(VLOOKUP($F962,SERVIÇOS!$B:$G,3,0),IFERROR(VLOOKUP($F962,'COMPOSIÇÕES COMPLEMENTARES '!$D:$L,3,0),IFERROR(VLOOKUP($F962,INSUMOS!$A:$D,3,0),""))))</f>
        <v>M2</v>
      </c>
      <c r="I962" s="313">
        <v>10.199999999999999</v>
      </c>
      <c r="J962" s="314">
        <f>IF($F962="","",IFERROR(VLOOKUP($F962,SERVIÇOS!$B:$G,4,0),IFERROR(VLOOKUP($F962,'COMPOSIÇÕES COMPLEMENTARES '!$D:$L,6,0),IFERROR(VLOOKUP($F962,INSUMOS!$A:$D,4,0),""))))</f>
        <v>973.67</v>
      </c>
      <c r="K962" s="314">
        <f>IF($F962="","",IFERROR(VLOOKUP($F962,SERVIÇOS!$B:$G,5,0),IFERROR(VLOOKUP($F962,'COMPOSIÇÕES COMPLEMENTARES '!$D:$L,7,0),0)))</f>
        <v>249.41</v>
      </c>
      <c r="L962" s="314">
        <f>IF(I962="","",J962+K962)</f>
        <v>1223.08</v>
      </c>
      <c r="M962" s="314">
        <f>IF(I962="","",TRUNC((I962*J962),2))</f>
        <v>9931.43</v>
      </c>
      <c r="N962" s="314">
        <f>IF(I962="","",TRUNC((I962*K962),2))</f>
        <v>2543.98</v>
      </c>
      <c r="O962" s="314">
        <f>IF(I962="","",TRUNC((M962+N962),2))</f>
        <v>12475.41</v>
      </c>
      <c r="P962" s="314"/>
      <c r="Q962" s="315"/>
      <c r="R962" s="315"/>
      <c r="S962" s="286"/>
      <c r="T962" s="287"/>
      <c r="U962" s="288" t="str">
        <f t="shared" si="577"/>
        <v/>
      </c>
      <c r="V962" s="287"/>
      <c r="W962" s="289" t="str">
        <f t="shared" si="578"/>
        <v/>
      </c>
      <c r="X962" s="287"/>
      <c r="Y962" s="290" t="str">
        <f t="shared" si="579"/>
        <v/>
      </c>
      <c r="Z962" s="291">
        <f ca="1">SUMIF($T$8:Y$1018,"QUANT.",T962:Y962)</f>
        <v>0</v>
      </c>
      <c r="AA962" s="292">
        <f t="shared" ca="1" si="580"/>
        <v>0</v>
      </c>
      <c r="AB962" s="293" t="str">
        <f t="shared" ca="1" si="581"/>
        <v>MEDIR</v>
      </c>
      <c r="AC962" s="294">
        <f t="shared" ca="1" si="582"/>
        <v>10.199999999999999</v>
      </c>
      <c r="AD962" s="294">
        <f t="shared" ca="1" si="583"/>
        <v>12475.41</v>
      </c>
      <c r="AE962" s="295"/>
      <c r="AF962" s="295"/>
      <c r="AG962" s="296"/>
      <c r="AH962" s="296"/>
      <c r="AI962" s="296"/>
      <c r="AJ962" s="326"/>
      <c r="AK962" s="326"/>
      <c r="AL962" s="326"/>
      <c r="AM962" s="326"/>
    </row>
    <row r="963" spans="1:39" x14ac:dyDescent="0.25">
      <c r="A963" s="232">
        <f t="shared" si="584"/>
        <v>963</v>
      </c>
      <c r="B963" s="232"/>
      <c r="C963" s="316" t="str">
        <f>+E963</f>
        <v>29.2</v>
      </c>
      <c r="D963" s="297"/>
      <c r="E963" s="317" t="s">
        <v>12574</v>
      </c>
      <c r="F963" s="317"/>
      <c r="G963" s="327" t="s">
        <v>12559</v>
      </c>
      <c r="H963" s="317"/>
      <c r="I963" s="319"/>
      <c r="J963" s="317"/>
      <c r="K963" s="317"/>
      <c r="L963" s="317"/>
      <c r="M963" s="317"/>
      <c r="N963" s="317"/>
      <c r="O963" s="317"/>
      <c r="P963" s="317"/>
      <c r="Q963" s="320"/>
      <c r="R963" s="306"/>
      <c r="S963" s="286"/>
      <c r="T963" s="287"/>
      <c r="U963" s="288" t="str">
        <f t="shared" si="577"/>
        <v/>
      </c>
      <c r="V963" s="287"/>
      <c r="W963" s="289" t="str">
        <f t="shared" si="578"/>
        <v/>
      </c>
      <c r="X963" s="287"/>
      <c r="Y963" s="290" t="str">
        <f t="shared" si="579"/>
        <v/>
      </c>
      <c r="Z963" s="291">
        <f ca="1">SUMIF($T$8:Y$1018,"QUANT.",T963:Y963)</f>
        <v>0</v>
      </c>
      <c r="AA963" s="292">
        <f t="shared" ca="1" si="580"/>
        <v>0</v>
      </c>
      <c r="AB963" s="293" t="str">
        <f t="shared" si="581"/>
        <v/>
      </c>
      <c r="AC963" s="294">
        <f t="shared" ca="1" si="582"/>
        <v>0</v>
      </c>
      <c r="AD963" s="294">
        <f t="shared" ca="1" si="583"/>
        <v>0</v>
      </c>
      <c r="AE963" s="295"/>
      <c r="AF963" s="295"/>
      <c r="AG963" s="296"/>
      <c r="AH963" s="296"/>
      <c r="AI963" s="296"/>
      <c r="AJ963" s="326"/>
      <c r="AK963" s="326"/>
      <c r="AL963" s="326"/>
      <c r="AM963" s="326"/>
    </row>
    <row r="964" spans="1:39" ht="25.5" x14ac:dyDescent="0.25">
      <c r="A964" s="232">
        <f t="shared" si="584"/>
        <v>964</v>
      </c>
      <c r="B964" s="232"/>
      <c r="C964" s="307" t="str">
        <f>+C963</f>
        <v>29.2</v>
      </c>
      <c r="D964" s="308">
        <f>1+D963</f>
        <v>1</v>
      </c>
      <c r="E964" s="309" t="str">
        <f>C964&amp;"."&amp;D964</f>
        <v>29.2.1</v>
      </c>
      <c r="F964" s="310" t="s">
        <v>12560</v>
      </c>
      <c r="G964" s="311" t="str">
        <f>IF($F964="","",IFERROR(VLOOKUP($F964,SERVIÇOS!$B:$G,2,0),IFERROR(VLOOKUP($F964,'COMPOSIÇÕES COMPLEMENTARES '!$D:$L,2,0),IFERROR(VLOOKUP($F964,INSUMOS!$A:$D,2,0),""))))</f>
        <v>EXECUÇÃO DE REFEITÓRIO EM CANTEIRO DE OBRA, NÃO INCLUSO MOBILIÁRIO, CONFORME DETALHE DE PROJETO</v>
      </c>
      <c r="H964" s="312" t="str">
        <f>IF($F964="","",IFERROR(VLOOKUP($F964,SERVIÇOS!$B:$G,3,0),IFERROR(VLOOKUP($F964,'COMPOSIÇÕES COMPLEMENTARES '!$D:$L,3,0),IFERROR(VLOOKUP($F964,INSUMOS!$A:$D,3,0),""))))</f>
        <v>M2</v>
      </c>
      <c r="I964" s="313">
        <v>13.8</v>
      </c>
      <c r="J964" s="314">
        <f>IF($F964="","",IFERROR(VLOOKUP($F964,SERVIÇOS!$B:$G,4,0),IFERROR(VLOOKUP($F964,'COMPOSIÇÕES COMPLEMENTARES '!$D:$L,6,0),IFERROR(VLOOKUP($F964,INSUMOS!$A:$D,4,0),""))))</f>
        <v>726.02</v>
      </c>
      <c r="K964" s="314">
        <f>IF($F964="","",IFERROR(VLOOKUP($F964,SERVIÇOS!$B:$G,5,0),IFERROR(VLOOKUP($F964,'COMPOSIÇÕES COMPLEMENTARES '!$D:$L,7,0),0)))</f>
        <v>131.25</v>
      </c>
      <c r="L964" s="314">
        <f>IF(I964="","",J964+K964)</f>
        <v>857.27</v>
      </c>
      <c r="M964" s="314">
        <f>IF(I964="","",TRUNC((I964*J964),2))</f>
        <v>10019.07</v>
      </c>
      <c r="N964" s="314">
        <f>IF(I964="","",TRUNC((I964*K964),2))</f>
        <v>1811.25</v>
      </c>
      <c r="O964" s="314">
        <f>IF(I964="","",TRUNC((M964+N964),2))</f>
        <v>11830.32</v>
      </c>
      <c r="P964" s="314"/>
      <c r="Q964" s="315"/>
      <c r="R964" s="315"/>
      <c r="S964" s="286"/>
      <c r="T964" s="287"/>
      <c r="U964" s="288" t="str">
        <f t="shared" si="577"/>
        <v/>
      </c>
      <c r="V964" s="287"/>
      <c r="W964" s="289" t="str">
        <f t="shared" si="578"/>
        <v/>
      </c>
      <c r="X964" s="287"/>
      <c r="Y964" s="290" t="str">
        <f t="shared" si="579"/>
        <v/>
      </c>
      <c r="Z964" s="291">
        <f ca="1">SUMIF($T$8:Y$1018,"QUANT.",T964:Y964)</f>
        <v>0</v>
      </c>
      <c r="AA964" s="292">
        <f t="shared" ca="1" si="580"/>
        <v>0</v>
      </c>
      <c r="AB964" s="293" t="str">
        <f t="shared" ca="1" si="581"/>
        <v>MEDIR</v>
      </c>
      <c r="AC964" s="294">
        <f t="shared" ca="1" si="582"/>
        <v>13.8</v>
      </c>
      <c r="AD964" s="294">
        <f t="shared" ca="1" si="583"/>
        <v>11830.32</v>
      </c>
      <c r="AE964" s="295"/>
      <c r="AF964" s="295"/>
      <c r="AG964" s="296"/>
      <c r="AH964" s="296"/>
      <c r="AI964" s="296"/>
      <c r="AJ964" s="326"/>
      <c r="AK964" s="326"/>
      <c r="AL964" s="326"/>
      <c r="AM964" s="326"/>
    </row>
    <row r="965" spans="1:39" x14ac:dyDescent="0.25">
      <c r="A965" s="232">
        <f t="shared" si="584"/>
        <v>965</v>
      </c>
      <c r="B965" s="232"/>
      <c r="C965" s="316" t="str">
        <f>+E965</f>
        <v>29.3</v>
      </c>
      <c r="D965" s="297"/>
      <c r="E965" s="317" t="s">
        <v>12581</v>
      </c>
      <c r="F965" s="317"/>
      <c r="G965" s="327" t="s">
        <v>12562</v>
      </c>
      <c r="H965" s="317"/>
      <c r="I965" s="319"/>
      <c r="J965" s="317"/>
      <c r="K965" s="317"/>
      <c r="L965" s="317"/>
      <c r="M965" s="317"/>
      <c r="N965" s="317"/>
      <c r="O965" s="317"/>
      <c r="P965" s="317"/>
      <c r="Q965" s="320"/>
      <c r="R965" s="306"/>
      <c r="S965" s="286"/>
      <c r="T965" s="287"/>
      <c r="U965" s="288" t="str">
        <f t="shared" si="577"/>
        <v/>
      </c>
      <c r="V965" s="287"/>
      <c r="W965" s="289" t="str">
        <f t="shared" si="578"/>
        <v/>
      </c>
      <c r="X965" s="287"/>
      <c r="Y965" s="290" t="str">
        <f t="shared" si="579"/>
        <v/>
      </c>
      <c r="Z965" s="291">
        <f ca="1">SUMIF($T$8:Y$1018,"QUANT.",T965:Y965)</f>
        <v>0</v>
      </c>
      <c r="AA965" s="292">
        <f t="shared" ca="1" si="580"/>
        <v>0</v>
      </c>
      <c r="AB965" s="293" t="str">
        <f t="shared" si="581"/>
        <v/>
      </c>
      <c r="AC965" s="294">
        <f t="shared" ca="1" si="582"/>
        <v>0</v>
      </c>
      <c r="AD965" s="294">
        <f t="shared" ca="1" si="583"/>
        <v>0</v>
      </c>
      <c r="AE965" s="295"/>
      <c r="AF965" s="295"/>
      <c r="AG965" s="296"/>
      <c r="AH965" s="296"/>
      <c r="AI965" s="296"/>
      <c r="AJ965" s="326"/>
      <c r="AK965" s="326"/>
      <c r="AL965" s="326"/>
      <c r="AM965" s="326"/>
    </row>
    <row r="966" spans="1:39" ht="25.5" x14ac:dyDescent="0.25">
      <c r="A966" s="232">
        <f t="shared" si="584"/>
        <v>966</v>
      </c>
      <c r="B966" s="232"/>
      <c r="C966" s="307" t="str">
        <f>+C965</f>
        <v>29.3</v>
      </c>
      <c r="D966" s="308">
        <f>1+D965</f>
        <v>1</v>
      </c>
      <c r="E966" s="309" t="str">
        <f>C966&amp;"."&amp;D966</f>
        <v>29.3.1</v>
      </c>
      <c r="F966" s="310" t="s">
        <v>12563</v>
      </c>
      <c r="G966" s="311" t="str">
        <f>IF($F966="","",IFERROR(VLOOKUP($F966,SERVIÇOS!$B:$G,2,0),IFERROR(VLOOKUP($F966,'COMPOSIÇÕES COMPLEMENTARES '!$D:$L,2,0),IFERROR(VLOOKUP($F966,INSUMOS!$A:$D,2,0),""))))</f>
        <v>EXECUÇÃO DE ALMOXARIFADO EM CANTEIRO DE OBRA, NÃO INCLUSO MOBILIÁRIO, CONFORME DETALHE DE PROJETO</v>
      </c>
      <c r="H966" s="312" t="str">
        <f>IF($F966="","",IFERROR(VLOOKUP($F966,SERVIÇOS!$B:$G,3,0),IFERROR(VLOOKUP($F966,'COMPOSIÇÕES COMPLEMENTARES '!$D:$L,3,0),IFERROR(VLOOKUP($F966,INSUMOS!$A:$D,3,0),""))))</f>
        <v>M2</v>
      </c>
      <c r="I966" s="313">
        <v>13.8</v>
      </c>
      <c r="J966" s="314">
        <f>IF($F966="","",IFERROR(VLOOKUP($F966,SERVIÇOS!$B:$G,4,0),IFERROR(VLOOKUP($F966,'COMPOSIÇÕES COMPLEMENTARES '!$D:$L,6,0),IFERROR(VLOOKUP($F966,INSUMOS!$A:$D,4,0),""))))</f>
        <v>1104.2</v>
      </c>
      <c r="K966" s="314">
        <f>IF($F966="","",IFERROR(VLOOKUP($F966,SERVIÇOS!$B:$G,5,0),IFERROR(VLOOKUP($F966,'COMPOSIÇÕES COMPLEMENTARES '!$D:$L,7,0),0)))</f>
        <v>208.47</v>
      </c>
      <c r="L966" s="314">
        <f>IF(I966="","",J966+K966)</f>
        <v>1312.67</v>
      </c>
      <c r="M966" s="314">
        <f>IF(I966="","",TRUNC((I966*J966),2))</f>
        <v>15237.96</v>
      </c>
      <c r="N966" s="314">
        <f>IF(I966="","",TRUNC((I966*K966),2))</f>
        <v>2876.88</v>
      </c>
      <c r="O966" s="314">
        <f>IF(I966="","",TRUNC((M966+N966),2))</f>
        <v>18114.84</v>
      </c>
      <c r="P966" s="314"/>
      <c r="Q966" s="315"/>
      <c r="R966" s="315"/>
      <c r="S966" s="286"/>
      <c r="T966" s="287"/>
      <c r="U966" s="288" t="str">
        <f t="shared" si="577"/>
        <v/>
      </c>
      <c r="V966" s="287"/>
      <c r="W966" s="289" t="str">
        <f t="shared" si="578"/>
        <v/>
      </c>
      <c r="X966" s="287"/>
      <c r="Y966" s="290" t="str">
        <f t="shared" si="579"/>
        <v/>
      </c>
      <c r="Z966" s="291">
        <f ca="1">SUMIF($T$8:Y$1018,"QUANT.",T966:Y966)</f>
        <v>0</v>
      </c>
      <c r="AA966" s="292">
        <f t="shared" ca="1" si="580"/>
        <v>0</v>
      </c>
      <c r="AB966" s="293" t="str">
        <f t="shared" ca="1" si="581"/>
        <v>MEDIR</v>
      </c>
      <c r="AC966" s="294">
        <f t="shared" ca="1" si="582"/>
        <v>13.8</v>
      </c>
      <c r="AD966" s="294">
        <f t="shared" ca="1" si="583"/>
        <v>18114.84</v>
      </c>
      <c r="AE966" s="295"/>
      <c r="AF966" s="295"/>
      <c r="AG966" s="296"/>
      <c r="AH966" s="296"/>
      <c r="AI966" s="296"/>
      <c r="AJ966" s="326"/>
      <c r="AK966" s="326"/>
      <c r="AL966" s="326"/>
      <c r="AM966" s="326"/>
    </row>
    <row r="967" spans="1:39" x14ac:dyDescent="0.25">
      <c r="A967" s="232">
        <f t="shared" si="584"/>
        <v>967</v>
      </c>
      <c r="B967" s="232"/>
      <c r="C967" s="316" t="str">
        <f>+E967</f>
        <v>29.4</v>
      </c>
      <c r="D967" s="297"/>
      <c r="E967" s="317" t="s">
        <v>12589</v>
      </c>
      <c r="F967" s="317"/>
      <c r="G967" s="327" t="s">
        <v>12564</v>
      </c>
      <c r="H967" s="317"/>
      <c r="I967" s="319"/>
      <c r="J967" s="317"/>
      <c r="K967" s="317"/>
      <c r="L967" s="317"/>
      <c r="M967" s="317"/>
      <c r="N967" s="317"/>
      <c r="O967" s="317"/>
      <c r="P967" s="317"/>
      <c r="Q967" s="320"/>
      <c r="R967" s="306"/>
      <c r="S967" s="286"/>
      <c r="T967" s="287"/>
      <c r="U967" s="288" t="str">
        <f t="shared" si="577"/>
        <v/>
      </c>
      <c r="V967" s="287"/>
      <c r="W967" s="289" t="str">
        <f t="shared" si="578"/>
        <v/>
      </c>
      <c r="X967" s="287"/>
      <c r="Y967" s="290" t="str">
        <f t="shared" si="579"/>
        <v/>
      </c>
      <c r="Z967" s="291">
        <f ca="1">SUMIF($T$8:Y$1018,"QUANT.",T967:Y967)</f>
        <v>0</v>
      </c>
      <c r="AA967" s="292">
        <f t="shared" ca="1" si="580"/>
        <v>0</v>
      </c>
      <c r="AB967" s="293" t="str">
        <f t="shared" si="581"/>
        <v/>
      </c>
      <c r="AC967" s="294">
        <f t="shared" ca="1" si="582"/>
        <v>0</v>
      </c>
      <c r="AD967" s="294">
        <f t="shared" ca="1" si="583"/>
        <v>0</v>
      </c>
      <c r="AE967" s="295"/>
      <c r="AF967" s="295"/>
      <c r="AG967" s="296"/>
      <c r="AH967" s="296"/>
      <c r="AI967" s="296"/>
      <c r="AJ967" s="326"/>
      <c r="AK967" s="326"/>
      <c r="AL967" s="326"/>
      <c r="AM967" s="326"/>
    </row>
    <row r="968" spans="1:39" ht="25.5" x14ac:dyDescent="0.25">
      <c r="A968" s="232">
        <f t="shared" si="584"/>
        <v>968</v>
      </c>
      <c r="B968" s="232"/>
      <c r="C968" s="307" t="str">
        <f>+C967</f>
        <v>29.4</v>
      </c>
      <c r="D968" s="308">
        <f>1+D967</f>
        <v>1</v>
      </c>
      <c r="E968" s="309" t="str">
        <f>C968&amp;"."&amp;D968</f>
        <v>29.4.1</v>
      </c>
      <c r="F968" s="310" t="s">
        <v>12565</v>
      </c>
      <c r="G968" s="311" t="str">
        <f>IF($F968="","",IFERROR(VLOOKUP($F968,SERVIÇOS!$B:$G,2,0),IFERROR(VLOOKUP($F968,'COMPOSIÇÕES COMPLEMENTARES '!$D:$L,2,0),IFERROR(VLOOKUP($F968,INSUMOS!$A:$D,2,0),""))))</f>
        <v>EXECUÇÃO DE CENTRAL DE ARMADURAS E DE FORMAS EM CANTEIRO DE OBRA, NÃO INCLUSO MOBILIÁRIO, CONFORME DETALHE DE PROJETO</v>
      </c>
      <c r="H968" s="312" t="str">
        <f>IF($F968="","",IFERROR(VLOOKUP($F968,SERVIÇOS!$B:$G,3,0),IFERROR(VLOOKUP($F968,'COMPOSIÇÕES COMPLEMENTARES '!$D:$L,3,0),IFERROR(VLOOKUP($F968,INSUMOS!$A:$D,3,0),""))))</f>
        <v>M2</v>
      </c>
      <c r="I968" s="313">
        <v>18.149999999999999</v>
      </c>
      <c r="J968" s="314">
        <f>IF($F968="","",IFERROR(VLOOKUP($F968,SERVIÇOS!$B:$G,4,0),IFERROR(VLOOKUP($F968,'COMPOSIÇÕES COMPLEMENTARES '!$D:$L,6,0),IFERROR(VLOOKUP($F968,INSUMOS!$A:$D,4,0),""))))</f>
        <v>864.17</v>
      </c>
      <c r="K968" s="314">
        <f>IF($F968="","",IFERROR(VLOOKUP($F968,SERVIÇOS!$B:$G,5,0),IFERROR(VLOOKUP($F968,'COMPOSIÇÕES COMPLEMENTARES '!$D:$L,7,0),0)))</f>
        <v>155.77000000000001</v>
      </c>
      <c r="L968" s="314">
        <f>IF(I968="","",J968+K968)</f>
        <v>1019.9399999999999</v>
      </c>
      <c r="M968" s="314">
        <f>IF(I968="","",TRUNC((I968*J968),2))</f>
        <v>15684.68</v>
      </c>
      <c r="N968" s="314">
        <f>IF(I968="","",TRUNC((I968*K968),2))</f>
        <v>2827.22</v>
      </c>
      <c r="O968" s="314">
        <f>IF(I968="","",TRUNC((M968+N968),2))</f>
        <v>18511.900000000001</v>
      </c>
      <c r="P968" s="314"/>
      <c r="Q968" s="315"/>
      <c r="R968" s="315"/>
      <c r="S968" s="286"/>
      <c r="T968" s="287"/>
      <c r="U968" s="288" t="str">
        <f t="shared" si="577"/>
        <v/>
      </c>
      <c r="V968" s="287"/>
      <c r="W968" s="289" t="str">
        <f t="shared" si="578"/>
        <v/>
      </c>
      <c r="X968" s="287"/>
      <c r="Y968" s="290" t="str">
        <f t="shared" si="579"/>
        <v/>
      </c>
      <c r="Z968" s="291">
        <f ca="1">SUMIF($T$8:Y$1018,"QUANT.",T968:Y968)</f>
        <v>0</v>
      </c>
      <c r="AA968" s="292">
        <f t="shared" ca="1" si="580"/>
        <v>0</v>
      </c>
      <c r="AB968" s="293" t="str">
        <f t="shared" ca="1" si="581"/>
        <v>MEDIR</v>
      </c>
      <c r="AC968" s="294">
        <f t="shared" ca="1" si="582"/>
        <v>18.149999999999999</v>
      </c>
      <c r="AD968" s="294">
        <f t="shared" ca="1" si="583"/>
        <v>18511.900000000001</v>
      </c>
      <c r="AE968" s="295"/>
      <c r="AF968" s="295"/>
      <c r="AG968" s="296"/>
      <c r="AH968" s="296"/>
      <c r="AI968" s="296"/>
      <c r="AJ968" s="326"/>
      <c r="AK968" s="326"/>
      <c r="AL968" s="326"/>
      <c r="AM968" s="326"/>
    </row>
    <row r="969" spans="1:39" x14ac:dyDescent="0.25">
      <c r="A969" s="232">
        <f t="shared" si="584"/>
        <v>969</v>
      </c>
      <c r="B969" s="232"/>
      <c r="C969" s="316" t="str">
        <f>+E969</f>
        <v>29.5</v>
      </c>
      <c r="D969" s="297"/>
      <c r="E969" s="317" t="s">
        <v>12592</v>
      </c>
      <c r="F969" s="317"/>
      <c r="G969" s="327" t="s">
        <v>12566</v>
      </c>
      <c r="H969" s="317"/>
      <c r="I969" s="319"/>
      <c r="J969" s="317"/>
      <c r="K969" s="317"/>
      <c r="L969" s="317"/>
      <c r="M969" s="317"/>
      <c r="N969" s="317"/>
      <c r="O969" s="317"/>
      <c r="P969" s="317"/>
      <c r="Q969" s="320"/>
      <c r="R969" s="306"/>
      <c r="S969" s="286"/>
      <c r="T969" s="287"/>
      <c r="U969" s="288" t="str">
        <f t="shared" si="577"/>
        <v/>
      </c>
      <c r="V969" s="287"/>
      <c r="W969" s="289" t="str">
        <f t="shared" si="578"/>
        <v/>
      </c>
      <c r="X969" s="287"/>
      <c r="Y969" s="290" t="str">
        <f t="shared" si="579"/>
        <v/>
      </c>
      <c r="Z969" s="291">
        <f ca="1">SUMIF($T$8:Y$1018,"QUANT.",T969:Y969)</f>
        <v>0</v>
      </c>
      <c r="AA969" s="292">
        <f t="shared" ca="1" si="580"/>
        <v>0</v>
      </c>
      <c r="AB969" s="293" t="str">
        <f t="shared" si="581"/>
        <v/>
      </c>
      <c r="AC969" s="294">
        <f t="shared" ca="1" si="582"/>
        <v>0</v>
      </c>
      <c r="AD969" s="294">
        <f t="shared" ca="1" si="583"/>
        <v>0</v>
      </c>
      <c r="AE969" s="295"/>
      <c r="AF969" s="295"/>
      <c r="AG969" s="296"/>
      <c r="AH969" s="296"/>
      <c r="AI969" s="296"/>
      <c r="AJ969" s="326"/>
      <c r="AK969" s="326"/>
      <c r="AL969" s="326"/>
      <c r="AM969" s="326"/>
    </row>
    <row r="970" spans="1:39" ht="25.5" x14ac:dyDescent="0.25">
      <c r="A970" s="232">
        <f t="shared" si="584"/>
        <v>970</v>
      </c>
      <c r="B970" s="232"/>
      <c r="C970" s="307" t="str">
        <f>+C969</f>
        <v>29.5</v>
      </c>
      <c r="D970" s="308">
        <f>1+D969</f>
        <v>1</v>
      </c>
      <c r="E970" s="309" t="str">
        <f>C970&amp;"."&amp;D970</f>
        <v>29.5.1</v>
      </c>
      <c r="F970" s="310" t="s">
        <v>12567</v>
      </c>
      <c r="G970" s="311" t="str">
        <f>IF($F970="","",IFERROR(VLOOKUP($F970,SERVIÇOS!$B:$G,2,0),IFERROR(VLOOKUP($F970,'COMPOSIÇÕES COMPLEMENTARES '!$D:$L,2,0),IFERROR(VLOOKUP($F970,INSUMOS!$A:$D,2,0),""))))</f>
        <v>EXECUÇÃO DE ESCRITÓRIO EM CANTEIRO DE OBRA, NÃO INCLUSO MOBILIÁRIO, CONFORME DETALHE DE PROJETO</v>
      </c>
      <c r="H970" s="312" t="str">
        <f>IF($F970="","",IFERROR(VLOOKUP($F970,SERVIÇOS!$B:$G,3,0),IFERROR(VLOOKUP($F970,'COMPOSIÇÕES COMPLEMENTARES '!$D:$L,3,0),IFERROR(VLOOKUP($F970,INSUMOS!$A:$D,3,0),""))))</f>
        <v>M2</v>
      </c>
      <c r="I970" s="313">
        <v>13.8</v>
      </c>
      <c r="J970" s="314">
        <f>IF($F970="","",IFERROR(VLOOKUP($F970,SERVIÇOS!$B:$G,4,0),IFERROR(VLOOKUP($F970,'COMPOSIÇÕES COMPLEMENTARES '!$D:$L,6,0),IFERROR(VLOOKUP($F970,INSUMOS!$A:$D,4,0),""))))</f>
        <v>1438.27</v>
      </c>
      <c r="K970" s="314">
        <f>IF($F970="","",IFERROR(VLOOKUP($F970,SERVIÇOS!$B:$G,5,0),IFERROR(VLOOKUP($F970,'COMPOSIÇÕES COMPLEMENTARES '!$D:$L,7,0),0)))</f>
        <v>290.95999999999998</v>
      </c>
      <c r="L970" s="314">
        <f>IF(I970="","",J970+K970)</f>
        <v>1729.23</v>
      </c>
      <c r="M970" s="314">
        <f>IF(I970="","",TRUNC((I970*J970),2))</f>
        <v>19848.12</v>
      </c>
      <c r="N970" s="314">
        <f>IF(I970="","",TRUNC((I970*K970),2))</f>
        <v>4015.24</v>
      </c>
      <c r="O970" s="314">
        <f>IF(I970="","",TRUNC((M970+N970),2))</f>
        <v>23863.360000000001</v>
      </c>
      <c r="P970" s="314"/>
      <c r="Q970" s="315"/>
      <c r="R970" s="315"/>
      <c r="S970" s="286"/>
      <c r="T970" s="287"/>
      <c r="U970" s="288" t="str">
        <f t="shared" si="577"/>
        <v/>
      </c>
      <c r="V970" s="287"/>
      <c r="W970" s="289" t="str">
        <f t="shared" si="578"/>
        <v/>
      </c>
      <c r="X970" s="287"/>
      <c r="Y970" s="290" t="str">
        <f t="shared" si="579"/>
        <v/>
      </c>
      <c r="Z970" s="291">
        <f ca="1">SUMIF($T$8:Y$1018,"QUANT.",T970:Y970)</f>
        <v>0</v>
      </c>
      <c r="AA970" s="292">
        <f t="shared" ca="1" si="580"/>
        <v>0</v>
      </c>
      <c r="AB970" s="293" t="str">
        <f t="shared" ca="1" si="581"/>
        <v>MEDIR</v>
      </c>
      <c r="AC970" s="294">
        <f t="shared" ca="1" si="582"/>
        <v>13.8</v>
      </c>
      <c r="AD970" s="294">
        <f t="shared" ca="1" si="583"/>
        <v>23863.360000000001</v>
      </c>
      <c r="AE970" s="295"/>
      <c r="AF970" s="295"/>
      <c r="AG970" s="296"/>
      <c r="AH970" s="296"/>
      <c r="AI970" s="296"/>
      <c r="AJ970" s="326"/>
      <c r="AK970" s="326"/>
      <c r="AL970" s="326"/>
      <c r="AM970" s="326"/>
    </row>
    <row r="971" spans="1:39" x14ac:dyDescent="0.25">
      <c r="A971" s="232">
        <f t="shared" si="584"/>
        <v>971</v>
      </c>
      <c r="B971" s="232"/>
      <c r="C971" s="316" t="str">
        <f>+E971</f>
        <v>29.6</v>
      </c>
      <c r="D971" s="297"/>
      <c r="E971" s="317" t="s">
        <v>12595</v>
      </c>
      <c r="F971" s="317"/>
      <c r="G971" s="327" t="s">
        <v>12568</v>
      </c>
      <c r="H971" s="317"/>
      <c r="I971" s="319"/>
      <c r="J971" s="317"/>
      <c r="K971" s="317"/>
      <c r="L971" s="317"/>
      <c r="M971" s="317"/>
      <c r="N971" s="317"/>
      <c r="O971" s="317"/>
      <c r="P971" s="317"/>
      <c r="Q971" s="320"/>
      <c r="R971" s="306"/>
      <c r="S971" s="286"/>
      <c r="T971" s="287"/>
      <c r="U971" s="288" t="str">
        <f t="shared" si="577"/>
        <v/>
      </c>
      <c r="V971" s="287"/>
      <c r="W971" s="289" t="str">
        <f t="shared" si="578"/>
        <v/>
      </c>
      <c r="X971" s="287"/>
      <c r="Y971" s="290" t="str">
        <f t="shared" si="579"/>
        <v/>
      </c>
      <c r="Z971" s="291">
        <f ca="1">SUMIF($T$8:Y$1018,"QUANT.",T971:Y971)</f>
        <v>0</v>
      </c>
      <c r="AA971" s="292">
        <f t="shared" ca="1" si="580"/>
        <v>0</v>
      </c>
      <c r="AB971" s="293" t="str">
        <f t="shared" si="581"/>
        <v/>
      </c>
      <c r="AC971" s="294">
        <f t="shared" ca="1" si="582"/>
        <v>0</v>
      </c>
      <c r="AD971" s="294">
        <f t="shared" ca="1" si="583"/>
        <v>0</v>
      </c>
      <c r="AE971" s="295"/>
      <c r="AF971" s="295"/>
      <c r="AG971" s="296"/>
      <c r="AH971" s="296"/>
      <c r="AI971" s="296"/>
      <c r="AJ971" s="326"/>
      <c r="AK971" s="326"/>
      <c r="AL971" s="326"/>
      <c r="AM971" s="326"/>
    </row>
    <row r="972" spans="1:39" ht="25.5" x14ac:dyDescent="0.25">
      <c r="A972" s="232">
        <f t="shared" si="584"/>
        <v>972</v>
      </c>
      <c r="B972" s="232"/>
      <c r="C972" s="307" t="str">
        <f>+C971</f>
        <v>29.6</v>
      </c>
      <c r="D972" s="308">
        <f>1+D971</f>
        <v>1</v>
      </c>
      <c r="E972" s="309" t="str">
        <f>C972&amp;"."&amp;D972</f>
        <v>29.6.1</v>
      </c>
      <c r="F972" s="310">
        <v>105113</v>
      </c>
      <c r="G972" s="311" t="str">
        <f>IF($F972="","",IFERROR(VLOOKUP($F972,SERVIÇOS!$B:$G,2,0),IFERROR(VLOOKUP($F972,'COMPOSIÇÕES COMPLEMENTARES '!$D:$L,2,0),IFERROR(VLOOKUP($F972,INSUMOS!$A:$D,2,0),""))))</f>
        <v>ESTRUTURA DE MADEIRA PROVISÓRIA PARA SUPORTE DE CAIXA D'ÁGUA ELEVADA DE 2000 LITROS. AF_03/2024</v>
      </c>
      <c r="H972" s="312" t="str">
        <f>IF($F972="","",IFERROR(VLOOKUP($F972,SERVIÇOS!$B:$G,3,0),IFERROR(VLOOKUP($F972,'COMPOSIÇÕES COMPLEMENTARES '!$D:$L,3,0),IFERROR(VLOOKUP($F972,INSUMOS!$A:$D,3,0),""))))</f>
        <v>UN</v>
      </c>
      <c r="I972" s="313">
        <v>1</v>
      </c>
      <c r="J972" s="314">
        <f>IF($F972="","",IFERROR(VLOOKUP($F972,SERVIÇOS!$B:$G,4,0),IFERROR(VLOOKUP($F972,'COMPOSIÇÕES COMPLEMENTARES '!$D:$L,6,0),IFERROR(VLOOKUP($F972,INSUMOS!$A:$D,4,0),""))))</f>
        <v>6533.47</v>
      </c>
      <c r="K972" s="314">
        <f>IF($F972="","",IFERROR(VLOOKUP($F972,SERVIÇOS!$B:$G,5,0),IFERROR(VLOOKUP($F972,'COMPOSIÇÕES COMPLEMENTARES '!$D:$L,7,0),0)))</f>
        <v>2022.67</v>
      </c>
      <c r="L972" s="314">
        <f>IF(I972="","",J972+K972)</f>
        <v>8556.14</v>
      </c>
      <c r="M972" s="314">
        <f>IF(I972="","",TRUNC((I972*J972),2))</f>
        <v>6533.47</v>
      </c>
      <c r="N972" s="314">
        <f>IF(I972="","",TRUNC((I972*K972),2))</f>
        <v>2022.67</v>
      </c>
      <c r="O972" s="314">
        <f>IF(I972="","",TRUNC((M972+N972),2))</f>
        <v>8556.14</v>
      </c>
      <c r="P972" s="314"/>
      <c r="Q972" s="315"/>
      <c r="R972" s="315"/>
      <c r="S972" s="286"/>
      <c r="T972" s="287"/>
      <c r="U972" s="288" t="str">
        <f t="shared" si="577"/>
        <v/>
      </c>
      <c r="V972" s="287"/>
      <c r="W972" s="289" t="str">
        <f t="shared" si="578"/>
        <v/>
      </c>
      <c r="X972" s="287"/>
      <c r="Y972" s="290" t="str">
        <f t="shared" si="579"/>
        <v/>
      </c>
      <c r="Z972" s="291">
        <f ca="1">SUMIF($T$8:Y$1018,"QUANT.",T972:Y972)</f>
        <v>0</v>
      </c>
      <c r="AA972" s="292">
        <f t="shared" ca="1" si="580"/>
        <v>0</v>
      </c>
      <c r="AB972" s="293" t="str">
        <f t="shared" ca="1" si="581"/>
        <v>MEDIR</v>
      </c>
      <c r="AC972" s="294">
        <f t="shared" ca="1" si="582"/>
        <v>1</v>
      </c>
      <c r="AD972" s="294">
        <f t="shared" ca="1" si="583"/>
        <v>8556.14</v>
      </c>
      <c r="AE972" s="295"/>
      <c r="AF972" s="295"/>
      <c r="AG972" s="296"/>
      <c r="AH972" s="296"/>
      <c r="AI972" s="296"/>
      <c r="AJ972" s="326"/>
      <c r="AK972" s="326"/>
      <c r="AL972" s="326"/>
      <c r="AM972" s="326"/>
    </row>
    <row r="973" spans="1:39" ht="25.5" x14ac:dyDescent="0.25">
      <c r="A973" s="232">
        <f t="shared" si="584"/>
        <v>973</v>
      </c>
      <c r="B973" s="232"/>
      <c r="C973" s="281">
        <f>+E973</f>
        <v>29</v>
      </c>
      <c r="D973" s="297"/>
      <c r="E973" s="298">
        <v>29</v>
      </c>
      <c r="F973" s="322"/>
      <c r="G973" s="299" t="s">
        <v>12569</v>
      </c>
      <c r="H973" s="300"/>
      <c r="I973" s="345"/>
      <c r="J973" s="302"/>
      <c r="K973" s="303"/>
      <c r="L973" s="303"/>
      <c r="M973" s="304">
        <f>TRUNC(SUMIF(M975:M1001,"&gt;0",M975:M1001),2)</f>
        <v>674639.26</v>
      </c>
      <c r="N973" s="304">
        <f>TRUNC(SUMIF(N975:N1001,"&gt;0",N975:N1001),2)</f>
        <v>41725.300000000003</v>
      </c>
      <c r="O973" s="305"/>
      <c r="P973" s="304">
        <f>TRUNC(SUMIF(O975:O1001,"&gt;0",O975:O1001),2)</f>
        <v>716364.56</v>
      </c>
      <c r="Q973" s="306"/>
      <c r="R973" s="306"/>
      <c r="S973" s="286"/>
      <c r="T973" s="287"/>
      <c r="U973" s="288" t="str">
        <f t="shared" si="577"/>
        <v/>
      </c>
      <c r="V973" s="287"/>
      <c r="W973" s="289" t="str">
        <f t="shared" si="578"/>
        <v/>
      </c>
      <c r="X973" s="287"/>
      <c r="Y973" s="290" t="str">
        <f t="shared" si="579"/>
        <v/>
      </c>
      <c r="Z973" s="291">
        <f ca="1">SUMIF($T$8:Y$1018,"QUANT.",T973:Y973)</f>
        <v>0</v>
      </c>
      <c r="AA973" s="292">
        <f t="shared" ca="1" si="580"/>
        <v>0</v>
      </c>
      <c r="AB973" s="293" t="str">
        <f t="shared" si="581"/>
        <v/>
      </c>
      <c r="AC973" s="294">
        <f t="shared" ca="1" si="582"/>
        <v>0</v>
      </c>
      <c r="AD973" s="294">
        <f t="shared" ca="1" si="583"/>
        <v>0</v>
      </c>
      <c r="AE973" s="295"/>
      <c r="AF973" s="295"/>
      <c r="AG973" s="296"/>
      <c r="AH973" s="296"/>
      <c r="AI973" s="296"/>
      <c r="AJ973" s="326"/>
      <c r="AK973" s="326"/>
      <c r="AL973" s="326"/>
      <c r="AM973" s="326"/>
    </row>
    <row r="974" spans="1:39" x14ac:dyDescent="0.25">
      <c r="A974" s="232">
        <f t="shared" si="584"/>
        <v>974</v>
      </c>
      <c r="B974" s="232"/>
      <c r="C974" s="316" t="str">
        <f>+E974</f>
        <v>30.1</v>
      </c>
      <c r="D974" s="297"/>
      <c r="E974" s="317" t="s">
        <v>20477</v>
      </c>
      <c r="F974" s="317"/>
      <c r="G974" s="327" t="s">
        <v>12571</v>
      </c>
      <c r="H974" s="317"/>
      <c r="I974" s="319"/>
      <c r="J974" s="317"/>
      <c r="K974" s="317"/>
      <c r="L974" s="317"/>
      <c r="M974" s="317"/>
      <c r="N974" s="317"/>
      <c r="O974" s="317"/>
      <c r="P974" s="317"/>
      <c r="Q974" s="320"/>
      <c r="R974" s="306"/>
      <c r="S974" s="286"/>
      <c r="T974" s="287"/>
      <c r="U974" s="288" t="str">
        <f t="shared" si="577"/>
        <v/>
      </c>
      <c r="V974" s="287"/>
      <c r="W974" s="289" t="str">
        <f t="shared" si="578"/>
        <v/>
      </c>
      <c r="X974" s="287"/>
      <c r="Y974" s="290" t="str">
        <f t="shared" si="579"/>
        <v/>
      </c>
      <c r="Z974" s="291">
        <f ca="1">SUMIF($T$8:Y$1018,"QUANT.",T974:Y974)</f>
        <v>0</v>
      </c>
      <c r="AA974" s="292">
        <f t="shared" ca="1" si="580"/>
        <v>0</v>
      </c>
      <c r="AB974" s="293" t="str">
        <f t="shared" si="581"/>
        <v/>
      </c>
      <c r="AC974" s="294">
        <f t="shared" ca="1" si="582"/>
        <v>0</v>
      </c>
      <c r="AD974" s="294">
        <f t="shared" ca="1" si="583"/>
        <v>0</v>
      </c>
      <c r="AE974" s="295"/>
      <c r="AF974" s="295"/>
      <c r="AG974" s="296"/>
      <c r="AH974" s="296"/>
      <c r="AI974" s="296"/>
      <c r="AJ974" s="326"/>
      <c r="AK974" s="326"/>
      <c r="AL974" s="326"/>
      <c r="AM974" s="326"/>
    </row>
    <row r="975" spans="1:39" ht="25.5" x14ac:dyDescent="0.25">
      <c r="A975" s="232">
        <f t="shared" si="584"/>
        <v>975</v>
      </c>
      <c r="B975" s="232"/>
      <c r="C975" s="307" t="str">
        <f>+C974</f>
        <v>30.1</v>
      </c>
      <c r="D975" s="308">
        <f>1+D974</f>
        <v>1</v>
      </c>
      <c r="E975" s="309" t="str">
        <f>C975&amp;"."&amp;D975</f>
        <v>30.1.1</v>
      </c>
      <c r="F975" s="310" t="s">
        <v>12572</v>
      </c>
      <c r="G975" s="311" t="str">
        <f>IF($F975="","",IFERROR(VLOOKUP($F975,SERVIÇOS!$B:$G,2,0),IFERROR(VLOOKUP($F975,'COMPOSIÇÕES COMPLEMENTARES '!$D:$L,2,0),IFERROR(VLOOKUP($F975,INSUMOS!$A:$D,2,0),""))))</f>
        <v>UNIDADE CONDENSADORA - CICLO FRIO - MARCA DAIKIN (OU EQUIVALENTE TÉCNICO) - MOD. RXQ8TATL - CAP. 76.400BTU/H - TRIFÁSICA - 220V - 60Hz - 185kg - DIMENSÃO 1.657x930x765mm (A x L x P)</v>
      </c>
      <c r="H975" s="312" t="str">
        <f>IF($F975="","",IFERROR(VLOOKUP($F975,SERVIÇOS!$B:$G,3,0),IFERROR(VLOOKUP($F975,'COMPOSIÇÕES COMPLEMENTARES '!$D:$L,3,0),IFERROR(VLOOKUP($F975,INSUMOS!$A:$D,3,0),""))))</f>
        <v>UN</v>
      </c>
      <c r="I975" s="313">
        <v>2</v>
      </c>
      <c r="J975" s="314">
        <f>IF($F975="","",IFERROR(VLOOKUP($F975,SERVIÇOS!$B:$G,4,0),IFERROR(VLOOKUP($F975,'COMPOSIÇÕES COMPLEMENTARES '!$D:$L,6,0),IFERROR(VLOOKUP($F975,INSUMOS!$A:$D,4,0),""))))</f>
        <v>45361.070000000007</v>
      </c>
      <c r="K975" s="314">
        <f>IF($F975="","",IFERROR(VLOOKUP($F975,SERVIÇOS!$B:$G,5,0),IFERROR(VLOOKUP($F975,'COMPOSIÇÕES COMPLEMENTARES '!$D:$L,7,0),0)))</f>
        <v>676.96</v>
      </c>
      <c r="L975" s="314">
        <f>IF(I975="","",J975+K975)</f>
        <v>46038.030000000006</v>
      </c>
      <c r="M975" s="314">
        <f>IF(I975="","",TRUNC((I975*J975),2))</f>
        <v>90722.14</v>
      </c>
      <c r="N975" s="314">
        <f>IF(I975="","",TRUNC((I975*K975),2))</f>
        <v>1353.92</v>
      </c>
      <c r="O975" s="314">
        <f>IF(I975="","",TRUNC((M975+N975),2))</f>
        <v>92076.06</v>
      </c>
      <c r="P975" s="314"/>
      <c r="Q975" s="315"/>
      <c r="R975" s="315"/>
      <c r="S975" s="286"/>
      <c r="T975" s="287"/>
      <c r="U975" s="288" t="str">
        <f t="shared" si="577"/>
        <v/>
      </c>
      <c r="V975" s="287"/>
      <c r="W975" s="289" t="str">
        <f t="shared" si="578"/>
        <v/>
      </c>
      <c r="X975" s="287"/>
      <c r="Y975" s="290" t="str">
        <f t="shared" si="579"/>
        <v/>
      </c>
      <c r="Z975" s="291">
        <f ca="1">SUMIF($T$8:Y$1018,"QUANT.",T975:Y975)</f>
        <v>0</v>
      </c>
      <c r="AA975" s="292">
        <f t="shared" ca="1" si="580"/>
        <v>0</v>
      </c>
      <c r="AB975" s="293" t="str">
        <f t="shared" ca="1" si="581"/>
        <v>MEDIR</v>
      </c>
      <c r="AC975" s="294">
        <f t="shared" ca="1" si="582"/>
        <v>2</v>
      </c>
      <c r="AD975" s="294">
        <f t="shared" ca="1" si="583"/>
        <v>92076.06</v>
      </c>
      <c r="AE975" s="295"/>
      <c r="AF975" s="295"/>
      <c r="AG975" s="296"/>
      <c r="AH975" s="296"/>
      <c r="AI975" s="296"/>
      <c r="AJ975" s="326"/>
      <c r="AK975" s="326"/>
      <c r="AL975" s="326"/>
      <c r="AM975" s="326"/>
    </row>
    <row r="976" spans="1:39" ht="25.5" x14ac:dyDescent="0.25">
      <c r="A976" s="232">
        <f t="shared" si="584"/>
        <v>976</v>
      </c>
      <c r="B976" s="232"/>
      <c r="C976" s="307" t="str">
        <f>+C975</f>
        <v>30.1</v>
      </c>
      <c r="D976" s="308">
        <f>1+D975</f>
        <v>2</v>
      </c>
      <c r="E976" s="309" t="str">
        <f>C976&amp;"."&amp;D976</f>
        <v>30.1.2</v>
      </c>
      <c r="F976" s="310" t="s">
        <v>12573</v>
      </c>
      <c r="G976" s="311" t="str">
        <f>IF($F976="","",IFERROR(VLOOKUP($F976,SERVIÇOS!$B:$G,2,0),IFERROR(VLOOKUP($F976,'COMPOSIÇÕES COMPLEMENTARES '!$D:$L,2,0),IFERROR(VLOOKUP($F976,INSUMOS!$A:$D,2,0),""))))</f>
        <v>UNIDADE CONDENSADORA - SOMENTE FRIO  - MARCA DAIKIN (OU EQUIVALENTE TÉCNICO) - MOD. RXQ18TATL - CAP. 171.000BTU/H - TRIFÁSICA - 220V - 60Hz - 260kg</v>
      </c>
      <c r="H976" s="312" t="str">
        <f>IF($F976="","",IFERROR(VLOOKUP($F976,SERVIÇOS!$B:$G,3,0),IFERROR(VLOOKUP($F976,'COMPOSIÇÕES COMPLEMENTARES '!$D:$L,3,0),IFERROR(VLOOKUP($F976,INSUMOS!$A:$D,3,0),""))))</f>
        <v>UN</v>
      </c>
      <c r="I976" s="313">
        <v>1</v>
      </c>
      <c r="J976" s="314">
        <f>IF($F976="","",IFERROR(VLOOKUP($F976,SERVIÇOS!$B:$G,4,0),IFERROR(VLOOKUP($F976,'COMPOSIÇÕES COMPLEMENTARES '!$D:$L,6,0),IFERROR(VLOOKUP($F976,INSUMOS!$A:$D,4,0),""))))</f>
        <v>67406.219999999987</v>
      </c>
      <c r="K976" s="314">
        <f>IF($F976="","",IFERROR(VLOOKUP($F976,SERVIÇOS!$B:$G,5,0),IFERROR(VLOOKUP($F976,'COMPOSIÇÕES COMPLEMENTARES '!$D:$L,7,0),0)))</f>
        <v>676.96</v>
      </c>
      <c r="L976" s="314">
        <f>IF(I976="","",J976+K976)</f>
        <v>68083.179999999993</v>
      </c>
      <c r="M976" s="314">
        <f>IF(I976="","",TRUNC((I976*J976),2))</f>
        <v>67406.22</v>
      </c>
      <c r="N976" s="314">
        <f>IF(I976="","",TRUNC((I976*K976),2))</f>
        <v>676.96</v>
      </c>
      <c r="O976" s="314">
        <f>IF(I976="","",TRUNC((M976+N976),2))</f>
        <v>68083.179999999993</v>
      </c>
      <c r="P976" s="314"/>
      <c r="Q976" s="315"/>
      <c r="R976" s="315"/>
      <c r="S976" s="286"/>
      <c r="T976" s="287"/>
      <c r="U976" s="288" t="str">
        <f t="shared" si="577"/>
        <v/>
      </c>
      <c r="V976" s="287"/>
      <c r="W976" s="289" t="str">
        <f t="shared" si="578"/>
        <v/>
      </c>
      <c r="X976" s="287"/>
      <c r="Y976" s="290" t="str">
        <f t="shared" si="579"/>
        <v/>
      </c>
      <c r="Z976" s="291">
        <f ca="1">SUMIF($T$8:Y$1018,"QUANT.",T976:Y976)</f>
        <v>0</v>
      </c>
      <c r="AA976" s="292">
        <f t="shared" ca="1" si="580"/>
        <v>0</v>
      </c>
      <c r="AB976" s="293" t="str">
        <f t="shared" ca="1" si="581"/>
        <v>MEDIR</v>
      </c>
      <c r="AC976" s="294">
        <f t="shared" ca="1" si="582"/>
        <v>1</v>
      </c>
      <c r="AD976" s="294">
        <f t="shared" ca="1" si="583"/>
        <v>68083.179999999993</v>
      </c>
      <c r="AE976" s="295"/>
      <c r="AF976" s="295"/>
      <c r="AG976" s="296"/>
      <c r="AH976" s="296"/>
      <c r="AI976" s="296"/>
      <c r="AJ976" s="326"/>
      <c r="AK976" s="326"/>
      <c r="AL976" s="326"/>
      <c r="AM976" s="326"/>
    </row>
    <row r="977" spans="1:39" x14ac:dyDescent="0.25">
      <c r="A977" s="232">
        <f t="shared" si="584"/>
        <v>977</v>
      </c>
      <c r="B977" s="232"/>
      <c r="C977" s="316" t="str">
        <f>+E977</f>
        <v>30.2</v>
      </c>
      <c r="D977" s="297"/>
      <c r="E977" s="317" t="s">
        <v>20478</v>
      </c>
      <c r="F977" s="317"/>
      <c r="G977" s="327" t="s">
        <v>12575</v>
      </c>
      <c r="H977" s="317"/>
      <c r="I977" s="319"/>
      <c r="J977" s="317"/>
      <c r="K977" s="317"/>
      <c r="L977" s="317"/>
      <c r="M977" s="317"/>
      <c r="N977" s="317"/>
      <c r="O977" s="317"/>
      <c r="P977" s="317"/>
      <c r="Q977" s="315"/>
      <c r="R977" s="306"/>
      <c r="S977" s="286"/>
      <c r="T977" s="287"/>
      <c r="U977" s="288" t="str">
        <f t="shared" si="577"/>
        <v/>
      </c>
      <c r="V977" s="287"/>
      <c r="W977" s="289" t="str">
        <f t="shared" si="578"/>
        <v/>
      </c>
      <c r="X977" s="287"/>
      <c r="Y977" s="290" t="str">
        <f t="shared" si="579"/>
        <v/>
      </c>
      <c r="Z977" s="291">
        <f ca="1">SUMIF($T$8:Y$1018,"QUANT.",T977:Y977)</f>
        <v>0</v>
      </c>
      <c r="AA977" s="292">
        <f t="shared" ca="1" si="580"/>
        <v>0</v>
      </c>
      <c r="AB977" s="293" t="str">
        <f t="shared" si="581"/>
        <v/>
      </c>
      <c r="AC977" s="294">
        <f t="shared" ca="1" si="582"/>
        <v>0</v>
      </c>
      <c r="AD977" s="294">
        <f t="shared" ca="1" si="583"/>
        <v>0</v>
      </c>
      <c r="AE977" s="295"/>
      <c r="AF977" s="295"/>
      <c r="AG977" s="296"/>
      <c r="AH977" s="296"/>
      <c r="AI977" s="296"/>
      <c r="AJ977" s="326"/>
      <c r="AK977" s="326"/>
      <c r="AL977" s="326"/>
      <c r="AM977" s="326"/>
    </row>
    <row r="978" spans="1:39" ht="409.5" x14ac:dyDescent="0.25">
      <c r="A978" s="232">
        <f t="shared" si="584"/>
        <v>978</v>
      </c>
      <c r="B978" s="232"/>
      <c r="C978" s="307" t="str">
        <f>+C977</f>
        <v>30.2</v>
      </c>
      <c r="D978" s="308">
        <f>1+D977</f>
        <v>1</v>
      </c>
      <c r="E978" s="309" t="str">
        <f>C978&amp;"."&amp;D978</f>
        <v>30.2.1</v>
      </c>
      <c r="F978" s="310" t="s">
        <v>12576</v>
      </c>
      <c r="G978" s="351" t="str">
        <f>IF($F978="","",IFERROR(VLOOKUP($F978,SERVIÇOS!$B:$G,2,0),IFERROR(VLOOKUP($F978,'COMPOSIÇÕES COMPLEMENTARES '!$D:$L,2,0),IFERROR(VLOOKUP($F978,INSUMOS!$A:$D,2,0),""))))</f>
        <v>UNIDADES DE TRATAMENTO DE AR MODULAR DE MONTAGEM HORIZONTAL
AMBIENTES ATENDIDOS: CME LAVAGEM
LOCALIZAÇÃO: LAJE EXPOSTA AO TEMPO
TIPO DE SISTEMA DE CLIMATIZAÇÃO: EXPANSÃO DIRETA, FLUIDO R410A (OBS: DEVE ACOMPANHAR VÁLVULA DE EXPANSÃO ELETRÔNICA CONFORME SELEÇÃO DO FABRICANTE)
CARGA TÉRMICA TOTAL DA SERPENTINA: 1,82kW
CARGA TÉRMICA SENSÍVEL DA SERPENTINA: 1,25kW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78" s="312" t="str">
        <f>IF($F978="","",IFERROR(VLOOKUP($F978,SERVIÇOS!$B:$G,3,0),IFERROR(VLOOKUP($F978,'COMPOSIÇÕES COMPLEMENTARES '!$D:$L,3,0),IFERROR(VLOOKUP($F978,INSUMOS!$A:$D,3,0),""))))</f>
        <v>UN</v>
      </c>
      <c r="I978" s="313">
        <v>1</v>
      </c>
      <c r="J978" s="314">
        <f>IF($F978="","",IFERROR(VLOOKUP($F978,SERVIÇOS!$B:$G,4,0),IFERROR(VLOOKUP($F978,'COMPOSIÇÕES COMPLEMENTARES '!$D:$L,6,0),IFERROR(VLOOKUP($F978,INSUMOS!$A:$D,4,0),""))))</f>
        <v>35456.339999999997</v>
      </c>
      <c r="K978" s="314">
        <f>IF($F978="","",IFERROR(VLOOKUP($F978,SERVIÇOS!$B:$G,5,0),IFERROR(VLOOKUP($F978,'COMPOSIÇÕES COMPLEMENTARES '!$D:$L,7,0),0)))</f>
        <v>2841.19</v>
      </c>
      <c r="L978" s="314">
        <f>IF(I978="","",J978+K978)</f>
        <v>38297.53</v>
      </c>
      <c r="M978" s="314">
        <f>IF(I978="","",TRUNC((I978*J978),2))</f>
        <v>35456.339999999997</v>
      </c>
      <c r="N978" s="314">
        <f>IF(I978="","",TRUNC((I978*K978),2))</f>
        <v>2841.19</v>
      </c>
      <c r="O978" s="314">
        <f>IF(I978="","",TRUNC((M978+N978),2))</f>
        <v>38297.53</v>
      </c>
      <c r="P978" s="314"/>
      <c r="Q978" s="315"/>
      <c r="R978" s="315"/>
      <c r="S978" s="286"/>
      <c r="T978" s="287"/>
      <c r="U978" s="288" t="str">
        <f t="shared" si="577"/>
        <v/>
      </c>
      <c r="V978" s="287"/>
      <c r="W978" s="289" t="str">
        <f t="shared" si="578"/>
        <v/>
      </c>
      <c r="X978" s="287"/>
      <c r="Y978" s="290" t="str">
        <f t="shared" si="579"/>
        <v/>
      </c>
      <c r="Z978" s="291">
        <f ca="1">SUMIF($T$8:Y$1018,"QUANT.",T978:Y978)</f>
        <v>0</v>
      </c>
      <c r="AA978" s="292">
        <f t="shared" ca="1" si="580"/>
        <v>0</v>
      </c>
      <c r="AB978" s="293" t="str">
        <f t="shared" ca="1" si="581"/>
        <v>MEDIR</v>
      </c>
      <c r="AC978" s="294">
        <f t="shared" ca="1" si="582"/>
        <v>1</v>
      </c>
      <c r="AD978" s="294">
        <f t="shared" ca="1" si="583"/>
        <v>38297.53</v>
      </c>
      <c r="AE978" s="295"/>
      <c r="AF978" s="295"/>
      <c r="AG978" s="296"/>
      <c r="AH978" s="296"/>
      <c r="AI978" s="296"/>
      <c r="AJ978" s="326"/>
      <c r="AK978" s="326"/>
      <c r="AL978" s="326"/>
      <c r="AM978" s="326"/>
    </row>
    <row r="979" spans="1:39" ht="409.5" x14ac:dyDescent="0.25">
      <c r="A979" s="232">
        <f t="shared" si="584"/>
        <v>979</v>
      </c>
      <c r="B979" s="232"/>
      <c r="C979" s="307" t="str">
        <f>+C978</f>
        <v>30.2</v>
      </c>
      <c r="D979" s="308">
        <f>1+D978</f>
        <v>2</v>
      </c>
      <c r="E979" s="309" t="str">
        <f>C979&amp;"."&amp;D979</f>
        <v>30.2.2</v>
      </c>
      <c r="F979" s="310" t="s">
        <v>12577</v>
      </c>
      <c r="G979" s="351" t="str">
        <f>IF($F979="","",IFERROR(VLOOKUP($F979,SERVIÇOS!$B:$G,2,0),IFERROR(VLOOKUP($F979,'COMPOSIÇÕES COMPLEMENTARES '!$D:$L,2,0),IFERROR(VLOOKUP($F979,INSUMOS!$A:$D,2,0),""))))</f>
        <v>UNIDADES DE TRATAMENTO DE AR MODULAR DE MONTAGEM HORIZONTAL
AMBIENTES ATENDIDOS: CME ESTERILIZAÇÃO FÍSICA
LOCALIZAÇÃO: LAJE EXPOSTA AO TEMPO
TIPO DE SISTEMA DE CLIMATIZAÇÃO: EXPANSÃO DIRETA, FLUIDO R410A (OBS: DEVE ACOMPANHAR VÁLVULA DE EXPANSÃO ELETRÔNICA CONFORME SELEÇÃO DO FABRICANTE)
CARGA TÉRMICA TOTAL DA SERPENTINA: 3,59kW
CARGA TÉRMICA SENSÍVEL DA SERPENTINA: 2,69kW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1,00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79" s="312" t="str">
        <f>IF($F979="","",IFERROR(VLOOKUP($F979,SERVIÇOS!$B:$G,3,0),IFERROR(VLOOKUP($F979,'COMPOSIÇÕES COMPLEMENTARES '!$D:$L,3,0),IFERROR(VLOOKUP($F979,INSUMOS!$A:$D,3,0),""))))</f>
        <v>UN</v>
      </c>
      <c r="I979" s="313">
        <v>1</v>
      </c>
      <c r="J979" s="314">
        <f>IF($F979="","",IFERROR(VLOOKUP($F979,SERVIÇOS!$B:$G,4,0),IFERROR(VLOOKUP($F979,'COMPOSIÇÕES COMPLEMENTARES '!$D:$L,6,0),IFERROR(VLOOKUP($F979,INSUMOS!$A:$D,4,0),""))))</f>
        <v>35456.339999999997</v>
      </c>
      <c r="K979" s="314">
        <f>IF($F979="","",IFERROR(VLOOKUP($F979,SERVIÇOS!$B:$G,5,0),IFERROR(VLOOKUP($F979,'COMPOSIÇÕES COMPLEMENTARES '!$D:$L,7,0),0)))</f>
        <v>2841.19</v>
      </c>
      <c r="L979" s="314">
        <f>IF(I979="","",J979+K979)</f>
        <v>38297.53</v>
      </c>
      <c r="M979" s="314">
        <f>IF(I979="","",TRUNC((I979*J979),2))</f>
        <v>35456.339999999997</v>
      </c>
      <c r="N979" s="314">
        <f>IF(I979="","",TRUNC((I979*K979),2))</f>
        <v>2841.19</v>
      </c>
      <c r="O979" s="314">
        <f>IF(I979="","",TRUNC((M979+N979),2))</f>
        <v>38297.53</v>
      </c>
      <c r="P979" s="314"/>
      <c r="Q979" s="315"/>
      <c r="R979" s="315"/>
      <c r="S979" s="286"/>
      <c r="T979" s="287"/>
      <c r="U979" s="288" t="str">
        <f t="shared" si="577"/>
        <v/>
      </c>
      <c r="V979" s="287"/>
      <c r="W979" s="289" t="str">
        <f t="shared" si="578"/>
        <v/>
      </c>
      <c r="X979" s="287"/>
      <c r="Y979" s="290" t="str">
        <f t="shared" si="579"/>
        <v/>
      </c>
      <c r="Z979" s="291">
        <f ca="1">SUMIF($T$8:Y$1018,"QUANT.",T979:Y979)</f>
        <v>0</v>
      </c>
      <c r="AA979" s="292">
        <f t="shared" ca="1" si="580"/>
        <v>0</v>
      </c>
      <c r="AB979" s="293" t="str">
        <f t="shared" ca="1" si="581"/>
        <v>MEDIR</v>
      </c>
      <c r="AC979" s="294">
        <f t="shared" ca="1" si="582"/>
        <v>1</v>
      </c>
      <c r="AD979" s="294">
        <f t="shared" ca="1" si="583"/>
        <v>38297.53</v>
      </c>
      <c r="AE979" s="295"/>
      <c r="AF979" s="295"/>
      <c r="AG979" s="296"/>
      <c r="AH979" s="296"/>
      <c r="AI979" s="296"/>
      <c r="AJ979" s="326"/>
      <c r="AK979" s="326"/>
      <c r="AL979" s="326"/>
      <c r="AM979" s="326"/>
    </row>
    <row r="980" spans="1:39" ht="409.5" x14ac:dyDescent="0.25">
      <c r="A980" s="232">
        <f t="shared" si="584"/>
        <v>980</v>
      </c>
      <c r="B980" s="232"/>
      <c r="C980" s="307" t="str">
        <f>+C979</f>
        <v>30.2</v>
      </c>
      <c r="D980" s="308">
        <f>1+D979</f>
        <v>3</v>
      </c>
      <c r="E980" s="309" t="str">
        <f>C980&amp;"."&amp;D980</f>
        <v>30.2.3</v>
      </c>
      <c r="F980" s="310" t="s">
        <v>12578</v>
      </c>
      <c r="G980" s="351" t="str">
        <f>IF($F980="","",IFERROR(VLOOKUP($F980,SERVIÇOS!$B:$G,2,0),IFERROR(VLOOKUP($F980,'COMPOSIÇÕES COMPLEMENTARES '!$D:$L,2,0),IFERROR(VLOOKUP($F980,INSUMOS!$A:$D,2,0),""))))</f>
        <v>UNIDADES DE TRATAMENTO DE AR MODULAR DE MONTAGEM HORIZONTAL
AMBIENTES ATENDIDOS: CME ESTERILIZAÇÃO QUÍMICA
LOCALIZAÇÃO: LAJE EXPOSTA AO TEMPO
TIPO DE SISTEMA DE CLIMATIZAÇÃO: EXPANSÃO DIRETA, FLUIDO R410A (OBS: DEVE ACOMPANHAR VÁLVULA DE EXPANSÃO ELETRÔNICA CONFORME SELEÇÃO DO FABRICANTE)
CARGA TÉRMICA TOTAL DA SERPENTINA: 1,69kW
CARGA TÉRMICA SENSÍVEL DA SERPENTINA: 1,20kW
VAZÃO DE INSUFLAMENTO: 700m³/h
VAZÃO DE AR EXTERNO: 40m³/h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0" s="312" t="str">
        <f>IF($F980="","",IFERROR(VLOOKUP($F980,SERVIÇOS!$B:$G,3,0),IFERROR(VLOOKUP($F980,'COMPOSIÇÕES COMPLEMENTARES '!$D:$L,3,0),IFERROR(VLOOKUP($F980,INSUMOS!$A:$D,3,0),""))))</f>
        <v>UN</v>
      </c>
      <c r="I980" s="313">
        <v>1</v>
      </c>
      <c r="J980" s="314">
        <f>IF($F980="","",IFERROR(VLOOKUP($F980,SERVIÇOS!$B:$G,4,0),IFERROR(VLOOKUP($F980,'COMPOSIÇÕES COMPLEMENTARES '!$D:$L,6,0),IFERROR(VLOOKUP($F980,INSUMOS!$A:$D,4,0),""))))</f>
        <v>35456.339999999997</v>
      </c>
      <c r="K980" s="314">
        <f>IF($F980="","",IFERROR(VLOOKUP($F980,SERVIÇOS!$B:$G,5,0),IFERROR(VLOOKUP($F980,'COMPOSIÇÕES COMPLEMENTARES '!$D:$L,7,0),0)))</f>
        <v>2841.19</v>
      </c>
      <c r="L980" s="314">
        <f>IF(I980="","",J980+K980)</f>
        <v>38297.53</v>
      </c>
      <c r="M980" s="314">
        <f>IF(I980="","",TRUNC((I980*J980),2))</f>
        <v>35456.339999999997</v>
      </c>
      <c r="N980" s="314">
        <f>IF(I980="","",TRUNC((I980*K980),2))</f>
        <v>2841.19</v>
      </c>
      <c r="O980" s="314">
        <f>IF(I980="","",TRUNC((M980+N980),2))</f>
        <v>38297.53</v>
      </c>
      <c r="P980" s="314"/>
      <c r="Q980" s="315"/>
      <c r="R980" s="315"/>
      <c r="S980" s="286"/>
      <c r="T980" s="287"/>
      <c r="U980" s="288" t="str">
        <f t="shared" si="577"/>
        <v/>
      </c>
      <c r="V980" s="287"/>
      <c r="W980" s="289" t="str">
        <f t="shared" si="578"/>
        <v/>
      </c>
      <c r="X980" s="287"/>
      <c r="Y980" s="290" t="str">
        <f t="shared" si="579"/>
        <v/>
      </c>
      <c r="Z980" s="291">
        <f ca="1">SUMIF($T$8:Y$1018,"QUANT.",T980:Y980)</f>
        <v>0</v>
      </c>
      <c r="AA980" s="292">
        <f t="shared" ca="1" si="580"/>
        <v>0</v>
      </c>
      <c r="AB980" s="293" t="str">
        <f t="shared" ca="1" si="581"/>
        <v>MEDIR</v>
      </c>
      <c r="AC980" s="294">
        <f t="shared" ca="1" si="582"/>
        <v>1</v>
      </c>
      <c r="AD980" s="294">
        <f t="shared" ca="1" si="583"/>
        <v>38297.53</v>
      </c>
      <c r="AE980" s="295"/>
      <c r="AF980" s="295"/>
      <c r="AG980" s="296"/>
      <c r="AH980" s="296"/>
      <c r="AI980" s="296"/>
      <c r="AJ980" s="326"/>
      <c r="AK980" s="326"/>
      <c r="AL980" s="326"/>
      <c r="AM980" s="326"/>
    </row>
    <row r="981" spans="1:39" ht="409.5" x14ac:dyDescent="0.25">
      <c r="A981" s="232">
        <f t="shared" si="584"/>
        <v>981</v>
      </c>
      <c r="B981" s="232"/>
      <c r="C981" s="307" t="str">
        <f>+C980</f>
        <v>30.2</v>
      </c>
      <c r="D981" s="308">
        <f>1+D980</f>
        <v>4</v>
      </c>
      <c r="E981" s="309" t="str">
        <f>C981&amp;"."&amp;D981</f>
        <v>30.2.4</v>
      </c>
      <c r="F981" s="310" t="s">
        <v>12579</v>
      </c>
      <c r="G981" s="351" t="str">
        <f>IF($F981="","",IFERROR(VLOOKUP($F981,SERVIÇOS!$B:$G,2,0),IFERROR(VLOOKUP($F981,'COMPOSIÇÕES COMPLEMENTARES '!$D:$L,2,0),IFERROR(VLOOKUP($F981,INSUMOS!$A:$D,2,0),""))))</f>
        <v>UNIDADES DE TRATAMENTO DE AR MODULAR DE MONTAGEM HORIZONTAL
AMBIENTES ATENDIDOS: CME GUARDA DE MATERIAIS
LOCALIZAÇÃO: LAJE EXPOSTA AO TEMPO
TIPO DE SISTEMA DE CLIMATIZAÇÃO: EXPANSÃO DIRETA, FLUIDO R410A (OBS: DEVE ACOMPANHAR VÁLVULA DE EXPANSÃO ELETRÔNICA CONFORME SELEÇÃO DO FABRICANTE)
CARGA TÉRMICA TOTAL DA SERPENTINA: 2,44kW
CARGA TÉRMICA SENSÍVEL DA SERPENTINA: 1,76kW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0,75
VARIADOR DE FREQUÊNCIA: SIM
TENSÃO ELÉTRICA RESISTÊNCIA: 220/2F
POTÊNCIA DA RESISTÊNCIA ELÉTRICA - DESUMIDIFICAÇÃO (kW): 0,75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1" s="312" t="str">
        <f>IF($F981="","",IFERROR(VLOOKUP($F981,SERVIÇOS!$B:$G,3,0),IFERROR(VLOOKUP($F981,'COMPOSIÇÕES COMPLEMENTARES '!$D:$L,3,0),IFERROR(VLOOKUP($F981,INSUMOS!$A:$D,3,0),""))))</f>
        <v>UN</v>
      </c>
      <c r="I981" s="313">
        <v>1</v>
      </c>
      <c r="J981" s="314">
        <f>IF($F981="","",IFERROR(VLOOKUP($F981,SERVIÇOS!$B:$G,4,0),IFERROR(VLOOKUP($F981,'COMPOSIÇÕES COMPLEMENTARES '!$D:$L,6,0),IFERROR(VLOOKUP($F981,INSUMOS!$A:$D,4,0),""))))</f>
        <v>35456.339999999997</v>
      </c>
      <c r="K981" s="314">
        <f>IF($F981="","",IFERROR(VLOOKUP($F981,SERVIÇOS!$B:$G,5,0),IFERROR(VLOOKUP($F981,'COMPOSIÇÕES COMPLEMENTARES '!$D:$L,7,0),0)))</f>
        <v>2841.19</v>
      </c>
      <c r="L981" s="314">
        <f>IF(I981="","",J981+K981)</f>
        <v>38297.53</v>
      </c>
      <c r="M981" s="314">
        <f>IF(I981="","",TRUNC((I981*J981),2))</f>
        <v>35456.339999999997</v>
      </c>
      <c r="N981" s="314">
        <f>IF(I981="","",TRUNC((I981*K981),2))</f>
        <v>2841.19</v>
      </c>
      <c r="O981" s="314">
        <f>IF(I981="","",TRUNC((M981+N981),2))</f>
        <v>38297.53</v>
      </c>
      <c r="P981" s="314"/>
      <c r="Q981" s="315"/>
      <c r="R981" s="315"/>
      <c r="S981" s="286"/>
      <c r="T981" s="287"/>
      <c r="U981" s="288" t="str">
        <f t="shared" ref="U981:U1018" si="585">IF(OR(T981="",$O981=""),"",(T981/$I981)*$O981)</f>
        <v/>
      </c>
      <c r="V981" s="287"/>
      <c r="W981" s="289" t="str">
        <f t="shared" ref="W981:W1018" si="586">IF(OR(V981="",$O981=""),"",(V981/$I981)*$O981)</f>
        <v/>
      </c>
      <c r="X981" s="287"/>
      <c r="Y981" s="290" t="str">
        <f t="shared" ref="Y981:Y1018" si="587">IF(OR(X981="",$O981=""),"",(X981/$I981)*$O981)</f>
        <v/>
      </c>
      <c r="Z981" s="291">
        <f ca="1">SUMIF($T$8:Y$1018,"QUANT.",T981:Y981)</f>
        <v>0</v>
      </c>
      <c r="AA981" s="292">
        <f t="shared" ca="1" si="580"/>
        <v>0</v>
      </c>
      <c r="AB981" s="293" t="str">
        <f t="shared" ref="AB981:AB1018" ca="1" si="588">IF(F981&lt;&gt;"",IF(AA981=0,"MEDIR",IF(O981-AA981=0,"OK",IF(O981-AA981&gt;0,"MEDIR","ALERTA!"))),"")</f>
        <v>MEDIR</v>
      </c>
      <c r="AC981" s="294">
        <f t="shared" ref="AC981:AC1018" ca="1" si="589">IF(Z981="",0,I981-Z981)</f>
        <v>1</v>
      </c>
      <c r="AD981" s="294">
        <f t="shared" ref="AD981:AD1018" ca="1" si="590">IF(AA981="",0,O981-AA981)</f>
        <v>38297.53</v>
      </c>
      <c r="AE981" s="295"/>
      <c r="AF981" s="295"/>
      <c r="AG981" s="296"/>
      <c r="AH981" s="296"/>
      <c r="AI981" s="296"/>
      <c r="AJ981" s="326"/>
      <c r="AK981" s="326"/>
      <c r="AL981" s="326"/>
      <c r="AM981" s="326"/>
    </row>
    <row r="982" spans="1:39" ht="409.5" x14ac:dyDescent="0.25">
      <c r="A982" s="232">
        <f t="shared" si="584"/>
        <v>982</v>
      </c>
      <c r="B982" s="232"/>
      <c r="C982" s="307" t="str">
        <f>+C981</f>
        <v>30.2</v>
      </c>
      <c r="D982" s="308">
        <f>1+D981</f>
        <v>5</v>
      </c>
      <c r="E982" s="309" t="str">
        <f>C982&amp;"."&amp;D982</f>
        <v>30.2.5</v>
      </c>
      <c r="F982" s="310" t="s">
        <v>12580</v>
      </c>
      <c r="G982" s="351" t="str">
        <f>IF($F982="","",IFERROR(VLOOKUP($F982,SERVIÇOS!$B:$G,2,0),IFERROR(VLOOKUP($F982,'COMPOSIÇÕES COMPLEMENTARES '!$D:$L,2,0),IFERROR(VLOOKUP($F982,INSUMOS!$A:$D,2,0),""))))</f>
        <v>UNIDADES DE TRATAMENTO DE AR MODULAR DE MONTAGEM HORIZONTAL
AMBIENTES ATENDIDOS: QUARTO DE ISOLAMENTO
LOCALIZAÇÃO: LAJE EXPOSTA AO TEMPO
TIPO DE SISTEMA DE CLIMATIZAÇÃO: EXPANSÃO DIRETA, FLUIDO R410A (OBS: DEVE ACOMPANHAR VÁLVULA DE EXPANSÃO ELETRÔNICA CONFORME SELEÇÃO DO FABRICANTE)
CARGA TÉRMICA TOTAL DA SERPENTINA: 10,30kW
CARGA TÉRMICA SENSÍVEL DA SERPENTINA: 5,67kW
VAZÃO DE INSUFLAMENTO: 880m³/h
VAZÃO DE AR EXTERNO: 880m³/h (100% AR EXTERNO)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0,75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2" s="312" t="str">
        <f>IF($F982="","",IFERROR(VLOOKUP($F982,SERVIÇOS!$B:$G,3,0),IFERROR(VLOOKUP($F982,'COMPOSIÇÕES COMPLEMENTARES '!$D:$L,3,0),IFERROR(VLOOKUP($F982,INSUMOS!$A:$D,3,0),""))))</f>
        <v>UN</v>
      </c>
      <c r="I982" s="313">
        <v>1</v>
      </c>
      <c r="J982" s="314">
        <f>IF($F982="","",IFERROR(VLOOKUP($F982,SERVIÇOS!$B:$G,4,0),IFERROR(VLOOKUP($F982,'COMPOSIÇÕES COMPLEMENTARES '!$D:$L,6,0),IFERROR(VLOOKUP($F982,INSUMOS!$A:$D,4,0),""))))</f>
        <v>46384.979999999996</v>
      </c>
      <c r="K982" s="314">
        <f>IF($F982="","",IFERROR(VLOOKUP($F982,SERVIÇOS!$B:$G,5,0),IFERROR(VLOOKUP($F982,'COMPOSIÇÕES COMPLEMENTARES '!$D:$L,7,0),0)))</f>
        <v>2841.19</v>
      </c>
      <c r="L982" s="314">
        <f>IF(I982="","",J982+K982)</f>
        <v>49226.17</v>
      </c>
      <c r="M982" s="314">
        <f>IF(I982="","",TRUNC((I982*J982),2))</f>
        <v>46384.98</v>
      </c>
      <c r="N982" s="314">
        <f>IF(I982="","",TRUNC((I982*K982),2))</f>
        <v>2841.19</v>
      </c>
      <c r="O982" s="314">
        <f>IF(I982="","",TRUNC((M982+N982),2))</f>
        <v>49226.17</v>
      </c>
      <c r="P982" s="314"/>
      <c r="Q982" s="315"/>
      <c r="R982" s="315"/>
      <c r="S982" s="286"/>
      <c r="T982" s="287"/>
      <c r="U982" s="288" t="str">
        <f t="shared" si="585"/>
        <v/>
      </c>
      <c r="V982" s="287"/>
      <c r="W982" s="289" t="str">
        <f t="shared" si="586"/>
        <v/>
      </c>
      <c r="X982" s="287"/>
      <c r="Y982" s="290" t="str">
        <f t="shared" si="587"/>
        <v/>
      </c>
      <c r="Z982" s="291">
        <f ca="1">SUMIF($T$8:Y$1018,"QUANT.",T982:Y982)</f>
        <v>0</v>
      </c>
      <c r="AA982" s="292">
        <f t="shared" ca="1" si="580"/>
        <v>0</v>
      </c>
      <c r="AB982" s="293" t="str">
        <f t="shared" ca="1" si="588"/>
        <v>MEDIR</v>
      </c>
      <c r="AC982" s="294">
        <f t="shared" ca="1" si="589"/>
        <v>1</v>
      </c>
      <c r="AD982" s="294">
        <f t="shared" ca="1" si="590"/>
        <v>49226.17</v>
      </c>
      <c r="AE982" s="295"/>
      <c r="AF982" s="295"/>
      <c r="AG982" s="296"/>
      <c r="AH982" s="296"/>
      <c r="AI982" s="296"/>
      <c r="AJ982" s="326"/>
      <c r="AK982" s="326"/>
      <c r="AL982" s="326"/>
      <c r="AM982" s="326"/>
    </row>
    <row r="983" spans="1:39" x14ac:dyDescent="0.25">
      <c r="A983" s="232">
        <f t="shared" si="584"/>
        <v>983</v>
      </c>
      <c r="B983" s="232"/>
      <c r="C983" s="316" t="str">
        <f>+E983</f>
        <v>30.3</v>
      </c>
      <c r="D983" s="297"/>
      <c r="E983" s="317" t="s">
        <v>20479</v>
      </c>
      <c r="F983" s="317"/>
      <c r="G983" s="327" t="s">
        <v>12582</v>
      </c>
      <c r="H983" s="317"/>
      <c r="I983" s="319"/>
      <c r="J983" s="317"/>
      <c r="K983" s="317"/>
      <c r="L983" s="317"/>
      <c r="M983" s="317"/>
      <c r="N983" s="317"/>
      <c r="O983" s="317"/>
      <c r="P983" s="317"/>
      <c r="Q983" s="315"/>
      <c r="R983" s="306"/>
      <c r="S983" s="286"/>
      <c r="T983" s="287"/>
      <c r="U983" s="288" t="str">
        <f t="shared" si="585"/>
        <v/>
      </c>
      <c r="V983" s="287"/>
      <c r="W983" s="289" t="str">
        <f t="shared" si="586"/>
        <v/>
      </c>
      <c r="X983" s="287"/>
      <c r="Y983" s="290" t="str">
        <f t="shared" si="587"/>
        <v/>
      </c>
      <c r="Z983" s="291">
        <f ca="1">SUMIF($T$8:Y$1018,"QUANT.",T983:Y983)</f>
        <v>0</v>
      </c>
      <c r="AA983" s="292">
        <f t="shared" ref="AA983:AA1018" ca="1" si="591">SUMIF($T$8:$Y$1018,"CUSTO",T983:Y983)</f>
        <v>0</v>
      </c>
      <c r="AB983" s="293" t="str">
        <f t="shared" si="588"/>
        <v/>
      </c>
      <c r="AC983" s="294">
        <f t="shared" ca="1" si="589"/>
        <v>0</v>
      </c>
      <c r="AD983" s="294">
        <f t="shared" ca="1" si="590"/>
        <v>0</v>
      </c>
      <c r="AE983" s="295"/>
      <c r="AF983" s="295"/>
      <c r="AG983" s="296"/>
      <c r="AH983" s="296"/>
      <c r="AI983" s="296"/>
      <c r="AJ983" s="326"/>
      <c r="AK983" s="326"/>
      <c r="AL983" s="326"/>
      <c r="AM983" s="326"/>
    </row>
    <row r="984" spans="1:39" ht="409.5" x14ac:dyDescent="0.25">
      <c r="A984" s="232">
        <f t="shared" si="584"/>
        <v>984</v>
      </c>
      <c r="B984" s="232"/>
      <c r="C984" s="307" t="str">
        <f t="shared" ref="C984:C989" si="592">+C983</f>
        <v>30.3</v>
      </c>
      <c r="D984" s="308">
        <f t="shared" ref="D984:D989" si="593">1+D983</f>
        <v>1</v>
      </c>
      <c r="E984" s="309" t="str">
        <f t="shared" ref="E984:E989" si="594">C984&amp;"."&amp;D984</f>
        <v>30.3.1</v>
      </c>
      <c r="F984" s="310" t="s">
        <v>12583</v>
      </c>
      <c r="G984" s="351" t="str">
        <f>IF($F984="","",IFERROR(VLOOKUP($F984,SERVIÇOS!$B:$G,2,0),IFERROR(VLOOKUP($F984,'COMPOSIÇÕES COMPLEMENTARES '!$D:$L,2,0),IFERROR(VLOOKUP($F984,INSUMOS!$A:$D,2,0),""))))</f>
        <v>UNIDADES DE TRATAMENTO DE AR MODULAR DE MONTAGEM HORIZONTAL PARA ENTREFORRO
AMBIENTES ATENDIDOS: SALA DE EMERGÊNCIA
LOCALIZAÇÃO: ENTREFORRO
TIPO DE SISTEMA DE CLIMATIZAÇÃO: EXPANSÃO DIRETA, FLUIDO R410A (OBS: DEVE ACOMPANHAR VÁLVULA DE EXPANSÃO ELETRÔNICA CONFORME SELEÇÃO DO FABRICANTE)
CARGA TÉRMICA TOTAL DA SERPENTINA: 4,29kW
CARGA TÉRMICA SENSÍVEL DA SERPENTINA: 3,09kW
VAZÃO DE INSUFLAMENTO: 830m³/h
VAZÃO DE AR EXTERNO: 100m³/h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4" s="312" t="str">
        <f>IF($F984="","",IFERROR(VLOOKUP($F984,SERVIÇOS!$B:$G,3,0),IFERROR(VLOOKUP($F984,'COMPOSIÇÕES COMPLEMENTARES '!$D:$L,3,0),IFERROR(VLOOKUP($F984,INSUMOS!$A:$D,3,0),""))))</f>
        <v>UN</v>
      </c>
      <c r="I984" s="313">
        <v>1</v>
      </c>
      <c r="J984" s="314">
        <f>IF($F984="","",IFERROR(VLOOKUP($F984,SERVIÇOS!$B:$G,4,0),IFERROR(VLOOKUP($F984,'COMPOSIÇÕES COMPLEMENTARES '!$D:$L,6,0),IFERROR(VLOOKUP($F984,INSUMOS!$A:$D,4,0),""))))</f>
        <v>50306.36</v>
      </c>
      <c r="K984" s="314">
        <f>IF($F984="","",IFERROR(VLOOKUP($F984,SERVIÇOS!$B:$G,5,0),IFERROR(VLOOKUP($F984,'COMPOSIÇÕES COMPLEMENTARES '!$D:$L,7,0),0)))</f>
        <v>3651.4300000000003</v>
      </c>
      <c r="L984" s="314">
        <f t="shared" ref="L984:L989" si="595">IF(I984="","",J984+K984)</f>
        <v>53957.79</v>
      </c>
      <c r="M984" s="314">
        <f t="shared" ref="M984:M989" si="596">IF(I984="","",TRUNC((I984*J984),2))</f>
        <v>50306.36</v>
      </c>
      <c r="N984" s="314">
        <f t="shared" ref="N984:N989" si="597">IF(I984="","",TRUNC((I984*K984),2))</f>
        <v>3651.43</v>
      </c>
      <c r="O984" s="314">
        <f t="shared" ref="O984:O989" si="598">IF(I984="","",TRUNC((M984+N984),2))</f>
        <v>53957.79</v>
      </c>
      <c r="P984" s="314"/>
      <c r="Q984" s="315"/>
      <c r="R984" s="315"/>
      <c r="S984" s="286"/>
      <c r="T984" s="287"/>
      <c r="U984" s="288" t="str">
        <f t="shared" si="585"/>
        <v/>
      </c>
      <c r="V984" s="287"/>
      <c r="W984" s="289" t="str">
        <f t="shared" si="586"/>
        <v/>
      </c>
      <c r="X984" s="287"/>
      <c r="Y984" s="290" t="str">
        <f t="shared" si="587"/>
        <v/>
      </c>
      <c r="Z984" s="291">
        <f ca="1">SUMIF($T$8:Y$1018,"QUANT.",T984:Y984)</f>
        <v>0</v>
      </c>
      <c r="AA984" s="292">
        <f t="shared" ca="1" si="591"/>
        <v>0</v>
      </c>
      <c r="AB984" s="293" t="str">
        <f t="shared" ca="1" si="588"/>
        <v>MEDIR</v>
      </c>
      <c r="AC984" s="294">
        <f t="shared" ca="1" si="589"/>
        <v>1</v>
      </c>
      <c r="AD984" s="294">
        <f t="shared" ca="1" si="590"/>
        <v>53957.79</v>
      </c>
      <c r="AE984" s="295"/>
      <c r="AF984" s="295"/>
      <c r="AG984" s="296"/>
      <c r="AH984" s="296"/>
      <c r="AI984" s="296"/>
      <c r="AJ984" s="326"/>
      <c r="AK984" s="326"/>
      <c r="AL984" s="326"/>
      <c r="AM984" s="326"/>
    </row>
    <row r="985" spans="1:39" ht="409.5" x14ac:dyDescent="0.25">
      <c r="A985" s="232">
        <f t="shared" si="584"/>
        <v>985</v>
      </c>
      <c r="B985" s="232"/>
      <c r="C985" s="307" t="str">
        <f t="shared" si="592"/>
        <v>30.3</v>
      </c>
      <c r="D985" s="308">
        <f t="shared" si="593"/>
        <v>2</v>
      </c>
      <c r="E985" s="309" t="str">
        <f t="shared" si="594"/>
        <v>30.3.2</v>
      </c>
      <c r="F985" s="310" t="s">
        <v>12584</v>
      </c>
      <c r="G985" s="351" t="str">
        <f>IF($F985="","",IFERROR(VLOOKUP($F985,SERVIÇOS!$B:$G,2,0),IFERROR(VLOOKUP($F985,'COMPOSIÇÕES COMPLEMENTARES '!$D:$L,2,0),IFERROR(VLOOKUP($F985,INSUMOS!$A:$D,2,0),""))))</f>
        <v>UNIDADES DE TRATAMENTO DE AR MODULAR DE MONTAGEM HORIZONTAL PARA ENTREFORRO
AMBIENTES ATENDIDOS: SALA DE RAIO-X
LOCALIZAÇÃO: ENTREFORRO
TIPO DE SISTEMA DE CLIMATIZAÇÃO: EXPANSÃO DIRETA, FLUIDO R410A (OBS: DEVE ACOMPANHAR VÁLVULA DE EXPANSÃO ELETRÔNICA CONFORME SELEÇÃO DO FABRICANTE)
CARGA TÉRMICA TOTAL DA SERPENTINA: 5,03kW
CARGA TÉRMICA SENSÍVEL DA SERPENTINA: 3,98kW
VAZÃO DE INSUFLAMENTO: 980m³/h
VAZÃO DE AR EXTERNO: 140m³/h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5" s="312" t="str">
        <f>IF($F985="","",IFERROR(VLOOKUP($F985,SERVIÇOS!$B:$G,3,0),IFERROR(VLOOKUP($F985,'COMPOSIÇÕES COMPLEMENTARES '!$D:$L,3,0),IFERROR(VLOOKUP($F985,INSUMOS!$A:$D,3,0),""))))</f>
        <v>UN</v>
      </c>
      <c r="I985" s="313">
        <v>1</v>
      </c>
      <c r="J985" s="314">
        <f>IF($F985="","",IFERROR(VLOOKUP($F985,SERVIÇOS!$B:$G,4,0),IFERROR(VLOOKUP($F985,'COMPOSIÇÕES COMPLEMENTARES '!$D:$L,6,0),IFERROR(VLOOKUP($F985,INSUMOS!$A:$D,4,0),""))))</f>
        <v>51541.840000000004</v>
      </c>
      <c r="K985" s="314">
        <f>IF($F985="","",IFERROR(VLOOKUP($F985,SERVIÇOS!$B:$G,5,0),IFERROR(VLOOKUP($F985,'COMPOSIÇÕES COMPLEMENTARES '!$D:$L,7,0),0)))</f>
        <v>3651.4300000000003</v>
      </c>
      <c r="L985" s="314">
        <f t="shared" si="595"/>
        <v>55193.270000000004</v>
      </c>
      <c r="M985" s="314">
        <f t="shared" si="596"/>
        <v>51541.84</v>
      </c>
      <c r="N985" s="314">
        <f t="shared" si="597"/>
        <v>3651.43</v>
      </c>
      <c r="O985" s="314">
        <f t="shared" si="598"/>
        <v>55193.27</v>
      </c>
      <c r="P985" s="314"/>
      <c r="Q985" s="315"/>
      <c r="R985" s="315"/>
      <c r="S985" s="286"/>
      <c r="T985" s="287"/>
      <c r="U985" s="288" t="str">
        <f t="shared" si="585"/>
        <v/>
      </c>
      <c r="V985" s="287"/>
      <c r="W985" s="289" t="str">
        <f t="shared" si="586"/>
        <v/>
      </c>
      <c r="X985" s="287"/>
      <c r="Y985" s="290" t="str">
        <f t="shared" si="587"/>
        <v/>
      </c>
      <c r="Z985" s="291">
        <f ca="1">SUMIF($T$8:Y$1018,"QUANT.",T985:Y985)</f>
        <v>0</v>
      </c>
      <c r="AA985" s="292">
        <f t="shared" ca="1" si="591"/>
        <v>0</v>
      </c>
      <c r="AB985" s="293" t="str">
        <f t="shared" ca="1" si="588"/>
        <v>MEDIR</v>
      </c>
      <c r="AC985" s="294">
        <f t="shared" ca="1" si="589"/>
        <v>1</v>
      </c>
      <c r="AD985" s="294">
        <f t="shared" ca="1" si="590"/>
        <v>55193.27</v>
      </c>
      <c r="AE985" s="295"/>
      <c r="AF985" s="295"/>
      <c r="AG985" s="296"/>
      <c r="AH985" s="296"/>
      <c r="AI985" s="296"/>
      <c r="AJ985" s="326"/>
      <c r="AK985" s="326"/>
      <c r="AL985" s="326"/>
      <c r="AM985" s="326"/>
    </row>
    <row r="986" spans="1:39" ht="409.5" x14ac:dyDescent="0.25">
      <c r="A986" s="232">
        <f t="shared" si="584"/>
        <v>986</v>
      </c>
      <c r="B986" s="232"/>
      <c r="C986" s="307" t="str">
        <f t="shared" si="592"/>
        <v>30.3</v>
      </c>
      <c r="D986" s="308">
        <f t="shared" si="593"/>
        <v>3</v>
      </c>
      <c r="E986" s="309" t="str">
        <f t="shared" si="594"/>
        <v>30.3.3</v>
      </c>
      <c r="F986" s="310" t="s">
        <v>12585</v>
      </c>
      <c r="G986" s="351" t="str">
        <f>IF($F986="","",IFERROR(VLOOKUP($F986,SERVIÇOS!$B:$G,2,0),IFERROR(VLOOKUP($F986,'COMPOSIÇÕES COMPLEMENTARES '!$D:$L,2,0),IFERROR(VLOOKUP($F986,INSUMOS!$A:$D,2,0),""))))</f>
        <v>UNIDADES DE TRATAMENTO DE AR MODULAR DE MONTAGEM HORIZONTAL PARA ENTREFORRO 
AMBIENTES ATENDIDOS: FARMÁCIA - DILUIÇÃO
LOCALIZAÇÃO: ENTREFORRO
TIPO DE SISTEMA DE CLIMATIZAÇÃO: EXPANSÃO DIRETA, FLUIDO R410A (OBS: DEVE ACOMPANHAR VÁLVULA DE EXPANSÃO ELETRÔNICA CONFORME SELEÇÃO DO FABRICANTE)
CARGA TÉRMICA TOTAL DA SERPENTINA: 3,55kW
CARGA TÉRMICA SENSÍVEL DA SERPENTINA: 2,51kW
VAZÃO DE INSUFLAMENTO: 700m³/h
VAZÃO DE AR EXTERNO: 100m³/h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6" s="312" t="str">
        <f>IF($F986="","",IFERROR(VLOOKUP($F986,SERVIÇOS!$B:$G,3,0),IFERROR(VLOOKUP($F986,'COMPOSIÇÕES COMPLEMENTARES '!$D:$L,3,0),IFERROR(VLOOKUP($F986,INSUMOS!$A:$D,3,0),""))))</f>
        <v>UN</v>
      </c>
      <c r="I986" s="313">
        <v>1</v>
      </c>
      <c r="J986" s="314">
        <f>IF($F986="","",IFERROR(VLOOKUP($F986,SERVIÇOS!$B:$G,4,0),IFERROR(VLOOKUP($F986,'COMPOSIÇÕES COMPLEMENTARES '!$D:$L,6,0),IFERROR(VLOOKUP($F986,INSUMOS!$A:$D,4,0),""))))</f>
        <v>50306.36</v>
      </c>
      <c r="K986" s="314">
        <f>IF($F986="","",IFERROR(VLOOKUP($F986,SERVIÇOS!$B:$G,5,0),IFERROR(VLOOKUP($F986,'COMPOSIÇÕES COMPLEMENTARES '!$D:$L,7,0),0)))</f>
        <v>3651.4300000000003</v>
      </c>
      <c r="L986" s="314">
        <f t="shared" si="595"/>
        <v>53957.79</v>
      </c>
      <c r="M986" s="314">
        <f t="shared" si="596"/>
        <v>50306.36</v>
      </c>
      <c r="N986" s="314">
        <f t="shared" si="597"/>
        <v>3651.43</v>
      </c>
      <c r="O986" s="314">
        <f t="shared" si="598"/>
        <v>53957.79</v>
      </c>
      <c r="P986" s="314"/>
      <c r="Q986" s="315"/>
      <c r="R986" s="315"/>
      <c r="S986" s="286"/>
      <c r="T986" s="287"/>
      <c r="U986" s="288" t="str">
        <f t="shared" si="585"/>
        <v/>
      </c>
      <c r="V986" s="287"/>
      <c r="W986" s="289" t="str">
        <f t="shared" si="586"/>
        <v/>
      </c>
      <c r="X986" s="287"/>
      <c r="Y986" s="290" t="str">
        <f t="shared" si="587"/>
        <v/>
      </c>
      <c r="Z986" s="291">
        <f ca="1">SUMIF($T$8:Y$1018,"QUANT.",T986:Y986)</f>
        <v>0</v>
      </c>
      <c r="AA986" s="292">
        <f t="shared" ca="1" si="591"/>
        <v>0</v>
      </c>
      <c r="AB986" s="293" t="str">
        <f t="shared" ca="1" si="588"/>
        <v>MEDIR</v>
      </c>
      <c r="AC986" s="294">
        <f t="shared" ca="1" si="589"/>
        <v>1</v>
      </c>
      <c r="AD986" s="294">
        <f t="shared" ca="1" si="590"/>
        <v>53957.79</v>
      </c>
      <c r="AE986" s="295"/>
      <c r="AF986" s="295"/>
      <c r="AG986" s="296"/>
      <c r="AH986" s="296"/>
      <c r="AI986" s="296"/>
      <c r="AJ986" s="326"/>
      <c r="AK986" s="326"/>
      <c r="AL986" s="326"/>
      <c r="AM986" s="326"/>
    </row>
    <row r="987" spans="1:39" ht="409.5" x14ac:dyDescent="0.25">
      <c r="A987" s="232">
        <f t="shared" si="584"/>
        <v>987</v>
      </c>
      <c r="B987" s="232"/>
      <c r="C987" s="307" t="str">
        <f t="shared" si="592"/>
        <v>30.3</v>
      </c>
      <c r="D987" s="308">
        <f t="shared" si="593"/>
        <v>4</v>
      </c>
      <c r="E987" s="309" t="str">
        <f t="shared" si="594"/>
        <v>30.3.4</v>
      </c>
      <c r="F987" s="310" t="s">
        <v>12586</v>
      </c>
      <c r="G987" s="351" t="str">
        <f>IF($F987="","",IFERROR(VLOOKUP($F987,SERVIÇOS!$B:$G,2,0),IFERROR(VLOOKUP($F987,'COMPOSIÇÕES COMPLEMENTARES '!$D:$L,2,0),IFERROR(VLOOKUP($F987,INSUMOS!$A:$D,2,0),""))))</f>
        <v>UNIDADES DE TRATAMENTO DE AR MODULAR DE MONTAGEM HORIZONTAL PARA ENTREFORRO
AMBIENTES ATENDIDOS: FARMÁCIA - FRACIONAMENTO
LOCALIZAÇÃO: ENTREFORRO
TIPO DE SISTEMA DE CLIMATIZAÇÃO: EXPANSÃO DIRETA, FLUIDO R410A (OBS: DEVE ACOMPANHAR VÁLVULA DE EXPANSÃO ELETRÔNICA CONFORME SELEÇÃO DO FABRICANTE)
CARGA TÉRMICA TOTAL DA SERPENTINA: 1,60kW
CARGA TÉRMICA SENSÍVEL DA SERPENTINA: 1,11kW
VAZÃO DE INSUFLAMENTO: 700m³/h
VAZÃO DE AR EXTERNO: 30m³/h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7" s="312" t="str">
        <f>IF($F987="","",IFERROR(VLOOKUP($F987,SERVIÇOS!$B:$G,3,0),IFERROR(VLOOKUP($F987,'COMPOSIÇÕES COMPLEMENTARES '!$D:$L,3,0),IFERROR(VLOOKUP($F987,INSUMOS!$A:$D,3,0),""))))</f>
        <v>UN</v>
      </c>
      <c r="I987" s="313">
        <v>1</v>
      </c>
      <c r="J987" s="314">
        <f>IF($F987="","",IFERROR(VLOOKUP($F987,SERVIÇOS!$B:$G,4,0),IFERROR(VLOOKUP($F987,'COMPOSIÇÕES COMPLEMENTARES '!$D:$L,6,0),IFERROR(VLOOKUP($F987,INSUMOS!$A:$D,4,0),""))))</f>
        <v>50306.36</v>
      </c>
      <c r="K987" s="314">
        <f>IF($F987="","",IFERROR(VLOOKUP($F987,SERVIÇOS!$B:$G,5,0),IFERROR(VLOOKUP($F987,'COMPOSIÇÕES COMPLEMENTARES '!$D:$L,7,0),0)))</f>
        <v>3651.4300000000003</v>
      </c>
      <c r="L987" s="314">
        <f t="shared" si="595"/>
        <v>53957.79</v>
      </c>
      <c r="M987" s="314">
        <f t="shared" si="596"/>
        <v>50306.36</v>
      </c>
      <c r="N987" s="314">
        <f t="shared" si="597"/>
        <v>3651.43</v>
      </c>
      <c r="O987" s="314">
        <f t="shared" si="598"/>
        <v>53957.79</v>
      </c>
      <c r="P987" s="314"/>
      <c r="Q987" s="315"/>
      <c r="R987" s="315"/>
      <c r="S987" s="286"/>
      <c r="T987" s="287"/>
      <c r="U987" s="288" t="str">
        <f t="shared" si="585"/>
        <v/>
      </c>
      <c r="V987" s="287"/>
      <c r="W987" s="289" t="str">
        <f t="shared" si="586"/>
        <v/>
      </c>
      <c r="X987" s="287"/>
      <c r="Y987" s="290" t="str">
        <f t="shared" si="587"/>
        <v/>
      </c>
      <c r="Z987" s="291">
        <f ca="1">SUMIF($T$8:Y$1018,"QUANT.",T987:Y987)</f>
        <v>0</v>
      </c>
      <c r="AA987" s="292">
        <f t="shared" ca="1" si="591"/>
        <v>0</v>
      </c>
      <c r="AB987" s="293" t="str">
        <f t="shared" ca="1" si="588"/>
        <v>MEDIR</v>
      </c>
      <c r="AC987" s="294">
        <f t="shared" ca="1" si="589"/>
        <v>1</v>
      </c>
      <c r="AD987" s="294">
        <f t="shared" ca="1" si="590"/>
        <v>53957.79</v>
      </c>
      <c r="AE987" s="295"/>
      <c r="AF987" s="295"/>
      <c r="AG987" s="296"/>
      <c r="AH987" s="296"/>
      <c r="AI987" s="296"/>
      <c r="AJ987" s="326"/>
      <c r="AK987" s="326"/>
      <c r="AL987" s="326"/>
      <c r="AM987" s="326"/>
    </row>
    <row r="988" spans="1:39" ht="409.5" x14ac:dyDescent="0.25">
      <c r="A988" s="232">
        <f t="shared" si="584"/>
        <v>988</v>
      </c>
      <c r="B988" s="232"/>
      <c r="C988" s="307" t="str">
        <f t="shared" si="592"/>
        <v>30.3</v>
      </c>
      <c r="D988" s="308">
        <f t="shared" si="593"/>
        <v>5</v>
      </c>
      <c r="E988" s="309" t="str">
        <f t="shared" si="594"/>
        <v>30.3.5</v>
      </c>
      <c r="F988" s="310" t="s">
        <v>12587</v>
      </c>
      <c r="G988" s="351" t="str">
        <f>IF($F988="","",IFERROR(VLOOKUP($F988,SERVIÇOS!$B:$G,2,0),IFERROR(VLOOKUP($F988,'COMPOSIÇÕES COMPLEMENTARES '!$D:$L,2,0),IFERROR(VLOOKUP($F988,INSUMOS!$A:$D,2,0),""))))</f>
        <v>UNIDADES DE TRATAMENTO DE AR MODULAR DE MONTAGEM HORIZONTAL PARA ENTREFORRO
AMBIENTES ATENDIDOS: FARMÁCIA - CAF
LOCALIZAÇÃO: ENTREFORRO
TIPO DE SISTEMA DE CLIMATIZAÇÃO: EXPANSÃO DIRETA, FLUIDO R410A (OBS: DEVE ACOMPANHAR VÁLVULA DE EXPANSÃO ELETRÔNICA CONFORME SELEÇÃO DO FABRICANTE)
CARGA TÉRMICA TOTAL DA SERPENTINA: 4,35kW
CARGA TÉRMICA SENSÍVEL DA SERPENTINA: 3,26kW
VAZÃO DE INSUFLAMENTO: 700m³/h
VAZÃO DE AR EXTERNO: 50m³/h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8" s="312" t="str">
        <f>IF($F988="","",IFERROR(VLOOKUP($F988,SERVIÇOS!$B:$G,3,0),IFERROR(VLOOKUP($F988,'COMPOSIÇÕES COMPLEMENTARES '!$D:$L,3,0),IFERROR(VLOOKUP($F988,INSUMOS!$A:$D,3,0),""))))</f>
        <v>UN</v>
      </c>
      <c r="I988" s="313">
        <v>1</v>
      </c>
      <c r="J988" s="314">
        <f>IF($F988="","",IFERROR(VLOOKUP($F988,SERVIÇOS!$B:$G,4,0),IFERROR(VLOOKUP($F988,'COMPOSIÇÕES COMPLEMENTARES '!$D:$L,6,0),IFERROR(VLOOKUP($F988,INSUMOS!$A:$D,4,0),""))))</f>
        <v>50306.36</v>
      </c>
      <c r="K988" s="314">
        <f>IF($F988="","",IFERROR(VLOOKUP($F988,SERVIÇOS!$B:$G,5,0),IFERROR(VLOOKUP($F988,'COMPOSIÇÕES COMPLEMENTARES '!$D:$L,7,0),0)))</f>
        <v>3651.4300000000003</v>
      </c>
      <c r="L988" s="314">
        <f t="shared" si="595"/>
        <v>53957.79</v>
      </c>
      <c r="M988" s="314">
        <f t="shared" si="596"/>
        <v>50306.36</v>
      </c>
      <c r="N988" s="314">
        <f t="shared" si="597"/>
        <v>3651.43</v>
      </c>
      <c r="O988" s="314">
        <f t="shared" si="598"/>
        <v>53957.79</v>
      </c>
      <c r="P988" s="314"/>
      <c r="Q988" s="315"/>
      <c r="R988" s="315"/>
      <c r="S988" s="286"/>
      <c r="T988" s="287"/>
      <c r="U988" s="288" t="str">
        <f t="shared" si="585"/>
        <v/>
      </c>
      <c r="V988" s="287"/>
      <c r="W988" s="289" t="str">
        <f t="shared" si="586"/>
        <v/>
      </c>
      <c r="X988" s="287"/>
      <c r="Y988" s="290" t="str">
        <f t="shared" si="587"/>
        <v/>
      </c>
      <c r="Z988" s="291">
        <f ca="1">SUMIF($T$8:Y$1018,"QUANT.",T988:Y988)</f>
        <v>0</v>
      </c>
      <c r="AA988" s="292">
        <f t="shared" ca="1" si="591"/>
        <v>0</v>
      </c>
      <c r="AB988" s="293" t="str">
        <f t="shared" ca="1" si="588"/>
        <v>MEDIR</v>
      </c>
      <c r="AC988" s="294">
        <f t="shared" ca="1" si="589"/>
        <v>1</v>
      </c>
      <c r="AD988" s="294">
        <f t="shared" ca="1" si="590"/>
        <v>53957.79</v>
      </c>
      <c r="AE988" s="295"/>
      <c r="AF988" s="295"/>
      <c r="AG988" s="296"/>
      <c r="AH988" s="296"/>
      <c r="AI988" s="296"/>
      <c r="AJ988" s="326"/>
      <c r="AK988" s="326"/>
      <c r="AL988" s="326"/>
      <c r="AM988" s="326"/>
    </row>
    <row r="989" spans="1:39" ht="409.5" x14ac:dyDescent="0.25">
      <c r="A989" s="232">
        <f t="shared" si="584"/>
        <v>989</v>
      </c>
      <c r="B989" s="232"/>
      <c r="C989" s="307" t="str">
        <f t="shared" si="592"/>
        <v>30.3</v>
      </c>
      <c r="D989" s="308">
        <f t="shared" si="593"/>
        <v>6</v>
      </c>
      <c r="E989" s="309" t="str">
        <f t="shared" si="594"/>
        <v>30.3.6</v>
      </c>
      <c r="F989" s="310" t="s">
        <v>12588</v>
      </c>
      <c r="G989" s="351" t="str">
        <f>IF($F989="","",IFERROR(VLOOKUP($F989,SERVIÇOS!$B:$G,2,0),IFERROR(VLOOKUP($F989,'COMPOSIÇÕES COMPLEMENTARES '!$D:$L,2,0),IFERROR(VLOOKUP($F989,INSUMOS!$A:$D,2,0),""))))</f>
        <v>UNIDADES DE TRATAMENTO DE AR MODULAR DE MONTAGEM HORIZONTAL PARA ENTREFORRO
AMBIENTES ATENDIDOS:  CLASSIFICAÇÃO DE RISCO
LOCALIZAÇÃO: ENTREFORRO
TIPO DE SISTEMA DE CLIMATIZAÇÃO: EXPANSÃO DIRETA, FLUIDO R410A (OBS: DEVE ACOMPANHAR VÁLVULA DE EXPANSÃO ELETRÔNICA CONFORME SELEÇÃO DO FABRICANTE)
CARGA TÉRMICA TOTAL DA SERPENTINA: 1,54kW
CARGA TÉRMICA SENSÍVEL DA SERPENTINA: 1,11kW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H989" s="312" t="str">
        <f>IF($F989="","",IFERROR(VLOOKUP($F989,SERVIÇOS!$B:$G,3,0),IFERROR(VLOOKUP($F989,'COMPOSIÇÕES COMPLEMENTARES '!$D:$L,3,0),IFERROR(VLOOKUP($F989,INSUMOS!$A:$D,3,0),""))))</f>
        <v>UN</v>
      </c>
      <c r="I989" s="313">
        <v>1</v>
      </c>
      <c r="J989" s="314">
        <f>IF($F989="","",IFERROR(VLOOKUP($F989,SERVIÇOS!$B:$G,4,0),IFERROR(VLOOKUP($F989,'COMPOSIÇÕES COMPLEMENTARES '!$D:$L,6,0),IFERROR(VLOOKUP($F989,INSUMOS!$A:$D,4,0),""))))</f>
        <v>50306.36</v>
      </c>
      <c r="K989" s="314">
        <f>IF($F989="","",IFERROR(VLOOKUP($F989,SERVIÇOS!$B:$G,5,0),IFERROR(VLOOKUP($F989,'COMPOSIÇÕES COMPLEMENTARES '!$D:$L,7,0),0)))</f>
        <v>3651.4300000000003</v>
      </c>
      <c r="L989" s="314">
        <f t="shared" si="595"/>
        <v>53957.79</v>
      </c>
      <c r="M989" s="314">
        <f t="shared" si="596"/>
        <v>50306.36</v>
      </c>
      <c r="N989" s="314">
        <f t="shared" si="597"/>
        <v>3651.43</v>
      </c>
      <c r="O989" s="314">
        <f t="shared" si="598"/>
        <v>53957.79</v>
      </c>
      <c r="P989" s="314"/>
      <c r="Q989" s="315"/>
      <c r="R989" s="315"/>
      <c r="S989" s="286"/>
      <c r="T989" s="287"/>
      <c r="U989" s="288" t="str">
        <f t="shared" si="585"/>
        <v/>
      </c>
      <c r="V989" s="287"/>
      <c r="W989" s="289" t="str">
        <f t="shared" si="586"/>
        <v/>
      </c>
      <c r="X989" s="287"/>
      <c r="Y989" s="290" t="str">
        <f t="shared" si="587"/>
        <v/>
      </c>
      <c r="Z989" s="291">
        <f ca="1">SUMIF($T$8:Y$1018,"QUANT.",T989:Y989)</f>
        <v>0</v>
      </c>
      <c r="AA989" s="292">
        <f t="shared" ca="1" si="591"/>
        <v>0</v>
      </c>
      <c r="AB989" s="293" t="str">
        <f t="shared" ca="1" si="588"/>
        <v>MEDIR</v>
      </c>
      <c r="AC989" s="294">
        <f t="shared" ca="1" si="589"/>
        <v>1</v>
      </c>
      <c r="AD989" s="294">
        <f t="shared" ca="1" si="590"/>
        <v>53957.79</v>
      </c>
      <c r="AE989" s="295"/>
      <c r="AF989" s="295"/>
      <c r="AG989" s="296"/>
      <c r="AH989" s="296"/>
      <c r="AI989" s="296"/>
      <c r="AJ989" s="326"/>
      <c r="AK989" s="326"/>
      <c r="AL989" s="326"/>
      <c r="AM989" s="326"/>
    </row>
    <row r="990" spans="1:39" x14ac:dyDescent="0.25">
      <c r="A990" s="232">
        <f t="shared" si="584"/>
        <v>990</v>
      </c>
      <c r="B990" s="232"/>
      <c r="C990" s="316" t="str">
        <f>+E990</f>
        <v>30.4</v>
      </c>
      <c r="D990" s="297"/>
      <c r="E990" s="317" t="s">
        <v>20480</v>
      </c>
      <c r="F990" s="317"/>
      <c r="G990" s="327" t="s">
        <v>12590</v>
      </c>
      <c r="H990" s="317"/>
      <c r="I990" s="319"/>
      <c r="J990" s="317"/>
      <c r="K990" s="317"/>
      <c r="L990" s="317"/>
      <c r="M990" s="317"/>
      <c r="N990" s="317"/>
      <c r="O990" s="317"/>
      <c r="P990" s="317"/>
      <c r="Q990" s="315"/>
      <c r="R990" s="306"/>
      <c r="S990" s="286"/>
      <c r="T990" s="287"/>
      <c r="U990" s="288" t="str">
        <f t="shared" si="585"/>
        <v/>
      </c>
      <c r="V990" s="287"/>
      <c r="W990" s="289" t="str">
        <f t="shared" si="586"/>
        <v/>
      </c>
      <c r="X990" s="287"/>
      <c r="Y990" s="290" t="str">
        <f t="shared" si="587"/>
        <v/>
      </c>
      <c r="Z990" s="291">
        <f ca="1">SUMIF($T$8:Y$1018,"QUANT.",T990:Y990)</f>
        <v>0</v>
      </c>
      <c r="AA990" s="292">
        <f t="shared" ca="1" si="591"/>
        <v>0</v>
      </c>
      <c r="AB990" s="293" t="str">
        <f t="shared" si="588"/>
        <v/>
      </c>
      <c r="AC990" s="294">
        <f t="shared" ca="1" si="589"/>
        <v>0</v>
      </c>
      <c r="AD990" s="294">
        <f t="shared" ca="1" si="590"/>
        <v>0</v>
      </c>
      <c r="AE990" s="295"/>
      <c r="AF990" s="295"/>
      <c r="AG990" s="296"/>
      <c r="AH990" s="296"/>
      <c r="AI990" s="296"/>
      <c r="AJ990" s="326"/>
      <c r="AK990" s="326"/>
      <c r="AL990" s="326"/>
      <c r="AM990" s="326"/>
    </row>
    <row r="991" spans="1:39" ht="236.25" x14ac:dyDescent="0.25">
      <c r="A991" s="232">
        <f t="shared" si="584"/>
        <v>991</v>
      </c>
      <c r="B991" s="232"/>
      <c r="C991" s="307" t="str">
        <f>+C990</f>
        <v>30.4</v>
      </c>
      <c r="D991" s="308">
        <f>1+D990</f>
        <v>1</v>
      </c>
      <c r="E991" s="309" t="str">
        <f>C991&amp;"."&amp;D991</f>
        <v>30.4.1</v>
      </c>
      <c r="F991" s="310" t="s">
        <v>12591</v>
      </c>
      <c r="G991" s="351" t="str">
        <f>IF($F991="","",IFERROR(VLOOKUP($F991,SERVIÇOS!$B:$G,2,0),IFERROR(VLOOKUP($F991,'COMPOSIÇÕES COMPLEMENTARES '!$D:$L,2,0),IFERROR(VLOOKUP($F991,INSUMOS!$A:$D,2,0),""))))</f>
        <v>GABINETES DE VENTILAÇÃO DE AR EXTERNO
AMBIENTES ATENDIDOS: DIVERSOS
LOCALIZAÇÃO: ENTREFORRO
GABINETE: SIM
VAZÃO DE AR EXTERNO (m³/h): 480
CAIXA DE FILTRAGEM: SIM
FILTRAGEM DE 1° ESTÁGIO: G4
FILTRAGEM DE 2° ESTÁGIO: F8
PRESSÃO ESTÁTICA DISPONÍVEL PARA DUTOS (mmCA): 20
PRESSÃO ESTÁTICA INTERNA CONSIDERADA (mmCA): 30*
PRESSÃO ESTÁTICA TOTAL CONSIDERADA: 50*
TIPO DE ROTOR: LIMIT LOAD
TIPO DE ACOPLAMENTO DO MOTOR: DIRETO
TENSÃO ELÉTRICA MOTOR: 220/3F
POTÊNCIA DO MOTOR (kW): 0,18
VARIADOR DE FREQUÊNCIA: SIM
COXINS/CALÇOS DE BORRACHA: SIM
JUNTAS FLEXÍVEIS: EM TODAS AS CONEXÕES DE ENTRADA DO EQUIPAMENTO
PORTA DE INSPEÇÃO: SIM
QUADRO COMANDO: INCLUSO PARA ACIONAMENTO, CONTROLE DE DE VELOCIDADE COM SATURAÇÃO DE FILTROS
*DADOS PODEM VARIAR DE ACORDO COM FABRICANTE E FORNECEDORES DE FILTROS E ACESSÓRIOS</v>
      </c>
      <c r="H991" s="312" t="str">
        <f>IF($F991="","",IFERROR(VLOOKUP($F991,SERVIÇOS!$B:$G,3,0),IFERROR(VLOOKUP($F991,'COMPOSIÇÕES COMPLEMENTARES '!$D:$L,3,0),IFERROR(VLOOKUP($F991,INSUMOS!$A:$D,3,0),""))))</f>
        <v>UN</v>
      </c>
      <c r="I991" s="313">
        <v>1</v>
      </c>
      <c r="J991" s="314">
        <f>IF($F991="","",IFERROR(VLOOKUP($F991,SERVIÇOS!$B:$G,4,0),IFERROR(VLOOKUP($F991,'COMPOSIÇÕES COMPLEMENTARES '!$D:$L,6,0),IFERROR(VLOOKUP($F991,INSUMOS!$A:$D,4,0),""))))</f>
        <v>4552.4800000000005</v>
      </c>
      <c r="K991" s="314">
        <f>IF($F991="","",IFERROR(VLOOKUP($F991,SERVIÇOS!$B:$G,5,0),IFERROR(VLOOKUP($F991,'COMPOSIÇÕES COMPLEMENTARES '!$D:$L,7,0),0)))</f>
        <v>291.84000000000003</v>
      </c>
      <c r="L991" s="314">
        <f>IF(I991="","",J991+K991)</f>
        <v>4844.3200000000006</v>
      </c>
      <c r="M991" s="314">
        <f>IF(I991="","",TRUNC((I991*J991),2))</f>
        <v>4552.4799999999996</v>
      </c>
      <c r="N991" s="314">
        <f>IF(I991="","",TRUNC((I991*K991),2))</f>
        <v>291.83999999999997</v>
      </c>
      <c r="O991" s="314">
        <f>IF(I991="","",TRUNC((M991+N991),2))</f>
        <v>4844.32</v>
      </c>
      <c r="P991" s="314"/>
      <c r="Q991" s="315"/>
      <c r="R991" s="315"/>
      <c r="S991" s="286"/>
      <c r="T991" s="287"/>
      <c r="U991" s="288" t="str">
        <f t="shared" si="585"/>
        <v/>
      </c>
      <c r="V991" s="287"/>
      <c r="W991" s="289" t="str">
        <f t="shared" si="586"/>
        <v/>
      </c>
      <c r="X991" s="287"/>
      <c r="Y991" s="290" t="str">
        <f t="shared" si="587"/>
        <v/>
      </c>
      <c r="Z991" s="291">
        <f ca="1">SUMIF($T$8:Y$1018,"QUANT.",T991:Y991)</f>
        <v>0</v>
      </c>
      <c r="AA991" s="292">
        <f t="shared" ca="1" si="591"/>
        <v>0</v>
      </c>
      <c r="AB991" s="293" t="str">
        <f t="shared" ca="1" si="588"/>
        <v>MEDIR</v>
      </c>
      <c r="AC991" s="294">
        <f t="shared" ca="1" si="589"/>
        <v>1</v>
      </c>
      <c r="AD991" s="294">
        <f t="shared" ca="1" si="590"/>
        <v>4844.32</v>
      </c>
      <c r="AE991" s="295"/>
      <c r="AF991" s="295"/>
      <c r="AG991" s="296"/>
      <c r="AH991" s="296"/>
      <c r="AI991" s="296"/>
      <c r="AJ991" s="326"/>
      <c r="AK991" s="326"/>
      <c r="AL991" s="326"/>
      <c r="AM991" s="326"/>
    </row>
    <row r="992" spans="1:39" x14ac:dyDescent="0.25">
      <c r="A992" s="232">
        <f t="shared" si="584"/>
        <v>992</v>
      </c>
      <c r="B992" s="232"/>
      <c r="C992" s="316" t="str">
        <f>+E992</f>
        <v>30.5</v>
      </c>
      <c r="D992" s="297"/>
      <c r="E992" s="317" t="s">
        <v>20481</v>
      </c>
      <c r="F992" s="317"/>
      <c r="G992" s="327" t="s">
        <v>12593</v>
      </c>
      <c r="H992" s="317"/>
      <c r="I992" s="319"/>
      <c r="J992" s="317"/>
      <c r="K992" s="317"/>
      <c r="L992" s="317"/>
      <c r="M992" s="317"/>
      <c r="N992" s="317"/>
      <c r="O992" s="317"/>
      <c r="P992" s="317"/>
      <c r="Q992" s="315"/>
      <c r="R992" s="306"/>
      <c r="S992" s="286"/>
      <c r="T992" s="287"/>
      <c r="U992" s="288" t="str">
        <f t="shared" si="585"/>
        <v/>
      </c>
      <c r="V992" s="287"/>
      <c r="W992" s="289" t="str">
        <f t="shared" si="586"/>
        <v/>
      </c>
      <c r="X992" s="287"/>
      <c r="Y992" s="290" t="str">
        <f t="shared" si="587"/>
        <v/>
      </c>
      <c r="Z992" s="291">
        <f ca="1">SUMIF($T$8:Y$1018,"QUANT.",T992:Y992)</f>
        <v>0</v>
      </c>
      <c r="AA992" s="292">
        <f t="shared" ca="1" si="591"/>
        <v>0</v>
      </c>
      <c r="AB992" s="293" t="str">
        <f t="shared" si="588"/>
        <v/>
      </c>
      <c r="AC992" s="294">
        <f t="shared" ca="1" si="589"/>
        <v>0</v>
      </c>
      <c r="AD992" s="294">
        <f t="shared" ca="1" si="590"/>
        <v>0</v>
      </c>
      <c r="AE992" s="295"/>
      <c r="AF992" s="295"/>
      <c r="AG992" s="296"/>
      <c r="AH992" s="296"/>
      <c r="AI992" s="296"/>
      <c r="AJ992" s="326"/>
      <c r="AK992" s="326"/>
      <c r="AL992" s="326"/>
      <c r="AM992" s="326"/>
    </row>
    <row r="993" spans="1:39" ht="236.25" x14ac:dyDescent="0.25">
      <c r="A993" s="232">
        <f t="shared" si="584"/>
        <v>993</v>
      </c>
      <c r="B993" s="232"/>
      <c r="C993" s="307" t="str">
        <f>+C992</f>
        <v>30.5</v>
      </c>
      <c r="D993" s="308">
        <f>1+D992</f>
        <v>1</v>
      </c>
      <c r="E993" s="309" t="str">
        <f>C993&amp;"."&amp;D993</f>
        <v>30.5.1</v>
      </c>
      <c r="F993" s="310" t="s">
        <v>12594</v>
      </c>
      <c r="G993" s="351" t="str">
        <f>IF($F993="","",IFERROR(VLOOKUP($F993,SERVIÇOS!$B:$G,2,0),IFERROR(VLOOKUP($F993,'COMPOSIÇÕES COMPLEMENTARES '!$D:$L,2,0),IFERROR(VLOOKUP($F993,INSUMOS!$A:$D,2,0),""))))</f>
        <v>GABINETES DE VENTILAÇÃO DE EXAUSTÃO DE AR
AMBIENTES ATENDIDOS: DIVERSOS
LOCALIZAÇÃO: SANITÁRIOS E DML
GABINETE: SIM
VAZÃO DE EXAUSTÃO (m³/h): 1.500
CAIXA DE FILTRAGEM: NÃO
FILTRAGEM DE 1° ESTÁGIO: N/A
FILTRAGEM DE 2° ESTÁGIO: N/A
PRESSÃO ESTÁTICA DISPONÍVEL PARA DUTOS (mmCA): 20
PRESSÃO ESTÁTICA INTERNA CONSIDERADA (mmCA): 30* - PARA BIBO INSTALADA
PRESSÃO ESTÁTICA TOTAL CONSIDERADA: 50*
TIPO DE ROTOR: SIROCCO
TIPO DE ACOPLAMENTO DO MOTOR: DIRETO
TENSÃO ELÉTRICA MOTOR: 220/3F
POTÊNCIA DO MOTOR (kW): 2,00
VARIADOR DE FREQUÊNCIA: NÃO
COXINS/CALÇOS DE BORRACHA: SIM
JUNTAS FLEXÍVEIS: EM TODAS AS CONEXÕES DE ENTRADA DO EQUIPAMENTO
PORTA DE INSPEÇÃO: SIM
QUADRO COMANDO: INCLUSO PARA ACIONAMENTO
*DADOS PODEM VARIAR DE ACORDO COM FABRICANTE E FORNECEDORES DE FILTROS E ACESSÓRIOS</v>
      </c>
      <c r="H993" s="312" t="str">
        <f>IF($F993="","",IFERROR(VLOOKUP($F993,SERVIÇOS!$B:$G,3,0),IFERROR(VLOOKUP($F993,'COMPOSIÇÕES COMPLEMENTARES '!$D:$L,3,0),IFERROR(VLOOKUP($F993,INSUMOS!$A:$D,3,0),""))))</f>
        <v>UN</v>
      </c>
      <c r="I993" s="313">
        <v>1</v>
      </c>
      <c r="J993" s="314">
        <f>IF($F993="","",IFERROR(VLOOKUP($F993,SERVIÇOS!$B:$G,4,0),IFERROR(VLOOKUP($F993,'COMPOSIÇÕES COMPLEMENTARES '!$D:$L,6,0),IFERROR(VLOOKUP($F993,INSUMOS!$A:$D,4,0),""))))</f>
        <v>4358.0600000000004</v>
      </c>
      <c r="K993" s="314">
        <f>IF($F993="","",IFERROR(VLOOKUP($F993,SERVIÇOS!$B:$G,5,0),IFERROR(VLOOKUP($F993,'COMPOSIÇÕES COMPLEMENTARES '!$D:$L,7,0),0)))</f>
        <v>291.84000000000003</v>
      </c>
      <c r="L993" s="314">
        <f>IF(I993="","",J993+K993)</f>
        <v>4649.9000000000005</v>
      </c>
      <c r="M993" s="314">
        <f>IF(I993="","",TRUNC((I993*J993),2))</f>
        <v>4358.0600000000004</v>
      </c>
      <c r="N993" s="314">
        <f>IF(I993="","",TRUNC((I993*K993),2))</f>
        <v>291.83999999999997</v>
      </c>
      <c r="O993" s="314">
        <f>IF(I993="","",TRUNC((M993+N993),2))</f>
        <v>4649.8999999999996</v>
      </c>
      <c r="P993" s="314"/>
      <c r="Q993" s="315"/>
      <c r="R993" s="315"/>
      <c r="S993" s="286"/>
      <c r="T993" s="287"/>
      <c r="U993" s="288" t="str">
        <f t="shared" si="585"/>
        <v/>
      </c>
      <c r="V993" s="287"/>
      <c r="W993" s="289" t="str">
        <f t="shared" si="586"/>
        <v/>
      </c>
      <c r="X993" s="287"/>
      <c r="Y993" s="290" t="str">
        <f t="shared" si="587"/>
        <v/>
      </c>
      <c r="Z993" s="291">
        <f ca="1">SUMIF($T$8:Y$1018,"QUANT.",T993:Y993)</f>
        <v>0</v>
      </c>
      <c r="AA993" s="292">
        <f t="shared" ca="1" si="591"/>
        <v>0</v>
      </c>
      <c r="AB993" s="293" t="str">
        <f t="shared" ca="1" si="588"/>
        <v>MEDIR</v>
      </c>
      <c r="AC993" s="294">
        <f t="shared" ca="1" si="589"/>
        <v>1</v>
      </c>
      <c r="AD993" s="294">
        <f t="shared" ca="1" si="590"/>
        <v>4649.8999999999996</v>
      </c>
      <c r="AE993" s="295"/>
      <c r="AF993" s="295"/>
      <c r="AG993" s="296"/>
      <c r="AH993" s="296"/>
      <c r="AI993" s="296"/>
      <c r="AJ993" s="326"/>
      <c r="AK993" s="326"/>
      <c r="AL993" s="326"/>
      <c r="AM993" s="326"/>
    </row>
    <row r="994" spans="1:39" x14ac:dyDescent="0.25">
      <c r="A994" s="232">
        <f t="shared" si="584"/>
        <v>994</v>
      </c>
      <c r="B994" s="232"/>
      <c r="C994" s="316" t="str">
        <f>+E994</f>
        <v>30.6</v>
      </c>
      <c r="D994" s="297"/>
      <c r="E994" s="317" t="s">
        <v>20482</v>
      </c>
      <c r="F994" s="317"/>
      <c r="G994" s="327" t="s">
        <v>12596</v>
      </c>
      <c r="H994" s="317"/>
      <c r="I994" s="319"/>
      <c r="J994" s="317"/>
      <c r="K994" s="317"/>
      <c r="L994" s="317"/>
      <c r="M994" s="317"/>
      <c r="N994" s="317"/>
      <c r="O994" s="317"/>
      <c r="P994" s="317"/>
      <c r="Q994" s="315"/>
      <c r="R994" s="306"/>
      <c r="S994" s="286"/>
      <c r="T994" s="287"/>
      <c r="U994" s="288" t="str">
        <f t="shared" si="585"/>
        <v/>
      </c>
      <c r="V994" s="287"/>
      <c r="W994" s="289" t="str">
        <f t="shared" si="586"/>
        <v/>
      </c>
      <c r="X994" s="287"/>
      <c r="Y994" s="290" t="str">
        <f t="shared" si="587"/>
        <v/>
      </c>
      <c r="Z994" s="291">
        <f ca="1">SUMIF($T$8:Y$1018,"QUANT.",T994:Y994)</f>
        <v>0</v>
      </c>
      <c r="AA994" s="292">
        <f t="shared" ca="1" si="591"/>
        <v>0</v>
      </c>
      <c r="AB994" s="293" t="str">
        <f t="shared" si="588"/>
        <v/>
      </c>
      <c r="AC994" s="294">
        <f t="shared" ca="1" si="589"/>
        <v>0</v>
      </c>
      <c r="AD994" s="294">
        <f t="shared" ca="1" si="590"/>
        <v>0</v>
      </c>
      <c r="AE994" s="295"/>
      <c r="AF994" s="295"/>
      <c r="AG994" s="296"/>
      <c r="AH994" s="296"/>
      <c r="AI994" s="296"/>
      <c r="AJ994" s="326"/>
      <c r="AK994" s="326"/>
      <c r="AL994" s="326"/>
      <c r="AM994" s="326"/>
    </row>
    <row r="995" spans="1:39" x14ac:dyDescent="0.25">
      <c r="A995" s="232">
        <f t="shared" si="584"/>
        <v>995</v>
      </c>
      <c r="B995" s="232"/>
      <c r="C995" s="307" t="str">
        <f>+C994</f>
        <v>30.6</v>
      </c>
      <c r="D995" s="308">
        <f>1+D994</f>
        <v>1</v>
      </c>
      <c r="E995" s="309" t="str">
        <f>C995&amp;"."&amp;D995</f>
        <v>30.6.1</v>
      </c>
      <c r="F995" s="310" t="s">
        <v>12597</v>
      </c>
      <c r="G995" s="311" t="str">
        <f>IF($F995="","",IFERROR(VLOOKUP($F995,SERVIÇOS!$B:$G,2,0),IFERROR(VLOOKUP($F995,'COMPOSIÇÕES COMPLEMENTARES '!$D:$L,2,0),IFERROR(VLOOKUP($F995,INSUMOS!$A:$D,2,0),""))))</f>
        <v>SUPORTES PARA GABINETES DE VENTILAÇÃO</v>
      </c>
      <c r="H995" s="312" t="str">
        <f>IF($F995="","",IFERROR(VLOOKUP($F995,SERVIÇOS!$B:$G,3,0),IFERROR(VLOOKUP($F995,'COMPOSIÇÕES COMPLEMENTARES '!$D:$L,3,0),IFERROR(VLOOKUP($F995,INSUMOS!$A:$D,3,0),""))))</f>
        <v>CJ</v>
      </c>
      <c r="I995" s="313">
        <v>1</v>
      </c>
      <c r="J995" s="314">
        <f>IF($F995="","",IFERROR(VLOOKUP($F995,SERVIÇOS!$B:$G,4,0),IFERROR(VLOOKUP($F995,'COMPOSIÇÕES COMPLEMENTARES '!$D:$L,6,0),IFERROR(VLOOKUP($F995,INSUMOS!$A:$D,4,0),""))))</f>
        <v>462.59</v>
      </c>
      <c r="K995" s="314">
        <f>IF($F995="","",IFERROR(VLOOKUP($F995,SERVIÇOS!$B:$G,5,0),IFERROR(VLOOKUP($F995,'COMPOSIÇÕES COMPLEMENTARES '!$D:$L,7,0),0)))</f>
        <v>77.81</v>
      </c>
      <c r="L995" s="314">
        <f>IF(I995="","",J995+K995)</f>
        <v>540.4</v>
      </c>
      <c r="M995" s="314">
        <f>IF(I995="","",TRUNC((I995*J995),2))</f>
        <v>462.59</v>
      </c>
      <c r="N995" s="314">
        <f>IF(I995="","",TRUNC((I995*K995),2))</f>
        <v>77.81</v>
      </c>
      <c r="O995" s="314">
        <f>IF(I995="","",TRUNC((M995+N995),2))</f>
        <v>540.4</v>
      </c>
      <c r="P995" s="314"/>
      <c r="Q995" s="315"/>
      <c r="R995" s="315"/>
      <c r="S995" s="286"/>
      <c r="T995" s="287"/>
      <c r="U995" s="288" t="str">
        <f t="shared" si="585"/>
        <v/>
      </c>
      <c r="V995" s="287"/>
      <c r="W995" s="289" t="str">
        <f t="shared" si="586"/>
        <v/>
      </c>
      <c r="X995" s="287"/>
      <c r="Y995" s="290" t="str">
        <f t="shared" si="587"/>
        <v/>
      </c>
      <c r="Z995" s="291">
        <f ca="1">SUMIF($T$8:Y$1018,"QUANT.",T995:Y995)</f>
        <v>0</v>
      </c>
      <c r="AA995" s="292">
        <f t="shared" ca="1" si="591"/>
        <v>0</v>
      </c>
      <c r="AB995" s="293" t="str">
        <f t="shared" ca="1" si="588"/>
        <v>MEDIR</v>
      </c>
      <c r="AC995" s="294">
        <f t="shared" ca="1" si="589"/>
        <v>1</v>
      </c>
      <c r="AD995" s="294">
        <f t="shared" ca="1" si="590"/>
        <v>540.4</v>
      </c>
      <c r="AE995" s="295"/>
      <c r="AF995" s="295"/>
      <c r="AG995" s="296"/>
      <c r="AH995" s="296"/>
      <c r="AI995" s="296"/>
      <c r="AJ995" s="326"/>
      <c r="AK995" s="326"/>
      <c r="AL995" s="326"/>
      <c r="AM995" s="326"/>
    </row>
    <row r="996" spans="1:39" x14ac:dyDescent="0.25">
      <c r="A996" s="232">
        <f t="shared" si="584"/>
        <v>996</v>
      </c>
      <c r="B996" s="232"/>
      <c r="C996" s="316" t="str">
        <f>+E996</f>
        <v>30.7</v>
      </c>
      <c r="D996" s="297"/>
      <c r="E996" s="317" t="s">
        <v>20483</v>
      </c>
      <c r="F996" s="317"/>
      <c r="G996" s="327" t="s">
        <v>12598</v>
      </c>
      <c r="H996" s="317"/>
      <c r="I996" s="319"/>
      <c r="J996" s="317"/>
      <c r="K996" s="317"/>
      <c r="L996" s="317"/>
      <c r="M996" s="317"/>
      <c r="N996" s="317"/>
      <c r="O996" s="317"/>
      <c r="P996" s="317"/>
      <c r="Q996" s="315"/>
      <c r="R996" s="306"/>
      <c r="S996" s="286"/>
      <c r="T996" s="287"/>
      <c r="U996" s="288" t="str">
        <f t="shared" si="585"/>
        <v/>
      </c>
      <c r="V996" s="287"/>
      <c r="W996" s="289" t="str">
        <f t="shared" si="586"/>
        <v/>
      </c>
      <c r="X996" s="287"/>
      <c r="Y996" s="290" t="str">
        <f t="shared" si="587"/>
        <v/>
      </c>
      <c r="Z996" s="291">
        <f ca="1">SUMIF($T$8:Y$1018,"QUANT.",T996:Y996)</f>
        <v>0</v>
      </c>
      <c r="AA996" s="292">
        <f t="shared" ca="1" si="591"/>
        <v>0</v>
      </c>
      <c r="AB996" s="293" t="str">
        <f t="shared" si="588"/>
        <v/>
      </c>
      <c r="AC996" s="294">
        <f t="shared" ca="1" si="589"/>
        <v>0</v>
      </c>
      <c r="AD996" s="294">
        <f t="shared" ca="1" si="590"/>
        <v>0</v>
      </c>
      <c r="AE996" s="295"/>
      <c r="AF996" s="295"/>
      <c r="AG996" s="296"/>
      <c r="AH996" s="296"/>
      <c r="AI996" s="296"/>
      <c r="AJ996" s="326"/>
      <c r="AK996" s="326"/>
      <c r="AL996" s="326"/>
      <c r="AM996" s="326"/>
    </row>
    <row r="997" spans="1:39" ht="25.5" x14ac:dyDescent="0.25">
      <c r="A997" s="232">
        <f t="shared" si="584"/>
        <v>997</v>
      </c>
      <c r="B997" s="232"/>
      <c r="C997" s="307" t="str">
        <f>+C996</f>
        <v>30.7</v>
      </c>
      <c r="D997" s="308">
        <f>1+D996</f>
        <v>1</v>
      </c>
      <c r="E997" s="309" t="str">
        <f>C997&amp;"."&amp;D997</f>
        <v>30.7.1</v>
      </c>
      <c r="F997" s="310" t="s">
        <v>12599</v>
      </c>
      <c r="G997" s="311" t="str">
        <f>IF($F997="","",IFERROR(VLOOKUP($F997,SERVIÇOS!$B:$G,2,0),IFERROR(VLOOKUP($F997,'COMPOSIÇÕES COMPLEMENTARES '!$D:$L,2,0),IFERROR(VLOOKUP($F997,INSUMOS!$A:$D,2,0),""))))</f>
        <v>CAIXA DE FILTRAGEM TIPO BAG-IN BAG-OUT COM TROCA SEGURO, COM MOLDURA EM AÇO GALVANIZADO, FILTRAGEM HEPA H14</v>
      </c>
      <c r="H997" s="312" t="str">
        <f>IF($F997="","",IFERROR(VLOOKUP($F997,SERVIÇOS!$B:$G,3,0),IFERROR(VLOOKUP($F997,'COMPOSIÇÕES COMPLEMENTARES '!$D:$L,3,0),IFERROR(VLOOKUP($F997,INSUMOS!$A:$D,3,0),""))))</f>
        <v>UN</v>
      </c>
      <c r="I997" s="313">
        <v>1</v>
      </c>
      <c r="J997" s="314">
        <f>IF($F997="","",IFERROR(VLOOKUP($F997,SERVIÇOS!$B:$G,4,0),IFERROR(VLOOKUP($F997,'COMPOSIÇÕES COMPLEMENTARES '!$D:$L,6,0),IFERROR(VLOOKUP($F997,INSUMOS!$A:$D,4,0),""))))</f>
        <v>13917.06</v>
      </c>
      <c r="K997" s="314">
        <f>IF($F997="","",IFERROR(VLOOKUP($F997,SERVIÇOS!$B:$G,5,0),IFERROR(VLOOKUP($F997,'COMPOSIÇÕES COMPLEMENTARES '!$D:$L,7,0),0)))</f>
        <v>291.84000000000003</v>
      </c>
      <c r="L997" s="314">
        <f>IF(I997="","",J997+K997)</f>
        <v>14208.9</v>
      </c>
      <c r="M997" s="314">
        <f>IF(I997="","",TRUNC((I997*J997),2))</f>
        <v>13917.06</v>
      </c>
      <c r="N997" s="314">
        <f>IF(I997="","",TRUNC((I997*K997),2))</f>
        <v>291.83999999999997</v>
      </c>
      <c r="O997" s="314">
        <f>IF(I997="","",TRUNC((M997+N997),2))</f>
        <v>14208.9</v>
      </c>
      <c r="P997" s="314"/>
      <c r="Q997" s="315"/>
      <c r="R997" s="315"/>
      <c r="S997" s="286"/>
      <c r="T997" s="287"/>
      <c r="U997" s="288" t="str">
        <f t="shared" si="585"/>
        <v/>
      </c>
      <c r="V997" s="287"/>
      <c r="W997" s="289" t="str">
        <f t="shared" si="586"/>
        <v/>
      </c>
      <c r="X997" s="287"/>
      <c r="Y997" s="290" t="str">
        <f t="shared" si="587"/>
        <v/>
      </c>
      <c r="Z997" s="291">
        <f ca="1">SUMIF($T$8:Y$1018,"QUANT.",T997:Y997)</f>
        <v>0</v>
      </c>
      <c r="AA997" s="292">
        <f t="shared" ca="1" si="591"/>
        <v>0</v>
      </c>
      <c r="AB997" s="293" t="str">
        <f t="shared" ca="1" si="588"/>
        <v>MEDIR</v>
      </c>
      <c r="AC997" s="294">
        <f t="shared" ca="1" si="589"/>
        <v>1</v>
      </c>
      <c r="AD997" s="294">
        <f t="shared" ca="1" si="590"/>
        <v>14208.9</v>
      </c>
      <c r="AE997" s="295"/>
      <c r="AF997" s="295"/>
      <c r="AG997" s="296"/>
      <c r="AH997" s="296"/>
      <c r="AI997" s="296"/>
      <c r="AJ997" s="326"/>
      <c r="AK997" s="326"/>
      <c r="AL997" s="326"/>
      <c r="AM997" s="326"/>
    </row>
    <row r="998" spans="1:39" x14ac:dyDescent="0.25">
      <c r="A998" s="232">
        <f t="shared" si="584"/>
        <v>998</v>
      </c>
      <c r="B998" s="232"/>
      <c r="C998" s="316" t="str">
        <f>+E998</f>
        <v>30.8</v>
      </c>
      <c r="D998" s="297"/>
      <c r="E998" s="317" t="s">
        <v>20484</v>
      </c>
      <c r="F998" s="317"/>
      <c r="G998" s="327" t="s">
        <v>12600</v>
      </c>
      <c r="H998" s="317"/>
      <c r="I998" s="319"/>
      <c r="J998" s="317"/>
      <c r="K998" s="317"/>
      <c r="L998" s="317"/>
      <c r="M998" s="317"/>
      <c r="N998" s="317"/>
      <c r="O998" s="317"/>
      <c r="P998" s="317"/>
      <c r="Q998" s="315"/>
      <c r="R998" s="306"/>
      <c r="S998" s="286"/>
      <c r="T998" s="287"/>
      <c r="U998" s="288" t="str">
        <f t="shared" si="585"/>
        <v/>
      </c>
      <c r="V998" s="287"/>
      <c r="W998" s="289" t="str">
        <f t="shared" si="586"/>
        <v/>
      </c>
      <c r="X998" s="287"/>
      <c r="Y998" s="290" t="str">
        <f t="shared" si="587"/>
        <v/>
      </c>
      <c r="Z998" s="291">
        <f ca="1">SUMIF($T$8:Y$1018,"QUANT.",T998:Y998)</f>
        <v>0</v>
      </c>
      <c r="AA998" s="292">
        <f t="shared" ca="1" si="591"/>
        <v>0</v>
      </c>
      <c r="AB998" s="293" t="str">
        <f t="shared" si="588"/>
        <v/>
      </c>
      <c r="AC998" s="294">
        <f t="shared" ca="1" si="589"/>
        <v>0</v>
      </c>
      <c r="AD998" s="294">
        <f t="shared" ca="1" si="590"/>
        <v>0</v>
      </c>
      <c r="AE998" s="295"/>
      <c r="AF998" s="295"/>
      <c r="AG998" s="296"/>
      <c r="AH998" s="296"/>
      <c r="AI998" s="296"/>
      <c r="AJ998" s="326"/>
      <c r="AK998" s="326"/>
      <c r="AL998" s="326"/>
      <c r="AM998" s="326"/>
    </row>
    <row r="999" spans="1:39" ht="25.5" x14ac:dyDescent="0.25">
      <c r="A999" s="232">
        <f t="shared" si="584"/>
        <v>999</v>
      </c>
      <c r="B999" s="232"/>
      <c r="C999" s="307" t="str">
        <f>+C998</f>
        <v>30.8</v>
      </c>
      <c r="D999" s="308">
        <f>1+D998</f>
        <v>1</v>
      </c>
      <c r="E999" s="309" t="str">
        <f>C999&amp;"."&amp;D999</f>
        <v>30.8.1</v>
      </c>
      <c r="F999" s="310" t="s">
        <v>12601</v>
      </c>
      <c r="G999" s="311" t="str">
        <f>IF($F999="","",IFERROR(VLOOKUP($F999,SERVIÇOS!$B:$G,2,0),IFERROR(VLOOKUP($F999,'COMPOSIÇÕES COMPLEMENTARES '!$D:$L,2,0),IFERROR(VLOOKUP($F999,INSUMOS!$A:$D,2,0),""))))</f>
        <v>VENTILADOR COMPACTO AXIAL PARA INSTALAÇÃO EM FORRO - VAZÃO 95M3/H - 220V - 18W - 60HZ. REFERÊNCIA: SICFLUX MEGA 10 OU OUTRO EQUIVALENTE (MULTIVAC). FORNECIMENTO E INSTALAÇÃO</v>
      </c>
      <c r="H999" s="312" t="str">
        <f>IF($F999="","",IFERROR(VLOOKUP($F999,SERVIÇOS!$B:$G,3,0),IFERROR(VLOOKUP($F999,'COMPOSIÇÕES COMPLEMENTARES '!$D:$L,3,0),IFERROR(VLOOKUP($F999,INSUMOS!$A:$D,3,0),""))))</f>
        <v>UN</v>
      </c>
      <c r="I999" s="313">
        <v>1</v>
      </c>
      <c r="J999" s="314">
        <f>IF($F999="","",IFERROR(VLOOKUP($F999,SERVIÇOS!$B:$G,4,0),IFERROR(VLOOKUP($F999,'COMPOSIÇÕES COMPLEMENTARES '!$D:$L,6,0),IFERROR(VLOOKUP($F999,INSUMOS!$A:$D,4,0),""))))</f>
        <v>210.08999999999997</v>
      </c>
      <c r="K999" s="314">
        <f>IF($F999="","",IFERROR(VLOOKUP($F999,SERVIÇOS!$B:$G,5,0),IFERROR(VLOOKUP($F999,'COMPOSIÇÕES COMPLEMENTARES '!$D:$L,7,0),0)))</f>
        <v>291.84000000000003</v>
      </c>
      <c r="L999" s="314">
        <f>IF(I999="","",J999+K999)</f>
        <v>501.93</v>
      </c>
      <c r="M999" s="314">
        <f>IF(I999="","",TRUNC((I999*J999),2))</f>
        <v>210.09</v>
      </c>
      <c r="N999" s="314">
        <f>IF(I999="","",TRUNC((I999*K999),2))</f>
        <v>291.83999999999997</v>
      </c>
      <c r="O999" s="314">
        <f>IF(I999="","",TRUNC((M999+N999),2))</f>
        <v>501.93</v>
      </c>
      <c r="P999" s="314"/>
      <c r="Q999" s="315"/>
      <c r="R999" s="315"/>
      <c r="S999" s="286"/>
      <c r="T999" s="287"/>
      <c r="U999" s="288" t="str">
        <f t="shared" si="585"/>
        <v/>
      </c>
      <c r="V999" s="287"/>
      <c r="W999" s="289" t="str">
        <f t="shared" si="586"/>
        <v/>
      </c>
      <c r="X999" s="287"/>
      <c r="Y999" s="290" t="str">
        <f t="shared" si="587"/>
        <v/>
      </c>
      <c r="Z999" s="291">
        <f ca="1">SUMIF($T$8:Y$1018,"QUANT.",T999:Y999)</f>
        <v>0</v>
      </c>
      <c r="AA999" s="292">
        <f t="shared" ca="1" si="591"/>
        <v>0</v>
      </c>
      <c r="AB999" s="293" t="str">
        <f t="shared" ca="1" si="588"/>
        <v>MEDIR</v>
      </c>
      <c r="AC999" s="294">
        <f t="shared" ca="1" si="589"/>
        <v>1</v>
      </c>
      <c r="AD999" s="294">
        <f t="shared" ca="1" si="590"/>
        <v>501.93</v>
      </c>
      <c r="AE999" s="295"/>
      <c r="AF999" s="295"/>
      <c r="AG999" s="296"/>
      <c r="AH999" s="38"/>
      <c r="AI999" s="296"/>
      <c r="AJ999" s="326"/>
      <c r="AK999" s="326"/>
      <c r="AL999" s="326"/>
      <c r="AM999" s="326"/>
    </row>
    <row r="1000" spans="1:39" ht="25.5" x14ac:dyDescent="0.25">
      <c r="A1000" s="232">
        <f t="shared" si="584"/>
        <v>1000</v>
      </c>
      <c r="B1000" s="232"/>
      <c r="C1000" s="307" t="str">
        <f>+C999</f>
        <v>30.8</v>
      </c>
      <c r="D1000" s="308">
        <f>1+D999</f>
        <v>2</v>
      </c>
      <c r="E1000" s="309" t="str">
        <f>C1000&amp;"."&amp;D1000</f>
        <v>30.8.2</v>
      </c>
      <c r="F1000" s="310" t="s">
        <v>12602</v>
      </c>
      <c r="G1000" s="311" t="str">
        <f>IF($F1000="","",IFERROR(VLOOKUP($F1000,SERVIÇOS!$B:$G,2,0),IFERROR(VLOOKUP($F1000,'COMPOSIÇÕES COMPLEMENTARES '!$D:$L,2,0),IFERROR(VLOOKUP($F1000,INSUMOS!$A:$D,2,0),""))))</f>
        <v>VENTILADOR COMPACTO AXIAL PARA INSTALAÇÃO EM FORRO - VAZÃO 180M3/H - 220V - 32W - 60HZ. REFERÊNCIA: SICFLUX MEGA 18 OU OUTRO EQUIVALENTE (MULTIVAC). FORNECIMENTO E INSTALAÇÃO</v>
      </c>
      <c r="H1000" s="312" t="str">
        <f>IF($F1000="","",IFERROR(VLOOKUP($F1000,SERVIÇOS!$B:$G,3,0),IFERROR(VLOOKUP($F1000,'COMPOSIÇÕES COMPLEMENTARES '!$D:$L,3,0),IFERROR(VLOOKUP($F1000,INSUMOS!$A:$D,3,0),""))))</f>
        <v>UN</v>
      </c>
      <c r="I1000" s="313">
        <v>7</v>
      </c>
      <c r="J1000" s="314">
        <f>IF($F1000="","",IFERROR(VLOOKUP($F1000,SERVIÇOS!$B:$G,4,0),IFERROR(VLOOKUP($F1000,'COMPOSIÇÕES COMPLEMENTARES '!$D:$L,6,0),IFERROR(VLOOKUP($F1000,INSUMOS!$A:$D,4,0),""))))</f>
        <v>208.64999999999998</v>
      </c>
      <c r="K1000" s="314">
        <f>IF($F1000="","",IFERROR(VLOOKUP($F1000,SERVIÇOS!$B:$G,5,0),IFERROR(VLOOKUP($F1000,'COMPOSIÇÕES COMPLEMENTARES '!$D:$L,7,0),0)))</f>
        <v>291.84000000000003</v>
      </c>
      <c r="L1000" s="314">
        <f>IF(I1000="","",J1000+K1000)</f>
        <v>500.49</v>
      </c>
      <c r="M1000" s="314">
        <f>IF(I1000="","",TRUNC((I1000*J1000),2))</f>
        <v>1460.55</v>
      </c>
      <c r="N1000" s="314">
        <f>IF(I1000="","",TRUNC((I1000*K1000),2))</f>
        <v>2042.88</v>
      </c>
      <c r="O1000" s="314">
        <f>IF(I1000="","",TRUNC((M1000+N1000),2))</f>
        <v>3503.43</v>
      </c>
      <c r="P1000" s="314"/>
      <c r="Q1000" s="315"/>
      <c r="R1000" s="315"/>
      <c r="S1000" s="286"/>
      <c r="T1000" s="287"/>
      <c r="U1000" s="288" t="str">
        <f t="shared" si="585"/>
        <v/>
      </c>
      <c r="V1000" s="287"/>
      <c r="W1000" s="289" t="str">
        <f t="shared" si="586"/>
        <v/>
      </c>
      <c r="X1000" s="287"/>
      <c r="Y1000" s="290" t="str">
        <f t="shared" si="587"/>
        <v/>
      </c>
      <c r="Z1000" s="291">
        <f ca="1">SUMIF($T$8:Y$1018,"QUANT.",T1000:Y1000)</f>
        <v>0</v>
      </c>
      <c r="AA1000" s="292">
        <f t="shared" ca="1" si="591"/>
        <v>0</v>
      </c>
      <c r="AB1000" s="293" t="str">
        <f t="shared" ca="1" si="588"/>
        <v>MEDIR</v>
      </c>
      <c r="AC1000" s="294">
        <f t="shared" ca="1" si="589"/>
        <v>7</v>
      </c>
      <c r="AD1000" s="294">
        <f t="shared" ca="1" si="590"/>
        <v>3503.43</v>
      </c>
      <c r="AE1000" s="295"/>
      <c r="AF1000" s="295"/>
      <c r="AG1000" s="296"/>
      <c r="AH1000" s="38"/>
      <c r="AI1000" s="38"/>
      <c r="AJ1000" s="38"/>
      <c r="AK1000" s="326"/>
      <c r="AL1000" s="326"/>
      <c r="AM1000" s="326"/>
    </row>
    <row r="1001" spans="1:39" ht="25.5" x14ac:dyDescent="0.25">
      <c r="A1001" s="232">
        <f t="shared" si="584"/>
        <v>1001</v>
      </c>
      <c r="B1001" s="232"/>
      <c r="C1001" s="307" t="str">
        <f>+C1000</f>
        <v>30.8</v>
      </c>
      <c r="D1001" s="308">
        <f>1+D1000</f>
        <v>3</v>
      </c>
      <c r="E1001" s="309" t="str">
        <f>C1001&amp;"."&amp;D1001</f>
        <v>30.8.3</v>
      </c>
      <c r="F1001" s="310" t="s">
        <v>12603</v>
      </c>
      <c r="G1001" s="311" t="str">
        <f>IF($F1001="","",IFERROR(VLOOKUP($F1001,SERVIÇOS!$B:$G,2,0),IFERROR(VLOOKUP($F1001,'COMPOSIÇÕES COMPLEMENTARES '!$D:$L,2,0),IFERROR(VLOOKUP($F1001,INSUMOS!$A:$D,2,0),""))))</f>
        <v>VENTILADOR COMPACTO AXIAL PARA INSTALAÇÃO EM FORRO - VAZÃO 250M3/H - 220V - 31W - 60HZ. REFERÊNCIA: SICFLUX MEGA 25 OU OUTRO EQUIVALENTE (MULTIVAC). FORNECIMENTO E INSTALAÇÃO</v>
      </c>
      <c r="H1001" s="312" t="str">
        <f>IF($F1001="","",IFERROR(VLOOKUP($F1001,SERVIÇOS!$B:$G,3,0),IFERROR(VLOOKUP($F1001,'COMPOSIÇÕES COMPLEMENTARES '!$D:$L,3,0),IFERROR(VLOOKUP($F1001,INSUMOS!$A:$D,3,0),""))))</f>
        <v>UN</v>
      </c>
      <c r="I1001" s="313">
        <v>1</v>
      </c>
      <c r="J1001" s="314">
        <f>IF($F1001="","",IFERROR(VLOOKUP($F1001,SERVIÇOS!$B:$G,4,0),IFERROR(VLOOKUP($F1001,'COMPOSIÇÕES COMPLEMENTARES '!$D:$L,6,0),IFERROR(VLOOKUP($F1001,INSUMOS!$A:$D,4,0),""))))</f>
        <v>266.09000000000003</v>
      </c>
      <c r="K1001" s="314">
        <f>IF($F1001="","",IFERROR(VLOOKUP($F1001,SERVIÇOS!$B:$G,5,0),IFERROR(VLOOKUP($F1001,'COMPOSIÇÕES COMPLEMENTARES '!$D:$L,7,0),0)))</f>
        <v>291.84000000000003</v>
      </c>
      <c r="L1001" s="314">
        <f>IF(I1001="","",J1001+K1001)</f>
        <v>557.93000000000006</v>
      </c>
      <c r="M1001" s="314">
        <f>IF(I1001="","",TRUNC((I1001*J1001),2))</f>
        <v>266.08999999999997</v>
      </c>
      <c r="N1001" s="314">
        <f>IF(I1001="","",TRUNC((I1001*K1001),2))</f>
        <v>291.83999999999997</v>
      </c>
      <c r="O1001" s="314">
        <f>IF(I1001="","",TRUNC((M1001+N1001),2))</f>
        <v>557.92999999999995</v>
      </c>
      <c r="P1001" s="314"/>
      <c r="Q1001" s="315"/>
      <c r="R1001" s="315"/>
      <c r="S1001" s="286"/>
      <c r="T1001" s="287"/>
      <c r="U1001" s="288" t="str">
        <f t="shared" si="585"/>
        <v/>
      </c>
      <c r="V1001" s="287"/>
      <c r="W1001" s="289" t="str">
        <f t="shared" si="586"/>
        <v/>
      </c>
      <c r="X1001" s="287"/>
      <c r="Y1001" s="290" t="str">
        <f t="shared" si="587"/>
        <v/>
      </c>
      <c r="Z1001" s="291">
        <f ca="1">SUMIF($T$8:Y$1018,"QUANT.",T1001:Y1001)</f>
        <v>0</v>
      </c>
      <c r="AA1001" s="292">
        <f t="shared" ca="1" si="591"/>
        <v>0</v>
      </c>
      <c r="AB1001" s="293" t="str">
        <f t="shared" ca="1" si="588"/>
        <v>MEDIR</v>
      </c>
      <c r="AC1001" s="294">
        <f t="shared" ca="1" si="589"/>
        <v>1</v>
      </c>
      <c r="AD1001" s="294">
        <f t="shared" ca="1" si="590"/>
        <v>557.92999999999995</v>
      </c>
      <c r="AE1001" s="295"/>
      <c r="AF1001" s="295"/>
      <c r="AG1001" s="38"/>
      <c r="AH1001" s="38"/>
      <c r="AI1001" s="38"/>
      <c r="AJ1001" s="38"/>
      <c r="AK1001" s="326"/>
      <c r="AL1001" s="326"/>
      <c r="AM1001" s="326"/>
    </row>
    <row r="1002" spans="1:39" x14ac:dyDescent="0.25">
      <c r="A1002" s="232">
        <f t="shared" si="584"/>
        <v>1002</v>
      </c>
      <c r="B1002" s="232"/>
      <c r="C1002" s="281">
        <f>+E1002</f>
        <v>30</v>
      </c>
      <c r="D1002" s="297"/>
      <c r="E1002" s="298">
        <v>30</v>
      </c>
      <c r="F1002" s="322"/>
      <c r="G1002" s="299" t="s">
        <v>12604</v>
      </c>
      <c r="H1002" s="300"/>
      <c r="I1002" s="345"/>
      <c r="J1002" s="302"/>
      <c r="K1002" s="303"/>
      <c r="L1002" s="303"/>
      <c r="M1002" s="304">
        <f>TRUNC(SUMIF(M1003:M1004,"&gt;0",M1003:M1004),2)</f>
        <v>127182.5</v>
      </c>
      <c r="N1002" s="304">
        <f>TRUNC(SUMIF(N1003:N1004,"&gt;0",N1003:N1004),2)</f>
        <v>1545.56</v>
      </c>
      <c r="O1002" s="305"/>
      <c r="P1002" s="304">
        <f>+N1002+M1002</f>
        <v>128728.06</v>
      </c>
      <c r="Q1002" s="315"/>
      <c r="R1002" s="306"/>
      <c r="S1002" s="286"/>
      <c r="T1002" s="287"/>
      <c r="U1002" s="288" t="str">
        <f t="shared" si="585"/>
        <v/>
      </c>
      <c r="V1002" s="287"/>
      <c r="W1002" s="289" t="str">
        <f t="shared" si="586"/>
        <v/>
      </c>
      <c r="X1002" s="287"/>
      <c r="Y1002" s="290" t="str">
        <f t="shared" si="587"/>
        <v/>
      </c>
      <c r="Z1002" s="291">
        <f ca="1">SUMIF($T$8:Y$1018,"QUANT.",T1002:Y1002)</f>
        <v>0</v>
      </c>
      <c r="AA1002" s="292">
        <f t="shared" ca="1" si="591"/>
        <v>0</v>
      </c>
      <c r="AB1002" s="293" t="str">
        <f t="shared" si="588"/>
        <v/>
      </c>
      <c r="AC1002" s="294">
        <f t="shared" ca="1" si="589"/>
        <v>0</v>
      </c>
      <c r="AD1002" s="294">
        <f t="shared" ca="1" si="590"/>
        <v>0</v>
      </c>
      <c r="AE1002" s="295"/>
      <c r="AF1002" s="295"/>
      <c r="AG1002" s="38"/>
      <c r="AH1002" s="38"/>
      <c r="AI1002" s="38"/>
      <c r="AJ1002" s="38"/>
      <c r="AK1002" s="326"/>
      <c r="AL1002" s="326"/>
      <c r="AM1002" s="326"/>
    </row>
    <row r="1003" spans="1:39" ht="89.25" x14ac:dyDescent="0.25">
      <c r="A1003" s="232">
        <f t="shared" si="584"/>
        <v>1003</v>
      </c>
      <c r="B1003" s="232"/>
      <c r="C1003" s="307">
        <f>+C1002</f>
        <v>30</v>
      </c>
      <c r="D1003" s="308">
        <f>1+D1002</f>
        <v>1</v>
      </c>
      <c r="E1003" s="309" t="str">
        <f>C1003&amp;"."&amp;D1003</f>
        <v>30.1</v>
      </c>
      <c r="F1003" s="310" t="s">
        <v>12605</v>
      </c>
      <c r="G1003" s="311" t="str">
        <f>IF($F1003="","",IFERROR(VLOOKUP($F1003,SERVIÇOS!$B:$G,2,0),IFERROR(VLOOKUP($F1003,'COMPOSIÇÕES COMPLEMENTARES '!$D:$L,2,0),IFERROR(VLOOKUP($F1003,INSUMOS!$A:$D,2,0),""))))</f>
        <v>SISTEMA CENTRAL DE AR COMPRIMIDO MEDICINAL, DE CAPACIDADE MÍNIMA DE OPERAÇÃO DE 12M³/H, CONTENDO: - FILTRO DE ASPIRAÇÃO; - COMPRESSORES DE AR (OPERAÇÃO E BACKUP) DO TIPO PISTÃO ISENTOS DE ÓLEO COM VAZÃO DE OPERAÇÃO; - CONJUNTO DE FILTRAGEM; - SECADOR POR ADSORÇÃO; - RESERVATÓRIO DE AR COMPRIMIDO; - SISTEMA DE REGULAGEM DE PRESSÃO; - PAINEL DE ALARME OPERACIONAL COM TRANSMISSOR DE PRESSÃO DADOS TÉCNICOS:  1810KG - MONOFÁSICA - 4,6KW  - 220V - 60HZ DIMENSÃO: 2100x2000x2800MM (A x L x P). REF: VALMIG AIRMED-STD-12D OU EQUIVALENTE TÉCNICO</v>
      </c>
      <c r="H1003" s="312" t="str">
        <f>IF($F1003="","",IFERROR(VLOOKUP($F1003,SERVIÇOS!$B:$G,3,0),IFERROR(VLOOKUP($F1003,'COMPOSIÇÕES COMPLEMENTARES '!$D:$L,3,0),IFERROR(VLOOKUP($F1003,INSUMOS!$A:$D,3,0),""))))</f>
        <v>UN</v>
      </c>
      <c r="I1003" s="313">
        <v>1</v>
      </c>
      <c r="J1003" s="314">
        <f>IF($F1003="","",IFERROR(VLOOKUP($F1003,SERVIÇOS!$B:$G,4,0),IFERROR(VLOOKUP($F1003,'COMPOSIÇÕES COMPLEMENTARES '!$D:$L,6,0),IFERROR(VLOOKUP($F1003,INSUMOS!$A:$D,4,0),""))))</f>
        <v>56900</v>
      </c>
      <c r="K1003" s="314">
        <f>IF($F1003="","",IFERROR(VLOOKUP($F1003,SERVIÇOS!$B:$G,5,0),IFERROR(VLOOKUP($F1003,'COMPOSIÇÕES COMPLEMENTARES '!$D:$L,7,0),0)))</f>
        <v>0</v>
      </c>
      <c r="L1003" s="314">
        <f>IF(I1003="","",J1003+K1003)</f>
        <v>56900</v>
      </c>
      <c r="M1003" s="314">
        <f>IF(I1003="","",TRUNC((I1003*J1003),2))</f>
        <v>56900</v>
      </c>
      <c r="N1003" s="314">
        <f>IF(I1003="","",TRUNC((I1003*K1003),2))</f>
        <v>0</v>
      </c>
      <c r="O1003" s="314">
        <f>IF(I1003="","",TRUNC((M1003+N1003),2))</f>
        <v>56900</v>
      </c>
      <c r="P1003" s="314"/>
      <c r="Q1003" s="315"/>
      <c r="R1003" s="315"/>
      <c r="S1003" s="286"/>
      <c r="T1003" s="287"/>
      <c r="U1003" s="288" t="str">
        <f t="shared" si="585"/>
        <v/>
      </c>
      <c r="V1003" s="287"/>
      <c r="W1003" s="289" t="str">
        <f t="shared" si="586"/>
        <v/>
      </c>
      <c r="X1003" s="287"/>
      <c r="Y1003" s="290" t="str">
        <f t="shared" si="587"/>
        <v/>
      </c>
      <c r="Z1003" s="291">
        <f ca="1">SUMIF($T$8:Y$1018,"QUANT.",T1003:Y1003)</f>
        <v>0</v>
      </c>
      <c r="AA1003" s="292">
        <f t="shared" ca="1" si="591"/>
        <v>0</v>
      </c>
      <c r="AB1003" s="293" t="str">
        <f t="shared" ca="1" si="588"/>
        <v>MEDIR</v>
      </c>
      <c r="AC1003" s="294">
        <f t="shared" ca="1" si="589"/>
        <v>1</v>
      </c>
      <c r="AD1003" s="294">
        <f t="shared" ca="1" si="590"/>
        <v>56900</v>
      </c>
      <c r="AE1003" s="295"/>
      <c r="AF1003" s="295"/>
      <c r="AG1003" s="38"/>
      <c r="AH1003" s="38"/>
      <c r="AI1003" s="38"/>
      <c r="AJ1003" s="38"/>
      <c r="AK1003" s="326"/>
      <c r="AL1003" s="326"/>
      <c r="AM1003" s="326"/>
    </row>
    <row r="1004" spans="1:39" ht="76.5" x14ac:dyDescent="0.25">
      <c r="A1004" s="232">
        <f t="shared" si="584"/>
        <v>1004</v>
      </c>
      <c r="B1004" s="232"/>
      <c r="C1004" s="307">
        <f>+C1003</f>
        <v>30</v>
      </c>
      <c r="D1004" s="308">
        <f>1+D1003</f>
        <v>2</v>
      </c>
      <c r="E1004" s="309" t="str">
        <f>C1004&amp;"."&amp;D1004</f>
        <v>30.2</v>
      </c>
      <c r="F1004" s="310" t="s">
        <v>12606</v>
      </c>
      <c r="G1004" s="311" t="str">
        <f>IF($F1004="","",IFERROR(VLOOKUP($F1004,SERVIÇOS!$B:$G,2,0),IFERROR(VLOOKUP($F1004,'COMPOSIÇÕES COMPLEMENTARES '!$D:$L,2,0),IFERROR(VLOOKUP($F1004,INSUMOS!$A:$D,2,0),""))))</f>
        <v>SISTEMA CENTRAL DE VÁCUO CLÍNICO, DE CAPACIDADE MÍNIMA DE OPERAÇÃO 20 M³/H E SUPRIMENTO RESERVA DE CAPACIDADE EQUIVALENTE DE 20 M³/H, CONTENDO: - DOIS FILTROS BACTERIOLÓGICOS INSTALADOS EM PARALELO; - RESERVATÓRIO DE VÁCUO; - BOMBAS DE VÁCUO DO TIPO PALHETA LUBRIFICADAS; - PAINEL DE ALARME OPERACIONAL COM TRANSMISSOR DE PRESSÃO; DADOS TÉCNICOS:  20 m³- 200KG - MONOFÁSICA - 1,55KW  - 220V - 60HZ; DIMENSÃO:1800x1150x820MM (A x L x P); REF: VALMIG ASPMIG-LV-20D OU EQUIVALENTE TÉCNICO</v>
      </c>
      <c r="H1004" s="312" t="str">
        <f>IF($F1004="","",IFERROR(VLOOKUP($F1004,SERVIÇOS!$B:$G,3,0),IFERROR(VLOOKUP($F1004,'COMPOSIÇÕES COMPLEMENTARES '!$D:$L,3,0),IFERROR(VLOOKUP($F1004,INSUMOS!$A:$D,3,0),""))))</f>
        <v>UN</v>
      </c>
      <c r="I1004" s="313">
        <v>1</v>
      </c>
      <c r="J1004" s="314">
        <f>IF($F1004="","",IFERROR(VLOOKUP($F1004,SERVIÇOS!$B:$G,4,0),IFERROR(VLOOKUP($F1004,'COMPOSIÇÕES COMPLEMENTARES '!$D:$L,6,0),IFERROR(VLOOKUP($F1004,INSUMOS!$A:$D,4,0),""))))</f>
        <v>70282.5</v>
      </c>
      <c r="K1004" s="314">
        <f>IF($F1004="","",IFERROR(VLOOKUP($F1004,SERVIÇOS!$B:$G,5,0),IFERROR(VLOOKUP($F1004,'COMPOSIÇÕES COMPLEMENTARES '!$D:$L,7,0),0)))</f>
        <v>1545.56</v>
      </c>
      <c r="L1004" s="314">
        <f>IF(I1004="","",J1004+K1004)</f>
        <v>71828.06</v>
      </c>
      <c r="M1004" s="314">
        <f>IF(I1004="","",TRUNC((I1004*J1004),2))</f>
        <v>70282.5</v>
      </c>
      <c r="N1004" s="314">
        <f>IF(I1004="","",TRUNC((I1004*K1004),2))</f>
        <v>1545.56</v>
      </c>
      <c r="O1004" s="314">
        <f>IF(I1004="","",TRUNC((M1004+N1004),2))</f>
        <v>71828.06</v>
      </c>
      <c r="P1004" s="314"/>
      <c r="Q1004" s="315"/>
      <c r="R1004" s="315"/>
      <c r="S1004" s="286"/>
      <c r="T1004" s="287"/>
      <c r="U1004" s="288" t="str">
        <f t="shared" si="585"/>
        <v/>
      </c>
      <c r="V1004" s="287"/>
      <c r="W1004" s="289" t="str">
        <f t="shared" si="586"/>
        <v/>
      </c>
      <c r="X1004" s="287"/>
      <c r="Y1004" s="290" t="str">
        <f t="shared" si="587"/>
        <v/>
      </c>
      <c r="Z1004" s="291">
        <f ca="1">SUMIF($T$8:Y$1018,"QUANT.",T1004:Y1004)</f>
        <v>0</v>
      </c>
      <c r="AA1004" s="292">
        <f t="shared" ca="1" si="591"/>
        <v>0</v>
      </c>
      <c r="AB1004" s="293" t="str">
        <f t="shared" ca="1" si="588"/>
        <v>MEDIR</v>
      </c>
      <c r="AC1004" s="294">
        <f t="shared" ca="1" si="589"/>
        <v>1</v>
      </c>
      <c r="AD1004" s="294">
        <f t="shared" ca="1" si="590"/>
        <v>71828.06</v>
      </c>
      <c r="AE1004" s="295"/>
      <c r="AF1004" s="295"/>
      <c r="AG1004" s="38"/>
      <c r="AH1004" s="38"/>
      <c r="AI1004" s="38"/>
      <c r="AJ1004" s="38"/>
      <c r="AK1004" s="326"/>
      <c r="AL1004" s="326"/>
      <c r="AM1004" s="326"/>
    </row>
    <row r="1005" spans="1:39" x14ac:dyDescent="0.25">
      <c r="A1005" s="232">
        <f t="shared" si="584"/>
        <v>1005</v>
      </c>
      <c r="B1005" s="232"/>
      <c r="C1005" s="281">
        <f>+E1005</f>
        <v>31</v>
      </c>
      <c r="D1005" s="297"/>
      <c r="E1005" s="298">
        <v>31</v>
      </c>
      <c r="F1005" s="322"/>
      <c r="G1005" s="299" t="s">
        <v>20561</v>
      </c>
      <c r="H1005" s="300"/>
      <c r="I1005" s="345"/>
      <c r="J1005" s="302"/>
      <c r="K1005" s="303"/>
      <c r="L1005" s="303"/>
      <c r="M1005" s="304">
        <f>TRUNC(SUMIF(M1007:M1017,"&gt;0",M1007:M1017),2)</f>
        <v>13857.64</v>
      </c>
      <c r="N1005" s="304">
        <f>TRUNC(SUMIF(N1007:N1017,"&gt;0",N1007:N1017),2)</f>
        <v>1792.96</v>
      </c>
      <c r="O1005" s="305"/>
      <c r="P1005" s="304">
        <f>+N1005+M1005</f>
        <v>15650.599999999999</v>
      </c>
      <c r="Q1005" s="315"/>
      <c r="R1005" s="306"/>
      <c r="S1005" s="286"/>
      <c r="T1005" s="287"/>
      <c r="U1005" s="288" t="str">
        <f t="shared" ref="U1005:U1008" si="599">IF(OR(T1005="",$O1005=""),"",(T1005/$I1005)*$O1005)</f>
        <v/>
      </c>
      <c r="V1005" s="287"/>
      <c r="W1005" s="289" t="str">
        <f t="shared" ref="W1005:W1008" si="600">IF(OR(V1005="",$O1005=""),"",(V1005/$I1005)*$O1005)</f>
        <v/>
      </c>
      <c r="X1005" s="287"/>
      <c r="Y1005" s="290" t="str">
        <f t="shared" ref="Y1005:Y1008" si="601">IF(OR(X1005="",$O1005=""),"",(X1005/$I1005)*$O1005)</f>
        <v/>
      </c>
      <c r="Z1005" s="291">
        <f ca="1">SUMIF($T$8:Y$1018,"QUANT.",T1005:Y1005)</f>
        <v>0</v>
      </c>
      <c r="AA1005" s="292">
        <f t="shared" ca="1" si="591"/>
        <v>0</v>
      </c>
      <c r="AB1005" s="293" t="str">
        <f t="shared" ref="AB1005:AB1008" si="602">IF(F1005&lt;&gt;"",IF(AA1005=0,"MEDIR",IF(O1005-AA1005=0,"OK",IF(O1005-AA1005&gt;0,"MEDIR","ALERTA!"))),"")</f>
        <v/>
      </c>
      <c r="AC1005" s="294">
        <f t="shared" ref="AC1005:AC1008" ca="1" si="603">IF(Z1005="",0,I1005-Z1005)</f>
        <v>0</v>
      </c>
      <c r="AD1005" s="294">
        <f t="shared" ref="AD1005:AD1008" ca="1" si="604">IF(AA1005="",0,O1005-AA1005)</f>
        <v>0</v>
      </c>
      <c r="AE1005" s="295"/>
      <c r="AF1005" s="295"/>
      <c r="AG1005" s="38"/>
      <c r="AH1005" s="38"/>
      <c r="AI1005" s="38"/>
      <c r="AJ1005" s="38"/>
      <c r="AK1005" s="326"/>
      <c r="AL1005" s="326"/>
      <c r="AM1005" s="326"/>
    </row>
    <row r="1006" spans="1:39" x14ac:dyDescent="0.25">
      <c r="A1006" s="232">
        <f t="shared" si="584"/>
        <v>1006</v>
      </c>
      <c r="B1006" s="232"/>
      <c r="C1006" s="316" t="str">
        <f>+E1006</f>
        <v>31.1</v>
      </c>
      <c r="D1006" s="297"/>
      <c r="E1006" s="317" t="s">
        <v>20557</v>
      </c>
      <c r="F1006" s="317"/>
      <c r="G1006" s="327" t="s">
        <v>20498</v>
      </c>
      <c r="H1006" s="317"/>
      <c r="I1006" s="319"/>
      <c r="J1006" s="317"/>
      <c r="K1006" s="317"/>
      <c r="L1006" s="317"/>
      <c r="M1006" s="317"/>
      <c r="N1006" s="317"/>
      <c r="O1006" s="317"/>
      <c r="P1006" s="317"/>
      <c r="Q1006" s="315"/>
      <c r="R1006" s="306"/>
      <c r="S1006" s="286"/>
      <c r="T1006" s="287"/>
      <c r="U1006" s="288" t="str">
        <f t="shared" si="599"/>
        <v/>
      </c>
      <c r="V1006" s="287"/>
      <c r="W1006" s="289" t="str">
        <f t="shared" si="600"/>
        <v/>
      </c>
      <c r="X1006" s="287"/>
      <c r="Y1006" s="290" t="str">
        <f t="shared" si="601"/>
        <v/>
      </c>
      <c r="Z1006" s="291">
        <f ca="1">SUMIF($T$8:Y$1018,"QUANT.",T1006:Y1006)</f>
        <v>0</v>
      </c>
      <c r="AA1006" s="292">
        <f t="shared" ca="1" si="591"/>
        <v>0</v>
      </c>
      <c r="AB1006" s="293" t="str">
        <f t="shared" si="602"/>
        <v/>
      </c>
      <c r="AC1006" s="294">
        <f t="shared" ca="1" si="603"/>
        <v>0</v>
      </c>
      <c r="AD1006" s="294">
        <f t="shared" ca="1" si="604"/>
        <v>0</v>
      </c>
      <c r="AE1006" s="295"/>
      <c r="AF1006" s="295"/>
      <c r="AG1006" s="296"/>
      <c r="AH1006" s="296"/>
      <c r="AI1006" s="296"/>
      <c r="AJ1006" s="326"/>
      <c r="AK1006" s="326"/>
      <c r="AL1006" s="326"/>
      <c r="AM1006" s="326"/>
    </row>
    <row r="1007" spans="1:39" ht="25.5" x14ac:dyDescent="0.25">
      <c r="A1007" s="232">
        <f t="shared" si="584"/>
        <v>1007</v>
      </c>
      <c r="B1007" s="232"/>
      <c r="C1007" s="307">
        <f>+C1005</f>
        <v>31</v>
      </c>
      <c r="D1007" s="308">
        <f>1+D1005</f>
        <v>1</v>
      </c>
      <c r="E1007" s="309" t="str">
        <f>C1007&amp;"."&amp;D1007</f>
        <v>31.1</v>
      </c>
      <c r="F1007" s="310">
        <v>98053</v>
      </c>
      <c r="G1007" s="311" t="str">
        <f>IF($F1007="","",IFERROR(VLOOKUP($F1007,SERVIÇOS!$B:$G,2,0),IFERROR(VLOOKUP($F1007,'COMPOSIÇÕES COMPLEMENTARES '!$D:$L,2,0),IFERROR(VLOOKUP($F1007,INSUMOS!$A:$D,2,0),""))))</f>
        <v>TANQUE SÉPTICO CIRCULAR, EM CONCRETO PRÉ-MOLDADO, DIÂMETRO INTERNO = 1,40 M, ALTURA INTERNA = 2,50 M, VOLUME ÚTIL: 3463,6 L (PARA 13 CONTRIBUINTES). AF_12/2020</v>
      </c>
      <c r="H1007" s="312" t="str">
        <f>IF($F1007="","",IFERROR(VLOOKUP($F1007,SERVIÇOS!$B:$G,3,0),IFERROR(VLOOKUP($F1007,'COMPOSIÇÕES COMPLEMENTARES '!$D:$L,3,0),IFERROR(VLOOKUP($F1007,INSUMOS!$A:$D,3,0),""))))</f>
        <v>UN</v>
      </c>
      <c r="I1007" s="313">
        <v>1</v>
      </c>
      <c r="J1007" s="314">
        <f>IF($F1007="","",IFERROR(VLOOKUP($F1007,SERVIÇOS!$B:$G,4,0),IFERROR(VLOOKUP($F1007,'COMPOSIÇÕES COMPLEMENTARES '!$D:$L,6,0),IFERROR(VLOOKUP($F1007,INSUMOS!$A:$D,4,0),""))))</f>
        <v>2635.4</v>
      </c>
      <c r="K1007" s="314">
        <f>IF($F1007="","",IFERROR(VLOOKUP($F1007,SERVIÇOS!$B:$G,5,0),IFERROR(VLOOKUP($F1007,'COMPOSIÇÕES COMPLEMENTARES '!$D:$L,7,0),0)))</f>
        <v>365.51</v>
      </c>
      <c r="L1007" s="314">
        <f>IF(I1007="","",J1007+K1007)</f>
        <v>3000.91</v>
      </c>
      <c r="M1007" s="314">
        <f>IF(I1007="","",TRUNC((I1007*J1007),2))</f>
        <v>2635.4</v>
      </c>
      <c r="N1007" s="314">
        <f>IF(I1007="","",TRUNC((I1007*K1007),2))</f>
        <v>365.51</v>
      </c>
      <c r="O1007" s="314">
        <f>IF(I1007="","",TRUNC((M1007+N1007),2))</f>
        <v>3000.91</v>
      </c>
      <c r="P1007" s="314"/>
      <c r="Q1007" s="315"/>
      <c r="R1007" s="315"/>
      <c r="S1007" s="286"/>
      <c r="T1007" s="287"/>
      <c r="U1007" s="288" t="str">
        <f t="shared" si="599"/>
        <v/>
      </c>
      <c r="V1007" s="287"/>
      <c r="W1007" s="289" t="str">
        <f t="shared" si="600"/>
        <v/>
      </c>
      <c r="X1007" s="287"/>
      <c r="Y1007" s="290" t="str">
        <f t="shared" si="601"/>
        <v/>
      </c>
      <c r="Z1007" s="291">
        <f ca="1">SUMIF($T$8:Y$1018,"QUANT.",T1007:Y1007)</f>
        <v>0</v>
      </c>
      <c r="AA1007" s="292">
        <f t="shared" ca="1" si="591"/>
        <v>0</v>
      </c>
      <c r="AB1007" s="293" t="str">
        <f t="shared" ca="1" si="602"/>
        <v>MEDIR</v>
      </c>
      <c r="AC1007" s="294">
        <f t="shared" ca="1" si="603"/>
        <v>1</v>
      </c>
      <c r="AD1007" s="294">
        <f t="shared" ca="1" si="604"/>
        <v>3000.91</v>
      </c>
      <c r="AE1007" s="295"/>
      <c r="AF1007" s="295"/>
      <c r="AG1007" s="38"/>
      <c r="AH1007" s="38"/>
      <c r="AI1007" s="38"/>
      <c r="AJ1007" s="38"/>
      <c r="AK1007" s="326"/>
      <c r="AL1007" s="326"/>
      <c r="AM1007" s="326"/>
    </row>
    <row r="1008" spans="1:39" ht="38.25" x14ac:dyDescent="0.25">
      <c r="A1008" s="232">
        <f t="shared" si="584"/>
        <v>1008</v>
      </c>
      <c r="B1008" s="232"/>
      <c r="C1008" s="307">
        <f>+C1007</f>
        <v>31</v>
      </c>
      <c r="D1008" s="308">
        <f t="shared" ref="D1008:D1009" si="605">1+D1007</f>
        <v>2</v>
      </c>
      <c r="E1008" s="309" t="str">
        <f>C1008&amp;"."&amp;D1008</f>
        <v>31.2</v>
      </c>
      <c r="F1008" s="310">
        <v>101230</v>
      </c>
      <c r="G1008" s="311" t="str">
        <f>IF($F1008="","",IFERROR(VLOOKUP($F1008,SERVIÇOS!$B:$G,2,0),IFERROR(VLOOKUP($F1008,'COMPOSIÇÕES COMPLEMENTARES '!$D:$L,2,0),IFERROR(VLOOKUP($F1008,INSUMOS!$A:$D,2,0),""))))</f>
        <v>ESCAVAÇÃO VERTICAL PARA INFRAESTRUTURA, COM CARGA, DESCARGA E TRANSPORTE DE SOLO DE 1ª CATEGORIA, COM ESCAVADEIRA HIDRÁULICA (CAÇAMBA: 0,8 M³ / 111 HP), FROTA DE 3 CAMINHÕES BASCULANTES DE 14 M³, DMT ATÉ 1 KM E VELOCIDADE MÉDIA14 KM/H. AF_05/2020</v>
      </c>
      <c r="H1008" s="312" t="str">
        <f>IF($F1008="","",IFERROR(VLOOKUP($F1008,SERVIÇOS!$B:$G,3,0),IFERROR(VLOOKUP($F1008,'COMPOSIÇÕES COMPLEMENTARES '!$D:$L,3,0),IFERROR(VLOOKUP($F1008,INSUMOS!$A:$D,3,0),""))))</f>
        <v>M3</v>
      </c>
      <c r="I1008" s="313">
        <v>7.66</v>
      </c>
      <c r="J1008" s="314">
        <f>IF($F1008="","",IFERROR(VLOOKUP($F1008,SERVIÇOS!$B:$G,4,0),IFERROR(VLOOKUP($F1008,'COMPOSIÇÕES COMPLEMENTARES '!$D:$L,6,0),IFERROR(VLOOKUP($F1008,INSUMOS!$A:$D,4,0),""))))</f>
        <v>10.199999999999999</v>
      </c>
      <c r="K1008" s="314">
        <f>IF($F1008="","",IFERROR(VLOOKUP($F1008,SERVIÇOS!$B:$G,5,0),IFERROR(VLOOKUP($F1008,'COMPOSIÇÕES COMPLEMENTARES '!$D:$L,7,0),0)))</f>
        <v>1.6</v>
      </c>
      <c r="L1008" s="314">
        <f>IF(I1008="","",J1008+K1008)</f>
        <v>11.799999999999999</v>
      </c>
      <c r="M1008" s="314">
        <f>IF(I1008="","",TRUNC((I1008*J1008),2))</f>
        <v>78.13</v>
      </c>
      <c r="N1008" s="314">
        <f>IF(I1008="","",TRUNC((I1008*K1008),2))</f>
        <v>12.25</v>
      </c>
      <c r="O1008" s="314">
        <f>IF(I1008="","",TRUNC((M1008+N1008),2))</f>
        <v>90.38</v>
      </c>
      <c r="P1008" s="314"/>
      <c r="Q1008" s="315"/>
      <c r="R1008" s="315"/>
      <c r="S1008" s="286"/>
      <c r="T1008" s="287"/>
      <c r="U1008" s="288" t="str">
        <f t="shared" si="599"/>
        <v/>
      </c>
      <c r="V1008" s="287"/>
      <c r="W1008" s="289" t="str">
        <f t="shared" si="600"/>
        <v/>
      </c>
      <c r="X1008" s="287"/>
      <c r="Y1008" s="290" t="str">
        <f t="shared" si="601"/>
        <v/>
      </c>
      <c r="Z1008" s="291">
        <f ca="1">SUMIF($T$8:Y$1018,"QUANT.",T1008:Y1008)</f>
        <v>0</v>
      </c>
      <c r="AA1008" s="292">
        <f t="shared" ca="1" si="591"/>
        <v>0</v>
      </c>
      <c r="AB1008" s="293" t="str">
        <f t="shared" ca="1" si="602"/>
        <v>MEDIR</v>
      </c>
      <c r="AC1008" s="294">
        <f t="shared" ca="1" si="603"/>
        <v>7.66</v>
      </c>
      <c r="AD1008" s="294">
        <f t="shared" ca="1" si="604"/>
        <v>90.38</v>
      </c>
      <c r="AE1008" s="295"/>
      <c r="AF1008" s="295"/>
      <c r="AG1008" s="38"/>
      <c r="AH1008" s="38"/>
      <c r="AI1008" s="38"/>
      <c r="AJ1008" s="38"/>
      <c r="AK1008" s="326"/>
      <c r="AL1008" s="326"/>
      <c r="AM1008" s="326"/>
    </row>
    <row r="1009" spans="1:39" x14ac:dyDescent="0.25">
      <c r="A1009" s="232">
        <f t="shared" si="584"/>
        <v>1009</v>
      </c>
      <c r="B1009" s="232"/>
      <c r="C1009" s="307">
        <f>+C1008</f>
        <v>31</v>
      </c>
      <c r="D1009" s="308">
        <f t="shared" si="605"/>
        <v>3</v>
      </c>
      <c r="E1009" s="309" t="str">
        <f>C1009&amp;"."&amp;D1009</f>
        <v>31.3</v>
      </c>
      <c r="F1009" s="310">
        <v>93382</v>
      </c>
      <c r="G1009" s="311" t="str">
        <f>IF($F1009="","",IFERROR(VLOOKUP($F1009,SERVIÇOS!$B:$G,2,0),IFERROR(VLOOKUP($F1009,'COMPOSIÇÕES COMPLEMENTARES '!$D:$L,2,0),IFERROR(VLOOKUP($F1009,INSUMOS!$A:$D,2,0),""))))</f>
        <v>REATERRO MANUAL DE VALAS, COM COMPACTADOR DE SOLOS DE PERCUSSÃO. AF_08/2023</v>
      </c>
      <c r="H1009" s="312" t="str">
        <f>IF($F1009="","",IFERROR(VLOOKUP($F1009,SERVIÇOS!$B:$G,3,0),IFERROR(VLOOKUP($F1009,'COMPOSIÇÕES COMPLEMENTARES '!$D:$L,3,0),IFERROR(VLOOKUP($F1009,INSUMOS!$A:$D,3,0),""))))</f>
        <v>M3</v>
      </c>
      <c r="I1009" s="313">
        <v>2.88</v>
      </c>
      <c r="J1009" s="314">
        <f>IF($F1009="","",IFERROR(VLOOKUP($F1009,SERVIÇOS!$B:$G,4,0),IFERROR(VLOOKUP($F1009,'COMPOSIÇÕES COMPLEMENTARES '!$D:$L,6,0),IFERROR(VLOOKUP($F1009,INSUMOS!$A:$D,4,0),""))))</f>
        <v>12.29</v>
      </c>
      <c r="K1009" s="314">
        <f>IF($F1009="","",IFERROR(VLOOKUP($F1009,SERVIÇOS!$B:$G,5,0),IFERROR(VLOOKUP($F1009,'COMPOSIÇÕES COMPLEMENTARES '!$D:$L,7,0),0)))</f>
        <v>20.78</v>
      </c>
      <c r="L1009" s="314">
        <f>IF(I1009="","",J1009+K1009)</f>
        <v>33.07</v>
      </c>
      <c r="M1009" s="314">
        <f>IF(I1009="","",TRUNC((I1009*J1009),2))</f>
        <v>35.39</v>
      </c>
      <c r="N1009" s="314">
        <f>IF(I1009="","",TRUNC((I1009*K1009),2))</f>
        <v>59.84</v>
      </c>
      <c r="O1009" s="314">
        <f>IF(I1009="","",TRUNC((M1009+N1009),2))</f>
        <v>95.23</v>
      </c>
      <c r="P1009" s="314"/>
      <c r="Q1009" s="315"/>
      <c r="R1009" s="315"/>
      <c r="S1009" s="286"/>
      <c r="T1009" s="287"/>
      <c r="U1009" s="288" t="str">
        <f t="shared" ref="U1009:U1010" si="606">IF(OR(T1009="",$O1009=""),"",(T1009/$I1009)*$O1009)</f>
        <v/>
      </c>
      <c r="V1009" s="287"/>
      <c r="W1009" s="289" t="str">
        <f t="shared" ref="W1009:W1010" si="607">IF(OR(V1009="",$O1009=""),"",(V1009/$I1009)*$O1009)</f>
        <v/>
      </c>
      <c r="X1009" s="287"/>
      <c r="Y1009" s="290" t="str">
        <f t="shared" ref="Y1009:Y1010" si="608">IF(OR(X1009="",$O1009=""),"",(X1009/$I1009)*$O1009)</f>
        <v/>
      </c>
      <c r="Z1009" s="291">
        <f ca="1">SUMIF($T$8:Y$1018,"QUANT.",T1009:Y1009)</f>
        <v>0</v>
      </c>
      <c r="AA1009" s="292">
        <f t="shared" ca="1" si="591"/>
        <v>0</v>
      </c>
      <c r="AB1009" s="293" t="str">
        <f t="shared" ref="AB1009:AB1010" ca="1" si="609">IF(F1009&lt;&gt;"",IF(AA1009=0,"MEDIR",IF(O1009-AA1009=0,"OK",IF(O1009-AA1009&gt;0,"MEDIR","ALERTA!"))),"")</f>
        <v>MEDIR</v>
      </c>
      <c r="AC1009" s="294">
        <f t="shared" ref="AC1009:AC1010" ca="1" si="610">IF(Z1009="",0,I1009-Z1009)</f>
        <v>2.88</v>
      </c>
      <c r="AD1009" s="294">
        <f t="shared" ref="AD1009:AD1010" ca="1" si="611">IF(AA1009="",0,O1009-AA1009)</f>
        <v>95.23</v>
      </c>
      <c r="AE1009" s="295"/>
      <c r="AF1009" s="295"/>
      <c r="AG1009" s="38"/>
      <c r="AH1009" s="38"/>
      <c r="AI1009" s="38"/>
      <c r="AJ1009" s="38"/>
      <c r="AK1009" s="326"/>
      <c r="AL1009" s="326"/>
      <c r="AM1009" s="326"/>
    </row>
    <row r="1010" spans="1:39" x14ac:dyDescent="0.25">
      <c r="A1010" s="232">
        <f t="shared" si="584"/>
        <v>1010</v>
      </c>
      <c r="B1010" s="232"/>
      <c r="C1010" s="316" t="str">
        <f>+E1010</f>
        <v>31.2</v>
      </c>
      <c r="D1010" s="297"/>
      <c r="E1010" s="317" t="s">
        <v>20560</v>
      </c>
      <c r="F1010" s="317"/>
      <c r="G1010" s="327" t="s">
        <v>20499</v>
      </c>
      <c r="H1010" s="317"/>
      <c r="I1010" s="319"/>
      <c r="J1010" s="317"/>
      <c r="K1010" s="317"/>
      <c r="L1010" s="317"/>
      <c r="M1010" s="317"/>
      <c r="N1010" s="317"/>
      <c r="O1010" s="317"/>
      <c r="P1010" s="317"/>
      <c r="Q1010" s="315"/>
      <c r="R1010" s="306"/>
      <c r="S1010" s="286"/>
      <c r="T1010" s="287"/>
      <c r="U1010" s="288" t="str">
        <f t="shared" si="606"/>
        <v/>
      </c>
      <c r="V1010" s="287"/>
      <c r="W1010" s="289" t="str">
        <f t="shared" si="607"/>
        <v/>
      </c>
      <c r="X1010" s="287"/>
      <c r="Y1010" s="290" t="str">
        <f t="shared" si="608"/>
        <v/>
      </c>
      <c r="Z1010" s="291">
        <f ca="1">SUMIF($T$8:Y$1018,"QUANT.",T1010:Y1010)</f>
        <v>0</v>
      </c>
      <c r="AA1010" s="292">
        <f t="shared" ca="1" si="591"/>
        <v>0</v>
      </c>
      <c r="AB1010" s="293" t="str">
        <f t="shared" si="609"/>
        <v/>
      </c>
      <c r="AC1010" s="294">
        <f t="shared" ca="1" si="610"/>
        <v>0</v>
      </c>
      <c r="AD1010" s="294">
        <f t="shared" ca="1" si="611"/>
        <v>0</v>
      </c>
      <c r="AE1010" s="295"/>
      <c r="AF1010" s="295"/>
      <c r="AG1010" s="296"/>
      <c r="AH1010" s="296"/>
      <c r="AI1010" s="296"/>
      <c r="AJ1010" s="326"/>
      <c r="AK1010" s="326"/>
      <c r="AL1010" s="326"/>
      <c r="AM1010" s="326"/>
    </row>
    <row r="1011" spans="1:39" ht="25.5" x14ac:dyDescent="0.25">
      <c r="A1011" s="232">
        <f t="shared" si="584"/>
        <v>1011</v>
      </c>
      <c r="B1011" s="232"/>
      <c r="C1011" s="307" t="str">
        <f>+C1010</f>
        <v>31.2</v>
      </c>
      <c r="D1011" s="308">
        <f>1+D1010</f>
        <v>1</v>
      </c>
      <c r="E1011" s="309" t="str">
        <f>C1011&amp;"."&amp;D1011</f>
        <v>31.2.1</v>
      </c>
      <c r="F1011" s="310">
        <v>98065</v>
      </c>
      <c r="G1011" s="311" t="str">
        <f>IF($F1011="","",IFERROR(VLOOKUP($F1011,SERVIÇOS!$B:$G,2,0),IFERROR(VLOOKUP($F1011,'COMPOSIÇÕES COMPLEMENTARES '!$D:$L,2,0),IFERROR(VLOOKUP($F1011,INSUMOS!$A:$D,2,0),""))))</f>
        <v>SUMIDOURO CIRCULAR, EM CONCRETO PRÉ-MOLDADO, DIÂMETRO INTERNO = 2,88 M, ALTURA INTERNA = 3,0 M, ÁREA DE INFILTRAÇÃO: 31,4 M² (PARA 12 CONTRIBUINTES). AF_12/2020</v>
      </c>
      <c r="H1011" s="312" t="str">
        <f>IF($F1011="","",IFERROR(VLOOKUP($F1011,SERVIÇOS!$B:$G,3,0),IFERROR(VLOOKUP($F1011,'COMPOSIÇÕES COMPLEMENTARES '!$D:$L,3,0),IFERROR(VLOOKUP($F1011,INSUMOS!$A:$D,3,0),""))))</f>
        <v>UN</v>
      </c>
      <c r="I1011" s="313">
        <v>1</v>
      </c>
      <c r="J1011" s="314">
        <f>IF($F1011="","",IFERROR(VLOOKUP($F1011,SERVIÇOS!$B:$G,4,0),IFERROR(VLOOKUP($F1011,'COMPOSIÇÕES COMPLEMENTARES '!$D:$L,6,0),IFERROR(VLOOKUP($F1011,INSUMOS!$A:$D,4,0),""))))</f>
        <v>7192.02</v>
      </c>
      <c r="K1011" s="314">
        <f>IF($F1011="","",IFERROR(VLOOKUP($F1011,SERVIÇOS!$B:$G,5,0),IFERROR(VLOOKUP($F1011,'COMPOSIÇÕES COMPLEMENTARES '!$D:$L,7,0),0)))</f>
        <v>628.79</v>
      </c>
      <c r="L1011" s="314">
        <f>IF(I1011="","",J1011+K1011)</f>
        <v>7820.81</v>
      </c>
      <c r="M1011" s="314">
        <f>IF(I1011="","",TRUNC((I1011*J1011),2))</f>
        <v>7192.02</v>
      </c>
      <c r="N1011" s="314">
        <f>IF(I1011="","",TRUNC((I1011*K1011),2))</f>
        <v>628.79</v>
      </c>
      <c r="O1011" s="314">
        <f>IF(I1011="","",TRUNC((M1011+N1011),2))</f>
        <v>7820.81</v>
      </c>
      <c r="P1011" s="314"/>
      <c r="Q1011" s="315"/>
      <c r="R1011" s="315"/>
      <c r="S1011" s="286"/>
      <c r="T1011" s="287"/>
      <c r="U1011" s="288" t="str">
        <f t="shared" ref="U1011" si="612">IF(OR(T1011="",$O1011=""),"",(T1011/$I1011)*$O1011)</f>
        <v/>
      </c>
      <c r="V1011" s="287"/>
      <c r="W1011" s="289" t="str">
        <f t="shared" ref="W1011" si="613">IF(OR(V1011="",$O1011=""),"",(V1011/$I1011)*$O1011)</f>
        <v/>
      </c>
      <c r="X1011" s="287"/>
      <c r="Y1011" s="290" t="str">
        <f t="shared" ref="Y1011" si="614">IF(OR(X1011="",$O1011=""),"",(X1011/$I1011)*$O1011)</f>
        <v/>
      </c>
      <c r="Z1011" s="291">
        <f ca="1">SUMIF($T$8:Y$1018,"QUANT.",T1011:Y1011)</f>
        <v>0</v>
      </c>
      <c r="AA1011" s="292">
        <f t="shared" ca="1" si="591"/>
        <v>0</v>
      </c>
      <c r="AB1011" s="293" t="str">
        <f t="shared" ref="AB1011" ca="1" si="615">IF(F1011&lt;&gt;"",IF(AA1011=0,"MEDIR",IF(O1011-AA1011=0,"OK",IF(O1011-AA1011&gt;0,"MEDIR","ALERTA!"))),"")</f>
        <v>MEDIR</v>
      </c>
      <c r="AC1011" s="294">
        <f t="shared" ref="AC1011" ca="1" si="616">IF(Z1011="",0,I1011-Z1011)</f>
        <v>1</v>
      </c>
      <c r="AD1011" s="294">
        <f t="shared" ref="AD1011" ca="1" si="617">IF(AA1011="",0,O1011-AA1011)</f>
        <v>7820.81</v>
      </c>
      <c r="AE1011" s="295"/>
      <c r="AF1011" s="295"/>
      <c r="AG1011" s="38"/>
      <c r="AH1011" s="38"/>
      <c r="AI1011" s="38"/>
      <c r="AJ1011" s="38"/>
      <c r="AK1011" s="326"/>
      <c r="AL1011" s="326"/>
      <c r="AM1011" s="326"/>
    </row>
    <row r="1012" spans="1:39" ht="38.25" x14ac:dyDescent="0.25">
      <c r="A1012" s="232">
        <f t="shared" si="584"/>
        <v>1012</v>
      </c>
      <c r="B1012" s="232"/>
      <c r="C1012" s="307" t="str">
        <f>+C1011</f>
        <v>31.2</v>
      </c>
      <c r="D1012" s="308">
        <f t="shared" ref="D1012" si="618">1+D1011</f>
        <v>2</v>
      </c>
      <c r="E1012" s="309" t="str">
        <f>C1012&amp;"."&amp;D1012</f>
        <v>31.2.2</v>
      </c>
      <c r="F1012" s="310">
        <v>101230</v>
      </c>
      <c r="G1012" s="311" t="str">
        <f>IF($F1012="","",IFERROR(VLOOKUP($F1012,SERVIÇOS!$B:$G,2,0),IFERROR(VLOOKUP($F1012,'COMPOSIÇÕES COMPLEMENTARES '!$D:$L,2,0),IFERROR(VLOOKUP($F1012,INSUMOS!$A:$D,2,0),""))))</f>
        <v>ESCAVAÇÃO VERTICAL PARA INFRAESTRUTURA, COM CARGA, DESCARGA E TRANSPORTE DE SOLO DE 1ª CATEGORIA, COM ESCAVADEIRA HIDRÁULICA (CAÇAMBA: 0,8 M³ / 111 HP), FROTA DE 3 CAMINHÕES BASCULANTES DE 14 M³, DMT ATÉ 1 KM E VELOCIDADE MÉDIA14 KM/H. AF_05/2020</v>
      </c>
      <c r="H1012" s="312" t="str">
        <f>IF($F1012="","",IFERROR(VLOOKUP($F1012,SERVIÇOS!$B:$G,3,0),IFERROR(VLOOKUP($F1012,'COMPOSIÇÕES COMPLEMENTARES '!$D:$L,3,0),IFERROR(VLOOKUP($F1012,INSUMOS!$A:$D,3,0),""))))</f>
        <v>M3</v>
      </c>
      <c r="I1012" s="313">
        <v>29.96</v>
      </c>
      <c r="J1012" s="314">
        <f>IF($F1012="","",IFERROR(VLOOKUP($F1012,SERVIÇOS!$B:$G,4,0),IFERROR(VLOOKUP($F1012,'COMPOSIÇÕES COMPLEMENTARES '!$D:$L,6,0),IFERROR(VLOOKUP($F1012,INSUMOS!$A:$D,4,0),""))))</f>
        <v>10.199999999999999</v>
      </c>
      <c r="K1012" s="314">
        <f>IF($F1012="","",IFERROR(VLOOKUP($F1012,SERVIÇOS!$B:$G,5,0),IFERROR(VLOOKUP($F1012,'COMPOSIÇÕES COMPLEMENTARES '!$D:$L,7,0),0)))</f>
        <v>1.6</v>
      </c>
      <c r="L1012" s="314">
        <f>IF(I1012="","",J1012+K1012)</f>
        <v>11.799999999999999</v>
      </c>
      <c r="M1012" s="314">
        <f>IF(I1012="","",TRUNC((I1012*J1012),2))</f>
        <v>305.58999999999997</v>
      </c>
      <c r="N1012" s="314">
        <f>IF(I1012="","",TRUNC((I1012*K1012),2))</f>
        <v>47.93</v>
      </c>
      <c r="O1012" s="314">
        <f>IF(I1012="","",TRUNC((M1012+N1012),2))</f>
        <v>353.52</v>
      </c>
      <c r="P1012" s="314"/>
      <c r="Q1012" s="315"/>
      <c r="R1012" s="315"/>
      <c r="S1012" s="286"/>
      <c r="T1012" s="287"/>
      <c r="U1012" s="288" t="str">
        <f t="shared" ref="U1012:U1015" si="619">IF(OR(T1012="",$O1012=""),"",(T1012/$I1012)*$O1012)</f>
        <v/>
      </c>
      <c r="V1012" s="287"/>
      <c r="W1012" s="289" t="str">
        <f t="shared" ref="W1012:W1015" si="620">IF(OR(V1012="",$O1012=""),"",(V1012/$I1012)*$O1012)</f>
        <v/>
      </c>
      <c r="X1012" s="287"/>
      <c r="Y1012" s="290" t="str">
        <f t="shared" ref="Y1012:Y1015" si="621">IF(OR(X1012="",$O1012=""),"",(X1012/$I1012)*$O1012)</f>
        <v/>
      </c>
      <c r="Z1012" s="291">
        <f ca="1">SUMIF($T$8:Y$1018,"QUANT.",T1012:Y1012)</f>
        <v>0</v>
      </c>
      <c r="AA1012" s="292">
        <f t="shared" ca="1" si="591"/>
        <v>0</v>
      </c>
      <c r="AB1012" s="293" t="str">
        <f t="shared" ref="AB1012:AB1015" ca="1" si="622">IF(F1012&lt;&gt;"",IF(AA1012=0,"MEDIR",IF(O1012-AA1012=0,"OK",IF(O1012-AA1012&gt;0,"MEDIR","ALERTA!"))),"")</f>
        <v>MEDIR</v>
      </c>
      <c r="AC1012" s="294">
        <f t="shared" ref="AC1012:AC1015" ca="1" si="623">IF(Z1012="",0,I1012-Z1012)</f>
        <v>29.96</v>
      </c>
      <c r="AD1012" s="294">
        <f t="shared" ref="AD1012:AD1015" ca="1" si="624">IF(AA1012="",0,O1012-AA1012)</f>
        <v>353.52</v>
      </c>
      <c r="AE1012" s="295"/>
      <c r="AF1012" s="295"/>
      <c r="AG1012" s="38"/>
      <c r="AH1012" s="38"/>
      <c r="AI1012" s="38"/>
      <c r="AJ1012" s="38"/>
      <c r="AK1012" s="326"/>
      <c r="AL1012" s="326"/>
      <c r="AM1012" s="326"/>
    </row>
    <row r="1013" spans="1:39" x14ac:dyDescent="0.25">
      <c r="A1013" s="232">
        <f t="shared" si="584"/>
        <v>1013</v>
      </c>
      <c r="B1013" s="232"/>
      <c r="C1013" s="307" t="str">
        <f t="shared" ref="C1013" si="625">+C1011</f>
        <v>31.2</v>
      </c>
      <c r="D1013" s="308">
        <f>1+D1011</f>
        <v>2</v>
      </c>
      <c r="E1013" s="309" t="str">
        <f>C1013&amp;"."&amp;D1013</f>
        <v>31.2.2</v>
      </c>
      <c r="F1013" s="310">
        <v>93382</v>
      </c>
      <c r="G1013" s="311" t="str">
        <f>IF($F1013="","",IFERROR(VLOOKUP($F1013,SERVIÇOS!$B:$G,2,0),IFERROR(VLOOKUP($F1013,'COMPOSIÇÕES COMPLEMENTARES '!$D:$L,2,0),IFERROR(VLOOKUP($F1013,INSUMOS!$A:$D,2,0),""))))</f>
        <v>REATERRO MANUAL DE VALAS, COM COMPACTADOR DE SOLOS DE PERCUSSÃO. AF_08/2023</v>
      </c>
      <c r="H1013" s="312" t="str">
        <f>IF($F1013="","",IFERROR(VLOOKUP($F1013,SERVIÇOS!$B:$G,3,0),IFERROR(VLOOKUP($F1013,'COMPOSIÇÕES COMPLEMENTARES '!$D:$L,3,0),IFERROR(VLOOKUP($F1013,INSUMOS!$A:$D,3,0),""))))</f>
        <v>M3</v>
      </c>
      <c r="I1013" s="313">
        <v>6.64</v>
      </c>
      <c r="J1013" s="314">
        <f>IF($F1013="","",IFERROR(VLOOKUP($F1013,SERVIÇOS!$B:$G,4,0),IFERROR(VLOOKUP($F1013,'COMPOSIÇÕES COMPLEMENTARES '!$D:$L,6,0),IFERROR(VLOOKUP($F1013,INSUMOS!$A:$D,4,0),""))))</f>
        <v>12.29</v>
      </c>
      <c r="K1013" s="314">
        <f>IF($F1013="","",IFERROR(VLOOKUP($F1013,SERVIÇOS!$B:$G,5,0),IFERROR(VLOOKUP($F1013,'COMPOSIÇÕES COMPLEMENTARES '!$D:$L,7,0),0)))</f>
        <v>20.78</v>
      </c>
      <c r="L1013" s="314">
        <f>IF(I1013="","",J1013+K1013)</f>
        <v>33.07</v>
      </c>
      <c r="M1013" s="314">
        <f>IF(I1013="","",TRUNC((I1013*J1013),2))</f>
        <v>81.599999999999994</v>
      </c>
      <c r="N1013" s="314">
        <f>IF(I1013="","",TRUNC((I1013*K1013),2))</f>
        <v>137.97</v>
      </c>
      <c r="O1013" s="314">
        <f>IF(I1013="","",TRUNC((M1013+N1013),2))</f>
        <v>219.57</v>
      </c>
      <c r="P1013" s="314"/>
      <c r="Q1013" s="315"/>
      <c r="R1013" s="315"/>
      <c r="S1013" s="286"/>
      <c r="T1013" s="287"/>
      <c r="U1013" s="288" t="str">
        <f t="shared" ref="U1013" si="626">IF(OR(T1013="",$O1013=""),"",(T1013/$I1013)*$O1013)</f>
        <v/>
      </c>
      <c r="V1013" s="287"/>
      <c r="W1013" s="289" t="str">
        <f t="shared" ref="W1013" si="627">IF(OR(V1013="",$O1013=""),"",(V1013/$I1013)*$O1013)</f>
        <v/>
      </c>
      <c r="X1013" s="287"/>
      <c r="Y1013" s="290" t="str">
        <f t="shared" ref="Y1013" si="628">IF(OR(X1013="",$O1013=""),"",(X1013/$I1013)*$O1013)</f>
        <v/>
      </c>
      <c r="Z1013" s="291">
        <f ca="1">SUMIF($T$8:Y$1018,"QUANT.",T1013:Y1013)</f>
        <v>0</v>
      </c>
      <c r="AA1013" s="292">
        <f t="shared" ca="1" si="591"/>
        <v>0</v>
      </c>
      <c r="AB1013" s="293" t="str">
        <f t="shared" ref="AB1013" ca="1" si="629">IF(F1013&lt;&gt;"",IF(AA1013=0,"MEDIR",IF(O1013-AA1013=0,"OK",IF(O1013-AA1013&gt;0,"MEDIR","ALERTA!"))),"")</f>
        <v>MEDIR</v>
      </c>
      <c r="AC1013" s="294">
        <f t="shared" ref="AC1013" ca="1" si="630">IF(Z1013="",0,I1013-Z1013)</f>
        <v>6.64</v>
      </c>
      <c r="AD1013" s="294">
        <f t="shared" ref="AD1013" ca="1" si="631">IF(AA1013="",0,O1013-AA1013)</f>
        <v>219.57</v>
      </c>
      <c r="AE1013" s="295"/>
      <c r="AF1013" s="295"/>
      <c r="AG1013" s="38"/>
      <c r="AH1013" s="38"/>
      <c r="AI1013" s="38"/>
      <c r="AJ1013" s="38"/>
      <c r="AK1013" s="326"/>
      <c r="AL1013" s="326"/>
      <c r="AM1013" s="326"/>
    </row>
    <row r="1014" spans="1:39" x14ac:dyDescent="0.25">
      <c r="A1014" s="232">
        <f t="shared" si="584"/>
        <v>1014</v>
      </c>
      <c r="B1014" s="232"/>
      <c r="C1014" s="316" t="str">
        <f>+E1014</f>
        <v>31.3</v>
      </c>
      <c r="D1014" s="297"/>
      <c r="E1014" s="317" t="s">
        <v>20559</v>
      </c>
      <c r="F1014" s="317"/>
      <c r="G1014" s="327" t="s">
        <v>20558</v>
      </c>
      <c r="H1014" s="317"/>
      <c r="I1014" s="319"/>
      <c r="J1014" s="317"/>
      <c r="K1014" s="317"/>
      <c r="L1014" s="317"/>
      <c r="M1014" s="317"/>
      <c r="N1014" s="317"/>
      <c r="O1014" s="317"/>
      <c r="P1014" s="317"/>
      <c r="Q1014" s="315"/>
      <c r="R1014" s="306"/>
      <c r="S1014" s="286"/>
      <c r="T1014" s="287"/>
      <c r="U1014" s="288" t="str">
        <f t="shared" si="619"/>
        <v/>
      </c>
      <c r="V1014" s="287"/>
      <c r="W1014" s="289" t="str">
        <f t="shared" si="620"/>
        <v/>
      </c>
      <c r="X1014" s="287"/>
      <c r="Y1014" s="290" t="str">
        <f t="shared" si="621"/>
        <v/>
      </c>
      <c r="Z1014" s="291">
        <f ca="1">SUMIF($T$8:Y$1018,"QUANT.",T1014:Y1014)</f>
        <v>0</v>
      </c>
      <c r="AA1014" s="292">
        <f t="shared" ca="1" si="591"/>
        <v>0</v>
      </c>
      <c r="AB1014" s="293" t="str">
        <f t="shared" si="622"/>
        <v/>
      </c>
      <c r="AC1014" s="294">
        <f t="shared" ca="1" si="623"/>
        <v>0</v>
      </c>
      <c r="AD1014" s="294">
        <f t="shared" ca="1" si="624"/>
        <v>0</v>
      </c>
      <c r="AE1014" s="295"/>
      <c r="AF1014" s="295"/>
      <c r="AG1014" s="296"/>
      <c r="AH1014" s="296"/>
      <c r="AI1014" s="296"/>
      <c r="AJ1014" s="326"/>
      <c r="AK1014" s="326"/>
      <c r="AL1014" s="326"/>
      <c r="AM1014" s="326"/>
    </row>
    <row r="1015" spans="1:39" ht="25.5" x14ac:dyDescent="0.25">
      <c r="A1015" s="232">
        <f t="shared" si="584"/>
        <v>1015</v>
      </c>
      <c r="B1015" s="232"/>
      <c r="C1015" s="307" t="str">
        <f>+C1014</f>
        <v>31.3</v>
      </c>
      <c r="D1015" s="308">
        <f>1+D1014</f>
        <v>1</v>
      </c>
      <c r="E1015" s="309" t="str">
        <f>C1015&amp;"."&amp;D1015</f>
        <v>31.3.1</v>
      </c>
      <c r="F1015" s="310">
        <v>98059</v>
      </c>
      <c r="G1015" s="311" t="str">
        <f>IF($F1015="","",IFERROR(VLOOKUP($F1015,SERVIÇOS!$B:$G,2,0),IFERROR(VLOOKUP($F1015,'COMPOSIÇÕES COMPLEMENTARES '!$D:$L,2,0),IFERROR(VLOOKUP($F1015,INSUMOS!$A:$D,2,0),""))))</f>
        <v>FILTRO ANAERÓBIO CIRCULAR, EM CONCRETO PRÉ-MOLDADO, DIÂMETRO INTERNO = 1,88 M, ALTURA INTERNA = 1,50 M, VOLUME ÚTIL: 3331,1 L (PARA 19 CONTRIBUINTES). AF_12/2020</v>
      </c>
      <c r="H1015" s="312" t="str">
        <f>IF($F1015="","",IFERROR(VLOOKUP($F1015,SERVIÇOS!$B:$G,3,0),IFERROR(VLOOKUP($F1015,'COMPOSIÇÕES COMPLEMENTARES '!$D:$L,3,0),IFERROR(VLOOKUP($F1015,INSUMOS!$A:$D,3,0),""))))</f>
        <v>UN</v>
      </c>
      <c r="I1015" s="313">
        <v>1</v>
      </c>
      <c r="J1015" s="314">
        <f>IF($F1015="","",IFERROR(VLOOKUP($F1015,SERVIÇOS!$B:$G,4,0),IFERROR(VLOOKUP($F1015,'COMPOSIÇÕES COMPLEMENTARES '!$D:$L,6,0),IFERROR(VLOOKUP($F1015,INSUMOS!$A:$D,4,0),""))))</f>
        <v>3410.25</v>
      </c>
      <c r="K1015" s="314">
        <f>IF($F1015="","",IFERROR(VLOOKUP($F1015,SERVIÇOS!$B:$G,5,0),IFERROR(VLOOKUP($F1015,'COMPOSIÇÕES COMPLEMENTARES '!$D:$L,7,0),0)))</f>
        <v>463.71</v>
      </c>
      <c r="L1015" s="314">
        <f>IF(I1015="","",J1015+K1015)</f>
        <v>3873.96</v>
      </c>
      <c r="M1015" s="314">
        <f>IF(I1015="","",TRUNC((I1015*J1015),2))</f>
        <v>3410.25</v>
      </c>
      <c r="N1015" s="314">
        <f>IF(I1015="","",TRUNC((I1015*K1015),2))</f>
        <v>463.71</v>
      </c>
      <c r="O1015" s="314">
        <f>IF(I1015="","",TRUNC((M1015+N1015),2))</f>
        <v>3873.96</v>
      </c>
      <c r="P1015" s="314"/>
      <c r="Q1015" s="315"/>
      <c r="R1015" s="315"/>
      <c r="S1015" s="286"/>
      <c r="T1015" s="287"/>
      <c r="U1015" s="288" t="str">
        <f t="shared" si="619"/>
        <v/>
      </c>
      <c r="V1015" s="287"/>
      <c r="W1015" s="289" t="str">
        <f t="shared" si="620"/>
        <v/>
      </c>
      <c r="X1015" s="287"/>
      <c r="Y1015" s="290" t="str">
        <f t="shared" si="621"/>
        <v/>
      </c>
      <c r="Z1015" s="291">
        <f ca="1">SUMIF($T$8:Y$1018,"QUANT.",T1015:Y1015)</f>
        <v>0</v>
      </c>
      <c r="AA1015" s="292">
        <f t="shared" ca="1" si="591"/>
        <v>0</v>
      </c>
      <c r="AB1015" s="293" t="str">
        <f t="shared" ca="1" si="622"/>
        <v>MEDIR</v>
      </c>
      <c r="AC1015" s="294">
        <f t="shared" ca="1" si="623"/>
        <v>1</v>
      </c>
      <c r="AD1015" s="294">
        <f t="shared" ca="1" si="624"/>
        <v>3873.96</v>
      </c>
      <c r="AE1015" s="295"/>
      <c r="AF1015" s="295"/>
      <c r="AG1015" s="38"/>
      <c r="AH1015" s="38"/>
      <c r="AI1015" s="38"/>
      <c r="AJ1015" s="38"/>
      <c r="AK1015" s="326"/>
      <c r="AL1015" s="326"/>
      <c r="AM1015" s="326"/>
    </row>
    <row r="1016" spans="1:39" ht="38.25" x14ac:dyDescent="0.25">
      <c r="A1016" s="232">
        <f t="shared" si="584"/>
        <v>1016</v>
      </c>
      <c r="B1016" s="232"/>
      <c r="C1016" s="307" t="str">
        <f>+C1015</f>
        <v>31.3</v>
      </c>
      <c r="D1016" s="308">
        <f>1+D1015</f>
        <v>2</v>
      </c>
      <c r="E1016" s="309" t="str">
        <f>C1016&amp;"."&amp;D1016</f>
        <v>31.3.2</v>
      </c>
      <c r="F1016" s="310">
        <v>101230</v>
      </c>
      <c r="G1016" s="311" t="str">
        <f>IF($F1016="","",IFERROR(VLOOKUP($F1016,SERVIÇOS!$B:$G,2,0),IFERROR(VLOOKUP($F1016,'COMPOSIÇÕES COMPLEMENTARES '!$D:$L,2,0),IFERROR(VLOOKUP($F1016,INSUMOS!$A:$D,2,0),""))))</f>
        <v>ESCAVAÇÃO VERTICAL PARA INFRAESTRUTURA, COM CARGA, DESCARGA E TRANSPORTE DE SOLO DE 1ª CATEGORIA, COM ESCAVADEIRA HIDRÁULICA (CAÇAMBA: 0,8 M³ / 111 HP), FROTA DE 3 CAMINHÕES BASCULANTES DE 14 M³, DMT ATÉ 1 KM E VELOCIDADE MÉDIA14 KM/H. AF_05/2020</v>
      </c>
      <c r="H1016" s="312" t="str">
        <f>IF($F1016="","",IFERROR(VLOOKUP($F1016,SERVIÇOS!$B:$G,3,0),IFERROR(VLOOKUP($F1016,'COMPOSIÇÕES COMPLEMENTARES '!$D:$L,3,0),IFERROR(VLOOKUP($F1016,INSUMOS!$A:$D,3,0),""))))</f>
        <v>M3</v>
      </c>
      <c r="I1016" s="313">
        <v>7.97</v>
      </c>
      <c r="J1016" s="314">
        <f>IF($F1016="","",IFERROR(VLOOKUP($F1016,SERVIÇOS!$B:$G,4,0),IFERROR(VLOOKUP($F1016,'COMPOSIÇÕES COMPLEMENTARES '!$D:$L,6,0),IFERROR(VLOOKUP($F1016,INSUMOS!$A:$D,4,0),""))))</f>
        <v>10.199999999999999</v>
      </c>
      <c r="K1016" s="314">
        <f>IF($F1016="","",IFERROR(VLOOKUP($F1016,SERVIÇOS!$B:$G,5,0),IFERROR(VLOOKUP($F1016,'COMPOSIÇÕES COMPLEMENTARES '!$D:$L,7,0),0)))</f>
        <v>1.6</v>
      </c>
      <c r="L1016" s="314">
        <f>IF(I1016="","",J1016+K1016)</f>
        <v>11.799999999999999</v>
      </c>
      <c r="M1016" s="314">
        <f>IF(I1016="","",TRUNC((I1016*J1016),2))</f>
        <v>81.290000000000006</v>
      </c>
      <c r="N1016" s="314">
        <f>IF(I1016="","",TRUNC((I1016*K1016),2))</f>
        <v>12.75</v>
      </c>
      <c r="O1016" s="314">
        <f>IF(I1016="","",TRUNC((M1016+N1016),2))</f>
        <v>94.04</v>
      </c>
      <c r="P1016" s="314"/>
      <c r="Q1016" s="315"/>
      <c r="R1016" s="315"/>
      <c r="S1016" s="286"/>
      <c r="T1016" s="287"/>
      <c r="U1016" s="288" t="str">
        <f t="shared" ref="U1016" si="632">IF(OR(T1016="",$O1016=""),"",(T1016/$I1016)*$O1016)</f>
        <v/>
      </c>
      <c r="V1016" s="287"/>
      <c r="W1016" s="289" t="str">
        <f t="shared" ref="W1016" si="633">IF(OR(V1016="",$O1016=""),"",(V1016/$I1016)*$O1016)</f>
        <v/>
      </c>
      <c r="X1016" s="287"/>
      <c r="Y1016" s="290" t="str">
        <f t="shared" ref="Y1016" si="634">IF(OR(X1016="",$O1016=""),"",(X1016/$I1016)*$O1016)</f>
        <v/>
      </c>
      <c r="Z1016" s="291">
        <f ca="1">SUMIF($T$8:Y$1018,"QUANT.",T1016:Y1016)</f>
        <v>0</v>
      </c>
      <c r="AA1016" s="292">
        <f t="shared" ca="1" si="591"/>
        <v>0</v>
      </c>
      <c r="AB1016" s="293" t="str">
        <f t="shared" ref="AB1016" ca="1" si="635">IF(F1016&lt;&gt;"",IF(AA1016=0,"MEDIR",IF(O1016-AA1016=0,"OK",IF(O1016-AA1016&gt;0,"MEDIR","ALERTA!"))),"")</f>
        <v>MEDIR</v>
      </c>
      <c r="AC1016" s="294">
        <f t="shared" ref="AC1016" ca="1" si="636">IF(Z1016="",0,I1016-Z1016)</f>
        <v>7.97</v>
      </c>
      <c r="AD1016" s="294">
        <f t="shared" ref="AD1016" ca="1" si="637">IF(AA1016="",0,O1016-AA1016)</f>
        <v>94.04</v>
      </c>
      <c r="AE1016" s="295"/>
      <c r="AF1016" s="295"/>
      <c r="AG1016" s="38"/>
      <c r="AH1016" s="38"/>
      <c r="AI1016" s="38"/>
      <c r="AJ1016" s="38"/>
      <c r="AK1016" s="326"/>
      <c r="AL1016" s="326"/>
      <c r="AM1016" s="326"/>
    </row>
    <row r="1017" spans="1:39" x14ac:dyDescent="0.25">
      <c r="A1017" s="232">
        <f t="shared" si="584"/>
        <v>1017</v>
      </c>
      <c r="B1017" s="232"/>
      <c r="C1017" s="307" t="str">
        <f>+C1016</f>
        <v>31.3</v>
      </c>
      <c r="D1017" s="308">
        <f>1+D1016</f>
        <v>3</v>
      </c>
      <c r="E1017" s="309" t="str">
        <f>C1017&amp;"."&amp;D1017</f>
        <v>31.3.3</v>
      </c>
      <c r="F1017" s="310">
        <v>93382</v>
      </c>
      <c r="G1017" s="311" t="str">
        <f>IF($F1017="","",IFERROR(VLOOKUP($F1017,SERVIÇOS!$B:$G,2,0),IFERROR(VLOOKUP($F1017,'COMPOSIÇÕES COMPLEMENTARES '!$D:$L,2,0),IFERROR(VLOOKUP($F1017,INSUMOS!$A:$D,2,0),""))))</f>
        <v>REATERRO MANUAL DE VALAS, COM COMPACTADOR DE SOLOS DE PERCUSSÃO. AF_08/2023</v>
      </c>
      <c r="H1017" s="312" t="str">
        <f>IF($F1017="","",IFERROR(VLOOKUP($F1017,SERVIÇOS!$B:$G,3,0),IFERROR(VLOOKUP($F1017,'COMPOSIÇÕES COMPLEMENTARES '!$D:$L,3,0),IFERROR(VLOOKUP($F1017,INSUMOS!$A:$D,3,0),""))))</f>
        <v>M3</v>
      </c>
      <c r="I1017" s="313">
        <v>3.09</v>
      </c>
      <c r="J1017" s="314">
        <f>IF($F1017="","",IFERROR(VLOOKUP($F1017,SERVIÇOS!$B:$G,4,0),IFERROR(VLOOKUP($F1017,'COMPOSIÇÕES COMPLEMENTARES '!$D:$L,6,0),IFERROR(VLOOKUP($F1017,INSUMOS!$A:$D,4,0),""))))</f>
        <v>12.29</v>
      </c>
      <c r="K1017" s="314">
        <f>IF($F1017="","",IFERROR(VLOOKUP($F1017,SERVIÇOS!$B:$G,5,0),IFERROR(VLOOKUP($F1017,'COMPOSIÇÕES COMPLEMENTARES '!$D:$L,7,0),0)))</f>
        <v>20.78</v>
      </c>
      <c r="L1017" s="314">
        <f>IF(I1017="","",J1017+K1017)</f>
        <v>33.07</v>
      </c>
      <c r="M1017" s="314">
        <f>IF(I1017="","",TRUNC((I1017*J1017),2))</f>
        <v>37.97</v>
      </c>
      <c r="N1017" s="314">
        <f>IF(I1017="","",TRUNC((I1017*K1017),2))</f>
        <v>64.209999999999994</v>
      </c>
      <c r="O1017" s="314">
        <f>IF(I1017="","",TRUNC((M1017+N1017),2))</f>
        <v>102.18</v>
      </c>
      <c r="P1017" s="314"/>
      <c r="Q1017" s="315"/>
      <c r="R1017" s="315"/>
      <c r="S1017" s="286"/>
      <c r="T1017" s="287"/>
      <c r="U1017" s="288" t="str">
        <f t="shared" ref="U1017" si="638">IF(OR(T1017="",$O1017=""),"",(T1017/$I1017)*$O1017)</f>
        <v/>
      </c>
      <c r="V1017" s="287"/>
      <c r="W1017" s="289" t="str">
        <f t="shared" ref="W1017" si="639">IF(OR(V1017="",$O1017=""),"",(V1017/$I1017)*$O1017)</f>
        <v/>
      </c>
      <c r="X1017" s="287"/>
      <c r="Y1017" s="290" t="str">
        <f t="shared" ref="Y1017" si="640">IF(OR(X1017="",$O1017=""),"",(X1017/$I1017)*$O1017)</f>
        <v/>
      </c>
      <c r="Z1017" s="291">
        <f ca="1">SUMIF($T$8:Y$1018,"QUANT.",T1017:Y1017)</f>
        <v>0</v>
      </c>
      <c r="AA1017" s="292">
        <f t="shared" ca="1" si="591"/>
        <v>0</v>
      </c>
      <c r="AB1017" s="293" t="str">
        <f t="shared" ref="AB1017" ca="1" si="641">IF(F1017&lt;&gt;"",IF(AA1017=0,"MEDIR",IF(O1017-AA1017=0,"OK",IF(O1017-AA1017&gt;0,"MEDIR","ALERTA!"))),"")</f>
        <v>MEDIR</v>
      </c>
      <c r="AC1017" s="294">
        <f t="shared" ref="AC1017" ca="1" si="642">IF(Z1017="",0,I1017-Z1017)</f>
        <v>3.09</v>
      </c>
      <c r="AD1017" s="294">
        <f t="shared" ref="AD1017" ca="1" si="643">IF(AA1017="",0,O1017-AA1017)</f>
        <v>102.18</v>
      </c>
      <c r="AE1017" s="295"/>
      <c r="AF1017" s="295"/>
      <c r="AG1017" s="38"/>
      <c r="AH1017" s="38"/>
      <c r="AI1017" s="38"/>
      <c r="AJ1017" s="38"/>
      <c r="AK1017" s="326"/>
      <c r="AL1017" s="326"/>
      <c r="AM1017" s="326"/>
    </row>
    <row r="1018" spans="1:39" x14ac:dyDescent="0.25">
      <c r="A1018" s="232">
        <f t="shared" si="584"/>
        <v>1018</v>
      </c>
      <c r="B1018" s="232"/>
      <c r="C1018" s="281"/>
      <c r="D1018" s="281"/>
      <c r="E1018" s="352"/>
      <c r="F1018" s="353"/>
      <c r="G1018" s="354" t="s">
        <v>12607</v>
      </c>
      <c r="H1018" s="355"/>
      <c r="I1018" s="355"/>
      <c r="J1018" s="355"/>
      <c r="K1018" s="355"/>
      <c r="L1018" s="355"/>
      <c r="M1018" s="355">
        <f>SUM(M9:M1017)/2</f>
        <v>4471280.6899999995</v>
      </c>
      <c r="N1018" s="355">
        <f>SUM(N9:N1017)/2</f>
        <v>1176361.8500000013</v>
      </c>
      <c r="O1018" s="355">
        <f>SUM(O9:O1017)</f>
        <v>5647642.5400000028</v>
      </c>
      <c r="P1018" s="355">
        <f>SUM(P9:P1017)</f>
        <v>5647642.5400000019</v>
      </c>
      <c r="Q1018" s="356"/>
      <c r="R1018" s="356"/>
      <c r="S1018" s="357"/>
      <c r="T1018" s="287"/>
      <c r="U1018" s="288" t="str">
        <f t="shared" si="585"/>
        <v/>
      </c>
      <c r="V1018" s="287"/>
      <c r="W1018" s="289" t="str">
        <f t="shared" si="586"/>
        <v/>
      </c>
      <c r="X1018" s="287"/>
      <c r="Y1018" s="290" t="str">
        <f t="shared" si="587"/>
        <v/>
      </c>
      <c r="Z1018" s="291">
        <f ca="1">SUMIF($T$8:Y$1018,"QUANT.",T1018:Y1018)</f>
        <v>0</v>
      </c>
      <c r="AA1018" s="292">
        <f t="shared" ca="1" si="591"/>
        <v>0</v>
      </c>
      <c r="AB1018" s="293" t="str">
        <f t="shared" si="588"/>
        <v/>
      </c>
      <c r="AC1018" s="294">
        <f t="shared" ca="1" si="589"/>
        <v>0</v>
      </c>
      <c r="AD1018" s="294">
        <f t="shared" ca="1" si="590"/>
        <v>5647642.5400000028</v>
      </c>
      <c r="AE1018" s="295"/>
      <c r="AF1018" s="295"/>
      <c r="AG1018" s="38"/>
      <c r="AH1018" s="38"/>
      <c r="AI1018" s="38"/>
      <c r="AJ1018" s="38"/>
      <c r="AK1018" s="38"/>
      <c r="AL1018" s="326"/>
      <c r="AM1018" s="326"/>
    </row>
    <row r="1019" spans="1:39" x14ac:dyDescent="0.25">
      <c r="A1019" s="232">
        <f t="shared" si="584"/>
        <v>1019</v>
      </c>
      <c r="B1019" s="232"/>
      <c r="C1019" s="358"/>
      <c r="D1019" s="359"/>
      <c r="E1019" s="360"/>
      <c r="F1019" s="361"/>
      <c r="G1019" s="362"/>
      <c r="H1019" s="358"/>
      <c r="I1019" s="363"/>
      <c r="J1019" s="364"/>
      <c r="K1019" s="364"/>
      <c r="L1019" s="364"/>
      <c r="M1019" s="355"/>
      <c r="N1019" s="355"/>
      <c r="O1019" s="355">
        <f>+N1018+M1018</f>
        <v>5647642.540000001</v>
      </c>
      <c r="P1019" s="355"/>
      <c r="Q1019" s="365"/>
      <c r="R1019" s="306"/>
      <c r="S1019" s="366"/>
      <c r="T1019" s="367"/>
      <c r="U1019" s="367"/>
      <c r="V1019" s="367"/>
      <c r="W1019" s="367"/>
      <c r="X1019" s="367"/>
      <c r="Y1019" s="367"/>
      <c r="Z1019" s="367"/>
      <c r="AA1019" s="367"/>
      <c r="AB1019" s="38"/>
      <c r="AC1019" s="38"/>
      <c r="AD1019" s="38"/>
      <c r="AE1019" s="38"/>
      <c r="AF1019" s="38"/>
      <c r="AG1019" s="38"/>
      <c r="AH1019" s="38"/>
      <c r="AI1019" s="38"/>
      <c r="AJ1019" s="38"/>
      <c r="AK1019" s="38"/>
      <c r="AL1019" s="326"/>
      <c r="AM1019" s="326"/>
    </row>
    <row r="1020" spans="1:39" x14ac:dyDescent="0.25">
      <c r="A1020" s="232"/>
      <c r="B1020" s="232"/>
      <c r="C1020" s="358"/>
      <c r="D1020" s="359"/>
      <c r="E1020" s="360"/>
      <c r="F1020" s="361"/>
      <c r="G1020" s="362"/>
      <c r="H1020" s="358"/>
      <c r="I1020" s="363"/>
      <c r="J1020" s="364"/>
      <c r="K1020" s="364"/>
      <c r="L1020" s="364"/>
      <c r="M1020" s="364"/>
      <c r="N1020" s="364"/>
      <c r="O1020" s="364"/>
      <c r="P1020" s="355">
        <f>+P1018-O1019</f>
        <v>0</v>
      </c>
      <c r="Q1020" s="365"/>
      <c r="R1020" s="306"/>
      <c r="S1020" s="366"/>
      <c r="T1020" s="367"/>
      <c r="U1020" s="367"/>
      <c r="V1020" s="367"/>
      <c r="W1020" s="367"/>
      <c r="X1020" s="367"/>
      <c r="Y1020" s="367"/>
      <c r="Z1020" s="367"/>
      <c r="AA1020" s="367"/>
      <c r="AB1020" s="38"/>
      <c r="AC1020" s="38"/>
      <c r="AD1020" s="38"/>
      <c r="AE1020" s="38"/>
      <c r="AF1020" s="38"/>
      <c r="AG1020" s="38"/>
      <c r="AH1020" s="38"/>
      <c r="AI1020" s="38"/>
      <c r="AJ1020" s="38"/>
      <c r="AK1020" s="38"/>
      <c r="AL1020" s="38"/>
      <c r="AM1020" s="38"/>
    </row>
    <row r="1021" spans="1:39" x14ac:dyDescent="0.25">
      <c r="A1021" s="232"/>
      <c r="B1021" s="232"/>
      <c r="C1021" s="358"/>
      <c r="D1021" s="359"/>
      <c r="E1021" s="360"/>
      <c r="F1021" s="361"/>
      <c r="G1021" s="362"/>
      <c r="H1021" s="358"/>
      <c r="I1021" s="363"/>
      <c r="J1021" s="364"/>
      <c r="K1021" s="364"/>
      <c r="L1021" s="364"/>
      <c r="M1021" s="364"/>
      <c r="N1021" s="364"/>
      <c r="O1021" s="364"/>
      <c r="P1021" s="368"/>
      <c r="Q1021" s="365"/>
      <c r="R1021" s="306"/>
      <c r="S1021" s="366"/>
      <c r="T1021" s="367"/>
      <c r="U1021" s="367"/>
      <c r="V1021" s="367"/>
      <c r="W1021" s="367"/>
      <c r="X1021" s="367"/>
      <c r="Y1021" s="367"/>
      <c r="Z1021" s="367"/>
      <c r="AA1021" s="367"/>
      <c r="AB1021" s="38"/>
      <c r="AC1021" s="38"/>
      <c r="AD1021" s="38"/>
      <c r="AE1021" s="38"/>
      <c r="AF1021" s="38"/>
      <c r="AG1021" s="38"/>
      <c r="AH1021" s="38"/>
      <c r="AI1021" s="38"/>
      <c r="AJ1021" s="38"/>
      <c r="AK1021" s="38"/>
      <c r="AL1021" s="38"/>
      <c r="AM1021" s="38"/>
    </row>
    <row r="1022" spans="1:39" x14ac:dyDescent="0.25">
      <c r="A1022" s="232"/>
      <c r="B1022" s="232"/>
      <c r="C1022" s="358"/>
      <c r="D1022" s="359"/>
      <c r="E1022" s="360"/>
      <c r="F1022" s="361"/>
      <c r="G1022" s="362"/>
      <c r="H1022" s="358"/>
      <c r="I1022" s="363"/>
      <c r="J1022" s="364"/>
      <c r="K1022" s="364"/>
      <c r="L1022" s="364"/>
      <c r="M1022" s="364"/>
      <c r="N1022" s="364"/>
      <c r="O1022" s="364"/>
      <c r="P1022" s="368"/>
      <c r="Q1022" s="365"/>
      <c r="R1022" s="306"/>
      <c r="S1022" s="366"/>
      <c r="T1022" s="367"/>
      <c r="U1022" s="367"/>
      <c r="V1022" s="367"/>
      <c r="W1022" s="367"/>
      <c r="X1022" s="367"/>
      <c r="Y1022" s="367"/>
      <c r="Z1022" s="367"/>
      <c r="AA1022" s="367"/>
      <c r="AB1022" s="38"/>
      <c r="AC1022" s="38"/>
      <c r="AD1022" s="38"/>
      <c r="AE1022" s="38"/>
      <c r="AF1022" s="38"/>
      <c r="AG1022" s="38"/>
      <c r="AH1022" s="38"/>
      <c r="AI1022" s="38"/>
      <c r="AJ1022" s="38"/>
      <c r="AK1022" s="38"/>
      <c r="AL1022" s="38"/>
      <c r="AM1022" s="38"/>
    </row>
    <row r="1023" spans="1:39" x14ac:dyDescent="0.25">
      <c r="A1023" s="232"/>
      <c r="B1023" s="232"/>
      <c r="C1023" s="358"/>
      <c r="D1023" s="359"/>
      <c r="E1023" s="360"/>
      <c r="F1023" s="361"/>
      <c r="G1023" s="362"/>
      <c r="H1023" s="358"/>
      <c r="I1023" s="363"/>
      <c r="J1023" s="364"/>
      <c r="K1023" s="364"/>
      <c r="L1023" s="364"/>
      <c r="M1023" s="364"/>
      <c r="N1023" s="364"/>
      <c r="O1023" s="364"/>
      <c r="P1023" s="368"/>
      <c r="Q1023" s="365"/>
      <c r="R1023" s="306"/>
      <c r="S1023" s="366"/>
      <c r="T1023" s="367"/>
      <c r="U1023" s="367"/>
      <c r="V1023" s="367"/>
      <c r="W1023" s="367"/>
      <c r="X1023" s="367"/>
      <c r="Y1023" s="367"/>
      <c r="Z1023" s="367"/>
      <c r="AA1023" s="367"/>
      <c r="AB1023" s="38"/>
      <c r="AC1023" s="38"/>
      <c r="AD1023" s="38"/>
      <c r="AE1023" s="38"/>
      <c r="AF1023" s="38"/>
      <c r="AG1023" s="38"/>
      <c r="AH1023" s="38"/>
      <c r="AI1023" s="38"/>
      <c r="AJ1023" s="38"/>
      <c r="AK1023" s="38"/>
      <c r="AL1023" s="38"/>
      <c r="AM1023" s="38"/>
    </row>
    <row r="1024" spans="1:39" x14ac:dyDescent="0.25">
      <c r="A1024" s="232"/>
      <c r="B1024" s="232"/>
      <c r="C1024" s="358"/>
      <c r="D1024" s="359"/>
      <c r="E1024" s="360"/>
      <c r="F1024" s="361"/>
      <c r="G1024" s="362"/>
      <c r="H1024" s="358"/>
      <c r="I1024" s="363"/>
      <c r="J1024" s="364"/>
      <c r="K1024" s="364"/>
      <c r="L1024" s="364"/>
      <c r="M1024" s="364"/>
      <c r="N1024" s="364"/>
      <c r="O1024" s="364"/>
      <c r="P1024" s="368"/>
      <c r="Q1024" s="365"/>
      <c r="R1024" s="306"/>
      <c r="S1024" s="366"/>
      <c r="T1024" s="367"/>
      <c r="U1024" s="367"/>
      <c r="V1024" s="367"/>
      <c r="W1024" s="367"/>
      <c r="X1024" s="367"/>
      <c r="Y1024" s="367"/>
      <c r="Z1024" s="367"/>
      <c r="AA1024" s="367"/>
      <c r="AB1024" s="38"/>
      <c r="AC1024" s="38"/>
      <c r="AD1024" s="38"/>
      <c r="AE1024" s="38"/>
      <c r="AF1024" s="38"/>
      <c r="AG1024" s="38"/>
      <c r="AH1024" s="38"/>
      <c r="AI1024" s="38"/>
      <c r="AJ1024" s="38"/>
      <c r="AK1024" s="38"/>
      <c r="AL1024" s="38"/>
      <c r="AM1024" s="38"/>
    </row>
    <row r="1025" spans="1:39" x14ac:dyDescent="0.25">
      <c r="A1025" s="232"/>
      <c r="B1025" s="232"/>
      <c r="C1025" s="358"/>
      <c r="D1025" s="359"/>
      <c r="E1025" s="360"/>
      <c r="F1025" s="361"/>
      <c r="G1025" s="362"/>
      <c r="H1025" s="358"/>
      <c r="I1025" s="363"/>
      <c r="J1025" s="364"/>
      <c r="K1025" s="364"/>
      <c r="L1025" s="364"/>
      <c r="M1025" s="364"/>
      <c r="N1025" s="364"/>
      <c r="O1025" s="364"/>
      <c r="P1025" s="368"/>
      <c r="Q1025" s="365"/>
      <c r="R1025" s="306"/>
      <c r="S1025" s="366"/>
      <c r="T1025" s="367"/>
      <c r="U1025" s="367"/>
      <c r="V1025" s="367"/>
      <c r="W1025" s="367"/>
      <c r="X1025" s="367"/>
      <c r="Y1025" s="367"/>
      <c r="Z1025" s="367"/>
      <c r="AA1025" s="367"/>
      <c r="AB1025" s="38"/>
      <c r="AC1025" s="38"/>
      <c r="AD1025" s="38"/>
      <c r="AE1025" s="38"/>
      <c r="AF1025" s="38"/>
      <c r="AG1025" s="38"/>
      <c r="AH1025" s="38"/>
      <c r="AI1025" s="38"/>
      <c r="AJ1025" s="38"/>
      <c r="AK1025" s="38"/>
      <c r="AL1025" s="38"/>
      <c r="AM1025" s="38"/>
    </row>
    <row r="1026" spans="1:39" x14ac:dyDescent="0.25">
      <c r="A1026" s="232"/>
      <c r="B1026" s="232"/>
      <c r="C1026" s="358"/>
      <c r="D1026" s="359"/>
      <c r="E1026" s="360"/>
      <c r="F1026" s="361"/>
      <c r="G1026" s="362"/>
      <c r="H1026" s="358"/>
      <c r="I1026" s="363"/>
      <c r="J1026" s="364"/>
      <c r="K1026" s="364"/>
      <c r="L1026" s="364"/>
      <c r="M1026" s="364"/>
      <c r="N1026" s="364"/>
      <c r="O1026" s="364"/>
      <c r="P1026" s="368"/>
      <c r="Q1026" s="365"/>
      <c r="R1026" s="306"/>
      <c r="S1026" s="366"/>
      <c r="T1026" s="367"/>
      <c r="U1026" s="367"/>
      <c r="V1026" s="367"/>
      <c r="W1026" s="367"/>
      <c r="X1026" s="367"/>
      <c r="Y1026" s="367"/>
      <c r="Z1026" s="367"/>
      <c r="AA1026" s="367"/>
      <c r="AB1026" s="38"/>
      <c r="AC1026" s="38"/>
      <c r="AD1026" s="38"/>
      <c r="AE1026" s="38"/>
      <c r="AF1026" s="38"/>
      <c r="AG1026" s="38"/>
      <c r="AH1026" s="38"/>
      <c r="AI1026" s="38"/>
      <c r="AJ1026" s="38"/>
      <c r="AK1026" s="38"/>
      <c r="AL1026" s="38"/>
      <c r="AM1026" s="38"/>
    </row>
    <row r="1027" spans="1:39" x14ac:dyDescent="0.25">
      <c r="A1027" s="232"/>
      <c r="B1027" s="232"/>
      <c r="C1027" s="358"/>
      <c r="D1027" s="359"/>
      <c r="E1027" s="360"/>
      <c r="F1027" s="361"/>
      <c r="G1027" s="362"/>
      <c r="H1027" s="358"/>
      <c r="I1027" s="363"/>
      <c r="J1027" s="364"/>
      <c r="K1027" s="364"/>
      <c r="L1027" s="364"/>
      <c r="M1027" s="364"/>
      <c r="N1027" s="364"/>
      <c r="O1027" s="364"/>
      <c r="P1027" s="368"/>
      <c r="Q1027" s="365"/>
      <c r="R1027" s="306"/>
      <c r="S1027" s="366"/>
      <c r="T1027" s="367"/>
      <c r="U1027" s="367"/>
      <c r="V1027" s="367"/>
      <c r="W1027" s="367"/>
      <c r="X1027" s="367"/>
      <c r="Y1027" s="367"/>
      <c r="Z1027" s="367"/>
      <c r="AA1027" s="367"/>
      <c r="AB1027" s="38"/>
      <c r="AC1027" s="38"/>
      <c r="AD1027" s="38"/>
      <c r="AE1027" s="38"/>
      <c r="AF1027" s="38"/>
      <c r="AG1027" s="38"/>
      <c r="AH1027" s="38"/>
      <c r="AI1027" s="38"/>
      <c r="AJ1027" s="38"/>
      <c r="AK1027" s="38"/>
      <c r="AL1027" s="38"/>
      <c r="AM1027" s="38"/>
    </row>
    <row r="1028" spans="1:39" x14ac:dyDescent="0.25">
      <c r="A1028" s="232"/>
      <c r="B1028" s="232"/>
      <c r="C1028" s="358"/>
      <c r="D1028" s="359"/>
      <c r="E1028" s="360"/>
      <c r="F1028" s="361"/>
      <c r="G1028" s="362"/>
      <c r="H1028" s="358"/>
      <c r="I1028" s="363"/>
      <c r="J1028" s="364"/>
      <c r="K1028" s="364"/>
      <c r="L1028" s="364"/>
      <c r="M1028" s="364"/>
      <c r="N1028" s="364"/>
      <c r="O1028" s="364"/>
      <c r="P1028" s="368"/>
      <c r="Q1028" s="365"/>
      <c r="R1028" s="306"/>
      <c r="S1028" s="366"/>
      <c r="T1028" s="367"/>
      <c r="U1028" s="367"/>
      <c r="V1028" s="367"/>
      <c r="W1028" s="367"/>
      <c r="X1028" s="367"/>
      <c r="Y1028" s="367"/>
      <c r="Z1028" s="367"/>
      <c r="AA1028" s="367"/>
      <c r="AB1028" s="38"/>
      <c r="AC1028" s="38"/>
      <c r="AD1028" s="38"/>
      <c r="AE1028" s="38"/>
      <c r="AF1028" s="38"/>
      <c r="AG1028" s="38"/>
      <c r="AH1028" s="38"/>
      <c r="AI1028" s="38"/>
      <c r="AJ1028" s="38"/>
      <c r="AK1028" s="38"/>
      <c r="AL1028" s="38"/>
      <c r="AM1028" s="38"/>
    </row>
    <row r="1029" spans="1:39" x14ac:dyDescent="0.25">
      <c r="A1029" s="232"/>
      <c r="B1029" s="232"/>
      <c r="C1029" s="358"/>
      <c r="D1029" s="359"/>
      <c r="E1029" s="360"/>
      <c r="F1029" s="361"/>
      <c r="G1029" s="362"/>
      <c r="H1029" s="358"/>
      <c r="I1029" s="363"/>
      <c r="J1029" s="364"/>
      <c r="K1029" s="364"/>
      <c r="L1029" s="364"/>
      <c r="M1029" s="364"/>
      <c r="N1029" s="364"/>
      <c r="O1029" s="364"/>
      <c r="P1029" s="368"/>
      <c r="Q1029" s="365"/>
      <c r="R1029" s="306"/>
      <c r="S1029" s="366"/>
      <c r="T1029" s="367"/>
      <c r="U1029" s="367"/>
      <c r="V1029" s="367"/>
      <c r="W1029" s="367"/>
      <c r="X1029" s="367"/>
      <c r="Y1029" s="367"/>
      <c r="Z1029" s="367"/>
      <c r="AA1029" s="367"/>
      <c r="AB1029" s="38"/>
      <c r="AC1029" s="38"/>
      <c r="AD1029" s="38"/>
      <c r="AE1029" s="38"/>
      <c r="AF1029" s="38"/>
      <c r="AG1029" s="38"/>
      <c r="AH1029" s="38"/>
      <c r="AI1029" s="38"/>
      <c r="AJ1029" s="38"/>
      <c r="AK1029" s="38"/>
      <c r="AL1029" s="38"/>
      <c r="AM1029" s="38"/>
    </row>
    <row r="1030" spans="1:39" x14ac:dyDescent="0.25">
      <c r="A1030" s="232"/>
      <c r="B1030" s="232"/>
      <c r="C1030" s="358"/>
      <c r="D1030" s="359"/>
      <c r="E1030" s="360"/>
      <c r="F1030" s="361"/>
      <c r="G1030" s="362"/>
      <c r="H1030" s="358"/>
      <c r="I1030" s="363"/>
      <c r="J1030" s="364"/>
      <c r="K1030" s="364"/>
      <c r="L1030" s="364"/>
      <c r="M1030" s="364"/>
      <c r="N1030" s="364"/>
      <c r="O1030" s="364"/>
      <c r="P1030" s="368"/>
      <c r="Q1030" s="365"/>
      <c r="R1030" s="306"/>
      <c r="S1030" s="366"/>
      <c r="T1030" s="367"/>
      <c r="U1030" s="367"/>
      <c r="V1030" s="367"/>
      <c r="W1030" s="367"/>
      <c r="X1030" s="367"/>
      <c r="Y1030" s="367"/>
      <c r="Z1030" s="367"/>
      <c r="AA1030" s="367"/>
      <c r="AB1030" s="38"/>
      <c r="AC1030" s="38"/>
      <c r="AD1030" s="38"/>
      <c r="AE1030" s="38"/>
      <c r="AF1030" s="38"/>
      <c r="AG1030" s="38"/>
      <c r="AH1030" s="38"/>
      <c r="AI1030" s="38"/>
      <c r="AJ1030" s="38"/>
      <c r="AK1030" s="38"/>
      <c r="AL1030" s="38"/>
      <c r="AM1030" s="38"/>
    </row>
    <row r="1031" spans="1:39" x14ac:dyDescent="0.25">
      <c r="A1031" s="232"/>
      <c r="B1031" s="232"/>
      <c r="C1031" s="358"/>
      <c r="D1031" s="359"/>
      <c r="E1031" s="360"/>
      <c r="F1031" s="361"/>
      <c r="G1031" s="362"/>
      <c r="H1031" s="358"/>
      <c r="I1031" s="363"/>
      <c r="J1031" s="364"/>
      <c r="K1031" s="364"/>
      <c r="L1031" s="364"/>
      <c r="M1031" s="364"/>
      <c r="N1031" s="364"/>
      <c r="O1031" s="364"/>
      <c r="P1031" s="368"/>
      <c r="Q1031" s="365"/>
      <c r="R1031" s="306"/>
      <c r="S1031" s="366"/>
      <c r="T1031" s="367"/>
      <c r="U1031" s="367"/>
      <c r="V1031" s="367"/>
      <c r="W1031" s="367"/>
      <c r="X1031" s="367"/>
      <c r="Y1031" s="367"/>
      <c r="Z1031" s="367"/>
      <c r="AA1031" s="367"/>
      <c r="AB1031" s="38"/>
      <c r="AC1031" s="38"/>
      <c r="AD1031" s="38"/>
      <c r="AE1031" s="38"/>
      <c r="AF1031" s="38"/>
      <c r="AG1031" s="38"/>
      <c r="AH1031" s="38"/>
      <c r="AI1031" s="38"/>
      <c r="AJ1031" s="38"/>
      <c r="AK1031" s="38"/>
      <c r="AL1031" s="38"/>
      <c r="AM1031" s="38"/>
    </row>
    <row r="1032" spans="1:39" x14ac:dyDescent="0.25">
      <c r="A1032" s="232"/>
      <c r="B1032" s="232"/>
      <c r="C1032" s="358"/>
      <c r="D1032" s="359"/>
      <c r="E1032" s="360"/>
      <c r="F1032" s="361"/>
      <c r="G1032" s="362"/>
      <c r="H1032" s="358"/>
      <c r="I1032" s="363"/>
      <c r="J1032" s="364"/>
      <c r="K1032" s="364"/>
      <c r="L1032" s="364"/>
      <c r="M1032" s="364"/>
      <c r="N1032" s="364"/>
      <c r="O1032" s="364"/>
      <c r="P1032" s="368"/>
      <c r="Q1032" s="365"/>
      <c r="R1032" s="306"/>
      <c r="S1032" s="366"/>
      <c r="T1032" s="367"/>
      <c r="U1032" s="367"/>
      <c r="V1032" s="367"/>
      <c r="W1032" s="367"/>
      <c r="X1032" s="367"/>
      <c r="Y1032" s="367"/>
      <c r="Z1032" s="367"/>
      <c r="AA1032" s="367"/>
      <c r="AB1032" s="38"/>
      <c r="AC1032" s="38"/>
      <c r="AD1032" s="38"/>
      <c r="AE1032" s="38"/>
      <c r="AF1032" s="38"/>
      <c r="AG1032" s="38"/>
      <c r="AH1032" s="38"/>
      <c r="AI1032" s="38"/>
      <c r="AJ1032" s="38"/>
      <c r="AK1032" s="38"/>
      <c r="AL1032" s="38"/>
      <c r="AM1032" s="38"/>
    </row>
    <row r="1033" spans="1:39" x14ac:dyDescent="0.25">
      <c r="A1033" s="232"/>
      <c r="B1033" s="232"/>
      <c r="C1033" s="358"/>
      <c r="D1033" s="359"/>
      <c r="E1033" s="360"/>
      <c r="F1033" s="361"/>
      <c r="G1033" s="362"/>
      <c r="H1033" s="358"/>
      <c r="I1033" s="363"/>
      <c r="J1033" s="364"/>
      <c r="K1033" s="364"/>
      <c r="L1033" s="364"/>
      <c r="M1033" s="364"/>
      <c r="N1033" s="364"/>
      <c r="O1033" s="364"/>
      <c r="P1033" s="368"/>
      <c r="Q1033" s="365"/>
      <c r="R1033" s="306"/>
      <c r="S1033" s="366"/>
      <c r="T1033" s="367"/>
      <c r="U1033" s="367"/>
      <c r="V1033" s="367"/>
      <c r="W1033" s="367"/>
      <c r="X1033" s="367"/>
      <c r="Y1033" s="367"/>
      <c r="Z1033" s="367"/>
      <c r="AA1033" s="367"/>
      <c r="AB1033" s="38"/>
      <c r="AC1033" s="38"/>
      <c r="AD1033" s="38"/>
      <c r="AE1033" s="38"/>
      <c r="AF1033" s="38"/>
      <c r="AG1033" s="38"/>
      <c r="AH1033" s="38"/>
      <c r="AI1033" s="38"/>
      <c r="AJ1033" s="38"/>
      <c r="AK1033" s="38"/>
      <c r="AL1033" s="38"/>
      <c r="AM1033" s="38"/>
    </row>
  </sheetData>
  <autoFilter ref="E9:P1020" xr:uid="{00000000-0001-0000-0600-000000000000}"/>
  <mergeCells count="18">
    <mergeCell ref="AD7:AD8"/>
    <mergeCell ref="H5:I5"/>
    <mergeCell ref="J5:L5"/>
    <mergeCell ref="O5:P5"/>
    <mergeCell ref="Z5:AA5"/>
    <mergeCell ref="H6:I6"/>
    <mergeCell ref="J6:L6"/>
    <mergeCell ref="O6:P6"/>
    <mergeCell ref="T6:U6"/>
    <mergeCell ref="V6:W6"/>
    <mergeCell ref="X6:Y6"/>
    <mergeCell ref="O2:P2"/>
    <mergeCell ref="I3:L3"/>
    <mergeCell ref="O3:P3"/>
    <mergeCell ref="AC3:AC4"/>
    <mergeCell ref="I4:K4"/>
    <mergeCell ref="O4:P4"/>
    <mergeCell ref="Z4:AA4"/>
  </mergeCells>
  <conditionalFormatting sqref="T9:T1018 V9:V1018 X9:X1018">
    <cfRule type="expression" dxfId="45" priority="2">
      <formula>$AE9="OK"</formula>
    </cfRule>
  </conditionalFormatting>
  <conditionalFormatting sqref="AB9:AB1018">
    <cfRule type="cellIs" dxfId="44" priority="3" operator="equal">
      <formula>"ALERTA!"</formula>
    </cfRule>
    <cfRule type="cellIs" dxfId="43" priority="4" operator="equal">
      <formula>"ALERTA!"</formula>
    </cfRule>
    <cfRule type="cellIs" dxfId="42" priority="5" operator="equal">
      <formula>"ALERTA!"</formula>
    </cfRule>
    <cfRule type="cellIs" dxfId="41" priority="6" operator="equal">
      <formula>"ALERTA!"</formula>
    </cfRule>
    <cfRule type="cellIs" dxfId="40" priority="7" operator="equal">
      <formula>"MEDIR"</formula>
    </cfRule>
    <cfRule type="cellIs" dxfId="39" priority="8" operator="equal">
      <formula>"OK"</formula>
    </cfRule>
    <cfRule type="cellIs" dxfId="38" priority="9" operator="equal">
      <formula>"ALERTA!"</formula>
    </cfRule>
    <cfRule type="cellIs" dxfId="37" priority="10" operator="equal">
      <formula>"MEDIR"</formula>
    </cfRule>
    <cfRule type="cellIs" dxfId="36" priority="11" operator="equal">
      <formula>"OK"</formula>
    </cfRule>
    <cfRule type="cellIs" dxfId="35" priority="12" operator="equal">
      <formula>"""OK"""</formula>
    </cfRule>
    <cfRule type="cellIs" dxfId="34" priority="13" operator="equal">
      <formula>"OK"</formula>
    </cfRule>
    <cfRule type="cellIs" dxfId="33" priority="14" operator="equal">
      <formula>0</formula>
    </cfRule>
  </conditionalFormatting>
  <printOptions horizontalCentered="1" gridLines="1"/>
  <pageMargins left="0.196527777777778" right="0.196527777777778" top="1.1812499999999999" bottom="0.98402777777777795" header="0" footer="0"/>
  <pageSetup paperSize="9" scale="64" fitToHeight="0" orientation="landscape" horizontalDpi="300" verticalDpi="300" r:id="rId1"/>
  <headerFooter>
    <oddHeader>&amp;RPÁGINA: &amp;P DE</oddHeader>
    <oddFooter>&amp;L 
Carimbo e Assinatura Responsável Técnico&amp;CCarimbo e Assinatura Responsável pela Verificação&amp;RCarimbo e Assinatura  Responsável pela Aprovação</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F8:I1000"/>
  <sheetViews>
    <sheetView view="pageBreakPreview" zoomScale="62" zoomScaleNormal="100" zoomScalePageLayoutView="62" workbookViewId="0"/>
  </sheetViews>
  <sheetFormatPr defaultColWidth="14.42578125" defaultRowHeight="15" x14ac:dyDescent="0.25"/>
  <cols>
    <col min="1" max="26" width="8.7109375" customWidth="1"/>
  </cols>
  <sheetData>
    <row r="8" spans="6:9" x14ac:dyDescent="0.25">
      <c r="F8" t="s">
        <v>12608</v>
      </c>
    </row>
    <row r="10" spans="6:9" x14ac:dyDescent="0.25">
      <c r="G10">
        <v>30</v>
      </c>
      <c r="H10">
        <f>0.15+0.05*2+0.02*2</f>
        <v>0.28999999999999998</v>
      </c>
      <c r="I10">
        <f t="shared" ref="I10:I20" si="0">+H10*2*G10</f>
        <v>17.399999999999999</v>
      </c>
    </row>
    <row r="11" spans="6:9" x14ac:dyDescent="0.25">
      <c r="G11">
        <v>48</v>
      </c>
      <c r="H11">
        <f>0.127+0.05*2+0.017*2</f>
        <v>0.26100000000000001</v>
      </c>
      <c r="I11">
        <f t="shared" si="0"/>
        <v>25.056000000000001</v>
      </c>
    </row>
    <row r="12" spans="6:9" x14ac:dyDescent="0.25">
      <c r="G12">
        <v>480</v>
      </c>
      <c r="H12">
        <f>0.1+0.05*2+0.017*2</f>
        <v>0.23400000000000001</v>
      </c>
      <c r="I12">
        <f t="shared" si="0"/>
        <v>224.64000000000001</v>
      </c>
    </row>
    <row r="13" spans="6:9" x14ac:dyDescent="0.25">
      <c r="G13">
        <v>162</v>
      </c>
      <c r="H13">
        <f>0.1+0.04*2</f>
        <v>0.18</v>
      </c>
      <c r="I13">
        <f t="shared" si="0"/>
        <v>58.32</v>
      </c>
    </row>
    <row r="14" spans="6:9" x14ac:dyDescent="0.25">
      <c r="G14">
        <v>312</v>
      </c>
      <c r="H14">
        <f>0.075+0.038*2</f>
        <v>0.151</v>
      </c>
      <c r="I14">
        <f t="shared" si="0"/>
        <v>94.224000000000004</v>
      </c>
    </row>
    <row r="15" spans="6:9" x14ac:dyDescent="0.25">
      <c r="G15">
        <v>6</v>
      </c>
      <c r="H15">
        <f>0.05*2</f>
        <v>0.1</v>
      </c>
      <c r="I15">
        <f t="shared" si="0"/>
        <v>1.2000000000000002</v>
      </c>
    </row>
    <row r="16" spans="6:9" x14ac:dyDescent="0.25">
      <c r="G16">
        <v>12</v>
      </c>
      <c r="H16">
        <f>0.05*2</f>
        <v>0.1</v>
      </c>
      <c r="I16">
        <f t="shared" si="0"/>
        <v>2.4000000000000004</v>
      </c>
    </row>
    <row r="17" spans="7:9" x14ac:dyDescent="0.25">
      <c r="G17">
        <v>222</v>
      </c>
      <c r="H17">
        <f>0.025*1.25*2</f>
        <v>6.25E-2</v>
      </c>
      <c r="I17">
        <f t="shared" si="0"/>
        <v>27.75</v>
      </c>
    </row>
    <row r="18" spans="7:9" x14ac:dyDescent="0.25">
      <c r="G18">
        <v>294</v>
      </c>
      <c r="H18">
        <f>0.025*2</f>
        <v>0.05</v>
      </c>
      <c r="I18">
        <f t="shared" si="0"/>
        <v>29.400000000000002</v>
      </c>
    </row>
    <row r="19" spans="7:9" x14ac:dyDescent="0.25">
      <c r="G19">
        <v>228</v>
      </c>
      <c r="H19">
        <f>0.025*2</f>
        <v>0.05</v>
      </c>
      <c r="I19">
        <f t="shared" si="0"/>
        <v>22.8</v>
      </c>
    </row>
    <row r="20" spans="7:9" x14ac:dyDescent="0.25">
      <c r="G20">
        <v>498</v>
      </c>
      <c r="H20">
        <f>0.01*3.14</f>
        <v>3.1400000000000004E-2</v>
      </c>
      <c r="I20">
        <f t="shared" si="0"/>
        <v>31.274400000000004</v>
      </c>
    </row>
    <row r="21" spans="7:9" ht="15.75" customHeight="1" x14ac:dyDescent="0.25">
      <c r="I21">
        <f>SUM(I10:I20)</f>
        <v>534.46439999999996</v>
      </c>
    </row>
    <row r="22" spans="7:9" ht="15.75" customHeight="1" x14ac:dyDescent="0.25"/>
    <row r="23" spans="7:9" ht="15.75" customHeight="1" x14ac:dyDescent="0.25"/>
    <row r="24" spans="7:9" ht="15.75" customHeight="1" x14ac:dyDescent="0.25"/>
    <row r="25" spans="7:9" ht="15.75" customHeight="1" x14ac:dyDescent="0.25"/>
    <row r="26" spans="7:9" ht="15.75" customHeight="1" x14ac:dyDescent="0.25"/>
    <row r="27" spans="7:9" ht="15.75" customHeight="1" x14ac:dyDescent="0.25"/>
    <row r="28" spans="7:9" ht="15.75" customHeight="1" x14ac:dyDescent="0.25"/>
    <row r="29" spans="7:9" ht="15.75" customHeight="1" x14ac:dyDescent="0.25"/>
    <row r="30" spans="7:9" ht="15.75" customHeight="1" x14ac:dyDescent="0.25"/>
    <row r="31" spans="7:9" ht="15.75" customHeight="1" x14ac:dyDescent="0.25"/>
    <row r="32" spans="7:9"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51180555555555596" right="0.51180555555555596" top="0.78749999999999998" bottom="0.78749999999999998" header="0.511811023622047" footer="0.511811023622047"/>
  <pageSetup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D4424-79CD-46C0-A901-7C1475B849BE}">
  <dimension ref="A1:N105"/>
  <sheetViews>
    <sheetView workbookViewId="0">
      <selection activeCell="C104" sqref="C104:C105"/>
    </sheetView>
  </sheetViews>
  <sheetFormatPr defaultColWidth="101.42578125" defaultRowHeight="12.75" x14ac:dyDescent="0.25"/>
  <cols>
    <col min="1" max="1" width="54.7109375" style="753" bestFit="1" customWidth="1"/>
    <col min="2" max="2" width="60.5703125" style="753" bestFit="1" customWidth="1"/>
    <col min="3" max="3" width="31.7109375" style="754" bestFit="1" customWidth="1"/>
    <col min="4" max="4" width="13.140625" style="753" bestFit="1" customWidth="1"/>
    <col min="5" max="5" width="9.28515625" style="753" bestFit="1" customWidth="1"/>
    <col min="6" max="6" width="30.5703125" style="753" bestFit="1" customWidth="1"/>
    <col min="7" max="7" width="15.140625" style="753" bestFit="1" customWidth="1"/>
    <col min="8" max="8" width="29.7109375" style="753" bestFit="1" customWidth="1"/>
    <col min="9" max="9" width="7.85546875" style="753" bestFit="1" customWidth="1"/>
    <col min="10" max="10" width="38.140625" style="753" bestFit="1" customWidth="1"/>
    <col min="11" max="11" width="23.7109375" style="753" bestFit="1" customWidth="1"/>
    <col min="12" max="12" width="5.5703125" style="753" bestFit="1" customWidth="1"/>
    <col min="13" max="13" width="3.42578125" style="753" bestFit="1" customWidth="1"/>
    <col min="14" max="16384" width="101.42578125" style="753"/>
  </cols>
  <sheetData>
    <row r="1" spans="1:8" ht="23.25" x14ac:dyDescent="0.25">
      <c r="A1" s="881" t="s">
        <v>20500</v>
      </c>
      <c r="B1" s="881"/>
      <c r="C1" s="881"/>
      <c r="D1" s="881"/>
      <c r="E1" s="881"/>
      <c r="F1" s="881"/>
      <c r="G1" s="755"/>
      <c r="H1" s="755"/>
    </row>
    <row r="2" spans="1:8" ht="15" x14ac:dyDescent="0.25">
      <c r="A2" s="212" t="s">
        <v>494</v>
      </c>
      <c r="B2" s="212" t="s">
        <v>12637</v>
      </c>
      <c r="C2" s="763" t="s">
        <v>20563</v>
      </c>
      <c r="D2" s="763" t="s">
        <v>13766</v>
      </c>
      <c r="E2" s="763" t="s">
        <v>20566</v>
      </c>
      <c r="F2" s="212" t="s">
        <v>498</v>
      </c>
      <c r="G2" s="755"/>
      <c r="H2" s="755"/>
    </row>
    <row r="3" spans="1:8" ht="15" x14ac:dyDescent="0.25">
      <c r="A3" s="326" t="s">
        <v>20501</v>
      </c>
      <c r="B3" s="198"/>
      <c r="C3" s="762"/>
      <c r="D3" s="762"/>
      <c r="E3" s="762"/>
      <c r="F3" s="198"/>
      <c r="G3" s="755"/>
      <c r="H3" s="755"/>
    </row>
    <row r="4" spans="1:8" ht="15" x14ac:dyDescent="0.25">
      <c r="A4" s="326" t="s">
        <v>12503</v>
      </c>
      <c r="B4" s="326" t="s">
        <v>20567</v>
      </c>
      <c r="C4" s="762"/>
      <c r="D4" s="762"/>
      <c r="E4" s="762"/>
      <c r="F4" s="198"/>
      <c r="G4" s="755"/>
      <c r="H4" s="755"/>
    </row>
    <row r="5" spans="1:8" ht="15" x14ac:dyDescent="0.25">
      <c r="A5" s="198" t="s">
        <v>20568</v>
      </c>
      <c r="B5" s="198" t="s">
        <v>20569</v>
      </c>
      <c r="C5" s="764">
        <v>2894</v>
      </c>
      <c r="D5" s="764">
        <v>2894</v>
      </c>
      <c r="E5" s="762" t="s">
        <v>20570</v>
      </c>
      <c r="F5" s="198"/>
      <c r="G5" s="755"/>
      <c r="H5" s="755"/>
    </row>
    <row r="6" spans="1:8" ht="15" x14ac:dyDescent="0.25">
      <c r="A6" s="198" t="s">
        <v>20571</v>
      </c>
      <c r="B6" s="198" t="s">
        <v>20572</v>
      </c>
      <c r="C6" s="762" t="s">
        <v>20573</v>
      </c>
      <c r="D6" s="762">
        <v>289.39999999999998</v>
      </c>
      <c r="E6" s="762" t="s">
        <v>20574</v>
      </c>
      <c r="F6" s="198"/>
      <c r="G6" s="755"/>
      <c r="H6" s="755"/>
    </row>
    <row r="7" spans="1:8" ht="15" x14ac:dyDescent="0.25">
      <c r="A7" s="198" t="s">
        <v>20575</v>
      </c>
      <c r="B7" s="198" t="s">
        <v>20576</v>
      </c>
      <c r="C7" s="762" t="s">
        <v>20577</v>
      </c>
      <c r="D7" s="764">
        <v>2894</v>
      </c>
      <c r="E7" s="762" t="s">
        <v>20578</v>
      </c>
      <c r="F7" s="198"/>
      <c r="G7" s="755"/>
      <c r="H7" s="755"/>
    </row>
    <row r="8" spans="1:8" ht="15" x14ac:dyDescent="0.25">
      <c r="A8" s="326" t="s">
        <v>12505</v>
      </c>
      <c r="B8" s="326" t="s">
        <v>20466</v>
      </c>
      <c r="C8" s="762"/>
      <c r="D8" s="762"/>
      <c r="E8" s="762"/>
      <c r="F8" s="198"/>
      <c r="G8" s="755"/>
      <c r="H8" s="755"/>
    </row>
    <row r="9" spans="1:8" ht="15" x14ac:dyDescent="0.25">
      <c r="A9" s="198" t="s">
        <v>20579</v>
      </c>
      <c r="B9" s="198" t="s">
        <v>20580</v>
      </c>
      <c r="C9" s="762" t="s">
        <v>20581</v>
      </c>
      <c r="D9" s="764">
        <v>4174.7700000000004</v>
      </c>
      <c r="E9" s="762" t="s">
        <v>20574</v>
      </c>
      <c r="F9" s="198"/>
      <c r="G9" s="755"/>
      <c r="H9" s="755"/>
    </row>
    <row r="10" spans="1:8" ht="15" x14ac:dyDescent="0.25">
      <c r="A10" s="198" t="s">
        <v>20582</v>
      </c>
      <c r="B10" s="198" t="s">
        <v>20583</v>
      </c>
      <c r="C10" s="762" t="s">
        <v>20584</v>
      </c>
      <c r="D10" s="762">
        <v>45</v>
      </c>
      <c r="E10" s="762" t="s">
        <v>20574</v>
      </c>
      <c r="F10" s="198"/>
      <c r="G10" s="755"/>
      <c r="H10" s="755"/>
    </row>
    <row r="11" spans="1:8" ht="15" x14ac:dyDescent="0.25">
      <c r="A11" s="198" t="s">
        <v>20585</v>
      </c>
      <c r="B11" s="198" t="s">
        <v>20586</v>
      </c>
      <c r="C11" s="762" t="s">
        <v>20581</v>
      </c>
      <c r="D11" s="764">
        <v>3448.27</v>
      </c>
      <c r="E11" s="762" t="s">
        <v>20574</v>
      </c>
      <c r="F11" s="198"/>
      <c r="G11" s="755"/>
      <c r="H11" s="755"/>
    </row>
    <row r="12" spans="1:8" ht="15" x14ac:dyDescent="0.25">
      <c r="A12" s="198" t="s">
        <v>20587</v>
      </c>
      <c r="B12" s="198" t="s">
        <v>20504</v>
      </c>
      <c r="C12" s="762" t="s">
        <v>20588</v>
      </c>
      <c r="D12" s="764">
        <v>17241.349999999999</v>
      </c>
      <c r="E12" s="762" t="s">
        <v>20578</v>
      </c>
      <c r="F12" s="198"/>
      <c r="G12" s="755"/>
      <c r="H12" s="755"/>
    </row>
    <row r="13" spans="1:8" ht="15" x14ac:dyDescent="0.25">
      <c r="A13" s="326" t="s">
        <v>20564</v>
      </c>
      <c r="B13" s="198"/>
      <c r="C13" s="762"/>
      <c r="D13" s="762"/>
      <c r="E13" s="762"/>
      <c r="F13" s="198"/>
      <c r="G13" s="755"/>
      <c r="H13" s="755"/>
    </row>
    <row r="14" spans="1:8" ht="15" x14ac:dyDescent="0.25">
      <c r="A14" s="326" t="s">
        <v>12506</v>
      </c>
      <c r="B14" s="326" t="s">
        <v>20465</v>
      </c>
      <c r="C14" s="762"/>
      <c r="D14" s="762"/>
      <c r="E14" s="762"/>
      <c r="F14" s="198"/>
      <c r="G14" s="755"/>
      <c r="H14" s="755"/>
    </row>
    <row r="15" spans="1:8" ht="15" x14ac:dyDescent="0.25">
      <c r="A15" s="326" t="s">
        <v>20548</v>
      </c>
      <c r="B15" s="326" t="s">
        <v>11920</v>
      </c>
      <c r="C15" s="762"/>
      <c r="D15" s="762"/>
      <c r="E15" s="762"/>
      <c r="F15" s="198"/>
      <c r="G15" s="755"/>
      <c r="H15" s="755"/>
    </row>
    <row r="16" spans="1:8" ht="15" x14ac:dyDescent="0.25">
      <c r="A16" s="198" t="s">
        <v>20589</v>
      </c>
      <c r="B16" s="198" t="s">
        <v>20590</v>
      </c>
      <c r="C16" s="762" t="s">
        <v>20581</v>
      </c>
      <c r="D16" s="762">
        <v>171.52</v>
      </c>
      <c r="E16" s="762" t="s">
        <v>20574</v>
      </c>
      <c r="F16" s="198"/>
      <c r="G16" s="755"/>
      <c r="H16" s="755"/>
    </row>
    <row r="17" spans="1:8" ht="15" x14ac:dyDescent="0.25">
      <c r="A17" s="326" t="s">
        <v>20549</v>
      </c>
      <c r="B17" s="326" t="s">
        <v>20462</v>
      </c>
      <c r="C17" s="762"/>
      <c r="D17" s="762"/>
      <c r="E17" s="762"/>
      <c r="F17" s="198"/>
      <c r="G17" s="755"/>
      <c r="H17" s="755"/>
    </row>
    <row r="18" spans="1:8" ht="15" x14ac:dyDescent="0.25">
      <c r="A18" s="198" t="s">
        <v>20591</v>
      </c>
      <c r="B18" s="198" t="s">
        <v>20592</v>
      </c>
      <c r="C18" s="762" t="s">
        <v>20593</v>
      </c>
      <c r="D18" s="762">
        <v>842.42</v>
      </c>
      <c r="E18" s="762" t="s">
        <v>20570</v>
      </c>
      <c r="F18" s="198" t="s">
        <v>20594</v>
      </c>
      <c r="G18" s="755"/>
      <c r="H18" s="755"/>
    </row>
    <row r="19" spans="1:8" ht="15" x14ac:dyDescent="0.25">
      <c r="A19" s="198" t="s">
        <v>20595</v>
      </c>
      <c r="B19" s="198" t="s">
        <v>20596</v>
      </c>
      <c r="C19" s="762" t="s">
        <v>20597</v>
      </c>
      <c r="D19" s="764">
        <v>2922.9</v>
      </c>
      <c r="E19" s="762" t="s">
        <v>13441</v>
      </c>
      <c r="F19" s="198" t="s">
        <v>20594</v>
      </c>
      <c r="G19" s="755"/>
      <c r="H19" s="755"/>
    </row>
    <row r="20" spans="1:8" ht="15" x14ac:dyDescent="0.25">
      <c r="A20" s="198" t="s">
        <v>20598</v>
      </c>
      <c r="B20" s="198" t="s">
        <v>20599</v>
      </c>
      <c r="C20" s="762" t="s">
        <v>20600</v>
      </c>
      <c r="D20" s="762">
        <v>528.5</v>
      </c>
      <c r="E20" s="762" t="s">
        <v>13441</v>
      </c>
      <c r="F20" s="198" t="s">
        <v>20594</v>
      </c>
      <c r="G20" s="755"/>
      <c r="H20" s="755"/>
    </row>
    <row r="21" spans="1:8" ht="15" x14ac:dyDescent="0.25">
      <c r="A21" s="198" t="s">
        <v>20601</v>
      </c>
      <c r="B21" s="198" t="s">
        <v>20602</v>
      </c>
      <c r="C21" s="762" t="s">
        <v>20603</v>
      </c>
      <c r="D21" s="762">
        <v>374.6</v>
      </c>
      <c r="E21" s="762" t="s">
        <v>13441</v>
      </c>
      <c r="F21" s="198" t="s">
        <v>20594</v>
      </c>
      <c r="G21" s="755"/>
      <c r="H21" s="755"/>
    </row>
    <row r="22" spans="1:8" ht="15" x14ac:dyDescent="0.25">
      <c r="A22" s="326" t="s">
        <v>20550</v>
      </c>
      <c r="B22" s="326" t="s">
        <v>20463</v>
      </c>
      <c r="C22" s="762"/>
      <c r="D22" s="762"/>
      <c r="E22" s="762"/>
      <c r="F22" s="198"/>
      <c r="G22" s="755"/>
      <c r="H22" s="755"/>
    </row>
    <row r="23" spans="1:8" ht="15" x14ac:dyDescent="0.25">
      <c r="A23" s="198" t="s">
        <v>20604</v>
      </c>
      <c r="B23" s="198" t="s">
        <v>20605</v>
      </c>
      <c r="C23" s="762" t="s">
        <v>20606</v>
      </c>
      <c r="D23" s="762">
        <v>87.33</v>
      </c>
      <c r="E23" s="762" t="s">
        <v>20574</v>
      </c>
      <c r="F23" s="198" t="s">
        <v>20594</v>
      </c>
      <c r="G23" s="755"/>
      <c r="H23" s="755"/>
    </row>
    <row r="24" spans="1:8" ht="15" x14ac:dyDescent="0.25">
      <c r="A24" s="326" t="s">
        <v>20551</v>
      </c>
      <c r="B24" s="326" t="s">
        <v>20464</v>
      </c>
      <c r="C24" s="762"/>
      <c r="D24" s="762"/>
      <c r="E24" s="762"/>
      <c r="F24" s="198"/>
      <c r="G24" s="761"/>
      <c r="H24" s="755"/>
    </row>
    <row r="25" spans="1:8" ht="15" x14ac:dyDescent="0.25">
      <c r="A25" s="198" t="s">
        <v>20607</v>
      </c>
      <c r="B25" s="198" t="s">
        <v>20608</v>
      </c>
      <c r="C25" s="762" t="s">
        <v>20581</v>
      </c>
      <c r="D25" s="762">
        <v>105.02</v>
      </c>
      <c r="E25" s="762" t="s">
        <v>13035</v>
      </c>
      <c r="F25" s="198"/>
      <c r="G25" s="755"/>
      <c r="H25" s="755"/>
    </row>
    <row r="26" spans="1:8" ht="15" x14ac:dyDescent="0.25">
      <c r="A26" s="326" t="s">
        <v>20552</v>
      </c>
      <c r="B26" s="326" t="s">
        <v>20344</v>
      </c>
      <c r="C26" s="762"/>
      <c r="D26" s="762"/>
      <c r="E26" s="762"/>
      <c r="F26" s="198"/>
      <c r="G26" s="755"/>
      <c r="H26" s="755"/>
    </row>
    <row r="27" spans="1:8" ht="15" x14ac:dyDescent="0.25">
      <c r="A27" s="198" t="s">
        <v>20609</v>
      </c>
      <c r="B27" s="198" t="s">
        <v>20610</v>
      </c>
      <c r="C27" s="762">
        <v>293.69</v>
      </c>
      <c r="D27" s="762">
        <v>293.69</v>
      </c>
      <c r="E27" s="762" t="s">
        <v>20570</v>
      </c>
      <c r="F27" s="198" t="s">
        <v>20679</v>
      </c>
      <c r="G27" s="755"/>
      <c r="H27" s="755"/>
    </row>
    <row r="28" spans="1:8" ht="15" x14ac:dyDescent="0.25">
      <c r="A28" s="198" t="s">
        <v>20611</v>
      </c>
      <c r="B28" s="198" t="s">
        <v>20612</v>
      </c>
      <c r="C28" s="762" t="s">
        <v>20613</v>
      </c>
      <c r="D28" s="762">
        <v>293.69</v>
      </c>
      <c r="E28" s="762" t="s">
        <v>20570</v>
      </c>
      <c r="F28" s="198" t="s">
        <v>20679</v>
      </c>
      <c r="G28" s="755"/>
      <c r="H28" s="755"/>
    </row>
    <row r="29" spans="1:8" ht="15" x14ac:dyDescent="0.25">
      <c r="A29" s="326" t="s">
        <v>20562</v>
      </c>
      <c r="B29" s="326" t="s">
        <v>20474</v>
      </c>
      <c r="C29" s="762"/>
      <c r="D29" s="762"/>
      <c r="E29" s="762"/>
      <c r="F29" s="198"/>
      <c r="G29" s="755"/>
      <c r="H29" s="755"/>
    </row>
    <row r="30" spans="1:8" ht="15" x14ac:dyDescent="0.25">
      <c r="A30" s="198" t="s">
        <v>20614</v>
      </c>
      <c r="B30" s="198" t="s">
        <v>20615</v>
      </c>
      <c r="C30" s="762" t="s">
        <v>20616</v>
      </c>
      <c r="D30" s="762">
        <v>245.02</v>
      </c>
      <c r="E30" s="762" t="s">
        <v>20570</v>
      </c>
      <c r="F30" s="198"/>
      <c r="G30" s="755"/>
      <c r="H30" s="755"/>
    </row>
    <row r="31" spans="1:8" ht="15" x14ac:dyDescent="0.25">
      <c r="A31" s="326" t="s">
        <v>12507</v>
      </c>
      <c r="B31" s="326" t="s">
        <v>20485</v>
      </c>
      <c r="C31" s="762"/>
      <c r="D31" s="762"/>
      <c r="E31" s="762"/>
      <c r="F31" s="198"/>
      <c r="G31" s="755"/>
      <c r="H31" s="755"/>
    </row>
    <row r="32" spans="1:8" ht="15" x14ac:dyDescent="0.25">
      <c r="A32" s="326" t="s">
        <v>20553</v>
      </c>
      <c r="B32" s="326" t="s">
        <v>20467</v>
      </c>
      <c r="C32" s="762"/>
      <c r="D32" s="762"/>
      <c r="E32" s="762"/>
      <c r="F32" s="198"/>
      <c r="G32" s="755"/>
      <c r="H32" s="755"/>
    </row>
    <row r="33" spans="1:6" ht="15" x14ac:dyDescent="0.25">
      <c r="A33" s="198" t="s">
        <v>20617</v>
      </c>
      <c r="B33" s="198" t="s">
        <v>20618</v>
      </c>
      <c r="C33" s="762" t="s">
        <v>20619</v>
      </c>
      <c r="D33" s="762">
        <v>55</v>
      </c>
      <c r="E33" s="762" t="s">
        <v>20570</v>
      </c>
      <c r="F33" s="198"/>
    </row>
    <row r="34" spans="1:6" ht="15" x14ac:dyDescent="0.25">
      <c r="A34" s="198" t="s">
        <v>20620</v>
      </c>
      <c r="B34" s="198" t="s">
        <v>20506</v>
      </c>
      <c r="C34" s="762" t="s">
        <v>20621</v>
      </c>
      <c r="D34" s="762">
        <v>26.4</v>
      </c>
      <c r="E34" s="762" t="s">
        <v>20570</v>
      </c>
      <c r="F34" s="198"/>
    </row>
    <row r="35" spans="1:6" ht="15" x14ac:dyDescent="0.25">
      <c r="A35" s="198" t="s">
        <v>20622</v>
      </c>
      <c r="B35" s="198" t="s">
        <v>20507</v>
      </c>
      <c r="C35" s="762" t="s">
        <v>20623</v>
      </c>
      <c r="D35" s="762">
        <v>6</v>
      </c>
      <c r="E35" s="762" t="s">
        <v>20570</v>
      </c>
      <c r="F35" s="198"/>
    </row>
    <row r="36" spans="1:6" ht="15" x14ac:dyDescent="0.25">
      <c r="A36" s="198" t="s">
        <v>20624</v>
      </c>
      <c r="B36" s="198" t="s">
        <v>20508</v>
      </c>
      <c r="C36" s="762" t="s">
        <v>20625</v>
      </c>
      <c r="D36" s="762">
        <v>6.21</v>
      </c>
      <c r="E36" s="762" t="s">
        <v>20570</v>
      </c>
      <c r="F36" s="198"/>
    </row>
    <row r="37" spans="1:6" ht="15" x14ac:dyDescent="0.25">
      <c r="A37" s="198" t="s">
        <v>20626</v>
      </c>
      <c r="B37" s="198" t="s">
        <v>20627</v>
      </c>
      <c r="C37" s="762" t="s">
        <v>20628</v>
      </c>
      <c r="D37" s="762">
        <v>14</v>
      </c>
      <c r="E37" s="762" t="s">
        <v>20570</v>
      </c>
      <c r="F37" s="198"/>
    </row>
    <row r="38" spans="1:6" ht="15" x14ac:dyDescent="0.25">
      <c r="A38" s="198" t="s">
        <v>20629</v>
      </c>
      <c r="B38" s="198" t="s">
        <v>20630</v>
      </c>
      <c r="C38" s="762" t="s">
        <v>20631</v>
      </c>
      <c r="D38" s="762">
        <v>2.88</v>
      </c>
      <c r="E38" s="762" t="s">
        <v>20570</v>
      </c>
      <c r="F38" s="198"/>
    </row>
    <row r="39" spans="1:6" ht="15" x14ac:dyDescent="0.25">
      <c r="A39" s="198" t="s">
        <v>20632</v>
      </c>
      <c r="B39" s="198" t="s">
        <v>20630</v>
      </c>
      <c r="C39" s="762" t="s">
        <v>20633</v>
      </c>
      <c r="D39" s="762">
        <v>1.44</v>
      </c>
      <c r="E39" s="762" t="s">
        <v>20570</v>
      </c>
      <c r="F39" s="198"/>
    </row>
    <row r="40" spans="1:6" ht="15" x14ac:dyDescent="0.25">
      <c r="A40" s="198" t="s">
        <v>20634</v>
      </c>
      <c r="B40" s="198" t="s">
        <v>20635</v>
      </c>
      <c r="C40" s="762" t="s">
        <v>20636</v>
      </c>
      <c r="D40" s="762">
        <v>81.89</v>
      </c>
      <c r="E40" s="762" t="s">
        <v>20570</v>
      </c>
      <c r="F40" s="198"/>
    </row>
    <row r="41" spans="1:6" ht="15" x14ac:dyDescent="0.25">
      <c r="A41" s="326" t="s">
        <v>20554</v>
      </c>
      <c r="B41" s="326" t="s">
        <v>20468</v>
      </c>
      <c r="C41" s="762"/>
      <c r="D41" s="762"/>
      <c r="E41" s="762"/>
      <c r="F41" s="198"/>
    </row>
    <row r="42" spans="1:6" ht="15" x14ac:dyDescent="0.25">
      <c r="A42" s="198" t="s">
        <v>20637</v>
      </c>
      <c r="B42" s="198" t="s">
        <v>20638</v>
      </c>
      <c r="C42" s="762" t="s">
        <v>20639</v>
      </c>
      <c r="D42" s="762">
        <v>136.88999999999999</v>
      </c>
      <c r="E42" s="762" t="s">
        <v>20570</v>
      </c>
      <c r="F42" s="198"/>
    </row>
    <row r="43" spans="1:6" ht="15" x14ac:dyDescent="0.25">
      <c r="A43" s="326" t="s">
        <v>20555</v>
      </c>
      <c r="B43" s="326" t="s">
        <v>20474</v>
      </c>
      <c r="C43" s="762"/>
      <c r="D43" s="762"/>
      <c r="E43" s="762"/>
      <c r="F43" s="198"/>
    </row>
    <row r="44" spans="1:6" ht="15" x14ac:dyDescent="0.25">
      <c r="A44" s="198" t="s">
        <v>20640</v>
      </c>
      <c r="B44" s="198" t="s">
        <v>20641</v>
      </c>
      <c r="C44" s="762" t="s">
        <v>20642</v>
      </c>
      <c r="D44" s="762">
        <v>136.88999999999999</v>
      </c>
      <c r="E44" s="762" t="s">
        <v>20570</v>
      </c>
      <c r="F44" s="198"/>
    </row>
    <row r="45" spans="1:6" ht="15" x14ac:dyDescent="0.25">
      <c r="A45" s="326" t="s">
        <v>20556</v>
      </c>
      <c r="B45" s="326" t="s">
        <v>20469</v>
      </c>
      <c r="C45" s="762"/>
      <c r="D45" s="762"/>
      <c r="E45" s="762"/>
      <c r="F45" s="198"/>
    </row>
    <row r="46" spans="1:6" ht="15" x14ac:dyDescent="0.25">
      <c r="A46" s="198" t="s">
        <v>20643</v>
      </c>
      <c r="B46" s="198" t="s">
        <v>20644</v>
      </c>
      <c r="C46" s="762">
        <v>14</v>
      </c>
      <c r="D46" s="762">
        <v>14</v>
      </c>
      <c r="E46" s="762" t="s">
        <v>13035</v>
      </c>
      <c r="F46" s="198"/>
    </row>
    <row r="47" spans="1:6" ht="15" x14ac:dyDescent="0.25">
      <c r="A47" s="198" t="s">
        <v>20645</v>
      </c>
      <c r="B47" s="198" t="s">
        <v>20646</v>
      </c>
      <c r="C47" s="762">
        <v>173.93</v>
      </c>
      <c r="D47" s="762">
        <v>173.93</v>
      </c>
      <c r="E47" s="762" t="s">
        <v>13035</v>
      </c>
      <c r="F47" s="198"/>
    </row>
    <row r="48" spans="1:6" ht="15" x14ac:dyDescent="0.25">
      <c r="A48" s="198" t="s">
        <v>20647</v>
      </c>
      <c r="B48" s="198" t="s">
        <v>20648</v>
      </c>
      <c r="C48" s="762" t="s">
        <v>20649</v>
      </c>
      <c r="D48" s="762">
        <v>187.93</v>
      </c>
      <c r="E48" s="762" t="s">
        <v>13035</v>
      </c>
      <c r="F48" s="198"/>
    </row>
    <row r="49" spans="1:14" ht="15" x14ac:dyDescent="0.25">
      <c r="A49" s="198" t="s">
        <v>20650</v>
      </c>
      <c r="B49" s="198" t="s">
        <v>20651</v>
      </c>
      <c r="C49" s="762" t="s">
        <v>20652</v>
      </c>
      <c r="D49" s="762">
        <v>10.44</v>
      </c>
      <c r="E49" s="762" t="s">
        <v>20574</v>
      </c>
      <c r="F49" s="198"/>
    </row>
    <row r="50" spans="1:14" ht="15" x14ac:dyDescent="0.25">
      <c r="A50" s="198" t="s">
        <v>20653</v>
      </c>
      <c r="B50" s="198" t="s">
        <v>20654</v>
      </c>
      <c r="C50" s="762" t="s">
        <v>20655</v>
      </c>
      <c r="D50" s="762">
        <v>274.81</v>
      </c>
      <c r="E50" s="762" t="s">
        <v>13441</v>
      </c>
      <c r="F50" s="198"/>
    </row>
    <row r="51" spans="1:14" ht="15" x14ac:dyDescent="0.25">
      <c r="A51" s="198" t="s">
        <v>20656</v>
      </c>
      <c r="B51" s="198" t="s">
        <v>20657</v>
      </c>
      <c r="C51" s="762" t="s">
        <v>20658</v>
      </c>
      <c r="D51" s="762">
        <v>104.36</v>
      </c>
      <c r="E51" s="762" t="s">
        <v>20570</v>
      </c>
      <c r="F51" s="198"/>
    </row>
    <row r="52" spans="1:14" ht="15" x14ac:dyDescent="0.25">
      <c r="A52" s="198" t="s">
        <v>20659</v>
      </c>
      <c r="B52" s="198" t="s">
        <v>20660</v>
      </c>
      <c r="C52" s="762" t="s">
        <v>20661</v>
      </c>
      <c r="D52" s="762">
        <v>140</v>
      </c>
      <c r="E52" s="762" t="s">
        <v>13035</v>
      </c>
      <c r="F52" s="198"/>
      <c r="N52" s="198"/>
    </row>
    <row r="53" spans="1:14" ht="15.75" thickBot="1" x14ac:dyDescent="0.3">
      <c r="N53" s="198"/>
    </row>
    <row r="54" spans="1:14" ht="15" x14ac:dyDescent="0.25">
      <c r="A54" s="765" t="s">
        <v>20509</v>
      </c>
      <c r="B54" s="766"/>
      <c r="C54" s="767"/>
      <c r="D54" s="766"/>
      <c r="E54" s="766"/>
      <c r="F54" s="768"/>
      <c r="G54" s="755"/>
      <c r="H54" s="755"/>
      <c r="N54" s="198"/>
    </row>
    <row r="55" spans="1:14" ht="15" x14ac:dyDescent="0.25">
      <c r="A55" s="769" t="s">
        <v>20510</v>
      </c>
      <c r="B55" s="755">
        <v>1279.7</v>
      </c>
      <c r="C55" s="756" t="s">
        <v>20502</v>
      </c>
      <c r="D55" s="755">
        <v>0.15</v>
      </c>
      <c r="E55" s="755">
        <f>+B55*D55</f>
        <v>191.95500000000001</v>
      </c>
      <c r="F55" s="770" t="s">
        <v>13975</v>
      </c>
      <c r="G55" s="755" t="s">
        <v>20505</v>
      </c>
      <c r="H55" s="755"/>
      <c r="N55" s="198"/>
    </row>
    <row r="56" spans="1:14" ht="15" x14ac:dyDescent="0.25">
      <c r="A56" s="769" t="s">
        <v>20511</v>
      </c>
      <c r="B56" s="755">
        <f>+E55</f>
        <v>191.95500000000001</v>
      </c>
      <c r="C56" s="756" t="s">
        <v>20502</v>
      </c>
      <c r="D56" s="755">
        <v>3.5</v>
      </c>
      <c r="E56" s="755">
        <f>+B56*D56</f>
        <v>671.84250000000009</v>
      </c>
      <c r="F56" s="770" t="s">
        <v>20503</v>
      </c>
      <c r="G56" s="755"/>
      <c r="H56" s="755"/>
      <c r="N56" s="198"/>
    </row>
    <row r="57" spans="1:14" ht="15" x14ac:dyDescent="0.25">
      <c r="A57" s="769" t="s">
        <v>20512</v>
      </c>
      <c r="B57" s="755">
        <f>+B55</f>
        <v>1279.7</v>
      </c>
      <c r="C57" s="756" t="s">
        <v>20502</v>
      </c>
      <c r="D57" s="755">
        <v>0.15</v>
      </c>
      <c r="E57" s="755">
        <f>+B57*D57</f>
        <v>191.95500000000001</v>
      </c>
      <c r="F57" s="770" t="s">
        <v>13975</v>
      </c>
      <c r="G57" s="755"/>
      <c r="H57" s="755"/>
      <c r="N57" s="198"/>
    </row>
    <row r="58" spans="1:14" ht="15" x14ac:dyDescent="0.25">
      <c r="A58" s="769" t="s">
        <v>20513</v>
      </c>
      <c r="B58" s="755">
        <f>+B55</f>
        <v>1279.7</v>
      </c>
      <c r="C58" s="756" t="s">
        <v>20502</v>
      </c>
      <c r="D58" s="755">
        <v>0.05</v>
      </c>
      <c r="E58" s="755">
        <f t="shared" ref="E58:E59" si="0">+B58*D58</f>
        <v>63.985000000000007</v>
      </c>
      <c r="F58" s="770" t="s">
        <v>13975</v>
      </c>
      <c r="G58" s="755"/>
      <c r="H58" s="755"/>
      <c r="N58" s="198"/>
    </row>
    <row r="59" spans="1:14" ht="15" x14ac:dyDescent="0.25">
      <c r="A59" s="769" t="s">
        <v>20514</v>
      </c>
      <c r="B59" s="755">
        <f>+B58</f>
        <v>1279.7</v>
      </c>
      <c r="C59" s="756" t="s">
        <v>20502</v>
      </c>
      <c r="D59" s="755">
        <v>0.08</v>
      </c>
      <c r="E59" s="755">
        <f t="shared" si="0"/>
        <v>102.376</v>
      </c>
      <c r="F59" s="770" t="s">
        <v>13975</v>
      </c>
      <c r="G59" s="755"/>
      <c r="H59" s="755"/>
      <c r="N59" s="198"/>
    </row>
    <row r="60" spans="1:14" ht="15" x14ac:dyDescent="0.25">
      <c r="A60" s="769" t="s">
        <v>20515</v>
      </c>
      <c r="B60" s="755">
        <v>1279.7</v>
      </c>
      <c r="C60" s="756" t="s">
        <v>13186</v>
      </c>
      <c r="D60" s="755"/>
      <c r="E60" s="755"/>
      <c r="F60" s="770"/>
      <c r="G60" s="755" t="s">
        <v>20505</v>
      </c>
      <c r="H60" s="755"/>
      <c r="N60" s="198"/>
    </row>
    <row r="61" spans="1:14" ht="15" x14ac:dyDescent="0.25">
      <c r="A61" s="769" t="s">
        <v>20516</v>
      </c>
      <c r="B61" s="755">
        <v>34.380000000000003</v>
      </c>
      <c r="C61" s="756" t="s">
        <v>13186</v>
      </c>
      <c r="D61" s="755"/>
      <c r="E61" s="755"/>
      <c r="F61" s="770"/>
      <c r="G61" s="755" t="s">
        <v>20505</v>
      </c>
      <c r="H61" s="755"/>
      <c r="N61" s="198"/>
    </row>
    <row r="62" spans="1:14" ht="15" x14ac:dyDescent="0.25">
      <c r="A62" s="771" t="s">
        <v>20517</v>
      </c>
      <c r="B62" s="755"/>
      <c r="C62" s="756"/>
      <c r="D62" s="755"/>
      <c r="E62" s="755"/>
      <c r="F62" s="770"/>
      <c r="G62" s="755"/>
      <c r="H62" s="755"/>
      <c r="N62" s="198"/>
    </row>
    <row r="63" spans="1:14" ht="15" x14ac:dyDescent="0.25">
      <c r="A63" s="769" t="s">
        <v>20518</v>
      </c>
      <c r="B63" s="755">
        <f>1.09+0.45+15.63+0.45+1.28</f>
        <v>18.900000000000002</v>
      </c>
      <c r="C63" s="756" t="s">
        <v>13186</v>
      </c>
      <c r="D63" s="755"/>
      <c r="E63" s="755"/>
      <c r="F63" s="770"/>
      <c r="G63" s="755" t="s">
        <v>20505</v>
      </c>
      <c r="H63" s="755" t="s">
        <v>20539</v>
      </c>
      <c r="N63" s="198"/>
    </row>
    <row r="64" spans="1:14" ht="15" x14ac:dyDescent="0.25">
      <c r="A64" s="769" t="s">
        <v>20518</v>
      </c>
      <c r="B64" s="755">
        <f>0.36+8.71+2.15+0.81</f>
        <v>12.030000000000001</v>
      </c>
      <c r="C64" s="756" t="s">
        <v>13186</v>
      </c>
      <c r="D64" s="755"/>
      <c r="E64" s="755"/>
      <c r="F64" s="770"/>
      <c r="G64" s="755" t="s">
        <v>20505</v>
      </c>
      <c r="H64" s="755" t="s">
        <v>20540</v>
      </c>
      <c r="N64" s="198"/>
    </row>
    <row r="65" spans="1:14" ht="15" x14ac:dyDescent="0.25">
      <c r="A65" s="769" t="s">
        <v>20519</v>
      </c>
      <c r="B65" s="755">
        <f>+B63*0.05</f>
        <v>0.94500000000000017</v>
      </c>
      <c r="C65" s="756" t="s">
        <v>13975</v>
      </c>
      <c r="D65" s="755"/>
      <c r="E65" s="755"/>
      <c r="F65" s="770"/>
      <c r="G65" s="755" t="s">
        <v>20505</v>
      </c>
      <c r="H65" s="755"/>
      <c r="N65" s="198"/>
    </row>
    <row r="66" spans="1:14" ht="15" x14ac:dyDescent="0.25">
      <c r="A66" s="769" t="s">
        <v>20520</v>
      </c>
      <c r="B66" s="755">
        <f>205.71+29.33+44.92+15.64+17.54+46.6+11.33+8.15+2.57+15.64+2.33+3.78+14.29</f>
        <v>417.83</v>
      </c>
      <c r="C66" s="756" t="s">
        <v>13186</v>
      </c>
      <c r="D66" s="755"/>
      <c r="E66" s="755"/>
      <c r="F66" s="770"/>
      <c r="G66" s="755" t="s">
        <v>20505</v>
      </c>
      <c r="H66" s="755"/>
      <c r="N66" s="198"/>
    </row>
    <row r="67" spans="1:14" ht="15" x14ac:dyDescent="0.25">
      <c r="A67" s="769" t="s">
        <v>20521</v>
      </c>
      <c r="B67" s="755">
        <f>+B66*0.05</f>
        <v>20.891500000000001</v>
      </c>
      <c r="C67" s="756" t="s">
        <v>13975</v>
      </c>
      <c r="D67" s="755"/>
      <c r="E67" s="755"/>
      <c r="F67" s="770"/>
      <c r="G67" s="755" t="s">
        <v>20505</v>
      </c>
      <c r="H67" s="755"/>
      <c r="N67" s="198"/>
    </row>
    <row r="68" spans="1:14" ht="15" x14ac:dyDescent="0.25">
      <c r="A68" s="769" t="s">
        <v>20511</v>
      </c>
      <c r="B68" s="755">
        <f>+B67</f>
        <v>20.891500000000001</v>
      </c>
      <c r="C68" s="756" t="s">
        <v>20502</v>
      </c>
      <c r="D68" s="755">
        <v>3.5</v>
      </c>
      <c r="E68" s="755">
        <f>+B68*D68</f>
        <v>73.120249999999999</v>
      </c>
      <c r="F68" s="770" t="s">
        <v>20503</v>
      </c>
      <c r="G68" s="755"/>
      <c r="H68" s="755"/>
      <c r="N68" s="198"/>
    </row>
    <row r="69" spans="1:14" ht="15" x14ac:dyDescent="0.25">
      <c r="A69" s="769"/>
      <c r="B69" s="755"/>
      <c r="C69" s="756"/>
      <c r="D69" s="755"/>
      <c r="E69" s="755"/>
      <c r="F69" s="770"/>
      <c r="G69" s="755"/>
      <c r="H69" s="755"/>
      <c r="N69" s="198"/>
    </row>
    <row r="70" spans="1:14" x14ac:dyDescent="0.25">
      <c r="A70" s="771" t="s">
        <v>20522</v>
      </c>
      <c r="B70" s="758" t="s">
        <v>20523</v>
      </c>
      <c r="C70" s="758"/>
      <c r="D70" s="758" t="s">
        <v>20524</v>
      </c>
      <c r="E70" s="755"/>
      <c r="F70" s="770"/>
      <c r="G70" s="755"/>
      <c r="H70" s="755"/>
    </row>
    <row r="71" spans="1:14" x14ac:dyDescent="0.25">
      <c r="A71" s="772" t="s">
        <v>20525</v>
      </c>
      <c r="B71" s="755">
        <f>28+5.11+7.71+12.9+3.38+0.89+10.6+12.91+19.24+0.26</f>
        <v>101</v>
      </c>
      <c r="C71" s="756" t="s">
        <v>13035</v>
      </c>
      <c r="D71" s="755">
        <f>4.8+4.8+3.61</f>
        <v>13.209999999999999</v>
      </c>
      <c r="E71" s="755" t="s">
        <v>13035</v>
      </c>
      <c r="F71" s="770"/>
      <c r="G71" s="759"/>
      <c r="H71" s="755"/>
    </row>
    <row r="72" spans="1:14" x14ac:dyDescent="0.25">
      <c r="A72" s="773" t="s">
        <v>20526</v>
      </c>
      <c r="B72" s="755">
        <f>6.08+13.48+28.48+5.05+3.64+7.98+15.97+19.18+26+0.14</f>
        <v>126.00000000000001</v>
      </c>
      <c r="C72" s="756" t="s">
        <v>13035</v>
      </c>
      <c r="D72" s="755"/>
      <c r="E72" s="755"/>
      <c r="F72" s="770"/>
      <c r="G72" s="755"/>
      <c r="H72" s="755"/>
    </row>
    <row r="73" spans="1:14" x14ac:dyDescent="0.25">
      <c r="A73" s="774" t="s">
        <v>20527</v>
      </c>
      <c r="B73" s="755">
        <f>0.64+0.64+14.9+1.9+0.72+0.72+1.9+0.7+0.7+4.5+0.68</f>
        <v>27.999999999999993</v>
      </c>
      <c r="C73" s="756" t="s">
        <v>13035</v>
      </c>
      <c r="D73" s="755"/>
      <c r="E73" s="755"/>
      <c r="F73" s="770"/>
      <c r="G73" s="755"/>
      <c r="H73" s="755"/>
    </row>
    <row r="74" spans="1:14" x14ac:dyDescent="0.25">
      <c r="A74" s="769"/>
      <c r="B74" s="755"/>
      <c r="C74" s="756"/>
      <c r="D74" s="755"/>
      <c r="E74" s="755"/>
      <c r="F74" s="770"/>
      <c r="G74" s="755"/>
      <c r="H74" s="755"/>
    </row>
    <row r="75" spans="1:14" x14ac:dyDescent="0.25">
      <c r="A75" s="771" t="s">
        <v>20528</v>
      </c>
      <c r="B75" s="755"/>
      <c r="C75" s="756"/>
      <c r="D75" s="755"/>
      <c r="E75" s="755"/>
      <c r="F75" s="770"/>
      <c r="G75" s="755"/>
      <c r="H75" s="755"/>
    </row>
    <row r="76" spans="1:14" x14ac:dyDescent="0.25">
      <c r="A76" s="769" t="s">
        <v>20529</v>
      </c>
      <c r="B76" s="755">
        <v>2.2000000000000002</v>
      </c>
      <c r="C76" s="756" t="s">
        <v>20502</v>
      </c>
      <c r="D76" s="755">
        <v>5</v>
      </c>
      <c r="E76" s="755">
        <f>+B76*D76</f>
        <v>11</v>
      </c>
      <c r="F76" s="770" t="s">
        <v>13186</v>
      </c>
      <c r="G76" s="755"/>
      <c r="H76" s="755"/>
    </row>
    <row r="77" spans="1:14" x14ac:dyDescent="0.25">
      <c r="A77" s="769"/>
      <c r="B77" s="755"/>
      <c r="C77" s="756"/>
      <c r="D77" s="755"/>
      <c r="E77" s="755"/>
      <c r="F77" s="770"/>
      <c r="G77" s="755"/>
      <c r="H77" s="755"/>
    </row>
    <row r="78" spans="1:14" x14ac:dyDescent="0.25">
      <c r="A78" s="771" t="s">
        <v>20530</v>
      </c>
      <c r="B78" s="755"/>
      <c r="C78" s="756"/>
      <c r="D78" s="755"/>
      <c r="E78" s="755"/>
      <c r="F78" s="770"/>
      <c r="G78" s="755"/>
      <c r="H78" s="755"/>
    </row>
    <row r="79" spans="1:14" x14ac:dyDescent="0.25">
      <c r="A79" s="769" t="s">
        <v>20531</v>
      </c>
      <c r="B79" s="755">
        <f>1670.15+183.15</f>
        <v>1853.3000000000002</v>
      </c>
      <c r="C79" s="756" t="s">
        <v>13186</v>
      </c>
      <c r="D79" s="755" t="s">
        <v>20532</v>
      </c>
      <c r="E79" s="755"/>
      <c r="F79" s="770"/>
      <c r="G79" s="755"/>
      <c r="H79" s="755"/>
    </row>
    <row r="80" spans="1:14" x14ac:dyDescent="0.25">
      <c r="A80" s="769"/>
      <c r="B80" s="755">
        <f>3.32+3.332+22.78+26.77+69.28+88.13+9.08+9.76+10.88</f>
        <v>243.33199999999999</v>
      </c>
      <c r="C80" s="756" t="s">
        <v>13186</v>
      </c>
      <c r="D80" s="755" t="s">
        <v>20533</v>
      </c>
      <c r="E80" s="755"/>
      <c r="F80" s="770"/>
      <c r="G80" s="755"/>
      <c r="H80" s="755"/>
    </row>
    <row r="81" spans="1:8" x14ac:dyDescent="0.25">
      <c r="A81" s="769"/>
      <c r="B81" s="757">
        <f>SUM(B79:B80)</f>
        <v>2096.6320000000001</v>
      </c>
      <c r="C81" s="760" t="s">
        <v>13186</v>
      </c>
      <c r="D81" s="755"/>
      <c r="E81" s="755"/>
      <c r="F81" s="770"/>
      <c r="G81" s="755"/>
      <c r="H81" s="755"/>
    </row>
    <row r="82" spans="1:8" x14ac:dyDescent="0.25">
      <c r="A82" s="769" t="s">
        <v>20534</v>
      </c>
      <c r="B82" s="755">
        <v>3.6</v>
      </c>
      <c r="C82" s="756" t="s">
        <v>20502</v>
      </c>
      <c r="D82" s="755">
        <v>5</v>
      </c>
      <c r="E82" s="757">
        <f>+B82*D82</f>
        <v>18</v>
      </c>
      <c r="F82" s="775" t="s">
        <v>13035</v>
      </c>
      <c r="G82" s="755"/>
      <c r="H82" s="755"/>
    </row>
    <row r="83" spans="1:8" x14ac:dyDescent="0.25">
      <c r="A83" s="771" t="s">
        <v>20535</v>
      </c>
      <c r="B83" s="755"/>
      <c r="C83" s="756"/>
      <c r="D83" s="755"/>
      <c r="E83" s="755"/>
      <c r="F83" s="770"/>
      <c r="G83" s="755"/>
      <c r="H83" s="755"/>
    </row>
    <row r="84" spans="1:8" x14ac:dyDescent="0.25">
      <c r="A84" s="769" t="s">
        <v>20536</v>
      </c>
      <c r="B84" s="755">
        <v>11</v>
      </c>
      <c r="C84" s="756" t="s">
        <v>20502</v>
      </c>
      <c r="D84" s="755">
        <v>5</v>
      </c>
      <c r="E84" s="755">
        <f>+B84*D84</f>
        <v>55</v>
      </c>
      <c r="F84" s="770" t="s">
        <v>13035</v>
      </c>
      <c r="G84" s="755"/>
      <c r="H84" s="755"/>
    </row>
    <row r="85" spans="1:8" x14ac:dyDescent="0.25">
      <c r="A85" s="769" t="s">
        <v>20537</v>
      </c>
      <c r="B85" s="755">
        <v>7</v>
      </c>
      <c r="C85" s="756" t="s">
        <v>20502</v>
      </c>
      <c r="D85" s="755">
        <v>5</v>
      </c>
      <c r="E85" s="755">
        <f t="shared" ref="E85:E86" si="1">+B85*D85</f>
        <v>35</v>
      </c>
      <c r="F85" s="770" t="s">
        <v>13035</v>
      </c>
      <c r="G85" s="755"/>
      <c r="H85" s="755"/>
    </row>
    <row r="86" spans="1:8" x14ac:dyDescent="0.25">
      <c r="A86" s="769" t="s">
        <v>20538</v>
      </c>
      <c r="B86" s="755">
        <v>4</v>
      </c>
      <c r="C86" s="756" t="s">
        <v>20502</v>
      </c>
      <c r="D86" s="755">
        <v>2</v>
      </c>
      <c r="E86" s="755">
        <f t="shared" si="1"/>
        <v>8</v>
      </c>
      <c r="F86" s="770" t="s">
        <v>13035</v>
      </c>
      <c r="G86" s="755"/>
      <c r="H86" s="755"/>
    </row>
    <row r="87" spans="1:8" ht="13.5" thickBot="1" x14ac:dyDescent="0.3">
      <c r="A87" s="776"/>
      <c r="B87" s="777"/>
      <c r="C87" s="778"/>
      <c r="D87" s="777"/>
      <c r="E87" s="779">
        <f>SUM(E84:E86)</f>
        <v>98</v>
      </c>
      <c r="F87" s="780" t="s">
        <v>13035</v>
      </c>
      <c r="G87" s="755"/>
      <c r="H87" s="755"/>
    </row>
    <row r="88" spans="1:8" x14ac:dyDescent="0.25">
      <c r="A88" s="755"/>
      <c r="B88" s="755"/>
      <c r="C88" s="756"/>
      <c r="D88" s="755"/>
      <c r="E88" s="757"/>
      <c r="F88" s="757"/>
      <c r="G88" s="755"/>
      <c r="H88" s="755"/>
    </row>
    <row r="89" spans="1:8" x14ac:dyDescent="0.25">
      <c r="A89" s="755"/>
      <c r="B89" s="755"/>
      <c r="C89" s="756"/>
      <c r="D89" s="755"/>
      <c r="E89" s="757"/>
      <c r="F89" s="757"/>
      <c r="G89" s="755"/>
      <c r="H89" s="755"/>
    </row>
    <row r="90" spans="1:8" ht="15" x14ac:dyDescent="0.25">
      <c r="A90" s="212" t="s">
        <v>494</v>
      </c>
      <c r="B90" s="212" t="s">
        <v>12637</v>
      </c>
      <c r="C90" s="763" t="s">
        <v>20563</v>
      </c>
      <c r="D90" s="763" t="s">
        <v>13766</v>
      </c>
      <c r="E90" s="763" t="s">
        <v>20566</v>
      </c>
      <c r="F90" s="212" t="s">
        <v>498</v>
      </c>
    </row>
    <row r="91" spans="1:8" ht="15" x14ac:dyDescent="0.25">
      <c r="A91" s="326" t="s">
        <v>20565</v>
      </c>
      <c r="B91" s="198"/>
      <c r="C91" s="762"/>
      <c r="D91" s="762"/>
      <c r="E91" s="762"/>
    </row>
    <row r="92" spans="1:8" ht="15" x14ac:dyDescent="0.25">
      <c r="A92" s="326" t="s">
        <v>20662</v>
      </c>
      <c r="B92" s="326" t="s">
        <v>20561</v>
      </c>
      <c r="C92" s="762"/>
      <c r="D92" s="762"/>
      <c r="E92" s="762"/>
    </row>
    <row r="93" spans="1:8" ht="15" x14ac:dyDescent="0.25">
      <c r="A93" s="326" t="s">
        <v>20557</v>
      </c>
      <c r="B93" s="326" t="s">
        <v>20498</v>
      </c>
      <c r="C93" s="762"/>
      <c r="D93" s="762"/>
      <c r="E93" s="762"/>
    </row>
    <row r="94" spans="1:8" ht="15" x14ac:dyDescent="0.25">
      <c r="A94" s="198" t="s">
        <v>20663</v>
      </c>
      <c r="B94" s="198" t="s">
        <v>20664</v>
      </c>
      <c r="C94" s="762">
        <v>1</v>
      </c>
      <c r="D94" s="762">
        <v>1</v>
      </c>
      <c r="E94" s="762" t="s">
        <v>12667</v>
      </c>
    </row>
    <row r="95" spans="1:8" ht="15" x14ac:dyDescent="0.25">
      <c r="A95" s="198" t="s">
        <v>20665</v>
      </c>
      <c r="B95" s="198" t="s">
        <v>20666</v>
      </c>
      <c r="C95" s="762" t="s">
        <v>20680</v>
      </c>
      <c r="D95" s="762">
        <v>7.66</v>
      </c>
      <c r="E95" s="762" t="s">
        <v>20574</v>
      </c>
    </row>
    <row r="96" spans="1:8" ht="15" x14ac:dyDescent="0.25">
      <c r="A96" s="198" t="s">
        <v>20667</v>
      </c>
      <c r="B96" s="198" t="s">
        <v>20668</v>
      </c>
      <c r="C96" s="762" t="s">
        <v>20680</v>
      </c>
      <c r="D96" s="762">
        <v>2.88</v>
      </c>
      <c r="E96" s="762" t="s">
        <v>20574</v>
      </c>
    </row>
    <row r="97" spans="1:5" ht="15" x14ac:dyDescent="0.25">
      <c r="A97" s="198" t="s">
        <v>20669</v>
      </c>
      <c r="B97" s="198" t="s">
        <v>20636</v>
      </c>
      <c r="C97" s="762" t="s">
        <v>20680</v>
      </c>
      <c r="D97" s="762">
        <v>4.7699999999999996</v>
      </c>
      <c r="E97" s="762" t="s">
        <v>20574</v>
      </c>
    </row>
    <row r="98" spans="1:5" ht="15" x14ac:dyDescent="0.25">
      <c r="A98" s="326" t="s">
        <v>20560</v>
      </c>
      <c r="B98" s="326" t="s">
        <v>20499</v>
      </c>
      <c r="C98" s="762"/>
      <c r="D98" s="762"/>
      <c r="E98" s="762"/>
    </row>
    <row r="99" spans="1:5" ht="15" x14ac:dyDescent="0.25">
      <c r="A99" s="198" t="s">
        <v>20670</v>
      </c>
      <c r="B99" s="198" t="s">
        <v>20671</v>
      </c>
      <c r="C99" s="762">
        <v>1</v>
      </c>
      <c r="D99" s="762">
        <v>1</v>
      </c>
      <c r="E99" s="762" t="s">
        <v>12667</v>
      </c>
    </row>
    <row r="100" spans="1:5" ht="15" x14ac:dyDescent="0.25">
      <c r="A100" s="198" t="s">
        <v>20672</v>
      </c>
      <c r="B100" s="198" t="s">
        <v>20666</v>
      </c>
      <c r="C100" s="762" t="s">
        <v>20680</v>
      </c>
      <c r="D100" s="762">
        <v>29.96</v>
      </c>
      <c r="E100" s="762" t="s">
        <v>20574</v>
      </c>
    </row>
    <row r="101" spans="1:5" ht="15" x14ac:dyDescent="0.25">
      <c r="A101" s="198" t="s">
        <v>20673</v>
      </c>
      <c r="B101" s="198" t="s">
        <v>20668</v>
      </c>
      <c r="C101" s="762" t="s">
        <v>20680</v>
      </c>
      <c r="D101" s="762">
        <v>6.64</v>
      </c>
      <c r="E101" s="762" t="s">
        <v>20574</v>
      </c>
    </row>
    <row r="102" spans="1:5" ht="15" x14ac:dyDescent="0.25">
      <c r="A102" s="326" t="s">
        <v>20559</v>
      </c>
      <c r="B102" s="326" t="s">
        <v>20674</v>
      </c>
      <c r="C102" s="762"/>
      <c r="D102" s="762"/>
      <c r="E102" s="762"/>
    </row>
    <row r="103" spans="1:5" ht="15" x14ac:dyDescent="0.25">
      <c r="A103" s="198" t="s">
        <v>20675</v>
      </c>
      <c r="B103" s="198" t="s">
        <v>20676</v>
      </c>
      <c r="C103" s="762">
        <v>1</v>
      </c>
      <c r="D103" s="762">
        <v>1</v>
      </c>
      <c r="E103" s="762" t="s">
        <v>12667</v>
      </c>
    </row>
    <row r="104" spans="1:5" ht="15" x14ac:dyDescent="0.25">
      <c r="A104" s="198" t="s">
        <v>20677</v>
      </c>
      <c r="B104" s="198" t="s">
        <v>20666</v>
      </c>
      <c r="C104" s="762" t="s">
        <v>20680</v>
      </c>
      <c r="D104" s="762">
        <v>7.97</v>
      </c>
      <c r="E104" s="762" t="s">
        <v>20574</v>
      </c>
    </row>
    <row r="105" spans="1:5" ht="15" x14ac:dyDescent="0.25">
      <c r="A105" s="198" t="s">
        <v>20678</v>
      </c>
      <c r="B105" s="198" t="s">
        <v>20668</v>
      </c>
      <c r="C105" s="762" t="s">
        <v>20680</v>
      </c>
      <c r="D105" s="762">
        <v>3.09</v>
      </c>
      <c r="E105" s="762" t="s">
        <v>20574</v>
      </c>
    </row>
  </sheetData>
  <mergeCells count="1">
    <mergeCell ref="A1:F1"/>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I829"/>
  <sheetViews>
    <sheetView tabSelected="1" view="pageBreakPreview" topLeftCell="C1" zoomScaleNormal="100" workbookViewId="0">
      <selection activeCell="I13" sqref="I13"/>
    </sheetView>
  </sheetViews>
  <sheetFormatPr defaultColWidth="14.42578125" defaultRowHeight="15" x14ac:dyDescent="0.25"/>
  <cols>
    <col min="1" max="1" width="4" style="217" bestFit="1" customWidth="1"/>
    <col min="2" max="2" width="10.5703125" style="217" customWidth="1"/>
    <col min="3" max="3" width="14.7109375" style="217" bestFit="1" customWidth="1"/>
    <col min="4" max="4" width="101.5703125" style="217" bestFit="1" customWidth="1"/>
    <col min="5" max="5" width="13" style="217" customWidth="1"/>
    <col min="6" max="6" width="16.42578125" style="217" customWidth="1"/>
    <col min="7" max="7" width="13.42578125" style="217" hidden="1" customWidth="1"/>
    <col min="8" max="8" width="16.85546875" style="217" hidden="1" customWidth="1"/>
    <col min="9" max="9" width="18.5703125" style="217" customWidth="1"/>
    <col min="10" max="10" width="13.42578125" style="217" hidden="1" customWidth="1"/>
    <col min="11" max="11" width="16.85546875" style="217" hidden="1" customWidth="1"/>
    <col min="12" max="12" width="16.140625" style="217" bestFit="1" customWidth="1"/>
    <col min="13" max="13" width="19.85546875" style="217" bestFit="1" customWidth="1"/>
    <col min="14" max="14" width="17.85546875" style="217" bestFit="1" customWidth="1"/>
    <col min="15" max="15" width="10.140625" style="217" bestFit="1" customWidth="1"/>
  </cols>
  <sheetData>
    <row r="1" spans="1:15" x14ac:dyDescent="0.25">
      <c r="A1" s="218">
        <v>1</v>
      </c>
      <c r="B1" s="218"/>
      <c r="C1" s="222"/>
      <c r="D1" s="223"/>
      <c r="E1" s="224" t="s">
        <v>12609</v>
      </c>
      <c r="F1" s="225"/>
      <c r="G1" s="225"/>
      <c r="H1" s="225"/>
      <c r="I1" s="225"/>
      <c r="J1" s="225"/>
      <c r="K1" s="226"/>
      <c r="L1" s="226"/>
      <c r="M1" s="226"/>
      <c r="N1" s="226"/>
      <c r="O1" s="226"/>
    </row>
    <row r="2" spans="1:15" x14ac:dyDescent="0.25">
      <c r="A2" s="232">
        <f t="shared" ref="A2:A8" si="0">1+A1</f>
        <v>2</v>
      </c>
      <c r="B2" s="232"/>
      <c r="C2" s="222"/>
      <c r="D2" s="234" t="s">
        <v>11883</v>
      </c>
      <c r="E2" s="219"/>
      <c r="F2" s="235"/>
      <c r="G2" s="236"/>
      <c r="H2" s="236"/>
      <c r="I2" s="236"/>
      <c r="L2" s="237"/>
      <c r="M2" s="236" t="s">
        <v>11884</v>
      </c>
      <c r="N2" s="237" t="str">
        <f>IF('FOLHA FECHAMENTO'!K12&lt;&gt;"",'FOLHA FECHAMENTO'!K12," ")</f>
        <v xml:space="preserve"> </v>
      </c>
      <c r="O2" s="237"/>
    </row>
    <row r="3" spans="1:15" x14ac:dyDescent="0.25">
      <c r="A3" s="232">
        <f t="shared" si="0"/>
        <v>3</v>
      </c>
      <c r="B3" s="232"/>
      <c r="C3" s="222"/>
      <c r="D3" s="234" t="s">
        <v>11885</v>
      </c>
      <c r="E3" s="239" t="s">
        <v>450</v>
      </c>
      <c r="F3" s="237" t="s">
        <v>17</v>
      </c>
      <c r="L3" s="240"/>
      <c r="M3" s="236" t="s">
        <v>453</v>
      </c>
      <c r="N3" s="240" t="str">
        <f>IF(DADOS!M12&lt;&gt;"",DADOS!M12," ")</f>
        <v>SESA</v>
      </c>
      <c r="O3" s="240"/>
    </row>
    <row r="4" spans="1:15" x14ac:dyDescent="0.25">
      <c r="A4" s="232">
        <f t="shared" si="0"/>
        <v>4</v>
      </c>
      <c r="B4" s="232"/>
      <c r="C4" s="222"/>
      <c r="D4" s="234"/>
      <c r="E4" s="239" t="s">
        <v>11887</v>
      </c>
      <c r="F4" s="242" t="s">
        <v>438</v>
      </c>
      <c r="G4" s="369"/>
      <c r="H4" s="369"/>
      <c r="I4" s="243"/>
      <c r="L4" s="244"/>
      <c r="M4" s="236" t="s">
        <v>448</v>
      </c>
      <c r="N4" s="240" t="str">
        <f>IF('FOLHA FECHAMENTO'!K10&lt;&gt;"",'FOLHA FECHAMENTO'!K10," ")</f>
        <v>CONSTRUÇÃO</v>
      </c>
      <c r="O4" s="244"/>
    </row>
    <row r="5" spans="1:15" x14ac:dyDescent="0.25">
      <c r="A5" s="232">
        <f t="shared" si="0"/>
        <v>5</v>
      </c>
      <c r="B5" s="232"/>
      <c r="C5" s="222"/>
      <c r="D5" s="245" t="s">
        <v>11889</v>
      </c>
      <c r="E5" s="246" t="s">
        <v>11890</v>
      </c>
      <c r="F5" s="370"/>
      <c r="H5" s="370"/>
      <c r="I5" s="247" t="str">
        <f>IF('FOLHA FECHAMENTO'!C15&lt;&gt;"",'FOLHA FECHAMENTO'!C15," ")</f>
        <v>REV00</v>
      </c>
      <c r="L5" s="249"/>
      <c r="M5" s="248" t="s">
        <v>11891</v>
      </c>
      <c r="N5" s="249">
        <f>IF(DADOS!D30&lt;&gt;"",DADOS!D30," ")</f>
        <v>1720261230534</v>
      </c>
      <c r="O5" s="249"/>
    </row>
    <row r="6" spans="1:15" x14ac:dyDescent="0.25">
      <c r="A6" s="232">
        <f t="shared" si="0"/>
        <v>6</v>
      </c>
      <c r="B6" s="232"/>
      <c r="C6" s="222"/>
      <c r="D6" s="258" t="str">
        <f>IF(DADOS!D12&lt;&gt;"",DADOS!D12," ")</f>
        <v xml:space="preserve">PRONTO ATENDIMENTO MUNICIPAL </v>
      </c>
      <c r="E6" s="244" t="s">
        <v>461</v>
      </c>
      <c r="F6" s="369"/>
      <c r="H6" s="369"/>
      <c r="I6" s="259" t="str">
        <f>IF(DADOS!D24&lt;&gt;"",DADOS!D24," ")</f>
        <v>Erick William da Silva Damaceno</v>
      </c>
      <c r="L6" s="259"/>
      <c r="M6" s="260" t="s">
        <v>11893</v>
      </c>
      <c r="N6" s="242" t="str">
        <f>IF(DADOS!D28&lt;&gt;"",DADOS!D28," ")</f>
        <v>211052/D</v>
      </c>
      <c r="O6" s="259"/>
    </row>
    <row r="7" spans="1:15" x14ac:dyDescent="0.25">
      <c r="A7" s="232">
        <f t="shared" si="0"/>
        <v>7</v>
      </c>
      <c r="B7" s="232"/>
      <c r="C7" s="222"/>
      <c r="D7" s="264"/>
      <c r="E7" s="219"/>
      <c r="F7" s="235"/>
      <c r="G7" s="236"/>
      <c r="H7" s="236"/>
      <c r="I7" s="236"/>
      <c r="J7" s="236"/>
      <c r="K7" s="236"/>
      <c r="L7" s="236"/>
      <c r="M7" s="236"/>
      <c r="N7" s="236"/>
      <c r="O7" s="236"/>
    </row>
    <row r="8" spans="1:15" ht="25.5" x14ac:dyDescent="0.25">
      <c r="A8" s="232">
        <f t="shared" si="0"/>
        <v>8</v>
      </c>
      <c r="B8" s="232"/>
      <c r="C8" s="371" t="s">
        <v>11899</v>
      </c>
      <c r="D8" s="371" t="s">
        <v>573</v>
      </c>
      <c r="E8" s="371" t="s">
        <v>11900</v>
      </c>
      <c r="F8" s="371" t="s">
        <v>13766</v>
      </c>
      <c r="G8" s="371" t="s">
        <v>556</v>
      </c>
      <c r="H8" s="371" t="s">
        <v>557</v>
      </c>
      <c r="I8" s="371" t="s">
        <v>11902</v>
      </c>
      <c r="J8" s="371" t="s">
        <v>556</v>
      </c>
      <c r="K8" s="371" t="s">
        <v>557</v>
      </c>
      <c r="L8" s="371" t="s">
        <v>11903</v>
      </c>
      <c r="M8" s="371" t="s">
        <v>12610</v>
      </c>
      <c r="N8" s="372" t="s">
        <v>12611</v>
      </c>
      <c r="O8" s="371" t="s">
        <v>12612</v>
      </c>
    </row>
    <row r="9" spans="1:15" x14ac:dyDescent="0.25">
      <c r="A9" s="232">
        <f>1+A8</f>
        <v>9</v>
      </c>
      <c r="B9" s="232"/>
      <c r="C9" s="310" t="s">
        <v>11909</v>
      </c>
      <c r="D9" s="373" t="str">
        <f>IF($C9="","",IFERROR(VLOOKUP($C9,SERVIÇOS!$B:$G,2,0),IFERROR(VLOOKUP($C9,'COMPOSIÇÕES COMPLEMENTARES '!$D:$L,2,0),IFERROR(VLOOKUP($C9,INSUMOS!$A:$D,2,0),""))))</f>
        <v>ADMINISTRAÇÃO DE OBRA - EQUIPE DE APOIO</v>
      </c>
      <c r="E9" s="312" t="str">
        <f>IF($C9="","",IFERROR(VLOOKUP($C9,SERVIÇOS!$B:$G,3,0),IFERROR(VLOOKUP($C9,'COMPOSIÇÕES COMPLEMENTARES '!$D:$L,3,0),IFERROR(VLOOKUP($C9,INSUMOS!$A:$D,3,0),""))))</f>
        <v>%</v>
      </c>
      <c r="F9" s="313">
        <v>100</v>
      </c>
      <c r="G9" s="314">
        <f>IF($C9="","",IFERROR(VLOOKUP($C9,SERVIÇOS!$B:$G,4,0),IFERROR(VLOOKUP($C9,'COMPOSIÇÕES COMPLEMENTARES '!$D:$L,6,0),IFERROR(VLOOKUP($C9,INSUMOS!$A:$D,4,0),""))))</f>
        <v>65.17</v>
      </c>
      <c r="H9" s="314">
        <f>IF($C9="","",IFERROR(VLOOKUP($C9,SERVIÇOS!$B:$G,5,0),IFERROR(VLOOKUP($C9,'COMPOSIÇÕES COMPLEMENTARES '!$D:$L,7,0),0)))</f>
        <v>1729.46</v>
      </c>
      <c r="I9" s="314">
        <f>IF(F9="","",G9+H9)</f>
        <v>1794.63</v>
      </c>
      <c r="J9" s="314">
        <f>IF(F9="","",TRUNC((F9*G9),2))</f>
        <v>6517</v>
      </c>
      <c r="K9" s="314">
        <f>IF(F9="","",TRUNC((F9*H9),2))</f>
        <v>172946</v>
      </c>
      <c r="L9" s="948">
        <f>IF(F9="","",TRUNC((J9+K9),2))</f>
        <v>179463</v>
      </c>
      <c r="M9" s="374">
        <f>+L9</f>
        <v>179463</v>
      </c>
      <c r="N9" s="375">
        <f>+M9/L$815</f>
        <v>3.177662161316596E-2</v>
      </c>
      <c r="O9" s="376" t="str">
        <f>IF(N9&lt;0.5,"A",IF(N9&gt;0.8,"C","B"))</f>
        <v>A</v>
      </c>
    </row>
    <row r="10" spans="1:15" ht="38.25" x14ac:dyDescent="0.25">
      <c r="A10" s="232">
        <f t="shared" ref="A10:A73" si="1">1+A9</f>
        <v>10</v>
      </c>
      <c r="B10" s="232"/>
      <c r="C10" s="310" t="s">
        <v>12534</v>
      </c>
      <c r="D10" s="373" t="str">
        <f>IF($C10="","",IFERROR(VLOOKUP($C10,SERVIÇOS!$B:$G,2,0),IFERROR(VLOOKUP($C10,'COMPOSIÇÕES COMPLEMENTARES '!$D:$L,2,0),IFERROR(VLOOKUP($C10,INSUMOS!$A:$D,2,0),""))))</f>
        <v>GRUPO MOTOR GERADOR A DIESEL EM CONTAINER SSL COM POTÊNCIA NOMINAL DE: 145KW (181KVA) EM REGIME "STANDY-BY" , FREQUÊNCIA 60HZ (1800RPM), TENSÃO DE TRABALHO DE 220/127 VOLTS. INCLUSO PAINEL DE TRANSFERÊNCIA E CARENAGEM 85DB .(VIDE ESPECIFICAÇÃO NO MEMORIAL DESCRITIVO) - REF: C145 D6 MOTORMAC OU SIMILAR</v>
      </c>
      <c r="E10" s="312" t="str">
        <f>IF($C10="","",IFERROR(VLOOKUP($C10,SERVIÇOS!$B:$G,3,0),IFERROR(VLOOKUP($C10,'COMPOSIÇÕES COMPLEMENTARES '!$D:$L,3,0),IFERROR(VLOOKUP($C10,INSUMOS!$A:$D,3,0),""))))</f>
        <v>UN</v>
      </c>
      <c r="F10" s="313">
        <v>1</v>
      </c>
      <c r="G10" s="314">
        <f>IF($C10="","",IFERROR(VLOOKUP($C10,SERVIÇOS!$B:$G,4,0),IFERROR(VLOOKUP($C10,'COMPOSIÇÕES COMPLEMENTARES '!$D:$L,6,0),IFERROR(VLOOKUP($C10,INSUMOS!$A:$D,4,0),""))))</f>
        <v>174370.05</v>
      </c>
      <c r="H10" s="314">
        <f>IF($C10="","",IFERROR(VLOOKUP($C10,SERVIÇOS!$B:$G,5,0),IFERROR(VLOOKUP($C10,'COMPOSIÇÕES COMPLEMENTARES '!$D:$L,7,0),0)))</f>
        <v>0</v>
      </c>
      <c r="I10" s="314">
        <f t="shared" ref="I10:I73" si="2">IF(F10="","",G10+H10)</f>
        <v>174370.05</v>
      </c>
      <c r="J10" s="314">
        <f t="shared" ref="J10:J73" si="3">IF(F10="","",TRUNC((F10*G10),2))</f>
        <v>174370.05</v>
      </c>
      <c r="K10" s="314">
        <f t="shared" ref="K10:K73" si="4">IF(F10="","",TRUNC((F10*H10),2))</f>
        <v>0</v>
      </c>
      <c r="L10" s="948">
        <f t="shared" ref="L10:L73" si="5">IF(F10="","",TRUNC((J10+K10),2))</f>
        <v>174370.05</v>
      </c>
      <c r="M10" s="374">
        <f>+L10+M9</f>
        <v>353833.05</v>
      </c>
      <c r="N10" s="375">
        <f>+M10/L$815</f>
        <v>6.2651459877982818E-2</v>
      </c>
      <c r="O10" s="376" t="str">
        <f>IF(N10&lt;0.5,"A",IF(N10&gt;0.8,"C","B"))</f>
        <v>A</v>
      </c>
    </row>
    <row r="11" spans="1:15" ht="25.5" x14ac:dyDescent="0.25">
      <c r="A11" s="232">
        <f t="shared" si="1"/>
        <v>11</v>
      </c>
      <c r="B11" s="232"/>
      <c r="C11" s="310" t="s">
        <v>11987</v>
      </c>
      <c r="D11" s="373" t="str">
        <f>IF($C11="","",IFERROR(VLOOKUP($C11,SERVIÇOS!$B:$G,2,0),IFERROR(VLOOKUP($C11,'COMPOSIÇÕES COMPLEMENTARES '!$D:$L,2,0),IFERROR(VLOOKUP($C11,INSUMOS!$A:$D,2,0),""))))</f>
        <v>PISO PORCELANATO, COR OFF WHITE, 60X60CM COM REJUNTE BRANCO A BASE EPÓXI, RETIFICADO EXTRA, ABSORÇÃO DE ÁGUA MENOR OU IGUAL A 0,5% E COEFICIENTE DE ATRITO MAIOR OU IGUAL A 0,4.</v>
      </c>
      <c r="E11" s="312" t="str">
        <f>IF($C11="","",IFERROR(VLOOKUP($C11,SERVIÇOS!$B:$G,3,0),IFERROR(VLOOKUP($C11,'COMPOSIÇÕES COMPLEMENTARES '!$D:$L,3,0),IFERROR(VLOOKUP($C11,INSUMOS!$A:$D,3,0),""))))</f>
        <v>M2</v>
      </c>
      <c r="F11" s="313">
        <v>706</v>
      </c>
      <c r="G11" s="314">
        <f>IF($C11="","",IFERROR(VLOOKUP($C11,SERVIÇOS!$B:$G,4,0),IFERROR(VLOOKUP($C11,'COMPOSIÇÕES COMPLEMENTARES '!$D:$L,6,0),IFERROR(VLOOKUP($C11,INSUMOS!$A:$D,4,0),""))))</f>
        <v>169.08</v>
      </c>
      <c r="H11" s="314">
        <f>IF($C11="","",IFERROR(VLOOKUP($C11,SERVIÇOS!$B:$G,5,0),IFERROR(VLOOKUP($C11,'COMPOSIÇÕES COMPLEMENTARES '!$D:$L,7,0),0)))</f>
        <v>26.07</v>
      </c>
      <c r="I11" s="314">
        <f t="shared" si="2"/>
        <v>195.15</v>
      </c>
      <c r="J11" s="314">
        <f t="shared" si="3"/>
        <v>119370.48</v>
      </c>
      <c r="K11" s="314">
        <f t="shared" si="4"/>
        <v>18405.419999999998</v>
      </c>
      <c r="L11" s="948">
        <f t="shared" si="5"/>
        <v>137775.9</v>
      </c>
      <c r="M11" s="374">
        <f t="shared" ref="M11:M74" si="6">+L11+M10</f>
        <v>491608.94999999995</v>
      </c>
      <c r="N11" s="375">
        <f>+M11/L$815</f>
        <v>8.7046753847845076E-2</v>
      </c>
      <c r="O11" s="376" t="str">
        <f>IF(N11&lt;0.5,"A",IF(N11&gt;0.8,"C","B"))</f>
        <v>A</v>
      </c>
    </row>
    <row r="12" spans="1:15" ht="25.5" x14ac:dyDescent="0.25">
      <c r="A12" s="232">
        <f t="shared" si="1"/>
        <v>12</v>
      </c>
      <c r="B12" s="232"/>
      <c r="C12" s="310" t="s">
        <v>11978</v>
      </c>
      <c r="D12" s="373" t="str">
        <f>IF($C12="","",IFERROR(VLOOKUP($C12,SERVIÇOS!$B:$G,2,0),IFERROR(VLOOKUP($C12,'COMPOSIÇÕES COMPLEMENTARES '!$D:$L,2,0),IFERROR(VLOOKUP($C12,INSUMOS!$A:$D,2,0),""))))</f>
        <v>REVESTIMENTO EM PLACAS DE ACM (ALUMÍNIO COMPOSTO) RECORTADO, FIXADO EM ESTRUTURA METÁLICA GALVANIZADA, E=0,3MM - FORNECIMENTO E INSTALAÇÃO</v>
      </c>
      <c r="E12" s="312" t="str">
        <f>IF($C12="","",IFERROR(VLOOKUP($C12,SERVIÇOS!$B:$G,3,0),IFERROR(VLOOKUP($C12,'COMPOSIÇÕES COMPLEMENTARES '!$D:$L,3,0),IFERROR(VLOOKUP($C12,INSUMOS!$A:$D,3,0),""))))</f>
        <v>M2</v>
      </c>
      <c r="F12" s="313">
        <v>201</v>
      </c>
      <c r="G12" s="314">
        <f>IF($C12="","",IFERROR(VLOOKUP($C12,SERVIÇOS!$B:$G,4,0),IFERROR(VLOOKUP($C12,'COMPOSIÇÕES COMPLEMENTARES '!$D:$L,6,0),IFERROR(VLOOKUP($C12,INSUMOS!$A:$D,4,0),""))))</f>
        <v>505.25</v>
      </c>
      <c r="H12" s="314">
        <f>IF($C12="","",IFERROR(VLOOKUP($C12,SERVIÇOS!$B:$G,5,0),IFERROR(VLOOKUP($C12,'COMPOSIÇÕES COMPLEMENTARES '!$D:$L,7,0),0)))</f>
        <v>0</v>
      </c>
      <c r="I12" s="314">
        <f t="shared" si="2"/>
        <v>505.25</v>
      </c>
      <c r="J12" s="314">
        <f t="shared" si="3"/>
        <v>101555.25</v>
      </c>
      <c r="K12" s="314">
        <f t="shared" si="4"/>
        <v>0</v>
      </c>
      <c r="L12" s="948">
        <f t="shared" si="5"/>
        <v>101555.25</v>
      </c>
      <c r="M12" s="374">
        <f t="shared" si="6"/>
        <v>593164.19999999995</v>
      </c>
      <c r="N12" s="375">
        <f>+M12/L$815</f>
        <v>0.1050286373117372</v>
      </c>
      <c r="O12" s="376" t="str">
        <f>IF(N12&lt;0.5,"A",IF(N12&gt;0.8,"C","B"))</f>
        <v>A</v>
      </c>
    </row>
    <row r="13" spans="1:15" ht="38.25" x14ac:dyDescent="0.25">
      <c r="A13" s="232">
        <f t="shared" si="1"/>
        <v>13</v>
      </c>
      <c r="B13" s="232"/>
      <c r="C13" s="310" t="s">
        <v>20456</v>
      </c>
      <c r="D13" s="373" t="str">
        <f>IF($C13="","",IFERROR(VLOOKUP($C13,SERVIÇOS!$B:$G,2,0),IFERROR(VLOOKUP($C13,'COMPOSIÇÕES COMPLEMENTARES '!$D:$L,2,0),IFERROR(VLOOKUP($C13,INSUMOS!$A:$D,2,0),""))))</f>
        <v>FORNECIMENTO DE CONCRETO USINADO BOMBEÁVEL, CLASSE DE RESISTÊNCIA C25, COM BRITA 0 E 1, SLUMP = 100 +/- 20 MM, INCLUI SERVIÇO DE BOMBEAMENTO, SEM LANÇAMENTO, COM MÃO DE OBRA E SERVIÇOS AUXILIARES PARA APLICAÇÃO + CONCRETAGEM DE CORTINA DE CONTENÇÃO, ATRAVÉS DE BOMBA, COM LANÇAMENTO, ADENSAMENTO E ACABAMENTO.</v>
      </c>
      <c r="E13" s="312" t="str">
        <f>IF($C13="","",IFERROR(VLOOKUP($C13,SERVIÇOS!$B:$G,3,0),IFERROR(VLOOKUP($C13,'COMPOSIÇÕES COMPLEMENTARES '!$D:$L,3,0),IFERROR(VLOOKUP($C13,INSUMOS!$A:$D,3,0),""))))</f>
        <v>M3</v>
      </c>
      <c r="F13" s="313">
        <v>87.33</v>
      </c>
      <c r="G13" s="314">
        <f>IF($C13="","",IFERROR(VLOOKUP($C13,SERVIÇOS!$B:$G,4,0),IFERROR(VLOOKUP($C13,'COMPOSIÇÕES COMPLEMENTARES '!$D:$L,6,0),IFERROR(VLOOKUP($C13,INSUMOS!$A:$D,4,0),""))))</f>
        <v>1096.1199999999999</v>
      </c>
      <c r="H13" s="314">
        <f>IF($C13="","",IFERROR(VLOOKUP($C13,SERVIÇOS!$B:$G,5,0),IFERROR(VLOOKUP($C13,'COMPOSIÇÕES COMPLEMENTARES '!$D:$L,7,0),0)))</f>
        <v>58.09</v>
      </c>
      <c r="I13" s="314">
        <f t="shared" si="2"/>
        <v>1154.2099999999998</v>
      </c>
      <c r="J13" s="314">
        <f t="shared" si="3"/>
        <v>95724.15</v>
      </c>
      <c r="K13" s="314">
        <f t="shared" si="4"/>
        <v>5072.99</v>
      </c>
      <c r="L13" s="948">
        <f t="shared" si="5"/>
        <v>100797.14</v>
      </c>
      <c r="M13" s="374">
        <f t="shared" si="6"/>
        <v>693961.34</v>
      </c>
      <c r="N13" s="375">
        <f>+M13/L$815</f>
        <v>0.12287628600516881</v>
      </c>
      <c r="O13" s="376" t="str">
        <f>IF(N13&lt;0.5,"A",IF(N13&gt;0.8,"C","B"))</f>
        <v>A</v>
      </c>
    </row>
    <row r="14" spans="1:15" ht="25.5" x14ac:dyDescent="0.25">
      <c r="A14" s="232">
        <f t="shared" si="1"/>
        <v>14</v>
      </c>
      <c r="B14" s="232"/>
      <c r="C14" s="310">
        <v>92398</v>
      </c>
      <c r="D14" s="373" t="str">
        <f>IF($C14="","",IFERROR(VLOOKUP($C14,SERVIÇOS!$B:$G,2,0),IFERROR(VLOOKUP($C14,'COMPOSIÇÕES COMPLEMENTARES '!$D:$L,2,0),IFERROR(VLOOKUP($C14,INSUMOS!$A:$D,2,0),""))))</f>
        <v>EXECUÇÃO DE PAVIMENTO EM PISO INTERTRAVADO, COM BLOCO RETANGULAR COR NATURAL DE 20 X 10 CM, ESPESSURA 8 CM. AF_10/2022</v>
      </c>
      <c r="E14" s="312" t="str">
        <f>IF($C14="","",IFERROR(VLOOKUP($C14,SERVIÇOS!$B:$G,3,0),IFERROR(VLOOKUP($C14,'COMPOSIÇÕES COMPLEMENTARES '!$D:$L,3,0),IFERROR(VLOOKUP($C14,INSUMOS!$A:$D,3,0),""))))</f>
        <v>M2</v>
      </c>
      <c r="F14" s="313">
        <v>1279.7</v>
      </c>
      <c r="G14" s="314">
        <f>IF($C14="","",IFERROR(VLOOKUP($C14,SERVIÇOS!$B:$G,4,0),IFERROR(VLOOKUP($C14,'COMPOSIÇÕES COMPLEMENTARES '!$D:$L,6,0),IFERROR(VLOOKUP($C14,INSUMOS!$A:$D,4,0),""))))</f>
        <v>67.349999999999994</v>
      </c>
      <c r="H14" s="314">
        <f>IF($C14="","",IFERROR(VLOOKUP($C14,SERVIÇOS!$B:$G,5,0),IFERROR(VLOOKUP($C14,'COMPOSIÇÕES COMPLEMENTARES '!$D:$L,7,0),0)))</f>
        <v>11.23</v>
      </c>
      <c r="I14" s="314">
        <f t="shared" si="2"/>
        <v>78.58</v>
      </c>
      <c r="J14" s="314">
        <f t="shared" si="3"/>
        <v>86187.79</v>
      </c>
      <c r="K14" s="314">
        <f t="shared" si="4"/>
        <v>14371.03</v>
      </c>
      <c r="L14" s="948">
        <f t="shared" si="5"/>
        <v>100558.82</v>
      </c>
      <c r="M14" s="374">
        <f t="shared" si="6"/>
        <v>794520.15999999992</v>
      </c>
      <c r="N14" s="375">
        <f>+M14/L$815</f>
        <v>0.14068173656047248</v>
      </c>
      <c r="O14" s="376" t="str">
        <f>IF(N14&lt;0.5,"A",IF(N14&gt;0.8,"C","B"))</f>
        <v>A</v>
      </c>
    </row>
    <row r="15" spans="1:15" ht="25.5" x14ac:dyDescent="0.25">
      <c r="A15" s="232">
        <f t="shared" si="1"/>
        <v>15</v>
      </c>
      <c r="B15" s="232"/>
      <c r="C15" s="310" t="s">
        <v>12572</v>
      </c>
      <c r="D15" s="373" t="str">
        <f>IF($C15="","",IFERROR(VLOOKUP($C15,SERVIÇOS!$B:$G,2,0),IFERROR(VLOOKUP($C15,'COMPOSIÇÕES COMPLEMENTARES '!$D:$L,2,0),IFERROR(VLOOKUP($C15,INSUMOS!$A:$D,2,0),""))))</f>
        <v>UNIDADE CONDENSADORA - CICLO FRIO - MARCA DAIKIN (OU EQUIVALENTE TÉCNICO) - MOD. RXQ8TATL - CAP. 76.400BTU/H - TRIFÁSICA - 220V - 60Hz - 185kg - DIMENSÃO 1.657x930x765mm (A x L x P)</v>
      </c>
      <c r="E15" s="312" t="str">
        <f>IF($C15="","",IFERROR(VLOOKUP($C15,SERVIÇOS!$B:$G,3,0),IFERROR(VLOOKUP($C15,'COMPOSIÇÕES COMPLEMENTARES '!$D:$L,3,0),IFERROR(VLOOKUP($C15,INSUMOS!$A:$D,3,0),""))))</f>
        <v>UN</v>
      </c>
      <c r="F15" s="313">
        <v>2</v>
      </c>
      <c r="G15" s="314">
        <f>IF($C15="","",IFERROR(VLOOKUP($C15,SERVIÇOS!$B:$G,4,0),IFERROR(VLOOKUP($C15,'COMPOSIÇÕES COMPLEMENTARES '!$D:$L,6,0),IFERROR(VLOOKUP($C15,INSUMOS!$A:$D,4,0),""))))</f>
        <v>45361.070000000007</v>
      </c>
      <c r="H15" s="314">
        <f>IF($C15="","",IFERROR(VLOOKUP($C15,SERVIÇOS!$B:$G,5,0),IFERROR(VLOOKUP($C15,'COMPOSIÇÕES COMPLEMENTARES '!$D:$L,7,0),0)))</f>
        <v>676.96</v>
      </c>
      <c r="I15" s="314">
        <f t="shared" si="2"/>
        <v>46038.030000000006</v>
      </c>
      <c r="J15" s="314">
        <f t="shared" si="3"/>
        <v>90722.14</v>
      </c>
      <c r="K15" s="314">
        <f t="shared" si="4"/>
        <v>1353.92</v>
      </c>
      <c r="L15" s="948">
        <f t="shared" si="5"/>
        <v>92076.06</v>
      </c>
      <c r="M15" s="374">
        <f t="shared" si="6"/>
        <v>886596.22</v>
      </c>
      <c r="N15" s="375">
        <f>+M15/L$815</f>
        <v>0.1569851869555465</v>
      </c>
      <c r="O15" s="376" t="str">
        <f>IF(N15&lt;0.5,"A",IF(N15&gt;0.8,"C","B"))</f>
        <v>A</v>
      </c>
    </row>
    <row r="16" spans="1:15" ht="25.5" x14ac:dyDescent="0.25">
      <c r="A16" s="232">
        <f t="shared" si="1"/>
        <v>16</v>
      </c>
      <c r="B16" s="232"/>
      <c r="C16" s="310" t="s">
        <v>11961</v>
      </c>
      <c r="D16" s="373" t="str">
        <f>IF($C16="","",IFERROR(VLOOKUP($C16,SERVIÇOS!$B:$G,2,0),IFERROR(VLOOKUP($C16,'COMPOSIÇÕES COMPLEMENTARES '!$D:$L,2,0),IFERROR(VLOOKUP($C16,INSUMOS!$A:$D,2,0),""))))</f>
        <v>PAREDE COM PLACAS DE GESSO ACARTONADO (DRYWALL), E=11,5cm, COM DUAS FACES SIMPLES STANDARD (ST/ST), ESTRUTURA METÁLICA COM GUIAS SIMPLES DE 90MM</v>
      </c>
      <c r="E16" s="312" t="str">
        <f>IF($C16="","",IFERROR(VLOOKUP($C16,SERVIÇOS!$B:$G,3,0),IFERROR(VLOOKUP($C16,'COMPOSIÇÕES COMPLEMENTARES '!$D:$L,3,0),IFERROR(VLOOKUP($C16,INSUMOS!$A:$D,3,0),""))))</f>
        <v>M2</v>
      </c>
      <c r="F16" s="313">
        <v>521.80999999999995</v>
      </c>
      <c r="G16" s="314">
        <f>IF($C16="","",IFERROR(VLOOKUP($C16,SERVIÇOS!$B:$G,4,0),IFERROR(VLOOKUP($C16,'COMPOSIÇÕES COMPLEMENTARES '!$D:$L,6,0),IFERROR(VLOOKUP($C16,INSUMOS!$A:$D,4,0),""))))</f>
        <v>164.4</v>
      </c>
      <c r="H16" s="314">
        <f>IF($C16="","",IFERROR(VLOOKUP($C16,SERVIÇOS!$B:$G,5,0),IFERROR(VLOOKUP($C16,'COMPOSIÇÕES COMPLEMENTARES '!$D:$L,7,0),0)))</f>
        <v>3.85</v>
      </c>
      <c r="I16" s="314">
        <f t="shared" si="2"/>
        <v>168.25</v>
      </c>
      <c r="J16" s="314">
        <f t="shared" si="3"/>
        <v>85785.56</v>
      </c>
      <c r="K16" s="314">
        <f t="shared" si="4"/>
        <v>2008.96</v>
      </c>
      <c r="L16" s="948">
        <f t="shared" si="5"/>
        <v>87794.52</v>
      </c>
      <c r="M16" s="374">
        <f t="shared" si="6"/>
        <v>974390.74</v>
      </c>
      <c r="N16" s="375">
        <f>+M16/L$815</f>
        <v>0.17253052633887081</v>
      </c>
      <c r="O16" s="376" t="str">
        <f>IF(N16&lt;0.5,"A",IF(N16&gt;0.8,"C","B"))</f>
        <v>A</v>
      </c>
    </row>
    <row r="17" spans="1:15" ht="51" x14ac:dyDescent="0.25">
      <c r="A17" s="232">
        <f t="shared" si="1"/>
        <v>17</v>
      </c>
      <c r="B17" s="232"/>
      <c r="C17" s="310" t="s">
        <v>20471</v>
      </c>
      <c r="D17" s="373" t="str">
        <f>IF($C17="","",IFERROR(VLOOKUP($C17,SERVIÇOS!$B:$G,2,0),IFERROR(VLOOKUP($C17,'COMPOSIÇÕES COMPLEMENTARES '!$D:$L,2,0),IFERROR(VLOOKUP($C17,INSUMOS!$A:$D,2,0),""))))</f>
        <v>CERCA/GRADIL NYLOFOR H=2,43M, MALHA 5 X 20CM - FIO 5,00MM, COM FIXADORES DE
POLIAMIDA EM POSTE 40 x 60 MM CHUMBADOS EM BASE DE CONCRETO (EXCLUSIVE ESTA),
REVESTIDOS EM POLIESTER POR PROCESSO DE PINTURA ELETROSTÁTICA (GRADIL E POSTE),
NAS CORES VERDE OU BRANCA - FORNECIMENTO E INSTALAÇÃO</v>
      </c>
      <c r="E17" s="312" t="str">
        <f>IF($C17="","",IFERROR(VLOOKUP($C17,SERVIÇOS!$B:$G,3,0),IFERROR(VLOOKUP($C17,'COMPOSIÇÕES COMPLEMENTARES '!$D:$L,3,0),IFERROR(VLOOKUP($C17,INSUMOS!$A:$D,3,0),""))))</f>
        <v>M</v>
      </c>
      <c r="F17" s="313">
        <v>187.93</v>
      </c>
      <c r="G17" s="314">
        <f>IF($C17="","",IFERROR(VLOOKUP($C17,SERVIÇOS!$B:$G,4,0),IFERROR(VLOOKUP($C17,'COMPOSIÇÕES COMPLEMENTARES '!$D:$L,6,0),IFERROR(VLOOKUP($C17,INSUMOS!$A:$D,4,0),""))))</f>
        <v>455.23</v>
      </c>
      <c r="H17" s="314">
        <f>IF($C17="","",IFERROR(VLOOKUP($C17,SERVIÇOS!$B:$G,5,0),IFERROR(VLOOKUP($C17,'COMPOSIÇÕES COMPLEMENTARES '!$D:$L,7,0),0)))</f>
        <v>0</v>
      </c>
      <c r="I17" s="314">
        <f t="shared" si="2"/>
        <v>455.23</v>
      </c>
      <c r="J17" s="314">
        <f t="shared" si="3"/>
        <v>85551.37</v>
      </c>
      <c r="K17" s="314">
        <f t="shared" si="4"/>
        <v>0</v>
      </c>
      <c r="L17" s="948">
        <f t="shared" si="5"/>
        <v>85551.37</v>
      </c>
      <c r="M17" s="374">
        <f t="shared" si="6"/>
        <v>1059942.1099999999</v>
      </c>
      <c r="N17" s="375">
        <f>+M17/L$815</f>
        <v>0.18767868229847226</v>
      </c>
      <c r="O17" s="376" t="str">
        <f>IF(N17&lt;0.5,"A",IF(N17&gt;0.8,"C","B"))</f>
        <v>A</v>
      </c>
    </row>
    <row r="18" spans="1:15" ht="25.5" x14ac:dyDescent="0.25">
      <c r="A18" s="232">
        <f t="shared" si="1"/>
        <v>18</v>
      </c>
      <c r="B18" s="232"/>
      <c r="C18" s="310">
        <v>92473</v>
      </c>
      <c r="D18" s="373" t="str">
        <f>IF($C18="","",IFERROR(VLOOKUP($C18,SERVIÇOS!$B:$G,2,0),IFERROR(VLOOKUP($C18,'COMPOSIÇÕES COMPLEMENTARES '!$D:$L,2,0),IFERROR(VLOOKUP($C18,INSUMOS!$A:$D,2,0),""))))</f>
        <v>MONTAGEM E DESMONTAGEM DE FÔRMA DE VIGA, ESCORAMENTO COM GARFO DE MADEIRA, PÉ-DIREITO DUPLO, EM CHAPA DE MADEIRA PLASTIFICADA, 14 UTILIZAÇÕES. AF_09/2020</v>
      </c>
      <c r="E18" s="312" t="str">
        <f>IF($C18="","",IFERROR(VLOOKUP($C18,SERVIÇOS!$B:$G,3,0),IFERROR(VLOOKUP($C18,'COMPOSIÇÕES COMPLEMENTARES '!$D:$L,3,0),IFERROR(VLOOKUP($C18,INSUMOS!$A:$D,3,0),""))))</f>
        <v>M2</v>
      </c>
      <c r="F18" s="313">
        <v>544.16999999999996</v>
      </c>
      <c r="G18" s="314">
        <f>IF($C18="","",IFERROR(VLOOKUP($C18,SERVIÇOS!$B:$G,4,0),IFERROR(VLOOKUP($C18,'COMPOSIÇÕES COMPLEMENTARES '!$D:$L,6,0),IFERROR(VLOOKUP($C18,INSUMOS!$A:$D,4,0),""))))</f>
        <v>87.31</v>
      </c>
      <c r="H18" s="314">
        <f>IF($C18="","",IFERROR(VLOOKUP($C18,SERVIÇOS!$B:$G,5,0),IFERROR(VLOOKUP($C18,'COMPOSIÇÕES COMPLEMENTARES '!$D:$L,7,0),0)))</f>
        <v>47.15</v>
      </c>
      <c r="I18" s="314">
        <f t="shared" si="2"/>
        <v>134.46</v>
      </c>
      <c r="J18" s="314">
        <f t="shared" si="3"/>
        <v>47511.48</v>
      </c>
      <c r="K18" s="314">
        <f t="shared" si="4"/>
        <v>25657.61</v>
      </c>
      <c r="L18" s="948">
        <f t="shared" si="5"/>
        <v>73169.09</v>
      </c>
      <c r="M18" s="374">
        <f t="shared" si="6"/>
        <v>1133111.2</v>
      </c>
      <c r="N18" s="375">
        <f>+M18/L$815</f>
        <v>0.20063436946914079</v>
      </c>
      <c r="O18" s="376" t="str">
        <f>IF(N18&lt;0.5,"A",IF(N18&gt;0.8,"C","B"))</f>
        <v>A</v>
      </c>
    </row>
    <row r="19" spans="1:15" ht="25.5" x14ac:dyDescent="0.25">
      <c r="A19" s="232">
        <f t="shared" si="1"/>
        <v>19</v>
      </c>
      <c r="B19" s="232"/>
      <c r="C19" s="310" t="s">
        <v>12481</v>
      </c>
      <c r="D19" s="373" t="str">
        <f>IF($C19="","",IFERROR(VLOOKUP($C19,SERVIÇOS!$B:$G,2,0),IFERROR(VLOOKUP($C19,'COMPOSIÇÕES COMPLEMENTARES '!$D:$L,2,0),IFERROR(VLOOKUP($C19,INSUMOS!$A:$D,2,0),""))))</f>
        <v xml:space="preserve">DUTO EM CHAPA DE AÇO GALVANIZADO Nº24, ESPESSURA 0,64MM COM ISOLAMENTO, PARA AR CONDICIONADO, COM SISTEMA DE VEDAÇÃO ESTANQUE, MONTADO COM SISTEMA FLANGEADO, REFERÊNCIA TDC POWERMATIC </v>
      </c>
      <c r="E19" s="312" t="str">
        <f>IF($C19="","",IFERROR(VLOOKUP($C19,SERVIÇOS!$B:$G,3,0),IFERROR(VLOOKUP($C19,'COMPOSIÇÕES COMPLEMENTARES '!$D:$L,3,0),IFERROR(VLOOKUP($C19,INSUMOS!$A:$D,3,0),""))))</f>
        <v>KG</v>
      </c>
      <c r="F19" s="313">
        <v>1120</v>
      </c>
      <c r="G19" s="314">
        <f>IF($C19="","",IFERROR(VLOOKUP($C19,SERVIÇOS!$B:$G,4,0),IFERROR(VLOOKUP($C19,'COMPOSIÇÕES COMPLEMENTARES '!$D:$L,6,0),IFERROR(VLOOKUP($C19,INSUMOS!$A:$D,4,0),""))))</f>
        <v>33.979999999999997</v>
      </c>
      <c r="H19" s="314">
        <f>IF($C19="","",IFERROR(VLOOKUP($C19,SERVIÇOS!$B:$G,5,0),IFERROR(VLOOKUP($C19,'COMPOSIÇÕES COMPLEMENTARES '!$D:$L,7,0),0)))</f>
        <v>30.51</v>
      </c>
      <c r="I19" s="314">
        <f t="shared" si="2"/>
        <v>64.489999999999995</v>
      </c>
      <c r="J19" s="314">
        <f t="shared" si="3"/>
        <v>38057.599999999999</v>
      </c>
      <c r="K19" s="314">
        <f t="shared" si="4"/>
        <v>34171.199999999997</v>
      </c>
      <c r="L19" s="948">
        <f t="shared" si="5"/>
        <v>72228.800000000003</v>
      </c>
      <c r="M19" s="374">
        <f t="shared" si="6"/>
        <v>1205340</v>
      </c>
      <c r="N19" s="375">
        <f>+M19/L$815</f>
        <v>0.21342356416204708</v>
      </c>
      <c r="O19" s="376" t="str">
        <f>IF(N19&lt;0.5,"A",IF(N19&gt;0.8,"C","B"))</f>
        <v>A</v>
      </c>
    </row>
    <row r="20" spans="1:15" ht="63.75" x14ac:dyDescent="0.25">
      <c r="A20" s="232">
        <f t="shared" si="1"/>
        <v>20</v>
      </c>
      <c r="B20" s="232"/>
      <c r="C20" s="310" t="s">
        <v>12606</v>
      </c>
      <c r="D20" s="373" t="str">
        <f>IF($C20="","",IFERROR(VLOOKUP($C20,SERVIÇOS!$B:$G,2,0),IFERROR(VLOOKUP($C20,'COMPOSIÇÕES COMPLEMENTARES '!$D:$L,2,0),IFERROR(VLOOKUP($C20,INSUMOS!$A:$D,2,0),""))))</f>
        <v>SISTEMA CENTRAL DE VÁCUO CLÍNICO, DE CAPACIDADE MÍNIMA DE OPERAÇÃO 20 M³/H E SUPRIMENTO RESERVA DE CAPACIDADE EQUIVALENTE DE 20 M³/H, CONTENDO: - DOIS FILTROS BACTERIOLÓGICOS INSTALADOS EM PARALELO; - RESERVATÓRIO DE VÁCUO; - BOMBAS DE VÁCUO DO TIPO PALHETA LUBRIFICADAS; - PAINEL DE ALARME OPERACIONAL COM TRANSMISSOR DE PRESSÃO; DADOS TÉCNICOS:  20 m³- 200KG - MONOFÁSICA - 1,55KW  - 220V - 60HZ; DIMENSÃO:1800x1150x820MM (A x L x P); REF: VALMIG ASPMIG-LV-20D OU EQUIVALENTE TÉCNICO</v>
      </c>
      <c r="E20" s="312" t="str">
        <f>IF($C20="","",IFERROR(VLOOKUP($C20,SERVIÇOS!$B:$G,3,0),IFERROR(VLOOKUP($C20,'COMPOSIÇÕES COMPLEMENTARES '!$D:$L,3,0),IFERROR(VLOOKUP($C20,INSUMOS!$A:$D,3,0),""))))</f>
        <v>UN</v>
      </c>
      <c r="F20" s="313">
        <v>1</v>
      </c>
      <c r="G20" s="314">
        <f>IF($C20="","",IFERROR(VLOOKUP($C20,SERVIÇOS!$B:$G,4,0),IFERROR(VLOOKUP($C20,'COMPOSIÇÕES COMPLEMENTARES '!$D:$L,6,0),IFERROR(VLOOKUP($C20,INSUMOS!$A:$D,4,0),""))))</f>
        <v>70282.5</v>
      </c>
      <c r="H20" s="314">
        <f>IF($C20="","",IFERROR(VLOOKUP($C20,SERVIÇOS!$B:$G,5,0),IFERROR(VLOOKUP($C20,'COMPOSIÇÕES COMPLEMENTARES '!$D:$L,7,0),0)))</f>
        <v>1545.56</v>
      </c>
      <c r="I20" s="314">
        <f t="shared" si="2"/>
        <v>71828.06</v>
      </c>
      <c r="J20" s="314">
        <f t="shared" si="3"/>
        <v>70282.5</v>
      </c>
      <c r="K20" s="314">
        <f t="shared" si="4"/>
        <v>1545.56</v>
      </c>
      <c r="L20" s="948">
        <f t="shared" si="5"/>
        <v>71828.06</v>
      </c>
      <c r="M20" s="374">
        <f t="shared" si="6"/>
        <v>1277168.06</v>
      </c>
      <c r="N20" s="375">
        <f>+M20/L$815</f>
        <v>0.22614180181453136</v>
      </c>
      <c r="O20" s="376" t="str">
        <f>IF(N20&lt;0.5,"A",IF(N20&gt;0.8,"C","B"))</f>
        <v>A</v>
      </c>
    </row>
    <row r="21" spans="1:15" x14ac:dyDescent="0.25">
      <c r="A21" s="232">
        <f t="shared" si="1"/>
        <v>21</v>
      </c>
      <c r="B21" s="232"/>
      <c r="C21" s="310" t="s">
        <v>11945</v>
      </c>
      <c r="D21" s="373" t="str">
        <f>IF($C21="","",IFERROR(VLOOKUP($C21,SERVIÇOS!$B:$G,2,0),IFERROR(VLOOKUP($C21,'COMPOSIÇÕES COMPLEMENTARES '!$D:$L,2,0),IFERROR(VLOOKUP($C21,INSUMOS!$A:$D,2,0),""))))</f>
        <v>LAJE PRÉ-FABRICADA MISTA VIGOTA TRELIÇADA/LAJOTA CERÂMICA - LT 12 (8+4) E CAPA COM CONCRET</v>
      </c>
      <c r="E21" s="312" t="str">
        <f>IF($C21="","",IFERROR(VLOOKUP($C21,SERVIÇOS!$B:$G,3,0),IFERROR(VLOOKUP($C21,'COMPOSIÇÕES COMPLEMENTARES '!$D:$L,3,0),IFERROR(VLOOKUP($C21,INSUMOS!$A:$D,3,0),""))))</f>
        <v>M2</v>
      </c>
      <c r="F21" s="313">
        <v>470.05499500000002</v>
      </c>
      <c r="G21" s="314">
        <f>IF($C21="","",IFERROR(VLOOKUP($C21,SERVIÇOS!$B:$G,4,0),IFERROR(VLOOKUP($C21,'COMPOSIÇÕES COMPLEMENTARES '!$D:$L,6,0),IFERROR(VLOOKUP($C21,INSUMOS!$A:$D,4,0),""))))</f>
        <v>112.65</v>
      </c>
      <c r="H21" s="314">
        <f>IF($C21="","",IFERROR(VLOOKUP($C21,SERVIÇOS!$B:$G,5,0),IFERROR(VLOOKUP($C21,'COMPOSIÇÕES COMPLEMENTARES '!$D:$L,7,0),0)))</f>
        <v>35.64</v>
      </c>
      <c r="I21" s="314">
        <f t="shared" si="2"/>
        <v>148.29000000000002</v>
      </c>
      <c r="J21" s="314">
        <f t="shared" si="3"/>
        <v>52951.69</v>
      </c>
      <c r="K21" s="314">
        <f t="shared" si="4"/>
        <v>16752.759999999998</v>
      </c>
      <c r="L21" s="948">
        <f t="shared" si="5"/>
        <v>69704.45</v>
      </c>
      <c r="M21" s="374">
        <f t="shared" si="6"/>
        <v>1346872.51</v>
      </c>
      <c r="N21" s="375">
        <f>+M21/L$815</f>
        <v>0.2384840223970684</v>
      </c>
      <c r="O21" s="376" t="str">
        <f>IF(N21&lt;0.5,"A",IF(N21&gt;0.8,"C","B"))</f>
        <v>A</v>
      </c>
    </row>
    <row r="22" spans="1:15" ht="25.5" x14ac:dyDescent="0.25">
      <c r="A22" s="232">
        <f t="shared" si="1"/>
        <v>22</v>
      </c>
      <c r="B22" s="232"/>
      <c r="C22" s="310" t="s">
        <v>11969</v>
      </c>
      <c r="D22" s="373" t="str">
        <f>IF($C22="","",IFERROR(VLOOKUP($C22,SERVIÇOS!$B:$G,2,0),IFERROR(VLOOKUP($C22,'COMPOSIÇÕES COMPLEMENTARES '!$D:$L,2,0),IFERROR(VLOOKUP($C22,INSUMOS!$A:$D,2,0),""))))</f>
        <v>ESTRUTURA TRELIÇADA DE COBERTURA, COM LIGAÇÕES SOLDADAS, INCLUSOS PERFIS METÁLICOS, CHAPAS METÁLICAS, MÃO DE OBRA E TRANSPORTE COM GUINDASTE - FORNECIMENTO E INSTALAÇÃO. AF_01/2020_PSA</v>
      </c>
      <c r="E22" s="312" t="str">
        <f>IF($C22="","",IFERROR(VLOOKUP($C22,SERVIÇOS!$B:$G,3,0),IFERROR(VLOOKUP($C22,'COMPOSIÇÕES COMPLEMENTARES '!$D:$L,3,0),IFERROR(VLOOKUP($C22,INSUMOS!$A:$D,3,0),""))))</f>
        <v>KG</v>
      </c>
      <c r="F22" s="313">
        <v>5392.76</v>
      </c>
      <c r="G22" s="314">
        <f>IF($C22="","",IFERROR(VLOOKUP($C22,SERVIÇOS!$B:$G,4,0),IFERROR(VLOOKUP($C22,'COMPOSIÇÕES COMPLEMENTARES '!$D:$L,6,0),IFERROR(VLOOKUP($C22,INSUMOS!$A:$D,4,0),""))))</f>
        <v>12.14</v>
      </c>
      <c r="H22" s="314">
        <f>IF($C22="","",IFERROR(VLOOKUP($C22,SERVIÇOS!$B:$G,5,0),IFERROR(VLOOKUP($C22,'COMPOSIÇÕES COMPLEMENTARES '!$D:$L,7,0),0)))</f>
        <v>0.63</v>
      </c>
      <c r="I22" s="314">
        <f t="shared" si="2"/>
        <v>12.770000000000001</v>
      </c>
      <c r="J22" s="314">
        <f t="shared" si="3"/>
        <v>65468.1</v>
      </c>
      <c r="K22" s="314">
        <f t="shared" si="4"/>
        <v>3397.43</v>
      </c>
      <c r="L22" s="948">
        <f t="shared" si="5"/>
        <v>68865.53</v>
      </c>
      <c r="M22" s="374">
        <f t="shared" si="6"/>
        <v>1415738.04</v>
      </c>
      <c r="N22" s="375">
        <f>+M22/L$815</f>
        <v>0.25067769958401015</v>
      </c>
      <c r="O22" s="376" t="str">
        <f>IF(N22&lt;0.5,"A",IF(N22&gt;0.8,"C","B"))</f>
        <v>A</v>
      </c>
    </row>
    <row r="23" spans="1:15" ht="25.5" x14ac:dyDescent="0.25">
      <c r="A23" s="232">
        <f t="shared" si="1"/>
        <v>23</v>
      </c>
      <c r="B23" s="232"/>
      <c r="C23" s="310" t="s">
        <v>12573</v>
      </c>
      <c r="D23" s="373" t="str">
        <f>IF($C23="","",IFERROR(VLOOKUP($C23,SERVIÇOS!$B:$G,2,0),IFERROR(VLOOKUP($C23,'COMPOSIÇÕES COMPLEMENTARES '!$D:$L,2,0),IFERROR(VLOOKUP($C23,INSUMOS!$A:$D,2,0),""))))</f>
        <v>UNIDADE CONDENSADORA - SOMENTE FRIO  - MARCA DAIKIN (OU EQUIVALENTE TÉCNICO) - MOD. RXQ18TATL - CAP. 171.000BTU/H - TRIFÁSICA - 220V - 60Hz - 260kg</v>
      </c>
      <c r="E23" s="312" t="str">
        <f>IF($C23="","",IFERROR(VLOOKUP($C23,SERVIÇOS!$B:$G,3,0),IFERROR(VLOOKUP($C23,'COMPOSIÇÕES COMPLEMENTARES '!$D:$L,3,0),IFERROR(VLOOKUP($C23,INSUMOS!$A:$D,3,0),""))))</f>
        <v>UN</v>
      </c>
      <c r="F23" s="313">
        <v>1</v>
      </c>
      <c r="G23" s="314">
        <f>IF($C23="","",IFERROR(VLOOKUP($C23,SERVIÇOS!$B:$G,4,0),IFERROR(VLOOKUP($C23,'COMPOSIÇÕES COMPLEMENTARES '!$D:$L,6,0),IFERROR(VLOOKUP($C23,INSUMOS!$A:$D,4,0),""))))</f>
        <v>67406.219999999987</v>
      </c>
      <c r="H23" s="314">
        <f>IF($C23="","",IFERROR(VLOOKUP($C23,SERVIÇOS!$B:$G,5,0),IFERROR(VLOOKUP($C23,'COMPOSIÇÕES COMPLEMENTARES '!$D:$L,7,0),0)))</f>
        <v>676.96</v>
      </c>
      <c r="I23" s="314">
        <f t="shared" si="2"/>
        <v>68083.179999999993</v>
      </c>
      <c r="J23" s="314">
        <f t="shared" si="3"/>
        <v>67406.22</v>
      </c>
      <c r="K23" s="314">
        <f t="shared" si="4"/>
        <v>676.96</v>
      </c>
      <c r="L23" s="948">
        <f t="shared" si="5"/>
        <v>68083.179999999993</v>
      </c>
      <c r="M23" s="374">
        <f t="shared" si="6"/>
        <v>1483821.22</v>
      </c>
      <c r="N23" s="375">
        <f>+M23/L$815</f>
        <v>0.26273284994414603</v>
      </c>
      <c r="O23" s="376" t="str">
        <f>IF(N23&lt;0.5,"A",IF(N23&gt;0.8,"C","B"))</f>
        <v>A</v>
      </c>
    </row>
    <row r="24" spans="1:15" ht="38.25" x14ac:dyDescent="0.25">
      <c r="A24" s="232">
        <f t="shared" si="1"/>
        <v>24</v>
      </c>
      <c r="B24" s="232"/>
      <c r="C24" s="310" t="s">
        <v>12036</v>
      </c>
      <c r="D24" s="373" t="str">
        <f>IF($C24="","",IFERROR(VLOOKUP($C24,SERVIÇOS!$B:$G,2,0),IFERROR(VLOOKUP($C24,'COMPOSIÇÕES COMPLEMENTARES '!$D:$L,2,0),IFERROR(VLOOKUP($C24,INSUMOS!$A:$D,2,0),""))))</f>
        <v>CONJUNTO DE VIDRO (CV01) EM PERFIL DE ALUMÍNIO SERIE 45, COM PORTA PIVOTANTE DE VIDRO TEMPERADO LISO INCOLOR E=10MM, COM PELÍCULA DE SEGURANÇA, E FOLHAS FIXAS E FOLHAS PROJETANTES COM VIDRO TEMPERADO LISO INCOLOR E=6MM, DIMENSÃO 1634X260CM, CONFORME PROJETO</v>
      </c>
      <c r="E24" s="312" t="str">
        <f>IF($C24="","",IFERROR(VLOOKUP($C24,SERVIÇOS!$B:$G,3,0),IFERROR(VLOOKUP($C24,'COMPOSIÇÕES COMPLEMENTARES '!$D:$L,3,0),IFERROR(VLOOKUP($C24,INSUMOS!$A:$D,3,0),""))))</f>
        <v>UN</v>
      </c>
      <c r="F24" s="313">
        <v>1</v>
      </c>
      <c r="G24" s="314">
        <f>IF($C24="","",IFERROR(VLOOKUP($C24,SERVIÇOS!$B:$G,4,0),IFERROR(VLOOKUP($C24,'COMPOSIÇÕES COMPLEMENTARES '!$D:$L,6,0),IFERROR(VLOOKUP($C24,INSUMOS!$A:$D,4,0),""))))</f>
        <v>61661.83</v>
      </c>
      <c r="H24" s="314">
        <f>IF($C24="","",IFERROR(VLOOKUP($C24,SERVIÇOS!$B:$G,5,0),IFERROR(VLOOKUP($C24,'COMPOSIÇÕES COMPLEMENTARES '!$D:$L,7,0),0)))</f>
        <v>4867.66</v>
      </c>
      <c r="I24" s="314">
        <f t="shared" si="2"/>
        <v>66529.490000000005</v>
      </c>
      <c r="J24" s="314">
        <f t="shared" si="3"/>
        <v>61661.83</v>
      </c>
      <c r="K24" s="314">
        <f t="shared" si="4"/>
        <v>4867.66</v>
      </c>
      <c r="L24" s="948">
        <f t="shared" si="5"/>
        <v>66529.490000000005</v>
      </c>
      <c r="M24" s="374">
        <f t="shared" si="6"/>
        <v>1550350.71</v>
      </c>
      <c r="N24" s="375">
        <f>+M24/L$815</f>
        <v>0.27451289613665875</v>
      </c>
      <c r="O24" s="376" t="str">
        <f>IF(N24&lt;0.5,"A",IF(N24&gt;0.8,"C","B"))</f>
        <v>A</v>
      </c>
    </row>
    <row r="25" spans="1:15" ht="25.5" x14ac:dyDescent="0.25">
      <c r="A25" s="232">
        <f t="shared" si="1"/>
        <v>25</v>
      </c>
      <c r="B25" s="232"/>
      <c r="C25" s="310" t="s">
        <v>20458</v>
      </c>
      <c r="D25" s="373" t="str">
        <f>IF($C25="","",IFERROR(VLOOKUP($C25,SERVIÇOS!$B:$G,2,0),IFERROR(VLOOKUP($C25,'COMPOSIÇÕES COMPLEMENTARES '!$D:$L,2,0),IFERROR(VLOOKUP($C25,INSUMOS!$A:$D,2,0),""))))</f>
        <v>EXECUÇÃO DE CANALETA DE CONCRETO PARA DRENAGEM SUPERFICIAL, TIPO MEIA CANA, ASSENTADA EM ARGAMASSA, NA PARTE SUPERIOR EXTERNA DO TALUDE, INCLUSIVE ESCAVAÇÃO MANUAL DE VALA, ASSENTAMENTO E ACABAMENTO.</v>
      </c>
      <c r="E25" s="312" t="str">
        <f>IF($C25="","",IFERROR(VLOOKUP($C25,SERVIÇOS!$B:$G,3,0),IFERROR(VLOOKUP($C25,'COMPOSIÇÕES COMPLEMENTARES '!$D:$L,3,0),IFERROR(VLOOKUP($C25,INSUMOS!$A:$D,3,0),""))))</f>
        <v>M</v>
      </c>
      <c r="F25" s="313">
        <v>105.02</v>
      </c>
      <c r="G25" s="314">
        <f>IF($C25="","",IFERROR(VLOOKUP($C25,SERVIÇOS!$B:$G,4,0),IFERROR(VLOOKUP($C25,'COMPOSIÇÕES COMPLEMENTARES '!$D:$L,6,0),IFERROR(VLOOKUP($C25,INSUMOS!$A:$D,4,0),""))))</f>
        <v>518.80000000000007</v>
      </c>
      <c r="H25" s="314">
        <f>IF($C25="","",IFERROR(VLOOKUP($C25,SERVIÇOS!$B:$G,5,0),IFERROR(VLOOKUP($C25,'COMPOSIÇÕES COMPLEMENTARES '!$D:$L,7,0),0)))</f>
        <v>38.56</v>
      </c>
      <c r="I25" s="314">
        <f t="shared" si="2"/>
        <v>557.36000000000013</v>
      </c>
      <c r="J25" s="314">
        <f t="shared" si="3"/>
        <v>54484.37</v>
      </c>
      <c r="K25" s="314">
        <f t="shared" si="4"/>
        <v>4049.57</v>
      </c>
      <c r="L25" s="948">
        <f t="shared" si="5"/>
        <v>58533.94</v>
      </c>
      <c r="M25" s="374">
        <f t="shared" si="6"/>
        <v>1608884.65</v>
      </c>
      <c r="N25" s="375">
        <f>+M25/L$815</f>
        <v>0.2848772100225726</v>
      </c>
      <c r="O25" s="376" t="str">
        <f>IF(N25&lt;0.5,"A",IF(N25&gt;0.8,"C","B"))</f>
        <v>A</v>
      </c>
    </row>
    <row r="26" spans="1:15" ht="63.75" x14ac:dyDescent="0.25">
      <c r="A26" s="232">
        <f t="shared" si="1"/>
        <v>26</v>
      </c>
      <c r="B26" s="232"/>
      <c r="C26" s="310" t="s">
        <v>12605</v>
      </c>
      <c r="D26" s="373" t="str">
        <f>IF($C26="","",IFERROR(VLOOKUP($C26,SERVIÇOS!$B:$G,2,0),IFERROR(VLOOKUP($C26,'COMPOSIÇÕES COMPLEMENTARES '!$D:$L,2,0),IFERROR(VLOOKUP($C26,INSUMOS!$A:$D,2,0),""))))</f>
        <v>SISTEMA CENTRAL DE AR COMPRIMIDO MEDICINAL, DE CAPACIDADE MÍNIMA DE OPERAÇÃO DE 12M³/H, CONTENDO: - FILTRO DE ASPIRAÇÃO; - COMPRESSORES DE AR (OPERAÇÃO E BACKUP) DO TIPO PISTÃO ISENTOS DE ÓLEO COM VAZÃO DE OPERAÇÃO; - CONJUNTO DE FILTRAGEM; - SECADOR POR ADSORÇÃO; - RESERVATÓRIO DE AR COMPRIMIDO; - SISTEMA DE REGULAGEM DE PRESSÃO; - PAINEL DE ALARME OPERACIONAL COM TRANSMISSOR DE PRESSÃO DADOS TÉCNICOS:  1810KG - MONOFÁSICA - 4,6KW  - 220V - 60HZ DIMENSÃO: 2100x2000x2800MM (A x L x P). REF: VALMIG AIRMED-STD-12D OU EQUIVALENTE TÉCNICO</v>
      </c>
      <c r="E26" s="312" t="str">
        <f>IF($C26="","",IFERROR(VLOOKUP($C26,SERVIÇOS!$B:$G,3,0),IFERROR(VLOOKUP($C26,'COMPOSIÇÕES COMPLEMENTARES '!$D:$L,3,0),IFERROR(VLOOKUP($C26,INSUMOS!$A:$D,3,0),""))))</f>
        <v>UN</v>
      </c>
      <c r="F26" s="313">
        <v>1</v>
      </c>
      <c r="G26" s="314">
        <f>IF($C26="","",IFERROR(VLOOKUP($C26,SERVIÇOS!$B:$G,4,0),IFERROR(VLOOKUP($C26,'COMPOSIÇÕES COMPLEMENTARES '!$D:$L,6,0),IFERROR(VLOOKUP($C26,INSUMOS!$A:$D,4,0),""))))</f>
        <v>56900</v>
      </c>
      <c r="H26" s="314">
        <f>IF($C26="","",IFERROR(VLOOKUP($C26,SERVIÇOS!$B:$G,5,0),IFERROR(VLOOKUP($C26,'COMPOSIÇÕES COMPLEMENTARES '!$D:$L,7,0),0)))</f>
        <v>0</v>
      </c>
      <c r="I26" s="314">
        <f t="shared" si="2"/>
        <v>56900</v>
      </c>
      <c r="J26" s="314">
        <f t="shared" si="3"/>
        <v>56900</v>
      </c>
      <c r="K26" s="314">
        <f t="shared" si="4"/>
        <v>0</v>
      </c>
      <c r="L26" s="948">
        <f t="shared" si="5"/>
        <v>56900</v>
      </c>
      <c r="M26" s="374">
        <f t="shared" si="6"/>
        <v>1665784.65</v>
      </c>
      <c r="N26" s="375">
        <f>+M26/L$815</f>
        <v>0.29495221027214574</v>
      </c>
      <c r="O26" s="376" t="str">
        <f>IF(N26&lt;0.5,"A",IF(N26&gt;0.8,"C","B"))</f>
        <v>A</v>
      </c>
    </row>
    <row r="27" spans="1:15" x14ac:dyDescent="0.25">
      <c r="A27" s="232">
        <f t="shared" si="1"/>
        <v>27</v>
      </c>
      <c r="B27" s="232"/>
      <c r="C27" s="310">
        <v>100342</v>
      </c>
      <c r="D27" s="373" t="str">
        <f>IF($C27="","",IFERROR(VLOOKUP($C27,SERVIÇOS!$B:$G,2,0),IFERROR(VLOOKUP($C27,'COMPOSIÇÕES COMPLEMENTARES '!$D:$L,2,0),IFERROR(VLOOKUP($C27,INSUMOS!$A:$D,2,0),""))))</f>
        <v>ARMAÇÃO DE CORTINA DE CONTENÇÃO EM CONCRETO ARMADO, COM AÇO CA-50 DE 6,3 MM - MONTAGEM. AF_11/2024</v>
      </c>
      <c r="E27" s="312" t="str">
        <f>IF($C27="","",IFERROR(VLOOKUP($C27,SERVIÇOS!$B:$G,3,0),IFERROR(VLOOKUP($C27,'COMPOSIÇÕES COMPLEMENTARES '!$D:$L,3,0),IFERROR(VLOOKUP($C27,INSUMOS!$A:$D,3,0),""))))</f>
        <v>KG</v>
      </c>
      <c r="F27" s="313">
        <v>2922.9</v>
      </c>
      <c r="G27" s="314">
        <f>IF($C27="","",IFERROR(VLOOKUP($C27,SERVIÇOS!$B:$G,4,0),IFERROR(VLOOKUP($C27,'COMPOSIÇÕES COMPLEMENTARES '!$D:$L,6,0),IFERROR(VLOOKUP($C27,INSUMOS!$A:$D,4,0),""))))</f>
        <v>11.99</v>
      </c>
      <c r="H27" s="314">
        <f>IF($C27="","",IFERROR(VLOOKUP($C27,SERVIÇOS!$B:$G,5,0),IFERROR(VLOOKUP($C27,'COMPOSIÇÕES COMPLEMENTARES '!$D:$L,7,0),0)))</f>
        <v>7.02</v>
      </c>
      <c r="I27" s="314">
        <f t="shared" si="2"/>
        <v>19.009999999999998</v>
      </c>
      <c r="J27" s="314">
        <f t="shared" si="3"/>
        <v>35045.57</v>
      </c>
      <c r="K27" s="314">
        <f t="shared" si="4"/>
        <v>20518.75</v>
      </c>
      <c r="L27" s="948">
        <f t="shared" si="5"/>
        <v>55564.32</v>
      </c>
      <c r="M27" s="374">
        <f t="shared" si="6"/>
        <v>1721348.97</v>
      </c>
      <c r="N27" s="375">
        <f>+M27/L$815</f>
        <v>0.30479070830144911</v>
      </c>
      <c r="O27" s="376" t="str">
        <f>IF(N27&lt;0.5,"A",IF(N27&gt;0.8,"C","B"))</f>
        <v>A</v>
      </c>
    </row>
    <row r="28" spans="1:15" ht="409.5" x14ac:dyDescent="0.25">
      <c r="A28" s="232">
        <f t="shared" si="1"/>
        <v>28</v>
      </c>
      <c r="B28" s="232"/>
      <c r="C28" s="310" t="s">
        <v>12584</v>
      </c>
      <c r="D28" s="373" t="str">
        <f>IF($C28="","",IFERROR(VLOOKUP($C28,SERVIÇOS!$B:$G,2,0),IFERROR(VLOOKUP($C28,'COMPOSIÇÕES COMPLEMENTARES '!$D:$L,2,0),IFERROR(VLOOKUP($C28,INSUMOS!$A:$D,2,0),""))))</f>
        <v>UNIDADES DE TRATAMENTO DE AR MODULAR DE MONTAGEM HORIZONTAL PARA ENTREFORRO
AMBIENTES ATENDIDOS: SALA DE RAIO-X
LOCALIZAÇÃO: ENTREFORRO
TIPO DE SISTEMA DE CLIMATIZAÇÃO: EXPANSÃO DIRETA, FLUIDO R410A (OBS: DEVE ACOMPANHAR VÁLVULA DE EXPANSÃO ELETRÔNICA CONFORME SELEÇÃO DO FABRICANTE)
CARGA TÉRMICA TOTAL DA SERPENTINA: 5,03kW
CARGA TÉRMICA SENSÍVEL DA SERPENTINA: 3,98kW
VAZÃO DE INSUFLAMENTO: 980m³/h
VAZÃO DE AR EXTERNO: 140m³/h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28" s="312" t="str">
        <f>IF($C28="","",IFERROR(VLOOKUP($C28,SERVIÇOS!$B:$G,3,0),IFERROR(VLOOKUP($C28,'COMPOSIÇÕES COMPLEMENTARES '!$D:$L,3,0),IFERROR(VLOOKUP($C28,INSUMOS!$A:$D,3,0),""))))</f>
        <v>UN</v>
      </c>
      <c r="F28" s="313">
        <v>1</v>
      </c>
      <c r="G28" s="314">
        <f>IF($C28="","",IFERROR(VLOOKUP($C28,SERVIÇOS!$B:$G,4,0),IFERROR(VLOOKUP($C28,'COMPOSIÇÕES COMPLEMENTARES '!$D:$L,6,0),IFERROR(VLOOKUP($C28,INSUMOS!$A:$D,4,0),""))))</f>
        <v>51541.840000000004</v>
      </c>
      <c r="H28" s="314">
        <f>IF($C28="","",IFERROR(VLOOKUP($C28,SERVIÇOS!$B:$G,5,0),IFERROR(VLOOKUP($C28,'COMPOSIÇÕES COMPLEMENTARES '!$D:$L,7,0),0)))</f>
        <v>3651.4300000000003</v>
      </c>
      <c r="I28" s="314">
        <f t="shared" si="2"/>
        <v>55193.270000000004</v>
      </c>
      <c r="J28" s="314">
        <f t="shared" si="3"/>
        <v>51541.84</v>
      </c>
      <c r="K28" s="314">
        <f t="shared" si="4"/>
        <v>3651.43</v>
      </c>
      <c r="L28" s="948">
        <f t="shared" si="5"/>
        <v>55193.27</v>
      </c>
      <c r="M28" s="374">
        <f t="shared" si="6"/>
        <v>1776542.24</v>
      </c>
      <c r="N28" s="375">
        <f>+M28/L$815</f>
        <v>0.31456350635109337</v>
      </c>
      <c r="O28" s="376" t="str">
        <f>IF(N28&lt;0.5,"A",IF(N28&gt;0.8,"C","B"))</f>
        <v>A</v>
      </c>
    </row>
    <row r="29" spans="1:15" ht="409.5" x14ac:dyDescent="0.25">
      <c r="A29" s="232">
        <f t="shared" si="1"/>
        <v>29</v>
      </c>
      <c r="B29" s="232"/>
      <c r="C29" s="310" t="s">
        <v>12583</v>
      </c>
      <c r="D29" s="373" t="str">
        <f>IF($C29="","",IFERROR(VLOOKUP($C29,SERVIÇOS!$B:$G,2,0),IFERROR(VLOOKUP($C29,'COMPOSIÇÕES COMPLEMENTARES '!$D:$L,2,0),IFERROR(VLOOKUP($C29,INSUMOS!$A:$D,2,0),""))))</f>
        <v>UNIDADES DE TRATAMENTO DE AR MODULAR DE MONTAGEM HORIZONTAL PARA ENTREFORRO
AMBIENTES ATENDIDOS: SALA DE EMERGÊNCIA
LOCALIZAÇÃO: ENTREFORRO
TIPO DE SISTEMA DE CLIMATIZAÇÃO: EXPANSÃO DIRETA, FLUIDO R410A (OBS: DEVE ACOMPANHAR VÁLVULA DE EXPANSÃO ELETRÔNICA CONFORME SELEÇÃO DO FABRICANTE)
CARGA TÉRMICA TOTAL DA SERPENTINA: 4,29kW
CARGA TÉRMICA SENSÍVEL DA SERPENTINA: 3,09kW
VAZÃO DE INSUFLAMENTO: 830m³/h
VAZÃO DE AR EXTERNO: 100m³/h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29" s="312" t="str">
        <f>IF($C29="","",IFERROR(VLOOKUP($C29,SERVIÇOS!$B:$G,3,0),IFERROR(VLOOKUP($C29,'COMPOSIÇÕES COMPLEMENTARES '!$D:$L,3,0),IFERROR(VLOOKUP($C29,INSUMOS!$A:$D,3,0),""))))</f>
        <v>UN</v>
      </c>
      <c r="F29" s="313">
        <v>1</v>
      </c>
      <c r="G29" s="314">
        <f>IF($C29="","",IFERROR(VLOOKUP($C29,SERVIÇOS!$B:$G,4,0),IFERROR(VLOOKUP($C29,'COMPOSIÇÕES COMPLEMENTARES '!$D:$L,6,0),IFERROR(VLOOKUP($C29,INSUMOS!$A:$D,4,0),""))))</f>
        <v>50306.36</v>
      </c>
      <c r="H29" s="314">
        <f>IF($C29="","",IFERROR(VLOOKUP($C29,SERVIÇOS!$B:$G,5,0),IFERROR(VLOOKUP($C29,'COMPOSIÇÕES COMPLEMENTARES '!$D:$L,7,0),0)))</f>
        <v>3651.4300000000003</v>
      </c>
      <c r="I29" s="314">
        <f t="shared" si="2"/>
        <v>53957.79</v>
      </c>
      <c r="J29" s="314">
        <f t="shared" si="3"/>
        <v>50306.36</v>
      </c>
      <c r="K29" s="314">
        <f t="shared" si="4"/>
        <v>3651.43</v>
      </c>
      <c r="L29" s="948">
        <f t="shared" si="5"/>
        <v>53957.79</v>
      </c>
      <c r="M29" s="374">
        <f t="shared" si="6"/>
        <v>1830500.03</v>
      </c>
      <c r="N29" s="375">
        <f>+M29/L$815</f>
        <v>0.3241175440965488</v>
      </c>
      <c r="O29" s="376" t="str">
        <f>IF(N29&lt;0.5,"A",IF(N29&gt;0.8,"C","B"))</f>
        <v>A</v>
      </c>
    </row>
    <row r="30" spans="1:15" ht="409.5" x14ac:dyDescent="0.25">
      <c r="A30" s="232">
        <f t="shared" si="1"/>
        <v>30</v>
      </c>
      <c r="B30" s="232"/>
      <c r="C30" s="310" t="s">
        <v>12585</v>
      </c>
      <c r="D30" s="373" t="str">
        <f>IF($C30="","",IFERROR(VLOOKUP($C30,SERVIÇOS!$B:$G,2,0),IFERROR(VLOOKUP($C30,'COMPOSIÇÕES COMPLEMENTARES '!$D:$L,2,0),IFERROR(VLOOKUP($C30,INSUMOS!$A:$D,2,0),""))))</f>
        <v>UNIDADES DE TRATAMENTO DE AR MODULAR DE MONTAGEM HORIZONTAL PARA ENTREFORRO 
AMBIENTES ATENDIDOS: FARMÁCIA - DILUIÇÃO
LOCALIZAÇÃO: ENTREFORRO
TIPO DE SISTEMA DE CLIMATIZAÇÃO: EXPANSÃO DIRETA, FLUIDO R410A (OBS: DEVE ACOMPANHAR VÁLVULA DE EXPANSÃO ELETRÔNICA CONFORME SELEÇÃO DO FABRICANTE)
CARGA TÉRMICA TOTAL DA SERPENTINA: 3,55kW
CARGA TÉRMICA SENSÍVEL DA SERPENTINA: 2,51kW
VAZÃO DE INSUFLAMENTO: 700m³/h
VAZÃO DE AR EXTERNO: 100m³/h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30" s="312" t="str">
        <f>IF($C30="","",IFERROR(VLOOKUP($C30,SERVIÇOS!$B:$G,3,0),IFERROR(VLOOKUP($C30,'COMPOSIÇÕES COMPLEMENTARES '!$D:$L,3,0),IFERROR(VLOOKUP($C30,INSUMOS!$A:$D,3,0),""))))</f>
        <v>UN</v>
      </c>
      <c r="F30" s="313">
        <v>1</v>
      </c>
      <c r="G30" s="314">
        <f>IF($C30="","",IFERROR(VLOOKUP($C30,SERVIÇOS!$B:$G,4,0),IFERROR(VLOOKUP($C30,'COMPOSIÇÕES COMPLEMENTARES '!$D:$L,6,0),IFERROR(VLOOKUP($C30,INSUMOS!$A:$D,4,0),""))))</f>
        <v>50306.36</v>
      </c>
      <c r="H30" s="314">
        <f>IF($C30="","",IFERROR(VLOOKUP($C30,SERVIÇOS!$B:$G,5,0),IFERROR(VLOOKUP($C30,'COMPOSIÇÕES COMPLEMENTARES '!$D:$L,7,0),0)))</f>
        <v>3651.4300000000003</v>
      </c>
      <c r="I30" s="314">
        <f t="shared" si="2"/>
        <v>53957.79</v>
      </c>
      <c r="J30" s="314">
        <f t="shared" si="3"/>
        <v>50306.36</v>
      </c>
      <c r="K30" s="314">
        <f t="shared" si="4"/>
        <v>3651.43</v>
      </c>
      <c r="L30" s="948">
        <f t="shared" si="5"/>
        <v>53957.79</v>
      </c>
      <c r="M30" s="374">
        <f t="shared" si="6"/>
        <v>1884457.82</v>
      </c>
      <c r="N30" s="375">
        <f>+M30/L$815</f>
        <v>0.33367158184200424</v>
      </c>
      <c r="O30" s="376" t="str">
        <f>IF(N30&lt;0.5,"A",IF(N30&gt;0.8,"C","B"))</f>
        <v>A</v>
      </c>
    </row>
    <row r="31" spans="1:15" ht="405" x14ac:dyDescent="0.25">
      <c r="A31" s="232">
        <f t="shared" si="1"/>
        <v>31</v>
      </c>
      <c r="B31" s="232"/>
      <c r="C31" s="310" t="s">
        <v>12586</v>
      </c>
      <c r="D31" s="377" t="str">
        <f>IF($C31="","",IFERROR(VLOOKUP($C31,SERVIÇOS!$B:$G,2,0),IFERROR(VLOOKUP($C31,'COMPOSIÇÕES COMPLEMENTARES '!$D:$L,2,0),IFERROR(VLOOKUP($C31,INSUMOS!$A:$D,2,0),""))))</f>
        <v>UNIDADES DE TRATAMENTO DE AR MODULAR DE MONTAGEM HORIZONTAL PARA ENTREFORRO
AMBIENTES ATENDIDOS: FARMÁCIA - FRACIONAMENTO
LOCALIZAÇÃO: ENTREFORRO
TIPO DE SISTEMA DE CLIMATIZAÇÃO: EXPANSÃO DIRETA, FLUIDO R410A (OBS: DEVE ACOMPANHAR VÁLVULA DE EXPANSÃO ELETRÔNICA CONFORME SELEÇÃO DO FABRICANTE)
CARGA TÉRMICA TOTAL DA SERPENTINA: 1,60kW
CARGA TÉRMICA SENSÍVEL DA SERPENTINA: 1,11kW
VAZÃO DE INSUFLAMENTO: 700m³/h
VAZÃO DE AR EXTERNO: 30m³/h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31" s="312" t="str">
        <f>IF($C31="","",IFERROR(VLOOKUP($C31,SERVIÇOS!$B:$G,3,0),IFERROR(VLOOKUP($C31,'COMPOSIÇÕES COMPLEMENTARES '!$D:$L,3,0),IFERROR(VLOOKUP($C31,INSUMOS!$A:$D,3,0),""))))</f>
        <v>UN</v>
      </c>
      <c r="F31" s="313">
        <v>1</v>
      </c>
      <c r="G31" s="314">
        <f>IF($C31="","",IFERROR(VLOOKUP($C31,SERVIÇOS!$B:$G,4,0),IFERROR(VLOOKUP($C31,'COMPOSIÇÕES COMPLEMENTARES '!$D:$L,6,0),IFERROR(VLOOKUP($C31,INSUMOS!$A:$D,4,0),""))))</f>
        <v>50306.36</v>
      </c>
      <c r="H31" s="314">
        <f>IF($C31="","",IFERROR(VLOOKUP($C31,SERVIÇOS!$B:$G,5,0),IFERROR(VLOOKUP($C31,'COMPOSIÇÕES COMPLEMENTARES '!$D:$L,7,0),0)))</f>
        <v>3651.4300000000003</v>
      </c>
      <c r="I31" s="314">
        <f t="shared" si="2"/>
        <v>53957.79</v>
      </c>
      <c r="J31" s="314">
        <f t="shared" si="3"/>
        <v>50306.36</v>
      </c>
      <c r="K31" s="314">
        <f t="shared" si="4"/>
        <v>3651.43</v>
      </c>
      <c r="L31" s="948">
        <f t="shared" si="5"/>
        <v>53957.79</v>
      </c>
      <c r="M31" s="374">
        <f t="shared" si="6"/>
        <v>1938415.61</v>
      </c>
      <c r="N31" s="375">
        <f>+M31/L$815</f>
        <v>0.34322561958745967</v>
      </c>
      <c r="O31" s="376" t="str">
        <f>IF(N31&lt;0.5,"A",IF(N31&gt;0.8,"C","B"))</f>
        <v>A</v>
      </c>
    </row>
    <row r="32" spans="1:15" ht="409.5" x14ac:dyDescent="0.25">
      <c r="A32" s="232">
        <f t="shared" si="1"/>
        <v>32</v>
      </c>
      <c r="B32" s="232"/>
      <c r="C32" s="310" t="s">
        <v>12587</v>
      </c>
      <c r="D32" s="373" t="str">
        <f>IF($C32="","",IFERROR(VLOOKUP($C32,SERVIÇOS!$B:$G,2,0),IFERROR(VLOOKUP($C32,'COMPOSIÇÕES COMPLEMENTARES '!$D:$L,2,0),IFERROR(VLOOKUP($C32,INSUMOS!$A:$D,2,0),""))))</f>
        <v>UNIDADES DE TRATAMENTO DE AR MODULAR DE MONTAGEM HORIZONTAL PARA ENTREFORRO
AMBIENTES ATENDIDOS: FARMÁCIA - CAF
LOCALIZAÇÃO: ENTREFORRO
TIPO DE SISTEMA DE CLIMATIZAÇÃO: EXPANSÃO DIRETA, FLUIDO R410A (OBS: DEVE ACOMPANHAR VÁLVULA DE EXPANSÃO ELETRÔNICA CONFORME SELEÇÃO DO FABRICANTE)
CARGA TÉRMICA TOTAL DA SERPENTINA: 4,35kW
CARGA TÉRMICA SENSÍVEL DA SERPENTINA: 3,26kW
VAZÃO DE INSUFLAMENTO: 700m³/h
VAZÃO DE AR EXTERNO: 50m³/h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32" s="312" t="str">
        <f>IF($C32="","",IFERROR(VLOOKUP($C32,SERVIÇOS!$B:$G,3,0),IFERROR(VLOOKUP($C32,'COMPOSIÇÕES COMPLEMENTARES '!$D:$L,3,0),IFERROR(VLOOKUP($C32,INSUMOS!$A:$D,3,0),""))))</f>
        <v>UN</v>
      </c>
      <c r="F32" s="313">
        <v>1</v>
      </c>
      <c r="G32" s="314">
        <f>IF($C32="","",IFERROR(VLOOKUP($C32,SERVIÇOS!$B:$G,4,0),IFERROR(VLOOKUP($C32,'COMPOSIÇÕES COMPLEMENTARES '!$D:$L,6,0),IFERROR(VLOOKUP($C32,INSUMOS!$A:$D,4,0),""))))</f>
        <v>50306.36</v>
      </c>
      <c r="H32" s="314">
        <f>IF($C32="","",IFERROR(VLOOKUP($C32,SERVIÇOS!$B:$G,5,0),IFERROR(VLOOKUP($C32,'COMPOSIÇÕES COMPLEMENTARES '!$D:$L,7,0),0)))</f>
        <v>3651.4300000000003</v>
      </c>
      <c r="I32" s="314">
        <f t="shared" si="2"/>
        <v>53957.79</v>
      </c>
      <c r="J32" s="314">
        <f t="shared" si="3"/>
        <v>50306.36</v>
      </c>
      <c r="K32" s="314">
        <f t="shared" si="4"/>
        <v>3651.43</v>
      </c>
      <c r="L32" s="948">
        <f t="shared" si="5"/>
        <v>53957.79</v>
      </c>
      <c r="M32" s="374">
        <f t="shared" si="6"/>
        <v>1992373.4000000001</v>
      </c>
      <c r="N32" s="375">
        <f>+M32/L$815</f>
        <v>0.35277965733291516</v>
      </c>
      <c r="O32" s="376" t="str">
        <f>IF(N32&lt;0.5,"A",IF(N32&gt;0.8,"C","B"))</f>
        <v>A</v>
      </c>
    </row>
    <row r="33" spans="1:15" ht="409.5" x14ac:dyDescent="0.25">
      <c r="A33" s="232">
        <f t="shared" si="1"/>
        <v>33</v>
      </c>
      <c r="B33" s="232"/>
      <c r="C33" s="310" t="s">
        <v>12588</v>
      </c>
      <c r="D33" s="373" t="str">
        <f>IF($C33="","",IFERROR(VLOOKUP($C33,SERVIÇOS!$B:$G,2,0),IFERROR(VLOOKUP($C33,'COMPOSIÇÕES COMPLEMENTARES '!$D:$L,2,0),IFERROR(VLOOKUP($C33,INSUMOS!$A:$D,2,0),""))))</f>
        <v>UNIDADES DE TRATAMENTO DE AR MODULAR DE MONTAGEM HORIZONTAL PARA ENTREFORRO
AMBIENTES ATENDIDOS:  CLASSIFICAÇÃO DE RISCO
LOCALIZAÇÃO: ENTREFORRO
TIPO DE SISTEMA DE CLIMATIZAÇÃO: EXPANSÃO DIRETA, FLUIDO R410A (OBS: DEVE ACOMPANHAR VÁLVULA DE EXPANSÃO ELETRÔNICA CONFORME SELEÇÃO DO FABRICANTE)
CARGA TÉRMICA TOTAL DA SERPENTINA: 1,54kW
CARGA TÉRMICA SENSÍVEL DA SERPENTINA: 1,11kW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33" s="312" t="str">
        <f>IF($C33="","",IFERROR(VLOOKUP($C33,SERVIÇOS!$B:$G,3,0),IFERROR(VLOOKUP($C33,'COMPOSIÇÕES COMPLEMENTARES '!$D:$L,3,0),IFERROR(VLOOKUP($C33,INSUMOS!$A:$D,3,0),""))))</f>
        <v>UN</v>
      </c>
      <c r="F33" s="313">
        <v>1</v>
      </c>
      <c r="G33" s="314">
        <f>IF($C33="","",IFERROR(VLOOKUP($C33,SERVIÇOS!$B:$G,4,0),IFERROR(VLOOKUP($C33,'COMPOSIÇÕES COMPLEMENTARES '!$D:$L,6,0),IFERROR(VLOOKUP($C33,INSUMOS!$A:$D,4,0),""))))</f>
        <v>50306.36</v>
      </c>
      <c r="H33" s="314">
        <f>IF($C33="","",IFERROR(VLOOKUP($C33,SERVIÇOS!$B:$G,5,0),IFERROR(VLOOKUP($C33,'COMPOSIÇÕES COMPLEMENTARES '!$D:$L,7,0),0)))</f>
        <v>3651.4300000000003</v>
      </c>
      <c r="I33" s="314">
        <f t="shared" si="2"/>
        <v>53957.79</v>
      </c>
      <c r="J33" s="314">
        <f t="shared" si="3"/>
        <v>50306.36</v>
      </c>
      <c r="K33" s="314">
        <f t="shared" si="4"/>
        <v>3651.43</v>
      </c>
      <c r="L33" s="948">
        <f t="shared" si="5"/>
        <v>53957.79</v>
      </c>
      <c r="M33" s="374">
        <f t="shared" si="6"/>
        <v>2046331.1900000002</v>
      </c>
      <c r="N33" s="375">
        <f>+M33/L$815</f>
        <v>0.3623336950783706</v>
      </c>
      <c r="O33" s="376" t="str">
        <f>IF(N33&lt;0.5,"A",IF(N33&gt;0.8,"C","B"))</f>
        <v>A</v>
      </c>
    </row>
    <row r="34" spans="1:15" x14ac:dyDescent="0.25">
      <c r="A34" s="232">
        <f t="shared" si="1"/>
        <v>34</v>
      </c>
      <c r="B34" s="232"/>
      <c r="C34" s="310" t="s">
        <v>12526</v>
      </c>
      <c r="D34" s="373" t="str">
        <f>IF($C34="","",IFERROR(VLOOKUP($C34,SERVIÇOS!$B:$G,2,0),IFERROR(VLOOKUP($C34,'COMPOSIÇÕES COMPLEMENTARES '!$D:$L,2,0),IFERROR(VLOOKUP($C34,INSUMOS!$A:$D,2,0),""))))</f>
        <v>POSTO DE TRANSFORMAÇÃO - 150KVA - 220/127V - CONFORME PROJETO, MEMORIAL E LISTA DE MATERIAIS</v>
      </c>
      <c r="E34" s="312" t="str">
        <f>IF($C34="","",IFERROR(VLOOKUP($C34,SERVIÇOS!$B:$G,3,0),IFERROR(VLOOKUP($C34,'COMPOSIÇÕES COMPLEMENTARES '!$D:$L,3,0),IFERROR(VLOOKUP($C34,INSUMOS!$A:$D,3,0),""))))</f>
        <v>CJ</v>
      </c>
      <c r="F34" s="313">
        <v>1</v>
      </c>
      <c r="G34" s="314">
        <f>IF($C34="","",IFERROR(VLOOKUP($C34,SERVIÇOS!$B:$G,4,0),IFERROR(VLOOKUP($C34,'COMPOSIÇÕES COMPLEMENTARES '!$D:$L,6,0),IFERROR(VLOOKUP($C34,INSUMOS!$A:$D,4,0),""))))</f>
        <v>43581.56</v>
      </c>
      <c r="H34" s="314">
        <f>IF($C34="","",IFERROR(VLOOKUP($C34,SERVIÇOS!$B:$G,5,0),IFERROR(VLOOKUP($C34,'COMPOSIÇÕES COMPLEMENTARES '!$D:$L,7,0),0)))</f>
        <v>6220.83</v>
      </c>
      <c r="I34" s="314">
        <f t="shared" si="2"/>
        <v>49802.39</v>
      </c>
      <c r="J34" s="314">
        <f t="shared" si="3"/>
        <v>43581.56</v>
      </c>
      <c r="K34" s="314">
        <f t="shared" si="4"/>
        <v>6220.83</v>
      </c>
      <c r="L34" s="948">
        <f t="shared" si="5"/>
        <v>49802.39</v>
      </c>
      <c r="M34" s="374">
        <f t="shared" si="6"/>
        <v>2096133.58</v>
      </c>
      <c r="N34" s="375">
        <f>+M34/L$815</f>
        <v>0.37115195679505492</v>
      </c>
      <c r="O34" s="376" t="str">
        <f>IF(N34&lt;0.5,"A",IF(N34&gt;0.8,"C","B"))</f>
        <v>A</v>
      </c>
    </row>
    <row r="35" spans="1:15" ht="25.5" x14ac:dyDescent="0.25">
      <c r="A35" s="232">
        <f t="shared" si="1"/>
        <v>35</v>
      </c>
      <c r="B35" s="232"/>
      <c r="C35" s="310" t="s">
        <v>11962</v>
      </c>
      <c r="D35" s="373" t="str">
        <f>IF($C35="","",IFERROR(VLOOKUP($C35,SERVIÇOS!$B:$G,2,0),IFERROR(VLOOKUP($C35,'COMPOSIÇÕES COMPLEMENTARES '!$D:$L,2,0),IFERROR(VLOOKUP($C35,INSUMOS!$A:$D,2,0),""))))</f>
        <v>PAREDE COM PLACAS DE GESSO ACARTONADO (DRYWALL), E=11,5cm, COM DUAS FACES SIMPLES STANDARD E RESISTENTE A UMIDADE (ST/RU), ESTRUTURA METÁLICA COM GUIAS SIMPLES DE 90MM</v>
      </c>
      <c r="E35" s="312" t="str">
        <f>IF($C35="","",IFERROR(VLOOKUP($C35,SERVIÇOS!$B:$G,3,0),IFERROR(VLOOKUP($C35,'COMPOSIÇÕES COMPLEMENTARES '!$D:$L,3,0),IFERROR(VLOOKUP($C35,INSUMOS!$A:$D,3,0),""))))</f>
        <v>M2</v>
      </c>
      <c r="F35" s="313">
        <v>282.17</v>
      </c>
      <c r="G35" s="314">
        <f>IF($C35="","",IFERROR(VLOOKUP($C35,SERVIÇOS!$B:$G,4,0),IFERROR(VLOOKUP($C35,'COMPOSIÇÕES COMPLEMENTARES '!$D:$L,6,0),IFERROR(VLOOKUP($C35,INSUMOS!$A:$D,4,0),""))))</f>
        <v>171.6</v>
      </c>
      <c r="H35" s="314">
        <f>IF($C35="","",IFERROR(VLOOKUP($C35,SERVIÇOS!$B:$G,5,0),IFERROR(VLOOKUP($C35,'COMPOSIÇÕES COMPLEMENTARES '!$D:$L,7,0),0)))</f>
        <v>3.85</v>
      </c>
      <c r="I35" s="314">
        <f t="shared" si="2"/>
        <v>175.45</v>
      </c>
      <c r="J35" s="314">
        <f t="shared" si="3"/>
        <v>48420.37</v>
      </c>
      <c r="K35" s="314">
        <f t="shared" si="4"/>
        <v>1086.3499999999999</v>
      </c>
      <c r="L35" s="948">
        <f t="shared" si="5"/>
        <v>49506.720000000001</v>
      </c>
      <c r="M35" s="374">
        <f t="shared" si="6"/>
        <v>2145640.3000000003</v>
      </c>
      <c r="N35" s="375">
        <f>+M35/L$815</f>
        <v>0.37991786569409797</v>
      </c>
      <c r="O35" s="376" t="str">
        <f>IF(N35&lt;0.5,"A",IF(N35&gt;0.8,"C","B"))</f>
        <v>A</v>
      </c>
    </row>
    <row r="36" spans="1:15" ht="409.5" x14ac:dyDescent="0.25">
      <c r="A36" s="232">
        <f t="shared" si="1"/>
        <v>36</v>
      </c>
      <c r="B36" s="232"/>
      <c r="C36" s="310" t="s">
        <v>12580</v>
      </c>
      <c r="D36" s="373" t="str">
        <f>IF($C36="","",IFERROR(VLOOKUP($C36,SERVIÇOS!$B:$G,2,0),IFERROR(VLOOKUP($C36,'COMPOSIÇÕES COMPLEMENTARES '!$D:$L,2,0),IFERROR(VLOOKUP($C36,INSUMOS!$A:$D,2,0),""))))</f>
        <v>UNIDADES DE TRATAMENTO DE AR MODULAR DE MONTAGEM HORIZONTAL
AMBIENTES ATENDIDOS: QUARTO DE ISOLAMENTO
LOCALIZAÇÃO: LAJE EXPOSTA AO TEMPO
TIPO DE SISTEMA DE CLIMATIZAÇÃO: EXPANSÃO DIRETA, FLUIDO R410A (OBS: DEVE ACOMPANHAR VÁLVULA DE EXPANSÃO ELETRÔNICA CONFORME SELEÇÃO DO FABRICANTE)
CARGA TÉRMICA TOTAL DA SERPENTINA: 10,30kW
CARGA TÉRMICA SENSÍVEL DA SERPENTINA: 5,67kW
VAZÃO DE INSUFLAMENTO: 880m³/h
VAZÃO DE AR EXTERNO: 880m³/h (100% AR EXTERNO)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0,75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36" s="312" t="str">
        <f>IF($C36="","",IFERROR(VLOOKUP($C36,SERVIÇOS!$B:$G,3,0),IFERROR(VLOOKUP($C36,'COMPOSIÇÕES COMPLEMENTARES '!$D:$L,3,0),IFERROR(VLOOKUP($C36,INSUMOS!$A:$D,3,0),""))))</f>
        <v>UN</v>
      </c>
      <c r="F36" s="313">
        <v>1</v>
      </c>
      <c r="G36" s="314">
        <f>IF($C36="","",IFERROR(VLOOKUP($C36,SERVIÇOS!$B:$G,4,0),IFERROR(VLOOKUP($C36,'COMPOSIÇÕES COMPLEMENTARES '!$D:$L,6,0),IFERROR(VLOOKUP($C36,INSUMOS!$A:$D,4,0),""))))</f>
        <v>46384.979999999996</v>
      </c>
      <c r="H36" s="314">
        <f>IF($C36="","",IFERROR(VLOOKUP($C36,SERVIÇOS!$B:$G,5,0),IFERROR(VLOOKUP($C36,'COMPOSIÇÕES COMPLEMENTARES '!$D:$L,7,0),0)))</f>
        <v>2841.19</v>
      </c>
      <c r="I36" s="314">
        <f t="shared" si="2"/>
        <v>49226.17</v>
      </c>
      <c r="J36" s="314">
        <f t="shared" si="3"/>
        <v>46384.98</v>
      </c>
      <c r="K36" s="314">
        <f t="shared" si="4"/>
        <v>2841.19</v>
      </c>
      <c r="L36" s="948">
        <f t="shared" si="5"/>
        <v>49226.17</v>
      </c>
      <c r="M36" s="374">
        <f t="shared" si="6"/>
        <v>2194866.4700000002</v>
      </c>
      <c r="N36" s="375">
        <f>+M36/L$815</f>
        <v>0.38863409899876455</v>
      </c>
      <c r="O36" s="376" t="str">
        <f>IF(N36&lt;0.5,"A",IF(N36&gt;0.8,"C","B"))</f>
        <v>A</v>
      </c>
    </row>
    <row r="37" spans="1:15" ht="25.5" x14ac:dyDescent="0.25">
      <c r="A37" s="232">
        <f t="shared" si="1"/>
        <v>37</v>
      </c>
      <c r="B37" s="232"/>
      <c r="C37" s="310">
        <v>95875</v>
      </c>
      <c r="D37" s="373" t="str">
        <f>IF($C37="","",IFERROR(VLOOKUP($C37,SERVIÇOS!$B:$G,2,0),IFERROR(VLOOKUP($C37,'COMPOSIÇÕES COMPLEMENTARES '!$D:$L,2,0),IFERROR(VLOOKUP($C37,INSUMOS!$A:$D,2,0),""))))</f>
        <v>TRANSPORTE COM CAMINHÃO BASCULANTE DE 10 M³, EM VIA URBANA PAVIMENTADA, DMT ATÉ 30 KM (UNIDADE: M3XKM). AF_07/2020</v>
      </c>
      <c r="E37" s="312" t="str">
        <f>IF($C37="","",IFERROR(VLOOKUP($C37,SERVIÇOS!$B:$G,3,0),IFERROR(VLOOKUP($C37,'COMPOSIÇÕES COMPLEMENTARES '!$D:$L,3,0),IFERROR(VLOOKUP($C37,INSUMOS!$A:$D,3,0),""))))</f>
        <v>M3XKM</v>
      </c>
      <c r="F37" s="313">
        <v>17241.349999999999</v>
      </c>
      <c r="G37" s="314">
        <f>IF($C37="","",IFERROR(VLOOKUP($C37,SERVIÇOS!$B:$G,4,0),IFERROR(VLOOKUP($C37,'COMPOSIÇÕES COMPLEMENTARES '!$D:$L,6,0),IFERROR(VLOOKUP($C37,INSUMOS!$A:$D,4,0),""))))</f>
        <v>2.3199999999999998</v>
      </c>
      <c r="H37" s="314">
        <f>IF($C37="","",IFERROR(VLOOKUP($C37,SERVIÇOS!$B:$G,5,0),IFERROR(VLOOKUP($C37,'COMPOSIÇÕES COMPLEMENTARES '!$D:$L,7,0),0)))</f>
        <v>0.33</v>
      </c>
      <c r="I37" s="314">
        <f t="shared" si="2"/>
        <v>2.65</v>
      </c>
      <c r="J37" s="314">
        <f t="shared" si="3"/>
        <v>39999.93</v>
      </c>
      <c r="K37" s="314">
        <f t="shared" si="4"/>
        <v>5689.64</v>
      </c>
      <c r="L37" s="948">
        <f t="shared" si="5"/>
        <v>45689.57</v>
      </c>
      <c r="M37" s="374">
        <f t="shared" si="6"/>
        <v>2240556.04</v>
      </c>
      <c r="N37" s="375">
        <f>+M37/L$815</f>
        <v>0.39672412411568697</v>
      </c>
      <c r="O37" s="376" t="str">
        <f>IF(N37&lt;0.5,"A",IF(N37&gt;0.8,"C","B"))</f>
        <v>A</v>
      </c>
    </row>
    <row r="38" spans="1:15" ht="25.5" x14ac:dyDescent="0.25">
      <c r="A38" s="232">
        <f t="shared" si="1"/>
        <v>38</v>
      </c>
      <c r="B38" s="232"/>
      <c r="C38" s="310" t="s">
        <v>12000</v>
      </c>
      <c r="D38" s="373" t="str">
        <f>IF($C38="","",IFERROR(VLOOKUP($C38,SERVIÇOS!$B:$G,2,0),IFERROR(VLOOKUP($C38,'COMPOSIÇÕES COMPLEMENTARES '!$D:$L,2,0),IFERROR(VLOOKUP($C38,INSUMOS!$A:$D,2,0),""))))</f>
        <v>EMBOÇO OU MASSA ÚNICA EM ARGAMASSA TRAÇO 1:2:8, PREPARO MECÂNICO COM BETONEIRA 400 L, APLICADA MANUALMENTE EM PANOS DE FACHADA, ESPESSURA DE 15 MM. AF_06/2014</v>
      </c>
      <c r="E38" s="312" t="str">
        <f>IF($C38="","",IFERROR(VLOOKUP($C38,SERVIÇOS!$B:$G,3,0),IFERROR(VLOOKUP($C38,'COMPOSIÇÕES COMPLEMENTARES '!$D:$L,3,0),IFERROR(VLOOKUP($C38,INSUMOS!$A:$D,3,0),""))))</f>
        <v>M2</v>
      </c>
      <c r="F38" s="313">
        <v>949.9</v>
      </c>
      <c r="G38" s="314">
        <f>IF($C38="","",IFERROR(VLOOKUP($C38,SERVIÇOS!$B:$G,4,0),IFERROR(VLOOKUP($C38,'COMPOSIÇÕES COMPLEMENTARES '!$D:$L,6,0),IFERROR(VLOOKUP($C38,INSUMOS!$A:$D,4,0),""))))</f>
        <v>17.88</v>
      </c>
      <c r="H38" s="314">
        <f>IF($C38="","",IFERROR(VLOOKUP($C38,SERVIÇOS!$B:$G,5,0),IFERROR(VLOOKUP($C38,'COMPOSIÇÕES COMPLEMENTARES '!$D:$L,7,0),0)))</f>
        <v>29.95</v>
      </c>
      <c r="I38" s="314">
        <f t="shared" si="2"/>
        <v>47.83</v>
      </c>
      <c r="J38" s="314">
        <f t="shared" si="3"/>
        <v>16984.21</v>
      </c>
      <c r="K38" s="314">
        <f t="shared" si="4"/>
        <v>28449.5</v>
      </c>
      <c r="L38" s="948">
        <f t="shared" si="5"/>
        <v>45433.71</v>
      </c>
      <c r="M38" s="374">
        <f t="shared" si="6"/>
        <v>2285989.75</v>
      </c>
      <c r="N38" s="375">
        <f>+M38/L$815</f>
        <v>0.40476884537384222</v>
      </c>
      <c r="O38" s="376" t="str">
        <f>IF(N38&lt;0.5,"A",IF(N38&gt;0.8,"C","B"))</f>
        <v>A</v>
      </c>
    </row>
    <row r="39" spans="1:15" ht="25.5" x14ac:dyDescent="0.25">
      <c r="A39" s="232">
        <f t="shared" si="1"/>
        <v>39</v>
      </c>
      <c r="B39" s="232"/>
      <c r="C39" s="310">
        <v>103324</v>
      </c>
      <c r="D39" s="373" t="str">
        <f>IF($C39="","",IFERROR(VLOOKUP($C39,SERVIÇOS!$B:$G,2,0),IFERROR(VLOOKUP($C39,'COMPOSIÇÕES COMPLEMENTARES '!$D:$L,2,0),IFERROR(VLOOKUP($C39,INSUMOS!$A:$D,2,0),""))))</f>
        <v>ALVENARIA DE VEDAÇÃO DE BLOCOS CERÂMICOS FURADOS NA VERTICAL DE 14X19X39 CM (ESPESSURA 14 CM) E ARGAMASSA DE ASSENTAMENTO COM PREPARO EM BETONEIRA. AF_12/2021</v>
      </c>
      <c r="E39" s="312" t="str">
        <f>IF($C39="","",IFERROR(VLOOKUP($C39,SERVIÇOS!$B:$G,3,0),IFERROR(VLOOKUP($C39,'COMPOSIÇÕES COMPLEMENTARES '!$D:$L,3,0),IFERROR(VLOOKUP($C39,INSUMOS!$A:$D,3,0),""))))</f>
        <v>M2</v>
      </c>
      <c r="F39" s="313">
        <v>484</v>
      </c>
      <c r="G39" s="314">
        <f>IF($C39="","",IFERROR(VLOOKUP($C39,SERVIÇOS!$B:$G,4,0),IFERROR(VLOOKUP($C39,'COMPOSIÇÕES COMPLEMENTARES '!$D:$L,6,0),IFERROR(VLOOKUP($C39,INSUMOS!$A:$D,4,0),""))))</f>
        <v>53.33</v>
      </c>
      <c r="H39" s="314">
        <f>IF($C39="","",IFERROR(VLOOKUP($C39,SERVIÇOS!$B:$G,5,0),IFERROR(VLOOKUP($C39,'COMPOSIÇÕES COMPLEMENTARES '!$D:$L,7,0),0)))</f>
        <v>33.47</v>
      </c>
      <c r="I39" s="314">
        <f t="shared" si="2"/>
        <v>86.8</v>
      </c>
      <c r="J39" s="314">
        <f t="shared" si="3"/>
        <v>25811.72</v>
      </c>
      <c r="K39" s="314">
        <f t="shared" si="4"/>
        <v>16199.48</v>
      </c>
      <c r="L39" s="948">
        <f t="shared" si="5"/>
        <v>42011.199999999997</v>
      </c>
      <c r="M39" s="374">
        <f t="shared" si="6"/>
        <v>2328000.9500000002</v>
      </c>
      <c r="N39" s="375">
        <f>+M39/L$815</f>
        <v>0.41220755979361146</v>
      </c>
      <c r="O39" s="376" t="str">
        <f>IF(N39&lt;0.5,"A",IF(N39&gt;0.8,"C","B"))</f>
        <v>A</v>
      </c>
    </row>
    <row r="40" spans="1:15" ht="25.5" x14ac:dyDescent="0.25">
      <c r="A40" s="232">
        <f t="shared" si="1"/>
        <v>40</v>
      </c>
      <c r="B40" s="232"/>
      <c r="C40" s="310">
        <v>98546</v>
      </c>
      <c r="D40" s="373" t="str">
        <f>IF($C40="","",IFERROR(VLOOKUP($C40,SERVIÇOS!$B:$G,2,0),IFERROR(VLOOKUP($C40,'COMPOSIÇÕES COMPLEMENTARES '!$D:$L,2,0),IFERROR(VLOOKUP($C40,INSUMOS!$A:$D,2,0),""))))</f>
        <v>IMPERMEABILIZAÇÃO DE SUPERFÍCIE COM MANTA ASFÁLTICA, UMA CAMADA, INCLUSIVE APLICAÇÃO DE PRIMER ASFÁLTICO, E=4MM. AF_09/2023</v>
      </c>
      <c r="E40" s="312" t="str">
        <f>IF($C40="","",IFERROR(VLOOKUP($C40,SERVIÇOS!$B:$G,3,0),IFERROR(VLOOKUP($C40,'COMPOSIÇÕES COMPLEMENTARES '!$D:$L,3,0),IFERROR(VLOOKUP($C40,INSUMOS!$A:$D,3,0),""))))</f>
        <v>M2</v>
      </c>
      <c r="F40" s="313">
        <v>293.69</v>
      </c>
      <c r="G40" s="314">
        <f>IF($C40="","",IFERROR(VLOOKUP($C40,SERVIÇOS!$B:$G,4,0),IFERROR(VLOOKUP($C40,'COMPOSIÇÕES COMPLEMENTARES '!$D:$L,6,0),IFERROR(VLOOKUP($C40,INSUMOS!$A:$D,4,0),""))))</f>
        <v>106.98</v>
      </c>
      <c r="H40" s="314">
        <f>IF($C40="","",IFERROR(VLOOKUP($C40,SERVIÇOS!$B:$G,5,0),IFERROR(VLOOKUP($C40,'COMPOSIÇÕES COMPLEMENTARES '!$D:$L,7,0),0)))</f>
        <v>30.08</v>
      </c>
      <c r="I40" s="314">
        <f t="shared" si="2"/>
        <v>137.06</v>
      </c>
      <c r="J40" s="314">
        <f t="shared" si="3"/>
        <v>31418.95</v>
      </c>
      <c r="K40" s="314">
        <f t="shared" si="4"/>
        <v>8834.19</v>
      </c>
      <c r="L40" s="948">
        <f t="shared" si="5"/>
        <v>40253.14</v>
      </c>
      <c r="M40" s="374">
        <f t="shared" si="6"/>
        <v>2368254.0900000003</v>
      </c>
      <c r="N40" s="375">
        <f>+M40/L$815</f>
        <v>0.41933498326542346</v>
      </c>
      <c r="O40" s="376" t="str">
        <f>IF(N40&lt;0.5,"A",IF(N40&gt;0.8,"C","B"))</f>
        <v>A</v>
      </c>
    </row>
    <row r="41" spans="1:15" ht="25.5" x14ac:dyDescent="0.25">
      <c r="A41" s="232">
        <f t="shared" si="1"/>
        <v>41</v>
      </c>
      <c r="B41" s="232"/>
      <c r="C41" s="310">
        <v>103324</v>
      </c>
      <c r="D41" s="373" t="str">
        <f>IF($C41="","",IFERROR(VLOOKUP($C41,SERVIÇOS!$B:$G,2,0),IFERROR(VLOOKUP($C41,'COMPOSIÇÕES COMPLEMENTARES '!$D:$L,2,0),IFERROR(VLOOKUP($C41,INSUMOS!$A:$D,2,0),""))))</f>
        <v>ALVENARIA DE VEDAÇÃO DE BLOCOS CERÂMICOS FURADOS NA VERTICAL DE 14X19X39 CM (ESPESSURA 14 CM) E ARGAMASSA DE ASSENTAMENTO COM PREPARO EM BETONEIRA. AF_12/2021</v>
      </c>
      <c r="E41" s="312" t="str">
        <f>IF($C41="","",IFERROR(VLOOKUP($C41,SERVIÇOS!$B:$G,3,0),IFERROR(VLOOKUP($C41,'COMPOSIÇÕES COMPLEMENTARES '!$D:$L,3,0),IFERROR(VLOOKUP($C41,INSUMOS!$A:$D,3,0),""))))</f>
        <v>M2</v>
      </c>
      <c r="F41" s="313">
        <v>451.19</v>
      </c>
      <c r="G41" s="314">
        <f>IF($C41="","",IFERROR(VLOOKUP($C41,SERVIÇOS!$B:$G,4,0),IFERROR(VLOOKUP($C41,'COMPOSIÇÕES COMPLEMENTARES '!$D:$L,6,0),IFERROR(VLOOKUP($C41,INSUMOS!$A:$D,4,0),""))))</f>
        <v>53.33</v>
      </c>
      <c r="H41" s="314">
        <f>IF($C41="","",IFERROR(VLOOKUP($C41,SERVIÇOS!$B:$G,5,0),IFERROR(VLOOKUP($C41,'COMPOSIÇÕES COMPLEMENTARES '!$D:$L,7,0),0)))</f>
        <v>33.47</v>
      </c>
      <c r="I41" s="314">
        <f t="shared" si="2"/>
        <v>86.8</v>
      </c>
      <c r="J41" s="314">
        <f t="shared" si="3"/>
        <v>24061.96</v>
      </c>
      <c r="K41" s="314">
        <f t="shared" si="4"/>
        <v>15101.32</v>
      </c>
      <c r="L41" s="948">
        <f t="shared" si="5"/>
        <v>39163.279999999999</v>
      </c>
      <c r="M41" s="374">
        <f t="shared" si="6"/>
        <v>2407417.37</v>
      </c>
      <c r="N41" s="375">
        <f>+M41/L$815</f>
        <v>0.42626943064282419</v>
      </c>
      <c r="O41" s="376" t="str">
        <f>IF(N41&lt;0.5,"A",IF(N41&gt;0.8,"C","B"))</f>
        <v>A</v>
      </c>
    </row>
    <row r="42" spans="1:15" ht="25.5" x14ac:dyDescent="0.25">
      <c r="A42" s="232">
        <f t="shared" si="1"/>
        <v>42</v>
      </c>
      <c r="B42" s="232"/>
      <c r="C42" s="310">
        <v>100341</v>
      </c>
      <c r="D42" s="373" t="str">
        <f>IF($C42="","",IFERROR(VLOOKUP($C42,SERVIÇOS!$B:$G,2,0),IFERROR(VLOOKUP($C42,'COMPOSIÇÕES COMPLEMENTARES '!$D:$L,2,0),IFERROR(VLOOKUP($C42,INSUMOS!$A:$D,2,0),""))))</f>
        <v>FABRICAÇÃO, MONTAGEM E DESMONTAGEM DE FÔRMA PARA CORTINA DE CONTENÇÃO, EM CHAPA DE MADEIRA COMPENSADA PLASTIFICADA, E = 18 MM, 10 UTILIZAÇÕES. AF_11/2024</v>
      </c>
      <c r="E42" s="312" t="str">
        <f>IF($C42="","",IFERROR(VLOOKUP($C42,SERVIÇOS!$B:$G,3,0),IFERROR(VLOOKUP($C42,'COMPOSIÇÕES COMPLEMENTARES '!$D:$L,3,0),IFERROR(VLOOKUP($C42,INSUMOS!$A:$D,3,0),""))))</f>
        <v>M2</v>
      </c>
      <c r="F42" s="313">
        <v>842.42</v>
      </c>
      <c r="G42" s="314">
        <f>IF($C42="","",IFERROR(VLOOKUP($C42,SERVIÇOS!$B:$G,4,0),IFERROR(VLOOKUP($C42,'COMPOSIÇÕES COMPLEMENTARES '!$D:$L,6,0),IFERROR(VLOOKUP($C42,INSUMOS!$A:$D,4,0),""))))</f>
        <v>25.79</v>
      </c>
      <c r="H42" s="314">
        <f>IF($C42="","",IFERROR(VLOOKUP($C42,SERVIÇOS!$B:$G,5,0),IFERROR(VLOOKUP($C42,'COMPOSIÇÕES COMPLEMENTARES '!$D:$L,7,0),0)))</f>
        <v>19.95</v>
      </c>
      <c r="I42" s="314">
        <f t="shared" si="2"/>
        <v>45.739999999999995</v>
      </c>
      <c r="J42" s="314">
        <f t="shared" si="3"/>
        <v>21726.01</v>
      </c>
      <c r="K42" s="314">
        <f t="shared" si="4"/>
        <v>16806.27</v>
      </c>
      <c r="L42" s="948">
        <f t="shared" si="5"/>
        <v>38532.28</v>
      </c>
      <c r="M42" s="374">
        <f t="shared" si="6"/>
        <v>2445949.65</v>
      </c>
      <c r="N42" s="375">
        <f>+M42/L$815</f>
        <v>0.43309214998582274</v>
      </c>
      <c r="O42" s="376" t="str">
        <f>IF(N42&lt;0.5,"A",IF(N42&gt;0.8,"C","B"))</f>
        <v>A</v>
      </c>
    </row>
    <row r="43" spans="1:15" ht="409.5" x14ac:dyDescent="0.25">
      <c r="A43" s="232">
        <f t="shared" si="1"/>
        <v>43</v>
      </c>
      <c r="B43" s="232"/>
      <c r="C43" s="310" t="s">
        <v>12576</v>
      </c>
      <c r="D43" s="373" t="str">
        <f>IF($C43="","",IFERROR(VLOOKUP($C43,SERVIÇOS!$B:$G,2,0),IFERROR(VLOOKUP($C43,'COMPOSIÇÕES COMPLEMENTARES '!$D:$L,2,0),IFERROR(VLOOKUP($C43,INSUMOS!$A:$D,2,0),""))))</f>
        <v>UNIDADES DE TRATAMENTO DE AR MODULAR DE MONTAGEM HORIZONTAL
AMBIENTES ATENDIDOS: CME LAVAGEM
LOCALIZAÇÃO: LAJE EXPOSTA AO TEMPO
TIPO DE SISTEMA DE CLIMATIZAÇÃO: EXPANSÃO DIRETA, FLUIDO R410A (OBS: DEVE ACOMPANHAR VÁLVULA DE EXPANSÃO ELETRÔNICA CONFORME SELEÇÃO DO FABRICANTE)
CARGA TÉRMICA TOTAL DA SERPENTINA: 1,82kW
CARGA TÉRMICA SENSÍVEL DA SERPENTINA: 1,25kW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43" s="312" t="str">
        <f>IF($C43="","",IFERROR(VLOOKUP($C43,SERVIÇOS!$B:$G,3,0),IFERROR(VLOOKUP($C43,'COMPOSIÇÕES COMPLEMENTARES '!$D:$L,3,0),IFERROR(VLOOKUP($C43,INSUMOS!$A:$D,3,0),""))))</f>
        <v>UN</v>
      </c>
      <c r="F43" s="313">
        <v>1</v>
      </c>
      <c r="G43" s="314">
        <f>IF($C43="","",IFERROR(VLOOKUP($C43,SERVIÇOS!$B:$G,4,0),IFERROR(VLOOKUP($C43,'COMPOSIÇÕES COMPLEMENTARES '!$D:$L,6,0),IFERROR(VLOOKUP($C43,INSUMOS!$A:$D,4,0),""))))</f>
        <v>35456.339999999997</v>
      </c>
      <c r="H43" s="314">
        <f>IF($C43="","",IFERROR(VLOOKUP($C43,SERVIÇOS!$B:$G,5,0),IFERROR(VLOOKUP($C43,'COMPOSIÇÕES COMPLEMENTARES '!$D:$L,7,0),0)))</f>
        <v>2841.19</v>
      </c>
      <c r="I43" s="314">
        <f t="shared" si="2"/>
        <v>38297.53</v>
      </c>
      <c r="J43" s="314">
        <f t="shared" si="3"/>
        <v>35456.339999999997</v>
      </c>
      <c r="K43" s="314">
        <f t="shared" si="4"/>
        <v>2841.19</v>
      </c>
      <c r="L43" s="948">
        <f t="shared" si="5"/>
        <v>38297.53</v>
      </c>
      <c r="M43" s="374">
        <f t="shared" si="6"/>
        <v>2484247.1799999997</v>
      </c>
      <c r="N43" s="375">
        <f>+M43/L$815</f>
        <v>0.43987330331285324</v>
      </c>
      <c r="O43" s="376" t="str">
        <f>IF(N43&lt;0.5,"A",IF(N43&gt;0.8,"C","B"))</f>
        <v>A</v>
      </c>
    </row>
    <row r="44" spans="1:15" ht="409.5" x14ac:dyDescent="0.25">
      <c r="A44" s="232">
        <f t="shared" si="1"/>
        <v>44</v>
      </c>
      <c r="B44" s="232"/>
      <c r="C44" s="310" t="s">
        <v>12577</v>
      </c>
      <c r="D44" s="373" t="str">
        <f>IF($C44="","",IFERROR(VLOOKUP($C44,SERVIÇOS!$B:$G,2,0),IFERROR(VLOOKUP($C44,'COMPOSIÇÕES COMPLEMENTARES '!$D:$L,2,0),IFERROR(VLOOKUP($C44,INSUMOS!$A:$D,2,0),""))))</f>
        <v>UNIDADES DE TRATAMENTO DE AR MODULAR DE MONTAGEM HORIZONTAL
AMBIENTES ATENDIDOS: CME ESTERILIZAÇÃO FÍSICA
LOCALIZAÇÃO: LAJE EXPOSTA AO TEMPO
TIPO DE SISTEMA DE CLIMATIZAÇÃO: EXPANSÃO DIRETA, FLUIDO R410A (OBS: DEVE ACOMPANHAR VÁLVULA DE EXPANSÃO ELETRÔNICA CONFORME SELEÇÃO DO FABRICANTE)
CARGA TÉRMICA TOTAL DA SERPENTINA: 3,59kW
CARGA TÉRMICA SENSÍVEL DA SERPENTINA: 2,69kW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1,00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44" s="312" t="str">
        <f>IF($C44="","",IFERROR(VLOOKUP($C44,SERVIÇOS!$B:$G,3,0),IFERROR(VLOOKUP($C44,'COMPOSIÇÕES COMPLEMENTARES '!$D:$L,3,0),IFERROR(VLOOKUP($C44,INSUMOS!$A:$D,3,0),""))))</f>
        <v>UN</v>
      </c>
      <c r="F44" s="313">
        <v>1</v>
      </c>
      <c r="G44" s="314">
        <f>IF($C44="","",IFERROR(VLOOKUP($C44,SERVIÇOS!$B:$G,4,0),IFERROR(VLOOKUP($C44,'COMPOSIÇÕES COMPLEMENTARES '!$D:$L,6,0),IFERROR(VLOOKUP($C44,INSUMOS!$A:$D,4,0),""))))</f>
        <v>35456.339999999997</v>
      </c>
      <c r="H44" s="314">
        <f>IF($C44="","",IFERROR(VLOOKUP($C44,SERVIÇOS!$B:$G,5,0),IFERROR(VLOOKUP($C44,'COMPOSIÇÕES COMPLEMENTARES '!$D:$L,7,0),0)))</f>
        <v>2841.19</v>
      </c>
      <c r="I44" s="314">
        <f t="shared" si="2"/>
        <v>38297.53</v>
      </c>
      <c r="J44" s="314">
        <f t="shared" si="3"/>
        <v>35456.339999999997</v>
      </c>
      <c r="K44" s="314">
        <f t="shared" si="4"/>
        <v>2841.19</v>
      </c>
      <c r="L44" s="948">
        <f t="shared" si="5"/>
        <v>38297.53</v>
      </c>
      <c r="M44" s="374">
        <f t="shared" si="6"/>
        <v>2522544.7099999995</v>
      </c>
      <c r="N44" s="375">
        <f>+M44/L$815</f>
        <v>0.44665445663988368</v>
      </c>
      <c r="O44" s="376" t="str">
        <f>IF(N44&lt;0.5,"A",IF(N44&gt;0.8,"C","B"))</f>
        <v>A</v>
      </c>
    </row>
    <row r="45" spans="1:15" ht="409.5" x14ac:dyDescent="0.25">
      <c r="A45" s="232">
        <f t="shared" si="1"/>
        <v>45</v>
      </c>
      <c r="B45" s="232"/>
      <c r="C45" s="310" t="s">
        <v>12578</v>
      </c>
      <c r="D45" s="373" t="str">
        <f>IF($C45="","",IFERROR(VLOOKUP($C45,SERVIÇOS!$B:$G,2,0),IFERROR(VLOOKUP($C45,'COMPOSIÇÕES COMPLEMENTARES '!$D:$L,2,0),IFERROR(VLOOKUP($C45,INSUMOS!$A:$D,2,0),""))))</f>
        <v>UNIDADES DE TRATAMENTO DE AR MODULAR DE MONTAGEM HORIZONTAL
AMBIENTES ATENDIDOS: CME ESTERILIZAÇÃO QUÍMICA
LOCALIZAÇÃO: LAJE EXPOSTA AO TEMPO
TIPO DE SISTEMA DE CLIMATIZAÇÃO: EXPANSÃO DIRETA, FLUIDO R410A (OBS: DEVE ACOMPANHAR VÁLVULA DE EXPANSÃO ELETRÔNICA CONFORME SELEÇÃO DO FABRICANTE)
CARGA TÉRMICA TOTAL DA SERPENTINA: 1,69kW
CARGA TÉRMICA SENSÍVEL DA SERPENTINA: 1,20kW
VAZÃO DE INSUFLAMENTO: 700m³/h
VAZÃO DE AR EXTERNO: 40m³/h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45" s="312" t="str">
        <f>IF($C45="","",IFERROR(VLOOKUP($C45,SERVIÇOS!$B:$G,3,0),IFERROR(VLOOKUP($C45,'COMPOSIÇÕES COMPLEMENTARES '!$D:$L,3,0),IFERROR(VLOOKUP($C45,INSUMOS!$A:$D,3,0),""))))</f>
        <v>UN</v>
      </c>
      <c r="F45" s="313">
        <v>1</v>
      </c>
      <c r="G45" s="314">
        <f>IF($C45="","",IFERROR(VLOOKUP($C45,SERVIÇOS!$B:$G,4,0),IFERROR(VLOOKUP($C45,'COMPOSIÇÕES COMPLEMENTARES '!$D:$L,6,0),IFERROR(VLOOKUP($C45,INSUMOS!$A:$D,4,0),""))))</f>
        <v>35456.339999999997</v>
      </c>
      <c r="H45" s="314">
        <f>IF($C45="","",IFERROR(VLOOKUP($C45,SERVIÇOS!$B:$G,5,0),IFERROR(VLOOKUP($C45,'COMPOSIÇÕES COMPLEMENTARES '!$D:$L,7,0),0)))</f>
        <v>2841.19</v>
      </c>
      <c r="I45" s="314">
        <f t="shared" si="2"/>
        <v>38297.53</v>
      </c>
      <c r="J45" s="314">
        <f t="shared" si="3"/>
        <v>35456.339999999997</v>
      </c>
      <c r="K45" s="314">
        <f t="shared" si="4"/>
        <v>2841.19</v>
      </c>
      <c r="L45" s="948">
        <f t="shared" si="5"/>
        <v>38297.53</v>
      </c>
      <c r="M45" s="374">
        <f t="shared" si="6"/>
        <v>2560842.2399999993</v>
      </c>
      <c r="N45" s="375">
        <f>+M45/L$815</f>
        <v>0.45343560996691412</v>
      </c>
      <c r="O45" s="376" t="str">
        <f>IF(N45&lt;0.5,"A",IF(N45&gt;0.8,"C","B"))</f>
        <v>A</v>
      </c>
    </row>
    <row r="46" spans="1:15" ht="409.5" x14ac:dyDescent="0.25">
      <c r="A46" s="232">
        <f t="shared" si="1"/>
        <v>46</v>
      </c>
      <c r="B46" s="232"/>
      <c r="C46" s="310" t="s">
        <v>12579</v>
      </c>
      <c r="D46" s="373" t="str">
        <f>IF($C46="","",IFERROR(VLOOKUP($C46,SERVIÇOS!$B:$G,2,0),IFERROR(VLOOKUP($C46,'COMPOSIÇÕES COMPLEMENTARES '!$D:$L,2,0),IFERROR(VLOOKUP($C46,INSUMOS!$A:$D,2,0),""))))</f>
        <v>UNIDADES DE TRATAMENTO DE AR MODULAR DE MONTAGEM HORIZONTAL
AMBIENTES ATENDIDOS: CME GUARDA DE MATERIAIS
LOCALIZAÇÃO: LAJE EXPOSTA AO TEMPO
TIPO DE SISTEMA DE CLIMATIZAÇÃO: EXPANSÃO DIRETA, FLUIDO R410A (OBS: DEVE ACOMPANHAR VÁLVULA DE EXPANSÃO ELETRÔNICA CONFORME SELEÇÃO DO FABRICANTE)
CARGA TÉRMICA TOTAL DA SERPENTINA: 2,44kW
CARGA TÉRMICA SENSÍVEL DA SERPENTINA: 1,76kW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0,75
VARIADOR DE FREQUÊNCIA: SIM
TENSÃO ELÉTRICA RESISTÊNCIA: 220/2F
POTÊNCIA DA RESISTÊNCIA ELÉTRICA - DESUMIDIFICAÇÃO (kW): 0,75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E46" s="312" t="str">
        <f>IF($C46="","",IFERROR(VLOOKUP($C46,SERVIÇOS!$B:$G,3,0),IFERROR(VLOOKUP($C46,'COMPOSIÇÕES COMPLEMENTARES '!$D:$L,3,0),IFERROR(VLOOKUP($C46,INSUMOS!$A:$D,3,0),""))))</f>
        <v>UN</v>
      </c>
      <c r="F46" s="313">
        <v>1</v>
      </c>
      <c r="G46" s="314">
        <f>IF($C46="","",IFERROR(VLOOKUP($C46,SERVIÇOS!$B:$G,4,0),IFERROR(VLOOKUP($C46,'COMPOSIÇÕES COMPLEMENTARES '!$D:$L,6,0),IFERROR(VLOOKUP($C46,INSUMOS!$A:$D,4,0),""))))</f>
        <v>35456.339999999997</v>
      </c>
      <c r="H46" s="314">
        <f>IF($C46="","",IFERROR(VLOOKUP($C46,SERVIÇOS!$B:$G,5,0),IFERROR(VLOOKUP($C46,'COMPOSIÇÕES COMPLEMENTARES '!$D:$L,7,0),0)))</f>
        <v>2841.19</v>
      </c>
      <c r="I46" s="314">
        <f t="shared" si="2"/>
        <v>38297.53</v>
      </c>
      <c r="J46" s="314">
        <f t="shared" si="3"/>
        <v>35456.339999999997</v>
      </c>
      <c r="K46" s="314">
        <f t="shared" si="4"/>
        <v>2841.19</v>
      </c>
      <c r="L46" s="948">
        <f t="shared" si="5"/>
        <v>38297.53</v>
      </c>
      <c r="M46" s="374">
        <f t="shared" si="6"/>
        <v>2599139.7699999991</v>
      </c>
      <c r="N46" s="375">
        <f>+M46/L$815</f>
        <v>0.46021676329394456</v>
      </c>
      <c r="O46" s="376" t="str">
        <f>IF(N46&lt;0.5,"A",IF(N46&gt;0.8,"C","B"))</f>
        <v>A</v>
      </c>
    </row>
    <row r="47" spans="1:15" ht="25.5" x14ac:dyDescent="0.25">
      <c r="A47" s="232">
        <f t="shared" si="1"/>
        <v>47</v>
      </c>
      <c r="B47" s="232"/>
      <c r="C47" s="310">
        <v>87640</v>
      </c>
      <c r="D47" s="373" t="str">
        <f>IF($C47="","",IFERROR(VLOOKUP($C47,SERVIÇOS!$B:$G,2,0),IFERROR(VLOOKUP($C47,'COMPOSIÇÕES COMPLEMENTARES '!$D:$L,2,0),IFERROR(VLOOKUP($C47,INSUMOS!$A:$D,2,0),""))))</f>
        <v>CONTRAPISO EM ARGAMASSA TRAÇO 1:4 (CIMENTO E AREIA), PREPARO MECÂNICO COM BETONEIRA 400 L, APLICADO EM ÁREAS SECAS SOBRE LAJE, ADERIDO, ACABAMENTO NÃO REFORÇADO, ESPESSURA 4CM. AF_07/2021</v>
      </c>
      <c r="E47" s="312" t="str">
        <f>IF($C47="","",IFERROR(VLOOKUP($C47,SERVIÇOS!$B:$G,3,0),IFERROR(VLOOKUP($C47,'COMPOSIÇÕES COMPLEMENTARES '!$D:$L,3,0),IFERROR(VLOOKUP($C47,INSUMOS!$A:$D,3,0),""))))</f>
        <v>M2</v>
      </c>
      <c r="F47" s="313">
        <v>743.55</v>
      </c>
      <c r="G47" s="314">
        <f>IF($C47="","",IFERROR(VLOOKUP($C47,SERVIÇOS!$B:$G,4,0),IFERROR(VLOOKUP($C47,'COMPOSIÇÕES COMPLEMENTARES '!$D:$L,6,0),IFERROR(VLOOKUP($C47,INSUMOS!$A:$D,4,0),""))))</f>
        <v>34.67</v>
      </c>
      <c r="H47" s="314">
        <f>IF($C47="","",IFERROR(VLOOKUP($C47,SERVIÇOS!$B:$G,5,0),IFERROR(VLOOKUP($C47,'COMPOSIÇÕES COMPLEMENTARES '!$D:$L,7,0),0)))</f>
        <v>16.54</v>
      </c>
      <c r="I47" s="314">
        <f t="shared" si="2"/>
        <v>51.21</v>
      </c>
      <c r="J47" s="314">
        <f t="shared" si="3"/>
        <v>25778.87</v>
      </c>
      <c r="K47" s="314">
        <f t="shared" si="4"/>
        <v>12298.31</v>
      </c>
      <c r="L47" s="948">
        <f t="shared" si="5"/>
        <v>38077.18</v>
      </c>
      <c r="M47" s="374">
        <f t="shared" si="6"/>
        <v>2637216.9499999993</v>
      </c>
      <c r="N47" s="375">
        <f>+M47/L$815</f>
        <v>0.46695890034144971</v>
      </c>
      <c r="O47" s="376" t="str">
        <f>IF(N47&lt;0.5,"A",IF(N47&gt;0.8,"C","B"))</f>
        <v>A</v>
      </c>
    </row>
    <row r="48" spans="1:15" ht="25.5" x14ac:dyDescent="0.25">
      <c r="A48" s="232">
        <f t="shared" si="1"/>
        <v>48</v>
      </c>
      <c r="B48" s="232"/>
      <c r="C48" s="310">
        <v>92398</v>
      </c>
      <c r="D48" s="373" t="str">
        <f>IF($C48="","",IFERROR(VLOOKUP($C48,SERVIÇOS!$B:$G,2,0),IFERROR(VLOOKUP($C48,'COMPOSIÇÕES COMPLEMENTARES '!$D:$L,2,0),IFERROR(VLOOKUP($C48,INSUMOS!$A:$D,2,0),""))))</f>
        <v>EXECUÇÃO DE PAVIMENTO EM PISO INTERTRAVADO, COM BLOCO RETANGULAR COR NATURAL DE 20 X 10 CM, ESPESSURA 8 CM. AF_10/2022</v>
      </c>
      <c r="E48" s="312" t="str">
        <f>IF($C48="","",IFERROR(VLOOKUP($C48,SERVIÇOS!$B:$G,3,0),IFERROR(VLOOKUP($C48,'COMPOSIÇÕES COMPLEMENTARES '!$D:$L,3,0),IFERROR(VLOOKUP($C48,INSUMOS!$A:$D,3,0),""))))</f>
        <v>M2</v>
      </c>
      <c r="F48" s="313">
        <v>476.41</v>
      </c>
      <c r="G48" s="314">
        <f>IF($C48="","",IFERROR(VLOOKUP($C48,SERVIÇOS!$B:$G,4,0),IFERROR(VLOOKUP($C48,'COMPOSIÇÕES COMPLEMENTARES '!$D:$L,6,0),IFERROR(VLOOKUP($C48,INSUMOS!$A:$D,4,0),""))))</f>
        <v>67.349999999999994</v>
      </c>
      <c r="H48" s="314">
        <f>IF($C48="","",IFERROR(VLOOKUP($C48,SERVIÇOS!$B:$G,5,0),IFERROR(VLOOKUP($C48,'COMPOSIÇÕES COMPLEMENTARES '!$D:$L,7,0),0)))</f>
        <v>11.23</v>
      </c>
      <c r="I48" s="314">
        <f t="shared" si="2"/>
        <v>78.58</v>
      </c>
      <c r="J48" s="314">
        <f t="shared" si="3"/>
        <v>32086.21</v>
      </c>
      <c r="K48" s="314">
        <f t="shared" si="4"/>
        <v>5350.08</v>
      </c>
      <c r="L48" s="948">
        <f t="shared" si="5"/>
        <v>37436.29</v>
      </c>
      <c r="M48" s="374">
        <f t="shared" si="6"/>
        <v>2674653.2399999993</v>
      </c>
      <c r="N48" s="375">
        <f>+M48/L$815</f>
        <v>0.47358755818139858</v>
      </c>
      <c r="O48" s="376" t="str">
        <f>IF(N48&lt;0.5,"A",IF(N48&gt;0.8,"C","B"))</f>
        <v>A</v>
      </c>
    </row>
    <row r="49" spans="1:15" x14ac:dyDescent="0.25">
      <c r="A49" s="232">
        <f t="shared" si="1"/>
        <v>49</v>
      </c>
      <c r="B49" s="232"/>
      <c r="C49" s="310">
        <v>98297</v>
      </c>
      <c r="D49" s="373" t="str">
        <f>IF($C49="","",IFERROR(VLOOKUP($C49,SERVIÇOS!$B:$G,2,0),IFERROR(VLOOKUP($C49,'COMPOSIÇÕES COMPLEMENTARES '!$D:$L,2,0),IFERROR(VLOOKUP($C49,INSUMOS!$A:$D,2,0),""))))</f>
        <v>CABO ELETRÔNICO CATEGORIA 6, INSTALADO EM EDIFICAÇÃO INSTITUCIONAL - FORNECIMENTO E INSTALAÇÃO. AF_11/2019</v>
      </c>
      <c r="E49" s="312" t="str">
        <f>IF($C49="","",IFERROR(VLOOKUP($C49,SERVIÇOS!$B:$G,3,0),IFERROR(VLOOKUP($C49,'COMPOSIÇÕES COMPLEMENTARES '!$D:$L,3,0),IFERROR(VLOOKUP($C49,INSUMOS!$A:$D,3,0),""))))</f>
        <v>M</v>
      </c>
      <c r="F49" s="313">
        <v>3300</v>
      </c>
      <c r="G49" s="314">
        <f>IF($C49="","",IFERROR(VLOOKUP($C49,SERVIÇOS!$B:$G,4,0),IFERROR(VLOOKUP($C49,'COMPOSIÇÕES COMPLEMENTARES '!$D:$L,6,0),IFERROR(VLOOKUP($C49,INSUMOS!$A:$D,4,0),""))))</f>
        <v>10.81</v>
      </c>
      <c r="H49" s="314">
        <f>IF($C49="","",IFERROR(VLOOKUP($C49,SERVIÇOS!$B:$G,5,0),IFERROR(VLOOKUP($C49,'COMPOSIÇÕES COMPLEMENTARES '!$D:$L,7,0),0)))</f>
        <v>0.21</v>
      </c>
      <c r="I49" s="314">
        <f t="shared" si="2"/>
        <v>11.020000000000001</v>
      </c>
      <c r="J49" s="314">
        <f t="shared" si="3"/>
        <v>35673</v>
      </c>
      <c r="K49" s="314">
        <f t="shared" si="4"/>
        <v>693</v>
      </c>
      <c r="L49" s="948">
        <f t="shared" si="5"/>
        <v>36366</v>
      </c>
      <c r="M49" s="374">
        <f t="shared" si="6"/>
        <v>2711019.2399999993</v>
      </c>
      <c r="N49" s="375">
        <f>+M49/L$815</f>
        <v>0.480026705089588</v>
      </c>
      <c r="O49" s="376" t="str">
        <f>IF(N49&lt;0.5,"A",IF(N49&gt;0.8,"C","B"))</f>
        <v>A</v>
      </c>
    </row>
    <row r="50" spans="1:15" ht="25.5" x14ac:dyDescent="0.25">
      <c r="A50" s="232">
        <f t="shared" si="1"/>
        <v>50</v>
      </c>
      <c r="B50" s="232"/>
      <c r="C50" s="310">
        <v>92429</v>
      </c>
      <c r="D50" s="373" t="str">
        <f>IF($C50="","",IFERROR(VLOOKUP($C50,SERVIÇOS!$B:$G,2,0),IFERROR(VLOOKUP($C50,'COMPOSIÇÕES COMPLEMENTARES '!$D:$L,2,0),IFERROR(VLOOKUP($C50,INSUMOS!$A:$D,2,0),""))))</f>
        <v>MONTAGEM E DESMONTAGEM DE FÔRMA DE PILARES RETANGULARES E ESTRUTURAS SIMILARES, PÉ-DIREITO DUPLO, EM CHAPA DE MADEIRA COMPENSADA RESINADA, 8 UTILIZAÇÕES. AF_09/2020</v>
      </c>
      <c r="E50" s="312" t="str">
        <f>IF($C50="","",IFERROR(VLOOKUP($C50,SERVIÇOS!$B:$G,3,0),IFERROR(VLOOKUP($C50,'COMPOSIÇÕES COMPLEMENTARES '!$D:$L,3,0),IFERROR(VLOOKUP($C50,INSUMOS!$A:$D,3,0),""))))</f>
        <v>M2</v>
      </c>
      <c r="F50" s="313">
        <v>381.79</v>
      </c>
      <c r="G50" s="314">
        <f>IF($C50="","",IFERROR(VLOOKUP($C50,SERVIÇOS!$B:$G,4,0),IFERROR(VLOOKUP($C50,'COMPOSIÇÕES COMPLEMENTARES '!$D:$L,6,0),IFERROR(VLOOKUP($C50,INSUMOS!$A:$D,4,0),""))))</f>
        <v>49.67</v>
      </c>
      <c r="H50" s="314">
        <f>IF($C50="","",IFERROR(VLOOKUP($C50,SERVIÇOS!$B:$G,5,0),IFERROR(VLOOKUP($C50,'COMPOSIÇÕES COMPLEMENTARES '!$D:$L,7,0),0)))</f>
        <v>42.63</v>
      </c>
      <c r="I50" s="314">
        <f t="shared" si="2"/>
        <v>92.300000000000011</v>
      </c>
      <c r="J50" s="314">
        <f t="shared" si="3"/>
        <v>18963.5</v>
      </c>
      <c r="K50" s="314">
        <f t="shared" si="4"/>
        <v>16275.7</v>
      </c>
      <c r="L50" s="948">
        <f t="shared" si="5"/>
        <v>35239.199999999997</v>
      </c>
      <c r="M50" s="374">
        <f t="shared" si="6"/>
        <v>2746258.4399999995</v>
      </c>
      <c r="N50" s="375">
        <f>+M50/L$815</f>
        <v>0.48626633512113032</v>
      </c>
      <c r="O50" s="376" t="str">
        <f>IF(N50&lt;0.5,"A",IF(N50&gt;0.8,"C","B"))</f>
        <v>A</v>
      </c>
    </row>
    <row r="51" spans="1:15" x14ac:dyDescent="0.25">
      <c r="A51" s="232">
        <f t="shared" si="1"/>
        <v>51</v>
      </c>
      <c r="B51" s="232"/>
      <c r="C51" s="310" t="s">
        <v>11937</v>
      </c>
      <c r="D51" s="373" t="str">
        <f>IF($C51="","",IFERROR(VLOOKUP($C51,SERVIÇOS!$B:$G,2,0),IFERROR(VLOOKUP($C51,'COMPOSIÇÕES COMPLEMENTARES '!$D:$L,2,0),IFERROR(VLOOKUP($C51,INSUMOS!$A:$D,2,0),""))))</f>
        <v>CONCRETO USINADO BOMBEADO FCK=25MPA, BOMBEADO, LANÇADO E ADENSADO EM INFRAESTRUTURA</v>
      </c>
      <c r="E51" s="312" t="str">
        <f>IF($C51="","",IFERROR(VLOOKUP($C51,SERVIÇOS!$B:$G,3,0),IFERROR(VLOOKUP($C51,'COMPOSIÇÕES COMPLEMENTARES '!$D:$L,3,0),IFERROR(VLOOKUP($C51,INSUMOS!$A:$D,3,0),""))))</f>
        <v>M3</v>
      </c>
      <c r="F51" s="313">
        <v>63.2</v>
      </c>
      <c r="G51" s="314">
        <f>IF($C51="","",IFERROR(VLOOKUP($C51,SERVIÇOS!$B:$G,4,0),IFERROR(VLOOKUP($C51,'COMPOSIÇÕES COMPLEMENTARES '!$D:$L,6,0),IFERROR(VLOOKUP($C51,INSUMOS!$A:$D,4,0),""))))</f>
        <v>518.79999999999995</v>
      </c>
      <c r="H51" s="314">
        <f>IF($C51="","",IFERROR(VLOOKUP($C51,SERVIÇOS!$B:$G,5,0),IFERROR(VLOOKUP($C51,'COMPOSIÇÕES COMPLEMENTARES '!$D:$L,7,0),0)))</f>
        <v>38.56</v>
      </c>
      <c r="I51" s="314">
        <f t="shared" si="2"/>
        <v>557.3599999999999</v>
      </c>
      <c r="J51" s="314">
        <f t="shared" si="3"/>
        <v>32788.160000000003</v>
      </c>
      <c r="K51" s="314">
        <f t="shared" si="4"/>
        <v>2436.9899999999998</v>
      </c>
      <c r="L51" s="948">
        <f t="shared" si="5"/>
        <v>35225.15</v>
      </c>
      <c r="M51" s="374">
        <f t="shared" si="6"/>
        <v>2781483.5899999994</v>
      </c>
      <c r="N51" s="375">
        <f>+M51/L$815</f>
        <v>0.49250347738899064</v>
      </c>
      <c r="O51" s="376" t="str">
        <f>IF(N51&lt;0.5,"A",IF(N51&gt;0.8,"C","B"))</f>
        <v>A</v>
      </c>
    </row>
    <row r="52" spans="1:15" x14ac:dyDescent="0.25">
      <c r="A52" s="232">
        <f t="shared" si="1"/>
        <v>52</v>
      </c>
      <c r="B52" s="232"/>
      <c r="C52" s="310" t="s">
        <v>12075</v>
      </c>
      <c r="D52" s="373" t="str">
        <f>IF($C52="","",IFERROR(VLOOKUP($C52,SERVIÇOS!$B:$G,2,0),IFERROR(VLOOKUP($C52,'COMPOSIÇÕES COMPLEMENTARES '!$D:$L,2,0),IFERROR(VLOOKUP($C52,INSUMOS!$A:$D,2,0),""))))</f>
        <v>CORTINA DIVISÓRIA DE LEITO EM TECIDO ANTI-CHAMA COM TELA INTEGRADA, INCLUSO TRILHOS E ACESSÓRIOS</v>
      </c>
      <c r="E52" s="312" t="str">
        <f>IF($C52="","",IFERROR(VLOOKUP($C52,SERVIÇOS!$B:$G,3,0),IFERROR(VLOOKUP($C52,'COMPOSIÇÕES COMPLEMENTARES '!$D:$L,3,0),IFERROR(VLOOKUP($C52,INSUMOS!$A:$D,3,0),""))))</f>
        <v>M</v>
      </c>
      <c r="F52" s="313">
        <v>57.23</v>
      </c>
      <c r="G52" s="314">
        <f>IF($C52="","",IFERROR(VLOOKUP($C52,SERVIÇOS!$B:$G,4,0),IFERROR(VLOOKUP($C52,'COMPOSIÇÕES COMPLEMENTARES '!$D:$L,6,0),IFERROR(VLOOKUP($C52,INSUMOS!$A:$D,4,0),""))))</f>
        <v>602.53</v>
      </c>
      <c r="H52" s="314">
        <f>IF($C52="","",IFERROR(VLOOKUP($C52,SERVIÇOS!$B:$G,5,0),IFERROR(VLOOKUP($C52,'COMPOSIÇÕES COMPLEMENTARES '!$D:$L,7,0),0)))</f>
        <v>0</v>
      </c>
      <c r="I52" s="314">
        <f t="shared" si="2"/>
        <v>602.53</v>
      </c>
      <c r="J52" s="314">
        <f t="shared" si="3"/>
        <v>34482.79</v>
      </c>
      <c r="K52" s="314">
        <f t="shared" si="4"/>
        <v>0</v>
      </c>
      <c r="L52" s="948">
        <f t="shared" si="5"/>
        <v>34482.79</v>
      </c>
      <c r="M52" s="374">
        <f t="shared" si="6"/>
        <v>2815966.3799999994</v>
      </c>
      <c r="N52" s="375">
        <f>+M52/L$815</f>
        <v>0.49860917366062468</v>
      </c>
      <c r="O52" s="376" t="str">
        <f>IF(N52&lt;0.5,"A",IF(N52&gt;0.8,"C","B"))</f>
        <v>A</v>
      </c>
    </row>
    <row r="53" spans="1:15" x14ac:dyDescent="0.25">
      <c r="A53" s="232">
        <f t="shared" si="1"/>
        <v>53</v>
      </c>
      <c r="B53" s="232"/>
      <c r="C53" s="310" t="s">
        <v>12548</v>
      </c>
      <c r="D53" s="373" t="str">
        <f>IF($C53="","",IFERROR(VLOOKUP($C53,SERVIÇOS!$B:$G,2,0),IFERROR(VLOOKUP($C53,'COMPOSIÇÕES COMPLEMENTARES '!$D:$L,2,0),IFERROR(VLOOKUP($C53,INSUMOS!$A:$D,2,0),""))))</f>
        <v>PLANTIO DE GRAMA ESMERALDA EM PLACAS</v>
      </c>
      <c r="E53" s="312" t="str">
        <f>IF($C53="","",IFERROR(VLOOKUP($C53,SERVIÇOS!$B:$G,3,0),IFERROR(VLOOKUP($C53,'COMPOSIÇÕES COMPLEMENTARES '!$D:$L,3,0),IFERROR(VLOOKUP($C53,INSUMOS!$A:$D,3,0),""))))</f>
        <v>M2</v>
      </c>
      <c r="F53" s="313">
        <v>2096.6320000000001</v>
      </c>
      <c r="G53" s="314">
        <f>IF($C53="","",IFERROR(VLOOKUP($C53,SERVIÇOS!$B:$G,4,0),IFERROR(VLOOKUP($C53,'COMPOSIÇÕES COMPLEMENTARES '!$D:$L,6,0),IFERROR(VLOOKUP($C53,INSUMOS!$A:$D,4,0),""))))</f>
        <v>11.29</v>
      </c>
      <c r="H53" s="314">
        <f>IF($C53="","",IFERROR(VLOOKUP($C53,SERVIÇOS!$B:$G,5,0),IFERROR(VLOOKUP($C53,'COMPOSIÇÕES COMPLEMENTARES '!$D:$L,7,0),0)))</f>
        <v>3.85</v>
      </c>
      <c r="I53" s="314">
        <f t="shared" si="2"/>
        <v>15.139999999999999</v>
      </c>
      <c r="J53" s="314">
        <f t="shared" si="3"/>
        <v>23670.97</v>
      </c>
      <c r="K53" s="314">
        <f t="shared" si="4"/>
        <v>8072.03</v>
      </c>
      <c r="L53" s="948">
        <f t="shared" si="5"/>
        <v>31743</v>
      </c>
      <c r="M53" s="374">
        <f t="shared" si="6"/>
        <v>2847709.3799999994</v>
      </c>
      <c r="N53" s="375">
        <f>+M53/L$815</f>
        <v>0.50422974893166506</v>
      </c>
      <c r="O53" s="376" t="str">
        <f>IF(N53&lt;0.5,"A",IF(N53&gt;0.8,"C","B"))</f>
        <v>B</v>
      </c>
    </row>
    <row r="54" spans="1:15" x14ac:dyDescent="0.25">
      <c r="A54" s="232">
        <f t="shared" si="1"/>
        <v>54</v>
      </c>
      <c r="B54" s="232"/>
      <c r="C54" s="310" t="s">
        <v>11936</v>
      </c>
      <c r="D54" s="373" t="str">
        <f>IF($C54="","",IFERROR(VLOOKUP($C54,SERVIÇOS!$B:$G,2,0),IFERROR(VLOOKUP($C54,'COMPOSIÇÕES COMPLEMENTARES '!$D:$L,2,0),IFERROR(VLOOKUP($C54,INSUMOS!$A:$D,2,0),""))))</f>
        <v>ARMAÇÃO EM TELA SOLDADA Q196</v>
      </c>
      <c r="E54" s="312" t="str">
        <f>IF($C54="","",IFERROR(VLOOKUP($C54,SERVIÇOS!$B:$G,3,0),IFERROR(VLOOKUP($C54,'COMPOSIÇÕES COMPLEMENTARES '!$D:$L,3,0),IFERROR(VLOOKUP($C54,INSUMOS!$A:$D,3,0),""))))</f>
        <v>KG</v>
      </c>
      <c r="F54" s="313">
        <v>2360</v>
      </c>
      <c r="G54" s="314">
        <f>IF($C54="","",IFERROR(VLOOKUP($C54,SERVIÇOS!$B:$G,4,0),IFERROR(VLOOKUP($C54,'COMPOSIÇÕES COMPLEMENTARES '!$D:$L,6,0),IFERROR(VLOOKUP($C54,INSUMOS!$A:$D,4,0),""))))</f>
        <v>11.93</v>
      </c>
      <c r="H54" s="314">
        <f>IF($C54="","",IFERROR(VLOOKUP($C54,SERVIÇOS!$B:$G,5,0),IFERROR(VLOOKUP($C54,'COMPOSIÇÕES COMPLEMENTARES '!$D:$L,7,0),0)))</f>
        <v>1.18</v>
      </c>
      <c r="I54" s="314">
        <f t="shared" si="2"/>
        <v>13.11</v>
      </c>
      <c r="J54" s="314">
        <f t="shared" si="3"/>
        <v>28154.799999999999</v>
      </c>
      <c r="K54" s="314">
        <f t="shared" si="4"/>
        <v>2784.8</v>
      </c>
      <c r="L54" s="948">
        <f t="shared" si="5"/>
        <v>30939.599999999999</v>
      </c>
      <c r="M54" s="374">
        <f t="shared" si="6"/>
        <v>2878648.9799999995</v>
      </c>
      <c r="N54" s="375">
        <f>+M54/L$815</f>
        <v>0.50970807015700248</v>
      </c>
      <c r="O54" s="376" t="str">
        <f>IF(N54&lt;0.5,"A",IF(N54&gt;0.8,"C","B"))</f>
        <v>B</v>
      </c>
    </row>
    <row r="55" spans="1:15" ht="38.25" x14ac:dyDescent="0.25">
      <c r="A55" s="232">
        <f t="shared" si="1"/>
        <v>55</v>
      </c>
      <c r="B55" s="232"/>
      <c r="C55" s="310" t="s">
        <v>12067</v>
      </c>
      <c r="D55" s="373" t="str">
        <f>IF($C55="","",IFERROR(VLOOKUP($C55,SERVIÇOS!$B:$G,2,0),IFERROR(VLOOKUP($C55,'COMPOSIÇÕES COMPLEMENTARES '!$D:$L,2,0),IFERROR(VLOOKUP($C55,INSUMOS!$A:$D,2,0),""))))</f>
        <v xml:space="preserve">BANCADA EM INOX 304/20, COM 1 CUBA (50X40X18CM), ENCHIMENTO EM CONCRETO ARAMADO LEVE, SEM BRITA, SOLDA DE ARGONIO, TESTEIRA DE 10CM, ACABAMENTO LISO, PROFUNDIDADE 60CM, CHUMBADAS À PAREDE E APOIADAS SOBRE BARRAS METÁLICAS. COMPRIMENTO DA BANCADA CONFORME AS DIMENSOES DO PROJETO. </v>
      </c>
      <c r="E55" s="312" t="str">
        <f>IF($C55="","",IFERROR(VLOOKUP($C55,SERVIÇOS!$B:$G,3,0),IFERROR(VLOOKUP($C55,'COMPOSIÇÕES COMPLEMENTARES '!$D:$L,3,0),IFERROR(VLOOKUP($C55,INSUMOS!$A:$D,3,0),""))))</f>
        <v>M</v>
      </c>
      <c r="F55" s="313">
        <v>19.14</v>
      </c>
      <c r="G55" s="314">
        <f>IF($C55="","",IFERROR(VLOOKUP($C55,SERVIÇOS!$B:$G,4,0),IFERROR(VLOOKUP($C55,'COMPOSIÇÕES COMPLEMENTARES '!$D:$L,6,0),IFERROR(VLOOKUP($C55,INSUMOS!$A:$D,4,0),""))))</f>
        <v>1480.95</v>
      </c>
      <c r="H55" s="314">
        <f>IF($C55="","",IFERROR(VLOOKUP($C55,SERVIÇOS!$B:$G,5,0),IFERROR(VLOOKUP($C55,'COMPOSIÇÕES COMPLEMENTARES '!$D:$L,7,0),0)))</f>
        <v>106.66</v>
      </c>
      <c r="I55" s="314">
        <f t="shared" si="2"/>
        <v>1587.6100000000001</v>
      </c>
      <c r="J55" s="314">
        <f t="shared" si="3"/>
        <v>28345.38</v>
      </c>
      <c r="K55" s="314">
        <f t="shared" si="4"/>
        <v>2041.47</v>
      </c>
      <c r="L55" s="948">
        <f t="shared" si="5"/>
        <v>30386.85</v>
      </c>
      <c r="M55" s="374">
        <f t="shared" si="6"/>
        <v>2909035.8299999996</v>
      </c>
      <c r="N55" s="375">
        <f>+M55/L$815</f>
        <v>0.51508851868659367</v>
      </c>
      <c r="O55" s="376" t="str">
        <f>IF(N55&lt;0.5,"A",IF(N55&gt;0.8,"C","B"))</f>
        <v>B</v>
      </c>
    </row>
    <row r="56" spans="1:15" ht="33.75" x14ac:dyDescent="0.25">
      <c r="A56" s="232">
        <f t="shared" si="1"/>
        <v>56</v>
      </c>
      <c r="B56" s="232"/>
      <c r="C56" s="310" t="s">
        <v>12037</v>
      </c>
      <c r="D56" s="377" t="str">
        <f>IF($C56="","",IFERROR(VLOOKUP($C56,SERVIÇOS!$B:$G,2,0),IFERROR(VLOOKUP($C56,'COMPOSIÇÕES COMPLEMENTARES '!$D:$L,2,0),IFERROR(VLOOKUP($C56,INSUMOS!$A:$D,2,0),""))))</f>
        <v>CONJUNTO DE VIDRO (CV02) EM PERFIL DE ALUMÍNIO SERIE 45, COM PORTA PIVOTANTE 02 FOLHAS DE VIDRO TEMPERADO LISO INCOLOR E=10MM, COM PELÍCULA DE SEGURANÇA, E FOLHAS FIXAS E FOLHAS PROJETANTES COM VIDRO TEMPERADO LISO INCOLOR E=6MM, DIMENSÃO 794X260CM, CONFORME PROJETO</v>
      </c>
      <c r="E56" s="312" t="str">
        <f>IF($C56="","",IFERROR(VLOOKUP($C56,SERVIÇOS!$B:$G,3,0),IFERROR(VLOOKUP($C56,'COMPOSIÇÕES COMPLEMENTARES '!$D:$L,3,0),IFERROR(VLOOKUP($C56,INSUMOS!$A:$D,3,0),""))))</f>
        <v>UN</v>
      </c>
      <c r="F56" s="313">
        <v>1</v>
      </c>
      <c r="G56" s="314">
        <f>IF($C56="","",IFERROR(VLOOKUP($C56,SERVIÇOS!$B:$G,4,0),IFERROR(VLOOKUP($C56,'COMPOSIÇÕES COMPLEMENTARES '!$D:$L,6,0),IFERROR(VLOOKUP($C56,INSUMOS!$A:$D,4,0),""))))</f>
        <v>28112.33</v>
      </c>
      <c r="H56" s="314">
        <f>IF($C56="","",IFERROR(VLOOKUP($C56,SERVIÇOS!$B:$G,5,0),IFERROR(VLOOKUP($C56,'COMPOSIÇÕES COMPLEMENTARES '!$D:$L,7,0),0)))</f>
        <v>2217.1</v>
      </c>
      <c r="I56" s="314">
        <f t="shared" si="2"/>
        <v>30329.43</v>
      </c>
      <c r="J56" s="314">
        <f t="shared" si="3"/>
        <v>28112.33</v>
      </c>
      <c r="K56" s="314">
        <f t="shared" si="4"/>
        <v>2217.1</v>
      </c>
      <c r="L56" s="948">
        <f t="shared" si="5"/>
        <v>30329.43</v>
      </c>
      <c r="M56" s="374">
        <f t="shared" si="6"/>
        <v>2939365.26</v>
      </c>
      <c r="N56" s="375">
        <f>+M56/L$815</f>
        <v>0.52045880014211943</v>
      </c>
      <c r="O56" s="376" t="str">
        <f>IF(N56&lt;0.5,"A",IF(N56&gt;0.8,"C","B"))</f>
        <v>B</v>
      </c>
    </row>
    <row r="57" spans="1:15" x14ac:dyDescent="0.25">
      <c r="A57" s="232">
        <f t="shared" si="1"/>
        <v>57</v>
      </c>
      <c r="B57" s="232"/>
      <c r="C57" s="310" t="s">
        <v>11964</v>
      </c>
      <c r="D57" s="373" t="str">
        <f>IF($C57="","",IFERROR(VLOOKUP($C57,SERVIÇOS!$B:$G,2,0),IFERROR(VLOOKUP($C57,'COMPOSIÇÕES COMPLEMENTARES '!$D:$L,2,0),IFERROR(VLOOKUP($C57,INSUMOS!$A:$D,2,0),""))))</f>
        <v>INSTALAÇÃO DE ISOLAMENTO COM LÃ DE ROCHA EM PAREDES DRYWALL. AF_06/2017</v>
      </c>
      <c r="E57" s="312" t="str">
        <f>IF($C57="","",IFERROR(VLOOKUP($C57,SERVIÇOS!$B:$G,3,0),IFERROR(VLOOKUP($C57,'COMPOSIÇÕES COMPLEMENTARES '!$D:$L,3,0),IFERROR(VLOOKUP($C57,INSUMOS!$A:$D,3,0),""))))</f>
        <v>M2</v>
      </c>
      <c r="F57" s="313">
        <v>895.72</v>
      </c>
      <c r="G57" s="314">
        <f>IF($C57="","",IFERROR(VLOOKUP($C57,SERVIÇOS!$B:$G,4,0),IFERROR(VLOOKUP($C57,'COMPOSIÇÕES COMPLEMENTARES '!$D:$L,6,0),IFERROR(VLOOKUP($C57,INSUMOS!$A:$D,4,0),""))))</f>
        <v>31.89</v>
      </c>
      <c r="H57" s="314">
        <f>IF($C57="","",IFERROR(VLOOKUP($C57,SERVIÇOS!$B:$G,5,0),IFERROR(VLOOKUP($C57,'COMPOSIÇÕES COMPLEMENTARES '!$D:$L,7,0),0)))</f>
        <v>1.97</v>
      </c>
      <c r="I57" s="314">
        <f t="shared" si="2"/>
        <v>33.86</v>
      </c>
      <c r="J57" s="314">
        <f t="shared" si="3"/>
        <v>28564.51</v>
      </c>
      <c r="K57" s="314">
        <f t="shared" si="4"/>
        <v>1764.56</v>
      </c>
      <c r="L57" s="948">
        <f t="shared" si="5"/>
        <v>30329.07</v>
      </c>
      <c r="M57" s="374">
        <f t="shared" si="6"/>
        <v>2969694.3299999996</v>
      </c>
      <c r="N57" s="375">
        <f>+M57/L$815</f>
        <v>0.52582901785423397</v>
      </c>
      <c r="O57" s="376" t="str">
        <f>IF(N57&lt;0.5,"A",IF(N57&gt;0.8,"C","B"))</f>
        <v>B</v>
      </c>
    </row>
    <row r="58" spans="1:15" ht="51" x14ac:dyDescent="0.25">
      <c r="A58" s="232">
        <f t="shared" si="1"/>
        <v>58</v>
      </c>
      <c r="B58" s="232"/>
      <c r="C58" s="310" t="s">
        <v>12539</v>
      </c>
      <c r="D58" s="373" t="str">
        <f>IF($C58="","",IFERROR(VLOOKUP($C58,SERVIÇOS!$B:$G,2,0),IFERROR(VLOOKUP($C58,'COMPOSIÇÕES COMPLEMENTARES '!$D:$L,2,0),IFERROR(VLOOKUP($C58,INSUMOS!$A:$D,2,0),""))))</f>
        <v>CÂMERA DE SEGURANÇA DIGITAL IP - VIP S3020, COM ALIMENTAÇÃO POE, VIDE MEMORIAL DESCRITIVO COM CAIXA DE PROTEÇÃO PARA USO INTERNA A , A SEGURANÇA É EM ALTA DEFINIÇÃO, COM RESOLUÇÃO DE 720P (HD) E TECNOLOGIA DE VARREDURA PROGRESSIVA QUE OFERECE MAIS NITIDEZ E DETALHES PARA AS IMAGENS. CÂMERA BULLET COM IR INTELIGENTE DE 20 METROS, QUE GARANTE IMAGENS MAIS NÍTIDAS E ILUMINAÇÃO UNIFORME NO MODO NOITE.</v>
      </c>
      <c r="E58" s="312" t="str">
        <f>IF($C58="","",IFERROR(VLOOKUP($C58,SERVIÇOS!$B:$G,3,0),IFERROR(VLOOKUP($C58,'COMPOSIÇÕES COMPLEMENTARES '!$D:$L,3,0),IFERROR(VLOOKUP($C58,INSUMOS!$A:$D,3,0),""))))</f>
        <v>UN</v>
      </c>
      <c r="F58" s="313">
        <v>24</v>
      </c>
      <c r="G58" s="314">
        <f>IF($C58="","",IFERROR(VLOOKUP($C58,SERVIÇOS!$B:$G,4,0),IFERROR(VLOOKUP($C58,'COMPOSIÇÕES COMPLEMENTARES '!$D:$L,6,0),IFERROR(VLOOKUP($C58,INSUMOS!$A:$D,4,0),""))))</f>
        <v>974.32</v>
      </c>
      <c r="H58" s="314">
        <f>IF($C58="","",IFERROR(VLOOKUP($C58,SERVIÇOS!$B:$G,5,0),IFERROR(VLOOKUP($C58,'COMPOSIÇÕES COMPLEMENTARES '!$D:$L,7,0),0)))</f>
        <v>280.64</v>
      </c>
      <c r="I58" s="314">
        <f t="shared" si="2"/>
        <v>1254.96</v>
      </c>
      <c r="J58" s="314">
        <f t="shared" si="3"/>
        <v>23383.68</v>
      </c>
      <c r="K58" s="314">
        <f t="shared" si="4"/>
        <v>6735.36</v>
      </c>
      <c r="L58" s="948">
        <f t="shared" si="5"/>
        <v>30119.040000000001</v>
      </c>
      <c r="M58" s="374">
        <f t="shared" si="6"/>
        <v>2999813.3699999996</v>
      </c>
      <c r="N58" s="375">
        <f>+M58/L$815</f>
        <v>0.53116204659794053</v>
      </c>
      <c r="O58" s="376" t="str">
        <f>IF(N58&lt;0.5,"A",IF(N58&gt;0.8,"C","B"))</f>
        <v>B</v>
      </c>
    </row>
    <row r="59" spans="1:15" x14ac:dyDescent="0.25">
      <c r="A59" s="232">
        <f t="shared" si="1"/>
        <v>59</v>
      </c>
      <c r="B59" s="232"/>
      <c r="C59" s="310">
        <v>88497</v>
      </c>
      <c r="D59" s="373" t="str">
        <f>IF($C59="","",IFERROR(VLOOKUP($C59,SERVIÇOS!$B:$G,2,0),IFERROR(VLOOKUP($C59,'COMPOSIÇÕES COMPLEMENTARES '!$D:$L,2,0),IFERROR(VLOOKUP($C59,INSUMOS!$A:$D,2,0),""))))</f>
        <v>EMASSAMENTO COM MASSA LÁTEX, APLICAÇÃO EM PAREDE, DUAS DEMÃOS, LIXAMENTO MANUAL. AF_04/2023</v>
      </c>
      <c r="E59" s="312" t="str">
        <f>IF($C59="","",IFERROR(VLOOKUP($C59,SERVIÇOS!$B:$G,3,0),IFERROR(VLOOKUP($C59,'COMPOSIÇÕES COMPLEMENTARES '!$D:$L,3,0),IFERROR(VLOOKUP($C59,INSUMOS!$A:$D,3,0),""))))</f>
        <v>M2</v>
      </c>
      <c r="F59" s="313">
        <v>1286.74</v>
      </c>
      <c r="G59" s="314">
        <f>IF($C59="","",IFERROR(VLOOKUP($C59,SERVIÇOS!$B:$G,4,0),IFERROR(VLOOKUP($C59,'COMPOSIÇÕES COMPLEMENTARES '!$D:$L,6,0),IFERROR(VLOOKUP($C59,INSUMOS!$A:$D,4,0),""))))</f>
        <v>11.12</v>
      </c>
      <c r="H59" s="314">
        <f>IF($C59="","",IFERROR(VLOOKUP($C59,SERVIÇOS!$B:$G,5,0),IFERROR(VLOOKUP($C59,'COMPOSIÇÕES COMPLEMENTARES '!$D:$L,7,0),0)))</f>
        <v>12.24</v>
      </c>
      <c r="I59" s="314">
        <f t="shared" si="2"/>
        <v>23.36</v>
      </c>
      <c r="J59" s="314">
        <f t="shared" si="3"/>
        <v>14308.54</v>
      </c>
      <c r="K59" s="314">
        <f t="shared" si="4"/>
        <v>15749.69</v>
      </c>
      <c r="L59" s="948">
        <f t="shared" si="5"/>
        <v>30058.23</v>
      </c>
      <c r="M59" s="374">
        <f t="shared" si="6"/>
        <v>3029871.5999999996</v>
      </c>
      <c r="N59" s="375">
        <f>+M59/L$815</f>
        <v>0.53648430801712732</v>
      </c>
      <c r="O59" s="376" t="str">
        <f>IF(N59&lt;0.5,"A",IF(N59&gt;0.8,"C","B"))</f>
        <v>B</v>
      </c>
    </row>
    <row r="60" spans="1:15" ht="25.5" x14ac:dyDescent="0.25">
      <c r="A60" s="232">
        <f t="shared" si="1"/>
        <v>60</v>
      </c>
      <c r="B60" s="232"/>
      <c r="C60" s="310" t="s">
        <v>12011</v>
      </c>
      <c r="D60" s="373" t="str">
        <f>IF($C60="","",IFERROR(VLOOKUP($C60,SERVIÇOS!$B:$G,2,0),IFERROR(VLOOKUP($C60,'COMPOSIÇÕES COMPLEMENTARES '!$D:$L,2,0),IFERROR(VLOOKUP($C60,INSUMOS!$A:$D,2,0),""))))</f>
        <v>JANELA DE ALUMÍNIO ANODIZADO NATURAL DE CORRER, EM PERFIS SERIE 32, COM VIDRO TEMPERADO INCOLOR E=6MM - FORNECIMENTO E COLOCAÇÃO</v>
      </c>
      <c r="E60" s="312" t="str">
        <f>IF($C60="","",IFERROR(VLOOKUP($C60,SERVIÇOS!$B:$G,3,0),IFERROR(VLOOKUP($C60,'COMPOSIÇÕES COMPLEMENTARES '!$D:$L,3,0),IFERROR(VLOOKUP($C60,INSUMOS!$A:$D,3,0),""))))</f>
        <v>M2</v>
      </c>
      <c r="F60" s="313">
        <v>30</v>
      </c>
      <c r="G60" s="314">
        <f>IF($C60="","",IFERROR(VLOOKUP($C60,SERVIÇOS!$B:$G,4,0),IFERROR(VLOOKUP($C60,'COMPOSIÇÕES COMPLEMENTARES '!$D:$L,6,0),IFERROR(VLOOKUP($C60,INSUMOS!$A:$D,4,0),""))))</f>
        <v>811.37</v>
      </c>
      <c r="H60" s="314">
        <f>IF($C60="","",IFERROR(VLOOKUP($C60,SERVIÇOS!$B:$G,5,0),IFERROR(VLOOKUP($C60,'COMPOSIÇÕES COMPLEMENTARES '!$D:$L,7,0),0)))</f>
        <v>188.93</v>
      </c>
      <c r="I60" s="314">
        <f t="shared" si="2"/>
        <v>1000.3</v>
      </c>
      <c r="J60" s="314">
        <f t="shared" si="3"/>
        <v>24341.1</v>
      </c>
      <c r="K60" s="314">
        <f t="shared" si="4"/>
        <v>5667.9</v>
      </c>
      <c r="L60" s="948">
        <f t="shared" si="5"/>
        <v>30009</v>
      </c>
      <c r="M60" s="374">
        <f t="shared" si="6"/>
        <v>3059880.5999999996</v>
      </c>
      <c r="N60" s="375">
        <f>+M60/L$815</f>
        <v>0.54179785252485035</v>
      </c>
      <c r="O60" s="376" t="str">
        <f>IF(N60&lt;0.5,"A",IF(N60&gt;0.8,"C","B"))</f>
        <v>B</v>
      </c>
    </row>
    <row r="61" spans="1:15" x14ac:dyDescent="0.25">
      <c r="A61" s="232">
        <f t="shared" si="1"/>
        <v>61</v>
      </c>
      <c r="B61" s="232"/>
      <c r="C61" s="310" t="s">
        <v>11940</v>
      </c>
      <c r="D61" s="373" t="str">
        <f>IF($C61="","",IFERROR(VLOOKUP($C61,SERVIÇOS!$B:$G,2,0),IFERROR(VLOOKUP($C61,'COMPOSIÇÕES COMPLEMENTARES '!$D:$L,2,0),IFERROR(VLOOKUP($C61,INSUMOS!$A:$D,2,0),""))))</f>
        <v>CONCRETO USINADO BOMBEADO FCK=30MPA, BOMBEADO, LANÇADO E ADENSADO EM SUPERESTRUTURA</v>
      </c>
      <c r="E61" s="312" t="str">
        <f>IF($C61="","",IFERROR(VLOOKUP($C61,SERVIÇOS!$B:$G,3,0),IFERROR(VLOOKUP($C61,'COMPOSIÇÕES COMPLEMENTARES '!$D:$L,3,0),IFERROR(VLOOKUP($C61,INSUMOS!$A:$D,3,0),""))))</f>
        <v>M3</v>
      </c>
      <c r="F61" s="313">
        <v>51.1</v>
      </c>
      <c r="G61" s="314">
        <f>IF($C61="","",IFERROR(VLOOKUP($C61,SERVIÇOS!$B:$G,4,0),IFERROR(VLOOKUP($C61,'COMPOSIÇÕES COMPLEMENTARES '!$D:$L,6,0),IFERROR(VLOOKUP($C61,INSUMOS!$A:$D,4,0),""))))</f>
        <v>534.25</v>
      </c>
      <c r="H61" s="314">
        <f>IF($C61="","",IFERROR(VLOOKUP($C61,SERVIÇOS!$B:$G,5,0),IFERROR(VLOOKUP($C61,'COMPOSIÇÕES COMPLEMENTARES '!$D:$L,7,0),0)))</f>
        <v>38.56</v>
      </c>
      <c r="I61" s="314">
        <f t="shared" si="2"/>
        <v>572.80999999999995</v>
      </c>
      <c r="J61" s="314">
        <f t="shared" si="3"/>
        <v>27300.17</v>
      </c>
      <c r="K61" s="314">
        <f t="shared" si="4"/>
        <v>1970.41</v>
      </c>
      <c r="L61" s="948">
        <f t="shared" si="5"/>
        <v>29270.58</v>
      </c>
      <c r="M61" s="374">
        <f t="shared" si="6"/>
        <v>3089151.1799999997</v>
      </c>
      <c r="N61" s="375">
        <f>+M61/L$815</f>
        <v>0.54698064867256824</v>
      </c>
      <c r="O61" s="376" t="str">
        <f>IF(N61&lt;0.5,"A",IF(N61&gt;0.8,"C","B"))</f>
        <v>B</v>
      </c>
    </row>
    <row r="62" spans="1:15" ht="25.5" x14ac:dyDescent="0.25">
      <c r="A62" s="232">
        <f t="shared" si="1"/>
        <v>62</v>
      </c>
      <c r="B62" s="232"/>
      <c r="C62" s="310">
        <v>92762</v>
      </c>
      <c r="D62" s="373" t="str">
        <f>IF($C62="","",IFERROR(VLOOKUP($C62,SERVIÇOS!$B:$G,2,0),IFERROR(VLOOKUP($C62,'COMPOSIÇÕES COMPLEMENTARES '!$D:$L,2,0),IFERROR(VLOOKUP($C62,INSUMOS!$A:$D,2,0),""))))</f>
        <v>ARMAÇÃO DE PILAR OU VIGA DE ESTRUTURA CONVENCIONAL DE CONCRETO ARMADO UTILIZANDO AÇO CA-50 DE 10,0 MM - MONTAGEM. AF_06/2022</v>
      </c>
      <c r="E62" s="312" t="str">
        <f>IF($C62="","",IFERROR(VLOOKUP($C62,SERVIÇOS!$B:$G,3,0),IFERROR(VLOOKUP($C62,'COMPOSIÇÕES COMPLEMENTARES '!$D:$L,3,0),IFERROR(VLOOKUP($C62,INSUMOS!$A:$D,3,0),""))))</f>
        <v>KG</v>
      </c>
      <c r="F62" s="313">
        <v>2580</v>
      </c>
      <c r="G62" s="314">
        <f>IF($C62="","",IFERROR(VLOOKUP($C62,SERVIÇOS!$B:$G,4,0),IFERROR(VLOOKUP($C62,'COMPOSIÇÕES COMPLEMENTARES '!$D:$L,6,0),IFERROR(VLOOKUP($C62,INSUMOS!$A:$D,4,0),""))))</f>
        <v>9.85</v>
      </c>
      <c r="H62" s="314">
        <f>IF($C62="","",IFERROR(VLOOKUP($C62,SERVIÇOS!$B:$G,5,0),IFERROR(VLOOKUP($C62,'COMPOSIÇÕES COMPLEMENTARES '!$D:$L,7,0),0)))</f>
        <v>1.46</v>
      </c>
      <c r="I62" s="314">
        <f t="shared" si="2"/>
        <v>11.309999999999999</v>
      </c>
      <c r="J62" s="314">
        <f t="shared" si="3"/>
        <v>25413</v>
      </c>
      <c r="K62" s="314">
        <f t="shared" si="4"/>
        <v>3766.8</v>
      </c>
      <c r="L62" s="948">
        <f t="shared" si="5"/>
        <v>29179.8</v>
      </c>
      <c r="M62" s="374">
        <f t="shared" si="6"/>
        <v>3118330.9799999995</v>
      </c>
      <c r="N62" s="375">
        <f>+M62/L$815</f>
        <v>0.55214737085679488</v>
      </c>
      <c r="O62" s="376" t="str">
        <f>IF(N62&lt;0.5,"A",IF(N62&gt;0.8,"C","B"))</f>
        <v>B</v>
      </c>
    </row>
    <row r="63" spans="1:15" x14ac:dyDescent="0.25">
      <c r="A63" s="232">
        <f t="shared" si="1"/>
        <v>63</v>
      </c>
      <c r="B63" s="232"/>
      <c r="C63" s="310">
        <v>96113</v>
      </c>
      <c r="D63" s="373" t="str">
        <f>IF($C63="","",IFERROR(VLOOKUP($C63,SERVIÇOS!$B:$G,2,0),IFERROR(VLOOKUP($C63,'COMPOSIÇÕES COMPLEMENTARES '!$D:$L,2,0),IFERROR(VLOOKUP($C63,INSUMOS!$A:$D,2,0),""))))</f>
        <v>FORRO EM PLACAS DE GESSO, PARA AMBIENTES COMERCIAIS. AF_08/2023_PS</v>
      </c>
      <c r="E63" s="312" t="str">
        <f>IF($C63="","",IFERROR(VLOOKUP($C63,SERVIÇOS!$B:$G,3,0),IFERROR(VLOOKUP($C63,'COMPOSIÇÕES COMPLEMENTARES '!$D:$L,3,0),IFERROR(VLOOKUP($C63,INSUMOS!$A:$D,3,0),""))))</f>
        <v>M2</v>
      </c>
      <c r="F63" s="313">
        <v>503.28</v>
      </c>
      <c r="G63" s="314">
        <f>IF($C63="","",IFERROR(VLOOKUP($C63,SERVIÇOS!$B:$G,4,0),IFERROR(VLOOKUP($C63,'COMPOSIÇÕES COMPLEMENTARES '!$D:$L,6,0),IFERROR(VLOOKUP($C63,INSUMOS!$A:$D,4,0),""))))</f>
        <v>27.05</v>
      </c>
      <c r="H63" s="314">
        <f>IF($C63="","",IFERROR(VLOOKUP($C63,SERVIÇOS!$B:$G,5,0),IFERROR(VLOOKUP($C63,'COMPOSIÇÕES COMPLEMENTARES '!$D:$L,7,0),0)))</f>
        <v>29.32</v>
      </c>
      <c r="I63" s="314">
        <f t="shared" si="2"/>
        <v>56.370000000000005</v>
      </c>
      <c r="J63" s="314">
        <f t="shared" si="3"/>
        <v>13613.72</v>
      </c>
      <c r="K63" s="314">
        <f t="shared" si="4"/>
        <v>14756.16</v>
      </c>
      <c r="L63" s="948">
        <f t="shared" si="5"/>
        <v>28369.88</v>
      </c>
      <c r="M63" s="374">
        <f t="shared" si="6"/>
        <v>3146700.8599999994</v>
      </c>
      <c r="N63" s="375">
        <f>+M63/L$815</f>
        <v>0.55717068453131779</v>
      </c>
      <c r="O63" s="376" t="str">
        <f>IF(N63&lt;0.5,"A",IF(N63&gt;0.8,"C","B"))</f>
        <v>B</v>
      </c>
    </row>
    <row r="64" spans="1:15" x14ac:dyDescent="0.25">
      <c r="A64" s="232">
        <f t="shared" si="1"/>
        <v>64</v>
      </c>
      <c r="B64" s="232"/>
      <c r="C64" s="310" t="s">
        <v>12186</v>
      </c>
      <c r="D64" s="373" t="str">
        <f>IF($C64="","",IFERROR(VLOOKUP($C64,SERVIÇOS!$B:$G,2,0),IFERROR(VLOOKUP($C64,'COMPOSIÇÕES COMPLEMENTARES '!$D:$L,2,0),IFERROR(VLOOKUP($C64,INSUMOS!$A:$D,2,0),""))))</f>
        <v>CONDUTOR DE COBRE FLEX. ISOL. 1KV - 90º - #95MM² - AFUMEX</v>
      </c>
      <c r="E64" s="312" t="str">
        <f>IF($C64="","",IFERROR(VLOOKUP($C64,SERVIÇOS!$B:$G,3,0),IFERROR(VLOOKUP($C64,'COMPOSIÇÕES COMPLEMENTARES '!$D:$L,3,0),IFERROR(VLOOKUP($C64,INSUMOS!$A:$D,3,0),""))))</f>
        <v>M</v>
      </c>
      <c r="F64" s="313">
        <v>296</v>
      </c>
      <c r="G64" s="314">
        <f>IF($C64="","",IFERROR(VLOOKUP($C64,SERVIÇOS!$B:$G,4,0),IFERROR(VLOOKUP($C64,'COMPOSIÇÕES COMPLEMENTARES '!$D:$L,6,0),IFERROR(VLOOKUP($C64,INSUMOS!$A:$D,4,0),""))))</f>
        <v>85.88</v>
      </c>
      <c r="H64" s="314">
        <f>IF($C64="","",IFERROR(VLOOKUP($C64,SERVIÇOS!$B:$G,5,0),IFERROR(VLOOKUP($C64,'COMPOSIÇÕES COMPLEMENTARES '!$D:$L,7,0),0)))</f>
        <v>6.33</v>
      </c>
      <c r="I64" s="314">
        <f t="shared" si="2"/>
        <v>92.21</v>
      </c>
      <c r="J64" s="314">
        <f t="shared" si="3"/>
        <v>25420.48</v>
      </c>
      <c r="K64" s="314">
        <f t="shared" si="4"/>
        <v>1873.68</v>
      </c>
      <c r="L64" s="948">
        <f t="shared" si="5"/>
        <v>27294.16</v>
      </c>
      <c r="M64" s="374">
        <f t="shared" si="6"/>
        <v>3173995.0199999996</v>
      </c>
      <c r="N64" s="375">
        <f>+M64/L$815</f>
        <v>0.56200352581096447</v>
      </c>
      <c r="O64" s="376" t="str">
        <f>IF(N64&lt;0.5,"A",IF(N64&gt;0.8,"C","B"))</f>
        <v>B</v>
      </c>
    </row>
    <row r="65" spans="1:15" ht="25.5" x14ac:dyDescent="0.25">
      <c r="A65" s="232">
        <f t="shared" si="1"/>
        <v>65</v>
      </c>
      <c r="B65" s="232"/>
      <c r="C65" s="310" t="s">
        <v>12001</v>
      </c>
      <c r="D65" s="373" t="str">
        <f>IF($C65="","",IFERROR(VLOOKUP($C65,SERVIÇOS!$B:$G,2,0),IFERROR(VLOOKUP($C65,'COMPOSIÇÕES COMPLEMENTARES '!$D:$L,2,0),IFERROR(VLOOKUP($C65,INSUMOS!$A:$D,2,0),""))))</f>
        <v>REVESTIMENTO CERÂMICO PARA PAREDE 10X10cm, REF. STRUFALDI, APLICADO COM ARGAMASSA INDUSTRIALIZADA AC-III E REJUNTE CIMENTÍCIO.</v>
      </c>
      <c r="E65" s="312" t="str">
        <f>IF($C65="","",IFERROR(VLOOKUP($C65,SERVIÇOS!$B:$G,3,0),IFERROR(VLOOKUP($C65,'COMPOSIÇÕES COMPLEMENTARES '!$D:$L,3,0),IFERROR(VLOOKUP($C65,INSUMOS!$A:$D,3,0),""))))</f>
        <v>M2</v>
      </c>
      <c r="F65" s="313">
        <v>186.04</v>
      </c>
      <c r="G65" s="314">
        <f>IF($C65="","",IFERROR(VLOOKUP($C65,SERVIÇOS!$B:$G,4,0),IFERROR(VLOOKUP($C65,'COMPOSIÇÕES COMPLEMENTARES '!$D:$L,6,0),IFERROR(VLOOKUP($C65,INSUMOS!$A:$D,4,0),""))))</f>
        <v>100.29</v>
      </c>
      <c r="H65" s="314">
        <f>IF($C65="","",IFERROR(VLOOKUP($C65,SERVIÇOS!$B:$G,5,0),IFERROR(VLOOKUP($C65,'COMPOSIÇÕES COMPLEMENTARES '!$D:$L,7,0),0)))</f>
        <v>42.24</v>
      </c>
      <c r="I65" s="314">
        <f t="shared" si="2"/>
        <v>142.53</v>
      </c>
      <c r="J65" s="314">
        <f t="shared" si="3"/>
        <v>18657.95</v>
      </c>
      <c r="K65" s="314">
        <f t="shared" si="4"/>
        <v>7858.32</v>
      </c>
      <c r="L65" s="948">
        <f t="shared" si="5"/>
        <v>26516.27</v>
      </c>
      <c r="M65" s="374">
        <f t="shared" si="6"/>
        <v>3200511.2899999996</v>
      </c>
      <c r="N65" s="375">
        <f>+M65/L$815</f>
        <v>0.56669862997384224</v>
      </c>
      <c r="O65" s="376" t="str">
        <f>IF(N65&lt;0.5,"A",IF(N65&gt;0.8,"C","B"))</f>
        <v>B</v>
      </c>
    </row>
    <row r="66" spans="1:15" ht="25.5" x14ac:dyDescent="0.25">
      <c r="A66" s="232">
        <f t="shared" si="1"/>
        <v>66</v>
      </c>
      <c r="B66" s="232"/>
      <c r="C66" s="310" t="s">
        <v>12342</v>
      </c>
      <c r="D66" s="373" t="str">
        <f>IF($C66="","",IFERROR(VLOOKUP($C66,SERVIÇOS!$B:$G,2,0),IFERROR(VLOOKUP($C66,'COMPOSIÇÕES COMPLEMENTARES '!$D:$L,2,0),IFERROR(VLOOKUP($C66,INSUMOS!$A:$D,2,0),""))))</f>
        <v>TUBO DE COBRE CLASSE "A", DN = 1/2 " (15 MM), PARA INSTALACOES DE MEDIA PRESSAO PARA GASES COMBUSTIVEIS E MEDICINAIS</v>
      </c>
      <c r="E66" s="312" t="str">
        <f>IF($C66="","",IFERROR(VLOOKUP($C66,SERVIÇOS!$B:$G,3,0),IFERROR(VLOOKUP($C66,'COMPOSIÇÕES COMPLEMENTARES '!$D:$L,3,0),IFERROR(VLOOKUP($C66,INSUMOS!$A:$D,3,0),""))))</f>
        <v>M</v>
      </c>
      <c r="F66" s="313">
        <v>229.49</v>
      </c>
      <c r="G66" s="314">
        <f>IF($C66="","",IFERROR(VLOOKUP($C66,SERVIÇOS!$B:$G,4,0),IFERROR(VLOOKUP($C66,'COMPOSIÇÕES COMPLEMENTARES '!$D:$L,6,0),IFERROR(VLOOKUP($C66,INSUMOS!$A:$D,4,0),""))))</f>
        <v>97.06</v>
      </c>
      <c r="H66" s="314">
        <f>IF($C66="","",IFERROR(VLOOKUP($C66,SERVIÇOS!$B:$G,5,0),IFERROR(VLOOKUP($C66,'COMPOSIÇÕES COMPLEMENTARES '!$D:$L,7,0),0)))</f>
        <v>16.03</v>
      </c>
      <c r="I66" s="314">
        <f t="shared" si="2"/>
        <v>113.09</v>
      </c>
      <c r="J66" s="314">
        <f t="shared" si="3"/>
        <v>22274.29</v>
      </c>
      <c r="K66" s="314">
        <f t="shared" si="4"/>
        <v>3678.72</v>
      </c>
      <c r="L66" s="948">
        <f t="shared" si="5"/>
        <v>25953.01</v>
      </c>
      <c r="M66" s="374">
        <f t="shared" si="6"/>
        <v>3226464.2999999993</v>
      </c>
      <c r="N66" s="375">
        <f>+M66/L$815</f>
        <v>0.57129400048750079</v>
      </c>
      <c r="O66" s="376" t="str">
        <f>IF(N66&lt;0.5,"A",IF(N66&gt;0.8,"C","B"))</f>
        <v>B</v>
      </c>
    </row>
    <row r="67" spans="1:15" ht="25.5" x14ac:dyDescent="0.25">
      <c r="A67" s="232">
        <f t="shared" si="1"/>
        <v>67</v>
      </c>
      <c r="B67" s="232"/>
      <c r="C67" s="310" t="s">
        <v>12411</v>
      </c>
      <c r="D67" s="373" t="str">
        <f>IF($C67="","",IFERROR(VLOOKUP($C67,SERVIÇOS!$B:$G,2,0),IFERROR(VLOOKUP($C67,'COMPOSIÇÕES COMPLEMENTARES '!$D:$L,2,0),IFERROR(VLOOKUP($C67,INSUMOS!$A:$D,2,0),""))))</f>
        <v>CONTROLE CENTRALIZADO - BACNET INTERFACE-INTEGRATED CONTROL SYSTEM CONENECTING VRV SYSTEM WITH BMS SYSTEM. REFERÊNCIA: DAIKIN DMS502B51</v>
      </c>
      <c r="E67" s="312" t="str">
        <f>IF($C67="","",IFERROR(VLOOKUP($C67,SERVIÇOS!$B:$G,3,0),IFERROR(VLOOKUP($C67,'COMPOSIÇÕES COMPLEMENTARES '!$D:$L,3,0),IFERROR(VLOOKUP($C67,INSUMOS!$A:$D,3,0),""))))</f>
        <v>UN</v>
      </c>
      <c r="F67" s="313">
        <v>1</v>
      </c>
      <c r="G67" s="314">
        <f>IF($C67="","",IFERROR(VLOOKUP($C67,SERVIÇOS!$B:$G,4,0),IFERROR(VLOOKUP($C67,'COMPOSIÇÕES COMPLEMENTARES '!$D:$L,6,0),IFERROR(VLOOKUP($C67,INSUMOS!$A:$D,4,0),""))))</f>
        <v>25257.040000000001</v>
      </c>
      <c r="H67" s="314">
        <f>IF($C67="","",IFERROR(VLOOKUP($C67,SERVIÇOS!$B:$G,5,0),IFERROR(VLOOKUP($C67,'COMPOSIÇÕES COMPLEMENTARES '!$D:$L,7,0),0)))</f>
        <v>452.48</v>
      </c>
      <c r="I67" s="314">
        <f t="shared" si="2"/>
        <v>25709.52</v>
      </c>
      <c r="J67" s="314">
        <f t="shared" si="3"/>
        <v>25257.040000000001</v>
      </c>
      <c r="K67" s="314">
        <f t="shared" si="4"/>
        <v>452.48</v>
      </c>
      <c r="L67" s="948">
        <f t="shared" si="5"/>
        <v>25709.52</v>
      </c>
      <c r="M67" s="374">
        <f t="shared" si="6"/>
        <v>3252173.8199999994</v>
      </c>
      <c r="N67" s="375">
        <f>+M67/L$815</f>
        <v>0.5758462574368225</v>
      </c>
      <c r="O67" s="376" t="str">
        <f>IF(N67&lt;0.5,"A",IF(N67&gt;0.8,"C","B"))</f>
        <v>B</v>
      </c>
    </row>
    <row r="68" spans="1:15" ht="38.25" x14ac:dyDescent="0.25">
      <c r="A68" s="232">
        <f t="shared" si="1"/>
        <v>68</v>
      </c>
      <c r="B68" s="232"/>
      <c r="C68" s="310">
        <v>90849</v>
      </c>
      <c r="D68" s="373" t="str">
        <f>IF($C68="","",IFERROR(VLOOKUP($C68,SERVIÇOS!$B:$G,2,0),IFERROR(VLOOKUP($C68,'COMPOSIÇÕES COMPLEMENTARES '!$D:$L,2,0),IFERROR(VLOOKUP($C68,INSUMOS!$A:$D,2,0),""))))</f>
        <v>KIT DE PORTA DE MADEIRA PARA PINTURA, SEMI-OCA (LEVE OU MÉDIA), PADRÃO MÉDIO, 80X210CM, ESPESSURA DE 3,5CM, ITENS INCLUSOS: DOBRADIÇAS, MONTAGEM E INSTALAÇÃO DO BATENTE, SEM FECHADURA - FORNECIMENTO E INSTALAÇÃO. AF_12/2019</v>
      </c>
      <c r="E68" s="312" t="str">
        <f>IF($C68="","",IFERROR(VLOOKUP($C68,SERVIÇOS!$B:$G,3,0),IFERROR(VLOOKUP($C68,'COMPOSIÇÕES COMPLEMENTARES '!$D:$L,3,0),IFERROR(VLOOKUP($C68,INSUMOS!$A:$D,3,0),""))))</f>
        <v>UN</v>
      </c>
      <c r="F68" s="313">
        <v>23</v>
      </c>
      <c r="G68" s="314">
        <f>IF($C68="","",IFERROR(VLOOKUP($C68,SERVIÇOS!$B:$G,4,0),IFERROR(VLOOKUP($C68,'COMPOSIÇÕES COMPLEMENTARES '!$D:$L,6,0),IFERROR(VLOOKUP($C68,INSUMOS!$A:$D,4,0),""))))</f>
        <v>856.21</v>
      </c>
      <c r="H68" s="314">
        <f>IF($C68="","",IFERROR(VLOOKUP($C68,SERVIÇOS!$B:$G,5,0),IFERROR(VLOOKUP($C68,'COMPOSIÇÕES COMPLEMENTARES '!$D:$L,7,0),0)))</f>
        <v>250.71</v>
      </c>
      <c r="I68" s="314">
        <f t="shared" si="2"/>
        <v>1106.92</v>
      </c>
      <c r="J68" s="314">
        <f t="shared" si="3"/>
        <v>19692.830000000002</v>
      </c>
      <c r="K68" s="314">
        <f t="shared" si="4"/>
        <v>5766.33</v>
      </c>
      <c r="L68" s="948">
        <f t="shared" si="5"/>
        <v>25459.16</v>
      </c>
      <c r="M68" s="374">
        <f t="shared" si="6"/>
        <v>3277632.9799999995</v>
      </c>
      <c r="N68" s="375">
        <f>+M68/L$815</f>
        <v>0.58035418438504616</v>
      </c>
      <c r="O68" s="376" t="str">
        <f>IF(N68&lt;0.5,"A",IF(N68&gt;0.8,"C","B"))</f>
        <v>B</v>
      </c>
    </row>
    <row r="69" spans="1:15" ht="25.5" x14ac:dyDescent="0.25">
      <c r="A69" s="232">
        <f t="shared" si="1"/>
        <v>69</v>
      </c>
      <c r="B69" s="232"/>
      <c r="C69" s="310">
        <v>94207</v>
      </c>
      <c r="D69" s="373" t="str">
        <f>IF($C69="","",IFERROR(VLOOKUP($C69,SERVIÇOS!$B:$G,2,0),IFERROR(VLOOKUP($C69,'COMPOSIÇÕES COMPLEMENTARES '!$D:$L,2,0),IFERROR(VLOOKUP($C69,INSUMOS!$A:$D,2,0),""))))</f>
        <v>TELHAMENTO COM TELHA ONDULADA DE FIBROCIMENTO E = 6 MM, COM RECOBRIMENTO LATERAL DE 1/4 DE ONDA PARA TELHADO COM INCLINAÇÃO MAIOR QUE 10°, COM ATÉ 2 ÁGUAS, INCLUSO IÇAMENTO. AF_07/2019</v>
      </c>
      <c r="E69" s="312" t="str">
        <f>IF($C69="","",IFERROR(VLOOKUP($C69,SERVIÇOS!$B:$G,3,0),IFERROR(VLOOKUP($C69,'COMPOSIÇÕES COMPLEMENTARES '!$D:$L,3,0),IFERROR(VLOOKUP($C69,INSUMOS!$A:$D,3,0),""))))</f>
        <v>M2</v>
      </c>
      <c r="F69" s="313">
        <v>531.67999999999995</v>
      </c>
      <c r="G69" s="314">
        <f>IF($C69="","",IFERROR(VLOOKUP($C69,SERVIÇOS!$B:$G,4,0),IFERROR(VLOOKUP($C69,'COMPOSIÇÕES COMPLEMENTARES '!$D:$L,6,0),IFERROR(VLOOKUP($C69,INSUMOS!$A:$D,4,0),""))))</f>
        <v>40.75</v>
      </c>
      <c r="H69" s="314">
        <f>IF($C69="","",IFERROR(VLOOKUP($C69,SERVIÇOS!$B:$G,5,0),IFERROR(VLOOKUP($C69,'COMPOSIÇÕES COMPLEMENTARES '!$D:$L,7,0),0)))</f>
        <v>6.33</v>
      </c>
      <c r="I69" s="314">
        <f t="shared" si="2"/>
        <v>47.08</v>
      </c>
      <c r="J69" s="314">
        <f t="shared" si="3"/>
        <v>21665.96</v>
      </c>
      <c r="K69" s="314">
        <f t="shared" si="4"/>
        <v>3365.53</v>
      </c>
      <c r="L69" s="948">
        <f t="shared" si="5"/>
        <v>25031.49</v>
      </c>
      <c r="M69" s="374">
        <f t="shared" si="6"/>
        <v>3302664.4699999997</v>
      </c>
      <c r="N69" s="375">
        <f>+M69/L$815</f>
        <v>0.58478638593156973</v>
      </c>
      <c r="O69" s="376" t="str">
        <f>IF(N69&lt;0.5,"A",IF(N69&gt;0.8,"C","B"))</f>
        <v>B</v>
      </c>
    </row>
    <row r="70" spans="1:15" x14ac:dyDescent="0.25">
      <c r="A70" s="232">
        <f t="shared" si="1"/>
        <v>70</v>
      </c>
      <c r="B70" s="232"/>
      <c r="C70" s="310" t="s">
        <v>12076</v>
      </c>
      <c r="D70" s="373" t="str">
        <f>IF($C70="","",IFERROR(VLOOKUP($C70,SERVIÇOS!$B:$G,2,0),IFERROR(VLOOKUP($C70,'COMPOSIÇÕES COMPLEMENTARES '!$D:$L,2,0),IFERROR(VLOOKUP($C70,INSUMOS!$A:$D,2,0),""))))</f>
        <v>BATE-MACA OU PROTETOR DE PAREDE CURVO EM PVC, COM AMORTECIMENTO À IMPACTO, ALTURA DE 200 MM</v>
      </c>
      <c r="E70" s="312" t="str">
        <f>IF($C70="","",IFERROR(VLOOKUP($C70,SERVIÇOS!$B:$G,3,0),IFERROR(VLOOKUP($C70,'COMPOSIÇÕES COMPLEMENTARES '!$D:$L,3,0),IFERROR(VLOOKUP($C70,INSUMOS!$A:$D,3,0),""))))</f>
        <v>M</v>
      </c>
      <c r="F70" s="313">
        <v>89.04</v>
      </c>
      <c r="G70" s="314">
        <f>IF($C70="","",IFERROR(VLOOKUP($C70,SERVIÇOS!$B:$G,4,0),IFERROR(VLOOKUP($C70,'COMPOSIÇÕES COMPLEMENTARES '!$D:$L,6,0),IFERROR(VLOOKUP($C70,INSUMOS!$A:$D,4,0),""))))</f>
        <v>201.26</v>
      </c>
      <c r="H70" s="314">
        <f>IF($C70="","",IFERROR(VLOOKUP($C70,SERVIÇOS!$B:$G,5,0),IFERROR(VLOOKUP($C70,'COMPOSIÇÕES COMPLEMENTARES '!$D:$L,7,0),0)))</f>
        <v>76.55</v>
      </c>
      <c r="I70" s="314">
        <f t="shared" si="2"/>
        <v>277.81</v>
      </c>
      <c r="J70" s="314">
        <f t="shared" si="3"/>
        <v>17920.189999999999</v>
      </c>
      <c r="K70" s="314">
        <f t="shared" si="4"/>
        <v>6816.01</v>
      </c>
      <c r="L70" s="948">
        <f t="shared" si="5"/>
        <v>24736.2</v>
      </c>
      <c r="M70" s="374">
        <f t="shared" si="6"/>
        <v>3327400.67</v>
      </c>
      <c r="N70" s="375">
        <f>+M70/L$815</f>
        <v>0.58916630194516362</v>
      </c>
      <c r="O70" s="376" t="str">
        <f>IF(N70&lt;0.5,"A",IF(N70&gt;0.8,"C","B"))</f>
        <v>B</v>
      </c>
    </row>
    <row r="71" spans="1:15" x14ac:dyDescent="0.25">
      <c r="A71" s="232">
        <f t="shared" si="1"/>
        <v>71</v>
      </c>
      <c r="B71" s="232"/>
      <c r="C71" s="310" t="s">
        <v>12567</v>
      </c>
      <c r="D71" s="373" t="str">
        <f>IF($C71="","",IFERROR(VLOOKUP($C71,SERVIÇOS!$B:$G,2,0),IFERROR(VLOOKUP($C71,'COMPOSIÇÕES COMPLEMENTARES '!$D:$L,2,0),IFERROR(VLOOKUP($C71,INSUMOS!$A:$D,2,0),""))))</f>
        <v>EXECUÇÃO DE ESCRITÓRIO EM CANTEIRO DE OBRA, NÃO INCLUSO MOBILIÁRIO, CONFORME DETALHE DE PROJETO</v>
      </c>
      <c r="E71" s="312" t="str">
        <f>IF($C71="","",IFERROR(VLOOKUP($C71,SERVIÇOS!$B:$G,3,0),IFERROR(VLOOKUP($C71,'COMPOSIÇÕES COMPLEMENTARES '!$D:$L,3,0),IFERROR(VLOOKUP($C71,INSUMOS!$A:$D,3,0),""))))</f>
        <v>M2</v>
      </c>
      <c r="F71" s="313">
        <v>13.8</v>
      </c>
      <c r="G71" s="314">
        <f>IF($C71="","",IFERROR(VLOOKUP($C71,SERVIÇOS!$B:$G,4,0),IFERROR(VLOOKUP($C71,'COMPOSIÇÕES COMPLEMENTARES '!$D:$L,6,0),IFERROR(VLOOKUP($C71,INSUMOS!$A:$D,4,0),""))))</f>
        <v>1438.27</v>
      </c>
      <c r="H71" s="314">
        <f>IF($C71="","",IFERROR(VLOOKUP($C71,SERVIÇOS!$B:$G,5,0),IFERROR(VLOOKUP($C71,'COMPOSIÇÕES COMPLEMENTARES '!$D:$L,7,0),0)))</f>
        <v>290.95999999999998</v>
      </c>
      <c r="I71" s="314">
        <f t="shared" si="2"/>
        <v>1729.23</v>
      </c>
      <c r="J71" s="314">
        <f t="shared" si="3"/>
        <v>19848.12</v>
      </c>
      <c r="K71" s="314">
        <f t="shared" si="4"/>
        <v>4015.24</v>
      </c>
      <c r="L71" s="948">
        <f t="shared" si="5"/>
        <v>23863.360000000001</v>
      </c>
      <c r="M71" s="374">
        <f t="shared" si="6"/>
        <v>3351264.03</v>
      </c>
      <c r="N71" s="375">
        <f>+M71/L$815</f>
        <v>0.59339166851731917</v>
      </c>
      <c r="O71" s="376" t="str">
        <f>IF(N71&lt;0.5,"A",IF(N71&gt;0.8,"C","B"))</f>
        <v>B</v>
      </c>
    </row>
    <row r="72" spans="1:15" ht="25.5" x14ac:dyDescent="0.25">
      <c r="A72" s="232">
        <f t="shared" si="1"/>
        <v>72</v>
      </c>
      <c r="B72" s="232"/>
      <c r="C72" s="310" t="s">
        <v>11926</v>
      </c>
      <c r="D72" s="373" t="str">
        <f>IF($C72="","",IFERROR(VLOOKUP($C72,SERVIÇOS!$B:$G,2,0),IFERROR(VLOOKUP($C72,'COMPOSIÇÕES COMPLEMENTARES '!$D:$L,2,0),IFERROR(VLOOKUP($C72,INSUMOS!$A:$D,2,0),""))))</f>
        <v xml:space="preserve">ESTACA ESCAVADA MECANICAMENTE, SEM FLUIDO ESTABILIZANTE, COM 30CM DE DIÂMETRO, INCLUSO MOBILIZAÇÃO E DESMOBILIZAÇÃO </v>
      </c>
      <c r="E72" s="312" t="str">
        <f>IF($C72="","",IFERROR(VLOOKUP($C72,SERVIÇOS!$B:$G,3,0),IFERROR(VLOOKUP($C72,'COMPOSIÇÕES COMPLEMENTARES '!$D:$L,3,0),IFERROR(VLOOKUP($C72,INSUMOS!$A:$D,3,0),""))))</f>
        <v>M</v>
      </c>
      <c r="F72" s="313">
        <v>341.5</v>
      </c>
      <c r="G72" s="314">
        <f>IF($C72="","",IFERROR(VLOOKUP($C72,SERVIÇOS!$B:$G,4,0),IFERROR(VLOOKUP($C72,'COMPOSIÇÕES COMPLEMENTARES '!$D:$L,6,0),IFERROR(VLOOKUP($C72,INSUMOS!$A:$D,4,0),""))))</f>
        <v>59.72</v>
      </c>
      <c r="H72" s="314">
        <f>IF($C72="","",IFERROR(VLOOKUP($C72,SERVIÇOS!$B:$G,5,0),IFERROR(VLOOKUP($C72,'COMPOSIÇÕES COMPLEMENTARES '!$D:$L,7,0),0)))</f>
        <v>8.67</v>
      </c>
      <c r="I72" s="314">
        <f t="shared" si="2"/>
        <v>68.39</v>
      </c>
      <c r="J72" s="314">
        <f t="shared" si="3"/>
        <v>20394.38</v>
      </c>
      <c r="K72" s="314">
        <f t="shared" si="4"/>
        <v>2960.8</v>
      </c>
      <c r="L72" s="948">
        <f t="shared" si="5"/>
        <v>23355.18</v>
      </c>
      <c r="M72" s="374">
        <f t="shared" si="6"/>
        <v>3374619.21</v>
      </c>
      <c r="N72" s="375">
        <f>+M72/L$815</f>
        <v>0.59752705418214913</v>
      </c>
      <c r="O72" s="376" t="str">
        <f>IF(N72&lt;0.5,"A",IF(N72&gt;0.8,"C","B"))</f>
        <v>B</v>
      </c>
    </row>
    <row r="73" spans="1:15" ht="25.5" x14ac:dyDescent="0.25">
      <c r="A73" s="232">
        <f t="shared" si="1"/>
        <v>73</v>
      </c>
      <c r="B73" s="232"/>
      <c r="C73" s="310">
        <v>96396</v>
      </c>
      <c r="D73" s="373" t="str">
        <f>IF($C73="","",IFERROR(VLOOKUP($C73,SERVIÇOS!$B:$G,2,0),IFERROR(VLOOKUP($C73,'COMPOSIÇÕES COMPLEMENTARES '!$D:$L,2,0),IFERROR(VLOOKUP($C73,INSUMOS!$A:$D,2,0),""))))</f>
        <v>CONSTRUÇÃO DE BASE E SUB-BASE PARA PAVIMENTAÇÃO DE BRITA GRADUADA SIMPLES, COM ESPESSURA DE 15 CM - EXCLUSIVE CARGA E TRANSPORTE. AF_09/2024</v>
      </c>
      <c r="E73" s="312" t="str">
        <f>IF($C73="","",IFERROR(VLOOKUP($C73,SERVIÇOS!$B:$G,3,0),IFERROR(VLOOKUP($C73,'COMPOSIÇÕES COMPLEMENTARES '!$D:$L,3,0),IFERROR(VLOOKUP($C73,INSUMOS!$A:$D,3,0),""))))</f>
        <v>M3</v>
      </c>
      <c r="F73" s="313">
        <v>191.96</v>
      </c>
      <c r="G73" s="314">
        <f>IF($C73="","",IFERROR(VLOOKUP($C73,SERVIÇOS!$B:$G,4,0),IFERROR(VLOOKUP($C73,'COMPOSIÇÕES COMPLEMENTARES '!$D:$L,6,0),IFERROR(VLOOKUP($C73,INSUMOS!$A:$D,4,0),""))))</f>
        <v>114.26</v>
      </c>
      <c r="H73" s="314">
        <f>IF($C73="","",IFERROR(VLOOKUP($C73,SERVIÇOS!$B:$G,5,0),IFERROR(VLOOKUP($C73,'COMPOSIÇÕES COMPLEMENTARES '!$D:$L,7,0),0)))</f>
        <v>5.83</v>
      </c>
      <c r="I73" s="314">
        <f t="shared" si="2"/>
        <v>120.09</v>
      </c>
      <c r="J73" s="314">
        <f t="shared" si="3"/>
        <v>21933.34</v>
      </c>
      <c r="K73" s="314">
        <f t="shared" si="4"/>
        <v>1119.1199999999999</v>
      </c>
      <c r="L73" s="948">
        <f t="shared" si="5"/>
        <v>23052.46</v>
      </c>
      <c r="M73" s="374">
        <f t="shared" si="6"/>
        <v>3397671.67</v>
      </c>
      <c r="N73" s="375">
        <f>+M73/L$815</f>
        <v>0.60160883872087101</v>
      </c>
      <c r="O73" s="376" t="str">
        <f>IF(N73&lt;0.5,"A",IF(N73&gt;0.8,"C","B"))</f>
        <v>B</v>
      </c>
    </row>
    <row r="74" spans="1:15" x14ac:dyDescent="0.25">
      <c r="A74" s="232">
        <f t="shared" ref="A74:A137" si="7">1+A73</f>
        <v>74</v>
      </c>
      <c r="B74" s="232"/>
      <c r="C74" s="310" t="s">
        <v>11931</v>
      </c>
      <c r="D74" s="373" t="str">
        <f>IF($C74="","",IFERROR(VLOOKUP($C74,SERVIÇOS!$B:$G,2,0),IFERROR(VLOOKUP($C74,'COMPOSIÇÕES COMPLEMENTARES '!$D:$L,2,0),IFERROR(VLOOKUP($C74,INSUMOS!$A:$D,2,0),""))))</f>
        <v>FORMA TABUA PARA CONCRETO EM FUNDACAO C/ REAPROVEITAMENTO 5X</v>
      </c>
      <c r="E74" s="312" t="str">
        <f>IF($C74="","",IFERROR(VLOOKUP($C74,SERVIÇOS!$B:$G,3,0),IFERROR(VLOOKUP($C74,'COMPOSIÇÕES COMPLEMENTARES '!$D:$L,3,0),IFERROR(VLOOKUP($C74,INSUMOS!$A:$D,3,0),""))))</f>
        <v>M2</v>
      </c>
      <c r="F74" s="313">
        <v>316.77999999999997</v>
      </c>
      <c r="G74" s="314">
        <f>IF($C74="","",IFERROR(VLOOKUP($C74,SERVIÇOS!$B:$G,4,0),IFERROR(VLOOKUP($C74,'COMPOSIÇÕES COMPLEMENTARES '!$D:$L,6,0),IFERROR(VLOOKUP($C74,INSUMOS!$A:$D,4,0),""))))</f>
        <v>40.69</v>
      </c>
      <c r="H74" s="314">
        <f>IF($C74="","",IFERROR(VLOOKUP($C74,SERVIÇOS!$B:$G,5,0),IFERROR(VLOOKUP($C74,'COMPOSIÇÕES COMPLEMENTARES '!$D:$L,7,0),0)))</f>
        <v>29.34</v>
      </c>
      <c r="I74" s="314">
        <f t="shared" ref="I74:I137" si="8">IF(F74="","",G74+H74)</f>
        <v>70.03</v>
      </c>
      <c r="J74" s="314">
        <f t="shared" ref="J74:J137" si="9">IF(F74="","",TRUNC((F74*G74),2))</f>
        <v>12889.77</v>
      </c>
      <c r="K74" s="314">
        <f t="shared" ref="K74:K137" si="10">IF(F74="","",TRUNC((F74*H74),2))</f>
        <v>9294.32</v>
      </c>
      <c r="L74" s="948">
        <f t="shared" ref="L74:L137" si="11">IF(F74="","",TRUNC((J74+K74),2))</f>
        <v>22184.09</v>
      </c>
      <c r="M74" s="374">
        <f t="shared" si="6"/>
        <v>3419855.76</v>
      </c>
      <c r="N74" s="375">
        <f>+M74/L$815</f>
        <v>0.6055368652988421</v>
      </c>
      <c r="O74" s="376" t="str">
        <f>IF(N74&lt;0.5,"A",IF(N74&gt;0.8,"C","B"))</f>
        <v>B</v>
      </c>
    </row>
    <row r="75" spans="1:15" x14ac:dyDescent="0.25">
      <c r="A75" s="232">
        <f t="shared" si="7"/>
        <v>75</v>
      </c>
      <c r="B75" s="232"/>
      <c r="C75" s="310">
        <v>88496</v>
      </c>
      <c r="D75" s="373" t="str">
        <f>IF($C75="","",IFERROR(VLOOKUP($C75,SERVIÇOS!$B:$G,2,0),IFERROR(VLOOKUP($C75,'COMPOSIÇÕES COMPLEMENTARES '!$D:$L,2,0),IFERROR(VLOOKUP($C75,INSUMOS!$A:$D,2,0),""))))</f>
        <v>EMASSAMENTO COM MASSA LÁTEX, APLICAÇÃO EM TETO, DUAS DEMÃOS, LIXAMENTO MANUAL. AF_04/2023</v>
      </c>
      <c r="E75" s="312" t="str">
        <f>IF($C75="","",IFERROR(VLOOKUP($C75,SERVIÇOS!$B:$G,3,0),IFERROR(VLOOKUP($C75,'COMPOSIÇÕES COMPLEMENTARES '!$D:$L,3,0),IFERROR(VLOOKUP($C75,INSUMOS!$A:$D,3,0),""))))</f>
        <v>M2</v>
      </c>
      <c r="F75" s="313">
        <v>528.25</v>
      </c>
      <c r="G75" s="314">
        <f>IF($C75="","",IFERROR(VLOOKUP($C75,SERVIÇOS!$B:$G,4,0),IFERROR(VLOOKUP($C75,'COMPOSIÇÕES COMPLEMENTARES '!$D:$L,6,0),IFERROR(VLOOKUP($C75,INSUMOS!$A:$D,4,0),""))))</f>
        <v>16.510000000000002</v>
      </c>
      <c r="H75" s="314">
        <f>IF($C75="","",IFERROR(VLOOKUP($C75,SERVIÇOS!$B:$G,5,0),IFERROR(VLOOKUP($C75,'COMPOSIÇÕES COMPLEMENTARES '!$D:$L,7,0),0)))</f>
        <v>25.17</v>
      </c>
      <c r="I75" s="314">
        <f t="shared" si="8"/>
        <v>41.680000000000007</v>
      </c>
      <c r="J75" s="314">
        <f t="shared" si="9"/>
        <v>8721.4</v>
      </c>
      <c r="K75" s="314">
        <f t="shared" si="10"/>
        <v>13296.05</v>
      </c>
      <c r="L75" s="948">
        <f t="shared" si="11"/>
        <v>22017.45</v>
      </c>
      <c r="M75" s="374">
        <f t="shared" ref="M75:M138" si="12">+L75+M74</f>
        <v>3441873.21</v>
      </c>
      <c r="N75" s="375">
        <f>+M75/L$815</f>
        <v>0.60943538576008927</v>
      </c>
      <c r="O75" s="376" t="str">
        <f>IF(N75&lt;0.5,"A",IF(N75&gt;0.8,"C","B"))</f>
        <v>B</v>
      </c>
    </row>
    <row r="76" spans="1:15" ht="25.5" x14ac:dyDescent="0.25">
      <c r="A76" s="232">
        <f t="shared" si="7"/>
        <v>76</v>
      </c>
      <c r="B76" s="232"/>
      <c r="C76" s="310">
        <v>94229</v>
      </c>
      <c r="D76" s="373" t="str">
        <f>IF($C76="","",IFERROR(VLOOKUP($C76,SERVIÇOS!$B:$G,2,0),IFERROR(VLOOKUP($C76,'COMPOSIÇÕES COMPLEMENTARES '!$D:$L,2,0),IFERROR(VLOOKUP($C76,INSUMOS!$A:$D,2,0),""))))</f>
        <v>CALHA EM CHAPA DE AÇO GALVANIZADO NÚMERO 24, DESENVOLVIMENTO DE 100 CM, INCLUSO TRANSPORTE VERTICAL. AF_07/2019</v>
      </c>
      <c r="E76" s="312" t="str">
        <f>IF($C76="","",IFERROR(VLOOKUP($C76,SERVIÇOS!$B:$G,3,0),IFERROR(VLOOKUP($C76,'COMPOSIÇÕES COMPLEMENTARES '!$D:$L,3,0),IFERROR(VLOOKUP($C76,INSUMOS!$A:$D,3,0),""))))</f>
        <v>M</v>
      </c>
      <c r="F76" s="313">
        <v>128.38</v>
      </c>
      <c r="G76" s="314">
        <f>IF($C76="","",IFERROR(VLOOKUP($C76,SERVIÇOS!$B:$G,4,0),IFERROR(VLOOKUP($C76,'COMPOSIÇÕES COMPLEMENTARES '!$D:$L,6,0),IFERROR(VLOOKUP($C76,INSUMOS!$A:$D,4,0),""))))</f>
        <v>139.16999999999999</v>
      </c>
      <c r="H76" s="314">
        <f>IF($C76="","",IFERROR(VLOOKUP($C76,SERVIÇOS!$B:$G,5,0),IFERROR(VLOOKUP($C76,'COMPOSIÇÕES COMPLEMENTARES '!$D:$L,7,0),0)))</f>
        <v>27.74</v>
      </c>
      <c r="I76" s="314">
        <f t="shared" si="8"/>
        <v>166.91</v>
      </c>
      <c r="J76" s="314">
        <f t="shared" si="9"/>
        <v>17866.64</v>
      </c>
      <c r="K76" s="314">
        <f t="shared" si="10"/>
        <v>3561.26</v>
      </c>
      <c r="L76" s="948">
        <f t="shared" si="11"/>
        <v>21427.9</v>
      </c>
      <c r="M76" s="374">
        <f t="shared" si="12"/>
        <v>3463301.11</v>
      </c>
      <c r="N76" s="375">
        <f>+M76/L$815</f>
        <v>0.6132295175324588</v>
      </c>
      <c r="O76" s="376" t="str">
        <f>IF(N76&lt;0.5,"A",IF(N76&gt;0.8,"C","B"))</f>
        <v>B</v>
      </c>
    </row>
    <row r="77" spans="1:15" ht="25.5" x14ac:dyDescent="0.25">
      <c r="A77" s="232">
        <f t="shared" si="7"/>
        <v>77</v>
      </c>
      <c r="B77" s="232"/>
      <c r="C77" s="310" t="s">
        <v>12480</v>
      </c>
      <c r="D77" s="373" t="str">
        <f>IF($C77="","",IFERROR(VLOOKUP($C77,SERVIÇOS!$B:$G,2,0),IFERROR(VLOOKUP($C77,'COMPOSIÇÕES COMPLEMENTARES '!$D:$L,2,0),IFERROR(VLOOKUP($C77,INSUMOS!$A:$D,2,0),""))))</f>
        <v>DUTO EM CHAPA DE AÇO GALVANIZADO Nº26, ESPESSURA 0,50MM COM ISOLAMENTO, PARA AR CONDICIONADO, COM SISTEMA DE VEDAÇÃO ESTANQUE, MONTADO COM SISTEMA FLANGEADO, REFERÊNCIA TDC POWERMATIC</v>
      </c>
      <c r="E77" s="312" t="str">
        <f>IF($C77="","",IFERROR(VLOOKUP($C77,SERVIÇOS!$B:$G,3,0),IFERROR(VLOOKUP($C77,'COMPOSIÇÕES COMPLEMENTARES '!$D:$L,3,0),IFERROR(VLOOKUP($C77,INSUMOS!$A:$D,3,0),""))))</f>
        <v>KG</v>
      </c>
      <c r="F77" s="313">
        <v>320</v>
      </c>
      <c r="G77" s="314">
        <f>IF($C77="","",IFERROR(VLOOKUP($C77,SERVIÇOS!$B:$G,4,0),IFERROR(VLOOKUP($C77,'COMPOSIÇÕES COMPLEMENTARES '!$D:$L,6,0),IFERROR(VLOOKUP($C77,INSUMOS!$A:$D,4,0),""))))</f>
        <v>35.700000000000003</v>
      </c>
      <c r="H77" s="314">
        <f>IF($C77="","",IFERROR(VLOOKUP($C77,SERVIÇOS!$B:$G,5,0),IFERROR(VLOOKUP($C77,'COMPOSIÇÕES COMPLEMENTARES '!$D:$L,7,0),0)))</f>
        <v>30.51</v>
      </c>
      <c r="I77" s="314">
        <f t="shared" si="8"/>
        <v>66.210000000000008</v>
      </c>
      <c r="J77" s="314">
        <f t="shared" si="9"/>
        <v>11424</v>
      </c>
      <c r="K77" s="314">
        <f t="shared" si="10"/>
        <v>9763.2000000000007</v>
      </c>
      <c r="L77" s="948">
        <f t="shared" si="11"/>
        <v>21187.200000000001</v>
      </c>
      <c r="M77" s="374">
        <f t="shared" si="12"/>
        <v>3484488.31</v>
      </c>
      <c r="N77" s="375">
        <f>+M77/L$815</f>
        <v>0.61698102975192726</v>
      </c>
      <c r="O77" s="376" t="str">
        <f>IF(N77&lt;0.5,"A",IF(N77&gt;0.8,"C","B"))</f>
        <v>B</v>
      </c>
    </row>
    <row r="78" spans="1:15" ht="25.5" x14ac:dyDescent="0.25">
      <c r="A78" s="232">
        <f t="shared" si="7"/>
        <v>78</v>
      </c>
      <c r="B78" s="232"/>
      <c r="C78" s="310" t="s">
        <v>12343</v>
      </c>
      <c r="D78" s="373" t="str">
        <f>IF($C78="","",IFERROR(VLOOKUP($C78,SERVIÇOS!$B:$G,2,0),IFERROR(VLOOKUP($C78,'COMPOSIÇÕES COMPLEMENTARES '!$D:$L,2,0),IFERROR(VLOOKUP($C78,INSUMOS!$A:$D,2,0),""))))</f>
        <v>TUBO DE COBRE CLASSE "A", DN = 3/4 " (22 MM), PARA INSTALACOES DE MEDIA PRESSAO PARA GASES COMBUSTIVEIS E MEDICINAIS</v>
      </c>
      <c r="E78" s="312" t="str">
        <f>IF($C78="","",IFERROR(VLOOKUP($C78,SERVIÇOS!$B:$G,3,0),IFERROR(VLOOKUP($C78,'COMPOSIÇÕES COMPLEMENTARES '!$D:$L,3,0),IFERROR(VLOOKUP($C78,INSUMOS!$A:$D,3,0),""))))</f>
        <v>M</v>
      </c>
      <c r="F78" s="313">
        <v>126.62</v>
      </c>
      <c r="G78" s="314">
        <f>IF($C78="","",IFERROR(VLOOKUP($C78,SERVIÇOS!$B:$G,4,0),IFERROR(VLOOKUP($C78,'COMPOSIÇÕES COMPLEMENTARES '!$D:$L,6,0),IFERROR(VLOOKUP($C78,INSUMOS!$A:$D,4,0),""))))</f>
        <v>146.01</v>
      </c>
      <c r="H78" s="314">
        <f>IF($C78="","",IFERROR(VLOOKUP($C78,SERVIÇOS!$B:$G,5,0),IFERROR(VLOOKUP($C78,'COMPOSIÇÕES COMPLEMENTARES '!$D:$L,7,0),0)))</f>
        <v>17.489999999999998</v>
      </c>
      <c r="I78" s="314">
        <f t="shared" si="8"/>
        <v>163.5</v>
      </c>
      <c r="J78" s="314">
        <f t="shared" si="9"/>
        <v>18487.78</v>
      </c>
      <c r="K78" s="314">
        <f t="shared" si="10"/>
        <v>2214.58</v>
      </c>
      <c r="L78" s="948">
        <f t="shared" si="11"/>
        <v>20702.36</v>
      </c>
      <c r="M78" s="374">
        <f t="shared" si="12"/>
        <v>3505190.67</v>
      </c>
      <c r="N78" s="375">
        <f>+M78/L$815</f>
        <v>0.62064669376188775</v>
      </c>
      <c r="O78" s="376" t="str">
        <f>IF(N78&lt;0.5,"A",IF(N78&gt;0.8,"C","B"))</f>
        <v>B</v>
      </c>
    </row>
    <row r="79" spans="1:15" ht="25.5" x14ac:dyDescent="0.25">
      <c r="A79" s="232">
        <f t="shared" si="7"/>
        <v>79</v>
      </c>
      <c r="B79" s="232"/>
      <c r="C79" s="310">
        <v>90466</v>
      </c>
      <c r="D79" s="373" t="str">
        <f>IF($C79="","",IFERROR(VLOOKUP($C79,SERVIÇOS!$B:$G,2,0),IFERROR(VLOOKUP($C79,'COMPOSIÇÕES COMPLEMENTARES '!$D:$L,2,0),IFERROR(VLOOKUP($C79,INSUMOS!$A:$D,2,0),""))))</f>
        <v>CHUMBAMENTO LINEAR EM ALVENARIA PARA RAMAIS/DISTRIBUIÇÃO DE INSTALAÇÕES HIDRÁULICAS COM DIÂMETROS MENORES OU IGUAIS A 40 MM. AF_09/2023</v>
      </c>
      <c r="E79" s="312" t="str">
        <f>IF($C79="","",IFERROR(VLOOKUP($C79,SERVIÇOS!$B:$G,3,0),IFERROR(VLOOKUP($C79,'COMPOSIÇÕES COMPLEMENTARES '!$D:$L,3,0),IFERROR(VLOOKUP($C79,INSUMOS!$A:$D,3,0),""))))</f>
        <v>M</v>
      </c>
      <c r="F79" s="313">
        <v>1067</v>
      </c>
      <c r="G79" s="314">
        <f>IF($C79="","",IFERROR(VLOOKUP($C79,SERVIÇOS!$B:$G,4,0),IFERROR(VLOOKUP($C79,'COMPOSIÇÕES COMPLEMENTARES '!$D:$L,6,0),IFERROR(VLOOKUP($C79,INSUMOS!$A:$D,4,0),""))))</f>
        <v>6.59</v>
      </c>
      <c r="H79" s="314">
        <f>IF($C79="","",IFERROR(VLOOKUP($C79,SERVIÇOS!$B:$G,5,0),IFERROR(VLOOKUP($C79,'COMPOSIÇÕES COMPLEMENTARES '!$D:$L,7,0),0)))</f>
        <v>12.64</v>
      </c>
      <c r="I79" s="314">
        <f t="shared" si="8"/>
        <v>19.23</v>
      </c>
      <c r="J79" s="314">
        <f t="shared" si="9"/>
        <v>7031.53</v>
      </c>
      <c r="K79" s="314">
        <f t="shared" si="10"/>
        <v>13486.88</v>
      </c>
      <c r="L79" s="948">
        <f t="shared" si="11"/>
        <v>20518.41</v>
      </c>
      <c r="M79" s="374">
        <f t="shared" si="12"/>
        <v>3525709.08</v>
      </c>
      <c r="N79" s="375">
        <f>+M79/L$815</f>
        <v>0.62427978665944217</v>
      </c>
      <c r="O79" s="376" t="str">
        <f>IF(N79&lt;0.5,"A",IF(N79&gt;0.8,"C","B"))</f>
        <v>B</v>
      </c>
    </row>
    <row r="80" spans="1:15" x14ac:dyDescent="0.25">
      <c r="A80" s="232">
        <f t="shared" si="7"/>
        <v>80</v>
      </c>
      <c r="B80" s="232"/>
      <c r="C80" s="310" t="s">
        <v>12153</v>
      </c>
      <c r="D80" s="373" t="str">
        <f>IF($C80="","",IFERROR(VLOOKUP($C80,SERVIÇOS!$B:$G,2,0),IFERROR(VLOOKUP($C80,'COMPOSIÇÕES COMPLEMENTARES '!$D:$L,2,0),IFERROR(VLOOKUP($C80,INSUMOS!$A:$D,2,0),""))))</f>
        <v xml:space="preserve">TUBO DE PVC, SÉRIE NORMAL, PARA ÁGUAS PLUVIAIS, INCLUSO CONEXÕES - D=300MM </v>
      </c>
      <c r="E80" s="312" t="str">
        <f>IF($C80="","",IFERROR(VLOOKUP($C80,SERVIÇOS!$B:$G,3,0),IFERROR(VLOOKUP($C80,'COMPOSIÇÕES COMPLEMENTARES '!$D:$L,3,0),IFERROR(VLOOKUP($C80,INSUMOS!$A:$D,3,0),""))))</f>
        <v>M</v>
      </c>
      <c r="F80" s="313">
        <v>92</v>
      </c>
      <c r="G80" s="314">
        <f>IF($C80="","",IFERROR(VLOOKUP($C80,SERVIÇOS!$B:$G,4,0),IFERROR(VLOOKUP($C80,'COMPOSIÇÕES COMPLEMENTARES '!$D:$L,6,0),IFERROR(VLOOKUP($C80,INSUMOS!$A:$D,4,0),""))))</f>
        <v>214.76</v>
      </c>
      <c r="H80" s="314">
        <f>IF($C80="","",IFERROR(VLOOKUP($C80,SERVIÇOS!$B:$G,5,0),IFERROR(VLOOKUP($C80,'COMPOSIÇÕES COMPLEMENTARES '!$D:$L,7,0),0)))</f>
        <v>6.35</v>
      </c>
      <c r="I80" s="314">
        <f t="shared" si="8"/>
        <v>221.10999999999999</v>
      </c>
      <c r="J80" s="314">
        <f t="shared" si="9"/>
        <v>19757.919999999998</v>
      </c>
      <c r="K80" s="314">
        <f t="shared" si="10"/>
        <v>584.20000000000005</v>
      </c>
      <c r="L80" s="948">
        <f t="shared" si="11"/>
        <v>20342.12</v>
      </c>
      <c r="M80" s="374">
        <f t="shared" si="12"/>
        <v>3546051.2</v>
      </c>
      <c r="N80" s="375">
        <f>+M80/L$815</f>
        <v>0.627881664762726</v>
      </c>
      <c r="O80" s="376" t="str">
        <f>IF(N80&lt;0.5,"A",IF(N80&gt;0.8,"C","B"))</f>
        <v>B</v>
      </c>
    </row>
    <row r="81" spans="1:15" x14ac:dyDescent="0.25">
      <c r="A81" s="232">
        <f t="shared" si="7"/>
        <v>81</v>
      </c>
      <c r="B81" s="232"/>
      <c r="C81" s="310" t="s">
        <v>12221</v>
      </c>
      <c r="D81" s="373" t="str">
        <f>IF($C81="","",IFERROR(VLOOKUP($C81,SERVIÇOS!$B:$G,2,0),IFERROR(VLOOKUP($C81,'COMPOSIÇÕES COMPLEMENTARES '!$D:$L,2,0),IFERROR(VLOOKUP($C81,INSUMOS!$A:$D,2,0),""))))</f>
        <v>CABO FLEXÍVEL ISOL. 750V  -  #2,5MM² - AFUMEX</v>
      </c>
      <c r="E81" s="312" t="str">
        <f>IF($C81="","",IFERROR(VLOOKUP($C81,SERVIÇOS!$B:$G,3,0),IFERROR(VLOOKUP($C81,'COMPOSIÇÕES COMPLEMENTARES '!$D:$L,3,0),IFERROR(VLOOKUP($C81,INSUMOS!$A:$D,3,0),""))))</f>
        <v>M</v>
      </c>
      <c r="F81" s="313">
        <v>4000</v>
      </c>
      <c r="G81" s="314">
        <f>IF($C81="","",IFERROR(VLOOKUP($C81,SERVIÇOS!$B:$G,4,0),IFERROR(VLOOKUP($C81,'COMPOSIÇÕES COMPLEMENTARES '!$D:$L,6,0),IFERROR(VLOOKUP($C81,INSUMOS!$A:$D,4,0),""))))</f>
        <v>3.59</v>
      </c>
      <c r="H81" s="314">
        <f>IF($C81="","",IFERROR(VLOOKUP($C81,SERVIÇOS!$B:$G,5,0),IFERROR(VLOOKUP($C81,'COMPOSIÇÕES COMPLEMENTARES '!$D:$L,7,0),0)))</f>
        <v>1.48</v>
      </c>
      <c r="I81" s="314">
        <f t="shared" si="8"/>
        <v>5.07</v>
      </c>
      <c r="J81" s="314">
        <f t="shared" si="9"/>
        <v>14360</v>
      </c>
      <c r="K81" s="314">
        <f t="shared" si="10"/>
        <v>5920</v>
      </c>
      <c r="L81" s="948">
        <f t="shared" si="11"/>
        <v>20280</v>
      </c>
      <c r="M81" s="374">
        <f t="shared" si="12"/>
        <v>3566331.2</v>
      </c>
      <c r="N81" s="375">
        <f>+M81/L$815</f>
        <v>0.63147254358629967</v>
      </c>
      <c r="O81" s="376" t="str">
        <f>IF(N81&lt;0.5,"A",IF(N81&gt;0.8,"C","B"))</f>
        <v>B</v>
      </c>
    </row>
    <row r="82" spans="1:15" ht="25.5" x14ac:dyDescent="0.25">
      <c r="A82" s="232">
        <f t="shared" si="7"/>
        <v>82</v>
      </c>
      <c r="B82" s="232"/>
      <c r="C82" s="310" t="s">
        <v>12077</v>
      </c>
      <c r="D82" s="373" t="str">
        <f>IF($C82="","",IFERROR(VLOOKUP($C82,SERVIÇOS!$B:$G,2,0),IFERROR(VLOOKUP($C82,'COMPOSIÇÕES COMPLEMENTARES '!$D:$L,2,0),IFERROR(VLOOKUP($C82,INSUMOS!$A:$D,2,0),""))))</f>
        <v>CORRIMÃO, BATE-MACA OU PROTETOR DE PAREDE EM PVC, COM AMORTECIMENTO À IMPACTO, ALTURA DE 131 MM, TECNOPERFIL OU EQUIVALENTE- FORNECIMENTO E INSTALAÇÃO</v>
      </c>
      <c r="E82" s="312" t="str">
        <f>IF($C82="","",IFERROR(VLOOKUP($C82,SERVIÇOS!$B:$G,3,0),IFERROR(VLOOKUP($C82,'COMPOSIÇÕES COMPLEMENTARES '!$D:$L,3,0),IFERROR(VLOOKUP($C82,INSUMOS!$A:$D,3,0),""))))</f>
        <v>M</v>
      </c>
      <c r="F82" s="313">
        <v>35.380000000000003</v>
      </c>
      <c r="G82" s="314">
        <f>IF($C82="","",IFERROR(VLOOKUP($C82,SERVIÇOS!$B:$G,4,0),IFERROR(VLOOKUP($C82,'COMPOSIÇÕES COMPLEMENTARES '!$D:$L,6,0),IFERROR(VLOOKUP($C82,INSUMOS!$A:$D,4,0),""))))</f>
        <v>465.6</v>
      </c>
      <c r="H82" s="314">
        <f>IF($C82="","",IFERROR(VLOOKUP($C82,SERVIÇOS!$B:$G,5,0),IFERROR(VLOOKUP($C82,'COMPOSIÇÕES COMPLEMENTARES '!$D:$L,7,0),0)))</f>
        <v>86.79</v>
      </c>
      <c r="I82" s="314">
        <f t="shared" si="8"/>
        <v>552.39</v>
      </c>
      <c r="J82" s="314">
        <f t="shared" si="9"/>
        <v>16472.919999999998</v>
      </c>
      <c r="K82" s="314">
        <f t="shared" si="10"/>
        <v>3070.63</v>
      </c>
      <c r="L82" s="948">
        <f t="shared" si="11"/>
        <v>19543.55</v>
      </c>
      <c r="M82" s="374">
        <f t="shared" si="12"/>
        <v>3585874.75</v>
      </c>
      <c r="N82" s="375">
        <f>+M82/L$815</f>
        <v>0.63493302286797881</v>
      </c>
      <c r="O82" s="376" t="str">
        <f>IF(N82&lt;0.5,"A",IF(N82&gt;0.8,"C","B"))</f>
        <v>B</v>
      </c>
    </row>
    <row r="83" spans="1:15" x14ac:dyDescent="0.25">
      <c r="A83" s="232">
        <f t="shared" si="7"/>
        <v>83</v>
      </c>
      <c r="B83" s="232"/>
      <c r="C83" s="310" t="s">
        <v>12412</v>
      </c>
      <c r="D83" s="373" t="str">
        <f>IF($C83="","",IFERROR(VLOOKUP($C83,SERVIÇOS!$B:$G,2,0),IFERROR(VLOOKUP($C83,'COMPOSIÇÕES COMPLEMENTARES '!$D:$L,2,0),IFERROR(VLOOKUP($C83,INSUMOS!$A:$D,2,0),""))))</f>
        <v>CONTROLE CENTRALIZADO - INTELLIGENT TOUCH MANAGER. REFERÊNCIA: DAIKIN DCM601A51</v>
      </c>
      <c r="E83" s="312" t="str">
        <f>IF($C83="","",IFERROR(VLOOKUP($C83,SERVIÇOS!$B:$G,3,0),IFERROR(VLOOKUP($C83,'COMPOSIÇÕES COMPLEMENTARES '!$D:$L,3,0),IFERROR(VLOOKUP($C83,INSUMOS!$A:$D,3,0),""))))</f>
        <v>UN</v>
      </c>
      <c r="F83" s="313">
        <v>1</v>
      </c>
      <c r="G83" s="314">
        <f>IF($C83="","",IFERROR(VLOOKUP($C83,SERVIÇOS!$B:$G,4,0),IFERROR(VLOOKUP($C83,'COMPOSIÇÕES COMPLEMENTARES '!$D:$L,6,0),IFERROR(VLOOKUP($C83,INSUMOS!$A:$D,4,0),""))))</f>
        <v>19076.02</v>
      </c>
      <c r="H83" s="314">
        <f>IF($C83="","",IFERROR(VLOOKUP($C83,SERVIÇOS!$B:$G,5,0),IFERROR(VLOOKUP($C83,'COMPOSIÇÕES COMPLEMENTARES '!$D:$L,7,0),0)))</f>
        <v>452.48</v>
      </c>
      <c r="I83" s="314">
        <f t="shared" si="8"/>
        <v>19528.5</v>
      </c>
      <c r="J83" s="314">
        <f t="shared" si="9"/>
        <v>19076.02</v>
      </c>
      <c r="K83" s="314">
        <f t="shared" si="10"/>
        <v>452.48</v>
      </c>
      <c r="L83" s="948">
        <f t="shared" si="11"/>
        <v>19528.5</v>
      </c>
      <c r="M83" s="374">
        <f t="shared" si="12"/>
        <v>3605403.25</v>
      </c>
      <c r="N83" s="375">
        <f>+M83/L$815</f>
        <v>0.63839083732094526</v>
      </c>
      <c r="O83" s="376" t="str">
        <f>IF(N83&lt;0.5,"A",IF(N83&gt;0.8,"C","B"))</f>
        <v>B</v>
      </c>
    </row>
    <row r="84" spans="1:15" ht="25.5" x14ac:dyDescent="0.25">
      <c r="A84" s="232">
        <f t="shared" si="7"/>
        <v>84</v>
      </c>
      <c r="B84" s="232"/>
      <c r="C84" s="310">
        <v>92759</v>
      </c>
      <c r="D84" s="373" t="str">
        <f>IF($C84="","",IFERROR(VLOOKUP($C84,SERVIÇOS!$B:$G,2,0),IFERROR(VLOOKUP($C84,'COMPOSIÇÕES COMPLEMENTARES '!$D:$L,2,0),IFERROR(VLOOKUP($C84,INSUMOS!$A:$D,2,0),""))))</f>
        <v>ARMAÇÃO DE PILAR OU VIGA DE ESTRUTURA CONVENCIONAL DE CONCRETO ARMADO UTILIZANDO AÇO CA-60 DE 5,0 MM - MONTAGEM. AF_06/2022</v>
      </c>
      <c r="E84" s="312" t="str">
        <f>IF($C84="","",IFERROR(VLOOKUP($C84,SERVIÇOS!$B:$G,3,0),IFERROR(VLOOKUP($C84,'COMPOSIÇÕES COMPLEMENTARES '!$D:$L,3,0),IFERROR(VLOOKUP($C84,INSUMOS!$A:$D,3,0),""))))</f>
        <v>KG</v>
      </c>
      <c r="F84" s="313">
        <v>1245</v>
      </c>
      <c r="G84" s="314">
        <f>IF($C84="","",IFERROR(VLOOKUP($C84,SERVIÇOS!$B:$G,4,0),IFERROR(VLOOKUP($C84,'COMPOSIÇÕES COMPLEMENTARES '!$D:$L,6,0),IFERROR(VLOOKUP($C84,INSUMOS!$A:$D,4,0),""))))</f>
        <v>10.51</v>
      </c>
      <c r="H84" s="314">
        <f>IF($C84="","",IFERROR(VLOOKUP($C84,SERVIÇOS!$B:$G,5,0),IFERROR(VLOOKUP($C84,'COMPOSIÇÕES COMPLEMENTARES '!$D:$L,7,0),0)))</f>
        <v>5.0599999999999996</v>
      </c>
      <c r="I84" s="314">
        <f t="shared" si="8"/>
        <v>15.57</v>
      </c>
      <c r="J84" s="314">
        <f t="shared" si="9"/>
        <v>13084.95</v>
      </c>
      <c r="K84" s="314">
        <f t="shared" si="10"/>
        <v>6299.7</v>
      </c>
      <c r="L84" s="948">
        <f t="shared" si="11"/>
        <v>19384.650000000001</v>
      </c>
      <c r="M84" s="374">
        <f t="shared" si="12"/>
        <v>3624787.9</v>
      </c>
      <c r="N84" s="375">
        <f>+M84/L$815</f>
        <v>0.64182318096923852</v>
      </c>
      <c r="O84" s="376" t="str">
        <f>IF(N84&lt;0.5,"A",IF(N84&gt;0.8,"C","B"))</f>
        <v>B</v>
      </c>
    </row>
    <row r="85" spans="1:15" x14ac:dyDescent="0.25">
      <c r="A85" s="232">
        <f t="shared" si="7"/>
        <v>85</v>
      </c>
      <c r="B85" s="232"/>
      <c r="C85" s="310">
        <v>98459</v>
      </c>
      <c r="D85" s="373" t="str">
        <f>IF($C85="","",IFERROR(VLOOKUP($C85,SERVIÇOS!$B:$G,2,0),IFERROR(VLOOKUP($C85,'COMPOSIÇÕES COMPLEMENTARES '!$D:$L,2,0),IFERROR(VLOOKUP($C85,INSUMOS!$A:$D,2,0),""))))</f>
        <v>TAPUME COM TELHA METÁLICA. AF_03/2024</v>
      </c>
      <c r="E85" s="312" t="str">
        <f>IF($C85="","",IFERROR(VLOOKUP($C85,SERVIÇOS!$B:$G,3,0),IFERROR(VLOOKUP($C85,'COMPOSIÇÕES COMPLEMENTARES '!$D:$L,3,0),IFERROR(VLOOKUP($C85,INSUMOS!$A:$D,3,0),""))))</f>
        <v>M2</v>
      </c>
      <c r="F85" s="313">
        <v>197.8</v>
      </c>
      <c r="G85" s="314">
        <f>IF($C85="","",IFERROR(VLOOKUP($C85,SERVIÇOS!$B:$G,4,0),IFERROR(VLOOKUP($C85,'COMPOSIÇÕES COMPLEMENTARES '!$D:$L,6,0),IFERROR(VLOOKUP($C85,INSUMOS!$A:$D,4,0),""))))</f>
        <v>62.82</v>
      </c>
      <c r="H85" s="314">
        <f>IF($C85="","",IFERROR(VLOOKUP($C85,SERVIÇOS!$B:$G,5,0),IFERROR(VLOOKUP($C85,'COMPOSIÇÕES COMPLEMENTARES '!$D:$L,7,0),0)))</f>
        <v>32.06</v>
      </c>
      <c r="I85" s="314">
        <f t="shared" si="8"/>
        <v>94.88</v>
      </c>
      <c r="J85" s="314">
        <f t="shared" si="9"/>
        <v>12425.79</v>
      </c>
      <c r="K85" s="314">
        <f t="shared" si="10"/>
        <v>6341.46</v>
      </c>
      <c r="L85" s="948">
        <f t="shared" si="11"/>
        <v>18767.25</v>
      </c>
      <c r="M85" s="374">
        <f t="shared" si="12"/>
        <v>3643555.15</v>
      </c>
      <c r="N85" s="375">
        <f>+M85/L$815</f>
        <v>0.6451462046675478</v>
      </c>
      <c r="O85" s="376" t="str">
        <f>IF(N85&lt;0.5,"A",IF(N85&gt;0.8,"C","B"))</f>
        <v>B</v>
      </c>
    </row>
    <row r="86" spans="1:15" x14ac:dyDescent="0.25">
      <c r="A86" s="232">
        <f t="shared" si="7"/>
        <v>86</v>
      </c>
      <c r="B86" s="232"/>
      <c r="C86" s="310" t="s">
        <v>12510</v>
      </c>
      <c r="D86" s="373" t="str">
        <f>IF($C86="","",IFERROR(VLOOKUP($C86,SERVIÇOS!$B:$G,2,0),IFERROR(VLOOKUP($C86,'COMPOSIÇÕES COMPLEMENTARES '!$D:$L,2,0),IFERROR(VLOOKUP($C86,INSUMOS!$A:$D,2,0),""))))</f>
        <v>PASSEIO EM CONCRETO SIMPLES COM CIMENTADO, ACABAMENTO LISO, MOLDADO IN LOCO, ESPESSURA 5CM</v>
      </c>
      <c r="E86" s="312" t="str">
        <f>IF($C86="","",IFERROR(VLOOKUP($C86,SERVIÇOS!$B:$G,3,0),IFERROR(VLOOKUP($C86,'COMPOSIÇÕES COMPLEMENTARES '!$D:$L,3,0),IFERROR(VLOOKUP($C86,INSUMOS!$A:$D,3,0),""))))</f>
        <v>M2</v>
      </c>
      <c r="F86" s="313">
        <v>417.83</v>
      </c>
      <c r="G86" s="314">
        <f>IF($C86="","",IFERROR(VLOOKUP($C86,SERVIÇOS!$B:$G,4,0),IFERROR(VLOOKUP($C86,'COMPOSIÇÕES COMPLEMENTARES '!$D:$L,6,0),IFERROR(VLOOKUP($C86,INSUMOS!$A:$D,4,0),""))))</f>
        <v>28.61</v>
      </c>
      <c r="H86" s="314">
        <f>IF($C86="","",IFERROR(VLOOKUP($C86,SERVIÇOS!$B:$G,5,0),IFERROR(VLOOKUP($C86,'COMPOSIÇÕES COMPLEMENTARES '!$D:$L,7,0),0)))</f>
        <v>15.74</v>
      </c>
      <c r="I86" s="314">
        <f t="shared" si="8"/>
        <v>44.35</v>
      </c>
      <c r="J86" s="314">
        <f t="shared" si="9"/>
        <v>11954.11</v>
      </c>
      <c r="K86" s="314">
        <f t="shared" si="10"/>
        <v>6576.64</v>
      </c>
      <c r="L86" s="948">
        <f t="shared" si="11"/>
        <v>18530.75</v>
      </c>
      <c r="M86" s="374">
        <f t="shared" si="12"/>
        <v>3662085.9</v>
      </c>
      <c r="N86" s="375">
        <f>+M86/L$815</f>
        <v>0.64842735248608518</v>
      </c>
      <c r="O86" s="376" t="str">
        <f>IF(N86&lt;0.5,"A",IF(N86&gt;0.8,"C","B"))</f>
        <v>B</v>
      </c>
    </row>
    <row r="87" spans="1:15" ht="25.5" x14ac:dyDescent="0.25">
      <c r="A87" s="232">
        <f t="shared" si="7"/>
        <v>87</v>
      </c>
      <c r="B87" s="232"/>
      <c r="C87" s="310" t="s">
        <v>12565</v>
      </c>
      <c r="D87" s="373" t="str">
        <f>IF($C87="","",IFERROR(VLOOKUP($C87,SERVIÇOS!$B:$G,2,0),IFERROR(VLOOKUP($C87,'COMPOSIÇÕES COMPLEMENTARES '!$D:$L,2,0),IFERROR(VLOOKUP($C87,INSUMOS!$A:$D,2,0),""))))</f>
        <v>EXECUÇÃO DE CENTRAL DE ARMADURAS E DE FORMAS EM CANTEIRO DE OBRA, NÃO INCLUSO MOBILIÁRIO, CONFORME DETALHE DE PROJETO</v>
      </c>
      <c r="E87" s="312" t="str">
        <f>IF($C87="","",IFERROR(VLOOKUP($C87,SERVIÇOS!$B:$G,3,0),IFERROR(VLOOKUP($C87,'COMPOSIÇÕES COMPLEMENTARES '!$D:$L,3,0),IFERROR(VLOOKUP($C87,INSUMOS!$A:$D,3,0),""))))</f>
        <v>M2</v>
      </c>
      <c r="F87" s="313">
        <v>18.149999999999999</v>
      </c>
      <c r="G87" s="314">
        <f>IF($C87="","",IFERROR(VLOOKUP($C87,SERVIÇOS!$B:$G,4,0),IFERROR(VLOOKUP($C87,'COMPOSIÇÕES COMPLEMENTARES '!$D:$L,6,0),IFERROR(VLOOKUP($C87,INSUMOS!$A:$D,4,0),""))))</f>
        <v>864.17</v>
      </c>
      <c r="H87" s="314">
        <f>IF($C87="","",IFERROR(VLOOKUP($C87,SERVIÇOS!$B:$G,5,0),IFERROR(VLOOKUP($C87,'COMPOSIÇÕES COMPLEMENTARES '!$D:$L,7,0),0)))</f>
        <v>155.77000000000001</v>
      </c>
      <c r="I87" s="314">
        <f t="shared" si="8"/>
        <v>1019.9399999999999</v>
      </c>
      <c r="J87" s="314">
        <f t="shared" si="9"/>
        <v>15684.68</v>
      </c>
      <c r="K87" s="314">
        <f t="shared" si="10"/>
        <v>2827.22</v>
      </c>
      <c r="L87" s="948">
        <f t="shared" si="11"/>
        <v>18511.900000000001</v>
      </c>
      <c r="M87" s="374">
        <f t="shared" si="12"/>
        <v>3680597.8</v>
      </c>
      <c r="N87" s="375">
        <f>+M87/L$815</f>
        <v>0.65170516262879297</v>
      </c>
      <c r="O87" s="376" t="str">
        <f>IF(N87&lt;0.5,"A",IF(N87&gt;0.8,"C","B"))</f>
        <v>B</v>
      </c>
    </row>
    <row r="88" spans="1:15" x14ac:dyDescent="0.25">
      <c r="A88" s="232">
        <f t="shared" si="7"/>
        <v>88</v>
      </c>
      <c r="B88" s="232"/>
      <c r="C88" s="310" t="s">
        <v>12018</v>
      </c>
      <c r="D88" s="373" t="str">
        <f>IF($C88="","",IFERROR(VLOOKUP($C88,SERVIÇOS!$B:$G,2,0),IFERROR(VLOOKUP($C88,'COMPOSIÇÕES COMPLEMENTARES '!$D:$L,2,0),IFERROR(VLOOKUP($C88,INSUMOS!$A:$D,2,0),""))))</f>
        <v>GUICHÊ DE ALUMÍNIO ANODIZADO, 02 FOLHAS DE ABRIR, 80X120CM</v>
      </c>
      <c r="E88" s="312" t="str">
        <f>IF($C88="","",IFERROR(VLOOKUP($C88,SERVIÇOS!$B:$G,3,0),IFERROR(VLOOKUP($C88,'COMPOSIÇÕES COMPLEMENTARES '!$D:$L,3,0),IFERROR(VLOOKUP($C88,INSUMOS!$A:$D,3,0),""))))</f>
        <v>UN</v>
      </c>
      <c r="F88" s="313">
        <v>10</v>
      </c>
      <c r="G88" s="314">
        <f>IF($C88="","",IFERROR(VLOOKUP($C88,SERVIÇOS!$B:$G,4,0),IFERROR(VLOOKUP($C88,'COMPOSIÇÕES COMPLEMENTARES '!$D:$L,6,0),IFERROR(VLOOKUP($C88,INSUMOS!$A:$D,4,0),""))))</f>
        <v>1418.62</v>
      </c>
      <c r="H88" s="314">
        <f>IF($C88="","",IFERROR(VLOOKUP($C88,SERVIÇOS!$B:$G,5,0),IFERROR(VLOOKUP($C88,'COMPOSIÇÕES COMPLEMENTARES '!$D:$L,7,0),0)))</f>
        <v>418.22</v>
      </c>
      <c r="I88" s="314">
        <f t="shared" si="8"/>
        <v>1836.84</v>
      </c>
      <c r="J88" s="314">
        <f t="shared" si="9"/>
        <v>14186.2</v>
      </c>
      <c r="K88" s="314">
        <f t="shared" si="10"/>
        <v>4182.2</v>
      </c>
      <c r="L88" s="948">
        <f t="shared" si="11"/>
        <v>18368.400000000001</v>
      </c>
      <c r="M88" s="374">
        <f t="shared" si="12"/>
        <v>3698966.1999999997</v>
      </c>
      <c r="N88" s="375">
        <f>+M88/L$815</f>
        <v>0.65495756393958837</v>
      </c>
      <c r="O88" s="376" t="str">
        <f>IF(N88&lt;0.5,"A",IF(N88&gt;0.8,"C","B"))</f>
        <v>B</v>
      </c>
    </row>
    <row r="89" spans="1:15" x14ac:dyDescent="0.25">
      <c r="A89" s="232">
        <f t="shared" si="7"/>
        <v>89</v>
      </c>
      <c r="B89" s="232"/>
      <c r="C89" s="310">
        <v>88489</v>
      </c>
      <c r="D89" s="373" t="str">
        <f>IF($C89="","",IFERROR(VLOOKUP($C89,SERVIÇOS!$B:$G,2,0),IFERROR(VLOOKUP($C89,'COMPOSIÇÕES COMPLEMENTARES '!$D:$L,2,0),IFERROR(VLOOKUP($C89,INSUMOS!$A:$D,2,0),""))))</f>
        <v>PINTURA LÁTEX ACRÍLICA PREMIUM, APLICAÇÃO MANUAL EM PAREDES, DUAS DEMÃOS. AF_04/2023</v>
      </c>
      <c r="E89" s="312" t="str">
        <f>IF($C89="","",IFERROR(VLOOKUP($C89,SERVIÇOS!$B:$G,3,0),IFERROR(VLOOKUP($C89,'COMPOSIÇÕES COMPLEMENTARES '!$D:$L,3,0),IFERROR(VLOOKUP($C89,INSUMOS!$A:$D,3,0),""))))</f>
        <v>M2</v>
      </c>
      <c r="F89" s="313">
        <v>1286.74</v>
      </c>
      <c r="G89" s="314">
        <f>IF($C89="","",IFERROR(VLOOKUP($C89,SERVIÇOS!$B:$G,4,0),IFERROR(VLOOKUP($C89,'COMPOSIÇÕES COMPLEMENTARES '!$D:$L,6,0),IFERROR(VLOOKUP($C89,INSUMOS!$A:$D,4,0),""))))</f>
        <v>8.69</v>
      </c>
      <c r="H89" s="314">
        <f>IF($C89="","",IFERROR(VLOOKUP($C89,SERVIÇOS!$B:$G,5,0),IFERROR(VLOOKUP($C89,'COMPOSIÇÕES COMPLEMENTARES '!$D:$L,7,0),0)))</f>
        <v>5.53</v>
      </c>
      <c r="I89" s="314">
        <f t="shared" si="8"/>
        <v>14.219999999999999</v>
      </c>
      <c r="J89" s="314">
        <f t="shared" si="9"/>
        <v>11181.77</v>
      </c>
      <c r="K89" s="314">
        <f t="shared" si="10"/>
        <v>7115.67</v>
      </c>
      <c r="L89" s="948">
        <f t="shared" si="11"/>
        <v>18297.439999999999</v>
      </c>
      <c r="M89" s="374">
        <f t="shared" si="12"/>
        <v>3717263.6399999997</v>
      </c>
      <c r="N89" s="375">
        <f>+M89/L$815</f>
        <v>0.65819740071580191</v>
      </c>
      <c r="O89" s="376" t="str">
        <f>IF(N89&lt;0.5,"A",IF(N89&gt;0.8,"C","B"))</f>
        <v>B</v>
      </c>
    </row>
    <row r="90" spans="1:15" x14ac:dyDescent="0.25">
      <c r="A90" s="232">
        <f t="shared" si="7"/>
        <v>90</v>
      </c>
      <c r="B90" s="232"/>
      <c r="C90" s="310" t="s">
        <v>12563</v>
      </c>
      <c r="D90" s="373" t="str">
        <f>IF($C90="","",IFERROR(VLOOKUP($C90,SERVIÇOS!$B:$G,2,0),IFERROR(VLOOKUP($C90,'COMPOSIÇÕES COMPLEMENTARES '!$D:$L,2,0),IFERROR(VLOOKUP($C90,INSUMOS!$A:$D,2,0),""))))</f>
        <v>EXECUÇÃO DE ALMOXARIFADO EM CANTEIRO DE OBRA, NÃO INCLUSO MOBILIÁRIO, CONFORME DETALHE DE PROJETO</v>
      </c>
      <c r="E90" s="312" t="str">
        <f>IF($C90="","",IFERROR(VLOOKUP($C90,SERVIÇOS!$B:$G,3,0),IFERROR(VLOOKUP($C90,'COMPOSIÇÕES COMPLEMENTARES '!$D:$L,3,0),IFERROR(VLOOKUP($C90,INSUMOS!$A:$D,3,0),""))))</f>
        <v>M2</v>
      </c>
      <c r="F90" s="313">
        <v>13.8</v>
      </c>
      <c r="G90" s="314">
        <f>IF($C90="","",IFERROR(VLOOKUP($C90,SERVIÇOS!$B:$G,4,0),IFERROR(VLOOKUP($C90,'COMPOSIÇÕES COMPLEMENTARES '!$D:$L,6,0),IFERROR(VLOOKUP($C90,INSUMOS!$A:$D,4,0),""))))</f>
        <v>1104.2</v>
      </c>
      <c r="H90" s="314">
        <f>IF($C90="","",IFERROR(VLOOKUP($C90,SERVIÇOS!$B:$G,5,0),IFERROR(VLOOKUP($C90,'COMPOSIÇÕES COMPLEMENTARES '!$D:$L,7,0),0)))</f>
        <v>208.47</v>
      </c>
      <c r="I90" s="314">
        <f t="shared" si="8"/>
        <v>1312.67</v>
      </c>
      <c r="J90" s="314">
        <f t="shared" si="9"/>
        <v>15237.96</v>
      </c>
      <c r="K90" s="314">
        <f t="shared" si="10"/>
        <v>2876.88</v>
      </c>
      <c r="L90" s="948">
        <f t="shared" si="11"/>
        <v>18114.84</v>
      </c>
      <c r="M90" s="374">
        <f t="shared" si="12"/>
        <v>3735378.4799999995</v>
      </c>
      <c r="N90" s="375">
        <f>+M90/L$815</f>
        <v>0.66140490541740071</v>
      </c>
      <c r="O90" s="376" t="str">
        <f>IF(N90&lt;0.5,"A",IF(N90&gt;0.8,"C","B"))</f>
        <v>B</v>
      </c>
    </row>
    <row r="91" spans="1:15" ht="51" x14ac:dyDescent="0.25">
      <c r="A91" s="232">
        <f t="shared" si="7"/>
        <v>91</v>
      </c>
      <c r="B91" s="232"/>
      <c r="C91" s="310" t="s">
        <v>12498</v>
      </c>
      <c r="D91" s="373" t="str">
        <f>IF($C91="","",IFERROR(VLOOKUP($C91,SERVIÇOS!$B:$G,2,0),IFERROR(VLOOKUP($C91,'COMPOSIÇÕES COMPLEMENTARES '!$D:$L,2,0),IFERROR(VLOOKUP($C91,INSUMOS!$A:$D,2,0),""))))</f>
        <v>MONITOR/TRANSDUTOR PRESSÃO RELATIVA COM DISPLAY DIGITAL PARA MONTAGEM EM PAREDE (IP20). DEVE POSSUIR UMA INTERFACE GRÁFICA AO USUÁRIO QUE PERMITA O ACESSO A CONFIGURAÇÕES DE PRESSÃO, SEGURANÇA, CALIBRAÇÃO E ALARMES. A PRECISÃO DEVE SER DE ±12,5PA NA MEDIÇÃO DE PRESSÃO RELATIVA. DEVE OPERAR EM 24VAC.
REF. DWYER RSM OU EQUIVALENTE TÉCNICO (VAISALA, IMI, BELIMO, AERIS...).</v>
      </c>
      <c r="E91" s="312" t="str">
        <f>IF($C91="","",IFERROR(VLOOKUP($C91,SERVIÇOS!$B:$G,3,0),IFERROR(VLOOKUP($C91,'COMPOSIÇÕES COMPLEMENTARES '!$D:$L,3,0),IFERROR(VLOOKUP($C91,INSUMOS!$A:$D,3,0),""))))</f>
        <v>UN</v>
      </c>
      <c r="F91" s="313">
        <v>12</v>
      </c>
      <c r="G91" s="314">
        <f>IF($C91="","",IFERROR(VLOOKUP($C91,SERVIÇOS!$B:$G,4,0),IFERROR(VLOOKUP($C91,'COMPOSIÇÕES COMPLEMENTARES '!$D:$L,6,0),IFERROR(VLOOKUP($C91,INSUMOS!$A:$D,4,0),""))))</f>
        <v>1472.2</v>
      </c>
      <c r="H91" s="314">
        <f>IF($C91="","",IFERROR(VLOOKUP($C91,SERVIÇOS!$B:$G,5,0),IFERROR(VLOOKUP($C91,'COMPOSIÇÕES COMPLEMENTARES '!$D:$L,7,0),0)))</f>
        <v>24.15</v>
      </c>
      <c r="I91" s="314">
        <f t="shared" si="8"/>
        <v>1496.3500000000001</v>
      </c>
      <c r="J91" s="314">
        <f t="shared" si="9"/>
        <v>17666.400000000001</v>
      </c>
      <c r="K91" s="314">
        <f t="shared" si="10"/>
        <v>289.8</v>
      </c>
      <c r="L91" s="948">
        <f t="shared" si="11"/>
        <v>17956.2</v>
      </c>
      <c r="M91" s="374">
        <f t="shared" si="12"/>
        <v>3753334.6799999997</v>
      </c>
      <c r="N91" s="375">
        <f>+M91/L$815</f>
        <v>0.66458432052252181</v>
      </c>
      <c r="O91" s="376" t="str">
        <f>IF(N91&lt;0.5,"A",IF(N91&gt;0.8,"C","B"))</f>
        <v>B</v>
      </c>
    </row>
    <row r="92" spans="1:15" x14ac:dyDescent="0.25">
      <c r="A92" s="232">
        <f t="shared" si="7"/>
        <v>92</v>
      </c>
      <c r="B92" s="232"/>
      <c r="C92" s="310" t="s">
        <v>12290</v>
      </c>
      <c r="D92" s="373" t="str">
        <f>IF($C92="","",IFERROR(VLOOKUP($C92,SERVIÇOS!$B:$G,2,0),IFERROR(VLOOKUP($C92,'COMPOSIÇÕES COMPLEMENTARES '!$D:$L,2,0),IFERROR(VLOOKUP($C92,INSUMOS!$A:$D,2,0),""))))</f>
        <v>CABO FLEXÍVEL MULTIPOLAR ISOL. 1KV  - 4X#120MM² - AFUMEX (PARA ALIMENTAÇÃO MÁQUINAS DE AR)</v>
      </c>
      <c r="E92" s="312" t="str">
        <f>IF($C92="","",IFERROR(VLOOKUP($C92,SERVIÇOS!$B:$G,3,0),IFERROR(VLOOKUP($C92,'COMPOSIÇÕES COMPLEMENTARES '!$D:$L,3,0),IFERROR(VLOOKUP($C92,INSUMOS!$A:$D,3,0),""))))</f>
        <v>M</v>
      </c>
      <c r="F92" s="313">
        <v>33</v>
      </c>
      <c r="G92" s="314">
        <f>IF($C92="","",IFERROR(VLOOKUP($C92,SERVIÇOS!$B:$G,4,0),IFERROR(VLOOKUP($C92,'COMPOSIÇÕES COMPLEMENTARES '!$D:$L,6,0),IFERROR(VLOOKUP($C92,INSUMOS!$A:$D,4,0),""))))</f>
        <v>487.14</v>
      </c>
      <c r="H92" s="314">
        <f>IF($C92="","",IFERROR(VLOOKUP($C92,SERVIÇOS!$B:$G,5,0),IFERROR(VLOOKUP($C92,'COMPOSIÇÕES COMPLEMENTARES '!$D:$L,7,0),0)))</f>
        <v>49.58</v>
      </c>
      <c r="I92" s="314">
        <f t="shared" si="8"/>
        <v>536.72</v>
      </c>
      <c r="J92" s="314">
        <f t="shared" si="9"/>
        <v>16075.62</v>
      </c>
      <c r="K92" s="314">
        <f t="shared" si="10"/>
        <v>1636.14</v>
      </c>
      <c r="L92" s="948">
        <f t="shared" si="11"/>
        <v>17711.759999999998</v>
      </c>
      <c r="M92" s="374">
        <f t="shared" si="12"/>
        <v>3771046.4399999995</v>
      </c>
      <c r="N92" s="375">
        <f>+M92/L$815</f>
        <v>0.66772045385152667</v>
      </c>
      <c r="O92" s="376" t="str">
        <f>IF(N92&lt;0.5,"A",IF(N92&gt;0.8,"C","B"))</f>
        <v>B</v>
      </c>
    </row>
    <row r="93" spans="1:15" x14ac:dyDescent="0.25">
      <c r="A93" s="232">
        <f t="shared" si="7"/>
        <v>93</v>
      </c>
      <c r="B93" s="232"/>
      <c r="C93" s="310">
        <v>98564</v>
      </c>
      <c r="D93" s="373" t="str">
        <f>IF($C93="","",IFERROR(VLOOKUP($C93,SERVIÇOS!$B:$G,2,0),IFERROR(VLOOKUP($C93,'COMPOSIÇÕES COMPLEMENTARES '!$D:$L,2,0),IFERROR(VLOOKUP($C93,INSUMOS!$A:$D,2,0),""))))</f>
        <v>PROTEÇÃO MECÂNICA DE SUPERFÍCIE VERTICAL COM ARGAMASSA DE CIMENTO E AREIA, TRAÇO 1:3, E=2CM. AF_09/2023</v>
      </c>
      <c r="E93" s="312" t="str">
        <f>IF($C93="","",IFERROR(VLOOKUP($C93,SERVIÇOS!$B:$G,3,0),IFERROR(VLOOKUP($C93,'COMPOSIÇÕES COMPLEMENTARES '!$D:$L,3,0),IFERROR(VLOOKUP($C93,INSUMOS!$A:$D,3,0),""))))</f>
        <v>M2</v>
      </c>
      <c r="F93" s="313">
        <v>293.69</v>
      </c>
      <c r="G93" s="314">
        <f>IF($C93="","",IFERROR(VLOOKUP($C93,SERVIÇOS!$B:$G,4,0),IFERROR(VLOOKUP($C93,'COMPOSIÇÕES COMPLEMENTARES '!$D:$L,6,0),IFERROR(VLOOKUP($C93,INSUMOS!$A:$D,4,0),""))))</f>
        <v>37.29</v>
      </c>
      <c r="H93" s="314">
        <f>IF($C93="","",IFERROR(VLOOKUP($C93,SERVIÇOS!$B:$G,5,0),IFERROR(VLOOKUP($C93,'COMPOSIÇÕES COMPLEMENTARES '!$D:$L,7,0),0)))</f>
        <v>22.17</v>
      </c>
      <c r="I93" s="314">
        <f t="shared" si="8"/>
        <v>59.46</v>
      </c>
      <c r="J93" s="314">
        <f t="shared" si="9"/>
        <v>10951.7</v>
      </c>
      <c r="K93" s="314">
        <f t="shared" si="10"/>
        <v>6511.1</v>
      </c>
      <c r="L93" s="948">
        <f t="shared" si="11"/>
        <v>17462.8</v>
      </c>
      <c r="M93" s="374">
        <f t="shared" si="12"/>
        <v>3788509.2399999993</v>
      </c>
      <c r="N93" s="375">
        <f>+M93/L$815</f>
        <v>0.67081250507047652</v>
      </c>
      <c r="O93" s="376" t="str">
        <f>IF(N93&lt;0.5,"A",IF(N93&gt;0.8,"C","B"))</f>
        <v>B</v>
      </c>
    </row>
    <row r="94" spans="1:15" x14ac:dyDescent="0.25">
      <c r="A94" s="232">
        <f t="shared" si="7"/>
        <v>94</v>
      </c>
      <c r="B94" s="232"/>
      <c r="C94" s="310" t="s">
        <v>11932</v>
      </c>
      <c r="D94" s="373" t="str">
        <f>IF($C94="","",IFERROR(VLOOKUP($C94,SERVIÇOS!$B:$G,2,0),IFERROR(VLOOKUP($C94,'COMPOSIÇÕES COMPLEMENTARES '!$D:$L,2,0),IFERROR(VLOOKUP($C94,INSUMOS!$A:$D,2,0),""))))</f>
        <v>CONCRETO USINADO BOMBEADO FCK=30MPA, BOMBEADO, LANÇADO E ADENSADO EM INFRAESTRUTURA</v>
      </c>
      <c r="E94" s="312" t="str">
        <f>IF($C94="","",IFERROR(VLOOKUP($C94,SERVIÇOS!$B:$G,3,0),IFERROR(VLOOKUP($C94,'COMPOSIÇÕES COMPLEMENTARES '!$D:$L,3,0),IFERROR(VLOOKUP($C94,INSUMOS!$A:$D,3,0),""))))</f>
        <v>M3</v>
      </c>
      <c r="F94" s="313">
        <v>30.3</v>
      </c>
      <c r="G94" s="314">
        <f>IF($C94="","",IFERROR(VLOOKUP($C94,SERVIÇOS!$B:$G,4,0),IFERROR(VLOOKUP($C94,'COMPOSIÇÕES COMPLEMENTARES '!$D:$L,6,0),IFERROR(VLOOKUP($C94,INSUMOS!$A:$D,4,0),""))))</f>
        <v>534.25</v>
      </c>
      <c r="H94" s="314">
        <f>IF($C94="","",IFERROR(VLOOKUP($C94,SERVIÇOS!$B:$G,5,0),IFERROR(VLOOKUP($C94,'COMPOSIÇÕES COMPLEMENTARES '!$D:$L,7,0),0)))</f>
        <v>38.56</v>
      </c>
      <c r="I94" s="314">
        <f t="shared" si="8"/>
        <v>572.80999999999995</v>
      </c>
      <c r="J94" s="314">
        <f t="shared" si="9"/>
        <v>16187.77</v>
      </c>
      <c r="K94" s="314">
        <f t="shared" si="10"/>
        <v>1168.3599999999999</v>
      </c>
      <c r="L94" s="948">
        <f t="shared" si="11"/>
        <v>17356.13</v>
      </c>
      <c r="M94" s="374">
        <f t="shared" si="12"/>
        <v>3805865.3699999992</v>
      </c>
      <c r="N94" s="375">
        <f>+M94/L$815</f>
        <v>0.67388566876259637</v>
      </c>
      <c r="O94" s="376" t="str">
        <f>IF(N94&lt;0.5,"A",IF(N94&gt;0.8,"C","B"))</f>
        <v>B</v>
      </c>
    </row>
    <row r="95" spans="1:15" x14ac:dyDescent="0.25">
      <c r="A95" s="232">
        <f t="shared" si="7"/>
        <v>95</v>
      </c>
      <c r="B95" s="232"/>
      <c r="C95" s="310">
        <v>95577</v>
      </c>
      <c r="D95" s="373" t="str">
        <f>IF($C95="","",IFERROR(VLOOKUP($C95,SERVIÇOS!$B:$G,2,0),IFERROR(VLOOKUP($C95,'COMPOSIÇÕES COMPLEMENTARES '!$D:$L,2,0),IFERROR(VLOOKUP($C95,INSUMOS!$A:$D,2,0),""))))</f>
        <v>MONTAGEM DE ARMADURA DE ESTACAS, DIÂMETRO = 10,0 MM. AF_09/2021_PS</v>
      </c>
      <c r="E95" s="312" t="str">
        <f>IF($C95="","",IFERROR(VLOOKUP($C95,SERVIÇOS!$B:$G,3,0),IFERROR(VLOOKUP($C95,'COMPOSIÇÕES COMPLEMENTARES '!$D:$L,3,0),IFERROR(VLOOKUP($C95,INSUMOS!$A:$D,3,0),""))))</f>
        <v>KG</v>
      </c>
      <c r="F95" s="313">
        <v>1569.65</v>
      </c>
      <c r="G95" s="314">
        <f>IF($C95="","",IFERROR(VLOOKUP($C95,SERVIÇOS!$B:$G,4,0),IFERROR(VLOOKUP($C95,'COMPOSIÇÕES COMPLEMENTARES '!$D:$L,6,0),IFERROR(VLOOKUP($C95,INSUMOS!$A:$D,4,0),""))))</f>
        <v>9.65</v>
      </c>
      <c r="H95" s="314">
        <f>IF($C95="","",IFERROR(VLOOKUP($C95,SERVIÇOS!$B:$G,5,0),IFERROR(VLOOKUP($C95,'COMPOSIÇÕES COMPLEMENTARES '!$D:$L,7,0),0)))</f>
        <v>1.2</v>
      </c>
      <c r="I95" s="314">
        <f t="shared" si="8"/>
        <v>10.85</v>
      </c>
      <c r="J95" s="314">
        <f t="shared" si="9"/>
        <v>15147.12</v>
      </c>
      <c r="K95" s="314">
        <f t="shared" si="10"/>
        <v>1883.58</v>
      </c>
      <c r="L95" s="948">
        <f t="shared" si="11"/>
        <v>17030.7</v>
      </c>
      <c r="M95" s="374">
        <f t="shared" si="12"/>
        <v>3822896.0699999994</v>
      </c>
      <c r="N95" s="375">
        <f>+M95/L$815</f>
        <v>0.67690121018175997</v>
      </c>
      <c r="O95" s="376" t="str">
        <f>IF(N95&lt;0.5,"A",IF(N95&gt;0.8,"C","B"))</f>
        <v>B</v>
      </c>
    </row>
    <row r="96" spans="1:15" ht="25.5" x14ac:dyDescent="0.25">
      <c r="A96" s="232">
        <f t="shared" si="7"/>
        <v>96</v>
      </c>
      <c r="B96" s="232"/>
      <c r="C96" s="310">
        <v>87265</v>
      </c>
      <c r="D96" s="373" t="str">
        <f>IF($C96="","",IFERROR(VLOOKUP($C96,SERVIÇOS!$B:$G,2,0),IFERROR(VLOOKUP($C96,'COMPOSIÇÕES COMPLEMENTARES '!$D:$L,2,0),IFERROR(VLOOKUP($C96,INSUMOS!$A:$D,2,0),""))))</f>
        <v>REVESTIMENTO CERÂMICO PARA PAREDES INTERNAS COM PLACAS TIPO ESMALTADA DE DIMENSÕES 20X20 CM APLICADAS NA ALTURA INTEIRA DAS PAREDES.  AF_02/2023_PE</v>
      </c>
      <c r="E96" s="312" t="str">
        <f>IF($C96="","",IFERROR(VLOOKUP($C96,SERVIÇOS!$B:$G,3,0),IFERROR(VLOOKUP($C96,'COMPOSIÇÕES COMPLEMENTARES '!$D:$L,3,0),IFERROR(VLOOKUP($C96,INSUMOS!$A:$D,3,0),""))))</f>
        <v>M2</v>
      </c>
      <c r="F96" s="313">
        <v>241.98</v>
      </c>
      <c r="G96" s="314">
        <f>IF($C96="","",IFERROR(VLOOKUP($C96,SERVIÇOS!$B:$G,4,0),IFERROR(VLOOKUP($C96,'COMPOSIÇÕES COMPLEMENTARES '!$D:$L,6,0),IFERROR(VLOOKUP($C96,INSUMOS!$A:$D,4,0),""))))</f>
        <v>50.2</v>
      </c>
      <c r="H96" s="314">
        <f>IF($C96="","",IFERROR(VLOOKUP($C96,SERVIÇOS!$B:$G,5,0),IFERROR(VLOOKUP($C96,'COMPOSIÇÕES COMPLEMENTARES '!$D:$L,7,0),0)))</f>
        <v>19.899999999999999</v>
      </c>
      <c r="I96" s="314">
        <f t="shared" si="8"/>
        <v>70.099999999999994</v>
      </c>
      <c r="J96" s="314">
        <f t="shared" si="9"/>
        <v>12147.39</v>
      </c>
      <c r="K96" s="314">
        <f t="shared" si="10"/>
        <v>4815.3999999999996</v>
      </c>
      <c r="L96" s="948">
        <f t="shared" si="11"/>
        <v>16962.79</v>
      </c>
      <c r="M96" s="374">
        <f t="shared" si="12"/>
        <v>3839858.8599999994</v>
      </c>
      <c r="N96" s="375">
        <f>+M96/L$815</f>
        <v>0.67990472711468541</v>
      </c>
      <c r="O96" s="376" t="str">
        <f>IF(N96&lt;0.5,"A",IF(N96&gt;0.8,"C","B"))</f>
        <v>B</v>
      </c>
    </row>
    <row r="97" spans="1:15" ht="38.25" x14ac:dyDescent="0.25">
      <c r="A97" s="232">
        <f t="shared" si="7"/>
        <v>97</v>
      </c>
      <c r="B97" s="232"/>
      <c r="C97" s="310" t="s">
        <v>12038</v>
      </c>
      <c r="D97" s="373" t="str">
        <f>IF($C97="","",IFERROR(VLOOKUP($C97,SERVIÇOS!$B:$G,2,0),IFERROR(VLOOKUP($C97,'COMPOSIÇÕES COMPLEMENTARES '!$D:$L,2,0),IFERROR(VLOOKUP($C97,INSUMOS!$A:$D,2,0),""))))</f>
        <v>CONJUNTO DE VIDRO (CV03) EM PERFIL DE ALUMÍNIO SERIE 32, COM PORTA PIVOTANTE DE VIDRO TEMPERADO LISO INCOLOR E=10MM, COM PELÍCULA DE SEGURANÇA, E FOLHAS FIXAS COM VIDRO TEMPERADO LISO INCOLOR E=10MM, DIMENSÃO 230X260CM, CONFORME PROJETO</v>
      </c>
      <c r="E97" s="312" t="str">
        <f>IF($C97="","",IFERROR(VLOOKUP($C97,SERVIÇOS!$B:$G,3,0),IFERROR(VLOOKUP($C97,'COMPOSIÇÕES COMPLEMENTARES '!$D:$L,3,0),IFERROR(VLOOKUP($C97,INSUMOS!$A:$D,3,0),""))))</f>
        <v>UN</v>
      </c>
      <c r="F97" s="313">
        <v>2</v>
      </c>
      <c r="G97" s="314">
        <f>IF($C97="","",IFERROR(VLOOKUP($C97,SERVIÇOS!$B:$G,4,0),IFERROR(VLOOKUP($C97,'COMPOSIÇÕES COMPLEMENTARES '!$D:$L,6,0),IFERROR(VLOOKUP($C97,INSUMOS!$A:$D,4,0),""))))</f>
        <v>7711.05</v>
      </c>
      <c r="H97" s="314">
        <f>IF($C97="","",IFERROR(VLOOKUP($C97,SERVIÇOS!$B:$G,5,0),IFERROR(VLOOKUP($C97,'COMPOSIÇÕES COMPLEMENTARES '!$D:$L,7,0),0)))</f>
        <v>592.64</v>
      </c>
      <c r="I97" s="314">
        <f t="shared" si="8"/>
        <v>8303.69</v>
      </c>
      <c r="J97" s="314">
        <f t="shared" si="9"/>
        <v>15422.1</v>
      </c>
      <c r="K97" s="314">
        <f t="shared" si="10"/>
        <v>1185.28</v>
      </c>
      <c r="L97" s="948">
        <f t="shared" si="11"/>
        <v>16607.38</v>
      </c>
      <c r="M97" s="374">
        <f t="shared" si="12"/>
        <v>3856466.2399999993</v>
      </c>
      <c r="N97" s="375">
        <f>+M97/L$815</f>
        <v>0.68284531336503251</v>
      </c>
      <c r="O97" s="376" t="str">
        <f>IF(N97&lt;0.5,"A",IF(N97&gt;0.8,"C","B"))</f>
        <v>B</v>
      </c>
    </row>
    <row r="98" spans="1:15" ht="25.5" x14ac:dyDescent="0.25">
      <c r="A98" s="232">
        <f t="shared" si="7"/>
        <v>98</v>
      </c>
      <c r="B98" s="232"/>
      <c r="C98" s="310">
        <v>87265</v>
      </c>
      <c r="D98" s="373" t="str">
        <f>IF($C98="","",IFERROR(VLOOKUP($C98,SERVIÇOS!$B:$G,2,0),IFERROR(VLOOKUP($C98,'COMPOSIÇÕES COMPLEMENTARES '!$D:$L,2,0),IFERROR(VLOOKUP($C98,INSUMOS!$A:$D,2,0),""))))</f>
        <v>REVESTIMENTO CERÂMICO PARA PAREDES INTERNAS COM PLACAS TIPO ESMALTADA DE DIMENSÕES 20X20 CM APLICADAS NA ALTURA INTEIRA DAS PAREDES.  AF_02/2023_PE</v>
      </c>
      <c r="E98" s="312" t="str">
        <f>IF($C98="","",IFERROR(VLOOKUP($C98,SERVIÇOS!$B:$G,3,0),IFERROR(VLOOKUP($C98,'COMPOSIÇÕES COMPLEMENTARES '!$D:$L,3,0),IFERROR(VLOOKUP($C98,INSUMOS!$A:$D,3,0),""))))</f>
        <v>M2</v>
      </c>
      <c r="F98" s="313">
        <v>235.61</v>
      </c>
      <c r="G98" s="314">
        <f>IF($C98="","",IFERROR(VLOOKUP($C98,SERVIÇOS!$B:$G,4,0),IFERROR(VLOOKUP($C98,'COMPOSIÇÕES COMPLEMENTARES '!$D:$L,6,0),IFERROR(VLOOKUP($C98,INSUMOS!$A:$D,4,0),""))))</f>
        <v>50.2</v>
      </c>
      <c r="H98" s="314">
        <f>IF($C98="","",IFERROR(VLOOKUP($C98,SERVIÇOS!$B:$G,5,0),IFERROR(VLOOKUP($C98,'COMPOSIÇÕES COMPLEMENTARES '!$D:$L,7,0),0)))</f>
        <v>19.899999999999999</v>
      </c>
      <c r="I98" s="314">
        <f t="shared" si="8"/>
        <v>70.099999999999994</v>
      </c>
      <c r="J98" s="314">
        <f t="shared" si="9"/>
        <v>11827.62</v>
      </c>
      <c r="K98" s="314">
        <f t="shared" si="10"/>
        <v>4688.63</v>
      </c>
      <c r="L98" s="948">
        <f t="shared" si="11"/>
        <v>16516.25</v>
      </c>
      <c r="M98" s="374">
        <f t="shared" si="12"/>
        <v>3872982.4899999993</v>
      </c>
      <c r="N98" s="375">
        <f>+M98/L$815</f>
        <v>0.68576976367912768</v>
      </c>
      <c r="O98" s="376" t="str">
        <f>IF(N98&lt;0.5,"A",IF(N98&gt;0.8,"C","B"))</f>
        <v>B</v>
      </c>
    </row>
    <row r="99" spans="1:15" ht="25.5" x14ac:dyDescent="0.25">
      <c r="A99" s="232">
        <f t="shared" si="7"/>
        <v>99</v>
      </c>
      <c r="B99" s="232"/>
      <c r="C99" s="310">
        <v>100721</v>
      </c>
      <c r="D99" s="373" t="str">
        <f>IF($C99="","",IFERROR(VLOOKUP($C99,SERVIÇOS!$B:$G,2,0),IFERROR(VLOOKUP($C99,'COMPOSIÇÕES COMPLEMENTARES '!$D:$L,2,0),IFERROR(VLOOKUP($C99,INSUMOS!$A:$D,2,0),""))))</f>
        <v>PINTURA COM TINTA ALQUÍDICA DE FUNDO (TIPO ZARCÃO) PULVERIZADA SOBRE SUPERFÍCIES METÁLICAS (EXCETO PERFIL) EXECUTADO EM OBRA (POR DEMÃO). AF_01/2020_PE</v>
      </c>
      <c r="E99" s="312" t="str">
        <f>IF($C99="","",IFERROR(VLOOKUP($C99,SERVIÇOS!$B:$G,3,0),IFERROR(VLOOKUP($C99,'COMPOSIÇÕES COMPLEMENTARES '!$D:$L,3,0),IFERROR(VLOOKUP($C99,INSUMOS!$A:$D,3,0),""))))</f>
        <v>M2</v>
      </c>
      <c r="F99" s="313">
        <v>534.46</v>
      </c>
      <c r="G99" s="314">
        <f>IF($C99="","",IFERROR(VLOOKUP($C99,SERVIÇOS!$B:$G,4,0),IFERROR(VLOOKUP($C99,'COMPOSIÇÕES COMPLEMENTARES '!$D:$L,6,0),IFERROR(VLOOKUP($C99,INSUMOS!$A:$D,4,0),""))))</f>
        <v>15.42</v>
      </c>
      <c r="H99" s="314">
        <f>IF($C99="","",IFERROR(VLOOKUP($C99,SERVIÇOS!$B:$G,5,0),IFERROR(VLOOKUP($C99,'COMPOSIÇÕES COMPLEMENTARES '!$D:$L,7,0),0)))</f>
        <v>14.44</v>
      </c>
      <c r="I99" s="314">
        <f t="shared" si="8"/>
        <v>29.86</v>
      </c>
      <c r="J99" s="314">
        <f t="shared" si="9"/>
        <v>8241.3700000000008</v>
      </c>
      <c r="K99" s="314">
        <f t="shared" si="10"/>
        <v>7717.6</v>
      </c>
      <c r="L99" s="948">
        <f t="shared" si="11"/>
        <v>15958.97</v>
      </c>
      <c r="M99" s="374">
        <f t="shared" si="12"/>
        <v>3888941.4599999995</v>
      </c>
      <c r="N99" s="375">
        <f>+M99/L$815</f>
        <v>0.68859553919288752</v>
      </c>
      <c r="O99" s="376" t="str">
        <f>IF(N99&lt;0.5,"A",IF(N99&gt;0.8,"C","B"))</f>
        <v>B</v>
      </c>
    </row>
    <row r="100" spans="1:15" ht="25.5" x14ac:dyDescent="0.25">
      <c r="A100" s="232">
        <f t="shared" si="7"/>
        <v>100</v>
      </c>
      <c r="B100" s="232"/>
      <c r="C100" s="310" t="s">
        <v>12055</v>
      </c>
      <c r="D100" s="373" t="str">
        <f>IF($C100="","",IFERROR(VLOOKUP($C100,SERVIÇOS!$B:$G,2,0),IFERROR(VLOOKUP($C100,'COMPOSIÇÕES COMPLEMENTARES '!$D:$L,2,0),IFERROR(VLOOKUP($C100,INSUMOS!$A:$D,2,0),""))))</f>
        <v>LAVATÓRIO PEQUENO COM COLUNA SUSPENSA, 445X335MM, LINHA VOGUE PLUS COR BRANCO L510 E C510DECA OU EQUIVALENTE TÉCNICO</v>
      </c>
      <c r="E100" s="312" t="str">
        <f>IF($C100="","",IFERROR(VLOOKUP($C100,SERVIÇOS!$B:$G,3,0),IFERROR(VLOOKUP($C100,'COMPOSIÇÕES COMPLEMENTARES '!$D:$L,3,0),IFERROR(VLOOKUP($C100,INSUMOS!$A:$D,3,0),""))))</f>
        <v>UN</v>
      </c>
      <c r="F100" s="313">
        <v>25</v>
      </c>
      <c r="G100" s="314">
        <f>IF($C100="","",IFERROR(VLOOKUP($C100,SERVIÇOS!$B:$G,4,0),IFERROR(VLOOKUP($C100,'COMPOSIÇÕES COMPLEMENTARES '!$D:$L,6,0),IFERROR(VLOOKUP($C100,INSUMOS!$A:$D,4,0),""))))</f>
        <v>593.34</v>
      </c>
      <c r="H100" s="314">
        <f>IF($C100="","",IFERROR(VLOOKUP($C100,SERVIÇOS!$B:$G,5,0),IFERROR(VLOOKUP($C100,'COMPOSIÇÕES COMPLEMENTARES '!$D:$L,7,0),0)))</f>
        <v>33.79</v>
      </c>
      <c r="I100" s="314">
        <f t="shared" si="8"/>
        <v>627.13</v>
      </c>
      <c r="J100" s="314">
        <f t="shared" si="9"/>
        <v>14833.5</v>
      </c>
      <c r="K100" s="314">
        <f t="shared" si="10"/>
        <v>844.75</v>
      </c>
      <c r="L100" s="948">
        <f t="shared" si="11"/>
        <v>15678.25</v>
      </c>
      <c r="M100" s="374">
        <f t="shared" si="12"/>
        <v>3904619.7099999995</v>
      </c>
      <c r="N100" s="375">
        <f>+M100/L$815</f>
        <v>0.69137160901121564</v>
      </c>
      <c r="O100" s="376" t="str">
        <f>IF(N100&lt;0.5,"A",IF(N100&gt;0.8,"C","B"))</f>
        <v>B</v>
      </c>
    </row>
    <row r="101" spans="1:15" ht="25.5" x14ac:dyDescent="0.25">
      <c r="A101" s="232">
        <f t="shared" si="7"/>
        <v>101</v>
      </c>
      <c r="B101" s="232"/>
      <c r="C101" s="310" t="s">
        <v>12485</v>
      </c>
      <c r="D101" s="373" t="str">
        <f>IF($C101="","",IFERROR(VLOOKUP($C101,SERVIÇOS!$B:$G,2,0),IFERROR(VLOOKUP($C101,'COMPOSIÇÕES COMPLEMENTARES '!$D:$L,2,0),IFERROR(VLOOKUP($C101,INSUMOS!$A:$D,2,0),""))))</f>
        <v>DUTO EM CHAPA DE AÇO GALVANIZADO Nº26, ESPESSURA 0,50MM, SEM ISOLAMENTO, PARA AR CONDICIONADO, COM SISTEMA DE VEDAÇÃO ESTANQUE, MONTADO COM SISTEMA FLANGEADO, REFERÊNCIA POWERMATIC</v>
      </c>
      <c r="E101" s="312" t="str">
        <f>IF($C101="","",IFERROR(VLOOKUP($C101,SERVIÇOS!$B:$G,3,0),IFERROR(VLOOKUP($C101,'COMPOSIÇÕES COMPLEMENTARES '!$D:$L,3,0),IFERROR(VLOOKUP($C101,INSUMOS!$A:$D,3,0),""))))</f>
        <v>KG</v>
      </c>
      <c r="F101" s="313">
        <v>290</v>
      </c>
      <c r="G101" s="314">
        <f>IF($C101="","",IFERROR(VLOOKUP($C101,SERVIÇOS!$B:$G,4,0),IFERROR(VLOOKUP($C101,'COMPOSIÇÕES COMPLEMENTARES '!$D:$L,6,0),IFERROR(VLOOKUP($C101,INSUMOS!$A:$D,4,0),""))))</f>
        <v>27.17</v>
      </c>
      <c r="H101" s="314">
        <f>IF($C101="","",IFERROR(VLOOKUP($C101,SERVIÇOS!$B:$G,5,0),IFERROR(VLOOKUP($C101,'COMPOSIÇÕES COMPLEMENTARES '!$D:$L,7,0),0)))</f>
        <v>26.56</v>
      </c>
      <c r="I101" s="314">
        <f t="shared" si="8"/>
        <v>53.730000000000004</v>
      </c>
      <c r="J101" s="314">
        <f t="shared" si="9"/>
        <v>7879.3</v>
      </c>
      <c r="K101" s="314">
        <f t="shared" si="10"/>
        <v>7702.4</v>
      </c>
      <c r="L101" s="948">
        <f t="shared" si="11"/>
        <v>15581.7</v>
      </c>
      <c r="M101" s="374">
        <f t="shared" si="12"/>
        <v>3920201.4099999997</v>
      </c>
      <c r="N101" s="375">
        <f>+M101/L$815</f>
        <v>0.69413058320082499</v>
      </c>
      <c r="O101" s="376" t="str">
        <f>IF(N101&lt;0.5,"A",IF(N101&gt;0.8,"C","B"))</f>
        <v>B</v>
      </c>
    </row>
    <row r="102" spans="1:15" ht="51" x14ac:dyDescent="0.25">
      <c r="A102" s="232">
        <f t="shared" si="7"/>
        <v>102</v>
      </c>
      <c r="B102" s="232"/>
      <c r="C102" s="310" t="s">
        <v>12495</v>
      </c>
      <c r="D102" s="373" t="str">
        <f>IF($C102="","",IFERROR(VLOOKUP($C102,SERVIÇOS!$B:$G,2,0),IFERROR(VLOOKUP($C102,'COMPOSIÇÕES COMPLEMENTARES '!$D:$L,2,0),IFERROR(VLOOKUP($C102,INSUMOS!$A:$D,2,0),""))))</f>
        <v>TRANSDUTOR DE TEMPERATURA E UMIDADE PARA MONTAGEM NA PAREDE DO AMBIENTE (IP65). CERTIFICADO DE CALIBRAÇÃO. O OUTPUT DEVE CONTER NO MÍNIMO O TBS E A UR. A PRECISÃO DEVE SER DE ±1,7% NA MEDIÇÃO DE UR E DE ±0.2 °C NA MEDIÇÃO DE TEMPERATURA. SAÍDAS MODBUS E ANALÓGICA (4-20 MA).
REF. VAISALA HMW90 UR+T OU EQUIVALENTE TÉCNICO (DWYER, IMI, BELIMO, AERIS...).</v>
      </c>
      <c r="E102" s="312" t="str">
        <f>IF($C102="","",IFERROR(VLOOKUP($C102,SERVIÇOS!$B:$G,3,0),IFERROR(VLOOKUP($C102,'COMPOSIÇÕES COMPLEMENTARES '!$D:$L,3,0),IFERROR(VLOOKUP($C102,INSUMOS!$A:$D,3,0),""))))</f>
        <v>UN</v>
      </c>
      <c r="F102" s="313">
        <v>10</v>
      </c>
      <c r="G102" s="314">
        <f>IF($C102="","",IFERROR(VLOOKUP($C102,SERVIÇOS!$B:$G,4,0),IFERROR(VLOOKUP($C102,'COMPOSIÇÕES COMPLEMENTARES '!$D:$L,6,0),IFERROR(VLOOKUP($C102,INSUMOS!$A:$D,4,0),""))))</f>
        <v>1531.7</v>
      </c>
      <c r="H102" s="314">
        <f>IF($C102="","",IFERROR(VLOOKUP($C102,SERVIÇOS!$B:$G,5,0),IFERROR(VLOOKUP($C102,'COMPOSIÇÕES COMPLEMENTARES '!$D:$L,7,0),0)))</f>
        <v>24.15</v>
      </c>
      <c r="I102" s="314">
        <f t="shared" si="8"/>
        <v>1555.8500000000001</v>
      </c>
      <c r="J102" s="314">
        <f t="shared" si="9"/>
        <v>15317</v>
      </c>
      <c r="K102" s="314">
        <f t="shared" si="10"/>
        <v>241.5</v>
      </c>
      <c r="L102" s="948">
        <f t="shared" si="11"/>
        <v>15558.5</v>
      </c>
      <c r="M102" s="374">
        <f t="shared" si="12"/>
        <v>3935759.9099999997</v>
      </c>
      <c r="N102" s="375">
        <f>+M102/L$815</f>
        <v>0.69688544948172104</v>
      </c>
      <c r="O102" s="376" t="str">
        <f>IF(N102&lt;0.5,"A",IF(N102&gt;0.8,"C","B"))</f>
        <v>B</v>
      </c>
    </row>
    <row r="103" spans="1:15" ht="25.5" x14ac:dyDescent="0.25">
      <c r="A103" s="232">
        <f t="shared" si="7"/>
        <v>103</v>
      </c>
      <c r="B103" s="232"/>
      <c r="C103" s="310" t="s">
        <v>12004</v>
      </c>
      <c r="D103" s="373" t="str">
        <f>IF($C103="","",IFERROR(VLOOKUP($C103,SERVIÇOS!$B:$G,2,0),IFERROR(VLOOKUP($C103,'COMPOSIÇÕES COMPLEMENTARES '!$D:$L,2,0),IFERROR(VLOOKUP($C103,INSUMOS!$A:$D,2,0),""))))</f>
        <v xml:space="preserve">FORRO EM GESSO ACARTONADO REMOVÍVEL,  PLACAS RETANGULARES (625X1250MM), COM ACABAMENTO VINILICO LISO EM UMA DAS FACES, INCLUSIVE ESTRUTURA DE FIXAÇÃO. </v>
      </c>
      <c r="E103" s="312" t="str">
        <f>IF($C103="","",IFERROR(VLOOKUP($C103,SERVIÇOS!$B:$G,3,0),IFERROR(VLOOKUP($C103,'COMPOSIÇÕES COMPLEMENTARES '!$D:$L,3,0),IFERROR(VLOOKUP($C103,INSUMOS!$A:$D,3,0),""))))</f>
        <v>M2</v>
      </c>
      <c r="F103" s="313">
        <v>187.29</v>
      </c>
      <c r="G103" s="314">
        <f>IF($C103="","",IFERROR(VLOOKUP($C103,SERVIÇOS!$B:$G,4,0),IFERROR(VLOOKUP($C103,'COMPOSIÇÕES COMPLEMENTARES '!$D:$L,6,0),IFERROR(VLOOKUP($C103,INSUMOS!$A:$D,4,0),""))))</f>
        <v>70.319999999999993</v>
      </c>
      <c r="H103" s="314">
        <f>IF($C103="","",IFERROR(VLOOKUP($C103,SERVIÇOS!$B:$G,5,0),IFERROR(VLOOKUP($C103,'COMPOSIÇÕES COMPLEMENTARES '!$D:$L,7,0),0)))</f>
        <v>11.4</v>
      </c>
      <c r="I103" s="314">
        <f t="shared" si="8"/>
        <v>81.72</v>
      </c>
      <c r="J103" s="314">
        <f t="shared" si="9"/>
        <v>13170.23</v>
      </c>
      <c r="K103" s="314">
        <f t="shared" si="10"/>
        <v>2135.1</v>
      </c>
      <c r="L103" s="948">
        <f t="shared" si="11"/>
        <v>15305.33</v>
      </c>
      <c r="M103" s="374">
        <f t="shared" si="12"/>
        <v>3951065.2399999998</v>
      </c>
      <c r="N103" s="375">
        <f>+M103/L$815</f>
        <v>0.69959548820878259</v>
      </c>
      <c r="O103" s="376" t="str">
        <f>IF(N103&lt;0.5,"A",IF(N103&gt;0.8,"C","B"))</f>
        <v>B</v>
      </c>
    </row>
    <row r="104" spans="1:15" x14ac:dyDescent="0.25">
      <c r="A104" s="232">
        <f t="shared" si="7"/>
        <v>104</v>
      </c>
      <c r="B104" s="232"/>
      <c r="C104" s="310" t="s">
        <v>12186</v>
      </c>
      <c r="D104" s="373" t="str">
        <f>IF($C104="","",IFERROR(VLOOKUP($C104,SERVIÇOS!$B:$G,2,0),IFERROR(VLOOKUP($C104,'COMPOSIÇÕES COMPLEMENTARES '!$D:$L,2,0),IFERROR(VLOOKUP($C104,INSUMOS!$A:$D,2,0),""))))</f>
        <v>CONDUTOR DE COBRE FLEX. ISOL. 1KV - 90º - #95MM² - AFUMEX</v>
      </c>
      <c r="E104" s="312" t="str">
        <f>IF($C104="","",IFERROR(VLOOKUP($C104,SERVIÇOS!$B:$G,3,0),IFERROR(VLOOKUP($C104,'COMPOSIÇÕES COMPLEMENTARES '!$D:$L,3,0),IFERROR(VLOOKUP($C104,INSUMOS!$A:$D,3,0),""))))</f>
        <v>M</v>
      </c>
      <c r="F104" s="313">
        <v>160</v>
      </c>
      <c r="G104" s="314">
        <f>IF($C104="","",IFERROR(VLOOKUP($C104,SERVIÇOS!$B:$G,4,0),IFERROR(VLOOKUP($C104,'COMPOSIÇÕES COMPLEMENTARES '!$D:$L,6,0),IFERROR(VLOOKUP($C104,INSUMOS!$A:$D,4,0),""))))</f>
        <v>85.88</v>
      </c>
      <c r="H104" s="314">
        <f>IF($C104="","",IFERROR(VLOOKUP($C104,SERVIÇOS!$B:$G,5,0),IFERROR(VLOOKUP($C104,'COMPOSIÇÕES COMPLEMENTARES '!$D:$L,7,0),0)))</f>
        <v>6.33</v>
      </c>
      <c r="I104" s="314">
        <f t="shared" si="8"/>
        <v>92.21</v>
      </c>
      <c r="J104" s="314">
        <f t="shared" si="9"/>
        <v>13740.8</v>
      </c>
      <c r="K104" s="314">
        <f t="shared" si="10"/>
        <v>1012.8</v>
      </c>
      <c r="L104" s="948">
        <f t="shared" si="11"/>
        <v>14753.6</v>
      </c>
      <c r="M104" s="374">
        <f t="shared" si="12"/>
        <v>3965818.84</v>
      </c>
      <c r="N104" s="375">
        <f>+M104/L$815</f>
        <v>0.70220783484642935</v>
      </c>
      <c r="O104" s="376" t="str">
        <f>IF(N104&lt;0.5,"A",IF(N104&gt;0.8,"C","B"))</f>
        <v>B</v>
      </c>
    </row>
    <row r="105" spans="1:15" x14ac:dyDescent="0.25">
      <c r="A105" s="232">
        <f t="shared" si="7"/>
        <v>105</v>
      </c>
      <c r="B105" s="232"/>
      <c r="C105" s="310" t="s">
        <v>12006</v>
      </c>
      <c r="D105" s="373" t="str">
        <f>IF($C105="","",IFERROR(VLOOKUP($C105,SERVIÇOS!$B:$G,2,0),IFERROR(VLOOKUP($C105,'COMPOSIÇÕES COMPLEMENTARES '!$D:$L,2,0),IFERROR(VLOOKUP($C105,INSUMOS!$A:$D,2,0),""))))</f>
        <v>INSTALAÇÃO DE ISOLAMENTO DE LÃ DE ROCHA EM DRYWALL</v>
      </c>
      <c r="E105" s="312" t="str">
        <f>IF($C105="","",IFERROR(VLOOKUP($C105,SERVIÇOS!$B:$G,3,0),IFERROR(VLOOKUP($C105,'COMPOSIÇÕES COMPLEMENTARES '!$D:$L,3,0),IFERROR(VLOOKUP($C105,INSUMOS!$A:$D,3,0),""))))</f>
        <v>M2</v>
      </c>
      <c r="F105" s="313">
        <v>513.42999999999995</v>
      </c>
      <c r="G105" s="314">
        <f>IF($C105="","",IFERROR(VLOOKUP($C105,SERVIÇOS!$B:$G,4,0),IFERROR(VLOOKUP($C105,'COMPOSIÇÕES COMPLEMENTARES '!$D:$L,6,0),IFERROR(VLOOKUP($C105,INSUMOS!$A:$D,4,0),""))))</f>
        <v>26.63</v>
      </c>
      <c r="H105" s="314">
        <f>IF($C105="","",IFERROR(VLOOKUP($C105,SERVIÇOS!$B:$G,5,0),IFERROR(VLOOKUP($C105,'COMPOSIÇÕES COMPLEMENTARES '!$D:$L,7,0),0)))</f>
        <v>1.97</v>
      </c>
      <c r="I105" s="314">
        <f t="shared" si="8"/>
        <v>28.599999999999998</v>
      </c>
      <c r="J105" s="314">
        <f t="shared" si="9"/>
        <v>13672.64</v>
      </c>
      <c r="K105" s="314">
        <f t="shared" si="10"/>
        <v>1011.45</v>
      </c>
      <c r="L105" s="948">
        <f t="shared" si="11"/>
        <v>14684.09</v>
      </c>
      <c r="M105" s="374">
        <f t="shared" si="12"/>
        <v>3980502.9299999997</v>
      </c>
      <c r="N105" s="375">
        <f>+M105/L$815</f>
        <v>0.70480787369378883</v>
      </c>
      <c r="O105" s="376" t="str">
        <f>IF(N105&lt;0.5,"A",IF(N105&gt;0.8,"C","B"))</f>
        <v>B</v>
      </c>
    </row>
    <row r="106" spans="1:15" ht="25.5" x14ac:dyDescent="0.25">
      <c r="A106" s="232">
        <f t="shared" si="7"/>
        <v>106</v>
      </c>
      <c r="B106" s="232"/>
      <c r="C106" s="310">
        <v>100674</v>
      </c>
      <c r="D106" s="373" t="str">
        <f>IF($C106="","",IFERROR(VLOOKUP($C106,SERVIÇOS!$B:$G,2,0),IFERROR(VLOOKUP($C106,'COMPOSIÇÕES COMPLEMENTARES '!$D:$L,2,0),IFERROR(VLOOKUP($C106,INSUMOS!$A:$D,2,0),""))))</f>
        <v>CAIXILHO FIXO DE ALUMÍNIO PARA VIDRO (VIDRO INCLUSO), BATENTE/ REQUADRO DE 4 A 14 CM, SEM GUARNIÇÃO/ ALIZAR, FIXAÇÃO COM PARAFUSOS, VEDAÇÃO COM SILICONE, EXCLUSIVE CONTRAMARCO - FORNECIMENTO E INSTALAÇÃO. AF_11/2024</v>
      </c>
      <c r="E106" s="312" t="str">
        <f>IF($C106="","",IFERROR(VLOOKUP($C106,SERVIÇOS!$B:$G,3,0),IFERROR(VLOOKUP($C106,'COMPOSIÇÕES COMPLEMENTARES '!$D:$L,3,0),IFERROR(VLOOKUP($C106,INSUMOS!$A:$D,3,0),""))))</f>
        <v>M2</v>
      </c>
      <c r="F106" s="313">
        <v>10.199999999999999</v>
      </c>
      <c r="G106" s="314">
        <f>IF($C106="","",IFERROR(VLOOKUP($C106,SERVIÇOS!$B:$G,4,0),IFERROR(VLOOKUP($C106,'COMPOSIÇÕES COMPLEMENTARES '!$D:$L,6,0),IFERROR(VLOOKUP($C106,INSUMOS!$A:$D,4,0),""))))</f>
        <v>1401.22</v>
      </c>
      <c r="H106" s="314">
        <f>IF($C106="","",IFERROR(VLOOKUP($C106,SERVIÇOS!$B:$G,5,0),IFERROR(VLOOKUP($C106,'COMPOSIÇÕES COMPLEMENTARES '!$D:$L,7,0),0)))</f>
        <v>27.72</v>
      </c>
      <c r="I106" s="314">
        <f t="shared" si="8"/>
        <v>1428.94</v>
      </c>
      <c r="J106" s="314">
        <f t="shared" si="9"/>
        <v>14292.44</v>
      </c>
      <c r="K106" s="314">
        <f t="shared" si="10"/>
        <v>282.74</v>
      </c>
      <c r="L106" s="948">
        <f t="shared" si="11"/>
        <v>14575.18</v>
      </c>
      <c r="M106" s="374">
        <f t="shared" si="12"/>
        <v>3995078.11</v>
      </c>
      <c r="N106" s="375">
        <f>+M106/L$815</f>
        <v>0.70738862838864947</v>
      </c>
      <c r="O106" s="376" t="str">
        <f>IF(N106&lt;0.5,"A",IF(N106&gt;0.8,"C","B"))</f>
        <v>B</v>
      </c>
    </row>
    <row r="107" spans="1:15" x14ac:dyDescent="0.25">
      <c r="A107" s="232">
        <f t="shared" si="7"/>
        <v>107</v>
      </c>
      <c r="B107" s="232"/>
      <c r="C107" s="310">
        <v>94231</v>
      </c>
      <c r="D107" s="373" t="str">
        <f>IF($C107="","",IFERROR(VLOOKUP($C107,SERVIÇOS!$B:$G,2,0),IFERROR(VLOOKUP($C107,'COMPOSIÇÕES COMPLEMENTARES '!$D:$L,2,0),IFERROR(VLOOKUP($C107,INSUMOS!$A:$D,2,0),""))))</f>
        <v>RUFO EM CHAPA DE AÇO GALVANIZADO NÚMERO 24, CORTE DE 25 CM, INCLUSO TRANSPORTE VERTICAL. AF_07/2019</v>
      </c>
      <c r="E107" s="312" t="str">
        <f>IF($C107="","",IFERROR(VLOOKUP($C107,SERVIÇOS!$B:$G,3,0),IFERROR(VLOOKUP($C107,'COMPOSIÇÕES COMPLEMENTARES '!$D:$L,3,0),IFERROR(VLOOKUP($C107,INSUMOS!$A:$D,3,0),""))))</f>
        <v>M</v>
      </c>
      <c r="F107" s="313">
        <v>280.91000000000003</v>
      </c>
      <c r="G107" s="314">
        <f>IF($C107="","",IFERROR(VLOOKUP($C107,SERVIÇOS!$B:$G,4,0),IFERROR(VLOOKUP($C107,'COMPOSIÇÕES COMPLEMENTARES '!$D:$L,6,0),IFERROR(VLOOKUP($C107,INSUMOS!$A:$D,4,0),""))))</f>
        <v>43.46</v>
      </c>
      <c r="H107" s="314">
        <f>IF($C107="","",IFERROR(VLOOKUP($C107,SERVIÇOS!$B:$G,5,0),IFERROR(VLOOKUP($C107,'COMPOSIÇÕES COMPLEMENTARES '!$D:$L,7,0),0)))</f>
        <v>7.88</v>
      </c>
      <c r="I107" s="314">
        <f t="shared" si="8"/>
        <v>51.34</v>
      </c>
      <c r="J107" s="314">
        <f t="shared" si="9"/>
        <v>12208.34</v>
      </c>
      <c r="K107" s="314">
        <f t="shared" si="10"/>
        <v>2213.5700000000002</v>
      </c>
      <c r="L107" s="948">
        <f t="shared" si="11"/>
        <v>14421.91</v>
      </c>
      <c r="M107" s="374">
        <f t="shared" si="12"/>
        <v>4009500.02</v>
      </c>
      <c r="N107" s="375">
        <f>+M107/L$815</f>
        <v>0.70994224432624742</v>
      </c>
      <c r="O107" s="376" t="str">
        <f>IF(N107&lt;0.5,"A",IF(N107&gt;0.8,"C","B"))</f>
        <v>B</v>
      </c>
    </row>
    <row r="108" spans="1:15" x14ac:dyDescent="0.25">
      <c r="A108" s="232">
        <f t="shared" si="7"/>
        <v>108</v>
      </c>
      <c r="B108" s="232"/>
      <c r="C108" s="310">
        <v>96977</v>
      </c>
      <c r="D108" s="373" t="str">
        <f>IF($C108="","",IFERROR(VLOOKUP($C108,SERVIÇOS!$B:$G,2,0),IFERROR(VLOOKUP($C108,'COMPOSIÇÕES COMPLEMENTARES '!$D:$L,2,0),IFERROR(VLOOKUP($C108,INSUMOS!$A:$D,2,0),""))))</f>
        <v>CORDOALHA DE COBRE NU 50 MM², ENTERRADA - FORNECIMENTO E INSTALAÇÃO. AF_08/2023</v>
      </c>
      <c r="E108" s="312" t="str">
        <f>IF($C108="","",IFERROR(VLOOKUP($C108,SERVIÇOS!$B:$G,3,0),IFERROR(VLOOKUP($C108,'COMPOSIÇÕES COMPLEMENTARES '!$D:$L,3,0),IFERROR(VLOOKUP($C108,INSUMOS!$A:$D,3,0),""))))</f>
        <v>M</v>
      </c>
      <c r="F108" s="313">
        <v>250</v>
      </c>
      <c r="G108" s="314">
        <f>IF($C108="","",IFERROR(VLOOKUP($C108,SERVIÇOS!$B:$G,4,0),IFERROR(VLOOKUP($C108,'COMPOSIÇÕES COMPLEMENTARES '!$D:$L,6,0),IFERROR(VLOOKUP($C108,INSUMOS!$A:$D,4,0),""))))</f>
        <v>55.81</v>
      </c>
      <c r="H108" s="314">
        <f>IF($C108="","",IFERROR(VLOOKUP($C108,SERVIÇOS!$B:$G,5,0),IFERROR(VLOOKUP($C108,'COMPOSIÇÕES COMPLEMENTARES '!$D:$L,7,0),0)))</f>
        <v>1.63</v>
      </c>
      <c r="I108" s="314">
        <f t="shared" si="8"/>
        <v>57.440000000000005</v>
      </c>
      <c r="J108" s="314">
        <f t="shared" si="9"/>
        <v>13952.5</v>
      </c>
      <c r="K108" s="314">
        <f t="shared" si="10"/>
        <v>407.5</v>
      </c>
      <c r="L108" s="948">
        <f t="shared" si="11"/>
        <v>14360</v>
      </c>
      <c r="M108" s="374">
        <f t="shared" si="12"/>
        <v>4023860.02</v>
      </c>
      <c r="N108" s="375">
        <f>+M108/L$815</f>
        <v>0.7124848981677917</v>
      </c>
      <c r="O108" s="376" t="str">
        <f>IF(N108&lt;0.5,"A",IF(N108&gt;0.8,"C","B"))</f>
        <v>B</v>
      </c>
    </row>
    <row r="109" spans="1:15" x14ac:dyDescent="0.25">
      <c r="A109" s="232">
        <f t="shared" si="7"/>
        <v>109</v>
      </c>
      <c r="B109" s="232"/>
      <c r="C109" s="310" t="s">
        <v>12323</v>
      </c>
      <c r="D109" s="373" t="str">
        <f>IF($C109="","",IFERROR(VLOOKUP($C109,SERVIÇOS!$B:$G,2,0),IFERROR(VLOOKUP($C109,'COMPOSIÇÕES COMPLEMENTARES '!$D:$L,2,0),IFERROR(VLOOKUP($C109,INSUMOS!$A:$D,2,0),""))))</f>
        <v>ELETRODUTO DE PVC RÍGIDO 32 MM (1"), INCLUSO CONEXÕES - FORNECIMENTO E INSTALAÇÃO</v>
      </c>
      <c r="E109" s="312" t="str">
        <f>IF($C109="","",IFERROR(VLOOKUP($C109,SERVIÇOS!$B:$G,3,0),IFERROR(VLOOKUP($C109,'COMPOSIÇÕES COMPLEMENTARES '!$D:$L,3,0),IFERROR(VLOOKUP($C109,INSUMOS!$A:$D,3,0),""))))</f>
        <v>M</v>
      </c>
      <c r="F109" s="313">
        <v>464</v>
      </c>
      <c r="G109" s="314">
        <f>IF($C109="","",IFERROR(VLOOKUP($C109,SERVIÇOS!$B:$G,4,0),IFERROR(VLOOKUP($C109,'COMPOSIÇÕES COMPLEMENTARES '!$D:$L,6,0),IFERROR(VLOOKUP($C109,INSUMOS!$A:$D,4,0),""))))</f>
        <v>20.02</v>
      </c>
      <c r="H109" s="314">
        <f>IF($C109="","",IFERROR(VLOOKUP($C109,SERVIÇOS!$B:$G,5,0),IFERROR(VLOOKUP($C109,'COMPOSIÇÕES COMPLEMENTARES '!$D:$L,7,0),0)))</f>
        <v>10.89</v>
      </c>
      <c r="I109" s="314">
        <f t="shared" si="8"/>
        <v>30.91</v>
      </c>
      <c r="J109" s="314">
        <f t="shared" si="9"/>
        <v>9289.2800000000007</v>
      </c>
      <c r="K109" s="314">
        <f t="shared" si="10"/>
        <v>5052.96</v>
      </c>
      <c r="L109" s="948">
        <f t="shared" si="11"/>
        <v>14342.24</v>
      </c>
      <c r="M109" s="374">
        <f t="shared" si="12"/>
        <v>4038202.2600000002</v>
      </c>
      <c r="N109" s="375">
        <f>+M109/L$815</f>
        <v>0.71502440733438999</v>
      </c>
      <c r="O109" s="376" t="str">
        <f>IF(N109&lt;0.5,"A",IF(N109&gt;0.8,"C","B"))</f>
        <v>B</v>
      </c>
    </row>
    <row r="110" spans="1:15" x14ac:dyDescent="0.25">
      <c r="A110" s="232">
        <f t="shared" si="7"/>
        <v>110</v>
      </c>
      <c r="B110" s="232"/>
      <c r="C110" s="310" t="s">
        <v>12120</v>
      </c>
      <c r="D110" s="373" t="str">
        <f>IF($C110="","",IFERROR(VLOOKUP($C110,SERVIÇOS!$B:$G,2,0),IFERROR(VLOOKUP($C110,'COMPOSIÇÕES COMPLEMENTARES '!$D:$L,2,0),IFERROR(VLOOKUP($C110,INSUMOS!$A:$D,2,0),""))))</f>
        <v>TUBO PVC, SERIE NORMAL, PARA ESGOTO PREDIAL, INCLUSO CONEXÕES,  D=100MM</v>
      </c>
      <c r="E110" s="312" t="str">
        <f>IF($C110="","",IFERROR(VLOOKUP($C110,SERVIÇOS!$B:$G,3,0),IFERROR(VLOOKUP($C110,'COMPOSIÇÕES COMPLEMENTARES '!$D:$L,3,0),IFERROR(VLOOKUP($C110,INSUMOS!$A:$D,3,0),""))))</f>
        <v>M</v>
      </c>
      <c r="F110" s="313">
        <v>144</v>
      </c>
      <c r="G110" s="314">
        <f>IF($C110="","",IFERROR(VLOOKUP($C110,SERVIÇOS!$B:$G,4,0),IFERROR(VLOOKUP($C110,'COMPOSIÇÕES COMPLEMENTARES '!$D:$L,6,0),IFERROR(VLOOKUP($C110,INSUMOS!$A:$D,4,0),""))))</f>
        <v>45.94</v>
      </c>
      <c r="H110" s="314">
        <f>IF($C110="","",IFERROR(VLOOKUP($C110,SERVIÇOS!$B:$G,5,0),IFERROR(VLOOKUP($C110,'COMPOSIÇÕES COMPLEMENTARES '!$D:$L,7,0),0)))</f>
        <v>53.46</v>
      </c>
      <c r="I110" s="314">
        <f t="shared" si="8"/>
        <v>99.4</v>
      </c>
      <c r="J110" s="314">
        <f t="shared" si="9"/>
        <v>6615.36</v>
      </c>
      <c r="K110" s="314">
        <f t="shared" si="10"/>
        <v>7698.24</v>
      </c>
      <c r="L110" s="948">
        <f t="shared" si="11"/>
        <v>14313.6</v>
      </c>
      <c r="M110" s="374">
        <f t="shared" si="12"/>
        <v>4052515.8600000003</v>
      </c>
      <c r="N110" s="375">
        <f>+M110/L$815</f>
        <v>0.71755884535850756</v>
      </c>
      <c r="O110" s="376" t="str">
        <f>IF(N110&lt;0.5,"A",IF(N110&gt;0.8,"C","B"))</f>
        <v>B</v>
      </c>
    </row>
    <row r="111" spans="1:15" ht="25.5" x14ac:dyDescent="0.25">
      <c r="A111" s="232">
        <f t="shared" si="7"/>
        <v>111</v>
      </c>
      <c r="B111" s="232"/>
      <c r="C111" s="310" t="s">
        <v>12599</v>
      </c>
      <c r="D111" s="373" t="str">
        <f>IF($C111="","",IFERROR(VLOOKUP($C111,SERVIÇOS!$B:$G,2,0),IFERROR(VLOOKUP($C111,'COMPOSIÇÕES COMPLEMENTARES '!$D:$L,2,0),IFERROR(VLOOKUP($C111,INSUMOS!$A:$D,2,0),""))))</f>
        <v>CAIXA DE FILTRAGEM TIPO BAG-IN BAG-OUT COM TROCA SEGURO, COM MOLDURA EM AÇO GALVANIZADO, FILTRAGEM HEPA H14</v>
      </c>
      <c r="E111" s="312" t="str">
        <f>IF($C111="","",IFERROR(VLOOKUP($C111,SERVIÇOS!$B:$G,3,0),IFERROR(VLOOKUP($C111,'COMPOSIÇÕES COMPLEMENTARES '!$D:$L,3,0),IFERROR(VLOOKUP($C111,INSUMOS!$A:$D,3,0),""))))</f>
        <v>UN</v>
      </c>
      <c r="F111" s="313">
        <v>1</v>
      </c>
      <c r="G111" s="314">
        <f>IF($C111="","",IFERROR(VLOOKUP($C111,SERVIÇOS!$B:$G,4,0),IFERROR(VLOOKUP($C111,'COMPOSIÇÕES COMPLEMENTARES '!$D:$L,6,0),IFERROR(VLOOKUP($C111,INSUMOS!$A:$D,4,0),""))))</f>
        <v>13917.06</v>
      </c>
      <c r="H111" s="314">
        <f>IF($C111="","",IFERROR(VLOOKUP($C111,SERVIÇOS!$B:$G,5,0),IFERROR(VLOOKUP($C111,'COMPOSIÇÕES COMPLEMENTARES '!$D:$L,7,0),0)))</f>
        <v>291.84000000000003</v>
      </c>
      <c r="I111" s="314">
        <f t="shared" si="8"/>
        <v>14208.9</v>
      </c>
      <c r="J111" s="314">
        <f t="shared" si="9"/>
        <v>13917.06</v>
      </c>
      <c r="K111" s="314">
        <f t="shared" si="10"/>
        <v>291.83999999999997</v>
      </c>
      <c r="L111" s="948">
        <f t="shared" si="11"/>
        <v>14208.9</v>
      </c>
      <c r="M111" s="374">
        <f t="shared" si="12"/>
        <v>4066724.7600000002</v>
      </c>
      <c r="N111" s="375">
        <f>+M111/L$815</f>
        <v>0.72007474467390575</v>
      </c>
      <c r="O111" s="376" t="str">
        <f>IF(N111&lt;0.5,"A",IF(N111&gt;0.8,"C","B"))</f>
        <v>B</v>
      </c>
    </row>
    <row r="112" spans="1:15" x14ac:dyDescent="0.25">
      <c r="A112" s="232">
        <f t="shared" si="7"/>
        <v>112</v>
      </c>
      <c r="B112" s="232"/>
      <c r="C112" s="310" t="s">
        <v>12221</v>
      </c>
      <c r="D112" s="373" t="str">
        <f>IF($C112="","",IFERROR(VLOOKUP($C112,SERVIÇOS!$B:$G,2,0),IFERROR(VLOOKUP($C112,'COMPOSIÇÕES COMPLEMENTARES '!$D:$L,2,0),IFERROR(VLOOKUP($C112,INSUMOS!$A:$D,2,0),""))))</f>
        <v>CABO FLEXÍVEL ISOL. 750V  -  #2,5MM² - AFUMEX</v>
      </c>
      <c r="E112" s="312" t="str">
        <f>IF($C112="","",IFERROR(VLOOKUP($C112,SERVIÇOS!$B:$G,3,0),IFERROR(VLOOKUP($C112,'COMPOSIÇÕES COMPLEMENTARES '!$D:$L,3,0),IFERROR(VLOOKUP($C112,INSUMOS!$A:$D,3,0),""))))</f>
        <v>M</v>
      </c>
      <c r="F112" s="313">
        <v>2800</v>
      </c>
      <c r="G112" s="314">
        <f>IF($C112="","",IFERROR(VLOOKUP($C112,SERVIÇOS!$B:$G,4,0),IFERROR(VLOOKUP($C112,'COMPOSIÇÕES COMPLEMENTARES '!$D:$L,6,0),IFERROR(VLOOKUP($C112,INSUMOS!$A:$D,4,0),""))))</f>
        <v>3.59</v>
      </c>
      <c r="H112" s="314">
        <f>IF($C112="","",IFERROR(VLOOKUP($C112,SERVIÇOS!$B:$G,5,0),IFERROR(VLOOKUP($C112,'COMPOSIÇÕES COMPLEMENTARES '!$D:$L,7,0),0)))</f>
        <v>1.48</v>
      </c>
      <c r="I112" s="314">
        <f t="shared" si="8"/>
        <v>5.07</v>
      </c>
      <c r="J112" s="314">
        <f t="shared" si="9"/>
        <v>10052</v>
      </c>
      <c r="K112" s="314">
        <f t="shared" si="10"/>
        <v>4144</v>
      </c>
      <c r="L112" s="948">
        <f t="shared" si="11"/>
        <v>14196</v>
      </c>
      <c r="M112" s="374">
        <f t="shared" si="12"/>
        <v>4080920.7600000002</v>
      </c>
      <c r="N112" s="375">
        <f>+M112/L$815</f>
        <v>0.72258835985040737</v>
      </c>
      <c r="O112" s="376" t="str">
        <f>IF(N112&lt;0.5,"A",IF(N112&gt;0.8,"C","B"))</f>
        <v>B</v>
      </c>
    </row>
    <row r="113" spans="1:15" ht="25.5" x14ac:dyDescent="0.25">
      <c r="A113" s="232">
        <f t="shared" si="7"/>
        <v>113</v>
      </c>
      <c r="B113" s="232"/>
      <c r="C113" s="310">
        <v>92520</v>
      </c>
      <c r="D113" s="373" t="str">
        <f>IF($C113="","",IFERROR(VLOOKUP($C113,SERVIÇOS!$B:$G,2,0),IFERROR(VLOOKUP($C113,'COMPOSIÇÕES COMPLEMENTARES '!$D:$L,2,0),IFERROR(VLOOKUP($C113,INSUMOS!$A:$D,2,0),""))))</f>
        <v>MONTAGEM E DESMONTAGEM DE FÔRMA DE LAJE MACIÇA, PÉ-DIREITO DUPLO, EM CHAPA DE MADEIRA COMPENSADA RESINADA, 8 UTILIZAÇÕES. AF_09/2020</v>
      </c>
      <c r="E113" s="312" t="str">
        <f>IF($C113="","",IFERROR(VLOOKUP($C113,SERVIÇOS!$B:$G,3,0),IFERROR(VLOOKUP($C113,'COMPOSIÇÕES COMPLEMENTARES '!$D:$L,3,0),IFERROR(VLOOKUP($C113,INSUMOS!$A:$D,3,0),""))))</f>
        <v>M2</v>
      </c>
      <c r="F113" s="313">
        <v>158.03</v>
      </c>
      <c r="G113" s="314">
        <f>IF($C113="","",IFERROR(VLOOKUP($C113,SERVIÇOS!$B:$G,4,0),IFERROR(VLOOKUP($C113,'COMPOSIÇÕES COMPLEMENTARES '!$D:$L,6,0),IFERROR(VLOOKUP($C113,INSUMOS!$A:$D,4,0),""))))</f>
        <v>59.04</v>
      </c>
      <c r="H113" s="314">
        <f>IF($C113="","",IFERROR(VLOOKUP($C113,SERVIÇOS!$B:$G,5,0),IFERROR(VLOOKUP($C113,'COMPOSIÇÕES COMPLEMENTARES '!$D:$L,7,0),0)))</f>
        <v>29.48</v>
      </c>
      <c r="I113" s="314">
        <f t="shared" si="8"/>
        <v>88.52</v>
      </c>
      <c r="J113" s="314">
        <f t="shared" si="9"/>
        <v>9330.09</v>
      </c>
      <c r="K113" s="314">
        <f t="shared" si="10"/>
        <v>4658.72</v>
      </c>
      <c r="L113" s="948">
        <f t="shared" si="11"/>
        <v>13988.81</v>
      </c>
      <c r="M113" s="374">
        <f t="shared" si="12"/>
        <v>4094909.5700000003</v>
      </c>
      <c r="N113" s="375">
        <f>+M113/L$815</f>
        <v>0.72506528892318822</v>
      </c>
      <c r="O113" s="376" t="str">
        <f>IF(N113&lt;0.5,"A",IF(N113&gt;0.8,"C","B"))</f>
        <v>B</v>
      </c>
    </row>
    <row r="114" spans="1:15" x14ac:dyDescent="0.25">
      <c r="A114" s="232">
        <f t="shared" si="7"/>
        <v>114</v>
      </c>
      <c r="B114" s="232"/>
      <c r="C114" s="310">
        <v>98557</v>
      </c>
      <c r="D114" s="373" t="str">
        <f>IF($C114="","",IFERROR(VLOOKUP($C114,SERVIÇOS!$B:$G,2,0),IFERROR(VLOOKUP($C114,'COMPOSIÇÕES COMPLEMENTARES '!$D:$L,2,0),IFERROR(VLOOKUP($C114,INSUMOS!$A:$D,2,0),""))))</f>
        <v>IMPERMEABILIZAÇÃO DE SUPERFÍCIE COM EMULSÃO ASFÁLTICA, 2 DEMÃOS. AF_09/2023</v>
      </c>
      <c r="E114" s="312" t="str">
        <f>IF($C114="","",IFERROR(VLOOKUP($C114,SERVIÇOS!$B:$G,3,0),IFERROR(VLOOKUP($C114,'COMPOSIÇÕES COMPLEMENTARES '!$D:$L,3,0),IFERROR(VLOOKUP($C114,INSUMOS!$A:$D,3,0),""))))</f>
        <v>M2</v>
      </c>
      <c r="F114" s="313">
        <v>293.8</v>
      </c>
      <c r="G114" s="314">
        <f>IF($C114="","",IFERROR(VLOOKUP($C114,SERVIÇOS!$B:$G,4,0),IFERROR(VLOOKUP($C114,'COMPOSIÇÕES COMPLEMENTARES '!$D:$L,6,0),IFERROR(VLOOKUP($C114,INSUMOS!$A:$D,4,0),""))))</f>
        <v>32.700000000000003</v>
      </c>
      <c r="H114" s="314">
        <f>IF($C114="","",IFERROR(VLOOKUP($C114,SERVIÇOS!$B:$G,5,0),IFERROR(VLOOKUP($C114,'COMPOSIÇÕES COMPLEMENTARES '!$D:$L,7,0),0)))</f>
        <v>13.85</v>
      </c>
      <c r="I114" s="314">
        <f t="shared" si="8"/>
        <v>46.550000000000004</v>
      </c>
      <c r="J114" s="314">
        <f t="shared" si="9"/>
        <v>9607.26</v>
      </c>
      <c r="K114" s="314">
        <f t="shared" si="10"/>
        <v>4069.13</v>
      </c>
      <c r="L114" s="948">
        <f t="shared" si="11"/>
        <v>13676.39</v>
      </c>
      <c r="M114" s="374">
        <f t="shared" si="12"/>
        <v>4108585.9600000004</v>
      </c>
      <c r="N114" s="375">
        <f>+M114/L$815</f>
        <v>0.72748689933906274</v>
      </c>
      <c r="O114" s="376" t="str">
        <f>IF(N114&lt;0.5,"A",IF(N114&gt;0.8,"C","B"))</f>
        <v>B</v>
      </c>
    </row>
    <row r="115" spans="1:15" x14ac:dyDescent="0.25">
      <c r="A115" s="232">
        <f t="shared" si="7"/>
        <v>115</v>
      </c>
      <c r="B115" s="232"/>
      <c r="C115" s="310" t="s">
        <v>11927</v>
      </c>
      <c r="D115" s="373" t="str">
        <f>IF($C115="","",IFERROR(VLOOKUP($C115,SERVIÇOS!$B:$G,2,0),IFERROR(VLOOKUP($C115,'COMPOSIÇÕES COMPLEMENTARES '!$D:$L,2,0),IFERROR(VLOOKUP($C115,INSUMOS!$A:$D,2,0),""))))</f>
        <v xml:space="preserve">CONCRETO USINADO BOMBEÁVEL FCK=30MPA, SLUMP 240, INCLUSIVE LANÇAMENTO EM ESTACAS </v>
      </c>
      <c r="E115" s="312" t="str">
        <f>IF($C115="","",IFERROR(VLOOKUP($C115,SERVIÇOS!$B:$G,3,0),IFERROR(VLOOKUP($C115,'COMPOSIÇÕES COMPLEMENTARES '!$D:$L,3,0),IFERROR(VLOOKUP($C115,INSUMOS!$A:$D,3,0),""))))</f>
        <v>M3</v>
      </c>
      <c r="F115" s="313">
        <v>24.14</v>
      </c>
      <c r="G115" s="314">
        <f>IF($C115="","",IFERROR(VLOOKUP($C115,SERVIÇOS!$B:$G,4,0),IFERROR(VLOOKUP($C115,'COMPOSIÇÕES COMPLEMENTARES '!$D:$L,6,0),IFERROR(VLOOKUP($C115,INSUMOS!$A:$D,4,0),""))))</f>
        <v>559.38</v>
      </c>
      <c r="H115" s="314">
        <f>IF($C115="","",IFERROR(VLOOKUP($C115,SERVIÇOS!$B:$G,5,0),IFERROR(VLOOKUP($C115,'COMPOSIÇÕES COMPLEMENTARES '!$D:$L,7,0),0)))</f>
        <v>0</v>
      </c>
      <c r="I115" s="314">
        <f t="shared" si="8"/>
        <v>559.38</v>
      </c>
      <c r="J115" s="314">
        <f t="shared" si="9"/>
        <v>13503.43</v>
      </c>
      <c r="K115" s="314">
        <f t="shared" si="10"/>
        <v>0</v>
      </c>
      <c r="L115" s="948">
        <f t="shared" si="11"/>
        <v>13503.43</v>
      </c>
      <c r="M115" s="374">
        <f t="shared" si="12"/>
        <v>4122089.3900000006</v>
      </c>
      <c r="N115" s="375">
        <f>+M115/L$815</f>
        <v>0.72987788458721914</v>
      </c>
      <c r="O115" s="376" t="str">
        <f>IF(N115&lt;0.5,"A",IF(N115&gt;0.8,"C","B"))</f>
        <v>B</v>
      </c>
    </row>
    <row r="116" spans="1:15" ht="25.5" x14ac:dyDescent="0.25">
      <c r="A116" s="232">
        <f t="shared" si="7"/>
        <v>116</v>
      </c>
      <c r="B116" s="232"/>
      <c r="C116" s="310">
        <v>89480</v>
      </c>
      <c r="D116" s="373" t="str">
        <f>IF($C116="","",IFERROR(VLOOKUP($C116,SERVIÇOS!$B:$G,2,0),IFERROR(VLOOKUP($C116,'COMPOSIÇÕES COMPLEMENTARES '!$D:$L,2,0),IFERROR(VLOOKUP($C116,INSUMOS!$A:$D,2,0),""))))</f>
        <v>ALVENARIA DE BLOCOS DE CONCRETO ESTRUTURAL 14X19X29 CM (ESPESSURA 14 CM), FBK = 14 MPA, UTILIZANDO COLHER DE PEDREIRO. AF_10/2022</v>
      </c>
      <c r="E116" s="312" t="str">
        <f>IF($C116="","",IFERROR(VLOOKUP($C116,SERVIÇOS!$B:$G,3,0),IFERROR(VLOOKUP($C116,'COMPOSIÇÕES COMPLEMENTARES '!$D:$L,3,0),IFERROR(VLOOKUP($C116,INSUMOS!$A:$D,3,0),""))))</f>
        <v>M2</v>
      </c>
      <c r="F116" s="313">
        <v>81.89</v>
      </c>
      <c r="G116" s="314">
        <f>IF($C116="","",IFERROR(VLOOKUP($C116,SERVIÇOS!$B:$G,4,0),IFERROR(VLOOKUP($C116,'COMPOSIÇÕES COMPLEMENTARES '!$D:$L,6,0),IFERROR(VLOOKUP($C116,INSUMOS!$A:$D,4,0),""))))</f>
        <v>104.84</v>
      </c>
      <c r="H116" s="314">
        <f>IF($C116="","",IFERROR(VLOOKUP($C116,SERVIÇOS!$B:$G,5,0),IFERROR(VLOOKUP($C116,'COMPOSIÇÕES COMPLEMENTARES '!$D:$L,7,0),0)))</f>
        <v>55.07</v>
      </c>
      <c r="I116" s="314">
        <f t="shared" si="8"/>
        <v>159.91</v>
      </c>
      <c r="J116" s="314">
        <f t="shared" si="9"/>
        <v>8585.34</v>
      </c>
      <c r="K116" s="314">
        <f t="shared" si="10"/>
        <v>4509.68</v>
      </c>
      <c r="L116" s="948">
        <f t="shared" si="11"/>
        <v>13095.02</v>
      </c>
      <c r="M116" s="374">
        <f t="shared" si="12"/>
        <v>4135184.4100000006</v>
      </c>
      <c r="N116" s="375">
        <f>+M116/L$815</f>
        <v>0.73219655470616751</v>
      </c>
      <c r="O116" s="376" t="str">
        <f>IF(N116&lt;0.5,"A",IF(N116&gt;0.8,"C","B"))</f>
        <v>B</v>
      </c>
    </row>
    <row r="117" spans="1:15" ht="25.5" x14ac:dyDescent="0.25">
      <c r="A117" s="232">
        <f t="shared" si="7"/>
        <v>117</v>
      </c>
      <c r="B117" s="232"/>
      <c r="C117" s="310">
        <v>100981</v>
      </c>
      <c r="D117" s="373" t="str">
        <f>IF($C117="","",IFERROR(VLOOKUP($C117,SERVIÇOS!$B:$G,2,0),IFERROR(VLOOKUP($C117,'COMPOSIÇÕES COMPLEMENTARES '!$D:$L,2,0),IFERROR(VLOOKUP($C117,INSUMOS!$A:$D,2,0),""))))</f>
        <v>CARGA, MANOBRA E DESCARGA DE ENTULHO EM CAMINHÃO BASCULANTE 6 M³ - CARGA COM ESCAVADEIRA HIDRÁULICA  (CAÇAMBA DE 0,80 M³ / 111 HP) E DESCARGA LIVRE (UNIDADE: M3). AF_07/2020</v>
      </c>
      <c r="E117" s="312" t="str">
        <f>IF($C117="","",IFERROR(VLOOKUP($C117,SERVIÇOS!$B:$G,3,0),IFERROR(VLOOKUP($C117,'COMPOSIÇÕES COMPLEMENTARES '!$D:$L,3,0),IFERROR(VLOOKUP($C117,INSUMOS!$A:$D,3,0),""))))</f>
        <v>M3</v>
      </c>
      <c r="F117" s="313">
        <v>1279.7</v>
      </c>
      <c r="G117" s="314">
        <f>IF($C117="","",IFERROR(VLOOKUP($C117,SERVIÇOS!$B:$G,4,0),IFERROR(VLOOKUP($C117,'COMPOSIÇÕES COMPLEMENTARES '!$D:$L,6,0),IFERROR(VLOOKUP($C117,INSUMOS!$A:$D,4,0),""))))</f>
        <v>8.24</v>
      </c>
      <c r="H117" s="314">
        <f>IF($C117="","",IFERROR(VLOOKUP($C117,SERVIÇOS!$B:$G,5,0),IFERROR(VLOOKUP($C117,'COMPOSIÇÕES COMPLEMENTARES '!$D:$L,7,0),0)))</f>
        <v>1.99</v>
      </c>
      <c r="I117" s="314">
        <f t="shared" si="8"/>
        <v>10.23</v>
      </c>
      <c r="J117" s="314">
        <f t="shared" si="9"/>
        <v>10544.72</v>
      </c>
      <c r="K117" s="314">
        <f t="shared" si="10"/>
        <v>2546.6</v>
      </c>
      <c r="L117" s="948">
        <f t="shared" si="11"/>
        <v>13091.32</v>
      </c>
      <c r="M117" s="374">
        <f t="shared" si="12"/>
        <v>4148275.7300000004</v>
      </c>
      <c r="N117" s="375">
        <f>+M117/L$815</f>
        <v>0.73451456968450213</v>
      </c>
      <c r="O117" s="376" t="str">
        <f>IF(N117&lt;0.5,"A",IF(N117&gt;0.8,"C","B"))</f>
        <v>B</v>
      </c>
    </row>
    <row r="118" spans="1:15" x14ac:dyDescent="0.25">
      <c r="A118" s="232">
        <f t="shared" si="7"/>
        <v>118</v>
      </c>
      <c r="B118" s="232"/>
      <c r="C118" s="310" t="s">
        <v>11940</v>
      </c>
      <c r="D118" s="373" t="str">
        <f>IF($C118="","",IFERROR(VLOOKUP($C118,SERVIÇOS!$B:$G,2,0),IFERROR(VLOOKUP($C118,'COMPOSIÇÕES COMPLEMENTARES '!$D:$L,2,0),IFERROR(VLOOKUP($C118,INSUMOS!$A:$D,2,0),""))))</f>
        <v>CONCRETO USINADO BOMBEADO FCK=30MPA, BOMBEADO, LANÇADO E ADENSADO EM SUPERESTRUTURA</v>
      </c>
      <c r="E118" s="312" t="str">
        <f>IF($C118="","",IFERROR(VLOOKUP($C118,SERVIÇOS!$B:$G,3,0),IFERROR(VLOOKUP($C118,'COMPOSIÇÕES COMPLEMENTARES '!$D:$L,3,0),IFERROR(VLOOKUP($C118,INSUMOS!$A:$D,3,0),""))))</f>
        <v>M3</v>
      </c>
      <c r="F118" s="313">
        <v>21.88</v>
      </c>
      <c r="G118" s="314">
        <f>IF($C118="","",IFERROR(VLOOKUP($C118,SERVIÇOS!$B:$G,4,0),IFERROR(VLOOKUP($C118,'COMPOSIÇÕES COMPLEMENTARES '!$D:$L,6,0),IFERROR(VLOOKUP($C118,INSUMOS!$A:$D,4,0),""))))</f>
        <v>534.25</v>
      </c>
      <c r="H118" s="314">
        <f>IF($C118="","",IFERROR(VLOOKUP($C118,SERVIÇOS!$B:$G,5,0),IFERROR(VLOOKUP($C118,'COMPOSIÇÕES COMPLEMENTARES '!$D:$L,7,0),0)))</f>
        <v>38.56</v>
      </c>
      <c r="I118" s="314">
        <f t="shared" si="8"/>
        <v>572.80999999999995</v>
      </c>
      <c r="J118" s="314">
        <f t="shared" si="9"/>
        <v>11689.39</v>
      </c>
      <c r="K118" s="314">
        <f t="shared" si="10"/>
        <v>843.69</v>
      </c>
      <c r="L118" s="948">
        <f t="shared" si="11"/>
        <v>12533.08</v>
      </c>
      <c r="M118" s="374">
        <f t="shared" si="12"/>
        <v>4160808.8100000005</v>
      </c>
      <c r="N118" s="375">
        <f>+M118/L$815</f>
        <v>0.73673373988007196</v>
      </c>
      <c r="O118" s="376" t="str">
        <f>IF(N118&lt;0.5,"A",IF(N118&gt;0.8,"C","B"))</f>
        <v>B</v>
      </c>
    </row>
    <row r="119" spans="1:15" ht="25.5" x14ac:dyDescent="0.25">
      <c r="A119" s="232">
        <f t="shared" si="7"/>
        <v>119</v>
      </c>
      <c r="B119" s="232"/>
      <c r="C119" s="310" t="s">
        <v>12557</v>
      </c>
      <c r="D119" s="373" t="str">
        <f>IF($C119="","",IFERROR(VLOOKUP($C119,SERVIÇOS!$B:$G,2,0),IFERROR(VLOOKUP($C119,'COMPOSIÇÕES COMPLEMENTARES '!$D:$L,2,0),IFERROR(VLOOKUP($C119,INSUMOS!$A:$D,2,0),""))))</f>
        <v>EXECUÇÃO DE SANITÁRIO EM ALVENARIA DE BLOCO DE CONCRETO PARA CANTEIRO DE OBRA, NÃO INCLUSO MOBILIÁRIO, CONFORME DETALHE DE PROJETO</v>
      </c>
      <c r="E119" s="312" t="str">
        <f>IF($C119="","",IFERROR(VLOOKUP($C119,SERVIÇOS!$B:$G,3,0),IFERROR(VLOOKUP($C119,'COMPOSIÇÕES COMPLEMENTARES '!$D:$L,3,0),IFERROR(VLOOKUP($C119,INSUMOS!$A:$D,3,0),""))))</f>
        <v>M2</v>
      </c>
      <c r="F119" s="313">
        <v>10.199999999999999</v>
      </c>
      <c r="G119" s="314">
        <f>IF($C119="","",IFERROR(VLOOKUP($C119,SERVIÇOS!$B:$G,4,0),IFERROR(VLOOKUP($C119,'COMPOSIÇÕES COMPLEMENTARES '!$D:$L,6,0),IFERROR(VLOOKUP($C119,INSUMOS!$A:$D,4,0),""))))</f>
        <v>973.67</v>
      </c>
      <c r="H119" s="314">
        <f>IF($C119="","",IFERROR(VLOOKUP($C119,SERVIÇOS!$B:$G,5,0),IFERROR(VLOOKUP($C119,'COMPOSIÇÕES COMPLEMENTARES '!$D:$L,7,0),0)))</f>
        <v>249.41</v>
      </c>
      <c r="I119" s="314">
        <f t="shared" si="8"/>
        <v>1223.08</v>
      </c>
      <c r="J119" s="314">
        <f t="shared" si="9"/>
        <v>9931.43</v>
      </c>
      <c r="K119" s="314">
        <f t="shared" si="10"/>
        <v>2543.98</v>
      </c>
      <c r="L119" s="948">
        <f t="shared" si="11"/>
        <v>12475.41</v>
      </c>
      <c r="M119" s="374">
        <f t="shared" si="12"/>
        <v>4173284.2200000007</v>
      </c>
      <c r="N119" s="375">
        <f>+M119/L$815</f>
        <v>0.73894269873531848</v>
      </c>
      <c r="O119" s="376" t="str">
        <f>IF(N119&lt;0.5,"A",IF(N119&gt;0.8,"C","B"))</f>
        <v>B</v>
      </c>
    </row>
    <row r="120" spans="1:15" x14ac:dyDescent="0.25">
      <c r="A120" s="232">
        <f t="shared" si="7"/>
        <v>120</v>
      </c>
      <c r="B120" s="232"/>
      <c r="C120" s="310" t="s">
        <v>11947</v>
      </c>
      <c r="D120" s="373" t="str">
        <f>IF($C120="","",IFERROR(VLOOKUP($C120,SERVIÇOS!$B:$G,2,0),IFERROR(VLOOKUP($C120,'COMPOSIÇÕES COMPLEMENTARES '!$D:$L,2,0),IFERROR(VLOOKUP($C120,INSUMOS!$A:$D,2,0),""))))</f>
        <v>TELA SOLDADA DE AÇO TIPO Q-92</v>
      </c>
      <c r="E120" s="312" t="str">
        <f>IF($C120="","",IFERROR(VLOOKUP($C120,SERVIÇOS!$B:$G,3,0),IFERROR(VLOOKUP($C120,'COMPOSIÇÕES COMPLEMENTARES '!$D:$L,3,0),IFERROR(VLOOKUP($C120,INSUMOS!$A:$D,3,0),""))))</f>
        <v xml:space="preserve">KG    </v>
      </c>
      <c r="F120" s="313">
        <v>989</v>
      </c>
      <c r="G120" s="314">
        <f>IF($C120="","",IFERROR(VLOOKUP($C120,SERVIÇOS!$B:$G,4,0),IFERROR(VLOOKUP($C120,'COMPOSIÇÕES COMPLEMENTARES '!$D:$L,6,0),IFERROR(VLOOKUP($C120,INSUMOS!$A:$D,4,0),""))))</f>
        <v>11.05</v>
      </c>
      <c r="H120" s="314">
        <f>IF($C120="","",IFERROR(VLOOKUP($C120,SERVIÇOS!$B:$G,5,0),IFERROR(VLOOKUP($C120,'COMPOSIÇÕES COMPLEMENTARES '!$D:$L,7,0),0)))</f>
        <v>1.49</v>
      </c>
      <c r="I120" s="314">
        <f t="shared" si="8"/>
        <v>12.540000000000001</v>
      </c>
      <c r="J120" s="314">
        <f t="shared" si="9"/>
        <v>10928.45</v>
      </c>
      <c r="K120" s="314">
        <f t="shared" si="10"/>
        <v>1473.61</v>
      </c>
      <c r="L120" s="948">
        <f t="shared" si="11"/>
        <v>12402.06</v>
      </c>
      <c r="M120" s="374">
        <f t="shared" si="12"/>
        <v>4185686.2800000007</v>
      </c>
      <c r="N120" s="375">
        <f>+M120/L$815</f>
        <v>0.74113866987055965</v>
      </c>
      <c r="O120" s="376" t="str">
        <f>IF(N120&lt;0.5,"A",IF(N120&gt;0.8,"C","B"))</f>
        <v>B</v>
      </c>
    </row>
    <row r="121" spans="1:15" x14ac:dyDescent="0.25">
      <c r="A121" s="232">
        <f t="shared" si="7"/>
        <v>121</v>
      </c>
      <c r="B121" s="232"/>
      <c r="C121" s="310" t="s">
        <v>12215</v>
      </c>
      <c r="D121" s="373" t="str">
        <f>IF($C121="","",IFERROR(VLOOKUP($C121,SERVIÇOS!$B:$G,2,0),IFERROR(VLOOKUP($C121,'COMPOSIÇÕES COMPLEMENTARES '!$D:$L,2,0),IFERROR(VLOOKUP($C121,INSUMOS!$A:$D,2,0),""))))</f>
        <v>PERFILADO PERFURADO COM TAMPA 38X38X6000MM CHAPA 18, INCLUSO CONEXÕES E FIXAÇÕES</v>
      </c>
      <c r="E121" s="312" t="str">
        <f>IF($C121="","",IFERROR(VLOOKUP($C121,SERVIÇOS!$B:$G,3,0),IFERROR(VLOOKUP($C121,'COMPOSIÇÕES COMPLEMENTARES '!$D:$L,3,0),IFERROR(VLOOKUP($C121,INSUMOS!$A:$D,3,0),""))))</f>
        <v>M</v>
      </c>
      <c r="F121" s="313">
        <v>132</v>
      </c>
      <c r="G121" s="314">
        <f>IF($C121="","",IFERROR(VLOOKUP($C121,SERVIÇOS!$B:$G,4,0),IFERROR(VLOOKUP($C121,'COMPOSIÇÕES COMPLEMENTARES '!$D:$L,6,0),IFERROR(VLOOKUP($C121,INSUMOS!$A:$D,4,0),""))))</f>
        <v>61.76</v>
      </c>
      <c r="H121" s="314">
        <f>IF($C121="","",IFERROR(VLOOKUP($C121,SERVIÇOS!$B:$G,5,0),IFERROR(VLOOKUP($C121,'COMPOSIÇÕES COMPLEMENTARES '!$D:$L,7,0),0)))</f>
        <v>31.6</v>
      </c>
      <c r="I121" s="314">
        <f t="shared" si="8"/>
        <v>93.36</v>
      </c>
      <c r="J121" s="314">
        <f t="shared" si="9"/>
        <v>8152.32</v>
      </c>
      <c r="K121" s="314">
        <f t="shared" si="10"/>
        <v>4171.2</v>
      </c>
      <c r="L121" s="948">
        <f t="shared" si="11"/>
        <v>12323.52</v>
      </c>
      <c r="M121" s="374">
        <f t="shared" si="12"/>
        <v>4198009.8000000007</v>
      </c>
      <c r="N121" s="375">
        <f>+M121/L$815</f>
        <v>0.74332073431828583</v>
      </c>
      <c r="O121" s="376" t="str">
        <f>IF(N121&lt;0.5,"A",IF(N121&gt;0.8,"C","B"))</f>
        <v>B</v>
      </c>
    </row>
    <row r="122" spans="1:15" x14ac:dyDescent="0.25">
      <c r="A122" s="232">
        <f t="shared" si="7"/>
        <v>122</v>
      </c>
      <c r="B122" s="232"/>
      <c r="C122" s="310" t="s">
        <v>12152</v>
      </c>
      <c r="D122" s="373" t="str">
        <f>IF($C122="","",IFERROR(VLOOKUP($C122,SERVIÇOS!$B:$G,2,0),IFERROR(VLOOKUP($C122,'COMPOSIÇÕES COMPLEMENTARES '!$D:$L,2,0),IFERROR(VLOOKUP($C122,INSUMOS!$A:$D,2,0),""))))</f>
        <v xml:space="preserve">TUBO DE PVC, SÉRIE NORMAL, PARA ÁGUAS PLUVIAIS, INCLUSO CONEXÕES - D= 200MM </v>
      </c>
      <c r="E122" s="312" t="str">
        <f>IF($C122="","",IFERROR(VLOOKUP($C122,SERVIÇOS!$B:$G,3,0),IFERROR(VLOOKUP($C122,'COMPOSIÇÕES COMPLEMENTARES '!$D:$L,3,0),IFERROR(VLOOKUP($C122,INSUMOS!$A:$D,3,0),""))))</f>
        <v>M</v>
      </c>
      <c r="F122" s="313">
        <v>55</v>
      </c>
      <c r="G122" s="314">
        <f>IF($C122="","",IFERROR(VLOOKUP($C122,SERVIÇOS!$B:$G,4,0),IFERROR(VLOOKUP($C122,'COMPOSIÇÕES COMPLEMENTARES '!$D:$L,6,0),IFERROR(VLOOKUP($C122,INSUMOS!$A:$D,4,0),""))))</f>
        <v>184.97</v>
      </c>
      <c r="H122" s="314">
        <f>IF($C122="","",IFERROR(VLOOKUP($C122,SERVIÇOS!$B:$G,5,0),IFERROR(VLOOKUP($C122,'COMPOSIÇÕES COMPLEMENTARES '!$D:$L,7,0),0)))</f>
        <v>34.840000000000003</v>
      </c>
      <c r="I122" s="314">
        <f t="shared" si="8"/>
        <v>219.81</v>
      </c>
      <c r="J122" s="314">
        <f t="shared" si="9"/>
        <v>10173.35</v>
      </c>
      <c r="K122" s="314">
        <f t="shared" si="10"/>
        <v>1916.2</v>
      </c>
      <c r="L122" s="948">
        <f t="shared" si="11"/>
        <v>12089.55</v>
      </c>
      <c r="M122" s="374">
        <f t="shared" si="12"/>
        <v>4210099.3500000006</v>
      </c>
      <c r="N122" s="375">
        <f>+M122/L$815</f>
        <v>0.7454613708607678</v>
      </c>
      <c r="O122" s="376" t="str">
        <f>IF(N122&lt;0.5,"A",IF(N122&gt;0.8,"C","B"))</f>
        <v>B</v>
      </c>
    </row>
    <row r="123" spans="1:15" ht="25.5" x14ac:dyDescent="0.25">
      <c r="A123" s="232">
        <f t="shared" si="7"/>
        <v>123</v>
      </c>
      <c r="B123" s="232"/>
      <c r="C123" s="310" t="s">
        <v>11959</v>
      </c>
      <c r="D123" s="373" t="str">
        <f>IF($C123="","",IFERROR(VLOOKUP($C123,SERVIÇOS!$B:$G,2,0),IFERROR(VLOOKUP($C123,'COMPOSIÇÕES COMPLEMENTARES '!$D:$L,2,0),IFERROR(VLOOKUP($C123,INSUMOS!$A:$D,2,0),""))))</f>
        <v>PAREDE COM PLACAS DE GESSO ACARTONADO (DRYWALL), E=11,5cm, COM DUAS FACES SIMPLES RESISTENTE A UMIDADE (RU/RU), ESTRUTURA METÁLICA COM GUIAS SIMPLES DE 90MM</v>
      </c>
      <c r="E123" s="312" t="str">
        <f>IF($C123="","",IFERROR(VLOOKUP($C123,SERVIÇOS!$B:$G,3,0),IFERROR(VLOOKUP($C123,'COMPOSIÇÕES COMPLEMENTARES '!$D:$L,3,0),IFERROR(VLOOKUP($C123,INSUMOS!$A:$D,3,0),""))))</f>
        <v>M2</v>
      </c>
      <c r="F123" s="313">
        <v>65.25</v>
      </c>
      <c r="G123" s="314">
        <f>IF($C123="","",IFERROR(VLOOKUP($C123,SERVIÇOS!$B:$G,4,0),IFERROR(VLOOKUP($C123,'COMPOSIÇÕES COMPLEMENTARES '!$D:$L,6,0),IFERROR(VLOOKUP($C123,INSUMOS!$A:$D,4,0),""))))</f>
        <v>178.81</v>
      </c>
      <c r="H123" s="314">
        <f>IF($C123="","",IFERROR(VLOOKUP($C123,SERVIÇOS!$B:$G,5,0),IFERROR(VLOOKUP($C123,'COMPOSIÇÕES COMPLEMENTARES '!$D:$L,7,0),0)))</f>
        <v>3.85</v>
      </c>
      <c r="I123" s="314">
        <f t="shared" si="8"/>
        <v>182.66</v>
      </c>
      <c r="J123" s="314">
        <f t="shared" si="9"/>
        <v>11667.35</v>
      </c>
      <c r="K123" s="314">
        <f t="shared" si="10"/>
        <v>251.21</v>
      </c>
      <c r="L123" s="948">
        <f t="shared" si="11"/>
        <v>11918.56</v>
      </c>
      <c r="M123" s="374">
        <f t="shared" si="12"/>
        <v>4222017.91</v>
      </c>
      <c r="N123" s="375">
        <f>+M123/L$815</f>
        <v>0.74757173105364216</v>
      </c>
      <c r="O123" s="376" t="str">
        <f>IF(N123&lt;0.5,"A",IF(N123&gt;0.8,"C","B"))</f>
        <v>B</v>
      </c>
    </row>
    <row r="124" spans="1:15" x14ac:dyDescent="0.25">
      <c r="A124" s="232">
        <f t="shared" si="7"/>
        <v>124</v>
      </c>
      <c r="B124" s="232"/>
      <c r="C124" s="310" t="s">
        <v>12560</v>
      </c>
      <c r="D124" s="373" t="str">
        <f>IF($C124="","",IFERROR(VLOOKUP($C124,SERVIÇOS!$B:$G,2,0),IFERROR(VLOOKUP($C124,'COMPOSIÇÕES COMPLEMENTARES '!$D:$L,2,0),IFERROR(VLOOKUP($C124,INSUMOS!$A:$D,2,0),""))))</f>
        <v>EXECUÇÃO DE REFEITÓRIO EM CANTEIRO DE OBRA, NÃO INCLUSO MOBILIÁRIO, CONFORME DETALHE DE PROJETO</v>
      </c>
      <c r="E124" s="312" t="str">
        <f>IF($C124="","",IFERROR(VLOOKUP($C124,SERVIÇOS!$B:$G,3,0),IFERROR(VLOOKUP($C124,'COMPOSIÇÕES COMPLEMENTARES '!$D:$L,3,0),IFERROR(VLOOKUP($C124,INSUMOS!$A:$D,3,0),""))))</f>
        <v>M2</v>
      </c>
      <c r="F124" s="313">
        <v>13.8</v>
      </c>
      <c r="G124" s="314">
        <f>IF($C124="","",IFERROR(VLOOKUP($C124,SERVIÇOS!$B:$G,4,0),IFERROR(VLOOKUP($C124,'COMPOSIÇÕES COMPLEMENTARES '!$D:$L,6,0),IFERROR(VLOOKUP($C124,INSUMOS!$A:$D,4,0),""))))</f>
        <v>726.02</v>
      </c>
      <c r="H124" s="314">
        <f>IF($C124="","",IFERROR(VLOOKUP($C124,SERVIÇOS!$B:$G,5,0),IFERROR(VLOOKUP($C124,'COMPOSIÇÕES COMPLEMENTARES '!$D:$L,7,0),0)))</f>
        <v>131.25</v>
      </c>
      <c r="I124" s="314">
        <f t="shared" si="8"/>
        <v>857.27</v>
      </c>
      <c r="J124" s="314">
        <f t="shared" si="9"/>
        <v>10019.07</v>
      </c>
      <c r="K124" s="314">
        <f t="shared" si="10"/>
        <v>1811.25</v>
      </c>
      <c r="L124" s="948">
        <f t="shared" si="11"/>
        <v>11830.32</v>
      </c>
      <c r="M124" s="374">
        <f t="shared" si="12"/>
        <v>4233848.2300000004</v>
      </c>
      <c r="N124" s="375">
        <f>+M124/L$815</f>
        <v>0.74966646702820339</v>
      </c>
      <c r="O124" s="376" t="str">
        <f>IF(N124&lt;0.5,"A",IF(N124&gt;0.8,"C","B"))</f>
        <v>B</v>
      </c>
    </row>
    <row r="125" spans="1:15" ht="25.5" x14ac:dyDescent="0.25">
      <c r="A125" s="232">
        <f t="shared" si="7"/>
        <v>125</v>
      </c>
      <c r="B125" s="232"/>
      <c r="C125" s="310" t="s">
        <v>12135</v>
      </c>
      <c r="D125" s="373" t="str">
        <f>IF($C125="","",IFERROR(VLOOKUP($C125,SERVIÇOS!$B:$G,2,0),IFERROR(VLOOKUP($C125,'COMPOSIÇÕES COMPLEMENTARES '!$D:$L,2,0),IFERROR(VLOOKUP($C125,INSUMOS!$A:$D,2,0),""))))</f>
        <v>BOCA DE LOBO SIMPLES PARA CAPTAÇÃO DE ÁGUAS PLUVIAIS, DIMENSÃO INTERNA (40X90)CM, COM GRELHA DE FERRO FUNDIDO</v>
      </c>
      <c r="E125" s="312" t="str">
        <f>IF($C125="","",IFERROR(VLOOKUP($C125,SERVIÇOS!$B:$G,3,0),IFERROR(VLOOKUP($C125,'COMPOSIÇÕES COMPLEMENTARES '!$D:$L,3,0),IFERROR(VLOOKUP($C125,INSUMOS!$A:$D,3,0),""))))</f>
        <v>UN</v>
      </c>
      <c r="F125" s="313">
        <v>6</v>
      </c>
      <c r="G125" s="314">
        <f>IF($C125="","",IFERROR(VLOOKUP($C125,SERVIÇOS!$B:$G,4,0),IFERROR(VLOOKUP($C125,'COMPOSIÇÕES COMPLEMENTARES '!$D:$L,6,0),IFERROR(VLOOKUP($C125,INSUMOS!$A:$D,4,0),""))))</f>
        <v>1310.22</v>
      </c>
      <c r="H125" s="314">
        <f>IF($C125="","",IFERROR(VLOOKUP($C125,SERVIÇOS!$B:$G,5,0),IFERROR(VLOOKUP($C125,'COMPOSIÇÕES COMPLEMENTARES '!$D:$L,7,0),0)))</f>
        <v>638.77</v>
      </c>
      <c r="I125" s="314">
        <f t="shared" si="8"/>
        <v>1948.99</v>
      </c>
      <c r="J125" s="314">
        <f t="shared" si="9"/>
        <v>7861.32</v>
      </c>
      <c r="K125" s="314">
        <f t="shared" si="10"/>
        <v>3832.62</v>
      </c>
      <c r="L125" s="948">
        <f t="shared" si="11"/>
        <v>11693.94</v>
      </c>
      <c r="M125" s="374">
        <f t="shared" si="12"/>
        <v>4245542.1700000009</v>
      </c>
      <c r="N125" s="375">
        <f>+M125/L$815</f>
        <v>0.7517370548738711</v>
      </c>
      <c r="O125" s="376" t="str">
        <f>IF(N125&lt;0.5,"A",IF(N125&gt;0.8,"C","B"))</f>
        <v>B</v>
      </c>
    </row>
    <row r="126" spans="1:15" x14ac:dyDescent="0.25">
      <c r="A126" s="232">
        <f t="shared" si="7"/>
        <v>126</v>
      </c>
      <c r="B126" s="232"/>
      <c r="C126" s="310" t="s">
        <v>12333</v>
      </c>
      <c r="D126" s="373" t="str">
        <f>IF($C126="","",IFERROR(VLOOKUP($C126,SERVIÇOS!$B:$G,2,0),IFERROR(VLOOKUP($C126,'COMPOSIÇÕES COMPLEMENTARES '!$D:$L,2,0),IFERROR(VLOOKUP($C126,INSUMOS!$A:$D,2,0),""))))</f>
        <v>BARRA CHATA DE ALUMINIO 7/8"X1/8"X3M-TEL-771</v>
      </c>
      <c r="E126" s="312" t="str">
        <f>IF($C126="","",IFERROR(VLOOKUP($C126,SERVIÇOS!$B:$G,3,0),IFERROR(VLOOKUP($C126,'COMPOSIÇÕES COMPLEMENTARES '!$D:$L,3,0),IFERROR(VLOOKUP($C126,INSUMOS!$A:$D,3,0),""))))</f>
        <v>M</v>
      </c>
      <c r="F126" s="313">
        <v>384</v>
      </c>
      <c r="G126" s="314">
        <f>IF($C126="","",IFERROR(VLOOKUP($C126,SERVIÇOS!$B:$G,4,0),IFERROR(VLOOKUP($C126,'COMPOSIÇÕES COMPLEMENTARES '!$D:$L,6,0),IFERROR(VLOOKUP($C126,INSUMOS!$A:$D,4,0),""))))</f>
        <v>13.72</v>
      </c>
      <c r="H126" s="314">
        <f>IF($C126="","",IFERROR(VLOOKUP($C126,SERVIÇOS!$B:$G,5,0),IFERROR(VLOOKUP($C126,'COMPOSIÇÕES COMPLEMENTARES '!$D:$L,7,0),0)))</f>
        <v>16.5</v>
      </c>
      <c r="I126" s="314">
        <f t="shared" si="8"/>
        <v>30.22</v>
      </c>
      <c r="J126" s="314">
        <f t="shared" si="9"/>
        <v>5268.48</v>
      </c>
      <c r="K126" s="314">
        <f t="shared" si="10"/>
        <v>6336</v>
      </c>
      <c r="L126" s="948">
        <f t="shared" si="11"/>
        <v>11604.48</v>
      </c>
      <c r="M126" s="374">
        <f t="shared" si="12"/>
        <v>4257146.6500000013</v>
      </c>
      <c r="N126" s="375">
        <f>+M126/L$815</f>
        <v>0.75379180248188815</v>
      </c>
      <c r="O126" s="376" t="str">
        <f>IF(N126&lt;0.5,"A",IF(N126&gt;0.8,"C","B"))</f>
        <v>B</v>
      </c>
    </row>
    <row r="127" spans="1:15" x14ac:dyDescent="0.25">
      <c r="A127" s="232">
        <f t="shared" si="7"/>
        <v>127</v>
      </c>
      <c r="B127" s="232"/>
      <c r="C127" s="310" t="s">
        <v>12221</v>
      </c>
      <c r="D127" s="373" t="str">
        <f>IF($C127="","",IFERROR(VLOOKUP($C127,SERVIÇOS!$B:$G,2,0),IFERROR(VLOOKUP($C127,'COMPOSIÇÕES COMPLEMENTARES '!$D:$L,2,0),IFERROR(VLOOKUP($C127,INSUMOS!$A:$D,2,0),""))))</f>
        <v>CABO FLEXÍVEL ISOL. 750V  -  #2,5MM² - AFUMEX</v>
      </c>
      <c r="E127" s="312" t="str">
        <f>IF($C127="","",IFERROR(VLOOKUP($C127,SERVIÇOS!$B:$G,3,0),IFERROR(VLOOKUP($C127,'COMPOSIÇÕES COMPLEMENTARES '!$D:$L,3,0),IFERROR(VLOOKUP($C127,INSUMOS!$A:$D,3,0),""))))</f>
        <v>M</v>
      </c>
      <c r="F127" s="313">
        <v>2200</v>
      </c>
      <c r="G127" s="314">
        <f>IF($C127="","",IFERROR(VLOOKUP($C127,SERVIÇOS!$B:$G,4,0),IFERROR(VLOOKUP($C127,'COMPOSIÇÕES COMPLEMENTARES '!$D:$L,6,0),IFERROR(VLOOKUP($C127,INSUMOS!$A:$D,4,0),""))))</f>
        <v>3.59</v>
      </c>
      <c r="H127" s="314">
        <f>IF($C127="","",IFERROR(VLOOKUP($C127,SERVIÇOS!$B:$G,5,0),IFERROR(VLOOKUP($C127,'COMPOSIÇÕES COMPLEMENTARES '!$D:$L,7,0),0)))</f>
        <v>1.48</v>
      </c>
      <c r="I127" s="314">
        <f t="shared" si="8"/>
        <v>5.07</v>
      </c>
      <c r="J127" s="314">
        <f t="shared" si="9"/>
        <v>7898</v>
      </c>
      <c r="K127" s="314">
        <f t="shared" si="10"/>
        <v>3256</v>
      </c>
      <c r="L127" s="948">
        <f t="shared" si="11"/>
        <v>11154</v>
      </c>
      <c r="M127" s="374">
        <f t="shared" si="12"/>
        <v>4268300.6500000013</v>
      </c>
      <c r="N127" s="375">
        <f>+M127/L$815</f>
        <v>0.75576678583485368</v>
      </c>
      <c r="O127" s="376" t="str">
        <f>IF(N127&lt;0.5,"A",IF(N127&gt;0.8,"C","B"))</f>
        <v>B</v>
      </c>
    </row>
    <row r="128" spans="1:15" x14ac:dyDescent="0.25">
      <c r="A128" s="232">
        <f t="shared" si="7"/>
        <v>128</v>
      </c>
      <c r="B128" s="232"/>
      <c r="C128" s="310" t="s">
        <v>12221</v>
      </c>
      <c r="D128" s="373" t="str">
        <f>IF($C128="","",IFERROR(VLOOKUP($C128,SERVIÇOS!$B:$G,2,0),IFERROR(VLOOKUP($C128,'COMPOSIÇÕES COMPLEMENTARES '!$D:$L,2,0),IFERROR(VLOOKUP($C128,INSUMOS!$A:$D,2,0),""))))</f>
        <v>CABO FLEXÍVEL ISOL. 750V  -  #2,5MM² - AFUMEX</v>
      </c>
      <c r="E128" s="312" t="str">
        <f>IF($C128="","",IFERROR(VLOOKUP($C128,SERVIÇOS!$B:$G,3,0),IFERROR(VLOOKUP($C128,'COMPOSIÇÕES COMPLEMENTARES '!$D:$L,3,0),IFERROR(VLOOKUP($C128,INSUMOS!$A:$D,3,0),""))))</f>
        <v>M</v>
      </c>
      <c r="F128" s="313">
        <v>2200</v>
      </c>
      <c r="G128" s="314">
        <f>IF($C128="","",IFERROR(VLOOKUP($C128,SERVIÇOS!$B:$G,4,0),IFERROR(VLOOKUP($C128,'COMPOSIÇÕES COMPLEMENTARES '!$D:$L,6,0),IFERROR(VLOOKUP($C128,INSUMOS!$A:$D,4,0),""))))</f>
        <v>3.59</v>
      </c>
      <c r="H128" s="314">
        <f>IF($C128="","",IFERROR(VLOOKUP($C128,SERVIÇOS!$B:$G,5,0),IFERROR(VLOOKUP($C128,'COMPOSIÇÕES COMPLEMENTARES '!$D:$L,7,0),0)))</f>
        <v>1.48</v>
      </c>
      <c r="I128" s="314">
        <f t="shared" si="8"/>
        <v>5.07</v>
      </c>
      <c r="J128" s="314">
        <f t="shared" si="9"/>
        <v>7898</v>
      </c>
      <c r="K128" s="314">
        <f t="shared" si="10"/>
        <v>3256</v>
      </c>
      <c r="L128" s="948">
        <f t="shared" si="11"/>
        <v>11154</v>
      </c>
      <c r="M128" s="374">
        <f t="shared" si="12"/>
        <v>4279454.6500000013</v>
      </c>
      <c r="N128" s="375">
        <f>+M128/L$815</f>
        <v>0.75774176918781921</v>
      </c>
      <c r="O128" s="376" t="str">
        <f>IF(N128&lt;0.5,"A",IF(N128&gt;0.8,"C","B"))</f>
        <v>B</v>
      </c>
    </row>
    <row r="129" spans="1:15" ht="25.5" x14ac:dyDescent="0.25">
      <c r="A129" s="232">
        <f t="shared" si="7"/>
        <v>129</v>
      </c>
      <c r="B129" s="232"/>
      <c r="C129" s="310">
        <v>90443</v>
      </c>
      <c r="D129" s="373" t="str">
        <f>IF($C129="","",IFERROR(VLOOKUP($C129,SERVIÇOS!$B:$G,2,0),IFERROR(VLOOKUP($C129,'COMPOSIÇÕES COMPLEMENTARES '!$D:$L,2,0),IFERROR(VLOOKUP($C129,INSUMOS!$A:$D,2,0),""))))</f>
        <v>RASGO LINEAR MANUAL EM ALVENARIA, PARA RAMAIS/ DISTRIBUIÇÃO DE INSTALAÇÕES HIDRÁULICAS, DIÂMETROS MENORES OU IGUAIS A 40 MM. AF_09/2023</v>
      </c>
      <c r="E129" s="312" t="str">
        <f>IF($C129="","",IFERROR(VLOOKUP($C129,SERVIÇOS!$B:$G,3,0),IFERROR(VLOOKUP($C129,'COMPOSIÇÕES COMPLEMENTARES '!$D:$L,3,0),IFERROR(VLOOKUP($C129,INSUMOS!$A:$D,3,0),""))))</f>
        <v>M</v>
      </c>
      <c r="F129" s="313">
        <v>1067</v>
      </c>
      <c r="G129" s="314">
        <f>IF($C129="","",IFERROR(VLOOKUP($C129,SERVIÇOS!$B:$G,4,0),IFERROR(VLOOKUP($C129,'COMPOSIÇÕES COMPLEMENTARES '!$D:$L,6,0),IFERROR(VLOOKUP($C129,INSUMOS!$A:$D,4,0),""))))</f>
        <v>2.6</v>
      </c>
      <c r="H129" s="314">
        <f>IF($C129="","",IFERROR(VLOOKUP($C129,SERVIÇOS!$B:$G,5,0),IFERROR(VLOOKUP($C129,'COMPOSIÇÕES COMPLEMENTARES '!$D:$L,7,0),0)))</f>
        <v>7.85</v>
      </c>
      <c r="I129" s="314">
        <f t="shared" si="8"/>
        <v>10.45</v>
      </c>
      <c r="J129" s="314">
        <f t="shared" si="9"/>
        <v>2774.2</v>
      </c>
      <c r="K129" s="314">
        <f t="shared" si="10"/>
        <v>8375.9500000000007</v>
      </c>
      <c r="L129" s="948">
        <f t="shared" si="11"/>
        <v>11150.15</v>
      </c>
      <c r="M129" s="374">
        <f t="shared" si="12"/>
        <v>4290604.8000000017</v>
      </c>
      <c r="N129" s="375">
        <f>+M129/L$815</f>
        <v>0.75971607084041648</v>
      </c>
      <c r="O129" s="376" t="str">
        <f>IF(N129&lt;0.5,"A",IF(N129&gt;0.8,"C","B"))</f>
        <v>B</v>
      </c>
    </row>
    <row r="130" spans="1:15" ht="25.5" x14ac:dyDescent="0.25">
      <c r="A130" s="232">
        <f t="shared" si="7"/>
        <v>130</v>
      </c>
      <c r="B130" s="232"/>
      <c r="C130" s="310" t="s">
        <v>12039</v>
      </c>
      <c r="D130" s="373" t="str">
        <f>IF($C130="","",IFERROR(VLOOKUP($C130,SERVIÇOS!$B:$G,2,0),IFERROR(VLOOKUP($C130,'COMPOSIÇÕES COMPLEMENTARES '!$D:$L,2,0),IFERROR(VLOOKUP($C130,INSUMOS!$A:$D,2,0),""))))</f>
        <v>CONJUNTO DE VIDRO (CV04) EM PERFIL DE ALUMÍNIO SERIE 45, COM PORTA DE CORRER DE VIDRO TEMPERADO LISO INCOLOR E=10MM, E FOLHAS FIXAS COM VIDRO TEMPERADO LISO INCOLOR E=10MM, DIMENSÃO 333X210CM, CONFORME PROJETO</v>
      </c>
      <c r="E130" s="312" t="str">
        <f>IF($C130="","",IFERROR(VLOOKUP($C130,SERVIÇOS!$B:$G,3,0),IFERROR(VLOOKUP($C130,'COMPOSIÇÕES COMPLEMENTARES '!$D:$L,3,0),IFERROR(VLOOKUP($C130,INSUMOS!$A:$D,3,0),""))))</f>
        <v>UN</v>
      </c>
      <c r="F130" s="313">
        <v>1</v>
      </c>
      <c r="G130" s="314">
        <f>IF($C130="","",IFERROR(VLOOKUP($C130,SERVIÇOS!$B:$G,4,0),IFERROR(VLOOKUP($C130,'COMPOSIÇÕES COMPLEMENTARES '!$D:$L,6,0),IFERROR(VLOOKUP($C130,INSUMOS!$A:$D,4,0),""))))</f>
        <v>10495.92</v>
      </c>
      <c r="H130" s="314">
        <f>IF($C130="","",IFERROR(VLOOKUP($C130,SERVIÇOS!$B:$G,5,0),IFERROR(VLOOKUP($C130,'COMPOSIÇÕES COMPLEMENTARES '!$D:$L,7,0),0)))</f>
        <v>616.48</v>
      </c>
      <c r="I130" s="314">
        <f t="shared" si="8"/>
        <v>11112.4</v>
      </c>
      <c r="J130" s="314">
        <f t="shared" si="9"/>
        <v>10495.92</v>
      </c>
      <c r="K130" s="314">
        <f t="shared" si="10"/>
        <v>616.48</v>
      </c>
      <c r="L130" s="948">
        <f t="shared" si="11"/>
        <v>11112.4</v>
      </c>
      <c r="M130" s="374">
        <f t="shared" si="12"/>
        <v>4301717.200000002</v>
      </c>
      <c r="N130" s="375">
        <f>+M130/L$815</f>
        <v>0.76168368828810296</v>
      </c>
      <c r="O130" s="376" t="str">
        <f>IF(N130&lt;0.5,"A",IF(N130&gt;0.8,"C","B"))</f>
        <v>B</v>
      </c>
    </row>
    <row r="131" spans="1:15" x14ac:dyDescent="0.25">
      <c r="A131" s="232">
        <f t="shared" si="7"/>
        <v>131</v>
      </c>
      <c r="B131" s="232"/>
      <c r="C131" s="310" t="s">
        <v>12355</v>
      </c>
      <c r="D131" s="373" t="str">
        <f>IF($C131="","",IFERROR(VLOOKUP($C131,SERVIÇOS!$B:$G,2,0),IFERROR(VLOOKUP($C131,'COMPOSIÇÕES COMPLEMENTARES '!$D:$L,2,0),IFERROR(VLOOKUP($C131,INSUMOS!$A:$D,2,0),""))))</f>
        <v>EXECUÇÃO DE CANALETA DE CONCRETO CONFORME DETALHE DE PROJETO</v>
      </c>
      <c r="E131" s="312" t="str">
        <f>IF($C131="","",IFERROR(VLOOKUP($C131,SERVIÇOS!$B:$G,3,0),IFERROR(VLOOKUP($C131,'COMPOSIÇÕES COMPLEMENTARES '!$D:$L,3,0),IFERROR(VLOOKUP($C131,INSUMOS!$A:$D,3,0),""))))</f>
        <v>M</v>
      </c>
      <c r="F131" s="313">
        <v>41</v>
      </c>
      <c r="G131" s="314">
        <f>IF($C131="","",IFERROR(VLOOKUP($C131,SERVIÇOS!$B:$G,4,0),IFERROR(VLOOKUP($C131,'COMPOSIÇÕES COMPLEMENTARES '!$D:$L,6,0),IFERROR(VLOOKUP($C131,INSUMOS!$A:$D,4,0),""))))</f>
        <v>128.72999999999999</v>
      </c>
      <c r="H131" s="314">
        <f>IF($C131="","",IFERROR(VLOOKUP($C131,SERVIÇOS!$B:$G,5,0),IFERROR(VLOOKUP($C131,'COMPOSIÇÕES COMPLEMENTARES '!$D:$L,7,0),0)))</f>
        <v>138.62</v>
      </c>
      <c r="I131" s="314">
        <f t="shared" si="8"/>
        <v>267.35000000000002</v>
      </c>
      <c r="J131" s="314">
        <f t="shared" si="9"/>
        <v>5277.93</v>
      </c>
      <c r="K131" s="314">
        <f t="shared" si="10"/>
        <v>5683.42</v>
      </c>
      <c r="L131" s="948">
        <f t="shared" si="11"/>
        <v>10961.35</v>
      </c>
      <c r="M131" s="374">
        <f t="shared" si="12"/>
        <v>4312678.5500000017</v>
      </c>
      <c r="N131" s="375">
        <f>+M131/L$815</f>
        <v>0.76362456006289481</v>
      </c>
      <c r="O131" s="376" t="str">
        <f>IF(N131&lt;0.5,"A",IF(N131&gt;0.8,"C","B"))</f>
        <v>B</v>
      </c>
    </row>
    <row r="132" spans="1:15" ht="25.5" x14ac:dyDescent="0.25">
      <c r="A132" s="232">
        <f t="shared" si="7"/>
        <v>132</v>
      </c>
      <c r="B132" s="232"/>
      <c r="C132" s="310" t="s">
        <v>12074</v>
      </c>
      <c r="D132" s="373" t="str">
        <f>IF($C132="","",IFERROR(VLOOKUP($C132,SERVIÇOS!$B:$G,2,0),IFERROR(VLOOKUP($C132,'COMPOSIÇÕES COMPLEMENTARES '!$D:$L,2,0),IFERROR(VLOOKUP($C132,INSUMOS!$A:$D,2,0),""))))</f>
        <v>DIVISÓRIA EM GRANITO, COM DUAS FACES POLIDAS, TIPO ANDORINHA/ QUARTZ/ CASTELO/ CORUMBA OU OUTROS EQUIVALENTES DA REGIÃO,  ESP= 3,0CM</v>
      </c>
      <c r="E132" s="312" t="str">
        <f>IF($C132="","",IFERROR(VLOOKUP($C132,SERVIÇOS!$B:$G,3,0),IFERROR(VLOOKUP($C132,'COMPOSIÇÕES COMPLEMENTARES '!$D:$L,3,0),IFERROR(VLOOKUP($C132,INSUMOS!$A:$D,3,0),""))))</f>
        <v>M2</v>
      </c>
      <c r="F132" s="313">
        <v>10.66</v>
      </c>
      <c r="G132" s="314">
        <f>IF($C132="","",IFERROR(VLOOKUP($C132,SERVIÇOS!$B:$G,4,0),IFERROR(VLOOKUP($C132,'COMPOSIÇÕES COMPLEMENTARES '!$D:$L,6,0),IFERROR(VLOOKUP($C132,INSUMOS!$A:$D,4,0),""))))</f>
        <v>835.17</v>
      </c>
      <c r="H132" s="314">
        <f>IF($C132="","",IFERROR(VLOOKUP($C132,SERVIÇOS!$B:$G,5,0),IFERROR(VLOOKUP($C132,'COMPOSIÇÕES COMPLEMENTARES '!$D:$L,7,0),0)))</f>
        <v>179.44</v>
      </c>
      <c r="I132" s="314">
        <f t="shared" si="8"/>
        <v>1014.6099999999999</v>
      </c>
      <c r="J132" s="314">
        <f t="shared" si="9"/>
        <v>8902.91</v>
      </c>
      <c r="K132" s="314">
        <f t="shared" si="10"/>
        <v>1912.83</v>
      </c>
      <c r="L132" s="948">
        <f t="shared" si="11"/>
        <v>10815.74</v>
      </c>
      <c r="M132" s="374">
        <f t="shared" si="12"/>
        <v>4323494.2900000019</v>
      </c>
      <c r="N132" s="375">
        <f>+M132/L$815</f>
        <v>0.76553964939855945</v>
      </c>
      <c r="O132" s="376" t="str">
        <f>IF(N132&lt;0.5,"A",IF(N132&gt;0.8,"C","B"))</f>
        <v>B</v>
      </c>
    </row>
    <row r="133" spans="1:15" x14ac:dyDescent="0.25">
      <c r="A133" s="232">
        <f t="shared" si="7"/>
        <v>133</v>
      </c>
      <c r="B133" s="232"/>
      <c r="C133" s="310" t="s">
        <v>12012</v>
      </c>
      <c r="D133" s="373" t="str">
        <f>IF($C133="","",IFERROR(VLOOKUP($C133,SERVIÇOS!$B:$G,2,0),IFERROR(VLOOKUP($C133,'COMPOSIÇÕES COMPLEMENTARES '!$D:$L,2,0),IFERROR(VLOOKUP($C133,INSUMOS!$A:$D,2,0),""))))</f>
        <v>CONTRAMARCO EM ALUMINIO - FORNECIMENTO E INSTALAÇÃO</v>
      </c>
      <c r="E133" s="312" t="str">
        <f>IF($C133="","",IFERROR(VLOOKUP($C133,SERVIÇOS!$B:$G,3,0),IFERROR(VLOOKUP($C133,'COMPOSIÇÕES COMPLEMENTARES '!$D:$L,3,0),IFERROR(VLOOKUP($C133,INSUMOS!$A:$D,3,0),""))))</f>
        <v>M</v>
      </c>
      <c r="F133" s="313">
        <v>194</v>
      </c>
      <c r="G133" s="314">
        <f>IF($C133="","",IFERROR(VLOOKUP($C133,SERVIÇOS!$B:$G,4,0),IFERROR(VLOOKUP($C133,'COMPOSIÇÕES COMPLEMENTARES '!$D:$L,6,0),IFERROR(VLOOKUP($C133,INSUMOS!$A:$D,4,0),""))))</f>
        <v>25.08</v>
      </c>
      <c r="H133" s="314">
        <f>IF($C133="","",IFERROR(VLOOKUP($C133,SERVIÇOS!$B:$G,5,0),IFERROR(VLOOKUP($C133,'COMPOSIÇÕES COMPLEMENTARES '!$D:$L,7,0),0)))</f>
        <v>27.87</v>
      </c>
      <c r="I133" s="314">
        <f t="shared" si="8"/>
        <v>52.95</v>
      </c>
      <c r="J133" s="314">
        <f t="shared" si="9"/>
        <v>4865.5200000000004</v>
      </c>
      <c r="K133" s="314">
        <f t="shared" si="10"/>
        <v>5406.78</v>
      </c>
      <c r="L133" s="948">
        <f t="shared" si="11"/>
        <v>10272.299999999999</v>
      </c>
      <c r="M133" s="374">
        <f t="shared" si="12"/>
        <v>4333766.5900000017</v>
      </c>
      <c r="N133" s="375">
        <f>+M133/L$815</f>
        <v>0.76735851451391424</v>
      </c>
      <c r="O133" s="376" t="str">
        <f>IF(N133&lt;0.5,"A",IF(N133&gt;0.8,"C","B"))</f>
        <v>B</v>
      </c>
    </row>
    <row r="134" spans="1:15" x14ac:dyDescent="0.25">
      <c r="A134" s="232">
        <f t="shared" si="7"/>
        <v>134</v>
      </c>
      <c r="B134" s="232"/>
      <c r="C134" s="310" t="s">
        <v>12288</v>
      </c>
      <c r="D134" s="373" t="str">
        <f>IF($C134="","",IFERROR(VLOOKUP($C134,SERVIÇOS!$B:$G,2,0),IFERROR(VLOOKUP($C134,'COMPOSIÇÕES COMPLEMENTARES '!$D:$L,2,0),IFERROR(VLOOKUP($C134,INSUMOS!$A:$D,2,0),""))))</f>
        <v>CABO FLEXÍVEL MULTIPOLAR ISOL. 1KV  - 4X#4,0MM² - AFUMEX (PARA ALIMENTAÇÃO MÁQUINAS DE AR)</v>
      </c>
      <c r="E134" s="312" t="str">
        <f>IF($C134="","",IFERROR(VLOOKUP($C134,SERVIÇOS!$B:$G,3,0),IFERROR(VLOOKUP($C134,'COMPOSIÇÕES COMPLEMENTARES '!$D:$L,3,0),IFERROR(VLOOKUP($C134,INSUMOS!$A:$D,3,0),""))))</f>
        <v>M</v>
      </c>
      <c r="F134" s="313">
        <v>475</v>
      </c>
      <c r="G134" s="314">
        <f>IF($C134="","",IFERROR(VLOOKUP($C134,SERVIÇOS!$B:$G,4,0),IFERROR(VLOOKUP($C134,'COMPOSIÇÕES COMPLEMENTARES '!$D:$L,6,0),IFERROR(VLOOKUP($C134,INSUMOS!$A:$D,4,0),""))))</f>
        <v>19.55</v>
      </c>
      <c r="H134" s="314">
        <f>IF($C134="","",IFERROR(VLOOKUP($C134,SERVIÇOS!$B:$G,5,0),IFERROR(VLOOKUP($C134,'COMPOSIÇÕES COMPLEMENTARES '!$D:$L,7,0),0)))</f>
        <v>1.87</v>
      </c>
      <c r="I134" s="314">
        <f t="shared" si="8"/>
        <v>21.42</v>
      </c>
      <c r="J134" s="314">
        <f t="shared" si="9"/>
        <v>9286.25</v>
      </c>
      <c r="K134" s="314">
        <f t="shared" si="10"/>
        <v>888.25</v>
      </c>
      <c r="L134" s="948">
        <f t="shared" si="11"/>
        <v>10174.5</v>
      </c>
      <c r="M134" s="374">
        <f t="shared" si="12"/>
        <v>4343941.0900000017</v>
      </c>
      <c r="N134" s="375">
        <f>+M134/L$815</f>
        <v>0.76916006266926196</v>
      </c>
      <c r="O134" s="376" t="str">
        <f>IF(N134&lt;0.5,"A",IF(N134&gt;0.8,"C","B"))</f>
        <v>B</v>
      </c>
    </row>
    <row r="135" spans="1:15" x14ac:dyDescent="0.25">
      <c r="A135" s="232">
        <f t="shared" si="7"/>
        <v>135</v>
      </c>
      <c r="B135" s="232"/>
      <c r="C135" s="310" t="s">
        <v>12102</v>
      </c>
      <c r="D135" s="373" t="str">
        <f>IF($C135="","",IFERROR(VLOOKUP($C135,SERVIÇOS!$B:$G,2,0),IFERROR(VLOOKUP($C135,'COMPOSIÇÕES COMPLEMENTARES '!$D:$L,2,0),IFERROR(VLOOKUP($C135,INSUMOS!$A:$D,2,0),""))))</f>
        <v>TUBO DE PVC RÍGIDO SOLDÁVEL, INCLUSO CONEXÔES - D=25MM (3/4")</v>
      </c>
      <c r="E135" s="312" t="str">
        <f>IF($C135="","",IFERROR(VLOOKUP($C135,SERVIÇOS!$B:$G,3,0),IFERROR(VLOOKUP($C135,'COMPOSIÇÕES COMPLEMENTARES '!$D:$L,3,0),IFERROR(VLOOKUP($C135,INSUMOS!$A:$D,3,0),""))))</f>
        <v>M</v>
      </c>
      <c r="F135" s="313">
        <v>315</v>
      </c>
      <c r="G135" s="314">
        <f>IF($C135="","",IFERROR(VLOOKUP($C135,SERVIÇOS!$B:$G,4,0),IFERROR(VLOOKUP($C135,'COMPOSIÇÕES COMPLEMENTARES '!$D:$L,6,0),IFERROR(VLOOKUP($C135,INSUMOS!$A:$D,4,0),""))))</f>
        <v>12.57</v>
      </c>
      <c r="H135" s="314">
        <f>IF($C135="","",IFERROR(VLOOKUP($C135,SERVIÇOS!$B:$G,5,0),IFERROR(VLOOKUP($C135,'COMPOSIÇÕES COMPLEMENTARES '!$D:$L,7,0),0)))</f>
        <v>19.440000000000001</v>
      </c>
      <c r="I135" s="314">
        <f t="shared" si="8"/>
        <v>32.010000000000005</v>
      </c>
      <c r="J135" s="314">
        <f t="shared" si="9"/>
        <v>3959.55</v>
      </c>
      <c r="K135" s="314">
        <f t="shared" si="10"/>
        <v>6123.6</v>
      </c>
      <c r="L135" s="948">
        <f t="shared" si="11"/>
        <v>10083.15</v>
      </c>
      <c r="M135" s="374">
        <f t="shared" si="12"/>
        <v>4354024.2400000021</v>
      </c>
      <c r="N135" s="375">
        <f>+M135/L$815</f>
        <v>0.77094543593405074</v>
      </c>
      <c r="O135" s="376" t="str">
        <f>IF(N135&lt;0.5,"A",IF(N135&gt;0.8,"C","B"))</f>
        <v>B</v>
      </c>
    </row>
    <row r="136" spans="1:15" x14ac:dyDescent="0.25">
      <c r="A136" s="232">
        <f t="shared" si="7"/>
        <v>136</v>
      </c>
      <c r="B136" s="232"/>
      <c r="C136" s="310" t="s">
        <v>12215</v>
      </c>
      <c r="D136" s="373" t="str">
        <f>IF($C136="","",IFERROR(VLOOKUP($C136,SERVIÇOS!$B:$G,2,0),IFERROR(VLOOKUP($C136,'COMPOSIÇÕES COMPLEMENTARES '!$D:$L,2,0),IFERROR(VLOOKUP($C136,INSUMOS!$A:$D,2,0),""))))</f>
        <v>PERFILADO PERFURADO COM TAMPA 38X38X6000MM CHAPA 18, INCLUSO CONEXÕES E FIXAÇÕES</v>
      </c>
      <c r="E136" s="312" t="str">
        <f>IF($C136="","",IFERROR(VLOOKUP($C136,SERVIÇOS!$B:$G,3,0),IFERROR(VLOOKUP($C136,'COMPOSIÇÕES COMPLEMENTARES '!$D:$L,3,0),IFERROR(VLOOKUP($C136,INSUMOS!$A:$D,3,0),""))))</f>
        <v>M</v>
      </c>
      <c r="F136" s="313">
        <v>108</v>
      </c>
      <c r="G136" s="314">
        <f>IF($C136="","",IFERROR(VLOOKUP($C136,SERVIÇOS!$B:$G,4,0),IFERROR(VLOOKUP($C136,'COMPOSIÇÕES COMPLEMENTARES '!$D:$L,6,0),IFERROR(VLOOKUP($C136,INSUMOS!$A:$D,4,0),""))))</f>
        <v>61.76</v>
      </c>
      <c r="H136" s="314">
        <f>IF($C136="","",IFERROR(VLOOKUP($C136,SERVIÇOS!$B:$G,5,0),IFERROR(VLOOKUP($C136,'COMPOSIÇÕES COMPLEMENTARES '!$D:$L,7,0),0)))</f>
        <v>31.6</v>
      </c>
      <c r="I136" s="314">
        <f t="shared" si="8"/>
        <v>93.36</v>
      </c>
      <c r="J136" s="314">
        <f t="shared" si="9"/>
        <v>6670.08</v>
      </c>
      <c r="K136" s="314">
        <f t="shared" si="10"/>
        <v>3412.8</v>
      </c>
      <c r="L136" s="948">
        <f t="shared" si="11"/>
        <v>10082.879999999999</v>
      </c>
      <c r="M136" s="374">
        <f t="shared" si="12"/>
        <v>4364107.120000002</v>
      </c>
      <c r="N136" s="375">
        <f>+M136/L$815</f>
        <v>0.77273076139128127</v>
      </c>
      <c r="O136" s="376" t="str">
        <f>IF(N136&lt;0.5,"A",IF(N136&gt;0.8,"C","B"))</f>
        <v>B</v>
      </c>
    </row>
    <row r="137" spans="1:15" x14ac:dyDescent="0.25">
      <c r="A137" s="232">
        <f t="shared" si="7"/>
        <v>137</v>
      </c>
      <c r="B137" s="232"/>
      <c r="C137" s="310" t="s">
        <v>12151</v>
      </c>
      <c r="D137" s="373" t="str">
        <f>IF($C137="","",IFERROR(VLOOKUP($C137,SERVIÇOS!$B:$G,2,0),IFERROR(VLOOKUP($C137,'COMPOSIÇÕES COMPLEMENTARES '!$D:$L,2,0),IFERROR(VLOOKUP($C137,INSUMOS!$A:$D,2,0),""))))</f>
        <v>TUBO DE PVC, SÉRIE NORMAL, PARA ÁGUAS PLUVIAIS, INCLUSO CONEXÕES - D= 150MM</v>
      </c>
      <c r="E137" s="312" t="str">
        <f>IF($C137="","",IFERROR(VLOOKUP($C137,SERVIÇOS!$B:$G,3,0),IFERROR(VLOOKUP($C137,'COMPOSIÇÕES COMPLEMENTARES '!$D:$L,3,0),IFERROR(VLOOKUP($C137,INSUMOS!$A:$D,3,0),""))))</f>
        <v>M</v>
      </c>
      <c r="F137" s="313">
        <v>74</v>
      </c>
      <c r="G137" s="314">
        <f>IF($C137="","",IFERROR(VLOOKUP($C137,SERVIÇOS!$B:$G,4,0),IFERROR(VLOOKUP($C137,'COMPOSIÇÕES COMPLEMENTARES '!$D:$L,6,0),IFERROR(VLOOKUP($C137,INSUMOS!$A:$D,4,0),""))))</f>
        <v>82.71</v>
      </c>
      <c r="H137" s="314">
        <f>IF($C137="","",IFERROR(VLOOKUP($C137,SERVIÇOS!$B:$G,5,0),IFERROR(VLOOKUP($C137,'COMPOSIÇÕES COMPLEMENTARES '!$D:$L,7,0),0)))</f>
        <v>53.46</v>
      </c>
      <c r="I137" s="314">
        <f t="shared" si="8"/>
        <v>136.16999999999999</v>
      </c>
      <c r="J137" s="314">
        <f t="shared" si="9"/>
        <v>6120.54</v>
      </c>
      <c r="K137" s="314">
        <f t="shared" si="10"/>
        <v>3956.04</v>
      </c>
      <c r="L137" s="948">
        <f t="shared" si="11"/>
        <v>10076.58</v>
      </c>
      <c r="M137" s="374">
        <f t="shared" si="12"/>
        <v>4374183.700000002</v>
      </c>
      <c r="N137" s="375">
        <f>+M137/L$815</f>
        <v>0.77451497133881808</v>
      </c>
      <c r="O137" s="376" t="str">
        <f>IF(N137&lt;0.5,"A",IF(N137&gt;0.8,"C","B"))</f>
        <v>B</v>
      </c>
    </row>
    <row r="138" spans="1:15" x14ac:dyDescent="0.25">
      <c r="A138" s="232">
        <f t="shared" ref="A138:A201" si="13">1+A137</f>
        <v>138</v>
      </c>
      <c r="B138" s="232"/>
      <c r="C138" s="310" t="s">
        <v>12118</v>
      </c>
      <c r="D138" s="373" t="str">
        <f>IF($C138="","",IFERROR(VLOOKUP($C138,SERVIÇOS!$B:$G,2,0),IFERROR(VLOOKUP($C138,'COMPOSIÇÕES COMPLEMENTARES '!$D:$L,2,0),IFERROR(VLOOKUP($C138,INSUMOS!$A:$D,2,0),""))))</f>
        <v>TUBO PVC, SERIE NORMAL, PARA ESGOTO PREDIAL, INCLUSO CONEXÕES, D= 50MM</v>
      </c>
      <c r="E138" s="312" t="str">
        <f>IF($C138="","",IFERROR(VLOOKUP($C138,SERVIÇOS!$B:$G,3,0),IFERROR(VLOOKUP($C138,'COMPOSIÇÕES COMPLEMENTARES '!$D:$L,3,0),IFERROR(VLOOKUP($C138,INSUMOS!$A:$D,3,0),""))))</f>
        <v>M</v>
      </c>
      <c r="F138" s="313">
        <v>174</v>
      </c>
      <c r="G138" s="314">
        <f>IF($C138="","",IFERROR(VLOOKUP($C138,SERVIÇOS!$B:$G,4,0),IFERROR(VLOOKUP($C138,'COMPOSIÇÕES COMPLEMENTARES '!$D:$L,6,0),IFERROR(VLOOKUP($C138,INSUMOS!$A:$D,4,0),""))))</f>
        <v>28.06</v>
      </c>
      <c r="H138" s="314">
        <f>IF($C138="","",IFERROR(VLOOKUP($C138,SERVIÇOS!$B:$G,5,0),IFERROR(VLOOKUP($C138,'COMPOSIÇÕES COMPLEMENTARES '!$D:$L,7,0),0)))</f>
        <v>29.15</v>
      </c>
      <c r="I138" s="314">
        <f t="shared" ref="I138:I201" si="14">IF(F138="","",G138+H138)</f>
        <v>57.209999999999994</v>
      </c>
      <c r="J138" s="314">
        <f t="shared" ref="J138:J201" si="15">IF(F138="","",TRUNC((F138*G138),2))</f>
        <v>4882.4399999999996</v>
      </c>
      <c r="K138" s="314">
        <f t="shared" ref="K138:K201" si="16">IF(F138="","",TRUNC((F138*H138),2))</f>
        <v>5072.1000000000004</v>
      </c>
      <c r="L138" s="948">
        <f t="shared" ref="L138:L201" si="17">IF(F138="","",TRUNC((J138+K138),2))</f>
        <v>9954.5400000000009</v>
      </c>
      <c r="M138" s="374">
        <f t="shared" si="12"/>
        <v>4384138.2400000021</v>
      </c>
      <c r="N138" s="375">
        <f>+M138/L$815</f>
        <v>0.77627757227000238</v>
      </c>
      <c r="O138" s="376" t="str">
        <f>IF(N138&lt;0.5,"A",IF(N138&gt;0.8,"C","B"))</f>
        <v>B</v>
      </c>
    </row>
    <row r="139" spans="1:15" x14ac:dyDescent="0.25">
      <c r="A139" s="232">
        <f t="shared" si="13"/>
        <v>139</v>
      </c>
      <c r="B139" s="232"/>
      <c r="C139" s="310" t="s">
        <v>12086</v>
      </c>
      <c r="D139" s="373" t="str">
        <f>IF($C139="","",IFERROR(VLOOKUP($C139,SERVIÇOS!$B:$G,2,0),IFERROR(VLOOKUP($C139,'COMPOSIÇÕES COMPLEMENTARES '!$D:$L,2,0),IFERROR(VLOOKUP($C139,INSUMOS!$A:$D,2,0),""))))</f>
        <v>AQUECEDOR DE ÁGUA ELÉTRICO CARDAL MODELO 3T OU EQUIVALENTE TÉCNICO</v>
      </c>
      <c r="E139" s="312" t="str">
        <f>IF($C139="","",IFERROR(VLOOKUP($C139,SERVIÇOS!$B:$G,3,0),IFERROR(VLOOKUP($C139,'COMPOSIÇÕES COMPLEMENTARES '!$D:$L,3,0),IFERROR(VLOOKUP($C139,INSUMOS!$A:$D,3,0),""))))</f>
        <v>UN</v>
      </c>
      <c r="F139" s="313">
        <v>9</v>
      </c>
      <c r="G139" s="314">
        <f>IF($C139="","",IFERROR(VLOOKUP($C139,SERVIÇOS!$B:$G,4,0),IFERROR(VLOOKUP($C139,'COMPOSIÇÕES COMPLEMENTARES '!$D:$L,6,0),IFERROR(VLOOKUP($C139,INSUMOS!$A:$D,4,0),""))))</f>
        <v>861.94</v>
      </c>
      <c r="H139" s="314">
        <f>IF($C139="","",IFERROR(VLOOKUP($C139,SERVIÇOS!$B:$G,5,0),IFERROR(VLOOKUP($C139,'COMPOSIÇÕES COMPLEMENTARES '!$D:$L,7,0),0)))</f>
        <v>243.98</v>
      </c>
      <c r="I139" s="314">
        <f t="shared" si="14"/>
        <v>1105.92</v>
      </c>
      <c r="J139" s="314">
        <f t="shared" si="15"/>
        <v>7757.46</v>
      </c>
      <c r="K139" s="314">
        <f t="shared" si="16"/>
        <v>2195.8200000000002</v>
      </c>
      <c r="L139" s="948">
        <f t="shared" si="17"/>
        <v>9953.2800000000007</v>
      </c>
      <c r="M139" s="374">
        <f t="shared" ref="M139:M202" si="18">+L139+M138</f>
        <v>4394091.5200000023</v>
      </c>
      <c r="N139" s="375">
        <f>+M139/L$815</f>
        <v>0.77803995009924798</v>
      </c>
      <c r="O139" s="376" t="str">
        <f>IF(N139&lt;0.5,"A",IF(N139&gt;0.8,"C","B"))</f>
        <v>B</v>
      </c>
    </row>
    <row r="140" spans="1:15" x14ac:dyDescent="0.25">
      <c r="A140" s="232">
        <f t="shared" si="13"/>
        <v>140</v>
      </c>
      <c r="B140" s="232"/>
      <c r="C140" s="310">
        <v>95305</v>
      </c>
      <c r="D140" s="373" t="str">
        <f>IF($C140="","",IFERROR(VLOOKUP($C140,SERVIÇOS!$B:$G,2,0),IFERROR(VLOOKUP($C140,'COMPOSIÇÕES COMPLEMENTARES '!$D:$L,2,0),IFERROR(VLOOKUP($C140,INSUMOS!$A:$D,2,0),""))))</f>
        <v>TEXTURA ACRÍLICA, APLICAÇÃO MANUAL EM PAREDE, UMA DEMÃO. AF_04/2023</v>
      </c>
      <c r="E140" s="312" t="str">
        <f>IF($C140="","",IFERROR(VLOOKUP($C140,SERVIÇOS!$B:$G,3,0),IFERROR(VLOOKUP($C140,'COMPOSIÇÕES COMPLEMENTARES '!$D:$L,3,0),IFERROR(VLOOKUP($C140,INSUMOS!$A:$D,3,0),""))))</f>
        <v>M2</v>
      </c>
      <c r="F140" s="313">
        <v>670.99</v>
      </c>
      <c r="G140" s="314">
        <f>IF($C140="","",IFERROR(VLOOKUP($C140,SERVIÇOS!$B:$G,4,0),IFERROR(VLOOKUP($C140,'COMPOSIÇÕES COMPLEMENTARES '!$D:$L,6,0),IFERROR(VLOOKUP($C140,INSUMOS!$A:$D,4,0),""))))</f>
        <v>9.5399999999999991</v>
      </c>
      <c r="H140" s="314">
        <f>IF($C140="","",IFERROR(VLOOKUP($C140,SERVIÇOS!$B:$G,5,0),IFERROR(VLOOKUP($C140,'COMPOSIÇÕES COMPLEMENTARES '!$D:$L,7,0),0)))</f>
        <v>5.23</v>
      </c>
      <c r="I140" s="314">
        <f t="shared" si="14"/>
        <v>14.77</v>
      </c>
      <c r="J140" s="314">
        <f t="shared" si="15"/>
        <v>6401.24</v>
      </c>
      <c r="K140" s="314">
        <f t="shared" si="16"/>
        <v>3509.27</v>
      </c>
      <c r="L140" s="948">
        <f t="shared" si="17"/>
        <v>9910.51</v>
      </c>
      <c r="M140" s="374">
        <f t="shared" si="18"/>
        <v>4404002.0300000021</v>
      </c>
      <c r="N140" s="375">
        <f>+M140/L$815</f>
        <v>0.77979475485712835</v>
      </c>
      <c r="O140" s="376" t="str">
        <f>IF(N140&lt;0.5,"A",IF(N140&gt;0.8,"C","B"))</f>
        <v>B</v>
      </c>
    </row>
    <row r="141" spans="1:15" ht="25.5" x14ac:dyDescent="0.25">
      <c r="A141" s="232">
        <f t="shared" si="13"/>
        <v>141</v>
      </c>
      <c r="B141" s="232"/>
      <c r="C141" s="310">
        <v>101173</v>
      </c>
      <c r="D141" s="373" t="str">
        <f>IF($C141="","",IFERROR(VLOOKUP($C141,SERVIÇOS!$B:$G,2,0),IFERROR(VLOOKUP($C141,'COMPOSIÇÕES COMPLEMENTARES '!$D:$L,2,0),IFERROR(VLOOKUP($C141,INSUMOS!$A:$D,2,0),""))))</f>
        <v>ESTACA BROCA DE CONCRETO, DIÂMETRO DE 20CM, ESCAVAÇÃO MANUAL COM TRADO CONCHA, COM ARMADURA DE ARRANQUE. AF_05/2020</v>
      </c>
      <c r="E141" s="312" t="str">
        <f>IF($C141="","",IFERROR(VLOOKUP($C141,SERVIÇOS!$B:$G,3,0),IFERROR(VLOOKUP($C141,'COMPOSIÇÕES COMPLEMENTARES '!$D:$L,3,0),IFERROR(VLOOKUP($C141,INSUMOS!$A:$D,3,0),""))))</f>
        <v>M</v>
      </c>
      <c r="F141" s="313">
        <v>140</v>
      </c>
      <c r="G141" s="314">
        <f>IF($C141="","",IFERROR(VLOOKUP($C141,SERVIÇOS!$B:$G,4,0),IFERROR(VLOOKUP($C141,'COMPOSIÇÕES COMPLEMENTARES '!$D:$L,6,0),IFERROR(VLOOKUP($C141,INSUMOS!$A:$D,4,0),""))))</f>
        <v>38.85</v>
      </c>
      <c r="H141" s="314">
        <f>IF($C141="","",IFERROR(VLOOKUP($C141,SERVIÇOS!$B:$G,5,0),IFERROR(VLOOKUP($C141,'COMPOSIÇÕES COMPLEMENTARES '!$D:$L,7,0),0)))</f>
        <v>29.81</v>
      </c>
      <c r="I141" s="314">
        <f t="shared" si="14"/>
        <v>68.66</v>
      </c>
      <c r="J141" s="314">
        <f t="shared" si="15"/>
        <v>5439</v>
      </c>
      <c r="K141" s="314">
        <f t="shared" si="16"/>
        <v>4173.3999999999996</v>
      </c>
      <c r="L141" s="948">
        <f t="shared" si="17"/>
        <v>9612.4</v>
      </c>
      <c r="M141" s="374">
        <f t="shared" si="18"/>
        <v>4413614.4300000025</v>
      </c>
      <c r="N141" s="375">
        <f>+M141/L$815</f>
        <v>0.7814967747586925</v>
      </c>
      <c r="O141" s="376" t="str">
        <f>IF(N141&lt;0.5,"A",IF(N141&gt;0.8,"C","B"))</f>
        <v>B</v>
      </c>
    </row>
    <row r="142" spans="1:15" x14ac:dyDescent="0.25">
      <c r="A142" s="232">
        <f t="shared" si="13"/>
        <v>142</v>
      </c>
      <c r="B142" s="232"/>
      <c r="C142" s="310" t="s">
        <v>12191</v>
      </c>
      <c r="D142" s="373" t="str">
        <f>IF($C142="","",IFERROR(VLOOKUP($C142,SERVIÇOS!$B:$G,2,0),IFERROR(VLOOKUP($C142,'COMPOSIÇÕES COMPLEMENTARES '!$D:$L,2,0),IFERROR(VLOOKUP($C142,INSUMOS!$A:$D,2,0),""))))</f>
        <v>ENVELOPAMENTO DE CONCRETO NO BANCO DE DUTOS</v>
      </c>
      <c r="E142" s="312" t="str">
        <f>IF($C142="","",IFERROR(VLOOKUP($C142,SERVIÇOS!$B:$G,3,0),IFERROR(VLOOKUP($C142,'COMPOSIÇÕES COMPLEMENTARES '!$D:$L,3,0),IFERROR(VLOOKUP($C142,INSUMOS!$A:$D,3,0),""))))</f>
        <v>M3</v>
      </c>
      <c r="F142" s="313">
        <v>22</v>
      </c>
      <c r="G142" s="314">
        <f>IF($C142="","",IFERROR(VLOOKUP($C142,SERVIÇOS!$B:$G,4,0),IFERROR(VLOOKUP($C142,'COMPOSIÇÕES COMPLEMENTARES '!$D:$L,6,0),IFERROR(VLOOKUP($C142,INSUMOS!$A:$D,4,0),""))))</f>
        <v>353.89</v>
      </c>
      <c r="H142" s="314">
        <f>IF($C142="","",IFERROR(VLOOKUP($C142,SERVIÇOS!$B:$G,5,0),IFERROR(VLOOKUP($C142,'COMPOSIÇÕES COMPLEMENTARES '!$D:$L,7,0),0)))</f>
        <v>82.48</v>
      </c>
      <c r="I142" s="314">
        <f t="shared" si="14"/>
        <v>436.37</v>
      </c>
      <c r="J142" s="314">
        <f t="shared" si="15"/>
        <v>7785.58</v>
      </c>
      <c r="K142" s="314">
        <f t="shared" si="16"/>
        <v>1814.56</v>
      </c>
      <c r="L142" s="948">
        <f t="shared" si="17"/>
        <v>9600.14</v>
      </c>
      <c r="M142" s="374">
        <f t="shared" si="18"/>
        <v>4423214.5700000022</v>
      </c>
      <c r="N142" s="375">
        <f>+M142/L$815</f>
        <v>0.78319662384297961</v>
      </c>
      <c r="O142" s="376" t="str">
        <f>IF(N142&lt;0.5,"A",IF(N142&gt;0.8,"C","B"))</f>
        <v>B</v>
      </c>
    </row>
    <row r="143" spans="1:15" x14ac:dyDescent="0.25">
      <c r="A143" s="232">
        <f t="shared" si="13"/>
        <v>143</v>
      </c>
      <c r="B143" s="232"/>
      <c r="C143" s="310" t="s">
        <v>12234</v>
      </c>
      <c r="D143" s="373" t="str">
        <f>IF($C143="","",IFERROR(VLOOKUP($C143,SERVIÇOS!$B:$G,2,0),IFERROR(VLOOKUP($C143,'COMPOSIÇÕES COMPLEMENTARES '!$D:$L,2,0),IFERROR(VLOOKUP($C143,INSUMOS!$A:$D,2,0),""))))</f>
        <v>ELETROCALHA PERFURADA 100X100X3000MM - CH 18, INCLUSO CONEXÕES E SUPORTE DE FIXAÇÃO</v>
      </c>
      <c r="E143" s="312" t="str">
        <f>IF($C143="","",IFERROR(VLOOKUP($C143,SERVIÇOS!$B:$G,3,0),IFERROR(VLOOKUP($C143,'COMPOSIÇÕES COMPLEMENTARES '!$D:$L,3,0),IFERROR(VLOOKUP($C143,INSUMOS!$A:$D,3,0),""))))</f>
        <v>M</v>
      </c>
      <c r="F143" s="313">
        <v>57</v>
      </c>
      <c r="G143" s="314">
        <f>IF($C143="","",IFERROR(VLOOKUP($C143,SERVIÇOS!$B:$G,4,0),IFERROR(VLOOKUP($C143,'COMPOSIÇÕES COMPLEMENTARES '!$D:$L,6,0),IFERROR(VLOOKUP($C143,INSUMOS!$A:$D,4,0),""))))</f>
        <v>129.66999999999999</v>
      </c>
      <c r="H143" s="314">
        <f>IF($C143="","",IFERROR(VLOOKUP($C143,SERVIÇOS!$B:$G,5,0),IFERROR(VLOOKUP($C143,'COMPOSIÇÕES COMPLEMENTARES '!$D:$L,7,0),0)))</f>
        <v>37.15</v>
      </c>
      <c r="I143" s="314">
        <f t="shared" si="14"/>
        <v>166.82</v>
      </c>
      <c r="J143" s="314">
        <f t="shared" si="15"/>
        <v>7391.19</v>
      </c>
      <c r="K143" s="314">
        <f t="shared" si="16"/>
        <v>2117.5500000000002</v>
      </c>
      <c r="L143" s="948">
        <f t="shared" si="17"/>
        <v>9508.74</v>
      </c>
      <c r="M143" s="374">
        <f t="shared" si="18"/>
        <v>4432723.3100000024</v>
      </c>
      <c r="N143" s="375">
        <f>+M143/L$815</f>
        <v>0.78488028918345631</v>
      </c>
      <c r="O143" s="376" t="str">
        <f>IF(N143&lt;0.5,"A",IF(N143&gt;0.8,"C","B"))</f>
        <v>B</v>
      </c>
    </row>
    <row r="144" spans="1:15" ht="25.5" x14ac:dyDescent="0.25">
      <c r="A144" s="232">
        <f t="shared" si="13"/>
        <v>144</v>
      </c>
      <c r="B144" s="232"/>
      <c r="C144" s="310">
        <v>97914</v>
      </c>
      <c r="D144" s="373" t="str">
        <f>IF($C144="","",IFERROR(VLOOKUP($C144,SERVIÇOS!$B:$G,2,0),IFERROR(VLOOKUP($C144,'COMPOSIÇÕES COMPLEMENTARES '!$D:$L,2,0),IFERROR(VLOOKUP($C144,INSUMOS!$A:$D,2,0),""))))</f>
        <v>TRANSPORTE COM CAMINHÃO BASCULANTE DE 6 M³, EM VIA URBANA PAVIMENTADA, DMT ATÉ 30 KM (UNIDADE: M3XKM). AF_07/2020</v>
      </c>
      <c r="E144" s="312" t="str">
        <f>IF($C144="","",IFERROR(VLOOKUP($C144,SERVIÇOS!$B:$G,3,0),IFERROR(VLOOKUP($C144,'COMPOSIÇÕES COMPLEMENTARES '!$D:$L,3,0),IFERROR(VLOOKUP($C144,INSUMOS!$A:$D,3,0),""))))</f>
        <v>M3XKM</v>
      </c>
      <c r="F144" s="313">
        <v>2894</v>
      </c>
      <c r="G144" s="314">
        <f>IF($C144="","",IFERROR(VLOOKUP($C144,SERVIÇOS!$B:$G,4,0),IFERROR(VLOOKUP($C144,'COMPOSIÇÕES COMPLEMENTARES '!$D:$L,6,0),IFERROR(VLOOKUP($C144,INSUMOS!$A:$D,4,0),""))))</f>
        <v>2.64</v>
      </c>
      <c r="H144" s="314">
        <f>IF($C144="","",IFERROR(VLOOKUP($C144,SERVIÇOS!$B:$G,5,0),IFERROR(VLOOKUP($C144,'COMPOSIÇÕES COMPLEMENTARES '!$D:$L,7,0),0)))</f>
        <v>0.56999999999999995</v>
      </c>
      <c r="I144" s="314">
        <f t="shared" si="14"/>
        <v>3.21</v>
      </c>
      <c r="J144" s="314">
        <f t="shared" si="15"/>
        <v>7640.16</v>
      </c>
      <c r="K144" s="314">
        <f t="shared" si="16"/>
        <v>1649.58</v>
      </c>
      <c r="L144" s="948">
        <f t="shared" si="17"/>
        <v>9289.74</v>
      </c>
      <c r="M144" s="374">
        <f t="shared" si="18"/>
        <v>4442013.0500000026</v>
      </c>
      <c r="N144" s="375">
        <f>+M144/L$815</f>
        <v>0.78652517728219928</v>
      </c>
      <c r="O144" s="376" t="str">
        <f>IF(N144&lt;0.5,"A",IF(N144&gt;0.8,"C","B"))</f>
        <v>B</v>
      </c>
    </row>
    <row r="145" spans="1:15" x14ac:dyDescent="0.25">
      <c r="A145" s="232">
        <f t="shared" si="13"/>
        <v>145</v>
      </c>
      <c r="B145" s="232"/>
      <c r="C145" s="310">
        <v>88488</v>
      </c>
      <c r="D145" s="373" t="str">
        <f>IF($C145="","",IFERROR(VLOOKUP($C145,SERVIÇOS!$B:$G,2,0),IFERROR(VLOOKUP($C145,'COMPOSIÇÕES COMPLEMENTARES '!$D:$L,2,0),IFERROR(VLOOKUP($C145,INSUMOS!$A:$D,2,0),""))))</f>
        <v>PINTURA LÁTEX ACRÍLICA PREMIUM, APLICAÇÃO MANUAL EM TETO, DUAS DEMÃOS. AF_04/2023</v>
      </c>
      <c r="E145" s="312" t="str">
        <f>IF($C145="","",IFERROR(VLOOKUP($C145,SERVIÇOS!$B:$G,3,0),IFERROR(VLOOKUP($C145,'COMPOSIÇÕES COMPLEMENTARES '!$D:$L,3,0),IFERROR(VLOOKUP($C145,INSUMOS!$A:$D,3,0),""))))</f>
        <v>M2</v>
      </c>
      <c r="F145" s="313">
        <v>528.25</v>
      </c>
      <c r="G145" s="314">
        <f>IF($C145="","",IFERROR(VLOOKUP($C145,SERVIÇOS!$B:$G,4,0),IFERROR(VLOOKUP($C145,'COMPOSIÇÕES COMPLEMENTARES '!$D:$L,6,0),IFERROR(VLOOKUP($C145,INSUMOS!$A:$D,4,0),""))))</f>
        <v>9.6</v>
      </c>
      <c r="H145" s="314">
        <f>IF($C145="","",IFERROR(VLOOKUP($C145,SERVIÇOS!$B:$G,5,0),IFERROR(VLOOKUP($C145,'COMPOSIÇÕES COMPLEMENTARES '!$D:$L,7,0),0)))</f>
        <v>7.69</v>
      </c>
      <c r="I145" s="314">
        <f t="shared" si="14"/>
        <v>17.29</v>
      </c>
      <c r="J145" s="314">
        <f t="shared" si="15"/>
        <v>5071.2</v>
      </c>
      <c r="K145" s="314">
        <f t="shared" si="16"/>
        <v>4062.24</v>
      </c>
      <c r="L145" s="948">
        <f t="shared" si="17"/>
        <v>9133.44</v>
      </c>
      <c r="M145" s="374">
        <f t="shared" si="18"/>
        <v>4451146.490000003</v>
      </c>
      <c r="N145" s="375">
        <f>+M145/L$815</f>
        <v>0.78814239011663623</v>
      </c>
      <c r="O145" s="376" t="str">
        <f>IF(N145&lt;0.5,"A",IF(N145&gt;0.8,"C","B"))</f>
        <v>B</v>
      </c>
    </row>
    <row r="146" spans="1:15" ht="25.5" x14ac:dyDescent="0.25">
      <c r="A146" s="232">
        <f t="shared" si="13"/>
        <v>146</v>
      </c>
      <c r="B146" s="232"/>
      <c r="C146" s="310">
        <v>92771</v>
      </c>
      <c r="D146" s="373" t="str">
        <f>IF($C146="","",IFERROR(VLOOKUP($C146,SERVIÇOS!$B:$G,2,0),IFERROR(VLOOKUP($C146,'COMPOSIÇÕES COMPLEMENTARES '!$D:$L,2,0),IFERROR(VLOOKUP($C146,INSUMOS!$A:$D,2,0),""))))</f>
        <v>ARMAÇÃO DE LAJE DE ESTRUTURA CONVENCIONAL DE CONCRETO ARMADO UTILIZANDO AÇO CA-50 DE 10,0 MM - MONTAGEM. AF_06/2022</v>
      </c>
      <c r="E146" s="312" t="str">
        <f>IF($C146="","",IFERROR(VLOOKUP($C146,SERVIÇOS!$B:$G,3,0),IFERROR(VLOOKUP($C146,'COMPOSIÇÕES COMPLEMENTARES '!$D:$L,3,0),IFERROR(VLOOKUP($C146,INSUMOS!$A:$D,3,0),""))))</f>
        <v>KG</v>
      </c>
      <c r="F146" s="313">
        <v>852</v>
      </c>
      <c r="G146" s="314">
        <f>IF($C146="","",IFERROR(VLOOKUP($C146,SERVIÇOS!$B:$G,4,0),IFERROR(VLOOKUP($C146,'COMPOSIÇÕES COMPLEMENTARES '!$D:$L,6,0),IFERROR(VLOOKUP($C146,INSUMOS!$A:$D,4,0),""))))</f>
        <v>9.68</v>
      </c>
      <c r="H146" s="314">
        <f>IF($C146="","",IFERROR(VLOOKUP($C146,SERVIÇOS!$B:$G,5,0),IFERROR(VLOOKUP($C146,'COMPOSIÇÕES COMPLEMENTARES '!$D:$L,7,0),0)))</f>
        <v>1.03</v>
      </c>
      <c r="I146" s="314">
        <f t="shared" si="14"/>
        <v>10.709999999999999</v>
      </c>
      <c r="J146" s="314">
        <f t="shared" si="15"/>
        <v>8247.36</v>
      </c>
      <c r="K146" s="314">
        <f t="shared" si="16"/>
        <v>877.56</v>
      </c>
      <c r="L146" s="948">
        <f t="shared" si="17"/>
        <v>9124.92</v>
      </c>
      <c r="M146" s="374">
        <f t="shared" si="18"/>
        <v>4460271.4100000029</v>
      </c>
      <c r="N146" s="375">
        <f>+M146/L$815</f>
        <v>0.78975809435701116</v>
      </c>
      <c r="O146" s="376" t="str">
        <f>IF(N146&lt;0.5,"A",IF(N146&gt;0.8,"C","B"))</f>
        <v>B</v>
      </c>
    </row>
    <row r="147" spans="1:15" x14ac:dyDescent="0.25">
      <c r="A147" s="232">
        <f t="shared" si="13"/>
        <v>147</v>
      </c>
      <c r="B147" s="232"/>
      <c r="C147" s="310">
        <v>96545</v>
      </c>
      <c r="D147" s="373" t="str">
        <f>IF($C147="","",IFERROR(VLOOKUP($C147,SERVIÇOS!$B:$G,2,0),IFERROR(VLOOKUP($C147,'COMPOSIÇÕES COMPLEMENTARES '!$D:$L,2,0),IFERROR(VLOOKUP($C147,INSUMOS!$A:$D,2,0),""))))</f>
        <v>ARMAÇÃO DE BLOCO UTILIZANDO AÇO CA-50 DE 8 MM - MONTAGEM. AF_01/2024</v>
      </c>
      <c r="E147" s="312" t="str">
        <f>IF($C147="","",IFERROR(VLOOKUP($C147,SERVIÇOS!$B:$G,3,0),IFERROR(VLOOKUP($C147,'COMPOSIÇÕES COMPLEMENTARES '!$D:$L,3,0),IFERROR(VLOOKUP($C147,INSUMOS!$A:$D,3,0),""))))</f>
        <v>KG</v>
      </c>
      <c r="F147" s="313">
        <v>510</v>
      </c>
      <c r="G147" s="314">
        <f>IF($C147="","",IFERROR(VLOOKUP($C147,SERVIÇOS!$B:$G,4,0),IFERROR(VLOOKUP($C147,'COMPOSIÇÕES COMPLEMENTARES '!$D:$L,6,0),IFERROR(VLOOKUP($C147,INSUMOS!$A:$D,4,0),""))))</f>
        <v>11.98</v>
      </c>
      <c r="H147" s="314">
        <f>IF($C147="","",IFERROR(VLOOKUP($C147,SERVIÇOS!$B:$G,5,0),IFERROR(VLOOKUP($C147,'COMPOSIÇÕES COMPLEMENTARES '!$D:$L,7,0),0)))</f>
        <v>5.77</v>
      </c>
      <c r="I147" s="314">
        <f t="shared" si="14"/>
        <v>17.75</v>
      </c>
      <c r="J147" s="314">
        <f t="shared" si="15"/>
        <v>6109.8</v>
      </c>
      <c r="K147" s="314">
        <f t="shared" si="16"/>
        <v>2942.7</v>
      </c>
      <c r="L147" s="948">
        <f t="shared" si="17"/>
        <v>9052.5</v>
      </c>
      <c r="M147" s="374">
        <f t="shared" si="18"/>
        <v>4469323.9100000029</v>
      </c>
      <c r="N147" s="375">
        <f>+M147/L$815</f>
        <v>0.79136097554785934</v>
      </c>
      <c r="O147" s="376" t="str">
        <f>IF(N147&lt;0.5,"A",IF(N147&gt;0.8,"C","B"))</f>
        <v>B</v>
      </c>
    </row>
    <row r="148" spans="1:15" ht="25.5" x14ac:dyDescent="0.25">
      <c r="A148" s="232">
        <f t="shared" si="13"/>
        <v>148</v>
      </c>
      <c r="B148" s="232"/>
      <c r="C148" s="310">
        <v>87547</v>
      </c>
      <c r="D148" s="373" t="str">
        <f>IF($C148="","",IFERROR(VLOOKUP($C148,SERVIÇOS!$B:$G,2,0),IFERROR(VLOOKUP($C148,'COMPOSIÇÕES COMPLEMENTARES '!$D:$L,2,0),IFERROR(VLOOKUP($C148,INSUMOS!$A:$D,2,0),""))))</f>
        <v>MASSA ÚNICA, EM ARGAMASSA TRAÇO 1:2:8, PREPARO MECÂNICO, APLICADA MANUALMENTE EM PAREDES INTERNAS DE AMBIENTES COM ÁREA ENTRE 5M² E 10M², E = 10MM, COM TALISCAS. AF_03/2024</v>
      </c>
      <c r="E148" s="312" t="str">
        <f>IF($C148="","",IFERROR(VLOOKUP($C148,SERVIÇOS!$B:$G,3,0),IFERROR(VLOOKUP($C148,'COMPOSIÇÕES COMPLEMENTARES '!$D:$L,3,0),IFERROR(VLOOKUP($C148,INSUMOS!$A:$D,3,0),""))))</f>
        <v>M2</v>
      </c>
      <c r="F148" s="313">
        <v>297.94</v>
      </c>
      <c r="G148" s="314">
        <f>IF($C148="","",IFERROR(VLOOKUP($C148,SERVIÇOS!$B:$G,4,0),IFERROR(VLOOKUP($C148,'COMPOSIÇÕES COMPLEMENTARES '!$D:$L,6,0),IFERROR(VLOOKUP($C148,INSUMOS!$A:$D,4,0),""))))</f>
        <v>14.06</v>
      </c>
      <c r="H148" s="314">
        <f>IF($C148="","",IFERROR(VLOOKUP($C148,SERVIÇOS!$B:$G,5,0),IFERROR(VLOOKUP($C148,'COMPOSIÇÕES COMPLEMENTARES '!$D:$L,7,0),0)))</f>
        <v>16.32</v>
      </c>
      <c r="I148" s="314">
        <f t="shared" si="14"/>
        <v>30.380000000000003</v>
      </c>
      <c r="J148" s="314">
        <f t="shared" si="15"/>
        <v>4189.03</v>
      </c>
      <c r="K148" s="314">
        <f t="shared" si="16"/>
        <v>4862.38</v>
      </c>
      <c r="L148" s="948">
        <f t="shared" si="17"/>
        <v>9051.41</v>
      </c>
      <c r="M148" s="374">
        <f t="shared" si="18"/>
        <v>4478375.3200000031</v>
      </c>
      <c r="N148" s="375">
        <f>+M148/L$815</f>
        <v>0.79296366373782401</v>
      </c>
      <c r="O148" s="376" t="str">
        <f>IF(N148&lt;0.5,"A",IF(N148&gt;0.8,"C","B"))</f>
        <v>B</v>
      </c>
    </row>
    <row r="149" spans="1:15" ht="25.5" x14ac:dyDescent="0.25">
      <c r="A149" s="232">
        <f t="shared" si="13"/>
        <v>149</v>
      </c>
      <c r="B149" s="232"/>
      <c r="C149" s="310">
        <v>92770</v>
      </c>
      <c r="D149" s="373" t="str">
        <f>IF($C149="","",IFERROR(VLOOKUP($C149,SERVIÇOS!$B:$G,2,0),IFERROR(VLOOKUP($C149,'COMPOSIÇÕES COMPLEMENTARES '!$D:$L,2,0),IFERROR(VLOOKUP($C149,INSUMOS!$A:$D,2,0),""))))</f>
        <v>ARMAÇÃO DE LAJE DE ESTRUTURA CONVENCIONAL DE CONCRETO ARMADO UTILIZANDO AÇO CA-50 DE 8,0 MM - MONTAGEM. AF_06/2022</v>
      </c>
      <c r="E149" s="312" t="str">
        <f>IF($C149="","",IFERROR(VLOOKUP($C149,SERVIÇOS!$B:$G,3,0),IFERROR(VLOOKUP($C149,'COMPOSIÇÕES COMPLEMENTARES '!$D:$L,3,0),IFERROR(VLOOKUP($C149,INSUMOS!$A:$D,3,0),""))))</f>
        <v>KG</v>
      </c>
      <c r="F149" s="313">
        <v>740</v>
      </c>
      <c r="G149" s="314">
        <f>IF($C149="","",IFERROR(VLOOKUP($C149,SERVIÇOS!$B:$G,4,0),IFERROR(VLOOKUP($C149,'COMPOSIÇÕES COMPLEMENTARES '!$D:$L,6,0),IFERROR(VLOOKUP($C149,INSUMOS!$A:$D,4,0),""))))</f>
        <v>10.52</v>
      </c>
      <c r="H149" s="314">
        <f>IF($C149="","",IFERROR(VLOOKUP($C149,SERVIÇOS!$B:$G,5,0),IFERROR(VLOOKUP($C149,'COMPOSIÇÕES COMPLEMENTARES '!$D:$L,7,0),0)))</f>
        <v>1.71</v>
      </c>
      <c r="I149" s="314">
        <f t="shared" si="14"/>
        <v>12.23</v>
      </c>
      <c r="J149" s="314">
        <f t="shared" si="15"/>
        <v>7784.8</v>
      </c>
      <c r="K149" s="314">
        <f t="shared" si="16"/>
        <v>1265.4000000000001</v>
      </c>
      <c r="L149" s="948">
        <f t="shared" si="17"/>
        <v>9050.2000000000007</v>
      </c>
      <c r="M149" s="374">
        <f t="shared" si="18"/>
        <v>4487425.5200000033</v>
      </c>
      <c r="N149" s="375">
        <f>+M149/L$815</f>
        <v>0.79456613767910156</v>
      </c>
      <c r="O149" s="376" t="str">
        <f>IF(N149&lt;0.5,"A",IF(N149&gt;0.8,"C","B"))</f>
        <v>B</v>
      </c>
    </row>
    <row r="150" spans="1:15" ht="38.25" x14ac:dyDescent="0.25">
      <c r="A150" s="232">
        <f t="shared" si="13"/>
        <v>150</v>
      </c>
      <c r="B150" s="232"/>
      <c r="C150" s="310" t="s">
        <v>12068</v>
      </c>
      <c r="D150" s="373" t="str">
        <f>IF($C150="","",IFERROR(VLOOKUP($C150,SERVIÇOS!$B:$G,2,0),IFERROR(VLOOKUP($C150,'COMPOSIÇÕES COMPLEMENTARES '!$D:$L,2,0),IFERROR(VLOOKUP($C150,INSUMOS!$A:$D,2,0),""))))</f>
        <v xml:space="preserve">BANCADA EM INOX 304/20, COM 1 CUBA SIMPLES (60X50X40CM), ENCHIMENTO EM CONCRETO ARAMADO LEVE, SEM BRITA, SOLDA DE ARGONIO, TESTEIRA DE 10CM, ACABAMENTO LISO, PROFUNDIDADE 60CM, CHUMBADAS À PAREDE E APOIADAS SOBRE BARRAS METÁLICAS. COMPRIMENTO DA BANCADA CONFORME AS DIMENSOES DO PROJETO. </v>
      </c>
      <c r="E150" s="312" t="str">
        <f>IF($C150="","",IFERROR(VLOOKUP($C150,SERVIÇOS!$B:$G,3,0),IFERROR(VLOOKUP($C150,'COMPOSIÇÕES COMPLEMENTARES '!$D:$L,3,0),IFERROR(VLOOKUP($C150,INSUMOS!$A:$D,3,0),""))))</f>
        <v>M</v>
      </c>
      <c r="F150" s="313">
        <v>4.09</v>
      </c>
      <c r="G150" s="314">
        <f>IF($C150="","",IFERROR(VLOOKUP($C150,SERVIÇOS!$B:$G,4,0),IFERROR(VLOOKUP($C150,'COMPOSIÇÕES COMPLEMENTARES '!$D:$L,6,0),IFERROR(VLOOKUP($C150,INSUMOS!$A:$D,4,0),""))))</f>
        <v>2086.08</v>
      </c>
      <c r="H150" s="314">
        <f>IF($C150="","",IFERROR(VLOOKUP($C150,SERVIÇOS!$B:$G,5,0),IFERROR(VLOOKUP($C150,'COMPOSIÇÕES COMPLEMENTARES '!$D:$L,7,0),0)))</f>
        <v>106.66</v>
      </c>
      <c r="I150" s="314">
        <f t="shared" si="14"/>
        <v>2192.7399999999998</v>
      </c>
      <c r="J150" s="314">
        <f t="shared" si="15"/>
        <v>8532.06</v>
      </c>
      <c r="K150" s="314">
        <f t="shared" si="16"/>
        <v>436.23</v>
      </c>
      <c r="L150" s="948">
        <f t="shared" si="17"/>
        <v>8968.2900000000009</v>
      </c>
      <c r="M150" s="374">
        <f t="shared" si="18"/>
        <v>4496393.8100000033</v>
      </c>
      <c r="N150" s="375">
        <f>+M150/L$815</f>
        <v>0.79615410822371036</v>
      </c>
      <c r="O150" s="376" t="str">
        <f>IF(N150&lt;0.5,"A",IF(N150&gt;0.8,"C","B"))</f>
        <v>B</v>
      </c>
    </row>
    <row r="151" spans="1:15" x14ac:dyDescent="0.25">
      <c r="A151" s="232">
        <f t="shared" si="13"/>
        <v>151</v>
      </c>
      <c r="B151" s="232"/>
      <c r="C151" s="310">
        <v>95584</v>
      </c>
      <c r="D151" s="373" t="str">
        <f>IF($C151="","",IFERROR(VLOOKUP($C151,SERVIÇOS!$B:$G,2,0),IFERROR(VLOOKUP($C151,'COMPOSIÇÕES COMPLEMENTARES '!$D:$L,2,0),IFERROR(VLOOKUP($C151,INSUMOS!$A:$D,2,0),""))))</f>
        <v>MONTAGEM DE ARMADURA TRANSVERSAL DE ESTACAS DE SEÇÃO CIRCULAR, DIÂMETRO = 6,30 MM. AF_09/2021_PS</v>
      </c>
      <c r="E151" s="312" t="str">
        <f>IF($C151="","",IFERROR(VLOOKUP($C151,SERVIÇOS!$B:$G,3,0),IFERROR(VLOOKUP($C151,'COMPOSIÇÕES COMPLEMENTARES '!$D:$L,3,0),IFERROR(VLOOKUP($C151,INSUMOS!$A:$D,3,0),""))))</f>
        <v>KG</v>
      </c>
      <c r="F151" s="313">
        <v>581.24</v>
      </c>
      <c r="G151" s="314">
        <f>IF($C151="","",IFERROR(VLOOKUP($C151,SERVIÇOS!$B:$G,4,0),IFERROR(VLOOKUP($C151,'COMPOSIÇÕES COMPLEMENTARES '!$D:$L,6,0),IFERROR(VLOOKUP($C151,INSUMOS!$A:$D,4,0),""))))</f>
        <v>10.96</v>
      </c>
      <c r="H151" s="314">
        <f>IF($C151="","",IFERROR(VLOOKUP($C151,SERVIÇOS!$B:$G,5,0),IFERROR(VLOOKUP($C151,'COMPOSIÇÕES COMPLEMENTARES '!$D:$L,7,0),0)))</f>
        <v>4.2</v>
      </c>
      <c r="I151" s="314">
        <f t="shared" si="14"/>
        <v>15.16</v>
      </c>
      <c r="J151" s="314">
        <f t="shared" si="15"/>
        <v>6370.39</v>
      </c>
      <c r="K151" s="314">
        <f t="shared" si="16"/>
        <v>2441.1999999999998</v>
      </c>
      <c r="L151" s="948">
        <f t="shared" si="17"/>
        <v>8811.59</v>
      </c>
      <c r="M151" s="374">
        <f t="shared" si="18"/>
        <v>4505205.4000000032</v>
      </c>
      <c r="N151" s="375">
        <f>+M151/L$815</f>
        <v>0.79771433267800096</v>
      </c>
      <c r="O151" s="376" t="str">
        <f>IF(N151&lt;0.5,"A",IF(N151&gt;0.8,"C","B"))</f>
        <v>B</v>
      </c>
    </row>
    <row r="152" spans="1:15" ht="25.5" x14ac:dyDescent="0.25">
      <c r="A152" s="232">
        <f t="shared" si="13"/>
        <v>152</v>
      </c>
      <c r="B152" s="232"/>
      <c r="C152" s="310" t="s">
        <v>11990</v>
      </c>
      <c r="D152" s="373" t="str">
        <f>IF($C152="","",IFERROR(VLOOKUP($C152,SERVIÇOS!$B:$G,2,0),IFERROR(VLOOKUP($C152,'COMPOSIÇÕES COMPLEMENTARES '!$D:$L,2,0),IFERROR(VLOOKUP($C152,INSUMOS!$A:$D,2,0),""))))</f>
        <v xml:space="preserve">RODAPÉ DE PISO PORCELANATO, COR OFF WHITE, 60X60CM COM REJUNTE BRANCO A BASE EPÓXI, RETIFICADO EXTRA, ABSORÇÃO DE ÁGUA MENOR OU IGUAL A 0,5% E COEFICIENTE DE ATRITO MAIOR OU IGUAL A 0,4., H=10CM </v>
      </c>
      <c r="E152" s="312" t="str">
        <f>IF($C152="","",IFERROR(VLOOKUP($C152,SERVIÇOS!$B:$G,3,0),IFERROR(VLOOKUP($C152,'COMPOSIÇÕES COMPLEMENTARES '!$D:$L,3,0),IFERROR(VLOOKUP($C152,INSUMOS!$A:$D,3,0),""))))</f>
        <v>M</v>
      </c>
      <c r="F152" s="313">
        <v>450.15</v>
      </c>
      <c r="G152" s="314">
        <f>IF($C152="","",IFERROR(VLOOKUP($C152,SERVIÇOS!$B:$G,4,0),IFERROR(VLOOKUP($C152,'COMPOSIÇÕES COMPLEMENTARES '!$D:$L,6,0),IFERROR(VLOOKUP($C152,INSUMOS!$A:$D,4,0),""))))</f>
        <v>16.95</v>
      </c>
      <c r="H152" s="314">
        <f>IF($C152="","",IFERROR(VLOOKUP($C152,SERVIÇOS!$B:$G,5,0),IFERROR(VLOOKUP($C152,'COMPOSIÇÕES COMPLEMENTARES '!$D:$L,7,0),0)))</f>
        <v>2.6</v>
      </c>
      <c r="I152" s="314">
        <f t="shared" si="14"/>
        <v>19.55</v>
      </c>
      <c r="J152" s="314">
        <f t="shared" si="15"/>
        <v>7630.04</v>
      </c>
      <c r="K152" s="314">
        <f t="shared" si="16"/>
        <v>1170.3900000000001</v>
      </c>
      <c r="L152" s="948">
        <f t="shared" si="17"/>
        <v>8800.43</v>
      </c>
      <c r="M152" s="374">
        <f t="shared" si="18"/>
        <v>4514005.8300000029</v>
      </c>
      <c r="N152" s="375">
        <f>+M152/L$815</f>
        <v>0.79927258108654842</v>
      </c>
      <c r="O152" s="376" t="str">
        <f>IF(N152&lt;0.5,"A",IF(N152&gt;0.8,"C","B"))</f>
        <v>B</v>
      </c>
    </row>
    <row r="153" spans="1:15" ht="25.5" x14ac:dyDescent="0.25">
      <c r="A153" s="232">
        <f t="shared" si="13"/>
        <v>153</v>
      </c>
      <c r="B153" s="232"/>
      <c r="C153" s="310" t="s">
        <v>11960</v>
      </c>
      <c r="D153" s="373" t="str">
        <f>IF($C153="","",IFERROR(VLOOKUP($C153,SERVIÇOS!$B:$G,2,0),IFERROR(VLOOKUP($C153,'COMPOSIÇÕES COMPLEMENTARES '!$D:$L,2,0),IFERROR(VLOOKUP($C153,INSUMOS!$A:$D,2,0),""))))</f>
        <v>PAREDE COM PLACAS DE GESSO ACARTONADO (DRYWALL) E=25CM, COM DUAS FACES SIMPLES (RU/RU), DUAS CHAPAS DE MDF 22,5MM, E ESTRUTURA METÁLICA COM GUIAS DUPLAS DE 90MM - FORNECIMENTO E INSTALAÇÃO</v>
      </c>
      <c r="E153" s="312" t="str">
        <f>IF($C153="","",IFERROR(VLOOKUP($C153,SERVIÇOS!$B:$G,3,0),IFERROR(VLOOKUP($C153,'COMPOSIÇÕES COMPLEMENTARES '!$D:$L,3,0),IFERROR(VLOOKUP($C153,INSUMOS!$A:$D,3,0),""))))</f>
        <v>M2</v>
      </c>
      <c r="F153" s="313">
        <v>26.49</v>
      </c>
      <c r="G153" s="314">
        <f>IF($C153="","",IFERROR(VLOOKUP($C153,SERVIÇOS!$B:$G,4,0),IFERROR(VLOOKUP($C153,'COMPOSIÇÕES COMPLEMENTARES '!$D:$L,6,0),IFERROR(VLOOKUP($C153,INSUMOS!$A:$D,4,0),""))))</f>
        <v>304.51</v>
      </c>
      <c r="H153" s="314">
        <f>IF($C153="","",IFERROR(VLOOKUP($C153,SERVIÇOS!$B:$G,5,0),IFERROR(VLOOKUP($C153,'COMPOSIÇÕES COMPLEMENTARES '!$D:$L,7,0),0)))</f>
        <v>25.57</v>
      </c>
      <c r="I153" s="314">
        <f t="shared" si="14"/>
        <v>330.08</v>
      </c>
      <c r="J153" s="314">
        <f t="shared" si="15"/>
        <v>8066.46</v>
      </c>
      <c r="K153" s="314">
        <f t="shared" si="16"/>
        <v>677.34</v>
      </c>
      <c r="L153" s="948">
        <f t="shared" si="17"/>
        <v>8743.7999999999993</v>
      </c>
      <c r="M153" s="374">
        <f t="shared" si="18"/>
        <v>4522749.6300000027</v>
      </c>
      <c r="N153" s="375">
        <f>+M153/L$815</f>
        <v>0.8008208023024046</v>
      </c>
      <c r="O153" s="376" t="str">
        <f>IF(N153&lt;0.5,"A",IF(N153&gt;0.8,"C","B"))</f>
        <v>C</v>
      </c>
    </row>
    <row r="154" spans="1:15" ht="25.5" x14ac:dyDescent="0.25">
      <c r="A154" s="232">
        <f t="shared" si="13"/>
        <v>154</v>
      </c>
      <c r="B154" s="232"/>
      <c r="C154" s="310" t="s">
        <v>11914</v>
      </c>
      <c r="D154" s="373" t="str">
        <f>IF($C154="","",IFERROR(VLOOKUP($C154,SERVIÇOS!$B:$G,2,0),IFERROR(VLOOKUP($C154,'COMPOSIÇÕES COMPLEMENTARES '!$D:$L,2,0),IFERROR(VLOOKUP($C154,INSUMOS!$A:$D,2,0),""))))</f>
        <v>LOCAÇÃO CONVENCIONAL DE OBRA, ATRAVÉS DE GABARITO DE TABUAS CORRIDAS PONTALETADAS, COM REAPROVEITAMENTO DE 3 VEZES</v>
      </c>
      <c r="E154" s="312" t="str">
        <f>IF($C154="","",IFERROR(VLOOKUP($C154,SERVIÇOS!$B:$G,3,0),IFERROR(VLOOKUP($C154,'COMPOSIÇÕES COMPLEMENTARES '!$D:$L,3,0),IFERROR(VLOOKUP($C154,INSUMOS!$A:$D,3,0),""))))</f>
        <v>M2</v>
      </c>
      <c r="F154" s="313">
        <v>755.45</v>
      </c>
      <c r="G154" s="314">
        <f>IF($C154="","",IFERROR(VLOOKUP($C154,SERVIÇOS!$B:$G,4,0),IFERROR(VLOOKUP($C154,'COMPOSIÇÕES COMPLEMENTARES '!$D:$L,6,0),IFERROR(VLOOKUP($C154,INSUMOS!$A:$D,4,0),""))))</f>
        <v>6.7</v>
      </c>
      <c r="H154" s="314">
        <f>IF($C154="","",IFERROR(VLOOKUP($C154,SERVIÇOS!$B:$G,5,0),IFERROR(VLOOKUP($C154,'COMPOSIÇÕES COMPLEMENTARES '!$D:$L,7,0),0)))</f>
        <v>4.68</v>
      </c>
      <c r="I154" s="314">
        <f t="shared" si="14"/>
        <v>11.379999999999999</v>
      </c>
      <c r="J154" s="314">
        <f t="shared" si="15"/>
        <v>5061.51</v>
      </c>
      <c r="K154" s="314">
        <f t="shared" si="16"/>
        <v>3535.5</v>
      </c>
      <c r="L154" s="948">
        <f t="shared" si="17"/>
        <v>8597.01</v>
      </c>
      <c r="M154" s="374">
        <f t="shared" si="18"/>
        <v>4531346.6400000025</v>
      </c>
      <c r="N154" s="375">
        <f>+M154/L$815</f>
        <v>0.80234303214239722</v>
      </c>
      <c r="O154" s="376" t="str">
        <f>IF(N154&lt;0.5,"A",IF(N154&gt;0.8,"C","B"))</f>
        <v>C</v>
      </c>
    </row>
    <row r="155" spans="1:15" x14ac:dyDescent="0.25">
      <c r="A155" s="232">
        <f t="shared" si="13"/>
        <v>155</v>
      </c>
      <c r="B155" s="232"/>
      <c r="C155" s="310">
        <v>105113</v>
      </c>
      <c r="D155" s="373" t="str">
        <f>IF($C155="","",IFERROR(VLOOKUP($C155,SERVIÇOS!$B:$G,2,0),IFERROR(VLOOKUP($C155,'COMPOSIÇÕES COMPLEMENTARES '!$D:$L,2,0),IFERROR(VLOOKUP($C155,INSUMOS!$A:$D,2,0),""))))</f>
        <v>ESTRUTURA DE MADEIRA PROVISÓRIA PARA SUPORTE DE CAIXA D'ÁGUA ELEVADA DE 2000 LITROS. AF_03/2024</v>
      </c>
      <c r="E155" s="312" t="str">
        <f>IF($C155="","",IFERROR(VLOOKUP($C155,SERVIÇOS!$B:$G,3,0),IFERROR(VLOOKUP($C155,'COMPOSIÇÕES COMPLEMENTARES '!$D:$L,3,0),IFERROR(VLOOKUP($C155,INSUMOS!$A:$D,3,0),""))))</f>
        <v>UN</v>
      </c>
      <c r="F155" s="313">
        <v>1</v>
      </c>
      <c r="G155" s="314">
        <f>IF($C155="","",IFERROR(VLOOKUP($C155,SERVIÇOS!$B:$G,4,0),IFERROR(VLOOKUP($C155,'COMPOSIÇÕES COMPLEMENTARES '!$D:$L,6,0),IFERROR(VLOOKUP($C155,INSUMOS!$A:$D,4,0),""))))</f>
        <v>6533.47</v>
      </c>
      <c r="H155" s="314">
        <f>IF($C155="","",IFERROR(VLOOKUP($C155,SERVIÇOS!$B:$G,5,0),IFERROR(VLOOKUP($C155,'COMPOSIÇÕES COMPLEMENTARES '!$D:$L,7,0),0)))</f>
        <v>2022.67</v>
      </c>
      <c r="I155" s="314">
        <f t="shared" si="14"/>
        <v>8556.14</v>
      </c>
      <c r="J155" s="314">
        <f t="shared" si="15"/>
        <v>6533.47</v>
      </c>
      <c r="K155" s="314">
        <f t="shared" si="16"/>
        <v>2022.67</v>
      </c>
      <c r="L155" s="948">
        <f t="shared" si="17"/>
        <v>8556.14</v>
      </c>
      <c r="M155" s="374">
        <f t="shared" si="18"/>
        <v>4539902.7800000021</v>
      </c>
      <c r="N155" s="375">
        <f>+M155/L$815</f>
        <v>0.80385802533458317</v>
      </c>
      <c r="O155" s="376" t="str">
        <f>IF(N155&lt;0.5,"A",IF(N155&gt;0.8,"C","B"))</f>
        <v>C</v>
      </c>
    </row>
    <row r="156" spans="1:15" x14ac:dyDescent="0.25">
      <c r="A156" s="232">
        <f t="shared" si="13"/>
        <v>156</v>
      </c>
      <c r="B156" s="232"/>
      <c r="C156" s="310" t="s">
        <v>12216</v>
      </c>
      <c r="D156" s="373" t="str">
        <f>IF($C156="","",IFERROR(VLOOKUP($C156,SERVIÇOS!$B:$G,2,0),IFERROR(VLOOKUP($C156,'COMPOSIÇÕES COMPLEMENTARES '!$D:$L,2,0),IFERROR(VLOOKUP($C156,INSUMOS!$A:$D,2,0),""))))</f>
        <v>ELETROCALHA PERFURADA 200X100X3000MM - CH 18, INCLUSO CONEXÕES E SUPORTES DE FIXAÇÃO</v>
      </c>
      <c r="E156" s="312" t="str">
        <f>IF($C156="","",IFERROR(VLOOKUP($C156,SERVIÇOS!$B:$G,3,0),IFERROR(VLOOKUP($C156,'COMPOSIÇÕES COMPLEMENTARES '!$D:$L,3,0),IFERROR(VLOOKUP($C156,INSUMOS!$A:$D,3,0),""))))</f>
        <v>M</v>
      </c>
      <c r="F156" s="313">
        <v>30</v>
      </c>
      <c r="G156" s="314">
        <f>IF($C156="","",IFERROR(VLOOKUP($C156,SERVIÇOS!$B:$G,4,0),IFERROR(VLOOKUP($C156,'COMPOSIÇÕES COMPLEMENTARES '!$D:$L,6,0),IFERROR(VLOOKUP($C156,INSUMOS!$A:$D,4,0),""))))</f>
        <v>241.21</v>
      </c>
      <c r="H156" s="314">
        <f>IF($C156="","",IFERROR(VLOOKUP($C156,SERVIÇOS!$B:$G,5,0),IFERROR(VLOOKUP($C156,'COMPOSIÇÕES COMPLEMENTARES '!$D:$L,7,0),0)))</f>
        <v>43.98</v>
      </c>
      <c r="I156" s="314">
        <f t="shared" si="14"/>
        <v>285.19</v>
      </c>
      <c r="J156" s="314">
        <f t="shared" si="15"/>
        <v>7236.3</v>
      </c>
      <c r="K156" s="314">
        <f t="shared" si="16"/>
        <v>1319.4</v>
      </c>
      <c r="L156" s="948">
        <f t="shared" si="17"/>
        <v>8555.7000000000007</v>
      </c>
      <c r="M156" s="374">
        <f t="shared" si="18"/>
        <v>4548458.4800000023</v>
      </c>
      <c r="N156" s="375">
        <f>+M156/L$815</f>
        <v>0.80537294061815556</v>
      </c>
      <c r="O156" s="376" t="str">
        <f>IF(N156&lt;0.5,"A",IF(N156&gt;0.8,"C","B"))</f>
        <v>C</v>
      </c>
    </row>
    <row r="157" spans="1:15" x14ac:dyDescent="0.25">
      <c r="A157" s="232">
        <f t="shared" si="13"/>
        <v>157</v>
      </c>
      <c r="B157" s="232"/>
      <c r="C157" s="310" t="s">
        <v>12216</v>
      </c>
      <c r="D157" s="373" t="str">
        <f>IF($C157="","",IFERROR(VLOOKUP($C157,SERVIÇOS!$B:$G,2,0),IFERROR(VLOOKUP($C157,'COMPOSIÇÕES COMPLEMENTARES '!$D:$L,2,0),IFERROR(VLOOKUP($C157,INSUMOS!$A:$D,2,0),""))))</f>
        <v>ELETROCALHA PERFURADA 200X100X3000MM - CH 18, INCLUSO CONEXÕES E SUPORTES DE FIXAÇÃO</v>
      </c>
      <c r="E157" s="312" t="str">
        <f>IF($C157="","",IFERROR(VLOOKUP($C157,SERVIÇOS!$B:$G,3,0),IFERROR(VLOOKUP($C157,'COMPOSIÇÕES COMPLEMENTARES '!$D:$L,3,0),IFERROR(VLOOKUP($C157,INSUMOS!$A:$D,3,0),""))))</f>
        <v>M</v>
      </c>
      <c r="F157" s="313">
        <v>30</v>
      </c>
      <c r="G157" s="314">
        <f>IF($C157="","",IFERROR(VLOOKUP($C157,SERVIÇOS!$B:$G,4,0),IFERROR(VLOOKUP($C157,'COMPOSIÇÕES COMPLEMENTARES '!$D:$L,6,0),IFERROR(VLOOKUP($C157,INSUMOS!$A:$D,4,0),""))))</f>
        <v>241.21</v>
      </c>
      <c r="H157" s="314">
        <f>IF($C157="","",IFERROR(VLOOKUP($C157,SERVIÇOS!$B:$G,5,0),IFERROR(VLOOKUP($C157,'COMPOSIÇÕES COMPLEMENTARES '!$D:$L,7,0),0)))</f>
        <v>43.98</v>
      </c>
      <c r="I157" s="314">
        <f t="shared" si="14"/>
        <v>285.19</v>
      </c>
      <c r="J157" s="314">
        <f t="shared" si="15"/>
        <v>7236.3</v>
      </c>
      <c r="K157" s="314">
        <f t="shared" si="16"/>
        <v>1319.4</v>
      </c>
      <c r="L157" s="948">
        <f t="shared" si="17"/>
        <v>8555.7000000000007</v>
      </c>
      <c r="M157" s="374">
        <f t="shared" si="18"/>
        <v>4557014.1800000025</v>
      </c>
      <c r="N157" s="375">
        <f>+M157/L$815</f>
        <v>0.80688785590172807</v>
      </c>
      <c r="O157" s="376" t="str">
        <f>IF(N157&lt;0.5,"A",IF(N157&gt;0.8,"C","B"))</f>
        <v>C</v>
      </c>
    </row>
    <row r="158" spans="1:15" x14ac:dyDescent="0.25">
      <c r="A158" s="232">
        <f t="shared" si="13"/>
        <v>158</v>
      </c>
      <c r="B158" s="232"/>
      <c r="C158" s="310" t="s">
        <v>12252</v>
      </c>
      <c r="D158" s="373" t="str">
        <f>IF($C158="","",IFERROR(VLOOKUP($C158,SERVIÇOS!$B:$G,2,0),IFERROR(VLOOKUP($C158,'COMPOSIÇÕES COMPLEMENTARES '!$D:$L,2,0),IFERROR(VLOOKUP($C158,INSUMOS!$A:$D,2,0),""))))</f>
        <v>CABO AFUMEX 0,6/1KV 1 CONDUTOR 2,5mm2</v>
      </c>
      <c r="E158" s="312" t="str">
        <f>IF($C158="","",IFERROR(VLOOKUP($C158,SERVIÇOS!$B:$G,3,0),IFERROR(VLOOKUP($C158,'COMPOSIÇÕES COMPLEMENTARES '!$D:$L,3,0),IFERROR(VLOOKUP($C158,INSUMOS!$A:$D,3,0),""))))</f>
        <v>M</v>
      </c>
      <c r="F158" s="313">
        <v>495</v>
      </c>
      <c r="G158" s="314">
        <f>IF($C158="","",IFERROR(VLOOKUP($C158,SERVIÇOS!$B:$G,4,0),IFERROR(VLOOKUP($C158,'COMPOSIÇÕES COMPLEMENTARES '!$D:$L,6,0),IFERROR(VLOOKUP($C158,INSUMOS!$A:$D,4,0),""))))</f>
        <v>6.98</v>
      </c>
      <c r="H158" s="314">
        <f>IF($C158="","",IFERROR(VLOOKUP($C158,SERVIÇOS!$B:$G,5,0),IFERROR(VLOOKUP($C158,'COMPOSIÇÕES COMPLEMENTARES '!$D:$L,7,0),0)))</f>
        <v>10.199999999999999</v>
      </c>
      <c r="I158" s="314">
        <f t="shared" si="14"/>
        <v>17.18</v>
      </c>
      <c r="J158" s="314">
        <f t="shared" si="15"/>
        <v>3455.1</v>
      </c>
      <c r="K158" s="314">
        <f t="shared" si="16"/>
        <v>5049</v>
      </c>
      <c r="L158" s="948">
        <f t="shared" si="17"/>
        <v>8504.1</v>
      </c>
      <c r="M158" s="374">
        <f t="shared" si="18"/>
        <v>4565518.2800000021</v>
      </c>
      <c r="N158" s="375">
        <f>+M158/L$815</f>
        <v>0.80839363462971392</v>
      </c>
      <c r="O158" s="376" t="str">
        <f>IF(N158&lt;0.5,"A",IF(N158&gt;0.8,"C","B"))</f>
        <v>C</v>
      </c>
    </row>
    <row r="159" spans="1:15" x14ac:dyDescent="0.25">
      <c r="A159" s="232">
        <f t="shared" si="13"/>
        <v>159</v>
      </c>
      <c r="B159" s="232"/>
      <c r="C159" s="310">
        <v>98565</v>
      </c>
      <c r="D159" s="373" t="str">
        <f>IF($C159="","",IFERROR(VLOOKUP($C159,SERVIÇOS!$B:$G,2,0),IFERROR(VLOOKUP($C159,'COMPOSIÇÕES COMPLEMENTARES '!$D:$L,2,0),IFERROR(VLOOKUP($C159,INSUMOS!$A:$D,2,0),""))))</f>
        <v>PROTEÇÃO MECÂNICA DE SUPERFICIE HORIZONTAL COM ARGAMASSA DE CIMENTO E AREIA, TRAÇO 1:3, E=3CM. AF_09/2023</v>
      </c>
      <c r="E159" s="312" t="str">
        <f>IF($C159="","",IFERROR(VLOOKUP($C159,SERVIÇOS!$B:$G,3,0),IFERROR(VLOOKUP($C159,'COMPOSIÇÕES COMPLEMENTARES '!$D:$L,3,0),IFERROR(VLOOKUP($C159,INSUMOS!$A:$D,3,0),""))))</f>
        <v>M2</v>
      </c>
      <c r="F159" s="313">
        <v>134.83000000000001</v>
      </c>
      <c r="G159" s="314">
        <f>IF($C159="","",IFERROR(VLOOKUP($C159,SERVIÇOS!$B:$G,4,0),IFERROR(VLOOKUP($C159,'COMPOSIÇÕES COMPLEMENTARES '!$D:$L,6,0),IFERROR(VLOOKUP($C159,INSUMOS!$A:$D,4,0),""))))</f>
        <v>32.630000000000003</v>
      </c>
      <c r="H159" s="314">
        <f>IF($C159="","",IFERROR(VLOOKUP($C159,SERVIÇOS!$B:$G,5,0),IFERROR(VLOOKUP($C159,'COMPOSIÇÕES COMPLEMENTARES '!$D:$L,7,0),0)))</f>
        <v>30.07</v>
      </c>
      <c r="I159" s="314">
        <f t="shared" si="14"/>
        <v>62.7</v>
      </c>
      <c r="J159" s="314">
        <f t="shared" si="15"/>
        <v>4399.5</v>
      </c>
      <c r="K159" s="314">
        <f t="shared" si="16"/>
        <v>4054.33</v>
      </c>
      <c r="L159" s="948">
        <f t="shared" si="17"/>
        <v>8453.83</v>
      </c>
      <c r="M159" s="374">
        <f t="shared" si="18"/>
        <v>4573972.1100000022</v>
      </c>
      <c r="N159" s="375">
        <f>+M159/L$815</f>
        <v>0.80989051229860409</v>
      </c>
      <c r="O159" s="376" t="str">
        <f>IF(N159&lt;0.5,"A",IF(N159&gt;0.8,"C","B"))</f>
        <v>C</v>
      </c>
    </row>
    <row r="160" spans="1:15" x14ac:dyDescent="0.25">
      <c r="A160" s="232">
        <f t="shared" si="13"/>
        <v>160</v>
      </c>
      <c r="B160" s="232"/>
      <c r="C160" s="310" t="s">
        <v>11946</v>
      </c>
      <c r="D160" s="373" t="str">
        <f>IF($C160="","",IFERROR(VLOOKUP($C160,SERVIÇOS!$B:$G,2,0),IFERROR(VLOOKUP($C160,'COMPOSIÇÕES COMPLEMENTARES '!$D:$L,2,0),IFERROR(VLOOKUP($C160,INSUMOS!$A:$D,2,0),""))))</f>
        <v>LAJE PRÉ-FABRICADA MISTA VIGOTA TRELIÇADA/LAJOTA CERÂMICA - LT 16 (12+4) E CAPA COM CONCRET</v>
      </c>
      <c r="E160" s="312" t="str">
        <f>IF($C160="","",IFERROR(VLOOKUP($C160,SERVIÇOS!$B:$G,3,0),IFERROR(VLOOKUP($C160,'COMPOSIÇÕES COMPLEMENTARES '!$D:$L,3,0),IFERROR(VLOOKUP($C160,INSUMOS!$A:$D,3,0),""))))</f>
        <v>M2</v>
      </c>
      <c r="F160" s="313">
        <v>55.409399999999998</v>
      </c>
      <c r="G160" s="314">
        <f>IF($C160="","",IFERROR(VLOOKUP($C160,SERVIÇOS!$B:$G,4,0),IFERROR(VLOOKUP($C160,'COMPOSIÇÕES COMPLEMENTARES '!$D:$L,6,0),IFERROR(VLOOKUP($C160,INSUMOS!$A:$D,4,0),""))))</f>
        <v>113.57</v>
      </c>
      <c r="H160" s="314">
        <f>IF($C160="","",IFERROR(VLOOKUP($C160,SERVIÇOS!$B:$G,5,0),IFERROR(VLOOKUP($C160,'COMPOSIÇÕES COMPLEMENTARES '!$D:$L,7,0),0)))</f>
        <v>37.590000000000003</v>
      </c>
      <c r="I160" s="314">
        <f t="shared" si="14"/>
        <v>151.16</v>
      </c>
      <c r="J160" s="314">
        <f t="shared" si="15"/>
        <v>6292.84</v>
      </c>
      <c r="K160" s="314">
        <f t="shared" si="16"/>
        <v>2082.83</v>
      </c>
      <c r="L160" s="948">
        <f t="shared" si="17"/>
        <v>8375.67</v>
      </c>
      <c r="M160" s="374">
        <f t="shared" si="18"/>
        <v>4582347.7800000021</v>
      </c>
      <c r="N160" s="375">
        <f>+M160/L$815</f>
        <v>0.81137355056469085</v>
      </c>
      <c r="O160" s="376" t="str">
        <f>IF(N160&lt;0.5,"A",IF(N160&gt;0.8,"C","B"))</f>
        <v>C</v>
      </c>
    </row>
    <row r="161" spans="1:15" x14ac:dyDescent="0.25">
      <c r="A161" s="232">
        <f t="shared" si="13"/>
        <v>161</v>
      </c>
      <c r="B161" s="232"/>
      <c r="C161" s="310" t="s">
        <v>11950</v>
      </c>
      <c r="D161" s="373" t="str">
        <f>IF($C161="","",IFERROR(VLOOKUP($C161,SERVIÇOS!$B:$G,2,0),IFERROR(VLOOKUP($C161,'COMPOSIÇÕES COMPLEMENTARES '!$D:$L,2,0),IFERROR(VLOOKUP($C161,INSUMOS!$A:$D,2,0),""))))</f>
        <v xml:space="preserve">VERGA MOLDADA IN LOCO EM CONCRETO, FCK 30MPA, ESPESSURA DE *15* CM, CONFORME DETALHE </v>
      </c>
      <c r="E161" s="312" t="str">
        <f>IF($C161="","",IFERROR(VLOOKUP($C161,SERVIÇOS!$B:$G,3,0),IFERROR(VLOOKUP($C161,'COMPOSIÇÕES COMPLEMENTARES '!$D:$L,3,0),IFERROR(VLOOKUP($C161,INSUMOS!$A:$D,3,0),""))))</f>
        <v>M</v>
      </c>
      <c r="F161" s="313">
        <v>113.03</v>
      </c>
      <c r="G161" s="314">
        <f>IF($C161="","",IFERROR(VLOOKUP($C161,SERVIÇOS!$B:$G,4,0),IFERROR(VLOOKUP($C161,'COMPOSIÇÕES COMPLEMENTARES '!$D:$L,6,0),IFERROR(VLOOKUP($C161,INSUMOS!$A:$D,4,0),""))))</f>
        <v>47.61</v>
      </c>
      <c r="H161" s="314">
        <f>IF($C161="","",IFERROR(VLOOKUP($C161,SERVIÇOS!$B:$G,5,0),IFERROR(VLOOKUP($C161,'COMPOSIÇÕES COMPLEMENTARES '!$D:$L,7,0),0)))</f>
        <v>25.12</v>
      </c>
      <c r="I161" s="314">
        <f t="shared" si="14"/>
        <v>72.73</v>
      </c>
      <c r="J161" s="314">
        <f t="shared" si="15"/>
        <v>5381.35</v>
      </c>
      <c r="K161" s="314">
        <f t="shared" si="16"/>
        <v>2839.31</v>
      </c>
      <c r="L161" s="948">
        <f t="shared" si="17"/>
        <v>8220.66</v>
      </c>
      <c r="M161" s="374">
        <f t="shared" si="18"/>
        <v>4590568.4400000023</v>
      </c>
      <c r="N161" s="375">
        <f>+M161/L$815</f>
        <v>0.81282914198036149</v>
      </c>
      <c r="O161" s="376" t="str">
        <f>IF(N161&lt;0.5,"A",IF(N161&gt;0.8,"C","B"))</f>
        <v>C</v>
      </c>
    </row>
    <row r="162" spans="1:15" x14ac:dyDescent="0.25">
      <c r="A162" s="232">
        <f t="shared" si="13"/>
        <v>162</v>
      </c>
      <c r="B162" s="232"/>
      <c r="C162" s="310">
        <v>100327</v>
      </c>
      <c r="D162" s="373" t="str">
        <f>IF($C162="","",IFERROR(VLOOKUP($C162,SERVIÇOS!$B:$G,2,0),IFERROR(VLOOKUP($C162,'COMPOSIÇÕES COMPLEMENTARES '!$D:$L,2,0),IFERROR(VLOOKUP($C162,INSUMOS!$A:$D,2,0),""))))</f>
        <v>RUFO EXTERNO/INTERNO EM CHAPA DE AÇO GALVANIZADO NÚMERO 26, CORTE DE 33 CM, INCLUSO IÇAMENTO. AF_07/2019</v>
      </c>
      <c r="E162" s="312" t="str">
        <f>IF($C162="","",IFERROR(VLOOKUP($C162,SERVIÇOS!$B:$G,3,0),IFERROR(VLOOKUP($C162,'COMPOSIÇÕES COMPLEMENTARES '!$D:$L,3,0),IFERROR(VLOOKUP($C162,INSUMOS!$A:$D,3,0),""))))</f>
        <v>M</v>
      </c>
      <c r="F162" s="313">
        <v>139.82</v>
      </c>
      <c r="G162" s="314">
        <f>IF($C162="","",IFERROR(VLOOKUP($C162,SERVIÇOS!$B:$G,4,0),IFERROR(VLOOKUP($C162,'COMPOSIÇÕES COMPLEMENTARES '!$D:$L,6,0),IFERROR(VLOOKUP($C162,INSUMOS!$A:$D,4,0),""))))</f>
        <v>49.07</v>
      </c>
      <c r="H162" s="314">
        <f>IF($C162="","",IFERROR(VLOOKUP($C162,SERVIÇOS!$B:$G,5,0),IFERROR(VLOOKUP($C162,'COMPOSIÇÕES COMPLEMENTARES '!$D:$L,7,0),0)))</f>
        <v>9.4</v>
      </c>
      <c r="I162" s="314">
        <f t="shared" si="14"/>
        <v>58.47</v>
      </c>
      <c r="J162" s="314">
        <f t="shared" si="15"/>
        <v>6860.96</v>
      </c>
      <c r="K162" s="314">
        <f t="shared" si="16"/>
        <v>1314.3</v>
      </c>
      <c r="L162" s="948">
        <f t="shared" si="17"/>
        <v>8175.26</v>
      </c>
      <c r="M162" s="374">
        <f t="shared" si="18"/>
        <v>4598743.700000002</v>
      </c>
      <c r="N162" s="375">
        <f>+M162/L$815</f>
        <v>0.81427669464363606</v>
      </c>
      <c r="O162" s="376" t="str">
        <f>IF(N162&lt;0.5,"A",IF(N162&gt;0.8,"C","B"))</f>
        <v>C</v>
      </c>
    </row>
    <row r="163" spans="1:15" ht="25.5" x14ac:dyDescent="0.25">
      <c r="A163" s="232">
        <f t="shared" si="13"/>
        <v>163</v>
      </c>
      <c r="B163" s="232"/>
      <c r="C163" s="310" t="s">
        <v>11989</v>
      </c>
      <c r="D163" s="373" t="str">
        <f>IF($C163="","",IFERROR(VLOOKUP($C163,SERVIÇOS!$B:$G,2,0),IFERROR(VLOOKUP($C163,'COMPOSIÇÕES COMPLEMENTARES '!$D:$L,2,0),IFERROR(VLOOKUP($C163,INSUMOS!$A:$D,2,0),""))))</f>
        <v>SOLEIRAS E/OU PEITORIL EM GRANITO POLIDO, TIPO ANDORINHA/ QUARTZ/ CASTELO/ CORUMBA OU OUTROS EQUIVALENTES DA REGIAO, ESPESSURA 2CM, ASSENTADA SOBRE ARGAMASSA TRACO 1:4 (CIMENTO E AREIA)</v>
      </c>
      <c r="E163" s="312" t="str">
        <f>IF($C163="","",IFERROR(VLOOKUP($C163,SERVIÇOS!$B:$G,3,0),IFERROR(VLOOKUP($C163,'COMPOSIÇÕES COMPLEMENTARES '!$D:$L,3,0),IFERROR(VLOOKUP($C163,INSUMOS!$A:$D,3,0),""))))</f>
        <v>M2</v>
      </c>
      <c r="F163" s="313">
        <v>20.86</v>
      </c>
      <c r="G163" s="314">
        <f>IF($C163="","",IFERROR(VLOOKUP($C163,SERVIÇOS!$B:$G,4,0),IFERROR(VLOOKUP($C163,'COMPOSIÇÕES COMPLEMENTARES '!$D:$L,6,0),IFERROR(VLOOKUP($C163,INSUMOS!$A:$D,4,0),""))))</f>
        <v>364.23</v>
      </c>
      <c r="H163" s="314">
        <f>IF($C163="","",IFERROR(VLOOKUP($C163,SERVIÇOS!$B:$G,5,0),IFERROR(VLOOKUP($C163,'COMPOSIÇÕES COMPLEMENTARES '!$D:$L,7,0),0)))</f>
        <v>19.77</v>
      </c>
      <c r="I163" s="314">
        <f t="shared" si="14"/>
        <v>384</v>
      </c>
      <c r="J163" s="314">
        <f t="shared" si="15"/>
        <v>7597.83</v>
      </c>
      <c r="K163" s="314">
        <f t="shared" si="16"/>
        <v>412.4</v>
      </c>
      <c r="L163" s="948">
        <f t="shared" si="17"/>
        <v>8010.23</v>
      </c>
      <c r="M163" s="374">
        <f t="shared" si="18"/>
        <v>4606753.9300000025</v>
      </c>
      <c r="N163" s="375">
        <f>+M163/L$815</f>
        <v>0.81569502626488632</v>
      </c>
      <c r="O163" s="376" t="str">
        <f>IF(N163&lt;0.5,"A",IF(N163&gt;0.8,"C","B"))</f>
        <v>C</v>
      </c>
    </row>
    <row r="164" spans="1:15" x14ac:dyDescent="0.25">
      <c r="A164" s="232">
        <f t="shared" si="13"/>
        <v>164</v>
      </c>
      <c r="B164" s="232"/>
      <c r="C164" s="310" t="s">
        <v>12518</v>
      </c>
      <c r="D164" s="373" t="str">
        <f>IF($C164="","",IFERROR(VLOOKUP($C164,SERVIÇOS!$B:$G,2,0),IFERROR(VLOOKUP($C164,'COMPOSIÇÕES COMPLEMENTARES '!$D:$L,2,0),IFERROR(VLOOKUP($C164,INSUMOS!$A:$D,2,0),""))))</f>
        <v>PORTÃO DE CORRER EM TELA ONDULADA DE AÇO GALVANIZADO, SOB MEDIDA</v>
      </c>
      <c r="E164" s="312" t="str">
        <f>IF($C164="","",IFERROR(VLOOKUP($C164,SERVIÇOS!$B:$G,3,0),IFERROR(VLOOKUP($C164,'COMPOSIÇÕES COMPLEMENTARES '!$D:$L,3,0),IFERROR(VLOOKUP($C164,INSUMOS!$A:$D,3,0),""))))</f>
        <v>M2</v>
      </c>
      <c r="F164" s="313">
        <v>11</v>
      </c>
      <c r="G164" s="314">
        <f>IF($C164="","",IFERROR(VLOOKUP($C164,SERVIÇOS!$B:$G,4,0),IFERROR(VLOOKUP($C164,'COMPOSIÇÕES COMPLEMENTARES '!$D:$L,6,0),IFERROR(VLOOKUP($C164,INSUMOS!$A:$D,4,0),""))))</f>
        <v>638.66</v>
      </c>
      <c r="H164" s="314">
        <f>IF($C164="","",IFERROR(VLOOKUP($C164,SERVIÇOS!$B:$G,5,0),IFERROR(VLOOKUP($C164,'COMPOSIÇÕES COMPLEMENTARES '!$D:$L,7,0),0)))</f>
        <v>86.16</v>
      </c>
      <c r="I164" s="314">
        <f t="shared" si="14"/>
        <v>724.81999999999994</v>
      </c>
      <c r="J164" s="314">
        <f t="shared" si="15"/>
        <v>7025.26</v>
      </c>
      <c r="K164" s="314">
        <f t="shared" si="16"/>
        <v>947.76</v>
      </c>
      <c r="L164" s="948">
        <f t="shared" si="17"/>
        <v>7973.02</v>
      </c>
      <c r="M164" s="374">
        <f t="shared" si="18"/>
        <v>4614726.950000002</v>
      </c>
      <c r="N164" s="375">
        <f>+M164/L$815</f>
        <v>0.81710676929634241</v>
      </c>
      <c r="O164" s="376" t="str">
        <f>IF(N164&lt;0.5,"A",IF(N164&gt;0.8,"C","B"))</f>
        <v>C</v>
      </c>
    </row>
    <row r="165" spans="1:15" x14ac:dyDescent="0.25">
      <c r="A165" s="232">
        <f t="shared" si="13"/>
        <v>165</v>
      </c>
      <c r="B165" s="232"/>
      <c r="C165" s="310">
        <v>93358</v>
      </c>
      <c r="D165" s="373" t="str">
        <f>IF($C165="","",IFERROR(VLOOKUP($C165,SERVIÇOS!$B:$G,2,0),IFERROR(VLOOKUP($C165,'COMPOSIÇÕES COMPLEMENTARES '!$D:$L,2,0),IFERROR(VLOOKUP($C165,INSUMOS!$A:$D,2,0),""))))</f>
        <v>ESCAVAÇÃO MANUAL DE VALA. AF_09/2024</v>
      </c>
      <c r="E165" s="312" t="str">
        <f>IF($C165="","",IFERROR(VLOOKUP($C165,SERVIÇOS!$B:$G,3,0),IFERROR(VLOOKUP($C165,'COMPOSIÇÕES COMPLEMENTARES '!$D:$L,3,0),IFERROR(VLOOKUP($C165,INSUMOS!$A:$D,3,0),""))))</f>
        <v>M3</v>
      </c>
      <c r="F165" s="313">
        <v>69.430000000000007</v>
      </c>
      <c r="G165" s="314">
        <f>IF($C165="","",IFERROR(VLOOKUP($C165,SERVIÇOS!$B:$G,4,0),IFERROR(VLOOKUP($C165,'COMPOSIÇÕES COMPLEMENTARES '!$D:$L,6,0),IFERROR(VLOOKUP($C165,INSUMOS!$A:$D,4,0),""))))</f>
        <v>36.369999999999997</v>
      </c>
      <c r="H165" s="314">
        <f>IF($C165="","",IFERROR(VLOOKUP($C165,SERVIÇOS!$B:$G,5,0),IFERROR(VLOOKUP($C165,'COMPOSIÇÕES COMPLEMENTARES '!$D:$L,7,0),0)))</f>
        <v>77.2</v>
      </c>
      <c r="I165" s="314">
        <f t="shared" si="14"/>
        <v>113.57</v>
      </c>
      <c r="J165" s="314">
        <f t="shared" si="15"/>
        <v>2525.16</v>
      </c>
      <c r="K165" s="314">
        <f t="shared" si="16"/>
        <v>5359.99</v>
      </c>
      <c r="L165" s="948">
        <f t="shared" si="17"/>
        <v>7885.15</v>
      </c>
      <c r="M165" s="374">
        <f t="shared" si="18"/>
        <v>4622612.1000000024</v>
      </c>
      <c r="N165" s="375">
        <f>+M165/L$815</f>
        <v>0.81850295362354664</v>
      </c>
      <c r="O165" s="376" t="str">
        <f>IF(N165&lt;0.5,"A",IF(N165&gt;0.8,"C","B"))</f>
        <v>C</v>
      </c>
    </row>
    <row r="166" spans="1:15" ht="25.5" x14ac:dyDescent="0.25">
      <c r="A166" s="232">
        <f t="shared" si="13"/>
        <v>166</v>
      </c>
      <c r="B166" s="232"/>
      <c r="C166" s="310">
        <v>98065</v>
      </c>
      <c r="D166" s="373" t="str">
        <f>IF($C166="","",IFERROR(VLOOKUP($C166,SERVIÇOS!$B:$G,2,0),IFERROR(VLOOKUP($C166,'COMPOSIÇÕES COMPLEMENTARES '!$D:$L,2,0),IFERROR(VLOOKUP($C166,INSUMOS!$A:$D,2,0),""))))</f>
        <v>SUMIDOURO CIRCULAR, EM CONCRETO PRÉ-MOLDADO, DIÂMETRO INTERNO = 2,88 M, ALTURA INTERNA = 3,0 M, ÁREA DE INFILTRAÇÃO: 31,4 M² (PARA 12 CONTRIBUINTES). AF_12/2020</v>
      </c>
      <c r="E166" s="312" t="str">
        <f>IF($C166="","",IFERROR(VLOOKUP($C166,SERVIÇOS!$B:$G,3,0),IFERROR(VLOOKUP($C166,'COMPOSIÇÕES COMPLEMENTARES '!$D:$L,3,0),IFERROR(VLOOKUP($C166,INSUMOS!$A:$D,3,0),""))))</f>
        <v>UN</v>
      </c>
      <c r="F166" s="313">
        <v>1</v>
      </c>
      <c r="G166" s="314">
        <f>IF($C166="","",IFERROR(VLOOKUP($C166,SERVIÇOS!$B:$G,4,0),IFERROR(VLOOKUP($C166,'COMPOSIÇÕES COMPLEMENTARES '!$D:$L,6,0),IFERROR(VLOOKUP($C166,INSUMOS!$A:$D,4,0),""))))</f>
        <v>7192.02</v>
      </c>
      <c r="H166" s="314">
        <f>IF($C166="","",IFERROR(VLOOKUP($C166,SERVIÇOS!$B:$G,5,0),IFERROR(VLOOKUP($C166,'COMPOSIÇÕES COMPLEMENTARES '!$D:$L,7,0),0)))</f>
        <v>628.79</v>
      </c>
      <c r="I166" s="314">
        <f t="shared" si="14"/>
        <v>7820.81</v>
      </c>
      <c r="J166" s="314">
        <f t="shared" si="15"/>
        <v>7192.02</v>
      </c>
      <c r="K166" s="314">
        <f t="shared" si="16"/>
        <v>628.79</v>
      </c>
      <c r="L166" s="948">
        <f t="shared" si="17"/>
        <v>7820.81</v>
      </c>
      <c r="M166" s="374">
        <f t="shared" si="18"/>
        <v>4630432.910000002</v>
      </c>
      <c r="N166" s="375">
        <f>+M166/L$815</f>
        <v>0.81988774558667254</v>
      </c>
      <c r="O166" s="376" t="str">
        <f>IF(N166&lt;0.5,"A",IF(N166&gt;0.8,"C","B"))</f>
        <v>C</v>
      </c>
    </row>
    <row r="167" spans="1:15" x14ac:dyDescent="0.25">
      <c r="A167" s="232">
        <f t="shared" si="13"/>
        <v>167</v>
      </c>
      <c r="B167" s="232"/>
      <c r="C167" s="310" t="s">
        <v>12150</v>
      </c>
      <c r="D167" s="373" t="str">
        <f>IF($C167="","",IFERROR(VLOOKUP($C167,SERVIÇOS!$B:$G,2,0),IFERROR(VLOOKUP($C167,'COMPOSIÇÕES COMPLEMENTARES '!$D:$L,2,0),IFERROR(VLOOKUP($C167,INSUMOS!$A:$D,2,0),""))))</f>
        <v>TUBO DE PVC, SÉRIE NORMAL, PARA ÁGUAS PLUVIAIS, INCLUSO CONEXÕES - D= 100MM</v>
      </c>
      <c r="E167" s="312" t="str">
        <f>IF($C167="","",IFERROR(VLOOKUP($C167,SERVIÇOS!$B:$G,3,0),IFERROR(VLOOKUP($C167,'COMPOSIÇÕES COMPLEMENTARES '!$D:$L,3,0),IFERROR(VLOOKUP($C167,INSUMOS!$A:$D,3,0),""))))</f>
        <v>M</v>
      </c>
      <c r="F167" s="313">
        <v>84</v>
      </c>
      <c r="G167" s="314">
        <f>IF($C167="","",IFERROR(VLOOKUP($C167,SERVIÇOS!$B:$G,4,0),IFERROR(VLOOKUP($C167,'COMPOSIÇÕES COMPLEMENTARES '!$D:$L,6,0),IFERROR(VLOOKUP($C167,INSUMOS!$A:$D,4,0),""))))</f>
        <v>39.51</v>
      </c>
      <c r="H167" s="314">
        <f>IF($C167="","",IFERROR(VLOOKUP($C167,SERVIÇOS!$B:$G,5,0),IFERROR(VLOOKUP($C167,'COMPOSIÇÕES COMPLEMENTARES '!$D:$L,7,0),0)))</f>
        <v>53.46</v>
      </c>
      <c r="I167" s="314">
        <f t="shared" si="14"/>
        <v>92.97</v>
      </c>
      <c r="J167" s="314">
        <f t="shared" si="15"/>
        <v>3318.84</v>
      </c>
      <c r="K167" s="314">
        <f t="shared" si="16"/>
        <v>4490.6400000000003</v>
      </c>
      <c r="L167" s="948">
        <f t="shared" si="17"/>
        <v>7809.48</v>
      </c>
      <c r="M167" s="374">
        <f t="shared" si="18"/>
        <v>4638242.3900000025</v>
      </c>
      <c r="N167" s="375">
        <f>+M167/L$815</f>
        <v>0.8212705314030001</v>
      </c>
      <c r="O167" s="376" t="str">
        <f>IF(N167&lt;0.5,"A",IF(N167&gt;0.8,"C","B"))</f>
        <v>C</v>
      </c>
    </row>
    <row r="168" spans="1:15" x14ac:dyDescent="0.25">
      <c r="A168" s="232">
        <f t="shared" si="13"/>
        <v>168</v>
      </c>
      <c r="B168" s="232"/>
      <c r="C168" s="310" t="s">
        <v>12234</v>
      </c>
      <c r="D168" s="373" t="str">
        <f>IF($C168="","",IFERROR(VLOOKUP($C168,SERVIÇOS!$B:$G,2,0),IFERROR(VLOOKUP($C168,'COMPOSIÇÕES COMPLEMENTARES '!$D:$L,2,0),IFERROR(VLOOKUP($C168,INSUMOS!$A:$D,2,0),""))))</f>
        <v>ELETROCALHA PERFURADA 100X100X3000MM - CH 18, INCLUSO CONEXÕES E SUPORTE DE FIXAÇÃO</v>
      </c>
      <c r="E168" s="312" t="str">
        <f>IF($C168="","",IFERROR(VLOOKUP($C168,SERVIÇOS!$B:$G,3,0),IFERROR(VLOOKUP($C168,'COMPOSIÇÕES COMPLEMENTARES '!$D:$L,3,0),IFERROR(VLOOKUP($C168,INSUMOS!$A:$D,3,0),""))))</f>
        <v>M</v>
      </c>
      <c r="F168" s="313">
        <v>45</v>
      </c>
      <c r="G168" s="314">
        <f>IF($C168="","",IFERROR(VLOOKUP($C168,SERVIÇOS!$B:$G,4,0),IFERROR(VLOOKUP($C168,'COMPOSIÇÕES COMPLEMENTARES '!$D:$L,6,0),IFERROR(VLOOKUP($C168,INSUMOS!$A:$D,4,0),""))))</f>
        <v>129.66999999999999</v>
      </c>
      <c r="H168" s="314">
        <f>IF($C168="","",IFERROR(VLOOKUP($C168,SERVIÇOS!$B:$G,5,0),IFERROR(VLOOKUP($C168,'COMPOSIÇÕES COMPLEMENTARES '!$D:$L,7,0),0)))</f>
        <v>37.15</v>
      </c>
      <c r="I168" s="314">
        <f t="shared" si="14"/>
        <v>166.82</v>
      </c>
      <c r="J168" s="314">
        <f t="shared" si="15"/>
        <v>5835.15</v>
      </c>
      <c r="K168" s="314">
        <f t="shared" si="16"/>
        <v>1671.75</v>
      </c>
      <c r="L168" s="948">
        <f t="shared" si="17"/>
        <v>7506.9</v>
      </c>
      <c r="M168" s="374">
        <f t="shared" si="18"/>
        <v>4645749.2900000028</v>
      </c>
      <c r="N168" s="375">
        <f>+M168/L$815</f>
        <v>0.8225997408823239</v>
      </c>
      <c r="O168" s="376" t="str">
        <f>IF(N168&lt;0.5,"A",IF(N168&gt;0.8,"C","B"))</f>
        <v>C</v>
      </c>
    </row>
    <row r="169" spans="1:15" x14ac:dyDescent="0.25">
      <c r="A169" s="232">
        <f t="shared" si="13"/>
        <v>169</v>
      </c>
      <c r="B169" s="232"/>
      <c r="C169" s="310" t="s">
        <v>12129</v>
      </c>
      <c r="D169" s="373" t="str">
        <f>IF($C169="","",IFERROR(VLOOKUP($C169,SERVIÇOS!$B:$G,2,0),IFERROR(VLOOKUP($C169,'COMPOSIÇÕES COMPLEMENTARES '!$D:$L,2,0),IFERROR(VLOOKUP($C169,INSUMOS!$A:$D,2,0),""))))</f>
        <v>CAIXA DE INSPEÇÃO PARA ESGOTO, EM ALVENARIA, DIMENSÃO INTERNA (50X50)CM</v>
      </c>
      <c r="E169" s="312" t="str">
        <f>IF($C169="","",IFERROR(VLOOKUP($C169,SERVIÇOS!$B:$G,3,0),IFERROR(VLOOKUP($C169,'COMPOSIÇÕES COMPLEMENTARES '!$D:$L,3,0),IFERROR(VLOOKUP($C169,INSUMOS!$A:$D,3,0),""))))</f>
        <v>UN</v>
      </c>
      <c r="F169" s="313">
        <v>13</v>
      </c>
      <c r="G169" s="314">
        <f>IF($C169="","",IFERROR(VLOOKUP($C169,SERVIÇOS!$B:$G,4,0),IFERROR(VLOOKUP($C169,'COMPOSIÇÕES COMPLEMENTARES '!$D:$L,6,0),IFERROR(VLOOKUP($C169,INSUMOS!$A:$D,4,0),""))))</f>
        <v>281.63</v>
      </c>
      <c r="H169" s="314">
        <f>IF($C169="","",IFERROR(VLOOKUP($C169,SERVIÇOS!$B:$G,5,0),IFERROR(VLOOKUP($C169,'COMPOSIÇÕES COMPLEMENTARES '!$D:$L,7,0),0)))</f>
        <v>295.2</v>
      </c>
      <c r="I169" s="314">
        <f t="shared" si="14"/>
        <v>576.82999999999993</v>
      </c>
      <c r="J169" s="314">
        <f t="shared" si="15"/>
        <v>3661.19</v>
      </c>
      <c r="K169" s="314">
        <f t="shared" si="16"/>
        <v>3837.6</v>
      </c>
      <c r="L169" s="948">
        <f t="shared" si="17"/>
        <v>7498.79</v>
      </c>
      <c r="M169" s="374">
        <f t="shared" si="18"/>
        <v>4653248.0800000029</v>
      </c>
      <c r="N169" s="375">
        <f>+M169/L$815</f>
        <v>0.82392751436424827</v>
      </c>
      <c r="O169" s="376" t="str">
        <f>IF(N169&lt;0.5,"A",IF(N169&gt;0.8,"C","B"))</f>
        <v>C</v>
      </c>
    </row>
    <row r="170" spans="1:15" x14ac:dyDescent="0.25">
      <c r="A170" s="232">
        <f t="shared" si="13"/>
        <v>170</v>
      </c>
      <c r="B170" s="232"/>
      <c r="C170" s="310" t="s">
        <v>12007</v>
      </c>
      <c r="D170" s="373" t="str">
        <f>IF($C170="","",IFERROR(VLOOKUP($C170,SERVIÇOS!$B:$G,2,0),IFERROR(VLOOKUP($C170,'COMPOSIÇÕES COMPLEMENTARES '!$D:$L,2,0),IFERROR(VLOOKUP($C170,INSUMOS!$A:$D,2,0),""))))</f>
        <v>JUNTA TIPO TABICA PARA FORRO DE GESSO</v>
      </c>
      <c r="E170" s="312" t="str">
        <f>IF($C170="","",IFERROR(VLOOKUP($C170,SERVIÇOS!$B:$G,3,0),IFERROR(VLOOKUP($C170,'COMPOSIÇÕES COMPLEMENTARES '!$D:$L,3,0),IFERROR(VLOOKUP($C170,INSUMOS!$A:$D,3,0),""))))</f>
        <v>M</v>
      </c>
      <c r="F170" s="313">
        <v>282.69</v>
      </c>
      <c r="G170" s="314">
        <f>IF($C170="","",IFERROR(VLOOKUP($C170,SERVIÇOS!$B:$G,4,0),IFERROR(VLOOKUP($C170,'COMPOSIÇÕES COMPLEMENTARES '!$D:$L,6,0),IFERROR(VLOOKUP($C170,INSUMOS!$A:$D,4,0),""))))</f>
        <v>11.55</v>
      </c>
      <c r="H170" s="314">
        <f>IF($C170="","",IFERROR(VLOOKUP($C170,SERVIÇOS!$B:$G,5,0),IFERROR(VLOOKUP($C170,'COMPOSIÇÕES COMPLEMENTARES '!$D:$L,7,0),0)))</f>
        <v>14.96</v>
      </c>
      <c r="I170" s="314">
        <f t="shared" si="14"/>
        <v>26.51</v>
      </c>
      <c r="J170" s="314">
        <f t="shared" si="15"/>
        <v>3265.06</v>
      </c>
      <c r="K170" s="314">
        <f t="shared" si="16"/>
        <v>4229.04</v>
      </c>
      <c r="L170" s="948">
        <f t="shared" si="17"/>
        <v>7494.1</v>
      </c>
      <c r="M170" s="374">
        <f t="shared" si="18"/>
        <v>4660742.1800000025</v>
      </c>
      <c r="N170" s="375">
        <f>+M170/L$815</f>
        <v>0.82525445741117842</v>
      </c>
      <c r="O170" s="376" t="str">
        <f>IF(N170&lt;0.5,"A",IF(N170&gt;0.8,"C","B"))</f>
        <v>C</v>
      </c>
    </row>
    <row r="171" spans="1:15" ht="25.5" x14ac:dyDescent="0.25">
      <c r="A171" s="232">
        <f t="shared" si="13"/>
        <v>171</v>
      </c>
      <c r="B171" s="232"/>
      <c r="C171" s="310">
        <v>92761</v>
      </c>
      <c r="D171" s="373" t="str">
        <f>IF($C171="","",IFERROR(VLOOKUP($C171,SERVIÇOS!$B:$G,2,0),IFERROR(VLOOKUP($C171,'COMPOSIÇÕES COMPLEMENTARES '!$D:$L,2,0),IFERROR(VLOOKUP($C171,INSUMOS!$A:$D,2,0),""))))</f>
        <v>ARMAÇÃO DE PILAR OU VIGA DE ESTRUTURA CONVENCIONAL DE CONCRETO ARMADO UTILIZANDO AÇO CA-50 DE 8,0 MM - MONTAGEM. AF_06/2022</v>
      </c>
      <c r="E171" s="312" t="str">
        <f>IF($C171="","",IFERROR(VLOOKUP($C171,SERVIÇOS!$B:$G,3,0),IFERROR(VLOOKUP($C171,'COMPOSIÇÕES COMPLEMENTARES '!$D:$L,3,0),IFERROR(VLOOKUP($C171,INSUMOS!$A:$D,3,0),""))))</f>
        <v>KG</v>
      </c>
      <c r="F171" s="313">
        <v>581</v>
      </c>
      <c r="G171" s="314">
        <f>IF($C171="","",IFERROR(VLOOKUP($C171,SERVIÇOS!$B:$G,4,0),IFERROR(VLOOKUP($C171,'COMPOSIÇÕES COMPLEMENTARES '!$D:$L,6,0),IFERROR(VLOOKUP($C171,INSUMOS!$A:$D,4,0),""))))</f>
        <v>10.68</v>
      </c>
      <c r="H171" s="314">
        <f>IF($C171="","",IFERROR(VLOOKUP($C171,SERVIÇOS!$B:$G,5,0),IFERROR(VLOOKUP($C171,'COMPOSIÇÕES COMPLEMENTARES '!$D:$L,7,0),0)))</f>
        <v>2.21</v>
      </c>
      <c r="I171" s="314">
        <f t="shared" si="14"/>
        <v>12.89</v>
      </c>
      <c r="J171" s="314">
        <f t="shared" si="15"/>
        <v>6205.08</v>
      </c>
      <c r="K171" s="314">
        <f t="shared" si="16"/>
        <v>1284.01</v>
      </c>
      <c r="L171" s="948">
        <f t="shared" si="17"/>
        <v>7489.09</v>
      </c>
      <c r="M171" s="374">
        <f t="shared" si="18"/>
        <v>4668231.2700000023</v>
      </c>
      <c r="N171" s="375">
        <f>+M171/L$815</f>
        <v>0.82658051336230454</v>
      </c>
      <c r="O171" s="376" t="str">
        <f>IF(N171&lt;0.5,"A",IF(N171&gt;0.8,"C","B"))</f>
        <v>C</v>
      </c>
    </row>
    <row r="172" spans="1:15" ht="38.25" x14ac:dyDescent="0.25">
      <c r="A172" s="232">
        <f t="shared" si="13"/>
        <v>172</v>
      </c>
      <c r="B172" s="232"/>
      <c r="C172" s="310">
        <v>90852</v>
      </c>
      <c r="D172" s="373" t="str">
        <f>IF($C172="","",IFERROR(VLOOKUP($C172,SERVIÇOS!$B:$G,2,0),IFERROR(VLOOKUP($C172,'COMPOSIÇÕES COMPLEMENTARES '!$D:$L,2,0),IFERROR(VLOOKUP($C172,INSUMOS!$A:$D,2,0),""))))</f>
        <v>KIT DE PORTA DE MADEIRA PARA PINTURA, SEMI-OCA (PESADA OU SUPERPESADA), PADRÃO MÉDIO, 90X210CM, ESPESSURA DE 3,5CM, ITENS INCLUSOS: DOBRADIÇAS, MONTAGEM E INSTALAÇÃO DO BATENTE, SEM FECHADURA - FORNECIMENTO E INSTALAÇÃO. AF_12/2019</v>
      </c>
      <c r="E172" s="312" t="str">
        <f>IF($C172="","",IFERROR(VLOOKUP($C172,SERVIÇOS!$B:$G,3,0),IFERROR(VLOOKUP($C172,'COMPOSIÇÕES COMPLEMENTARES '!$D:$L,3,0),IFERROR(VLOOKUP($C172,INSUMOS!$A:$D,3,0),""))))</f>
        <v>UN</v>
      </c>
      <c r="F172" s="313">
        <v>5</v>
      </c>
      <c r="G172" s="314">
        <f>IF($C172="","",IFERROR(VLOOKUP($C172,SERVIÇOS!$B:$G,4,0),IFERROR(VLOOKUP($C172,'COMPOSIÇÕES COMPLEMENTARES '!$D:$L,6,0),IFERROR(VLOOKUP($C172,INSUMOS!$A:$D,4,0),""))))</f>
        <v>1215.69</v>
      </c>
      <c r="H172" s="314">
        <f>IF($C172="","",IFERROR(VLOOKUP($C172,SERVIÇOS!$B:$G,5,0),IFERROR(VLOOKUP($C172,'COMPOSIÇÕES COMPLEMENTARES '!$D:$L,7,0),0)))</f>
        <v>279.06</v>
      </c>
      <c r="I172" s="314">
        <f t="shared" si="14"/>
        <v>1494.75</v>
      </c>
      <c r="J172" s="314">
        <f t="shared" si="15"/>
        <v>6078.45</v>
      </c>
      <c r="K172" s="314">
        <f t="shared" si="16"/>
        <v>1395.3</v>
      </c>
      <c r="L172" s="948">
        <f t="shared" si="17"/>
        <v>7473.75</v>
      </c>
      <c r="M172" s="374">
        <f t="shared" si="18"/>
        <v>4675705.0200000023</v>
      </c>
      <c r="N172" s="375">
        <f>+M172/L$815</f>
        <v>0.8279038531358589</v>
      </c>
      <c r="O172" s="376" t="str">
        <f>IF(N172&lt;0.5,"A",IF(N172&gt;0.8,"C","B"))</f>
        <v>C</v>
      </c>
    </row>
    <row r="173" spans="1:15" x14ac:dyDescent="0.25">
      <c r="A173" s="232">
        <f t="shared" si="13"/>
        <v>173</v>
      </c>
      <c r="B173" s="232"/>
      <c r="C173" s="744" t="s">
        <v>20488</v>
      </c>
      <c r="D173" s="373" t="str">
        <f>IF($C173="","",IFERROR(VLOOKUP($C173,SERVIÇOS!$B:$G,2,0),IFERROR(VLOOKUP($C173,'COMPOSIÇÕES COMPLEMENTARES '!$D:$L,2,0),IFERROR(VLOOKUP($C173,INSUMOS!$A:$D,2,0),""))))</f>
        <v>ASSENTAMENTO DE MEIO FIO DE CONCRETO TIPO 3 DER/PR - PRÉ-MOLDADO</v>
      </c>
      <c r="E173" s="312" t="str">
        <f>IF($C173="","",IFERROR(VLOOKUP($C173,SERVIÇOS!$B:$G,3,0),IFERROR(VLOOKUP($C173,'COMPOSIÇÕES COMPLEMENTARES '!$D:$L,3,0),IFERROR(VLOOKUP($C173,INSUMOS!$A:$D,3,0),""))))</f>
        <v>M</v>
      </c>
      <c r="F173" s="313">
        <v>126.00000000000001</v>
      </c>
      <c r="G173" s="314">
        <f>IF($C173="","",IFERROR(VLOOKUP($C173,SERVIÇOS!$B:$G,4,0),IFERROR(VLOOKUP($C173,'COMPOSIÇÕES COMPLEMENTARES '!$D:$L,6,0),IFERROR(VLOOKUP($C173,INSUMOS!$A:$D,4,0),""))))</f>
        <v>49.94</v>
      </c>
      <c r="H173" s="314">
        <f>IF($C173="","",IFERROR(VLOOKUP($C173,SERVIÇOS!$B:$G,5,0),IFERROR(VLOOKUP($C173,'COMPOSIÇÕES COMPLEMENTARES '!$D:$L,7,0),0)))</f>
        <v>9.23</v>
      </c>
      <c r="I173" s="314">
        <f t="shared" si="14"/>
        <v>59.17</v>
      </c>
      <c r="J173" s="314">
        <f t="shared" si="15"/>
        <v>6292.44</v>
      </c>
      <c r="K173" s="314">
        <f t="shared" si="16"/>
        <v>1162.98</v>
      </c>
      <c r="L173" s="948">
        <f t="shared" si="17"/>
        <v>7455.42</v>
      </c>
      <c r="M173" s="374">
        <f t="shared" si="18"/>
        <v>4683160.4400000023</v>
      </c>
      <c r="N173" s="375">
        <f>+M173/L$815</f>
        <v>0.82922394730739968</v>
      </c>
      <c r="O173" s="376" t="str">
        <f>IF(N173&lt;0.5,"A",IF(N173&gt;0.8,"C","B"))</f>
        <v>C</v>
      </c>
    </row>
    <row r="174" spans="1:15" x14ac:dyDescent="0.25">
      <c r="A174" s="232">
        <f t="shared" si="13"/>
        <v>174</v>
      </c>
      <c r="B174" s="232"/>
      <c r="C174" s="310" t="s">
        <v>11931</v>
      </c>
      <c r="D174" s="377" t="str">
        <f>IF($C174="","",IFERROR(VLOOKUP($C174,SERVIÇOS!$B:$G,2,0),IFERROR(VLOOKUP($C174,'COMPOSIÇÕES COMPLEMENTARES '!$D:$L,2,0),IFERROR(VLOOKUP($C174,INSUMOS!$A:$D,2,0),""))))</f>
        <v>FORMA TABUA PARA CONCRETO EM FUNDACAO C/ REAPROVEITAMENTO 5X</v>
      </c>
      <c r="E174" s="312" t="str">
        <f>IF($C174="","",IFERROR(VLOOKUP($C174,SERVIÇOS!$B:$G,3,0),IFERROR(VLOOKUP($C174,'COMPOSIÇÕES COMPLEMENTARES '!$D:$L,3,0),IFERROR(VLOOKUP($C174,INSUMOS!$A:$D,3,0),""))))</f>
        <v>M2</v>
      </c>
      <c r="F174" s="313">
        <v>104.36</v>
      </c>
      <c r="G174" s="314">
        <f>IF($C174="","",IFERROR(VLOOKUP($C174,SERVIÇOS!$B:$G,4,0),IFERROR(VLOOKUP($C174,'COMPOSIÇÕES COMPLEMENTARES '!$D:$L,6,0),IFERROR(VLOOKUP($C174,INSUMOS!$A:$D,4,0),""))))</f>
        <v>40.69</v>
      </c>
      <c r="H174" s="314">
        <f>IF($C174="","",IFERROR(VLOOKUP($C174,SERVIÇOS!$B:$G,5,0),IFERROR(VLOOKUP($C174,'COMPOSIÇÕES COMPLEMENTARES '!$D:$L,7,0),0)))</f>
        <v>29.34</v>
      </c>
      <c r="I174" s="314">
        <f t="shared" si="14"/>
        <v>70.03</v>
      </c>
      <c r="J174" s="314">
        <f t="shared" si="15"/>
        <v>4246.3999999999996</v>
      </c>
      <c r="K174" s="314">
        <f t="shared" si="16"/>
        <v>3061.92</v>
      </c>
      <c r="L174" s="948">
        <f t="shared" si="17"/>
        <v>7308.32</v>
      </c>
      <c r="M174" s="374">
        <f t="shared" si="18"/>
        <v>4690468.7600000026</v>
      </c>
      <c r="N174" s="375">
        <f>+M174/L$815</f>
        <v>0.83051799521291758</v>
      </c>
      <c r="O174" s="376" t="str">
        <f>IF(N174&lt;0.5,"A",IF(N174&gt;0.8,"C","B"))</f>
        <v>C</v>
      </c>
    </row>
    <row r="175" spans="1:15" ht="25.5" x14ac:dyDescent="0.25">
      <c r="A175" s="232">
        <f t="shared" si="13"/>
        <v>175</v>
      </c>
      <c r="B175" s="232"/>
      <c r="C175" s="310" t="s">
        <v>20457</v>
      </c>
      <c r="D175" s="373" t="str">
        <f>IF($C175="","",IFERROR(VLOOKUP($C175,SERVIÇOS!$B:$G,2,0),IFERROR(VLOOKUP($C175,'COMPOSIÇÕES COMPLEMENTARES '!$D:$L,2,0),IFERROR(VLOOKUP($C175,INSUMOS!$A:$D,2,0),""))))</f>
        <v>ARMAÇÃO DE MURO/CORTINA DE CONCRETO ARMADO, EXCETO VIGAS, PILARES, LAJES E FUNDAÇÕES, UTILIZANDO AÇO CA-60 DE 5,0 MM - MONTAGEM. AF_06/2022.</v>
      </c>
      <c r="E175" s="312" t="str">
        <f>IF($C175="","",IFERROR(VLOOKUP($C175,SERVIÇOS!$B:$G,3,0),IFERROR(VLOOKUP($C175,'COMPOSIÇÕES COMPLEMENTARES '!$D:$L,3,0),IFERROR(VLOOKUP($C175,INSUMOS!$A:$D,3,0),""))))</f>
        <v>KG</v>
      </c>
      <c r="F175" s="313">
        <v>374.6</v>
      </c>
      <c r="G175" s="314">
        <f>IF($C175="","",IFERROR(VLOOKUP($C175,SERVIÇOS!$B:$G,4,0),IFERROR(VLOOKUP($C175,'COMPOSIÇÕES COMPLEMENTARES '!$D:$L,6,0),IFERROR(VLOOKUP($C175,INSUMOS!$A:$D,4,0),""))))</f>
        <v>11.18</v>
      </c>
      <c r="H175" s="314">
        <f>IF($C175="","",IFERROR(VLOOKUP($C175,SERVIÇOS!$B:$G,5,0),IFERROR(VLOOKUP($C175,'COMPOSIÇÕES COMPLEMENTARES '!$D:$L,7,0),0)))</f>
        <v>7.73</v>
      </c>
      <c r="I175" s="314">
        <f t="shared" si="14"/>
        <v>18.91</v>
      </c>
      <c r="J175" s="314">
        <f t="shared" si="15"/>
        <v>4188.0200000000004</v>
      </c>
      <c r="K175" s="314">
        <f t="shared" si="16"/>
        <v>2895.65</v>
      </c>
      <c r="L175" s="948">
        <f t="shared" si="17"/>
        <v>7083.67</v>
      </c>
      <c r="M175" s="374">
        <f t="shared" si="18"/>
        <v>4697552.4300000025</v>
      </c>
      <c r="N175" s="375">
        <f>+M175/L$815</f>
        <v>0.83177226545927774</v>
      </c>
      <c r="O175" s="376" t="str">
        <f>IF(N175&lt;0.5,"A",IF(N175&gt;0.8,"C","B"))</f>
        <v>C</v>
      </c>
    </row>
    <row r="176" spans="1:15" ht="25.5" x14ac:dyDescent="0.25">
      <c r="A176" s="232">
        <f t="shared" si="13"/>
        <v>176</v>
      </c>
      <c r="B176" s="232"/>
      <c r="C176" s="310">
        <v>104918</v>
      </c>
      <c r="D176" s="373" t="str">
        <f>IF($C176="","",IFERROR(VLOOKUP($C176,SERVIÇOS!$B:$G,2,0),IFERROR(VLOOKUP($C176,'COMPOSIÇÕES COMPLEMENTARES '!$D:$L,2,0),IFERROR(VLOOKUP($C176,INSUMOS!$A:$D,2,0),""))))</f>
        <v>ARMAÇÃO DE SAPATA ISOLADA, VIGA BALDRAME E SAPATA CORRIDA UTILIZANDO AÇO CA-50 DE 8 MM - MONTAGEM. AF_01/2024</v>
      </c>
      <c r="E176" s="312" t="str">
        <f>IF($C176="","",IFERROR(VLOOKUP($C176,SERVIÇOS!$B:$G,3,0),IFERROR(VLOOKUP($C176,'COMPOSIÇÕES COMPLEMENTARES '!$D:$L,3,0),IFERROR(VLOOKUP($C176,INSUMOS!$A:$D,3,0),""))))</f>
        <v>KG</v>
      </c>
      <c r="F176" s="313">
        <v>457</v>
      </c>
      <c r="G176" s="314">
        <f>IF($C176="","",IFERROR(VLOOKUP($C176,SERVIÇOS!$B:$G,4,0),IFERROR(VLOOKUP($C176,'COMPOSIÇÕES COMPLEMENTARES '!$D:$L,6,0),IFERROR(VLOOKUP($C176,INSUMOS!$A:$D,4,0),""))))</f>
        <v>11.34</v>
      </c>
      <c r="H176" s="314">
        <f>IF($C176="","",IFERROR(VLOOKUP($C176,SERVIÇOS!$B:$G,5,0),IFERROR(VLOOKUP($C176,'COMPOSIÇÕES COMPLEMENTARES '!$D:$L,7,0),0)))</f>
        <v>4.08</v>
      </c>
      <c r="I176" s="314">
        <f t="shared" si="14"/>
        <v>15.42</v>
      </c>
      <c r="J176" s="314">
        <f t="shared" si="15"/>
        <v>5182.38</v>
      </c>
      <c r="K176" s="314">
        <f t="shared" si="16"/>
        <v>1864.56</v>
      </c>
      <c r="L176" s="948">
        <f t="shared" si="17"/>
        <v>7046.94</v>
      </c>
      <c r="M176" s="374">
        <f t="shared" si="18"/>
        <v>4704599.3700000029</v>
      </c>
      <c r="N176" s="375">
        <f>+M176/L$815</f>
        <v>0.83302003210705855</v>
      </c>
      <c r="O176" s="376" t="str">
        <f>IF(N176&lt;0.5,"A",IF(N176&gt;0.8,"C","B"))</f>
        <v>C</v>
      </c>
    </row>
    <row r="177" spans="1:15" x14ac:dyDescent="0.25">
      <c r="A177" s="232">
        <f t="shared" si="13"/>
        <v>177</v>
      </c>
      <c r="B177" s="232"/>
      <c r="C177" s="310">
        <v>98554</v>
      </c>
      <c r="D177" s="373" t="str">
        <f>IF($C177="","",IFERROR(VLOOKUP($C177,SERVIÇOS!$B:$G,2,0),IFERROR(VLOOKUP($C177,'COMPOSIÇÕES COMPLEMENTARES '!$D:$L,2,0),IFERROR(VLOOKUP($C177,INSUMOS!$A:$D,2,0),""))))</f>
        <v>IMPERMEABILIZAÇÃO DE SUPERFÍCIE COM MEMBRANA À BASE DE RESINA ACRÍLICA, 3 DEMÃOS. AF_09/2023</v>
      </c>
      <c r="E177" s="312" t="str">
        <f>IF($C177="","",IFERROR(VLOOKUP($C177,SERVIÇOS!$B:$G,3,0),IFERROR(VLOOKUP($C177,'COMPOSIÇÕES COMPLEMENTARES '!$D:$L,3,0),IFERROR(VLOOKUP($C177,INSUMOS!$A:$D,3,0),""))))</f>
        <v>M2</v>
      </c>
      <c r="F177" s="313">
        <v>134.83000000000001</v>
      </c>
      <c r="G177" s="314">
        <f>IF($C177="","",IFERROR(VLOOKUP($C177,SERVIÇOS!$B:$G,4,0),IFERROR(VLOOKUP($C177,'COMPOSIÇÕES COMPLEMENTARES '!$D:$L,6,0),IFERROR(VLOOKUP($C177,INSUMOS!$A:$D,4,0),""))))</f>
        <v>33.61</v>
      </c>
      <c r="H177" s="314">
        <f>IF($C177="","",IFERROR(VLOOKUP($C177,SERVIÇOS!$B:$G,5,0),IFERROR(VLOOKUP($C177,'COMPOSIÇÕES COMPLEMENTARES '!$D:$L,7,0),0)))</f>
        <v>18.38</v>
      </c>
      <c r="I177" s="314">
        <f t="shared" si="14"/>
        <v>51.989999999999995</v>
      </c>
      <c r="J177" s="314">
        <f t="shared" si="15"/>
        <v>4531.63</v>
      </c>
      <c r="K177" s="314">
        <f t="shared" si="16"/>
        <v>2478.17</v>
      </c>
      <c r="L177" s="948">
        <f t="shared" si="17"/>
        <v>7009.8</v>
      </c>
      <c r="M177" s="374">
        <f t="shared" si="18"/>
        <v>4711609.1700000027</v>
      </c>
      <c r="N177" s="375">
        <f>+M177/L$815</f>
        <v>0.83426122255959734</v>
      </c>
      <c r="O177" s="376" t="str">
        <f>IF(N177&lt;0.5,"A",IF(N177&gt;0.8,"C","B"))</f>
        <v>C</v>
      </c>
    </row>
    <row r="178" spans="1:15" x14ac:dyDescent="0.25">
      <c r="A178" s="232">
        <f t="shared" si="13"/>
        <v>178</v>
      </c>
      <c r="B178" s="232"/>
      <c r="C178" s="310">
        <v>93358</v>
      </c>
      <c r="D178" s="377" t="str">
        <f>IF($C178="","",IFERROR(VLOOKUP($C178,SERVIÇOS!$B:$G,2,0),IFERROR(VLOOKUP($C178,'COMPOSIÇÕES COMPLEMENTARES '!$D:$L,2,0),IFERROR(VLOOKUP($C178,INSUMOS!$A:$D,2,0),""))))</f>
        <v>ESCAVAÇÃO MANUAL DE VALA. AF_09/2024</v>
      </c>
      <c r="E178" s="312" t="str">
        <f>IF($C178="","",IFERROR(VLOOKUP($C178,SERVIÇOS!$B:$G,3,0),IFERROR(VLOOKUP($C178,'COMPOSIÇÕES COMPLEMENTARES '!$D:$L,3,0),IFERROR(VLOOKUP($C178,INSUMOS!$A:$D,3,0),""))))</f>
        <v>M3</v>
      </c>
      <c r="F178" s="313">
        <v>61.6</v>
      </c>
      <c r="G178" s="314">
        <f>IF($C178="","",IFERROR(VLOOKUP($C178,SERVIÇOS!$B:$G,4,0),IFERROR(VLOOKUP($C178,'COMPOSIÇÕES COMPLEMENTARES '!$D:$L,6,0),IFERROR(VLOOKUP($C178,INSUMOS!$A:$D,4,0),""))))</f>
        <v>36.369999999999997</v>
      </c>
      <c r="H178" s="314">
        <f>IF($C178="","",IFERROR(VLOOKUP($C178,SERVIÇOS!$B:$G,5,0),IFERROR(VLOOKUP($C178,'COMPOSIÇÕES COMPLEMENTARES '!$D:$L,7,0),0)))</f>
        <v>77.2</v>
      </c>
      <c r="I178" s="314">
        <f t="shared" si="14"/>
        <v>113.57</v>
      </c>
      <c r="J178" s="314">
        <f t="shared" si="15"/>
        <v>2240.39</v>
      </c>
      <c r="K178" s="314">
        <f t="shared" si="16"/>
        <v>4755.5200000000004</v>
      </c>
      <c r="L178" s="948">
        <f t="shared" si="17"/>
        <v>6995.91</v>
      </c>
      <c r="M178" s="374">
        <f t="shared" si="18"/>
        <v>4718605.0800000029</v>
      </c>
      <c r="N178" s="375">
        <f>+M178/L$815</f>
        <v>0.83549995357885909</v>
      </c>
      <c r="O178" s="376" t="str">
        <f>IF(N178&lt;0.5,"A",IF(N178&gt;0.8,"C","B"))</f>
        <v>C</v>
      </c>
    </row>
    <row r="179" spans="1:15" ht="25.5" x14ac:dyDescent="0.25">
      <c r="A179" s="232">
        <f t="shared" si="13"/>
        <v>179</v>
      </c>
      <c r="B179" s="232"/>
      <c r="C179" s="310">
        <v>92772</v>
      </c>
      <c r="D179" s="373" t="str">
        <f>IF($C179="","",IFERROR(VLOOKUP($C179,SERVIÇOS!$B:$G,2,0),IFERROR(VLOOKUP($C179,'COMPOSIÇÕES COMPLEMENTARES '!$D:$L,2,0),IFERROR(VLOOKUP($C179,INSUMOS!$A:$D,2,0),""))))</f>
        <v>ARMAÇÃO DE LAJE DE ESTRUTURA CONVENCIONAL DE CONCRETO ARMADO UTILIZANDO AÇO CA-50 DE 12,5 MM - MONTAGEM. AF_06/2022</v>
      </c>
      <c r="E179" s="312" t="str">
        <f>IF($C179="","",IFERROR(VLOOKUP($C179,SERVIÇOS!$B:$G,3,0),IFERROR(VLOOKUP($C179,'COMPOSIÇÕES COMPLEMENTARES '!$D:$L,3,0),IFERROR(VLOOKUP($C179,INSUMOS!$A:$D,3,0),""))))</f>
        <v>KG</v>
      </c>
      <c r="F179" s="313">
        <v>787</v>
      </c>
      <c r="G179" s="314">
        <f>IF($C179="","",IFERROR(VLOOKUP($C179,SERVIÇOS!$B:$G,4,0),IFERROR(VLOOKUP($C179,'COMPOSIÇÕES COMPLEMENTARES '!$D:$L,6,0),IFERROR(VLOOKUP($C179,INSUMOS!$A:$D,4,0),""))))</f>
        <v>8.31</v>
      </c>
      <c r="H179" s="314">
        <f>IF($C179="","",IFERROR(VLOOKUP($C179,SERVIÇOS!$B:$G,5,0),IFERROR(VLOOKUP($C179,'COMPOSIÇÕES COMPLEMENTARES '!$D:$L,7,0),0)))</f>
        <v>0.56999999999999995</v>
      </c>
      <c r="I179" s="314">
        <f t="shared" si="14"/>
        <v>8.8800000000000008</v>
      </c>
      <c r="J179" s="314">
        <f t="shared" si="15"/>
        <v>6539.97</v>
      </c>
      <c r="K179" s="314">
        <f t="shared" si="16"/>
        <v>448.59</v>
      </c>
      <c r="L179" s="948">
        <f t="shared" si="17"/>
        <v>6988.56</v>
      </c>
      <c r="M179" s="374">
        <f t="shared" si="18"/>
        <v>4725593.6400000025</v>
      </c>
      <c r="N179" s="375">
        <f>+M179/L$815</f>
        <v>0.83673738317014468</v>
      </c>
      <c r="O179" s="376" t="str">
        <f>IF(N179&lt;0.5,"A",IF(N179&gt;0.8,"C","B"))</f>
        <v>C</v>
      </c>
    </row>
    <row r="180" spans="1:15" x14ac:dyDescent="0.25">
      <c r="A180" s="232">
        <f t="shared" si="13"/>
        <v>180</v>
      </c>
      <c r="B180" s="232"/>
      <c r="C180" s="310" t="s">
        <v>11955</v>
      </c>
      <c r="D180" s="373" t="str">
        <f>IF($C180="","",IFERROR(VLOOKUP($C180,SERVIÇOS!$B:$G,2,0),IFERROR(VLOOKUP($C180,'COMPOSIÇÕES COMPLEMENTARES '!$D:$L,2,0),IFERROR(VLOOKUP($C180,INSUMOS!$A:$D,2,0),""))))</f>
        <v>TIRANTE PARA VERGA PARA VÃOS &gt;2,10M, ESPESSURA DE *15CM*</v>
      </c>
      <c r="E180" s="312" t="str">
        <f>IF($C180="","",IFERROR(VLOOKUP($C180,SERVIÇOS!$B:$G,3,0),IFERROR(VLOOKUP($C180,'COMPOSIÇÕES COMPLEMENTARES '!$D:$L,3,0),IFERROR(VLOOKUP($C180,INSUMOS!$A:$D,3,0),""))))</f>
        <v>M</v>
      </c>
      <c r="F180" s="313">
        <v>37.410000000000004</v>
      </c>
      <c r="G180" s="314">
        <f>IF($C180="","",IFERROR(VLOOKUP($C180,SERVIÇOS!$B:$G,4,0),IFERROR(VLOOKUP($C180,'COMPOSIÇÕES COMPLEMENTARES '!$D:$L,6,0),IFERROR(VLOOKUP($C180,INSUMOS!$A:$D,4,0),""))))</f>
        <v>142.01</v>
      </c>
      <c r="H180" s="314">
        <f>IF($C180="","",IFERROR(VLOOKUP($C180,SERVIÇOS!$B:$G,5,0),IFERROR(VLOOKUP($C180,'COMPOSIÇÕES COMPLEMENTARES '!$D:$L,7,0),0)))</f>
        <v>43.9</v>
      </c>
      <c r="I180" s="314">
        <f t="shared" si="14"/>
        <v>185.91</v>
      </c>
      <c r="J180" s="314">
        <f t="shared" si="15"/>
        <v>5312.59</v>
      </c>
      <c r="K180" s="314">
        <f t="shared" si="16"/>
        <v>1642.29</v>
      </c>
      <c r="L180" s="948">
        <f t="shared" si="17"/>
        <v>6954.88</v>
      </c>
      <c r="M180" s="374">
        <f t="shared" si="18"/>
        <v>4732548.5200000023</v>
      </c>
      <c r="N180" s="375">
        <f>+M180/L$815</f>
        <v>0.83796884921119474</v>
      </c>
      <c r="O180" s="376" t="str">
        <f>IF(N180&lt;0.5,"A",IF(N180&gt;0.8,"C","B"))</f>
        <v>C</v>
      </c>
    </row>
    <row r="181" spans="1:15" ht="25.5" x14ac:dyDescent="0.25">
      <c r="A181" s="232">
        <f t="shared" si="13"/>
        <v>181</v>
      </c>
      <c r="B181" s="232"/>
      <c r="C181" s="310" t="s">
        <v>12208</v>
      </c>
      <c r="D181" s="373" t="str">
        <f>IF($C181="","",IFERROR(VLOOKUP($C181,SERVIÇOS!$B:$G,2,0),IFERROR(VLOOKUP($C181,'COMPOSIÇÕES COMPLEMENTARES '!$D:$L,2,0),IFERROR(VLOOKUP($C181,INSUMOS!$A:$D,2,0),""))))</f>
        <v>LUMINÁRIA QUADRADA TIPO PLACA DE LED 30X30 CM DE EMBUTIR, 24W/127V - 1700 LM - 4000K - STH9954Q/40 - BIVOLT - STELLA OU SIMILAR.</v>
      </c>
      <c r="E181" s="312" t="str">
        <f>IF($C181="","",IFERROR(VLOOKUP($C181,SERVIÇOS!$B:$G,3,0),IFERROR(VLOOKUP($C181,'COMPOSIÇÕES COMPLEMENTARES '!$D:$L,3,0),IFERROR(VLOOKUP($C181,INSUMOS!$A:$D,3,0),""))))</f>
        <v>UN</v>
      </c>
      <c r="F181" s="313">
        <v>53</v>
      </c>
      <c r="G181" s="314">
        <f>IF($C181="","",IFERROR(VLOOKUP($C181,SERVIÇOS!$B:$G,4,0),IFERROR(VLOOKUP($C181,'COMPOSIÇÕES COMPLEMENTARES '!$D:$L,6,0),IFERROR(VLOOKUP($C181,INSUMOS!$A:$D,4,0),""))))</f>
        <v>87.24</v>
      </c>
      <c r="H181" s="314">
        <f>IF($C181="","",IFERROR(VLOOKUP($C181,SERVIÇOS!$B:$G,5,0),IFERROR(VLOOKUP($C181,'COMPOSIÇÕES COMPLEMENTARES '!$D:$L,7,0),0)))</f>
        <v>43.89</v>
      </c>
      <c r="I181" s="314">
        <f t="shared" si="14"/>
        <v>131.13</v>
      </c>
      <c r="J181" s="314">
        <f t="shared" si="15"/>
        <v>4623.72</v>
      </c>
      <c r="K181" s="314">
        <f t="shared" si="16"/>
        <v>2326.17</v>
      </c>
      <c r="L181" s="948">
        <f t="shared" si="17"/>
        <v>6949.89</v>
      </c>
      <c r="M181" s="374">
        <f t="shared" si="18"/>
        <v>4739498.410000002</v>
      </c>
      <c r="N181" s="375">
        <f>+M181/L$815</f>
        <v>0.83919943169774136</v>
      </c>
      <c r="O181" s="376" t="str">
        <f>IF(N181&lt;0.5,"A",IF(N181&gt;0.8,"C","B"))</f>
        <v>C</v>
      </c>
    </row>
    <row r="182" spans="1:15" x14ac:dyDescent="0.25">
      <c r="A182" s="232">
        <f t="shared" si="13"/>
        <v>182</v>
      </c>
      <c r="B182" s="232"/>
      <c r="C182" s="310">
        <v>100344</v>
      </c>
      <c r="D182" s="373" t="str">
        <f>IF($C182="","",IFERROR(VLOOKUP($C182,SERVIÇOS!$B:$G,2,0),IFERROR(VLOOKUP($C182,'COMPOSIÇÕES COMPLEMENTARES '!$D:$L,2,0),IFERROR(VLOOKUP($C182,INSUMOS!$A:$D,2,0),""))))</f>
        <v>ARMAÇÃO DE CORTINA DE CONTENÇÃO EM CONCRETO ARMADO, COM AÇO CA-50 DE 10 MM - MONTAGEM. AF_11/2024</v>
      </c>
      <c r="E182" s="312" t="str">
        <f>IF($C182="","",IFERROR(VLOOKUP($C182,SERVIÇOS!$B:$G,3,0),IFERROR(VLOOKUP($C182,'COMPOSIÇÕES COMPLEMENTARES '!$D:$L,3,0),IFERROR(VLOOKUP($C182,INSUMOS!$A:$D,3,0),""))))</f>
        <v>KG</v>
      </c>
      <c r="F182" s="313">
        <v>528.5</v>
      </c>
      <c r="G182" s="314">
        <f>IF($C182="","",IFERROR(VLOOKUP($C182,SERVIÇOS!$B:$G,4,0),IFERROR(VLOOKUP($C182,'COMPOSIÇÕES COMPLEMENTARES '!$D:$L,6,0),IFERROR(VLOOKUP($C182,INSUMOS!$A:$D,4,0),""))))</f>
        <v>10.3</v>
      </c>
      <c r="H182" s="314">
        <f>IF($C182="","",IFERROR(VLOOKUP($C182,SERVIÇOS!$B:$G,5,0),IFERROR(VLOOKUP($C182,'COMPOSIÇÕES COMPLEMENTARES '!$D:$L,7,0),0)))</f>
        <v>2.79</v>
      </c>
      <c r="I182" s="314">
        <f t="shared" si="14"/>
        <v>13.09</v>
      </c>
      <c r="J182" s="314">
        <f t="shared" si="15"/>
        <v>5443.55</v>
      </c>
      <c r="K182" s="314">
        <f t="shared" si="16"/>
        <v>1474.51</v>
      </c>
      <c r="L182" s="948">
        <f t="shared" si="17"/>
        <v>6918.06</v>
      </c>
      <c r="M182" s="374">
        <f t="shared" si="18"/>
        <v>4746416.4700000016</v>
      </c>
      <c r="N182" s="375">
        <f>+M182/L$815</f>
        <v>0.84042437820435922</v>
      </c>
      <c r="O182" s="376" t="str">
        <f>IF(N182&lt;0.5,"A",IF(N182&gt;0.8,"C","B"))</f>
        <v>C</v>
      </c>
    </row>
    <row r="183" spans="1:15" ht="25.5" x14ac:dyDescent="0.25">
      <c r="A183" s="232">
        <f t="shared" si="13"/>
        <v>183</v>
      </c>
      <c r="B183" s="232"/>
      <c r="C183" s="310" t="s">
        <v>12024</v>
      </c>
      <c r="D183" s="373" t="str">
        <f>IF($C183="","",IFERROR(VLOOKUP($C183,SERVIÇOS!$B:$G,2,0),IFERROR(VLOOKUP($C183,'COMPOSIÇÕES COMPLEMENTARES '!$D:$L,2,0),IFERROR(VLOOKUP($C183,INSUMOS!$A:$D,2,0),""))))</f>
        <v>KIT DE PORTA DE MADEIRA PARA PINTURA, SEMI-OCA (LEVE OU MÉDIA), PADRÃO MÉDIO, 120X210CM, ESPESSURA DE 3,5CM, ITENS INCLUSOS: DOBRADIÇAS, MONTAGEM E INSTALAÇÃO DO BATENTE, SEM FECHADURA - FORNECIMENTO E INSTALAÇÃO</v>
      </c>
      <c r="E183" s="312" t="str">
        <f>IF($C183="","",IFERROR(VLOOKUP($C183,SERVIÇOS!$B:$G,3,0),IFERROR(VLOOKUP($C183,'COMPOSIÇÕES COMPLEMENTARES '!$D:$L,3,0),IFERROR(VLOOKUP($C183,INSUMOS!$A:$D,3,0),""))))</f>
        <v>UN</v>
      </c>
      <c r="F183" s="313">
        <v>5</v>
      </c>
      <c r="G183" s="314">
        <f>IF($C183="","",IFERROR(VLOOKUP($C183,SERVIÇOS!$B:$G,4,0),IFERROR(VLOOKUP($C183,'COMPOSIÇÕES COMPLEMENTARES '!$D:$L,6,0),IFERROR(VLOOKUP($C183,INSUMOS!$A:$D,4,0),""))))</f>
        <v>1104.43</v>
      </c>
      <c r="H183" s="314">
        <f>IF($C183="","",IFERROR(VLOOKUP($C183,SERVIÇOS!$B:$G,5,0),IFERROR(VLOOKUP($C183,'COMPOSIÇÕES COMPLEMENTARES '!$D:$L,7,0),0)))</f>
        <v>277.18</v>
      </c>
      <c r="I183" s="314">
        <f t="shared" si="14"/>
        <v>1381.6100000000001</v>
      </c>
      <c r="J183" s="314">
        <f t="shared" si="15"/>
        <v>5522.15</v>
      </c>
      <c r="K183" s="314">
        <f t="shared" si="16"/>
        <v>1385.9</v>
      </c>
      <c r="L183" s="948">
        <f t="shared" si="17"/>
        <v>6908.05</v>
      </c>
      <c r="M183" s="374">
        <f t="shared" si="18"/>
        <v>4753324.5200000014</v>
      </c>
      <c r="N183" s="375">
        <f>+M183/L$815</f>
        <v>0.84164755229001942</v>
      </c>
      <c r="O183" s="376" t="str">
        <f>IF(N183&lt;0.5,"A",IF(N183&gt;0.8,"C","B"))</f>
        <v>C</v>
      </c>
    </row>
    <row r="184" spans="1:15" ht="25.5" x14ac:dyDescent="0.25">
      <c r="A184" s="232">
        <f t="shared" si="13"/>
        <v>184</v>
      </c>
      <c r="B184" s="232"/>
      <c r="C184" s="310">
        <v>90830</v>
      </c>
      <c r="D184" s="373" t="str">
        <f>IF($C184="","",IFERROR(VLOOKUP($C184,SERVIÇOS!$B:$G,2,0),IFERROR(VLOOKUP($C184,'COMPOSIÇÕES COMPLEMENTARES '!$D:$L,2,0),IFERROR(VLOOKUP($C184,INSUMOS!$A:$D,2,0),""))))</f>
        <v>FECHADURA DE EMBUTIR COM CILINDRO, EXTERNA, COMPLETA, ACABAMENTO PADRÃO MÉDIO, INCLUSO EXECUÇÃO DE FURO - FORNECIMENTO E INSTALAÇÃO. AF_12/2019</v>
      </c>
      <c r="E184" s="312" t="str">
        <f>IF($C184="","",IFERROR(VLOOKUP($C184,SERVIÇOS!$B:$G,3,0),IFERROR(VLOOKUP($C184,'COMPOSIÇÕES COMPLEMENTARES '!$D:$L,3,0),IFERROR(VLOOKUP($C184,INSUMOS!$A:$D,3,0),""))))</f>
        <v>UN</v>
      </c>
      <c r="F184" s="313">
        <v>37</v>
      </c>
      <c r="G184" s="314">
        <f>IF($C184="","",IFERROR(VLOOKUP($C184,SERVIÇOS!$B:$G,4,0),IFERROR(VLOOKUP($C184,'COMPOSIÇÕES COMPLEMENTARES '!$D:$L,6,0),IFERROR(VLOOKUP($C184,INSUMOS!$A:$D,4,0),""))))</f>
        <v>148.69</v>
      </c>
      <c r="H184" s="314">
        <f>IF($C184="","",IFERROR(VLOOKUP($C184,SERVIÇOS!$B:$G,5,0),IFERROR(VLOOKUP($C184,'COMPOSIÇÕES COMPLEMENTARES '!$D:$L,7,0),0)))</f>
        <v>35.67</v>
      </c>
      <c r="I184" s="314">
        <f t="shared" si="14"/>
        <v>184.36</v>
      </c>
      <c r="J184" s="314">
        <f t="shared" si="15"/>
        <v>5501.53</v>
      </c>
      <c r="K184" s="314">
        <f t="shared" si="16"/>
        <v>1319.79</v>
      </c>
      <c r="L184" s="948">
        <f t="shared" si="17"/>
        <v>6821.32</v>
      </c>
      <c r="M184" s="374">
        <f t="shared" si="18"/>
        <v>4760145.8400000017</v>
      </c>
      <c r="N184" s="375">
        <f>+M184/L$815</f>
        <v>0.84285536952556284</v>
      </c>
      <c r="O184" s="376" t="str">
        <f>IF(N184&lt;0.5,"A",IF(N184&gt;0.8,"C","B"))</f>
        <v>C</v>
      </c>
    </row>
    <row r="185" spans="1:15" x14ac:dyDescent="0.25">
      <c r="A185" s="232">
        <f t="shared" si="13"/>
        <v>185</v>
      </c>
      <c r="B185" s="232"/>
      <c r="C185" s="744" t="s">
        <v>20487</v>
      </c>
      <c r="D185" s="377" t="str">
        <f>IF($C185="","",IFERROR(VLOOKUP($C185,SERVIÇOS!$B:$G,2,0),IFERROR(VLOOKUP($C185,'COMPOSIÇÕES COMPLEMENTARES '!$D:$L,2,0),IFERROR(VLOOKUP($C185,INSUMOS!$A:$D,2,0),""))))</f>
        <v xml:space="preserve">ASSENTAMENTO DE MEIO FIO DE CONCRETO TIPO 2  DER/PR- PRÉ-MOLDADO </v>
      </c>
      <c r="E185" s="312" t="str">
        <f>IF($C185="","",IFERROR(VLOOKUP($C185,SERVIÇOS!$B:$G,3,0),IFERROR(VLOOKUP($C185,'COMPOSIÇÕES COMPLEMENTARES '!$D:$L,3,0),IFERROR(VLOOKUP($C185,INSUMOS!$A:$D,3,0),""))))</f>
        <v>M</v>
      </c>
      <c r="F185" s="313">
        <v>114.21</v>
      </c>
      <c r="G185" s="314">
        <f>IF($C185="","",IFERROR(VLOOKUP($C185,SERVIÇOS!$B:$G,4,0),IFERROR(VLOOKUP($C185,'COMPOSIÇÕES COMPLEMENTARES '!$D:$L,6,0),IFERROR(VLOOKUP($C185,INSUMOS!$A:$D,4,0),""))))</f>
        <v>49.94</v>
      </c>
      <c r="H185" s="314">
        <f>IF($C185="","",IFERROR(VLOOKUP($C185,SERVIÇOS!$B:$G,5,0),IFERROR(VLOOKUP($C185,'COMPOSIÇÕES COMPLEMENTARES '!$D:$L,7,0),0)))</f>
        <v>9.23</v>
      </c>
      <c r="I185" s="314">
        <f t="shared" si="14"/>
        <v>59.17</v>
      </c>
      <c r="J185" s="314">
        <f t="shared" si="15"/>
        <v>5703.64</v>
      </c>
      <c r="K185" s="314">
        <f t="shared" si="16"/>
        <v>1054.1500000000001</v>
      </c>
      <c r="L185" s="948">
        <f t="shared" si="17"/>
        <v>6757.79</v>
      </c>
      <c r="M185" s="374">
        <f t="shared" si="18"/>
        <v>4766903.6300000018</v>
      </c>
      <c r="N185" s="375">
        <f>+M185/L$815</f>
        <v>0.84405193781970278</v>
      </c>
      <c r="O185" s="376" t="str">
        <f>IF(N185&lt;0.5,"A",IF(N185&gt;0.8,"C","B"))</f>
        <v>C</v>
      </c>
    </row>
    <row r="186" spans="1:15" ht="38.25" x14ac:dyDescent="0.25">
      <c r="A186" s="232">
        <f t="shared" si="13"/>
        <v>186</v>
      </c>
      <c r="B186" s="232"/>
      <c r="C186" s="310" t="s">
        <v>12540</v>
      </c>
      <c r="D186" s="373" t="str">
        <f>IF($C186="","",IFERROR(VLOOKUP($C186,SERVIÇOS!$B:$G,2,0),IFERROR(VLOOKUP($C186,'COMPOSIÇÕES COMPLEMENTARES '!$D:$L,2,0),IFERROR(VLOOKUP($C186,INSUMOS!$A:$D,2,0),""))))</f>
        <v>ACCESS POINT - PADRÃO IEEE 802.11A/B/G/N/AC, COM OPERAÇÃO NAS FREQUÊNCIAS 2.4 GHZ E 5GHZ DE FORMA SIMULTÂNEA. DEVE SUPORTAR A UTILIZAÇÃO DE SISTEMA ANTIFURTO DO TIPO KENSINGTON LOCK OU SIMILAR QUE PERMITA A INSTALAÇÃO DE UM CABO DE SEGURANÇA COM A FINALIDADE DE EVITAR FURTO DO EQUIPAMENTO</v>
      </c>
      <c r="E186" s="312" t="str">
        <f>IF($C186="","",IFERROR(VLOOKUP($C186,SERVIÇOS!$B:$G,3,0),IFERROR(VLOOKUP($C186,'COMPOSIÇÕES COMPLEMENTARES '!$D:$L,3,0),IFERROR(VLOOKUP($C186,INSUMOS!$A:$D,3,0),""))))</f>
        <v>UN</v>
      </c>
      <c r="F186" s="313">
        <v>5</v>
      </c>
      <c r="G186" s="314">
        <f>IF($C186="","",IFERROR(VLOOKUP($C186,SERVIÇOS!$B:$G,4,0),IFERROR(VLOOKUP($C186,'COMPOSIÇÕES COMPLEMENTARES '!$D:$L,6,0),IFERROR(VLOOKUP($C186,INSUMOS!$A:$D,4,0),""))))</f>
        <v>1151.71</v>
      </c>
      <c r="H186" s="314">
        <f>IF($C186="","",IFERROR(VLOOKUP($C186,SERVIÇOS!$B:$G,5,0),IFERROR(VLOOKUP($C186,'COMPOSIÇÕES COMPLEMENTARES '!$D:$L,7,0),0)))</f>
        <v>198.16</v>
      </c>
      <c r="I186" s="314">
        <f t="shared" si="14"/>
        <v>1349.8700000000001</v>
      </c>
      <c r="J186" s="314">
        <f t="shared" si="15"/>
        <v>5758.55</v>
      </c>
      <c r="K186" s="314">
        <f t="shared" si="16"/>
        <v>990.8</v>
      </c>
      <c r="L186" s="948">
        <f t="shared" si="17"/>
        <v>6749.35</v>
      </c>
      <c r="M186" s="374">
        <f t="shared" si="18"/>
        <v>4773652.9800000014</v>
      </c>
      <c r="N186" s="375">
        <f>+M186/L$815</f>
        <v>0.84524701168498317</v>
      </c>
      <c r="O186" s="376" t="str">
        <f>IF(N186&lt;0.5,"A",IF(N186&gt;0.8,"C","B"))</f>
        <v>C</v>
      </c>
    </row>
    <row r="187" spans="1:15" x14ac:dyDescent="0.25">
      <c r="A187" s="232">
        <f t="shared" si="13"/>
        <v>187</v>
      </c>
      <c r="B187" s="232"/>
      <c r="C187" s="310" t="s">
        <v>12033</v>
      </c>
      <c r="D187" s="373" t="str">
        <f>IF($C187="","",IFERROR(VLOOKUP($C187,SERVIÇOS!$B:$G,2,0),IFERROR(VLOOKUP($C187,'COMPOSIÇÕES COMPLEMENTARES '!$D:$L,2,0),IFERROR(VLOOKUP($C187,INSUMOS!$A:$D,2,0),""))))</f>
        <v>PORTA EM CHAPA LISA DE ALUMÍNIO ANODIZADO NATURAL/PRETO/BRANCO, COMUM, DE ABRIR OU CORRER</v>
      </c>
      <c r="E187" s="312" t="str">
        <f>IF($C187="","",IFERROR(VLOOKUP($C187,SERVIÇOS!$B:$G,3,0),IFERROR(VLOOKUP($C187,'COMPOSIÇÕES COMPLEMENTARES '!$D:$L,3,0),IFERROR(VLOOKUP($C187,INSUMOS!$A:$D,3,0),""))))</f>
        <v>M2</v>
      </c>
      <c r="F187" s="313">
        <v>21.21</v>
      </c>
      <c r="G187" s="314">
        <f>IF($C187="","",IFERROR(VLOOKUP($C187,SERVIÇOS!$B:$G,4,0),IFERROR(VLOOKUP($C187,'COMPOSIÇÕES COMPLEMENTARES '!$D:$L,6,0),IFERROR(VLOOKUP($C187,INSUMOS!$A:$D,4,0),""))))</f>
        <v>270.13</v>
      </c>
      <c r="H187" s="314">
        <f>IF($C187="","",IFERROR(VLOOKUP($C187,SERVIÇOS!$B:$G,5,0),IFERROR(VLOOKUP($C187,'COMPOSIÇÕES COMPLEMENTARES '!$D:$L,7,0),0)))</f>
        <v>47.64</v>
      </c>
      <c r="I187" s="314">
        <f t="shared" si="14"/>
        <v>317.77</v>
      </c>
      <c r="J187" s="314">
        <f t="shared" si="15"/>
        <v>5729.45</v>
      </c>
      <c r="K187" s="314">
        <f t="shared" si="16"/>
        <v>1010.44</v>
      </c>
      <c r="L187" s="948">
        <f t="shared" si="17"/>
        <v>6739.89</v>
      </c>
      <c r="M187" s="374">
        <f t="shared" si="18"/>
        <v>4780392.870000001</v>
      </c>
      <c r="N187" s="375">
        <f>+M187/L$815</f>
        <v>0.84644041051507268</v>
      </c>
      <c r="O187" s="376" t="str">
        <f>IF(N187&lt;0.5,"A",IF(N187&gt;0.8,"C","B"))</f>
        <v>C</v>
      </c>
    </row>
    <row r="188" spans="1:15" ht="51" x14ac:dyDescent="0.25">
      <c r="A188" s="232">
        <f t="shared" si="13"/>
        <v>188</v>
      </c>
      <c r="B188" s="232"/>
      <c r="C188" s="310" t="s">
        <v>12537</v>
      </c>
      <c r="D188" s="373" t="str">
        <f>IF($C188="","",IFERROR(VLOOKUP($C188,SERVIÇOS!$B:$G,2,0),IFERROR(VLOOKUP($C188,'COMPOSIÇÕES COMPLEMENTARES '!$D:$L,2,0),IFERROR(VLOOKUP($C188,INSUMOS!$A:$D,2,0),""))))</f>
        <v>SWITCH 24 ETHERNET 10/100/1000 POE+ PORTS; 4 10 GIG SFP+; POE+; DOUBLE HOT SWAPPABLE AC/DC POWER SUPPLIES, ONE 500W AC OR 650W DC POWER MODULE IS CONFIGURED BY DEFAULT; FORWARDING PERFORMANCE: 132 MPPS; SWITCHING CAPACITY: 336GBPS. O SWITCH DEVE POSSUIR COMPATIBILIDADE COM AS TECNOLOGIAS: MÚLTIPLAS VLAN´S, GERENCIAMENTO VIA INTERFACE WEB E PORTA CONSOLE, QOS. MODELO: S5720-52X-PWR-SI-AC.</v>
      </c>
      <c r="E188" s="312" t="str">
        <f>IF($C188="","",IFERROR(VLOOKUP($C188,SERVIÇOS!$B:$G,3,0),IFERROR(VLOOKUP($C188,'COMPOSIÇÕES COMPLEMENTARES '!$D:$L,3,0),IFERROR(VLOOKUP($C188,INSUMOS!$A:$D,3,0),""))))</f>
        <v>UN</v>
      </c>
      <c r="F188" s="313">
        <v>2</v>
      </c>
      <c r="G188" s="314">
        <f>IF($C188="","",IFERROR(VLOOKUP($C188,SERVIÇOS!$B:$G,4,0),IFERROR(VLOOKUP($C188,'COMPOSIÇÕES COMPLEMENTARES '!$D:$L,6,0),IFERROR(VLOOKUP($C188,INSUMOS!$A:$D,4,0),""))))</f>
        <v>3313.69</v>
      </c>
      <c r="H188" s="314">
        <f>IF($C188="","",IFERROR(VLOOKUP($C188,SERVIÇOS!$B:$G,5,0),IFERROR(VLOOKUP($C188,'COMPOSIÇÕES COMPLEMENTARES '!$D:$L,7,0),0)))</f>
        <v>14.850000000000001</v>
      </c>
      <c r="I188" s="314">
        <f t="shared" si="14"/>
        <v>3328.54</v>
      </c>
      <c r="J188" s="314">
        <f t="shared" si="15"/>
        <v>6627.38</v>
      </c>
      <c r="K188" s="314">
        <f t="shared" si="16"/>
        <v>29.7</v>
      </c>
      <c r="L188" s="948">
        <f t="shared" si="17"/>
        <v>6657.08</v>
      </c>
      <c r="M188" s="374">
        <f t="shared" si="18"/>
        <v>4787049.9500000011</v>
      </c>
      <c r="N188" s="375">
        <f>+M188/L$815</f>
        <v>0.84761914658996595</v>
      </c>
      <c r="O188" s="376" t="str">
        <f>IF(N188&lt;0.5,"A",IF(N188&gt;0.8,"C","B"))</f>
        <v>C</v>
      </c>
    </row>
    <row r="189" spans="1:15" ht="38.25" x14ac:dyDescent="0.25">
      <c r="A189" s="232">
        <f t="shared" si="13"/>
        <v>189</v>
      </c>
      <c r="B189" s="232"/>
      <c r="C189" s="310" t="s">
        <v>12179</v>
      </c>
      <c r="D189" s="373" t="str">
        <f>IF($C189="","",IFERROR(VLOOKUP($C189,SERVIÇOS!$B:$G,2,0),IFERROR(VLOOKUP($C189,'COMPOSIÇÕES COMPLEMENTARES '!$D:$L,2,0),IFERROR(VLOOKUP($C189,INSUMOS!$A:$D,2,0),""))))</f>
        <v>QDG - QUADRO DE DISTRIBUIÇÃO EM CHAPA DE AÇO 16USG, PINTURA EM EPÓXI COR BEGE, COM TRINCO, BARRAMENTOS EM COBRE, ESPELHO INTERNO C/ PLAQUETAS DE IDENTIFICAÇÃO EM ACRÍLICO PARA CADA CIRCUITO E PORTA PROJETO. DEVERÁ ATENDER O SOLICITADO NO DIAGRAMA UNIFILAR EM PROJETO.</v>
      </c>
      <c r="E189" s="312" t="str">
        <f>IF($C189="","",IFERROR(VLOOKUP($C189,SERVIÇOS!$B:$G,3,0),IFERROR(VLOOKUP($C189,'COMPOSIÇÕES COMPLEMENTARES '!$D:$L,3,0),IFERROR(VLOOKUP($C189,INSUMOS!$A:$D,3,0),""))))</f>
        <v>UN</v>
      </c>
      <c r="F189" s="313">
        <v>1</v>
      </c>
      <c r="G189" s="314">
        <f>IF($C189="","",IFERROR(VLOOKUP($C189,SERVIÇOS!$B:$G,4,0),IFERROR(VLOOKUP($C189,'COMPOSIÇÕES COMPLEMENTARES '!$D:$L,6,0),IFERROR(VLOOKUP($C189,INSUMOS!$A:$D,4,0),""))))</f>
        <v>6272.44</v>
      </c>
      <c r="H189" s="314">
        <f>IF($C189="","",IFERROR(VLOOKUP($C189,SERVIÇOS!$B:$G,5,0),IFERROR(VLOOKUP($C189,'COMPOSIÇÕES COMPLEMENTARES '!$D:$L,7,0),0)))</f>
        <v>348.09</v>
      </c>
      <c r="I189" s="314">
        <f t="shared" si="14"/>
        <v>6620.53</v>
      </c>
      <c r="J189" s="314">
        <f t="shared" si="15"/>
        <v>6272.44</v>
      </c>
      <c r="K189" s="314">
        <f t="shared" si="16"/>
        <v>348.09</v>
      </c>
      <c r="L189" s="948">
        <f t="shared" si="17"/>
        <v>6620.53</v>
      </c>
      <c r="M189" s="374">
        <f t="shared" si="18"/>
        <v>4793670.4800000014</v>
      </c>
      <c r="N189" s="375">
        <f>+M189/L$815</f>
        <v>0.84879141093798549</v>
      </c>
      <c r="O189" s="376" t="str">
        <f>IF(N189&lt;0.5,"A",IF(N189&gt;0.8,"C","B"))</f>
        <v>C</v>
      </c>
    </row>
    <row r="190" spans="1:15" ht="25.5" x14ac:dyDescent="0.25">
      <c r="A190" s="232">
        <f t="shared" si="13"/>
        <v>190</v>
      </c>
      <c r="B190" s="232"/>
      <c r="C190" s="310" t="s">
        <v>12282</v>
      </c>
      <c r="D190" s="373" t="str">
        <f>IF($C190="","",IFERROR(VLOOKUP($C190,SERVIÇOS!$B:$G,2,0),IFERROR(VLOOKUP($C190,'COMPOSIÇÕES COMPLEMENTARES '!$D:$L,2,0),IFERROR(VLOOKUP($C190,INSUMOS!$A:$D,2,0),""))))</f>
        <v>LEITO PARA CABOS TIPO MÉDIO GALVANIZADO A FOGO, COM TAMPA 2 AGUAS. DIMENSÕES: 300MM (LARGURA) X 100MM (ALTURA) X 3000MM (COMPRIMENTO DA BARRA) - INCLUSO SUPORTE DE FIXAÇÃO NO PISO</v>
      </c>
      <c r="E190" s="312" t="str">
        <f>IF($C190="","",IFERROR(VLOOKUP($C190,SERVIÇOS!$B:$G,3,0),IFERROR(VLOOKUP($C190,'COMPOSIÇÕES COMPLEMENTARES '!$D:$L,3,0),IFERROR(VLOOKUP($C190,INSUMOS!$A:$D,3,0),""))))</f>
        <v>M</v>
      </c>
      <c r="F190" s="313">
        <v>21</v>
      </c>
      <c r="G190" s="314">
        <f>IF($C190="","",IFERROR(VLOOKUP($C190,SERVIÇOS!$B:$G,4,0),IFERROR(VLOOKUP($C190,'COMPOSIÇÕES COMPLEMENTARES '!$D:$L,6,0),IFERROR(VLOOKUP($C190,INSUMOS!$A:$D,4,0),""))))</f>
        <v>300.02</v>
      </c>
      <c r="H190" s="314">
        <f>IF($C190="","",IFERROR(VLOOKUP($C190,SERVIÇOS!$B:$G,5,0),IFERROR(VLOOKUP($C190,'COMPOSIÇÕES COMPLEMENTARES '!$D:$L,7,0),0)))</f>
        <v>14.85</v>
      </c>
      <c r="I190" s="314">
        <f t="shared" si="14"/>
        <v>314.87</v>
      </c>
      <c r="J190" s="314">
        <f t="shared" si="15"/>
        <v>6300.42</v>
      </c>
      <c r="K190" s="314">
        <f t="shared" si="16"/>
        <v>311.85000000000002</v>
      </c>
      <c r="L190" s="948">
        <f t="shared" si="17"/>
        <v>6612.27</v>
      </c>
      <c r="M190" s="374">
        <f t="shared" si="18"/>
        <v>4800282.7500000009</v>
      </c>
      <c r="N190" s="375">
        <f>+M190/L$815</f>
        <v>0.84996221272885086</v>
      </c>
      <c r="O190" s="376" t="str">
        <f>IF(N190&lt;0.5,"A",IF(N190&gt;0.8,"C","B"))</f>
        <v>C</v>
      </c>
    </row>
    <row r="191" spans="1:15" ht="25.5" x14ac:dyDescent="0.25">
      <c r="A191" s="232">
        <f t="shared" si="13"/>
        <v>191</v>
      </c>
      <c r="B191" s="232"/>
      <c r="C191" s="310" t="s">
        <v>12346</v>
      </c>
      <c r="D191" s="373" t="str">
        <f>IF($C191="","",IFERROR(VLOOKUP($C191,SERVIÇOS!$B:$G,2,0),IFERROR(VLOOKUP($C191,'COMPOSIÇÕES COMPLEMENTARES '!$D:$L,2,0),IFERROR(VLOOKUP($C191,INSUMOS!$A:$D,2,0),""))))</f>
        <v>TUBO DE COBRE CLASSE "A", DN = 1 " (28 MM), PARA INSTALACOES DE MEDIA PRESSAO PARA GASES COMBUSTIVEIS E MEDICINAIS</v>
      </c>
      <c r="E191" s="312" t="str">
        <f>IF($C191="","",IFERROR(VLOOKUP($C191,SERVIÇOS!$B:$G,3,0),IFERROR(VLOOKUP($C191,'COMPOSIÇÕES COMPLEMENTARES '!$D:$L,3,0),IFERROR(VLOOKUP($C191,INSUMOS!$A:$D,3,0),""))))</f>
        <v>M</v>
      </c>
      <c r="F191" s="313">
        <v>33.28</v>
      </c>
      <c r="G191" s="314">
        <f>IF($C191="","",IFERROR(VLOOKUP($C191,SERVIÇOS!$B:$G,4,0),IFERROR(VLOOKUP($C191,'COMPOSIÇÕES COMPLEMENTARES '!$D:$L,6,0),IFERROR(VLOOKUP($C191,INSUMOS!$A:$D,4,0),""))))</f>
        <v>175.18</v>
      </c>
      <c r="H191" s="314">
        <f>IF($C191="","",IFERROR(VLOOKUP($C191,SERVIÇOS!$B:$G,5,0),IFERROR(VLOOKUP($C191,'COMPOSIÇÕES COMPLEMENTARES '!$D:$L,7,0),0)))</f>
        <v>21.86</v>
      </c>
      <c r="I191" s="314">
        <f t="shared" si="14"/>
        <v>197.04000000000002</v>
      </c>
      <c r="J191" s="314">
        <f t="shared" si="15"/>
        <v>5829.99</v>
      </c>
      <c r="K191" s="314">
        <f t="shared" si="16"/>
        <v>727.5</v>
      </c>
      <c r="L191" s="948">
        <f t="shared" si="17"/>
        <v>6557.49</v>
      </c>
      <c r="M191" s="374">
        <f t="shared" si="18"/>
        <v>4806840.2400000012</v>
      </c>
      <c r="N191" s="375">
        <f>+M191/L$815</f>
        <v>0.85112331489733195</v>
      </c>
      <c r="O191" s="376" t="str">
        <f>IF(N191&lt;0.5,"A",IF(N191&gt;0.8,"C","B"))</f>
        <v>C</v>
      </c>
    </row>
    <row r="192" spans="1:15" ht="51" x14ac:dyDescent="0.25">
      <c r="A192" s="232">
        <f t="shared" si="13"/>
        <v>192</v>
      </c>
      <c r="B192" s="232"/>
      <c r="C192" s="310" t="s">
        <v>12494</v>
      </c>
      <c r="D192" s="373" t="str">
        <f>IF($C192="","",IFERROR(VLOOKUP($C192,SERVIÇOS!$B:$G,2,0),IFERROR(VLOOKUP($C192,'COMPOSIÇÕES COMPLEMENTARES '!$D:$L,2,0),IFERROR(VLOOKUP($C192,INSUMOS!$A:$D,2,0),""))))</f>
        <v>TRANSDUTOR DE TEMPERATURA E UMIDADE PARA MONTAGEM EM DUTOS IP65. CERTIFICADO DE CALIBRAÇÃO. O OUTPUT DEVE CONTER NO MÍNIMO O TBS E A UR. A PRECISÃO DEVE SER DE ±2 % NA MEDIÇÃO DE UR E DE ±0.2 °C NA MEDIÇÃO DE TEMPERATURA. SAÍDAS MODBUS E ANALÓGICA 4-20 MA.
REF. VAISALA HMD110 OU EQUIVALENTE TÉCNICO DWYER, IMI, BELIMO, AERIS</v>
      </c>
      <c r="E192" s="312" t="str">
        <f>IF($C192="","",IFERROR(VLOOKUP($C192,SERVIÇOS!$B:$G,3,0),IFERROR(VLOOKUP($C192,'COMPOSIÇÕES COMPLEMENTARES '!$D:$L,3,0),IFERROR(VLOOKUP($C192,INSUMOS!$A:$D,3,0),""))))</f>
        <v>UN</v>
      </c>
      <c r="F192" s="313">
        <v>1</v>
      </c>
      <c r="G192" s="314">
        <f>IF($C192="","",IFERROR(VLOOKUP($C192,SERVIÇOS!$B:$G,4,0),IFERROR(VLOOKUP($C192,'COMPOSIÇÕES COMPLEMENTARES '!$D:$L,6,0),IFERROR(VLOOKUP($C192,INSUMOS!$A:$D,4,0),""))))</f>
        <v>6493.21</v>
      </c>
      <c r="H192" s="314">
        <f>IF($C192="","",IFERROR(VLOOKUP($C192,SERVIÇOS!$B:$G,5,0),IFERROR(VLOOKUP($C192,'COMPOSIÇÕES COMPLEMENTARES '!$D:$L,7,0),0)))</f>
        <v>24.15</v>
      </c>
      <c r="I192" s="314">
        <f t="shared" si="14"/>
        <v>6517.36</v>
      </c>
      <c r="J192" s="314">
        <f t="shared" si="15"/>
        <v>6493.21</v>
      </c>
      <c r="K192" s="314">
        <f t="shared" si="16"/>
        <v>24.15</v>
      </c>
      <c r="L192" s="948">
        <f t="shared" si="17"/>
        <v>6517.36</v>
      </c>
      <c r="M192" s="374">
        <f t="shared" si="18"/>
        <v>4813357.6000000015</v>
      </c>
      <c r="N192" s="375">
        <f>+M192/L$815</f>
        <v>0.85227731144612917</v>
      </c>
      <c r="O192" s="376" t="str">
        <f>IF(N192&lt;0.5,"A",IF(N192&gt;0.8,"C","B"))</f>
        <v>C</v>
      </c>
    </row>
    <row r="193" spans="1:15" x14ac:dyDescent="0.25">
      <c r="A193" s="232">
        <f t="shared" si="13"/>
        <v>193</v>
      </c>
      <c r="B193" s="232"/>
      <c r="C193" s="310">
        <v>93358</v>
      </c>
      <c r="D193" s="373" t="str">
        <f>IF($C193="","",IFERROR(VLOOKUP($C193,SERVIÇOS!$B:$G,2,0),IFERROR(VLOOKUP($C193,'COMPOSIÇÕES COMPLEMENTARES '!$D:$L,2,0),IFERROR(VLOOKUP($C193,INSUMOS!$A:$D,2,0),""))))</f>
        <v>ESCAVAÇÃO MANUAL DE VALA. AF_09/2024</v>
      </c>
      <c r="E193" s="312" t="str">
        <f>IF($C193="","",IFERROR(VLOOKUP($C193,SERVIÇOS!$B:$G,3,0),IFERROR(VLOOKUP($C193,'COMPOSIÇÕES COMPLEMENTARES '!$D:$L,3,0),IFERROR(VLOOKUP($C193,INSUMOS!$A:$D,3,0),""))))</f>
        <v>M3</v>
      </c>
      <c r="F193" s="313">
        <v>56.4</v>
      </c>
      <c r="G193" s="314">
        <f>IF($C193="","",IFERROR(VLOOKUP($C193,SERVIÇOS!$B:$G,4,0),IFERROR(VLOOKUP($C193,'COMPOSIÇÕES COMPLEMENTARES '!$D:$L,6,0),IFERROR(VLOOKUP($C193,INSUMOS!$A:$D,4,0),""))))</f>
        <v>36.369999999999997</v>
      </c>
      <c r="H193" s="314">
        <f>IF($C193="","",IFERROR(VLOOKUP($C193,SERVIÇOS!$B:$G,5,0),IFERROR(VLOOKUP($C193,'COMPOSIÇÕES COMPLEMENTARES '!$D:$L,7,0),0)))</f>
        <v>77.2</v>
      </c>
      <c r="I193" s="314">
        <f t="shared" si="14"/>
        <v>113.57</v>
      </c>
      <c r="J193" s="314">
        <f t="shared" si="15"/>
        <v>2051.2600000000002</v>
      </c>
      <c r="K193" s="314">
        <f t="shared" si="16"/>
        <v>4354.08</v>
      </c>
      <c r="L193" s="948">
        <f t="shared" si="17"/>
        <v>6405.34</v>
      </c>
      <c r="M193" s="374">
        <f t="shared" si="18"/>
        <v>4819762.9400000013</v>
      </c>
      <c r="N193" s="375">
        <f>+M193/L$815</f>
        <v>0.85341147317018184</v>
      </c>
      <c r="O193" s="376" t="str">
        <f>IF(N193&lt;0.5,"A",IF(N193&gt;0.8,"C","B"))</f>
        <v>C</v>
      </c>
    </row>
    <row r="194" spans="1:15" ht="25.5" x14ac:dyDescent="0.25">
      <c r="A194" s="232">
        <f t="shared" si="13"/>
        <v>194</v>
      </c>
      <c r="B194" s="232"/>
      <c r="C194" s="310">
        <v>87792</v>
      </c>
      <c r="D194" s="373" t="str">
        <f>IF($C194="","",IFERROR(VLOOKUP($C194,SERVIÇOS!$B:$G,2,0),IFERROR(VLOOKUP($C194,'COMPOSIÇÕES COMPLEMENTARES '!$D:$L,2,0),IFERROR(VLOOKUP($C194,INSUMOS!$A:$D,2,0),""))))</f>
        <v>EMBOÇO OU MASSA ÚNICA EM ARGAMASSA TRAÇO 1:2:8, PREPARO MECÂNICO COM BETONEIRA 400 L, APLICADA MANUALMENTE EM PANOS CEGOS DE FACHADA (SEM PRESENÇA DE VÃOS), ESPESSURA DE 25 MM. AF_08/2022</v>
      </c>
      <c r="E194" s="312" t="str">
        <f>IF($C194="","",IFERROR(VLOOKUP($C194,SERVIÇOS!$B:$G,3,0),IFERROR(VLOOKUP($C194,'COMPOSIÇÕES COMPLEMENTARES '!$D:$L,3,0),IFERROR(VLOOKUP($C194,INSUMOS!$A:$D,3,0),""))))</f>
        <v>M2</v>
      </c>
      <c r="F194" s="313">
        <v>136.88999999999999</v>
      </c>
      <c r="G194" s="314">
        <f>IF($C194="","",IFERROR(VLOOKUP($C194,SERVIÇOS!$B:$G,4,0),IFERROR(VLOOKUP($C194,'COMPOSIÇÕES COMPLEMENTARES '!$D:$L,6,0),IFERROR(VLOOKUP($C194,INSUMOS!$A:$D,4,0),""))))</f>
        <v>23.89</v>
      </c>
      <c r="H194" s="314">
        <f>IF($C194="","",IFERROR(VLOOKUP($C194,SERVIÇOS!$B:$G,5,0),IFERROR(VLOOKUP($C194,'COMPOSIÇÕES COMPLEMENTARES '!$D:$L,7,0),0)))</f>
        <v>22.57</v>
      </c>
      <c r="I194" s="314">
        <f t="shared" si="14"/>
        <v>46.46</v>
      </c>
      <c r="J194" s="314">
        <f t="shared" si="15"/>
        <v>3270.3</v>
      </c>
      <c r="K194" s="314">
        <f t="shared" si="16"/>
        <v>3089.6</v>
      </c>
      <c r="L194" s="948">
        <f t="shared" si="17"/>
        <v>6359.9</v>
      </c>
      <c r="M194" s="374">
        <f t="shared" si="18"/>
        <v>4826122.8400000017</v>
      </c>
      <c r="N194" s="375">
        <f>+M194/L$815</f>
        <v>0.85453758905923749</v>
      </c>
      <c r="O194" s="376" t="str">
        <f>IF(N194&lt;0.5,"A",IF(N194&gt;0.8,"C","B"))</f>
        <v>C</v>
      </c>
    </row>
    <row r="195" spans="1:15" x14ac:dyDescent="0.25">
      <c r="A195" s="232">
        <f t="shared" si="13"/>
        <v>195</v>
      </c>
      <c r="B195" s="232"/>
      <c r="C195" s="310">
        <v>100574</v>
      </c>
      <c r="D195" s="373" t="str">
        <f>IF($C195="","",IFERROR(VLOOKUP($C195,SERVIÇOS!$B:$G,2,0),IFERROR(VLOOKUP($C195,'COMPOSIÇÕES COMPLEMENTARES '!$D:$L,2,0),IFERROR(VLOOKUP($C195,INSUMOS!$A:$D,2,0),""))))</f>
        <v>ESPALHAMENTO DE MATERIAL COM TRATOR DE ESTEIRAS. AF_09/2024</v>
      </c>
      <c r="E195" s="312" t="str">
        <f>IF($C195="","",IFERROR(VLOOKUP($C195,SERVIÇOS!$B:$G,3,0),IFERROR(VLOOKUP($C195,'COMPOSIÇÕES COMPLEMENTARES '!$D:$L,3,0),IFERROR(VLOOKUP($C195,INSUMOS!$A:$D,3,0),""))))</f>
        <v>M3</v>
      </c>
      <c r="F195" s="313">
        <v>4174.7700000000004</v>
      </c>
      <c r="G195" s="314">
        <f>IF($C195="","",IFERROR(VLOOKUP($C195,SERVIÇOS!$B:$G,4,0),IFERROR(VLOOKUP($C195,'COMPOSIÇÕES COMPLEMENTARES '!$D:$L,6,0),IFERROR(VLOOKUP($C195,INSUMOS!$A:$D,4,0),""))))</f>
        <v>1.1399999999999999</v>
      </c>
      <c r="H195" s="314">
        <f>IF($C195="","",IFERROR(VLOOKUP($C195,SERVIÇOS!$B:$G,5,0),IFERROR(VLOOKUP($C195,'COMPOSIÇÕES COMPLEMENTARES '!$D:$L,7,0),0)))</f>
        <v>0.38</v>
      </c>
      <c r="I195" s="314">
        <f t="shared" si="14"/>
        <v>1.52</v>
      </c>
      <c r="J195" s="314">
        <f t="shared" si="15"/>
        <v>4759.2299999999996</v>
      </c>
      <c r="K195" s="314">
        <f t="shared" si="16"/>
        <v>1586.41</v>
      </c>
      <c r="L195" s="948">
        <f t="shared" si="17"/>
        <v>6345.64</v>
      </c>
      <c r="M195" s="374">
        <f t="shared" si="18"/>
        <v>4832468.4800000014</v>
      </c>
      <c r="N195" s="375">
        <f>+M195/L$815</f>
        <v>0.85566118000095448</v>
      </c>
      <c r="O195" s="376" t="str">
        <f>IF(N195&lt;0.5,"A",IF(N195&gt;0.8,"C","B"))</f>
        <v>C</v>
      </c>
    </row>
    <row r="196" spans="1:15" ht="25.5" x14ac:dyDescent="0.25">
      <c r="A196" s="232">
        <f t="shared" si="13"/>
        <v>196</v>
      </c>
      <c r="B196" s="232"/>
      <c r="C196" s="310">
        <v>95472</v>
      </c>
      <c r="D196" s="373" t="str">
        <f>IF($C196="","",IFERROR(VLOOKUP($C196,SERVIÇOS!$B:$G,2,0),IFERROR(VLOOKUP($C196,'COMPOSIÇÕES COMPLEMENTARES '!$D:$L,2,0),IFERROR(VLOOKUP($C196,INSUMOS!$A:$D,2,0),""))))</f>
        <v>VASO SANITARIO SIFONADO CONVENCIONAL PARA PCD SEM FURO FRONTAL COM LOUÇA BRANCA SEM ASSENTO, INCLUSO CONJUNTO DE LIGAÇÃO PARA BACIA SANITÁRIA AJUSTÁVEL - FORNECIMENTO E INSTALAÇÃO. AF_01/2020</v>
      </c>
      <c r="E196" s="312" t="str">
        <f>IF($C196="","",IFERROR(VLOOKUP($C196,SERVIÇOS!$B:$G,3,0),IFERROR(VLOOKUP($C196,'COMPOSIÇÕES COMPLEMENTARES '!$D:$L,3,0),IFERROR(VLOOKUP($C196,INSUMOS!$A:$D,3,0),""))))</f>
        <v>UN</v>
      </c>
      <c r="F196" s="313">
        <v>7</v>
      </c>
      <c r="G196" s="314">
        <f>IF($C196="","",IFERROR(VLOOKUP($C196,SERVIÇOS!$B:$G,4,0),IFERROR(VLOOKUP($C196,'COMPOSIÇÕES COMPLEMENTARES '!$D:$L,6,0),IFERROR(VLOOKUP($C196,INSUMOS!$A:$D,4,0),""))))</f>
        <v>854.5</v>
      </c>
      <c r="H196" s="314">
        <f>IF($C196="","",IFERROR(VLOOKUP($C196,SERVIÇOS!$B:$G,5,0),IFERROR(VLOOKUP($C196,'COMPOSIÇÕES COMPLEMENTARES '!$D:$L,7,0),0)))</f>
        <v>42.61</v>
      </c>
      <c r="I196" s="314">
        <f t="shared" si="14"/>
        <v>897.11</v>
      </c>
      <c r="J196" s="314">
        <f t="shared" si="15"/>
        <v>5981.5</v>
      </c>
      <c r="K196" s="314">
        <f t="shared" si="16"/>
        <v>298.27</v>
      </c>
      <c r="L196" s="948">
        <f t="shared" si="17"/>
        <v>6279.77</v>
      </c>
      <c r="M196" s="374">
        <f t="shared" si="18"/>
        <v>4838748.2500000009</v>
      </c>
      <c r="N196" s="375">
        <f>+M196/L$815</f>
        <v>0.85677310766909609</v>
      </c>
      <c r="O196" s="376" t="str">
        <f>IF(N196&lt;0.5,"A",IF(N196&gt;0.8,"C","B"))</f>
        <v>C</v>
      </c>
    </row>
    <row r="197" spans="1:15" x14ac:dyDescent="0.25">
      <c r="A197" s="232">
        <f t="shared" si="13"/>
        <v>197</v>
      </c>
      <c r="B197" s="232"/>
      <c r="C197" s="310">
        <v>96374</v>
      </c>
      <c r="D197" s="373" t="str">
        <f>IF($C197="","",IFERROR(VLOOKUP($C197,SERVIÇOS!$B:$G,2,0),IFERROR(VLOOKUP($C197,'COMPOSIÇÕES COMPLEMENTARES '!$D:$L,2,0),IFERROR(VLOOKUP($C197,INSUMOS!$A:$D,2,0),""))))</f>
        <v>INSTALAÇÃO DE REFORÇO DE MADEIRA EM PAREDE DRYWALL. AF_07/2023</v>
      </c>
      <c r="E197" s="312" t="str">
        <f>IF($C197="","",IFERROR(VLOOKUP($C197,SERVIÇOS!$B:$G,3,0),IFERROR(VLOOKUP($C197,'COMPOSIÇÕES COMPLEMENTARES '!$D:$L,3,0),IFERROR(VLOOKUP($C197,INSUMOS!$A:$D,3,0),""))))</f>
        <v>M</v>
      </c>
      <c r="F197" s="313">
        <v>183.45</v>
      </c>
      <c r="G197" s="314">
        <f>IF($C197="","",IFERROR(VLOOKUP($C197,SERVIÇOS!$B:$G,4,0),IFERROR(VLOOKUP($C197,'COMPOSIÇÕES COMPLEMENTARES '!$D:$L,6,0),IFERROR(VLOOKUP($C197,INSUMOS!$A:$D,4,0),""))))</f>
        <v>31.62</v>
      </c>
      <c r="H197" s="314">
        <f>IF($C197="","",IFERROR(VLOOKUP($C197,SERVIÇOS!$B:$G,5,0),IFERROR(VLOOKUP($C197,'COMPOSIÇÕES COMPLEMENTARES '!$D:$L,7,0),0)))</f>
        <v>2.48</v>
      </c>
      <c r="I197" s="314">
        <f t="shared" si="14"/>
        <v>34.1</v>
      </c>
      <c r="J197" s="314">
        <f t="shared" si="15"/>
        <v>5800.68</v>
      </c>
      <c r="K197" s="314">
        <f t="shared" si="16"/>
        <v>454.95</v>
      </c>
      <c r="L197" s="948">
        <f t="shared" si="17"/>
        <v>6255.63</v>
      </c>
      <c r="M197" s="374">
        <f t="shared" si="18"/>
        <v>4845003.8800000008</v>
      </c>
      <c r="N197" s="375">
        <f>+M197/L$815</f>
        <v>0.85788076098739552</v>
      </c>
      <c r="O197" s="376" t="str">
        <f>IF(N197&lt;0.5,"A",IF(N197&gt;0.8,"C","B"))</f>
        <v>C</v>
      </c>
    </row>
    <row r="198" spans="1:15" ht="25.5" x14ac:dyDescent="0.25">
      <c r="A198" s="232">
        <f t="shared" si="13"/>
        <v>198</v>
      </c>
      <c r="B198" s="232"/>
      <c r="C198" s="310">
        <v>105033</v>
      </c>
      <c r="D198" s="373" t="str">
        <f>IF($C198="","",IFERROR(VLOOKUP($C198,SERVIÇOS!$B:$G,2,0),IFERROR(VLOOKUP($C198,'COMPOSIÇÕES COMPLEMENTARES '!$D:$L,2,0),IFERROR(VLOOKUP($C198,INSUMOS!$A:$D,2,0),""))))</f>
        <v>CINTA DE AMARRAÇÃO DE ALVENARIA MOLDADA IN LOCO COM UTILIZAÇÃO DE BLOCOS CANALETA, ESPESSURA DE *15* CM. AF_03/2024</v>
      </c>
      <c r="E198" s="312" t="str">
        <f>IF($C198="","",IFERROR(VLOOKUP($C198,SERVIÇOS!$B:$G,3,0),IFERROR(VLOOKUP($C198,'COMPOSIÇÕES COMPLEMENTARES '!$D:$L,3,0),IFERROR(VLOOKUP($C198,INSUMOS!$A:$D,3,0),""))))</f>
        <v>M</v>
      </c>
      <c r="F198" s="313">
        <v>105.5</v>
      </c>
      <c r="G198" s="314">
        <f>IF($C198="","",IFERROR(VLOOKUP($C198,SERVIÇOS!$B:$G,4,0),IFERROR(VLOOKUP($C198,'COMPOSIÇÕES COMPLEMENTARES '!$D:$L,6,0),IFERROR(VLOOKUP($C198,INSUMOS!$A:$D,4,0),""))))</f>
        <v>40.35</v>
      </c>
      <c r="H198" s="314">
        <f>IF($C198="","",IFERROR(VLOOKUP($C198,SERVIÇOS!$B:$G,5,0),IFERROR(VLOOKUP($C198,'COMPOSIÇÕES COMPLEMENTARES '!$D:$L,7,0),0)))</f>
        <v>18.04</v>
      </c>
      <c r="I198" s="314">
        <f t="shared" si="14"/>
        <v>58.39</v>
      </c>
      <c r="J198" s="314">
        <f t="shared" si="15"/>
        <v>4256.92</v>
      </c>
      <c r="K198" s="314">
        <f t="shared" si="16"/>
        <v>1903.22</v>
      </c>
      <c r="L198" s="948">
        <f t="shared" si="17"/>
        <v>6160.14</v>
      </c>
      <c r="M198" s="374">
        <f t="shared" si="18"/>
        <v>4851164.0200000005</v>
      </c>
      <c r="N198" s="375">
        <f>+M198/L$815</f>
        <v>0.85897150636590869</v>
      </c>
      <c r="O198" s="376" t="str">
        <f>IF(N198&lt;0.5,"A",IF(N198&gt;0.8,"C","B"))</f>
        <v>C</v>
      </c>
    </row>
    <row r="199" spans="1:15" ht="25.5" x14ac:dyDescent="0.25">
      <c r="A199" s="232">
        <f t="shared" si="13"/>
        <v>199</v>
      </c>
      <c r="B199" s="232"/>
      <c r="C199" s="310">
        <v>104916</v>
      </c>
      <c r="D199" s="373" t="str">
        <f>IF($C199="","",IFERROR(VLOOKUP($C199,SERVIÇOS!$B:$G,2,0),IFERROR(VLOOKUP($C199,'COMPOSIÇÕES COMPLEMENTARES '!$D:$L,2,0),IFERROR(VLOOKUP($C199,INSUMOS!$A:$D,2,0),""))))</f>
        <v>ARMAÇÃO DE SAPATA ISOLADA, VIGA BALDRAME E SAPATA CORRIDA UTILIZANDO AÇO CA-60 DE 5 MM - MONTAGEM. AF_01/2024</v>
      </c>
      <c r="E199" s="312" t="str">
        <f>IF($C199="","",IFERROR(VLOOKUP($C199,SERVIÇOS!$B:$G,3,0),IFERROR(VLOOKUP($C199,'COMPOSIÇÕES COMPLEMENTARES '!$D:$L,3,0),IFERROR(VLOOKUP($C199,INSUMOS!$A:$D,3,0),""))))</f>
        <v>KG</v>
      </c>
      <c r="F199" s="313">
        <v>322</v>
      </c>
      <c r="G199" s="314">
        <f>IF($C199="","",IFERROR(VLOOKUP($C199,SERVIÇOS!$B:$G,4,0),IFERROR(VLOOKUP($C199,'COMPOSIÇÕES COMPLEMENTARES '!$D:$L,6,0),IFERROR(VLOOKUP($C199,INSUMOS!$A:$D,4,0),""))))</f>
        <v>11.41</v>
      </c>
      <c r="H199" s="314">
        <f>IF($C199="","",IFERROR(VLOOKUP($C199,SERVIÇOS!$B:$G,5,0),IFERROR(VLOOKUP($C199,'COMPOSIÇÕES COMPLEMENTARES '!$D:$L,7,0),0)))</f>
        <v>7.66</v>
      </c>
      <c r="I199" s="314">
        <f t="shared" si="14"/>
        <v>19.07</v>
      </c>
      <c r="J199" s="314">
        <f t="shared" si="15"/>
        <v>3674.02</v>
      </c>
      <c r="K199" s="314">
        <f t="shared" si="16"/>
        <v>2466.52</v>
      </c>
      <c r="L199" s="948">
        <f t="shared" si="17"/>
        <v>6140.54</v>
      </c>
      <c r="M199" s="374">
        <f t="shared" si="18"/>
        <v>4857304.5600000005</v>
      </c>
      <c r="N199" s="375">
        <f>+M199/L$815</f>
        <v>0.86005878126981938</v>
      </c>
      <c r="O199" s="376" t="str">
        <f>IF(N199&lt;0.5,"A",IF(N199&gt;0.8,"C","B"))</f>
        <v>C</v>
      </c>
    </row>
    <row r="200" spans="1:15" x14ac:dyDescent="0.25">
      <c r="A200" s="232">
        <f t="shared" si="13"/>
        <v>200</v>
      </c>
      <c r="B200" s="232"/>
      <c r="C200" s="310" t="s">
        <v>12030</v>
      </c>
      <c r="D200" s="373" t="str">
        <f>IF($C200="","",IFERROR(VLOOKUP($C200,SERVIÇOS!$B:$G,2,0),IFERROR(VLOOKUP($C200,'COMPOSIÇÕES COMPLEMENTARES '!$D:$L,2,0),IFERROR(VLOOKUP($C200,INSUMOS!$A:$D,2,0),""))))</f>
        <v>CHAPA  EM AÇO INOX PARA PROTEÇÃO DE PORTA, ESP 1MM - FORNECIMENTO E INSTALAÇÃO</v>
      </c>
      <c r="E200" s="312" t="str">
        <f>IF($C200="","",IFERROR(VLOOKUP($C200,SERVIÇOS!$B:$G,3,0),IFERROR(VLOOKUP($C200,'COMPOSIÇÕES COMPLEMENTARES '!$D:$L,3,0),IFERROR(VLOOKUP($C200,INSUMOS!$A:$D,3,0),""))))</f>
        <v>M2</v>
      </c>
      <c r="F200" s="313">
        <v>5.04</v>
      </c>
      <c r="G200" s="314">
        <f>IF($C200="","",IFERROR(VLOOKUP($C200,SERVIÇOS!$B:$G,4,0),IFERROR(VLOOKUP($C200,'COMPOSIÇÕES COMPLEMENTARES '!$D:$L,6,0),IFERROR(VLOOKUP($C200,INSUMOS!$A:$D,4,0),""))))</f>
        <v>1194.6600000000001</v>
      </c>
      <c r="H200" s="314">
        <f>IF($C200="","",IFERROR(VLOOKUP($C200,SERVIÇOS!$B:$G,5,0),IFERROR(VLOOKUP($C200,'COMPOSIÇÕES COMPLEMENTARES '!$D:$L,7,0),0)))</f>
        <v>0</v>
      </c>
      <c r="I200" s="314">
        <f t="shared" si="14"/>
        <v>1194.6600000000001</v>
      </c>
      <c r="J200" s="314">
        <f t="shared" si="15"/>
        <v>6021.08</v>
      </c>
      <c r="K200" s="314">
        <f t="shared" si="16"/>
        <v>0</v>
      </c>
      <c r="L200" s="948">
        <f t="shared" si="17"/>
        <v>6021.08</v>
      </c>
      <c r="M200" s="374">
        <f t="shared" si="18"/>
        <v>4863325.6400000006</v>
      </c>
      <c r="N200" s="375">
        <f>+M200/L$815</f>
        <v>0.86112490398515673</v>
      </c>
      <c r="O200" s="376" t="str">
        <f>IF(N200&lt;0.5,"A",IF(N200&gt;0.8,"C","B"))</f>
        <v>C</v>
      </c>
    </row>
    <row r="201" spans="1:15" x14ac:dyDescent="0.25">
      <c r="A201" s="232">
        <f t="shared" si="13"/>
        <v>201</v>
      </c>
      <c r="B201" s="232"/>
      <c r="C201" s="310">
        <v>88485</v>
      </c>
      <c r="D201" s="373" t="str">
        <f>IF($C201="","",IFERROR(VLOOKUP($C201,SERVIÇOS!$B:$G,2,0),IFERROR(VLOOKUP($C201,'COMPOSIÇÕES COMPLEMENTARES '!$D:$L,2,0),IFERROR(VLOOKUP($C201,INSUMOS!$A:$D,2,0),""))))</f>
        <v>FUNDO SELADOR ACRÍLICO, APLICAÇÃO MANUAL EM PAREDE, UMA DEMÃO. AF_04/2023</v>
      </c>
      <c r="E201" s="312" t="str">
        <f>IF($C201="","",IFERROR(VLOOKUP($C201,SERVIÇOS!$B:$G,3,0),IFERROR(VLOOKUP($C201,'COMPOSIÇÕES COMPLEMENTARES '!$D:$L,3,0),IFERROR(VLOOKUP($C201,INSUMOS!$A:$D,3,0),""))))</f>
        <v>M2</v>
      </c>
      <c r="F201" s="313">
        <v>1286.74</v>
      </c>
      <c r="G201" s="314">
        <f>IF($C201="","",IFERROR(VLOOKUP($C201,SERVIÇOS!$B:$G,4,0),IFERROR(VLOOKUP($C201,'COMPOSIÇÕES COMPLEMENTARES '!$D:$L,6,0),IFERROR(VLOOKUP($C201,INSUMOS!$A:$D,4,0),""))))</f>
        <v>2.42</v>
      </c>
      <c r="H201" s="314">
        <f>IF($C201="","",IFERROR(VLOOKUP($C201,SERVIÇOS!$B:$G,5,0),IFERROR(VLOOKUP($C201,'COMPOSIÇÕES COMPLEMENTARES '!$D:$L,7,0),0)))</f>
        <v>2.25</v>
      </c>
      <c r="I201" s="314">
        <f t="shared" si="14"/>
        <v>4.67</v>
      </c>
      <c r="J201" s="314">
        <f t="shared" si="15"/>
        <v>3113.91</v>
      </c>
      <c r="K201" s="314">
        <f t="shared" si="16"/>
        <v>2895.16</v>
      </c>
      <c r="L201" s="948">
        <f t="shared" si="17"/>
        <v>6009.07</v>
      </c>
      <c r="M201" s="374">
        <f t="shared" si="18"/>
        <v>4869334.7100000009</v>
      </c>
      <c r="N201" s="375">
        <f>+M201/L$815</f>
        <v>0.86218890014947502</v>
      </c>
      <c r="O201" s="376" t="str">
        <f>IF(N201&lt;0.5,"A",IF(N201&gt;0.8,"C","B"))</f>
        <v>C</v>
      </c>
    </row>
    <row r="202" spans="1:15" ht="38.25" x14ac:dyDescent="0.25">
      <c r="A202" s="232">
        <f t="shared" ref="A202:A265" si="19">1+A201</f>
        <v>202</v>
      </c>
      <c r="B202" s="232"/>
      <c r="C202" s="310" t="s">
        <v>12070</v>
      </c>
      <c r="D202" s="373" t="str">
        <f>IF($C202="","",IFERROR(VLOOKUP($C202,SERVIÇOS!$B:$G,2,0),IFERROR(VLOOKUP($C202,'COMPOSIÇÕES COMPLEMENTARES '!$D:$L,2,0),IFERROR(VLOOKUP($C202,INSUMOS!$A:$D,2,0),""))))</f>
        <v>BANCADA EM INOX 304/20, ENCHIMENTO EM CONCRETO ARMADO LEVE, SEM BRITA, SOLDA DE ARGONIO, TESTEIRA DE 10CM, ACABAMENTO LISO, PROFUNDIDADE 70CM, CHUMBADAS À PAREDE E APOIADAS SOBRE BARRAS METÁLICAS. COMPRIMENTO CONFORME AS DIMENSÕES DO PROJETO.</v>
      </c>
      <c r="E202" s="312" t="str">
        <f>IF($C202="","",IFERROR(VLOOKUP($C202,SERVIÇOS!$B:$G,3,0),IFERROR(VLOOKUP($C202,'COMPOSIÇÕES COMPLEMENTARES '!$D:$L,3,0),IFERROR(VLOOKUP($C202,INSUMOS!$A:$D,3,0),""))))</f>
        <v>M</v>
      </c>
      <c r="F202" s="313">
        <v>3.4</v>
      </c>
      <c r="G202" s="314">
        <f>IF($C202="","",IFERROR(VLOOKUP($C202,SERVIÇOS!$B:$G,4,0),IFERROR(VLOOKUP($C202,'COMPOSIÇÕES COMPLEMENTARES '!$D:$L,6,0),IFERROR(VLOOKUP($C202,INSUMOS!$A:$D,4,0),""))))</f>
        <v>1638.57</v>
      </c>
      <c r="H202" s="314">
        <f>IF($C202="","",IFERROR(VLOOKUP($C202,SERVIÇOS!$B:$G,5,0),IFERROR(VLOOKUP($C202,'COMPOSIÇÕES COMPLEMENTARES '!$D:$L,7,0),0)))</f>
        <v>109.65</v>
      </c>
      <c r="I202" s="314">
        <f t="shared" ref="I202:I265" si="20">IF(F202="","",G202+H202)</f>
        <v>1748.22</v>
      </c>
      <c r="J202" s="314">
        <f t="shared" ref="J202:J265" si="21">IF(F202="","",TRUNC((F202*G202),2))</f>
        <v>5571.13</v>
      </c>
      <c r="K202" s="314">
        <f t="shared" ref="K202:K265" si="22">IF(F202="","",TRUNC((F202*H202),2))</f>
        <v>372.81</v>
      </c>
      <c r="L202" s="948">
        <f t="shared" ref="L202:L265" si="23">IF(F202="","",TRUNC((J202+K202),2))</f>
        <v>5943.94</v>
      </c>
      <c r="M202" s="374">
        <f t="shared" si="18"/>
        <v>4875278.6500000013</v>
      </c>
      <c r="N202" s="375">
        <f>+M202/L$815</f>
        <v>0.86324136406834051</v>
      </c>
      <c r="O202" s="376" t="str">
        <f>IF(N202&lt;0.5,"A",IF(N202&gt;0.8,"C","B"))</f>
        <v>C</v>
      </c>
    </row>
    <row r="203" spans="1:15" x14ac:dyDescent="0.25">
      <c r="A203" s="232">
        <f t="shared" si="19"/>
        <v>203</v>
      </c>
      <c r="B203" s="232"/>
      <c r="C203" s="310">
        <v>93202</v>
      </c>
      <c r="D203" s="377" t="str">
        <f>IF($C203="","",IFERROR(VLOOKUP($C203,SERVIÇOS!$B:$G,2,0),IFERROR(VLOOKUP($C203,'COMPOSIÇÕES COMPLEMENTARES '!$D:$L,2,0),IFERROR(VLOOKUP($C203,INSUMOS!$A:$D,2,0),""))))</f>
        <v>FIXAÇÃO (ENCUNHAMENTO) DE ALVENARIA DE VEDAÇÃO COM TIJOLO MACIÇO. AF_03/2024</v>
      </c>
      <c r="E203" s="312" t="str">
        <f>IF($C203="","",IFERROR(VLOOKUP($C203,SERVIÇOS!$B:$G,3,0),IFERROR(VLOOKUP($C203,'COMPOSIÇÕES COMPLEMENTARES '!$D:$L,3,0),IFERROR(VLOOKUP($C203,INSUMOS!$A:$D,3,0),""))))</f>
        <v>M</v>
      </c>
      <c r="F203" s="313">
        <v>181.14</v>
      </c>
      <c r="G203" s="314">
        <f>IF($C203="","",IFERROR(VLOOKUP($C203,SERVIÇOS!$B:$G,4,0),IFERROR(VLOOKUP($C203,'COMPOSIÇÕES COMPLEMENTARES '!$D:$L,6,0),IFERROR(VLOOKUP($C203,INSUMOS!$A:$D,4,0),""))))</f>
        <v>14.72</v>
      </c>
      <c r="H203" s="314">
        <f>IF($C203="","",IFERROR(VLOOKUP($C203,SERVIÇOS!$B:$G,5,0),IFERROR(VLOOKUP($C203,'COMPOSIÇÕES COMPLEMENTARES '!$D:$L,7,0),0)))</f>
        <v>18.05</v>
      </c>
      <c r="I203" s="314">
        <f t="shared" si="20"/>
        <v>32.770000000000003</v>
      </c>
      <c r="J203" s="314">
        <f t="shared" si="21"/>
        <v>2666.38</v>
      </c>
      <c r="K203" s="314">
        <f t="shared" si="22"/>
        <v>3269.57</v>
      </c>
      <c r="L203" s="948">
        <f t="shared" si="23"/>
        <v>5935.95</v>
      </c>
      <c r="M203" s="374">
        <f t="shared" ref="M203:M266" si="24">+L203+M202</f>
        <v>4881214.6000000015</v>
      </c>
      <c r="N203" s="375">
        <f>+M203/L$815</f>
        <v>0.86429241323761041</v>
      </c>
      <c r="O203" s="376" t="str">
        <f>IF(N203&lt;0.5,"A",IF(N203&gt;0.8,"C","B"))</f>
        <v>C</v>
      </c>
    </row>
    <row r="204" spans="1:15" x14ac:dyDescent="0.25">
      <c r="A204" s="232">
        <f t="shared" si="19"/>
        <v>204</v>
      </c>
      <c r="B204" s="232"/>
      <c r="C204" s="310" t="s">
        <v>12215</v>
      </c>
      <c r="D204" s="373" t="str">
        <f>IF($C204="","",IFERROR(VLOOKUP($C204,SERVIÇOS!$B:$G,2,0),IFERROR(VLOOKUP($C204,'COMPOSIÇÕES COMPLEMENTARES '!$D:$L,2,0),IFERROR(VLOOKUP($C204,INSUMOS!$A:$D,2,0),""))))</f>
        <v>PERFILADO PERFURADO COM TAMPA 38X38X6000MM CHAPA 18, INCLUSO CONEXÕES E FIXAÇÕES</v>
      </c>
      <c r="E204" s="312" t="str">
        <f>IF($C204="","",IFERROR(VLOOKUP($C204,SERVIÇOS!$B:$G,3,0),IFERROR(VLOOKUP($C204,'COMPOSIÇÕES COMPLEMENTARES '!$D:$L,3,0),IFERROR(VLOOKUP($C204,INSUMOS!$A:$D,3,0),""))))</f>
        <v>M</v>
      </c>
      <c r="F204" s="313">
        <v>60</v>
      </c>
      <c r="G204" s="314">
        <f>IF($C204="","",IFERROR(VLOOKUP($C204,SERVIÇOS!$B:$G,4,0),IFERROR(VLOOKUP($C204,'COMPOSIÇÕES COMPLEMENTARES '!$D:$L,6,0),IFERROR(VLOOKUP($C204,INSUMOS!$A:$D,4,0),""))))</f>
        <v>61.76</v>
      </c>
      <c r="H204" s="314">
        <f>IF($C204="","",IFERROR(VLOOKUP($C204,SERVIÇOS!$B:$G,5,0),IFERROR(VLOOKUP($C204,'COMPOSIÇÕES COMPLEMENTARES '!$D:$L,7,0),0)))</f>
        <v>31.6</v>
      </c>
      <c r="I204" s="314">
        <f t="shared" si="20"/>
        <v>93.36</v>
      </c>
      <c r="J204" s="314">
        <f t="shared" si="21"/>
        <v>3705.6</v>
      </c>
      <c r="K204" s="314">
        <f t="shared" si="22"/>
        <v>1896</v>
      </c>
      <c r="L204" s="948">
        <f t="shared" si="23"/>
        <v>5601.6</v>
      </c>
      <c r="M204" s="374">
        <f t="shared" si="24"/>
        <v>4886816.2000000011</v>
      </c>
      <c r="N204" s="375">
        <f>+M204/L$815</f>
        <v>0.86528426071384956</v>
      </c>
      <c r="O204" s="376" t="str">
        <f>IF(N204&lt;0.5,"A",IF(N204&gt;0.8,"C","B"))</f>
        <v>C</v>
      </c>
    </row>
    <row r="205" spans="1:15" x14ac:dyDescent="0.25">
      <c r="A205" s="232">
        <f t="shared" si="19"/>
        <v>205</v>
      </c>
      <c r="B205" s="232"/>
      <c r="C205" s="310">
        <v>100327</v>
      </c>
      <c r="D205" s="373" t="str">
        <f>IF($C205="","",IFERROR(VLOOKUP($C205,SERVIÇOS!$B:$G,2,0),IFERROR(VLOOKUP($C205,'COMPOSIÇÕES COMPLEMENTARES '!$D:$L,2,0),IFERROR(VLOOKUP($C205,INSUMOS!$A:$D,2,0),""))))</f>
        <v>RUFO EXTERNO/INTERNO EM CHAPA DE AÇO GALVANIZADO NÚMERO 26, CORTE DE 33 CM, INCLUSO IÇAMENTO. AF_07/2019</v>
      </c>
      <c r="E205" s="312" t="str">
        <f>IF($C205="","",IFERROR(VLOOKUP($C205,SERVIÇOS!$B:$G,3,0),IFERROR(VLOOKUP($C205,'COMPOSIÇÕES COMPLEMENTARES '!$D:$L,3,0),IFERROR(VLOOKUP($C205,INSUMOS!$A:$D,3,0),""))))</f>
        <v>M</v>
      </c>
      <c r="F205" s="313">
        <v>95.06</v>
      </c>
      <c r="G205" s="314">
        <f>IF($C205="","",IFERROR(VLOOKUP($C205,SERVIÇOS!$B:$G,4,0),IFERROR(VLOOKUP($C205,'COMPOSIÇÕES COMPLEMENTARES '!$D:$L,6,0),IFERROR(VLOOKUP($C205,INSUMOS!$A:$D,4,0),""))))</f>
        <v>49.07</v>
      </c>
      <c r="H205" s="314">
        <f>IF($C205="","",IFERROR(VLOOKUP($C205,SERVIÇOS!$B:$G,5,0),IFERROR(VLOOKUP($C205,'COMPOSIÇÕES COMPLEMENTARES '!$D:$L,7,0),0)))</f>
        <v>9.4</v>
      </c>
      <c r="I205" s="314">
        <f t="shared" si="20"/>
        <v>58.47</v>
      </c>
      <c r="J205" s="314">
        <f t="shared" si="21"/>
        <v>4664.59</v>
      </c>
      <c r="K205" s="314">
        <f t="shared" si="22"/>
        <v>893.56</v>
      </c>
      <c r="L205" s="948">
        <f t="shared" si="23"/>
        <v>5558.15</v>
      </c>
      <c r="M205" s="374">
        <f t="shared" si="24"/>
        <v>4892374.3500000015</v>
      </c>
      <c r="N205" s="375">
        <f>+M205/L$815</f>
        <v>0.86626841471450278</v>
      </c>
      <c r="O205" s="376" t="str">
        <f>IF(N205&lt;0.5,"A",IF(N205&gt;0.8,"C","B"))</f>
        <v>C</v>
      </c>
    </row>
    <row r="206" spans="1:15" ht="25.5" x14ac:dyDescent="0.25">
      <c r="A206" s="232">
        <f t="shared" si="19"/>
        <v>206</v>
      </c>
      <c r="B206" s="232"/>
      <c r="C206" s="310">
        <v>102480</v>
      </c>
      <c r="D206" s="373" t="str">
        <f>IF($C206="","",IFERROR(VLOOKUP($C206,SERVIÇOS!$B:$G,2,0),IFERROR(VLOOKUP($C206,'COMPOSIÇÕES COMPLEMENTARES '!$D:$L,2,0),IFERROR(VLOOKUP($C206,INSUMOS!$A:$D,2,0),""))))</f>
        <v>CONCRETO FCK = 15MPA, TRAÇO 1:3,4:3,4 (EM MASSA SECA DE CIMENTO/ AREIA MÉDIA/ SEIXO ROLADO) - PREPARO MECÂNICO COM BETONEIRA 600 L. AF_05/2021</v>
      </c>
      <c r="E206" s="312" t="str">
        <f>IF($C206="","",IFERROR(VLOOKUP($C206,SERVIÇOS!$B:$G,3,0),IFERROR(VLOOKUP($C206,'COMPOSIÇÕES COMPLEMENTARES '!$D:$L,3,0),IFERROR(VLOOKUP($C206,INSUMOS!$A:$D,3,0),""))))</f>
        <v>M3</v>
      </c>
      <c r="F206" s="313">
        <v>10.44</v>
      </c>
      <c r="G206" s="314">
        <f>IF($C206="","",IFERROR(VLOOKUP($C206,SERVIÇOS!$B:$G,4,0),IFERROR(VLOOKUP($C206,'COMPOSIÇÕES COMPLEMENTARES '!$D:$L,6,0),IFERROR(VLOOKUP($C206,INSUMOS!$A:$D,4,0),""))))</f>
        <v>444.91</v>
      </c>
      <c r="H206" s="314">
        <f>IF($C206="","",IFERROR(VLOOKUP($C206,SERVIÇOS!$B:$G,5,0),IFERROR(VLOOKUP($C206,'COMPOSIÇÕES COMPLEMENTARES '!$D:$L,7,0),0)))</f>
        <v>73.150000000000006</v>
      </c>
      <c r="I206" s="314">
        <f t="shared" si="20"/>
        <v>518.06000000000006</v>
      </c>
      <c r="J206" s="314">
        <f t="shared" si="21"/>
        <v>4644.8599999999997</v>
      </c>
      <c r="K206" s="314">
        <f t="shared" si="22"/>
        <v>763.68</v>
      </c>
      <c r="L206" s="948">
        <f t="shared" si="23"/>
        <v>5408.54</v>
      </c>
      <c r="M206" s="374">
        <f t="shared" si="24"/>
        <v>4897782.8900000015</v>
      </c>
      <c r="N206" s="375">
        <f>+M206/L$815</f>
        <v>0.86722607801590568</v>
      </c>
      <c r="O206" s="376" t="str">
        <f>IF(N206&lt;0.5,"A",IF(N206&gt;0.8,"C","B"))</f>
        <v>C</v>
      </c>
    </row>
    <row r="207" spans="1:15" ht="25.5" x14ac:dyDescent="0.25">
      <c r="A207" s="232">
        <f t="shared" si="19"/>
        <v>207</v>
      </c>
      <c r="B207" s="232"/>
      <c r="C207" s="310">
        <v>100868</v>
      </c>
      <c r="D207" s="373" t="str">
        <f>IF($C207="","",IFERROR(VLOOKUP($C207,SERVIÇOS!$B:$G,2,0),IFERROR(VLOOKUP($C207,'COMPOSIÇÕES COMPLEMENTARES '!$D:$L,2,0),IFERROR(VLOOKUP($C207,INSUMOS!$A:$D,2,0),""))))</f>
        <v>BARRA DE APOIO RETA, EM ACO INOX POLIDO, COMPRIMENTO 80 CM,  FIXADA NA PAREDE - FORNECIMENTO E INSTALAÇÃO. AF_01/2020</v>
      </c>
      <c r="E207" s="312" t="str">
        <f>IF($C207="","",IFERROR(VLOOKUP($C207,SERVIÇOS!$B:$G,3,0),IFERROR(VLOOKUP($C207,'COMPOSIÇÕES COMPLEMENTARES '!$D:$L,3,0),IFERROR(VLOOKUP($C207,INSUMOS!$A:$D,3,0),""))))</f>
        <v>UN</v>
      </c>
      <c r="F207" s="313">
        <v>21</v>
      </c>
      <c r="G207" s="314">
        <f>IF($C207="","",IFERROR(VLOOKUP($C207,SERVIÇOS!$B:$G,4,0),IFERROR(VLOOKUP($C207,'COMPOSIÇÕES COMPLEMENTARES '!$D:$L,6,0),IFERROR(VLOOKUP($C207,INSUMOS!$A:$D,4,0),""))))</f>
        <v>222.3</v>
      </c>
      <c r="H207" s="314">
        <f>IF($C207="","",IFERROR(VLOOKUP($C207,SERVIÇOS!$B:$G,5,0),IFERROR(VLOOKUP($C207,'COMPOSIÇÕES COMPLEMENTARES '!$D:$L,7,0),0)))</f>
        <v>31.96</v>
      </c>
      <c r="I207" s="314">
        <f t="shared" si="20"/>
        <v>254.26000000000002</v>
      </c>
      <c r="J207" s="314">
        <f t="shared" si="21"/>
        <v>4668.3</v>
      </c>
      <c r="K207" s="314">
        <f t="shared" si="22"/>
        <v>671.16</v>
      </c>
      <c r="L207" s="948">
        <f t="shared" si="23"/>
        <v>5339.46</v>
      </c>
      <c r="M207" s="374">
        <f t="shared" si="24"/>
        <v>4903122.3500000015</v>
      </c>
      <c r="N207" s="375">
        <f>+M207/L$815</f>
        <v>0.86817150966498446</v>
      </c>
      <c r="O207" s="376" t="str">
        <f>IF(N207&lt;0.5,"A",IF(N207&gt;0.8,"C","B"))</f>
        <v>C</v>
      </c>
    </row>
    <row r="208" spans="1:15" x14ac:dyDescent="0.25">
      <c r="A208" s="232">
        <f t="shared" si="19"/>
        <v>208</v>
      </c>
      <c r="B208" s="232"/>
      <c r="C208" s="310">
        <v>88423</v>
      </c>
      <c r="D208" s="373" t="str">
        <f>IF($C208="","",IFERROR(VLOOKUP($C208,SERVIÇOS!$B:$G,2,0),IFERROR(VLOOKUP($C208,'COMPOSIÇÕES COMPLEMENTARES '!$D:$L,2,0),IFERROR(VLOOKUP($C208,INSUMOS!$A:$D,2,0),""))))</f>
        <v>APLICAÇÃO MANUAL DE PINTURA COM TINTA TEXTURIZADA ACRÍLICA EM PAREDES EXTERNAS DE CASAS, UMA COR. AF_03/2024</v>
      </c>
      <c r="E208" s="312" t="str">
        <f>IF($C208="","",IFERROR(VLOOKUP($C208,SERVIÇOS!$B:$G,3,0),IFERROR(VLOOKUP($C208,'COMPOSIÇÕES COMPLEMENTARES '!$D:$L,3,0),IFERROR(VLOOKUP($C208,INSUMOS!$A:$D,3,0),""))))</f>
        <v>M2</v>
      </c>
      <c r="F208" s="313">
        <v>245.02</v>
      </c>
      <c r="G208" s="314">
        <f>IF($C208="","",IFERROR(VLOOKUP($C208,SERVIÇOS!$B:$G,4,0),IFERROR(VLOOKUP($C208,'COMPOSIÇÕES COMPLEMENTARES '!$D:$L,6,0),IFERROR(VLOOKUP($C208,INSUMOS!$A:$D,4,0),""))))</f>
        <v>16.98</v>
      </c>
      <c r="H208" s="314">
        <f>IF($C208="","",IFERROR(VLOOKUP($C208,SERVIÇOS!$B:$G,5,0),IFERROR(VLOOKUP($C208,'COMPOSIÇÕES COMPLEMENTARES '!$D:$L,7,0),0)))</f>
        <v>4.6500000000000004</v>
      </c>
      <c r="I208" s="314">
        <f t="shared" si="20"/>
        <v>21.630000000000003</v>
      </c>
      <c r="J208" s="314">
        <f t="shared" si="21"/>
        <v>4160.43</v>
      </c>
      <c r="K208" s="314">
        <f t="shared" si="22"/>
        <v>1139.3399999999999</v>
      </c>
      <c r="L208" s="948">
        <f t="shared" si="23"/>
        <v>5299.77</v>
      </c>
      <c r="M208" s="374">
        <f t="shared" si="24"/>
        <v>4908422.120000001</v>
      </c>
      <c r="N208" s="375">
        <f>+M208/L$815</f>
        <v>0.86910991360299283</v>
      </c>
      <c r="O208" s="376" t="str">
        <f>IF(N208&lt;0.5,"A",IF(N208&gt;0.8,"C","B"))</f>
        <v>C</v>
      </c>
    </row>
    <row r="209" spans="1:15" ht="25.5" x14ac:dyDescent="0.25">
      <c r="A209" s="232">
        <f t="shared" si="19"/>
        <v>209</v>
      </c>
      <c r="B209" s="232"/>
      <c r="C209" s="310" t="s">
        <v>12530</v>
      </c>
      <c r="D209" s="373" t="str">
        <f>IF($C209="","",IFERROR(VLOOKUP($C209,SERVIÇOS!$B:$G,2,0),IFERROR(VLOOKUP($C209,'COMPOSIÇÕES COMPLEMENTARES '!$D:$L,2,0),IFERROR(VLOOKUP($C209,INSUMOS!$A:$D,2,0),""))))</f>
        <v>PEDRA BRITA Nº2 PARA SUBESTAÇÃO DE ENERGIA, 20CM DE PROFUNDIDADE: 54M² DE COMPRIMENTO X0,2M DE PROFUNDIDADE</v>
      </c>
      <c r="E209" s="312" t="str">
        <f>IF($C209="","",IFERROR(VLOOKUP($C209,SERVIÇOS!$B:$G,3,0),IFERROR(VLOOKUP($C209,'COMPOSIÇÕES COMPLEMENTARES '!$D:$L,3,0),IFERROR(VLOOKUP($C209,INSUMOS!$A:$D,3,0),""))))</f>
        <v>M3</v>
      </c>
      <c r="F209" s="313">
        <v>13.2</v>
      </c>
      <c r="G209" s="314">
        <f>IF($C209="","",IFERROR(VLOOKUP($C209,SERVIÇOS!$B:$G,4,0),IFERROR(VLOOKUP($C209,'COMPOSIÇÕES COMPLEMENTARES '!$D:$L,6,0),IFERROR(VLOOKUP($C209,INSUMOS!$A:$D,4,0),""))))</f>
        <v>316.29000000000002</v>
      </c>
      <c r="H209" s="314">
        <f>IF($C209="","",IFERROR(VLOOKUP($C209,SERVIÇOS!$B:$G,5,0),IFERROR(VLOOKUP($C209,'COMPOSIÇÕES COMPLEMENTARES '!$D:$L,7,0),0)))</f>
        <v>83.63</v>
      </c>
      <c r="I209" s="314">
        <f t="shared" si="20"/>
        <v>399.92</v>
      </c>
      <c r="J209" s="314">
        <f t="shared" si="21"/>
        <v>4175.0200000000004</v>
      </c>
      <c r="K209" s="314">
        <f t="shared" si="22"/>
        <v>1103.9100000000001</v>
      </c>
      <c r="L209" s="948">
        <f t="shared" si="23"/>
        <v>5278.93</v>
      </c>
      <c r="M209" s="374">
        <f t="shared" si="24"/>
        <v>4913701.0500000007</v>
      </c>
      <c r="N209" s="375">
        <f>+M209/L$815</f>
        <v>0.8700446275057605</v>
      </c>
      <c r="O209" s="376" t="str">
        <f>IF(N209&lt;0.5,"A",IF(N209&gt;0.8,"C","B"))</f>
        <v>C</v>
      </c>
    </row>
    <row r="210" spans="1:15" ht="38.25" x14ac:dyDescent="0.25">
      <c r="A210" s="232">
        <f t="shared" si="19"/>
        <v>210</v>
      </c>
      <c r="B210" s="232"/>
      <c r="C210" s="310" t="s">
        <v>12066</v>
      </c>
      <c r="D210" s="373" t="str">
        <f>IF($C210="","",IFERROR(VLOOKUP($C210,SERVIÇOS!$B:$G,2,0),IFERROR(VLOOKUP($C210,'COMPOSIÇÕES COMPLEMENTARES '!$D:$L,2,0),IFERROR(VLOOKUP($C210,INSUMOS!$A:$D,2,0),""))))</f>
        <v>BANCADA EM INOX 304/20 OU 18, ENCHIMENTO EM CONCRETO ARAMADO LEVE, SEM BRITA, SOLDA DE ARGONIO, TESTEIRA DE 10CM, ACABAMENTO LISO, PROFUNDIDADE 60CM, CHUMBADAS À PAREDE E APOIADAS SOBRE BARRAS METÁLICAS, COMPRIMENTO CONFORME AS DIMENSÕES DO PROJETO.</v>
      </c>
      <c r="E210" s="312" t="str">
        <f>IF($C210="","",IFERROR(VLOOKUP($C210,SERVIÇOS!$B:$G,3,0),IFERROR(VLOOKUP($C210,'COMPOSIÇÕES COMPLEMENTARES '!$D:$L,3,0),IFERROR(VLOOKUP($C210,INSUMOS!$A:$D,3,0),""))))</f>
        <v>M</v>
      </c>
      <c r="F210" s="313">
        <v>3.7</v>
      </c>
      <c r="G210" s="314">
        <f>IF($C210="","",IFERROR(VLOOKUP($C210,SERVIÇOS!$B:$G,4,0),IFERROR(VLOOKUP($C210,'COMPOSIÇÕES COMPLEMENTARES '!$D:$L,6,0),IFERROR(VLOOKUP($C210,INSUMOS!$A:$D,4,0),""))))</f>
        <v>1317.87</v>
      </c>
      <c r="H210" s="314">
        <f>IF($C210="","",IFERROR(VLOOKUP($C210,SERVIÇOS!$B:$G,5,0),IFERROR(VLOOKUP($C210,'COMPOSIÇÕES COMPLEMENTARES '!$D:$L,7,0),0)))</f>
        <v>106.66</v>
      </c>
      <c r="I210" s="314">
        <f t="shared" si="20"/>
        <v>1424.53</v>
      </c>
      <c r="J210" s="314">
        <f t="shared" si="21"/>
        <v>4876.1099999999997</v>
      </c>
      <c r="K210" s="314">
        <f t="shared" si="22"/>
        <v>394.64</v>
      </c>
      <c r="L210" s="948">
        <f t="shared" si="23"/>
        <v>5270.75</v>
      </c>
      <c r="M210" s="374">
        <f t="shared" si="24"/>
        <v>4918971.8000000007</v>
      </c>
      <c r="N210" s="375">
        <f>+M210/L$815</f>
        <v>0.87097789301657658</v>
      </c>
      <c r="O210" s="376" t="str">
        <f>IF(N210&lt;0.5,"A",IF(N210&gt;0.8,"C","B"))</f>
        <v>C</v>
      </c>
    </row>
    <row r="211" spans="1:15" ht="25.5" x14ac:dyDescent="0.25">
      <c r="A211" s="232">
        <f t="shared" si="19"/>
        <v>211</v>
      </c>
      <c r="B211" s="232"/>
      <c r="C211" s="310" t="s">
        <v>12208</v>
      </c>
      <c r="D211" s="373" t="str">
        <f>IF($C211="","",IFERROR(VLOOKUP($C211,SERVIÇOS!$B:$G,2,0),IFERROR(VLOOKUP($C211,'COMPOSIÇÕES COMPLEMENTARES '!$D:$L,2,0),IFERROR(VLOOKUP($C211,INSUMOS!$A:$D,2,0),""))))</f>
        <v>LUMINÁRIA QUADRADA TIPO PLACA DE LED 30X30 CM DE EMBUTIR, 24W/127V - 1700 LM - 4000K - STH9954Q/40 - BIVOLT - STELLA OU SIMILAR.</v>
      </c>
      <c r="E211" s="312" t="str">
        <f>IF($C211="","",IFERROR(VLOOKUP($C211,SERVIÇOS!$B:$G,3,0),IFERROR(VLOOKUP($C211,'COMPOSIÇÕES COMPLEMENTARES '!$D:$L,3,0),IFERROR(VLOOKUP($C211,INSUMOS!$A:$D,3,0),""))))</f>
        <v>UN</v>
      </c>
      <c r="F211" s="313">
        <v>40</v>
      </c>
      <c r="G211" s="314">
        <f>IF($C211="","",IFERROR(VLOOKUP($C211,SERVIÇOS!$B:$G,4,0),IFERROR(VLOOKUP($C211,'COMPOSIÇÕES COMPLEMENTARES '!$D:$L,6,0),IFERROR(VLOOKUP($C211,INSUMOS!$A:$D,4,0),""))))</f>
        <v>87.24</v>
      </c>
      <c r="H211" s="314">
        <f>IF($C211="","",IFERROR(VLOOKUP($C211,SERVIÇOS!$B:$G,5,0),IFERROR(VLOOKUP($C211,'COMPOSIÇÕES COMPLEMENTARES '!$D:$L,7,0),0)))</f>
        <v>43.89</v>
      </c>
      <c r="I211" s="314">
        <f t="shared" si="20"/>
        <v>131.13</v>
      </c>
      <c r="J211" s="314">
        <f t="shared" si="21"/>
        <v>3489.6</v>
      </c>
      <c r="K211" s="314">
        <f t="shared" si="22"/>
        <v>1755.6</v>
      </c>
      <c r="L211" s="948">
        <f t="shared" si="23"/>
        <v>5245.2</v>
      </c>
      <c r="M211" s="374">
        <f t="shared" si="24"/>
        <v>4924217.0000000009</v>
      </c>
      <c r="N211" s="375">
        <f>+M211/L$815</f>
        <v>0.87190663451585715</v>
      </c>
      <c r="O211" s="376" t="str">
        <f>IF(N211&lt;0.5,"A",IF(N211&gt;0.8,"C","B"))</f>
        <v>C</v>
      </c>
    </row>
    <row r="212" spans="1:15" ht="25.5" x14ac:dyDescent="0.25">
      <c r="A212" s="232">
        <f t="shared" si="19"/>
        <v>212</v>
      </c>
      <c r="B212" s="232"/>
      <c r="C212" s="310">
        <v>101126</v>
      </c>
      <c r="D212" s="373" t="str">
        <f>IF($C212="","",IFERROR(VLOOKUP($C212,SERVIÇOS!$B:$G,2,0),IFERROR(VLOOKUP($C212,'COMPOSIÇÕES COMPLEMENTARES '!$D:$L,2,0),IFERROR(VLOOKUP($C212,INSUMOS!$A:$D,2,0),""))))</f>
        <v>ESCAVAÇÃO HORIZONTAL, INCLUINDO CARGA E DESCARGA EM SOLO DE 1A CATEGORIA COM TRATOR DE ESTEIRAS (170HP/LÂMINA: 5,20M3). AF_07/2020</v>
      </c>
      <c r="E212" s="312" t="str">
        <f>IF($C212="","",IFERROR(VLOOKUP($C212,SERVIÇOS!$B:$G,3,0),IFERROR(VLOOKUP($C212,'COMPOSIÇÕES COMPLEMENTARES '!$D:$L,3,0),IFERROR(VLOOKUP($C212,INSUMOS!$A:$D,3,0),""))))</f>
        <v>M3</v>
      </c>
      <c r="F212" s="313">
        <v>358.31600000000003</v>
      </c>
      <c r="G212" s="314">
        <f>IF($C212="","",IFERROR(VLOOKUP($C212,SERVIÇOS!$B:$G,4,0),IFERROR(VLOOKUP($C212,'COMPOSIÇÕES COMPLEMENTARES '!$D:$L,6,0),IFERROR(VLOOKUP($C212,INSUMOS!$A:$D,4,0),""))))</f>
        <v>11.85</v>
      </c>
      <c r="H212" s="314">
        <f>IF($C212="","",IFERROR(VLOOKUP($C212,SERVIÇOS!$B:$G,5,0),IFERROR(VLOOKUP($C212,'COMPOSIÇÕES COMPLEMENTARES '!$D:$L,7,0),0)))</f>
        <v>2.4</v>
      </c>
      <c r="I212" s="314">
        <f t="shared" si="20"/>
        <v>14.25</v>
      </c>
      <c r="J212" s="314">
        <f t="shared" si="21"/>
        <v>4246.04</v>
      </c>
      <c r="K212" s="314">
        <f t="shared" si="22"/>
        <v>859.95</v>
      </c>
      <c r="L212" s="948">
        <f t="shared" si="23"/>
        <v>5105.99</v>
      </c>
      <c r="M212" s="374">
        <f t="shared" si="24"/>
        <v>4929322.9900000012</v>
      </c>
      <c r="N212" s="375">
        <f>+M212/L$815</f>
        <v>0.87281072679220728</v>
      </c>
      <c r="O212" s="376" t="str">
        <f>IF(N212&lt;0.5,"A",IF(N212&gt;0.8,"C","B"))</f>
        <v>C</v>
      </c>
    </row>
    <row r="213" spans="1:15" ht="25.5" x14ac:dyDescent="0.25">
      <c r="A213" s="232">
        <f t="shared" si="19"/>
        <v>213</v>
      </c>
      <c r="B213" s="232"/>
      <c r="C213" s="310">
        <v>91341</v>
      </c>
      <c r="D213" s="373" t="str">
        <f>IF($C213="","",IFERROR(VLOOKUP($C213,SERVIÇOS!$B:$G,2,0),IFERROR(VLOOKUP($C213,'COMPOSIÇÕES COMPLEMENTARES '!$D:$L,2,0),IFERROR(VLOOKUP($C213,INSUMOS!$A:$D,2,0),""))))</f>
        <v>PORTA EM ALUMÍNIO DE ABRIR TIPO VENEZIANA COM GUARNIÇÃO, FIXAÇÃO COM PARAFUSOS - FORNECIMENTO E INSTALAÇÃO. AF_12/2019</v>
      </c>
      <c r="E213" s="312" t="str">
        <f>IF($C213="","",IFERROR(VLOOKUP($C213,SERVIÇOS!$B:$G,3,0),IFERROR(VLOOKUP($C213,'COMPOSIÇÕES COMPLEMENTARES '!$D:$L,3,0),IFERROR(VLOOKUP($C213,INSUMOS!$A:$D,3,0),""))))</f>
        <v>M2</v>
      </c>
      <c r="F213" s="313">
        <v>4.6399999999999997</v>
      </c>
      <c r="G213" s="314">
        <f>IF($C213="","",IFERROR(VLOOKUP($C213,SERVIÇOS!$B:$G,4,0),IFERROR(VLOOKUP($C213,'COMPOSIÇÕES COMPLEMENTARES '!$D:$L,6,0),IFERROR(VLOOKUP($C213,INSUMOS!$A:$D,4,0),""))))</f>
        <v>1083.8499999999999</v>
      </c>
      <c r="H213" s="314">
        <f>IF($C213="","",IFERROR(VLOOKUP($C213,SERVIÇOS!$B:$G,5,0),IFERROR(VLOOKUP($C213,'COMPOSIÇÕES COMPLEMENTARES '!$D:$L,7,0),0)))</f>
        <v>14.27</v>
      </c>
      <c r="I213" s="314">
        <f t="shared" si="20"/>
        <v>1098.1199999999999</v>
      </c>
      <c r="J213" s="314">
        <f t="shared" si="21"/>
        <v>5029.0600000000004</v>
      </c>
      <c r="K213" s="314">
        <f t="shared" si="22"/>
        <v>66.209999999999994</v>
      </c>
      <c r="L213" s="948">
        <f t="shared" si="23"/>
        <v>5095.2700000000004</v>
      </c>
      <c r="M213" s="374">
        <f t="shared" si="24"/>
        <v>4934418.2600000007</v>
      </c>
      <c r="N213" s="375">
        <f>+M213/L$815</f>
        <v>0.87371292093142761</v>
      </c>
      <c r="O213" s="376" t="str">
        <f>IF(N213&lt;0.5,"A",IF(N213&gt;0.8,"C","B"))</f>
        <v>C</v>
      </c>
    </row>
    <row r="214" spans="1:15" x14ac:dyDescent="0.25">
      <c r="A214" s="232">
        <f t="shared" si="19"/>
        <v>214</v>
      </c>
      <c r="B214" s="232"/>
      <c r="C214" s="310" t="s">
        <v>12215</v>
      </c>
      <c r="D214" s="373" t="str">
        <f>IF($C214="","",IFERROR(VLOOKUP($C214,SERVIÇOS!$B:$G,2,0),IFERROR(VLOOKUP($C214,'COMPOSIÇÕES COMPLEMENTARES '!$D:$L,2,0),IFERROR(VLOOKUP($C214,INSUMOS!$A:$D,2,0),""))))</f>
        <v>PERFILADO PERFURADO COM TAMPA 38X38X6000MM CHAPA 18, INCLUSO CONEXÕES E FIXAÇÕES</v>
      </c>
      <c r="E214" s="312" t="str">
        <f>IF($C214="","",IFERROR(VLOOKUP($C214,SERVIÇOS!$B:$G,3,0),IFERROR(VLOOKUP($C214,'COMPOSIÇÕES COMPLEMENTARES '!$D:$L,3,0),IFERROR(VLOOKUP($C214,INSUMOS!$A:$D,3,0),""))))</f>
        <v>M</v>
      </c>
      <c r="F214" s="313">
        <v>54</v>
      </c>
      <c r="G214" s="314">
        <f>IF($C214="","",IFERROR(VLOOKUP($C214,SERVIÇOS!$B:$G,4,0),IFERROR(VLOOKUP($C214,'COMPOSIÇÕES COMPLEMENTARES '!$D:$L,6,0),IFERROR(VLOOKUP($C214,INSUMOS!$A:$D,4,0),""))))</f>
        <v>61.76</v>
      </c>
      <c r="H214" s="314">
        <f>IF($C214="","",IFERROR(VLOOKUP($C214,SERVIÇOS!$B:$G,5,0),IFERROR(VLOOKUP($C214,'COMPOSIÇÕES COMPLEMENTARES '!$D:$L,7,0),0)))</f>
        <v>31.6</v>
      </c>
      <c r="I214" s="314">
        <f t="shared" si="20"/>
        <v>93.36</v>
      </c>
      <c r="J214" s="314">
        <f t="shared" si="21"/>
        <v>3335.04</v>
      </c>
      <c r="K214" s="314">
        <f t="shared" si="22"/>
        <v>1706.4</v>
      </c>
      <c r="L214" s="948">
        <f t="shared" si="23"/>
        <v>5041.4399999999996</v>
      </c>
      <c r="M214" s="374">
        <f t="shared" si="24"/>
        <v>4939459.7000000011</v>
      </c>
      <c r="N214" s="375">
        <f>+M214/L$815</f>
        <v>0.87460558366004293</v>
      </c>
      <c r="O214" s="376" t="str">
        <f>IF(N214&lt;0.5,"A",IF(N214&gt;0.8,"C","B"))</f>
        <v>C</v>
      </c>
    </row>
    <row r="215" spans="1:15" x14ac:dyDescent="0.25">
      <c r="A215" s="232">
        <f t="shared" si="19"/>
        <v>215</v>
      </c>
      <c r="B215" s="232"/>
      <c r="C215" s="310" t="s">
        <v>12215</v>
      </c>
      <c r="D215" s="373" t="str">
        <f>IF($C215="","",IFERROR(VLOOKUP($C215,SERVIÇOS!$B:$G,2,0),IFERROR(VLOOKUP($C215,'COMPOSIÇÕES COMPLEMENTARES '!$D:$L,2,0),IFERROR(VLOOKUP($C215,INSUMOS!$A:$D,2,0),""))))</f>
        <v>PERFILADO PERFURADO COM TAMPA 38X38X6000MM CHAPA 18, INCLUSO CONEXÕES E FIXAÇÕES</v>
      </c>
      <c r="E215" s="312" t="str">
        <f>IF($C215="","",IFERROR(VLOOKUP($C215,SERVIÇOS!$B:$G,3,0),IFERROR(VLOOKUP($C215,'COMPOSIÇÕES COMPLEMENTARES '!$D:$L,3,0),IFERROR(VLOOKUP($C215,INSUMOS!$A:$D,3,0),""))))</f>
        <v>M</v>
      </c>
      <c r="F215" s="313">
        <v>54</v>
      </c>
      <c r="G215" s="314">
        <f>IF($C215="","",IFERROR(VLOOKUP($C215,SERVIÇOS!$B:$G,4,0),IFERROR(VLOOKUP($C215,'COMPOSIÇÕES COMPLEMENTARES '!$D:$L,6,0),IFERROR(VLOOKUP($C215,INSUMOS!$A:$D,4,0),""))))</f>
        <v>61.76</v>
      </c>
      <c r="H215" s="314">
        <f>IF($C215="","",IFERROR(VLOOKUP($C215,SERVIÇOS!$B:$G,5,0),IFERROR(VLOOKUP($C215,'COMPOSIÇÕES COMPLEMENTARES '!$D:$L,7,0),0)))</f>
        <v>31.6</v>
      </c>
      <c r="I215" s="314">
        <f t="shared" si="20"/>
        <v>93.36</v>
      </c>
      <c r="J215" s="314">
        <f t="shared" si="21"/>
        <v>3335.04</v>
      </c>
      <c r="K215" s="314">
        <f t="shared" si="22"/>
        <v>1706.4</v>
      </c>
      <c r="L215" s="948">
        <f t="shared" si="23"/>
        <v>5041.4399999999996</v>
      </c>
      <c r="M215" s="374">
        <f t="shared" si="24"/>
        <v>4944501.1400000015</v>
      </c>
      <c r="N215" s="375">
        <f>+M215/L$815</f>
        <v>0.87549824638865825</v>
      </c>
      <c r="O215" s="376" t="str">
        <f>IF(N215&lt;0.5,"A",IF(N215&gt;0.8,"C","B"))</f>
        <v>C</v>
      </c>
    </row>
    <row r="216" spans="1:15" ht="25.5" x14ac:dyDescent="0.25">
      <c r="A216" s="232">
        <f t="shared" si="19"/>
        <v>216</v>
      </c>
      <c r="B216" s="232"/>
      <c r="C216" s="310" t="s">
        <v>12217</v>
      </c>
      <c r="D216" s="373" t="str">
        <f>IF($C216="","",IFERROR(VLOOKUP($C216,SERVIÇOS!$B:$G,2,0),IFERROR(VLOOKUP($C216,'COMPOSIÇÕES COMPLEMENTARES '!$D:$L,2,0),IFERROR(VLOOKUP($C216,INSUMOS!$A:$D,2,0),""))))</f>
        <v>ELETRODUTO RÍGIDO ROSCÁVEL, PVC, DN 25 MM (3/4"), INCLUSO CONEXÕES E ACESSÓRIOS, INSTALAÇÃO APARENTE - FORNECIMENTO E INSTALAÇÃO</v>
      </c>
      <c r="E216" s="312" t="str">
        <f>IF($C216="","",IFERROR(VLOOKUP($C216,SERVIÇOS!$B:$G,3,0),IFERROR(VLOOKUP($C216,'COMPOSIÇÕES COMPLEMENTARES '!$D:$L,3,0),IFERROR(VLOOKUP($C216,INSUMOS!$A:$D,3,0),""))))</f>
        <v>M</v>
      </c>
      <c r="F216" s="313">
        <v>213</v>
      </c>
      <c r="G216" s="314">
        <f>IF($C216="","",IFERROR(VLOOKUP($C216,SERVIÇOS!$B:$G,4,0),IFERROR(VLOOKUP($C216,'COMPOSIÇÕES COMPLEMENTARES '!$D:$L,6,0),IFERROR(VLOOKUP($C216,INSUMOS!$A:$D,4,0),""))))</f>
        <v>14.79</v>
      </c>
      <c r="H216" s="314">
        <f>IF($C216="","",IFERROR(VLOOKUP($C216,SERVIÇOS!$B:$G,5,0),IFERROR(VLOOKUP($C216,'COMPOSIÇÕES COMPLEMENTARES '!$D:$L,7,0),0)))</f>
        <v>8.75</v>
      </c>
      <c r="I216" s="314">
        <f t="shared" si="20"/>
        <v>23.54</v>
      </c>
      <c r="J216" s="314">
        <f t="shared" si="21"/>
        <v>3150.27</v>
      </c>
      <c r="K216" s="314">
        <f t="shared" si="22"/>
        <v>1863.75</v>
      </c>
      <c r="L216" s="948">
        <f t="shared" si="23"/>
        <v>5014.0200000000004</v>
      </c>
      <c r="M216" s="374">
        <f t="shared" si="24"/>
        <v>4949515.1600000011</v>
      </c>
      <c r="N216" s="375">
        <f>+M216/L$815</f>
        <v>0.87638605399413028</v>
      </c>
      <c r="O216" s="376" t="str">
        <f>IF(N216&lt;0.5,"A",IF(N216&gt;0.8,"C","B"))</f>
        <v>C</v>
      </c>
    </row>
    <row r="217" spans="1:15" x14ac:dyDescent="0.25">
      <c r="A217" s="232">
        <f t="shared" si="19"/>
        <v>217</v>
      </c>
      <c r="B217" s="232"/>
      <c r="C217" s="310" t="s">
        <v>12025</v>
      </c>
      <c r="D217" s="373" t="str">
        <f>IF($C217="","",IFERROR(VLOOKUP($C217,SERVIÇOS!$B:$G,2,0),IFERROR(VLOOKUP($C217,'COMPOSIÇÕES COMPLEMENTARES '!$D:$L,2,0),IFERROR(VLOOKUP($C217,INSUMOS!$A:$D,2,0),""))))</f>
        <v>PORTA COMPLETA DE MADEIRA, 02 FOLHAS DE ABRIR, 1,20(80+40)X210CM, COM PROTEÇÃO CHUMBO</v>
      </c>
      <c r="E217" s="312" t="str">
        <f>IF($C217="","",IFERROR(VLOOKUP($C217,SERVIÇOS!$B:$G,3,0),IFERROR(VLOOKUP($C217,'COMPOSIÇÕES COMPLEMENTARES '!$D:$L,3,0),IFERROR(VLOOKUP($C217,INSUMOS!$A:$D,3,0),""))))</f>
        <v>UN</v>
      </c>
      <c r="F217" s="313">
        <v>1</v>
      </c>
      <c r="G217" s="314">
        <f>IF($C217="","",IFERROR(VLOOKUP($C217,SERVIÇOS!$B:$G,4,0),IFERROR(VLOOKUP($C217,'COMPOSIÇÕES COMPLEMENTARES '!$D:$L,6,0),IFERROR(VLOOKUP($C217,INSUMOS!$A:$D,4,0),""))))</f>
        <v>4693.3999999999996</v>
      </c>
      <c r="H217" s="314">
        <f>IF($C217="","",IFERROR(VLOOKUP($C217,SERVIÇOS!$B:$G,5,0),IFERROR(VLOOKUP($C217,'COMPOSIÇÕES COMPLEMENTARES '!$D:$L,7,0),0)))</f>
        <v>243.3</v>
      </c>
      <c r="I217" s="314">
        <f t="shared" si="20"/>
        <v>4936.7</v>
      </c>
      <c r="J217" s="314">
        <f t="shared" si="21"/>
        <v>4693.3999999999996</v>
      </c>
      <c r="K217" s="314">
        <f t="shared" si="22"/>
        <v>243.3</v>
      </c>
      <c r="L217" s="948">
        <f t="shared" si="23"/>
        <v>4936.7</v>
      </c>
      <c r="M217" s="374">
        <f t="shared" si="24"/>
        <v>4954451.8600000013</v>
      </c>
      <c r="N217" s="375">
        <f>+M217/L$815</f>
        <v>0.87726017093142505</v>
      </c>
      <c r="O217" s="376" t="str">
        <f>IF(N217&lt;0.5,"A",IF(N217&gt;0.8,"C","B"))</f>
        <v>C</v>
      </c>
    </row>
    <row r="218" spans="1:15" ht="25.5" x14ac:dyDescent="0.25">
      <c r="A218" s="232">
        <f t="shared" si="19"/>
        <v>218</v>
      </c>
      <c r="B218" s="232"/>
      <c r="C218" s="310">
        <v>92763</v>
      </c>
      <c r="D218" s="373" t="str">
        <f>IF($C218="","",IFERROR(VLOOKUP($C218,SERVIÇOS!$B:$G,2,0),IFERROR(VLOOKUP($C218,'COMPOSIÇÕES COMPLEMENTARES '!$D:$L,2,0),IFERROR(VLOOKUP($C218,INSUMOS!$A:$D,2,0),""))))</f>
        <v>ARMAÇÃO DE PILAR OU VIGA DE ESTRUTURA CONVENCIONAL DE CONCRETO ARMADO UTILIZANDO AÇO CA-50 DE 12,5 MM - MONTAGEM. AF_06/2022</v>
      </c>
      <c r="E218" s="312" t="str">
        <f>IF($C218="","",IFERROR(VLOOKUP($C218,SERVIÇOS!$B:$G,3,0),IFERROR(VLOOKUP($C218,'COMPOSIÇÕES COMPLEMENTARES '!$D:$L,3,0),IFERROR(VLOOKUP($C218,INSUMOS!$A:$D,3,0),""))))</f>
        <v>KG</v>
      </c>
      <c r="F218" s="313">
        <v>524</v>
      </c>
      <c r="G218" s="314">
        <f>IF($C218="","",IFERROR(VLOOKUP($C218,SERVIÇOS!$B:$G,4,0),IFERROR(VLOOKUP($C218,'COMPOSIÇÕES COMPLEMENTARES '!$D:$L,6,0),IFERROR(VLOOKUP($C218,INSUMOS!$A:$D,4,0),""))))</f>
        <v>8.49</v>
      </c>
      <c r="H218" s="314">
        <f>IF($C218="","",IFERROR(VLOOKUP($C218,SERVIÇOS!$B:$G,5,0),IFERROR(VLOOKUP($C218,'COMPOSIÇÕES COMPLEMENTARES '!$D:$L,7,0),0)))</f>
        <v>0.92</v>
      </c>
      <c r="I218" s="314">
        <f t="shared" si="20"/>
        <v>9.41</v>
      </c>
      <c r="J218" s="314">
        <f t="shared" si="21"/>
        <v>4448.76</v>
      </c>
      <c r="K218" s="314">
        <f t="shared" si="22"/>
        <v>482.08</v>
      </c>
      <c r="L218" s="948">
        <f t="shared" si="23"/>
        <v>4930.84</v>
      </c>
      <c r="M218" s="374">
        <f t="shared" si="24"/>
        <v>4959382.7000000011</v>
      </c>
      <c r="N218" s="375">
        <f>+M218/L$815</f>
        <v>0.87813325026763944</v>
      </c>
      <c r="O218" s="376" t="str">
        <f>IF(N218&lt;0.5,"A",IF(N218&gt;0.8,"C","B"))</f>
        <v>C</v>
      </c>
    </row>
    <row r="219" spans="1:15" ht="25.5" x14ac:dyDescent="0.25">
      <c r="A219" s="232">
        <f t="shared" si="19"/>
        <v>219</v>
      </c>
      <c r="B219" s="232"/>
      <c r="C219" s="310" t="s">
        <v>12021</v>
      </c>
      <c r="D219" s="373" t="str">
        <f>IF($C219="","",IFERROR(VLOOKUP($C219,SERVIÇOS!$B:$G,2,0),IFERROR(VLOOKUP($C219,'COMPOSIÇÕES COMPLEMENTARES '!$D:$L,2,0),IFERROR(VLOOKUP($C219,INSUMOS!$A:$D,2,0),""))))</f>
        <v>PORTA COMPLETA DE MADEIRA PARA PINTURA, FOLHA MÉDIA, 01 FOLHA DE CORRER, 80X210CM, INCLUSO BATENTES, FERRAGENS E FECHADURA</v>
      </c>
      <c r="E219" s="312" t="str">
        <f>IF($C219="","",IFERROR(VLOOKUP($C219,SERVIÇOS!$B:$G,3,0),IFERROR(VLOOKUP($C219,'COMPOSIÇÕES COMPLEMENTARES '!$D:$L,3,0),IFERROR(VLOOKUP($C219,INSUMOS!$A:$D,3,0),""))))</f>
        <v>UN</v>
      </c>
      <c r="F219" s="313">
        <v>3</v>
      </c>
      <c r="G219" s="314">
        <f>IF($C219="","",IFERROR(VLOOKUP($C219,SERVIÇOS!$B:$G,4,0),IFERROR(VLOOKUP($C219,'COMPOSIÇÕES COMPLEMENTARES '!$D:$L,6,0),IFERROR(VLOOKUP($C219,INSUMOS!$A:$D,4,0),""))))</f>
        <v>1136.18</v>
      </c>
      <c r="H219" s="314">
        <f>IF($C219="","",IFERROR(VLOOKUP($C219,SERVIÇOS!$B:$G,5,0),IFERROR(VLOOKUP($C219,'COMPOSIÇÕES COMPLEMENTARES '!$D:$L,7,0),0)))</f>
        <v>506.27</v>
      </c>
      <c r="I219" s="314">
        <f t="shared" si="20"/>
        <v>1642.45</v>
      </c>
      <c r="J219" s="314">
        <f t="shared" si="21"/>
        <v>3408.54</v>
      </c>
      <c r="K219" s="314">
        <f t="shared" si="22"/>
        <v>1518.81</v>
      </c>
      <c r="L219" s="948">
        <f t="shared" si="23"/>
        <v>4927.3500000000004</v>
      </c>
      <c r="M219" s="374">
        <f t="shared" si="24"/>
        <v>4964310.0500000007</v>
      </c>
      <c r="N219" s="375">
        <f>+M219/L$815</f>
        <v>0.87900571164689667</v>
      </c>
      <c r="O219" s="376" t="str">
        <f>IF(N219&lt;0.5,"A",IF(N219&gt;0.8,"C","B"))</f>
        <v>C</v>
      </c>
    </row>
    <row r="220" spans="1:15" x14ac:dyDescent="0.25">
      <c r="A220" s="232">
        <f t="shared" si="19"/>
        <v>220</v>
      </c>
      <c r="B220" s="232"/>
      <c r="C220" s="310" t="s">
        <v>12536</v>
      </c>
      <c r="D220" s="373" t="str">
        <f>IF($C220="","",IFERROR(VLOOKUP($C220,SERVIÇOS!$B:$G,2,0),IFERROR(VLOOKUP($C220,'COMPOSIÇÕES COMPLEMENTARES '!$D:$L,2,0),IFERROR(VLOOKUP($C220,INSUMOS!$A:$D,2,0),""))))</f>
        <v>SWITCH 24 PORTAS 10/100/1000, MARCA HP , REF. J9561 BR</v>
      </c>
      <c r="E220" s="312" t="str">
        <f>IF($C220="","",IFERROR(VLOOKUP($C220,SERVIÇOS!$B:$G,3,0),IFERROR(VLOOKUP($C220,'COMPOSIÇÕES COMPLEMENTARES '!$D:$L,3,0),IFERROR(VLOOKUP($C220,INSUMOS!$A:$D,3,0),""))))</f>
        <v>UN</v>
      </c>
      <c r="F220" s="313">
        <v>2</v>
      </c>
      <c r="G220" s="314">
        <f>IF($C220="","",IFERROR(VLOOKUP($C220,SERVIÇOS!$B:$G,4,0),IFERROR(VLOOKUP($C220,'COMPOSIÇÕES COMPLEMENTARES '!$D:$L,6,0),IFERROR(VLOOKUP($C220,INSUMOS!$A:$D,4,0),""))))</f>
        <v>2333.0499999999997</v>
      </c>
      <c r="H220" s="314">
        <f>IF($C220="","",IFERROR(VLOOKUP($C220,SERVIÇOS!$B:$G,5,0),IFERROR(VLOOKUP($C220,'COMPOSIÇÕES COMPLEMENTARES '!$D:$L,7,0),0)))</f>
        <v>112.24</v>
      </c>
      <c r="I220" s="314">
        <f t="shared" si="20"/>
        <v>2445.2899999999995</v>
      </c>
      <c r="J220" s="314">
        <f t="shared" si="21"/>
        <v>4666.1000000000004</v>
      </c>
      <c r="K220" s="314">
        <f t="shared" si="22"/>
        <v>224.48</v>
      </c>
      <c r="L220" s="948">
        <f t="shared" si="23"/>
        <v>4890.58</v>
      </c>
      <c r="M220" s="374">
        <f t="shared" si="24"/>
        <v>4969200.6300000008</v>
      </c>
      <c r="N220" s="375">
        <f>+M220/L$815</f>
        <v>0.87987166234497316</v>
      </c>
      <c r="O220" s="376" t="str">
        <f>IF(N220&lt;0.5,"A",IF(N220&gt;0.8,"C","B"))</f>
        <v>C</v>
      </c>
    </row>
    <row r="221" spans="1:15" x14ac:dyDescent="0.25">
      <c r="A221" s="232">
        <f t="shared" si="19"/>
        <v>221</v>
      </c>
      <c r="B221" s="232"/>
      <c r="C221" s="310">
        <v>102219</v>
      </c>
      <c r="D221" s="373" t="str">
        <f>IF($C221="","",IFERROR(VLOOKUP($C221,SERVIÇOS!$B:$G,2,0),IFERROR(VLOOKUP($C221,'COMPOSIÇÕES COMPLEMENTARES '!$D:$L,2,0),IFERROR(VLOOKUP($C221,INSUMOS!$A:$D,2,0),""))))</f>
        <v>PINTURA TINTA DE ACABAMENTO (PIGMENTADA) ESMALTE SINTÉTICO ACETINADO EM MADEIRA, 2 DEMÃOS. AF_01/2021</v>
      </c>
      <c r="E221" s="312" t="str">
        <f>IF($C221="","",IFERROR(VLOOKUP($C221,SERVIÇOS!$B:$G,3,0),IFERROR(VLOOKUP($C221,'COMPOSIÇÕES COMPLEMENTARES '!$D:$L,3,0),IFERROR(VLOOKUP($C221,INSUMOS!$A:$D,3,0),""))))</f>
        <v>M2</v>
      </c>
      <c r="F221" s="313">
        <v>238.77</v>
      </c>
      <c r="G221" s="314">
        <f>IF($C221="","",IFERROR(VLOOKUP($C221,SERVIÇOS!$B:$G,4,0),IFERROR(VLOOKUP($C221,'COMPOSIÇÕES COMPLEMENTARES '!$D:$L,6,0),IFERROR(VLOOKUP($C221,INSUMOS!$A:$D,4,0),""))))</f>
        <v>9.92</v>
      </c>
      <c r="H221" s="314">
        <f>IF($C221="","",IFERROR(VLOOKUP($C221,SERVIÇOS!$B:$G,5,0),IFERROR(VLOOKUP($C221,'COMPOSIÇÕES COMPLEMENTARES '!$D:$L,7,0),0)))</f>
        <v>10.44</v>
      </c>
      <c r="I221" s="314">
        <f t="shared" si="20"/>
        <v>20.36</v>
      </c>
      <c r="J221" s="314">
        <f t="shared" si="21"/>
        <v>2368.59</v>
      </c>
      <c r="K221" s="314">
        <f t="shared" si="22"/>
        <v>2492.75</v>
      </c>
      <c r="L221" s="948">
        <f t="shared" si="23"/>
        <v>4861.34</v>
      </c>
      <c r="M221" s="374">
        <f t="shared" si="24"/>
        <v>4974061.9700000007</v>
      </c>
      <c r="N221" s="375">
        <f>+M221/L$815</f>
        <v>0.88073243566155068</v>
      </c>
      <c r="O221" s="376" t="str">
        <f>IF(N221&lt;0.5,"A",IF(N221&gt;0.8,"C","B"))</f>
        <v>C</v>
      </c>
    </row>
    <row r="222" spans="1:15" ht="267.75" x14ac:dyDescent="0.25">
      <c r="A222" s="232">
        <f t="shared" si="19"/>
        <v>222</v>
      </c>
      <c r="B222" s="232"/>
      <c r="C222" s="310" t="s">
        <v>12591</v>
      </c>
      <c r="D222" s="373" t="str">
        <f>IF($C222="","",IFERROR(VLOOKUP($C222,SERVIÇOS!$B:$G,2,0),IFERROR(VLOOKUP($C222,'COMPOSIÇÕES COMPLEMENTARES '!$D:$L,2,0),IFERROR(VLOOKUP($C222,INSUMOS!$A:$D,2,0),""))))</f>
        <v>GABINETES DE VENTILAÇÃO DE AR EXTERNO
AMBIENTES ATENDIDOS: DIVERSOS
LOCALIZAÇÃO: ENTREFORRO
GABINETE: SIM
VAZÃO DE AR EXTERNO (m³/h): 480
CAIXA DE FILTRAGEM: SIM
FILTRAGEM DE 1° ESTÁGIO: G4
FILTRAGEM DE 2° ESTÁGIO: F8
PRESSÃO ESTÁTICA DISPONÍVEL PARA DUTOS (mmCA): 20
PRESSÃO ESTÁTICA INTERNA CONSIDERADA (mmCA): 30*
PRESSÃO ESTÁTICA TOTAL CONSIDERADA: 50*
TIPO DE ROTOR: LIMIT LOAD
TIPO DE ACOPLAMENTO DO MOTOR: DIRETO
TENSÃO ELÉTRICA MOTOR: 220/3F
POTÊNCIA DO MOTOR (kW): 0,18
VARIADOR DE FREQUÊNCIA: SIM
COXINS/CALÇOS DE BORRACHA: SIM
JUNTAS FLEXÍVEIS: EM TODAS AS CONEXÕES DE ENTRADA DO EQUIPAMENTO
PORTA DE INSPEÇÃO: SIM
QUADRO COMANDO: INCLUSO PARA ACIONAMENTO, CONTROLE DE DE VELOCIDADE COM SATURAÇÃO DE FILTROS
*DADOS PODEM VARIAR DE ACORDO COM FABRICANTE E FORNECEDORES DE FILTROS E ACESSÓRIOS</v>
      </c>
      <c r="E222" s="312" t="str">
        <f>IF($C222="","",IFERROR(VLOOKUP($C222,SERVIÇOS!$B:$G,3,0),IFERROR(VLOOKUP($C222,'COMPOSIÇÕES COMPLEMENTARES '!$D:$L,3,0),IFERROR(VLOOKUP($C222,INSUMOS!$A:$D,3,0),""))))</f>
        <v>UN</v>
      </c>
      <c r="F222" s="313">
        <v>1</v>
      </c>
      <c r="G222" s="314">
        <f>IF($C222="","",IFERROR(VLOOKUP($C222,SERVIÇOS!$B:$G,4,0),IFERROR(VLOOKUP($C222,'COMPOSIÇÕES COMPLEMENTARES '!$D:$L,6,0),IFERROR(VLOOKUP($C222,INSUMOS!$A:$D,4,0),""))))</f>
        <v>4552.4800000000005</v>
      </c>
      <c r="H222" s="314">
        <f>IF($C222="","",IFERROR(VLOOKUP($C222,SERVIÇOS!$B:$G,5,0),IFERROR(VLOOKUP($C222,'COMPOSIÇÕES COMPLEMENTARES '!$D:$L,7,0),0)))</f>
        <v>291.84000000000003</v>
      </c>
      <c r="I222" s="314">
        <f t="shared" si="20"/>
        <v>4844.3200000000006</v>
      </c>
      <c r="J222" s="314">
        <f t="shared" si="21"/>
        <v>4552.4799999999996</v>
      </c>
      <c r="K222" s="314">
        <f t="shared" si="22"/>
        <v>291.83999999999997</v>
      </c>
      <c r="L222" s="948">
        <f t="shared" si="23"/>
        <v>4844.32</v>
      </c>
      <c r="M222" s="374">
        <f t="shared" si="24"/>
        <v>4978906.290000001</v>
      </c>
      <c r="N222" s="375">
        <f>+M222/L$815</f>
        <v>0.88159019533130489</v>
      </c>
      <c r="O222" s="376" t="str">
        <f>IF(N222&lt;0.5,"A",IF(N222&gt;0.8,"C","B"))</f>
        <v>C</v>
      </c>
    </row>
    <row r="223" spans="1:15" ht="25.5" x14ac:dyDescent="0.25">
      <c r="A223" s="232">
        <f t="shared" si="19"/>
        <v>223</v>
      </c>
      <c r="B223" s="232"/>
      <c r="C223" s="310" t="s">
        <v>12486</v>
      </c>
      <c r="D223" s="373" t="str">
        <f>IF($C223="","",IFERROR(VLOOKUP($C223,SERVIÇOS!$B:$G,2,0),IFERROR(VLOOKUP($C223,'COMPOSIÇÕES COMPLEMENTARES '!$D:$L,2,0),IFERROR(VLOOKUP($C223,INSUMOS!$A:$D,2,0),""))))</f>
        <v>DUTO EM CHAPA DE AÇO GALVANIZADO Nº24, ESPESSURA 0,64MM, SEM ISOLAMENTO, PARA AR CONDICIONADO, COM SISTEMA DE VEDAÇÃO ESTANQUE, MONTADO COM SISTEMA FLANGEADO, REFERÊNCIA POWERMATIC</v>
      </c>
      <c r="E223" s="312" t="str">
        <f>IF($C223="","",IFERROR(VLOOKUP($C223,SERVIÇOS!$B:$G,3,0),IFERROR(VLOOKUP($C223,'COMPOSIÇÕES COMPLEMENTARES '!$D:$L,3,0),IFERROR(VLOOKUP($C223,INSUMOS!$A:$D,3,0),""))))</f>
        <v>KG</v>
      </c>
      <c r="F223" s="313">
        <v>90</v>
      </c>
      <c r="G223" s="314">
        <f>IF($C223="","",IFERROR(VLOOKUP($C223,SERVIÇOS!$B:$G,4,0),IFERROR(VLOOKUP($C223,'COMPOSIÇÕES COMPLEMENTARES '!$D:$L,6,0),IFERROR(VLOOKUP($C223,INSUMOS!$A:$D,4,0),""))))</f>
        <v>27.17</v>
      </c>
      <c r="H223" s="314">
        <f>IF($C223="","",IFERROR(VLOOKUP($C223,SERVIÇOS!$B:$G,5,0),IFERROR(VLOOKUP($C223,'COMPOSIÇÕES COMPLEMENTARES '!$D:$L,7,0),0)))</f>
        <v>26.56</v>
      </c>
      <c r="I223" s="314">
        <f t="shared" si="20"/>
        <v>53.730000000000004</v>
      </c>
      <c r="J223" s="314">
        <f t="shared" si="21"/>
        <v>2445.3000000000002</v>
      </c>
      <c r="K223" s="314">
        <f t="shared" si="22"/>
        <v>2390.4</v>
      </c>
      <c r="L223" s="948">
        <f t="shared" si="23"/>
        <v>4835.7</v>
      </c>
      <c r="M223" s="374">
        <f t="shared" si="24"/>
        <v>4983741.9900000012</v>
      </c>
      <c r="N223" s="375">
        <f>+M223/L$815</f>
        <v>0.88244642870049406</v>
      </c>
      <c r="O223" s="376" t="str">
        <f>IF(N223&lt;0.5,"A",IF(N223&gt;0.8,"C","B"))</f>
        <v>C</v>
      </c>
    </row>
    <row r="224" spans="1:15" x14ac:dyDescent="0.25">
      <c r="A224" s="232">
        <f t="shared" si="19"/>
        <v>224</v>
      </c>
      <c r="B224" s="232"/>
      <c r="C224" s="310" t="s">
        <v>12334</v>
      </c>
      <c r="D224" s="373" t="str">
        <f>IF($C224="","",IFERROR(VLOOKUP($C224,SERVIÇOS!$B:$G,2,0),IFERROR(VLOOKUP($C224,'COMPOSIÇÕES COMPLEMENTARES '!$D:$L,2,0),IFERROR(VLOOKUP($C224,INSUMOS!$A:$D,2,0),""))))</f>
        <v>SUPORTE DE FIXAÇÃO SGG 02/F (TRANSVERSAL) PARA FIXAÇÃO DA BARRA CHATA DE ALUMÍNIO (A CADA 1M)</v>
      </c>
      <c r="E224" s="312" t="str">
        <f>IF($C224="","",IFERROR(VLOOKUP($C224,SERVIÇOS!$B:$G,3,0),IFERROR(VLOOKUP($C224,'COMPOSIÇÕES COMPLEMENTARES '!$D:$L,3,0),IFERROR(VLOOKUP($C224,INSUMOS!$A:$D,3,0),""))))</f>
        <v>UN</v>
      </c>
      <c r="F224" s="313">
        <v>385</v>
      </c>
      <c r="G224" s="314">
        <f>IF($C224="","",IFERROR(VLOOKUP($C224,SERVIÇOS!$B:$G,4,0),IFERROR(VLOOKUP($C224,'COMPOSIÇÕES COMPLEMENTARES '!$D:$L,6,0),IFERROR(VLOOKUP($C224,INSUMOS!$A:$D,4,0),""))))</f>
        <v>8</v>
      </c>
      <c r="H224" s="314">
        <f>IF($C224="","",IFERROR(VLOOKUP($C224,SERVIÇOS!$B:$G,5,0),IFERROR(VLOOKUP($C224,'COMPOSIÇÕES COMPLEMENTARES '!$D:$L,7,0),0)))</f>
        <v>4.2</v>
      </c>
      <c r="I224" s="314">
        <f t="shared" si="20"/>
        <v>12.2</v>
      </c>
      <c r="J224" s="314">
        <f t="shared" si="21"/>
        <v>3080</v>
      </c>
      <c r="K224" s="314">
        <f t="shared" si="22"/>
        <v>1617</v>
      </c>
      <c r="L224" s="948">
        <f t="shared" si="23"/>
        <v>4697</v>
      </c>
      <c r="M224" s="374">
        <f t="shared" si="24"/>
        <v>4988438.9900000012</v>
      </c>
      <c r="N224" s="375">
        <f>+M224/L$815</f>
        <v>0.88327810314991839</v>
      </c>
      <c r="O224" s="376" t="str">
        <f>IF(N224&lt;0.5,"A",IF(N224&gt;0.8,"C","B"))</f>
        <v>C</v>
      </c>
    </row>
    <row r="225" spans="1:15" x14ac:dyDescent="0.25">
      <c r="A225" s="232">
        <f t="shared" si="19"/>
        <v>225</v>
      </c>
      <c r="B225" s="232"/>
      <c r="C225" s="310" t="s">
        <v>12223</v>
      </c>
      <c r="D225" s="373" t="str">
        <f>IF($C225="","",IFERROR(VLOOKUP($C225,SERVIÇOS!$B:$G,2,0),IFERROR(VLOOKUP($C225,'COMPOSIÇÕES COMPLEMENTARES '!$D:$L,2,0),IFERROR(VLOOKUP($C225,INSUMOS!$A:$D,2,0),""))))</f>
        <v>CONDUTOR DE COBRE FLEX ISOL. 1KV - 90º -  #6,0MM² - AFUMEX</v>
      </c>
      <c r="E225" s="312" t="str">
        <f>IF($C225="","",IFERROR(VLOOKUP($C225,SERVIÇOS!$B:$G,3,0),IFERROR(VLOOKUP($C225,'COMPOSIÇÕES COMPLEMENTARES '!$D:$L,3,0),IFERROR(VLOOKUP($C225,INSUMOS!$A:$D,3,0),""))))</f>
        <v>M</v>
      </c>
      <c r="F225" s="313">
        <v>480</v>
      </c>
      <c r="G225" s="314">
        <f>IF($C225="","",IFERROR(VLOOKUP($C225,SERVIÇOS!$B:$G,4,0),IFERROR(VLOOKUP($C225,'COMPOSIÇÕES COMPLEMENTARES '!$D:$L,6,0),IFERROR(VLOOKUP($C225,INSUMOS!$A:$D,4,0),""))))</f>
        <v>7.81</v>
      </c>
      <c r="H225" s="314">
        <f>IF($C225="","",IFERROR(VLOOKUP($C225,SERVIÇOS!$B:$G,5,0),IFERROR(VLOOKUP($C225,'COMPOSIÇÕES COMPLEMENTARES '!$D:$L,7,0),0)))</f>
        <v>1.97</v>
      </c>
      <c r="I225" s="314">
        <f t="shared" si="20"/>
        <v>9.7799999999999994</v>
      </c>
      <c r="J225" s="314">
        <f t="shared" si="21"/>
        <v>3748.8</v>
      </c>
      <c r="K225" s="314">
        <f t="shared" si="22"/>
        <v>945.6</v>
      </c>
      <c r="L225" s="948">
        <f t="shared" si="23"/>
        <v>4694.3999999999996</v>
      </c>
      <c r="M225" s="374">
        <f t="shared" si="24"/>
        <v>4993133.3900000015</v>
      </c>
      <c r="N225" s="375">
        <f>+M225/L$815</f>
        <v>0.88410931723026287</v>
      </c>
      <c r="O225" s="376" t="str">
        <f>IF(N225&lt;0.5,"A",IF(N225&gt;0.8,"C","B"))</f>
        <v>C</v>
      </c>
    </row>
    <row r="226" spans="1:15" x14ac:dyDescent="0.25">
      <c r="A226" s="232">
        <f t="shared" si="19"/>
        <v>226</v>
      </c>
      <c r="B226" s="232"/>
      <c r="C226" s="310" t="s">
        <v>12103</v>
      </c>
      <c r="D226" s="373" t="str">
        <f>IF($C226="","",IFERROR(VLOOKUP($C226,SERVIÇOS!$B:$G,2,0),IFERROR(VLOOKUP($C226,'COMPOSIÇÕES COMPLEMENTARES '!$D:$L,2,0),IFERROR(VLOOKUP($C226,INSUMOS!$A:$D,2,0),""))))</f>
        <v>TUBO DE PVC RÍGIDO SOLDÁVEL, INCLUSO CONEXÔES - D=32MM (1")</v>
      </c>
      <c r="E226" s="312" t="str">
        <f>IF($C226="","",IFERROR(VLOOKUP($C226,SERVIÇOS!$B:$G,3,0),IFERROR(VLOOKUP($C226,'COMPOSIÇÕES COMPLEMENTARES '!$D:$L,3,0),IFERROR(VLOOKUP($C226,INSUMOS!$A:$D,3,0),""))))</f>
        <v>M</v>
      </c>
      <c r="F226" s="313">
        <v>114</v>
      </c>
      <c r="G226" s="314">
        <f>IF($C226="","",IFERROR(VLOOKUP($C226,SERVIÇOS!$B:$G,4,0),IFERROR(VLOOKUP($C226,'COMPOSIÇÕES COMPLEMENTARES '!$D:$L,6,0),IFERROR(VLOOKUP($C226,INSUMOS!$A:$D,4,0),""))))</f>
        <v>19.2</v>
      </c>
      <c r="H226" s="314">
        <f>IF($C226="","",IFERROR(VLOOKUP($C226,SERVIÇOS!$B:$G,5,0),IFERROR(VLOOKUP($C226,'COMPOSIÇÕES COMPLEMENTARES '!$D:$L,7,0),0)))</f>
        <v>21.86</v>
      </c>
      <c r="I226" s="314">
        <f t="shared" si="20"/>
        <v>41.06</v>
      </c>
      <c r="J226" s="314">
        <f t="shared" si="21"/>
        <v>2188.8000000000002</v>
      </c>
      <c r="K226" s="314">
        <f t="shared" si="22"/>
        <v>2492.04</v>
      </c>
      <c r="L226" s="948">
        <f t="shared" si="23"/>
        <v>4680.84</v>
      </c>
      <c r="M226" s="374">
        <f t="shared" si="24"/>
        <v>4997814.2300000014</v>
      </c>
      <c r="N226" s="375">
        <f>+M226/L$815</f>
        <v>0.88493813030879032</v>
      </c>
      <c r="O226" s="376" t="str">
        <f>IF(N226&lt;0.5,"A",IF(N226&gt;0.8,"C","B"))</f>
        <v>C</v>
      </c>
    </row>
    <row r="227" spans="1:15" ht="267.75" x14ac:dyDescent="0.25">
      <c r="A227" s="232">
        <f t="shared" si="19"/>
        <v>227</v>
      </c>
      <c r="B227" s="232"/>
      <c r="C227" s="310" t="s">
        <v>12594</v>
      </c>
      <c r="D227" s="373" t="str">
        <f>IF($C227="","",IFERROR(VLOOKUP($C227,SERVIÇOS!$B:$G,2,0),IFERROR(VLOOKUP($C227,'COMPOSIÇÕES COMPLEMENTARES '!$D:$L,2,0),IFERROR(VLOOKUP($C227,INSUMOS!$A:$D,2,0),""))))</f>
        <v>GABINETES DE VENTILAÇÃO DE EXAUSTÃO DE AR
AMBIENTES ATENDIDOS: DIVERSOS
LOCALIZAÇÃO: SANITÁRIOS E DML
GABINETE: SIM
VAZÃO DE EXAUSTÃO (m³/h): 1.500
CAIXA DE FILTRAGEM: NÃO
FILTRAGEM DE 1° ESTÁGIO: N/A
FILTRAGEM DE 2° ESTÁGIO: N/A
PRESSÃO ESTÁTICA DISPONÍVEL PARA DUTOS (mmCA): 20
PRESSÃO ESTÁTICA INTERNA CONSIDERADA (mmCA): 30* - PARA BIBO INSTALADA
PRESSÃO ESTÁTICA TOTAL CONSIDERADA: 50*
TIPO DE ROTOR: SIROCCO
TIPO DE ACOPLAMENTO DO MOTOR: DIRETO
TENSÃO ELÉTRICA MOTOR: 220/3F
POTÊNCIA DO MOTOR (kW): 2,00
VARIADOR DE FREQUÊNCIA: NÃO
COXINS/CALÇOS DE BORRACHA: SIM
JUNTAS FLEXÍVEIS: EM TODAS AS CONEXÕES DE ENTRADA DO EQUIPAMENTO
PORTA DE INSPEÇÃO: SIM
QUADRO COMANDO: INCLUSO PARA ACIONAMENTO
*DADOS PODEM VARIAR DE ACORDO COM FABRICANTE E FORNECEDORES DE FILTROS E ACESSÓRIOS</v>
      </c>
      <c r="E227" s="312" t="str">
        <f>IF($C227="","",IFERROR(VLOOKUP($C227,SERVIÇOS!$B:$G,3,0),IFERROR(VLOOKUP($C227,'COMPOSIÇÕES COMPLEMENTARES '!$D:$L,3,0),IFERROR(VLOOKUP($C227,INSUMOS!$A:$D,3,0),""))))</f>
        <v>UN</v>
      </c>
      <c r="F227" s="313">
        <v>1</v>
      </c>
      <c r="G227" s="314">
        <f>IF($C227="","",IFERROR(VLOOKUP($C227,SERVIÇOS!$B:$G,4,0),IFERROR(VLOOKUP($C227,'COMPOSIÇÕES COMPLEMENTARES '!$D:$L,6,0),IFERROR(VLOOKUP($C227,INSUMOS!$A:$D,4,0),""))))</f>
        <v>4358.0600000000004</v>
      </c>
      <c r="H227" s="314">
        <f>IF($C227="","",IFERROR(VLOOKUP($C227,SERVIÇOS!$B:$G,5,0),IFERROR(VLOOKUP($C227,'COMPOSIÇÕES COMPLEMENTARES '!$D:$L,7,0),0)))</f>
        <v>291.84000000000003</v>
      </c>
      <c r="I227" s="314">
        <f t="shared" si="20"/>
        <v>4649.9000000000005</v>
      </c>
      <c r="J227" s="314">
        <f t="shared" si="21"/>
        <v>4358.0600000000004</v>
      </c>
      <c r="K227" s="314">
        <f t="shared" si="22"/>
        <v>291.83999999999997</v>
      </c>
      <c r="L227" s="948">
        <f t="shared" si="23"/>
        <v>4649.8999999999996</v>
      </c>
      <c r="M227" s="374">
        <f t="shared" si="24"/>
        <v>5002464.1300000018</v>
      </c>
      <c r="N227" s="375">
        <f>+M227/L$815</f>
        <v>0.88576146499526642</v>
      </c>
      <c r="O227" s="376" t="str">
        <f>IF(N227&lt;0.5,"A",IF(N227&gt;0.8,"C","B"))</f>
        <v>C</v>
      </c>
    </row>
    <row r="228" spans="1:15" ht="25.5" x14ac:dyDescent="0.25">
      <c r="A228" s="232">
        <f t="shared" si="19"/>
        <v>228</v>
      </c>
      <c r="B228" s="232"/>
      <c r="C228" s="310" t="s">
        <v>12044</v>
      </c>
      <c r="D228" s="373" t="str">
        <f>IF($C228="","",IFERROR(VLOOKUP($C228,SERVIÇOS!$B:$G,2,0),IFERROR(VLOOKUP($C228,'COMPOSIÇÕES COMPLEMENTARES '!$D:$L,2,0),IFERROR(VLOOKUP($C228,INSUMOS!$A:$D,2,0),""))))</f>
        <v>PORTA/PORTÃO EM FERRO GALVANIZADO, 1 OU 2 FOLHAS, EM TUBO DE AÇO GALVANIZADO 2" E TELA ARAME GALVANIZADO  E TELA MOSQUITEIRA MALHA 14 FIO 30 EM AÇO</v>
      </c>
      <c r="E228" s="312" t="str">
        <f>IF($C228="","",IFERROR(VLOOKUP($C228,SERVIÇOS!$B:$G,3,0),IFERROR(VLOOKUP($C228,'COMPOSIÇÕES COMPLEMENTARES '!$D:$L,3,0),IFERROR(VLOOKUP($C228,INSUMOS!$A:$D,3,0),""))))</f>
        <v>M2</v>
      </c>
      <c r="F228" s="313">
        <v>4.2</v>
      </c>
      <c r="G228" s="314">
        <f>IF($C228="","",IFERROR(VLOOKUP($C228,SERVIÇOS!$B:$G,4,0),IFERROR(VLOOKUP($C228,'COMPOSIÇÕES COMPLEMENTARES '!$D:$L,6,0),IFERROR(VLOOKUP($C228,INSUMOS!$A:$D,4,0),""))))</f>
        <v>989.27</v>
      </c>
      <c r="H228" s="314">
        <f>IF($C228="","",IFERROR(VLOOKUP($C228,SERVIÇOS!$B:$G,5,0),IFERROR(VLOOKUP($C228,'COMPOSIÇÕES COMPLEMENTARES '!$D:$L,7,0),0)))</f>
        <v>104.35</v>
      </c>
      <c r="I228" s="314">
        <f t="shared" si="20"/>
        <v>1093.6199999999999</v>
      </c>
      <c r="J228" s="314">
        <f t="shared" si="21"/>
        <v>4154.93</v>
      </c>
      <c r="K228" s="314">
        <f t="shared" si="22"/>
        <v>438.27</v>
      </c>
      <c r="L228" s="948">
        <f t="shared" si="23"/>
        <v>4593.2</v>
      </c>
      <c r="M228" s="374">
        <f t="shared" si="24"/>
        <v>5007057.3300000019</v>
      </c>
      <c r="N228" s="375">
        <f>+M228/L$815</f>
        <v>0.8865747600944992</v>
      </c>
      <c r="O228" s="376" t="str">
        <f>IF(N228&lt;0.5,"A",IF(N228&gt;0.8,"C","B"))</f>
        <v>C</v>
      </c>
    </row>
    <row r="229" spans="1:15" ht="51" x14ac:dyDescent="0.25">
      <c r="A229" s="232">
        <f t="shared" si="19"/>
        <v>229</v>
      </c>
      <c r="B229" s="232"/>
      <c r="C229" s="310" t="s">
        <v>12386</v>
      </c>
      <c r="D229" s="373" t="str">
        <f>IF($C229="","",IFERROR(VLOOKUP($C229,SERVIÇOS!$B:$G,2,0),IFERROR(VLOOKUP($C229,'COMPOSIÇÕES COMPLEMENTARES '!$D:$L,2,0),IFERROR(VLOOKUP($C229,INSUMOS!$A:$D,2,0),""))))</f>
        <v>TUBULAÇÃO DE INTERLIGAÇÃO FRIGORÍGENA PARA REDES DE AR CONDICIONADO DIÂMETRO NOMINAL Ø9,52MM (Ø3/8") - ESPESSURA MÍNIMA 0,8MM COM ISOLAMENTO TÉRMICO FLEXÍVEL DE ESPUMA ELASTOMÉRICA COM ESPESSURA MÍNIMA DE PAREDE DE 19MM E DIÂMETRO INTERNO MÍNIMO DE 11 A 12,5MM PARA TUBOS DE COBRE Ø3/8". REFERÊNCIA: ARMACELL LINHA ARMAFLEX M</v>
      </c>
      <c r="E229" s="312" t="str">
        <f>IF($C229="","",IFERROR(VLOOKUP($C229,SERVIÇOS!$B:$G,3,0),IFERROR(VLOOKUP($C229,'COMPOSIÇÕES COMPLEMENTARES '!$D:$L,3,0),IFERROR(VLOOKUP($C229,INSUMOS!$A:$D,3,0),""))))</f>
        <v>M</v>
      </c>
      <c r="F229" s="313">
        <v>55</v>
      </c>
      <c r="G229" s="314">
        <f>IF($C229="","",IFERROR(VLOOKUP($C229,SERVIÇOS!$B:$G,4,0),IFERROR(VLOOKUP($C229,'COMPOSIÇÕES COMPLEMENTARES '!$D:$L,6,0),IFERROR(VLOOKUP($C229,INSUMOS!$A:$D,4,0),""))))</f>
        <v>59.76</v>
      </c>
      <c r="H229" s="314">
        <f>IF($C229="","",IFERROR(VLOOKUP($C229,SERVIÇOS!$B:$G,5,0),IFERROR(VLOOKUP($C229,'COMPOSIÇÕES COMPLEMENTARES '!$D:$L,7,0),0)))</f>
        <v>23.32</v>
      </c>
      <c r="I229" s="314">
        <f t="shared" si="20"/>
        <v>83.08</v>
      </c>
      <c r="J229" s="314">
        <f t="shared" si="21"/>
        <v>3286.8</v>
      </c>
      <c r="K229" s="314">
        <f t="shared" si="22"/>
        <v>1282.5999999999999</v>
      </c>
      <c r="L229" s="948">
        <f t="shared" si="23"/>
        <v>4569.3999999999996</v>
      </c>
      <c r="M229" s="374">
        <f t="shared" si="24"/>
        <v>5011626.7300000023</v>
      </c>
      <c r="N229" s="375">
        <f>+M229/L$815</f>
        <v>0.8873838410460001</v>
      </c>
      <c r="O229" s="376" t="str">
        <f>IF(N229&lt;0.5,"A",IF(N229&gt;0.8,"C","B"))</f>
        <v>C</v>
      </c>
    </row>
    <row r="230" spans="1:15" ht="25.5" x14ac:dyDescent="0.25">
      <c r="A230" s="232">
        <f t="shared" si="19"/>
        <v>230</v>
      </c>
      <c r="B230" s="232"/>
      <c r="C230" s="310">
        <v>104919</v>
      </c>
      <c r="D230" s="373" t="str">
        <f>IF($C230="","",IFERROR(VLOOKUP($C230,SERVIÇOS!$B:$G,2,0),IFERROR(VLOOKUP($C230,'COMPOSIÇÕES COMPLEMENTARES '!$D:$L,2,0),IFERROR(VLOOKUP($C230,INSUMOS!$A:$D,2,0),""))))</f>
        <v>ARMAÇÃO DE SAPATA ISOLADA, VIGA BALDRAME E SAPATA CORRIDA UTILIZANDO AÇO CA-50 DE 10 MM - MONTAGEM. AF_01/2024</v>
      </c>
      <c r="E230" s="312" t="str">
        <f>IF($C230="","",IFERROR(VLOOKUP($C230,SERVIÇOS!$B:$G,3,0),IFERROR(VLOOKUP($C230,'COMPOSIÇÕES COMPLEMENTARES '!$D:$L,3,0),IFERROR(VLOOKUP($C230,INSUMOS!$A:$D,3,0),""))))</f>
        <v>KG</v>
      </c>
      <c r="F230" s="313">
        <v>336</v>
      </c>
      <c r="G230" s="314">
        <f>IF($C230="","",IFERROR(VLOOKUP($C230,SERVIÇOS!$B:$G,4,0),IFERROR(VLOOKUP($C230,'COMPOSIÇÕES COMPLEMENTARES '!$D:$L,6,0),IFERROR(VLOOKUP($C230,INSUMOS!$A:$D,4,0),""))))</f>
        <v>10.45</v>
      </c>
      <c r="H230" s="314">
        <f>IF($C230="","",IFERROR(VLOOKUP($C230,SERVIÇOS!$B:$G,5,0),IFERROR(VLOOKUP($C230,'COMPOSIÇÕES COMPLEMENTARES '!$D:$L,7,0),0)))</f>
        <v>3.1</v>
      </c>
      <c r="I230" s="314">
        <f t="shared" si="20"/>
        <v>13.549999999999999</v>
      </c>
      <c r="J230" s="314">
        <f t="shared" si="21"/>
        <v>3511.2</v>
      </c>
      <c r="K230" s="314">
        <f t="shared" si="22"/>
        <v>1041.5999999999999</v>
      </c>
      <c r="L230" s="948">
        <f t="shared" si="23"/>
        <v>4552.8</v>
      </c>
      <c r="M230" s="374">
        <f t="shared" si="24"/>
        <v>5016179.5300000021</v>
      </c>
      <c r="N230" s="375">
        <f>+M230/L$815</f>
        <v>0.88818998271799054</v>
      </c>
      <c r="O230" s="376" t="str">
        <f>IF(N230&lt;0.5,"A",IF(N230&gt;0.8,"C","B"))</f>
        <v>C</v>
      </c>
    </row>
    <row r="231" spans="1:15" ht="25.5" x14ac:dyDescent="0.25">
      <c r="A231" s="232">
        <f t="shared" si="19"/>
        <v>231</v>
      </c>
      <c r="B231" s="232"/>
      <c r="C231" s="310">
        <v>99635</v>
      </c>
      <c r="D231" s="373" t="str">
        <f>IF($C231="","",IFERROR(VLOOKUP($C231,SERVIÇOS!$B:$G,2,0),IFERROR(VLOOKUP($C231,'COMPOSIÇÕES COMPLEMENTARES '!$D:$L,2,0),IFERROR(VLOOKUP($C231,INSUMOS!$A:$D,2,0),""))))</f>
        <v>VÁLVULA DE DESCARGA METÁLICA, BASE 1 1/2", ACABAMENTO METALICO CROMADO - FORNECIMENTO E INSTALAÇÃO. AF_08/2021</v>
      </c>
      <c r="E231" s="312" t="str">
        <f>IF($C231="","",IFERROR(VLOOKUP($C231,SERVIÇOS!$B:$G,3,0),IFERROR(VLOOKUP($C231,'COMPOSIÇÕES COMPLEMENTARES '!$D:$L,3,0),IFERROR(VLOOKUP($C231,INSUMOS!$A:$D,3,0),""))))</f>
        <v>UN</v>
      </c>
      <c r="F231" s="313">
        <v>11</v>
      </c>
      <c r="G231" s="314">
        <f>IF($C231="","",IFERROR(VLOOKUP($C231,SERVIÇOS!$B:$G,4,0),IFERROR(VLOOKUP($C231,'COMPOSIÇÕES COMPLEMENTARES '!$D:$L,6,0),IFERROR(VLOOKUP($C231,INSUMOS!$A:$D,4,0),""))))</f>
        <v>368.78</v>
      </c>
      <c r="H231" s="314">
        <f>IF($C231="","",IFERROR(VLOOKUP($C231,SERVIÇOS!$B:$G,5,0),IFERROR(VLOOKUP($C231,'COMPOSIÇÕES COMPLEMENTARES '!$D:$L,7,0),0)))</f>
        <v>44.97</v>
      </c>
      <c r="I231" s="314">
        <f t="shared" si="20"/>
        <v>413.75</v>
      </c>
      <c r="J231" s="314">
        <f t="shared" si="21"/>
        <v>4056.58</v>
      </c>
      <c r="K231" s="314">
        <f t="shared" si="22"/>
        <v>494.67</v>
      </c>
      <c r="L231" s="948">
        <f t="shared" si="23"/>
        <v>4551.25</v>
      </c>
      <c r="M231" s="374">
        <f t="shared" si="24"/>
        <v>5020730.7800000021</v>
      </c>
      <c r="N231" s="375">
        <f>+M231/L$815</f>
        <v>0.88899584993918335</v>
      </c>
      <c r="O231" s="376" t="str">
        <f>IF(N231&lt;0.5,"A",IF(N231&gt;0.8,"C","B"))</f>
        <v>C</v>
      </c>
    </row>
    <row r="232" spans="1:15" ht="25.5" x14ac:dyDescent="0.25">
      <c r="A232" s="232">
        <f t="shared" si="19"/>
        <v>232</v>
      </c>
      <c r="B232" s="232"/>
      <c r="C232" s="310">
        <v>99635</v>
      </c>
      <c r="D232" s="373" t="str">
        <f>IF($C232="","",IFERROR(VLOOKUP($C232,SERVIÇOS!$B:$G,2,0),IFERROR(VLOOKUP($C232,'COMPOSIÇÕES COMPLEMENTARES '!$D:$L,2,0),IFERROR(VLOOKUP($C232,INSUMOS!$A:$D,2,0),""))))</f>
        <v>VÁLVULA DE DESCARGA METÁLICA, BASE 1 1/2", ACABAMENTO METALICO CROMADO - FORNECIMENTO E INSTALAÇÃO. AF_08/2021</v>
      </c>
      <c r="E232" s="312" t="str">
        <f>IF($C232="","",IFERROR(VLOOKUP($C232,SERVIÇOS!$B:$G,3,0),IFERROR(VLOOKUP($C232,'COMPOSIÇÕES COMPLEMENTARES '!$D:$L,3,0),IFERROR(VLOOKUP($C232,INSUMOS!$A:$D,3,0),""))))</f>
        <v>UN</v>
      </c>
      <c r="F232" s="313">
        <v>11</v>
      </c>
      <c r="G232" s="314">
        <f>IF($C232="","",IFERROR(VLOOKUP($C232,SERVIÇOS!$B:$G,4,0),IFERROR(VLOOKUP($C232,'COMPOSIÇÕES COMPLEMENTARES '!$D:$L,6,0),IFERROR(VLOOKUP($C232,INSUMOS!$A:$D,4,0),""))))</f>
        <v>368.78</v>
      </c>
      <c r="H232" s="314">
        <f>IF($C232="","",IFERROR(VLOOKUP($C232,SERVIÇOS!$B:$G,5,0),IFERROR(VLOOKUP($C232,'COMPOSIÇÕES COMPLEMENTARES '!$D:$L,7,0),0)))</f>
        <v>44.97</v>
      </c>
      <c r="I232" s="314">
        <f t="shared" si="20"/>
        <v>413.75</v>
      </c>
      <c r="J232" s="314">
        <f t="shared" si="21"/>
        <v>4056.58</v>
      </c>
      <c r="K232" s="314">
        <f t="shared" si="22"/>
        <v>494.67</v>
      </c>
      <c r="L232" s="948">
        <f t="shared" si="23"/>
        <v>4551.25</v>
      </c>
      <c r="M232" s="374">
        <f t="shared" si="24"/>
        <v>5025282.0300000021</v>
      </c>
      <c r="N232" s="375">
        <f>+M232/L$815</f>
        <v>0.88980171716037604</v>
      </c>
      <c r="O232" s="376" t="str">
        <f>IF(N232&lt;0.5,"A",IF(N232&gt;0.8,"C","B"))</f>
        <v>C</v>
      </c>
    </row>
    <row r="233" spans="1:15" x14ac:dyDescent="0.25">
      <c r="A233" s="232">
        <f t="shared" si="19"/>
        <v>233</v>
      </c>
      <c r="B233" s="232"/>
      <c r="C233" s="310" t="s">
        <v>12234</v>
      </c>
      <c r="D233" s="373" t="str">
        <f>IF($C233="","",IFERROR(VLOOKUP($C233,SERVIÇOS!$B:$G,2,0),IFERROR(VLOOKUP($C233,'COMPOSIÇÕES COMPLEMENTARES '!$D:$L,2,0),IFERROR(VLOOKUP($C233,INSUMOS!$A:$D,2,0),""))))</f>
        <v>ELETROCALHA PERFURADA 100X100X3000MM - CH 18, INCLUSO CONEXÕES E SUPORTE DE FIXAÇÃO</v>
      </c>
      <c r="E233" s="312" t="str">
        <f>IF($C233="","",IFERROR(VLOOKUP($C233,SERVIÇOS!$B:$G,3,0),IFERROR(VLOOKUP($C233,'COMPOSIÇÕES COMPLEMENTARES '!$D:$L,3,0),IFERROR(VLOOKUP($C233,INSUMOS!$A:$D,3,0),""))))</f>
        <v>M</v>
      </c>
      <c r="F233" s="313">
        <v>27</v>
      </c>
      <c r="G233" s="314">
        <f>IF($C233="","",IFERROR(VLOOKUP($C233,SERVIÇOS!$B:$G,4,0),IFERROR(VLOOKUP($C233,'COMPOSIÇÕES COMPLEMENTARES '!$D:$L,6,0),IFERROR(VLOOKUP($C233,INSUMOS!$A:$D,4,0),""))))</f>
        <v>129.66999999999999</v>
      </c>
      <c r="H233" s="314">
        <f>IF($C233="","",IFERROR(VLOOKUP($C233,SERVIÇOS!$B:$G,5,0),IFERROR(VLOOKUP($C233,'COMPOSIÇÕES COMPLEMENTARES '!$D:$L,7,0),0)))</f>
        <v>37.15</v>
      </c>
      <c r="I233" s="314">
        <f t="shared" si="20"/>
        <v>166.82</v>
      </c>
      <c r="J233" s="314">
        <f t="shared" si="21"/>
        <v>3501.09</v>
      </c>
      <c r="K233" s="314">
        <f t="shared" si="22"/>
        <v>1003.05</v>
      </c>
      <c r="L233" s="948">
        <f t="shared" si="23"/>
        <v>4504.1400000000003</v>
      </c>
      <c r="M233" s="374">
        <f t="shared" si="24"/>
        <v>5029786.1700000018</v>
      </c>
      <c r="N233" s="375">
        <f>+M233/L$815</f>
        <v>0.89059924284797032</v>
      </c>
      <c r="O233" s="376" t="str">
        <f>IF(N233&lt;0.5,"A",IF(N233&gt;0.8,"C","B"))</f>
        <v>C</v>
      </c>
    </row>
    <row r="234" spans="1:15" x14ac:dyDescent="0.25">
      <c r="A234" s="232">
        <f t="shared" si="19"/>
        <v>234</v>
      </c>
      <c r="B234" s="232"/>
      <c r="C234" s="310">
        <v>94213</v>
      </c>
      <c r="D234" s="373" t="str">
        <f>IF($C234="","",IFERROR(VLOOKUP($C234,SERVIÇOS!$B:$G,2,0),IFERROR(VLOOKUP($C234,'COMPOSIÇÕES COMPLEMENTARES '!$D:$L,2,0),IFERROR(VLOOKUP($C234,INSUMOS!$A:$D,2,0),""))))</f>
        <v>TELHAMENTO COM TELHA DE AÇO/ALUMÍNIO E = 0,5 MM, COM ATÉ 2 ÁGUAS, INCLUSO IÇAMENTO. AF_07/2019</v>
      </c>
      <c r="E234" s="312" t="str">
        <f>IF($C234="","",IFERROR(VLOOKUP($C234,SERVIÇOS!$B:$G,3,0),IFERROR(VLOOKUP($C234,'COMPOSIÇÕES COMPLEMENTARES '!$D:$L,3,0),IFERROR(VLOOKUP($C234,INSUMOS!$A:$D,3,0),""))))</f>
        <v>M2</v>
      </c>
      <c r="F234" s="313">
        <v>62.4</v>
      </c>
      <c r="G234" s="314">
        <f>IF($C234="","",IFERROR(VLOOKUP($C234,SERVIÇOS!$B:$G,4,0),IFERROR(VLOOKUP($C234,'COMPOSIÇÕES COMPLEMENTARES '!$D:$L,6,0),IFERROR(VLOOKUP($C234,INSUMOS!$A:$D,4,0),""))))</f>
        <v>66.75</v>
      </c>
      <c r="H234" s="314">
        <f>IF($C234="","",IFERROR(VLOOKUP($C234,SERVIÇOS!$B:$G,5,0),IFERROR(VLOOKUP($C234,'COMPOSIÇÕES COMPLEMENTARES '!$D:$L,7,0),0)))</f>
        <v>4.3899999999999997</v>
      </c>
      <c r="I234" s="314">
        <f t="shared" si="20"/>
        <v>71.14</v>
      </c>
      <c r="J234" s="314">
        <f t="shared" si="21"/>
        <v>4165.2</v>
      </c>
      <c r="K234" s="314">
        <f t="shared" si="22"/>
        <v>273.93</v>
      </c>
      <c r="L234" s="948">
        <f t="shared" si="23"/>
        <v>4439.13</v>
      </c>
      <c r="M234" s="374">
        <f t="shared" si="24"/>
        <v>5034225.3000000017</v>
      </c>
      <c r="N234" s="375">
        <f>+M234/L$815</f>
        <v>0.89138525753791553</v>
      </c>
      <c r="O234" s="376" t="str">
        <f>IF(N234&lt;0.5,"A",IF(N234&gt;0.8,"C","B"))</f>
        <v>C</v>
      </c>
    </row>
    <row r="235" spans="1:15" x14ac:dyDescent="0.25">
      <c r="A235" s="232">
        <f t="shared" si="19"/>
        <v>235</v>
      </c>
      <c r="B235" s="232"/>
      <c r="C235" s="310" t="s">
        <v>12186</v>
      </c>
      <c r="D235" s="373" t="str">
        <f>IF($C235="","",IFERROR(VLOOKUP($C235,SERVIÇOS!$B:$G,2,0),IFERROR(VLOOKUP($C235,'COMPOSIÇÕES COMPLEMENTARES '!$D:$L,2,0),IFERROR(VLOOKUP($C235,INSUMOS!$A:$D,2,0),""))))</f>
        <v>CONDUTOR DE COBRE FLEX. ISOL. 1KV - 90º - #95MM² - AFUMEX</v>
      </c>
      <c r="E235" s="312" t="str">
        <f>IF($C235="","",IFERROR(VLOOKUP($C235,SERVIÇOS!$B:$G,3,0),IFERROR(VLOOKUP($C235,'COMPOSIÇÕES COMPLEMENTARES '!$D:$L,3,0),IFERROR(VLOOKUP($C235,INSUMOS!$A:$D,3,0),""))))</f>
        <v>M</v>
      </c>
      <c r="F235" s="313">
        <v>48</v>
      </c>
      <c r="G235" s="314">
        <f>IF($C235="","",IFERROR(VLOOKUP($C235,SERVIÇOS!$B:$G,4,0),IFERROR(VLOOKUP($C235,'COMPOSIÇÕES COMPLEMENTARES '!$D:$L,6,0),IFERROR(VLOOKUP($C235,INSUMOS!$A:$D,4,0),""))))</f>
        <v>85.88</v>
      </c>
      <c r="H235" s="314">
        <f>IF($C235="","",IFERROR(VLOOKUP($C235,SERVIÇOS!$B:$G,5,0),IFERROR(VLOOKUP($C235,'COMPOSIÇÕES COMPLEMENTARES '!$D:$L,7,0),0)))</f>
        <v>6.33</v>
      </c>
      <c r="I235" s="314">
        <f t="shared" si="20"/>
        <v>92.21</v>
      </c>
      <c r="J235" s="314">
        <f t="shared" si="21"/>
        <v>4122.24</v>
      </c>
      <c r="K235" s="314">
        <f t="shared" si="22"/>
        <v>303.83999999999997</v>
      </c>
      <c r="L235" s="948">
        <f t="shared" si="23"/>
        <v>4426.08</v>
      </c>
      <c r="M235" s="374">
        <f t="shared" si="24"/>
        <v>5038651.3800000018</v>
      </c>
      <c r="N235" s="375">
        <f>+M235/L$815</f>
        <v>0.89216896152920955</v>
      </c>
      <c r="O235" s="376" t="str">
        <f>IF(N235&lt;0.5,"A",IF(N235&gt;0.8,"C","B"))</f>
        <v>C</v>
      </c>
    </row>
    <row r="236" spans="1:15" x14ac:dyDescent="0.25">
      <c r="A236" s="232">
        <f t="shared" si="19"/>
        <v>236</v>
      </c>
      <c r="B236" s="232"/>
      <c r="C236" s="310">
        <v>96544</v>
      </c>
      <c r="D236" s="373" t="str">
        <f>IF($C236="","",IFERROR(VLOOKUP($C236,SERVIÇOS!$B:$G,2,0),IFERROR(VLOOKUP($C236,'COMPOSIÇÕES COMPLEMENTARES '!$D:$L,2,0),IFERROR(VLOOKUP($C236,INSUMOS!$A:$D,2,0),""))))</f>
        <v>ARMAÇÃO DE BLOCO UTILIZANDO AÇO CA-50 DE 6,3 MM - MONTAGEM. AF_01/2024</v>
      </c>
      <c r="E236" s="312" t="str">
        <f>IF($C236="","",IFERROR(VLOOKUP($C236,SERVIÇOS!$B:$G,3,0),IFERROR(VLOOKUP($C236,'COMPOSIÇÕES COMPLEMENTARES '!$D:$L,3,0),IFERROR(VLOOKUP($C236,INSUMOS!$A:$D,3,0),""))))</f>
        <v>KG</v>
      </c>
      <c r="F236" s="313">
        <v>218</v>
      </c>
      <c r="G236" s="314">
        <f>IF($C236="","",IFERROR(VLOOKUP($C236,SERVIÇOS!$B:$G,4,0),IFERROR(VLOOKUP($C236,'COMPOSIÇÕES COMPLEMENTARES '!$D:$L,6,0),IFERROR(VLOOKUP($C236,INSUMOS!$A:$D,4,0),""))))</f>
        <v>12.41</v>
      </c>
      <c r="H236" s="314">
        <f>IF($C236="","",IFERROR(VLOOKUP($C236,SERVIÇOS!$B:$G,5,0),IFERROR(VLOOKUP($C236,'COMPOSIÇÕES COMPLEMENTARES '!$D:$L,7,0),0)))</f>
        <v>7.87</v>
      </c>
      <c r="I236" s="314">
        <f t="shared" si="20"/>
        <v>20.28</v>
      </c>
      <c r="J236" s="314">
        <f t="shared" si="21"/>
        <v>2705.38</v>
      </c>
      <c r="K236" s="314">
        <f t="shared" si="22"/>
        <v>1715.66</v>
      </c>
      <c r="L236" s="948">
        <f t="shared" si="23"/>
        <v>4421.04</v>
      </c>
      <c r="M236" s="374">
        <f t="shared" si="24"/>
        <v>5043072.4200000018</v>
      </c>
      <c r="N236" s="375">
        <f>+M236/L$815</f>
        <v>0.89295177311274865</v>
      </c>
      <c r="O236" s="376" t="str">
        <f>IF(N236&lt;0.5,"A",IF(N236&gt;0.8,"C","B"))</f>
        <v>C</v>
      </c>
    </row>
    <row r="237" spans="1:15" ht="25.5" x14ac:dyDescent="0.25">
      <c r="A237" s="232">
        <f t="shared" si="19"/>
        <v>237</v>
      </c>
      <c r="B237" s="232"/>
      <c r="C237" s="310" t="s">
        <v>12217</v>
      </c>
      <c r="D237" s="373" t="str">
        <f>IF($C237="","",IFERROR(VLOOKUP($C237,SERVIÇOS!$B:$G,2,0),IFERROR(VLOOKUP($C237,'COMPOSIÇÕES COMPLEMENTARES '!$D:$L,2,0),IFERROR(VLOOKUP($C237,INSUMOS!$A:$D,2,0),""))))</f>
        <v>ELETRODUTO RÍGIDO ROSCÁVEL, PVC, DN 25 MM (3/4"), INCLUSO CONEXÕES E ACESSÓRIOS, INSTALAÇÃO APARENTE - FORNECIMENTO E INSTALAÇÃO</v>
      </c>
      <c r="E237" s="312" t="str">
        <f>IF($C237="","",IFERROR(VLOOKUP($C237,SERVIÇOS!$B:$G,3,0),IFERROR(VLOOKUP($C237,'COMPOSIÇÕES COMPLEMENTARES '!$D:$L,3,0),IFERROR(VLOOKUP($C237,INSUMOS!$A:$D,3,0),""))))</f>
        <v>M</v>
      </c>
      <c r="F237" s="313">
        <v>186</v>
      </c>
      <c r="G237" s="314">
        <f>IF($C237="","",IFERROR(VLOOKUP($C237,SERVIÇOS!$B:$G,4,0),IFERROR(VLOOKUP($C237,'COMPOSIÇÕES COMPLEMENTARES '!$D:$L,6,0),IFERROR(VLOOKUP($C237,INSUMOS!$A:$D,4,0),""))))</f>
        <v>14.79</v>
      </c>
      <c r="H237" s="314">
        <f>IF($C237="","",IFERROR(VLOOKUP($C237,SERVIÇOS!$B:$G,5,0),IFERROR(VLOOKUP($C237,'COMPOSIÇÕES COMPLEMENTARES '!$D:$L,7,0),0)))</f>
        <v>8.75</v>
      </c>
      <c r="I237" s="314">
        <f t="shared" si="20"/>
        <v>23.54</v>
      </c>
      <c r="J237" s="314">
        <f t="shared" si="21"/>
        <v>2750.94</v>
      </c>
      <c r="K237" s="314">
        <f t="shared" si="22"/>
        <v>1627.5</v>
      </c>
      <c r="L237" s="948">
        <f t="shared" si="23"/>
        <v>4378.4399999999996</v>
      </c>
      <c r="M237" s="374">
        <f t="shared" si="24"/>
        <v>5047450.8600000022</v>
      </c>
      <c r="N237" s="375">
        <f>+M237/L$815</f>
        <v>0.89372704172597794</v>
      </c>
      <c r="O237" s="376" t="str">
        <f>IF(N237&lt;0.5,"A",IF(N237&gt;0.8,"C","B"))</f>
        <v>C</v>
      </c>
    </row>
    <row r="238" spans="1:15" ht="51" x14ac:dyDescent="0.25">
      <c r="A238" s="232">
        <f t="shared" si="19"/>
        <v>238</v>
      </c>
      <c r="B238" s="232"/>
      <c r="C238" s="310" t="s">
        <v>12389</v>
      </c>
      <c r="D238" s="373" t="str">
        <f>IF($C238="","",IFERROR(VLOOKUP($C238,SERVIÇOS!$B:$G,2,0),IFERROR(VLOOKUP($C238,'COMPOSIÇÕES COMPLEMENTARES '!$D:$L,2,0),IFERROR(VLOOKUP($C238,INSUMOS!$A:$D,2,0),""))))</f>
        <v>TUBULAÇÃO DE INTERLIGAÇÃO FRIGORÍGENA PARA REDES DE AR CONDICIONADO DIÂMETRO NOMINAL Ø19,05MM (Ø3/4") - ESPESSURA MÍNIMA 0,8MM COM ISOLAMENTO TÉRMICO FLEXÍVEL DE ESPUMA ELASTOMÉRICA COM ESPESSURA MÍNIMA DE PAREDE DE 23MM E DIÂMETRO INTERNO MÍNIMO DE 19 A 20,5MM PARA TUBOS DE COBRE Ø3/4". REFERÊNCIA: ARMACELL LINHA ARMAFLEX M</v>
      </c>
      <c r="E238" s="312" t="str">
        <f>IF($C238="","",IFERROR(VLOOKUP($C238,SERVIÇOS!$B:$G,3,0),IFERROR(VLOOKUP($C238,'COMPOSIÇÕES COMPLEMENTARES '!$D:$L,3,0),IFERROR(VLOOKUP($C238,INSUMOS!$A:$D,3,0),""))))</f>
        <v>M</v>
      </c>
      <c r="F238" s="313">
        <v>35</v>
      </c>
      <c r="G238" s="314">
        <f>IF($C238="","",IFERROR(VLOOKUP($C238,SERVIÇOS!$B:$G,4,0),IFERROR(VLOOKUP($C238,'COMPOSIÇÕES COMPLEMENTARES '!$D:$L,6,0),IFERROR(VLOOKUP($C238,INSUMOS!$A:$D,4,0),""))))</f>
        <v>98.79</v>
      </c>
      <c r="H238" s="314">
        <f>IF($C238="","",IFERROR(VLOOKUP($C238,SERVIÇOS!$B:$G,5,0),IFERROR(VLOOKUP($C238,'COMPOSIÇÕES COMPLEMENTARES '!$D:$L,7,0),0)))</f>
        <v>23.32</v>
      </c>
      <c r="I238" s="314">
        <f t="shared" si="20"/>
        <v>122.11000000000001</v>
      </c>
      <c r="J238" s="314">
        <f t="shared" si="21"/>
        <v>3457.65</v>
      </c>
      <c r="K238" s="314">
        <f t="shared" si="22"/>
        <v>816.2</v>
      </c>
      <c r="L238" s="948">
        <f t="shared" si="23"/>
        <v>4273.8500000000004</v>
      </c>
      <c r="M238" s="374">
        <f t="shared" si="24"/>
        <v>5051724.7100000018</v>
      </c>
      <c r="N238" s="375">
        <f>+M238/L$815</f>
        <v>0.89448379110764109</v>
      </c>
      <c r="O238" s="376" t="str">
        <f>IF(N238&lt;0.5,"A",IF(N238&gt;0.8,"C","B"))</f>
        <v>C</v>
      </c>
    </row>
    <row r="239" spans="1:15" x14ac:dyDescent="0.25">
      <c r="A239" s="232">
        <f t="shared" si="19"/>
        <v>239</v>
      </c>
      <c r="B239" s="232"/>
      <c r="C239" s="310" t="s">
        <v>12285</v>
      </c>
      <c r="D239" s="377" t="str">
        <f>IF($C239="","",IFERROR(VLOOKUP($C239,SERVIÇOS!$B:$G,2,0),IFERROR(VLOOKUP($C239,'COMPOSIÇÕES COMPLEMENTARES '!$D:$L,2,0),IFERROR(VLOOKUP($C239,INSUMOS!$A:$D,2,0),""))))</f>
        <v>ELETROCALHA PERFURADA 200X100X3000MM - CH 18 COM TAMPA, INCLUSO CONEXÕES E SUPORTE PARA FIXAÇÃO</v>
      </c>
      <c r="E239" s="312" t="str">
        <f>IF($C239="","",IFERROR(VLOOKUP($C239,SERVIÇOS!$B:$G,3,0),IFERROR(VLOOKUP($C239,'COMPOSIÇÕES COMPLEMENTARES '!$D:$L,3,0),IFERROR(VLOOKUP($C239,INSUMOS!$A:$D,3,0),""))))</f>
        <v>M</v>
      </c>
      <c r="F239" s="313">
        <v>21</v>
      </c>
      <c r="G239" s="314">
        <f>IF($C239="","",IFERROR(VLOOKUP($C239,SERVIÇOS!$B:$G,4,0),IFERROR(VLOOKUP($C239,'COMPOSIÇÕES COMPLEMENTARES '!$D:$L,6,0),IFERROR(VLOOKUP($C239,INSUMOS!$A:$D,4,0),""))))</f>
        <v>171.96</v>
      </c>
      <c r="H239" s="314">
        <f>IF($C239="","",IFERROR(VLOOKUP($C239,SERVIÇOS!$B:$G,5,0),IFERROR(VLOOKUP($C239,'COMPOSIÇÕES COMPLEMENTARES '!$D:$L,7,0),0)))</f>
        <v>31.55</v>
      </c>
      <c r="I239" s="314">
        <f t="shared" si="20"/>
        <v>203.51000000000002</v>
      </c>
      <c r="J239" s="314">
        <f t="shared" si="21"/>
        <v>3611.16</v>
      </c>
      <c r="K239" s="314">
        <f t="shared" si="22"/>
        <v>662.55</v>
      </c>
      <c r="L239" s="948">
        <f t="shared" si="23"/>
        <v>4273.71</v>
      </c>
      <c r="M239" s="374">
        <f t="shared" si="24"/>
        <v>5055998.4200000018</v>
      </c>
      <c r="N239" s="375">
        <f>+M239/L$815</f>
        <v>0.89524051570020002</v>
      </c>
      <c r="O239" s="376" t="str">
        <f>IF(N239&lt;0.5,"A",IF(N239&gt;0.8,"C","B"))</f>
        <v>C</v>
      </c>
    </row>
    <row r="240" spans="1:15" ht="25.5" x14ac:dyDescent="0.25">
      <c r="A240" s="232">
        <f t="shared" si="19"/>
        <v>240</v>
      </c>
      <c r="B240" s="232"/>
      <c r="C240" s="310" t="s">
        <v>12304</v>
      </c>
      <c r="D240" s="373" t="str">
        <f>IF($C240="","",IFERROR(VLOOKUP($C240,SERVIÇOS!$B:$G,2,0),IFERROR(VLOOKUP($C240,'COMPOSIÇÕES COMPLEMENTARES '!$D:$L,2,0),IFERROR(VLOOKUP($C240,INSUMOS!$A:$D,2,0),""))))</f>
        <v>CAIXA ENTERRADA PARA INSTALAÇÕES TELEFÔNICAS TIPO R1 E TAMPA PARA CAIXA TIPO R1, EM FERRO FUNDIDO, DIMENSÕES INTERNAS: 0,40 X 0,60 M - FORNECIMENTO E INSTALAÇÃO</v>
      </c>
      <c r="E240" s="312" t="str">
        <f>IF($C240="","",IFERROR(VLOOKUP($C240,SERVIÇOS!$B:$G,3,0),IFERROR(VLOOKUP($C240,'COMPOSIÇÕES COMPLEMENTARES '!$D:$L,3,0),IFERROR(VLOOKUP($C240,INSUMOS!$A:$D,3,0),""))))</f>
        <v>UN</v>
      </c>
      <c r="F240" s="313">
        <v>4</v>
      </c>
      <c r="G240" s="314">
        <f>IF($C240="","",IFERROR(VLOOKUP($C240,SERVIÇOS!$B:$G,4,0),IFERROR(VLOOKUP($C240,'COMPOSIÇÕES COMPLEMENTARES '!$D:$L,6,0),IFERROR(VLOOKUP($C240,INSUMOS!$A:$D,4,0),""))))</f>
        <v>740.47</v>
      </c>
      <c r="H240" s="314">
        <f>IF($C240="","",IFERROR(VLOOKUP($C240,SERVIÇOS!$B:$G,5,0),IFERROR(VLOOKUP($C240,'COMPOSIÇÕES COMPLEMENTARES '!$D:$L,7,0),0)))</f>
        <v>309.86</v>
      </c>
      <c r="I240" s="314">
        <f t="shared" si="20"/>
        <v>1050.33</v>
      </c>
      <c r="J240" s="314">
        <f t="shared" si="21"/>
        <v>2961.88</v>
      </c>
      <c r="K240" s="314">
        <f t="shared" si="22"/>
        <v>1239.44</v>
      </c>
      <c r="L240" s="948">
        <f t="shared" si="23"/>
        <v>4201.32</v>
      </c>
      <c r="M240" s="374">
        <f t="shared" si="24"/>
        <v>5060199.7400000021</v>
      </c>
      <c r="N240" s="375">
        <f>+M240/L$815</f>
        <v>0.89598442255518318</v>
      </c>
      <c r="O240" s="376" t="str">
        <f>IF(N240&lt;0.5,"A",IF(N240&gt;0.8,"C","B"))</f>
        <v>C</v>
      </c>
    </row>
    <row r="241" spans="1:35" x14ac:dyDescent="0.25">
      <c r="A241" s="232">
        <f t="shared" si="19"/>
        <v>241</v>
      </c>
      <c r="B241" s="232"/>
      <c r="C241" s="310" t="s">
        <v>12056</v>
      </c>
      <c r="D241" s="373" t="str">
        <f>IF($C241="","",IFERROR(VLOOKUP($C241,SERVIÇOS!$B:$G,2,0),IFERROR(VLOOKUP($C241,'COMPOSIÇÕES COMPLEMENTARES '!$D:$L,2,0),IFERROR(VLOOKUP($C241,INSUMOS!$A:$D,2,0),""))))</f>
        <v>TORNEIRA DE MESA TEMPORIZADA DE PRESSÃO (PRESSMATIC) BICA BAIXA, CROMADA - FORNECIMENTO E INSTALAÇÃO</v>
      </c>
      <c r="E241" s="312" t="str">
        <f>IF($C241="","",IFERROR(VLOOKUP($C241,SERVIÇOS!$B:$G,3,0),IFERROR(VLOOKUP($C241,'COMPOSIÇÕES COMPLEMENTARES '!$D:$L,3,0),IFERROR(VLOOKUP($C241,INSUMOS!$A:$D,3,0),""))))</f>
        <v>UN</v>
      </c>
      <c r="F241" s="313">
        <v>25</v>
      </c>
      <c r="G241" s="314">
        <f>IF($C241="","",IFERROR(VLOOKUP($C241,SERVIÇOS!$B:$G,4,0),IFERROR(VLOOKUP($C241,'COMPOSIÇÕES COMPLEMENTARES '!$D:$L,6,0),IFERROR(VLOOKUP($C241,INSUMOS!$A:$D,4,0),""))))</f>
        <v>144.01</v>
      </c>
      <c r="H241" s="314">
        <f>IF($C241="","",IFERROR(VLOOKUP($C241,SERVIÇOS!$B:$G,5,0),IFERROR(VLOOKUP($C241,'COMPOSIÇÕES COMPLEMENTARES '!$D:$L,7,0),0)))</f>
        <v>23.51</v>
      </c>
      <c r="I241" s="314">
        <f t="shared" si="20"/>
        <v>167.51999999999998</v>
      </c>
      <c r="J241" s="314">
        <f t="shared" si="21"/>
        <v>3600.25</v>
      </c>
      <c r="K241" s="314">
        <f t="shared" si="22"/>
        <v>587.75</v>
      </c>
      <c r="L241" s="948">
        <f t="shared" si="23"/>
        <v>4188</v>
      </c>
      <c r="M241" s="374">
        <f t="shared" si="24"/>
        <v>5064387.7400000021</v>
      </c>
      <c r="N241" s="375">
        <f>+M241/L$815</f>
        <v>0.89672597090395667</v>
      </c>
      <c r="O241" s="376" t="str">
        <f>IF(N241&lt;0.5,"A",IF(N241&gt;0.8,"C","B"))</f>
        <v>C</v>
      </c>
    </row>
    <row r="242" spans="1:35" x14ac:dyDescent="0.25">
      <c r="A242" s="232">
        <f t="shared" si="19"/>
        <v>242</v>
      </c>
      <c r="B242" s="232"/>
      <c r="C242" s="310" t="s">
        <v>11965</v>
      </c>
      <c r="D242" s="373" t="str">
        <f>IF($C242="","",IFERROR(VLOOKUP($C242,SERVIÇOS!$B:$G,2,0),IFERROR(VLOOKUP($C242,'COMPOSIÇÕES COMPLEMENTARES '!$D:$L,2,0),IFERROR(VLOOKUP($C242,INSUMOS!$A:$D,2,0),""))))</f>
        <v>INSTALAÇÃO DE REFORÇO DE MADEIRA PARA PORTAS DE MADEIRA EM PAREDE DRYWALL</v>
      </c>
      <c r="E242" s="312" t="str">
        <f>IF($C242="","",IFERROR(VLOOKUP($C242,SERVIÇOS!$B:$G,3,0),IFERROR(VLOOKUP($C242,'COMPOSIÇÕES COMPLEMENTARES '!$D:$L,3,0),IFERROR(VLOOKUP($C242,INSUMOS!$A:$D,3,0),""))))</f>
        <v>M</v>
      </c>
      <c r="F242" s="313">
        <v>146.19999999999999</v>
      </c>
      <c r="G242" s="314">
        <f>IF($C242="","",IFERROR(VLOOKUP($C242,SERVIÇOS!$B:$G,4,0),IFERROR(VLOOKUP($C242,'COMPOSIÇÕES COMPLEMENTARES '!$D:$L,6,0),IFERROR(VLOOKUP($C242,INSUMOS!$A:$D,4,0),""))))</f>
        <v>25.69</v>
      </c>
      <c r="H242" s="314">
        <f>IF($C242="","",IFERROR(VLOOKUP($C242,SERVIÇOS!$B:$G,5,0),IFERROR(VLOOKUP($C242,'COMPOSIÇÕES COMPLEMENTARES '!$D:$L,7,0),0)))</f>
        <v>2.4900000000000002</v>
      </c>
      <c r="I242" s="314">
        <f t="shared" si="20"/>
        <v>28.18</v>
      </c>
      <c r="J242" s="314">
        <f t="shared" si="21"/>
        <v>3755.87</v>
      </c>
      <c r="K242" s="314">
        <f t="shared" si="22"/>
        <v>364.03</v>
      </c>
      <c r="L242" s="948">
        <f t="shared" si="23"/>
        <v>4119.8999999999996</v>
      </c>
      <c r="M242" s="374">
        <f t="shared" si="24"/>
        <v>5068507.6400000025</v>
      </c>
      <c r="N242" s="375">
        <f>+M242/L$815</f>
        <v>0.89745546112413632</v>
      </c>
      <c r="O242" s="376" t="str">
        <f>IF(N242&lt;0.5,"A",IF(N242&gt;0.8,"C","B"))</f>
        <v>C</v>
      </c>
    </row>
    <row r="243" spans="1:35" x14ac:dyDescent="0.25">
      <c r="A243" s="232">
        <f t="shared" si="19"/>
        <v>243</v>
      </c>
      <c r="B243" s="232"/>
      <c r="C243" s="310" t="s">
        <v>12187</v>
      </c>
      <c r="D243" s="373" t="str">
        <f>IF($C243="","",IFERROR(VLOOKUP($C243,SERVIÇOS!$B:$G,2,0),IFERROR(VLOOKUP($C243,'COMPOSIÇÕES COMPLEMENTARES '!$D:$L,2,0),IFERROR(VLOOKUP($C243,INSUMOS!$A:$D,2,0),""))))</f>
        <v>CONDUTOR DE COBRE FLEX. ISOL. 1KV - 90º - #50MM² - AFUMEX</v>
      </c>
      <c r="E243" s="312" t="str">
        <f>IF($C243="","",IFERROR(VLOOKUP($C243,SERVIÇOS!$B:$G,3,0),IFERROR(VLOOKUP($C243,'COMPOSIÇÕES COMPLEMENTARES '!$D:$L,3,0),IFERROR(VLOOKUP($C243,INSUMOS!$A:$D,3,0),""))))</f>
        <v>M</v>
      </c>
      <c r="F243" s="313">
        <v>74</v>
      </c>
      <c r="G243" s="314">
        <f>IF($C243="","",IFERROR(VLOOKUP($C243,SERVIÇOS!$B:$G,4,0),IFERROR(VLOOKUP($C243,'COMPOSIÇÕES COMPLEMENTARES '!$D:$L,6,0),IFERROR(VLOOKUP($C243,INSUMOS!$A:$D,4,0),""))))</f>
        <v>51.15</v>
      </c>
      <c r="H243" s="314">
        <f>IF($C243="","",IFERROR(VLOOKUP($C243,SERVIÇOS!$B:$G,5,0),IFERROR(VLOOKUP($C243,'COMPOSIÇÕES COMPLEMENTARES '!$D:$L,7,0),0)))</f>
        <v>4.3</v>
      </c>
      <c r="I243" s="314">
        <f t="shared" si="20"/>
        <v>55.449999999999996</v>
      </c>
      <c r="J243" s="314">
        <f t="shared" si="21"/>
        <v>3785.1</v>
      </c>
      <c r="K243" s="314">
        <f t="shared" si="22"/>
        <v>318.2</v>
      </c>
      <c r="L243" s="948">
        <f t="shared" si="23"/>
        <v>4103.3</v>
      </c>
      <c r="M243" s="374">
        <f t="shared" si="24"/>
        <v>5072610.9400000023</v>
      </c>
      <c r="N243" s="375">
        <f>+M243/L$815</f>
        <v>0.89818201206480541</v>
      </c>
      <c r="O243" s="376" t="str">
        <f>IF(N243&lt;0.5,"A",IF(N243&gt;0.8,"C","B"))</f>
        <v>C</v>
      </c>
    </row>
    <row r="244" spans="1:35" x14ac:dyDescent="0.25">
      <c r="A244" s="232">
        <f t="shared" si="19"/>
        <v>244</v>
      </c>
      <c r="B244" s="232"/>
      <c r="C244" s="310" t="s">
        <v>12096</v>
      </c>
      <c r="D244" s="373" t="str">
        <f>IF($C244="","",IFERROR(VLOOKUP($C244,SERVIÇOS!$B:$G,2,0),IFERROR(VLOOKUP($C244,'COMPOSIÇÕES COMPLEMENTARES '!$D:$L,2,0),IFERROR(VLOOKUP($C244,INSUMOS!$A:$D,2,0),""))))</f>
        <v>RESERVATÓRIO EM POLIETILENO, VOLUME TOTAL DE 3.000 LITROS. ∅170CM e ALTURA = 160CM</v>
      </c>
      <c r="E244" s="312" t="str">
        <f>IF($C244="","",IFERROR(VLOOKUP($C244,SERVIÇOS!$B:$G,3,0),IFERROR(VLOOKUP($C244,'COMPOSIÇÕES COMPLEMENTARES '!$D:$L,3,0),IFERROR(VLOOKUP($C244,INSUMOS!$A:$D,3,0),""))))</f>
        <v>UN</v>
      </c>
      <c r="F244" s="313">
        <v>2</v>
      </c>
      <c r="G244" s="314">
        <f>IF($C244="","",IFERROR(VLOOKUP($C244,SERVIÇOS!$B:$G,4,0),IFERROR(VLOOKUP($C244,'COMPOSIÇÕES COMPLEMENTARES '!$D:$L,6,0),IFERROR(VLOOKUP($C244,INSUMOS!$A:$D,4,0),""))))</f>
        <v>1971.62</v>
      </c>
      <c r="H244" s="314">
        <f>IF($C244="","",IFERROR(VLOOKUP($C244,SERVIÇOS!$B:$G,5,0),IFERROR(VLOOKUP($C244,'COMPOSIÇÕES COMPLEMENTARES '!$D:$L,7,0),0)))</f>
        <v>59.15</v>
      </c>
      <c r="I244" s="314">
        <f t="shared" si="20"/>
        <v>2030.77</v>
      </c>
      <c r="J244" s="314">
        <f t="shared" si="21"/>
        <v>3943.24</v>
      </c>
      <c r="K244" s="314">
        <f t="shared" si="22"/>
        <v>118.3</v>
      </c>
      <c r="L244" s="948">
        <f t="shared" si="23"/>
        <v>4061.54</v>
      </c>
      <c r="M244" s="374">
        <f t="shared" si="24"/>
        <v>5076672.4800000023</v>
      </c>
      <c r="N244" s="375">
        <f>+M244/L$815</f>
        <v>0.89890116876979043</v>
      </c>
      <c r="O244" s="376" t="str">
        <f>IF(N244&lt;0.5,"A",IF(N244&gt;0.8,"C","B"))</f>
        <v>C</v>
      </c>
    </row>
    <row r="245" spans="1:35" ht="38.25" x14ac:dyDescent="0.25">
      <c r="A245" s="232">
        <f t="shared" si="19"/>
        <v>245</v>
      </c>
      <c r="B245" s="232"/>
      <c r="C245" s="310" t="s">
        <v>12511</v>
      </c>
      <c r="D245" s="373" t="str">
        <f>IF($C245="","",IFERROR(VLOOKUP($C245,SERVIÇOS!$B:$G,2,0),IFERROR(VLOOKUP($C245,'COMPOSIÇÕES COMPLEMENTARES '!$D:$L,2,0),IFERROR(VLOOKUP($C245,INSUMOS!$A:$D,2,0),""))))</f>
        <v>LADRILHO HIDRAULICO PODOTÁTIL DE 30X30CM, ESPESSURA DE 2CM, COMPOSTO DE CIMENTO, AREIA, PÓ DE PEDRA E PIGMENTOS DO TIPO DIRECIONAL/ALERTA, COR TERRACOTA, INCLUSO BASE DE AREIA E REJUNTAMENTO COM PÓ DE PEDRA (CPU), CONFORME NBR/ABNT 9050 E LEGISLAÇÃO MUNICIPAL</v>
      </c>
      <c r="E245" s="312" t="str">
        <f>IF($C245="","",IFERROR(VLOOKUP($C245,SERVIÇOS!$B:$G,3,0),IFERROR(VLOOKUP($C245,'COMPOSIÇÕES COMPLEMENTARES '!$D:$L,3,0),IFERROR(VLOOKUP($C245,INSUMOS!$A:$D,3,0),""))))</f>
        <v>M2</v>
      </c>
      <c r="F245" s="313">
        <v>30.930000000000003</v>
      </c>
      <c r="G245" s="314">
        <f>IF($C245="","",IFERROR(VLOOKUP($C245,SERVIÇOS!$B:$G,4,0),IFERROR(VLOOKUP($C245,'COMPOSIÇÕES COMPLEMENTARES '!$D:$L,6,0),IFERROR(VLOOKUP($C245,INSUMOS!$A:$D,4,0),""))))</f>
        <v>92.97</v>
      </c>
      <c r="H245" s="314">
        <f>IF($C245="","",IFERROR(VLOOKUP($C245,SERVIÇOS!$B:$G,5,0),IFERROR(VLOOKUP($C245,'COMPOSIÇÕES COMPLEMENTARES '!$D:$L,7,0),0)))</f>
        <v>37.22</v>
      </c>
      <c r="I245" s="314">
        <f t="shared" si="20"/>
        <v>130.19</v>
      </c>
      <c r="J245" s="314">
        <f t="shared" si="21"/>
        <v>2875.56</v>
      </c>
      <c r="K245" s="314">
        <f t="shared" si="22"/>
        <v>1151.21</v>
      </c>
      <c r="L245" s="948">
        <f t="shared" si="23"/>
        <v>4026.77</v>
      </c>
      <c r="M245" s="374">
        <f t="shared" si="24"/>
        <v>5080699.2500000019</v>
      </c>
      <c r="N245" s="375">
        <f>+M245/L$815</f>
        <v>0.89961416892365631</v>
      </c>
      <c r="O245" s="376" t="str">
        <f>IF(N245&lt;0.5,"A",IF(N245&gt;0.8,"C","B"))</f>
        <v>C</v>
      </c>
    </row>
    <row r="246" spans="1:35" ht="25.5" x14ac:dyDescent="0.25">
      <c r="A246" s="232">
        <f t="shared" si="19"/>
        <v>246</v>
      </c>
      <c r="B246" s="232"/>
      <c r="C246" s="310" t="s">
        <v>12060</v>
      </c>
      <c r="D246" s="373" t="str">
        <f>IF($C246="","",IFERROR(VLOOKUP($C246,SERVIÇOS!$B:$G,2,0),IFERROR(VLOOKUP($C246,'COMPOSIÇÕES COMPLEMENTARES '!$D:$L,2,0),IFERROR(VLOOKUP($C246,INSUMOS!$A:$D,2,0),""))))</f>
        <v>ALARME DE EMERGÊNCIA EM PLÁSTICO ABS DE ALTA RESISTÊNCIA, DIMENSÕES 78X82MM, ESTANQUE, ANTICHAMAS, COM ACIONADOR TIPO PRESSÃO, FIXAÇÃO NA PAREDE.</v>
      </c>
      <c r="E246" s="312" t="str">
        <f>IF($C246="","",IFERROR(VLOOKUP($C246,SERVIÇOS!$B:$G,3,0),IFERROR(VLOOKUP($C246,'COMPOSIÇÕES COMPLEMENTARES '!$D:$L,3,0),IFERROR(VLOOKUP($C246,INSUMOS!$A:$D,3,0),""))))</f>
        <v>UN</v>
      </c>
      <c r="F246" s="313">
        <v>7</v>
      </c>
      <c r="G246" s="314">
        <f>IF($C246="","",IFERROR(VLOOKUP($C246,SERVIÇOS!$B:$G,4,0),IFERROR(VLOOKUP($C246,'COMPOSIÇÕES COMPLEMENTARES '!$D:$L,6,0),IFERROR(VLOOKUP($C246,INSUMOS!$A:$D,4,0),""))))</f>
        <v>546.79999999999995</v>
      </c>
      <c r="H246" s="314">
        <f>IF($C246="","",IFERROR(VLOOKUP($C246,SERVIÇOS!$B:$G,5,0),IFERROR(VLOOKUP($C246,'COMPOSIÇÕES COMPLEMENTARES '!$D:$L,7,0),0)))</f>
        <v>8.42</v>
      </c>
      <c r="I246" s="314">
        <f t="shared" si="20"/>
        <v>555.21999999999991</v>
      </c>
      <c r="J246" s="314">
        <f t="shared" si="21"/>
        <v>3827.6</v>
      </c>
      <c r="K246" s="314">
        <f t="shared" si="22"/>
        <v>58.94</v>
      </c>
      <c r="L246" s="948">
        <f t="shared" si="23"/>
        <v>3886.54</v>
      </c>
      <c r="M246" s="374">
        <f t="shared" si="24"/>
        <v>5084585.7900000019</v>
      </c>
      <c r="N246" s="375">
        <f>+M246/L$815</f>
        <v>0.90030233924826053</v>
      </c>
      <c r="O246" s="376" t="str">
        <f>IF(N246&lt;0.5,"A",IF(N246&gt;0.8,"C","B"))</f>
        <v>C</v>
      </c>
    </row>
    <row r="247" spans="1:35" ht="25.5" x14ac:dyDescent="0.25">
      <c r="A247" s="232">
        <f t="shared" si="19"/>
        <v>247</v>
      </c>
      <c r="B247" s="232"/>
      <c r="C247" s="310">
        <v>98059</v>
      </c>
      <c r="D247" s="373" t="str">
        <f>IF($C247="","",IFERROR(VLOOKUP($C247,SERVIÇOS!$B:$G,2,0),IFERROR(VLOOKUP($C247,'COMPOSIÇÕES COMPLEMENTARES '!$D:$L,2,0),IFERROR(VLOOKUP($C247,INSUMOS!$A:$D,2,0),""))))</f>
        <v>FILTRO ANAERÓBIO CIRCULAR, EM CONCRETO PRÉ-MOLDADO, DIÂMETRO INTERNO = 1,88 M, ALTURA INTERNA = 1,50 M, VOLUME ÚTIL: 3331,1 L (PARA 19 CONTRIBUINTES). AF_12/2020</v>
      </c>
      <c r="E247" s="312" t="str">
        <f>IF($C247="","",IFERROR(VLOOKUP($C247,SERVIÇOS!$B:$G,3,0),IFERROR(VLOOKUP($C247,'COMPOSIÇÕES COMPLEMENTARES '!$D:$L,3,0),IFERROR(VLOOKUP($C247,INSUMOS!$A:$D,3,0),""))))</f>
        <v>UN</v>
      </c>
      <c r="F247" s="313">
        <v>1</v>
      </c>
      <c r="G247" s="314">
        <f>IF($C247="","",IFERROR(VLOOKUP($C247,SERVIÇOS!$B:$G,4,0),IFERROR(VLOOKUP($C247,'COMPOSIÇÕES COMPLEMENTARES '!$D:$L,6,0),IFERROR(VLOOKUP($C247,INSUMOS!$A:$D,4,0),""))))</f>
        <v>3410.25</v>
      </c>
      <c r="H247" s="314">
        <f>IF($C247="","",IFERROR(VLOOKUP($C247,SERVIÇOS!$B:$G,5,0),IFERROR(VLOOKUP($C247,'COMPOSIÇÕES COMPLEMENTARES '!$D:$L,7,0),0)))</f>
        <v>463.71</v>
      </c>
      <c r="I247" s="314">
        <f t="shared" si="20"/>
        <v>3873.96</v>
      </c>
      <c r="J247" s="314">
        <f t="shared" si="21"/>
        <v>3410.25</v>
      </c>
      <c r="K247" s="314">
        <f t="shared" si="22"/>
        <v>463.71</v>
      </c>
      <c r="L247" s="948">
        <f t="shared" si="23"/>
        <v>3873.96</v>
      </c>
      <c r="M247" s="374">
        <f t="shared" si="24"/>
        <v>5088459.7500000019</v>
      </c>
      <c r="N247" s="375">
        <f>+M247/L$815</f>
        <v>0.90098828209477788</v>
      </c>
      <c r="O247" s="376" t="str">
        <f>IF(N247&lt;0.5,"A",IF(N247&gt;0.8,"C","B"))</f>
        <v>C</v>
      </c>
    </row>
    <row r="248" spans="1:35" x14ac:dyDescent="0.25">
      <c r="A248" s="232">
        <f t="shared" si="19"/>
        <v>248</v>
      </c>
      <c r="B248" s="232"/>
      <c r="C248" s="310">
        <v>88415</v>
      </c>
      <c r="D248" s="373" t="str">
        <f>IF($C248="","",IFERROR(VLOOKUP($C248,SERVIÇOS!$B:$G,2,0),IFERROR(VLOOKUP($C248,'COMPOSIÇÕES COMPLEMENTARES '!$D:$L,2,0),IFERROR(VLOOKUP($C248,INSUMOS!$A:$D,2,0),""))))</f>
        <v>APLICAÇÃO MANUAL DE FUNDO SELADOR ACRÍLICO EM PAREDES EXTERNAS DE CASAS. AF_03/2024</v>
      </c>
      <c r="E248" s="312" t="str">
        <f>IF($C248="","",IFERROR(VLOOKUP($C248,SERVIÇOS!$B:$G,3,0),IFERROR(VLOOKUP($C248,'COMPOSIÇÕES COMPLEMENTARES '!$D:$L,3,0),IFERROR(VLOOKUP($C248,INSUMOS!$A:$D,3,0),""))))</f>
        <v>M2</v>
      </c>
      <c r="F248" s="313">
        <v>763.86</v>
      </c>
      <c r="G248" s="314">
        <f>IF($C248="","",IFERROR(VLOOKUP($C248,SERVIÇOS!$B:$G,4,0),IFERROR(VLOOKUP($C248,'COMPOSIÇÕES COMPLEMENTARES '!$D:$L,6,0),IFERROR(VLOOKUP($C248,INSUMOS!$A:$D,4,0),""))))</f>
        <v>3.35</v>
      </c>
      <c r="H248" s="314">
        <f>IF($C248="","",IFERROR(VLOOKUP($C248,SERVIÇOS!$B:$G,5,0),IFERROR(VLOOKUP($C248,'COMPOSIÇÕES COMPLEMENTARES '!$D:$L,7,0),0)))</f>
        <v>1.71</v>
      </c>
      <c r="I248" s="314">
        <f t="shared" si="20"/>
        <v>5.0600000000000005</v>
      </c>
      <c r="J248" s="314">
        <f t="shared" si="21"/>
        <v>2558.9299999999998</v>
      </c>
      <c r="K248" s="314">
        <f t="shared" si="22"/>
        <v>1306.2</v>
      </c>
      <c r="L248" s="948">
        <f t="shared" si="23"/>
        <v>3865.13</v>
      </c>
      <c r="M248" s="374">
        <f t="shared" si="24"/>
        <v>5092324.8800000018</v>
      </c>
      <c r="N248" s="375">
        <f>+M248/L$815</f>
        <v>0.90167266145707359</v>
      </c>
      <c r="O248" s="376" t="str">
        <f>IF(N248&lt;0.5,"A",IF(N248&gt;0.8,"C","B"))</f>
        <v>C</v>
      </c>
    </row>
    <row r="249" spans="1:35" ht="51" x14ac:dyDescent="0.25">
      <c r="A249" s="232">
        <f t="shared" si="19"/>
        <v>249</v>
      </c>
      <c r="B249" s="232"/>
      <c r="C249" s="310" t="s">
        <v>12387</v>
      </c>
      <c r="D249" s="373" t="str">
        <f>IF($C249="","",IFERROR(VLOOKUP($C249,SERVIÇOS!$B:$G,2,0),IFERROR(VLOOKUP($C249,'COMPOSIÇÕES COMPLEMENTARES '!$D:$L,2,0),IFERROR(VLOOKUP($C249,INSUMOS!$A:$D,2,0),""))))</f>
        <v>TUBULAÇÃO DE INTERLIGAÇÃO FRIGORÍGENA PARA REDES DE AR CONDICIONADO DIÂMETRO NOMINAL Ø12,7MM (Ø1/2") - ESPESSURA MÍNIMA 0,8MM COM ISOLAMENTO TÉRMICO FLEXÍVEL DE ESPUMA ELASTOMÉRICA COM ESPESSURA MÍNIMA DE PAREDE DE 19MM E DIÂMETRO INTERNO MÍNIMO DE 13 A 14,5MM PARA TUBOS DE COBRE Ø1/2". REFERÊNCIA: ARMACELL LINHA ARMAFLEX M</v>
      </c>
      <c r="E249" s="312" t="str">
        <f>IF($C249="","",IFERROR(VLOOKUP($C249,SERVIÇOS!$B:$G,3,0),IFERROR(VLOOKUP($C249,'COMPOSIÇÕES COMPLEMENTARES '!$D:$L,3,0),IFERROR(VLOOKUP($C249,INSUMOS!$A:$D,3,0),""))))</f>
        <v>M</v>
      </c>
      <c r="F249" s="313">
        <v>45</v>
      </c>
      <c r="G249" s="314">
        <f>IF($C249="","",IFERROR(VLOOKUP($C249,SERVIÇOS!$B:$G,4,0),IFERROR(VLOOKUP($C249,'COMPOSIÇÕES COMPLEMENTARES '!$D:$L,6,0),IFERROR(VLOOKUP($C249,INSUMOS!$A:$D,4,0),""))))</f>
        <v>62.459999999999994</v>
      </c>
      <c r="H249" s="314">
        <f>IF($C249="","",IFERROR(VLOOKUP($C249,SERVIÇOS!$B:$G,5,0),IFERROR(VLOOKUP($C249,'COMPOSIÇÕES COMPLEMENTARES '!$D:$L,7,0),0)))</f>
        <v>23.32</v>
      </c>
      <c r="I249" s="314">
        <f t="shared" si="20"/>
        <v>85.78</v>
      </c>
      <c r="J249" s="314">
        <f t="shared" si="21"/>
        <v>2810.7</v>
      </c>
      <c r="K249" s="314">
        <f t="shared" si="22"/>
        <v>1049.4000000000001</v>
      </c>
      <c r="L249" s="948">
        <f t="shared" si="23"/>
        <v>3860.1</v>
      </c>
      <c r="M249" s="374">
        <f t="shared" si="24"/>
        <v>5096184.9800000014</v>
      </c>
      <c r="N249" s="375">
        <f>+M249/L$815</f>
        <v>0.90235615018226478</v>
      </c>
      <c r="O249" s="376" t="str">
        <f>IF(N249&lt;0.5,"A",IF(N249&gt;0.8,"C","B"))</f>
        <v>C</v>
      </c>
    </row>
    <row r="250" spans="1:35" x14ac:dyDescent="0.25">
      <c r="A250" s="232">
        <f t="shared" si="19"/>
        <v>250</v>
      </c>
      <c r="B250" s="232"/>
      <c r="C250" s="310" t="s">
        <v>12553</v>
      </c>
      <c r="D250" s="373" t="str">
        <f>IF($C250="","",IFERROR(VLOOKUP($C250,SERVIÇOS!$B:$G,2,0),IFERROR(VLOOKUP($C250,'COMPOSIÇÕES COMPLEMENTARES '!$D:$L,2,0),IFERROR(VLOOKUP($C250,INSUMOS!$A:$D,2,0),""))))</f>
        <v>BANCO DE CONCRETO, DIMENSÃO 360 X 50 CM</v>
      </c>
      <c r="E250" s="312" t="str">
        <f>IF($C250="","",IFERROR(VLOOKUP($C250,SERVIÇOS!$B:$G,3,0),IFERROR(VLOOKUP($C250,'COMPOSIÇÕES COMPLEMENTARES '!$D:$L,3,0),IFERROR(VLOOKUP($C250,INSUMOS!$A:$D,3,0),""))))</f>
        <v>M</v>
      </c>
      <c r="F250" s="313">
        <v>18</v>
      </c>
      <c r="G250" s="314">
        <f>IF($C250="","",IFERROR(VLOOKUP($C250,SERVIÇOS!$B:$G,4,0),IFERROR(VLOOKUP($C250,'COMPOSIÇÕES COMPLEMENTARES '!$D:$L,6,0),IFERROR(VLOOKUP($C250,INSUMOS!$A:$D,4,0),""))))</f>
        <v>166.04</v>
      </c>
      <c r="H250" s="314">
        <f>IF($C250="","",IFERROR(VLOOKUP($C250,SERVIÇOS!$B:$G,5,0),IFERROR(VLOOKUP($C250,'COMPOSIÇÕES COMPLEMENTARES '!$D:$L,7,0),0)))</f>
        <v>48.2</v>
      </c>
      <c r="I250" s="314">
        <f t="shared" si="20"/>
        <v>214.24</v>
      </c>
      <c r="J250" s="314">
        <f t="shared" si="21"/>
        <v>2988.72</v>
      </c>
      <c r="K250" s="314">
        <f t="shared" si="22"/>
        <v>867.6</v>
      </c>
      <c r="L250" s="948">
        <f t="shared" si="23"/>
        <v>3856.32</v>
      </c>
      <c r="M250" s="374">
        <f t="shared" si="24"/>
        <v>5100041.3000000017</v>
      </c>
      <c r="N250" s="375">
        <f>+M250/L$815</f>
        <v>0.90303896960163976</v>
      </c>
      <c r="O250" s="376" t="str">
        <f>IF(N250&lt;0.5,"A",IF(N250&gt;0.8,"C","B"))</f>
        <v>C</v>
      </c>
    </row>
    <row r="251" spans="1:35" ht="25.5" x14ac:dyDescent="0.25">
      <c r="A251" s="232">
        <f t="shared" si="19"/>
        <v>251</v>
      </c>
      <c r="B251" s="232"/>
      <c r="C251" s="310">
        <v>92769</v>
      </c>
      <c r="D251" s="373" t="str">
        <f>IF($C251="","",IFERROR(VLOOKUP($C251,SERVIÇOS!$B:$G,2,0),IFERROR(VLOOKUP($C251,'COMPOSIÇÕES COMPLEMENTARES '!$D:$L,2,0),IFERROR(VLOOKUP($C251,INSUMOS!$A:$D,2,0),""))))</f>
        <v>ARMAÇÃO DE LAJE DE ESTRUTURA CONVENCIONAL DE CONCRETO ARMADO UTILIZANDO AÇO CA-50 DE 6,3 MM - MONTAGEM. AF_06/2022</v>
      </c>
      <c r="E251" s="312" t="str">
        <f>IF($C251="","",IFERROR(VLOOKUP($C251,SERVIÇOS!$B:$G,3,0),IFERROR(VLOOKUP($C251,'COMPOSIÇÕES COMPLEMENTARES '!$D:$L,3,0),IFERROR(VLOOKUP($C251,INSUMOS!$A:$D,3,0),""))))</f>
        <v>KG</v>
      </c>
      <c r="F251" s="313">
        <v>287</v>
      </c>
      <c r="G251" s="314">
        <f>IF($C251="","",IFERROR(VLOOKUP($C251,SERVIÇOS!$B:$G,4,0),IFERROR(VLOOKUP($C251,'COMPOSIÇÕES COMPLEMENTARES '!$D:$L,6,0),IFERROR(VLOOKUP($C251,INSUMOS!$A:$D,4,0),""))))</f>
        <v>10.66</v>
      </c>
      <c r="H251" s="314">
        <f>IF($C251="","",IFERROR(VLOOKUP($C251,SERVIÇOS!$B:$G,5,0),IFERROR(VLOOKUP($C251,'COMPOSIÇÕES COMPLEMENTARES '!$D:$L,7,0),0)))</f>
        <v>2.76</v>
      </c>
      <c r="I251" s="314">
        <f t="shared" si="20"/>
        <v>13.42</v>
      </c>
      <c r="J251" s="314">
        <f t="shared" si="21"/>
        <v>3059.42</v>
      </c>
      <c r="K251" s="314">
        <f t="shared" si="22"/>
        <v>792.12</v>
      </c>
      <c r="L251" s="948">
        <f t="shared" si="23"/>
        <v>3851.54</v>
      </c>
      <c r="M251" s="374">
        <f t="shared" si="24"/>
        <v>5103892.8400000017</v>
      </c>
      <c r="N251" s="375">
        <f>+M251/L$815</f>
        <v>0.90372094265016767</v>
      </c>
      <c r="O251" s="376" t="str">
        <f>IF(N251&lt;0.5,"A",IF(N251&gt;0.8,"C","B"))</f>
        <v>C</v>
      </c>
      <c r="P251" s="342"/>
      <c r="Q251" s="342"/>
      <c r="R251" s="342"/>
      <c r="S251" s="342"/>
      <c r="T251" s="342"/>
      <c r="U251" s="342"/>
      <c r="V251" s="342"/>
      <c r="W251" s="342"/>
      <c r="X251" s="342"/>
      <c r="Y251" s="342"/>
      <c r="Z251" s="342"/>
      <c r="AA251" s="342"/>
      <c r="AB251" s="342"/>
      <c r="AC251" s="342"/>
      <c r="AD251" s="342"/>
      <c r="AE251" s="342"/>
      <c r="AF251" s="342"/>
      <c r="AG251" s="342"/>
      <c r="AH251" s="342"/>
      <c r="AI251" s="342"/>
    </row>
    <row r="252" spans="1:35" ht="38.25" x14ac:dyDescent="0.25">
      <c r="A252" s="232">
        <f t="shared" si="19"/>
        <v>252</v>
      </c>
      <c r="B252" s="232"/>
      <c r="C252" s="310" t="s">
        <v>12069</v>
      </c>
      <c r="D252" s="373" t="str">
        <f>IF($C252="","",IFERROR(VLOOKUP($C252,SERVIÇOS!$B:$G,2,0),IFERROR(VLOOKUP($C252,'COMPOSIÇÕES COMPLEMENTARES '!$D:$L,2,0),IFERROR(VLOOKUP($C252,INSUMOS!$A:$D,2,0),""))))</f>
        <v xml:space="preserve">BANCADA EM INOX 304/20 COM 2 CUBAS (50X40X18CM) E UM VASO DE DESPEJO (EXPURGO), ENCHIMENTO EM CONCRETO ARMADO LEVE, SEM BRITA, SOLDA DE ARGONIO, TESTEIRA DE 10CM, ACABAMENTO LISO, PROFUNDIDADE 60CM, CHUMBADAS À PAREDE E APOIADAS SOBRE BARRAS METÁLICAS. COMPRIMENTO DA BANCADA CONFORME AS DIMENSOES DO PROJETO. </v>
      </c>
      <c r="E252" s="312" t="str">
        <f>IF($C252="","",IFERROR(VLOOKUP($C252,SERVIÇOS!$B:$G,3,0),IFERROR(VLOOKUP($C252,'COMPOSIÇÕES COMPLEMENTARES '!$D:$L,3,0),IFERROR(VLOOKUP($C252,INSUMOS!$A:$D,3,0),""))))</f>
        <v>M</v>
      </c>
      <c r="F252" s="313">
        <v>2.4</v>
      </c>
      <c r="G252" s="314">
        <f>IF($C252="","",IFERROR(VLOOKUP($C252,SERVIÇOS!$B:$G,4,0),IFERROR(VLOOKUP($C252,'COMPOSIÇÕES COMPLEMENTARES '!$D:$L,6,0),IFERROR(VLOOKUP($C252,INSUMOS!$A:$D,4,0),""))))</f>
        <v>1480.44</v>
      </c>
      <c r="H252" s="314">
        <f>IF($C252="","",IFERROR(VLOOKUP($C252,SERVIÇOS!$B:$G,5,0),IFERROR(VLOOKUP($C252,'COMPOSIÇÕES COMPLEMENTARES '!$D:$L,7,0),0)))</f>
        <v>106.66</v>
      </c>
      <c r="I252" s="314">
        <f t="shared" si="20"/>
        <v>1587.1000000000001</v>
      </c>
      <c r="J252" s="314">
        <f t="shared" si="21"/>
        <v>3553.05</v>
      </c>
      <c r="K252" s="314">
        <f t="shared" si="22"/>
        <v>255.98</v>
      </c>
      <c r="L252" s="948">
        <f t="shared" si="23"/>
        <v>3809.03</v>
      </c>
      <c r="M252" s="374">
        <f t="shared" si="24"/>
        <v>5107701.870000002</v>
      </c>
      <c r="N252" s="375">
        <f>+M252/L$815</f>
        <v>0.90439538866423863</v>
      </c>
      <c r="O252" s="376" t="str">
        <f>IF(N252&lt;0.5,"A",IF(N252&gt;0.8,"C","B"))</f>
        <v>C</v>
      </c>
    </row>
    <row r="253" spans="1:35" ht="38.25" x14ac:dyDescent="0.25">
      <c r="A253" s="232">
        <f t="shared" si="19"/>
        <v>253</v>
      </c>
      <c r="B253" s="232"/>
      <c r="C253" s="310" t="s">
        <v>12265</v>
      </c>
      <c r="D253" s="373" t="str">
        <f>IF($C253="","",IFERROR(VLOOKUP($C253,SERVIÇOS!$B:$G,2,0),IFERROR(VLOOKUP($C253,'COMPOSIÇÕES COMPLEMENTARES '!$D:$L,2,0),IFERROR(VLOOKUP($C253,INSUMOS!$A:$D,2,0),""))))</f>
        <v>QD-4 - QUADRO DE DISTRIBUIÇÃO EM CHAPA DE AÇO 16USG, PINTURA EM EPÓXI COR BEGE, COM TRINCO, BARRAMENTOS EM COBRE, ESPELHO INTERNO C/ PLAQUETAS DE IDENTIFICAÇÃO EM ACRÍLICO PARA CADA CIRCUITO E PORTA PROJETO. DEVERÁ ATENDER O SOLICITADO NO DIAGRAMA UNIFILAR EM PROJETO.</v>
      </c>
      <c r="E253" s="312" t="str">
        <f>IF($C253="","",IFERROR(VLOOKUP($C253,SERVIÇOS!$B:$G,3,0),IFERROR(VLOOKUP($C253,'COMPOSIÇÕES COMPLEMENTARES '!$D:$L,3,0),IFERROR(VLOOKUP($C253,INSUMOS!$A:$D,3,0),""))))</f>
        <v>UN</v>
      </c>
      <c r="F253" s="313">
        <v>1</v>
      </c>
      <c r="G253" s="314">
        <f>IF($C253="","",IFERROR(VLOOKUP($C253,SERVIÇOS!$B:$G,4,0),IFERROR(VLOOKUP($C253,'COMPOSIÇÕES COMPLEMENTARES '!$D:$L,6,0),IFERROR(VLOOKUP($C253,INSUMOS!$A:$D,4,0),""))))</f>
        <v>3384.17</v>
      </c>
      <c r="H253" s="314">
        <f>IF($C253="","",IFERROR(VLOOKUP($C253,SERVIÇOS!$B:$G,5,0),IFERROR(VLOOKUP($C253,'COMPOSIÇÕES COMPLEMENTARES '!$D:$L,7,0),0)))</f>
        <v>396.32</v>
      </c>
      <c r="I253" s="314">
        <f t="shared" si="20"/>
        <v>3780.4900000000002</v>
      </c>
      <c r="J253" s="314">
        <f t="shared" si="21"/>
        <v>3384.17</v>
      </c>
      <c r="K253" s="314">
        <f t="shared" si="22"/>
        <v>396.32</v>
      </c>
      <c r="L253" s="948">
        <f t="shared" si="23"/>
        <v>3780.49</v>
      </c>
      <c r="M253" s="374">
        <f t="shared" si="24"/>
        <v>5111482.3600000022</v>
      </c>
      <c r="N253" s="375">
        <f>+M253/L$815</f>
        <v>0.90506478124233192</v>
      </c>
      <c r="O253" s="376" t="str">
        <f>IF(N253&lt;0.5,"A",IF(N253&gt;0.8,"C","B"))</f>
        <v>C</v>
      </c>
    </row>
    <row r="254" spans="1:35" ht="38.25" x14ac:dyDescent="0.25">
      <c r="A254" s="232">
        <f t="shared" si="19"/>
        <v>254</v>
      </c>
      <c r="B254" s="232"/>
      <c r="C254" s="310" t="s">
        <v>12293</v>
      </c>
      <c r="D254" s="373" t="str">
        <f>IF($C254="","",IFERROR(VLOOKUP($C254,SERVIÇOS!$B:$G,2,0),IFERROR(VLOOKUP($C254,'COMPOSIÇÕES COMPLEMENTARES '!$D:$L,2,0),IFERROR(VLOOKUP($C254,INSUMOS!$A:$D,2,0),""))))</f>
        <v>QD-AC-2 - QUADRO DE DISTRIBUIÇÃO EM CHAPA DE AÇO 16USG, PINTURA EM EPÓXI COR BEGE, COM TRINCO, BARRAMENTOS EM COBRE, ESPELHO INTERNO C/ PLAQUETAS DE IDENTIFICAÇÃO EM ACRÍLICO PARA CADA CIRCUITO E PORTA PROJETO. DEVERÁ ATENDER O SOLICITADO NO DIAGRAMA UNIFILAR EM PROJETO.</v>
      </c>
      <c r="E254" s="312" t="str">
        <f>IF($C254="","",IFERROR(VLOOKUP($C254,SERVIÇOS!$B:$G,3,0),IFERROR(VLOOKUP($C254,'COMPOSIÇÕES COMPLEMENTARES '!$D:$L,3,0),IFERROR(VLOOKUP($C254,INSUMOS!$A:$D,3,0),""))))</f>
        <v>UN</v>
      </c>
      <c r="F254" s="313">
        <v>1</v>
      </c>
      <c r="G254" s="314">
        <f>IF($C254="","",IFERROR(VLOOKUP($C254,SERVIÇOS!$B:$G,4,0),IFERROR(VLOOKUP($C254,'COMPOSIÇÕES COMPLEMENTARES '!$D:$L,6,0),IFERROR(VLOOKUP($C254,INSUMOS!$A:$D,4,0),""))))</f>
        <v>3384.17</v>
      </c>
      <c r="H254" s="314">
        <f>IF($C254="","",IFERROR(VLOOKUP($C254,SERVIÇOS!$B:$G,5,0),IFERROR(VLOOKUP($C254,'COMPOSIÇÕES COMPLEMENTARES '!$D:$L,7,0),0)))</f>
        <v>396.32</v>
      </c>
      <c r="I254" s="314">
        <f t="shared" si="20"/>
        <v>3780.4900000000002</v>
      </c>
      <c r="J254" s="314">
        <f t="shared" si="21"/>
        <v>3384.17</v>
      </c>
      <c r="K254" s="314">
        <f t="shared" si="22"/>
        <v>396.32</v>
      </c>
      <c r="L254" s="948">
        <f t="shared" si="23"/>
        <v>3780.49</v>
      </c>
      <c r="M254" s="374">
        <f t="shared" si="24"/>
        <v>5115262.8500000024</v>
      </c>
      <c r="N254" s="375">
        <f>+M254/L$815</f>
        <v>0.90573417382042531</v>
      </c>
      <c r="O254" s="376" t="str">
        <f>IF(N254&lt;0.5,"A",IF(N254&gt;0.8,"C","B"))</f>
        <v>C</v>
      </c>
    </row>
    <row r="255" spans="1:35" ht="38.25" x14ac:dyDescent="0.25">
      <c r="A255" s="232">
        <f t="shared" si="19"/>
        <v>255</v>
      </c>
      <c r="B255" s="232"/>
      <c r="C255" s="310" t="s">
        <v>12197</v>
      </c>
      <c r="D255" s="373" t="str">
        <f>IF($C255="","",IFERROR(VLOOKUP($C255,SERVIÇOS!$B:$G,2,0),IFERROR(VLOOKUP($C255,'COMPOSIÇÕES COMPLEMENTARES '!$D:$L,2,0),IFERROR(VLOOKUP($C255,INSUMOS!$A:$D,2,0),""))))</f>
        <v>QD-1 - QUADRO DE DISTRIBUIÇÃO EM CHAPA DE AÇO 16USG, PINTURA EM EPÓXI COR BEGE, COM TRINCO, BARRAMENTOS EM COBRE, ESPELHO INTERNO C/ PLAQUETAS DE IDENTIFICAÇÃO EM ACRÍLICO PARA CADA CIRCUITO E PORTA PROJETO. DEVERÁ ATENDER O SOLICITADO NO DIAGRAMA UNIFILAR EM PROJETO.</v>
      </c>
      <c r="E255" s="312" t="str">
        <f>IF($C255="","",IFERROR(VLOOKUP($C255,SERVIÇOS!$B:$G,3,0),IFERROR(VLOOKUP($C255,'COMPOSIÇÕES COMPLEMENTARES '!$D:$L,3,0),IFERROR(VLOOKUP($C255,INSUMOS!$A:$D,3,0),""))))</f>
        <v>UN</v>
      </c>
      <c r="F255" s="313">
        <v>1</v>
      </c>
      <c r="G255" s="314">
        <f>IF($C255="","",IFERROR(VLOOKUP($C255,SERVIÇOS!$B:$G,4,0),IFERROR(VLOOKUP($C255,'COMPOSIÇÕES COMPLEMENTARES '!$D:$L,6,0),IFERROR(VLOOKUP($C255,INSUMOS!$A:$D,4,0),""))))</f>
        <v>3411.58</v>
      </c>
      <c r="H255" s="314">
        <f>IF($C255="","",IFERROR(VLOOKUP($C255,SERVIÇOS!$B:$G,5,0),IFERROR(VLOOKUP($C255,'COMPOSIÇÕES COMPLEMENTARES '!$D:$L,7,0),0)))</f>
        <v>348.09</v>
      </c>
      <c r="I255" s="314">
        <f t="shared" si="20"/>
        <v>3759.67</v>
      </c>
      <c r="J255" s="314">
        <f t="shared" si="21"/>
        <v>3411.58</v>
      </c>
      <c r="K255" s="314">
        <f t="shared" si="22"/>
        <v>348.09</v>
      </c>
      <c r="L255" s="948">
        <f t="shared" si="23"/>
        <v>3759.67</v>
      </c>
      <c r="M255" s="374">
        <f t="shared" si="24"/>
        <v>5119022.5200000023</v>
      </c>
      <c r="N255" s="375">
        <f>+M255/L$815</f>
        <v>0.90639987990457838</v>
      </c>
      <c r="O255" s="376" t="str">
        <f>IF(N255&lt;0.5,"A",IF(N255&gt;0.8,"C","B"))</f>
        <v>C</v>
      </c>
    </row>
    <row r="256" spans="1:35" ht="38.25" x14ac:dyDescent="0.25">
      <c r="A256" s="232">
        <f t="shared" si="19"/>
        <v>256</v>
      </c>
      <c r="B256" s="232"/>
      <c r="C256" s="310" t="s">
        <v>12226</v>
      </c>
      <c r="D256" s="373" t="str">
        <f>IF($C256="","",IFERROR(VLOOKUP($C256,SERVIÇOS!$B:$G,2,0),IFERROR(VLOOKUP($C256,'COMPOSIÇÕES COMPLEMENTARES '!$D:$L,2,0),IFERROR(VLOOKUP($C256,INSUMOS!$A:$D,2,0),""))))</f>
        <v>QD-2 - QUADRO DE DISTRIBUIÇÃO EM CHAPA DE AÇO 16USG, PINTURA EM EPÓXI COR BEGE, COM TRINCO, BARRAMENTOS EM COBRE, ESPELHO INTERNO C/ PLAQUETAS DE IDENTIFICAÇÃO EM ACRÍLICO PARA CADA CIRCUITO E PORTA PROJETO. DEVERÁ ATENDER O SOLICITADO NO DIAGRAMA UNIFILAR EM PROJETO.</v>
      </c>
      <c r="E256" s="312" t="str">
        <f>IF($C256="","",IFERROR(VLOOKUP($C256,SERVIÇOS!$B:$G,3,0),IFERROR(VLOOKUP($C256,'COMPOSIÇÕES COMPLEMENTARES '!$D:$L,3,0),IFERROR(VLOOKUP($C256,INSUMOS!$A:$D,3,0),""))))</f>
        <v>UN</v>
      </c>
      <c r="F256" s="313">
        <v>1</v>
      </c>
      <c r="G256" s="314">
        <f>IF($C256="","",IFERROR(VLOOKUP($C256,SERVIÇOS!$B:$G,4,0),IFERROR(VLOOKUP($C256,'COMPOSIÇÕES COMPLEMENTARES '!$D:$L,6,0),IFERROR(VLOOKUP($C256,INSUMOS!$A:$D,4,0),""))))</f>
        <v>3411.58</v>
      </c>
      <c r="H256" s="314">
        <f>IF($C256="","",IFERROR(VLOOKUP($C256,SERVIÇOS!$B:$G,5,0),IFERROR(VLOOKUP($C256,'COMPOSIÇÕES COMPLEMENTARES '!$D:$L,7,0),0)))</f>
        <v>348.09</v>
      </c>
      <c r="I256" s="314">
        <f t="shared" si="20"/>
        <v>3759.67</v>
      </c>
      <c r="J256" s="314">
        <f t="shared" si="21"/>
        <v>3411.58</v>
      </c>
      <c r="K256" s="314">
        <f t="shared" si="22"/>
        <v>348.09</v>
      </c>
      <c r="L256" s="948">
        <f t="shared" si="23"/>
        <v>3759.67</v>
      </c>
      <c r="M256" s="374">
        <f t="shared" si="24"/>
        <v>5122782.1900000023</v>
      </c>
      <c r="N256" s="375">
        <f>+M256/L$815</f>
        <v>0.90706558598873144</v>
      </c>
      <c r="O256" s="376" t="str">
        <f>IF(N256&lt;0.5,"A",IF(N256&gt;0.8,"C","B"))</f>
        <v>C</v>
      </c>
    </row>
    <row r="257" spans="1:35" ht="38.25" x14ac:dyDescent="0.25">
      <c r="A257" s="232">
        <f t="shared" si="19"/>
        <v>257</v>
      </c>
      <c r="B257" s="232"/>
      <c r="C257" s="310" t="s">
        <v>12237</v>
      </c>
      <c r="D257" s="373" t="str">
        <f>IF($C257="","",IFERROR(VLOOKUP($C257,SERVIÇOS!$B:$G,2,0),IFERROR(VLOOKUP($C257,'COMPOSIÇÕES COMPLEMENTARES '!$D:$L,2,0),IFERROR(VLOOKUP($C257,INSUMOS!$A:$D,2,0),""))))</f>
        <v>QD-3 - QUADRO DE DISTRIBUIÇÃO EM CHAPA DE AÇO 16USG, PINTURA EM EPÓXI COR BEGE, COM TRINCO, BARRAMENTOS EM COBRE, ESPELHO INTERNO C/ PLAQUETAS DE IDENTIFICAÇÃO EM ACRÍLICO PARA CADA CIRCUITO E PORTA PROJETO. DEVERÁ ATENDER O SOLICITADO NO DIAGRAMA UNIFILAR EM PROJETO.</v>
      </c>
      <c r="E257" s="312" t="str">
        <f>IF($C257="","",IFERROR(VLOOKUP($C257,SERVIÇOS!$B:$G,3,0),IFERROR(VLOOKUP($C257,'COMPOSIÇÕES COMPLEMENTARES '!$D:$L,3,0),IFERROR(VLOOKUP($C257,INSUMOS!$A:$D,3,0),""))))</f>
        <v>UN</v>
      </c>
      <c r="F257" s="313">
        <v>1</v>
      </c>
      <c r="G257" s="314">
        <f>IF($C257="","",IFERROR(VLOOKUP($C257,SERVIÇOS!$B:$G,4,0),IFERROR(VLOOKUP($C257,'COMPOSIÇÕES COMPLEMENTARES '!$D:$L,6,0),IFERROR(VLOOKUP($C257,INSUMOS!$A:$D,4,0),""))))</f>
        <v>3411.58</v>
      </c>
      <c r="H257" s="314">
        <f>IF($C257="","",IFERROR(VLOOKUP($C257,SERVIÇOS!$B:$G,5,0),IFERROR(VLOOKUP($C257,'COMPOSIÇÕES COMPLEMENTARES '!$D:$L,7,0),0)))</f>
        <v>348.09</v>
      </c>
      <c r="I257" s="314">
        <f t="shared" si="20"/>
        <v>3759.67</v>
      </c>
      <c r="J257" s="314">
        <f t="shared" si="21"/>
        <v>3411.58</v>
      </c>
      <c r="K257" s="314">
        <f t="shared" si="22"/>
        <v>348.09</v>
      </c>
      <c r="L257" s="948">
        <f t="shared" si="23"/>
        <v>3759.67</v>
      </c>
      <c r="M257" s="374">
        <f t="shared" si="24"/>
        <v>5126541.8600000022</v>
      </c>
      <c r="N257" s="375">
        <f>+M257/L$815</f>
        <v>0.90773129207288461</v>
      </c>
      <c r="O257" s="376" t="str">
        <f>IF(N257&lt;0.5,"A",IF(N257&gt;0.8,"C","B"))</f>
        <v>C</v>
      </c>
    </row>
    <row r="258" spans="1:35" ht="38.25" x14ac:dyDescent="0.25">
      <c r="A258" s="232">
        <f t="shared" si="19"/>
        <v>258</v>
      </c>
      <c r="B258" s="232"/>
      <c r="C258" s="310" t="s">
        <v>12274</v>
      </c>
      <c r="D258" s="373" t="str">
        <f>IF($C258="","",IFERROR(VLOOKUP($C258,SERVIÇOS!$B:$G,2,0),IFERROR(VLOOKUP($C258,'COMPOSIÇÕES COMPLEMENTARES '!$D:$L,2,0),IFERROR(VLOOKUP($C258,INSUMOS!$A:$D,2,0),""))))</f>
        <v>QD-AC-1 - QUADRO DE DISTRIBUIÇÃO EM CHAPA DE AÇO 16USG, PINTURA EM EPÓXI COR BEGE, COM TRINCO, BARRAMENTOS EM COBRE, ESPELHO INTERNO C/ PLAQUETAS DE IDENTIFICAÇÃO EM ACRÍLICO PARA CADA CIRCUITO E PORTA PROJETO. DEVERÁ ATENDER O SOLICITADO NO DIAGRAMA UNIFILAR EM PROJETO.</v>
      </c>
      <c r="E258" s="312" t="str">
        <f>IF($C258="","",IFERROR(VLOOKUP($C258,SERVIÇOS!$B:$G,3,0),IFERROR(VLOOKUP($C258,'COMPOSIÇÕES COMPLEMENTARES '!$D:$L,3,0),IFERROR(VLOOKUP($C258,INSUMOS!$A:$D,3,0),""))))</f>
        <v>UN</v>
      </c>
      <c r="F258" s="313">
        <v>1</v>
      </c>
      <c r="G258" s="314">
        <f>IF($C258="","",IFERROR(VLOOKUP($C258,SERVIÇOS!$B:$G,4,0),IFERROR(VLOOKUP($C258,'COMPOSIÇÕES COMPLEMENTARES '!$D:$L,6,0),IFERROR(VLOOKUP($C258,INSUMOS!$A:$D,4,0),""))))</f>
        <v>3411.58</v>
      </c>
      <c r="H258" s="314">
        <f>IF($C258="","",IFERROR(VLOOKUP($C258,SERVIÇOS!$B:$G,5,0),IFERROR(VLOOKUP($C258,'COMPOSIÇÕES COMPLEMENTARES '!$D:$L,7,0),0)))</f>
        <v>348.09</v>
      </c>
      <c r="I258" s="314">
        <f t="shared" si="20"/>
        <v>3759.67</v>
      </c>
      <c r="J258" s="314">
        <f t="shared" si="21"/>
        <v>3411.58</v>
      </c>
      <c r="K258" s="314">
        <f t="shared" si="22"/>
        <v>348.09</v>
      </c>
      <c r="L258" s="948">
        <f t="shared" si="23"/>
        <v>3759.67</v>
      </c>
      <c r="M258" s="374">
        <f t="shared" si="24"/>
        <v>5130301.5300000021</v>
      </c>
      <c r="N258" s="375">
        <f>+M258/L$815</f>
        <v>0.90839699815703767</v>
      </c>
      <c r="O258" s="376" t="str">
        <f>IF(N258&lt;0.5,"A",IF(N258&gt;0.8,"C","B"))</f>
        <v>C</v>
      </c>
    </row>
    <row r="259" spans="1:35" x14ac:dyDescent="0.25">
      <c r="A259" s="232">
        <f t="shared" si="19"/>
        <v>259</v>
      </c>
      <c r="B259" s="232"/>
      <c r="C259" s="310" t="s">
        <v>12043</v>
      </c>
      <c r="D259" s="373" t="str">
        <f>IF($C259="","",IFERROR(VLOOKUP($C259,SERVIÇOS!$B:$G,2,0),IFERROR(VLOOKUP($C259,'COMPOSIÇÕES COMPLEMENTARES '!$D:$L,2,0),IFERROR(VLOOKUP($C259,INSUMOS!$A:$D,2,0),""))))</f>
        <v xml:space="preserve">PORTA/PORTÃO EM FERRO GALVANIZADO, 1 OU 2 FOLHAS, EM TUBO DE AÇO GALVANIZADO 2" E TELA ARAME GALVANIZADO </v>
      </c>
      <c r="E259" s="312" t="str">
        <f>IF($C259="","",IFERROR(VLOOKUP($C259,SERVIÇOS!$B:$G,3,0),IFERROR(VLOOKUP($C259,'COMPOSIÇÕES COMPLEMENTARES '!$D:$L,3,0),IFERROR(VLOOKUP($C259,INSUMOS!$A:$D,3,0),""))))</f>
        <v>M2</v>
      </c>
      <c r="F259" s="313">
        <v>4.2</v>
      </c>
      <c r="G259" s="314">
        <f>IF($C259="","",IFERROR(VLOOKUP($C259,SERVIÇOS!$B:$G,4,0),IFERROR(VLOOKUP($C259,'COMPOSIÇÕES COMPLEMENTARES '!$D:$L,6,0),IFERROR(VLOOKUP($C259,INSUMOS!$A:$D,4,0),""))))</f>
        <v>818.66</v>
      </c>
      <c r="H259" s="314">
        <f>IF($C259="","",IFERROR(VLOOKUP($C259,SERVIÇOS!$B:$G,5,0),IFERROR(VLOOKUP($C259,'COMPOSIÇÕES COMPLEMENTARES '!$D:$L,7,0),0)))</f>
        <v>66.650000000000006</v>
      </c>
      <c r="I259" s="314">
        <f t="shared" si="20"/>
        <v>885.31</v>
      </c>
      <c r="J259" s="314">
        <f t="shared" si="21"/>
        <v>3438.37</v>
      </c>
      <c r="K259" s="314">
        <f t="shared" si="22"/>
        <v>279.93</v>
      </c>
      <c r="L259" s="948">
        <f t="shared" si="23"/>
        <v>3718.3</v>
      </c>
      <c r="M259" s="374">
        <f t="shared" si="24"/>
        <v>5134019.8300000019</v>
      </c>
      <c r="N259" s="375">
        <f>+M259/L$815</f>
        <v>0.90905537906086875</v>
      </c>
      <c r="O259" s="376" t="str">
        <f>IF(N259&lt;0.5,"A",IF(N259&gt;0.8,"C","B"))</f>
        <v>C</v>
      </c>
    </row>
    <row r="260" spans="1:35" x14ac:dyDescent="0.25">
      <c r="A260" s="232">
        <f t="shared" si="19"/>
        <v>260</v>
      </c>
      <c r="B260" s="232"/>
      <c r="C260" s="310">
        <v>98302</v>
      </c>
      <c r="D260" s="373" t="str">
        <f>IF($C260="","",IFERROR(VLOOKUP($C260,SERVIÇOS!$B:$G,2,0),IFERROR(VLOOKUP($C260,'COMPOSIÇÕES COMPLEMENTARES '!$D:$L,2,0),IFERROR(VLOOKUP($C260,INSUMOS!$A:$D,2,0),""))))</f>
        <v>PATCH PANEL 24 PORTAS, CATEGORIA 6 - FORNECIMENTO E INSTALAÇÃO. AF_11/2019</v>
      </c>
      <c r="E260" s="312" t="str">
        <f>IF($C260="","",IFERROR(VLOOKUP($C260,SERVIÇOS!$B:$G,3,0),IFERROR(VLOOKUP($C260,'COMPOSIÇÕES COMPLEMENTARES '!$D:$L,3,0),IFERROR(VLOOKUP($C260,INSUMOS!$A:$D,3,0),""))))</f>
        <v>UN</v>
      </c>
      <c r="F260" s="313">
        <v>3</v>
      </c>
      <c r="G260" s="314">
        <f>IF($C260="","",IFERROR(VLOOKUP($C260,SERVIÇOS!$B:$G,4,0),IFERROR(VLOOKUP($C260,'COMPOSIÇÕES COMPLEMENTARES '!$D:$L,6,0),IFERROR(VLOOKUP($C260,INSUMOS!$A:$D,4,0),""))))</f>
        <v>932.02</v>
      </c>
      <c r="H260" s="314">
        <f>IF($C260="","",IFERROR(VLOOKUP($C260,SERVIÇOS!$B:$G,5,0),IFERROR(VLOOKUP($C260,'COMPOSIÇÕES COMPLEMENTARES '!$D:$L,7,0),0)))</f>
        <v>307.2</v>
      </c>
      <c r="I260" s="314">
        <f t="shared" si="20"/>
        <v>1239.22</v>
      </c>
      <c r="J260" s="314">
        <f t="shared" si="21"/>
        <v>2796.06</v>
      </c>
      <c r="K260" s="314">
        <f t="shared" si="22"/>
        <v>921.6</v>
      </c>
      <c r="L260" s="948">
        <f t="shared" si="23"/>
        <v>3717.66</v>
      </c>
      <c r="M260" s="374">
        <f t="shared" si="24"/>
        <v>5137737.4900000021</v>
      </c>
      <c r="N260" s="375">
        <f>+M260/L$815</f>
        <v>0.90971364664308019</v>
      </c>
      <c r="O260" s="376" t="str">
        <f>IF(N260&lt;0.5,"A",IF(N260&gt;0.8,"C","B"))</f>
        <v>C</v>
      </c>
    </row>
    <row r="261" spans="1:35" x14ac:dyDescent="0.25">
      <c r="A261" s="232">
        <f t="shared" si="19"/>
        <v>261</v>
      </c>
      <c r="B261" s="232"/>
      <c r="C261" s="310" t="s">
        <v>12026</v>
      </c>
      <c r="D261" s="373" t="str">
        <f>IF($C261="","",IFERROR(VLOOKUP($C261,SERVIÇOS!$B:$G,2,0),IFERROR(VLOOKUP($C261,'COMPOSIÇÕES COMPLEMENTARES '!$D:$L,2,0),IFERROR(VLOOKUP($C261,INSUMOS!$A:$D,2,0),""))))</f>
        <v>PORTA COMPLETA DE MADEIRA, 01 FOLHA DE ABRIR, 90X210CM, COM VISOR, COM PROTEÇÃO CHUMBO</v>
      </c>
      <c r="E261" s="312" t="str">
        <f>IF($C261="","",IFERROR(VLOOKUP($C261,SERVIÇOS!$B:$G,3,0),IFERROR(VLOOKUP($C261,'COMPOSIÇÕES COMPLEMENTARES '!$D:$L,3,0),IFERROR(VLOOKUP($C261,INSUMOS!$A:$D,3,0),""))))</f>
        <v>UN</v>
      </c>
      <c r="F261" s="313">
        <v>1</v>
      </c>
      <c r="G261" s="314">
        <f>IF($C261="","",IFERROR(VLOOKUP($C261,SERVIÇOS!$B:$G,4,0),IFERROR(VLOOKUP($C261,'COMPOSIÇÕES COMPLEMENTARES '!$D:$L,6,0),IFERROR(VLOOKUP($C261,INSUMOS!$A:$D,4,0),""))))</f>
        <v>3520.05</v>
      </c>
      <c r="H261" s="314">
        <f>IF($C261="","",IFERROR(VLOOKUP($C261,SERVIÇOS!$B:$G,5,0),IFERROR(VLOOKUP($C261,'COMPOSIÇÕES COMPLEMENTARES '!$D:$L,7,0),0)))</f>
        <v>182.47</v>
      </c>
      <c r="I261" s="314">
        <f t="shared" si="20"/>
        <v>3702.52</v>
      </c>
      <c r="J261" s="314">
        <f t="shared" si="21"/>
        <v>3520.05</v>
      </c>
      <c r="K261" s="314">
        <f t="shared" si="22"/>
        <v>182.47</v>
      </c>
      <c r="L261" s="948">
        <f t="shared" si="23"/>
        <v>3702.52</v>
      </c>
      <c r="M261" s="374">
        <f t="shared" si="24"/>
        <v>5141440.0100000016</v>
      </c>
      <c r="N261" s="375">
        <f>+M261/L$815</f>
        <v>0.91036923346072596</v>
      </c>
      <c r="O261" s="376" t="str">
        <f>IF(N261&lt;0.5,"A",IF(N261&gt;0.8,"C","B"))</f>
        <v>C</v>
      </c>
    </row>
    <row r="262" spans="1:35" ht="25.5" x14ac:dyDescent="0.25">
      <c r="A262" s="232">
        <f t="shared" si="19"/>
        <v>262</v>
      </c>
      <c r="B262" s="232"/>
      <c r="C262" s="310">
        <v>100757</v>
      </c>
      <c r="D262" s="373" t="str">
        <f>IF($C262="","",IFERROR(VLOOKUP($C262,SERVIÇOS!$B:$G,2,0),IFERROR(VLOOKUP($C262,'COMPOSIÇÕES COMPLEMENTARES '!$D:$L,2,0),IFERROR(VLOOKUP($C262,INSUMOS!$A:$D,2,0),""))))</f>
        <v>PINTURA COM TINTA ALQUÍDICA DE ACABAMENTO (ESMALTE SINTÉTICO ACETINADO) PULVERIZADA SOBRE SUPERFÍCIES METÁLICAS (EXCETO PERFIL) EXECUTADO EM OBRA (02 DEMÃOS). AF_01/2020_PE</v>
      </c>
      <c r="E262" s="312" t="str">
        <f>IF($C262="","",IFERROR(VLOOKUP($C262,SERVIÇOS!$B:$G,3,0),IFERROR(VLOOKUP($C262,'COMPOSIÇÕES COMPLEMENTARES '!$D:$L,3,0),IFERROR(VLOOKUP($C262,INSUMOS!$A:$D,3,0),""))))</f>
        <v>M2</v>
      </c>
      <c r="F262" s="313">
        <v>62.4</v>
      </c>
      <c r="G262" s="314">
        <f>IF($C262="","",IFERROR(VLOOKUP($C262,SERVIÇOS!$B:$G,4,0),IFERROR(VLOOKUP($C262,'COMPOSIÇÕES COMPLEMENTARES '!$D:$L,6,0),IFERROR(VLOOKUP($C262,INSUMOS!$A:$D,4,0),""))))</f>
        <v>30.1</v>
      </c>
      <c r="H262" s="314">
        <f>IF($C262="","",IFERROR(VLOOKUP($C262,SERVIÇOS!$B:$G,5,0),IFERROR(VLOOKUP($C262,'COMPOSIÇÕES COMPLEMENTARES '!$D:$L,7,0),0)))</f>
        <v>28.89</v>
      </c>
      <c r="I262" s="314">
        <f t="shared" si="20"/>
        <v>58.99</v>
      </c>
      <c r="J262" s="314">
        <f t="shared" si="21"/>
        <v>1878.24</v>
      </c>
      <c r="K262" s="314">
        <f t="shared" si="22"/>
        <v>1802.73</v>
      </c>
      <c r="L262" s="948">
        <f t="shared" si="23"/>
        <v>3680.97</v>
      </c>
      <c r="M262" s="374">
        <f t="shared" si="24"/>
        <v>5145120.9800000014</v>
      </c>
      <c r="N262" s="375">
        <f>+M262/L$815</f>
        <v>0.91102100452695911</v>
      </c>
      <c r="O262" s="376" t="str">
        <f>IF(N262&lt;0.5,"A",IF(N262&gt;0.8,"C","B"))</f>
        <v>C</v>
      </c>
    </row>
    <row r="263" spans="1:35" x14ac:dyDescent="0.25">
      <c r="A263" s="232">
        <f t="shared" si="19"/>
        <v>263</v>
      </c>
      <c r="B263" s="232"/>
      <c r="C263" s="310" t="s">
        <v>12500</v>
      </c>
      <c r="D263" s="373" t="str">
        <f>IF($C263="","",IFERROR(VLOOKUP($C263,SERVIÇOS!$B:$G,2,0),IFERROR(VLOOKUP($C263,'COMPOSIÇÕES COMPLEMENTARES '!$D:$L,2,0),IFERROR(VLOOKUP($C263,INSUMOS!$A:$D,2,0),""))))</f>
        <v>LIMPEZA FINAL DA OBRA</v>
      </c>
      <c r="E263" s="312" t="str">
        <f>IF($C263="","",IFERROR(VLOOKUP($C263,SERVIÇOS!$B:$G,3,0),IFERROR(VLOOKUP($C263,'COMPOSIÇÕES COMPLEMENTARES '!$D:$L,3,0),IFERROR(VLOOKUP($C263,INSUMOS!$A:$D,3,0),""))))</f>
        <v>M2</v>
      </c>
      <c r="F263" s="313">
        <v>755.45</v>
      </c>
      <c r="G263" s="314">
        <f>IF($C263="","",IFERROR(VLOOKUP($C263,SERVIÇOS!$B:$G,4,0),IFERROR(VLOOKUP($C263,'COMPOSIÇÕES COMPLEMENTARES '!$D:$L,6,0),IFERROR(VLOOKUP($C263,INSUMOS!$A:$D,4,0),""))))</f>
        <v>2.0099999999999998</v>
      </c>
      <c r="H263" s="314">
        <f>IF($C263="","",IFERROR(VLOOKUP($C263,SERVIÇOS!$B:$G,5,0),IFERROR(VLOOKUP($C263,'COMPOSIÇÕES COMPLEMENTARES '!$D:$L,7,0),0)))</f>
        <v>2.73</v>
      </c>
      <c r="I263" s="314">
        <f t="shared" si="20"/>
        <v>4.74</v>
      </c>
      <c r="J263" s="314">
        <f t="shared" si="21"/>
        <v>1518.45</v>
      </c>
      <c r="K263" s="314">
        <f t="shared" si="22"/>
        <v>2062.37</v>
      </c>
      <c r="L263" s="948">
        <f t="shared" si="23"/>
        <v>3580.82</v>
      </c>
      <c r="M263" s="374">
        <f t="shared" si="24"/>
        <v>5148701.8000000017</v>
      </c>
      <c r="N263" s="375">
        <f>+M263/L$815</f>
        <v>0.911655042530363</v>
      </c>
      <c r="O263" s="376" t="str">
        <f>IF(N263&lt;0.5,"A",IF(N263&gt;0.8,"C","B"))</f>
        <v>C</v>
      </c>
    </row>
    <row r="264" spans="1:35" x14ac:dyDescent="0.25">
      <c r="A264" s="232">
        <f t="shared" si="19"/>
        <v>264</v>
      </c>
      <c r="B264" s="232"/>
      <c r="C264" s="310">
        <v>93358</v>
      </c>
      <c r="D264" s="373" t="str">
        <f>IF($C264="","",IFERROR(VLOOKUP($C264,SERVIÇOS!$B:$G,2,0),IFERROR(VLOOKUP($C264,'COMPOSIÇÕES COMPLEMENTARES '!$D:$L,2,0),IFERROR(VLOOKUP($C264,INSUMOS!$A:$D,2,0),""))))</f>
        <v>ESCAVAÇÃO MANUAL DE VALA. AF_09/2024</v>
      </c>
      <c r="E264" s="312" t="str">
        <f>IF($C264="","",IFERROR(VLOOKUP($C264,SERVIÇOS!$B:$G,3,0),IFERROR(VLOOKUP($C264,'COMPOSIÇÕES COMPLEMENTARES '!$D:$L,3,0),IFERROR(VLOOKUP($C264,INSUMOS!$A:$D,3,0),""))))</f>
        <v>M3</v>
      </c>
      <c r="F264" s="313">
        <v>31.5</v>
      </c>
      <c r="G264" s="314">
        <f>IF($C264="","",IFERROR(VLOOKUP($C264,SERVIÇOS!$B:$G,4,0),IFERROR(VLOOKUP($C264,'COMPOSIÇÕES COMPLEMENTARES '!$D:$L,6,0),IFERROR(VLOOKUP($C264,INSUMOS!$A:$D,4,0),""))))</f>
        <v>36.369999999999997</v>
      </c>
      <c r="H264" s="314">
        <f>IF($C264="","",IFERROR(VLOOKUP($C264,SERVIÇOS!$B:$G,5,0),IFERROR(VLOOKUP($C264,'COMPOSIÇÕES COMPLEMENTARES '!$D:$L,7,0),0)))</f>
        <v>77.2</v>
      </c>
      <c r="I264" s="314">
        <f t="shared" si="20"/>
        <v>113.57</v>
      </c>
      <c r="J264" s="314">
        <f t="shared" si="21"/>
        <v>1145.6500000000001</v>
      </c>
      <c r="K264" s="314">
        <f t="shared" si="22"/>
        <v>2431.8000000000002</v>
      </c>
      <c r="L264" s="948">
        <f t="shared" si="23"/>
        <v>3577.45</v>
      </c>
      <c r="M264" s="374">
        <f t="shared" si="24"/>
        <v>5152279.2500000019</v>
      </c>
      <c r="N264" s="375">
        <f>+M264/L$815</f>
        <v>0.91228848382461325</v>
      </c>
      <c r="O264" s="376" t="str">
        <f>IF(N264&lt;0.5,"A",IF(N264&gt;0.8,"C","B"))</f>
        <v>C</v>
      </c>
    </row>
    <row r="265" spans="1:35" x14ac:dyDescent="0.25">
      <c r="A265" s="232">
        <f t="shared" si="19"/>
        <v>265</v>
      </c>
      <c r="B265" s="232"/>
      <c r="C265" s="310">
        <v>96135</v>
      </c>
      <c r="D265" s="373" t="str">
        <f>IF($C265="","",IFERROR(VLOOKUP($C265,SERVIÇOS!$B:$G,2,0),IFERROR(VLOOKUP($C265,'COMPOSIÇÕES COMPLEMENTARES '!$D:$L,2,0),IFERROR(VLOOKUP($C265,INSUMOS!$A:$D,2,0),""))))</f>
        <v>APLICAÇÃO MANUAL DE MASSA ACRÍLICA EM PAREDES EXTERNAS DE CASAS, DUAS DEMÃOS. AF_03/2024</v>
      </c>
      <c r="E265" s="312" t="str">
        <f>IF($C265="","",IFERROR(VLOOKUP($C265,SERVIÇOS!$B:$G,3,0),IFERROR(VLOOKUP($C265,'COMPOSIÇÕES COMPLEMENTARES '!$D:$L,3,0),IFERROR(VLOOKUP($C265,INSUMOS!$A:$D,3,0),""))))</f>
        <v>M2</v>
      </c>
      <c r="F265" s="313">
        <v>92.87</v>
      </c>
      <c r="G265" s="314">
        <f>IF($C265="","",IFERROR(VLOOKUP($C265,SERVIÇOS!$B:$G,4,0),IFERROR(VLOOKUP($C265,'COMPOSIÇÕES COMPLEMENTARES '!$D:$L,6,0),IFERROR(VLOOKUP($C265,INSUMOS!$A:$D,4,0),""))))</f>
        <v>19.07</v>
      </c>
      <c r="H265" s="314">
        <f>IF($C265="","",IFERROR(VLOOKUP($C265,SERVIÇOS!$B:$G,5,0),IFERROR(VLOOKUP($C265,'COMPOSIÇÕES COMPLEMENTARES '!$D:$L,7,0),0)))</f>
        <v>19.43</v>
      </c>
      <c r="I265" s="314">
        <f t="shared" si="20"/>
        <v>38.5</v>
      </c>
      <c r="J265" s="314">
        <f t="shared" si="21"/>
        <v>1771.03</v>
      </c>
      <c r="K265" s="314">
        <f t="shared" si="22"/>
        <v>1804.46</v>
      </c>
      <c r="L265" s="948">
        <f t="shared" si="23"/>
        <v>3575.49</v>
      </c>
      <c r="M265" s="374">
        <f t="shared" si="24"/>
        <v>5155854.7400000021</v>
      </c>
      <c r="N265" s="375">
        <f>+M265/L$815</f>
        <v>0.91292157807140317</v>
      </c>
      <c r="O265" s="376" t="str">
        <f>IF(N265&lt;0.5,"A",IF(N265&gt;0.8,"C","B"))</f>
        <v>C</v>
      </c>
    </row>
    <row r="266" spans="1:35" ht="25.5" x14ac:dyDescent="0.25">
      <c r="A266" s="232">
        <f t="shared" ref="A266:A329" si="25">1+A265</f>
        <v>266</v>
      </c>
      <c r="B266" s="232"/>
      <c r="C266" s="310">
        <v>92761</v>
      </c>
      <c r="D266" s="373" t="str">
        <f>IF($C266="","",IFERROR(VLOOKUP($C266,SERVIÇOS!$B:$G,2,0),IFERROR(VLOOKUP($C266,'COMPOSIÇÕES COMPLEMENTARES '!$D:$L,2,0),IFERROR(VLOOKUP($C266,INSUMOS!$A:$D,2,0),""))))</f>
        <v>ARMAÇÃO DE PILAR OU VIGA DE ESTRUTURA CONVENCIONAL DE CONCRETO ARMADO UTILIZANDO AÇO CA-50 DE 8,0 MM - MONTAGEM. AF_06/2022</v>
      </c>
      <c r="E266" s="312" t="str">
        <f>IF($C266="","",IFERROR(VLOOKUP($C266,SERVIÇOS!$B:$G,3,0),IFERROR(VLOOKUP($C266,'COMPOSIÇÕES COMPLEMENTARES '!$D:$L,3,0),IFERROR(VLOOKUP($C266,INSUMOS!$A:$D,3,0),""))))</f>
        <v>KG</v>
      </c>
      <c r="F266" s="313">
        <v>274.81</v>
      </c>
      <c r="G266" s="314">
        <f>IF($C266="","",IFERROR(VLOOKUP($C266,SERVIÇOS!$B:$G,4,0),IFERROR(VLOOKUP($C266,'COMPOSIÇÕES COMPLEMENTARES '!$D:$L,6,0),IFERROR(VLOOKUP($C266,INSUMOS!$A:$D,4,0),""))))</f>
        <v>10.68</v>
      </c>
      <c r="H266" s="314">
        <f>IF($C266="","",IFERROR(VLOOKUP($C266,SERVIÇOS!$B:$G,5,0),IFERROR(VLOOKUP($C266,'COMPOSIÇÕES COMPLEMENTARES '!$D:$L,7,0),0)))</f>
        <v>2.21</v>
      </c>
      <c r="I266" s="314">
        <f t="shared" ref="I266:I329" si="26">IF(F266="","",G266+H266)</f>
        <v>12.89</v>
      </c>
      <c r="J266" s="314">
        <f t="shared" ref="J266:J329" si="27">IF(F266="","",TRUNC((F266*G266),2))</f>
        <v>2934.97</v>
      </c>
      <c r="K266" s="314">
        <f t="shared" ref="K266:K329" si="28">IF(F266="","",TRUNC((F266*H266),2))</f>
        <v>607.33000000000004</v>
      </c>
      <c r="L266" s="948">
        <f t="shared" ref="L266:L329" si="29">IF(F266="","",TRUNC((J266+K266),2))</f>
        <v>3542.3</v>
      </c>
      <c r="M266" s="374">
        <f t="shared" si="24"/>
        <v>5159397.0400000019</v>
      </c>
      <c r="N266" s="375">
        <f>+M266/L$815</f>
        <v>0.91354879552982249</v>
      </c>
      <c r="O266" s="376" t="str">
        <f>IF(N266&lt;0.5,"A",IF(N266&gt;0.8,"C","B"))</f>
        <v>C</v>
      </c>
    </row>
    <row r="267" spans="1:35" ht="25.5" x14ac:dyDescent="0.25">
      <c r="A267" s="232">
        <f t="shared" si="25"/>
        <v>267</v>
      </c>
      <c r="B267" s="232"/>
      <c r="C267" s="310" t="s">
        <v>12208</v>
      </c>
      <c r="D267" s="373" t="str">
        <f>IF($C267="","",IFERROR(VLOOKUP($C267,SERVIÇOS!$B:$G,2,0),IFERROR(VLOOKUP($C267,'COMPOSIÇÕES COMPLEMENTARES '!$D:$L,2,0),IFERROR(VLOOKUP($C267,INSUMOS!$A:$D,2,0),""))))</f>
        <v>LUMINÁRIA QUADRADA TIPO PLACA DE LED 30X30 CM DE EMBUTIR, 24W/127V - 1700 LM - 4000K - STH9954Q/40 - BIVOLT - STELLA OU SIMILAR.</v>
      </c>
      <c r="E267" s="312" t="str">
        <f>IF($C267="","",IFERROR(VLOOKUP($C267,SERVIÇOS!$B:$G,3,0),IFERROR(VLOOKUP($C267,'COMPOSIÇÕES COMPLEMENTARES '!$D:$L,3,0),IFERROR(VLOOKUP($C267,INSUMOS!$A:$D,3,0),""))))</f>
        <v>UN</v>
      </c>
      <c r="F267" s="313">
        <v>27</v>
      </c>
      <c r="G267" s="314">
        <f>IF($C267="","",IFERROR(VLOOKUP($C267,SERVIÇOS!$B:$G,4,0),IFERROR(VLOOKUP($C267,'COMPOSIÇÕES COMPLEMENTARES '!$D:$L,6,0),IFERROR(VLOOKUP($C267,INSUMOS!$A:$D,4,0),""))))</f>
        <v>87.24</v>
      </c>
      <c r="H267" s="314">
        <f>IF($C267="","",IFERROR(VLOOKUP($C267,SERVIÇOS!$B:$G,5,0),IFERROR(VLOOKUP($C267,'COMPOSIÇÕES COMPLEMENTARES '!$D:$L,7,0),0)))</f>
        <v>43.89</v>
      </c>
      <c r="I267" s="314">
        <f t="shared" si="26"/>
        <v>131.13</v>
      </c>
      <c r="J267" s="314">
        <f t="shared" si="27"/>
        <v>2355.48</v>
      </c>
      <c r="K267" s="314">
        <f t="shared" si="28"/>
        <v>1185.03</v>
      </c>
      <c r="L267" s="948">
        <f t="shared" si="29"/>
        <v>3540.51</v>
      </c>
      <c r="M267" s="374">
        <f t="shared" ref="M267:M330" si="30">+L267+M266</f>
        <v>5162937.5500000017</v>
      </c>
      <c r="N267" s="375">
        <f>+M267/L$815</f>
        <v>0.91417569604183679</v>
      </c>
      <c r="O267" s="376" t="str">
        <f>IF(N267&lt;0.5,"A",IF(N267&gt;0.8,"C","B"))</f>
        <v>C</v>
      </c>
    </row>
    <row r="268" spans="1:35" ht="25.5" x14ac:dyDescent="0.25">
      <c r="A268" s="232">
        <f t="shared" si="25"/>
        <v>268</v>
      </c>
      <c r="B268" s="232"/>
      <c r="C268" s="310" t="s">
        <v>12602</v>
      </c>
      <c r="D268" s="373" t="str">
        <f>IF($C268="","",IFERROR(VLOOKUP($C268,SERVIÇOS!$B:$G,2,0),IFERROR(VLOOKUP($C268,'COMPOSIÇÕES COMPLEMENTARES '!$D:$L,2,0),IFERROR(VLOOKUP($C268,INSUMOS!$A:$D,2,0),""))))</f>
        <v>VENTILADOR COMPACTO AXIAL PARA INSTALAÇÃO EM FORRO - VAZÃO 180M3/H - 220V - 32W - 60HZ. REFERÊNCIA: SICFLUX MEGA 18 OU OUTRO EQUIVALENTE (MULTIVAC). FORNECIMENTO E INSTALAÇÃO</v>
      </c>
      <c r="E268" s="312" t="str">
        <f>IF($C268="","",IFERROR(VLOOKUP($C268,SERVIÇOS!$B:$G,3,0),IFERROR(VLOOKUP($C268,'COMPOSIÇÕES COMPLEMENTARES '!$D:$L,3,0),IFERROR(VLOOKUP($C268,INSUMOS!$A:$D,3,0),""))))</f>
        <v>UN</v>
      </c>
      <c r="F268" s="313">
        <v>7</v>
      </c>
      <c r="G268" s="314">
        <f>IF($C268="","",IFERROR(VLOOKUP($C268,SERVIÇOS!$B:$G,4,0),IFERROR(VLOOKUP($C268,'COMPOSIÇÕES COMPLEMENTARES '!$D:$L,6,0),IFERROR(VLOOKUP($C268,INSUMOS!$A:$D,4,0),""))))</f>
        <v>208.64999999999998</v>
      </c>
      <c r="H268" s="314">
        <f>IF($C268="","",IFERROR(VLOOKUP($C268,SERVIÇOS!$B:$G,5,0),IFERROR(VLOOKUP($C268,'COMPOSIÇÕES COMPLEMENTARES '!$D:$L,7,0),0)))</f>
        <v>291.84000000000003</v>
      </c>
      <c r="I268" s="314">
        <f t="shared" si="26"/>
        <v>500.49</v>
      </c>
      <c r="J268" s="314">
        <f t="shared" si="27"/>
        <v>1460.55</v>
      </c>
      <c r="K268" s="314">
        <f t="shared" si="28"/>
        <v>2042.88</v>
      </c>
      <c r="L268" s="948">
        <f t="shared" si="29"/>
        <v>3503.43</v>
      </c>
      <c r="M268" s="374">
        <f t="shared" si="30"/>
        <v>5166440.9800000014</v>
      </c>
      <c r="N268" s="375">
        <f>+M268/L$815</f>
        <v>0.91479603098251094</v>
      </c>
      <c r="O268" s="376" t="str">
        <f>IF(N268&lt;0.5,"A",IF(N268&gt;0.8,"C","B"))</f>
        <v>C</v>
      </c>
    </row>
    <row r="269" spans="1:35" ht="38.25" x14ac:dyDescent="0.25">
      <c r="A269" s="232">
        <f t="shared" si="25"/>
        <v>269</v>
      </c>
      <c r="B269" s="232"/>
      <c r="C269" s="310" t="s">
        <v>12398</v>
      </c>
      <c r="D269" s="373" t="str">
        <f>IF($C269="","",IFERROR(VLOOKUP($C269,SERVIÇOS!$B:$G,2,0),IFERROR(VLOOKUP($C269,'COMPOSIÇÕES COMPLEMENTARES '!$D:$L,2,0),IFERROR(VLOOKUP($C269,INSUMOS!$A:$D,2,0),""))))</f>
        <v>VÁLVULA DE ESFERA Ø1/2" PARA TUBULAÇÃO DE COBRE EM REDES FRIGORÍGENAS COM CORPO E ACENTO DE ESTRUTURA SOLDADA, TEMPERATURA DE TRABALHO DE -40°C A +120°C, PRESSÃO MÁXIMA 45 BAR. REFERÊNCIA: SANHUA SBV04-019, DANFOSS GBC OU EQUIVALENTE</v>
      </c>
      <c r="E269" s="312" t="str">
        <f>IF($C269="","",IFERROR(VLOOKUP($C269,SERVIÇOS!$B:$G,3,0),IFERROR(VLOOKUP($C269,'COMPOSIÇÕES COMPLEMENTARES '!$D:$L,3,0),IFERROR(VLOOKUP($C269,INSUMOS!$A:$D,3,0),""))))</f>
        <v>UN</v>
      </c>
      <c r="F269" s="313">
        <v>14</v>
      </c>
      <c r="G269" s="314">
        <f>IF($C269="","",IFERROR(VLOOKUP($C269,SERVIÇOS!$B:$G,4,0),IFERROR(VLOOKUP($C269,'COMPOSIÇÕES COMPLEMENTARES '!$D:$L,6,0),IFERROR(VLOOKUP($C269,INSUMOS!$A:$D,4,0),""))))</f>
        <v>241.31</v>
      </c>
      <c r="H269" s="314">
        <f>IF($C269="","",IFERROR(VLOOKUP($C269,SERVIÇOS!$B:$G,5,0),IFERROR(VLOOKUP($C269,'COMPOSIÇÕES COMPLEMENTARES '!$D:$L,7,0),0)))</f>
        <v>8.74</v>
      </c>
      <c r="I269" s="314">
        <f t="shared" si="26"/>
        <v>250.05</v>
      </c>
      <c r="J269" s="314">
        <f t="shared" si="27"/>
        <v>3378.34</v>
      </c>
      <c r="K269" s="314">
        <f t="shared" si="28"/>
        <v>122.36</v>
      </c>
      <c r="L269" s="948">
        <f t="shared" si="29"/>
        <v>3500.7</v>
      </c>
      <c r="M269" s="374">
        <f t="shared" si="30"/>
        <v>5169941.6800000016</v>
      </c>
      <c r="N269" s="375">
        <f>+M269/L$815</f>
        <v>0.9154158825356512</v>
      </c>
      <c r="O269" s="376" t="str">
        <f>IF(N269&lt;0.5,"A",IF(N269&gt;0.8,"C","B"))</f>
        <v>C</v>
      </c>
    </row>
    <row r="270" spans="1:35" ht="25.5" x14ac:dyDescent="0.25">
      <c r="A270" s="232">
        <f t="shared" si="25"/>
        <v>270</v>
      </c>
      <c r="B270" s="232"/>
      <c r="C270" s="310" t="s">
        <v>12022</v>
      </c>
      <c r="D270" s="373" t="str">
        <f>IF($C270="","",IFERROR(VLOOKUP($C270,SERVIÇOS!$B:$G,2,0),IFERROR(VLOOKUP($C270,'COMPOSIÇÕES COMPLEMENTARES '!$D:$L,2,0),IFERROR(VLOOKUP($C270,INSUMOS!$A:$D,2,0),""))))</f>
        <v>PORTA COMPLETA DE MADEIRA PARA PINTURA, FOLHA MÉDIA, 01 FOLHA DE CORRER, 90X210CM, INCLUSO BATENTES, FERRAGENS E FECHADURA</v>
      </c>
      <c r="E270" s="312" t="str">
        <f>IF($C270="","",IFERROR(VLOOKUP($C270,SERVIÇOS!$B:$G,3,0),IFERROR(VLOOKUP($C270,'COMPOSIÇÕES COMPLEMENTARES '!$D:$L,3,0),IFERROR(VLOOKUP($C270,INSUMOS!$A:$D,3,0),""))))</f>
        <v>UN</v>
      </c>
      <c r="F270" s="313">
        <v>2</v>
      </c>
      <c r="G270" s="314">
        <f>IF($C270="","",IFERROR(VLOOKUP($C270,SERVIÇOS!$B:$G,4,0),IFERROR(VLOOKUP($C270,'COMPOSIÇÕES COMPLEMENTARES '!$D:$L,6,0),IFERROR(VLOOKUP($C270,INSUMOS!$A:$D,4,0),""))))</f>
        <v>1238.55</v>
      </c>
      <c r="H270" s="314">
        <f>IF($C270="","",IFERROR(VLOOKUP($C270,SERVIÇOS!$B:$G,5,0),IFERROR(VLOOKUP($C270,'COMPOSIÇÕES COMPLEMENTARES '!$D:$L,7,0),0)))</f>
        <v>506.75</v>
      </c>
      <c r="I270" s="314">
        <f t="shared" si="26"/>
        <v>1745.3</v>
      </c>
      <c r="J270" s="314">
        <f t="shared" si="27"/>
        <v>2477.1</v>
      </c>
      <c r="K270" s="314">
        <f t="shared" si="28"/>
        <v>1013.5</v>
      </c>
      <c r="L270" s="948">
        <f t="shared" si="29"/>
        <v>3490.6</v>
      </c>
      <c r="M270" s="374">
        <f t="shared" si="30"/>
        <v>5173432.2800000012</v>
      </c>
      <c r="N270" s="375">
        <f>+M270/L$815</f>
        <v>0.91603394573198083</v>
      </c>
      <c r="O270" s="376" t="str">
        <f>IF(N270&lt;0.5,"A",IF(N270&gt;0.8,"C","B"))</f>
        <v>C</v>
      </c>
    </row>
    <row r="271" spans="1:35" x14ac:dyDescent="0.25">
      <c r="A271" s="232">
        <f t="shared" si="25"/>
        <v>271</v>
      </c>
      <c r="B271" s="232"/>
      <c r="C271" s="310" t="s">
        <v>12105</v>
      </c>
      <c r="D271" s="373" t="str">
        <f>IF($C271="","",IFERROR(VLOOKUP($C271,SERVIÇOS!$B:$G,2,0),IFERROR(VLOOKUP($C271,'COMPOSIÇÕES COMPLEMENTARES '!$D:$L,2,0),IFERROR(VLOOKUP($C271,INSUMOS!$A:$D,2,0),""))))</f>
        <v>TUBO DE PVC RÍGIDO SOLDÁVEL, INCLUSO CONEXÔES - D=50MM (1 1/2")</v>
      </c>
      <c r="E271" s="312" t="str">
        <f>IF($C271="","",IFERROR(VLOOKUP($C271,SERVIÇOS!$B:$G,3,0),IFERROR(VLOOKUP($C271,'COMPOSIÇÕES COMPLEMENTARES '!$D:$L,3,0),IFERROR(VLOOKUP($C271,INSUMOS!$A:$D,3,0),""))))</f>
        <v>M</v>
      </c>
      <c r="F271" s="313">
        <v>60</v>
      </c>
      <c r="G271" s="314">
        <f>IF($C271="","",IFERROR(VLOOKUP($C271,SERVIÇOS!$B:$G,4,0),IFERROR(VLOOKUP($C271,'COMPOSIÇÕES COMPLEMENTARES '!$D:$L,6,0),IFERROR(VLOOKUP($C271,INSUMOS!$A:$D,4,0),""))))</f>
        <v>28.74</v>
      </c>
      <c r="H271" s="314">
        <f>IF($C271="","",IFERROR(VLOOKUP($C271,SERVIÇOS!$B:$G,5,0),IFERROR(VLOOKUP($C271,'COMPOSIÇÕES COMPLEMENTARES '!$D:$L,7,0),0)))</f>
        <v>29.15</v>
      </c>
      <c r="I271" s="314">
        <f t="shared" si="26"/>
        <v>57.89</v>
      </c>
      <c r="J271" s="314">
        <f t="shared" si="27"/>
        <v>1724.4</v>
      </c>
      <c r="K271" s="314">
        <f t="shared" si="28"/>
        <v>1749</v>
      </c>
      <c r="L271" s="948">
        <f t="shared" si="29"/>
        <v>3473.4</v>
      </c>
      <c r="M271" s="374">
        <f t="shared" si="30"/>
        <v>5176905.6800000016</v>
      </c>
      <c r="N271" s="375">
        <f>+M271/L$815</f>
        <v>0.91664896340978175</v>
      </c>
      <c r="O271" s="376" t="str">
        <f>IF(N271&lt;0.5,"A",IF(N271&gt;0.8,"C","B"))</f>
        <v>C</v>
      </c>
    </row>
    <row r="272" spans="1:35" x14ac:dyDescent="0.25">
      <c r="A272" s="232">
        <f t="shared" si="25"/>
        <v>272</v>
      </c>
      <c r="B272" s="232"/>
      <c r="C272" s="310" t="s">
        <v>12216</v>
      </c>
      <c r="D272" s="373" t="str">
        <f>IF($C272="","",IFERROR(VLOOKUP($C272,SERVIÇOS!$B:$G,2,0),IFERROR(VLOOKUP($C272,'COMPOSIÇÕES COMPLEMENTARES '!$D:$L,2,0),IFERROR(VLOOKUP($C272,INSUMOS!$A:$D,2,0),""))))</f>
        <v>ELETROCALHA PERFURADA 200X100X3000MM - CH 18, INCLUSO CONEXÕES E SUPORTES DE FIXAÇÃO</v>
      </c>
      <c r="E272" s="312" t="str">
        <f>IF($C272="","",IFERROR(VLOOKUP($C272,SERVIÇOS!$B:$G,3,0),IFERROR(VLOOKUP($C272,'COMPOSIÇÕES COMPLEMENTARES '!$D:$L,3,0),IFERROR(VLOOKUP($C272,INSUMOS!$A:$D,3,0),""))))</f>
        <v>M</v>
      </c>
      <c r="F272" s="313">
        <v>12</v>
      </c>
      <c r="G272" s="314">
        <f>IF($C272="","",IFERROR(VLOOKUP($C272,SERVIÇOS!$B:$G,4,0),IFERROR(VLOOKUP($C272,'COMPOSIÇÕES COMPLEMENTARES '!$D:$L,6,0),IFERROR(VLOOKUP($C272,INSUMOS!$A:$D,4,0),""))))</f>
        <v>241.21</v>
      </c>
      <c r="H272" s="314">
        <f>IF($C272="","",IFERROR(VLOOKUP($C272,SERVIÇOS!$B:$G,5,0),IFERROR(VLOOKUP($C272,'COMPOSIÇÕES COMPLEMENTARES '!$D:$L,7,0),0)))</f>
        <v>43.98</v>
      </c>
      <c r="I272" s="314">
        <f t="shared" si="26"/>
        <v>285.19</v>
      </c>
      <c r="J272" s="314">
        <f t="shared" si="27"/>
        <v>2894.52</v>
      </c>
      <c r="K272" s="314">
        <f t="shared" si="28"/>
        <v>527.76</v>
      </c>
      <c r="L272" s="948">
        <f t="shared" si="29"/>
        <v>3422.28</v>
      </c>
      <c r="M272" s="374">
        <f t="shared" si="30"/>
        <v>5180327.9600000018</v>
      </c>
      <c r="N272" s="375">
        <f>+M272/L$815</f>
        <v>0.91725492952321086</v>
      </c>
      <c r="O272" s="376" t="str">
        <f>IF(N272&lt;0.5,"A",IF(N272&gt;0.8,"C","B"))</f>
        <v>C</v>
      </c>
      <c r="P272" s="342"/>
      <c r="Q272" s="342"/>
      <c r="R272" s="342"/>
      <c r="S272" s="342"/>
      <c r="T272" s="342"/>
      <c r="U272" s="342"/>
      <c r="V272" s="342"/>
      <c r="W272" s="342"/>
      <c r="X272" s="342"/>
      <c r="Y272" s="342"/>
      <c r="Z272" s="342"/>
      <c r="AA272" s="342"/>
      <c r="AB272" s="342"/>
      <c r="AC272" s="342"/>
      <c r="AD272" s="342"/>
      <c r="AE272" s="342"/>
      <c r="AF272" s="342"/>
      <c r="AG272" s="342"/>
      <c r="AH272" s="342"/>
      <c r="AI272" s="342"/>
    </row>
    <row r="273" spans="1:15" x14ac:dyDescent="0.25">
      <c r="A273" s="232">
        <f t="shared" si="25"/>
        <v>273</v>
      </c>
      <c r="B273" s="232"/>
      <c r="C273" s="310" t="s">
        <v>12215</v>
      </c>
      <c r="D273" s="373" t="str">
        <f>IF($C273="","",IFERROR(VLOOKUP($C273,SERVIÇOS!$B:$G,2,0),IFERROR(VLOOKUP($C273,'COMPOSIÇÕES COMPLEMENTARES '!$D:$L,2,0),IFERROR(VLOOKUP($C273,INSUMOS!$A:$D,2,0),""))))</f>
        <v>PERFILADO PERFURADO COM TAMPA 38X38X6000MM CHAPA 18, INCLUSO CONEXÕES E FIXAÇÕES</v>
      </c>
      <c r="E273" s="312" t="str">
        <f>IF($C273="","",IFERROR(VLOOKUP($C273,SERVIÇOS!$B:$G,3,0),IFERROR(VLOOKUP($C273,'COMPOSIÇÕES COMPLEMENTARES '!$D:$L,3,0),IFERROR(VLOOKUP($C273,INSUMOS!$A:$D,3,0),""))))</f>
        <v>M</v>
      </c>
      <c r="F273" s="313">
        <v>36</v>
      </c>
      <c r="G273" s="314">
        <f>IF($C273="","",IFERROR(VLOOKUP($C273,SERVIÇOS!$B:$G,4,0),IFERROR(VLOOKUP($C273,'COMPOSIÇÕES COMPLEMENTARES '!$D:$L,6,0),IFERROR(VLOOKUP($C273,INSUMOS!$A:$D,4,0),""))))</f>
        <v>61.76</v>
      </c>
      <c r="H273" s="314">
        <f>IF($C273="","",IFERROR(VLOOKUP($C273,SERVIÇOS!$B:$G,5,0),IFERROR(VLOOKUP($C273,'COMPOSIÇÕES COMPLEMENTARES '!$D:$L,7,0),0)))</f>
        <v>31.6</v>
      </c>
      <c r="I273" s="314">
        <f t="shared" si="26"/>
        <v>93.36</v>
      </c>
      <c r="J273" s="314">
        <f t="shared" si="27"/>
        <v>2223.36</v>
      </c>
      <c r="K273" s="314">
        <f t="shared" si="28"/>
        <v>1137.5999999999999</v>
      </c>
      <c r="L273" s="948">
        <f t="shared" si="29"/>
        <v>3360.96</v>
      </c>
      <c r="M273" s="374">
        <f t="shared" si="30"/>
        <v>5183688.9200000018</v>
      </c>
      <c r="N273" s="375">
        <f>+M273/L$815</f>
        <v>0.91785003800895426</v>
      </c>
      <c r="O273" s="376" t="str">
        <f>IF(N273&lt;0.5,"A",IF(N273&gt;0.8,"C","B"))</f>
        <v>C</v>
      </c>
    </row>
    <row r="274" spans="1:15" x14ac:dyDescent="0.25">
      <c r="A274" s="232">
        <f t="shared" si="25"/>
        <v>274</v>
      </c>
      <c r="B274" s="232"/>
      <c r="C274" s="310" t="s">
        <v>12043</v>
      </c>
      <c r="D274" s="373" t="str">
        <f>IF($C274="","",IFERROR(VLOOKUP($C274,SERVIÇOS!$B:$G,2,0),IFERROR(VLOOKUP($C274,'COMPOSIÇÕES COMPLEMENTARES '!$D:$L,2,0),IFERROR(VLOOKUP($C274,INSUMOS!$A:$D,2,0),""))))</f>
        <v xml:space="preserve">PORTA/PORTÃO EM FERRO GALVANIZADO, 1 OU 2 FOLHAS, EM TUBO DE AÇO GALVANIZADO 2" E TELA ARAME GALVANIZADO </v>
      </c>
      <c r="E274" s="312" t="str">
        <f>IF($C274="","",IFERROR(VLOOKUP($C274,SERVIÇOS!$B:$G,3,0),IFERROR(VLOOKUP($C274,'COMPOSIÇÕES COMPLEMENTARES '!$D:$L,3,0),IFERROR(VLOOKUP($C274,INSUMOS!$A:$D,3,0),""))))</f>
        <v>M2</v>
      </c>
      <c r="F274" s="313">
        <v>3.78</v>
      </c>
      <c r="G274" s="314">
        <f>IF($C274="","",IFERROR(VLOOKUP($C274,SERVIÇOS!$B:$G,4,0),IFERROR(VLOOKUP($C274,'COMPOSIÇÕES COMPLEMENTARES '!$D:$L,6,0),IFERROR(VLOOKUP($C274,INSUMOS!$A:$D,4,0),""))))</f>
        <v>818.66</v>
      </c>
      <c r="H274" s="314">
        <f>IF($C274="","",IFERROR(VLOOKUP($C274,SERVIÇOS!$B:$G,5,0),IFERROR(VLOOKUP($C274,'COMPOSIÇÕES COMPLEMENTARES '!$D:$L,7,0),0)))</f>
        <v>66.650000000000006</v>
      </c>
      <c r="I274" s="314">
        <f t="shared" si="26"/>
        <v>885.31</v>
      </c>
      <c r="J274" s="314">
        <f t="shared" si="27"/>
        <v>3094.53</v>
      </c>
      <c r="K274" s="314">
        <f t="shared" si="28"/>
        <v>251.93</v>
      </c>
      <c r="L274" s="948">
        <f t="shared" si="29"/>
        <v>3346.46</v>
      </c>
      <c r="M274" s="374">
        <f t="shared" si="30"/>
        <v>5187035.3800000018</v>
      </c>
      <c r="N274" s="375">
        <f>+M274/L$815</f>
        <v>0.91844257905175197</v>
      </c>
      <c r="O274" s="376" t="str">
        <f>IF(N274&lt;0.5,"A",IF(N274&gt;0.8,"C","B"))</f>
        <v>C</v>
      </c>
    </row>
    <row r="275" spans="1:15" ht="25.5" x14ac:dyDescent="0.25">
      <c r="A275" s="232">
        <f t="shared" si="25"/>
        <v>275</v>
      </c>
      <c r="B275" s="232"/>
      <c r="C275" s="310" t="s">
        <v>11997</v>
      </c>
      <c r="D275" s="373" t="str">
        <f>IF($C275="","",IFERROR(VLOOKUP($C275,SERVIÇOS!$B:$G,2,0),IFERROR(VLOOKUP($C275,'COMPOSIÇÕES COMPLEMENTARES '!$D:$L,2,0),IFERROR(VLOOKUP($C275,INSUMOS!$A:$D,2,0),""))))</f>
        <v>REVESTIMENTO CERÂMICO PARA PAREDES INTERNAS COM PLACAS TIPO ESMALTADAS EXTRA 20X20CM, COR BRANCO, COM REJUNTE EPÓXI, A MEIA ALTURA DAS PAREDES</v>
      </c>
      <c r="E275" s="312" t="str">
        <f>IF($C275="","",IFERROR(VLOOKUP($C275,SERVIÇOS!$B:$G,3,0),IFERROR(VLOOKUP($C275,'COMPOSIÇÕES COMPLEMENTARES '!$D:$L,3,0),IFERROR(VLOOKUP($C275,INSUMOS!$A:$D,3,0),""))))</f>
        <v>M2</v>
      </c>
      <c r="F275" s="313">
        <v>28.73</v>
      </c>
      <c r="G275" s="314">
        <f>IF($C275="","",IFERROR(VLOOKUP($C275,SERVIÇOS!$B:$G,4,0),IFERROR(VLOOKUP($C275,'COMPOSIÇÕES COMPLEMENTARES '!$D:$L,6,0),IFERROR(VLOOKUP($C275,INSUMOS!$A:$D,4,0),""))))</f>
        <v>89.9</v>
      </c>
      <c r="H275" s="314">
        <f>IF($C275="","",IFERROR(VLOOKUP($C275,SERVIÇOS!$B:$G,5,0),IFERROR(VLOOKUP($C275,'COMPOSIÇÕES COMPLEMENTARES '!$D:$L,7,0),0)))</f>
        <v>26.41</v>
      </c>
      <c r="I275" s="314">
        <f t="shared" si="26"/>
        <v>116.31</v>
      </c>
      <c r="J275" s="314">
        <f t="shared" si="27"/>
        <v>2582.8200000000002</v>
      </c>
      <c r="K275" s="314">
        <f t="shared" si="28"/>
        <v>758.75</v>
      </c>
      <c r="L275" s="948">
        <f t="shared" si="29"/>
        <v>3341.57</v>
      </c>
      <c r="M275" s="374">
        <f t="shared" si="30"/>
        <v>5190376.950000002</v>
      </c>
      <c r="N275" s="375">
        <f>+M275/L$815</f>
        <v>0.91903425424654928</v>
      </c>
      <c r="O275" s="376" t="str">
        <f>IF(N275&lt;0.5,"A",IF(N275&gt;0.8,"C","B"))</f>
        <v>C</v>
      </c>
    </row>
    <row r="276" spans="1:15" x14ac:dyDescent="0.25">
      <c r="A276" s="232">
        <f t="shared" si="25"/>
        <v>276</v>
      </c>
      <c r="B276" s="232"/>
      <c r="C276" s="310" t="s">
        <v>12097</v>
      </c>
      <c r="D276" s="373" t="str">
        <f>IF($C276="","",IFERROR(VLOOKUP($C276,SERVIÇOS!$B:$G,2,0),IFERROR(VLOOKUP($C276,'COMPOSIÇÕES COMPLEMENTARES '!$D:$L,2,0),IFERROR(VLOOKUP($C276,INSUMOS!$A:$D,2,0),""))))</f>
        <v>RESERVATÓRIO EM POLIETILENO, VOLUME TOTAL DE 5.000 LITROS. ∅TAMPA 170CM e ALTURA =205CM</v>
      </c>
      <c r="E276" s="312" t="str">
        <f>IF($C276="","",IFERROR(VLOOKUP($C276,SERVIÇOS!$B:$G,3,0),IFERROR(VLOOKUP($C276,'COMPOSIÇÕES COMPLEMENTARES '!$D:$L,3,0),IFERROR(VLOOKUP($C276,INSUMOS!$A:$D,3,0),""))))</f>
        <v>UN</v>
      </c>
      <c r="F276" s="313">
        <v>1</v>
      </c>
      <c r="G276" s="314">
        <f>IF($C276="","",IFERROR(VLOOKUP($C276,SERVIÇOS!$B:$G,4,0),IFERROR(VLOOKUP($C276,'COMPOSIÇÕES COMPLEMENTARES '!$D:$L,6,0),IFERROR(VLOOKUP($C276,INSUMOS!$A:$D,4,0),""))))</f>
        <v>3210.36</v>
      </c>
      <c r="H276" s="314">
        <f>IF($C276="","",IFERROR(VLOOKUP($C276,SERVIÇOS!$B:$G,5,0),IFERROR(VLOOKUP($C276,'COMPOSIÇÕES COMPLEMENTARES '!$D:$L,7,0),0)))</f>
        <v>69.69</v>
      </c>
      <c r="I276" s="314">
        <f t="shared" si="26"/>
        <v>3280.05</v>
      </c>
      <c r="J276" s="314">
        <f t="shared" si="27"/>
        <v>3210.36</v>
      </c>
      <c r="K276" s="314">
        <f t="shared" si="28"/>
        <v>69.69</v>
      </c>
      <c r="L276" s="948">
        <f t="shared" si="29"/>
        <v>3280.05</v>
      </c>
      <c r="M276" s="374">
        <f t="shared" si="30"/>
        <v>5193657.0000000019</v>
      </c>
      <c r="N276" s="375">
        <f>+M276/L$815</f>
        <v>0.91961503640065489</v>
      </c>
      <c r="O276" s="376" t="str">
        <f>IF(N276&lt;0.5,"A",IF(N276&gt;0.8,"C","B"))</f>
        <v>C</v>
      </c>
    </row>
    <row r="277" spans="1:15" x14ac:dyDescent="0.25">
      <c r="A277" s="232">
        <f t="shared" si="25"/>
        <v>277</v>
      </c>
      <c r="B277" s="232"/>
      <c r="C277" s="310" t="s">
        <v>12107</v>
      </c>
      <c r="D277" s="373" t="str">
        <f>IF($C277="","",IFERROR(VLOOKUP($C277,SERVIÇOS!$B:$G,2,0),IFERROR(VLOOKUP($C277,'COMPOSIÇÕES COMPLEMENTARES '!$D:$L,2,0),IFERROR(VLOOKUP($C277,INSUMOS!$A:$D,2,0),""))))</f>
        <v xml:space="preserve">TUBO DE PVC RÍGIDO SOLDÁVEL, INCLUSO CONEXÔES - D=75MM (2 1/2") </v>
      </c>
      <c r="E277" s="312" t="str">
        <f>IF($C277="","",IFERROR(VLOOKUP($C277,SERVIÇOS!$B:$G,3,0),IFERROR(VLOOKUP($C277,'COMPOSIÇÕES COMPLEMENTARES '!$D:$L,3,0),IFERROR(VLOOKUP($C277,INSUMOS!$A:$D,3,0),""))))</f>
        <v>M</v>
      </c>
      <c r="F277" s="313">
        <v>30</v>
      </c>
      <c r="G277" s="314">
        <f>IF($C277="","",IFERROR(VLOOKUP($C277,SERVIÇOS!$B:$G,4,0),IFERROR(VLOOKUP($C277,'COMPOSIÇÕES COMPLEMENTARES '!$D:$L,6,0),IFERROR(VLOOKUP($C277,INSUMOS!$A:$D,4,0),""))))</f>
        <v>65.489999999999995</v>
      </c>
      <c r="H277" s="314">
        <f>IF($C277="","",IFERROR(VLOOKUP($C277,SERVIÇOS!$B:$G,5,0),IFERROR(VLOOKUP($C277,'COMPOSIÇÕES COMPLEMENTARES '!$D:$L,7,0),0)))</f>
        <v>43.74</v>
      </c>
      <c r="I277" s="314">
        <f t="shared" si="26"/>
        <v>109.22999999999999</v>
      </c>
      <c r="J277" s="314">
        <f t="shared" si="27"/>
        <v>1964.7</v>
      </c>
      <c r="K277" s="314">
        <f t="shared" si="28"/>
        <v>1312.2</v>
      </c>
      <c r="L277" s="948">
        <f t="shared" si="29"/>
        <v>3276.9</v>
      </c>
      <c r="M277" s="374">
        <f t="shared" si="30"/>
        <v>5196933.9000000022</v>
      </c>
      <c r="N277" s="375">
        <f>+M277/L$815</f>
        <v>0.92019526079991376</v>
      </c>
      <c r="O277" s="376" t="str">
        <f>IF(N277&lt;0.5,"A",IF(N277&gt;0.8,"C","B"))</f>
        <v>C</v>
      </c>
    </row>
    <row r="278" spans="1:15" x14ac:dyDescent="0.25">
      <c r="A278" s="232">
        <f t="shared" si="25"/>
        <v>278</v>
      </c>
      <c r="B278" s="232"/>
      <c r="C278" s="310" t="s">
        <v>12238</v>
      </c>
      <c r="D278" s="373" t="str">
        <f>IF($C278="","",IFERROR(VLOOKUP($C278,SERVIÇOS!$B:$G,2,0),IFERROR(VLOOKUP($C278,'COMPOSIÇÕES COMPLEMENTARES '!$D:$L,2,0),IFERROR(VLOOKUP($C278,INSUMOS!$A:$D,2,0),""))))</f>
        <v>CONDUTOR DE COBRE FLEX. ISOL. 1KV - 90º - #25MM² - AFUMEX</v>
      </c>
      <c r="E278" s="312" t="str">
        <f>IF($C278="","",IFERROR(VLOOKUP($C278,SERVIÇOS!$B:$G,3,0),IFERROR(VLOOKUP($C278,'COMPOSIÇÕES COMPLEMENTARES '!$D:$L,3,0),IFERROR(VLOOKUP($C278,INSUMOS!$A:$D,3,0),""))))</f>
        <v>M</v>
      </c>
      <c r="F278" s="313">
        <v>112</v>
      </c>
      <c r="G278" s="314">
        <f>IF($C278="","",IFERROR(VLOOKUP($C278,SERVIÇOS!$B:$G,4,0),IFERROR(VLOOKUP($C278,'COMPOSIÇÕES COMPLEMENTARES '!$D:$L,6,0),IFERROR(VLOOKUP($C278,INSUMOS!$A:$D,4,0),""))))</f>
        <v>25.38</v>
      </c>
      <c r="H278" s="314">
        <f>IF($C278="","",IFERROR(VLOOKUP($C278,SERVIÇOS!$B:$G,5,0),IFERROR(VLOOKUP($C278,'COMPOSIÇÕES COMPLEMENTARES '!$D:$L,7,0),0)))</f>
        <v>3.16</v>
      </c>
      <c r="I278" s="314">
        <f t="shared" si="26"/>
        <v>28.54</v>
      </c>
      <c r="J278" s="314">
        <f t="shared" si="27"/>
        <v>2842.56</v>
      </c>
      <c r="K278" s="314">
        <f t="shared" si="28"/>
        <v>353.92</v>
      </c>
      <c r="L278" s="948">
        <f t="shared" si="29"/>
        <v>3196.48</v>
      </c>
      <c r="M278" s="374">
        <f t="shared" si="30"/>
        <v>5200130.3800000027</v>
      </c>
      <c r="N278" s="375">
        <f>+M278/L$815</f>
        <v>0.92076124562939987</v>
      </c>
      <c r="O278" s="376" t="str">
        <f>IF(N278&lt;0.5,"A",IF(N278&gt;0.8,"C","B"))</f>
        <v>C</v>
      </c>
    </row>
    <row r="279" spans="1:15" x14ac:dyDescent="0.25">
      <c r="A279" s="232">
        <f t="shared" si="25"/>
        <v>279</v>
      </c>
      <c r="B279" s="232"/>
      <c r="C279" s="310" t="s">
        <v>12202</v>
      </c>
      <c r="D279" s="373" t="str">
        <f>IF($C279="","",IFERROR(VLOOKUP($C279,SERVIÇOS!$B:$G,2,0),IFERROR(VLOOKUP($C279,'COMPOSIÇÕES COMPLEMENTARES '!$D:$L,2,0),IFERROR(VLOOKUP($C279,INSUMOS!$A:$D,2,0),""))))</f>
        <v>CONDUTOR DE COBRE FLEX. ISOL. 1KV - 90º - #16MM² - AFUMEX</v>
      </c>
      <c r="E279" s="312" t="str">
        <f>IF($C279="","",IFERROR(VLOOKUP($C279,SERVIÇOS!$B:$G,3,0),IFERROR(VLOOKUP($C279,'COMPOSIÇÕES COMPLEMENTARES '!$D:$L,3,0),IFERROR(VLOOKUP($C279,INSUMOS!$A:$D,3,0),""))))</f>
        <v>M</v>
      </c>
      <c r="F279" s="313">
        <v>125</v>
      </c>
      <c r="G279" s="314">
        <f>IF($C279="","",IFERROR(VLOOKUP($C279,SERVIÇOS!$B:$G,4,0),IFERROR(VLOOKUP($C279,'COMPOSIÇÕES COMPLEMENTARES '!$D:$L,6,0),IFERROR(VLOOKUP($C279,INSUMOS!$A:$D,4,0),""))))</f>
        <v>19.739999999999998</v>
      </c>
      <c r="H279" s="314">
        <f>IF($C279="","",IFERROR(VLOOKUP($C279,SERVIÇOS!$B:$G,5,0),IFERROR(VLOOKUP($C279,'COMPOSIÇÕES COMPLEMENTARES '!$D:$L,7,0),0)))</f>
        <v>5.69</v>
      </c>
      <c r="I279" s="314">
        <f t="shared" si="26"/>
        <v>25.43</v>
      </c>
      <c r="J279" s="314">
        <f t="shared" si="27"/>
        <v>2467.5</v>
      </c>
      <c r="K279" s="314">
        <f t="shared" si="28"/>
        <v>711.25</v>
      </c>
      <c r="L279" s="948">
        <f t="shared" si="29"/>
        <v>3178.75</v>
      </c>
      <c r="M279" s="374">
        <f t="shared" si="30"/>
        <v>5203309.1300000027</v>
      </c>
      <c r="N279" s="375">
        <f>+M279/L$815</f>
        <v>0.92132409109589075</v>
      </c>
      <c r="O279" s="376" t="str">
        <f>IF(N279&lt;0.5,"A",IF(N279&gt;0.8,"C","B"))</f>
        <v>C</v>
      </c>
    </row>
    <row r="280" spans="1:15" ht="25.5" x14ac:dyDescent="0.25">
      <c r="A280" s="232">
        <f t="shared" si="25"/>
        <v>280</v>
      </c>
      <c r="B280" s="232"/>
      <c r="C280" s="310" t="s">
        <v>12304</v>
      </c>
      <c r="D280" s="373" t="str">
        <f>IF($C280="","",IFERROR(VLOOKUP($C280,SERVIÇOS!$B:$G,2,0),IFERROR(VLOOKUP($C280,'COMPOSIÇÕES COMPLEMENTARES '!$D:$L,2,0),IFERROR(VLOOKUP($C280,INSUMOS!$A:$D,2,0),""))))</f>
        <v>CAIXA ENTERRADA PARA INSTALAÇÕES TELEFÔNICAS TIPO R1 E TAMPA PARA CAIXA TIPO R1, EM FERRO FUNDIDO, DIMENSÕES INTERNAS: 0,40 X 0,60 M - FORNECIMENTO E INSTALAÇÃO</v>
      </c>
      <c r="E280" s="312" t="str">
        <f>IF($C280="","",IFERROR(VLOOKUP($C280,SERVIÇOS!$B:$G,3,0),IFERROR(VLOOKUP($C280,'COMPOSIÇÕES COMPLEMENTARES '!$D:$L,3,0),IFERROR(VLOOKUP($C280,INSUMOS!$A:$D,3,0),""))))</f>
        <v>UN</v>
      </c>
      <c r="F280" s="313">
        <v>3</v>
      </c>
      <c r="G280" s="314">
        <f>IF($C280="","",IFERROR(VLOOKUP($C280,SERVIÇOS!$B:$G,4,0),IFERROR(VLOOKUP($C280,'COMPOSIÇÕES COMPLEMENTARES '!$D:$L,6,0),IFERROR(VLOOKUP($C280,INSUMOS!$A:$D,4,0),""))))</f>
        <v>740.47</v>
      </c>
      <c r="H280" s="314">
        <f>IF($C280="","",IFERROR(VLOOKUP($C280,SERVIÇOS!$B:$G,5,0),IFERROR(VLOOKUP($C280,'COMPOSIÇÕES COMPLEMENTARES '!$D:$L,7,0),0)))</f>
        <v>309.86</v>
      </c>
      <c r="I280" s="314">
        <f t="shared" si="26"/>
        <v>1050.33</v>
      </c>
      <c r="J280" s="314">
        <f t="shared" si="27"/>
        <v>2221.41</v>
      </c>
      <c r="K280" s="314">
        <f t="shared" si="28"/>
        <v>929.58</v>
      </c>
      <c r="L280" s="948">
        <f t="shared" si="29"/>
        <v>3150.99</v>
      </c>
      <c r="M280" s="374">
        <f t="shared" si="30"/>
        <v>5206460.1200000029</v>
      </c>
      <c r="N280" s="375">
        <f>+M280/L$815</f>
        <v>0.92188202123712815</v>
      </c>
      <c r="O280" s="376" t="str">
        <f>IF(N280&lt;0.5,"A",IF(N280&gt;0.8,"C","B"))</f>
        <v>C</v>
      </c>
    </row>
    <row r="281" spans="1:15" ht="25.5" x14ac:dyDescent="0.25">
      <c r="A281" s="232">
        <f t="shared" si="25"/>
        <v>281</v>
      </c>
      <c r="B281" s="232"/>
      <c r="C281" s="310" t="s">
        <v>12283</v>
      </c>
      <c r="D281" s="373" t="str">
        <f>IF($C281="","",IFERROR(VLOOKUP($C281,SERVIÇOS!$B:$G,2,0),IFERROR(VLOOKUP($C281,'COMPOSIÇÕES COMPLEMENTARES '!$D:$L,2,0),IFERROR(VLOOKUP($C281,INSUMOS!$A:$D,2,0),""))))</f>
        <v>LEITO PARA CABOS TIPO PESADO GALVANIZADO A FOGO. DIMENSÕES: 200MM (LARGURA) X 100MM (ALTURA) X 3000MM (COMPRIMENTO DA BARRA)</v>
      </c>
      <c r="E281" s="312" t="str">
        <f>IF($C281="","",IFERROR(VLOOKUP($C281,SERVIÇOS!$B:$G,3,0),IFERROR(VLOOKUP($C281,'COMPOSIÇÕES COMPLEMENTARES '!$D:$L,3,0),IFERROR(VLOOKUP($C281,INSUMOS!$A:$D,3,0),""))))</f>
        <v>M</v>
      </c>
      <c r="F281" s="313">
        <v>24</v>
      </c>
      <c r="G281" s="314">
        <f>IF($C281="","",IFERROR(VLOOKUP($C281,SERVIÇOS!$B:$G,4,0),IFERROR(VLOOKUP($C281,'COMPOSIÇÕES COMPLEMENTARES '!$D:$L,6,0),IFERROR(VLOOKUP($C281,INSUMOS!$A:$D,4,0),""))))</f>
        <v>115.88</v>
      </c>
      <c r="H281" s="314">
        <f>IF($C281="","",IFERROR(VLOOKUP($C281,SERVIÇOS!$B:$G,5,0),IFERROR(VLOOKUP($C281,'COMPOSIÇÕES COMPLEMENTARES '!$D:$L,7,0),0)))</f>
        <v>14.85</v>
      </c>
      <c r="I281" s="314">
        <f t="shared" si="26"/>
        <v>130.72999999999999</v>
      </c>
      <c r="J281" s="314">
        <f t="shared" si="27"/>
        <v>2781.12</v>
      </c>
      <c r="K281" s="314">
        <f t="shared" si="28"/>
        <v>356.4</v>
      </c>
      <c r="L281" s="948">
        <f t="shared" si="29"/>
        <v>3137.52</v>
      </c>
      <c r="M281" s="374">
        <f t="shared" si="30"/>
        <v>5209597.6400000025</v>
      </c>
      <c r="N281" s="375">
        <f>+M281/L$815</f>
        <v>0.92243756631240115</v>
      </c>
      <c r="O281" s="376" t="str">
        <f>IF(N281&lt;0.5,"A",IF(N281&gt;0.8,"C","B"))</f>
        <v>C</v>
      </c>
    </row>
    <row r="282" spans="1:15" ht="25.5" x14ac:dyDescent="0.25">
      <c r="A282" s="232">
        <f t="shared" si="25"/>
        <v>282</v>
      </c>
      <c r="B282" s="232"/>
      <c r="C282" s="310" t="s">
        <v>12133</v>
      </c>
      <c r="D282" s="373" t="str">
        <f>IF($C282="","",IFERROR(VLOOKUP($C282,SERVIÇOS!$B:$G,2,0),IFERROR(VLOOKUP($C282,'COMPOSIÇÕES COMPLEMENTARES '!$D:$L,2,0),IFERROR(VLOOKUP($C282,INSUMOS!$A:$D,2,0),""))))</f>
        <v xml:space="preserve">CAIXA DE CAPTAÇÃO PARA ÁGUAS PLUVIAIS, EM ALVENARIA, DIMENSÃO INTERNA (60X30)CM, COM GRELHA DE FERRO (20x20)cm </v>
      </c>
      <c r="E282" s="312" t="str">
        <f>IF($C282="","",IFERROR(VLOOKUP($C282,SERVIÇOS!$B:$G,3,0),IFERROR(VLOOKUP($C282,'COMPOSIÇÕES COMPLEMENTARES '!$D:$L,3,0),IFERROR(VLOOKUP($C282,INSUMOS!$A:$D,3,0),""))))</f>
        <v>UN</v>
      </c>
      <c r="F282" s="313">
        <v>4</v>
      </c>
      <c r="G282" s="314">
        <f>IF($C282="","",IFERROR(VLOOKUP($C282,SERVIÇOS!$B:$G,4,0),IFERROR(VLOOKUP($C282,'COMPOSIÇÕES COMPLEMENTARES '!$D:$L,6,0),IFERROR(VLOOKUP($C282,INSUMOS!$A:$D,4,0),""))))</f>
        <v>409.05</v>
      </c>
      <c r="H282" s="314">
        <f>IF($C282="","",IFERROR(VLOOKUP($C282,SERVIÇOS!$B:$G,5,0),IFERROR(VLOOKUP($C282,'COMPOSIÇÕES COMPLEMENTARES '!$D:$L,7,0),0)))</f>
        <v>375.17</v>
      </c>
      <c r="I282" s="314">
        <f t="shared" si="26"/>
        <v>784.22</v>
      </c>
      <c r="J282" s="314">
        <f t="shared" si="27"/>
        <v>1636.2</v>
      </c>
      <c r="K282" s="314">
        <f t="shared" si="28"/>
        <v>1500.68</v>
      </c>
      <c r="L282" s="948">
        <f t="shared" si="29"/>
        <v>3136.88</v>
      </c>
      <c r="M282" s="374">
        <f t="shared" si="30"/>
        <v>5212734.5200000023</v>
      </c>
      <c r="N282" s="375">
        <f>+M282/L$815</f>
        <v>0.92299299806605462</v>
      </c>
      <c r="O282" s="376" t="str">
        <f>IF(N282&lt;0.5,"A",IF(N282&gt;0.8,"C","B"))</f>
        <v>C</v>
      </c>
    </row>
    <row r="283" spans="1:15" x14ac:dyDescent="0.25">
      <c r="A283" s="232">
        <f t="shared" si="25"/>
        <v>283</v>
      </c>
      <c r="B283" s="232"/>
      <c r="C283" s="310">
        <v>88484</v>
      </c>
      <c r="D283" s="373" t="str">
        <f>IF($C283="","",IFERROR(VLOOKUP($C283,SERVIÇOS!$B:$G,2,0),IFERROR(VLOOKUP($C283,'COMPOSIÇÕES COMPLEMENTARES '!$D:$L,2,0),IFERROR(VLOOKUP($C283,INSUMOS!$A:$D,2,0),""))))</f>
        <v>FUNDO SELADOR ACRÍLICO, APLICAÇÃO MANUAL EM TETO, UMA DEMÃO. AF_04/2023</v>
      </c>
      <c r="E283" s="312" t="str">
        <f>IF($C283="","",IFERROR(VLOOKUP($C283,SERVIÇOS!$B:$G,3,0),IFERROR(VLOOKUP($C283,'COMPOSIÇÕES COMPLEMENTARES '!$D:$L,3,0),IFERROR(VLOOKUP($C283,INSUMOS!$A:$D,3,0),""))))</f>
        <v>M2</v>
      </c>
      <c r="F283" s="313">
        <v>528.25</v>
      </c>
      <c r="G283" s="314">
        <f>IF($C283="","",IFERROR(VLOOKUP($C283,SERVIÇOS!$B:$G,4,0),IFERROR(VLOOKUP($C283,'COMPOSIÇÕES COMPLEMENTARES '!$D:$L,6,0),IFERROR(VLOOKUP($C283,INSUMOS!$A:$D,4,0),""))))</f>
        <v>2.8</v>
      </c>
      <c r="H283" s="314">
        <f>IF($C283="","",IFERROR(VLOOKUP($C283,SERVIÇOS!$B:$G,5,0),IFERROR(VLOOKUP($C283,'COMPOSIÇÕES COMPLEMENTARES '!$D:$L,7,0),0)))</f>
        <v>3.13</v>
      </c>
      <c r="I283" s="314">
        <f t="shared" si="26"/>
        <v>5.93</v>
      </c>
      <c r="J283" s="314">
        <f t="shared" si="27"/>
        <v>1479.1</v>
      </c>
      <c r="K283" s="314">
        <f t="shared" si="28"/>
        <v>1653.42</v>
      </c>
      <c r="L283" s="948">
        <f t="shared" si="29"/>
        <v>3132.52</v>
      </c>
      <c r="M283" s="374">
        <f t="shared" si="30"/>
        <v>5215867.0400000019</v>
      </c>
      <c r="N283" s="375">
        <f>+M283/L$815</f>
        <v>0.92354765781617387</v>
      </c>
      <c r="O283" s="376" t="str">
        <f>IF(N283&lt;0.5,"A",IF(N283&gt;0.8,"C","B"))</f>
        <v>C</v>
      </c>
    </row>
    <row r="284" spans="1:15" x14ac:dyDescent="0.25">
      <c r="A284" s="232">
        <f t="shared" si="25"/>
        <v>284</v>
      </c>
      <c r="B284" s="232"/>
      <c r="C284" s="310" t="s">
        <v>12251</v>
      </c>
      <c r="D284" s="373" t="str">
        <f>IF($C284="","",IFERROR(VLOOKUP($C284,SERVIÇOS!$B:$G,2,0),IFERROR(VLOOKUP($C284,'COMPOSIÇÕES COMPLEMENTARES '!$D:$L,2,0),IFERROR(VLOOKUP($C284,INSUMOS!$A:$D,2,0),""))))</f>
        <v>CABO FLEXÍVEL ISOL. 750V  -  #6,0MM² - AFUMEX</v>
      </c>
      <c r="E284" s="312" t="str">
        <f>IF($C284="","",IFERROR(VLOOKUP($C284,SERVIÇOS!$B:$G,3,0),IFERROR(VLOOKUP($C284,'COMPOSIÇÕES COMPLEMENTARES '!$D:$L,3,0),IFERROR(VLOOKUP($C284,INSUMOS!$A:$D,3,0),""))))</f>
        <v>M</v>
      </c>
      <c r="F284" s="313">
        <v>300</v>
      </c>
      <c r="G284" s="314">
        <f>IF($C284="","",IFERROR(VLOOKUP($C284,SERVIÇOS!$B:$G,4,0),IFERROR(VLOOKUP($C284,'COMPOSIÇÕES COMPLEMENTARES '!$D:$L,6,0),IFERROR(VLOOKUP($C284,INSUMOS!$A:$D,4,0),""))))</f>
        <v>7.73</v>
      </c>
      <c r="H284" s="314">
        <f>IF($C284="","",IFERROR(VLOOKUP($C284,SERVIÇOS!$B:$G,5,0),IFERROR(VLOOKUP($C284,'COMPOSIÇÕES COMPLEMENTARES '!$D:$L,7,0),0)))</f>
        <v>2.56</v>
      </c>
      <c r="I284" s="314">
        <f t="shared" si="26"/>
        <v>10.290000000000001</v>
      </c>
      <c r="J284" s="314">
        <f t="shared" si="27"/>
        <v>2319</v>
      </c>
      <c r="K284" s="314">
        <f t="shared" si="28"/>
        <v>768</v>
      </c>
      <c r="L284" s="948">
        <f t="shared" si="29"/>
        <v>3087</v>
      </c>
      <c r="M284" s="374">
        <f t="shared" si="30"/>
        <v>5218954.0400000019</v>
      </c>
      <c r="N284" s="375">
        <f>+M284/L$815</f>
        <v>0.92409425756609365</v>
      </c>
      <c r="O284" s="376" t="str">
        <f>IF(N284&lt;0.5,"A",IF(N284&gt;0.8,"C","B"))</f>
        <v>C</v>
      </c>
    </row>
    <row r="285" spans="1:15" x14ac:dyDescent="0.25">
      <c r="A285" s="232">
        <f t="shared" si="25"/>
        <v>285</v>
      </c>
      <c r="B285" s="232"/>
      <c r="C285" s="310" t="s">
        <v>12238</v>
      </c>
      <c r="D285" s="373" t="str">
        <f>IF($C285="","",IFERROR(VLOOKUP($C285,SERVIÇOS!$B:$G,2,0),IFERROR(VLOOKUP($C285,'COMPOSIÇÕES COMPLEMENTARES '!$D:$L,2,0),IFERROR(VLOOKUP($C285,INSUMOS!$A:$D,2,0),""))))</f>
        <v>CONDUTOR DE COBRE FLEX. ISOL. 1KV - 90º - #25MM² - AFUMEX</v>
      </c>
      <c r="E285" s="312" t="str">
        <f>IF($C285="","",IFERROR(VLOOKUP($C285,SERVIÇOS!$B:$G,3,0),IFERROR(VLOOKUP($C285,'COMPOSIÇÕES COMPLEMENTARES '!$D:$L,3,0),IFERROR(VLOOKUP($C285,INSUMOS!$A:$D,3,0),""))))</f>
        <v>M</v>
      </c>
      <c r="F285" s="313">
        <v>108</v>
      </c>
      <c r="G285" s="314">
        <f>IF($C285="","",IFERROR(VLOOKUP($C285,SERVIÇOS!$B:$G,4,0),IFERROR(VLOOKUP($C285,'COMPOSIÇÕES COMPLEMENTARES '!$D:$L,6,0),IFERROR(VLOOKUP($C285,INSUMOS!$A:$D,4,0),""))))</f>
        <v>25.38</v>
      </c>
      <c r="H285" s="314">
        <f>IF($C285="","",IFERROR(VLOOKUP($C285,SERVIÇOS!$B:$G,5,0),IFERROR(VLOOKUP($C285,'COMPOSIÇÕES COMPLEMENTARES '!$D:$L,7,0),0)))</f>
        <v>3.16</v>
      </c>
      <c r="I285" s="314">
        <f t="shared" si="26"/>
        <v>28.54</v>
      </c>
      <c r="J285" s="314">
        <f t="shared" si="27"/>
        <v>2741.04</v>
      </c>
      <c r="K285" s="314">
        <f t="shared" si="28"/>
        <v>341.28</v>
      </c>
      <c r="L285" s="948">
        <f t="shared" si="29"/>
        <v>3082.32</v>
      </c>
      <c r="M285" s="374">
        <f t="shared" si="30"/>
        <v>5222036.3600000022</v>
      </c>
      <c r="N285" s="375">
        <f>+M285/L$815</f>
        <v>0.9246400286516695</v>
      </c>
      <c r="O285" s="376" t="str">
        <f>IF(N285&lt;0.5,"A",IF(N285&gt;0.8,"C","B"))</f>
        <v>C</v>
      </c>
    </row>
    <row r="286" spans="1:15" x14ac:dyDescent="0.25">
      <c r="A286" s="232">
        <f t="shared" si="25"/>
        <v>286</v>
      </c>
      <c r="B286" s="232"/>
      <c r="C286" s="310">
        <v>86887</v>
      </c>
      <c r="D286" s="373" t="str">
        <f>IF($C286="","",IFERROR(VLOOKUP($C286,SERVIÇOS!$B:$G,2,0),IFERROR(VLOOKUP($C286,'COMPOSIÇÕES COMPLEMENTARES '!$D:$L,2,0),IFERROR(VLOOKUP($C286,INSUMOS!$A:$D,2,0),""))))</f>
        <v>ENGATE FLEXÍVEL EM INOX, 1/2  X 40CM - FORNECIMENTO E INSTALAÇÃO. AF_01/2020</v>
      </c>
      <c r="E286" s="312" t="str">
        <f>IF($C286="","",IFERROR(VLOOKUP($C286,SERVIÇOS!$B:$G,3,0),IFERROR(VLOOKUP($C286,'COMPOSIÇÕES COMPLEMENTARES '!$D:$L,3,0),IFERROR(VLOOKUP($C286,INSUMOS!$A:$D,3,0),""))))</f>
        <v>UN</v>
      </c>
      <c r="F286" s="313">
        <v>38</v>
      </c>
      <c r="G286" s="314">
        <f>IF($C286="","",IFERROR(VLOOKUP($C286,SERVIÇOS!$B:$G,4,0),IFERROR(VLOOKUP($C286,'COMPOSIÇÕES COMPLEMENTARES '!$D:$L,6,0),IFERROR(VLOOKUP($C286,INSUMOS!$A:$D,4,0),""))))</f>
        <v>75.78</v>
      </c>
      <c r="H286" s="314">
        <f>IF($C286="","",IFERROR(VLOOKUP($C286,SERVIÇOS!$B:$G,5,0),IFERROR(VLOOKUP($C286,'COMPOSIÇÕES COMPLEMENTARES '!$D:$L,7,0),0)))</f>
        <v>5.12</v>
      </c>
      <c r="I286" s="314">
        <f t="shared" si="26"/>
        <v>80.900000000000006</v>
      </c>
      <c r="J286" s="314">
        <f t="shared" si="27"/>
        <v>2879.64</v>
      </c>
      <c r="K286" s="314">
        <f t="shared" si="28"/>
        <v>194.56</v>
      </c>
      <c r="L286" s="948">
        <f t="shared" si="29"/>
        <v>3074.2</v>
      </c>
      <c r="M286" s="374">
        <f t="shared" si="30"/>
        <v>5225110.5600000024</v>
      </c>
      <c r="N286" s="375">
        <f>+M286/L$815</f>
        <v>0.92518436196919573</v>
      </c>
      <c r="O286" s="376" t="str">
        <f>IF(N286&lt;0.5,"A",IF(N286&gt;0.8,"C","B"))</f>
        <v>C</v>
      </c>
    </row>
    <row r="287" spans="1:15" ht="25.5" x14ac:dyDescent="0.25">
      <c r="A287" s="232">
        <f t="shared" si="25"/>
        <v>287</v>
      </c>
      <c r="B287" s="232"/>
      <c r="C287" s="310">
        <v>91839</v>
      </c>
      <c r="D287" s="373" t="str">
        <f>IF($C287="","",IFERROR(VLOOKUP($C287,SERVIÇOS!$B:$G,2,0),IFERROR(VLOOKUP($C287,'COMPOSIÇÕES COMPLEMENTARES '!$D:$L,2,0),IFERROR(VLOOKUP($C287,INSUMOS!$A:$D,2,0),""))))</f>
        <v>ELETRODUTO FLEXÍVEL LISO, PEAD, DN 32 MM (1"), PARA CIRCUITOS TERMINAIS, INSTALADO EM FORRO - FORNECIMENTO E INSTALAÇÃO. AF_03/2023</v>
      </c>
      <c r="E287" s="312" t="str">
        <f>IF($C287="","",IFERROR(VLOOKUP($C287,SERVIÇOS!$B:$G,3,0),IFERROR(VLOOKUP($C287,'COMPOSIÇÕES COMPLEMENTARES '!$D:$L,3,0),IFERROR(VLOOKUP($C287,INSUMOS!$A:$D,3,0),""))))</f>
        <v>M</v>
      </c>
      <c r="F287" s="313">
        <v>126</v>
      </c>
      <c r="G287" s="314">
        <f>IF($C287="","",IFERROR(VLOOKUP($C287,SERVIÇOS!$B:$G,4,0),IFERROR(VLOOKUP($C287,'COMPOSIÇÕES COMPLEMENTARES '!$D:$L,6,0),IFERROR(VLOOKUP($C287,INSUMOS!$A:$D,4,0),""))))</f>
        <v>12.01</v>
      </c>
      <c r="H287" s="314">
        <f>IF($C287="","",IFERROR(VLOOKUP($C287,SERVIÇOS!$B:$G,5,0),IFERROR(VLOOKUP($C287,'COMPOSIÇÕES COMPLEMENTARES '!$D:$L,7,0),0)))</f>
        <v>12.01</v>
      </c>
      <c r="I287" s="314">
        <f t="shared" si="26"/>
        <v>24.02</v>
      </c>
      <c r="J287" s="314">
        <f t="shared" si="27"/>
        <v>1513.26</v>
      </c>
      <c r="K287" s="314">
        <f t="shared" si="28"/>
        <v>1513.26</v>
      </c>
      <c r="L287" s="948">
        <f t="shared" si="29"/>
        <v>3026.52</v>
      </c>
      <c r="M287" s="374">
        <f t="shared" si="30"/>
        <v>5228137.0800000019</v>
      </c>
      <c r="N287" s="375">
        <f>+M287/L$815</f>
        <v>0.92572025282605563</v>
      </c>
      <c r="O287" s="376" t="str">
        <f>IF(N287&lt;0.5,"A",IF(N287&gt;0.8,"C","B"))</f>
        <v>C</v>
      </c>
    </row>
    <row r="288" spans="1:15" ht="25.5" x14ac:dyDescent="0.25">
      <c r="A288" s="232">
        <f t="shared" si="25"/>
        <v>288</v>
      </c>
      <c r="B288" s="232"/>
      <c r="C288" s="310">
        <v>98053</v>
      </c>
      <c r="D288" s="373" t="str">
        <f>IF($C288="","",IFERROR(VLOOKUP($C288,SERVIÇOS!$B:$G,2,0),IFERROR(VLOOKUP($C288,'COMPOSIÇÕES COMPLEMENTARES '!$D:$L,2,0),IFERROR(VLOOKUP($C288,INSUMOS!$A:$D,2,0),""))))</f>
        <v>TANQUE SÉPTICO CIRCULAR, EM CONCRETO PRÉ-MOLDADO, DIÂMETRO INTERNO = 1,40 M, ALTURA INTERNA = 2,50 M, VOLUME ÚTIL: 3463,6 L (PARA 13 CONTRIBUINTES). AF_12/2020</v>
      </c>
      <c r="E288" s="312" t="str">
        <f>IF($C288="","",IFERROR(VLOOKUP($C288,SERVIÇOS!$B:$G,3,0),IFERROR(VLOOKUP($C288,'COMPOSIÇÕES COMPLEMENTARES '!$D:$L,3,0),IFERROR(VLOOKUP($C288,INSUMOS!$A:$D,3,0),""))))</f>
        <v>UN</v>
      </c>
      <c r="F288" s="313">
        <v>1</v>
      </c>
      <c r="G288" s="314">
        <f>IF($C288="","",IFERROR(VLOOKUP($C288,SERVIÇOS!$B:$G,4,0),IFERROR(VLOOKUP($C288,'COMPOSIÇÕES COMPLEMENTARES '!$D:$L,6,0),IFERROR(VLOOKUP($C288,INSUMOS!$A:$D,4,0),""))))</f>
        <v>2635.4</v>
      </c>
      <c r="H288" s="314">
        <f>IF($C288="","",IFERROR(VLOOKUP($C288,SERVIÇOS!$B:$G,5,0),IFERROR(VLOOKUP($C288,'COMPOSIÇÕES COMPLEMENTARES '!$D:$L,7,0),0)))</f>
        <v>365.51</v>
      </c>
      <c r="I288" s="314">
        <f t="shared" si="26"/>
        <v>3000.91</v>
      </c>
      <c r="J288" s="314">
        <f t="shared" si="27"/>
        <v>2635.4</v>
      </c>
      <c r="K288" s="314">
        <f t="shared" si="28"/>
        <v>365.51</v>
      </c>
      <c r="L288" s="948">
        <f t="shared" si="29"/>
        <v>3000.91</v>
      </c>
      <c r="M288" s="374">
        <f t="shared" si="30"/>
        <v>5231137.9900000021</v>
      </c>
      <c r="N288" s="375">
        <f>+M288/L$815</f>
        <v>0.92625160904747827</v>
      </c>
      <c r="O288" s="376" t="str">
        <f>IF(N288&lt;0.5,"A",IF(N288&gt;0.8,"C","B"))</f>
        <v>C</v>
      </c>
    </row>
    <row r="289" spans="1:15" x14ac:dyDescent="0.25">
      <c r="A289" s="232">
        <f t="shared" si="25"/>
        <v>289</v>
      </c>
      <c r="B289" s="232"/>
      <c r="C289" s="310" t="s">
        <v>11996</v>
      </c>
      <c r="D289" s="373" t="str">
        <f>IF($C289="","",IFERROR(VLOOKUP($C289,SERVIÇOS!$B:$G,2,0),IFERROR(VLOOKUP($C289,'COMPOSIÇÕES COMPLEMENTARES '!$D:$L,2,0),IFERROR(VLOOKUP($C289,INSUMOS!$A:$D,2,0),""))))</f>
        <v>REVESTIMENTO EM ARGAMASSA BARITA, ESPESSURA 2,50 CM</v>
      </c>
      <c r="E289" s="312" t="str">
        <f>IF($C289="","",IFERROR(VLOOKUP($C289,SERVIÇOS!$B:$G,3,0),IFERROR(VLOOKUP($C289,'COMPOSIÇÕES COMPLEMENTARES '!$D:$L,3,0),IFERROR(VLOOKUP($C289,INSUMOS!$A:$D,3,0),""))))</f>
        <v>M2</v>
      </c>
      <c r="F289" s="313">
        <v>15.36</v>
      </c>
      <c r="G289" s="314">
        <f>IF($C289="","",IFERROR(VLOOKUP($C289,SERVIÇOS!$B:$G,4,0),IFERROR(VLOOKUP($C289,'COMPOSIÇÕES COMPLEMENTARES '!$D:$L,6,0),IFERROR(VLOOKUP($C289,INSUMOS!$A:$D,4,0),""))))</f>
        <v>135.6</v>
      </c>
      <c r="H289" s="314">
        <f>IF($C289="","",IFERROR(VLOOKUP($C289,SERVIÇOS!$B:$G,5,0),IFERROR(VLOOKUP($C289,'COMPOSIÇÕES COMPLEMENTARES '!$D:$L,7,0),0)))</f>
        <v>58.91</v>
      </c>
      <c r="I289" s="314">
        <f t="shared" si="26"/>
        <v>194.51</v>
      </c>
      <c r="J289" s="314">
        <f t="shared" si="27"/>
        <v>2082.81</v>
      </c>
      <c r="K289" s="314">
        <f t="shared" si="28"/>
        <v>904.85</v>
      </c>
      <c r="L289" s="948">
        <f t="shared" si="29"/>
        <v>2987.66</v>
      </c>
      <c r="M289" s="374">
        <f t="shared" si="30"/>
        <v>5234125.6500000022</v>
      </c>
      <c r="N289" s="375">
        <f>+M289/L$815</f>
        <v>0.92678061915724352</v>
      </c>
      <c r="O289" s="376" t="str">
        <f>IF(N289&lt;0.5,"A",IF(N289&gt;0.8,"C","B"))</f>
        <v>C</v>
      </c>
    </row>
    <row r="290" spans="1:15" x14ac:dyDescent="0.25">
      <c r="A290" s="232">
        <f t="shared" si="25"/>
        <v>290</v>
      </c>
      <c r="B290" s="232"/>
      <c r="C290" s="310">
        <v>88423</v>
      </c>
      <c r="D290" s="373" t="str">
        <f>IF($C290="","",IFERROR(VLOOKUP($C290,SERVIÇOS!$B:$G,2,0),IFERROR(VLOOKUP($C290,'COMPOSIÇÕES COMPLEMENTARES '!$D:$L,2,0),IFERROR(VLOOKUP($C290,INSUMOS!$A:$D,2,0),""))))</f>
        <v>APLICAÇÃO MANUAL DE PINTURA COM TINTA TEXTURIZADA ACRÍLICA EM PAREDES EXTERNAS DE CASAS, UMA COR. AF_03/2024</v>
      </c>
      <c r="E290" s="312" t="str">
        <f>IF($C290="","",IFERROR(VLOOKUP($C290,SERVIÇOS!$B:$G,3,0),IFERROR(VLOOKUP($C290,'COMPOSIÇÕES COMPLEMENTARES '!$D:$L,3,0),IFERROR(VLOOKUP($C290,INSUMOS!$A:$D,3,0),""))))</f>
        <v>M2</v>
      </c>
      <c r="F290" s="313">
        <v>136.88999999999999</v>
      </c>
      <c r="G290" s="314">
        <f>IF($C290="","",IFERROR(VLOOKUP($C290,SERVIÇOS!$B:$G,4,0),IFERROR(VLOOKUP($C290,'COMPOSIÇÕES COMPLEMENTARES '!$D:$L,6,0),IFERROR(VLOOKUP($C290,INSUMOS!$A:$D,4,0),""))))</f>
        <v>16.98</v>
      </c>
      <c r="H290" s="314">
        <f>IF($C290="","",IFERROR(VLOOKUP($C290,SERVIÇOS!$B:$G,5,0),IFERROR(VLOOKUP($C290,'COMPOSIÇÕES COMPLEMENTARES '!$D:$L,7,0),0)))</f>
        <v>4.6500000000000004</v>
      </c>
      <c r="I290" s="314">
        <f t="shared" si="26"/>
        <v>21.630000000000003</v>
      </c>
      <c r="J290" s="314">
        <f t="shared" si="27"/>
        <v>2324.39</v>
      </c>
      <c r="K290" s="314">
        <f t="shared" si="28"/>
        <v>636.53</v>
      </c>
      <c r="L290" s="948">
        <f t="shared" si="29"/>
        <v>2960.92</v>
      </c>
      <c r="M290" s="374">
        <f t="shared" si="30"/>
        <v>5237086.5700000022</v>
      </c>
      <c r="N290" s="375">
        <f>+M290/L$815</f>
        <v>0.92730489454808651</v>
      </c>
      <c r="O290" s="376" t="str">
        <f>IF(N290&lt;0.5,"A",IF(N290&gt;0.8,"C","B"))</f>
        <v>C</v>
      </c>
    </row>
    <row r="291" spans="1:15" ht="25.5" x14ac:dyDescent="0.25">
      <c r="A291" s="232">
        <f t="shared" si="25"/>
        <v>291</v>
      </c>
      <c r="B291" s="232"/>
      <c r="C291" s="310" t="s">
        <v>12208</v>
      </c>
      <c r="D291" s="373" t="str">
        <f>IF($C291="","",IFERROR(VLOOKUP($C291,SERVIÇOS!$B:$G,2,0),IFERROR(VLOOKUP($C291,'COMPOSIÇÕES COMPLEMENTARES '!$D:$L,2,0),IFERROR(VLOOKUP($C291,INSUMOS!$A:$D,2,0),""))))</f>
        <v>LUMINÁRIA QUADRADA TIPO PLACA DE LED 30X30 CM DE EMBUTIR, 24W/127V - 1700 LM - 4000K - STH9954Q/40 - BIVOLT - STELLA OU SIMILAR.</v>
      </c>
      <c r="E291" s="312" t="str">
        <f>IF($C291="","",IFERROR(VLOOKUP($C291,SERVIÇOS!$B:$G,3,0),IFERROR(VLOOKUP($C291,'COMPOSIÇÕES COMPLEMENTARES '!$D:$L,3,0),IFERROR(VLOOKUP($C291,INSUMOS!$A:$D,3,0),""))))</f>
        <v>UN</v>
      </c>
      <c r="F291" s="313">
        <v>22</v>
      </c>
      <c r="G291" s="314">
        <f>IF($C291="","",IFERROR(VLOOKUP($C291,SERVIÇOS!$B:$G,4,0),IFERROR(VLOOKUP($C291,'COMPOSIÇÕES COMPLEMENTARES '!$D:$L,6,0),IFERROR(VLOOKUP($C291,INSUMOS!$A:$D,4,0),""))))</f>
        <v>87.24</v>
      </c>
      <c r="H291" s="314">
        <f>IF($C291="","",IFERROR(VLOOKUP($C291,SERVIÇOS!$B:$G,5,0),IFERROR(VLOOKUP($C291,'COMPOSIÇÕES COMPLEMENTARES '!$D:$L,7,0),0)))</f>
        <v>43.89</v>
      </c>
      <c r="I291" s="314">
        <f t="shared" si="26"/>
        <v>131.13</v>
      </c>
      <c r="J291" s="314">
        <f t="shared" si="27"/>
        <v>1919.28</v>
      </c>
      <c r="K291" s="314">
        <f t="shared" si="28"/>
        <v>965.58</v>
      </c>
      <c r="L291" s="948">
        <f t="shared" si="29"/>
        <v>2884.86</v>
      </c>
      <c r="M291" s="374">
        <f t="shared" si="30"/>
        <v>5239971.4300000025</v>
      </c>
      <c r="N291" s="375">
        <f>+M291/L$815</f>
        <v>0.92781570237269084</v>
      </c>
      <c r="O291" s="376" t="str">
        <f>IF(N291&lt;0.5,"A",IF(N291&gt;0.8,"C","B"))</f>
        <v>C</v>
      </c>
    </row>
    <row r="292" spans="1:15" x14ac:dyDescent="0.25">
      <c r="A292" s="232">
        <f t="shared" si="25"/>
        <v>292</v>
      </c>
      <c r="B292" s="232"/>
      <c r="C292" s="310" t="s">
        <v>11994</v>
      </c>
      <c r="D292" s="373" t="str">
        <f>IF($C292="","",IFERROR(VLOOKUP($C292,SERVIÇOS!$B:$G,2,0),IFERROR(VLOOKUP($C292,'COMPOSIÇÕES COMPLEMENTARES '!$D:$L,2,0),IFERROR(VLOOKUP($C292,INSUMOS!$A:$D,2,0),""))))</f>
        <v>REVESTIMENTO EM ARGAMASSA BARITA, ESPESSURA 1,50 CM</v>
      </c>
      <c r="E292" s="312" t="str">
        <f>IF($C292="","",IFERROR(VLOOKUP($C292,SERVIÇOS!$B:$G,3,0),IFERROR(VLOOKUP($C292,'COMPOSIÇÕES COMPLEMENTARES '!$D:$L,3,0),IFERROR(VLOOKUP($C292,INSUMOS!$A:$D,3,0),""))))</f>
        <v>M2</v>
      </c>
      <c r="F292" s="313">
        <v>21.75</v>
      </c>
      <c r="G292" s="314">
        <f>IF($C292="","",IFERROR(VLOOKUP($C292,SERVIÇOS!$B:$G,4,0),IFERROR(VLOOKUP($C292,'COMPOSIÇÕES COMPLEMENTARES '!$D:$L,6,0),IFERROR(VLOOKUP($C292,INSUMOS!$A:$D,4,0),""))))</f>
        <v>83.21</v>
      </c>
      <c r="H292" s="314">
        <f>IF($C292="","",IFERROR(VLOOKUP($C292,SERVIÇOS!$B:$G,5,0),IFERROR(VLOOKUP($C292,'COMPOSIÇÕES COMPLEMENTARES '!$D:$L,7,0),0)))</f>
        <v>48.53</v>
      </c>
      <c r="I292" s="314">
        <f t="shared" si="26"/>
        <v>131.74</v>
      </c>
      <c r="J292" s="314">
        <f t="shared" si="27"/>
        <v>1809.81</v>
      </c>
      <c r="K292" s="314">
        <f t="shared" si="28"/>
        <v>1055.52</v>
      </c>
      <c r="L292" s="948">
        <f t="shared" si="29"/>
        <v>2865.33</v>
      </c>
      <c r="M292" s="374">
        <f t="shared" si="30"/>
        <v>5242836.7600000026</v>
      </c>
      <c r="N292" s="375">
        <f>+M292/L$815</f>
        <v>0.92832305211724464</v>
      </c>
      <c r="O292" s="376" t="str">
        <f>IF(N292&lt;0.5,"A",IF(N292&gt;0.8,"C","B"))</f>
        <v>C</v>
      </c>
    </row>
    <row r="293" spans="1:15" x14ac:dyDescent="0.25">
      <c r="A293" s="232">
        <f t="shared" si="25"/>
        <v>293</v>
      </c>
      <c r="B293" s="232"/>
      <c r="C293" s="310" t="s">
        <v>12218</v>
      </c>
      <c r="D293" s="373" t="str">
        <f>IF($C293="","",IFERROR(VLOOKUP($C293,SERVIÇOS!$B:$G,2,0),IFERROR(VLOOKUP($C293,'COMPOSIÇÕES COMPLEMENTARES '!$D:$L,2,0),IFERROR(VLOOKUP($C293,INSUMOS!$A:$D,2,0),""))))</f>
        <v>ELETRODUTO RÍGIDO ROSCÁVEL, PVC, DN 25 MM (3/4"), INCLUSO CONEXÕES - FORNECIMENTO E INSTALAÇÃO</v>
      </c>
      <c r="E293" s="312" t="str">
        <f>IF($C293="","",IFERROR(VLOOKUP($C293,SERVIÇOS!$B:$G,3,0),IFERROR(VLOOKUP($C293,'COMPOSIÇÕES COMPLEMENTARES '!$D:$L,3,0),IFERROR(VLOOKUP($C293,INSUMOS!$A:$D,3,0),""))))</f>
        <v>M</v>
      </c>
      <c r="F293" s="313">
        <v>213</v>
      </c>
      <c r="G293" s="314">
        <f>IF($C293="","",IFERROR(VLOOKUP($C293,SERVIÇOS!$B:$G,4,0),IFERROR(VLOOKUP($C293,'COMPOSIÇÕES COMPLEMENTARES '!$D:$L,6,0),IFERROR(VLOOKUP($C293,INSUMOS!$A:$D,4,0),""))))</f>
        <v>9.18</v>
      </c>
      <c r="H293" s="314">
        <f>IF($C293="","",IFERROR(VLOOKUP($C293,SERVIÇOS!$B:$G,5,0),IFERROR(VLOOKUP($C293,'COMPOSIÇÕES COMPLEMENTARES '!$D:$L,7,0),0)))</f>
        <v>4.1500000000000004</v>
      </c>
      <c r="I293" s="314">
        <f t="shared" si="26"/>
        <v>13.33</v>
      </c>
      <c r="J293" s="314">
        <f t="shared" si="27"/>
        <v>1955.34</v>
      </c>
      <c r="K293" s="314">
        <f t="shared" si="28"/>
        <v>883.95</v>
      </c>
      <c r="L293" s="948">
        <f t="shared" si="29"/>
        <v>2839.29</v>
      </c>
      <c r="M293" s="374">
        <f t="shared" si="30"/>
        <v>5245676.0500000026</v>
      </c>
      <c r="N293" s="375">
        <f>+M293/L$815</f>
        <v>0.92882579108839769</v>
      </c>
      <c r="O293" s="376" t="str">
        <f>IF(N293&lt;0.5,"A",IF(N293&gt;0.8,"C","B"))</f>
        <v>C</v>
      </c>
    </row>
    <row r="294" spans="1:15" x14ac:dyDescent="0.25">
      <c r="A294" s="232">
        <f t="shared" si="25"/>
        <v>294</v>
      </c>
      <c r="B294" s="232"/>
      <c r="C294" s="310" t="s">
        <v>12284</v>
      </c>
      <c r="D294" s="373" t="str">
        <f>IF($C294="","",IFERROR(VLOOKUP($C294,SERVIÇOS!$B:$G,2,0),IFERROR(VLOOKUP($C294,'COMPOSIÇÕES COMPLEMENTARES '!$D:$L,2,0),IFERROR(VLOOKUP($C294,INSUMOS!$A:$D,2,0),""))))</f>
        <v>ELETROCALHA PERFURADA 300X100X3000MM - CH 18, INCLUSO CONEXÕES E SUPORTES DE FIXAÇÃO</v>
      </c>
      <c r="E294" s="312" t="str">
        <f>IF($C294="","",IFERROR(VLOOKUP($C294,SERVIÇOS!$B:$G,3,0),IFERROR(VLOOKUP($C294,'COMPOSIÇÕES COMPLEMENTARES '!$D:$L,3,0),IFERROR(VLOOKUP($C294,INSUMOS!$A:$D,3,0),""))))</f>
        <v>M</v>
      </c>
      <c r="F294" s="313">
        <v>9</v>
      </c>
      <c r="G294" s="314">
        <f>IF($C294="","",IFERROR(VLOOKUP($C294,SERVIÇOS!$B:$G,4,0),IFERROR(VLOOKUP($C294,'COMPOSIÇÕES COMPLEMENTARES '!$D:$L,6,0),IFERROR(VLOOKUP($C294,INSUMOS!$A:$D,4,0),""))))</f>
        <v>258.89</v>
      </c>
      <c r="H294" s="314">
        <f>IF($C294="","",IFERROR(VLOOKUP($C294,SERVIÇOS!$B:$G,5,0),IFERROR(VLOOKUP($C294,'COMPOSIÇÕES COMPLEMENTARES '!$D:$L,7,0),0)))</f>
        <v>56.37</v>
      </c>
      <c r="I294" s="314">
        <f t="shared" si="26"/>
        <v>315.26</v>
      </c>
      <c r="J294" s="314">
        <f t="shared" si="27"/>
        <v>2330.0100000000002</v>
      </c>
      <c r="K294" s="314">
        <f t="shared" si="28"/>
        <v>507.33</v>
      </c>
      <c r="L294" s="948">
        <f t="shared" si="29"/>
        <v>2837.34</v>
      </c>
      <c r="M294" s="374">
        <f t="shared" si="30"/>
        <v>5248513.3900000025</v>
      </c>
      <c r="N294" s="375">
        <f>+M294/L$815</f>
        <v>0.92932818478274082</v>
      </c>
      <c r="O294" s="376" t="str">
        <f>IF(N294&lt;0.5,"A",IF(N294&gt;0.8,"C","B"))</f>
        <v>C</v>
      </c>
    </row>
    <row r="295" spans="1:15" ht="25.5" x14ac:dyDescent="0.25">
      <c r="A295" s="232">
        <f t="shared" si="25"/>
        <v>295</v>
      </c>
      <c r="B295" s="232"/>
      <c r="C295" s="310">
        <v>90466</v>
      </c>
      <c r="D295" s="373" t="str">
        <f>IF($C295="","",IFERROR(VLOOKUP($C295,SERVIÇOS!$B:$G,2,0),IFERROR(VLOOKUP($C295,'COMPOSIÇÕES COMPLEMENTARES '!$D:$L,2,0),IFERROR(VLOOKUP($C295,INSUMOS!$A:$D,2,0),""))))</f>
        <v>CHUMBAMENTO LINEAR EM ALVENARIA PARA RAMAIS/DISTRIBUIÇÃO DE INSTALAÇÕES HIDRÁULICAS COM DIÂMETROS MENORES OU IGUAIS A 40 MM. AF_09/2023</v>
      </c>
      <c r="E295" s="312" t="str">
        <f>IF($C295="","",IFERROR(VLOOKUP($C295,SERVIÇOS!$B:$G,3,0),IFERROR(VLOOKUP($C295,'COMPOSIÇÕES COMPLEMENTARES '!$D:$L,3,0),IFERROR(VLOOKUP($C295,INSUMOS!$A:$D,3,0),""))))</f>
        <v>M</v>
      </c>
      <c r="F295" s="313">
        <v>147</v>
      </c>
      <c r="G295" s="314">
        <f>IF($C295="","",IFERROR(VLOOKUP($C295,SERVIÇOS!$B:$G,4,0),IFERROR(VLOOKUP($C295,'COMPOSIÇÕES COMPLEMENTARES '!$D:$L,6,0),IFERROR(VLOOKUP($C295,INSUMOS!$A:$D,4,0),""))))</f>
        <v>6.59</v>
      </c>
      <c r="H295" s="314">
        <f>IF($C295="","",IFERROR(VLOOKUP($C295,SERVIÇOS!$B:$G,5,0),IFERROR(VLOOKUP($C295,'COMPOSIÇÕES COMPLEMENTARES '!$D:$L,7,0),0)))</f>
        <v>12.64</v>
      </c>
      <c r="I295" s="314">
        <f t="shared" si="26"/>
        <v>19.23</v>
      </c>
      <c r="J295" s="314">
        <f t="shared" si="27"/>
        <v>968.73</v>
      </c>
      <c r="K295" s="314">
        <f t="shared" si="28"/>
        <v>1858.08</v>
      </c>
      <c r="L295" s="948">
        <f t="shared" si="29"/>
        <v>2826.81</v>
      </c>
      <c r="M295" s="374">
        <f t="shared" si="30"/>
        <v>5251340.200000002</v>
      </c>
      <c r="N295" s="375">
        <f>+M295/L$815</f>
        <v>0.92982871398231004</v>
      </c>
      <c r="O295" s="376" t="str">
        <f>IF(N295&lt;0.5,"A",IF(N295&gt;0.8,"C","B"))</f>
        <v>C</v>
      </c>
    </row>
    <row r="296" spans="1:15" ht="25.5" x14ac:dyDescent="0.25">
      <c r="A296" s="232">
        <f t="shared" si="25"/>
        <v>296</v>
      </c>
      <c r="B296" s="232"/>
      <c r="C296" s="310">
        <v>100982</v>
      </c>
      <c r="D296" s="373" t="str">
        <f>IF($C296="","",IFERROR(VLOOKUP($C296,SERVIÇOS!$B:$G,2,0),IFERROR(VLOOKUP($C296,'COMPOSIÇÕES COMPLEMENTARES '!$D:$L,2,0),IFERROR(VLOOKUP($C296,INSUMOS!$A:$D,2,0),""))))</f>
        <v>CARGA, MANOBRA E DESCARGA DE ENTULHO EM CAMINHÃO BASCULANTE 10 M³ - CARGA COM ESCAVADEIRA HIDRÁULICA  (CAÇAMBA DE 0,80 M³ / 111 HP) E DESCARGA LIVRE (UNIDADE: M3). AF_07/2020</v>
      </c>
      <c r="E296" s="312" t="str">
        <f>IF($C296="","",IFERROR(VLOOKUP($C296,SERVIÇOS!$B:$G,3,0),IFERROR(VLOOKUP($C296,'COMPOSIÇÕES COMPLEMENTARES '!$D:$L,3,0),IFERROR(VLOOKUP($C296,INSUMOS!$A:$D,3,0),""))))</f>
        <v>M3</v>
      </c>
      <c r="F296" s="313">
        <v>289.39999999999998</v>
      </c>
      <c r="G296" s="314">
        <f>IF($C296="","",IFERROR(VLOOKUP($C296,SERVIÇOS!$B:$G,4,0),IFERROR(VLOOKUP($C296,'COMPOSIÇÕES COMPLEMENTARES '!$D:$L,6,0),IFERROR(VLOOKUP($C296,INSUMOS!$A:$D,4,0),""))))</f>
        <v>8.23</v>
      </c>
      <c r="H296" s="314">
        <f>IF($C296="","",IFERROR(VLOOKUP($C296,SERVIÇOS!$B:$G,5,0),IFERROR(VLOOKUP($C296,'COMPOSIÇÕES COMPLEMENTARES '!$D:$L,7,0),0)))</f>
        <v>1.49</v>
      </c>
      <c r="I296" s="314">
        <f t="shared" si="26"/>
        <v>9.7200000000000006</v>
      </c>
      <c r="J296" s="314">
        <f t="shared" si="27"/>
        <v>2381.7600000000002</v>
      </c>
      <c r="K296" s="314">
        <f t="shared" si="28"/>
        <v>431.2</v>
      </c>
      <c r="L296" s="948">
        <f t="shared" si="29"/>
        <v>2812.96</v>
      </c>
      <c r="M296" s="374">
        <f t="shared" si="30"/>
        <v>5254153.160000002</v>
      </c>
      <c r="N296" s="375">
        <f>+M296/L$815</f>
        <v>0.93032679083120362</v>
      </c>
      <c r="O296" s="376" t="str">
        <f>IF(N296&lt;0.5,"A",IF(N296&gt;0.8,"C","B"))</f>
        <v>C</v>
      </c>
    </row>
    <row r="297" spans="1:15" x14ac:dyDescent="0.25">
      <c r="A297" s="232">
        <f t="shared" si="25"/>
        <v>297</v>
      </c>
      <c r="B297" s="232"/>
      <c r="C297" s="310" t="s">
        <v>12320</v>
      </c>
      <c r="D297" s="373" t="str">
        <f>IF($C297="","",IFERROR(VLOOKUP($C297,SERVIÇOS!$B:$G,2,0),IFERROR(VLOOKUP($C297,'COMPOSIÇÕES COMPLEMENTARES '!$D:$L,2,0),IFERROR(VLOOKUP($C297,INSUMOS!$A:$D,2,0),""))))</f>
        <v>CERTIFICAÇÃO DO CABEAMENTO HORIZONTAL CONFORME NORMAS PARA ATENDIMENTO DA CAT. 6</v>
      </c>
      <c r="E297" s="312" t="str">
        <f>IF($C297="","",IFERROR(VLOOKUP($C297,SERVIÇOS!$B:$G,3,0),IFERROR(VLOOKUP($C297,'COMPOSIÇÕES COMPLEMENTARES '!$D:$L,3,0),IFERROR(VLOOKUP($C297,INSUMOS!$A:$D,3,0),""))))</f>
        <v>UN</v>
      </c>
      <c r="F297" s="313">
        <v>66</v>
      </c>
      <c r="G297" s="314">
        <f>IF($C297="","",IFERROR(VLOOKUP($C297,SERVIÇOS!$B:$G,4,0),IFERROR(VLOOKUP($C297,'COMPOSIÇÕES COMPLEMENTARES '!$D:$L,6,0),IFERROR(VLOOKUP($C297,INSUMOS!$A:$D,4,0),""))))</f>
        <v>10.5</v>
      </c>
      <c r="H297" s="314">
        <f>IF($C297="","",IFERROR(VLOOKUP($C297,SERVIÇOS!$B:$G,5,0),IFERROR(VLOOKUP($C297,'COMPOSIÇÕES COMPLEMENTARES '!$D:$L,7,0),0)))</f>
        <v>31.65</v>
      </c>
      <c r="I297" s="314">
        <f t="shared" si="26"/>
        <v>42.15</v>
      </c>
      <c r="J297" s="314">
        <f t="shared" si="27"/>
        <v>693</v>
      </c>
      <c r="K297" s="314">
        <f t="shared" si="28"/>
        <v>2088.9</v>
      </c>
      <c r="L297" s="948">
        <f t="shared" si="29"/>
        <v>2781.9</v>
      </c>
      <c r="M297" s="374">
        <f t="shared" si="30"/>
        <v>5256935.0600000024</v>
      </c>
      <c r="N297" s="375">
        <f>+M297/L$815</f>
        <v>0.93081936804024212</v>
      </c>
      <c r="O297" s="376" t="str">
        <f>IF(N297&lt;0.5,"A",IF(N297&gt;0.8,"C","B"))</f>
        <v>C</v>
      </c>
    </row>
    <row r="298" spans="1:15" ht="25.5" x14ac:dyDescent="0.25">
      <c r="A298" s="232">
        <f t="shared" si="25"/>
        <v>298</v>
      </c>
      <c r="B298" s="232"/>
      <c r="C298" s="310">
        <v>87545</v>
      </c>
      <c r="D298" s="373" t="str">
        <f>IF($C298="","",IFERROR(VLOOKUP($C298,SERVIÇOS!$B:$G,2,0),IFERROR(VLOOKUP($C298,'COMPOSIÇÕES COMPLEMENTARES '!$D:$L,2,0),IFERROR(VLOOKUP($C298,INSUMOS!$A:$D,2,0),""))))</f>
        <v>EMBOÇO, EM ARGAMASSA TRAÇO 1:2:8, PREPARO MECÂNICO, APLICADO MANUALMENTE EM PAREDES INTERNAS, PARA AMBIENTES COM ÁREA MENOR QUE 5M², E = 10MM, COM TALISCAS. AF_03/2024</v>
      </c>
      <c r="E298" s="312" t="str">
        <f>IF($C298="","",IFERROR(VLOOKUP($C298,SERVIÇOS!$B:$G,3,0),IFERROR(VLOOKUP($C298,'COMPOSIÇÕES COMPLEMENTARES '!$D:$L,3,0),IFERROR(VLOOKUP($C298,INSUMOS!$A:$D,3,0),""))))</f>
        <v>M2</v>
      </c>
      <c r="F298" s="313">
        <v>80.540000000000006</v>
      </c>
      <c r="G298" s="314">
        <f>IF($C298="","",IFERROR(VLOOKUP($C298,SERVIÇOS!$B:$G,4,0),IFERROR(VLOOKUP($C298,'COMPOSIÇÕES COMPLEMENTARES '!$D:$L,6,0),IFERROR(VLOOKUP($C298,INSUMOS!$A:$D,4,0),""))))</f>
        <v>15.16</v>
      </c>
      <c r="H298" s="314">
        <f>IF($C298="","",IFERROR(VLOOKUP($C298,SERVIÇOS!$B:$G,5,0),IFERROR(VLOOKUP($C298,'COMPOSIÇÕES COMPLEMENTARES '!$D:$L,7,0),0)))</f>
        <v>19.28</v>
      </c>
      <c r="I298" s="314">
        <f t="shared" si="26"/>
        <v>34.44</v>
      </c>
      <c r="J298" s="314">
        <f t="shared" si="27"/>
        <v>1220.98</v>
      </c>
      <c r="K298" s="314">
        <f t="shared" si="28"/>
        <v>1552.81</v>
      </c>
      <c r="L298" s="948">
        <f t="shared" si="29"/>
        <v>2773.79</v>
      </c>
      <c r="M298" s="374">
        <f t="shared" si="30"/>
        <v>5259708.8500000024</v>
      </c>
      <c r="N298" s="375">
        <f>+M298/L$815</f>
        <v>0.93131050925188119</v>
      </c>
      <c r="O298" s="376" t="str">
        <f>IF(N298&lt;0.5,"A",IF(N298&gt;0.8,"C","B"))</f>
        <v>C</v>
      </c>
    </row>
    <row r="299" spans="1:15" x14ac:dyDescent="0.25">
      <c r="A299" s="232">
        <f t="shared" si="25"/>
        <v>299</v>
      </c>
      <c r="B299" s="232"/>
      <c r="C299" s="310" t="s">
        <v>11919</v>
      </c>
      <c r="D299" s="373" t="str">
        <f>IF($C299="","",IFERROR(VLOOKUP($C299,SERVIÇOS!$B:$G,2,0),IFERROR(VLOOKUP($C299,'COMPOSIÇÕES COMPLEMENTARES '!$D:$L,2,0),IFERROR(VLOOKUP($C299,INSUMOS!$A:$D,2,0),""))))</f>
        <v>ENTRADA PROVISORIA DE ENERGIA ELETRICA AÉREA TRIFASICA 40A EM POSTE DE MADEIRA</v>
      </c>
      <c r="E299" s="312" t="str">
        <f>IF($C299="","",IFERROR(VLOOKUP($C299,SERVIÇOS!$B:$G,3,0),IFERROR(VLOOKUP($C299,'COMPOSIÇÕES COMPLEMENTARES '!$D:$L,3,0),IFERROR(VLOOKUP($C299,INSUMOS!$A:$D,3,0),""))))</f>
        <v>CJ</v>
      </c>
      <c r="F299" s="313">
        <v>1</v>
      </c>
      <c r="G299" s="314">
        <f>IF($C299="","",IFERROR(VLOOKUP($C299,SERVIÇOS!$B:$G,4,0),IFERROR(VLOOKUP($C299,'COMPOSIÇÕES COMPLEMENTARES '!$D:$L,6,0),IFERROR(VLOOKUP($C299,INSUMOS!$A:$D,4,0),""))))</f>
        <v>2358.87</v>
      </c>
      <c r="H299" s="314">
        <f>IF($C299="","",IFERROR(VLOOKUP($C299,SERVIÇOS!$B:$G,5,0),IFERROR(VLOOKUP($C299,'COMPOSIÇÕES COMPLEMENTARES '!$D:$L,7,0),0)))</f>
        <v>396.32</v>
      </c>
      <c r="I299" s="314">
        <f t="shared" si="26"/>
        <v>2755.19</v>
      </c>
      <c r="J299" s="314">
        <f t="shared" si="27"/>
        <v>2358.87</v>
      </c>
      <c r="K299" s="314">
        <f t="shared" si="28"/>
        <v>396.32</v>
      </c>
      <c r="L299" s="948">
        <f t="shared" si="29"/>
        <v>2755.19</v>
      </c>
      <c r="M299" s="374">
        <f t="shared" si="30"/>
        <v>5262464.0400000028</v>
      </c>
      <c r="N299" s="375">
        <f>+M299/L$815</f>
        <v>0.93179835705394842</v>
      </c>
      <c r="O299" s="376" t="str">
        <f>IF(N299&lt;0.5,"A",IF(N299&gt;0.8,"C","B"))</f>
        <v>C</v>
      </c>
    </row>
    <row r="300" spans="1:15" ht="25.5" x14ac:dyDescent="0.25">
      <c r="A300" s="232">
        <f t="shared" si="25"/>
        <v>300</v>
      </c>
      <c r="B300" s="232"/>
      <c r="C300" s="310" t="s">
        <v>12217</v>
      </c>
      <c r="D300" s="373" t="str">
        <f>IF($C300="","",IFERROR(VLOOKUP($C300,SERVIÇOS!$B:$G,2,0),IFERROR(VLOOKUP($C300,'COMPOSIÇÕES COMPLEMENTARES '!$D:$L,2,0),IFERROR(VLOOKUP($C300,INSUMOS!$A:$D,2,0),""))))</f>
        <v>ELETRODUTO RÍGIDO ROSCÁVEL, PVC, DN 25 MM (3/4"), INCLUSO CONEXÕES E ACESSÓRIOS, INSTALAÇÃO APARENTE - FORNECIMENTO E INSTALAÇÃO</v>
      </c>
      <c r="E300" s="312" t="str">
        <f>IF($C300="","",IFERROR(VLOOKUP($C300,SERVIÇOS!$B:$G,3,0),IFERROR(VLOOKUP($C300,'COMPOSIÇÕES COMPLEMENTARES '!$D:$L,3,0),IFERROR(VLOOKUP($C300,INSUMOS!$A:$D,3,0),""))))</f>
        <v>M</v>
      </c>
      <c r="F300" s="313">
        <v>117</v>
      </c>
      <c r="G300" s="314">
        <f>IF($C300="","",IFERROR(VLOOKUP($C300,SERVIÇOS!$B:$G,4,0),IFERROR(VLOOKUP($C300,'COMPOSIÇÕES COMPLEMENTARES '!$D:$L,6,0),IFERROR(VLOOKUP($C300,INSUMOS!$A:$D,4,0),""))))</f>
        <v>14.79</v>
      </c>
      <c r="H300" s="314">
        <f>IF($C300="","",IFERROR(VLOOKUP($C300,SERVIÇOS!$B:$G,5,0),IFERROR(VLOOKUP($C300,'COMPOSIÇÕES COMPLEMENTARES '!$D:$L,7,0),0)))</f>
        <v>8.75</v>
      </c>
      <c r="I300" s="314">
        <f t="shared" si="26"/>
        <v>23.54</v>
      </c>
      <c r="J300" s="314">
        <f t="shared" si="27"/>
        <v>1730.43</v>
      </c>
      <c r="K300" s="314">
        <f t="shared" si="28"/>
        <v>1023.75</v>
      </c>
      <c r="L300" s="948">
        <f t="shared" si="29"/>
        <v>2754.18</v>
      </c>
      <c r="M300" s="374">
        <f t="shared" si="30"/>
        <v>5265218.2200000025</v>
      </c>
      <c r="N300" s="375">
        <f>+M300/L$815</f>
        <v>0.9322860260203345</v>
      </c>
      <c r="O300" s="376" t="str">
        <f>IF(N300&lt;0.5,"A",IF(N300&gt;0.8,"C","B"))</f>
        <v>C</v>
      </c>
    </row>
    <row r="301" spans="1:15" ht="25.5" x14ac:dyDescent="0.25">
      <c r="A301" s="232">
        <f t="shared" si="25"/>
        <v>301</v>
      </c>
      <c r="B301" s="232"/>
      <c r="C301" s="310">
        <v>86877</v>
      </c>
      <c r="D301" s="373" t="str">
        <f>IF($C301="","",IFERROR(VLOOKUP($C301,SERVIÇOS!$B:$G,2,0),IFERROR(VLOOKUP($C301,'COMPOSIÇÕES COMPLEMENTARES '!$D:$L,2,0),IFERROR(VLOOKUP($C301,INSUMOS!$A:$D,2,0),""))))</f>
        <v>VÁLVULA EM METAL CROMADO 1.1/2" X 1.1/2" PARA TANQUE OU LAVATÓRIO, COM OU SEM LADRÃO - FORNECIMENTO E INSTALAÇÃO. AF_01/2020</v>
      </c>
      <c r="E301" s="312" t="str">
        <f>IF($C301="","",IFERROR(VLOOKUP($C301,SERVIÇOS!$B:$G,3,0),IFERROR(VLOOKUP($C301,'COMPOSIÇÕES COMPLEMENTARES '!$D:$L,3,0),IFERROR(VLOOKUP($C301,INSUMOS!$A:$D,3,0),""))))</f>
        <v>UN</v>
      </c>
      <c r="F301" s="313">
        <v>27</v>
      </c>
      <c r="G301" s="314">
        <f>IF($C301="","",IFERROR(VLOOKUP($C301,SERVIÇOS!$B:$G,4,0),IFERROR(VLOOKUP($C301,'COMPOSIÇÕES COMPLEMENTARES '!$D:$L,6,0),IFERROR(VLOOKUP($C301,INSUMOS!$A:$D,4,0),""))))</f>
        <v>94.87</v>
      </c>
      <c r="H301" s="314">
        <f>IF($C301="","",IFERROR(VLOOKUP($C301,SERVIÇOS!$B:$G,5,0),IFERROR(VLOOKUP($C301,'COMPOSIÇÕES COMPLEMENTARES '!$D:$L,7,0),0)))</f>
        <v>5.85</v>
      </c>
      <c r="I301" s="314">
        <f t="shared" si="26"/>
        <v>100.72</v>
      </c>
      <c r="J301" s="314">
        <f t="shared" si="27"/>
        <v>2561.4899999999998</v>
      </c>
      <c r="K301" s="314">
        <f t="shared" si="28"/>
        <v>157.94999999999999</v>
      </c>
      <c r="L301" s="948">
        <f t="shared" si="29"/>
        <v>2719.44</v>
      </c>
      <c r="M301" s="374">
        <f t="shared" si="30"/>
        <v>5267937.6600000029</v>
      </c>
      <c r="N301" s="375">
        <f>+M301/L$815</f>
        <v>0.93276754374755244</v>
      </c>
      <c r="O301" s="376" t="str">
        <f>IF(N301&lt;0.5,"A",IF(N301&gt;0.8,"C","B"))</f>
        <v>C</v>
      </c>
    </row>
    <row r="302" spans="1:15" ht="25.5" x14ac:dyDescent="0.25">
      <c r="A302" s="232">
        <f t="shared" si="25"/>
        <v>302</v>
      </c>
      <c r="B302" s="232"/>
      <c r="C302" s="310" t="s">
        <v>12132</v>
      </c>
      <c r="D302" s="373" t="str">
        <f>IF($C302="","",IFERROR(VLOOKUP($C302,SERVIÇOS!$B:$G,2,0),IFERROR(VLOOKUP($C302,'COMPOSIÇÕES COMPLEMENTARES '!$D:$L,2,0),IFERROR(VLOOKUP($C302,INSUMOS!$A:$D,2,0),""))))</f>
        <v xml:space="preserve">CAIXA DE CAPTAÇÃO PARA ÁGUAS PLUVIAIS, EM ALVENARIA, DIMENSÃO INTERNA (60X60)CM, COM GRELHA DE FERRO (20x20)cm </v>
      </c>
      <c r="E302" s="312" t="str">
        <f>IF($C302="","",IFERROR(VLOOKUP($C302,SERVIÇOS!$B:$G,3,0),IFERROR(VLOOKUP($C302,'COMPOSIÇÕES COMPLEMENTARES '!$D:$L,3,0),IFERROR(VLOOKUP($C302,INSUMOS!$A:$D,3,0),""))))</f>
        <v>UN</v>
      </c>
      <c r="F302" s="313">
        <v>3</v>
      </c>
      <c r="G302" s="314">
        <f>IF($C302="","",IFERROR(VLOOKUP($C302,SERVIÇOS!$B:$G,4,0),IFERROR(VLOOKUP($C302,'COMPOSIÇÕES COMPLEMENTARES '!$D:$L,6,0),IFERROR(VLOOKUP($C302,INSUMOS!$A:$D,4,0),""))))</f>
        <v>464.89</v>
      </c>
      <c r="H302" s="314">
        <f>IF($C302="","",IFERROR(VLOOKUP($C302,SERVIÇOS!$B:$G,5,0),IFERROR(VLOOKUP($C302,'COMPOSIÇÕES COMPLEMENTARES '!$D:$L,7,0),0)))</f>
        <v>440.44</v>
      </c>
      <c r="I302" s="314">
        <f t="shared" si="26"/>
        <v>905.32999999999993</v>
      </c>
      <c r="J302" s="314">
        <f t="shared" si="27"/>
        <v>1394.67</v>
      </c>
      <c r="K302" s="314">
        <f t="shared" si="28"/>
        <v>1321.32</v>
      </c>
      <c r="L302" s="948">
        <f t="shared" si="29"/>
        <v>2715.99</v>
      </c>
      <c r="M302" s="374">
        <f t="shared" si="30"/>
        <v>5270653.6500000032</v>
      </c>
      <c r="N302" s="375">
        <f>+M302/L$815</f>
        <v>0.93324845060041428</v>
      </c>
      <c r="O302" s="376" t="str">
        <f>IF(N302&lt;0.5,"A",IF(N302&gt;0.8,"C","B"))</f>
        <v>C</v>
      </c>
    </row>
    <row r="303" spans="1:15" x14ac:dyDescent="0.25">
      <c r="A303" s="232">
        <f t="shared" si="25"/>
        <v>303</v>
      </c>
      <c r="B303" s="232"/>
      <c r="C303" s="310">
        <v>98510</v>
      </c>
      <c r="D303" s="373" t="str">
        <f>IF($C303="","",IFERROR(VLOOKUP($C303,SERVIÇOS!$B:$G,2,0),IFERROR(VLOOKUP($C303,'COMPOSIÇÕES COMPLEMENTARES '!$D:$L,2,0),IFERROR(VLOOKUP($C303,INSUMOS!$A:$D,2,0),""))))</f>
        <v>PLANTIO DE ÁRVORE ORNAMENTAL COM ALTURA DE MUDA MENOR OU IGUAL A 2,00 M . AF_07/2024</v>
      </c>
      <c r="E303" s="312" t="str">
        <f>IF($C303="","",IFERROR(VLOOKUP($C303,SERVIÇOS!$B:$G,3,0),IFERROR(VLOOKUP($C303,'COMPOSIÇÕES COMPLEMENTARES '!$D:$L,3,0),IFERROR(VLOOKUP($C303,INSUMOS!$A:$D,3,0),""))))</f>
        <v>UN</v>
      </c>
      <c r="F303" s="313">
        <v>34</v>
      </c>
      <c r="G303" s="314">
        <f>IF($C303="","",IFERROR(VLOOKUP($C303,SERVIÇOS!$B:$G,4,0),IFERROR(VLOOKUP($C303,'COMPOSIÇÕES COMPLEMENTARES '!$D:$L,6,0),IFERROR(VLOOKUP($C303,INSUMOS!$A:$D,4,0),""))))</f>
        <v>54.02</v>
      </c>
      <c r="H303" s="314">
        <f>IF($C303="","",IFERROR(VLOOKUP($C303,SERVIÇOS!$B:$G,5,0),IFERROR(VLOOKUP($C303,'COMPOSIÇÕES COMPLEMENTARES '!$D:$L,7,0),0)))</f>
        <v>24.99</v>
      </c>
      <c r="I303" s="314">
        <f t="shared" si="26"/>
        <v>79.010000000000005</v>
      </c>
      <c r="J303" s="314">
        <f t="shared" si="27"/>
        <v>1836.68</v>
      </c>
      <c r="K303" s="314">
        <f t="shared" si="28"/>
        <v>849.66</v>
      </c>
      <c r="L303" s="948">
        <f t="shared" si="29"/>
        <v>2686.34</v>
      </c>
      <c r="M303" s="374">
        <f t="shared" si="30"/>
        <v>5273339.990000003</v>
      </c>
      <c r="N303" s="375">
        <f>+M303/L$815</f>
        <v>0.93372410747511447</v>
      </c>
      <c r="O303" s="376" t="str">
        <f>IF(N303&lt;0.5,"A",IF(N303&gt;0.8,"C","B"))</f>
        <v>C</v>
      </c>
    </row>
    <row r="304" spans="1:15" ht="25.5" x14ac:dyDescent="0.25">
      <c r="A304" s="232">
        <f t="shared" si="25"/>
        <v>304</v>
      </c>
      <c r="B304" s="232"/>
      <c r="C304" s="310" t="s">
        <v>12311</v>
      </c>
      <c r="D304" s="373" t="str">
        <f>IF($C304="","",IFERROR(VLOOKUP($C304,SERVIÇOS!$B:$G,2,0),IFERROR(VLOOKUP($C304,'COMPOSIÇÕES COMPLEMENTARES '!$D:$L,2,0),IFERROR(VLOOKUP($C304,INSUMOS!$A:$D,2,0),""))))</f>
        <v>GUIA DE CABOS PADRÃO 19”, FABRICADO EM CHAPA DE AÇO COM ESPESSURA DE 1,5MM, PINTURA EM EPÓXI , COR PRETA, ALTURA DE 2 US (80 MM), DEVERÁ SER DA MESMA MARCA DO PATCH PANEL.</v>
      </c>
      <c r="E304" s="312" t="str">
        <f>IF($C304="","",IFERROR(VLOOKUP($C304,SERVIÇOS!$B:$G,3,0),IFERROR(VLOOKUP($C304,'COMPOSIÇÕES COMPLEMENTARES '!$D:$L,3,0),IFERROR(VLOOKUP($C304,INSUMOS!$A:$D,3,0),""))))</f>
        <v>UN</v>
      </c>
      <c r="F304" s="313">
        <v>7</v>
      </c>
      <c r="G304" s="314">
        <f>IF($C304="","",IFERROR(VLOOKUP($C304,SERVIÇOS!$B:$G,4,0),IFERROR(VLOOKUP($C304,'COMPOSIÇÕES COMPLEMENTARES '!$D:$L,6,0),IFERROR(VLOOKUP($C304,INSUMOS!$A:$D,4,0),""))))</f>
        <v>372.52</v>
      </c>
      <c r="H304" s="314">
        <f>IF($C304="","",IFERROR(VLOOKUP($C304,SERVIÇOS!$B:$G,5,0),IFERROR(VLOOKUP($C304,'COMPOSIÇÕES COMPLEMENTARES '!$D:$L,7,0),0)))</f>
        <v>7.61</v>
      </c>
      <c r="I304" s="314">
        <f t="shared" si="26"/>
        <v>380.13</v>
      </c>
      <c r="J304" s="314">
        <f t="shared" si="27"/>
        <v>2607.64</v>
      </c>
      <c r="K304" s="314">
        <f t="shared" si="28"/>
        <v>53.27</v>
      </c>
      <c r="L304" s="948">
        <f t="shared" si="29"/>
        <v>2660.91</v>
      </c>
      <c r="M304" s="374">
        <f t="shared" si="30"/>
        <v>5276000.9000000032</v>
      </c>
      <c r="N304" s="375">
        <f>+M304/L$815</f>
        <v>0.93419526158608268</v>
      </c>
      <c r="O304" s="376" t="str">
        <f>IF(N304&lt;0.5,"A",IF(N304&gt;0.8,"C","B"))</f>
        <v>C</v>
      </c>
    </row>
    <row r="305" spans="1:35" ht="25.5" x14ac:dyDescent="0.25">
      <c r="A305" s="232">
        <f t="shared" si="25"/>
        <v>305</v>
      </c>
      <c r="B305" s="232"/>
      <c r="C305" s="310">
        <v>97669</v>
      </c>
      <c r="D305" s="373" t="str">
        <f>IF($C305="","",IFERROR(VLOOKUP($C305,SERVIÇOS!$B:$G,2,0),IFERROR(VLOOKUP($C305,'COMPOSIÇÕES COMPLEMENTARES '!$D:$L,2,0),IFERROR(VLOOKUP($C305,INSUMOS!$A:$D,2,0),""))))</f>
        <v>ELETRODUTO FLEXÍVEL CORRUGADO, PEAD, DN 90 (3"), PARA REDE ENTERRADA DE DISTRIBUIÇÃO DE ENERGIA ELÉTRICA - FORNECIMENTO E INSTALAÇÃO. AF_12/2021</v>
      </c>
      <c r="E305" s="312" t="str">
        <f>IF($C305="","",IFERROR(VLOOKUP($C305,SERVIÇOS!$B:$G,3,0),IFERROR(VLOOKUP($C305,'COMPOSIÇÕES COMPLEMENTARES '!$D:$L,3,0),IFERROR(VLOOKUP($C305,INSUMOS!$A:$D,3,0),""))))</f>
        <v>M</v>
      </c>
      <c r="F305" s="313">
        <v>111</v>
      </c>
      <c r="G305" s="314">
        <f>IF($C305="","",IFERROR(VLOOKUP($C305,SERVIÇOS!$B:$G,4,0),IFERROR(VLOOKUP($C305,'COMPOSIÇÕES COMPLEMENTARES '!$D:$L,6,0),IFERROR(VLOOKUP($C305,INSUMOS!$A:$D,4,0),""))))</f>
        <v>16.05</v>
      </c>
      <c r="H305" s="314">
        <f>IF($C305="","",IFERROR(VLOOKUP($C305,SERVIÇOS!$B:$G,5,0),IFERROR(VLOOKUP($C305,'COMPOSIÇÕES COMPLEMENTARES '!$D:$L,7,0),0)))</f>
        <v>7.46</v>
      </c>
      <c r="I305" s="314">
        <f t="shared" si="26"/>
        <v>23.51</v>
      </c>
      <c r="J305" s="314">
        <f t="shared" si="27"/>
        <v>1781.55</v>
      </c>
      <c r="K305" s="314">
        <f t="shared" si="28"/>
        <v>828.06</v>
      </c>
      <c r="L305" s="948">
        <f t="shared" si="29"/>
        <v>2609.61</v>
      </c>
      <c r="M305" s="374">
        <f t="shared" si="30"/>
        <v>5278610.5100000035</v>
      </c>
      <c r="N305" s="375">
        <f>+M305/L$815</f>
        <v>0.93465733226097358</v>
      </c>
      <c r="O305" s="376" t="str">
        <f>IF(N305&lt;0.5,"A",IF(N305&gt;0.8,"C","B"))</f>
        <v>C</v>
      </c>
    </row>
    <row r="306" spans="1:35" x14ac:dyDescent="0.25">
      <c r="A306" s="232">
        <f t="shared" si="25"/>
        <v>306</v>
      </c>
      <c r="B306" s="232"/>
      <c r="C306" s="310" t="s">
        <v>12117</v>
      </c>
      <c r="D306" s="373" t="str">
        <f>IF($C306="","",IFERROR(VLOOKUP($C306,SERVIÇOS!$B:$G,2,0),IFERROR(VLOOKUP($C306,'COMPOSIÇÕES COMPLEMENTARES '!$D:$L,2,0),IFERROR(VLOOKUP($C306,INSUMOS!$A:$D,2,0),""))))</f>
        <v>TUBO PVC, SERIE NORMAL, PARA ESGOTO PREDIAL, INCLUSO CONEXÕES, D=40MM</v>
      </c>
      <c r="E306" s="312" t="str">
        <f>IF($C306="","",IFERROR(VLOOKUP($C306,SERVIÇOS!$B:$G,3,0),IFERROR(VLOOKUP($C306,'COMPOSIÇÕES COMPLEMENTARES '!$D:$L,3,0),IFERROR(VLOOKUP($C306,INSUMOS!$A:$D,3,0),""))))</f>
        <v>M</v>
      </c>
      <c r="F306" s="313">
        <v>58</v>
      </c>
      <c r="G306" s="314">
        <f>IF($C306="","",IFERROR(VLOOKUP($C306,SERVIÇOS!$B:$G,4,0),IFERROR(VLOOKUP($C306,'COMPOSIÇÕES COMPLEMENTARES '!$D:$L,6,0),IFERROR(VLOOKUP($C306,INSUMOS!$A:$D,4,0),""))))</f>
        <v>20.64</v>
      </c>
      <c r="H306" s="314">
        <f>IF($C306="","",IFERROR(VLOOKUP($C306,SERVIÇOS!$B:$G,5,0),IFERROR(VLOOKUP($C306,'COMPOSIÇÕES COMPLEMENTARES '!$D:$L,7,0),0)))</f>
        <v>24.3</v>
      </c>
      <c r="I306" s="314">
        <f t="shared" si="26"/>
        <v>44.94</v>
      </c>
      <c r="J306" s="314">
        <f t="shared" si="27"/>
        <v>1197.1199999999999</v>
      </c>
      <c r="K306" s="314">
        <f t="shared" si="28"/>
        <v>1409.4</v>
      </c>
      <c r="L306" s="948">
        <f t="shared" si="29"/>
        <v>2606.52</v>
      </c>
      <c r="M306" s="374">
        <f t="shared" si="30"/>
        <v>5281217.0300000031</v>
      </c>
      <c r="N306" s="375">
        <f>+M306/L$815</f>
        <v>0.93511885580491927</v>
      </c>
      <c r="O306" s="376" t="str">
        <f>IF(N306&lt;0.5,"A",IF(N306&gt;0.8,"C","B"))</f>
        <v>C</v>
      </c>
    </row>
    <row r="307" spans="1:35" ht="25.5" x14ac:dyDescent="0.25">
      <c r="A307" s="232">
        <f t="shared" si="25"/>
        <v>307</v>
      </c>
      <c r="B307" s="232"/>
      <c r="C307" s="310">
        <v>90467</v>
      </c>
      <c r="D307" s="373" t="str">
        <f>IF($C307="","",IFERROR(VLOOKUP($C307,SERVIÇOS!$B:$G,2,0),IFERROR(VLOOKUP($C307,'COMPOSIÇÕES COMPLEMENTARES '!$D:$L,2,0),IFERROR(VLOOKUP($C307,INSUMOS!$A:$D,2,0),""))))</f>
        <v>CHUMBAMENTO LINEAR EM ALVENARIA PARA RAMAIS/DISTRIBUIÇÃO DE INSTALAÇÕES HIDRÁULICAS COM DIÂMETROS MAIORES QUE 40 MM E MENORES OU IGUAIS A 75 MM. AF_09/2023</v>
      </c>
      <c r="E307" s="312" t="str">
        <f>IF($C307="","",IFERROR(VLOOKUP($C307,SERVIÇOS!$B:$G,3,0),IFERROR(VLOOKUP($C307,'COMPOSIÇÕES COMPLEMENTARES '!$D:$L,3,0),IFERROR(VLOOKUP($C307,INSUMOS!$A:$D,3,0),""))))</f>
        <v>M</v>
      </c>
      <c r="F307" s="313">
        <v>90</v>
      </c>
      <c r="G307" s="314">
        <f>IF($C307="","",IFERROR(VLOOKUP($C307,SERVIÇOS!$B:$G,4,0),IFERROR(VLOOKUP($C307,'COMPOSIÇÕES COMPLEMENTARES '!$D:$L,6,0),IFERROR(VLOOKUP($C307,INSUMOS!$A:$D,4,0),""))))</f>
        <v>9.99</v>
      </c>
      <c r="H307" s="314">
        <f>IF($C307="","",IFERROR(VLOOKUP($C307,SERVIÇOS!$B:$G,5,0),IFERROR(VLOOKUP($C307,'COMPOSIÇÕES COMPLEMENTARES '!$D:$L,7,0),0)))</f>
        <v>18.89</v>
      </c>
      <c r="I307" s="314">
        <f t="shared" si="26"/>
        <v>28.880000000000003</v>
      </c>
      <c r="J307" s="314">
        <f t="shared" si="27"/>
        <v>899.1</v>
      </c>
      <c r="K307" s="314">
        <f t="shared" si="28"/>
        <v>1700.1</v>
      </c>
      <c r="L307" s="948">
        <f t="shared" si="29"/>
        <v>2599.1999999999998</v>
      </c>
      <c r="M307" s="374">
        <f t="shared" si="30"/>
        <v>5283816.2300000032</v>
      </c>
      <c r="N307" s="375">
        <f>+M307/L$815</f>
        <v>0.93557908323284011</v>
      </c>
      <c r="O307" s="376" t="str">
        <f>IF(N307&lt;0.5,"A",IF(N307&gt;0.8,"C","B"))</f>
        <v>C</v>
      </c>
    </row>
    <row r="308" spans="1:35" ht="25.5" x14ac:dyDescent="0.25">
      <c r="A308" s="232">
        <f t="shared" si="25"/>
        <v>308</v>
      </c>
      <c r="B308" s="232"/>
      <c r="C308" s="310" t="s">
        <v>12005</v>
      </c>
      <c r="D308" s="373" t="str">
        <f>IF($C308="","",IFERROR(VLOOKUP($C308,SERVIÇOS!$B:$G,2,0),IFERROR(VLOOKUP($C308,'COMPOSIÇÕES COMPLEMENTARES '!$D:$L,2,0),IFERROR(VLOOKUP($C308,INSUMOS!$A:$D,2,0),""))))</f>
        <v>FORRO EM DRYWALL COM PLACAS DE GESSO ACARTONADO RESISTENTE A UMIDADE (RU), COR VERDE, E=12,5MM, CHAPA 1200X1800MM, INCLUSIVE ESTRUTURA DE FIXAÇÃO</v>
      </c>
      <c r="E308" s="312" t="str">
        <f>IF($C308="","",IFERROR(VLOOKUP($C308,SERVIÇOS!$B:$G,3,0),IFERROR(VLOOKUP($C308,'COMPOSIÇÕES COMPLEMENTARES '!$D:$L,3,0),IFERROR(VLOOKUP($C308,INSUMOS!$A:$D,3,0),""))))</f>
        <v>M2</v>
      </c>
      <c r="F308" s="313">
        <v>30.25</v>
      </c>
      <c r="G308" s="314">
        <f>IF($C308="","",IFERROR(VLOOKUP($C308,SERVIÇOS!$B:$G,4,0),IFERROR(VLOOKUP($C308,'COMPOSIÇÕES COMPLEMENTARES '!$D:$L,6,0),IFERROR(VLOOKUP($C308,INSUMOS!$A:$D,4,0),""))))</f>
        <v>69.97</v>
      </c>
      <c r="H308" s="314">
        <f>IF($C308="","",IFERROR(VLOOKUP($C308,SERVIÇOS!$B:$G,5,0),IFERROR(VLOOKUP($C308,'COMPOSIÇÕES COMPLEMENTARES '!$D:$L,7,0),0)))</f>
        <v>15.82</v>
      </c>
      <c r="I308" s="314">
        <f t="shared" si="26"/>
        <v>85.789999999999992</v>
      </c>
      <c r="J308" s="314">
        <f t="shared" si="27"/>
        <v>2116.59</v>
      </c>
      <c r="K308" s="314">
        <f t="shared" si="28"/>
        <v>478.55</v>
      </c>
      <c r="L308" s="948">
        <f t="shared" si="29"/>
        <v>2595.14</v>
      </c>
      <c r="M308" s="374">
        <f t="shared" si="30"/>
        <v>5286411.3700000029</v>
      </c>
      <c r="N308" s="375">
        <f>+M308/L$815</f>
        <v>0.93603859177673598</v>
      </c>
      <c r="O308" s="376" t="str">
        <f>IF(N308&lt;0.5,"A",IF(N308&gt;0.8,"C","B"))</f>
        <v>C</v>
      </c>
    </row>
    <row r="309" spans="1:35" x14ac:dyDescent="0.25">
      <c r="A309" s="232">
        <f t="shared" si="25"/>
        <v>309</v>
      </c>
      <c r="B309" s="232"/>
      <c r="C309" s="310" t="s">
        <v>12501</v>
      </c>
      <c r="D309" s="373" t="str">
        <f>IF($C309="","",IFERROR(VLOOKUP($C309,SERVIÇOS!$B:$G,2,0),IFERROR(VLOOKUP($C309,'COMPOSIÇÕES COMPLEMENTARES '!$D:$L,2,0),IFERROR(VLOOKUP($C309,INSUMOS!$A:$D,2,0),""))))</f>
        <v>CARGA MANUAL E REMOÇÃO DE ENTULHO, INCLUSIVE TRANSPORTE ATÉ 1 KM</v>
      </c>
      <c r="E309" s="312" t="str">
        <f>IF($C309="","",IFERROR(VLOOKUP($C309,SERVIÇOS!$B:$G,3,0),IFERROR(VLOOKUP($C309,'COMPOSIÇÕES COMPLEMENTARES '!$D:$L,3,0),IFERROR(VLOOKUP($C309,INSUMOS!$A:$D,3,0),""))))</f>
        <v>M3</v>
      </c>
      <c r="F309" s="313">
        <v>60.436</v>
      </c>
      <c r="G309" s="314">
        <f>IF($C309="","",IFERROR(VLOOKUP($C309,SERVIÇOS!$B:$G,4,0),IFERROR(VLOOKUP($C309,'COMPOSIÇÕES COMPLEMENTARES '!$D:$L,6,0),IFERROR(VLOOKUP($C309,INSUMOS!$A:$D,4,0),""))))</f>
        <v>18.669999999999998</v>
      </c>
      <c r="H309" s="314">
        <f>IF($C309="","",IFERROR(VLOOKUP($C309,SERVIÇOS!$B:$G,5,0),IFERROR(VLOOKUP($C309,'COMPOSIÇÕES COMPLEMENTARES '!$D:$L,7,0),0)))</f>
        <v>24.27</v>
      </c>
      <c r="I309" s="314">
        <f t="shared" si="26"/>
        <v>42.94</v>
      </c>
      <c r="J309" s="314">
        <f t="shared" si="27"/>
        <v>1128.3399999999999</v>
      </c>
      <c r="K309" s="314">
        <f t="shared" si="28"/>
        <v>1466.78</v>
      </c>
      <c r="L309" s="948">
        <f t="shared" si="29"/>
        <v>2595.12</v>
      </c>
      <c r="M309" s="374">
        <f t="shared" si="30"/>
        <v>5289006.490000003</v>
      </c>
      <c r="N309" s="375">
        <f>+M309/L$815</f>
        <v>0.93649809677933127</v>
      </c>
      <c r="O309" s="376" t="str">
        <f>IF(N309&lt;0.5,"A",IF(N309&gt;0.8,"C","B"))</f>
        <v>C</v>
      </c>
    </row>
    <row r="310" spans="1:35" x14ac:dyDescent="0.25">
      <c r="A310" s="232">
        <f t="shared" si="25"/>
        <v>310</v>
      </c>
      <c r="B310" s="232"/>
      <c r="C310" s="310">
        <v>96977</v>
      </c>
      <c r="D310" s="373" t="str">
        <f>IF($C310="","",IFERROR(VLOOKUP($C310,SERVIÇOS!$B:$G,2,0),IFERROR(VLOOKUP($C310,'COMPOSIÇÕES COMPLEMENTARES '!$D:$L,2,0),IFERROR(VLOOKUP($C310,INSUMOS!$A:$D,2,0),""))))</f>
        <v>CORDOALHA DE COBRE NU 50 MM², ENTERRADA - FORNECIMENTO E INSTALAÇÃO. AF_08/2023</v>
      </c>
      <c r="E310" s="312" t="str">
        <f>IF($C310="","",IFERROR(VLOOKUP($C310,SERVIÇOS!$B:$G,3,0),IFERROR(VLOOKUP($C310,'COMPOSIÇÕES COMPLEMENTARES '!$D:$L,3,0),IFERROR(VLOOKUP($C310,INSUMOS!$A:$D,3,0),""))))</f>
        <v>M</v>
      </c>
      <c r="F310" s="313">
        <v>45</v>
      </c>
      <c r="G310" s="314">
        <f>IF($C310="","",IFERROR(VLOOKUP($C310,SERVIÇOS!$B:$G,4,0),IFERROR(VLOOKUP($C310,'COMPOSIÇÕES COMPLEMENTARES '!$D:$L,6,0),IFERROR(VLOOKUP($C310,INSUMOS!$A:$D,4,0),""))))</f>
        <v>55.81</v>
      </c>
      <c r="H310" s="314">
        <f>IF($C310="","",IFERROR(VLOOKUP($C310,SERVIÇOS!$B:$G,5,0),IFERROR(VLOOKUP($C310,'COMPOSIÇÕES COMPLEMENTARES '!$D:$L,7,0),0)))</f>
        <v>1.63</v>
      </c>
      <c r="I310" s="314">
        <f t="shared" si="26"/>
        <v>57.440000000000005</v>
      </c>
      <c r="J310" s="314">
        <f t="shared" si="27"/>
        <v>2511.4499999999998</v>
      </c>
      <c r="K310" s="314">
        <f t="shared" si="28"/>
        <v>73.349999999999994</v>
      </c>
      <c r="L310" s="948">
        <f t="shared" si="29"/>
        <v>2584.8000000000002</v>
      </c>
      <c r="M310" s="374">
        <f t="shared" si="30"/>
        <v>5291591.2900000028</v>
      </c>
      <c r="N310" s="375">
        <f>+M310/L$815</f>
        <v>0.93695577447080924</v>
      </c>
      <c r="O310" s="376" t="str">
        <f>IF(N310&lt;0.5,"A",IF(N310&gt;0.8,"C","B"))</f>
        <v>C</v>
      </c>
    </row>
    <row r="311" spans="1:35" x14ac:dyDescent="0.25">
      <c r="A311" s="232">
        <f t="shared" si="25"/>
        <v>311</v>
      </c>
      <c r="B311" s="232"/>
      <c r="C311" s="310" t="s">
        <v>12199</v>
      </c>
      <c r="D311" s="373" t="str">
        <f>IF($C311="","",IFERROR(VLOOKUP($C311,SERVIÇOS!$B:$G,2,0),IFERROR(VLOOKUP($C311,'COMPOSIÇÕES COMPLEMENTARES '!$D:$L,2,0),IFERROR(VLOOKUP($C311,INSUMOS!$A:$D,2,0),""))))</f>
        <v>INTERRUPTOR DIFERENCIAL BIPOLAR 2X40A SENS. 30MA</v>
      </c>
      <c r="E311" s="312" t="str">
        <f>IF($C311="","",IFERROR(VLOOKUP($C311,SERVIÇOS!$B:$G,3,0),IFERROR(VLOOKUP($C311,'COMPOSIÇÕES COMPLEMENTARES '!$D:$L,3,0),IFERROR(VLOOKUP($C311,INSUMOS!$A:$D,3,0),""))))</f>
        <v>UN</v>
      </c>
      <c r="F311" s="313">
        <v>8</v>
      </c>
      <c r="G311" s="314">
        <f>IF($C311="","",IFERROR(VLOOKUP($C311,SERVIÇOS!$B:$G,4,0),IFERROR(VLOOKUP($C311,'COMPOSIÇÕES COMPLEMENTARES '!$D:$L,6,0),IFERROR(VLOOKUP($C311,INSUMOS!$A:$D,4,0),""))))</f>
        <v>218.04</v>
      </c>
      <c r="H311" s="314">
        <f>IF($C311="","",IFERROR(VLOOKUP($C311,SERVIÇOS!$B:$G,5,0),IFERROR(VLOOKUP($C311,'COMPOSIÇÕES COMPLEMENTARES '!$D:$L,7,0),0)))</f>
        <v>100.29</v>
      </c>
      <c r="I311" s="314">
        <f t="shared" si="26"/>
        <v>318.33</v>
      </c>
      <c r="J311" s="314">
        <f t="shared" si="27"/>
        <v>1744.32</v>
      </c>
      <c r="K311" s="314">
        <f t="shared" si="28"/>
        <v>802.32</v>
      </c>
      <c r="L311" s="948">
        <f t="shared" si="29"/>
        <v>2546.64</v>
      </c>
      <c r="M311" s="374">
        <f t="shared" si="30"/>
        <v>5294137.9300000025</v>
      </c>
      <c r="N311" s="375">
        <f>+M311/L$815</f>
        <v>0.93740669536071375</v>
      </c>
      <c r="O311" s="376" t="str">
        <f>IF(N311&lt;0.5,"A",IF(N311&gt;0.8,"C","B"))</f>
        <v>C</v>
      </c>
    </row>
    <row r="312" spans="1:35" ht="25.5" x14ac:dyDescent="0.25">
      <c r="A312" s="232">
        <f t="shared" si="25"/>
        <v>312</v>
      </c>
      <c r="B312" s="232"/>
      <c r="C312" s="310" t="s">
        <v>12217</v>
      </c>
      <c r="D312" s="373" t="str">
        <f>IF($C312="","",IFERROR(VLOOKUP($C312,SERVIÇOS!$B:$G,2,0),IFERROR(VLOOKUP($C312,'COMPOSIÇÕES COMPLEMENTARES '!$D:$L,2,0),IFERROR(VLOOKUP($C312,INSUMOS!$A:$D,2,0),""))))</f>
        <v>ELETRODUTO RÍGIDO ROSCÁVEL, PVC, DN 25 MM (3/4"), INCLUSO CONEXÕES E ACESSÓRIOS, INSTALAÇÃO APARENTE - FORNECIMENTO E INSTALAÇÃO</v>
      </c>
      <c r="E312" s="312" t="str">
        <f>IF($C312="","",IFERROR(VLOOKUP($C312,SERVIÇOS!$B:$G,3,0),IFERROR(VLOOKUP($C312,'COMPOSIÇÕES COMPLEMENTARES '!$D:$L,3,0),IFERROR(VLOOKUP($C312,INSUMOS!$A:$D,3,0),""))))</f>
        <v>M</v>
      </c>
      <c r="F312" s="313">
        <v>108</v>
      </c>
      <c r="G312" s="314">
        <f>IF($C312="","",IFERROR(VLOOKUP($C312,SERVIÇOS!$B:$G,4,0),IFERROR(VLOOKUP($C312,'COMPOSIÇÕES COMPLEMENTARES '!$D:$L,6,0),IFERROR(VLOOKUP($C312,INSUMOS!$A:$D,4,0),""))))</f>
        <v>14.79</v>
      </c>
      <c r="H312" s="314">
        <f>IF($C312="","",IFERROR(VLOOKUP($C312,SERVIÇOS!$B:$G,5,0),IFERROR(VLOOKUP($C312,'COMPOSIÇÕES COMPLEMENTARES '!$D:$L,7,0),0)))</f>
        <v>8.75</v>
      </c>
      <c r="I312" s="314">
        <f t="shared" si="26"/>
        <v>23.54</v>
      </c>
      <c r="J312" s="314">
        <f t="shared" si="27"/>
        <v>1597.32</v>
      </c>
      <c r="K312" s="314">
        <f t="shared" si="28"/>
        <v>945</v>
      </c>
      <c r="L312" s="948">
        <f t="shared" si="29"/>
        <v>2542.3200000000002</v>
      </c>
      <c r="M312" s="374">
        <f t="shared" si="30"/>
        <v>5296680.2500000028</v>
      </c>
      <c r="N312" s="375">
        <f>+M312/L$815</f>
        <v>0.93785685132968555</v>
      </c>
      <c r="O312" s="376" t="str">
        <f>IF(N312&lt;0.5,"A",IF(N312&gt;0.8,"C","B"))</f>
        <v>C</v>
      </c>
    </row>
    <row r="313" spans="1:35" ht="25.5" x14ac:dyDescent="0.25">
      <c r="A313" s="232">
        <f t="shared" si="25"/>
        <v>313</v>
      </c>
      <c r="B313" s="232"/>
      <c r="C313" s="310" t="s">
        <v>12217</v>
      </c>
      <c r="D313" s="373" t="str">
        <f>IF($C313="","",IFERROR(VLOOKUP($C313,SERVIÇOS!$B:$G,2,0),IFERROR(VLOOKUP($C313,'COMPOSIÇÕES COMPLEMENTARES '!$D:$L,2,0),IFERROR(VLOOKUP($C313,INSUMOS!$A:$D,2,0),""))))</f>
        <v>ELETRODUTO RÍGIDO ROSCÁVEL, PVC, DN 25 MM (3/4"), INCLUSO CONEXÕES E ACESSÓRIOS, INSTALAÇÃO APARENTE - FORNECIMENTO E INSTALAÇÃO</v>
      </c>
      <c r="E313" s="312" t="str">
        <f>IF($C313="","",IFERROR(VLOOKUP($C313,SERVIÇOS!$B:$G,3,0),IFERROR(VLOOKUP($C313,'COMPOSIÇÕES COMPLEMENTARES '!$D:$L,3,0),IFERROR(VLOOKUP($C313,INSUMOS!$A:$D,3,0),""))))</f>
        <v>M</v>
      </c>
      <c r="F313" s="313">
        <v>108</v>
      </c>
      <c r="G313" s="314">
        <f>IF($C313="","",IFERROR(VLOOKUP($C313,SERVIÇOS!$B:$G,4,0),IFERROR(VLOOKUP($C313,'COMPOSIÇÕES COMPLEMENTARES '!$D:$L,6,0),IFERROR(VLOOKUP($C313,INSUMOS!$A:$D,4,0),""))))</f>
        <v>14.79</v>
      </c>
      <c r="H313" s="314">
        <f>IF($C313="","",IFERROR(VLOOKUP($C313,SERVIÇOS!$B:$G,5,0),IFERROR(VLOOKUP($C313,'COMPOSIÇÕES COMPLEMENTARES '!$D:$L,7,0),0)))</f>
        <v>8.75</v>
      </c>
      <c r="I313" s="314">
        <f t="shared" si="26"/>
        <v>23.54</v>
      </c>
      <c r="J313" s="314">
        <f t="shared" si="27"/>
        <v>1597.32</v>
      </c>
      <c r="K313" s="314">
        <f t="shared" si="28"/>
        <v>945</v>
      </c>
      <c r="L313" s="948">
        <f t="shared" si="29"/>
        <v>2542.3200000000002</v>
      </c>
      <c r="M313" s="374">
        <f t="shared" si="30"/>
        <v>5299222.5700000031</v>
      </c>
      <c r="N313" s="375">
        <f>+M313/L$815</f>
        <v>0.93830700729865746</v>
      </c>
      <c r="O313" s="376" t="str">
        <f>IF(N313&lt;0.5,"A",IF(N313&gt;0.8,"C","B"))</f>
        <v>C</v>
      </c>
    </row>
    <row r="314" spans="1:35" x14ac:dyDescent="0.25">
      <c r="A314" s="232">
        <f t="shared" si="25"/>
        <v>314</v>
      </c>
      <c r="B314" s="232"/>
      <c r="C314" s="310" t="s">
        <v>12119</v>
      </c>
      <c r="D314" s="373" t="str">
        <f>IF($C314="","",IFERROR(VLOOKUP($C314,SERVIÇOS!$B:$G,2,0),IFERROR(VLOOKUP($C314,'COMPOSIÇÕES COMPLEMENTARES '!$D:$L,2,0),IFERROR(VLOOKUP($C314,INSUMOS!$A:$D,2,0),""))))</f>
        <v>TUBO PVC, SERIE NORMAL, PARA ESGOTO PREDIAL, INCLUSO CONEXÕES, D=75MM</v>
      </c>
      <c r="E314" s="312" t="str">
        <f>IF($C314="","",IFERROR(VLOOKUP($C314,SERVIÇOS!$B:$G,3,0),IFERROR(VLOOKUP($C314,'COMPOSIÇÕES COMPLEMENTARES '!$D:$L,3,0),IFERROR(VLOOKUP($C314,INSUMOS!$A:$D,3,0),""))))</f>
        <v>M</v>
      </c>
      <c r="F314" s="313">
        <v>27</v>
      </c>
      <c r="G314" s="314">
        <f>IF($C314="","",IFERROR(VLOOKUP($C314,SERVIÇOS!$B:$G,4,0),IFERROR(VLOOKUP($C314,'COMPOSIÇÕES COMPLEMENTARES '!$D:$L,6,0),IFERROR(VLOOKUP($C314,INSUMOS!$A:$D,4,0),""))))</f>
        <v>50.39</v>
      </c>
      <c r="H314" s="314">
        <f>IF($C314="","",IFERROR(VLOOKUP($C314,SERVIÇOS!$B:$G,5,0),IFERROR(VLOOKUP($C314,'COMPOSIÇÕES COMPLEMENTARES '!$D:$L,7,0),0)))</f>
        <v>43.74</v>
      </c>
      <c r="I314" s="314">
        <f t="shared" si="26"/>
        <v>94.13</v>
      </c>
      <c r="J314" s="314">
        <f t="shared" si="27"/>
        <v>1360.53</v>
      </c>
      <c r="K314" s="314">
        <f t="shared" si="28"/>
        <v>1180.98</v>
      </c>
      <c r="L314" s="948">
        <f t="shared" si="29"/>
        <v>2541.5100000000002</v>
      </c>
      <c r="M314" s="374">
        <f t="shared" si="30"/>
        <v>5301764.0800000029</v>
      </c>
      <c r="N314" s="375">
        <f>+M314/L$815</f>
        <v>0.9387570198449543</v>
      </c>
      <c r="O314" s="376" t="str">
        <f>IF(N314&lt;0.5,"A",IF(N314&gt;0.8,"C","B"))</f>
        <v>C</v>
      </c>
    </row>
    <row r="315" spans="1:35" ht="25.5" x14ac:dyDescent="0.25">
      <c r="A315" s="232">
        <f t="shared" si="25"/>
        <v>315</v>
      </c>
      <c r="B315" s="232"/>
      <c r="C315" s="310">
        <v>91940</v>
      </c>
      <c r="D315" s="373" t="str">
        <f>IF($C315="","",IFERROR(VLOOKUP($C315,SERVIÇOS!$B:$G,2,0),IFERROR(VLOOKUP($C315,'COMPOSIÇÕES COMPLEMENTARES '!$D:$L,2,0),IFERROR(VLOOKUP($C315,INSUMOS!$A:$D,2,0),""))))</f>
        <v>CAIXA RETANGULAR 4" X 2" MÉDIA (1,30 M DO PISO), PVC, INSTALADA EM PAREDE - FORNECIMENTO E INSTALAÇÃO. AF_03/2023</v>
      </c>
      <c r="E315" s="312" t="str">
        <f>IF($C315="","",IFERROR(VLOOKUP($C315,SERVIÇOS!$B:$G,3,0),IFERROR(VLOOKUP($C315,'COMPOSIÇÕES COMPLEMENTARES '!$D:$L,3,0),IFERROR(VLOOKUP($C315,INSUMOS!$A:$D,3,0),""))))</f>
        <v>UN</v>
      </c>
      <c r="F315" s="313">
        <v>104</v>
      </c>
      <c r="G315" s="314">
        <f>IF($C315="","",IFERROR(VLOOKUP($C315,SERVIÇOS!$B:$G,4,0),IFERROR(VLOOKUP($C315,'COMPOSIÇÕES COMPLEMENTARES '!$D:$L,6,0),IFERROR(VLOOKUP($C315,INSUMOS!$A:$D,4,0),""))))</f>
        <v>9.7799999999999994</v>
      </c>
      <c r="H315" s="314">
        <f>IF($C315="","",IFERROR(VLOOKUP($C315,SERVIÇOS!$B:$G,5,0),IFERROR(VLOOKUP($C315,'COMPOSIÇÕES COMPLEMENTARES '!$D:$L,7,0),0)))</f>
        <v>14.56</v>
      </c>
      <c r="I315" s="314">
        <f t="shared" si="26"/>
        <v>24.34</v>
      </c>
      <c r="J315" s="314">
        <f t="shared" si="27"/>
        <v>1017.12</v>
      </c>
      <c r="K315" s="314">
        <f t="shared" si="28"/>
        <v>1514.24</v>
      </c>
      <c r="L315" s="948">
        <f t="shared" si="29"/>
        <v>2531.36</v>
      </c>
      <c r="M315" s="374">
        <f t="shared" si="30"/>
        <v>5304295.4400000032</v>
      </c>
      <c r="N315" s="375">
        <f>+M315/L$815</f>
        <v>0.93920523518118915</v>
      </c>
      <c r="O315" s="376" t="str">
        <f>IF(N315&lt;0.5,"A",IF(N315&gt;0.8,"C","B"))</f>
        <v>C</v>
      </c>
    </row>
    <row r="316" spans="1:35" x14ac:dyDescent="0.25">
      <c r="A316" s="232">
        <f t="shared" si="25"/>
        <v>316</v>
      </c>
      <c r="B316" s="232"/>
      <c r="C316" s="310" t="s">
        <v>12331</v>
      </c>
      <c r="D316" s="373" t="str">
        <f>IF($C316="","",IFERROR(VLOOKUP($C316,SERVIÇOS!$B:$G,2,0),IFERROR(VLOOKUP($C316,'COMPOSIÇÕES COMPLEMENTARES '!$D:$L,2,0),IFERROR(VLOOKUP($C316,INSUMOS!$A:$D,2,0),""))))</f>
        <v>HASTE DE ATERRAMENTO COBREADA 5/8"X2,4M - 254 MICRONS, ALTA CAMADA  CONFORME NBR 13571</v>
      </c>
      <c r="E316" s="312" t="str">
        <f>IF($C316="","",IFERROR(VLOOKUP($C316,SERVIÇOS!$B:$G,3,0),IFERROR(VLOOKUP($C316,'COMPOSIÇÕES COMPLEMENTARES '!$D:$L,3,0),IFERROR(VLOOKUP($C316,INSUMOS!$A:$D,3,0),""))))</f>
        <v>UN</v>
      </c>
      <c r="F316" s="313">
        <v>30</v>
      </c>
      <c r="G316" s="314">
        <f>IF($C316="","",IFERROR(VLOOKUP($C316,SERVIÇOS!$B:$G,4,0),IFERROR(VLOOKUP($C316,'COMPOSIÇÕES COMPLEMENTARES '!$D:$L,6,0),IFERROR(VLOOKUP($C316,INSUMOS!$A:$D,4,0),""))))</f>
        <v>64.38</v>
      </c>
      <c r="H316" s="314">
        <f>IF($C316="","",IFERROR(VLOOKUP($C316,SERVIÇOS!$B:$G,5,0),IFERROR(VLOOKUP($C316,'COMPOSIÇÕES COMPLEMENTARES '!$D:$L,7,0),0)))</f>
        <v>19.809999999999999</v>
      </c>
      <c r="I316" s="314">
        <f t="shared" si="26"/>
        <v>84.19</v>
      </c>
      <c r="J316" s="314">
        <f t="shared" si="27"/>
        <v>1931.4</v>
      </c>
      <c r="K316" s="314">
        <f t="shared" si="28"/>
        <v>594.29999999999995</v>
      </c>
      <c r="L316" s="948">
        <f t="shared" si="29"/>
        <v>2525.6999999999998</v>
      </c>
      <c r="M316" s="374">
        <f t="shared" si="30"/>
        <v>5306821.1400000034</v>
      </c>
      <c r="N316" s="375">
        <f>+M316/L$815</f>
        <v>0.93965244832934991</v>
      </c>
      <c r="O316" s="376" t="str">
        <f>IF(N316&lt;0.5,"A",IF(N316&gt;0.8,"C","B"))</f>
        <v>C</v>
      </c>
    </row>
    <row r="317" spans="1:35" ht="51" x14ac:dyDescent="0.25">
      <c r="A317" s="232">
        <f t="shared" si="25"/>
        <v>317</v>
      </c>
      <c r="B317" s="232"/>
      <c r="C317" s="310" t="s">
        <v>12385</v>
      </c>
      <c r="D317" s="373" t="str">
        <f>IF($C317="","",IFERROR(VLOOKUP($C317,SERVIÇOS!$B:$G,2,0),IFERROR(VLOOKUP($C317,'COMPOSIÇÕES COMPLEMENTARES '!$D:$L,2,0),IFERROR(VLOOKUP($C317,INSUMOS!$A:$D,2,0),""))))</f>
        <v>TUBULAÇÃO DE INTERLIGAÇÃO FRIGORÍGENA PARA REDES DE AR CONDICIONADO DIÂMETRO NOMINAL Ø6,35MM (Ø1/4") - ESPESSURA MÍNIMA 0,8MM COM ISOLAMENTO TÉRMICO FLEXÍVEL DE ESPUMA ELASTOMÉRICA COM ESPESSURA MÍNIMA DE PAREDE DE 12MM E DIÂMETRO INTERNO MÍNIMO DE 7 A 8,5MM PARA TUBOS DE COBRE Ø1/4". REFERÊNCIA: ARMACELL LINHA ARMAFLEX F</v>
      </c>
      <c r="E317" s="312" t="str">
        <f>IF($C317="","",IFERROR(VLOOKUP($C317,SERVIÇOS!$B:$G,3,0),IFERROR(VLOOKUP($C317,'COMPOSIÇÕES COMPLEMENTARES '!$D:$L,3,0),IFERROR(VLOOKUP($C317,INSUMOS!$A:$D,3,0),""))))</f>
        <v>M</v>
      </c>
      <c r="F317" s="313">
        <v>45</v>
      </c>
      <c r="G317" s="314">
        <f>IF($C317="","",IFERROR(VLOOKUP($C317,SERVIÇOS!$B:$G,4,0),IFERROR(VLOOKUP($C317,'COMPOSIÇÕES COMPLEMENTARES '!$D:$L,6,0),IFERROR(VLOOKUP($C317,INSUMOS!$A:$D,4,0),""))))</f>
        <v>36.26</v>
      </c>
      <c r="H317" s="314">
        <f>IF($C317="","",IFERROR(VLOOKUP($C317,SERVIÇOS!$B:$G,5,0),IFERROR(VLOOKUP($C317,'COMPOSIÇÕES COMPLEMENTARES '!$D:$L,7,0),0)))</f>
        <v>19.190000000000001</v>
      </c>
      <c r="I317" s="314">
        <f t="shared" si="26"/>
        <v>55.45</v>
      </c>
      <c r="J317" s="314">
        <f t="shared" si="27"/>
        <v>1631.7</v>
      </c>
      <c r="K317" s="314">
        <f t="shared" si="28"/>
        <v>863.55</v>
      </c>
      <c r="L317" s="948">
        <f t="shared" si="29"/>
        <v>2495.25</v>
      </c>
      <c r="M317" s="374">
        <f t="shared" si="30"/>
        <v>5309316.3900000034</v>
      </c>
      <c r="N317" s="375">
        <f>+M317/L$815</f>
        <v>0.94009426984732436</v>
      </c>
      <c r="O317" s="376" t="str">
        <f>IF(N317&lt;0.5,"A",IF(N317&gt;0.8,"C","B"))</f>
        <v>C</v>
      </c>
    </row>
    <row r="318" spans="1:35" x14ac:dyDescent="0.25">
      <c r="A318" s="232">
        <f t="shared" si="25"/>
        <v>318</v>
      </c>
      <c r="B318" s="232"/>
      <c r="C318" s="310">
        <v>95601</v>
      </c>
      <c r="D318" s="373" t="str">
        <f>IF($C318="","",IFERROR(VLOOKUP($C318,SERVIÇOS!$B:$G,2,0),IFERROR(VLOOKUP($C318,'COMPOSIÇÕES COMPLEMENTARES '!$D:$L,2,0),IFERROR(VLOOKUP($C318,INSUMOS!$A:$D,2,0),""))))</f>
        <v>ARRASAMENTO MECANICO DE ESTACA DE CONCRETO ARMADO, DIAMETROS DE ATÉ 40 CM. AF_05/2021</v>
      </c>
      <c r="E318" s="312" t="str">
        <f>IF($C318="","",IFERROR(VLOOKUP($C318,SERVIÇOS!$B:$G,3,0),IFERROR(VLOOKUP($C318,'COMPOSIÇÕES COMPLEMENTARES '!$D:$L,3,0),IFERROR(VLOOKUP($C318,INSUMOS!$A:$D,3,0),""))))</f>
        <v>UN</v>
      </c>
      <c r="F318" s="313">
        <v>110</v>
      </c>
      <c r="G318" s="314">
        <f>IF($C318="","",IFERROR(VLOOKUP($C318,SERVIÇOS!$B:$G,4,0),IFERROR(VLOOKUP($C318,'COMPOSIÇÕES COMPLEMENTARES '!$D:$L,6,0),IFERROR(VLOOKUP($C318,INSUMOS!$A:$D,4,0),""))))</f>
        <v>6.93</v>
      </c>
      <c r="H318" s="314">
        <f>IF($C318="","",IFERROR(VLOOKUP($C318,SERVIÇOS!$B:$G,5,0),IFERROR(VLOOKUP($C318,'COMPOSIÇÕES COMPLEMENTARES '!$D:$L,7,0),0)))</f>
        <v>15.7</v>
      </c>
      <c r="I318" s="314">
        <f t="shared" si="26"/>
        <v>22.63</v>
      </c>
      <c r="J318" s="314">
        <f t="shared" si="27"/>
        <v>762.3</v>
      </c>
      <c r="K318" s="314">
        <f t="shared" si="28"/>
        <v>1727</v>
      </c>
      <c r="L318" s="948">
        <f t="shared" si="29"/>
        <v>2489.3000000000002</v>
      </c>
      <c r="M318" s="374">
        <f t="shared" si="30"/>
        <v>5311805.6900000032</v>
      </c>
      <c r="N318" s="375">
        <f>+M318/L$815</f>
        <v>0.94053503782836589</v>
      </c>
      <c r="O318" s="376" t="str">
        <f>IF(N318&lt;0.5,"A",IF(N318&gt;0.8,"C","B"))</f>
        <v>C</v>
      </c>
    </row>
    <row r="319" spans="1:35" x14ac:dyDescent="0.25">
      <c r="A319" s="232">
        <f t="shared" si="25"/>
        <v>319</v>
      </c>
      <c r="B319" s="232"/>
      <c r="C319" s="310" t="s">
        <v>12218</v>
      </c>
      <c r="D319" s="373" t="str">
        <f>IF($C319="","",IFERROR(VLOOKUP($C319,SERVIÇOS!$B:$G,2,0),IFERROR(VLOOKUP($C319,'COMPOSIÇÕES COMPLEMENTARES '!$D:$L,2,0),IFERROR(VLOOKUP($C319,INSUMOS!$A:$D,2,0),""))))</f>
        <v>ELETRODUTO RÍGIDO ROSCÁVEL, PVC, DN 25 MM (3/4"), INCLUSO CONEXÕES - FORNECIMENTO E INSTALAÇÃO</v>
      </c>
      <c r="E319" s="312" t="str">
        <f>IF($C319="","",IFERROR(VLOOKUP($C319,SERVIÇOS!$B:$G,3,0),IFERROR(VLOOKUP($C319,'COMPOSIÇÕES COMPLEMENTARES '!$D:$L,3,0),IFERROR(VLOOKUP($C319,INSUMOS!$A:$D,3,0),""))))</f>
        <v>M</v>
      </c>
      <c r="F319" s="313">
        <v>186</v>
      </c>
      <c r="G319" s="314">
        <f>IF($C319="","",IFERROR(VLOOKUP($C319,SERVIÇOS!$B:$G,4,0),IFERROR(VLOOKUP($C319,'COMPOSIÇÕES COMPLEMENTARES '!$D:$L,6,0),IFERROR(VLOOKUP($C319,INSUMOS!$A:$D,4,0),""))))</f>
        <v>9.18</v>
      </c>
      <c r="H319" s="314">
        <f>IF($C319="","",IFERROR(VLOOKUP($C319,SERVIÇOS!$B:$G,5,0),IFERROR(VLOOKUP($C319,'COMPOSIÇÕES COMPLEMENTARES '!$D:$L,7,0),0)))</f>
        <v>4.1500000000000004</v>
      </c>
      <c r="I319" s="314">
        <f t="shared" si="26"/>
        <v>13.33</v>
      </c>
      <c r="J319" s="314">
        <f t="shared" si="27"/>
        <v>1707.48</v>
      </c>
      <c r="K319" s="314">
        <f t="shared" si="28"/>
        <v>771.9</v>
      </c>
      <c r="L319" s="948">
        <f t="shared" si="29"/>
        <v>2479.38</v>
      </c>
      <c r="M319" s="374">
        <f t="shared" si="30"/>
        <v>5314285.0700000031</v>
      </c>
      <c r="N319" s="375">
        <f>+M319/L$815</f>
        <v>0.94097404932430229</v>
      </c>
      <c r="O319" s="376" t="str">
        <f>IF(N319&lt;0.5,"A",IF(N319&gt;0.8,"C","B"))</f>
        <v>C</v>
      </c>
    </row>
    <row r="320" spans="1:35" ht="51" x14ac:dyDescent="0.25">
      <c r="A320" s="232">
        <f t="shared" si="25"/>
        <v>320</v>
      </c>
      <c r="B320" s="232"/>
      <c r="C320" s="310" t="s">
        <v>12392</v>
      </c>
      <c r="D320" s="373" t="str">
        <f>IF($C320="","",IFERROR(VLOOKUP($C320,SERVIÇOS!$B:$G,2,0),IFERROR(VLOOKUP($C320,'COMPOSIÇÕES COMPLEMENTARES '!$D:$L,2,0),IFERROR(VLOOKUP($C320,INSUMOS!$A:$D,2,0),""))))</f>
        <v>TUBULAÇÃO DE INTERLIGAÇÃO FRIGORÍGENA PARA REDES DE AR CONDICIONADO DIÂMETRO NOMINAL 22,22MM (Ø7/8") - ESPESSURA MÍNIMA 0,8MM COM ISOLAMENTO TÉRMICO FLEXÍVEL DE ESPUMA ELASTOMÉRICA COM ESPESSURA MÍNIMA DE PAREDE DE 23MM E DIÂMETRO INTERNO MÍNIMO DE 23 A 24,5MM PARA TUBOS DE COBRE Ø7/8". REFERÊNCIA: ARMACELL LINHA ARMAFLEX M</v>
      </c>
      <c r="E320" s="312" t="str">
        <f>IF($C320="","",IFERROR(VLOOKUP($C320,SERVIÇOS!$B:$G,3,0),IFERROR(VLOOKUP($C320,'COMPOSIÇÕES COMPLEMENTARES '!$D:$L,3,0),IFERROR(VLOOKUP($C320,INSUMOS!$A:$D,3,0),""))))</f>
        <v>M</v>
      </c>
      <c r="F320" s="313">
        <v>15</v>
      </c>
      <c r="G320" s="314">
        <f>IF($C320="","",IFERROR(VLOOKUP($C320,SERVIÇOS!$B:$G,4,0),IFERROR(VLOOKUP($C320,'COMPOSIÇÕES COMPLEMENTARES '!$D:$L,6,0),IFERROR(VLOOKUP($C320,INSUMOS!$A:$D,4,0),""))))</f>
        <v>140.75</v>
      </c>
      <c r="H320" s="314">
        <f>IF($C320="","",IFERROR(VLOOKUP($C320,SERVIÇOS!$B:$G,5,0),IFERROR(VLOOKUP($C320,'COMPOSIÇÕES COMPLEMENTARES '!$D:$L,7,0),0)))</f>
        <v>23.32</v>
      </c>
      <c r="I320" s="314">
        <f t="shared" si="26"/>
        <v>164.07</v>
      </c>
      <c r="J320" s="314">
        <f t="shared" si="27"/>
        <v>2111.25</v>
      </c>
      <c r="K320" s="314">
        <f t="shared" si="28"/>
        <v>349.8</v>
      </c>
      <c r="L320" s="948">
        <f t="shared" si="29"/>
        <v>2461.0500000000002</v>
      </c>
      <c r="M320" s="374">
        <f t="shared" si="30"/>
        <v>5316746.1200000029</v>
      </c>
      <c r="N320" s="375">
        <f>+M320/L$815</f>
        <v>0.9414098152182252</v>
      </c>
      <c r="O320" s="376" t="str">
        <f>IF(N320&lt;0.5,"A",IF(N320&gt;0.8,"C","B"))</f>
        <v>C</v>
      </c>
      <c r="P320" s="342"/>
      <c r="Q320" s="342"/>
      <c r="R320" s="342"/>
      <c r="S320" s="342"/>
      <c r="T320" s="342"/>
      <c r="U320" s="342"/>
      <c r="V320" s="342"/>
      <c r="W320" s="342"/>
      <c r="X320" s="342"/>
      <c r="Y320" s="342"/>
      <c r="Z320" s="342"/>
      <c r="AA320" s="342"/>
      <c r="AB320" s="342"/>
      <c r="AC320" s="342"/>
      <c r="AD320" s="342"/>
      <c r="AE320" s="342"/>
      <c r="AF320" s="342"/>
      <c r="AG320" s="342"/>
      <c r="AH320" s="342"/>
      <c r="AI320" s="342"/>
    </row>
    <row r="321" spans="1:35" ht="25.5" x14ac:dyDescent="0.25">
      <c r="A321" s="232">
        <f t="shared" si="25"/>
        <v>321</v>
      </c>
      <c r="B321" s="232"/>
      <c r="C321" s="310">
        <v>91997</v>
      </c>
      <c r="D321" s="373" t="str">
        <f>IF($C321="","",IFERROR(VLOOKUP($C321,SERVIÇOS!$B:$G,2,0),IFERROR(VLOOKUP($C321,'COMPOSIÇÕES COMPLEMENTARES '!$D:$L,2,0),IFERROR(VLOOKUP($C321,INSUMOS!$A:$D,2,0),""))))</f>
        <v>TOMADA MÉDIA DE EMBUTIR (1 MÓDULO), 2P+T 20 A, INCLUINDO SUPORTE E PLACA - FORNECIMENTO E INSTALAÇÃO. AF_03/2023</v>
      </c>
      <c r="E321" s="312" t="str">
        <f>IF($C321="","",IFERROR(VLOOKUP($C321,SERVIÇOS!$B:$G,3,0),IFERROR(VLOOKUP($C321,'COMPOSIÇÕES COMPLEMENTARES '!$D:$L,3,0),IFERROR(VLOOKUP($C321,INSUMOS!$A:$D,3,0),""))))</f>
        <v>UN</v>
      </c>
      <c r="F321" s="313">
        <v>52</v>
      </c>
      <c r="G321" s="314">
        <f>IF($C321="","",IFERROR(VLOOKUP($C321,SERVIÇOS!$B:$G,4,0),IFERROR(VLOOKUP($C321,'COMPOSIÇÕES COMPLEMENTARES '!$D:$L,6,0),IFERROR(VLOOKUP($C321,INSUMOS!$A:$D,4,0),""))))</f>
        <v>24.26</v>
      </c>
      <c r="H321" s="314">
        <f>IF($C321="","",IFERROR(VLOOKUP($C321,SERVIÇOS!$B:$G,5,0),IFERROR(VLOOKUP($C321,'COMPOSIÇÕES COMPLEMENTARES '!$D:$L,7,0),0)))</f>
        <v>22.03</v>
      </c>
      <c r="I321" s="314">
        <f t="shared" si="26"/>
        <v>46.290000000000006</v>
      </c>
      <c r="J321" s="314">
        <f t="shared" si="27"/>
        <v>1261.52</v>
      </c>
      <c r="K321" s="314">
        <f t="shared" si="28"/>
        <v>1145.56</v>
      </c>
      <c r="L321" s="948">
        <f t="shared" si="29"/>
        <v>2407.08</v>
      </c>
      <c r="M321" s="374">
        <f t="shared" si="30"/>
        <v>5319153.200000003</v>
      </c>
      <c r="N321" s="375">
        <f>+M321/L$815</f>
        <v>0.94183602491243856</v>
      </c>
      <c r="O321" s="376" t="str">
        <f>IF(N321&lt;0.5,"A",IF(N321&gt;0.8,"C","B"))</f>
        <v>C</v>
      </c>
    </row>
    <row r="322" spans="1:35" ht="38.25" x14ac:dyDescent="0.25">
      <c r="A322" s="232">
        <f t="shared" si="25"/>
        <v>322</v>
      </c>
      <c r="B322" s="232"/>
      <c r="C322" s="310">
        <v>90850</v>
      </c>
      <c r="D322" s="373" t="str">
        <f>IF($C322="","",IFERROR(VLOOKUP($C322,SERVIÇOS!$B:$G,2,0),IFERROR(VLOOKUP($C322,'COMPOSIÇÕES COMPLEMENTARES '!$D:$L,2,0),IFERROR(VLOOKUP($C322,INSUMOS!$A:$D,2,0),""))))</f>
        <v>KIT DE PORTA DE MADEIRA PARA PINTURA, SEMI-OCA (LEVE OU MÉDIA), PADRÃO MÉDIO, 90X210CM, ESPESSURA DE 3,5CM, ITENS INCLUSOS: DOBRADIÇAS, MONTAGEM E INSTALAÇÃO DO BATENTE, SEM FECHADURA - FORNECIMENTO E INSTALAÇÃO. AF_12/2019</v>
      </c>
      <c r="E322" s="312" t="str">
        <f>IF($C322="","",IFERROR(VLOOKUP($C322,SERVIÇOS!$B:$G,3,0),IFERROR(VLOOKUP($C322,'COMPOSIÇÕES COMPLEMENTARES '!$D:$L,3,0),IFERROR(VLOOKUP($C322,INSUMOS!$A:$D,3,0),""))))</f>
        <v>UN</v>
      </c>
      <c r="F322" s="313">
        <v>2</v>
      </c>
      <c r="G322" s="314">
        <f>IF($C322="","",IFERROR(VLOOKUP($C322,SERVIÇOS!$B:$G,4,0),IFERROR(VLOOKUP($C322,'COMPOSIÇÕES COMPLEMENTARES '!$D:$L,6,0),IFERROR(VLOOKUP($C322,INSUMOS!$A:$D,4,0),""))))</f>
        <v>945.61</v>
      </c>
      <c r="H322" s="314">
        <f>IF($C322="","",IFERROR(VLOOKUP($C322,SERVIÇOS!$B:$G,5,0),IFERROR(VLOOKUP($C322,'COMPOSIÇÕES COMPLEMENTARES '!$D:$L,7,0),0)))</f>
        <v>255.92</v>
      </c>
      <c r="I322" s="314">
        <f t="shared" si="26"/>
        <v>1201.53</v>
      </c>
      <c r="J322" s="314">
        <f t="shared" si="27"/>
        <v>1891.22</v>
      </c>
      <c r="K322" s="314">
        <f t="shared" si="28"/>
        <v>511.84</v>
      </c>
      <c r="L322" s="948">
        <f t="shared" si="29"/>
        <v>2403.06</v>
      </c>
      <c r="M322" s="374">
        <f t="shared" si="30"/>
        <v>5321556.2600000026</v>
      </c>
      <c r="N322" s="375">
        <f>+M322/L$815</f>
        <v>0.94226152280522835</v>
      </c>
      <c r="O322" s="376" t="str">
        <f>IF(N322&lt;0.5,"A",IF(N322&gt;0.8,"C","B"))</f>
        <v>C</v>
      </c>
    </row>
    <row r="323" spans="1:35" ht="25.5" x14ac:dyDescent="0.25">
      <c r="A323" s="232">
        <f t="shared" si="25"/>
        <v>323</v>
      </c>
      <c r="B323" s="232"/>
      <c r="C323" s="310">
        <v>97887</v>
      </c>
      <c r="D323" s="373" t="str">
        <f>IF($C323="","",IFERROR(VLOOKUP($C323,SERVIÇOS!$B:$G,2,0),IFERROR(VLOOKUP($C323,'COMPOSIÇÕES COMPLEMENTARES '!$D:$L,2,0),IFERROR(VLOOKUP($C323,INSUMOS!$A:$D,2,0),""))))</f>
        <v>CAIXA ENTERRADA ELÉTRICA RETANGULAR, EM ALVENARIA COM TIJOLOS CERÂMICOS MACIÇOS, FUNDO COM BRITA, DIMENSÕES INTERNAS: 0,4X0,4X0,4 M. AF_12/2020</v>
      </c>
      <c r="E323" s="312" t="str">
        <f>IF($C323="","",IFERROR(VLOOKUP($C323,SERVIÇOS!$B:$G,3,0),IFERROR(VLOOKUP($C323,'COMPOSIÇÕES COMPLEMENTARES '!$D:$L,3,0),IFERROR(VLOOKUP($C323,INSUMOS!$A:$D,3,0),""))))</f>
        <v>UN</v>
      </c>
      <c r="F323" s="313">
        <v>8</v>
      </c>
      <c r="G323" s="314">
        <f>IF($C323="","",IFERROR(VLOOKUP($C323,SERVIÇOS!$B:$G,4,0),IFERROR(VLOOKUP($C323,'COMPOSIÇÕES COMPLEMENTARES '!$D:$L,6,0),IFERROR(VLOOKUP($C323,INSUMOS!$A:$D,4,0),""))))</f>
        <v>147.86000000000001</v>
      </c>
      <c r="H323" s="314">
        <f>IF($C323="","",IFERROR(VLOOKUP($C323,SERVIÇOS!$B:$G,5,0),IFERROR(VLOOKUP($C323,'COMPOSIÇÕES COMPLEMENTARES '!$D:$L,7,0),0)))</f>
        <v>152.05000000000001</v>
      </c>
      <c r="I323" s="314">
        <f t="shared" si="26"/>
        <v>299.91000000000003</v>
      </c>
      <c r="J323" s="314">
        <f t="shared" si="27"/>
        <v>1182.8800000000001</v>
      </c>
      <c r="K323" s="314">
        <f t="shared" si="28"/>
        <v>1216.4000000000001</v>
      </c>
      <c r="L323" s="948">
        <f t="shared" si="29"/>
        <v>2399.2800000000002</v>
      </c>
      <c r="M323" s="374">
        <f t="shared" si="30"/>
        <v>5323955.5400000028</v>
      </c>
      <c r="N323" s="375">
        <f>+M323/L$815</f>
        <v>0.94268635139220192</v>
      </c>
      <c r="O323" s="376" t="str">
        <f>IF(N323&lt;0.5,"A",IF(N323&gt;0.8,"C","B"))</f>
        <v>C</v>
      </c>
    </row>
    <row r="324" spans="1:35" ht="25.5" x14ac:dyDescent="0.25">
      <c r="A324" s="232">
        <f t="shared" si="25"/>
        <v>324</v>
      </c>
      <c r="B324" s="232"/>
      <c r="C324" s="310" t="s">
        <v>12425</v>
      </c>
      <c r="D324" s="373" t="str">
        <f>IF($C324="","",IFERROR(VLOOKUP($C324,SERVIÇOS!$B:$G,2,0),IFERROR(VLOOKUP($C324,'COMPOSIÇÕES COMPLEMENTARES '!$D:$L,2,0),IFERROR(VLOOKUP($C324,INSUMOS!$A:$D,2,0),""))))</f>
        <v>DIFUSOR DE 4 VIAS DO TIPO QUADRADO EUROPEU TAMANHO 3 PARA INSUFLAMENTO DE AR EM ALUMÍNIO COM REGISTRO - MARCA TROPICAL (OU SIMILAR OU SIMILAR - TROX, SEIMMEI, DIFUSAR) - MODELO: DQE-41-T3-RGA</v>
      </c>
      <c r="E324" s="312" t="str">
        <f>IF($C324="","",IFERROR(VLOOKUP($C324,SERVIÇOS!$B:$G,3,0),IFERROR(VLOOKUP($C324,'COMPOSIÇÕES COMPLEMENTARES '!$D:$L,3,0),IFERROR(VLOOKUP($C324,INSUMOS!$A:$D,3,0),""))))</f>
        <v>UN</v>
      </c>
      <c r="F324" s="313">
        <v>9</v>
      </c>
      <c r="G324" s="314">
        <f>IF($C324="","",IFERROR(VLOOKUP($C324,SERVIÇOS!$B:$G,4,0),IFERROR(VLOOKUP($C324,'COMPOSIÇÕES COMPLEMENTARES '!$D:$L,6,0),IFERROR(VLOOKUP($C324,INSUMOS!$A:$D,4,0),""))))</f>
        <v>251.5</v>
      </c>
      <c r="H324" s="314">
        <f>IF($C324="","",IFERROR(VLOOKUP($C324,SERVIÇOS!$B:$G,5,0),IFERROR(VLOOKUP($C324,'COMPOSIÇÕES COMPLEMENTARES '!$D:$L,7,0),0)))</f>
        <v>10.72</v>
      </c>
      <c r="I324" s="314">
        <f t="shared" si="26"/>
        <v>262.22000000000003</v>
      </c>
      <c r="J324" s="314">
        <f t="shared" si="27"/>
        <v>2263.5</v>
      </c>
      <c r="K324" s="314">
        <f t="shared" si="28"/>
        <v>96.48</v>
      </c>
      <c r="L324" s="948">
        <f t="shared" si="29"/>
        <v>2359.98</v>
      </c>
      <c r="M324" s="374">
        <f t="shared" si="30"/>
        <v>5326315.5200000033</v>
      </c>
      <c r="N324" s="375">
        <f>+M324/L$815</f>
        <v>0.94310422132346716</v>
      </c>
      <c r="O324" s="376" t="str">
        <f>IF(N324&lt;0.5,"A",IF(N324&gt;0.8,"C","B"))</f>
        <v>C</v>
      </c>
    </row>
    <row r="325" spans="1:35" ht="25.5" x14ac:dyDescent="0.25">
      <c r="A325" s="232">
        <f t="shared" si="25"/>
        <v>325</v>
      </c>
      <c r="B325" s="232"/>
      <c r="C325" s="310" t="s">
        <v>12058</v>
      </c>
      <c r="D325" s="373" t="str">
        <f>IF($C325="","",IFERROR(VLOOKUP($C325,SERVIÇOS!$B:$G,2,0),IFERROR(VLOOKUP($C325,'COMPOSIÇÕES COMPLEMENTARES '!$D:$L,2,0),IFERROR(VLOOKUP($C325,INSUMOS!$A:$D,2,0),""))))</f>
        <v>CHUVEIRO ELÉTRICO COMUM EM PLÁSTICO CROMADO, COM CANO, 4 TEMPERATURAS (110/220V), POTÊNCIA 6.800W, COM DESVIADOR  - FORNECIMENTO E INSTALAÇÃO</v>
      </c>
      <c r="E325" s="312" t="str">
        <f>IF($C325="","",IFERROR(VLOOKUP($C325,SERVIÇOS!$B:$G,3,0),IFERROR(VLOOKUP($C325,'COMPOSIÇÕES COMPLEMENTARES '!$D:$L,3,0),IFERROR(VLOOKUP($C325,INSUMOS!$A:$D,3,0),""))))</f>
        <v>UN</v>
      </c>
      <c r="F325" s="313">
        <v>7</v>
      </c>
      <c r="G325" s="314">
        <f>IF($C325="","",IFERROR(VLOOKUP($C325,SERVIÇOS!$B:$G,4,0),IFERROR(VLOOKUP($C325,'COMPOSIÇÕES COMPLEMENTARES '!$D:$L,6,0),IFERROR(VLOOKUP($C325,INSUMOS!$A:$D,4,0),""))))</f>
        <v>319.47000000000003</v>
      </c>
      <c r="H325" s="314">
        <f>IF($C325="","",IFERROR(VLOOKUP($C325,SERVIÇOS!$B:$G,5,0),IFERROR(VLOOKUP($C325,'COMPOSIÇÕES COMPLEMENTARES '!$D:$L,7,0),0)))</f>
        <v>15.03</v>
      </c>
      <c r="I325" s="314">
        <f t="shared" si="26"/>
        <v>334.5</v>
      </c>
      <c r="J325" s="314">
        <f t="shared" si="27"/>
        <v>2236.29</v>
      </c>
      <c r="K325" s="314">
        <f t="shared" si="28"/>
        <v>105.21</v>
      </c>
      <c r="L325" s="948">
        <f t="shared" si="29"/>
        <v>2341.5</v>
      </c>
      <c r="M325" s="374">
        <f t="shared" si="30"/>
        <v>5328657.0200000033</v>
      </c>
      <c r="N325" s="375">
        <f>+M325/L$815</f>
        <v>0.94351881909296409</v>
      </c>
      <c r="O325" s="376" t="str">
        <f>IF(N325&lt;0.5,"A",IF(N325&gt;0.8,"C","B"))</f>
        <v>C</v>
      </c>
    </row>
    <row r="326" spans="1:35" ht="25.5" x14ac:dyDescent="0.25">
      <c r="A326" s="232">
        <f t="shared" si="25"/>
        <v>326</v>
      </c>
      <c r="B326" s="232"/>
      <c r="C326" s="310" t="s">
        <v>12063</v>
      </c>
      <c r="D326" s="373" t="str">
        <f>IF($C326="","",IFERROR(VLOOKUP($C326,SERVIÇOS!$B:$G,2,0),IFERROR(VLOOKUP($C326,'COMPOSIÇÕES COMPLEMENTARES '!$D:$L,2,0),IFERROR(VLOOKUP($C326,INSUMOS!$A:$D,2,0),""))))</f>
        <v>PORTA OBJETOS/PRATELEIRA EM VIDRO TEMPERADO, DIMENSÕES APROXIMADAS 12X25CM, ESPESSURA 10MM, FIXAÇÃO NA PAREDE COM SUPORTE QUADRADO</v>
      </c>
      <c r="E326" s="312" t="str">
        <f>IF($C326="","",IFERROR(VLOOKUP($C326,SERVIÇOS!$B:$G,3,0),IFERROR(VLOOKUP($C326,'COMPOSIÇÕES COMPLEMENTARES '!$D:$L,3,0),IFERROR(VLOOKUP($C326,INSUMOS!$A:$D,3,0),""))))</f>
        <v>UN</v>
      </c>
      <c r="F326" s="313">
        <v>8</v>
      </c>
      <c r="G326" s="314">
        <f>IF($C326="","",IFERROR(VLOOKUP($C326,SERVIÇOS!$B:$G,4,0),IFERROR(VLOOKUP($C326,'COMPOSIÇÕES COMPLEMENTARES '!$D:$L,6,0),IFERROR(VLOOKUP($C326,INSUMOS!$A:$D,4,0),""))))</f>
        <v>272.8</v>
      </c>
      <c r="H326" s="314">
        <f>IF($C326="","",IFERROR(VLOOKUP($C326,SERVIÇOS!$B:$G,5,0),IFERROR(VLOOKUP($C326,'COMPOSIÇÕES COMPLEMENTARES '!$D:$L,7,0),0)))</f>
        <v>19.34</v>
      </c>
      <c r="I326" s="314">
        <f t="shared" si="26"/>
        <v>292.14</v>
      </c>
      <c r="J326" s="314">
        <f t="shared" si="27"/>
        <v>2182.4</v>
      </c>
      <c r="K326" s="314">
        <f t="shared" si="28"/>
        <v>154.72</v>
      </c>
      <c r="L326" s="948">
        <f t="shared" si="29"/>
        <v>2337.12</v>
      </c>
      <c r="M326" s="374">
        <f t="shared" si="30"/>
        <v>5330994.1400000034</v>
      </c>
      <c r="N326" s="375">
        <f>+M326/L$815</f>
        <v>0.94393264131762633</v>
      </c>
      <c r="O326" s="376" t="str">
        <f>IF(N326&lt;0.5,"A",IF(N326&gt;0.8,"C","B"))</f>
        <v>C</v>
      </c>
    </row>
    <row r="327" spans="1:35" ht="25.5" x14ac:dyDescent="0.25">
      <c r="A327" s="232">
        <f t="shared" si="25"/>
        <v>327</v>
      </c>
      <c r="B327" s="232"/>
      <c r="C327" s="310">
        <v>97086</v>
      </c>
      <c r="D327" s="373" t="str">
        <f>IF($C327="","",IFERROR(VLOOKUP($C327,SERVIÇOS!$B:$G,2,0),IFERROR(VLOOKUP($C327,'COMPOSIÇÕES COMPLEMENTARES '!$D:$L,2,0),IFERROR(VLOOKUP($C327,INSUMOS!$A:$D,2,0),""))))</f>
        <v>FABRICAÇÃO, MONTAGEM E DESMONTAGEM DE FORMA PARA RADIER, PISO DE CONCRETO OU LAJE SOBRE SOLO, EM MADEIRA SERRADA, 4 UTILIZAÇÕES. AF_09/2021</v>
      </c>
      <c r="E327" s="312" t="str">
        <f>IF($C327="","",IFERROR(VLOOKUP($C327,SERVIÇOS!$B:$G,3,0),IFERROR(VLOOKUP($C327,'COMPOSIÇÕES COMPLEMENTARES '!$D:$L,3,0),IFERROR(VLOOKUP($C327,INSUMOS!$A:$D,3,0),""))))</f>
        <v>M2</v>
      </c>
      <c r="F327" s="313">
        <v>13.9</v>
      </c>
      <c r="G327" s="314">
        <f>IF($C327="","",IFERROR(VLOOKUP($C327,SERVIÇOS!$B:$G,4,0),IFERROR(VLOOKUP($C327,'COMPOSIÇÕES COMPLEMENTARES '!$D:$L,6,0),IFERROR(VLOOKUP($C327,INSUMOS!$A:$D,4,0),""))))</f>
        <v>69.72</v>
      </c>
      <c r="H327" s="314">
        <f>IF($C327="","",IFERROR(VLOOKUP($C327,SERVIÇOS!$B:$G,5,0),IFERROR(VLOOKUP($C327,'COMPOSIÇÕES COMPLEMENTARES '!$D:$L,7,0),0)))</f>
        <v>94.86</v>
      </c>
      <c r="I327" s="314">
        <f t="shared" si="26"/>
        <v>164.57999999999998</v>
      </c>
      <c r="J327" s="314">
        <f t="shared" si="27"/>
        <v>969.1</v>
      </c>
      <c r="K327" s="314">
        <f t="shared" si="28"/>
        <v>1318.55</v>
      </c>
      <c r="L327" s="948">
        <f t="shared" si="29"/>
        <v>2287.65</v>
      </c>
      <c r="M327" s="374">
        <f t="shared" si="30"/>
        <v>5333281.7900000038</v>
      </c>
      <c r="N327" s="375">
        <f>+M327/L$815</f>
        <v>0.94433770413521756</v>
      </c>
      <c r="O327" s="376" t="str">
        <f>IF(N327&lt;0.5,"A",IF(N327&gt;0.8,"C","B"))</f>
        <v>C</v>
      </c>
    </row>
    <row r="328" spans="1:35" x14ac:dyDescent="0.25">
      <c r="A328" s="232">
        <f t="shared" si="25"/>
        <v>328</v>
      </c>
      <c r="B328" s="232"/>
      <c r="C328" s="310" t="s">
        <v>12296</v>
      </c>
      <c r="D328" s="373" t="str">
        <f>IF($C328="","",IFERROR(VLOOKUP($C328,SERVIÇOS!$B:$G,2,0),IFERROR(VLOOKUP($C328,'COMPOSIÇÕES COMPLEMENTARES '!$D:$L,2,0),IFERROR(VLOOKUP($C328,INSUMOS!$A:$D,2,0),""))))</f>
        <v>CABO FLEXÍVEL MULTIPOLAR ISOL. 1KV  - 4X#25MM² - AFUMEX (PARA ALIMENTAÇÃO MÁQUINAS DE AR)</v>
      </c>
      <c r="E328" s="312" t="str">
        <f>IF($C328="","",IFERROR(VLOOKUP($C328,SERVIÇOS!$B:$G,3,0),IFERROR(VLOOKUP($C328,'COMPOSIÇÕES COMPLEMENTARES '!$D:$L,3,0),IFERROR(VLOOKUP($C328,INSUMOS!$A:$D,3,0),""))))</f>
        <v>M</v>
      </c>
      <c r="F328" s="313">
        <v>20</v>
      </c>
      <c r="G328" s="314">
        <f>IF($C328="","",IFERROR(VLOOKUP($C328,SERVIÇOS!$B:$G,4,0),IFERROR(VLOOKUP($C328,'COMPOSIÇÕES COMPLEMENTARES '!$D:$L,6,0),IFERROR(VLOOKUP($C328,INSUMOS!$A:$D,4,0),""))))</f>
        <v>103.72</v>
      </c>
      <c r="H328" s="314">
        <f>IF($C328="","",IFERROR(VLOOKUP($C328,SERVIÇOS!$B:$G,5,0),IFERROR(VLOOKUP($C328,'COMPOSIÇÕES COMPLEMENTARES '!$D:$L,7,0),0)))</f>
        <v>9.9</v>
      </c>
      <c r="I328" s="314">
        <f t="shared" si="26"/>
        <v>113.62</v>
      </c>
      <c r="J328" s="314">
        <f t="shared" si="27"/>
        <v>2074.4</v>
      </c>
      <c r="K328" s="314">
        <f t="shared" si="28"/>
        <v>198</v>
      </c>
      <c r="L328" s="948">
        <f t="shared" si="29"/>
        <v>2272.4</v>
      </c>
      <c r="M328" s="374">
        <f t="shared" si="30"/>
        <v>5335554.1900000041</v>
      </c>
      <c r="N328" s="375">
        <f>+M328/L$815</f>
        <v>0.9447400667110899</v>
      </c>
      <c r="O328" s="376" t="str">
        <f>IF(N328&lt;0.5,"A",IF(N328&gt;0.8,"C","B"))</f>
        <v>C</v>
      </c>
    </row>
    <row r="329" spans="1:35" x14ac:dyDescent="0.25">
      <c r="A329" s="232">
        <f t="shared" si="25"/>
        <v>329</v>
      </c>
      <c r="B329" s="232"/>
      <c r="C329" s="310" t="s">
        <v>12057</v>
      </c>
      <c r="D329" s="373" t="str">
        <f>IF($C329="","",IFERROR(VLOOKUP($C329,SERVIÇOS!$B:$G,2,0),IFERROR(VLOOKUP($C329,'COMPOSIÇÕES COMPLEMENTARES '!$D:$L,2,0),IFERROR(VLOOKUP($C329,INSUMOS!$A:$D,2,0),""))))</f>
        <v>ESPELHO CRISTAL, ESPESSURA 4MM, FIXADO COM BOTÃO CROMADO, SEM MOLDURA, NAS DIMENSÕES 50X70CM</v>
      </c>
      <c r="E329" s="312" t="str">
        <f>IF($C329="","",IFERROR(VLOOKUP($C329,SERVIÇOS!$B:$G,3,0),IFERROR(VLOOKUP($C329,'COMPOSIÇÕES COMPLEMENTARES '!$D:$L,3,0),IFERROR(VLOOKUP($C329,INSUMOS!$A:$D,3,0),""))))</f>
        <v>UN</v>
      </c>
      <c r="F329" s="313">
        <v>11</v>
      </c>
      <c r="G329" s="314">
        <f>IF($C329="","",IFERROR(VLOOKUP($C329,SERVIÇOS!$B:$G,4,0),IFERROR(VLOOKUP($C329,'COMPOSIÇÕES COMPLEMENTARES '!$D:$L,6,0),IFERROR(VLOOKUP($C329,INSUMOS!$A:$D,4,0),""))))</f>
        <v>181.94</v>
      </c>
      <c r="H329" s="314">
        <f>IF($C329="","",IFERROR(VLOOKUP($C329,SERVIÇOS!$B:$G,5,0),IFERROR(VLOOKUP($C329,'COMPOSIÇÕES COMPLEMENTARES '!$D:$L,7,0),0)))</f>
        <v>22.23</v>
      </c>
      <c r="I329" s="314">
        <f t="shared" si="26"/>
        <v>204.17</v>
      </c>
      <c r="J329" s="314">
        <f t="shared" si="27"/>
        <v>2001.34</v>
      </c>
      <c r="K329" s="314">
        <f t="shared" si="28"/>
        <v>244.53</v>
      </c>
      <c r="L329" s="948">
        <f t="shared" si="29"/>
        <v>2245.87</v>
      </c>
      <c r="M329" s="374">
        <f t="shared" si="30"/>
        <v>5337800.0600000042</v>
      </c>
      <c r="N329" s="375">
        <f>+M329/L$815</f>
        <v>0.94513773175169635</v>
      </c>
      <c r="O329" s="376" t="str">
        <f>IF(N329&lt;0.5,"A",IF(N329&gt;0.8,"C","B"))</f>
        <v>C</v>
      </c>
    </row>
    <row r="330" spans="1:35" ht="25.5" x14ac:dyDescent="0.25">
      <c r="A330" s="232">
        <f t="shared" ref="A330:A393" si="31">1+A329</f>
        <v>330</v>
      </c>
      <c r="B330" s="232"/>
      <c r="C330" s="310">
        <v>87879</v>
      </c>
      <c r="D330" s="373" t="str">
        <f>IF($C330="","",IFERROR(VLOOKUP($C330,SERVIÇOS!$B:$G,2,0),IFERROR(VLOOKUP($C330,'COMPOSIÇÕES COMPLEMENTARES '!$D:$L,2,0),IFERROR(VLOOKUP($C330,INSUMOS!$A:$D,2,0),""))))</f>
        <v>CHAPISCO APLICADO EM ALVENARIAS E ESTRUTURAS DE CONCRETO INTERNAS, COM COLHER DE PEDREIRO.  ARGAMASSA TRAÇO 1:3 COM PREPARO EM BETONEIRA 400L. AF_10/2022</v>
      </c>
      <c r="E330" s="312" t="str">
        <f>IF($C330="","",IFERROR(VLOOKUP($C330,SERVIÇOS!$B:$G,3,0),IFERROR(VLOOKUP($C330,'COMPOSIÇÕES COMPLEMENTARES '!$D:$L,3,0),IFERROR(VLOOKUP($C330,INSUMOS!$A:$D,3,0),""))))</f>
        <v>M2</v>
      </c>
      <c r="F330" s="313">
        <v>425.5</v>
      </c>
      <c r="G330" s="314">
        <f>IF($C330="","",IFERROR(VLOOKUP($C330,SERVIÇOS!$B:$G,4,0),IFERROR(VLOOKUP($C330,'COMPOSIÇÕES COMPLEMENTARES '!$D:$L,6,0),IFERROR(VLOOKUP($C330,INSUMOS!$A:$D,4,0),""))))</f>
        <v>2.52</v>
      </c>
      <c r="H330" s="314">
        <f>IF($C330="","",IFERROR(VLOOKUP($C330,SERVIÇOS!$B:$G,5,0),IFERROR(VLOOKUP($C330,'COMPOSIÇÕES COMPLEMENTARES '!$D:$L,7,0),0)))</f>
        <v>2.75</v>
      </c>
      <c r="I330" s="314">
        <f t="shared" ref="I330:I393" si="32">IF(F330="","",G330+H330)</f>
        <v>5.27</v>
      </c>
      <c r="J330" s="314">
        <f t="shared" ref="J330:J393" si="33">IF(F330="","",TRUNC((F330*G330),2))</f>
        <v>1072.26</v>
      </c>
      <c r="K330" s="314">
        <f t="shared" ref="K330:K393" si="34">IF(F330="","",TRUNC((F330*H330),2))</f>
        <v>1170.1199999999999</v>
      </c>
      <c r="L330" s="948">
        <f t="shared" ref="L330:L393" si="35">IF(F330="","",TRUNC((J330+K330),2))</f>
        <v>2242.38</v>
      </c>
      <c r="M330" s="374">
        <f t="shared" si="30"/>
        <v>5340042.4400000041</v>
      </c>
      <c r="N330" s="375">
        <f>+M330/L$815</f>
        <v>0.94553477883534554</v>
      </c>
      <c r="O330" s="376" t="str">
        <f>IF(N330&lt;0.5,"A",IF(N330&gt;0.8,"C","B"))</f>
        <v>C</v>
      </c>
    </row>
    <row r="331" spans="1:35" x14ac:dyDescent="0.25">
      <c r="A331" s="232">
        <f t="shared" si="31"/>
        <v>331</v>
      </c>
      <c r="B331" s="232"/>
      <c r="C331" s="310" t="s">
        <v>12187</v>
      </c>
      <c r="D331" s="373" t="str">
        <f>IF($C331="","",IFERROR(VLOOKUP($C331,SERVIÇOS!$B:$G,2,0),IFERROR(VLOOKUP($C331,'COMPOSIÇÕES COMPLEMENTARES '!$D:$L,2,0),IFERROR(VLOOKUP($C331,INSUMOS!$A:$D,2,0),""))))</f>
        <v>CONDUTOR DE COBRE FLEX. ISOL. 1KV - 90º - #50MM² - AFUMEX</v>
      </c>
      <c r="E331" s="312" t="str">
        <f>IF($C331="","",IFERROR(VLOOKUP($C331,SERVIÇOS!$B:$G,3,0),IFERROR(VLOOKUP($C331,'COMPOSIÇÕES COMPLEMENTARES '!$D:$L,3,0),IFERROR(VLOOKUP($C331,INSUMOS!$A:$D,3,0),""))))</f>
        <v>M</v>
      </c>
      <c r="F331" s="313">
        <v>40</v>
      </c>
      <c r="G331" s="314">
        <f>IF($C331="","",IFERROR(VLOOKUP($C331,SERVIÇOS!$B:$G,4,0),IFERROR(VLOOKUP($C331,'COMPOSIÇÕES COMPLEMENTARES '!$D:$L,6,0),IFERROR(VLOOKUP($C331,INSUMOS!$A:$D,4,0),""))))</f>
        <v>51.15</v>
      </c>
      <c r="H331" s="314">
        <f>IF($C331="","",IFERROR(VLOOKUP($C331,SERVIÇOS!$B:$G,5,0),IFERROR(VLOOKUP($C331,'COMPOSIÇÕES COMPLEMENTARES '!$D:$L,7,0),0)))</f>
        <v>4.3</v>
      </c>
      <c r="I331" s="314">
        <f t="shared" si="32"/>
        <v>55.449999999999996</v>
      </c>
      <c r="J331" s="314">
        <f t="shared" si="33"/>
        <v>2046</v>
      </c>
      <c r="K331" s="314">
        <f t="shared" si="34"/>
        <v>172</v>
      </c>
      <c r="L331" s="948">
        <f t="shared" si="35"/>
        <v>2218</v>
      </c>
      <c r="M331" s="374">
        <f t="shared" ref="M331:M394" si="36">+L331+M330</f>
        <v>5342260.4400000041</v>
      </c>
      <c r="N331" s="375">
        <f>+M331/L$815</f>
        <v>0.94592750907354506</v>
      </c>
      <c r="O331" s="376" t="str">
        <f>IF(N331&lt;0.5,"A",IF(N331&gt;0.8,"C","B"))</f>
        <v>C</v>
      </c>
    </row>
    <row r="332" spans="1:35" x14ac:dyDescent="0.25">
      <c r="A332" s="232">
        <f t="shared" si="31"/>
        <v>332</v>
      </c>
      <c r="B332" s="232"/>
      <c r="C332" s="310" t="s">
        <v>12042</v>
      </c>
      <c r="D332" s="373" t="str">
        <f>IF($C332="","",IFERROR(VLOOKUP($C332,SERVIÇOS!$B:$G,2,0),IFERROR(VLOOKUP($C332,'COMPOSIÇÕES COMPLEMENTARES '!$D:$L,2,0),IFERROR(VLOOKUP($C332,INSUMOS!$A:$D,2,0),""))))</f>
        <v>PORTA DE ABRIR EM CHAPA LISA DE FERRO GALVANIZADO COM TELA MOSQUITEIRO</v>
      </c>
      <c r="E332" s="312" t="str">
        <f>IF($C332="","",IFERROR(VLOOKUP($C332,SERVIÇOS!$B:$G,3,0),IFERROR(VLOOKUP($C332,'COMPOSIÇÕES COMPLEMENTARES '!$D:$L,3,0),IFERROR(VLOOKUP($C332,INSUMOS!$A:$D,3,0),""))))</f>
        <v>M2</v>
      </c>
      <c r="F332" s="313">
        <v>8.67</v>
      </c>
      <c r="G332" s="314">
        <f>IF($C332="","",IFERROR(VLOOKUP($C332,SERVIÇOS!$B:$G,4,0),IFERROR(VLOOKUP($C332,'COMPOSIÇÕES COMPLEMENTARES '!$D:$L,6,0),IFERROR(VLOOKUP($C332,INSUMOS!$A:$D,4,0),""))))</f>
        <v>202.72</v>
      </c>
      <c r="H332" s="314">
        <f>IF($C332="","",IFERROR(VLOOKUP($C332,SERVIÇOS!$B:$G,5,0),IFERROR(VLOOKUP($C332,'COMPOSIÇÕES COMPLEMENTARES '!$D:$L,7,0),0)))</f>
        <v>47.64</v>
      </c>
      <c r="I332" s="314">
        <f t="shared" si="32"/>
        <v>250.36</v>
      </c>
      <c r="J332" s="314">
        <f t="shared" si="33"/>
        <v>1757.58</v>
      </c>
      <c r="K332" s="314">
        <f t="shared" si="34"/>
        <v>413.03</v>
      </c>
      <c r="L332" s="948">
        <f t="shared" si="35"/>
        <v>2170.61</v>
      </c>
      <c r="M332" s="374">
        <f t="shared" si="36"/>
        <v>5344431.0500000045</v>
      </c>
      <c r="N332" s="375">
        <f>+M332/L$815</f>
        <v>0.94631184819993752</v>
      </c>
      <c r="O332" s="376" t="str">
        <f>IF(N332&lt;0.5,"A",IF(N332&gt;0.8,"C","B"))</f>
        <v>C</v>
      </c>
    </row>
    <row r="333" spans="1:35" x14ac:dyDescent="0.25">
      <c r="A333" s="232">
        <f t="shared" si="31"/>
        <v>333</v>
      </c>
      <c r="B333" s="232"/>
      <c r="C333" s="310" t="s">
        <v>12164</v>
      </c>
      <c r="D333" s="373" t="str">
        <f>IF($C333="","",IFERROR(VLOOKUP($C333,SERVIÇOS!$B:$G,2,0),IFERROR(VLOOKUP($C333,'COMPOSIÇÕES COMPLEMENTARES '!$D:$L,2,0),IFERROR(VLOOKUP($C333,INSUMOS!$A:$D,2,0),""))))</f>
        <v xml:space="preserve">TUBO DE PVC TIPO ESGOTO P/ AR CONDICIONADO, INCLUSO CONEXÕES - D=40MM </v>
      </c>
      <c r="E333" s="312" t="str">
        <f>IF($C333="","",IFERROR(VLOOKUP($C333,SERVIÇOS!$B:$G,3,0),IFERROR(VLOOKUP($C333,'COMPOSIÇÕES COMPLEMENTARES '!$D:$L,3,0),IFERROR(VLOOKUP($C333,INSUMOS!$A:$D,3,0),""))))</f>
        <v>M</v>
      </c>
      <c r="F333" s="313">
        <v>51</v>
      </c>
      <c r="G333" s="314">
        <f>IF($C333="","",IFERROR(VLOOKUP($C333,SERVIÇOS!$B:$G,4,0),IFERROR(VLOOKUP($C333,'COMPOSIÇÕES COMPLEMENTARES '!$D:$L,6,0),IFERROR(VLOOKUP($C333,INSUMOS!$A:$D,4,0),""))))</f>
        <v>18.18</v>
      </c>
      <c r="H333" s="314">
        <f>IF($C333="","",IFERROR(VLOOKUP($C333,SERVIÇOS!$B:$G,5,0),IFERROR(VLOOKUP($C333,'COMPOSIÇÕES COMPLEMENTARES '!$D:$L,7,0),0)))</f>
        <v>24.3</v>
      </c>
      <c r="I333" s="314">
        <f t="shared" si="32"/>
        <v>42.480000000000004</v>
      </c>
      <c r="J333" s="314">
        <f t="shared" si="33"/>
        <v>927.18</v>
      </c>
      <c r="K333" s="314">
        <f t="shared" si="34"/>
        <v>1239.3</v>
      </c>
      <c r="L333" s="948">
        <f t="shared" si="35"/>
        <v>2166.48</v>
      </c>
      <c r="M333" s="374">
        <f t="shared" si="36"/>
        <v>5346597.5300000049</v>
      </c>
      <c r="N333" s="375">
        <f>+M333/L$815</f>
        <v>0.94669545604775296</v>
      </c>
      <c r="O333" s="376" t="str">
        <f>IF(N333&lt;0.5,"A",IF(N333&gt;0.8,"C","B"))</f>
        <v>C</v>
      </c>
    </row>
    <row r="334" spans="1:35" x14ac:dyDescent="0.25">
      <c r="A334" s="232">
        <f t="shared" si="31"/>
        <v>334</v>
      </c>
      <c r="B334" s="232"/>
      <c r="C334" s="310" t="s">
        <v>12090</v>
      </c>
      <c r="D334" s="373" t="str">
        <f>IF($C334="","",IFERROR(VLOOKUP($C334,SERVIÇOS!$B:$G,2,0),IFERROR(VLOOKUP($C334,'COMPOSIÇÕES COMPLEMENTARES '!$D:$L,2,0),IFERROR(VLOOKUP($C334,INSUMOS!$A:$D,2,0),""))))</f>
        <v>FILTRO PARA ÁGUAS PLUVIAIS, WFF 100</v>
      </c>
      <c r="E334" s="312" t="str">
        <f>IF($C334="","",IFERROR(VLOOKUP($C334,SERVIÇOS!$B:$G,3,0),IFERROR(VLOOKUP($C334,'COMPOSIÇÕES COMPLEMENTARES '!$D:$L,3,0),IFERROR(VLOOKUP($C334,INSUMOS!$A:$D,3,0),""))))</f>
        <v>UN</v>
      </c>
      <c r="F334" s="313">
        <v>1</v>
      </c>
      <c r="G334" s="314">
        <f>IF($C334="","",IFERROR(VLOOKUP($C334,SERVIÇOS!$B:$G,4,0),IFERROR(VLOOKUP($C334,'COMPOSIÇÕES COMPLEMENTARES '!$D:$L,6,0),IFERROR(VLOOKUP($C334,INSUMOS!$A:$D,4,0),""))))</f>
        <v>2101.58</v>
      </c>
      <c r="H334" s="314">
        <f>IF($C334="","",IFERROR(VLOOKUP($C334,SERVIÇOS!$B:$G,5,0),IFERROR(VLOOKUP($C334,'COMPOSIÇÕES COMPLEMENTARES '!$D:$L,7,0),0)))</f>
        <v>34.020000000000003</v>
      </c>
      <c r="I334" s="314">
        <f t="shared" si="32"/>
        <v>2135.6</v>
      </c>
      <c r="J334" s="314">
        <f t="shared" si="33"/>
        <v>2101.58</v>
      </c>
      <c r="K334" s="314">
        <f t="shared" si="34"/>
        <v>34.020000000000003</v>
      </c>
      <c r="L334" s="948">
        <f t="shared" si="35"/>
        <v>2135.6</v>
      </c>
      <c r="M334" s="374">
        <f t="shared" si="36"/>
        <v>5348733.1300000045</v>
      </c>
      <c r="N334" s="375">
        <f>+M334/L$815</f>
        <v>0.94707359612741882</v>
      </c>
      <c r="O334" s="376" t="str">
        <f>IF(N334&lt;0.5,"A",IF(N334&gt;0.8,"C","B"))</f>
        <v>C</v>
      </c>
    </row>
    <row r="335" spans="1:35" ht="25.5" x14ac:dyDescent="0.25">
      <c r="A335" s="232">
        <f t="shared" si="31"/>
        <v>335</v>
      </c>
      <c r="B335" s="232"/>
      <c r="C335" s="310" t="s">
        <v>12217</v>
      </c>
      <c r="D335" s="373" t="str">
        <f>IF($C335="","",IFERROR(VLOOKUP($C335,SERVIÇOS!$B:$G,2,0),IFERROR(VLOOKUP($C335,'COMPOSIÇÕES COMPLEMENTARES '!$D:$L,2,0),IFERROR(VLOOKUP($C335,INSUMOS!$A:$D,2,0),""))))</f>
        <v>ELETRODUTO RÍGIDO ROSCÁVEL, PVC, DN 25 MM (3/4"), INCLUSO CONEXÕES E ACESSÓRIOS, INSTALAÇÃO APARENTE - FORNECIMENTO E INSTALAÇÃO</v>
      </c>
      <c r="E335" s="312" t="str">
        <f>IF($C335="","",IFERROR(VLOOKUP($C335,SERVIÇOS!$B:$G,3,0),IFERROR(VLOOKUP($C335,'COMPOSIÇÕES COMPLEMENTARES '!$D:$L,3,0),IFERROR(VLOOKUP($C335,INSUMOS!$A:$D,3,0),""))))</f>
        <v>M</v>
      </c>
      <c r="F335" s="313">
        <v>90</v>
      </c>
      <c r="G335" s="314">
        <f>IF($C335="","",IFERROR(VLOOKUP($C335,SERVIÇOS!$B:$G,4,0),IFERROR(VLOOKUP($C335,'COMPOSIÇÕES COMPLEMENTARES '!$D:$L,6,0),IFERROR(VLOOKUP($C335,INSUMOS!$A:$D,4,0),""))))</f>
        <v>14.79</v>
      </c>
      <c r="H335" s="314">
        <f>IF($C335="","",IFERROR(VLOOKUP($C335,SERVIÇOS!$B:$G,5,0),IFERROR(VLOOKUP($C335,'COMPOSIÇÕES COMPLEMENTARES '!$D:$L,7,0),0)))</f>
        <v>8.75</v>
      </c>
      <c r="I335" s="314">
        <f t="shared" si="32"/>
        <v>23.54</v>
      </c>
      <c r="J335" s="314">
        <f t="shared" si="33"/>
        <v>1331.1</v>
      </c>
      <c r="K335" s="314">
        <f t="shared" si="34"/>
        <v>787.5</v>
      </c>
      <c r="L335" s="948">
        <f t="shared" si="35"/>
        <v>2118.6</v>
      </c>
      <c r="M335" s="374">
        <f t="shared" si="36"/>
        <v>5350851.7300000042</v>
      </c>
      <c r="N335" s="375">
        <f>+M335/L$815</f>
        <v>0.94744872610156183</v>
      </c>
      <c r="O335" s="376" t="str">
        <f>IF(N335&lt;0.5,"A",IF(N335&gt;0.8,"C","B"))</f>
        <v>C</v>
      </c>
      <c r="P335" s="342"/>
      <c r="Q335" s="342"/>
      <c r="R335" s="342"/>
      <c r="S335" s="342"/>
      <c r="T335" s="342"/>
      <c r="U335" s="342"/>
      <c r="V335" s="342"/>
      <c r="W335" s="342"/>
      <c r="X335" s="342"/>
      <c r="Y335" s="342"/>
      <c r="Z335" s="342"/>
      <c r="AA335" s="342"/>
      <c r="AB335" s="342"/>
      <c r="AC335" s="342"/>
      <c r="AD335" s="342"/>
      <c r="AE335" s="342"/>
      <c r="AF335" s="342"/>
      <c r="AG335" s="342"/>
      <c r="AH335" s="342"/>
      <c r="AI335" s="342"/>
    </row>
    <row r="336" spans="1:35" x14ac:dyDescent="0.25">
      <c r="A336" s="232">
        <f t="shared" si="31"/>
        <v>336</v>
      </c>
      <c r="B336" s="232"/>
      <c r="C336" s="310">
        <v>100875</v>
      </c>
      <c r="D336" s="373" t="str">
        <f>IF($C336="","",IFERROR(VLOOKUP($C336,SERVIÇOS!$B:$G,2,0),IFERROR(VLOOKUP($C336,'COMPOSIÇÕES COMPLEMENTARES '!$D:$L,2,0),IFERROR(VLOOKUP($C336,INSUMOS!$A:$D,2,0),""))))</f>
        <v>BANCO ARTICULADO, EM ACO INOX, PARA PCD, FIXADO NA PAREDE - FORNECIMENTO E INSTALAÇÃO. AF_01/2020</v>
      </c>
      <c r="E336" s="312" t="str">
        <f>IF($C336="","",IFERROR(VLOOKUP($C336,SERVIÇOS!$B:$G,3,0),IFERROR(VLOOKUP($C336,'COMPOSIÇÕES COMPLEMENTARES '!$D:$L,3,0),IFERROR(VLOOKUP($C336,INSUMOS!$A:$D,3,0),""))))</f>
        <v>UN</v>
      </c>
      <c r="F336" s="313">
        <v>3</v>
      </c>
      <c r="G336" s="314">
        <f>IF($C336="","",IFERROR(VLOOKUP($C336,SERVIÇOS!$B:$G,4,0),IFERROR(VLOOKUP($C336,'COMPOSIÇÕES COMPLEMENTARES '!$D:$L,6,0),IFERROR(VLOOKUP($C336,INSUMOS!$A:$D,4,0),""))))</f>
        <v>659.92</v>
      </c>
      <c r="H336" s="314">
        <f>IF($C336="","",IFERROR(VLOOKUP($C336,SERVIÇOS!$B:$G,5,0),IFERROR(VLOOKUP($C336,'COMPOSIÇÕES COMPLEMENTARES '!$D:$L,7,0),0)))</f>
        <v>42.57</v>
      </c>
      <c r="I336" s="314">
        <f t="shared" si="32"/>
        <v>702.49</v>
      </c>
      <c r="J336" s="314">
        <f t="shared" si="33"/>
        <v>1979.76</v>
      </c>
      <c r="K336" s="314">
        <f t="shared" si="34"/>
        <v>127.71</v>
      </c>
      <c r="L336" s="948">
        <f t="shared" si="35"/>
        <v>2107.4699999999998</v>
      </c>
      <c r="M336" s="374">
        <f t="shared" si="36"/>
        <v>5352959.2000000039</v>
      </c>
      <c r="N336" s="375">
        <f>+M336/L$815</f>
        <v>0.9478218853419127</v>
      </c>
      <c r="O336" s="376" t="str">
        <f>IF(N336&lt;0.5,"A",IF(N336&gt;0.8,"C","B"))</f>
        <v>C</v>
      </c>
    </row>
    <row r="337" spans="1:15" ht="25.5" x14ac:dyDescent="0.25">
      <c r="A337" s="232">
        <f t="shared" si="31"/>
        <v>337</v>
      </c>
      <c r="B337" s="232"/>
      <c r="C337" s="310">
        <v>98525</v>
      </c>
      <c r="D337" s="373" t="str">
        <f>IF($C337="","",IFERROR(VLOOKUP($C337,SERVIÇOS!$B:$G,2,0),IFERROR(VLOOKUP($C337,'COMPOSIÇÕES COMPLEMENTARES '!$D:$L,2,0),IFERROR(VLOOKUP($C337,INSUMOS!$A:$D,2,0),""))))</f>
        <v>LIMPEZA MECANIZADA DE CAMADA VEGETAL, VEGETAÇÃO E PEQUENAS ÁRVORES (DIÂMETRO DE TRONCO MENOR QUE 0,20 M), COM TRATOR DE ESTEIRAS. AF_03/2024</v>
      </c>
      <c r="E337" s="312" t="str">
        <f>IF($C337="","",IFERROR(VLOOKUP($C337,SERVIÇOS!$B:$G,3,0),IFERROR(VLOOKUP($C337,'COMPOSIÇÕES COMPLEMENTARES '!$D:$L,3,0),IFERROR(VLOOKUP($C337,INSUMOS!$A:$D,3,0),""))))</f>
        <v>M2</v>
      </c>
      <c r="F337" s="313">
        <v>2894</v>
      </c>
      <c r="G337" s="314">
        <f>IF($C337="","",IFERROR(VLOOKUP($C337,SERVIÇOS!$B:$G,4,0),IFERROR(VLOOKUP($C337,'COMPOSIÇÕES COMPLEMENTARES '!$D:$L,6,0),IFERROR(VLOOKUP($C337,INSUMOS!$A:$D,4,0),""))))</f>
        <v>0.52</v>
      </c>
      <c r="H337" s="314">
        <f>IF($C337="","",IFERROR(VLOOKUP($C337,SERVIÇOS!$B:$G,5,0),IFERROR(VLOOKUP($C337,'COMPOSIÇÕES COMPLEMENTARES '!$D:$L,7,0),0)))</f>
        <v>0.2</v>
      </c>
      <c r="I337" s="314">
        <f t="shared" si="32"/>
        <v>0.72</v>
      </c>
      <c r="J337" s="314">
        <f t="shared" si="33"/>
        <v>1504.88</v>
      </c>
      <c r="K337" s="314">
        <f t="shared" si="34"/>
        <v>578.79999999999995</v>
      </c>
      <c r="L337" s="948">
        <f t="shared" si="35"/>
        <v>2083.6799999999998</v>
      </c>
      <c r="M337" s="374">
        <f t="shared" si="36"/>
        <v>5355042.8800000036</v>
      </c>
      <c r="N337" s="375">
        <f>+M337/L$815</f>
        <v>0.94819083220518208</v>
      </c>
      <c r="O337" s="376" t="str">
        <f>IF(N337&lt;0.5,"A",IF(N337&gt;0.8,"C","B"))</f>
        <v>C</v>
      </c>
    </row>
    <row r="338" spans="1:15" x14ac:dyDescent="0.25">
      <c r="A338" s="232">
        <f t="shared" si="31"/>
        <v>338</v>
      </c>
      <c r="B338" s="232"/>
      <c r="C338" s="310" t="s">
        <v>12169</v>
      </c>
      <c r="D338" s="373" t="str">
        <f>IF($C338="","",IFERROR(VLOOKUP($C338,SERVIÇOS!$B:$G,2,0),IFERROR(VLOOKUP($C338,'COMPOSIÇÕES COMPLEMENTARES '!$D:$L,2,0),IFERROR(VLOOKUP($C338,INSUMOS!$A:$D,2,0),""))))</f>
        <v>EXTINTOR PORTÁTIL 4 KG COM SUPORTE DE PAREDE E CARGA DE PÓ ABC 2-A; 20-B:C</v>
      </c>
      <c r="E338" s="312" t="str">
        <f>IF($C338="","",IFERROR(VLOOKUP($C338,SERVIÇOS!$B:$G,3,0),IFERROR(VLOOKUP($C338,'COMPOSIÇÕES COMPLEMENTARES '!$D:$L,3,0),IFERROR(VLOOKUP($C338,INSUMOS!$A:$D,3,0),""))))</f>
        <v>UN</v>
      </c>
      <c r="F338" s="313">
        <v>9</v>
      </c>
      <c r="G338" s="314">
        <f>IF($C338="","",IFERROR(VLOOKUP($C338,SERVIÇOS!$B:$G,4,0),IFERROR(VLOOKUP($C338,'COMPOSIÇÕES COMPLEMENTARES '!$D:$L,6,0),IFERROR(VLOOKUP($C338,INSUMOS!$A:$D,4,0),""))))</f>
        <v>206.39</v>
      </c>
      <c r="H338" s="314">
        <f>IF($C338="","",IFERROR(VLOOKUP($C338,SERVIÇOS!$B:$G,5,0),IFERROR(VLOOKUP($C338,'COMPOSIÇÕES COMPLEMENTARES '!$D:$L,7,0),0)))</f>
        <v>23.56</v>
      </c>
      <c r="I338" s="314">
        <f t="shared" si="32"/>
        <v>229.95</v>
      </c>
      <c r="J338" s="314">
        <f t="shared" si="33"/>
        <v>1857.51</v>
      </c>
      <c r="K338" s="314">
        <f t="shared" si="34"/>
        <v>212.04</v>
      </c>
      <c r="L338" s="948">
        <f t="shared" si="35"/>
        <v>2069.5500000000002</v>
      </c>
      <c r="M338" s="374">
        <f t="shared" si="36"/>
        <v>5357112.4300000034</v>
      </c>
      <c r="N338" s="375">
        <f>+M338/L$815</f>
        <v>0.94855727713956706</v>
      </c>
      <c r="O338" s="376" t="str">
        <f>IF(N338&lt;0.5,"A",IF(N338&gt;0.8,"C","B"))</f>
        <v>C</v>
      </c>
    </row>
    <row r="339" spans="1:15" ht="25.5" x14ac:dyDescent="0.25">
      <c r="A339" s="232">
        <f t="shared" si="31"/>
        <v>339</v>
      </c>
      <c r="B339" s="232"/>
      <c r="C339" s="310" t="s">
        <v>12424</v>
      </c>
      <c r="D339" s="373" t="str">
        <f>IF($C339="","",IFERROR(VLOOKUP($C339,SERVIÇOS!$B:$G,2,0),IFERROR(VLOOKUP($C339,'COMPOSIÇÕES COMPLEMENTARES '!$D:$L,2,0),IFERROR(VLOOKUP($C339,INSUMOS!$A:$D,2,0),""))))</f>
        <v>DIFUSOR DE 4 VIAS DO TIPO QUADRADO EUROPEU TAMANHO 2 PARA INSUFLAMENTO DE AR EM ALUMÍNIO COM REGISTRO - MARCA TROPICAL (OU SIMILAR OU SIMILAR - TROX, SEIMMEI, DIFUSAR) - MODELO: DQE-41-T2-RGA</v>
      </c>
      <c r="E339" s="312" t="str">
        <f>IF($C339="","",IFERROR(VLOOKUP($C339,SERVIÇOS!$B:$G,3,0),IFERROR(VLOOKUP($C339,'COMPOSIÇÕES COMPLEMENTARES '!$D:$L,3,0),IFERROR(VLOOKUP($C339,INSUMOS!$A:$D,3,0),""))))</f>
        <v>UN</v>
      </c>
      <c r="F339" s="313">
        <v>13</v>
      </c>
      <c r="G339" s="314">
        <f>IF($C339="","",IFERROR(VLOOKUP($C339,SERVIÇOS!$B:$G,4,0),IFERROR(VLOOKUP($C339,'COMPOSIÇÕES COMPLEMENTARES '!$D:$L,6,0),IFERROR(VLOOKUP($C339,INSUMOS!$A:$D,4,0),""))))</f>
        <v>148.43</v>
      </c>
      <c r="H339" s="314">
        <f>IF($C339="","",IFERROR(VLOOKUP($C339,SERVIÇOS!$B:$G,5,0),IFERROR(VLOOKUP($C339,'COMPOSIÇÕES COMPLEMENTARES '!$D:$L,7,0),0)))</f>
        <v>6.33</v>
      </c>
      <c r="I339" s="314">
        <f t="shared" si="32"/>
        <v>154.76000000000002</v>
      </c>
      <c r="J339" s="314">
        <f t="shared" si="33"/>
        <v>1929.59</v>
      </c>
      <c r="K339" s="314">
        <f t="shared" si="34"/>
        <v>82.29</v>
      </c>
      <c r="L339" s="948">
        <f t="shared" si="35"/>
        <v>2011.88</v>
      </c>
      <c r="M339" s="374">
        <f t="shared" si="36"/>
        <v>5359124.3100000033</v>
      </c>
      <c r="N339" s="375">
        <f>+M339/L$815</f>
        <v>0.94891351073362873</v>
      </c>
      <c r="O339" s="376" t="str">
        <f>IF(N339&lt;0.5,"A",IF(N339&gt;0.8,"C","B"))</f>
        <v>C</v>
      </c>
    </row>
    <row r="340" spans="1:15" ht="25.5" x14ac:dyDescent="0.25">
      <c r="A340" s="232">
        <f t="shared" si="31"/>
        <v>340</v>
      </c>
      <c r="B340" s="232"/>
      <c r="C340" s="310">
        <v>100725</v>
      </c>
      <c r="D340" s="373" t="str">
        <f>IF($C340="","",IFERROR(VLOOKUP($C340,SERVIÇOS!$B:$G,2,0),IFERROR(VLOOKUP($C340,'COMPOSIÇÕES COMPLEMENTARES '!$D:$L,2,0),IFERROR(VLOOKUP($C340,INSUMOS!$A:$D,2,0),""))))</f>
        <v>PINTURA COM TINTA ALQUÍDICA DE FUNDO E ACABAMENTO (ESMALTE SINTÉTICO GRAFITE) PULVERIZADA SOBRE SUPERFÍCIES METÁLICAS (EXCETO PERFIL) EXECUTADO EM OBRA (POR DEMÃO). AF_01/2020_PE</v>
      </c>
      <c r="E340" s="312" t="str">
        <f>IF($C340="","",IFERROR(VLOOKUP($C340,SERVIÇOS!$B:$G,3,0),IFERROR(VLOOKUP($C340,'COMPOSIÇÕES COMPLEMENTARES '!$D:$L,3,0),IFERROR(VLOOKUP($C340,INSUMOS!$A:$D,3,0),""))))</f>
        <v>M2</v>
      </c>
      <c r="F340" s="313">
        <v>66.599999999999994</v>
      </c>
      <c r="G340" s="314">
        <f>IF($C340="","",IFERROR(VLOOKUP($C340,SERVIÇOS!$B:$G,4,0),IFERROR(VLOOKUP($C340,'COMPOSIÇÕES COMPLEMENTARES '!$D:$L,6,0),IFERROR(VLOOKUP($C340,INSUMOS!$A:$D,4,0),""))))</f>
        <v>15.67</v>
      </c>
      <c r="H340" s="314">
        <f>IF($C340="","",IFERROR(VLOOKUP($C340,SERVIÇOS!$B:$G,5,0),IFERROR(VLOOKUP($C340,'COMPOSIÇÕES COMPLEMENTARES '!$D:$L,7,0),0)))</f>
        <v>14.44</v>
      </c>
      <c r="I340" s="314">
        <f t="shared" si="32"/>
        <v>30.11</v>
      </c>
      <c r="J340" s="314">
        <f t="shared" si="33"/>
        <v>1043.6199999999999</v>
      </c>
      <c r="K340" s="314">
        <f t="shared" si="34"/>
        <v>961.7</v>
      </c>
      <c r="L340" s="948">
        <f t="shared" si="35"/>
        <v>2005.32</v>
      </c>
      <c r="M340" s="374">
        <f t="shared" si="36"/>
        <v>5361129.6300000036</v>
      </c>
      <c r="N340" s="375">
        <f>+M340/L$815</f>
        <v>0.94926858278108883</v>
      </c>
      <c r="O340" s="376" t="str">
        <f>IF(N340&lt;0.5,"A",IF(N340&gt;0.8,"C","B"))</f>
        <v>C</v>
      </c>
    </row>
    <row r="341" spans="1:15" x14ac:dyDescent="0.25">
      <c r="A341" s="232">
        <f t="shared" si="31"/>
        <v>341</v>
      </c>
      <c r="B341" s="232"/>
      <c r="C341" s="310" t="s">
        <v>12234</v>
      </c>
      <c r="D341" s="373" t="str">
        <f>IF($C341="","",IFERROR(VLOOKUP($C341,SERVIÇOS!$B:$G,2,0),IFERROR(VLOOKUP($C341,'COMPOSIÇÕES COMPLEMENTARES '!$D:$L,2,0),IFERROR(VLOOKUP($C341,INSUMOS!$A:$D,2,0),""))))</f>
        <v>ELETROCALHA PERFURADA 100X100X3000MM - CH 18, INCLUSO CONEXÕES E SUPORTE DE FIXAÇÃO</v>
      </c>
      <c r="E341" s="312" t="str">
        <f>IF($C341="","",IFERROR(VLOOKUP($C341,SERVIÇOS!$B:$G,3,0),IFERROR(VLOOKUP($C341,'COMPOSIÇÕES COMPLEMENTARES '!$D:$L,3,0),IFERROR(VLOOKUP($C341,INSUMOS!$A:$D,3,0),""))))</f>
        <v>M</v>
      </c>
      <c r="F341" s="313">
        <v>12</v>
      </c>
      <c r="G341" s="314">
        <f>IF($C341="","",IFERROR(VLOOKUP($C341,SERVIÇOS!$B:$G,4,0),IFERROR(VLOOKUP($C341,'COMPOSIÇÕES COMPLEMENTARES '!$D:$L,6,0),IFERROR(VLOOKUP($C341,INSUMOS!$A:$D,4,0),""))))</f>
        <v>129.66999999999999</v>
      </c>
      <c r="H341" s="314">
        <f>IF($C341="","",IFERROR(VLOOKUP($C341,SERVIÇOS!$B:$G,5,0),IFERROR(VLOOKUP($C341,'COMPOSIÇÕES COMPLEMENTARES '!$D:$L,7,0),0)))</f>
        <v>37.15</v>
      </c>
      <c r="I341" s="314">
        <f t="shared" si="32"/>
        <v>166.82</v>
      </c>
      <c r="J341" s="314">
        <f t="shared" si="33"/>
        <v>1556.04</v>
      </c>
      <c r="K341" s="314">
        <f t="shared" si="34"/>
        <v>445.8</v>
      </c>
      <c r="L341" s="948">
        <f t="shared" si="35"/>
        <v>2001.84</v>
      </c>
      <c r="M341" s="374">
        <f t="shared" si="36"/>
        <v>5363131.4700000035</v>
      </c>
      <c r="N341" s="375">
        <f>+M341/L$815</f>
        <v>0.94962303864224173</v>
      </c>
      <c r="O341" s="376" t="str">
        <f>IF(N341&lt;0.5,"A",IF(N341&gt;0.8,"C","B"))</f>
        <v>C</v>
      </c>
    </row>
    <row r="342" spans="1:15" x14ac:dyDescent="0.25">
      <c r="A342" s="232">
        <f t="shared" si="31"/>
        <v>342</v>
      </c>
      <c r="B342" s="232"/>
      <c r="C342" s="310" t="s">
        <v>12234</v>
      </c>
      <c r="D342" s="373" t="str">
        <f>IF($C342="","",IFERROR(VLOOKUP($C342,SERVIÇOS!$B:$G,2,0),IFERROR(VLOOKUP($C342,'COMPOSIÇÕES COMPLEMENTARES '!$D:$L,2,0),IFERROR(VLOOKUP($C342,INSUMOS!$A:$D,2,0),""))))</f>
        <v>ELETROCALHA PERFURADA 100X100X3000MM - CH 18, INCLUSO CONEXÕES E SUPORTE DE FIXAÇÃO</v>
      </c>
      <c r="E342" s="312" t="str">
        <f>IF($C342="","",IFERROR(VLOOKUP($C342,SERVIÇOS!$B:$G,3,0),IFERROR(VLOOKUP($C342,'COMPOSIÇÕES COMPLEMENTARES '!$D:$L,3,0),IFERROR(VLOOKUP($C342,INSUMOS!$A:$D,3,0),""))))</f>
        <v>M</v>
      </c>
      <c r="F342" s="313">
        <v>12</v>
      </c>
      <c r="G342" s="314">
        <f>IF($C342="","",IFERROR(VLOOKUP($C342,SERVIÇOS!$B:$G,4,0),IFERROR(VLOOKUP($C342,'COMPOSIÇÕES COMPLEMENTARES '!$D:$L,6,0),IFERROR(VLOOKUP($C342,INSUMOS!$A:$D,4,0),""))))</f>
        <v>129.66999999999999</v>
      </c>
      <c r="H342" s="314">
        <f>IF($C342="","",IFERROR(VLOOKUP($C342,SERVIÇOS!$B:$G,5,0),IFERROR(VLOOKUP($C342,'COMPOSIÇÕES COMPLEMENTARES '!$D:$L,7,0),0)))</f>
        <v>37.15</v>
      </c>
      <c r="I342" s="314">
        <f t="shared" si="32"/>
        <v>166.82</v>
      </c>
      <c r="J342" s="314">
        <f t="shared" si="33"/>
        <v>1556.04</v>
      </c>
      <c r="K342" s="314">
        <f t="shared" si="34"/>
        <v>445.8</v>
      </c>
      <c r="L342" s="948">
        <f t="shared" si="35"/>
        <v>2001.84</v>
      </c>
      <c r="M342" s="374">
        <f t="shared" si="36"/>
        <v>5365133.3100000033</v>
      </c>
      <c r="N342" s="375">
        <f>+M342/L$815</f>
        <v>0.94997749450339475</v>
      </c>
      <c r="O342" s="376" t="str">
        <f>IF(N342&lt;0.5,"A",IF(N342&gt;0.8,"C","B"))</f>
        <v>C</v>
      </c>
    </row>
    <row r="343" spans="1:15" x14ac:dyDescent="0.25">
      <c r="A343" s="232">
        <f t="shared" si="31"/>
        <v>343</v>
      </c>
      <c r="B343" s="232"/>
      <c r="C343" s="310" t="s">
        <v>12104</v>
      </c>
      <c r="D343" s="373" t="str">
        <f>IF($C343="","",IFERROR(VLOOKUP($C343,SERVIÇOS!$B:$G,2,0),IFERROR(VLOOKUP($C343,'COMPOSIÇÕES COMPLEMENTARES '!$D:$L,2,0),IFERROR(VLOOKUP($C343,INSUMOS!$A:$D,2,0),""))))</f>
        <v xml:space="preserve">TUBO DE PVC RÍGIDO SOLDÁVEL, INCLUSO CONEXÔES - D=40MM (1 1/4") </v>
      </c>
      <c r="E343" s="312" t="str">
        <f>IF($C343="","",IFERROR(VLOOKUP($C343,SERVIÇOS!$B:$G,3,0),IFERROR(VLOOKUP($C343,'COMPOSIÇÕES COMPLEMENTARES '!$D:$L,3,0),IFERROR(VLOOKUP($C343,INSUMOS!$A:$D,3,0),""))))</f>
        <v>M</v>
      </c>
      <c r="F343" s="313">
        <v>39</v>
      </c>
      <c r="G343" s="314">
        <f>IF($C343="","",IFERROR(VLOOKUP($C343,SERVIÇOS!$B:$G,4,0),IFERROR(VLOOKUP($C343,'COMPOSIÇÕES COMPLEMENTARES '!$D:$L,6,0),IFERROR(VLOOKUP($C343,INSUMOS!$A:$D,4,0),""))))</f>
        <v>26.55</v>
      </c>
      <c r="H343" s="314">
        <f>IF($C343="","",IFERROR(VLOOKUP($C343,SERVIÇOS!$B:$G,5,0),IFERROR(VLOOKUP($C343,'COMPOSIÇÕES COMPLEMENTARES '!$D:$L,7,0),0)))</f>
        <v>24.3</v>
      </c>
      <c r="I343" s="314">
        <f t="shared" si="32"/>
        <v>50.85</v>
      </c>
      <c r="J343" s="314">
        <f t="shared" si="33"/>
        <v>1035.45</v>
      </c>
      <c r="K343" s="314">
        <f t="shared" si="34"/>
        <v>947.7</v>
      </c>
      <c r="L343" s="948">
        <f t="shared" si="35"/>
        <v>1983.15</v>
      </c>
      <c r="M343" s="374">
        <f t="shared" si="36"/>
        <v>5367116.4600000037</v>
      </c>
      <c r="N343" s="375">
        <f>+M343/L$815</f>
        <v>0.95032864101912307</v>
      </c>
      <c r="O343" s="376" t="str">
        <f>IF(N343&lt;0.5,"A",IF(N343&gt;0.8,"C","B"))</f>
        <v>C</v>
      </c>
    </row>
    <row r="344" spans="1:15" x14ac:dyDescent="0.25">
      <c r="A344" s="232">
        <f t="shared" si="31"/>
        <v>344</v>
      </c>
      <c r="B344" s="232"/>
      <c r="C344" s="310" t="s">
        <v>12275</v>
      </c>
      <c r="D344" s="373" t="str">
        <f>IF($C344="","",IFERROR(VLOOKUP($C344,SERVIÇOS!$B:$G,2,0),IFERROR(VLOOKUP($C344,'COMPOSIÇÕES COMPLEMENTARES '!$D:$L,2,0),IFERROR(VLOOKUP($C344,INSUMOS!$A:$D,2,0),""))))</f>
        <v>CONDUTOR DE COBRE FLEX. ISOL. 1KV - 90º - #120MM² - AFUMEX</v>
      </c>
      <c r="E344" s="312" t="str">
        <f>IF($C344="","",IFERROR(VLOOKUP($C344,SERVIÇOS!$B:$G,3,0),IFERROR(VLOOKUP($C344,'COMPOSIÇÕES COMPLEMENTARES '!$D:$L,3,0),IFERROR(VLOOKUP($C344,INSUMOS!$A:$D,3,0),""))))</f>
        <v>M</v>
      </c>
      <c r="F344" s="313">
        <v>16</v>
      </c>
      <c r="G344" s="314">
        <f>IF($C344="","",IFERROR(VLOOKUP($C344,SERVIÇOS!$B:$G,4,0),IFERROR(VLOOKUP($C344,'COMPOSIÇÕES COMPLEMENTARES '!$D:$L,6,0),IFERROR(VLOOKUP($C344,INSUMOS!$A:$D,4,0),""))))</f>
        <v>116.08</v>
      </c>
      <c r="H344" s="314">
        <f>IF($C344="","",IFERROR(VLOOKUP($C344,SERVIÇOS!$B:$G,5,0),IFERROR(VLOOKUP($C344,'COMPOSIÇÕES COMPLEMENTARES '!$D:$L,7,0),0)))</f>
        <v>7.52</v>
      </c>
      <c r="I344" s="314">
        <f t="shared" si="32"/>
        <v>123.6</v>
      </c>
      <c r="J344" s="314">
        <f t="shared" si="33"/>
        <v>1857.28</v>
      </c>
      <c r="K344" s="314">
        <f t="shared" si="34"/>
        <v>120.32</v>
      </c>
      <c r="L344" s="948">
        <f t="shared" si="35"/>
        <v>1977.6</v>
      </c>
      <c r="M344" s="374">
        <f t="shared" si="36"/>
        <v>5369094.0600000033</v>
      </c>
      <c r="N344" s="375">
        <f>+M344/L$815</f>
        <v>0.95067880482393075</v>
      </c>
      <c r="O344" s="376" t="str">
        <f>IF(N344&lt;0.5,"A",IF(N344&gt;0.8,"C","B"))</f>
        <v>C</v>
      </c>
    </row>
    <row r="345" spans="1:15" ht="51" x14ac:dyDescent="0.25">
      <c r="A345" s="232">
        <f t="shared" si="31"/>
        <v>345</v>
      </c>
      <c r="B345" s="232"/>
      <c r="C345" s="310" t="s">
        <v>12388</v>
      </c>
      <c r="D345" s="373" t="str">
        <f>IF($C345="","",IFERROR(VLOOKUP($C345,SERVIÇOS!$B:$G,2,0),IFERROR(VLOOKUP($C345,'COMPOSIÇÕES COMPLEMENTARES '!$D:$L,2,0),IFERROR(VLOOKUP($C345,INSUMOS!$A:$D,2,0),""))))</f>
        <v>TUBULAÇÃO DE INTERLIGAÇÃO FRIGORÍGENA PARA REDES DE AR CONDICIONADO DIÂMETRO NOMINAL Ø15,87MM (Ø5/8") - ESPESSURA MÍNIMA 0,8MM COM ISOLAMENTO TÉRMICO FLEXÍVEL DE ESPUMA ELASTOMÉRICA COM ESPESSURA MÍNIMA DE PAREDE DE 19MM E DIÂMETRO INTERNO MÍNIMO DE 16 A 17,5MM PARA TUBOS DE COBRE Ø5/8". REFERÊNCIA: ARMACELL LINHA ARMAFLEX M</v>
      </c>
      <c r="E345" s="312" t="str">
        <f>IF($C345="","",IFERROR(VLOOKUP($C345,SERVIÇOS!$B:$G,3,0),IFERROR(VLOOKUP($C345,'COMPOSIÇÕES COMPLEMENTARES '!$D:$L,3,0),IFERROR(VLOOKUP($C345,INSUMOS!$A:$D,3,0),""))))</f>
        <v>M</v>
      </c>
      <c r="F345" s="313">
        <v>20</v>
      </c>
      <c r="G345" s="314">
        <f>IF($C345="","",IFERROR(VLOOKUP($C345,SERVIÇOS!$B:$G,4,0),IFERROR(VLOOKUP($C345,'COMPOSIÇÕES COMPLEMENTARES '!$D:$L,6,0),IFERROR(VLOOKUP($C345,INSUMOS!$A:$D,4,0),""))))</f>
        <v>75.45</v>
      </c>
      <c r="H345" s="314">
        <f>IF($C345="","",IFERROR(VLOOKUP($C345,SERVIÇOS!$B:$G,5,0),IFERROR(VLOOKUP($C345,'COMPOSIÇÕES COMPLEMENTARES '!$D:$L,7,0),0)))</f>
        <v>23.32</v>
      </c>
      <c r="I345" s="314">
        <f t="shared" si="32"/>
        <v>98.77000000000001</v>
      </c>
      <c r="J345" s="314">
        <f t="shared" si="33"/>
        <v>1509</v>
      </c>
      <c r="K345" s="314">
        <f t="shared" si="34"/>
        <v>466.4</v>
      </c>
      <c r="L345" s="948">
        <f t="shared" si="35"/>
        <v>1975.4</v>
      </c>
      <c r="M345" s="374">
        <f t="shared" si="36"/>
        <v>5371069.4600000037</v>
      </c>
      <c r="N345" s="375">
        <f>+M345/L$815</f>
        <v>0.95102857908567073</v>
      </c>
      <c r="O345" s="376" t="str">
        <f>IF(N345&lt;0.5,"A",IF(N345&gt;0.8,"C","B"))</f>
        <v>C</v>
      </c>
    </row>
    <row r="346" spans="1:15" ht="25.5" x14ac:dyDescent="0.25">
      <c r="A346" s="232">
        <f t="shared" si="31"/>
        <v>346</v>
      </c>
      <c r="B346" s="232"/>
      <c r="C346" s="310" t="s">
        <v>12023</v>
      </c>
      <c r="D346" s="373" t="str">
        <f>IF($C346="","",IFERROR(VLOOKUP($C346,SERVIÇOS!$B:$G,2,0),IFERROR(VLOOKUP($C346,'COMPOSIÇÕES COMPLEMENTARES '!$D:$L,2,0),IFERROR(VLOOKUP($C346,INSUMOS!$A:$D,2,0),""))))</f>
        <v>PORTA COMPLETA DE MADEIRA PARA PINTURA, FOLHA PESADA, 01 FOLHA DE CORRER, 90X210CM, INCLUSO BATENTES, FERRAGENS E FECHADURA</v>
      </c>
      <c r="E346" s="312" t="str">
        <f>IF($C346="","",IFERROR(VLOOKUP($C346,SERVIÇOS!$B:$G,3,0),IFERROR(VLOOKUP($C346,'COMPOSIÇÕES COMPLEMENTARES '!$D:$L,3,0),IFERROR(VLOOKUP($C346,INSUMOS!$A:$D,3,0),""))))</f>
        <v>UN</v>
      </c>
      <c r="F346" s="313">
        <v>1</v>
      </c>
      <c r="G346" s="314">
        <f>IF($C346="","",IFERROR(VLOOKUP($C346,SERVIÇOS!$B:$G,4,0),IFERROR(VLOOKUP($C346,'COMPOSIÇÕES COMPLEMENTARES '!$D:$L,6,0),IFERROR(VLOOKUP($C346,INSUMOS!$A:$D,4,0),""))))</f>
        <v>1456.2</v>
      </c>
      <c r="H346" s="314">
        <f>IF($C346="","",IFERROR(VLOOKUP($C346,SERVIÇOS!$B:$G,5,0),IFERROR(VLOOKUP($C346,'COMPOSIÇÕES COMPLEMENTARES '!$D:$L,7,0),0)))</f>
        <v>506.75</v>
      </c>
      <c r="I346" s="314">
        <f t="shared" si="32"/>
        <v>1962.95</v>
      </c>
      <c r="J346" s="314">
        <f t="shared" si="33"/>
        <v>1456.2</v>
      </c>
      <c r="K346" s="314">
        <f t="shared" si="34"/>
        <v>506.75</v>
      </c>
      <c r="L346" s="948">
        <f t="shared" si="35"/>
        <v>1962.95</v>
      </c>
      <c r="M346" s="374">
        <f t="shared" si="36"/>
        <v>5373032.4100000039</v>
      </c>
      <c r="N346" s="375">
        <f>+M346/L$815</f>
        <v>0.95137614888777799</v>
      </c>
      <c r="O346" s="376" t="str">
        <f>IF(N346&lt;0.5,"A",IF(N346&gt;0.8,"C","B"))</f>
        <v>C</v>
      </c>
    </row>
    <row r="347" spans="1:15" ht="25.5" x14ac:dyDescent="0.25">
      <c r="A347" s="232">
        <f t="shared" si="31"/>
        <v>347</v>
      </c>
      <c r="B347" s="232"/>
      <c r="C347" s="310" t="s">
        <v>12283</v>
      </c>
      <c r="D347" s="373" t="str">
        <f>IF($C347="","",IFERROR(VLOOKUP($C347,SERVIÇOS!$B:$G,2,0),IFERROR(VLOOKUP($C347,'COMPOSIÇÕES COMPLEMENTARES '!$D:$L,2,0),IFERROR(VLOOKUP($C347,INSUMOS!$A:$D,2,0),""))))</f>
        <v>LEITO PARA CABOS TIPO PESADO GALVANIZADO A FOGO. DIMENSÕES: 200MM (LARGURA) X 100MM (ALTURA) X 3000MM (COMPRIMENTO DA BARRA)</v>
      </c>
      <c r="E347" s="312" t="str">
        <f>IF($C347="","",IFERROR(VLOOKUP($C347,SERVIÇOS!$B:$G,3,0),IFERROR(VLOOKUP($C347,'COMPOSIÇÕES COMPLEMENTARES '!$D:$L,3,0),IFERROR(VLOOKUP($C347,INSUMOS!$A:$D,3,0),""))))</f>
        <v>M</v>
      </c>
      <c r="F347" s="313">
        <v>15</v>
      </c>
      <c r="G347" s="314">
        <f>IF($C347="","",IFERROR(VLOOKUP($C347,SERVIÇOS!$B:$G,4,0),IFERROR(VLOOKUP($C347,'COMPOSIÇÕES COMPLEMENTARES '!$D:$L,6,0),IFERROR(VLOOKUP($C347,INSUMOS!$A:$D,4,0),""))))</f>
        <v>115.88</v>
      </c>
      <c r="H347" s="314">
        <f>IF($C347="","",IFERROR(VLOOKUP($C347,SERVIÇOS!$B:$G,5,0),IFERROR(VLOOKUP($C347,'COMPOSIÇÕES COMPLEMENTARES '!$D:$L,7,0),0)))</f>
        <v>14.85</v>
      </c>
      <c r="I347" s="314">
        <f t="shared" si="32"/>
        <v>130.72999999999999</v>
      </c>
      <c r="J347" s="314">
        <f t="shared" si="33"/>
        <v>1738.2</v>
      </c>
      <c r="K347" s="314">
        <f t="shared" si="34"/>
        <v>222.75</v>
      </c>
      <c r="L347" s="948">
        <f t="shared" si="35"/>
        <v>1960.95</v>
      </c>
      <c r="M347" s="374">
        <f t="shared" si="36"/>
        <v>5374993.3600000041</v>
      </c>
      <c r="N347" s="375">
        <f>+M347/L$815</f>
        <v>0.95172336455982376</v>
      </c>
      <c r="O347" s="376" t="str">
        <f>IF(N347&lt;0.5,"A",IF(N347&gt;0.8,"C","B"))</f>
        <v>C</v>
      </c>
    </row>
    <row r="348" spans="1:15" ht="38.25" x14ac:dyDescent="0.25">
      <c r="A348" s="232">
        <f t="shared" si="31"/>
        <v>348</v>
      </c>
      <c r="B348" s="232"/>
      <c r="C348" s="310" t="s">
        <v>12396</v>
      </c>
      <c r="D348" s="373" t="str">
        <f>IF($C348="","",IFERROR(VLOOKUP($C348,SERVIÇOS!$B:$G,2,0),IFERROR(VLOOKUP($C348,'COMPOSIÇÕES COMPLEMENTARES '!$D:$L,2,0),IFERROR(VLOOKUP($C348,INSUMOS!$A:$D,2,0),""))))</f>
        <v>VÁLVULA DE ESFERA Ø1/4" PARA TUBULAÇÃO DE COBRE EM REDES FRIGORÍGENAS COM CORPO E ACENTO DE ESTRUTURA SOLDADA, TEMPERATURA DE TRABALHO DE -40°C A +120°C, PRESSÃO MÁXIMA 45 BAR. REFERÊNCIA: SANHUA SBV02-019, DANFOSS GBC OU EQUIVALENTE</v>
      </c>
      <c r="E348" s="312" t="str">
        <f>IF($C348="","",IFERROR(VLOOKUP($C348,SERVIÇOS!$B:$G,3,0),IFERROR(VLOOKUP($C348,'COMPOSIÇÕES COMPLEMENTARES '!$D:$L,3,0),IFERROR(VLOOKUP($C348,INSUMOS!$A:$D,3,0),""))))</f>
        <v>UN</v>
      </c>
      <c r="F348" s="313">
        <v>14</v>
      </c>
      <c r="G348" s="314">
        <f>IF($C348="","",IFERROR(VLOOKUP($C348,SERVIÇOS!$B:$G,4,0),IFERROR(VLOOKUP($C348,'COMPOSIÇÕES COMPLEMENTARES '!$D:$L,6,0),IFERROR(VLOOKUP($C348,INSUMOS!$A:$D,4,0),""))))</f>
        <v>130.88</v>
      </c>
      <c r="H348" s="314">
        <f>IF($C348="","",IFERROR(VLOOKUP($C348,SERVIÇOS!$B:$G,5,0),IFERROR(VLOOKUP($C348,'COMPOSIÇÕES COMPLEMENTARES '!$D:$L,7,0),0)))</f>
        <v>8.74</v>
      </c>
      <c r="I348" s="314">
        <f t="shared" si="32"/>
        <v>139.62</v>
      </c>
      <c r="J348" s="314">
        <f t="shared" si="33"/>
        <v>1832.32</v>
      </c>
      <c r="K348" s="314">
        <f t="shared" si="34"/>
        <v>122.36</v>
      </c>
      <c r="L348" s="948">
        <f t="shared" si="35"/>
        <v>1954.68</v>
      </c>
      <c r="M348" s="374">
        <f t="shared" si="36"/>
        <v>5376948.0400000038</v>
      </c>
      <c r="N348" s="375">
        <f>+M348/L$815</f>
        <v>0.95206947003412656</v>
      </c>
      <c r="O348" s="376" t="str">
        <f>IF(N348&lt;0.5,"A",IF(N348&gt;0.8,"C","B"))</f>
        <v>C</v>
      </c>
    </row>
    <row r="349" spans="1:15" x14ac:dyDescent="0.25">
      <c r="A349" s="232">
        <f t="shared" si="31"/>
        <v>349</v>
      </c>
      <c r="B349" s="232"/>
      <c r="C349" s="310" t="s">
        <v>12199</v>
      </c>
      <c r="D349" s="373" t="str">
        <f>IF($C349="","",IFERROR(VLOOKUP($C349,SERVIÇOS!$B:$G,2,0),IFERROR(VLOOKUP($C349,'COMPOSIÇÕES COMPLEMENTARES '!$D:$L,2,0),IFERROR(VLOOKUP($C349,INSUMOS!$A:$D,2,0),""))))</f>
        <v>INTERRUPTOR DIFERENCIAL BIPOLAR 2X40A SENS. 30MA</v>
      </c>
      <c r="E349" s="312" t="str">
        <f>IF($C349="","",IFERROR(VLOOKUP($C349,SERVIÇOS!$B:$G,3,0),IFERROR(VLOOKUP($C349,'COMPOSIÇÕES COMPLEMENTARES '!$D:$L,3,0),IFERROR(VLOOKUP($C349,INSUMOS!$A:$D,3,0),""))))</f>
        <v>UN</v>
      </c>
      <c r="F349" s="313">
        <v>6</v>
      </c>
      <c r="G349" s="314">
        <f>IF($C349="","",IFERROR(VLOOKUP($C349,SERVIÇOS!$B:$G,4,0),IFERROR(VLOOKUP($C349,'COMPOSIÇÕES COMPLEMENTARES '!$D:$L,6,0),IFERROR(VLOOKUP($C349,INSUMOS!$A:$D,4,0),""))))</f>
        <v>218.04</v>
      </c>
      <c r="H349" s="314">
        <f>IF($C349="","",IFERROR(VLOOKUP($C349,SERVIÇOS!$B:$G,5,0),IFERROR(VLOOKUP($C349,'COMPOSIÇÕES COMPLEMENTARES '!$D:$L,7,0),0)))</f>
        <v>100.29</v>
      </c>
      <c r="I349" s="314">
        <f t="shared" si="32"/>
        <v>318.33</v>
      </c>
      <c r="J349" s="314">
        <f t="shared" si="33"/>
        <v>1308.24</v>
      </c>
      <c r="K349" s="314">
        <f t="shared" si="34"/>
        <v>601.74</v>
      </c>
      <c r="L349" s="948">
        <f t="shared" si="35"/>
        <v>1909.98</v>
      </c>
      <c r="M349" s="374">
        <f t="shared" si="36"/>
        <v>5378858.0200000042</v>
      </c>
      <c r="N349" s="375">
        <f>+M349/L$815</f>
        <v>0.95240766070155514</v>
      </c>
      <c r="O349" s="376" t="str">
        <f>IF(N349&lt;0.5,"A",IF(N349&gt;0.8,"C","B"))</f>
        <v>C</v>
      </c>
    </row>
    <row r="350" spans="1:15" x14ac:dyDescent="0.25">
      <c r="A350" s="232">
        <f t="shared" si="31"/>
        <v>350</v>
      </c>
      <c r="B350" s="232"/>
      <c r="C350" s="310" t="s">
        <v>12223</v>
      </c>
      <c r="D350" s="373" t="str">
        <f>IF($C350="","",IFERROR(VLOOKUP($C350,SERVIÇOS!$B:$G,2,0),IFERROR(VLOOKUP($C350,'COMPOSIÇÕES COMPLEMENTARES '!$D:$L,2,0),IFERROR(VLOOKUP($C350,INSUMOS!$A:$D,2,0),""))))</f>
        <v>CONDUTOR DE COBRE FLEX ISOL. 1KV - 90º -  #6,0MM² - AFUMEX</v>
      </c>
      <c r="E350" s="312" t="str">
        <f>IF($C350="","",IFERROR(VLOOKUP($C350,SERVIÇOS!$B:$G,3,0),IFERROR(VLOOKUP($C350,'COMPOSIÇÕES COMPLEMENTARES '!$D:$L,3,0),IFERROR(VLOOKUP($C350,INSUMOS!$A:$D,3,0),""))))</f>
        <v>M</v>
      </c>
      <c r="F350" s="313">
        <v>195</v>
      </c>
      <c r="G350" s="314">
        <f>IF($C350="","",IFERROR(VLOOKUP($C350,SERVIÇOS!$B:$G,4,0),IFERROR(VLOOKUP($C350,'COMPOSIÇÕES COMPLEMENTARES '!$D:$L,6,0),IFERROR(VLOOKUP($C350,INSUMOS!$A:$D,4,0),""))))</f>
        <v>7.81</v>
      </c>
      <c r="H350" s="314">
        <f>IF($C350="","",IFERROR(VLOOKUP($C350,SERVIÇOS!$B:$G,5,0),IFERROR(VLOOKUP($C350,'COMPOSIÇÕES COMPLEMENTARES '!$D:$L,7,0),0)))</f>
        <v>1.97</v>
      </c>
      <c r="I350" s="314">
        <f t="shared" si="32"/>
        <v>9.7799999999999994</v>
      </c>
      <c r="J350" s="314">
        <f t="shared" si="33"/>
        <v>1522.95</v>
      </c>
      <c r="K350" s="314">
        <f t="shared" si="34"/>
        <v>384.15</v>
      </c>
      <c r="L350" s="948">
        <f t="shared" si="35"/>
        <v>1907.1</v>
      </c>
      <c r="M350" s="374">
        <f t="shared" si="36"/>
        <v>5380765.1200000038</v>
      </c>
      <c r="N350" s="375">
        <f>+M350/L$815</f>
        <v>0.95274534142169498</v>
      </c>
      <c r="O350" s="376" t="str">
        <f>IF(N350&lt;0.5,"A",IF(N350&gt;0.8,"C","B"))</f>
        <v>C</v>
      </c>
    </row>
    <row r="351" spans="1:15" ht="25.5" x14ac:dyDescent="0.25">
      <c r="A351" s="232">
        <f t="shared" si="31"/>
        <v>351</v>
      </c>
      <c r="B351" s="232"/>
      <c r="C351" s="310" t="s">
        <v>12360</v>
      </c>
      <c r="D351" s="373" t="str">
        <f>IF($C351="","",IFERROR(VLOOKUP($C351,SERVIÇOS!$B:$G,2,0),IFERROR(VLOOKUP($C351,'COMPOSIÇÕES COMPLEMENTARES '!$D:$L,2,0),IFERROR(VLOOKUP($C351,INSUMOS!$A:$D,2,0),""))))</f>
        <v>CAIXA PARA VÁLVULAS DE SEÇÃO DE GASES MEDICINAIS, 365 MM X 125 MM X 535 MM (COMPRIMENTO X PROFUNDIDADE X ALTURA), METÁLICA COM TAMPA ACRÍLICA PARA 03 VÁLVULAS DE GÁS MEDICINAL.</v>
      </c>
      <c r="E351" s="312" t="str">
        <f>IF($C351="","",IFERROR(VLOOKUP($C351,SERVIÇOS!$B:$G,3,0),IFERROR(VLOOKUP($C351,'COMPOSIÇÕES COMPLEMENTARES '!$D:$L,3,0),IFERROR(VLOOKUP($C351,INSUMOS!$A:$D,3,0),""))))</f>
        <v>UN</v>
      </c>
      <c r="F351" s="313">
        <v>4</v>
      </c>
      <c r="G351" s="314">
        <f>IF($C351="","",IFERROR(VLOOKUP($C351,SERVIÇOS!$B:$G,4,0),IFERROR(VLOOKUP($C351,'COMPOSIÇÕES COMPLEMENTARES '!$D:$L,6,0),IFERROR(VLOOKUP($C351,INSUMOS!$A:$D,4,0),""))))</f>
        <v>446.42</v>
      </c>
      <c r="H351" s="314">
        <f>IF($C351="","",IFERROR(VLOOKUP($C351,SERVIÇOS!$B:$G,5,0),IFERROR(VLOOKUP($C351,'COMPOSIÇÕES COMPLEMENTARES '!$D:$L,7,0),0)))</f>
        <v>24.3</v>
      </c>
      <c r="I351" s="314">
        <f t="shared" si="32"/>
        <v>470.72</v>
      </c>
      <c r="J351" s="314">
        <f t="shared" si="33"/>
        <v>1785.68</v>
      </c>
      <c r="K351" s="314">
        <f t="shared" si="34"/>
        <v>97.2</v>
      </c>
      <c r="L351" s="948">
        <f t="shared" si="35"/>
        <v>1882.88</v>
      </c>
      <c r="M351" s="374">
        <f t="shared" si="36"/>
        <v>5382648.0000000037</v>
      </c>
      <c r="N351" s="375">
        <f>+M351/L$815</f>
        <v>0.95307873362679019</v>
      </c>
      <c r="O351" s="376" t="str">
        <f>IF(N351&lt;0.5,"A",IF(N351&gt;0.8,"C","B"))</f>
        <v>C</v>
      </c>
    </row>
    <row r="352" spans="1:15" x14ac:dyDescent="0.25">
      <c r="A352" s="232">
        <f t="shared" si="31"/>
        <v>352</v>
      </c>
      <c r="B352" s="232"/>
      <c r="C352" s="310" t="s">
        <v>12402</v>
      </c>
      <c r="D352" s="373" t="str">
        <f>IF($C352="","",IFERROR(VLOOKUP($C352,SERVIÇOS!$B:$G,2,0),IFERROR(VLOOKUP($C352,'COMPOSIÇÕES COMPLEMENTARES '!$D:$L,2,0),IFERROR(VLOOKUP($C352,INSUMOS!$A:$D,2,0),""))))</f>
        <v>KIT REFINET PARA CONEXÃO DE UNIDADES INTERNAS MARCA DAIKIN  (OU EQUIVALENTE TÉCNICO) MODELO KHRP26A22T</v>
      </c>
      <c r="E352" s="312" t="str">
        <f>IF($C352="","",IFERROR(VLOOKUP($C352,SERVIÇOS!$B:$G,3,0),IFERROR(VLOOKUP($C352,'COMPOSIÇÕES COMPLEMENTARES '!$D:$L,3,0),IFERROR(VLOOKUP($C352,INSUMOS!$A:$D,3,0),""))))</f>
        <v>UN</v>
      </c>
      <c r="F352" s="313">
        <v>5</v>
      </c>
      <c r="G352" s="314">
        <f>IF($C352="","",IFERROR(VLOOKUP($C352,SERVIÇOS!$B:$G,4,0),IFERROR(VLOOKUP($C352,'COMPOSIÇÕES COMPLEMENTARES '!$D:$L,6,0),IFERROR(VLOOKUP($C352,INSUMOS!$A:$D,4,0),""))))</f>
        <v>367.35</v>
      </c>
      <c r="H352" s="314">
        <f>IF($C352="","",IFERROR(VLOOKUP($C352,SERVIÇOS!$B:$G,5,0),IFERROR(VLOOKUP($C352,'COMPOSIÇÕES COMPLEMENTARES '!$D:$L,7,0),0)))</f>
        <v>6.21</v>
      </c>
      <c r="I352" s="314">
        <f t="shared" si="32"/>
        <v>373.56</v>
      </c>
      <c r="J352" s="314">
        <f t="shared" si="33"/>
        <v>1836.75</v>
      </c>
      <c r="K352" s="314">
        <f t="shared" si="34"/>
        <v>31.05</v>
      </c>
      <c r="L352" s="948">
        <f t="shared" si="35"/>
        <v>1867.8</v>
      </c>
      <c r="M352" s="374">
        <f t="shared" si="36"/>
        <v>5384515.8000000035</v>
      </c>
      <c r="N352" s="375">
        <f>+M352/L$815</f>
        <v>0.9534094556912216</v>
      </c>
      <c r="O352" s="376" t="str">
        <f>IF(N352&lt;0.5,"A",IF(N352&gt;0.8,"C","B"))</f>
        <v>C</v>
      </c>
    </row>
    <row r="353" spans="1:35" x14ac:dyDescent="0.25">
      <c r="A353" s="232">
        <f t="shared" si="31"/>
        <v>353</v>
      </c>
      <c r="B353" s="232"/>
      <c r="C353" s="310" t="s">
        <v>12408</v>
      </c>
      <c r="D353" s="373" t="str">
        <f>IF($C353="","",IFERROR(VLOOKUP($C353,SERVIÇOS!$B:$G,2,0),IFERROR(VLOOKUP($C353,'COMPOSIÇÕES COMPLEMENTARES '!$D:$L,2,0),IFERROR(VLOOKUP($C353,INSUMOS!$A:$D,2,0),""))))</f>
        <v>CARGA DE GÁS EXTRA DE REFRIGERANTE R410A</v>
      </c>
      <c r="E353" s="312" t="str">
        <f>IF($C353="","",IFERROR(VLOOKUP($C353,SERVIÇOS!$B:$G,3,0),IFERROR(VLOOKUP($C353,'COMPOSIÇÕES COMPLEMENTARES '!$D:$L,3,0),IFERROR(VLOOKUP($C353,INSUMOS!$A:$D,3,0),""))))</f>
        <v>KG</v>
      </c>
      <c r="F353" s="313">
        <v>5</v>
      </c>
      <c r="G353" s="314">
        <f>IF($C353="","",IFERROR(VLOOKUP($C353,SERVIÇOS!$B:$G,4,0),IFERROR(VLOOKUP($C353,'COMPOSIÇÕES COMPLEMENTARES '!$D:$L,6,0),IFERROR(VLOOKUP($C353,INSUMOS!$A:$D,4,0),""))))</f>
        <v>132.83000000000001</v>
      </c>
      <c r="H353" s="314">
        <f>IF($C353="","",IFERROR(VLOOKUP($C353,SERVIÇOS!$B:$G,5,0),IFERROR(VLOOKUP($C353,'COMPOSIÇÕES COMPLEMENTARES '!$D:$L,7,0),0)))</f>
        <v>237.78</v>
      </c>
      <c r="I353" s="314">
        <f t="shared" si="32"/>
        <v>370.61</v>
      </c>
      <c r="J353" s="314">
        <f t="shared" si="33"/>
        <v>664.15</v>
      </c>
      <c r="K353" s="314">
        <f t="shared" si="34"/>
        <v>1188.9000000000001</v>
      </c>
      <c r="L353" s="948">
        <f t="shared" si="35"/>
        <v>1853.05</v>
      </c>
      <c r="M353" s="374">
        <f t="shared" si="36"/>
        <v>5386368.8500000034</v>
      </c>
      <c r="N353" s="375">
        <f>+M353/L$815</f>
        <v>0.95373756604644955</v>
      </c>
      <c r="O353" s="376" t="str">
        <f>IF(N353&lt;0.5,"A",IF(N353&gt;0.8,"C","B"))</f>
        <v>C</v>
      </c>
    </row>
    <row r="354" spans="1:35" ht="25.5" x14ac:dyDescent="0.25">
      <c r="A354" s="232">
        <f t="shared" si="31"/>
        <v>354</v>
      </c>
      <c r="B354" s="232"/>
      <c r="C354" s="310">
        <v>91940</v>
      </c>
      <c r="D354" s="373" t="str">
        <f>IF($C354="","",IFERROR(VLOOKUP($C354,SERVIÇOS!$B:$G,2,0),IFERROR(VLOOKUP($C354,'COMPOSIÇÕES COMPLEMENTARES '!$D:$L,2,0),IFERROR(VLOOKUP($C354,INSUMOS!$A:$D,2,0),""))))</f>
        <v>CAIXA RETANGULAR 4" X 2" MÉDIA (1,30 M DO PISO), PVC, INSTALADA EM PAREDE - FORNECIMENTO E INSTALAÇÃO. AF_03/2023</v>
      </c>
      <c r="E354" s="312" t="str">
        <f>IF($C354="","",IFERROR(VLOOKUP($C354,SERVIÇOS!$B:$G,3,0),IFERROR(VLOOKUP($C354,'COMPOSIÇÕES COMPLEMENTARES '!$D:$L,3,0),IFERROR(VLOOKUP($C354,INSUMOS!$A:$D,3,0),""))))</f>
        <v>UN</v>
      </c>
      <c r="F354" s="313">
        <v>76</v>
      </c>
      <c r="G354" s="314">
        <f>IF($C354="","",IFERROR(VLOOKUP($C354,SERVIÇOS!$B:$G,4,0),IFERROR(VLOOKUP($C354,'COMPOSIÇÕES COMPLEMENTARES '!$D:$L,6,0),IFERROR(VLOOKUP($C354,INSUMOS!$A:$D,4,0),""))))</f>
        <v>9.7799999999999994</v>
      </c>
      <c r="H354" s="314">
        <f>IF($C354="","",IFERROR(VLOOKUP($C354,SERVIÇOS!$B:$G,5,0),IFERROR(VLOOKUP($C354,'COMPOSIÇÕES COMPLEMENTARES '!$D:$L,7,0),0)))</f>
        <v>14.56</v>
      </c>
      <c r="I354" s="314">
        <f t="shared" si="32"/>
        <v>24.34</v>
      </c>
      <c r="J354" s="314">
        <f t="shared" si="33"/>
        <v>743.28</v>
      </c>
      <c r="K354" s="314">
        <f t="shared" si="34"/>
        <v>1106.56</v>
      </c>
      <c r="L354" s="948">
        <f t="shared" si="35"/>
        <v>1849.84</v>
      </c>
      <c r="M354" s="374">
        <f t="shared" si="36"/>
        <v>5388218.6900000032</v>
      </c>
      <c r="N354" s="375">
        <f>+M354/L$815</f>
        <v>0.95406510802292877</v>
      </c>
      <c r="O354" s="376" t="str">
        <f>IF(N354&lt;0.5,"A",IF(N354&gt;0.8,"C","B"))</f>
        <v>C</v>
      </c>
    </row>
    <row r="355" spans="1:35" ht="25.5" x14ac:dyDescent="0.25">
      <c r="A355" s="232">
        <f t="shared" si="31"/>
        <v>355</v>
      </c>
      <c r="B355" s="232"/>
      <c r="C355" s="310" t="s">
        <v>12434</v>
      </c>
      <c r="D355" s="373" t="str">
        <f>IF($C355="","",IFERROR(VLOOKUP($C355,SERVIÇOS!$B:$G,2,0),IFERROR(VLOOKUP($C355,'COMPOSIÇÕES COMPLEMENTARES '!$D:$L,2,0),IFERROR(VLOOKUP($C355,INSUMOS!$A:$D,2,0),""))))</f>
        <v>GRELHA DE RETORNO DE AR ALETAS HORIZONTAIS COM REGISTRO EM ALUMÍNIO 300x200MM. MARCA TROPICAL MOD. RHN-300x200-RGA (OU SIMILAR - TROX, SEIMMEI, DIFUSAR)</v>
      </c>
      <c r="E355" s="312" t="str">
        <f>IF($C355="","",IFERROR(VLOOKUP($C355,SERVIÇOS!$B:$G,3,0),IFERROR(VLOOKUP($C355,'COMPOSIÇÕES COMPLEMENTARES '!$D:$L,3,0),IFERROR(VLOOKUP($C355,INSUMOS!$A:$D,3,0),""))))</f>
        <v>UN</v>
      </c>
      <c r="F355" s="313">
        <v>10</v>
      </c>
      <c r="G355" s="314">
        <f>IF($C355="","",IFERROR(VLOOKUP($C355,SERVIÇOS!$B:$G,4,0),IFERROR(VLOOKUP($C355,'COMPOSIÇÕES COMPLEMENTARES '!$D:$L,6,0),IFERROR(VLOOKUP($C355,INSUMOS!$A:$D,4,0),""))))</f>
        <v>169.52</v>
      </c>
      <c r="H355" s="314">
        <f>IF($C355="","",IFERROR(VLOOKUP($C355,SERVIÇOS!$B:$G,5,0),IFERROR(VLOOKUP($C355,'COMPOSIÇÕES COMPLEMENTARES '!$D:$L,7,0),0)))</f>
        <v>14.77</v>
      </c>
      <c r="I355" s="314">
        <f t="shared" si="32"/>
        <v>184.29000000000002</v>
      </c>
      <c r="J355" s="314">
        <f t="shared" si="33"/>
        <v>1695.2</v>
      </c>
      <c r="K355" s="314">
        <f t="shared" si="34"/>
        <v>147.69999999999999</v>
      </c>
      <c r="L355" s="948">
        <f t="shared" si="35"/>
        <v>1842.9</v>
      </c>
      <c r="M355" s="374">
        <f t="shared" si="36"/>
        <v>5390061.5900000036</v>
      </c>
      <c r="N355" s="375">
        <f>+M355/L$815</f>
        <v>0.95439142116809472</v>
      </c>
      <c r="O355" s="376" t="str">
        <f>IF(N355&lt;0.5,"A",IF(N355&gt;0.8,"C","B"))</f>
        <v>C</v>
      </c>
    </row>
    <row r="356" spans="1:35" x14ac:dyDescent="0.25">
      <c r="A356" s="232">
        <f t="shared" si="31"/>
        <v>356</v>
      </c>
      <c r="B356" s="232"/>
      <c r="C356" s="310" t="s">
        <v>11975</v>
      </c>
      <c r="D356" s="373" t="str">
        <f>IF($C356="","",IFERROR(VLOOKUP($C356,SERVIÇOS!$B:$G,2,0),IFERROR(VLOOKUP($C356,'COMPOSIÇÕES COMPLEMENTARES '!$D:$L,2,0),IFERROR(VLOOKUP($C356,INSUMOS!$A:$D,2,0),""))))</f>
        <v>CUMEEIRA TRAPEZOIDAL EM AÇO GALVANIZADO ESP=0,5MM, REVESTIMENTO B, H=40MM, L=0,60 M</v>
      </c>
      <c r="E356" s="312" t="str">
        <f>IF($C356="","",IFERROR(VLOOKUP($C356,SERVIÇOS!$B:$G,3,0),IFERROR(VLOOKUP($C356,'COMPOSIÇÕES COMPLEMENTARES '!$D:$L,3,0),IFERROR(VLOOKUP($C356,INSUMOS!$A:$D,3,0),""))))</f>
        <v>M</v>
      </c>
      <c r="F356" s="313">
        <v>21.04</v>
      </c>
      <c r="G356" s="314">
        <f>IF($C356="","",IFERROR(VLOOKUP($C356,SERVIÇOS!$B:$G,4,0),IFERROR(VLOOKUP($C356,'COMPOSIÇÕES COMPLEMENTARES '!$D:$L,6,0),IFERROR(VLOOKUP($C356,INSUMOS!$A:$D,4,0),""))))</f>
        <v>82.759999999999991</v>
      </c>
      <c r="H356" s="314">
        <f>IF($C356="","",IFERROR(VLOOKUP($C356,SERVIÇOS!$B:$G,5,0),IFERROR(VLOOKUP($C356,'COMPOSIÇÕES COMPLEMENTARES '!$D:$L,7,0),0)))</f>
        <v>4.71</v>
      </c>
      <c r="I356" s="314">
        <f t="shared" si="32"/>
        <v>87.469999999999985</v>
      </c>
      <c r="J356" s="314">
        <f t="shared" si="33"/>
        <v>1741.27</v>
      </c>
      <c r="K356" s="314">
        <f t="shared" si="34"/>
        <v>99.09</v>
      </c>
      <c r="L356" s="948">
        <f t="shared" si="35"/>
        <v>1840.36</v>
      </c>
      <c r="M356" s="374">
        <f t="shared" si="36"/>
        <v>5391901.9500000039</v>
      </c>
      <c r="N356" s="375">
        <f>+M356/L$815</f>
        <v>0.95471728456808258</v>
      </c>
      <c r="O356" s="376" t="str">
        <f>IF(N356&lt;0.5,"A",IF(N356&gt;0.8,"C","B"))</f>
        <v>C</v>
      </c>
    </row>
    <row r="357" spans="1:35" ht="38.25" x14ac:dyDescent="0.25">
      <c r="A357" s="232">
        <f t="shared" si="31"/>
        <v>357</v>
      </c>
      <c r="B357" s="232"/>
      <c r="C357" s="310">
        <v>90082</v>
      </c>
      <c r="D357" s="373" t="str">
        <f>IF($C357="","",IFERROR(VLOOKUP($C357,SERVIÇOS!$B:$G,2,0),IFERROR(VLOOKUP($C357,'COMPOSIÇÕES COMPLEMENTARES '!$D:$L,2,0),IFERROR(VLOOKUP($C357,INSUMOS!$A:$D,2,0),""))))</f>
        <v>ESCAVAÇÃO MECANIZADA DE VALA COM PROF. ATÉ 1,5 M (MÉDIA MONTANTE E JUSANTE/UMA COMPOSIÇÃO POR TRECHO), ESCAVADEIRA (0,8 M3), LARG. DE 1,5 M A 2,5 M, EM SOLO DE 1A CATEGORIA, EM LOCAIS COM ALTO NÍVEL DE INTERFERÊNCIA. AF_09/2024</v>
      </c>
      <c r="E357" s="312" t="str">
        <f>IF($C357="","",IFERROR(VLOOKUP($C357,SERVIÇOS!$B:$G,3,0),IFERROR(VLOOKUP($C357,'COMPOSIÇÕES COMPLEMENTARES '!$D:$L,3,0),IFERROR(VLOOKUP($C357,INSUMOS!$A:$D,3,0),""))))</f>
        <v>M3</v>
      </c>
      <c r="F357" s="313">
        <v>171.52</v>
      </c>
      <c r="G357" s="314">
        <f>IF($C357="","",IFERROR(VLOOKUP($C357,SERVIÇOS!$B:$G,4,0),IFERROR(VLOOKUP($C357,'COMPOSIÇÕES COMPLEMENTARES '!$D:$L,6,0),IFERROR(VLOOKUP($C357,INSUMOS!$A:$D,4,0),""))))</f>
        <v>8.14</v>
      </c>
      <c r="H357" s="314">
        <f>IF($C357="","",IFERROR(VLOOKUP($C357,SERVIÇOS!$B:$G,5,0),IFERROR(VLOOKUP($C357,'COMPOSIÇÕES COMPLEMENTARES '!$D:$L,7,0),0)))</f>
        <v>2.5099999999999998</v>
      </c>
      <c r="I357" s="314">
        <f t="shared" si="32"/>
        <v>10.65</v>
      </c>
      <c r="J357" s="314">
        <f t="shared" si="33"/>
        <v>1396.17</v>
      </c>
      <c r="K357" s="314">
        <f t="shared" si="34"/>
        <v>430.51</v>
      </c>
      <c r="L357" s="948">
        <f t="shared" si="35"/>
        <v>1826.68</v>
      </c>
      <c r="M357" s="374">
        <f t="shared" si="36"/>
        <v>5393728.6300000036</v>
      </c>
      <c r="N357" s="375">
        <f>+M357/L$815</f>
        <v>0.95504072571844967</v>
      </c>
      <c r="O357" s="376" t="str">
        <f>IF(N357&lt;0.5,"A",IF(N357&gt;0.8,"C","B"))</f>
        <v>C</v>
      </c>
    </row>
    <row r="358" spans="1:35" x14ac:dyDescent="0.25">
      <c r="A358" s="232">
        <f t="shared" si="31"/>
        <v>358</v>
      </c>
      <c r="B358" s="232"/>
      <c r="C358" s="310" t="s">
        <v>12062</v>
      </c>
      <c r="D358" s="373" t="str">
        <f>IF($C358="","",IFERROR(VLOOKUP($C358,SERVIÇOS!$B:$G,2,0),IFERROR(VLOOKUP($C358,'COMPOSIÇÕES COMPLEMENTARES '!$D:$L,2,0),IFERROR(VLOOKUP($C358,INSUMOS!$A:$D,2,0),""))))</f>
        <v>BARRA DE APOIO, RETA, FIXA, EM AÇO INOX, L=40CM, D=1 1/4" - JACKWAL OU SIMILAR - FORNC. E INST.</v>
      </c>
      <c r="E358" s="312" t="str">
        <f>IF($C358="","",IFERROR(VLOOKUP($C358,SERVIÇOS!$B:$G,3,0),IFERROR(VLOOKUP($C358,'COMPOSIÇÕES COMPLEMENTARES '!$D:$L,3,0),IFERROR(VLOOKUP($C358,INSUMOS!$A:$D,3,0),""))))</f>
        <v>UN</v>
      </c>
      <c r="F358" s="313">
        <v>7</v>
      </c>
      <c r="G358" s="314">
        <f>IF($C358="","",IFERROR(VLOOKUP($C358,SERVIÇOS!$B:$G,4,0),IFERROR(VLOOKUP($C358,'COMPOSIÇÕES COMPLEMENTARES '!$D:$L,6,0),IFERROR(VLOOKUP($C358,INSUMOS!$A:$D,4,0),""))))</f>
        <v>213.5</v>
      </c>
      <c r="H358" s="314">
        <f>IF($C358="","",IFERROR(VLOOKUP($C358,SERVIÇOS!$B:$G,5,0),IFERROR(VLOOKUP($C358,'COMPOSIÇÕES COMPLEMENTARES '!$D:$L,7,0),0)))</f>
        <v>47.14</v>
      </c>
      <c r="I358" s="314">
        <f t="shared" si="32"/>
        <v>260.64</v>
      </c>
      <c r="J358" s="314">
        <f t="shared" si="33"/>
        <v>1494.5</v>
      </c>
      <c r="K358" s="314">
        <f t="shared" si="34"/>
        <v>329.98</v>
      </c>
      <c r="L358" s="948">
        <f t="shared" si="35"/>
        <v>1824.48</v>
      </c>
      <c r="M358" s="374">
        <f t="shared" si="36"/>
        <v>5395553.1100000041</v>
      </c>
      <c r="N358" s="375">
        <f>+M358/L$815</f>
        <v>0.95536377732574929</v>
      </c>
      <c r="O358" s="376" t="str">
        <f>IF(N358&lt;0.5,"A",IF(N358&gt;0.8,"C","B"))</f>
        <v>C</v>
      </c>
    </row>
    <row r="359" spans="1:35" ht="25.5" x14ac:dyDescent="0.25">
      <c r="A359" s="232">
        <f t="shared" si="31"/>
        <v>359</v>
      </c>
      <c r="B359" s="232"/>
      <c r="C359" s="310">
        <v>95875</v>
      </c>
      <c r="D359" s="373" t="str">
        <f>IF($C359="","",IFERROR(VLOOKUP($C359,SERVIÇOS!$B:$G,2,0),IFERROR(VLOOKUP($C359,'COMPOSIÇÕES COMPLEMENTARES '!$D:$L,2,0),IFERROR(VLOOKUP($C359,INSUMOS!$A:$D,2,0),""))))</f>
        <v>TRANSPORTE COM CAMINHÃO BASCULANTE DE 10 M³, EM VIA URBANA PAVIMENTADA, DMT ATÉ 30 KM (UNIDADE: M3XKM). AF_07/2020</v>
      </c>
      <c r="E359" s="312" t="str">
        <f>IF($C359="","",IFERROR(VLOOKUP($C359,SERVIÇOS!$B:$G,3,0),IFERROR(VLOOKUP($C359,'COMPOSIÇÕES COMPLEMENTARES '!$D:$L,3,0),IFERROR(VLOOKUP($C359,INSUMOS!$A:$D,3,0),""))))</f>
        <v>M3XKM</v>
      </c>
      <c r="F359" s="313">
        <v>671.84250000000009</v>
      </c>
      <c r="G359" s="314">
        <f>IF($C359="","",IFERROR(VLOOKUP($C359,SERVIÇOS!$B:$G,4,0),IFERROR(VLOOKUP($C359,'COMPOSIÇÕES COMPLEMENTARES '!$D:$L,6,0),IFERROR(VLOOKUP($C359,INSUMOS!$A:$D,4,0),""))))</f>
        <v>2.3199999999999998</v>
      </c>
      <c r="H359" s="314">
        <f>IF($C359="","",IFERROR(VLOOKUP($C359,SERVIÇOS!$B:$G,5,0),IFERROR(VLOOKUP($C359,'COMPOSIÇÕES COMPLEMENTARES '!$D:$L,7,0),0)))</f>
        <v>0.33</v>
      </c>
      <c r="I359" s="314">
        <f t="shared" si="32"/>
        <v>2.65</v>
      </c>
      <c r="J359" s="314">
        <f t="shared" si="33"/>
        <v>1558.67</v>
      </c>
      <c r="K359" s="314">
        <f t="shared" si="34"/>
        <v>221.7</v>
      </c>
      <c r="L359" s="948">
        <f t="shared" si="35"/>
        <v>1780.37</v>
      </c>
      <c r="M359" s="374">
        <f t="shared" si="36"/>
        <v>5397333.4800000042</v>
      </c>
      <c r="N359" s="375">
        <f>+M359/L$815</f>
        <v>0.95567901859454241</v>
      </c>
      <c r="O359" s="376" t="str">
        <f>IF(N359&lt;0.5,"A",IF(N359&gt;0.8,"C","B"))</f>
        <v>C</v>
      </c>
    </row>
    <row r="360" spans="1:35" x14ac:dyDescent="0.25">
      <c r="A360" s="232">
        <f t="shared" si="31"/>
        <v>360</v>
      </c>
      <c r="B360" s="232"/>
      <c r="C360" s="310" t="s">
        <v>12202</v>
      </c>
      <c r="D360" s="373" t="str">
        <f>IF($C360="","",IFERROR(VLOOKUP($C360,SERVIÇOS!$B:$G,2,0),IFERROR(VLOOKUP($C360,'COMPOSIÇÕES COMPLEMENTARES '!$D:$L,2,0),IFERROR(VLOOKUP($C360,INSUMOS!$A:$D,2,0),""))))</f>
        <v>CONDUTOR DE COBRE FLEX. ISOL. 1KV - 90º - #16MM² - AFUMEX</v>
      </c>
      <c r="E360" s="312" t="str">
        <f>IF($C360="","",IFERROR(VLOOKUP($C360,SERVIÇOS!$B:$G,3,0),IFERROR(VLOOKUP($C360,'COMPOSIÇÕES COMPLEMENTARES '!$D:$L,3,0),IFERROR(VLOOKUP($C360,INSUMOS!$A:$D,3,0),""))))</f>
        <v>M</v>
      </c>
      <c r="F360" s="313">
        <v>70</v>
      </c>
      <c r="G360" s="314">
        <f>IF($C360="","",IFERROR(VLOOKUP($C360,SERVIÇOS!$B:$G,4,0),IFERROR(VLOOKUP($C360,'COMPOSIÇÕES COMPLEMENTARES '!$D:$L,6,0),IFERROR(VLOOKUP($C360,INSUMOS!$A:$D,4,0),""))))</f>
        <v>19.739999999999998</v>
      </c>
      <c r="H360" s="314">
        <f>IF($C360="","",IFERROR(VLOOKUP($C360,SERVIÇOS!$B:$G,5,0),IFERROR(VLOOKUP($C360,'COMPOSIÇÕES COMPLEMENTARES '!$D:$L,7,0),0)))</f>
        <v>5.69</v>
      </c>
      <c r="I360" s="314">
        <f t="shared" si="32"/>
        <v>25.43</v>
      </c>
      <c r="J360" s="314">
        <f t="shared" si="33"/>
        <v>1381.8</v>
      </c>
      <c r="K360" s="314">
        <f t="shared" si="34"/>
        <v>398.3</v>
      </c>
      <c r="L360" s="948">
        <f t="shared" si="35"/>
        <v>1780.1</v>
      </c>
      <c r="M360" s="374">
        <f t="shared" si="36"/>
        <v>5399113.5800000038</v>
      </c>
      <c r="N360" s="375">
        <f>+M360/L$815</f>
        <v>0.95599421205577728</v>
      </c>
      <c r="O360" s="376" t="str">
        <f>IF(N360&lt;0.5,"A",IF(N360&gt;0.8,"C","B"))</f>
        <v>C</v>
      </c>
    </row>
    <row r="361" spans="1:35" x14ac:dyDescent="0.25">
      <c r="A361" s="232">
        <f t="shared" si="31"/>
        <v>361</v>
      </c>
      <c r="B361" s="232"/>
      <c r="C361" s="310" t="s">
        <v>12490</v>
      </c>
      <c r="D361" s="373" t="str">
        <f>IF($C361="","",IFERROR(VLOOKUP($C361,SERVIÇOS!$B:$G,2,0),IFERROR(VLOOKUP($C361,'COMPOSIÇÕES COMPLEMENTARES '!$D:$L,2,0),IFERROR(VLOOKUP($C361,INSUMOS!$A:$D,2,0),""))))</f>
        <v xml:space="preserve">DUTO FLEXÍVEL ALUMINIZADO SEM ISOLAMENTO TÉRMICO Ø125MM </v>
      </c>
      <c r="E361" s="312" t="str">
        <f>IF($C361="","",IFERROR(VLOOKUP($C361,SERVIÇOS!$B:$G,3,0),IFERROR(VLOOKUP($C361,'COMPOSIÇÕES COMPLEMENTARES '!$D:$L,3,0),IFERROR(VLOOKUP($C361,INSUMOS!$A:$D,3,0),""))))</f>
        <v>M</v>
      </c>
      <c r="F361" s="313">
        <v>30</v>
      </c>
      <c r="G361" s="314">
        <f>IF($C361="","",IFERROR(VLOOKUP($C361,SERVIÇOS!$B:$G,4,0),IFERROR(VLOOKUP($C361,'COMPOSIÇÕES COMPLEMENTARES '!$D:$L,6,0),IFERROR(VLOOKUP($C361,INSUMOS!$A:$D,4,0),""))))</f>
        <v>44.17</v>
      </c>
      <c r="H361" s="314">
        <f>IF($C361="","",IFERROR(VLOOKUP($C361,SERVIÇOS!$B:$G,5,0),IFERROR(VLOOKUP($C361,'COMPOSIÇÕES COMPLEMENTARES '!$D:$L,7,0),0)))</f>
        <v>14.97</v>
      </c>
      <c r="I361" s="314">
        <f t="shared" si="32"/>
        <v>59.14</v>
      </c>
      <c r="J361" s="314">
        <f t="shared" si="33"/>
        <v>1325.1</v>
      </c>
      <c r="K361" s="314">
        <f t="shared" si="34"/>
        <v>449.1</v>
      </c>
      <c r="L361" s="948">
        <f t="shared" si="35"/>
        <v>1774.2</v>
      </c>
      <c r="M361" s="374">
        <f t="shared" si="36"/>
        <v>5400887.780000004</v>
      </c>
      <c r="N361" s="375">
        <f>+M361/L$815</f>
        <v>0.95630836083333082</v>
      </c>
      <c r="O361" s="376" t="str">
        <f>IF(N361&lt;0.5,"A",IF(N361&gt;0.8,"C","B"))</f>
        <v>C</v>
      </c>
    </row>
    <row r="362" spans="1:35" ht="25.5" x14ac:dyDescent="0.25">
      <c r="A362" s="232">
        <f t="shared" si="31"/>
        <v>362</v>
      </c>
      <c r="B362" s="232"/>
      <c r="C362" s="310">
        <v>97668</v>
      </c>
      <c r="D362" s="373" t="str">
        <f>IF($C362="","",IFERROR(VLOOKUP($C362,SERVIÇOS!$B:$G,2,0),IFERROR(VLOOKUP($C362,'COMPOSIÇÕES COMPLEMENTARES '!$D:$L,2,0),IFERROR(VLOOKUP($C362,INSUMOS!$A:$D,2,0),""))))</f>
        <v>ELETRODUTO FLEXÍVEL CORRUGADO, PEAD, DN 63 (2"), PARA REDE ENTERRADA DE DISTRIBUIÇÃO DE ENERGIA ELÉTRICA - FORNECIMENTO E INSTALAÇÃO. AF_12/2021</v>
      </c>
      <c r="E362" s="312" t="str">
        <f>IF($C362="","",IFERROR(VLOOKUP($C362,SERVIÇOS!$B:$G,3,0),IFERROR(VLOOKUP($C362,'COMPOSIÇÕES COMPLEMENTARES '!$D:$L,3,0),IFERROR(VLOOKUP($C362,INSUMOS!$A:$D,3,0),""))))</f>
        <v>M</v>
      </c>
      <c r="F362" s="313">
        <v>110</v>
      </c>
      <c r="G362" s="314">
        <f>IF($C362="","",IFERROR(VLOOKUP($C362,SERVIÇOS!$B:$G,4,0),IFERROR(VLOOKUP($C362,'COMPOSIÇÕES COMPLEMENTARES '!$D:$L,6,0),IFERROR(VLOOKUP($C362,INSUMOS!$A:$D,4,0),""))))</f>
        <v>11.19</v>
      </c>
      <c r="H362" s="314">
        <f>IF($C362="","",IFERROR(VLOOKUP($C362,SERVIÇOS!$B:$G,5,0),IFERROR(VLOOKUP($C362,'COMPOSIÇÕES COMPLEMENTARES '!$D:$L,7,0),0)))</f>
        <v>4.68</v>
      </c>
      <c r="I362" s="314">
        <f t="shared" si="32"/>
        <v>15.87</v>
      </c>
      <c r="J362" s="314">
        <f t="shared" si="33"/>
        <v>1230.9000000000001</v>
      </c>
      <c r="K362" s="314">
        <f t="shared" si="34"/>
        <v>514.79999999999995</v>
      </c>
      <c r="L362" s="948">
        <f t="shared" si="35"/>
        <v>1745.7</v>
      </c>
      <c r="M362" s="374">
        <f t="shared" si="36"/>
        <v>5402633.4800000042</v>
      </c>
      <c r="N362" s="375">
        <f>+M362/L$815</f>
        <v>0.95661746325750796</v>
      </c>
      <c r="O362" s="376" t="str">
        <f>IF(N362&lt;0.5,"A",IF(N362&gt;0.8,"C","B"))</f>
        <v>C</v>
      </c>
    </row>
    <row r="363" spans="1:35" x14ac:dyDescent="0.25">
      <c r="A363" s="232">
        <f t="shared" si="31"/>
        <v>363</v>
      </c>
      <c r="B363" s="232"/>
      <c r="C363" s="310" t="s">
        <v>12244</v>
      </c>
      <c r="D363" s="373" t="str">
        <f>IF($C363="","",IFERROR(VLOOKUP($C363,SERVIÇOS!$B:$G,2,0),IFERROR(VLOOKUP($C363,'COMPOSIÇÕES COMPLEMENTARES '!$D:$L,2,0),IFERROR(VLOOKUP($C363,INSUMOS!$A:$D,2,0),""))))</f>
        <v>ESTAÇÃO DE CHAMADA DE BANHEIRO SISTEMA ECONÔMICO, EM CX. 4"X2" C/ CORDEL - REFERÊNCIA ESSENCIAL E SUPREMO</v>
      </c>
      <c r="E363" s="312" t="str">
        <f>IF($C363="","",IFERROR(VLOOKUP($C363,SERVIÇOS!$B:$G,3,0),IFERROR(VLOOKUP($C363,'COMPOSIÇÕES COMPLEMENTARES '!$D:$L,3,0),IFERROR(VLOOKUP($C363,INSUMOS!$A:$D,3,0),""))))</f>
        <v>UN</v>
      </c>
      <c r="F363" s="313">
        <v>3</v>
      </c>
      <c r="G363" s="314">
        <f>IF($C363="","",IFERROR(VLOOKUP($C363,SERVIÇOS!$B:$G,4,0),IFERROR(VLOOKUP($C363,'COMPOSIÇÕES COMPLEMENTARES '!$D:$L,6,0),IFERROR(VLOOKUP($C363,INSUMOS!$A:$D,4,0),""))))</f>
        <v>552.95000000000005</v>
      </c>
      <c r="H363" s="314">
        <f>IF($C363="","",IFERROR(VLOOKUP($C363,SERVIÇOS!$B:$G,5,0),IFERROR(VLOOKUP($C363,'COMPOSIÇÕES COMPLEMENTARES '!$D:$L,7,0),0)))</f>
        <v>24.77</v>
      </c>
      <c r="I363" s="314">
        <f t="shared" si="32"/>
        <v>577.72</v>
      </c>
      <c r="J363" s="314">
        <f t="shared" si="33"/>
        <v>1658.85</v>
      </c>
      <c r="K363" s="314">
        <f t="shared" si="34"/>
        <v>74.31</v>
      </c>
      <c r="L363" s="948">
        <f t="shared" si="35"/>
        <v>1733.16</v>
      </c>
      <c r="M363" s="374">
        <f t="shared" si="36"/>
        <v>5404366.6400000043</v>
      </c>
      <c r="N363" s="375">
        <f>+M363/L$815</f>
        <v>0.95692434528619952</v>
      </c>
      <c r="O363" s="376" t="str">
        <f>IF(N363&lt;0.5,"A",IF(N363&gt;0.8,"C","B"))</f>
        <v>C</v>
      </c>
    </row>
    <row r="364" spans="1:35" x14ac:dyDescent="0.25">
      <c r="A364" s="232">
        <f t="shared" si="31"/>
        <v>364</v>
      </c>
      <c r="B364" s="232"/>
      <c r="C364" s="310" t="s">
        <v>12244</v>
      </c>
      <c r="D364" s="373" t="str">
        <f>IF($C364="","",IFERROR(VLOOKUP($C364,SERVIÇOS!$B:$G,2,0),IFERROR(VLOOKUP($C364,'COMPOSIÇÕES COMPLEMENTARES '!$D:$L,2,0),IFERROR(VLOOKUP($C364,INSUMOS!$A:$D,2,0),""))))</f>
        <v>ESTAÇÃO DE CHAMADA DE BANHEIRO SISTEMA ECONÔMICO, EM CX. 4"X2" C/ CORDEL - REFERÊNCIA ESSENCIAL E SUPREMO</v>
      </c>
      <c r="E364" s="312" t="str">
        <f>IF($C364="","",IFERROR(VLOOKUP($C364,SERVIÇOS!$B:$G,3,0),IFERROR(VLOOKUP($C364,'COMPOSIÇÕES COMPLEMENTARES '!$D:$L,3,0),IFERROR(VLOOKUP($C364,INSUMOS!$A:$D,3,0),""))))</f>
        <v>UN</v>
      </c>
      <c r="F364" s="313">
        <v>3</v>
      </c>
      <c r="G364" s="314">
        <f>IF($C364="","",IFERROR(VLOOKUP($C364,SERVIÇOS!$B:$G,4,0),IFERROR(VLOOKUP($C364,'COMPOSIÇÕES COMPLEMENTARES '!$D:$L,6,0),IFERROR(VLOOKUP($C364,INSUMOS!$A:$D,4,0),""))))</f>
        <v>552.95000000000005</v>
      </c>
      <c r="H364" s="314">
        <f>IF($C364="","",IFERROR(VLOOKUP($C364,SERVIÇOS!$B:$G,5,0),IFERROR(VLOOKUP($C364,'COMPOSIÇÕES COMPLEMENTARES '!$D:$L,7,0),0)))</f>
        <v>24.77</v>
      </c>
      <c r="I364" s="314">
        <f t="shared" si="32"/>
        <v>577.72</v>
      </c>
      <c r="J364" s="314">
        <f t="shared" si="33"/>
        <v>1658.85</v>
      </c>
      <c r="K364" s="314">
        <f t="shared" si="34"/>
        <v>74.31</v>
      </c>
      <c r="L364" s="948">
        <f t="shared" si="35"/>
        <v>1733.16</v>
      </c>
      <c r="M364" s="374">
        <f t="shared" si="36"/>
        <v>5406099.8000000045</v>
      </c>
      <c r="N364" s="375">
        <f>+M364/L$815</f>
        <v>0.95723122731489119</v>
      </c>
      <c r="O364" s="376" t="str">
        <f>IF(N364&lt;0.5,"A",IF(N364&gt;0.8,"C","B"))</f>
        <v>C</v>
      </c>
    </row>
    <row r="365" spans="1:35" x14ac:dyDescent="0.25">
      <c r="A365" s="232">
        <f t="shared" si="31"/>
        <v>365</v>
      </c>
      <c r="B365" s="232"/>
      <c r="C365" s="310" t="s">
        <v>12134</v>
      </c>
      <c r="D365" s="377" t="str">
        <f>IF($C365="","",IFERROR(VLOOKUP($C365,SERVIÇOS!$B:$G,2,0),IFERROR(VLOOKUP($C365,'COMPOSIÇÕES COMPLEMENTARES '!$D:$L,2,0),IFERROR(VLOOKUP($C365,INSUMOS!$A:$D,2,0),""))))</f>
        <v>CAIXA DE INSPEÇÃO PARA ÁGUA PLUVIAL, EM ALVENARIA, DIMENSÃO INTERNA (50X50)CM</v>
      </c>
      <c r="E365" s="312" t="str">
        <f>IF($C365="","",IFERROR(VLOOKUP($C365,SERVIÇOS!$B:$G,3,0),IFERROR(VLOOKUP($C365,'COMPOSIÇÕES COMPLEMENTARES '!$D:$L,3,0),IFERROR(VLOOKUP($C365,INSUMOS!$A:$D,3,0),""))))</f>
        <v>UN</v>
      </c>
      <c r="F365" s="313">
        <v>3</v>
      </c>
      <c r="G365" s="314">
        <f>IF($C365="","",IFERROR(VLOOKUP($C365,SERVIÇOS!$B:$G,4,0),IFERROR(VLOOKUP($C365,'COMPOSIÇÕES COMPLEMENTARES '!$D:$L,6,0),IFERROR(VLOOKUP($C365,INSUMOS!$A:$D,4,0),""))))</f>
        <v>281.63</v>
      </c>
      <c r="H365" s="314">
        <f>IF($C365="","",IFERROR(VLOOKUP($C365,SERVIÇOS!$B:$G,5,0),IFERROR(VLOOKUP($C365,'COMPOSIÇÕES COMPLEMENTARES '!$D:$L,7,0),0)))</f>
        <v>295.2</v>
      </c>
      <c r="I365" s="314">
        <f t="shared" si="32"/>
        <v>576.82999999999993</v>
      </c>
      <c r="J365" s="314">
        <f t="shared" si="33"/>
        <v>844.89</v>
      </c>
      <c r="K365" s="314">
        <f t="shared" si="34"/>
        <v>885.6</v>
      </c>
      <c r="L365" s="948">
        <f t="shared" si="35"/>
        <v>1730.49</v>
      </c>
      <c r="M365" s="374">
        <f t="shared" si="36"/>
        <v>5407830.2900000047</v>
      </c>
      <c r="N365" s="375">
        <f>+M365/L$815</f>
        <v>0.95753763657995061</v>
      </c>
      <c r="O365" s="376" t="str">
        <f>IF(N365&lt;0.5,"A",IF(N365&gt;0.8,"C","B"))</f>
        <v>C</v>
      </c>
    </row>
    <row r="366" spans="1:35" ht="25.5" x14ac:dyDescent="0.25">
      <c r="A366" s="232">
        <f t="shared" si="31"/>
        <v>366</v>
      </c>
      <c r="B366" s="232"/>
      <c r="C366" s="310">
        <v>91997</v>
      </c>
      <c r="D366" s="373" t="str">
        <f>IF($C366="","",IFERROR(VLOOKUP($C366,SERVIÇOS!$B:$G,2,0),IFERROR(VLOOKUP($C366,'COMPOSIÇÕES COMPLEMENTARES '!$D:$L,2,0),IFERROR(VLOOKUP($C366,INSUMOS!$A:$D,2,0),""))))</f>
        <v>TOMADA MÉDIA DE EMBUTIR (1 MÓDULO), 2P+T 20 A, INCLUINDO SUPORTE E PLACA - FORNECIMENTO E INSTALAÇÃO. AF_03/2023</v>
      </c>
      <c r="E366" s="312" t="str">
        <f>IF($C366="","",IFERROR(VLOOKUP($C366,SERVIÇOS!$B:$G,3,0),IFERROR(VLOOKUP($C366,'COMPOSIÇÕES COMPLEMENTARES '!$D:$L,3,0),IFERROR(VLOOKUP($C366,INSUMOS!$A:$D,3,0),""))))</f>
        <v>UN</v>
      </c>
      <c r="F366" s="313">
        <v>37</v>
      </c>
      <c r="G366" s="314">
        <f>IF($C366="","",IFERROR(VLOOKUP($C366,SERVIÇOS!$B:$G,4,0),IFERROR(VLOOKUP($C366,'COMPOSIÇÕES COMPLEMENTARES '!$D:$L,6,0),IFERROR(VLOOKUP($C366,INSUMOS!$A:$D,4,0),""))))</f>
        <v>24.26</v>
      </c>
      <c r="H366" s="314">
        <f>IF($C366="","",IFERROR(VLOOKUP($C366,SERVIÇOS!$B:$G,5,0),IFERROR(VLOOKUP($C366,'COMPOSIÇÕES COMPLEMENTARES '!$D:$L,7,0),0)))</f>
        <v>22.03</v>
      </c>
      <c r="I366" s="314">
        <f t="shared" si="32"/>
        <v>46.290000000000006</v>
      </c>
      <c r="J366" s="314">
        <f t="shared" si="33"/>
        <v>897.62</v>
      </c>
      <c r="K366" s="314">
        <f t="shared" si="34"/>
        <v>815.11</v>
      </c>
      <c r="L366" s="948">
        <f t="shared" si="35"/>
        <v>1712.73</v>
      </c>
      <c r="M366" s="374">
        <f t="shared" si="36"/>
        <v>5409543.0200000051</v>
      </c>
      <c r="N366" s="375">
        <f>+M366/L$815</f>
        <v>0.95784090117006415</v>
      </c>
      <c r="O366" s="376" t="str">
        <f>IF(N366&lt;0.5,"A",IF(N366&gt;0.8,"C","B"))</f>
        <v>C</v>
      </c>
    </row>
    <row r="367" spans="1:35" x14ac:dyDescent="0.25">
      <c r="A367" s="232">
        <f t="shared" si="31"/>
        <v>367</v>
      </c>
      <c r="B367" s="232"/>
      <c r="C367" s="310" t="s">
        <v>12130</v>
      </c>
      <c r="D367" s="373" t="str">
        <f>IF($C367="","",IFERROR(VLOOKUP($C367,SERVIÇOS!$B:$G,2,0),IFERROR(VLOOKUP($C367,'COMPOSIÇÕES COMPLEMENTARES '!$D:$L,2,0),IFERROR(VLOOKUP($C367,INSUMOS!$A:$D,2,0),""))))</f>
        <v>CAIXA DE INSPEÇÃO PARA ESGOTO, EM ALVENARIA, DIMENSÃO INTERNA (60X30)CM</v>
      </c>
      <c r="E367" s="312" t="str">
        <f>IF($C367="","",IFERROR(VLOOKUP($C367,SERVIÇOS!$B:$G,3,0),IFERROR(VLOOKUP($C367,'COMPOSIÇÕES COMPLEMENTARES '!$D:$L,3,0),IFERROR(VLOOKUP($C367,INSUMOS!$A:$D,3,0),""))))</f>
        <v>UN</v>
      </c>
      <c r="F367" s="313">
        <v>4</v>
      </c>
      <c r="G367" s="314">
        <f>IF($C367="","",IFERROR(VLOOKUP($C367,SERVIÇOS!$B:$G,4,0),IFERROR(VLOOKUP($C367,'COMPOSIÇÕES COMPLEMENTARES '!$D:$L,6,0),IFERROR(VLOOKUP($C367,INSUMOS!$A:$D,4,0),""))))</f>
        <v>208.38</v>
      </c>
      <c r="H367" s="314">
        <f>IF($C367="","",IFERROR(VLOOKUP($C367,SERVIÇOS!$B:$G,5,0),IFERROR(VLOOKUP($C367,'COMPOSIÇÕES COMPLEMENTARES '!$D:$L,7,0),0)))</f>
        <v>218.84</v>
      </c>
      <c r="I367" s="314">
        <f t="shared" si="32"/>
        <v>427.22</v>
      </c>
      <c r="J367" s="314">
        <f t="shared" si="33"/>
        <v>833.52</v>
      </c>
      <c r="K367" s="314">
        <f t="shared" si="34"/>
        <v>875.36</v>
      </c>
      <c r="L367" s="948">
        <f t="shared" si="35"/>
        <v>1708.88</v>
      </c>
      <c r="M367" s="374">
        <f t="shared" si="36"/>
        <v>5411251.900000005</v>
      </c>
      <c r="N367" s="375">
        <f>+M367/L$815</f>
        <v>0.95814348405980909</v>
      </c>
      <c r="O367" s="376" t="str">
        <f>IF(N367&lt;0.5,"A",IF(N367&gt;0.8,"C","B"))</f>
        <v>C</v>
      </c>
      <c r="P367" s="342"/>
      <c r="Q367" s="342"/>
      <c r="R367" s="342"/>
      <c r="S367" s="342"/>
      <c r="T367" s="342"/>
      <c r="U367" s="342"/>
      <c r="V367" s="342"/>
      <c r="W367" s="342"/>
      <c r="X367" s="342"/>
      <c r="Y367" s="342"/>
      <c r="Z367" s="342"/>
      <c r="AA367" s="342"/>
      <c r="AB367" s="342"/>
      <c r="AC367" s="342"/>
      <c r="AD367" s="342"/>
      <c r="AE367" s="342"/>
      <c r="AF367" s="342"/>
      <c r="AG367" s="342"/>
      <c r="AH367" s="342"/>
      <c r="AI367" s="342"/>
    </row>
    <row r="368" spans="1:35" ht="25.5" x14ac:dyDescent="0.25">
      <c r="A368" s="232">
        <f t="shared" si="31"/>
        <v>368</v>
      </c>
      <c r="B368" s="232"/>
      <c r="C368" s="310">
        <v>103324</v>
      </c>
      <c r="D368" s="373" t="str">
        <f>IF($C368="","",IFERROR(VLOOKUP($C368,SERVIÇOS!$B:$G,2,0),IFERROR(VLOOKUP($C368,'COMPOSIÇÕES COMPLEMENTARES '!$D:$L,2,0),IFERROR(VLOOKUP($C368,INSUMOS!$A:$D,2,0),""))))</f>
        <v>ALVENARIA DE VEDAÇÃO DE BLOCOS CERÂMICOS FURADOS NA VERTICAL DE 14X19X39 CM (ESPESSURA 14 CM) E ARGAMASSA DE ASSENTAMENTO COM PREPARO EM BETONEIRA. AF_12/2021</v>
      </c>
      <c r="E368" s="312" t="str">
        <f>IF($C368="","",IFERROR(VLOOKUP($C368,SERVIÇOS!$B:$G,3,0),IFERROR(VLOOKUP($C368,'COMPOSIÇÕES COMPLEMENTARES '!$D:$L,3,0),IFERROR(VLOOKUP($C368,INSUMOS!$A:$D,3,0),""))))</f>
        <v>M2</v>
      </c>
      <c r="F368" s="313">
        <v>19.399999999999999</v>
      </c>
      <c r="G368" s="314">
        <f>IF($C368="","",IFERROR(VLOOKUP($C368,SERVIÇOS!$B:$G,4,0),IFERROR(VLOOKUP($C368,'COMPOSIÇÕES COMPLEMENTARES '!$D:$L,6,0),IFERROR(VLOOKUP($C368,INSUMOS!$A:$D,4,0),""))))</f>
        <v>53.33</v>
      </c>
      <c r="H368" s="314">
        <f>IF($C368="","",IFERROR(VLOOKUP($C368,SERVIÇOS!$B:$G,5,0),IFERROR(VLOOKUP($C368,'COMPOSIÇÕES COMPLEMENTARES '!$D:$L,7,0),0)))</f>
        <v>33.47</v>
      </c>
      <c r="I368" s="314">
        <f t="shared" si="32"/>
        <v>86.8</v>
      </c>
      <c r="J368" s="314">
        <f t="shared" si="33"/>
        <v>1034.5999999999999</v>
      </c>
      <c r="K368" s="314">
        <f t="shared" si="34"/>
        <v>649.30999999999995</v>
      </c>
      <c r="L368" s="948">
        <f t="shared" si="35"/>
        <v>1683.91</v>
      </c>
      <c r="M368" s="374">
        <f t="shared" si="36"/>
        <v>5412935.8100000052</v>
      </c>
      <c r="N368" s="375">
        <f>+M368/L$815</f>
        <v>0.95844164563573631</v>
      </c>
      <c r="O368" s="376" t="str">
        <f>IF(N368&lt;0.5,"A",IF(N368&gt;0.8,"C","B"))</f>
        <v>C</v>
      </c>
    </row>
    <row r="369" spans="1:15" x14ac:dyDescent="0.25">
      <c r="A369" s="232">
        <f t="shared" si="31"/>
        <v>369</v>
      </c>
      <c r="B369" s="232"/>
      <c r="C369" s="310">
        <v>95626</v>
      </c>
      <c r="D369" s="373" t="str">
        <f>IF($C369="","",IFERROR(VLOOKUP($C369,SERVIÇOS!$B:$G,2,0),IFERROR(VLOOKUP($C369,'COMPOSIÇÕES COMPLEMENTARES '!$D:$L,2,0),IFERROR(VLOOKUP($C369,INSUMOS!$A:$D,2,0),""))))</f>
        <v>APLICAÇÃO MANUAL DE TINTA LÁTEX ACRÍLICA EM PAREDE EXTERNAS DE CASAS, DUAS DEMÃOS. AF_03/2024</v>
      </c>
      <c r="E369" s="312" t="str">
        <f>IF($C369="","",IFERROR(VLOOKUP($C369,SERVIÇOS!$B:$G,3,0),IFERROR(VLOOKUP($C369,'COMPOSIÇÕES COMPLEMENTARES '!$D:$L,3,0),IFERROR(VLOOKUP($C369,INSUMOS!$A:$D,3,0),""))))</f>
        <v>M2</v>
      </c>
      <c r="F369" s="313">
        <v>92.87</v>
      </c>
      <c r="G369" s="314">
        <f>IF($C369="","",IFERROR(VLOOKUP($C369,SERVIÇOS!$B:$G,4,0),IFERROR(VLOOKUP($C369,'COMPOSIÇÕES COMPLEMENTARES '!$D:$L,6,0),IFERROR(VLOOKUP($C369,INSUMOS!$A:$D,4,0),""))))</f>
        <v>9.3699999999999992</v>
      </c>
      <c r="H369" s="314">
        <f>IF($C369="","",IFERROR(VLOOKUP($C369,SERVIÇOS!$B:$G,5,0),IFERROR(VLOOKUP($C369,'COMPOSIÇÕES COMPLEMENTARES '!$D:$L,7,0),0)))</f>
        <v>8.76</v>
      </c>
      <c r="I369" s="314">
        <f t="shared" si="32"/>
        <v>18.13</v>
      </c>
      <c r="J369" s="314">
        <f t="shared" si="33"/>
        <v>870.19</v>
      </c>
      <c r="K369" s="314">
        <f t="shared" si="34"/>
        <v>813.54</v>
      </c>
      <c r="L369" s="948">
        <f t="shared" si="35"/>
        <v>1683.73</v>
      </c>
      <c r="M369" s="374">
        <f t="shared" si="36"/>
        <v>5414619.5400000056</v>
      </c>
      <c r="N369" s="375">
        <f>+M369/L$815</f>
        <v>0.95873977533995813</v>
      </c>
      <c r="O369" s="376" t="str">
        <f>IF(N369&lt;0.5,"A",IF(N369&gt;0.8,"C","B"))</f>
        <v>C</v>
      </c>
    </row>
    <row r="370" spans="1:15" ht="25.5" x14ac:dyDescent="0.25">
      <c r="A370" s="232">
        <f t="shared" si="31"/>
        <v>370</v>
      </c>
      <c r="B370" s="232"/>
      <c r="C370" s="310">
        <v>91940</v>
      </c>
      <c r="D370" s="373" t="str">
        <f>IF($C370="","",IFERROR(VLOOKUP($C370,SERVIÇOS!$B:$G,2,0),IFERROR(VLOOKUP($C370,'COMPOSIÇÕES COMPLEMENTARES '!$D:$L,2,0),IFERROR(VLOOKUP($C370,INSUMOS!$A:$D,2,0),""))))</f>
        <v>CAIXA RETANGULAR 4" X 2" MÉDIA (1,30 M DO PISO), PVC, INSTALADA EM PAREDE - FORNECIMENTO E INSTALAÇÃO. AF_03/2023</v>
      </c>
      <c r="E370" s="312" t="str">
        <f>IF($C370="","",IFERROR(VLOOKUP($C370,SERVIÇOS!$B:$G,3,0),IFERROR(VLOOKUP($C370,'COMPOSIÇÕES COMPLEMENTARES '!$D:$L,3,0),IFERROR(VLOOKUP($C370,INSUMOS!$A:$D,3,0),""))))</f>
        <v>UN</v>
      </c>
      <c r="F370" s="313">
        <v>69</v>
      </c>
      <c r="G370" s="314">
        <f>IF($C370="","",IFERROR(VLOOKUP($C370,SERVIÇOS!$B:$G,4,0),IFERROR(VLOOKUP($C370,'COMPOSIÇÕES COMPLEMENTARES '!$D:$L,6,0),IFERROR(VLOOKUP($C370,INSUMOS!$A:$D,4,0),""))))</f>
        <v>9.7799999999999994</v>
      </c>
      <c r="H370" s="314">
        <f>IF($C370="","",IFERROR(VLOOKUP($C370,SERVIÇOS!$B:$G,5,0),IFERROR(VLOOKUP($C370,'COMPOSIÇÕES COMPLEMENTARES '!$D:$L,7,0),0)))</f>
        <v>14.56</v>
      </c>
      <c r="I370" s="314">
        <f t="shared" si="32"/>
        <v>24.34</v>
      </c>
      <c r="J370" s="314">
        <f t="shared" si="33"/>
        <v>674.82</v>
      </c>
      <c r="K370" s="314">
        <f t="shared" si="34"/>
        <v>1004.64</v>
      </c>
      <c r="L370" s="948">
        <f t="shared" si="35"/>
        <v>1679.46</v>
      </c>
      <c r="M370" s="374">
        <f t="shared" si="36"/>
        <v>5416299.0000000056</v>
      </c>
      <c r="N370" s="375">
        <f>+M370/L$815</f>
        <v>0.9590371489764985</v>
      </c>
      <c r="O370" s="376" t="str">
        <f>IF(N370&lt;0.5,"A",IF(N370&gt;0.8,"C","B"))</f>
        <v>C</v>
      </c>
    </row>
    <row r="371" spans="1:15" x14ac:dyDescent="0.25">
      <c r="A371" s="232">
        <f t="shared" si="31"/>
        <v>371</v>
      </c>
      <c r="B371" s="232"/>
      <c r="C371" s="310" t="s">
        <v>12545</v>
      </c>
      <c r="D371" s="373" t="str">
        <f>IF($C371="","",IFERROR(VLOOKUP($C371,SERVIÇOS!$B:$G,2,0),IFERROR(VLOOKUP($C371,'COMPOSIÇÕES COMPLEMENTARES '!$D:$L,2,0),IFERROR(VLOOKUP($C371,INSUMOS!$A:$D,2,0),""))))</f>
        <v>SINALEIRO DE PORTA SD001 SISTEMA ECONÔMICO, INSTALADO EM CAIXA 4X2" - REFERÊNCIA SUPREMO</v>
      </c>
      <c r="E371" s="312" t="str">
        <f>IF($C371="","",IFERROR(VLOOKUP($C371,SERVIÇOS!$B:$G,3,0),IFERROR(VLOOKUP($C371,'COMPOSIÇÕES COMPLEMENTARES '!$D:$L,3,0),IFERROR(VLOOKUP($C371,INSUMOS!$A:$D,3,0),""))))</f>
        <v>UN</v>
      </c>
      <c r="F371" s="313">
        <v>3</v>
      </c>
      <c r="G371" s="314">
        <f>IF($C371="","",IFERROR(VLOOKUP($C371,SERVIÇOS!$B:$G,4,0),IFERROR(VLOOKUP($C371,'COMPOSIÇÕES COMPLEMENTARES '!$D:$L,6,0),IFERROR(VLOOKUP($C371,INSUMOS!$A:$D,4,0),""))))</f>
        <v>499.33</v>
      </c>
      <c r="H371" s="314">
        <f>IF($C371="","",IFERROR(VLOOKUP($C371,SERVIÇOS!$B:$G,5,0),IFERROR(VLOOKUP($C371,'COMPOSIÇÕES COMPLEMENTARES '!$D:$L,7,0),0)))</f>
        <v>49.54</v>
      </c>
      <c r="I371" s="314">
        <f t="shared" si="32"/>
        <v>548.87</v>
      </c>
      <c r="J371" s="314">
        <f t="shared" si="33"/>
        <v>1497.99</v>
      </c>
      <c r="K371" s="314">
        <f t="shared" si="34"/>
        <v>148.62</v>
      </c>
      <c r="L371" s="948">
        <f t="shared" si="35"/>
        <v>1646.61</v>
      </c>
      <c r="M371" s="374">
        <f t="shared" si="36"/>
        <v>5417945.6100000059</v>
      </c>
      <c r="N371" s="375">
        <f>+M371/L$815</f>
        <v>0.95932870602677889</v>
      </c>
      <c r="O371" s="376" t="str">
        <f>IF(N371&lt;0.5,"A",IF(N371&gt;0.8,"C","B"))</f>
        <v>C</v>
      </c>
    </row>
    <row r="372" spans="1:15" x14ac:dyDescent="0.25">
      <c r="A372" s="232">
        <f t="shared" si="31"/>
        <v>372</v>
      </c>
      <c r="B372" s="232"/>
      <c r="C372" s="310" t="s">
        <v>12538</v>
      </c>
      <c r="D372" s="373" t="str">
        <f>IF($C372="","",IFERROR(VLOOKUP($C372,SERVIÇOS!$B:$G,2,0),IFERROR(VLOOKUP($C372,'COMPOSIÇÕES COMPLEMENTARES '!$D:$L,2,0),IFERROR(VLOOKUP($C372,INSUMOS!$A:$D,2,0),""))))</f>
        <v>GRAVADOR DIGITAL DE VÍDEO - SISTEMAS DE MONITORAMENTO, NVD 3016 COM 2 HD 6TB PARA 16 CÂMERAS</v>
      </c>
      <c r="E372" s="312" t="str">
        <f>IF($C372="","",IFERROR(VLOOKUP($C372,SERVIÇOS!$B:$G,3,0),IFERROR(VLOOKUP($C372,'COMPOSIÇÕES COMPLEMENTARES '!$D:$L,3,0),IFERROR(VLOOKUP($C372,INSUMOS!$A:$D,3,0),""))))</f>
        <v>UN</v>
      </c>
      <c r="F372" s="313">
        <v>2</v>
      </c>
      <c r="G372" s="314">
        <f>IF($C372="","",IFERROR(VLOOKUP($C372,SERVIÇOS!$B:$G,4,0),IFERROR(VLOOKUP($C372,'COMPOSIÇÕES COMPLEMENTARES '!$D:$L,6,0),IFERROR(VLOOKUP($C372,INSUMOS!$A:$D,4,0),""))))</f>
        <v>682.94</v>
      </c>
      <c r="H372" s="314">
        <f>IF($C372="","",IFERROR(VLOOKUP($C372,SERVIÇOS!$B:$G,5,0),IFERROR(VLOOKUP($C372,'COMPOSIÇÕES COMPLEMENTARES '!$D:$L,7,0),0)))</f>
        <v>140.32</v>
      </c>
      <c r="I372" s="314">
        <f t="shared" si="32"/>
        <v>823.26</v>
      </c>
      <c r="J372" s="314">
        <f t="shared" si="33"/>
        <v>1365.88</v>
      </c>
      <c r="K372" s="314">
        <f t="shared" si="34"/>
        <v>280.64</v>
      </c>
      <c r="L372" s="948">
        <f t="shared" si="35"/>
        <v>1646.52</v>
      </c>
      <c r="M372" s="374">
        <f t="shared" si="36"/>
        <v>5419592.1300000055</v>
      </c>
      <c r="N372" s="375">
        <f>+M372/L$815</f>
        <v>0.95962024714120631</v>
      </c>
      <c r="O372" s="376" t="str">
        <f>IF(N372&lt;0.5,"A",IF(N372&gt;0.8,"C","B"))</f>
        <v>C</v>
      </c>
    </row>
    <row r="373" spans="1:15" x14ac:dyDescent="0.25">
      <c r="A373" s="232">
        <f t="shared" si="31"/>
        <v>373</v>
      </c>
      <c r="B373" s="232"/>
      <c r="C373" s="310">
        <v>86872</v>
      </c>
      <c r="D373" s="373" t="str">
        <f>IF($C373="","",IFERROR(VLOOKUP($C373,SERVIÇOS!$B:$G,2,0),IFERROR(VLOOKUP($C373,'COMPOSIÇÕES COMPLEMENTARES '!$D:$L,2,0),IFERROR(VLOOKUP($C373,INSUMOS!$A:$D,2,0),""))))</f>
        <v>TANQUE DE LOUÇA BRANCA COM COLUNA, 30L OU EQUIVALENTE - FORNECIMENTO E INSTALAÇÃO. AF_01/2020</v>
      </c>
      <c r="E373" s="312" t="str">
        <f>IF($C373="","",IFERROR(VLOOKUP($C373,SERVIÇOS!$B:$G,3,0),IFERROR(VLOOKUP($C373,'COMPOSIÇÕES COMPLEMENTARES '!$D:$L,3,0),IFERROR(VLOOKUP($C373,INSUMOS!$A:$D,3,0),""))))</f>
        <v>UN</v>
      </c>
      <c r="F373" s="313">
        <v>2</v>
      </c>
      <c r="G373" s="314">
        <f>IF($C373="","",IFERROR(VLOOKUP($C373,SERVIÇOS!$B:$G,4,0),IFERROR(VLOOKUP($C373,'COMPOSIÇÕES COMPLEMENTARES '!$D:$L,6,0),IFERROR(VLOOKUP($C373,INSUMOS!$A:$D,4,0),""))))</f>
        <v>757.32</v>
      </c>
      <c r="H373" s="314">
        <f>IF($C373="","",IFERROR(VLOOKUP($C373,SERVIÇOS!$B:$G,5,0),IFERROR(VLOOKUP($C373,'COMPOSIÇÕES COMPLEMENTARES '!$D:$L,7,0),0)))</f>
        <v>62.55</v>
      </c>
      <c r="I373" s="314">
        <f t="shared" si="32"/>
        <v>819.87</v>
      </c>
      <c r="J373" s="314">
        <f t="shared" si="33"/>
        <v>1514.64</v>
      </c>
      <c r="K373" s="314">
        <f t="shared" si="34"/>
        <v>125.1</v>
      </c>
      <c r="L373" s="948">
        <f t="shared" si="35"/>
        <v>1639.74</v>
      </c>
      <c r="M373" s="374">
        <f t="shared" si="36"/>
        <v>5421231.8700000057</v>
      </c>
      <c r="N373" s="375">
        <f>+M373/L$815</f>
        <v>0.95991058775472549</v>
      </c>
      <c r="O373" s="376" t="str">
        <f>IF(N373&lt;0.5,"A",IF(N373&gt;0.8,"C","B"))</f>
        <v>C</v>
      </c>
    </row>
    <row r="374" spans="1:15" ht="25.5" x14ac:dyDescent="0.25">
      <c r="A374" s="232">
        <f t="shared" si="31"/>
        <v>374</v>
      </c>
      <c r="B374" s="232"/>
      <c r="C374" s="310">
        <v>91997</v>
      </c>
      <c r="D374" s="373" t="str">
        <f>IF($C374="","",IFERROR(VLOOKUP($C374,SERVIÇOS!$B:$G,2,0),IFERROR(VLOOKUP($C374,'COMPOSIÇÕES COMPLEMENTARES '!$D:$L,2,0),IFERROR(VLOOKUP($C374,INSUMOS!$A:$D,2,0),""))))</f>
        <v>TOMADA MÉDIA DE EMBUTIR (1 MÓDULO), 2P+T 20 A, INCLUINDO SUPORTE E PLACA - FORNECIMENTO E INSTALAÇÃO. AF_03/2023</v>
      </c>
      <c r="E374" s="312" t="str">
        <f>IF($C374="","",IFERROR(VLOOKUP($C374,SERVIÇOS!$B:$G,3,0),IFERROR(VLOOKUP($C374,'COMPOSIÇÕES COMPLEMENTARES '!$D:$L,3,0),IFERROR(VLOOKUP($C374,INSUMOS!$A:$D,3,0),""))))</f>
        <v>UN</v>
      </c>
      <c r="F374" s="313">
        <v>35</v>
      </c>
      <c r="G374" s="314">
        <f>IF($C374="","",IFERROR(VLOOKUP($C374,SERVIÇOS!$B:$G,4,0),IFERROR(VLOOKUP($C374,'COMPOSIÇÕES COMPLEMENTARES '!$D:$L,6,0),IFERROR(VLOOKUP($C374,INSUMOS!$A:$D,4,0),""))))</f>
        <v>24.26</v>
      </c>
      <c r="H374" s="314">
        <f>IF($C374="","",IFERROR(VLOOKUP($C374,SERVIÇOS!$B:$G,5,0),IFERROR(VLOOKUP($C374,'COMPOSIÇÕES COMPLEMENTARES '!$D:$L,7,0),0)))</f>
        <v>22.03</v>
      </c>
      <c r="I374" s="314">
        <f t="shared" si="32"/>
        <v>46.290000000000006</v>
      </c>
      <c r="J374" s="314">
        <f t="shared" si="33"/>
        <v>849.1</v>
      </c>
      <c r="K374" s="314">
        <f t="shared" si="34"/>
        <v>771.05</v>
      </c>
      <c r="L374" s="948">
        <f t="shared" si="35"/>
        <v>1620.15</v>
      </c>
      <c r="M374" s="374">
        <f t="shared" si="36"/>
        <v>5422852.0200000061</v>
      </c>
      <c r="N374" s="375">
        <f>+M374/L$815</f>
        <v>0.96019745966429226</v>
      </c>
      <c r="O374" s="376" t="str">
        <f>IF(N374&lt;0.5,"A",IF(N374&gt;0.8,"C","B"))</f>
        <v>C</v>
      </c>
    </row>
    <row r="375" spans="1:15" ht="25.5" x14ac:dyDescent="0.25">
      <c r="A375" s="232">
        <f t="shared" si="31"/>
        <v>375</v>
      </c>
      <c r="B375" s="232"/>
      <c r="C375" s="310" t="s">
        <v>12141</v>
      </c>
      <c r="D375" s="373" t="str">
        <f>IF($C375="","",IFERROR(VLOOKUP($C375,SERVIÇOS!$B:$G,2,0),IFERROR(VLOOKUP($C375,'COMPOSIÇÕES COMPLEMENTARES '!$D:$L,2,0),IFERROR(VLOOKUP($C375,INSUMOS!$A:$D,2,0),""))))</f>
        <v>CAIXA SEPARADORA DE ÓLEO E LAMA, PRÉ FABRICADA, COM VOLUME = 500 LITROS, MARCA FIBRATEC OU COM EQUIVALÊNCIA TÉCNICA SIMILAR PARA BACIA DE CONTENÇÃO</v>
      </c>
      <c r="E375" s="312" t="str">
        <f>IF($C375="","",IFERROR(VLOOKUP($C375,SERVIÇOS!$B:$G,3,0),IFERROR(VLOOKUP($C375,'COMPOSIÇÕES COMPLEMENTARES '!$D:$L,3,0),IFERROR(VLOOKUP($C375,INSUMOS!$A:$D,3,0),""))))</f>
        <v>UN</v>
      </c>
      <c r="F375" s="313">
        <v>1</v>
      </c>
      <c r="G375" s="314">
        <f>IF($C375="","",IFERROR(VLOOKUP($C375,SERVIÇOS!$B:$G,4,0),IFERROR(VLOOKUP($C375,'COMPOSIÇÕES COMPLEMENTARES '!$D:$L,6,0),IFERROR(VLOOKUP($C375,INSUMOS!$A:$D,4,0),""))))</f>
        <v>932.58</v>
      </c>
      <c r="H375" s="314">
        <f>IF($C375="","",IFERROR(VLOOKUP($C375,SERVIÇOS!$B:$G,5,0),IFERROR(VLOOKUP($C375,'COMPOSIÇÕES COMPLEMENTARES '!$D:$L,7,0),0)))</f>
        <v>683.64</v>
      </c>
      <c r="I375" s="314">
        <f t="shared" si="32"/>
        <v>1616.22</v>
      </c>
      <c r="J375" s="314">
        <f t="shared" si="33"/>
        <v>932.58</v>
      </c>
      <c r="K375" s="314">
        <f t="shared" si="34"/>
        <v>683.64</v>
      </c>
      <c r="L375" s="948">
        <f t="shared" si="35"/>
        <v>1616.22</v>
      </c>
      <c r="M375" s="374">
        <f t="shared" si="36"/>
        <v>5424468.2400000058</v>
      </c>
      <c r="N375" s="375">
        <f>+M375/L$815</f>
        <v>0.96048363570828799</v>
      </c>
      <c r="O375" s="376" t="str">
        <f>IF(N375&lt;0.5,"A",IF(N375&gt;0.8,"C","B"))</f>
        <v>C</v>
      </c>
    </row>
    <row r="376" spans="1:15" x14ac:dyDescent="0.25">
      <c r="A376" s="232">
        <f t="shared" si="31"/>
        <v>376</v>
      </c>
      <c r="B376" s="232"/>
      <c r="C376" s="310" t="s">
        <v>12223</v>
      </c>
      <c r="D376" s="373" t="str">
        <f>IF($C376="","",IFERROR(VLOOKUP($C376,SERVIÇOS!$B:$G,2,0),IFERROR(VLOOKUP($C376,'COMPOSIÇÕES COMPLEMENTARES '!$D:$L,2,0),IFERROR(VLOOKUP($C376,INSUMOS!$A:$D,2,0),""))))</f>
        <v>CONDUTOR DE COBRE FLEX ISOL. 1KV - 90º -  #6,0MM² - AFUMEX</v>
      </c>
      <c r="E376" s="312" t="str">
        <f>IF($C376="","",IFERROR(VLOOKUP($C376,SERVIÇOS!$B:$G,3,0),IFERROR(VLOOKUP($C376,'COMPOSIÇÕES COMPLEMENTARES '!$D:$L,3,0),IFERROR(VLOOKUP($C376,INSUMOS!$A:$D,3,0),""))))</f>
        <v>M</v>
      </c>
      <c r="F376" s="313">
        <v>165</v>
      </c>
      <c r="G376" s="314">
        <f>IF($C376="","",IFERROR(VLOOKUP($C376,SERVIÇOS!$B:$G,4,0),IFERROR(VLOOKUP($C376,'COMPOSIÇÕES COMPLEMENTARES '!$D:$L,6,0),IFERROR(VLOOKUP($C376,INSUMOS!$A:$D,4,0),""))))</f>
        <v>7.81</v>
      </c>
      <c r="H376" s="314">
        <f>IF($C376="","",IFERROR(VLOOKUP($C376,SERVIÇOS!$B:$G,5,0),IFERROR(VLOOKUP($C376,'COMPOSIÇÕES COMPLEMENTARES '!$D:$L,7,0),0)))</f>
        <v>1.97</v>
      </c>
      <c r="I376" s="314">
        <f t="shared" si="32"/>
        <v>9.7799999999999994</v>
      </c>
      <c r="J376" s="314">
        <f t="shared" si="33"/>
        <v>1288.6500000000001</v>
      </c>
      <c r="K376" s="314">
        <f t="shared" si="34"/>
        <v>325.05</v>
      </c>
      <c r="L376" s="948">
        <f t="shared" si="35"/>
        <v>1613.7</v>
      </c>
      <c r="M376" s="374">
        <f t="shared" si="36"/>
        <v>5426081.940000006</v>
      </c>
      <c r="N376" s="375">
        <f>+M376/L$815</f>
        <v>0.96076936554840642</v>
      </c>
      <c r="O376" s="376" t="str">
        <f>IF(N376&lt;0.5,"A",IF(N376&gt;0.8,"C","B"))</f>
        <v>C</v>
      </c>
    </row>
    <row r="377" spans="1:15" ht="25.5" x14ac:dyDescent="0.25">
      <c r="A377" s="232">
        <f t="shared" si="31"/>
        <v>377</v>
      </c>
      <c r="B377" s="232"/>
      <c r="C377" s="310">
        <v>91940</v>
      </c>
      <c r="D377" s="373" t="str">
        <f>IF($C377="","",IFERROR(VLOOKUP($C377,SERVIÇOS!$B:$G,2,0),IFERROR(VLOOKUP($C377,'COMPOSIÇÕES COMPLEMENTARES '!$D:$L,2,0),IFERROR(VLOOKUP($C377,INSUMOS!$A:$D,2,0),""))))</f>
        <v>CAIXA RETANGULAR 4" X 2" MÉDIA (1,30 M DO PISO), PVC, INSTALADA EM PAREDE - FORNECIMENTO E INSTALAÇÃO. AF_03/2023</v>
      </c>
      <c r="E377" s="312" t="str">
        <f>IF($C377="","",IFERROR(VLOOKUP($C377,SERVIÇOS!$B:$G,3,0),IFERROR(VLOOKUP($C377,'COMPOSIÇÕES COMPLEMENTARES '!$D:$L,3,0),IFERROR(VLOOKUP($C377,INSUMOS!$A:$D,3,0),""))))</f>
        <v>UN</v>
      </c>
      <c r="F377" s="313">
        <v>66</v>
      </c>
      <c r="G377" s="314">
        <f>IF($C377="","",IFERROR(VLOOKUP($C377,SERVIÇOS!$B:$G,4,0),IFERROR(VLOOKUP($C377,'COMPOSIÇÕES COMPLEMENTARES '!$D:$L,6,0),IFERROR(VLOOKUP($C377,INSUMOS!$A:$D,4,0),""))))</f>
        <v>9.7799999999999994</v>
      </c>
      <c r="H377" s="314">
        <f>IF($C377="","",IFERROR(VLOOKUP($C377,SERVIÇOS!$B:$G,5,0),IFERROR(VLOOKUP($C377,'COMPOSIÇÕES COMPLEMENTARES '!$D:$L,7,0),0)))</f>
        <v>14.56</v>
      </c>
      <c r="I377" s="314">
        <f t="shared" si="32"/>
        <v>24.34</v>
      </c>
      <c r="J377" s="314">
        <f t="shared" si="33"/>
        <v>645.48</v>
      </c>
      <c r="K377" s="314">
        <f t="shared" si="34"/>
        <v>960.96</v>
      </c>
      <c r="L377" s="948">
        <f t="shared" si="35"/>
        <v>1606.44</v>
      </c>
      <c r="M377" s="374">
        <f t="shared" si="36"/>
        <v>5427688.3800000064</v>
      </c>
      <c r="N377" s="375">
        <f>+M377/L$815</f>
        <v>0.96105380989640166</v>
      </c>
      <c r="O377" s="376" t="str">
        <f>IF(N377&lt;0.5,"A",IF(N377&gt;0.8,"C","B"))</f>
        <v>C</v>
      </c>
    </row>
    <row r="378" spans="1:15" ht="25.5" x14ac:dyDescent="0.25">
      <c r="A378" s="232">
        <f t="shared" si="31"/>
        <v>378</v>
      </c>
      <c r="B378" s="232"/>
      <c r="C378" s="310">
        <v>97668</v>
      </c>
      <c r="D378" s="373" t="str">
        <f>IF($C378="","",IFERROR(VLOOKUP($C378,SERVIÇOS!$B:$G,2,0),IFERROR(VLOOKUP($C378,'COMPOSIÇÕES COMPLEMENTARES '!$D:$L,2,0),IFERROR(VLOOKUP($C378,INSUMOS!$A:$D,2,0),""))))</f>
        <v>ELETRODUTO FLEXÍVEL CORRUGADO, PEAD, DN 63 (2"), PARA REDE ENTERRADA DE DISTRIBUIÇÃO DE ENERGIA ELÉTRICA - FORNECIMENTO E INSTALAÇÃO. AF_12/2021</v>
      </c>
      <c r="E378" s="312" t="str">
        <f>IF($C378="","",IFERROR(VLOOKUP($C378,SERVIÇOS!$B:$G,3,0),IFERROR(VLOOKUP($C378,'COMPOSIÇÕES COMPLEMENTARES '!$D:$L,3,0),IFERROR(VLOOKUP($C378,INSUMOS!$A:$D,3,0),""))))</f>
        <v>M</v>
      </c>
      <c r="F378" s="313">
        <v>100</v>
      </c>
      <c r="G378" s="314">
        <f>IF($C378="","",IFERROR(VLOOKUP($C378,SERVIÇOS!$B:$G,4,0),IFERROR(VLOOKUP($C378,'COMPOSIÇÕES COMPLEMENTARES '!$D:$L,6,0),IFERROR(VLOOKUP($C378,INSUMOS!$A:$D,4,0),""))))</f>
        <v>11.19</v>
      </c>
      <c r="H378" s="314">
        <f>IF($C378="","",IFERROR(VLOOKUP($C378,SERVIÇOS!$B:$G,5,0),IFERROR(VLOOKUP($C378,'COMPOSIÇÕES COMPLEMENTARES '!$D:$L,7,0),0)))</f>
        <v>4.68</v>
      </c>
      <c r="I378" s="314">
        <f t="shared" si="32"/>
        <v>15.87</v>
      </c>
      <c r="J378" s="314">
        <f t="shared" si="33"/>
        <v>1119</v>
      </c>
      <c r="K378" s="314">
        <f t="shared" si="34"/>
        <v>468</v>
      </c>
      <c r="L378" s="948">
        <f t="shared" si="35"/>
        <v>1587</v>
      </c>
      <c r="M378" s="374">
        <f t="shared" si="36"/>
        <v>5429275.3800000064</v>
      </c>
      <c r="N378" s="375">
        <f>+M378/L$815</f>
        <v>0.96133481210019911</v>
      </c>
      <c r="O378" s="376" t="str">
        <f>IF(N378&lt;0.5,"A",IF(N378&gt;0.8,"C","B"))</f>
        <v>C</v>
      </c>
    </row>
    <row r="379" spans="1:15" x14ac:dyDescent="0.25">
      <c r="A379" s="232">
        <f t="shared" si="31"/>
        <v>379</v>
      </c>
      <c r="B379" s="232"/>
      <c r="C379" s="310" t="s">
        <v>12332</v>
      </c>
      <c r="D379" s="373" t="str">
        <f>IF($C379="","",IFERROR(VLOOKUP($C379,SERVIÇOS!$B:$G,2,0),IFERROR(VLOOKUP($C379,'COMPOSIÇÕES COMPLEMENTARES '!$D:$L,2,0),IFERROR(VLOOKUP($C379,INSUMOS!$A:$D,2,0),""))))</f>
        <v>RE-BAR BARRA REDONDA Ø10MM X 3,00M #80MM² DE AÇO GALVANIZADO A FOGO EM BARRA REF. TEL-768</v>
      </c>
      <c r="E379" s="312" t="str">
        <f>IF($C379="","",IFERROR(VLOOKUP($C379,SERVIÇOS!$B:$G,3,0),IFERROR(VLOOKUP($C379,'COMPOSIÇÕES COMPLEMENTARES '!$D:$L,3,0),IFERROR(VLOOKUP($C379,INSUMOS!$A:$D,3,0),""))))</f>
        <v>UN</v>
      </c>
      <c r="F379" s="313">
        <v>26</v>
      </c>
      <c r="G379" s="314">
        <f>IF($C379="","",IFERROR(VLOOKUP($C379,SERVIÇOS!$B:$G,4,0),IFERROR(VLOOKUP($C379,'COMPOSIÇÕES COMPLEMENTARES '!$D:$L,6,0),IFERROR(VLOOKUP($C379,INSUMOS!$A:$D,4,0),""))))</f>
        <v>45.51</v>
      </c>
      <c r="H379" s="314">
        <f>IF($C379="","",IFERROR(VLOOKUP($C379,SERVIÇOS!$B:$G,5,0),IFERROR(VLOOKUP($C379,'COMPOSIÇÕES COMPLEMENTARES '!$D:$L,7,0),0)))</f>
        <v>14.85</v>
      </c>
      <c r="I379" s="314">
        <f t="shared" si="32"/>
        <v>60.36</v>
      </c>
      <c r="J379" s="314">
        <f t="shared" si="33"/>
        <v>1183.26</v>
      </c>
      <c r="K379" s="314">
        <f t="shared" si="34"/>
        <v>386.1</v>
      </c>
      <c r="L379" s="948">
        <f t="shared" si="35"/>
        <v>1569.36</v>
      </c>
      <c r="M379" s="374">
        <f t="shared" si="36"/>
        <v>5430844.7400000067</v>
      </c>
      <c r="N379" s="375">
        <f>+M379/L$815</f>
        <v>0.96161269087685419</v>
      </c>
      <c r="O379" s="376" t="str">
        <f>IF(N379&lt;0.5,"A",IF(N379&gt;0.8,"C","B"))</f>
        <v>C</v>
      </c>
    </row>
    <row r="380" spans="1:15" x14ac:dyDescent="0.25">
      <c r="A380" s="232">
        <f t="shared" si="31"/>
        <v>380</v>
      </c>
      <c r="B380" s="232"/>
      <c r="C380" s="310" t="s">
        <v>12218</v>
      </c>
      <c r="D380" s="373" t="str">
        <f>IF($C380="","",IFERROR(VLOOKUP($C380,SERVIÇOS!$B:$G,2,0),IFERROR(VLOOKUP($C380,'COMPOSIÇÕES COMPLEMENTARES '!$D:$L,2,0),IFERROR(VLOOKUP($C380,INSUMOS!$A:$D,2,0),""))))</f>
        <v>ELETRODUTO RÍGIDO ROSCÁVEL, PVC, DN 25 MM (3/4"), INCLUSO CONEXÕES - FORNECIMENTO E INSTALAÇÃO</v>
      </c>
      <c r="E380" s="312" t="str">
        <f>IF($C380="","",IFERROR(VLOOKUP($C380,SERVIÇOS!$B:$G,3,0),IFERROR(VLOOKUP($C380,'COMPOSIÇÕES COMPLEMENTARES '!$D:$L,3,0),IFERROR(VLOOKUP($C380,INSUMOS!$A:$D,3,0),""))))</f>
        <v>M</v>
      </c>
      <c r="F380" s="313">
        <v>117</v>
      </c>
      <c r="G380" s="314">
        <f>IF($C380="","",IFERROR(VLOOKUP($C380,SERVIÇOS!$B:$G,4,0),IFERROR(VLOOKUP($C380,'COMPOSIÇÕES COMPLEMENTARES '!$D:$L,6,0),IFERROR(VLOOKUP($C380,INSUMOS!$A:$D,4,0),""))))</f>
        <v>9.18</v>
      </c>
      <c r="H380" s="314">
        <f>IF($C380="","",IFERROR(VLOOKUP($C380,SERVIÇOS!$B:$G,5,0),IFERROR(VLOOKUP($C380,'COMPOSIÇÕES COMPLEMENTARES '!$D:$L,7,0),0)))</f>
        <v>4.1500000000000004</v>
      </c>
      <c r="I380" s="314">
        <f t="shared" si="32"/>
        <v>13.33</v>
      </c>
      <c r="J380" s="314">
        <f t="shared" si="33"/>
        <v>1074.06</v>
      </c>
      <c r="K380" s="314">
        <f t="shared" si="34"/>
        <v>485.55</v>
      </c>
      <c r="L380" s="948">
        <f t="shared" si="35"/>
        <v>1559.61</v>
      </c>
      <c r="M380" s="374">
        <f t="shared" si="36"/>
        <v>5432404.3500000071</v>
      </c>
      <c r="N380" s="375">
        <f>+M380/L$815</f>
        <v>0.96188884326945945</v>
      </c>
      <c r="O380" s="376" t="str">
        <f>IF(N380&lt;0.5,"A",IF(N380&gt;0.8,"C","B"))</f>
        <v>C</v>
      </c>
    </row>
    <row r="381" spans="1:15" x14ac:dyDescent="0.25">
      <c r="A381" s="232">
        <f t="shared" si="31"/>
        <v>381</v>
      </c>
      <c r="B381" s="232"/>
      <c r="C381" s="310">
        <v>93382</v>
      </c>
      <c r="D381" s="373" t="str">
        <f>IF($C381="","",IFERROR(VLOOKUP($C381,SERVIÇOS!$B:$G,2,0),IFERROR(VLOOKUP($C381,'COMPOSIÇÕES COMPLEMENTARES '!$D:$L,2,0),IFERROR(VLOOKUP($C381,INSUMOS!$A:$D,2,0),""))))</f>
        <v>REATERRO MANUAL DE VALAS, COM COMPACTADOR DE SOLOS DE PERCUSSÃO. AF_08/2023</v>
      </c>
      <c r="E381" s="312" t="str">
        <f>IF($C381="","",IFERROR(VLOOKUP($C381,SERVIÇOS!$B:$G,3,0),IFERROR(VLOOKUP($C381,'COMPOSIÇÕES COMPLEMENTARES '!$D:$L,3,0),IFERROR(VLOOKUP($C381,INSUMOS!$A:$D,3,0),""))))</f>
        <v>M3</v>
      </c>
      <c r="F381" s="313">
        <v>47</v>
      </c>
      <c r="G381" s="314">
        <f>IF($C381="","",IFERROR(VLOOKUP($C381,SERVIÇOS!$B:$G,4,0),IFERROR(VLOOKUP($C381,'COMPOSIÇÕES COMPLEMENTARES '!$D:$L,6,0),IFERROR(VLOOKUP($C381,INSUMOS!$A:$D,4,0),""))))</f>
        <v>12.29</v>
      </c>
      <c r="H381" s="314">
        <f>IF($C381="","",IFERROR(VLOOKUP($C381,SERVIÇOS!$B:$G,5,0),IFERROR(VLOOKUP($C381,'COMPOSIÇÕES COMPLEMENTARES '!$D:$L,7,0),0)))</f>
        <v>20.78</v>
      </c>
      <c r="I381" s="314">
        <f t="shared" si="32"/>
        <v>33.07</v>
      </c>
      <c r="J381" s="314">
        <f t="shared" si="33"/>
        <v>577.63</v>
      </c>
      <c r="K381" s="314">
        <f t="shared" si="34"/>
        <v>976.66</v>
      </c>
      <c r="L381" s="948">
        <f t="shared" si="35"/>
        <v>1554.29</v>
      </c>
      <c r="M381" s="374">
        <f t="shared" si="36"/>
        <v>5433958.6400000071</v>
      </c>
      <c r="N381" s="375">
        <f>+M381/L$815</f>
        <v>0.96216405367610103</v>
      </c>
      <c r="O381" s="376" t="str">
        <f>IF(N381&lt;0.5,"A",IF(N381&gt;0.8,"C","B"))</f>
        <v>C</v>
      </c>
    </row>
    <row r="382" spans="1:15" x14ac:dyDescent="0.25">
      <c r="A382" s="232">
        <f t="shared" si="31"/>
        <v>382</v>
      </c>
      <c r="B382" s="232"/>
      <c r="C382" s="310" t="s">
        <v>12413</v>
      </c>
      <c r="D382" s="373" t="str">
        <f>IF($C382="","",IFERROR(VLOOKUP($C382,SERVIÇOS!$B:$G,2,0),IFERROR(VLOOKUP($C382,'COMPOSIÇÕES COMPLEMENTARES '!$D:$L,2,0),IFERROR(VLOOKUP($C382,INSUMOS!$A:$D,2,0),""))))</f>
        <v>CABO BLINDADO 2VIAS # 0,75mm², PAR TRANÇADO, DUPLA BLINDAGEM E SEM POLARIDADE</v>
      </c>
      <c r="E382" s="312" t="str">
        <f>IF($C382="","",IFERROR(VLOOKUP($C382,SERVIÇOS!$B:$G,3,0),IFERROR(VLOOKUP($C382,'COMPOSIÇÕES COMPLEMENTARES '!$D:$L,3,0),IFERROR(VLOOKUP($C382,INSUMOS!$A:$D,3,0),""))))</f>
        <v>M</v>
      </c>
      <c r="F382" s="313">
        <v>130</v>
      </c>
      <c r="G382" s="314">
        <f>IF($C382="","",IFERROR(VLOOKUP($C382,SERVIÇOS!$B:$G,4,0),IFERROR(VLOOKUP($C382,'COMPOSIÇÕES COMPLEMENTARES '!$D:$L,6,0),IFERROR(VLOOKUP($C382,INSUMOS!$A:$D,4,0),""))))</f>
        <v>6.9399999999999995</v>
      </c>
      <c r="H382" s="314">
        <f>IF($C382="","",IFERROR(VLOOKUP($C382,SERVIÇOS!$B:$G,5,0),IFERROR(VLOOKUP($C382,'COMPOSIÇÕES COMPLEMENTARES '!$D:$L,7,0),0)))</f>
        <v>4.9399999999999995</v>
      </c>
      <c r="I382" s="314">
        <f t="shared" si="32"/>
        <v>11.879999999999999</v>
      </c>
      <c r="J382" s="314">
        <f t="shared" si="33"/>
        <v>902.2</v>
      </c>
      <c r="K382" s="314">
        <f t="shared" si="34"/>
        <v>642.20000000000005</v>
      </c>
      <c r="L382" s="948">
        <f t="shared" si="35"/>
        <v>1544.4</v>
      </c>
      <c r="M382" s="374">
        <f t="shared" si="36"/>
        <v>5435503.0400000075</v>
      </c>
      <c r="N382" s="375">
        <f>+M382/L$815</f>
        <v>0.96243751290958868</v>
      </c>
      <c r="O382" s="376" t="str">
        <f>IF(N382&lt;0.5,"A",IF(N382&gt;0.8,"C","B"))</f>
        <v>C</v>
      </c>
    </row>
    <row r="383" spans="1:15" ht="25.5" x14ac:dyDescent="0.25">
      <c r="A383" s="232">
        <f t="shared" si="31"/>
        <v>383</v>
      </c>
      <c r="B383" s="232"/>
      <c r="C383" s="310">
        <v>90443</v>
      </c>
      <c r="D383" s="373" t="str">
        <f>IF($C383="","",IFERROR(VLOOKUP($C383,SERVIÇOS!$B:$G,2,0),IFERROR(VLOOKUP($C383,'COMPOSIÇÕES COMPLEMENTARES '!$D:$L,2,0),IFERROR(VLOOKUP($C383,INSUMOS!$A:$D,2,0),""))))</f>
        <v>RASGO LINEAR MANUAL EM ALVENARIA, PARA RAMAIS/ DISTRIBUIÇÃO DE INSTALAÇÕES HIDRÁULICAS, DIÂMETROS MENORES OU IGUAIS A 40 MM. AF_09/2023</v>
      </c>
      <c r="E383" s="312" t="str">
        <f>IF($C383="","",IFERROR(VLOOKUP($C383,SERVIÇOS!$B:$G,3,0),IFERROR(VLOOKUP($C383,'COMPOSIÇÕES COMPLEMENTARES '!$D:$L,3,0),IFERROR(VLOOKUP($C383,INSUMOS!$A:$D,3,0),""))))</f>
        <v>M</v>
      </c>
      <c r="F383" s="313">
        <v>147</v>
      </c>
      <c r="G383" s="314">
        <f>IF($C383="","",IFERROR(VLOOKUP($C383,SERVIÇOS!$B:$G,4,0),IFERROR(VLOOKUP($C383,'COMPOSIÇÕES COMPLEMENTARES '!$D:$L,6,0),IFERROR(VLOOKUP($C383,INSUMOS!$A:$D,4,0),""))))</f>
        <v>2.6</v>
      </c>
      <c r="H383" s="314">
        <f>IF($C383="","",IFERROR(VLOOKUP($C383,SERVIÇOS!$B:$G,5,0),IFERROR(VLOOKUP($C383,'COMPOSIÇÕES COMPLEMENTARES '!$D:$L,7,0),0)))</f>
        <v>7.85</v>
      </c>
      <c r="I383" s="314">
        <f t="shared" si="32"/>
        <v>10.45</v>
      </c>
      <c r="J383" s="314">
        <f t="shared" si="33"/>
        <v>382.2</v>
      </c>
      <c r="K383" s="314">
        <f t="shared" si="34"/>
        <v>1153.95</v>
      </c>
      <c r="L383" s="948">
        <f t="shared" si="35"/>
        <v>1536.15</v>
      </c>
      <c r="M383" s="374">
        <f t="shared" si="36"/>
        <v>5437039.1900000079</v>
      </c>
      <c r="N383" s="375">
        <f>+M383/L$815</f>
        <v>0.96270951135657257</v>
      </c>
      <c r="O383" s="376" t="str">
        <f>IF(N383&lt;0.5,"A",IF(N383&gt;0.8,"C","B"))</f>
        <v>C</v>
      </c>
    </row>
    <row r="384" spans="1:15" ht="25.5" x14ac:dyDescent="0.25">
      <c r="A384" s="232">
        <f t="shared" si="31"/>
        <v>384</v>
      </c>
      <c r="B384" s="232"/>
      <c r="C384" s="310" t="s">
        <v>12439</v>
      </c>
      <c r="D384" s="373" t="str">
        <f>IF($C384="","",IFERROR(VLOOKUP($C384,SERVIÇOS!$B:$G,2,0),IFERROR(VLOOKUP($C384,'COMPOSIÇÕES COMPLEMENTARES '!$D:$L,2,0),IFERROR(VLOOKUP($C384,INSUMOS!$A:$D,2,0),""))))</f>
        <v>GRELHA DE RETORNO DE AR ALETAS HORIZONTAIS COM REGISTRO EM ALUMÍNIO 600x300MM. MARCA TROPICAL MOD. RHN-600x300-RGA (OU SIMILAR - TROX, SEIMMEI, DIFUSAR)</v>
      </c>
      <c r="E384" s="312" t="str">
        <f>IF($C384="","",IFERROR(VLOOKUP($C384,SERVIÇOS!$B:$G,3,0),IFERROR(VLOOKUP($C384,'COMPOSIÇÕES COMPLEMENTARES '!$D:$L,3,0),IFERROR(VLOOKUP($C384,INSUMOS!$A:$D,3,0),""))))</f>
        <v>UN</v>
      </c>
      <c r="F384" s="313">
        <v>4</v>
      </c>
      <c r="G384" s="314">
        <f>IF($C384="","",IFERROR(VLOOKUP($C384,SERVIÇOS!$B:$G,4,0),IFERROR(VLOOKUP($C384,'COMPOSIÇÕES COMPLEMENTARES '!$D:$L,6,0),IFERROR(VLOOKUP($C384,INSUMOS!$A:$D,4,0),""))))</f>
        <v>365.35</v>
      </c>
      <c r="H384" s="314">
        <f>IF($C384="","",IFERROR(VLOOKUP($C384,SERVIÇOS!$B:$G,5,0),IFERROR(VLOOKUP($C384,'COMPOSIÇÕES COMPLEMENTARES '!$D:$L,7,0),0)))</f>
        <v>18.079999999999998</v>
      </c>
      <c r="I384" s="314">
        <f t="shared" si="32"/>
        <v>383.43</v>
      </c>
      <c r="J384" s="314">
        <f t="shared" si="33"/>
        <v>1461.4</v>
      </c>
      <c r="K384" s="314">
        <f t="shared" si="34"/>
        <v>72.319999999999993</v>
      </c>
      <c r="L384" s="948">
        <f t="shared" si="35"/>
        <v>1533.72</v>
      </c>
      <c r="M384" s="374">
        <f t="shared" si="36"/>
        <v>5438572.9100000076</v>
      </c>
      <c r="N384" s="375">
        <f>+M384/L$815</f>
        <v>0.96298107953553169</v>
      </c>
      <c r="O384" s="376" t="str">
        <f>IF(N384&lt;0.5,"A",IF(N384&gt;0.8,"C","B"))</f>
        <v>C</v>
      </c>
    </row>
    <row r="385" spans="1:15" ht="25.5" x14ac:dyDescent="0.25">
      <c r="A385" s="232">
        <f t="shared" si="31"/>
        <v>385</v>
      </c>
      <c r="B385" s="232"/>
      <c r="C385" s="310">
        <v>104920</v>
      </c>
      <c r="D385" s="373" t="str">
        <f>IF($C385="","",IFERROR(VLOOKUP($C385,SERVIÇOS!$B:$G,2,0),IFERROR(VLOOKUP($C385,'COMPOSIÇÕES COMPLEMENTARES '!$D:$L,2,0),IFERROR(VLOOKUP($C385,INSUMOS!$A:$D,2,0),""))))</f>
        <v>ARMAÇÃO DE BLOCO, SAPATA ISOLADA, VIGA BALDRAME E SAPATA CORRIDA UTILIZANDO AÇO CA-50 DE 12,5 MM - MONTAGEM. AF_01/2024</v>
      </c>
      <c r="E385" s="312" t="str">
        <f>IF($C385="","",IFERROR(VLOOKUP($C385,SERVIÇOS!$B:$G,3,0),IFERROR(VLOOKUP($C385,'COMPOSIÇÕES COMPLEMENTARES '!$D:$L,3,0),IFERROR(VLOOKUP($C385,INSUMOS!$A:$D,3,0),""))))</f>
        <v>KG</v>
      </c>
      <c r="F385" s="313">
        <v>133</v>
      </c>
      <c r="G385" s="314">
        <f>IF($C385="","",IFERROR(VLOOKUP($C385,SERVIÇOS!$B:$G,4,0),IFERROR(VLOOKUP($C385,'COMPOSIÇÕES COMPLEMENTARES '!$D:$L,6,0),IFERROR(VLOOKUP($C385,INSUMOS!$A:$D,4,0),""))))</f>
        <v>9.02</v>
      </c>
      <c r="H385" s="314">
        <f>IF($C385="","",IFERROR(VLOOKUP($C385,SERVIÇOS!$B:$G,5,0),IFERROR(VLOOKUP($C385,'COMPOSIÇÕES COMPLEMENTARES '!$D:$L,7,0),0)))</f>
        <v>2.4</v>
      </c>
      <c r="I385" s="314">
        <f t="shared" si="32"/>
        <v>11.42</v>
      </c>
      <c r="J385" s="314">
        <f t="shared" si="33"/>
        <v>1199.6600000000001</v>
      </c>
      <c r="K385" s="314">
        <f t="shared" si="34"/>
        <v>319.2</v>
      </c>
      <c r="L385" s="948">
        <f t="shared" si="35"/>
        <v>1518.86</v>
      </c>
      <c r="M385" s="374">
        <f t="shared" si="36"/>
        <v>5440091.7700000079</v>
      </c>
      <c r="N385" s="375">
        <f>+M385/L$815</f>
        <v>0.96325001652813402</v>
      </c>
      <c r="O385" s="376" t="str">
        <f>IF(N385&lt;0.5,"A",IF(N385&gt;0.8,"C","B"))</f>
        <v>C</v>
      </c>
    </row>
    <row r="386" spans="1:15" x14ac:dyDescent="0.25">
      <c r="A386" s="232">
        <f t="shared" si="31"/>
        <v>386</v>
      </c>
      <c r="B386" s="232"/>
      <c r="C386" s="310" t="s">
        <v>12288</v>
      </c>
      <c r="D386" s="373" t="str">
        <f>IF($C386="","",IFERROR(VLOOKUP($C386,SERVIÇOS!$B:$G,2,0),IFERROR(VLOOKUP($C386,'COMPOSIÇÕES COMPLEMENTARES '!$D:$L,2,0),IFERROR(VLOOKUP($C386,INSUMOS!$A:$D,2,0),""))))</f>
        <v>CABO FLEXÍVEL MULTIPOLAR ISOL. 1KV  - 4X#4,0MM² - AFUMEX (PARA ALIMENTAÇÃO MÁQUINAS DE AR)</v>
      </c>
      <c r="E386" s="312" t="str">
        <f>IF($C386="","",IFERROR(VLOOKUP($C386,SERVIÇOS!$B:$G,3,0),IFERROR(VLOOKUP($C386,'COMPOSIÇÕES COMPLEMENTARES '!$D:$L,3,0),IFERROR(VLOOKUP($C386,INSUMOS!$A:$D,3,0),""))))</f>
        <v>M</v>
      </c>
      <c r="F386" s="313">
        <v>70</v>
      </c>
      <c r="G386" s="314">
        <f>IF($C386="","",IFERROR(VLOOKUP($C386,SERVIÇOS!$B:$G,4,0),IFERROR(VLOOKUP($C386,'COMPOSIÇÕES COMPLEMENTARES '!$D:$L,6,0),IFERROR(VLOOKUP($C386,INSUMOS!$A:$D,4,0),""))))</f>
        <v>19.55</v>
      </c>
      <c r="H386" s="314">
        <f>IF($C386="","",IFERROR(VLOOKUP($C386,SERVIÇOS!$B:$G,5,0),IFERROR(VLOOKUP($C386,'COMPOSIÇÕES COMPLEMENTARES '!$D:$L,7,0),0)))</f>
        <v>1.87</v>
      </c>
      <c r="I386" s="314">
        <f t="shared" si="32"/>
        <v>21.42</v>
      </c>
      <c r="J386" s="314">
        <f t="shared" si="33"/>
        <v>1368.5</v>
      </c>
      <c r="K386" s="314">
        <f t="shared" si="34"/>
        <v>130.9</v>
      </c>
      <c r="L386" s="948">
        <f t="shared" si="35"/>
        <v>1499.4</v>
      </c>
      <c r="M386" s="374">
        <f t="shared" si="36"/>
        <v>5441591.1700000083</v>
      </c>
      <c r="N386" s="375">
        <f>+M386/L$815</f>
        <v>0.96351550783523787</v>
      </c>
      <c r="O386" s="376" t="str">
        <f>IF(N386&lt;0.5,"A",IF(N386&gt;0.8,"C","B"))</f>
        <v>C</v>
      </c>
    </row>
    <row r="387" spans="1:15" x14ac:dyDescent="0.25">
      <c r="A387" s="232">
        <f t="shared" si="31"/>
        <v>387</v>
      </c>
      <c r="B387" s="232"/>
      <c r="C387" s="310">
        <v>101898</v>
      </c>
      <c r="D387" s="373" t="str">
        <f>IF($C387="","",IFERROR(VLOOKUP($C387,SERVIÇOS!$B:$G,2,0),IFERROR(VLOOKUP($C387,'COMPOSIÇÕES COMPLEMENTARES '!$D:$L,2,0),IFERROR(VLOOKUP($C387,INSUMOS!$A:$D,2,0),""))))</f>
        <v>DISJUNTOR TERMOMAGNÉTICO TRIPOLAR , CORRENTE NOMINAL DE 400A - FORNECIMENTO E INSTALAÇÃO. AF_10/2020</v>
      </c>
      <c r="E387" s="312" t="str">
        <f>IF($C387="","",IFERROR(VLOOKUP($C387,SERVIÇOS!$B:$G,3,0),IFERROR(VLOOKUP($C387,'COMPOSIÇÕES COMPLEMENTARES '!$D:$L,3,0),IFERROR(VLOOKUP($C387,INSUMOS!$A:$D,3,0),""))))</f>
        <v>UN</v>
      </c>
      <c r="F387" s="313">
        <v>1</v>
      </c>
      <c r="G387" s="314">
        <f>IF($C387="","",IFERROR(VLOOKUP($C387,SERVIÇOS!$B:$G,4,0),IFERROR(VLOOKUP($C387,'COMPOSIÇÕES COMPLEMENTARES '!$D:$L,6,0),IFERROR(VLOOKUP($C387,INSUMOS!$A:$D,4,0),""))))</f>
        <v>1411.22</v>
      </c>
      <c r="H387" s="314">
        <f>IF($C387="","",IFERROR(VLOOKUP($C387,SERVIÇOS!$B:$G,5,0),IFERROR(VLOOKUP($C387,'COMPOSIÇÕES COMPLEMENTARES '!$D:$L,7,0),0)))</f>
        <v>65.56</v>
      </c>
      <c r="I387" s="314">
        <f t="shared" si="32"/>
        <v>1476.78</v>
      </c>
      <c r="J387" s="314">
        <f t="shared" si="33"/>
        <v>1411.22</v>
      </c>
      <c r="K387" s="314">
        <f t="shared" si="34"/>
        <v>65.56</v>
      </c>
      <c r="L387" s="948">
        <f t="shared" si="35"/>
        <v>1476.78</v>
      </c>
      <c r="M387" s="374">
        <f t="shared" si="36"/>
        <v>5443067.9500000086</v>
      </c>
      <c r="N387" s="375">
        <f>+M387/L$815</f>
        <v>0.9637769939313463</v>
      </c>
      <c r="O387" s="376" t="str">
        <f>IF(N387&lt;0.5,"A",IF(N387&gt;0.8,"C","B"))</f>
        <v>C</v>
      </c>
    </row>
    <row r="388" spans="1:15" x14ac:dyDescent="0.25">
      <c r="A388" s="232">
        <f t="shared" si="31"/>
        <v>388</v>
      </c>
      <c r="B388" s="232"/>
      <c r="C388" s="310" t="s">
        <v>12337</v>
      </c>
      <c r="D388" s="373" t="str">
        <f>IF($C388="","",IFERROR(VLOOKUP($C388,SERVIÇOS!$B:$G,2,0),IFERROR(VLOOKUP($C388,'COMPOSIÇÕES COMPLEMENTARES '!$D:$L,2,0),IFERROR(VLOOKUP($C388,INSUMOS!$A:$D,2,0),""))))</f>
        <v>SOLDA EXOTÉRMICA  CABO PASSANTE/ HASTE</v>
      </c>
      <c r="E388" s="312" t="str">
        <f>IF($C388="","",IFERROR(VLOOKUP($C388,SERVIÇOS!$B:$G,3,0),IFERROR(VLOOKUP($C388,'COMPOSIÇÕES COMPLEMENTARES '!$D:$L,3,0),IFERROR(VLOOKUP($C388,INSUMOS!$A:$D,3,0),""))))</f>
        <v>UN</v>
      </c>
      <c r="F388" s="313">
        <v>23</v>
      </c>
      <c r="G388" s="314">
        <f>IF($C388="","",IFERROR(VLOOKUP($C388,SERVIÇOS!$B:$G,4,0),IFERROR(VLOOKUP($C388,'COMPOSIÇÕES COMPLEMENTARES '!$D:$L,6,0),IFERROR(VLOOKUP($C388,INSUMOS!$A:$D,4,0),""))))</f>
        <v>39.11</v>
      </c>
      <c r="H388" s="314">
        <f>IF($C388="","",IFERROR(VLOOKUP($C388,SERVIÇOS!$B:$G,5,0),IFERROR(VLOOKUP($C388,'COMPOSIÇÕES COMPLEMENTARES '!$D:$L,7,0),0)))</f>
        <v>24.77</v>
      </c>
      <c r="I388" s="314">
        <f t="shared" si="32"/>
        <v>63.879999999999995</v>
      </c>
      <c r="J388" s="314">
        <f t="shared" si="33"/>
        <v>899.53</v>
      </c>
      <c r="K388" s="314">
        <f t="shared" si="34"/>
        <v>569.71</v>
      </c>
      <c r="L388" s="948">
        <f t="shared" si="35"/>
        <v>1469.24</v>
      </c>
      <c r="M388" s="374">
        <f t="shared" si="36"/>
        <v>5444537.1900000088</v>
      </c>
      <c r="N388" s="375">
        <f>+M388/L$815</f>
        <v>0.96403714495712289</v>
      </c>
      <c r="O388" s="376" t="str">
        <f>IF(N388&lt;0.5,"A",IF(N388&gt;0.8,"C","B"))</f>
        <v>C</v>
      </c>
    </row>
    <row r="389" spans="1:15" ht="38.25" x14ac:dyDescent="0.25">
      <c r="A389" s="232">
        <f t="shared" si="31"/>
        <v>389</v>
      </c>
      <c r="B389" s="232"/>
      <c r="C389" s="310" t="s">
        <v>12475</v>
      </c>
      <c r="D389" s="373" t="str">
        <f>IF($C389="","",IFERROR(VLOOKUP($C389,SERVIÇOS!$B:$G,2,0),IFERROR(VLOOKUP($C389,'COMPOSIÇÕES COMPLEMENTARES '!$D:$L,2,0),IFERROR(VLOOKUP($C389,INSUMOS!$A:$D,2,0),""))))</f>
        <v>DAMPER CORTA FOGO E FUMAÇA, EM CHAPA DE AÇO ZINCADO CONFORME NBR 7008 ZC, REVESTIMENTO B, DE FECHAMENTO AUTOMÁTICO, DE TEMPO DE RESISTÊNCIA AO FOGO DE 90 MINUTOS, DIMENSÕES 300X150MM COM ELEMENTO FUSÍVEL 72°C, CHAVE FIM DE CURSO E SOLENÓIDE DE DISPARO E SOLENÓIDE. REFERÊNCIA: TROX FKA-TI-BR-90 OU EQUIVALENTE TÉCNICO</v>
      </c>
      <c r="E389" s="312" t="str">
        <f>IF($C389="","",IFERROR(VLOOKUP($C389,SERVIÇOS!$B:$G,3,0),IFERROR(VLOOKUP($C389,'COMPOSIÇÕES COMPLEMENTARES '!$D:$L,3,0),IFERROR(VLOOKUP($C389,INSUMOS!$A:$D,3,0),""))))</f>
        <v>UN</v>
      </c>
      <c r="F389" s="313">
        <v>5</v>
      </c>
      <c r="G389" s="314">
        <f>IF($C389="","",IFERROR(VLOOKUP($C389,SERVIÇOS!$B:$G,4,0),IFERROR(VLOOKUP($C389,'COMPOSIÇÕES COMPLEMENTARES '!$D:$L,6,0),IFERROR(VLOOKUP($C389,INSUMOS!$A:$D,4,0),""))))</f>
        <v>279.57</v>
      </c>
      <c r="H389" s="314">
        <f>IF($C389="","",IFERROR(VLOOKUP($C389,SERVIÇOS!$B:$G,5,0),IFERROR(VLOOKUP($C389,'COMPOSIÇÕES COMPLEMENTARES '!$D:$L,7,0),0)))</f>
        <v>11.05</v>
      </c>
      <c r="I389" s="314">
        <f t="shared" si="32"/>
        <v>290.62</v>
      </c>
      <c r="J389" s="314">
        <f t="shared" si="33"/>
        <v>1397.85</v>
      </c>
      <c r="K389" s="314">
        <f t="shared" si="34"/>
        <v>55.25</v>
      </c>
      <c r="L389" s="948">
        <f t="shared" si="35"/>
        <v>1453.1</v>
      </c>
      <c r="M389" s="374">
        <f t="shared" si="36"/>
        <v>5445990.2900000084</v>
      </c>
      <c r="N389" s="375">
        <f>+M389/L$815</f>
        <v>0.96429443815330296</v>
      </c>
      <c r="O389" s="376" t="str">
        <f>IF(N389&lt;0.5,"A",IF(N389&gt;0.8,"C","B"))</f>
        <v>C</v>
      </c>
    </row>
    <row r="390" spans="1:15" ht="25.5" x14ac:dyDescent="0.25">
      <c r="A390" s="232">
        <f t="shared" si="31"/>
        <v>390</v>
      </c>
      <c r="B390" s="232"/>
      <c r="C390" s="310">
        <v>100978</v>
      </c>
      <c r="D390" s="373" t="str">
        <f>IF($C390="","",IFERROR(VLOOKUP($C390,SERVIÇOS!$B:$G,2,0),IFERROR(VLOOKUP($C390,'COMPOSIÇÕES COMPLEMENTARES '!$D:$L,2,0),IFERROR(VLOOKUP($C390,INSUMOS!$A:$D,2,0),""))))</f>
        <v>CARGA, MANOBRA E DESCARGA DE SOLOS E MATERIAIS GRANULARES EM CAMINHÃO BASCULANTE 10 M³ - CARGA COM ESCAVADEIRA HIDRÁULICA (CAÇAMBA DE 1,20 M³ / 155 HP) E DESCARGA LIVRE (UNIDADE: M3). AF_07/2020</v>
      </c>
      <c r="E390" s="312" t="str">
        <f>IF($C390="","",IFERROR(VLOOKUP($C390,SERVIÇOS!$B:$G,3,0),IFERROR(VLOOKUP($C390,'COMPOSIÇÕES COMPLEMENTARES '!$D:$L,3,0),IFERROR(VLOOKUP($C390,INSUMOS!$A:$D,3,0),""))))</f>
        <v>M3</v>
      </c>
      <c r="F390" s="313">
        <v>191.96</v>
      </c>
      <c r="G390" s="314">
        <f>IF($C390="","",IFERROR(VLOOKUP($C390,SERVIÇOS!$B:$G,4,0),IFERROR(VLOOKUP($C390,'COMPOSIÇÕES COMPLEMENTARES '!$D:$L,6,0),IFERROR(VLOOKUP($C390,INSUMOS!$A:$D,4,0),""))))</f>
        <v>6.4</v>
      </c>
      <c r="H390" s="314">
        <f>IF($C390="","",IFERROR(VLOOKUP($C390,SERVIÇOS!$B:$G,5,0),IFERROR(VLOOKUP($C390,'COMPOSIÇÕES COMPLEMENTARES '!$D:$L,7,0),0)))</f>
        <v>1.1399999999999999</v>
      </c>
      <c r="I390" s="314">
        <f t="shared" si="32"/>
        <v>7.54</v>
      </c>
      <c r="J390" s="314">
        <f t="shared" si="33"/>
        <v>1228.54</v>
      </c>
      <c r="K390" s="314">
        <f t="shared" si="34"/>
        <v>218.83</v>
      </c>
      <c r="L390" s="948">
        <f t="shared" si="35"/>
        <v>1447.37</v>
      </c>
      <c r="M390" s="374">
        <f t="shared" si="36"/>
        <v>5447437.6600000085</v>
      </c>
      <c r="N390" s="375">
        <f>+M390/L$815</f>
        <v>0.96455071676685711</v>
      </c>
      <c r="O390" s="376" t="str">
        <f>IF(N390&lt;0.5,"A",IF(N390&gt;0.8,"C","B"))</f>
        <v>C</v>
      </c>
    </row>
    <row r="391" spans="1:15" x14ac:dyDescent="0.25">
      <c r="A391" s="232">
        <f t="shared" si="31"/>
        <v>391</v>
      </c>
      <c r="B391" s="232"/>
      <c r="C391" s="310" t="s">
        <v>12220</v>
      </c>
      <c r="D391" s="373" t="str">
        <f>IF($C391="","",IFERROR(VLOOKUP($C391,SERVIÇOS!$B:$G,2,0),IFERROR(VLOOKUP($C391,'COMPOSIÇÕES COMPLEMENTARES '!$D:$L,2,0),IFERROR(VLOOKUP($C391,INSUMOS!$A:$D,2,0),""))))</f>
        <v>ELETRODUTO RÍGIDO ROSCÁVEL, PVC, DN 32 MM (1"), INCLUSO CONEXÕES - FORNECIMENTO E INSTALAÇÃO</v>
      </c>
      <c r="E391" s="312" t="str">
        <f>IF($C391="","",IFERROR(VLOOKUP($C391,SERVIÇOS!$B:$G,3,0),IFERROR(VLOOKUP($C391,'COMPOSIÇÕES COMPLEMENTARES '!$D:$L,3,0),IFERROR(VLOOKUP($C391,INSUMOS!$A:$D,3,0),""))))</f>
        <v>M</v>
      </c>
      <c r="F391" s="313">
        <v>45</v>
      </c>
      <c r="G391" s="314">
        <f>IF($C391="","",IFERROR(VLOOKUP($C391,SERVIÇOS!$B:$G,4,0),IFERROR(VLOOKUP($C391,'COMPOSIÇÕES COMPLEMENTARES '!$D:$L,6,0),IFERROR(VLOOKUP($C391,INSUMOS!$A:$D,4,0),""))))</f>
        <v>20.07</v>
      </c>
      <c r="H391" s="314">
        <f>IF($C391="","",IFERROR(VLOOKUP($C391,SERVIÇOS!$B:$G,5,0),IFERROR(VLOOKUP($C391,'COMPOSIÇÕES COMPLEMENTARES '!$D:$L,7,0),0)))</f>
        <v>12.07</v>
      </c>
      <c r="I391" s="314">
        <f t="shared" si="32"/>
        <v>32.14</v>
      </c>
      <c r="J391" s="314">
        <f t="shared" si="33"/>
        <v>903.15</v>
      </c>
      <c r="K391" s="314">
        <f t="shared" si="34"/>
        <v>543.15</v>
      </c>
      <c r="L391" s="948">
        <f t="shared" si="35"/>
        <v>1446.3</v>
      </c>
      <c r="M391" s="374">
        <f t="shared" si="36"/>
        <v>5448883.9600000083</v>
      </c>
      <c r="N391" s="375">
        <f>+M391/L$815</f>
        <v>0.96480680592082813</v>
      </c>
      <c r="O391" s="376" t="str">
        <f>IF(N391&lt;0.5,"A",IF(N391&gt;0.8,"C","B"))</f>
        <v>C</v>
      </c>
    </row>
    <row r="392" spans="1:15" ht="25.5" x14ac:dyDescent="0.25">
      <c r="A392" s="232">
        <f t="shared" si="31"/>
        <v>392</v>
      </c>
      <c r="B392" s="232"/>
      <c r="C392" s="310">
        <v>91997</v>
      </c>
      <c r="D392" s="373" t="str">
        <f>IF($C392="","",IFERROR(VLOOKUP($C392,SERVIÇOS!$B:$G,2,0),IFERROR(VLOOKUP($C392,'COMPOSIÇÕES COMPLEMENTARES '!$D:$L,2,0),IFERROR(VLOOKUP($C392,INSUMOS!$A:$D,2,0),""))))</f>
        <v>TOMADA MÉDIA DE EMBUTIR (1 MÓDULO), 2P+T 20 A, INCLUINDO SUPORTE E PLACA - FORNECIMENTO E INSTALAÇÃO. AF_03/2023</v>
      </c>
      <c r="E392" s="312" t="str">
        <f>IF($C392="","",IFERROR(VLOOKUP($C392,SERVIÇOS!$B:$G,3,0),IFERROR(VLOOKUP($C392,'COMPOSIÇÕES COMPLEMENTARES '!$D:$L,3,0),IFERROR(VLOOKUP($C392,INSUMOS!$A:$D,3,0),""))))</f>
        <v>UN</v>
      </c>
      <c r="F392" s="313">
        <v>31</v>
      </c>
      <c r="G392" s="314">
        <f>IF($C392="","",IFERROR(VLOOKUP($C392,SERVIÇOS!$B:$G,4,0),IFERROR(VLOOKUP($C392,'COMPOSIÇÕES COMPLEMENTARES '!$D:$L,6,0),IFERROR(VLOOKUP($C392,INSUMOS!$A:$D,4,0),""))))</f>
        <v>24.26</v>
      </c>
      <c r="H392" s="314">
        <f>IF($C392="","",IFERROR(VLOOKUP($C392,SERVIÇOS!$B:$G,5,0),IFERROR(VLOOKUP($C392,'COMPOSIÇÕES COMPLEMENTARES '!$D:$L,7,0),0)))</f>
        <v>22.03</v>
      </c>
      <c r="I392" s="314">
        <f t="shared" si="32"/>
        <v>46.290000000000006</v>
      </c>
      <c r="J392" s="314">
        <f t="shared" si="33"/>
        <v>752.06</v>
      </c>
      <c r="K392" s="314">
        <f t="shared" si="34"/>
        <v>682.93</v>
      </c>
      <c r="L392" s="948">
        <f t="shared" si="35"/>
        <v>1434.99</v>
      </c>
      <c r="M392" s="374">
        <f t="shared" si="36"/>
        <v>5450318.9500000086</v>
      </c>
      <c r="N392" s="375">
        <f>+M392/L$815</f>
        <v>0.9650608924693016</v>
      </c>
      <c r="O392" s="376" t="str">
        <f>IF(N392&lt;0.5,"A",IF(N392&gt;0.8,"C","B"))</f>
        <v>C</v>
      </c>
    </row>
    <row r="393" spans="1:15" ht="38.25" x14ac:dyDescent="0.25">
      <c r="A393" s="232">
        <f t="shared" si="31"/>
        <v>393</v>
      </c>
      <c r="B393" s="232"/>
      <c r="C393" s="310" t="s">
        <v>12474</v>
      </c>
      <c r="D393" s="373" t="str">
        <f>IF($C393="","",IFERROR(VLOOKUP($C393,SERVIÇOS!$B:$G,2,0),IFERROR(VLOOKUP($C393,'COMPOSIÇÕES COMPLEMENTARES '!$D:$L,2,0),IFERROR(VLOOKUP($C393,INSUMOS!$A:$D,2,0),""))))</f>
        <v>DAMPER CORTA FOGO E FUMAÇA, EM CHAPA DE AÇO ZINCADO CONFORME NBR 7008 ZC, REVESTIMENTO B, DE FECHAMENTO AUTOMÁTICO, DE TEMPO DE RESISTÊNCIA AO FOGO DE 90 MINUTOS, DIMENSÕES 750X300MM COM ELEMENTO FUSÍVEL 72°C, CHAVE FIM DE CURSO E SOLENÓIDE DE DISPARO E SOLENÓIDE. REFERÊNCIA: TROX FKA-TI-BR-90 OU EQUIVALENTE TÉCNICO</v>
      </c>
      <c r="E393" s="312" t="str">
        <f>IF($C393="","",IFERROR(VLOOKUP($C393,SERVIÇOS!$B:$G,3,0),IFERROR(VLOOKUP($C393,'COMPOSIÇÕES COMPLEMENTARES '!$D:$L,3,0),IFERROR(VLOOKUP($C393,INSUMOS!$A:$D,3,0),""))))</f>
        <v>UN</v>
      </c>
      <c r="F393" s="313">
        <v>1</v>
      </c>
      <c r="G393" s="314">
        <f>IF($C393="","",IFERROR(VLOOKUP($C393,SERVIÇOS!$B:$G,4,0),IFERROR(VLOOKUP($C393,'COMPOSIÇÕES COMPLEMENTARES '!$D:$L,6,0),IFERROR(VLOOKUP($C393,INSUMOS!$A:$D,4,0),""))))</f>
        <v>1383.67</v>
      </c>
      <c r="H393" s="314">
        <f>IF($C393="","",IFERROR(VLOOKUP($C393,SERVIÇOS!$B:$G,5,0),IFERROR(VLOOKUP($C393,'COMPOSIÇÕES COMPLEMENTARES '!$D:$L,7,0),0)))</f>
        <v>16.96</v>
      </c>
      <c r="I393" s="314">
        <f t="shared" si="32"/>
        <v>1400.63</v>
      </c>
      <c r="J393" s="314">
        <f t="shared" si="33"/>
        <v>1383.67</v>
      </c>
      <c r="K393" s="314">
        <f t="shared" si="34"/>
        <v>16.96</v>
      </c>
      <c r="L393" s="948">
        <f t="shared" si="35"/>
        <v>1400.63</v>
      </c>
      <c r="M393" s="374">
        <f t="shared" si="36"/>
        <v>5451719.5800000085</v>
      </c>
      <c r="N393" s="375">
        <f>+M393/L$815</f>
        <v>0.96530889506331841</v>
      </c>
      <c r="O393" s="376" t="str">
        <f>IF(N393&lt;0.5,"A",IF(N393&gt;0.8,"C","B"))</f>
        <v>C</v>
      </c>
    </row>
    <row r="394" spans="1:15" x14ac:dyDescent="0.25">
      <c r="A394" s="232">
        <f t="shared" ref="A394:A457" si="37">1+A393</f>
        <v>394</v>
      </c>
      <c r="B394" s="232"/>
      <c r="C394" s="310" t="s">
        <v>12314</v>
      </c>
      <c r="D394" s="373" t="str">
        <f>IF($C394="","",IFERROR(VLOOKUP($C394,SERVIÇOS!$B:$G,2,0),IFERROR(VLOOKUP($C394,'COMPOSIÇÕES COMPLEMENTARES '!$D:$L,2,0),IFERROR(VLOOKUP($C394,INSUMOS!$A:$D,2,0),""))))</f>
        <v>PATCH CORD RJ45 - RJ45 CAT.6, NA COR AZUL, COM UM COMPRIMENTO DE 1 METRO - REDE</v>
      </c>
      <c r="E394" s="312" t="str">
        <f>IF($C394="","",IFERROR(VLOOKUP($C394,SERVIÇOS!$B:$G,3,0),IFERROR(VLOOKUP($C394,'COMPOSIÇÕES COMPLEMENTARES '!$D:$L,3,0),IFERROR(VLOOKUP($C394,INSUMOS!$A:$D,3,0),""))))</f>
        <v>UN</v>
      </c>
      <c r="F394" s="313">
        <v>25</v>
      </c>
      <c r="G394" s="314">
        <f>IF($C394="","",IFERROR(VLOOKUP($C394,SERVIÇOS!$B:$G,4,0),IFERROR(VLOOKUP($C394,'COMPOSIÇÕES COMPLEMENTARES '!$D:$L,6,0),IFERROR(VLOOKUP($C394,INSUMOS!$A:$D,4,0),""))))</f>
        <v>50.66</v>
      </c>
      <c r="H394" s="314">
        <f>IF($C394="","",IFERROR(VLOOKUP($C394,SERVIÇOS!$B:$G,5,0),IFERROR(VLOOKUP($C394,'COMPOSIÇÕES COMPLEMENTARES '!$D:$L,7,0),0)))</f>
        <v>4.9400000000000004</v>
      </c>
      <c r="I394" s="314">
        <f t="shared" ref="I394:I457" si="38">IF(F394="","",G394+H394)</f>
        <v>55.599999999999994</v>
      </c>
      <c r="J394" s="314">
        <f t="shared" ref="J394:J457" si="39">IF(F394="","",TRUNC((F394*G394),2))</f>
        <v>1266.5</v>
      </c>
      <c r="K394" s="314">
        <f t="shared" ref="K394:K457" si="40">IF(F394="","",TRUNC((F394*H394),2))</f>
        <v>123.5</v>
      </c>
      <c r="L394" s="948">
        <f t="shared" ref="L394:L457" si="41">IF(F394="","",TRUNC((J394+K394),2))</f>
        <v>1390</v>
      </c>
      <c r="M394" s="374">
        <f t="shared" si="36"/>
        <v>5453109.5800000085</v>
      </c>
      <c r="N394" s="375">
        <f>+M394/L$815</f>
        <v>0.96555501545605849</v>
      </c>
      <c r="O394" s="376" t="str">
        <f>IF(N394&lt;0.5,"A",IF(N394&gt;0.8,"C","B"))</f>
        <v>C</v>
      </c>
    </row>
    <row r="395" spans="1:15" x14ac:dyDescent="0.25">
      <c r="A395" s="232">
        <f t="shared" si="37"/>
        <v>395</v>
      </c>
      <c r="B395" s="232"/>
      <c r="C395" s="310" t="s">
        <v>12289</v>
      </c>
      <c r="D395" s="373" t="str">
        <f>IF($C395="","",IFERROR(VLOOKUP($C395,SERVIÇOS!$B:$G,2,0),IFERROR(VLOOKUP($C395,'COMPOSIÇÕES COMPLEMENTARES '!$D:$L,2,0),IFERROR(VLOOKUP($C395,INSUMOS!$A:$D,2,0),""))))</f>
        <v xml:space="preserve">CABO FLEXÍVEL MULTIPOLAR ISOL. 1KV  - 4X#10MM² - AFUMEX (PARA ALIMENTAÇÃO MÁQUINAS DE AR) </v>
      </c>
      <c r="E395" s="312" t="str">
        <f>IF($C395="","",IFERROR(VLOOKUP($C395,SERVIÇOS!$B:$G,3,0),IFERROR(VLOOKUP($C395,'COMPOSIÇÕES COMPLEMENTARES '!$D:$L,3,0),IFERROR(VLOOKUP($C395,INSUMOS!$A:$D,3,0),""))))</f>
        <v>M</v>
      </c>
      <c r="F395" s="313">
        <v>30</v>
      </c>
      <c r="G395" s="314">
        <f>IF($C395="","",IFERROR(VLOOKUP($C395,SERVIÇOS!$B:$G,4,0),IFERROR(VLOOKUP($C395,'COMPOSIÇÕES COMPLEMENTARES '!$D:$L,6,0),IFERROR(VLOOKUP($C395,INSUMOS!$A:$D,4,0),""))))</f>
        <v>44.17</v>
      </c>
      <c r="H395" s="314">
        <f>IF($C395="","",IFERROR(VLOOKUP($C395,SERVIÇOS!$B:$G,5,0),IFERROR(VLOOKUP($C395,'COMPOSIÇÕES COMPLEMENTARES '!$D:$L,7,0),0)))</f>
        <v>1.87</v>
      </c>
      <c r="I395" s="314">
        <f t="shared" si="38"/>
        <v>46.04</v>
      </c>
      <c r="J395" s="314">
        <f t="shared" si="39"/>
        <v>1325.1</v>
      </c>
      <c r="K395" s="314">
        <f t="shared" si="40"/>
        <v>56.1</v>
      </c>
      <c r="L395" s="948">
        <f t="shared" si="41"/>
        <v>1381.2</v>
      </c>
      <c r="M395" s="374">
        <f t="shared" ref="M395:M458" si="42">+L395+M394</f>
        <v>5454490.7800000086</v>
      </c>
      <c r="N395" s="375">
        <f>+M395/L$815</f>
        <v>0.96579957767652791</v>
      </c>
      <c r="O395" s="376" t="str">
        <f>IF(N395&lt;0.5,"A",IF(N395&gt;0.8,"C","B"))</f>
        <v>C</v>
      </c>
    </row>
    <row r="396" spans="1:15" ht="38.25" x14ac:dyDescent="0.25">
      <c r="A396" s="232">
        <f t="shared" si="37"/>
        <v>396</v>
      </c>
      <c r="B396" s="232"/>
      <c r="C396" s="310" t="s">
        <v>12368</v>
      </c>
      <c r="D396" s="373" t="str">
        <f>IF($C396="","",IFERROR(VLOOKUP($C396,SERVIÇOS!$B:$G,2,0),IFERROR(VLOOKUP($C396,'COMPOSIÇÕES COMPLEMENTARES '!$D:$L,2,0),IFERROR(VLOOKUP($C396,INSUMOS!$A:$D,2,0),""))))</f>
        <v>TOMADA/POSTO DE CONSUMO DE PAREDE PARA AR COMPRIMIDO MEDICINAL COM TARUGO INTERNO EMBUTIDO, VÁLVULA AUTOVEDANTE, PINO DE IMPACTO, CANOPLA EM MATERIAL PLÁSTICO DE ABS E ETIQUETA DE IDENTIFICAÇÃO DO POSTO - FORNECIMENTO E INSTALAÇÃO. REF: PROTEC, WHITE MARTINS, UNITEC HOSPITALAR, AIR LIQUIDE, VALMIG</v>
      </c>
      <c r="E396" s="312" t="str">
        <f>IF($C396="","",IFERROR(VLOOKUP($C396,SERVIÇOS!$B:$G,3,0),IFERROR(VLOOKUP($C396,'COMPOSIÇÕES COMPLEMENTARES '!$D:$L,3,0),IFERROR(VLOOKUP($C396,INSUMOS!$A:$D,3,0),""))))</f>
        <v>UN</v>
      </c>
      <c r="F396" s="313">
        <v>14</v>
      </c>
      <c r="G396" s="314">
        <f>IF($C396="","",IFERROR(VLOOKUP($C396,SERVIÇOS!$B:$G,4,0),IFERROR(VLOOKUP($C396,'COMPOSIÇÕES COMPLEMENTARES '!$D:$L,6,0),IFERROR(VLOOKUP($C396,INSUMOS!$A:$D,4,0),""))))</f>
        <v>73.650000000000006</v>
      </c>
      <c r="H396" s="314">
        <f>IF($C396="","",IFERROR(VLOOKUP($C396,SERVIÇOS!$B:$G,5,0),IFERROR(VLOOKUP($C396,'COMPOSIÇÕES COMPLEMENTARES '!$D:$L,7,0),0)))</f>
        <v>24.3</v>
      </c>
      <c r="I396" s="314">
        <f t="shared" si="38"/>
        <v>97.95</v>
      </c>
      <c r="J396" s="314">
        <f t="shared" si="39"/>
        <v>1031.0999999999999</v>
      </c>
      <c r="K396" s="314">
        <f t="shared" si="40"/>
        <v>340.2</v>
      </c>
      <c r="L396" s="948">
        <f t="shared" si="41"/>
        <v>1371.3</v>
      </c>
      <c r="M396" s="374">
        <f t="shared" si="42"/>
        <v>5455862.0800000085</v>
      </c>
      <c r="N396" s="375">
        <f>+M396/L$815</f>
        <v>0.96604238695319289</v>
      </c>
      <c r="O396" s="376" t="str">
        <f>IF(N396&lt;0.5,"A",IF(N396&gt;0.8,"C","B"))</f>
        <v>C</v>
      </c>
    </row>
    <row r="397" spans="1:15" ht="25.5" x14ac:dyDescent="0.25">
      <c r="A397" s="232">
        <f t="shared" si="37"/>
        <v>397</v>
      </c>
      <c r="B397" s="232"/>
      <c r="C397" s="310">
        <v>95470</v>
      </c>
      <c r="D397" s="373" t="str">
        <f>IF($C397="","",IFERROR(VLOOKUP($C397,SERVIÇOS!$B:$G,2,0),IFERROR(VLOOKUP($C397,'COMPOSIÇÕES COMPLEMENTARES '!$D:$L,2,0),IFERROR(VLOOKUP($C397,INSUMOS!$A:$D,2,0),""))))</f>
        <v>VASO SANITARIO SIFONADO CONVENCIONAL COM LOUÇA BRANCA, INCLUSO CONJUNTO DE LIGAÇÃO PARA BACIA SANITÁRIA AJUSTÁVEL - FORNECIMENTO E INSTALAÇÃO. AF_01/2020</v>
      </c>
      <c r="E397" s="312" t="str">
        <f>IF($C397="","",IFERROR(VLOOKUP($C397,SERVIÇOS!$B:$G,3,0),IFERROR(VLOOKUP($C397,'COMPOSIÇÕES COMPLEMENTARES '!$D:$L,3,0),IFERROR(VLOOKUP($C397,INSUMOS!$A:$D,3,0),""))))</f>
        <v>UN</v>
      </c>
      <c r="F397" s="313">
        <v>4</v>
      </c>
      <c r="G397" s="314">
        <f>IF($C397="","",IFERROR(VLOOKUP($C397,SERVIÇOS!$B:$G,4,0),IFERROR(VLOOKUP($C397,'COMPOSIÇÕES COMPLEMENTARES '!$D:$L,6,0),IFERROR(VLOOKUP($C397,INSUMOS!$A:$D,4,0),""))))</f>
        <v>321.33</v>
      </c>
      <c r="H397" s="314">
        <f>IF($C397="","",IFERROR(VLOOKUP($C397,SERVIÇOS!$B:$G,5,0),IFERROR(VLOOKUP($C397,'COMPOSIÇÕES COMPLEMENTARES '!$D:$L,7,0),0)))</f>
        <v>20.5</v>
      </c>
      <c r="I397" s="314">
        <f t="shared" si="38"/>
        <v>341.83</v>
      </c>
      <c r="J397" s="314">
        <f t="shared" si="39"/>
        <v>1285.32</v>
      </c>
      <c r="K397" s="314">
        <f t="shared" si="40"/>
        <v>82</v>
      </c>
      <c r="L397" s="948">
        <f t="shared" si="41"/>
        <v>1367.32</v>
      </c>
      <c r="M397" s="374">
        <f t="shared" si="42"/>
        <v>5457229.4000000088</v>
      </c>
      <c r="N397" s="375">
        <f>+M397/L$815</f>
        <v>0.96628449151103557</v>
      </c>
      <c r="O397" s="376" t="str">
        <f>IF(N397&lt;0.5,"A",IF(N397&gt;0.8,"C","B"))</f>
        <v>C</v>
      </c>
    </row>
    <row r="398" spans="1:15" x14ac:dyDescent="0.25">
      <c r="A398" s="232">
        <f t="shared" si="37"/>
        <v>398</v>
      </c>
      <c r="B398" s="232"/>
      <c r="C398" s="310">
        <v>93669</v>
      </c>
      <c r="D398" s="373" t="str">
        <f>IF($C398="","",IFERROR(VLOOKUP($C398,SERVIÇOS!$B:$G,2,0),IFERROR(VLOOKUP($C398,'COMPOSIÇÕES COMPLEMENTARES '!$D:$L,2,0),IFERROR(VLOOKUP($C398,INSUMOS!$A:$D,2,0),""))))</f>
        <v>DISJUNTOR TRIPOLAR TIPO DIN, CORRENTE NOMINAL DE 20A - FORNECIMENTO E INSTALAÇÃO. AF_10/2020</v>
      </c>
      <c r="E398" s="312" t="str">
        <f>IF($C398="","",IFERROR(VLOOKUP($C398,SERVIÇOS!$B:$G,3,0),IFERROR(VLOOKUP($C398,'COMPOSIÇÕES COMPLEMENTARES '!$D:$L,3,0),IFERROR(VLOOKUP($C398,INSUMOS!$A:$D,3,0),""))))</f>
        <v>UN</v>
      </c>
      <c r="F398" s="313">
        <v>16</v>
      </c>
      <c r="G398" s="314">
        <f>IF($C398="","",IFERROR(VLOOKUP($C398,SERVIÇOS!$B:$G,4,0),IFERROR(VLOOKUP($C398,'COMPOSIÇÕES COMPLEMENTARES '!$D:$L,6,0),IFERROR(VLOOKUP($C398,INSUMOS!$A:$D,4,0),""))))</f>
        <v>75.510000000000005</v>
      </c>
      <c r="H398" s="314">
        <f>IF($C398="","",IFERROR(VLOOKUP($C398,SERVIÇOS!$B:$G,5,0),IFERROR(VLOOKUP($C398,'COMPOSIÇÕES COMPLEMENTARES '!$D:$L,7,0),0)))</f>
        <v>9.83</v>
      </c>
      <c r="I398" s="314">
        <f t="shared" si="38"/>
        <v>85.34</v>
      </c>
      <c r="J398" s="314">
        <f t="shared" si="39"/>
        <v>1208.1600000000001</v>
      </c>
      <c r="K398" s="314">
        <f t="shared" si="40"/>
        <v>157.28</v>
      </c>
      <c r="L398" s="948">
        <f t="shared" si="41"/>
        <v>1365.44</v>
      </c>
      <c r="M398" s="374">
        <f t="shared" si="42"/>
        <v>5458594.8400000092</v>
      </c>
      <c r="N398" s="375">
        <f>+M398/L$815</f>
        <v>0.96652626318662049</v>
      </c>
      <c r="O398" s="376" t="str">
        <f>IF(N398&lt;0.5,"A",IF(N398&gt;0.8,"C","B"))</f>
        <v>C</v>
      </c>
    </row>
    <row r="399" spans="1:15" ht="25.5" x14ac:dyDescent="0.25">
      <c r="A399" s="232">
        <f t="shared" si="37"/>
        <v>399</v>
      </c>
      <c r="B399" s="232"/>
      <c r="C399" s="310">
        <v>87549</v>
      </c>
      <c r="D399" s="373" t="str">
        <f>IF($C399="","",IFERROR(VLOOKUP($C399,SERVIÇOS!$B:$G,2,0),IFERROR(VLOOKUP($C399,'COMPOSIÇÕES COMPLEMENTARES '!$D:$L,2,0),IFERROR(VLOOKUP($C399,INSUMOS!$A:$D,2,0),""))))</f>
        <v>EMBOÇO, EM ARGAMASSA TRAÇO 1:2:8, PREPARO MECÂNICO, APLICADO MANUALMENTE EM PAREDES INTERNAS DE AMBIENTES COM ÁREA ENTRE 5M² E 10M², E = 10MM, COM TALISCAS. AF_03/2024</v>
      </c>
      <c r="E399" s="312" t="str">
        <f>IF($C399="","",IFERROR(VLOOKUP($C399,SERVIÇOS!$B:$G,3,0),IFERROR(VLOOKUP($C399,'COMPOSIÇÕES COMPLEMENTARES '!$D:$L,3,0),IFERROR(VLOOKUP($C399,INSUMOS!$A:$D,3,0),""))))</f>
        <v>M2</v>
      </c>
      <c r="F399" s="313">
        <v>47.02</v>
      </c>
      <c r="G399" s="314">
        <f>IF($C399="","",IFERROR(VLOOKUP($C399,SERVIÇOS!$B:$G,4,0),IFERROR(VLOOKUP($C399,'COMPOSIÇÕES COMPLEMENTARES '!$D:$L,6,0),IFERROR(VLOOKUP($C399,INSUMOS!$A:$D,4,0),""))))</f>
        <v>13.62</v>
      </c>
      <c r="H399" s="314">
        <f>IF($C399="","",IFERROR(VLOOKUP($C399,SERVIÇOS!$B:$G,5,0),IFERROR(VLOOKUP($C399,'COMPOSIÇÕES COMPLEMENTARES '!$D:$L,7,0),0)))</f>
        <v>15.12</v>
      </c>
      <c r="I399" s="314">
        <f t="shared" si="38"/>
        <v>28.74</v>
      </c>
      <c r="J399" s="314">
        <f t="shared" si="39"/>
        <v>640.41</v>
      </c>
      <c r="K399" s="314">
        <f t="shared" si="40"/>
        <v>710.94</v>
      </c>
      <c r="L399" s="948">
        <f t="shared" si="41"/>
        <v>1351.35</v>
      </c>
      <c r="M399" s="374">
        <f t="shared" si="42"/>
        <v>5459946.1900000088</v>
      </c>
      <c r="N399" s="375">
        <f>+M399/L$815</f>
        <v>0.96676554001592196</v>
      </c>
      <c r="O399" s="376" t="str">
        <f>IF(N399&lt;0.5,"A",IF(N399&gt;0.8,"C","B"))</f>
        <v>C</v>
      </c>
    </row>
    <row r="400" spans="1:15" x14ac:dyDescent="0.25">
      <c r="A400" s="232">
        <f t="shared" si="37"/>
        <v>400</v>
      </c>
      <c r="B400" s="232"/>
      <c r="C400" s="310" t="s">
        <v>11913</v>
      </c>
      <c r="D400" s="373" t="str">
        <f>IF($C400="","",IFERROR(VLOOKUP($C400,SERVIÇOS!$B:$G,2,0),IFERROR(VLOOKUP($C400,'COMPOSIÇÕES COMPLEMENTARES '!$D:$L,2,0),IFERROR(VLOOKUP($C400,INSUMOS!$A:$D,2,0),""))))</f>
        <v>PLACA DE OBRA EM CHAPA DE ACO GALVANIZADO</v>
      </c>
      <c r="E400" s="312" t="str">
        <f>IF($C400="","",IFERROR(VLOOKUP($C400,SERVIÇOS!$B:$G,3,0),IFERROR(VLOOKUP($C400,'COMPOSIÇÕES COMPLEMENTARES '!$D:$L,3,0),IFERROR(VLOOKUP($C400,INSUMOS!$A:$D,3,0),""))))</f>
        <v>M2</v>
      </c>
      <c r="F400" s="313">
        <v>2.5</v>
      </c>
      <c r="G400" s="314">
        <f>IF($C400="","",IFERROR(VLOOKUP($C400,SERVIÇOS!$B:$G,4,0),IFERROR(VLOOKUP($C400,'COMPOSIÇÕES COMPLEMENTARES '!$D:$L,6,0),IFERROR(VLOOKUP($C400,INSUMOS!$A:$D,4,0),""))))</f>
        <v>468.7</v>
      </c>
      <c r="H400" s="314">
        <f>IF($C400="","",IFERROR(VLOOKUP($C400,SERVIÇOS!$B:$G,5,0),IFERROR(VLOOKUP($C400,'COMPOSIÇÕES COMPLEMENTARES '!$D:$L,7,0),0)))</f>
        <v>67.2</v>
      </c>
      <c r="I400" s="314">
        <f t="shared" si="38"/>
        <v>535.9</v>
      </c>
      <c r="J400" s="314">
        <f t="shared" si="39"/>
        <v>1171.75</v>
      </c>
      <c r="K400" s="314">
        <f t="shared" si="40"/>
        <v>168</v>
      </c>
      <c r="L400" s="948">
        <f t="shared" si="41"/>
        <v>1339.75</v>
      </c>
      <c r="M400" s="374">
        <f t="shared" si="42"/>
        <v>5461285.9400000088</v>
      </c>
      <c r="N400" s="375">
        <f>+M400/L$815</f>
        <v>0.96700276289086695</v>
      </c>
      <c r="O400" s="376" t="str">
        <f>IF(N400&lt;0.5,"A",IF(N400&gt;0.8,"C","B"))</f>
        <v>C</v>
      </c>
    </row>
    <row r="401" spans="1:15" x14ac:dyDescent="0.25">
      <c r="A401" s="232">
        <f t="shared" si="37"/>
        <v>401</v>
      </c>
      <c r="B401" s="232"/>
      <c r="C401" s="310" t="s">
        <v>12315</v>
      </c>
      <c r="D401" s="373" t="str">
        <f>IF($C401="","",IFERROR(VLOOKUP($C401,SERVIÇOS!$B:$G,2,0),IFERROR(VLOOKUP($C401,'COMPOSIÇÕES COMPLEMENTARES '!$D:$L,2,0),IFERROR(VLOOKUP($C401,INSUMOS!$A:$D,2,0),""))))</f>
        <v>PATCH CORD RJ45 - RJ45 CAT.6, NA COR AMARELO, COM UM COMPRIMENTO DE 1 METRO - CFTV</v>
      </c>
      <c r="E401" s="312" t="str">
        <f>IF($C401="","",IFERROR(VLOOKUP($C401,SERVIÇOS!$B:$G,3,0),IFERROR(VLOOKUP($C401,'COMPOSIÇÕES COMPLEMENTARES '!$D:$L,3,0),IFERROR(VLOOKUP($C401,INSUMOS!$A:$D,3,0),""))))</f>
        <v>UN</v>
      </c>
      <c r="F401" s="313">
        <v>24</v>
      </c>
      <c r="G401" s="314">
        <f>IF($C401="","",IFERROR(VLOOKUP($C401,SERVIÇOS!$B:$G,4,0),IFERROR(VLOOKUP($C401,'COMPOSIÇÕES COMPLEMENTARES '!$D:$L,6,0),IFERROR(VLOOKUP($C401,INSUMOS!$A:$D,4,0),""))))</f>
        <v>50.66</v>
      </c>
      <c r="H401" s="314">
        <f>IF($C401="","",IFERROR(VLOOKUP($C401,SERVIÇOS!$B:$G,5,0),IFERROR(VLOOKUP($C401,'COMPOSIÇÕES COMPLEMENTARES '!$D:$L,7,0),0)))</f>
        <v>4.9400000000000004</v>
      </c>
      <c r="I401" s="314">
        <f t="shared" si="38"/>
        <v>55.599999999999994</v>
      </c>
      <c r="J401" s="314">
        <f t="shared" si="39"/>
        <v>1215.8399999999999</v>
      </c>
      <c r="K401" s="314">
        <f t="shared" si="40"/>
        <v>118.56</v>
      </c>
      <c r="L401" s="948">
        <f t="shared" si="41"/>
        <v>1334.4</v>
      </c>
      <c r="M401" s="374">
        <f t="shared" si="42"/>
        <v>5462620.3400000092</v>
      </c>
      <c r="N401" s="375">
        <f>+M401/L$815</f>
        <v>0.96723903846789738</v>
      </c>
      <c r="O401" s="376" t="str">
        <f>IF(N401&lt;0.5,"A",IF(N401&gt;0.8,"C","B"))</f>
        <v>C</v>
      </c>
    </row>
    <row r="402" spans="1:15" ht="25.5" x14ac:dyDescent="0.25">
      <c r="A402" s="232">
        <f t="shared" si="37"/>
        <v>402</v>
      </c>
      <c r="B402" s="232"/>
      <c r="C402" s="310">
        <v>97668</v>
      </c>
      <c r="D402" s="373" t="str">
        <f>IF($C402="","",IFERROR(VLOOKUP($C402,SERVIÇOS!$B:$G,2,0),IFERROR(VLOOKUP($C402,'COMPOSIÇÕES COMPLEMENTARES '!$D:$L,2,0),IFERROR(VLOOKUP($C402,INSUMOS!$A:$D,2,0),""))))</f>
        <v>ELETRODUTO FLEXÍVEL CORRUGADO, PEAD, DN 63 (2"), PARA REDE ENTERRADA DE DISTRIBUIÇÃO DE ENERGIA ELÉTRICA - FORNECIMENTO E INSTALAÇÃO. AF_12/2021</v>
      </c>
      <c r="E402" s="312" t="str">
        <f>IF($C402="","",IFERROR(VLOOKUP($C402,SERVIÇOS!$B:$G,3,0),IFERROR(VLOOKUP($C402,'COMPOSIÇÕES COMPLEMENTARES '!$D:$L,3,0),IFERROR(VLOOKUP($C402,INSUMOS!$A:$D,3,0),""))))</f>
        <v>M</v>
      </c>
      <c r="F402" s="313">
        <v>84</v>
      </c>
      <c r="G402" s="314">
        <f>IF($C402="","",IFERROR(VLOOKUP($C402,SERVIÇOS!$B:$G,4,0),IFERROR(VLOOKUP($C402,'COMPOSIÇÕES COMPLEMENTARES '!$D:$L,6,0),IFERROR(VLOOKUP($C402,INSUMOS!$A:$D,4,0),""))))</f>
        <v>11.19</v>
      </c>
      <c r="H402" s="314">
        <f>IF($C402="","",IFERROR(VLOOKUP($C402,SERVIÇOS!$B:$G,5,0),IFERROR(VLOOKUP($C402,'COMPOSIÇÕES COMPLEMENTARES '!$D:$L,7,0),0)))</f>
        <v>4.68</v>
      </c>
      <c r="I402" s="314">
        <f t="shared" si="38"/>
        <v>15.87</v>
      </c>
      <c r="J402" s="314">
        <f t="shared" si="39"/>
        <v>939.96</v>
      </c>
      <c r="K402" s="314">
        <f t="shared" si="40"/>
        <v>393.12</v>
      </c>
      <c r="L402" s="948">
        <f t="shared" si="41"/>
        <v>1333.08</v>
      </c>
      <c r="M402" s="374">
        <f t="shared" si="42"/>
        <v>5463953.4200000092</v>
      </c>
      <c r="N402" s="375">
        <f>+M402/L$815</f>
        <v>0.96747508031908724</v>
      </c>
      <c r="O402" s="376" t="str">
        <f>IF(N402&lt;0.5,"A",IF(N402&gt;0.8,"C","B"))</f>
        <v>C</v>
      </c>
    </row>
    <row r="403" spans="1:15" ht="38.25" x14ac:dyDescent="0.25">
      <c r="A403" s="232">
        <f t="shared" si="37"/>
        <v>403</v>
      </c>
      <c r="B403" s="232"/>
      <c r="C403" s="310">
        <v>94569</v>
      </c>
      <c r="D403" s="373" t="str">
        <f>IF($C403="","",IFERROR(VLOOKUP($C403,SERVIÇOS!$B:$G,2,0),IFERROR(VLOOKUP($C403,'COMPOSIÇÕES COMPLEMENTARES '!$D:$L,2,0),IFERROR(VLOOKUP($C403,INSUMOS!$A:$D,2,0),""))))</f>
        <v>JANELA DE ALUMÍNIO TIPO MAXIM-AR, BATENTE/ REQUADRO 3 A 14 CM, VIDRO INCLUSO, FIXAÇÃO COM PARAFUSO, SEM GUARNIÇÃO/ ALIZAR, DIMENSÕES 60X80 (A X L) CM, SEM ACABAMENTO, VEDAÇÃO COM SILICONE, EXCLUSIVE CONTRAMARCO - FORNECIMENTO E INSTALAÇÃO. AF_11/2024</v>
      </c>
      <c r="E403" s="312" t="str">
        <f>IF($C403="","",IFERROR(VLOOKUP($C403,SERVIÇOS!$B:$G,3,0),IFERROR(VLOOKUP($C403,'COMPOSIÇÕES COMPLEMENTARES '!$D:$L,3,0),IFERROR(VLOOKUP($C403,INSUMOS!$A:$D,3,0),""))))</f>
        <v>M2</v>
      </c>
      <c r="F403" s="313">
        <v>1.08</v>
      </c>
      <c r="G403" s="314">
        <f>IF($C403="","",IFERROR(VLOOKUP($C403,SERVIÇOS!$B:$G,4,0),IFERROR(VLOOKUP($C403,'COMPOSIÇÕES COMPLEMENTARES '!$D:$L,6,0),IFERROR(VLOOKUP($C403,INSUMOS!$A:$D,4,0),""))))</f>
        <v>1189.69</v>
      </c>
      <c r="H403" s="314">
        <f>IF($C403="","",IFERROR(VLOOKUP($C403,SERVIÇOS!$B:$G,5,0),IFERROR(VLOOKUP($C403,'COMPOSIÇÕES COMPLEMENTARES '!$D:$L,7,0),0)))</f>
        <v>37.799999999999997</v>
      </c>
      <c r="I403" s="314">
        <f t="shared" si="38"/>
        <v>1227.49</v>
      </c>
      <c r="J403" s="314">
        <f t="shared" si="39"/>
        <v>1284.8599999999999</v>
      </c>
      <c r="K403" s="314">
        <f t="shared" si="40"/>
        <v>40.82</v>
      </c>
      <c r="L403" s="948">
        <f t="shared" si="41"/>
        <v>1325.68</v>
      </c>
      <c r="M403" s="374">
        <f t="shared" si="42"/>
        <v>5465279.1000000089</v>
      </c>
      <c r="N403" s="375">
        <f>+M403/L$815</f>
        <v>0.96770981188904948</v>
      </c>
      <c r="O403" s="376" t="str">
        <f>IF(N403&lt;0.5,"A",IF(N403&gt;0.8,"C","B"))</f>
        <v>C</v>
      </c>
    </row>
    <row r="404" spans="1:15" x14ac:dyDescent="0.25">
      <c r="A404" s="232">
        <f t="shared" si="37"/>
        <v>404</v>
      </c>
      <c r="B404" s="232"/>
      <c r="C404" s="310">
        <v>99626</v>
      </c>
      <c r="D404" s="373" t="str">
        <f>IF($C404="","",IFERROR(VLOOKUP($C404,SERVIÇOS!$B:$G,2,0),IFERROR(VLOOKUP($C404,'COMPOSIÇÕES COMPLEMENTARES '!$D:$L,2,0),IFERROR(VLOOKUP($C404,INSUMOS!$A:$D,2,0),""))))</f>
        <v>VÁLVULA DE RETENÇÃO HORIZONTAL, DE BRONZE, ROSCÁVEL, 4" - FORNECIMENTO E INSTALAÇÃO. AF_08/2021</v>
      </c>
      <c r="E404" s="312" t="str">
        <f>IF($C404="","",IFERROR(VLOOKUP($C404,SERVIÇOS!$B:$G,3,0),IFERROR(VLOOKUP($C404,'COMPOSIÇÕES COMPLEMENTARES '!$D:$L,3,0),IFERROR(VLOOKUP($C404,INSUMOS!$A:$D,3,0),""))))</f>
        <v>UN</v>
      </c>
      <c r="F404" s="313">
        <v>1</v>
      </c>
      <c r="G404" s="314">
        <f>IF($C404="","",IFERROR(VLOOKUP($C404,SERVIÇOS!$B:$G,4,0),IFERROR(VLOOKUP($C404,'COMPOSIÇÕES COMPLEMENTARES '!$D:$L,6,0),IFERROR(VLOOKUP($C404,INSUMOS!$A:$D,4,0),""))))</f>
        <v>1284.53</v>
      </c>
      <c r="H404" s="314">
        <f>IF($C404="","",IFERROR(VLOOKUP($C404,SERVIÇOS!$B:$G,5,0),IFERROR(VLOOKUP($C404,'COMPOSIÇÕES COMPLEMENTARES '!$D:$L,7,0),0)))</f>
        <v>35.1</v>
      </c>
      <c r="I404" s="314">
        <f t="shared" si="38"/>
        <v>1319.6299999999999</v>
      </c>
      <c r="J404" s="314">
        <f t="shared" si="39"/>
        <v>1284.53</v>
      </c>
      <c r="K404" s="314">
        <f t="shared" si="40"/>
        <v>35.1</v>
      </c>
      <c r="L404" s="948">
        <f t="shared" si="41"/>
        <v>1319.63</v>
      </c>
      <c r="M404" s="374">
        <f t="shared" si="42"/>
        <v>5466598.7300000088</v>
      </c>
      <c r="N404" s="375">
        <f>+M404/L$815</f>
        <v>0.96794347221557575</v>
      </c>
      <c r="O404" s="376" t="str">
        <f>IF(N404&lt;0.5,"A",IF(N404&gt;0.8,"C","B"))</f>
        <v>C</v>
      </c>
    </row>
    <row r="405" spans="1:15" ht="25.5" x14ac:dyDescent="0.25">
      <c r="A405" s="232">
        <f t="shared" si="37"/>
        <v>405</v>
      </c>
      <c r="B405" s="232"/>
      <c r="C405" s="310">
        <v>86910</v>
      </c>
      <c r="D405" s="373" t="str">
        <f>IF($C405="","",IFERROR(VLOOKUP($C405,SERVIÇOS!$B:$G,2,0),IFERROR(VLOOKUP($C405,'COMPOSIÇÕES COMPLEMENTARES '!$D:$L,2,0),IFERROR(VLOOKUP($C405,INSUMOS!$A:$D,2,0),""))))</f>
        <v>TORNEIRA CROMADA TUBO MÓVEL, DE PAREDE, 1/2" OU 3/4", PARA PIA DE COZINHA, PADRÃO MÉDIO - FORNECIMENTO E INSTALAÇÃO. AF_01/2020</v>
      </c>
      <c r="E405" s="312" t="str">
        <f>IF($C405="","",IFERROR(VLOOKUP($C405,SERVIÇOS!$B:$G,3,0),IFERROR(VLOOKUP($C405,'COMPOSIÇÕES COMPLEMENTARES '!$D:$L,3,0),IFERROR(VLOOKUP($C405,INSUMOS!$A:$D,3,0),""))))</f>
        <v>UN</v>
      </c>
      <c r="F405" s="313">
        <v>11</v>
      </c>
      <c r="G405" s="314">
        <f>IF($C405="","",IFERROR(VLOOKUP($C405,SERVIÇOS!$B:$G,4,0),IFERROR(VLOOKUP($C405,'COMPOSIÇÕES COMPLEMENTARES '!$D:$L,6,0),IFERROR(VLOOKUP($C405,INSUMOS!$A:$D,4,0),""))))</f>
        <v>115.16</v>
      </c>
      <c r="H405" s="314">
        <f>IF($C405="","",IFERROR(VLOOKUP($C405,SERVIÇOS!$B:$G,5,0),IFERROR(VLOOKUP($C405,'COMPOSIÇÕES COMPLEMENTARES '!$D:$L,7,0),0)))</f>
        <v>3.9</v>
      </c>
      <c r="I405" s="314">
        <f t="shared" si="38"/>
        <v>119.06</v>
      </c>
      <c r="J405" s="314">
        <f t="shared" si="39"/>
        <v>1266.76</v>
      </c>
      <c r="K405" s="314">
        <f t="shared" si="40"/>
        <v>42.9</v>
      </c>
      <c r="L405" s="948">
        <f t="shared" si="41"/>
        <v>1309.6600000000001</v>
      </c>
      <c r="M405" s="374">
        <f t="shared" si="42"/>
        <v>5467908.390000009</v>
      </c>
      <c r="N405" s="375">
        <f>+M405/L$815</f>
        <v>0.96817536720374542</v>
      </c>
      <c r="O405" s="376" t="str">
        <f>IF(N405&lt;0.5,"A",IF(N405&gt;0.8,"C","B"))</f>
        <v>C</v>
      </c>
    </row>
    <row r="406" spans="1:15" x14ac:dyDescent="0.25">
      <c r="A406" s="232">
        <f t="shared" si="37"/>
        <v>406</v>
      </c>
      <c r="B406" s="232"/>
      <c r="C406" s="310">
        <v>93382</v>
      </c>
      <c r="D406" s="373" t="str">
        <f>IF($C406="","",IFERROR(VLOOKUP($C406,SERVIÇOS!$B:$G,2,0),IFERROR(VLOOKUP($C406,'COMPOSIÇÕES COMPLEMENTARES '!$D:$L,2,0),IFERROR(VLOOKUP($C406,INSUMOS!$A:$D,2,0),""))))</f>
        <v>REATERRO MANUAL DE VALAS, COM COMPACTADOR DE SOLOS DE PERCUSSÃO. AF_08/2023</v>
      </c>
      <c r="E406" s="312" t="str">
        <f>IF($C406="","",IFERROR(VLOOKUP($C406,SERVIÇOS!$B:$G,3,0),IFERROR(VLOOKUP($C406,'COMPOSIÇÕES COMPLEMENTARES '!$D:$L,3,0),IFERROR(VLOOKUP($C406,INSUMOS!$A:$D,3,0),""))))</f>
        <v>M3</v>
      </c>
      <c r="F406" s="313">
        <v>39.6</v>
      </c>
      <c r="G406" s="314">
        <f>IF($C406="","",IFERROR(VLOOKUP($C406,SERVIÇOS!$B:$G,4,0),IFERROR(VLOOKUP($C406,'COMPOSIÇÕES COMPLEMENTARES '!$D:$L,6,0),IFERROR(VLOOKUP($C406,INSUMOS!$A:$D,4,0),""))))</f>
        <v>12.29</v>
      </c>
      <c r="H406" s="314">
        <f>IF($C406="","",IFERROR(VLOOKUP($C406,SERVIÇOS!$B:$G,5,0),IFERROR(VLOOKUP($C406,'COMPOSIÇÕES COMPLEMENTARES '!$D:$L,7,0),0)))</f>
        <v>20.78</v>
      </c>
      <c r="I406" s="314">
        <f t="shared" si="38"/>
        <v>33.07</v>
      </c>
      <c r="J406" s="314">
        <f t="shared" si="39"/>
        <v>486.68</v>
      </c>
      <c r="K406" s="314">
        <f t="shared" si="40"/>
        <v>822.88</v>
      </c>
      <c r="L406" s="948">
        <f t="shared" si="41"/>
        <v>1309.56</v>
      </c>
      <c r="M406" s="374">
        <f t="shared" si="42"/>
        <v>5469217.9500000086</v>
      </c>
      <c r="N406" s="375">
        <f>+M406/L$815</f>
        <v>0.96840724448541204</v>
      </c>
      <c r="O406" s="376" t="str">
        <f>IF(N406&lt;0.5,"A",IF(N406&gt;0.8,"C","B"))</f>
        <v>C</v>
      </c>
    </row>
    <row r="407" spans="1:15" x14ac:dyDescent="0.25">
      <c r="A407" s="232">
        <f t="shared" si="37"/>
        <v>407</v>
      </c>
      <c r="B407" s="232"/>
      <c r="C407" s="310" t="s">
        <v>12191</v>
      </c>
      <c r="D407" s="373" t="str">
        <f>IF($C407="","",IFERROR(VLOOKUP($C407,SERVIÇOS!$B:$G,2,0),IFERROR(VLOOKUP($C407,'COMPOSIÇÕES COMPLEMENTARES '!$D:$L,2,0),IFERROR(VLOOKUP($C407,INSUMOS!$A:$D,2,0),""))))</f>
        <v>ENVELOPAMENTO DE CONCRETO NO BANCO DE DUTOS</v>
      </c>
      <c r="E407" s="312" t="str">
        <f>IF($C407="","",IFERROR(VLOOKUP($C407,SERVIÇOS!$B:$G,3,0),IFERROR(VLOOKUP($C407,'COMPOSIÇÕES COMPLEMENTARES '!$D:$L,3,0),IFERROR(VLOOKUP($C407,INSUMOS!$A:$D,3,0),""))))</f>
        <v>M3</v>
      </c>
      <c r="F407" s="313">
        <v>3</v>
      </c>
      <c r="G407" s="314">
        <f>IF($C407="","",IFERROR(VLOOKUP($C407,SERVIÇOS!$B:$G,4,0),IFERROR(VLOOKUP($C407,'COMPOSIÇÕES COMPLEMENTARES '!$D:$L,6,0),IFERROR(VLOOKUP($C407,INSUMOS!$A:$D,4,0),""))))</f>
        <v>353.89</v>
      </c>
      <c r="H407" s="314">
        <f>IF($C407="","",IFERROR(VLOOKUP($C407,SERVIÇOS!$B:$G,5,0),IFERROR(VLOOKUP($C407,'COMPOSIÇÕES COMPLEMENTARES '!$D:$L,7,0),0)))</f>
        <v>82.48</v>
      </c>
      <c r="I407" s="314">
        <f t="shared" si="38"/>
        <v>436.37</v>
      </c>
      <c r="J407" s="314">
        <f t="shared" si="39"/>
        <v>1061.67</v>
      </c>
      <c r="K407" s="314">
        <f t="shared" si="40"/>
        <v>247.44</v>
      </c>
      <c r="L407" s="948">
        <f t="shared" si="41"/>
        <v>1309.1099999999999</v>
      </c>
      <c r="M407" s="374">
        <f t="shared" si="42"/>
        <v>5470527.0600000089</v>
      </c>
      <c r="N407" s="375">
        <f>+M407/L$815</f>
        <v>0.96863904208781482</v>
      </c>
      <c r="O407" s="376" t="str">
        <f>IF(N407&lt;0.5,"A",IF(N407&gt;0.8,"C","B"))</f>
        <v>C</v>
      </c>
    </row>
    <row r="408" spans="1:15" x14ac:dyDescent="0.25">
      <c r="A408" s="232">
        <f t="shared" si="37"/>
        <v>408</v>
      </c>
      <c r="B408" s="232"/>
      <c r="C408" s="310">
        <v>89353</v>
      </c>
      <c r="D408" s="373" t="str">
        <f>IF($C408="","",IFERROR(VLOOKUP($C408,SERVIÇOS!$B:$G,2,0),IFERROR(VLOOKUP($C408,'COMPOSIÇÕES COMPLEMENTARES '!$D:$L,2,0),IFERROR(VLOOKUP($C408,INSUMOS!$A:$D,2,0),""))))</f>
        <v>REGISTRO DE GAVETA BRUTO, LATÃO, ROSCÁVEL, 3/4" - FORNECIMENTO E INSTALAÇÃO. AF_08/2021</v>
      </c>
      <c r="E408" s="312" t="str">
        <f>IF($C408="","",IFERROR(VLOOKUP($C408,SERVIÇOS!$B:$G,3,0),IFERROR(VLOOKUP($C408,'COMPOSIÇÕES COMPLEMENTARES '!$D:$L,3,0),IFERROR(VLOOKUP($C408,INSUMOS!$A:$D,3,0),""))))</f>
        <v>UN</v>
      </c>
      <c r="F408" s="313">
        <v>32</v>
      </c>
      <c r="G408" s="314">
        <f>IF($C408="","",IFERROR(VLOOKUP($C408,SERVIÇOS!$B:$G,4,0),IFERROR(VLOOKUP($C408,'COMPOSIÇÕES COMPLEMENTARES '!$D:$L,6,0),IFERROR(VLOOKUP($C408,INSUMOS!$A:$D,4,0),""))))</f>
        <v>35.31</v>
      </c>
      <c r="H408" s="314">
        <f>IF($C408="","",IFERROR(VLOOKUP($C408,SERVIÇOS!$B:$G,5,0),IFERROR(VLOOKUP($C408,'COMPOSIÇÕES COMPLEMENTARES '!$D:$L,7,0),0)))</f>
        <v>5.34</v>
      </c>
      <c r="I408" s="314">
        <f t="shared" si="38"/>
        <v>40.650000000000006</v>
      </c>
      <c r="J408" s="314">
        <f t="shared" si="39"/>
        <v>1129.92</v>
      </c>
      <c r="K408" s="314">
        <f t="shared" si="40"/>
        <v>170.88</v>
      </c>
      <c r="L408" s="948">
        <f t="shared" si="41"/>
        <v>1300.8</v>
      </c>
      <c r="M408" s="374">
        <f t="shared" si="42"/>
        <v>5471827.8600000087</v>
      </c>
      <c r="N408" s="375">
        <f>+M408/L$815</f>
        <v>0.96886936827981207</v>
      </c>
      <c r="O408" s="376" t="str">
        <f>IF(N408&lt;0.5,"A",IF(N408&gt;0.8,"C","B"))</f>
        <v>C</v>
      </c>
    </row>
    <row r="409" spans="1:15" x14ac:dyDescent="0.25">
      <c r="A409" s="232">
        <f t="shared" si="37"/>
        <v>409</v>
      </c>
      <c r="B409" s="232"/>
      <c r="C409" s="310" t="s">
        <v>12222</v>
      </c>
      <c r="D409" s="373" t="str">
        <f>IF($C409="","",IFERROR(VLOOKUP($C409,SERVIÇOS!$B:$G,2,0),IFERROR(VLOOKUP($C409,'COMPOSIÇÕES COMPLEMENTARES '!$D:$L,2,0),IFERROR(VLOOKUP($C409,INSUMOS!$A:$D,2,0),""))))</f>
        <v>CONDUTOR DE COBRE FLEX ISOL. 1KV - 90º -  #4,0MM² - AFUMEX</v>
      </c>
      <c r="E409" s="312" t="str">
        <f>IF($C409="","",IFERROR(VLOOKUP($C409,SERVIÇOS!$B:$G,3,0),IFERROR(VLOOKUP($C409,'COMPOSIÇÕES COMPLEMENTARES '!$D:$L,3,0),IFERROR(VLOOKUP($C409,INSUMOS!$A:$D,3,0),""))))</f>
        <v>M</v>
      </c>
      <c r="F409" s="313">
        <v>160</v>
      </c>
      <c r="G409" s="314">
        <f>IF($C409="","",IFERROR(VLOOKUP($C409,SERVIÇOS!$B:$G,4,0),IFERROR(VLOOKUP($C409,'COMPOSIÇÕES COMPLEMENTARES '!$D:$L,6,0),IFERROR(VLOOKUP($C409,INSUMOS!$A:$D,4,0),""))))</f>
        <v>6.12</v>
      </c>
      <c r="H409" s="314">
        <f>IF($C409="","",IFERROR(VLOOKUP($C409,SERVIÇOS!$B:$G,5,0),IFERROR(VLOOKUP($C409,'COMPOSIÇÕES COMPLEMENTARES '!$D:$L,7,0),0)))</f>
        <v>1.97</v>
      </c>
      <c r="I409" s="314">
        <f t="shared" si="38"/>
        <v>8.09</v>
      </c>
      <c r="J409" s="314">
        <f t="shared" si="39"/>
        <v>979.2</v>
      </c>
      <c r="K409" s="314">
        <f t="shared" si="40"/>
        <v>315.2</v>
      </c>
      <c r="L409" s="948">
        <f t="shared" si="41"/>
        <v>1294.4000000000001</v>
      </c>
      <c r="M409" s="374">
        <f t="shared" si="42"/>
        <v>5473122.2600000091</v>
      </c>
      <c r="N409" s="375">
        <f>+M409/L$815</f>
        <v>0.96909856125561267</v>
      </c>
      <c r="O409" s="376" t="str">
        <f>IF(N409&lt;0.5,"A",IF(N409&gt;0.8,"C","B"))</f>
        <v>C</v>
      </c>
    </row>
    <row r="410" spans="1:15" ht="25.5" x14ac:dyDescent="0.25">
      <c r="A410" s="232">
        <f t="shared" si="37"/>
        <v>410</v>
      </c>
      <c r="B410" s="232"/>
      <c r="C410" s="310" t="s">
        <v>12219</v>
      </c>
      <c r="D410" s="373" t="str">
        <f>IF($C410="","",IFERROR(VLOOKUP($C410,SERVIÇOS!$B:$G,2,0),IFERROR(VLOOKUP($C410,'COMPOSIÇÕES COMPLEMENTARES '!$D:$L,2,0),IFERROR(VLOOKUP($C410,INSUMOS!$A:$D,2,0),""))))</f>
        <v>ELETRODUTO RÍGIDO ROSCÁVEL, PVC, DN 32 MM (1"), INCLUSO CONEXÕES E ACESSÓRIOS, INSTALAÇÃO APARENTE - FORNECIMENTO E INSTALAÇÃO</v>
      </c>
      <c r="E410" s="312" t="str">
        <f>IF($C410="","",IFERROR(VLOOKUP($C410,SERVIÇOS!$B:$G,3,0),IFERROR(VLOOKUP($C410,'COMPOSIÇÕES COMPLEMENTARES '!$D:$L,3,0),IFERROR(VLOOKUP($C410,INSUMOS!$A:$D,3,0),""))))</f>
        <v>M</v>
      </c>
      <c r="F410" s="313">
        <v>45</v>
      </c>
      <c r="G410" s="314">
        <f>IF($C410="","",IFERROR(VLOOKUP($C410,SERVIÇOS!$B:$G,4,0),IFERROR(VLOOKUP($C410,'COMPOSIÇÕES COMPLEMENTARES '!$D:$L,6,0),IFERROR(VLOOKUP($C410,INSUMOS!$A:$D,4,0),""))))</f>
        <v>19.420000000000002</v>
      </c>
      <c r="H410" s="314">
        <f>IF($C410="","",IFERROR(VLOOKUP($C410,SERVIÇOS!$B:$G,5,0),IFERROR(VLOOKUP($C410,'COMPOSIÇÕES COMPLEMENTARES '!$D:$L,7,0),0)))</f>
        <v>9.32</v>
      </c>
      <c r="I410" s="314">
        <f t="shared" si="38"/>
        <v>28.740000000000002</v>
      </c>
      <c r="J410" s="314">
        <f t="shared" si="39"/>
        <v>873.9</v>
      </c>
      <c r="K410" s="314">
        <f t="shared" si="40"/>
        <v>419.4</v>
      </c>
      <c r="L410" s="948">
        <f t="shared" si="41"/>
        <v>1293.3</v>
      </c>
      <c r="M410" s="374">
        <f t="shared" si="42"/>
        <v>5474415.5600000089</v>
      </c>
      <c r="N410" s="375">
        <f>+M410/L$815</f>
        <v>0.96932755945987925</v>
      </c>
      <c r="O410" s="376" t="str">
        <f>IF(N410&lt;0.5,"A",IF(N410&gt;0.8,"C","B"))</f>
        <v>C</v>
      </c>
    </row>
    <row r="411" spans="1:15" x14ac:dyDescent="0.25">
      <c r="A411" s="232">
        <f t="shared" si="37"/>
        <v>411</v>
      </c>
      <c r="B411" s="232"/>
      <c r="C411" s="310" t="s">
        <v>12317</v>
      </c>
      <c r="D411" s="373" t="str">
        <f>IF($C411="","",IFERROR(VLOOKUP($C411,SERVIÇOS!$B:$G,2,0),IFERROR(VLOOKUP($C411,'COMPOSIÇÕES COMPLEMENTARES '!$D:$L,2,0),IFERROR(VLOOKUP($C411,INSUMOS!$A:$D,2,0),""))))</f>
        <v>PLACA 4"X2" COM 2 TOMADAS TIPO RJ45 CAT. 6</v>
      </c>
      <c r="E411" s="312" t="str">
        <f>IF($C411="","",IFERROR(VLOOKUP($C411,SERVIÇOS!$B:$G,3,0),IFERROR(VLOOKUP($C411,'COMPOSIÇÕES COMPLEMENTARES '!$D:$L,3,0),IFERROR(VLOOKUP($C411,INSUMOS!$A:$D,3,0),""))))</f>
        <v>UN</v>
      </c>
      <c r="F411" s="313">
        <v>11</v>
      </c>
      <c r="G411" s="314">
        <f>IF($C411="","",IFERROR(VLOOKUP($C411,SERVIÇOS!$B:$G,4,0),IFERROR(VLOOKUP($C411,'COMPOSIÇÕES COMPLEMENTARES '!$D:$L,6,0),IFERROR(VLOOKUP($C411,INSUMOS!$A:$D,4,0),""))))</f>
        <v>97.08</v>
      </c>
      <c r="H411" s="314">
        <f>IF($C411="","",IFERROR(VLOOKUP($C411,SERVIÇOS!$B:$G,5,0),IFERROR(VLOOKUP($C411,'COMPOSIÇÕES COMPLEMENTARES '!$D:$L,7,0),0)))</f>
        <v>20.420000000000002</v>
      </c>
      <c r="I411" s="314">
        <f t="shared" si="38"/>
        <v>117.5</v>
      </c>
      <c r="J411" s="314">
        <f t="shared" si="39"/>
        <v>1067.8800000000001</v>
      </c>
      <c r="K411" s="314">
        <f t="shared" si="40"/>
        <v>224.62</v>
      </c>
      <c r="L411" s="948">
        <f t="shared" si="41"/>
        <v>1292.5</v>
      </c>
      <c r="M411" s="374">
        <f t="shared" si="42"/>
        <v>5475708.0600000089</v>
      </c>
      <c r="N411" s="375">
        <f>+M411/L$815</f>
        <v>0.96955641601212128</v>
      </c>
      <c r="O411" s="376" t="str">
        <f>IF(N411&lt;0.5,"A",IF(N411&gt;0.8,"C","B"))</f>
        <v>C</v>
      </c>
    </row>
    <row r="412" spans="1:15" x14ac:dyDescent="0.25">
      <c r="A412" s="232">
        <f t="shared" si="37"/>
        <v>412</v>
      </c>
      <c r="B412" s="232"/>
      <c r="C412" s="310" t="s">
        <v>12330</v>
      </c>
      <c r="D412" s="373" t="str">
        <f>IF($C412="","",IFERROR(VLOOKUP($C412,SERVIÇOS!$B:$G,2,0),IFERROR(VLOOKUP($C412,'COMPOSIÇÕES COMPLEMENTARES '!$D:$L,2,0),IFERROR(VLOOKUP($C412,INSUMOS!$A:$D,2,0),""))))</f>
        <v>CAIXA DE CONCRETO 30X30X30CM PARA INSPEÇÃO DE ATERRAMENTO</v>
      </c>
      <c r="E412" s="312" t="str">
        <f>IF($C412="","",IFERROR(VLOOKUP($C412,SERVIÇOS!$B:$G,3,0),IFERROR(VLOOKUP($C412,'COMPOSIÇÕES COMPLEMENTARES '!$D:$L,3,0),IFERROR(VLOOKUP($C412,INSUMOS!$A:$D,3,0),""))))</f>
        <v>UN</v>
      </c>
      <c r="F412" s="313">
        <v>10</v>
      </c>
      <c r="G412" s="314">
        <f>IF($C412="","",IFERROR(VLOOKUP($C412,SERVIÇOS!$B:$G,4,0),IFERROR(VLOOKUP($C412,'COMPOSIÇÕES COMPLEMENTARES '!$D:$L,6,0),IFERROR(VLOOKUP($C412,INSUMOS!$A:$D,4,0),""))))</f>
        <v>119.43</v>
      </c>
      <c r="H412" s="314">
        <f>IF($C412="","",IFERROR(VLOOKUP($C412,SERVIÇOS!$B:$G,5,0),IFERROR(VLOOKUP($C412,'COMPOSIÇÕES COMPLEMENTARES '!$D:$L,7,0),0)))</f>
        <v>9.64</v>
      </c>
      <c r="I412" s="314">
        <f t="shared" si="38"/>
        <v>129.07</v>
      </c>
      <c r="J412" s="314">
        <f t="shared" si="39"/>
        <v>1194.3</v>
      </c>
      <c r="K412" s="314">
        <f t="shared" si="40"/>
        <v>96.4</v>
      </c>
      <c r="L412" s="948">
        <f t="shared" si="41"/>
        <v>1290.7</v>
      </c>
      <c r="M412" s="374">
        <f t="shared" si="42"/>
        <v>5476998.7600000091</v>
      </c>
      <c r="N412" s="375">
        <f>+M412/L$815</f>
        <v>0.96978495384730812</v>
      </c>
      <c r="O412" s="376" t="str">
        <f>IF(N412&lt;0.5,"A",IF(N412&gt;0.8,"C","B"))</f>
        <v>C</v>
      </c>
    </row>
    <row r="413" spans="1:15" ht="38.25" x14ac:dyDescent="0.25">
      <c r="A413" s="232">
        <f t="shared" si="37"/>
        <v>413</v>
      </c>
      <c r="B413" s="232"/>
      <c r="C413" s="310" t="s">
        <v>12369</v>
      </c>
      <c r="D413" s="373" t="str">
        <f>IF($C413="","",IFERROR(VLOOKUP($C413,SERVIÇOS!$B:$G,2,0),IFERROR(VLOOKUP($C413,'COMPOSIÇÕES COMPLEMENTARES '!$D:$L,2,0),IFERROR(VLOOKUP($C413,INSUMOS!$A:$D,2,0),""))))</f>
        <v>TOMADA/POSTO DE CONSUMO DE PAREDE PARA OXIGÊNIO MEDICINAL COM TARUGO INTERNO EMBUTIDO, VÁLVULA AUTOVEDANTE, PINO DE IMPACTO, CANOPLA EM MATERIAL PLÁSTICO DE ABS E ETIQUETA DE IDENTIFICAÇÃO DO POSTO - FORNECIMENTO E INSTALAÇÃO. REF: PROTEC, WHITE MARTINS, UNITEC HOSPITALAR, AIR LIQUIDE, VALMIG</v>
      </c>
      <c r="E413" s="312" t="str">
        <f>IF($C413="","",IFERROR(VLOOKUP($C413,SERVIÇOS!$B:$G,3,0),IFERROR(VLOOKUP($C413,'COMPOSIÇÕES COMPLEMENTARES '!$D:$L,3,0),IFERROR(VLOOKUP($C413,INSUMOS!$A:$D,3,0),""))))</f>
        <v>UN</v>
      </c>
      <c r="F413" s="313">
        <v>13</v>
      </c>
      <c r="G413" s="314">
        <f>IF($C413="","",IFERROR(VLOOKUP($C413,SERVIÇOS!$B:$G,4,0),IFERROR(VLOOKUP($C413,'COMPOSIÇÕES COMPLEMENTARES '!$D:$L,6,0),IFERROR(VLOOKUP($C413,INSUMOS!$A:$D,4,0),""))))</f>
        <v>73.650000000000006</v>
      </c>
      <c r="H413" s="314">
        <f>IF($C413="","",IFERROR(VLOOKUP($C413,SERVIÇOS!$B:$G,5,0),IFERROR(VLOOKUP($C413,'COMPOSIÇÕES COMPLEMENTARES '!$D:$L,7,0),0)))</f>
        <v>24.3</v>
      </c>
      <c r="I413" s="314">
        <f t="shared" si="38"/>
        <v>97.95</v>
      </c>
      <c r="J413" s="314">
        <f t="shared" si="39"/>
        <v>957.45</v>
      </c>
      <c r="K413" s="314">
        <f t="shared" si="40"/>
        <v>315.89999999999998</v>
      </c>
      <c r="L413" s="948">
        <f t="shared" si="41"/>
        <v>1273.3499999999999</v>
      </c>
      <c r="M413" s="374">
        <f t="shared" si="42"/>
        <v>5478272.1100000087</v>
      </c>
      <c r="N413" s="375">
        <f>+M413/L$815</f>
        <v>0.97001041960421119</v>
      </c>
      <c r="O413" s="376" t="str">
        <f>IF(N413&lt;0.5,"A",IF(N413&gt;0.8,"C","B"))</f>
        <v>C</v>
      </c>
    </row>
    <row r="414" spans="1:15" x14ac:dyDescent="0.25">
      <c r="A414" s="232">
        <f t="shared" si="37"/>
        <v>414</v>
      </c>
      <c r="B414" s="232"/>
      <c r="C414" s="310" t="s">
        <v>12081</v>
      </c>
      <c r="D414" s="373" t="str">
        <f>IF($C414="","",IFERROR(VLOOKUP($C414,SERVIÇOS!$B:$G,2,0),IFERROR(VLOOKUP($C414,'COMPOSIÇÕES COMPLEMENTARES '!$D:$L,2,0),IFERROR(VLOOKUP($C414,INSUMOS!$A:$D,2,0),""))))</f>
        <v>REGISTRO DE ESFERA, METAL, ROSCÁVEL, 4"</v>
      </c>
      <c r="E414" s="312" t="str">
        <f>IF($C414="","",IFERROR(VLOOKUP($C414,SERVIÇOS!$B:$G,3,0),IFERROR(VLOOKUP($C414,'COMPOSIÇÕES COMPLEMENTARES '!$D:$L,3,0),IFERROR(VLOOKUP($C414,INSUMOS!$A:$D,3,0),""))))</f>
        <v>UN</v>
      </c>
      <c r="F414" s="313">
        <v>1</v>
      </c>
      <c r="G414" s="314">
        <f>IF($C414="","",IFERROR(VLOOKUP($C414,SERVIÇOS!$B:$G,4,0),IFERROR(VLOOKUP($C414,'COMPOSIÇÕES COMPLEMENTARES '!$D:$L,6,0),IFERROR(VLOOKUP($C414,INSUMOS!$A:$D,4,0),""))))</f>
        <v>1231.49</v>
      </c>
      <c r="H414" s="314">
        <f>IF($C414="","",IFERROR(VLOOKUP($C414,SERVIÇOS!$B:$G,5,0),IFERROR(VLOOKUP($C414,'COMPOSIÇÕES COMPLEMENTARES '!$D:$L,7,0),0)))</f>
        <v>38.880000000000003</v>
      </c>
      <c r="I414" s="314">
        <f t="shared" si="38"/>
        <v>1270.3700000000001</v>
      </c>
      <c r="J414" s="314">
        <f t="shared" si="39"/>
        <v>1231.49</v>
      </c>
      <c r="K414" s="314">
        <f t="shared" si="40"/>
        <v>38.880000000000003</v>
      </c>
      <c r="L414" s="948">
        <f t="shared" si="41"/>
        <v>1270.3699999999999</v>
      </c>
      <c r="M414" s="374">
        <f t="shared" si="42"/>
        <v>5479542.4800000088</v>
      </c>
      <c r="N414" s="375">
        <f>+M414/L$815</f>
        <v>0.97023535770732283</v>
      </c>
      <c r="O414" s="376" t="str">
        <f>IF(N414&lt;0.5,"A",IF(N414&gt;0.8,"C","B"))</f>
        <v>C</v>
      </c>
    </row>
    <row r="415" spans="1:15" ht="25.5" x14ac:dyDescent="0.25">
      <c r="A415" s="232">
        <f t="shared" si="37"/>
        <v>415</v>
      </c>
      <c r="B415" s="232"/>
      <c r="C415" s="310" t="s">
        <v>12482</v>
      </c>
      <c r="D415" s="373" t="str">
        <f>IF($C415="","",IFERROR(VLOOKUP($C415,SERVIÇOS!$B:$G,2,0),IFERROR(VLOOKUP($C415,'COMPOSIÇÕES COMPLEMENTARES '!$D:$L,2,0),IFERROR(VLOOKUP($C415,INSUMOS!$A:$D,2,0),""))))</f>
        <v>DUTO EM CHAPA DE AÇO GALVANIZADO Nº22, ESPESSURA 0,79MM COM ISOLAMENTO, PARA AR CONDICIONADO, COM SISTEMA DE VEDAÇÃO ESTANQUE, MONTADO COM SISTEMA FLANGEADO, REFERÊNCIA TDC POWERMATIC</v>
      </c>
      <c r="E415" s="312" t="str">
        <f>IF($C415="","",IFERROR(VLOOKUP($C415,SERVIÇOS!$B:$G,3,0),IFERROR(VLOOKUP($C415,'COMPOSIÇÕES COMPLEMENTARES '!$D:$L,3,0),IFERROR(VLOOKUP($C415,INSUMOS!$A:$D,3,0),""))))</f>
        <v>KG</v>
      </c>
      <c r="F415" s="313">
        <v>20</v>
      </c>
      <c r="G415" s="314">
        <f>IF($C415="","",IFERROR(VLOOKUP($C415,SERVIÇOS!$B:$G,4,0),IFERROR(VLOOKUP($C415,'COMPOSIÇÕES COMPLEMENTARES '!$D:$L,6,0),IFERROR(VLOOKUP($C415,INSUMOS!$A:$D,4,0),""))))</f>
        <v>32.9</v>
      </c>
      <c r="H415" s="314">
        <f>IF($C415="","",IFERROR(VLOOKUP($C415,SERVIÇOS!$B:$G,5,0),IFERROR(VLOOKUP($C415,'COMPOSIÇÕES COMPLEMENTARES '!$D:$L,7,0),0)))</f>
        <v>30.51</v>
      </c>
      <c r="I415" s="314">
        <f t="shared" si="38"/>
        <v>63.41</v>
      </c>
      <c r="J415" s="314">
        <f t="shared" si="39"/>
        <v>658</v>
      </c>
      <c r="K415" s="314">
        <f t="shared" si="40"/>
        <v>610.20000000000005</v>
      </c>
      <c r="L415" s="948">
        <f t="shared" si="41"/>
        <v>1268.2</v>
      </c>
      <c r="M415" s="374">
        <f t="shared" si="42"/>
        <v>5480810.680000009</v>
      </c>
      <c r="N415" s="375">
        <f>+M415/L$815</f>
        <v>0.97045991157931777</v>
      </c>
      <c r="O415" s="376" t="str">
        <f>IF(N415&lt;0.5,"A",IF(N415&gt;0.8,"C","B"))</f>
        <v>C</v>
      </c>
    </row>
    <row r="416" spans="1:15" x14ac:dyDescent="0.25">
      <c r="A416" s="232">
        <f t="shared" si="37"/>
        <v>416</v>
      </c>
      <c r="B416" s="232"/>
      <c r="C416" s="310">
        <v>93382</v>
      </c>
      <c r="D416" s="373" t="str">
        <f>IF($C416="","",IFERROR(VLOOKUP($C416,SERVIÇOS!$B:$G,2,0),IFERROR(VLOOKUP($C416,'COMPOSIÇÕES COMPLEMENTARES '!$D:$L,2,0),IFERROR(VLOOKUP($C416,INSUMOS!$A:$D,2,0),""))))</f>
        <v>REATERRO MANUAL DE VALAS, COM COMPACTADOR DE SOLOS DE PERCUSSÃO. AF_08/2023</v>
      </c>
      <c r="E416" s="312" t="str">
        <f>IF($C416="","",IFERROR(VLOOKUP($C416,SERVIÇOS!$B:$G,3,0),IFERROR(VLOOKUP($C416,'COMPOSIÇÕES COMPLEMENTARES '!$D:$L,3,0),IFERROR(VLOOKUP($C416,INSUMOS!$A:$D,3,0),""))))</f>
        <v>M3</v>
      </c>
      <c r="F416" s="313">
        <v>38</v>
      </c>
      <c r="G416" s="314">
        <f>IF($C416="","",IFERROR(VLOOKUP($C416,SERVIÇOS!$B:$G,4,0),IFERROR(VLOOKUP($C416,'COMPOSIÇÕES COMPLEMENTARES '!$D:$L,6,0),IFERROR(VLOOKUP($C416,INSUMOS!$A:$D,4,0),""))))</f>
        <v>12.29</v>
      </c>
      <c r="H416" s="314">
        <f>IF($C416="","",IFERROR(VLOOKUP($C416,SERVIÇOS!$B:$G,5,0),IFERROR(VLOOKUP($C416,'COMPOSIÇÕES COMPLEMENTARES '!$D:$L,7,0),0)))</f>
        <v>20.78</v>
      </c>
      <c r="I416" s="314">
        <f t="shared" si="38"/>
        <v>33.07</v>
      </c>
      <c r="J416" s="314">
        <f t="shared" si="39"/>
        <v>467.02</v>
      </c>
      <c r="K416" s="314">
        <f t="shared" si="40"/>
        <v>789.64</v>
      </c>
      <c r="L416" s="948">
        <f t="shared" si="41"/>
        <v>1256.6600000000001</v>
      </c>
      <c r="M416" s="374">
        <f t="shared" si="42"/>
        <v>5482067.3400000092</v>
      </c>
      <c r="N416" s="375">
        <f>+M416/L$815</f>
        <v>0.97068242212085787</v>
      </c>
      <c r="O416" s="376" t="str">
        <f>IF(N416&lt;0.5,"A",IF(N416&gt;0.8,"C","B"))</f>
        <v>C</v>
      </c>
    </row>
    <row r="417" spans="1:15" ht="25.5" x14ac:dyDescent="0.25">
      <c r="A417" s="232">
        <f t="shared" si="37"/>
        <v>417</v>
      </c>
      <c r="B417" s="232"/>
      <c r="C417" s="310">
        <v>87905</v>
      </c>
      <c r="D417" s="373" t="str">
        <f>IF($C417="","",IFERROR(VLOOKUP($C417,SERVIÇOS!$B:$G,2,0),IFERROR(VLOOKUP($C417,'COMPOSIÇÕES COMPLEMENTARES '!$D:$L,2,0),IFERROR(VLOOKUP($C417,INSUMOS!$A:$D,2,0),""))))</f>
        <v>CHAPISCO APLICADO EM ALVENARIA (COM PRESENÇA DE VÃOS) E ESTRUTURAS DE CONCRETO DE FACHADA, COM COLHER DE PEDREIRO.  ARGAMASSA TRAÇO 1:3 COM PREPARO EM BETONEIRA 400L. AF_10/2022</v>
      </c>
      <c r="E417" s="312" t="str">
        <f>IF($C417="","",IFERROR(VLOOKUP($C417,SERVIÇOS!$B:$G,3,0),IFERROR(VLOOKUP($C417,'COMPOSIÇÕES COMPLEMENTARES '!$D:$L,3,0),IFERROR(VLOOKUP($C417,INSUMOS!$A:$D,3,0),""))))</f>
        <v>M2</v>
      </c>
      <c r="F417" s="313">
        <v>125.05</v>
      </c>
      <c r="G417" s="314">
        <f>IF($C417="","",IFERROR(VLOOKUP($C417,SERVIÇOS!$B:$G,4,0),IFERROR(VLOOKUP($C417,'COMPOSIÇÕES COMPLEMENTARES '!$D:$L,6,0),IFERROR(VLOOKUP($C417,INSUMOS!$A:$D,4,0),""))))</f>
        <v>3.78</v>
      </c>
      <c r="H417" s="314">
        <f>IF($C417="","",IFERROR(VLOOKUP($C417,SERVIÇOS!$B:$G,5,0),IFERROR(VLOOKUP($C417,'COMPOSIÇÕES COMPLEMENTARES '!$D:$L,7,0),0)))</f>
        <v>6.26</v>
      </c>
      <c r="I417" s="314">
        <f t="shared" si="38"/>
        <v>10.039999999999999</v>
      </c>
      <c r="J417" s="314">
        <f t="shared" si="39"/>
        <v>472.68</v>
      </c>
      <c r="K417" s="314">
        <f t="shared" si="40"/>
        <v>782.81</v>
      </c>
      <c r="L417" s="948">
        <f t="shared" si="41"/>
        <v>1255.49</v>
      </c>
      <c r="M417" s="374">
        <f t="shared" si="42"/>
        <v>5483322.8300000094</v>
      </c>
      <c r="N417" s="375">
        <f>+M417/L$815</f>
        <v>0.9709047254963119</v>
      </c>
      <c r="O417" s="376" t="str">
        <f>IF(N417&lt;0.5,"A",IF(N417&gt;0.8,"C","B"))</f>
        <v>C</v>
      </c>
    </row>
    <row r="418" spans="1:15" x14ac:dyDescent="0.25">
      <c r="A418" s="232">
        <f t="shared" si="37"/>
        <v>418</v>
      </c>
      <c r="B418" s="232"/>
      <c r="C418" s="310" t="s">
        <v>12190</v>
      </c>
      <c r="D418" s="373" t="str">
        <f>IF($C418="","",IFERROR(VLOOKUP($C418,SERVIÇOS!$B:$G,2,0),IFERROR(VLOOKUP($C418,'COMPOSIÇÕES COMPLEMENTARES '!$D:$L,2,0),IFERROR(VLOOKUP($C418,INSUMOS!$A:$D,2,0),""))))</f>
        <v xml:space="preserve">TAMPÃO E ARO DE FERRO FUNDIDO MEDIDO 60X60X60CM </v>
      </c>
      <c r="E418" s="312" t="str">
        <f>IF($C418="","",IFERROR(VLOOKUP($C418,SERVIÇOS!$B:$G,3,0),IFERROR(VLOOKUP($C418,'COMPOSIÇÕES COMPLEMENTARES '!$D:$L,3,0),IFERROR(VLOOKUP($C418,INSUMOS!$A:$D,3,0),""))))</f>
        <v>UN</v>
      </c>
      <c r="F418" s="313">
        <v>2</v>
      </c>
      <c r="G418" s="314">
        <f>IF($C418="","",IFERROR(VLOOKUP($C418,SERVIÇOS!$B:$G,4,0),IFERROR(VLOOKUP($C418,'COMPOSIÇÕES COMPLEMENTARES '!$D:$L,6,0),IFERROR(VLOOKUP($C418,INSUMOS!$A:$D,4,0),""))))</f>
        <v>490.83</v>
      </c>
      <c r="H418" s="314">
        <f>IF($C418="","",IFERROR(VLOOKUP($C418,SERVIÇOS!$B:$G,5,0),IFERROR(VLOOKUP($C418,'COMPOSIÇÕES COMPLEMENTARES '!$D:$L,7,0),0)))</f>
        <v>133.79</v>
      </c>
      <c r="I418" s="314">
        <f t="shared" si="38"/>
        <v>624.62</v>
      </c>
      <c r="J418" s="314">
        <f t="shared" si="39"/>
        <v>981.66</v>
      </c>
      <c r="K418" s="314">
        <f t="shared" si="40"/>
        <v>267.58</v>
      </c>
      <c r="L418" s="948">
        <f t="shared" si="41"/>
        <v>1249.24</v>
      </c>
      <c r="M418" s="374">
        <f t="shared" si="42"/>
        <v>5484572.0700000096</v>
      </c>
      <c r="N418" s="375">
        <f>+M418/L$815</f>
        <v>0.9711259222153239</v>
      </c>
      <c r="O418" s="376" t="str">
        <f>IF(N418&lt;0.5,"A",IF(N418&gt;0.8,"C","B"))</f>
        <v>C</v>
      </c>
    </row>
    <row r="419" spans="1:15" ht="25.5" x14ac:dyDescent="0.25">
      <c r="A419" s="232">
        <f t="shared" si="37"/>
        <v>419</v>
      </c>
      <c r="B419" s="232"/>
      <c r="C419" s="310" t="s">
        <v>11963</v>
      </c>
      <c r="D419" s="373" t="str">
        <f>IF($C419="","",IFERROR(VLOOKUP($C419,SERVIÇOS!$B:$G,2,0),IFERROR(VLOOKUP($C419,'COMPOSIÇÕES COMPLEMENTARES '!$D:$L,2,0),IFERROR(VLOOKUP($C419,INSUMOS!$A:$D,2,0),""))))</f>
        <v>PAREDE PARA ENCHIMENTO COM PLACAS DE GESSO ACARTONADO (DRYWALL), COM UMA FACE SIMPLES (RU), ESTRUTURA METÁLICA COM GUIAS SIMPLES DE 48MM</v>
      </c>
      <c r="E419" s="312" t="str">
        <f>IF($C419="","",IFERROR(VLOOKUP($C419,SERVIÇOS!$B:$G,3,0),IFERROR(VLOOKUP($C419,'COMPOSIÇÕES COMPLEMENTARES '!$D:$L,3,0),IFERROR(VLOOKUP($C419,INSUMOS!$A:$D,3,0),""))))</f>
        <v>M2</v>
      </c>
      <c r="F419" s="313">
        <v>17.559999999999999</v>
      </c>
      <c r="G419" s="314">
        <f>IF($C419="","",IFERROR(VLOOKUP($C419,SERVIÇOS!$B:$G,4,0),IFERROR(VLOOKUP($C419,'COMPOSIÇÕES COMPLEMENTARES '!$D:$L,6,0),IFERROR(VLOOKUP($C419,INSUMOS!$A:$D,4,0),""))))</f>
        <v>58.7</v>
      </c>
      <c r="H419" s="314">
        <f>IF($C419="","",IFERROR(VLOOKUP($C419,SERVIÇOS!$B:$G,5,0),IFERROR(VLOOKUP($C419,'COMPOSIÇÕES COMPLEMENTARES '!$D:$L,7,0),0)))</f>
        <v>10.54</v>
      </c>
      <c r="I419" s="314">
        <f t="shared" si="38"/>
        <v>69.240000000000009</v>
      </c>
      <c r="J419" s="314">
        <f t="shared" si="39"/>
        <v>1030.77</v>
      </c>
      <c r="K419" s="314">
        <f t="shared" si="40"/>
        <v>185.08</v>
      </c>
      <c r="L419" s="948">
        <f t="shared" si="41"/>
        <v>1215.8499999999999</v>
      </c>
      <c r="M419" s="374">
        <f t="shared" si="42"/>
        <v>5485787.9200000092</v>
      </c>
      <c r="N419" s="375">
        <f>+M419/L$815</f>
        <v>0.97134120673295898</v>
      </c>
      <c r="O419" s="376" t="str">
        <f>IF(N419&lt;0.5,"A",IF(N419&gt;0.8,"C","B"))</f>
        <v>C</v>
      </c>
    </row>
    <row r="420" spans="1:15" x14ac:dyDescent="0.25">
      <c r="A420" s="232">
        <f t="shared" si="37"/>
        <v>420</v>
      </c>
      <c r="B420" s="232"/>
      <c r="C420" s="310" t="s">
        <v>12222</v>
      </c>
      <c r="D420" s="373" t="str">
        <f>IF($C420="","",IFERROR(VLOOKUP($C420,SERVIÇOS!$B:$G,2,0),IFERROR(VLOOKUP($C420,'COMPOSIÇÕES COMPLEMENTARES '!$D:$L,2,0),IFERROR(VLOOKUP($C420,INSUMOS!$A:$D,2,0),""))))</f>
        <v>CONDUTOR DE COBRE FLEX ISOL. 1KV - 90º -  #4,0MM² - AFUMEX</v>
      </c>
      <c r="E420" s="312" t="str">
        <f>IF($C420="","",IFERROR(VLOOKUP($C420,SERVIÇOS!$B:$G,3,0),IFERROR(VLOOKUP($C420,'COMPOSIÇÕES COMPLEMENTARES '!$D:$L,3,0),IFERROR(VLOOKUP($C420,INSUMOS!$A:$D,3,0),""))))</f>
        <v>M</v>
      </c>
      <c r="F420" s="313">
        <v>150</v>
      </c>
      <c r="G420" s="314">
        <f>IF($C420="","",IFERROR(VLOOKUP($C420,SERVIÇOS!$B:$G,4,0),IFERROR(VLOOKUP($C420,'COMPOSIÇÕES COMPLEMENTARES '!$D:$L,6,0),IFERROR(VLOOKUP($C420,INSUMOS!$A:$D,4,0),""))))</f>
        <v>6.12</v>
      </c>
      <c r="H420" s="314">
        <f>IF($C420="","",IFERROR(VLOOKUP($C420,SERVIÇOS!$B:$G,5,0),IFERROR(VLOOKUP($C420,'COMPOSIÇÕES COMPLEMENTARES '!$D:$L,7,0),0)))</f>
        <v>1.97</v>
      </c>
      <c r="I420" s="314">
        <f t="shared" si="38"/>
        <v>8.09</v>
      </c>
      <c r="J420" s="314">
        <f t="shared" si="39"/>
        <v>918</v>
      </c>
      <c r="K420" s="314">
        <f t="shared" si="40"/>
        <v>295.5</v>
      </c>
      <c r="L420" s="948">
        <f t="shared" si="41"/>
        <v>1213.5</v>
      </c>
      <c r="M420" s="374">
        <f t="shared" si="42"/>
        <v>5487001.4200000092</v>
      </c>
      <c r="N420" s="375">
        <f>+M420/L$815</f>
        <v>0.97155607514777198</v>
      </c>
      <c r="O420" s="376" t="str">
        <f>IF(N420&lt;0.5,"A",IF(N420&gt;0.8,"C","B"))</f>
        <v>C</v>
      </c>
    </row>
    <row r="421" spans="1:15" ht="25.5" x14ac:dyDescent="0.25">
      <c r="A421" s="232">
        <f t="shared" si="37"/>
        <v>421</v>
      </c>
      <c r="B421" s="232"/>
      <c r="C421" s="310" t="s">
        <v>12209</v>
      </c>
      <c r="D421" s="373" t="str">
        <f>IF($C421="","",IFERROR(VLOOKUP($C421,SERVIÇOS!$B:$G,2,0),IFERROR(VLOOKUP($C421,'COMPOSIÇÕES COMPLEMENTARES '!$D:$L,2,0),IFERROR(VLOOKUP($C421,INSUMOS!$A:$D,2,0),""))))</f>
        <v>ARANDELA LUMIDEC REF. EX02S EM ALUM. EXTRUDADO, PINTURA MICROTEX. BRANCA, COM LÂMPADA LED DE BULBO 9W SOQUETE E27, INSTALADA A 2,10M DO PISO.</v>
      </c>
      <c r="E421" s="312" t="str">
        <f>IF($C421="","",IFERROR(VLOOKUP($C421,SERVIÇOS!$B:$G,3,0),IFERROR(VLOOKUP($C421,'COMPOSIÇÕES COMPLEMENTARES '!$D:$L,3,0),IFERROR(VLOOKUP($C421,INSUMOS!$A:$D,3,0),""))))</f>
        <v>UN</v>
      </c>
      <c r="F421" s="313">
        <v>6</v>
      </c>
      <c r="G421" s="314">
        <f>IF($C421="","",IFERROR(VLOOKUP($C421,SERVIÇOS!$B:$G,4,0),IFERROR(VLOOKUP($C421,'COMPOSIÇÕES COMPLEMENTARES '!$D:$L,6,0),IFERROR(VLOOKUP($C421,INSUMOS!$A:$D,4,0),""))))</f>
        <v>157.22999999999999</v>
      </c>
      <c r="H421" s="314">
        <f>IF($C421="","",IFERROR(VLOOKUP($C421,SERVIÇOS!$B:$G,5,0),IFERROR(VLOOKUP($C421,'COMPOSIÇÕES COMPLEMENTARES '!$D:$L,7,0),0)))</f>
        <v>43.89</v>
      </c>
      <c r="I421" s="314">
        <f t="shared" si="38"/>
        <v>201.12</v>
      </c>
      <c r="J421" s="314">
        <f t="shared" si="39"/>
        <v>943.38</v>
      </c>
      <c r="K421" s="314">
        <f t="shared" si="40"/>
        <v>263.33999999999997</v>
      </c>
      <c r="L421" s="948">
        <f t="shared" si="41"/>
        <v>1206.72</v>
      </c>
      <c r="M421" s="374">
        <f t="shared" si="42"/>
        <v>5488208.140000009</v>
      </c>
      <c r="N421" s="375">
        <f>+M421/L$815</f>
        <v>0.97176974306167641</v>
      </c>
      <c r="O421" s="376" t="str">
        <f>IF(N421&lt;0.5,"A",IF(N421&gt;0.8,"C","B"))</f>
        <v>C</v>
      </c>
    </row>
    <row r="422" spans="1:15" x14ac:dyDescent="0.25">
      <c r="A422" s="232">
        <f t="shared" si="37"/>
        <v>422</v>
      </c>
      <c r="B422" s="232"/>
      <c r="C422" s="310" t="s">
        <v>12200</v>
      </c>
      <c r="D422" s="373" t="str">
        <f>IF($C422="","",IFERROR(VLOOKUP($C422,SERVIÇOS!$B:$G,2,0),IFERROR(VLOOKUP($C422,'COMPOSIÇÕES COMPLEMENTARES '!$D:$L,2,0),IFERROR(VLOOKUP($C422,INSUMOS!$A:$D,2,0),""))))</f>
        <v>INTERRUPTOR DIFERENCIAL TETRAPOLAR 4X63A SENS. 30MA</v>
      </c>
      <c r="E422" s="312" t="str">
        <f>IF($C422="","",IFERROR(VLOOKUP($C422,SERVIÇOS!$B:$G,3,0),IFERROR(VLOOKUP($C422,'COMPOSIÇÕES COMPLEMENTARES '!$D:$L,3,0),IFERROR(VLOOKUP($C422,INSUMOS!$A:$D,3,0),""))))</f>
        <v>UN</v>
      </c>
      <c r="F422" s="313">
        <v>3</v>
      </c>
      <c r="G422" s="314">
        <f>IF($C422="","",IFERROR(VLOOKUP($C422,SERVIÇOS!$B:$G,4,0),IFERROR(VLOOKUP($C422,'COMPOSIÇÕES COMPLEMENTARES '!$D:$L,6,0),IFERROR(VLOOKUP($C422,INSUMOS!$A:$D,4,0),""))))</f>
        <v>279.11</v>
      </c>
      <c r="H422" s="314">
        <f>IF($C422="","",IFERROR(VLOOKUP($C422,SERVIÇOS!$B:$G,5,0),IFERROR(VLOOKUP($C422,'COMPOSIÇÕES COMPLEMENTARES '!$D:$L,7,0),0)))</f>
        <v>120.12</v>
      </c>
      <c r="I422" s="314">
        <f t="shared" si="38"/>
        <v>399.23</v>
      </c>
      <c r="J422" s="314">
        <f t="shared" si="39"/>
        <v>837.33</v>
      </c>
      <c r="K422" s="314">
        <f t="shared" si="40"/>
        <v>360.36</v>
      </c>
      <c r="L422" s="948">
        <f t="shared" si="41"/>
        <v>1197.69</v>
      </c>
      <c r="M422" s="374">
        <f t="shared" si="42"/>
        <v>5489405.8300000094</v>
      </c>
      <c r="N422" s="375">
        <f>+M422/L$815</f>
        <v>0.97198181207835332</v>
      </c>
      <c r="O422" s="376" t="str">
        <f>IF(N422&lt;0.5,"A",IF(N422&gt;0.8,"C","B"))</f>
        <v>C</v>
      </c>
    </row>
    <row r="423" spans="1:15" x14ac:dyDescent="0.25">
      <c r="A423" s="232">
        <f t="shared" si="37"/>
        <v>423</v>
      </c>
      <c r="B423" s="232"/>
      <c r="C423" s="310" t="s">
        <v>12327</v>
      </c>
      <c r="D423" s="373" t="str">
        <f>IF($C423="","",IFERROR(VLOOKUP($C423,SERVIÇOS!$B:$G,2,0),IFERROR(VLOOKUP($C423,'COMPOSIÇÕES COMPLEMENTARES '!$D:$L,2,0),IFERROR(VLOOKUP($C423,INSUMOS!$A:$D,2,0),""))))</f>
        <v>CABO FLEXÍVEL ISOL. 750V  -  #1,0MM² - AFUMEX GREEN</v>
      </c>
      <c r="E423" s="312" t="str">
        <f>IF($C423="","",IFERROR(VLOOKUP($C423,SERVIÇOS!$B:$G,3,0),IFERROR(VLOOKUP($C423,'COMPOSIÇÕES COMPLEMENTARES '!$D:$L,3,0),IFERROR(VLOOKUP($C423,INSUMOS!$A:$D,3,0),""))))</f>
        <v>M</v>
      </c>
      <c r="F423" s="313">
        <v>350</v>
      </c>
      <c r="G423" s="314">
        <f>IF($C423="","",IFERROR(VLOOKUP($C423,SERVIÇOS!$B:$G,4,0),IFERROR(VLOOKUP($C423,'COMPOSIÇÕES COMPLEMENTARES '!$D:$L,6,0),IFERROR(VLOOKUP($C423,INSUMOS!$A:$D,4,0),""))))</f>
        <v>1.94</v>
      </c>
      <c r="H423" s="314">
        <f>IF($C423="","",IFERROR(VLOOKUP($C423,SERVIÇOS!$B:$G,5,0),IFERROR(VLOOKUP($C423,'COMPOSIÇÕES COMPLEMENTARES '!$D:$L,7,0),0)))</f>
        <v>1.48</v>
      </c>
      <c r="I423" s="314">
        <f t="shared" si="38"/>
        <v>3.42</v>
      </c>
      <c r="J423" s="314">
        <f t="shared" si="39"/>
        <v>679</v>
      </c>
      <c r="K423" s="314">
        <f t="shared" si="40"/>
        <v>518</v>
      </c>
      <c r="L423" s="948">
        <f t="shared" si="41"/>
        <v>1197</v>
      </c>
      <c r="M423" s="374">
        <f t="shared" si="42"/>
        <v>5490602.8300000094</v>
      </c>
      <c r="N423" s="375">
        <f>+M423/L$815</f>
        <v>0.97219375892015891</v>
      </c>
      <c r="O423" s="376" t="str">
        <f>IF(N423&lt;0.5,"A",IF(N423&gt;0.8,"C","B"))</f>
        <v>C</v>
      </c>
    </row>
    <row r="424" spans="1:15" x14ac:dyDescent="0.25">
      <c r="A424" s="232">
        <f t="shared" si="37"/>
        <v>424</v>
      </c>
      <c r="B424" s="232"/>
      <c r="C424" s="310" t="s">
        <v>12551</v>
      </c>
      <c r="D424" s="373" t="str">
        <f>IF($C424="","",IFERROR(VLOOKUP($C424,SERVIÇOS!$B:$G,2,0),IFERROR(VLOOKUP($C424,'COMPOSIÇÕES COMPLEMENTARES '!$D:$L,2,0),IFERROR(VLOOKUP($C424,INSUMOS!$A:$D,2,0),""))))</f>
        <v>PINTURA DE DEMARCAÇÃO DE VAGA ACESSÍVEL COM TINTA ACRÍLICA</v>
      </c>
      <c r="E424" s="312" t="str">
        <f>IF($C424="","",IFERROR(VLOOKUP($C424,SERVIÇOS!$B:$G,3,0),IFERROR(VLOOKUP($C424,'COMPOSIÇÕES COMPLEMENTARES '!$D:$L,3,0),IFERROR(VLOOKUP($C424,INSUMOS!$A:$D,3,0),""))))</f>
        <v>UN</v>
      </c>
      <c r="F424" s="313">
        <v>2</v>
      </c>
      <c r="G424" s="314">
        <f>IF($C424="","",IFERROR(VLOOKUP($C424,SERVIÇOS!$B:$G,4,0),IFERROR(VLOOKUP($C424,'COMPOSIÇÕES COMPLEMENTARES '!$D:$L,6,0),IFERROR(VLOOKUP($C424,INSUMOS!$A:$D,4,0),""))))</f>
        <v>222.83</v>
      </c>
      <c r="H424" s="314">
        <f>IF($C424="","",IFERROR(VLOOKUP($C424,SERVIÇOS!$B:$G,5,0),IFERROR(VLOOKUP($C424,'COMPOSIÇÕES COMPLEMENTARES '!$D:$L,7,0),0)))</f>
        <v>375.6</v>
      </c>
      <c r="I424" s="314">
        <f t="shared" si="38"/>
        <v>598.43000000000006</v>
      </c>
      <c r="J424" s="314">
        <f t="shared" si="39"/>
        <v>445.66</v>
      </c>
      <c r="K424" s="314">
        <f t="shared" si="40"/>
        <v>751.2</v>
      </c>
      <c r="L424" s="948">
        <f t="shared" si="41"/>
        <v>1196.8599999999999</v>
      </c>
      <c r="M424" s="374">
        <f t="shared" si="42"/>
        <v>5491799.6900000097</v>
      </c>
      <c r="N424" s="375">
        <f>+M424/L$815</f>
        <v>0.97240568097286029</v>
      </c>
      <c r="O424" s="376" t="str">
        <f>IF(N424&lt;0.5,"A",IF(N424&gt;0.8,"C","B"))</f>
        <v>C</v>
      </c>
    </row>
    <row r="425" spans="1:15" x14ac:dyDescent="0.25">
      <c r="A425" s="232">
        <f t="shared" si="37"/>
        <v>425</v>
      </c>
      <c r="B425" s="232"/>
      <c r="C425" s="310">
        <v>86878</v>
      </c>
      <c r="D425" s="373" t="str">
        <f>IF($C425="","",IFERROR(VLOOKUP($C425,SERVIÇOS!$B:$G,2,0),IFERROR(VLOOKUP($C425,'COMPOSIÇÕES COMPLEMENTARES '!$D:$L,2,0),IFERROR(VLOOKUP($C425,INSUMOS!$A:$D,2,0),""))))</f>
        <v>VÁLVULA EM METAL CROMADO TIPO AMERICANA 3.1/2" X 1.1/2" PARA PIA - FORNECIMENTO E INSTALAÇÃO. AF_01/2020</v>
      </c>
      <c r="E425" s="312" t="str">
        <f>IF($C425="","",IFERROR(VLOOKUP($C425,SERVIÇOS!$B:$G,3,0),IFERROR(VLOOKUP($C425,'COMPOSIÇÕES COMPLEMENTARES '!$D:$L,3,0),IFERROR(VLOOKUP($C425,INSUMOS!$A:$D,3,0),""))))</f>
        <v>UN</v>
      </c>
      <c r="F425" s="313">
        <v>11</v>
      </c>
      <c r="G425" s="314">
        <f>IF($C425="","",IFERROR(VLOOKUP($C425,SERVIÇOS!$B:$G,4,0),IFERROR(VLOOKUP($C425,'COMPOSIÇÕES COMPLEMENTARES '!$D:$L,6,0),IFERROR(VLOOKUP($C425,INSUMOS!$A:$D,4,0),""))))</f>
        <v>102.81</v>
      </c>
      <c r="H425" s="314">
        <f>IF($C425="","",IFERROR(VLOOKUP($C425,SERVIÇOS!$B:$G,5,0),IFERROR(VLOOKUP($C425,'COMPOSIÇÕES COMPLEMENTARES '!$D:$L,7,0),0)))</f>
        <v>5.84</v>
      </c>
      <c r="I425" s="314">
        <f t="shared" si="38"/>
        <v>108.65</v>
      </c>
      <c r="J425" s="314">
        <f t="shared" si="39"/>
        <v>1130.9100000000001</v>
      </c>
      <c r="K425" s="314">
        <f t="shared" si="40"/>
        <v>64.239999999999995</v>
      </c>
      <c r="L425" s="948">
        <f t="shared" si="41"/>
        <v>1195.1500000000001</v>
      </c>
      <c r="M425" s="374">
        <f t="shared" si="42"/>
        <v>5492994.8400000101</v>
      </c>
      <c r="N425" s="375">
        <f>+M425/L$815</f>
        <v>0.97261730024435911</v>
      </c>
      <c r="O425" s="376" t="str">
        <f>IF(N425&lt;0.5,"A",IF(N425&gt;0.8,"C","B"))</f>
        <v>C</v>
      </c>
    </row>
    <row r="426" spans="1:15" x14ac:dyDescent="0.25">
      <c r="A426" s="232">
        <f t="shared" si="37"/>
        <v>426</v>
      </c>
      <c r="B426" s="232"/>
      <c r="C426" s="310">
        <v>93382</v>
      </c>
      <c r="D426" s="373" t="str">
        <f>IF($C426="","",IFERROR(VLOOKUP($C426,SERVIÇOS!$B:$G,2,0),IFERROR(VLOOKUP($C426,'COMPOSIÇÕES COMPLEMENTARES '!$D:$L,2,0),IFERROR(VLOOKUP($C426,INSUMOS!$A:$D,2,0),""))))</f>
        <v>REATERRO MANUAL DE VALAS, COM COMPACTADOR DE SOLOS DE PERCUSSÃO. AF_08/2023</v>
      </c>
      <c r="E426" s="312" t="str">
        <f>IF($C426="","",IFERROR(VLOOKUP($C426,SERVIÇOS!$B:$G,3,0),IFERROR(VLOOKUP($C426,'COMPOSIÇÕES COMPLEMENTARES '!$D:$L,3,0),IFERROR(VLOOKUP($C426,INSUMOS!$A:$D,3,0),""))))</f>
        <v>M3</v>
      </c>
      <c r="F426" s="313">
        <v>35.840000000000003</v>
      </c>
      <c r="G426" s="314">
        <f>IF($C426="","",IFERROR(VLOOKUP($C426,SERVIÇOS!$B:$G,4,0),IFERROR(VLOOKUP($C426,'COMPOSIÇÕES COMPLEMENTARES '!$D:$L,6,0),IFERROR(VLOOKUP($C426,INSUMOS!$A:$D,4,0),""))))</f>
        <v>12.29</v>
      </c>
      <c r="H426" s="314">
        <f>IF($C426="","",IFERROR(VLOOKUP($C426,SERVIÇOS!$B:$G,5,0),IFERROR(VLOOKUP($C426,'COMPOSIÇÕES COMPLEMENTARES '!$D:$L,7,0),0)))</f>
        <v>20.78</v>
      </c>
      <c r="I426" s="314">
        <f t="shared" si="38"/>
        <v>33.07</v>
      </c>
      <c r="J426" s="314">
        <f t="shared" si="39"/>
        <v>440.47</v>
      </c>
      <c r="K426" s="314">
        <f t="shared" si="40"/>
        <v>744.75</v>
      </c>
      <c r="L426" s="948">
        <f t="shared" si="41"/>
        <v>1185.22</v>
      </c>
      <c r="M426" s="374">
        <f t="shared" si="42"/>
        <v>5494180.0600000098</v>
      </c>
      <c r="N426" s="375">
        <f>+M426/L$815</f>
        <v>0.97282716126010238</v>
      </c>
      <c r="O426" s="376" t="str">
        <f>IF(N426&lt;0.5,"A",IF(N426&gt;0.8,"C","B"))</f>
        <v>C</v>
      </c>
    </row>
    <row r="427" spans="1:15" x14ac:dyDescent="0.25">
      <c r="A427" s="232">
        <f t="shared" si="37"/>
        <v>427</v>
      </c>
      <c r="B427" s="232"/>
      <c r="C427" s="310">
        <v>101616</v>
      </c>
      <c r="D427" s="373" t="str">
        <f>IF($C427="","",IFERROR(VLOOKUP($C427,SERVIÇOS!$B:$G,2,0),IFERROR(VLOOKUP($C427,'COMPOSIÇÕES COMPLEMENTARES '!$D:$L,2,0),IFERROR(VLOOKUP($C427,INSUMOS!$A:$D,2,0),""))))</f>
        <v>PREPARO DE FUNDO DE VALA COM LARGURA MENOR QUE 1,5 M (ACERTO DO SOLO NATURAL). AF_08/2020</v>
      </c>
      <c r="E427" s="312" t="str">
        <f>IF($C427="","",IFERROR(VLOOKUP($C427,SERVIÇOS!$B:$G,3,0),IFERROR(VLOOKUP($C427,'COMPOSIÇÕES COMPLEMENTARES '!$D:$L,3,0),IFERROR(VLOOKUP($C427,INSUMOS!$A:$D,3,0),""))))</f>
        <v>M2</v>
      </c>
      <c r="F427" s="313">
        <v>140.51</v>
      </c>
      <c r="G427" s="314">
        <f>IF($C427="","",IFERROR(VLOOKUP($C427,SERVIÇOS!$B:$G,4,0),IFERROR(VLOOKUP($C427,'COMPOSIÇÕES COMPLEMENTARES '!$D:$L,6,0),IFERROR(VLOOKUP($C427,INSUMOS!$A:$D,4,0),""))))</f>
        <v>2.46</v>
      </c>
      <c r="H427" s="314">
        <f>IF($C427="","",IFERROR(VLOOKUP($C427,SERVIÇOS!$B:$G,5,0),IFERROR(VLOOKUP($C427,'COMPOSIÇÕES COMPLEMENTARES '!$D:$L,7,0),0)))</f>
        <v>5.96</v>
      </c>
      <c r="I427" s="314">
        <f t="shared" si="38"/>
        <v>8.42</v>
      </c>
      <c r="J427" s="314">
        <f t="shared" si="39"/>
        <v>345.65</v>
      </c>
      <c r="K427" s="314">
        <f t="shared" si="40"/>
        <v>837.43</v>
      </c>
      <c r="L427" s="948">
        <f t="shared" si="41"/>
        <v>1183.08</v>
      </c>
      <c r="M427" s="374">
        <f t="shared" si="42"/>
        <v>5495363.1400000099</v>
      </c>
      <c r="N427" s="375">
        <f>+M427/L$815</f>
        <v>0.97303664335668005</v>
      </c>
      <c r="O427" s="376" t="str">
        <f>IF(N427&lt;0.5,"A",IF(N427&gt;0.8,"C","B"))</f>
        <v>C</v>
      </c>
    </row>
    <row r="428" spans="1:15" ht="25.5" x14ac:dyDescent="0.25">
      <c r="A428" s="232">
        <f t="shared" si="37"/>
        <v>428</v>
      </c>
      <c r="B428" s="232"/>
      <c r="C428" s="310" t="s">
        <v>12217</v>
      </c>
      <c r="D428" s="373" t="str">
        <f>IF($C428="","",IFERROR(VLOOKUP($C428,SERVIÇOS!$B:$G,2,0),IFERROR(VLOOKUP($C428,'COMPOSIÇÕES COMPLEMENTARES '!$D:$L,2,0),IFERROR(VLOOKUP($C428,INSUMOS!$A:$D,2,0),""))))</f>
        <v>ELETRODUTO RÍGIDO ROSCÁVEL, PVC, DN 25 MM (3/4"), INCLUSO CONEXÕES E ACESSÓRIOS, INSTALAÇÃO APARENTE - FORNECIMENTO E INSTALAÇÃO</v>
      </c>
      <c r="E428" s="312" t="str">
        <f>IF($C428="","",IFERROR(VLOOKUP($C428,SERVIÇOS!$B:$G,3,0),IFERROR(VLOOKUP($C428,'COMPOSIÇÕES COMPLEMENTARES '!$D:$L,3,0),IFERROR(VLOOKUP($C428,INSUMOS!$A:$D,3,0),""))))</f>
        <v>M</v>
      </c>
      <c r="F428" s="313">
        <v>50</v>
      </c>
      <c r="G428" s="314">
        <f>IF($C428="","",IFERROR(VLOOKUP($C428,SERVIÇOS!$B:$G,4,0),IFERROR(VLOOKUP($C428,'COMPOSIÇÕES COMPLEMENTARES '!$D:$L,6,0),IFERROR(VLOOKUP($C428,INSUMOS!$A:$D,4,0),""))))</f>
        <v>14.79</v>
      </c>
      <c r="H428" s="314">
        <f>IF($C428="","",IFERROR(VLOOKUP($C428,SERVIÇOS!$B:$G,5,0),IFERROR(VLOOKUP($C428,'COMPOSIÇÕES COMPLEMENTARES '!$D:$L,7,0),0)))</f>
        <v>8.75</v>
      </c>
      <c r="I428" s="314">
        <f t="shared" si="38"/>
        <v>23.54</v>
      </c>
      <c r="J428" s="314">
        <f t="shared" si="39"/>
        <v>739.5</v>
      </c>
      <c r="K428" s="314">
        <f t="shared" si="40"/>
        <v>437.5</v>
      </c>
      <c r="L428" s="948">
        <f t="shared" si="41"/>
        <v>1177</v>
      </c>
      <c r="M428" s="374">
        <f t="shared" si="42"/>
        <v>5496540.1400000099</v>
      </c>
      <c r="N428" s="375">
        <f>+M428/L$815</f>
        <v>0.97324504889787067</v>
      </c>
      <c r="O428" s="376" t="str">
        <f>IF(N428&lt;0.5,"A",IF(N428&gt;0.8,"C","B"))</f>
        <v>C</v>
      </c>
    </row>
    <row r="429" spans="1:15" x14ac:dyDescent="0.25">
      <c r="A429" s="232">
        <f t="shared" si="37"/>
        <v>429</v>
      </c>
      <c r="B429" s="232"/>
      <c r="C429" s="310" t="s">
        <v>12061</v>
      </c>
      <c r="D429" s="373" t="str">
        <f>IF($C429="","",IFERROR(VLOOKUP($C429,SERVIÇOS!$B:$G,2,0),IFERROR(VLOOKUP($C429,'COMPOSIÇÕES COMPLEMENTARES '!$D:$L,2,0),IFERROR(VLOOKUP($C429,INSUMOS!$A:$D,2,0),""))))</f>
        <v>BARRA DE APOIO, ALUMÍNIO, PARA LAVATÓRIO, EM "U" L=30 CM (BARRAS COM DIÂMETRO ENTRE 3,0 E 4,5 CM)</v>
      </c>
      <c r="E429" s="312" t="str">
        <f>IF($C429="","",IFERROR(VLOOKUP($C429,SERVIÇOS!$B:$G,3,0),IFERROR(VLOOKUP($C429,'COMPOSIÇÕES COMPLEMENTARES '!$D:$L,3,0),IFERROR(VLOOKUP($C429,INSUMOS!$A:$D,3,0),""))))</f>
        <v>UN</v>
      </c>
      <c r="F429" s="313">
        <v>7</v>
      </c>
      <c r="G429" s="314">
        <f>IF($C429="","",IFERROR(VLOOKUP($C429,SERVIÇOS!$B:$G,4,0),IFERROR(VLOOKUP($C429,'COMPOSIÇÕES COMPLEMENTARES '!$D:$L,6,0),IFERROR(VLOOKUP($C429,INSUMOS!$A:$D,4,0),""))))</f>
        <v>139.78</v>
      </c>
      <c r="H429" s="314">
        <f>IF($C429="","",IFERROR(VLOOKUP($C429,SERVIÇOS!$B:$G,5,0),IFERROR(VLOOKUP($C429,'COMPOSIÇÕES COMPLEMENTARES '!$D:$L,7,0),0)))</f>
        <v>27.63</v>
      </c>
      <c r="I429" s="314">
        <f t="shared" si="38"/>
        <v>167.41</v>
      </c>
      <c r="J429" s="314">
        <f t="shared" si="39"/>
        <v>978.46</v>
      </c>
      <c r="K429" s="314">
        <f t="shared" si="40"/>
        <v>193.41</v>
      </c>
      <c r="L429" s="948">
        <f t="shared" si="41"/>
        <v>1171.8699999999999</v>
      </c>
      <c r="M429" s="374">
        <f t="shared" si="42"/>
        <v>5497712.01000001</v>
      </c>
      <c r="N429" s="375">
        <f>+M429/L$815</f>
        <v>0.97345254609545362</v>
      </c>
      <c r="O429" s="376" t="str">
        <f>IF(N429&lt;0.5,"A",IF(N429&gt;0.8,"C","B"))</f>
        <v>C</v>
      </c>
    </row>
    <row r="430" spans="1:15" x14ac:dyDescent="0.25">
      <c r="A430" s="232">
        <f t="shared" si="37"/>
        <v>430</v>
      </c>
      <c r="B430" s="232"/>
      <c r="C430" s="310">
        <v>94499</v>
      </c>
      <c r="D430" s="373" t="str">
        <f>IF($C430="","",IFERROR(VLOOKUP($C430,SERVIÇOS!$B:$G,2,0),IFERROR(VLOOKUP($C430,'COMPOSIÇÕES COMPLEMENTARES '!$D:$L,2,0),IFERROR(VLOOKUP($C430,INSUMOS!$A:$D,2,0),""))))</f>
        <v>REGISTRO DE GAVETA BRUTO, LATÃO, ROSCÁVEL, 2 1/2" - FORNECIMENTO E INSTALAÇÃO. AF_08/2021</v>
      </c>
      <c r="E430" s="312" t="str">
        <f>IF($C430="","",IFERROR(VLOOKUP($C430,SERVIÇOS!$B:$G,3,0),IFERROR(VLOOKUP($C430,'COMPOSIÇÕES COMPLEMENTARES '!$D:$L,3,0),IFERROR(VLOOKUP($C430,INSUMOS!$A:$D,3,0),""))))</f>
        <v>UN</v>
      </c>
      <c r="F430" s="313">
        <v>4</v>
      </c>
      <c r="G430" s="314">
        <f>IF($C430="","",IFERROR(VLOOKUP($C430,SERVIÇOS!$B:$G,4,0),IFERROR(VLOOKUP($C430,'COMPOSIÇÕES COMPLEMENTARES '!$D:$L,6,0),IFERROR(VLOOKUP($C430,INSUMOS!$A:$D,4,0),""))))</f>
        <v>268.93</v>
      </c>
      <c r="H430" s="314">
        <f>IF($C430="","",IFERROR(VLOOKUP($C430,SERVIÇOS!$B:$G,5,0),IFERROR(VLOOKUP($C430,'COMPOSIÇÕES COMPLEMENTARES '!$D:$L,7,0),0)))</f>
        <v>22.08</v>
      </c>
      <c r="I430" s="314">
        <f t="shared" si="38"/>
        <v>291.01</v>
      </c>
      <c r="J430" s="314">
        <f t="shared" si="39"/>
        <v>1075.72</v>
      </c>
      <c r="K430" s="314">
        <f t="shared" si="40"/>
        <v>88.32</v>
      </c>
      <c r="L430" s="948">
        <f t="shared" si="41"/>
        <v>1164.04</v>
      </c>
      <c r="M430" s="374">
        <f t="shared" si="42"/>
        <v>5498876.0500000101</v>
      </c>
      <c r="N430" s="375">
        <f>+M430/L$815</f>
        <v>0.97365865687384578</v>
      </c>
      <c r="O430" s="376" t="str">
        <f>IF(N430&lt;0.5,"A",IF(N430&gt;0.8,"C","B"))</f>
        <v>C</v>
      </c>
    </row>
    <row r="431" spans="1:15" x14ac:dyDescent="0.25">
      <c r="A431" s="232">
        <f t="shared" si="37"/>
        <v>431</v>
      </c>
      <c r="B431" s="232"/>
      <c r="C431" s="310" t="s">
        <v>12318</v>
      </c>
      <c r="D431" s="373" t="str">
        <f>IF($C431="","",IFERROR(VLOOKUP($C431,SERVIÇOS!$B:$G,2,0),IFERROR(VLOOKUP($C431,'COMPOSIÇÕES COMPLEMENTARES '!$D:$L,2,0),IFERROR(VLOOKUP($C431,INSUMOS!$A:$D,2,0),""))))</f>
        <v>PLACA 4"X2" COM 1 TOMADA TIPO RJ45 CAT. 6</v>
      </c>
      <c r="E431" s="312" t="str">
        <f>IF($C431="","",IFERROR(VLOOKUP($C431,SERVIÇOS!$B:$G,3,0),IFERROR(VLOOKUP($C431,'COMPOSIÇÕES COMPLEMENTARES '!$D:$L,3,0),IFERROR(VLOOKUP($C431,INSUMOS!$A:$D,3,0),""))))</f>
        <v>UN</v>
      </c>
      <c r="F431" s="313">
        <v>24</v>
      </c>
      <c r="G431" s="314">
        <f>IF($C431="","",IFERROR(VLOOKUP($C431,SERVIÇOS!$B:$G,4,0),IFERROR(VLOOKUP($C431,'COMPOSIÇÕES COMPLEMENTARES '!$D:$L,6,0),IFERROR(VLOOKUP($C431,INSUMOS!$A:$D,4,0),""))))</f>
        <v>38.299999999999997</v>
      </c>
      <c r="H431" s="314">
        <f>IF($C431="","",IFERROR(VLOOKUP($C431,SERVIÇOS!$B:$G,5,0),IFERROR(VLOOKUP($C431,'COMPOSIÇÕES COMPLEMENTARES '!$D:$L,7,0),0)))</f>
        <v>10.199999999999999</v>
      </c>
      <c r="I431" s="314">
        <f t="shared" si="38"/>
        <v>48.5</v>
      </c>
      <c r="J431" s="314">
        <f t="shared" si="39"/>
        <v>919.2</v>
      </c>
      <c r="K431" s="314">
        <f t="shared" si="40"/>
        <v>244.8</v>
      </c>
      <c r="L431" s="948">
        <f t="shared" si="41"/>
        <v>1164</v>
      </c>
      <c r="M431" s="374">
        <f t="shared" si="42"/>
        <v>5500040.0500000101</v>
      </c>
      <c r="N431" s="375">
        <f>+M431/L$815</f>
        <v>0.97386476056963667</v>
      </c>
      <c r="O431" s="376" t="str">
        <f>IF(N431&lt;0.5,"A",IF(N431&gt;0.8,"C","B"))</f>
        <v>C</v>
      </c>
    </row>
    <row r="432" spans="1:15" x14ac:dyDescent="0.25">
      <c r="A432" s="232">
        <f t="shared" si="37"/>
        <v>432</v>
      </c>
      <c r="B432" s="232"/>
      <c r="C432" s="310" t="s">
        <v>12544</v>
      </c>
      <c r="D432" s="373" t="str">
        <f>IF($C432="","",IFERROR(VLOOKUP($C432,SERVIÇOS!$B:$G,2,0),IFERROR(VLOOKUP($C432,'COMPOSIÇÕES COMPLEMENTARES '!$D:$L,2,0),IFERROR(VLOOKUP($C432,INSUMOS!$A:$D,2,0),""))))</f>
        <v>ESTAÇÃO DE CHAMADA DE LEITO SISTEMA ECONÔMICO, EM CX. 4"X2" C/ CORDEL - REFERÊNCIA ESSENCIAL E SUPREMO</v>
      </c>
      <c r="E432" s="312" t="str">
        <f>IF($C432="","",IFERROR(VLOOKUP($C432,SERVIÇOS!$B:$G,3,0),IFERROR(VLOOKUP($C432,'COMPOSIÇÕES COMPLEMENTARES '!$D:$L,3,0),IFERROR(VLOOKUP($C432,INSUMOS!$A:$D,3,0),""))))</f>
        <v>UN</v>
      </c>
      <c r="F432" s="313">
        <v>8</v>
      </c>
      <c r="G432" s="314">
        <f>IF($C432="","",IFERROR(VLOOKUP($C432,SERVIÇOS!$B:$G,4,0),IFERROR(VLOOKUP($C432,'COMPOSIÇÕES COMPLEMENTARES '!$D:$L,6,0),IFERROR(VLOOKUP($C432,INSUMOS!$A:$D,4,0),""))))</f>
        <v>85.73</v>
      </c>
      <c r="H432" s="314">
        <f>IF($C432="","",IFERROR(VLOOKUP($C432,SERVIÇOS!$B:$G,5,0),IFERROR(VLOOKUP($C432,'COMPOSIÇÕES COMPLEMENTARES '!$D:$L,7,0),0)))</f>
        <v>59.44</v>
      </c>
      <c r="I432" s="314">
        <f t="shared" si="38"/>
        <v>145.17000000000002</v>
      </c>
      <c r="J432" s="314">
        <f t="shared" si="39"/>
        <v>685.84</v>
      </c>
      <c r="K432" s="314">
        <f t="shared" si="40"/>
        <v>475.52</v>
      </c>
      <c r="L432" s="948">
        <f t="shared" si="41"/>
        <v>1161.3599999999999</v>
      </c>
      <c r="M432" s="374">
        <f t="shared" si="42"/>
        <v>5501201.4100000104</v>
      </c>
      <c r="N432" s="375">
        <f>+M432/L$815</f>
        <v>0.97407039681374641</v>
      </c>
      <c r="O432" s="376" t="str">
        <f>IF(N432&lt;0.5,"A",IF(N432&gt;0.8,"C","B"))</f>
        <v>C</v>
      </c>
    </row>
    <row r="433" spans="1:15" x14ac:dyDescent="0.25">
      <c r="A433" s="232">
        <f t="shared" si="37"/>
        <v>433</v>
      </c>
      <c r="B433" s="232"/>
      <c r="C433" s="310" t="s">
        <v>12335</v>
      </c>
      <c r="D433" s="373" t="str">
        <f>IF($C433="","",IFERROR(VLOOKUP($C433,SERVIÇOS!$B:$G,2,0),IFERROR(VLOOKUP($C433,'COMPOSIÇÕES COMPLEMENTARES '!$D:$L,2,0),IFERROR(VLOOKUP($C433,INSUMOS!$A:$D,2,0),""))))</f>
        <v>SOLDA EXOTÉRMICA  RE-BAR/ CABO</v>
      </c>
      <c r="E433" s="312" t="str">
        <f>IF($C433="","",IFERROR(VLOOKUP($C433,SERVIÇOS!$B:$G,3,0),IFERROR(VLOOKUP($C433,'COMPOSIÇÕES COMPLEMENTARES '!$D:$L,3,0),IFERROR(VLOOKUP($C433,INSUMOS!$A:$D,3,0),""))))</f>
        <v>UN</v>
      </c>
      <c r="F433" s="313">
        <v>20</v>
      </c>
      <c r="G433" s="314">
        <f>IF($C433="","",IFERROR(VLOOKUP($C433,SERVIÇOS!$B:$G,4,0),IFERROR(VLOOKUP($C433,'COMPOSIÇÕES COMPLEMENTARES '!$D:$L,6,0),IFERROR(VLOOKUP($C433,INSUMOS!$A:$D,4,0),""))))</f>
        <v>32.82</v>
      </c>
      <c r="H433" s="314">
        <f>IF($C433="","",IFERROR(VLOOKUP($C433,SERVIÇOS!$B:$G,5,0),IFERROR(VLOOKUP($C433,'COMPOSIÇÕES COMPLEMENTARES '!$D:$L,7,0),0)))</f>
        <v>24.77</v>
      </c>
      <c r="I433" s="314">
        <f t="shared" si="38"/>
        <v>57.59</v>
      </c>
      <c r="J433" s="314">
        <f t="shared" si="39"/>
        <v>656.4</v>
      </c>
      <c r="K433" s="314">
        <f t="shared" si="40"/>
        <v>495.4</v>
      </c>
      <c r="L433" s="948">
        <f t="shared" si="41"/>
        <v>1151.8</v>
      </c>
      <c r="M433" s="374">
        <f t="shared" si="42"/>
        <v>5502353.2100000102</v>
      </c>
      <c r="N433" s="375">
        <f>+M433/L$815</f>
        <v>0.97427434031616222</v>
      </c>
      <c r="O433" s="376" t="str">
        <f>IF(N433&lt;0.5,"A",IF(N433&gt;0.8,"C","B"))</f>
        <v>C</v>
      </c>
    </row>
    <row r="434" spans="1:15" x14ac:dyDescent="0.25">
      <c r="A434" s="232">
        <f t="shared" si="37"/>
        <v>434</v>
      </c>
      <c r="B434" s="232"/>
      <c r="C434" s="310" t="s">
        <v>12336</v>
      </c>
      <c r="D434" s="373" t="str">
        <f>IF($C434="","",IFERROR(VLOOKUP($C434,SERVIÇOS!$B:$G,2,0),IFERROR(VLOOKUP($C434,'COMPOSIÇÕES COMPLEMENTARES '!$D:$L,2,0),IFERROR(VLOOKUP($C434,INSUMOS!$A:$D,2,0),""))))</f>
        <v>SOLDA EXOTÉRMICA  CABO/ HASTE</v>
      </c>
      <c r="E434" s="312" t="str">
        <f>IF($C434="","",IFERROR(VLOOKUP($C434,SERVIÇOS!$B:$G,3,0),IFERROR(VLOOKUP($C434,'COMPOSIÇÕES COMPLEMENTARES '!$D:$L,3,0),IFERROR(VLOOKUP($C434,INSUMOS!$A:$D,3,0),""))))</f>
        <v>UN</v>
      </c>
      <c r="F434" s="313">
        <v>20</v>
      </c>
      <c r="G434" s="314">
        <f>IF($C434="","",IFERROR(VLOOKUP($C434,SERVIÇOS!$B:$G,4,0),IFERROR(VLOOKUP($C434,'COMPOSIÇÕES COMPLEMENTARES '!$D:$L,6,0),IFERROR(VLOOKUP($C434,INSUMOS!$A:$D,4,0),""))))</f>
        <v>32.82</v>
      </c>
      <c r="H434" s="314">
        <f>IF($C434="","",IFERROR(VLOOKUP($C434,SERVIÇOS!$B:$G,5,0),IFERROR(VLOOKUP($C434,'COMPOSIÇÕES COMPLEMENTARES '!$D:$L,7,0),0)))</f>
        <v>24.77</v>
      </c>
      <c r="I434" s="314">
        <f t="shared" si="38"/>
        <v>57.59</v>
      </c>
      <c r="J434" s="314">
        <f t="shared" si="39"/>
        <v>656.4</v>
      </c>
      <c r="K434" s="314">
        <f t="shared" si="40"/>
        <v>495.4</v>
      </c>
      <c r="L434" s="948">
        <f t="shared" si="41"/>
        <v>1151.8</v>
      </c>
      <c r="M434" s="374">
        <f t="shared" si="42"/>
        <v>5503505.01000001</v>
      </c>
      <c r="N434" s="375">
        <f>+M434/L$815</f>
        <v>0.97447828381857793</v>
      </c>
      <c r="O434" s="376" t="str">
        <f>IF(N434&lt;0.5,"A",IF(N434&gt;0.8,"C","B"))</f>
        <v>C</v>
      </c>
    </row>
    <row r="435" spans="1:15" ht="25.5" x14ac:dyDescent="0.25">
      <c r="A435" s="232">
        <f t="shared" si="37"/>
        <v>435</v>
      </c>
      <c r="B435" s="232"/>
      <c r="C435" s="310">
        <v>97888</v>
      </c>
      <c r="D435" s="373" t="str">
        <f>IF($C435="","",IFERROR(VLOOKUP($C435,SERVIÇOS!$B:$G,2,0),IFERROR(VLOOKUP($C435,'COMPOSIÇÕES COMPLEMENTARES '!$D:$L,2,0),IFERROR(VLOOKUP($C435,INSUMOS!$A:$D,2,0),""))))</f>
        <v>CAIXA ENTERRADA ELÉTRICA RETANGULAR, EM ALVENARIA COM TIJOLOS CERÂMICOS MACIÇOS, FUNDO COM BRITA, DIMENSÕES INTERNAS: 0,6X0,6X0,6 M. AF_12/2020</v>
      </c>
      <c r="E435" s="312" t="str">
        <f>IF($C435="","",IFERROR(VLOOKUP($C435,SERVIÇOS!$B:$G,3,0),IFERROR(VLOOKUP($C435,'COMPOSIÇÕES COMPLEMENTARES '!$D:$L,3,0),IFERROR(VLOOKUP($C435,INSUMOS!$A:$D,3,0),""))))</f>
        <v>UN</v>
      </c>
      <c r="F435" s="313">
        <v>2</v>
      </c>
      <c r="G435" s="314">
        <f>IF($C435="","",IFERROR(VLOOKUP($C435,SERVIÇOS!$B:$G,4,0),IFERROR(VLOOKUP($C435,'COMPOSIÇÕES COMPLEMENTARES '!$D:$L,6,0),IFERROR(VLOOKUP($C435,INSUMOS!$A:$D,4,0),""))))</f>
        <v>291.77999999999997</v>
      </c>
      <c r="H435" s="314">
        <f>IF($C435="","",IFERROR(VLOOKUP($C435,SERVIÇOS!$B:$G,5,0),IFERROR(VLOOKUP($C435,'COMPOSIÇÕES COMPLEMENTARES '!$D:$L,7,0),0)))</f>
        <v>283.60000000000002</v>
      </c>
      <c r="I435" s="314">
        <f t="shared" si="38"/>
        <v>575.38</v>
      </c>
      <c r="J435" s="314">
        <f t="shared" si="39"/>
        <v>583.55999999999995</v>
      </c>
      <c r="K435" s="314">
        <f t="shared" si="40"/>
        <v>567.20000000000005</v>
      </c>
      <c r="L435" s="948">
        <f t="shared" si="41"/>
        <v>1150.76</v>
      </c>
      <c r="M435" s="374">
        <f t="shared" si="42"/>
        <v>5504655.7700000098</v>
      </c>
      <c r="N435" s="375">
        <f>+M435/L$815</f>
        <v>0.97468204317336171</v>
      </c>
      <c r="O435" s="376" t="str">
        <f>IF(N435&lt;0.5,"A",IF(N435&gt;0.8,"C","B"))</f>
        <v>C</v>
      </c>
    </row>
    <row r="436" spans="1:15" ht="25.5" x14ac:dyDescent="0.25">
      <c r="A436" s="232">
        <f t="shared" si="37"/>
        <v>436</v>
      </c>
      <c r="B436" s="232"/>
      <c r="C436" s="310">
        <v>97914</v>
      </c>
      <c r="D436" s="373" t="str">
        <f>IF($C436="","",IFERROR(VLOOKUP($C436,SERVIÇOS!$B:$G,2,0),IFERROR(VLOOKUP($C436,'COMPOSIÇÕES COMPLEMENTARES '!$D:$L,2,0),IFERROR(VLOOKUP($C436,INSUMOS!$A:$D,2,0),""))))</f>
        <v>TRANSPORTE COM CAMINHÃO BASCULANTE DE 6 M³, EM VIA URBANA PAVIMENTADA, DMT ATÉ 30 KM (UNIDADE: M3XKM). AF_07/2020</v>
      </c>
      <c r="E436" s="312" t="str">
        <f>IF($C436="","",IFERROR(VLOOKUP($C436,SERVIÇOS!$B:$G,3,0),IFERROR(VLOOKUP($C436,'COMPOSIÇÕES COMPLEMENTARES '!$D:$L,3,0),IFERROR(VLOOKUP($C436,INSUMOS!$A:$D,3,0),""))))</f>
        <v>M3XKM</v>
      </c>
      <c r="F436" s="313">
        <v>355.97</v>
      </c>
      <c r="G436" s="314">
        <f>IF($C436="","",IFERROR(VLOOKUP($C436,SERVIÇOS!$B:$G,4,0),IFERROR(VLOOKUP($C436,'COMPOSIÇÕES COMPLEMENTARES '!$D:$L,6,0),IFERROR(VLOOKUP($C436,INSUMOS!$A:$D,4,0),""))))</f>
        <v>2.64</v>
      </c>
      <c r="H436" s="314">
        <f>IF($C436="","",IFERROR(VLOOKUP($C436,SERVIÇOS!$B:$G,5,0),IFERROR(VLOOKUP($C436,'COMPOSIÇÕES COMPLEMENTARES '!$D:$L,7,0),0)))</f>
        <v>0.56999999999999995</v>
      </c>
      <c r="I436" s="314">
        <f t="shared" si="38"/>
        <v>3.21</v>
      </c>
      <c r="J436" s="314">
        <f t="shared" si="39"/>
        <v>939.76</v>
      </c>
      <c r="K436" s="314">
        <f t="shared" si="40"/>
        <v>202.9</v>
      </c>
      <c r="L436" s="948">
        <f t="shared" si="41"/>
        <v>1142.6600000000001</v>
      </c>
      <c r="M436" s="374">
        <f t="shared" si="42"/>
        <v>5505798.4300000099</v>
      </c>
      <c r="N436" s="375">
        <f>+M436/L$815</f>
        <v>0.97488436830139646</v>
      </c>
      <c r="O436" s="376" t="str">
        <f>IF(N436&lt;0.5,"A",IF(N436&gt;0.8,"C","B"))</f>
        <v>C</v>
      </c>
    </row>
    <row r="437" spans="1:15" ht="25.5" x14ac:dyDescent="0.25">
      <c r="A437" s="232">
        <f t="shared" si="37"/>
        <v>437</v>
      </c>
      <c r="B437" s="232"/>
      <c r="C437" s="310">
        <v>91943</v>
      </c>
      <c r="D437" s="373" t="str">
        <f>IF($C437="","",IFERROR(VLOOKUP($C437,SERVIÇOS!$B:$G,2,0),IFERROR(VLOOKUP($C437,'COMPOSIÇÕES COMPLEMENTARES '!$D:$L,2,0),IFERROR(VLOOKUP($C437,INSUMOS!$A:$D,2,0),""))))</f>
        <v>CAIXA RETANGULAR 4" X 4" MÉDIA (1,30 M DO PISO), PVC, INSTALADA EM PAREDE - FORNECIMENTO E INSTALAÇÃO. AF_03/2023</v>
      </c>
      <c r="E437" s="312" t="str">
        <f>IF($C437="","",IFERROR(VLOOKUP($C437,SERVIÇOS!$B:$G,3,0),IFERROR(VLOOKUP($C437,'COMPOSIÇÕES COMPLEMENTARES '!$D:$L,3,0),IFERROR(VLOOKUP($C437,INSUMOS!$A:$D,3,0),""))))</f>
        <v>UN</v>
      </c>
      <c r="F437" s="313">
        <v>39</v>
      </c>
      <c r="G437" s="314">
        <f>IF($C437="","",IFERROR(VLOOKUP($C437,SERVIÇOS!$B:$G,4,0),IFERROR(VLOOKUP($C437,'COMPOSIÇÕES COMPLEMENTARES '!$D:$L,6,0),IFERROR(VLOOKUP($C437,INSUMOS!$A:$D,4,0),""))))</f>
        <v>13.98</v>
      </c>
      <c r="H437" s="314">
        <f>IF($C437="","",IFERROR(VLOOKUP($C437,SERVIÇOS!$B:$G,5,0),IFERROR(VLOOKUP($C437,'COMPOSIÇÕES COMPLEMENTARES '!$D:$L,7,0),0)))</f>
        <v>15.09</v>
      </c>
      <c r="I437" s="314">
        <f t="shared" si="38"/>
        <v>29.07</v>
      </c>
      <c r="J437" s="314">
        <f t="shared" si="39"/>
        <v>545.22</v>
      </c>
      <c r="K437" s="314">
        <f t="shared" si="40"/>
        <v>588.51</v>
      </c>
      <c r="L437" s="948">
        <f t="shared" si="41"/>
        <v>1133.73</v>
      </c>
      <c r="M437" s="374">
        <f t="shared" si="42"/>
        <v>5506932.1600000104</v>
      </c>
      <c r="N437" s="375">
        <f>+M437/L$815</f>
        <v>0.97508511223870675</v>
      </c>
      <c r="O437" s="376" t="str">
        <f>IF(N437&lt;0.5,"A",IF(N437&gt;0.8,"C","B"))</f>
        <v>C</v>
      </c>
    </row>
    <row r="438" spans="1:15" x14ac:dyDescent="0.25">
      <c r="A438" s="232">
        <f t="shared" si="37"/>
        <v>438</v>
      </c>
      <c r="B438" s="232"/>
      <c r="C438" s="310" t="s">
        <v>12542</v>
      </c>
      <c r="D438" s="373" t="str">
        <f>IF($C438="","",IFERROR(VLOOKUP($C438,SERVIÇOS!$B:$G,2,0),IFERROR(VLOOKUP($C438,'COMPOSIÇÕES COMPLEMENTARES '!$D:$L,2,0),IFERROR(VLOOKUP($C438,INSUMOS!$A:$D,2,0),""))))</f>
        <v>CENTRAL DE CHAMADA DE ENFERMAGEM MODELO ECONÔMICO ESSENCIAL, PARA ATÉ 16 PONTOS DE ACIONAMENTO.</v>
      </c>
      <c r="E438" s="312" t="str">
        <f>IF($C438="","",IFERROR(VLOOKUP($C438,SERVIÇOS!$B:$G,3,0),IFERROR(VLOOKUP($C438,'COMPOSIÇÕES COMPLEMENTARES '!$D:$L,3,0),IFERROR(VLOOKUP($C438,INSUMOS!$A:$D,3,0),""))))</f>
        <v>UN</v>
      </c>
      <c r="F438" s="313">
        <v>1</v>
      </c>
      <c r="G438" s="314">
        <f>IF($C438="","",IFERROR(VLOOKUP($C438,SERVIÇOS!$B:$G,4,0),IFERROR(VLOOKUP($C438,'COMPOSIÇÕES COMPLEMENTARES '!$D:$L,6,0),IFERROR(VLOOKUP($C438,INSUMOS!$A:$D,4,0),""))))</f>
        <v>1120.5600000000002</v>
      </c>
      <c r="H438" s="314">
        <f>IF($C438="","",IFERROR(VLOOKUP($C438,SERVIÇOS!$B:$G,5,0),IFERROR(VLOOKUP($C438,'COMPOSIÇÕES COMPLEMENTARES '!$D:$L,7,0),0)))</f>
        <v>9.64</v>
      </c>
      <c r="I438" s="314">
        <f t="shared" si="38"/>
        <v>1130.2000000000003</v>
      </c>
      <c r="J438" s="314">
        <f t="shared" si="39"/>
        <v>1120.56</v>
      </c>
      <c r="K438" s="314">
        <f t="shared" si="40"/>
        <v>9.64</v>
      </c>
      <c r="L438" s="948">
        <f t="shared" si="41"/>
        <v>1130.2</v>
      </c>
      <c r="M438" s="374">
        <f t="shared" si="42"/>
        <v>5508062.3600000106</v>
      </c>
      <c r="N438" s="375">
        <f>+M438/L$815</f>
        <v>0.97528523113645837</v>
      </c>
      <c r="O438" s="376" t="str">
        <f>IF(N438&lt;0.5,"A",IF(N438&gt;0.8,"C","B"))</f>
        <v>C</v>
      </c>
    </row>
    <row r="439" spans="1:15" ht="25.5" x14ac:dyDescent="0.25">
      <c r="A439" s="232">
        <f t="shared" si="37"/>
        <v>439</v>
      </c>
      <c r="B439" s="232"/>
      <c r="C439" s="310">
        <v>90467</v>
      </c>
      <c r="D439" s="373" t="str">
        <f>IF($C439="","",IFERROR(VLOOKUP($C439,SERVIÇOS!$B:$G,2,0),IFERROR(VLOOKUP($C439,'COMPOSIÇÕES COMPLEMENTARES '!$D:$L,2,0),IFERROR(VLOOKUP($C439,INSUMOS!$A:$D,2,0),""))))</f>
        <v>CHUMBAMENTO LINEAR EM ALVENARIA PARA RAMAIS/DISTRIBUIÇÃO DE INSTALAÇÕES HIDRÁULICAS COM DIÂMETROS MAIORES QUE 40 MM E MENORES OU IGUAIS A 75 MM. AF_09/2023</v>
      </c>
      <c r="E439" s="312" t="str">
        <f>IF($C439="","",IFERROR(VLOOKUP($C439,SERVIÇOS!$B:$G,3,0),IFERROR(VLOOKUP($C439,'COMPOSIÇÕES COMPLEMENTARES '!$D:$L,3,0),IFERROR(VLOOKUP($C439,INSUMOS!$A:$D,3,0),""))))</f>
        <v>M</v>
      </c>
      <c r="F439" s="313">
        <v>39</v>
      </c>
      <c r="G439" s="314">
        <f>IF($C439="","",IFERROR(VLOOKUP($C439,SERVIÇOS!$B:$G,4,0),IFERROR(VLOOKUP($C439,'COMPOSIÇÕES COMPLEMENTARES '!$D:$L,6,0),IFERROR(VLOOKUP($C439,INSUMOS!$A:$D,4,0),""))))</f>
        <v>9.99</v>
      </c>
      <c r="H439" s="314">
        <f>IF($C439="","",IFERROR(VLOOKUP($C439,SERVIÇOS!$B:$G,5,0),IFERROR(VLOOKUP($C439,'COMPOSIÇÕES COMPLEMENTARES '!$D:$L,7,0),0)))</f>
        <v>18.89</v>
      </c>
      <c r="I439" s="314">
        <f t="shared" si="38"/>
        <v>28.880000000000003</v>
      </c>
      <c r="J439" s="314">
        <f t="shared" si="39"/>
        <v>389.61</v>
      </c>
      <c r="K439" s="314">
        <f t="shared" si="40"/>
        <v>736.71</v>
      </c>
      <c r="L439" s="948">
        <f t="shared" si="41"/>
        <v>1126.32</v>
      </c>
      <c r="M439" s="374">
        <f t="shared" si="42"/>
        <v>5509188.6800000109</v>
      </c>
      <c r="N439" s="375">
        <f>+M439/L$815</f>
        <v>0.97548466302189074</v>
      </c>
      <c r="O439" s="376" t="str">
        <f>IF(N439&lt;0.5,"A",IF(N439&gt;0.8,"C","B"))</f>
        <v>C</v>
      </c>
    </row>
    <row r="440" spans="1:15" x14ac:dyDescent="0.25">
      <c r="A440" s="232">
        <f t="shared" si="37"/>
        <v>440</v>
      </c>
      <c r="B440" s="232"/>
      <c r="C440" s="310" t="s">
        <v>12110</v>
      </c>
      <c r="D440" s="373" t="str">
        <f>IF($C440="","",IFERROR(VLOOKUP($C440,SERVIÇOS!$B:$G,2,0),IFERROR(VLOOKUP($C440,'COMPOSIÇÕES COMPLEMENTARES '!$D:$L,2,0),IFERROR(VLOOKUP($C440,INSUMOS!$A:$D,2,0),""))))</f>
        <v>TUBO DE POLIPROPILENO RANDOM (PPR), PN 12, INCLUSO CONEXÕES - D=25MM</v>
      </c>
      <c r="E440" s="312" t="str">
        <f>IF($C440="","",IFERROR(VLOOKUP($C440,SERVIÇOS!$B:$G,3,0),IFERROR(VLOOKUP($C440,'COMPOSIÇÕES COMPLEMENTARES '!$D:$L,3,0),IFERROR(VLOOKUP($C440,INSUMOS!$A:$D,3,0),""))))</f>
        <v>M</v>
      </c>
      <c r="F440" s="313">
        <v>32</v>
      </c>
      <c r="G440" s="314">
        <f>IF($C440="","",IFERROR(VLOOKUP($C440,SERVIÇOS!$B:$G,4,0),IFERROR(VLOOKUP($C440,'COMPOSIÇÕES COMPLEMENTARES '!$D:$L,6,0),IFERROR(VLOOKUP($C440,INSUMOS!$A:$D,4,0),""))))</f>
        <v>28.32</v>
      </c>
      <c r="H440" s="314">
        <f>IF($C440="","",IFERROR(VLOOKUP($C440,SERVIÇOS!$B:$G,5,0),IFERROR(VLOOKUP($C440,'COMPOSIÇÕES COMPLEMENTARES '!$D:$L,7,0),0)))</f>
        <v>6.11</v>
      </c>
      <c r="I440" s="314">
        <f t="shared" si="38"/>
        <v>34.43</v>
      </c>
      <c r="J440" s="314">
        <f t="shared" si="39"/>
        <v>906.24</v>
      </c>
      <c r="K440" s="314">
        <f t="shared" si="40"/>
        <v>195.52</v>
      </c>
      <c r="L440" s="948">
        <f t="shared" si="41"/>
        <v>1101.76</v>
      </c>
      <c r="M440" s="374">
        <f t="shared" si="42"/>
        <v>5510290.4400000107</v>
      </c>
      <c r="N440" s="375">
        <f>+M440/L$815</f>
        <v>0.97567974619016795</v>
      </c>
      <c r="O440" s="376" t="str">
        <f>IF(N440&lt;0.5,"A",IF(N440&gt;0.8,"C","B"))</f>
        <v>C</v>
      </c>
    </row>
    <row r="441" spans="1:15" x14ac:dyDescent="0.25">
      <c r="A441" s="232">
        <f t="shared" si="37"/>
        <v>441</v>
      </c>
      <c r="B441" s="232"/>
      <c r="C441" s="310" t="s">
        <v>12191</v>
      </c>
      <c r="D441" s="373" t="str">
        <f>IF($C441="","",IFERROR(VLOOKUP($C441,SERVIÇOS!$B:$G,2,0),IFERROR(VLOOKUP($C441,'COMPOSIÇÕES COMPLEMENTARES '!$D:$L,2,0),IFERROR(VLOOKUP($C441,INSUMOS!$A:$D,2,0),""))))</f>
        <v>ENVELOPAMENTO DE CONCRETO NO BANCO DE DUTOS</v>
      </c>
      <c r="E441" s="312" t="str">
        <f>IF($C441="","",IFERROR(VLOOKUP($C441,SERVIÇOS!$B:$G,3,0),IFERROR(VLOOKUP($C441,'COMPOSIÇÕES COMPLEMENTARES '!$D:$L,3,0),IFERROR(VLOOKUP($C441,INSUMOS!$A:$D,3,0),""))))</f>
        <v>M3</v>
      </c>
      <c r="F441" s="313">
        <v>2.52</v>
      </c>
      <c r="G441" s="314">
        <f>IF($C441="","",IFERROR(VLOOKUP($C441,SERVIÇOS!$B:$G,4,0),IFERROR(VLOOKUP($C441,'COMPOSIÇÕES COMPLEMENTARES '!$D:$L,6,0),IFERROR(VLOOKUP($C441,INSUMOS!$A:$D,4,0),""))))</f>
        <v>353.89</v>
      </c>
      <c r="H441" s="314">
        <f>IF($C441="","",IFERROR(VLOOKUP($C441,SERVIÇOS!$B:$G,5,0),IFERROR(VLOOKUP($C441,'COMPOSIÇÕES COMPLEMENTARES '!$D:$L,7,0),0)))</f>
        <v>82.48</v>
      </c>
      <c r="I441" s="314">
        <f t="shared" si="38"/>
        <v>436.37</v>
      </c>
      <c r="J441" s="314">
        <f t="shared" si="39"/>
        <v>891.8</v>
      </c>
      <c r="K441" s="314">
        <f t="shared" si="40"/>
        <v>207.84</v>
      </c>
      <c r="L441" s="948">
        <f t="shared" si="41"/>
        <v>1099.6400000000001</v>
      </c>
      <c r="M441" s="374">
        <f t="shared" si="42"/>
        <v>5511390.0800000103</v>
      </c>
      <c r="N441" s="375">
        <f>+M441/L$815</f>
        <v>0.97587445398057981</v>
      </c>
      <c r="O441" s="376" t="str">
        <f>IF(N441&lt;0.5,"A",IF(N441&gt;0.8,"C","B"))</f>
        <v>C</v>
      </c>
    </row>
    <row r="442" spans="1:15" ht="33.75" x14ac:dyDescent="0.25">
      <c r="A442" s="232">
        <f t="shared" si="37"/>
        <v>442</v>
      </c>
      <c r="B442" s="232"/>
      <c r="C442" s="310" t="s">
        <v>12363</v>
      </c>
      <c r="D442" s="377" t="str">
        <f>IF($C442="","",IFERROR(VLOOKUP($C442,SERVIÇOS!$B:$G,2,0),IFERROR(VLOOKUP($C442,'COMPOSIÇÕES COMPLEMENTARES '!$D:$L,2,0),IFERROR(VLOOKUP($C442,INSUMOS!$A:$D,2,0),""))))</f>
        <v>VÁLVULA DE SEÇÃO (BLOQUEIO) PARA GÁSMEDICINAL  OU VÁCUO CLÍNICO Ø1/2" ROSCA FÊMEA NPT, DO TIPO ESFERA, TRIPARTIDA, DE PASSAGEM PLENA, FECHAMENTO RÁPIDO COM CORPO EM LATÃO FORJADO E ESFERA DE AÇO INOXIDÁVEL. QUIMICAMENTE COMPATÍVEL COM O GÁS CONDUZIDO E CAPAZ DE SUPORTAR PRESSÕES SUPERIORES A 20 KGF/CM² (CLASSE 300 PSI).</v>
      </c>
      <c r="E442" s="312" t="str">
        <f>IF($C442="","",IFERROR(VLOOKUP($C442,SERVIÇOS!$B:$G,3,0),IFERROR(VLOOKUP($C442,'COMPOSIÇÕES COMPLEMENTARES '!$D:$L,3,0),IFERROR(VLOOKUP($C442,INSUMOS!$A:$D,3,0),""))))</f>
        <v>UN</v>
      </c>
      <c r="F442" s="313">
        <v>9</v>
      </c>
      <c r="G442" s="314">
        <f>IF($C442="","",IFERROR(VLOOKUP($C442,SERVIÇOS!$B:$G,4,0),IFERROR(VLOOKUP($C442,'COMPOSIÇÕES COMPLEMENTARES '!$D:$L,6,0),IFERROR(VLOOKUP($C442,INSUMOS!$A:$D,4,0),""))))</f>
        <v>98.26</v>
      </c>
      <c r="H442" s="314">
        <f>IF($C442="","",IFERROR(VLOOKUP($C442,SERVIÇOS!$B:$G,5,0),IFERROR(VLOOKUP($C442,'COMPOSIÇÕES COMPLEMENTARES '!$D:$L,7,0),0)))</f>
        <v>21.86</v>
      </c>
      <c r="I442" s="314">
        <f t="shared" si="38"/>
        <v>120.12</v>
      </c>
      <c r="J442" s="314">
        <f t="shared" si="39"/>
        <v>884.34</v>
      </c>
      <c r="K442" s="314">
        <f t="shared" si="40"/>
        <v>196.74</v>
      </c>
      <c r="L442" s="948">
        <f t="shared" si="41"/>
        <v>1081.08</v>
      </c>
      <c r="M442" s="374">
        <f t="shared" si="42"/>
        <v>5512471.1600000104</v>
      </c>
      <c r="N442" s="375">
        <f>+M442/L$815</f>
        <v>0.97606587544402112</v>
      </c>
      <c r="O442" s="376" t="str">
        <f>IF(N442&lt;0.5,"A",IF(N442&gt;0.8,"C","B"))</f>
        <v>C</v>
      </c>
    </row>
    <row r="443" spans="1:15" x14ac:dyDescent="0.25">
      <c r="A443" s="232">
        <f t="shared" si="37"/>
        <v>443</v>
      </c>
      <c r="B443" s="232"/>
      <c r="C443" s="744" t="s">
        <v>20489</v>
      </c>
      <c r="D443" s="373" t="str">
        <f>IF($C443="","",IFERROR(VLOOKUP($C443,SERVIÇOS!$B:$G,2,0),IFERROR(VLOOKUP($C443,'COMPOSIÇÕES COMPLEMENTARES '!$D:$L,2,0),IFERROR(VLOOKUP($C443,INSUMOS!$A:$D,2,0),""))))</f>
        <v>ASSENTAMENTO DE MEIO FIO DE CONCRETO TIPO 5 DER/PR - PRÉ-MOLDADO</v>
      </c>
      <c r="E443" s="312" t="str">
        <f>IF($C443="","",IFERROR(VLOOKUP($C443,SERVIÇOS!$B:$G,3,0),IFERROR(VLOOKUP($C443,'COMPOSIÇÕES COMPLEMENTARES '!$D:$L,3,0),IFERROR(VLOOKUP($C443,INSUMOS!$A:$D,3,0),""))))</f>
        <v>M</v>
      </c>
      <c r="F443" s="313">
        <v>27.999999999999993</v>
      </c>
      <c r="G443" s="314">
        <f>IF($C443="","",IFERROR(VLOOKUP($C443,SERVIÇOS!$B:$G,4,0),IFERROR(VLOOKUP($C443,'COMPOSIÇÕES COMPLEMENTARES '!$D:$L,6,0),IFERROR(VLOOKUP($C443,INSUMOS!$A:$D,4,0),""))))</f>
        <v>28.41</v>
      </c>
      <c r="H443" s="314">
        <f>IF($C443="","",IFERROR(VLOOKUP($C443,SERVIÇOS!$B:$G,5,0),IFERROR(VLOOKUP($C443,'COMPOSIÇÕES COMPLEMENTARES '!$D:$L,7,0),0)))</f>
        <v>9.23</v>
      </c>
      <c r="I443" s="314">
        <f t="shared" si="38"/>
        <v>37.64</v>
      </c>
      <c r="J443" s="314">
        <f t="shared" si="39"/>
        <v>795.48</v>
      </c>
      <c r="K443" s="314">
        <f t="shared" si="40"/>
        <v>258.44</v>
      </c>
      <c r="L443" s="948">
        <f t="shared" si="41"/>
        <v>1053.92</v>
      </c>
      <c r="M443" s="374">
        <f t="shared" si="42"/>
        <v>5513525.0800000103</v>
      </c>
      <c r="N443" s="375">
        <f>+M443/L$815</f>
        <v>0.9762524878212272</v>
      </c>
      <c r="O443" s="376" t="str">
        <f>IF(N443&lt;0.5,"A",IF(N443&gt;0.8,"C","B"))</f>
        <v>C</v>
      </c>
    </row>
    <row r="444" spans="1:15" x14ac:dyDescent="0.25">
      <c r="A444" s="232">
        <f t="shared" si="37"/>
        <v>444</v>
      </c>
      <c r="B444" s="232"/>
      <c r="C444" s="310" t="s">
        <v>12180</v>
      </c>
      <c r="D444" s="373" t="str">
        <f>IF($C444="","",IFERROR(VLOOKUP($C444,SERVIÇOS!$B:$G,2,0),IFERROR(VLOOKUP($C444,'COMPOSIÇÕES COMPLEMENTARES '!$D:$L,2,0),IFERROR(VLOOKUP($C444,INSUMOS!$A:$D,2,0),""))))</f>
        <v>DISJUNTOR TERMOMAGNÉTICO TRIPOLAR 225A CAPAC. 50KA</v>
      </c>
      <c r="E444" s="312" t="str">
        <f>IF($C444="","",IFERROR(VLOOKUP($C444,SERVIÇOS!$B:$G,3,0),IFERROR(VLOOKUP($C444,'COMPOSIÇÕES COMPLEMENTARES '!$D:$L,3,0),IFERROR(VLOOKUP($C444,INSUMOS!$A:$D,3,0),""))))</f>
        <v>UN</v>
      </c>
      <c r="F444" s="313">
        <v>1</v>
      </c>
      <c r="G444" s="314">
        <f>IF($C444="","",IFERROR(VLOOKUP($C444,SERVIÇOS!$B:$G,4,0),IFERROR(VLOOKUP($C444,'COMPOSIÇÕES COMPLEMENTARES '!$D:$L,6,0),IFERROR(VLOOKUP($C444,INSUMOS!$A:$D,4,0),""))))</f>
        <v>1030.56</v>
      </c>
      <c r="H444" s="314">
        <f>IF($C444="","",IFERROR(VLOOKUP($C444,SERVIÇOS!$B:$G,5,0),IFERROR(VLOOKUP($C444,'COMPOSIÇÕES COMPLEMENTARES '!$D:$L,7,0),0)))</f>
        <v>19.809999999999999</v>
      </c>
      <c r="I444" s="314">
        <f t="shared" si="38"/>
        <v>1050.3699999999999</v>
      </c>
      <c r="J444" s="314">
        <f t="shared" si="39"/>
        <v>1030.56</v>
      </c>
      <c r="K444" s="314">
        <f t="shared" si="40"/>
        <v>19.809999999999999</v>
      </c>
      <c r="L444" s="948">
        <f t="shared" si="41"/>
        <v>1050.3699999999999</v>
      </c>
      <c r="M444" s="374">
        <f t="shared" si="42"/>
        <v>5514575.4500000104</v>
      </c>
      <c r="N444" s="375">
        <f>+M444/L$815</f>
        <v>0.97643847161757424</v>
      </c>
      <c r="O444" s="376" t="str">
        <f>IF(N444&lt;0.5,"A",IF(N444&gt;0.8,"C","B"))</f>
        <v>C</v>
      </c>
    </row>
    <row r="445" spans="1:15" x14ac:dyDescent="0.25">
      <c r="A445" s="232">
        <f t="shared" si="37"/>
        <v>445</v>
      </c>
      <c r="B445" s="232"/>
      <c r="C445" s="310" t="s">
        <v>12180</v>
      </c>
      <c r="D445" s="373" t="str">
        <f>IF($C445="","",IFERROR(VLOOKUP($C445,SERVIÇOS!$B:$G,2,0),IFERROR(VLOOKUP($C445,'COMPOSIÇÕES COMPLEMENTARES '!$D:$L,2,0),IFERROR(VLOOKUP($C445,INSUMOS!$A:$D,2,0),""))))</f>
        <v>DISJUNTOR TERMOMAGNÉTICO TRIPOLAR 225A CAPAC. 50KA</v>
      </c>
      <c r="E445" s="312" t="str">
        <f>IF($C445="","",IFERROR(VLOOKUP($C445,SERVIÇOS!$B:$G,3,0),IFERROR(VLOOKUP($C445,'COMPOSIÇÕES COMPLEMENTARES '!$D:$L,3,0),IFERROR(VLOOKUP($C445,INSUMOS!$A:$D,3,0),""))))</f>
        <v>UN</v>
      </c>
      <c r="F445" s="313">
        <v>1</v>
      </c>
      <c r="G445" s="314">
        <f>IF($C445="","",IFERROR(VLOOKUP($C445,SERVIÇOS!$B:$G,4,0),IFERROR(VLOOKUP($C445,'COMPOSIÇÕES COMPLEMENTARES '!$D:$L,6,0),IFERROR(VLOOKUP($C445,INSUMOS!$A:$D,4,0),""))))</f>
        <v>1030.56</v>
      </c>
      <c r="H445" s="314">
        <f>IF($C445="","",IFERROR(VLOOKUP($C445,SERVIÇOS!$B:$G,5,0),IFERROR(VLOOKUP($C445,'COMPOSIÇÕES COMPLEMENTARES '!$D:$L,7,0),0)))</f>
        <v>19.809999999999999</v>
      </c>
      <c r="I445" s="314">
        <f t="shared" si="38"/>
        <v>1050.3699999999999</v>
      </c>
      <c r="J445" s="314">
        <f t="shared" si="39"/>
        <v>1030.56</v>
      </c>
      <c r="K445" s="314">
        <f t="shared" si="40"/>
        <v>19.809999999999999</v>
      </c>
      <c r="L445" s="948">
        <f t="shared" si="41"/>
        <v>1050.3699999999999</v>
      </c>
      <c r="M445" s="374">
        <f t="shared" si="42"/>
        <v>5515625.8200000105</v>
      </c>
      <c r="N445" s="375">
        <f>+M445/L$815</f>
        <v>0.97662445541392129</v>
      </c>
      <c r="O445" s="376" t="str">
        <f>IF(N445&lt;0.5,"A",IF(N445&gt;0.8,"C","B"))</f>
        <v>C</v>
      </c>
    </row>
    <row r="446" spans="1:15" ht="25.5" x14ac:dyDescent="0.25">
      <c r="A446" s="232">
        <f t="shared" si="37"/>
        <v>446</v>
      </c>
      <c r="B446" s="232"/>
      <c r="C446" s="310">
        <v>100725</v>
      </c>
      <c r="D446" s="373" t="str">
        <f>IF($C446="","",IFERROR(VLOOKUP($C446,SERVIÇOS!$B:$G,2,0),IFERROR(VLOOKUP($C446,'COMPOSIÇÕES COMPLEMENTARES '!$D:$L,2,0),IFERROR(VLOOKUP($C446,INSUMOS!$A:$D,2,0),""))))</f>
        <v>PINTURA COM TINTA ALQUÍDICA DE FUNDO E ACABAMENTO (ESMALTE SINTÉTICO GRAFITE) PULVERIZADA SOBRE SUPERFÍCIES METÁLICAS (EXCETO PERFIL) EXECUTADO EM OBRA (POR DEMÃO). AF_01/2020_PE</v>
      </c>
      <c r="E446" s="312" t="str">
        <f>IF($C446="","",IFERROR(VLOOKUP($C446,SERVIÇOS!$B:$G,3,0),IFERROR(VLOOKUP($C446,'COMPOSIÇÕES COMPLEMENTARES '!$D:$L,3,0),IFERROR(VLOOKUP($C446,INSUMOS!$A:$D,3,0),""))))</f>
        <v>M2</v>
      </c>
      <c r="F446" s="313">
        <v>34.799999999999997</v>
      </c>
      <c r="G446" s="314">
        <f>IF($C446="","",IFERROR(VLOOKUP($C446,SERVIÇOS!$B:$G,4,0),IFERROR(VLOOKUP($C446,'COMPOSIÇÕES COMPLEMENTARES '!$D:$L,6,0),IFERROR(VLOOKUP($C446,INSUMOS!$A:$D,4,0),""))))</f>
        <v>15.67</v>
      </c>
      <c r="H446" s="314">
        <f>IF($C446="","",IFERROR(VLOOKUP($C446,SERVIÇOS!$B:$G,5,0),IFERROR(VLOOKUP($C446,'COMPOSIÇÕES COMPLEMENTARES '!$D:$L,7,0),0)))</f>
        <v>14.44</v>
      </c>
      <c r="I446" s="314">
        <f t="shared" si="38"/>
        <v>30.11</v>
      </c>
      <c r="J446" s="314">
        <f t="shared" si="39"/>
        <v>545.30999999999995</v>
      </c>
      <c r="K446" s="314">
        <f t="shared" si="40"/>
        <v>502.51</v>
      </c>
      <c r="L446" s="948">
        <f t="shared" si="41"/>
        <v>1047.82</v>
      </c>
      <c r="M446" s="374">
        <f t="shared" si="42"/>
        <v>5516673.6400000108</v>
      </c>
      <c r="N446" s="375">
        <f>+M446/L$815</f>
        <v>0.97680998769443994</v>
      </c>
      <c r="O446" s="376" t="str">
        <f>IF(N446&lt;0.5,"A",IF(N446&gt;0.8,"C","B"))</f>
        <v>C</v>
      </c>
    </row>
    <row r="447" spans="1:15" ht="25.5" x14ac:dyDescent="0.25">
      <c r="A447" s="232">
        <f t="shared" si="37"/>
        <v>447</v>
      </c>
      <c r="B447" s="232"/>
      <c r="C447" s="310">
        <v>91222</v>
      </c>
      <c r="D447" s="373" t="str">
        <f>IF($C447="","",IFERROR(VLOOKUP($C447,SERVIÇOS!$B:$G,2,0),IFERROR(VLOOKUP($C447,'COMPOSIÇÕES COMPLEMENTARES '!$D:$L,2,0),IFERROR(VLOOKUP($C447,INSUMOS!$A:$D,2,0),""))))</f>
        <v>RASGO LINEAR MANUAL EM ALVENARIA, PARA RAMAIS/ DISTRIBUIÇÃO DE INSTALAÇÕES HIDRÁULICAS, DIÂMETROS MAIORES QUE 40 MM E MENORES OU IGUAIS A 75 MM. AF_09/2023</v>
      </c>
      <c r="E447" s="312" t="str">
        <f>IF($C447="","",IFERROR(VLOOKUP($C447,SERVIÇOS!$B:$G,3,0),IFERROR(VLOOKUP($C447,'COMPOSIÇÕES COMPLEMENTARES '!$D:$L,3,0),IFERROR(VLOOKUP($C447,INSUMOS!$A:$D,3,0),""))))</f>
        <v>M</v>
      </c>
      <c r="F447" s="313">
        <v>90</v>
      </c>
      <c r="G447" s="314">
        <f>IF($C447="","",IFERROR(VLOOKUP($C447,SERVIÇOS!$B:$G,4,0),IFERROR(VLOOKUP($C447,'COMPOSIÇÕES COMPLEMENTARES '!$D:$L,6,0),IFERROR(VLOOKUP($C447,INSUMOS!$A:$D,4,0),""))))</f>
        <v>2.89</v>
      </c>
      <c r="H447" s="314">
        <f>IF($C447="","",IFERROR(VLOOKUP($C447,SERVIÇOS!$B:$G,5,0),IFERROR(VLOOKUP($C447,'COMPOSIÇÕES COMPLEMENTARES '!$D:$L,7,0),0)))</f>
        <v>8.7200000000000006</v>
      </c>
      <c r="I447" s="314">
        <f t="shared" si="38"/>
        <v>11.610000000000001</v>
      </c>
      <c r="J447" s="314">
        <f t="shared" si="39"/>
        <v>260.10000000000002</v>
      </c>
      <c r="K447" s="314">
        <f t="shared" si="40"/>
        <v>784.8</v>
      </c>
      <c r="L447" s="948">
        <f t="shared" si="41"/>
        <v>1044.9000000000001</v>
      </c>
      <c r="M447" s="374">
        <f t="shared" si="42"/>
        <v>5517718.5400000112</v>
      </c>
      <c r="N447" s="375">
        <f>+M447/L$815</f>
        <v>0.9769950029450688</v>
      </c>
      <c r="O447" s="376" t="str">
        <f>IF(N447&lt;0.5,"A",IF(N447&gt;0.8,"C","B"))</f>
        <v>C</v>
      </c>
    </row>
    <row r="448" spans="1:15" ht="51" x14ac:dyDescent="0.25">
      <c r="A448" s="232">
        <f t="shared" si="37"/>
        <v>448</v>
      </c>
      <c r="B448" s="232"/>
      <c r="C448" s="310" t="s">
        <v>12364</v>
      </c>
      <c r="D448" s="373" t="str">
        <f>IF($C448="","",IFERROR(VLOOKUP($C448,SERVIÇOS!$B:$G,2,0),IFERROR(VLOOKUP($C448,'COMPOSIÇÕES COMPLEMENTARES '!$D:$L,2,0),IFERROR(VLOOKUP($C448,INSUMOS!$A:$D,2,0),""))))</f>
        <v>VÁLVULA DE SEÇÃO (BLOQUEIO) PARA GÁSMEDICINAL  OU VÁCUO CLÍNICO Ø3/4" ROSCA FÊMEA NPT, DO TIPO ESFERA, TRIPARTIDA, DE PASSAGEM PLENA, FECHAMENTO RÁPIDO COM CORPO EM LATÃO FORJADO E ESFERA DE AÇO INOXIDÁVEL. QUIMICAMENTE COMPATÍVEL COM O GÁS CONDUZIDO E CAPAZ DE SUPORTAR PRESSÕES SUPERIORES A 20 KGF/CM² (CLASSE 300 PSI).</v>
      </c>
      <c r="E448" s="312" t="str">
        <f>IF($C448="","",IFERROR(VLOOKUP($C448,SERVIÇOS!$B:$G,3,0),IFERROR(VLOOKUP($C448,'COMPOSIÇÕES COMPLEMENTARES '!$D:$L,3,0),IFERROR(VLOOKUP($C448,INSUMOS!$A:$D,3,0),""))))</f>
        <v>UN</v>
      </c>
      <c r="F448" s="313">
        <v>7</v>
      </c>
      <c r="G448" s="314">
        <f>IF($C448="","",IFERROR(VLOOKUP($C448,SERVIÇOS!$B:$G,4,0),IFERROR(VLOOKUP($C448,'COMPOSIÇÕES COMPLEMENTARES '!$D:$L,6,0),IFERROR(VLOOKUP($C448,INSUMOS!$A:$D,4,0),""))))</f>
        <v>127.41</v>
      </c>
      <c r="H448" s="314">
        <f>IF($C448="","",IFERROR(VLOOKUP($C448,SERVIÇOS!$B:$G,5,0),IFERROR(VLOOKUP($C448,'COMPOSIÇÕES COMPLEMENTARES '!$D:$L,7,0),0)))</f>
        <v>21.86</v>
      </c>
      <c r="I448" s="314">
        <f t="shared" si="38"/>
        <v>149.26999999999998</v>
      </c>
      <c r="J448" s="314">
        <f t="shared" si="39"/>
        <v>891.87</v>
      </c>
      <c r="K448" s="314">
        <f t="shared" si="40"/>
        <v>153.02000000000001</v>
      </c>
      <c r="L448" s="948">
        <f t="shared" si="41"/>
        <v>1044.8900000000001</v>
      </c>
      <c r="M448" s="374">
        <f t="shared" si="42"/>
        <v>5518763.4300000109</v>
      </c>
      <c r="N448" s="375">
        <f>+M448/L$815</f>
        <v>0.97718001642504726</v>
      </c>
      <c r="O448" s="376" t="str">
        <f>IF(N448&lt;0.5,"A",IF(N448&gt;0.8,"C","B"))</f>
        <v>C</v>
      </c>
    </row>
    <row r="449" spans="1:15" x14ac:dyDescent="0.25">
      <c r="A449" s="232">
        <f t="shared" si="37"/>
        <v>449</v>
      </c>
      <c r="B449" s="232"/>
      <c r="C449" s="310" t="s">
        <v>12015</v>
      </c>
      <c r="D449" s="373" t="str">
        <f>IF($C449="","",IFERROR(VLOOKUP($C449,SERVIÇOS!$B:$G,2,0),IFERROR(VLOOKUP($C449,'COMPOSIÇÕES COMPLEMENTARES '!$D:$L,2,0),IFERROR(VLOOKUP($C449,INSUMOS!$A:$D,2,0),""))))</f>
        <v>VISOR PLUMBÍFERO 50X30CM COM BLINDAGEM DE CHUMBO - FIXO</v>
      </c>
      <c r="E449" s="312" t="str">
        <f>IF($C449="","",IFERROR(VLOOKUP($C449,SERVIÇOS!$B:$G,3,0),IFERROR(VLOOKUP($C449,'COMPOSIÇÕES COMPLEMENTARES '!$D:$L,3,0),IFERROR(VLOOKUP($C449,INSUMOS!$A:$D,3,0),""))))</f>
        <v>UN</v>
      </c>
      <c r="F449" s="313">
        <v>1</v>
      </c>
      <c r="G449" s="314">
        <f>IF($C449="","",IFERROR(VLOOKUP($C449,SERVIÇOS!$B:$G,4,0),IFERROR(VLOOKUP($C449,'COMPOSIÇÕES COMPLEMENTARES '!$D:$L,6,0),IFERROR(VLOOKUP($C449,INSUMOS!$A:$D,4,0),""))))</f>
        <v>1034.95</v>
      </c>
      <c r="H449" s="314">
        <f>IF($C449="","",IFERROR(VLOOKUP($C449,SERVIÇOS!$B:$G,5,0),IFERROR(VLOOKUP($C449,'COMPOSIÇÕES COMPLEMENTARES '!$D:$L,7,0),0)))</f>
        <v>9.1999999999999993</v>
      </c>
      <c r="I449" s="314">
        <f t="shared" si="38"/>
        <v>1044.1500000000001</v>
      </c>
      <c r="J449" s="314">
        <f t="shared" si="39"/>
        <v>1034.95</v>
      </c>
      <c r="K449" s="314">
        <f t="shared" si="40"/>
        <v>9.1999999999999993</v>
      </c>
      <c r="L449" s="948">
        <f t="shared" si="41"/>
        <v>1044.1500000000001</v>
      </c>
      <c r="M449" s="374">
        <f t="shared" si="42"/>
        <v>5519807.5800000113</v>
      </c>
      <c r="N449" s="375">
        <f>+M449/L$815</f>
        <v>0.97736489887690303</v>
      </c>
      <c r="O449" s="376" t="str">
        <f>IF(N449&lt;0.5,"A",IF(N449&gt;0.8,"C","B"))</f>
        <v>C</v>
      </c>
    </row>
    <row r="450" spans="1:15" x14ac:dyDescent="0.25">
      <c r="A450" s="232">
        <f t="shared" si="37"/>
        <v>450</v>
      </c>
      <c r="B450" s="232"/>
      <c r="C450" s="310">
        <v>101616</v>
      </c>
      <c r="D450" s="373" t="str">
        <f>IF($C450="","",IFERROR(VLOOKUP($C450,SERVIÇOS!$B:$G,2,0),IFERROR(VLOOKUP($C450,'COMPOSIÇÕES COMPLEMENTARES '!$D:$L,2,0),IFERROR(VLOOKUP($C450,INSUMOS!$A:$D,2,0),""))))</f>
        <v>PREPARO DE FUNDO DE VALA COM LARGURA MENOR QUE 1,5 M (ACERTO DO SOLO NATURAL). AF_08/2020</v>
      </c>
      <c r="E450" s="312" t="str">
        <f>IF($C450="","",IFERROR(VLOOKUP($C450,SERVIÇOS!$B:$G,3,0),IFERROR(VLOOKUP($C450,'COMPOSIÇÕES COMPLEMENTARES '!$D:$L,3,0),IFERROR(VLOOKUP($C450,INSUMOS!$A:$D,3,0),""))))</f>
        <v>M2</v>
      </c>
      <c r="F450" s="313">
        <v>123.2</v>
      </c>
      <c r="G450" s="314">
        <f>IF($C450="","",IFERROR(VLOOKUP($C450,SERVIÇOS!$B:$G,4,0),IFERROR(VLOOKUP($C450,'COMPOSIÇÕES COMPLEMENTARES '!$D:$L,6,0),IFERROR(VLOOKUP($C450,INSUMOS!$A:$D,4,0),""))))</f>
        <v>2.46</v>
      </c>
      <c r="H450" s="314">
        <f>IF($C450="","",IFERROR(VLOOKUP($C450,SERVIÇOS!$B:$G,5,0),IFERROR(VLOOKUP($C450,'COMPOSIÇÕES COMPLEMENTARES '!$D:$L,7,0),0)))</f>
        <v>5.96</v>
      </c>
      <c r="I450" s="314">
        <f t="shared" si="38"/>
        <v>8.42</v>
      </c>
      <c r="J450" s="314">
        <f t="shared" si="39"/>
        <v>303.07</v>
      </c>
      <c r="K450" s="314">
        <f t="shared" si="40"/>
        <v>734.27</v>
      </c>
      <c r="L450" s="948">
        <f t="shared" si="41"/>
        <v>1037.3399999999999</v>
      </c>
      <c r="M450" s="374">
        <f t="shared" si="42"/>
        <v>5520844.9200000111</v>
      </c>
      <c r="N450" s="375">
        <f>+M450/L$815</f>
        <v>0.97754857551589935</v>
      </c>
      <c r="O450" s="376" t="str">
        <f>IF(N450&lt;0.5,"A",IF(N450&gt;0.8,"C","B"))</f>
        <v>C</v>
      </c>
    </row>
    <row r="451" spans="1:15" x14ac:dyDescent="0.25">
      <c r="A451" s="232">
        <f t="shared" si="37"/>
        <v>451</v>
      </c>
      <c r="B451" s="232"/>
      <c r="C451" s="310" t="s">
        <v>12222</v>
      </c>
      <c r="D451" s="373" t="str">
        <f>IF($C451="","",IFERROR(VLOOKUP($C451,SERVIÇOS!$B:$G,2,0),IFERROR(VLOOKUP($C451,'COMPOSIÇÕES COMPLEMENTARES '!$D:$L,2,0),IFERROR(VLOOKUP($C451,INSUMOS!$A:$D,2,0),""))))</f>
        <v>CONDUTOR DE COBRE FLEX ISOL. 1KV - 90º -  #4,0MM² - AFUMEX</v>
      </c>
      <c r="E451" s="312" t="str">
        <f>IF($C451="","",IFERROR(VLOOKUP($C451,SERVIÇOS!$B:$G,3,0),IFERROR(VLOOKUP($C451,'COMPOSIÇÕES COMPLEMENTARES '!$D:$L,3,0),IFERROR(VLOOKUP($C451,INSUMOS!$A:$D,3,0),""))))</f>
        <v>M</v>
      </c>
      <c r="F451" s="313">
        <v>128</v>
      </c>
      <c r="G451" s="314">
        <f>IF($C451="","",IFERROR(VLOOKUP($C451,SERVIÇOS!$B:$G,4,0),IFERROR(VLOOKUP($C451,'COMPOSIÇÕES COMPLEMENTARES '!$D:$L,6,0),IFERROR(VLOOKUP($C451,INSUMOS!$A:$D,4,0),""))))</f>
        <v>6.12</v>
      </c>
      <c r="H451" s="314">
        <f>IF($C451="","",IFERROR(VLOOKUP($C451,SERVIÇOS!$B:$G,5,0),IFERROR(VLOOKUP($C451,'COMPOSIÇÕES COMPLEMENTARES '!$D:$L,7,0),0)))</f>
        <v>1.97</v>
      </c>
      <c r="I451" s="314">
        <f t="shared" si="38"/>
        <v>8.09</v>
      </c>
      <c r="J451" s="314">
        <f t="shared" si="39"/>
        <v>783.36</v>
      </c>
      <c r="K451" s="314">
        <f t="shared" si="40"/>
        <v>252.16</v>
      </c>
      <c r="L451" s="948">
        <f t="shared" si="41"/>
        <v>1035.52</v>
      </c>
      <c r="M451" s="374">
        <f t="shared" si="42"/>
        <v>5521880.4400000107</v>
      </c>
      <c r="N451" s="375">
        <f>+M451/L$815</f>
        <v>0.97773192989653968</v>
      </c>
      <c r="O451" s="376" t="str">
        <f>IF(N451&lt;0.5,"A",IF(N451&gt;0.8,"C","B"))</f>
        <v>C</v>
      </c>
    </row>
    <row r="452" spans="1:15" x14ac:dyDescent="0.25">
      <c r="A452" s="232">
        <f t="shared" si="37"/>
        <v>452</v>
      </c>
      <c r="B452" s="232"/>
      <c r="C452" s="310" t="s">
        <v>12029</v>
      </c>
      <c r="D452" s="373" t="str">
        <f>IF($C452="","",IFERROR(VLOOKUP($C452,SERVIÇOS!$B:$G,2,0),IFERROR(VLOOKUP($C452,'COMPOSIÇÕES COMPLEMENTARES '!$D:$L,2,0),IFERROR(VLOOKUP($C452,INSUMOS!$A:$D,2,0),""))))</f>
        <v>BARRA DE APOIO INSTALADA EM PORTA, EM AÇO INOX, COMPRIMENTO 40CM E D=25MM</v>
      </c>
      <c r="E452" s="312" t="str">
        <f>IF($C452="","",IFERROR(VLOOKUP($C452,SERVIÇOS!$B:$G,3,0),IFERROR(VLOOKUP($C452,'COMPOSIÇÕES COMPLEMENTARES '!$D:$L,3,0),IFERROR(VLOOKUP($C452,INSUMOS!$A:$D,3,0),""))))</f>
        <v xml:space="preserve">UN    </v>
      </c>
      <c r="F452" s="313">
        <v>7</v>
      </c>
      <c r="G452" s="314">
        <f>IF($C452="","",IFERROR(VLOOKUP($C452,SERVIÇOS!$B:$G,4,0),IFERROR(VLOOKUP($C452,'COMPOSIÇÕES COMPLEMENTARES '!$D:$L,6,0),IFERROR(VLOOKUP($C452,INSUMOS!$A:$D,4,0),""))))</f>
        <v>115.83</v>
      </c>
      <c r="H452" s="314">
        <f>IF($C452="","",IFERROR(VLOOKUP($C452,SERVIÇOS!$B:$G,5,0),IFERROR(VLOOKUP($C452,'COMPOSIÇÕES COMPLEMENTARES '!$D:$L,7,0),0)))</f>
        <v>31.93</v>
      </c>
      <c r="I452" s="314">
        <f t="shared" si="38"/>
        <v>147.76</v>
      </c>
      <c r="J452" s="314">
        <f t="shared" si="39"/>
        <v>810.81</v>
      </c>
      <c r="K452" s="314">
        <f t="shared" si="40"/>
        <v>223.51</v>
      </c>
      <c r="L452" s="948">
        <f t="shared" si="41"/>
        <v>1034.32</v>
      </c>
      <c r="M452" s="374">
        <f t="shared" si="42"/>
        <v>5522914.760000011</v>
      </c>
      <c r="N452" s="375">
        <f>+M452/L$815</f>
        <v>0.97791507179914317</v>
      </c>
      <c r="O452" s="376" t="str">
        <f>IF(N452&lt;0.5,"A",IF(N452&gt;0.8,"C","B"))</f>
        <v>C</v>
      </c>
    </row>
    <row r="453" spans="1:15" x14ac:dyDescent="0.25">
      <c r="A453" s="232">
        <f t="shared" si="37"/>
        <v>453</v>
      </c>
      <c r="B453" s="232"/>
      <c r="C453" s="310" t="s">
        <v>12417</v>
      </c>
      <c r="D453" s="373" t="str">
        <f>IF($C453="","",IFERROR(VLOOKUP($C453,SERVIÇOS!$B:$G,2,0),IFERROR(VLOOKUP($C453,'COMPOSIÇÕES COMPLEMENTARES '!$D:$L,2,0),IFERROR(VLOOKUP($C453,INSUMOS!$A:$D,2,0),""))))</f>
        <v>CALÇO DE BORRACHA NEOPRENE, ESPESSURA 10MM</v>
      </c>
      <c r="E453" s="312" t="str">
        <f>IF($C453="","",IFERROR(VLOOKUP($C453,SERVIÇOS!$B:$G,3,0),IFERROR(VLOOKUP($C453,'COMPOSIÇÕES COMPLEMENTARES '!$D:$L,3,0),IFERROR(VLOOKUP($C453,INSUMOS!$A:$D,3,0),""))))</f>
        <v>UN</v>
      </c>
      <c r="F453" s="313">
        <v>16</v>
      </c>
      <c r="G453" s="314">
        <f>IF($C453="","",IFERROR(VLOOKUP($C453,SERVIÇOS!$B:$G,4,0),IFERROR(VLOOKUP($C453,'COMPOSIÇÕES COMPLEMENTARES '!$D:$L,6,0),IFERROR(VLOOKUP($C453,INSUMOS!$A:$D,4,0),""))))</f>
        <v>59.08</v>
      </c>
      <c r="H453" s="314">
        <f>IF($C453="","",IFERROR(VLOOKUP($C453,SERVIÇOS!$B:$G,5,0),IFERROR(VLOOKUP($C453,'COMPOSIÇÕES COMPLEMENTARES '!$D:$L,7,0),0)))</f>
        <v>4.8499999999999996</v>
      </c>
      <c r="I453" s="314">
        <f t="shared" si="38"/>
        <v>63.93</v>
      </c>
      <c r="J453" s="314">
        <f t="shared" si="39"/>
        <v>945.28</v>
      </c>
      <c r="K453" s="314">
        <f t="shared" si="40"/>
        <v>77.599999999999994</v>
      </c>
      <c r="L453" s="948">
        <f t="shared" si="41"/>
        <v>1022.88</v>
      </c>
      <c r="M453" s="374">
        <f t="shared" si="42"/>
        <v>5523937.6400000108</v>
      </c>
      <c r="N453" s="375">
        <f>+M453/L$815</f>
        <v>0.97809618807779486</v>
      </c>
      <c r="O453" s="376" t="str">
        <f>IF(N453&lt;0.5,"A",IF(N453&gt;0.8,"C","B"))</f>
        <v>C</v>
      </c>
    </row>
    <row r="454" spans="1:15" x14ac:dyDescent="0.25">
      <c r="A454" s="232">
        <f t="shared" si="37"/>
        <v>454</v>
      </c>
      <c r="B454" s="232"/>
      <c r="C454" s="310" t="s">
        <v>12221</v>
      </c>
      <c r="D454" s="373" t="str">
        <f>IF($C454="","",IFERROR(VLOOKUP($C454,SERVIÇOS!$B:$G,2,0),IFERROR(VLOOKUP($C454,'COMPOSIÇÕES COMPLEMENTARES '!$D:$L,2,0),IFERROR(VLOOKUP($C454,INSUMOS!$A:$D,2,0),""))))</f>
        <v>CABO FLEXÍVEL ISOL. 750V  -  #2,5MM² - AFUMEX</v>
      </c>
      <c r="E454" s="312" t="str">
        <f>IF($C454="","",IFERROR(VLOOKUP($C454,SERVIÇOS!$B:$G,3,0),IFERROR(VLOOKUP($C454,'COMPOSIÇÕES COMPLEMENTARES '!$D:$L,3,0),IFERROR(VLOOKUP($C454,INSUMOS!$A:$D,3,0),""))))</f>
        <v>M</v>
      </c>
      <c r="F454" s="313">
        <v>200</v>
      </c>
      <c r="G454" s="314">
        <f>IF($C454="","",IFERROR(VLOOKUP($C454,SERVIÇOS!$B:$G,4,0),IFERROR(VLOOKUP($C454,'COMPOSIÇÕES COMPLEMENTARES '!$D:$L,6,0),IFERROR(VLOOKUP($C454,INSUMOS!$A:$D,4,0),""))))</f>
        <v>3.59</v>
      </c>
      <c r="H454" s="314">
        <f>IF($C454="","",IFERROR(VLOOKUP($C454,SERVIÇOS!$B:$G,5,0),IFERROR(VLOOKUP($C454,'COMPOSIÇÕES COMPLEMENTARES '!$D:$L,7,0),0)))</f>
        <v>1.48</v>
      </c>
      <c r="I454" s="314">
        <f t="shared" si="38"/>
        <v>5.07</v>
      </c>
      <c r="J454" s="314">
        <f t="shared" si="39"/>
        <v>718</v>
      </c>
      <c r="K454" s="314">
        <f t="shared" si="40"/>
        <v>296</v>
      </c>
      <c r="L454" s="948">
        <f t="shared" si="41"/>
        <v>1014</v>
      </c>
      <c r="M454" s="374">
        <f t="shared" si="42"/>
        <v>5524951.6400000108</v>
      </c>
      <c r="N454" s="375">
        <f>+M454/L$815</f>
        <v>0.97827573201897355</v>
      </c>
      <c r="O454" s="376" t="str">
        <f>IF(N454&lt;0.5,"A",IF(N454&gt;0.8,"C","B"))</f>
        <v>C</v>
      </c>
    </row>
    <row r="455" spans="1:15" ht="25.5" x14ac:dyDescent="0.25">
      <c r="A455" s="232">
        <f t="shared" si="37"/>
        <v>455</v>
      </c>
      <c r="B455" s="232"/>
      <c r="C455" s="310">
        <v>92210</v>
      </c>
      <c r="D455" s="373" t="str">
        <f>IF($C455="","",IFERROR(VLOOKUP($C455,SERVIÇOS!$B:$G,2,0),IFERROR(VLOOKUP($C455,'COMPOSIÇÕES COMPLEMENTARES '!$D:$L,2,0),IFERROR(VLOOKUP($C455,INSUMOS!$A:$D,2,0),""))))</f>
        <v>TUBO DE CONCRETO PARA REDES COLETORAS DE ÁGUAS PLUVIAIS, DIÂMETRO DE 400 MM, JUNTA RÍGIDA, INSTALADO EM LOCAL COM BAIXO NÍVEL DE INTERFERÊNCIAS - FORNECIMENTO E ASSENTAMENTO. AF_03/2024</v>
      </c>
      <c r="E455" s="312" t="str">
        <f>IF($C455="","",IFERROR(VLOOKUP($C455,SERVIÇOS!$B:$G,3,0),IFERROR(VLOOKUP($C455,'COMPOSIÇÕES COMPLEMENTARES '!$D:$L,3,0),IFERROR(VLOOKUP($C455,INSUMOS!$A:$D,3,0),""))))</f>
        <v>M</v>
      </c>
      <c r="F455" s="313">
        <v>6</v>
      </c>
      <c r="G455" s="314">
        <f>IF($C455="","",IFERROR(VLOOKUP($C455,SERVIÇOS!$B:$G,4,0),IFERROR(VLOOKUP($C455,'COMPOSIÇÕES COMPLEMENTARES '!$D:$L,6,0),IFERROR(VLOOKUP($C455,INSUMOS!$A:$D,4,0),""))))</f>
        <v>152.91999999999999</v>
      </c>
      <c r="H455" s="314">
        <f>IF($C455="","",IFERROR(VLOOKUP($C455,SERVIÇOS!$B:$G,5,0),IFERROR(VLOOKUP($C455,'COMPOSIÇÕES COMPLEMENTARES '!$D:$L,7,0),0)))</f>
        <v>15.67</v>
      </c>
      <c r="I455" s="314">
        <f t="shared" si="38"/>
        <v>168.58999999999997</v>
      </c>
      <c r="J455" s="314">
        <f t="shared" si="39"/>
        <v>917.52</v>
      </c>
      <c r="K455" s="314">
        <f t="shared" si="40"/>
        <v>94.02</v>
      </c>
      <c r="L455" s="948">
        <f t="shared" si="41"/>
        <v>1011.54</v>
      </c>
      <c r="M455" s="374">
        <f t="shared" si="42"/>
        <v>5525963.1800000109</v>
      </c>
      <c r="N455" s="375">
        <f>+M455/L$815</f>
        <v>0.9784548403801766</v>
      </c>
      <c r="O455" s="376" t="str">
        <f>IF(N455&lt;0.5,"A",IF(N455&gt;0.8,"C","B"))</f>
        <v>C</v>
      </c>
    </row>
    <row r="456" spans="1:15" ht="38.25" x14ac:dyDescent="0.25">
      <c r="A456" s="232">
        <f t="shared" si="37"/>
        <v>456</v>
      </c>
      <c r="B456" s="232"/>
      <c r="C456" s="310" t="s">
        <v>12422</v>
      </c>
      <c r="D456" s="373" t="str">
        <f>IF($C456="","",IFERROR(VLOOKUP($C456,SERVIÇOS!$B:$G,2,0),IFERROR(VLOOKUP($C456,'COMPOSIÇÕES COMPLEMENTARES '!$D:$L,2,0),IFERROR(VLOOKUP($C456,INSUMOS!$A:$D,2,0),""))))</f>
        <v>DIFUSOR DE 3 VIAS DO TIPO QUADRADO EUROPEU TAMANHO 1 PARA INSUFLAMENTO DE AR EM ALUMÍNIO COM REGISTRO - MARCA TROPICAL (OU SIMILAR OU SIMILAR - TROX, SEIMMEI, DIFUSAR) - MODELO: DQE-31-T1-RGA - FORNECIMENTO E INSTALAÇÃO</v>
      </c>
      <c r="E456" s="312" t="str">
        <f>IF($C456="","",IFERROR(VLOOKUP($C456,SERVIÇOS!$B:$G,3,0),IFERROR(VLOOKUP($C456,'COMPOSIÇÕES COMPLEMENTARES '!$D:$L,3,0),IFERROR(VLOOKUP($C456,INSUMOS!$A:$D,3,0),""))))</f>
        <v>UN</v>
      </c>
      <c r="F456" s="313">
        <v>13</v>
      </c>
      <c r="G456" s="314">
        <f>IF($C456="","",IFERROR(VLOOKUP($C456,SERVIÇOS!$B:$G,4,0),IFERROR(VLOOKUP($C456,'COMPOSIÇÕES COMPLEMENTARES '!$D:$L,6,0),IFERROR(VLOOKUP($C456,INSUMOS!$A:$D,4,0),""))))</f>
        <v>74.2</v>
      </c>
      <c r="H456" s="314">
        <f>IF($C456="","",IFERROR(VLOOKUP($C456,SERVIÇOS!$B:$G,5,0),IFERROR(VLOOKUP($C456,'COMPOSIÇÕES COMPLEMENTARES '!$D:$L,7,0),0)))</f>
        <v>3.16</v>
      </c>
      <c r="I456" s="314">
        <f t="shared" si="38"/>
        <v>77.36</v>
      </c>
      <c r="J456" s="314">
        <f t="shared" si="39"/>
        <v>964.6</v>
      </c>
      <c r="K456" s="314">
        <f t="shared" si="40"/>
        <v>41.08</v>
      </c>
      <c r="L456" s="948">
        <f t="shared" si="41"/>
        <v>1005.68</v>
      </c>
      <c r="M456" s="374">
        <f t="shared" si="42"/>
        <v>5526968.8600000106</v>
      </c>
      <c r="N456" s="375">
        <f>+M456/L$815</f>
        <v>0.97863291114029949</v>
      </c>
      <c r="O456" s="376" t="str">
        <f>IF(N456&lt;0.5,"A",IF(N456&gt;0.8,"C","B"))</f>
        <v>C</v>
      </c>
    </row>
    <row r="457" spans="1:15" x14ac:dyDescent="0.25">
      <c r="A457" s="232">
        <f t="shared" si="37"/>
        <v>457</v>
      </c>
      <c r="B457" s="232"/>
      <c r="C457" s="310" t="s">
        <v>12183</v>
      </c>
      <c r="D457" s="373" t="str">
        <f>IF($C457="","",IFERROR(VLOOKUP($C457,SERVIÇOS!$B:$G,2,0),IFERROR(VLOOKUP($C457,'COMPOSIÇÕES COMPLEMENTARES '!$D:$L,2,0),IFERROR(VLOOKUP($C457,INSUMOS!$A:$D,2,0),""))))</f>
        <v>DISJUNTOR TERMOMAGNÉTICO TRIPOLAR 80A</v>
      </c>
      <c r="E457" s="312" t="str">
        <f>IF($C457="","",IFERROR(VLOOKUP($C457,SERVIÇOS!$B:$G,3,0),IFERROR(VLOOKUP($C457,'COMPOSIÇÕES COMPLEMENTARES '!$D:$L,3,0),IFERROR(VLOOKUP($C457,INSUMOS!$A:$D,3,0),""))))</f>
        <v>UN</v>
      </c>
      <c r="F457" s="313">
        <v>2</v>
      </c>
      <c r="G457" s="314">
        <f>IF($C457="","",IFERROR(VLOOKUP($C457,SERVIÇOS!$B:$G,4,0),IFERROR(VLOOKUP($C457,'COMPOSIÇÕES COMPLEMENTARES '!$D:$L,6,0),IFERROR(VLOOKUP($C457,INSUMOS!$A:$D,4,0),""))))</f>
        <v>446.75</v>
      </c>
      <c r="H457" s="314">
        <f>IF($C457="","",IFERROR(VLOOKUP($C457,SERVIÇOS!$B:$G,5,0),IFERROR(VLOOKUP($C457,'COMPOSIÇÕES COMPLEMENTARES '!$D:$L,7,0),0)))</f>
        <v>44.58</v>
      </c>
      <c r="I457" s="314">
        <f t="shared" si="38"/>
        <v>491.33</v>
      </c>
      <c r="J457" s="314">
        <f t="shared" si="39"/>
        <v>893.5</v>
      </c>
      <c r="K457" s="314">
        <f t="shared" si="40"/>
        <v>89.16</v>
      </c>
      <c r="L457" s="948">
        <f t="shared" si="41"/>
        <v>982.66</v>
      </c>
      <c r="M457" s="374">
        <f t="shared" si="42"/>
        <v>5527951.5200000107</v>
      </c>
      <c r="N457" s="375">
        <f>+M457/L$815</f>
        <v>0.97880690586341446</v>
      </c>
      <c r="O457" s="376" t="str">
        <f>IF(N457&lt;0.5,"A",IF(N457&gt;0.8,"C","B"))</f>
        <v>C</v>
      </c>
    </row>
    <row r="458" spans="1:15" x14ac:dyDescent="0.25">
      <c r="A458" s="232">
        <f t="shared" ref="A458:A521" si="43">1+A457</f>
        <v>458</v>
      </c>
      <c r="B458" s="232"/>
      <c r="C458" s="310" t="s">
        <v>12149</v>
      </c>
      <c r="D458" s="373" t="str">
        <f>IF($C458="","",IFERROR(VLOOKUP($C458,SERVIÇOS!$B:$G,2,0),IFERROR(VLOOKUP($C458,'COMPOSIÇÕES COMPLEMENTARES '!$D:$L,2,0),IFERROR(VLOOKUP($C458,INSUMOS!$A:$D,2,0),""))))</f>
        <v>TUBO DE PVC, SÉRIE NORMAL, PARA ÁGUAS PLUVIAIS, INCLUSO CONEXÕES - D= 75MM</v>
      </c>
      <c r="E458" s="312" t="str">
        <f>IF($C458="","",IFERROR(VLOOKUP($C458,SERVIÇOS!$B:$G,3,0),IFERROR(VLOOKUP($C458,'COMPOSIÇÕES COMPLEMENTARES '!$D:$L,3,0),IFERROR(VLOOKUP($C458,INSUMOS!$A:$D,3,0),""))))</f>
        <v>M</v>
      </c>
      <c r="F458" s="313">
        <v>15</v>
      </c>
      <c r="G458" s="314">
        <f>IF($C458="","",IFERROR(VLOOKUP($C458,SERVIÇOS!$B:$G,4,0),IFERROR(VLOOKUP($C458,'COMPOSIÇÕES COMPLEMENTARES '!$D:$L,6,0),IFERROR(VLOOKUP($C458,INSUMOS!$A:$D,4,0),""))))</f>
        <v>31.42</v>
      </c>
      <c r="H458" s="314">
        <f>IF($C458="","",IFERROR(VLOOKUP($C458,SERVIÇOS!$B:$G,5,0),IFERROR(VLOOKUP($C458,'COMPOSIÇÕES COMPLEMENTARES '!$D:$L,7,0),0)))</f>
        <v>34.020000000000003</v>
      </c>
      <c r="I458" s="314">
        <f t="shared" ref="I458:I521" si="44">IF(F458="","",G458+H458)</f>
        <v>65.44</v>
      </c>
      <c r="J458" s="314">
        <f t="shared" ref="J458:J521" si="45">IF(F458="","",TRUNC((F458*G458),2))</f>
        <v>471.3</v>
      </c>
      <c r="K458" s="314">
        <f t="shared" ref="K458:K521" si="46">IF(F458="","",TRUNC((F458*H458),2))</f>
        <v>510.3</v>
      </c>
      <c r="L458" s="948">
        <f t="shared" ref="L458:L521" si="47">IF(F458="","",TRUNC((J458+K458),2))</f>
        <v>981.6</v>
      </c>
      <c r="M458" s="374">
        <f t="shared" si="42"/>
        <v>5528933.1200000104</v>
      </c>
      <c r="N458" s="375">
        <f>+M458/L$815</f>
        <v>0.97898071289759692</v>
      </c>
      <c r="O458" s="376" t="str">
        <f>IF(N458&lt;0.5,"A",IF(N458&gt;0.8,"C","B"))</f>
        <v>C</v>
      </c>
    </row>
    <row r="459" spans="1:15" ht="25.5" x14ac:dyDescent="0.25">
      <c r="A459" s="232">
        <f t="shared" si="43"/>
        <v>459</v>
      </c>
      <c r="B459" s="232"/>
      <c r="C459" s="310" t="s">
        <v>12438</v>
      </c>
      <c r="D459" s="373" t="str">
        <f>IF($C459="","",IFERROR(VLOOKUP($C459,SERVIÇOS!$B:$G,2,0),IFERROR(VLOOKUP($C459,'COMPOSIÇÕES COMPLEMENTARES '!$D:$L,2,0),IFERROR(VLOOKUP($C459,INSUMOS!$A:$D,2,0),""))))</f>
        <v>GRELHA DE RETORNO DE AR ALETAS HORIZONTAIS COM REGISTRO EM ALUMÍNIO 500x300MM. MARCA TROPICAL MOD. RHN-500x300-RGA (OU SIMILAR - TROX, SEIMMEI, DIFUSAR)</v>
      </c>
      <c r="E459" s="312" t="str">
        <f>IF($C459="","",IFERROR(VLOOKUP($C459,SERVIÇOS!$B:$G,3,0),IFERROR(VLOOKUP($C459,'COMPOSIÇÕES COMPLEMENTARES '!$D:$L,3,0),IFERROR(VLOOKUP($C459,INSUMOS!$A:$D,3,0),""))))</f>
        <v>UN</v>
      </c>
      <c r="F459" s="313">
        <v>3</v>
      </c>
      <c r="G459" s="314">
        <f>IF($C459="","",IFERROR(VLOOKUP($C459,SERVIÇOS!$B:$G,4,0),IFERROR(VLOOKUP($C459,'COMPOSIÇÕES COMPLEMENTARES '!$D:$L,6,0),IFERROR(VLOOKUP($C459,INSUMOS!$A:$D,4,0),""))))</f>
        <v>310.36</v>
      </c>
      <c r="H459" s="314">
        <f>IF($C459="","",IFERROR(VLOOKUP($C459,SERVIÇOS!$B:$G,5,0),IFERROR(VLOOKUP($C459,'COMPOSIÇÕES COMPLEMENTARES '!$D:$L,7,0),0)))</f>
        <v>15.07</v>
      </c>
      <c r="I459" s="314">
        <f t="shared" si="44"/>
        <v>325.43</v>
      </c>
      <c r="J459" s="314">
        <f t="shared" si="45"/>
        <v>931.08</v>
      </c>
      <c r="K459" s="314">
        <f t="shared" si="46"/>
        <v>45.21</v>
      </c>
      <c r="L459" s="948">
        <f t="shared" si="47"/>
        <v>976.29</v>
      </c>
      <c r="M459" s="374">
        <f t="shared" ref="M459:M522" si="48">+L459+M458</f>
        <v>5529909.4100000104</v>
      </c>
      <c r="N459" s="375">
        <f>+M459/L$815</f>
        <v>0.9791535797164661</v>
      </c>
      <c r="O459" s="376" t="str">
        <f>IF(N459&lt;0.5,"A",IF(N459&gt;0.8,"C","B"))</f>
        <v>C</v>
      </c>
    </row>
    <row r="460" spans="1:15" x14ac:dyDescent="0.25">
      <c r="A460" s="232">
        <f t="shared" si="43"/>
        <v>460</v>
      </c>
      <c r="B460" s="232"/>
      <c r="C460" s="310" t="s">
        <v>12318</v>
      </c>
      <c r="D460" s="373" t="str">
        <f>IF($C460="","",IFERROR(VLOOKUP($C460,SERVIÇOS!$B:$G,2,0),IFERROR(VLOOKUP($C460,'COMPOSIÇÕES COMPLEMENTARES '!$D:$L,2,0),IFERROR(VLOOKUP($C460,INSUMOS!$A:$D,2,0),""))))</f>
        <v>PLACA 4"X2" COM 1 TOMADA TIPO RJ45 CAT. 6</v>
      </c>
      <c r="E460" s="312" t="str">
        <f>IF($C460="","",IFERROR(VLOOKUP($C460,SERVIÇOS!$B:$G,3,0),IFERROR(VLOOKUP($C460,'COMPOSIÇÕES COMPLEMENTARES '!$D:$L,3,0),IFERROR(VLOOKUP($C460,INSUMOS!$A:$D,3,0),""))))</f>
        <v>UN</v>
      </c>
      <c r="F460" s="313">
        <v>20</v>
      </c>
      <c r="G460" s="314">
        <f>IF($C460="","",IFERROR(VLOOKUP($C460,SERVIÇOS!$B:$G,4,0),IFERROR(VLOOKUP($C460,'COMPOSIÇÕES COMPLEMENTARES '!$D:$L,6,0),IFERROR(VLOOKUP($C460,INSUMOS!$A:$D,4,0),""))))</f>
        <v>38.299999999999997</v>
      </c>
      <c r="H460" s="314">
        <f>IF($C460="","",IFERROR(VLOOKUP($C460,SERVIÇOS!$B:$G,5,0),IFERROR(VLOOKUP($C460,'COMPOSIÇÕES COMPLEMENTARES '!$D:$L,7,0),0)))</f>
        <v>10.199999999999999</v>
      </c>
      <c r="I460" s="314">
        <f t="shared" si="44"/>
        <v>48.5</v>
      </c>
      <c r="J460" s="314">
        <f t="shared" si="45"/>
        <v>766</v>
      </c>
      <c r="K460" s="314">
        <f t="shared" si="46"/>
        <v>204</v>
      </c>
      <c r="L460" s="948">
        <f t="shared" si="47"/>
        <v>970</v>
      </c>
      <c r="M460" s="374">
        <f t="shared" si="48"/>
        <v>5530879.4100000104</v>
      </c>
      <c r="N460" s="375">
        <f>+M460/L$815</f>
        <v>0.97932533279629186</v>
      </c>
      <c r="O460" s="376" t="str">
        <f>IF(N460&lt;0.5,"A",IF(N460&gt;0.8,"C","B"))</f>
        <v>C</v>
      </c>
    </row>
    <row r="461" spans="1:15" ht="25.5" x14ac:dyDescent="0.25">
      <c r="A461" s="232">
        <f t="shared" si="43"/>
        <v>461</v>
      </c>
      <c r="B461" s="232"/>
      <c r="C461" s="310">
        <v>97914</v>
      </c>
      <c r="D461" s="373" t="str">
        <f>IF($C461="","",IFERROR(VLOOKUP($C461,SERVIÇOS!$B:$G,2,0),IFERROR(VLOOKUP($C461,'COMPOSIÇÕES COMPLEMENTARES '!$D:$L,2,0),IFERROR(VLOOKUP($C461,INSUMOS!$A:$D,2,0),""))))</f>
        <v>TRANSPORTE COM CAMINHÃO BASCULANTE DE 6 M³, EM VIA URBANA PAVIMENTADA, DMT ATÉ 30 KM (UNIDADE: M3XKM). AF_07/2020</v>
      </c>
      <c r="E461" s="312" t="str">
        <f>IF($C461="","",IFERROR(VLOOKUP($C461,SERVIÇOS!$B:$G,3,0),IFERROR(VLOOKUP($C461,'COMPOSIÇÕES COMPLEMENTARES '!$D:$L,3,0),IFERROR(VLOOKUP($C461,INSUMOS!$A:$D,3,0),""))))</f>
        <v>M3XKM</v>
      </c>
      <c r="F461" s="313">
        <v>302.18</v>
      </c>
      <c r="G461" s="314">
        <f>IF($C461="","",IFERROR(VLOOKUP($C461,SERVIÇOS!$B:$G,4,0),IFERROR(VLOOKUP($C461,'COMPOSIÇÕES COMPLEMENTARES '!$D:$L,6,0),IFERROR(VLOOKUP($C461,INSUMOS!$A:$D,4,0),""))))</f>
        <v>2.64</v>
      </c>
      <c r="H461" s="314">
        <f>IF($C461="","",IFERROR(VLOOKUP($C461,SERVIÇOS!$B:$G,5,0),IFERROR(VLOOKUP($C461,'COMPOSIÇÕES COMPLEMENTARES '!$D:$L,7,0),0)))</f>
        <v>0.56999999999999995</v>
      </c>
      <c r="I461" s="314">
        <f t="shared" si="44"/>
        <v>3.21</v>
      </c>
      <c r="J461" s="314">
        <f t="shared" si="45"/>
        <v>797.75</v>
      </c>
      <c r="K461" s="314">
        <f t="shared" si="46"/>
        <v>172.24</v>
      </c>
      <c r="L461" s="948">
        <f t="shared" si="47"/>
        <v>969.99</v>
      </c>
      <c r="M461" s="374">
        <f t="shared" si="48"/>
        <v>5531849.4000000106</v>
      </c>
      <c r="N461" s="375">
        <f>+M461/L$815</f>
        <v>0.97949708410546732</v>
      </c>
      <c r="O461" s="376" t="str">
        <f>IF(N461&lt;0.5,"A",IF(N461&gt;0.8,"C","B"))</f>
        <v>C</v>
      </c>
    </row>
    <row r="462" spans="1:15" x14ac:dyDescent="0.25">
      <c r="A462" s="232">
        <f t="shared" si="43"/>
        <v>462</v>
      </c>
      <c r="B462" s="232"/>
      <c r="C462" s="310" t="s">
        <v>12194</v>
      </c>
      <c r="D462" s="373" t="str">
        <f>IF($C462="","",IFERROR(VLOOKUP($C462,SERVIÇOS!$B:$G,2,0),IFERROR(VLOOKUP($C462,'COMPOSIÇÕES COMPLEMENTARES '!$D:$L,2,0),IFERROR(VLOOKUP($C462,INSUMOS!$A:$D,2,0),""))))</f>
        <v xml:space="preserve">TAMPÃO E ARO DE FERRO FUNDIDO MEDIDO 80X80X80CM </v>
      </c>
      <c r="E462" s="312" t="str">
        <f>IF($C462="","",IFERROR(VLOOKUP($C462,SERVIÇOS!$B:$G,3,0),IFERROR(VLOOKUP($C462,'COMPOSIÇÕES COMPLEMENTARES '!$D:$L,3,0),IFERROR(VLOOKUP($C462,INSUMOS!$A:$D,3,0),""))))</f>
        <v>UN</v>
      </c>
      <c r="F462" s="313">
        <v>1</v>
      </c>
      <c r="G462" s="314">
        <f>IF($C462="","",IFERROR(VLOOKUP($C462,SERVIÇOS!$B:$G,4,0),IFERROR(VLOOKUP($C462,'COMPOSIÇÕES COMPLEMENTARES '!$D:$L,6,0),IFERROR(VLOOKUP($C462,INSUMOS!$A:$D,4,0),""))))</f>
        <v>828.64</v>
      </c>
      <c r="H462" s="314">
        <f>IF($C462="","",IFERROR(VLOOKUP($C462,SERVIÇOS!$B:$G,5,0),IFERROR(VLOOKUP($C462,'COMPOSIÇÕES COMPLEMENTARES '!$D:$L,7,0),0)))</f>
        <v>133.79</v>
      </c>
      <c r="I462" s="314">
        <f t="shared" si="44"/>
        <v>962.43</v>
      </c>
      <c r="J462" s="314">
        <f t="shared" si="45"/>
        <v>828.64</v>
      </c>
      <c r="K462" s="314">
        <f t="shared" si="46"/>
        <v>133.79</v>
      </c>
      <c r="L462" s="948">
        <f t="shared" si="47"/>
        <v>962.43</v>
      </c>
      <c r="M462" s="374">
        <f t="shared" si="48"/>
        <v>5532811.8300000103</v>
      </c>
      <c r="N462" s="375">
        <f>+M462/L$815</f>
        <v>0.97966749680301024</v>
      </c>
      <c r="O462" s="376" t="str">
        <f>IF(N462&lt;0.5,"A",IF(N462&gt;0.8,"C","B"))</f>
        <v>C</v>
      </c>
    </row>
    <row r="463" spans="1:15" ht="38.25" x14ac:dyDescent="0.25">
      <c r="A463" s="232">
        <f t="shared" si="43"/>
        <v>463</v>
      </c>
      <c r="B463" s="232"/>
      <c r="C463" s="310" t="s">
        <v>12446</v>
      </c>
      <c r="D463" s="373" t="str">
        <f>IF($C463="","",IFERROR(VLOOKUP($C463,SERVIÇOS!$B:$G,2,0),IFERROR(VLOOKUP($C463,'COMPOSIÇÕES COMPLEMENTARES '!$D:$L,2,0),IFERROR(VLOOKUP($C463,INSUMOS!$A:$D,2,0),""))))</f>
        <v>GRELHA PLÁSTICA FIXA COM COLARINHO, COM TELA ANTI-INSETOS, DIÂMETRO NOMINAL Ø125MM, , EM PLÁSTICO ABS COM PROTEÇÃO ANTI-UV, COM ÁREA EFETIVA LIVRE MÍNIMA DE 85 CM². REFERÊNCIA: SICFLUX S125 OU EQUIVALENTE TÉCNICO (WDB GRADE COM ADAPTADOR, MULTIVAC OU OUTRO). FORNECIMENTO E INSTALAÇÃO</v>
      </c>
      <c r="E463" s="312" t="str">
        <f>IF($C463="","",IFERROR(VLOOKUP($C463,SERVIÇOS!$B:$G,3,0),IFERROR(VLOOKUP($C463,'COMPOSIÇÕES COMPLEMENTARES '!$D:$L,3,0),IFERROR(VLOOKUP($C463,INSUMOS!$A:$D,3,0),""))))</f>
        <v>UN</v>
      </c>
      <c r="F463" s="313">
        <v>17</v>
      </c>
      <c r="G463" s="314">
        <f>IF($C463="","",IFERROR(VLOOKUP($C463,SERVIÇOS!$B:$G,4,0),IFERROR(VLOOKUP($C463,'COMPOSIÇÕES COMPLEMENTARES '!$D:$L,6,0),IFERROR(VLOOKUP($C463,INSUMOS!$A:$D,4,0),""))))</f>
        <v>40.57</v>
      </c>
      <c r="H463" s="314">
        <f>IF($C463="","",IFERROR(VLOOKUP($C463,SERVIÇOS!$B:$G,5,0),IFERROR(VLOOKUP($C463,'COMPOSIÇÕES COMPLEMENTARES '!$D:$L,7,0),0)))</f>
        <v>15.43</v>
      </c>
      <c r="I463" s="314">
        <f t="shared" si="44"/>
        <v>56</v>
      </c>
      <c r="J463" s="314">
        <f t="shared" si="45"/>
        <v>689.69</v>
      </c>
      <c r="K463" s="314">
        <f t="shared" si="46"/>
        <v>262.31</v>
      </c>
      <c r="L463" s="948">
        <f t="shared" si="47"/>
        <v>952</v>
      </c>
      <c r="M463" s="374">
        <f t="shared" si="48"/>
        <v>5533763.8300000103</v>
      </c>
      <c r="N463" s="375">
        <f>+M463/L$815</f>
        <v>0.97983606271228252</v>
      </c>
      <c r="O463" s="376" t="str">
        <f>IF(N463&lt;0.5,"A",IF(N463&gt;0.8,"C","B"))</f>
        <v>C</v>
      </c>
    </row>
    <row r="464" spans="1:15" x14ac:dyDescent="0.25">
      <c r="A464" s="232">
        <f t="shared" si="43"/>
        <v>464</v>
      </c>
      <c r="B464" s="232"/>
      <c r="C464" s="310">
        <v>101616</v>
      </c>
      <c r="D464" s="373" t="str">
        <f>IF($C464="","",IFERROR(VLOOKUP($C464,SERVIÇOS!$B:$G,2,0),IFERROR(VLOOKUP($C464,'COMPOSIÇÕES COMPLEMENTARES '!$D:$L,2,0),IFERROR(VLOOKUP($C464,INSUMOS!$A:$D,2,0),""))))</f>
        <v>PREPARO DE FUNDO DE VALA COM LARGURA MENOR QUE 1,5 M (ACERTO DO SOLO NATURAL). AF_08/2020</v>
      </c>
      <c r="E464" s="312" t="str">
        <f>IF($C464="","",IFERROR(VLOOKUP($C464,SERVIÇOS!$B:$G,3,0),IFERROR(VLOOKUP($C464,'COMPOSIÇÕES COMPLEMENTARES '!$D:$L,3,0),IFERROR(VLOOKUP($C464,INSUMOS!$A:$D,3,0),""))))</f>
        <v>M2</v>
      </c>
      <c r="F464" s="313">
        <v>112.8</v>
      </c>
      <c r="G464" s="314">
        <f>IF($C464="","",IFERROR(VLOOKUP($C464,SERVIÇOS!$B:$G,4,0),IFERROR(VLOOKUP($C464,'COMPOSIÇÕES COMPLEMENTARES '!$D:$L,6,0),IFERROR(VLOOKUP($C464,INSUMOS!$A:$D,4,0),""))))</f>
        <v>2.46</v>
      </c>
      <c r="H464" s="314">
        <f>IF($C464="","",IFERROR(VLOOKUP($C464,SERVIÇOS!$B:$G,5,0),IFERROR(VLOOKUP($C464,'COMPOSIÇÕES COMPLEMENTARES '!$D:$L,7,0),0)))</f>
        <v>5.96</v>
      </c>
      <c r="I464" s="314">
        <f t="shared" si="44"/>
        <v>8.42</v>
      </c>
      <c r="J464" s="314">
        <f t="shared" si="45"/>
        <v>277.48</v>
      </c>
      <c r="K464" s="314">
        <f t="shared" si="46"/>
        <v>672.28</v>
      </c>
      <c r="L464" s="948">
        <f t="shared" si="47"/>
        <v>949.76</v>
      </c>
      <c r="M464" s="374">
        <f t="shared" si="48"/>
        <v>5534713.5900000101</v>
      </c>
      <c r="N464" s="375">
        <f>+M464/L$815</f>
        <v>0.98000423199588593</v>
      </c>
      <c r="O464" s="376" t="str">
        <f>IF(N464&lt;0.5,"A",IF(N464&gt;0.8,"C","B"))</f>
        <v>C</v>
      </c>
    </row>
    <row r="465" spans="1:15" x14ac:dyDescent="0.25">
      <c r="A465" s="232">
        <f t="shared" si="43"/>
        <v>465</v>
      </c>
      <c r="B465" s="232"/>
      <c r="C465" s="310" t="s">
        <v>12313</v>
      </c>
      <c r="D465" s="377" t="str">
        <f>IF($C465="","",IFERROR(VLOOKUP($C465,SERVIÇOS!$B:$G,2,0),IFERROR(VLOOKUP($C465,'COMPOSIÇÕES COMPLEMENTARES '!$D:$L,2,0),IFERROR(VLOOKUP($C465,INSUMOS!$A:$D,2,0),""))))</f>
        <v>PATCH CORD RJ45 - RJ45 CAT.6, NA COR CINZA, COM UM COMPRIMENTO DE 1 METRO - TELEFONIA</v>
      </c>
      <c r="E465" s="312" t="str">
        <f>IF($C465="","",IFERROR(VLOOKUP($C465,SERVIÇOS!$B:$G,3,0),IFERROR(VLOOKUP($C465,'COMPOSIÇÕES COMPLEMENTARES '!$D:$L,3,0),IFERROR(VLOOKUP($C465,INSUMOS!$A:$D,3,0),""))))</f>
        <v>UN</v>
      </c>
      <c r="F465" s="313">
        <v>17</v>
      </c>
      <c r="G465" s="314">
        <f>IF($C465="","",IFERROR(VLOOKUP($C465,SERVIÇOS!$B:$G,4,0),IFERROR(VLOOKUP($C465,'COMPOSIÇÕES COMPLEMENTARES '!$D:$L,6,0),IFERROR(VLOOKUP($C465,INSUMOS!$A:$D,4,0),""))))</f>
        <v>50.66</v>
      </c>
      <c r="H465" s="314">
        <f>IF($C465="","",IFERROR(VLOOKUP($C465,SERVIÇOS!$B:$G,5,0),IFERROR(VLOOKUP($C465,'COMPOSIÇÕES COMPLEMENTARES '!$D:$L,7,0),0)))</f>
        <v>4.9400000000000004</v>
      </c>
      <c r="I465" s="314">
        <f t="shared" si="44"/>
        <v>55.599999999999994</v>
      </c>
      <c r="J465" s="314">
        <f t="shared" si="45"/>
        <v>861.22</v>
      </c>
      <c r="K465" s="314">
        <f t="shared" si="46"/>
        <v>83.98</v>
      </c>
      <c r="L465" s="948">
        <f t="shared" si="47"/>
        <v>945.2</v>
      </c>
      <c r="M465" s="374">
        <f t="shared" si="48"/>
        <v>5535658.7900000103</v>
      </c>
      <c r="N465" s="375">
        <f>+M465/L$815</f>
        <v>0.98017159386294916</v>
      </c>
      <c r="O465" s="376" t="str">
        <f>IF(N465&lt;0.5,"A",IF(N465&gt;0.8,"C","B"))</f>
        <v>C</v>
      </c>
    </row>
    <row r="466" spans="1:15" ht="25.5" x14ac:dyDescent="0.25">
      <c r="A466" s="232">
        <f t="shared" si="43"/>
        <v>466</v>
      </c>
      <c r="B466" s="232"/>
      <c r="C466" s="310">
        <v>97669</v>
      </c>
      <c r="D466" s="373" t="str">
        <f>IF($C466="","",IFERROR(VLOOKUP($C466,SERVIÇOS!$B:$G,2,0),IFERROR(VLOOKUP($C466,'COMPOSIÇÕES COMPLEMENTARES '!$D:$L,2,0),IFERROR(VLOOKUP($C466,INSUMOS!$A:$D,2,0),""))))</f>
        <v>ELETRODUTO FLEXÍVEL CORRUGADO, PEAD, DN 90 (3"), PARA REDE ENTERRADA DE DISTRIBUIÇÃO DE ENERGIA ELÉTRICA - FORNECIMENTO E INSTALAÇÃO. AF_12/2021</v>
      </c>
      <c r="E466" s="312" t="str">
        <f>IF($C466="","",IFERROR(VLOOKUP($C466,SERVIÇOS!$B:$G,3,0),IFERROR(VLOOKUP($C466,'COMPOSIÇÕES COMPLEMENTARES '!$D:$L,3,0),IFERROR(VLOOKUP($C466,INSUMOS!$A:$D,3,0),""))))</f>
        <v>M</v>
      </c>
      <c r="F466" s="313">
        <v>40</v>
      </c>
      <c r="G466" s="314">
        <f>IF($C466="","",IFERROR(VLOOKUP($C466,SERVIÇOS!$B:$G,4,0),IFERROR(VLOOKUP($C466,'COMPOSIÇÕES COMPLEMENTARES '!$D:$L,6,0),IFERROR(VLOOKUP($C466,INSUMOS!$A:$D,4,0),""))))</f>
        <v>16.05</v>
      </c>
      <c r="H466" s="314">
        <f>IF($C466="","",IFERROR(VLOOKUP($C466,SERVIÇOS!$B:$G,5,0),IFERROR(VLOOKUP($C466,'COMPOSIÇÕES COMPLEMENTARES '!$D:$L,7,0),0)))</f>
        <v>7.46</v>
      </c>
      <c r="I466" s="314">
        <f t="shared" si="44"/>
        <v>23.51</v>
      </c>
      <c r="J466" s="314">
        <f t="shared" si="45"/>
        <v>642</v>
      </c>
      <c r="K466" s="314">
        <f t="shared" si="46"/>
        <v>298.39999999999998</v>
      </c>
      <c r="L466" s="948">
        <f t="shared" si="47"/>
        <v>940.4</v>
      </c>
      <c r="M466" s="374">
        <f t="shared" si="48"/>
        <v>5536599.1900000107</v>
      </c>
      <c r="N466" s="375">
        <f>+M466/L$815</f>
        <v>0.98033810581786485</v>
      </c>
      <c r="O466" s="376" t="str">
        <f>IF(N466&lt;0.5,"A",IF(N466&gt;0.8,"C","B"))</f>
        <v>C</v>
      </c>
    </row>
    <row r="467" spans="1:15" x14ac:dyDescent="0.25">
      <c r="A467" s="232">
        <f t="shared" si="43"/>
        <v>467</v>
      </c>
      <c r="B467" s="232"/>
      <c r="C467" s="310" t="s">
        <v>12210</v>
      </c>
      <c r="D467" s="377" t="str">
        <f>IF($C467="","",IFERROR(VLOOKUP($C467,SERVIÇOS!$B:$G,2,0),IFERROR(VLOOKUP($C467,'COMPOSIÇÕES COMPLEMENTARES '!$D:$L,2,0),IFERROR(VLOOKUP($C467,INSUMOS!$A:$D,2,0),""))))</f>
        <v>PROJETOR PARA LÂMPADA ELETRÔNICA LED 50W/220V, PARA ILUMINAÇÃO EXTERNA COM RELÉ FOTIMER(FOTOELETRICO + TEMPORIZADO).</v>
      </c>
      <c r="E467" s="312" t="str">
        <f>IF($C467="","",IFERROR(VLOOKUP($C467,SERVIÇOS!$B:$G,3,0),IFERROR(VLOOKUP($C467,'COMPOSIÇÕES COMPLEMENTARES '!$D:$L,3,0),IFERROR(VLOOKUP($C467,INSUMOS!$A:$D,3,0),""))))</f>
        <v>UN</v>
      </c>
      <c r="F467" s="313">
        <v>6</v>
      </c>
      <c r="G467" s="314">
        <f>IF($C467="","",IFERROR(VLOOKUP($C467,SERVIÇOS!$B:$G,4,0),IFERROR(VLOOKUP($C467,'COMPOSIÇÕES COMPLEMENTARES '!$D:$L,6,0),IFERROR(VLOOKUP($C467,INSUMOS!$A:$D,4,0),""))))</f>
        <v>138.43</v>
      </c>
      <c r="H467" s="314">
        <f>IF($C467="","",IFERROR(VLOOKUP($C467,SERVIÇOS!$B:$G,5,0),IFERROR(VLOOKUP($C467,'COMPOSIÇÕES COMPLEMENTARES '!$D:$L,7,0),0)))</f>
        <v>17.5</v>
      </c>
      <c r="I467" s="314">
        <f t="shared" si="44"/>
        <v>155.93</v>
      </c>
      <c r="J467" s="314">
        <f t="shared" si="45"/>
        <v>830.58</v>
      </c>
      <c r="K467" s="314">
        <f t="shared" si="46"/>
        <v>105</v>
      </c>
      <c r="L467" s="948">
        <f t="shared" si="47"/>
        <v>935.58</v>
      </c>
      <c r="M467" s="374">
        <f t="shared" si="48"/>
        <v>5537534.7700000107</v>
      </c>
      <c r="N467" s="375">
        <f>+M467/L$815</f>
        <v>0.98050376431933228</v>
      </c>
      <c r="O467" s="376" t="str">
        <f>IF(N467&lt;0.5,"A",IF(N467&gt;0.8,"C","B"))</f>
        <v>C</v>
      </c>
    </row>
    <row r="468" spans="1:15" ht="25.5" x14ac:dyDescent="0.25">
      <c r="A468" s="232">
        <f t="shared" si="43"/>
        <v>468</v>
      </c>
      <c r="B468" s="232"/>
      <c r="C468" s="310">
        <v>97903</v>
      </c>
      <c r="D468" s="373" t="str">
        <f>IF($C468="","",IFERROR(VLOOKUP($C468,SERVIÇOS!$B:$G,2,0),IFERROR(VLOOKUP($C468,'COMPOSIÇÕES COMPLEMENTARES '!$D:$L,2,0),IFERROR(VLOOKUP($C468,INSUMOS!$A:$D,2,0),""))))</f>
        <v>CAIXA ENTERRADA HIDRÁULICA RETANGULAR EM ALVENARIA COM TIJOLOS CERÂMICOS MACIÇOS, DIMENSÕES INTERNAS: 0,8X0,8X0,6 M PARA REDE DE ESGOTO. AF_12/2020</v>
      </c>
      <c r="E468" s="312" t="str">
        <f>IF($C468="","",IFERROR(VLOOKUP($C468,SERVIÇOS!$B:$G,3,0),IFERROR(VLOOKUP($C468,'COMPOSIÇÕES COMPLEMENTARES '!$D:$L,3,0),IFERROR(VLOOKUP($C468,INSUMOS!$A:$D,3,0),""))))</f>
        <v>UN</v>
      </c>
      <c r="F468" s="313">
        <v>1</v>
      </c>
      <c r="G468" s="314">
        <f>IF($C468="","",IFERROR(VLOOKUP($C468,SERVIÇOS!$B:$G,4,0),IFERROR(VLOOKUP($C468,'COMPOSIÇÕES COMPLEMENTARES '!$D:$L,6,0),IFERROR(VLOOKUP($C468,INSUMOS!$A:$D,4,0),""))))</f>
        <v>471.3</v>
      </c>
      <c r="H468" s="314">
        <f>IF($C468="","",IFERROR(VLOOKUP($C468,SERVIÇOS!$B:$G,5,0),IFERROR(VLOOKUP($C468,'COMPOSIÇÕES COMPLEMENTARES '!$D:$L,7,0),0)))</f>
        <v>428.11</v>
      </c>
      <c r="I468" s="314">
        <f t="shared" si="44"/>
        <v>899.41000000000008</v>
      </c>
      <c r="J468" s="314">
        <f t="shared" si="45"/>
        <v>471.3</v>
      </c>
      <c r="K468" s="314">
        <f t="shared" si="46"/>
        <v>428.11</v>
      </c>
      <c r="L468" s="948">
        <f t="shared" si="47"/>
        <v>899.41</v>
      </c>
      <c r="M468" s="374">
        <f t="shared" si="48"/>
        <v>5538434.1800000109</v>
      </c>
      <c r="N468" s="375">
        <f>+M468/L$815</f>
        <v>0.98066301837863756</v>
      </c>
      <c r="O468" s="376" t="str">
        <f>IF(N468&lt;0.5,"A",IF(N468&gt;0.8,"C","B"))</f>
        <v>C</v>
      </c>
    </row>
    <row r="469" spans="1:15" ht="25.5" x14ac:dyDescent="0.25">
      <c r="A469" s="232">
        <f t="shared" si="43"/>
        <v>469</v>
      </c>
      <c r="B469" s="232"/>
      <c r="C469" s="310">
        <v>92005</v>
      </c>
      <c r="D469" s="373" t="str">
        <f>IF($C469="","",IFERROR(VLOOKUP($C469,SERVIÇOS!$B:$G,2,0),IFERROR(VLOOKUP($C469,'COMPOSIÇÕES COMPLEMENTARES '!$D:$L,2,0),IFERROR(VLOOKUP($C469,INSUMOS!$A:$D,2,0),""))))</f>
        <v>TOMADA MÉDIA DE EMBUTIR (2 MÓDULOS), 2P+T 20 A, INCLUINDO SUPORTE E PLACA - FORNECIMENTO E INSTALAÇÃO. AF_03/2023</v>
      </c>
      <c r="E469" s="312" t="str">
        <f>IF($C469="","",IFERROR(VLOOKUP($C469,SERVIÇOS!$B:$G,3,0),IFERROR(VLOOKUP($C469,'COMPOSIÇÕES COMPLEMENTARES '!$D:$L,3,0),IFERROR(VLOOKUP($C469,INSUMOS!$A:$D,3,0),""))))</f>
        <v>UN</v>
      </c>
      <c r="F469" s="313">
        <v>12</v>
      </c>
      <c r="G469" s="314">
        <f>IF($C469="","",IFERROR(VLOOKUP($C469,SERVIÇOS!$B:$G,4,0),IFERROR(VLOOKUP($C469,'COMPOSIÇÕES COMPLEMENTARES '!$D:$L,6,0),IFERROR(VLOOKUP($C469,INSUMOS!$A:$D,4,0),""))))</f>
        <v>40.08</v>
      </c>
      <c r="H469" s="314">
        <f>IF($C469="","",IFERROR(VLOOKUP($C469,SERVIÇOS!$B:$G,5,0),IFERROR(VLOOKUP($C469,'COMPOSIÇÕES COMPLEMENTARES '!$D:$L,7,0),0)))</f>
        <v>34.67</v>
      </c>
      <c r="I469" s="314">
        <f t="shared" si="44"/>
        <v>74.75</v>
      </c>
      <c r="J469" s="314">
        <f t="shared" si="45"/>
        <v>480.96</v>
      </c>
      <c r="K469" s="314">
        <f t="shared" si="46"/>
        <v>416.04</v>
      </c>
      <c r="L469" s="948">
        <f t="shared" si="47"/>
        <v>897</v>
      </c>
      <c r="M469" s="374">
        <f t="shared" si="48"/>
        <v>5539331.1800000109</v>
      </c>
      <c r="N469" s="375">
        <f>+M469/L$815</f>
        <v>0.98082184571121867</v>
      </c>
      <c r="O469" s="376" t="str">
        <f>IF(N469&lt;0.5,"A",IF(N469&gt;0.8,"C","B"))</f>
        <v>C</v>
      </c>
    </row>
    <row r="470" spans="1:15" ht="25.5" x14ac:dyDescent="0.25">
      <c r="A470" s="232">
        <f t="shared" si="43"/>
        <v>470</v>
      </c>
      <c r="B470" s="232"/>
      <c r="C470" s="310">
        <v>92005</v>
      </c>
      <c r="D470" s="373" t="str">
        <f>IF($C470="","",IFERROR(VLOOKUP($C470,SERVIÇOS!$B:$G,2,0),IFERROR(VLOOKUP($C470,'COMPOSIÇÕES COMPLEMENTARES '!$D:$L,2,0),IFERROR(VLOOKUP($C470,INSUMOS!$A:$D,2,0),""))))</f>
        <v>TOMADA MÉDIA DE EMBUTIR (2 MÓDULOS), 2P+T 20 A, INCLUINDO SUPORTE E PLACA - FORNECIMENTO E INSTALAÇÃO. AF_03/2023</v>
      </c>
      <c r="E470" s="312" t="str">
        <f>IF($C470="","",IFERROR(VLOOKUP($C470,SERVIÇOS!$B:$G,3,0),IFERROR(VLOOKUP($C470,'COMPOSIÇÕES COMPLEMENTARES '!$D:$L,3,0),IFERROR(VLOOKUP($C470,INSUMOS!$A:$D,3,0),""))))</f>
        <v>UN</v>
      </c>
      <c r="F470" s="313">
        <v>12</v>
      </c>
      <c r="G470" s="314">
        <f>IF($C470="","",IFERROR(VLOOKUP($C470,SERVIÇOS!$B:$G,4,0),IFERROR(VLOOKUP($C470,'COMPOSIÇÕES COMPLEMENTARES '!$D:$L,6,0),IFERROR(VLOOKUP($C470,INSUMOS!$A:$D,4,0),""))))</f>
        <v>40.08</v>
      </c>
      <c r="H470" s="314">
        <f>IF($C470="","",IFERROR(VLOOKUP($C470,SERVIÇOS!$B:$G,5,0),IFERROR(VLOOKUP($C470,'COMPOSIÇÕES COMPLEMENTARES '!$D:$L,7,0),0)))</f>
        <v>34.67</v>
      </c>
      <c r="I470" s="314">
        <f t="shared" si="44"/>
        <v>74.75</v>
      </c>
      <c r="J470" s="314">
        <f t="shared" si="45"/>
        <v>480.96</v>
      </c>
      <c r="K470" s="314">
        <f t="shared" si="46"/>
        <v>416.04</v>
      </c>
      <c r="L470" s="948">
        <f t="shared" si="47"/>
        <v>897</v>
      </c>
      <c r="M470" s="374">
        <f t="shared" si="48"/>
        <v>5540228.1800000109</v>
      </c>
      <c r="N470" s="375">
        <f>+M470/L$815</f>
        <v>0.98098067304379988</v>
      </c>
      <c r="O470" s="376" t="str">
        <f>IF(N470&lt;0.5,"A",IF(N470&gt;0.8,"C","B"))</f>
        <v>C</v>
      </c>
    </row>
    <row r="471" spans="1:15" x14ac:dyDescent="0.25">
      <c r="A471" s="232">
        <f t="shared" si="43"/>
        <v>471</v>
      </c>
      <c r="B471" s="232"/>
      <c r="C471" s="310" t="s">
        <v>12191</v>
      </c>
      <c r="D471" s="373" t="str">
        <f>IF($C471="","",IFERROR(VLOOKUP($C471,SERVIÇOS!$B:$G,2,0),IFERROR(VLOOKUP($C471,'COMPOSIÇÕES COMPLEMENTARES '!$D:$L,2,0),IFERROR(VLOOKUP($C471,INSUMOS!$A:$D,2,0),""))))</f>
        <v>ENVELOPAMENTO DE CONCRETO NO BANCO DE DUTOS</v>
      </c>
      <c r="E471" s="312" t="str">
        <f>IF($C471="","",IFERROR(VLOOKUP($C471,SERVIÇOS!$B:$G,3,0),IFERROR(VLOOKUP($C471,'COMPOSIÇÕES COMPLEMENTARES '!$D:$L,3,0),IFERROR(VLOOKUP($C471,INSUMOS!$A:$D,3,0),""))))</f>
        <v>M3</v>
      </c>
      <c r="F471" s="313">
        <v>2</v>
      </c>
      <c r="G471" s="314">
        <f>IF($C471="","",IFERROR(VLOOKUP($C471,SERVIÇOS!$B:$G,4,0),IFERROR(VLOOKUP($C471,'COMPOSIÇÕES COMPLEMENTARES '!$D:$L,6,0),IFERROR(VLOOKUP($C471,INSUMOS!$A:$D,4,0),""))))</f>
        <v>353.89</v>
      </c>
      <c r="H471" s="314">
        <f>IF($C471="","",IFERROR(VLOOKUP($C471,SERVIÇOS!$B:$G,5,0),IFERROR(VLOOKUP($C471,'COMPOSIÇÕES COMPLEMENTARES '!$D:$L,7,0),0)))</f>
        <v>82.48</v>
      </c>
      <c r="I471" s="314">
        <f t="shared" si="44"/>
        <v>436.37</v>
      </c>
      <c r="J471" s="314">
        <f t="shared" si="45"/>
        <v>707.78</v>
      </c>
      <c r="K471" s="314">
        <f t="shared" si="46"/>
        <v>164.96</v>
      </c>
      <c r="L471" s="948">
        <f t="shared" si="47"/>
        <v>872.74</v>
      </c>
      <c r="M471" s="374">
        <f t="shared" si="48"/>
        <v>5541100.9200000111</v>
      </c>
      <c r="N471" s="375">
        <f>+M471/L$815</f>
        <v>0.98113520477873506</v>
      </c>
      <c r="O471" s="376" t="str">
        <f>IF(N471&lt;0.5,"A",IF(N471&gt;0.8,"C","B"))</f>
        <v>C</v>
      </c>
    </row>
    <row r="472" spans="1:15" ht="25.5" x14ac:dyDescent="0.25">
      <c r="A472" s="232">
        <f t="shared" si="43"/>
        <v>472</v>
      </c>
      <c r="B472" s="232"/>
      <c r="C472" s="310">
        <v>90408</v>
      </c>
      <c r="D472" s="373" t="str">
        <f>IF($C472="","",IFERROR(VLOOKUP($C472,SERVIÇOS!$B:$G,2,0),IFERROR(VLOOKUP($C472,'COMPOSIÇÕES COMPLEMENTARES '!$D:$L,2,0),IFERROR(VLOOKUP($C472,INSUMOS!$A:$D,2,0),""))))</f>
        <v>MASSA ÚNICA, EM ARGAMASSA TRAÇO 1:2:8, PREPARO MECÂNICO, APLICADA MANUALMENTE EM TETO, E = 10MM, COM TALISCAS. AF_03/2024</v>
      </c>
      <c r="E472" s="312" t="str">
        <f>IF($C472="","",IFERROR(VLOOKUP($C472,SERVIÇOS!$B:$G,3,0),IFERROR(VLOOKUP($C472,'COMPOSIÇÕES COMPLEMENTARES '!$D:$L,3,0),IFERROR(VLOOKUP($C472,INSUMOS!$A:$D,3,0),""))))</f>
        <v>M2</v>
      </c>
      <c r="F472" s="313">
        <v>22.73</v>
      </c>
      <c r="G472" s="314">
        <f>IF($C472="","",IFERROR(VLOOKUP($C472,SERVIÇOS!$B:$G,4,0),IFERROR(VLOOKUP($C472,'COMPOSIÇÕES COMPLEMENTARES '!$D:$L,6,0),IFERROR(VLOOKUP($C472,INSUMOS!$A:$D,4,0),""))))</f>
        <v>16.2</v>
      </c>
      <c r="H472" s="314">
        <f>IF($C472="","",IFERROR(VLOOKUP($C472,SERVIÇOS!$B:$G,5,0),IFERROR(VLOOKUP($C472,'COMPOSIÇÕES COMPLEMENTARES '!$D:$L,7,0),0)))</f>
        <v>22.06</v>
      </c>
      <c r="I472" s="314">
        <f t="shared" si="44"/>
        <v>38.26</v>
      </c>
      <c r="J472" s="314">
        <f t="shared" si="45"/>
        <v>368.22</v>
      </c>
      <c r="K472" s="314">
        <f t="shared" si="46"/>
        <v>501.42</v>
      </c>
      <c r="L472" s="948">
        <f t="shared" si="47"/>
        <v>869.64</v>
      </c>
      <c r="M472" s="374">
        <f t="shared" si="48"/>
        <v>5541970.5600000108</v>
      </c>
      <c r="N472" s="375">
        <f>+M472/L$815</f>
        <v>0.98128918761207484</v>
      </c>
      <c r="O472" s="376" t="str">
        <f>IF(N472&lt;0.5,"A",IF(N472&gt;0.8,"C","B"))</f>
        <v>C</v>
      </c>
    </row>
    <row r="473" spans="1:15" x14ac:dyDescent="0.25">
      <c r="A473" s="232">
        <f t="shared" si="43"/>
        <v>473</v>
      </c>
      <c r="B473" s="232"/>
      <c r="C473" s="310">
        <v>93382</v>
      </c>
      <c r="D473" s="373" t="str">
        <f>IF($C473="","",IFERROR(VLOOKUP($C473,SERVIÇOS!$B:$G,2,0),IFERROR(VLOOKUP($C473,'COMPOSIÇÕES COMPLEMENTARES '!$D:$L,2,0),IFERROR(VLOOKUP($C473,INSUMOS!$A:$D,2,0),""))))</f>
        <v>REATERRO MANUAL DE VALAS, COM COMPACTADOR DE SOLOS DE PERCUSSÃO. AF_08/2023</v>
      </c>
      <c r="E473" s="312" t="str">
        <f>IF($C473="","",IFERROR(VLOOKUP($C473,SERVIÇOS!$B:$G,3,0),IFERROR(VLOOKUP($C473,'COMPOSIÇÕES COMPLEMENTARES '!$D:$L,3,0),IFERROR(VLOOKUP($C473,INSUMOS!$A:$D,3,0),""))))</f>
        <v>M3</v>
      </c>
      <c r="F473" s="313">
        <v>26.25</v>
      </c>
      <c r="G473" s="314">
        <f>IF($C473="","",IFERROR(VLOOKUP($C473,SERVIÇOS!$B:$G,4,0),IFERROR(VLOOKUP($C473,'COMPOSIÇÕES COMPLEMENTARES '!$D:$L,6,0),IFERROR(VLOOKUP($C473,INSUMOS!$A:$D,4,0),""))))</f>
        <v>12.29</v>
      </c>
      <c r="H473" s="314">
        <f>IF($C473="","",IFERROR(VLOOKUP($C473,SERVIÇOS!$B:$G,5,0),IFERROR(VLOOKUP($C473,'COMPOSIÇÕES COMPLEMENTARES '!$D:$L,7,0),0)))</f>
        <v>20.78</v>
      </c>
      <c r="I473" s="314">
        <f t="shared" si="44"/>
        <v>33.07</v>
      </c>
      <c r="J473" s="314">
        <f t="shared" si="45"/>
        <v>322.61</v>
      </c>
      <c r="K473" s="314">
        <f t="shared" si="46"/>
        <v>545.47</v>
      </c>
      <c r="L473" s="948">
        <f t="shared" si="47"/>
        <v>868.08</v>
      </c>
      <c r="M473" s="374">
        <f t="shared" si="48"/>
        <v>5542838.6400000108</v>
      </c>
      <c r="N473" s="375">
        <f>+M473/L$815</f>
        <v>0.9814428942239668</v>
      </c>
      <c r="O473" s="376" t="str">
        <f>IF(N473&lt;0.5,"A",IF(N473&gt;0.8,"C","B"))</f>
        <v>C</v>
      </c>
    </row>
    <row r="474" spans="1:15" x14ac:dyDescent="0.25">
      <c r="A474" s="232">
        <f t="shared" si="43"/>
        <v>474</v>
      </c>
      <c r="B474" s="232"/>
      <c r="C474" s="310" t="s">
        <v>12220</v>
      </c>
      <c r="D474" s="373" t="str">
        <f>IF($C474="","",IFERROR(VLOOKUP($C474,SERVIÇOS!$B:$G,2,0),IFERROR(VLOOKUP($C474,'COMPOSIÇÕES COMPLEMENTARES '!$D:$L,2,0),IFERROR(VLOOKUP($C474,INSUMOS!$A:$D,2,0),""))))</f>
        <v>ELETRODUTO RÍGIDO ROSCÁVEL, PVC, DN 32 MM (1"), INCLUSO CONEXÕES - FORNECIMENTO E INSTALAÇÃO</v>
      </c>
      <c r="E474" s="312" t="str">
        <f>IF($C474="","",IFERROR(VLOOKUP($C474,SERVIÇOS!$B:$G,3,0),IFERROR(VLOOKUP($C474,'COMPOSIÇÕES COMPLEMENTARES '!$D:$L,3,0),IFERROR(VLOOKUP($C474,INSUMOS!$A:$D,3,0),""))))</f>
        <v>M</v>
      </c>
      <c r="F474" s="313">
        <v>27</v>
      </c>
      <c r="G474" s="314">
        <f>IF($C474="","",IFERROR(VLOOKUP($C474,SERVIÇOS!$B:$G,4,0),IFERROR(VLOOKUP($C474,'COMPOSIÇÕES COMPLEMENTARES '!$D:$L,6,0),IFERROR(VLOOKUP($C474,INSUMOS!$A:$D,4,0),""))))</f>
        <v>20.07</v>
      </c>
      <c r="H474" s="314">
        <f>IF($C474="","",IFERROR(VLOOKUP($C474,SERVIÇOS!$B:$G,5,0),IFERROR(VLOOKUP($C474,'COMPOSIÇÕES COMPLEMENTARES '!$D:$L,7,0),0)))</f>
        <v>12.07</v>
      </c>
      <c r="I474" s="314">
        <f t="shared" si="44"/>
        <v>32.14</v>
      </c>
      <c r="J474" s="314">
        <f t="shared" si="45"/>
        <v>541.89</v>
      </c>
      <c r="K474" s="314">
        <f t="shared" si="46"/>
        <v>325.89</v>
      </c>
      <c r="L474" s="948">
        <f t="shared" si="47"/>
        <v>867.78</v>
      </c>
      <c r="M474" s="374">
        <f t="shared" si="48"/>
        <v>5543706.4200000111</v>
      </c>
      <c r="N474" s="375">
        <f>+M474/L$815</f>
        <v>0.98159654771634952</v>
      </c>
      <c r="O474" s="376" t="str">
        <f>IF(N474&lt;0.5,"A",IF(N474&gt;0.8,"C","B"))</f>
        <v>C</v>
      </c>
    </row>
    <row r="475" spans="1:15" x14ac:dyDescent="0.25">
      <c r="A475" s="232">
        <f t="shared" si="43"/>
        <v>475</v>
      </c>
      <c r="B475" s="232"/>
      <c r="C475" s="310" t="s">
        <v>12220</v>
      </c>
      <c r="D475" s="373" t="str">
        <f>IF($C475="","",IFERROR(VLOOKUP($C475,SERVIÇOS!$B:$G,2,0),IFERROR(VLOOKUP($C475,'COMPOSIÇÕES COMPLEMENTARES '!$D:$L,2,0),IFERROR(VLOOKUP($C475,INSUMOS!$A:$D,2,0),""))))</f>
        <v>ELETRODUTO RÍGIDO ROSCÁVEL, PVC, DN 32 MM (1"), INCLUSO CONEXÕES - FORNECIMENTO E INSTALAÇÃO</v>
      </c>
      <c r="E475" s="312" t="str">
        <f>IF($C475="","",IFERROR(VLOOKUP($C475,SERVIÇOS!$B:$G,3,0),IFERROR(VLOOKUP($C475,'COMPOSIÇÕES COMPLEMENTARES '!$D:$L,3,0),IFERROR(VLOOKUP($C475,INSUMOS!$A:$D,3,0),""))))</f>
        <v>M</v>
      </c>
      <c r="F475" s="313">
        <v>27</v>
      </c>
      <c r="G475" s="314">
        <f>IF($C475="","",IFERROR(VLOOKUP($C475,SERVIÇOS!$B:$G,4,0),IFERROR(VLOOKUP($C475,'COMPOSIÇÕES COMPLEMENTARES '!$D:$L,6,0),IFERROR(VLOOKUP($C475,INSUMOS!$A:$D,4,0),""))))</f>
        <v>20.07</v>
      </c>
      <c r="H475" s="314">
        <f>IF($C475="","",IFERROR(VLOOKUP($C475,SERVIÇOS!$B:$G,5,0),IFERROR(VLOOKUP($C475,'COMPOSIÇÕES COMPLEMENTARES '!$D:$L,7,0),0)))</f>
        <v>12.07</v>
      </c>
      <c r="I475" s="314">
        <f t="shared" si="44"/>
        <v>32.14</v>
      </c>
      <c r="J475" s="314">
        <f t="shared" si="45"/>
        <v>541.89</v>
      </c>
      <c r="K475" s="314">
        <f t="shared" si="46"/>
        <v>325.89</v>
      </c>
      <c r="L475" s="948">
        <f t="shared" si="47"/>
        <v>867.78</v>
      </c>
      <c r="M475" s="374">
        <f t="shared" si="48"/>
        <v>5544574.2000000114</v>
      </c>
      <c r="N475" s="375">
        <f>+M475/L$815</f>
        <v>0.98175020120873224</v>
      </c>
      <c r="O475" s="376" t="str">
        <f>IF(N475&lt;0.5,"A",IF(N475&gt;0.8,"C","B"))</f>
        <v>C</v>
      </c>
    </row>
    <row r="476" spans="1:15" ht="25.5" x14ac:dyDescent="0.25">
      <c r="A476" s="232">
        <f t="shared" si="43"/>
        <v>476</v>
      </c>
      <c r="B476" s="232"/>
      <c r="C476" s="310" t="s">
        <v>11988</v>
      </c>
      <c r="D476" s="373" t="str">
        <f>IF($C476="","",IFERROR(VLOOKUP($C476,SERVIÇOS!$B:$G,2,0),IFERROR(VLOOKUP($C476,'COMPOSIÇÕES COMPLEMENTARES '!$D:$L,2,0),IFERROR(VLOOKUP($C476,INSUMOS!$A:$D,2,0),""))))</f>
        <v>PISO CIMENTADO COM ARGAMASSA TRAÇO 1:3 (CIMENTO E AREIA), COM ADITIVO IMPERMEABILIZANTE, ESPESSURA 2,5 CM, ACABAMENTO DESEMPENADO, PREPARO MECÂNICO DA ARGAMASSA.</v>
      </c>
      <c r="E476" s="312" t="str">
        <f>IF($C476="","",IFERROR(VLOOKUP($C476,SERVIÇOS!$B:$G,3,0),IFERROR(VLOOKUP($C476,'COMPOSIÇÕES COMPLEMENTARES '!$D:$L,3,0),IFERROR(VLOOKUP($C476,INSUMOS!$A:$D,3,0),""))))</f>
        <v>M2</v>
      </c>
      <c r="F476" s="313">
        <v>14.82</v>
      </c>
      <c r="G476" s="314">
        <f>IF($C476="","",IFERROR(VLOOKUP($C476,SERVIÇOS!$B:$G,4,0),IFERROR(VLOOKUP($C476,'COMPOSIÇÕES COMPLEMENTARES '!$D:$L,6,0),IFERROR(VLOOKUP($C476,INSUMOS!$A:$D,4,0),""))))</f>
        <v>27.57</v>
      </c>
      <c r="H476" s="314">
        <f>IF($C476="","",IFERROR(VLOOKUP($C476,SERVIÇOS!$B:$G,5,0),IFERROR(VLOOKUP($C476,'COMPOSIÇÕES COMPLEMENTARES '!$D:$L,7,0),0)))</f>
        <v>30.72</v>
      </c>
      <c r="I476" s="314">
        <f t="shared" si="44"/>
        <v>58.29</v>
      </c>
      <c r="J476" s="314">
        <f t="shared" si="45"/>
        <v>408.58</v>
      </c>
      <c r="K476" s="314">
        <f t="shared" si="46"/>
        <v>455.27</v>
      </c>
      <c r="L476" s="948">
        <f t="shared" si="47"/>
        <v>863.85</v>
      </c>
      <c r="M476" s="374">
        <f t="shared" si="48"/>
        <v>5545438.050000011</v>
      </c>
      <c r="N476" s="375">
        <f>+M476/L$815</f>
        <v>0.98190315883554402</v>
      </c>
      <c r="O476" s="376" t="str">
        <f>IF(N476&lt;0.5,"A",IF(N476&gt;0.8,"C","B"))</f>
        <v>C</v>
      </c>
    </row>
    <row r="477" spans="1:15" ht="51" x14ac:dyDescent="0.25">
      <c r="A477" s="232">
        <f t="shared" si="43"/>
        <v>477</v>
      </c>
      <c r="B477" s="232"/>
      <c r="C477" s="310" t="s">
        <v>12393</v>
      </c>
      <c r="D477" s="373" t="str">
        <f>IF($C477="","",IFERROR(VLOOKUP($C477,SERVIÇOS!$B:$G,2,0),IFERROR(VLOOKUP($C477,'COMPOSIÇÕES COMPLEMENTARES '!$D:$L,2,0),IFERROR(VLOOKUP($C477,INSUMOS!$A:$D,2,0),""))))</f>
        <v>TUBULAÇÃO DE INTERLIGAÇÃO FRIGORÍGENA PARA REDES DE AR CONDICIONADO DIÂMETRO NOMINAL Ø30MM (Ø1.1/8") - ESPESSURA MÍNIMA 0,8MM COM ISOLAMENTO TÉRMICO FLEXÍVEL DE ESPUMA ELASTOMÉRICA COM ESPESSURA MÍNIMA DE PAREDE DE 23MM E DIÂMETRO INTERNO MÍNIMO DE 29 A 30,5MM PARA TUBOS DE COBRE Ø1.1/8". REFERÊNCIA: ARMACELL LINHA ARMAFLEX M</v>
      </c>
      <c r="E477" s="312" t="str">
        <f>IF($C477="","",IFERROR(VLOOKUP($C477,SERVIÇOS!$B:$G,3,0),IFERROR(VLOOKUP($C477,'COMPOSIÇÕES COMPLEMENTARES '!$D:$L,3,0),IFERROR(VLOOKUP($C477,INSUMOS!$A:$D,3,0),""))))</f>
        <v>M</v>
      </c>
      <c r="F477" s="313">
        <v>5</v>
      </c>
      <c r="G477" s="314">
        <f>IF($C477="","",IFERROR(VLOOKUP($C477,SERVIÇOS!$B:$G,4,0),IFERROR(VLOOKUP($C477,'COMPOSIÇÕES COMPLEMENTARES '!$D:$L,6,0),IFERROR(VLOOKUP($C477,INSUMOS!$A:$D,4,0),""))))</f>
        <v>147.86000000000001</v>
      </c>
      <c r="H477" s="314">
        <f>IF($C477="","",IFERROR(VLOOKUP($C477,SERVIÇOS!$B:$G,5,0),IFERROR(VLOOKUP($C477,'COMPOSIÇÕES COMPLEMENTARES '!$D:$L,7,0),0)))</f>
        <v>23.32</v>
      </c>
      <c r="I477" s="314">
        <f t="shared" si="44"/>
        <v>171.18</v>
      </c>
      <c r="J477" s="314">
        <f t="shared" si="45"/>
        <v>739.3</v>
      </c>
      <c r="K477" s="314">
        <f t="shared" si="46"/>
        <v>116.6</v>
      </c>
      <c r="L477" s="948">
        <f t="shared" si="47"/>
        <v>855.9</v>
      </c>
      <c r="M477" s="374">
        <f t="shared" si="48"/>
        <v>5546293.9500000114</v>
      </c>
      <c r="N477" s="375">
        <f>+M477/L$815</f>
        <v>0.9820547087953615</v>
      </c>
      <c r="O477" s="376" t="str">
        <f>IF(N477&lt;0.5,"A",IF(N477&gt;0.8,"C","B"))</f>
        <v>C</v>
      </c>
    </row>
    <row r="478" spans="1:15" ht="25.5" x14ac:dyDescent="0.25">
      <c r="A478" s="232">
        <f t="shared" si="43"/>
        <v>478</v>
      </c>
      <c r="B478" s="232"/>
      <c r="C478" s="310" t="s">
        <v>12085</v>
      </c>
      <c r="D478" s="373" t="str">
        <f>IF($C478="","",IFERROR(VLOOKUP($C478,SERVIÇOS!$B:$G,2,0),IFERROR(VLOOKUP($C478,'COMPOSIÇÕES COMPLEMENTARES '!$D:$L,2,0),IFERROR(VLOOKUP($C478,INSUMOS!$A:$D,2,0),""))))</f>
        <v>TORNEIRA DE PRESSÃO PARA REDE DE TORNEIRAS DE ÁGUA DE REAPROVEITAMENTO (NÃO POTÁVEL) 3/4", COM ENGATE PARA MANGUEIRA</v>
      </c>
      <c r="E478" s="312" t="str">
        <f>IF($C478="","",IFERROR(VLOOKUP($C478,SERVIÇOS!$B:$G,3,0),IFERROR(VLOOKUP($C478,'COMPOSIÇÕES COMPLEMENTARES '!$D:$L,3,0),IFERROR(VLOOKUP($C478,INSUMOS!$A:$D,3,0),""))))</f>
        <v>UN</v>
      </c>
      <c r="F478" s="313">
        <v>12</v>
      </c>
      <c r="G478" s="314">
        <f>IF($C478="","",IFERROR(VLOOKUP($C478,SERVIÇOS!$B:$G,4,0),IFERROR(VLOOKUP($C478,'COMPOSIÇÕES COMPLEMENTARES '!$D:$L,6,0),IFERROR(VLOOKUP($C478,INSUMOS!$A:$D,4,0),""))))</f>
        <v>66.27</v>
      </c>
      <c r="H478" s="314">
        <f>IF($C478="","",IFERROR(VLOOKUP($C478,SERVIÇOS!$B:$G,5,0),IFERROR(VLOOKUP($C478,'COMPOSIÇÕES COMPLEMENTARES '!$D:$L,7,0),0)))</f>
        <v>4.95</v>
      </c>
      <c r="I478" s="314">
        <f t="shared" si="44"/>
        <v>71.22</v>
      </c>
      <c r="J478" s="314">
        <f t="shared" si="45"/>
        <v>795.24</v>
      </c>
      <c r="K478" s="314">
        <f t="shared" si="46"/>
        <v>59.4</v>
      </c>
      <c r="L478" s="948">
        <f t="shared" si="47"/>
        <v>854.64</v>
      </c>
      <c r="M478" s="374">
        <f t="shared" si="48"/>
        <v>5547148.590000011</v>
      </c>
      <c r="N478" s="375">
        <f>+M478/L$815</f>
        <v>0.98220603565324005</v>
      </c>
      <c r="O478" s="376" t="str">
        <f>IF(N478&lt;0.5,"A",IF(N478&gt;0.8,"C","B"))</f>
        <v>C</v>
      </c>
    </row>
    <row r="479" spans="1:15" x14ac:dyDescent="0.25">
      <c r="A479" s="232">
        <f t="shared" si="43"/>
        <v>479</v>
      </c>
      <c r="B479" s="232"/>
      <c r="C479" s="310" t="s">
        <v>12123</v>
      </c>
      <c r="D479" s="373" t="str">
        <f>IF($C479="","",IFERROR(VLOOKUP($C479,SERVIÇOS!$B:$G,2,0),IFERROR(VLOOKUP($C479,'COMPOSIÇÕES COMPLEMENTARES '!$D:$L,2,0),IFERROR(VLOOKUP($C479,INSUMOS!$A:$D,2,0),""))))</f>
        <v>TUBO DE POLIPROPILENO RANDOM (PPR), PN 25, INCLUSO CONEXÕES - D=50MM</v>
      </c>
      <c r="E479" s="312" t="str">
        <f>IF($C479="","",IFERROR(VLOOKUP($C479,SERVIÇOS!$B:$G,3,0),IFERROR(VLOOKUP($C479,'COMPOSIÇÕES COMPLEMENTARES '!$D:$L,3,0),IFERROR(VLOOKUP($C479,INSUMOS!$A:$D,3,0),""))))</f>
        <v>M</v>
      </c>
      <c r="F479" s="313">
        <v>9</v>
      </c>
      <c r="G479" s="314">
        <f>IF($C479="","",IFERROR(VLOOKUP($C479,SERVIÇOS!$B:$G,4,0),IFERROR(VLOOKUP($C479,'COMPOSIÇÕES COMPLEMENTARES '!$D:$L,6,0),IFERROR(VLOOKUP($C479,INSUMOS!$A:$D,4,0),""))))</f>
        <v>82.65</v>
      </c>
      <c r="H479" s="314">
        <f>IF($C479="","",IFERROR(VLOOKUP($C479,SERVIÇOS!$B:$G,5,0),IFERROR(VLOOKUP($C479,'COMPOSIÇÕES COMPLEMENTARES '!$D:$L,7,0),0)))</f>
        <v>12.24</v>
      </c>
      <c r="I479" s="314">
        <f t="shared" si="44"/>
        <v>94.89</v>
      </c>
      <c r="J479" s="314">
        <f t="shared" si="45"/>
        <v>743.85</v>
      </c>
      <c r="K479" s="314">
        <f t="shared" si="46"/>
        <v>110.16</v>
      </c>
      <c r="L479" s="948">
        <f t="shared" si="47"/>
        <v>854.01</v>
      </c>
      <c r="M479" s="374">
        <f t="shared" si="48"/>
        <v>5548002.6000000108</v>
      </c>
      <c r="N479" s="375">
        <f>+M479/L$815</f>
        <v>0.98235725096014936</v>
      </c>
      <c r="O479" s="376" t="str">
        <f>IF(N479&lt;0.5,"A",IF(N479&gt;0.8,"C","B"))</f>
        <v>C</v>
      </c>
    </row>
    <row r="480" spans="1:15" x14ac:dyDescent="0.25">
      <c r="A480" s="232">
        <f t="shared" si="43"/>
        <v>480</v>
      </c>
      <c r="B480" s="232"/>
      <c r="C480" s="310" t="s">
        <v>11991</v>
      </c>
      <c r="D480" s="373" t="str">
        <f>IF($C480="","",IFERROR(VLOOKUP($C480,SERVIÇOS!$B:$G,2,0),IFERROR(VLOOKUP($C480,'COMPOSIÇÕES COMPLEMENTARES '!$D:$L,2,0),IFERROR(VLOOKUP($C480,INSUMOS!$A:$D,2,0),""))))</f>
        <v>RODAPÉ CIMENTADO COM BOLEADO</v>
      </c>
      <c r="E480" s="312" t="str">
        <f>IF($C480="","",IFERROR(VLOOKUP($C480,SERVIÇOS!$B:$G,3,0),IFERROR(VLOOKUP($C480,'COMPOSIÇÕES COMPLEMENTARES '!$D:$L,3,0),IFERROR(VLOOKUP($C480,INSUMOS!$A:$D,3,0),""))))</f>
        <v>M</v>
      </c>
      <c r="F480" s="313">
        <v>18.86</v>
      </c>
      <c r="G480" s="314">
        <f>IF($C480="","",IFERROR(VLOOKUP($C480,SERVIÇOS!$B:$G,4,0),IFERROR(VLOOKUP($C480,'COMPOSIÇÕES COMPLEMENTARES '!$D:$L,6,0),IFERROR(VLOOKUP($C480,INSUMOS!$A:$D,4,0),""))))</f>
        <v>13.18</v>
      </c>
      <c r="H480" s="314">
        <f>IF($C480="","",IFERROR(VLOOKUP($C480,SERVIÇOS!$B:$G,5,0),IFERROR(VLOOKUP($C480,'COMPOSIÇÕES COMPLEMENTARES '!$D:$L,7,0),0)))</f>
        <v>31.81</v>
      </c>
      <c r="I480" s="314">
        <f t="shared" si="44"/>
        <v>44.989999999999995</v>
      </c>
      <c r="J480" s="314">
        <f t="shared" si="45"/>
        <v>248.57</v>
      </c>
      <c r="K480" s="314">
        <f t="shared" si="46"/>
        <v>599.92999999999995</v>
      </c>
      <c r="L480" s="948">
        <f t="shared" si="47"/>
        <v>848.5</v>
      </c>
      <c r="M480" s="374">
        <f t="shared" si="48"/>
        <v>5548851.1000000108</v>
      </c>
      <c r="N480" s="375">
        <f>+M480/L$815</f>
        <v>0.98250749063873921</v>
      </c>
      <c r="O480" s="376" t="str">
        <f>IF(N480&lt;0.5,"A",IF(N480&gt;0.8,"C","B"))</f>
        <v>C</v>
      </c>
    </row>
    <row r="481" spans="1:15" ht="76.5" x14ac:dyDescent="0.25">
      <c r="A481" s="232">
        <f t="shared" si="43"/>
        <v>481</v>
      </c>
      <c r="B481" s="232"/>
      <c r="C481" s="310" t="s">
        <v>12310</v>
      </c>
      <c r="D481" s="373" t="str">
        <f>IF($C481="","",IFERROR(VLOOKUP($C481,SERVIÇOS!$B:$G,2,0),IFERROR(VLOOKUP($C481,'COMPOSIÇÕES COMPLEMENTARES '!$D:$L,2,0),IFERROR(VLOOKUP($C481,INSUMOS!$A:$D,2,0),""))))</f>
        <v>DIO 24 FIBRAS MM/LC - COM CAIXA METÁLICA PARA FIXAÇÃO EM RACK PADRÃO 19’, ALTURA DE 1U, CONFECCIONADO EM AÇO NA COR PRETA, COM CAPACIDADE PARA ACOMODAÇÃO DE NO MÍNIMO 12  FIBRAS. DEVE POSSUIR BANDEJAS DE ACOMODAÇÃO PARA AS FIBRAS ÓPTICAS, DEVE CONSTAR O FORNECIMENTO TODOS OS MÓDULOS INTERNOS PARA ACOMODAÇÃO DAS FIBRAS ÓPTICAS E CONECTORES DO TIPO LC ALÉM DE PIG TAIS CONSTITUÍDOS DE 1 FIBRA TIPO MULTIMODO (50ΜM/125ΜM), CONECTORIZADAS EM UMA DAS EXTREMIDADES COM CONECTOR TIPO LC. DEVERÁ SER FORNECIDO COM TODOS OS ACESSÓRIOS E COM A PREVISÃO DE UTILIZAÇÃO DE SUA CAPACIDADE INTEGRAL (24 FIBRAS).</v>
      </c>
      <c r="E481" s="312" t="str">
        <f>IF($C481="","",IFERROR(VLOOKUP($C481,SERVIÇOS!$B:$G,3,0),IFERROR(VLOOKUP($C481,'COMPOSIÇÕES COMPLEMENTARES '!$D:$L,3,0),IFERROR(VLOOKUP($C481,INSUMOS!$A:$D,3,0),""))))</f>
        <v>UN</v>
      </c>
      <c r="F481" s="313">
        <v>1</v>
      </c>
      <c r="G481" s="314">
        <f>IF($C481="","",IFERROR(VLOOKUP($C481,SERVIÇOS!$B:$G,4,0),IFERROR(VLOOKUP($C481,'COMPOSIÇÕES COMPLEMENTARES '!$D:$L,6,0),IFERROR(VLOOKUP($C481,INSUMOS!$A:$D,4,0),""))))</f>
        <v>710.36</v>
      </c>
      <c r="H481" s="314">
        <f>IF($C481="","",IFERROR(VLOOKUP($C481,SERVIÇOS!$B:$G,5,0),IFERROR(VLOOKUP($C481,'COMPOSIÇÕES COMPLEMENTARES '!$D:$L,7,0),0)))</f>
        <v>123.85</v>
      </c>
      <c r="I481" s="314">
        <f t="shared" si="44"/>
        <v>834.21</v>
      </c>
      <c r="J481" s="314">
        <f t="shared" si="45"/>
        <v>710.36</v>
      </c>
      <c r="K481" s="314">
        <f t="shared" si="46"/>
        <v>123.85</v>
      </c>
      <c r="L481" s="948">
        <f t="shared" si="47"/>
        <v>834.21</v>
      </c>
      <c r="M481" s="374">
        <f t="shared" si="48"/>
        <v>5549685.3100000108</v>
      </c>
      <c r="N481" s="375">
        <f>+M481/L$815</f>
        <v>0.98265520005803964</v>
      </c>
      <c r="O481" s="376" t="str">
        <f>IF(N481&lt;0.5,"A",IF(N481&gt;0.8,"C","B"))</f>
        <v>C</v>
      </c>
    </row>
    <row r="482" spans="1:15" ht="38.25" x14ac:dyDescent="0.25">
      <c r="A482" s="232">
        <f t="shared" si="43"/>
        <v>482</v>
      </c>
      <c r="B482" s="232"/>
      <c r="C482" s="310" t="s">
        <v>12309</v>
      </c>
      <c r="D482" s="373" t="str">
        <f>IF($C482="","",IFERROR(VLOOKUP($C482,SERVIÇOS!$B:$G,2,0),IFERROR(VLOOKUP($C482,'COMPOSIÇÕES COMPLEMENTARES '!$D:$L,2,0),IFERROR(VLOOKUP($C482,INSUMOS!$A:$D,2,0),""))))</f>
        <v xml:space="preserve">RACK "A" PADRÃO 19 (DEZENOVE) POLEGADAS, ALTURA 16U, PROFUNDIDADE EXTERNA MÍNIMA DE 67MM, COM 2 DUTOS VERTICAIS NAS LATERAIS DO RACK, PORTA FRONTAL REMOVÍVEL COM VISOR DE ACRÍLICO, LATERAIS COM VENTILAÇÃO PERMANENTE E REMOVÍVEIS,  UM TETO COM ABERTURA PARA DOIS VENTILADORES E PASSAGEM DE CABOS. </v>
      </c>
      <c r="E482" s="312" t="str">
        <f>IF($C482="","",IFERROR(VLOOKUP($C482,SERVIÇOS!$B:$G,3,0),IFERROR(VLOOKUP($C482,'COMPOSIÇÕES COMPLEMENTARES '!$D:$L,3,0),IFERROR(VLOOKUP($C482,INSUMOS!$A:$D,3,0),""))))</f>
        <v>UN</v>
      </c>
      <c r="F482" s="313">
        <v>1</v>
      </c>
      <c r="G482" s="314">
        <f>IF($C482="","",IFERROR(VLOOKUP($C482,SERVIÇOS!$B:$G,4,0),IFERROR(VLOOKUP($C482,'COMPOSIÇÕES COMPLEMENTARES '!$D:$L,6,0),IFERROR(VLOOKUP($C482,INSUMOS!$A:$D,4,0),""))))</f>
        <v>733.45</v>
      </c>
      <c r="H482" s="314">
        <f>IF($C482="","",IFERROR(VLOOKUP($C482,SERVIÇOS!$B:$G,5,0),IFERROR(VLOOKUP($C482,'COMPOSIÇÕES COMPLEMENTARES '!$D:$L,7,0),0)))</f>
        <v>99.08</v>
      </c>
      <c r="I482" s="314">
        <f t="shared" si="44"/>
        <v>832.53000000000009</v>
      </c>
      <c r="J482" s="314">
        <f t="shared" si="45"/>
        <v>733.45</v>
      </c>
      <c r="K482" s="314">
        <f t="shared" si="46"/>
        <v>99.08</v>
      </c>
      <c r="L482" s="948">
        <f t="shared" si="47"/>
        <v>832.53</v>
      </c>
      <c r="M482" s="374">
        <f t="shared" si="48"/>
        <v>5550517.840000011</v>
      </c>
      <c r="N482" s="375">
        <f>+M482/L$815</f>
        <v>0.98280261200808849</v>
      </c>
      <c r="O482" s="376" t="str">
        <f>IF(N482&lt;0.5,"A",IF(N482&gt;0.8,"C","B"))</f>
        <v>C</v>
      </c>
    </row>
    <row r="483" spans="1:15" ht="25.5" x14ac:dyDescent="0.25">
      <c r="A483" s="232">
        <f t="shared" si="43"/>
        <v>483</v>
      </c>
      <c r="B483" s="232"/>
      <c r="C483" s="310">
        <v>92005</v>
      </c>
      <c r="D483" s="373" t="str">
        <f>IF($C483="","",IFERROR(VLOOKUP($C483,SERVIÇOS!$B:$G,2,0),IFERROR(VLOOKUP($C483,'COMPOSIÇÕES COMPLEMENTARES '!$D:$L,2,0),IFERROR(VLOOKUP($C483,INSUMOS!$A:$D,2,0),""))))</f>
        <v>TOMADA MÉDIA DE EMBUTIR (2 MÓDULOS), 2P+T 20 A, INCLUINDO SUPORTE E PLACA - FORNECIMENTO E INSTALAÇÃO. AF_03/2023</v>
      </c>
      <c r="E483" s="312" t="str">
        <f>IF($C483="","",IFERROR(VLOOKUP($C483,SERVIÇOS!$B:$G,3,0),IFERROR(VLOOKUP($C483,'COMPOSIÇÕES COMPLEMENTARES '!$D:$L,3,0),IFERROR(VLOOKUP($C483,INSUMOS!$A:$D,3,0),""))))</f>
        <v>UN</v>
      </c>
      <c r="F483" s="313">
        <v>11</v>
      </c>
      <c r="G483" s="314">
        <f>IF($C483="","",IFERROR(VLOOKUP($C483,SERVIÇOS!$B:$G,4,0),IFERROR(VLOOKUP($C483,'COMPOSIÇÕES COMPLEMENTARES '!$D:$L,6,0),IFERROR(VLOOKUP($C483,INSUMOS!$A:$D,4,0),""))))</f>
        <v>40.08</v>
      </c>
      <c r="H483" s="314">
        <f>IF($C483="","",IFERROR(VLOOKUP($C483,SERVIÇOS!$B:$G,5,0),IFERROR(VLOOKUP($C483,'COMPOSIÇÕES COMPLEMENTARES '!$D:$L,7,0),0)))</f>
        <v>34.67</v>
      </c>
      <c r="I483" s="314">
        <f t="shared" si="44"/>
        <v>74.75</v>
      </c>
      <c r="J483" s="314">
        <f t="shared" si="45"/>
        <v>440.88</v>
      </c>
      <c r="K483" s="314">
        <f t="shared" si="46"/>
        <v>381.37</v>
      </c>
      <c r="L483" s="948">
        <f t="shared" si="47"/>
        <v>822.25</v>
      </c>
      <c r="M483" s="374">
        <f t="shared" si="48"/>
        <v>5551340.090000011</v>
      </c>
      <c r="N483" s="375">
        <f>+M483/L$815</f>
        <v>0.98294820372962122</v>
      </c>
      <c r="O483" s="376" t="str">
        <f>IF(N483&lt;0.5,"A",IF(N483&gt;0.8,"C","B"))</f>
        <v>C</v>
      </c>
    </row>
    <row r="484" spans="1:15" x14ac:dyDescent="0.25">
      <c r="A484" s="232">
        <f t="shared" si="43"/>
        <v>484</v>
      </c>
      <c r="B484" s="232"/>
      <c r="C484" s="310">
        <v>86882</v>
      </c>
      <c r="D484" s="373" t="str">
        <f>IF($C484="","",IFERROR(VLOOKUP($C484,SERVIÇOS!$B:$G,2,0),IFERROR(VLOOKUP($C484,'COMPOSIÇÕES COMPLEMENTARES '!$D:$L,2,0),IFERROR(VLOOKUP($C484,INSUMOS!$A:$D,2,0),""))))</f>
        <v>SIFÃO DO TIPO GARRAFA/COPO EM PVC 1.1/4  X 1.1/2" - FORNECIMENTO E INSTALAÇÃO. AF_01/2020</v>
      </c>
      <c r="E484" s="312" t="str">
        <f>IF($C484="","",IFERROR(VLOOKUP($C484,SERVIÇOS!$B:$G,3,0),IFERROR(VLOOKUP($C484,'COMPOSIÇÕES COMPLEMENTARES '!$D:$L,3,0),IFERROR(VLOOKUP($C484,INSUMOS!$A:$D,3,0),""))))</f>
        <v>UN</v>
      </c>
      <c r="F484" s="313">
        <v>38</v>
      </c>
      <c r="G484" s="314">
        <f>IF($C484="","",IFERROR(VLOOKUP($C484,SERVIÇOS!$B:$G,4,0),IFERROR(VLOOKUP($C484,'COMPOSIÇÕES COMPLEMENTARES '!$D:$L,6,0),IFERROR(VLOOKUP($C484,INSUMOS!$A:$D,4,0),""))))</f>
        <v>16.96</v>
      </c>
      <c r="H484" s="314">
        <f>IF($C484="","",IFERROR(VLOOKUP($C484,SERVIÇOS!$B:$G,5,0),IFERROR(VLOOKUP($C484,'COMPOSIÇÕES COMPLEMENTARES '!$D:$L,7,0),0)))</f>
        <v>4.5599999999999996</v>
      </c>
      <c r="I484" s="314">
        <f t="shared" si="44"/>
        <v>21.52</v>
      </c>
      <c r="J484" s="314">
        <f t="shared" si="45"/>
        <v>644.48</v>
      </c>
      <c r="K484" s="314">
        <f t="shared" si="46"/>
        <v>173.28</v>
      </c>
      <c r="L484" s="948">
        <f t="shared" si="47"/>
        <v>817.76</v>
      </c>
      <c r="M484" s="374">
        <f t="shared" si="48"/>
        <v>5552157.8500000108</v>
      </c>
      <c r="N484" s="375">
        <f>+M484/L$815</f>
        <v>0.98309300042916581</v>
      </c>
      <c r="O484" s="376" t="str">
        <f>IF(N484&lt;0.5,"A",IF(N484&gt;0.8,"C","B"))</f>
        <v>C</v>
      </c>
    </row>
    <row r="485" spans="1:15" x14ac:dyDescent="0.25">
      <c r="A485" s="232">
        <f t="shared" si="43"/>
        <v>485</v>
      </c>
      <c r="B485" s="232"/>
      <c r="C485" s="310">
        <v>93358</v>
      </c>
      <c r="D485" s="373" t="str">
        <f>IF($C485="","",IFERROR(VLOOKUP($C485,SERVIÇOS!$B:$G,2,0),IFERROR(VLOOKUP($C485,'COMPOSIÇÕES COMPLEMENTARES '!$D:$L,2,0),IFERROR(VLOOKUP($C485,INSUMOS!$A:$D,2,0),""))))</f>
        <v>ESCAVAÇÃO MANUAL DE VALA. AF_09/2024</v>
      </c>
      <c r="E485" s="312" t="str">
        <f>IF($C485="","",IFERROR(VLOOKUP($C485,SERVIÇOS!$B:$G,3,0),IFERROR(VLOOKUP($C485,'COMPOSIÇÕES COMPLEMENTARES '!$D:$L,3,0),IFERROR(VLOOKUP($C485,INSUMOS!$A:$D,3,0),""))))</f>
        <v>M3</v>
      </c>
      <c r="F485" s="313">
        <v>7.2000000000000011</v>
      </c>
      <c r="G485" s="314">
        <f>IF($C485="","",IFERROR(VLOOKUP($C485,SERVIÇOS!$B:$G,4,0),IFERROR(VLOOKUP($C485,'COMPOSIÇÕES COMPLEMENTARES '!$D:$L,6,0),IFERROR(VLOOKUP($C485,INSUMOS!$A:$D,4,0),""))))</f>
        <v>36.369999999999997</v>
      </c>
      <c r="H485" s="314">
        <f>IF($C485="","",IFERROR(VLOOKUP($C485,SERVIÇOS!$B:$G,5,0),IFERROR(VLOOKUP($C485,'COMPOSIÇÕES COMPLEMENTARES '!$D:$L,7,0),0)))</f>
        <v>77.2</v>
      </c>
      <c r="I485" s="314">
        <f t="shared" si="44"/>
        <v>113.57</v>
      </c>
      <c r="J485" s="314">
        <f t="shared" si="45"/>
        <v>261.86</v>
      </c>
      <c r="K485" s="314">
        <f t="shared" si="46"/>
        <v>555.84</v>
      </c>
      <c r="L485" s="948">
        <f t="shared" si="47"/>
        <v>817.7</v>
      </c>
      <c r="M485" s="374">
        <f t="shared" si="48"/>
        <v>5552975.550000011</v>
      </c>
      <c r="N485" s="375">
        <f>+M485/L$815</f>
        <v>0.98323778650480864</v>
      </c>
      <c r="O485" s="376" t="str">
        <f>IF(N485&lt;0.5,"A",IF(N485&gt;0.8,"C","B"))</f>
        <v>C</v>
      </c>
    </row>
    <row r="486" spans="1:15" x14ac:dyDescent="0.25">
      <c r="A486" s="232">
        <f t="shared" si="43"/>
        <v>486</v>
      </c>
      <c r="B486" s="232"/>
      <c r="C486" s="310" t="s">
        <v>12071</v>
      </c>
      <c r="D486" s="373" t="str">
        <f>IF($C486="","",IFERROR(VLOOKUP($C486,SERVIÇOS!$B:$G,2,0),IFERROR(VLOOKUP($C486,'COMPOSIÇÕES COMPLEMENTARES '!$D:$L,2,0),IFERROR(VLOOKUP($C486,INSUMOS!$A:$D,2,0),""))))</f>
        <v xml:space="preserve">LAVATÓRIO COLETIVO EM AÇO INOX </v>
      </c>
      <c r="E486" s="312" t="str">
        <f>IF($C486="","",IFERROR(VLOOKUP($C486,SERVIÇOS!$B:$G,3,0),IFERROR(VLOOKUP($C486,'COMPOSIÇÕES COMPLEMENTARES '!$D:$L,3,0),IFERROR(VLOOKUP($C486,INSUMOS!$A:$D,3,0),""))))</f>
        <v>M</v>
      </c>
      <c r="F486" s="313">
        <v>0.75</v>
      </c>
      <c r="G486" s="314">
        <f>IF($C486="","",IFERROR(VLOOKUP($C486,SERVIÇOS!$B:$G,4,0),IFERROR(VLOOKUP($C486,'COMPOSIÇÕES COMPLEMENTARES '!$D:$L,6,0),IFERROR(VLOOKUP($C486,INSUMOS!$A:$D,4,0),""))))</f>
        <v>1017.32</v>
      </c>
      <c r="H486" s="314">
        <f>IF($C486="","",IFERROR(VLOOKUP($C486,SERVIÇOS!$B:$G,5,0),IFERROR(VLOOKUP($C486,'COMPOSIÇÕES COMPLEMENTARES '!$D:$L,7,0),0)))</f>
        <v>69.69</v>
      </c>
      <c r="I486" s="314">
        <f t="shared" si="44"/>
        <v>1087.01</v>
      </c>
      <c r="J486" s="314">
        <f t="shared" si="45"/>
        <v>762.99</v>
      </c>
      <c r="K486" s="314">
        <f t="shared" si="46"/>
        <v>52.26</v>
      </c>
      <c r="L486" s="948">
        <f t="shared" si="47"/>
        <v>815.25</v>
      </c>
      <c r="M486" s="374">
        <f t="shared" si="48"/>
        <v>5553790.800000011</v>
      </c>
      <c r="N486" s="375">
        <f>+M486/L$815</f>
        <v>0.98338213877112612</v>
      </c>
      <c r="O486" s="376" t="str">
        <f>IF(N486&lt;0.5,"A",IF(N486&gt;0.8,"C","B"))</f>
        <v>C</v>
      </c>
    </row>
    <row r="487" spans="1:15" x14ac:dyDescent="0.25">
      <c r="A487" s="232">
        <f t="shared" si="43"/>
        <v>487</v>
      </c>
      <c r="B487" s="232"/>
      <c r="C487" s="310" t="s">
        <v>12200</v>
      </c>
      <c r="D487" s="373" t="str">
        <f>IF($C487="","",IFERROR(VLOOKUP($C487,SERVIÇOS!$B:$G,2,0),IFERROR(VLOOKUP($C487,'COMPOSIÇÕES COMPLEMENTARES '!$D:$L,2,0),IFERROR(VLOOKUP($C487,INSUMOS!$A:$D,2,0),""))))</f>
        <v>INTERRUPTOR DIFERENCIAL TETRAPOLAR 4X63A SENS. 30MA</v>
      </c>
      <c r="E487" s="312" t="str">
        <f>IF($C487="","",IFERROR(VLOOKUP($C487,SERVIÇOS!$B:$G,3,0),IFERROR(VLOOKUP($C487,'COMPOSIÇÕES COMPLEMENTARES '!$D:$L,3,0),IFERROR(VLOOKUP($C487,INSUMOS!$A:$D,3,0),""))))</f>
        <v>UN</v>
      </c>
      <c r="F487" s="313">
        <v>2</v>
      </c>
      <c r="G487" s="314">
        <f>IF($C487="","",IFERROR(VLOOKUP($C487,SERVIÇOS!$B:$G,4,0),IFERROR(VLOOKUP($C487,'COMPOSIÇÕES COMPLEMENTARES '!$D:$L,6,0),IFERROR(VLOOKUP($C487,INSUMOS!$A:$D,4,0),""))))</f>
        <v>279.11</v>
      </c>
      <c r="H487" s="314">
        <f>IF($C487="","",IFERROR(VLOOKUP($C487,SERVIÇOS!$B:$G,5,0),IFERROR(VLOOKUP($C487,'COMPOSIÇÕES COMPLEMENTARES '!$D:$L,7,0),0)))</f>
        <v>120.12</v>
      </c>
      <c r="I487" s="314">
        <f t="shared" si="44"/>
        <v>399.23</v>
      </c>
      <c r="J487" s="314">
        <f t="shared" si="45"/>
        <v>558.22</v>
      </c>
      <c r="K487" s="314">
        <f t="shared" si="46"/>
        <v>240.24</v>
      </c>
      <c r="L487" s="948">
        <f t="shared" si="47"/>
        <v>798.46</v>
      </c>
      <c r="M487" s="374">
        <f t="shared" si="48"/>
        <v>5554589.260000011</v>
      </c>
      <c r="N487" s="375">
        <f>+M487/L$815</f>
        <v>0.98352351811557737</v>
      </c>
      <c r="O487" s="376" t="str">
        <f>IF(N487&lt;0.5,"A",IF(N487&gt;0.8,"C","B"))</f>
        <v>C</v>
      </c>
    </row>
    <row r="488" spans="1:15" x14ac:dyDescent="0.25">
      <c r="A488" s="232">
        <f t="shared" si="43"/>
        <v>488</v>
      </c>
      <c r="B488" s="232"/>
      <c r="C488" s="310" t="s">
        <v>12514</v>
      </c>
      <c r="D488" s="373" t="str">
        <f>IF($C488="","",IFERROR(VLOOKUP($C488,SERVIÇOS!$B:$G,2,0),IFERROR(VLOOKUP($C488,'COMPOSIÇÕES COMPLEMENTARES '!$D:$L,2,0),IFERROR(VLOOKUP($C488,INSUMOS!$A:$D,2,0),""))))</f>
        <v>REBAIXAMENTO DE GUIA</v>
      </c>
      <c r="E488" s="312" t="str">
        <f>IF($C488="","",IFERROR(VLOOKUP($C488,SERVIÇOS!$B:$G,3,0),IFERROR(VLOOKUP($C488,'COMPOSIÇÕES COMPLEMENTARES '!$D:$L,3,0),IFERROR(VLOOKUP($C488,INSUMOS!$A:$D,3,0),""))))</f>
        <v>M</v>
      </c>
      <c r="F488" s="313">
        <v>17</v>
      </c>
      <c r="G488" s="314">
        <f>IF($C488="","",IFERROR(VLOOKUP($C488,SERVIÇOS!$B:$G,4,0),IFERROR(VLOOKUP($C488,'COMPOSIÇÕES COMPLEMENTARES '!$D:$L,6,0),IFERROR(VLOOKUP($C488,INSUMOS!$A:$D,4,0),""))))</f>
        <v>19.440000000000001</v>
      </c>
      <c r="H488" s="314">
        <f>IF($C488="","",IFERROR(VLOOKUP($C488,SERVIÇOS!$B:$G,5,0),IFERROR(VLOOKUP($C488,'COMPOSIÇÕES COMPLEMENTARES '!$D:$L,7,0),0)))</f>
        <v>26.98</v>
      </c>
      <c r="I488" s="314">
        <f t="shared" si="44"/>
        <v>46.42</v>
      </c>
      <c r="J488" s="314">
        <f t="shared" si="45"/>
        <v>330.48</v>
      </c>
      <c r="K488" s="314">
        <f t="shared" si="46"/>
        <v>458.66</v>
      </c>
      <c r="L488" s="948">
        <f t="shared" si="47"/>
        <v>789.14</v>
      </c>
      <c r="M488" s="374">
        <f t="shared" si="48"/>
        <v>5555378.4000000106</v>
      </c>
      <c r="N488" s="375">
        <f>+M488/L$815</f>
        <v>0.98366324721394194</v>
      </c>
      <c r="O488" s="376" t="str">
        <f>IF(N488&lt;0.5,"A",IF(N488&gt;0.8,"C","B"))</f>
        <v>C</v>
      </c>
    </row>
    <row r="489" spans="1:15" ht="25.5" x14ac:dyDescent="0.25">
      <c r="A489" s="232">
        <f t="shared" si="43"/>
        <v>489</v>
      </c>
      <c r="B489" s="232"/>
      <c r="C489" s="310" t="s">
        <v>12423</v>
      </c>
      <c r="D489" s="373" t="str">
        <f>IF($C489="","",IFERROR(VLOOKUP($C489,SERVIÇOS!$B:$G,2,0),IFERROR(VLOOKUP($C489,'COMPOSIÇÕES COMPLEMENTARES '!$D:$L,2,0),IFERROR(VLOOKUP($C489,INSUMOS!$A:$D,2,0),""))))</f>
        <v>DIFUSOR DE 4 VIAS DO TIPO QUADRADO EUROPEU TAMANHO 1 PARA INSUFLAMENTO DE AR EM ALUMÍNIO COM REGISTRO - MARCA TROPICAL (OU SIMILAR OU SIMILAR - TROX, SEIMMEI, DIFUSAR) - MODELO: DQE-41-T1-RGA</v>
      </c>
      <c r="E489" s="312" t="str">
        <f>IF($C489="","",IFERROR(VLOOKUP($C489,SERVIÇOS!$B:$G,3,0),IFERROR(VLOOKUP($C489,'COMPOSIÇÕES COMPLEMENTARES '!$D:$L,3,0),IFERROR(VLOOKUP($C489,INSUMOS!$A:$D,3,0),""))))</f>
        <v>UN</v>
      </c>
      <c r="F489" s="313">
        <v>2</v>
      </c>
      <c r="G489" s="314">
        <f>IF($C489="","",IFERROR(VLOOKUP($C489,SERVIÇOS!$B:$G,4,0),IFERROR(VLOOKUP($C489,'COMPOSIÇÕES COMPLEMENTARES '!$D:$L,6,0),IFERROR(VLOOKUP($C489,INSUMOS!$A:$D,4,0),""))))</f>
        <v>375.19</v>
      </c>
      <c r="H489" s="314">
        <f>IF($C489="","",IFERROR(VLOOKUP($C489,SERVIÇOS!$B:$G,5,0),IFERROR(VLOOKUP($C489,'COMPOSIÇÕES COMPLEMENTARES '!$D:$L,7,0),0)))</f>
        <v>16</v>
      </c>
      <c r="I489" s="314">
        <f t="shared" si="44"/>
        <v>391.19</v>
      </c>
      <c r="J489" s="314">
        <f t="shared" si="45"/>
        <v>750.38</v>
      </c>
      <c r="K489" s="314">
        <f t="shared" si="46"/>
        <v>32</v>
      </c>
      <c r="L489" s="948">
        <f t="shared" si="47"/>
        <v>782.38</v>
      </c>
      <c r="M489" s="374">
        <f t="shared" si="48"/>
        <v>5556160.7800000105</v>
      </c>
      <c r="N489" s="375">
        <f>+M489/L$815</f>
        <v>0.98380177935269875</v>
      </c>
      <c r="O489" s="376" t="str">
        <f>IF(N489&lt;0.5,"A",IF(N489&gt;0.8,"C","B"))</f>
        <v>C</v>
      </c>
    </row>
    <row r="490" spans="1:15" ht="25.5" x14ac:dyDescent="0.25">
      <c r="A490" s="232">
        <f t="shared" si="43"/>
        <v>490</v>
      </c>
      <c r="B490" s="232"/>
      <c r="C490" s="310" t="s">
        <v>12437</v>
      </c>
      <c r="D490" s="373" t="str">
        <f>IF($C490="","",IFERROR(VLOOKUP($C490,SERVIÇOS!$B:$G,2,0),IFERROR(VLOOKUP($C490,'COMPOSIÇÕES COMPLEMENTARES '!$D:$L,2,0),IFERROR(VLOOKUP($C490,INSUMOS!$A:$D,2,0),""))))</f>
        <v>GRELHA DE RETORNO DE AR ALETAS HORIZONTAIS COM REGISTRO EM ALUMÍNIO 400x300MM. MARCA TROPICAL MOD. RHN-400x300-RGA (OU SIMILAR - TROX, SEIMMEI, DIFUSAR)</v>
      </c>
      <c r="E490" s="312" t="str">
        <f>IF($C490="","",IFERROR(VLOOKUP($C490,SERVIÇOS!$B:$G,3,0),IFERROR(VLOOKUP($C490,'COMPOSIÇÕES COMPLEMENTARES '!$D:$L,3,0),IFERROR(VLOOKUP($C490,INSUMOS!$A:$D,3,0),""))))</f>
        <v>UN</v>
      </c>
      <c r="F490" s="313">
        <v>3</v>
      </c>
      <c r="G490" s="314">
        <f>IF($C490="","",IFERROR(VLOOKUP($C490,SERVIÇOS!$B:$G,4,0),IFERROR(VLOOKUP($C490,'COMPOSIÇÕES COMPLEMENTARES '!$D:$L,6,0),IFERROR(VLOOKUP($C490,INSUMOS!$A:$D,4,0),""))))</f>
        <v>248.28</v>
      </c>
      <c r="H490" s="314">
        <f>IF($C490="","",IFERROR(VLOOKUP($C490,SERVIÇOS!$B:$G,5,0),IFERROR(VLOOKUP($C490,'COMPOSIÇÕES COMPLEMENTARES '!$D:$L,7,0),0)))</f>
        <v>12.05</v>
      </c>
      <c r="I490" s="314">
        <f t="shared" si="44"/>
        <v>260.33</v>
      </c>
      <c r="J490" s="314">
        <f t="shared" si="45"/>
        <v>744.84</v>
      </c>
      <c r="K490" s="314">
        <f t="shared" si="46"/>
        <v>36.15</v>
      </c>
      <c r="L490" s="948">
        <f t="shared" si="47"/>
        <v>780.99</v>
      </c>
      <c r="M490" s="374">
        <f t="shared" si="48"/>
        <v>5556941.7700000107</v>
      </c>
      <c r="N490" s="375">
        <f>+M490/L$815</f>
        <v>0.98394006537106282</v>
      </c>
      <c r="O490" s="376" t="str">
        <f>IF(N490&lt;0.5,"A",IF(N490&gt;0.8,"C","B"))</f>
        <v>C</v>
      </c>
    </row>
    <row r="491" spans="1:15" ht="25.5" x14ac:dyDescent="0.25">
      <c r="A491" s="232">
        <f t="shared" si="43"/>
        <v>491</v>
      </c>
      <c r="B491" s="232"/>
      <c r="C491" s="310">
        <v>97889</v>
      </c>
      <c r="D491" s="373" t="str">
        <f>IF($C491="","",IFERROR(VLOOKUP($C491,SERVIÇOS!$B:$G,2,0),IFERROR(VLOOKUP($C491,'COMPOSIÇÕES COMPLEMENTARES '!$D:$L,2,0),IFERROR(VLOOKUP($C491,INSUMOS!$A:$D,2,0),""))))</f>
        <v>CAIXA ENTERRADA ELÉTRICA RETANGULAR, EM ALVENARIA COM TIJOLOS CERÂMICOS MACIÇOS, FUNDO COM BRITA, DIMENSÕES INTERNAS: 0,8X0,8X0,6 M. AF_12/2020</v>
      </c>
      <c r="E491" s="312" t="str">
        <f>IF($C491="","",IFERROR(VLOOKUP($C491,SERVIÇOS!$B:$G,3,0),IFERROR(VLOOKUP($C491,'COMPOSIÇÕES COMPLEMENTARES '!$D:$L,3,0),IFERROR(VLOOKUP($C491,INSUMOS!$A:$D,3,0),""))))</f>
        <v>UN</v>
      </c>
      <c r="F491" s="313">
        <v>1</v>
      </c>
      <c r="G491" s="314">
        <f>IF($C491="","",IFERROR(VLOOKUP($C491,SERVIÇOS!$B:$G,4,0),IFERROR(VLOOKUP($C491,'COMPOSIÇÕES COMPLEMENTARES '!$D:$L,6,0),IFERROR(VLOOKUP($C491,INSUMOS!$A:$D,4,0),""))))</f>
        <v>394.65</v>
      </c>
      <c r="H491" s="314">
        <f>IF($C491="","",IFERROR(VLOOKUP($C491,SERVIÇOS!$B:$G,5,0),IFERROR(VLOOKUP($C491,'COMPOSIÇÕES COMPLEMENTARES '!$D:$L,7,0),0)))</f>
        <v>385.74</v>
      </c>
      <c r="I491" s="314">
        <f t="shared" si="44"/>
        <v>780.39</v>
      </c>
      <c r="J491" s="314">
        <f t="shared" si="45"/>
        <v>394.65</v>
      </c>
      <c r="K491" s="314">
        <f t="shared" si="46"/>
        <v>385.74</v>
      </c>
      <c r="L491" s="948">
        <f t="shared" si="47"/>
        <v>780.39</v>
      </c>
      <c r="M491" s="374">
        <f t="shared" si="48"/>
        <v>5557722.1600000104</v>
      </c>
      <c r="N491" s="375">
        <f>+M491/L$815</f>
        <v>0.98407824515040832</v>
      </c>
      <c r="O491" s="376" t="str">
        <f>IF(N491&lt;0.5,"A",IF(N491&gt;0.8,"C","B"))</f>
        <v>C</v>
      </c>
    </row>
    <row r="492" spans="1:15" ht="25.5" x14ac:dyDescent="0.25">
      <c r="A492" s="232">
        <f t="shared" si="43"/>
        <v>492</v>
      </c>
      <c r="B492" s="232"/>
      <c r="C492" s="310">
        <v>97889</v>
      </c>
      <c r="D492" s="373" t="str">
        <f>IF($C492="","",IFERROR(VLOOKUP($C492,SERVIÇOS!$B:$G,2,0),IFERROR(VLOOKUP($C492,'COMPOSIÇÕES COMPLEMENTARES '!$D:$L,2,0),IFERROR(VLOOKUP($C492,INSUMOS!$A:$D,2,0),""))))</f>
        <v>CAIXA ENTERRADA ELÉTRICA RETANGULAR, EM ALVENARIA COM TIJOLOS CERÂMICOS MACIÇOS, FUNDO COM BRITA, DIMENSÕES INTERNAS: 0,8X0,8X0,6 M. AF_12/2020</v>
      </c>
      <c r="E492" s="312" t="str">
        <f>IF($C492="","",IFERROR(VLOOKUP($C492,SERVIÇOS!$B:$G,3,0),IFERROR(VLOOKUP($C492,'COMPOSIÇÕES COMPLEMENTARES '!$D:$L,3,0),IFERROR(VLOOKUP($C492,INSUMOS!$A:$D,3,0),""))))</f>
        <v>UN</v>
      </c>
      <c r="F492" s="313">
        <v>1</v>
      </c>
      <c r="G492" s="314">
        <f>IF($C492="","",IFERROR(VLOOKUP($C492,SERVIÇOS!$B:$G,4,0),IFERROR(VLOOKUP($C492,'COMPOSIÇÕES COMPLEMENTARES '!$D:$L,6,0),IFERROR(VLOOKUP($C492,INSUMOS!$A:$D,4,0),""))))</f>
        <v>394.65</v>
      </c>
      <c r="H492" s="314">
        <f>IF($C492="","",IFERROR(VLOOKUP($C492,SERVIÇOS!$B:$G,5,0),IFERROR(VLOOKUP($C492,'COMPOSIÇÕES COMPLEMENTARES '!$D:$L,7,0),0)))</f>
        <v>385.74</v>
      </c>
      <c r="I492" s="314">
        <f t="shared" si="44"/>
        <v>780.39</v>
      </c>
      <c r="J492" s="314">
        <f t="shared" si="45"/>
        <v>394.65</v>
      </c>
      <c r="K492" s="314">
        <f t="shared" si="46"/>
        <v>385.74</v>
      </c>
      <c r="L492" s="948">
        <f t="shared" si="47"/>
        <v>780.39</v>
      </c>
      <c r="M492" s="374">
        <f t="shared" si="48"/>
        <v>5558502.5500000101</v>
      </c>
      <c r="N492" s="375">
        <f>+M492/L$815</f>
        <v>0.98421642492975392</v>
      </c>
      <c r="O492" s="376" t="str">
        <f>IF(N492&lt;0.5,"A",IF(N492&gt;0.8,"C","B"))</f>
        <v>C</v>
      </c>
    </row>
    <row r="493" spans="1:15" x14ac:dyDescent="0.25">
      <c r="A493" s="232">
        <f t="shared" si="43"/>
        <v>493</v>
      </c>
      <c r="B493" s="232"/>
      <c r="C493" s="310" t="s">
        <v>12403</v>
      </c>
      <c r="D493" s="373" t="str">
        <f>IF($C493="","",IFERROR(VLOOKUP($C493,SERVIÇOS!$B:$G,2,0),IFERROR(VLOOKUP($C493,'COMPOSIÇÕES COMPLEMENTARES '!$D:$L,2,0),IFERROR(VLOOKUP($C493,INSUMOS!$A:$D,2,0),""))))</f>
        <v>KIT REFINET PARA CONEXÃO DE UNIDADES INTERNAS MARCA DAIKIN  (OU EQUIVALENTE TÉCNICO) MODELO KHRP26A33T</v>
      </c>
      <c r="E493" s="312" t="str">
        <f>IF($C493="","",IFERROR(VLOOKUP($C493,SERVIÇOS!$B:$G,3,0),IFERROR(VLOOKUP($C493,'COMPOSIÇÕES COMPLEMENTARES '!$D:$L,3,0),IFERROR(VLOOKUP($C493,INSUMOS!$A:$D,3,0),""))))</f>
        <v>UN</v>
      </c>
      <c r="F493" s="313">
        <v>2</v>
      </c>
      <c r="G493" s="314">
        <f>IF($C493="","",IFERROR(VLOOKUP($C493,SERVIÇOS!$B:$G,4,0),IFERROR(VLOOKUP($C493,'COMPOSIÇÕES COMPLEMENTARES '!$D:$L,6,0),IFERROR(VLOOKUP($C493,INSUMOS!$A:$D,4,0),""))))</f>
        <v>382.65</v>
      </c>
      <c r="H493" s="314">
        <f>IF($C493="","",IFERROR(VLOOKUP($C493,SERVIÇOS!$B:$G,5,0),IFERROR(VLOOKUP($C493,'COMPOSIÇÕES COMPLEMENTARES '!$D:$L,7,0),0)))</f>
        <v>7.38</v>
      </c>
      <c r="I493" s="314">
        <f t="shared" si="44"/>
        <v>390.03</v>
      </c>
      <c r="J493" s="314">
        <f t="shared" si="45"/>
        <v>765.3</v>
      </c>
      <c r="K493" s="314">
        <f t="shared" si="46"/>
        <v>14.76</v>
      </c>
      <c r="L493" s="948">
        <f t="shared" si="47"/>
        <v>780.06</v>
      </c>
      <c r="M493" s="374">
        <f t="shared" si="48"/>
        <v>5559282.6100000096</v>
      </c>
      <c r="N493" s="375">
        <f>+M493/L$815</f>
        <v>0.98435454627763919</v>
      </c>
      <c r="O493" s="376" t="str">
        <f>IF(N493&lt;0.5,"A",IF(N493&gt;0.8,"C","B"))</f>
        <v>C</v>
      </c>
    </row>
    <row r="494" spans="1:15" ht="25.5" x14ac:dyDescent="0.25">
      <c r="A494" s="232">
        <f t="shared" si="43"/>
        <v>494</v>
      </c>
      <c r="B494" s="232"/>
      <c r="C494" s="310" t="s">
        <v>12219</v>
      </c>
      <c r="D494" s="373" t="str">
        <f>IF($C494="","",IFERROR(VLOOKUP($C494,SERVIÇOS!$B:$G,2,0),IFERROR(VLOOKUP($C494,'COMPOSIÇÕES COMPLEMENTARES '!$D:$L,2,0),IFERROR(VLOOKUP($C494,INSUMOS!$A:$D,2,0),""))))</f>
        <v>ELETRODUTO RÍGIDO ROSCÁVEL, PVC, DN 32 MM (1"), INCLUSO CONEXÕES E ACESSÓRIOS, INSTALAÇÃO APARENTE - FORNECIMENTO E INSTALAÇÃO</v>
      </c>
      <c r="E494" s="312" t="str">
        <f>IF($C494="","",IFERROR(VLOOKUP($C494,SERVIÇOS!$B:$G,3,0),IFERROR(VLOOKUP($C494,'COMPOSIÇÕES COMPLEMENTARES '!$D:$L,3,0),IFERROR(VLOOKUP($C494,INSUMOS!$A:$D,3,0),""))))</f>
        <v>M</v>
      </c>
      <c r="F494" s="313">
        <v>27</v>
      </c>
      <c r="G494" s="314">
        <f>IF($C494="","",IFERROR(VLOOKUP($C494,SERVIÇOS!$B:$G,4,0),IFERROR(VLOOKUP($C494,'COMPOSIÇÕES COMPLEMENTARES '!$D:$L,6,0),IFERROR(VLOOKUP($C494,INSUMOS!$A:$D,4,0),""))))</f>
        <v>19.420000000000002</v>
      </c>
      <c r="H494" s="314">
        <f>IF($C494="","",IFERROR(VLOOKUP($C494,SERVIÇOS!$B:$G,5,0),IFERROR(VLOOKUP($C494,'COMPOSIÇÕES COMPLEMENTARES '!$D:$L,7,0),0)))</f>
        <v>9.32</v>
      </c>
      <c r="I494" s="314">
        <f t="shared" si="44"/>
        <v>28.740000000000002</v>
      </c>
      <c r="J494" s="314">
        <f t="shared" si="45"/>
        <v>524.34</v>
      </c>
      <c r="K494" s="314">
        <f t="shared" si="46"/>
        <v>251.64</v>
      </c>
      <c r="L494" s="948">
        <f t="shared" si="47"/>
        <v>775.98</v>
      </c>
      <c r="M494" s="374">
        <f t="shared" si="48"/>
        <v>5560058.5900000101</v>
      </c>
      <c r="N494" s="375">
        <f>+M494/L$815</f>
        <v>0.98449194520019934</v>
      </c>
      <c r="O494" s="376" t="str">
        <f>IF(N494&lt;0.5,"A",IF(N494&gt;0.8,"C","B"))</f>
        <v>C</v>
      </c>
    </row>
    <row r="495" spans="1:15" ht="25.5" x14ac:dyDescent="0.25">
      <c r="A495" s="232">
        <f t="shared" si="43"/>
        <v>495</v>
      </c>
      <c r="B495" s="232"/>
      <c r="C495" s="310" t="s">
        <v>12219</v>
      </c>
      <c r="D495" s="373" t="str">
        <f>IF($C495="","",IFERROR(VLOOKUP($C495,SERVIÇOS!$B:$G,2,0),IFERROR(VLOOKUP($C495,'COMPOSIÇÕES COMPLEMENTARES '!$D:$L,2,0),IFERROR(VLOOKUP($C495,INSUMOS!$A:$D,2,0),""))))</f>
        <v>ELETRODUTO RÍGIDO ROSCÁVEL, PVC, DN 32 MM (1"), INCLUSO CONEXÕES E ACESSÓRIOS, INSTALAÇÃO APARENTE - FORNECIMENTO E INSTALAÇÃO</v>
      </c>
      <c r="E495" s="312" t="str">
        <f>IF($C495="","",IFERROR(VLOOKUP($C495,SERVIÇOS!$B:$G,3,0),IFERROR(VLOOKUP($C495,'COMPOSIÇÕES COMPLEMENTARES '!$D:$L,3,0),IFERROR(VLOOKUP($C495,INSUMOS!$A:$D,3,0),""))))</f>
        <v>M</v>
      </c>
      <c r="F495" s="313">
        <v>27</v>
      </c>
      <c r="G495" s="314">
        <f>IF($C495="","",IFERROR(VLOOKUP($C495,SERVIÇOS!$B:$G,4,0),IFERROR(VLOOKUP($C495,'COMPOSIÇÕES COMPLEMENTARES '!$D:$L,6,0),IFERROR(VLOOKUP($C495,INSUMOS!$A:$D,4,0),""))))</f>
        <v>19.420000000000002</v>
      </c>
      <c r="H495" s="314">
        <f>IF($C495="","",IFERROR(VLOOKUP($C495,SERVIÇOS!$B:$G,5,0),IFERROR(VLOOKUP($C495,'COMPOSIÇÕES COMPLEMENTARES '!$D:$L,7,0),0)))</f>
        <v>9.32</v>
      </c>
      <c r="I495" s="314">
        <f t="shared" si="44"/>
        <v>28.740000000000002</v>
      </c>
      <c r="J495" s="314">
        <f t="shared" si="45"/>
        <v>524.34</v>
      </c>
      <c r="K495" s="314">
        <f t="shared" si="46"/>
        <v>251.64</v>
      </c>
      <c r="L495" s="948">
        <f t="shared" si="47"/>
        <v>775.98</v>
      </c>
      <c r="M495" s="374">
        <f t="shared" si="48"/>
        <v>5560834.5700000105</v>
      </c>
      <c r="N495" s="375">
        <f>+M495/L$815</f>
        <v>0.98462934412275938</v>
      </c>
      <c r="O495" s="376" t="str">
        <f>IF(N495&lt;0.5,"A",IF(N495&gt;0.8,"C","B"))</f>
        <v>C</v>
      </c>
    </row>
    <row r="496" spans="1:15" ht="25.5" x14ac:dyDescent="0.25">
      <c r="A496" s="232">
        <f t="shared" si="43"/>
        <v>496</v>
      </c>
      <c r="B496" s="232"/>
      <c r="C496" s="310">
        <v>100865</v>
      </c>
      <c r="D496" s="373" t="str">
        <f>IF($C496="","",IFERROR(VLOOKUP($C496,SERVIÇOS!$B:$G,2,0),IFERROR(VLOOKUP($C496,'COMPOSIÇÕES COMPLEMENTARES '!$D:$L,2,0),IFERROR(VLOOKUP($C496,INSUMOS!$A:$D,2,0),""))))</f>
        <v>BARRA DE APOIO LATERAL ARTICULADA, COM TRAVA, EM ACO INOX POLIDO, FIXADA NA PAREDE - FORNECIMENTO E INSTALAÇÃO. AF_01/2020</v>
      </c>
      <c r="E496" s="312" t="str">
        <f>IF($C496="","",IFERROR(VLOOKUP($C496,SERVIÇOS!$B:$G,3,0),IFERROR(VLOOKUP($C496,'COMPOSIÇÕES COMPLEMENTARES '!$D:$L,3,0),IFERROR(VLOOKUP($C496,INSUMOS!$A:$D,3,0),""))))</f>
        <v>UN</v>
      </c>
      <c r="F496" s="313">
        <v>2</v>
      </c>
      <c r="G496" s="314">
        <f>IF($C496="","",IFERROR(VLOOKUP($C496,SERVIÇOS!$B:$G,4,0),IFERROR(VLOOKUP($C496,'COMPOSIÇÕES COMPLEMENTARES '!$D:$L,6,0),IFERROR(VLOOKUP($C496,INSUMOS!$A:$D,4,0),""))))</f>
        <v>356.2</v>
      </c>
      <c r="H496" s="314">
        <f>IF($C496="","",IFERROR(VLOOKUP($C496,SERVIÇOS!$B:$G,5,0),IFERROR(VLOOKUP($C496,'COMPOSIÇÕES COMPLEMENTARES '!$D:$L,7,0),0)))</f>
        <v>21.29</v>
      </c>
      <c r="I496" s="314">
        <f t="shared" si="44"/>
        <v>377.49</v>
      </c>
      <c r="J496" s="314">
        <f t="shared" si="45"/>
        <v>712.4</v>
      </c>
      <c r="K496" s="314">
        <f t="shared" si="46"/>
        <v>42.58</v>
      </c>
      <c r="L496" s="948">
        <f t="shared" si="47"/>
        <v>754.98</v>
      </c>
      <c r="M496" s="374">
        <f t="shared" si="48"/>
        <v>5561589.550000011</v>
      </c>
      <c r="N496" s="375">
        <f>+M496/L$815</f>
        <v>0.9847630246796738</v>
      </c>
      <c r="O496" s="376" t="str">
        <f>IF(N496&lt;0.5,"A",IF(N496&gt;0.8,"C","B"))</f>
        <v>C</v>
      </c>
    </row>
    <row r="497" spans="1:35" x14ac:dyDescent="0.25">
      <c r="A497" s="232">
        <f t="shared" si="43"/>
        <v>497</v>
      </c>
      <c r="B497" s="232"/>
      <c r="C497" s="310" t="s">
        <v>12059</v>
      </c>
      <c r="D497" s="373" t="str">
        <f>IF($C497="","",IFERROR(VLOOKUP($C497,SERVIÇOS!$B:$G,2,0),IFERROR(VLOOKUP($C497,'COMPOSIÇÕES COMPLEMENTARES '!$D:$L,2,0),IFERROR(VLOOKUP($C497,INSUMOS!$A:$D,2,0),""))))</f>
        <v>CABIDE DE BANHEIRO SIMPLES EM METAL CROMADO</v>
      </c>
      <c r="E497" s="312" t="str">
        <f>IF($C497="","",IFERROR(VLOOKUP($C497,SERVIÇOS!$B:$G,3,0),IFERROR(VLOOKUP($C497,'COMPOSIÇÕES COMPLEMENTARES '!$D:$L,3,0),IFERROR(VLOOKUP($C497,INSUMOS!$A:$D,3,0),""))))</f>
        <v>UN</v>
      </c>
      <c r="F497" s="313">
        <v>9</v>
      </c>
      <c r="G497" s="314">
        <f>IF($C497="","",IFERROR(VLOOKUP($C497,SERVIÇOS!$B:$G,4,0),IFERROR(VLOOKUP($C497,'COMPOSIÇÕES COMPLEMENTARES '!$D:$L,6,0),IFERROR(VLOOKUP($C497,INSUMOS!$A:$D,4,0),""))))</f>
        <v>63.03</v>
      </c>
      <c r="H497" s="314">
        <f>IF($C497="","",IFERROR(VLOOKUP($C497,SERVIÇOS!$B:$G,5,0),IFERROR(VLOOKUP($C497,'COMPOSIÇÕES COMPLEMENTARES '!$D:$L,7,0),0)))</f>
        <v>19.27</v>
      </c>
      <c r="I497" s="314">
        <f t="shared" si="44"/>
        <v>82.3</v>
      </c>
      <c r="J497" s="314">
        <f t="shared" si="45"/>
        <v>567.27</v>
      </c>
      <c r="K497" s="314">
        <f t="shared" si="46"/>
        <v>173.43</v>
      </c>
      <c r="L497" s="948">
        <f t="shared" si="47"/>
        <v>740.7</v>
      </c>
      <c r="M497" s="374">
        <f t="shared" si="48"/>
        <v>5562330.2500000112</v>
      </c>
      <c r="N497" s="375">
        <f>+M497/L$815</f>
        <v>0.98489417674794899</v>
      </c>
      <c r="O497" s="376" t="str">
        <f>IF(N497&lt;0.5,"A",IF(N497&gt;0.8,"C","B"))</f>
        <v>C</v>
      </c>
    </row>
    <row r="498" spans="1:35" ht="25.5" x14ac:dyDescent="0.25">
      <c r="A498" s="232">
        <f t="shared" si="43"/>
        <v>498</v>
      </c>
      <c r="B498" s="232"/>
      <c r="C498" s="310" t="s">
        <v>12436</v>
      </c>
      <c r="D498" s="373" t="str">
        <f>IF($C498="","",IFERROR(VLOOKUP($C498,SERVIÇOS!$B:$G,2,0),IFERROR(VLOOKUP($C498,'COMPOSIÇÕES COMPLEMENTARES '!$D:$L,2,0),IFERROR(VLOOKUP($C498,INSUMOS!$A:$D,2,0),""))))</f>
        <v>GRELHA DE RETORNO DE AR ALETAS HORIZONTAIS COM REGISTRO EM ALUMÍNIO 400x200MM. MARCA TROPICAL MOD. RHN-400x200-RGA (OU SIMILAR - TROX, SEIMMEI, DIFUSAR)</v>
      </c>
      <c r="E498" s="312" t="str">
        <f>IF($C498="","",IFERROR(VLOOKUP($C498,SERVIÇOS!$B:$G,3,0),IFERROR(VLOOKUP($C498,'COMPOSIÇÕES COMPLEMENTARES '!$D:$L,3,0),IFERROR(VLOOKUP($C498,INSUMOS!$A:$D,3,0),""))))</f>
        <v>UN</v>
      </c>
      <c r="F498" s="313">
        <v>3</v>
      </c>
      <c r="G498" s="314">
        <f>IF($C498="","",IFERROR(VLOOKUP($C498,SERVIÇOS!$B:$G,4,0),IFERROR(VLOOKUP($C498,'COMPOSIÇÕES COMPLEMENTARES '!$D:$L,6,0),IFERROR(VLOOKUP($C498,INSUMOS!$A:$D,4,0),""))))</f>
        <v>226.02</v>
      </c>
      <c r="H498" s="314">
        <f>IF($C498="","",IFERROR(VLOOKUP($C498,SERVIÇOS!$B:$G,5,0),IFERROR(VLOOKUP($C498,'COMPOSIÇÕES COMPLEMENTARES '!$D:$L,7,0),0)))</f>
        <v>19.690000000000001</v>
      </c>
      <c r="I498" s="314">
        <f t="shared" si="44"/>
        <v>245.71</v>
      </c>
      <c r="J498" s="314">
        <f t="shared" si="45"/>
        <v>678.06</v>
      </c>
      <c r="K498" s="314">
        <f t="shared" si="46"/>
        <v>59.07</v>
      </c>
      <c r="L498" s="948">
        <f t="shared" si="47"/>
        <v>737.13</v>
      </c>
      <c r="M498" s="374">
        <f t="shared" si="48"/>
        <v>5563067.3800000111</v>
      </c>
      <c r="N498" s="375">
        <f>+M498/L$815</f>
        <v>0.98502469669406434</v>
      </c>
      <c r="O498" s="376" t="str">
        <f>IF(N498&lt;0.5,"A",IF(N498&gt;0.8,"C","B"))</f>
        <v>C</v>
      </c>
    </row>
    <row r="499" spans="1:35" x14ac:dyDescent="0.25">
      <c r="A499" s="232">
        <f t="shared" si="43"/>
        <v>499</v>
      </c>
      <c r="B499" s="232"/>
      <c r="C499" s="310" t="s">
        <v>12201</v>
      </c>
      <c r="D499" s="373" t="str">
        <f>IF($C499="","",IFERROR(VLOOKUP($C499,SERVIÇOS!$B:$G,2,0),IFERROR(VLOOKUP($C499,'COMPOSIÇÕES COMPLEMENTARES '!$D:$L,2,0),IFERROR(VLOOKUP($C499,INSUMOS!$A:$D,2,0),""))))</f>
        <v>CONDUTOR DE COBRE FLEX. ISOL. 1KV - 90º - #35MM² - AFUMEX</v>
      </c>
      <c r="E499" s="312" t="str">
        <f>IF($C499="","",IFERROR(VLOOKUP($C499,SERVIÇOS!$B:$G,3,0),IFERROR(VLOOKUP($C499,'COMPOSIÇÕES COMPLEMENTARES '!$D:$L,3,0),IFERROR(VLOOKUP($C499,INSUMOS!$A:$D,3,0),""))))</f>
        <v>M</v>
      </c>
      <c r="F499" s="313">
        <v>20</v>
      </c>
      <c r="G499" s="314">
        <f>IF($C499="","",IFERROR(VLOOKUP($C499,SERVIÇOS!$B:$G,4,0),IFERROR(VLOOKUP($C499,'COMPOSIÇÕES COMPLEMENTARES '!$D:$L,6,0),IFERROR(VLOOKUP($C499,INSUMOS!$A:$D,4,0),""))))</f>
        <v>33.159999999999997</v>
      </c>
      <c r="H499" s="314">
        <f>IF($C499="","",IFERROR(VLOOKUP($C499,SERVIÇOS!$B:$G,5,0),IFERROR(VLOOKUP($C499,'COMPOSIÇÕES COMPLEMENTARES '!$D:$L,7,0),0)))</f>
        <v>3.6</v>
      </c>
      <c r="I499" s="314">
        <f t="shared" si="44"/>
        <v>36.76</v>
      </c>
      <c r="J499" s="314">
        <f t="shared" si="45"/>
        <v>663.2</v>
      </c>
      <c r="K499" s="314">
        <f t="shared" si="46"/>
        <v>72</v>
      </c>
      <c r="L499" s="948">
        <f t="shared" si="47"/>
        <v>735.2</v>
      </c>
      <c r="M499" s="374">
        <f t="shared" si="48"/>
        <v>5563802.5800000113</v>
      </c>
      <c r="N499" s="375">
        <f>+M499/L$815</f>
        <v>0.98515487490467046</v>
      </c>
      <c r="O499" s="376" t="str">
        <f>IF(N499&lt;0.5,"A",IF(N499&gt;0.8,"C","B"))</f>
        <v>C</v>
      </c>
      <c r="P499" s="342"/>
      <c r="Q499" s="342"/>
      <c r="R499" s="342"/>
      <c r="S499" s="342"/>
      <c r="T499" s="342"/>
      <c r="U499" s="342"/>
      <c r="V499" s="342"/>
      <c r="W499" s="342"/>
      <c r="X499" s="342"/>
      <c r="Y499" s="342"/>
      <c r="Z499" s="342"/>
      <c r="AA499" s="342"/>
      <c r="AB499" s="342"/>
      <c r="AC499" s="342"/>
      <c r="AD499" s="342"/>
      <c r="AE499" s="342"/>
      <c r="AF499" s="342"/>
      <c r="AG499" s="342"/>
      <c r="AH499" s="342"/>
      <c r="AI499" s="342"/>
    </row>
    <row r="500" spans="1:35" ht="25.5" x14ac:dyDescent="0.25">
      <c r="A500" s="232">
        <f t="shared" si="43"/>
        <v>500</v>
      </c>
      <c r="B500" s="232"/>
      <c r="C500" s="310" t="s">
        <v>12242</v>
      </c>
      <c r="D500" s="373" t="str">
        <f>IF($C500="","",IFERROR(VLOOKUP($C500,SERVIÇOS!$B:$G,2,0),IFERROR(VLOOKUP($C500,'COMPOSIÇÕES COMPLEMENTARES '!$D:$L,2,0),IFERROR(VLOOKUP($C500,INSUMOS!$A:$D,2,0),""))))</f>
        <v xml:space="preserve">LUMINÁRIA HERMÉTICA RETANGULAR DE SOBREPOR, DUA LAMPADAS TUBULED PHILLIPS (OU SIMILAR) 4000K - 2X21W/127V. REFERÊNCIA: CHT02-E 232 AC (LUMICENTER). </v>
      </c>
      <c r="E500" s="312" t="str">
        <f>IF($C500="","",IFERROR(VLOOKUP($C500,SERVIÇOS!$B:$G,3,0),IFERROR(VLOOKUP($C500,'COMPOSIÇÕES COMPLEMENTARES '!$D:$L,3,0),IFERROR(VLOOKUP($C500,INSUMOS!$A:$D,3,0),""))))</f>
        <v>UN</v>
      </c>
      <c r="F500" s="313">
        <v>3</v>
      </c>
      <c r="G500" s="314">
        <f>IF($C500="","",IFERROR(VLOOKUP($C500,SERVIÇOS!$B:$G,4,0),IFERROR(VLOOKUP($C500,'COMPOSIÇÕES COMPLEMENTARES '!$D:$L,6,0),IFERROR(VLOOKUP($C500,INSUMOS!$A:$D,4,0),""))))</f>
        <v>197.34</v>
      </c>
      <c r="H500" s="314">
        <f>IF($C500="","",IFERROR(VLOOKUP($C500,SERVIÇOS!$B:$G,5,0),IFERROR(VLOOKUP($C500,'COMPOSIÇÕES COMPLEMENTARES '!$D:$L,7,0),0)))</f>
        <v>47.65</v>
      </c>
      <c r="I500" s="314">
        <f t="shared" si="44"/>
        <v>244.99</v>
      </c>
      <c r="J500" s="314">
        <f t="shared" si="45"/>
        <v>592.02</v>
      </c>
      <c r="K500" s="314">
        <f t="shared" si="46"/>
        <v>142.94999999999999</v>
      </c>
      <c r="L500" s="948">
        <f t="shared" si="47"/>
        <v>734.97</v>
      </c>
      <c r="M500" s="374">
        <f t="shared" si="48"/>
        <v>5564537.550000011</v>
      </c>
      <c r="N500" s="375">
        <f>+M500/L$815</f>
        <v>0.98528501239031951</v>
      </c>
      <c r="O500" s="376" t="str">
        <f>IF(N500&lt;0.5,"A",IF(N500&gt;0.8,"C","B"))</f>
        <v>C</v>
      </c>
    </row>
    <row r="501" spans="1:35" ht="25.5" x14ac:dyDescent="0.25">
      <c r="A501" s="232">
        <f t="shared" si="43"/>
        <v>501</v>
      </c>
      <c r="B501" s="232"/>
      <c r="C501" s="310">
        <v>92764</v>
      </c>
      <c r="D501" s="373" t="str">
        <f>IF($C501="","",IFERROR(VLOOKUP($C501,SERVIÇOS!$B:$G,2,0),IFERROR(VLOOKUP($C501,'COMPOSIÇÕES COMPLEMENTARES '!$D:$L,2,0),IFERROR(VLOOKUP($C501,INSUMOS!$A:$D,2,0),""))))</f>
        <v>ARMAÇÃO DE PILAR OU VIGA DE ESTRUTURA CONVENCIONAL DE CONCRETO ARMADO UTILIZANDO AÇO CA-50 DE 16,0 MM - MONTAGEM. AF_06/2022</v>
      </c>
      <c r="E501" s="312" t="str">
        <f>IF($C501="","",IFERROR(VLOOKUP($C501,SERVIÇOS!$B:$G,3,0),IFERROR(VLOOKUP($C501,'COMPOSIÇÕES COMPLEMENTARES '!$D:$L,3,0),IFERROR(VLOOKUP($C501,INSUMOS!$A:$D,3,0),""))))</f>
        <v>KG</v>
      </c>
      <c r="F501" s="313">
        <v>81</v>
      </c>
      <c r="G501" s="314">
        <f>IF($C501="","",IFERROR(VLOOKUP($C501,SERVIÇOS!$B:$G,4,0),IFERROR(VLOOKUP($C501,'COMPOSIÇÕES COMPLEMENTARES '!$D:$L,6,0),IFERROR(VLOOKUP($C501,INSUMOS!$A:$D,4,0),""))))</f>
        <v>8.3699999999999992</v>
      </c>
      <c r="H501" s="314">
        <f>IF($C501="","",IFERROR(VLOOKUP($C501,SERVIÇOS!$B:$G,5,0),IFERROR(VLOOKUP($C501,'COMPOSIÇÕES COMPLEMENTARES '!$D:$L,7,0),0)))</f>
        <v>0.64</v>
      </c>
      <c r="I501" s="314">
        <f t="shared" si="44"/>
        <v>9.01</v>
      </c>
      <c r="J501" s="314">
        <f t="shared" si="45"/>
        <v>677.97</v>
      </c>
      <c r="K501" s="314">
        <f t="shared" si="46"/>
        <v>51.84</v>
      </c>
      <c r="L501" s="948">
        <f t="shared" si="47"/>
        <v>729.81</v>
      </c>
      <c r="M501" s="374">
        <f t="shared" si="48"/>
        <v>5565267.3600000106</v>
      </c>
      <c r="N501" s="375">
        <f>+M501/L$815</f>
        <v>0.9854142362204098</v>
      </c>
      <c r="O501" s="376" t="str">
        <f>IF(N501&lt;0.5,"A",IF(N501&gt;0.8,"C","B"))</f>
        <v>C</v>
      </c>
    </row>
    <row r="502" spans="1:35" x14ac:dyDescent="0.25">
      <c r="A502" s="232">
        <f t="shared" si="43"/>
        <v>502</v>
      </c>
      <c r="B502" s="232"/>
      <c r="C502" s="310" t="s">
        <v>12316</v>
      </c>
      <c r="D502" s="373" t="str">
        <f>IF($C502="","",IFERROR(VLOOKUP($C502,SERVIÇOS!$B:$G,2,0),IFERROR(VLOOKUP($C502,'COMPOSIÇÕES COMPLEMENTARES '!$D:$L,2,0),IFERROR(VLOOKUP($C502,INSUMOS!$A:$D,2,0),""))))</f>
        <v>PLACA 4"X4" COM 4 TOMADAS TIPO RJ45 CAT. 6</v>
      </c>
      <c r="E502" s="312" t="str">
        <f>IF($C502="","",IFERROR(VLOOKUP($C502,SERVIÇOS!$B:$G,3,0),IFERROR(VLOOKUP($C502,'COMPOSIÇÕES COMPLEMENTARES '!$D:$L,3,0),IFERROR(VLOOKUP($C502,INSUMOS!$A:$D,3,0),""))))</f>
        <v>UN</v>
      </c>
      <c r="F502" s="313">
        <v>3</v>
      </c>
      <c r="G502" s="314">
        <f>IF($C502="","",IFERROR(VLOOKUP($C502,SERVIÇOS!$B:$G,4,0),IFERROR(VLOOKUP($C502,'COMPOSIÇÕES COMPLEMENTARES '!$D:$L,6,0),IFERROR(VLOOKUP($C502,INSUMOS!$A:$D,4,0),""))))</f>
        <v>207.35</v>
      </c>
      <c r="H502" s="314">
        <f>IF($C502="","",IFERROR(VLOOKUP($C502,SERVIÇOS!$B:$G,5,0),IFERROR(VLOOKUP($C502,'COMPOSIÇÕES COMPLEMENTARES '!$D:$L,7,0),0)))</f>
        <v>34.67</v>
      </c>
      <c r="I502" s="314">
        <f t="shared" si="44"/>
        <v>242.01999999999998</v>
      </c>
      <c r="J502" s="314">
        <f t="shared" si="45"/>
        <v>622.04999999999995</v>
      </c>
      <c r="K502" s="314">
        <f t="shared" si="46"/>
        <v>104.01</v>
      </c>
      <c r="L502" s="948">
        <f t="shared" si="47"/>
        <v>726.06</v>
      </c>
      <c r="M502" s="374">
        <f t="shared" si="48"/>
        <v>5565993.4200000102</v>
      </c>
      <c r="N502" s="375">
        <f>+M502/L$815</f>
        <v>0.98554279605663475</v>
      </c>
      <c r="O502" s="376" t="str">
        <f>IF(N502&lt;0.5,"A",IF(N502&gt;0.8,"C","B"))</f>
        <v>C</v>
      </c>
    </row>
    <row r="503" spans="1:35" x14ac:dyDescent="0.25">
      <c r="A503" s="232">
        <f t="shared" si="43"/>
        <v>503</v>
      </c>
      <c r="B503" s="232"/>
      <c r="C503" s="310" t="s">
        <v>12202</v>
      </c>
      <c r="D503" s="373" t="str">
        <f>IF($C503="","",IFERROR(VLOOKUP($C503,SERVIÇOS!$B:$G,2,0),IFERROR(VLOOKUP($C503,'COMPOSIÇÕES COMPLEMENTARES '!$D:$L,2,0),IFERROR(VLOOKUP($C503,INSUMOS!$A:$D,2,0),""))))</f>
        <v>CONDUTOR DE COBRE FLEX. ISOL. 1KV - 90º - #16MM² - AFUMEX</v>
      </c>
      <c r="E503" s="312" t="str">
        <f>IF($C503="","",IFERROR(VLOOKUP($C503,SERVIÇOS!$B:$G,3,0),IFERROR(VLOOKUP($C503,'COMPOSIÇÕES COMPLEMENTARES '!$D:$L,3,0),IFERROR(VLOOKUP($C503,INSUMOS!$A:$D,3,0),""))))</f>
        <v>M</v>
      </c>
      <c r="F503" s="313">
        <v>28</v>
      </c>
      <c r="G503" s="314">
        <f>IF($C503="","",IFERROR(VLOOKUP($C503,SERVIÇOS!$B:$G,4,0),IFERROR(VLOOKUP($C503,'COMPOSIÇÕES COMPLEMENTARES '!$D:$L,6,0),IFERROR(VLOOKUP($C503,INSUMOS!$A:$D,4,0),""))))</f>
        <v>19.739999999999998</v>
      </c>
      <c r="H503" s="314">
        <f>IF($C503="","",IFERROR(VLOOKUP($C503,SERVIÇOS!$B:$G,5,0),IFERROR(VLOOKUP($C503,'COMPOSIÇÕES COMPLEMENTARES '!$D:$L,7,0),0)))</f>
        <v>5.69</v>
      </c>
      <c r="I503" s="314">
        <f t="shared" si="44"/>
        <v>25.43</v>
      </c>
      <c r="J503" s="314">
        <f t="shared" si="45"/>
        <v>552.72</v>
      </c>
      <c r="K503" s="314">
        <f t="shared" si="46"/>
        <v>159.32</v>
      </c>
      <c r="L503" s="948">
        <f t="shared" si="47"/>
        <v>712.04</v>
      </c>
      <c r="M503" s="374">
        <f t="shared" si="48"/>
        <v>5566705.4600000102</v>
      </c>
      <c r="N503" s="375">
        <f>+M503/L$815</f>
        <v>0.98566887344112863</v>
      </c>
      <c r="O503" s="376" t="str">
        <f>IF(N503&lt;0.5,"A",IF(N503&gt;0.8,"C","B"))</f>
        <v>C</v>
      </c>
    </row>
    <row r="504" spans="1:35" x14ac:dyDescent="0.25">
      <c r="A504" s="232">
        <f t="shared" si="43"/>
        <v>504</v>
      </c>
      <c r="B504" s="232"/>
      <c r="C504" s="310" t="s">
        <v>12349</v>
      </c>
      <c r="D504" s="373" t="str">
        <f>IF($C504="","",IFERROR(VLOOKUP($C504,SERVIÇOS!$B:$G,2,0),IFERROR(VLOOKUP($C504,'COMPOSIÇÕES COMPLEMENTARES '!$D:$L,2,0),IFERROR(VLOOKUP($C504,INSUMOS!$A:$D,2,0),""))))</f>
        <v>PINTURA EM ESMALTE SINTÉTICO AMARELO-SEGURANÇA PADRÃO MUNSELL 5 Y 8/12 EM LATA DE 3,6 LITROS</v>
      </c>
      <c r="E504" s="312" t="str">
        <f>IF($C504="","",IFERROR(VLOOKUP($C504,SERVIÇOS!$B:$G,3,0),IFERROR(VLOOKUP($C504,'COMPOSIÇÕES COMPLEMENTARES '!$D:$L,3,0),IFERROR(VLOOKUP($C504,INSUMOS!$A:$D,3,0),""))))</f>
        <v>M</v>
      </c>
      <c r="F504" s="313">
        <v>177</v>
      </c>
      <c r="G504" s="314">
        <f>IF($C504="","",IFERROR(VLOOKUP($C504,SERVIÇOS!$B:$G,4,0),IFERROR(VLOOKUP($C504,'COMPOSIÇÕES COMPLEMENTARES '!$D:$L,6,0),IFERROR(VLOOKUP($C504,INSUMOS!$A:$D,4,0),""))))</f>
        <v>2.0299999999999998</v>
      </c>
      <c r="H504" s="314">
        <f>IF($C504="","",IFERROR(VLOOKUP($C504,SERVIÇOS!$B:$G,5,0),IFERROR(VLOOKUP($C504,'COMPOSIÇÕES COMPLEMENTARES '!$D:$L,7,0),0)))</f>
        <v>1.99</v>
      </c>
      <c r="I504" s="314">
        <f t="shared" si="44"/>
        <v>4.0199999999999996</v>
      </c>
      <c r="J504" s="314">
        <f t="shared" si="45"/>
        <v>359.31</v>
      </c>
      <c r="K504" s="314">
        <f t="shared" si="46"/>
        <v>352.23</v>
      </c>
      <c r="L504" s="948">
        <f t="shared" si="47"/>
        <v>711.54</v>
      </c>
      <c r="M504" s="374">
        <f t="shared" si="48"/>
        <v>5567417.0000000102</v>
      </c>
      <c r="N504" s="375">
        <f>+M504/L$815</f>
        <v>0.98579486229310731</v>
      </c>
      <c r="O504" s="376" t="str">
        <f>IF(N504&lt;0.5,"A",IF(N504&gt;0.8,"C","B"))</f>
        <v>C</v>
      </c>
    </row>
    <row r="505" spans="1:35" ht="38.25" x14ac:dyDescent="0.25">
      <c r="A505" s="232">
        <f t="shared" si="43"/>
        <v>505</v>
      </c>
      <c r="B505" s="232"/>
      <c r="C505" s="310" t="s">
        <v>12477</v>
      </c>
      <c r="D505" s="373" t="str">
        <f>IF($C505="","",IFERROR(VLOOKUP($C505,SERVIÇOS!$B:$G,2,0),IFERROR(VLOOKUP($C505,'COMPOSIÇÕES COMPLEMENTARES '!$D:$L,2,0),IFERROR(VLOOKUP($C505,INSUMOS!$A:$D,2,0),""))))</f>
        <v>DAMPER CORTA FOGO E FUMAÇA, EM CHAPA DE AÇO ZINCADO CONFORME NBR 7008 ZC, REVESTIMENTO B, DE FECHAMENTO AUTOMÁTICO, DE TEMPO DE RESISTÊNCIA AO FOGO DE 90 MINUTOS, DIMENSÕES 450X250MM COM ELEMENTO FUSÍVEL 72°C, CHAVE FIM DE CURSO E SOLENÓIDE DE DISPARO E SOLENÓIDE. REFERÊNCIA: TROX FKA-TI-BR-90 OU EQUIVALENTE TÉCNICO</v>
      </c>
      <c r="E505" s="312" t="str">
        <f>IF($C505="","",IFERROR(VLOOKUP($C505,SERVIÇOS!$B:$G,3,0),IFERROR(VLOOKUP($C505,'COMPOSIÇÕES COMPLEMENTARES '!$D:$L,3,0),IFERROR(VLOOKUP($C505,INSUMOS!$A:$D,3,0),""))))</f>
        <v>UN</v>
      </c>
      <c r="F505" s="313">
        <v>1</v>
      </c>
      <c r="G505" s="314">
        <f>IF($C505="","",IFERROR(VLOOKUP($C505,SERVIÇOS!$B:$G,4,0),IFERROR(VLOOKUP($C505,'COMPOSIÇÕES COMPLEMENTARES '!$D:$L,6,0),IFERROR(VLOOKUP($C505,INSUMOS!$A:$D,4,0),""))))</f>
        <v>693.61</v>
      </c>
      <c r="H505" s="314">
        <f>IF($C505="","",IFERROR(VLOOKUP($C505,SERVIÇOS!$B:$G,5,0),IFERROR(VLOOKUP($C505,'COMPOSIÇÕES COMPLEMENTARES '!$D:$L,7,0),0)))</f>
        <v>13.26</v>
      </c>
      <c r="I505" s="314">
        <f t="shared" si="44"/>
        <v>706.87</v>
      </c>
      <c r="J505" s="314">
        <f t="shared" si="45"/>
        <v>693.61</v>
      </c>
      <c r="K505" s="314">
        <f t="shared" si="46"/>
        <v>13.26</v>
      </c>
      <c r="L505" s="948">
        <f t="shared" si="47"/>
        <v>706.87</v>
      </c>
      <c r="M505" s="374">
        <f t="shared" si="48"/>
        <v>5568123.8700000104</v>
      </c>
      <c r="N505" s="375">
        <f>+M505/L$815</f>
        <v>0.98592002425139225</v>
      </c>
      <c r="O505" s="376" t="str">
        <f>IF(N505&lt;0.5,"A",IF(N505&gt;0.8,"C","B"))</f>
        <v>C</v>
      </c>
    </row>
    <row r="506" spans="1:35" x14ac:dyDescent="0.25">
      <c r="A506" s="232">
        <f t="shared" si="43"/>
        <v>506</v>
      </c>
      <c r="B506" s="232"/>
      <c r="C506" s="310" t="s">
        <v>12489</v>
      </c>
      <c r="D506" s="373" t="str">
        <f>IF($C506="","",IFERROR(VLOOKUP($C506,SERVIÇOS!$B:$G,2,0),IFERROR(VLOOKUP($C506,'COMPOSIÇÕES COMPLEMENTARES '!$D:$L,2,0),IFERROR(VLOOKUP($C506,INSUMOS!$A:$D,2,0),""))))</f>
        <v xml:space="preserve">DUTO FLEXÍVEL ALUMINIZADO SEM ISOLAMENTO TÉRMICO Ø100MM </v>
      </c>
      <c r="E506" s="312" t="str">
        <f>IF($C506="","",IFERROR(VLOOKUP($C506,SERVIÇOS!$B:$G,3,0),IFERROR(VLOOKUP($C506,'COMPOSIÇÕES COMPLEMENTARES '!$D:$L,3,0),IFERROR(VLOOKUP($C506,INSUMOS!$A:$D,3,0),""))))</f>
        <v>M</v>
      </c>
      <c r="F506" s="313">
        <v>15</v>
      </c>
      <c r="G506" s="314">
        <f>IF($C506="","",IFERROR(VLOOKUP($C506,SERVIÇOS!$B:$G,4,0),IFERROR(VLOOKUP($C506,'COMPOSIÇÕES COMPLEMENTARES '!$D:$L,6,0),IFERROR(VLOOKUP($C506,INSUMOS!$A:$D,4,0),""))))</f>
        <v>31.66</v>
      </c>
      <c r="H506" s="314">
        <f>IF($C506="","",IFERROR(VLOOKUP($C506,SERVIÇOS!$B:$G,5,0),IFERROR(VLOOKUP($C506,'COMPOSIÇÕES COMPLEMENTARES '!$D:$L,7,0),0)))</f>
        <v>14.97</v>
      </c>
      <c r="I506" s="314">
        <f t="shared" si="44"/>
        <v>46.63</v>
      </c>
      <c r="J506" s="314">
        <f t="shared" si="45"/>
        <v>474.9</v>
      </c>
      <c r="K506" s="314">
        <f t="shared" si="46"/>
        <v>224.55</v>
      </c>
      <c r="L506" s="948">
        <f t="shared" si="47"/>
        <v>699.45</v>
      </c>
      <c r="M506" s="374">
        <f t="shared" si="48"/>
        <v>5568823.3200000105</v>
      </c>
      <c r="N506" s="375">
        <f>+M506/L$815</f>
        <v>0.98604387238714919</v>
      </c>
      <c r="O506" s="376" t="str">
        <f>IF(N506&lt;0.5,"A",IF(N506&gt;0.8,"C","B"))</f>
        <v>C</v>
      </c>
    </row>
    <row r="507" spans="1:35" x14ac:dyDescent="0.25">
      <c r="A507" s="232">
        <f t="shared" si="43"/>
        <v>507</v>
      </c>
      <c r="B507" s="232"/>
      <c r="C507" s="310" t="s">
        <v>12529</v>
      </c>
      <c r="D507" s="373" t="str">
        <f>IF($C507="","",IFERROR(VLOOKUP($C507,SERVIÇOS!$B:$G,2,0),IFERROR(VLOOKUP($C507,'COMPOSIÇÕES COMPLEMENTARES '!$D:$L,2,0),IFERROR(VLOOKUP($C507,INSUMOS!$A:$D,2,0),""))))</f>
        <v>HASTE DE COBRE PARA ATERRAMENTO 5/8"X3M C/ CONECTOR GAR ALTA 254 MICRAS.</v>
      </c>
      <c r="E507" s="312" t="str">
        <f>IF($C507="","",IFERROR(VLOOKUP($C507,SERVIÇOS!$B:$G,3,0),IFERROR(VLOOKUP($C507,'COMPOSIÇÕES COMPLEMENTARES '!$D:$L,3,0),IFERROR(VLOOKUP($C507,INSUMOS!$A:$D,3,0),""))))</f>
        <v>UN</v>
      </c>
      <c r="F507" s="313">
        <v>8</v>
      </c>
      <c r="G507" s="314">
        <f>IF($C507="","",IFERROR(VLOOKUP($C507,SERVIÇOS!$B:$G,4,0),IFERROR(VLOOKUP($C507,'COMPOSIÇÕES COMPLEMENTARES '!$D:$L,6,0),IFERROR(VLOOKUP($C507,INSUMOS!$A:$D,4,0),""))))</f>
        <v>67.62</v>
      </c>
      <c r="H507" s="314">
        <f>IF($C507="","",IFERROR(VLOOKUP($C507,SERVIÇOS!$B:$G,5,0),IFERROR(VLOOKUP($C507,'COMPOSIÇÕES COMPLEMENTARES '!$D:$L,7,0),0)))</f>
        <v>19.809999999999999</v>
      </c>
      <c r="I507" s="314">
        <f t="shared" si="44"/>
        <v>87.43</v>
      </c>
      <c r="J507" s="314">
        <f t="shared" si="45"/>
        <v>540.96</v>
      </c>
      <c r="K507" s="314">
        <f t="shared" si="46"/>
        <v>158.47999999999999</v>
      </c>
      <c r="L507" s="948">
        <f t="shared" si="47"/>
        <v>699.44</v>
      </c>
      <c r="M507" s="374">
        <f t="shared" si="48"/>
        <v>5569522.760000011</v>
      </c>
      <c r="N507" s="375">
        <f>+M507/L$815</f>
        <v>0.98616771875225573</v>
      </c>
      <c r="O507" s="376" t="str">
        <f>IF(N507&lt;0.5,"A",IF(N507&gt;0.8,"C","B"))</f>
        <v>C</v>
      </c>
    </row>
    <row r="508" spans="1:35" x14ac:dyDescent="0.25">
      <c r="A508" s="232">
        <f t="shared" si="43"/>
        <v>508</v>
      </c>
      <c r="B508" s="232"/>
      <c r="C508" s="310" t="s">
        <v>12416</v>
      </c>
      <c r="D508" s="373" t="str">
        <f>IF($C508="","",IFERROR(VLOOKUP($C508,SERVIÇOS!$B:$G,2,0),IFERROR(VLOOKUP($C508,'COMPOSIÇÕES COMPLEMENTARES '!$D:$L,2,0),IFERROR(VLOOKUP($C508,INSUMOS!$A:$D,2,0),""))))</f>
        <v>VIGA EM CONCRETO ARMADO PARA APOIO DE EQUIPAMENTOS DE AR CONDICIONADO 15X15CM, CONFORME DETALHE</v>
      </c>
      <c r="E508" s="312" t="str">
        <f>IF($C508="","",IFERROR(VLOOKUP($C508,SERVIÇOS!$B:$G,3,0),IFERROR(VLOOKUP($C508,'COMPOSIÇÕES COMPLEMENTARES '!$D:$L,3,0),IFERROR(VLOOKUP($C508,INSUMOS!$A:$D,3,0),""))))</f>
        <v>M</v>
      </c>
      <c r="F508" s="313">
        <v>8</v>
      </c>
      <c r="G508" s="314">
        <f>IF($C508="","",IFERROR(VLOOKUP($C508,SERVIÇOS!$B:$G,4,0),IFERROR(VLOOKUP($C508,'COMPOSIÇÕES COMPLEMENTARES '!$D:$L,6,0),IFERROR(VLOOKUP($C508,INSUMOS!$A:$D,4,0),""))))</f>
        <v>50.33</v>
      </c>
      <c r="H508" s="314">
        <f>IF($C508="","",IFERROR(VLOOKUP($C508,SERVIÇOS!$B:$G,5,0),IFERROR(VLOOKUP($C508,'COMPOSIÇÕES COMPLEMENTARES '!$D:$L,7,0),0)))</f>
        <v>35.700000000000003</v>
      </c>
      <c r="I508" s="314">
        <f t="shared" si="44"/>
        <v>86.03</v>
      </c>
      <c r="J508" s="314">
        <f t="shared" si="45"/>
        <v>402.64</v>
      </c>
      <c r="K508" s="314">
        <f t="shared" si="46"/>
        <v>285.60000000000002</v>
      </c>
      <c r="L508" s="948">
        <f t="shared" si="47"/>
        <v>688.24</v>
      </c>
      <c r="M508" s="374">
        <f t="shared" si="48"/>
        <v>5570211.0000000112</v>
      </c>
      <c r="N508" s="375">
        <f>+M508/L$815</f>
        <v>0.98628958198901795</v>
      </c>
      <c r="O508" s="376" t="str">
        <f>IF(N508&lt;0.5,"A",IF(N508&gt;0.8,"C","B"))</f>
        <v>C</v>
      </c>
    </row>
    <row r="509" spans="1:35" x14ac:dyDescent="0.25">
      <c r="A509" s="232">
        <f t="shared" si="43"/>
        <v>509</v>
      </c>
      <c r="B509" s="232"/>
      <c r="C509" s="310" t="s">
        <v>12202</v>
      </c>
      <c r="D509" s="373" t="str">
        <f>IF($C509="","",IFERROR(VLOOKUP($C509,SERVIÇOS!$B:$G,2,0),IFERROR(VLOOKUP($C509,'COMPOSIÇÕES COMPLEMENTARES '!$D:$L,2,0),IFERROR(VLOOKUP($C509,INSUMOS!$A:$D,2,0),""))))</f>
        <v>CONDUTOR DE COBRE FLEX. ISOL. 1KV - 90º - #16MM² - AFUMEX</v>
      </c>
      <c r="E509" s="312" t="str">
        <f>IF($C509="","",IFERROR(VLOOKUP($C509,SERVIÇOS!$B:$G,3,0),IFERROR(VLOOKUP($C509,'COMPOSIÇÕES COMPLEMENTARES '!$D:$L,3,0),IFERROR(VLOOKUP($C509,INSUMOS!$A:$D,3,0),""))))</f>
        <v>M</v>
      </c>
      <c r="F509" s="313">
        <v>27</v>
      </c>
      <c r="G509" s="314">
        <f>IF($C509="","",IFERROR(VLOOKUP($C509,SERVIÇOS!$B:$G,4,0),IFERROR(VLOOKUP($C509,'COMPOSIÇÕES COMPLEMENTARES '!$D:$L,6,0),IFERROR(VLOOKUP($C509,INSUMOS!$A:$D,4,0),""))))</f>
        <v>19.739999999999998</v>
      </c>
      <c r="H509" s="314">
        <f>IF($C509="","",IFERROR(VLOOKUP($C509,SERVIÇOS!$B:$G,5,0),IFERROR(VLOOKUP($C509,'COMPOSIÇÕES COMPLEMENTARES '!$D:$L,7,0),0)))</f>
        <v>5.69</v>
      </c>
      <c r="I509" s="314">
        <f t="shared" si="44"/>
        <v>25.43</v>
      </c>
      <c r="J509" s="314">
        <f t="shared" si="45"/>
        <v>532.98</v>
      </c>
      <c r="K509" s="314">
        <f t="shared" si="46"/>
        <v>153.63</v>
      </c>
      <c r="L509" s="948">
        <f t="shared" si="47"/>
        <v>686.61</v>
      </c>
      <c r="M509" s="374">
        <f t="shared" si="48"/>
        <v>5570897.6100000115</v>
      </c>
      <c r="N509" s="375">
        <f>+M509/L$815</f>
        <v>0.98641115660978007</v>
      </c>
      <c r="O509" s="376" t="str">
        <f>IF(N509&lt;0.5,"A",IF(N509&gt;0.8,"C","B"))</f>
        <v>C</v>
      </c>
    </row>
    <row r="510" spans="1:35" x14ac:dyDescent="0.25">
      <c r="A510" s="232">
        <f t="shared" si="43"/>
        <v>510</v>
      </c>
      <c r="B510" s="232"/>
      <c r="C510" s="310" t="s">
        <v>12106</v>
      </c>
      <c r="D510" s="373" t="str">
        <f>IF($C510="","",IFERROR(VLOOKUP($C510,SERVIÇOS!$B:$G,2,0),IFERROR(VLOOKUP($C510,'COMPOSIÇÕES COMPLEMENTARES '!$D:$L,2,0),IFERROR(VLOOKUP($C510,INSUMOS!$A:$D,2,0),""))))</f>
        <v>TUBO DE PVC RÍGIDO SOLDÁVEL, INCLUSO CONEXÔES - D=60MM (2")</v>
      </c>
      <c r="E510" s="312" t="str">
        <f>IF($C510="","",IFERROR(VLOOKUP($C510,SERVIÇOS!$B:$G,3,0),IFERROR(VLOOKUP($C510,'COMPOSIÇÕES COMPLEMENTARES '!$D:$L,3,0),IFERROR(VLOOKUP($C510,INSUMOS!$A:$D,3,0),""))))</f>
        <v>M</v>
      </c>
      <c r="F510" s="313">
        <v>9</v>
      </c>
      <c r="G510" s="314">
        <f>IF($C510="","",IFERROR(VLOOKUP($C510,SERVIÇOS!$B:$G,4,0),IFERROR(VLOOKUP($C510,'COMPOSIÇÕES COMPLEMENTARES '!$D:$L,6,0),IFERROR(VLOOKUP($C510,INSUMOS!$A:$D,4,0),""))))</f>
        <v>42.26</v>
      </c>
      <c r="H510" s="314">
        <f>IF($C510="","",IFERROR(VLOOKUP($C510,SERVIÇOS!$B:$G,5,0),IFERROR(VLOOKUP($C510,'COMPOSIÇÕES COMPLEMENTARES '!$D:$L,7,0),0)))</f>
        <v>34.020000000000003</v>
      </c>
      <c r="I510" s="314">
        <f t="shared" si="44"/>
        <v>76.28</v>
      </c>
      <c r="J510" s="314">
        <f t="shared" si="45"/>
        <v>380.34</v>
      </c>
      <c r="K510" s="314">
        <f t="shared" si="46"/>
        <v>306.18</v>
      </c>
      <c r="L510" s="948">
        <f t="shared" si="47"/>
        <v>686.52</v>
      </c>
      <c r="M510" s="374">
        <f t="shared" si="48"/>
        <v>5571584.1300000111</v>
      </c>
      <c r="N510" s="375">
        <f>+M510/L$815</f>
        <v>0.98653271529468922</v>
      </c>
      <c r="O510" s="376" t="str">
        <f>IF(N510&lt;0.5,"A",IF(N510&gt;0.8,"C","B"))</f>
        <v>C</v>
      </c>
    </row>
    <row r="511" spans="1:35" ht="25.5" x14ac:dyDescent="0.25">
      <c r="A511" s="232">
        <f t="shared" si="43"/>
        <v>511</v>
      </c>
      <c r="B511" s="232"/>
      <c r="C511" s="310">
        <v>92765</v>
      </c>
      <c r="D511" s="373" t="str">
        <f>IF($C511="","",IFERROR(VLOOKUP($C511,SERVIÇOS!$B:$G,2,0),IFERROR(VLOOKUP($C511,'COMPOSIÇÕES COMPLEMENTARES '!$D:$L,2,0),IFERROR(VLOOKUP($C511,INSUMOS!$A:$D,2,0),""))))</f>
        <v>ARMAÇÃO DE PILAR OU VIGA DE ESTRUTURA CONVENCIONAL DE CONCRETO ARMADO UTILIZANDO AÇO CA-50 DE 20,0 MM - MONTAGEM. AF_06/2022</v>
      </c>
      <c r="E511" s="312" t="str">
        <f>IF($C511="","",IFERROR(VLOOKUP($C511,SERVIÇOS!$B:$G,3,0),IFERROR(VLOOKUP($C511,'COMPOSIÇÕES COMPLEMENTARES '!$D:$L,3,0),IFERROR(VLOOKUP($C511,INSUMOS!$A:$D,3,0),""))))</f>
        <v>KG</v>
      </c>
      <c r="F511" s="313">
        <v>66</v>
      </c>
      <c r="G511" s="314">
        <f>IF($C511="","",IFERROR(VLOOKUP($C511,SERVIÇOS!$B:$G,4,0),IFERROR(VLOOKUP($C511,'COMPOSIÇÕES COMPLEMENTARES '!$D:$L,6,0),IFERROR(VLOOKUP($C511,INSUMOS!$A:$D,4,0),""))))</f>
        <v>9.64</v>
      </c>
      <c r="H511" s="314">
        <f>IF($C511="","",IFERROR(VLOOKUP($C511,SERVIÇOS!$B:$G,5,0),IFERROR(VLOOKUP($C511,'COMPOSIÇÕES COMPLEMENTARES '!$D:$L,7,0),0)))</f>
        <v>0.48</v>
      </c>
      <c r="I511" s="314">
        <f t="shared" si="44"/>
        <v>10.120000000000001</v>
      </c>
      <c r="J511" s="314">
        <f t="shared" si="45"/>
        <v>636.24</v>
      </c>
      <c r="K511" s="314">
        <f t="shared" si="46"/>
        <v>31.68</v>
      </c>
      <c r="L511" s="948">
        <f t="shared" si="47"/>
        <v>667.92</v>
      </c>
      <c r="M511" s="374">
        <f t="shared" si="48"/>
        <v>5572252.050000011</v>
      </c>
      <c r="N511" s="375">
        <f>+M511/L$815</f>
        <v>0.98665098057002654</v>
      </c>
      <c r="O511" s="376" t="str">
        <f>IF(N511&lt;0.5,"A",IF(N511&gt;0.8,"C","B"))</f>
        <v>C</v>
      </c>
    </row>
    <row r="512" spans="1:35" x14ac:dyDescent="0.25">
      <c r="A512" s="232">
        <f t="shared" si="43"/>
        <v>512</v>
      </c>
      <c r="B512" s="232"/>
      <c r="C512" s="310" t="s">
        <v>12218</v>
      </c>
      <c r="D512" s="373" t="str">
        <f>IF($C512="","",IFERROR(VLOOKUP($C512,SERVIÇOS!$B:$G,2,0),IFERROR(VLOOKUP($C512,'COMPOSIÇÕES COMPLEMENTARES '!$D:$L,2,0),IFERROR(VLOOKUP($C512,INSUMOS!$A:$D,2,0),""))))</f>
        <v>ELETRODUTO RÍGIDO ROSCÁVEL, PVC, DN 25 MM (3/4"), INCLUSO CONEXÕES - FORNECIMENTO E INSTALAÇÃO</v>
      </c>
      <c r="E512" s="312" t="str">
        <f>IF($C512="","",IFERROR(VLOOKUP($C512,SERVIÇOS!$B:$G,3,0),IFERROR(VLOOKUP($C512,'COMPOSIÇÕES COMPLEMENTARES '!$D:$L,3,0),IFERROR(VLOOKUP($C512,INSUMOS!$A:$D,3,0),""))))</f>
        <v>M</v>
      </c>
      <c r="F512" s="313">
        <v>50</v>
      </c>
      <c r="G512" s="314">
        <f>IF($C512="","",IFERROR(VLOOKUP($C512,SERVIÇOS!$B:$G,4,0),IFERROR(VLOOKUP($C512,'COMPOSIÇÕES COMPLEMENTARES '!$D:$L,6,0),IFERROR(VLOOKUP($C512,INSUMOS!$A:$D,4,0),""))))</f>
        <v>9.18</v>
      </c>
      <c r="H512" s="314">
        <f>IF($C512="","",IFERROR(VLOOKUP($C512,SERVIÇOS!$B:$G,5,0),IFERROR(VLOOKUP($C512,'COMPOSIÇÕES COMPLEMENTARES '!$D:$L,7,0),0)))</f>
        <v>4.1500000000000004</v>
      </c>
      <c r="I512" s="314">
        <f t="shared" si="44"/>
        <v>13.33</v>
      </c>
      <c r="J512" s="314">
        <f t="shared" si="45"/>
        <v>459</v>
      </c>
      <c r="K512" s="314">
        <f t="shared" si="46"/>
        <v>207.5</v>
      </c>
      <c r="L512" s="948">
        <f t="shared" si="47"/>
        <v>666.5</v>
      </c>
      <c r="M512" s="374">
        <f t="shared" si="48"/>
        <v>5572918.550000011</v>
      </c>
      <c r="N512" s="375">
        <f>+M512/L$815</f>
        <v>0.98676899441302024</v>
      </c>
      <c r="O512" s="376" t="str">
        <f>IF(N512&lt;0.5,"A",IF(N512&gt;0.8,"C","B"))</f>
        <v>C</v>
      </c>
    </row>
    <row r="513" spans="1:15" x14ac:dyDescent="0.25">
      <c r="A513" s="232">
        <f t="shared" si="43"/>
        <v>513</v>
      </c>
      <c r="B513" s="232"/>
      <c r="C513" s="310" t="s">
        <v>12187</v>
      </c>
      <c r="D513" s="373" t="str">
        <f>IF($C513="","",IFERROR(VLOOKUP($C513,SERVIÇOS!$B:$G,2,0),IFERROR(VLOOKUP($C513,'COMPOSIÇÕES COMPLEMENTARES '!$D:$L,2,0),IFERROR(VLOOKUP($C513,INSUMOS!$A:$D,2,0),""))))</f>
        <v>CONDUTOR DE COBRE FLEX. ISOL. 1KV - 90º - #50MM² - AFUMEX</v>
      </c>
      <c r="E513" s="312" t="str">
        <f>IF($C513="","",IFERROR(VLOOKUP($C513,SERVIÇOS!$B:$G,3,0),IFERROR(VLOOKUP($C513,'COMPOSIÇÕES COMPLEMENTARES '!$D:$L,3,0),IFERROR(VLOOKUP($C513,INSUMOS!$A:$D,3,0),""))))</f>
        <v>M</v>
      </c>
      <c r="F513" s="313">
        <v>12</v>
      </c>
      <c r="G513" s="314">
        <f>IF($C513="","",IFERROR(VLOOKUP($C513,SERVIÇOS!$B:$G,4,0),IFERROR(VLOOKUP($C513,'COMPOSIÇÕES COMPLEMENTARES '!$D:$L,6,0),IFERROR(VLOOKUP($C513,INSUMOS!$A:$D,4,0),""))))</f>
        <v>51.15</v>
      </c>
      <c r="H513" s="314">
        <f>IF($C513="","",IFERROR(VLOOKUP($C513,SERVIÇOS!$B:$G,5,0),IFERROR(VLOOKUP($C513,'COMPOSIÇÕES COMPLEMENTARES '!$D:$L,7,0),0)))</f>
        <v>4.3</v>
      </c>
      <c r="I513" s="314">
        <f t="shared" si="44"/>
        <v>55.449999999999996</v>
      </c>
      <c r="J513" s="314">
        <f t="shared" si="45"/>
        <v>613.79999999999995</v>
      </c>
      <c r="K513" s="314">
        <f t="shared" si="46"/>
        <v>51.6</v>
      </c>
      <c r="L513" s="948">
        <f t="shared" si="47"/>
        <v>665.4</v>
      </c>
      <c r="M513" s="374">
        <f t="shared" si="48"/>
        <v>5573583.9500000114</v>
      </c>
      <c r="N513" s="375">
        <f>+M513/L$815</f>
        <v>0.98688681348448015</v>
      </c>
      <c r="O513" s="376" t="str">
        <f>IF(N513&lt;0.5,"A",IF(N513&gt;0.8,"C","B"))</f>
        <v>C</v>
      </c>
    </row>
    <row r="514" spans="1:15" x14ac:dyDescent="0.25">
      <c r="A514" s="232">
        <f t="shared" si="43"/>
        <v>514</v>
      </c>
      <c r="B514" s="232"/>
      <c r="C514" s="310" t="s">
        <v>12287</v>
      </c>
      <c r="D514" s="373" t="str">
        <f>IF($C514="","",IFERROR(VLOOKUP($C514,SERVIÇOS!$B:$G,2,0),IFERROR(VLOOKUP($C514,'COMPOSIÇÕES COMPLEMENTARES '!$D:$L,2,0),IFERROR(VLOOKUP($C514,INSUMOS!$A:$D,2,0),""))))</f>
        <v xml:space="preserve">ELETRODUTO DE PVC RÍGIDO Ø4" COM CONEXÕES E ACESSÓRIOS DE FIXAÇÃO </v>
      </c>
      <c r="E514" s="312" t="str">
        <f>IF($C514="","",IFERROR(VLOOKUP($C514,SERVIÇOS!$B:$G,3,0),IFERROR(VLOOKUP($C514,'COMPOSIÇÕES COMPLEMENTARES '!$D:$L,3,0),IFERROR(VLOOKUP($C514,INSUMOS!$A:$D,3,0),""))))</f>
        <v>M</v>
      </c>
      <c r="F514" s="313">
        <v>5</v>
      </c>
      <c r="G514" s="314">
        <f>IF($C514="","",IFERROR(VLOOKUP($C514,SERVIÇOS!$B:$G,4,0),IFERROR(VLOOKUP($C514,'COMPOSIÇÕES COMPLEMENTARES '!$D:$L,6,0),IFERROR(VLOOKUP($C514,INSUMOS!$A:$D,4,0),""))))</f>
        <v>118.08</v>
      </c>
      <c r="H514" s="314">
        <f>IF($C514="","",IFERROR(VLOOKUP($C514,SERVIÇOS!$B:$G,5,0),IFERROR(VLOOKUP($C514,'COMPOSIÇÕES COMPLEMENTARES '!$D:$L,7,0),0)))</f>
        <v>14.85</v>
      </c>
      <c r="I514" s="314">
        <f t="shared" si="44"/>
        <v>132.93</v>
      </c>
      <c r="J514" s="314">
        <f t="shared" si="45"/>
        <v>590.4</v>
      </c>
      <c r="K514" s="314">
        <f t="shared" si="46"/>
        <v>74.25</v>
      </c>
      <c r="L514" s="948">
        <f t="shared" si="47"/>
        <v>664.65</v>
      </c>
      <c r="M514" s="374">
        <f t="shared" si="48"/>
        <v>5574248.6000000117</v>
      </c>
      <c r="N514" s="375">
        <f>+M514/L$815</f>
        <v>0.98700449975716698</v>
      </c>
      <c r="O514" s="376" t="str">
        <f>IF(N514&lt;0.5,"A",IF(N514&gt;0.8,"C","B"))</f>
        <v>C</v>
      </c>
    </row>
    <row r="515" spans="1:15" ht="25.5" x14ac:dyDescent="0.25">
      <c r="A515" s="232">
        <f t="shared" si="43"/>
        <v>515</v>
      </c>
      <c r="B515" s="232"/>
      <c r="C515" s="310">
        <v>103322</v>
      </c>
      <c r="D515" s="373" t="str">
        <f>IF($C515="","",IFERROR(VLOOKUP($C515,SERVIÇOS!$B:$G,2,0),IFERROR(VLOOKUP($C515,'COMPOSIÇÕES COMPLEMENTARES '!$D:$L,2,0),IFERROR(VLOOKUP($C515,INSUMOS!$A:$D,2,0),""))))</f>
        <v>ALVENARIA DE VEDAÇÃO DE BLOCOS CERÂMICOS FURADOS NA VERTICAL DE 9X19X39 CM (ESPESSURA 9 CM) E ARGAMASSA DE ASSENTAMENTO COM PREPARO EM BETONEIRA. AF_12/2021</v>
      </c>
      <c r="E515" s="312" t="str">
        <f>IF($C515="","",IFERROR(VLOOKUP($C515,SERVIÇOS!$B:$G,3,0),IFERROR(VLOOKUP($C515,'COMPOSIÇÕES COMPLEMENTARES '!$D:$L,3,0),IFERROR(VLOOKUP($C515,INSUMOS!$A:$D,3,0),""))))</f>
        <v>M2</v>
      </c>
      <c r="F515" s="313">
        <v>10.32</v>
      </c>
      <c r="G515" s="314">
        <f>IF($C515="","",IFERROR(VLOOKUP($C515,SERVIÇOS!$B:$G,4,0),IFERROR(VLOOKUP($C515,'COMPOSIÇÕES COMPLEMENTARES '!$D:$L,6,0),IFERROR(VLOOKUP($C515,INSUMOS!$A:$D,4,0),""))))</f>
        <v>41.02</v>
      </c>
      <c r="H515" s="314">
        <f>IF($C515="","",IFERROR(VLOOKUP($C515,SERVIÇOS!$B:$G,5,0),IFERROR(VLOOKUP($C515,'COMPOSIÇÕES COMPLEMENTARES '!$D:$L,7,0),0)))</f>
        <v>23.21</v>
      </c>
      <c r="I515" s="314">
        <f t="shared" si="44"/>
        <v>64.23</v>
      </c>
      <c r="J515" s="314">
        <f t="shared" si="45"/>
        <v>423.32</v>
      </c>
      <c r="K515" s="314">
        <f t="shared" si="46"/>
        <v>239.52</v>
      </c>
      <c r="L515" s="948">
        <f t="shared" si="47"/>
        <v>662.84</v>
      </c>
      <c r="M515" s="374">
        <f t="shared" si="48"/>
        <v>5574911.4400000116</v>
      </c>
      <c r="N515" s="375">
        <f>+M515/L$815</f>
        <v>0.98712186554214809</v>
      </c>
      <c r="O515" s="376" t="str">
        <f>IF(N515&lt;0.5,"A",IF(N515&gt;0.8,"C","B"))</f>
        <v>C</v>
      </c>
    </row>
    <row r="516" spans="1:15" x14ac:dyDescent="0.25">
      <c r="A516" s="232">
        <f t="shared" si="43"/>
        <v>516</v>
      </c>
      <c r="B516" s="232"/>
      <c r="C516" s="310">
        <v>93664</v>
      </c>
      <c r="D516" s="373" t="str">
        <f>IF($C516="","",IFERROR(VLOOKUP($C516,SERVIÇOS!$B:$G,2,0),IFERROR(VLOOKUP($C516,'COMPOSIÇÕES COMPLEMENTARES '!$D:$L,2,0),IFERROR(VLOOKUP($C516,INSUMOS!$A:$D,2,0),""))))</f>
        <v>DISJUNTOR BIPOLAR TIPO DIN, CORRENTE NOMINAL DE 32A - FORNECIMENTO E INSTALAÇÃO. AF_10/2020</v>
      </c>
      <c r="E516" s="312" t="str">
        <f>IF($C516="","",IFERROR(VLOOKUP($C516,SERVIÇOS!$B:$G,3,0),IFERROR(VLOOKUP($C516,'COMPOSIÇÕES COMPLEMENTARES '!$D:$L,3,0),IFERROR(VLOOKUP($C516,INSUMOS!$A:$D,3,0),""))))</f>
        <v>UN</v>
      </c>
      <c r="F516" s="313">
        <v>9</v>
      </c>
      <c r="G516" s="314">
        <f>IF($C516="","",IFERROR(VLOOKUP($C516,SERVIÇOS!$B:$G,4,0),IFERROR(VLOOKUP($C516,'COMPOSIÇÕES COMPLEMENTARES '!$D:$L,6,0),IFERROR(VLOOKUP($C516,INSUMOS!$A:$D,4,0),""))))</f>
        <v>61.93</v>
      </c>
      <c r="H516" s="314">
        <f>IF($C516="","",IFERROR(VLOOKUP($C516,SERVIÇOS!$B:$G,5,0),IFERROR(VLOOKUP($C516,'COMPOSIÇÕES COMPLEMENTARES '!$D:$L,7,0),0)))</f>
        <v>9.01</v>
      </c>
      <c r="I516" s="314">
        <f t="shared" si="44"/>
        <v>70.94</v>
      </c>
      <c r="J516" s="314">
        <f t="shared" si="45"/>
        <v>557.37</v>
      </c>
      <c r="K516" s="314">
        <f t="shared" si="46"/>
        <v>81.09</v>
      </c>
      <c r="L516" s="948">
        <f t="shared" si="47"/>
        <v>638.46</v>
      </c>
      <c r="M516" s="374">
        <f t="shared" si="48"/>
        <v>5575549.9000000115</v>
      </c>
      <c r="N516" s="375">
        <f>+M516/L$815</f>
        <v>0.98723491448167966</v>
      </c>
      <c r="O516" s="376" t="str">
        <f>IF(N516&lt;0.5,"A",IF(N516&gt;0.8,"C","B"))</f>
        <v>C</v>
      </c>
    </row>
    <row r="517" spans="1:15" ht="25.5" x14ac:dyDescent="0.25">
      <c r="A517" s="232">
        <f t="shared" si="43"/>
        <v>517</v>
      </c>
      <c r="B517" s="232"/>
      <c r="C517" s="310">
        <v>89985</v>
      </c>
      <c r="D517" s="373" t="str">
        <f>IF($C517="","",IFERROR(VLOOKUP($C517,SERVIÇOS!$B:$G,2,0),IFERROR(VLOOKUP($C517,'COMPOSIÇÕES COMPLEMENTARES '!$D:$L,2,0),IFERROR(VLOOKUP($C517,INSUMOS!$A:$D,2,0),""))))</f>
        <v>REGISTRO DE PRESSÃO BRUTO, LATÃO, ROSCÁVEL, 3/4", COM ACABAMENTO E CANOPLA CROMADOS - FORNECIMENTO E INSTALAÇÃO. AF_08/2021</v>
      </c>
      <c r="E517" s="312" t="str">
        <f>IF($C517="","",IFERROR(VLOOKUP($C517,SERVIÇOS!$B:$G,3,0),IFERROR(VLOOKUP($C517,'COMPOSIÇÕES COMPLEMENTARES '!$D:$L,3,0),IFERROR(VLOOKUP($C517,INSUMOS!$A:$D,3,0),""))))</f>
        <v>UN</v>
      </c>
      <c r="F517" s="313">
        <v>7</v>
      </c>
      <c r="G517" s="314">
        <f>IF($C517="","",IFERROR(VLOOKUP($C517,SERVIÇOS!$B:$G,4,0),IFERROR(VLOOKUP($C517,'COMPOSIÇÕES COMPLEMENTARES '!$D:$L,6,0),IFERROR(VLOOKUP($C517,INSUMOS!$A:$D,4,0),""))))</f>
        <v>80.42</v>
      </c>
      <c r="H517" s="314">
        <f>IF($C517="","",IFERROR(VLOOKUP($C517,SERVIÇOS!$B:$G,5,0),IFERROR(VLOOKUP($C517,'COMPOSIÇÕES COMPLEMENTARES '!$D:$L,7,0),0)))</f>
        <v>10.74</v>
      </c>
      <c r="I517" s="314">
        <f t="shared" si="44"/>
        <v>91.16</v>
      </c>
      <c r="J517" s="314">
        <f t="shared" si="45"/>
        <v>562.94000000000005</v>
      </c>
      <c r="K517" s="314">
        <f t="shared" si="46"/>
        <v>75.180000000000007</v>
      </c>
      <c r="L517" s="948">
        <f t="shared" si="47"/>
        <v>638.12</v>
      </c>
      <c r="M517" s="374">
        <f t="shared" si="48"/>
        <v>5576188.0200000117</v>
      </c>
      <c r="N517" s="375">
        <f>+M517/L$815</f>
        <v>0.98734790321910071</v>
      </c>
      <c r="O517" s="376" t="str">
        <f>IF(N517&lt;0.5,"A",IF(N517&gt;0.8,"C","B"))</f>
        <v>C</v>
      </c>
    </row>
    <row r="518" spans="1:15" ht="25.5" x14ac:dyDescent="0.25">
      <c r="A518" s="232">
        <f t="shared" si="43"/>
        <v>518</v>
      </c>
      <c r="B518" s="232"/>
      <c r="C518" s="310">
        <v>97669</v>
      </c>
      <c r="D518" s="373" t="str">
        <f>IF($C518="","",IFERROR(VLOOKUP($C518,SERVIÇOS!$B:$G,2,0),IFERROR(VLOOKUP($C518,'COMPOSIÇÕES COMPLEMENTARES '!$D:$L,2,0),IFERROR(VLOOKUP($C518,INSUMOS!$A:$D,2,0),""))))</f>
        <v>ELETRODUTO FLEXÍVEL CORRUGADO, PEAD, DN 90 (3"), PARA REDE ENTERRADA DE DISTRIBUIÇÃO DE ENERGIA ELÉTRICA - FORNECIMENTO E INSTALAÇÃO. AF_12/2021</v>
      </c>
      <c r="E518" s="312" t="str">
        <f>IF($C518="","",IFERROR(VLOOKUP($C518,SERVIÇOS!$B:$G,3,0),IFERROR(VLOOKUP($C518,'COMPOSIÇÕES COMPLEMENTARES '!$D:$L,3,0),IFERROR(VLOOKUP($C518,INSUMOS!$A:$D,3,0),""))))</f>
        <v>M</v>
      </c>
      <c r="F518" s="313">
        <v>27</v>
      </c>
      <c r="G518" s="314">
        <f>IF($C518="","",IFERROR(VLOOKUP($C518,SERVIÇOS!$B:$G,4,0),IFERROR(VLOOKUP($C518,'COMPOSIÇÕES COMPLEMENTARES '!$D:$L,6,0),IFERROR(VLOOKUP($C518,INSUMOS!$A:$D,4,0),""))))</f>
        <v>16.05</v>
      </c>
      <c r="H518" s="314">
        <f>IF($C518="","",IFERROR(VLOOKUP($C518,SERVIÇOS!$B:$G,5,0),IFERROR(VLOOKUP($C518,'COMPOSIÇÕES COMPLEMENTARES '!$D:$L,7,0),0)))</f>
        <v>7.46</v>
      </c>
      <c r="I518" s="314">
        <f t="shared" si="44"/>
        <v>23.51</v>
      </c>
      <c r="J518" s="314">
        <f t="shared" si="45"/>
        <v>433.35</v>
      </c>
      <c r="K518" s="314">
        <f t="shared" si="46"/>
        <v>201.42</v>
      </c>
      <c r="L518" s="948">
        <f t="shared" si="47"/>
        <v>634.77</v>
      </c>
      <c r="M518" s="374">
        <f t="shared" si="48"/>
        <v>5576822.7900000112</v>
      </c>
      <c r="N518" s="375">
        <f>+M518/L$815</f>
        <v>0.9874602987886687</v>
      </c>
      <c r="O518" s="376" t="str">
        <f>IF(N518&lt;0.5,"A",IF(N518&gt;0.8,"C","B"))</f>
        <v>C</v>
      </c>
    </row>
    <row r="519" spans="1:15" ht="25.5" x14ac:dyDescent="0.25">
      <c r="A519" s="232">
        <f t="shared" si="43"/>
        <v>519</v>
      </c>
      <c r="B519" s="232"/>
      <c r="C519" s="310" t="s">
        <v>12219</v>
      </c>
      <c r="D519" s="373" t="str">
        <f>IF($C519="","",IFERROR(VLOOKUP($C519,SERVIÇOS!$B:$G,2,0),IFERROR(VLOOKUP($C519,'COMPOSIÇÕES COMPLEMENTARES '!$D:$L,2,0),IFERROR(VLOOKUP($C519,INSUMOS!$A:$D,2,0),""))))</f>
        <v>ELETRODUTO RÍGIDO ROSCÁVEL, PVC, DN 32 MM (1"), INCLUSO CONEXÕES E ACESSÓRIOS, INSTALAÇÃO APARENTE - FORNECIMENTO E INSTALAÇÃO</v>
      </c>
      <c r="E519" s="312" t="str">
        <f>IF($C519="","",IFERROR(VLOOKUP($C519,SERVIÇOS!$B:$G,3,0),IFERROR(VLOOKUP($C519,'COMPOSIÇÕES COMPLEMENTARES '!$D:$L,3,0),IFERROR(VLOOKUP($C519,INSUMOS!$A:$D,3,0),""))))</f>
        <v>M</v>
      </c>
      <c r="F519" s="313">
        <v>22</v>
      </c>
      <c r="G519" s="314">
        <f>IF($C519="","",IFERROR(VLOOKUP($C519,SERVIÇOS!$B:$G,4,0),IFERROR(VLOOKUP($C519,'COMPOSIÇÕES COMPLEMENTARES '!$D:$L,6,0),IFERROR(VLOOKUP($C519,INSUMOS!$A:$D,4,0),""))))</f>
        <v>19.420000000000002</v>
      </c>
      <c r="H519" s="314">
        <f>IF($C519="","",IFERROR(VLOOKUP($C519,SERVIÇOS!$B:$G,5,0),IFERROR(VLOOKUP($C519,'COMPOSIÇÕES COMPLEMENTARES '!$D:$L,7,0),0)))</f>
        <v>9.32</v>
      </c>
      <c r="I519" s="314">
        <f t="shared" si="44"/>
        <v>28.740000000000002</v>
      </c>
      <c r="J519" s="314">
        <f t="shared" si="45"/>
        <v>427.24</v>
      </c>
      <c r="K519" s="314">
        <f t="shared" si="46"/>
        <v>205.04</v>
      </c>
      <c r="L519" s="948">
        <f t="shared" si="47"/>
        <v>632.28</v>
      </c>
      <c r="M519" s="374">
        <f t="shared" si="48"/>
        <v>5577455.0700000115</v>
      </c>
      <c r="N519" s="375">
        <f>+M519/L$815</f>
        <v>0.98757225346631017</v>
      </c>
      <c r="O519" s="376" t="str">
        <f>IF(N519&lt;0.5,"A",IF(N519&gt;0.8,"C","B"))</f>
        <v>C</v>
      </c>
    </row>
    <row r="520" spans="1:15" x14ac:dyDescent="0.25">
      <c r="A520" s="232">
        <f t="shared" si="43"/>
        <v>520</v>
      </c>
      <c r="B520" s="232"/>
      <c r="C520" s="310" t="s">
        <v>12219</v>
      </c>
      <c r="D520" s="377" t="str">
        <f>IF($C520="","",IFERROR(VLOOKUP($C520,SERVIÇOS!$B:$G,2,0),IFERROR(VLOOKUP($C520,'COMPOSIÇÕES COMPLEMENTARES '!$D:$L,2,0),IFERROR(VLOOKUP($C520,INSUMOS!$A:$D,2,0),""))))</f>
        <v>ELETRODUTO RÍGIDO ROSCÁVEL, PVC, DN 32 MM (1"), INCLUSO CONEXÕES E ACESSÓRIOS, INSTALAÇÃO APARENTE - FORNECIMENTO E INSTALAÇÃO</v>
      </c>
      <c r="E520" s="312" t="str">
        <f>IF($C520="","",IFERROR(VLOOKUP($C520,SERVIÇOS!$B:$G,3,0),IFERROR(VLOOKUP($C520,'COMPOSIÇÕES COMPLEMENTARES '!$D:$L,3,0),IFERROR(VLOOKUP($C520,INSUMOS!$A:$D,3,0),""))))</f>
        <v>M</v>
      </c>
      <c r="F520" s="313">
        <v>22</v>
      </c>
      <c r="G520" s="314">
        <f>IF($C520="","",IFERROR(VLOOKUP($C520,SERVIÇOS!$B:$G,4,0),IFERROR(VLOOKUP($C520,'COMPOSIÇÕES COMPLEMENTARES '!$D:$L,6,0),IFERROR(VLOOKUP($C520,INSUMOS!$A:$D,4,0),""))))</f>
        <v>19.420000000000002</v>
      </c>
      <c r="H520" s="314">
        <f>IF($C520="","",IFERROR(VLOOKUP($C520,SERVIÇOS!$B:$G,5,0),IFERROR(VLOOKUP($C520,'COMPOSIÇÕES COMPLEMENTARES '!$D:$L,7,0),0)))</f>
        <v>9.32</v>
      </c>
      <c r="I520" s="314">
        <f t="shared" si="44"/>
        <v>28.740000000000002</v>
      </c>
      <c r="J520" s="314">
        <f t="shared" si="45"/>
        <v>427.24</v>
      </c>
      <c r="K520" s="314">
        <f t="shared" si="46"/>
        <v>205.04</v>
      </c>
      <c r="L520" s="948">
        <f t="shared" si="47"/>
        <v>632.28</v>
      </c>
      <c r="M520" s="374">
        <f t="shared" si="48"/>
        <v>5578087.3500000117</v>
      </c>
      <c r="N520" s="375">
        <f>+M520/L$815</f>
        <v>0.98768420814395175</v>
      </c>
      <c r="O520" s="376" t="str">
        <f>IF(N520&lt;0.5,"A",IF(N520&gt;0.8,"C","B"))</f>
        <v>C</v>
      </c>
    </row>
    <row r="521" spans="1:15" ht="25.5" x14ac:dyDescent="0.25">
      <c r="A521" s="232">
        <f t="shared" si="43"/>
        <v>521</v>
      </c>
      <c r="B521" s="232"/>
      <c r="C521" s="310" t="s">
        <v>12464</v>
      </c>
      <c r="D521" s="373" t="str">
        <f>IF($C521="","",IFERROR(VLOOKUP($C521,SERVIÇOS!$B:$G,2,0),IFERROR(VLOOKUP($C521,'COMPOSIÇÕES COMPLEMENTARES '!$D:$L,2,0),IFERROR(VLOOKUP($C521,INSUMOS!$A:$D,2,0),""))))</f>
        <v>DAMPER DE REGULAGEM DE VAZÃO 350x100MM. MARCA TROPICAL DRV-350x100 (OU EQUIVALENTE (OU SIMILAR - TROX, SEIMMEI, DIFUSAR) -  FORNECIMENTO E INSTALAÇÃO</v>
      </c>
      <c r="E521" s="312" t="str">
        <f>IF($C521="","",IFERROR(VLOOKUP($C521,SERVIÇOS!$B:$G,3,0),IFERROR(VLOOKUP($C521,'COMPOSIÇÕES COMPLEMENTARES '!$D:$L,3,0),IFERROR(VLOOKUP($C521,INSUMOS!$A:$D,3,0),""))))</f>
        <v>UN</v>
      </c>
      <c r="F521" s="313">
        <v>7</v>
      </c>
      <c r="G521" s="314">
        <f>IF($C521="","",IFERROR(VLOOKUP($C521,SERVIÇOS!$B:$G,4,0),IFERROR(VLOOKUP($C521,'COMPOSIÇÕES COMPLEMENTARES '!$D:$L,6,0),IFERROR(VLOOKUP($C521,INSUMOS!$A:$D,4,0),""))))</f>
        <v>79.08</v>
      </c>
      <c r="H521" s="314">
        <f>IF($C521="","",IFERROR(VLOOKUP($C521,SERVIÇOS!$B:$G,5,0),IFERROR(VLOOKUP($C521,'COMPOSIÇÕES COMPLEMENTARES '!$D:$L,7,0),0)))</f>
        <v>11.05</v>
      </c>
      <c r="I521" s="314">
        <f t="shared" si="44"/>
        <v>90.13</v>
      </c>
      <c r="J521" s="314">
        <f t="shared" si="45"/>
        <v>553.55999999999995</v>
      </c>
      <c r="K521" s="314">
        <f t="shared" si="46"/>
        <v>77.349999999999994</v>
      </c>
      <c r="L521" s="948">
        <f t="shared" si="47"/>
        <v>630.91</v>
      </c>
      <c r="M521" s="374">
        <f t="shared" si="48"/>
        <v>5578718.2600000119</v>
      </c>
      <c r="N521" s="375">
        <f>+M521/L$815</f>
        <v>0.98779592024250107</v>
      </c>
      <c r="O521" s="376" t="str">
        <f>IF(N521&lt;0.5,"A",IF(N521&gt;0.8,"C","B"))</f>
        <v>C</v>
      </c>
    </row>
    <row r="522" spans="1:15" x14ac:dyDescent="0.25">
      <c r="A522" s="232">
        <f t="shared" ref="A522:A585" si="49">1+A521</f>
        <v>522</v>
      </c>
      <c r="B522" s="232"/>
      <c r="C522" s="310">
        <v>91953</v>
      </c>
      <c r="D522" s="373" t="str">
        <f>IF($C522="","",IFERROR(VLOOKUP($C522,SERVIÇOS!$B:$G,2,0),IFERROR(VLOOKUP($C522,'COMPOSIÇÕES COMPLEMENTARES '!$D:$L,2,0),IFERROR(VLOOKUP($C522,INSUMOS!$A:$D,2,0),""))))</f>
        <v>INTERRUPTOR SIMPLES (1 MÓDULO), 10A/250V, INCLUINDO SUPORTE E PLACA - FORNECIMENTO E INSTALAÇÃO. AF_03/2023</v>
      </c>
      <c r="E522" s="312" t="str">
        <f>IF($C522="","",IFERROR(VLOOKUP($C522,SERVIÇOS!$B:$G,3,0),IFERROR(VLOOKUP($C522,'COMPOSIÇÕES COMPLEMENTARES '!$D:$L,3,0),IFERROR(VLOOKUP($C522,INSUMOS!$A:$D,3,0),""))))</f>
        <v>UN</v>
      </c>
      <c r="F522" s="313">
        <v>17</v>
      </c>
      <c r="G522" s="314">
        <f>IF($C522="","",IFERROR(VLOOKUP($C522,SERVIÇOS!$B:$G,4,0),IFERROR(VLOOKUP($C522,'COMPOSIÇÕES COMPLEMENTARES '!$D:$L,6,0),IFERROR(VLOOKUP($C522,INSUMOS!$A:$D,4,0),""))))</f>
        <v>19.2</v>
      </c>
      <c r="H522" s="314">
        <f>IF($C522="","",IFERROR(VLOOKUP($C522,SERVIÇOS!$B:$G,5,0),IFERROR(VLOOKUP($C522,'COMPOSIÇÕES COMPLEMENTARES '!$D:$L,7,0),0)))</f>
        <v>17.82</v>
      </c>
      <c r="I522" s="314">
        <f t="shared" ref="I522:I585" si="50">IF(F522="","",G522+H522)</f>
        <v>37.019999999999996</v>
      </c>
      <c r="J522" s="314">
        <f t="shared" ref="J522:J585" si="51">IF(F522="","",TRUNC((F522*G522),2))</f>
        <v>326.39999999999998</v>
      </c>
      <c r="K522" s="314">
        <f t="shared" ref="K522:K585" si="52">IF(F522="","",TRUNC((F522*H522),2))</f>
        <v>302.94</v>
      </c>
      <c r="L522" s="948">
        <f t="shared" ref="L522:L585" si="53">IF(F522="","",TRUNC((J522+K522),2))</f>
        <v>629.34</v>
      </c>
      <c r="M522" s="374">
        <f t="shared" si="48"/>
        <v>5579347.6000000117</v>
      </c>
      <c r="N522" s="375">
        <f>+M522/L$815</f>
        <v>0.98790735434895216</v>
      </c>
      <c r="O522" s="376" t="str">
        <f>IF(N522&lt;0.5,"A",IF(N522&gt;0.8,"C","B"))</f>
        <v>C</v>
      </c>
    </row>
    <row r="523" spans="1:15" x14ac:dyDescent="0.25">
      <c r="A523" s="232">
        <f t="shared" si="49"/>
        <v>523</v>
      </c>
      <c r="B523" s="232"/>
      <c r="C523" s="310" t="s">
        <v>12190</v>
      </c>
      <c r="D523" s="373" t="str">
        <f>IF($C523="","",IFERROR(VLOOKUP($C523,SERVIÇOS!$B:$G,2,0),IFERROR(VLOOKUP($C523,'COMPOSIÇÕES COMPLEMENTARES '!$D:$L,2,0),IFERROR(VLOOKUP($C523,INSUMOS!$A:$D,2,0),""))))</f>
        <v xml:space="preserve">TAMPÃO E ARO DE FERRO FUNDIDO MEDIDO 60X60X60CM </v>
      </c>
      <c r="E523" s="312" t="str">
        <f>IF($C523="","",IFERROR(VLOOKUP($C523,SERVIÇOS!$B:$G,3,0),IFERROR(VLOOKUP($C523,'COMPOSIÇÕES COMPLEMENTARES '!$D:$L,3,0),IFERROR(VLOOKUP($C523,INSUMOS!$A:$D,3,0),""))))</f>
        <v>UN</v>
      </c>
      <c r="F523" s="313">
        <v>1</v>
      </c>
      <c r="G523" s="314">
        <f>IF($C523="","",IFERROR(VLOOKUP($C523,SERVIÇOS!$B:$G,4,0),IFERROR(VLOOKUP($C523,'COMPOSIÇÕES COMPLEMENTARES '!$D:$L,6,0),IFERROR(VLOOKUP($C523,INSUMOS!$A:$D,4,0),""))))</f>
        <v>490.83</v>
      </c>
      <c r="H523" s="314">
        <f>IF($C523="","",IFERROR(VLOOKUP($C523,SERVIÇOS!$B:$G,5,0),IFERROR(VLOOKUP($C523,'COMPOSIÇÕES COMPLEMENTARES '!$D:$L,7,0),0)))</f>
        <v>133.79</v>
      </c>
      <c r="I523" s="314">
        <f t="shared" si="50"/>
        <v>624.62</v>
      </c>
      <c r="J523" s="314">
        <f t="shared" si="51"/>
        <v>490.83</v>
      </c>
      <c r="K523" s="314">
        <f t="shared" si="52"/>
        <v>133.79</v>
      </c>
      <c r="L523" s="948">
        <f t="shared" si="53"/>
        <v>624.62</v>
      </c>
      <c r="M523" s="374">
        <f t="shared" ref="M523:M586" si="54">+L523+M522</f>
        <v>5579972.2200000118</v>
      </c>
      <c r="N523" s="375">
        <f>+M523/L$815</f>
        <v>0.98801795270845805</v>
      </c>
      <c r="O523" s="376" t="str">
        <f>IF(N523&lt;0.5,"A",IF(N523&gt;0.8,"C","B"))</f>
        <v>C</v>
      </c>
    </row>
    <row r="524" spans="1:15" x14ac:dyDescent="0.25">
      <c r="A524" s="232">
        <f t="shared" si="49"/>
        <v>524</v>
      </c>
      <c r="B524" s="232"/>
      <c r="C524" s="310" t="s">
        <v>12190</v>
      </c>
      <c r="D524" s="373" t="str">
        <f>IF($C524="","",IFERROR(VLOOKUP($C524,SERVIÇOS!$B:$G,2,0),IFERROR(VLOOKUP($C524,'COMPOSIÇÕES COMPLEMENTARES '!$D:$L,2,0),IFERROR(VLOOKUP($C524,INSUMOS!$A:$D,2,0),""))))</f>
        <v xml:space="preserve">TAMPÃO E ARO DE FERRO FUNDIDO MEDIDO 60X60X60CM </v>
      </c>
      <c r="E524" s="312" t="str">
        <f>IF($C524="","",IFERROR(VLOOKUP($C524,SERVIÇOS!$B:$G,3,0),IFERROR(VLOOKUP($C524,'COMPOSIÇÕES COMPLEMENTARES '!$D:$L,3,0),IFERROR(VLOOKUP($C524,INSUMOS!$A:$D,3,0),""))))</f>
        <v>UN</v>
      </c>
      <c r="F524" s="313">
        <v>1</v>
      </c>
      <c r="G524" s="314">
        <f>IF($C524="","",IFERROR(VLOOKUP($C524,SERVIÇOS!$B:$G,4,0),IFERROR(VLOOKUP($C524,'COMPOSIÇÕES COMPLEMENTARES '!$D:$L,6,0),IFERROR(VLOOKUP($C524,INSUMOS!$A:$D,4,0),""))))</f>
        <v>490.83</v>
      </c>
      <c r="H524" s="314">
        <f>IF($C524="","",IFERROR(VLOOKUP($C524,SERVIÇOS!$B:$G,5,0),IFERROR(VLOOKUP($C524,'COMPOSIÇÕES COMPLEMENTARES '!$D:$L,7,0),0)))</f>
        <v>133.79</v>
      </c>
      <c r="I524" s="314">
        <f t="shared" si="50"/>
        <v>624.62</v>
      </c>
      <c r="J524" s="314">
        <f t="shared" si="51"/>
        <v>490.83</v>
      </c>
      <c r="K524" s="314">
        <f t="shared" si="52"/>
        <v>133.79</v>
      </c>
      <c r="L524" s="948">
        <f t="shared" si="53"/>
        <v>624.62</v>
      </c>
      <c r="M524" s="374">
        <f t="shared" si="54"/>
        <v>5580596.840000012</v>
      </c>
      <c r="N524" s="375">
        <f>+M524/L$815</f>
        <v>0.98812855106796404</v>
      </c>
      <c r="O524" s="376" t="str">
        <f>IF(N524&lt;0.5,"A",IF(N524&gt;0.8,"C","B"))</f>
        <v>C</v>
      </c>
    </row>
    <row r="525" spans="1:15" x14ac:dyDescent="0.25">
      <c r="A525" s="232">
        <f t="shared" si="49"/>
        <v>525</v>
      </c>
      <c r="B525" s="232"/>
      <c r="C525" s="310" t="s">
        <v>12210</v>
      </c>
      <c r="D525" s="377" t="str">
        <f>IF($C525="","",IFERROR(VLOOKUP($C525,SERVIÇOS!$B:$G,2,0),IFERROR(VLOOKUP($C525,'COMPOSIÇÕES COMPLEMENTARES '!$D:$L,2,0),IFERROR(VLOOKUP($C525,INSUMOS!$A:$D,2,0),""))))</f>
        <v>PROJETOR PARA LÂMPADA ELETRÔNICA LED 50W/220V, PARA ILUMINAÇÃO EXTERNA COM RELÉ FOTIMER(FOTOELETRICO + TEMPORIZADO).</v>
      </c>
      <c r="E525" s="312" t="str">
        <f>IF($C525="","",IFERROR(VLOOKUP($C525,SERVIÇOS!$B:$G,3,0),IFERROR(VLOOKUP($C525,'COMPOSIÇÕES COMPLEMENTARES '!$D:$L,3,0),IFERROR(VLOOKUP($C525,INSUMOS!$A:$D,3,0),""))))</f>
        <v>UN</v>
      </c>
      <c r="F525" s="313">
        <v>4</v>
      </c>
      <c r="G525" s="314">
        <f>IF($C525="","",IFERROR(VLOOKUP($C525,SERVIÇOS!$B:$G,4,0),IFERROR(VLOOKUP($C525,'COMPOSIÇÕES COMPLEMENTARES '!$D:$L,6,0),IFERROR(VLOOKUP($C525,INSUMOS!$A:$D,4,0),""))))</f>
        <v>138.43</v>
      </c>
      <c r="H525" s="314">
        <f>IF($C525="","",IFERROR(VLOOKUP($C525,SERVIÇOS!$B:$G,5,0),IFERROR(VLOOKUP($C525,'COMPOSIÇÕES COMPLEMENTARES '!$D:$L,7,0),0)))</f>
        <v>17.5</v>
      </c>
      <c r="I525" s="314">
        <f t="shared" si="50"/>
        <v>155.93</v>
      </c>
      <c r="J525" s="314">
        <f t="shared" si="51"/>
        <v>553.72</v>
      </c>
      <c r="K525" s="314">
        <f t="shared" si="52"/>
        <v>70</v>
      </c>
      <c r="L525" s="948">
        <f t="shared" si="53"/>
        <v>623.72</v>
      </c>
      <c r="M525" s="374">
        <f t="shared" si="54"/>
        <v>5581220.5600000117</v>
      </c>
      <c r="N525" s="375">
        <f>+M525/L$815</f>
        <v>0.98823899006894234</v>
      </c>
      <c r="O525" s="376" t="str">
        <f>IF(N525&lt;0.5,"A",IF(N525&gt;0.8,"C","B"))</f>
        <v>C</v>
      </c>
    </row>
    <row r="526" spans="1:15" x14ac:dyDescent="0.25">
      <c r="A526" s="232">
        <f t="shared" si="49"/>
        <v>526</v>
      </c>
      <c r="B526" s="232"/>
      <c r="C526" s="310" t="s">
        <v>12323</v>
      </c>
      <c r="D526" s="373" t="str">
        <f>IF($C526="","",IFERROR(VLOOKUP($C526,SERVIÇOS!$B:$G,2,0),IFERROR(VLOOKUP($C526,'COMPOSIÇÕES COMPLEMENTARES '!$D:$L,2,0),IFERROR(VLOOKUP($C526,INSUMOS!$A:$D,2,0),""))))</f>
        <v>ELETRODUTO DE PVC RÍGIDO 32 MM (1"), INCLUSO CONEXÕES - FORNECIMENTO E INSTALAÇÃO</v>
      </c>
      <c r="E526" s="312" t="str">
        <f>IF($C526="","",IFERROR(VLOOKUP($C526,SERVIÇOS!$B:$G,3,0),IFERROR(VLOOKUP($C526,'COMPOSIÇÕES COMPLEMENTARES '!$D:$L,3,0),IFERROR(VLOOKUP($C526,INSUMOS!$A:$D,3,0),""))))</f>
        <v>M</v>
      </c>
      <c r="F526" s="313">
        <v>20</v>
      </c>
      <c r="G526" s="314">
        <f>IF($C526="","",IFERROR(VLOOKUP($C526,SERVIÇOS!$B:$G,4,0),IFERROR(VLOOKUP($C526,'COMPOSIÇÕES COMPLEMENTARES '!$D:$L,6,0),IFERROR(VLOOKUP($C526,INSUMOS!$A:$D,4,0),""))))</f>
        <v>20.02</v>
      </c>
      <c r="H526" s="314">
        <f>IF($C526="","",IFERROR(VLOOKUP($C526,SERVIÇOS!$B:$G,5,0),IFERROR(VLOOKUP($C526,'COMPOSIÇÕES COMPLEMENTARES '!$D:$L,7,0),0)))</f>
        <v>10.89</v>
      </c>
      <c r="I526" s="314">
        <f t="shared" si="50"/>
        <v>30.91</v>
      </c>
      <c r="J526" s="314">
        <f t="shared" si="51"/>
        <v>400.4</v>
      </c>
      <c r="K526" s="314">
        <f t="shared" si="52"/>
        <v>217.8</v>
      </c>
      <c r="L526" s="948">
        <f t="shared" si="53"/>
        <v>618.20000000000005</v>
      </c>
      <c r="M526" s="374">
        <f t="shared" si="54"/>
        <v>5581838.7600000119</v>
      </c>
      <c r="N526" s="375">
        <f>+M526/L$815</f>
        <v>0.98834845167095087</v>
      </c>
      <c r="O526" s="376" t="str">
        <f>IF(N526&lt;0.5,"A",IF(N526&gt;0.8,"C","B"))</f>
        <v>C</v>
      </c>
    </row>
    <row r="527" spans="1:15" x14ac:dyDescent="0.25">
      <c r="A527" s="232">
        <f t="shared" si="49"/>
        <v>527</v>
      </c>
      <c r="B527" s="232"/>
      <c r="C527" s="310" t="s">
        <v>12350</v>
      </c>
      <c r="D527" s="373" t="str">
        <f>IF($C527="","",IFERROR(VLOOKUP($C527,SERVIÇOS!$B:$G,2,0),IFERROR(VLOOKUP($C527,'COMPOSIÇÕES COMPLEMENTARES '!$D:$L,2,0),IFERROR(VLOOKUP($C527,INSUMOS!$A:$D,2,0),""))))</f>
        <v>PINTURA EM ESMALTE SINTÉTICO VERDE-EMBLEMA PADRÃO MUNSELL 2,5 G 4/8 EM LATA DE 3,6 LITROS</v>
      </c>
      <c r="E527" s="312" t="str">
        <f>IF($C527="","",IFERROR(VLOOKUP($C527,SERVIÇOS!$B:$G,3,0),IFERROR(VLOOKUP($C527,'COMPOSIÇÕES COMPLEMENTARES '!$D:$L,3,0),IFERROR(VLOOKUP($C527,INSUMOS!$A:$D,3,0),""))))</f>
        <v>M</v>
      </c>
      <c r="F527" s="313">
        <v>153</v>
      </c>
      <c r="G527" s="314">
        <f>IF($C527="","",IFERROR(VLOOKUP($C527,SERVIÇOS!$B:$G,4,0),IFERROR(VLOOKUP($C527,'COMPOSIÇÕES COMPLEMENTARES '!$D:$L,6,0),IFERROR(VLOOKUP($C527,INSUMOS!$A:$D,4,0),""))))</f>
        <v>2.0299999999999998</v>
      </c>
      <c r="H527" s="314">
        <f>IF($C527="","",IFERROR(VLOOKUP($C527,SERVIÇOS!$B:$G,5,0),IFERROR(VLOOKUP($C527,'COMPOSIÇÕES COMPLEMENTARES '!$D:$L,7,0),0)))</f>
        <v>1.99</v>
      </c>
      <c r="I527" s="314">
        <f t="shared" si="50"/>
        <v>4.0199999999999996</v>
      </c>
      <c r="J527" s="314">
        <f t="shared" si="51"/>
        <v>310.58999999999997</v>
      </c>
      <c r="K527" s="314">
        <f t="shared" si="52"/>
        <v>304.47000000000003</v>
      </c>
      <c r="L527" s="948">
        <f t="shared" si="53"/>
        <v>615.05999999999995</v>
      </c>
      <c r="M527" s="374">
        <f t="shared" si="54"/>
        <v>5582453.8200000115</v>
      </c>
      <c r="N527" s="375">
        <f>+M527/L$815</f>
        <v>0.98845735728876283</v>
      </c>
      <c r="O527" s="376" t="str">
        <f>IF(N527&lt;0.5,"A",IF(N527&gt;0.8,"C","B"))</f>
        <v>C</v>
      </c>
    </row>
    <row r="528" spans="1:15" x14ac:dyDescent="0.25">
      <c r="A528" s="232">
        <f t="shared" si="49"/>
        <v>528</v>
      </c>
      <c r="B528" s="232"/>
      <c r="C528" s="310" t="s">
        <v>12404</v>
      </c>
      <c r="D528" s="373" t="str">
        <f>IF($C528="","",IFERROR(VLOOKUP($C528,SERVIÇOS!$B:$G,2,0),IFERROR(VLOOKUP($C528,'COMPOSIÇÕES COMPLEMENTARES '!$D:$L,2,0),IFERROR(VLOOKUP($C528,INSUMOS!$A:$D,2,0),""))))</f>
        <v>KIT REFINET PARA CONEXÃO DE UNIDADES INTERNAS MARCA DAIKIN (OU EQUIVALENTE TÉCNICO) MODELO KHRP26A72T</v>
      </c>
      <c r="E528" s="312" t="str">
        <f>IF($C528="","",IFERROR(VLOOKUP($C528,SERVIÇOS!$B:$G,3,0),IFERROR(VLOOKUP($C528,'COMPOSIÇÕES COMPLEMENTARES '!$D:$L,3,0),IFERROR(VLOOKUP($C528,INSUMOS!$A:$D,3,0),""))))</f>
        <v>UN</v>
      </c>
      <c r="F528" s="313">
        <v>1</v>
      </c>
      <c r="G528" s="314">
        <f>IF($C528="","",IFERROR(VLOOKUP($C528,SERVIÇOS!$B:$G,4,0),IFERROR(VLOOKUP($C528,'COMPOSIÇÕES COMPLEMENTARES '!$D:$L,6,0),IFERROR(VLOOKUP($C528,INSUMOS!$A:$D,4,0),""))))</f>
        <v>586.42999999999995</v>
      </c>
      <c r="H528" s="314">
        <f>IF($C528="","",IFERROR(VLOOKUP($C528,SERVIÇOS!$B:$G,5,0),IFERROR(VLOOKUP($C528,'COMPOSIÇÕES COMPLEMENTARES '!$D:$L,7,0),0)))</f>
        <v>7.38</v>
      </c>
      <c r="I528" s="314">
        <f t="shared" si="50"/>
        <v>593.80999999999995</v>
      </c>
      <c r="J528" s="314">
        <f t="shared" si="51"/>
        <v>586.42999999999995</v>
      </c>
      <c r="K528" s="314">
        <f t="shared" si="52"/>
        <v>7.38</v>
      </c>
      <c r="L528" s="948">
        <f t="shared" si="53"/>
        <v>593.80999999999995</v>
      </c>
      <c r="M528" s="374">
        <f t="shared" si="54"/>
        <v>5583047.6300000111</v>
      </c>
      <c r="N528" s="375">
        <f>+M528/L$815</f>
        <v>0.9885625002746713</v>
      </c>
      <c r="O528" s="376" t="str">
        <f>IF(N528&lt;0.5,"A",IF(N528&gt;0.8,"C","B"))</f>
        <v>C</v>
      </c>
    </row>
    <row r="529" spans="1:15" x14ac:dyDescent="0.25">
      <c r="A529" s="232">
        <f t="shared" si="49"/>
        <v>529</v>
      </c>
      <c r="B529" s="232"/>
      <c r="C529" s="310" t="s">
        <v>12255</v>
      </c>
      <c r="D529" s="373" t="str">
        <f>IF($C529="","",IFERROR(VLOOKUP($C529,SERVIÇOS!$B:$G,2,0),IFERROR(VLOOKUP($C529,'COMPOSIÇÕES COMPLEMENTARES '!$D:$L,2,0),IFERROR(VLOOKUP($C529,INSUMOS!$A:$D,2,0),""))))</f>
        <v>QF-VÁCUO - QUADRO DE COMANDO 40X40X15CM PARA ESPERA DOS CABOS DA CENTRAL DE VÁCUO</v>
      </c>
      <c r="E529" s="312" t="str">
        <f>IF($C529="","",IFERROR(VLOOKUP($C529,SERVIÇOS!$B:$G,3,0),IFERROR(VLOOKUP($C529,'COMPOSIÇÕES COMPLEMENTARES '!$D:$L,3,0),IFERROR(VLOOKUP($C529,INSUMOS!$A:$D,3,0),""))))</f>
        <v>UN</v>
      </c>
      <c r="F529" s="313">
        <v>1</v>
      </c>
      <c r="G529" s="314">
        <f>IF($C529="","",IFERROR(VLOOKUP($C529,SERVIÇOS!$B:$G,4,0),IFERROR(VLOOKUP($C529,'COMPOSIÇÕES COMPLEMENTARES '!$D:$L,6,0),IFERROR(VLOOKUP($C529,INSUMOS!$A:$D,4,0),""))))</f>
        <v>552.09</v>
      </c>
      <c r="H529" s="314">
        <f>IF($C529="","",IFERROR(VLOOKUP($C529,SERVIÇOS!$B:$G,5,0),IFERROR(VLOOKUP($C529,'COMPOSIÇÕES COMPLEMENTARES '!$D:$L,7,0),0)))</f>
        <v>35.61</v>
      </c>
      <c r="I529" s="314">
        <f t="shared" si="50"/>
        <v>587.70000000000005</v>
      </c>
      <c r="J529" s="314">
        <f t="shared" si="51"/>
        <v>552.09</v>
      </c>
      <c r="K529" s="314">
        <f t="shared" si="52"/>
        <v>35.61</v>
      </c>
      <c r="L529" s="948">
        <f t="shared" si="53"/>
        <v>587.70000000000005</v>
      </c>
      <c r="M529" s="374">
        <f t="shared" si="54"/>
        <v>5583635.3300000113</v>
      </c>
      <c r="N529" s="375">
        <f>+M529/L$815</f>
        <v>0.98866656139324205</v>
      </c>
      <c r="O529" s="376" t="str">
        <f>IF(N529&lt;0.5,"A",IF(N529&gt;0.8,"C","B"))</f>
        <v>C</v>
      </c>
    </row>
    <row r="530" spans="1:15" x14ac:dyDescent="0.25">
      <c r="A530" s="232">
        <f t="shared" si="49"/>
        <v>530</v>
      </c>
      <c r="B530" s="232"/>
      <c r="C530" s="310" t="s">
        <v>12299</v>
      </c>
      <c r="D530" s="373" t="str">
        <f>IF($C530="","",IFERROR(VLOOKUP($C530,SERVIÇOS!$B:$G,2,0),IFERROR(VLOOKUP($C530,'COMPOSIÇÕES COMPLEMENTARES '!$D:$L,2,0),IFERROR(VLOOKUP($C530,INSUMOS!$A:$D,2,0),""))))</f>
        <v>QF-RX - QUADRO DE COMANDO 60X50X25CM PARA ESPERA DOS CABOS RX</v>
      </c>
      <c r="E530" s="312" t="str">
        <f>IF($C530="","",IFERROR(VLOOKUP($C530,SERVIÇOS!$B:$G,3,0),IFERROR(VLOOKUP($C530,'COMPOSIÇÕES COMPLEMENTARES '!$D:$L,3,0),IFERROR(VLOOKUP($C530,INSUMOS!$A:$D,3,0),""))))</f>
        <v>UN</v>
      </c>
      <c r="F530" s="313">
        <v>1</v>
      </c>
      <c r="G530" s="314">
        <f>IF($C530="","",IFERROR(VLOOKUP($C530,SERVIÇOS!$B:$G,4,0),IFERROR(VLOOKUP($C530,'COMPOSIÇÕES COMPLEMENTARES '!$D:$L,6,0),IFERROR(VLOOKUP($C530,INSUMOS!$A:$D,4,0),""))))</f>
        <v>552.09</v>
      </c>
      <c r="H530" s="314">
        <f>IF($C530="","",IFERROR(VLOOKUP($C530,SERVIÇOS!$B:$G,5,0),IFERROR(VLOOKUP($C530,'COMPOSIÇÕES COMPLEMENTARES '!$D:$L,7,0),0)))</f>
        <v>35.61</v>
      </c>
      <c r="I530" s="314">
        <f t="shared" si="50"/>
        <v>587.70000000000005</v>
      </c>
      <c r="J530" s="314">
        <f t="shared" si="51"/>
        <v>552.09</v>
      </c>
      <c r="K530" s="314">
        <f t="shared" si="52"/>
        <v>35.61</v>
      </c>
      <c r="L530" s="948">
        <f t="shared" si="53"/>
        <v>587.70000000000005</v>
      </c>
      <c r="M530" s="374">
        <f t="shared" si="54"/>
        <v>5584223.0300000114</v>
      </c>
      <c r="N530" s="375">
        <f>+M530/L$815</f>
        <v>0.9887706225118128</v>
      </c>
      <c r="O530" s="376" t="str">
        <f>IF(N530&lt;0.5,"A",IF(N530&gt;0.8,"C","B"))</f>
        <v>C</v>
      </c>
    </row>
    <row r="531" spans="1:15" x14ac:dyDescent="0.25">
      <c r="A531" s="232">
        <f t="shared" si="49"/>
        <v>531</v>
      </c>
      <c r="B531" s="232"/>
      <c r="C531" s="310" t="s">
        <v>12405</v>
      </c>
      <c r="D531" s="373" t="str">
        <f>IF($C531="","",IFERROR(VLOOKUP($C531,SERVIÇOS!$B:$G,2,0),IFERROR(VLOOKUP($C531,'COMPOSIÇÕES COMPLEMENTARES '!$D:$L,2,0),IFERROR(VLOOKUP($C531,INSUMOS!$A:$D,2,0),""))))</f>
        <v>KIT REFINET PARA CONEXÃO DE UNIDADES EXTERNAS MARCA DAIKIN  (OU EQUIVALENTE TÉCNICO) MODELO BHFP22P151</v>
      </c>
      <c r="E531" s="312" t="str">
        <f>IF($C531="","",IFERROR(VLOOKUP($C531,SERVIÇOS!$B:$G,3,0),IFERROR(VLOOKUP($C531,'COMPOSIÇÕES COMPLEMENTARES '!$D:$L,3,0),IFERROR(VLOOKUP($C531,INSUMOS!$A:$D,3,0),""))))</f>
        <v>UN</v>
      </c>
      <c r="F531" s="313">
        <v>1</v>
      </c>
      <c r="G531" s="314">
        <f>IF($C531="","",IFERROR(VLOOKUP($C531,SERVIÇOS!$B:$G,4,0),IFERROR(VLOOKUP($C531,'COMPOSIÇÕES COMPLEMENTARES '!$D:$L,6,0),IFERROR(VLOOKUP($C531,INSUMOS!$A:$D,4,0),""))))</f>
        <v>439.81</v>
      </c>
      <c r="H531" s="314">
        <f>IF($C531="","",IFERROR(VLOOKUP($C531,SERVIÇOS!$B:$G,5,0),IFERROR(VLOOKUP($C531,'COMPOSIÇÕES COMPLEMENTARES '!$D:$L,7,0),0)))</f>
        <v>145.83000000000001</v>
      </c>
      <c r="I531" s="314">
        <f t="shared" si="50"/>
        <v>585.64</v>
      </c>
      <c r="J531" s="314">
        <f t="shared" si="51"/>
        <v>439.81</v>
      </c>
      <c r="K531" s="314">
        <f t="shared" si="52"/>
        <v>145.83000000000001</v>
      </c>
      <c r="L531" s="948">
        <f t="shared" si="53"/>
        <v>585.64</v>
      </c>
      <c r="M531" s="374">
        <f t="shared" si="54"/>
        <v>5584808.6700000111</v>
      </c>
      <c r="N531" s="375">
        <f>+M531/L$815</f>
        <v>0.98887431887642019</v>
      </c>
      <c r="O531" s="376" t="str">
        <f>IF(N531&lt;0.5,"A",IF(N531&gt;0.8,"C","B"))</f>
        <v>C</v>
      </c>
    </row>
    <row r="532" spans="1:15" ht="25.5" x14ac:dyDescent="0.25">
      <c r="A532" s="232">
        <f t="shared" si="49"/>
        <v>532</v>
      </c>
      <c r="B532" s="232"/>
      <c r="C532" s="310">
        <v>91940</v>
      </c>
      <c r="D532" s="373" t="str">
        <f>IF($C532="","",IFERROR(VLOOKUP($C532,SERVIÇOS!$B:$G,2,0),IFERROR(VLOOKUP($C532,'COMPOSIÇÕES COMPLEMENTARES '!$D:$L,2,0),IFERROR(VLOOKUP($C532,INSUMOS!$A:$D,2,0),""))))</f>
        <v>CAIXA RETANGULAR 4" X 2" MÉDIA (1,30 M DO PISO), PVC, INSTALADA EM PAREDE - FORNECIMENTO E INSTALAÇÃO. AF_03/2023</v>
      </c>
      <c r="E532" s="312" t="str">
        <f>IF($C532="","",IFERROR(VLOOKUP($C532,SERVIÇOS!$B:$G,3,0),IFERROR(VLOOKUP($C532,'COMPOSIÇÕES COMPLEMENTARES '!$D:$L,3,0),IFERROR(VLOOKUP($C532,INSUMOS!$A:$D,3,0),""))))</f>
        <v>UN</v>
      </c>
      <c r="F532" s="313">
        <v>24</v>
      </c>
      <c r="G532" s="314">
        <f>IF($C532="","",IFERROR(VLOOKUP($C532,SERVIÇOS!$B:$G,4,0),IFERROR(VLOOKUP($C532,'COMPOSIÇÕES COMPLEMENTARES '!$D:$L,6,0),IFERROR(VLOOKUP($C532,INSUMOS!$A:$D,4,0),""))))</f>
        <v>9.7799999999999994</v>
      </c>
      <c r="H532" s="314">
        <f>IF($C532="","",IFERROR(VLOOKUP($C532,SERVIÇOS!$B:$G,5,0),IFERROR(VLOOKUP($C532,'COMPOSIÇÕES COMPLEMENTARES '!$D:$L,7,0),0)))</f>
        <v>14.56</v>
      </c>
      <c r="I532" s="314">
        <f t="shared" si="50"/>
        <v>24.34</v>
      </c>
      <c r="J532" s="314">
        <f t="shared" si="51"/>
        <v>234.72</v>
      </c>
      <c r="K532" s="314">
        <f t="shared" si="52"/>
        <v>349.44</v>
      </c>
      <c r="L532" s="948">
        <f t="shared" si="53"/>
        <v>584.16</v>
      </c>
      <c r="M532" s="374">
        <f t="shared" si="54"/>
        <v>5585392.8300000113</v>
      </c>
      <c r="N532" s="375">
        <f>+M532/L$815</f>
        <v>0.98897775318478209</v>
      </c>
      <c r="O532" s="376" t="str">
        <f>IF(N532&lt;0.5,"A",IF(N532&gt;0.8,"C","B"))</f>
        <v>C</v>
      </c>
    </row>
    <row r="533" spans="1:15" ht="25.5" x14ac:dyDescent="0.25">
      <c r="A533" s="232">
        <f t="shared" si="49"/>
        <v>533</v>
      </c>
      <c r="B533" s="232"/>
      <c r="C533" s="310">
        <v>97888</v>
      </c>
      <c r="D533" s="373" t="str">
        <f>IF($C533="","",IFERROR(VLOOKUP($C533,SERVIÇOS!$B:$G,2,0),IFERROR(VLOOKUP($C533,'COMPOSIÇÕES COMPLEMENTARES '!$D:$L,2,0),IFERROR(VLOOKUP($C533,INSUMOS!$A:$D,2,0),""))))</f>
        <v>CAIXA ENTERRADA ELÉTRICA RETANGULAR, EM ALVENARIA COM TIJOLOS CERÂMICOS MACIÇOS, FUNDO COM BRITA, DIMENSÕES INTERNAS: 0,6X0,6X0,6 M. AF_12/2020</v>
      </c>
      <c r="E533" s="312" t="str">
        <f>IF($C533="","",IFERROR(VLOOKUP($C533,SERVIÇOS!$B:$G,3,0),IFERROR(VLOOKUP($C533,'COMPOSIÇÕES COMPLEMENTARES '!$D:$L,3,0),IFERROR(VLOOKUP($C533,INSUMOS!$A:$D,3,0),""))))</f>
        <v>UN</v>
      </c>
      <c r="F533" s="313">
        <v>1</v>
      </c>
      <c r="G533" s="314">
        <f>IF($C533="","",IFERROR(VLOOKUP($C533,SERVIÇOS!$B:$G,4,0),IFERROR(VLOOKUP($C533,'COMPOSIÇÕES COMPLEMENTARES '!$D:$L,6,0),IFERROR(VLOOKUP($C533,INSUMOS!$A:$D,4,0),""))))</f>
        <v>291.77999999999997</v>
      </c>
      <c r="H533" s="314">
        <f>IF($C533="","",IFERROR(VLOOKUP($C533,SERVIÇOS!$B:$G,5,0),IFERROR(VLOOKUP($C533,'COMPOSIÇÕES COMPLEMENTARES '!$D:$L,7,0),0)))</f>
        <v>283.60000000000002</v>
      </c>
      <c r="I533" s="314">
        <f t="shared" si="50"/>
        <v>575.38</v>
      </c>
      <c r="J533" s="314">
        <f t="shared" si="51"/>
        <v>291.77999999999997</v>
      </c>
      <c r="K533" s="314">
        <f t="shared" si="52"/>
        <v>283.60000000000002</v>
      </c>
      <c r="L533" s="948">
        <f t="shared" si="53"/>
        <v>575.38</v>
      </c>
      <c r="M533" s="374">
        <f t="shared" si="54"/>
        <v>5585968.2100000111</v>
      </c>
      <c r="N533" s="375">
        <f>+M533/L$815</f>
        <v>0.98907963286217393</v>
      </c>
      <c r="O533" s="376" t="str">
        <f>IF(N533&lt;0.5,"A",IF(N533&gt;0.8,"C","B"))</f>
        <v>C</v>
      </c>
    </row>
    <row r="534" spans="1:15" ht="25.5" x14ac:dyDescent="0.25">
      <c r="A534" s="232">
        <f t="shared" si="49"/>
        <v>534</v>
      </c>
      <c r="B534" s="232"/>
      <c r="C534" s="310">
        <v>92543</v>
      </c>
      <c r="D534" s="373" t="str">
        <f>IF($C534="","",IFERROR(VLOOKUP($C534,SERVIÇOS!$B:$G,2,0),IFERROR(VLOOKUP($C534,'COMPOSIÇÕES COMPLEMENTARES '!$D:$L,2,0),IFERROR(VLOOKUP($C534,INSUMOS!$A:$D,2,0),""))))</f>
        <v>TRAMA DE MADEIRA COMPOSTA POR TERÇAS PARA TELHADOS DE ATÉ 2 ÁGUAS PARA TELHA ONDULADA DE FIBROCIMENTO, METÁLICA, PLÁSTICA OU TERMOACÚSTICA, INCLUSO TRANSPORTE VERTICAL. AF_07/2019</v>
      </c>
      <c r="E534" s="312" t="str">
        <f>IF($C534="","",IFERROR(VLOOKUP($C534,SERVIÇOS!$B:$G,3,0),IFERROR(VLOOKUP($C534,'COMPOSIÇÕES COMPLEMENTARES '!$D:$L,3,0),IFERROR(VLOOKUP($C534,INSUMOS!$A:$D,3,0),""))))</f>
        <v>M2</v>
      </c>
      <c r="F534" s="313">
        <v>20.67</v>
      </c>
      <c r="G534" s="314">
        <f>IF($C534="","",IFERROR(VLOOKUP($C534,SERVIÇOS!$B:$G,4,0),IFERROR(VLOOKUP($C534,'COMPOSIÇÕES COMPLEMENTARES '!$D:$L,6,0),IFERROR(VLOOKUP($C534,INSUMOS!$A:$D,4,0),""))))</f>
        <v>22.87</v>
      </c>
      <c r="H534" s="314">
        <f>IF($C534="","",IFERROR(VLOOKUP($C534,SERVIÇOS!$B:$G,5,0),IFERROR(VLOOKUP($C534,'COMPOSIÇÕES COMPLEMENTARES '!$D:$L,7,0),0)))</f>
        <v>4.8600000000000003</v>
      </c>
      <c r="I534" s="314">
        <f t="shared" si="50"/>
        <v>27.73</v>
      </c>
      <c r="J534" s="314">
        <f t="shared" si="51"/>
        <v>472.72</v>
      </c>
      <c r="K534" s="314">
        <f t="shared" si="52"/>
        <v>100.45</v>
      </c>
      <c r="L534" s="948">
        <f t="shared" si="53"/>
        <v>573.16999999999996</v>
      </c>
      <c r="M534" s="374">
        <f t="shared" si="54"/>
        <v>5586541.3800000111</v>
      </c>
      <c r="N534" s="375">
        <f>+M534/L$815</f>
        <v>0.98918112122584789</v>
      </c>
      <c r="O534" s="376" t="str">
        <f>IF(N534&lt;0.5,"A",IF(N534&gt;0.8,"C","B"))</f>
        <v>C</v>
      </c>
    </row>
    <row r="535" spans="1:15" ht="38.25" x14ac:dyDescent="0.25">
      <c r="A535" s="232">
        <f t="shared" si="49"/>
        <v>535</v>
      </c>
      <c r="B535" s="232"/>
      <c r="C535" s="310" t="s">
        <v>11970</v>
      </c>
      <c r="D535" s="373" t="str">
        <f>IF($C535="","",IFERROR(VLOOKUP($C535,SERVIÇOS!$B:$G,2,0),IFERROR(VLOOKUP($C535,'COMPOSIÇÕES COMPLEMENTARES '!$D:$L,2,0),IFERROR(VLOOKUP($C535,INSUMOS!$A:$D,2,0),""))))</f>
        <v>FABRICAÇÃO E INSTALAÇÃO DE ESTRUTURA PONTALETADA DE MADEIRA NÃO APARELHADA PARA TELHADOS COM ATÉ 2 ÁGUAS E PARA TELHA ONDULADA DE FIBROCIMENTO, METÁLICA, PLÁSTICA OU TERMOACÚSTICA, INCLUSO TRANSPORTE VERTICAL. AF_12/2015</v>
      </c>
      <c r="E535" s="312" t="str">
        <f>IF($C535="","",IFERROR(VLOOKUP($C535,SERVIÇOS!$B:$G,3,0),IFERROR(VLOOKUP($C535,'COMPOSIÇÕES COMPLEMENTARES '!$D:$L,3,0),IFERROR(VLOOKUP($C535,INSUMOS!$A:$D,3,0),""))))</f>
        <v>M2</v>
      </c>
      <c r="F535" s="313">
        <v>20.67</v>
      </c>
      <c r="G535" s="314">
        <f>IF($C535="","",IFERROR(VLOOKUP($C535,SERVIÇOS!$B:$G,4,0),IFERROR(VLOOKUP($C535,'COMPOSIÇÕES COMPLEMENTARES '!$D:$L,6,0),IFERROR(VLOOKUP($C535,INSUMOS!$A:$D,4,0),""))))</f>
        <v>22.52</v>
      </c>
      <c r="H535" s="314">
        <f>IF($C535="","",IFERROR(VLOOKUP($C535,SERVIÇOS!$B:$G,5,0),IFERROR(VLOOKUP($C535,'COMPOSIÇÕES COMPLEMENTARES '!$D:$L,7,0),0)))</f>
        <v>5.0900000000000007</v>
      </c>
      <c r="I535" s="314">
        <f t="shared" si="50"/>
        <v>27.61</v>
      </c>
      <c r="J535" s="314">
        <f t="shared" si="51"/>
        <v>465.48</v>
      </c>
      <c r="K535" s="314">
        <f t="shared" si="52"/>
        <v>105.21</v>
      </c>
      <c r="L535" s="948">
        <f t="shared" si="53"/>
        <v>570.69000000000005</v>
      </c>
      <c r="M535" s="374">
        <f t="shared" si="54"/>
        <v>5587112.0700000115</v>
      </c>
      <c r="N535" s="375">
        <f>+M535/L$815</f>
        <v>0.98928217046824563</v>
      </c>
      <c r="O535" s="376" t="str">
        <f>IF(N535&lt;0.5,"A",IF(N535&gt;0.8,"C","B"))</f>
        <v>C</v>
      </c>
    </row>
    <row r="536" spans="1:15" ht="25.5" x14ac:dyDescent="0.25">
      <c r="A536" s="232">
        <f t="shared" si="49"/>
        <v>536</v>
      </c>
      <c r="B536" s="232"/>
      <c r="C536" s="310" t="s">
        <v>12603</v>
      </c>
      <c r="D536" s="373" t="str">
        <f>IF($C536="","",IFERROR(VLOOKUP($C536,SERVIÇOS!$B:$G,2,0),IFERROR(VLOOKUP($C536,'COMPOSIÇÕES COMPLEMENTARES '!$D:$L,2,0),IFERROR(VLOOKUP($C536,INSUMOS!$A:$D,2,0),""))))</f>
        <v>VENTILADOR COMPACTO AXIAL PARA INSTALAÇÃO EM FORRO - VAZÃO 250M3/H - 220V - 31W - 60HZ. REFERÊNCIA: SICFLUX MEGA 25 OU OUTRO EQUIVALENTE (MULTIVAC). FORNECIMENTO E INSTALAÇÃO</v>
      </c>
      <c r="E536" s="312" t="str">
        <f>IF($C536="","",IFERROR(VLOOKUP($C536,SERVIÇOS!$B:$G,3,0),IFERROR(VLOOKUP($C536,'COMPOSIÇÕES COMPLEMENTARES '!$D:$L,3,0),IFERROR(VLOOKUP($C536,INSUMOS!$A:$D,3,0),""))))</f>
        <v>UN</v>
      </c>
      <c r="F536" s="313">
        <v>1</v>
      </c>
      <c r="G536" s="314">
        <f>IF($C536="","",IFERROR(VLOOKUP($C536,SERVIÇOS!$B:$G,4,0),IFERROR(VLOOKUP($C536,'COMPOSIÇÕES COMPLEMENTARES '!$D:$L,6,0),IFERROR(VLOOKUP($C536,INSUMOS!$A:$D,4,0),""))))</f>
        <v>266.09000000000003</v>
      </c>
      <c r="H536" s="314">
        <f>IF($C536="","",IFERROR(VLOOKUP($C536,SERVIÇOS!$B:$G,5,0),IFERROR(VLOOKUP($C536,'COMPOSIÇÕES COMPLEMENTARES '!$D:$L,7,0),0)))</f>
        <v>291.84000000000003</v>
      </c>
      <c r="I536" s="314">
        <f t="shared" si="50"/>
        <v>557.93000000000006</v>
      </c>
      <c r="J536" s="314">
        <f t="shared" si="51"/>
        <v>266.08999999999997</v>
      </c>
      <c r="K536" s="314">
        <f t="shared" si="52"/>
        <v>291.83999999999997</v>
      </c>
      <c r="L536" s="948">
        <f t="shared" si="53"/>
        <v>557.92999999999995</v>
      </c>
      <c r="M536" s="374">
        <f t="shared" si="54"/>
        <v>5587670.0000000112</v>
      </c>
      <c r="N536" s="375">
        <f>+M536/L$815</f>
        <v>0.98938096036085088</v>
      </c>
      <c r="O536" s="376" t="str">
        <f>IF(N536&lt;0.5,"A",IF(N536&gt;0.8,"C","B"))</f>
        <v>C</v>
      </c>
    </row>
    <row r="537" spans="1:15" x14ac:dyDescent="0.25">
      <c r="A537" s="232">
        <f t="shared" si="49"/>
        <v>537</v>
      </c>
      <c r="B537" s="232"/>
      <c r="C537" s="310">
        <v>91953</v>
      </c>
      <c r="D537" s="373" t="str">
        <f>IF($C537="","",IFERROR(VLOOKUP($C537,SERVIÇOS!$B:$G,2,0),IFERROR(VLOOKUP($C537,'COMPOSIÇÕES COMPLEMENTARES '!$D:$L,2,0),IFERROR(VLOOKUP($C537,INSUMOS!$A:$D,2,0),""))))</f>
        <v>INTERRUPTOR SIMPLES (1 MÓDULO), 10A/250V, INCLUINDO SUPORTE E PLACA - FORNECIMENTO E INSTALAÇÃO. AF_03/2023</v>
      </c>
      <c r="E537" s="312" t="str">
        <f>IF($C537="","",IFERROR(VLOOKUP($C537,SERVIÇOS!$B:$G,3,0),IFERROR(VLOOKUP($C537,'COMPOSIÇÕES COMPLEMENTARES '!$D:$L,3,0),IFERROR(VLOOKUP($C537,INSUMOS!$A:$D,3,0),""))))</f>
        <v>UN</v>
      </c>
      <c r="F537" s="313">
        <v>15</v>
      </c>
      <c r="G537" s="314">
        <f>IF($C537="","",IFERROR(VLOOKUP($C537,SERVIÇOS!$B:$G,4,0),IFERROR(VLOOKUP($C537,'COMPOSIÇÕES COMPLEMENTARES '!$D:$L,6,0),IFERROR(VLOOKUP($C537,INSUMOS!$A:$D,4,0),""))))</f>
        <v>19.2</v>
      </c>
      <c r="H537" s="314">
        <f>IF($C537="","",IFERROR(VLOOKUP($C537,SERVIÇOS!$B:$G,5,0),IFERROR(VLOOKUP($C537,'COMPOSIÇÕES COMPLEMENTARES '!$D:$L,7,0),0)))</f>
        <v>17.82</v>
      </c>
      <c r="I537" s="314">
        <f t="shared" si="50"/>
        <v>37.019999999999996</v>
      </c>
      <c r="J537" s="314">
        <f t="shared" si="51"/>
        <v>288</v>
      </c>
      <c r="K537" s="314">
        <f t="shared" si="52"/>
        <v>267.3</v>
      </c>
      <c r="L537" s="948">
        <f t="shared" si="53"/>
        <v>555.29999999999995</v>
      </c>
      <c r="M537" s="374">
        <f t="shared" si="54"/>
        <v>5588225.300000011</v>
      </c>
      <c r="N537" s="375">
        <f>+M537/L$815</f>
        <v>0.9894792845724254</v>
      </c>
      <c r="O537" s="376" t="str">
        <f>IF(N537&lt;0.5,"A",IF(N537&gt;0.8,"C","B"))</f>
        <v>C</v>
      </c>
    </row>
    <row r="538" spans="1:15" x14ac:dyDescent="0.25">
      <c r="A538" s="232">
        <f t="shared" si="49"/>
        <v>538</v>
      </c>
      <c r="B538" s="232"/>
      <c r="C538" s="310" t="s">
        <v>12597</v>
      </c>
      <c r="D538" s="373" t="str">
        <f>IF($C538="","",IFERROR(VLOOKUP($C538,SERVIÇOS!$B:$G,2,0),IFERROR(VLOOKUP($C538,'COMPOSIÇÕES COMPLEMENTARES '!$D:$L,2,0),IFERROR(VLOOKUP($C538,INSUMOS!$A:$D,2,0),""))))</f>
        <v>SUPORTES PARA GABINETES DE VENTILAÇÃO</v>
      </c>
      <c r="E538" s="312" t="str">
        <f>IF($C538="","",IFERROR(VLOOKUP($C538,SERVIÇOS!$B:$G,3,0),IFERROR(VLOOKUP($C538,'COMPOSIÇÕES COMPLEMENTARES '!$D:$L,3,0),IFERROR(VLOOKUP($C538,INSUMOS!$A:$D,3,0),""))))</f>
        <v>CJ</v>
      </c>
      <c r="F538" s="313">
        <v>1</v>
      </c>
      <c r="G538" s="314">
        <f>IF($C538="","",IFERROR(VLOOKUP($C538,SERVIÇOS!$B:$G,4,0),IFERROR(VLOOKUP($C538,'COMPOSIÇÕES COMPLEMENTARES '!$D:$L,6,0),IFERROR(VLOOKUP($C538,INSUMOS!$A:$D,4,0),""))))</f>
        <v>462.59</v>
      </c>
      <c r="H538" s="314">
        <f>IF($C538="","",IFERROR(VLOOKUP($C538,SERVIÇOS!$B:$G,5,0),IFERROR(VLOOKUP($C538,'COMPOSIÇÕES COMPLEMENTARES '!$D:$L,7,0),0)))</f>
        <v>77.81</v>
      </c>
      <c r="I538" s="314">
        <f t="shared" si="50"/>
        <v>540.4</v>
      </c>
      <c r="J538" s="314">
        <f t="shared" si="51"/>
        <v>462.59</v>
      </c>
      <c r="K538" s="314">
        <f t="shared" si="52"/>
        <v>77.81</v>
      </c>
      <c r="L538" s="948">
        <f t="shared" si="53"/>
        <v>540.4</v>
      </c>
      <c r="M538" s="374">
        <f t="shared" si="54"/>
        <v>5588765.7000000114</v>
      </c>
      <c r="N538" s="375">
        <f>+M538/L$815</f>
        <v>0.98957497051504173</v>
      </c>
      <c r="O538" s="376" t="str">
        <f>IF(N538&lt;0.5,"A",IF(N538&gt;0.8,"C","B"))</f>
        <v>C</v>
      </c>
    </row>
    <row r="539" spans="1:15" x14ac:dyDescent="0.25">
      <c r="A539" s="232">
        <f t="shared" si="49"/>
        <v>539</v>
      </c>
      <c r="B539" s="232"/>
      <c r="C539" s="310" t="s">
        <v>12491</v>
      </c>
      <c r="D539" s="373" t="str">
        <f>IF($C539="","",IFERROR(VLOOKUP($C539,SERVIÇOS!$B:$G,2,0),IFERROR(VLOOKUP($C539,'COMPOSIÇÕES COMPLEMENTARES '!$D:$L,2,0),IFERROR(VLOOKUP($C539,INSUMOS!$A:$D,2,0),""))))</f>
        <v>DUTO FLEXÍVEL ALUMINIZADO SEM ISOLAMENTO TÉRMICO Ø150MM</v>
      </c>
      <c r="E539" s="312" t="str">
        <f>IF($C539="","",IFERROR(VLOOKUP($C539,SERVIÇOS!$B:$G,3,0),IFERROR(VLOOKUP($C539,'COMPOSIÇÕES COMPLEMENTARES '!$D:$L,3,0),IFERROR(VLOOKUP($C539,INSUMOS!$A:$D,3,0),""))))</f>
        <v>M</v>
      </c>
      <c r="F539" s="313">
        <v>10</v>
      </c>
      <c r="G539" s="314">
        <f>IF($C539="","",IFERROR(VLOOKUP($C539,SERVIÇOS!$B:$G,4,0),IFERROR(VLOOKUP($C539,'COMPOSIÇÕES COMPLEMENTARES '!$D:$L,6,0),IFERROR(VLOOKUP($C539,INSUMOS!$A:$D,4,0),""))))</f>
        <v>38.46</v>
      </c>
      <c r="H539" s="314">
        <f>IF($C539="","",IFERROR(VLOOKUP($C539,SERVIÇOS!$B:$G,5,0),IFERROR(VLOOKUP($C539,'COMPOSIÇÕES COMPLEMENTARES '!$D:$L,7,0),0)))</f>
        <v>14.97</v>
      </c>
      <c r="I539" s="314">
        <f t="shared" si="50"/>
        <v>53.43</v>
      </c>
      <c r="J539" s="314">
        <f t="shared" si="51"/>
        <v>384.6</v>
      </c>
      <c r="K539" s="314">
        <f t="shared" si="52"/>
        <v>149.69999999999999</v>
      </c>
      <c r="L539" s="948">
        <f t="shared" si="53"/>
        <v>534.29999999999995</v>
      </c>
      <c r="M539" s="374">
        <f t="shared" si="54"/>
        <v>5589300.0000000112</v>
      </c>
      <c r="N539" s="375">
        <f>+M539/L$815</f>
        <v>0.98966957636097053</v>
      </c>
      <c r="O539" s="376" t="str">
        <f>IF(N539&lt;0.5,"A",IF(N539&gt;0.8,"C","B"))</f>
        <v>C</v>
      </c>
    </row>
    <row r="540" spans="1:15" x14ac:dyDescent="0.25">
      <c r="A540" s="232">
        <f t="shared" si="49"/>
        <v>540</v>
      </c>
      <c r="B540" s="232"/>
      <c r="C540" s="310">
        <v>101616</v>
      </c>
      <c r="D540" s="373" t="str">
        <f>IF($C540="","",IFERROR(VLOOKUP($C540,SERVIÇOS!$B:$G,2,0),IFERROR(VLOOKUP($C540,'COMPOSIÇÕES COMPLEMENTARES '!$D:$L,2,0),IFERROR(VLOOKUP($C540,INSUMOS!$A:$D,2,0),""))))</f>
        <v>PREPARO DE FUNDO DE VALA COM LARGURA MENOR QUE 1,5 M (ACERTO DO SOLO NATURAL). AF_08/2020</v>
      </c>
      <c r="E540" s="312" t="str">
        <f>IF($C540="","",IFERROR(VLOOKUP($C540,SERVIÇOS!$B:$G,3,0),IFERROR(VLOOKUP($C540,'COMPOSIÇÕES COMPLEMENTARES '!$D:$L,3,0),IFERROR(VLOOKUP($C540,INSUMOS!$A:$D,3,0),""))))</f>
        <v>M2</v>
      </c>
      <c r="F540" s="313">
        <v>63</v>
      </c>
      <c r="G540" s="314">
        <f>IF($C540="","",IFERROR(VLOOKUP($C540,SERVIÇOS!$B:$G,4,0),IFERROR(VLOOKUP($C540,'COMPOSIÇÕES COMPLEMENTARES '!$D:$L,6,0),IFERROR(VLOOKUP($C540,INSUMOS!$A:$D,4,0),""))))</f>
        <v>2.46</v>
      </c>
      <c r="H540" s="314">
        <f>IF($C540="","",IFERROR(VLOOKUP($C540,SERVIÇOS!$B:$G,5,0),IFERROR(VLOOKUP($C540,'COMPOSIÇÕES COMPLEMENTARES '!$D:$L,7,0),0)))</f>
        <v>5.96</v>
      </c>
      <c r="I540" s="314">
        <f t="shared" si="50"/>
        <v>8.42</v>
      </c>
      <c r="J540" s="314">
        <f t="shared" si="51"/>
        <v>154.97999999999999</v>
      </c>
      <c r="K540" s="314">
        <f t="shared" si="52"/>
        <v>375.48</v>
      </c>
      <c r="L540" s="948">
        <f t="shared" si="53"/>
        <v>530.46</v>
      </c>
      <c r="M540" s="374">
        <f t="shared" si="54"/>
        <v>5589830.4600000111</v>
      </c>
      <c r="N540" s="375">
        <f>+M540/L$815</f>
        <v>0.98976350227718124</v>
      </c>
      <c r="O540" s="376" t="str">
        <f>IF(N540&lt;0.5,"A",IF(N540&gt;0.8,"C","B"))</f>
        <v>C</v>
      </c>
    </row>
    <row r="541" spans="1:15" x14ac:dyDescent="0.25">
      <c r="A541" s="232">
        <f t="shared" si="49"/>
        <v>541</v>
      </c>
      <c r="B541" s="232"/>
      <c r="C541" s="310" t="s">
        <v>12243</v>
      </c>
      <c r="D541" s="373" t="str">
        <f>IF($C541="","",IFERROR(VLOOKUP($C541,SERVIÇOS!$B:$G,2,0),IFERROR(VLOOKUP($C541,'COMPOSIÇÕES COMPLEMENTARES '!$D:$L,2,0),IFERROR(VLOOKUP($C541,INSUMOS!$A:$D,2,0),""))))</f>
        <v>LUMINÁRIA QUADRADA TIPO PLACA DE LED 30X30CM DE SOBREPOR, 24W/127V. REFERÊNCIA: STH21964Q/40 (STELLA).</v>
      </c>
      <c r="E541" s="312" t="str">
        <f>IF($C541="","",IFERROR(VLOOKUP($C541,SERVIÇOS!$B:$G,3,0),IFERROR(VLOOKUP($C541,'COMPOSIÇÕES COMPLEMENTARES '!$D:$L,3,0),IFERROR(VLOOKUP($C541,INSUMOS!$A:$D,3,0),""))))</f>
        <v>UN</v>
      </c>
      <c r="F541" s="313">
        <v>4</v>
      </c>
      <c r="G541" s="314">
        <f>IF($C541="","",IFERROR(VLOOKUP($C541,SERVIÇOS!$B:$G,4,0),IFERROR(VLOOKUP($C541,'COMPOSIÇÕES COMPLEMENTARES '!$D:$L,6,0),IFERROR(VLOOKUP($C541,INSUMOS!$A:$D,4,0),""))))</f>
        <v>87.24</v>
      </c>
      <c r="H541" s="314">
        <f>IF($C541="","",IFERROR(VLOOKUP($C541,SERVIÇOS!$B:$G,5,0),IFERROR(VLOOKUP($C541,'COMPOSIÇÕES COMPLEMENTARES '!$D:$L,7,0),0)))</f>
        <v>43.89</v>
      </c>
      <c r="I541" s="314">
        <f t="shared" si="50"/>
        <v>131.13</v>
      </c>
      <c r="J541" s="314">
        <f t="shared" si="51"/>
        <v>348.96</v>
      </c>
      <c r="K541" s="314">
        <f t="shared" si="52"/>
        <v>175.56</v>
      </c>
      <c r="L541" s="948">
        <f t="shared" si="53"/>
        <v>524.52</v>
      </c>
      <c r="M541" s="374">
        <f t="shared" si="54"/>
        <v>5590354.9800000107</v>
      </c>
      <c r="N541" s="375">
        <f>+M541/L$815</f>
        <v>0.98985637642710922</v>
      </c>
      <c r="O541" s="376" t="str">
        <f>IF(N541&lt;0.5,"A",IF(N541&gt;0.8,"C","B"))</f>
        <v>C</v>
      </c>
    </row>
    <row r="542" spans="1:15" x14ac:dyDescent="0.25">
      <c r="A542" s="232">
        <f t="shared" si="49"/>
        <v>542</v>
      </c>
      <c r="B542" s="232"/>
      <c r="C542" s="310" t="s">
        <v>12185</v>
      </c>
      <c r="D542" s="373" t="str">
        <f>IF($C542="","",IFERROR(VLOOKUP($C542,SERVIÇOS!$B:$G,2,0),IFERROR(VLOOKUP($C542,'COMPOSIÇÕES COMPLEMENTARES '!$D:$L,2,0),IFERROR(VLOOKUP($C542,INSUMOS!$A:$D,2,0),""))))</f>
        <v>DISPOSITIVO PROTETOR CONTRA SURTOS (DPS) 10/350 45KA - 275V CLASSE I</v>
      </c>
      <c r="E542" s="312" t="str">
        <f>IF($C542="","",IFERROR(VLOOKUP($C542,SERVIÇOS!$B:$G,3,0),IFERROR(VLOOKUP($C542,'COMPOSIÇÕES COMPLEMENTARES '!$D:$L,3,0),IFERROR(VLOOKUP($C542,INSUMOS!$A:$D,3,0),""))))</f>
        <v>UN</v>
      </c>
      <c r="F542" s="313">
        <v>4</v>
      </c>
      <c r="G542" s="314">
        <f>IF($C542="","",IFERROR(VLOOKUP($C542,SERVIÇOS!$B:$G,4,0),IFERROR(VLOOKUP($C542,'COMPOSIÇÕES COMPLEMENTARES '!$D:$L,6,0),IFERROR(VLOOKUP($C542,INSUMOS!$A:$D,4,0),""))))</f>
        <v>116.15</v>
      </c>
      <c r="H542" s="314">
        <f>IF($C542="","",IFERROR(VLOOKUP($C542,SERVIÇOS!$B:$G,5,0),IFERROR(VLOOKUP($C542,'COMPOSIÇÕES COMPLEMENTARES '!$D:$L,7,0),0)))</f>
        <v>14.85</v>
      </c>
      <c r="I542" s="314">
        <f t="shared" si="50"/>
        <v>131</v>
      </c>
      <c r="J542" s="314">
        <f t="shared" si="51"/>
        <v>464.6</v>
      </c>
      <c r="K542" s="314">
        <f t="shared" si="52"/>
        <v>59.4</v>
      </c>
      <c r="L542" s="948">
        <f t="shared" si="53"/>
        <v>524</v>
      </c>
      <c r="M542" s="374">
        <f t="shared" si="54"/>
        <v>5590878.9800000107</v>
      </c>
      <c r="N542" s="375">
        <f>+M542/L$815</f>
        <v>0.98994915850322118</v>
      </c>
      <c r="O542" s="376" t="str">
        <f>IF(N542&lt;0.5,"A",IF(N542&gt;0.8,"C","B"))</f>
        <v>C</v>
      </c>
    </row>
    <row r="543" spans="1:15" x14ac:dyDescent="0.25">
      <c r="A543" s="232">
        <f t="shared" si="49"/>
        <v>543</v>
      </c>
      <c r="B543" s="232"/>
      <c r="C543" s="310" t="s">
        <v>12198</v>
      </c>
      <c r="D543" s="373" t="str">
        <f>IF($C543="","",IFERROR(VLOOKUP($C543,SERVIÇOS!$B:$G,2,0),IFERROR(VLOOKUP($C543,'COMPOSIÇÕES COMPLEMENTARES '!$D:$L,2,0),IFERROR(VLOOKUP($C543,INSUMOS!$A:$D,2,0),""))))</f>
        <v>DISPOSITIVO PROTETOR CONTRA SURTOS (DPS) 8/20 45KA - 275V CLASSE II</v>
      </c>
      <c r="E543" s="312" t="str">
        <f>IF($C543="","",IFERROR(VLOOKUP($C543,SERVIÇOS!$B:$G,3,0),IFERROR(VLOOKUP($C543,'COMPOSIÇÕES COMPLEMENTARES '!$D:$L,3,0),IFERROR(VLOOKUP($C543,INSUMOS!$A:$D,3,0),""))))</f>
        <v>UN</v>
      </c>
      <c r="F543" s="313">
        <v>4</v>
      </c>
      <c r="G543" s="314">
        <f>IF($C543="","",IFERROR(VLOOKUP($C543,SERVIÇOS!$B:$G,4,0),IFERROR(VLOOKUP($C543,'COMPOSIÇÕES COMPLEMENTARES '!$D:$L,6,0),IFERROR(VLOOKUP($C543,INSUMOS!$A:$D,4,0),""))))</f>
        <v>116.15</v>
      </c>
      <c r="H543" s="314">
        <f>IF($C543="","",IFERROR(VLOOKUP($C543,SERVIÇOS!$B:$G,5,0),IFERROR(VLOOKUP($C543,'COMPOSIÇÕES COMPLEMENTARES '!$D:$L,7,0),0)))</f>
        <v>14.85</v>
      </c>
      <c r="I543" s="314">
        <f t="shared" si="50"/>
        <v>131</v>
      </c>
      <c r="J543" s="314">
        <f t="shared" si="51"/>
        <v>464.6</v>
      </c>
      <c r="K543" s="314">
        <f t="shared" si="52"/>
        <v>59.4</v>
      </c>
      <c r="L543" s="948">
        <f t="shared" si="53"/>
        <v>524</v>
      </c>
      <c r="M543" s="374">
        <f t="shared" si="54"/>
        <v>5591402.9800000107</v>
      </c>
      <c r="N543" s="375">
        <f>+M543/L$815</f>
        <v>0.99004194057933326</v>
      </c>
      <c r="O543" s="376" t="str">
        <f>IF(N543&lt;0.5,"A",IF(N543&gt;0.8,"C","B"))</f>
        <v>C</v>
      </c>
    </row>
    <row r="544" spans="1:15" x14ac:dyDescent="0.25">
      <c r="A544" s="232">
        <f t="shared" si="49"/>
        <v>544</v>
      </c>
      <c r="B544" s="232"/>
      <c r="C544" s="310" t="s">
        <v>12198</v>
      </c>
      <c r="D544" s="373" t="str">
        <f>IF($C544="","",IFERROR(VLOOKUP($C544,SERVIÇOS!$B:$G,2,0),IFERROR(VLOOKUP($C544,'COMPOSIÇÕES COMPLEMENTARES '!$D:$L,2,0),IFERROR(VLOOKUP($C544,INSUMOS!$A:$D,2,0),""))))</f>
        <v>DISPOSITIVO PROTETOR CONTRA SURTOS (DPS) 8/20 45KA - 275V CLASSE II</v>
      </c>
      <c r="E544" s="312" t="str">
        <f>IF($C544="","",IFERROR(VLOOKUP($C544,SERVIÇOS!$B:$G,3,0),IFERROR(VLOOKUP($C544,'COMPOSIÇÕES COMPLEMENTARES '!$D:$L,3,0),IFERROR(VLOOKUP($C544,INSUMOS!$A:$D,3,0),""))))</f>
        <v>UN</v>
      </c>
      <c r="F544" s="313">
        <v>4</v>
      </c>
      <c r="G544" s="314">
        <f>IF($C544="","",IFERROR(VLOOKUP($C544,SERVIÇOS!$B:$G,4,0),IFERROR(VLOOKUP($C544,'COMPOSIÇÕES COMPLEMENTARES '!$D:$L,6,0),IFERROR(VLOOKUP($C544,INSUMOS!$A:$D,4,0),""))))</f>
        <v>116.15</v>
      </c>
      <c r="H544" s="314">
        <f>IF($C544="","",IFERROR(VLOOKUP($C544,SERVIÇOS!$B:$G,5,0),IFERROR(VLOOKUP($C544,'COMPOSIÇÕES COMPLEMENTARES '!$D:$L,7,0),0)))</f>
        <v>14.85</v>
      </c>
      <c r="I544" s="314">
        <f t="shared" si="50"/>
        <v>131</v>
      </c>
      <c r="J544" s="314">
        <f t="shared" si="51"/>
        <v>464.6</v>
      </c>
      <c r="K544" s="314">
        <f t="shared" si="52"/>
        <v>59.4</v>
      </c>
      <c r="L544" s="948">
        <f t="shared" si="53"/>
        <v>524</v>
      </c>
      <c r="M544" s="374">
        <f t="shared" si="54"/>
        <v>5591926.9800000107</v>
      </c>
      <c r="N544" s="375">
        <f>+M544/L$815</f>
        <v>0.99013472265544533</v>
      </c>
      <c r="O544" s="376" t="str">
        <f>IF(N544&lt;0.5,"A",IF(N544&gt;0.8,"C","B"))</f>
        <v>C</v>
      </c>
    </row>
    <row r="545" spans="1:35" x14ac:dyDescent="0.25">
      <c r="A545" s="232">
        <f t="shared" si="49"/>
        <v>545</v>
      </c>
      <c r="B545" s="232"/>
      <c r="C545" s="310" t="s">
        <v>12198</v>
      </c>
      <c r="D545" s="373" t="str">
        <f>IF($C545="","",IFERROR(VLOOKUP($C545,SERVIÇOS!$B:$G,2,0),IFERROR(VLOOKUP($C545,'COMPOSIÇÕES COMPLEMENTARES '!$D:$L,2,0),IFERROR(VLOOKUP($C545,INSUMOS!$A:$D,2,0),""))))</f>
        <v>DISPOSITIVO PROTETOR CONTRA SURTOS (DPS) 8/20 45KA - 275V CLASSE II</v>
      </c>
      <c r="E545" s="312" t="str">
        <f>IF($C545="","",IFERROR(VLOOKUP($C545,SERVIÇOS!$B:$G,3,0),IFERROR(VLOOKUP($C545,'COMPOSIÇÕES COMPLEMENTARES '!$D:$L,3,0),IFERROR(VLOOKUP($C545,INSUMOS!$A:$D,3,0),""))))</f>
        <v>UN</v>
      </c>
      <c r="F545" s="313">
        <v>4</v>
      </c>
      <c r="G545" s="314">
        <f>IF($C545="","",IFERROR(VLOOKUP($C545,SERVIÇOS!$B:$G,4,0),IFERROR(VLOOKUP($C545,'COMPOSIÇÕES COMPLEMENTARES '!$D:$L,6,0),IFERROR(VLOOKUP($C545,INSUMOS!$A:$D,4,0),""))))</f>
        <v>116.15</v>
      </c>
      <c r="H545" s="314">
        <f>IF($C545="","",IFERROR(VLOOKUP($C545,SERVIÇOS!$B:$G,5,0),IFERROR(VLOOKUP($C545,'COMPOSIÇÕES COMPLEMENTARES '!$D:$L,7,0),0)))</f>
        <v>14.85</v>
      </c>
      <c r="I545" s="314">
        <f t="shared" si="50"/>
        <v>131</v>
      </c>
      <c r="J545" s="314">
        <f t="shared" si="51"/>
        <v>464.6</v>
      </c>
      <c r="K545" s="314">
        <f t="shared" si="52"/>
        <v>59.4</v>
      </c>
      <c r="L545" s="948">
        <f t="shared" si="53"/>
        <v>524</v>
      </c>
      <c r="M545" s="374">
        <f t="shared" si="54"/>
        <v>5592450.9800000107</v>
      </c>
      <c r="N545" s="375">
        <f>+M545/L$815</f>
        <v>0.99022750473155741</v>
      </c>
      <c r="O545" s="376" t="str">
        <f>IF(N545&lt;0.5,"A",IF(N545&gt;0.8,"C","B"))</f>
        <v>C</v>
      </c>
    </row>
    <row r="546" spans="1:35" x14ac:dyDescent="0.25">
      <c r="A546" s="232">
        <f t="shared" si="49"/>
        <v>546</v>
      </c>
      <c r="B546" s="232"/>
      <c r="C546" s="310" t="s">
        <v>12198</v>
      </c>
      <c r="D546" s="373" t="str">
        <f>IF($C546="","",IFERROR(VLOOKUP($C546,SERVIÇOS!$B:$G,2,0),IFERROR(VLOOKUP($C546,'COMPOSIÇÕES COMPLEMENTARES '!$D:$L,2,0),IFERROR(VLOOKUP($C546,INSUMOS!$A:$D,2,0),""))))</f>
        <v>DISPOSITIVO PROTETOR CONTRA SURTOS (DPS) 8/20 45KA - 275V CLASSE II</v>
      </c>
      <c r="E546" s="312" t="str">
        <f>IF($C546="","",IFERROR(VLOOKUP($C546,SERVIÇOS!$B:$G,3,0),IFERROR(VLOOKUP($C546,'COMPOSIÇÕES COMPLEMENTARES '!$D:$L,3,0),IFERROR(VLOOKUP($C546,INSUMOS!$A:$D,3,0),""))))</f>
        <v>UN</v>
      </c>
      <c r="F546" s="313">
        <v>4</v>
      </c>
      <c r="G546" s="314">
        <f>IF($C546="","",IFERROR(VLOOKUP($C546,SERVIÇOS!$B:$G,4,0),IFERROR(VLOOKUP($C546,'COMPOSIÇÕES COMPLEMENTARES '!$D:$L,6,0),IFERROR(VLOOKUP($C546,INSUMOS!$A:$D,4,0),""))))</f>
        <v>116.15</v>
      </c>
      <c r="H546" s="314">
        <f>IF($C546="","",IFERROR(VLOOKUP($C546,SERVIÇOS!$B:$G,5,0),IFERROR(VLOOKUP($C546,'COMPOSIÇÕES COMPLEMENTARES '!$D:$L,7,0),0)))</f>
        <v>14.85</v>
      </c>
      <c r="I546" s="314">
        <f t="shared" si="50"/>
        <v>131</v>
      </c>
      <c r="J546" s="314">
        <f t="shared" si="51"/>
        <v>464.6</v>
      </c>
      <c r="K546" s="314">
        <f t="shared" si="52"/>
        <v>59.4</v>
      </c>
      <c r="L546" s="948">
        <f t="shared" si="53"/>
        <v>524</v>
      </c>
      <c r="M546" s="374">
        <f t="shared" si="54"/>
        <v>5592974.9800000107</v>
      </c>
      <c r="N546" s="375">
        <f>+M546/L$815</f>
        <v>0.99032028680766948</v>
      </c>
      <c r="O546" s="376" t="str">
        <f>IF(N546&lt;0.5,"A",IF(N546&gt;0.8,"C","B"))</f>
        <v>C</v>
      </c>
    </row>
    <row r="547" spans="1:35" x14ac:dyDescent="0.25">
      <c r="A547" s="232">
        <f t="shared" si="49"/>
        <v>547</v>
      </c>
      <c r="B547" s="232"/>
      <c r="C547" s="310" t="s">
        <v>12198</v>
      </c>
      <c r="D547" s="373" t="str">
        <f>IF($C547="","",IFERROR(VLOOKUP($C547,SERVIÇOS!$B:$G,2,0),IFERROR(VLOOKUP($C547,'COMPOSIÇÕES COMPLEMENTARES '!$D:$L,2,0),IFERROR(VLOOKUP($C547,INSUMOS!$A:$D,2,0),""))))</f>
        <v>DISPOSITIVO PROTETOR CONTRA SURTOS (DPS) 8/20 45KA - 275V CLASSE II</v>
      </c>
      <c r="E547" s="312" t="str">
        <f>IF($C547="","",IFERROR(VLOOKUP($C547,SERVIÇOS!$B:$G,3,0),IFERROR(VLOOKUP($C547,'COMPOSIÇÕES COMPLEMENTARES '!$D:$L,3,0),IFERROR(VLOOKUP($C547,INSUMOS!$A:$D,3,0),""))))</f>
        <v>UN</v>
      </c>
      <c r="F547" s="313">
        <v>4</v>
      </c>
      <c r="G547" s="314">
        <f>IF($C547="","",IFERROR(VLOOKUP($C547,SERVIÇOS!$B:$G,4,0),IFERROR(VLOOKUP($C547,'COMPOSIÇÕES COMPLEMENTARES '!$D:$L,6,0),IFERROR(VLOOKUP($C547,INSUMOS!$A:$D,4,0),""))))</f>
        <v>116.15</v>
      </c>
      <c r="H547" s="314">
        <f>IF($C547="","",IFERROR(VLOOKUP($C547,SERVIÇOS!$B:$G,5,0),IFERROR(VLOOKUP($C547,'COMPOSIÇÕES COMPLEMENTARES '!$D:$L,7,0),0)))</f>
        <v>14.85</v>
      </c>
      <c r="I547" s="314">
        <f t="shared" si="50"/>
        <v>131</v>
      </c>
      <c r="J547" s="314">
        <f t="shared" si="51"/>
        <v>464.6</v>
      </c>
      <c r="K547" s="314">
        <f t="shared" si="52"/>
        <v>59.4</v>
      </c>
      <c r="L547" s="948">
        <f t="shared" si="53"/>
        <v>524</v>
      </c>
      <c r="M547" s="374">
        <f t="shared" si="54"/>
        <v>5593498.9800000107</v>
      </c>
      <c r="N547" s="375">
        <f>+M547/L$815</f>
        <v>0.99041306888378156</v>
      </c>
      <c r="O547" s="376" t="str">
        <f>IF(N547&lt;0.5,"A",IF(N547&gt;0.8,"C","B"))</f>
        <v>C</v>
      </c>
    </row>
    <row r="548" spans="1:35" x14ac:dyDescent="0.25">
      <c r="A548" s="232">
        <f t="shared" si="49"/>
        <v>548</v>
      </c>
      <c r="B548" s="232"/>
      <c r="C548" s="310" t="s">
        <v>12198</v>
      </c>
      <c r="D548" s="373" t="str">
        <f>IF($C548="","",IFERROR(VLOOKUP($C548,SERVIÇOS!$B:$G,2,0),IFERROR(VLOOKUP($C548,'COMPOSIÇÕES COMPLEMENTARES '!$D:$L,2,0),IFERROR(VLOOKUP($C548,INSUMOS!$A:$D,2,0),""))))</f>
        <v>DISPOSITIVO PROTETOR CONTRA SURTOS (DPS) 8/20 45KA - 275V CLASSE II</v>
      </c>
      <c r="E548" s="312" t="str">
        <f>IF($C548="","",IFERROR(VLOOKUP($C548,SERVIÇOS!$B:$G,3,0),IFERROR(VLOOKUP($C548,'COMPOSIÇÕES COMPLEMENTARES '!$D:$L,3,0),IFERROR(VLOOKUP($C548,INSUMOS!$A:$D,3,0),""))))</f>
        <v>UN</v>
      </c>
      <c r="F548" s="313">
        <v>4</v>
      </c>
      <c r="G548" s="314">
        <f>IF($C548="","",IFERROR(VLOOKUP($C548,SERVIÇOS!$B:$G,4,0),IFERROR(VLOOKUP($C548,'COMPOSIÇÕES COMPLEMENTARES '!$D:$L,6,0),IFERROR(VLOOKUP($C548,INSUMOS!$A:$D,4,0),""))))</f>
        <v>116.15</v>
      </c>
      <c r="H548" s="314">
        <f>IF($C548="","",IFERROR(VLOOKUP($C548,SERVIÇOS!$B:$G,5,0),IFERROR(VLOOKUP($C548,'COMPOSIÇÕES COMPLEMENTARES '!$D:$L,7,0),0)))</f>
        <v>14.85</v>
      </c>
      <c r="I548" s="314">
        <f t="shared" si="50"/>
        <v>131</v>
      </c>
      <c r="J548" s="314">
        <f t="shared" si="51"/>
        <v>464.6</v>
      </c>
      <c r="K548" s="314">
        <f t="shared" si="52"/>
        <v>59.4</v>
      </c>
      <c r="L548" s="948">
        <f t="shared" si="53"/>
        <v>524</v>
      </c>
      <c r="M548" s="374">
        <f t="shared" si="54"/>
        <v>5594022.9800000107</v>
      </c>
      <c r="N548" s="375">
        <f>+M548/L$815</f>
        <v>0.99050585095989363</v>
      </c>
      <c r="O548" s="376" t="str">
        <f>IF(N548&lt;0.5,"A",IF(N548&gt;0.8,"C","B"))</f>
        <v>C</v>
      </c>
    </row>
    <row r="549" spans="1:35" x14ac:dyDescent="0.25">
      <c r="A549" s="232">
        <f t="shared" si="49"/>
        <v>549</v>
      </c>
      <c r="B549" s="232"/>
      <c r="C549" s="310">
        <v>102500</v>
      </c>
      <c r="D549" s="373" t="str">
        <f>IF($C549="","",IFERROR(VLOOKUP($C549,SERVIÇOS!$B:$G,2,0),IFERROR(VLOOKUP($C549,'COMPOSIÇÕES COMPLEMENTARES '!$D:$L,2,0),IFERROR(VLOOKUP($C549,INSUMOS!$A:$D,2,0),""))))</f>
        <v>PINTURA DE DEMARCAÇÃO DE VAGA COM TINTA ACRÍLICA, E = 10 CM, APLICAÇÃO MANUAL. AF_05/2021</v>
      </c>
      <c r="E549" s="312" t="str">
        <f>IF($C549="","",IFERROR(VLOOKUP($C549,SERVIÇOS!$B:$G,3,0),IFERROR(VLOOKUP($C549,'COMPOSIÇÕES COMPLEMENTARES '!$D:$L,3,0),IFERROR(VLOOKUP($C549,INSUMOS!$A:$D,3,0),""))))</f>
        <v>M</v>
      </c>
      <c r="F549" s="313">
        <v>98</v>
      </c>
      <c r="G549" s="314">
        <f>IF($C549="","",IFERROR(VLOOKUP($C549,SERVIÇOS!$B:$G,4,0),IFERROR(VLOOKUP($C549,'COMPOSIÇÕES COMPLEMENTARES '!$D:$L,6,0),IFERROR(VLOOKUP($C549,INSUMOS!$A:$D,4,0),""))))</f>
        <v>2.36</v>
      </c>
      <c r="H549" s="314">
        <f>IF($C549="","",IFERROR(VLOOKUP($C549,SERVIÇOS!$B:$G,5,0),IFERROR(VLOOKUP($C549,'COMPOSIÇÕES COMPLEMENTARES '!$D:$L,7,0),0)))</f>
        <v>2.95</v>
      </c>
      <c r="I549" s="314">
        <f t="shared" si="50"/>
        <v>5.3100000000000005</v>
      </c>
      <c r="J549" s="314">
        <f t="shared" si="51"/>
        <v>231.28</v>
      </c>
      <c r="K549" s="314">
        <f t="shared" si="52"/>
        <v>289.10000000000002</v>
      </c>
      <c r="L549" s="948">
        <f t="shared" si="53"/>
        <v>520.38</v>
      </c>
      <c r="M549" s="374">
        <f t="shared" si="54"/>
        <v>5594543.3600000106</v>
      </c>
      <c r="N549" s="375">
        <f>+M549/L$815</f>
        <v>0.99059799206059429</v>
      </c>
      <c r="O549" s="376" t="str">
        <f>IF(N549&lt;0.5,"A",IF(N549&gt;0.8,"C","B"))</f>
        <v>C</v>
      </c>
    </row>
    <row r="550" spans="1:35" x14ac:dyDescent="0.25">
      <c r="A550" s="232">
        <f t="shared" si="49"/>
        <v>550</v>
      </c>
      <c r="B550" s="232"/>
      <c r="C550" s="310" t="s">
        <v>12221</v>
      </c>
      <c r="D550" s="373" t="str">
        <f>IF($C550="","",IFERROR(VLOOKUP($C550,SERVIÇOS!$B:$G,2,0),IFERROR(VLOOKUP($C550,'COMPOSIÇÕES COMPLEMENTARES '!$D:$L,2,0),IFERROR(VLOOKUP($C550,INSUMOS!$A:$D,2,0),""))))</f>
        <v>CABO FLEXÍVEL ISOL. 750V  -  #2,5MM² - AFUMEX</v>
      </c>
      <c r="E550" s="312" t="str">
        <f>IF($C550="","",IFERROR(VLOOKUP($C550,SERVIÇOS!$B:$G,3,0),IFERROR(VLOOKUP($C550,'COMPOSIÇÕES COMPLEMENTARES '!$D:$L,3,0),IFERROR(VLOOKUP($C550,INSUMOS!$A:$D,3,0),""))))</f>
        <v>M</v>
      </c>
      <c r="F550" s="313">
        <v>102</v>
      </c>
      <c r="G550" s="314">
        <f>IF($C550="","",IFERROR(VLOOKUP($C550,SERVIÇOS!$B:$G,4,0),IFERROR(VLOOKUP($C550,'COMPOSIÇÕES COMPLEMENTARES '!$D:$L,6,0),IFERROR(VLOOKUP($C550,INSUMOS!$A:$D,4,0),""))))</f>
        <v>3.59</v>
      </c>
      <c r="H550" s="314">
        <f>IF($C550="","",IFERROR(VLOOKUP($C550,SERVIÇOS!$B:$G,5,0),IFERROR(VLOOKUP($C550,'COMPOSIÇÕES COMPLEMENTARES '!$D:$L,7,0),0)))</f>
        <v>1.48</v>
      </c>
      <c r="I550" s="314">
        <f t="shared" si="50"/>
        <v>5.07</v>
      </c>
      <c r="J550" s="314">
        <f t="shared" si="51"/>
        <v>366.18</v>
      </c>
      <c r="K550" s="314">
        <f t="shared" si="52"/>
        <v>150.96</v>
      </c>
      <c r="L550" s="948">
        <f t="shared" si="53"/>
        <v>517.14</v>
      </c>
      <c r="M550" s="374">
        <f t="shared" si="54"/>
        <v>5595060.5000000102</v>
      </c>
      <c r="N550" s="375">
        <f>+M550/L$815</f>
        <v>0.99068955947059545</v>
      </c>
      <c r="O550" s="376" t="str">
        <f>IF(N550&lt;0.5,"A",IF(N550&gt;0.8,"C","B"))</f>
        <v>C</v>
      </c>
    </row>
    <row r="551" spans="1:35" ht="25.5" x14ac:dyDescent="0.25">
      <c r="A551" s="232">
        <f t="shared" si="49"/>
        <v>551</v>
      </c>
      <c r="B551" s="232"/>
      <c r="C551" s="310" t="s">
        <v>12465</v>
      </c>
      <c r="D551" s="373" t="str">
        <f>IF($C551="","",IFERROR(VLOOKUP($C551,SERVIÇOS!$B:$G,2,0),IFERROR(VLOOKUP($C551,'COMPOSIÇÕES COMPLEMENTARES '!$D:$L,2,0),IFERROR(VLOOKUP($C551,INSUMOS!$A:$D,2,0),""))))</f>
        <v>DAMPER DE REGULAGEM DE VAZÃO 350x150MM. MARCA TROPICAL DRV-350x150 (OU EQUIVALENTE (OU SIMILAR - TROX, SEIMMEI, DIFUSAR)</v>
      </c>
      <c r="E551" s="312" t="str">
        <f>IF($C551="","",IFERROR(VLOOKUP($C551,SERVIÇOS!$B:$G,3,0),IFERROR(VLOOKUP($C551,'COMPOSIÇÕES COMPLEMENTARES '!$D:$L,3,0),IFERROR(VLOOKUP($C551,INSUMOS!$A:$D,3,0),""))))</f>
        <v>UN</v>
      </c>
      <c r="F551" s="313">
        <v>4</v>
      </c>
      <c r="G551" s="314">
        <f>IF($C551="","",IFERROR(VLOOKUP($C551,SERVIÇOS!$B:$G,4,0),IFERROR(VLOOKUP($C551,'COMPOSIÇÕES COMPLEMENTARES '!$D:$L,6,0),IFERROR(VLOOKUP($C551,INSUMOS!$A:$D,4,0),""))))</f>
        <v>116.57</v>
      </c>
      <c r="H551" s="314">
        <f>IF($C551="","",IFERROR(VLOOKUP($C551,SERVIÇOS!$B:$G,5,0),IFERROR(VLOOKUP($C551,'COMPOSIÇÕES COMPLEMENTARES '!$D:$L,7,0),0)))</f>
        <v>11.05</v>
      </c>
      <c r="I551" s="314">
        <f t="shared" si="50"/>
        <v>127.61999999999999</v>
      </c>
      <c r="J551" s="314">
        <f t="shared" si="51"/>
        <v>466.28</v>
      </c>
      <c r="K551" s="314">
        <f t="shared" si="52"/>
        <v>44.2</v>
      </c>
      <c r="L551" s="948">
        <f t="shared" si="53"/>
        <v>510.48</v>
      </c>
      <c r="M551" s="374">
        <f t="shared" si="54"/>
        <v>5595570.9800000107</v>
      </c>
      <c r="N551" s="375">
        <f>+M551/L$815</f>
        <v>0.99077994762749189</v>
      </c>
      <c r="O551" s="376" t="str">
        <f>IF(N551&lt;0.5,"A",IF(N551&gt;0.8,"C","B"))</f>
        <v>C</v>
      </c>
    </row>
    <row r="552" spans="1:35" x14ac:dyDescent="0.25">
      <c r="A552" s="232">
        <f t="shared" si="49"/>
        <v>552</v>
      </c>
      <c r="B552" s="232"/>
      <c r="C552" s="310" t="s">
        <v>12307</v>
      </c>
      <c r="D552" s="373" t="str">
        <f>IF($C552="","",IFERROR(VLOOKUP($C552,SERVIÇOS!$B:$G,2,0),IFERROR(VLOOKUP($C552,'COMPOSIÇÕES COMPLEMENTARES '!$D:$L,2,0),IFERROR(VLOOKUP($C552,INSUMOS!$A:$D,2,0),""))))</f>
        <v>CAIXA DE PASSAGEM METÁLICA MEDINDO 40X40X12CM</v>
      </c>
      <c r="E552" s="312" t="str">
        <f>IF($C552="","",IFERROR(VLOOKUP($C552,SERVIÇOS!$B:$G,3,0),IFERROR(VLOOKUP($C552,'COMPOSIÇÕES COMPLEMENTARES '!$D:$L,3,0),IFERROR(VLOOKUP($C552,INSUMOS!$A:$D,3,0),""))))</f>
        <v>UN</v>
      </c>
      <c r="F552" s="313">
        <v>1</v>
      </c>
      <c r="G552" s="314">
        <f>IF($C552="","",IFERROR(VLOOKUP($C552,SERVIÇOS!$B:$G,4,0),IFERROR(VLOOKUP($C552,'COMPOSIÇÕES COMPLEMENTARES '!$D:$L,6,0),IFERROR(VLOOKUP($C552,INSUMOS!$A:$D,4,0),""))))</f>
        <v>407.12</v>
      </c>
      <c r="H552" s="314">
        <f>IF($C552="","",IFERROR(VLOOKUP($C552,SERVIÇOS!$B:$G,5,0),IFERROR(VLOOKUP($C552,'COMPOSIÇÕES COMPLEMENTARES '!$D:$L,7,0),0)))</f>
        <v>103.12</v>
      </c>
      <c r="I552" s="314">
        <f t="shared" si="50"/>
        <v>510.24</v>
      </c>
      <c r="J552" s="314">
        <f t="shared" si="51"/>
        <v>407.12</v>
      </c>
      <c r="K552" s="314">
        <f t="shared" si="52"/>
        <v>103.12</v>
      </c>
      <c r="L552" s="948">
        <f t="shared" si="53"/>
        <v>510.24</v>
      </c>
      <c r="M552" s="374">
        <f t="shared" si="54"/>
        <v>5596081.2200000109</v>
      </c>
      <c r="N552" s="375">
        <f>+M552/L$815</f>
        <v>0.99087029328878085</v>
      </c>
      <c r="O552" s="376" t="str">
        <f>IF(N552&lt;0.5,"A",IF(N552&gt;0.8,"C","B"))</f>
        <v>C</v>
      </c>
    </row>
    <row r="553" spans="1:35" x14ac:dyDescent="0.25">
      <c r="A553" s="232">
        <f t="shared" si="49"/>
        <v>553</v>
      </c>
      <c r="B553" s="232"/>
      <c r="C553" s="310" t="s">
        <v>12261</v>
      </c>
      <c r="D553" s="373" t="str">
        <f>IF($C553="","",IFERROR(VLOOKUP($C553,SERVIÇOS!$B:$G,2,0),IFERROR(VLOOKUP($C553,'COMPOSIÇÕES COMPLEMENTARES '!$D:$L,2,0),IFERROR(VLOOKUP($C553,INSUMOS!$A:$D,2,0),""))))</f>
        <v>QF-AR COMPRIMIDO - QUADRO DE COMANDO 40X40X15CM PARA ESPERA DOS CABOS DA CENTRAL DE AR COMPRIMIDO</v>
      </c>
      <c r="E553" s="312" t="str">
        <f>IF($C553="","",IFERROR(VLOOKUP($C553,SERVIÇOS!$B:$G,3,0),IFERROR(VLOOKUP($C553,'COMPOSIÇÕES COMPLEMENTARES '!$D:$L,3,0),IFERROR(VLOOKUP($C553,INSUMOS!$A:$D,3,0),""))))</f>
        <v>UN</v>
      </c>
      <c r="F553" s="313">
        <v>1</v>
      </c>
      <c r="G553" s="314">
        <f>IF($C553="","",IFERROR(VLOOKUP($C553,SERVIÇOS!$B:$G,4,0),IFERROR(VLOOKUP($C553,'COMPOSIÇÕES COMPLEMENTARES '!$D:$L,6,0),IFERROR(VLOOKUP($C553,INSUMOS!$A:$D,4,0),""))))</f>
        <v>479.87</v>
      </c>
      <c r="H553" s="314">
        <f>IF($C553="","",IFERROR(VLOOKUP($C553,SERVIÇOS!$B:$G,5,0),IFERROR(VLOOKUP($C553,'COMPOSIÇÕES COMPLEMENTARES '!$D:$L,7,0),0)))</f>
        <v>29.65</v>
      </c>
      <c r="I553" s="314">
        <f t="shared" si="50"/>
        <v>509.52</v>
      </c>
      <c r="J553" s="314">
        <f t="shared" si="51"/>
        <v>479.87</v>
      </c>
      <c r="K553" s="314">
        <f t="shared" si="52"/>
        <v>29.65</v>
      </c>
      <c r="L553" s="948">
        <f t="shared" si="53"/>
        <v>509.52</v>
      </c>
      <c r="M553" s="374">
        <f t="shared" si="54"/>
        <v>5596590.7400000105</v>
      </c>
      <c r="N553" s="375">
        <f>+M553/L$815</f>
        <v>0.9909605114632476</v>
      </c>
      <c r="O553" s="376" t="str">
        <f>IF(N553&lt;0.5,"A",IF(N553&gt;0.8,"C","B"))</f>
        <v>C</v>
      </c>
    </row>
    <row r="554" spans="1:35" ht="51" x14ac:dyDescent="0.25">
      <c r="A554" s="232">
        <f t="shared" si="49"/>
        <v>554</v>
      </c>
      <c r="B554" s="232"/>
      <c r="C554" s="310" t="s">
        <v>12373</v>
      </c>
      <c r="D554" s="373" t="str">
        <f>IF($C554="","",IFERROR(VLOOKUP($C554,SERVIÇOS!$B:$G,2,0),IFERROR(VLOOKUP($C554,'COMPOSIÇÕES COMPLEMENTARES '!$D:$L,2,0),IFERROR(VLOOKUP($C554,INSUMOS!$A:$D,2,0),""))))</f>
        <v>PAINEL DE ALARME DE EMERGÊNCIA PARA REDE DE AR COMPRIMIDO MEDICINAL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v>
      </c>
      <c r="E554" s="312" t="str">
        <f>IF($C554="","",IFERROR(VLOOKUP($C554,SERVIÇOS!$B:$G,3,0),IFERROR(VLOOKUP($C554,'COMPOSIÇÕES COMPLEMENTARES '!$D:$L,3,0),IFERROR(VLOOKUP($C554,INSUMOS!$A:$D,3,0),""))))</f>
        <v>UN</v>
      </c>
      <c r="F554" s="313">
        <v>1</v>
      </c>
      <c r="G554" s="314">
        <f>IF($C554="","",IFERROR(VLOOKUP($C554,SERVIÇOS!$B:$G,4,0),IFERROR(VLOOKUP($C554,'COMPOSIÇÕES COMPLEMENTARES '!$D:$L,6,0),IFERROR(VLOOKUP($C554,INSUMOS!$A:$D,4,0),""))))</f>
        <v>495.95</v>
      </c>
      <c r="H554" s="314">
        <f>IF($C554="","",IFERROR(VLOOKUP($C554,SERVIÇOS!$B:$G,5,0),IFERROR(VLOOKUP($C554,'COMPOSIÇÕES COMPLEMENTARES '!$D:$L,7,0),0)))</f>
        <v>12.15</v>
      </c>
      <c r="I554" s="314">
        <f t="shared" si="50"/>
        <v>508.09999999999997</v>
      </c>
      <c r="J554" s="314">
        <f t="shared" si="51"/>
        <v>495.95</v>
      </c>
      <c r="K554" s="314">
        <f t="shared" si="52"/>
        <v>12.15</v>
      </c>
      <c r="L554" s="948">
        <f t="shared" si="53"/>
        <v>508.1</v>
      </c>
      <c r="M554" s="374">
        <f t="shared" si="54"/>
        <v>5597098.8400000101</v>
      </c>
      <c r="N554" s="375">
        <f>+M554/L$815</f>
        <v>0.99105047820537073</v>
      </c>
      <c r="O554" s="376" t="str">
        <f>IF(N554&lt;0.5,"A",IF(N554&gt;0.8,"C","B"))</f>
        <v>C</v>
      </c>
    </row>
    <row r="555" spans="1:35" ht="51" x14ac:dyDescent="0.25">
      <c r="A555" s="232">
        <f t="shared" si="49"/>
        <v>555</v>
      </c>
      <c r="B555" s="232"/>
      <c r="C555" s="310" t="s">
        <v>12374</v>
      </c>
      <c r="D555" s="373" t="str">
        <f>IF($C555="","",IFERROR(VLOOKUP($C555,SERVIÇOS!$B:$G,2,0),IFERROR(VLOOKUP($C555,'COMPOSIÇÕES COMPLEMENTARES '!$D:$L,2,0),IFERROR(VLOOKUP($C555,INSUMOS!$A:$D,2,0),""))))</f>
        <v>PAINEL DE ALARME DE EMERGÊNCIA PARA REDE DE OXIGÊNIO MEDICINAL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v>
      </c>
      <c r="E555" s="312" t="str">
        <f>IF($C555="","",IFERROR(VLOOKUP($C555,SERVIÇOS!$B:$G,3,0),IFERROR(VLOOKUP($C555,'COMPOSIÇÕES COMPLEMENTARES '!$D:$L,3,0),IFERROR(VLOOKUP($C555,INSUMOS!$A:$D,3,0),""))))</f>
        <v>UN</v>
      </c>
      <c r="F555" s="313">
        <v>1</v>
      </c>
      <c r="G555" s="314">
        <f>IF($C555="","",IFERROR(VLOOKUP($C555,SERVIÇOS!$B:$G,4,0),IFERROR(VLOOKUP($C555,'COMPOSIÇÕES COMPLEMENTARES '!$D:$L,6,0),IFERROR(VLOOKUP($C555,INSUMOS!$A:$D,4,0),""))))</f>
        <v>495.95</v>
      </c>
      <c r="H555" s="314">
        <f>IF($C555="","",IFERROR(VLOOKUP($C555,SERVIÇOS!$B:$G,5,0),IFERROR(VLOOKUP($C555,'COMPOSIÇÕES COMPLEMENTARES '!$D:$L,7,0),0)))</f>
        <v>12.15</v>
      </c>
      <c r="I555" s="314">
        <f t="shared" si="50"/>
        <v>508.09999999999997</v>
      </c>
      <c r="J555" s="314">
        <f t="shared" si="51"/>
        <v>495.95</v>
      </c>
      <c r="K555" s="314">
        <f t="shared" si="52"/>
        <v>12.15</v>
      </c>
      <c r="L555" s="948">
        <f t="shared" si="53"/>
        <v>508.1</v>
      </c>
      <c r="M555" s="374">
        <f t="shared" si="54"/>
        <v>5597606.9400000097</v>
      </c>
      <c r="N555" s="375">
        <f>+M555/L$815</f>
        <v>0.99114044494749376</v>
      </c>
      <c r="O555" s="376" t="str">
        <f>IF(N555&lt;0.5,"A",IF(N555&gt;0.8,"C","B"))</f>
        <v>C</v>
      </c>
    </row>
    <row r="556" spans="1:35" ht="51" x14ac:dyDescent="0.25">
      <c r="A556" s="232">
        <f t="shared" si="49"/>
        <v>556</v>
      </c>
      <c r="B556" s="232"/>
      <c r="C556" s="310" t="s">
        <v>12375</v>
      </c>
      <c r="D556" s="373" t="str">
        <f>IF($C556="","",IFERROR(VLOOKUP($C556,SERVIÇOS!$B:$G,2,0),IFERROR(VLOOKUP($C556,'COMPOSIÇÕES COMPLEMENTARES '!$D:$L,2,0),IFERROR(VLOOKUP($C556,INSUMOS!$A:$D,2,0),""))))</f>
        <v>PAINEL DE ALARME DE EMERGÊNCIA PARA REDE DE VÁCUO CLÍNICO COMPOSTO POR MATERIAL TERMOPLÁSTICO DE ALTA RESISTÊNCIA, IDENTIFICAÇÃO ATRAVÉS DE ETIQUETA DO TIPO DE GÁS COM DISPOSITIVO DE ALARME SONORO E VISUAL, PRESSOSTATO E MANÔMETRO DE PRESSÃO DA REDE. CONEXÕES PADRÃO ABNT NBR 11.906 - FORNECIMENTO, INSTALAÇÃO E CALIBRAÇÃO. REF: PROTEC, UNITEC HOSPITALAR, AIR LIQUIDE</v>
      </c>
      <c r="E556" s="312" t="str">
        <f>IF($C556="","",IFERROR(VLOOKUP($C556,SERVIÇOS!$B:$G,3,0),IFERROR(VLOOKUP($C556,'COMPOSIÇÕES COMPLEMENTARES '!$D:$L,3,0),IFERROR(VLOOKUP($C556,INSUMOS!$A:$D,3,0),""))))</f>
        <v>UN</v>
      </c>
      <c r="F556" s="313">
        <v>1</v>
      </c>
      <c r="G556" s="314">
        <f>IF($C556="","",IFERROR(VLOOKUP($C556,SERVIÇOS!$B:$G,4,0),IFERROR(VLOOKUP($C556,'COMPOSIÇÕES COMPLEMENTARES '!$D:$L,6,0),IFERROR(VLOOKUP($C556,INSUMOS!$A:$D,4,0),""))))</f>
        <v>495.95</v>
      </c>
      <c r="H556" s="314">
        <f>IF($C556="","",IFERROR(VLOOKUP($C556,SERVIÇOS!$B:$G,5,0),IFERROR(VLOOKUP($C556,'COMPOSIÇÕES COMPLEMENTARES '!$D:$L,7,0),0)))</f>
        <v>12.15</v>
      </c>
      <c r="I556" s="314">
        <f t="shared" si="50"/>
        <v>508.09999999999997</v>
      </c>
      <c r="J556" s="314">
        <f t="shared" si="51"/>
        <v>495.95</v>
      </c>
      <c r="K556" s="314">
        <f t="shared" si="52"/>
        <v>12.15</v>
      </c>
      <c r="L556" s="948">
        <f t="shared" si="53"/>
        <v>508.1</v>
      </c>
      <c r="M556" s="374">
        <f t="shared" si="54"/>
        <v>5598115.0400000094</v>
      </c>
      <c r="N556" s="375">
        <f>+M556/L$815</f>
        <v>0.9912304116896169</v>
      </c>
      <c r="O556" s="376" t="str">
        <f>IF(N556&lt;0.5,"A",IF(N556&gt;0.8,"C","B"))</f>
        <v>C</v>
      </c>
      <c r="P556" s="342"/>
      <c r="Q556" s="342"/>
      <c r="R556" s="342"/>
      <c r="S556" s="342"/>
      <c r="T556" s="342"/>
      <c r="U556" s="342"/>
      <c r="V556" s="342"/>
      <c r="W556" s="342"/>
      <c r="X556" s="342"/>
      <c r="Y556" s="342"/>
      <c r="Z556" s="342"/>
      <c r="AA556" s="342"/>
      <c r="AB556" s="342"/>
      <c r="AC556" s="342"/>
      <c r="AD556" s="342"/>
      <c r="AE556" s="342"/>
      <c r="AF556" s="342"/>
      <c r="AG556" s="342"/>
      <c r="AH556" s="342"/>
      <c r="AI556" s="342"/>
    </row>
    <row r="557" spans="1:35" x14ac:dyDescent="0.25">
      <c r="A557" s="232">
        <f t="shared" si="49"/>
        <v>557</v>
      </c>
      <c r="B557" s="232"/>
      <c r="C557" s="310">
        <v>100849</v>
      </c>
      <c r="D557" s="373" t="str">
        <f>IF($C557="","",IFERROR(VLOOKUP($C557,SERVIÇOS!$B:$G,2,0),IFERROR(VLOOKUP($C557,'COMPOSIÇÕES COMPLEMENTARES '!$D:$L,2,0),IFERROR(VLOOKUP($C557,INSUMOS!$A:$D,2,0),""))))</f>
        <v>ASSENTO SANITÁRIO CONVENCIONAL - FORNECIMENTO E INSTALACAO. AF_01/2020</v>
      </c>
      <c r="E557" s="312" t="str">
        <f>IF($C557="","",IFERROR(VLOOKUP($C557,SERVIÇOS!$B:$G,3,0),IFERROR(VLOOKUP($C557,'COMPOSIÇÕES COMPLEMENTARES '!$D:$L,3,0),IFERROR(VLOOKUP($C557,INSUMOS!$A:$D,3,0),""))))</f>
        <v>UN</v>
      </c>
      <c r="F557" s="313">
        <v>11</v>
      </c>
      <c r="G557" s="314">
        <f>IF($C557="","",IFERROR(VLOOKUP($C557,SERVIÇOS!$B:$G,4,0),IFERROR(VLOOKUP($C557,'COMPOSIÇÕES COMPLEMENTARES '!$D:$L,6,0),IFERROR(VLOOKUP($C557,INSUMOS!$A:$D,4,0),""))))</f>
        <v>40.76</v>
      </c>
      <c r="H557" s="314">
        <f>IF($C557="","",IFERROR(VLOOKUP($C557,SERVIÇOS!$B:$G,5,0),IFERROR(VLOOKUP($C557,'COMPOSIÇÕES COMPLEMENTARES '!$D:$L,7,0),0)))</f>
        <v>5.17</v>
      </c>
      <c r="I557" s="314">
        <f t="shared" si="50"/>
        <v>45.93</v>
      </c>
      <c r="J557" s="314">
        <f t="shared" si="51"/>
        <v>448.36</v>
      </c>
      <c r="K557" s="314">
        <f t="shared" si="52"/>
        <v>56.87</v>
      </c>
      <c r="L557" s="948">
        <f t="shared" si="53"/>
        <v>505.23</v>
      </c>
      <c r="M557" s="374">
        <f t="shared" si="54"/>
        <v>5598620.2700000098</v>
      </c>
      <c r="N557" s="375">
        <f>+M557/L$815</f>
        <v>0.99131987025510193</v>
      </c>
      <c r="O557" s="376" t="str">
        <f>IF(N557&lt;0.5,"A",IF(N557&gt;0.8,"C","B"))</f>
        <v>C</v>
      </c>
    </row>
    <row r="558" spans="1:35" ht="25.5" x14ac:dyDescent="0.25">
      <c r="A558" s="232">
        <f t="shared" si="49"/>
        <v>558</v>
      </c>
      <c r="B558" s="232"/>
      <c r="C558" s="310" t="s">
        <v>12601</v>
      </c>
      <c r="D558" s="373" t="str">
        <f>IF($C558="","",IFERROR(VLOOKUP($C558,SERVIÇOS!$B:$G,2,0),IFERROR(VLOOKUP($C558,'COMPOSIÇÕES COMPLEMENTARES '!$D:$L,2,0),IFERROR(VLOOKUP($C558,INSUMOS!$A:$D,2,0),""))))</f>
        <v>VENTILADOR COMPACTO AXIAL PARA INSTALAÇÃO EM FORRO - VAZÃO 95M3/H - 220V - 18W - 60HZ. REFERÊNCIA: SICFLUX MEGA 10 OU OUTRO EQUIVALENTE (MULTIVAC). FORNECIMENTO E INSTALAÇÃO</v>
      </c>
      <c r="E558" s="312" t="str">
        <f>IF($C558="","",IFERROR(VLOOKUP($C558,SERVIÇOS!$B:$G,3,0),IFERROR(VLOOKUP($C558,'COMPOSIÇÕES COMPLEMENTARES '!$D:$L,3,0),IFERROR(VLOOKUP($C558,INSUMOS!$A:$D,3,0),""))))</f>
        <v>UN</v>
      </c>
      <c r="F558" s="313">
        <v>1</v>
      </c>
      <c r="G558" s="314">
        <f>IF($C558="","",IFERROR(VLOOKUP($C558,SERVIÇOS!$B:$G,4,0),IFERROR(VLOOKUP($C558,'COMPOSIÇÕES COMPLEMENTARES '!$D:$L,6,0),IFERROR(VLOOKUP($C558,INSUMOS!$A:$D,4,0),""))))</f>
        <v>210.08999999999997</v>
      </c>
      <c r="H558" s="314">
        <f>IF($C558="","",IFERROR(VLOOKUP($C558,SERVIÇOS!$B:$G,5,0),IFERROR(VLOOKUP($C558,'COMPOSIÇÕES COMPLEMENTARES '!$D:$L,7,0),0)))</f>
        <v>291.84000000000003</v>
      </c>
      <c r="I558" s="314">
        <f t="shared" si="50"/>
        <v>501.93</v>
      </c>
      <c r="J558" s="314">
        <f t="shared" si="51"/>
        <v>210.09</v>
      </c>
      <c r="K558" s="314">
        <f t="shared" si="52"/>
        <v>291.83999999999997</v>
      </c>
      <c r="L558" s="948">
        <f t="shared" si="53"/>
        <v>501.93</v>
      </c>
      <c r="M558" s="374">
        <f t="shared" si="54"/>
        <v>5599122.2000000095</v>
      </c>
      <c r="N558" s="375">
        <f>+M558/L$815</f>
        <v>0.99140874450598526</v>
      </c>
      <c r="O558" s="376" t="str">
        <f>IF(N558&lt;0.5,"A",IF(N558&gt;0.8,"C","B"))</f>
        <v>C</v>
      </c>
    </row>
    <row r="559" spans="1:35" ht="25.5" x14ac:dyDescent="0.25">
      <c r="A559" s="232">
        <f t="shared" si="49"/>
        <v>559</v>
      </c>
      <c r="B559" s="232"/>
      <c r="C559" s="310">
        <v>100867</v>
      </c>
      <c r="D559" s="373" t="str">
        <f>IF($C559="","",IFERROR(VLOOKUP($C559,SERVIÇOS!$B:$G,2,0),IFERROR(VLOOKUP($C559,'COMPOSIÇÕES COMPLEMENTARES '!$D:$L,2,0),IFERROR(VLOOKUP($C559,INSUMOS!$A:$D,2,0),""))))</f>
        <v>BARRA DE APOIO RETA, EM ACO INOX POLIDO, COMPRIMENTO 70 CM,  FIXADA NA PAREDE - FORNECIMENTO E INSTALAÇÃO. AF_01/2020</v>
      </c>
      <c r="E559" s="312" t="str">
        <f>IF($C559="","",IFERROR(VLOOKUP($C559,SERVIÇOS!$B:$G,3,0),IFERROR(VLOOKUP($C559,'COMPOSIÇÕES COMPLEMENTARES '!$D:$L,3,0),IFERROR(VLOOKUP($C559,INSUMOS!$A:$D,3,0),""))))</f>
        <v>UN</v>
      </c>
      <c r="F559" s="313">
        <v>2</v>
      </c>
      <c r="G559" s="314">
        <f>IF($C559="","",IFERROR(VLOOKUP($C559,SERVIÇOS!$B:$G,4,0),IFERROR(VLOOKUP($C559,'COMPOSIÇÕES COMPLEMENTARES '!$D:$L,6,0),IFERROR(VLOOKUP($C559,INSUMOS!$A:$D,4,0),""))))</f>
        <v>214.77</v>
      </c>
      <c r="H559" s="314">
        <f>IF($C559="","",IFERROR(VLOOKUP($C559,SERVIÇOS!$B:$G,5,0),IFERROR(VLOOKUP($C559,'COMPOSIÇÕES COMPLEMENTARES '!$D:$L,7,0),0)))</f>
        <v>31.95</v>
      </c>
      <c r="I559" s="314">
        <f t="shared" si="50"/>
        <v>246.72</v>
      </c>
      <c r="J559" s="314">
        <f t="shared" si="51"/>
        <v>429.54</v>
      </c>
      <c r="K559" s="314">
        <f t="shared" si="52"/>
        <v>63.9</v>
      </c>
      <c r="L559" s="948">
        <f t="shared" si="53"/>
        <v>493.44</v>
      </c>
      <c r="M559" s="374">
        <f t="shared" si="54"/>
        <v>5599615.6400000099</v>
      </c>
      <c r="N559" s="375">
        <f>+M559/L$815</f>
        <v>0.9914961154747578</v>
      </c>
      <c r="O559" s="376" t="str">
        <f>IF(N559&lt;0.5,"A",IF(N559&gt;0.8,"C","B"))</f>
        <v>C</v>
      </c>
    </row>
    <row r="560" spans="1:35" x14ac:dyDescent="0.25">
      <c r="A560" s="232">
        <f t="shared" si="49"/>
        <v>560</v>
      </c>
      <c r="B560" s="232"/>
      <c r="C560" s="310" t="s">
        <v>12183</v>
      </c>
      <c r="D560" s="373" t="str">
        <f>IF($C560="","",IFERROR(VLOOKUP($C560,SERVIÇOS!$B:$G,2,0),IFERROR(VLOOKUP($C560,'COMPOSIÇÕES COMPLEMENTARES '!$D:$L,2,0),IFERROR(VLOOKUP($C560,INSUMOS!$A:$D,2,0),""))))</f>
        <v>DISJUNTOR TERMOMAGNÉTICO TRIPOLAR 80A</v>
      </c>
      <c r="E560" s="312" t="str">
        <f>IF($C560="","",IFERROR(VLOOKUP($C560,SERVIÇOS!$B:$G,3,0),IFERROR(VLOOKUP($C560,'COMPOSIÇÕES COMPLEMENTARES '!$D:$L,3,0),IFERROR(VLOOKUP($C560,INSUMOS!$A:$D,3,0),""))))</f>
        <v>UN</v>
      </c>
      <c r="F560" s="313">
        <v>1</v>
      </c>
      <c r="G560" s="314">
        <f>IF($C560="","",IFERROR(VLOOKUP($C560,SERVIÇOS!$B:$G,4,0),IFERROR(VLOOKUP($C560,'COMPOSIÇÕES COMPLEMENTARES '!$D:$L,6,0),IFERROR(VLOOKUP($C560,INSUMOS!$A:$D,4,0),""))))</f>
        <v>446.75</v>
      </c>
      <c r="H560" s="314">
        <f>IF($C560="","",IFERROR(VLOOKUP($C560,SERVIÇOS!$B:$G,5,0),IFERROR(VLOOKUP($C560,'COMPOSIÇÕES COMPLEMENTARES '!$D:$L,7,0),0)))</f>
        <v>44.58</v>
      </c>
      <c r="I560" s="314">
        <f t="shared" si="50"/>
        <v>491.33</v>
      </c>
      <c r="J560" s="314">
        <f t="shared" si="51"/>
        <v>446.75</v>
      </c>
      <c r="K560" s="314">
        <f t="shared" si="52"/>
        <v>44.58</v>
      </c>
      <c r="L560" s="948">
        <f t="shared" si="53"/>
        <v>491.33</v>
      </c>
      <c r="M560" s="374">
        <f t="shared" si="54"/>
        <v>5600106.97000001</v>
      </c>
      <c r="N560" s="375">
        <f>+M560/L$815</f>
        <v>0.99158311283631528</v>
      </c>
      <c r="O560" s="376" t="str">
        <f>IF(N560&lt;0.5,"A",IF(N560&gt;0.8,"C","B"))</f>
        <v>C</v>
      </c>
    </row>
    <row r="561" spans="1:15" ht="25.5" x14ac:dyDescent="0.25">
      <c r="A561" s="232">
        <f t="shared" si="49"/>
        <v>561</v>
      </c>
      <c r="B561" s="232"/>
      <c r="C561" s="310">
        <v>91855</v>
      </c>
      <c r="D561" s="373" t="str">
        <f>IF($C561="","",IFERROR(VLOOKUP($C561,SERVIÇOS!$B:$G,2,0),IFERROR(VLOOKUP($C561,'COMPOSIÇÕES COMPLEMENTARES '!$D:$L,2,0),IFERROR(VLOOKUP($C561,INSUMOS!$A:$D,2,0),""))))</f>
        <v>ELETRODUTO FLEXÍVEL CORRUGADO REFORÇADO, PVC, DN 25 MM (3/4"), PARA CIRCUITOS TERMINAIS, INSTALADO EM PAREDE - FORNECIMENTO E INSTALAÇÃO. AF_03/2023</v>
      </c>
      <c r="E561" s="312" t="str">
        <f>IF($C561="","",IFERROR(VLOOKUP($C561,SERVIÇOS!$B:$G,3,0),IFERROR(VLOOKUP($C561,'COMPOSIÇÕES COMPLEMENTARES '!$D:$L,3,0),IFERROR(VLOOKUP($C561,INSUMOS!$A:$D,3,0),""))))</f>
        <v>M</v>
      </c>
      <c r="F561" s="313">
        <v>32</v>
      </c>
      <c r="G561" s="314">
        <f>IF($C561="","",IFERROR(VLOOKUP($C561,SERVIÇOS!$B:$G,4,0),IFERROR(VLOOKUP($C561,'COMPOSIÇÕES COMPLEMENTARES '!$D:$L,6,0),IFERROR(VLOOKUP($C561,INSUMOS!$A:$D,4,0),""))))</f>
        <v>8.57</v>
      </c>
      <c r="H561" s="314">
        <f>IF($C561="","",IFERROR(VLOOKUP($C561,SERVIÇOS!$B:$G,5,0),IFERROR(VLOOKUP($C561,'COMPOSIÇÕES COMPLEMENTARES '!$D:$L,7,0),0)))</f>
        <v>6.63</v>
      </c>
      <c r="I561" s="314">
        <f t="shared" si="50"/>
        <v>15.2</v>
      </c>
      <c r="J561" s="314">
        <f t="shared" si="51"/>
        <v>274.24</v>
      </c>
      <c r="K561" s="314">
        <f t="shared" si="52"/>
        <v>212.16</v>
      </c>
      <c r="L561" s="948">
        <f t="shared" si="53"/>
        <v>486.4</v>
      </c>
      <c r="M561" s="374">
        <f t="shared" si="54"/>
        <v>5600593.3700000104</v>
      </c>
      <c r="N561" s="375">
        <f>+M561/L$815</f>
        <v>0.9916692372672713</v>
      </c>
      <c r="O561" s="376" t="str">
        <f>IF(N561&lt;0.5,"A",IF(N561&gt;0.8,"C","B"))</f>
        <v>C</v>
      </c>
    </row>
    <row r="562" spans="1:15" x14ac:dyDescent="0.25">
      <c r="A562" s="232">
        <f t="shared" si="49"/>
        <v>562</v>
      </c>
      <c r="B562" s="232"/>
      <c r="C562" s="310" t="s">
        <v>12257</v>
      </c>
      <c r="D562" s="373" t="str">
        <f>IF($C562="","",IFERROR(VLOOKUP($C562,SERVIÇOS!$B:$G,2,0),IFERROR(VLOOKUP($C562,'COMPOSIÇÕES COMPLEMENTARES '!$D:$L,2,0),IFERROR(VLOOKUP($C562,INSUMOS!$A:$D,2,0),""))))</f>
        <v>ELETRODUTO FLEXÍVEL EM PEAD Ø1"</v>
      </c>
      <c r="E562" s="312" t="str">
        <f>IF($C562="","",IFERROR(VLOOKUP($C562,SERVIÇOS!$B:$G,3,0),IFERROR(VLOOKUP($C562,'COMPOSIÇÕES COMPLEMENTARES '!$D:$L,3,0),IFERROR(VLOOKUP($C562,INSUMOS!$A:$D,3,0),""))))</f>
        <v>M</v>
      </c>
      <c r="F562" s="313">
        <v>33</v>
      </c>
      <c r="G562" s="314">
        <f>IF($C562="","",IFERROR(VLOOKUP($C562,SERVIÇOS!$B:$G,4,0),IFERROR(VLOOKUP($C562,'COMPOSIÇÕES COMPLEMENTARES '!$D:$L,6,0),IFERROR(VLOOKUP($C562,INSUMOS!$A:$D,4,0),""))))</f>
        <v>6.53</v>
      </c>
      <c r="H562" s="314">
        <f>IF($C562="","",IFERROR(VLOOKUP($C562,SERVIÇOS!$B:$G,5,0),IFERROR(VLOOKUP($C562,'COMPOSIÇÕES COMPLEMENTARES '!$D:$L,7,0),0)))</f>
        <v>8.1199999999999992</v>
      </c>
      <c r="I562" s="314">
        <f t="shared" si="50"/>
        <v>14.649999999999999</v>
      </c>
      <c r="J562" s="314">
        <f t="shared" si="51"/>
        <v>215.49</v>
      </c>
      <c r="K562" s="314">
        <f t="shared" si="52"/>
        <v>267.95999999999998</v>
      </c>
      <c r="L562" s="948">
        <f t="shared" si="53"/>
        <v>483.45</v>
      </c>
      <c r="M562" s="374">
        <f t="shared" si="54"/>
        <v>5601076.8200000105</v>
      </c>
      <c r="N562" s="375">
        <f>+M562/L$815</f>
        <v>0.99175483935638653</v>
      </c>
      <c r="O562" s="376" t="str">
        <f>IF(N562&lt;0.5,"A",IF(N562&gt;0.8,"C","B"))</f>
        <v>C</v>
      </c>
    </row>
    <row r="563" spans="1:15" ht="25.5" x14ac:dyDescent="0.25">
      <c r="A563" s="232">
        <f t="shared" si="49"/>
        <v>563</v>
      </c>
      <c r="B563" s="232"/>
      <c r="C563" s="310" t="s">
        <v>12466</v>
      </c>
      <c r="D563" s="373" t="str">
        <f>IF($C563="","",IFERROR(VLOOKUP($C563,SERVIÇOS!$B:$G,2,0),IFERROR(VLOOKUP($C563,'COMPOSIÇÕES COMPLEMENTARES '!$D:$L,2,0),IFERROR(VLOOKUP($C563,INSUMOS!$A:$D,2,0),""))))</f>
        <v>DAMPER DE REGULAGEM DE VAZÃO 350x300MM. MARCA TROPICAL DRV-350x300 (OU EQUIVALENTE (OU SIMILAR - TROX, SEIMMEI, DIFUSAR) -  FORNECIMENTO E INSTALAÇÃO</v>
      </c>
      <c r="E563" s="312" t="str">
        <f>IF($C563="","",IFERROR(VLOOKUP($C563,SERVIÇOS!$B:$G,3,0),IFERROR(VLOOKUP($C563,'COMPOSIÇÕES COMPLEMENTARES '!$D:$L,3,0),IFERROR(VLOOKUP($C563,INSUMOS!$A:$D,3,0),""))))</f>
        <v>UN</v>
      </c>
      <c r="F563" s="313">
        <v>2</v>
      </c>
      <c r="G563" s="314">
        <f>IF($C563="","",IFERROR(VLOOKUP($C563,SERVIÇOS!$B:$G,4,0),IFERROR(VLOOKUP($C563,'COMPOSIÇÕES COMPLEMENTARES '!$D:$L,6,0),IFERROR(VLOOKUP($C563,INSUMOS!$A:$D,4,0),""))))</f>
        <v>229.06</v>
      </c>
      <c r="H563" s="314">
        <f>IF($C563="","",IFERROR(VLOOKUP($C563,SERVIÇOS!$B:$G,5,0),IFERROR(VLOOKUP($C563,'COMPOSIÇÕES COMPLEMENTARES '!$D:$L,7,0),0)))</f>
        <v>11.05</v>
      </c>
      <c r="I563" s="314">
        <f t="shared" si="50"/>
        <v>240.11</v>
      </c>
      <c r="J563" s="314">
        <f t="shared" si="51"/>
        <v>458.12</v>
      </c>
      <c r="K563" s="314">
        <f t="shared" si="52"/>
        <v>22.1</v>
      </c>
      <c r="L563" s="948">
        <f t="shared" si="53"/>
        <v>480.22</v>
      </c>
      <c r="M563" s="374">
        <f t="shared" si="54"/>
        <v>5601557.0400000103</v>
      </c>
      <c r="N563" s="375">
        <f>+M563/L$815</f>
        <v>0.99183986952545244</v>
      </c>
      <c r="O563" s="376" t="str">
        <f>IF(N563&lt;0.5,"A",IF(N563&gt;0.8,"C","B"))</f>
        <v>C</v>
      </c>
    </row>
    <row r="564" spans="1:15" x14ac:dyDescent="0.25">
      <c r="A564" s="232">
        <f t="shared" si="49"/>
        <v>564</v>
      </c>
      <c r="B564" s="232"/>
      <c r="C564" s="310" t="s">
        <v>12092</v>
      </c>
      <c r="D564" s="373" t="str">
        <f>IF($C564="","",IFERROR(VLOOKUP($C564,SERVIÇOS!$B:$G,2,0),IFERROR(VLOOKUP($C564,'COMPOSIÇÕES COMPLEMENTARES '!$D:$L,2,0),IFERROR(VLOOKUP($C564,INSUMOS!$A:$D,2,0),""))))</f>
        <v>SISTEMA REALIMENTADOR AUTOMÁTICO, CONTROLADOR DE ÁGUA POTÁVEL, DN 25 MM (Ø1")</v>
      </c>
      <c r="E564" s="312" t="str">
        <f>IF($C564="","",IFERROR(VLOOKUP($C564,SERVIÇOS!$B:$G,3,0),IFERROR(VLOOKUP($C564,'COMPOSIÇÕES COMPLEMENTARES '!$D:$L,3,0),IFERROR(VLOOKUP($C564,INSUMOS!$A:$D,3,0),""))))</f>
        <v>UN</v>
      </c>
      <c r="F564" s="313">
        <v>1</v>
      </c>
      <c r="G564" s="314">
        <f>IF($C564="","",IFERROR(VLOOKUP($C564,SERVIÇOS!$B:$G,4,0),IFERROR(VLOOKUP($C564,'COMPOSIÇÕES COMPLEMENTARES '!$D:$L,6,0),IFERROR(VLOOKUP($C564,INSUMOS!$A:$D,4,0),""))))</f>
        <v>459.32</v>
      </c>
      <c r="H564" s="314">
        <f>IF($C564="","",IFERROR(VLOOKUP($C564,SERVIÇOS!$B:$G,5,0),IFERROR(VLOOKUP($C564,'COMPOSIÇÕES COMPLEMENTARES '!$D:$L,7,0),0)))</f>
        <v>19.440000000000001</v>
      </c>
      <c r="I564" s="314">
        <f t="shared" si="50"/>
        <v>478.76</v>
      </c>
      <c r="J564" s="314">
        <f t="shared" si="51"/>
        <v>459.32</v>
      </c>
      <c r="K564" s="314">
        <f t="shared" si="52"/>
        <v>19.440000000000001</v>
      </c>
      <c r="L564" s="948">
        <f t="shared" si="53"/>
        <v>478.76</v>
      </c>
      <c r="M564" s="374">
        <f t="shared" si="54"/>
        <v>5602035.8000000101</v>
      </c>
      <c r="N564" s="375">
        <f>+M564/L$815</f>
        <v>0.99192464117957335</v>
      </c>
      <c r="O564" s="376" t="str">
        <f>IF(N564&lt;0.5,"A",IF(N564&gt;0.8,"C","B"))</f>
        <v>C</v>
      </c>
    </row>
    <row r="565" spans="1:15" ht="38.25" x14ac:dyDescent="0.25">
      <c r="A565" s="232">
        <f t="shared" si="49"/>
        <v>565</v>
      </c>
      <c r="B565" s="232"/>
      <c r="C565" s="310" t="s">
        <v>12476</v>
      </c>
      <c r="D565" s="373" t="str">
        <f>IF($C565="","",IFERROR(VLOOKUP($C565,SERVIÇOS!$B:$G,2,0),IFERROR(VLOOKUP($C565,'COMPOSIÇÕES COMPLEMENTARES '!$D:$L,2,0),IFERROR(VLOOKUP($C565,INSUMOS!$A:$D,2,0),""))))</f>
        <v>DAMPER CORTA FOGO E FUMAÇA, EM CHAPA DE AÇO ZINCADO CONFORME NBR 7008 ZC, REVESTIMENTO B, DE FECHAMENTO AUTOMÁTICO, DE TEMPO DE RESISTÊNCIA AO FOGO DE 90 MINUTOS, DIMENSÕES 300X250MM COM ELEMENTO FUSÍVEL 72°C, CHAVE FIM DE CURSO E SOLENÓIDE DE DISPARO E SOLENÓIDE. REFERÊNCIA: TROX FKA-TI-BR-90 OU EQUIVALENTE TÉCNICO</v>
      </c>
      <c r="E565" s="312" t="str">
        <f>IF($C565="","",IFERROR(VLOOKUP($C565,SERVIÇOS!$B:$G,3,0),IFERROR(VLOOKUP($C565,'COMPOSIÇÕES COMPLEMENTARES '!$D:$L,3,0),IFERROR(VLOOKUP($C565,INSUMOS!$A:$D,3,0),""))))</f>
        <v>UN</v>
      </c>
      <c r="F565" s="313">
        <v>1</v>
      </c>
      <c r="G565" s="314">
        <f>IF($C565="","",IFERROR(VLOOKUP($C565,SERVIÇOS!$B:$G,4,0),IFERROR(VLOOKUP($C565,'COMPOSIÇÕES COMPLEMENTARES '!$D:$L,6,0),IFERROR(VLOOKUP($C565,INSUMOS!$A:$D,4,0),""))))</f>
        <v>464.24</v>
      </c>
      <c r="H565" s="314">
        <f>IF($C565="","",IFERROR(VLOOKUP($C565,SERVIÇOS!$B:$G,5,0),IFERROR(VLOOKUP($C565,'COMPOSIÇÕES COMPLEMENTARES '!$D:$L,7,0),0)))</f>
        <v>13.81</v>
      </c>
      <c r="I565" s="314">
        <f t="shared" si="50"/>
        <v>478.05</v>
      </c>
      <c r="J565" s="314">
        <f t="shared" si="51"/>
        <v>464.24</v>
      </c>
      <c r="K565" s="314">
        <f t="shared" si="52"/>
        <v>13.81</v>
      </c>
      <c r="L565" s="948">
        <f t="shared" si="53"/>
        <v>478.05</v>
      </c>
      <c r="M565" s="374">
        <f t="shared" si="54"/>
        <v>5602513.8500000099</v>
      </c>
      <c r="N565" s="375">
        <f>+M565/L$815</f>
        <v>0.99200928711752256</v>
      </c>
      <c r="O565" s="376" t="str">
        <f>IF(N565&lt;0.5,"A",IF(N565&gt;0.8,"C","B"))</f>
        <v>C</v>
      </c>
    </row>
    <row r="566" spans="1:15" ht="25.5" x14ac:dyDescent="0.25">
      <c r="A566" s="232">
        <f t="shared" si="49"/>
        <v>566</v>
      </c>
      <c r="B566" s="232"/>
      <c r="C566" s="310" t="s">
        <v>12454</v>
      </c>
      <c r="D566" s="373" t="str">
        <f>IF($C566="","",IFERROR(VLOOKUP($C566,SERVIÇOS!$B:$G,2,0),IFERROR(VLOOKUP($C566,'COMPOSIÇÕES COMPLEMENTARES '!$D:$L,2,0),IFERROR(VLOOKUP($C566,INSUMOS!$A:$D,2,0),""))))</f>
        <v>DAMPER DE REGULAGEM DE VAZÃO 150x100MM. MARCA TROPICAL DRV-150x100 (OU EQUIVALENTE (OU SIMILAR - TROX, SEIMMEI, DIFUSAR)</v>
      </c>
      <c r="E566" s="312" t="str">
        <f>IF($C566="","",IFERROR(VLOOKUP($C566,SERVIÇOS!$B:$G,3,0),IFERROR(VLOOKUP($C566,'COMPOSIÇÕES COMPLEMENTARES '!$D:$L,3,0),IFERROR(VLOOKUP($C566,INSUMOS!$A:$D,3,0),""))))</f>
        <v>UN</v>
      </c>
      <c r="F566" s="313">
        <v>10</v>
      </c>
      <c r="G566" s="314">
        <f>IF($C566="","",IFERROR(VLOOKUP($C566,SERVIÇOS!$B:$G,4,0),IFERROR(VLOOKUP($C566,'COMPOSIÇÕES COMPLEMENTARES '!$D:$L,6,0),IFERROR(VLOOKUP($C566,INSUMOS!$A:$D,4,0),""))))</f>
        <v>36.22</v>
      </c>
      <c r="H566" s="314">
        <f>IF($C566="","",IFERROR(VLOOKUP($C566,SERVIÇOS!$B:$G,5,0),IFERROR(VLOOKUP($C566,'COMPOSIÇÕES COMPLEMENTARES '!$D:$L,7,0),0)))</f>
        <v>11.05</v>
      </c>
      <c r="I566" s="314">
        <f t="shared" si="50"/>
        <v>47.269999999999996</v>
      </c>
      <c r="J566" s="314">
        <f t="shared" si="51"/>
        <v>362.2</v>
      </c>
      <c r="K566" s="314">
        <f t="shared" si="52"/>
        <v>110.5</v>
      </c>
      <c r="L566" s="948">
        <f t="shared" si="53"/>
        <v>472.7</v>
      </c>
      <c r="M566" s="374">
        <f t="shared" si="54"/>
        <v>5602986.5500000101</v>
      </c>
      <c r="N566" s="375">
        <f>+M566/L$815</f>
        <v>0.99209298575755722</v>
      </c>
      <c r="O566" s="376" t="str">
        <f>IF(N566&lt;0.5,"A",IF(N566&gt;0.8,"C","B"))</f>
        <v>C</v>
      </c>
    </row>
    <row r="567" spans="1:15" ht="25.5" x14ac:dyDescent="0.25">
      <c r="A567" s="232">
        <f t="shared" si="49"/>
        <v>567</v>
      </c>
      <c r="B567" s="232"/>
      <c r="C567" s="310">
        <v>100866</v>
      </c>
      <c r="D567" s="373" t="str">
        <f>IF($C567="","",IFERROR(VLOOKUP($C567,SERVIÇOS!$B:$G,2,0),IFERROR(VLOOKUP($C567,'COMPOSIÇÕES COMPLEMENTARES '!$D:$L,2,0),IFERROR(VLOOKUP($C567,INSUMOS!$A:$D,2,0),""))))</f>
        <v>BARRA DE APOIO RETA, EM ACO INOX POLIDO, COMPRIMENTO 60CM, FIXADA NA PAREDE - FORNECIMENTO E INSTALAÇÃO. AF_01/2020</v>
      </c>
      <c r="E567" s="312" t="str">
        <f>IF($C567="","",IFERROR(VLOOKUP($C567,SERVIÇOS!$B:$G,3,0),IFERROR(VLOOKUP($C567,'COMPOSIÇÕES COMPLEMENTARES '!$D:$L,3,0),IFERROR(VLOOKUP($C567,INSUMOS!$A:$D,3,0),""))))</f>
        <v>UN</v>
      </c>
      <c r="F567" s="313">
        <v>2</v>
      </c>
      <c r="G567" s="314">
        <f>IF($C567="","",IFERROR(VLOOKUP($C567,SERVIÇOS!$B:$G,4,0),IFERROR(VLOOKUP($C567,'COMPOSIÇÕES COMPLEMENTARES '!$D:$L,6,0),IFERROR(VLOOKUP($C567,INSUMOS!$A:$D,4,0),""))))</f>
        <v>203.46</v>
      </c>
      <c r="H567" s="314">
        <f>IF($C567="","",IFERROR(VLOOKUP($C567,SERVIÇOS!$B:$G,5,0),IFERROR(VLOOKUP($C567,'COMPOSIÇÕES COMPLEMENTARES '!$D:$L,7,0),0)))</f>
        <v>31.94</v>
      </c>
      <c r="I567" s="314">
        <f t="shared" si="50"/>
        <v>235.4</v>
      </c>
      <c r="J567" s="314">
        <f t="shared" si="51"/>
        <v>406.92</v>
      </c>
      <c r="K567" s="314">
        <f t="shared" si="52"/>
        <v>63.88</v>
      </c>
      <c r="L567" s="948">
        <f t="shared" si="53"/>
        <v>470.8</v>
      </c>
      <c r="M567" s="374">
        <f t="shared" si="54"/>
        <v>5603457.3500000099</v>
      </c>
      <c r="N567" s="375">
        <f>+M567/L$815</f>
        <v>0.99217634797403342</v>
      </c>
      <c r="O567" s="376" t="str">
        <f>IF(N567&lt;0.5,"A",IF(N567&gt;0.8,"C","B"))</f>
        <v>C</v>
      </c>
    </row>
    <row r="568" spans="1:15" x14ac:dyDescent="0.25">
      <c r="A568" s="232">
        <f t="shared" si="49"/>
        <v>568</v>
      </c>
      <c r="B568" s="232"/>
      <c r="C568" s="310" t="s">
        <v>12257</v>
      </c>
      <c r="D568" s="373" t="str">
        <f>IF($C568="","",IFERROR(VLOOKUP($C568,SERVIÇOS!$B:$G,2,0),IFERROR(VLOOKUP($C568,'COMPOSIÇÕES COMPLEMENTARES '!$D:$L,2,0),IFERROR(VLOOKUP($C568,INSUMOS!$A:$D,2,0),""))))</f>
        <v>ELETRODUTO FLEXÍVEL EM PEAD Ø1"</v>
      </c>
      <c r="E568" s="312" t="str">
        <f>IF($C568="","",IFERROR(VLOOKUP($C568,SERVIÇOS!$B:$G,3,0),IFERROR(VLOOKUP($C568,'COMPOSIÇÕES COMPLEMENTARES '!$D:$L,3,0),IFERROR(VLOOKUP($C568,INSUMOS!$A:$D,3,0),""))))</f>
        <v>M</v>
      </c>
      <c r="F568" s="313">
        <v>32</v>
      </c>
      <c r="G568" s="314">
        <f>IF($C568="","",IFERROR(VLOOKUP($C568,SERVIÇOS!$B:$G,4,0),IFERROR(VLOOKUP($C568,'COMPOSIÇÕES COMPLEMENTARES '!$D:$L,6,0),IFERROR(VLOOKUP($C568,INSUMOS!$A:$D,4,0),""))))</f>
        <v>6.53</v>
      </c>
      <c r="H568" s="314">
        <f>IF($C568="","",IFERROR(VLOOKUP($C568,SERVIÇOS!$B:$G,5,0),IFERROR(VLOOKUP($C568,'COMPOSIÇÕES COMPLEMENTARES '!$D:$L,7,0),0)))</f>
        <v>8.1199999999999992</v>
      </c>
      <c r="I568" s="314">
        <f t="shared" si="50"/>
        <v>14.649999999999999</v>
      </c>
      <c r="J568" s="314">
        <f t="shared" si="51"/>
        <v>208.96</v>
      </c>
      <c r="K568" s="314">
        <f t="shared" si="52"/>
        <v>259.83999999999997</v>
      </c>
      <c r="L568" s="948">
        <f t="shared" si="53"/>
        <v>468.8</v>
      </c>
      <c r="M568" s="374">
        <f t="shared" si="54"/>
        <v>5603926.1500000097</v>
      </c>
      <c r="N568" s="375">
        <f>+M568/L$815</f>
        <v>0.99225935606044813</v>
      </c>
      <c r="O568" s="376" t="str">
        <f>IF(N568&lt;0.5,"A",IF(N568&gt;0.8,"C","B"))</f>
        <v>C</v>
      </c>
    </row>
    <row r="569" spans="1:15" ht="25.5" x14ac:dyDescent="0.25">
      <c r="A569" s="232">
        <f t="shared" si="49"/>
        <v>569</v>
      </c>
      <c r="B569" s="232"/>
      <c r="C569" s="310" t="s">
        <v>12515</v>
      </c>
      <c r="D569" s="373" t="str">
        <f>IF($C569="","",IFERROR(VLOOKUP($C569,SERVIÇOS!$B:$G,2,0),IFERROR(VLOOKUP($C569,'COMPOSIÇÕES COMPLEMENTARES '!$D:$L,2,0),IFERROR(VLOOKUP($C569,INSUMOS!$A:$D,2,0),""))))</f>
        <v>RAMPA PADRÃO PARA ACESSO DE DEFICIENTES A PASSEIO PÚBLICO, EM CONCRETO SIMPLES FCK=25MPA, DESEMPOLADA, PINTADA EM NOVACOR, 02 DEMÃOS E PISO TÁTIL DE ALERTA/DIRECIONAL.</v>
      </c>
      <c r="E569" s="312" t="str">
        <f>IF($C569="","",IFERROR(VLOOKUP($C569,SERVIÇOS!$B:$G,3,0),IFERROR(VLOOKUP($C569,'COMPOSIÇÕES COMPLEMENTARES '!$D:$L,3,0),IFERROR(VLOOKUP($C569,INSUMOS!$A:$D,3,0),""))))</f>
        <v>UN</v>
      </c>
      <c r="F569" s="313">
        <v>2</v>
      </c>
      <c r="G569" s="314">
        <f>IF($C569="","",IFERROR(VLOOKUP($C569,SERVIÇOS!$B:$G,4,0),IFERROR(VLOOKUP($C569,'COMPOSIÇÕES COMPLEMENTARES '!$D:$L,6,0),IFERROR(VLOOKUP($C569,INSUMOS!$A:$D,4,0),""))))</f>
        <v>119.21</v>
      </c>
      <c r="H569" s="314">
        <f>IF($C569="","",IFERROR(VLOOKUP($C569,SERVIÇOS!$B:$G,5,0),IFERROR(VLOOKUP($C569,'COMPOSIÇÕES COMPLEMENTARES '!$D:$L,7,0),0)))</f>
        <v>110.64</v>
      </c>
      <c r="I569" s="314">
        <f t="shared" si="50"/>
        <v>229.85</v>
      </c>
      <c r="J569" s="314">
        <f t="shared" si="51"/>
        <v>238.42</v>
      </c>
      <c r="K569" s="314">
        <f t="shared" si="52"/>
        <v>221.28</v>
      </c>
      <c r="L569" s="948">
        <f t="shared" si="53"/>
        <v>459.7</v>
      </c>
      <c r="M569" s="374">
        <f t="shared" si="54"/>
        <v>5604385.8500000099</v>
      </c>
      <c r="N569" s="375">
        <f>+M569/L$815</f>
        <v>0.99234075285508316</v>
      </c>
      <c r="O569" s="376" t="str">
        <f>IF(N569&lt;0.5,"A",IF(N569&gt;0.8,"C","B"))</f>
        <v>C</v>
      </c>
    </row>
    <row r="570" spans="1:15" ht="25.5" x14ac:dyDescent="0.25">
      <c r="A570" s="232">
        <f t="shared" si="49"/>
        <v>570</v>
      </c>
      <c r="B570" s="232"/>
      <c r="C570" s="310">
        <v>96486</v>
      </c>
      <c r="D570" s="373" t="str">
        <f>IF($C570="","",IFERROR(VLOOKUP($C570,SERVIÇOS!$B:$G,2,0),IFERROR(VLOOKUP($C570,'COMPOSIÇÕES COMPLEMENTARES '!$D:$L,2,0),IFERROR(VLOOKUP($C570,INSUMOS!$A:$D,2,0),""))))</f>
        <v>FORRO EM RÉGUAS DE PVC, LISO, PARA AMBIENTES COMERCIAIS, INCLUSIVE ESTRUTURA BIDIRECIONAL DE FIXAÇÃO. AF_08/2023_PS</v>
      </c>
      <c r="E570" s="312" t="str">
        <f>IF($C570="","",IFERROR(VLOOKUP($C570,SERVIÇOS!$B:$G,3,0),IFERROR(VLOOKUP($C570,'COMPOSIÇÕES COMPLEMENTARES '!$D:$L,3,0),IFERROR(VLOOKUP($C570,INSUMOS!$A:$D,3,0),""))))</f>
        <v>M2</v>
      </c>
      <c r="F570" s="313">
        <v>5.28</v>
      </c>
      <c r="G570" s="314">
        <f>IF($C570="","",IFERROR(VLOOKUP($C570,SERVIÇOS!$B:$G,4,0),IFERROR(VLOOKUP($C570,'COMPOSIÇÕES COMPLEMENTARES '!$D:$L,6,0),IFERROR(VLOOKUP($C570,INSUMOS!$A:$D,4,0),""))))</f>
        <v>71.41</v>
      </c>
      <c r="H570" s="314">
        <f>IF($C570="","",IFERROR(VLOOKUP($C570,SERVIÇOS!$B:$G,5,0),IFERROR(VLOOKUP($C570,'COMPOSIÇÕES COMPLEMENTARES '!$D:$L,7,0),0)))</f>
        <v>14.46</v>
      </c>
      <c r="I570" s="314">
        <f t="shared" si="50"/>
        <v>85.87</v>
      </c>
      <c r="J570" s="314">
        <f t="shared" si="51"/>
        <v>377.04</v>
      </c>
      <c r="K570" s="314">
        <f t="shared" si="52"/>
        <v>76.34</v>
      </c>
      <c r="L570" s="948">
        <f t="shared" si="53"/>
        <v>453.38</v>
      </c>
      <c r="M570" s="374">
        <f t="shared" si="54"/>
        <v>5604839.2300000098</v>
      </c>
      <c r="N570" s="375">
        <f>+M570/L$815</f>
        <v>0.99242103059872377</v>
      </c>
      <c r="O570" s="376" t="str">
        <f>IF(N570&lt;0.5,"A",IF(N570&gt;0.8,"C","B"))</f>
        <v>C</v>
      </c>
    </row>
    <row r="571" spans="1:15" ht="25.5" x14ac:dyDescent="0.25">
      <c r="A571" s="232">
        <f t="shared" si="49"/>
        <v>571</v>
      </c>
      <c r="B571" s="232"/>
      <c r="C571" s="310">
        <v>91222</v>
      </c>
      <c r="D571" s="373" t="str">
        <f>IF($C571="","",IFERROR(VLOOKUP($C571,SERVIÇOS!$B:$G,2,0),IFERROR(VLOOKUP($C571,'COMPOSIÇÕES COMPLEMENTARES '!$D:$L,2,0),IFERROR(VLOOKUP($C571,INSUMOS!$A:$D,2,0),""))))</f>
        <v>RASGO LINEAR MANUAL EM ALVENARIA, PARA RAMAIS/ DISTRIBUIÇÃO DE INSTALAÇÕES HIDRÁULICAS, DIÂMETROS MAIORES QUE 40 MM E MENORES OU IGUAIS A 75 MM. AF_09/2023</v>
      </c>
      <c r="E571" s="312" t="str">
        <f>IF($C571="","",IFERROR(VLOOKUP($C571,SERVIÇOS!$B:$G,3,0),IFERROR(VLOOKUP($C571,'COMPOSIÇÕES COMPLEMENTARES '!$D:$L,3,0),IFERROR(VLOOKUP($C571,INSUMOS!$A:$D,3,0),""))))</f>
        <v>M</v>
      </c>
      <c r="F571" s="313">
        <v>39</v>
      </c>
      <c r="G571" s="314">
        <f>IF($C571="","",IFERROR(VLOOKUP($C571,SERVIÇOS!$B:$G,4,0),IFERROR(VLOOKUP($C571,'COMPOSIÇÕES COMPLEMENTARES '!$D:$L,6,0),IFERROR(VLOOKUP($C571,INSUMOS!$A:$D,4,0),""))))</f>
        <v>2.89</v>
      </c>
      <c r="H571" s="314">
        <f>IF($C571="","",IFERROR(VLOOKUP($C571,SERVIÇOS!$B:$G,5,0),IFERROR(VLOOKUP($C571,'COMPOSIÇÕES COMPLEMENTARES '!$D:$L,7,0),0)))</f>
        <v>8.7200000000000006</v>
      </c>
      <c r="I571" s="314">
        <f t="shared" si="50"/>
        <v>11.610000000000001</v>
      </c>
      <c r="J571" s="314">
        <f t="shared" si="51"/>
        <v>112.71</v>
      </c>
      <c r="K571" s="314">
        <f t="shared" si="52"/>
        <v>340.08</v>
      </c>
      <c r="L571" s="948">
        <f t="shared" si="53"/>
        <v>452.79</v>
      </c>
      <c r="M571" s="374">
        <f t="shared" si="54"/>
        <v>5605292.0200000098</v>
      </c>
      <c r="N571" s="375">
        <f>+M571/L$815</f>
        <v>0.99250120387399621</v>
      </c>
      <c r="O571" s="376" t="str">
        <f>IF(N571&lt;0.5,"A",IF(N571&gt;0.8,"C","B"))</f>
        <v>C</v>
      </c>
    </row>
    <row r="572" spans="1:15" ht="25.5" x14ac:dyDescent="0.25">
      <c r="A572" s="232">
        <f t="shared" si="49"/>
        <v>572</v>
      </c>
      <c r="B572" s="232"/>
      <c r="C572" s="310">
        <v>92005</v>
      </c>
      <c r="D572" s="378" t="str">
        <f>IF($C572="","",IFERROR(VLOOKUP($C572,SERVIÇOS!$B:$G,2,0),IFERROR(VLOOKUP($C572,'COMPOSIÇÕES COMPLEMENTARES '!$D:$L,2,0),IFERROR(VLOOKUP($C572,INSUMOS!$A:$D,2,0),""))))</f>
        <v>TOMADA MÉDIA DE EMBUTIR (2 MÓDULOS), 2P+T 20 A, INCLUINDO SUPORTE E PLACA - FORNECIMENTO E INSTALAÇÃO. AF_03/2023</v>
      </c>
      <c r="E572" s="379" t="str">
        <f>IF($C572="","",IFERROR(VLOOKUP($C572,SERVIÇOS!$B:$G,3,0),IFERROR(VLOOKUP($C572,'COMPOSIÇÕES COMPLEMENTARES '!$D:$L,3,0),IFERROR(VLOOKUP($C572,INSUMOS!$A:$D,3,0),""))))</f>
        <v>UN</v>
      </c>
      <c r="F572" s="313">
        <v>6</v>
      </c>
      <c r="G572" s="380">
        <f>IF($C572="","",IFERROR(VLOOKUP($C572,SERVIÇOS!$B:$G,4,0),IFERROR(VLOOKUP($C572,'COMPOSIÇÕES COMPLEMENTARES '!$D:$L,6,0),IFERROR(VLOOKUP($C572,INSUMOS!$A:$D,4,0),""))))</f>
        <v>40.08</v>
      </c>
      <c r="H572" s="380">
        <f>IF($C572="","",IFERROR(VLOOKUP($C572,SERVIÇOS!$B:$G,5,0),IFERROR(VLOOKUP($C572,'COMPOSIÇÕES COMPLEMENTARES '!$D:$L,7,0),0)))</f>
        <v>34.67</v>
      </c>
      <c r="I572" s="314">
        <f t="shared" si="50"/>
        <v>74.75</v>
      </c>
      <c r="J572" s="314">
        <f t="shared" si="51"/>
        <v>240.48</v>
      </c>
      <c r="K572" s="314">
        <f t="shared" si="52"/>
        <v>208.02</v>
      </c>
      <c r="L572" s="948">
        <f t="shared" si="53"/>
        <v>448.5</v>
      </c>
      <c r="M572" s="374">
        <f t="shared" si="54"/>
        <v>5605740.5200000098</v>
      </c>
      <c r="N572" s="375">
        <f>+M572/L$815</f>
        <v>0.99258061754028681</v>
      </c>
      <c r="O572" s="376" t="str">
        <f>IF(N572&lt;0.5,"A",IF(N572&gt;0.8,"C","B"))</f>
        <v>C</v>
      </c>
    </row>
    <row r="573" spans="1:15" ht="25.5" x14ac:dyDescent="0.25">
      <c r="A573" s="232">
        <f t="shared" si="49"/>
        <v>573</v>
      </c>
      <c r="B573" s="232"/>
      <c r="C573" s="310">
        <v>97668</v>
      </c>
      <c r="D573" s="373" t="str">
        <f>IF($C573="","",IFERROR(VLOOKUP($C573,SERVIÇOS!$B:$G,2,0),IFERROR(VLOOKUP($C573,'COMPOSIÇÕES COMPLEMENTARES '!$D:$L,2,0),IFERROR(VLOOKUP($C573,INSUMOS!$A:$D,2,0),""))))</f>
        <v>ELETRODUTO FLEXÍVEL CORRUGADO, PEAD, DN 63 (2"), PARA REDE ENTERRADA DE DISTRIBUIÇÃO DE ENERGIA ELÉTRICA - FORNECIMENTO E INSTALAÇÃO. AF_12/2021</v>
      </c>
      <c r="E573" s="312" t="str">
        <f>IF($C573="","",IFERROR(VLOOKUP($C573,SERVIÇOS!$B:$G,3,0),IFERROR(VLOOKUP($C573,'COMPOSIÇÕES COMPLEMENTARES '!$D:$L,3,0),IFERROR(VLOOKUP($C573,INSUMOS!$A:$D,3,0),""))))</f>
        <v>M</v>
      </c>
      <c r="F573" s="313">
        <v>28</v>
      </c>
      <c r="G573" s="314">
        <f>IF($C573="","",IFERROR(VLOOKUP($C573,SERVIÇOS!$B:$G,4,0),IFERROR(VLOOKUP($C573,'COMPOSIÇÕES COMPLEMENTARES '!$D:$L,6,0),IFERROR(VLOOKUP($C573,INSUMOS!$A:$D,4,0),""))))</f>
        <v>11.19</v>
      </c>
      <c r="H573" s="314">
        <f>IF($C573="","",IFERROR(VLOOKUP($C573,SERVIÇOS!$B:$G,5,0),IFERROR(VLOOKUP($C573,'COMPOSIÇÕES COMPLEMENTARES '!$D:$L,7,0),0)))</f>
        <v>4.68</v>
      </c>
      <c r="I573" s="314">
        <f t="shared" si="50"/>
        <v>15.87</v>
      </c>
      <c r="J573" s="314">
        <f t="shared" si="51"/>
        <v>313.32</v>
      </c>
      <c r="K573" s="314">
        <f t="shared" si="52"/>
        <v>131.04</v>
      </c>
      <c r="L573" s="948">
        <f t="shared" si="53"/>
        <v>444.36</v>
      </c>
      <c r="M573" s="374">
        <f t="shared" si="54"/>
        <v>5606184.8800000101</v>
      </c>
      <c r="N573" s="375">
        <f>+M573/L$815</f>
        <v>0.99265929815735021</v>
      </c>
      <c r="O573" s="376" t="str">
        <f>IF(N573&lt;0.5,"A",IF(N573&gt;0.8,"C","B"))</f>
        <v>C</v>
      </c>
    </row>
    <row r="574" spans="1:15" x14ac:dyDescent="0.25">
      <c r="A574" s="232">
        <f t="shared" si="49"/>
        <v>574</v>
      </c>
      <c r="B574" s="232"/>
      <c r="C574" s="310" t="s">
        <v>12170</v>
      </c>
      <c r="D574" s="373" t="str">
        <f>IF($C574="","",IFERROR(VLOOKUP($C574,SERVIÇOS!$B:$G,2,0),IFERROR(VLOOKUP($C574,'COMPOSIÇÕES COMPLEMENTARES '!$D:$L,2,0),IFERROR(VLOOKUP($C574,INSUMOS!$A:$D,2,0),""))))</f>
        <v>EXTINTOR PORTÁTIL 4 KG COM SUPORTE DE PAREDE E CARGA DE PÓ QUIMICO SECO 20-B</v>
      </c>
      <c r="E574" s="312" t="str">
        <f>IF($C574="","",IFERROR(VLOOKUP($C574,SERVIÇOS!$B:$G,3,0),IFERROR(VLOOKUP($C574,'COMPOSIÇÕES COMPLEMENTARES '!$D:$L,3,0),IFERROR(VLOOKUP($C574,INSUMOS!$A:$D,3,0),""))))</f>
        <v>UN</v>
      </c>
      <c r="F574" s="313">
        <v>2</v>
      </c>
      <c r="G574" s="314">
        <f>IF($C574="","",IFERROR(VLOOKUP($C574,SERVIÇOS!$B:$G,4,0),IFERROR(VLOOKUP($C574,'COMPOSIÇÕES COMPLEMENTARES '!$D:$L,6,0),IFERROR(VLOOKUP($C574,INSUMOS!$A:$D,4,0),""))))</f>
        <v>195.39</v>
      </c>
      <c r="H574" s="314">
        <f>IF($C574="","",IFERROR(VLOOKUP($C574,SERVIÇOS!$B:$G,5,0),IFERROR(VLOOKUP($C574,'COMPOSIÇÕES COMPLEMENTARES '!$D:$L,7,0),0)))</f>
        <v>23.56</v>
      </c>
      <c r="I574" s="314">
        <f t="shared" si="50"/>
        <v>218.95</v>
      </c>
      <c r="J574" s="314">
        <f t="shared" si="51"/>
        <v>390.78</v>
      </c>
      <c r="K574" s="314">
        <f t="shared" si="52"/>
        <v>47.12</v>
      </c>
      <c r="L574" s="948">
        <f t="shared" si="53"/>
        <v>437.9</v>
      </c>
      <c r="M574" s="374">
        <f t="shared" si="54"/>
        <v>5606622.7800000105</v>
      </c>
      <c r="N574" s="375">
        <f>+M574/L$815</f>
        <v>0.99273683493431486</v>
      </c>
      <c r="O574" s="376" t="str">
        <f>IF(N574&lt;0.5,"A",IF(N574&gt;0.8,"C","B"))</f>
        <v>C</v>
      </c>
    </row>
    <row r="575" spans="1:15" x14ac:dyDescent="0.25">
      <c r="A575" s="232">
        <f t="shared" si="49"/>
        <v>575</v>
      </c>
      <c r="B575" s="232"/>
      <c r="C575" s="310" t="s">
        <v>11928</v>
      </c>
      <c r="D575" s="373" t="str">
        <f>IF($C575="","",IFERROR(VLOOKUP($C575,SERVIÇOS!$B:$G,2,0),IFERROR(VLOOKUP($C575,'COMPOSIÇÕES COMPLEMENTARES '!$D:$L,2,0),IFERROR(VLOOKUP($C575,INSUMOS!$A:$D,2,0),""))))</f>
        <v>CONTROLE TECNOLÓGICO DE CONCRETO C/ ROMPIMENTO DE CORPO-DE-PROVA À COMPRESSÃO</v>
      </c>
      <c r="E575" s="312" t="str">
        <f>IF($C575="","",IFERROR(VLOOKUP($C575,SERVIÇOS!$B:$G,3,0),IFERROR(VLOOKUP($C575,'COMPOSIÇÕES COMPLEMENTARES '!$D:$L,3,0),IFERROR(VLOOKUP($C575,INSUMOS!$A:$D,3,0),""))))</f>
        <v>UN</v>
      </c>
      <c r="F575" s="313">
        <v>31</v>
      </c>
      <c r="G575" s="314">
        <f>IF($C575="","",IFERROR(VLOOKUP($C575,SERVIÇOS!$B:$G,4,0),IFERROR(VLOOKUP($C575,'COMPOSIÇÕES COMPLEMENTARES '!$D:$L,6,0),IFERROR(VLOOKUP($C575,INSUMOS!$A:$D,4,0),""))))</f>
        <v>14</v>
      </c>
      <c r="H575" s="314">
        <f>IF($C575="","",IFERROR(VLOOKUP($C575,SERVIÇOS!$B:$G,5,0),IFERROR(VLOOKUP($C575,'COMPOSIÇÕES COMPLEMENTARES '!$D:$L,7,0),0)))</f>
        <v>0</v>
      </c>
      <c r="I575" s="314">
        <f t="shared" si="50"/>
        <v>14</v>
      </c>
      <c r="J575" s="314">
        <f t="shared" si="51"/>
        <v>434</v>
      </c>
      <c r="K575" s="314">
        <f t="shared" si="52"/>
        <v>0</v>
      </c>
      <c r="L575" s="948">
        <f t="shared" si="53"/>
        <v>434</v>
      </c>
      <c r="M575" s="374">
        <f t="shared" si="54"/>
        <v>5607056.7800000105</v>
      </c>
      <c r="N575" s="375">
        <f>+M575/L$815</f>
        <v>0.99281368115765956</v>
      </c>
      <c r="O575" s="376" t="str">
        <f>IF(N575&lt;0.5,"A",IF(N575&gt;0.8,"C","B"))</f>
        <v>C</v>
      </c>
    </row>
    <row r="576" spans="1:15" ht="25.5" x14ac:dyDescent="0.25">
      <c r="A576" s="232">
        <f t="shared" si="49"/>
        <v>576</v>
      </c>
      <c r="B576" s="232"/>
      <c r="C576" s="310">
        <v>97668</v>
      </c>
      <c r="D576" s="373" t="str">
        <f>IF($C576="","",IFERROR(VLOOKUP($C576,SERVIÇOS!$B:$G,2,0),IFERROR(VLOOKUP($C576,'COMPOSIÇÕES COMPLEMENTARES '!$D:$L,2,0),IFERROR(VLOOKUP($C576,INSUMOS!$A:$D,2,0),""))))</f>
        <v>ELETRODUTO FLEXÍVEL CORRUGADO, PEAD, DN 63 (2"), PARA REDE ENTERRADA DE DISTRIBUIÇÃO DE ENERGIA ELÉTRICA - FORNECIMENTO E INSTALAÇÃO. AF_12/2021</v>
      </c>
      <c r="E576" s="312" t="str">
        <f>IF($C576="","",IFERROR(VLOOKUP($C576,SERVIÇOS!$B:$G,3,0),IFERROR(VLOOKUP($C576,'COMPOSIÇÕES COMPLEMENTARES '!$D:$L,3,0),IFERROR(VLOOKUP($C576,INSUMOS!$A:$D,3,0),""))))</f>
        <v>M</v>
      </c>
      <c r="F576" s="313">
        <v>27</v>
      </c>
      <c r="G576" s="314">
        <f>IF($C576="","",IFERROR(VLOOKUP($C576,SERVIÇOS!$B:$G,4,0),IFERROR(VLOOKUP($C576,'COMPOSIÇÕES COMPLEMENTARES '!$D:$L,6,0),IFERROR(VLOOKUP($C576,INSUMOS!$A:$D,4,0),""))))</f>
        <v>11.19</v>
      </c>
      <c r="H576" s="314">
        <f>IF($C576="","",IFERROR(VLOOKUP($C576,SERVIÇOS!$B:$G,5,0),IFERROR(VLOOKUP($C576,'COMPOSIÇÕES COMPLEMENTARES '!$D:$L,7,0),0)))</f>
        <v>4.68</v>
      </c>
      <c r="I576" s="314">
        <f t="shared" si="50"/>
        <v>15.87</v>
      </c>
      <c r="J576" s="314">
        <f t="shared" si="51"/>
        <v>302.13</v>
      </c>
      <c r="K576" s="314">
        <f t="shared" si="52"/>
        <v>126.36</v>
      </c>
      <c r="L576" s="948">
        <f t="shared" si="53"/>
        <v>428.49</v>
      </c>
      <c r="M576" s="374">
        <f t="shared" si="54"/>
        <v>5607485.2700000107</v>
      </c>
      <c r="N576" s="375">
        <f>+M576/L$815</f>
        <v>0.9928895517526849</v>
      </c>
      <c r="O576" s="376" t="str">
        <f>IF(N576&lt;0.5,"A",IF(N576&gt;0.8,"C","B"))</f>
        <v>C</v>
      </c>
    </row>
    <row r="577" spans="1:15" x14ac:dyDescent="0.25">
      <c r="A577" s="232">
        <f t="shared" si="49"/>
        <v>577</v>
      </c>
      <c r="B577" s="232"/>
      <c r="C577" s="310">
        <v>93664</v>
      </c>
      <c r="D577" s="373" t="str">
        <f>IF($C577="","",IFERROR(VLOOKUP($C577,SERVIÇOS!$B:$G,2,0),IFERROR(VLOOKUP($C577,'COMPOSIÇÕES COMPLEMENTARES '!$D:$L,2,0),IFERROR(VLOOKUP($C577,INSUMOS!$A:$D,2,0),""))))</f>
        <v>DISJUNTOR BIPOLAR TIPO DIN, CORRENTE NOMINAL DE 32A - FORNECIMENTO E INSTALAÇÃO. AF_10/2020</v>
      </c>
      <c r="E577" s="312" t="str">
        <f>IF($C577="","",IFERROR(VLOOKUP($C577,SERVIÇOS!$B:$G,3,0),IFERROR(VLOOKUP($C577,'COMPOSIÇÕES COMPLEMENTARES '!$D:$L,3,0),IFERROR(VLOOKUP($C577,INSUMOS!$A:$D,3,0),""))))</f>
        <v>UN</v>
      </c>
      <c r="F577" s="313">
        <v>6</v>
      </c>
      <c r="G577" s="314">
        <f>IF($C577="","",IFERROR(VLOOKUP($C577,SERVIÇOS!$B:$G,4,0),IFERROR(VLOOKUP($C577,'COMPOSIÇÕES COMPLEMENTARES '!$D:$L,6,0),IFERROR(VLOOKUP($C577,INSUMOS!$A:$D,4,0),""))))</f>
        <v>61.93</v>
      </c>
      <c r="H577" s="314">
        <f>IF($C577="","",IFERROR(VLOOKUP($C577,SERVIÇOS!$B:$G,5,0),IFERROR(VLOOKUP($C577,'COMPOSIÇÕES COMPLEMENTARES '!$D:$L,7,0),0)))</f>
        <v>9.01</v>
      </c>
      <c r="I577" s="314">
        <f t="shared" si="50"/>
        <v>70.94</v>
      </c>
      <c r="J577" s="314">
        <f t="shared" si="51"/>
        <v>371.58</v>
      </c>
      <c r="K577" s="314">
        <f t="shared" si="52"/>
        <v>54.06</v>
      </c>
      <c r="L577" s="948">
        <f t="shared" si="53"/>
        <v>425.64</v>
      </c>
      <c r="M577" s="374">
        <f t="shared" si="54"/>
        <v>5607910.9100000104</v>
      </c>
      <c r="N577" s="375">
        <f>+M577/L$815</f>
        <v>0.9929649177123725</v>
      </c>
      <c r="O577" s="376" t="str">
        <f>IF(N577&lt;0.5,"A",IF(N577&gt;0.8,"C","B"))</f>
        <v>C</v>
      </c>
    </row>
    <row r="578" spans="1:15" ht="25.5" x14ac:dyDescent="0.25">
      <c r="A578" s="232">
        <f t="shared" si="49"/>
        <v>578</v>
      </c>
      <c r="B578" s="232"/>
      <c r="C578" s="310" t="s">
        <v>12217</v>
      </c>
      <c r="D578" s="373" t="str">
        <f>IF($C578="","",IFERROR(VLOOKUP($C578,SERVIÇOS!$B:$G,2,0),IFERROR(VLOOKUP($C578,'COMPOSIÇÕES COMPLEMENTARES '!$D:$L,2,0),IFERROR(VLOOKUP($C578,INSUMOS!$A:$D,2,0),""))))</f>
        <v>ELETRODUTO RÍGIDO ROSCÁVEL, PVC, DN 25 MM (3/4"), INCLUSO CONEXÕES E ACESSÓRIOS, INSTALAÇÃO APARENTE - FORNECIMENTO E INSTALAÇÃO</v>
      </c>
      <c r="E578" s="312" t="str">
        <f>IF($C578="","",IFERROR(VLOOKUP($C578,SERVIÇOS!$B:$G,3,0),IFERROR(VLOOKUP($C578,'COMPOSIÇÕES COMPLEMENTARES '!$D:$L,3,0),IFERROR(VLOOKUP($C578,INSUMOS!$A:$D,3,0),""))))</f>
        <v>M</v>
      </c>
      <c r="F578" s="313">
        <v>18</v>
      </c>
      <c r="G578" s="314">
        <f>IF($C578="","",IFERROR(VLOOKUP($C578,SERVIÇOS!$B:$G,4,0),IFERROR(VLOOKUP($C578,'COMPOSIÇÕES COMPLEMENTARES '!$D:$L,6,0),IFERROR(VLOOKUP($C578,INSUMOS!$A:$D,4,0),""))))</f>
        <v>14.79</v>
      </c>
      <c r="H578" s="314">
        <f>IF($C578="","",IFERROR(VLOOKUP($C578,SERVIÇOS!$B:$G,5,0),IFERROR(VLOOKUP($C578,'COMPOSIÇÕES COMPLEMENTARES '!$D:$L,7,0),0)))</f>
        <v>8.75</v>
      </c>
      <c r="I578" s="314">
        <f t="shared" si="50"/>
        <v>23.54</v>
      </c>
      <c r="J578" s="314">
        <f t="shared" si="51"/>
        <v>266.22000000000003</v>
      </c>
      <c r="K578" s="314">
        <f t="shared" si="52"/>
        <v>157.5</v>
      </c>
      <c r="L578" s="948">
        <f t="shared" si="53"/>
        <v>423.72</v>
      </c>
      <c r="M578" s="374">
        <f t="shared" si="54"/>
        <v>5608334.6300000101</v>
      </c>
      <c r="N578" s="375">
        <f>+M578/L$815</f>
        <v>0.99303994370720117</v>
      </c>
      <c r="O578" s="376" t="str">
        <f>IF(N578&lt;0.5,"A",IF(N578&gt;0.8,"C","B"))</f>
        <v>C</v>
      </c>
    </row>
    <row r="579" spans="1:15" ht="25.5" x14ac:dyDescent="0.25">
      <c r="A579" s="232">
        <f t="shared" si="49"/>
        <v>579</v>
      </c>
      <c r="B579" s="232"/>
      <c r="C579" s="310">
        <v>97669</v>
      </c>
      <c r="D579" s="373" t="str">
        <f>IF($C579="","",IFERROR(VLOOKUP($C579,SERVIÇOS!$B:$G,2,0),IFERROR(VLOOKUP($C579,'COMPOSIÇÕES COMPLEMENTARES '!$D:$L,2,0),IFERROR(VLOOKUP($C579,INSUMOS!$A:$D,2,0),""))))</f>
        <v>ELETRODUTO FLEXÍVEL CORRUGADO, PEAD, DN 90 (3"), PARA REDE ENTERRADA DE DISTRIBUIÇÃO DE ENERGIA ELÉTRICA - FORNECIMENTO E INSTALAÇÃO. AF_12/2021</v>
      </c>
      <c r="E579" s="312" t="str">
        <f>IF($C579="","",IFERROR(VLOOKUP($C579,SERVIÇOS!$B:$G,3,0),IFERROR(VLOOKUP($C579,'COMPOSIÇÕES COMPLEMENTARES '!$D:$L,3,0),IFERROR(VLOOKUP($C579,INSUMOS!$A:$D,3,0),""))))</f>
        <v>M</v>
      </c>
      <c r="F579" s="313">
        <v>18</v>
      </c>
      <c r="G579" s="314">
        <f>IF($C579="","",IFERROR(VLOOKUP($C579,SERVIÇOS!$B:$G,4,0),IFERROR(VLOOKUP($C579,'COMPOSIÇÕES COMPLEMENTARES '!$D:$L,6,0),IFERROR(VLOOKUP($C579,INSUMOS!$A:$D,4,0),""))))</f>
        <v>16.05</v>
      </c>
      <c r="H579" s="314">
        <f>IF($C579="","",IFERROR(VLOOKUP($C579,SERVIÇOS!$B:$G,5,0),IFERROR(VLOOKUP($C579,'COMPOSIÇÕES COMPLEMENTARES '!$D:$L,7,0),0)))</f>
        <v>7.46</v>
      </c>
      <c r="I579" s="314">
        <f t="shared" si="50"/>
        <v>23.51</v>
      </c>
      <c r="J579" s="314">
        <f t="shared" si="51"/>
        <v>288.89999999999998</v>
      </c>
      <c r="K579" s="314">
        <f t="shared" si="52"/>
        <v>134.28</v>
      </c>
      <c r="L579" s="948">
        <f t="shared" si="53"/>
        <v>423.18</v>
      </c>
      <c r="M579" s="374">
        <f t="shared" si="54"/>
        <v>5608757.8100000098</v>
      </c>
      <c r="N579" s="375">
        <f>+M579/L$815</f>
        <v>0.99311487408691312</v>
      </c>
      <c r="O579" s="376" t="str">
        <f>IF(N579&lt;0.5,"A",IF(N579&gt;0.8,"C","B"))</f>
        <v>C</v>
      </c>
    </row>
    <row r="580" spans="1:15" x14ac:dyDescent="0.25">
      <c r="A580" s="232">
        <f t="shared" si="49"/>
        <v>580</v>
      </c>
      <c r="B580" s="232"/>
      <c r="C580" s="310" t="s">
        <v>12220</v>
      </c>
      <c r="D580" s="373" t="str">
        <f>IF($C580="","",IFERROR(VLOOKUP($C580,SERVIÇOS!$B:$G,2,0),IFERROR(VLOOKUP($C580,'COMPOSIÇÕES COMPLEMENTARES '!$D:$L,2,0),IFERROR(VLOOKUP($C580,INSUMOS!$A:$D,2,0),""))))</f>
        <v>ELETRODUTO RÍGIDO ROSCÁVEL, PVC, DN 32 MM (1"), INCLUSO CONEXÕES - FORNECIMENTO E INSTALAÇÃO</v>
      </c>
      <c r="E580" s="312" t="str">
        <f>IF($C580="","",IFERROR(VLOOKUP($C580,SERVIÇOS!$B:$G,3,0),IFERROR(VLOOKUP($C580,'COMPOSIÇÕES COMPLEMENTARES '!$D:$L,3,0),IFERROR(VLOOKUP($C580,INSUMOS!$A:$D,3,0),""))))</f>
        <v>M</v>
      </c>
      <c r="F580" s="313">
        <v>13</v>
      </c>
      <c r="G580" s="314">
        <f>IF($C580="","",IFERROR(VLOOKUP($C580,SERVIÇOS!$B:$G,4,0),IFERROR(VLOOKUP($C580,'COMPOSIÇÕES COMPLEMENTARES '!$D:$L,6,0),IFERROR(VLOOKUP($C580,INSUMOS!$A:$D,4,0),""))))</f>
        <v>20.07</v>
      </c>
      <c r="H580" s="314">
        <f>IF($C580="","",IFERROR(VLOOKUP($C580,SERVIÇOS!$B:$G,5,0),IFERROR(VLOOKUP($C580,'COMPOSIÇÕES COMPLEMENTARES '!$D:$L,7,0),0)))</f>
        <v>12.07</v>
      </c>
      <c r="I580" s="314">
        <f t="shared" si="50"/>
        <v>32.14</v>
      </c>
      <c r="J580" s="314">
        <f t="shared" si="51"/>
        <v>260.91000000000003</v>
      </c>
      <c r="K580" s="314">
        <f t="shared" si="52"/>
        <v>156.91</v>
      </c>
      <c r="L580" s="948">
        <f t="shared" si="53"/>
        <v>417.82</v>
      </c>
      <c r="M580" s="374">
        <f t="shared" si="54"/>
        <v>5609175.6300000101</v>
      </c>
      <c r="N580" s="375">
        <f>+M580/L$815</f>
        <v>0.99318885539806034</v>
      </c>
      <c r="O580" s="376" t="str">
        <f>IF(N580&lt;0.5,"A",IF(N580&gt;0.8,"C","B"))</f>
        <v>C</v>
      </c>
    </row>
    <row r="581" spans="1:15" ht="25.5" x14ac:dyDescent="0.25">
      <c r="A581" s="232">
        <f t="shared" si="49"/>
        <v>581</v>
      </c>
      <c r="B581" s="232"/>
      <c r="C581" s="310">
        <v>92760</v>
      </c>
      <c r="D581" s="373" t="str">
        <f>IF($C581="","",IFERROR(VLOOKUP($C581,SERVIÇOS!$B:$G,2,0),IFERROR(VLOOKUP($C581,'COMPOSIÇÕES COMPLEMENTARES '!$D:$L,2,0),IFERROR(VLOOKUP($C581,INSUMOS!$A:$D,2,0),""))))</f>
        <v>ARMAÇÃO DE PILAR OU VIGA DE ESTRUTURA CONVENCIONAL DE CONCRETO ARMADO UTILIZANDO AÇO CA-50 DE 6,3 MM - MONTAGEM. AF_06/2022</v>
      </c>
      <c r="E581" s="312" t="str">
        <f>IF($C581="","",IFERROR(VLOOKUP($C581,SERVIÇOS!$B:$G,3,0),IFERROR(VLOOKUP($C581,'COMPOSIÇÕES COMPLEMENTARES '!$D:$L,3,0),IFERROR(VLOOKUP($C581,INSUMOS!$A:$D,3,0),""))))</f>
        <v>KG</v>
      </c>
      <c r="F581" s="313">
        <v>29</v>
      </c>
      <c r="G581" s="314">
        <f>IF($C581="","",IFERROR(VLOOKUP($C581,SERVIÇOS!$B:$G,4,0),IFERROR(VLOOKUP($C581,'COMPOSIÇÕES COMPLEMENTARES '!$D:$L,6,0),IFERROR(VLOOKUP($C581,INSUMOS!$A:$D,4,0),""))))</f>
        <v>10.78</v>
      </c>
      <c r="H581" s="314">
        <f>IF($C581="","",IFERROR(VLOOKUP($C581,SERVIÇOS!$B:$G,5,0),IFERROR(VLOOKUP($C581,'COMPOSIÇÕES COMPLEMENTARES '!$D:$L,7,0),0)))</f>
        <v>3.36</v>
      </c>
      <c r="I581" s="314">
        <f t="shared" si="50"/>
        <v>14.139999999999999</v>
      </c>
      <c r="J581" s="314">
        <f t="shared" si="51"/>
        <v>312.62</v>
      </c>
      <c r="K581" s="314">
        <f t="shared" si="52"/>
        <v>97.44</v>
      </c>
      <c r="L581" s="948">
        <f t="shared" si="53"/>
        <v>410.06</v>
      </c>
      <c r="M581" s="374">
        <f t="shared" si="54"/>
        <v>5609585.6900000097</v>
      </c>
      <c r="N581" s="375">
        <f>+M581/L$815</f>
        <v>0.99326146268456894</v>
      </c>
      <c r="O581" s="376" t="str">
        <f>IF(N581&lt;0.5,"A",IF(N581&gt;0.8,"C","B"))</f>
        <v>C</v>
      </c>
    </row>
    <row r="582" spans="1:15" ht="51" x14ac:dyDescent="0.25">
      <c r="A582" s="232">
        <f t="shared" si="49"/>
        <v>582</v>
      </c>
      <c r="B582" s="232"/>
      <c r="C582" s="310" t="s">
        <v>12365</v>
      </c>
      <c r="D582" s="373" t="str">
        <f>IF($C582="","",IFERROR(VLOOKUP($C582,SERVIÇOS!$B:$G,2,0),IFERROR(VLOOKUP($C582,'COMPOSIÇÕES COMPLEMENTARES '!$D:$L,2,0),IFERROR(VLOOKUP($C582,INSUMOS!$A:$D,2,0),""))))</f>
        <v>VÁLVULA DE SEÇÃO (BLOQUEIO) PARA GÁSMEDICINAL  OU VÁCUO CLÍNICO Ø1" ROSCA FÊMEA NPT, DO TIPO ESFERA, TRIPARTIDA, DE PASSAGEM PLENA, FECHAMENTO RÁPIDO COM CORPO EM LATÃO FORJADO E ESFERA DE AÇO INOXIDÁVEL. QUIMICAMENTE COMPATÍVEL COM O GÁS CONDUZIDO E CAPAZ DE SUPORTAR PRESSÕES SUPERIORES A 20 KGF/CM² (CLASSE 300 PSI).</v>
      </c>
      <c r="E582" s="312" t="str">
        <f>IF($C582="","",IFERROR(VLOOKUP($C582,SERVIÇOS!$B:$G,3,0),IFERROR(VLOOKUP($C582,'COMPOSIÇÕES COMPLEMENTARES '!$D:$L,3,0),IFERROR(VLOOKUP($C582,INSUMOS!$A:$D,3,0),""))))</f>
        <v>UN</v>
      </c>
      <c r="F582" s="313">
        <v>2</v>
      </c>
      <c r="G582" s="314">
        <f>IF($C582="","",IFERROR(VLOOKUP($C582,SERVIÇOS!$B:$G,4,0),IFERROR(VLOOKUP($C582,'COMPOSIÇÕES COMPLEMENTARES '!$D:$L,6,0),IFERROR(VLOOKUP($C582,INSUMOS!$A:$D,4,0),""))))</f>
        <v>181.22</v>
      </c>
      <c r="H582" s="314">
        <f>IF($C582="","",IFERROR(VLOOKUP($C582,SERVIÇOS!$B:$G,5,0),IFERROR(VLOOKUP($C582,'COMPOSIÇÕES COMPLEMENTARES '!$D:$L,7,0),0)))</f>
        <v>21.86</v>
      </c>
      <c r="I582" s="314">
        <f t="shared" si="50"/>
        <v>203.07999999999998</v>
      </c>
      <c r="J582" s="314">
        <f t="shared" si="51"/>
        <v>362.44</v>
      </c>
      <c r="K582" s="314">
        <f t="shared" si="52"/>
        <v>43.72</v>
      </c>
      <c r="L582" s="948">
        <f t="shared" si="53"/>
        <v>406.16</v>
      </c>
      <c r="M582" s="374">
        <f t="shared" si="54"/>
        <v>5609991.8500000099</v>
      </c>
      <c r="N582" s="375">
        <f>+M582/L$815</f>
        <v>0.99333337941745758</v>
      </c>
      <c r="O582" s="376" t="str">
        <f>IF(N582&lt;0.5,"A",IF(N582&gt;0.8,"C","B"))</f>
        <v>C</v>
      </c>
    </row>
    <row r="583" spans="1:15" ht="25.5" x14ac:dyDescent="0.25">
      <c r="A583" s="232">
        <f t="shared" si="49"/>
        <v>583</v>
      </c>
      <c r="B583" s="232"/>
      <c r="C583" s="310" t="s">
        <v>12430</v>
      </c>
      <c r="D583" s="373" t="str">
        <f>IF($C583="","",IFERROR(VLOOKUP($C583,SERVIÇOS!$B:$G,2,0),IFERROR(VLOOKUP($C583,'COMPOSIÇÕES COMPLEMENTARES '!$D:$L,2,0),IFERROR(VLOOKUP($C583,INSUMOS!$A:$D,2,0),""))))</f>
        <v>GRELHA DE INSUFLAMENTO ALETAS VERTICAIS DE SIMPLES DEFLEXÃO COM REGISTRO EM ALUMÍNIO 0x0MM. MARCA TROPICAL MOD. SV-200x100-RGA (OU SIMILAR - TROX, SEIMMEI, DIFUSAR) -  FORNECIMENTO E INSTALAÇÃO</v>
      </c>
      <c r="E583" s="312" t="str">
        <f>IF($C583="","",IFERROR(VLOOKUP($C583,SERVIÇOS!$B:$G,3,0),IFERROR(VLOOKUP($C583,'COMPOSIÇÕES COMPLEMENTARES '!$D:$L,3,0),IFERROR(VLOOKUP($C583,INSUMOS!$A:$D,3,0),""))))</f>
        <v>UN</v>
      </c>
      <c r="F583" s="313">
        <v>6</v>
      </c>
      <c r="G583" s="314">
        <f>IF($C583="","",IFERROR(VLOOKUP($C583,SERVIÇOS!$B:$G,4,0),IFERROR(VLOOKUP($C583,'COMPOSIÇÕES COMPLEMENTARES '!$D:$L,6,0),IFERROR(VLOOKUP($C583,INSUMOS!$A:$D,4,0),""))))</f>
        <v>57.21</v>
      </c>
      <c r="H583" s="314">
        <f>IF($C583="","",IFERROR(VLOOKUP($C583,SERVIÇOS!$B:$G,5,0),IFERROR(VLOOKUP($C583,'COMPOSIÇÕES COMPLEMENTARES '!$D:$L,7,0),0)))</f>
        <v>9.84</v>
      </c>
      <c r="I583" s="314">
        <f t="shared" si="50"/>
        <v>67.05</v>
      </c>
      <c r="J583" s="314">
        <f t="shared" si="51"/>
        <v>343.26</v>
      </c>
      <c r="K583" s="314">
        <f t="shared" si="52"/>
        <v>59.04</v>
      </c>
      <c r="L583" s="948">
        <f t="shared" si="53"/>
        <v>402.3</v>
      </c>
      <c r="M583" s="374">
        <f t="shared" si="54"/>
        <v>5610394.1500000097</v>
      </c>
      <c r="N583" s="375">
        <f>+M583/L$815</f>
        <v>0.99340461267932756</v>
      </c>
      <c r="O583" s="376" t="str">
        <f>IF(N583&lt;0.5,"A",IF(N583&gt;0.8,"C","B"))</f>
        <v>C</v>
      </c>
    </row>
    <row r="584" spans="1:15" ht="25.5" x14ac:dyDescent="0.25">
      <c r="A584" s="232">
        <f t="shared" si="49"/>
        <v>584</v>
      </c>
      <c r="B584" s="232"/>
      <c r="C584" s="310" t="s">
        <v>12209</v>
      </c>
      <c r="D584" s="373" t="str">
        <f>IF($C584="","",IFERROR(VLOOKUP($C584,SERVIÇOS!$B:$G,2,0),IFERROR(VLOOKUP($C584,'COMPOSIÇÕES COMPLEMENTARES '!$D:$L,2,0),IFERROR(VLOOKUP($C584,INSUMOS!$A:$D,2,0),""))))</f>
        <v>ARANDELA LUMIDEC REF. EX02S EM ALUM. EXTRUDADO, PINTURA MICROTEX. BRANCA, COM LÂMPADA LED DE BULBO 9W SOQUETE E27, INSTALADA A 2,10M DO PISO.</v>
      </c>
      <c r="E584" s="312" t="str">
        <f>IF($C584="","",IFERROR(VLOOKUP($C584,SERVIÇOS!$B:$G,3,0),IFERROR(VLOOKUP($C584,'COMPOSIÇÕES COMPLEMENTARES '!$D:$L,3,0),IFERROR(VLOOKUP($C584,INSUMOS!$A:$D,3,0),""))))</f>
        <v>UN</v>
      </c>
      <c r="F584" s="313">
        <v>2</v>
      </c>
      <c r="G584" s="314">
        <f>IF($C584="","",IFERROR(VLOOKUP($C584,SERVIÇOS!$B:$G,4,0),IFERROR(VLOOKUP($C584,'COMPOSIÇÕES COMPLEMENTARES '!$D:$L,6,0),IFERROR(VLOOKUP($C584,INSUMOS!$A:$D,4,0),""))))</f>
        <v>157.22999999999999</v>
      </c>
      <c r="H584" s="314">
        <f>IF($C584="","",IFERROR(VLOOKUP($C584,SERVIÇOS!$B:$G,5,0),IFERROR(VLOOKUP($C584,'COMPOSIÇÕES COMPLEMENTARES '!$D:$L,7,0),0)))</f>
        <v>43.89</v>
      </c>
      <c r="I584" s="314">
        <f t="shared" si="50"/>
        <v>201.12</v>
      </c>
      <c r="J584" s="314">
        <f t="shared" si="51"/>
        <v>314.45999999999998</v>
      </c>
      <c r="K584" s="314">
        <f t="shared" si="52"/>
        <v>87.78</v>
      </c>
      <c r="L584" s="948">
        <f t="shared" si="53"/>
        <v>402.24</v>
      </c>
      <c r="M584" s="374">
        <f t="shared" si="54"/>
        <v>5610796.3900000099</v>
      </c>
      <c r="N584" s="375">
        <f>+M584/L$815</f>
        <v>0.99347583531729577</v>
      </c>
      <c r="O584" s="376" t="str">
        <f>IF(N584&lt;0.5,"A",IF(N584&gt;0.8,"C","B"))</f>
        <v>C</v>
      </c>
    </row>
    <row r="585" spans="1:15" x14ac:dyDescent="0.25">
      <c r="A585" s="232">
        <f t="shared" si="49"/>
        <v>585</v>
      </c>
      <c r="B585" s="232"/>
      <c r="C585" s="310" t="s">
        <v>11995</v>
      </c>
      <c r="D585" s="373" t="str">
        <f>IF($C585="","",IFERROR(VLOOKUP($C585,SERVIÇOS!$B:$G,2,0),IFERROR(VLOOKUP($C585,'COMPOSIÇÕES COMPLEMENTARES '!$D:$L,2,0),IFERROR(VLOOKUP($C585,INSUMOS!$A:$D,2,0),""))))</f>
        <v>REVESTIMENTO EM ARGAMASSA BARITA, ESPESSURA 2,00 CM</v>
      </c>
      <c r="E585" s="312" t="str">
        <f>IF($C585="","",IFERROR(VLOOKUP($C585,SERVIÇOS!$B:$G,3,0),IFERROR(VLOOKUP($C585,'COMPOSIÇÕES COMPLEMENTARES '!$D:$L,3,0),IFERROR(VLOOKUP($C585,INSUMOS!$A:$D,3,0),""))))</f>
        <v>M2</v>
      </c>
      <c r="F585" s="313">
        <v>2.71</v>
      </c>
      <c r="G585" s="314">
        <f>IF($C585="","",IFERROR(VLOOKUP($C585,SERVIÇOS!$B:$G,4,0),IFERROR(VLOOKUP($C585,'COMPOSIÇÕES COMPLEMENTARES '!$D:$L,6,0),IFERROR(VLOOKUP($C585,INSUMOS!$A:$D,4,0),""))))</f>
        <v>99.21</v>
      </c>
      <c r="H585" s="314">
        <f>IF($C585="","",IFERROR(VLOOKUP($C585,SERVIÇOS!$B:$G,5,0),IFERROR(VLOOKUP($C585,'COMPOSIÇÕES COMPLEMENTARES '!$D:$L,7,0),0)))</f>
        <v>48.53</v>
      </c>
      <c r="I585" s="314">
        <f t="shared" si="50"/>
        <v>147.74</v>
      </c>
      <c r="J585" s="314">
        <f t="shared" si="51"/>
        <v>268.85000000000002</v>
      </c>
      <c r="K585" s="314">
        <f t="shared" si="52"/>
        <v>131.51</v>
      </c>
      <c r="L585" s="948">
        <f t="shared" si="53"/>
        <v>400.36</v>
      </c>
      <c r="M585" s="374">
        <f t="shared" si="54"/>
        <v>5611196.7500000102</v>
      </c>
      <c r="N585" s="375">
        <f>+M585/L$815</f>
        <v>0.99354672507300623</v>
      </c>
      <c r="O585" s="376" t="str">
        <f>IF(N585&lt;0.5,"A",IF(N585&gt;0.8,"C","B"))</f>
        <v>C</v>
      </c>
    </row>
    <row r="586" spans="1:15" x14ac:dyDescent="0.25">
      <c r="A586" s="232">
        <f t="shared" ref="A586:A649" si="55">1+A585</f>
        <v>586</v>
      </c>
      <c r="B586" s="232"/>
      <c r="C586" s="310" t="s">
        <v>12200</v>
      </c>
      <c r="D586" s="373" t="str">
        <f>IF($C586="","",IFERROR(VLOOKUP($C586,SERVIÇOS!$B:$G,2,0),IFERROR(VLOOKUP($C586,'COMPOSIÇÕES COMPLEMENTARES '!$D:$L,2,0),IFERROR(VLOOKUP($C586,INSUMOS!$A:$D,2,0),""))))</f>
        <v>INTERRUPTOR DIFERENCIAL TETRAPOLAR 4X63A SENS. 30MA</v>
      </c>
      <c r="E586" s="312" t="str">
        <f>IF($C586="","",IFERROR(VLOOKUP($C586,SERVIÇOS!$B:$G,3,0),IFERROR(VLOOKUP($C586,'COMPOSIÇÕES COMPLEMENTARES '!$D:$L,3,0),IFERROR(VLOOKUP($C586,INSUMOS!$A:$D,3,0),""))))</f>
        <v>UN</v>
      </c>
      <c r="F586" s="313">
        <v>1</v>
      </c>
      <c r="G586" s="314">
        <f>IF($C586="","",IFERROR(VLOOKUP($C586,SERVIÇOS!$B:$G,4,0),IFERROR(VLOOKUP($C586,'COMPOSIÇÕES COMPLEMENTARES '!$D:$L,6,0),IFERROR(VLOOKUP($C586,INSUMOS!$A:$D,4,0),""))))</f>
        <v>279.11</v>
      </c>
      <c r="H586" s="314">
        <f>IF($C586="","",IFERROR(VLOOKUP($C586,SERVIÇOS!$B:$G,5,0),IFERROR(VLOOKUP($C586,'COMPOSIÇÕES COMPLEMENTARES '!$D:$L,7,0),0)))</f>
        <v>120.12</v>
      </c>
      <c r="I586" s="314">
        <f t="shared" ref="I586:I649" si="56">IF(F586="","",G586+H586)</f>
        <v>399.23</v>
      </c>
      <c r="J586" s="314">
        <f t="shared" ref="J586:J649" si="57">IF(F586="","",TRUNC((F586*G586),2))</f>
        <v>279.11</v>
      </c>
      <c r="K586" s="314">
        <f t="shared" ref="K586:K649" si="58">IF(F586="","",TRUNC((F586*H586),2))</f>
        <v>120.12</v>
      </c>
      <c r="L586" s="948">
        <f t="shared" ref="L586:L649" si="59">IF(F586="","",TRUNC((J586+K586),2))</f>
        <v>399.23</v>
      </c>
      <c r="M586" s="374">
        <f t="shared" si="54"/>
        <v>5611595.9800000107</v>
      </c>
      <c r="N586" s="375">
        <f>+M586/L$815</f>
        <v>0.99361741474523191</v>
      </c>
      <c r="O586" s="376" t="str">
        <f>IF(N586&lt;0.5,"A",IF(N586&gt;0.8,"C","B"))</f>
        <v>C</v>
      </c>
    </row>
    <row r="587" spans="1:15" x14ac:dyDescent="0.25">
      <c r="A587" s="232">
        <f t="shared" si="55"/>
        <v>587</v>
      </c>
      <c r="B587" s="232"/>
      <c r="C587" s="310" t="s">
        <v>12200</v>
      </c>
      <c r="D587" s="373" t="str">
        <f>IF($C587="","",IFERROR(VLOOKUP($C587,SERVIÇOS!$B:$G,2,0),IFERROR(VLOOKUP($C587,'COMPOSIÇÕES COMPLEMENTARES '!$D:$L,2,0),IFERROR(VLOOKUP($C587,INSUMOS!$A:$D,2,0),""))))</f>
        <v>INTERRUPTOR DIFERENCIAL TETRAPOLAR 4X63A SENS. 30MA</v>
      </c>
      <c r="E587" s="312" t="str">
        <f>IF($C587="","",IFERROR(VLOOKUP($C587,SERVIÇOS!$B:$G,3,0),IFERROR(VLOOKUP($C587,'COMPOSIÇÕES COMPLEMENTARES '!$D:$L,3,0),IFERROR(VLOOKUP($C587,INSUMOS!$A:$D,3,0),""))))</f>
        <v>UN</v>
      </c>
      <c r="F587" s="313">
        <v>1</v>
      </c>
      <c r="G587" s="314">
        <f>IF($C587="","",IFERROR(VLOOKUP($C587,SERVIÇOS!$B:$G,4,0),IFERROR(VLOOKUP($C587,'COMPOSIÇÕES COMPLEMENTARES '!$D:$L,6,0),IFERROR(VLOOKUP($C587,INSUMOS!$A:$D,4,0),""))))</f>
        <v>279.11</v>
      </c>
      <c r="H587" s="314">
        <f>IF($C587="","",IFERROR(VLOOKUP($C587,SERVIÇOS!$B:$G,5,0),IFERROR(VLOOKUP($C587,'COMPOSIÇÕES COMPLEMENTARES '!$D:$L,7,0),0)))</f>
        <v>120.12</v>
      </c>
      <c r="I587" s="314">
        <f t="shared" si="56"/>
        <v>399.23</v>
      </c>
      <c r="J587" s="314">
        <f t="shared" si="57"/>
        <v>279.11</v>
      </c>
      <c r="K587" s="314">
        <f t="shared" si="58"/>
        <v>120.12</v>
      </c>
      <c r="L587" s="948">
        <f t="shared" si="59"/>
        <v>399.23</v>
      </c>
      <c r="M587" s="374">
        <f t="shared" ref="M587:M650" si="60">+L587+M586</f>
        <v>5611995.2100000111</v>
      </c>
      <c r="N587" s="375">
        <f>+M587/L$815</f>
        <v>0.99368810441745758</v>
      </c>
      <c r="O587" s="376" t="str">
        <f>IF(N587&lt;0.5,"A",IF(N587&gt;0.8,"C","B"))</f>
        <v>C</v>
      </c>
    </row>
    <row r="588" spans="1:15" ht="25.5" x14ac:dyDescent="0.25">
      <c r="A588" s="232">
        <f t="shared" si="55"/>
        <v>588</v>
      </c>
      <c r="B588" s="232"/>
      <c r="C588" s="310">
        <v>97668</v>
      </c>
      <c r="D588" s="373" t="str">
        <f>IF($C588="","",IFERROR(VLOOKUP($C588,SERVIÇOS!$B:$G,2,0),IFERROR(VLOOKUP($C588,'COMPOSIÇÕES COMPLEMENTARES '!$D:$L,2,0),IFERROR(VLOOKUP($C588,INSUMOS!$A:$D,2,0),""))))</f>
        <v>ELETRODUTO FLEXÍVEL CORRUGADO, PEAD, DN 63 (2"), PARA REDE ENTERRADA DE DISTRIBUIÇÃO DE ENERGIA ELÉTRICA - FORNECIMENTO E INSTALAÇÃO. AF_12/2021</v>
      </c>
      <c r="E588" s="312" t="str">
        <f>IF($C588="","",IFERROR(VLOOKUP($C588,SERVIÇOS!$B:$G,3,0),IFERROR(VLOOKUP($C588,'COMPOSIÇÕES COMPLEMENTARES '!$D:$L,3,0),IFERROR(VLOOKUP($C588,INSUMOS!$A:$D,3,0),""))))</f>
        <v>M</v>
      </c>
      <c r="F588" s="313">
        <v>25</v>
      </c>
      <c r="G588" s="314">
        <f>IF($C588="","",IFERROR(VLOOKUP($C588,SERVIÇOS!$B:$G,4,0),IFERROR(VLOOKUP($C588,'COMPOSIÇÕES COMPLEMENTARES '!$D:$L,6,0),IFERROR(VLOOKUP($C588,INSUMOS!$A:$D,4,0),""))))</f>
        <v>11.19</v>
      </c>
      <c r="H588" s="314">
        <f>IF($C588="","",IFERROR(VLOOKUP($C588,SERVIÇOS!$B:$G,5,0),IFERROR(VLOOKUP($C588,'COMPOSIÇÕES COMPLEMENTARES '!$D:$L,7,0),0)))</f>
        <v>4.68</v>
      </c>
      <c r="I588" s="314">
        <f t="shared" si="56"/>
        <v>15.87</v>
      </c>
      <c r="J588" s="314">
        <f t="shared" si="57"/>
        <v>279.75</v>
      </c>
      <c r="K588" s="314">
        <f t="shared" si="58"/>
        <v>117</v>
      </c>
      <c r="L588" s="948">
        <f t="shared" si="59"/>
        <v>396.75</v>
      </c>
      <c r="M588" s="374">
        <f t="shared" si="60"/>
        <v>5612391.9600000111</v>
      </c>
      <c r="N588" s="375">
        <f>+M588/L$815</f>
        <v>0.99375835496840692</v>
      </c>
      <c r="O588" s="376" t="str">
        <f>IF(N588&lt;0.5,"A",IF(N588&gt;0.8,"C","B"))</f>
        <v>C</v>
      </c>
    </row>
    <row r="589" spans="1:15" x14ac:dyDescent="0.25">
      <c r="A589" s="232">
        <f t="shared" si="55"/>
        <v>589</v>
      </c>
      <c r="B589" s="232"/>
      <c r="C589" s="310" t="s">
        <v>12131</v>
      </c>
      <c r="D589" s="373" t="str">
        <f>IF($C589="","",IFERROR(VLOOKUP($C589,SERVIÇOS!$B:$G,2,0),IFERROR(VLOOKUP($C589,'COMPOSIÇÕES COMPLEMENTARES '!$D:$L,2,0),IFERROR(VLOOKUP($C589,INSUMOS!$A:$D,2,0),""))))</f>
        <v xml:space="preserve">CAIXA SIFONADA, EM ALVENARIA, DIMENSÃO INTERNA (40X40XH.A.=40)CM, </v>
      </c>
      <c r="E589" s="312" t="str">
        <f>IF($C589="","",IFERROR(VLOOKUP($C589,SERVIÇOS!$B:$G,3,0),IFERROR(VLOOKUP($C589,'COMPOSIÇÕES COMPLEMENTARES '!$D:$L,3,0),IFERROR(VLOOKUP($C589,INSUMOS!$A:$D,3,0),""))))</f>
        <v>UN</v>
      </c>
      <c r="F589" s="313">
        <v>1</v>
      </c>
      <c r="G589" s="314">
        <f>IF($C589="","",IFERROR(VLOOKUP($C589,SERVIÇOS!$B:$G,4,0),IFERROR(VLOOKUP($C589,'COMPOSIÇÕES COMPLEMENTARES '!$D:$L,6,0),IFERROR(VLOOKUP($C589,INSUMOS!$A:$D,4,0),""))))</f>
        <v>189.79</v>
      </c>
      <c r="H589" s="314">
        <f>IF($C589="","",IFERROR(VLOOKUP($C589,SERVIÇOS!$B:$G,5,0),IFERROR(VLOOKUP($C589,'COMPOSIÇÕES COMPLEMENTARES '!$D:$L,7,0),0)))</f>
        <v>206.05</v>
      </c>
      <c r="I589" s="314">
        <f t="shared" si="56"/>
        <v>395.84000000000003</v>
      </c>
      <c r="J589" s="314">
        <f t="shared" si="57"/>
        <v>189.79</v>
      </c>
      <c r="K589" s="314">
        <f t="shared" si="58"/>
        <v>206.05</v>
      </c>
      <c r="L589" s="948">
        <f t="shared" si="59"/>
        <v>395.84</v>
      </c>
      <c r="M589" s="374">
        <f t="shared" si="60"/>
        <v>5612787.800000011</v>
      </c>
      <c r="N589" s="375">
        <f>+M589/L$815</f>
        <v>0.99382844439017826</v>
      </c>
      <c r="O589" s="376" t="str">
        <f>IF(N589&lt;0.5,"A",IF(N589&gt;0.8,"C","B"))</f>
        <v>C</v>
      </c>
    </row>
    <row r="590" spans="1:15" ht="25.5" x14ac:dyDescent="0.25">
      <c r="A590" s="232">
        <f t="shared" si="55"/>
        <v>590</v>
      </c>
      <c r="B590" s="232"/>
      <c r="C590" s="310">
        <v>100719</v>
      </c>
      <c r="D590" s="373" t="str">
        <f>IF($C590="","",IFERROR(VLOOKUP($C590,SERVIÇOS!$B:$G,2,0),IFERROR(VLOOKUP($C590,'COMPOSIÇÕES COMPLEMENTARES '!$D:$L,2,0),IFERROR(VLOOKUP($C590,INSUMOS!$A:$D,2,0),""))))</f>
        <v>PINTURA COM TINTA ALQUÍDICA DE FUNDO (TIPO ZARCÃO) PULVERIZADA SOBRE PERFIL METÁLICO EXECUTADO EM FÁBRICA (POR DEMÃO). AF_01/2020_PE</v>
      </c>
      <c r="E590" s="312" t="str">
        <f>IF($C590="","",IFERROR(VLOOKUP($C590,SERVIÇOS!$B:$G,3,0),IFERROR(VLOOKUP($C590,'COMPOSIÇÕES COMPLEMENTARES '!$D:$L,3,0),IFERROR(VLOOKUP($C590,INSUMOS!$A:$D,3,0),""))))</f>
        <v>M2</v>
      </c>
      <c r="F590" s="313">
        <v>34.799999999999997</v>
      </c>
      <c r="G590" s="314">
        <f>IF($C590="","",IFERROR(VLOOKUP($C590,SERVIÇOS!$B:$G,4,0),IFERROR(VLOOKUP($C590,'COMPOSIÇÕES COMPLEMENTARES '!$D:$L,6,0),IFERROR(VLOOKUP($C590,INSUMOS!$A:$D,4,0),""))))</f>
        <v>9.5299999999999994</v>
      </c>
      <c r="H590" s="314">
        <f>IF($C590="","",IFERROR(VLOOKUP($C590,SERVIÇOS!$B:$G,5,0),IFERROR(VLOOKUP($C590,'COMPOSIÇÕES COMPLEMENTARES '!$D:$L,7,0),0)))</f>
        <v>1.73</v>
      </c>
      <c r="I590" s="314">
        <f t="shared" si="56"/>
        <v>11.26</v>
      </c>
      <c r="J590" s="314">
        <f t="shared" si="57"/>
        <v>331.64</v>
      </c>
      <c r="K590" s="314">
        <f t="shared" si="58"/>
        <v>60.2</v>
      </c>
      <c r="L590" s="948">
        <f t="shared" si="59"/>
        <v>391.84</v>
      </c>
      <c r="M590" s="374">
        <f t="shared" si="60"/>
        <v>5613179.6400000108</v>
      </c>
      <c r="N590" s="375">
        <f>+M590/L$815</f>
        <v>0.9938978255518266</v>
      </c>
      <c r="O590" s="376" t="str">
        <f>IF(N590&lt;0.5,"A",IF(N590&gt;0.8,"C","B"))</f>
        <v>C</v>
      </c>
    </row>
    <row r="591" spans="1:15" ht="38.25" x14ac:dyDescent="0.25">
      <c r="A591" s="232">
        <f t="shared" si="55"/>
        <v>591</v>
      </c>
      <c r="B591" s="232"/>
      <c r="C591" s="310" t="s">
        <v>12370</v>
      </c>
      <c r="D591" s="373" t="str">
        <f>IF($C591="","",IFERROR(VLOOKUP($C591,SERVIÇOS!$B:$G,2,0),IFERROR(VLOOKUP($C591,'COMPOSIÇÕES COMPLEMENTARES '!$D:$L,2,0),IFERROR(VLOOKUP($C591,INSUMOS!$A:$D,2,0),""))))</f>
        <v>TOMADA/POSTO DE CONSUMO DE PAREDE PARA VÁCUO CLÍNICO COM TARUGO INTERNO EMBUTIDO, VÁLVULA AUTOVEDANTE, PINO DE IMPACTO, CANOPLA EM MATERIAL PLÁSTICO DE ABS E ETIQUETA DE IDENTIFICAÇÃO DO POSTO - FORNECIMENTO E INSTALAÇÃO. REF: PROTEC, WHITE MARTINS, UNITEC HOSPITALAR, AIR LIQUIDE, VALMIG</v>
      </c>
      <c r="E591" s="312" t="str">
        <f>IF($C591="","",IFERROR(VLOOKUP($C591,SERVIÇOS!$B:$G,3,0),IFERROR(VLOOKUP($C591,'COMPOSIÇÕES COMPLEMENTARES '!$D:$L,3,0),IFERROR(VLOOKUP($C591,INSUMOS!$A:$D,3,0),""))))</f>
        <v>UN</v>
      </c>
      <c r="F591" s="313">
        <v>4</v>
      </c>
      <c r="G591" s="314">
        <f>IF($C591="","",IFERROR(VLOOKUP($C591,SERVIÇOS!$B:$G,4,0),IFERROR(VLOOKUP($C591,'COMPOSIÇÕES COMPLEMENTARES '!$D:$L,6,0),IFERROR(VLOOKUP($C591,INSUMOS!$A:$D,4,0),""))))</f>
        <v>73.650000000000006</v>
      </c>
      <c r="H591" s="314">
        <f>IF($C591="","",IFERROR(VLOOKUP($C591,SERVIÇOS!$B:$G,5,0),IFERROR(VLOOKUP($C591,'COMPOSIÇÕES COMPLEMENTARES '!$D:$L,7,0),0)))</f>
        <v>24.3</v>
      </c>
      <c r="I591" s="314">
        <f t="shared" si="56"/>
        <v>97.95</v>
      </c>
      <c r="J591" s="314">
        <f t="shared" si="57"/>
        <v>294.60000000000002</v>
      </c>
      <c r="K591" s="314">
        <f t="shared" si="58"/>
        <v>97.2</v>
      </c>
      <c r="L591" s="948">
        <f t="shared" si="59"/>
        <v>391.8</v>
      </c>
      <c r="M591" s="374">
        <f t="shared" si="60"/>
        <v>5613571.4400000107</v>
      </c>
      <c r="N591" s="375">
        <f>+M591/L$815</f>
        <v>0.99396719963087377</v>
      </c>
      <c r="O591" s="376" t="str">
        <f>IF(N591&lt;0.5,"A",IF(N591&gt;0.8,"C","B"))</f>
        <v>C</v>
      </c>
    </row>
    <row r="592" spans="1:15" ht="25.5" x14ac:dyDescent="0.25">
      <c r="A592" s="232">
        <f t="shared" si="55"/>
        <v>592</v>
      </c>
      <c r="B592" s="232"/>
      <c r="C592" s="310" t="s">
        <v>12426</v>
      </c>
      <c r="D592" s="373" t="str">
        <f>IF($C592="","",IFERROR(VLOOKUP($C592,SERVIÇOS!$B:$G,2,0),IFERROR(VLOOKUP($C592,'COMPOSIÇÕES COMPLEMENTARES '!$D:$L,2,0),IFERROR(VLOOKUP($C592,INSUMOS!$A:$D,2,0),""))))</f>
        <v>DIFUSOR DE 4 VIAS DO TIPO QUADRADO EUROPEU TAMANHO 4 PARA INSUFLAMENTO DE AR EM ALUMÍNIO COM REGISTRO - MARCA TROPICAL (OU SIMILAR OU SIMILAR - TROX, SEIMMEI, DIFUSAR) - MODELO: DQE-41-T4-RGA</v>
      </c>
      <c r="E592" s="312" t="str">
        <f>IF($C592="","",IFERROR(VLOOKUP($C592,SERVIÇOS!$B:$G,3,0),IFERROR(VLOOKUP($C592,'COMPOSIÇÕES COMPLEMENTARES '!$D:$L,3,0),IFERROR(VLOOKUP($C592,INSUMOS!$A:$D,3,0),""))))</f>
        <v>UN</v>
      </c>
      <c r="F592" s="313">
        <v>1</v>
      </c>
      <c r="G592" s="314">
        <f>IF($C592="","",IFERROR(VLOOKUP($C592,SERVIÇOS!$B:$G,4,0),IFERROR(VLOOKUP($C592,'COMPOSIÇÕES COMPLEMENTARES '!$D:$L,6,0),IFERROR(VLOOKUP($C592,INSUMOS!$A:$D,4,0),""))))</f>
        <v>375.19</v>
      </c>
      <c r="H592" s="314">
        <f>IF($C592="","",IFERROR(VLOOKUP($C592,SERVIÇOS!$B:$G,5,0),IFERROR(VLOOKUP($C592,'COMPOSIÇÕES COMPLEMENTARES '!$D:$L,7,0),0)))</f>
        <v>16</v>
      </c>
      <c r="I592" s="314">
        <f t="shared" si="56"/>
        <v>391.19</v>
      </c>
      <c r="J592" s="314">
        <f t="shared" si="57"/>
        <v>375.19</v>
      </c>
      <c r="K592" s="314">
        <f t="shared" si="58"/>
        <v>16</v>
      </c>
      <c r="L592" s="948">
        <f t="shared" si="59"/>
        <v>391.19</v>
      </c>
      <c r="M592" s="374">
        <f t="shared" si="60"/>
        <v>5613962.6300000111</v>
      </c>
      <c r="N592" s="375">
        <f>+M592/L$815</f>
        <v>0.99403646570025217</v>
      </c>
      <c r="O592" s="376" t="str">
        <f>IF(N592&lt;0.5,"A",IF(N592&gt;0.8,"C","B"))</f>
        <v>C</v>
      </c>
    </row>
    <row r="593" spans="1:15" ht="25.5" x14ac:dyDescent="0.25">
      <c r="A593" s="232">
        <f t="shared" si="55"/>
        <v>593</v>
      </c>
      <c r="B593" s="232"/>
      <c r="C593" s="310">
        <v>100719</v>
      </c>
      <c r="D593" s="373" t="str">
        <f>IF($C593="","",IFERROR(VLOOKUP($C593,SERVIÇOS!$B:$G,2,0),IFERROR(VLOOKUP($C593,'COMPOSIÇÕES COMPLEMENTARES '!$D:$L,2,0),IFERROR(VLOOKUP($C593,INSUMOS!$A:$D,2,0),""))))</f>
        <v>PINTURA COM TINTA ALQUÍDICA DE FUNDO (TIPO ZARCÃO) PULVERIZADA SOBRE PERFIL METÁLICO EXECUTADO EM FÁBRICA (POR DEMÃO). AF_01/2020_PE</v>
      </c>
      <c r="E593" s="312" t="str">
        <f>IF($C593="","",IFERROR(VLOOKUP($C593,SERVIÇOS!$B:$G,3,0),IFERROR(VLOOKUP($C593,'COMPOSIÇÕES COMPLEMENTARES '!$D:$L,3,0),IFERROR(VLOOKUP($C593,INSUMOS!$A:$D,3,0),""))))</f>
        <v>M2</v>
      </c>
      <c r="F593" s="313">
        <v>33.299999999999997</v>
      </c>
      <c r="G593" s="314">
        <f>IF($C593="","",IFERROR(VLOOKUP($C593,SERVIÇOS!$B:$G,4,0),IFERROR(VLOOKUP($C593,'COMPOSIÇÕES COMPLEMENTARES '!$D:$L,6,0),IFERROR(VLOOKUP($C593,INSUMOS!$A:$D,4,0),""))))</f>
        <v>9.5299999999999994</v>
      </c>
      <c r="H593" s="314">
        <f>IF($C593="","",IFERROR(VLOOKUP($C593,SERVIÇOS!$B:$G,5,0),IFERROR(VLOOKUP($C593,'COMPOSIÇÕES COMPLEMENTARES '!$D:$L,7,0),0)))</f>
        <v>1.73</v>
      </c>
      <c r="I593" s="314">
        <f t="shared" si="56"/>
        <v>11.26</v>
      </c>
      <c r="J593" s="314">
        <f t="shared" si="57"/>
        <v>317.33999999999997</v>
      </c>
      <c r="K593" s="314">
        <f t="shared" si="58"/>
        <v>57.6</v>
      </c>
      <c r="L593" s="948">
        <f t="shared" si="59"/>
        <v>374.94</v>
      </c>
      <c r="M593" s="374">
        <f t="shared" si="60"/>
        <v>5614337.5700000115</v>
      </c>
      <c r="N593" s="375">
        <f>+M593/L$815</f>
        <v>0.99410285446288105</v>
      </c>
      <c r="O593" s="376" t="str">
        <f>IF(N593&lt;0.5,"A",IF(N593&gt;0.8,"C","B"))</f>
        <v>C</v>
      </c>
    </row>
    <row r="594" spans="1:15" ht="25.5" x14ac:dyDescent="0.25">
      <c r="A594" s="232">
        <f t="shared" si="55"/>
        <v>594</v>
      </c>
      <c r="B594" s="232"/>
      <c r="C594" s="310">
        <v>92005</v>
      </c>
      <c r="D594" s="373" t="str">
        <f>IF($C594="","",IFERROR(VLOOKUP($C594,SERVIÇOS!$B:$G,2,0),IFERROR(VLOOKUP($C594,'COMPOSIÇÕES COMPLEMENTARES '!$D:$L,2,0),IFERROR(VLOOKUP($C594,INSUMOS!$A:$D,2,0),""))))</f>
        <v>TOMADA MÉDIA DE EMBUTIR (2 MÓDULOS), 2P+T 20 A, INCLUINDO SUPORTE E PLACA - FORNECIMENTO E INSTALAÇÃO. AF_03/2023</v>
      </c>
      <c r="E594" s="312" t="str">
        <f>IF($C594="","",IFERROR(VLOOKUP($C594,SERVIÇOS!$B:$G,3,0),IFERROR(VLOOKUP($C594,'COMPOSIÇÕES COMPLEMENTARES '!$D:$L,3,0),IFERROR(VLOOKUP($C594,INSUMOS!$A:$D,3,0),""))))</f>
        <v>UN</v>
      </c>
      <c r="F594" s="313">
        <v>5</v>
      </c>
      <c r="G594" s="314">
        <f>IF($C594="","",IFERROR(VLOOKUP($C594,SERVIÇOS!$B:$G,4,0),IFERROR(VLOOKUP($C594,'COMPOSIÇÕES COMPLEMENTARES '!$D:$L,6,0),IFERROR(VLOOKUP($C594,INSUMOS!$A:$D,4,0),""))))</f>
        <v>40.08</v>
      </c>
      <c r="H594" s="314">
        <f>IF($C594="","",IFERROR(VLOOKUP($C594,SERVIÇOS!$B:$G,5,0),IFERROR(VLOOKUP($C594,'COMPOSIÇÕES COMPLEMENTARES '!$D:$L,7,0),0)))</f>
        <v>34.67</v>
      </c>
      <c r="I594" s="314">
        <f t="shared" si="56"/>
        <v>74.75</v>
      </c>
      <c r="J594" s="314">
        <f t="shared" si="57"/>
        <v>200.4</v>
      </c>
      <c r="K594" s="314">
        <f t="shared" si="58"/>
        <v>173.35</v>
      </c>
      <c r="L594" s="948">
        <f t="shared" si="59"/>
        <v>373.75</v>
      </c>
      <c r="M594" s="374">
        <f t="shared" si="60"/>
        <v>5614711.3200000115</v>
      </c>
      <c r="N594" s="375">
        <f>+M594/L$815</f>
        <v>0.99416903251812316</v>
      </c>
      <c r="O594" s="376" t="str">
        <f>IF(N594&lt;0.5,"A",IF(N594&gt;0.8,"C","B"))</f>
        <v>C</v>
      </c>
    </row>
    <row r="595" spans="1:15" ht="25.5" x14ac:dyDescent="0.25">
      <c r="A595" s="232">
        <f t="shared" si="55"/>
        <v>595</v>
      </c>
      <c r="B595" s="232"/>
      <c r="C595" s="310">
        <v>92005</v>
      </c>
      <c r="D595" s="373" t="str">
        <f>IF($C595="","",IFERROR(VLOOKUP($C595,SERVIÇOS!$B:$G,2,0),IFERROR(VLOOKUP($C595,'COMPOSIÇÕES COMPLEMENTARES '!$D:$L,2,0),IFERROR(VLOOKUP($C595,INSUMOS!$A:$D,2,0),""))))</f>
        <v>TOMADA MÉDIA DE EMBUTIR (2 MÓDULOS), 2P+T 20 A, INCLUINDO SUPORTE E PLACA - FORNECIMENTO E INSTALAÇÃO. AF_03/2023</v>
      </c>
      <c r="E595" s="312" t="str">
        <f>IF($C595="","",IFERROR(VLOOKUP($C595,SERVIÇOS!$B:$G,3,0),IFERROR(VLOOKUP($C595,'COMPOSIÇÕES COMPLEMENTARES '!$D:$L,3,0),IFERROR(VLOOKUP($C595,INSUMOS!$A:$D,3,0),""))))</f>
        <v>UN</v>
      </c>
      <c r="F595" s="313">
        <v>5</v>
      </c>
      <c r="G595" s="314">
        <f>IF($C595="","",IFERROR(VLOOKUP($C595,SERVIÇOS!$B:$G,4,0),IFERROR(VLOOKUP($C595,'COMPOSIÇÕES COMPLEMENTARES '!$D:$L,6,0),IFERROR(VLOOKUP($C595,INSUMOS!$A:$D,4,0),""))))</f>
        <v>40.08</v>
      </c>
      <c r="H595" s="314">
        <f>IF($C595="","",IFERROR(VLOOKUP($C595,SERVIÇOS!$B:$G,5,0),IFERROR(VLOOKUP($C595,'COMPOSIÇÕES COMPLEMENTARES '!$D:$L,7,0),0)))</f>
        <v>34.67</v>
      </c>
      <c r="I595" s="314">
        <f t="shared" si="56"/>
        <v>74.75</v>
      </c>
      <c r="J595" s="314">
        <f t="shared" si="57"/>
        <v>200.4</v>
      </c>
      <c r="K595" s="314">
        <f t="shared" si="58"/>
        <v>173.35</v>
      </c>
      <c r="L595" s="948">
        <f t="shared" si="59"/>
        <v>373.75</v>
      </c>
      <c r="M595" s="374">
        <f t="shared" si="60"/>
        <v>5615085.0700000115</v>
      </c>
      <c r="N595" s="375">
        <f>+M595/L$815</f>
        <v>0.99423521057336528</v>
      </c>
      <c r="O595" s="376" t="str">
        <f>IF(N595&lt;0.5,"A",IF(N595&gt;0.8,"C","B"))</f>
        <v>C</v>
      </c>
    </row>
    <row r="596" spans="1:15" ht="25.5" x14ac:dyDescent="0.25">
      <c r="A596" s="232">
        <f t="shared" si="55"/>
        <v>596</v>
      </c>
      <c r="B596" s="232"/>
      <c r="C596" s="310" t="s">
        <v>12468</v>
      </c>
      <c r="D596" s="373" t="str">
        <f>IF($C596="","",IFERROR(VLOOKUP($C596,SERVIÇOS!$B:$G,2,0),IFERROR(VLOOKUP($C596,'COMPOSIÇÕES COMPLEMENTARES '!$D:$L,2,0),IFERROR(VLOOKUP($C596,INSUMOS!$A:$D,2,0),""))))</f>
        <v>DAMPER DE REGULAGEM DE VAZÃO 400x200MM. MARCA TROPICAL DRV-400x200 (OU EQUIVALENTE (OU SIMILAR - TROX, SEIMMEI, DIFUSAR) -  FORNECIMENTO E INSTALAÇÃO</v>
      </c>
      <c r="E596" s="312" t="str">
        <f>IF($C596="","",IFERROR(VLOOKUP($C596,SERVIÇOS!$B:$G,3,0),IFERROR(VLOOKUP($C596,'COMPOSIÇÕES COMPLEMENTARES '!$D:$L,3,0),IFERROR(VLOOKUP($C596,INSUMOS!$A:$D,3,0),""))))</f>
        <v>UN</v>
      </c>
      <c r="F596" s="313">
        <v>2</v>
      </c>
      <c r="G596" s="314">
        <f>IF($C596="","",IFERROR(VLOOKUP($C596,SERVIÇOS!$B:$G,4,0),IFERROR(VLOOKUP($C596,'COMPOSIÇÕES COMPLEMENTARES '!$D:$L,6,0),IFERROR(VLOOKUP($C596,INSUMOS!$A:$D,4,0),""))))</f>
        <v>175.5</v>
      </c>
      <c r="H596" s="314">
        <f>IF($C596="","",IFERROR(VLOOKUP($C596,SERVIÇOS!$B:$G,5,0),IFERROR(VLOOKUP($C596,'COMPOSIÇÕES COMPLEMENTARES '!$D:$L,7,0),0)))</f>
        <v>11.05</v>
      </c>
      <c r="I596" s="314">
        <f t="shared" si="56"/>
        <v>186.55</v>
      </c>
      <c r="J596" s="314">
        <f t="shared" si="57"/>
        <v>351</v>
      </c>
      <c r="K596" s="314">
        <f t="shared" si="58"/>
        <v>22.1</v>
      </c>
      <c r="L596" s="948">
        <f t="shared" si="59"/>
        <v>373.1</v>
      </c>
      <c r="M596" s="374">
        <f t="shared" si="60"/>
        <v>5615458.1700000111</v>
      </c>
      <c r="N596" s="375">
        <f>+M596/L$815</f>
        <v>0.99430127353633735</v>
      </c>
      <c r="O596" s="376" t="str">
        <f>IF(N596&lt;0.5,"A",IF(N596&gt;0.8,"C","B"))</f>
        <v>C</v>
      </c>
    </row>
    <row r="597" spans="1:15" ht="25.5" x14ac:dyDescent="0.25">
      <c r="A597" s="232">
        <f t="shared" si="55"/>
        <v>597</v>
      </c>
      <c r="B597" s="232"/>
      <c r="C597" s="310" t="s">
        <v>12173</v>
      </c>
      <c r="D597" s="373" t="str">
        <f>IF($C597="","",IFERROR(VLOOKUP($C597,SERVIÇOS!$B:$G,2,0),IFERROR(VLOOKUP($C597,'COMPOSIÇÕES COMPLEMENTARES '!$D:$L,2,0),IFERROR(VLOOKUP($C597,INSUMOS!$A:$D,2,0),""))))</f>
        <v>PLACA DE SINALIZAÇÃO S2D/S2E/S3/S8/S9/S12/S17 - 240X120 MM - (SIMBOLOS, CORES E PICTOGRAMAS CONFORME NBR 13434)</v>
      </c>
      <c r="E597" s="312" t="str">
        <f>IF($C597="","",IFERROR(VLOOKUP($C597,SERVIÇOS!$B:$G,3,0),IFERROR(VLOOKUP($C597,'COMPOSIÇÕES COMPLEMENTARES '!$D:$L,3,0),IFERROR(VLOOKUP($C597,INSUMOS!$A:$D,3,0),""))))</f>
        <v>UN</v>
      </c>
      <c r="F597" s="313">
        <v>24</v>
      </c>
      <c r="G597" s="314">
        <f>IF($C597="","",IFERROR(VLOOKUP($C597,SERVIÇOS!$B:$G,4,0),IFERROR(VLOOKUP($C597,'COMPOSIÇÕES COMPLEMENTARES '!$D:$L,6,0),IFERROR(VLOOKUP($C597,INSUMOS!$A:$D,4,0),""))))</f>
        <v>13.42</v>
      </c>
      <c r="H597" s="314">
        <f>IF($C597="","",IFERROR(VLOOKUP($C597,SERVIÇOS!$B:$G,5,0),IFERROR(VLOOKUP($C597,'COMPOSIÇÕES COMPLEMENTARES '!$D:$L,7,0),0)))</f>
        <v>1.95</v>
      </c>
      <c r="I597" s="314">
        <f t="shared" si="56"/>
        <v>15.37</v>
      </c>
      <c r="J597" s="314">
        <f t="shared" si="57"/>
        <v>322.08</v>
      </c>
      <c r="K597" s="314">
        <f t="shared" si="58"/>
        <v>46.8</v>
      </c>
      <c r="L597" s="948">
        <f t="shared" si="59"/>
        <v>368.88</v>
      </c>
      <c r="M597" s="374">
        <f t="shared" si="60"/>
        <v>5615827.050000011</v>
      </c>
      <c r="N597" s="375">
        <f>+M597/L$815</f>
        <v>0.99436658928487975</v>
      </c>
      <c r="O597" s="376" t="str">
        <f>IF(N597&lt;0.5,"A",IF(N597&gt;0.8,"C","B"))</f>
        <v>C</v>
      </c>
    </row>
    <row r="598" spans="1:15" ht="25.5" x14ac:dyDescent="0.25">
      <c r="A598" s="232">
        <f t="shared" si="55"/>
        <v>598</v>
      </c>
      <c r="B598" s="232"/>
      <c r="C598" s="310" t="s">
        <v>12435</v>
      </c>
      <c r="D598" s="373" t="str">
        <f>IF($C598="","",IFERROR(VLOOKUP($C598,SERVIÇOS!$B:$G,2,0),IFERROR(VLOOKUP($C598,'COMPOSIÇÕES COMPLEMENTARES '!$D:$L,2,0),IFERROR(VLOOKUP($C598,INSUMOS!$A:$D,2,0),""))))</f>
        <v>GRELHA DE RETORNO DE AR ALETAS HORIZONTAIS COM REGISTRO EM ALUMÍNIO 300x400MM. MARCA TROPICAL MOD. RHN-300x400-RGA (OU SIMILAR - TROX, SEIMMEI, DIFUSAR)</v>
      </c>
      <c r="E598" s="312" t="str">
        <f>IF($C598="","",IFERROR(VLOOKUP($C598,SERVIÇOS!$B:$G,3,0),IFERROR(VLOOKUP($C598,'COMPOSIÇÕES COMPLEMENTARES '!$D:$L,3,0),IFERROR(VLOOKUP($C598,INSUMOS!$A:$D,3,0),""))))</f>
        <v>UN</v>
      </c>
      <c r="F598" s="313">
        <v>1</v>
      </c>
      <c r="G598" s="314">
        <f>IF($C598="","",IFERROR(VLOOKUP($C598,SERVIÇOS!$B:$G,4,0),IFERROR(VLOOKUP($C598,'COMPOSIÇÕES COMPLEMENTARES '!$D:$L,6,0),IFERROR(VLOOKUP($C598,INSUMOS!$A:$D,4,0),""))))</f>
        <v>337.21</v>
      </c>
      <c r="H598" s="314">
        <f>IF($C598="","",IFERROR(VLOOKUP($C598,SERVIÇOS!$B:$G,5,0),IFERROR(VLOOKUP($C598,'COMPOSIÇÕES COMPLEMENTARES '!$D:$L,7,0),0)))</f>
        <v>24.62</v>
      </c>
      <c r="I598" s="314">
        <f t="shared" si="56"/>
        <v>361.83</v>
      </c>
      <c r="J598" s="314">
        <f t="shared" si="57"/>
        <v>337.21</v>
      </c>
      <c r="K598" s="314">
        <f t="shared" si="58"/>
        <v>24.62</v>
      </c>
      <c r="L598" s="948">
        <f t="shared" si="59"/>
        <v>361.83</v>
      </c>
      <c r="M598" s="374">
        <f t="shared" si="60"/>
        <v>5616188.8800000111</v>
      </c>
      <c r="N598" s="375">
        <f>+M598/L$815</f>
        <v>0.99443065672495545</v>
      </c>
      <c r="O598" s="376" t="str">
        <f>IF(N598&lt;0.5,"A",IF(N598&gt;0.8,"C","B"))</f>
        <v>C</v>
      </c>
    </row>
    <row r="599" spans="1:15" x14ac:dyDescent="0.25">
      <c r="A599" s="232">
        <f t="shared" si="55"/>
        <v>599</v>
      </c>
      <c r="B599" s="232"/>
      <c r="C599" s="310">
        <v>101894</v>
      </c>
      <c r="D599" s="373" t="str">
        <f>IF($C599="","",IFERROR(VLOOKUP($C599,SERVIÇOS!$B:$G,2,0),IFERROR(VLOOKUP($C599,'COMPOSIÇÕES COMPLEMENTARES '!$D:$L,2,0),IFERROR(VLOOKUP($C599,INSUMOS!$A:$D,2,0),""))))</f>
        <v>DISJUNTOR TRIPOLAR TIPO NEMA, CORRENTE NOMINAL DE 60 ATÉ 100A - FORNECIMENTO E INSTALAÇÃO. AF_10/2020</v>
      </c>
      <c r="E599" s="312" t="str">
        <f>IF($C599="","",IFERROR(VLOOKUP($C599,SERVIÇOS!$B:$G,3,0),IFERROR(VLOOKUP($C599,'COMPOSIÇÕES COMPLEMENTARES '!$D:$L,3,0),IFERROR(VLOOKUP($C599,INSUMOS!$A:$D,3,0),""))))</f>
        <v>UN</v>
      </c>
      <c r="F599" s="313">
        <v>2</v>
      </c>
      <c r="G599" s="314">
        <f>IF($C599="","",IFERROR(VLOOKUP($C599,SERVIÇOS!$B:$G,4,0),IFERROR(VLOOKUP($C599,'COMPOSIÇÕES COMPLEMENTARES '!$D:$L,6,0),IFERROR(VLOOKUP($C599,INSUMOS!$A:$D,4,0),""))))</f>
        <v>141.47</v>
      </c>
      <c r="H599" s="314">
        <f>IF($C599="","",IFERROR(VLOOKUP($C599,SERVIÇOS!$B:$G,5,0),IFERROR(VLOOKUP($C599,'COMPOSIÇÕES COMPLEMENTARES '!$D:$L,7,0),0)))</f>
        <v>38.79</v>
      </c>
      <c r="I599" s="314">
        <f t="shared" si="56"/>
        <v>180.26</v>
      </c>
      <c r="J599" s="314">
        <f t="shared" si="57"/>
        <v>282.94</v>
      </c>
      <c r="K599" s="314">
        <f t="shared" si="58"/>
        <v>77.58</v>
      </c>
      <c r="L599" s="948">
        <f t="shared" si="59"/>
        <v>360.52</v>
      </c>
      <c r="M599" s="374">
        <f t="shared" si="60"/>
        <v>5616549.4000000106</v>
      </c>
      <c r="N599" s="375">
        <f>+M599/L$815</f>
        <v>0.99449449220984065</v>
      </c>
      <c r="O599" s="376" t="str">
        <f>IF(N599&lt;0.5,"A",IF(N599&gt;0.8,"C","B"))</f>
        <v>C</v>
      </c>
    </row>
    <row r="600" spans="1:15" x14ac:dyDescent="0.25">
      <c r="A600" s="232">
        <f t="shared" si="55"/>
        <v>600</v>
      </c>
      <c r="B600" s="232"/>
      <c r="C600" s="310">
        <v>100705</v>
      </c>
      <c r="D600" s="373" t="str">
        <f>IF($C600="","",IFERROR(VLOOKUP($C600,SERVIÇOS!$B:$G,2,0),IFERROR(VLOOKUP($C600,'COMPOSIÇÕES COMPLEMENTARES '!$D:$L,2,0),IFERROR(VLOOKUP($C600,INSUMOS!$A:$D,2,0),""))))</f>
        <v>TARJETA TIPO LIVRE/OCUPADO PARA PORTA DE BANHEIRO. AF_12/2019</v>
      </c>
      <c r="E600" s="312" t="str">
        <f>IF($C600="","",IFERROR(VLOOKUP($C600,SERVIÇOS!$B:$G,3,0),IFERROR(VLOOKUP($C600,'COMPOSIÇÕES COMPLEMENTARES '!$D:$L,3,0),IFERROR(VLOOKUP($C600,INSUMOS!$A:$D,3,0),""))))</f>
        <v>UN</v>
      </c>
      <c r="F600" s="313">
        <v>4</v>
      </c>
      <c r="G600" s="314">
        <f>IF($C600="","",IFERROR(VLOOKUP($C600,SERVIÇOS!$B:$G,4,0),IFERROR(VLOOKUP($C600,'COMPOSIÇÕES COMPLEMENTARES '!$D:$L,6,0),IFERROR(VLOOKUP($C600,INSUMOS!$A:$D,4,0),""))))</f>
        <v>57.13</v>
      </c>
      <c r="H600" s="314">
        <f>IF($C600="","",IFERROR(VLOOKUP($C600,SERVIÇOS!$B:$G,5,0),IFERROR(VLOOKUP($C600,'COMPOSIÇÕES COMPLEMENTARES '!$D:$L,7,0),0)))</f>
        <v>32.54</v>
      </c>
      <c r="I600" s="314">
        <f t="shared" si="56"/>
        <v>89.67</v>
      </c>
      <c r="J600" s="314">
        <f t="shared" si="57"/>
        <v>228.52</v>
      </c>
      <c r="K600" s="314">
        <f t="shared" si="58"/>
        <v>130.16</v>
      </c>
      <c r="L600" s="948">
        <f t="shared" si="59"/>
        <v>358.68</v>
      </c>
      <c r="M600" s="374">
        <f t="shared" si="60"/>
        <v>5616908.0800000103</v>
      </c>
      <c r="N600" s="375">
        <f>+M600/L$815</f>
        <v>0.99455800189506938</v>
      </c>
      <c r="O600" s="376" t="str">
        <f>IF(N600&lt;0.5,"A",IF(N600&gt;0.8,"C","B"))</f>
        <v>C</v>
      </c>
    </row>
    <row r="601" spans="1:15" x14ac:dyDescent="0.25">
      <c r="A601" s="232">
        <f t="shared" si="55"/>
        <v>601</v>
      </c>
      <c r="B601" s="232"/>
      <c r="C601" s="310">
        <v>93358</v>
      </c>
      <c r="D601" s="373" t="str">
        <f>IF($C601="","",IFERROR(VLOOKUP($C601,SERVIÇOS!$B:$G,2,0),IFERROR(VLOOKUP($C601,'COMPOSIÇÕES COMPLEMENTARES '!$D:$L,2,0),IFERROR(VLOOKUP($C601,INSUMOS!$A:$D,2,0),""))))</f>
        <v>ESCAVAÇÃO MANUAL DE VALA. AF_09/2024</v>
      </c>
      <c r="E601" s="312" t="str">
        <f>IF($C601="","",IFERROR(VLOOKUP($C601,SERVIÇOS!$B:$G,3,0),IFERROR(VLOOKUP($C601,'COMPOSIÇÕES COMPLEMENTARES '!$D:$L,3,0),IFERROR(VLOOKUP($C601,INSUMOS!$A:$D,3,0),""))))</f>
        <v>M3</v>
      </c>
      <c r="F601" s="313">
        <v>3.15</v>
      </c>
      <c r="G601" s="314">
        <f>IF($C601="","",IFERROR(VLOOKUP($C601,SERVIÇOS!$B:$G,4,0),IFERROR(VLOOKUP($C601,'COMPOSIÇÕES COMPLEMENTARES '!$D:$L,6,0),IFERROR(VLOOKUP($C601,INSUMOS!$A:$D,4,0),""))))</f>
        <v>36.369999999999997</v>
      </c>
      <c r="H601" s="314">
        <f>IF($C601="","",IFERROR(VLOOKUP($C601,SERVIÇOS!$B:$G,5,0),IFERROR(VLOOKUP($C601,'COMPOSIÇÕES COMPLEMENTARES '!$D:$L,7,0),0)))</f>
        <v>77.2</v>
      </c>
      <c r="I601" s="314">
        <f t="shared" si="56"/>
        <v>113.57</v>
      </c>
      <c r="J601" s="314">
        <f t="shared" si="57"/>
        <v>114.56</v>
      </c>
      <c r="K601" s="314">
        <f t="shared" si="58"/>
        <v>243.18</v>
      </c>
      <c r="L601" s="948">
        <f t="shared" si="59"/>
        <v>357.74</v>
      </c>
      <c r="M601" s="374">
        <f t="shared" si="60"/>
        <v>5617265.8200000105</v>
      </c>
      <c r="N601" s="375">
        <f>+M601/L$815</f>
        <v>0.99462134513916933</v>
      </c>
      <c r="O601" s="376" t="str">
        <f>IF(N601&lt;0.5,"A",IF(N601&gt;0.8,"C","B"))</f>
        <v>C</v>
      </c>
    </row>
    <row r="602" spans="1:15" ht="25.5" x14ac:dyDescent="0.25">
      <c r="A602" s="232">
        <f t="shared" si="55"/>
        <v>602</v>
      </c>
      <c r="B602" s="232"/>
      <c r="C602" s="310">
        <v>103322</v>
      </c>
      <c r="D602" s="373" t="str">
        <f>IF($C602="","",IFERROR(VLOOKUP($C602,SERVIÇOS!$B:$G,2,0),IFERROR(VLOOKUP($C602,'COMPOSIÇÕES COMPLEMENTARES '!$D:$L,2,0),IFERROR(VLOOKUP($C602,INSUMOS!$A:$D,2,0),""))))</f>
        <v>ALVENARIA DE VEDAÇÃO DE BLOCOS CERÂMICOS FURADOS NA VERTICAL DE 9X19X39 CM (ESPESSURA 9 CM) E ARGAMASSA DE ASSENTAMENTO COM PREPARO EM BETONEIRA. AF_12/2021</v>
      </c>
      <c r="E602" s="312" t="str">
        <f>IF($C602="","",IFERROR(VLOOKUP($C602,SERVIÇOS!$B:$G,3,0),IFERROR(VLOOKUP($C602,'COMPOSIÇÕES COMPLEMENTARES '!$D:$L,3,0),IFERROR(VLOOKUP($C602,INSUMOS!$A:$D,3,0),""))))</f>
        <v>M2</v>
      </c>
      <c r="F602" s="313">
        <v>5.56</v>
      </c>
      <c r="G602" s="314">
        <f>IF($C602="","",IFERROR(VLOOKUP($C602,SERVIÇOS!$B:$G,4,0),IFERROR(VLOOKUP($C602,'COMPOSIÇÕES COMPLEMENTARES '!$D:$L,6,0),IFERROR(VLOOKUP($C602,INSUMOS!$A:$D,4,0),""))))</f>
        <v>41.02</v>
      </c>
      <c r="H602" s="314">
        <f>IF($C602="","",IFERROR(VLOOKUP($C602,SERVIÇOS!$B:$G,5,0),IFERROR(VLOOKUP($C602,'COMPOSIÇÕES COMPLEMENTARES '!$D:$L,7,0),0)))</f>
        <v>23.21</v>
      </c>
      <c r="I602" s="314">
        <f t="shared" si="56"/>
        <v>64.23</v>
      </c>
      <c r="J602" s="314">
        <f t="shared" si="57"/>
        <v>228.07</v>
      </c>
      <c r="K602" s="314">
        <f t="shared" si="58"/>
        <v>129.04</v>
      </c>
      <c r="L602" s="948">
        <f t="shared" si="59"/>
        <v>357.11</v>
      </c>
      <c r="M602" s="374">
        <f t="shared" si="60"/>
        <v>5617622.9300000109</v>
      </c>
      <c r="N602" s="375">
        <f>+M602/L$815</f>
        <v>0.99468457683229983</v>
      </c>
      <c r="O602" s="376" t="str">
        <f>IF(N602&lt;0.5,"A",IF(N602&gt;0.8,"C","B"))</f>
        <v>C</v>
      </c>
    </row>
    <row r="603" spans="1:15" ht="38.25" x14ac:dyDescent="0.25">
      <c r="A603" s="232">
        <f t="shared" si="55"/>
        <v>603</v>
      </c>
      <c r="B603" s="232"/>
      <c r="C603" s="310">
        <v>101230</v>
      </c>
      <c r="D603" s="373" t="str">
        <f>IF($C603="","",IFERROR(VLOOKUP($C603,SERVIÇOS!$B:$G,2,0),IFERROR(VLOOKUP($C603,'COMPOSIÇÕES COMPLEMENTARES '!$D:$L,2,0),IFERROR(VLOOKUP($C603,INSUMOS!$A:$D,2,0),""))))</f>
        <v>ESCAVAÇÃO VERTICAL PARA INFRAESTRUTURA, COM CARGA, DESCARGA E TRANSPORTE DE SOLO DE 1ª CATEGORIA, COM ESCAVADEIRA HIDRÁULICA (CAÇAMBA: 0,8 M³ / 111 HP), FROTA DE 3 CAMINHÕES BASCULANTES DE 14 M³, DMT ATÉ 1 KM E VELOCIDADE MÉDIA14 KM/H. AF_05/2020</v>
      </c>
      <c r="E603" s="312" t="str">
        <f>IF($C603="","",IFERROR(VLOOKUP($C603,SERVIÇOS!$B:$G,3,0),IFERROR(VLOOKUP($C603,'COMPOSIÇÕES COMPLEMENTARES '!$D:$L,3,0),IFERROR(VLOOKUP($C603,INSUMOS!$A:$D,3,0),""))))</f>
        <v>M3</v>
      </c>
      <c r="F603" s="313">
        <v>29.96</v>
      </c>
      <c r="G603" s="314">
        <f>IF($C603="","",IFERROR(VLOOKUP($C603,SERVIÇOS!$B:$G,4,0),IFERROR(VLOOKUP($C603,'COMPOSIÇÕES COMPLEMENTARES '!$D:$L,6,0),IFERROR(VLOOKUP($C603,INSUMOS!$A:$D,4,0),""))))</f>
        <v>10.199999999999999</v>
      </c>
      <c r="H603" s="314">
        <f>IF($C603="","",IFERROR(VLOOKUP($C603,SERVIÇOS!$B:$G,5,0),IFERROR(VLOOKUP($C603,'COMPOSIÇÕES COMPLEMENTARES '!$D:$L,7,0),0)))</f>
        <v>1.6</v>
      </c>
      <c r="I603" s="314">
        <f t="shared" si="56"/>
        <v>11.799999999999999</v>
      </c>
      <c r="J603" s="314">
        <f t="shared" si="57"/>
        <v>305.58999999999997</v>
      </c>
      <c r="K603" s="314">
        <f t="shared" si="58"/>
        <v>47.93</v>
      </c>
      <c r="L603" s="948">
        <f t="shared" si="59"/>
        <v>353.52</v>
      </c>
      <c r="M603" s="374">
        <f t="shared" si="60"/>
        <v>5617976.4500000104</v>
      </c>
      <c r="N603" s="375">
        <f>+M603/L$815</f>
        <v>0.9947471728619699</v>
      </c>
      <c r="O603" s="376" t="str">
        <f>IF(N603&lt;0.5,"A",IF(N603&gt;0.8,"C","B"))</f>
        <v>C</v>
      </c>
    </row>
    <row r="604" spans="1:15" ht="25.5" x14ac:dyDescent="0.25">
      <c r="A604" s="232">
        <f t="shared" si="55"/>
        <v>604</v>
      </c>
      <c r="B604" s="232"/>
      <c r="C604" s="310" t="s">
        <v>12471</v>
      </c>
      <c r="D604" s="373" t="str">
        <f>IF($C604="","",IFERROR(VLOOKUP($C604,SERVIÇOS!$B:$G,2,0),IFERROR(VLOOKUP($C604,'COMPOSIÇÕES COMPLEMENTARES '!$D:$L,2,0),IFERROR(VLOOKUP($C604,INSUMOS!$A:$D,2,0),""))))</f>
        <v>DAMPER DE REGULAGEM DE VAZÃO 500x150MM. MARCA TROPICAL DRV-500x150 (OU EQUIVALENTE (OU SIMILAR - TROX, SEIMMEI, DIFUSAR) -  FORNECIMENTO E INSTALAÇÃO</v>
      </c>
      <c r="E604" s="312" t="str">
        <f>IF($C604="","",IFERROR(VLOOKUP($C604,SERVIÇOS!$B:$G,3,0),IFERROR(VLOOKUP($C604,'COMPOSIÇÕES COMPLEMENTARES '!$D:$L,3,0),IFERROR(VLOOKUP($C604,INSUMOS!$A:$D,3,0),""))))</f>
        <v>UN</v>
      </c>
      <c r="F604" s="313">
        <v>2</v>
      </c>
      <c r="G604" s="314">
        <f>IF($C604="","",IFERROR(VLOOKUP($C604,SERVIÇOS!$B:$G,4,0),IFERROR(VLOOKUP($C604,'COMPOSIÇÕES COMPLEMENTARES '!$D:$L,6,0),IFERROR(VLOOKUP($C604,INSUMOS!$A:$D,4,0),""))))</f>
        <v>164.78</v>
      </c>
      <c r="H604" s="314">
        <f>IF($C604="","",IFERROR(VLOOKUP($C604,SERVIÇOS!$B:$G,5,0),IFERROR(VLOOKUP($C604,'COMPOSIÇÕES COMPLEMENTARES '!$D:$L,7,0),0)))</f>
        <v>11.05</v>
      </c>
      <c r="I604" s="314">
        <f t="shared" si="56"/>
        <v>175.83</v>
      </c>
      <c r="J604" s="314">
        <f t="shared" si="57"/>
        <v>329.56</v>
      </c>
      <c r="K604" s="314">
        <f t="shared" si="58"/>
        <v>22.1</v>
      </c>
      <c r="L604" s="948">
        <f t="shared" si="59"/>
        <v>351.66</v>
      </c>
      <c r="M604" s="374">
        <f t="shared" si="60"/>
        <v>5618328.1100000106</v>
      </c>
      <c r="N604" s="375">
        <f>+M604/L$815</f>
        <v>0.99480943955068279</v>
      </c>
      <c r="O604" s="376" t="str">
        <f>IF(N604&lt;0.5,"A",IF(N604&gt;0.8,"C","B"))</f>
        <v>C</v>
      </c>
    </row>
    <row r="605" spans="1:15" x14ac:dyDescent="0.25">
      <c r="A605" s="232">
        <f t="shared" si="55"/>
        <v>605</v>
      </c>
      <c r="B605" s="232"/>
      <c r="C605" s="310" t="s">
        <v>11928</v>
      </c>
      <c r="D605" s="373" t="str">
        <f>IF($C605="","",IFERROR(VLOOKUP($C605,SERVIÇOS!$B:$G,2,0),IFERROR(VLOOKUP($C605,'COMPOSIÇÕES COMPLEMENTARES '!$D:$L,2,0),IFERROR(VLOOKUP($C605,INSUMOS!$A:$D,2,0),""))))</f>
        <v>CONTROLE TECNOLÓGICO DE CONCRETO C/ ROMPIMENTO DE CORPO-DE-PROVA À COMPRESSÃO</v>
      </c>
      <c r="E605" s="312" t="str">
        <f>IF($C605="","",IFERROR(VLOOKUP($C605,SERVIÇOS!$B:$G,3,0),IFERROR(VLOOKUP($C605,'COMPOSIÇÕES COMPLEMENTARES '!$D:$L,3,0),IFERROR(VLOOKUP($C605,INSUMOS!$A:$D,3,0),""))))</f>
        <v>UN</v>
      </c>
      <c r="F605" s="313">
        <v>25</v>
      </c>
      <c r="G605" s="314">
        <f>IF($C605="","",IFERROR(VLOOKUP($C605,SERVIÇOS!$B:$G,4,0),IFERROR(VLOOKUP($C605,'COMPOSIÇÕES COMPLEMENTARES '!$D:$L,6,0),IFERROR(VLOOKUP($C605,INSUMOS!$A:$D,4,0),""))))</f>
        <v>14</v>
      </c>
      <c r="H605" s="314">
        <f>IF($C605="","",IFERROR(VLOOKUP($C605,SERVIÇOS!$B:$G,5,0),IFERROR(VLOOKUP($C605,'COMPOSIÇÕES COMPLEMENTARES '!$D:$L,7,0),0)))</f>
        <v>0</v>
      </c>
      <c r="I605" s="314">
        <f t="shared" si="56"/>
        <v>14</v>
      </c>
      <c r="J605" s="314">
        <f t="shared" si="57"/>
        <v>350</v>
      </c>
      <c r="K605" s="314">
        <f t="shared" si="58"/>
        <v>0</v>
      </c>
      <c r="L605" s="948">
        <f t="shared" si="59"/>
        <v>350</v>
      </c>
      <c r="M605" s="374">
        <f t="shared" si="60"/>
        <v>5618678.1100000106</v>
      </c>
      <c r="N605" s="375">
        <f>+M605/L$815</f>
        <v>0.99487141231144471</v>
      </c>
      <c r="O605" s="376" t="str">
        <f>IF(N605&lt;0.5,"A",IF(N605&gt;0.8,"C","B"))</f>
        <v>C</v>
      </c>
    </row>
    <row r="606" spans="1:15" x14ac:dyDescent="0.25">
      <c r="A606" s="232">
        <f t="shared" si="55"/>
        <v>606</v>
      </c>
      <c r="B606" s="232"/>
      <c r="C606" s="310" t="s">
        <v>12277</v>
      </c>
      <c r="D606" s="373" t="str">
        <f>IF($C606="","",IFERROR(VLOOKUP($C606,SERVIÇOS!$B:$G,2,0),IFERROR(VLOOKUP($C606,'COMPOSIÇÕES COMPLEMENTARES '!$D:$L,2,0),IFERROR(VLOOKUP($C606,INSUMOS!$A:$D,2,0),""))))</f>
        <v xml:space="preserve">TERMINAL DE COMPRESSÃO #120MM² </v>
      </c>
      <c r="E606" s="312" t="str">
        <f>IF($C606="","",IFERROR(VLOOKUP($C606,SERVIÇOS!$B:$G,3,0),IFERROR(VLOOKUP($C606,'COMPOSIÇÕES COMPLEMENTARES '!$D:$L,3,0),IFERROR(VLOOKUP($C606,INSUMOS!$A:$D,3,0),""))))</f>
        <v>UN</v>
      </c>
      <c r="F606" s="313">
        <v>8</v>
      </c>
      <c r="G606" s="314">
        <f>IF($C606="","",IFERROR(VLOOKUP($C606,SERVIÇOS!$B:$G,4,0),IFERROR(VLOOKUP($C606,'COMPOSIÇÕES COMPLEMENTARES '!$D:$L,6,0),IFERROR(VLOOKUP($C606,INSUMOS!$A:$D,4,0),""))))</f>
        <v>34.24</v>
      </c>
      <c r="H606" s="314">
        <f>IF($C606="","",IFERROR(VLOOKUP($C606,SERVIÇOS!$B:$G,5,0),IFERROR(VLOOKUP($C606,'COMPOSIÇÕES COMPLEMENTARES '!$D:$L,7,0),0)))</f>
        <v>9.51</v>
      </c>
      <c r="I606" s="314">
        <f t="shared" si="56"/>
        <v>43.75</v>
      </c>
      <c r="J606" s="314">
        <f t="shared" si="57"/>
        <v>273.92</v>
      </c>
      <c r="K606" s="314">
        <f t="shared" si="58"/>
        <v>76.08</v>
      </c>
      <c r="L606" s="948">
        <f t="shared" si="59"/>
        <v>350</v>
      </c>
      <c r="M606" s="374">
        <f t="shared" si="60"/>
        <v>5619028.1100000106</v>
      </c>
      <c r="N606" s="375">
        <f>+M606/L$815</f>
        <v>0.99493338507220652</v>
      </c>
      <c r="O606" s="376" t="str">
        <f>IF(N606&lt;0.5,"A",IF(N606&gt;0.8,"C","B"))</f>
        <v>C</v>
      </c>
    </row>
    <row r="607" spans="1:15" ht="25.5" x14ac:dyDescent="0.25">
      <c r="A607" s="232">
        <f t="shared" si="55"/>
        <v>607</v>
      </c>
      <c r="B607" s="232"/>
      <c r="C607" s="310" t="s">
        <v>12359</v>
      </c>
      <c r="D607" s="373" t="str">
        <f>IF($C607="","",IFERROR(VLOOKUP($C607,SERVIÇOS!$B:$G,2,0),IFERROR(VLOOKUP($C607,'COMPOSIÇÕES COMPLEMENTARES '!$D:$L,2,0),IFERROR(VLOOKUP($C607,INSUMOS!$A:$D,2,0),""))))</f>
        <v>CAIXA PARA VÁLVULAS DE SEÇÃO DE GASES MEDICINAIS, 365 MM X 125 MM X 385 MM (COMPRIMENTO X PROFUNDIDADE X ALTURA), METÁLICA COM TAMPA ACRÍLICA PARA 02 VÁLVULAS DE GÁS MEDICINAL.</v>
      </c>
      <c r="E607" s="312" t="str">
        <f>IF($C607="","",IFERROR(VLOOKUP($C607,SERVIÇOS!$B:$G,3,0),IFERROR(VLOOKUP($C607,'COMPOSIÇÕES COMPLEMENTARES '!$D:$L,3,0),IFERROR(VLOOKUP($C607,INSUMOS!$A:$D,3,0),""))))</f>
        <v>UN</v>
      </c>
      <c r="F607" s="313">
        <v>1</v>
      </c>
      <c r="G607" s="314">
        <f>IF($C607="","",IFERROR(VLOOKUP($C607,SERVIÇOS!$B:$G,4,0),IFERROR(VLOOKUP($C607,'COMPOSIÇÕES COMPLEMENTARES '!$D:$L,6,0),IFERROR(VLOOKUP($C607,INSUMOS!$A:$D,4,0),""))))</f>
        <v>323.68</v>
      </c>
      <c r="H607" s="314">
        <f>IF($C607="","",IFERROR(VLOOKUP($C607,SERVIÇOS!$B:$G,5,0),IFERROR(VLOOKUP($C607,'COMPOSIÇÕES COMPLEMENTARES '!$D:$L,7,0),0)))</f>
        <v>24.3</v>
      </c>
      <c r="I607" s="314">
        <f t="shared" si="56"/>
        <v>347.98</v>
      </c>
      <c r="J607" s="314">
        <f t="shared" si="57"/>
        <v>323.68</v>
      </c>
      <c r="K607" s="314">
        <f t="shared" si="58"/>
        <v>24.3</v>
      </c>
      <c r="L607" s="948">
        <f t="shared" si="59"/>
        <v>347.98</v>
      </c>
      <c r="M607" s="374">
        <f t="shared" si="60"/>
        <v>5619376.090000011</v>
      </c>
      <c r="N607" s="375">
        <f>+M607/L$815</f>
        <v>0.99499500016160636</v>
      </c>
      <c r="O607" s="376" t="str">
        <f>IF(N607&lt;0.5,"A",IF(N607&gt;0.8,"C","B"))</f>
        <v>C</v>
      </c>
    </row>
    <row r="608" spans="1:15" x14ac:dyDescent="0.25">
      <c r="A608" s="232">
        <f t="shared" si="55"/>
        <v>608</v>
      </c>
      <c r="B608" s="232"/>
      <c r="C608" s="310" t="s">
        <v>12218</v>
      </c>
      <c r="D608" s="377" t="str">
        <f>IF($C608="","",IFERROR(VLOOKUP($C608,SERVIÇOS!$B:$G,2,0),IFERROR(VLOOKUP($C608,'COMPOSIÇÕES COMPLEMENTARES '!$D:$L,2,0),IFERROR(VLOOKUP($C608,INSUMOS!$A:$D,2,0),""))))</f>
        <v>ELETRODUTO RÍGIDO ROSCÁVEL, PVC, DN 25 MM (3/4"), INCLUSO CONEXÕES - FORNECIMENTO E INSTALAÇÃO</v>
      </c>
      <c r="E608" s="312" t="str">
        <f>IF($C608="","",IFERROR(VLOOKUP($C608,SERVIÇOS!$B:$G,3,0),IFERROR(VLOOKUP($C608,'COMPOSIÇÕES COMPLEMENTARES '!$D:$L,3,0),IFERROR(VLOOKUP($C608,INSUMOS!$A:$D,3,0),""))))</f>
        <v>M</v>
      </c>
      <c r="F608" s="313">
        <v>26</v>
      </c>
      <c r="G608" s="314">
        <f>IF($C608="","",IFERROR(VLOOKUP($C608,SERVIÇOS!$B:$G,4,0),IFERROR(VLOOKUP($C608,'COMPOSIÇÕES COMPLEMENTARES '!$D:$L,6,0),IFERROR(VLOOKUP($C608,INSUMOS!$A:$D,4,0),""))))</f>
        <v>9.18</v>
      </c>
      <c r="H608" s="314">
        <f>IF($C608="","",IFERROR(VLOOKUP($C608,SERVIÇOS!$B:$G,5,0),IFERROR(VLOOKUP($C608,'COMPOSIÇÕES COMPLEMENTARES '!$D:$L,7,0),0)))</f>
        <v>4.1500000000000004</v>
      </c>
      <c r="I608" s="314">
        <f t="shared" si="56"/>
        <v>13.33</v>
      </c>
      <c r="J608" s="314">
        <f t="shared" si="57"/>
        <v>238.68</v>
      </c>
      <c r="K608" s="314">
        <f t="shared" si="58"/>
        <v>107.9</v>
      </c>
      <c r="L608" s="948">
        <f t="shared" si="59"/>
        <v>346.58</v>
      </c>
      <c r="M608" s="374">
        <f t="shared" si="60"/>
        <v>5619722.6700000111</v>
      </c>
      <c r="N608" s="375">
        <f>+M608/L$815</f>
        <v>0.99505636735996317</v>
      </c>
      <c r="O608" s="376" t="str">
        <f>IF(N608&lt;0.5,"A",IF(N608&gt;0.8,"C","B"))</f>
        <v>C</v>
      </c>
    </row>
    <row r="609" spans="1:15" ht="25.5" x14ac:dyDescent="0.25">
      <c r="A609" s="232">
        <f t="shared" si="55"/>
        <v>609</v>
      </c>
      <c r="B609" s="232"/>
      <c r="C609" s="310">
        <v>90466</v>
      </c>
      <c r="D609" s="373" t="str">
        <f>IF($C609="","",IFERROR(VLOOKUP($C609,SERVIÇOS!$B:$G,2,0),IFERROR(VLOOKUP($C609,'COMPOSIÇÕES COMPLEMENTARES '!$D:$L,2,0),IFERROR(VLOOKUP($C609,INSUMOS!$A:$D,2,0),""))))</f>
        <v>CHUMBAMENTO LINEAR EM ALVENARIA PARA RAMAIS/DISTRIBUIÇÃO DE INSTALAÇÕES HIDRÁULICAS COM DIÂMETROS MENORES OU IGUAIS A 40 MM. AF_09/2023</v>
      </c>
      <c r="E609" s="312" t="str">
        <f>IF($C609="","",IFERROR(VLOOKUP($C609,SERVIÇOS!$B:$G,3,0),IFERROR(VLOOKUP($C609,'COMPOSIÇÕES COMPLEMENTARES '!$D:$L,3,0),IFERROR(VLOOKUP($C609,INSUMOS!$A:$D,3,0),""))))</f>
        <v>M</v>
      </c>
      <c r="F609" s="313">
        <v>18</v>
      </c>
      <c r="G609" s="314">
        <f>IF($C609="","",IFERROR(VLOOKUP($C609,SERVIÇOS!$B:$G,4,0),IFERROR(VLOOKUP($C609,'COMPOSIÇÕES COMPLEMENTARES '!$D:$L,6,0),IFERROR(VLOOKUP($C609,INSUMOS!$A:$D,4,0),""))))</f>
        <v>6.59</v>
      </c>
      <c r="H609" s="314">
        <f>IF($C609="","",IFERROR(VLOOKUP($C609,SERVIÇOS!$B:$G,5,0),IFERROR(VLOOKUP($C609,'COMPOSIÇÕES COMPLEMENTARES '!$D:$L,7,0),0)))</f>
        <v>12.64</v>
      </c>
      <c r="I609" s="314">
        <f t="shared" si="56"/>
        <v>19.23</v>
      </c>
      <c r="J609" s="314">
        <f t="shared" si="57"/>
        <v>118.62</v>
      </c>
      <c r="K609" s="314">
        <f t="shared" si="58"/>
        <v>227.52</v>
      </c>
      <c r="L609" s="948">
        <f t="shared" si="59"/>
        <v>346.14</v>
      </c>
      <c r="M609" s="374">
        <f t="shared" si="60"/>
        <v>5620068.8100000108</v>
      </c>
      <c r="N609" s="375">
        <f>+M609/L$815</f>
        <v>0.99511765664970631</v>
      </c>
      <c r="O609" s="376" t="str">
        <f>IF(N609&lt;0.5,"A",IF(N609&gt;0.8,"C","B"))</f>
        <v>C</v>
      </c>
    </row>
    <row r="610" spans="1:15" ht="25.5" x14ac:dyDescent="0.25">
      <c r="A610" s="232">
        <f t="shared" si="55"/>
        <v>610</v>
      </c>
      <c r="B610" s="232"/>
      <c r="C610" s="310">
        <v>100981</v>
      </c>
      <c r="D610" s="373" t="str">
        <f>IF($C610="","",IFERROR(VLOOKUP($C610,SERVIÇOS!$B:$G,2,0),IFERROR(VLOOKUP($C610,'COMPOSIÇÕES COMPLEMENTARES '!$D:$L,2,0),IFERROR(VLOOKUP($C610,INSUMOS!$A:$D,2,0),""))))</f>
        <v>CARGA, MANOBRA E DESCARGA DE ENTULHO EM CAMINHÃO BASCULANTE 6 M³ - CARGA COM ESCAVADEIRA HIDRÁULICA  (CAÇAMBA DE 0,80 M³ / 111 HP) E DESCARGA LIVRE (UNIDADE: M3). AF_07/2020</v>
      </c>
      <c r="E610" s="312" t="str">
        <f>IF($C610="","",IFERROR(VLOOKUP($C610,SERVIÇOS!$B:$G,3,0),IFERROR(VLOOKUP($C610,'COMPOSIÇÕES COMPLEMENTARES '!$D:$L,3,0),IFERROR(VLOOKUP($C610,INSUMOS!$A:$D,3,0),""))))</f>
        <v>M3</v>
      </c>
      <c r="F610" s="313">
        <v>33.590000000000003</v>
      </c>
      <c r="G610" s="314">
        <f>IF($C610="","",IFERROR(VLOOKUP($C610,SERVIÇOS!$B:$G,4,0),IFERROR(VLOOKUP($C610,'COMPOSIÇÕES COMPLEMENTARES '!$D:$L,6,0),IFERROR(VLOOKUP($C610,INSUMOS!$A:$D,4,0),""))))</f>
        <v>8.24</v>
      </c>
      <c r="H610" s="314">
        <f>IF($C610="","",IFERROR(VLOOKUP($C610,SERVIÇOS!$B:$G,5,0),IFERROR(VLOOKUP($C610,'COMPOSIÇÕES COMPLEMENTARES '!$D:$L,7,0),0)))</f>
        <v>1.99</v>
      </c>
      <c r="I610" s="314">
        <f t="shared" si="56"/>
        <v>10.23</v>
      </c>
      <c r="J610" s="314">
        <f t="shared" si="57"/>
        <v>276.77999999999997</v>
      </c>
      <c r="K610" s="314">
        <f t="shared" si="58"/>
        <v>66.84</v>
      </c>
      <c r="L610" s="948">
        <f t="shared" si="59"/>
        <v>343.62</v>
      </c>
      <c r="M610" s="374">
        <f t="shared" si="60"/>
        <v>5620412.4300000109</v>
      </c>
      <c r="N610" s="375">
        <f>+M610/L$815</f>
        <v>0.99517849973557193</v>
      </c>
      <c r="O610" s="376" t="str">
        <f>IF(N610&lt;0.5,"A",IF(N610&gt;0.8,"C","B"))</f>
        <v>C</v>
      </c>
    </row>
    <row r="611" spans="1:15" x14ac:dyDescent="0.25">
      <c r="A611" s="232">
        <f t="shared" si="55"/>
        <v>611</v>
      </c>
      <c r="B611" s="232"/>
      <c r="C611" s="310">
        <v>93669</v>
      </c>
      <c r="D611" s="373" t="str">
        <f>IF($C611="","",IFERROR(VLOOKUP($C611,SERVIÇOS!$B:$G,2,0),IFERROR(VLOOKUP($C611,'COMPOSIÇÕES COMPLEMENTARES '!$D:$L,2,0),IFERROR(VLOOKUP($C611,INSUMOS!$A:$D,2,0),""))))</f>
        <v>DISJUNTOR TRIPOLAR TIPO DIN, CORRENTE NOMINAL DE 20A - FORNECIMENTO E INSTALAÇÃO. AF_10/2020</v>
      </c>
      <c r="E611" s="312" t="str">
        <f>IF($C611="","",IFERROR(VLOOKUP($C611,SERVIÇOS!$B:$G,3,0),IFERROR(VLOOKUP($C611,'COMPOSIÇÕES COMPLEMENTARES '!$D:$L,3,0),IFERROR(VLOOKUP($C611,INSUMOS!$A:$D,3,0),""))))</f>
        <v>UN</v>
      </c>
      <c r="F611" s="313">
        <v>4</v>
      </c>
      <c r="G611" s="314">
        <f>IF($C611="","",IFERROR(VLOOKUP($C611,SERVIÇOS!$B:$G,4,0),IFERROR(VLOOKUP($C611,'COMPOSIÇÕES COMPLEMENTARES '!$D:$L,6,0),IFERROR(VLOOKUP($C611,INSUMOS!$A:$D,4,0),""))))</f>
        <v>75.510000000000005</v>
      </c>
      <c r="H611" s="314">
        <f>IF($C611="","",IFERROR(VLOOKUP($C611,SERVIÇOS!$B:$G,5,0),IFERROR(VLOOKUP($C611,'COMPOSIÇÕES COMPLEMENTARES '!$D:$L,7,0),0)))</f>
        <v>9.83</v>
      </c>
      <c r="I611" s="314">
        <f t="shared" si="56"/>
        <v>85.34</v>
      </c>
      <c r="J611" s="314">
        <f t="shared" si="57"/>
        <v>302.04000000000002</v>
      </c>
      <c r="K611" s="314">
        <f t="shared" si="58"/>
        <v>39.32</v>
      </c>
      <c r="L611" s="948">
        <f t="shared" si="59"/>
        <v>341.36</v>
      </c>
      <c r="M611" s="374">
        <f t="shared" si="60"/>
        <v>5620753.7900000112</v>
      </c>
      <c r="N611" s="375">
        <f>+M611/L$815</f>
        <v>0.99523894265446822</v>
      </c>
      <c r="O611" s="376" t="str">
        <f>IF(N611&lt;0.5,"A",IF(N611&gt;0.8,"C","B"))</f>
        <v>C</v>
      </c>
    </row>
    <row r="612" spans="1:15" ht="25.5" x14ac:dyDescent="0.25">
      <c r="A612" s="232">
        <f t="shared" si="55"/>
        <v>612</v>
      </c>
      <c r="B612" s="232"/>
      <c r="C612" s="310">
        <v>91940</v>
      </c>
      <c r="D612" s="373" t="str">
        <f>IF($C612="","",IFERROR(VLOOKUP($C612,SERVIÇOS!$B:$G,2,0),IFERROR(VLOOKUP($C612,'COMPOSIÇÕES COMPLEMENTARES '!$D:$L,2,0),IFERROR(VLOOKUP($C612,INSUMOS!$A:$D,2,0),""))))</f>
        <v>CAIXA RETANGULAR 4" X 2" MÉDIA (1,30 M DO PISO), PVC, INSTALADA EM PAREDE - FORNECIMENTO E INSTALAÇÃO. AF_03/2023</v>
      </c>
      <c r="E612" s="312" t="str">
        <f>IF($C612="","",IFERROR(VLOOKUP($C612,SERVIÇOS!$B:$G,3,0),IFERROR(VLOOKUP($C612,'COMPOSIÇÕES COMPLEMENTARES '!$D:$L,3,0),IFERROR(VLOOKUP($C612,INSUMOS!$A:$D,3,0),""))))</f>
        <v>UN</v>
      </c>
      <c r="F612" s="313">
        <v>14</v>
      </c>
      <c r="G612" s="314">
        <f>IF($C612="","",IFERROR(VLOOKUP($C612,SERVIÇOS!$B:$G,4,0),IFERROR(VLOOKUP($C612,'COMPOSIÇÕES COMPLEMENTARES '!$D:$L,6,0),IFERROR(VLOOKUP($C612,INSUMOS!$A:$D,4,0),""))))</f>
        <v>9.7799999999999994</v>
      </c>
      <c r="H612" s="314">
        <f>IF($C612="","",IFERROR(VLOOKUP($C612,SERVIÇOS!$B:$G,5,0),IFERROR(VLOOKUP($C612,'COMPOSIÇÕES COMPLEMENTARES '!$D:$L,7,0),0)))</f>
        <v>14.56</v>
      </c>
      <c r="I612" s="314">
        <f t="shared" si="56"/>
        <v>24.34</v>
      </c>
      <c r="J612" s="314">
        <f t="shared" si="57"/>
        <v>136.91999999999999</v>
      </c>
      <c r="K612" s="314">
        <f t="shared" si="58"/>
        <v>203.84</v>
      </c>
      <c r="L612" s="948">
        <f t="shared" si="59"/>
        <v>340.76</v>
      </c>
      <c r="M612" s="374">
        <f t="shared" si="60"/>
        <v>5621094.550000011</v>
      </c>
      <c r="N612" s="375">
        <f>+M612/L$815</f>
        <v>0.99529927933434592</v>
      </c>
      <c r="O612" s="376" t="str">
        <f>IF(N612&lt;0.5,"A",IF(N612&gt;0.8,"C","B"))</f>
        <v>C</v>
      </c>
    </row>
    <row r="613" spans="1:15" ht="25.5" x14ac:dyDescent="0.25">
      <c r="A613" s="232">
        <f t="shared" si="55"/>
        <v>613</v>
      </c>
      <c r="B613" s="232"/>
      <c r="C613" s="310" t="s">
        <v>12450</v>
      </c>
      <c r="D613" s="373" t="str">
        <f>IF($C613="","",IFERROR(VLOOKUP($C613,SERVIÇOS!$B:$G,2,0),IFERROR(VLOOKUP($C613,'COMPOSIÇÕES COMPLEMENTARES '!$D:$L,2,0),IFERROR(VLOOKUP($C613,INSUMOS!$A:$D,2,0),""))))</f>
        <v>REGULADOR DE VAZÃO DE AR PARA INSTALAÇÃO EM TETO, EM PLÁSTICO ABS, DIÂMETRO NOMINAL Ø100. REFERÊNCIA: SICFLUX RVA100 OU EQUIVALENTE TÉCNICO (MULTIVAC DVK-100, OTAM BOC-100 OU OUTRO). FORNECIMENTO E INSTALAÇÃO</v>
      </c>
      <c r="E613" s="312" t="str">
        <f>IF($C613="","",IFERROR(VLOOKUP($C613,SERVIÇOS!$B:$G,3,0),IFERROR(VLOOKUP($C613,'COMPOSIÇÕES COMPLEMENTARES '!$D:$L,3,0),IFERROR(VLOOKUP($C613,INSUMOS!$A:$D,3,0),""))))</f>
        <v>UN</v>
      </c>
      <c r="F613" s="313">
        <v>5</v>
      </c>
      <c r="G613" s="314">
        <f>IF($C613="","",IFERROR(VLOOKUP($C613,SERVIÇOS!$B:$G,4,0),IFERROR(VLOOKUP($C613,'COMPOSIÇÕES COMPLEMENTARES '!$D:$L,6,0),IFERROR(VLOOKUP($C613,INSUMOS!$A:$D,4,0),""))))</f>
        <v>52.06</v>
      </c>
      <c r="H613" s="314">
        <f>IF($C613="","",IFERROR(VLOOKUP($C613,SERVIÇOS!$B:$G,5,0),IFERROR(VLOOKUP($C613,'COMPOSIÇÕES COMPLEMENTARES '!$D:$L,7,0),0)))</f>
        <v>15.07</v>
      </c>
      <c r="I613" s="314">
        <f t="shared" si="56"/>
        <v>67.13</v>
      </c>
      <c r="J613" s="314">
        <f t="shared" si="57"/>
        <v>260.3</v>
      </c>
      <c r="K613" s="314">
        <f t="shared" si="58"/>
        <v>75.349999999999994</v>
      </c>
      <c r="L613" s="948">
        <f t="shared" si="59"/>
        <v>335.65</v>
      </c>
      <c r="M613" s="374">
        <f t="shared" si="60"/>
        <v>5621430.2000000114</v>
      </c>
      <c r="N613" s="375">
        <f>+M613/L$815</f>
        <v>0.99535871121191666</v>
      </c>
      <c r="O613" s="376" t="str">
        <f>IF(N613&lt;0.5,"A",IF(N613&gt;0.8,"C","B"))</f>
        <v>C</v>
      </c>
    </row>
    <row r="614" spans="1:15" x14ac:dyDescent="0.25">
      <c r="A614" s="232">
        <f t="shared" si="55"/>
        <v>614</v>
      </c>
      <c r="B614" s="232"/>
      <c r="C614" s="310">
        <v>93662</v>
      </c>
      <c r="D614" s="373" t="str">
        <f>IF($C614="","",IFERROR(VLOOKUP($C614,SERVIÇOS!$B:$G,2,0),IFERROR(VLOOKUP($C614,'COMPOSIÇÕES COMPLEMENTARES '!$D:$L,2,0),IFERROR(VLOOKUP($C614,INSUMOS!$A:$D,2,0),""))))</f>
        <v>DISJUNTOR BIPOLAR TIPO DIN, CORRENTE NOMINAL DE 20A - FORNECIMENTO E INSTALAÇÃO. AF_10/2020</v>
      </c>
      <c r="E614" s="312" t="str">
        <f>IF($C614="","",IFERROR(VLOOKUP($C614,SERVIÇOS!$B:$G,3,0),IFERROR(VLOOKUP($C614,'COMPOSIÇÕES COMPLEMENTARES '!$D:$L,3,0),IFERROR(VLOOKUP($C614,INSUMOS!$A:$D,3,0),""))))</f>
        <v>UN</v>
      </c>
      <c r="F614" s="313">
        <v>5</v>
      </c>
      <c r="G614" s="314">
        <f>IF($C614="","",IFERROR(VLOOKUP($C614,SERVIÇOS!$B:$G,4,0),IFERROR(VLOOKUP($C614,'COMPOSIÇÕES COMPLEMENTARES '!$D:$L,6,0),IFERROR(VLOOKUP($C614,INSUMOS!$A:$D,4,0),""))))</f>
        <v>60.44</v>
      </c>
      <c r="H614" s="314">
        <f>IF($C614="","",IFERROR(VLOOKUP($C614,SERVIÇOS!$B:$G,5,0),IFERROR(VLOOKUP($C614,'COMPOSIÇÕES COMPLEMENTARES '!$D:$L,7,0),0)))</f>
        <v>6.55</v>
      </c>
      <c r="I614" s="314">
        <f t="shared" si="56"/>
        <v>66.989999999999995</v>
      </c>
      <c r="J614" s="314">
        <f t="shared" si="57"/>
        <v>302.2</v>
      </c>
      <c r="K614" s="314">
        <f t="shared" si="58"/>
        <v>32.75</v>
      </c>
      <c r="L614" s="948">
        <f t="shared" si="59"/>
        <v>334.95</v>
      </c>
      <c r="M614" s="374">
        <f t="shared" si="60"/>
        <v>5621765.1500000115</v>
      </c>
      <c r="N614" s="375">
        <f>+M614/L$815</f>
        <v>0.99541801914396577</v>
      </c>
      <c r="O614" s="376" t="str">
        <f>IF(N614&lt;0.5,"A",IF(N614&gt;0.8,"C","B"))</f>
        <v>C</v>
      </c>
    </row>
    <row r="615" spans="1:15" ht="25.5" x14ac:dyDescent="0.25">
      <c r="A615" s="232">
        <f t="shared" si="55"/>
        <v>615</v>
      </c>
      <c r="B615" s="232"/>
      <c r="C615" s="310">
        <v>96386</v>
      </c>
      <c r="D615" s="373" t="str">
        <f>IF($C615="","",IFERROR(VLOOKUP($C615,SERVIÇOS!$B:$G,2,0),IFERROR(VLOOKUP($C615,'COMPOSIÇÕES COMPLEMENTARES '!$D:$L,2,0),IFERROR(VLOOKUP($C615,INSUMOS!$A:$D,2,0),""))))</f>
        <v>EXECUÇÃO E COMPACTAÇÃO DE CORPO DE ATERRO (95% DE ENERGIA DO PROCTOR NORMAL) COM SOLO PREDOMINANTEMENTE ARENOSO ESPESSURA 15CM - EXCLUSIVE MATERIAL, ESCAVAÇÃO, CARGA E TRANSPORTE. AF_09/2024</v>
      </c>
      <c r="E615" s="312" t="str">
        <f>IF($C615="","",IFERROR(VLOOKUP($C615,SERVIÇOS!$B:$G,3,0),IFERROR(VLOOKUP($C615,'COMPOSIÇÕES COMPLEMENTARES '!$D:$L,3,0),IFERROR(VLOOKUP($C615,INSUMOS!$A:$D,3,0),""))))</f>
        <v>M3</v>
      </c>
      <c r="F615" s="313">
        <v>45</v>
      </c>
      <c r="G615" s="314">
        <f>IF($C615="","",IFERROR(VLOOKUP($C615,SERVIÇOS!$B:$G,4,0),IFERROR(VLOOKUP($C615,'COMPOSIÇÕES COMPLEMENTARES '!$D:$L,6,0),IFERROR(VLOOKUP($C615,INSUMOS!$A:$D,4,0),""))))</f>
        <v>5.88</v>
      </c>
      <c r="H615" s="314">
        <f>IF($C615="","",IFERROR(VLOOKUP($C615,SERVIÇOS!$B:$G,5,0),IFERROR(VLOOKUP($C615,'COMPOSIÇÕES COMPLEMENTARES '!$D:$L,7,0),0)))</f>
        <v>1.56</v>
      </c>
      <c r="I615" s="314">
        <f t="shared" si="56"/>
        <v>7.4399999999999995</v>
      </c>
      <c r="J615" s="314">
        <f t="shared" si="57"/>
        <v>264.60000000000002</v>
      </c>
      <c r="K615" s="314">
        <f t="shared" si="58"/>
        <v>70.2</v>
      </c>
      <c r="L615" s="948">
        <f t="shared" si="59"/>
        <v>334.8</v>
      </c>
      <c r="M615" s="374">
        <f t="shared" si="60"/>
        <v>5622099.9500000114</v>
      </c>
      <c r="N615" s="375">
        <f>+M615/L$815</f>
        <v>0.99547730051626027</v>
      </c>
      <c r="O615" s="376" t="str">
        <f>IF(N615&lt;0.5,"A",IF(N615&gt;0.8,"C","B"))</f>
        <v>C</v>
      </c>
    </row>
    <row r="616" spans="1:15" x14ac:dyDescent="0.25">
      <c r="A616" s="232">
        <f t="shared" si="55"/>
        <v>616</v>
      </c>
      <c r="B616" s="232"/>
      <c r="C616" s="310" t="s">
        <v>12138</v>
      </c>
      <c r="D616" s="373" t="str">
        <f>IF($C616="","",IFERROR(VLOOKUP($C616,SERVIÇOS!$B:$G,2,0),IFERROR(VLOOKUP($C616,'COMPOSIÇÕES COMPLEMENTARES '!$D:$L,2,0),IFERROR(VLOOKUP($C616,INSUMOS!$A:$D,2,0),""))))</f>
        <v>CAIXA DE GORDURA, EM ALVENARIA, DIMENSÃO INTERNA (40X40XH.A.=40)CM, COM A DESCRIÇÃO "ESGOTO DE GORDURA"</v>
      </c>
      <c r="E616" s="312" t="str">
        <f>IF($C616="","",IFERROR(VLOOKUP($C616,SERVIÇOS!$B:$G,3,0),IFERROR(VLOOKUP($C616,'COMPOSIÇÕES COMPLEMENTARES '!$D:$L,3,0),IFERROR(VLOOKUP($C616,INSUMOS!$A:$D,3,0),""))))</f>
        <v>UN</v>
      </c>
      <c r="F616" s="313">
        <v>1</v>
      </c>
      <c r="G616" s="314">
        <f>IF($C616="","",IFERROR(VLOOKUP($C616,SERVIÇOS!$B:$G,4,0),IFERROR(VLOOKUP($C616,'COMPOSIÇÕES COMPLEMENTARES '!$D:$L,6,0),IFERROR(VLOOKUP($C616,INSUMOS!$A:$D,4,0),""))))</f>
        <v>172.55</v>
      </c>
      <c r="H616" s="314">
        <f>IF($C616="","",IFERROR(VLOOKUP($C616,SERVIÇOS!$B:$G,5,0),IFERROR(VLOOKUP($C616,'COMPOSIÇÕES COMPLEMENTARES '!$D:$L,7,0),0)))</f>
        <v>162.16999999999999</v>
      </c>
      <c r="I616" s="314">
        <f t="shared" si="56"/>
        <v>334.72</v>
      </c>
      <c r="J616" s="314">
        <f t="shared" si="57"/>
        <v>172.55</v>
      </c>
      <c r="K616" s="314">
        <f t="shared" si="58"/>
        <v>162.16999999999999</v>
      </c>
      <c r="L616" s="948">
        <f t="shared" si="59"/>
        <v>334.72</v>
      </c>
      <c r="M616" s="374">
        <f t="shared" si="60"/>
        <v>5622434.6700000111</v>
      </c>
      <c r="N616" s="375">
        <f>+M616/L$815</f>
        <v>0.99553656772335231</v>
      </c>
      <c r="O616" s="376" t="str">
        <f>IF(N616&lt;0.5,"A",IF(N616&gt;0.8,"C","B"))</f>
        <v>C</v>
      </c>
    </row>
    <row r="617" spans="1:15" x14ac:dyDescent="0.25">
      <c r="A617" s="232">
        <f t="shared" si="55"/>
        <v>617</v>
      </c>
      <c r="B617" s="232"/>
      <c r="C617" s="310" t="s">
        <v>12351</v>
      </c>
      <c r="D617" s="373" t="str">
        <f>IF($C617="","",IFERROR(VLOOKUP($C617,SERVIÇOS!$B:$G,2,0),IFERROR(VLOOKUP($C617,'COMPOSIÇÕES COMPLEMENTARES '!$D:$L,2,0),IFERROR(VLOOKUP($C617,INSUMOS!$A:$D,2,0),""))))</f>
        <v>PINTURA EM ESMALTE SINTÉTICO CINZA-CLARO PADRÃO MUNSELL N 6,5 EM LATA DE 3,6 LITROS</v>
      </c>
      <c r="E617" s="312" t="str">
        <f>IF($C617="","",IFERROR(VLOOKUP($C617,SERVIÇOS!$B:$G,3,0),IFERROR(VLOOKUP($C617,'COMPOSIÇÕES COMPLEMENTARES '!$D:$L,3,0),IFERROR(VLOOKUP($C617,INSUMOS!$A:$D,3,0),""))))</f>
        <v>M</v>
      </c>
      <c r="F617" s="313">
        <v>80</v>
      </c>
      <c r="G617" s="314">
        <f>IF($C617="","",IFERROR(VLOOKUP($C617,SERVIÇOS!$B:$G,4,0),IFERROR(VLOOKUP($C617,'COMPOSIÇÕES COMPLEMENTARES '!$D:$L,6,0),IFERROR(VLOOKUP($C617,INSUMOS!$A:$D,4,0),""))))</f>
        <v>2.0299999999999998</v>
      </c>
      <c r="H617" s="314">
        <f>IF($C617="","",IFERROR(VLOOKUP($C617,SERVIÇOS!$B:$G,5,0),IFERROR(VLOOKUP($C617,'COMPOSIÇÕES COMPLEMENTARES '!$D:$L,7,0),0)))</f>
        <v>1.99</v>
      </c>
      <c r="I617" s="314">
        <f t="shared" si="56"/>
        <v>4.0199999999999996</v>
      </c>
      <c r="J617" s="314">
        <f t="shared" si="57"/>
        <v>162.4</v>
      </c>
      <c r="K617" s="314">
        <f t="shared" si="58"/>
        <v>159.19999999999999</v>
      </c>
      <c r="L617" s="948">
        <f t="shared" si="59"/>
        <v>321.60000000000002</v>
      </c>
      <c r="M617" s="374">
        <f t="shared" si="60"/>
        <v>5622756.2700000107</v>
      </c>
      <c r="N617" s="375">
        <f>+M617/L$815</f>
        <v>0.99559351183724087</v>
      </c>
      <c r="O617" s="376" t="str">
        <f>IF(N617&lt;0.5,"A",IF(N617&gt;0.8,"C","B"))</f>
        <v>C</v>
      </c>
    </row>
    <row r="618" spans="1:15" x14ac:dyDescent="0.25">
      <c r="A618" s="232">
        <f t="shared" si="55"/>
        <v>618</v>
      </c>
      <c r="B618" s="232"/>
      <c r="C618" s="310" t="s">
        <v>12199</v>
      </c>
      <c r="D618" s="373" t="str">
        <f>IF($C618="","",IFERROR(VLOOKUP($C618,SERVIÇOS!$B:$G,2,0),IFERROR(VLOOKUP($C618,'COMPOSIÇÕES COMPLEMENTARES '!$D:$L,2,0),IFERROR(VLOOKUP($C618,INSUMOS!$A:$D,2,0),""))))</f>
        <v>INTERRUPTOR DIFERENCIAL BIPOLAR 2X40A SENS. 30MA</v>
      </c>
      <c r="E618" s="312" t="str">
        <f>IF($C618="","",IFERROR(VLOOKUP($C618,SERVIÇOS!$B:$G,3,0),IFERROR(VLOOKUP($C618,'COMPOSIÇÕES COMPLEMENTARES '!$D:$L,3,0),IFERROR(VLOOKUP($C618,INSUMOS!$A:$D,3,0),""))))</f>
        <v>UN</v>
      </c>
      <c r="F618" s="313">
        <v>1</v>
      </c>
      <c r="G618" s="314">
        <f>IF($C618="","",IFERROR(VLOOKUP($C618,SERVIÇOS!$B:$G,4,0),IFERROR(VLOOKUP($C618,'COMPOSIÇÕES COMPLEMENTARES '!$D:$L,6,0),IFERROR(VLOOKUP($C618,INSUMOS!$A:$D,4,0),""))))</f>
        <v>218.04</v>
      </c>
      <c r="H618" s="314">
        <f>IF($C618="","",IFERROR(VLOOKUP($C618,SERVIÇOS!$B:$G,5,0),IFERROR(VLOOKUP($C618,'COMPOSIÇÕES COMPLEMENTARES '!$D:$L,7,0),0)))</f>
        <v>100.29</v>
      </c>
      <c r="I618" s="314">
        <f t="shared" si="56"/>
        <v>318.33</v>
      </c>
      <c r="J618" s="314">
        <f t="shared" si="57"/>
        <v>218.04</v>
      </c>
      <c r="K618" s="314">
        <f t="shared" si="58"/>
        <v>100.29</v>
      </c>
      <c r="L618" s="948">
        <f t="shared" si="59"/>
        <v>318.33</v>
      </c>
      <c r="M618" s="374">
        <f t="shared" si="60"/>
        <v>5623074.6000000108</v>
      </c>
      <c r="N618" s="375">
        <f>+M618/L$815</f>
        <v>0.99564987694847895</v>
      </c>
      <c r="O618" s="376" t="str">
        <f>IF(N618&lt;0.5,"A",IF(N618&gt;0.8,"C","B"))</f>
        <v>C</v>
      </c>
    </row>
    <row r="619" spans="1:15" ht="25.5" x14ac:dyDescent="0.25">
      <c r="A619" s="232">
        <f t="shared" si="55"/>
        <v>619</v>
      </c>
      <c r="B619" s="232"/>
      <c r="C619" s="310" t="s">
        <v>12461</v>
      </c>
      <c r="D619" s="373" t="str">
        <f>IF($C619="","",IFERROR(VLOOKUP($C619,SERVIÇOS!$B:$G,2,0),IFERROR(VLOOKUP($C619,'COMPOSIÇÕES COMPLEMENTARES '!$D:$L,2,0),IFERROR(VLOOKUP($C619,INSUMOS!$A:$D,2,0),""))))</f>
        <v>DAMPER DE REGULAGEM DE VAZÃO 300x100MM. MARCA TROPICAL DRV-300x100 (OU EQUIVALENTE (OU SIMILAR - TROX, SEIMMEI, DIFUSAR)</v>
      </c>
      <c r="E619" s="312" t="str">
        <f>IF($C619="","",IFERROR(VLOOKUP($C619,SERVIÇOS!$B:$G,3,0),IFERROR(VLOOKUP($C619,'COMPOSIÇÕES COMPLEMENTARES '!$D:$L,3,0),IFERROR(VLOOKUP($C619,INSUMOS!$A:$D,3,0),""))))</f>
        <v>UN</v>
      </c>
      <c r="F619" s="313">
        <v>4</v>
      </c>
      <c r="G619" s="314">
        <f>IF($C619="","",IFERROR(VLOOKUP($C619,SERVIÇOS!$B:$G,4,0),IFERROR(VLOOKUP($C619,'COMPOSIÇÕES COMPLEMENTARES '!$D:$L,6,0),IFERROR(VLOOKUP($C619,INSUMOS!$A:$D,4,0),""))))</f>
        <v>68.36</v>
      </c>
      <c r="H619" s="314">
        <f>IF($C619="","",IFERROR(VLOOKUP($C619,SERVIÇOS!$B:$G,5,0),IFERROR(VLOOKUP($C619,'COMPOSIÇÕES COMPLEMENTARES '!$D:$L,7,0),0)))</f>
        <v>11.05</v>
      </c>
      <c r="I619" s="314">
        <f t="shared" si="56"/>
        <v>79.41</v>
      </c>
      <c r="J619" s="314">
        <f t="shared" si="57"/>
        <v>273.44</v>
      </c>
      <c r="K619" s="314">
        <f t="shared" si="58"/>
        <v>44.2</v>
      </c>
      <c r="L619" s="948">
        <f t="shared" si="59"/>
        <v>317.64</v>
      </c>
      <c r="M619" s="374">
        <f t="shared" si="60"/>
        <v>5623392.2400000105</v>
      </c>
      <c r="N619" s="375">
        <f>+M619/L$815</f>
        <v>0.9957061198848457</v>
      </c>
      <c r="O619" s="376" t="str">
        <f>IF(N619&lt;0.5,"A",IF(N619&gt;0.8,"C","B"))</f>
        <v>C</v>
      </c>
    </row>
    <row r="620" spans="1:15" x14ac:dyDescent="0.25">
      <c r="A620" s="232">
        <f t="shared" si="55"/>
        <v>620</v>
      </c>
      <c r="B620" s="232"/>
      <c r="C620" s="310" t="s">
        <v>12091</v>
      </c>
      <c r="D620" s="373" t="str">
        <f>IF($C620="","",IFERROR(VLOOKUP($C620,SERVIÇOS!$B:$G,2,0),IFERROR(VLOOKUP($C620,'COMPOSIÇÕES COMPLEMENTARES '!$D:$L,2,0),IFERROR(VLOOKUP($C620,INSUMOS!$A:$D,2,0),""))))</f>
        <v>SIFÃO EXTRAVASOR, DN 100 MM</v>
      </c>
      <c r="E620" s="312" t="str">
        <f>IF($C620="","",IFERROR(VLOOKUP($C620,SERVIÇOS!$B:$G,3,0),IFERROR(VLOOKUP($C620,'COMPOSIÇÕES COMPLEMENTARES '!$D:$L,3,0),IFERROR(VLOOKUP($C620,INSUMOS!$A:$D,3,0),""))))</f>
        <v>UN</v>
      </c>
      <c r="F620" s="313">
        <v>1</v>
      </c>
      <c r="G620" s="314">
        <f>IF($C620="","",IFERROR(VLOOKUP($C620,SERVIÇOS!$B:$G,4,0),IFERROR(VLOOKUP($C620,'COMPOSIÇÕES COMPLEMENTARES '!$D:$L,6,0),IFERROR(VLOOKUP($C620,INSUMOS!$A:$D,4,0),""))))</f>
        <v>277</v>
      </c>
      <c r="H620" s="314">
        <f>IF($C620="","",IFERROR(VLOOKUP($C620,SERVIÇOS!$B:$G,5,0),IFERROR(VLOOKUP($C620,'COMPOSIÇÕES COMPLEMENTARES '!$D:$L,7,0),0)))</f>
        <v>24.3</v>
      </c>
      <c r="I620" s="314">
        <f t="shared" si="56"/>
        <v>301.3</v>
      </c>
      <c r="J620" s="314">
        <f t="shared" si="57"/>
        <v>277</v>
      </c>
      <c r="K620" s="314">
        <f t="shared" si="58"/>
        <v>24.3</v>
      </c>
      <c r="L620" s="948">
        <f t="shared" si="59"/>
        <v>301.3</v>
      </c>
      <c r="M620" s="374">
        <f t="shared" si="60"/>
        <v>5623693.5400000103</v>
      </c>
      <c r="N620" s="375">
        <f>+M620/L$815</f>
        <v>0.99575946957861017</v>
      </c>
      <c r="O620" s="376" t="str">
        <f>IF(N620&lt;0.5,"A",IF(N620&gt;0.8,"C","B"))</f>
        <v>C</v>
      </c>
    </row>
    <row r="621" spans="1:15" x14ac:dyDescent="0.25">
      <c r="A621" s="232">
        <f t="shared" si="55"/>
        <v>621</v>
      </c>
      <c r="B621" s="232"/>
      <c r="C621" s="310">
        <v>91953</v>
      </c>
      <c r="D621" s="373" t="str">
        <f>IF($C621="","",IFERROR(VLOOKUP($C621,SERVIÇOS!$B:$G,2,0),IFERROR(VLOOKUP($C621,'COMPOSIÇÕES COMPLEMENTARES '!$D:$L,2,0),IFERROR(VLOOKUP($C621,INSUMOS!$A:$D,2,0),""))))</f>
        <v>INTERRUPTOR SIMPLES (1 MÓDULO), 10A/250V, INCLUINDO SUPORTE E PLACA - FORNECIMENTO E INSTALAÇÃO. AF_03/2023</v>
      </c>
      <c r="E621" s="312" t="str">
        <f>IF($C621="","",IFERROR(VLOOKUP($C621,SERVIÇOS!$B:$G,3,0),IFERROR(VLOOKUP($C621,'COMPOSIÇÕES COMPLEMENTARES '!$D:$L,3,0),IFERROR(VLOOKUP($C621,INSUMOS!$A:$D,3,0),""))))</f>
        <v>UN</v>
      </c>
      <c r="F621" s="313">
        <v>8</v>
      </c>
      <c r="G621" s="314">
        <f>IF($C621="","",IFERROR(VLOOKUP($C621,SERVIÇOS!$B:$G,4,0),IFERROR(VLOOKUP($C621,'COMPOSIÇÕES COMPLEMENTARES '!$D:$L,6,0),IFERROR(VLOOKUP($C621,INSUMOS!$A:$D,4,0),""))))</f>
        <v>19.2</v>
      </c>
      <c r="H621" s="314">
        <f>IF($C621="","",IFERROR(VLOOKUP($C621,SERVIÇOS!$B:$G,5,0),IFERROR(VLOOKUP($C621,'COMPOSIÇÕES COMPLEMENTARES '!$D:$L,7,0),0)))</f>
        <v>17.82</v>
      </c>
      <c r="I621" s="314">
        <f t="shared" si="56"/>
        <v>37.019999999999996</v>
      </c>
      <c r="J621" s="314">
        <f t="shared" si="57"/>
        <v>153.6</v>
      </c>
      <c r="K621" s="314">
        <f t="shared" si="58"/>
        <v>142.56</v>
      </c>
      <c r="L621" s="948">
        <f t="shared" si="59"/>
        <v>296.16000000000003</v>
      </c>
      <c r="M621" s="374">
        <f t="shared" si="60"/>
        <v>5623989.7000000104</v>
      </c>
      <c r="N621" s="375">
        <f>+M621/L$815</f>
        <v>0.99581190915811657</v>
      </c>
      <c r="O621" s="376" t="str">
        <f>IF(N621&lt;0.5,"A",IF(N621&gt;0.8,"C","B"))</f>
        <v>C</v>
      </c>
    </row>
    <row r="622" spans="1:15" ht="25.5" x14ac:dyDescent="0.25">
      <c r="A622" s="232">
        <f t="shared" si="55"/>
        <v>622</v>
      </c>
      <c r="B622" s="232"/>
      <c r="C622" s="310" t="s">
        <v>12456</v>
      </c>
      <c r="D622" s="373" t="str">
        <f>IF($C622="","",IFERROR(VLOOKUP($C622,SERVIÇOS!$B:$G,2,0),IFERROR(VLOOKUP($C622,'COMPOSIÇÕES COMPLEMENTARES '!$D:$L,2,0),IFERROR(VLOOKUP($C622,INSUMOS!$A:$D,2,0),""))))</f>
        <v>DAMPER DE REGULAGEM DE VAZÃO 200x100MM. MARCA TROPICAL DRV-200x100 (OU EQUIVALENTE (OU SIMILAR - TROX, SEIMMEI, DIFUSAR)</v>
      </c>
      <c r="E622" s="312" t="str">
        <f>IF($C622="","",IFERROR(VLOOKUP($C622,SERVIÇOS!$B:$G,3,0),IFERROR(VLOOKUP($C622,'COMPOSIÇÕES COMPLEMENTARES '!$D:$L,3,0),IFERROR(VLOOKUP($C622,INSUMOS!$A:$D,3,0),""))))</f>
        <v>UN</v>
      </c>
      <c r="F622" s="313">
        <v>5</v>
      </c>
      <c r="G622" s="314">
        <f>IF($C622="","",IFERROR(VLOOKUP($C622,SERVIÇOS!$B:$G,4,0),IFERROR(VLOOKUP($C622,'COMPOSIÇÕES COMPLEMENTARES '!$D:$L,6,0),IFERROR(VLOOKUP($C622,INSUMOS!$A:$D,4,0),""))))</f>
        <v>46.94</v>
      </c>
      <c r="H622" s="314">
        <f>IF($C622="","",IFERROR(VLOOKUP($C622,SERVIÇOS!$B:$G,5,0),IFERROR(VLOOKUP($C622,'COMPOSIÇÕES COMPLEMENTARES '!$D:$L,7,0),0)))</f>
        <v>11.05</v>
      </c>
      <c r="I622" s="314">
        <f t="shared" si="56"/>
        <v>57.989999999999995</v>
      </c>
      <c r="J622" s="314">
        <f t="shared" si="57"/>
        <v>234.7</v>
      </c>
      <c r="K622" s="314">
        <f t="shared" si="58"/>
        <v>55.25</v>
      </c>
      <c r="L622" s="948">
        <f t="shared" si="59"/>
        <v>289.95</v>
      </c>
      <c r="M622" s="374">
        <f t="shared" si="60"/>
        <v>5624279.6500000106</v>
      </c>
      <c r="N622" s="375">
        <f>+M622/L$815</f>
        <v>0.99586324916378199</v>
      </c>
      <c r="O622" s="376" t="str">
        <f>IF(N622&lt;0.5,"A",IF(N622&gt;0.8,"C","B"))</f>
        <v>C</v>
      </c>
    </row>
    <row r="623" spans="1:15" ht="25.5" x14ac:dyDescent="0.25">
      <c r="A623" s="232">
        <f t="shared" si="55"/>
        <v>623</v>
      </c>
      <c r="B623" s="232"/>
      <c r="C623" s="310">
        <v>90466</v>
      </c>
      <c r="D623" s="373" t="str">
        <f>IF($C623="","",IFERROR(VLOOKUP($C623,SERVIÇOS!$B:$G,2,0),IFERROR(VLOOKUP($C623,'COMPOSIÇÕES COMPLEMENTARES '!$D:$L,2,0),IFERROR(VLOOKUP($C623,INSUMOS!$A:$D,2,0),""))))</f>
        <v>CHUMBAMENTO LINEAR EM ALVENARIA PARA RAMAIS/DISTRIBUIÇÃO DE INSTALAÇÕES HIDRÁULICAS COM DIÂMETROS MENORES OU IGUAIS A 40 MM. AF_09/2023</v>
      </c>
      <c r="E623" s="312" t="str">
        <f>IF($C623="","",IFERROR(VLOOKUP($C623,SERVIÇOS!$B:$G,3,0),IFERROR(VLOOKUP($C623,'COMPOSIÇÕES COMPLEMENTARES '!$D:$L,3,0),IFERROR(VLOOKUP($C623,INSUMOS!$A:$D,3,0),""))))</f>
        <v>M</v>
      </c>
      <c r="F623" s="313">
        <v>15</v>
      </c>
      <c r="G623" s="314">
        <f>IF($C623="","",IFERROR(VLOOKUP($C623,SERVIÇOS!$B:$G,4,0),IFERROR(VLOOKUP($C623,'COMPOSIÇÕES COMPLEMENTARES '!$D:$L,6,0),IFERROR(VLOOKUP($C623,INSUMOS!$A:$D,4,0),""))))</f>
        <v>6.59</v>
      </c>
      <c r="H623" s="314">
        <f>IF($C623="","",IFERROR(VLOOKUP($C623,SERVIÇOS!$B:$G,5,0),IFERROR(VLOOKUP($C623,'COMPOSIÇÕES COMPLEMENTARES '!$D:$L,7,0),0)))</f>
        <v>12.64</v>
      </c>
      <c r="I623" s="314">
        <f t="shared" si="56"/>
        <v>19.23</v>
      </c>
      <c r="J623" s="314">
        <f t="shared" si="57"/>
        <v>98.85</v>
      </c>
      <c r="K623" s="314">
        <f t="shared" si="58"/>
        <v>189.6</v>
      </c>
      <c r="L623" s="948">
        <f t="shared" si="59"/>
        <v>288.45</v>
      </c>
      <c r="M623" s="374">
        <f t="shared" si="60"/>
        <v>5624568.1000000108</v>
      </c>
      <c r="N623" s="375">
        <f>+M623/L$815</f>
        <v>0.99591432357190135</v>
      </c>
      <c r="O623" s="376" t="str">
        <f>IF(N623&lt;0.5,"A",IF(N623&gt;0.8,"C","B"))</f>
        <v>C</v>
      </c>
    </row>
    <row r="624" spans="1:15" ht="38.25" x14ac:dyDescent="0.25">
      <c r="A624" s="232">
        <f t="shared" si="55"/>
        <v>624</v>
      </c>
      <c r="B624" s="232"/>
      <c r="C624" s="310">
        <v>102279</v>
      </c>
      <c r="D624" s="373" t="str">
        <f>IF($C624="","",IFERROR(VLOOKUP($C624,SERVIÇOS!$B:$G,2,0),IFERROR(VLOOKUP($C624,'COMPOSIÇÕES COMPLEMENTARES '!$D:$L,2,0),IFERROR(VLOOKUP($C624,INSUMOS!$A:$D,2,0),""))))</f>
        <v>ESCAVAÇÃO MECANIZADA DE VALA COM PROF. ATÉ 1,5 M (MÉDIA MONTANTE E JUSANTE/UMA COMPOSIÇÃO POR TRECHO), ESCAVADEIRA (0,8 M3),LARG. MENOR QUE 1,5 M, EM SOLO DE 1A CATEGORIA, LOCAIS COM BAIXO NÍVEL DE INTERFERÊNCIA. AF_09/2024</v>
      </c>
      <c r="E624" s="312" t="str">
        <f>IF($C624="","",IFERROR(VLOOKUP($C624,SERVIÇOS!$B:$G,3,0),IFERROR(VLOOKUP($C624,'COMPOSIÇÕES COMPLEMENTARES '!$D:$L,3,0),IFERROR(VLOOKUP($C624,INSUMOS!$A:$D,3,0),""))))</f>
        <v>M3</v>
      </c>
      <c r="F624" s="313">
        <v>38</v>
      </c>
      <c r="G624" s="314">
        <f>IF($C624="","",IFERROR(VLOOKUP($C624,SERVIÇOS!$B:$G,4,0),IFERROR(VLOOKUP($C624,'COMPOSIÇÕES COMPLEMENTARES '!$D:$L,6,0),IFERROR(VLOOKUP($C624,INSUMOS!$A:$D,4,0),""))))</f>
        <v>5.79</v>
      </c>
      <c r="H624" s="314">
        <f>IF($C624="","",IFERROR(VLOOKUP($C624,SERVIÇOS!$B:$G,5,0),IFERROR(VLOOKUP($C624,'COMPOSIÇÕES COMPLEMENTARES '!$D:$L,7,0),0)))</f>
        <v>1.76</v>
      </c>
      <c r="I624" s="314">
        <f t="shared" si="56"/>
        <v>7.55</v>
      </c>
      <c r="J624" s="314">
        <f t="shared" si="57"/>
        <v>220.02</v>
      </c>
      <c r="K624" s="314">
        <f t="shared" si="58"/>
        <v>66.88</v>
      </c>
      <c r="L624" s="948">
        <f t="shared" si="59"/>
        <v>286.89999999999998</v>
      </c>
      <c r="M624" s="374">
        <f t="shared" si="60"/>
        <v>5624855.0000000112</v>
      </c>
      <c r="N624" s="375">
        <f>+M624/L$815</f>
        <v>0.99596512352922306</v>
      </c>
      <c r="O624" s="376" t="str">
        <f>IF(N624&lt;0.5,"A",IF(N624&gt;0.8,"C","B"))</f>
        <v>C</v>
      </c>
    </row>
    <row r="625" spans="1:15" x14ac:dyDescent="0.25">
      <c r="A625" s="232">
        <f t="shared" si="55"/>
        <v>625</v>
      </c>
      <c r="B625" s="232"/>
      <c r="C625" s="310">
        <v>94797</v>
      </c>
      <c r="D625" s="373" t="str">
        <f>IF($C625="","",IFERROR(VLOOKUP($C625,SERVIÇOS!$B:$G,2,0),IFERROR(VLOOKUP($C625,'COMPOSIÇÕES COMPLEMENTARES '!$D:$L,2,0),IFERROR(VLOOKUP($C625,INSUMOS!$A:$D,2,0),""))))</f>
        <v>TORNEIRA DE BOIA PARA CAIXA D'ÁGUA, ROSCÁVEL, 1" - FORNECIMENTO E INSTALAÇÃO. AF_08/2021</v>
      </c>
      <c r="E625" s="312" t="str">
        <f>IF($C625="","",IFERROR(VLOOKUP($C625,SERVIÇOS!$B:$G,3,0),IFERROR(VLOOKUP($C625,'COMPOSIÇÕES COMPLEMENTARES '!$D:$L,3,0),IFERROR(VLOOKUP($C625,INSUMOS!$A:$D,3,0),""))))</f>
        <v>UN</v>
      </c>
      <c r="F625" s="313">
        <v>3</v>
      </c>
      <c r="G625" s="314">
        <f>IF($C625="","",IFERROR(VLOOKUP($C625,SERVIÇOS!$B:$G,4,0),IFERROR(VLOOKUP($C625,'COMPOSIÇÕES COMPLEMENTARES '!$D:$L,6,0),IFERROR(VLOOKUP($C625,INSUMOS!$A:$D,4,0),""))))</f>
        <v>81.7</v>
      </c>
      <c r="H625" s="314">
        <f>IF($C625="","",IFERROR(VLOOKUP($C625,SERVIÇOS!$B:$G,5,0),IFERROR(VLOOKUP($C625,'COMPOSIÇÕES COMPLEMENTARES '!$D:$L,7,0),0)))</f>
        <v>12.45</v>
      </c>
      <c r="I625" s="314">
        <f t="shared" si="56"/>
        <v>94.15</v>
      </c>
      <c r="J625" s="314">
        <f t="shared" si="57"/>
        <v>245.1</v>
      </c>
      <c r="K625" s="314">
        <f t="shared" si="58"/>
        <v>37.35</v>
      </c>
      <c r="L625" s="948">
        <f t="shared" si="59"/>
        <v>282.45</v>
      </c>
      <c r="M625" s="374">
        <f t="shared" si="60"/>
        <v>5625137.4500000114</v>
      </c>
      <c r="N625" s="375">
        <f>+M625/L$815</f>
        <v>0.99601513554715793</v>
      </c>
      <c r="O625" s="376" t="str">
        <f>IF(N625&lt;0.5,"A",IF(N625&gt;0.8,"C","B"))</f>
        <v>C</v>
      </c>
    </row>
    <row r="626" spans="1:15" ht="38.25" x14ac:dyDescent="0.25">
      <c r="A626" s="232">
        <f t="shared" si="55"/>
        <v>626</v>
      </c>
      <c r="B626" s="232"/>
      <c r="C626" s="310" t="s">
        <v>12447</v>
      </c>
      <c r="D626" s="373" t="str">
        <f>IF($C626="","",IFERROR(VLOOKUP($C626,SERVIÇOS!$B:$G,2,0),IFERROR(VLOOKUP($C626,'COMPOSIÇÕES COMPLEMENTARES '!$D:$L,2,0),IFERROR(VLOOKUP($C626,INSUMOS!$A:$D,2,0),""))))</f>
        <v>GRELHA PLÁSTICA FIXA COM COLARINHO, COM TELA ANTI-INSETOS, DIÂMETRO NOMINAL Ø150MM, , EM PLÁSTICO ABS COM PROTEÇÃO ANTI-UV, COM ÁREA EFETIVA LIVRE MÍNIMA DE 130 CM². REFERÊNCIA: SICFLUX S150 OU EQUIVALENTE TÉCNICO (WDB GRADE COM ADAPTADOR, MULTIVAC OU OUTRO). FORNECIMENTO E INSTALAÇÃO</v>
      </c>
      <c r="E626" s="312" t="str">
        <f>IF($C626="","",IFERROR(VLOOKUP($C626,SERVIÇOS!$B:$G,3,0),IFERROR(VLOOKUP($C626,'COMPOSIÇÕES COMPLEMENTARES '!$D:$L,3,0),IFERROR(VLOOKUP($C626,INSUMOS!$A:$D,3,0),""))))</f>
        <v>UN</v>
      </c>
      <c r="F626" s="313">
        <v>5</v>
      </c>
      <c r="G626" s="314">
        <f>IF($C626="","",IFERROR(VLOOKUP($C626,SERVIÇOS!$B:$G,4,0),IFERROR(VLOOKUP($C626,'COMPOSIÇÕES COMPLEMENTARES '!$D:$L,6,0),IFERROR(VLOOKUP($C626,INSUMOS!$A:$D,4,0),""))))</f>
        <v>40.57</v>
      </c>
      <c r="H626" s="314">
        <f>IF($C626="","",IFERROR(VLOOKUP($C626,SERVIÇOS!$B:$G,5,0),IFERROR(VLOOKUP($C626,'COMPOSIÇÕES COMPLEMENTARES '!$D:$L,7,0),0)))</f>
        <v>15.43</v>
      </c>
      <c r="I626" s="314">
        <f t="shared" si="56"/>
        <v>56</v>
      </c>
      <c r="J626" s="314">
        <f t="shared" si="57"/>
        <v>202.85</v>
      </c>
      <c r="K626" s="314">
        <f t="shared" si="58"/>
        <v>77.150000000000006</v>
      </c>
      <c r="L626" s="948">
        <f t="shared" si="59"/>
        <v>280</v>
      </c>
      <c r="M626" s="374">
        <f t="shared" si="60"/>
        <v>5625417.4500000114</v>
      </c>
      <c r="N626" s="375">
        <f>+M626/L$815</f>
        <v>0.99606471375576744</v>
      </c>
      <c r="O626" s="376" t="str">
        <f>IF(N626&lt;0.5,"A",IF(N626&gt;0.8,"C","B"))</f>
        <v>C</v>
      </c>
    </row>
    <row r="627" spans="1:15" ht="25.5" x14ac:dyDescent="0.25">
      <c r="A627" s="232">
        <f t="shared" si="55"/>
        <v>627</v>
      </c>
      <c r="B627" s="232"/>
      <c r="C627" s="310" t="s">
        <v>12174</v>
      </c>
      <c r="D627" s="373" t="str">
        <f>IF($C627="","",IFERROR(VLOOKUP($C627,SERVIÇOS!$B:$G,2,0),IFERROR(VLOOKUP($C627,'COMPOSIÇÕES COMPLEMENTARES '!$D:$L,2,0),IFERROR(VLOOKUP($C627,INSUMOS!$A:$D,2,0),""))))</f>
        <v>PLACA DE SINALIZAÇÃO E2/E3/E5/E11/A1/A3/A5/P1/P2 - 150 MM - (SIMBOLOS, CORES E PICTOGRAMAS CONFORME NBR 13434)</v>
      </c>
      <c r="E627" s="312" t="str">
        <f>IF($C627="","",IFERROR(VLOOKUP($C627,SERVIÇOS!$B:$G,3,0),IFERROR(VLOOKUP($C627,'COMPOSIÇÕES COMPLEMENTARES '!$D:$L,3,0),IFERROR(VLOOKUP($C627,INSUMOS!$A:$D,3,0),""))))</f>
        <v>UN</v>
      </c>
      <c r="F627" s="313">
        <v>27</v>
      </c>
      <c r="G627" s="314">
        <f>IF($C627="","",IFERROR(VLOOKUP($C627,SERVIÇOS!$B:$G,4,0),IFERROR(VLOOKUP($C627,'COMPOSIÇÕES COMPLEMENTARES '!$D:$L,6,0),IFERROR(VLOOKUP($C627,INSUMOS!$A:$D,4,0),""))))</f>
        <v>8.39</v>
      </c>
      <c r="H627" s="314">
        <f>IF($C627="","",IFERROR(VLOOKUP($C627,SERVIÇOS!$B:$G,5,0),IFERROR(VLOOKUP($C627,'COMPOSIÇÕES COMPLEMENTARES '!$D:$L,7,0),0)))</f>
        <v>1.95</v>
      </c>
      <c r="I627" s="314">
        <f t="shared" si="56"/>
        <v>10.34</v>
      </c>
      <c r="J627" s="314">
        <f t="shared" si="57"/>
        <v>226.53</v>
      </c>
      <c r="K627" s="314">
        <f t="shared" si="58"/>
        <v>52.65</v>
      </c>
      <c r="L627" s="948">
        <f t="shared" si="59"/>
        <v>279.18</v>
      </c>
      <c r="M627" s="374">
        <f t="shared" si="60"/>
        <v>5625696.6300000111</v>
      </c>
      <c r="N627" s="375">
        <f>+M627/L$815</f>
        <v>0.9961141467710517</v>
      </c>
      <c r="O627" s="376" t="str">
        <f>IF(N627&lt;0.5,"A",IF(N627&gt;0.8,"C","B"))</f>
        <v>C</v>
      </c>
    </row>
    <row r="628" spans="1:15" x14ac:dyDescent="0.25">
      <c r="A628" s="232">
        <f t="shared" si="55"/>
        <v>628</v>
      </c>
      <c r="B628" s="232"/>
      <c r="C628" s="310" t="s">
        <v>12300</v>
      </c>
      <c r="D628" s="373" t="str">
        <f>IF($C628="","",IFERROR(VLOOKUP($C628,SERVIÇOS!$B:$G,2,0),IFERROR(VLOOKUP($C628,'COMPOSIÇÕES COMPLEMENTARES '!$D:$L,2,0),IFERROR(VLOOKUP($C628,INSUMOS!$A:$D,2,0),""))))</f>
        <v>UNIDUT CÔNICO Ø3" COM BUCHA E ARRUELA DE ALUMÍNIO Ø3"</v>
      </c>
      <c r="E628" s="312" t="str">
        <f>IF($C628="","",IFERROR(VLOOKUP($C628,SERVIÇOS!$B:$G,3,0),IFERROR(VLOOKUP($C628,'COMPOSIÇÕES COMPLEMENTARES '!$D:$L,3,0),IFERROR(VLOOKUP($C628,INSUMOS!$A:$D,3,0),""))))</f>
        <v>UN</v>
      </c>
      <c r="F628" s="313">
        <v>6</v>
      </c>
      <c r="G628" s="314">
        <f>IF($C628="","",IFERROR(VLOOKUP($C628,SERVIÇOS!$B:$G,4,0),IFERROR(VLOOKUP($C628,'COMPOSIÇÕES COMPLEMENTARES '!$D:$L,6,0),IFERROR(VLOOKUP($C628,INSUMOS!$A:$D,4,0),""))))</f>
        <v>44.02</v>
      </c>
      <c r="H628" s="314">
        <f>IF($C628="","",IFERROR(VLOOKUP($C628,SERVIÇOS!$B:$G,5,0),IFERROR(VLOOKUP($C628,'COMPOSIÇÕES COMPLEMENTARES '!$D:$L,7,0),0)))</f>
        <v>2.4700000000000002</v>
      </c>
      <c r="I628" s="314">
        <f t="shared" si="56"/>
        <v>46.49</v>
      </c>
      <c r="J628" s="314">
        <f t="shared" si="57"/>
        <v>264.12</v>
      </c>
      <c r="K628" s="314">
        <f t="shared" si="58"/>
        <v>14.82</v>
      </c>
      <c r="L628" s="948">
        <f t="shared" si="59"/>
        <v>278.94</v>
      </c>
      <c r="M628" s="374">
        <f t="shared" si="60"/>
        <v>5625975.5700000115</v>
      </c>
      <c r="N628" s="375">
        <f>+M628/L$815</f>
        <v>0.99616353729072871</v>
      </c>
      <c r="O628" s="376" t="str">
        <f>IF(N628&lt;0.5,"A",IF(N628&gt;0.8,"C","B"))</f>
        <v>C</v>
      </c>
    </row>
    <row r="629" spans="1:15" ht="25.5" x14ac:dyDescent="0.25">
      <c r="A629" s="232">
        <f t="shared" si="55"/>
        <v>629</v>
      </c>
      <c r="B629" s="232"/>
      <c r="C629" s="310">
        <v>91997</v>
      </c>
      <c r="D629" s="373" t="str">
        <f>IF($C629="","",IFERROR(VLOOKUP($C629,SERVIÇOS!$B:$G,2,0),IFERROR(VLOOKUP($C629,'COMPOSIÇÕES COMPLEMENTARES '!$D:$L,2,0),IFERROR(VLOOKUP($C629,INSUMOS!$A:$D,2,0),""))))</f>
        <v>TOMADA MÉDIA DE EMBUTIR (1 MÓDULO), 2P+T 20 A, INCLUINDO SUPORTE E PLACA - FORNECIMENTO E INSTALAÇÃO. AF_03/2023</v>
      </c>
      <c r="E629" s="312" t="str">
        <f>IF($C629="","",IFERROR(VLOOKUP($C629,SERVIÇOS!$B:$G,3,0),IFERROR(VLOOKUP($C629,'COMPOSIÇÕES COMPLEMENTARES '!$D:$L,3,0),IFERROR(VLOOKUP($C629,INSUMOS!$A:$D,3,0),""))))</f>
        <v>UN</v>
      </c>
      <c r="F629" s="313">
        <v>6</v>
      </c>
      <c r="G629" s="314">
        <f>IF($C629="","",IFERROR(VLOOKUP($C629,SERVIÇOS!$B:$G,4,0),IFERROR(VLOOKUP($C629,'COMPOSIÇÕES COMPLEMENTARES '!$D:$L,6,0),IFERROR(VLOOKUP($C629,INSUMOS!$A:$D,4,0),""))))</f>
        <v>24.26</v>
      </c>
      <c r="H629" s="314">
        <f>IF($C629="","",IFERROR(VLOOKUP($C629,SERVIÇOS!$B:$G,5,0),IFERROR(VLOOKUP($C629,'COMPOSIÇÕES COMPLEMENTARES '!$D:$L,7,0),0)))</f>
        <v>22.03</v>
      </c>
      <c r="I629" s="314">
        <f t="shared" si="56"/>
        <v>46.290000000000006</v>
      </c>
      <c r="J629" s="314">
        <f t="shared" si="57"/>
        <v>145.56</v>
      </c>
      <c r="K629" s="314">
        <f t="shared" si="58"/>
        <v>132.18</v>
      </c>
      <c r="L629" s="948">
        <f t="shared" si="59"/>
        <v>277.74</v>
      </c>
      <c r="M629" s="374">
        <f t="shared" si="60"/>
        <v>5626253.3100000117</v>
      </c>
      <c r="N629" s="375">
        <f>+M629/L$815</f>
        <v>0.99621271533236877</v>
      </c>
      <c r="O629" s="376" t="str">
        <f>IF(N629&lt;0.5,"A",IF(N629&gt;0.8,"C","B"))</f>
        <v>C</v>
      </c>
    </row>
    <row r="630" spans="1:15" x14ac:dyDescent="0.25">
      <c r="A630" s="232">
        <f t="shared" si="55"/>
        <v>630</v>
      </c>
      <c r="B630" s="232"/>
      <c r="C630" s="310" t="s">
        <v>12181</v>
      </c>
      <c r="D630" s="373" t="str">
        <f>IF($C630="","",IFERROR(VLOOKUP($C630,SERVIÇOS!$B:$G,2,0),IFERROR(VLOOKUP($C630,'COMPOSIÇÕES COMPLEMENTARES '!$D:$L,2,0),IFERROR(VLOOKUP($C630,INSUMOS!$A:$D,2,0),""))))</f>
        <v>DISJUNTOR TRIPOLAR TIPO DIN, CORRENTE NOMINAL DE 200A</v>
      </c>
      <c r="E630" s="312" t="str">
        <f>IF($C630="","",IFERROR(VLOOKUP($C630,SERVIÇOS!$B:$G,3,0),IFERROR(VLOOKUP($C630,'COMPOSIÇÕES COMPLEMENTARES '!$D:$L,3,0),IFERROR(VLOOKUP($C630,INSUMOS!$A:$D,3,0),""))))</f>
        <v>UN</v>
      </c>
      <c r="F630" s="313">
        <v>1</v>
      </c>
      <c r="G630" s="314">
        <f>IF($C630="","",IFERROR(VLOOKUP($C630,SERVIÇOS!$B:$G,4,0),IFERROR(VLOOKUP($C630,'COMPOSIÇÕES COMPLEMENTARES '!$D:$L,6,0),IFERROR(VLOOKUP($C630,INSUMOS!$A:$D,4,0),""))))</f>
        <v>222.8</v>
      </c>
      <c r="H630" s="314">
        <f>IF($C630="","",IFERROR(VLOOKUP($C630,SERVIÇOS!$B:$G,5,0),IFERROR(VLOOKUP($C630,'COMPOSIÇÕES COMPLEMENTARES '!$D:$L,7,0),0)))</f>
        <v>47.57</v>
      </c>
      <c r="I630" s="314">
        <f t="shared" si="56"/>
        <v>270.37</v>
      </c>
      <c r="J630" s="314">
        <f t="shared" si="57"/>
        <v>222.8</v>
      </c>
      <c r="K630" s="314">
        <f t="shared" si="58"/>
        <v>47.57</v>
      </c>
      <c r="L630" s="948">
        <f t="shared" si="59"/>
        <v>270.37</v>
      </c>
      <c r="M630" s="374">
        <f t="shared" si="60"/>
        <v>5626523.6800000118</v>
      </c>
      <c r="N630" s="375">
        <f>+M630/L$815</f>
        <v>0.99626058840473219</v>
      </c>
      <c r="O630" s="376" t="str">
        <f>IF(N630&lt;0.5,"A",IF(N630&gt;0.8,"C","B"))</f>
        <v>C</v>
      </c>
    </row>
    <row r="631" spans="1:15" x14ac:dyDescent="0.25">
      <c r="A631" s="232">
        <f t="shared" si="55"/>
        <v>631</v>
      </c>
      <c r="B631" s="232"/>
      <c r="C631" s="310" t="s">
        <v>12181</v>
      </c>
      <c r="D631" s="373" t="str">
        <f>IF($C631="","",IFERROR(VLOOKUP($C631,SERVIÇOS!$B:$G,2,0),IFERROR(VLOOKUP($C631,'COMPOSIÇÕES COMPLEMENTARES '!$D:$L,2,0),IFERROR(VLOOKUP($C631,INSUMOS!$A:$D,2,0),""))))</f>
        <v>DISJUNTOR TRIPOLAR TIPO DIN, CORRENTE NOMINAL DE 200A</v>
      </c>
      <c r="E631" s="312" t="str">
        <f>IF($C631="","",IFERROR(VLOOKUP($C631,SERVIÇOS!$B:$G,3,0),IFERROR(VLOOKUP($C631,'COMPOSIÇÕES COMPLEMENTARES '!$D:$L,3,0),IFERROR(VLOOKUP($C631,INSUMOS!$A:$D,3,0),""))))</f>
        <v>UN</v>
      </c>
      <c r="F631" s="313">
        <v>1</v>
      </c>
      <c r="G631" s="314">
        <f>IF($C631="","",IFERROR(VLOOKUP($C631,SERVIÇOS!$B:$G,4,0),IFERROR(VLOOKUP($C631,'COMPOSIÇÕES COMPLEMENTARES '!$D:$L,6,0),IFERROR(VLOOKUP($C631,INSUMOS!$A:$D,4,0),""))))</f>
        <v>222.8</v>
      </c>
      <c r="H631" s="314">
        <f>IF($C631="","",IFERROR(VLOOKUP($C631,SERVIÇOS!$B:$G,5,0),IFERROR(VLOOKUP($C631,'COMPOSIÇÕES COMPLEMENTARES '!$D:$L,7,0),0)))</f>
        <v>47.57</v>
      </c>
      <c r="I631" s="314">
        <f t="shared" si="56"/>
        <v>270.37</v>
      </c>
      <c r="J631" s="314">
        <f t="shared" si="57"/>
        <v>222.8</v>
      </c>
      <c r="K631" s="314">
        <f t="shared" si="58"/>
        <v>47.57</v>
      </c>
      <c r="L631" s="948">
        <f t="shared" si="59"/>
        <v>270.37</v>
      </c>
      <c r="M631" s="374">
        <f t="shared" si="60"/>
        <v>5626794.0500000119</v>
      </c>
      <c r="N631" s="375">
        <f>+M631/L$815</f>
        <v>0.99630846147709551</v>
      </c>
      <c r="O631" s="376" t="str">
        <f>IF(N631&lt;0.5,"A",IF(N631&gt;0.8,"C","B"))</f>
        <v>C</v>
      </c>
    </row>
    <row r="632" spans="1:15" x14ac:dyDescent="0.25">
      <c r="A632" s="232">
        <f t="shared" si="55"/>
        <v>632</v>
      </c>
      <c r="B632" s="232"/>
      <c r="C632" s="310" t="s">
        <v>12276</v>
      </c>
      <c r="D632" s="373" t="str">
        <f>IF($C632="","",IFERROR(VLOOKUP($C632,SERVIÇOS!$B:$G,2,0),IFERROR(VLOOKUP($C632,'COMPOSIÇÕES COMPLEMENTARES '!$D:$L,2,0),IFERROR(VLOOKUP($C632,INSUMOS!$A:$D,2,0),""))))</f>
        <v>CONDUTOR DE COBRE FLEX. ISOL. 1KV - 90º - #70MM² - AFUMEX</v>
      </c>
      <c r="E632" s="312" t="str">
        <f>IF($C632="","",IFERROR(VLOOKUP($C632,SERVIÇOS!$B:$G,3,0),IFERROR(VLOOKUP($C632,'COMPOSIÇÕES COMPLEMENTARES '!$D:$L,3,0),IFERROR(VLOOKUP($C632,INSUMOS!$A:$D,3,0),""))))</f>
        <v>M</v>
      </c>
      <c r="F632" s="313">
        <v>4</v>
      </c>
      <c r="G632" s="314">
        <f>IF($C632="","",IFERROR(VLOOKUP($C632,SERVIÇOS!$B:$G,4,0),IFERROR(VLOOKUP($C632,'COMPOSIÇÕES COMPLEMENTARES '!$D:$L,6,0),IFERROR(VLOOKUP($C632,INSUMOS!$A:$D,4,0),""))))</f>
        <v>60.85</v>
      </c>
      <c r="H632" s="314">
        <f>IF($C632="","",IFERROR(VLOOKUP($C632,SERVIÇOS!$B:$G,5,0),IFERROR(VLOOKUP($C632,'COMPOSIÇÕES COMPLEMENTARES '!$D:$L,7,0),0)))</f>
        <v>5.19</v>
      </c>
      <c r="I632" s="314">
        <f t="shared" si="56"/>
        <v>66.040000000000006</v>
      </c>
      <c r="J632" s="314">
        <f t="shared" si="57"/>
        <v>243.4</v>
      </c>
      <c r="K632" s="314">
        <f t="shared" si="58"/>
        <v>20.76</v>
      </c>
      <c r="L632" s="948">
        <f t="shared" si="59"/>
        <v>264.16000000000003</v>
      </c>
      <c r="M632" s="374">
        <f t="shared" si="60"/>
        <v>5627058.2100000121</v>
      </c>
      <c r="N632" s="375">
        <f>+M632/L$815</f>
        <v>0.99635523497561806</v>
      </c>
      <c r="O632" s="376" t="str">
        <f>IF(N632&lt;0.5,"A",IF(N632&gt;0.8,"C","B"))</f>
        <v>C</v>
      </c>
    </row>
    <row r="633" spans="1:15" x14ac:dyDescent="0.25">
      <c r="A633" s="232">
        <f t="shared" si="55"/>
        <v>633</v>
      </c>
      <c r="B633" s="232"/>
      <c r="C633" s="310" t="s">
        <v>12230</v>
      </c>
      <c r="D633" s="373" t="str">
        <f>IF($C633="","",IFERROR(VLOOKUP($C633,SERVIÇOS!$B:$G,2,0),IFERROR(VLOOKUP($C633,'COMPOSIÇÕES COMPLEMENTARES '!$D:$L,2,0),IFERROR(VLOOKUP($C633,INSUMOS!$A:$D,2,0),""))))</f>
        <v>TOMADA QUADRUPLA 20A/127V 2P+T - MIOLO BRANCO (PADRÃO BRASILEIRO) EM CX. 4"X4"</v>
      </c>
      <c r="E633" s="312" t="str">
        <f>IF($C633="","",IFERROR(VLOOKUP($C633,SERVIÇOS!$B:$G,3,0),IFERROR(VLOOKUP($C633,'COMPOSIÇÕES COMPLEMENTARES '!$D:$L,3,0),IFERROR(VLOOKUP($C633,INSUMOS!$A:$D,3,0),""))))</f>
        <v>UN</v>
      </c>
      <c r="F633" s="313">
        <v>2</v>
      </c>
      <c r="G633" s="314">
        <f>IF($C633="","",IFERROR(VLOOKUP($C633,SERVIÇOS!$B:$G,4,0),IFERROR(VLOOKUP($C633,'COMPOSIÇÕES COMPLEMENTARES '!$D:$L,6,0),IFERROR(VLOOKUP($C633,INSUMOS!$A:$D,4,0),""))))</f>
        <v>70.11</v>
      </c>
      <c r="H633" s="314">
        <f>IF($C633="","",IFERROR(VLOOKUP($C633,SERVIÇOS!$B:$G,5,0),IFERROR(VLOOKUP($C633,'COMPOSIÇÕES COMPLEMENTARES '!$D:$L,7,0),0)))</f>
        <v>60.6</v>
      </c>
      <c r="I633" s="314">
        <f t="shared" si="56"/>
        <v>130.71</v>
      </c>
      <c r="J633" s="314">
        <f t="shared" si="57"/>
        <v>140.22</v>
      </c>
      <c r="K633" s="314">
        <f t="shared" si="58"/>
        <v>121.2</v>
      </c>
      <c r="L633" s="948">
        <f t="shared" si="59"/>
        <v>261.42</v>
      </c>
      <c r="M633" s="374">
        <f t="shared" si="60"/>
        <v>5627319.630000012</v>
      </c>
      <c r="N633" s="375">
        <f>+M633/L$815</f>
        <v>0.99640152331595622</v>
      </c>
      <c r="O633" s="376" t="str">
        <f>IF(N633&lt;0.5,"A",IF(N633&gt;0.8,"C","B"))</f>
        <v>C</v>
      </c>
    </row>
    <row r="634" spans="1:15" x14ac:dyDescent="0.25">
      <c r="A634" s="232">
        <f t="shared" si="55"/>
        <v>634</v>
      </c>
      <c r="B634" s="232"/>
      <c r="C634" s="310" t="s">
        <v>12352</v>
      </c>
      <c r="D634" s="373" t="str">
        <f>IF($C634="","",IFERROR(VLOOKUP($C634,SERVIÇOS!$B:$G,2,0),IFERROR(VLOOKUP($C634,'COMPOSIÇÕES COMPLEMENTARES '!$D:$L,2,0),IFERROR(VLOOKUP($C634,INSUMOS!$A:$D,2,0),""))))</f>
        <v>PINTURA EM ESMALTE SINTÉTICO AZUL-MARINHO PADRÃO MUNSELL 55 PB 2/4 EM LATA DE 3,6 LITROS</v>
      </c>
      <c r="E634" s="312" t="str">
        <f>IF($C634="","",IFERROR(VLOOKUP($C634,SERVIÇOS!$B:$G,3,0),IFERROR(VLOOKUP($C634,'COMPOSIÇÕES COMPLEMENTARES '!$D:$L,3,0),IFERROR(VLOOKUP($C634,INSUMOS!$A:$D,3,0),""))))</f>
        <v>M</v>
      </c>
      <c r="F634" s="313">
        <v>65</v>
      </c>
      <c r="G634" s="314">
        <f>IF($C634="","",IFERROR(VLOOKUP($C634,SERVIÇOS!$B:$G,4,0),IFERROR(VLOOKUP($C634,'COMPOSIÇÕES COMPLEMENTARES '!$D:$L,6,0),IFERROR(VLOOKUP($C634,INSUMOS!$A:$D,4,0),""))))</f>
        <v>2.0299999999999998</v>
      </c>
      <c r="H634" s="314">
        <f>IF($C634="","",IFERROR(VLOOKUP($C634,SERVIÇOS!$B:$G,5,0),IFERROR(VLOOKUP($C634,'COMPOSIÇÕES COMPLEMENTARES '!$D:$L,7,0),0)))</f>
        <v>1.99</v>
      </c>
      <c r="I634" s="314">
        <f t="shared" si="56"/>
        <v>4.0199999999999996</v>
      </c>
      <c r="J634" s="314">
        <f t="shared" si="57"/>
        <v>131.94999999999999</v>
      </c>
      <c r="K634" s="314">
        <f t="shared" si="58"/>
        <v>129.35</v>
      </c>
      <c r="L634" s="948">
        <f t="shared" si="59"/>
        <v>261.3</v>
      </c>
      <c r="M634" s="374">
        <f t="shared" si="60"/>
        <v>5627580.9300000118</v>
      </c>
      <c r="N634" s="375">
        <f>+M634/L$815</f>
        <v>0.99644779040849074</v>
      </c>
      <c r="O634" s="376" t="str">
        <f>IF(N634&lt;0.5,"A",IF(N634&gt;0.8,"C","B"))</f>
        <v>C</v>
      </c>
    </row>
    <row r="635" spans="1:15" x14ac:dyDescent="0.25">
      <c r="A635" s="232">
        <f t="shared" si="55"/>
        <v>635</v>
      </c>
      <c r="B635" s="232"/>
      <c r="C635" s="310">
        <v>91953</v>
      </c>
      <c r="D635" s="373" t="str">
        <f>IF($C635="","",IFERROR(VLOOKUP($C635,SERVIÇOS!$B:$G,2,0),IFERROR(VLOOKUP($C635,'COMPOSIÇÕES COMPLEMENTARES '!$D:$L,2,0),IFERROR(VLOOKUP($C635,INSUMOS!$A:$D,2,0),""))))</f>
        <v>INTERRUPTOR SIMPLES (1 MÓDULO), 10A/250V, INCLUINDO SUPORTE E PLACA - FORNECIMENTO E INSTALAÇÃO. AF_03/2023</v>
      </c>
      <c r="E635" s="312" t="str">
        <f>IF($C635="","",IFERROR(VLOOKUP($C635,SERVIÇOS!$B:$G,3,0),IFERROR(VLOOKUP($C635,'COMPOSIÇÕES COMPLEMENTARES '!$D:$L,3,0),IFERROR(VLOOKUP($C635,INSUMOS!$A:$D,3,0),""))))</f>
        <v>UN</v>
      </c>
      <c r="F635" s="313">
        <v>7</v>
      </c>
      <c r="G635" s="314">
        <f>IF($C635="","",IFERROR(VLOOKUP($C635,SERVIÇOS!$B:$G,4,0),IFERROR(VLOOKUP($C635,'COMPOSIÇÕES COMPLEMENTARES '!$D:$L,6,0),IFERROR(VLOOKUP($C635,INSUMOS!$A:$D,4,0),""))))</f>
        <v>19.2</v>
      </c>
      <c r="H635" s="314">
        <f>IF($C635="","",IFERROR(VLOOKUP($C635,SERVIÇOS!$B:$G,5,0),IFERROR(VLOOKUP($C635,'COMPOSIÇÕES COMPLEMENTARES '!$D:$L,7,0),0)))</f>
        <v>17.82</v>
      </c>
      <c r="I635" s="314">
        <f t="shared" si="56"/>
        <v>37.019999999999996</v>
      </c>
      <c r="J635" s="314">
        <f t="shared" si="57"/>
        <v>134.4</v>
      </c>
      <c r="K635" s="314">
        <f t="shared" si="58"/>
        <v>124.74</v>
      </c>
      <c r="L635" s="948">
        <f t="shared" si="59"/>
        <v>259.14</v>
      </c>
      <c r="M635" s="374">
        <f t="shared" si="60"/>
        <v>5627840.0700000115</v>
      </c>
      <c r="N635" s="375">
        <f>+M635/L$815</f>
        <v>0.99649367504055875</v>
      </c>
      <c r="O635" s="376" t="str">
        <f>IF(N635&lt;0.5,"A",IF(N635&gt;0.8,"C","B"))</f>
        <v>C</v>
      </c>
    </row>
    <row r="636" spans="1:15" x14ac:dyDescent="0.25">
      <c r="A636" s="232">
        <f t="shared" si="55"/>
        <v>636</v>
      </c>
      <c r="B636" s="232"/>
      <c r="C636" s="310" t="s">
        <v>12211</v>
      </c>
      <c r="D636" s="373" t="str">
        <f>IF($C636="","",IFERROR(VLOOKUP($C636,SERVIÇOS!$B:$G,2,0),IFERROR(VLOOKUP($C636,'COMPOSIÇÕES COMPLEMENTARES '!$D:$L,2,0),IFERROR(VLOOKUP($C636,INSUMOS!$A:$D,2,0),""))))</f>
        <v>INTERRUPTOR C/ 1 TECLA SIMPLES + TOMADA 20A/220V PADRÃO BRASILEIRO EM CX. 4"X2"</v>
      </c>
      <c r="E636" s="312" t="str">
        <f>IF($C636="","",IFERROR(VLOOKUP($C636,SERVIÇOS!$B:$G,3,0),IFERROR(VLOOKUP($C636,'COMPOSIÇÕES COMPLEMENTARES '!$D:$L,3,0),IFERROR(VLOOKUP($C636,INSUMOS!$A:$D,3,0),""))))</f>
        <v>UN</v>
      </c>
      <c r="F636" s="313">
        <v>4</v>
      </c>
      <c r="G636" s="314">
        <f>IF($C636="","",IFERROR(VLOOKUP($C636,SERVIÇOS!$B:$G,4,0),IFERROR(VLOOKUP($C636,'COMPOSIÇÕES COMPLEMENTARES '!$D:$L,6,0),IFERROR(VLOOKUP($C636,INSUMOS!$A:$D,4,0),""))))</f>
        <v>34.75</v>
      </c>
      <c r="H636" s="314">
        <f>IF($C636="","",IFERROR(VLOOKUP($C636,SERVIÇOS!$B:$G,5,0),IFERROR(VLOOKUP($C636,'COMPOSIÇÕES COMPLEMENTARES '!$D:$L,7,0),0)))</f>
        <v>29.7</v>
      </c>
      <c r="I636" s="314">
        <f t="shared" si="56"/>
        <v>64.45</v>
      </c>
      <c r="J636" s="314">
        <f t="shared" si="57"/>
        <v>139</v>
      </c>
      <c r="K636" s="314">
        <f t="shared" si="58"/>
        <v>118.8</v>
      </c>
      <c r="L636" s="948">
        <f t="shared" si="59"/>
        <v>257.8</v>
      </c>
      <c r="M636" s="374">
        <f t="shared" si="60"/>
        <v>5628097.8700000113</v>
      </c>
      <c r="N636" s="375">
        <f>+M636/L$815</f>
        <v>0.99653932240548559</v>
      </c>
      <c r="O636" s="376" t="str">
        <f>IF(N636&lt;0.5,"A",IF(N636&gt;0.8,"C","B"))</f>
        <v>C</v>
      </c>
    </row>
    <row r="637" spans="1:15" ht="25.5" x14ac:dyDescent="0.25">
      <c r="A637" s="232">
        <f t="shared" si="55"/>
        <v>637</v>
      </c>
      <c r="B637" s="232"/>
      <c r="C637" s="310" t="s">
        <v>12470</v>
      </c>
      <c r="D637" s="373" t="str">
        <f>IF($C637="","",IFERROR(VLOOKUP($C637,SERVIÇOS!$B:$G,2,0),IFERROR(VLOOKUP($C637,'COMPOSIÇÕES COMPLEMENTARES '!$D:$L,2,0),IFERROR(VLOOKUP($C637,INSUMOS!$A:$D,2,0),""))))</f>
        <v>DAMPER DE REGULAGEM DE VAZÃO 450x250MM. MARCA TROPICAL DRV-450x250 (OU EQUIVALENTE (OU SIMILAR - TROX, SEIMMEI, DIFUSAR) -  FORNECIMENTO E INSTALAÇÃO</v>
      </c>
      <c r="E637" s="312" t="str">
        <f>IF($C637="","",IFERROR(VLOOKUP($C637,SERVIÇOS!$B:$G,3,0),IFERROR(VLOOKUP($C637,'COMPOSIÇÕES COMPLEMENTARES '!$D:$L,3,0),IFERROR(VLOOKUP($C637,INSUMOS!$A:$D,3,0),""))))</f>
        <v>UN</v>
      </c>
      <c r="F637" s="313">
        <v>1</v>
      </c>
      <c r="G637" s="314">
        <f>IF($C637="","",IFERROR(VLOOKUP($C637,SERVIÇOS!$B:$G,4,0),IFERROR(VLOOKUP($C637,'COMPOSIÇÕES COMPLEMENTARES '!$D:$L,6,0),IFERROR(VLOOKUP($C637,INSUMOS!$A:$D,4,0),""))))</f>
        <v>245.13</v>
      </c>
      <c r="H637" s="314">
        <f>IF($C637="","",IFERROR(VLOOKUP($C637,SERVIÇOS!$B:$G,5,0),IFERROR(VLOOKUP($C637,'COMPOSIÇÕES COMPLEMENTARES '!$D:$L,7,0),0)))</f>
        <v>11.05</v>
      </c>
      <c r="I637" s="314">
        <f t="shared" si="56"/>
        <v>256.18</v>
      </c>
      <c r="J637" s="314">
        <f t="shared" si="57"/>
        <v>245.13</v>
      </c>
      <c r="K637" s="314">
        <f t="shared" si="58"/>
        <v>11.05</v>
      </c>
      <c r="L637" s="948">
        <f t="shared" si="59"/>
        <v>256.18</v>
      </c>
      <c r="M637" s="374">
        <f t="shared" si="60"/>
        <v>5628354.050000011</v>
      </c>
      <c r="N637" s="375">
        <f>+M637/L$815</f>
        <v>0.99658468292506264</v>
      </c>
      <c r="O637" s="376" t="str">
        <f>IF(N637&lt;0.5,"A",IF(N637&gt;0.8,"C","B"))</f>
        <v>C</v>
      </c>
    </row>
    <row r="638" spans="1:15" x14ac:dyDescent="0.25">
      <c r="A638" s="232">
        <f t="shared" si="55"/>
        <v>638</v>
      </c>
      <c r="B638" s="232"/>
      <c r="C638" s="310" t="s">
        <v>12182</v>
      </c>
      <c r="D638" s="373" t="str">
        <f>IF($C638="","",IFERROR(VLOOKUP($C638,SERVIÇOS!$B:$G,2,0),IFERROR(VLOOKUP($C638,'COMPOSIÇÕES COMPLEMENTARES '!$D:$L,2,0),IFERROR(VLOOKUP($C638,INSUMOS!$A:$D,2,0),""))))</f>
        <v>DISJUNTOR TERMOMAGNÉTICO TRIPOLAR 100A</v>
      </c>
      <c r="E638" s="312" t="str">
        <f>IF($C638="","",IFERROR(VLOOKUP($C638,SERVIÇOS!$B:$G,3,0),IFERROR(VLOOKUP($C638,'COMPOSIÇÕES COMPLEMENTARES '!$D:$L,3,0),IFERROR(VLOOKUP($C638,INSUMOS!$A:$D,3,0),""))))</f>
        <v>UN</v>
      </c>
      <c r="F638" s="313">
        <v>1</v>
      </c>
      <c r="G638" s="314">
        <f>IF($C638="","",IFERROR(VLOOKUP($C638,SERVIÇOS!$B:$G,4,0),IFERROR(VLOOKUP($C638,'COMPOSIÇÕES COMPLEMENTARES '!$D:$L,6,0),IFERROR(VLOOKUP($C638,INSUMOS!$A:$D,4,0),""))))</f>
        <v>154.91</v>
      </c>
      <c r="H638" s="314">
        <f>IF($C638="","",IFERROR(VLOOKUP($C638,SERVIÇOS!$B:$G,5,0),IFERROR(VLOOKUP($C638,'COMPOSIÇÕES COMPLEMENTARES '!$D:$L,7,0),0)))</f>
        <v>99.08</v>
      </c>
      <c r="I638" s="314">
        <f t="shared" si="56"/>
        <v>253.99</v>
      </c>
      <c r="J638" s="314">
        <f t="shared" si="57"/>
        <v>154.91</v>
      </c>
      <c r="K638" s="314">
        <f t="shared" si="58"/>
        <v>99.08</v>
      </c>
      <c r="L638" s="948">
        <f t="shared" si="59"/>
        <v>253.99</v>
      </c>
      <c r="M638" s="374">
        <f t="shared" si="60"/>
        <v>5628608.0400000112</v>
      </c>
      <c r="N638" s="375">
        <f>+M638/L$815</f>
        <v>0.99662965567222239</v>
      </c>
      <c r="O638" s="376" t="str">
        <f>IF(N638&lt;0.5,"A",IF(N638&gt;0.8,"C","B"))</f>
        <v>C</v>
      </c>
    </row>
    <row r="639" spans="1:15" x14ac:dyDescent="0.25">
      <c r="A639" s="232">
        <f t="shared" si="55"/>
        <v>639</v>
      </c>
      <c r="B639" s="232"/>
      <c r="C639" s="310" t="s">
        <v>12182</v>
      </c>
      <c r="D639" s="373" t="str">
        <f>IF($C639="","",IFERROR(VLOOKUP($C639,SERVIÇOS!$B:$G,2,0),IFERROR(VLOOKUP($C639,'COMPOSIÇÕES COMPLEMENTARES '!$D:$L,2,0),IFERROR(VLOOKUP($C639,INSUMOS!$A:$D,2,0),""))))</f>
        <v>DISJUNTOR TERMOMAGNÉTICO TRIPOLAR 100A</v>
      </c>
      <c r="E639" s="312" t="str">
        <f>IF($C639="","",IFERROR(VLOOKUP($C639,SERVIÇOS!$B:$G,3,0),IFERROR(VLOOKUP($C639,'COMPOSIÇÕES COMPLEMENTARES '!$D:$L,3,0),IFERROR(VLOOKUP($C639,INSUMOS!$A:$D,3,0),""))))</f>
        <v>UN</v>
      </c>
      <c r="F639" s="313">
        <v>1</v>
      </c>
      <c r="G639" s="314">
        <f>IF($C639="","",IFERROR(VLOOKUP($C639,SERVIÇOS!$B:$G,4,0),IFERROR(VLOOKUP($C639,'COMPOSIÇÕES COMPLEMENTARES '!$D:$L,6,0),IFERROR(VLOOKUP($C639,INSUMOS!$A:$D,4,0),""))))</f>
        <v>154.91</v>
      </c>
      <c r="H639" s="314">
        <f>IF($C639="","",IFERROR(VLOOKUP($C639,SERVIÇOS!$B:$G,5,0),IFERROR(VLOOKUP($C639,'COMPOSIÇÕES COMPLEMENTARES '!$D:$L,7,0),0)))</f>
        <v>99.08</v>
      </c>
      <c r="I639" s="314">
        <f t="shared" si="56"/>
        <v>253.99</v>
      </c>
      <c r="J639" s="314">
        <f t="shared" si="57"/>
        <v>154.91</v>
      </c>
      <c r="K639" s="314">
        <f t="shared" si="58"/>
        <v>99.08</v>
      </c>
      <c r="L639" s="948">
        <f t="shared" si="59"/>
        <v>253.99</v>
      </c>
      <c r="M639" s="374">
        <f t="shared" si="60"/>
        <v>5628862.0300000114</v>
      </c>
      <c r="N639" s="375">
        <f>+M639/L$815</f>
        <v>0.99667462841938215</v>
      </c>
      <c r="O639" s="376" t="str">
        <f>IF(N639&lt;0.5,"A",IF(N639&gt;0.8,"C","B"))</f>
        <v>C</v>
      </c>
    </row>
    <row r="640" spans="1:15" ht="38.25" x14ac:dyDescent="0.25">
      <c r="A640" s="232">
        <f t="shared" si="55"/>
        <v>640</v>
      </c>
      <c r="B640" s="232"/>
      <c r="C640" s="310" t="s">
        <v>12399</v>
      </c>
      <c r="D640" s="373" t="str">
        <f>IF($C640="","",IFERROR(VLOOKUP($C640,SERVIÇOS!$B:$G,2,0),IFERROR(VLOOKUP($C640,'COMPOSIÇÕES COMPLEMENTARES '!$D:$L,2,0),IFERROR(VLOOKUP($C640,INSUMOS!$A:$D,2,0),""))))</f>
        <v>VÁLVULA DE ESFERA Ø3/4" PARA TUBULAÇÃO DE COBRE EM REDES FRIGORÍGENAS COM CORPO E ACENTO DE ESTRUTURA SOLDADA, TEMPERATURA DE TRABALHO DE -40°C A +120°C, PRESSÃO MÁXIMA 45 BAR. REFERÊNCIA: SANHUA SBV(M)-A6YHSY-1-S, DANFOSS GBC OU EQUIVALENTE</v>
      </c>
      <c r="E640" s="312" t="str">
        <f>IF($C640="","",IFERROR(VLOOKUP($C640,SERVIÇOS!$B:$G,3,0),IFERROR(VLOOKUP($C640,'COMPOSIÇÕES COMPLEMENTARES '!$D:$L,3,0),IFERROR(VLOOKUP($C640,INSUMOS!$A:$D,3,0),""))))</f>
        <v>UN</v>
      </c>
      <c r="F640" s="313">
        <v>1</v>
      </c>
      <c r="G640" s="314">
        <f>IF($C640="","",IFERROR(VLOOKUP($C640,SERVIÇOS!$B:$G,4,0),IFERROR(VLOOKUP($C640,'COMPOSIÇÕES COMPLEMENTARES '!$D:$L,6,0),IFERROR(VLOOKUP($C640,INSUMOS!$A:$D,4,0),""))))</f>
        <v>241.31</v>
      </c>
      <c r="H640" s="314">
        <f>IF($C640="","",IFERROR(VLOOKUP($C640,SERVIÇOS!$B:$G,5,0),IFERROR(VLOOKUP($C640,'COMPOSIÇÕES COMPLEMENTARES '!$D:$L,7,0),0)))</f>
        <v>8.74</v>
      </c>
      <c r="I640" s="314">
        <f t="shared" si="56"/>
        <v>250.05</v>
      </c>
      <c r="J640" s="314">
        <f t="shared" si="57"/>
        <v>241.31</v>
      </c>
      <c r="K640" s="314">
        <f t="shared" si="58"/>
        <v>8.74</v>
      </c>
      <c r="L640" s="948">
        <f t="shared" si="59"/>
        <v>250.05</v>
      </c>
      <c r="M640" s="374">
        <f t="shared" si="60"/>
        <v>5629112.0800000113</v>
      </c>
      <c r="N640" s="375">
        <f>+M640/L$815</f>
        <v>0.99671890353032067</v>
      </c>
      <c r="O640" s="376" t="str">
        <f>IF(N640&lt;0.5,"A",IF(N640&gt;0.8,"C","B"))</f>
        <v>C</v>
      </c>
    </row>
    <row r="641" spans="1:15" ht="25.5" x14ac:dyDescent="0.25">
      <c r="A641" s="232">
        <f t="shared" si="55"/>
        <v>641</v>
      </c>
      <c r="B641" s="232"/>
      <c r="C641" s="310" t="s">
        <v>12457</v>
      </c>
      <c r="D641" s="373" t="str">
        <f>IF($C641="","",IFERROR(VLOOKUP($C641,SERVIÇOS!$B:$G,2,0),IFERROR(VLOOKUP($C641,'COMPOSIÇÕES COMPLEMENTARES '!$D:$L,2,0),IFERROR(VLOOKUP($C641,INSUMOS!$A:$D,2,0),""))))</f>
        <v>DAMPER DE REGULAGEM DE VAZÃO 200x150MM. MARCA TROPICAL DRV-200x150 (OU EQUIVALENTE (OU SIMILAR - TROX, SEIMMEI, DIFUSAR)</v>
      </c>
      <c r="E641" s="312" t="str">
        <f>IF($C641="","",IFERROR(VLOOKUP($C641,SERVIÇOS!$B:$G,3,0),IFERROR(VLOOKUP($C641,'COMPOSIÇÕES COMPLEMENTARES '!$D:$L,3,0),IFERROR(VLOOKUP($C641,INSUMOS!$A:$D,3,0),""))))</f>
        <v>UN</v>
      </c>
      <c r="F641" s="313">
        <v>3</v>
      </c>
      <c r="G641" s="314">
        <f>IF($C641="","",IFERROR(VLOOKUP($C641,SERVIÇOS!$B:$G,4,0),IFERROR(VLOOKUP($C641,'COMPOSIÇÕES COMPLEMENTARES '!$D:$L,6,0),IFERROR(VLOOKUP($C641,INSUMOS!$A:$D,4,0),""))))</f>
        <v>68.36</v>
      </c>
      <c r="H641" s="314">
        <f>IF($C641="","",IFERROR(VLOOKUP($C641,SERVIÇOS!$B:$G,5,0),IFERROR(VLOOKUP($C641,'COMPOSIÇÕES COMPLEMENTARES '!$D:$L,7,0),0)))</f>
        <v>11.05</v>
      </c>
      <c r="I641" s="314">
        <f t="shared" si="56"/>
        <v>79.41</v>
      </c>
      <c r="J641" s="314">
        <f t="shared" si="57"/>
        <v>205.08</v>
      </c>
      <c r="K641" s="314">
        <f t="shared" si="58"/>
        <v>33.15</v>
      </c>
      <c r="L641" s="948">
        <f t="shared" si="59"/>
        <v>238.23</v>
      </c>
      <c r="M641" s="374">
        <f t="shared" si="60"/>
        <v>5629350.3100000117</v>
      </c>
      <c r="N641" s="375">
        <f>+M641/L$815</f>
        <v>0.99676108573259592</v>
      </c>
      <c r="O641" s="376" t="str">
        <f>IF(N641&lt;0.5,"A",IF(N641&gt;0.8,"C","B"))</f>
        <v>C</v>
      </c>
    </row>
    <row r="642" spans="1:15" ht="25.5" x14ac:dyDescent="0.25">
      <c r="A642" s="232">
        <f t="shared" si="55"/>
        <v>642</v>
      </c>
      <c r="B642" s="232"/>
      <c r="C642" s="310" t="s">
        <v>12358</v>
      </c>
      <c r="D642" s="373" t="str">
        <f>IF($C642="","",IFERROR(VLOOKUP($C642,SERVIÇOS!$B:$G,2,0),IFERROR(VLOOKUP($C642,'COMPOSIÇÕES COMPLEMENTARES '!$D:$L,2,0),IFERROR(VLOOKUP($C642,INSUMOS!$A:$D,2,0),""))))</f>
        <v>CAIXA PARA VÁLVULAS DE SEÇÃO DE GASES MEDICINAIS, 365 MM X 125 MM X 235 MM (COMPRIMENTO X PROFUNDIDADE X ALTURA), METÁLICA COM TAMPA ACRÍLICA PARA 01 VÁLVULA DE GÁS MEDICINAL.</v>
      </c>
      <c r="E642" s="312" t="str">
        <f>IF($C642="","",IFERROR(VLOOKUP($C642,SERVIÇOS!$B:$G,3,0),IFERROR(VLOOKUP($C642,'COMPOSIÇÕES COMPLEMENTARES '!$D:$L,3,0),IFERROR(VLOOKUP($C642,INSUMOS!$A:$D,3,0),""))))</f>
        <v>UN</v>
      </c>
      <c r="F642" s="313">
        <v>1</v>
      </c>
      <c r="G642" s="314">
        <f>IF($C642="","",IFERROR(VLOOKUP($C642,SERVIÇOS!$B:$G,4,0),IFERROR(VLOOKUP($C642,'COMPOSIÇÕES COMPLEMENTARES '!$D:$L,6,0),IFERROR(VLOOKUP($C642,INSUMOS!$A:$D,4,0),""))))</f>
        <v>200.93</v>
      </c>
      <c r="H642" s="314">
        <f>IF($C642="","",IFERROR(VLOOKUP($C642,SERVIÇOS!$B:$G,5,0),IFERROR(VLOOKUP($C642,'COMPOSIÇÕES COMPLEMENTARES '!$D:$L,7,0),0)))</f>
        <v>24.3</v>
      </c>
      <c r="I642" s="314">
        <f t="shared" si="56"/>
        <v>225.23000000000002</v>
      </c>
      <c r="J642" s="314">
        <f t="shared" si="57"/>
        <v>200.93</v>
      </c>
      <c r="K642" s="314">
        <f t="shared" si="58"/>
        <v>24.3</v>
      </c>
      <c r="L642" s="948">
        <f t="shared" si="59"/>
        <v>225.23</v>
      </c>
      <c r="M642" s="374">
        <f t="shared" si="60"/>
        <v>5629575.5400000121</v>
      </c>
      <c r="N642" s="375">
        <f>+M642/L$815</f>
        <v>0.99680096608947144</v>
      </c>
      <c r="O642" s="376" t="str">
        <f>IF(N642&lt;0.5,"A",IF(N642&gt;0.8,"C","B"))</f>
        <v>C</v>
      </c>
    </row>
    <row r="643" spans="1:15" ht="25.5" x14ac:dyDescent="0.25">
      <c r="A643" s="232">
        <f t="shared" si="55"/>
        <v>643</v>
      </c>
      <c r="B643" s="232"/>
      <c r="C643" s="310">
        <v>97668</v>
      </c>
      <c r="D643" s="373" t="str">
        <f>IF($C643="","",IFERROR(VLOOKUP($C643,SERVIÇOS!$B:$G,2,0),IFERROR(VLOOKUP($C643,'COMPOSIÇÕES COMPLEMENTARES '!$D:$L,2,0),IFERROR(VLOOKUP($C643,INSUMOS!$A:$D,2,0),""))))</f>
        <v>ELETRODUTO FLEXÍVEL CORRUGADO, PEAD, DN 63 (2"), PARA REDE ENTERRADA DE DISTRIBUIÇÃO DE ENERGIA ELÉTRICA - FORNECIMENTO E INSTALAÇÃO. AF_12/2021</v>
      </c>
      <c r="E643" s="312" t="str">
        <f>IF($C643="","",IFERROR(VLOOKUP($C643,SERVIÇOS!$B:$G,3,0),IFERROR(VLOOKUP($C643,'COMPOSIÇÕES COMPLEMENTARES '!$D:$L,3,0),IFERROR(VLOOKUP($C643,INSUMOS!$A:$D,3,0),""))))</f>
        <v>M</v>
      </c>
      <c r="F643" s="313">
        <v>14</v>
      </c>
      <c r="G643" s="314">
        <f>IF($C643="","",IFERROR(VLOOKUP($C643,SERVIÇOS!$B:$G,4,0),IFERROR(VLOOKUP($C643,'COMPOSIÇÕES COMPLEMENTARES '!$D:$L,6,0),IFERROR(VLOOKUP($C643,INSUMOS!$A:$D,4,0),""))))</f>
        <v>11.19</v>
      </c>
      <c r="H643" s="314">
        <f>IF($C643="","",IFERROR(VLOOKUP($C643,SERVIÇOS!$B:$G,5,0),IFERROR(VLOOKUP($C643,'COMPOSIÇÕES COMPLEMENTARES '!$D:$L,7,0),0)))</f>
        <v>4.68</v>
      </c>
      <c r="I643" s="314">
        <f t="shared" si="56"/>
        <v>15.87</v>
      </c>
      <c r="J643" s="314">
        <f t="shared" si="57"/>
        <v>156.66</v>
      </c>
      <c r="K643" s="314">
        <f t="shared" si="58"/>
        <v>65.52</v>
      </c>
      <c r="L643" s="948">
        <f t="shared" si="59"/>
        <v>222.18</v>
      </c>
      <c r="M643" s="374">
        <f t="shared" si="60"/>
        <v>5629797.7200000118</v>
      </c>
      <c r="N643" s="375">
        <f>+M643/L$815</f>
        <v>0.99684030639800303</v>
      </c>
      <c r="O643" s="376" t="str">
        <f>IF(N643&lt;0.5,"A",IF(N643&gt;0.8,"C","B"))</f>
        <v>C</v>
      </c>
    </row>
    <row r="644" spans="1:15" x14ac:dyDescent="0.25">
      <c r="A644" s="232">
        <f t="shared" si="55"/>
        <v>644</v>
      </c>
      <c r="B644" s="232"/>
      <c r="C644" s="310">
        <v>93382</v>
      </c>
      <c r="D644" s="373" t="str">
        <f>IF($C644="","",IFERROR(VLOOKUP($C644,SERVIÇOS!$B:$G,2,0),IFERROR(VLOOKUP($C644,'COMPOSIÇÕES COMPLEMENTARES '!$D:$L,2,0),IFERROR(VLOOKUP($C644,INSUMOS!$A:$D,2,0),""))))</f>
        <v>REATERRO MANUAL DE VALAS, COM COMPACTADOR DE SOLOS DE PERCUSSÃO. AF_08/2023</v>
      </c>
      <c r="E644" s="312" t="str">
        <f>IF($C644="","",IFERROR(VLOOKUP($C644,SERVIÇOS!$B:$G,3,0),IFERROR(VLOOKUP($C644,'COMPOSIÇÕES COMPLEMENTARES '!$D:$L,3,0),IFERROR(VLOOKUP($C644,INSUMOS!$A:$D,3,0),""))))</f>
        <v>M3</v>
      </c>
      <c r="F644" s="313">
        <v>6.64</v>
      </c>
      <c r="G644" s="314">
        <f>IF($C644="","",IFERROR(VLOOKUP($C644,SERVIÇOS!$B:$G,4,0),IFERROR(VLOOKUP($C644,'COMPOSIÇÕES COMPLEMENTARES '!$D:$L,6,0),IFERROR(VLOOKUP($C644,INSUMOS!$A:$D,4,0),""))))</f>
        <v>12.29</v>
      </c>
      <c r="H644" s="314">
        <f>IF($C644="","",IFERROR(VLOOKUP($C644,SERVIÇOS!$B:$G,5,0),IFERROR(VLOOKUP($C644,'COMPOSIÇÕES COMPLEMENTARES '!$D:$L,7,0),0)))</f>
        <v>20.78</v>
      </c>
      <c r="I644" s="314">
        <f t="shared" si="56"/>
        <v>33.07</v>
      </c>
      <c r="J644" s="314">
        <f t="shared" si="57"/>
        <v>81.599999999999994</v>
      </c>
      <c r="K644" s="314">
        <f t="shared" si="58"/>
        <v>137.97</v>
      </c>
      <c r="L644" s="948">
        <f t="shared" si="59"/>
        <v>219.57</v>
      </c>
      <c r="M644" s="374">
        <f t="shared" si="60"/>
        <v>5630017.2900000121</v>
      </c>
      <c r="N644" s="375">
        <f>+M644/L$815</f>
        <v>0.99687918456680447</v>
      </c>
      <c r="O644" s="376" t="str">
        <f>IF(N644&lt;0.5,"A",IF(N644&gt;0.8,"C","B"))</f>
        <v>C</v>
      </c>
    </row>
    <row r="645" spans="1:15" ht="25.5" x14ac:dyDescent="0.25">
      <c r="A645" s="232">
        <f t="shared" si="55"/>
        <v>645</v>
      </c>
      <c r="B645" s="232"/>
      <c r="C645" s="310">
        <v>95635</v>
      </c>
      <c r="D645" s="373" t="str">
        <f>IF($C645="","",IFERROR(VLOOKUP($C645,SERVIÇOS!$B:$G,2,0),IFERROR(VLOOKUP($C645,'COMPOSIÇÕES COMPLEMENTARES '!$D:$L,2,0),IFERROR(VLOOKUP($C645,INSUMOS!$A:$D,2,0),""))))</f>
        <v>KIT CAVALETE PARA MEDIÇÃO DE ÁGUA - ENTRADA PRINCIPAL, EM PVC 25 MM (3/4") - FORNECIMENTO E INSTALAÇÃO (EXCLUSIVE HIDRÔMETRO). AF_03/2024</v>
      </c>
      <c r="E645" s="312" t="str">
        <f>IF($C645="","",IFERROR(VLOOKUP($C645,SERVIÇOS!$B:$G,3,0),IFERROR(VLOOKUP($C645,'COMPOSIÇÕES COMPLEMENTARES '!$D:$L,3,0),IFERROR(VLOOKUP($C645,INSUMOS!$A:$D,3,0),""))))</f>
        <v>UN</v>
      </c>
      <c r="F645" s="313">
        <v>1</v>
      </c>
      <c r="G645" s="314">
        <f>IF($C645="","",IFERROR(VLOOKUP($C645,SERVIÇOS!$B:$G,4,0),IFERROR(VLOOKUP($C645,'COMPOSIÇÕES COMPLEMENTARES '!$D:$L,6,0),IFERROR(VLOOKUP($C645,INSUMOS!$A:$D,4,0),""))))</f>
        <v>144.9</v>
      </c>
      <c r="H645" s="314">
        <f>IF($C645="","",IFERROR(VLOOKUP($C645,SERVIÇOS!$B:$G,5,0),IFERROR(VLOOKUP($C645,'COMPOSIÇÕES COMPLEMENTARES '!$D:$L,7,0),0)))</f>
        <v>72.459999999999994</v>
      </c>
      <c r="I645" s="314">
        <f t="shared" si="56"/>
        <v>217.36</v>
      </c>
      <c r="J645" s="314">
        <f t="shared" si="57"/>
        <v>144.9</v>
      </c>
      <c r="K645" s="314">
        <f t="shared" si="58"/>
        <v>72.459999999999994</v>
      </c>
      <c r="L645" s="948">
        <f t="shared" si="59"/>
        <v>217.36</v>
      </c>
      <c r="M645" s="374">
        <f t="shared" si="60"/>
        <v>5630234.6500000125</v>
      </c>
      <c r="N645" s="375">
        <f>+M645/L$815</f>
        <v>0.99691767142188792</v>
      </c>
      <c r="O645" s="376" t="str">
        <f>IF(N645&lt;0.5,"A",IF(N645&gt;0.8,"C","B"))</f>
        <v>C</v>
      </c>
    </row>
    <row r="646" spans="1:15" x14ac:dyDescent="0.25">
      <c r="A646" s="232">
        <f t="shared" si="55"/>
        <v>646</v>
      </c>
      <c r="B646" s="232"/>
      <c r="C646" s="310">
        <v>93382</v>
      </c>
      <c r="D646" s="373" t="str">
        <f>IF($C646="","",IFERROR(VLOOKUP($C646,SERVIÇOS!$B:$G,2,0),IFERROR(VLOOKUP($C646,'COMPOSIÇÕES COMPLEMENTARES '!$D:$L,2,0),IFERROR(VLOOKUP($C646,INSUMOS!$A:$D,2,0),""))))</f>
        <v>REATERRO MANUAL DE VALAS, COM COMPACTADOR DE SOLOS DE PERCUSSÃO. AF_08/2023</v>
      </c>
      <c r="E646" s="312" t="str">
        <f>IF($C646="","",IFERROR(VLOOKUP($C646,SERVIÇOS!$B:$G,3,0),IFERROR(VLOOKUP($C646,'COMPOSIÇÕES COMPLEMENTARES '!$D:$L,3,0),IFERROR(VLOOKUP($C646,INSUMOS!$A:$D,3,0),""))))</f>
        <v>M3</v>
      </c>
      <c r="F646" s="313">
        <v>6.45</v>
      </c>
      <c r="G646" s="314">
        <f>IF($C646="","",IFERROR(VLOOKUP($C646,SERVIÇOS!$B:$G,4,0),IFERROR(VLOOKUP($C646,'COMPOSIÇÕES COMPLEMENTARES '!$D:$L,6,0),IFERROR(VLOOKUP($C646,INSUMOS!$A:$D,4,0),""))))</f>
        <v>12.29</v>
      </c>
      <c r="H646" s="314">
        <f>IF($C646="","",IFERROR(VLOOKUP($C646,SERVIÇOS!$B:$G,5,0),IFERROR(VLOOKUP($C646,'COMPOSIÇÕES COMPLEMENTARES '!$D:$L,7,0),0)))</f>
        <v>20.78</v>
      </c>
      <c r="I646" s="314">
        <f t="shared" si="56"/>
        <v>33.07</v>
      </c>
      <c r="J646" s="314">
        <f t="shared" si="57"/>
        <v>79.27</v>
      </c>
      <c r="K646" s="314">
        <f t="shared" si="58"/>
        <v>134.03</v>
      </c>
      <c r="L646" s="948">
        <f t="shared" si="59"/>
        <v>213.3</v>
      </c>
      <c r="M646" s="374">
        <f t="shared" si="60"/>
        <v>5630447.9500000123</v>
      </c>
      <c r="N646" s="375">
        <f>+M646/L$815</f>
        <v>0.99695543939294651</v>
      </c>
      <c r="O646" s="376" t="str">
        <f>IF(N646&lt;0.5,"A",IF(N646&gt;0.8,"C","B"))</f>
        <v>C</v>
      </c>
    </row>
    <row r="647" spans="1:15" x14ac:dyDescent="0.25">
      <c r="A647" s="232">
        <f t="shared" si="55"/>
        <v>647</v>
      </c>
      <c r="B647" s="232"/>
      <c r="C647" s="310">
        <v>93664</v>
      </c>
      <c r="D647" s="373" t="str">
        <f>IF($C647="","",IFERROR(VLOOKUP($C647,SERVIÇOS!$B:$G,2,0),IFERROR(VLOOKUP($C647,'COMPOSIÇÕES COMPLEMENTARES '!$D:$L,2,0),IFERROR(VLOOKUP($C647,INSUMOS!$A:$D,2,0),""))))</f>
        <v>DISJUNTOR BIPOLAR TIPO DIN, CORRENTE NOMINAL DE 32A - FORNECIMENTO E INSTALAÇÃO. AF_10/2020</v>
      </c>
      <c r="E647" s="312" t="str">
        <f>IF($C647="","",IFERROR(VLOOKUP($C647,SERVIÇOS!$B:$G,3,0),IFERROR(VLOOKUP($C647,'COMPOSIÇÕES COMPLEMENTARES '!$D:$L,3,0),IFERROR(VLOOKUP($C647,INSUMOS!$A:$D,3,0),""))))</f>
        <v>UN</v>
      </c>
      <c r="F647" s="313">
        <v>3</v>
      </c>
      <c r="G647" s="314">
        <f>IF($C647="","",IFERROR(VLOOKUP($C647,SERVIÇOS!$B:$G,4,0),IFERROR(VLOOKUP($C647,'COMPOSIÇÕES COMPLEMENTARES '!$D:$L,6,0),IFERROR(VLOOKUP($C647,INSUMOS!$A:$D,4,0),""))))</f>
        <v>61.93</v>
      </c>
      <c r="H647" s="314">
        <f>IF($C647="","",IFERROR(VLOOKUP($C647,SERVIÇOS!$B:$G,5,0),IFERROR(VLOOKUP($C647,'COMPOSIÇÕES COMPLEMENTARES '!$D:$L,7,0),0)))</f>
        <v>9.01</v>
      </c>
      <c r="I647" s="314">
        <f t="shared" si="56"/>
        <v>70.94</v>
      </c>
      <c r="J647" s="314">
        <f t="shared" si="57"/>
        <v>185.79</v>
      </c>
      <c r="K647" s="314">
        <f t="shared" si="58"/>
        <v>27.03</v>
      </c>
      <c r="L647" s="948">
        <f t="shared" si="59"/>
        <v>212.82</v>
      </c>
      <c r="M647" s="374">
        <f t="shared" si="60"/>
        <v>5630660.7700000126</v>
      </c>
      <c r="N647" s="375">
        <f>+M647/L$815</f>
        <v>0.99699312237279036</v>
      </c>
      <c r="O647" s="376" t="str">
        <f>IF(N647&lt;0.5,"A",IF(N647&gt;0.8,"C","B"))</f>
        <v>C</v>
      </c>
    </row>
    <row r="648" spans="1:15" x14ac:dyDescent="0.25">
      <c r="A648" s="232">
        <f t="shared" si="55"/>
        <v>648</v>
      </c>
      <c r="B648" s="232"/>
      <c r="C648" s="310" t="s">
        <v>11928</v>
      </c>
      <c r="D648" s="373" t="str">
        <f>IF($C648="","",IFERROR(VLOOKUP($C648,SERVIÇOS!$B:$G,2,0),IFERROR(VLOOKUP($C648,'COMPOSIÇÕES COMPLEMENTARES '!$D:$L,2,0),IFERROR(VLOOKUP($C648,INSUMOS!$A:$D,2,0),""))))</f>
        <v>CONTROLE TECNOLÓGICO DE CONCRETO C/ ROMPIMENTO DE CORPO-DE-PROVA À COMPRESSÃO</v>
      </c>
      <c r="E648" s="312" t="str">
        <f>IF($C648="","",IFERROR(VLOOKUP($C648,SERVIÇOS!$B:$G,3,0),IFERROR(VLOOKUP($C648,'COMPOSIÇÕES COMPLEMENTARES '!$D:$L,3,0),IFERROR(VLOOKUP($C648,INSUMOS!$A:$D,3,0),""))))</f>
        <v>UN</v>
      </c>
      <c r="F648" s="313">
        <v>15</v>
      </c>
      <c r="G648" s="314">
        <f>IF($C648="","",IFERROR(VLOOKUP($C648,SERVIÇOS!$B:$G,4,0),IFERROR(VLOOKUP($C648,'COMPOSIÇÕES COMPLEMENTARES '!$D:$L,6,0),IFERROR(VLOOKUP($C648,INSUMOS!$A:$D,4,0),""))))</f>
        <v>14</v>
      </c>
      <c r="H648" s="314">
        <f>IF($C648="","",IFERROR(VLOOKUP($C648,SERVIÇOS!$B:$G,5,0),IFERROR(VLOOKUP($C648,'COMPOSIÇÕES COMPLEMENTARES '!$D:$L,7,0),0)))</f>
        <v>0</v>
      </c>
      <c r="I648" s="314">
        <f t="shared" si="56"/>
        <v>14</v>
      </c>
      <c r="J648" s="314">
        <f t="shared" si="57"/>
        <v>210</v>
      </c>
      <c r="K648" s="314">
        <f t="shared" si="58"/>
        <v>0</v>
      </c>
      <c r="L648" s="948">
        <f t="shared" si="59"/>
        <v>210</v>
      </c>
      <c r="M648" s="374">
        <f t="shared" si="60"/>
        <v>5630870.7700000126</v>
      </c>
      <c r="N648" s="375">
        <f>+M648/L$815</f>
        <v>0.99703030602924747</v>
      </c>
      <c r="O648" s="376" t="str">
        <f>IF(N648&lt;0.5,"A",IF(N648&gt;0.8,"C","B"))</f>
        <v>C</v>
      </c>
    </row>
    <row r="649" spans="1:15" x14ac:dyDescent="0.25">
      <c r="A649" s="232">
        <f t="shared" si="55"/>
        <v>649</v>
      </c>
      <c r="B649" s="232"/>
      <c r="C649" s="310" t="s">
        <v>12286</v>
      </c>
      <c r="D649" s="373" t="str">
        <f>IF($C649="","",IFERROR(VLOOKUP($C649,SERVIÇOS!$B:$G,2,0),IFERROR(VLOOKUP($C649,'COMPOSIÇÕES COMPLEMENTARES '!$D:$L,2,0),IFERROR(VLOOKUP($C649,INSUMOS!$A:$D,2,0),""))))</f>
        <v>ELETRODUTO RÍGIDO ROSCÁVEL, PVC, DN 60 MM (2"), INCLUSO CONEXÕES - FORNECIMENTO E INSTALAÇÃO</v>
      </c>
      <c r="E649" s="312" t="str">
        <f>IF($C649="","",IFERROR(VLOOKUP($C649,SERVIÇOS!$B:$G,3,0),IFERROR(VLOOKUP($C649,'COMPOSIÇÕES COMPLEMENTARES '!$D:$L,3,0),IFERROR(VLOOKUP($C649,INSUMOS!$A:$D,3,0),""))))</f>
        <v>M</v>
      </c>
      <c r="F649" s="313">
        <v>5</v>
      </c>
      <c r="G649" s="314">
        <f>IF($C649="","",IFERROR(VLOOKUP($C649,SERVIÇOS!$B:$G,4,0),IFERROR(VLOOKUP($C649,'COMPOSIÇÕES COMPLEMENTARES '!$D:$L,6,0),IFERROR(VLOOKUP($C649,INSUMOS!$A:$D,4,0),""))))</f>
        <v>33.049999999999997</v>
      </c>
      <c r="H649" s="314">
        <f>IF($C649="","",IFERROR(VLOOKUP($C649,SERVIÇOS!$B:$G,5,0),IFERROR(VLOOKUP($C649,'COMPOSIÇÕES COMPLEMENTARES '!$D:$L,7,0),0)))</f>
        <v>6.38</v>
      </c>
      <c r="I649" s="314">
        <f t="shared" si="56"/>
        <v>39.43</v>
      </c>
      <c r="J649" s="314">
        <f t="shared" si="57"/>
        <v>165.25</v>
      </c>
      <c r="K649" s="314">
        <f t="shared" si="58"/>
        <v>31.9</v>
      </c>
      <c r="L649" s="948">
        <f t="shared" si="59"/>
        <v>197.15</v>
      </c>
      <c r="M649" s="374">
        <f t="shared" si="60"/>
        <v>5631067.920000013</v>
      </c>
      <c r="N649" s="375">
        <f>+M649/L$815</f>
        <v>0.99706521440005957</v>
      </c>
      <c r="O649" s="376" t="str">
        <f>IF(N649&lt;0.5,"A",IF(N649&gt;0.8,"C","B"))</f>
        <v>C</v>
      </c>
    </row>
    <row r="650" spans="1:15" x14ac:dyDescent="0.25">
      <c r="A650" s="232">
        <f t="shared" ref="A650:A713" si="61">1+A649</f>
        <v>650</v>
      </c>
      <c r="B650" s="232"/>
      <c r="C650" s="310" t="s">
        <v>12286</v>
      </c>
      <c r="D650" s="373" t="str">
        <f>IF($C650="","",IFERROR(VLOOKUP($C650,SERVIÇOS!$B:$G,2,0),IFERROR(VLOOKUP($C650,'COMPOSIÇÕES COMPLEMENTARES '!$D:$L,2,0),IFERROR(VLOOKUP($C650,INSUMOS!$A:$D,2,0),""))))</f>
        <v>ELETRODUTO RÍGIDO ROSCÁVEL, PVC, DN 60 MM (2"), INCLUSO CONEXÕES - FORNECIMENTO E INSTALAÇÃO</v>
      </c>
      <c r="E650" s="312" t="str">
        <f>IF($C650="","",IFERROR(VLOOKUP($C650,SERVIÇOS!$B:$G,3,0),IFERROR(VLOOKUP($C650,'COMPOSIÇÕES COMPLEMENTARES '!$D:$L,3,0),IFERROR(VLOOKUP($C650,INSUMOS!$A:$D,3,0),""))))</f>
        <v>M</v>
      </c>
      <c r="F650" s="313">
        <v>5</v>
      </c>
      <c r="G650" s="314">
        <f>IF($C650="","",IFERROR(VLOOKUP($C650,SERVIÇOS!$B:$G,4,0),IFERROR(VLOOKUP($C650,'COMPOSIÇÕES COMPLEMENTARES '!$D:$L,6,0),IFERROR(VLOOKUP($C650,INSUMOS!$A:$D,4,0),""))))</f>
        <v>33.049999999999997</v>
      </c>
      <c r="H650" s="314">
        <f>IF($C650="","",IFERROR(VLOOKUP($C650,SERVIÇOS!$B:$G,5,0),IFERROR(VLOOKUP($C650,'COMPOSIÇÕES COMPLEMENTARES '!$D:$L,7,0),0)))</f>
        <v>6.38</v>
      </c>
      <c r="I650" s="314">
        <f t="shared" ref="I650:I713" si="62">IF(F650="","",G650+H650)</f>
        <v>39.43</v>
      </c>
      <c r="J650" s="314">
        <f t="shared" ref="J650:J713" si="63">IF(F650="","",TRUNC((F650*G650),2))</f>
        <v>165.25</v>
      </c>
      <c r="K650" s="314">
        <f t="shared" ref="K650:K713" si="64">IF(F650="","",TRUNC((F650*H650),2))</f>
        <v>31.9</v>
      </c>
      <c r="L650" s="948">
        <f t="shared" ref="L650:L713" si="65">IF(F650="","",TRUNC((J650+K650),2))</f>
        <v>197.15</v>
      </c>
      <c r="M650" s="374">
        <f t="shared" si="60"/>
        <v>5631265.0700000133</v>
      </c>
      <c r="N650" s="375">
        <f>+M650/L$815</f>
        <v>0.99710012277087168</v>
      </c>
      <c r="O650" s="376" t="str">
        <f>IF(N650&lt;0.5,"A",IF(N650&gt;0.8,"C","B"))</f>
        <v>C</v>
      </c>
    </row>
    <row r="651" spans="1:15" ht="25.5" x14ac:dyDescent="0.25">
      <c r="A651" s="232">
        <f t="shared" si="61"/>
        <v>651</v>
      </c>
      <c r="B651" s="232"/>
      <c r="C651" s="310">
        <v>95875</v>
      </c>
      <c r="D651" s="373" t="str">
        <f>IF($C651="","",IFERROR(VLOOKUP($C651,SERVIÇOS!$B:$G,2,0),IFERROR(VLOOKUP($C651,'COMPOSIÇÕES COMPLEMENTARES '!$D:$L,2,0),IFERROR(VLOOKUP($C651,INSUMOS!$A:$D,2,0),""))))</f>
        <v>TRANSPORTE COM CAMINHÃO BASCULANTE DE 10 M³, EM VIA URBANA PAVIMENTADA, DMT ATÉ 30 KM (UNIDADE: M3XKM). AF_07/2020</v>
      </c>
      <c r="E651" s="312" t="str">
        <f>IF($C651="","",IFERROR(VLOOKUP($C651,SERVIÇOS!$B:$G,3,0),IFERROR(VLOOKUP($C651,'COMPOSIÇÕES COMPLEMENTARES '!$D:$L,3,0),IFERROR(VLOOKUP($C651,INSUMOS!$A:$D,3,0),""))))</f>
        <v>M3XKM</v>
      </c>
      <c r="F651" s="313">
        <v>73.120249999999999</v>
      </c>
      <c r="G651" s="314">
        <f>IF($C651="","",IFERROR(VLOOKUP($C651,SERVIÇOS!$B:$G,4,0),IFERROR(VLOOKUP($C651,'COMPOSIÇÕES COMPLEMENTARES '!$D:$L,6,0),IFERROR(VLOOKUP($C651,INSUMOS!$A:$D,4,0),""))))</f>
        <v>2.3199999999999998</v>
      </c>
      <c r="H651" s="314">
        <f>IF($C651="","",IFERROR(VLOOKUP($C651,SERVIÇOS!$B:$G,5,0),IFERROR(VLOOKUP($C651,'COMPOSIÇÕES COMPLEMENTARES '!$D:$L,7,0),0)))</f>
        <v>0.33</v>
      </c>
      <c r="I651" s="314">
        <f t="shared" si="62"/>
        <v>2.65</v>
      </c>
      <c r="J651" s="314">
        <f t="shared" si="63"/>
        <v>169.63</v>
      </c>
      <c r="K651" s="314">
        <f t="shared" si="64"/>
        <v>24.12</v>
      </c>
      <c r="L651" s="948">
        <f t="shared" si="65"/>
        <v>193.75</v>
      </c>
      <c r="M651" s="374">
        <f t="shared" ref="M651:M714" si="66">+L651+M650</f>
        <v>5631458.8200000133</v>
      </c>
      <c r="N651" s="375">
        <f>+M651/L$815</f>
        <v>0.99713442912057915</v>
      </c>
      <c r="O651" s="376" t="str">
        <f>IF(N651&lt;0.5,"A",IF(N651&gt;0.8,"C","B"))</f>
        <v>C</v>
      </c>
    </row>
    <row r="652" spans="1:15" ht="25.5" x14ac:dyDescent="0.25">
      <c r="A652" s="232">
        <f t="shared" si="61"/>
        <v>652</v>
      </c>
      <c r="B652" s="232"/>
      <c r="C652" s="310">
        <v>97886</v>
      </c>
      <c r="D652" s="373" t="str">
        <f>IF($C652="","",IFERROR(VLOOKUP($C652,SERVIÇOS!$B:$G,2,0),IFERROR(VLOOKUP($C652,'COMPOSIÇÕES COMPLEMENTARES '!$D:$L,2,0),IFERROR(VLOOKUP($C652,INSUMOS!$A:$D,2,0),""))))</f>
        <v>CAIXA ENTERRADA ELÉTRICA RETANGULAR, EM ALVENARIA COM TIJOLOS CERÂMICOS MACIÇOS, FUNDO COM BRITA, DIMENSÕES INTERNAS: 0,3X0,3X0,3 M. AF_12/2020</v>
      </c>
      <c r="E652" s="312" t="str">
        <f>IF($C652="","",IFERROR(VLOOKUP($C652,SERVIÇOS!$B:$G,3,0),IFERROR(VLOOKUP($C652,'COMPOSIÇÕES COMPLEMENTARES '!$D:$L,3,0),IFERROR(VLOOKUP($C652,INSUMOS!$A:$D,3,0),""))))</f>
        <v>UN</v>
      </c>
      <c r="F652" s="313">
        <v>1</v>
      </c>
      <c r="G652" s="314">
        <f>IF($C652="","",IFERROR(VLOOKUP($C652,SERVIÇOS!$B:$G,4,0),IFERROR(VLOOKUP($C652,'COMPOSIÇÕES COMPLEMENTARES '!$D:$L,6,0),IFERROR(VLOOKUP($C652,INSUMOS!$A:$D,4,0),""))))</f>
        <v>93.52</v>
      </c>
      <c r="H652" s="314">
        <f>IF($C652="","",IFERROR(VLOOKUP($C652,SERVIÇOS!$B:$G,5,0),IFERROR(VLOOKUP($C652,'COMPOSIÇÕES COMPLEMENTARES '!$D:$L,7,0),0)))</f>
        <v>96.78</v>
      </c>
      <c r="I652" s="314">
        <f t="shared" si="62"/>
        <v>190.3</v>
      </c>
      <c r="J652" s="314">
        <f t="shared" si="63"/>
        <v>93.52</v>
      </c>
      <c r="K652" s="314">
        <f t="shared" si="64"/>
        <v>96.78</v>
      </c>
      <c r="L652" s="948">
        <f t="shared" si="65"/>
        <v>190.3</v>
      </c>
      <c r="M652" s="374">
        <f t="shared" si="66"/>
        <v>5631649.1200000132</v>
      </c>
      <c r="N652" s="375">
        <f>+M652/L$815</f>
        <v>0.99716812459593052</v>
      </c>
      <c r="O652" s="376" t="str">
        <f>IF(N652&lt;0.5,"A",IF(N652&gt;0.8,"C","B"))</f>
        <v>C</v>
      </c>
    </row>
    <row r="653" spans="1:15" ht="25.5" x14ac:dyDescent="0.25">
      <c r="A653" s="232">
        <f t="shared" si="61"/>
        <v>653</v>
      </c>
      <c r="B653" s="232"/>
      <c r="C653" s="310">
        <v>90443</v>
      </c>
      <c r="D653" s="373" t="str">
        <f>IF($C653="","",IFERROR(VLOOKUP($C653,SERVIÇOS!$B:$G,2,0),IFERROR(VLOOKUP($C653,'COMPOSIÇÕES COMPLEMENTARES '!$D:$L,2,0),IFERROR(VLOOKUP($C653,INSUMOS!$A:$D,2,0),""))))</f>
        <v>RASGO LINEAR MANUAL EM ALVENARIA, PARA RAMAIS/ DISTRIBUIÇÃO DE INSTALAÇÕES HIDRÁULICAS, DIÂMETROS MENORES OU IGUAIS A 40 MM. AF_09/2023</v>
      </c>
      <c r="E653" s="312" t="str">
        <f>IF($C653="","",IFERROR(VLOOKUP($C653,SERVIÇOS!$B:$G,3,0),IFERROR(VLOOKUP($C653,'COMPOSIÇÕES COMPLEMENTARES '!$D:$L,3,0),IFERROR(VLOOKUP($C653,INSUMOS!$A:$D,3,0),""))))</f>
        <v>M</v>
      </c>
      <c r="F653" s="313">
        <v>18</v>
      </c>
      <c r="G653" s="314">
        <f>IF($C653="","",IFERROR(VLOOKUP($C653,SERVIÇOS!$B:$G,4,0),IFERROR(VLOOKUP($C653,'COMPOSIÇÕES COMPLEMENTARES '!$D:$L,6,0),IFERROR(VLOOKUP($C653,INSUMOS!$A:$D,4,0),""))))</f>
        <v>2.6</v>
      </c>
      <c r="H653" s="314">
        <f>IF($C653="","",IFERROR(VLOOKUP($C653,SERVIÇOS!$B:$G,5,0),IFERROR(VLOOKUP($C653,'COMPOSIÇÕES COMPLEMENTARES '!$D:$L,7,0),0)))</f>
        <v>7.85</v>
      </c>
      <c r="I653" s="314">
        <f t="shared" si="62"/>
        <v>10.45</v>
      </c>
      <c r="J653" s="314">
        <f t="shared" si="63"/>
        <v>46.8</v>
      </c>
      <c r="K653" s="314">
        <f t="shared" si="64"/>
        <v>141.30000000000001</v>
      </c>
      <c r="L653" s="948">
        <f t="shared" si="65"/>
        <v>188.1</v>
      </c>
      <c r="M653" s="374">
        <f t="shared" si="66"/>
        <v>5631837.2200000128</v>
      </c>
      <c r="N653" s="375">
        <f>+M653/L$815</f>
        <v>0.99720143052821419</v>
      </c>
      <c r="O653" s="376" t="str">
        <f>IF(N653&lt;0.5,"A",IF(N653&gt;0.8,"C","B"))</f>
        <v>C</v>
      </c>
    </row>
    <row r="654" spans="1:15" x14ac:dyDescent="0.25">
      <c r="A654" s="232">
        <f t="shared" si="61"/>
        <v>654</v>
      </c>
      <c r="B654" s="232"/>
      <c r="C654" s="310" t="s">
        <v>12188</v>
      </c>
      <c r="D654" s="373" t="str">
        <f>IF($C654="","",IFERROR(VLOOKUP($C654,SERVIÇOS!$B:$G,2,0),IFERROR(VLOOKUP($C654,'COMPOSIÇÕES COMPLEMENTARES '!$D:$L,2,0),IFERROR(VLOOKUP($C654,INSUMOS!$A:$D,2,0),""))))</f>
        <v>TERMINAL DE COMPRESSÃO #95MM²</v>
      </c>
      <c r="E654" s="312" t="str">
        <f>IF($C654="","",IFERROR(VLOOKUP($C654,SERVIÇOS!$B:$G,3,0),IFERROR(VLOOKUP($C654,'COMPOSIÇÕES COMPLEMENTARES '!$D:$L,3,0),IFERROR(VLOOKUP($C654,INSUMOS!$A:$D,3,0),""))))</f>
        <v>UN</v>
      </c>
      <c r="F654" s="313">
        <v>16</v>
      </c>
      <c r="G654" s="314">
        <f>IF($C654="","",IFERROR(VLOOKUP($C654,SERVIÇOS!$B:$G,4,0),IFERROR(VLOOKUP($C654,'COMPOSIÇÕES COMPLEMENTARES '!$D:$L,6,0),IFERROR(VLOOKUP($C654,INSUMOS!$A:$D,4,0),""))))</f>
        <v>9.99</v>
      </c>
      <c r="H654" s="314">
        <f>IF($C654="","",IFERROR(VLOOKUP($C654,SERVIÇOS!$B:$G,5,0),IFERROR(VLOOKUP($C654,'COMPOSIÇÕES COMPLEMENTARES '!$D:$L,7,0),0)))</f>
        <v>1.68</v>
      </c>
      <c r="I654" s="314">
        <f t="shared" si="62"/>
        <v>11.67</v>
      </c>
      <c r="J654" s="314">
        <f t="shared" si="63"/>
        <v>159.84</v>
      </c>
      <c r="K654" s="314">
        <f t="shared" si="64"/>
        <v>26.88</v>
      </c>
      <c r="L654" s="948">
        <f t="shared" si="65"/>
        <v>186.72</v>
      </c>
      <c r="M654" s="374">
        <f t="shared" si="66"/>
        <v>5632023.9400000125</v>
      </c>
      <c r="N654" s="375">
        <f>+M654/L$815</f>
        <v>0.99723449211075543</v>
      </c>
      <c r="O654" s="376" t="str">
        <f>IF(N654&lt;0.5,"A",IF(N654&gt;0.8,"C","B"))</f>
        <v>C</v>
      </c>
    </row>
    <row r="655" spans="1:15" x14ac:dyDescent="0.25">
      <c r="A655" s="232">
        <f t="shared" si="61"/>
        <v>655</v>
      </c>
      <c r="B655" s="232"/>
      <c r="C655" s="310">
        <v>93655</v>
      </c>
      <c r="D655" s="373" t="str">
        <f>IF($C655="","",IFERROR(VLOOKUP($C655,SERVIÇOS!$B:$G,2,0),IFERROR(VLOOKUP($C655,'COMPOSIÇÕES COMPLEMENTARES '!$D:$L,2,0),IFERROR(VLOOKUP($C655,INSUMOS!$A:$D,2,0),""))))</f>
        <v>DISJUNTOR MONOPOLAR TIPO DIN, CORRENTE NOMINAL DE 20A - FORNECIMENTO E INSTALAÇÃO. AF_10/2020</v>
      </c>
      <c r="E655" s="312" t="str">
        <f>IF($C655="","",IFERROR(VLOOKUP($C655,SERVIÇOS!$B:$G,3,0),IFERROR(VLOOKUP($C655,'COMPOSIÇÕES COMPLEMENTARES '!$D:$L,3,0),IFERROR(VLOOKUP($C655,INSUMOS!$A:$D,3,0),""))))</f>
        <v>UN</v>
      </c>
      <c r="F655" s="313">
        <v>12</v>
      </c>
      <c r="G655" s="314">
        <f>IF($C655="","",IFERROR(VLOOKUP($C655,SERVIÇOS!$B:$G,4,0),IFERROR(VLOOKUP($C655,'COMPOSIÇÕES COMPLEMENTARES '!$D:$L,6,0),IFERROR(VLOOKUP($C655,INSUMOS!$A:$D,4,0),""))))</f>
        <v>12.28</v>
      </c>
      <c r="H655" s="314">
        <f>IF($C655="","",IFERROR(VLOOKUP($C655,SERVIÇOS!$B:$G,5,0),IFERROR(VLOOKUP($C655,'COMPOSIÇÕES COMPLEMENTARES '!$D:$L,7,0),0)))</f>
        <v>3.28</v>
      </c>
      <c r="I655" s="314">
        <f t="shared" si="62"/>
        <v>15.559999999999999</v>
      </c>
      <c r="J655" s="314">
        <f t="shared" si="63"/>
        <v>147.36000000000001</v>
      </c>
      <c r="K655" s="314">
        <f t="shared" si="64"/>
        <v>39.36</v>
      </c>
      <c r="L655" s="948">
        <f t="shared" si="65"/>
        <v>186.72</v>
      </c>
      <c r="M655" s="374">
        <f t="shared" si="66"/>
        <v>5632210.6600000123</v>
      </c>
      <c r="N655" s="375">
        <f>+M655/L$815</f>
        <v>0.99726755369329667</v>
      </c>
      <c r="O655" s="376" t="str">
        <f>IF(N655&lt;0.5,"A",IF(N655&gt;0.8,"C","B"))</f>
        <v>C</v>
      </c>
    </row>
    <row r="656" spans="1:15" ht="25.5" x14ac:dyDescent="0.25">
      <c r="A656" s="232">
        <f t="shared" si="61"/>
        <v>656</v>
      </c>
      <c r="B656" s="232"/>
      <c r="C656" s="310">
        <v>91997</v>
      </c>
      <c r="D656" s="373" t="str">
        <f>IF($C656="","",IFERROR(VLOOKUP($C656,SERVIÇOS!$B:$G,2,0),IFERROR(VLOOKUP($C656,'COMPOSIÇÕES COMPLEMENTARES '!$D:$L,2,0),IFERROR(VLOOKUP($C656,INSUMOS!$A:$D,2,0),""))))</f>
        <v>TOMADA MÉDIA DE EMBUTIR (1 MÓDULO), 2P+T 20 A, INCLUINDO SUPORTE E PLACA - FORNECIMENTO E INSTALAÇÃO. AF_03/2023</v>
      </c>
      <c r="E656" s="312" t="str">
        <f>IF($C656="","",IFERROR(VLOOKUP($C656,SERVIÇOS!$B:$G,3,0),IFERROR(VLOOKUP($C656,'COMPOSIÇÕES COMPLEMENTARES '!$D:$L,3,0),IFERROR(VLOOKUP($C656,INSUMOS!$A:$D,3,0),""))))</f>
        <v>UN</v>
      </c>
      <c r="F656" s="313">
        <v>4</v>
      </c>
      <c r="G656" s="314">
        <f>IF($C656="","",IFERROR(VLOOKUP($C656,SERVIÇOS!$B:$G,4,0),IFERROR(VLOOKUP($C656,'COMPOSIÇÕES COMPLEMENTARES '!$D:$L,6,0),IFERROR(VLOOKUP($C656,INSUMOS!$A:$D,4,0),""))))</f>
        <v>24.26</v>
      </c>
      <c r="H656" s="314">
        <f>IF($C656="","",IFERROR(VLOOKUP($C656,SERVIÇOS!$B:$G,5,0),IFERROR(VLOOKUP($C656,'COMPOSIÇÕES COMPLEMENTARES '!$D:$L,7,0),0)))</f>
        <v>22.03</v>
      </c>
      <c r="I656" s="314">
        <f t="shared" si="62"/>
        <v>46.290000000000006</v>
      </c>
      <c r="J656" s="314">
        <f t="shared" si="63"/>
        <v>97.04</v>
      </c>
      <c r="K656" s="314">
        <f t="shared" si="64"/>
        <v>88.12</v>
      </c>
      <c r="L656" s="948">
        <f t="shared" si="65"/>
        <v>185.16</v>
      </c>
      <c r="M656" s="374">
        <f t="shared" si="66"/>
        <v>5632395.8200000124</v>
      </c>
      <c r="N656" s="375">
        <f>+M656/L$815</f>
        <v>0.99730033905439008</v>
      </c>
      <c r="O656" s="376" t="str">
        <f>IF(N656&lt;0.5,"A",IF(N656&gt;0.8,"C","B"))</f>
        <v>C</v>
      </c>
    </row>
    <row r="657" spans="1:15" ht="25.5" x14ac:dyDescent="0.25">
      <c r="A657" s="232">
        <f t="shared" si="61"/>
        <v>657</v>
      </c>
      <c r="B657" s="232"/>
      <c r="C657" s="310">
        <v>91997</v>
      </c>
      <c r="D657" s="373" t="str">
        <f>IF($C657="","",IFERROR(VLOOKUP($C657,SERVIÇOS!$B:$G,2,0),IFERROR(VLOOKUP($C657,'COMPOSIÇÕES COMPLEMENTARES '!$D:$L,2,0),IFERROR(VLOOKUP($C657,INSUMOS!$A:$D,2,0),""))))</f>
        <v>TOMADA MÉDIA DE EMBUTIR (1 MÓDULO), 2P+T 20 A, INCLUINDO SUPORTE E PLACA - FORNECIMENTO E INSTALAÇÃO. AF_03/2023</v>
      </c>
      <c r="E657" s="312" t="str">
        <f>IF($C657="","",IFERROR(VLOOKUP($C657,SERVIÇOS!$B:$G,3,0),IFERROR(VLOOKUP($C657,'COMPOSIÇÕES COMPLEMENTARES '!$D:$L,3,0),IFERROR(VLOOKUP($C657,INSUMOS!$A:$D,3,0),""))))</f>
        <v>UN</v>
      </c>
      <c r="F657" s="313">
        <v>4</v>
      </c>
      <c r="G657" s="314">
        <f>IF($C657="","",IFERROR(VLOOKUP($C657,SERVIÇOS!$B:$G,4,0),IFERROR(VLOOKUP($C657,'COMPOSIÇÕES COMPLEMENTARES '!$D:$L,6,0),IFERROR(VLOOKUP($C657,INSUMOS!$A:$D,4,0),""))))</f>
        <v>24.26</v>
      </c>
      <c r="H657" s="314">
        <f>IF($C657="","",IFERROR(VLOOKUP($C657,SERVIÇOS!$B:$G,5,0),IFERROR(VLOOKUP($C657,'COMPOSIÇÕES COMPLEMENTARES '!$D:$L,7,0),0)))</f>
        <v>22.03</v>
      </c>
      <c r="I657" s="314">
        <f t="shared" si="62"/>
        <v>46.290000000000006</v>
      </c>
      <c r="J657" s="314">
        <f t="shared" si="63"/>
        <v>97.04</v>
      </c>
      <c r="K657" s="314">
        <f t="shared" si="64"/>
        <v>88.12</v>
      </c>
      <c r="L657" s="948">
        <f t="shared" si="65"/>
        <v>185.16</v>
      </c>
      <c r="M657" s="374">
        <f t="shared" si="66"/>
        <v>5632580.9800000126</v>
      </c>
      <c r="N657" s="375">
        <f>+M657/L$815</f>
        <v>0.99733312441548339</v>
      </c>
      <c r="O657" s="376" t="str">
        <f>IF(N657&lt;0.5,"A",IF(N657&gt;0.8,"C","B"))</f>
        <v>C</v>
      </c>
    </row>
    <row r="658" spans="1:15" x14ac:dyDescent="0.25">
      <c r="A658" s="232">
        <f t="shared" si="61"/>
        <v>658</v>
      </c>
      <c r="B658" s="232"/>
      <c r="C658" s="310">
        <v>86914</v>
      </c>
      <c r="D658" s="373" t="str">
        <f>IF($C658="","",IFERROR(VLOOKUP($C658,SERVIÇOS!$B:$G,2,0),IFERROR(VLOOKUP($C658,'COMPOSIÇÕES COMPLEMENTARES '!$D:$L,2,0),IFERROR(VLOOKUP($C658,INSUMOS!$A:$D,2,0),""))))</f>
        <v>TORNEIRA CROMADA 1/2" OU 3/4" PARA TANQUE, PADRÃO MÉDIO - FORNECIMENTO E INSTALAÇÃO. AF_01/2020</v>
      </c>
      <c r="E658" s="312" t="str">
        <f>IF($C658="","",IFERROR(VLOOKUP($C658,SERVIÇOS!$B:$G,3,0),IFERROR(VLOOKUP($C658,'COMPOSIÇÕES COMPLEMENTARES '!$D:$L,3,0),IFERROR(VLOOKUP($C658,INSUMOS!$A:$D,3,0),""))))</f>
        <v>UN</v>
      </c>
      <c r="F658" s="313">
        <v>2</v>
      </c>
      <c r="G658" s="314">
        <f>IF($C658="","",IFERROR(VLOOKUP($C658,SERVIÇOS!$B:$G,4,0),IFERROR(VLOOKUP($C658,'COMPOSIÇÕES COMPLEMENTARES '!$D:$L,6,0),IFERROR(VLOOKUP($C658,INSUMOS!$A:$D,4,0),""))))</f>
        <v>87.38</v>
      </c>
      <c r="H658" s="314">
        <f>IF($C658="","",IFERROR(VLOOKUP($C658,SERVIÇOS!$B:$G,5,0),IFERROR(VLOOKUP($C658,'COMPOSIÇÕES COMPLEMENTARES '!$D:$L,7,0),0)))</f>
        <v>5.12</v>
      </c>
      <c r="I658" s="314">
        <f t="shared" si="62"/>
        <v>92.5</v>
      </c>
      <c r="J658" s="314">
        <f t="shared" si="63"/>
        <v>174.76</v>
      </c>
      <c r="K658" s="314">
        <f t="shared" si="64"/>
        <v>10.24</v>
      </c>
      <c r="L658" s="948">
        <f t="shared" si="65"/>
        <v>185</v>
      </c>
      <c r="M658" s="374">
        <f t="shared" si="66"/>
        <v>5632765.9800000126</v>
      </c>
      <c r="N658" s="375">
        <f>+M658/L$815</f>
        <v>0.99736588144617178</v>
      </c>
      <c r="O658" s="376" t="str">
        <f>IF(N658&lt;0.5,"A",IF(N658&gt;0.8,"C","B"))</f>
        <v>C</v>
      </c>
    </row>
    <row r="659" spans="1:15" ht="38.25" x14ac:dyDescent="0.25">
      <c r="A659" s="232">
        <f t="shared" si="61"/>
        <v>659</v>
      </c>
      <c r="B659" s="232"/>
      <c r="C659" s="310" t="s">
        <v>12445</v>
      </c>
      <c r="D659" s="373" t="str">
        <f>IF($C659="","",IFERROR(VLOOKUP($C659,SERVIÇOS!$B:$G,2,0),IFERROR(VLOOKUP($C659,'COMPOSIÇÕES COMPLEMENTARES '!$D:$L,2,0),IFERROR(VLOOKUP($C659,INSUMOS!$A:$D,2,0),""))))</f>
        <v>GRELHA PLÁSTICA FIXA COM COLARINHO, COM TELA ANTI-INSETOS, DIÂMETRO NOMINAL Ø100MM, , EM PLÁSTICO ABS COM PROTEÇÃO ANTI-UV, COM ÁREA EFETIVA LIVRE MÍNIMA DE 49 CM². REFERÊNCIA: SICFLUX S100 OU EQUIVALENTE TÉCNICO (WDB GRADE COM ADAPTADOR, MULTIVAC OU OUTRO). FORNECIMENTO E INSTALAÇÃO</v>
      </c>
      <c r="E659" s="312" t="str">
        <f>IF($C659="","",IFERROR(VLOOKUP($C659,SERVIÇOS!$B:$G,3,0),IFERROR(VLOOKUP($C659,'COMPOSIÇÕES COMPLEMENTARES '!$D:$L,3,0),IFERROR(VLOOKUP($C659,INSUMOS!$A:$D,3,0),""))))</f>
        <v>UN</v>
      </c>
      <c r="F659" s="313">
        <v>4</v>
      </c>
      <c r="G659" s="314">
        <f>IF($C659="","",IFERROR(VLOOKUP($C659,SERVIÇOS!$B:$G,4,0),IFERROR(VLOOKUP($C659,'COMPOSIÇÕES COMPLEMENTARES '!$D:$L,6,0),IFERROR(VLOOKUP($C659,INSUMOS!$A:$D,4,0),""))))</f>
        <v>30.57</v>
      </c>
      <c r="H659" s="314">
        <f>IF($C659="","",IFERROR(VLOOKUP($C659,SERVIÇOS!$B:$G,5,0),IFERROR(VLOOKUP($C659,'COMPOSIÇÕES COMPLEMENTARES '!$D:$L,7,0),0)))</f>
        <v>15.43</v>
      </c>
      <c r="I659" s="314">
        <f t="shared" si="62"/>
        <v>46</v>
      </c>
      <c r="J659" s="314">
        <f t="shared" si="63"/>
        <v>122.28</v>
      </c>
      <c r="K659" s="314">
        <f t="shared" si="64"/>
        <v>61.72</v>
      </c>
      <c r="L659" s="948">
        <f t="shared" si="65"/>
        <v>184</v>
      </c>
      <c r="M659" s="374">
        <f t="shared" si="66"/>
        <v>5632949.9800000126</v>
      </c>
      <c r="N659" s="375">
        <f>+M659/L$815</f>
        <v>0.99739846141182953</v>
      </c>
      <c r="O659" s="376" t="str">
        <f>IF(N659&lt;0.5,"A",IF(N659&gt;0.8,"C","B"))</f>
        <v>C</v>
      </c>
    </row>
    <row r="660" spans="1:15" ht="25.5" x14ac:dyDescent="0.25">
      <c r="A660" s="232">
        <f t="shared" si="61"/>
        <v>660</v>
      </c>
      <c r="B660" s="232"/>
      <c r="C660" s="310" t="s">
        <v>12453</v>
      </c>
      <c r="D660" s="373" t="str">
        <f>IF($C660="","",IFERROR(VLOOKUP($C660,SERVIÇOS!$B:$G,2,0),IFERROR(VLOOKUP($C660,'COMPOSIÇÕES COMPLEMENTARES '!$D:$L,2,0),IFERROR(VLOOKUP($C660,INSUMOS!$A:$D,2,0),""))))</f>
        <v>DAMPER DE REGULAGEM DE VAZÃO 100x100MM. MARCA TROPICAL DRV-100x100 (OU EQUIVALENTE (OU SIMILAR - TROX, SEIMMEI, DIFUSAR)</v>
      </c>
      <c r="E660" s="312" t="str">
        <f>IF($C660="","",IFERROR(VLOOKUP($C660,SERVIÇOS!$B:$G,3,0),IFERROR(VLOOKUP($C660,'COMPOSIÇÕES COMPLEMENTARES '!$D:$L,3,0),IFERROR(VLOOKUP($C660,INSUMOS!$A:$D,3,0),""))))</f>
        <v>UN</v>
      </c>
      <c r="F660" s="313">
        <v>5</v>
      </c>
      <c r="G660" s="314">
        <f>IF($C660="","",IFERROR(VLOOKUP($C660,SERVIÇOS!$B:$G,4,0),IFERROR(VLOOKUP($C660,'COMPOSIÇÕES COMPLEMENTARES '!$D:$L,6,0),IFERROR(VLOOKUP($C660,INSUMOS!$A:$D,4,0),""))))</f>
        <v>25.51</v>
      </c>
      <c r="H660" s="314">
        <f>IF($C660="","",IFERROR(VLOOKUP($C660,SERVIÇOS!$B:$G,5,0),IFERROR(VLOOKUP($C660,'COMPOSIÇÕES COMPLEMENTARES '!$D:$L,7,0),0)))</f>
        <v>11.05</v>
      </c>
      <c r="I660" s="314">
        <f t="shared" si="62"/>
        <v>36.56</v>
      </c>
      <c r="J660" s="314">
        <f t="shared" si="63"/>
        <v>127.55</v>
      </c>
      <c r="K660" s="314">
        <f t="shared" si="64"/>
        <v>55.25</v>
      </c>
      <c r="L660" s="948">
        <f t="shared" si="65"/>
        <v>182.8</v>
      </c>
      <c r="M660" s="374">
        <f t="shared" si="66"/>
        <v>5633132.7800000124</v>
      </c>
      <c r="N660" s="375">
        <f>+M660/L$815</f>
        <v>0.99743082889945023</v>
      </c>
      <c r="O660" s="376" t="str">
        <f>IF(N660&lt;0.5,"A",IF(N660&gt;0.8,"C","B"))</f>
        <v>C</v>
      </c>
    </row>
    <row r="661" spans="1:15" x14ac:dyDescent="0.25">
      <c r="A661" s="232">
        <f t="shared" si="61"/>
        <v>661</v>
      </c>
      <c r="B661" s="232"/>
      <c r="C661" s="310" t="s">
        <v>12089</v>
      </c>
      <c r="D661" s="373" t="str">
        <f>IF($C661="","",IFERROR(VLOOKUP($C661,SERVIÇOS!$B:$G,2,0),IFERROR(VLOOKUP($C661,'COMPOSIÇÕES COMPLEMENTARES '!$D:$L,2,0),IFERROR(VLOOKUP($C661,INSUMOS!$A:$D,2,0),""))))</f>
        <v>ECO FREIO (FREIO D'ÁGUA), DN 100 MM</v>
      </c>
      <c r="E661" s="312" t="str">
        <f>IF($C661="","",IFERROR(VLOOKUP($C661,SERVIÇOS!$B:$G,3,0),IFERROR(VLOOKUP($C661,'COMPOSIÇÕES COMPLEMENTARES '!$D:$L,3,0),IFERROR(VLOOKUP($C661,INSUMOS!$A:$D,3,0),""))))</f>
        <v>UN</v>
      </c>
      <c r="F661" s="313">
        <v>1</v>
      </c>
      <c r="G661" s="314">
        <f>IF($C661="","",IFERROR(VLOOKUP($C661,SERVIÇOS!$B:$G,4,0),IFERROR(VLOOKUP($C661,'COMPOSIÇÕES COMPLEMENTARES '!$D:$L,6,0),IFERROR(VLOOKUP($C661,INSUMOS!$A:$D,4,0),""))))</f>
        <v>148.58000000000001</v>
      </c>
      <c r="H661" s="314">
        <f>IF($C661="","",IFERROR(VLOOKUP($C661,SERVIÇOS!$B:$G,5,0),IFERROR(VLOOKUP($C661,'COMPOSIÇÕES COMPLEMENTARES '!$D:$L,7,0),0)))</f>
        <v>34.020000000000003</v>
      </c>
      <c r="I661" s="314">
        <f t="shared" si="62"/>
        <v>182.60000000000002</v>
      </c>
      <c r="J661" s="314">
        <f t="shared" si="63"/>
        <v>148.58000000000001</v>
      </c>
      <c r="K661" s="314">
        <f t="shared" si="64"/>
        <v>34.020000000000003</v>
      </c>
      <c r="L661" s="948">
        <f t="shared" si="65"/>
        <v>182.6</v>
      </c>
      <c r="M661" s="374">
        <f t="shared" si="66"/>
        <v>5633315.380000012</v>
      </c>
      <c r="N661" s="375">
        <f>+M661/L$815</f>
        <v>0.99746316097406484</v>
      </c>
      <c r="O661" s="376" t="str">
        <f>IF(N661&lt;0.5,"A",IF(N661&gt;0.8,"C","B"))</f>
        <v>C</v>
      </c>
    </row>
    <row r="662" spans="1:15" x14ac:dyDescent="0.25">
      <c r="A662" s="232">
        <f t="shared" si="61"/>
        <v>662</v>
      </c>
      <c r="B662" s="232"/>
      <c r="C662" s="310" t="s">
        <v>12143</v>
      </c>
      <c r="D662" s="373" t="str">
        <f>IF($C662="","",IFERROR(VLOOKUP($C662,SERVIÇOS!$B:$G,2,0),IFERROR(VLOOKUP($C662,'COMPOSIÇÕES COMPLEMENTARES '!$D:$L,2,0),IFERROR(VLOOKUP($C662,INSUMOS!$A:$D,2,0),""))))</f>
        <v>TERMINAL DE VENTILAÇÃO DN 50 MM</v>
      </c>
      <c r="E662" s="312" t="str">
        <f>IF($C662="","",IFERROR(VLOOKUP($C662,SERVIÇOS!$B:$G,3,0),IFERROR(VLOOKUP($C662,'COMPOSIÇÕES COMPLEMENTARES '!$D:$L,3,0),IFERROR(VLOOKUP($C662,INSUMOS!$A:$D,3,0),""))))</f>
        <v>UN</v>
      </c>
      <c r="F662" s="313">
        <v>13</v>
      </c>
      <c r="G662" s="314">
        <f>IF($C662="","",IFERROR(VLOOKUP($C662,SERVIÇOS!$B:$G,4,0),IFERROR(VLOOKUP($C662,'COMPOSIÇÕES COMPLEMENTARES '!$D:$L,6,0),IFERROR(VLOOKUP($C662,INSUMOS!$A:$D,4,0),""))))</f>
        <v>10.65</v>
      </c>
      <c r="H662" s="314">
        <f>IF($C662="","",IFERROR(VLOOKUP($C662,SERVIÇOS!$B:$G,5,0),IFERROR(VLOOKUP($C662,'COMPOSIÇÕES COMPLEMENTARES '!$D:$L,7,0),0)))</f>
        <v>3.28</v>
      </c>
      <c r="I662" s="314">
        <f t="shared" si="62"/>
        <v>13.93</v>
      </c>
      <c r="J662" s="314">
        <f t="shared" si="63"/>
        <v>138.44999999999999</v>
      </c>
      <c r="K662" s="314">
        <f t="shared" si="64"/>
        <v>42.64</v>
      </c>
      <c r="L662" s="948">
        <f t="shared" si="65"/>
        <v>181.09</v>
      </c>
      <c r="M662" s="374">
        <f t="shared" si="66"/>
        <v>5633496.4700000118</v>
      </c>
      <c r="N662" s="375">
        <f>+M662/L$815</f>
        <v>0.99749522568048299</v>
      </c>
      <c r="O662" s="376" t="str">
        <f>IF(N662&lt;0.5,"A",IF(N662&gt;0.8,"C","B"))</f>
        <v>C</v>
      </c>
    </row>
    <row r="663" spans="1:15" x14ac:dyDescent="0.25">
      <c r="A663" s="232">
        <f t="shared" si="61"/>
        <v>663</v>
      </c>
      <c r="B663" s="232"/>
      <c r="C663" s="310">
        <v>91955</v>
      </c>
      <c r="D663" s="373" t="str">
        <f>IF($C663="","",IFERROR(VLOOKUP($C663,SERVIÇOS!$B:$G,2,0),IFERROR(VLOOKUP($C663,'COMPOSIÇÕES COMPLEMENTARES '!$D:$L,2,0),IFERROR(VLOOKUP($C663,INSUMOS!$A:$D,2,0),""))))</f>
        <v>INTERRUPTOR PARALELO (1 MÓDULO), 10A/250V, INCLUINDO SUPORTE E PLACA - FORNECIMENTO E INSTALAÇÃO. AF_03/2023</v>
      </c>
      <c r="E663" s="312" t="str">
        <f>IF($C663="","",IFERROR(VLOOKUP($C663,SERVIÇOS!$B:$G,3,0),IFERROR(VLOOKUP($C663,'COMPOSIÇÕES COMPLEMENTARES '!$D:$L,3,0),IFERROR(VLOOKUP($C663,INSUMOS!$A:$D,3,0),""))))</f>
        <v>UN</v>
      </c>
      <c r="F663" s="313">
        <v>4</v>
      </c>
      <c r="G663" s="314">
        <f>IF($C663="","",IFERROR(VLOOKUP($C663,SERVIÇOS!$B:$G,4,0),IFERROR(VLOOKUP($C663,'COMPOSIÇÕES COMPLEMENTARES '!$D:$L,6,0),IFERROR(VLOOKUP($C663,INSUMOS!$A:$D,4,0),""))))</f>
        <v>23.08</v>
      </c>
      <c r="H663" s="314">
        <f>IF($C663="","",IFERROR(VLOOKUP($C663,SERVIÇOS!$B:$G,5,0),IFERROR(VLOOKUP($C663,'COMPOSIÇÕES COMPLEMENTARES '!$D:$L,7,0),0)))</f>
        <v>22.04</v>
      </c>
      <c r="I663" s="314">
        <f t="shared" si="62"/>
        <v>45.12</v>
      </c>
      <c r="J663" s="314">
        <f t="shared" si="63"/>
        <v>92.32</v>
      </c>
      <c r="K663" s="314">
        <f t="shared" si="64"/>
        <v>88.16</v>
      </c>
      <c r="L663" s="948">
        <f t="shared" si="65"/>
        <v>180.48</v>
      </c>
      <c r="M663" s="374">
        <f t="shared" si="66"/>
        <v>5633676.9500000123</v>
      </c>
      <c r="N663" s="375">
        <f>+M663/L$815</f>
        <v>0.99752718237723248</v>
      </c>
      <c r="O663" s="376" t="str">
        <f>IF(N663&lt;0.5,"A",IF(N663&gt;0.8,"C","B"))</f>
        <v>C</v>
      </c>
    </row>
    <row r="664" spans="1:15" x14ac:dyDescent="0.25">
      <c r="A664" s="232">
        <f t="shared" si="61"/>
        <v>664</v>
      </c>
      <c r="B664" s="232"/>
      <c r="C664" s="310" t="s">
        <v>12381</v>
      </c>
      <c r="D664" s="373" t="str">
        <f>IF($C664="","",IFERROR(VLOOKUP($C664,SERVIÇOS!$B:$G,2,0),IFERROR(VLOOKUP($C664,'COMPOSIÇÕES COMPLEMENTARES '!$D:$L,2,0),IFERROR(VLOOKUP($C664,INSUMOS!$A:$D,2,0),""))))</f>
        <v>MANGUEIRA DE CONDUÇÃO DE AR COMPRIMIDO ALTA PRESSÃO, COMPRIMENTO DE 3 METRO</v>
      </c>
      <c r="E664" s="312" t="str">
        <f>IF($C664="","",IFERROR(VLOOKUP($C664,SERVIÇOS!$B:$G,3,0),IFERROR(VLOOKUP($C664,'COMPOSIÇÕES COMPLEMENTARES '!$D:$L,3,0),IFERROR(VLOOKUP($C664,INSUMOS!$A:$D,3,0),""))))</f>
        <v>UN</v>
      </c>
      <c r="F664" s="313">
        <v>2</v>
      </c>
      <c r="G664" s="314">
        <f>IF($C664="","",IFERROR(VLOOKUP($C664,SERVIÇOS!$B:$G,4,0),IFERROR(VLOOKUP($C664,'COMPOSIÇÕES COMPLEMENTARES '!$D:$L,6,0),IFERROR(VLOOKUP($C664,INSUMOS!$A:$D,4,0),""))))</f>
        <v>66.08</v>
      </c>
      <c r="H664" s="314">
        <f>IF($C664="","",IFERROR(VLOOKUP($C664,SERVIÇOS!$B:$G,5,0),IFERROR(VLOOKUP($C664,'COMPOSIÇÕES COMPLEMENTARES '!$D:$L,7,0),0)))</f>
        <v>21.86</v>
      </c>
      <c r="I664" s="314">
        <f t="shared" si="62"/>
        <v>87.94</v>
      </c>
      <c r="J664" s="314">
        <f t="shared" si="63"/>
        <v>132.16</v>
      </c>
      <c r="K664" s="314">
        <f t="shared" si="64"/>
        <v>43.72</v>
      </c>
      <c r="L664" s="948">
        <f t="shared" si="65"/>
        <v>175.88</v>
      </c>
      <c r="M664" s="374">
        <f t="shared" si="66"/>
        <v>5633852.8300000122</v>
      </c>
      <c r="N664" s="375">
        <f>+M664/L$815</f>
        <v>0.9975583245748405</v>
      </c>
      <c r="O664" s="376" t="str">
        <f>IF(N664&lt;0.5,"A",IF(N664&gt;0.8,"C","B"))</f>
        <v>C</v>
      </c>
    </row>
    <row r="665" spans="1:15" ht="25.5" x14ac:dyDescent="0.25">
      <c r="A665" s="232">
        <f t="shared" si="61"/>
        <v>665</v>
      </c>
      <c r="B665" s="232"/>
      <c r="C665" s="310" t="s">
        <v>12463</v>
      </c>
      <c r="D665" s="373" t="str">
        <f>IF($C665="","",IFERROR(VLOOKUP($C665,SERVIÇOS!$B:$G,2,0),IFERROR(VLOOKUP($C665,'COMPOSIÇÕES COMPLEMENTARES '!$D:$L,2,0),IFERROR(VLOOKUP($C665,INSUMOS!$A:$D,2,0),""))))</f>
        <v>DAMPER DE REGULAGEM DE VAZÃO 300x250MM. MARCA TROPICAL DRV-300x250 (OU EQUIVALENTE (OU SIMILAR - TROX, SEIMMEI, DIFUSAR)</v>
      </c>
      <c r="E665" s="312" t="str">
        <f>IF($C665="","",IFERROR(VLOOKUP($C665,SERVIÇOS!$B:$G,3,0),IFERROR(VLOOKUP($C665,'COMPOSIÇÕES COMPLEMENTARES '!$D:$L,3,0),IFERROR(VLOOKUP($C665,INSUMOS!$A:$D,3,0),""))))</f>
        <v>UN</v>
      </c>
      <c r="F665" s="313">
        <v>1</v>
      </c>
      <c r="G665" s="314">
        <f>IF($C665="","",IFERROR(VLOOKUP($C665,SERVIÇOS!$B:$G,4,0),IFERROR(VLOOKUP($C665,'COMPOSIÇÕES COMPLEMENTARES '!$D:$L,6,0),IFERROR(VLOOKUP($C665,INSUMOS!$A:$D,4,0),""))))</f>
        <v>164.78</v>
      </c>
      <c r="H665" s="314">
        <f>IF($C665="","",IFERROR(VLOOKUP($C665,SERVIÇOS!$B:$G,5,0),IFERROR(VLOOKUP($C665,'COMPOSIÇÕES COMPLEMENTARES '!$D:$L,7,0),0)))</f>
        <v>11.05</v>
      </c>
      <c r="I665" s="314">
        <f t="shared" si="62"/>
        <v>175.83</v>
      </c>
      <c r="J665" s="314">
        <f t="shared" si="63"/>
        <v>164.78</v>
      </c>
      <c r="K665" s="314">
        <f t="shared" si="64"/>
        <v>11.05</v>
      </c>
      <c r="L665" s="948">
        <f t="shared" si="65"/>
        <v>175.83</v>
      </c>
      <c r="M665" s="374">
        <f t="shared" si="66"/>
        <v>5634028.6600000123</v>
      </c>
      <c r="N665" s="375">
        <f>+M665/L$815</f>
        <v>0.99758945791919695</v>
      </c>
      <c r="O665" s="376" t="str">
        <f>IF(N665&lt;0.5,"A",IF(N665&gt;0.8,"C","B"))</f>
        <v>C</v>
      </c>
    </row>
    <row r="666" spans="1:15" x14ac:dyDescent="0.25">
      <c r="A666" s="232">
        <f t="shared" si="61"/>
        <v>666</v>
      </c>
      <c r="B666" s="232"/>
      <c r="C666" s="310">
        <v>96121</v>
      </c>
      <c r="D666" s="373" t="str">
        <f>IF($C666="","",IFERROR(VLOOKUP($C666,SERVIÇOS!$B:$G,2,0),IFERROR(VLOOKUP($C666,'COMPOSIÇÕES COMPLEMENTARES '!$D:$L,2,0),IFERROR(VLOOKUP($C666,INSUMOS!$A:$D,2,0),""))))</f>
        <v>ACABAMENTOS PARA FORRO (RODA-FORRO EM PERFIL METÁLICO E PLÁSTICO). AF_08/2023</v>
      </c>
      <c r="E666" s="312" t="str">
        <f>IF($C666="","",IFERROR(VLOOKUP($C666,SERVIÇOS!$B:$G,3,0),IFERROR(VLOOKUP($C666,'COMPOSIÇÕES COMPLEMENTARES '!$D:$L,3,0),IFERROR(VLOOKUP($C666,INSUMOS!$A:$D,3,0),""))))</f>
        <v>M</v>
      </c>
      <c r="F666" s="313">
        <v>12.62</v>
      </c>
      <c r="G666" s="314">
        <f>IF($C666="","",IFERROR(VLOOKUP($C666,SERVIÇOS!$B:$G,4,0),IFERROR(VLOOKUP($C666,'COMPOSIÇÕES COMPLEMENTARES '!$D:$L,6,0),IFERROR(VLOOKUP($C666,INSUMOS!$A:$D,4,0),""))))</f>
        <v>8.84</v>
      </c>
      <c r="H666" s="314">
        <f>IF($C666="","",IFERROR(VLOOKUP($C666,SERVIÇOS!$B:$G,5,0),IFERROR(VLOOKUP($C666,'COMPOSIÇÕES COMPLEMENTARES '!$D:$L,7,0),0)))</f>
        <v>5.09</v>
      </c>
      <c r="I666" s="314">
        <f t="shared" si="62"/>
        <v>13.93</v>
      </c>
      <c r="J666" s="314">
        <f t="shared" si="63"/>
        <v>111.56</v>
      </c>
      <c r="K666" s="314">
        <f t="shared" si="64"/>
        <v>64.23</v>
      </c>
      <c r="L666" s="948">
        <f t="shared" si="65"/>
        <v>175.79</v>
      </c>
      <c r="M666" s="374">
        <f t="shared" si="66"/>
        <v>5634204.4500000123</v>
      </c>
      <c r="N666" s="375">
        <f>+M666/L$815</f>
        <v>0.99762058418095212</v>
      </c>
      <c r="O666" s="376" t="str">
        <f>IF(N666&lt;0.5,"A",IF(N666&gt;0.8,"C","B"))</f>
        <v>C</v>
      </c>
    </row>
    <row r="667" spans="1:15" x14ac:dyDescent="0.25">
      <c r="A667" s="232">
        <f t="shared" si="61"/>
        <v>667</v>
      </c>
      <c r="B667" s="232"/>
      <c r="C667" s="310">
        <v>93655</v>
      </c>
      <c r="D667" s="373" t="str">
        <f>IF($C667="","",IFERROR(VLOOKUP($C667,SERVIÇOS!$B:$G,2,0),IFERROR(VLOOKUP($C667,'COMPOSIÇÕES COMPLEMENTARES '!$D:$L,2,0),IFERROR(VLOOKUP($C667,INSUMOS!$A:$D,2,0),""))))</f>
        <v>DISJUNTOR MONOPOLAR TIPO DIN, CORRENTE NOMINAL DE 20A - FORNECIMENTO E INSTALAÇÃO. AF_10/2020</v>
      </c>
      <c r="E667" s="312" t="str">
        <f>IF($C667="","",IFERROR(VLOOKUP($C667,SERVIÇOS!$B:$G,3,0),IFERROR(VLOOKUP($C667,'COMPOSIÇÕES COMPLEMENTARES '!$D:$L,3,0),IFERROR(VLOOKUP($C667,INSUMOS!$A:$D,3,0),""))))</f>
        <v>UN</v>
      </c>
      <c r="F667" s="313">
        <v>11</v>
      </c>
      <c r="G667" s="314">
        <f>IF($C667="","",IFERROR(VLOOKUP($C667,SERVIÇOS!$B:$G,4,0),IFERROR(VLOOKUP($C667,'COMPOSIÇÕES COMPLEMENTARES '!$D:$L,6,0),IFERROR(VLOOKUP($C667,INSUMOS!$A:$D,4,0),""))))</f>
        <v>12.28</v>
      </c>
      <c r="H667" s="314">
        <f>IF($C667="","",IFERROR(VLOOKUP($C667,SERVIÇOS!$B:$G,5,0),IFERROR(VLOOKUP($C667,'COMPOSIÇÕES COMPLEMENTARES '!$D:$L,7,0),0)))</f>
        <v>3.28</v>
      </c>
      <c r="I667" s="314">
        <f t="shared" si="62"/>
        <v>15.559999999999999</v>
      </c>
      <c r="J667" s="314">
        <f t="shared" si="63"/>
        <v>135.08000000000001</v>
      </c>
      <c r="K667" s="314">
        <f t="shared" si="64"/>
        <v>36.08</v>
      </c>
      <c r="L667" s="948">
        <f t="shared" si="65"/>
        <v>171.16</v>
      </c>
      <c r="M667" s="374">
        <f t="shared" si="66"/>
        <v>5634375.6100000124</v>
      </c>
      <c r="N667" s="375">
        <f>+M667/L$815</f>
        <v>0.99765089063161505</v>
      </c>
      <c r="O667" s="376" t="str">
        <f>IF(N667&lt;0.5,"A",IF(N667&gt;0.8,"C","B"))</f>
        <v>C</v>
      </c>
    </row>
    <row r="668" spans="1:15" x14ac:dyDescent="0.25">
      <c r="A668" s="232">
        <f t="shared" si="61"/>
        <v>668</v>
      </c>
      <c r="B668" s="232"/>
      <c r="C668" s="310">
        <v>93670</v>
      </c>
      <c r="D668" s="373" t="str">
        <f>IF($C668="","",IFERROR(VLOOKUP($C668,SERVIÇOS!$B:$G,2,0),IFERROR(VLOOKUP($C668,'COMPOSIÇÕES COMPLEMENTARES '!$D:$L,2,0),IFERROR(VLOOKUP($C668,INSUMOS!$A:$D,2,0),""))))</f>
        <v>DISJUNTOR TRIPOLAR TIPO DIN, CORRENTE NOMINAL DE 25A - FORNECIMENTO E INSTALAÇÃO. AF_10/2020</v>
      </c>
      <c r="E668" s="312" t="str">
        <f>IF($C668="","",IFERROR(VLOOKUP($C668,SERVIÇOS!$B:$G,3,0),IFERROR(VLOOKUP($C668,'COMPOSIÇÕES COMPLEMENTARES '!$D:$L,3,0),IFERROR(VLOOKUP($C668,INSUMOS!$A:$D,3,0),""))))</f>
        <v>UN</v>
      </c>
      <c r="F668" s="313">
        <v>2</v>
      </c>
      <c r="G668" s="314">
        <f>IF($C668="","",IFERROR(VLOOKUP($C668,SERVIÇOS!$B:$G,4,0),IFERROR(VLOOKUP($C668,'COMPOSIÇÕES COMPLEMENTARES '!$D:$L,6,0),IFERROR(VLOOKUP($C668,INSUMOS!$A:$D,4,0),""))))</f>
        <v>75.510000000000005</v>
      </c>
      <c r="H668" s="314">
        <f>IF($C668="","",IFERROR(VLOOKUP($C668,SERVIÇOS!$B:$G,5,0),IFERROR(VLOOKUP($C668,'COMPOSIÇÕES COMPLEMENTARES '!$D:$L,7,0),0)))</f>
        <v>9.83</v>
      </c>
      <c r="I668" s="314">
        <f t="shared" si="62"/>
        <v>85.34</v>
      </c>
      <c r="J668" s="314">
        <f t="shared" si="63"/>
        <v>151.02000000000001</v>
      </c>
      <c r="K668" s="314">
        <f t="shared" si="64"/>
        <v>19.66</v>
      </c>
      <c r="L668" s="948">
        <f t="shared" si="65"/>
        <v>170.68</v>
      </c>
      <c r="M668" s="374">
        <f t="shared" si="66"/>
        <v>5634546.2900000121</v>
      </c>
      <c r="N668" s="375">
        <f>+M668/L$815</f>
        <v>0.99768111209106314</v>
      </c>
      <c r="O668" s="376" t="str">
        <f>IF(N668&lt;0.5,"A",IF(N668&gt;0.8,"C","B"))</f>
        <v>C</v>
      </c>
    </row>
    <row r="669" spans="1:15" ht="25.5" x14ac:dyDescent="0.25">
      <c r="A669" s="232">
        <f t="shared" si="61"/>
        <v>669</v>
      </c>
      <c r="B669" s="232"/>
      <c r="C669" s="310">
        <v>91940</v>
      </c>
      <c r="D669" s="373" t="str">
        <f>IF($C669="","",IFERROR(VLOOKUP($C669,SERVIÇOS!$B:$G,2,0),IFERROR(VLOOKUP($C669,'COMPOSIÇÕES COMPLEMENTARES '!$D:$L,2,0),IFERROR(VLOOKUP($C669,INSUMOS!$A:$D,2,0),""))))</f>
        <v>CAIXA RETANGULAR 4" X 2" MÉDIA (1,30 M DO PISO), PVC, INSTALADA EM PAREDE - FORNECIMENTO E INSTALAÇÃO. AF_03/2023</v>
      </c>
      <c r="E669" s="312" t="str">
        <f>IF($C669="","",IFERROR(VLOOKUP($C669,SERVIÇOS!$B:$G,3,0),IFERROR(VLOOKUP($C669,'COMPOSIÇÕES COMPLEMENTARES '!$D:$L,3,0),IFERROR(VLOOKUP($C669,INSUMOS!$A:$D,3,0),""))))</f>
        <v>UN</v>
      </c>
      <c r="F669" s="313">
        <v>7</v>
      </c>
      <c r="G669" s="314">
        <f>IF($C669="","",IFERROR(VLOOKUP($C669,SERVIÇOS!$B:$G,4,0),IFERROR(VLOOKUP($C669,'COMPOSIÇÕES COMPLEMENTARES '!$D:$L,6,0),IFERROR(VLOOKUP($C669,INSUMOS!$A:$D,4,0),""))))</f>
        <v>9.7799999999999994</v>
      </c>
      <c r="H669" s="314">
        <f>IF($C669="","",IFERROR(VLOOKUP($C669,SERVIÇOS!$B:$G,5,0),IFERROR(VLOOKUP($C669,'COMPOSIÇÕES COMPLEMENTARES '!$D:$L,7,0),0)))</f>
        <v>14.56</v>
      </c>
      <c r="I669" s="314">
        <f t="shared" si="62"/>
        <v>24.34</v>
      </c>
      <c r="J669" s="314">
        <f t="shared" si="63"/>
        <v>68.459999999999994</v>
      </c>
      <c r="K669" s="314">
        <f t="shared" si="64"/>
        <v>101.92</v>
      </c>
      <c r="L669" s="948">
        <f t="shared" si="65"/>
        <v>170.38</v>
      </c>
      <c r="M669" s="374">
        <f t="shared" si="66"/>
        <v>5634716.670000012</v>
      </c>
      <c r="N669" s="375">
        <f>+M669/L$815</f>
        <v>0.99771128043100199</v>
      </c>
      <c r="O669" s="376" t="str">
        <f>IF(N669&lt;0.5,"A",IF(N669&gt;0.8,"C","B"))</f>
        <v>C</v>
      </c>
    </row>
    <row r="670" spans="1:15" x14ac:dyDescent="0.25">
      <c r="A670" s="232">
        <f t="shared" si="61"/>
        <v>670</v>
      </c>
      <c r="B670" s="232"/>
      <c r="C670" s="310" t="s">
        <v>12231</v>
      </c>
      <c r="D670" s="373" t="str">
        <f>IF($C670="","",IFERROR(VLOOKUP($C670,SERVIÇOS!$B:$G,2,0),IFERROR(VLOOKUP($C670,'COMPOSIÇÕES COMPLEMENTARES '!$D:$L,2,0),IFERROR(VLOOKUP($C670,INSUMOS!$A:$D,2,0),""))))</f>
        <v>TOMADA 32A/220V 3P+T - TAMPA AZUL (PADRÃO STECK DE SOBREPOR) EM CAIXA 4"X2"</v>
      </c>
      <c r="E670" s="312" t="str">
        <f>IF($C670="","",IFERROR(VLOOKUP($C670,SERVIÇOS!$B:$G,3,0),IFERROR(VLOOKUP($C670,'COMPOSIÇÕES COMPLEMENTARES '!$D:$L,3,0),IFERROR(VLOOKUP($C670,INSUMOS!$A:$D,3,0),""))))</f>
        <v>UN</v>
      </c>
      <c r="F670" s="313">
        <v>2</v>
      </c>
      <c r="G670" s="314">
        <f>IF($C670="","",IFERROR(VLOOKUP($C670,SERVIÇOS!$B:$G,4,0),IFERROR(VLOOKUP($C670,'COMPOSIÇÕES COMPLEMENTARES '!$D:$L,6,0),IFERROR(VLOOKUP($C670,INSUMOS!$A:$D,4,0),""))))</f>
        <v>62.37</v>
      </c>
      <c r="H670" s="314">
        <f>IF($C670="","",IFERROR(VLOOKUP($C670,SERVIÇOS!$B:$G,5,0),IFERROR(VLOOKUP($C670,'COMPOSIÇÕES COMPLEMENTARES '!$D:$L,7,0),0)))</f>
        <v>22.28</v>
      </c>
      <c r="I670" s="314">
        <f t="shared" si="62"/>
        <v>84.65</v>
      </c>
      <c r="J670" s="314">
        <f t="shared" si="63"/>
        <v>124.74</v>
      </c>
      <c r="K670" s="314">
        <f t="shared" si="64"/>
        <v>44.56</v>
      </c>
      <c r="L670" s="948">
        <f t="shared" si="65"/>
        <v>169.3</v>
      </c>
      <c r="M670" s="374">
        <f t="shared" si="66"/>
        <v>5634885.9700000118</v>
      </c>
      <c r="N670" s="375">
        <f>+M670/L$815</f>
        <v>0.99774125754070764</v>
      </c>
      <c r="O670" s="376" t="str">
        <f>IF(N670&lt;0.5,"A",IF(N670&gt;0.8,"C","B"))</f>
        <v>C</v>
      </c>
    </row>
    <row r="671" spans="1:15" x14ac:dyDescent="0.25">
      <c r="A671" s="232">
        <f t="shared" si="61"/>
        <v>671</v>
      </c>
      <c r="B671" s="232"/>
      <c r="C671" s="310" t="s">
        <v>12231</v>
      </c>
      <c r="D671" s="373" t="str">
        <f>IF($C671="","",IFERROR(VLOOKUP($C671,SERVIÇOS!$B:$G,2,0),IFERROR(VLOOKUP($C671,'COMPOSIÇÕES COMPLEMENTARES '!$D:$L,2,0),IFERROR(VLOOKUP($C671,INSUMOS!$A:$D,2,0),""))))</f>
        <v>TOMADA 32A/220V 3P+T - TAMPA AZUL (PADRÃO STECK DE SOBREPOR) EM CAIXA 4"X2"</v>
      </c>
      <c r="E671" s="312" t="str">
        <f>IF($C671="","",IFERROR(VLOOKUP($C671,SERVIÇOS!$B:$G,3,0),IFERROR(VLOOKUP($C671,'COMPOSIÇÕES COMPLEMENTARES '!$D:$L,3,0),IFERROR(VLOOKUP($C671,INSUMOS!$A:$D,3,0),""))))</f>
        <v>UN</v>
      </c>
      <c r="F671" s="313">
        <v>2</v>
      </c>
      <c r="G671" s="314">
        <f>IF($C671="","",IFERROR(VLOOKUP($C671,SERVIÇOS!$B:$G,4,0),IFERROR(VLOOKUP($C671,'COMPOSIÇÕES COMPLEMENTARES '!$D:$L,6,0),IFERROR(VLOOKUP($C671,INSUMOS!$A:$D,4,0),""))))</f>
        <v>62.37</v>
      </c>
      <c r="H671" s="314">
        <f>IF($C671="","",IFERROR(VLOOKUP($C671,SERVIÇOS!$B:$G,5,0),IFERROR(VLOOKUP($C671,'COMPOSIÇÕES COMPLEMENTARES '!$D:$L,7,0),0)))</f>
        <v>22.28</v>
      </c>
      <c r="I671" s="314">
        <f t="shared" si="62"/>
        <v>84.65</v>
      </c>
      <c r="J671" s="314">
        <f t="shared" si="63"/>
        <v>124.74</v>
      </c>
      <c r="K671" s="314">
        <f t="shared" si="64"/>
        <v>44.56</v>
      </c>
      <c r="L671" s="948">
        <f t="shared" si="65"/>
        <v>169.3</v>
      </c>
      <c r="M671" s="374">
        <f t="shared" si="66"/>
        <v>5635055.2700000117</v>
      </c>
      <c r="N671" s="375">
        <f>+M671/L$815</f>
        <v>0.99777123465041329</v>
      </c>
      <c r="O671" s="376" t="str">
        <f>IF(N671&lt;0.5,"A",IF(N671&gt;0.8,"C","B"))</f>
        <v>C</v>
      </c>
    </row>
    <row r="672" spans="1:15" x14ac:dyDescent="0.25">
      <c r="A672" s="232">
        <f t="shared" si="61"/>
        <v>672</v>
      </c>
      <c r="B672" s="232"/>
      <c r="C672" s="310" t="s">
        <v>11928</v>
      </c>
      <c r="D672" s="373" t="str">
        <f>IF($C672="","",IFERROR(VLOOKUP($C672,SERVIÇOS!$B:$G,2,0),IFERROR(VLOOKUP($C672,'COMPOSIÇÕES COMPLEMENTARES '!$D:$L,2,0),IFERROR(VLOOKUP($C672,INSUMOS!$A:$D,2,0),""))))</f>
        <v>CONTROLE TECNOLÓGICO DE CONCRETO C/ ROMPIMENTO DE CORPO-DE-PROVA À COMPRESSÃO</v>
      </c>
      <c r="E672" s="312" t="str">
        <f>IF($C672="","",IFERROR(VLOOKUP($C672,SERVIÇOS!$B:$G,3,0),IFERROR(VLOOKUP($C672,'COMPOSIÇÕES COMPLEMENTARES '!$D:$L,3,0),IFERROR(VLOOKUP($C672,INSUMOS!$A:$D,3,0),""))))</f>
        <v>UN</v>
      </c>
      <c r="F672" s="313">
        <v>12</v>
      </c>
      <c r="G672" s="314">
        <f>IF($C672="","",IFERROR(VLOOKUP($C672,SERVIÇOS!$B:$G,4,0),IFERROR(VLOOKUP($C672,'COMPOSIÇÕES COMPLEMENTARES '!$D:$L,6,0),IFERROR(VLOOKUP($C672,INSUMOS!$A:$D,4,0),""))))</f>
        <v>14</v>
      </c>
      <c r="H672" s="314">
        <f>IF($C672="","",IFERROR(VLOOKUP($C672,SERVIÇOS!$B:$G,5,0),IFERROR(VLOOKUP($C672,'COMPOSIÇÕES COMPLEMENTARES '!$D:$L,7,0),0)))</f>
        <v>0</v>
      </c>
      <c r="I672" s="314">
        <f t="shared" si="62"/>
        <v>14</v>
      </c>
      <c r="J672" s="314">
        <f t="shared" si="63"/>
        <v>168</v>
      </c>
      <c r="K672" s="314">
        <f t="shared" si="64"/>
        <v>0</v>
      </c>
      <c r="L672" s="948">
        <f t="shared" si="65"/>
        <v>168</v>
      </c>
      <c r="M672" s="374">
        <f t="shared" si="66"/>
        <v>5635223.2700000117</v>
      </c>
      <c r="N672" s="375">
        <f>+M672/L$815</f>
        <v>0.99780098157557895</v>
      </c>
      <c r="O672" s="376" t="str">
        <f>IF(N672&lt;0.5,"A",IF(N672&gt;0.8,"C","B"))</f>
        <v>C</v>
      </c>
    </row>
    <row r="673" spans="1:15" ht="38.25" x14ac:dyDescent="0.25">
      <c r="A673" s="232">
        <f t="shared" si="61"/>
        <v>673</v>
      </c>
      <c r="B673" s="232"/>
      <c r="C673" s="310">
        <v>102279</v>
      </c>
      <c r="D673" s="373" t="str">
        <f>IF($C673="","",IFERROR(VLOOKUP($C673,SERVIÇOS!$B:$G,2,0),IFERROR(VLOOKUP($C673,'COMPOSIÇÕES COMPLEMENTARES '!$D:$L,2,0),IFERROR(VLOOKUP($C673,INSUMOS!$A:$D,2,0),""))))</f>
        <v>ESCAVAÇÃO MECANIZADA DE VALA COM PROF. ATÉ 1,5 M (MÉDIA MONTANTE E JUSANTE/UMA COMPOSIÇÃO POR TRECHO), ESCAVADEIRA (0,8 M3),LARG. MENOR QUE 1,5 M, EM SOLO DE 1A CATEGORIA, LOCAIS COM BAIXO NÍVEL DE INTERFERÊNCIA. AF_09/2024</v>
      </c>
      <c r="E673" s="312" t="str">
        <f>IF($C673="","",IFERROR(VLOOKUP($C673,SERVIÇOS!$B:$G,3,0),IFERROR(VLOOKUP($C673,'COMPOSIÇÕES COMPLEMENTARES '!$D:$L,3,0),IFERROR(VLOOKUP($C673,INSUMOS!$A:$D,3,0),""))))</f>
        <v>M3</v>
      </c>
      <c r="F673" s="313">
        <v>22</v>
      </c>
      <c r="G673" s="314">
        <f>IF($C673="","",IFERROR(VLOOKUP($C673,SERVIÇOS!$B:$G,4,0),IFERROR(VLOOKUP($C673,'COMPOSIÇÕES COMPLEMENTARES '!$D:$L,6,0),IFERROR(VLOOKUP($C673,INSUMOS!$A:$D,4,0),""))))</f>
        <v>5.79</v>
      </c>
      <c r="H673" s="314">
        <f>IF($C673="","",IFERROR(VLOOKUP($C673,SERVIÇOS!$B:$G,5,0),IFERROR(VLOOKUP($C673,'COMPOSIÇÕES COMPLEMENTARES '!$D:$L,7,0),0)))</f>
        <v>1.76</v>
      </c>
      <c r="I673" s="314">
        <f t="shared" si="62"/>
        <v>7.55</v>
      </c>
      <c r="J673" s="314">
        <f t="shared" si="63"/>
        <v>127.38</v>
      </c>
      <c r="K673" s="314">
        <f t="shared" si="64"/>
        <v>38.72</v>
      </c>
      <c r="L673" s="948">
        <f t="shared" si="65"/>
        <v>166.1</v>
      </c>
      <c r="M673" s="374">
        <f t="shared" si="66"/>
        <v>5635389.3700000113</v>
      </c>
      <c r="N673" s="375">
        <f>+M673/L$815</f>
        <v>0.99783039207718616</v>
      </c>
      <c r="O673" s="376" t="str">
        <f>IF(N673&lt;0.5,"A",IF(N673&gt;0.8,"C","B"))</f>
        <v>C</v>
      </c>
    </row>
    <row r="674" spans="1:15" ht="22.5" x14ac:dyDescent="0.25">
      <c r="A674" s="232">
        <f t="shared" si="61"/>
        <v>674</v>
      </c>
      <c r="B674" s="232"/>
      <c r="C674" s="310">
        <v>102279</v>
      </c>
      <c r="D674" s="377" t="str">
        <f>IF($C674="","",IFERROR(VLOOKUP($C674,SERVIÇOS!$B:$G,2,0),IFERROR(VLOOKUP($C674,'COMPOSIÇÕES COMPLEMENTARES '!$D:$L,2,0),IFERROR(VLOOKUP($C674,INSUMOS!$A:$D,2,0),""))))</f>
        <v>ESCAVAÇÃO MECANIZADA DE VALA COM PROF. ATÉ 1,5 M (MÉDIA MONTANTE E JUSANTE/UMA COMPOSIÇÃO POR TRECHO), ESCAVADEIRA (0,8 M3),LARG. MENOR QUE 1,5 M, EM SOLO DE 1A CATEGORIA, LOCAIS COM BAIXO NÍVEL DE INTERFERÊNCIA. AF_09/2024</v>
      </c>
      <c r="E674" s="312" t="str">
        <f>IF($C674="","",IFERROR(VLOOKUP($C674,SERVIÇOS!$B:$G,3,0),IFERROR(VLOOKUP($C674,'COMPOSIÇÕES COMPLEMENTARES '!$D:$L,3,0),IFERROR(VLOOKUP($C674,INSUMOS!$A:$D,3,0),""))))</f>
        <v>M3</v>
      </c>
      <c r="F674" s="313">
        <v>22</v>
      </c>
      <c r="G674" s="314">
        <f>IF($C674="","",IFERROR(VLOOKUP($C674,SERVIÇOS!$B:$G,4,0),IFERROR(VLOOKUP($C674,'COMPOSIÇÕES COMPLEMENTARES '!$D:$L,6,0),IFERROR(VLOOKUP($C674,INSUMOS!$A:$D,4,0),""))))</f>
        <v>5.79</v>
      </c>
      <c r="H674" s="314">
        <f>IF($C674="","",IFERROR(VLOOKUP($C674,SERVIÇOS!$B:$G,5,0),IFERROR(VLOOKUP($C674,'COMPOSIÇÕES COMPLEMENTARES '!$D:$L,7,0),0)))</f>
        <v>1.76</v>
      </c>
      <c r="I674" s="314">
        <f t="shared" si="62"/>
        <v>7.55</v>
      </c>
      <c r="J674" s="314">
        <f t="shared" si="63"/>
        <v>127.38</v>
      </c>
      <c r="K674" s="314">
        <f t="shared" si="64"/>
        <v>38.72</v>
      </c>
      <c r="L674" s="948">
        <f t="shared" si="65"/>
        <v>166.1</v>
      </c>
      <c r="M674" s="374">
        <f t="shared" si="66"/>
        <v>5635555.4700000109</v>
      </c>
      <c r="N674" s="375">
        <f>+M674/L$815</f>
        <v>0.99785980257879336</v>
      </c>
      <c r="O674" s="376" t="str">
        <f>IF(N674&lt;0.5,"A",IF(N674&gt;0.8,"C","B"))</f>
        <v>C</v>
      </c>
    </row>
    <row r="675" spans="1:15" x14ac:dyDescent="0.25">
      <c r="A675" s="232">
        <f t="shared" si="61"/>
        <v>675</v>
      </c>
      <c r="B675" s="232"/>
      <c r="C675" s="310" t="s">
        <v>12220</v>
      </c>
      <c r="D675" s="373" t="str">
        <f>IF($C675="","",IFERROR(VLOOKUP($C675,SERVIÇOS!$B:$G,2,0),IFERROR(VLOOKUP($C675,'COMPOSIÇÕES COMPLEMENTARES '!$D:$L,2,0),IFERROR(VLOOKUP($C675,INSUMOS!$A:$D,2,0),""))))</f>
        <v>ELETRODUTO RÍGIDO ROSCÁVEL, PVC, DN 32 MM (1"), INCLUSO CONEXÕES - FORNECIMENTO E INSTALAÇÃO</v>
      </c>
      <c r="E675" s="312" t="str">
        <f>IF($C675="","",IFERROR(VLOOKUP($C675,SERVIÇOS!$B:$G,3,0),IFERROR(VLOOKUP($C675,'COMPOSIÇÕES COMPLEMENTARES '!$D:$L,3,0),IFERROR(VLOOKUP($C675,INSUMOS!$A:$D,3,0),""))))</f>
        <v>M</v>
      </c>
      <c r="F675" s="313">
        <v>5</v>
      </c>
      <c r="G675" s="314">
        <f>IF($C675="","",IFERROR(VLOOKUP($C675,SERVIÇOS!$B:$G,4,0),IFERROR(VLOOKUP($C675,'COMPOSIÇÕES COMPLEMENTARES '!$D:$L,6,0),IFERROR(VLOOKUP($C675,INSUMOS!$A:$D,4,0),""))))</f>
        <v>20.07</v>
      </c>
      <c r="H675" s="314">
        <f>IF($C675="","",IFERROR(VLOOKUP($C675,SERVIÇOS!$B:$G,5,0),IFERROR(VLOOKUP($C675,'COMPOSIÇÕES COMPLEMENTARES '!$D:$L,7,0),0)))</f>
        <v>12.07</v>
      </c>
      <c r="I675" s="314">
        <f t="shared" si="62"/>
        <v>32.14</v>
      </c>
      <c r="J675" s="314">
        <f t="shared" si="63"/>
        <v>100.35</v>
      </c>
      <c r="K675" s="314">
        <f t="shared" si="64"/>
        <v>60.35</v>
      </c>
      <c r="L675" s="948">
        <f t="shared" si="65"/>
        <v>160.69999999999999</v>
      </c>
      <c r="M675" s="374">
        <f t="shared" si="66"/>
        <v>5635716.1700000111</v>
      </c>
      <c r="N675" s="375">
        <f>+M675/L$815</f>
        <v>0.99788825692923466</v>
      </c>
      <c r="O675" s="376" t="str">
        <f>IF(N675&lt;0.5,"A",IF(N675&gt;0.8,"C","B"))</f>
        <v>C</v>
      </c>
    </row>
    <row r="676" spans="1:15" ht="25.5" x14ac:dyDescent="0.25">
      <c r="A676" s="232">
        <f t="shared" si="61"/>
        <v>676</v>
      </c>
      <c r="B676" s="232"/>
      <c r="C676" s="310" t="s">
        <v>12469</v>
      </c>
      <c r="D676" s="373" t="str">
        <f>IF($C676="","",IFERROR(VLOOKUP($C676,SERVIÇOS!$B:$G,2,0),IFERROR(VLOOKUP($C676,'COMPOSIÇÕES COMPLEMENTARES '!$D:$L,2,0),IFERROR(VLOOKUP($C676,INSUMOS!$A:$D,2,0),""))))</f>
        <v>DAMPER DE REGULAGEM DE VAZÃO 450x150MM. MARCA TROPICAL DRV-450x150 (OU EQUIVALENTE (OU SIMILAR - TROX, SEIMMEI, DIFUSAR)</v>
      </c>
      <c r="E676" s="312" t="str">
        <f>IF($C676="","",IFERROR(VLOOKUP($C676,SERVIÇOS!$B:$G,3,0),IFERROR(VLOOKUP($C676,'COMPOSIÇÕES COMPLEMENTARES '!$D:$L,3,0),IFERROR(VLOOKUP($C676,INSUMOS!$A:$D,3,0),""))))</f>
        <v>UN</v>
      </c>
      <c r="F676" s="313">
        <v>1</v>
      </c>
      <c r="G676" s="314">
        <f>IF($C676="","",IFERROR(VLOOKUP($C676,SERVIÇOS!$B:$G,4,0),IFERROR(VLOOKUP($C676,'COMPOSIÇÕES COMPLEMENTARES '!$D:$L,6,0),IFERROR(VLOOKUP($C676,INSUMOS!$A:$D,4,0),""))))</f>
        <v>148.71</v>
      </c>
      <c r="H676" s="314">
        <f>IF($C676="","",IFERROR(VLOOKUP($C676,SERVIÇOS!$B:$G,5,0),IFERROR(VLOOKUP($C676,'COMPOSIÇÕES COMPLEMENTARES '!$D:$L,7,0),0)))</f>
        <v>11.05</v>
      </c>
      <c r="I676" s="314">
        <f t="shared" si="62"/>
        <v>159.76000000000002</v>
      </c>
      <c r="J676" s="314">
        <f t="shared" si="63"/>
        <v>148.71</v>
      </c>
      <c r="K676" s="314">
        <f t="shared" si="64"/>
        <v>11.05</v>
      </c>
      <c r="L676" s="948">
        <f t="shared" si="65"/>
        <v>159.76</v>
      </c>
      <c r="M676" s="374">
        <f t="shared" si="66"/>
        <v>5635875.9300000109</v>
      </c>
      <c r="N676" s="375">
        <f>+M676/L$815</f>
        <v>0.99791654483854697</v>
      </c>
      <c r="O676" s="376" t="str">
        <f>IF(N676&lt;0.5,"A",IF(N676&gt;0.8,"C","B"))</f>
        <v>C</v>
      </c>
    </row>
    <row r="677" spans="1:15" x14ac:dyDescent="0.25">
      <c r="A677" s="232">
        <f t="shared" si="61"/>
        <v>677</v>
      </c>
      <c r="B677" s="232"/>
      <c r="C677" s="310">
        <v>95675</v>
      </c>
      <c r="D677" s="373" t="str">
        <f>IF($C677="","",IFERROR(VLOOKUP($C677,SERVIÇOS!$B:$G,2,0),IFERROR(VLOOKUP($C677,'COMPOSIÇÕES COMPLEMENTARES '!$D:$L,2,0),IFERROR(VLOOKUP($C677,INSUMOS!$A:$D,2,0),""))))</f>
        <v>HIDRÔMETRO DN 3/4", 5,0 M3/H - FORNECIMENTO E INSTALAÇÃO. AF_03/2024</v>
      </c>
      <c r="E677" s="312" t="str">
        <f>IF($C677="","",IFERROR(VLOOKUP($C677,SERVIÇOS!$B:$G,3,0),IFERROR(VLOOKUP($C677,'COMPOSIÇÕES COMPLEMENTARES '!$D:$L,3,0),IFERROR(VLOOKUP($C677,INSUMOS!$A:$D,3,0),""))))</f>
        <v>UN</v>
      </c>
      <c r="F677" s="313">
        <v>1</v>
      </c>
      <c r="G677" s="314">
        <f>IF($C677="","",IFERROR(VLOOKUP($C677,SERVIÇOS!$B:$G,4,0),IFERROR(VLOOKUP($C677,'COMPOSIÇÕES COMPLEMENTARES '!$D:$L,6,0),IFERROR(VLOOKUP($C677,INSUMOS!$A:$D,4,0),""))))</f>
        <v>133.68</v>
      </c>
      <c r="H677" s="314">
        <f>IF($C677="","",IFERROR(VLOOKUP($C677,SERVIÇOS!$B:$G,5,0),IFERROR(VLOOKUP($C677,'COMPOSIÇÕES COMPLEMENTARES '!$D:$L,7,0),0)))</f>
        <v>25.97</v>
      </c>
      <c r="I677" s="314">
        <f t="shared" si="62"/>
        <v>159.65</v>
      </c>
      <c r="J677" s="314">
        <f t="shared" si="63"/>
        <v>133.68</v>
      </c>
      <c r="K677" s="314">
        <f t="shared" si="64"/>
        <v>25.97</v>
      </c>
      <c r="L677" s="948">
        <f t="shared" si="65"/>
        <v>159.65</v>
      </c>
      <c r="M677" s="374">
        <f t="shared" si="66"/>
        <v>5636035.5800000113</v>
      </c>
      <c r="N677" s="375">
        <f>+M677/L$815</f>
        <v>0.99794481327070594</v>
      </c>
      <c r="O677" s="376" t="str">
        <f>IF(N677&lt;0.5,"A",IF(N677&gt;0.8,"C","B"))</f>
        <v>C</v>
      </c>
    </row>
    <row r="678" spans="1:15" ht="25.5" x14ac:dyDescent="0.25">
      <c r="A678" s="232">
        <f t="shared" si="61"/>
        <v>678</v>
      </c>
      <c r="B678" s="232"/>
      <c r="C678" s="310">
        <v>100978</v>
      </c>
      <c r="D678" s="373" t="str">
        <f>IF($C678="","",IFERROR(VLOOKUP($C678,SERVIÇOS!$B:$G,2,0),IFERROR(VLOOKUP($C678,'COMPOSIÇÕES COMPLEMENTARES '!$D:$L,2,0),IFERROR(VLOOKUP($C678,INSUMOS!$A:$D,2,0),""))))</f>
        <v>CARGA, MANOBRA E DESCARGA DE SOLOS E MATERIAIS GRANULARES EM CAMINHÃO BASCULANTE 10 M³ - CARGA COM ESCAVADEIRA HIDRÁULICA (CAÇAMBA DE 1,20 M³ / 155 HP) E DESCARGA LIVRE (UNIDADE: M3). AF_07/2020</v>
      </c>
      <c r="E678" s="312" t="str">
        <f>IF($C678="","",IFERROR(VLOOKUP($C678,SERVIÇOS!$B:$G,3,0),IFERROR(VLOOKUP($C678,'COMPOSIÇÕES COMPLEMENTARES '!$D:$L,3,0),IFERROR(VLOOKUP($C678,INSUMOS!$A:$D,3,0),""))))</f>
        <v>M3</v>
      </c>
      <c r="F678" s="313">
        <v>20.891500000000001</v>
      </c>
      <c r="G678" s="314">
        <f>IF($C678="","",IFERROR(VLOOKUP($C678,SERVIÇOS!$B:$G,4,0),IFERROR(VLOOKUP($C678,'COMPOSIÇÕES COMPLEMENTARES '!$D:$L,6,0),IFERROR(VLOOKUP($C678,INSUMOS!$A:$D,4,0),""))))</f>
        <v>6.4</v>
      </c>
      <c r="H678" s="314">
        <f>IF($C678="","",IFERROR(VLOOKUP($C678,SERVIÇOS!$B:$G,5,0),IFERROR(VLOOKUP($C678,'COMPOSIÇÕES COMPLEMENTARES '!$D:$L,7,0),0)))</f>
        <v>1.1399999999999999</v>
      </c>
      <c r="I678" s="314">
        <f t="shared" si="62"/>
        <v>7.54</v>
      </c>
      <c r="J678" s="314">
        <f t="shared" si="63"/>
        <v>133.69999999999999</v>
      </c>
      <c r="K678" s="314">
        <f t="shared" si="64"/>
        <v>23.81</v>
      </c>
      <c r="L678" s="948">
        <f t="shared" si="65"/>
        <v>157.51</v>
      </c>
      <c r="M678" s="374">
        <f t="shared" si="66"/>
        <v>5636193.090000011</v>
      </c>
      <c r="N678" s="375">
        <f>+M678/L$815</f>
        <v>0.99797270278369909</v>
      </c>
      <c r="O678" s="376" t="str">
        <f>IF(N678&lt;0.5,"A",IF(N678&gt;0.8,"C","B"))</f>
        <v>C</v>
      </c>
    </row>
    <row r="679" spans="1:15" x14ac:dyDescent="0.25">
      <c r="A679" s="232">
        <f t="shared" si="61"/>
        <v>679</v>
      </c>
      <c r="B679" s="232"/>
      <c r="C679" s="310" t="s">
        <v>12191</v>
      </c>
      <c r="D679" s="373" t="str">
        <f>IF($C679="","",IFERROR(VLOOKUP($C679,SERVIÇOS!$B:$G,2,0),IFERROR(VLOOKUP($C679,'COMPOSIÇÕES COMPLEMENTARES '!$D:$L,2,0),IFERROR(VLOOKUP($C679,INSUMOS!$A:$D,2,0),""))))</f>
        <v>ENVELOPAMENTO DE CONCRETO NO BANCO DE DUTOS</v>
      </c>
      <c r="E679" s="312" t="str">
        <f>IF($C679="","",IFERROR(VLOOKUP($C679,SERVIÇOS!$B:$G,3,0),IFERROR(VLOOKUP($C679,'COMPOSIÇÕES COMPLEMENTARES '!$D:$L,3,0),IFERROR(VLOOKUP($C679,INSUMOS!$A:$D,3,0),""))))</f>
        <v>M3</v>
      </c>
      <c r="F679" s="313">
        <v>0.36</v>
      </c>
      <c r="G679" s="314">
        <f>IF($C679="","",IFERROR(VLOOKUP($C679,SERVIÇOS!$B:$G,4,0),IFERROR(VLOOKUP($C679,'COMPOSIÇÕES COMPLEMENTARES '!$D:$L,6,0),IFERROR(VLOOKUP($C679,INSUMOS!$A:$D,4,0),""))))</f>
        <v>353.89</v>
      </c>
      <c r="H679" s="314">
        <f>IF($C679="","",IFERROR(VLOOKUP($C679,SERVIÇOS!$B:$G,5,0),IFERROR(VLOOKUP($C679,'COMPOSIÇÕES COMPLEMENTARES '!$D:$L,7,0),0)))</f>
        <v>82.48</v>
      </c>
      <c r="I679" s="314">
        <f t="shared" si="62"/>
        <v>436.37</v>
      </c>
      <c r="J679" s="314">
        <f t="shared" si="63"/>
        <v>127.4</v>
      </c>
      <c r="K679" s="314">
        <f t="shared" si="64"/>
        <v>29.69</v>
      </c>
      <c r="L679" s="948">
        <f t="shared" si="65"/>
        <v>157.09</v>
      </c>
      <c r="M679" s="374">
        <f t="shared" si="66"/>
        <v>5636350.1800000109</v>
      </c>
      <c r="N679" s="375">
        <f>+M679/L$815</f>
        <v>0.99800051792937927</v>
      </c>
      <c r="O679" s="376" t="str">
        <f>IF(N679&lt;0.5,"A",IF(N679&gt;0.8,"C","B"))</f>
        <v>C</v>
      </c>
    </row>
    <row r="680" spans="1:15" ht="25.5" x14ac:dyDescent="0.25">
      <c r="A680" s="232">
        <f t="shared" si="61"/>
        <v>680</v>
      </c>
      <c r="B680" s="232"/>
      <c r="C680" s="310">
        <v>90443</v>
      </c>
      <c r="D680" s="373" t="str">
        <f>IF($C680="","",IFERROR(VLOOKUP($C680,SERVIÇOS!$B:$G,2,0),IFERROR(VLOOKUP($C680,'COMPOSIÇÕES COMPLEMENTARES '!$D:$L,2,0),IFERROR(VLOOKUP($C680,INSUMOS!$A:$D,2,0),""))))</f>
        <v>RASGO LINEAR MANUAL EM ALVENARIA, PARA RAMAIS/ DISTRIBUIÇÃO DE INSTALAÇÕES HIDRÁULICAS, DIÂMETROS MENORES OU IGUAIS A 40 MM. AF_09/2023</v>
      </c>
      <c r="E680" s="312" t="str">
        <f>IF($C680="","",IFERROR(VLOOKUP($C680,SERVIÇOS!$B:$G,3,0),IFERROR(VLOOKUP($C680,'COMPOSIÇÕES COMPLEMENTARES '!$D:$L,3,0),IFERROR(VLOOKUP($C680,INSUMOS!$A:$D,3,0),""))))</f>
        <v>M</v>
      </c>
      <c r="F680" s="313">
        <v>15</v>
      </c>
      <c r="G680" s="314">
        <f>IF($C680="","",IFERROR(VLOOKUP($C680,SERVIÇOS!$B:$G,4,0),IFERROR(VLOOKUP($C680,'COMPOSIÇÕES COMPLEMENTARES '!$D:$L,6,0),IFERROR(VLOOKUP($C680,INSUMOS!$A:$D,4,0),""))))</f>
        <v>2.6</v>
      </c>
      <c r="H680" s="314">
        <f>IF($C680="","",IFERROR(VLOOKUP($C680,SERVIÇOS!$B:$G,5,0),IFERROR(VLOOKUP($C680,'COMPOSIÇÕES COMPLEMENTARES '!$D:$L,7,0),0)))</f>
        <v>7.85</v>
      </c>
      <c r="I680" s="314">
        <f t="shared" si="62"/>
        <v>10.45</v>
      </c>
      <c r="J680" s="314">
        <f t="shared" si="63"/>
        <v>39</v>
      </c>
      <c r="K680" s="314">
        <f t="shared" si="64"/>
        <v>117.75</v>
      </c>
      <c r="L680" s="948">
        <f t="shared" si="65"/>
        <v>156.75</v>
      </c>
      <c r="M680" s="374">
        <f t="shared" si="66"/>
        <v>5636506.9300000109</v>
      </c>
      <c r="N680" s="375">
        <f>+M680/L$815</f>
        <v>0.99802827287294904</v>
      </c>
      <c r="O680" s="376" t="str">
        <f>IF(N680&lt;0.5,"A",IF(N680&gt;0.8,"C","B"))</f>
        <v>C</v>
      </c>
    </row>
    <row r="681" spans="1:15" ht="38.25" x14ac:dyDescent="0.25">
      <c r="A681" s="232">
        <f t="shared" si="61"/>
        <v>681</v>
      </c>
      <c r="B681" s="232"/>
      <c r="C681" s="310" t="s">
        <v>12397</v>
      </c>
      <c r="D681" s="373" t="str">
        <f>IF($C681="","",IFERROR(VLOOKUP($C681,SERVIÇOS!$B:$G,2,0),IFERROR(VLOOKUP($C681,'COMPOSIÇÕES COMPLEMENTARES '!$D:$L,2,0),IFERROR(VLOOKUP($C681,INSUMOS!$A:$D,2,0),""))))</f>
        <v>VÁLVULA DE ESFERA Ø3/8" PARA TUBULAÇÃO DE COBRE EM REDES FRIGORÍGENAS COM CORPO E ACENTO DE ESTRUTURA SOLDADA, TEMPERATURA DE TRABALHO DE -40°C A +120°C, PRESSÃO MÁXIMA 45 BAR. REFERÊNCIA: SANHUA SBV03-019, DANFOSS GBC OU EQUIVALENTE</v>
      </c>
      <c r="E681" s="312" t="str">
        <f>IF($C681="","",IFERROR(VLOOKUP($C681,SERVIÇOS!$B:$G,3,0),IFERROR(VLOOKUP($C681,'COMPOSIÇÕES COMPLEMENTARES '!$D:$L,3,0),IFERROR(VLOOKUP($C681,INSUMOS!$A:$D,3,0),""))))</f>
        <v>UN</v>
      </c>
      <c r="F681" s="313">
        <v>1</v>
      </c>
      <c r="G681" s="314">
        <f>IF($C681="","",IFERROR(VLOOKUP($C681,SERVIÇOS!$B:$G,4,0),IFERROR(VLOOKUP($C681,'COMPOSIÇÕES COMPLEMENTARES '!$D:$L,6,0),IFERROR(VLOOKUP($C681,INSUMOS!$A:$D,4,0),""))))</f>
        <v>147.16999999999999</v>
      </c>
      <c r="H681" s="314">
        <f>IF($C681="","",IFERROR(VLOOKUP($C681,SERVIÇOS!$B:$G,5,0),IFERROR(VLOOKUP($C681,'COMPOSIÇÕES COMPLEMENTARES '!$D:$L,7,0),0)))</f>
        <v>8.74</v>
      </c>
      <c r="I681" s="314">
        <f t="shared" si="62"/>
        <v>155.91</v>
      </c>
      <c r="J681" s="314">
        <f t="shared" si="63"/>
        <v>147.16999999999999</v>
      </c>
      <c r="K681" s="314">
        <f t="shared" si="64"/>
        <v>8.74</v>
      </c>
      <c r="L681" s="948">
        <f t="shared" si="65"/>
        <v>155.91</v>
      </c>
      <c r="M681" s="374">
        <f t="shared" si="66"/>
        <v>5636662.840000011</v>
      </c>
      <c r="N681" s="375">
        <f>+M681/L$815</f>
        <v>0.99805587908189297</v>
      </c>
      <c r="O681" s="376" t="str">
        <f>IF(N681&lt;0.5,"A",IF(N681&gt;0.8,"C","B"))</f>
        <v>C</v>
      </c>
    </row>
    <row r="682" spans="1:15" ht="25.5" x14ac:dyDescent="0.25">
      <c r="A682" s="232">
        <f t="shared" si="61"/>
        <v>682</v>
      </c>
      <c r="B682" s="232"/>
      <c r="C682" s="310">
        <v>87882</v>
      </c>
      <c r="D682" s="373" t="str">
        <f>IF($C682="","",IFERROR(VLOOKUP($C682,SERVIÇOS!$B:$G,2,0),IFERROR(VLOOKUP($C682,'COMPOSIÇÕES COMPLEMENTARES '!$D:$L,2,0),IFERROR(VLOOKUP($C682,INSUMOS!$A:$D,2,0),""))))</f>
        <v>CHAPISCO APLICADO NO TETO OU EM ALVENARIA E ESTRUTURA, COM ROLO PARA TEXTURA ACRÍLICA. ARGAMASSA TRAÇO 1:4 E EMULSÃO POLIMÉRICA (ADESIVO) COM PREPARO EM BETONEIRA 400L. AF_10/2022</v>
      </c>
      <c r="E682" s="312" t="str">
        <f>IF($C682="","",IFERROR(VLOOKUP($C682,SERVIÇOS!$B:$G,3,0),IFERROR(VLOOKUP($C682,'COMPOSIÇÕES COMPLEMENTARES '!$D:$L,3,0),IFERROR(VLOOKUP($C682,INSUMOS!$A:$D,3,0),""))))</f>
        <v>M2</v>
      </c>
      <c r="F682" s="313">
        <v>22.73</v>
      </c>
      <c r="G682" s="314">
        <f>IF($C682="","",IFERROR(VLOOKUP($C682,SERVIÇOS!$B:$G,4,0),IFERROR(VLOOKUP($C682,'COMPOSIÇÕES COMPLEMENTARES '!$D:$L,6,0),IFERROR(VLOOKUP($C682,INSUMOS!$A:$D,4,0),""))))</f>
        <v>5.23</v>
      </c>
      <c r="H682" s="314">
        <f>IF($C682="","",IFERROR(VLOOKUP($C682,SERVIÇOS!$B:$G,5,0),IFERROR(VLOOKUP($C682,'COMPOSIÇÕES COMPLEMENTARES '!$D:$L,7,0),0)))</f>
        <v>1.52</v>
      </c>
      <c r="I682" s="314">
        <f t="shared" si="62"/>
        <v>6.75</v>
      </c>
      <c r="J682" s="314">
        <f t="shared" si="63"/>
        <v>118.87</v>
      </c>
      <c r="K682" s="314">
        <f t="shared" si="64"/>
        <v>34.54</v>
      </c>
      <c r="L682" s="948">
        <f t="shared" si="65"/>
        <v>153.41</v>
      </c>
      <c r="M682" s="374">
        <f t="shared" si="66"/>
        <v>5636816.2500000112</v>
      </c>
      <c r="N682" s="375">
        <f>+M682/L$815</f>
        <v>0.99808304262826009</v>
      </c>
      <c r="O682" s="376" t="str">
        <f>IF(N682&lt;0.5,"A",IF(N682&gt;0.8,"C","B"))</f>
        <v>C</v>
      </c>
    </row>
    <row r="683" spans="1:15" ht="25.5" x14ac:dyDescent="0.25">
      <c r="A683" s="232">
        <f t="shared" si="61"/>
        <v>683</v>
      </c>
      <c r="B683" s="232"/>
      <c r="C683" s="310" t="s">
        <v>12175</v>
      </c>
      <c r="D683" s="373" t="str">
        <f>IF($C683="","",IFERROR(VLOOKUP($C683,SERVIÇOS!$B:$G,2,0),IFERROR(VLOOKUP($C683,'COMPOSIÇÕES COMPLEMENTARES '!$D:$L,2,0),IFERROR(VLOOKUP($C683,INSUMOS!$A:$D,2,0),""))))</f>
        <v>PLACA DE SINALIZAÇÃO INDICAÇÃO DOS SISTEMAS DE PROTEÇÃO CONTRA INCÊNDIO EXISTENTES NA EDIFICAÇÃO (SIMBOLOS, CORES E PICTOGRAMAS CONFORME NBR 13434), TIPO M1</v>
      </c>
      <c r="E683" s="312" t="str">
        <f>IF($C683="","",IFERROR(VLOOKUP($C683,SERVIÇOS!$B:$G,3,0),IFERROR(VLOOKUP($C683,'COMPOSIÇÕES COMPLEMENTARES '!$D:$L,3,0),IFERROR(VLOOKUP($C683,INSUMOS!$A:$D,3,0),""))))</f>
        <v>UN</v>
      </c>
      <c r="F683" s="313">
        <v>1</v>
      </c>
      <c r="G683" s="314">
        <f>IF($C683="","",IFERROR(VLOOKUP($C683,SERVIÇOS!$B:$G,4,0),IFERROR(VLOOKUP($C683,'COMPOSIÇÕES COMPLEMENTARES '!$D:$L,6,0),IFERROR(VLOOKUP($C683,INSUMOS!$A:$D,4,0),""))))</f>
        <v>147.46</v>
      </c>
      <c r="H683" s="314">
        <f>IF($C683="","",IFERROR(VLOOKUP($C683,SERVIÇOS!$B:$G,5,0),IFERROR(VLOOKUP($C683,'COMPOSIÇÕES COMPLEMENTARES '!$D:$L,7,0),0)))</f>
        <v>3.9</v>
      </c>
      <c r="I683" s="314">
        <f t="shared" si="62"/>
        <v>151.36000000000001</v>
      </c>
      <c r="J683" s="314">
        <f t="shared" si="63"/>
        <v>147.46</v>
      </c>
      <c r="K683" s="314">
        <f t="shared" si="64"/>
        <v>3.9</v>
      </c>
      <c r="L683" s="948">
        <f t="shared" si="65"/>
        <v>151.36000000000001</v>
      </c>
      <c r="M683" s="374">
        <f t="shared" si="66"/>
        <v>5636967.6100000115</v>
      </c>
      <c r="N683" s="375">
        <f>+M683/L$815</f>
        <v>0.99810984319131424</v>
      </c>
      <c r="O683" s="376" t="str">
        <f>IF(N683&lt;0.5,"A",IF(N683&gt;0.8,"C","B"))</f>
        <v>C</v>
      </c>
    </row>
    <row r="684" spans="1:15" x14ac:dyDescent="0.25">
      <c r="A684" s="232">
        <f t="shared" si="61"/>
        <v>684</v>
      </c>
      <c r="B684" s="232"/>
      <c r="C684" s="310">
        <v>91967</v>
      </c>
      <c r="D684" s="373" t="str">
        <f>IF($C684="","",IFERROR(VLOOKUP($C684,SERVIÇOS!$B:$G,2,0),IFERROR(VLOOKUP($C684,'COMPOSIÇÕES COMPLEMENTARES '!$D:$L,2,0),IFERROR(VLOOKUP($C684,INSUMOS!$A:$D,2,0),""))))</f>
        <v>INTERRUPTOR SIMPLES (3 MÓDULOS), 10A/250V, INCLUINDO SUPORTE E PLACA - FORNECIMENTO E INSTALAÇÃO. AF_03/2023</v>
      </c>
      <c r="E684" s="312" t="str">
        <f>IF($C684="","",IFERROR(VLOOKUP($C684,SERVIÇOS!$B:$G,3,0),IFERROR(VLOOKUP($C684,'COMPOSIÇÕES COMPLEMENTARES '!$D:$L,3,0),IFERROR(VLOOKUP($C684,INSUMOS!$A:$D,3,0),""))))</f>
        <v>UN</v>
      </c>
      <c r="F684" s="313">
        <v>2</v>
      </c>
      <c r="G684" s="314">
        <f>IF($C684="","",IFERROR(VLOOKUP($C684,SERVIÇOS!$B:$G,4,0),IFERROR(VLOOKUP($C684,'COMPOSIÇÕES COMPLEMENTARES '!$D:$L,6,0),IFERROR(VLOOKUP($C684,INSUMOS!$A:$D,4,0),""))))</f>
        <v>40.75</v>
      </c>
      <c r="H684" s="314">
        <f>IF($C684="","",IFERROR(VLOOKUP($C684,SERVIÇOS!$B:$G,5,0),IFERROR(VLOOKUP($C684,'COMPOSIÇÕES COMPLEMENTARES '!$D:$L,7,0),0)))</f>
        <v>34.67</v>
      </c>
      <c r="I684" s="314">
        <f t="shared" si="62"/>
        <v>75.42</v>
      </c>
      <c r="J684" s="314">
        <f t="shared" si="63"/>
        <v>81.5</v>
      </c>
      <c r="K684" s="314">
        <f t="shared" si="64"/>
        <v>69.34</v>
      </c>
      <c r="L684" s="948">
        <f t="shared" si="65"/>
        <v>150.84</v>
      </c>
      <c r="M684" s="374">
        <f t="shared" si="66"/>
        <v>5637118.4500000114</v>
      </c>
      <c r="N684" s="375">
        <f>+M684/L$815</f>
        <v>0.99813655168055226</v>
      </c>
      <c r="O684" s="376" t="str">
        <f>IF(N684&lt;0.5,"A",IF(N684&gt;0.8,"C","B"))</f>
        <v>C</v>
      </c>
    </row>
    <row r="685" spans="1:15" x14ac:dyDescent="0.25">
      <c r="A685" s="232">
        <f t="shared" si="61"/>
        <v>685</v>
      </c>
      <c r="B685" s="232"/>
      <c r="C685" s="310">
        <v>99630</v>
      </c>
      <c r="D685" s="373" t="str">
        <f>IF($C685="","",IFERROR(VLOOKUP($C685,SERVIÇOS!$B:$G,2,0),IFERROR(VLOOKUP($C685,'COMPOSIÇÕES COMPLEMENTARES '!$D:$L,2,0),IFERROR(VLOOKUP($C685,INSUMOS!$A:$D,2,0),""))))</f>
        <v>VÁLVULA DE RETENÇÃO VERTICAL, DE BRONZE, ROSCÁVEL, 1 1/4" - FORNECIMENTO E INSTALAÇÃO. AF_08/2021</v>
      </c>
      <c r="E685" s="312" t="str">
        <f>IF($C685="","",IFERROR(VLOOKUP($C685,SERVIÇOS!$B:$G,3,0),IFERROR(VLOOKUP($C685,'COMPOSIÇÕES COMPLEMENTARES '!$D:$L,3,0),IFERROR(VLOOKUP($C685,INSUMOS!$A:$D,3,0),""))))</f>
        <v>UN</v>
      </c>
      <c r="F685" s="313">
        <v>1</v>
      </c>
      <c r="G685" s="314">
        <f>IF($C685="","",IFERROR(VLOOKUP($C685,SERVIÇOS!$B:$G,4,0),IFERROR(VLOOKUP($C685,'COMPOSIÇÕES COMPLEMENTARES '!$D:$L,6,0),IFERROR(VLOOKUP($C685,INSUMOS!$A:$D,4,0),""))))</f>
        <v>140.66</v>
      </c>
      <c r="H685" s="314">
        <f>IF($C685="","",IFERROR(VLOOKUP($C685,SERVIÇOS!$B:$G,5,0),IFERROR(VLOOKUP($C685,'COMPOSIÇÕES COMPLEMENTARES '!$D:$L,7,0),0)))</f>
        <v>9.82</v>
      </c>
      <c r="I685" s="314">
        <f t="shared" si="62"/>
        <v>150.47999999999999</v>
      </c>
      <c r="J685" s="314">
        <f t="shared" si="63"/>
        <v>140.66</v>
      </c>
      <c r="K685" s="314">
        <f t="shared" si="64"/>
        <v>9.82</v>
      </c>
      <c r="L685" s="948">
        <f t="shared" si="65"/>
        <v>150.47999999999999</v>
      </c>
      <c r="M685" s="374">
        <f t="shared" si="66"/>
        <v>5637268.9300000118</v>
      </c>
      <c r="N685" s="375">
        <f>+M685/L$815</f>
        <v>0.9981631964263793</v>
      </c>
      <c r="O685" s="376" t="str">
        <f>IF(N685&lt;0.5,"A",IF(N685&gt;0.8,"C","B"))</f>
        <v>C</v>
      </c>
    </row>
    <row r="686" spans="1:15" x14ac:dyDescent="0.25">
      <c r="A686" s="232">
        <f t="shared" si="61"/>
        <v>686</v>
      </c>
      <c r="B686" s="232"/>
      <c r="C686" s="310">
        <v>96619</v>
      </c>
      <c r="D686" s="373" t="str">
        <f>IF($C686="","",IFERROR(VLOOKUP($C686,SERVIÇOS!$B:$G,2,0),IFERROR(VLOOKUP($C686,'COMPOSIÇÕES COMPLEMENTARES '!$D:$L,2,0),IFERROR(VLOOKUP($C686,INSUMOS!$A:$D,2,0),""))))</f>
        <v>LASTRO DE CONCRETO MAGRO, APLICADO EM BLOCOS DE COROAMENTO OU SAPATAS, ESPESSURA DE 5 CM. AF_01/2024</v>
      </c>
      <c r="E686" s="312" t="str">
        <f>IF($C686="","",IFERROR(VLOOKUP($C686,SERVIÇOS!$B:$G,3,0),IFERROR(VLOOKUP($C686,'COMPOSIÇÕES COMPLEMENTARES '!$D:$L,3,0),IFERROR(VLOOKUP($C686,INSUMOS!$A:$D,3,0),""))))</f>
        <v>M2</v>
      </c>
      <c r="F686" s="313">
        <v>3.49</v>
      </c>
      <c r="G686" s="314">
        <f>IF($C686="","",IFERROR(VLOOKUP($C686,SERVIÇOS!$B:$G,4,0),IFERROR(VLOOKUP($C686,'COMPOSIÇÕES COMPLEMENTARES '!$D:$L,6,0),IFERROR(VLOOKUP($C686,INSUMOS!$A:$D,4,0),""))))</f>
        <v>26.06</v>
      </c>
      <c r="H686" s="314">
        <f>IF($C686="","",IFERROR(VLOOKUP($C686,SERVIÇOS!$B:$G,5,0),IFERROR(VLOOKUP($C686,'COMPOSIÇÕES COMPLEMENTARES '!$D:$L,7,0),0)))</f>
        <v>16.87</v>
      </c>
      <c r="I686" s="314">
        <f t="shared" si="62"/>
        <v>42.93</v>
      </c>
      <c r="J686" s="314">
        <f t="shared" si="63"/>
        <v>90.94</v>
      </c>
      <c r="K686" s="314">
        <f t="shared" si="64"/>
        <v>58.87</v>
      </c>
      <c r="L686" s="948">
        <f t="shared" si="65"/>
        <v>149.81</v>
      </c>
      <c r="M686" s="374">
        <f t="shared" si="66"/>
        <v>5637418.7400000114</v>
      </c>
      <c r="N686" s="375">
        <f>+M686/L$815</f>
        <v>0.99818972253863569</v>
      </c>
      <c r="O686" s="376" t="str">
        <f>IF(N686&lt;0.5,"A",IF(N686&gt;0.8,"C","B"))</f>
        <v>C</v>
      </c>
    </row>
    <row r="687" spans="1:15" x14ac:dyDescent="0.25">
      <c r="A687" s="232">
        <f t="shared" si="61"/>
        <v>687</v>
      </c>
      <c r="B687" s="232"/>
      <c r="C687" s="310" t="s">
        <v>12212</v>
      </c>
      <c r="D687" s="373" t="str">
        <f>IF($C687="","",IFERROR(VLOOKUP($C687,SERVIÇOS!$B:$G,2,0),IFERROR(VLOOKUP($C687,'COMPOSIÇÕES COMPLEMENTARES '!$D:$L,2,0),IFERROR(VLOOKUP($C687,INSUMOS!$A:$D,2,0),""))))</f>
        <v>PONTO ELÉTRICO COM PLACA DE SAÍDA DE FIO - EM CX. 4"X2"</v>
      </c>
      <c r="E687" s="312" t="str">
        <f>IF($C687="","",IFERROR(VLOOKUP($C687,SERVIÇOS!$B:$G,3,0),IFERROR(VLOOKUP($C687,'COMPOSIÇÕES COMPLEMENTARES '!$D:$L,3,0),IFERROR(VLOOKUP($C687,INSUMOS!$A:$D,3,0),""))))</f>
        <v>UN</v>
      </c>
      <c r="F687" s="313">
        <v>9</v>
      </c>
      <c r="G687" s="314">
        <f>IF($C687="","",IFERROR(VLOOKUP($C687,SERVIÇOS!$B:$G,4,0),IFERROR(VLOOKUP($C687,'COMPOSIÇÕES COMPLEMENTARES '!$D:$L,6,0),IFERROR(VLOOKUP($C687,INSUMOS!$A:$D,4,0),""))))</f>
        <v>11.28</v>
      </c>
      <c r="H687" s="314">
        <f>IF($C687="","",IFERROR(VLOOKUP($C687,SERVIÇOS!$B:$G,5,0),IFERROR(VLOOKUP($C687,'COMPOSIÇÕES COMPLEMENTARES '!$D:$L,7,0),0)))</f>
        <v>5.29</v>
      </c>
      <c r="I687" s="314">
        <f t="shared" si="62"/>
        <v>16.57</v>
      </c>
      <c r="J687" s="314">
        <f t="shared" si="63"/>
        <v>101.52</v>
      </c>
      <c r="K687" s="314">
        <f t="shared" si="64"/>
        <v>47.61</v>
      </c>
      <c r="L687" s="948">
        <f t="shared" si="65"/>
        <v>149.13</v>
      </c>
      <c r="M687" s="374">
        <f t="shared" si="66"/>
        <v>5637567.8700000113</v>
      </c>
      <c r="N687" s="375">
        <f>+M687/L$815</f>
        <v>0.99821612824667116</v>
      </c>
      <c r="O687" s="376" t="str">
        <f>IF(N687&lt;0.5,"A",IF(N687&gt;0.8,"C","B"))</f>
        <v>C</v>
      </c>
    </row>
    <row r="688" spans="1:15" ht="25.5" x14ac:dyDescent="0.25">
      <c r="A688" s="232">
        <f t="shared" si="61"/>
        <v>688</v>
      </c>
      <c r="B688" s="232"/>
      <c r="C688" s="310" t="s">
        <v>12460</v>
      </c>
      <c r="D688" s="373" t="str">
        <f>IF($C688="","",IFERROR(VLOOKUP($C688,SERVIÇOS!$B:$G,2,0),IFERROR(VLOOKUP($C688,'COMPOSIÇÕES COMPLEMENTARES '!$D:$L,2,0),IFERROR(VLOOKUP($C688,INSUMOS!$A:$D,2,0),""))))</f>
        <v>DAMPER DE REGULAGEM DE VAZÃO 250x250MM. MARCA TROPICAL DRV-250x250 (OU EQUIVALENTE (OU SIMILAR - TROX, SEIMMEI, DIFUSAR) -  FORNECIMENTO E INSTALAÇÃO</v>
      </c>
      <c r="E688" s="312" t="str">
        <f>IF($C688="","",IFERROR(VLOOKUP($C688,SERVIÇOS!$B:$G,3,0),IFERROR(VLOOKUP($C688,'COMPOSIÇÕES COMPLEMENTARES '!$D:$L,3,0),IFERROR(VLOOKUP($C688,INSUMOS!$A:$D,3,0),""))))</f>
        <v>UN</v>
      </c>
      <c r="F688" s="313">
        <v>1</v>
      </c>
      <c r="G688" s="314">
        <f>IF($C688="","",IFERROR(VLOOKUP($C688,SERVIÇOS!$B:$G,4,0),IFERROR(VLOOKUP($C688,'COMPOSIÇÕES COMPLEMENTARES '!$D:$L,6,0),IFERROR(VLOOKUP($C688,INSUMOS!$A:$D,4,0),""))))</f>
        <v>138</v>
      </c>
      <c r="H688" s="314">
        <f>IF($C688="","",IFERROR(VLOOKUP($C688,SERVIÇOS!$B:$G,5,0),IFERROR(VLOOKUP($C688,'COMPOSIÇÕES COMPLEMENTARES '!$D:$L,7,0),0)))</f>
        <v>11.05</v>
      </c>
      <c r="I688" s="314">
        <f t="shared" si="62"/>
        <v>149.05000000000001</v>
      </c>
      <c r="J688" s="314">
        <f t="shared" si="63"/>
        <v>138</v>
      </c>
      <c r="K688" s="314">
        <f t="shared" si="64"/>
        <v>11.05</v>
      </c>
      <c r="L688" s="948">
        <f t="shared" si="65"/>
        <v>149.05000000000001</v>
      </c>
      <c r="M688" s="374">
        <f t="shared" si="66"/>
        <v>5637716.9200000111</v>
      </c>
      <c r="N688" s="375">
        <f>+M688/L$815</f>
        <v>0.99824251978950407</v>
      </c>
      <c r="O688" s="376" t="str">
        <f>IF(N688&lt;0.5,"A",IF(N688&gt;0.8,"C","B"))</f>
        <v>C</v>
      </c>
    </row>
    <row r="689" spans="1:15" x14ac:dyDescent="0.25">
      <c r="A689" s="232">
        <f t="shared" si="61"/>
        <v>689</v>
      </c>
      <c r="B689" s="232"/>
      <c r="C689" s="310" t="s">
        <v>12184</v>
      </c>
      <c r="D689" s="373" t="str">
        <f>IF($C689="","",IFERROR(VLOOKUP($C689,SERVIÇOS!$B:$G,2,0),IFERROR(VLOOKUP($C689,'COMPOSIÇÕES COMPLEMENTARES '!$D:$L,2,0),IFERROR(VLOOKUP($C689,INSUMOS!$A:$D,2,0),""))))</f>
        <v>DISJUNTOR TIPO DIN/IEC, TRIPOLAR 63 A</v>
      </c>
      <c r="E689" s="312" t="str">
        <f>IF($C689="","",IFERROR(VLOOKUP($C689,SERVIÇOS!$B:$G,3,0),IFERROR(VLOOKUP($C689,'COMPOSIÇÕES COMPLEMENTARES '!$D:$L,3,0),IFERROR(VLOOKUP($C689,INSUMOS!$A:$D,3,0),""))))</f>
        <v>UN</v>
      </c>
      <c r="F689" s="313">
        <v>1</v>
      </c>
      <c r="G689" s="314">
        <f>IF($C689="","",IFERROR(VLOOKUP($C689,SERVIÇOS!$B:$G,4,0),IFERROR(VLOOKUP($C689,'COMPOSIÇÕES COMPLEMENTARES '!$D:$L,6,0),IFERROR(VLOOKUP($C689,INSUMOS!$A:$D,4,0),""))))</f>
        <v>99.2</v>
      </c>
      <c r="H689" s="314">
        <f>IF($C689="","",IFERROR(VLOOKUP($C689,SERVIÇOS!$B:$G,5,0),IFERROR(VLOOKUP($C689,'COMPOSIÇÕES COMPLEMENTARES '!$D:$L,7,0),0)))</f>
        <v>49.54</v>
      </c>
      <c r="I689" s="314">
        <f t="shared" si="62"/>
        <v>148.74</v>
      </c>
      <c r="J689" s="314">
        <f t="shared" si="63"/>
        <v>99.2</v>
      </c>
      <c r="K689" s="314">
        <f t="shared" si="64"/>
        <v>49.54</v>
      </c>
      <c r="L689" s="948">
        <f t="shared" si="65"/>
        <v>148.74</v>
      </c>
      <c r="M689" s="374">
        <f t="shared" si="66"/>
        <v>5637865.6600000113</v>
      </c>
      <c r="N689" s="375">
        <f>+M689/L$815</f>
        <v>0.99826885644217767</v>
      </c>
      <c r="O689" s="376" t="str">
        <f>IF(N689&lt;0.5,"A",IF(N689&gt;0.8,"C","B"))</f>
        <v>C</v>
      </c>
    </row>
    <row r="690" spans="1:15" x14ac:dyDescent="0.25">
      <c r="A690" s="232">
        <f t="shared" si="61"/>
        <v>690</v>
      </c>
      <c r="B690" s="232"/>
      <c r="C690" s="310" t="s">
        <v>12184</v>
      </c>
      <c r="D690" s="373" t="str">
        <f>IF($C690="","",IFERROR(VLOOKUP($C690,SERVIÇOS!$B:$G,2,0),IFERROR(VLOOKUP($C690,'COMPOSIÇÕES COMPLEMENTARES '!$D:$L,2,0),IFERROR(VLOOKUP($C690,INSUMOS!$A:$D,2,0),""))))</f>
        <v>DISJUNTOR TIPO DIN/IEC, TRIPOLAR 63 A</v>
      </c>
      <c r="E690" s="312" t="str">
        <f>IF($C690="","",IFERROR(VLOOKUP($C690,SERVIÇOS!$B:$G,3,0),IFERROR(VLOOKUP($C690,'COMPOSIÇÕES COMPLEMENTARES '!$D:$L,3,0),IFERROR(VLOOKUP($C690,INSUMOS!$A:$D,3,0),""))))</f>
        <v>UN</v>
      </c>
      <c r="F690" s="313">
        <v>1</v>
      </c>
      <c r="G690" s="314">
        <f>IF($C690="","",IFERROR(VLOOKUP($C690,SERVIÇOS!$B:$G,4,0),IFERROR(VLOOKUP($C690,'COMPOSIÇÕES COMPLEMENTARES '!$D:$L,6,0),IFERROR(VLOOKUP($C690,INSUMOS!$A:$D,4,0),""))))</f>
        <v>99.2</v>
      </c>
      <c r="H690" s="314">
        <f>IF($C690="","",IFERROR(VLOOKUP($C690,SERVIÇOS!$B:$G,5,0),IFERROR(VLOOKUP($C690,'COMPOSIÇÕES COMPLEMENTARES '!$D:$L,7,0),0)))</f>
        <v>49.54</v>
      </c>
      <c r="I690" s="314">
        <f t="shared" si="62"/>
        <v>148.74</v>
      </c>
      <c r="J690" s="314">
        <f t="shared" si="63"/>
        <v>99.2</v>
      </c>
      <c r="K690" s="314">
        <f t="shared" si="64"/>
        <v>49.54</v>
      </c>
      <c r="L690" s="948">
        <f t="shared" si="65"/>
        <v>148.74</v>
      </c>
      <c r="M690" s="374">
        <f t="shared" si="66"/>
        <v>5638014.4000000115</v>
      </c>
      <c r="N690" s="375">
        <f>+M690/L$815</f>
        <v>0.99829519309485115</v>
      </c>
      <c r="O690" s="376" t="str">
        <f>IF(N690&lt;0.5,"A",IF(N690&gt;0.8,"C","B"))</f>
        <v>C</v>
      </c>
    </row>
    <row r="691" spans="1:15" x14ac:dyDescent="0.25">
      <c r="A691" s="232">
        <f t="shared" si="61"/>
        <v>691</v>
      </c>
      <c r="B691" s="232"/>
      <c r="C691" s="310" t="s">
        <v>12271</v>
      </c>
      <c r="D691" s="373" t="str">
        <f>IF($C691="","",IFERROR(VLOOKUP($C691,SERVIÇOS!$B:$G,2,0),IFERROR(VLOOKUP($C691,'COMPOSIÇÕES COMPLEMENTARES '!$D:$L,2,0),IFERROR(VLOOKUP($C691,INSUMOS!$A:$D,2,0),""))))</f>
        <v>CABO FLEXÍVEL ISOL. 750V  -  #4,0MM² - AFUMEX</v>
      </c>
      <c r="E691" s="312" t="str">
        <f>IF($C691="","",IFERROR(VLOOKUP($C691,SERVIÇOS!$B:$G,3,0),IFERROR(VLOOKUP($C691,'COMPOSIÇÕES COMPLEMENTARES '!$D:$L,3,0),IFERROR(VLOOKUP($C691,INSUMOS!$A:$D,3,0),""))))</f>
        <v>M</v>
      </c>
      <c r="F691" s="313">
        <v>20</v>
      </c>
      <c r="G691" s="314">
        <f>IF($C691="","",IFERROR(VLOOKUP($C691,SERVIÇOS!$B:$G,4,0),IFERROR(VLOOKUP($C691,'COMPOSIÇÕES COMPLEMENTARES '!$D:$L,6,0),IFERROR(VLOOKUP($C691,INSUMOS!$A:$D,4,0),""))))</f>
        <v>5.38</v>
      </c>
      <c r="H691" s="314">
        <f>IF($C691="","",IFERROR(VLOOKUP($C691,SERVIÇOS!$B:$G,5,0),IFERROR(VLOOKUP($C691,'COMPOSIÇÕES COMPLEMENTARES '!$D:$L,7,0),0)))</f>
        <v>1.97</v>
      </c>
      <c r="I691" s="314">
        <f t="shared" si="62"/>
        <v>7.35</v>
      </c>
      <c r="J691" s="314">
        <f t="shared" si="63"/>
        <v>107.6</v>
      </c>
      <c r="K691" s="314">
        <f t="shared" si="64"/>
        <v>39.4</v>
      </c>
      <c r="L691" s="948">
        <f t="shared" si="65"/>
        <v>147</v>
      </c>
      <c r="M691" s="374">
        <f t="shared" si="66"/>
        <v>5638161.4000000115</v>
      </c>
      <c r="N691" s="375">
        <f>+M691/L$815</f>
        <v>0.9983212216543712</v>
      </c>
      <c r="O691" s="376" t="str">
        <f>IF(N691&lt;0.5,"A",IF(N691&gt;0.8,"C","B"))</f>
        <v>C</v>
      </c>
    </row>
    <row r="692" spans="1:15" ht="25.5" x14ac:dyDescent="0.25">
      <c r="A692" s="232">
        <f t="shared" si="61"/>
        <v>692</v>
      </c>
      <c r="B692" s="232"/>
      <c r="C692" s="310">
        <v>90467</v>
      </c>
      <c r="D692" s="373" t="str">
        <f>IF($C692="","",IFERROR(VLOOKUP($C692,SERVIÇOS!$B:$G,2,0),IFERROR(VLOOKUP($C692,'COMPOSIÇÕES COMPLEMENTARES '!$D:$L,2,0),IFERROR(VLOOKUP($C692,INSUMOS!$A:$D,2,0),""))))</f>
        <v>CHUMBAMENTO LINEAR EM ALVENARIA PARA RAMAIS/DISTRIBUIÇÃO DE INSTALAÇÕES HIDRÁULICAS COM DIÂMETROS MAIORES QUE 40 MM E MENORES OU IGUAIS A 75 MM. AF_09/2023</v>
      </c>
      <c r="E692" s="312" t="str">
        <f>IF($C692="","",IFERROR(VLOOKUP($C692,SERVIÇOS!$B:$G,3,0),IFERROR(VLOOKUP($C692,'COMPOSIÇÕES COMPLEMENTARES '!$D:$L,3,0),IFERROR(VLOOKUP($C692,INSUMOS!$A:$D,3,0),""))))</f>
        <v>M</v>
      </c>
      <c r="F692" s="313">
        <v>5</v>
      </c>
      <c r="G692" s="314">
        <f>IF($C692="","",IFERROR(VLOOKUP($C692,SERVIÇOS!$B:$G,4,0),IFERROR(VLOOKUP($C692,'COMPOSIÇÕES COMPLEMENTARES '!$D:$L,6,0),IFERROR(VLOOKUP($C692,INSUMOS!$A:$D,4,0),""))))</f>
        <v>9.99</v>
      </c>
      <c r="H692" s="314">
        <f>IF($C692="","",IFERROR(VLOOKUP($C692,SERVIÇOS!$B:$G,5,0),IFERROR(VLOOKUP($C692,'COMPOSIÇÕES COMPLEMENTARES '!$D:$L,7,0),0)))</f>
        <v>18.89</v>
      </c>
      <c r="I692" s="314">
        <f t="shared" si="62"/>
        <v>28.880000000000003</v>
      </c>
      <c r="J692" s="314">
        <f t="shared" si="63"/>
        <v>49.95</v>
      </c>
      <c r="K692" s="314">
        <f t="shared" si="64"/>
        <v>94.45</v>
      </c>
      <c r="L692" s="948">
        <f t="shared" si="65"/>
        <v>144.4</v>
      </c>
      <c r="M692" s="374">
        <f t="shared" si="66"/>
        <v>5638305.8000000119</v>
      </c>
      <c r="N692" s="375">
        <f>+M692/L$815</f>
        <v>0.99834678984481129</v>
      </c>
      <c r="O692" s="376" t="str">
        <f>IF(N692&lt;0.5,"A",IF(N692&gt;0.8,"C","B"))</f>
        <v>C</v>
      </c>
    </row>
    <row r="693" spans="1:15" x14ac:dyDescent="0.25">
      <c r="A693" s="232">
        <f t="shared" si="61"/>
        <v>693</v>
      </c>
      <c r="B693" s="232"/>
      <c r="C693" s="310" t="s">
        <v>12142</v>
      </c>
      <c r="D693" s="373" t="str">
        <f>IF($C693="","",IFERROR(VLOOKUP($C693,SERVIÇOS!$B:$G,2,0),IFERROR(VLOOKUP($C693,'COMPOSIÇÕES COMPLEMENTARES '!$D:$L,2,0),IFERROR(VLOOKUP($C693,INSUMOS!$A:$D,2,0),""))))</f>
        <v>CAIXA PARA HIDRÔMETRO, PADRÃO SANEPAR 3/4"</v>
      </c>
      <c r="E693" s="312" t="str">
        <f>IF($C693="","",IFERROR(VLOOKUP($C693,SERVIÇOS!$B:$G,3,0),IFERROR(VLOOKUP($C693,'COMPOSIÇÕES COMPLEMENTARES '!$D:$L,3,0),IFERROR(VLOOKUP($C693,INSUMOS!$A:$D,3,0),""))))</f>
        <v>UN</v>
      </c>
      <c r="F693" s="313">
        <v>1</v>
      </c>
      <c r="G693" s="314">
        <f>IF($C693="","",IFERROR(VLOOKUP($C693,SERVIÇOS!$B:$G,4,0),IFERROR(VLOOKUP($C693,'COMPOSIÇÕES COMPLEMENTARES '!$D:$L,6,0),IFERROR(VLOOKUP($C693,INSUMOS!$A:$D,4,0),""))))</f>
        <v>129.62</v>
      </c>
      <c r="H693" s="314">
        <f>IF($C693="","",IFERROR(VLOOKUP($C693,SERVIÇOS!$B:$G,5,0),IFERROR(VLOOKUP($C693,'COMPOSIÇÕES COMPLEMENTARES '!$D:$L,7,0),0)))</f>
        <v>12.78</v>
      </c>
      <c r="I693" s="314">
        <f t="shared" si="62"/>
        <v>142.4</v>
      </c>
      <c r="J693" s="314">
        <f t="shared" si="63"/>
        <v>129.62</v>
      </c>
      <c r="K693" s="314">
        <f t="shared" si="64"/>
        <v>12.78</v>
      </c>
      <c r="L693" s="948">
        <f t="shared" si="65"/>
        <v>142.4</v>
      </c>
      <c r="M693" s="374">
        <f t="shared" si="66"/>
        <v>5638448.2000000123</v>
      </c>
      <c r="N693" s="375">
        <f>+M693/L$815</f>
        <v>0.99837200390518988</v>
      </c>
      <c r="O693" s="376" t="str">
        <f>IF(N693&lt;0.5,"A",IF(N693&gt;0.8,"C","B"))</f>
        <v>C</v>
      </c>
    </row>
    <row r="694" spans="1:15" x14ac:dyDescent="0.25">
      <c r="A694" s="232">
        <f t="shared" si="61"/>
        <v>694</v>
      </c>
      <c r="B694" s="232"/>
      <c r="C694" s="310" t="s">
        <v>11928</v>
      </c>
      <c r="D694" s="373" t="str">
        <f>IF($C694="","",IFERROR(VLOOKUP($C694,SERVIÇOS!$B:$G,2,0),IFERROR(VLOOKUP($C694,'COMPOSIÇÕES COMPLEMENTARES '!$D:$L,2,0),IFERROR(VLOOKUP($C694,INSUMOS!$A:$D,2,0),""))))</f>
        <v>CONTROLE TECNOLÓGICO DE CONCRETO C/ ROMPIMENTO DE CORPO-DE-PROVA À COMPRESSÃO</v>
      </c>
      <c r="E694" s="312" t="str">
        <f>IF($C694="","",IFERROR(VLOOKUP($C694,SERVIÇOS!$B:$G,3,0),IFERROR(VLOOKUP($C694,'COMPOSIÇÕES COMPLEMENTARES '!$D:$L,3,0),IFERROR(VLOOKUP($C694,INSUMOS!$A:$D,3,0),""))))</f>
        <v>UN</v>
      </c>
      <c r="F694" s="313">
        <v>10</v>
      </c>
      <c r="G694" s="314">
        <f>IF($C694="","",IFERROR(VLOOKUP($C694,SERVIÇOS!$B:$G,4,0),IFERROR(VLOOKUP($C694,'COMPOSIÇÕES COMPLEMENTARES '!$D:$L,6,0),IFERROR(VLOOKUP($C694,INSUMOS!$A:$D,4,0),""))))</f>
        <v>14</v>
      </c>
      <c r="H694" s="314">
        <f>IF($C694="","",IFERROR(VLOOKUP($C694,SERVIÇOS!$B:$G,5,0),IFERROR(VLOOKUP($C694,'COMPOSIÇÕES COMPLEMENTARES '!$D:$L,7,0),0)))</f>
        <v>0</v>
      </c>
      <c r="I694" s="314">
        <f t="shared" si="62"/>
        <v>14</v>
      </c>
      <c r="J694" s="314">
        <f t="shared" si="63"/>
        <v>140</v>
      </c>
      <c r="K694" s="314">
        <f t="shared" si="64"/>
        <v>0</v>
      </c>
      <c r="L694" s="948">
        <f t="shared" si="65"/>
        <v>140</v>
      </c>
      <c r="M694" s="374">
        <f t="shared" si="66"/>
        <v>5638588.2000000123</v>
      </c>
      <c r="N694" s="375">
        <f>+M694/L$815</f>
        <v>0.99839679300949458</v>
      </c>
      <c r="O694" s="376" t="str">
        <f>IF(N694&lt;0.5,"A",IF(N694&gt;0.8,"C","B"))</f>
        <v>C</v>
      </c>
    </row>
    <row r="695" spans="1:15" ht="25.5" x14ac:dyDescent="0.25">
      <c r="A695" s="232">
        <f t="shared" si="61"/>
        <v>695</v>
      </c>
      <c r="B695" s="232"/>
      <c r="C695" s="310" t="s">
        <v>12156</v>
      </c>
      <c r="D695" s="373" t="str">
        <f>IF($C695="","",IFERROR(VLOOKUP($C695,SERVIÇOS!$B:$G,2,0),IFERROR(VLOOKUP($C695,'COMPOSIÇÕES COMPLEMENTARES '!$D:$L,2,0),IFERROR(VLOOKUP($C695,INSUMOS!$A:$D,2,0),""))))</f>
        <v>CHUMBAMENTO EM ALVENARIA PARA RAMAIS/ DISTRIBUIÇÃO COM DIÂMETROS MAIORES QUE 75 MM E MENORES OU IGUAIS A 100 MM</v>
      </c>
      <c r="E695" s="312" t="str">
        <f>IF($C695="","",IFERROR(VLOOKUP($C695,SERVIÇOS!$B:$G,3,0),IFERROR(VLOOKUP($C695,'COMPOSIÇÕES COMPLEMENTARES '!$D:$L,3,0),IFERROR(VLOOKUP($C695,INSUMOS!$A:$D,3,0),""))))</f>
        <v>M</v>
      </c>
      <c r="F695" s="313">
        <v>9</v>
      </c>
      <c r="G695" s="314">
        <f>IF($C695="","",IFERROR(VLOOKUP($C695,SERVIÇOS!$B:$G,4,0),IFERROR(VLOOKUP($C695,'COMPOSIÇÕES COMPLEMENTARES '!$D:$L,6,0),IFERROR(VLOOKUP($C695,INSUMOS!$A:$D,4,0),""))))</f>
        <v>6.55</v>
      </c>
      <c r="H695" s="314">
        <f>IF($C695="","",IFERROR(VLOOKUP($C695,SERVIÇOS!$B:$G,5,0),IFERROR(VLOOKUP($C695,'COMPOSIÇÕES COMPLEMENTARES '!$D:$L,7,0),0)))</f>
        <v>8.9600000000000009</v>
      </c>
      <c r="I695" s="314">
        <f t="shared" si="62"/>
        <v>15.510000000000002</v>
      </c>
      <c r="J695" s="314">
        <f t="shared" si="63"/>
        <v>58.95</v>
      </c>
      <c r="K695" s="314">
        <f t="shared" si="64"/>
        <v>80.64</v>
      </c>
      <c r="L695" s="948">
        <f t="shared" si="65"/>
        <v>139.59</v>
      </c>
      <c r="M695" s="374">
        <f t="shared" si="66"/>
        <v>5638727.7900000121</v>
      </c>
      <c r="N695" s="375">
        <f>+M695/L$815</f>
        <v>0.99842150951713671</v>
      </c>
      <c r="O695" s="376" t="str">
        <f>IF(N695&lt;0.5,"A",IF(N695&gt;0.8,"C","B"))</f>
        <v>C</v>
      </c>
    </row>
    <row r="696" spans="1:15" ht="25.5" x14ac:dyDescent="0.25">
      <c r="A696" s="232">
        <f t="shared" si="61"/>
        <v>696</v>
      </c>
      <c r="B696" s="232"/>
      <c r="C696" s="310">
        <v>91997</v>
      </c>
      <c r="D696" s="373" t="str">
        <f>IF($C696="","",IFERROR(VLOOKUP($C696,SERVIÇOS!$B:$G,2,0),IFERROR(VLOOKUP($C696,'COMPOSIÇÕES COMPLEMENTARES '!$D:$L,2,0),IFERROR(VLOOKUP($C696,INSUMOS!$A:$D,2,0),""))))</f>
        <v>TOMADA MÉDIA DE EMBUTIR (1 MÓDULO), 2P+T 20 A, INCLUINDO SUPORTE E PLACA - FORNECIMENTO E INSTALAÇÃO. AF_03/2023</v>
      </c>
      <c r="E696" s="312" t="str">
        <f>IF($C696="","",IFERROR(VLOOKUP($C696,SERVIÇOS!$B:$G,3,0),IFERROR(VLOOKUP($C696,'COMPOSIÇÕES COMPLEMENTARES '!$D:$L,3,0),IFERROR(VLOOKUP($C696,INSUMOS!$A:$D,3,0),""))))</f>
        <v>UN</v>
      </c>
      <c r="F696" s="313">
        <v>3</v>
      </c>
      <c r="G696" s="314">
        <f>IF($C696="","",IFERROR(VLOOKUP($C696,SERVIÇOS!$B:$G,4,0),IFERROR(VLOOKUP($C696,'COMPOSIÇÕES COMPLEMENTARES '!$D:$L,6,0),IFERROR(VLOOKUP($C696,INSUMOS!$A:$D,4,0),""))))</f>
        <v>24.26</v>
      </c>
      <c r="H696" s="314">
        <f>IF($C696="","",IFERROR(VLOOKUP($C696,SERVIÇOS!$B:$G,5,0),IFERROR(VLOOKUP($C696,'COMPOSIÇÕES COMPLEMENTARES '!$D:$L,7,0),0)))</f>
        <v>22.03</v>
      </c>
      <c r="I696" s="314">
        <f t="shared" si="62"/>
        <v>46.290000000000006</v>
      </c>
      <c r="J696" s="314">
        <f t="shared" si="63"/>
        <v>72.78</v>
      </c>
      <c r="K696" s="314">
        <f t="shared" si="64"/>
        <v>66.09</v>
      </c>
      <c r="L696" s="948">
        <f t="shared" si="65"/>
        <v>138.87</v>
      </c>
      <c r="M696" s="374">
        <f t="shared" si="66"/>
        <v>5638866.6600000123</v>
      </c>
      <c r="N696" s="375">
        <f>+M696/L$815</f>
        <v>0.99844609853795674</v>
      </c>
      <c r="O696" s="376" t="str">
        <f>IF(N696&lt;0.5,"A",IF(N696&gt;0.8,"C","B"))</f>
        <v>C</v>
      </c>
    </row>
    <row r="697" spans="1:15" ht="25.5" x14ac:dyDescent="0.25">
      <c r="A697" s="232">
        <f t="shared" si="61"/>
        <v>697</v>
      </c>
      <c r="B697" s="232"/>
      <c r="C697" s="310">
        <v>91997</v>
      </c>
      <c r="D697" s="373" t="str">
        <f>IF($C697="","",IFERROR(VLOOKUP($C697,SERVIÇOS!$B:$G,2,0),IFERROR(VLOOKUP($C697,'COMPOSIÇÕES COMPLEMENTARES '!$D:$L,2,0),IFERROR(VLOOKUP($C697,INSUMOS!$A:$D,2,0),""))))</f>
        <v>TOMADA MÉDIA DE EMBUTIR (1 MÓDULO), 2P+T 20 A, INCLUINDO SUPORTE E PLACA - FORNECIMENTO E INSTALAÇÃO. AF_03/2023</v>
      </c>
      <c r="E697" s="312" t="str">
        <f>IF($C697="","",IFERROR(VLOOKUP($C697,SERVIÇOS!$B:$G,3,0),IFERROR(VLOOKUP($C697,'COMPOSIÇÕES COMPLEMENTARES '!$D:$L,3,0),IFERROR(VLOOKUP($C697,INSUMOS!$A:$D,3,0),""))))</f>
        <v>UN</v>
      </c>
      <c r="F697" s="313">
        <v>3</v>
      </c>
      <c r="G697" s="314">
        <f>IF($C697="","",IFERROR(VLOOKUP($C697,SERVIÇOS!$B:$G,4,0),IFERROR(VLOOKUP($C697,'COMPOSIÇÕES COMPLEMENTARES '!$D:$L,6,0),IFERROR(VLOOKUP($C697,INSUMOS!$A:$D,4,0),""))))</f>
        <v>24.26</v>
      </c>
      <c r="H697" s="314">
        <f>IF($C697="","",IFERROR(VLOOKUP($C697,SERVIÇOS!$B:$G,5,0),IFERROR(VLOOKUP($C697,'COMPOSIÇÕES COMPLEMENTARES '!$D:$L,7,0),0)))</f>
        <v>22.03</v>
      </c>
      <c r="I697" s="314">
        <f t="shared" si="62"/>
        <v>46.290000000000006</v>
      </c>
      <c r="J697" s="314">
        <f t="shared" si="63"/>
        <v>72.78</v>
      </c>
      <c r="K697" s="314">
        <f t="shared" si="64"/>
        <v>66.09</v>
      </c>
      <c r="L697" s="948">
        <f t="shared" si="65"/>
        <v>138.87</v>
      </c>
      <c r="M697" s="374">
        <f t="shared" si="66"/>
        <v>5639005.5300000124</v>
      </c>
      <c r="N697" s="375">
        <f>+M697/L$815</f>
        <v>0.99847068755877677</v>
      </c>
      <c r="O697" s="376" t="str">
        <f>IF(N697&lt;0.5,"A",IF(N697&gt;0.8,"C","B"))</f>
        <v>C</v>
      </c>
    </row>
    <row r="698" spans="1:15" ht="25.5" x14ac:dyDescent="0.25">
      <c r="A698" s="232">
        <f t="shared" si="61"/>
        <v>698</v>
      </c>
      <c r="B698" s="232"/>
      <c r="C698" s="310" t="s">
        <v>12433</v>
      </c>
      <c r="D698" s="373" t="str">
        <f>IF($C698="","",IFERROR(VLOOKUP($C698,SERVIÇOS!$B:$G,2,0),IFERROR(VLOOKUP($C698,'COMPOSIÇÕES COMPLEMENTARES '!$D:$L,2,0),IFERROR(VLOOKUP($C698,INSUMOS!$A:$D,2,0),""))))</f>
        <v>GRELHA DE RETORNO DE AR ALETAS HORIZONTAIS COM REGISTRO EM ALUMÍNIO 200x100MM. MARCA TROPICAL MOD. RHN-200x100-RGA (OU SIMILAR - TROX, SEIMMEI, DIFUSAR)</v>
      </c>
      <c r="E698" s="312" t="str">
        <f>IF($C698="","",IFERROR(VLOOKUP($C698,SERVIÇOS!$B:$G,3,0),IFERROR(VLOOKUP($C698,'COMPOSIÇÕES COMPLEMENTARES '!$D:$L,3,0),IFERROR(VLOOKUP($C698,INSUMOS!$A:$D,3,0),""))))</f>
        <v>UN</v>
      </c>
      <c r="F698" s="313">
        <v>2</v>
      </c>
      <c r="G698" s="314">
        <f>IF($C698="","",IFERROR(VLOOKUP($C698,SERVIÇOS!$B:$G,4,0),IFERROR(VLOOKUP($C698,'COMPOSIÇÕES COMPLEMENTARES '!$D:$L,6,0),IFERROR(VLOOKUP($C698,INSUMOS!$A:$D,4,0),""))))</f>
        <v>58.32</v>
      </c>
      <c r="H698" s="314">
        <f>IF($C698="","",IFERROR(VLOOKUP($C698,SERVIÇOS!$B:$G,5,0),IFERROR(VLOOKUP($C698,'COMPOSIÇÕES COMPLEMENTARES '!$D:$L,7,0),0)))</f>
        <v>9.84</v>
      </c>
      <c r="I698" s="314">
        <f t="shared" si="62"/>
        <v>68.16</v>
      </c>
      <c r="J698" s="314">
        <f t="shared" si="63"/>
        <v>116.64</v>
      </c>
      <c r="K698" s="314">
        <f t="shared" si="64"/>
        <v>19.68</v>
      </c>
      <c r="L698" s="948">
        <f t="shared" si="65"/>
        <v>136.32</v>
      </c>
      <c r="M698" s="374">
        <f t="shared" si="66"/>
        <v>5639141.8500000127</v>
      </c>
      <c r="N698" s="375">
        <f>+M698/L$815</f>
        <v>0.99849482506376841</v>
      </c>
      <c r="O698" s="376" t="str">
        <f>IF(N698&lt;0.5,"A",IF(N698&gt;0.8,"C","B"))</f>
        <v>C</v>
      </c>
    </row>
    <row r="699" spans="1:15" ht="38.25" x14ac:dyDescent="0.25">
      <c r="A699" s="232">
        <f t="shared" si="61"/>
        <v>699</v>
      </c>
      <c r="B699" s="232"/>
      <c r="C699" s="310">
        <v>102279</v>
      </c>
      <c r="D699" s="373" t="str">
        <f>IF($C699="","",IFERROR(VLOOKUP($C699,SERVIÇOS!$B:$G,2,0),IFERROR(VLOOKUP($C699,'COMPOSIÇÕES COMPLEMENTARES '!$D:$L,2,0),IFERROR(VLOOKUP($C699,INSUMOS!$A:$D,2,0),""))))</f>
        <v>ESCAVAÇÃO MECANIZADA DE VALA COM PROF. ATÉ 1,5 M (MÉDIA MONTANTE E JUSANTE/UMA COMPOSIÇÃO POR TRECHO), ESCAVADEIRA (0,8 M3),LARG. MENOR QUE 1,5 M, EM SOLO DE 1A CATEGORIA, LOCAIS COM BAIXO NÍVEL DE INTERFERÊNCIA. AF_09/2024</v>
      </c>
      <c r="E699" s="312" t="str">
        <f>IF($C699="","",IFERROR(VLOOKUP($C699,SERVIÇOS!$B:$G,3,0),IFERROR(VLOOKUP($C699,'COMPOSIÇÕES COMPLEMENTARES '!$D:$L,3,0),IFERROR(VLOOKUP($C699,INSUMOS!$A:$D,3,0),""))))</f>
        <v>M3</v>
      </c>
      <c r="F699" s="313">
        <v>18</v>
      </c>
      <c r="G699" s="314">
        <f>IF($C699="","",IFERROR(VLOOKUP($C699,SERVIÇOS!$B:$G,4,0),IFERROR(VLOOKUP($C699,'COMPOSIÇÕES COMPLEMENTARES '!$D:$L,6,0),IFERROR(VLOOKUP($C699,INSUMOS!$A:$D,4,0),""))))</f>
        <v>5.79</v>
      </c>
      <c r="H699" s="314">
        <f>IF($C699="","",IFERROR(VLOOKUP($C699,SERVIÇOS!$B:$G,5,0),IFERROR(VLOOKUP($C699,'COMPOSIÇÕES COMPLEMENTARES '!$D:$L,7,0),0)))</f>
        <v>1.76</v>
      </c>
      <c r="I699" s="314">
        <f t="shared" si="62"/>
        <v>7.55</v>
      </c>
      <c r="J699" s="314">
        <f t="shared" si="63"/>
        <v>104.22</v>
      </c>
      <c r="K699" s="314">
        <f t="shared" si="64"/>
        <v>31.68</v>
      </c>
      <c r="L699" s="948">
        <f t="shared" si="65"/>
        <v>135.9</v>
      </c>
      <c r="M699" s="374">
        <f t="shared" si="66"/>
        <v>5639277.750000013</v>
      </c>
      <c r="N699" s="375">
        <f>+M699/L$815</f>
        <v>0.99851888820144719</v>
      </c>
      <c r="O699" s="376" t="str">
        <f>IF(N699&lt;0.5,"A",IF(N699&gt;0.8,"C","B"))</f>
        <v>C</v>
      </c>
    </row>
    <row r="700" spans="1:15" x14ac:dyDescent="0.25">
      <c r="A700" s="232">
        <f t="shared" si="61"/>
        <v>700</v>
      </c>
      <c r="B700" s="232"/>
      <c r="C700" s="310" t="s">
        <v>12308</v>
      </c>
      <c r="D700" s="373" t="str">
        <f>IF($C700="","",IFERROR(VLOOKUP($C700,SERVIÇOS!$B:$G,2,0),IFERROR(VLOOKUP($C700,'COMPOSIÇÕES COMPLEMENTARES '!$D:$L,2,0),IFERROR(VLOOKUP($C700,INSUMOS!$A:$D,2,0),""))))</f>
        <v>CAIXA DE PASSAGEM METÁLICA MEDINDO (30X30X10)CM</v>
      </c>
      <c r="E700" s="312" t="str">
        <f>IF($C700="","",IFERROR(VLOOKUP($C700,SERVIÇOS!$B:$G,3,0),IFERROR(VLOOKUP($C700,'COMPOSIÇÕES COMPLEMENTARES '!$D:$L,3,0),IFERROR(VLOOKUP($C700,INSUMOS!$A:$D,3,0),""))))</f>
        <v>UN</v>
      </c>
      <c r="F700" s="313">
        <v>1</v>
      </c>
      <c r="G700" s="314">
        <f>IF($C700="","",IFERROR(VLOOKUP($C700,SERVIÇOS!$B:$G,4,0),IFERROR(VLOOKUP($C700,'COMPOSIÇÕES COMPLEMENTARES '!$D:$L,6,0),IFERROR(VLOOKUP($C700,INSUMOS!$A:$D,4,0),""))))</f>
        <v>77.03</v>
      </c>
      <c r="H700" s="314">
        <f>IF($C700="","",IFERROR(VLOOKUP($C700,SERVIÇOS!$B:$G,5,0),IFERROR(VLOOKUP($C700,'COMPOSIÇÕES COMPLEMENTARES '!$D:$L,7,0),0)))</f>
        <v>57.66</v>
      </c>
      <c r="I700" s="314">
        <f t="shared" si="62"/>
        <v>134.69</v>
      </c>
      <c r="J700" s="314">
        <f t="shared" si="63"/>
        <v>77.03</v>
      </c>
      <c r="K700" s="314">
        <f t="shared" si="64"/>
        <v>57.66</v>
      </c>
      <c r="L700" s="948">
        <f t="shared" si="65"/>
        <v>134.69</v>
      </c>
      <c r="M700" s="374">
        <f t="shared" si="66"/>
        <v>5639412.4400000134</v>
      </c>
      <c r="N700" s="375">
        <f>+M700/L$815</f>
        <v>0.99854273709043873</v>
      </c>
      <c r="O700" s="376" t="str">
        <f>IF(N700&lt;0.5,"A",IF(N700&gt;0.8,"C","B"))</f>
        <v>C</v>
      </c>
    </row>
    <row r="701" spans="1:15" x14ac:dyDescent="0.25">
      <c r="A701" s="232">
        <f t="shared" si="61"/>
        <v>701</v>
      </c>
      <c r="B701" s="232"/>
      <c r="C701" s="310">
        <v>93663</v>
      </c>
      <c r="D701" s="373" t="str">
        <f>IF($C701="","",IFERROR(VLOOKUP($C701,SERVIÇOS!$B:$G,2,0),IFERROR(VLOOKUP($C701,'COMPOSIÇÕES COMPLEMENTARES '!$D:$L,2,0),IFERROR(VLOOKUP($C701,INSUMOS!$A:$D,2,0),""))))</f>
        <v>DISJUNTOR BIPOLAR TIPO DIN, CORRENTE NOMINAL DE 25A - FORNECIMENTO E INSTALAÇÃO. AF_10/2020</v>
      </c>
      <c r="E701" s="312" t="str">
        <f>IF($C701="","",IFERROR(VLOOKUP($C701,SERVIÇOS!$B:$G,3,0),IFERROR(VLOOKUP($C701,'COMPOSIÇÕES COMPLEMENTARES '!$D:$L,3,0),IFERROR(VLOOKUP($C701,INSUMOS!$A:$D,3,0),""))))</f>
        <v>UN</v>
      </c>
      <c r="F701" s="313">
        <v>2</v>
      </c>
      <c r="G701" s="314">
        <f>IF($C701="","",IFERROR(VLOOKUP($C701,SERVIÇOS!$B:$G,4,0),IFERROR(VLOOKUP($C701,'COMPOSIÇÕES COMPLEMENTARES '!$D:$L,6,0),IFERROR(VLOOKUP($C701,INSUMOS!$A:$D,4,0),""))))</f>
        <v>60.44</v>
      </c>
      <c r="H701" s="314">
        <f>IF($C701="","",IFERROR(VLOOKUP($C701,SERVIÇOS!$B:$G,5,0),IFERROR(VLOOKUP($C701,'COMPOSIÇÕES COMPLEMENTARES '!$D:$L,7,0),0)))</f>
        <v>6.55</v>
      </c>
      <c r="I701" s="314">
        <f t="shared" si="62"/>
        <v>66.989999999999995</v>
      </c>
      <c r="J701" s="314">
        <f t="shared" si="63"/>
        <v>120.88</v>
      </c>
      <c r="K701" s="314">
        <f t="shared" si="64"/>
        <v>13.1</v>
      </c>
      <c r="L701" s="948">
        <f t="shared" si="65"/>
        <v>133.97999999999999</v>
      </c>
      <c r="M701" s="374">
        <f t="shared" si="66"/>
        <v>5639546.4200000139</v>
      </c>
      <c r="N701" s="375">
        <f>+M701/L$815</f>
        <v>0.99856646026325846</v>
      </c>
      <c r="O701" s="376" t="str">
        <f>IF(N701&lt;0.5,"A",IF(N701&gt;0.8,"C","B"))</f>
        <v>C</v>
      </c>
    </row>
    <row r="702" spans="1:15" x14ac:dyDescent="0.25">
      <c r="A702" s="232">
        <f t="shared" si="61"/>
        <v>702</v>
      </c>
      <c r="B702" s="232"/>
      <c r="C702" s="310">
        <v>93662</v>
      </c>
      <c r="D702" s="373" t="str">
        <f>IF($C702="","",IFERROR(VLOOKUP($C702,SERVIÇOS!$B:$G,2,0),IFERROR(VLOOKUP($C702,'COMPOSIÇÕES COMPLEMENTARES '!$D:$L,2,0),IFERROR(VLOOKUP($C702,INSUMOS!$A:$D,2,0),""))))</f>
        <v>DISJUNTOR BIPOLAR TIPO DIN, CORRENTE NOMINAL DE 20A - FORNECIMENTO E INSTALAÇÃO. AF_10/2020</v>
      </c>
      <c r="E702" s="312" t="str">
        <f>IF($C702="","",IFERROR(VLOOKUP($C702,SERVIÇOS!$B:$G,3,0),IFERROR(VLOOKUP($C702,'COMPOSIÇÕES COMPLEMENTARES '!$D:$L,3,0),IFERROR(VLOOKUP($C702,INSUMOS!$A:$D,3,0),""))))</f>
        <v>UN</v>
      </c>
      <c r="F702" s="313">
        <v>2</v>
      </c>
      <c r="G702" s="314">
        <f>IF($C702="","",IFERROR(VLOOKUP($C702,SERVIÇOS!$B:$G,4,0),IFERROR(VLOOKUP($C702,'COMPOSIÇÕES COMPLEMENTARES '!$D:$L,6,0),IFERROR(VLOOKUP($C702,INSUMOS!$A:$D,4,0),""))))</f>
        <v>60.44</v>
      </c>
      <c r="H702" s="314">
        <f>IF($C702="","",IFERROR(VLOOKUP($C702,SERVIÇOS!$B:$G,5,0),IFERROR(VLOOKUP($C702,'COMPOSIÇÕES COMPLEMENTARES '!$D:$L,7,0),0)))</f>
        <v>6.55</v>
      </c>
      <c r="I702" s="314">
        <f t="shared" si="62"/>
        <v>66.989999999999995</v>
      </c>
      <c r="J702" s="314">
        <f t="shared" si="63"/>
        <v>120.88</v>
      </c>
      <c r="K702" s="314">
        <f t="shared" si="64"/>
        <v>13.1</v>
      </c>
      <c r="L702" s="948">
        <f t="shared" si="65"/>
        <v>133.97999999999999</v>
      </c>
      <c r="M702" s="374">
        <f t="shared" si="66"/>
        <v>5639680.4000000143</v>
      </c>
      <c r="N702" s="375">
        <f>+M702/L$815</f>
        <v>0.99859018343607819</v>
      </c>
      <c r="O702" s="376" t="str">
        <f>IF(N702&lt;0.5,"A",IF(N702&gt;0.8,"C","B"))</f>
        <v>C</v>
      </c>
    </row>
    <row r="703" spans="1:15" x14ac:dyDescent="0.25">
      <c r="A703" s="232">
        <f t="shared" si="61"/>
        <v>703</v>
      </c>
      <c r="B703" s="232"/>
      <c r="C703" s="310" t="s">
        <v>12279</v>
      </c>
      <c r="D703" s="373" t="str">
        <f>IF($C703="","",IFERROR(VLOOKUP($C703,SERVIÇOS!$B:$G,2,0),IFERROR(VLOOKUP($C703,'COMPOSIÇÕES COMPLEMENTARES '!$D:$L,2,0),IFERROR(VLOOKUP($C703,INSUMOS!$A:$D,2,0),""))))</f>
        <v>UNIDUT CÔNICO Ø4" COM BUCHA E ARRUELA DE ALUMÍNIO Ø4"</v>
      </c>
      <c r="E703" s="312" t="str">
        <f>IF($C703="","",IFERROR(VLOOKUP($C703,SERVIÇOS!$B:$G,3,0),IFERROR(VLOOKUP($C703,'COMPOSIÇÕES COMPLEMENTARES '!$D:$L,3,0),IFERROR(VLOOKUP($C703,INSUMOS!$A:$D,3,0),""))))</f>
        <v>UN</v>
      </c>
      <c r="F703" s="313">
        <v>2</v>
      </c>
      <c r="G703" s="314">
        <f>IF($C703="","",IFERROR(VLOOKUP($C703,SERVIÇOS!$B:$G,4,0),IFERROR(VLOOKUP($C703,'COMPOSIÇÕES COMPLEMENTARES '!$D:$L,6,0),IFERROR(VLOOKUP($C703,INSUMOS!$A:$D,4,0),""))))</f>
        <v>63.47</v>
      </c>
      <c r="H703" s="314">
        <f>IF($C703="","",IFERROR(VLOOKUP($C703,SERVIÇOS!$B:$G,5,0),IFERROR(VLOOKUP($C703,'COMPOSIÇÕES COMPLEMENTARES '!$D:$L,7,0),0)))</f>
        <v>2.37</v>
      </c>
      <c r="I703" s="314">
        <f t="shared" si="62"/>
        <v>65.84</v>
      </c>
      <c r="J703" s="314">
        <f t="shared" si="63"/>
        <v>126.94</v>
      </c>
      <c r="K703" s="314">
        <f t="shared" si="64"/>
        <v>4.74</v>
      </c>
      <c r="L703" s="948">
        <f t="shared" si="65"/>
        <v>131.68</v>
      </c>
      <c r="M703" s="374">
        <f t="shared" si="66"/>
        <v>5639812.080000014</v>
      </c>
      <c r="N703" s="375">
        <f>+M703/L$815</f>
        <v>0.99861349935932708</v>
      </c>
      <c r="O703" s="376" t="str">
        <f>IF(N703&lt;0.5,"A",IF(N703&gt;0.8,"C","B"))</f>
        <v>C</v>
      </c>
    </row>
    <row r="704" spans="1:15" x14ac:dyDescent="0.25">
      <c r="A704" s="232">
        <f t="shared" si="61"/>
        <v>704</v>
      </c>
      <c r="B704" s="232"/>
      <c r="C704" s="310" t="s">
        <v>12230</v>
      </c>
      <c r="D704" s="373" t="str">
        <f>IF($C704="","",IFERROR(VLOOKUP($C704,SERVIÇOS!$B:$G,2,0),IFERROR(VLOOKUP($C704,'COMPOSIÇÕES COMPLEMENTARES '!$D:$L,2,0),IFERROR(VLOOKUP($C704,INSUMOS!$A:$D,2,0),""))))</f>
        <v>TOMADA QUADRUPLA 20A/127V 2P+T - MIOLO BRANCO (PADRÃO BRASILEIRO) EM CX. 4"X4"</v>
      </c>
      <c r="E704" s="312" t="str">
        <f>IF($C704="","",IFERROR(VLOOKUP($C704,SERVIÇOS!$B:$G,3,0),IFERROR(VLOOKUP($C704,'COMPOSIÇÕES COMPLEMENTARES '!$D:$L,3,0),IFERROR(VLOOKUP($C704,INSUMOS!$A:$D,3,0),""))))</f>
        <v>UN</v>
      </c>
      <c r="F704" s="313">
        <v>1</v>
      </c>
      <c r="G704" s="314">
        <f>IF($C704="","",IFERROR(VLOOKUP($C704,SERVIÇOS!$B:$G,4,0),IFERROR(VLOOKUP($C704,'COMPOSIÇÕES COMPLEMENTARES '!$D:$L,6,0),IFERROR(VLOOKUP($C704,INSUMOS!$A:$D,4,0),""))))</f>
        <v>70.11</v>
      </c>
      <c r="H704" s="314">
        <f>IF($C704="","",IFERROR(VLOOKUP($C704,SERVIÇOS!$B:$G,5,0),IFERROR(VLOOKUP($C704,'COMPOSIÇÕES COMPLEMENTARES '!$D:$L,7,0),0)))</f>
        <v>60.6</v>
      </c>
      <c r="I704" s="314">
        <f t="shared" si="62"/>
        <v>130.71</v>
      </c>
      <c r="J704" s="314">
        <f t="shared" si="63"/>
        <v>70.11</v>
      </c>
      <c r="K704" s="314">
        <f t="shared" si="64"/>
        <v>60.6</v>
      </c>
      <c r="L704" s="948">
        <f t="shared" si="65"/>
        <v>130.71</v>
      </c>
      <c r="M704" s="374">
        <f t="shared" si="66"/>
        <v>5639942.790000014</v>
      </c>
      <c r="N704" s="375">
        <f>+M704/L$815</f>
        <v>0.9986366435294961</v>
      </c>
      <c r="O704" s="376" t="str">
        <f>IF(N704&lt;0.5,"A",IF(N704&gt;0.8,"C","B"))</f>
        <v>C</v>
      </c>
    </row>
    <row r="705" spans="1:15" x14ac:dyDescent="0.25">
      <c r="A705" s="232">
        <f t="shared" si="61"/>
        <v>705</v>
      </c>
      <c r="B705" s="232"/>
      <c r="C705" s="310" t="s">
        <v>12245</v>
      </c>
      <c r="D705" s="373" t="str">
        <f>IF($C705="","",IFERROR(VLOOKUP($C705,SERVIÇOS!$B:$G,2,0),IFERROR(VLOOKUP($C705,'COMPOSIÇÕES COMPLEMENTARES '!$D:$L,2,0),IFERROR(VLOOKUP($C705,INSUMOS!$A:$D,2,0),""))))</f>
        <v>TOMADA 16A/220V 3P+T - TAMPA VERMELHA (PADRÃO STECK DE EMBUTIR), EM CX. 4"X2".</v>
      </c>
      <c r="E705" s="312" t="str">
        <f>IF($C705="","",IFERROR(VLOOKUP($C705,SERVIÇOS!$B:$G,3,0),IFERROR(VLOOKUP($C705,'COMPOSIÇÕES COMPLEMENTARES '!$D:$L,3,0),IFERROR(VLOOKUP($C705,INSUMOS!$A:$D,3,0),""))))</f>
        <v>UN</v>
      </c>
      <c r="F705" s="313">
        <v>1</v>
      </c>
      <c r="G705" s="314">
        <f>IF($C705="","",IFERROR(VLOOKUP($C705,SERVIÇOS!$B:$G,4,0),IFERROR(VLOOKUP($C705,'COMPOSIÇÕES COMPLEMENTARES '!$D:$L,6,0),IFERROR(VLOOKUP($C705,INSUMOS!$A:$D,4,0),""))))</f>
        <v>60.23</v>
      </c>
      <c r="H705" s="314">
        <f>IF($C705="","",IFERROR(VLOOKUP($C705,SERVIÇOS!$B:$G,5,0),IFERROR(VLOOKUP($C705,'COMPOSIÇÕES COMPLEMENTARES '!$D:$L,7,0),0)))</f>
        <v>70.06</v>
      </c>
      <c r="I705" s="314">
        <f t="shared" si="62"/>
        <v>130.29</v>
      </c>
      <c r="J705" s="314">
        <f t="shared" si="63"/>
        <v>60.23</v>
      </c>
      <c r="K705" s="314">
        <f t="shared" si="64"/>
        <v>70.06</v>
      </c>
      <c r="L705" s="948">
        <f t="shared" si="65"/>
        <v>130.29</v>
      </c>
      <c r="M705" s="374">
        <f t="shared" si="66"/>
        <v>5640073.080000014</v>
      </c>
      <c r="N705" s="375">
        <f>+M705/L$815</f>
        <v>0.99865971333235237</v>
      </c>
      <c r="O705" s="376" t="str">
        <f>IF(N705&lt;0.5,"A",IF(N705&gt;0.8,"C","B"))</f>
        <v>C</v>
      </c>
    </row>
    <row r="706" spans="1:15" x14ac:dyDescent="0.25">
      <c r="A706" s="232">
        <f t="shared" si="61"/>
        <v>706</v>
      </c>
      <c r="B706" s="232"/>
      <c r="C706" s="310" t="s">
        <v>12202</v>
      </c>
      <c r="D706" s="373" t="str">
        <f>IF($C706="","",IFERROR(VLOOKUP($C706,SERVIÇOS!$B:$G,2,0),IFERROR(VLOOKUP($C706,'COMPOSIÇÕES COMPLEMENTARES '!$D:$L,2,0),IFERROR(VLOOKUP($C706,INSUMOS!$A:$D,2,0),""))))</f>
        <v>CONDUTOR DE COBRE FLEX. ISOL. 1KV - 90º - #16MM² - AFUMEX</v>
      </c>
      <c r="E706" s="312" t="str">
        <f>IF($C706="","",IFERROR(VLOOKUP($C706,SERVIÇOS!$B:$G,3,0),IFERROR(VLOOKUP($C706,'COMPOSIÇÕES COMPLEMENTARES '!$D:$L,3,0),IFERROR(VLOOKUP($C706,INSUMOS!$A:$D,3,0),""))))</f>
        <v>M</v>
      </c>
      <c r="F706" s="313">
        <v>5</v>
      </c>
      <c r="G706" s="314">
        <f>IF($C706="","",IFERROR(VLOOKUP($C706,SERVIÇOS!$B:$G,4,0),IFERROR(VLOOKUP($C706,'COMPOSIÇÕES COMPLEMENTARES '!$D:$L,6,0),IFERROR(VLOOKUP($C706,INSUMOS!$A:$D,4,0),""))))</f>
        <v>19.739999999999998</v>
      </c>
      <c r="H706" s="314">
        <f>IF($C706="","",IFERROR(VLOOKUP($C706,SERVIÇOS!$B:$G,5,0),IFERROR(VLOOKUP($C706,'COMPOSIÇÕES COMPLEMENTARES '!$D:$L,7,0),0)))</f>
        <v>5.69</v>
      </c>
      <c r="I706" s="314">
        <f t="shared" si="62"/>
        <v>25.43</v>
      </c>
      <c r="J706" s="314">
        <f t="shared" si="63"/>
        <v>98.7</v>
      </c>
      <c r="K706" s="314">
        <f t="shared" si="64"/>
        <v>28.45</v>
      </c>
      <c r="L706" s="948">
        <f t="shared" si="65"/>
        <v>127.15</v>
      </c>
      <c r="M706" s="374">
        <f t="shared" si="66"/>
        <v>5640200.2300000144</v>
      </c>
      <c r="N706" s="375">
        <f>+M706/L$815</f>
        <v>0.99868222715101207</v>
      </c>
      <c r="O706" s="376" t="str">
        <f>IF(N706&lt;0.5,"A",IF(N706&gt;0.8,"C","B"))</f>
        <v>C</v>
      </c>
    </row>
    <row r="707" spans="1:15" x14ac:dyDescent="0.25">
      <c r="A707" s="232">
        <f t="shared" si="61"/>
        <v>707</v>
      </c>
      <c r="B707" s="232"/>
      <c r="C707" s="310">
        <v>94495</v>
      </c>
      <c r="D707" s="373" t="str">
        <f>IF($C707="","",IFERROR(VLOOKUP($C707,SERVIÇOS!$B:$G,2,0),IFERROR(VLOOKUP($C707,'COMPOSIÇÕES COMPLEMENTARES '!$D:$L,2,0),IFERROR(VLOOKUP($C707,INSUMOS!$A:$D,2,0),""))))</f>
        <v>REGISTRO DE GAVETA BRUTO, LATÃO, ROSCÁVEL, 1" - FORNECIMENTO E INSTALAÇÃO. AF_08/2021</v>
      </c>
      <c r="E707" s="312" t="str">
        <f>IF($C707="","",IFERROR(VLOOKUP($C707,SERVIÇOS!$B:$G,3,0),IFERROR(VLOOKUP($C707,'COMPOSIÇÕES COMPLEMENTARES '!$D:$L,3,0),IFERROR(VLOOKUP($C707,INSUMOS!$A:$D,3,0),""))))</f>
        <v>UN</v>
      </c>
      <c r="F707" s="313">
        <v>2</v>
      </c>
      <c r="G707" s="314">
        <f>IF($C707="","",IFERROR(VLOOKUP($C707,SERVIÇOS!$B:$G,4,0),IFERROR(VLOOKUP($C707,'COMPOSIÇÕES COMPLEMENTARES '!$D:$L,6,0),IFERROR(VLOOKUP($C707,INSUMOS!$A:$D,4,0),""))))</f>
        <v>55.23</v>
      </c>
      <c r="H707" s="314">
        <f>IF($C707="","",IFERROR(VLOOKUP($C707,SERVIÇOS!$B:$G,5,0),IFERROR(VLOOKUP($C707,'COMPOSIÇÕES COMPLEMENTARES '!$D:$L,7,0),0)))</f>
        <v>7.21</v>
      </c>
      <c r="I707" s="314">
        <f t="shared" si="62"/>
        <v>62.44</v>
      </c>
      <c r="J707" s="314">
        <f t="shared" si="63"/>
        <v>110.46</v>
      </c>
      <c r="K707" s="314">
        <f t="shared" si="64"/>
        <v>14.42</v>
      </c>
      <c r="L707" s="948">
        <f t="shared" si="65"/>
        <v>124.88</v>
      </c>
      <c r="M707" s="374">
        <f t="shared" si="66"/>
        <v>5640325.1100000143</v>
      </c>
      <c r="N707" s="375">
        <f>+M707/L$815</f>
        <v>0.9987043390320518</v>
      </c>
      <c r="O707" s="376" t="str">
        <f>IF(N707&lt;0.5,"A",IF(N707&gt;0.8,"C","B"))</f>
        <v>C</v>
      </c>
    </row>
    <row r="708" spans="1:15" ht="25.5" x14ac:dyDescent="0.25">
      <c r="A708" s="232">
        <f t="shared" si="61"/>
        <v>708</v>
      </c>
      <c r="B708" s="232"/>
      <c r="C708" s="310" t="s">
        <v>12459</v>
      </c>
      <c r="D708" s="373" t="str">
        <f>IF($C708="","",IFERROR(VLOOKUP($C708,SERVIÇOS!$B:$G,2,0),IFERROR(VLOOKUP($C708,'COMPOSIÇÕES COMPLEMENTARES '!$D:$L,2,0),IFERROR(VLOOKUP($C708,INSUMOS!$A:$D,2,0),""))))</f>
        <v>DAMPER DE REGULAGEM DE VAZÃO 250x200MM. MARCA TROPICAL DRV-250x200 (OU EQUIVALENTE (OU SIMILAR - TROX, SEIMMEI, DIFUSAR)</v>
      </c>
      <c r="E708" s="312" t="str">
        <f>IF($C708="","",IFERROR(VLOOKUP($C708,SERVIÇOS!$B:$G,3,0),IFERROR(VLOOKUP($C708,'COMPOSIÇÕES COMPLEMENTARES '!$D:$L,3,0),IFERROR(VLOOKUP($C708,INSUMOS!$A:$D,3,0),""))))</f>
        <v>UN</v>
      </c>
      <c r="F708" s="313">
        <v>1</v>
      </c>
      <c r="G708" s="314">
        <f>IF($C708="","",IFERROR(VLOOKUP($C708,SERVIÇOS!$B:$G,4,0),IFERROR(VLOOKUP($C708,'COMPOSIÇÕES COMPLEMENTARES '!$D:$L,6,0),IFERROR(VLOOKUP($C708,INSUMOS!$A:$D,4,0),""))))</f>
        <v>111.22</v>
      </c>
      <c r="H708" s="314">
        <f>IF($C708="","",IFERROR(VLOOKUP($C708,SERVIÇOS!$B:$G,5,0),IFERROR(VLOOKUP($C708,'COMPOSIÇÕES COMPLEMENTARES '!$D:$L,7,0),0)))</f>
        <v>11.05</v>
      </c>
      <c r="I708" s="314">
        <f t="shared" si="62"/>
        <v>122.27</v>
      </c>
      <c r="J708" s="314">
        <f t="shared" si="63"/>
        <v>111.22</v>
      </c>
      <c r="K708" s="314">
        <f t="shared" si="64"/>
        <v>11.05</v>
      </c>
      <c r="L708" s="948">
        <f t="shared" si="65"/>
        <v>122.27</v>
      </c>
      <c r="M708" s="374">
        <f t="shared" si="66"/>
        <v>5640447.3800000139</v>
      </c>
      <c r="N708" s="375">
        <f>+M708/L$815</f>
        <v>0.99872598877336138</v>
      </c>
      <c r="O708" s="376" t="str">
        <f>IF(N708&lt;0.5,"A",IF(N708&gt;0.8,"C","B"))</f>
        <v>C</v>
      </c>
    </row>
    <row r="709" spans="1:15" x14ac:dyDescent="0.25">
      <c r="A709" s="232">
        <f t="shared" si="61"/>
        <v>709</v>
      </c>
      <c r="B709" s="232"/>
      <c r="C709" s="310">
        <v>89353</v>
      </c>
      <c r="D709" s="373" t="str">
        <f>IF($C709="","",IFERROR(VLOOKUP($C709,SERVIÇOS!$B:$G,2,0),IFERROR(VLOOKUP($C709,'COMPOSIÇÕES COMPLEMENTARES '!$D:$L,2,0),IFERROR(VLOOKUP($C709,INSUMOS!$A:$D,2,0),""))))</f>
        <v>REGISTRO DE GAVETA BRUTO, LATÃO, ROSCÁVEL, 3/4" - FORNECIMENTO E INSTALAÇÃO. AF_08/2021</v>
      </c>
      <c r="E709" s="312" t="str">
        <f>IF($C709="","",IFERROR(VLOOKUP($C709,SERVIÇOS!$B:$G,3,0),IFERROR(VLOOKUP($C709,'COMPOSIÇÕES COMPLEMENTARES '!$D:$L,3,0),IFERROR(VLOOKUP($C709,INSUMOS!$A:$D,3,0),""))))</f>
        <v>UN</v>
      </c>
      <c r="F709" s="313">
        <v>3</v>
      </c>
      <c r="G709" s="314">
        <f>IF($C709="","",IFERROR(VLOOKUP($C709,SERVIÇOS!$B:$G,4,0),IFERROR(VLOOKUP($C709,'COMPOSIÇÕES COMPLEMENTARES '!$D:$L,6,0),IFERROR(VLOOKUP($C709,INSUMOS!$A:$D,4,0),""))))</f>
        <v>35.31</v>
      </c>
      <c r="H709" s="314">
        <f>IF($C709="","",IFERROR(VLOOKUP($C709,SERVIÇOS!$B:$G,5,0),IFERROR(VLOOKUP($C709,'COMPOSIÇÕES COMPLEMENTARES '!$D:$L,7,0),0)))</f>
        <v>5.34</v>
      </c>
      <c r="I709" s="314">
        <f t="shared" si="62"/>
        <v>40.650000000000006</v>
      </c>
      <c r="J709" s="314">
        <f t="shared" si="63"/>
        <v>105.93</v>
      </c>
      <c r="K709" s="314">
        <f t="shared" si="64"/>
        <v>16.02</v>
      </c>
      <c r="L709" s="948">
        <f t="shared" si="65"/>
        <v>121.95</v>
      </c>
      <c r="M709" s="374">
        <f t="shared" si="66"/>
        <v>5640569.330000014</v>
      </c>
      <c r="N709" s="375">
        <f>+M709/L$815</f>
        <v>0.99874758185386114</v>
      </c>
      <c r="O709" s="376" t="str">
        <f>IF(N709&lt;0.5,"A",IF(N709&gt;0.8,"C","B"))</f>
        <v>C</v>
      </c>
    </row>
    <row r="710" spans="1:15" x14ac:dyDescent="0.25">
      <c r="A710" s="232">
        <f t="shared" si="61"/>
        <v>710</v>
      </c>
      <c r="B710" s="232"/>
      <c r="C710" s="310" t="s">
        <v>12084</v>
      </c>
      <c r="D710" s="373" t="str">
        <f>IF($C710="","",IFERROR(VLOOKUP($C710,SERVIÇOS!$B:$G,2,0),IFERROR(VLOOKUP($C710,'COMPOSIÇÕES COMPLEMENTARES '!$D:$L,2,0),IFERROR(VLOOKUP($C710,INSUMOS!$A:$D,2,0),""))))</f>
        <v>TORNEIRA DE PRESSÃO PARA REDE DE TORNEIRAS DE ÁGUA POTÁVEL 3/4", COM ENGATE PARA MANGUEIRA.</v>
      </c>
      <c r="E710" s="312" t="str">
        <f>IF($C710="","",IFERROR(VLOOKUP($C710,SERVIÇOS!$B:$G,3,0),IFERROR(VLOOKUP($C710,'COMPOSIÇÕES COMPLEMENTARES '!$D:$L,3,0),IFERROR(VLOOKUP($C710,INSUMOS!$A:$D,3,0),""))))</f>
        <v>UN</v>
      </c>
      <c r="F710" s="313">
        <v>2</v>
      </c>
      <c r="G710" s="314">
        <f>IF($C710="","",IFERROR(VLOOKUP($C710,SERVIÇOS!$B:$G,4,0),IFERROR(VLOOKUP($C710,'COMPOSIÇÕES COMPLEMENTARES '!$D:$L,6,0),IFERROR(VLOOKUP($C710,INSUMOS!$A:$D,4,0),""))))</f>
        <v>55.97</v>
      </c>
      <c r="H710" s="314">
        <f>IF($C710="","",IFERROR(VLOOKUP($C710,SERVIÇOS!$B:$G,5,0),IFERROR(VLOOKUP($C710,'COMPOSIÇÕES COMPLEMENTARES '!$D:$L,7,0),0)))</f>
        <v>4.95</v>
      </c>
      <c r="I710" s="314">
        <f t="shared" si="62"/>
        <v>60.92</v>
      </c>
      <c r="J710" s="314">
        <f t="shared" si="63"/>
        <v>111.94</v>
      </c>
      <c r="K710" s="314">
        <f t="shared" si="64"/>
        <v>9.9</v>
      </c>
      <c r="L710" s="948">
        <f t="shared" si="65"/>
        <v>121.84</v>
      </c>
      <c r="M710" s="374">
        <f t="shared" si="66"/>
        <v>5640691.1700000139</v>
      </c>
      <c r="N710" s="375">
        <f>+M710/L$815</f>
        <v>0.99876915545720746</v>
      </c>
      <c r="O710" s="376" t="str">
        <f>IF(N710&lt;0.5,"A",IF(N710&gt;0.8,"C","B"))</f>
        <v>C</v>
      </c>
    </row>
    <row r="711" spans="1:15" x14ac:dyDescent="0.25">
      <c r="A711" s="232">
        <f t="shared" si="61"/>
        <v>711</v>
      </c>
      <c r="B711" s="232"/>
      <c r="C711" s="310">
        <v>91981</v>
      </c>
      <c r="D711" s="373" t="str">
        <f>IF($C711="","",IFERROR(VLOOKUP($C711,SERVIÇOS!$B:$G,2,0),IFERROR(VLOOKUP($C711,'COMPOSIÇÕES COMPLEMENTARES '!$D:$L,2,0),IFERROR(VLOOKUP($C711,INSUMOS!$A:$D,2,0),""))))</f>
        <v>INTERRUPTOR BIPOLAR (1 MÓDULO), 10A/250V, INCLUINDO SUPORTE E PLACA - FORNECIMENTO E INSTALAÇÃO. AF_03/2023</v>
      </c>
      <c r="E711" s="312" t="str">
        <f>IF($C711="","",IFERROR(VLOOKUP($C711,SERVIÇOS!$B:$G,3,0),IFERROR(VLOOKUP($C711,'COMPOSIÇÕES COMPLEMENTARES '!$D:$L,3,0),IFERROR(VLOOKUP($C711,INSUMOS!$A:$D,3,0),""))))</f>
        <v>UN</v>
      </c>
      <c r="F711" s="313">
        <v>2</v>
      </c>
      <c r="G711" s="314">
        <f>IF($C711="","",IFERROR(VLOOKUP($C711,SERVIÇOS!$B:$G,4,0),IFERROR(VLOOKUP($C711,'COMPOSIÇÕES COMPLEMENTARES '!$D:$L,6,0),IFERROR(VLOOKUP($C711,INSUMOS!$A:$D,4,0),""))))</f>
        <v>34.49</v>
      </c>
      <c r="H711" s="314">
        <f>IF($C711="","",IFERROR(VLOOKUP($C711,SERVIÇOS!$B:$G,5,0),IFERROR(VLOOKUP($C711,'COMPOSIÇÕES COMPLEMENTARES '!$D:$L,7,0),0)))</f>
        <v>26.24</v>
      </c>
      <c r="I711" s="314">
        <f t="shared" si="62"/>
        <v>60.730000000000004</v>
      </c>
      <c r="J711" s="314">
        <f t="shared" si="63"/>
        <v>68.98</v>
      </c>
      <c r="K711" s="314">
        <f t="shared" si="64"/>
        <v>52.48</v>
      </c>
      <c r="L711" s="948">
        <f t="shared" si="65"/>
        <v>121.46</v>
      </c>
      <c r="M711" s="374">
        <f t="shared" si="66"/>
        <v>5640812.6300000139</v>
      </c>
      <c r="N711" s="375">
        <f>+M711/L$815</f>
        <v>0.99879066177584219</v>
      </c>
      <c r="O711" s="376" t="str">
        <f>IF(N711&lt;0.5,"A",IF(N711&gt;0.8,"C","B"))</f>
        <v>C</v>
      </c>
    </row>
    <row r="712" spans="1:15" ht="25.5" x14ac:dyDescent="0.25">
      <c r="A712" s="232">
        <f t="shared" si="61"/>
        <v>712</v>
      </c>
      <c r="B712" s="232"/>
      <c r="C712" s="310">
        <v>97670</v>
      </c>
      <c r="D712" s="373" t="str">
        <f>IF($C712="","",IFERROR(VLOOKUP($C712,SERVIÇOS!$B:$G,2,0),IFERROR(VLOOKUP($C712,'COMPOSIÇÕES COMPLEMENTARES '!$D:$L,2,0),IFERROR(VLOOKUP($C712,INSUMOS!$A:$D,2,0),""))))</f>
        <v>ELETRODUTO FLEXÍVEL CORRUGADO, PEAD, DN 100 (4"), PARA REDE ENTERRADA DE DISTRIBUIÇÃO DE ENERGIA ELÉTRICA - FORNECIMENTO E INSTALAÇÃO. AF_12/2021</v>
      </c>
      <c r="E712" s="312" t="str">
        <f>IF($C712="","",IFERROR(VLOOKUP($C712,SERVIÇOS!$B:$G,3,0),IFERROR(VLOOKUP($C712,'COMPOSIÇÕES COMPLEMENTARES '!$D:$L,3,0),IFERROR(VLOOKUP($C712,INSUMOS!$A:$D,3,0),""))))</f>
        <v>M</v>
      </c>
      <c r="F712" s="313">
        <v>4</v>
      </c>
      <c r="G712" s="314">
        <f>IF($C712="","",IFERROR(VLOOKUP($C712,SERVIÇOS!$B:$G,4,0),IFERROR(VLOOKUP($C712,'COMPOSIÇÕES COMPLEMENTARES '!$D:$L,6,0),IFERROR(VLOOKUP($C712,INSUMOS!$A:$D,4,0),""))))</f>
        <v>21.64</v>
      </c>
      <c r="H712" s="314">
        <f>IF($C712="","",IFERROR(VLOOKUP($C712,SERVIÇOS!$B:$G,5,0),IFERROR(VLOOKUP($C712,'COMPOSIÇÕES COMPLEMENTARES '!$D:$L,7,0),0)))</f>
        <v>8.51</v>
      </c>
      <c r="I712" s="314">
        <f t="shared" si="62"/>
        <v>30.15</v>
      </c>
      <c r="J712" s="314">
        <f t="shared" si="63"/>
        <v>86.56</v>
      </c>
      <c r="K712" s="314">
        <f t="shared" si="64"/>
        <v>34.04</v>
      </c>
      <c r="L712" s="948">
        <f t="shared" si="65"/>
        <v>120.6</v>
      </c>
      <c r="M712" s="374">
        <f t="shared" si="66"/>
        <v>5640933.2300000135</v>
      </c>
      <c r="N712" s="375">
        <f>+M712/L$815</f>
        <v>0.99881201581855028</v>
      </c>
      <c r="O712" s="376" t="str">
        <f>IF(N712&lt;0.5,"A",IF(N712&gt;0.8,"C","B"))</f>
        <v>C</v>
      </c>
    </row>
    <row r="713" spans="1:15" ht="25.5" x14ac:dyDescent="0.25">
      <c r="A713" s="232">
        <f t="shared" si="61"/>
        <v>713</v>
      </c>
      <c r="B713" s="232"/>
      <c r="C713" s="310">
        <v>91973</v>
      </c>
      <c r="D713" s="373" t="str">
        <f>IF($C713="","",IFERROR(VLOOKUP($C713,SERVIÇOS!$B:$G,2,0),IFERROR(VLOOKUP($C713,'COMPOSIÇÕES COMPLEMENTARES '!$D:$L,2,0),IFERROR(VLOOKUP($C713,INSUMOS!$A:$D,2,0),""))))</f>
        <v>INTERRUPTOR SIMPLES (2 MÓDULOS) COM INTERRUPTOR PARALELO (2 MÓDULOS), 10A/250V, INCLUINDO SUPORTE E PLACA - FORNECIMENTO E INSTALAÇÃO. AF_03/2023</v>
      </c>
      <c r="E713" s="312" t="str">
        <f>IF($C713="","",IFERROR(VLOOKUP($C713,SERVIÇOS!$B:$G,3,0),IFERROR(VLOOKUP($C713,'COMPOSIÇÕES COMPLEMENTARES '!$D:$L,3,0),IFERROR(VLOOKUP($C713,INSUMOS!$A:$D,3,0),""))))</f>
        <v>UN</v>
      </c>
      <c r="F713" s="313">
        <v>1</v>
      </c>
      <c r="G713" s="314">
        <f>IF($C713="","",IFERROR(VLOOKUP($C713,SERVIÇOS!$B:$G,4,0),IFERROR(VLOOKUP($C713,'COMPOSIÇÕES COMPLEMENTARES '!$D:$L,6,0),IFERROR(VLOOKUP($C713,INSUMOS!$A:$D,4,0),""))))</f>
        <v>64.260000000000005</v>
      </c>
      <c r="H713" s="314">
        <f>IF($C713="","",IFERROR(VLOOKUP($C713,SERVIÇOS!$B:$G,5,0),IFERROR(VLOOKUP($C713,'COMPOSIÇÕES COMPLEMENTARES '!$D:$L,7,0),0)))</f>
        <v>52.93</v>
      </c>
      <c r="I713" s="314">
        <f t="shared" si="62"/>
        <v>117.19</v>
      </c>
      <c r="J713" s="314">
        <f t="shared" si="63"/>
        <v>64.260000000000005</v>
      </c>
      <c r="K713" s="314">
        <f t="shared" si="64"/>
        <v>52.93</v>
      </c>
      <c r="L713" s="948">
        <f t="shared" si="65"/>
        <v>117.19</v>
      </c>
      <c r="M713" s="374">
        <f t="shared" si="66"/>
        <v>5641050.4200000139</v>
      </c>
      <c r="N713" s="375">
        <f>+M713/L$815</f>
        <v>0.99883276606950377</v>
      </c>
      <c r="O713" s="376" t="str">
        <f>IF(N713&lt;0.5,"A",IF(N713&gt;0.8,"C","B"))</f>
        <v>C</v>
      </c>
    </row>
    <row r="714" spans="1:15" ht="25.5" x14ac:dyDescent="0.25">
      <c r="A714" s="232">
        <f t="shared" ref="A714:A777" si="67">1+A713</f>
        <v>714</v>
      </c>
      <c r="B714" s="232"/>
      <c r="C714" s="310">
        <v>91943</v>
      </c>
      <c r="D714" s="373" t="str">
        <f>IF($C714="","",IFERROR(VLOOKUP($C714,SERVIÇOS!$B:$G,2,0),IFERROR(VLOOKUP($C714,'COMPOSIÇÕES COMPLEMENTARES '!$D:$L,2,0),IFERROR(VLOOKUP($C714,INSUMOS!$A:$D,2,0),""))))</f>
        <v>CAIXA RETANGULAR 4" X 4" MÉDIA (1,30 M DO PISO), PVC, INSTALADA EM PAREDE - FORNECIMENTO E INSTALAÇÃO. AF_03/2023</v>
      </c>
      <c r="E714" s="312" t="str">
        <f>IF($C714="","",IFERROR(VLOOKUP($C714,SERVIÇOS!$B:$G,3,0),IFERROR(VLOOKUP($C714,'COMPOSIÇÕES COMPLEMENTARES '!$D:$L,3,0),IFERROR(VLOOKUP($C714,INSUMOS!$A:$D,3,0),""))))</f>
        <v>UN</v>
      </c>
      <c r="F714" s="313">
        <v>4</v>
      </c>
      <c r="G714" s="314">
        <f>IF($C714="","",IFERROR(VLOOKUP($C714,SERVIÇOS!$B:$G,4,0),IFERROR(VLOOKUP($C714,'COMPOSIÇÕES COMPLEMENTARES '!$D:$L,6,0),IFERROR(VLOOKUP($C714,INSUMOS!$A:$D,4,0),""))))</f>
        <v>13.98</v>
      </c>
      <c r="H714" s="314">
        <f>IF($C714="","",IFERROR(VLOOKUP($C714,SERVIÇOS!$B:$G,5,0),IFERROR(VLOOKUP($C714,'COMPOSIÇÕES COMPLEMENTARES '!$D:$L,7,0),0)))</f>
        <v>15.09</v>
      </c>
      <c r="I714" s="314">
        <f t="shared" ref="I714:I777" si="68">IF(F714="","",G714+H714)</f>
        <v>29.07</v>
      </c>
      <c r="J714" s="314">
        <f t="shared" ref="J714:J777" si="69">IF(F714="","",TRUNC((F714*G714),2))</f>
        <v>55.92</v>
      </c>
      <c r="K714" s="314">
        <f t="shared" ref="K714:K777" si="70">IF(F714="","",TRUNC((F714*H714),2))</f>
        <v>60.36</v>
      </c>
      <c r="L714" s="948">
        <f t="shared" ref="L714:L777" si="71">IF(F714="","",TRUNC((J714+K714),2))</f>
        <v>116.28</v>
      </c>
      <c r="M714" s="374">
        <f t="shared" si="66"/>
        <v>5641166.7000000142</v>
      </c>
      <c r="N714" s="375">
        <f>+M714/L$815</f>
        <v>0.99885335519127916</v>
      </c>
      <c r="O714" s="376" t="str">
        <f>IF(N714&lt;0.5,"A",IF(N714&gt;0.8,"C","B"))</f>
        <v>C</v>
      </c>
    </row>
    <row r="715" spans="1:15" ht="25.5" x14ac:dyDescent="0.25">
      <c r="A715" s="232">
        <f t="shared" si="67"/>
        <v>715</v>
      </c>
      <c r="B715" s="232"/>
      <c r="C715" s="310" t="s">
        <v>12442</v>
      </c>
      <c r="D715" s="373" t="str">
        <f>IF($C715="","",IFERROR(VLOOKUP($C715,SERVIÇOS!$B:$G,2,0),IFERROR(VLOOKUP($C715,'COMPOSIÇÕES COMPLEMENTARES '!$D:$L,2,0),IFERROR(VLOOKUP($C715,INSUMOS!$A:$D,2,0),""))))</f>
        <v>VENEZIANA DE TOMADA DE AR EXTERNO EM ALUMÍNIO COM REGISTRO  300x200MM. MARCA TROPICAL MOD. TAE-300x200-RGA (OU SIMILAR - TROX, SEIMMEI, DIFUSAR)</v>
      </c>
      <c r="E715" s="312" t="str">
        <f>IF($C715="","",IFERROR(VLOOKUP($C715,SERVIÇOS!$B:$G,3,0),IFERROR(VLOOKUP($C715,'COMPOSIÇÕES COMPLEMENTARES '!$D:$L,3,0),IFERROR(VLOOKUP($C715,INSUMOS!$A:$D,3,0),""))))</f>
        <v>UN</v>
      </c>
      <c r="F715" s="313">
        <v>1</v>
      </c>
      <c r="G715" s="314">
        <f>IF($C715="","",IFERROR(VLOOKUP($C715,SERVIÇOS!$B:$G,4,0),IFERROR(VLOOKUP($C715,'COMPOSIÇÕES COMPLEMENTARES '!$D:$L,6,0),IFERROR(VLOOKUP($C715,INSUMOS!$A:$D,4,0),""))))</f>
        <v>94.2</v>
      </c>
      <c r="H715" s="314">
        <f>IF($C715="","",IFERROR(VLOOKUP($C715,SERVIÇOS!$B:$G,5,0),IFERROR(VLOOKUP($C715,'COMPOSIÇÕES COMPLEMENTARES '!$D:$L,7,0),0)))</f>
        <v>20.41</v>
      </c>
      <c r="I715" s="314">
        <f t="shared" si="68"/>
        <v>114.61</v>
      </c>
      <c r="J715" s="314">
        <f t="shared" si="69"/>
        <v>94.2</v>
      </c>
      <c r="K715" s="314">
        <f t="shared" si="70"/>
        <v>20.41</v>
      </c>
      <c r="L715" s="948">
        <f t="shared" si="71"/>
        <v>114.61</v>
      </c>
      <c r="M715" s="374">
        <f t="shared" ref="M715:M778" si="72">+L715+M714</f>
        <v>5641281.3100000145</v>
      </c>
      <c r="N715" s="375">
        <f>+M715/L$815</f>
        <v>0.99887364861445327</v>
      </c>
      <c r="O715" s="376" t="str">
        <f>IF(N715&lt;0.5,"A",IF(N715&gt;0.8,"C","B"))</f>
        <v>C</v>
      </c>
    </row>
    <row r="716" spans="1:15" ht="38.25" x14ac:dyDescent="0.25">
      <c r="A716" s="232">
        <f t="shared" si="67"/>
        <v>716</v>
      </c>
      <c r="B716" s="232"/>
      <c r="C716" s="310">
        <v>102279</v>
      </c>
      <c r="D716" s="373" t="str">
        <f>IF($C716="","",IFERROR(VLOOKUP($C716,SERVIÇOS!$B:$G,2,0),IFERROR(VLOOKUP($C716,'COMPOSIÇÕES COMPLEMENTARES '!$D:$L,2,0),IFERROR(VLOOKUP($C716,INSUMOS!$A:$D,2,0),""))))</f>
        <v>ESCAVAÇÃO MECANIZADA DE VALA COM PROF. ATÉ 1,5 M (MÉDIA MONTANTE E JUSANTE/UMA COMPOSIÇÃO POR TRECHO), ESCAVADEIRA (0,8 M3),LARG. MENOR QUE 1,5 M, EM SOLO DE 1A CATEGORIA, LOCAIS COM BAIXO NÍVEL DE INTERFERÊNCIA. AF_09/2024</v>
      </c>
      <c r="E716" s="312" t="str">
        <f>IF($C716="","",IFERROR(VLOOKUP($C716,SERVIÇOS!$B:$G,3,0),IFERROR(VLOOKUP($C716,'COMPOSIÇÕES COMPLEMENTARES '!$D:$L,3,0),IFERROR(VLOOKUP($C716,INSUMOS!$A:$D,3,0),""))))</f>
        <v>M3</v>
      </c>
      <c r="F716" s="313">
        <v>15.12</v>
      </c>
      <c r="G716" s="314">
        <f>IF($C716="","",IFERROR(VLOOKUP($C716,SERVIÇOS!$B:$G,4,0),IFERROR(VLOOKUP($C716,'COMPOSIÇÕES COMPLEMENTARES '!$D:$L,6,0),IFERROR(VLOOKUP($C716,INSUMOS!$A:$D,4,0),""))))</f>
        <v>5.79</v>
      </c>
      <c r="H716" s="314">
        <f>IF($C716="","",IFERROR(VLOOKUP($C716,SERVIÇOS!$B:$G,5,0),IFERROR(VLOOKUP($C716,'COMPOSIÇÕES COMPLEMENTARES '!$D:$L,7,0),0)))</f>
        <v>1.76</v>
      </c>
      <c r="I716" s="314">
        <f t="shared" si="68"/>
        <v>7.55</v>
      </c>
      <c r="J716" s="314">
        <f t="shared" si="69"/>
        <v>87.54</v>
      </c>
      <c r="K716" s="314">
        <f t="shared" si="70"/>
        <v>26.61</v>
      </c>
      <c r="L716" s="948">
        <f t="shared" si="71"/>
        <v>114.15</v>
      </c>
      <c r="M716" s="374">
        <f t="shared" si="72"/>
        <v>5641395.4600000149</v>
      </c>
      <c r="N716" s="375">
        <f>+M716/L$815</f>
        <v>0.99889386058771334</v>
      </c>
      <c r="O716" s="376" t="str">
        <f>IF(N716&lt;0.5,"A",IF(N716&gt;0.8,"C","B"))</f>
        <v>C</v>
      </c>
    </row>
    <row r="717" spans="1:15" x14ac:dyDescent="0.25">
      <c r="A717" s="232">
        <f t="shared" si="67"/>
        <v>717</v>
      </c>
      <c r="B717" s="232"/>
      <c r="C717" s="310" t="s">
        <v>12246</v>
      </c>
      <c r="D717" s="373" t="str">
        <f>IF($C717="","",IFERROR(VLOOKUP($C717,SERVIÇOS!$B:$G,2,0),IFERROR(VLOOKUP($C717,'COMPOSIÇÕES COMPLEMENTARES '!$D:$L,2,0),IFERROR(VLOOKUP($C717,INSUMOS!$A:$D,2,0),""))))</f>
        <v>PONTO PARA CAMPAINHA PARA BANHEIRO PNE EM CX. 4"X2"</v>
      </c>
      <c r="E717" s="312" t="str">
        <f>IF($C717="","",IFERROR(VLOOKUP($C717,SERVIÇOS!$B:$G,3,0),IFERROR(VLOOKUP($C717,'COMPOSIÇÕES COMPLEMENTARES '!$D:$L,3,0),IFERROR(VLOOKUP($C717,INSUMOS!$A:$D,3,0),""))))</f>
        <v>UN</v>
      </c>
      <c r="F717" s="313">
        <v>3</v>
      </c>
      <c r="G717" s="314">
        <f>IF($C717="","",IFERROR(VLOOKUP($C717,SERVIÇOS!$B:$G,4,0),IFERROR(VLOOKUP($C717,'COMPOSIÇÕES COMPLEMENTARES '!$D:$L,6,0),IFERROR(VLOOKUP($C717,INSUMOS!$A:$D,4,0),""))))</f>
        <v>17.059999999999999</v>
      </c>
      <c r="H717" s="314">
        <f>IF($C717="","",IFERROR(VLOOKUP($C717,SERVIÇOS!$B:$G,5,0),IFERROR(VLOOKUP($C717,'COMPOSIÇÕES COMPLEMENTARES '!$D:$L,7,0),0)))</f>
        <v>20.89</v>
      </c>
      <c r="I717" s="314">
        <f t="shared" si="68"/>
        <v>37.950000000000003</v>
      </c>
      <c r="J717" s="314">
        <f t="shared" si="69"/>
        <v>51.18</v>
      </c>
      <c r="K717" s="314">
        <f t="shared" si="70"/>
        <v>62.67</v>
      </c>
      <c r="L717" s="948">
        <f t="shared" si="71"/>
        <v>113.85</v>
      </c>
      <c r="M717" s="374">
        <f t="shared" si="72"/>
        <v>5641509.3100000145</v>
      </c>
      <c r="N717" s="375">
        <f>+M717/L$815</f>
        <v>0.99891401944146396</v>
      </c>
      <c r="O717" s="376" t="str">
        <f>IF(N717&lt;0.5,"A",IF(N717&gt;0.8,"C","B"))</f>
        <v>C</v>
      </c>
    </row>
    <row r="718" spans="1:15" x14ac:dyDescent="0.25">
      <c r="A718" s="232">
        <f t="shared" si="67"/>
        <v>718</v>
      </c>
      <c r="B718" s="232"/>
      <c r="C718" s="310" t="s">
        <v>12248</v>
      </c>
      <c r="D718" s="373" t="str">
        <f>IF($C718="","",IFERROR(VLOOKUP($C718,SERVIÇOS!$B:$G,2,0),IFERROR(VLOOKUP($C718,'COMPOSIÇÕES COMPLEMENTARES '!$D:$L,2,0),IFERROR(VLOOKUP($C718,INSUMOS!$A:$D,2,0),""))))</f>
        <v>CAIXA DE PASSAGEM, METÁLICA. MEDINDO 20X20X10CM</v>
      </c>
      <c r="E718" s="312" t="str">
        <f>IF($C718="","",IFERROR(VLOOKUP($C718,SERVIÇOS!$B:$G,3,0),IFERROR(VLOOKUP($C718,'COMPOSIÇÕES COMPLEMENTARES '!$D:$L,3,0),IFERROR(VLOOKUP($C718,INSUMOS!$A:$D,3,0),""))))</f>
        <v>UN</v>
      </c>
      <c r="F718" s="313">
        <v>1</v>
      </c>
      <c r="G718" s="314">
        <f>IF($C718="","",IFERROR(VLOOKUP($C718,SERVIÇOS!$B:$G,4,0),IFERROR(VLOOKUP($C718,'COMPOSIÇÕES COMPLEMENTARES '!$D:$L,6,0),IFERROR(VLOOKUP($C718,INSUMOS!$A:$D,4,0),""))))</f>
        <v>51.44</v>
      </c>
      <c r="H718" s="314">
        <f>IF($C718="","",IFERROR(VLOOKUP($C718,SERVIÇOS!$B:$G,5,0),IFERROR(VLOOKUP($C718,'COMPOSIÇÕES COMPLEMENTARES '!$D:$L,7,0),0)))</f>
        <v>61.92</v>
      </c>
      <c r="I718" s="314">
        <f t="shared" si="68"/>
        <v>113.36</v>
      </c>
      <c r="J718" s="314">
        <f t="shared" si="69"/>
        <v>51.44</v>
      </c>
      <c r="K718" s="314">
        <f t="shared" si="70"/>
        <v>61.92</v>
      </c>
      <c r="L718" s="948">
        <f t="shared" si="71"/>
        <v>113.36</v>
      </c>
      <c r="M718" s="374">
        <f t="shared" si="72"/>
        <v>5641622.6700000148</v>
      </c>
      <c r="N718" s="375">
        <f>+M718/L$815</f>
        <v>0.99893409153334956</v>
      </c>
      <c r="O718" s="376" t="str">
        <f>IF(N718&lt;0.5,"A",IF(N718&gt;0.8,"C","B"))</f>
        <v>C</v>
      </c>
    </row>
    <row r="719" spans="1:15" x14ac:dyDescent="0.25">
      <c r="A719" s="232">
        <f t="shared" si="67"/>
        <v>719</v>
      </c>
      <c r="B719" s="232"/>
      <c r="C719" s="310" t="s">
        <v>12248</v>
      </c>
      <c r="D719" s="373" t="str">
        <f>IF($C719="","",IFERROR(VLOOKUP($C719,SERVIÇOS!$B:$G,2,0),IFERROR(VLOOKUP($C719,'COMPOSIÇÕES COMPLEMENTARES '!$D:$L,2,0),IFERROR(VLOOKUP($C719,INSUMOS!$A:$D,2,0),""))))</f>
        <v>CAIXA DE PASSAGEM, METÁLICA. MEDINDO 20X20X10CM</v>
      </c>
      <c r="E719" s="312" t="str">
        <f>IF($C719="","",IFERROR(VLOOKUP($C719,SERVIÇOS!$B:$G,3,0),IFERROR(VLOOKUP($C719,'COMPOSIÇÕES COMPLEMENTARES '!$D:$L,3,0),IFERROR(VLOOKUP($C719,INSUMOS!$A:$D,3,0),""))))</f>
        <v>UN</v>
      </c>
      <c r="F719" s="313">
        <v>1</v>
      </c>
      <c r="G719" s="314">
        <f>IF($C719="","",IFERROR(VLOOKUP($C719,SERVIÇOS!$B:$G,4,0),IFERROR(VLOOKUP($C719,'COMPOSIÇÕES COMPLEMENTARES '!$D:$L,6,0),IFERROR(VLOOKUP($C719,INSUMOS!$A:$D,4,0),""))))</f>
        <v>51.44</v>
      </c>
      <c r="H719" s="314">
        <f>IF($C719="","",IFERROR(VLOOKUP($C719,SERVIÇOS!$B:$G,5,0),IFERROR(VLOOKUP($C719,'COMPOSIÇÕES COMPLEMENTARES '!$D:$L,7,0),0)))</f>
        <v>61.92</v>
      </c>
      <c r="I719" s="314">
        <f t="shared" si="68"/>
        <v>113.36</v>
      </c>
      <c r="J719" s="314">
        <f t="shared" si="69"/>
        <v>51.44</v>
      </c>
      <c r="K719" s="314">
        <f t="shared" si="70"/>
        <v>61.92</v>
      </c>
      <c r="L719" s="948">
        <f t="shared" si="71"/>
        <v>113.36</v>
      </c>
      <c r="M719" s="374">
        <f t="shared" si="72"/>
        <v>5641736.0300000152</v>
      </c>
      <c r="N719" s="375">
        <f>+M719/L$815</f>
        <v>0.99895416362523526</v>
      </c>
      <c r="O719" s="376" t="str">
        <f>IF(N719&lt;0.5,"A",IF(N719&gt;0.8,"C","B"))</f>
        <v>C</v>
      </c>
    </row>
    <row r="720" spans="1:15" x14ac:dyDescent="0.25">
      <c r="A720" s="232">
        <f t="shared" si="67"/>
        <v>720</v>
      </c>
      <c r="B720" s="232"/>
      <c r="C720" s="310">
        <v>93673</v>
      </c>
      <c r="D720" s="373" t="str">
        <f>IF($C720="","",IFERROR(VLOOKUP($C720,SERVIÇOS!$B:$G,2,0),IFERROR(VLOOKUP($C720,'COMPOSIÇÕES COMPLEMENTARES '!$D:$L,2,0),IFERROR(VLOOKUP($C720,INSUMOS!$A:$D,2,0),""))))</f>
        <v>DISJUNTOR TRIPOLAR TIPO DIN, CORRENTE NOMINAL DE 50A - FORNECIMENTO E INSTALAÇÃO. AF_10/2020</v>
      </c>
      <c r="E720" s="312" t="str">
        <f>IF($C720="","",IFERROR(VLOOKUP($C720,SERVIÇOS!$B:$G,3,0),IFERROR(VLOOKUP($C720,'COMPOSIÇÕES COMPLEMENTARES '!$D:$L,3,0),IFERROR(VLOOKUP($C720,INSUMOS!$A:$D,3,0),""))))</f>
        <v>UN</v>
      </c>
      <c r="F720" s="313">
        <v>1</v>
      </c>
      <c r="G720" s="314">
        <f>IF($C720="","",IFERROR(VLOOKUP($C720,SERVIÇOS!$B:$G,4,0),IFERROR(VLOOKUP($C720,'COMPOSIÇÕES COMPLEMENTARES '!$D:$L,6,0),IFERROR(VLOOKUP($C720,INSUMOS!$A:$D,4,0),""))))</f>
        <v>84.73</v>
      </c>
      <c r="H720" s="314">
        <f>IF($C720="","",IFERROR(VLOOKUP($C720,SERVIÇOS!$B:$G,5,0),IFERROR(VLOOKUP($C720,'COMPOSIÇÕES COMPLEMENTARES '!$D:$L,7,0),0)))</f>
        <v>28.1</v>
      </c>
      <c r="I720" s="314">
        <f t="shared" si="68"/>
        <v>112.83000000000001</v>
      </c>
      <c r="J720" s="314">
        <f t="shared" si="69"/>
        <v>84.73</v>
      </c>
      <c r="K720" s="314">
        <f t="shared" si="70"/>
        <v>28.1</v>
      </c>
      <c r="L720" s="948">
        <f t="shared" si="71"/>
        <v>112.83</v>
      </c>
      <c r="M720" s="374">
        <f t="shared" si="72"/>
        <v>5641848.8600000152</v>
      </c>
      <c r="N720" s="375">
        <f>+M720/L$815</f>
        <v>0.99897414187265465</v>
      </c>
      <c r="O720" s="376" t="str">
        <f>IF(N720&lt;0.5,"A",IF(N720&gt;0.8,"C","B"))</f>
        <v>C</v>
      </c>
    </row>
    <row r="721" spans="1:15" x14ac:dyDescent="0.25">
      <c r="A721" s="232">
        <f t="shared" si="67"/>
        <v>721</v>
      </c>
      <c r="B721" s="232"/>
      <c r="C721" s="310">
        <v>93673</v>
      </c>
      <c r="D721" s="373" t="str">
        <f>IF($C721="","",IFERROR(VLOOKUP($C721,SERVIÇOS!$B:$G,2,0),IFERROR(VLOOKUP($C721,'COMPOSIÇÕES COMPLEMENTARES '!$D:$L,2,0),IFERROR(VLOOKUP($C721,INSUMOS!$A:$D,2,0),""))))</f>
        <v>DISJUNTOR TRIPOLAR TIPO DIN, CORRENTE NOMINAL DE 50A - FORNECIMENTO E INSTALAÇÃO. AF_10/2020</v>
      </c>
      <c r="E721" s="312" t="str">
        <f>IF($C721="","",IFERROR(VLOOKUP($C721,SERVIÇOS!$B:$G,3,0),IFERROR(VLOOKUP($C721,'COMPOSIÇÕES COMPLEMENTARES '!$D:$L,3,0),IFERROR(VLOOKUP($C721,INSUMOS!$A:$D,3,0),""))))</f>
        <v>UN</v>
      </c>
      <c r="F721" s="313">
        <v>1</v>
      </c>
      <c r="G721" s="314">
        <f>IF($C721="","",IFERROR(VLOOKUP($C721,SERVIÇOS!$B:$G,4,0),IFERROR(VLOOKUP($C721,'COMPOSIÇÕES COMPLEMENTARES '!$D:$L,6,0),IFERROR(VLOOKUP($C721,INSUMOS!$A:$D,4,0),""))))</f>
        <v>84.73</v>
      </c>
      <c r="H721" s="314">
        <f>IF($C721="","",IFERROR(VLOOKUP($C721,SERVIÇOS!$B:$G,5,0),IFERROR(VLOOKUP($C721,'COMPOSIÇÕES COMPLEMENTARES '!$D:$L,7,0),0)))</f>
        <v>28.1</v>
      </c>
      <c r="I721" s="314">
        <f t="shared" si="68"/>
        <v>112.83000000000001</v>
      </c>
      <c r="J721" s="314">
        <f t="shared" si="69"/>
        <v>84.73</v>
      </c>
      <c r="K721" s="314">
        <f t="shared" si="70"/>
        <v>28.1</v>
      </c>
      <c r="L721" s="948">
        <f t="shared" si="71"/>
        <v>112.83</v>
      </c>
      <c r="M721" s="374">
        <f t="shared" si="72"/>
        <v>5641961.6900000153</v>
      </c>
      <c r="N721" s="375">
        <f>+M721/L$815</f>
        <v>0.99899412012007394</v>
      </c>
      <c r="O721" s="376" t="str">
        <f>IF(N721&lt;0.5,"A",IF(N721&gt;0.8,"C","B"))</f>
        <v>C</v>
      </c>
    </row>
    <row r="722" spans="1:15" x14ac:dyDescent="0.25">
      <c r="A722" s="232">
        <f t="shared" si="67"/>
        <v>722</v>
      </c>
      <c r="B722" s="232"/>
      <c r="C722" s="310">
        <v>91959</v>
      </c>
      <c r="D722" s="373" t="str">
        <f>IF($C722="","",IFERROR(VLOOKUP($C722,SERVIÇOS!$B:$G,2,0),IFERROR(VLOOKUP($C722,'COMPOSIÇÕES COMPLEMENTARES '!$D:$L,2,0),IFERROR(VLOOKUP($C722,INSUMOS!$A:$D,2,0),""))))</f>
        <v>INTERRUPTOR SIMPLES (2 MÓDULOS), 10A/250V, INCLUINDO SUPORTE E PLACA - FORNECIMENTO E INSTALAÇÃO. AF_03/2023</v>
      </c>
      <c r="E722" s="312" t="str">
        <f>IF($C722="","",IFERROR(VLOOKUP($C722,SERVIÇOS!$B:$G,3,0),IFERROR(VLOOKUP($C722,'COMPOSIÇÕES COMPLEMENTARES '!$D:$L,3,0),IFERROR(VLOOKUP($C722,INSUMOS!$A:$D,3,0),""))))</f>
        <v>UN</v>
      </c>
      <c r="F722" s="313">
        <v>2</v>
      </c>
      <c r="G722" s="314">
        <f>IF($C722="","",IFERROR(VLOOKUP($C722,SERVIÇOS!$B:$G,4,0),IFERROR(VLOOKUP($C722,'COMPOSIÇÕES COMPLEMENTARES '!$D:$L,6,0),IFERROR(VLOOKUP($C722,INSUMOS!$A:$D,4,0),""))))</f>
        <v>29.99</v>
      </c>
      <c r="H722" s="314">
        <f>IF($C722="","",IFERROR(VLOOKUP($C722,SERVIÇOS!$B:$G,5,0),IFERROR(VLOOKUP($C722,'COMPOSIÇÕES COMPLEMENTARES '!$D:$L,7,0),0)))</f>
        <v>26.24</v>
      </c>
      <c r="I722" s="314">
        <f t="shared" si="68"/>
        <v>56.23</v>
      </c>
      <c r="J722" s="314">
        <f t="shared" si="69"/>
        <v>59.98</v>
      </c>
      <c r="K722" s="314">
        <f t="shared" si="70"/>
        <v>52.48</v>
      </c>
      <c r="L722" s="948">
        <f t="shared" si="71"/>
        <v>112.46</v>
      </c>
      <c r="M722" s="374">
        <f t="shared" si="72"/>
        <v>5642074.1500000153</v>
      </c>
      <c r="N722" s="375">
        <f>+M722/L$815</f>
        <v>0.99901403285343182</v>
      </c>
      <c r="O722" s="376" t="str">
        <f>IF(N722&lt;0.5,"A",IF(N722&gt;0.8,"C","B"))</f>
        <v>C</v>
      </c>
    </row>
    <row r="723" spans="1:15" ht="25.5" x14ac:dyDescent="0.25">
      <c r="A723" s="232">
        <f t="shared" si="67"/>
        <v>723</v>
      </c>
      <c r="B723" s="232"/>
      <c r="C723" s="310" t="s">
        <v>12462</v>
      </c>
      <c r="D723" s="373" t="str">
        <f>IF($C723="","",IFERROR(VLOOKUP($C723,SERVIÇOS!$B:$G,2,0),IFERROR(VLOOKUP($C723,'COMPOSIÇÕES COMPLEMENTARES '!$D:$L,2,0),IFERROR(VLOOKUP($C723,INSUMOS!$A:$D,2,0),""))))</f>
        <v>DAMPER DE REGULAGEM DE VAZÃO 300x150MM. MARCA TROPICAL DRV-300x150 (OU EQUIVALENTE (OU SIMILAR - TROX, SEIMMEI, DIFUSAR)</v>
      </c>
      <c r="E723" s="312" t="str">
        <f>IF($C723="","",IFERROR(VLOOKUP($C723,SERVIÇOS!$B:$G,3,0),IFERROR(VLOOKUP($C723,'COMPOSIÇÕES COMPLEMENTARES '!$D:$L,3,0),IFERROR(VLOOKUP($C723,INSUMOS!$A:$D,3,0),""))))</f>
        <v>UN</v>
      </c>
      <c r="F723" s="313">
        <v>1</v>
      </c>
      <c r="G723" s="314">
        <f>IF($C723="","",IFERROR(VLOOKUP($C723,SERVIÇOS!$B:$G,4,0),IFERROR(VLOOKUP($C723,'COMPOSIÇÕES COMPLEMENTARES '!$D:$L,6,0),IFERROR(VLOOKUP($C723,INSUMOS!$A:$D,4,0),""))))</f>
        <v>100.5</v>
      </c>
      <c r="H723" s="314">
        <f>IF($C723="","",IFERROR(VLOOKUP($C723,SERVIÇOS!$B:$G,5,0),IFERROR(VLOOKUP($C723,'COMPOSIÇÕES COMPLEMENTARES '!$D:$L,7,0),0)))</f>
        <v>11.05</v>
      </c>
      <c r="I723" s="314">
        <f t="shared" si="68"/>
        <v>111.55</v>
      </c>
      <c r="J723" s="314">
        <f t="shared" si="69"/>
        <v>100.5</v>
      </c>
      <c r="K723" s="314">
        <f t="shared" si="70"/>
        <v>11.05</v>
      </c>
      <c r="L723" s="948">
        <f t="shared" si="71"/>
        <v>111.55</v>
      </c>
      <c r="M723" s="374">
        <f t="shared" si="72"/>
        <v>5642185.7000000151</v>
      </c>
      <c r="N723" s="375">
        <f>+M723/L$815</f>
        <v>0.99903378445761182</v>
      </c>
      <c r="O723" s="376" t="str">
        <f>IF(N723&lt;0.5,"A",IF(N723&gt;0.8,"C","B"))</f>
        <v>C</v>
      </c>
    </row>
    <row r="724" spans="1:15" ht="25.5" x14ac:dyDescent="0.25">
      <c r="A724" s="232">
        <f t="shared" si="67"/>
        <v>724</v>
      </c>
      <c r="B724" s="232"/>
      <c r="C724" s="310">
        <v>97914</v>
      </c>
      <c r="D724" s="373" t="str">
        <f>IF($C724="","",IFERROR(VLOOKUP($C724,SERVIÇOS!$B:$G,2,0),IFERROR(VLOOKUP($C724,'COMPOSIÇÕES COMPLEMENTARES '!$D:$L,2,0),IFERROR(VLOOKUP($C724,INSUMOS!$A:$D,2,0),""))))</f>
        <v>TRANSPORTE COM CAMINHÃO BASCULANTE DE 6 M³, EM VIA URBANA PAVIMENTADA, DMT ATÉ 30 KM (UNIDADE: M3XKM). AF_07/2020</v>
      </c>
      <c r="E724" s="312" t="str">
        <f>IF($C724="","",IFERROR(VLOOKUP($C724,SERVIÇOS!$B:$G,3,0),IFERROR(VLOOKUP($C724,'COMPOSIÇÕES COMPLEMENTARES '!$D:$L,3,0),IFERROR(VLOOKUP($C724,INSUMOS!$A:$D,3,0),""))))</f>
        <v>M3XKM</v>
      </c>
      <c r="F724" s="313">
        <v>34.380000000000003</v>
      </c>
      <c r="G724" s="314">
        <f>IF($C724="","",IFERROR(VLOOKUP($C724,SERVIÇOS!$B:$G,4,0),IFERROR(VLOOKUP($C724,'COMPOSIÇÕES COMPLEMENTARES '!$D:$L,6,0),IFERROR(VLOOKUP($C724,INSUMOS!$A:$D,4,0),""))))</f>
        <v>2.64</v>
      </c>
      <c r="H724" s="314">
        <f>IF($C724="","",IFERROR(VLOOKUP($C724,SERVIÇOS!$B:$G,5,0),IFERROR(VLOOKUP($C724,'COMPOSIÇÕES COMPLEMENTARES '!$D:$L,7,0),0)))</f>
        <v>0.56999999999999995</v>
      </c>
      <c r="I724" s="314">
        <f t="shared" si="68"/>
        <v>3.21</v>
      </c>
      <c r="J724" s="314">
        <f t="shared" si="69"/>
        <v>90.76</v>
      </c>
      <c r="K724" s="314">
        <f t="shared" si="70"/>
        <v>19.59</v>
      </c>
      <c r="L724" s="948">
        <f t="shared" si="71"/>
        <v>110.35</v>
      </c>
      <c r="M724" s="374">
        <f t="shared" si="72"/>
        <v>5642296.0500000147</v>
      </c>
      <c r="N724" s="375">
        <f>+M724/L$815</f>
        <v>0.99905332358375476</v>
      </c>
      <c r="O724" s="376" t="str">
        <f>IF(N724&lt;0.5,"A",IF(N724&gt;0.8,"C","B"))</f>
        <v>C</v>
      </c>
    </row>
    <row r="725" spans="1:15" x14ac:dyDescent="0.25">
      <c r="A725" s="232">
        <f t="shared" si="67"/>
        <v>725</v>
      </c>
      <c r="B725" s="232"/>
      <c r="C725" s="310">
        <v>93655</v>
      </c>
      <c r="D725" s="373" t="str">
        <f>IF($C725="","",IFERROR(VLOOKUP($C725,SERVIÇOS!$B:$G,2,0),IFERROR(VLOOKUP($C725,'COMPOSIÇÕES COMPLEMENTARES '!$D:$L,2,0),IFERROR(VLOOKUP($C725,INSUMOS!$A:$D,2,0),""))))</f>
        <v>DISJUNTOR MONOPOLAR TIPO DIN, CORRENTE NOMINAL DE 20A - FORNECIMENTO E INSTALAÇÃO. AF_10/2020</v>
      </c>
      <c r="E725" s="312" t="str">
        <f>IF($C725="","",IFERROR(VLOOKUP($C725,SERVIÇOS!$B:$G,3,0),IFERROR(VLOOKUP($C725,'COMPOSIÇÕES COMPLEMENTARES '!$D:$L,3,0),IFERROR(VLOOKUP($C725,INSUMOS!$A:$D,3,0),""))))</f>
        <v>UN</v>
      </c>
      <c r="F725" s="313">
        <v>7</v>
      </c>
      <c r="G725" s="314">
        <f>IF($C725="","",IFERROR(VLOOKUP($C725,SERVIÇOS!$B:$G,4,0),IFERROR(VLOOKUP($C725,'COMPOSIÇÕES COMPLEMENTARES '!$D:$L,6,0),IFERROR(VLOOKUP($C725,INSUMOS!$A:$D,4,0),""))))</f>
        <v>12.28</v>
      </c>
      <c r="H725" s="314">
        <f>IF($C725="","",IFERROR(VLOOKUP($C725,SERVIÇOS!$B:$G,5,0),IFERROR(VLOOKUP($C725,'COMPOSIÇÕES COMPLEMENTARES '!$D:$L,7,0),0)))</f>
        <v>3.28</v>
      </c>
      <c r="I725" s="314">
        <f t="shared" si="68"/>
        <v>15.559999999999999</v>
      </c>
      <c r="J725" s="314">
        <f t="shared" si="69"/>
        <v>85.96</v>
      </c>
      <c r="K725" s="314">
        <f t="shared" si="70"/>
        <v>22.96</v>
      </c>
      <c r="L725" s="948">
        <f t="shared" si="71"/>
        <v>108.92</v>
      </c>
      <c r="M725" s="374">
        <f t="shared" si="72"/>
        <v>5642404.9700000146</v>
      </c>
      <c r="N725" s="375">
        <f>+M725/L$815</f>
        <v>0.99907260950690391</v>
      </c>
      <c r="O725" s="376" t="str">
        <f>IF(N725&lt;0.5,"A",IF(N725&gt;0.8,"C","B"))</f>
        <v>C</v>
      </c>
    </row>
    <row r="726" spans="1:15" x14ac:dyDescent="0.25">
      <c r="A726" s="232">
        <f t="shared" si="67"/>
        <v>726</v>
      </c>
      <c r="B726" s="232"/>
      <c r="C726" s="310">
        <v>94497</v>
      </c>
      <c r="D726" s="373" t="str">
        <f>IF($C726="","",IFERROR(VLOOKUP($C726,SERVIÇOS!$B:$G,2,0),IFERROR(VLOOKUP($C726,'COMPOSIÇÕES COMPLEMENTARES '!$D:$L,2,0),IFERROR(VLOOKUP($C726,INSUMOS!$A:$D,2,0),""))))</f>
        <v>REGISTRO DE GAVETA BRUTO, LATÃO, ROSCÁVEL, 1 1/2" - FORNECIMENTO E INSTALAÇÃO. AF_08/2021</v>
      </c>
      <c r="E726" s="312" t="str">
        <f>IF($C726="","",IFERROR(VLOOKUP($C726,SERVIÇOS!$B:$G,3,0),IFERROR(VLOOKUP($C726,'COMPOSIÇÕES COMPLEMENTARES '!$D:$L,3,0),IFERROR(VLOOKUP($C726,INSUMOS!$A:$D,3,0),""))))</f>
        <v>UN</v>
      </c>
      <c r="F726" s="313">
        <v>1</v>
      </c>
      <c r="G726" s="314">
        <f>IF($C726="","",IFERROR(VLOOKUP($C726,SERVIÇOS!$B:$G,4,0),IFERROR(VLOOKUP($C726,'COMPOSIÇÕES COMPLEMENTARES '!$D:$L,6,0),IFERROR(VLOOKUP($C726,INSUMOS!$A:$D,4,0),""))))</f>
        <v>95.08</v>
      </c>
      <c r="H726" s="314">
        <f>IF($C726="","",IFERROR(VLOOKUP($C726,SERVIÇOS!$B:$G,5,0),IFERROR(VLOOKUP($C726,'COMPOSIÇÕES COMPLEMENTARES '!$D:$L,7,0),0)))</f>
        <v>12.8</v>
      </c>
      <c r="I726" s="314">
        <f t="shared" si="68"/>
        <v>107.88</v>
      </c>
      <c r="J726" s="314">
        <f t="shared" si="69"/>
        <v>95.08</v>
      </c>
      <c r="K726" s="314">
        <f t="shared" si="70"/>
        <v>12.8</v>
      </c>
      <c r="L726" s="948">
        <f t="shared" si="71"/>
        <v>107.88</v>
      </c>
      <c r="M726" s="374">
        <f t="shared" si="72"/>
        <v>5642512.8500000145</v>
      </c>
      <c r="N726" s="375">
        <f>+M726/L$815</f>
        <v>0.99909171128242102</v>
      </c>
      <c r="O726" s="376" t="str">
        <f>IF(N726&lt;0.5,"A",IF(N726&gt;0.8,"C","B"))</f>
        <v>C</v>
      </c>
    </row>
    <row r="727" spans="1:15" x14ac:dyDescent="0.25">
      <c r="A727" s="232">
        <f t="shared" si="67"/>
        <v>727</v>
      </c>
      <c r="B727" s="232"/>
      <c r="C727" s="310" t="s">
        <v>12093</v>
      </c>
      <c r="D727" s="377" t="str">
        <f>IF($C727="","",IFERROR(VLOOKUP($C727,SERVIÇOS!$B:$G,2,0),IFERROR(VLOOKUP($C727,'COMPOSIÇÕES COMPLEMENTARES '!$D:$L,2,0),IFERROR(VLOOKUP($C727,INSUMOS!$A:$D,2,0),""))))</f>
        <v>SUPORTE METÁLICO PARA OS FILTROS DE APROVEITAMENTO DE ÁGUA DE CHUVA</v>
      </c>
      <c r="E727" s="312" t="str">
        <f>IF($C727="","",IFERROR(VLOOKUP($C727,SERVIÇOS!$B:$G,3,0),IFERROR(VLOOKUP($C727,'COMPOSIÇÕES COMPLEMENTARES '!$D:$L,3,0),IFERROR(VLOOKUP($C727,INSUMOS!$A:$D,3,0),""))))</f>
        <v>UN</v>
      </c>
      <c r="F727" s="313">
        <v>1</v>
      </c>
      <c r="G727" s="314">
        <f>IF($C727="","",IFERROR(VLOOKUP($C727,SERVIÇOS!$B:$G,4,0),IFERROR(VLOOKUP($C727,'COMPOSIÇÕES COMPLEMENTARES '!$D:$L,6,0),IFERROR(VLOOKUP($C727,INSUMOS!$A:$D,4,0),""))))</f>
        <v>57.82</v>
      </c>
      <c r="H727" s="314">
        <f>IF($C727="","",IFERROR(VLOOKUP($C727,SERVIÇOS!$B:$G,5,0),IFERROR(VLOOKUP($C727,'COMPOSIÇÕES COMPLEMENTARES '!$D:$L,7,0),0)))</f>
        <v>48.61</v>
      </c>
      <c r="I727" s="314">
        <f t="shared" si="68"/>
        <v>106.43</v>
      </c>
      <c r="J727" s="314">
        <f t="shared" si="69"/>
        <v>57.82</v>
      </c>
      <c r="K727" s="314">
        <f t="shared" si="70"/>
        <v>48.61</v>
      </c>
      <c r="L727" s="948">
        <f t="shared" si="71"/>
        <v>106.43</v>
      </c>
      <c r="M727" s="374">
        <f t="shared" si="72"/>
        <v>5642619.2800000142</v>
      </c>
      <c r="N727" s="375">
        <f>+M727/L$815</f>
        <v>0.99911055631364343</v>
      </c>
      <c r="O727" s="376" t="str">
        <f>IF(N727&lt;0.5,"A",IF(N727&gt;0.8,"C","B"))</f>
        <v>C</v>
      </c>
    </row>
    <row r="728" spans="1:15" x14ac:dyDescent="0.25">
      <c r="A728" s="232">
        <f t="shared" si="67"/>
        <v>728</v>
      </c>
      <c r="B728" s="232"/>
      <c r="C728" s="310" t="s">
        <v>12155</v>
      </c>
      <c r="D728" s="373" t="str">
        <f>IF($C728="","",IFERROR(VLOOKUP($C728,SERVIÇOS!$B:$G,2,0),IFERROR(VLOOKUP($C728,'COMPOSIÇÕES COMPLEMENTARES '!$D:$L,2,0),IFERROR(VLOOKUP($C728,INSUMOS!$A:$D,2,0),""))))</f>
        <v>RASGO EM ALVENARIA PARA RAMAIS/ DISTRIBUIÇÃO COM DIÂMETROS MAIORES QUE 75 MM E MENORES OU IGUAIS A 100 MM</v>
      </c>
      <c r="E728" s="312" t="str">
        <f>IF($C728="","",IFERROR(VLOOKUP($C728,SERVIÇOS!$B:$G,3,0),IFERROR(VLOOKUP($C728,'COMPOSIÇÕES COMPLEMENTARES '!$D:$L,3,0),IFERROR(VLOOKUP($C728,INSUMOS!$A:$D,3,0),""))))</f>
        <v>M</v>
      </c>
      <c r="F728" s="313">
        <v>9</v>
      </c>
      <c r="G728" s="314">
        <f>IF($C728="","",IFERROR(VLOOKUP($C728,SERVIÇOS!$B:$G,4,0),IFERROR(VLOOKUP($C728,'COMPOSIÇÕES COMPLEMENTARES '!$D:$L,6,0),IFERROR(VLOOKUP($C728,INSUMOS!$A:$D,4,0),""))))</f>
        <v>4.8099999999999996</v>
      </c>
      <c r="H728" s="314">
        <f>IF($C728="","",IFERROR(VLOOKUP($C728,SERVIÇOS!$B:$G,5,0),IFERROR(VLOOKUP($C728,'COMPOSIÇÕES COMPLEMENTARES '!$D:$L,7,0),0)))</f>
        <v>7.01</v>
      </c>
      <c r="I728" s="314">
        <f t="shared" si="68"/>
        <v>11.82</v>
      </c>
      <c r="J728" s="314">
        <f t="shared" si="69"/>
        <v>43.29</v>
      </c>
      <c r="K728" s="314">
        <f t="shared" si="70"/>
        <v>63.09</v>
      </c>
      <c r="L728" s="948">
        <f t="shared" si="71"/>
        <v>106.38</v>
      </c>
      <c r="M728" s="374">
        <f t="shared" si="72"/>
        <v>5642725.6600000141</v>
      </c>
      <c r="N728" s="375">
        <f>+M728/L$815</f>
        <v>0.99912939249161448</v>
      </c>
      <c r="O728" s="376" t="str">
        <f>IF(N728&lt;0.5,"A",IF(N728&gt;0.8,"C","B"))</f>
        <v>C</v>
      </c>
    </row>
    <row r="729" spans="1:15" x14ac:dyDescent="0.25">
      <c r="A729" s="232">
        <f t="shared" si="67"/>
        <v>729</v>
      </c>
      <c r="B729" s="232"/>
      <c r="C729" s="310">
        <v>93382</v>
      </c>
      <c r="D729" s="373" t="str">
        <f>IF($C729="","",IFERROR(VLOOKUP($C729,SERVIÇOS!$B:$G,2,0),IFERROR(VLOOKUP($C729,'COMPOSIÇÕES COMPLEMENTARES '!$D:$L,2,0),IFERROR(VLOOKUP($C729,INSUMOS!$A:$D,2,0),""))))</f>
        <v>REATERRO MANUAL DE VALAS, COM COMPACTADOR DE SOLOS DE PERCUSSÃO. AF_08/2023</v>
      </c>
      <c r="E729" s="312" t="str">
        <f>IF($C729="","",IFERROR(VLOOKUP($C729,SERVIÇOS!$B:$G,3,0),IFERROR(VLOOKUP($C729,'COMPOSIÇÕES COMPLEMENTARES '!$D:$L,3,0),IFERROR(VLOOKUP($C729,INSUMOS!$A:$D,3,0),""))))</f>
        <v>M3</v>
      </c>
      <c r="F729" s="313">
        <v>3.09</v>
      </c>
      <c r="G729" s="314">
        <f>IF($C729="","",IFERROR(VLOOKUP($C729,SERVIÇOS!$B:$G,4,0),IFERROR(VLOOKUP($C729,'COMPOSIÇÕES COMPLEMENTARES '!$D:$L,6,0),IFERROR(VLOOKUP($C729,INSUMOS!$A:$D,4,0),""))))</f>
        <v>12.29</v>
      </c>
      <c r="H729" s="314">
        <f>IF($C729="","",IFERROR(VLOOKUP($C729,SERVIÇOS!$B:$G,5,0),IFERROR(VLOOKUP($C729,'COMPOSIÇÕES COMPLEMENTARES '!$D:$L,7,0),0)))</f>
        <v>20.78</v>
      </c>
      <c r="I729" s="314">
        <f t="shared" si="68"/>
        <v>33.07</v>
      </c>
      <c r="J729" s="314">
        <f t="shared" si="69"/>
        <v>37.97</v>
      </c>
      <c r="K729" s="314">
        <f t="shared" si="70"/>
        <v>64.209999999999994</v>
      </c>
      <c r="L729" s="948">
        <f t="shared" si="71"/>
        <v>102.18</v>
      </c>
      <c r="M729" s="374">
        <f t="shared" si="72"/>
        <v>5642827.8400000138</v>
      </c>
      <c r="N729" s="375">
        <f>+M729/L$815</f>
        <v>0.99914748499645623</v>
      </c>
      <c r="O729" s="376" t="str">
        <f>IF(N729&lt;0.5,"A",IF(N729&gt;0.8,"C","B"))</f>
        <v>C</v>
      </c>
    </row>
    <row r="730" spans="1:15" ht="25.5" x14ac:dyDescent="0.25">
      <c r="A730" s="232">
        <f t="shared" si="67"/>
        <v>730</v>
      </c>
      <c r="B730" s="232"/>
      <c r="C730" s="310" t="s">
        <v>12467</v>
      </c>
      <c r="D730" s="373" t="str">
        <f>IF($C730="","",IFERROR(VLOOKUP($C730,SERVIÇOS!$B:$G,2,0),IFERROR(VLOOKUP($C730,'COMPOSIÇÕES COMPLEMENTARES '!$D:$L,2,0),IFERROR(VLOOKUP($C730,INSUMOS!$A:$D,2,0),""))))</f>
        <v>DAMPER DE REGULAGEM DE VAZÃO 400x150MM. MARCA TROPICAL DRV-400x150 (OU EQUIVALENTE (OU SIMILAR - TROX, SEIMMEI, DIFUSAR)</v>
      </c>
      <c r="E730" s="312" t="str">
        <f>IF($C730="","",IFERROR(VLOOKUP($C730,SERVIÇOS!$B:$G,3,0),IFERROR(VLOOKUP($C730,'COMPOSIÇÕES COMPLEMENTARES '!$D:$L,3,0),IFERROR(VLOOKUP($C730,INSUMOS!$A:$D,3,0),""))))</f>
        <v>UN</v>
      </c>
      <c r="F730" s="313">
        <v>1</v>
      </c>
      <c r="G730" s="314">
        <f>IF($C730="","",IFERROR(VLOOKUP($C730,SERVIÇOS!$B:$G,4,0),IFERROR(VLOOKUP($C730,'COMPOSIÇÕES COMPLEMENTARES '!$D:$L,6,0),IFERROR(VLOOKUP($C730,INSUMOS!$A:$D,4,0),""))))</f>
        <v>89.79</v>
      </c>
      <c r="H730" s="314">
        <f>IF($C730="","",IFERROR(VLOOKUP($C730,SERVIÇOS!$B:$G,5,0),IFERROR(VLOOKUP($C730,'COMPOSIÇÕES COMPLEMENTARES '!$D:$L,7,0),0)))</f>
        <v>11.05</v>
      </c>
      <c r="I730" s="314">
        <f t="shared" si="68"/>
        <v>100.84</v>
      </c>
      <c r="J730" s="314">
        <f t="shared" si="69"/>
        <v>89.79</v>
      </c>
      <c r="K730" s="314">
        <f t="shared" si="70"/>
        <v>11.05</v>
      </c>
      <c r="L730" s="948">
        <f t="shared" si="71"/>
        <v>100.84</v>
      </c>
      <c r="M730" s="374">
        <f t="shared" si="72"/>
        <v>5642928.6800000137</v>
      </c>
      <c r="N730" s="375">
        <f>+M730/L$815</f>
        <v>0.99916534023415682</v>
      </c>
      <c r="O730" s="376" t="str">
        <f>IF(N730&lt;0.5,"A",IF(N730&gt;0.8,"C","B"))</f>
        <v>C</v>
      </c>
    </row>
    <row r="731" spans="1:15" x14ac:dyDescent="0.25">
      <c r="A731" s="232">
        <f t="shared" si="67"/>
        <v>731</v>
      </c>
      <c r="B731" s="232"/>
      <c r="C731" s="310">
        <v>93672</v>
      </c>
      <c r="D731" s="373" t="str">
        <f>IF($C731="","",IFERROR(VLOOKUP($C731,SERVIÇOS!$B:$G,2,0),IFERROR(VLOOKUP($C731,'COMPOSIÇÕES COMPLEMENTARES '!$D:$L,2,0),IFERROR(VLOOKUP($C731,INSUMOS!$A:$D,2,0),""))))</f>
        <v>DISJUNTOR TRIPOLAR TIPO DIN, CORRENTE NOMINAL DE 40A - FORNECIMENTO E INSTALAÇÃO. AF_10/2020</v>
      </c>
      <c r="E731" s="312" t="str">
        <f>IF($C731="","",IFERROR(VLOOKUP($C731,SERVIÇOS!$B:$G,3,0),IFERROR(VLOOKUP($C731,'COMPOSIÇÕES COMPLEMENTARES '!$D:$L,3,0),IFERROR(VLOOKUP($C731,INSUMOS!$A:$D,3,0),""))))</f>
        <v>UN</v>
      </c>
      <c r="F731" s="313">
        <v>1</v>
      </c>
      <c r="G731" s="314">
        <f>IF($C731="","",IFERROR(VLOOKUP($C731,SERVIÇOS!$B:$G,4,0),IFERROR(VLOOKUP($C731,'COMPOSIÇÕES COMPLEMENTARES '!$D:$L,6,0),IFERROR(VLOOKUP($C731,INSUMOS!$A:$D,4,0),""))))</f>
        <v>80.62</v>
      </c>
      <c r="H731" s="314">
        <f>IF($C731="","",IFERROR(VLOOKUP($C731,SERVIÇOS!$B:$G,5,0),IFERROR(VLOOKUP($C731,'COMPOSIÇÕES COMPLEMENTARES '!$D:$L,7,0),0)))</f>
        <v>20.09</v>
      </c>
      <c r="I731" s="314">
        <f t="shared" si="68"/>
        <v>100.71000000000001</v>
      </c>
      <c r="J731" s="314">
        <f t="shared" si="69"/>
        <v>80.62</v>
      </c>
      <c r="K731" s="314">
        <f t="shared" si="70"/>
        <v>20.09</v>
      </c>
      <c r="L731" s="948">
        <f t="shared" si="71"/>
        <v>100.71</v>
      </c>
      <c r="M731" s="374">
        <f t="shared" si="72"/>
        <v>5643029.3900000136</v>
      </c>
      <c r="N731" s="375">
        <f>+M731/L$815</f>
        <v>0.99918317245340349</v>
      </c>
      <c r="O731" s="376" t="str">
        <f>IF(N731&lt;0.5,"A",IF(N731&gt;0.8,"C","B"))</f>
        <v>C</v>
      </c>
    </row>
    <row r="732" spans="1:15" x14ac:dyDescent="0.25">
      <c r="A732" s="232">
        <f t="shared" si="67"/>
        <v>732</v>
      </c>
      <c r="B732" s="232"/>
      <c r="C732" s="310">
        <v>93382</v>
      </c>
      <c r="D732" s="373" t="str">
        <f>IF($C732="","",IFERROR(VLOOKUP($C732,SERVIÇOS!$B:$G,2,0),IFERROR(VLOOKUP($C732,'COMPOSIÇÕES COMPLEMENTARES '!$D:$L,2,0),IFERROR(VLOOKUP($C732,INSUMOS!$A:$D,2,0),""))))</f>
        <v>REATERRO MANUAL DE VALAS, COM COMPACTADOR DE SOLOS DE PERCUSSÃO. AF_08/2023</v>
      </c>
      <c r="E732" s="312" t="str">
        <f>IF($C732="","",IFERROR(VLOOKUP($C732,SERVIÇOS!$B:$G,3,0),IFERROR(VLOOKUP($C732,'COMPOSIÇÕES COMPLEMENTARES '!$D:$L,3,0),IFERROR(VLOOKUP($C732,INSUMOS!$A:$D,3,0),""))))</f>
        <v>M3</v>
      </c>
      <c r="F732" s="313">
        <v>2.88</v>
      </c>
      <c r="G732" s="314">
        <f>IF($C732="","",IFERROR(VLOOKUP($C732,SERVIÇOS!$B:$G,4,0),IFERROR(VLOOKUP($C732,'COMPOSIÇÕES COMPLEMENTARES '!$D:$L,6,0),IFERROR(VLOOKUP($C732,INSUMOS!$A:$D,4,0),""))))</f>
        <v>12.29</v>
      </c>
      <c r="H732" s="314">
        <f>IF($C732="","",IFERROR(VLOOKUP($C732,SERVIÇOS!$B:$G,5,0),IFERROR(VLOOKUP($C732,'COMPOSIÇÕES COMPLEMENTARES '!$D:$L,7,0),0)))</f>
        <v>20.78</v>
      </c>
      <c r="I732" s="314">
        <f t="shared" si="68"/>
        <v>33.07</v>
      </c>
      <c r="J732" s="314">
        <f t="shared" si="69"/>
        <v>35.39</v>
      </c>
      <c r="K732" s="314">
        <f t="shared" si="70"/>
        <v>59.84</v>
      </c>
      <c r="L732" s="948">
        <f t="shared" si="71"/>
        <v>95.23</v>
      </c>
      <c r="M732" s="374">
        <f t="shared" si="72"/>
        <v>5643124.6200000141</v>
      </c>
      <c r="N732" s="375">
        <f>+M732/L$815</f>
        <v>0.99920003435628169</v>
      </c>
      <c r="O732" s="376" t="str">
        <f>IF(N732&lt;0.5,"A",IF(N732&gt;0.8,"C","B"))</f>
        <v>C</v>
      </c>
    </row>
    <row r="733" spans="1:15" x14ac:dyDescent="0.25">
      <c r="A733" s="232">
        <f t="shared" si="67"/>
        <v>733</v>
      </c>
      <c r="B733" s="232"/>
      <c r="C733" s="310" t="s">
        <v>12229</v>
      </c>
      <c r="D733" s="373" t="str">
        <f>IF($C733="","",IFERROR(VLOOKUP($C733,SERVIÇOS!$B:$G,2,0),IFERROR(VLOOKUP($C733,'COMPOSIÇÕES COMPLEMENTARES '!$D:$L,2,0),IFERROR(VLOOKUP($C733,INSUMOS!$A:$D,2,0),""))))</f>
        <v>INTERRUPTOR C/ 5 TECLAS SIMPLES EM CX. 4"X4"</v>
      </c>
      <c r="E733" s="312" t="str">
        <f>IF($C733="","",IFERROR(VLOOKUP($C733,SERVIÇOS!$B:$G,3,0),IFERROR(VLOOKUP($C733,'COMPOSIÇÕES COMPLEMENTARES '!$D:$L,3,0),IFERROR(VLOOKUP($C733,INSUMOS!$A:$D,3,0),""))))</f>
        <v>UN</v>
      </c>
      <c r="F733" s="313">
        <v>1</v>
      </c>
      <c r="G733" s="314">
        <f>IF($C733="","",IFERROR(VLOOKUP($C733,SERVIÇOS!$B:$G,4,0),IFERROR(VLOOKUP($C733,'COMPOSIÇÕES COMPLEMENTARES '!$D:$L,6,0),IFERROR(VLOOKUP($C733,INSUMOS!$A:$D,4,0),""))))</f>
        <v>60.39</v>
      </c>
      <c r="H733" s="314">
        <f>IF($C733="","",IFERROR(VLOOKUP($C733,SERVIÇOS!$B:$G,5,0),IFERROR(VLOOKUP($C733,'COMPOSIÇÕES COMPLEMENTARES '!$D:$L,7,0),0)))</f>
        <v>34.65</v>
      </c>
      <c r="I733" s="314">
        <f t="shared" si="68"/>
        <v>95.039999999999992</v>
      </c>
      <c r="J733" s="314">
        <f t="shared" si="69"/>
        <v>60.39</v>
      </c>
      <c r="K733" s="314">
        <f t="shared" si="70"/>
        <v>34.65</v>
      </c>
      <c r="L733" s="948">
        <f t="shared" si="71"/>
        <v>95.04</v>
      </c>
      <c r="M733" s="374">
        <f t="shared" si="72"/>
        <v>5643219.6600000141</v>
      </c>
      <c r="N733" s="375">
        <f>+M733/L$815</f>
        <v>0.99921686261680409</v>
      </c>
      <c r="O733" s="376" t="str">
        <f>IF(N733&lt;0.5,"A",IF(N733&gt;0.8,"C","B"))</f>
        <v>C</v>
      </c>
    </row>
    <row r="734" spans="1:15" x14ac:dyDescent="0.25">
      <c r="A734" s="232">
        <f t="shared" si="67"/>
        <v>734</v>
      </c>
      <c r="B734" s="232"/>
      <c r="C734" s="310" t="s">
        <v>12543</v>
      </c>
      <c r="D734" s="373" t="str">
        <f>IF($C734="","",IFERROR(VLOOKUP($C734,SERVIÇOS!$B:$G,2,0),IFERROR(VLOOKUP($C734,'COMPOSIÇÕES COMPLEMENTARES '!$D:$L,2,0),IFERROR(VLOOKUP($C734,INSUMOS!$A:$D,2,0),""))))</f>
        <v>FONTE DE ENERGIA 12VCC / 220V</v>
      </c>
      <c r="E734" s="312" t="str">
        <f>IF($C734="","",IFERROR(VLOOKUP($C734,SERVIÇOS!$B:$G,3,0),IFERROR(VLOOKUP($C734,'COMPOSIÇÕES COMPLEMENTARES '!$D:$L,3,0),IFERROR(VLOOKUP($C734,INSUMOS!$A:$D,3,0),""))))</f>
        <v>UN</v>
      </c>
      <c r="F734" s="313">
        <v>1</v>
      </c>
      <c r="G734" s="314">
        <f>IF($C734="","",IFERROR(VLOOKUP($C734,SERVIÇOS!$B:$G,4,0),IFERROR(VLOOKUP($C734,'COMPOSIÇÕES COMPLEMENTARES '!$D:$L,6,0),IFERROR(VLOOKUP($C734,INSUMOS!$A:$D,4,0),""))))</f>
        <v>66.3</v>
      </c>
      <c r="H734" s="314">
        <f>IF($C734="","",IFERROR(VLOOKUP($C734,SERVIÇOS!$B:$G,5,0),IFERROR(VLOOKUP($C734,'COMPOSIÇÕES COMPLEMENTARES '!$D:$L,7,0),0)))</f>
        <v>28.06</v>
      </c>
      <c r="I734" s="314">
        <f t="shared" si="68"/>
        <v>94.36</v>
      </c>
      <c r="J734" s="314">
        <f t="shared" si="69"/>
        <v>66.3</v>
      </c>
      <c r="K734" s="314">
        <f t="shared" si="70"/>
        <v>28.06</v>
      </c>
      <c r="L734" s="948">
        <f t="shared" si="71"/>
        <v>94.36</v>
      </c>
      <c r="M734" s="374">
        <f t="shared" si="72"/>
        <v>5643314.0200000145</v>
      </c>
      <c r="N734" s="375">
        <f>+M734/L$815</f>
        <v>0.99923357047310546</v>
      </c>
      <c r="O734" s="376" t="str">
        <f>IF(N734&lt;0.5,"A",IF(N734&gt;0.8,"C","B"))</f>
        <v>C</v>
      </c>
    </row>
    <row r="735" spans="1:15" ht="38.25" x14ac:dyDescent="0.25">
      <c r="A735" s="232">
        <f t="shared" si="67"/>
        <v>735</v>
      </c>
      <c r="B735" s="232"/>
      <c r="C735" s="310">
        <v>101230</v>
      </c>
      <c r="D735" s="373" t="str">
        <f>IF($C735="","",IFERROR(VLOOKUP($C735,SERVIÇOS!$B:$G,2,0),IFERROR(VLOOKUP($C735,'COMPOSIÇÕES COMPLEMENTARES '!$D:$L,2,0),IFERROR(VLOOKUP($C735,INSUMOS!$A:$D,2,0),""))))</f>
        <v>ESCAVAÇÃO VERTICAL PARA INFRAESTRUTURA, COM CARGA, DESCARGA E TRANSPORTE DE SOLO DE 1ª CATEGORIA, COM ESCAVADEIRA HIDRÁULICA (CAÇAMBA: 0,8 M³ / 111 HP), FROTA DE 3 CAMINHÕES BASCULANTES DE 14 M³, DMT ATÉ 1 KM E VELOCIDADE MÉDIA14 KM/H. AF_05/2020</v>
      </c>
      <c r="E735" s="312" t="str">
        <f>IF($C735="","",IFERROR(VLOOKUP($C735,SERVIÇOS!$B:$G,3,0),IFERROR(VLOOKUP($C735,'COMPOSIÇÕES COMPLEMENTARES '!$D:$L,3,0),IFERROR(VLOOKUP($C735,INSUMOS!$A:$D,3,0),""))))</f>
        <v>M3</v>
      </c>
      <c r="F735" s="313">
        <v>7.97</v>
      </c>
      <c r="G735" s="314">
        <f>IF($C735="","",IFERROR(VLOOKUP($C735,SERVIÇOS!$B:$G,4,0),IFERROR(VLOOKUP($C735,'COMPOSIÇÕES COMPLEMENTARES '!$D:$L,6,0),IFERROR(VLOOKUP($C735,INSUMOS!$A:$D,4,0),""))))</f>
        <v>10.199999999999999</v>
      </c>
      <c r="H735" s="314">
        <f>IF($C735="","",IFERROR(VLOOKUP($C735,SERVIÇOS!$B:$G,5,0),IFERROR(VLOOKUP($C735,'COMPOSIÇÕES COMPLEMENTARES '!$D:$L,7,0),0)))</f>
        <v>1.6</v>
      </c>
      <c r="I735" s="314">
        <f t="shared" si="68"/>
        <v>11.799999999999999</v>
      </c>
      <c r="J735" s="314">
        <f t="shared" si="69"/>
        <v>81.290000000000006</v>
      </c>
      <c r="K735" s="314">
        <f t="shared" si="70"/>
        <v>12.75</v>
      </c>
      <c r="L735" s="948">
        <f t="shared" si="71"/>
        <v>94.04</v>
      </c>
      <c r="M735" s="374">
        <f t="shared" si="72"/>
        <v>5643408.0600000145</v>
      </c>
      <c r="N735" s="375">
        <f>+M735/L$815</f>
        <v>0.99925022166859712</v>
      </c>
      <c r="O735" s="376" t="str">
        <f>IF(N735&lt;0.5,"A",IF(N735&gt;0.8,"C","B"))</f>
        <v>C</v>
      </c>
    </row>
    <row r="736" spans="1:15" ht="25.5" x14ac:dyDescent="0.25">
      <c r="A736" s="232">
        <f t="shared" si="67"/>
        <v>736</v>
      </c>
      <c r="B736" s="232"/>
      <c r="C736" s="310">
        <v>95777</v>
      </c>
      <c r="D736" s="373" t="str">
        <f>IF($C736="","",IFERROR(VLOOKUP($C736,SERVIÇOS!$B:$G,2,0),IFERROR(VLOOKUP($C736,'COMPOSIÇÕES COMPLEMENTARES '!$D:$L,2,0),IFERROR(VLOOKUP($C736,INSUMOS!$A:$D,2,0),""))))</f>
        <v>CONDULETE DE ALUMÍNIO, TIPO B, PARA ELETRODUTO DE AÇO GALVANIZADO DN 20 MM (3/4''), APARENTE - FORNECIMENTO E INSTALAÇÃO. AF_10/2022</v>
      </c>
      <c r="E736" s="312" t="str">
        <f>IF($C736="","",IFERROR(VLOOKUP($C736,SERVIÇOS!$B:$G,3,0),IFERROR(VLOOKUP($C736,'COMPOSIÇÕES COMPLEMENTARES '!$D:$L,3,0),IFERROR(VLOOKUP($C736,INSUMOS!$A:$D,3,0),""))))</f>
        <v>UN</v>
      </c>
      <c r="F736" s="313">
        <v>3</v>
      </c>
      <c r="G736" s="314">
        <f>IF($C736="","",IFERROR(VLOOKUP($C736,SERVIÇOS!$B:$G,4,0),IFERROR(VLOOKUP($C736,'COMPOSIÇÕES COMPLEMENTARES '!$D:$L,6,0),IFERROR(VLOOKUP($C736,INSUMOS!$A:$D,4,0),""))))</f>
        <v>19.920000000000002</v>
      </c>
      <c r="H736" s="314">
        <f>IF($C736="","",IFERROR(VLOOKUP($C736,SERVIÇOS!$B:$G,5,0),IFERROR(VLOOKUP($C736,'COMPOSIÇÕES COMPLEMENTARES '!$D:$L,7,0),0)))</f>
        <v>11.39</v>
      </c>
      <c r="I736" s="314">
        <f t="shared" si="68"/>
        <v>31.310000000000002</v>
      </c>
      <c r="J736" s="314">
        <f t="shared" si="69"/>
        <v>59.76</v>
      </c>
      <c r="K736" s="314">
        <f t="shared" si="70"/>
        <v>34.17</v>
      </c>
      <c r="L736" s="948">
        <f t="shared" si="71"/>
        <v>93.93</v>
      </c>
      <c r="M736" s="374">
        <f t="shared" si="72"/>
        <v>5643501.9900000142</v>
      </c>
      <c r="N736" s="375">
        <f>+M736/L$815</f>
        <v>0.99926685338693522</v>
      </c>
      <c r="O736" s="376" t="str">
        <f>IF(N736&lt;0.5,"A",IF(N736&gt;0.8,"C","B"))</f>
        <v>C</v>
      </c>
    </row>
    <row r="737" spans="1:15" x14ac:dyDescent="0.25">
      <c r="A737" s="232">
        <f t="shared" si="67"/>
        <v>737</v>
      </c>
      <c r="B737" s="232"/>
      <c r="C737" s="310">
        <v>93655</v>
      </c>
      <c r="D737" s="373" t="str">
        <f>IF($C737="","",IFERROR(VLOOKUP($C737,SERVIÇOS!$B:$G,2,0),IFERROR(VLOOKUP($C737,'COMPOSIÇÕES COMPLEMENTARES '!$D:$L,2,0),IFERROR(VLOOKUP($C737,INSUMOS!$A:$D,2,0),""))))</f>
        <v>DISJUNTOR MONOPOLAR TIPO DIN, CORRENTE NOMINAL DE 20A - FORNECIMENTO E INSTALAÇÃO. AF_10/2020</v>
      </c>
      <c r="E737" s="312" t="str">
        <f>IF($C737="","",IFERROR(VLOOKUP($C737,SERVIÇOS!$B:$G,3,0),IFERROR(VLOOKUP($C737,'COMPOSIÇÕES COMPLEMENTARES '!$D:$L,3,0),IFERROR(VLOOKUP($C737,INSUMOS!$A:$D,3,0),""))))</f>
        <v>UN</v>
      </c>
      <c r="F737" s="313">
        <v>6</v>
      </c>
      <c r="G737" s="314">
        <f>IF($C737="","",IFERROR(VLOOKUP($C737,SERVIÇOS!$B:$G,4,0),IFERROR(VLOOKUP($C737,'COMPOSIÇÕES COMPLEMENTARES '!$D:$L,6,0),IFERROR(VLOOKUP($C737,INSUMOS!$A:$D,4,0),""))))</f>
        <v>12.28</v>
      </c>
      <c r="H737" s="314">
        <f>IF($C737="","",IFERROR(VLOOKUP($C737,SERVIÇOS!$B:$G,5,0),IFERROR(VLOOKUP($C737,'COMPOSIÇÕES COMPLEMENTARES '!$D:$L,7,0),0)))</f>
        <v>3.28</v>
      </c>
      <c r="I737" s="314">
        <f t="shared" si="68"/>
        <v>15.559999999999999</v>
      </c>
      <c r="J737" s="314">
        <f t="shared" si="69"/>
        <v>73.680000000000007</v>
      </c>
      <c r="K737" s="314">
        <f t="shared" si="70"/>
        <v>19.68</v>
      </c>
      <c r="L737" s="948">
        <f t="shared" si="71"/>
        <v>93.36</v>
      </c>
      <c r="M737" s="374">
        <f t="shared" si="72"/>
        <v>5643595.3500000145</v>
      </c>
      <c r="N737" s="375">
        <f>+M737/L$815</f>
        <v>0.99928338417820595</v>
      </c>
      <c r="O737" s="376" t="str">
        <f>IF(N737&lt;0.5,"A",IF(N737&gt;0.8,"C","B"))</f>
        <v>C</v>
      </c>
    </row>
    <row r="738" spans="1:15" x14ac:dyDescent="0.25">
      <c r="A738" s="232">
        <f t="shared" si="67"/>
        <v>738</v>
      </c>
      <c r="B738" s="232"/>
      <c r="C738" s="310" t="s">
        <v>12188</v>
      </c>
      <c r="D738" s="373" t="str">
        <f>IF($C738="","",IFERROR(VLOOKUP($C738,SERVIÇOS!$B:$G,2,0),IFERROR(VLOOKUP($C738,'COMPOSIÇÕES COMPLEMENTARES '!$D:$L,2,0),IFERROR(VLOOKUP($C738,INSUMOS!$A:$D,2,0),""))))</f>
        <v>TERMINAL DE COMPRESSÃO #95MM²</v>
      </c>
      <c r="E738" s="312" t="str">
        <f>IF($C738="","",IFERROR(VLOOKUP($C738,SERVIÇOS!$B:$G,3,0),IFERROR(VLOOKUP($C738,'COMPOSIÇÕES COMPLEMENTARES '!$D:$L,3,0),IFERROR(VLOOKUP($C738,INSUMOS!$A:$D,3,0),""))))</f>
        <v>UN</v>
      </c>
      <c r="F738" s="313">
        <v>8</v>
      </c>
      <c r="G738" s="314">
        <f>IF($C738="","",IFERROR(VLOOKUP($C738,SERVIÇOS!$B:$G,4,0),IFERROR(VLOOKUP($C738,'COMPOSIÇÕES COMPLEMENTARES '!$D:$L,6,0),IFERROR(VLOOKUP($C738,INSUMOS!$A:$D,4,0),""))))</f>
        <v>9.99</v>
      </c>
      <c r="H738" s="314">
        <f>IF($C738="","",IFERROR(VLOOKUP($C738,SERVIÇOS!$B:$G,5,0),IFERROR(VLOOKUP($C738,'COMPOSIÇÕES COMPLEMENTARES '!$D:$L,7,0),0)))</f>
        <v>1.68</v>
      </c>
      <c r="I738" s="314">
        <f t="shared" si="68"/>
        <v>11.67</v>
      </c>
      <c r="J738" s="314">
        <f t="shared" si="69"/>
        <v>79.92</v>
      </c>
      <c r="K738" s="314">
        <f t="shared" si="70"/>
        <v>13.44</v>
      </c>
      <c r="L738" s="948">
        <f t="shared" si="71"/>
        <v>93.36</v>
      </c>
      <c r="M738" s="374">
        <f t="shared" si="72"/>
        <v>5643688.7100000149</v>
      </c>
      <c r="N738" s="375">
        <f>+M738/L$815</f>
        <v>0.99929991496947668</v>
      </c>
      <c r="O738" s="376" t="str">
        <f>IF(N738&lt;0.5,"A",IF(N738&gt;0.8,"C","B"))</f>
        <v>C</v>
      </c>
    </row>
    <row r="739" spans="1:15" x14ac:dyDescent="0.25">
      <c r="A739" s="232">
        <f t="shared" si="67"/>
        <v>739</v>
      </c>
      <c r="B739" s="232"/>
      <c r="C739" s="310" t="s">
        <v>12188</v>
      </c>
      <c r="D739" s="373" t="str">
        <f>IF($C739="","",IFERROR(VLOOKUP($C739,SERVIÇOS!$B:$G,2,0),IFERROR(VLOOKUP($C739,'COMPOSIÇÕES COMPLEMENTARES '!$D:$L,2,0),IFERROR(VLOOKUP($C739,INSUMOS!$A:$D,2,0),""))))</f>
        <v>TERMINAL DE COMPRESSÃO #95MM²</v>
      </c>
      <c r="E739" s="312" t="str">
        <f>IF($C739="","",IFERROR(VLOOKUP($C739,SERVIÇOS!$B:$G,3,0),IFERROR(VLOOKUP($C739,'COMPOSIÇÕES COMPLEMENTARES '!$D:$L,3,0),IFERROR(VLOOKUP($C739,INSUMOS!$A:$D,3,0),""))))</f>
        <v>UN</v>
      </c>
      <c r="F739" s="313">
        <v>8</v>
      </c>
      <c r="G739" s="314">
        <f>IF($C739="","",IFERROR(VLOOKUP($C739,SERVIÇOS!$B:$G,4,0),IFERROR(VLOOKUP($C739,'COMPOSIÇÕES COMPLEMENTARES '!$D:$L,6,0),IFERROR(VLOOKUP($C739,INSUMOS!$A:$D,4,0),""))))</f>
        <v>9.99</v>
      </c>
      <c r="H739" s="314">
        <f>IF($C739="","",IFERROR(VLOOKUP($C739,SERVIÇOS!$B:$G,5,0),IFERROR(VLOOKUP($C739,'COMPOSIÇÕES COMPLEMENTARES '!$D:$L,7,0),0)))</f>
        <v>1.68</v>
      </c>
      <c r="I739" s="314">
        <f t="shared" si="68"/>
        <v>11.67</v>
      </c>
      <c r="J739" s="314">
        <f t="shared" si="69"/>
        <v>79.92</v>
      </c>
      <c r="K739" s="314">
        <f t="shared" si="70"/>
        <v>13.44</v>
      </c>
      <c r="L739" s="948">
        <f t="shared" si="71"/>
        <v>93.36</v>
      </c>
      <c r="M739" s="374">
        <f t="shared" si="72"/>
        <v>5643782.0700000152</v>
      </c>
      <c r="N739" s="375">
        <f>+M739/L$815</f>
        <v>0.9993164457607473</v>
      </c>
      <c r="O739" s="376" t="str">
        <f>IF(N739&lt;0.5,"A",IF(N739&gt;0.8,"C","B"))</f>
        <v>C</v>
      </c>
    </row>
    <row r="740" spans="1:15" x14ac:dyDescent="0.25">
      <c r="A740" s="232">
        <f t="shared" si="67"/>
        <v>740</v>
      </c>
      <c r="B740" s="232"/>
      <c r="C740" s="310">
        <v>93671</v>
      </c>
      <c r="D740" s="373" t="str">
        <f>IF($C740="","",IFERROR(VLOOKUP($C740,SERVIÇOS!$B:$G,2,0),IFERROR(VLOOKUP($C740,'COMPOSIÇÕES COMPLEMENTARES '!$D:$L,2,0),IFERROR(VLOOKUP($C740,INSUMOS!$A:$D,2,0),""))))</f>
        <v>DISJUNTOR TRIPOLAR TIPO DIN, CORRENTE NOMINAL DE 32A - FORNECIMENTO E INSTALAÇÃO. AF_10/2020</v>
      </c>
      <c r="E740" s="312" t="str">
        <f>IF($C740="","",IFERROR(VLOOKUP($C740,SERVIÇOS!$B:$G,3,0),IFERROR(VLOOKUP($C740,'COMPOSIÇÕES COMPLEMENTARES '!$D:$L,3,0),IFERROR(VLOOKUP($C740,INSUMOS!$A:$D,3,0),""))))</f>
        <v>UN</v>
      </c>
      <c r="F740" s="313">
        <v>1</v>
      </c>
      <c r="G740" s="314">
        <f>IF($C740="","",IFERROR(VLOOKUP($C740,SERVIÇOS!$B:$G,4,0),IFERROR(VLOOKUP($C740,'COMPOSIÇÕES COMPLEMENTARES '!$D:$L,6,0),IFERROR(VLOOKUP($C740,INSUMOS!$A:$D,4,0),""))))</f>
        <v>77.73</v>
      </c>
      <c r="H740" s="314">
        <f>IF($C740="","",IFERROR(VLOOKUP($C740,SERVIÇOS!$B:$G,5,0),IFERROR(VLOOKUP($C740,'COMPOSIÇÕES COMPLEMENTARES '!$D:$L,7,0),0)))</f>
        <v>13.54</v>
      </c>
      <c r="I740" s="314">
        <f t="shared" si="68"/>
        <v>91.27000000000001</v>
      </c>
      <c r="J740" s="314">
        <f t="shared" si="69"/>
        <v>77.73</v>
      </c>
      <c r="K740" s="314">
        <f t="shared" si="70"/>
        <v>13.54</v>
      </c>
      <c r="L740" s="948">
        <f t="shared" si="71"/>
        <v>91.27</v>
      </c>
      <c r="M740" s="374">
        <f t="shared" si="72"/>
        <v>5643873.3400000148</v>
      </c>
      <c r="N740" s="375">
        <f>+M740/L$815</f>
        <v>0.99933260648610367</v>
      </c>
      <c r="O740" s="376" t="str">
        <f>IF(N740&lt;0.5,"A",IF(N740&gt;0.8,"C","B"))</f>
        <v>C</v>
      </c>
    </row>
    <row r="741" spans="1:15" x14ac:dyDescent="0.25">
      <c r="A741" s="232">
        <f t="shared" si="67"/>
        <v>741</v>
      </c>
      <c r="B741" s="232"/>
      <c r="C741" s="310">
        <v>93671</v>
      </c>
      <c r="D741" s="373" t="str">
        <f>IF($C741="","",IFERROR(VLOOKUP($C741,SERVIÇOS!$B:$G,2,0),IFERROR(VLOOKUP($C741,'COMPOSIÇÕES COMPLEMENTARES '!$D:$L,2,0),IFERROR(VLOOKUP($C741,INSUMOS!$A:$D,2,0),""))))</f>
        <v>DISJUNTOR TRIPOLAR TIPO DIN, CORRENTE NOMINAL DE 32A - FORNECIMENTO E INSTALAÇÃO. AF_10/2020</v>
      </c>
      <c r="E741" s="312" t="str">
        <f>IF($C741="","",IFERROR(VLOOKUP($C741,SERVIÇOS!$B:$G,3,0),IFERROR(VLOOKUP($C741,'COMPOSIÇÕES COMPLEMENTARES '!$D:$L,3,0),IFERROR(VLOOKUP($C741,INSUMOS!$A:$D,3,0),""))))</f>
        <v>UN</v>
      </c>
      <c r="F741" s="313">
        <v>1</v>
      </c>
      <c r="G741" s="314">
        <f>IF($C741="","",IFERROR(VLOOKUP($C741,SERVIÇOS!$B:$G,4,0),IFERROR(VLOOKUP($C741,'COMPOSIÇÕES COMPLEMENTARES '!$D:$L,6,0),IFERROR(VLOOKUP($C741,INSUMOS!$A:$D,4,0),""))))</f>
        <v>77.73</v>
      </c>
      <c r="H741" s="314">
        <f>IF($C741="","",IFERROR(VLOOKUP($C741,SERVIÇOS!$B:$G,5,0),IFERROR(VLOOKUP($C741,'COMPOSIÇÕES COMPLEMENTARES '!$D:$L,7,0),0)))</f>
        <v>13.54</v>
      </c>
      <c r="I741" s="314">
        <f t="shared" si="68"/>
        <v>91.27000000000001</v>
      </c>
      <c r="J741" s="314">
        <f t="shared" si="69"/>
        <v>77.73</v>
      </c>
      <c r="K741" s="314">
        <f t="shared" si="70"/>
        <v>13.54</v>
      </c>
      <c r="L741" s="948">
        <f t="shared" si="71"/>
        <v>91.27</v>
      </c>
      <c r="M741" s="374">
        <f t="shared" si="72"/>
        <v>5643964.6100000143</v>
      </c>
      <c r="N741" s="375">
        <f>+M741/L$815</f>
        <v>0.99934876721145993</v>
      </c>
      <c r="O741" s="376" t="str">
        <f>IF(N741&lt;0.5,"A",IF(N741&gt;0.8,"C","B"))</f>
        <v>C</v>
      </c>
    </row>
    <row r="742" spans="1:15" ht="38.25" x14ac:dyDescent="0.25">
      <c r="A742" s="232">
        <f t="shared" si="67"/>
        <v>742</v>
      </c>
      <c r="B742" s="232"/>
      <c r="C742" s="310">
        <v>101230</v>
      </c>
      <c r="D742" s="373" t="str">
        <f>IF($C742="","",IFERROR(VLOOKUP($C742,SERVIÇOS!$B:$G,2,0),IFERROR(VLOOKUP($C742,'COMPOSIÇÕES COMPLEMENTARES '!$D:$L,2,0),IFERROR(VLOOKUP($C742,INSUMOS!$A:$D,2,0),""))))</f>
        <v>ESCAVAÇÃO VERTICAL PARA INFRAESTRUTURA, COM CARGA, DESCARGA E TRANSPORTE DE SOLO DE 1ª CATEGORIA, COM ESCAVADEIRA HIDRÁULICA (CAÇAMBA: 0,8 M³ / 111 HP), FROTA DE 3 CAMINHÕES BASCULANTES DE 14 M³, DMT ATÉ 1 KM E VELOCIDADE MÉDIA14 KM/H. AF_05/2020</v>
      </c>
      <c r="E742" s="312" t="str">
        <f>IF($C742="","",IFERROR(VLOOKUP($C742,SERVIÇOS!$B:$G,3,0),IFERROR(VLOOKUP($C742,'COMPOSIÇÕES COMPLEMENTARES '!$D:$L,3,0),IFERROR(VLOOKUP($C742,INSUMOS!$A:$D,3,0),""))))</f>
        <v>M3</v>
      </c>
      <c r="F742" s="313">
        <v>7.66</v>
      </c>
      <c r="G742" s="314">
        <f>IF($C742="","",IFERROR(VLOOKUP($C742,SERVIÇOS!$B:$G,4,0),IFERROR(VLOOKUP($C742,'COMPOSIÇÕES COMPLEMENTARES '!$D:$L,6,0),IFERROR(VLOOKUP($C742,INSUMOS!$A:$D,4,0),""))))</f>
        <v>10.199999999999999</v>
      </c>
      <c r="H742" s="314">
        <f>IF($C742="","",IFERROR(VLOOKUP($C742,SERVIÇOS!$B:$G,5,0),IFERROR(VLOOKUP($C742,'COMPOSIÇÕES COMPLEMENTARES '!$D:$L,7,0),0)))</f>
        <v>1.6</v>
      </c>
      <c r="I742" s="314">
        <f t="shared" si="68"/>
        <v>11.799999999999999</v>
      </c>
      <c r="J742" s="314">
        <f t="shared" si="69"/>
        <v>78.13</v>
      </c>
      <c r="K742" s="314">
        <f t="shared" si="70"/>
        <v>12.25</v>
      </c>
      <c r="L742" s="948">
        <f t="shared" si="71"/>
        <v>90.38</v>
      </c>
      <c r="M742" s="374">
        <f t="shared" si="72"/>
        <v>5644054.9900000142</v>
      </c>
      <c r="N742" s="375">
        <f>+M742/L$815</f>
        <v>0.999364770348939</v>
      </c>
      <c r="O742" s="376" t="str">
        <f>IF(N742&lt;0.5,"A",IF(N742&gt;0.8,"C","B"))</f>
        <v>C</v>
      </c>
    </row>
    <row r="743" spans="1:15" x14ac:dyDescent="0.25">
      <c r="A743" s="232">
        <f t="shared" si="67"/>
        <v>743</v>
      </c>
      <c r="B743" s="232"/>
      <c r="C743" s="310">
        <v>102137</v>
      </c>
      <c r="D743" s="373" t="str">
        <f>IF($C743="","",IFERROR(VLOOKUP($C743,SERVIÇOS!$B:$G,2,0),IFERROR(VLOOKUP($C743,'COMPOSIÇÕES COMPLEMENTARES '!$D:$L,2,0),IFERROR(VLOOKUP($C743,INSUMOS!$A:$D,2,0),""))))</f>
        <v>CHAVE DE BOIA AUTOMÁTICA SUPERIOR/INFERIOR 15A/250V - FORNECIMENTO E INSTALAÇÃO. AF_12/2020</v>
      </c>
      <c r="E743" s="312" t="str">
        <f>IF($C743="","",IFERROR(VLOOKUP($C743,SERVIÇOS!$B:$G,3,0),IFERROR(VLOOKUP($C743,'COMPOSIÇÕES COMPLEMENTARES '!$D:$L,3,0),IFERROR(VLOOKUP($C743,INSUMOS!$A:$D,3,0),""))))</f>
        <v>UN</v>
      </c>
      <c r="F743" s="313">
        <v>1</v>
      </c>
      <c r="G743" s="314">
        <f>IF($C743="","",IFERROR(VLOOKUP($C743,SERVIÇOS!$B:$G,4,0),IFERROR(VLOOKUP($C743,'COMPOSIÇÕES COMPLEMENTARES '!$D:$L,6,0),IFERROR(VLOOKUP($C743,INSUMOS!$A:$D,4,0),""))))</f>
        <v>57.94</v>
      </c>
      <c r="H743" s="314">
        <f>IF($C743="","",IFERROR(VLOOKUP($C743,SERVIÇOS!$B:$G,5,0),IFERROR(VLOOKUP($C743,'COMPOSIÇÕES COMPLEMENTARES '!$D:$L,7,0),0)))</f>
        <v>31.36</v>
      </c>
      <c r="I743" s="314">
        <f t="shared" si="68"/>
        <v>89.3</v>
      </c>
      <c r="J743" s="314">
        <f t="shared" si="69"/>
        <v>57.94</v>
      </c>
      <c r="K743" s="314">
        <f t="shared" si="70"/>
        <v>31.36</v>
      </c>
      <c r="L743" s="948">
        <f t="shared" si="71"/>
        <v>89.3</v>
      </c>
      <c r="M743" s="374">
        <f t="shared" si="72"/>
        <v>5644144.290000014</v>
      </c>
      <c r="N743" s="375">
        <f>+M743/L$815</f>
        <v>0.99938058225618476</v>
      </c>
      <c r="O743" s="376" t="str">
        <f>IF(N743&lt;0.5,"A",IF(N743&gt;0.8,"C","B"))</f>
        <v>C</v>
      </c>
    </row>
    <row r="744" spans="1:15" x14ac:dyDescent="0.25">
      <c r="A744" s="232">
        <f t="shared" si="67"/>
        <v>744</v>
      </c>
      <c r="B744" s="232"/>
      <c r="C744" s="310">
        <v>93382</v>
      </c>
      <c r="D744" s="373" t="str">
        <f>IF($C744="","",IFERROR(VLOOKUP($C744,SERVIÇOS!$B:$G,2,0),IFERROR(VLOOKUP($C744,'COMPOSIÇÕES COMPLEMENTARES '!$D:$L,2,0),IFERROR(VLOOKUP($C744,INSUMOS!$A:$D,2,0),""))))</f>
        <v>REATERRO MANUAL DE VALAS, COM COMPACTADOR DE SOLOS DE PERCUSSÃO. AF_08/2023</v>
      </c>
      <c r="E744" s="312" t="str">
        <f>IF($C744="","",IFERROR(VLOOKUP($C744,SERVIÇOS!$B:$G,3,0),IFERROR(VLOOKUP($C744,'COMPOSIÇÕES COMPLEMENTARES '!$D:$L,3,0),IFERROR(VLOOKUP($C744,INSUMOS!$A:$D,3,0),""))))</f>
        <v>M3</v>
      </c>
      <c r="F744" s="313">
        <v>2.63</v>
      </c>
      <c r="G744" s="314">
        <f>IF($C744="","",IFERROR(VLOOKUP($C744,SERVIÇOS!$B:$G,4,0),IFERROR(VLOOKUP($C744,'COMPOSIÇÕES COMPLEMENTARES '!$D:$L,6,0),IFERROR(VLOOKUP($C744,INSUMOS!$A:$D,4,0),""))))</f>
        <v>12.29</v>
      </c>
      <c r="H744" s="314">
        <f>IF($C744="","",IFERROR(VLOOKUP($C744,SERVIÇOS!$B:$G,5,0),IFERROR(VLOOKUP($C744,'COMPOSIÇÕES COMPLEMENTARES '!$D:$L,7,0),0)))</f>
        <v>20.78</v>
      </c>
      <c r="I744" s="314">
        <f t="shared" si="68"/>
        <v>33.07</v>
      </c>
      <c r="J744" s="314">
        <f t="shared" si="69"/>
        <v>32.32</v>
      </c>
      <c r="K744" s="314">
        <f t="shared" si="70"/>
        <v>54.65</v>
      </c>
      <c r="L744" s="948">
        <f t="shared" si="71"/>
        <v>86.97</v>
      </c>
      <c r="M744" s="374">
        <f t="shared" si="72"/>
        <v>5644231.2600000137</v>
      </c>
      <c r="N744" s="375">
        <f>+M744/L$815</f>
        <v>0.9993959816019089</v>
      </c>
      <c r="O744" s="376" t="str">
        <f>IF(N744&lt;0.5,"A",IF(N744&gt;0.8,"C","B"))</f>
        <v>C</v>
      </c>
    </row>
    <row r="745" spans="1:15" x14ac:dyDescent="0.25">
      <c r="A745" s="232">
        <f t="shared" si="67"/>
        <v>745</v>
      </c>
      <c r="B745" s="232"/>
      <c r="C745" s="310">
        <v>93670</v>
      </c>
      <c r="D745" s="373" t="str">
        <f>IF($C745="","",IFERROR(VLOOKUP($C745,SERVIÇOS!$B:$G,2,0),IFERROR(VLOOKUP($C745,'COMPOSIÇÕES COMPLEMENTARES '!$D:$L,2,0),IFERROR(VLOOKUP($C745,INSUMOS!$A:$D,2,0),""))))</f>
        <v>DISJUNTOR TRIPOLAR TIPO DIN, CORRENTE NOMINAL DE 25A - FORNECIMENTO E INSTALAÇÃO. AF_10/2020</v>
      </c>
      <c r="E745" s="312" t="str">
        <f>IF($C745="","",IFERROR(VLOOKUP($C745,SERVIÇOS!$B:$G,3,0),IFERROR(VLOOKUP($C745,'COMPOSIÇÕES COMPLEMENTARES '!$D:$L,3,0),IFERROR(VLOOKUP($C745,INSUMOS!$A:$D,3,0),""))))</f>
        <v>UN</v>
      </c>
      <c r="F745" s="313">
        <v>1</v>
      </c>
      <c r="G745" s="314">
        <f>IF($C745="","",IFERROR(VLOOKUP($C745,SERVIÇOS!$B:$G,4,0),IFERROR(VLOOKUP($C745,'COMPOSIÇÕES COMPLEMENTARES '!$D:$L,6,0),IFERROR(VLOOKUP($C745,INSUMOS!$A:$D,4,0),""))))</f>
        <v>75.510000000000005</v>
      </c>
      <c r="H745" s="314">
        <f>IF($C745="","",IFERROR(VLOOKUP($C745,SERVIÇOS!$B:$G,5,0),IFERROR(VLOOKUP($C745,'COMPOSIÇÕES COMPLEMENTARES '!$D:$L,7,0),0)))</f>
        <v>9.83</v>
      </c>
      <c r="I745" s="314">
        <f t="shared" si="68"/>
        <v>85.34</v>
      </c>
      <c r="J745" s="314">
        <f t="shared" si="69"/>
        <v>75.510000000000005</v>
      </c>
      <c r="K745" s="314">
        <f t="shared" si="70"/>
        <v>9.83</v>
      </c>
      <c r="L745" s="948">
        <f t="shared" si="71"/>
        <v>85.34</v>
      </c>
      <c r="M745" s="374">
        <f t="shared" si="72"/>
        <v>5644316.6000000136</v>
      </c>
      <c r="N745" s="375">
        <f>+M745/L$815</f>
        <v>0.99941109233163294</v>
      </c>
      <c r="O745" s="376" t="str">
        <f>IF(N745&lt;0.5,"A",IF(N745&gt;0.8,"C","B"))</f>
        <v>C</v>
      </c>
    </row>
    <row r="746" spans="1:15" x14ac:dyDescent="0.25">
      <c r="A746" s="232">
        <f t="shared" si="67"/>
        <v>746</v>
      </c>
      <c r="B746" s="232"/>
      <c r="C746" s="310">
        <v>94496</v>
      </c>
      <c r="D746" s="373" t="str">
        <f>IF($C746="","",IFERROR(VLOOKUP($C746,SERVIÇOS!$B:$G,2,0),IFERROR(VLOOKUP($C746,'COMPOSIÇÕES COMPLEMENTARES '!$D:$L,2,0),IFERROR(VLOOKUP($C746,INSUMOS!$A:$D,2,0),""))))</f>
        <v>REGISTRO DE GAVETA BRUTO, LATÃO, ROSCÁVEL, 1 1/4" - FORNECIMENTO E INSTALAÇÃO. AF_08/2021</v>
      </c>
      <c r="E746" s="312" t="str">
        <f>IF($C746="","",IFERROR(VLOOKUP($C746,SERVIÇOS!$B:$G,3,0),IFERROR(VLOOKUP($C746,'COMPOSIÇÕES COMPLEMENTARES '!$D:$L,3,0),IFERROR(VLOOKUP($C746,INSUMOS!$A:$D,3,0),""))))</f>
        <v>UN</v>
      </c>
      <c r="F746" s="313">
        <v>1</v>
      </c>
      <c r="G746" s="314">
        <f>IF($C746="","",IFERROR(VLOOKUP($C746,SERVIÇOS!$B:$G,4,0),IFERROR(VLOOKUP($C746,'COMPOSIÇÕES COMPLEMENTARES '!$D:$L,6,0),IFERROR(VLOOKUP($C746,INSUMOS!$A:$D,4,0),""))))</f>
        <v>75.22</v>
      </c>
      <c r="H746" s="314">
        <f>IF($C746="","",IFERROR(VLOOKUP($C746,SERVIÇOS!$B:$G,5,0),IFERROR(VLOOKUP($C746,'COMPOSIÇÕES COMPLEMENTARES '!$D:$L,7,0),0)))</f>
        <v>9.82</v>
      </c>
      <c r="I746" s="314">
        <f t="shared" si="68"/>
        <v>85.039999999999992</v>
      </c>
      <c r="J746" s="314">
        <f t="shared" si="69"/>
        <v>75.22</v>
      </c>
      <c r="K746" s="314">
        <f t="shared" si="70"/>
        <v>9.82</v>
      </c>
      <c r="L746" s="948">
        <f t="shared" si="71"/>
        <v>85.04</v>
      </c>
      <c r="M746" s="374">
        <f t="shared" si="72"/>
        <v>5644401.6400000136</v>
      </c>
      <c r="N746" s="375">
        <f>+M746/L$815</f>
        <v>0.99942614994184775</v>
      </c>
      <c r="O746" s="376" t="str">
        <f>IF(N746&lt;0.5,"A",IF(N746&gt;0.8,"C","B"))</f>
        <v>C</v>
      </c>
    </row>
    <row r="747" spans="1:15" x14ac:dyDescent="0.25">
      <c r="A747" s="232">
        <f t="shared" si="67"/>
        <v>747</v>
      </c>
      <c r="B747" s="232"/>
      <c r="C747" s="310" t="s">
        <v>12319</v>
      </c>
      <c r="D747" s="373" t="str">
        <f>IF($C747="","",IFERROR(VLOOKUP($C747,SERVIÇOS!$B:$G,2,0),IFERROR(VLOOKUP($C747,'COMPOSIÇÕES COMPLEMENTARES '!$D:$L,2,0),IFERROR(VLOOKUP($C747,INSUMOS!$A:$D,2,0),""))))</f>
        <v>TOMADA RGC59 COM PLACA 4X4" PARA ANTENA DE TV</v>
      </c>
      <c r="E747" s="312" t="str">
        <f>IF($C747="","",IFERROR(VLOOKUP($C747,SERVIÇOS!$B:$G,3,0),IFERROR(VLOOKUP($C747,'COMPOSIÇÕES COMPLEMENTARES '!$D:$L,3,0),IFERROR(VLOOKUP($C747,INSUMOS!$A:$D,3,0),""))))</f>
        <v>UN</v>
      </c>
      <c r="F747" s="313">
        <v>2</v>
      </c>
      <c r="G747" s="314">
        <f>IF($C747="","",IFERROR(VLOOKUP($C747,SERVIÇOS!$B:$G,4,0),IFERROR(VLOOKUP($C747,'COMPOSIÇÕES COMPLEMENTARES '!$D:$L,6,0),IFERROR(VLOOKUP($C747,INSUMOS!$A:$D,4,0),""))))</f>
        <v>26.41</v>
      </c>
      <c r="H747" s="314">
        <f>IF($C747="","",IFERROR(VLOOKUP($C747,SERVIÇOS!$B:$G,5,0),IFERROR(VLOOKUP($C747,'COMPOSIÇÕES COMPLEMENTARES '!$D:$L,7,0),0)))</f>
        <v>15.19</v>
      </c>
      <c r="I747" s="314">
        <f t="shared" si="68"/>
        <v>41.6</v>
      </c>
      <c r="J747" s="314">
        <f t="shared" si="69"/>
        <v>52.82</v>
      </c>
      <c r="K747" s="314">
        <f t="shared" si="70"/>
        <v>30.38</v>
      </c>
      <c r="L747" s="948">
        <f t="shared" si="71"/>
        <v>83.2</v>
      </c>
      <c r="M747" s="374">
        <f t="shared" si="72"/>
        <v>5644484.8400000138</v>
      </c>
      <c r="N747" s="375">
        <f>+M747/L$815</f>
        <v>0.99944088175240597</v>
      </c>
      <c r="O747" s="376" t="str">
        <f>IF(N747&lt;0.5,"A",IF(N747&gt;0.8,"C","B"))</f>
        <v>C</v>
      </c>
    </row>
    <row r="748" spans="1:15" ht="25.5" x14ac:dyDescent="0.25">
      <c r="A748" s="232">
        <f t="shared" si="67"/>
        <v>748</v>
      </c>
      <c r="B748" s="232"/>
      <c r="C748" s="310">
        <v>97668</v>
      </c>
      <c r="D748" s="373" t="str">
        <f>IF($C748="","",IFERROR(VLOOKUP($C748,SERVIÇOS!$B:$G,2,0),IFERROR(VLOOKUP($C748,'COMPOSIÇÕES COMPLEMENTARES '!$D:$L,2,0),IFERROR(VLOOKUP($C748,INSUMOS!$A:$D,2,0),""))))</f>
        <v>ELETRODUTO FLEXÍVEL CORRUGADO, PEAD, DN 63 (2"), PARA REDE ENTERRADA DE DISTRIBUIÇÃO DE ENERGIA ELÉTRICA - FORNECIMENTO E INSTALAÇÃO. AF_12/2021</v>
      </c>
      <c r="E748" s="312" t="str">
        <f>IF($C748="","",IFERROR(VLOOKUP($C748,SERVIÇOS!$B:$G,3,0),IFERROR(VLOOKUP($C748,'COMPOSIÇÕES COMPLEMENTARES '!$D:$L,3,0),IFERROR(VLOOKUP($C748,INSUMOS!$A:$D,3,0),""))))</f>
        <v>M</v>
      </c>
      <c r="F748" s="313">
        <v>5</v>
      </c>
      <c r="G748" s="314">
        <f>IF($C748="","",IFERROR(VLOOKUP($C748,SERVIÇOS!$B:$G,4,0),IFERROR(VLOOKUP($C748,'COMPOSIÇÕES COMPLEMENTARES '!$D:$L,6,0),IFERROR(VLOOKUP($C748,INSUMOS!$A:$D,4,0),""))))</f>
        <v>11.19</v>
      </c>
      <c r="H748" s="314">
        <f>IF($C748="","",IFERROR(VLOOKUP($C748,SERVIÇOS!$B:$G,5,0),IFERROR(VLOOKUP($C748,'COMPOSIÇÕES COMPLEMENTARES '!$D:$L,7,0),0)))</f>
        <v>4.68</v>
      </c>
      <c r="I748" s="314">
        <f t="shared" si="68"/>
        <v>15.87</v>
      </c>
      <c r="J748" s="314">
        <f t="shared" si="69"/>
        <v>55.95</v>
      </c>
      <c r="K748" s="314">
        <f t="shared" si="70"/>
        <v>23.4</v>
      </c>
      <c r="L748" s="948">
        <f t="shared" si="71"/>
        <v>79.349999999999994</v>
      </c>
      <c r="M748" s="374">
        <f t="shared" si="72"/>
        <v>5644564.1900000134</v>
      </c>
      <c r="N748" s="375">
        <f>+M748/L$815</f>
        <v>0.99945493186259582</v>
      </c>
      <c r="O748" s="376" t="str">
        <f>IF(N748&lt;0.5,"A",IF(N748&gt;0.8,"C","B"))</f>
        <v>C</v>
      </c>
    </row>
    <row r="749" spans="1:15" x14ac:dyDescent="0.25">
      <c r="A749" s="232">
        <f t="shared" si="67"/>
        <v>749</v>
      </c>
      <c r="B749" s="232"/>
      <c r="C749" s="310" t="s">
        <v>12205</v>
      </c>
      <c r="D749" s="373" t="str">
        <f>IF($C749="","",IFERROR(VLOOKUP($C749,SERVIÇOS!$B:$G,2,0),IFERROR(VLOOKUP($C749,'COMPOSIÇÕES COMPLEMENTARES '!$D:$L,2,0),IFERROR(VLOOKUP($C749,INSUMOS!$A:$D,2,0),""))))</f>
        <v>UNIDUT CÔNICO Ø2" COM BUCHA E ARRUELA DE ALUMÍNIO Ø2"</v>
      </c>
      <c r="E749" s="312" t="str">
        <f>IF($C749="","",IFERROR(VLOOKUP($C749,SERVIÇOS!$B:$G,3,0),IFERROR(VLOOKUP($C749,'COMPOSIÇÕES COMPLEMENTARES '!$D:$L,3,0),IFERROR(VLOOKUP($C749,INSUMOS!$A:$D,3,0),""))))</f>
        <v>UN</v>
      </c>
      <c r="F749" s="313">
        <v>4</v>
      </c>
      <c r="G749" s="314">
        <f>IF($C749="","",IFERROR(VLOOKUP($C749,SERVIÇOS!$B:$G,4,0),IFERROR(VLOOKUP($C749,'COMPOSIÇÕES COMPLEMENTARES '!$D:$L,6,0),IFERROR(VLOOKUP($C749,INSUMOS!$A:$D,4,0),""))))</f>
        <v>17.22</v>
      </c>
      <c r="H749" s="314">
        <f>IF($C749="","",IFERROR(VLOOKUP($C749,SERVIÇOS!$B:$G,5,0),IFERROR(VLOOKUP($C749,'COMPOSIÇÕES COMPLEMENTARES '!$D:$L,7,0),0)))</f>
        <v>2.4700000000000002</v>
      </c>
      <c r="I749" s="314">
        <f t="shared" si="68"/>
        <v>19.689999999999998</v>
      </c>
      <c r="J749" s="314">
        <f t="shared" si="69"/>
        <v>68.88</v>
      </c>
      <c r="K749" s="314">
        <f t="shared" si="70"/>
        <v>9.8800000000000008</v>
      </c>
      <c r="L749" s="948">
        <f t="shared" si="71"/>
        <v>78.760000000000005</v>
      </c>
      <c r="M749" s="374">
        <f t="shared" si="72"/>
        <v>5644642.9500000132</v>
      </c>
      <c r="N749" s="375">
        <f>+M749/L$815</f>
        <v>0.99946887750441749</v>
      </c>
      <c r="O749" s="376" t="str">
        <f>IF(N749&lt;0.5,"A",IF(N749&gt;0.8,"C","B"))</f>
        <v>C</v>
      </c>
    </row>
    <row r="750" spans="1:15" x14ac:dyDescent="0.25">
      <c r="A750" s="232">
        <f t="shared" si="67"/>
        <v>750</v>
      </c>
      <c r="B750" s="232"/>
      <c r="C750" s="310" t="s">
        <v>12205</v>
      </c>
      <c r="D750" s="373" t="str">
        <f>IF($C750="","",IFERROR(VLOOKUP($C750,SERVIÇOS!$B:$G,2,0),IFERROR(VLOOKUP($C750,'COMPOSIÇÕES COMPLEMENTARES '!$D:$L,2,0),IFERROR(VLOOKUP($C750,INSUMOS!$A:$D,2,0),""))))</f>
        <v>UNIDUT CÔNICO Ø2" COM BUCHA E ARRUELA DE ALUMÍNIO Ø2"</v>
      </c>
      <c r="E750" s="312" t="str">
        <f>IF($C750="","",IFERROR(VLOOKUP($C750,SERVIÇOS!$B:$G,3,0),IFERROR(VLOOKUP($C750,'COMPOSIÇÕES COMPLEMENTARES '!$D:$L,3,0),IFERROR(VLOOKUP($C750,INSUMOS!$A:$D,3,0),""))))</f>
        <v>UN</v>
      </c>
      <c r="F750" s="313">
        <v>4</v>
      </c>
      <c r="G750" s="314">
        <f>IF($C750="","",IFERROR(VLOOKUP($C750,SERVIÇOS!$B:$G,4,0),IFERROR(VLOOKUP($C750,'COMPOSIÇÕES COMPLEMENTARES '!$D:$L,6,0),IFERROR(VLOOKUP($C750,INSUMOS!$A:$D,4,0),""))))</f>
        <v>17.22</v>
      </c>
      <c r="H750" s="314">
        <f>IF($C750="","",IFERROR(VLOOKUP($C750,SERVIÇOS!$B:$G,5,0),IFERROR(VLOOKUP($C750,'COMPOSIÇÕES COMPLEMENTARES '!$D:$L,7,0),0)))</f>
        <v>2.4700000000000002</v>
      </c>
      <c r="I750" s="314">
        <f t="shared" si="68"/>
        <v>19.689999999999998</v>
      </c>
      <c r="J750" s="314">
        <f t="shared" si="69"/>
        <v>68.88</v>
      </c>
      <c r="K750" s="314">
        <f t="shared" si="70"/>
        <v>9.8800000000000008</v>
      </c>
      <c r="L750" s="948">
        <f t="shared" si="71"/>
        <v>78.760000000000005</v>
      </c>
      <c r="M750" s="374">
        <f t="shared" si="72"/>
        <v>5644721.710000013</v>
      </c>
      <c r="N750" s="375">
        <f>+M750/L$815</f>
        <v>0.99948282314623915</v>
      </c>
      <c r="O750" s="376" t="str">
        <f>IF(N750&lt;0.5,"A",IF(N750&gt;0.8,"C","B"))</f>
        <v>C</v>
      </c>
    </row>
    <row r="751" spans="1:15" x14ac:dyDescent="0.25">
      <c r="A751" s="232">
        <f t="shared" si="67"/>
        <v>751</v>
      </c>
      <c r="B751" s="232"/>
      <c r="C751" s="310" t="s">
        <v>12205</v>
      </c>
      <c r="D751" s="373" t="str">
        <f>IF($C751="","",IFERROR(VLOOKUP($C751,SERVIÇOS!$B:$G,2,0),IFERROR(VLOOKUP($C751,'COMPOSIÇÕES COMPLEMENTARES '!$D:$L,2,0),IFERROR(VLOOKUP($C751,INSUMOS!$A:$D,2,0),""))))</f>
        <v>UNIDUT CÔNICO Ø2" COM BUCHA E ARRUELA DE ALUMÍNIO Ø2"</v>
      </c>
      <c r="E751" s="312" t="str">
        <f>IF($C751="","",IFERROR(VLOOKUP($C751,SERVIÇOS!$B:$G,3,0),IFERROR(VLOOKUP($C751,'COMPOSIÇÕES COMPLEMENTARES '!$D:$L,3,0),IFERROR(VLOOKUP($C751,INSUMOS!$A:$D,3,0),""))))</f>
        <v>UN</v>
      </c>
      <c r="F751" s="313">
        <v>4</v>
      </c>
      <c r="G751" s="314">
        <f>IF($C751="","",IFERROR(VLOOKUP($C751,SERVIÇOS!$B:$G,4,0),IFERROR(VLOOKUP($C751,'COMPOSIÇÕES COMPLEMENTARES '!$D:$L,6,0),IFERROR(VLOOKUP($C751,INSUMOS!$A:$D,4,0),""))))</f>
        <v>17.22</v>
      </c>
      <c r="H751" s="314">
        <f>IF($C751="","",IFERROR(VLOOKUP($C751,SERVIÇOS!$B:$G,5,0),IFERROR(VLOOKUP($C751,'COMPOSIÇÕES COMPLEMENTARES '!$D:$L,7,0),0)))</f>
        <v>2.4700000000000002</v>
      </c>
      <c r="I751" s="314">
        <f t="shared" si="68"/>
        <v>19.689999999999998</v>
      </c>
      <c r="J751" s="314">
        <f t="shared" si="69"/>
        <v>68.88</v>
      </c>
      <c r="K751" s="314">
        <f t="shared" si="70"/>
        <v>9.8800000000000008</v>
      </c>
      <c r="L751" s="948">
        <f t="shared" si="71"/>
        <v>78.760000000000005</v>
      </c>
      <c r="M751" s="374">
        <f t="shared" si="72"/>
        <v>5644800.4700000128</v>
      </c>
      <c r="N751" s="375">
        <f>+M751/L$815</f>
        <v>0.99949676878806093</v>
      </c>
      <c r="O751" s="376" t="str">
        <f>IF(N751&lt;0.5,"A",IF(N751&gt;0.8,"C","B"))</f>
        <v>C</v>
      </c>
    </row>
    <row r="752" spans="1:15" ht="25.5" x14ac:dyDescent="0.25">
      <c r="A752" s="232">
        <f t="shared" si="67"/>
        <v>752</v>
      </c>
      <c r="B752" s="232"/>
      <c r="C752" s="310" t="s">
        <v>12156</v>
      </c>
      <c r="D752" s="373" t="str">
        <f>IF($C752="","",IFERROR(VLOOKUP($C752,SERVIÇOS!$B:$G,2,0),IFERROR(VLOOKUP($C752,'COMPOSIÇÕES COMPLEMENTARES '!$D:$L,2,0),IFERROR(VLOOKUP($C752,INSUMOS!$A:$D,2,0),""))))</f>
        <v>CHUMBAMENTO EM ALVENARIA PARA RAMAIS/ DISTRIBUIÇÃO COM DIÂMETROS MAIORES QUE 75 MM E MENORES OU IGUAIS A 100 MM</v>
      </c>
      <c r="E752" s="312" t="str">
        <f>IF($C752="","",IFERROR(VLOOKUP($C752,SERVIÇOS!$B:$G,3,0),IFERROR(VLOOKUP($C752,'COMPOSIÇÕES COMPLEMENTARES '!$D:$L,3,0),IFERROR(VLOOKUP($C752,INSUMOS!$A:$D,3,0),""))))</f>
        <v>M</v>
      </c>
      <c r="F752" s="313">
        <v>5</v>
      </c>
      <c r="G752" s="314">
        <f>IF($C752="","",IFERROR(VLOOKUP($C752,SERVIÇOS!$B:$G,4,0),IFERROR(VLOOKUP($C752,'COMPOSIÇÕES COMPLEMENTARES '!$D:$L,6,0),IFERROR(VLOOKUP($C752,INSUMOS!$A:$D,4,0),""))))</f>
        <v>6.55</v>
      </c>
      <c r="H752" s="314">
        <f>IF($C752="","",IFERROR(VLOOKUP($C752,SERVIÇOS!$B:$G,5,0),IFERROR(VLOOKUP($C752,'COMPOSIÇÕES COMPLEMENTARES '!$D:$L,7,0),0)))</f>
        <v>8.9600000000000009</v>
      </c>
      <c r="I752" s="314">
        <f t="shared" si="68"/>
        <v>15.510000000000002</v>
      </c>
      <c r="J752" s="314">
        <f t="shared" si="69"/>
        <v>32.75</v>
      </c>
      <c r="K752" s="314">
        <f t="shared" si="70"/>
        <v>44.8</v>
      </c>
      <c r="L752" s="948">
        <f t="shared" si="71"/>
        <v>77.55</v>
      </c>
      <c r="M752" s="374">
        <f t="shared" si="72"/>
        <v>5644878.0200000126</v>
      </c>
      <c r="N752" s="375">
        <f>+M752/L$815</f>
        <v>0.99951050018119536</v>
      </c>
      <c r="O752" s="376" t="str">
        <f>IF(N752&lt;0.5,"A",IF(N752&gt;0.8,"C","B"))</f>
        <v>C</v>
      </c>
    </row>
    <row r="753" spans="1:15" ht="38.25" x14ac:dyDescent="0.25">
      <c r="A753" s="232">
        <f t="shared" si="67"/>
        <v>753</v>
      </c>
      <c r="B753" s="232"/>
      <c r="C753" s="310" t="s">
        <v>12427</v>
      </c>
      <c r="D753" s="373" t="str">
        <f>IF($C753="","",IFERROR(VLOOKUP($C753,SERVIÇOS!$B:$G,2,0),IFERROR(VLOOKUP($C753,'COMPOSIÇÕES COMPLEMENTARES '!$D:$L,2,0),IFERROR(VLOOKUP($C753,INSUMOS!$A:$D,2,0),""))))</f>
        <v>DIFUSOR DE 2 VIAS DO TIPO QUADRADO EUROPEU TAMANHO 1 PARA INSUFLAMENTO DE AR EM ALUMÍNIO COM REGISTRO - MARCA TROPICAL (OU SIMILAR OU SIMILAR - TROX, SEIMMEI, DIFUSAR) - MODELO: DQE-21-T1-RGA - FORNECIMENTO E INSTALAÇÃO</v>
      </c>
      <c r="E753" s="312" t="str">
        <f>IF($C753="","",IFERROR(VLOOKUP($C753,SERVIÇOS!$B:$G,3,0),IFERROR(VLOOKUP($C753,'COMPOSIÇÕES COMPLEMENTARES '!$D:$L,3,0),IFERROR(VLOOKUP($C753,INSUMOS!$A:$D,3,0),""))))</f>
        <v>UN</v>
      </c>
      <c r="F753" s="313">
        <v>1</v>
      </c>
      <c r="G753" s="314">
        <f>IF($C753="","",IFERROR(VLOOKUP($C753,SERVIÇOS!$B:$G,4,0),IFERROR(VLOOKUP($C753,'COMPOSIÇÕES COMPLEMENTARES '!$D:$L,6,0),IFERROR(VLOOKUP($C753,INSUMOS!$A:$D,4,0),""))))</f>
        <v>74.2</v>
      </c>
      <c r="H753" s="314">
        <f>IF($C753="","",IFERROR(VLOOKUP($C753,SERVIÇOS!$B:$G,5,0),IFERROR(VLOOKUP($C753,'COMPOSIÇÕES COMPLEMENTARES '!$D:$L,7,0),0)))</f>
        <v>3.16</v>
      </c>
      <c r="I753" s="314">
        <f t="shared" si="68"/>
        <v>77.36</v>
      </c>
      <c r="J753" s="314">
        <f t="shared" si="69"/>
        <v>74.2</v>
      </c>
      <c r="K753" s="314">
        <f t="shared" si="70"/>
        <v>3.16</v>
      </c>
      <c r="L753" s="948">
        <f t="shared" si="71"/>
        <v>77.36</v>
      </c>
      <c r="M753" s="374">
        <f t="shared" si="72"/>
        <v>5644955.3800000129</v>
      </c>
      <c r="N753" s="375">
        <f>+M753/L$815</f>
        <v>0.99952419793197411</v>
      </c>
      <c r="O753" s="376" t="str">
        <f>IF(N753&lt;0.5,"A",IF(N753&gt;0.8,"C","B"))</f>
        <v>C</v>
      </c>
    </row>
    <row r="754" spans="1:15" x14ac:dyDescent="0.25">
      <c r="A754" s="232">
        <f t="shared" si="67"/>
        <v>754</v>
      </c>
      <c r="B754" s="232"/>
      <c r="C754" s="310">
        <v>91953</v>
      </c>
      <c r="D754" s="373" t="str">
        <f>IF($C754="","",IFERROR(VLOOKUP($C754,SERVIÇOS!$B:$G,2,0),IFERROR(VLOOKUP($C754,'COMPOSIÇÕES COMPLEMENTARES '!$D:$L,2,0),IFERROR(VLOOKUP($C754,INSUMOS!$A:$D,2,0),""))))</f>
        <v>INTERRUPTOR SIMPLES (1 MÓDULO), 10A/250V, INCLUINDO SUPORTE E PLACA - FORNECIMENTO E INSTALAÇÃO. AF_03/2023</v>
      </c>
      <c r="E754" s="312" t="str">
        <f>IF($C754="","",IFERROR(VLOOKUP($C754,SERVIÇOS!$B:$G,3,0),IFERROR(VLOOKUP($C754,'COMPOSIÇÕES COMPLEMENTARES '!$D:$L,3,0),IFERROR(VLOOKUP($C754,INSUMOS!$A:$D,3,0),""))))</f>
        <v>UN</v>
      </c>
      <c r="F754" s="313">
        <v>2</v>
      </c>
      <c r="G754" s="314">
        <f>IF($C754="","",IFERROR(VLOOKUP($C754,SERVIÇOS!$B:$G,4,0),IFERROR(VLOOKUP($C754,'COMPOSIÇÕES COMPLEMENTARES '!$D:$L,6,0),IFERROR(VLOOKUP($C754,INSUMOS!$A:$D,4,0),""))))</f>
        <v>19.2</v>
      </c>
      <c r="H754" s="314">
        <f>IF($C754="","",IFERROR(VLOOKUP($C754,SERVIÇOS!$B:$G,5,0),IFERROR(VLOOKUP($C754,'COMPOSIÇÕES COMPLEMENTARES '!$D:$L,7,0),0)))</f>
        <v>17.82</v>
      </c>
      <c r="I754" s="314">
        <f t="shared" si="68"/>
        <v>37.019999999999996</v>
      </c>
      <c r="J754" s="314">
        <f t="shared" si="69"/>
        <v>38.4</v>
      </c>
      <c r="K754" s="314">
        <f t="shared" si="70"/>
        <v>35.64</v>
      </c>
      <c r="L754" s="948">
        <f t="shared" si="71"/>
        <v>74.040000000000006</v>
      </c>
      <c r="M754" s="374">
        <f t="shared" si="72"/>
        <v>5645029.420000013</v>
      </c>
      <c r="N754" s="375">
        <f>+M754/L$815</f>
        <v>0.99953730782685069</v>
      </c>
      <c r="O754" s="376" t="str">
        <f>IF(N754&lt;0.5,"A",IF(N754&gt;0.8,"C","B"))</f>
        <v>C</v>
      </c>
    </row>
    <row r="755" spans="1:15" ht="25.5" x14ac:dyDescent="0.25">
      <c r="A755" s="232">
        <f t="shared" si="67"/>
        <v>755</v>
      </c>
      <c r="B755" s="232"/>
      <c r="C755" s="310">
        <v>91940</v>
      </c>
      <c r="D755" s="373" t="str">
        <f>IF($C755="","",IFERROR(VLOOKUP($C755,SERVIÇOS!$B:$G,2,0),IFERROR(VLOOKUP($C755,'COMPOSIÇÕES COMPLEMENTARES '!$D:$L,2,0),IFERROR(VLOOKUP($C755,INSUMOS!$A:$D,2,0),""))))</f>
        <v>CAIXA RETANGULAR 4" X 2" MÉDIA (1,30 M DO PISO), PVC, INSTALADA EM PAREDE - FORNECIMENTO E INSTALAÇÃO. AF_03/2023</v>
      </c>
      <c r="E755" s="312" t="str">
        <f>IF($C755="","",IFERROR(VLOOKUP($C755,SERVIÇOS!$B:$G,3,0),IFERROR(VLOOKUP($C755,'COMPOSIÇÕES COMPLEMENTARES '!$D:$L,3,0),IFERROR(VLOOKUP($C755,INSUMOS!$A:$D,3,0),""))))</f>
        <v>UN</v>
      </c>
      <c r="F755" s="313">
        <v>3</v>
      </c>
      <c r="G755" s="314">
        <f>IF($C755="","",IFERROR(VLOOKUP($C755,SERVIÇOS!$B:$G,4,0),IFERROR(VLOOKUP($C755,'COMPOSIÇÕES COMPLEMENTARES '!$D:$L,6,0),IFERROR(VLOOKUP($C755,INSUMOS!$A:$D,4,0),""))))</f>
        <v>9.7799999999999994</v>
      </c>
      <c r="H755" s="314">
        <f>IF($C755="","",IFERROR(VLOOKUP($C755,SERVIÇOS!$B:$G,5,0),IFERROR(VLOOKUP($C755,'COMPOSIÇÕES COMPLEMENTARES '!$D:$L,7,0),0)))</f>
        <v>14.56</v>
      </c>
      <c r="I755" s="314">
        <f t="shared" si="68"/>
        <v>24.34</v>
      </c>
      <c r="J755" s="314">
        <f t="shared" si="69"/>
        <v>29.34</v>
      </c>
      <c r="K755" s="314">
        <f t="shared" si="70"/>
        <v>43.68</v>
      </c>
      <c r="L755" s="948">
        <f t="shared" si="71"/>
        <v>73.02</v>
      </c>
      <c r="M755" s="374">
        <f t="shared" si="72"/>
        <v>5645102.4400000125</v>
      </c>
      <c r="N755" s="375">
        <f>+M755/L$815</f>
        <v>0.99955023711539592</v>
      </c>
      <c r="O755" s="376" t="str">
        <f>IF(N755&lt;0.5,"A",IF(N755&gt;0.8,"C","B"))</f>
        <v>C</v>
      </c>
    </row>
    <row r="756" spans="1:15" ht="25.5" x14ac:dyDescent="0.25">
      <c r="A756" s="232">
        <f t="shared" si="67"/>
        <v>756</v>
      </c>
      <c r="B756" s="232"/>
      <c r="C756" s="310" t="s">
        <v>12458</v>
      </c>
      <c r="D756" s="373" t="str">
        <f>IF($C756="","",IFERROR(VLOOKUP($C756,SERVIÇOS!$B:$G,2,0),IFERROR(VLOOKUP($C756,'COMPOSIÇÕES COMPLEMENTARES '!$D:$L,2,0),IFERROR(VLOOKUP($C756,INSUMOS!$A:$D,2,0),""))))</f>
        <v>DAMPER DE REGULAGEM DE VAZÃO 250x100MM. MARCA TROPICAL DRV-250x100 (OU EQUIVALENTE (OU SIMILAR - TROX, SEIMMEI, DIFUSAR)</v>
      </c>
      <c r="E756" s="312" t="str">
        <f>IF($C756="","",IFERROR(VLOOKUP($C756,SERVIÇOS!$B:$G,3,0),IFERROR(VLOOKUP($C756,'COMPOSIÇÕES COMPLEMENTARES '!$D:$L,3,0),IFERROR(VLOOKUP($C756,INSUMOS!$A:$D,3,0),""))))</f>
        <v>UN</v>
      </c>
      <c r="F756" s="313">
        <v>1</v>
      </c>
      <c r="G756" s="314">
        <f>IF($C756="","",IFERROR(VLOOKUP($C756,SERVIÇOS!$B:$G,4,0),IFERROR(VLOOKUP($C756,'COMPOSIÇÕES COMPLEMENTARES '!$D:$L,6,0),IFERROR(VLOOKUP($C756,INSUMOS!$A:$D,4,0),""))))</f>
        <v>57.65</v>
      </c>
      <c r="H756" s="314">
        <f>IF($C756="","",IFERROR(VLOOKUP($C756,SERVIÇOS!$B:$G,5,0),IFERROR(VLOOKUP($C756,'COMPOSIÇÕES COMPLEMENTARES '!$D:$L,7,0),0)))</f>
        <v>11.05</v>
      </c>
      <c r="I756" s="314">
        <f t="shared" si="68"/>
        <v>68.7</v>
      </c>
      <c r="J756" s="314">
        <f t="shared" si="69"/>
        <v>57.65</v>
      </c>
      <c r="K756" s="314">
        <f t="shared" si="70"/>
        <v>11.05</v>
      </c>
      <c r="L756" s="948">
        <f t="shared" si="71"/>
        <v>68.7</v>
      </c>
      <c r="M756" s="374">
        <f t="shared" si="72"/>
        <v>5645171.1400000127</v>
      </c>
      <c r="N756" s="375">
        <f>+M756/L$815</f>
        <v>0.99956240148300834</v>
      </c>
      <c r="O756" s="376" t="str">
        <f>IF(N756&lt;0.5,"A",IF(N756&gt;0.8,"C","B"))</f>
        <v>C</v>
      </c>
    </row>
    <row r="757" spans="1:15" x14ac:dyDescent="0.25">
      <c r="A757" s="232">
        <f t="shared" si="67"/>
        <v>757</v>
      </c>
      <c r="B757" s="232"/>
      <c r="C757" s="310">
        <v>93662</v>
      </c>
      <c r="D757" s="373" t="str">
        <f>IF($C757="","",IFERROR(VLOOKUP($C757,SERVIÇOS!$B:$G,2,0),IFERROR(VLOOKUP($C757,'COMPOSIÇÕES COMPLEMENTARES '!$D:$L,2,0),IFERROR(VLOOKUP($C757,INSUMOS!$A:$D,2,0),""))))</f>
        <v>DISJUNTOR BIPOLAR TIPO DIN, CORRENTE NOMINAL DE 20A - FORNECIMENTO E INSTALAÇÃO. AF_10/2020</v>
      </c>
      <c r="E757" s="312" t="str">
        <f>IF($C757="","",IFERROR(VLOOKUP($C757,SERVIÇOS!$B:$G,3,0),IFERROR(VLOOKUP($C757,'COMPOSIÇÕES COMPLEMENTARES '!$D:$L,3,0),IFERROR(VLOOKUP($C757,INSUMOS!$A:$D,3,0),""))))</f>
        <v>UN</v>
      </c>
      <c r="F757" s="313">
        <v>1</v>
      </c>
      <c r="G757" s="314">
        <f>IF($C757="","",IFERROR(VLOOKUP($C757,SERVIÇOS!$B:$G,4,0),IFERROR(VLOOKUP($C757,'COMPOSIÇÕES COMPLEMENTARES '!$D:$L,6,0),IFERROR(VLOOKUP($C757,INSUMOS!$A:$D,4,0),""))))</f>
        <v>60.44</v>
      </c>
      <c r="H757" s="314">
        <f>IF($C757="","",IFERROR(VLOOKUP($C757,SERVIÇOS!$B:$G,5,0),IFERROR(VLOOKUP($C757,'COMPOSIÇÕES COMPLEMENTARES '!$D:$L,7,0),0)))</f>
        <v>6.55</v>
      </c>
      <c r="I757" s="314">
        <f t="shared" si="68"/>
        <v>66.989999999999995</v>
      </c>
      <c r="J757" s="314">
        <f t="shared" si="69"/>
        <v>60.44</v>
      </c>
      <c r="K757" s="314">
        <f t="shared" si="70"/>
        <v>6.55</v>
      </c>
      <c r="L757" s="948">
        <f t="shared" si="71"/>
        <v>66.989999999999995</v>
      </c>
      <c r="M757" s="374">
        <f t="shared" si="72"/>
        <v>5645238.1300000129</v>
      </c>
      <c r="N757" s="375">
        <f>+M757/L$815</f>
        <v>0.99957426306941821</v>
      </c>
      <c r="O757" s="376" t="str">
        <f>IF(N757&lt;0.5,"A",IF(N757&gt;0.8,"C","B"))</f>
        <v>C</v>
      </c>
    </row>
    <row r="758" spans="1:15" x14ac:dyDescent="0.25">
      <c r="A758" s="232">
        <f t="shared" si="67"/>
        <v>758</v>
      </c>
      <c r="B758" s="232"/>
      <c r="C758" s="310">
        <v>93663</v>
      </c>
      <c r="D758" s="373" t="str">
        <f>IF($C758="","",IFERROR(VLOOKUP($C758,SERVIÇOS!$B:$G,2,0),IFERROR(VLOOKUP($C758,'COMPOSIÇÕES COMPLEMENTARES '!$D:$L,2,0),IFERROR(VLOOKUP($C758,INSUMOS!$A:$D,2,0),""))))</f>
        <v>DISJUNTOR BIPOLAR TIPO DIN, CORRENTE NOMINAL DE 25A - FORNECIMENTO E INSTALAÇÃO. AF_10/2020</v>
      </c>
      <c r="E758" s="312" t="str">
        <f>IF($C758="","",IFERROR(VLOOKUP($C758,SERVIÇOS!$B:$G,3,0),IFERROR(VLOOKUP($C758,'COMPOSIÇÕES COMPLEMENTARES '!$D:$L,3,0),IFERROR(VLOOKUP($C758,INSUMOS!$A:$D,3,0),""))))</f>
        <v>UN</v>
      </c>
      <c r="F758" s="313">
        <v>1</v>
      </c>
      <c r="G758" s="314">
        <f>IF($C758="","",IFERROR(VLOOKUP($C758,SERVIÇOS!$B:$G,4,0),IFERROR(VLOOKUP($C758,'COMPOSIÇÕES COMPLEMENTARES '!$D:$L,6,0),IFERROR(VLOOKUP($C758,INSUMOS!$A:$D,4,0),""))))</f>
        <v>60.44</v>
      </c>
      <c r="H758" s="314">
        <f>IF($C758="","",IFERROR(VLOOKUP($C758,SERVIÇOS!$B:$G,5,0),IFERROR(VLOOKUP($C758,'COMPOSIÇÕES COMPLEMENTARES '!$D:$L,7,0),0)))</f>
        <v>6.55</v>
      </c>
      <c r="I758" s="314">
        <f t="shared" si="68"/>
        <v>66.989999999999995</v>
      </c>
      <c r="J758" s="314">
        <f t="shared" si="69"/>
        <v>60.44</v>
      </c>
      <c r="K758" s="314">
        <f t="shared" si="70"/>
        <v>6.55</v>
      </c>
      <c r="L758" s="948">
        <f t="shared" si="71"/>
        <v>66.989999999999995</v>
      </c>
      <c r="M758" s="374">
        <f t="shared" si="72"/>
        <v>5645305.1200000132</v>
      </c>
      <c r="N758" s="375">
        <f>+M758/L$815</f>
        <v>0.99958612465582808</v>
      </c>
      <c r="O758" s="376" t="str">
        <f>IF(N758&lt;0.5,"A",IF(N758&gt;0.8,"C","B"))</f>
        <v>C</v>
      </c>
    </row>
    <row r="759" spans="1:15" x14ac:dyDescent="0.25">
      <c r="A759" s="232">
        <f t="shared" si="67"/>
        <v>759</v>
      </c>
      <c r="B759" s="232"/>
      <c r="C759" s="310">
        <v>93662</v>
      </c>
      <c r="D759" s="373" t="str">
        <f>IF($C759="","",IFERROR(VLOOKUP($C759,SERVIÇOS!$B:$G,2,0),IFERROR(VLOOKUP($C759,'COMPOSIÇÕES COMPLEMENTARES '!$D:$L,2,0),IFERROR(VLOOKUP($C759,INSUMOS!$A:$D,2,0),""))))</f>
        <v>DISJUNTOR BIPOLAR TIPO DIN, CORRENTE NOMINAL DE 20A - FORNECIMENTO E INSTALAÇÃO. AF_10/2020</v>
      </c>
      <c r="E759" s="312" t="str">
        <f>IF($C759="","",IFERROR(VLOOKUP($C759,SERVIÇOS!$B:$G,3,0),IFERROR(VLOOKUP($C759,'COMPOSIÇÕES COMPLEMENTARES '!$D:$L,3,0),IFERROR(VLOOKUP($C759,INSUMOS!$A:$D,3,0),""))))</f>
        <v>UN</v>
      </c>
      <c r="F759" s="313">
        <v>1</v>
      </c>
      <c r="G759" s="314">
        <f>IF($C759="","",IFERROR(VLOOKUP($C759,SERVIÇOS!$B:$G,4,0),IFERROR(VLOOKUP($C759,'COMPOSIÇÕES COMPLEMENTARES '!$D:$L,6,0),IFERROR(VLOOKUP($C759,INSUMOS!$A:$D,4,0),""))))</f>
        <v>60.44</v>
      </c>
      <c r="H759" s="314">
        <f>IF($C759="","",IFERROR(VLOOKUP($C759,SERVIÇOS!$B:$G,5,0),IFERROR(VLOOKUP($C759,'COMPOSIÇÕES COMPLEMENTARES '!$D:$L,7,0),0)))</f>
        <v>6.55</v>
      </c>
      <c r="I759" s="314">
        <f t="shared" si="68"/>
        <v>66.989999999999995</v>
      </c>
      <c r="J759" s="314">
        <f t="shared" si="69"/>
        <v>60.44</v>
      </c>
      <c r="K759" s="314">
        <f t="shared" si="70"/>
        <v>6.55</v>
      </c>
      <c r="L759" s="948">
        <f t="shared" si="71"/>
        <v>66.989999999999995</v>
      </c>
      <c r="M759" s="374">
        <f t="shared" si="72"/>
        <v>5645372.1100000134</v>
      </c>
      <c r="N759" s="375">
        <f>+M759/L$815</f>
        <v>0.99959798624223795</v>
      </c>
      <c r="O759" s="376" t="str">
        <f>IF(N759&lt;0.5,"A",IF(N759&gt;0.8,"C","B"))</f>
        <v>C</v>
      </c>
    </row>
    <row r="760" spans="1:15" x14ac:dyDescent="0.25">
      <c r="A760" s="232">
        <f t="shared" si="67"/>
        <v>760</v>
      </c>
      <c r="B760" s="232"/>
      <c r="C760" s="310">
        <v>93662</v>
      </c>
      <c r="D760" s="373" t="str">
        <f>IF($C760="","",IFERROR(VLOOKUP($C760,SERVIÇOS!$B:$G,2,0),IFERROR(VLOOKUP($C760,'COMPOSIÇÕES COMPLEMENTARES '!$D:$L,2,0),IFERROR(VLOOKUP($C760,INSUMOS!$A:$D,2,0),""))))</f>
        <v>DISJUNTOR BIPOLAR TIPO DIN, CORRENTE NOMINAL DE 20A - FORNECIMENTO E INSTALAÇÃO. AF_10/2020</v>
      </c>
      <c r="E760" s="312" t="str">
        <f>IF($C760="","",IFERROR(VLOOKUP($C760,SERVIÇOS!$B:$G,3,0),IFERROR(VLOOKUP($C760,'COMPOSIÇÕES COMPLEMENTARES '!$D:$L,3,0),IFERROR(VLOOKUP($C760,INSUMOS!$A:$D,3,0),""))))</f>
        <v>UN</v>
      </c>
      <c r="F760" s="313">
        <v>1</v>
      </c>
      <c r="G760" s="314">
        <f>IF($C760="","",IFERROR(VLOOKUP($C760,SERVIÇOS!$B:$G,4,0),IFERROR(VLOOKUP($C760,'COMPOSIÇÕES COMPLEMENTARES '!$D:$L,6,0),IFERROR(VLOOKUP($C760,INSUMOS!$A:$D,4,0),""))))</f>
        <v>60.44</v>
      </c>
      <c r="H760" s="314">
        <f>IF($C760="","",IFERROR(VLOOKUP($C760,SERVIÇOS!$B:$G,5,0),IFERROR(VLOOKUP($C760,'COMPOSIÇÕES COMPLEMENTARES '!$D:$L,7,0),0)))</f>
        <v>6.55</v>
      </c>
      <c r="I760" s="314">
        <f t="shared" si="68"/>
        <v>66.989999999999995</v>
      </c>
      <c r="J760" s="314">
        <f t="shared" si="69"/>
        <v>60.44</v>
      </c>
      <c r="K760" s="314">
        <f t="shared" si="70"/>
        <v>6.55</v>
      </c>
      <c r="L760" s="948">
        <f t="shared" si="71"/>
        <v>66.989999999999995</v>
      </c>
      <c r="M760" s="374">
        <f t="shared" si="72"/>
        <v>5645439.1000000136</v>
      </c>
      <c r="N760" s="375">
        <f>+M760/L$815</f>
        <v>0.99960984782864781</v>
      </c>
      <c r="O760" s="376" t="str">
        <f>IF(N760&lt;0.5,"A",IF(N760&gt;0.8,"C","B"))</f>
        <v>C</v>
      </c>
    </row>
    <row r="761" spans="1:15" x14ac:dyDescent="0.25">
      <c r="A761" s="232">
        <f t="shared" si="67"/>
        <v>761</v>
      </c>
      <c r="B761" s="232"/>
      <c r="C761" s="310">
        <v>93662</v>
      </c>
      <c r="D761" s="373" t="str">
        <f>IF($C761="","",IFERROR(VLOOKUP($C761,SERVIÇOS!$B:$G,2,0),IFERROR(VLOOKUP($C761,'COMPOSIÇÕES COMPLEMENTARES '!$D:$L,2,0),IFERROR(VLOOKUP($C761,INSUMOS!$A:$D,2,0),""))))</f>
        <v>DISJUNTOR BIPOLAR TIPO DIN, CORRENTE NOMINAL DE 20A - FORNECIMENTO E INSTALAÇÃO. AF_10/2020</v>
      </c>
      <c r="E761" s="312" t="str">
        <f>IF($C761="","",IFERROR(VLOOKUP($C761,SERVIÇOS!$B:$G,3,0),IFERROR(VLOOKUP($C761,'COMPOSIÇÕES COMPLEMENTARES '!$D:$L,3,0),IFERROR(VLOOKUP($C761,INSUMOS!$A:$D,3,0),""))))</f>
        <v>UN</v>
      </c>
      <c r="F761" s="313">
        <v>1</v>
      </c>
      <c r="G761" s="314">
        <f>IF($C761="","",IFERROR(VLOOKUP($C761,SERVIÇOS!$B:$G,4,0),IFERROR(VLOOKUP($C761,'COMPOSIÇÕES COMPLEMENTARES '!$D:$L,6,0),IFERROR(VLOOKUP($C761,INSUMOS!$A:$D,4,0),""))))</f>
        <v>60.44</v>
      </c>
      <c r="H761" s="314">
        <f>IF($C761="","",IFERROR(VLOOKUP($C761,SERVIÇOS!$B:$G,5,0),IFERROR(VLOOKUP($C761,'COMPOSIÇÕES COMPLEMENTARES '!$D:$L,7,0),0)))</f>
        <v>6.55</v>
      </c>
      <c r="I761" s="314">
        <f t="shared" si="68"/>
        <v>66.989999999999995</v>
      </c>
      <c r="J761" s="314">
        <f t="shared" si="69"/>
        <v>60.44</v>
      </c>
      <c r="K761" s="314">
        <f t="shared" si="70"/>
        <v>6.55</v>
      </c>
      <c r="L761" s="948">
        <f t="shared" si="71"/>
        <v>66.989999999999995</v>
      </c>
      <c r="M761" s="374">
        <f t="shared" si="72"/>
        <v>5645506.0900000138</v>
      </c>
      <c r="N761" s="375">
        <f>+M761/L$815</f>
        <v>0.99962170941505768</v>
      </c>
      <c r="O761" s="376" t="str">
        <f>IF(N761&lt;0.5,"A",IF(N761&gt;0.8,"C","B"))</f>
        <v>C</v>
      </c>
    </row>
    <row r="762" spans="1:15" x14ac:dyDescent="0.25">
      <c r="A762" s="232">
        <f t="shared" si="67"/>
        <v>762</v>
      </c>
      <c r="B762" s="232"/>
      <c r="C762" s="310" t="s">
        <v>12212</v>
      </c>
      <c r="D762" s="373" t="str">
        <f>IF($C762="","",IFERROR(VLOOKUP($C762,SERVIÇOS!$B:$G,2,0),IFERROR(VLOOKUP($C762,'COMPOSIÇÕES COMPLEMENTARES '!$D:$L,2,0),IFERROR(VLOOKUP($C762,INSUMOS!$A:$D,2,0),""))))</f>
        <v>PONTO ELÉTRICO COM PLACA DE SAÍDA DE FIO - EM CX. 4"X2"</v>
      </c>
      <c r="E762" s="312" t="str">
        <f>IF($C762="","",IFERROR(VLOOKUP($C762,SERVIÇOS!$B:$G,3,0),IFERROR(VLOOKUP($C762,'COMPOSIÇÕES COMPLEMENTARES '!$D:$L,3,0),IFERROR(VLOOKUP($C762,INSUMOS!$A:$D,3,0),""))))</f>
        <v>UN</v>
      </c>
      <c r="F762" s="313">
        <v>4</v>
      </c>
      <c r="G762" s="314">
        <f>IF($C762="","",IFERROR(VLOOKUP($C762,SERVIÇOS!$B:$G,4,0),IFERROR(VLOOKUP($C762,'COMPOSIÇÕES COMPLEMENTARES '!$D:$L,6,0),IFERROR(VLOOKUP($C762,INSUMOS!$A:$D,4,0),""))))</f>
        <v>11.28</v>
      </c>
      <c r="H762" s="314">
        <f>IF($C762="","",IFERROR(VLOOKUP($C762,SERVIÇOS!$B:$G,5,0),IFERROR(VLOOKUP($C762,'COMPOSIÇÕES COMPLEMENTARES '!$D:$L,7,0),0)))</f>
        <v>5.29</v>
      </c>
      <c r="I762" s="314">
        <f t="shared" si="68"/>
        <v>16.57</v>
      </c>
      <c r="J762" s="314">
        <f t="shared" si="69"/>
        <v>45.12</v>
      </c>
      <c r="K762" s="314">
        <f t="shared" si="70"/>
        <v>21.16</v>
      </c>
      <c r="L762" s="948">
        <f t="shared" si="71"/>
        <v>66.28</v>
      </c>
      <c r="M762" s="374">
        <f t="shared" si="72"/>
        <v>5645572.3700000141</v>
      </c>
      <c r="N762" s="375">
        <f>+M762/L$815</f>
        <v>0.99963344528529563</v>
      </c>
      <c r="O762" s="376" t="str">
        <f>IF(N762&lt;0.5,"A",IF(N762&gt;0.8,"C","B"))</f>
        <v>C</v>
      </c>
    </row>
    <row r="763" spans="1:15" x14ac:dyDescent="0.25">
      <c r="A763" s="232">
        <f t="shared" si="67"/>
        <v>763</v>
      </c>
      <c r="B763" s="232"/>
      <c r="C763" s="310" t="s">
        <v>12211</v>
      </c>
      <c r="D763" s="373" t="str">
        <f>IF($C763="","",IFERROR(VLOOKUP($C763,SERVIÇOS!$B:$G,2,0),IFERROR(VLOOKUP($C763,'COMPOSIÇÕES COMPLEMENTARES '!$D:$L,2,0),IFERROR(VLOOKUP($C763,INSUMOS!$A:$D,2,0),""))))</f>
        <v>INTERRUPTOR C/ 1 TECLA SIMPLES + TOMADA 20A/220V PADRÃO BRASILEIRO EM CX. 4"X2"</v>
      </c>
      <c r="E763" s="312" t="str">
        <f>IF($C763="","",IFERROR(VLOOKUP($C763,SERVIÇOS!$B:$G,3,0),IFERROR(VLOOKUP($C763,'COMPOSIÇÕES COMPLEMENTARES '!$D:$L,3,0),IFERROR(VLOOKUP($C763,INSUMOS!$A:$D,3,0),""))))</f>
        <v>UN</v>
      </c>
      <c r="F763" s="313">
        <v>1</v>
      </c>
      <c r="G763" s="314">
        <f>IF($C763="","",IFERROR(VLOOKUP($C763,SERVIÇOS!$B:$G,4,0),IFERROR(VLOOKUP($C763,'COMPOSIÇÕES COMPLEMENTARES '!$D:$L,6,0),IFERROR(VLOOKUP($C763,INSUMOS!$A:$D,4,0),""))))</f>
        <v>34.75</v>
      </c>
      <c r="H763" s="314">
        <f>IF($C763="","",IFERROR(VLOOKUP($C763,SERVIÇOS!$B:$G,5,0),IFERROR(VLOOKUP($C763,'COMPOSIÇÕES COMPLEMENTARES '!$D:$L,7,0),0)))</f>
        <v>29.7</v>
      </c>
      <c r="I763" s="314">
        <f t="shared" si="68"/>
        <v>64.45</v>
      </c>
      <c r="J763" s="314">
        <f t="shared" si="69"/>
        <v>34.75</v>
      </c>
      <c r="K763" s="314">
        <f t="shared" si="70"/>
        <v>29.7</v>
      </c>
      <c r="L763" s="948">
        <f t="shared" si="71"/>
        <v>64.45</v>
      </c>
      <c r="M763" s="374">
        <f t="shared" si="72"/>
        <v>5645636.8200000143</v>
      </c>
      <c r="N763" s="375">
        <f>+M763/L$815</f>
        <v>0.9996448571265274</v>
      </c>
      <c r="O763" s="376" t="str">
        <f>IF(N763&lt;0.5,"A",IF(N763&gt;0.8,"C","B"))</f>
        <v>C</v>
      </c>
    </row>
    <row r="764" spans="1:15" ht="25.5" x14ac:dyDescent="0.25">
      <c r="A764" s="232">
        <f t="shared" si="67"/>
        <v>764</v>
      </c>
      <c r="B764" s="232"/>
      <c r="C764" s="310">
        <v>91957</v>
      </c>
      <c r="D764" s="373" t="str">
        <f>IF($C764="","",IFERROR(VLOOKUP($C764,SERVIÇOS!$B:$G,2,0),IFERROR(VLOOKUP($C764,'COMPOSIÇÕES COMPLEMENTARES '!$D:$L,2,0),IFERROR(VLOOKUP($C764,INSUMOS!$A:$D,2,0),""))))</f>
        <v>INTERRUPTOR SIMPLES (1 MÓDULO) COM INTERRUPTOR PARALELO (1 MÓDULO), 10A/250V, INCLUINDO SUPORTE E PLACA - FORNECIMENTO E INSTALAÇÃO. AF_03/2023</v>
      </c>
      <c r="E764" s="312" t="str">
        <f>IF($C764="","",IFERROR(VLOOKUP($C764,SERVIÇOS!$B:$G,3,0),IFERROR(VLOOKUP($C764,'COMPOSIÇÕES COMPLEMENTARES '!$D:$L,3,0),IFERROR(VLOOKUP($C764,INSUMOS!$A:$D,3,0),""))))</f>
        <v>UN</v>
      </c>
      <c r="F764" s="313">
        <v>1</v>
      </c>
      <c r="G764" s="314">
        <f>IF($C764="","",IFERROR(VLOOKUP($C764,SERVIÇOS!$B:$G,4,0),IFERROR(VLOOKUP($C764,'COMPOSIÇÕES COMPLEMENTARES '!$D:$L,6,0),IFERROR(VLOOKUP($C764,INSUMOS!$A:$D,4,0),""))))</f>
        <v>33.85</v>
      </c>
      <c r="H764" s="314">
        <f>IF($C764="","",IFERROR(VLOOKUP($C764,SERVIÇOS!$B:$G,5,0),IFERROR(VLOOKUP($C764,'COMPOSIÇÕES COMPLEMENTARES '!$D:$L,7,0),0)))</f>
        <v>30.4</v>
      </c>
      <c r="I764" s="314">
        <f t="shared" si="68"/>
        <v>64.25</v>
      </c>
      <c r="J764" s="314">
        <f t="shared" si="69"/>
        <v>33.85</v>
      </c>
      <c r="K764" s="314">
        <f t="shared" si="70"/>
        <v>30.4</v>
      </c>
      <c r="L764" s="948">
        <f t="shared" si="71"/>
        <v>64.25</v>
      </c>
      <c r="M764" s="374">
        <f t="shared" si="72"/>
        <v>5645701.0700000143</v>
      </c>
      <c r="N764" s="375">
        <f>+M764/L$815</f>
        <v>0.99965623355475297</v>
      </c>
      <c r="O764" s="376" t="str">
        <f>IF(N764&lt;0.5,"A",IF(N764&gt;0.8,"C","B"))</f>
        <v>C</v>
      </c>
    </row>
    <row r="765" spans="1:15" ht="25.5" x14ac:dyDescent="0.25">
      <c r="A765" s="232">
        <f t="shared" si="67"/>
        <v>765</v>
      </c>
      <c r="B765" s="232"/>
      <c r="C765" s="310">
        <v>91957</v>
      </c>
      <c r="D765" s="373" t="str">
        <f>IF($C765="","",IFERROR(VLOOKUP($C765,SERVIÇOS!$B:$G,2,0),IFERROR(VLOOKUP($C765,'COMPOSIÇÕES COMPLEMENTARES '!$D:$L,2,0),IFERROR(VLOOKUP($C765,INSUMOS!$A:$D,2,0),""))))</f>
        <v>INTERRUPTOR SIMPLES (1 MÓDULO) COM INTERRUPTOR PARALELO (1 MÓDULO), 10A/250V, INCLUINDO SUPORTE E PLACA - FORNECIMENTO E INSTALAÇÃO. AF_03/2023</v>
      </c>
      <c r="E765" s="312" t="str">
        <f>IF($C765="","",IFERROR(VLOOKUP($C765,SERVIÇOS!$B:$G,3,0),IFERROR(VLOOKUP($C765,'COMPOSIÇÕES COMPLEMENTARES '!$D:$L,3,0),IFERROR(VLOOKUP($C765,INSUMOS!$A:$D,3,0),""))))</f>
        <v>UN</v>
      </c>
      <c r="F765" s="313">
        <v>1</v>
      </c>
      <c r="G765" s="314">
        <f>IF($C765="","",IFERROR(VLOOKUP($C765,SERVIÇOS!$B:$G,4,0),IFERROR(VLOOKUP($C765,'COMPOSIÇÕES COMPLEMENTARES '!$D:$L,6,0),IFERROR(VLOOKUP($C765,INSUMOS!$A:$D,4,0),""))))</f>
        <v>33.85</v>
      </c>
      <c r="H765" s="314">
        <f>IF($C765="","",IFERROR(VLOOKUP($C765,SERVIÇOS!$B:$G,5,0),IFERROR(VLOOKUP($C765,'COMPOSIÇÕES COMPLEMENTARES '!$D:$L,7,0),0)))</f>
        <v>30.4</v>
      </c>
      <c r="I765" s="314">
        <f t="shared" si="68"/>
        <v>64.25</v>
      </c>
      <c r="J765" s="314">
        <f t="shared" si="69"/>
        <v>33.85</v>
      </c>
      <c r="K765" s="314">
        <f t="shared" si="70"/>
        <v>30.4</v>
      </c>
      <c r="L765" s="948">
        <f t="shared" si="71"/>
        <v>64.25</v>
      </c>
      <c r="M765" s="374">
        <f t="shared" si="72"/>
        <v>5645765.3200000143</v>
      </c>
      <c r="N765" s="375">
        <f>+M765/L$815</f>
        <v>0.99966760998297854</v>
      </c>
      <c r="O765" s="376" t="str">
        <f>IF(N765&lt;0.5,"A",IF(N765&gt;0.8,"C","B"))</f>
        <v>C</v>
      </c>
    </row>
    <row r="766" spans="1:15" x14ac:dyDescent="0.25">
      <c r="A766" s="232">
        <f t="shared" si="67"/>
        <v>766</v>
      </c>
      <c r="B766" s="232"/>
      <c r="C766" s="310">
        <v>93661</v>
      </c>
      <c r="D766" s="373" t="str">
        <f>IF($C766="","",IFERROR(VLOOKUP($C766,SERVIÇOS!$B:$G,2,0),IFERROR(VLOOKUP($C766,'COMPOSIÇÕES COMPLEMENTARES '!$D:$L,2,0),IFERROR(VLOOKUP($C766,INSUMOS!$A:$D,2,0),""))))</f>
        <v>DISJUNTOR BIPOLAR TIPO DIN, CORRENTE NOMINAL DE 16A - FORNECIMENTO E INSTALAÇÃO. AF_10/2020</v>
      </c>
      <c r="E766" s="312" t="str">
        <f>IF($C766="","",IFERROR(VLOOKUP($C766,SERVIÇOS!$B:$G,3,0),IFERROR(VLOOKUP($C766,'COMPOSIÇÕES COMPLEMENTARES '!$D:$L,3,0),IFERROR(VLOOKUP($C766,INSUMOS!$A:$D,3,0),""))))</f>
        <v>UN</v>
      </c>
      <c r="F766" s="313">
        <v>1</v>
      </c>
      <c r="G766" s="314">
        <f>IF($C766="","",IFERROR(VLOOKUP($C766,SERVIÇOS!$B:$G,4,0),IFERROR(VLOOKUP($C766,'COMPOSIÇÕES COMPLEMENTARES '!$D:$L,6,0),IFERROR(VLOOKUP($C766,INSUMOS!$A:$D,4,0),""))))</f>
        <v>59.08</v>
      </c>
      <c r="H766" s="314">
        <f>IF($C766="","",IFERROR(VLOOKUP($C766,SERVIÇOS!$B:$G,5,0),IFERROR(VLOOKUP($C766,'COMPOSIÇÕES COMPLEMENTARES '!$D:$L,7,0),0)))</f>
        <v>4.7</v>
      </c>
      <c r="I766" s="314">
        <f t="shared" si="68"/>
        <v>63.78</v>
      </c>
      <c r="J766" s="314">
        <f t="shared" si="69"/>
        <v>59.08</v>
      </c>
      <c r="K766" s="314">
        <f t="shared" si="70"/>
        <v>4.7</v>
      </c>
      <c r="L766" s="948">
        <f t="shared" si="71"/>
        <v>63.78</v>
      </c>
      <c r="M766" s="374">
        <f t="shared" si="72"/>
        <v>5645829.1000000145</v>
      </c>
      <c r="N766" s="375">
        <f>+M766/L$815</f>
        <v>0.99967890319063968</v>
      </c>
      <c r="O766" s="376" t="str">
        <f>IF(N766&lt;0.5,"A",IF(N766&gt;0.8,"C","B"))</f>
        <v>C</v>
      </c>
    </row>
    <row r="767" spans="1:15" x14ac:dyDescent="0.25">
      <c r="A767" s="232">
        <f t="shared" si="67"/>
        <v>767</v>
      </c>
      <c r="B767" s="232"/>
      <c r="C767" s="310">
        <v>93661</v>
      </c>
      <c r="D767" s="373" t="str">
        <f>IF($C767="","",IFERROR(VLOOKUP($C767,SERVIÇOS!$B:$G,2,0),IFERROR(VLOOKUP($C767,'COMPOSIÇÕES COMPLEMENTARES '!$D:$L,2,0),IFERROR(VLOOKUP($C767,INSUMOS!$A:$D,2,0),""))))</f>
        <v>DISJUNTOR BIPOLAR TIPO DIN, CORRENTE NOMINAL DE 16A - FORNECIMENTO E INSTALAÇÃO. AF_10/2020</v>
      </c>
      <c r="E767" s="312" t="str">
        <f>IF($C767="","",IFERROR(VLOOKUP($C767,SERVIÇOS!$B:$G,3,0),IFERROR(VLOOKUP($C767,'COMPOSIÇÕES COMPLEMENTARES '!$D:$L,3,0),IFERROR(VLOOKUP($C767,INSUMOS!$A:$D,3,0),""))))</f>
        <v>UN</v>
      </c>
      <c r="F767" s="313">
        <v>1</v>
      </c>
      <c r="G767" s="314">
        <f>IF($C767="","",IFERROR(VLOOKUP($C767,SERVIÇOS!$B:$G,4,0),IFERROR(VLOOKUP($C767,'COMPOSIÇÕES COMPLEMENTARES '!$D:$L,6,0),IFERROR(VLOOKUP($C767,INSUMOS!$A:$D,4,0),""))))</f>
        <v>59.08</v>
      </c>
      <c r="H767" s="314">
        <f>IF($C767="","",IFERROR(VLOOKUP($C767,SERVIÇOS!$B:$G,5,0),IFERROR(VLOOKUP($C767,'COMPOSIÇÕES COMPLEMENTARES '!$D:$L,7,0),0)))</f>
        <v>4.7</v>
      </c>
      <c r="I767" s="314">
        <f t="shared" si="68"/>
        <v>63.78</v>
      </c>
      <c r="J767" s="314">
        <f t="shared" si="69"/>
        <v>59.08</v>
      </c>
      <c r="K767" s="314">
        <f t="shared" si="70"/>
        <v>4.7</v>
      </c>
      <c r="L767" s="948">
        <f t="shared" si="71"/>
        <v>63.78</v>
      </c>
      <c r="M767" s="374">
        <f t="shared" si="72"/>
        <v>5645892.8800000148</v>
      </c>
      <c r="N767" s="375">
        <f>+M767/L$815</f>
        <v>0.99969019639830092</v>
      </c>
      <c r="O767" s="376" t="str">
        <f>IF(N767&lt;0.5,"A",IF(N767&gt;0.8,"C","B"))</f>
        <v>C</v>
      </c>
    </row>
    <row r="768" spans="1:15" x14ac:dyDescent="0.25">
      <c r="A768" s="232">
        <f t="shared" si="67"/>
        <v>768</v>
      </c>
      <c r="B768" s="232"/>
      <c r="C768" s="310">
        <v>93661</v>
      </c>
      <c r="D768" s="373" t="str">
        <f>IF($C768="","",IFERROR(VLOOKUP($C768,SERVIÇOS!$B:$G,2,0),IFERROR(VLOOKUP($C768,'COMPOSIÇÕES COMPLEMENTARES '!$D:$L,2,0),IFERROR(VLOOKUP($C768,INSUMOS!$A:$D,2,0),""))))</f>
        <v>DISJUNTOR BIPOLAR TIPO DIN, CORRENTE NOMINAL DE 16A - FORNECIMENTO E INSTALAÇÃO. AF_10/2020</v>
      </c>
      <c r="E768" s="312" t="str">
        <f>IF($C768="","",IFERROR(VLOOKUP($C768,SERVIÇOS!$B:$G,3,0),IFERROR(VLOOKUP($C768,'COMPOSIÇÕES COMPLEMENTARES '!$D:$L,3,0),IFERROR(VLOOKUP($C768,INSUMOS!$A:$D,3,0),""))))</f>
        <v>UN</v>
      </c>
      <c r="F768" s="313">
        <v>1</v>
      </c>
      <c r="G768" s="314">
        <f>IF($C768="","",IFERROR(VLOOKUP($C768,SERVIÇOS!$B:$G,4,0),IFERROR(VLOOKUP($C768,'COMPOSIÇÕES COMPLEMENTARES '!$D:$L,6,0),IFERROR(VLOOKUP($C768,INSUMOS!$A:$D,4,0),""))))</f>
        <v>59.08</v>
      </c>
      <c r="H768" s="314">
        <f>IF($C768="","",IFERROR(VLOOKUP($C768,SERVIÇOS!$B:$G,5,0),IFERROR(VLOOKUP($C768,'COMPOSIÇÕES COMPLEMENTARES '!$D:$L,7,0),0)))</f>
        <v>4.7</v>
      </c>
      <c r="I768" s="314">
        <f t="shared" si="68"/>
        <v>63.78</v>
      </c>
      <c r="J768" s="314">
        <f t="shared" si="69"/>
        <v>59.08</v>
      </c>
      <c r="K768" s="314">
        <f t="shared" si="70"/>
        <v>4.7</v>
      </c>
      <c r="L768" s="948">
        <f t="shared" si="71"/>
        <v>63.78</v>
      </c>
      <c r="M768" s="374">
        <f t="shared" si="72"/>
        <v>5645956.6600000151</v>
      </c>
      <c r="N768" s="375">
        <f>+M768/L$815</f>
        <v>0.99970148960596206</v>
      </c>
      <c r="O768" s="376" t="str">
        <f>IF(N768&lt;0.5,"A",IF(N768&gt;0.8,"C","B"))</f>
        <v>C</v>
      </c>
    </row>
    <row r="769" spans="1:15" ht="25.5" x14ac:dyDescent="0.25">
      <c r="A769" s="232">
        <f t="shared" si="67"/>
        <v>769</v>
      </c>
      <c r="B769" s="232"/>
      <c r="C769" s="310" t="s">
        <v>12455</v>
      </c>
      <c r="D769" s="373" t="str">
        <f>IF($C769="","",IFERROR(VLOOKUP($C769,SERVIÇOS!$B:$G,2,0),IFERROR(VLOOKUP($C769,'COMPOSIÇÕES COMPLEMENTARES '!$D:$L,2,0),IFERROR(VLOOKUP($C769,INSUMOS!$A:$D,2,0),""))))</f>
        <v>DAMPER DE REGULAGEM DE VAZÃO 150x150MM. MARCA TROPICAL DRV-150x150 (OU EQUIVALENTE (OU SIMILAR - TROX, SEIMMEI, DIFUSAR) -  FORNECIMENTO E INSTALAÇÃO</v>
      </c>
      <c r="E769" s="312" t="str">
        <f>IF($C769="","",IFERROR(VLOOKUP($C769,SERVIÇOS!$B:$G,3,0),IFERROR(VLOOKUP($C769,'COMPOSIÇÕES COMPLEMENTARES '!$D:$L,3,0),IFERROR(VLOOKUP($C769,INSUMOS!$A:$D,3,0),""))))</f>
        <v>UN</v>
      </c>
      <c r="F769" s="313">
        <v>1</v>
      </c>
      <c r="G769" s="314">
        <f>IF($C769="","",IFERROR(VLOOKUP($C769,SERVIÇOS!$B:$G,4,0),IFERROR(VLOOKUP($C769,'COMPOSIÇÕES COMPLEMENTARES '!$D:$L,6,0),IFERROR(VLOOKUP($C769,INSUMOS!$A:$D,4,0),""))))</f>
        <v>52.290000000000006</v>
      </c>
      <c r="H769" s="314">
        <f>IF($C769="","",IFERROR(VLOOKUP($C769,SERVIÇOS!$B:$G,5,0),IFERROR(VLOOKUP($C769,'COMPOSIÇÕES COMPLEMENTARES '!$D:$L,7,0),0)))</f>
        <v>11.05</v>
      </c>
      <c r="I769" s="314">
        <f t="shared" si="68"/>
        <v>63.34</v>
      </c>
      <c r="J769" s="314">
        <f t="shared" si="69"/>
        <v>52.29</v>
      </c>
      <c r="K769" s="314">
        <f t="shared" si="70"/>
        <v>11.05</v>
      </c>
      <c r="L769" s="948">
        <f t="shared" si="71"/>
        <v>63.34</v>
      </c>
      <c r="M769" s="374">
        <f t="shared" si="72"/>
        <v>5646020.0000000149</v>
      </c>
      <c r="N769" s="375">
        <f>+M769/L$815</f>
        <v>0.99971270490500963</v>
      </c>
      <c r="O769" s="376" t="str">
        <f>IF(N769&lt;0.5,"A",IF(N769&gt;0.8,"C","B"))</f>
        <v>C</v>
      </c>
    </row>
    <row r="770" spans="1:15" x14ac:dyDescent="0.25">
      <c r="A770" s="232">
        <f t="shared" si="67"/>
        <v>770</v>
      </c>
      <c r="B770" s="232"/>
      <c r="C770" s="310" t="s">
        <v>12155</v>
      </c>
      <c r="D770" s="373" t="str">
        <f>IF($C770="","",IFERROR(VLOOKUP($C770,SERVIÇOS!$B:$G,2,0),IFERROR(VLOOKUP($C770,'COMPOSIÇÕES COMPLEMENTARES '!$D:$L,2,0),IFERROR(VLOOKUP($C770,INSUMOS!$A:$D,2,0),""))))</f>
        <v>RASGO EM ALVENARIA PARA RAMAIS/ DISTRIBUIÇÃO COM DIÂMETROS MAIORES QUE 75 MM E MENORES OU IGUAIS A 100 MM</v>
      </c>
      <c r="E770" s="312" t="str">
        <f>IF($C770="","",IFERROR(VLOOKUP($C770,SERVIÇOS!$B:$G,3,0),IFERROR(VLOOKUP($C770,'COMPOSIÇÕES COMPLEMENTARES '!$D:$L,3,0),IFERROR(VLOOKUP($C770,INSUMOS!$A:$D,3,0),""))))</f>
        <v>M</v>
      </c>
      <c r="F770" s="313">
        <v>5</v>
      </c>
      <c r="G770" s="314">
        <f>IF($C770="","",IFERROR(VLOOKUP($C770,SERVIÇOS!$B:$G,4,0),IFERROR(VLOOKUP($C770,'COMPOSIÇÕES COMPLEMENTARES '!$D:$L,6,0),IFERROR(VLOOKUP($C770,INSUMOS!$A:$D,4,0),""))))</f>
        <v>4.8099999999999996</v>
      </c>
      <c r="H770" s="314">
        <f>IF($C770="","",IFERROR(VLOOKUP($C770,SERVIÇOS!$B:$G,5,0),IFERROR(VLOOKUP($C770,'COMPOSIÇÕES COMPLEMENTARES '!$D:$L,7,0),0)))</f>
        <v>7.01</v>
      </c>
      <c r="I770" s="314">
        <f t="shared" si="68"/>
        <v>11.82</v>
      </c>
      <c r="J770" s="314">
        <f t="shared" si="69"/>
        <v>24.05</v>
      </c>
      <c r="K770" s="314">
        <f t="shared" si="70"/>
        <v>35.049999999999997</v>
      </c>
      <c r="L770" s="948">
        <f t="shared" si="71"/>
        <v>59.1</v>
      </c>
      <c r="M770" s="374">
        <f t="shared" si="72"/>
        <v>5646079.1000000145</v>
      </c>
      <c r="N770" s="375">
        <f>+M770/L$815</f>
        <v>0.99972316944832673</v>
      </c>
      <c r="O770" s="376" t="str">
        <f>IF(N770&lt;0.5,"A",IF(N770&gt;0.8,"C","B"))</f>
        <v>C</v>
      </c>
    </row>
    <row r="771" spans="1:15" ht="25.5" x14ac:dyDescent="0.25">
      <c r="A771" s="232">
        <f t="shared" si="67"/>
        <v>771</v>
      </c>
      <c r="B771" s="232"/>
      <c r="C771" s="310">
        <v>91222</v>
      </c>
      <c r="D771" s="373" t="str">
        <f>IF($C771="","",IFERROR(VLOOKUP($C771,SERVIÇOS!$B:$G,2,0),IFERROR(VLOOKUP($C771,'COMPOSIÇÕES COMPLEMENTARES '!$D:$L,2,0),IFERROR(VLOOKUP($C771,INSUMOS!$A:$D,2,0),""))))</f>
        <v>RASGO LINEAR MANUAL EM ALVENARIA, PARA RAMAIS/ DISTRIBUIÇÃO DE INSTALAÇÕES HIDRÁULICAS, DIÂMETROS MAIORES QUE 40 MM E MENORES OU IGUAIS A 75 MM. AF_09/2023</v>
      </c>
      <c r="E771" s="312" t="str">
        <f>IF($C771="","",IFERROR(VLOOKUP($C771,SERVIÇOS!$B:$G,3,0),IFERROR(VLOOKUP($C771,'COMPOSIÇÕES COMPLEMENTARES '!$D:$L,3,0),IFERROR(VLOOKUP($C771,INSUMOS!$A:$D,3,0),""))))</f>
        <v>M</v>
      </c>
      <c r="F771" s="313">
        <v>5</v>
      </c>
      <c r="G771" s="314">
        <f>IF($C771="","",IFERROR(VLOOKUP($C771,SERVIÇOS!$B:$G,4,0),IFERROR(VLOOKUP($C771,'COMPOSIÇÕES COMPLEMENTARES '!$D:$L,6,0),IFERROR(VLOOKUP($C771,INSUMOS!$A:$D,4,0),""))))</f>
        <v>2.89</v>
      </c>
      <c r="H771" s="314">
        <f>IF($C771="","",IFERROR(VLOOKUP($C771,SERVIÇOS!$B:$G,5,0),IFERROR(VLOOKUP($C771,'COMPOSIÇÕES COMPLEMENTARES '!$D:$L,7,0),0)))</f>
        <v>8.7200000000000006</v>
      </c>
      <c r="I771" s="314">
        <f t="shared" si="68"/>
        <v>11.610000000000001</v>
      </c>
      <c r="J771" s="314">
        <f t="shared" si="69"/>
        <v>14.45</v>
      </c>
      <c r="K771" s="314">
        <f t="shared" si="70"/>
        <v>43.6</v>
      </c>
      <c r="L771" s="948">
        <f t="shared" si="71"/>
        <v>58.05</v>
      </c>
      <c r="M771" s="374">
        <f t="shared" si="72"/>
        <v>5646137.1500000143</v>
      </c>
      <c r="N771" s="375">
        <f>+M771/L$815</f>
        <v>0.99973344807336173</v>
      </c>
      <c r="O771" s="376" t="str">
        <f>IF(N771&lt;0.5,"A",IF(N771&gt;0.8,"C","B"))</f>
        <v>C</v>
      </c>
    </row>
    <row r="772" spans="1:15" x14ac:dyDescent="0.25">
      <c r="A772" s="232">
        <f t="shared" si="67"/>
        <v>772</v>
      </c>
      <c r="B772" s="232"/>
      <c r="C772" s="310" t="s">
        <v>12258</v>
      </c>
      <c r="D772" s="373" t="str">
        <f>IF($C772="","",IFERROR(VLOOKUP($C772,SERVIÇOS!$B:$G,2,0),IFERROR(VLOOKUP($C772,'COMPOSIÇÕES COMPLEMENTARES '!$D:$L,2,0),IFERROR(VLOOKUP($C772,INSUMOS!$A:$D,2,0),""))))</f>
        <v>UNIDUT CÔNICO Ø1" COM BUCHA E ARRUELA DE ALUMÍNIO Ø1"</v>
      </c>
      <c r="E772" s="312" t="str">
        <f>IF($C772="","",IFERROR(VLOOKUP($C772,SERVIÇOS!$B:$G,3,0),IFERROR(VLOOKUP($C772,'COMPOSIÇÕES COMPLEMENTARES '!$D:$L,3,0),IFERROR(VLOOKUP($C772,INSUMOS!$A:$D,3,0),""))))</f>
        <v>UN</v>
      </c>
      <c r="F772" s="313">
        <v>6</v>
      </c>
      <c r="G772" s="314">
        <f>IF($C772="","",IFERROR(VLOOKUP($C772,SERVIÇOS!$B:$G,4,0),IFERROR(VLOOKUP($C772,'COMPOSIÇÕES COMPLEMENTARES '!$D:$L,6,0),IFERROR(VLOOKUP($C772,INSUMOS!$A:$D,4,0),""))))</f>
        <v>7.12</v>
      </c>
      <c r="H772" s="314">
        <f>IF($C772="","",IFERROR(VLOOKUP($C772,SERVIÇOS!$B:$G,5,0),IFERROR(VLOOKUP($C772,'COMPOSIÇÕES COMPLEMENTARES '!$D:$L,7,0),0)))</f>
        <v>2.4700000000000002</v>
      </c>
      <c r="I772" s="314">
        <f t="shared" si="68"/>
        <v>9.59</v>
      </c>
      <c r="J772" s="314">
        <f t="shared" si="69"/>
        <v>42.72</v>
      </c>
      <c r="K772" s="314">
        <f t="shared" si="70"/>
        <v>14.82</v>
      </c>
      <c r="L772" s="948">
        <f t="shared" si="71"/>
        <v>57.54</v>
      </c>
      <c r="M772" s="374">
        <f t="shared" si="72"/>
        <v>5646194.6900000144</v>
      </c>
      <c r="N772" s="375">
        <f>+M772/L$815</f>
        <v>0.99974363639523089</v>
      </c>
      <c r="O772" s="376" t="str">
        <f>IF(N772&lt;0.5,"A",IF(N772&gt;0.8,"C","B"))</f>
        <v>C</v>
      </c>
    </row>
    <row r="773" spans="1:15" x14ac:dyDescent="0.25">
      <c r="A773" s="232">
        <f t="shared" si="67"/>
        <v>773</v>
      </c>
      <c r="B773" s="232"/>
      <c r="C773" s="310" t="s">
        <v>12258</v>
      </c>
      <c r="D773" s="373" t="str">
        <f>IF($C773="","",IFERROR(VLOOKUP($C773,SERVIÇOS!$B:$G,2,0),IFERROR(VLOOKUP($C773,'COMPOSIÇÕES COMPLEMENTARES '!$D:$L,2,0),IFERROR(VLOOKUP($C773,INSUMOS!$A:$D,2,0),""))))</f>
        <v>UNIDUT CÔNICO Ø1" COM BUCHA E ARRUELA DE ALUMÍNIO Ø1"</v>
      </c>
      <c r="E773" s="312" t="str">
        <f>IF($C773="","",IFERROR(VLOOKUP($C773,SERVIÇOS!$B:$G,3,0),IFERROR(VLOOKUP($C773,'COMPOSIÇÕES COMPLEMENTARES '!$D:$L,3,0),IFERROR(VLOOKUP($C773,INSUMOS!$A:$D,3,0),""))))</f>
        <v>UN</v>
      </c>
      <c r="F773" s="313">
        <v>6</v>
      </c>
      <c r="G773" s="314">
        <f>IF($C773="","",IFERROR(VLOOKUP($C773,SERVIÇOS!$B:$G,4,0),IFERROR(VLOOKUP($C773,'COMPOSIÇÕES COMPLEMENTARES '!$D:$L,6,0),IFERROR(VLOOKUP($C773,INSUMOS!$A:$D,4,0),""))))</f>
        <v>7.12</v>
      </c>
      <c r="H773" s="314">
        <f>IF($C773="","",IFERROR(VLOOKUP($C773,SERVIÇOS!$B:$G,5,0),IFERROR(VLOOKUP($C773,'COMPOSIÇÕES COMPLEMENTARES '!$D:$L,7,0),0)))</f>
        <v>2.4700000000000002</v>
      </c>
      <c r="I773" s="314">
        <f t="shared" si="68"/>
        <v>9.59</v>
      </c>
      <c r="J773" s="314">
        <f t="shared" si="69"/>
        <v>42.72</v>
      </c>
      <c r="K773" s="314">
        <f t="shared" si="70"/>
        <v>14.82</v>
      </c>
      <c r="L773" s="948">
        <f t="shared" si="71"/>
        <v>57.54</v>
      </c>
      <c r="M773" s="374">
        <f t="shared" si="72"/>
        <v>5646252.2300000144</v>
      </c>
      <c r="N773" s="375">
        <f>+M773/L$815</f>
        <v>0.99975382471710017</v>
      </c>
      <c r="O773" s="376" t="str">
        <f>IF(N773&lt;0.5,"A",IF(N773&gt;0.8,"C","B"))</f>
        <v>C</v>
      </c>
    </row>
    <row r="774" spans="1:15" x14ac:dyDescent="0.25">
      <c r="A774" s="232">
        <f t="shared" si="67"/>
        <v>774</v>
      </c>
      <c r="B774" s="232"/>
      <c r="C774" s="310">
        <v>91959</v>
      </c>
      <c r="D774" s="373" t="str">
        <f>IF($C774="","",IFERROR(VLOOKUP($C774,SERVIÇOS!$B:$G,2,0),IFERROR(VLOOKUP($C774,'COMPOSIÇÕES COMPLEMENTARES '!$D:$L,2,0),IFERROR(VLOOKUP($C774,INSUMOS!$A:$D,2,0),""))))</f>
        <v>INTERRUPTOR SIMPLES (2 MÓDULOS), 10A/250V, INCLUINDO SUPORTE E PLACA - FORNECIMENTO E INSTALAÇÃO. AF_03/2023</v>
      </c>
      <c r="E774" s="312" t="str">
        <f>IF($C774="","",IFERROR(VLOOKUP($C774,SERVIÇOS!$B:$G,3,0),IFERROR(VLOOKUP($C774,'COMPOSIÇÕES COMPLEMENTARES '!$D:$L,3,0),IFERROR(VLOOKUP($C774,INSUMOS!$A:$D,3,0),""))))</f>
        <v>UN</v>
      </c>
      <c r="F774" s="313">
        <v>1</v>
      </c>
      <c r="G774" s="314">
        <f>IF($C774="","",IFERROR(VLOOKUP($C774,SERVIÇOS!$B:$G,4,0),IFERROR(VLOOKUP($C774,'COMPOSIÇÕES COMPLEMENTARES '!$D:$L,6,0),IFERROR(VLOOKUP($C774,INSUMOS!$A:$D,4,0),""))))</f>
        <v>29.99</v>
      </c>
      <c r="H774" s="314">
        <f>IF($C774="","",IFERROR(VLOOKUP($C774,SERVIÇOS!$B:$G,5,0),IFERROR(VLOOKUP($C774,'COMPOSIÇÕES COMPLEMENTARES '!$D:$L,7,0),0)))</f>
        <v>26.24</v>
      </c>
      <c r="I774" s="314">
        <f t="shared" si="68"/>
        <v>56.23</v>
      </c>
      <c r="J774" s="314">
        <f t="shared" si="69"/>
        <v>29.99</v>
      </c>
      <c r="K774" s="314">
        <f t="shared" si="70"/>
        <v>26.24</v>
      </c>
      <c r="L774" s="948">
        <f t="shared" si="71"/>
        <v>56.23</v>
      </c>
      <c r="M774" s="374">
        <f t="shared" si="72"/>
        <v>5646308.4600000149</v>
      </c>
      <c r="N774" s="375">
        <f>+M774/L$815</f>
        <v>0.99976378108377928</v>
      </c>
      <c r="O774" s="376" t="str">
        <f>IF(N774&lt;0.5,"A",IF(N774&gt;0.8,"C","B"))</f>
        <v>C</v>
      </c>
    </row>
    <row r="775" spans="1:15" x14ac:dyDescent="0.25">
      <c r="A775" s="232">
        <f t="shared" si="67"/>
        <v>775</v>
      </c>
      <c r="B775" s="232"/>
      <c r="C775" s="310">
        <v>101616</v>
      </c>
      <c r="D775" s="377" t="str">
        <f>IF($C775="","",IFERROR(VLOOKUP($C775,SERVIÇOS!$B:$G,2,0),IFERROR(VLOOKUP($C775,'COMPOSIÇÕES COMPLEMENTARES '!$D:$L,2,0),IFERROR(VLOOKUP($C775,INSUMOS!$A:$D,2,0),""))))</f>
        <v>PREPARO DE FUNDO DE VALA COM LARGURA MENOR QUE 1,5 M (ACERTO DO SOLO NATURAL). AF_08/2020</v>
      </c>
      <c r="E775" s="312" t="str">
        <f>IF($C775="","",IFERROR(VLOOKUP($C775,SERVIÇOS!$B:$G,3,0),IFERROR(VLOOKUP($C775,'COMPOSIÇÕES COMPLEMENTARES '!$D:$L,3,0),IFERROR(VLOOKUP($C775,INSUMOS!$A:$D,3,0),""))))</f>
        <v>M2</v>
      </c>
      <c r="F775" s="313">
        <v>6.3</v>
      </c>
      <c r="G775" s="314">
        <f>IF($C775="","",IFERROR(VLOOKUP($C775,SERVIÇOS!$B:$G,4,0),IFERROR(VLOOKUP($C775,'COMPOSIÇÕES COMPLEMENTARES '!$D:$L,6,0),IFERROR(VLOOKUP($C775,INSUMOS!$A:$D,4,0),""))))</f>
        <v>2.46</v>
      </c>
      <c r="H775" s="314">
        <f>IF($C775="","",IFERROR(VLOOKUP($C775,SERVIÇOS!$B:$G,5,0),IFERROR(VLOOKUP($C775,'COMPOSIÇÕES COMPLEMENTARES '!$D:$L,7,0),0)))</f>
        <v>5.96</v>
      </c>
      <c r="I775" s="314">
        <f t="shared" si="68"/>
        <v>8.42</v>
      </c>
      <c r="J775" s="314">
        <f t="shared" si="69"/>
        <v>15.49</v>
      </c>
      <c r="K775" s="314">
        <f t="shared" si="70"/>
        <v>37.54</v>
      </c>
      <c r="L775" s="948">
        <f t="shared" si="71"/>
        <v>53.03</v>
      </c>
      <c r="M775" s="374">
        <f t="shared" si="72"/>
        <v>5646361.4900000151</v>
      </c>
      <c r="N775" s="375">
        <f>+M775/L$815</f>
        <v>0.99977317084235984</v>
      </c>
      <c r="O775" s="376" t="str">
        <f>IF(N775&lt;0.5,"A",IF(N775&gt;0.8,"C","B"))</f>
        <v>C</v>
      </c>
    </row>
    <row r="776" spans="1:15" x14ac:dyDescent="0.25">
      <c r="A776" s="232">
        <f t="shared" si="67"/>
        <v>776</v>
      </c>
      <c r="B776" s="232"/>
      <c r="C776" s="310" t="s">
        <v>12378</v>
      </c>
      <c r="D776" s="373" t="str">
        <f>IF($C776="","",IFERROR(VLOOKUP($C776,SERVIÇOS!$B:$G,2,0),IFERROR(VLOOKUP($C776,'COMPOSIÇÕES COMPLEMENTARES '!$D:$L,2,0),IFERROR(VLOOKUP($C776,INSUMOS!$A:$D,2,0),""))))</f>
        <v>PONTO PARA PISTOLA DE AR COMPRIMIDO PARA LIMPEZA</v>
      </c>
      <c r="E776" s="312" t="str">
        <f>IF($C776="","",IFERROR(VLOOKUP($C776,SERVIÇOS!$B:$G,3,0),IFERROR(VLOOKUP($C776,'COMPOSIÇÕES COMPLEMENTARES '!$D:$L,3,0),IFERROR(VLOOKUP($C776,INSUMOS!$A:$D,3,0),""))))</f>
        <v>UN</v>
      </c>
      <c r="F776" s="313">
        <v>2</v>
      </c>
      <c r="G776" s="314">
        <f>IF($C776="","",IFERROR(VLOOKUP($C776,SERVIÇOS!$B:$G,4,0),IFERROR(VLOOKUP($C776,'COMPOSIÇÕES COMPLEMENTARES '!$D:$L,6,0),IFERROR(VLOOKUP($C776,INSUMOS!$A:$D,4,0),""))))</f>
        <v>23.62</v>
      </c>
      <c r="H776" s="314">
        <f>IF($C776="","",IFERROR(VLOOKUP($C776,SERVIÇOS!$B:$G,5,0),IFERROR(VLOOKUP($C776,'COMPOSIÇÕES COMPLEMENTARES '!$D:$L,7,0),0)))</f>
        <v>2.42</v>
      </c>
      <c r="I776" s="314">
        <f t="shared" si="68"/>
        <v>26.04</v>
      </c>
      <c r="J776" s="314">
        <f t="shared" si="69"/>
        <v>47.24</v>
      </c>
      <c r="K776" s="314">
        <f t="shared" si="70"/>
        <v>4.84</v>
      </c>
      <c r="L776" s="948">
        <f t="shared" si="71"/>
        <v>52.08</v>
      </c>
      <c r="M776" s="374">
        <f t="shared" si="72"/>
        <v>5646413.5700000152</v>
      </c>
      <c r="N776" s="375">
        <f>+M776/L$815</f>
        <v>0.99978239238916122</v>
      </c>
      <c r="O776" s="376" t="str">
        <f>IF(N776&lt;0.5,"A",IF(N776&gt;0.8,"C","B"))</f>
        <v>C</v>
      </c>
    </row>
    <row r="777" spans="1:15" ht="25.5" x14ac:dyDescent="0.25">
      <c r="A777" s="232">
        <f t="shared" si="67"/>
        <v>777</v>
      </c>
      <c r="B777" s="232"/>
      <c r="C777" s="310">
        <v>91940</v>
      </c>
      <c r="D777" s="373" t="str">
        <f>IF($C777="","",IFERROR(VLOOKUP($C777,SERVIÇOS!$B:$G,2,0),IFERROR(VLOOKUP($C777,'COMPOSIÇÕES COMPLEMENTARES '!$D:$L,2,0),IFERROR(VLOOKUP($C777,INSUMOS!$A:$D,2,0),""))))</f>
        <v>CAIXA RETANGULAR 4" X 2" MÉDIA (1,30 M DO PISO), PVC, INSTALADA EM PAREDE - FORNECIMENTO E INSTALAÇÃO. AF_03/2023</v>
      </c>
      <c r="E777" s="312" t="str">
        <f>IF($C777="","",IFERROR(VLOOKUP($C777,SERVIÇOS!$B:$G,3,0),IFERROR(VLOOKUP($C777,'COMPOSIÇÕES COMPLEMENTARES '!$D:$L,3,0),IFERROR(VLOOKUP($C777,INSUMOS!$A:$D,3,0),""))))</f>
        <v>UN</v>
      </c>
      <c r="F777" s="313">
        <v>2</v>
      </c>
      <c r="G777" s="314">
        <f>IF($C777="","",IFERROR(VLOOKUP($C777,SERVIÇOS!$B:$G,4,0),IFERROR(VLOOKUP($C777,'COMPOSIÇÕES COMPLEMENTARES '!$D:$L,6,0),IFERROR(VLOOKUP($C777,INSUMOS!$A:$D,4,0),""))))</f>
        <v>9.7799999999999994</v>
      </c>
      <c r="H777" s="314">
        <f>IF($C777="","",IFERROR(VLOOKUP($C777,SERVIÇOS!$B:$G,5,0),IFERROR(VLOOKUP($C777,'COMPOSIÇÕES COMPLEMENTARES '!$D:$L,7,0),0)))</f>
        <v>14.56</v>
      </c>
      <c r="I777" s="314">
        <f t="shared" si="68"/>
        <v>24.34</v>
      </c>
      <c r="J777" s="314">
        <f t="shared" si="69"/>
        <v>19.559999999999999</v>
      </c>
      <c r="K777" s="314">
        <f t="shared" si="70"/>
        <v>29.12</v>
      </c>
      <c r="L777" s="948">
        <f t="shared" si="71"/>
        <v>48.68</v>
      </c>
      <c r="M777" s="374">
        <f t="shared" si="72"/>
        <v>5646462.2500000149</v>
      </c>
      <c r="N777" s="375">
        <f>+M777/L$815</f>
        <v>0.99979101191485797</v>
      </c>
      <c r="O777" s="376" t="str">
        <f>IF(N777&lt;0.5,"A",IF(N777&gt;0.8,"C","B"))</f>
        <v>C</v>
      </c>
    </row>
    <row r="778" spans="1:15" ht="25.5" x14ac:dyDescent="0.25">
      <c r="A778" s="232">
        <f t="shared" ref="A778:A813" si="73">1+A777</f>
        <v>778</v>
      </c>
      <c r="B778" s="232"/>
      <c r="C778" s="310">
        <v>91997</v>
      </c>
      <c r="D778" s="373" t="str">
        <f>IF($C778="","",IFERROR(VLOOKUP($C778,SERVIÇOS!$B:$G,2,0),IFERROR(VLOOKUP($C778,'COMPOSIÇÕES COMPLEMENTARES '!$D:$L,2,0),IFERROR(VLOOKUP($C778,INSUMOS!$A:$D,2,0),""))))</f>
        <v>TOMADA MÉDIA DE EMBUTIR (1 MÓDULO), 2P+T 20 A, INCLUINDO SUPORTE E PLACA - FORNECIMENTO E INSTALAÇÃO. AF_03/2023</v>
      </c>
      <c r="E778" s="312" t="str">
        <f>IF($C778="","",IFERROR(VLOOKUP($C778,SERVIÇOS!$B:$G,3,0),IFERROR(VLOOKUP($C778,'COMPOSIÇÕES COMPLEMENTARES '!$D:$L,3,0),IFERROR(VLOOKUP($C778,INSUMOS!$A:$D,3,0),""))))</f>
        <v>UN</v>
      </c>
      <c r="F778" s="313">
        <v>1</v>
      </c>
      <c r="G778" s="314">
        <f>IF($C778="","",IFERROR(VLOOKUP($C778,SERVIÇOS!$B:$G,4,0),IFERROR(VLOOKUP($C778,'COMPOSIÇÕES COMPLEMENTARES '!$D:$L,6,0),IFERROR(VLOOKUP($C778,INSUMOS!$A:$D,4,0),""))))</f>
        <v>24.26</v>
      </c>
      <c r="H778" s="314">
        <f>IF($C778="","",IFERROR(VLOOKUP($C778,SERVIÇOS!$B:$G,5,0),IFERROR(VLOOKUP($C778,'COMPOSIÇÕES COMPLEMENTARES '!$D:$L,7,0),0)))</f>
        <v>22.03</v>
      </c>
      <c r="I778" s="314">
        <f t="shared" ref="I778:I813" si="74">IF(F778="","",G778+H778)</f>
        <v>46.290000000000006</v>
      </c>
      <c r="J778" s="314">
        <f t="shared" ref="J778:J813" si="75">IF(F778="","",TRUNC((F778*G778),2))</f>
        <v>24.26</v>
      </c>
      <c r="K778" s="314">
        <f t="shared" ref="K778:K813" si="76">IF(F778="","",TRUNC((F778*H778),2))</f>
        <v>22.03</v>
      </c>
      <c r="L778" s="948">
        <f t="shared" ref="L778:L813" si="77">IF(F778="","",TRUNC((J778+K778),2))</f>
        <v>46.29</v>
      </c>
      <c r="M778" s="374">
        <f t="shared" si="72"/>
        <v>5646508.5400000149</v>
      </c>
      <c r="N778" s="375">
        <f>+M778/L$815</f>
        <v>0.99979920825513136</v>
      </c>
      <c r="O778" s="376" t="str">
        <f>IF(N778&lt;0.5,"A",IF(N778&gt;0.8,"C","B"))</f>
        <v>C</v>
      </c>
    </row>
    <row r="779" spans="1:15" ht="25.5" x14ac:dyDescent="0.25">
      <c r="A779" s="232">
        <f t="shared" si="73"/>
        <v>779</v>
      </c>
      <c r="B779" s="232"/>
      <c r="C779" s="310">
        <v>91997</v>
      </c>
      <c r="D779" s="373" t="str">
        <f>IF($C779="","",IFERROR(VLOOKUP($C779,SERVIÇOS!$B:$G,2,0),IFERROR(VLOOKUP($C779,'COMPOSIÇÕES COMPLEMENTARES '!$D:$L,2,0),IFERROR(VLOOKUP($C779,INSUMOS!$A:$D,2,0),""))))</f>
        <v>TOMADA MÉDIA DE EMBUTIR (1 MÓDULO), 2P+T 20 A, INCLUINDO SUPORTE E PLACA - FORNECIMENTO E INSTALAÇÃO. AF_03/2023</v>
      </c>
      <c r="E779" s="312" t="str">
        <f>IF($C779="","",IFERROR(VLOOKUP($C779,SERVIÇOS!$B:$G,3,0),IFERROR(VLOOKUP($C779,'COMPOSIÇÕES COMPLEMENTARES '!$D:$L,3,0),IFERROR(VLOOKUP($C779,INSUMOS!$A:$D,3,0),""))))</f>
        <v>UN</v>
      </c>
      <c r="F779" s="313">
        <v>1</v>
      </c>
      <c r="G779" s="314">
        <f>IF($C779="","",IFERROR(VLOOKUP($C779,SERVIÇOS!$B:$G,4,0),IFERROR(VLOOKUP($C779,'COMPOSIÇÕES COMPLEMENTARES '!$D:$L,6,0),IFERROR(VLOOKUP($C779,INSUMOS!$A:$D,4,0),""))))</f>
        <v>24.26</v>
      </c>
      <c r="H779" s="314">
        <f>IF($C779="","",IFERROR(VLOOKUP($C779,SERVIÇOS!$B:$G,5,0),IFERROR(VLOOKUP($C779,'COMPOSIÇÕES COMPLEMENTARES '!$D:$L,7,0),0)))</f>
        <v>22.03</v>
      </c>
      <c r="I779" s="314">
        <f t="shared" si="74"/>
        <v>46.290000000000006</v>
      </c>
      <c r="J779" s="314">
        <f t="shared" si="75"/>
        <v>24.26</v>
      </c>
      <c r="K779" s="314">
        <f t="shared" si="76"/>
        <v>22.03</v>
      </c>
      <c r="L779" s="948">
        <f t="shared" si="77"/>
        <v>46.29</v>
      </c>
      <c r="M779" s="374">
        <f t="shared" ref="M779:M813" si="78">+L779+M778</f>
        <v>5646554.830000015</v>
      </c>
      <c r="N779" s="375">
        <f>+M779/L$815</f>
        <v>0.99980740459540474</v>
      </c>
      <c r="O779" s="376" t="str">
        <f>IF(N779&lt;0.5,"A",IF(N779&gt;0.8,"C","B"))</f>
        <v>C</v>
      </c>
    </row>
    <row r="780" spans="1:15" x14ac:dyDescent="0.25">
      <c r="A780" s="232">
        <f t="shared" si="73"/>
        <v>780</v>
      </c>
      <c r="B780" s="232"/>
      <c r="C780" s="310" t="s">
        <v>12203</v>
      </c>
      <c r="D780" s="373" t="str">
        <f>IF($C780="","",IFERROR(VLOOKUP($C780,SERVIÇOS!$B:$G,2,0),IFERROR(VLOOKUP($C780,'COMPOSIÇÕES COMPLEMENTARES '!$D:$L,2,0),IFERROR(VLOOKUP($C780,INSUMOS!$A:$D,2,0),""))))</f>
        <v>TERMINAL DE COMPRESSÃO #35MM²</v>
      </c>
      <c r="E780" s="312" t="str">
        <f>IF($C780="","",IFERROR(VLOOKUP($C780,SERVIÇOS!$B:$G,3,0),IFERROR(VLOOKUP($C780,'COMPOSIÇÕES COMPLEMENTARES '!$D:$L,3,0),IFERROR(VLOOKUP($C780,INSUMOS!$A:$D,3,0),""))))</f>
        <v>UN</v>
      </c>
      <c r="F780" s="313">
        <v>8</v>
      </c>
      <c r="G780" s="314">
        <f>IF($C780="","",IFERROR(VLOOKUP($C780,SERVIÇOS!$B:$G,4,0),IFERROR(VLOOKUP($C780,'COMPOSIÇÕES COMPLEMENTARES '!$D:$L,6,0),IFERROR(VLOOKUP($C780,INSUMOS!$A:$D,4,0),""))))</f>
        <v>4.13</v>
      </c>
      <c r="H780" s="314">
        <f>IF($C780="","",IFERROR(VLOOKUP($C780,SERVIÇOS!$B:$G,5,0),IFERROR(VLOOKUP($C780,'COMPOSIÇÕES COMPLEMENTARES '!$D:$L,7,0),0)))</f>
        <v>1.57</v>
      </c>
      <c r="I780" s="314">
        <f t="shared" si="74"/>
        <v>5.7</v>
      </c>
      <c r="J780" s="314">
        <f t="shared" si="75"/>
        <v>33.04</v>
      </c>
      <c r="K780" s="314">
        <f t="shared" si="76"/>
        <v>12.56</v>
      </c>
      <c r="L780" s="948">
        <f t="shared" si="77"/>
        <v>45.6</v>
      </c>
      <c r="M780" s="374">
        <f t="shared" si="78"/>
        <v>5646600.4300000146</v>
      </c>
      <c r="N780" s="375">
        <f>+M780/L$815</f>
        <v>0.99981547876080679</v>
      </c>
      <c r="O780" s="376" t="str">
        <f>IF(N780&lt;0.5,"A",IF(N780&gt;0.8,"C","B"))</f>
        <v>C</v>
      </c>
    </row>
    <row r="781" spans="1:15" x14ac:dyDescent="0.25">
      <c r="A781" s="232">
        <f t="shared" si="73"/>
        <v>781</v>
      </c>
      <c r="B781" s="232"/>
      <c r="C781" s="310">
        <v>91955</v>
      </c>
      <c r="D781" s="373" t="str">
        <f>IF($C781="","",IFERROR(VLOOKUP($C781,SERVIÇOS!$B:$G,2,0),IFERROR(VLOOKUP($C781,'COMPOSIÇÕES COMPLEMENTARES '!$D:$L,2,0),IFERROR(VLOOKUP($C781,INSUMOS!$A:$D,2,0),""))))</f>
        <v>INTERRUPTOR PARALELO (1 MÓDULO), 10A/250V, INCLUINDO SUPORTE E PLACA - FORNECIMENTO E INSTALAÇÃO. AF_03/2023</v>
      </c>
      <c r="E781" s="312" t="str">
        <f>IF($C781="","",IFERROR(VLOOKUP($C781,SERVIÇOS!$B:$G,3,0),IFERROR(VLOOKUP($C781,'COMPOSIÇÕES COMPLEMENTARES '!$D:$L,3,0),IFERROR(VLOOKUP($C781,INSUMOS!$A:$D,3,0),""))))</f>
        <v>UN</v>
      </c>
      <c r="F781" s="313">
        <v>1</v>
      </c>
      <c r="G781" s="314">
        <f>IF($C781="","",IFERROR(VLOOKUP($C781,SERVIÇOS!$B:$G,4,0),IFERROR(VLOOKUP($C781,'COMPOSIÇÕES COMPLEMENTARES '!$D:$L,6,0),IFERROR(VLOOKUP($C781,INSUMOS!$A:$D,4,0),""))))</f>
        <v>23.08</v>
      </c>
      <c r="H781" s="314">
        <f>IF($C781="","",IFERROR(VLOOKUP($C781,SERVIÇOS!$B:$G,5,0),IFERROR(VLOOKUP($C781,'COMPOSIÇÕES COMPLEMENTARES '!$D:$L,7,0),0)))</f>
        <v>22.04</v>
      </c>
      <c r="I781" s="314">
        <f t="shared" si="74"/>
        <v>45.12</v>
      </c>
      <c r="J781" s="314">
        <f t="shared" si="75"/>
        <v>23.08</v>
      </c>
      <c r="K781" s="314">
        <f t="shared" si="76"/>
        <v>22.04</v>
      </c>
      <c r="L781" s="948">
        <f t="shared" si="77"/>
        <v>45.12</v>
      </c>
      <c r="M781" s="374">
        <f t="shared" si="78"/>
        <v>5646645.5500000147</v>
      </c>
      <c r="N781" s="375">
        <f>+M781/L$815</f>
        <v>0.9998234679349941</v>
      </c>
      <c r="O781" s="376" t="str">
        <f>IF(N781&lt;0.5,"A",IF(N781&gt;0.8,"C","B"))</f>
        <v>C</v>
      </c>
    </row>
    <row r="782" spans="1:15" x14ac:dyDescent="0.25">
      <c r="A782" s="232">
        <f t="shared" si="73"/>
        <v>782</v>
      </c>
      <c r="B782" s="232"/>
      <c r="C782" s="310">
        <v>91955</v>
      </c>
      <c r="D782" s="373" t="str">
        <f>IF($C782="","",IFERROR(VLOOKUP($C782,SERVIÇOS!$B:$G,2,0),IFERROR(VLOOKUP($C782,'COMPOSIÇÕES COMPLEMENTARES '!$D:$L,2,0),IFERROR(VLOOKUP($C782,INSUMOS!$A:$D,2,0),""))))</f>
        <v>INTERRUPTOR PARALELO (1 MÓDULO), 10A/250V, INCLUINDO SUPORTE E PLACA - FORNECIMENTO E INSTALAÇÃO. AF_03/2023</v>
      </c>
      <c r="E782" s="312" t="str">
        <f>IF($C782="","",IFERROR(VLOOKUP($C782,SERVIÇOS!$B:$G,3,0),IFERROR(VLOOKUP($C782,'COMPOSIÇÕES COMPLEMENTARES '!$D:$L,3,0),IFERROR(VLOOKUP($C782,INSUMOS!$A:$D,3,0),""))))</f>
        <v>UN</v>
      </c>
      <c r="F782" s="313">
        <v>1</v>
      </c>
      <c r="G782" s="314">
        <f>IF($C782="","",IFERROR(VLOOKUP($C782,SERVIÇOS!$B:$G,4,0),IFERROR(VLOOKUP($C782,'COMPOSIÇÕES COMPLEMENTARES '!$D:$L,6,0),IFERROR(VLOOKUP($C782,INSUMOS!$A:$D,4,0),""))))</f>
        <v>23.08</v>
      </c>
      <c r="H782" s="314">
        <f>IF($C782="","",IFERROR(VLOOKUP($C782,SERVIÇOS!$B:$G,5,0),IFERROR(VLOOKUP($C782,'COMPOSIÇÕES COMPLEMENTARES '!$D:$L,7,0),0)))</f>
        <v>22.04</v>
      </c>
      <c r="I782" s="314">
        <f t="shared" si="74"/>
        <v>45.12</v>
      </c>
      <c r="J782" s="314">
        <f t="shared" si="75"/>
        <v>23.08</v>
      </c>
      <c r="K782" s="314">
        <f t="shared" si="76"/>
        <v>22.04</v>
      </c>
      <c r="L782" s="948">
        <f t="shared" si="77"/>
        <v>45.12</v>
      </c>
      <c r="M782" s="374">
        <f t="shared" si="78"/>
        <v>5646690.6700000148</v>
      </c>
      <c r="N782" s="375">
        <f>+M782/L$815</f>
        <v>0.99983145710918153</v>
      </c>
      <c r="O782" s="376" t="str">
        <f>IF(N782&lt;0.5,"A",IF(N782&gt;0.8,"C","B"))</f>
        <v>C</v>
      </c>
    </row>
    <row r="783" spans="1:15" x14ac:dyDescent="0.25">
      <c r="A783" s="232">
        <f t="shared" si="73"/>
        <v>783</v>
      </c>
      <c r="B783" s="232"/>
      <c r="C783" s="310" t="s">
        <v>12144</v>
      </c>
      <c r="D783" s="373" t="str">
        <f>IF($C783="","",IFERROR(VLOOKUP($C783,SERVIÇOS!$B:$G,2,0),IFERROR(VLOOKUP($C783,'COMPOSIÇÕES COMPLEMENTARES '!$D:$L,2,0),IFERROR(VLOOKUP($C783,INSUMOS!$A:$D,2,0),""))))</f>
        <v>TERMINAL DE VENTILACAO, 75 MM</v>
      </c>
      <c r="E783" s="312" t="str">
        <f>IF($C783="","",IFERROR(VLOOKUP($C783,SERVIÇOS!$B:$G,3,0),IFERROR(VLOOKUP($C783,'COMPOSIÇÕES COMPLEMENTARES '!$D:$L,3,0),IFERROR(VLOOKUP($C783,INSUMOS!$A:$D,3,0),""))))</f>
        <v>UN</v>
      </c>
      <c r="F783" s="313">
        <v>2</v>
      </c>
      <c r="G783" s="314">
        <f>IF($C783="","",IFERROR(VLOOKUP($C783,SERVIÇOS!$B:$G,4,0),IFERROR(VLOOKUP($C783,'COMPOSIÇÕES COMPLEMENTARES '!$D:$L,6,0),IFERROR(VLOOKUP($C783,INSUMOS!$A:$D,4,0),""))))</f>
        <v>18.78</v>
      </c>
      <c r="H783" s="314">
        <f>IF($C783="","",IFERROR(VLOOKUP($C783,SERVIÇOS!$B:$G,5,0),IFERROR(VLOOKUP($C783,'COMPOSIÇÕES COMPLEMENTARES '!$D:$L,7,0),0)))</f>
        <v>3.28</v>
      </c>
      <c r="I783" s="314">
        <f t="shared" si="74"/>
        <v>22.060000000000002</v>
      </c>
      <c r="J783" s="314">
        <f t="shared" si="75"/>
        <v>37.56</v>
      </c>
      <c r="K783" s="314">
        <f t="shared" si="76"/>
        <v>6.56</v>
      </c>
      <c r="L783" s="948">
        <f t="shared" si="77"/>
        <v>44.12</v>
      </c>
      <c r="M783" s="374">
        <f t="shared" si="78"/>
        <v>5646734.7900000149</v>
      </c>
      <c r="N783" s="375">
        <f>+M783/L$815</f>
        <v>0.9998392692183381</v>
      </c>
      <c r="O783" s="376" t="str">
        <f>IF(N783&lt;0.5,"A",IF(N783&gt;0.8,"C","B"))</f>
        <v>C</v>
      </c>
    </row>
    <row r="784" spans="1:15" x14ac:dyDescent="0.25">
      <c r="A784" s="232">
        <f t="shared" si="73"/>
        <v>784</v>
      </c>
      <c r="B784" s="232"/>
      <c r="C784" s="310" t="s">
        <v>12278</v>
      </c>
      <c r="D784" s="373" t="str">
        <f>IF($C784="","",IFERROR(VLOOKUP($C784,SERVIÇOS!$B:$G,2,0),IFERROR(VLOOKUP($C784,'COMPOSIÇÕES COMPLEMENTARES '!$D:$L,2,0),IFERROR(VLOOKUP($C784,INSUMOS!$A:$D,2,0),""))))</f>
        <v xml:space="preserve">TERMINAL DE COMPRESSÃO #70MM² </v>
      </c>
      <c r="E784" s="312" t="str">
        <f>IF($C784="","",IFERROR(VLOOKUP($C784,SERVIÇOS!$B:$G,3,0),IFERROR(VLOOKUP($C784,'COMPOSIÇÕES COMPLEMENTARES '!$D:$L,3,0),IFERROR(VLOOKUP($C784,INSUMOS!$A:$D,3,0),""))))</f>
        <v>UN</v>
      </c>
      <c r="F784" s="313">
        <v>2</v>
      </c>
      <c r="G784" s="314">
        <f>IF($C784="","",IFERROR(VLOOKUP($C784,SERVIÇOS!$B:$G,4,0),IFERROR(VLOOKUP($C784,'COMPOSIÇÕES COMPLEMENTARES '!$D:$L,6,0),IFERROR(VLOOKUP($C784,INSUMOS!$A:$D,4,0),""))))</f>
        <v>11.23</v>
      </c>
      <c r="H784" s="314">
        <f>IF($C784="","",IFERROR(VLOOKUP($C784,SERVIÇOS!$B:$G,5,0),IFERROR(VLOOKUP($C784,'COMPOSIÇÕES COMPLEMENTARES '!$D:$L,7,0),0)))</f>
        <v>9.9</v>
      </c>
      <c r="I784" s="314">
        <f t="shared" si="74"/>
        <v>21.130000000000003</v>
      </c>
      <c r="J784" s="314">
        <f t="shared" si="75"/>
        <v>22.46</v>
      </c>
      <c r="K784" s="314">
        <f t="shared" si="76"/>
        <v>19.8</v>
      </c>
      <c r="L784" s="948">
        <f t="shared" si="77"/>
        <v>42.26</v>
      </c>
      <c r="M784" s="374">
        <f t="shared" si="78"/>
        <v>5646777.0500000147</v>
      </c>
      <c r="N784" s="375">
        <f>+M784/L$815</f>
        <v>0.9998467519865375</v>
      </c>
      <c r="O784" s="376" t="str">
        <f>IF(N784&lt;0.5,"A",IF(N784&gt;0.8,"C","B"))</f>
        <v>C</v>
      </c>
    </row>
    <row r="785" spans="1:15" x14ac:dyDescent="0.25">
      <c r="A785" s="232">
        <f t="shared" si="73"/>
        <v>785</v>
      </c>
      <c r="B785" s="232"/>
      <c r="C785" s="310">
        <v>93654</v>
      </c>
      <c r="D785" s="373" t="str">
        <f>IF($C785="","",IFERROR(VLOOKUP($C785,SERVIÇOS!$B:$G,2,0),IFERROR(VLOOKUP($C785,'COMPOSIÇÕES COMPLEMENTARES '!$D:$L,2,0),IFERROR(VLOOKUP($C785,INSUMOS!$A:$D,2,0),""))))</f>
        <v>DISJUNTOR MONOPOLAR TIPO DIN, CORRENTE NOMINAL DE 16A - FORNECIMENTO E INSTALAÇÃO. AF_10/2020</v>
      </c>
      <c r="E785" s="312" t="str">
        <f>IF($C785="","",IFERROR(VLOOKUP($C785,SERVIÇOS!$B:$G,3,0),IFERROR(VLOOKUP($C785,'COMPOSIÇÕES COMPLEMENTARES '!$D:$L,3,0),IFERROR(VLOOKUP($C785,INSUMOS!$A:$D,3,0),""))))</f>
        <v>UN</v>
      </c>
      <c r="F785" s="313">
        <v>3</v>
      </c>
      <c r="G785" s="314">
        <f>IF($C785="","",IFERROR(VLOOKUP($C785,SERVIÇOS!$B:$G,4,0),IFERROR(VLOOKUP($C785,'COMPOSIÇÕES COMPLEMENTARES '!$D:$L,6,0),IFERROR(VLOOKUP($C785,INSUMOS!$A:$D,4,0),""))))</f>
        <v>11.6</v>
      </c>
      <c r="H785" s="314">
        <f>IF($C785="","",IFERROR(VLOOKUP($C785,SERVIÇOS!$B:$G,5,0),IFERROR(VLOOKUP($C785,'COMPOSIÇÕES COMPLEMENTARES '!$D:$L,7,0),0)))</f>
        <v>2.35</v>
      </c>
      <c r="I785" s="314">
        <f t="shared" si="74"/>
        <v>13.95</v>
      </c>
      <c r="J785" s="314">
        <f t="shared" si="75"/>
        <v>34.799999999999997</v>
      </c>
      <c r="K785" s="314">
        <f t="shared" si="76"/>
        <v>7.05</v>
      </c>
      <c r="L785" s="948">
        <f t="shared" si="77"/>
        <v>41.85</v>
      </c>
      <c r="M785" s="374">
        <f t="shared" si="78"/>
        <v>5646818.9000000143</v>
      </c>
      <c r="N785" s="375">
        <f>+M785/L$815</f>
        <v>0.99985416215807432</v>
      </c>
      <c r="O785" s="376" t="str">
        <f>IF(N785&lt;0.5,"A",IF(N785&gt;0.8,"C","B"))</f>
        <v>C</v>
      </c>
    </row>
    <row r="786" spans="1:15" x14ac:dyDescent="0.25">
      <c r="A786" s="232">
        <f t="shared" si="73"/>
        <v>786</v>
      </c>
      <c r="B786" s="232"/>
      <c r="C786" s="310">
        <v>101616</v>
      </c>
      <c r="D786" s="373" t="str">
        <f>IF($C786="","",IFERROR(VLOOKUP($C786,SERVIÇOS!$B:$G,2,0),IFERROR(VLOOKUP($C786,'COMPOSIÇÕES COMPLEMENTARES '!$D:$L,2,0),IFERROR(VLOOKUP($C786,INSUMOS!$A:$D,2,0),""))))</f>
        <v>PREPARO DE FUNDO DE VALA COM LARGURA MENOR QUE 1,5 M (ACERTO DO SOLO NATURAL). AF_08/2020</v>
      </c>
      <c r="E786" s="312" t="str">
        <f>IF($C786="","",IFERROR(VLOOKUP($C786,SERVIÇOS!$B:$G,3,0),IFERROR(VLOOKUP($C786,'COMPOSIÇÕES COMPLEMENTARES '!$D:$L,3,0),IFERROR(VLOOKUP($C786,INSUMOS!$A:$D,3,0),""))))</f>
        <v>M2</v>
      </c>
      <c r="F786" s="313">
        <v>4.8000000000000007</v>
      </c>
      <c r="G786" s="314">
        <f>IF($C786="","",IFERROR(VLOOKUP($C786,SERVIÇOS!$B:$G,4,0),IFERROR(VLOOKUP($C786,'COMPOSIÇÕES COMPLEMENTARES '!$D:$L,6,0),IFERROR(VLOOKUP($C786,INSUMOS!$A:$D,4,0),""))))</f>
        <v>2.46</v>
      </c>
      <c r="H786" s="314">
        <f>IF($C786="","",IFERROR(VLOOKUP($C786,SERVIÇOS!$B:$G,5,0),IFERROR(VLOOKUP($C786,'COMPOSIÇÕES COMPLEMENTARES '!$D:$L,7,0),0)))</f>
        <v>5.96</v>
      </c>
      <c r="I786" s="314">
        <f t="shared" si="74"/>
        <v>8.42</v>
      </c>
      <c r="J786" s="314">
        <f t="shared" si="75"/>
        <v>11.8</v>
      </c>
      <c r="K786" s="314">
        <f t="shared" si="76"/>
        <v>28.6</v>
      </c>
      <c r="L786" s="948">
        <f t="shared" si="77"/>
        <v>40.4</v>
      </c>
      <c r="M786" s="374">
        <f t="shared" si="78"/>
        <v>5646859.3000000147</v>
      </c>
      <c r="N786" s="375">
        <f>+M786/L$815</f>
        <v>0.99986131558531655</v>
      </c>
      <c r="O786" s="376" t="str">
        <f>IF(N786&lt;0.5,"A",IF(N786&gt;0.8,"C","B"))</f>
        <v>C</v>
      </c>
    </row>
    <row r="787" spans="1:15" x14ac:dyDescent="0.25">
      <c r="A787" s="232">
        <f t="shared" si="73"/>
        <v>787</v>
      </c>
      <c r="B787" s="232"/>
      <c r="C787" s="310" t="s">
        <v>12239</v>
      </c>
      <c r="D787" s="373" t="str">
        <f>IF($C787="","",IFERROR(VLOOKUP($C787,SERVIÇOS!$B:$G,2,0),IFERROR(VLOOKUP($C787,'COMPOSIÇÕES COMPLEMENTARES '!$D:$L,2,0),IFERROR(VLOOKUP($C787,INSUMOS!$A:$D,2,0),""))))</f>
        <v>TERMINAL DE COMPRESSÃO #25MM²</v>
      </c>
      <c r="E787" s="312" t="str">
        <f>IF($C787="","",IFERROR(VLOOKUP($C787,SERVIÇOS!$B:$G,3,0),IFERROR(VLOOKUP($C787,'COMPOSIÇÕES COMPLEMENTARES '!$D:$L,3,0),IFERROR(VLOOKUP($C787,INSUMOS!$A:$D,3,0),""))))</f>
        <v>UN</v>
      </c>
      <c r="F787" s="313">
        <v>8</v>
      </c>
      <c r="G787" s="314">
        <f>IF($C787="","",IFERROR(VLOOKUP($C787,SERVIÇOS!$B:$G,4,0),IFERROR(VLOOKUP($C787,'COMPOSIÇÕES COMPLEMENTARES '!$D:$L,6,0),IFERROR(VLOOKUP($C787,INSUMOS!$A:$D,4,0),""))))</f>
        <v>3.65</v>
      </c>
      <c r="H787" s="314">
        <f>IF($C787="","",IFERROR(VLOOKUP($C787,SERVIÇOS!$B:$G,5,0),IFERROR(VLOOKUP($C787,'COMPOSIÇÕES COMPLEMENTARES '!$D:$L,7,0),0)))</f>
        <v>1.4</v>
      </c>
      <c r="I787" s="314">
        <f t="shared" si="74"/>
        <v>5.05</v>
      </c>
      <c r="J787" s="314">
        <f t="shared" si="75"/>
        <v>29.2</v>
      </c>
      <c r="K787" s="314">
        <f t="shared" si="76"/>
        <v>11.2</v>
      </c>
      <c r="L787" s="948">
        <f t="shared" si="77"/>
        <v>40.4</v>
      </c>
      <c r="M787" s="374">
        <f t="shared" si="78"/>
        <v>5646899.7000000151</v>
      </c>
      <c r="N787" s="375">
        <f>+M787/L$815</f>
        <v>0.99986846901255888</v>
      </c>
      <c r="O787" s="376" t="str">
        <f>IF(N787&lt;0.5,"A",IF(N787&gt;0.8,"C","B"))</f>
        <v>C</v>
      </c>
    </row>
    <row r="788" spans="1:15" x14ac:dyDescent="0.25">
      <c r="A788" s="232">
        <f t="shared" si="73"/>
        <v>788</v>
      </c>
      <c r="B788" s="232"/>
      <c r="C788" s="310" t="s">
        <v>12239</v>
      </c>
      <c r="D788" s="373" t="str">
        <f>IF($C788="","",IFERROR(VLOOKUP($C788,SERVIÇOS!$B:$G,2,0),IFERROR(VLOOKUP($C788,'COMPOSIÇÕES COMPLEMENTARES '!$D:$L,2,0),IFERROR(VLOOKUP($C788,INSUMOS!$A:$D,2,0),""))))</f>
        <v>TERMINAL DE COMPRESSÃO #25MM²</v>
      </c>
      <c r="E788" s="312" t="str">
        <f>IF($C788="","",IFERROR(VLOOKUP($C788,SERVIÇOS!$B:$G,3,0),IFERROR(VLOOKUP($C788,'COMPOSIÇÕES COMPLEMENTARES '!$D:$L,3,0),IFERROR(VLOOKUP($C788,INSUMOS!$A:$D,3,0),""))))</f>
        <v>UN</v>
      </c>
      <c r="F788" s="313">
        <v>8</v>
      </c>
      <c r="G788" s="314">
        <f>IF($C788="","",IFERROR(VLOOKUP($C788,SERVIÇOS!$B:$G,4,0),IFERROR(VLOOKUP($C788,'COMPOSIÇÕES COMPLEMENTARES '!$D:$L,6,0),IFERROR(VLOOKUP($C788,INSUMOS!$A:$D,4,0),""))))</f>
        <v>3.65</v>
      </c>
      <c r="H788" s="314">
        <f>IF($C788="","",IFERROR(VLOOKUP($C788,SERVIÇOS!$B:$G,5,0),IFERROR(VLOOKUP($C788,'COMPOSIÇÕES COMPLEMENTARES '!$D:$L,7,0),0)))</f>
        <v>1.4</v>
      </c>
      <c r="I788" s="314">
        <f t="shared" si="74"/>
        <v>5.05</v>
      </c>
      <c r="J788" s="314">
        <f t="shared" si="75"/>
        <v>29.2</v>
      </c>
      <c r="K788" s="314">
        <f t="shared" si="76"/>
        <v>11.2</v>
      </c>
      <c r="L788" s="948">
        <f t="shared" si="77"/>
        <v>40.4</v>
      </c>
      <c r="M788" s="374">
        <f t="shared" si="78"/>
        <v>5646940.1000000155</v>
      </c>
      <c r="N788" s="375">
        <f>+M788/L$815</f>
        <v>0.9998756224398011</v>
      </c>
      <c r="O788" s="376" t="str">
        <f>IF(N788&lt;0.5,"A",IF(N788&gt;0.8,"C","B"))</f>
        <v>C</v>
      </c>
    </row>
    <row r="789" spans="1:15" x14ac:dyDescent="0.25">
      <c r="A789" s="232">
        <f t="shared" si="73"/>
        <v>789</v>
      </c>
      <c r="B789" s="232"/>
      <c r="C789" s="310" t="s">
        <v>12189</v>
      </c>
      <c r="D789" s="373" t="str">
        <f>IF($C789="","",IFERROR(VLOOKUP($C789,SERVIÇOS!$B:$G,2,0),IFERROR(VLOOKUP($C789,'COMPOSIÇÕES COMPLEMENTARES '!$D:$L,2,0),IFERROR(VLOOKUP($C789,INSUMOS!$A:$D,2,0),""))))</f>
        <v>TERMINAL DE COMPRESSÃO #50MM²</v>
      </c>
      <c r="E789" s="312" t="str">
        <f>IF($C789="","",IFERROR(VLOOKUP($C789,SERVIÇOS!$B:$G,3,0),IFERROR(VLOOKUP($C789,'COMPOSIÇÕES COMPLEMENTARES '!$D:$L,3,0),IFERROR(VLOOKUP($C789,INSUMOS!$A:$D,3,0),""))))</f>
        <v>UN</v>
      </c>
      <c r="F789" s="313">
        <v>5</v>
      </c>
      <c r="G789" s="314">
        <f>IF($C789="","",IFERROR(VLOOKUP($C789,SERVIÇOS!$B:$G,4,0),IFERROR(VLOOKUP($C789,'COMPOSIÇÕES COMPLEMENTARES '!$D:$L,6,0),IFERROR(VLOOKUP($C789,INSUMOS!$A:$D,4,0),""))))</f>
        <v>6.63</v>
      </c>
      <c r="H789" s="314">
        <f>IF($C789="","",IFERROR(VLOOKUP($C789,SERVIÇOS!$B:$G,5,0),IFERROR(VLOOKUP($C789,'COMPOSIÇÕES COMPLEMENTARES '!$D:$L,7,0),0)))</f>
        <v>1.4</v>
      </c>
      <c r="I789" s="314">
        <f t="shared" si="74"/>
        <v>8.0299999999999994</v>
      </c>
      <c r="J789" s="314">
        <f t="shared" si="75"/>
        <v>33.15</v>
      </c>
      <c r="K789" s="314">
        <f t="shared" si="76"/>
        <v>7</v>
      </c>
      <c r="L789" s="948">
        <f t="shared" si="77"/>
        <v>40.15</v>
      </c>
      <c r="M789" s="374">
        <f t="shared" si="78"/>
        <v>5646980.2500000158</v>
      </c>
      <c r="N789" s="375">
        <f>+M789/L$815</f>
        <v>0.99988273160078578</v>
      </c>
      <c r="O789" s="376" t="str">
        <f>IF(N789&lt;0.5,"A",IF(N789&gt;0.8,"C","B"))</f>
        <v>C</v>
      </c>
    </row>
    <row r="790" spans="1:15" x14ac:dyDescent="0.25">
      <c r="A790" s="232">
        <f t="shared" si="73"/>
        <v>790</v>
      </c>
      <c r="B790" s="232"/>
      <c r="C790" s="310" t="s">
        <v>12205</v>
      </c>
      <c r="D790" s="373" t="str">
        <f>IF($C790="","",IFERROR(VLOOKUP($C790,SERVIÇOS!$B:$G,2,0),IFERROR(VLOOKUP($C790,'COMPOSIÇÕES COMPLEMENTARES '!$D:$L,2,0),IFERROR(VLOOKUP($C790,INSUMOS!$A:$D,2,0),""))))</f>
        <v>UNIDUT CÔNICO Ø2" COM BUCHA E ARRUELA DE ALUMÍNIO Ø2"</v>
      </c>
      <c r="E790" s="312" t="str">
        <f>IF($C790="","",IFERROR(VLOOKUP($C790,SERVIÇOS!$B:$G,3,0),IFERROR(VLOOKUP($C790,'COMPOSIÇÕES COMPLEMENTARES '!$D:$L,3,0),IFERROR(VLOOKUP($C790,INSUMOS!$A:$D,3,0),""))))</f>
        <v>UN</v>
      </c>
      <c r="F790" s="313">
        <v>2</v>
      </c>
      <c r="G790" s="314">
        <f>IF($C790="","",IFERROR(VLOOKUP($C790,SERVIÇOS!$B:$G,4,0),IFERROR(VLOOKUP($C790,'COMPOSIÇÕES COMPLEMENTARES '!$D:$L,6,0),IFERROR(VLOOKUP($C790,INSUMOS!$A:$D,4,0),""))))</f>
        <v>17.22</v>
      </c>
      <c r="H790" s="314">
        <f>IF($C790="","",IFERROR(VLOOKUP($C790,SERVIÇOS!$B:$G,5,0),IFERROR(VLOOKUP($C790,'COMPOSIÇÕES COMPLEMENTARES '!$D:$L,7,0),0)))</f>
        <v>2.4700000000000002</v>
      </c>
      <c r="I790" s="314">
        <f t="shared" si="74"/>
        <v>19.689999999999998</v>
      </c>
      <c r="J790" s="314">
        <f t="shared" si="75"/>
        <v>34.44</v>
      </c>
      <c r="K790" s="314">
        <f t="shared" si="76"/>
        <v>4.9400000000000004</v>
      </c>
      <c r="L790" s="948">
        <f t="shared" si="77"/>
        <v>39.380000000000003</v>
      </c>
      <c r="M790" s="374">
        <f t="shared" si="78"/>
        <v>5647019.6300000157</v>
      </c>
      <c r="N790" s="375">
        <f>+M790/L$815</f>
        <v>0.99988970442169656</v>
      </c>
      <c r="O790" s="376" t="str">
        <f>IF(N790&lt;0.5,"A",IF(N790&gt;0.8,"C","B"))</f>
        <v>C</v>
      </c>
    </row>
    <row r="791" spans="1:15" x14ac:dyDescent="0.25">
      <c r="A791" s="232">
        <f t="shared" si="73"/>
        <v>791</v>
      </c>
      <c r="B791" s="232"/>
      <c r="C791" s="310" t="s">
        <v>12205</v>
      </c>
      <c r="D791" s="373" t="str">
        <f>IF($C791="","",IFERROR(VLOOKUP($C791,SERVIÇOS!$B:$G,2,0),IFERROR(VLOOKUP($C791,'COMPOSIÇÕES COMPLEMENTARES '!$D:$L,2,0),IFERROR(VLOOKUP($C791,INSUMOS!$A:$D,2,0),""))))</f>
        <v>UNIDUT CÔNICO Ø2" COM BUCHA E ARRUELA DE ALUMÍNIO Ø2"</v>
      </c>
      <c r="E791" s="312" t="str">
        <f>IF($C791="","",IFERROR(VLOOKUP($C791,SERVIÇOS!$B:$G,3,0),IFERROR(VLOOKUP($C791,'COMPOSIÇÕES COMPLEMENTARES '!$D:$L,3,0),IFERROR(VLOOKUP($C791,INSUMOS!$A:$D,3,0),""))))</f>
        <v>UN</v>
      </c>
      <c r="F791" s="313">
        <v>2</v>
      </c>
      <c r="G791" s="314">
        <f>IF($C791="","",IFERROR(VLOOKUP($C791,SERVIÇOS!$B:$G,4,0),IFERROR(VLOOKUP($C791,'COMPOSIÇÕES COMPLEMENTARES '!$D:$L,6,0),IFERROR(VLOOKUP($C791,INSUMOS!$A:$D,4,0),""))))</f>
        <v>17.22</v>
      </c>
      <c r="H791" s="314">
        <f>IF($C791="","",IFERROR(VLOOKUP($C791,SERVIÇOS!$B:$G,5,0),IFERROR(VLOOKUP($C791,'COMPOSIÇÕES COMPLEMENTARES '!$D:$L,7,0),0)))</f>
        <v>2.4700000000000002</v>
      </c>
      <c r="I791" s="314">
        <f t="shared" si="74"/>
        <v>19.689999999999998</v>
      </c>
      <c r="J791" s="314">
        <f t="shared" si="75"/>
        <v>34.44</v>
      </c>
      <c r="K791" s="314">
        <f t="shared" si="76"/>
        <v>4.9400000000000004</v>
      </c>
      <c r="L791" s="948">
        <f t="shared" si="77"/>
        <v>39.380000000000003</v>
      </c>
      <c r="M791" s="374">
        <f t="shared" si="78"/>
        <v>5647059.0100000156</v>
      </c>
      <c r="N791" s="375">
        <f>+M791/L$815</f>
        <v>0.99989667724260745</v>
      </c>
      <c r="O791" s="376" t="str">
        <f>IF(N791&lt;0.5,"A",IF(N791&gt;0.8,"C","B"))</f>
        <v>C</v>
      </c>
    </row>
    <row r="792" spans="1:15" x14ac:dyDescent="0.25">
      <c r="A792" s="232">
        <f t="shared" si="73"/>
        <v>792</v>
      </c>
      <c r="B792" s="232"/>
      <c r="C792" s="310" t="s">
        <v>12247</v>
      </c>
      <c r="D792" s="373" t="str">
        <f>IF($C792="","",IFERROR(VLOOKUP($C792,SERVIÇOS!$B:$G,2,0),IFERROR(VLOOKUP($C792,'COMPOSIÇÕES COMPLEMENTARES '!$D:$L,2,0),IFERROR(VLOOKUP($C792,INSUMOS!$A:$D,2,0),""))))</f>
        <v>PONTO ELETRICO COM PLACA DE SAÍDA DE FIO - EM CX. 4"X4"</v>
      </c>
      <c r="E792" s="312" t="str">
        <f>IF($C792="","",IFERROR(VLOOKUP($C792,SERVIÇOS!$B:$G,3,0),IFERROR(VLOOKUP($C792,'COMPOSIÇÕES COMPLEMENTARES '!$D:$L,3,0),IFERROR(VLOOKUP($C792,INSUMOS!$A:$D,3,0),""))))</f>
        <v>UN</v>
      </c>
      <c r="F792" s="313">
        <v>2</v>
      </c>
      <c r="G792" s="314">
        <f>IF($C792="","",IFERROR(VLOOKUP($C792,SERVIÇOS!$B:$G,4,0),IFERROR(VLOOKUP($C792,'COMPOSIÇÕES COMPLEMENTARES '!$D:$L,6,0),IFERROR(VLOOKUP($C792,INSUMOS!$A:$D,4,0),""))))</f>
        <v>12.1</v>
      </c>
      <c r="H792" s="314">
        <f>IF($C792="","",IFERROR(VLOOKUP($C792,SERVIÇOS!$B:$G,5,0),IFERROR(VLOOKUP($C792,'COMPOSIÇÕES COMPLEMENTARES '!$D:$L,7,0),0)))</f>
        <v>7.41</v>
      </c>
      <c r="I792" s="314">
        <f t="shared" si="74"/>
        <v>19.509999999999998</v>
      </c>
      <c r="J792" s="314">
        <f t="shared" si="75"/>
        <v>24.2</v>
      </c>
      <c r="K792" s="314">
        <f t="shared" si="76"/>
        <v>14.82</v>
      </c>
      <c r="L792" s="948">
        <f t="shared" si="77"/>
        <v>39.020000000000003</v>
      </c>
      <c r="M792" s="374">
        <f t="shared" si="78"/>
        <v>5647098.0300000152</v>
      </c>
      <c r="N792" s="375">
        <f>+M792/L$815</f>
        <v>0.99990358632010712</v>
      </c>
      <c r="O792" s="376" t="str">
        <f>IF(N792&lt;0.5,"A",IF(N792&gt;0.8,"C","B"))</f>
        <v>C</v>
      </c>
    </row>
    <row r="793" spans="1:15" x14ac:dyDescent="0.25">
      <c r="A793" s="232">
        <f t="shared" si="73"/>
        <v>793</v>
      </c>
      <c r="B793" s="232"/>
      <c r="C793" s="310" t="s">
        <v>12204</v>
      </c>
      <c r="D793" s="373" t="str">
        <f>IF($C793="","",IFERROR(VLOOKUP($C793,SERVIÇOS!$B:$G,2,0),IFERROR(VLOOKUP($C793,'COMPOSIÇÕES COMPLEMENTARES '!$D:$L,2,0),IFERROR(VLOOKUP($C793,INSUMOS!$A:$D,2,0),""))))</f>
        <v>TERMINAL DE COMPRESSÃO #16MM²</v>
      </c>
      <c r="E793" s="312" t="str">
        <f>IF($C793="","",IFERROR(VLOOKUP($C793,SERVIÇOS!$B:$G,3,0),IFERROR(VLOOKUP($C793,'COMPOSIÇÕES COMPLEMENTARES '!$D:$L,3,0),IFERROR(VLOOKUP($C793,INSUMOS!$A:$D,3,0),""))))</f>
        <v>UN</v>
      </c>
      <c r="F793" s="313">
        <v>10</v>
      </c>
      <c r="G793" s="314">
        <f>IF($C793="","",IFERROR(VLOOKUP($C793,SERVIÇOS!$B:$G,4,0),IFERROR(VLOOKUP($C793,'COMPOSIÇÕES COMPLEMENTARES '!$D:$L,6,0),IFERROR(VLOOKUP($C793,INSUMOS!$A:$D,4,0),""))))</f>
        <v>2.71</v>
      </c>
      <c r="H793" s="314">
        <f>IF($C793="","",IFERROR(VLOOKUP($C793,SERVIÇOS!$B:$G,5,0),IFERROR(VLOOKUP($C793,'COMPOSIÇÕES COMPLEMENTARES '!$D:$L,7,0),0)))</f>
        <v>1.1200000000000001</v>
      </c>
      <c r="I793" s="314">
        <f t="shared" si="74"/>
        <v>3.83</v>
      </c>
      <c r="J793" s="314">
        <f t="shared" si="75"/>
        <v>27.1</v>
      </c>
      <c r="K793" s="314">
        <f t="shared" si="76"/>
        <v>11.2</v>
      </c>
      <c r="L793" s="948">
        <f t="shared" si="77"/>
        <v>38.299999999999997</v>
      </c>
      <c r="M793" s="374">
        <f t="shared" si="78"/>
        <v>5647136.330000015</v>
      </c>
      <c r="N793" s="375">
        <f>+M793/L$815</f>
        <v>0.9999103679107848</v>
      </c>
      <c r="O793" s="376" t="str">
        <f>IF(N793&lt;0.5,"A",IF(N793&gt;0.8,"C","B"))</f>
        <v>C</v>
      </c>
    </row>
    <row r="794" spans="1:15" x14ac:dyDescent="0.25">
      <c r="A794" s="232">
        <f t="shared" si="73"/>
        <v>794</v>
      </c>
      <c r="B794" s="232"/>
      <c r="C794" s="310" t="s">
        <v>12204</v>
      </c>
      <c r="D794" s="373" t="str">
        <f>IF($C794="","",IFERROR(VLOOKUP($C794,SERVIÇOS!$B:$G,2,0),IFERROR(VLOOKUP($C794,'COMPOSIÇÕES COMPLEMENTARES '!$D:$L,2,0),IFERROR(VLOOKUP($C794,INSUMOS!$A:$D,2,0),""))))</f>
        <v>TERMINAL DE COMPRESSÃO #16MM²</v>
      </c>
      <c r="E794" s="312" t="str">
        <f>IF($C794="","",IFERROR(VLOOKUP($C794,SERVIÇOS!$B:$G,3,0),IFERROR(VLOOKUP($C794,'COMPOSIÇÕES COMPLEMENTARES '!$D:$L,3,0),IFERROR(VLOOKUP($C794,INSUMOS!$A:$D,3,0),""))))</f>
        <v>UN</v>
      </c>
      <c r="F794" s="313">
        <v>10</v>
      </c>
      <c r="G794" s="314">
        <f>IF($C794="","",IFERROR(VLOOKUP($C794,SERVIÇOS!$B:$G,4,0),IFERROR(VLOOKUP($C794,'COMPOSIÇÕES COMPLEMENTARES '!$D:$L,6,0),IFERROR(VLOOKUP($C794,INSUMOS!$A:$D,4,0),""))))</f>
        <v>2.71</v>
      </c>
      <c r="H794" s="314">
        <f>IF($C794="","",IFERROR(VLOOKUP($C794,SERVIÇOS!$B:$G,5,0),IFERROR(VLOOKUP($C794,'COMPOSIÇÕES COMPLEMENTARES '!$D:$L,7,0),0)))</f>
        <v>1.1200000000000001</v>
      </c>
      <c r="I794" s="314">
        <f t="shared" si="74"/>
        <v>3.83</v>
      </c>
      <c r="J794" s="314">
        <f t="shared" si="75"/>
        <v>27.1</v>
      </c>
      <c r="K794" s="314">
        <f t="shared" si="76"/>
        <v>11.2</v>
      </c>
      <c r="L794" s="948">
        <f t="shared" si="77"/>
        <v>38.299999999999997</v>
      </c>
      <c r="M794" s="374">
        <f t="shared" si="78"/>
        <v>5647174.6300000148</v>
      </c>
      <c r="N794" s="375">
        <f>+M794/L$815</f>
        <v>0.99991714950146238</v>
      </c>
      <c r="O794" s="376" t="str">
        <f>IF(N794&lt;0.5,"A",IF(N794&gt;0.8,"C","B"))</f>
        <v>C</v>
      </c>
    </row>
    <row r="795" spans="1:15" x14ac:dyDescent="0.25">
      <c r="A795" s="232">
        <f t="shared" si="73"/>
        <v>795</v>
      </c>
      <c r="B795" s="232"/>
      <c r="C795" s="310" t="s">
        <v>12268</v>
      </c>
      <c r="D795" s="373" t="str">
        <f>IF($C795="","",IFERROR(VLOOKUP($C795,SERVIÇOS!$B:$G,2,0),IFERROR(VLOOKUP($C795,'COMPOSIÇÕES COMPLEMENTARES '!$D:$L,2,0),IFERROR(VLOOKUP($C795,INSUMOS!$A:$D,2,0),""))))</f>
        <v>PONTO PARA CAMPAINHA EM CX. 4"X2"</v>
      </c>
      <c r="E795" s="312" t="str">
        <f>IF($C795="","",IFERROR(VLOOKUP($C795,SERVIÇOS!$B:$G,3,0),IFERROR(VLOOKUP($C795,'COMPOSIÇÕES COMPLEMENTARES '!$D:$L,3,0),IFERROR(VLOOKUP($C795,INSUMOS!$A:$D,3,0),""))))</f>
        <v>UN</v>
      </c>
      <c r="F795" s="313">
        <v>1</v>
      </c>
      <c r="G795" s="314">
        <f>IF($C795="","",IFERROR(VLOOKUP($C795,SERVIÇOS!$B:$G,4,0),IFERROR(VLOOKUP($C795,'COMPOSIÇÕES COMPLEMENTARES '!$D:$L,6,0),IFERROR(VLOOKUP($C795,INSUMOS!$A:$D,4,0),""))))</f>
        <v>17.059999999999999</v>
      </c>
      <c r="H795" s="314">
        <f>IF($C795="","",IFERROR(VLOOKUP($C795,SERVIÇOS!$B:$G,5,0),IFERROR(VLOOKUP($C795,'COMPOSIÇÕES COMPLEMENTARES '!$D:$L,7,0),0)))</f>
        <v>20.89</v>
      </c>
      <c r="I795" s="314">
        <f t="shared" si="74"/>
        <v>37.950000000000003</v>
      </c>
      <c r="J795" s="314">
        <f t="shared" si="75"/>
        <v>17.059999999999999</v>
      </c>
      <c r="K795" s="314">
        <f t="shared" si="76"/>
        <v>20.89</v>
      </c>
      <c r="L795" s="948">
        <f t="shared" si="77"/>
        <v>37.950000000000003</v>
      </c>
      <c r="M795" s="374">
        <f t="shared" si="78"/>
        <v>5647212.580000015</v>
      </c>
      <c r="N795" s="375">
        <f>+M795/L$815</f>
        <v>0.99992386911937936</v>
      </c>
      <c r="O795" s="376" t="str">
        <f>IF(N795&lt;0.5,"A",IF(N795&gt;0.8,"C","B"))</f>
        <v>C</v>
      </c>
    </row>
    <row r="796" spans="1:15" x14ac:dyDescent="0.25">
      <c r="A796" s="232">
        <f t="shared" si="73"/>
        <v>796</v>
      </c>
      <c r="B796" s="232"/>
      <c r="C796" s="310">
        <v>91953</v>
      </c>
      <c r="D796" s="373" t="str">
        <f>IF($C796="","",IFERROR(VLOOKUP($C796,SERVIÇOS!$B:$G,2,0),IFERROR(VLOOKUP($C796,'COMPOSIÇÕES COMPLEMENTARES '!$D:$L,2,0),IFERROR(VLOOKUP($C796,INSUMOS!$A:$D,2,0),""))))</f>
        <v>INTERRUPTOR SIMPLES (1 MÓDULO), 10A/250V, INCLUINDO SUPORTE E PLACA - FORNECIMENTO E INSTALAÇÃO. AF_03/2023</v>
      </c>
      <c r="E796" s="312" t="str">
        <f>IF($C796="","",IFERROR(VLOOKUP($C796,SERVIÇOS!$B:$G,3,0),IFERROR(VLOOKUP($C796,'COMPOSIÇÕES COMPLEMENTARES '!$D:$L,3,0),IFERROR(VLOOKUP($C796,INSUMOS!$A:$D,3,0),""))))</f>
        <v>UN</v>
      </c>
      <c r="F796" s="313">
        <v>1</v>
      </c>
      <c r="G796" s="314">
        <f>IF($C796="","",IFERROR(VLOOKUP($C796,SERVIÇOS!$B:$G,4,0),IFERROR(VLOOKUP($C796,'COMPOSIÇÕES COMPLEMENTARES '!$D:$L,6,0),IFERROR(VLOOKUP($C796,INSUMOS!$A:$D,4,0),""))))</f>
        <v>19.2</v>
      </c>
      <c r="H796" s="314">
        <f>IF($C796="","",IFERROR(VLOOKUP($C796,SERVIÇOS!$B:$G,5,0),IFERROR(VLOOKUP($C796,'COMPOSIÇÕES COMPLEMENTARES '!$D:$L,7,0),0)))</f>
        <v>17.82</v>
      </c>
      <c r="I796" s="314">
        <f t="shared" si="74"/>
        <v>37.019999999999996</v>
      </c>
      <c r="J796" s="314">
        <f t="shared" si="75"/>
        <v>19.2</v>
      </c>
      <c r="K796" s="314">
        <f t="shared" si="76"/>
        <v>17.82</v>
      </c>
      <c r="L796" s="948">
        <f t="shared" si="77"/>
        <v>37.020000000000003</v>
      </c>
      <c r="M796" s="374">
        <f t="shared" si="78"/>
        <v>5647249.6000000145</v>
      </c>
      <c r="N796" s="375">
        <f>+M796/L$815</f>
        <v>0.99993042406681754</v>
      </c>
      <c r="O796" s="376" t="str">
        <f>IF(N796&lt;0.5,"A",IF(N796&gt;0.8,"C","B"))</f>
        <v>C</v>
      </c>
    </row>
    <row r="797" spans="1:15" ht="25.5" x14ac:dyDescent="0.25">
      <c r="A797" s="232">
        <f t="shared" si="73"/>
        <v>797</v>
      </c>
      <c r="B797" s="232"/>
      <c r="C797" s="310">
        <v>91985</v>
      </c>
      <c r="D797" s="373" t="str">
        <f>IF($C797="","",IFERROR(VLOOKUP($C797,SERVIÇOS!$B:$G,2,0),IFERROR(VLOOKUP($C797,'COMPOSIÇÕES COMPLEMENTARES '!$D:$L,2,0),IFERROR(VLOOKUP($C797,INSUMOS!$A:$D,2,0),""))))</f>
        <v>INTERRUPTOR PULSADOR CAMPAINHA (1 MÓDULO), 10A/250V, INCLUINDO SUPORTE E PLACA - FORNECIMENTO E INSTALAÇÃO. AF_03/2023</v>
      </c>
      <c r="E797" s="312" t="str">
        <f>IF($C797="","",IFERROR(VLOOKUP($C797,SERVIÇOS!$B:$G,3,0),IFERROR(VLOOKUP($C797,'COMPOSIÇÕES COMPLEMENTARES '!$D:$L,3,0),IFERROR(VLOOKUP($C797,INSUMOS!$A:$D,3,0),""))))</f>
        <v>UN</v>
      </c>
      <c r="F797" s="313">
        <v>1</v>
      </c>
      <c r="G797" s="314">
        <f>IF($C797="","",IFERROR(VLOOKUP($C797,SERVIÇOS!$B:$G,4,0),IFERROR(VLOOKUP($C797,'COMPOSIÇÕES COMPLEMENTARES '!$D:$L,6,0),IFERROR(VLOOKUP($C797,INSUMOS!$A:$D,4,0),""))))</f>
        <v>17.98</v>
      </c>
      <c r="H797" s="314">
        <f>IF($C797="","",IFERROR(VLOOKUP($C797,SERVIÇOS!$B:$G,5,0),IFERROR(VLOOKUP($C797,'COMPOSIÇÕES COMPLEMENTARES '!$D:$L,7,0),0)))</f>
        <v>17.809999999999999</v>
      </c>
      <c r="I797" s="314">
        <f t="shared" si="74"/>
        <v>35.79</v>
      </c>
      <c r="J797" s="314">
        <f t="shared" si="75"/>
        <v>17.98</v>
      </c>
      <c r="K797" s="314">
        <f t="shared" si="76"/>
        <v>17.809999999999999</v>
      </c>
      <c r="L797" s="948">
        <f t="shared" si="77"/>
        <v>35.79</v>
      </c>
      <c r="M797" s="374">
        <f t="shared" si="78"/>
        <v>5647285.3900000146</v>
      </c>
      <c r="N797" s="375">
        <f>+M797/L$815</f>
        <v>0.999936761224268</v>
      </c>
      <c r="O797" s="376" t="str">
        <f>IF(N797&lt;0.5,"A",IF(N797&gt;0.8,"C","B"))</f>
        <v>C</v>
      </c>
    </row>
    <row r="798" spans="1:15" x14ac:dyDescent="0.25">
      <c r="A798" s="232">
        <f t="shared" si="73"/>
        <v>798</v>
      </c>
      <c r="B798" s="232"/>
      <c r="C798" s="310" t="s">
        <v>12262</v>
      </c>
      <c r="D798" s="373" t="str">
        <f>IF($C798="","",IFERROR(VLOOKUP($C798,SERVIÇOS!$B:$G,2,0),IFERROR(VLOOKUP($C798,'COMPOSIÇÕES COMPLEMENTARES '!$D:$L,2,0),IFERROR(VLOOKUP($C798,INSUMOS!$A:$D,2,0),""))))</f>
        <v xml:space="preserve">TERMINAL DE COMPRESSÃO # 6,0MM² </v>
      </c>
      <c r="E798" s="312" t="str">
        <f>IF($C798="","",IFERROR(VLOOKUP($C798,SERVIÇOS!$B:$G,3,0),IFERROR(VLOOKUP($C798,'COMPOSIÇÕES COMPLEMENTARES '!$D:$L,3,0),IFERROR(VLOOKUP($C798,INSUMOS!$A:$D,3,0),""))))</f>
        <v>UN</v>
      </c>
      <c r="F798" s="313">
        <v>10</v>
      </c>
      <c r="G798" s="314">
        <f>IF($C798="","",IFERROR(VLOOKUP($C798,SERVIÇOS!$B:$G,4,0),IFERROR(VLOOKUP($C798,'COMPOSIÇÕES COMPLEMENTARES '!$D:$L,6,0),IFERROR(VLOOKUP($C798,INSUMOS!$A:$D,4,0),""))))</f>
        <v>2.21</v>
      </c>
      <c r="H798" s="314">
        <f>IF($C798="","",IFERROR(VLOOKUP($C798,SERVIÇOS!$B:$G,5,0),IFERROR(VLOOKUP($C798,'COMPOSIÇÕES COMPLEMENTARES '!$D:$L,7,0),0)))</f>
        <v>1.1200000000000001</v>
      </c>
      <c r="I798" s="314">
        <f t="shared" si="74"/>
        <v>3.33</v>
      </c>
      <c r="J798" s="314">
        <f t="shared" si="75"/>
        <v>22.1</v>
      </c>
      <c r="K798" s="314">
        <f t="shared" si="76"/>
        <v>11.2</v>
      </c>
      <c r="L798" s="948">
        <f t="shared" si="77"/>
        <v>33.299999999999997</v>
      </c>
      <c r="M798" s="374">
        <f t="shared" si="78"/>
        <v>5647318.6900000144</v>
      </c>
      <c r="N798" s="375">
        <f>+M798/L$815</f>
        <v>0.99994265748979194</v>
      </c>
      <c r="O798" s="376" t="str">
        <f>IF(N798&lt;0.5,"A",IF(N798&gt;0.8,"C","B"))</f>
        <v>C</v>
      </c>
    </row>
    <row r="799" spans="1:15" x14ac:dyDescent="0.25">
      <c r="A799" s="232">
        <f t="shared" si="73"/>
        <v>799</v>
      </c>
      <c r="B799" s="232"/>
      <c r="C799" s="310" t="s">
        <v>12212</v>
      </c>
      <c r="D799" s="373" t="str">
        <f>IF($C799="","",IFERROR(VLOOKUP($C799,SERVIÇOS!$B:$G,2,0),IFERROR(VLOOKUP($C799,'COMPOSIÇÕES COMPLEMENTARES '!$D:$L,2,0),IFERROR(VLOOKUP($C799,INSUMOS!$A:$D,2,0),""))))</f>
        <v>PONTO ELÉTRICO COM PLACA DE SAÍDA DE FIO - EM CX. 4"X2"</v>
      </c>
      <c r="E799" s="312" t="str">
        <f>IF($C799="","",IFERROR(VLOOKUP($C799,SERVIÇOS!$B:$G,3,0),IFERROR(VLOOKUP($C799,'COMPOSIÇÕES COMPLEMENTARES '!$D:$L,3,0),IFERROR(VLOOKUP($C799,INSUMOS!$A:$D,3,0),""))))</f>
        <v>UN</v>
      </c>
      <c r="F799" s="313">
        <v>2</v>
      </c>
      <c r="G799" s="314">
        <f>IF($C799="","",IFERROR(VLOOKUP($C799,SERVIÇOS!$B:$G,4,0),IFERROR(VLOOKUP($C799,'COMPOSIÇÕES COMPLEMENTARES '!$D:$L,6,0),IFERROR(VLOOKUP($C799,INSUMOS!$A:$D,4,0),""))))</f>
        <v>11.28</v>
      </c>
      <c r="H799" s="314">
        <f>IF($C799="","",IFERROR(VLOOKUP($C799,SERVIÇOS!$B:$G,5,0),IFERROR(VLOOKUP($C799,'COMPOSIÇÕES COMPLEMENTARES '!$D:$L,7,0),0)))</f>
        <v>5.29</v>
      </c>
      <c r="I799" s="314">
        <f t="shared" si="74"/>
        <v>16.57</v>
      </c>
      <c r="J799" s="314">
        <f t="shared" si="75"/>
        <v>22.56</v>
      </c>
      <c r="K799" s="314">
        <f t="shared" si="76"/>
        <v>10.58</v>
      </c>
      <c r="L799" s="948">
        <f t="shared" si="77"/>
        <v>33.14</v>
      </c>
      <c r="M799" s="374">
        <f t="shared" si="78"/>
        <v>5647351.830000014</v>
      </c>
      <c r="N799" s="375">
        <f>+M799/L$815</f>
        <v>0.99994852542491086</v>
      </c>
      <c r="O799" s="376" t="str">
        <f>IF(N799&lt;0.5,"A",IF(N799&gt;0.8,"C","B"))</f>
        <v>C</v>
      </c>
    </row>
    <row r="800" spans="1:15" x14ac:dyDescent="0.25">
      <c r="A800" s="232">
        <f t="shared" si="73"/>
        <v>800</v>
      </c>
      <c r="B800" s="232"/>
      <c r="C800" s="310" t="s">
        <v>12189</v>
      </c>
      <c r="D800" s="373" t="str">
        <f>IF($C800="","",IFERROR(VLOOKUP($C800,SERVIÇOS!$B:$G,2,0),IFERROR(VLOOKUP($C800,'COMPOSIÇÕES COMPLEMENTARES '!$D:$L,2,0),IFERROR(VLOOKUP($C800,INSUMOS!$A:$D,2,0),""))))</f>
        <v>TERMINAL DE COMPRESSÃO #50MM²</v>
      </c>
      <c r="E800" s="312" t="str">
        <f>IF($C800="","",IFERROR(VLOOKUP($C800,SERVIÇOS!$B:$G,3,0),IFERROR(VLOOKUP($C800,'COMPOSIÇÕES COMPLEMENTARES '!$D:$L,3,0),IFERROR(VLOOKUP($C800,INSUMOS!$A:$D,3,0),""))))</f>
        <v>UN</v>
      </c>
      <c r="F800" s="313">
        <v>4</v>
      </c>
      <c r="G800" s="314">
        <f>IF($C800="","",IFERROR(VLOOKUP($C800,SERVIÇOS!$B:$G,4,0),IFERROR(VLOOKUP($C800,'COMPOSIÇÕES COMPLEMENTARES '!$D:$L,6,0),IFERROR(VLOOKUP($C800,INSUMOS!$A:$D,4,0),""))))</f>
        <v>6.63</v>
      </c>
      <c r="H800" s="314">
        <f>IF($C800="","",IFERROR(VLOOKUP($C800,SERVIÇOS!$B:$G,5,0),IFERROR(VLOOKUP($C800,'COMPOSIÇÕES COMPLEMENTARES '!$D:$L,7,0),0)))</f>
        <v>1.4</v>
      </c>
      <c r="I800" s="314">
        <f t="shared" si="74"/>
        <v>8.0299999999999994</v>
      </c>
      <c r="J800" s="314">
        <f t="shared" si="75"/>
        <v>26.52</v>
      </c>
      <c r="K800" s="314">
        <f t="shared" si="76"/>
        <v>5.6</v>
      </c>
      <c r="L800" s="948">
        <f t="shared" si="77"/>
        <v>32.119999999999997</v>
      </c>
      <c r="M800" s="374">
        <f t="shared" si="78"/>
        <v>5647383.9500000142</v>
      </c>
      <c r="N800" s="375">
        <f>+M800/L$815</f>
        <v>0.99995421275369856</v>
      </c>
      <c r="O800" s="376" t="str">
        <f>IF(N800&lt;0.5,"A",IF(N800&gt;0.8,"C","B"))</f>
        <v>C</v>
      </c>
    </row>
    <row r="801" spans="1:15" x14ac:dyDescent="0.25">
      <c r="A801" s="232">
        <f t="shared" si="73"/>
        <v>801</v>
      </c>
      <c r="B801" s="232"/>
      <c r="C801" s="310" t="s">
        <v>12256</v>
      </c>
      <c r="D801" s="373" t="str">
        <f>IF($C801="","",IFERROR(VLOOKUP($C801,SERVIÇOS!$B:$G,2,0),IFERROR(VLOOKUP($C801,'COMPOSIÇÕES COMPLEMENTARES '!$D:$L,2,0),IFERROR(VLOOKUP($C801,INSUMOS!$A:$D,2,0),""))))</f>
        <v xml:space="preserve">TERMINAL DE COMPRESSÃO #4,0MM² </v>
      </c>
      <c r="E801" s="312" t="str">
        <f>IF($C801="","",IFERROR(VLOOKUP($C801,SERVIÇOS!$B:$G,3,0),IFERROR(VLOOKUP($C801,'COMPOSIÇÕES COMPLEMENTARES '!$D:$L,3,0),IFERROR(VLOOKUP($C801,INSUMOS!$A:$D,3,0),""))))</f>
        <v>UN</v>
      </c>
      <c r="F801" s="313">
        <v>10</v>
      </c>
      <c r="G801" s="314">
        <f>IF($C801="","",IFERROR(VLOOKUP($C801,SERVIÇOS!$B:$G,4,0),IFERROR(VLOOKUP($C801,'COMPOSIÇÕES COMPLEMENTARES '!$D:$L,6,0),IFERROR(VLOOKUP($C801,INSUMOS!$A:$D,4,0),""))))</f>
        <v>1.93</v>
      </c>
      <c r="H801" s="314">
        <f>IF($C801="","",IFERROR(VLOOKUP($C801,SERVIÇOS!$B:$G,5,0),IFERROR(VLOOKUP($C801,'COMPOSIÇÕES COMPLEMENTARES '!$D:$L,7,0),0)))</f>
        <v>1.1200000000000001</v>
      </c>
      <c r="I801" s="314">
        <f t="shared" si="74"/>
        <v>3.05</v>
      </c>
      <c r="J801" s="314">
        <f t="shared" si="75"/>
        <v>19.3</v>
      </c>
      <c r="K801" s="314">
        <f t="shared" si="76"/>
        <v>11.2</v>
      </c>
      <c r="L801" s="948">
        <f t="shared" si="77"/>
        <v>30.5</v>
      </c>
      <c r="M801" s="374">
        <f t="shared" si="78"/>
        <v>5647414.4500000142</v>
      </c>
      <c r="N801" s="375">
        <f>+M801/L$815</f>
        <v>0.99995961323713634</v>
      </c>
      <c r="O801" s="376" t="str">
        <f>IF(N801&lt;0.5,"A",IF(N801&gt;0.8,"C","B"))</f>
        <v>C</v>
      </c>
    </row>
    <row r="802" spans="1:15" x14ac:dyDescent="0.25">
      <c r="A802" s="232">
        <f t="shared" si="73"/>
        <v>802</v>
      </c>
      <c r="B802" s="232"/>
      <c r="C802" s="310" t="s">
        <v>12312</v>
      </c>
      <c r="D802" s="373" t="str">
        <f>IF($C802="","",IFERROR(VLOOKUP($C802,SERVIÇOS!$B:$G,2,0),IFERROR(VLOOKUP($C802,'COMPOSIÇÕES COMPLEMENTARES '!$D:$L,2,0),IFERROR(VLOOKUP($C802,INSUMOS!$A:$D,2,0),""))))</f>
        <v>RÉGUA DE TOMADAS 6 PADRÃO BRASILEIRO (PARA RACK)</v>
      </c>
      <c r="E802" s="312" t="str">
        <f>IF($C802="","",IFERROR(VLOOKUP($C802,SERVIÇOS!$B:$G,3,0),IFERROR(VLOOKUP($C802,'COMPOSIÇÕES COMPLEMENTARES '!$D:$L,3,0),IFERROR(VLOOKUP($C802,INSUMOS!$A:$D,3,0),""))))</f>
        <v>UN</v>
      </c>
      <c r="F802" s="313">
        <v>1</v>
      </c>
      <c r="G802" s="314">
        <f>IF($C802="","",IFERROR(VLOOKUP($C802,SERVIÇOS!$B:$G,4,0),IFERROR(VLOOKUP($C802,'COMPOSIÇÕES COMPLEMENTARES '!$D:$L,6,0),IFERROR(VLOOKUP($C802,INSUMOS!$A:$D,4,0),""))))</f>
        <v>24.64</v>
      </c>
      <c r="H802" s="314">
        <f>IF($C802="","",IFERROR(VLOOKUP($C802,SERVIÇOS!$B:$G,5,0),IFERROR(VLOOKUP($C802,'COMPOSIÇÕES COMPLEMENTARES '!$D:$L,7,0),0)))</f>
        <v>3.8</v>
      </c>
      <c r="I802" s="314">
        <f t="shared" si="74"/>
        <v>28.44</v>
      </c>
      <c r="J802" s="314">
        <f t="shared" si="75"/>
        <v>24.64</v>
      </c>
      <c r="K802" s="314">
        <f t="shared" si="76"/>
        <v>3.8</v>
      </c>
      <c r="L802" s="948">
        <f t="shared" si="77"/>
        <v>28.44</v>
      </c>
      <c r="M802" s="374">
        <f t="shared" si="78"/>
        <v>5647442.8900000146</v>
      </c>
      <c r="N802" s="375">
        <f>+M802/L$815</f>
        <v>0.99996464896661086</v>
      </c>
      <c r="O802" s="376" t="str">
        <f>IF(N802&lt;0.5,"A",IF(N802&gt;0.8,"C","B"))</f>
        <v>C</v>
      </c>
    </row>
    <row r="803" spans="1:15" x14ac:dyDescent="0.25">
      <c r="A803" s="232">
        <f t="shared" si="73"/>
        <v>803</v>
      </c>
      <c r="B803" s="232"/>
      <c r="C803" s="310">
        <v>93654</v>
      </c>
      <c r="D803" s="377" t="str">
        <f>IF($C803="","",IFERROR(VLOOKUP($C803,SERVIÇOS!$B:$G,2,0),IFERROR(VLOOKUP($C803,'COMPOSIÇÕES COMPLEMENTARES '!$D:$L,2,0),IFERROR(VLOOKUP($C803,INSUMOS!$A:$D,2,0),""))))</f>
        <v>DISJUNTOR MONOPOLAR TIPO DIN, CORRENTE NOMINAL DE 16A - FORNECIMENTO E INSTALAÇÃO. AF_10/2020</v>
      </c>
      <c r="E803" s="312" t="str">
        <f>IF($C803="","",IFERROR(VLOOKUP($C803,SERVIÇOS!$B:$G,3,0),IFERROR(VLOOKUP($C803,'COMPOSIÇÕES COMPLEMENTARES '!$D:$L,3,0),IFERROR(VLOOKUP($C803,INSUMOS!$A:$D,3,0),""))))</f>
        <v>UN</v>
      </c>
      <c r="F803" s="313">
        <v>2</v>
      </c>
      <c r="G803" s="314">
        <f>IF($C803="","",IFERROR(VLOOKUP($C803,SERVIÇOS!$B:$G,4,0),IFERROR(VLOOKUP($C803,'COMPOSIÇÕES COMPLEMENTARES '!$D:$L,6,0),IFERROR(VLOOKUP($C803,INSUMOS!$A:$D,4,0),""))))</f>
        <v>11.6</v>
      </c>
      <c r="H803" s="314">
        <f>IF($C803="","",IFERROR(VLOOKUP($C803,SERVIÇOS!$B:$G,5,0),IFERROR(VLOOKUP($C803,'COMPOSIÇÕES COMPLEMENTARES '!$D:$L,7,0),0)))</f>
        <v>2.35</v>
      </c>
      <c r="I803" s="314">
        <f t="shared" si="74"/>
        <v>13.95</v>
      </c>
      <c r="J803" s="314">
        <f t="shared" si="75"/>
        <v>23.2</v>
      </c>
      <c r="K803" s="314">
        <f t="shared" si="76"/>
        <v>4.7</v>
      </c>
      <c r="L803" s="948">
        <f t="shared" si="77"/>
        <v>27.9</v>
      </c>
      <c r="M803" s="374">
        <f t="shared" si="78"/>
        <v>5647470.7900000149</v>
      </c>
      <c r="N803" s="375">
        <f>+M803/L$815</f>
        <v>0.99996958908096878</v>
      </c>
      <c r="O803" s="376" t="str">
        <f>IF(N803&lt;0.5,"A",IF(N803&gt;0.8,"C","B"))</f>
        <v>C</v>
      </c>
    </row>
    <row r="804" spans="1:15" x14ac:dyDescent="0.25">
      <c r="A804" s="232">
        <f t="shared" si="73"/>
        <v>804</v>
      </c>
      <c r="B804" s="232"/>
      <c r="C804" s="310">
        <v>93654</v>
      </c>
      <c r="D804" s="373" t="str">
        <f>IF($C804="","",IFERROR(VLOOKUP($C804,SERVIÇOS!$B:$G,2,0),IFERROR(VLOOKUP($C804,'COMPOSIÇÕES COMPLEMENTARES '!$D:$L,2,0),IFERROR(VLOOKUP($C804,INSUMOS!$A:$D,2,0),""))))</f>
        <v>DISJUNTOR MONOPOLAR TIPO DIN, CORRENTE NOMINAL DE 16A - FORNECIMENTO E INSTALAÇÃO. AF_10/2020</v>
      </c>
      <c r="E804" s="312" t="str">
        <f>IF($C804="","",IFERROR(VLOOKUP($C804,SERVIÇOS!$B:$G,3,0),IFERROR(VLOOKUP($C804,'COMPOSIÇÕES COMPLEMENTARES '!$D:$L,3,0),IFERROR(VLOOKUP($C804,INSUMOS!$A:$D,3,0),""))))</f>
        <v>UN</v>
      </c>
      <c r="F804" s="313">
        <v>2</v>
      </c>
      <c r="G804" s="314">
        <f>IF($C804="","",IFERROR(VLOOKUP($C804,SERVIÇOS!$B:$G,4,0),IFERROR(VLOOKUP($C804,'COMPOSIÇÕES COMPLEMENTARES '!$D:$L,6,0),IFERROR(VLOOKUP($C804,INSUMOS!$A:$D,4,0),""))))</f>
        <v>11.6</v>
      </c>
      <c r="H804" s="314">
        <f>IF($C804="","",IFERROR(VLOOKUP($C804,SERVIÇOS!$B:$G,5,0),IFERROR(VLOOKUP($C804,'COMPOSIÇÕES COMPLEMENTARES '!$D:$L,7,0),0)))</f>
        <v>2.35</v>
      </c>
      <c r="I804" s="314">
        <f t="shared" si="74"/>
        <v>13.95</v>
      </c>
      <c r="J804" s="314">
        <f t="shared" si="75"/>
        <v>23.2</v>
      </c>
      <c r="K804" s="314">
        <f t="shared" si="76"/>
        <v>4.7</v>
      </c>
      <c r="L804" s="948">
        <f t="shared" si="77"/>
        <v>27.9</v>
      </c>
      <c r="M804" s="374">
        <f t="shared" si="78"/>
        <v>5647498.6900000153</v>
      </c>
      <c r="N804" s="375">
        <f>+M804/L$815</f>
        <v>0.99997452919532681</v>
      </c>
      <c r="O804" s="376" t="str">
        <f>IF(N804&lt;0.5,"A",IF(N804&gt;0.8,"C","B"))</f>
        <v>C</v>
      </c>
    </row>
    <row r="805" spans="1:15" x14ac:dyDescent="0.25">
      <c r="A805" s="232">
        <f t="shared" si="73"/>
        <v>805</v>
      </c>
      <c r="B805" s="232"/>
      <c r="C805" s="310">
        <v>93654</v>
      </c>
      <c r="D805" s="373" t="str">
        <f>IF($C805="","",IFERROR(VLOOKUP($C805,SERVIÇOS!$B:$G,2,0),IFERROR(VLOOKUP($C805,'COMPOSIÇÕES COMPLEMENTARES '!$D:$L,2,0),IFERROR(VLOOKUP($C805,INSUMOS!$A:$D,2,0),""))))</f>
        <v>DISJUNTOR MONOPOLAR TIPO DIN, CORRENTE NOMINAL DE 16A - FORNECIMENTO E INSTALAÇÃO. AF_10/2020</v>
      </c>
      <c r="E805" s="312" t="str">
        <f>IF($C805="","",IFERROR(VLOOKUP($C805,SERVIÇOS!$B:$G,3,0),IFERROR(VLOOKUP($C805,'COMPOSIÇÕES COMPLEMENTARES '!$D:$L,3,0),IFERROR(VLOOKUP($C805,INSUMOS!$A:$D,3,0),""))))</f>
        <v>UN</v>
      </c>
      <c r="F805" s="313">
        <v>2</v>
      </c>
      <c r="G805" s="314">
        <f>IF($C805="","",IFERROR(VLOOKUP($C805,SERVIÇOS!$B:$G,4,0),IFERROR(VLOOKUP($C805,'COMPOSIÇÕES COMPLEMENTARES '!$D:$L,6,0),IFERROR(VLOOKUP($C805,INSUMOS!$A:$D,4,0),""))))</f>
        <v>11.6</v>
      </c>
      <c r="H805" s="314">
        <f>IF($C805="","",IFERROR(VLOOKUP($C805,SERVIÇOS!$B:$G,5,0),IFERROR(VLOOKUP($C805,'COMPOSIÇÕES COMPLEMENTARES '!$D:$L,7,0),0)))</f>
        <v>2.35</v>
      </c>
      <c r="I805" s="314">
        <f t="shared" si="74"/>
        <v>13.95</v>
      </c>
      <c r="J805" s="314">
        <f t="shared" si="75"/>
        <v>23.2</v>
      </c>
      <c r="K805" s="314">
        <f t="shared" si="76"/>
        <v>4.7</v>
      </c>
      <c r="L805" s="948">
        <f t="shared" si="77"/>
        <v>27.9</v>
      </c>
      <c r="M805" s="374">
        <f t="shared" si="78"/>
        <v>5647526.5900000157</v>
      </c>
      <c r="N805" s="375">
        <f>+M805/L$815</f>
        <v>0.99997946930968473</v>
      </c>
      <c r="O805" s="376" t="str">
        <f>IF(N805&lt;0.5,"A",IF(N805&gt;0.8,"C","B"))</f>
        <v>C</v>
      </c>
    </row>
    <row r="806" spans="1:15" ht="38.25" x14ac:dyDescent="0.25">
      <c r="A806" s="232">
        <f t="shared" si="73"/>
        <v>806</v>
      </c>
      <c r="B806" s="232"/>
      <c r="C806" s="310">
        <v>102279</v>
      </c>
      <c r="D806" s="373" t="str">
        <f>IF($C806="","",IFERROR(VLOOKUP($C806,SERVIÇOS!$B:$G,2,0),IFERROR(VLOOKUP($C806,'COMPOSIÇÕES COMPLEMENTARES '!$D:$L,2,0),IFERROR(VLOOKUP($C806,INSUMOS!$A:$D,2,0),""))))</f>
        <v>ESCAVAÇÃO MECANIZADA DE VALA COM PROF. ATÉ 1,5 M (MÉDIA MONTANTE E JUSANTE/UMA COMPOSIÇÃO POR TRECHO), ESCAVADEIRA (0,8 M3),LARG. MENOR QUE 1,5 M, EM SOLO DE 1A CATEGORIA, LOCAIS COM BAIXO NÍVEL DE INTERFERÊNCIA. AF_09/2024</v>
      </c>
      <c r="E806" s="312" t="str">
        <f>IF($C806="","",IFERROR(VLOOKUP($C806,SERVIÇOS!$B:$G,3,0),IFERROR(VLOOKUP($C806,'COMPOSIÇÕES COMPLEMENTARES '!$D:$L,3,0),IFERROR(VLOOKUP($C806,INSUMOS!$A:$D,3,0),""))))</f>
        <v>M3</v>
      </c>
      <c r="F806" s="313">
        <v>3.6</v>
      </c>
      <c r="G806" s="314">
        <f>IF($C806="","",IFERROR(VLOOKUP($C806,SERVIÇOS!$B:$G,4,0),IFERROR(VLOOKUP($C806,'COMPOSIÇÕES COMPLEMENTARES '!$D:$L,6,0),IFERROR(VLOOKUP($C806,INSUMOS!$A:$D,4,0),""))))</f>
        <v>5.79</v>
      </c>
      <c r="H806" s="314">
        <f>IF($C806="","",IFERROR(VLOOKUP($C806,SERVIÇOS!$B:$G,5,0),IFERROR(VLOOKUP($C806,'COMPOSIÇÕES COMPLEMENTARES '!$D:$L,7,0),0)))</f>
        <v>1.76</v>
      </c>
      <c r="I806" s="314">
        <f t="shared" si="74"/>
        <v>7.55</v>
      </c>
      <c r="J806" s="314">
        <f t="shared" si="75"/>
        <v>20.84</v>
      </c>
      <c r="K806" s="314">
        <f t="shared" si="76"/>
        <v>6.33</v>
      </c>
      <c r="L806" s="948">
        <f t="shared" si="77"/>
        <v>27.17</v>
      </c>
      <c r="M806" s="374">
        <f t="shared" si="78"/>
        <v>5647553.7600000156</v>
      </c>
      <c r="N806" s="375">
        <f>+M806/L$815</f>
        <v>0.99998428016657015</v>
      </c>
      <c r="O806" s="376" t="str">
        <f>IF(N806&lt;0.5,"A",IF(N806&gt;0.8,"C","B"))</f>
        <v>C</v>
      </c>
    </row>
    <row r="807" spans="1:15" ht="25.5" x14ac:dyDescent="0.25">
      <c r="A807" s="232">
        <f t="shared" si="73"/>
        <v>807</v>
      </c>
      <c r="B807" s="232"/>
      <c r="C807" s="310">
        <v>104917</v>
      </c>
      <c r="D807" s="373" t="str">
        <f>IF($C807="","",IFERROR(VLOOKUP($C807,SERVIÇOS!$B:$G,2,0),IFERROR(VLOOKUP($C807,'COMPOSIÇÕES COMPLEMENTARES '!$D:$L,2,0),IFERROR(VLOOKUP($C807,INSUMOS!$A:$D,2,0),""))))</f>
        <v>ARMAÇÃO DE SAPATA ISOLADA, VIGA BALDRAME E SAPATA CORRIDA UTILIZANDO AÇO CA-50 DE 6,3 MM - MONTAGEM. AF_01/2024</v>
      </c>
      <c r="E807" s="312" t="str">
        <f>IF($C807="","",IFERROR(VLOOKUP($C807,SERVIÇOS!$B:$G,3,0),IFERROR(VLOOKUP($C807,'COMPOSIÇÕES COMPLEMENTARES '!$D:$L,3,0),IFERROR(VLOOKUP($C807,INSUMOS!$A:$D,3,0),""))))</f>
        <v>KG</v>
      </c>
      <c r="F807" s="313">
        <v>1</v>
      </c>
      <c r="G807" s="314">
        <f>IF($C807="","",IFERROR(VLOOKUP($C807,SERVIÇOS!$B:$G,4,0),IFERROR(VLOOKUP($C807,'COMPOSIÇÕES COMPLEMENTARES '!$D:$L,6,0),IFERROR(VLOOKUP($C807,INSUMOS!$A:$D,4,0),""))))</f>
        <v>11.55</v>
      </c>
      <c r="H807" s="314">
        <f>IF($C807="","",IFERROR(VLOOKUP($C807,SERVIÇOS!$B:$G,5,0),IFERROR(VLOOKUP($C807,'COMPOSIÇÕES COMPLEMENTARES '!$D:$L,7,0),0)))</f>
        <v>5.56</v>
      </c>
      <c r="I807" s="314">
        <f t="shared" si="74"/>
        <v>17.11</v>
      </c>
      <c r="J807" s="314">
        <f t="shared" si="75"/>
        <v>11.55</v>
      </c>
      <c r="K807" s="314">
        <f t="shared" si="76"/>
        <v>5.56</v>
      </c>
      <c r="L807" s="948">
        <f t="shared" si="77"/>
        <v>17.11</v>
      </c>
      <c r="M807" s="374">
        <f t="shared" si="78"/>
        <v>5647570.8700000159</v>
      </c>
      <c r="N807" s="375">
        <f>+M807/L$815</f>
        <v>0.99998730974924632</v>
      </c>
      <c r="O807" s="376" t="str">
        <f>IF(N807&lt;0.5,"A",IF(N807&gt;0.8,"C","B"))</f>
        <v>C</v>
      </c>
    </row>
    <row r="808" spans="1:15" x14ac:dyDescent="0.25">
      <c r="A808" s="232">
        <f t="shared" si="73"/>
        <v>808</v>
      </c>
      <c r="B808" s="232"/>
      <c r="C808" s="310" t="s">
        <v>12212</v>
      </c>
      <c r="D808" s="373" t="str">
        <f>IF($C808="","",IFERROR(VLOOKUP($C808,SERVIÇOS!$B:$G,2,0),IFERROR(VLOOKUP($C808,'COMPOSIÇÕES COMPLEMENTARES '!$D:$L,2,0),IFERROR(VLOOKUP($C808,INSUMOS!$A:$D,2,0),""))))</f>
        <v>PONTO ELÉTRICO COM PLACA DE SAÍDA DE FIO - EM CX. 4"X2"</v>
      </c>
      <c r="E808" s="312" t="str">
        <f>IF($C808="","",IFERROR(VLOOKUP($C808,SERVIÇOS!$B:$G,3,0),IFERROR(VLOOKUP($C808,'COMPOSIÇÕES COMPLEMENTARES '!$D:$L,3,0),IFERROR(VLOOKUP($C808,INSUMOS!$A:$D,3,0),""))))</f>
        <v>UN</v>
      </c>
      <c r="F808" s="313">
        <v>1</v>
      </c>
      <c r="G808" s="314">
        <f>IF($C808="","",IFERROR(VLOOKUP($C808,SERVIÇOS!$B:$G,4,0),IFERROR(VLOOKUP($C808,'COMPOSIÇÕES COMPLEMENTARES '!$D:$L,6,0),IFERROR(VLOOKUP($C808,INSUMOS!$A:$D,4,0),""))))</f>
        <v>11.28</v>
      </c>
      <c r="H808" s="314">
        <f>IF($C808="","",IFERROR(VLOOKUP($C808,SERVIÇOS!$B:$G,5,0),IFERROR(VLOOKUP($C808,'COMPOSIÇÕES COMPLEMENTARES '!$D:$L,7,0),0)))</f>
        <v>5.29</v>
      </c>
      <c r="I808" s="314">
        <f t="shared" si="74"/>
        <v>16.57</v>
      </c>
      <c r="J808" s="314">
        <f t="shared" si="75"/>
        <v>11.28</v>
      </c>
      <c r="K808" s="314">
        <f t="shared" si="76"/>
        <v>5.29</v>
      </c>
      <c r="L808" s="948">
        <f t="shared" si="77"/>
        <v>16.57</v>
      </c>
      <c r="M808" s="374">
        <f t="shared" si="78"/>
        <v>5647587.4400000162</v>
      </c>
      <c r="N808" s="375">
        <f>+M808/L$815</f>
        <v>0.99999024371680589</v>
      </c>
      <c r="O808" s="376" t="str">
        <f>IF(N808&lt;0.5,"A",IF(N808&gt;0.8,"C","B"))</f>
        <v>C</v>
      </c>
    </row>
    <row r="809" spans="1:15" x14ac:dyDescent="0.25">
      <c r="A809" s="232">
        <f t="shared" si="73"/>
        <v>809</v>
      </c>
      <c r="B809" s="232"/>
      <c r="C809" s="310" t="s">
        <v>12189</v>
      </c>
      <c r="D809" s="373" t="str">
        <f>IF($C809="","",IFERROR(VLOOKUP($C809,SERVIÇOS!$B:$G,2,0),IFERROR(VLOOKUP($C809,'COMPOSIÇÕES COMPLEMENTARES '!$D:$L,2,0),IFERROR(VLOOKUP($C809,INSUMOS!$A:$D,2,0),""))))</f>
        <v>TERMINAL DE COMPRESSÃO #50MM²</v>
      </c>
      <c r="E809" s="312" t="str">
        <f>IF($C809="","",IFERROR(VLOOKUP($C809,SERVIÇOS!$B:$G,3,0),IFERROR(VLOOKUP($C809,'COMPOSIÇÕES COMPLEMENTARES '!$D:$L,3,0),IFERROR(VLOOKUP($C809,INSUMOS!$A:$D,3,0),""))))</f>
        <v>UN</v>
      </c>
      <c r="F809" s="313">
        <v>2</v>
      </c>
      <c r="G809" s="314">
        <f>IF($C809="","",IFERROR(VLOOKUP($C809,SERVIÇOS!$B:$G,4,0),IFERROR(VLOOKUP($C809,'COMPOSIÇÕES COMPLEMENTARES '!$D:$L,6,0),IFERROR(VLOOKUP($C809,INSUMOS!$A:$D,4,0),""))))</f>
        <v>6.63</v>
      </c>
      <c r="H809" s="314">
        <f>IF($C809="","",IFERROR(VLOOKUP($C809,SERVIÇOS!$B:$G,5,0),IFERROR(VLOOKUP($C809,'COMPOSIÇÕES COMPLEMENTARES '!$D:$L,7,0),0)))</f>
        <v>1.4</v>
      </c>
      <c r="I809" s="314">
        <f t="shared" si="74"/>
        <v>8.0299999999999994</v>
      </c>
      <c r="J809" s="314">
        <f t="shared" si="75"/>
        <v>13.26</v>
      </c>
      <c r="K809" s="314">
        <f t="shared" si="76"/>
        <v>2.8</v>
      </c>
      <c r="L809" s="948">
        <f t="shared" si="77"/>
        <v>16.059999999999999</v>
      </c>
      <c r="M809" s="374">
        <f t="shared" si="78"/>
        <v>5647603.5000000158</v>
      </c>
      <c r="N809" s="375">
        <f>+M809/L$815</f>
        <v>0.99999308738119963</v>
      </c>
      <c r="O809" s="376" t="str">
        <f>IF(N809&lt;0.5,"A",IF(N809&gt;0.8,"C","B"))</f>
        <v>C</v>
      </c>
    </row>
    <row r="810" spans="1:15" x14ac:dyDescent="0.25">
      <c r="A810" s="232">
        <f t="shared" si="73"/>
        <v>810</v>
      </c>
      <c r="B810" s="232"/>
      <c r="C810" s="310" t="s">
        <v>12189</v>
      </c>
      <c r="D810" s="373" t="str">
        <f>IF($C810="","",IFERROR(VLOOKUP($C810,SERVIÇOS!$B:$G,2,0),IFERROR(VLOOKUP($C810,'COMPOSIÇÕES COMPLEMENTARES '!$D:$L,2,0),IFERROR(VLOOKUP($C810,INSUMOS!$A:$D,2,0),""))))</f>
        <v>TERMINAL DE COMPRESSÃO #50MM²</v>
      </c>
      <c r="E810" s="312" t="str">
        <f>IF($C810="","",IFERROR(VLOOKUP($C810,SERVIÇOS!$B:$G,3,0),IFERROR(VLOOKUP($C810,'COMPOSIÇÕES COMPLEMENTARES '!$D:$L,3,0),IFERROR(VLOOKUP($C810,INSUMOS!$A:$D,3,0),""))))</f>
        <v>UN</v>
      </c>
      <c r="F810" s="313">
        <v>2</v>
      </c>
      <c r="G810" s="314">
        <f>IF($C810="","",IFERROR(VLOOKUP($C810,SERVIÇOS!$B:$G,4,0),IFERROR(VLOOKUP($C810,'COMPOSIÇÕES COMPLEMENTARES '!$D:$L,6,0),IFERROR(VLOOKUP($C810,INSUMOS!$A:$D,4,0),""))))</f>
        <v>6.63</v>
      </c>
      <c r="H810" s="314">
        <f>IF($C810="","",IFERROR(VLOOKUP($C810,SERVIÇOS!$B:$G,5,0),IFERROR(VLOOKUP($C810,'COMPOSIÇÕES COMPLEMENTARES '!$D:$L,7,0),0)))</f>
        <v>1.4</v>
      </c>
      <c r="I810" s="314">
        <f t="shared" si="74"/>
        <v>8.0299999999999994</v>
      </c>
      <c r="J810" s="314">
        <f t="shared" si="75"/>
        <v>13.26</v>
      </c>
      <c r="K810" s="314">
        <f t="shared" si="76"/>
        <v>2.8</v>
      </c>
      <c r="L810" s="948">
        <f t="shared" si="77"/>
        <v>16.059999999999999</v>
      </c>
      <c r="M810" s="374">
        <f t="shared" si="78"/>
        <v>5647619.5600000154</v>
      </c>
      <c r="N810" s="375">
        <f>+M810/L$815</f>
        <v>0.99999593104559337</v>
      </c>
      <c r="O810" s="376" t="str">
        <f>IF(N810&lt;0.5,"A",IF(N810&gt;0.8,"C","B"))</f>
        <v>C</v>
      </c>
    </row>
    <row r="811" spans="1:15" x14ac:dyDescent="0.25">
      <c r="A811" s="232">
        <f t="shared" si="73"/>
        <v>811</v>
      </c>
      <c r="B811" s="232"/>
      <c r="C811" s="310" t="s">
        <v>12204</v>
      </c>
      <c r="D811" s="373" t="str">
        <f>IF($C811="","",IFERROR(VLOOKUP($C811,SERVIÇOS!$B:$G,2,0),IFERROR(VLOOKUP($C811,'COMPOSIÇÕES COMPLEMENTARES '!$D:$L,2,0),IFERROR(VLOOKUP($C811,INSUMOS!$A:$D,2,0),""))))</f>
        <v>TERMINAL DE COMPRESSÃO #16MM²</v>
      </c>
      <c r="E811" s="312" t="str">
        <f>IF($C811="","",IFERROR(VLOOKUP($C811,SERVIÇOS!$B:$G,3,0),IFERROR(VLOOKUP($C811,'COMPOSIÇÕES COMPLEMENTARES '!$D:$L,3,0),IFERROR(VLOOKUP($C811,INSUMOS!$A:$D,3,0),""))))</f>
        <v>UN</v>
      </c>
      <c r="F811" s="313">
        <v>2</v>
      </c>
      <c r="G811" s="314">
        <f>IF($C811="","",IFERROR(VLOOKUP($C811,SERVIÇOS!$B:$G,4,0),IFERROR(VLOOKUP($C811,'COMPOSIÇÕES COMPLEMENTARES '!$D:$L,6,0),IFERROR(VLOOKUP($C811,INSUMOS!$A:$D,4,0),""))))</f>
        <v>2.71</v>
      </c>
      <c r="H811" s="314">
        <f>IF($C811="","",IFERROR(VLOOKUP($C811,SERVIÇOS!$B:$G,5,0),IFERROR(VLOOKUP($C811,'COMPOSIÇÕES COMPLEMENTARES '!$D:$L,7,0),0)))</f>
        <v>1.1200000000000001</v>
      </c>
      <c r="I811" s="314">
        <f t="shared" si="74"/>
        <v>3.83</v>
      </c>
      <c r="J811" s="314">
        <f t="shared" si="75"/>
        <v>5.42</v>
      </c>
      <c r="K811" s="314">
        <f t="shared" si="76"/>
        <v>2.2400000000000002</v>
      </c>
      <c r="L811" s="948">
        <f t="shared" si="77"/>
        <v>7.66</v>
      </c>
      <c r="M811" s="374">
        <f t="shared" si="78"/>
        <v>5647627.2200000156</v>
      </c>
      <c r="N811" s="375">
        <f>+M811/L$815</f>
        <v>0.99999728736372884</v>
      </c>
      <c r="O811" s="376" t="str">
        <f>IF(N811&lt;0.5,"A",IF(N811&gt;0.8,"C","B"))</f>
        <v>C</v>
      </c>
    </row>
    <row r="812" spans="1:15" x14ac:dyDescent="0.25">
      <c r="A812" s="232">
        <f t="shared" si="73"/>
        <v>812</v>
      </c>
      <c r="B812" s="232"/>
      <c r="C812" s="310" t="s">
        <v>12204</v>
      </c>
      <c r="D812" s="373" t="str">
        <f>IF($C812="","",IFERROR(VLOOKUP($C812,SERVIÇOS!$B:$G,2,0),IFERROR(VLOOKUP($C812,'COMPOSIÇÕES COMPLEMENTARES '!$D:$L,2,0),IFERROR(VLOOKUP($C812,INSUMOS!$A:$D,2,0),""))))</f>
        <v>TERMINAL DE COMPRESSÃO #16MM²</v>
      </c>
      <c r="E812" s="312" t="str">
        <f>IF($C812="","",IFERROR(VLOOKUP($C812,SERVIÇOS!$B:$G,3,0),IFERROR(VLOOKUP($C812,'COMPOSIÇÕES COMPLEMENTARES '!$D:$L,3,0),IFERROR(VLOOKUP($C812,INSUMOS!$A:$D,3,0),""))))</f>
        <v>UN</v>
      </c>
      <c r="F812" s="313">
        <v>2</v>
      </c>
      <c r="G812" s="314">
        <f>IF($C812="","",IFERROR(VLOOKUP($C812,SERVIÇOS!$B:$G,4,0),IFERROR(VLOOKUP($C812,'COMPOSIÇÕES COMPLEMENTARES '!$D:$L,6,0),IFERROR(VLOOKUP($C812,INSUMOS!$A:$D,4,0),""))))</f>
        <v>2.71</v>
      </c>
      <c r="H812" s="314">
        <f>IF($C812="","",IFERROR(VLOOKUP($C812,SERVIÇOS!$B:$G,5,0),IFERROR(VLOOKUP($C812,'COMPOSIÇÕES COMPLEMENTARES '!$D:$L,7,0),0)))</f>
        <v>1.1200000000000001</v>
      </c>
      <c r="I812" s="314">
        <f t="shared" si="74"/>
        <v>3.83</v>
      </c>
      <c r="J812" s="314">
        <f t="shared" si="75"/>
        <v>5.42</v>
      </c>
      <c r="K812" s="314">
        <f t="shared" si="76"/>
        <v>2.2400000000000002</v>
      </c>
      <c r="L812" s="948">
        <f t="shared" si="77"/>
        <v>7.66</v>
      </c>
      <c r="M812" s="374">
        <f t="shared" si="78"/>
        <v>5647634.8800000157</v>
      </c>
      <c r="N812" s="375">
        <f>+M812/L$815</f>
        <v>0.99999864368186442</v>
      </c>
      <c r="O812" s="376" t="str">
        <f>IF(N812&lt;0.5,"A",IF(N812&gt;0.8,"C","B"))</f>
        <v>C</v>
      </c>
    </row>
    <row r="813" spans="1:15" x14ac:dyDescent="0.25">
      <c r="A813" s="232">
        <f t="shared" si="73"/>
        <v>813</v>
      </c>
      <c r="B813" s="232"/>
      <c r="C813" s="310" t="s">
        <v>12204</v>
      </c>
      <c r="D813" s="373" t="str">
        <f>IF($C813="","",IFERROR(VLOOKUP($C813,SERVIÇOS!$B:$G,2,0),IFERROR(VLOOKUP($C813,'COMPOSIÇÕES COMPLEMENTARES '!$D:$L,2,0),IFERROR(VLOOKUP($C813,INSUMOS!$A:$D,2,0),""))))</f>
        <v>TERMINAL DE COMPRESSÃO #16MM²</v>
      </c>
      <c r="E813" s="312" t="str">
        <f>IF($C813="","",IFERROR(VLOOKUP($C813,SERVIÇOS!$B:$G,3,0),IFERROR(VLOOKUP($C813,'COMPOSIÇÕES COMPLEMENTARES '!$D:$L,3,0),IFERROR(VLOOKUP($C813,INSUMOS!$A:$D,3,0),""))))</f>
        <v>UN</v>
      </c>
      <c r="F813" s="313">
        <v>2</v>
      </c>
      <c r="G813" s="314">
        <f>IF($C813="","",IFERROR(VLOOKUP($C813,SERVIÇOS!$B:$G,4,0),IFERROR(VLOOKUP($C813,'COMPOSIÇÕES COMPLEMENTARES '!$D:$L,6,0),IFERROR(VLOOKUP($C813,INSUMOS!$A:$D,4,0),""))))</f>
        <v>2.71</v>
      </c>
      <c r="H813" s="314">
        <f>IF($C813="","",IFERROR(VLOOKUP($C813,SERVIÇOS!$B:$G,5,0),IFERROR(VLOOKUP($C813,'COMPOSIÇÕES COMPLEMENTARES '!$D:$L,7,0),0)))</f>
        <v>1.1200000000000001</v>
      </c>
      <c r="I813" s="314">
        <f t="shared" si="74"/>
        <v>3.83</v>
      </c>
      <c r="J813" s="314">
        <f t="shared" si="75"/>
        <v>5.42</v>
      </c>
      <c r="K813" s="314">
        <f t="shared" si="76"/>
        <v>2.2400000000000002</v>
      </c>
      <c r="L813" s="948">
        <f t="shared" si="77"/>
        <v>7.66</v>
      </c>
      <c r="M813" s="374">
        <f t="shared" si="78"/>
        <v>5647642.5400000159</v>
      </c>
      <c r="N813" s="375">
        <f>+M813/L$815</f>
        <v>1</v>
      </c>
      <c r="O813" s="376" t="str">
        <f>IF(N813&lt;0.5,"A",IF(N813&gt;0.8,"C","B"))</f>
        <v>C</v>
      </c>
    </row>
    <row r="814" spans="1:15" x14ac:dyDescent="0.25">
      <c r="A814" s="232"/>
      <c r="B814" s="232"/>
      <c r="C814" s="882"/>
      <c r="D814" s="883"/>
      <c r="E814" s="883"/>
      <c r="F814" s="883"/>
      <c r="G814" s="883"/>
      <c r="H814" s="883"/>
      <c r="I814" s="883"/>
      <c r="J814" s="883"/>
      <c r="K814" s="883"/>
      <c r="L814" s="883"/>
      <c r="M814" s="883"/>
      <c r="N814" s="883"/>
      <c r="O814" s="884"/>
    </row>
    <row r="815" spans="1:15" x14ac:dyDescent="0.25">
      <c r="A815" s="232"/>
      <c r="B815" s="232"/>
      <c r="C815" s="781"/>
      <c r="D815" s="783"/>
      <c r="E815" s="785"/>
      <c r="F815" s="787"/>
      <c r="G815" s="788"/>
      <c r="H815" s="788"/>
      <c r="I815" s="788"/>
      <c r="J815" s="786">
        <f t="shared" ref="J815:K815" si="79">SUM(J9:J813)</f>
        <v>4471280.6900000004</v>
      </c>
      <c r="K815" s="786">
        <f t="shared" si="79"/>
        <v>1176361.8500000024</v>
      </c>
      <c r="L815" s="786">
        <f>SUM(L9:L813)</f>
        <v>5647642.5400000159</v>
      </c>
      <c r="M815" s="786"/>
      <c r="N815" s="786"/>
      <c r="O815" s="786"/>
    </row>
    <row r="816" spans="1:15" x14ac:dyDescent="0.25">
      <c r="A816" s="232"/>
      <c r="B816" s="232"/>
      <c r="C816" s="782"/>
      <c r="D816" s="784" t="s">
        <v>12607</v>
      </c>
      <c r="E816" s="786"/>
      <c r="F816" s="786"/>
      <c r="G816" s="786"/>
      <c r="H816" s="786"/>
      <c r="I816" s="786"/>
      <c r="J816" s="786">
        <f>PLANILHA_SINTÉTICA!M1018</f>
        <v>4471280.6899999995</v>
      </c>
      <c r="K816" s="786">
        <f>PLANILHA_SINTÉTICA!N1018</f>
        <v>1176361.8500000013</v>
      </c>
      <c r="L816" s="786">
        <f>PLANILHA_SINTÉTICA!O1019</f>
        <v>5647642.540000001</v>
      </c>
      <c r="M816" s="786"/>
      <c r="N816" s="786"/>
      <c r="O816" s="786"/>
    </row>
    <row r="817" spans="1:15" x14ac:dyDescent="0.25">
      <c r="A817" s="232"/>
      <c r="B817" s="232"/>
      <c r="C817" s="361"/>
      <c r="D817" s="362"/>
      <c r="E817" s="358"/>
      <c r="F817" s="363"/>
      <c r="G817" s="364"/>
      <c r="H817" s="364"/>
      <c r="I817" s="364"/>
      <c r="J817" s="364"/>
      <c r="K817" s="364"/>
      <c r="L817" s="364"/>
      <c r="M817" s="364"/>
      <c r="N817" s="364"/>
      <c r="O817" s="364"/>
    </row>
    <row r="818" spans="1:15" x14ac:dyDescent="0.25">
      <c r="A818" s="232"/>
      <c r="B818" s="232"/>
      <c r="C818" s="361"/>
      <c r="D818" s="362"/>
      <c r="E818" s="358"/>
      <c r="F818" s="363"/>
      <c r="G818" s="364"/>
      <c r="H818" s="364"/>
      <c r="I818" s="364"/>
      <c r="J818" s="364"/>
      <c r="K818" s="364"/>
      <c r="L818" s="364"/>
      <c r="M818" s="364"/>
      <c r="N818" s="364"/>
      <c r="O818" s="364"/>
    </row>
    <row r="819" spans="1:15" x14ac:dyDescent="0.25">
      <c r="A819" s="232"/>
      <c r="B819" s="232"/>
      <c r="C819" s="361"/>
      <c r="D819" s="362"/>
      <c r="E819" s="358"/>
      <c r="F819" s="363"/>
      <c r="G819" s="364"/>
      <c r="H819" s="364"/>
      <c r="I819" s="364"/>
      <c r="J819" s="364"/>
      <c r="K819" s="364"/>
      <c r="L819" s="364"/>
      <c r="M819" s="364"/>
      <c r="N819" s="364"/>
      <c r="O819" s="364"/>
    </row>
    <row r="820" spans="1:15" x14ac:dyDescent="0.25">
      <c r="A820" s="232"/>
      <c r="B820" s="232"/>
      <c r="C820" s="361"/>
      <c r="D820" s="362"/>
      <c r="E820" s="358"/>
      <c r="F820" s="363"/>
      <c r="G820" s="364"/>
      <c r="H820" s="364"/>
      <c r="I820" s="364"/>
      <c r="J820" s="364"/>
      <c r="K820" s="364"/>
      <c r="L820" s="364"/>
      <c r="M820" s="364"/>
      <c r="N820" s="364"/>
      <c r="O820" s="364"/>
    </row>
    <row r="821" spans="1:15" x14ac:dyDescent="0.25">
      <c r="A821" s="232"/>
      <c r="B821" s="232"/>
      <c r="C821" s="361"/>
      <c r="D821" s="362"/>
      <c r="E821" s="358"/>
      <c r="F821" s="363"/>
      <c r="G821" s="364"/>
      <c r="H821" s="364"/>
      <c r="I821" s="364"/>
      <c r="J821" s="364"/>
      <c r="K821" s="364"/>
      <c r="L821" s="364"/>
      <c r="M821" s="364"/>
      <c r="N821" s="364"/>
      <c r="O821" s="364"/>
    </row>
    <row r="822" spans="1:15" x14ac:dyDescent="0.25">
      <c r="A822" s="232"/>
      <c r="B822" s="232"/>
      <c r="C822" s="361"/>
      <c r="D822" s="362"/>
      <c r="E822" s="358"/>
      <c r="F822" s="363"/>
      <c r="G822" s="364"/>
      <c r="H822" s="364"/>
      <c r="I822" s="364"/>
      <c r="J822" s="364"/>
      <c r="K822" s="364"/>
      <c r="L822" s="364"/>
      <c r="M822" s="364"/>
      <c r="N822" s="364"/>
      <c r="O822" s="364"/>
    </row>
    <row r="823" spans="1:15" x14ac:dyDescent="0.25">
      <c r="A823" s="232"/>
      <c r="B823" s="232"/>
      <c r="C823" s="361"/>
      <c r="D823" s="362"/>
      <c r="E823" s="358"/>
      <c r="F823" s="363"/>
      <c r="G823" s="364"/>
      <c r="H823" s="364"/>
      <c r="I823" s="364"/>
      <c r="J823" s="364"/>
      <c r="K823" s="364"/>
      <c r="L823" s="364"/>
      <c r="M823" s="364"/>
      <c r="N823" s="364"/>
      <c r="O823" s="364"/>
    </row>
    <row r="824" spans="1:15" x14ac:dyDescent="0.25">
      <c r="A824" s="232"/>
      <c r="B824" s="232"/>
      <c r="C824" s="361"/>
      <c r="D824" s="362"/>
      <c r="E824" s="358"/>
      <c r="F824" s="363"/>
      <c r="G824" s="364"/>
      <c r="H824" s="364"/>
      <c r="I824" s="364"/>
      <c r="J824" s="364"/>
      <c r="K824" s="364"/>
      <c r="L824" s="364"/>
      <c r="M824" s="364"/>
      <c r="N824" s="364"/>
      <c r="O824" s="364"/>
    </row>
    <row r="825" spans="1:15" x14ac:dyDescent="0.25">
      <c r="A825" s="232"/>
      <c r="B825" s="232"/>
      <c r="C825" s="361"/>
      <c r="D825" s="362"/>
      <c r="E825" s="358"/>
      <c r="F825" s="363"/>
      <c r="G825" s="364"/>
      <c r="H825" s="364"/>
      <c r="I825" s="364"/>
      <c r="J825" s="364"/>
      <c r="K825" s="364"/>
      <c r="L825" s="364"/>
      <c r="M825" s="364"/>
      <c r="N825" s="364"/>
      <c r="O825" s="364"/>
    </row>
    <row r="826" spans="1:15" x14ac:dyDescent="0.25">
      <c r="A826" s="232"/>
      <c r="B826" s="232"/>
      <c r="C826" s="361"/>
      <c r="D826" s="362"/>
      <c r="E826" s="358"/>
      <c r="F826" s="363"/>
      <c r="G826" s="364"/>
      <c r="H826" s="364"/>
      <c r="I826" s="364"/>
      <c r="J826" s="364"/>
      <c r="K826" s="364"/>
      <c r="L826" s="364"/>
      <c r="M826" s="364"/>
      <c r="N826" s="364"/>
      <c r="O826" s="364"/>
    </row>
    <row r="827" spans="1:15" x14ac:dyDescent="0.25">
      <c r="A827" s="232"/>
      <c r="B827" s="232"/>
      <c r="C827" s="361"/>
      <c r="D827" s="362"/>
      <c r="E827" s="358"/>
      <c r="F827" s="363"/>
      <c r="G827" s="364"/>
      <c r="H827" s="364"/>
      <c r="I827" s="364"/>
      <c r="J827" s="364"/>
      <c r="K827" s="364"/>
      <c r="L827" s="364"/>
      <c r="M827" s="364"/>
      <c r="N827" s="364"/>
      <c r="O827" s="364"/>
    </row>
    <row r="828" spans="1:15" x14ac:dyDescent="0.25">
      <c r="A828" s="232"/>
      <c r="B828" s="232"/>
      <c r="C828" s="361"/>
      <c r="D828" s="362"/>
      <c r="E828" s="358"/>
      <c r="F828" s="363"/>
      <c r="G828" s="364"/>
      <c r="H828" s="364"/>
      <c r="I828" s="364"/>
      <c r="J828" s="364"/>
      <c r="K828" s="364"/>
      <c r="L828" s="364"/>
      <c r="M828" s="364"/>
      <c r="N828" s="364"/>
      <c r="O828" s="364"/>
    </row>
    <row r="829" spans="1:15" x14ac:dyDescent="0.25">
      <c r="A829" s="232"/>
      <c r="B829" s="232"/>
      <c r="C829" s="361"/>
      <c r="D829" s="362"/>
      <c r="E829" s="358"/>
      <c r="F829" s="363"/>
      <c r="G829" s="364"/>
      <c r="H829" s="364"/>
      <c r="I829" s="364"/>
      <c r="J829" s="364"/>
      <c r="K829" s="364"/>
      <c r="L829" s="364"/>
      <c r="M829" s="364"/>
      <c r="N829" s="364"/>
      <c r="O829" s="364"/>
    </row>
  </sheetData>
  <autoFilter ref="C8:O813" xr:uid="{00000000-0001-0000-0800-000000000000}">
    <sortState xmlns:xlrd2="http://schemas.microsoft.com/office/spreadsheetml/2017/richdata2" ref="C9:O813">
      <sortCondition descending="1" ref="L8:L813"/>
    </sortState>
  </autoFilter>
  <mergeCells count="1">
    <mergeCell ref="C814:O814"/>
  </mergeCells>
  <printOptions horizontalCentered="1" gridLines="1"/>
  <pageMargins left="0.196527777777778" right="0.196527777777778" top="1.1812499999999999" bottom="0.98402777777777795" header="0" footer="0"/>
  <pageSetup paperSize="9" scale="63" fitToHeight="0" orientation="landscape" horizontalDpi="300" verticalDpi="300" r:id="rId1"/>
  <headerFooter>
    <oddHeader>&amp;RPÁGINA: &amp;P DE</oddHeader>
    <oddFooter>&amp;L 
Carimbo e Assinatura Responsável Técnico&amp;CCarimbo e Assinatura Responsável pela Verificação&amp;RCarimbo e Assinatura  Responsável pela Aprovação</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pageSetUpPr fitToPage="1"/>
  </sheetPr>
  <dimension ref="R1:U1000"/>
  <sheetViews>
    <sheetView view="pageBreakPreview" zoomScale="62" zoomScaleNormal="100" zoomScalePageLayoutView="62" workbookViewId="0"/>
  </sheetViews>
  <sheetFormatPr defaultColWidth="14.42578125" defaultRowHeight="15" x14ac:dyDescent="0.25"/>
  <cols>
    <col min="1" max="17" width="8.7109375" customWidth="1"/>
    <col min="18" max="18" width="16.5703125" customWidth="1"/>
    <col min="19" max="21" width="9.140625" customWidth="1"/>
    <col min="22" max="26" width="8.7109375" customWidth="1"/>
  </cols>
  <sheetData>
    <row r="1" spans="18:21" x14ac:dyDescent="0.25">
      <c r="R1" s="885" t="s">
        <v>12613</v>
      </c>
      <c r="S1" s="885"/>
      <c r="T1" s="885"/>
      <c r="U1" s="885"/>
    </row>
    <row r="2" spans="18:21" x14ac:dyDescent="0.25">
      <c r="R2" s="382"/>
      <c r="S2" s="382" t="s">
        <v>12614</v>
      </c>
      <c r="T2" s="382" t="s">
        <v>12614</v>
      </c>
      <c r="U2" s="381" t="s">
        <v>12615</v>
      </c>
    </row>
    <row r="3" spans="18:21" x14ac:dyDescent="0.25">
      <c r="R3" s="382" t="s">
        <v>12616</v>
      </c>
      <c r="S3" s="382">
        <v>7.74</v>
      </c>
      <c r="T3" s="382">
        <v>0.8</v>
      </c>
      <c r="U3" s="382">
        <f t="shared" ref="U3:U9" si="0">ROUND(S3*T3,2)</f>
        <v>6.19</v>
      </c>
    </row>
    <row r="4" spans="18:21" x14ac:dyDescent="0.25">
      <c r="R4" s="382" t="s">
        <v>12617</v>
      </c>
      <c r="S4" s="382">
        <f>5.18-0.8</f>
        <v>4.38</v>
      </c>
      <c r="T4" s="382">
        <v>0.8</v>
      </c>
      <c r="U4" s="382">
        <f t="shared" si="0"/>
        <v>3.5</v>
      </c>
    </row>
    <row r="5" spans="18:21" x14ac:dyDescent="0.25">
      <c r="R5" s="382" t="s">
        <v>12618</v>
      </c>
      <c r="S5" s="382">
        <v>7.74</v>
      </c>
      <c r="T5" s="382">
        <v>0.28999999999999998</v>
      </c>
      <c r="U5" s="382">
        <f t="shared" si="0"/>
        <v>2.2400000000000002</v>
      </c>
    </row>
    <row r="6" spans="18:21" x14ac:dyDescent="0.25">
      <c r="R6" s="382" t="s">
        <v>12619</v>
      </c>
      <c r="S6" s="382">
        <v>5.18</v>
      </c>
      <c r="T6" s="382">
        <v>0.28999999999999998</v>
      </c>
      <c r="U6" s="382">
        <f t="shared" si="0"/>
        <v>1.5</v>
      </c>
    </row>
    <row r="7" spans="18:21" x14ac:dyDescent="0.25">
      <c r="R7" s="382" t="s">
        <v>12620</v>
      </c>
      <c r="S7" s="382">
        <v>0.8</v>
      </c>
      <c r="T7" s="382">
        <v>0.28999999999999998</v>
      </c>
      <c r="U7" s="382">
        <f t="shared" si="0"/>
        <v>0.23</v>
      </c>
    </row>
    <row r="8" spans="18:21" x14ac:dyDescent="0.25">
      <c r="R8" s="382" t="s">
        <v>12621</v>
      </c>
      <c r="S8" s="382">
        <f>5.18-0.8</f>
        <v>4.38</v>
      </c>
      <c r="T8" s="382">
        <v>0.28999999999999998</v>
      </c>
      <c r="U8" s="382">
        <f t="shared" si="0"/>
        <v>1.27</v>
      </c>
    </row>
    <row r="9" spans="18:21" x14ac:dyDescent="0.25">
      <c r="R9" s="382" t="s">
        <v>12622</v>
      </c>
      <c r="S9" s="382">
        <f>7.74-0.8</f>
        <v>6.94</v>
      </c>
      <c r="T9" s="382">
        <v>0.28999999999999998</v>
      </c>
      <c r="U9" s="382">
        <f t="shared" si="0"/>
        <v>2.0099999999999998</v>
      </c>
    </row>
    <row r="10" spans="18:21" x14ac:dyDescent="0.25">
      <c r="R10" s="3"/>
      <c r="S10" s="3"/>
      <c r="T10" s="381" t="s">
        <v>12623</v>
      </c>
      <c r="U10" s="383">
        <f>SUM(U3:U9)</f>
        <v>16.940000000000001</v>
      </c>
    </row>
    <row r="11" spans="18:21" x14ac:dyDescent="0.25">
      <c r="R11" s="3"/>
      <c r="S11" s="3"/>
      <c r="T11" s="3"/>
      <c r="U11" s="3"/>
    </row>
    <row r="12" spans="18:21" x14ac:dyDescent="0.25">
      <c r="R12" s="885" t="s">
        <v>12624</v>
      </c>
      <c r="S12" s="885"/>
      <c r="T12" s="885"/>
      <c r="U12" s="885"/>
    </row>
    <row r="13" spans="18:21" x14ac:dyDescent="0.25">
      <c r="R13" s="382"/>
      <c r="S13" s="382" t="s">
        <v>12614</v>
      </c>
      <c r="T13" s="382" t="s">
        <v>12614</v>
      </c>
      <c r="U13" s="381" t="s">
        <v>12615</v>
      </c>
    </row>
    <row r="14" spans="18:21" x14ac:dyDescent="0.25">
      <c r="R14" s="382" t="s">
        <v>12616</v>
      </c>
      <c r="S14" s="382">
        <v>6.74</v>
      </c>
      <c r="T14" s="382">
        <v>0.67</v>
      </c>
      <c r="U14" s="382">
        <f>ROUND(S14*T14,2)</f>
        <v>4.5199999999999996</v>
      </c>
    </row>
    <row r="15" spans="18:21" x14ac:dyDescent="0.25">
      <c r="R15" s="382" t="s">
        <v>12618</v>
      </c>
      <c r="S15" s="382"/>
      <c r="T15" s="384"/>
      <c r="U15" s="382">
        <f>ROUND(S15*T15,2)</f>
        <v>0</v>
      </c>
    </row>
    <row r="16" spans="18:21" x14ac:dyDescent="0.25">
      <c r="R16" s="382" t="s">
        <v>12619</v>
      </c>
      <c r="S16" s="382">
        <f>1.9+0.29</f>
        <v>2.19</v>
      </c>
      <c r="T16" s="382">
        <v>0.67</v>
      </c>
      <c r="U16" s="382">
        <f>ROUND(S16*T16,2)</f>
        <v>1.47</v>
      </c>
    </row>
    <row r="17" spans="18:21" x14ac:dyDescent="0.25">
      <c r="R17" s="382" t="s">
        <v>12625</v>
      </c>
      <c r="S17" s="382">
        <f>1.9+0.29</f>
        <v>2.19</v>
      </c>
      <c r="T17" s="382">
        <v>0.67</v>
      </c>
      <c r="U17" s="382">
        <f>ROUND(S17*T17,2)</f>
        <v>1.47</v>
      </c>
    </row>
    <row r="18" spans="18:21" x14ac:dyDescent="0.25">
      <c r="R18" s="382" t="s">
        <v>12622</v>
      </c>
      <c r="S18" s="382">
        <v>6.74</v>
      </c>
      <c r="T18" s="384">
        <v>2</v>
      </c>
      <c r="U18" s="382">
        <f>ROUND(S18*T18,2)</f>
        <v>13.48</v>
      </c>
    </row>
    <row r="19" spans="18:21" x14ac:dyDescent="0.25">
      <c r="R19" s="3"/>
      <c r="S19" s="3"/>
      <c r="T19" s="381" t="s">
        <v>12623</v>
      </c>
      <c r="U19" s="383">
        <f>SUM(U14:U18)</f>
        <v>20.939999999999998</v>
      </c>
    </row>
    <row r="20" spans="18:21" x14ac:dyDescent="0.25">
      <c r="R20" s="3"/>
      <c r="S20" s="3"/>
      <c r="T20" s="3"/>
      <c r="U20" s="3"/>
    </row>
    <row r="21" spans="18:21" ht="15.75" customHeight="1" x14ac:dyDescent="0.25">
      <c r="R21" s="3"/>
      <c r="S21" s="3"/>
      <c r="T21" s="3"/>
      <c r="U21" s="3"/>
    </row>
    <row r="22" spans="18:21" ht="15.75" customHeight="1" x14ac:dyDescent="0.25">
      <c r="R22" s="381"/>
      <c r="S22" s="385" t="s">
        <v>12626</v>
      </c>
      <c r="T22" s="381" t="s">
        <v>12627</v>
      </c>
      <c r="U22" s="383">
        <f>U19+U10</f>
        <v>37.879999999999995</v>
      </c>
    </row>
    <row r="23" spans="18:21" ht="15.75" customHeight="1" x14ac:dyDescent="0.25">
      <c r="R23" s="3"/>
      <c r="S23" s="3"/>
      <c r="T23" s="3"/>
      <c r="U23" s="3"/>
    </row>
    <row r="24" spans="18:21" ht="15.75" customHeight="1" x14ac:dyDescent="0.25">
      <c r="R24" s="3"/>
      <c r="S24" s="3"/>
      <c r="T24" s="3"/>
      <c r="U24" s="3"/>
    </row>
    <row r="25" spans="18:21" ht="15.75" customHeight="1" x14ac:dyDescent="0.25">
      <c r="R25" s="3"/>
      <c r="S25" s="3"/>
      <c r="T25" s="3"/>
      <c r="U25" s="3"/>
    </row>
    <row r="26" spans="18:21" ht="15.75" customHeight="1" x14ac:dyDescent="0.25">
      <c r="R26" s="3"/>
      <c r="S26" s="3"/>
      <c r="T26" s="3"/>
      <c r="U26" s="3"/>
    </row>
    <row r="27" spans="18:21" ht="15.75" customHeight="1" x14ac:dyDescent="0.25">
      <c r="R27" s="3"/>
      <c r="S27" s="3"/>
      <c r="T27" s="3"/>
      <c r="U27" s="3"/>
    </row>
    <row r="28" spans="18:21" ht="15.75" customHeight="1" x14ac:dyDescent="0.25">
      <c r="R28" s="3"/>
      <c r="S28" s="3"/>
      <c r="T28" s="3"/>
      <c r="U28" s="3"/>
    </row>
    <row r="29" spans="18:21" ht="15.75" customHeight="1" x14ac:dyDescent="0.25">
      <c r="R29" s="3"/>
      <c r="S29" s="3"/>
      <c r="T29" s="3"/>
      <c r="U29" s="3"/>
    </row>
    <row r="30" spans="18:21" ht="15.75" customHeight="1" x14ac:dyDescent="0.25">
      <c r="R30" s="3"/>
      <c r="S30" s="3"/>
      <c r="T30" s="3"/>
      <c r="U30" s="3"/>
    </row>
    <row r="31" spans="18:21" ht="15.75" customHeight="1" x14ac:dyDescent="0.25">
      <c r="R31" s="3"/>
      <c r="S31" s="3"/>
      <c r="T31" s="3"/>
      <c r="U31" s="3"/>
    </row>
    <row r="32" spans="18:21" ht="15.75" customHeight="1" x14ac:dyDescent="0.25">
      <c r="R32" s="3"/>
      <c r="S32" s="3"/>
      <c r="T32" s="3"/>
      <c r="U32" s="3"/>
    </row>
    <row r="33" spans="18:21" ht="15.75" customHeight="1" x14ac:dyDescent="0.25">
      <c r="R33" s="3"/>
      <c r="S33" s="3"/>
      <c r="T33" s="3"/>
      <c r="U33" s="3"/>
    </row>
    <row r="34" spans="18:21" ht="15.75" customHeight="1" x14ac:dyDescent="0.25">
      <c r="R34" s="3"/>
      <c r="S34" s="3"/>
      <c r="T34" s="3"/>
      <c r="U34" s="3"/>
    </row>
    <row r="35" spans="18:21" ht="15.75" customHeight="1" x14ac:dyDescent="0.25">
      <c r="R35" s="3"/>
      <c r="S35" s="3"/>
      <c r="T35" s="3"/>
      <c r="U35" s="3"/>
    </row>
    <row r="36" spans="18:21" ht="15.75" customHeight="1" x14ac:dyDescent="0.25">
      <c r="R36" s="3"/>
      <c r="S36" s="3"/>
      <c r="T36" s="3"/>
      <c r="U36" s="3"/>
    </row>
    <row r="37" spans="18:21" ht="15.75" customHeight="1" x14ac:dyDescent="0.25">
      <c r="R37" s="3"/>
      <c r="S37" s="3"/>
      <c r="T37" s="3"/>
      <c r="U37" s="3"/>
    </row>
    <row r="38" spans="18:21" ht="15.75" customHeight="1" x14ac:dyDescent="0.25">
      <c r="R38" s="3"/>
      <c r="S38" s="3"/>
      <c r="T38" s="3"/>
      <c r="U38" s="3"/>
    </row>
    <row r="39" spans="18:21" ht="15.75" customHeight="1" x14ac:dyDescent="0.25">
      <c r="R39" s="3"/>
      <c r="S39" s="3"/>
      <c r="T39" s="3"/>
      <c r="U39" s="3"/>
    </row>
    <row r="40" spans="18:21" ht="15.75" customHeight="1" x14ac:dyDescent="0.25">
      <c r="R40" s="3"/>
      <c r="S40" s="3"/>
      <c r="T40" s="3"/>
      <c r="U40" s="3"/>
    </row>
    <row r="41" spans="18:21" ht="15.75" customHeight="1" x14ac:dyDescent="0.25">
      <c r="R41" s="3"/>
      <c r="S41" s="3"/>
      <c r="T41" s="3"/>
      <c r="U41" s="3"/>
    </row>
    <row r="42" spans="18:21" ht="15.75" customHeight="1" x14ac:dyDescent="0.25">
      <c r="R42" s="3"/>
      <c r="S42" s="3"/>
      <c r="T42" s="3"/>
      <c r="U42" s="3"/>
    </row>
    <row r="43" spans="18:21" ht="15.75" customHeight="1" x14ac:dyDescent="0.25">
      <c r="R43" s="3"/>
      <c r="S43" s="3"/>
      <c r="T43" s="3"/>
      <c r="U43" s="3"/>
    </row>
    <row r="44" spans="18:21" ht="15.75" customHeight="1" x14ac:dyDescent="0.25">
      <c r="R44" s="3"/>
      <c r="S44" s="3"/>
      <c r="T44" s="3"/>
      <c r="U44" s="3"/>
    </row>
    <row r="45" spans="18:21" ht="15.75" customHeight="1" x14ac:dyDescent="0.25">
      <c r="R45" s="3"/>
      <c r="S45" s="3"/>
      <c r="T45" s="3"/>
      <c r="U45" s="3"/>
    </row>
    <row r="46" spans="18:21" ht="15.75" customHeight="1" x14ac:dyDescent="0.25">
      <c r="R46" s="3"/>
      <c r="S46" s="3"/>
      <c r="T46" s="3"/>
      <c r="U46" s="3"/>
    </row>
    <row r="47" spans="18:21" ht="15.75" customHeight="1" x14ac:dyDescent="0.25">
      <c r="R47" s="3"/>
      <c r="S47" s="3"/>
      <c r="T47" s="3"/>
      <c r="U47" s="3"/>
    </row>
    <row r="48" spans="18:21" ht="15.75" customHeight="1" x14ac:dyDescent="0.25">
      <c r="R48" s="3"/>
      <c r="S48" s="3"/>
      <c r="T48" s="3"/>
      <c r="U48" s="3"/>
    </row>
    <row r="49" spans="18:21" ht="15.75" customHeight="1" x14ac:dyDescent="0.25">
      <c r="R49" s="3"/>
      <c r="S49" s="3"/>
      <c r="T49" s="3"/>
      <c r="U49" s="3"/>
    </row>
    <row r="50" spans="18:21" ht="15.75" customHeight="1" x14ac:dyDescent="0.25">
      <c r="R50" s="3"/>
      <c r="S50" s="3"/>
      <c r="T50" s="3"/>
      <c r="U50" s="3"/>
    </row>
    <row r="51" spans="18:21" ht="15.75" customHeight="1" x14ac:dyDescent="0.25">
      <c r="R51" s="3"/>
      <c r="S51" s="3"/>
      <c r="T51" s="3"/>
      <c r="U51" s="3"/>
    </row>
    <row r="52" spans="18:21" ht="15.75" customHeight="1" x14ac:dyDescent="0.25">
      <c r="R52" s="3"/>
      <c r="S52" s="3"/>
      <c r="T52" s="3"/>
      <c r="U52" s="3"/>
    </row>
    <row r="53" spans="18:21" ht="15.75" customHeight="1" x14ac:dyDescent="0.25">
      <c r="R53" s="3"/>
      <c r="S53" s="3"/>
      <c r="T53" s="3"/>
      <c r="U53" s="3"/>
    </row>
    <row r="54" spans="18:21" ht="15.75" customHeight="1" x14ac:dyDescent="0.25">
      <c r="R54" s="3"/>
      <c r="S54" s="3"/>
      <c r="T54" s="3"/>
      <c r="U54" s="3"/>
    </row>
    <row r="55" spans="18:21" ht="15.75" customHeight="1" x14ac:dyDescent="0.25">
      <c r="R55" s="3"/>
      <c r="S55" s="3"/>
      <c r="T55" s="3"/>
      <c r="U55" s="3"/>
    </row>
    <row r="56" spans="18:21" ht="15.75" customHeight="1" x14ac:dyDescent="0.25">
      <c r="R56" s="3"/>
      <c r="S56" s="3"/>
      <c r="T56" s="3"/>
      <c r="U56" s="3"/>
    </row>
    <row r="57" spans="18:21" ht="15.75" customHeight="1" x14ac:dyDescent="0.25">
      <c r="R57" s="3"/>
      <c r="S57" s="3"/>
      <c r="T57" s="3"/>
      <c r="U57" s="3"/>
    </row>
    <row r="58" spans="18:21" ht="15.75" customHeight="1" x14ac:dyDescent="0.25">
      <c r="R58" s="3"/>
      <c r="S58" s="3"/>
      <c r="T58" s="3"/>
      <c r="U58" s="3"/>
    </row>
    <row r="59" spans="18:21" ht="15.75" customHeight="1" x14ac:dyDescent="0.25">
      <c r="R59" s="3"/>
      <c r="S59" s="3"/>
      <c r="T59" s="3"/>
      <c r="U59" s="3"/>
    </row>
    <row r="60" spans="18:21" ht="15.75" customHeight="1" x14ac:dyDescent="0.25">
      <c r="R60" s="3"/>
      <c r="S60" s="3"/>
      <c r="T60" s="3"/>
      <c r="U60" s="3"/>
    </row>
    <row r="61" spans="18:21" ht="15.75" customHeight="1" x14ac:dyDescent="0.25">
      <c r="R61" s="3"/>
      <c r="S61" s="3"/>
      <c r="T61" s="3"/>
      <c r="U61" s="3"/>
    </row>
    <row r="62" spans="18:21" ht="15.75" customHeight="1" x14ac:dyDescent="0.25">
      <c r="R62" s="3"/>
      <c r="S62" s="3"/>
      <c r="T62" s="3"/>
      <c r="U62" s="3"/>
    </row>
    <row r="63" spans="18:21" ht="15.75" customHeight="1" x14ac:dyDescent="0.25">
      <c r="R63" s="3"/>
      <c r="S63" s="3"/>
      <c r="T63" s="3"/>
      <c r="U63" s="3"/>
    </row>
    <row r="64" spans="18:21" ht="15.75" customHeight="1" x14ac:dyDescent="0.25">
      <c r="R64" s="3"/>
      <c r="S64" s="3"/>
      <c r="T64" s="3"/>
      <c r="U64" s="3"/>
    </row>
    <row r="65" spans="18:21" ht="15.75" customHeight="1" x14ac:dyDescent="0.25">
      <c r="R65" s="3"/>
      <c r="S65" s="3"/>
      <c r="T65" s="3"/>
      <c r="U65" s="3"/>
    </row>
    <row r="66" spans="18:21" ht="15.75" customHeight="1" x14ac:dyDescent="0.25">
      <c r="R66" s="3"/>
      <c r="S66" s="3"/>
      <c r="T66" s="3"/>
      <c r="U66" s="3"/>
    </row>
    <row r="67" spans="18:21" ht="15.75" customHeight="1" x14ac:dyDescent="0.25">
      <c r="R67" s="3"/>
      <c r="S67" s="3"/>
      <c r="T67" s="3"/>
      <c r="U67" s="3"/>
    </row>
    <row r="68" spans="18:21" ht="15.75" customHeight="1" x14ac:dyDescent="0.25">
      <c r="R68" s="3"/>
      <c r="S68" s="3"/>
      <c r="T68" s="3"/>
      <c r="U68" s="3"/>
    </row>
    <row r="69" spans="18:21" ht="15.75" customHeight="1" x14ac:dyDescent="0.25">
      <c r="R69" s="3"/>
      <c r="S69" s="3"/>
      <c r="T69" s="3"/>
      <c r="U69" s="3"/>
    </row>
    <row r="70" spans="18:21" ht="15.75" customHeight="1" x14ac:dyDescent="0.25">
      <c r="R70" s="3"/>
      <c r="S70" s="3"/>
      <c r="T70" s="3"/>
      <c r="U70" s="3"/>
    </row>
    <row r="71" spans="18:21" ht="15.75" customHeight="1" x14ac:dyDescent="0.25">
      <c r="R71" s="3"/>
      <c r="S71" s="3"/>
      <c r="T71" s="3"/>
      <c r="U71" s="3"/>
    </row>
    <row r="72" spans="18:21" ht="15.75" customHeight="1" x14ac:dyDescent="0.25">
      <c r="R72" s="3"/>
      <c r="S72" s="3"/>
      <c r="T72" s="3"/>
      <c r="U72" s="3"/>
    </row>
    <row r="73" spans="18:21" ht="15.75" customHeight="1" x14ac:dyDescent="0.25">
      <c r="R73" s="3"/>
      <c r="S73" s="3"/>
      <c r="T73" s="3"/>
      <c r="U73" s="3"/>
    </row>
    <row r="74" spans="18:21" ht="15.75" customHeight="1" x14ac:dyDescent="0.25">
      <c r="R74" s="3"/>
      <c r="S74" s="3"/>
      <c r="T74" s="3"/>
      <c r="U74" s="3"/>
    </row>
    <row r="75" spans="18:21" ht="15.75" customHeight="1" x14ac:dyDescent="0.25">
      <c r="R75" s="3"/>
      <c r="S75" s="3"/>
      <c r="T75" s="3"/>
      <c r="U75" s="3"/>
    </row>
    <row r="76" spans="18:21" ht="15.75" customHeight="1" x14ac:dyDescent="0.25">
      <c r="R76" s="3"/>
      <c r="S76" s="3"/>
      <c r="T76" s="3"/>
      <c r="U76" s="3"/>
    </row>
    <row r="77" spans="18:21" ht="15.75" customHeight="1" x14ac:dyDescent="0.25">
      <c r="R77" s="3"/>
      <c r="S77" s="3"/>
      <c r="T77" s="3"/>
      <c r="U77" s="3"/>
    </row>
    <row r="78" spans="18:21" ht="15.75" customHeight="1" x14ac:dyDescent="0.25">
      <c r="R78" s="3"/>
      <c r="S78" s="3"/>
      <c r="T78" s="3"/>
      <c r="U78" s="3"/>
    </row>
    <row r="79" spans="18:21" ht="15.75" customHeight="1" x14ac:dyDescent="0.25">
      <c r="R79" s="3"/>
      <c r="S79" s="3"/>
      <c r="T79" s="3"/>
      <c r="U79" s="3"/>
    </row>
    <row r="80" spans="18:21" ht="15.75" customHeight="1" x14ac:dyDescent="0.25">
      <c r="R80" s="3"/>
      <c r="S80" s="3"/>
      <c r="T80" s="3"/>
      <c r="U80" s="3"/>
    </row>
    <row r="81" spans="18:21" ht="15.75" customHeight="1" x14ac:dyDescent="0.25">
      <c r="R81" s="3"/>
      <c r="S81" s="3"/>
      <c r="T81" s="3"/>
      <c r="U81" s="3"/>
    </row>
    <row r="82" spans="18:21" ht="15.75" customHeight="1" x14ac:dyDescent="0.25">
      <c r="R82" s="3"/>
      <c r="S82" s="3"/>
      <c r="T82" s="3"/>
      <c r="U82" s="3"/>
    </row>
    <row r="83" spans="18:21" ht="15.75" customHeight="1" x14ac:dyDescent="0.25">
      <c r="R83" s="3"/>
      <c r="S83" s="3"/>
      <c r="T83" s="3"/>
      <c r="U83" s="3"/>
    </row>
    <row r="84" spans="18:21" ht="15.75" customHeight="1" x14ac:dyDescent="0.25">
      <c r="R84" s="3"/>
      <c r="S84" s="3"/>
      <c r="T84" s="3"/>
      <c r="U84" s="3"/>
    </row>
    <row r="85" spans="18:21" ht="15.75" customHeight="1" x14ac:dyDescent="0.25">
      <c r="R85" s="3"/>
      <c r="S85" s="3"/>
      <c r="T85" s="3"/>
      <c r="U85" s="3"/>
    </row>
    <row r="86" spans="18:21" ht="15.75" customHeight="1" x14ac:dyDescent="0.25">
      <c r="R86" s="3"/>
      <c r="S86" s="3"/>
      <c r="T86" s="3"/>
      <c r="U86" s="3"/>
    </row>
    <row r="87" spans="18:21" ht="15.75" customHeight="1" x14ac:dyDescent="0.25">
      <c r="R87" s="3"/>
      <c r="S87" s="3"/>
      <c r="T87" s="3"/>
      <c r="U87" s="3"/>
    </row>
    <row r="88" spans="18:21" ht="15.75" customHeight="1" x14ac:dyDescent="0.25">
      <c r="R88" s="3"/>
      <c r="S88" s="3"/>
      <c r="T88" s="3"/>
      <c r="U88" s="3"/>
    </row>
    <row r="89" spans="18:21" ht="15.75" customHeight="1" x14ac:dyDescent="0.25">
      <c r="R89" s="3"/>
      <c r="S89" s="3"/>
      <c r="T89" s="3"/>
      <c r="U89" s="3"/>
    </row>
    <row r="90" spans="18:21" ht="15.75" customHeight="1" x14ac:dyDescent="0.25">
      <c r="R90" s="3"/>
      <c r="S90" s="3"/>
      <c r="T90" s="3"/>
      <c r="U90" s="3"/>
    </row>
    <row r="91" spans="18:21" ht="15.75" customHeight="1" x14ac:dyDescent="0.25">
      <c r="R91" s="3"/>
      <c r="S91" s="3"/>
      <c r="T91" s="3"/>
      <c r="U91" s="3"/>
    </row>
    <row r="92" spans="18:21" ht="15.75" customHeight="1" x14ac:dyDescent="0.25">
      <c r="R92" s="3"/>
      <c r="S92" s="3"/>
      <c r="T92" s="3"/>
      <c r="U92" s="3"/>
    </row>
    <row r="93" spans="18:21" ht="15.75" customHeight="1" x14ac:dyDescent="0.25">
      <c r="R93" s="3"/>
      <c r="S93" s="3"/>
      <c r="T93" s="3"/>
      <c r="U93" s="3"/>
    </row>
    <row r="94" spans="18:21" ht="15.75" customHeight="1" x14ac:dyDescent="0.25">
      <c r="R94" s="3"/>
      <c r="S94" s="3"/>
      <c r="T94" s="3"/>
      <c r="U94" s="3"/>
    </row>
    <row r="95" spans="18:21" ht="15.75" customHeight="1" x14ac:dyDescent="0.25">
      <c r="R95" s="3"/>
      <c r="S95" s="3"/>
      <c r="T95" s="3"/>
      <c r="U95" s="3"/>
    </row>
    <row r="96" spans="18:21" ht="15.75" customHeight="1" x14ac:dyDescent="0.25">
      <c r="R96" s="3"/>
      <c r="S96" s="3"/>
      <c r="T96" s="3"/>
      <c r="U96" s="3"/>
    </row>
    <row r="97" spans="18:21" ht="15.75" customHeight="1" x14ac:dyDescent="0.25">
      <c r="R97" s="3"/>
      <c r="S97" s="3"/>
      <c r="T97" s="3"/>
      <c r="U97" s="3"/>
    </row>
    <row r="98" spans="18:21" ht="15.75" customHeight="1" x14ac:dyDescent="0.25">
      <c r="R98" s="3"/>
      <c r="S98" s="3"/>
      <c r="T98" s="3"/>
      <c r="U98" s="3"/>
    </row>
    <row r="99" spans="18:21" ht="15.75" customHeight="1" x14ac:dyDescent="0.25">
      <c r="R99" s="3"/>
      <c r="S99" s="3"/>
      <c r="T99" s="3"/>
      <c r="U99" s="3"/>
    </row>
    <row r="100" spans="18:21" ht="15.75" customHeight="1" x14ac:dyDescent="0.25">
      <c r="R100" s="3"/>
      <c r="S100" s="3"/>
      <c r="T100" s="3"/>
      <c r="U100" s="3"/>
    </row>
    <row r="101" spans="18:21" ht="15.75" customHeight="1" x14ac:dyDescent="0.25">
      <c r="R101" s="3"/>
      <c r="S101" s="3"/>
      <c r="T101" s="3"/>
      <c r="U101" s="3"/>
    </row>
    <row r="102" spans="18:21" ht="15.75" customHeight="1" x14ac:dyDescent="0.25">
      <c r="R102" s="3"/>
      <c r="S102" s="3"/>
      <c r="T102" s="3"/>
      <c r="U102" s="3"/>
    </row>
    <row r="103" spans="18:21" ht="15.75" customHeight="1" x14ac:dyDescent="0.25">
      <c r="R103" s="3"/>
      <c r="S103" s="3"/>
      <c r="T103" s="3"/>
      <c r="U103" s="3"/>
    </row>
    <row r="104" spans="18:21" ht="15.75" customHeight="1" x14ac:dyDescent="0.25">
      <c r="R104" s="3"/>
      <c r="S104" s="3"/>
      <c r="T104" s="3"/>
      <c r="U104" s="3"/>
    </row>
    <row r="105" spans="18:21" ht="15.75" customHeight="1" x14ac:dyDescent="0.25">
      <c r="R105" s="3"/>
      <c r="S105" s="3"/>
      <c r="T105" s="3"/>
      <c r="U105" s="3"/>
    </row>
    <row r="106" spans="18:21" ht="15.75" customHeight="1" x14ac:dyDescent="0.25">
      <c r="R106" s="3"/>
      <c r="S106" s="3"/>
      <c r="T106" s="3"/>
      <c r="U106" s="3"/>
    </row>
    <row r="107" spans="18:21" ht="15.75" customHeight="1" x14ac:dyDescent="0.25">
      <c r="R107" s="3"/>
      <c r="S107" s="3"/>
      <c r="T107" s="3"/>
      <c r="U107" s="3"/>
    </row>
    <row r="108" spans="18:21" ht="15.75" customHeight="1" x14ac:dyDescent="0.25">
      <c r="R108" s="3"/>
      <c r="S108" s="3"/>
      <c r="T108" s="3"/>
      <c r="U108" s="3"/>
    </row>
    <row r="109" spans="18:21" ht="15.75" customHeight="1" x14ac:dyDescent="0.25">
      <c r="R109" s="3"/>
      <c r="S109" s="3"/>
      <c r="T109" s="3"/>
      <c r="U109" s="3"/>
    </row>
    <row r="110" spans="18:21" ht="15.75" customHeight="1" x14ac:dyDescent="0.25">
      <c r="R110" s="3"/>
      <c r="S110" s="3"/>
      <c r="T110" s="3"/>
      <c r="U110" s="3"/>
    </row>
    <row r="111" spans="18:21" ht="15.75" customHeight="1" x14ac:dyDescent="0.25">
      <c r="R111" s="3"/>
      <c r="S111" s="3"/>
      <c r="T111" s="3"/>
      <c r="U111" s="3"/>
    </row>
    <row r="112" spans="18:21" ht="15.75" customHeight="1" x14ac:dyDescent="0.25">
      <c r="R112" s="3"/>
      <c r="S112" s="3"/>
      <c r="T112" s="3"/>
      <c r="U112" s="3"/>
    </row>
    <row r="113" spans="18:21" ht="15.75" customHeight="1" x14ac:dyDescent="0.25">
      <c r="R113" s="3"/>
      <c r="S113" s="3"/>
      <c r="T113" s="3"/>
      <c r="U113" s="3"/>
    </row>
    <row r="114" spans="18:21" ht="15.75" customHeight="1" x14ac:dyDescent="0.25">
      <c r="R114" s="3"/>
      <c r="S114" s="3"/>
      <c r="T114" s="3"/>
      <c r="U114" s="3"/>
    </row>
    <row r="115" spans="18:21" ht="15.75" customHeight="1" x14ac:dyDescent="0.25">
      <c r="R115" s="3"/>
      <c r="S115" s="3"/>
      <c r="T115" s="3"/>
      <c r="U115" s="3"/>
    </row>
    <row r="116" spans="18:21" ht="15.75" customHeight="1" x14ac:dyDescent="0.25">
      <c r="R116" s="3"/>
      <c r="S116" s="3"/>
      <c r="T116" s="3"/>
      <c r="U116" s="3"/>
    </row>
    <row r="117" spans="18:21" ht="15.75" customHeight="1" x14ac:dyDescent="0.25">
      <c r="R117" s="3"/>
      <c r="S117" s="3"/>
      <c r="T117" s="3"/>
      <c r="U117" s="3"/>
    </row>
    <row r="118" spans="18:21" ht="15.75" customHeight="1" x14ac:dyDescent="0.25">
      <c r="R118" s="3"/>
      <c r="S118" s="3"/>
      <c r="T118" s="3"/>
      <c r="U118" s="3"/>
    </row>
    <row r="119" spans="18:21" ht="15.75" customHeight="1" x14ac:dyDescent="0.25">
      <c r="R119" s="3"/>
      <c r="S119" s="3"/>
      <c r="T119" s="3"/>
      <c r="U119" s="3"/>
    </row>
    <row r="120" spans="18:21" ht="15.75" customHeight="1" x14ac:dyDescent="0.25">
      <c r="R120" s="3"/>
      <c r="S120" s="3"/>
      <c r="T120" s="3"/>
      <c r="U120" s="3"/>
    </row>
    <row r="121" spans="18:21" ht="15.75" customHeight="1" x14ac:dyDescent="0.25">
      <c r="R121" s="3"/>
      <c r="S121" s="3"/>
      <c r="T121" s="3"/>
      <c r="U121" s="3"/>
    </row>
    <row r="122" spans="18:21" ht="15.75" customHeight="1" x14ac:dyDescent="0.25">
      <c r="R122" s="3"/>
      <c r="S122" s="3"/>
      <c r="T122" s="3"/>
      <c r="U122" s="3"/>
    </row>
    <row r="123" spans="18:21" ht="15.75" customHeight="1" x14ac:dyDescent="0.25">
      <c r="R123" s="3"/>
      <c r="S123" s="3"/>
      <c r="T123" s="3"/>
      <c r="U123" s="3"/>
    </row>
    <row r="124" spans="18:21" ht="15.75" customHeight="1" x14ac:dyDescent="0.25">
      <c r="R124" s="3"/>
      <c r="S124" s="3"/>
      <c r="T124" s="3"/>
      <c r="U124" s="3"/>
    </row>
    <row r="125" spans="18:21" ht="15.75" customHeight="1" x14ac:dyDescent="0.25">
      <c r="R125" s="3"/>
      <c r="S125" s="3"/>
      <c r="T125" s="3"/>
      <c r="U125" s="3"/>
    </row>
    <row r="126" spans="18:21" ht="15.75" customHeight="1" x14ac:dyDescent="0.25">
      <c r="R126" s="3"/>
      <c r="S126" s="3"/>
      <c r="T126" s="3"/>
      <c r="U126" s="3"/>
    </row>
    <row r="127" spans="18:21" ht="15.75" customHeight="1" x14ac:dyDescent="0.25">
      <c r="R127" s="3"/>
      <c r="S127" s="3"/>
      <c r="T127" s="3"/>
      <c r="U127" s="3"/>
    </row>
    <row r="128" spans="18:21" ht="15.75" customHeight="1" x14ac:dyDescent="0.25">
      <c r="R128" s="3"/>
      <c r="S128" s="3"/>
      <c r="T128" s="3"/>
      <c r="U128" s="3"/>
    </row>
    <row r="129" spans="18:21" ht="15.75" customHeight="1" x14ac:dyDescent="0.25">
      <c r="R129" s="3"/>
      <c r="S129" s="3"/>
      <c r="T129" s="3"/>
      <c r="U129" s="3"/>
    </row>
    <row r="130" spans="18:21" ht="15.75" customHeight="1" x14ac:dyDescent="0.25">
      <c r="R130" s="3"/>
      <c r="S130" s="3"/>
      <c r="T130" s="3"/>
      <c r="U130" s="3"/>
    </row>
    <row r="131" spans="18:21" ht="15.75" customHeight="1" x14ac:dyDescent="0.25">
      <c r="R131" s="3"/>
      <c r="S131" s="3"/>
      <c r="T131" s="3"/>
      <c r="U131" s="3"/>
    </row>
    <row r="132" spans="18:21" ht="15.75" customHeight="1" x14ac:dyDescent="0.25">
      <c r="R132" s="3"/>
      <c r="S132" s="3"/>
      <c r="T132" s="3"/>
      <c r="U132" s="3"/>
    </row>
    <row r="133" spans="18:21" ht="15.75" customHeight="1" x14ac:dyDescent="0.25">
      <c r="R133" s="3"/>
      <c r="S133" s="3"/>
      <c r="T133" s="3"/>
      <c r="U133" s="3"/>
    </row>
    <row r="134" spans="18:21" ht="15.75" customHeight="1" x14ac:dyDescent="0.25">
      <c r="R134" s="3"/>
      <c r="S134" s="3"/>
      <c r="T134" s="3"/>
      <c r="U134" s="3"/>
    </row>
    <row r="135" spans="18:21" ht="15.75" customHeight="1" x14ac:dyDescent="0.25">
      <c r="R135" s="3"/>
      <c r="S135" s="3"/>
      <c r="T135" s="3"/>
      <c r="U135" s="3"/>
    </row>
    <row r="136" spans="18:21" ht="15.75" customHeight="1" x14ac:dyDescent="0.25">
      <c r="R136" s="3"/>
      <c r="S136" s="3"/>
      <c r="T136" s="3"/>
      <c r="U136" s="3"/>
    </row>
    <row r="137" spans="18:21" ht="15.75" customHeight="1" x14ac:dyDescent="0.25">
      <c r="R137" s="3"/>
      <c r="S137" s="3"/>
      <c r="T137" s="3"/>
      <c r="U137" s="3"/>
    </row>
    <row r="138" spans="18:21" ht="15.75" customHeight="1" x14ac:dyDescent="0.25">
      <c r="R138" s="3"/>
      <c r="S138" s="3"/>
      <c r="T138" s="3"/>
      <c r="U138" s="3"/>
    </row>
    <row r="139" spans="18:21" ht="15.75" customHeight="1" x14ac:dyDescent="0.25">
      <c r="R139" s="3"/>
      <c r="S139" s="3"/>
      <c r="T139" s="3"/>
      <c r="U139" s="3"/>
    </row>
    <row r="140" spans="18:21" ht="15.75" customHeight="1" x14ac:dyDescent="0.25">
      <c r="R140" s="3"/>
      <c r="S140" s="3"/>
      <c r="T140" s="3"/>
      <c r="U140" s="3"/>
    </row>
    <row r="141" spans="18:21" ht="15.75" customHeight="1" x14ac:dyDescent="0.25">
      <c r="R141" s="3"/>
      <c r="S141" s="3"/>
      <c r="T141" s="3"/>
      <c r="U141" s="3"/>
    </row>
    <row r="142" spans="18:21" ht="15.75" customHeight="1" x14ac:dyDescent="0.25">
      <c r="R142" s="3"/>
      <c r="S142" s="3"/>
      <c r="T142" s="3"/>
      <c r="U142" s="3"/>
    </row>
    <row r="143" spans="18:21" ht="15.75" customHeight="1" x14ac:dyDescent="0.25">
      <c r="R143" s="3"/>
      <c r="S143" s="3"/>
      <c r="T143" s="3"/>
      <c r="U143" s="3"/>
    </row>
    <row r="144" spans="18:21" ht="15.75" customHeight="1" x14ac:dyDescent="0.25">
      <c r="R144" s="3"/>
      <c r="S144" s="3"/>
      <c r="T144" s="3"/>
      <c r="U144" s="3"/>
    </row>
    <row r="145" spans="18:21" ht="15.75" customHeight="1" x14ac:dyDescent="0.25">
      <c r="R145" s="3"/>
      <c r="S145" s="3"/>
      <c r="T145" s="3"/>
      <c r="U145" s="3"/>
    </row>
    <row r="146" spans="18:21" ht="15.75" customHeight="1" x14ac:dyDescent="0.25">
      <c r="R146" s="3"/>
      <c r="S146" s="3"/>
      <c r="T146" s="3"/>
      <c r="U146" s="3"/>
    </row>
    <row r="147" spans="18:21" ht="15.75" customHeight="1" x14ac:dyDescent="0.25">
      <c r="R147" s="3"/>
      <c r="S147" s="3"/>
      <c r="T147" s="3"/>
      <c r="U147" s="3"/>
    </row>
    <row r="148" spans="18:21" ht="15.75" customHeight="1" x14ac:dyDescent="0.25">
      <c r="R148" s="3"/>
      <c r="S148" s="3"/>
      <c r="T148" s="3"/>
      <c r="U148" s="3"/>
    </row>
    <row r="149" spans="18:21" ht="15.75" customHeight="1" x14ac:dyDescent="0.25">
      <c r="R149" s="3"/>
      <c r="S149" s="3"/>
      <c r="T149" s="3"/>
      <c r="U149" s="3"/>
    </row>
    <row r="150" spans="18:21" ht="15.75" customHeight="1" x14ac:dyDescent="0.25">
      <c r="R150" s="3"/>
      <c r="S150" s="3"/>
      <c r="T150" s="3"/>
      <c r="U150" s="3"/>
    </row>
    <row r="151" spans="18:21" ht="15.75" customHeight="1" x14ac:dyDescent="0.25">
      <c r="R151" s="3"/>
      <c r="S151" s="3"/>
      <c r="T151" s="3"/>
      <c r="U151" s="3"/>
    </row>
    <row r="152" spans="18:21" ht="15.75" customHeight="1" x14ac:dyDescent="0.25">
      <c r="R152" s="3"/>
      <c r="S152" s="3"/>
      <c r="T152" s="3"/>
      <c r="U152" s="3"/>
    </row>
    <row r="153" spans="18:21" ht="15.75" customHeight="1" x14ac:dyDescent="0.25">
      <c r="R153" s="3"/>
      <c r="S153" s="3"/>
      <c r="T153" s="3"/>
      <c r="U153" s="3"/>
    </row>
    <row r="154" spans="18:21" ht="15.75" customHeight="1" x14ac:dyDescent="0.25">
      <c r="R154" s="3"/>
      <c r="S154" s="3"/>
      <c r="T154" s="3"/>
      <c r="U154" s="3"/>
    </row>
    <row r="155" spans="18:21" ht="15.75" customHeight="1" x14ac:dyDescent="0.25">
      <c r="R155" s="3"/>
      <c r="S155" s="3"/>
      <c r="T155" s="3"/>
      <c r="U155" s="3"/>
    </row>
    <row r="156" spans="18:21" ht="15.75" customHeight="1" x14ac:dyDescent="0.25">
      <c r="R156" s="3"/>
      <c r="S156" s="3"/>
      <c r="T156" s="3"/>
      <c r="U156" s="3"/>
    </row>
    <row r="157" spans="18:21" ht="15.75" customHeight="1" x14ac:dyDescent="0.25">
      <c r="R157" s="3"/>
      <c r="S157" s="3"/>
      <c r="T157" s="3"/>
      <c r="U157" s="3"/>
    </row>
    <row r="158" spans="18:21" ht="15.75" customHeight="1" x14ac:dyDescent="0.25">
      <c r="R158" s="3"/>
      <c r="S158" s="3"/>
      <c r="T158" s="3"/>
      <c r="U158" s="3"/>
    </row>
    <row r="159" spans="18:21" ht="15.75" customHeight="1" x14ac:dyDescent="0.25">
      <c r="R159" s="3"/>
      <c r="S159" s="3"/>
      <c r="T159" s="3"/>
      <c r="U159" s="3"/>
    </row>
    <row r="160" spans="18:21" ht="15.75" customHeight="1" x14ac:dyDescent="0.25">
      <c r="R160" s="3"/>
      <c r="S160" s="3"/>
      <c r="T160" s="3"/>
      <c r="U160" s="3"/>
    </row>
    <row r="161" spans="18:21" ht="15.75" customHeight="1" x14ac:dyDescent="0.25">
      <c r="R161" s="3"/>
      <c r="S161" s="3"/>
      <c r="T161" s="3"/>
      <c r="U161" s="3"/>
    </row>
    <row r="162" spans="18:21" ht="15.75" customHeight="1" x14ac:dyDescent="0.25">
      <c r="R162" s="3"/>
      <c r="S162" s="3"/>
      <c r="T162" s="3"/>
      <c r="U162" s="3"/>
    </row>
    <row r="163" spans="18:21" ht="15.75" customHeight="1" x14ac:dyDescent="0.25">
      <c r="R163" s="3"/>
      <c r="S163" s="3"/>
      <c r="T163" s="3"/>
      <c r="U163" s="3"/>
    </row>
    <row r="164" spans="18:21" ht="15.75" customHeight="1" x14ac:dyDescent="0.25">
      <c r="R164" s="3"/>
      <c r="S164" s="3"/>
      <c r="T164" s="3"/>
      <c r="U164" s="3"/>
    </row>
    <row r="165" spans="18:21" ht="15.75" customHeight="1" x14ac:dyDescent="0.25">
      <c r="R165" s="3"/>
      <c r="S165" s="3"/>
      <c r="T165" s="3"/>
      <c r="U165" s="3"/>
    </row>
    <row r="166" spans="18:21" ht="15.75" customHeight="1" x14ac:dyDescent="0.25">
      <c r="R166" s="3"/>
      <c r="S166" s="3"/>
      <c r="T166" s="3"/>
      <c r="U166" s="3"/>
    </row>
    <row r="167" spans="18:21" ht="15.75" customHeight="1" x14ac:dyDescent="0.25">
      <c r="R167" s="3"/>
      <c r="S167" s="3"/>
      <c r="T167" s="3"/>
      <c r="U167" s="3"/>
    </row>
    <row r="168" spans="18:21" ht="15.75" customHeight="1" x14ac:dyDescent="0.25">
      <c r="R168" s="3"/>
      <c r="S168" s="3"/>
      <c r="T168" s="3"/>
      <c r="U168" s="3"/>
    </row>
    <row r="169" spans="18:21" ht="15.75" customHeight="1" x14ac:dyDescent="0.25">
      <c r="R169" s="3"/>
      <c r="S169" s="3"/>
      <c r="T169" s="3"/>
      <c r="U169" s="3"/>
    </row>
    <row r="170" spans="18:21" ht="15.75" customHeight="1" x14ac:dyDescent="0.25">
      <c r="R170" s="3"/>
      <c r="S170" s="3"/>
      <c r="T170" s="3"/>
      <c r="U170" s="3"/>
    </row>
    <row r="171" spans="18:21" ht="15.75" customHeight="1" x14ac:dyDescent="0.25">
      <c r="R171" s="3"/>
      <c r="S171" s="3"/>
      <c r="T171" s="3"/>
      <c r="U171" s="3"/>
    </row>
    <row r="172" spans="18:21" ht="15.75" customHeight="1" x14ac:dyDescent="0.25">
      <c r="R172" s="3"/>
      <c r="S172" s="3"/>
      <c r="T172" s="3"/>
      <c r="U172" s="3"/>
    </row>
    <row r="173" spans="18:21" ht="15.75" customHeight="1" x14ac:dyDescent="0.25">
      <c r="R173" s="3"/>
      <c r="S173" s="3"/>
      <c r="T173" s="3"/>
      <c r="U173" s="3"/>
    </row>
    <row r="174" spans="18:21" ht="15.75" customHeight="1" x14ac:dyDescent="0.25">
      <c r="R174" s="3"/>
      <c r="S174" s="3"/>
      <c r="T174" s="3"/>
      <c r="U174" s="3"/>
    </row>
    <row r="175" spans="18:21" ht="15.75" customHeight="1" x14ac:dyDescent="0.25">
      <c r="R175" s="3"/>
      <c r="S175" s="3"/>
      <c r="T175" s="3"/>
      <c r="U175" s="3"/>
    </row>
    <row r="176" spans="18:21" ht="15.75" customHeight="1" x14ac:dyDescent="0.25">
      <c r="R176" s="3"/>
      <c r="S176" s="3"/>
      <c r="T176" s="3"/>
      <c r="U176" s="3"/>
    </row>
    <row r="177" spans="18:21" ht="15.75" customHeight="1" x14ac:dyDescent="0.25">
      <c r="R177" s="3"/>
      <c r="S177" s="3"/>
      <c r="T177" s="3"/>
      <c r="U177" s="3"/>
    </row>
    <row r="178" spans="18:21" ht="15.75" customHeight="1" x14ac:dyDescent="0.25">
      <c r="R178" s="3"/>
      <c r="S178" s="3"/>
      <c r="T178" s="3"/>
      <c r="U178" s="3"/>
    </row>
    <row r="179" spans="18:21" ht="15.75" customHeight="1" x14ac:dyDescent="0.25">
      <c r="R179" s="3"/>
      <c r="S179" s="3"/>
      <c r="T179" s="3"/>
      <c r="U179" s="3"/>
    </row>
    <row r="180" spans="18:21" ht="15.75" customHeight="1" x14ac:dyDescent="0.25">
      <c r="R180" s="3"/>
      <c r="S180" s="3"/>
      <c r="T180" s="3"/>
      <c r="U180" s="3"/>
    </row>
    <row r="181" spans="18:21" ht="15.75" customHeight="1" x14ac:dyDescent="0.25">
      <c r="R181" s="3"/>
      <c r="S181" s="3"/>
      <c r="T181" s="3"/>
      <c r="U181" s="3"/>
    </row>
    <row r="182" spans="18:21" ht="15.75" customHeight="1" x14ac:dyDescent="0.25">
      <c r="R182" s="3"/>
      <c r="S182" s="3"/>
      <c r="T182" s="3"/>
      <c r="U182" s="3"/>
    </row>
    <row r="183" spans="18:21" ht="15.75" customHeight="1" x14ac:dyDescent="0.25">
      <c r="R183" s="3"/>
      <c r="S183" s="3"/>
      <c r="T183" s="3"/>
      <c r="U183" s="3"/>
    </row>
    <row r="184" spans="18:21" ht="15.75" customHeight="1" x14ac:dyDescent="0.25">
      <c r="R184" s="3"/>
      <c r="S184" s="3"/>
      <c r="T184" s="3"/>
      <c r="U184" s="3"/>
    </row>
    <row r="185" spans="18:21" ht="15.75" customHeight="1" x14ac:dyDescent="0.25">
      <c r="R185" s="3"/>
      <c r="S185" s="3"/>
      <c r="T185" s="3"/>
      <c r="U185" s="3"/>
    </row>
    <row r="186" spans="18:21" ht="15.75" customHeight="1" x14ac:dyDescent="0.25">
      <c r="R186" s="3"/>
      <c r="S186" s="3"/>
      <c r="T186" s="3"/>
      <c r="U186" s="3"/>
    </row>
    <row r="187" spans="18:21" ht="15.75" customHeight="1" x14ac:dyDescent="0.25">
      <c r="R187" s="3"/>
      <c r="S187" s="3"/>
      <c r="T187" s="3"/>
      <c r="U187" s="3"/>
    </row>
    <row r="188" spans="18:21" ht="15.75" customHeight="1" x14ac:dyDescent="0.25">
      <c r="R188" s="3"/>
      <c r="S188" s="3"/>
      <c r="T188" s="3"/>
      <c r="U188" s="3"/>
    </row>
    <row r="189" spans="18:21" ht="15.75" customHeight="1" x14ac:dyDescent="0.25">
      <c r="R189" s="3"/>
      <c r="S189" s="3"/>
      <c r="T189" s="3"/>
      <c r="U189" s="3"/>
    </row>
    <row r="190" spans="18:21" ht="15.75" customHeight="1" x14ac:dyDescent="0.25">
      <c r="R190" s="3"/>
      <c r="S190" s="3"/>
      <c r="T190" s="3"/>
      <c r="U190" s="3"/>
    </row>
    <row r="191" spans="18:21" ht="15.75" customHeight="1" x14ac:dyDescent="0.25">
      <c r="R191" s="3"/>
      <c r="S191" s="3"/>
      <c r="T191" s="3"/>
      <c r="U191" s="3"/>
    </row>
    <row r="192" spans="18:21" ht="15.75" customHeight="1" x14ac:dyDescent="0.25">
      <c r="R192" s="3"/>
      <c r="S192" s="3"/>
      <c r="T192" s="3"/>
      <c r="U192" s="3"/>
    </row>
    <row r="193" spans="18:21" ht="15.75" customHeight="1" x14ac:dyDescent="0.25">
      <c r="R193" s="3"/>
      <c r="S193" s="3"/>
      <c r="T193" s="3"/>
      <c r="U193" s="3"/>
    </row>
    <row r="194" spans="18:21" ht="15.75" customHeight="1" x14ac:dyDescent="0.25">
      <c r="R194" s="3"/>
      <c r="S194" s="3"/>
      <c r="T194" s="3"/>
      <c r="U194" s="3"/>
    </row>
    <row r="195" spans="18:21" ht="15.75" customHeight="1" x14ac:dyDescent="0.25">
      <c r="R195" s="3"/>
      <c r="S195" s="3"/>
      <c r="T195" s="3"/>
      <c r="U195" s="3"/>
    </row>
    <row r="196" spans="18:21" ht="15.75" customHeight="1" x14ac:dyDescent="0.25">
      <c r="R196" s="3"/>
      <c r="S196" s="3"/>
      <c r="T196" s="3"/>
      <c r="U196" s="3"/>
    </row>
    <row r="197" spans="18:21" ht="15.75" customHeight="1" x14ac:dyDescent="0.25">
      <c r="R197" s="3"/>
      <c r="S197" s="3"/>
      <c r="T197" s="3"/>
      <c r="U197" s="3"/>
    </row>
    <row r="198" spans="18:21" ht="15.75" customHeight="1" x14ac:dyDescent="0.25">
      <c r="R198" s="3"/>
      <c r="S198" s="3"/>
      <c r="T198" s="3"/>
      <c r="U198" s="3"/>
    </row>
    <row r="199" spans="18:21" ht="15.75" customHeight="1" x14ac:dyDescent="0.25">
      <c r="R199" s="3"/>
      <c r="S199" s="3"/>
      <c r="T199" s="3"/>
      <c r="U199" s="3"/>
    </row>
    <row r="200" spans="18:21" ht="15.75" customHeight="1" x14ac:dyDescent="0.25">
      <c r="R200" s="3"/>
      <c r="S200" s="3"/>
      <c r="T200" s="3"/>
      <c r="U200" s="3"/>
    </row>
    <row r="201" spans="18:21" ht="15.75" customHeight="1" x14ac:dyDescent="0.25">
      <c r="R201" s="3"/>
      <c r="S201" s="3"/>
      <c r="T201" s="3"/>
      <c r="U201" s="3"/>
    </row>
    <row r="202" spans="18:21" ht="15.75" customHeight="1" x14ac:dyDescent="0.25">
      <c r="R202" s="3"/>
      <c r="S202" s="3"/>
      <c r="T202" s="3"/>
      <c r="U202" s="3"/>
    </row>
    <row r="203" spans="18:21" ht="15.75" customHeight="1" x14ac:dyDescent="0.25">
      <c r="R203" s="3"/>
      <c r="S203" s="3"/>
      <c r="T203" s="3"/>
      <c r="U203" s="3"/>
    </row>
    <row r="204" spans="18:21" ht="15.75" customHeight="1" x14ac:dyDescent="0.25">
      <c r="R204" s="3"/>
      <c r="S204" s="3"/>
      <c r="T204" s="3"/>
      <c r="U204" s="3"/>
    </row>
    <row r="205" spans="18:21" ht="15.75" customHeight="1" x14ac:dyDescent="0.25">
      <c r="R205" s="3"/>
      <c r="S205" s="3"/>
      <c r="T205" s="3"/>
      <c r="U205" s="3"/>
    </row>
    <row r="206" spans="18:21" ht="15.75" customHeight="1" x14ac:dyDescent="0.25">
      <c r="R206" s="3"/>
      <c r="S206" s="3"/>
      <c r="T206" s="3"/>
      <c r="U206" s="3"/>
    </row>
    <row r="207" spans="18:21" ht="15.75" customHeight="1" x14ac:dyDescent="0.25">
      <c r="R207" s="3"/>
      <c r="S207" s="3"/>
      <c r="T207" s="3"/>
      <c r="U207" s="3"/>
    </row>
    <row r="208" spans="18:21" ht="15.75" customHeight="1" x14ac:dyDescent="0.25">
      <c r="R208" s="3"/>
      <c r="S208" s="3"/>
      <c r="T208" s="3"/>
      <c r="U208" s="3"/>
    </row>
    <row r="209" spans="18:21" ht="15.75" customHeight="1" x14ac:dyDescent="0.25">
      <c r="R209" s="3"/>
      <c r="S209" s="3"/>
      <c r="T209" s="3"/>
      <c r="U209" s="3"/>
    </row>
    <row r="210" spans="18:21" ht="15.75" customHeight="1" x14ac:dyDescent="0.25">
      <c r="R210" s="3"/>
      <c r="S210" s="3"/>
      <c r="T210" s="3"/>
      <c r="U210" s="3"/>
    </row>
    <row r="211" spans="18:21" ht="15.75" customHeight="1" x14ac:dyDescent="0.25">
      <c r="R211" s="3"/>
      <c r="S211" s="3"/>
      <c r="T211" s="3"/>
      <c r="U211" s="3"/>
    </row>
    <row r="212" spans="18:21" ht="15.75" customHeight="1" x14ac:dyDescent="0.25">
      <c r="R212" s="3"/>
      <c r="S212" s="3"/>
      <c r="T212" s="3"/>
      <c r="U212" s="3"/>
    </row>
    <row r="213" spans="18:21" ht="15.75" customHeight="1" x14ac:dyDescent="0.25">
      <c r="R213" s="3"/>
      <c r="S213" s="3"/>
      <c r="T213" s="3"/>
      <c r="U213" s="3"/>
    </row>
    <row r="214" spans="18:21" ht="15.75" customHeight="1" x14ac:dyDescent="0.25">
      <c r="R214" s="3"/>
      <c r="S214" s="3"/>
      <c r="T214" s="3"/>
      <c r="U214" s="3"/>
    </row>
    <row r="215" spans="18:21" ht="15.75" customHeight="1" x14ac:dyDescent="0.25">
      <c r="R215" s="3"/>
      <c r="S215" s="3"/>
      <c r="T215" s="3"/>
      <c r="U215" s="3"/>
    </row>
    <row r="216" spans="18:21" ht="15.75" customHeight="1" x14ac:dyDescent="0.25">
      <c r="R216" s="3"/>
      <c r="S216" s="3"/>
      <c r="T216" s="3"/>
      <c r="U216" s="3"/>
    </row>
    <row r="217" spans="18:21" ht="15.75" customHeight="1" x14ac:dyDescent="0.25">
      <c r="R217" s="3"/>
      <c r="S217" s="3"/>
      <c r="T217" s="3"/>
      <c r="U217" s="3"/>
    </row>
    <row r="218" spans="18:21" ht="15.75" customHeight="1" x14ac:dyDescent="0.25">
      <c r="R218" s="3"/>
      <c r="S218" s="3"/>
      <c r="T218" s="3"/>
      <c r="U218" s="3"/>
    </row>
    <row r="219" spans="18:21" ht="15.75" customHeight="1" x14ac:dyDescent="0.25">
      <c r="R219" s="3"/>
      <c r="S219" s="3"/>
      <c r="T219" s="3"/>
      <c r="U219" s="3"/>
    </row>
    <row r="220" spans="18:21" ht="15.75" customHeight="1" x14ac:dyDescent="0.25">
      <c r="R220" s="3"/>
      <c r="S220" s="3"/>
      <c r="T220" s="3"/>
      <c r="U220" s="3"/>
    </row>
    <row r="221" spans="18:21" ht="15.75" customHeight="1" x14ac:dyDescent="0.25">
      <c r="R221" s="3"/>
      <c r="S221" s="3"/>
      <c r="T221" s="3"/>
      <c r="U221" s="3"/>
    </row>
    <row r="222" spans="18:21" ht="15.75" customHeight="1" x14ac:dyDescent="0.25">
      <c r="R222" s="3"/>
      <c r="S222" s="3"/>
      <c r="T222" s="3"/>
      <c r="U222" s="3"/>
    </row>
    <row r="223" spans="18:21" ht="15.75" customHeight="1" x14ac:dyDescent="0.25">
      <c r="R223" s="3"/>
      <c r="S223" s="3"/>
      <c r="T223" s="3"/>
      <c r="U223" s="3"/>
    </row>
    <row r="224" spans="18:21" ht="15.75" customHeight="1" x14ac:dyDescent="0.25">
      <c r="R224" s="3"/>
      <c r="S224" s="3"/>
      <c r="T224" s="3"/>
      <c r="U224" s="3"/>
    </row>
    <row r="225" spans="18:21" ht="15.75" customHeight="1" x14ac:dyDescent="0.25">
      <c r="R225" s="3"/>
      <c r="S225" s="3"/>
      <c r="T225" s="3"/>
      <c r="U225" s="3"/>
    </row>
    <row r="226" spans="18:21" ht="15.75" customHeight="1" x14ac:dyDescent="0.25">
      <c r="R226" s="3"/>
      <c r="S226" s="3"/>
      <c r="T226" s="3"/>
      <c r="U226" s="3"/>
    </row>
    <row r="227" spans="18:21" ht="15.75" customHeight="1" x14ac:dyDescent="0.25">
      <c r="R227" s="3"/>
      <c r="S227" s="3"/>
      <c r="T227" s="3"/>
      <c r="U227" s="3"/>
    </row>
    <row r="228" spans="18:21" ht="15.75" customHeight="1" x14ac:dyDescent="0.25">
      <c r="R228" s="3"/>
      <c r="S228" s="3"/>
      <c r="T228" s="3"/>
      <c r="U228" s="3"/>
    </row>
    <row r="229" spans="18:21" ht="15.75" customHeight="1" x14ac:dyDescent="0.25">
      <c r="R229" s="3"/>
      <c r="S229" s="3"/>
      <c r="T229" s="3"/>
      <c r="U229" s="3"/>
    </row>
    <row r="230" spans="18:21" ht="15.75" customHeight="1" x14ac:dyDescent="0.25">
      <c r="R230" s="3"/>
      <c r="S230" s="3"/>
      <c r="T230" s="3"/>
      <c r="U230" s="3"/>
    </row>
    <row r="231" spans="18:21" ht="15.75" customHeight="1" x14ac:dyDescent="0.25">
      <c r="R231" s="3"/>
      <c r="S231" s="3"/>
      <c r="T231" s="3"/>
      <c r="U231" s="3"/>
    </row>
    <row r="232" spans="18:21" ht="15.75" customHeight="1" x14ac:dyDescent="0.25">
      <c r="R232" s="3"/>
      <c r="S232" s="3"/>
      <c r="T232" s="3"/>
      <c r="U232" s="3"/>
    </row>
    <row r="233" spans="18:21" ht="15.75" customHeight="1" x14ac:dyDescent="0.25">
      <c r="R233" s="3"/>
      <c r="S233" s="3"/>
      <c r="T233" s="3"/>
      <c r="U233" s="3"/>
    </row>
    <row r="234" spans="18:21" ht="15.75" customHeight="1" x14ac:dyDescent="0.25">
      <c r="R234" s="3"/>
      <c r="S234" s="3"/>
      <c r="T234" s="3"/>
      <c r="U234" s="3"/>
    </row>
    <row r="235" spans="18:21" ht="15.75" customHeight="1" x14ac:dyDescent="0.25">
      <c r="R235" s="3"/>
      <c r="S235" s="3"/>
      <c r="T235" s="3"/>
      <c r="U235" s="3"/>
    </row>
    <row r="236" spans="18:21" ht="15.75" customHeight="1" x14ac:dyDescent="0.25">
      <c r="R236" s="3"/>
      <c r="S236" s="3"/>
      <c r="T236" s="3"/>
      <c r="U236" s="3"/>
    </row>
    <row r="237" spans="18:21" ht="15.75" customHeight="1" x14ac:dyDescent="0.25">
      <c r="R237" s="3"/>
      <c r="S237" s="3"/>
      <c r="T237" s="3"/>
      <c r="U237" s="3"/>
    </row>
    <row r="238" spans="18:21" ht="15.75" customHeight="1" x14ac:dyDescent="0.25">
      <c r="R238" s="3"/>
      <c r="S238" s="3"/>
      <c r="T238" s="3"/>
      <c r="U238" s="3"/>
    </row>
    <row r="239" spans="18:21" ht="15.75" customHeight="1" x14ac:dyDescent="0.25">
      <c r="R239" s="3"/>
      <c r="S239" s="3"/>
      <c r="T239" s="3"/>
      <c r="U239" s="3"/>
    </row>
    <row r="240" spans="18:21" ht="15.75" customHeight="1" x14ac:dyDescent="0.25">
      <c r="R240" s="3"/>
      <c r="S240" s="3"/>
      <c r="T240" s="3"/>
      <c r="U240" s="3"/>
    </row>
    <row r="241" spans="18:21" ht="15.75" customHeight="1" x14ac:dyDescent="0.25">
      <c r="R241" s="3"/>
      <c r="S241" s="3"/>
      <c r="T241" s="3"/>
      <c r="U241" s="3"/>
    </row>
    <row r="242" spans="18:21" ht="15.75" customHeight="1" x14ac:dyDescent="0.25">
      <c r="R242" s="3"/>
      <c r="S242" s="3"/>
      <c r="T242" s="3"/>
      <c r="U242" s="3"/>
    </row>
    <row r="243" spans="18:21" ht="15.75" customHeight="1" x14ac:dyDescent="0.25">
      <c r="R243" s="3"/>
      <c r="S243" s="3"/>
      <c r="T243" s="3"/>
      <c r="U243" s="3"/>
    </row>
    <row r="244" spans="18:21" ht="15.75" customHeight="1" x14ac:dyDescent="0.25">
      <c r="R244" s="3"/>
      <c r="S244" s="3"/>
      <c r="T244" s="3"/>
      <c r="U244" s="3"/>
    </row>
    <row r="245" spans="18:21" ht="15.75" customHeight="1" x14ac:dyDescent="0.25">
      <c r="R245" s="3"/>
      <c r="S245" s="3"/>
      <c r="T245" s="3"/>
      <c r="U245" s="3"/>
    </row>
    <row r="246" spans="18:21" ht="15.75" customHeight="1" x14ac:dyDescent="0.25">
      <c r="R246" s="3"/>
      <c r="S246" s="3"/>
      <c r="T246" s="3"/>
      <c r="U246" s="3"/>
    </row>
    <row r="247" spans="18:21" ht="15.75" customHeight="1" x14ac:dyDescent="0.25">
      <c r="R247" s="3"/>
      <c r="S247" s="3"/>
      <c r="T247" s="3"/>
      <c r="U247" s="3"/>
    </row>
    <row r="248" spans="18:21" ht="15.75" customHeight="1" x14ac:dyDescent="0.25">
      <c r="R248" s="3"/>
      <c r="S248" s="3"/>
      <c r="T248" s="3"/>
      <c r="U248" s="3"/>
    </row>
    <row r="249" spans="18:21" ht="15.75" customHeight="1" x14ac:dyDescent="0.25">
      <c r="R249" s="3"/>
      <c r="S249" s="3"/>
      <c r="T249" s="3"/>
      <c r="U249" s="3"/>
    </row>
    <row r="250" spans="18:21" ht="15.75" customHeight="1" x14ac:dyDescent="0.25">
      <c r="R250" s="3"/>
      <c r="S250" s="3"/>
      <c r="T250" s="3"/>
      <c r="U250" s="3"/>
    </row>
    <row r="251" spans="18:21" ht="15.75" customHeight="1" x14ac:dyDescent="0.25">
      <c r="R251" s="3"/>
      <c r="S251" s="3"/>
      <c r="T251" s="3"/>
      <c r="U251" s="3"/>
    </row>
    <row r="252" spans="18:21" ht="15.75" customHeight="1" x14ac:dyDescent="0.25">
      <c r="R252" s="3"/>
      <c r="S252" s="3"/>
      <c r="T252" s="3"/>
      <c r="U252" s="3"/>
    </row>
    <row r="253" spans="18:21" ht="15.75" customHeight="1" x14ac:dyDescent="0.25">
      <c r="R253" s="3"/>
      <c r="S253" s="3"/>
      <c r="T253" s="3"/>
      <c r="U253" s="3"/>
    </row>
    <row r="254" spans="18:21" ht="15.75" customHeight="1" x14ac:dyDescent="0.25">
      <c r="R254" s="3"/>
      <c r="S254" s="3"/>
      <c r="T254" s="3"/>
      <c r="U254" s="3"/>
    </row>
    <row r="255" spans="18:21" ht="15.75" customHeight="1" x14ac:dyDescent="0.25">
      <c r="R255" s="3"/>
      <c r="S255" s="3"/>
      <c r="T255" s="3"/>
      <c r="U255" s="3"/>
    </row>
    <row r="256" spans="18:21" ht="15.75" customHeight="1" x14ac:dyDescent="0.25">
      <c r="R256" s="3"/>
      <c r="S256" s="3"/>
      <c r="T256" s="3"/>
      <c r="U256" s="3"/>
    </row>
    <row r="257" spans="18:21" ht="15.75" customHeight="1" x14ac:dyDescent="0.25">
      <c r="R257" s="3"/>
      <c r="S257" s="3"/>
      <c r="T257" s="3"/>
      <c r="U257" s="3"/>
    </row>
    <row r="258" spans="18:21" ht="15.75" customHeight="1" x14ac:dyDescent="0.25">
      <c r="R258" s="3"/>
      <c r="S258" s="3"/>
      <c r="T258" s="3"/>
      <c r="U258" s="3"/>
    </row>
    <row r="259" spans="18:21" ht="15.75" customHeight="1" x14ac:dyDescent="0.25">
      <c r="R259" s="3"/>
      <c r="S259" s="3"/>
      <c r="T259" s="3"/>
      <c r="U259" s="3"/>
    </row>
    <row r="260" spans="18:21" ht="15.75" customHeight="1" x14ac:dyDescent="0.25">
      <c r="R260" s="3"/>
      <c r="S260" s="3"/>
      <c r="T260" s="3"/>
      <c r="U260" s="3"/>
    </row>
    <row r="261" spans="18:21" ht="15.75" customHeight="1" x14ac:dyDescent="0.25">
      <c r="R261" s="3"/>
      <c r="S261" s="3"/>
      <c r="T261" s="3"/>
      <c r="U261" s="3"/>
    </row>
    <row r="262" spans="18:21" ht="15.75" customHeight="1" x14ac:dyDescent="0.25">
      <c r="R262" s="3"/>
      <c r="S262" s="3"/>
      <c r="T262" s="3"/>
      <c r="U262" s="3"/>
    </row>
    <row r="263" spans="18:21" ht="15.75" customHeight="1" x14ac:dyDescent="0.25">
      <c r="R263" s="3"/>
      <c r="S263" s="3"/>
      <c r="T263" s="3"/>
      <c r="U263" s="3"/>
    </row>
    <row r="264" spans="18:21" ht="15.75" customHeight="1" x14ac:dyDescent="0.25">
      <c r="R264" s="3"/>
      <c r="S264" s="3"/>
      <c r="T264" s="3"/>
      <c r="U264" s="3"/>
    </row>
    <row r="265" spans="18:21" ht="15.75" customHeight="1" x14ac:dyDescent="0.25">
      <c r="R265" s="3"/>
      <c r="S265" s="3"/>
      <c r="T265" s="3"/>
      <c r="U265" s="3"/>
    </row>
    <row r="266" spans="18:21" ht="15.75" customHeight="1" x14ac:dyDescent="0.25">
      <c r="R266" s="3"/>
      <c r="S266" s="3"/>
      <c r="T266" s="3"/>
      <c r="U266" s="3"/>
    </row>
    <row r="267" spans="18:21" ht="15.75" customHeight="1" x14ac:dyDescent="0.25">
      <c r="R267" s="3"/>
      <c r="S267" s="3"/>
      <c r="T267" s="3"/>
      <c r="U267" s="3"/>
    </row>
    <row r="268" spans="18:21" ht="15.75" customHeight="1" x14ac:dyDescent="0.25">
      <c r="R268" s="3"/>
      <c r="S268" s="3"/>
      <c r="T268" s="3"/>
      <c r="U268" s="3"/>
    </row>
    <row r="269" spans="18:21" ht="15.75" customHeight="1" x14ac:dyDescent="0.25">
      <c r="R269" s="3"/>
      <c r="S269" s="3"/>
      <c r="T269" s="3"/>
      <c r="U269" s="3"/>
    </row>
    <row r="270" spans="18:21" ht="15.75" customHeight="1" x14ac:dyDescent="0.25">
      <c r="R270" s="3"/>
      <c r="S270" s="3"/>
      <c r="T270" s="3"/>
      <c r="U270" s="3"/>
    </row>
    <row r="271" spans="18:21" ht="15.75" customHeight="1" x14ac:dyDescent="0.25">
      <c r="R271" s="3"/>
      <c r="S271" s="3"/>
      <c r="T271" s="3"/>
      <c r="U271" s="3"/>
    </row>
    <row r="272" spans="18:21" ht="15.75" customHeight="1" x14ac:dyDescent="0.25">
      <c r="R272" s="3"/>
      <c r="S272" s="3"/>
      <c r="T272" s="3"/>
      <c r="U272" s="3"/>
    </row>
    <row r="273" spans="18:21" ht="15.75" customHeight="1" x14ac:dyDescent="0.25">
      <c r="R273" s="3"/>
      <c r="S273" s="3"/>
      <c r="T273" s="3"/>
      <c r="U273" s="3"/>
    </row>
    <row r="274" spans="18:21" ht="15.75" customHeight="1" x14ac:dyDescent="0.25">
      <c r="R274" s="3"/>
      <c r="S274" s="3"/>
      <c r="T274" s="3"/>
      <c r="U274" s="3"/>
    </row>
    <row r="275" spans="18:21" ht="15.75" customHeight="1" x14ac:dyDescent="0.25">
      <c r="R275" s="3"/>
      <c r="S275" s="3"/>
      <c r="T275" s="3"/>
      <c r="U275" s="3"/>
    </row>
    <row r="276" spans="18:21" ht="15.75" customHeight="1" x14ac:dyDescent="0.25">
      <c r="R276" s="3"/>
      <c r="S276" s="3"/>
      <c r="T276" s="3"/>
      <c r="U276" s="3"/>
    </row>
    <row r="277" spans="18:21" ht="15.75" customHeight="1" x14ac:dyDescent="0.25">
      <c r="R277" s="3"/>
      <c r="S277" s="3"/>
      <c r="T277" s="3"/>
      <c r="U277" s="3"/>
    </row>
    <row r="278" spans="18:21" ht="15.75" customHeight="1" x14ac:dyDescent="0.25">
      <c r="R278" s="3"/>
      <c r="S278" s="3"/>
      <c r="T278" s="3"/>
      <c r="U278" s="3"/>
    </row>
    <row r="279" spans="18:21" ht="15.75" customHeight="1" x14ac:dyDescent="0.25">
      <c r="R279" s="3"/>
      <c r="S279" s="3"/>
      <c r="T279" s="3"/>
      <c r="U279" s="3"/>
    </row>
    <row r="280" spans="18:21" ht="15.75" customHeight="1" x14ac:dyDescent="0.25">
      <c r="R280" s="3"/>
      <c r="S280" s="3"/>
      <c r="T280" s="3"/>
      <c r="U280" s="3"/>
    </row>
    <row r="281" spans="18:21" ht="15.75" customHeight="1" x14ac:dyDescent="0.25">
      <c r="R281" s="3"/>
      <c r="S281" s="3"/>
      <c r="T281" s="3"/>
      <c r="U281" s="3"/>
    </row>
    <row r="282" spans="18:21" ht="15.75" customHeight="1" x14ac:dyDescent="0.25">
      <c r="R282" s="3"/>
      <c r="S282" s="3"/>
      <c r="T282" s="3"/>
      <c r="U282" s="3"/>
    </row>
    <row r="283" spans="18:21" ht="15.75" customHeight="1" x14ac:dyDescent="0.25">
      <c r="R283" s="3"/>
      <c r="S283" s="3"/>
      <c r="T283" s="3"/>
      <c r="U283" s="3"/>
    </row>
    <row r="284" spans="18:21" ht="15.75" customHeight="1" x14ac:dyDescent="0.25">
      <c r="R284" s="3"/>
      <c r="S284" s="3"/>
      <c r="T284" s="3"/>
      <c r="U284" s="3"/>
    </row>
    <row r="285" spans="18:21" ht="15.75" customHeight="1" x14ac:dyDescent="0.25">
      <c r="R285" s="3"/>
      <c r="S285" s="3"/>
      <c r="T285" s="3"/>
      <c r="U285" s="3"/>
    </row>
    <row r="286" spans="18:21" ht="15.75" customHeight="1" x14ac:dyDescent="0.25">
      <c r="R286" s="3"/>
      <c r="S286" s="3"/>
      <c r="T286" s="3"/>
      <c r="U286" s="3"/>
    </row>
    <row r="287" spans="18:21" ht="15.75" customHeight="1" x14ac:dyDescent="0.25">
      <c r="R287" s="3"/>
      <c r="S287" s="3"/>
      <c r="T287" s="3"/>
      <c r="U287" s="3"/>
    </row>
    <row r="288" spans="18:21" ht="15.75" customHeight="1" x14ac:dyDescent="0.25">
      <c r="R288" s="3"/>
      <c r="S288" s="3"/>
      <c r="T288" s="3"/>
      <c r="U288" s="3"/>
    </row>
    <row r="289" spans="18:21" ht="15.75" customHeight="1" x14ac:dyDescent="0.25">
      <c r="R289" s="3"/>
      <c r="S289" s="3"/>
      <c r="T289" s="3"/>
      <c r="U289" s="3"/>
    </row>
    <row r="290" spans="18:21" ht="15.75" customHeight="1" x14ac:dyDescent="0.25">
      <c r="R290" s="3"/>
      <c r="S290" s="3"/>
      <c r="T290" s="3"/>
      <c r="U290" s="3"/>
    </row>
    <row r="291" spans="18:21" ht="15.75" customHeight="1" x14ac:dyDescent="0.25">
      <c r="R291" s="3"/>
      <c r="S291" s="3"/>
      <c r="T291" s="3"/>
      <c r="U291" s="3"/>
    </row>
    <row r="292" spans="18:21" ht="15.75" customHeight="1" x14ac:dyDescent="0.25">
      <c r="R292" s="3"/>
      <c r="S292" s="3"/>
      <c r="T292" s="3"/>
      <c r="U292" s="3"/>
    </row>
    <row r="293" spans="18:21" ht="15.75" customHeight="1" x14ac:dyDescent="0.25">
      <c r="R293" s="3"/>
      <c r="S293" s="3"/>
      <c r="T293" s="3"/>
      <c r="U293" s="3"/>
    </row>
    <row r="294" spans="18:21" ht="15.75" customHeight="1" x14ac:dyDescent="0.25">
      <c r="R294" s="3"/>
      <c r="S294" s="3"/>
      <c r="T294" s="3"/>
      <c r="U294" s="3"/>
    </row>
    <row r="295" spans="18:21" ht="15.75" customHeight="1" x14ac:dyDescent="0.25">
      <c r="R295" s="3"/>
      <c r="S295" s="3"/>
      <c r="T295" s="3"/>
      <c r="U295" s="3"/>
    </row>
    <row r="296" spans="18:21" ht="15.75" customHeight="1" x14ac:dyDescent="0.25">
      <c r="R296" s="3"/>
      <c r="S296" s="3"/>
      <c r="T296" s="3"/>
      <c r="U296" s="3"/>
    </row>
    <row r="297" spans="18:21" ht="15.75" customHeight="1" x14ac:dyDescent="0.25">
      <c r="R297" s="3"/>
      <c r="S297" s="3"/>
      <c r="T297" s="3"/>
      <c r="U297" s="3"/>
    </row>
    <row r="298" spans="18:21" ht="15.75" customHeight="1" x14ac:dyDescent="0.25">
      <c r="R298" s="3"/>
      <c r="S298" s="3"/>
      <c r="T298" s="3"/>
      <c r="U298" s="3"/>
    </row>
    <row r="299" spans="18:21" ht="15.75" customHeight="1" x14ac:dyDescent="0.25">
      <c r="R299" s="3"/>
      <c r="S299" s="3"/>
      <c r="T299" s="3"/>
      <c r="U299" s="3"/>
    </row>
    <row r="300" spans="18:21" ht="15.75" customHeight="1" x14ac:dyDescent="0.25">
      <c r="R300" s="3"/>
      <c r="S300" s="3"/>
      <c r="T300" s="3"/>
      <c r="U300" s="3"/>
    </row>
    <row r="301" spans="18:21" ht="15.75" customHeight="1" x14ac:dyDescent="0.25">
      <c r="R301" s="3"/>
      <c r="S301" s="3"/>
      <c r="T301" s="3"/>
      <c r="U301" s="3"/>
    </row>
    <row r="302" spans="18:21" ht="15.75" customHeight="1" x14ac:dyDescent="0.25">
      <c r="R302" s="3"/>
      <c r="S302" s="3"/>
      <c r="T302" s="3"/>
      <c r="U302" s="3"/>
    </row>
    <row r="303" spans="18:21" ht="15.75" customHeight="1" x14ac:dyDescent="0.25">
      <c r="R303" s="3"/>
      <c r="S303" s="3"/>
      <c r="T303" s="3"/>
      <c r="U303" s="3"/>
    </row>
    <row r="304" spans="18:21" ht="15.75" customHeight="1" x14ac:dyDescent="0.25">
      <c r="R304" s="3"/>
      <c r="S304" s="3"/>
      <c r="T304" s="3"/>
      <c r="U304" s="3"/>
    </row>
    <row r="305" spans="18:21" ht="15.75" customHeight="1" x14ac:dyDescent="0.25">
      <c r="R305" s="3"/>
      <c r="S305" s="3"/>
      <c r="T305" s="3"/>
      <c r="U305" s="3"/>
    </row>
    <row r="306" spans="18:21" ht="15.75" customHeight="1" x14ac:dyDescent="0.25">
      <c r="R306" s="3"/>
      <c r="S306" s="3"/>
      <c r="T306" s="3"/>
      <c r="U306" s="3"/>
    </row>
    <row r="307" spans="18:21" ht="15.75" customHeight="1" x14ac:dyDescent="0.25">
      <c r="R307" s="3"/>
      <c r="S307" s="3"/>
      <c r="T307" s="3"/>
      <c r="U307" s="3"/>
    </row>
    <row r="308" spans="18:21" ht="15.75" customHeight="1" x14ac:dyDescent="0.25">
      <c r="R308" s="3"/>
      <c r="S308" s="3"/>
      <c r="T308" s="3"/>
      <c r="U308" s="3"/>
    </row>
    <row r="309" spans="18:21" ht="15.75" customHeight="1" x14ac:dyDescent="0.25">
      <c r="R309" s="3"/>
      <c r="S309" s="3"/>
      <c r="T309" s="3"/>
      <c r="U309" s="3"/>
    </row>
    <row r="310" spans="18:21" ht="15.75" customHeight="1" x14ac:dyDescent="0.25">
      <c r="R310" s="3"/>
      <c r="S310" s="3"/>
      <c r="T310" s="3"/>
      <c r="U310" s="3"/>
    </row>
    <row r="311" spans="18:21" ht="15.75" customHeight="1" x14ac:dyDescent="0.25">
      <c r="R311" s="3"/>
      <c r="S311" s="3"/>
      <c r="T311" s="3"/>
      <c r="U311" s="3"/>
    </row>
    <row r="312" spans="18:21" ht="15.75" customHeight="1" x14ac:dyDescent="0.25">
      <c r="R312" s="3"/>
      <c r="S312" s="3"/>
      <c r="T312" s="3"/>
      <c r="U312" s="3"/>
    </row>
    <row r="313" spans="18:21" ht="15.75" customHeight="1" x14ac:dyDescent="0.25">
      <c r="R313" s="3"/>
      <c r="S313" s="3"/>
      <c r="T313" s="3"/>
      <c r="U313" s="3"/>
    </row>
    <row r="314" spans="18:21" ht="15.75" customHeight="1" x14ac:dyDescent="0.25">
      <c r="R314" s="3"/>
      <c r="S314" s="3"/>
      <c r="T314" s="3"/>
      <c r="U314" s="3"/>
    </row>
    <row r="315" spans="18:21" ht="15.75" customHeight="1" x14ac:dyDescent="0.25">
      <c r="R315" s="3"/>
      <c r="S315" s="3"/>
      <c r="T315" s="3"/>
      <c r="U315" s="3"/>
    </row>
    <row r="316" spans="18:21" ht="15.75" customHeight="1" x14ac:dyDescent="0.25">
      <c r="R316" s="3"/>
      <c r="S316" s="3"/>
      <c r="T316" s="3"/>
      <c r="U316" s="3"/>
    </row>
    <row r="317" spans="18:21" ht="15.75" customHeight="1" x14ac:dyDescent="0.25">
      <c r="R317" s="3"/>
      <c r="S317" s="3"/>
      <c r="T317" s="3"/>
      <c r="U317" s="3"/>
    </row>
    <row r="318" spans="18:21" ht="15.75" customHeight="1" x14ac:dyDescent="0.25">
      <c r="R318" s="3"/>
      <c r="S318" s="3"/>
      <c r="T318" s="3"/>
      <c r="U318" s="3"/>
    </row>
    <row r="319" spans="18:21" ht="15.75" customHeight="1" x14ac:dyDescent="0.25">
      <c r="R319" s="3"/>
      <c r="S319" s="3"/>
      <c r="T319" s="3"/>
      <c r="U319" s="3"/>
    </row>
    <row r="320" spans="18:21" ht="15.75" customHeight="1" x14ac:dyDescent="0.25">
      <c r="R320" s="3"/>
      <c r="S320" s="3"/>
      <c r="T320" s="3"/>
      <c r="U320" s="3"/>
    </row>
    <row r="321" spans="18:21" ht="15.75" customHeight="1" x14ac:dyDescent="0.25">
      <c r="R321" s="3"/>
      <c r="S321" s="3"/>
      <c r="T321" s="3"/>
      <c r="U321" s="3"/>
    </row>
    <row r="322" spans="18:21" ht="15.75" customHeight="1" x14ac:dyDescent="0.25">
      <c r="R322" s="3"/>
      <c r="S322" s="3"/>
      <c r="T322" s="3"/>
      <c r="U322" s="3"/>
    </row>
    <row r="323" spans="18:21" ht="15.75" customHeight="1" x14ac:dyDescent="0.25">
      <c r="R323" s="3"/>
      <c r="S323" s="3"/>
      <c r="T323" s="3"/>
      <c r="U323" s="3"/>
    </row>
    <row r="324" spans="18:21" ht="15.75" customHeight="1" x14ac:dyDescent="0.25">
      <c r="R324" s="3"/>
      <c r="S324" s="3"/>
      <c r="T324" s="3"/>
      <c r="U324" s="3"/>
    </row>
    <row r="325" spans="18:21" ht="15.75" customHeight="1" x14ac:dyDescent="0.25">
      <c r="R325" s="3"/>
      <c r="S325" s="3"/>
      <c r="T325" s="3"/>
      <c r="U325" s="3"/>
    </row>
    <row r="326" spans="18:21" ht="15.75" customHeight="1" x14ac:dyDescent="0.25">
      <c r="R326" s="3"/>
      <c r="S326" s="3"/>
      <c r="T326" s="3"/>
      <c r="U326" s="3"/>
    </row>
    <row r="327" spans="18:21" ht="15.75" customHeight="1" x14ac:dyDescent="0.25">
      <c r="R327" s="3"/>
      <c r="S327" s="3"/>
      <c r="T327" s="3"/>
      <c r="U327" s="3"/>
    </row>
    <row r="328" spans="18:21" ht="15.75" customHeight="1" x14ac:dyDescent="0.25">
      <c r="R328" s="3"/>
      <c r="S328" s="3"/>
      <c r="T328" s="3"/>
      <c r="U328" s="3"/>
    </row>
    <row r="329" spans="18:21" ht="15.75" customHeight="1" x14ac:dyDescent="0.25">
      <c r="R329" s="3"/>
      <c r="S329" s="3"/>
      <c r="T329" s="3"/>
      <c r="U329" s="3"/>
    </row>
    <row r="330" spans="18:21" ht="15.75" customHeight="1" x14ac:dyDescent="0.25">
      <c r="R330" s="3"/>
      <c r="S330" s="3"/>
      <c r="T330" s="3"/>
      <c r="U330" s="3"/>
    </row>
    <row r="331" spans="18:21" ht="15.75" customHeight="1" x14ac:dyDescent="0.25">
      <c r="R331" s="3"/>
      <c r="S331" s="3"/>
      <c r="T331" s="3"/>
      <c r="U331" s="3"/>
    </row>
    <row r="332" spans="18:21" ht="15.75" customHeight="1" x14ac:dyDescent="0.25">
      <c r="R332" s="3"/>
      <c r="S332" s="3"/>
      <c r="T332" s="3"/>
      <c r="U332" s="3"/>
    </row>
    <row r="333" spans="18:21" ht="15.75" customHeight="1" x14ac:dyDescent="0.25">
      <c r="R333" s="3"/>
      <c r="S333" s="3"/>
      <c r="T333" s="3"/>
      <c r="U333" s="3"/>
    </row>
    <row r="334" spans="18:21" ht="15.75" customHeight="1" x14ac:dyDescent="0.25">
      <c r="R334" s="3"/>
      <c r="S334" s="3"/>
      <c r="T334" s="3"/>
      <c r="U334" s="3"/>
    </row>
    <row r="335" spans="18:21" ht="15.75" customHeight="1" x14ac:dyDescent="0.25">
      <c r="R335" s="3"/>
      <c r="S335" s="3"/>
      <c r="T335" s="3"/>
      <c r="U335" s="3"/>
    </row>
    <row r="336" spans="18:21" ht="15.75" customHeight="1" x14ac:dyDescent="0.25">
      <c r="R336" s="3"/>
      <c r="S336" s="3"/>
      <c r="T336" s="3"/>
      <c r="U336" s="3"/>
    </row>
    <row r="337" spans="18:21" ht="15.75" customHeight="1" x14ac:dyDescent="0.25">
      <c r="R337" s="3"/>
      <c r="S337" s="3"/>
      <c r="T337" s="3"/>
      <c r="U337" s="3"/>
    </row>
    <row r="338" spans="18:21" ht="15.75" customHeight="1" x14ac:dyDescent="0.25">
      <c r="R338" s="3"/>
      <c r="S338" s="3"/>
      <c r="T338" s="3"/>
      <c r="U338" s="3"/>
    </row>
    <row r="339" spans="18:21" ht="15.75" customHeight="1" x14ac:dyDescent="0.25">
      <c r="R339" s="3"/>
      <c r="S339" s="3"/>
      <c r="T339" s="3"/>
      <c r="U339" s="3"/>
    </row>
    <row r="340" spans="18:21" ht="15.75" customHeight="1" x14ac:dyDescent="0.25">
      <c r="R340" s="3"/>
      <c r="S340" s="3"/>
      <c r="T340" s="3"/>
      <c r="U340" s="3"/>
    </row>
    <row r="341" spans="18:21" ht="15.75" customHeight="1" x14ac:dyDescent="0.25">
      <c r="R341" s="3"/>
      <c r="S341" s="3"/>
      <c r="T341" s="3"/>
      <c r="U341" s="3"/>
    </row>
    <row r="342" spans="18:21" ht="15.75" customHeight="1" x14ac:dyDescent="0.25">
      <c r="R342" s="3"/>
      <c r="S342" s="3"/>
      <c r="T342" s="3"/>
      <c r="U342" s="3"/>
    </row>
    <row r="343" spans="18:21" ht="15.75" customHeight="1" x14ac:dyDescent="0.25">
      <c r="R343" s="3"/>
      <c r="S343" s="3"/>
      <c r="T343" s="3"/>
      <c r="U343" s="3"/>
    </row>
    <row r="344" spans="18:21" ht="15.75" customHeight="1" x14ac:dyDescent="0.25">
      <c r="R344" s="3"/>
      <c r="S344" s="3"/>
      <c r="T344" s="3"/>
      <c r="U344" s="3"/>
    </row>
    <row r="345" spans="18:21" ht="15.75" customHeight="1" x14ac:dyDescent="0.25">
      <c r="R345" s="3"/>
      <c r="S345" s="3"/>
      <c r="T345" s="3"/>
      <c r="U345" s="3"/>
    </row>
    <row r="346" spans="18:21" ht="15.75" customHeight="1" x14ac:dyDescent="0.25">
      <c r="R346" s="3"/>
      <c r="S346" s="3"/>
      <c r="T346" s="3"/>
      <c r="U346" s="3"/>
    </row>
    <row r="347" spans="18:21" ht="15.75" customHeight="1" x14ac:dyDescent="0.25">
      <c r="R347" s="3"/>
      <c r="S347" s="3"/>
      <c r="T347" s="3"/>
      <c r="U347" s="3"/>
    </row>
    <row r="348" spans="18:21" ht="15.75" customHeight="1" x14ac:dyDescent="0.25">
      <c r="R348" s="3"/>
      <c r="S348" s="3"/>
      <c r="T348" s="3"/>
      <c r="U348" s="3"/>
    </row>
    <row r="349" spans="18:21" ht="15.75" customHeight="1" x14ac:dyDescent="0.25">
      <c r="R349" s="3"/>
      <c r="S349" s="3"/>
      <c r="T349" s="3"/>
      <c r="U349" s="3"/>
    </row>
    <row r="350" spans="18:21" ht="15.75" customHeight="1" x14ac:dyDescent="0.25">
      <c r="R350" s="3"/>
      <c r="S350" s="3"/>
      <c r="T350" s="3"/>
      <c r="U350" s="3"/>
    </row>
    <row r="351" spans="18:21" ht="15.75" customHeight="1" x14ac:dyDescent="0.25">
      <c r="R351" s="3"/>
      <c r="S351" s="3"/>
      <c r="T351" s="3"/>
      <c r="U351" s="3"/>
    </row>
    <row r="352" spans="18:21" ht="15.75" customHeight="1" x14ac:dyDescent="0.25">
      <c r="R352" s="3"/>
      <c r="S352" s="3"/>
      <c r="T352" s="3"/>
      <c r="U352" s="3"/>
    </row>
    <row r="353" spans="18:21" ht="15.75" customHeight="1" x14ac:dyDescent="0.25">
      <c r="R353" s="3"/>
      <c r="S353" s="3"/>
      <c r="T353" s="3"/>
      <c r="U353" s="3"/>
    </row>
    <row r="354" spans="18:21" ht="15.75" customHeight="1" x14ac:dyDescent="0.25">
      <c r="R354" s="3"/>
      <c r="S354" s="3"/>
      <c r="T354" s="3"/>
      <c r="U354" s="3"/>
    </row>
    <row r="355" spans="18:21" ht="15.75" customHeight="1" x14ac:dyDescent="0.25">
      <c r="R355" s="3"/>
      <c r="S355" s="3"/>
      <c r="T355" s="3"/>
      <c r="U355" s="3"/>
    </row>
    <row r="356" spans="18:21" ht="15.75" customHeight="1" x14ac:dyDescent="0.25">
      <c r="R356" s="3"/>
      <c r="S356" s="3"/>
      <c r="T356" s="3"/>
      <c r="U356" s="3"/>
    </row>
    <row r="357" spans="18:21" ht="15.75" customHeight="1" x14ac:dyDescent="0.25">
      <c r="R357" s="3"/>
      <c r="S357" s="3"/>
      <c r="T357" s="3"/>
      <c r="U357" s="3"/>
    </row>
    <row r="358" spans="18:21" ht="15.75" customHeight="1" x14ac:dyDescent="0.25">
      <c r="R358" s="3"/>
      <c r="S358" s="3"/>
      <c r="T358" s="3"/>
      <c r="U358" s="3"/>
    </row>
    <row r="359" spans="18:21" ht="15.75" customHeight="1" x14ac:dyDescent="0.25">
      <c r="R359" s="3"/>
      <c r="S359" s="3"/>
      <c r="T359" s="3"/>
      <c r="U359" s="3"/>
    </row>
    <row r="360" spans="18:21" ht="15.75" customHeight="1" x14ac:dyDescent="0.25">
      <c r="R360" s="3"/>
      <c r="S360" s="3"/>
      <c r="T360" s="3"/>
      <c r="U360" s="3"/>
    </row>
    <row r="361" spans="18:21" ht="15.75" customHeight="1" x14ac:dyDescent="0.25">
      <c r="R361" s="3"/>
      <c r="S361" s="3"/>
      <c r="T361" s="3"/>
      <c r="U361" s="3"/>
    </row>
    <row r="362" spans="18:21" ht="15.75" customHeight="1" x14ac:dyDescent="0.25">
      <c r="R362" s="3"/>
      <c r="S362" s="3"/>
      <c r="T362" s="3"/>
      <c r="U362" s="3"/>
    </row>
    <row r="363" spans="18:21" ht="15.75" customHeight="1" x14ac:dyDescent="0.25">
      <c r="R363" s="3"/>
      <c r="S363" s="3"/>
      <c r="T363" s="3"/>
      <c r="U363" s="3"/>
    </row>
    <row r="364" spans="18:21" ht="15.75" customHeight="1" x14ac:dyDescent="0.25">
      <c r="R364" s="3"/>
      <c r="S364" s="3"/>
      <c r="T364" s="3"/>
      <c r="U364" s="3"/>
    </row>
    <row r="365" spans="18:21" ht="15.75" customHeight="1" x14ac:dyDescent="0.25">
      <c r="R365" s="3"/>
      <c r="S365" s="3"/>
      <c r="T365" s="3"/>
      <c r="U365" s="3"/>
    </row>
    <row r="366" spans="18:21" ht="15.75" customHeight="1" x14ac:dyDescent="0.25">
      <c r="R366" s="3"/>
      <c r="S366" s="3"/>
      <c r="T366" s="3"/>
      <c r="U366" s="3"/>
    </row>
    <row r="367" spans="18:21" ht="15.75" customHeight="1" x14ac:dyDescent="0.25">
      <c r="R367" s="3"/>
      <c r="S367" s="3"/>
      <c r="T367" s="3"/>
      <c r="U367" s="3"/>
    </row>
    <row r="368" spans="18:21" ht="15.75" customHeight="1" x14ac:dyDescent="0.25">
      <c r="R368" s="3"/>
      <c r="S368" s="3"/>
      <c r="T368" s="3"/>
      <c r="U368" s="3"/>
    </row>
    <row r="369" spans="18:21" ht="15.75" customHeight="1" x14ac:dyDescent="0.25">
      <c r="R369" s="3"/>
      <c r="S369" s="3"/>
      <c r="T369" s="3"/>
      <c r="U369" s="3"/>
    </row>
    <row r="370" spans="18:21" ht="15.75" customHeight="1" x14ac:dyDescent="0.25">
      <c r="R370" s="3"/>
      <c r="S370" s="3"/>
      <c r="T370" s="3"/>
      <c r="U370" s="3"/>
    </row>
    <row r="371" spans="18:21" ht="15.75" customHeight="1" x14ac:dyDescent="0.25">
      <c r="R371" s="3"/>
      <c r="S371" s="3"/>
      <c r="T371" s="3"/>
      <c r="U371" s="3"/>
    </row>
    <row r="372" spans="18:21" ht="15.75" customHeight="1" x14ac:dyDescent="0.25">
      <c r="R372" s="3"/>
      <c r="S372" s="3"/>
      <c r="T372" s="3"/>
      <c r="U372" s="3"/>
    </row>
    <row r="373" spans="18:21" ht="15.75" customHeight="1" x14ac:dyDescent="0.25">
      <c r="R373" s="3"/>
      <c r="S373" s="3"/>
      <c r="T373" s="3"/>
      <c r="U373" s="3"/>
    </row>
    <row r="374" spans="18:21" ht="15.75" customHeight="1" x14ac:dyDescent="0.25">
      <c r="R374" s="3"/>
      <c r="S374" s="3"/>
      <c r="T374" s="3"/>
      <c r="U374" s="3"/>
    </row>
    <row r="375" spans="18:21" ht="15.75" customHeight="1" x14ac:dyDescent="0.25">
      <c r="R375" s="3"/>
      <c r="S375" s="3"/>
      <c r="T375" s="3"/>
      <c r="U375" s="3"/>
    </row>
    <row r="376" spans="18:21" ht="15.75" customHeight="1" x14ac:dyDescent="0.25">
      <c r="R376" s="3"/>
      <c r="S376" s="3"/>
      <c r="T376" s="3"/>
      <c r="U376" s="3"/>
    </row>
    <row r="377" spans="18:21" ht="15.75" customHeight="1" x14ac:dyDescent="0.25">
      <c r="R377" s="3"/>
      <c r="S377" s="3"/>
      <c r="T377" s="3"/>
      <c r="U377" s="3"/>
    </row>
    <row r="378" spans="18:21" ht="15.75" customHeight="1" x14ac:dyDescent="0.25">
      <c r="R378" s="3"/>
      <c r="S378" s="3"/>
      <c r="T378" s="3"/>
      <c r="U378" s="3"/>
    </row>
    <row r="379" spans="18:21" ht="15.75" customHeight="1" x14ac:dyDescent="0.25">
      <c r="R379" s="3"/>
      <c r="S379" s="3"/>
      <c r="T379" s="3"/>
      <c r="U379" s="3"/>
    </row>
    <row r="380" spans="18:21" ht="15.75" customHeight="1" x14ac:dyDescent="0.25">
      <c r="R380" s="3"/>
      <c r="S380" s="3"/>
      <c r="T380" s="3"/>
      <c r="U380" s="3"/>
    </row>
    <row r="381" spans="18:21" ht="15.75" customHeight="1" x14ac:dyDescent="0.25">
      <c r="R381" s="3"/>
      <c r="S381" s="3"/>
      <c r="T381" s="3"/>
      <c r="U381" s="3"/>
    </row>
    <row r="382" spans="18:21" ht="15.75" customHeight="1" x14ac:dyDescent="0.25">
      <c r="R382" s="3"/>
      <c r="S382" s="3"/>
      <c r="T382" s="3"/>
      <c r="U382" s="3"/>
    </row>
    <row r="383" spans="18:21" ht="15.75" customHeight="1" x14ac:dyDescent="0.25">
      <c r="R383" s="3"/>
      <c r="S383" s="3"/>
      <c r="T383" s="3"/>
      <c r="U383" s="3"/>
    </row>
    <row r="384" spans="18:21" ht="15.75" customHeight="1" x14ac:dyDescent="0.25">
      <c r="R384" s="3"/>
      <c r="S384" s="3"/>
      <c r="T384" s="3"/>
      <c r="U384" s="3"/>
    </row>
    <row r="385" spans="18:21" ht="15.75" customHeight="1" x14ac:dyDescent="0.25">
      <c r="R385" s="3"/>
      <c r="S385" s="3"/>
      <c r="T385" s="3"/>
      <c r="U385" s="3"/>
    </row>
    <row r="386" spans="18:21" ht="15.75" customHeight="1" x14ac:dyDescent="0.25">
      <c r="R386" s="3"/>
      <c r="S386" s="3"/>
      <c r="T386" s="3"/>
      <c r="U386" s="3"/>
    </row>
    <row r="387" spans="18:21" ht="15.75" customHeight="1" x14ac:dyDescent="0.25">
      <c r="R387" s="3"/>
      <c r="S387" s="3"/>
      <c r="T387" s="3"/>
      <c r="U387" s="3"/>
    </row>
    <row r="388" spans="18:21" ht="15.75" customHeight="1" x14ac:dyDescent="0.25">
      <c r="R388" s="3"/>
      <c r="S388" s="3"/>
      <c r="T388" s="3"/>
      <c r="U388" s="3"/>
    </row>
    <row r="389" spans="18:21" ht="15.75" customHeight="1" x14ac:dyDescent="0.25">
      <c r="R389" s="3"/>
      <c r="S389" s="3"/>
      <c r="T389" s="3"/>
      <c r="U389" s="3"/>
    </row>
    <row r="390" spans="18:21" ht="15.75" customHeight="1" x14ac:dyDescent="0.25">
      <c r="R390" s="3"/>
      <c r="S390" s="3"/>
      <c r="T390" s="3"/>
      <c r="U390" s="3"/>
    </row>
    <row r="391" spans="18:21" ht="15.75" customHeight="1" x14ac:dyDescent="0.25">
      <c r="R391" s="3"/>
      <c r="S391" s="3"/>
      <c r="T391" s="3"/>
      <c r="U391" s="3"/>
    </row>
    <row r="392" spans="18:21" ht="15.75" customHeight="1" x14ac:dyDescent="0.25">
      <c r="R392" s="3"/>
      <c r="S392" s="3"/>
      <c r="T392" s="3"/>
      <c r="U392" s="3"/>
    </row>
    <row r="393" spans="18:21" ht="15.75" customHeight="1" x14ac:dyDescent="0.25">
      <c r="R393" s="3"/>
      <c r="S393" s="3"/>
      <c r="T393" s="3"/>
      <c r="U393" s="3"/>
    </row>
    <row r="394" spans="18:21" ht="15.75" customHeight="1" x14ac:dyDescent="0.25">
      <c r="R394" s="3"/>
      <c r="S394" s="3"/>
      <c r="T394" s="3"/>
      <c r="U394" s="3"/>
    </row>
    <row r="395" spans="18:21" ht="15.75" customHeight="1" x14ac:dyDescent="0.25">
      <c r="R395" s="3"/>
      <c r="S395" s="3"/>
      <c r="T395" s="3"/>
      <c r="U395" s="3"/>
    </row>
    <row r="396" spans="18:21" ht="15.75" customHeight="1" x14ac:dyDescent="0.25">
      <c r="R396" s="3"/>
      <c r="S396" s="3"/>
      <c r="T396" s="3"/>
      <c r="U396" s="3"/>
    </row>
    <row r="397" spans="18:21" ht="15.75" customHeight="1" x14ac:dyDescent="0.25">
      <c r="R397" s="3"/>
      <c r="S397" s="3"/>
      <c r="T397" s="3"/>
      <c r="U397" s="3"/>
    </row>
    <row r="398" spans="18:21" ht="15.75" customHeight="1" x14ac:dyDescent="0.25">
      <c r="R398" s="3"/>
      <c r="S398" s="3"/>
      <c r="T398" s="3"/>
      <c r="U398" s="3"/>
    </row>
    <row r="399" spans="18:21" ht="15.75" customHeight="1" x14ac:dyDescent="0.25">
      <c r="R399" s="3"/>
      <c r="S399" s="3"/>
      <c r="T399" s="3"/>
      <c r="U399" s="3"/>
    </row>
    <row r="400" spans="18:21" ht="15.75" customHeight="1" x14ac:dyDescent="0.25">
      <c r="R400" s="3"/>
      <c r="S400" s="3"/>
      <c r="T400" s="3"/>
      <c r="U400" s="3"/>
    </row>
    <row r="401" spans="18:21" ht="15.75" customHeight="1" x14ac:dyDescent="0.25">
      <c r="R401" s="3"/>
      <c r="S401" s="3"/>
      <c r="T401" s="3"/>
      <c r="U401" s="3"/>
    </row>
    <row r="402" spans="18:21" ht="15.75" customHeight="1" x14ac:dyDescent="0.25">
      <c r="R402" s="3"/>
      <c r="S402" s="3"/>
      <c r="T402" s="3"/>
      <c r="U402" s="3"/>
    </row>
    <row r="403" spans="18:21" ht="15.75" customHeight="1" x14ac:dyDescent="0.25">
      <c r="R403" s="3"/>
      <c r="S403" s="3"/>
      <c r="T403" s="3"/>
      <c r="U403" s="3"/>
    </row>
    <row r="404" spans="18:21" ht="15.75" customHeight="1" x14ac:dyDescent="0.25">
      <c r="R404" s="3"/>
      <c r="S404" s="3"/>
      <c r="T404" s="3"/>
      <c r="U404" s="3"/>
    </row>
    <row r="405" spans="18:21" ht="15.75" customHeight="1" x14ac:dyDescent="0.25">
      <c r="R405" s="3"/>
      <c r="S405" s="3"/>
      <c r="T405" s="3"/>
      <c r="U405" s="3"/>
    </row>
    <row r="406" spans="18:21" ht="15.75" customHeight="1" x14ac:dyDescent="0.25">
      <c r="R406" s="3"/>
      <c r="S406" s="3"/>
      <c r="T406" s="3"/>
      <c r="U406" s="3"/>
    </row>
    <row r="407" spans="18:21" ht="15.75" customHeight="1" x14ac:dyDescent="0.25">
      <c r="R407" s="3"/>
      <c r="S407" s="3"/>
      <c r="T407" s="3"/>
      <c r="U407" s="3"/>
    </row>
    <row r="408" spans="18:21" ht="15.75" customHeight="1" x14ac:dyDescent="0.25">
      <c r="R408" s="3"/>
      <c r="S408" s="3"/>
      <c r="T408" s="3"/>
      <c r="U408" s="3"/>
    </row>
    <row r="409" spans="18:21" ht="15.75" customHeight="1" x14ac:dyDescent="0.25">
      <c r="R409" s="3"/>
      <c r="S409" s="3"/>
      <c r="T409" s="3"/>
      <c r="U409" s="3"/>
    </row>
    <row r="410" spans="18:21" ht="15.75" customHeight="1" x14ac:dyDescent="0.25">
      <c r="R410" s="3"/>
      <c r="S410" s="3"/>
      <c r="T410" s="3"/>
      <c r="U410" s="3"/>
    </row>
    <row r="411" spans="18:21" ht="15.75" customHeight="1" x14ac:dyDescent="0.25">
      <c r="R411" s="3"/>
      <c r="S411" s="3"/>
      <c r="T411" s="3"/>
      <c r="U411" s="3"/>
    </row>
    <row r="412" spans="18:21" ht="15.75" customHeight="1" x14ac:dyDescent="0.25">
      <c r="R412" s="3"/>
      <c r="S412" s="3"/>
      <c r="T412" s="3"/>
      <c r="U412" s="3"/>
    </row>
    <row r="413" spans="18:21" ht="15.75" customHeight="1" x14ac:dyDescent="0.25">
      <c r="R413" s="3"/>
      <c r="S413" s="3"/>
      <c r="T413" s="3"/>
      <c r="U413" s="3"/>
    </row>
    <row r="414" spans="18:21" ht="15.75" customHeight="1" x14ac:dyDescent="0.25">
      <c r="R414" s="3"/>
      <c r="S414" s="3"/>
      <c r="T414" s="3"/>
      <c r="U414" s="3"/>
    </row>
    <row r="415" spans="18:21" ht="15.75" customHeight="1" x14ac:dyDescent="0.25">
      <c r="R415" s="3"/>
      <c r="S415" s="3"/>
      <c r="T415" s="3"/>
      <c r="U415" s="3"/>
    </row>
    <row r="416" spans="18:21" ht="15.75" customHeight="1" x14ac:dyDescent="0.25">
      <c r="R416" s="3"/>
      <c r="S416" s="3"/>
      <c r="T416" s="3"/>
      <c r="U416" s="3"/>
    </row>
    <row r="417" spans="18:21" ht="15.75" customHeight="1" x14ac:dyDescent="0.25">
      <c r="R417" s="3"/>
      <c r="S417" s="3"/>
      <c r="T417" s="3"/>
      <c r="U417" s="3"/>
    </row>
    <row r="418" spans="18:21" ht="15.75" customHeight="1" x14ac:dyDescent="0.25">
      <c r="R418" s="3"/>
      <c r="S418" s="3"/>
      <c r="T418" s="3"/>
      <c r="U418" s="3"/>
    </row>
    <row r="419" spans="18:21" ht="15.75" customHeight="1" x14ac:dyDescent="0.25">
      <c r="R419" s="3"/>
      <c r="S419" s="3"/>
      <c r="T419" s="3"/>
      <c r="U419" s="3"/>
    </row>
    <row r="420" spans="18:21" ht="15.75" customHeight="1" x14ac:dyDescent="0.25">
      <c r="R420" s="3"/>
      <c r="S420" s="3"/>
      <c r="T420" s="3"/>
      <c r="U420" s="3"/>
    </row>
    <row r="421" spans="18:21" ht="15.75" customHeight="1" x14ac:dyDescent="0.25">
      <c r="R421" s="3"/>
      <c r="S421" s="3"/>
      <c r="T421" s="3"/>
      <c r="U421" s="3"/>
    </row>
    <row r="422" spans="18:21" ht="15.75" customHeight="1" x14ac:dyDescent="0.25">
      <c r="R422" s="3"/>
      <c r="S422" s="3"/>
      <c r="T422" s="3"/>
      <c r="U422" s="3"/>
    </row>
    <row r="423" spans="18:21" ht="15.75" customHeight="1" x14ac:dyDescent="0.25">
      <c r="R423" s="3"/>
      <c r="S423" s="3"/>
      <c r="T423" s="3"/>
      <c r="U423" s="3"/>
    </row>
    <row r="424" spans="18:21" ht="15.75" customHeight="1" x14ac:dyDescent="0.25">
      <c r="R424" s="3"/>
      <c r="S424" s="3"/>
      <c r="T424" s="3"/>
      <c r="U424" s="3"/>
    </row>
    <row r="425" spans="18:21" ht="15.75" customHeight="1" x14ac:dyDescent="0.25">
      <c r="R425" s="3"/>
      <c r="S425" s="3"/>
      <c r="T425" s="3"/>
      <c r="U425" s="3"/>
    </row>
    <row r="426" spans="18:21" ht="15.75" customHeight="1" x14ac:dyDescent="0.25">
      <c r="R426" s="3"/>
      <c r="S426" s="3"/>
      <c r="T426" s="3"/>
      <c r="U426" s="3"/>
    </row>
    <row r="427" spans="18:21" ht="15.75" customHeight="1" x14ac:dyDescent="0.25">
      <c r="R427" s="3"/>
      <c r="S427" s="3"/>
      <c r="T427" s="3"/>
      <c r="U427" s="3"/>
    </row>
    <row r="428" spans="18:21" ht="15.75" customHeight="1" x14ac:dyDescent="0.25">
      <c r="R428" s="3"/>
      <c r="S428" s="3"/>
      <c r="T428" s="3"/>
      <c r="U428" s="3"/>
    </row>
    <row r="429" spans="18:21" ht="15.75" customHeight="1" x14ac:dyDescent="0.25">
      <c r="R429" s="3"/>
      <c r="S429" s="3"/>
      <c r="T429" s="3"/>
      <c r="U429" s="3"/>
    </row>
    <row r="430" spans="18:21" ht="15.75" customHeight="1" x14ac:dyDescent="0.25">
      <c r="R430" s="3"/>
      <c r="S430" s="3"/>
      <c r="T430" s="3"/>
      <c r="U430" s="3"/>
    </row>
    <row r="431" spans="18:21" ht="15.75" customHeight="1" x14ac:dyDescent="0.25">
      <c r="R431" s="3"/>
      <c r="S431" s="3"/>
      <c r="T431" s="3"/>
      <c r="U431" s="3"/>
    </row>
    <row r="432" spans="18:21" ht="15.75" customHeight="1" x14ac:dyDescent="0.25">
      <c r="R432" s="3"/>
      <c r="S432" s="3"/>
      <c r="T432" s="3"/>
      <c r="U432" s="3"/>
    </row>
    <row r="433" spans="18:21" ht="15.75" customHeight="1" x14ac:dyDescent="0.25">
      <c r="R433" s="3"/>
      <c r="S433" s="3"/>
      <c r="T433" s="3"/>
      <c r="U433" s="3"/>
    </row>
    <row r="434" spans="18:21" ht="15.75" customHeight="1" x14ac:dyDescent="0.25">
      <c r="R434" s="3"/>
      <c r="S434" s="3"/>
      <c r="T434" s="3"/>
      <c r="U434" s="3"/>
    </row>
    <row r="435" spans="18:21" ht="15.75" customHeight="1" x14ac:dyDescent="0.25">
      <c r="R435" s="3"/>
      <c r="S435" s="3"/>
      <c r="T435" s="3"/>
      <c r="U435" s="3"/>
    </row>
    <row r="436" spans="18:21" ht="15.75" customHeight="1" x14ac:dyDescent="0.25">
      <c r="R436" s="3"/>
      <c r="S436" s="3"/>
      <c r="T436" s="3"/>
      <c r="U436" s="3"/>
    </row>
    <row r="437" spans="18:21" ht="15.75" customHeight="1" x14ac:dyDescent="0.25">
      <c r="R437" s="3"/>
      <c r="S437" s="3"/>
      <c r="T437" s="3"/>
      <c r="U437" s="3"/>
    </row>
    <row r="438" spans="18:21" ht="15.75" customHeight="1" x14ac:dyDescent="0.25">
      <c r="R438" s="3"/>
      <c r="S438" s="3"/>
      <c r="T438" s="3"/>
      <c r="U438" s="3"/>
    </row>
    <row r="439" spans="18:21" ht="15.75" customHeight="1" x14ac:dyDescent="0.25">
      <c r="R439" s="3"/>
      <c r="S439" s="3"/>
      <c r="T439" s="3"/>
      <c r="U439" s="3"/>
    </row>
    <row r="440" spans="18:21" ht="15.75" customHeight="1" x14ac:dyDescent="0.25">
      <c r="R440" s="3"/>
      <c r="S440" s="3"/>
      <c r="T440" s="3"/>
      <c r="U440" s="3"/>
    </row>
    <row r="441" spans="18:21" ht="15.75" customHeight="1" x14ac:dyDescent="0.25">
      <c r="R441" s="3"/>
      <c r="S441" s="3"/>
      <c r="T441" s="3"/>
      <c r="U441" s="3"/>
    </row>
    <row r="442" spans="18:21" ht="15.75" customHeight="1" x14ac:dyDescent="0.25">
      <c r="R442" s="3"/>
      <c r="S442" s="3"/>
      <c r="T442" s="3"/>
      <c r="U442" s="3"/>
    </row>
    <row r="443" spans="18:21" ht="15.75" customHeight="1" x14ac:dyDescent="0.25">
      <c r="R443" s="3"/>
      <c r="S443" s="3"/>
      <c r="T443" s="3"/>
      <c r="U443" s="3"/>
    </row>
    <row r="444" spans="18:21" ht="15.75" customHeight="1" x14ac:dyDescent="0.25">
      <c r="R444" s="3"/>
      <c r="S444" s="3"/>
      <c r="T444" s="3"/>
      <c r="U444" s="3"/>
    </row>
    <row r="445" spans="18:21" ht="15.75" customHeight="1" x14ac:dyDescent="0.25">
      <c r="R445" s="3"/>
      <c r="S445" s="3"/>
      <c r="T445" s="3"/>
      <c r="U445" s="3"/>
    </row>
    <row r="446" spans="18:21" ht="15.75" customHeight="1" x14ac:dyDescent="0.25">
      <c r="R446" s="3"/>
      <c r="S446" s="3"/>
      <c r="T446" s="3"/>
      <c r="U446" s="3"/>
    </row>
    <row r="447" spans="18:21" ht="15.75" customHeight="1" x14ac:dyDescent="0.25">
      <c r="R447" s="3"/>
      <c r="S447" s="3"/>
      <c r="T447" s="3"/>
      <c r="U447" s="3"/>
    </row>
    <row r="448" spans="18:21" ht="15.75" customHeight="1" x14ac:dyDescent="0.25">
      <c r="R448" s="3"/>
      <c r="S448" s="3"/>
      <c r="T448" s="3"/>
      <c r="U448" s="3"/>
    </row>
    <row r="449" spans="18:21" ht="15.75" customHeight="1" x14ac:dyDescent="0.25">
      <c r="R449" s="3"/>
      <c r="S449" s="3"/>
      <c r="T449" s="3"/>
      <c r="U449" s="3"/>
    </row>
    <row r="450" spans="18:21" ht="15.75" customHeight="1" x14ac:dyDescent="0.25">
      <c r="R450" s="3"/>
      <c r="S450" s="3"/>
      <c r="T450" s="3"/>
      <c r="U450" s="3"/>
    </row>
    <row r="451" spans="18:21" ht="15.75" customHeight="1" x14ac:dyDescent="0.25">
      <c r="R451" s="3"/>
      <c r="S451" s="3"/>
      <c r="T451" s="3"/>
      <c r="U451" s="3"/>
    </row>
    <row r="452" spans="18:21" ht="15.75" customHeight="1" x14ac:dyDescent="0.25">
      <c r="R452" s="3"/>
      <c r="S452" s="3"/>
      <c r="T452" s="3"/>
      <c r="U452" s="3"/>
    </row>
    <row r="453" spans="18:21" ht="15.75" customHeight="1" x14ac:dyDescent="0.25">
      <c r="R453" s="3"/>
      <c r="S453" s="3"/>
      <c r="T453" s="3"/>
      <c r="U453" s="3"/>
    </row>
    <row r="454" spans="18:21" ht="15.75" customHeight="1" x14ac:dyDescent="0.25">
      <c r="R454" s="3"/>
      <c r="S454" s="3"/>
      <c r="T454" s="3"/>
      <c r="U454" s="3"/>
    </row>
    <row r="455" spans="18:21" ht="15.75" customHeight="1" x14ac:dyDescent="0.25">
      <c r="R455" s="3"/>
      <c r="S455" s="3"/>
      <c r="T455" s="3"/>
      <c r="U455" s="3"/>
    </row>
    <row r="456" spans="18:21" ht="15.75" customHeight="1" x14ac:dyDescent="0.25">
      <c r="R456" s="3"/>
      <c r="S456" s="3"/>
      <c r="T456" s="3"/>
      <c r="U456" s="3"/>
    </row>
    <row r="457" spans="18:21" ht="15.75" customHeight="1" x14ac:dyDescent="0.25">
      <c r="R457" s="3"/>
      <c r="S457" s="3"/>
      <c r="T457" s="3"/>
      <c r="U457" s="3"/>
    </row>
    <row r="458" spans="18:21" ht="15.75" customHeight="1" x14ac:dyDescent="0.25">
      <c r="R458" s="3"/>
      <c r="S458" s="3"/>
      <c r="T458" s="3"/>
      <c r="U458" s="3"/>
    </row>
    <row r="459" spans="18:21" ht="15.75" customHeight="1" x14ac:dyDescent="0.25">
      <c r="R459" s="3"/>
      <c r="S459" s="3"/>
      <c r="T459" s="3"/>
      <c r="U459" s="3"/>
    </row>
    <row r="460" spans="18:21" ht="15.75" customHeight="1" x14ac:dyDescent="0.25">
      <c r="R460" s="3"/>
      <c r="S460" s="3"/>
      <c r="T460" s="3"/>
      <c r="U460" s="3"/>
    </row>
    <row r="461" spans="18:21" ht="15.75" customHeight="1" x14ac:dyDescent="0.25">
      <c r="R461" s="3"/>
      <c r="S461" s="3"/>
      <c r="T461" s="3"/>
      <c r="U461" s="3"/>
    </row>
    <row r="462" spans="18:21" ht="15.75" customHeight="1" x14ac:dyDescent="0.25">
      <c r="R462" s="3"/>
      <c r="S462" s="3"/>
      <c r="T462" s="3"/>
      <c r="U462" s="3"/>
    </row>
    <row r="463" spans="18:21" ht="15.75" customHeight="1" x14ac:dyDescent="0.25">
      <c r="R463" s="3"/>
      <c r="S463" s="3"/>
      <c r="T463" s="3"/>
      <c r="U463" s="3"/>
    </row>
    <row r="464" spans="18:21" ht="15.75" customHeight="1" x14ac:dyDescent="0.25">
      <c r="R464" s="3"/>
      <c r="S464" s="3"/>
      <c r="T464" s="3"/>
      <c r="U464" s="3"/>
    </row>
    <row r="465" spans="18:21" ht="15.75" customHeight="1" x14ac:dyDescent="0.25">
      <c r="R465" s="3"/>
      <c r="S465" s="3"/>
      <c r="T465" s="3"/>
      <c r="U465" s="3"/>
    </row>
    <row r="466" spans="18:21" ht="15.75" customHeight="1" x14ac:dyDescent="0.25">
      <c r="R466" s="3"/>
      <c r="S466" s="3"/>
      <c r="T466" s="3"/>
      <c r="U466" s="3"/>
    </row>
    <row r="467" spans="18:21" ht="15.75" customHeight="1" x14ac:dyDescent="0.25">
      <c r="R467" s="3"/>
      <c r="S467" s="3"/>
      <c r="T467" s="3"/>
      <c r="U467" s="3"/>
    </row>
    <row r="468" spans="18:21" ht="15.75" customHeight="1" x14ac:dyDescent="0.25">
      <c r="R468" s="3"/>
      <c r="S468" s="3"/>
      <c r="T468" s="3"/>
      <c r="U468" s="3"/>
    </row>
    <row r="469" spans="18:21" ht="15.75" customHeight="1" x14ac:dyDescent="0.25">
      <c r="R469" s="3"/>
      <c r="S469" s="3"/>
      <c r="T469" s="3"/>
      <c r="U469" s="3"/>
    </row>
    <row r="470" spans="18:21" ht="15.75" customHeight="1" x14ac:dyDescent="0.25">
      <c r="R470" s="3"/>
      <c r="S470" s="3"/>
      <c r="T470" s="3"/>
      <c r="U470" s="3"/>
    </row>
    <row r="471" spans="18:21" ht="15.75" customHeight="1" x14ac:dyDescent="0.25">
      <c r="R471" s="3"/>
      <c r="S471" s="3"/>
      <c r="T471" s="3"/>
      <c r="U471" s="3"/>
    </row>
    <row r="472" spans="18:21" ht="15.75" customHeight="1" x14ac:dyDescent="0.25">
      <c r="R472" s="3"/>
      <c r="S472" s="3"/>
      <c r="T472" s="3"/>
      <c r="U472" s="3"/>
    </row>
    <row r="473" spans="18:21" ht="15.75" customHeight="1" x14ac:dyDescent="0.25">
      <c r="R473" s="3"/>
      <c r="S473" s="3"/>
      <c r="T473" s="3"/>
      <c r="U473" s="3"/>
    </row>
    <row r="474" spans="18:21" ht="15.75" customHeight="1" x14ac:dyDescent="0.25">
      <c r="R474" s="3"/>
      <c r="S474" s="3"/>
      <c r="T474" s="3"/>
      <c r="U474" s="3"/>
    </row>
    <row r="475" spans="18:21" ht="15.75" customHeight="1" x14ac:dyDescent="0.25">
      <c r="R475" s="3"/>
      <c r="S475" s="3"/>
      <c r="T475" s="3"/>
      <c r="U475" s="3"/>
    </row>
    <row r="476" spans="18:21" ht="15.75" customHeight="1" x14ac:dyDescent="0.25">
      <c r="R476" s="3"/>
      <c r="S476" s="3"/>
      <c r="T476" s="3"/>
      <c r="U476" s="3"/>
    </row>
    <row r="477" spans="18:21" ht="15.75" customHeight="1" x14ac:dyDescent="0.25">
      <c r="R477" s="3"/>
      <c r="S477" s="3"/>
      <c r="T477" s="3"/>
      <c r="U477" s="3"/>
    </row>
    <row r="478" spans="18:21" ht="15.75" customHeight="1" x14ac:dyDescent="0.25">
      <c r="R478" s="3"/>
      <c r="S478" s="3"/>
      <c r="T478" s="3"/>
      <c r="U478" s="3"/>
    </row>
    <row r="479" spans="18:21" ht="15.75" customHeight="1" x14ac:dyDescent="0.25">
      <c r="R479" s="3"/>
      <c r="S479" s="3"/>
      <c r="T479" s="3"/>
      <c r="U479" s="3"/>
    </row>
    <row r="480" spans="18:21" ht="15.75" customHeight="1" x14ac:dyDescent="0.25">
      <c r="R480" s="3"/>
      <c r="S480" s="3"/>
      <c r="T480" s="3"/>
      <c r="U480" s="3"/>
    </row>
    <row r="481" spans="18:21" ht="15.75" customHeight="1" x14ac:dyDescent="0.25">
      <c r="R481" s="3"/>
      <c r="S481" s="3"/>
      <c r="T481" s="3"/>
      <c r="U481" s="3"/>
    </row>
    <row r="482" spans="18:21" ht="15.75" customHeight="1" x14ac:dyDescent="0.25">
      <c r="R482" s="3"/>
      <c r="S482" s="3"/>
      <c r="T482" s="3"/>
      <c r="U482" s="3"/>
    </row>
    <row r="483" spans="18:21" ht="15.75" customHeight="1" x14ac:dyDescent="0.25">
      <c r="R483" s="3"/>
      <c r="S483" s="3"/>
      <c r="T483" s="3"/>
      <c r="U483" s="3"/>
    </row>
    <row r="484" spans="18:21" ht="15.75" customHeight="1" x14ac:dyDescent="0.25">
      <c r="R484" s="3"/>
      <c r="S484" s="3"/>
      <c r="T484" s="3"/>
      <c r="U484" s="3"/>
    </row>
    <row r="485" spans="18:21" ht="15.75" customHeight="1" x14ac:dyDescent="0.25">
      <c r="R485" s="3"/>
      <c r="S485" s="3"/>
      <c r="T485" s="3"/>
      <c r="U485" s="3"/>
    </row>
    <row r="486" spans="18:21" ht="15.75" customHeight="1" x14ac:dyDescent="0.25">
      <c r="R486" s="3"/>
      <c r="S486" s="3"/>
      <c r="T486" s="3"/>
      <c r="U486" s="3"/>
    </row>
    <row r="487" spans="18:21" ht="15.75" customHeight="1" x14ac:dyDescent="0.25">
      <c r="R487" s="3"/>
      <c r="S487" s="3"/>
      <c r="T487" s="3"/>
      <c r="U487" s="3"/>
    </row>
    <row r="488" spans="18:21" ht="15.75" customHeight="1" x14ac:dyDescent="0.25">
      <c r="R488" s="3"/>
      <c r="S488" s="3"/>
      <c r="T488" s="3"/>
      <c r="U488" s="3"/>
    </row>
    <row r="489" spans="18:21" ht="15.75" customHeight="1" x14ac:dyDescent="0.25">
      <c r="R489" s="3"/>
      <c r="S489" s="3"/>
      <c r="T489" s="3"/>
      <c r="U489" s="3"/>
    </row>
    <row r="490" spans="18:21" ht="15.75" customHeight="1" x14ac:dyDescent="0.25">
      <c r="R490" s="3"/>
      <c r="S490" s="3"/>
      <c r="T490" s="3"/>
      <c r="U490" s="3"/>
    </row>
    <row r="491" spans="18:21" ht="15.75" customHeight="1" x14ac:dyDescent="0.25">
      <c r="R491" s="3"/>
      <c r="S491" s="3"/>
      <c r="T491" s="3"/>
      <c r="U491" s="3"/>
    </row>
    <row r="492" spans="18:21" ht="15.75" customHeight="1" x14ac:dyDescent="0.25">
      <c r="R492" s="3"/>
      <c r="S492" s="3"/>
      <c r="T492" s="3"/>
      <c r="U492" s="3"/>
    </row>
    <row r="493" spans="18:21" ht="15.75" customHeight="1" x14ac:dyDescent="0.25">
      <c r="R493" s="3"/>
      <c r="S493" s="3"/>
      <c r="T493" s="3"/>
      <c r="U493" s="3"/>
    </row>
    <row r="494" spans="18:21" ht="15.75" customHeight="1" x14ac:dyDescent="0.25">
      <c r="R494" s="3"/>
      <c r="S494" s="3"/>
      <c r="T494" s="3"/>
      <c r="U494" s="3"/>
    </row>
    <row r="495" spans="18:21" ht="15.75" customHeight="1" x14ac:dyDescent="0.25">
      <c r="R495" s="3"/>
      <c r="S495" s="3"/>
      <c r="T495" s="3"/>
      <c r="U495" s="3"/>
    </row>
    <row r="496" spans="18:21" ht="15.75" customHeight="1" x14ac:dyDescent="0.25">
      <c r="R496" s="3"/>
      <c r="S496" s="3"/>
      <c r="T496" s="3"/>
      <c r="U496" s="3"/>
    </row>
    <row r="497" spans="18:21" ht="15.75" customHeight="1" x14ac:dyDescent="0.25">
      <c r="R497" s="3"/>
      <c r="S497" s="3"/>
      <c r="T497" s="3"/>
      <c r="U497" s="3"/>
    </row>
    <row r="498" spans="18:21" ht="15.75" customHeight="1" x14ac:dyDescent="0.25">
      <c r="R498" s="3"/>
      <c r="S498" s="3"/>
      <c r="T498" s="3"/>
      <c r="U498" s="3"/>
    </row>
    <row r="499" spans="18:21" ht="15.75" customHeight="1" x14ac:dyDescent="0.25">
      <c r="R499" s="3"/>
      <c r="S499" s="3"/>
      <c r="T499" s="3"/>
      <c r="U499" s="3"/>
    </row>
    <row r="500" spans="18:21" ht="15.75" customHeight="1" x14ac:dyDescent="0.25">
      <c r="R500" s="3"/>
      <c r="S500" s="3"/>
      <c r="T500" s="3"/>
      <c r="U500" s="3"/>
    </row>
    <row r="501" spans="18:21" ht="15.75" customHeight="1" x14ac:dyDescent="0.25">
      <c r="R501" s="3"/>
      <c r="S501" s="3"/>
      <c r="T501" s="3"/>
      <c r="U501" s="3"/>
    </row>
    <row r="502" spans="18:21" ht="15.75" customHeight="1" x14ac:dyDescent="0.25">
      <c r="R502" s="3"/>
      <c r="S502" s="3"/>
      <c r="T502" s="3"/>
      <c r="U502" s="3"/>
    </row>
    <row r="503" spans="18:21" ht="15.75" customHeight="1" x14ac:dyDescent="0.25">
      <c r="R503" s="3"/>
      <c r="S503" s="3"/>
      <c r="T503" s="3"/>
      <c r="U503" s="3"/>
    </row>
    <row r="504" spans="18:21" ht="15.75" customHeight="1" x14ac:dyDescent="0.25">
      <c r="R504" s="3"/>
      <c r="S504" s="3"/>
      <c r="T504" s="3"/>
      <c r="U504" s="3"/>
    </row>
    <row r="505" spans="18:21" ht="15.75" customHeight="1" x14ac:dyDescent="0.25">
      <c r="R505" s="3"/>
      <c r="S505" s="3"/>
      <c r="T505" s="3"/>
      <c r="U505" s="3"/>
    </row>
    <row r="506" spans="18:21" ht="15.75" customHeight="1" x14ac:dyDescent="0.25">
      <c r="R506" s="3"/>
      <c r="S506" s="3"/>
      <c r="T506" s="3"/>
      <c r="U506" s="3"/>
    </row>
    <row r="507" spans="18:21" ht="15.75" customHeight="1" x14ac:dyDescent="0.25">
      <c r="R507" s="3"/>
      <c r="S507" s="3"/>
      <c r="T507" s="3"/>
      <c r="U507" s="3"/>
    </row>
    <row r="508" spans="18:21" ht="15.75" customHeight="1" x14ac:dyDescent="0.25">
      <c r="R508" s="3"/>
      <c r="S508" s="3"/>
      <c r="T508" s="3"/>
      <c r="U508" s="3"/>
    </row>
    <row r="509" spans="18:21" ht="15.75" customHeight="1" x14ac:dyDescent="0.25">
      <c r="R509" s="3"/>
      <c r="S509" s="3"/>
      <c r="T509" s="3"/>
      <c r="U509" s="3"/>
    </row>
    <row r="510" spans="18:21" ht="15.75" customHeight="1" x14ac:dyDescent="0.25">
      <c r="R510" s="3"/>
      <c r="S510" s="3"/>
      <c r="T510" s="3"/>
      <c r="U510" s="3"/>
    </row>
    <row r="511" spans="18:21" ht="15.75" customHeight="1" x14ac:dyDescent="0.25">
      <c r="R511" s="3"/>
      <c r="S511" s="3"/>
      <c r="T511" s="3"/>
      <c r="U511" s="3"/>
    </row>
    <row r="512" spans="18:21" ht="15.75" customHeight="1" x14ac:dyDescent="0.25">
      <c r="R512" s="3"/>
      <c r="S512" s="3"/>
      <c r="T512" s="3"/>
      <c r="U512" s="3"/>
    </row>
    <row r="513" spans="18:21" ht="15.75" customHeight="1" x14ac:dyDescent="0.25">
      <c r="R513" s="3"/>
      <c r="S513" s="3"/>
      <c r="T513" s="3"/>
      <c r="U513" s="3"/>
    </row>
    <row r="514" spans="18:21" ht="15.75" customHeight="1" x14ac:dyDescent="0.25">
      <c r="R514" s="3"/>
      <c r="S514" s="3"/>
      <c r="T514" s="3"/>
      <c r="U514" s="3"/>
    </row>
    <row r="515" spans="18:21" ht="15.75" customHeight="1" x14ac:dyDescent="0.25">
      <c r="R515" s="3"/>
      <c r="S515" s="3"/>
      <c r="T515" s="3"/>
      <c r="U515" s="3"/>
    </row>
    <row r="516" spans="18:21" ht="15.75" customHeight="1" x14ac:dyDescent="0.25">
      <c r="R516" s="3"/>
      <c r="S516" s="3"/>
      <c r="T516" s="3"/>
      <c r="U516" s="3"/>
    </row>
    <row r="517" spans="18:21" ht="15.75" customHeight="1" x14ac:dyDescent="0.25">
      <c r="R517" s="3"/>
      <c r="S517" s="3"/>
      <c r="T517" s="3"/>
      <c r="U517" s="3"/>
    </row>
    <row r="518" spans="18:21" ht="15.75" customHeight="1" x14ac:dyDescent="0.25">
      <c r="R518" s="3"/>
      <c r="S518" s="3"/>
      <c r="T518" s="3"/>
      <c r="U518" s="3"/>
    </row>
    <row r="519" spans="18:21" ht="15.75" customHeight="1" x14ac:dyDescent="0.25">
      <c r="R519" s="3"/>
      <c r="S519" s="3"/>
      <c r="T519" s="3"/>
      <c r="U519" s="3"/>
    </row>
    <row r="520" spans="18:21" ht="15.75" customHeight="1" x14ac:dyDescent="0.25">
      <c r="R520" s="3"/>
      <c r="S520" s="3"/>
      <c r="T520" s="3"/>
      <c r="U520" s="3"/>
    </row>
    <row r="521" spans="18:21" ht="15.75" customHeight="1" x14ac:dyDescent="0.25">
      <c r="R521" s="3"/>
      <c r="S521" s="3"/>
      <c r="T521" s="3"/>
      <c r="U521" s="3"/>
    </row>
    <row r="522" spans="18:21" ht="15.75" customHeight="1" x14ac:dyDescent="0.25">
      <c r="R522" s="3"/>
      <c r="S522" s="3"/>
      <c r="T522" s="3"/>
      <c r="U522" s="3"/>
    </row>
    <row r="523" spans="18:21" ht="15.75" customHeight="1" x14ac:dyDescent="0.25">
      <c r="R523" s="3"/>
      <c r="S523" s="3"/>
      <c r="T523" s="3"/>
      <c r="U523" s="3"/>
    </row>
    <row r="524" spans="18:21" ht="15.75" customHeight="1" x14ac:dyDescent="0.25">
      <c r="R524" s="3"/>
      <c r="S524" s="3"/>
      <c r="T524" s="3"/>
      <c r="U524" s="3"/>
    </row>
    <row r="525" spans="18:21" ht="15.75" customHeight="1" x14ac:dyDescent="0.25">
      <c r="R525" s="3"/>
      <c r="S525" s="3"/>
      <c r="T525" s="3"/>
      <c r="U525" s="3"/>
    </row>
    <row r="526" spans="18:21" ht="15.75" customHeight="1" x14ac:dyDescent="0.25">
      <c r="R526" s="3"/>
      <c r="S526" s="3"/>
      <c r="T526" s="3"/>
      <c r="U526" s="3"/>
    </row>
    <row r="527" spans="18:21" ht="15.75" customHeight="1" x14ac:dyDescent="0.25">
      <c r="R527" s="3"/>
      <c r="S527" s="3"/>
      <c r="T527" s="3"/>
      <c r="U527" s="3"/>
    </row>
    <row r="528" spans="18:21" ht="15.75" customHeight="1" x14ac:dyDescent="0.25">
      <c r="R528" s="3"/>
      <c r="S528" s="3"/>
      <c r="T528" s="3"/>
      <c r="U528" s="3"/>
    </row>
    <row r="529" spans="18:21" ht="15.75" customHeight="1" x14ac:dyDescent="0.25">
      <c r="R529" s="3"/>
      <c r="S529" s="3"/>
      <c r="T529" s="3"/>
      <c r="U529" s="3"/>
    </row>
    <row r="530" spans="18:21" ht="15.75" customHeight="1" x14ac:dyDescent="0.25">
      <c r="R530" s="3"/>
      <c r="S530" s="3"/>
      <c r="T530" s="3"/>
      <c r="U530" s="3"/>
    </row>
    <row r="531" spans="18:21" ht="15.75" customHeight="1" x14ac:dyDescent="0.25">
      <c r="R531" s="3"/>
      <c r="S531" s="3"/>
      <c r="T531" s="3"/>
      <c r="U531" s="3"/>
    </row>
    <row r="532" spans="18:21" ht="15.75" customHeight="1" x14ac:dyDescent="0.25">
      <c r="R532" s="3"/>
      <c r="S532" s="3"/>
      <c r="T532" s="3"/>
      <c r="U532" s="3"/>
    </row>
    <row r="533" spans="18:21" ht="15.75" customHeight="1" x14ac:dyDescent="0.25">
      <c r="R533" s="3"/>
      <c r="S533" s="3"/>
      <c r="T533" s="3"/>
      <c r="U533" s="3"/>
    </row>
    <row r="534" spans="18:21" ht="15.75" customHeight="1" x14ac:dyDescent="0.25">
      <c r="R534" s="3"/>
      <c r="S534" s="3"/>
      <c r="T534" s="3"/>
      <c r="U534" s="3"/>
    </row>
    <row r="535" spans="18:21" ht="15.75" customHeight="1" x14ac:dyDescent="0.25">
      <c r="R535" s="3"/>
      <c r="S535" s="3"/>
      <c r="T535" s="3"/>
      <c r="U535" s="3"/>
    </row>
    <row r="536" spans="18:21" ht="15.75" customHeight="1" x14ac:dyDescent="0.25">
      <c r="R536" s="3"/>
      <c r="S536" s="3"/>
      <c r="T536" s="3"/>
      <c r="U536" s="3"/>
    </row>
    <row r="537" spans="18:21" ht="15.75" customHeight="1" x14ac:dyDescent="0.25">
      <c r="R537" s="3"/>
      <c r="S537" s="3"/>
      <c r="T537" s="3"/>
      <c r="U537" s="3"/>
    </row>
    <row r="538" spans="18:21" ht="15.75" customHeight="1" x14ac:dyDescent="0.25">
      <c r="R538" s="3"/>
      <c r="S538" s="3"/>
      <c r="T538" s="3"/>
      <c r="U538" s="3"/>
    </row>
    <row r="539" spans="18:21" ht="15.75" customHeight="1" x14ac:dyDescent="0.25">
      <c r="R539" s="3"/>
      <c r="S539" s="3"/>
      <c r="T539" s="3"/>
      <c r="U539" s="3"/>
    </row>
    <row r="540" spans="18:21" ht="15.75" customHeight="1" x14ac:dyDescent="0.25">
      <c r="R540" s="3"/>
      <c r="S540" s="3"/>
      <c r="T540" s="3"/>
      <c r="U540" s="3"/>
    </row>
    <row r="541" spans="18:21" ht="15.75" customHeight="1" x14ac:dyDescent="0.25">
      <c r="R541" s="3"/>
      <c r="S541" s="3"/>
      <c r="T541" s="3"/>
      <c r="U541" s="3"/>
    </row>
    <row r="542" spans="18:21" ht="15.75" customHeight="1" x14ac:dyDescent="0.25">
      <c r="R542" s="3"/>
      <c r="S542" s="3"/>
      <c r="T542" s="3"/>
      <c r="U542" s="3"/>
    </row>
    <row r="543" spans="18:21" ht="15.75" customHeight="1" x14ac:dyDescent="0.25">
      <c r="R543" s="3"/>
      <c r="S543" s="3"/>
      <c r="T543" s="3"/>
      <c r="U543" s="3"/>
    </row>
    <row r="544" spans="18:21" ht="15.75" customHeight="1" x14ac:dyDescent="0.25">
      <c r="R544" s="3"/>
      <c r="S544" s="3"/>
      <c r="T544" s="3"/>
      <c r="U544" s="3"/>
    </row>
    <row r="545" spans="18:21" ht="15.75" customHeight="1" x14ac:dyDescent="0.25">
      <c r="R545" s="3"/>
      <c r="S545" s="3"/>
      <c r="T545" s="3"/>
      <c r="U545" s="3"/>
    </row>
    <row r="546" spans="18:21" ht="15.75" customHeight="1" x14ac:dyDescent="0.25">
      <c r="R546" s="3"/>
      <c r="S546" s="3"/>
      <c r="T546" s="3"/>
      <c r="U546" s="3"/>
    </row>
    <row r="547" spans="18:21" ht="15.75" customHeight="1" x14ac:dyDescent="0.25">
      <c r="R547" s="3"/>
      <c r="S547" s="3"/>
      <c r="T547" s="3"/>
      <c r="U547" s="3"/>
    </row>
    <row r="548" spans="18:21" ht="15.75" customHeight="1" x14ac:dyDescent="0.25">
      <c r="R548" s="3"/>
      <c r="S548" s="3"/>
      <c r="T548" s="3"/>
      <c r="U548" s="3"/>
    </row>
    <row r="549" spans="18:21" ht="15.75" customHeight="1" x14ac:dyDescent="0.25">
      <c r="R549" s="3"/>
      <c r="S549" s="3"/>
      <c r="T549" s="3"/>
      <c r="U549" s="3"/>
    </row>
    <row r="550" spans="18:21" ht="15.75" customHeight="1" x14ac:dyDescent="0.25">
      <c r="R550" s="3"/>
      <c r="S550" s="3"/>
      <c r="T550" s="3"/>
      <c r="U550" s="3"/>
    </row>
    <row r="551" spans="18:21" ht="15.75" customHeight="1" x14ac:dyDescent="0.25">
      <c r="R551" s="3"/>
      <c r="S551" s="3"/>
      <c r="T551" s="3"/>
      <c r="U551" s="3"/>
    </row>
    <row r="552" spans="18:21" ht="15.75" customHeight="1" x14ac:dyDescent="0.25">
      <c r="R552" s="3"/>
      <c r="S552" s="3"/>
      <c r="T552" s="3"/>
      <c r="U552" s="3"/>
    </row>
    <row r="553" spans="18:21" ht="15.75" customHeight="1" x14ac:dyDescent="0.25">
      <c r="R553" s="3"/>
      <c r="S553" s="3"/>
      <c r="T553" s="3"/>
      <c r="U553" s="3"/>
    </row>
    <row r="554" spans="18:21" ht="15.75" customHeight="1" x14ac:dyDescent="0.25">
      <c r="R554" s="3"/>
      <c r="S554" s="3"/>
      <c r="T554" s="3"/>
      <c r="U554" s="3"/>
    </row>
    <row r="555" spans="18:21" ht="15.75" customHeight="1" x14ac:dyDescent="0.25">
      <c r="R555" s="3"/>
      <c r="S555" s="3"/>
      <c r="T555" s="3"/>
      <c r="U555" s="3"/>
    </row>
    <row r="556" spans="18:21" ht="15.75" customHeight="1" x14ac:dyDescent="0.25">
      <c r="R556" s="3"/>
      <c r="S556" s="3"/>
      <c r="T556" s="3"/>
      <c r="U556" s="3"/>
    </row>
    <row r="557" spans="18:21" ht="15.75" customHeight="1" x14ac:dyDescent="0.25">
      <c r="R557" s="3"/>
      <c r="S557" s="3"/>
      <c r="T557" s="3"/>
      <c r="U557" s="3"/>
    </row>
    <row r="558" spans="18:21" ht="15.75" customHeight="1" x14ac:dyDescent="0.25">
      <c r="R558" s="3"/>
      <c r="S558" s="3"/>
      <c r="T558" s="3"/>
      <c r="U558" s="3"/>
    </row>
    <row r="559" spans="18:21" ht="15.75" customHeight="1" x14ac:dyDescent="0.25">
      <c r="R559" s="3"/>
      <c r="S559" s="3"/>
      <c r="T559" s="3"/>
      <c r="U559" s="3"/>
    </row>
    <row r="560" spans="18:21" ht="15.75" customHeight="1" x14ac:dyDescent="0.25">
      <c r="R560" s="3"/>
      <c r="S560" s="3"/>
      <c r="T560" s="3"/>
      <c r="U560" s="3"/>
    </row>
    <row r="561" spans="18:21" ht="15.75" customHeight="1" x14ac:dyDescent="0.25">
      <c r="R561" s="3"/>
      <c r="S561" s="3"/>
      <c r="T561" s="3"/>
      <c r="U561" s="3"/>
    </row>
    <row r="562" spans="18:21" ht="15.75" customHeight="1" x14ac:dyDescent="0.25">
      <c r="R562" s="3"/>
      <c r="S562" s="3"/>
      <c r="T562" s="3"/>
      <c r="U562" s="3"/>
    </row>
    <row r="563" spans="18:21" ht="15.75" customHeight="1" x14ac:dyDescent="0.25">
      <c r="R563" s="3"/>
      <c r="S563" s="3"/>
      <c r="T563" s="3"/>
      <c r="U563" s="3"/>
    </row>
    <row r="564" spans="18:21" ht="15.75" customHeight="1" x14ac:dyDescent="0.25">
      <c r="R564" s="3"/>
      <c r="S564" s="3"/>
      <c r="T564" s="3"/>
      <c r="U564" s="3"/>
    </row>
    <row r="565" spans="18:21" ht="15.75" customHeight="1" x14ac:dyDescent="0.25">
      <c r="R565" s="3"/>
      <c r="S565" s="3"/>
      <c r="T565" s="3"/>
      <c r="U565" s="3"/>
    </row>
    <row r="566" spans="18:21" ht="15.75" customHeight="1" x14ac:dyDescent="0.25">
      <c r="R566" s="3"/>
      <c r="S566" s="3"/>
      <c r="T566" s="3"/>
      <c r="U566" s="3"/>
    </row>
    <row r="567" spans="18:21" ht="15.75" customHeight="1" x14ac:dyDescent="0.25">
      <c r="R567" s="3"/>
      <c r="S567" s="3"/>
      <c r="T567" s="3"/>
      <c r="U567" s="3"/>
    </row>
    <row r="568" spans="18:21" ht="15.75" customHeight="1" x14ac:dyDescent="0.25">
      <c r="R568" s="3"/>
      <c r="S568" s="3"/>
      <c r="T568" s="3"/>
      <c r="U568" s="3"/>
    </row>
    <row r="569" spans="18:21" ht="15.75" customHeight="1" x14ac:dyDescent="0.25">
      <c r="R569" s="3"/>
      <c r="S569" s="3"/>
      <c r="T569" s="3"/>
      <c r="U569" s="3"/>
    </row>
    <row r="570" spans="18:21" ht="15.75" customHeight="1" x14ac:dyDescent="0.25">
      <c r="R570" s="3"/>
      <c r="S570" s="3"/>
      <c r="T570" s="3"/>
      <c r="U570" s="3"/>
    </row>
    <row r="571" spans="18:21" ht="15.75" customHeight="1" x14ac:dyDescent="0.25">
      <c r="R571" s="3"/>
      <c r="S571" s="3"/>
      <c r="T571" s="3"/>
      <c r="U571" s="3"/>
    </row>
    <row r="572" spans="18:21" ht="15.75" customHeight="1" x14ac:dyDescent="0.25">
      <c r="R572" s="3"/>
      <c r="S572" s="3"/>
      <c r="T572" s="3"/>
      <c r="U572" s="3"/>
    </row>
    <row r="573" spans="18:21" ht="15.75" customHeight="1" x14ac:dyDescent="0.25">
      <c r="R573" s="3"/>
      <c r="S573" s="3"/>
      <c r="T573" s="3"/>
      <c r="U573" s="3"/>
    </row>
    <row r="574" spans="18:21" ht="15.75" customHeight="1" x14ac:dyDescent="0.25">
      <c r="R574" s="3"/>
      <c r="S574" s="3"/>
      <c r="T574" s="3"/>
      <c r="U574" s="3"/>
    </row>
    <row r="575" spans="18:21" ht="15.75" customHeight="1" x14ac:dyDescent="0.25">
      <c r="R575" s="3"/>
      <c r="S575" s="3"/>
      <c r="T575" s="3"/>
      <c r="U575" s="3"/>
    </row>
    <row r="576" spans="18:21" ht="15.75" customHeight="1" x14ac:dyDescent="0.25">
      <c r="R576" s="3"/>
      <c r="S576" s="3"/>
      <c r="T576" s="3"/>
      <c r="U576" s="3"/>
    </row>
    <row r="577" spans="18:21" ht="15.75" customHeight="1" x14ac:dyDescent="0.25">
      <c r="R577" s="3"/>
      <c r="S577" s="3"/>
      <c r="T577" s="3"/>
      <c r="U577" s="3"/>
    </row>
    <row r="578" spans="18:21" ht="15.75" customHeight="1" x14ac:dyDescent="0.25">
      <c r="R578" s="3"/>
      <c r="S578" s="3"/>
      <c r="T578" s="3"/>
      <c r="U578" s="3"/>
    </row>
    <row r="579" spans="18:21" ht="15.75" customHeight="1" x14ac:dyDescent="0.25">
      <c r="R579" s="3"/>
      <c r="S579" s="3"/>
      <c r="T579" s="3"/>
      <c r="U579" s="3"/>
    </row>
    <row r="580" spans="18:21" ht="15.75" customHeight="1" x14ac:dyDescent="0.25">
      <c r="R580" s="3"/>
      <c r="S580" s="3"/>
      <c r="T580" s="3"/>
      <c r="U580" s="3"/>
    </row>
    <row r="581" spans="18:21" ht="15.75" customHeight="1" x14ac:dyDescent="0.25">
      <c r="R581" s="3"/>
      <c r="S581" s="3"/>
      <c r="T581" s="3"/>
      <c r="U581" s="3"/>
    </row>
    <row r="582" spans="18:21" ht="15.75" customHeight="1" x14ac:dyDescent="0.25">
      <c r="R582" s="3"/>
      <c r="S582" s="3"/>
      <c r="T582" s="3"/>
      <c r="U582" s="3"/>
    </row>
    <row r="583" spans="18:21" ht="15.75" customHeight="1" x14ac:dyDescent="0.25">
      <c r="R583" s="3"/>
      <c r="S583" s="3"/>
      <c r="T583" s="3"/>
      <c r="U583" s="3"/>
    </row>
    <row r="584" spans="18:21" ht="15.75" customHeight="1" x14ac:dyDescent="0.25">
      <c r="R584" s="3"/>
      <c r="S584" s="3"/>
      <c r="T584" s="3"/>
      <c r="U584" s="3"/>
    </row>
    <row r="585" spans="18:21" ht="15.75" customHeight="1" x14ac:dyDescent="0.25">
      <c r="R585" s="3"/>
      <c r="S585" s="3"/>
      <c r="T585" s="3"/>
      <c r="U585" s="3"/>
    </row>
    <row r="586" spans="18:21" ht="15.75" customHeight="1" x14ac:dyDescent="0.25">
      <c r="R586" s="3"/>
      <c r="S586" s="3"/>
      <c r="T586" s="3"/>
      <c r="U586" s="3"/>
    </row>
    <row r="587" spans="18:21" ht="15.75" customHeight="1" x14ac:dyDescent="0.25">
      <c r="R587" s="3"/>
      <c r="S587" s="3"/>
      <c r="T587" s="3"/>
      <c r="U587" s="3"/>
    </row>
    <row r="588" spans="18:21" ht="15.75" customHeight="1" x14ac:dyDescent="0.25">
      <c r="R588" s="3"/>
      <c r="S588" s="3"/>
      <c r="T588" s="3"/>
      <c r="U588" s="3"/>
    </row>
    <row r="589" spans="18:21" ht="15.75" customHeight="1" x14ac:dyDescent="0.25">
      <c r="R589" s="3"/>
      <c r="S589" s="3"/>
      <c r="T589" s="3"/>
      <c r="U589" s="3"/>
    </row>
    <row r="590" spans="18:21" ht="15.75" customHeight="1" x14ac:dyDescent="0.25">
      <c r="R590" s="3"/>
      <c r="S590" s="3"/>
      <c r="T590" s="3"/>
      <c r="U590" s="3"/>
    </row>
    <row r="591" spans="18:21" ht="15.75" customHeight="1" x14ac:dyDescent="0.25">
      <c r="R591" s="3"/>
      <c r="S591" s="3"/>
      <c r="T591" s="3"/>
      <c r="U591" s="3"/>
    </row>
    <row r="592" spans="18:21" ht="15.75" customHeight="1" x14ac:dyDescent="0.25">
      <c r="R592" s="3"/>
      <c r="S592" s="3"/>
      <c r="T592" s="3"/>
      <c r="U592" s="3"/>
    </row>
    <row r="593" spans="18:21" ht="15.75" customHeight="1" x14ac:dyDescent="0.25">
      <c r="R593" s="3"/>
      <c r="S593" s="3"/>
      <c r="T593" s="3"/>
      <c r="U593" s="3"/>
    </row>
    <row r="594" spans="18:21" ht="15.75" customHeight="1" x14ac:dyDescent="0.25">
      <c r="R594" s="3"/>
      <c r="S594" s="3"/>
      <c r="T594" s="3"/>
      <c r="U594" s="3"/>
    </row>
    <row r="595" spans="18:21" ht="15.75" customHeight="1" x14ac:dyDescent="0.25">
      <c r="R595" s="3"/>
      <c r="S595" s="3"/>
      <c r="T595" s="3"/>
      <c r="U595" s="3"/>
    </row>
    <row r="596" spans="18:21" ht="15.75" customHeight="1" x14ac:dyDescent="0.25">
      <c r="R596" s="3"/>
      <c r="S596" s="3"/>
      <c r="T596" s="3"/>
      <c r="U596" s="3"/>
    </row>
    <row r="597" spans="18:21" ht="15.75" customHeight="1" x14ac:dyDescent="0.25">
      <c r="R597" s="3"/>
      <c r="S597" s="3"/>
      <c r="T597" s="3"/>
      <c r="U597" s="3"/>
    </row>
    <row r="598" spans="18:21" ht="15.75" customHeight="1" x14ac:dyDescent="0.25">
      <c r="R598" s="3"/>
      <c r="S598" s="3"/>
      <c r="T598" s="3"/>
      <c r="U598" s="3"/>
    </row>
    <row r="599" spans="18:21" ht="15.75" customHeight="1" x14ac:dyDescent="0.25">
      <c r="R599" s="3"/>
      <c r="S599" s="3"/>
      <c r="T599" s="3"/>
      <c r="U599" s="3"/>
    </row>
    <row r="600" spans="18:21" ht="15.75" customHeight="1" x14ac:dyDescent="0.25">
      <c r="R600" s="3"/>
      <c r="S600" s="3"/>
      <c r="T600" s="3"/>
      <c r="U600" s="3"/>
    </row>
    <row r="601" spans="18:21" ht="15.75" customHeight="1" x14ac:dyDescent="0.25">
      <c r="R601" s="3"/>
      <c r="S601" s="3"/>
      <c r="T601" s="3"/>
      <c r="U601" s="3"/>
    </row>
    <row r="602" spans="18:21" ht="15.75" customHeight="1" x14ac:dyDescent="0.25">
      <c r="R602" s="3"/>
      <c r="S602" s="3"/>
      <c r="T602" s="3"/>
      <c r="U602" s="3"/>
    </row>
    <row r="603" spans="18:21" ht="15.75" customHeight="1" x14ac:dyDescent="0.25">
      <c r="R603" s="3"/>
      <c r="S603" s="3"/>
      <c r="T603" s="3"/>
      <c r="U603" s="3"/>
    </row>
    <row r="604" spans="18:21" ht="15.75" customHeight="1" x14ac:dyDescent="0.25">
      <c r="R604" s="3"/>
      <c r="S604" s="3"/>
      <c r="T604" s="3"/>
      <c r="U604" s="3"/>
    </row>
    <row r="605" spans="18:21" ht="15.75" customHeight="1" x14ac:dyDescent="0.25">
      <c r="R605" s="3"/>
      <c r="S605" s="3"/>
      <c r="T605" s="3"/>
      <c r="U605" s="3"/>
    </row>
    <row r="606" spans="18:21" ht="15.75" customHeight="1" x14ac:dyDescent="0.25">
      <c r="R606" s="3"/>
      <c r="S606" s="3"/>
      <c r="T606" s="3"/>
      <c r="U606" s="3"/>
    </row>
    <row r="607" spans="18:21" ht="15.75" customHeight="1" x14ac:dyDescent="0.25">
      <c r="R607" s="3"/>
      <c r="S607" s="3"/>
      <c r="T607" s="3"/>
      <c r="U607" s="3"/>
    </row>
    <row r="608" spans="18:21" ht="15.75" customHeight="1" x14ac:dyDescent="0.25">
      <c r="R608" s="3"/>
      <c r="S608" s="3"/>
      <c r="T608" s="3"/>
      <c r="U608" s="3"/>
    </row>
    <row r="609" spans="18:21" ht="15.75" customHeight="1" x14ac:dyDescent="0.25">
      <c r="R609" s="3"/>
      <c r="S609" s="3"/>
      <c r="T609" s="3"/>
      <c r="U609" s="3"/>
    </row>
    <row r="610" spans="18:21" ht="15.75" customHeight="1" x14ac:dyDescent="0.25">
      <c r="R610" s="3"/>
      <c r="S610" s="3"/>
      <c r="T610" s="3"/>
      <c r="U610" s="3"/>
    </row>
    <row r="611" spans="18:21" ht="15.75" customHeight="1" x14ac:dyDescent="0.25">
      <c r="R611" s="3"/>
      <c r="S611" s="3"/>
      <c r="T611" s="3"/>
      <c r="U611" s="3"/>
    </row>
    <row r="612" spans="18:21" ht="15.75" customHeight="1" x14ac:dyDescent="0.25">
      <c r="R612" s="3"/>
      <c r="S612" s="3"/>
      <c r="T612" s="3"/>
      <c r="U612" s="3"/>
    </row>
    <row r="613" spans="18:21" ht="15.75" customHeight="1" x14ac:dyDescent="0.25">
      <c r="R613" s="3"/>
      <c r="S613" s="3"/>
      <c r="T613" s="3"/>
      <c r="U613" s="3"/>
    </row>
    <row r="614" spans="18:21" ht="15.75" customHeight="1" x14ac:dyDescent="0.25">
      <c r="R614" s="3"/>
      <c r="S614" s="3"/>
      <c r="T614" s="3"/>
      <c r="U614" s="3"/>
    </row>
    <row r="615" spans="18:21" ht="15.75" customHeight="1" x14ac:dyDescent="0.25">
      <c r="R615" s="3"/>
      <c r="S615" s="3"/>
      <c r="T615" s="3"/>
      <c r="U615" s="3"/>
    </row>
    <row r="616" spans="18:21" ht="15.75" customHeight="1" x14ac:dyDescent="0.25">
      <c r="R616" s="3"/>
      <c r="S616" s="3"/>
      <c r="T616" s="3"/>
      <c r="U616" s="3"/>
    </row>
    <row r="617" spans="18:21" ht="15.75" customHeight="1" x14ac:dyDescent="0.25">
      <c r="R617" s="3"/>
      <c r="S617" s="3"/>
      <c r="T617" s="3"/>
      <c r="U617" s="3"/>
    </row>
    <row r="618" spans="18:21" ht="15.75" customHeight="1" x14ac:dyDescent="0.25">
      <c r="R618" s="3"/>
      <c r="S618" s="3"/>
      <c r="T618" s="3"/>
      <c r="U618" s="3"/>
    </row>
    <row r="619" spans="18:21" ht="15.75" customHeight="1" x14ac:dyDescent="0.25">
      <c r="R619" s="3"/>
      <c r="S619" s="3"/>
      <c r="T619" s="3"/>
      <c r="U619" s="3"/>
    </row>
    <row r="620" spans="18:21" ht="15.75" customHeight="1" x14ac:dyDescent="0.25">
      <c r="R620" s="3"/>
      <c r="S620" s="3"/>
      <c r="T620" s="3"/>
      <c r="U620" s="3"/>
    </row>
    <row r="621" spans="18:21" ht="15.75" customHeight="1" x14ac:dyDescent="0.25">
      <c r="R621" s="3"/>
      <c r="S621" s="3"/>
      <c r="T621" s="3"/>
      <c r="U621" s="3"/>
    </row>
    <row r="622" spans="18:21" ht="15.75" customHeight="1" x14ac:dyDescent="0.25">
      <c r="R622" s="3"/>
      <c r="S622" s="3"/>
      <c r="T622" s="3"/>
      <c r="U622" s="3"/>
    </row>
    <row r="623" spans="18:21" ht="15.75" customHeight="1" x14ac:dyDescent="0.25">
      <c r="R623" s="3"/>
      <c r="S623" s="3"/>
      <c r="T623" s="3"/>
      <c r="U623" s="3"/>
    </row>
    <row r="624" spans="18:21" ht="15.75" customHeight="1" x14ac:dyDescent="0.25">
      <c r="R624" s="3"/>
      <c r="S624" s="3"/>
      <c r="T624" s="3"/>
      <c r="U624" s="3"/>
    </row>
    <row r="625" spans="18:21" ht="15.75" customHeight="1" x14ac:dyDescent="0.25">
      <c r="R625" s="3"/>
      <c r="S625" s="3"/>
      <c r="T625" s="3"/>
      <c r="U625" s="3"/>
    </row>
    <row r="626" spans="18:21" ht="15.75" customHeight="1" x14ac:dyDescent="0.25">
      <c r="R626" s="3"/>
      <c r="S626" s="3"/>
      <c r="T626" s="3"/>
      <c r="U626" s="3"/>
    </row>
    <row r="627" spans="18:21" ht="15.75" customHeight="1" x14ac:dyDescent="0.25">
      <c r="R627" s="3"/>
      <c r="S627" s="3"/>
      <c r="T627" s="3"/>
      <c r="U627" s="3"/>
    </row>
    <row r="628" spans="18:21" ht="15.75" customHeight="1" x14ac:dyDescent="0.25">
      <c r="R628" s="3"/>
      <c r="S628" s="3"/>
      <c r="T628" s="3"/>
      <c r="U628" s="3"/>
    </row>
    <row r="629" spans="18:21" ht="15.75" customHeight="1" x14ac:dyDescent="0.25">
      <c r="R629" s="3"/>
      <c r="S629" s="3"/>
      <c r="T629" s="3"/>
      <c r="U629" s="3"/>
    </row>
    <row r="630" spans="18:21" ht="15.75" customHeight="1" x14ac:dyDescent="0.25">
      <c r="R630" s="3"/>
      <c r="S630" s="3"/>
      <c r="T630" s="3"/>
      <c r="U630" s="3"/>
    </row>
    <row r="631" spans="18:21" ht="15.75" customHeight="1" x14ac:dyDescent="0.25">
      <c r="R631" s="3"/>
      <c r="S631" s="3"/>
      <c r="T631" s="3"/>
      <c r="U631" s="3"/>
    </row>
    <row r="632" spans="18:21" ht="15.75" customHeight="1" x14ac:dyDescent="0.25">
      <c r="R632" s="3"/>
      <c r="S632" s="3"/>
      <c r="T632" s="3"/>
      <c r="U632" s="3"/>
    </row>
    <row r="633" spans="18:21" ht="15.75" customHeight="1" x14ac:dyDescent="0.25">
      <c r="R633" s="3"/>
      <c r="S633" s="3"/>
      <c r="T633" s="3"/>
      <c r="U633" s="3"/>
    </row>
    <row r="634" spans="18:21" ht="15.75" customHeight="1" x14ac:dyDescent="0.25">
      <c r="R634" s="3"/>
      <c r="S634" s="3"/>
      <c r="T634" s="3"/>
      <c r="U634" s="3"/>
    </row>
    <row r="635" spans="18:21" ht="15.75" customHeight="1" x14ac:dyDescent="0.25">
      <c r="R635" s="3"/>
      <c r="S635" s="3"/>
      <c r="T635" s="3"/>
      <c r="U635" s="3"/>
    </row>
    <row r="636" spans="18:21" ht="15.75" customHeight="1" x14ac:dyDescent="0.25">
      <c r="R636" s="3"/>
      <c r="S636" s="3"/>
      <c r="T636" s="3"/>
      <c r="U636" s="3"/>
    </row>
    <row r="637" spans="18:21" ht="15.75" customHeight="1" x14ac:dyDescent="0.25">
      <c r="R637" s="3"/>
      <c r="S637" s="3"/>
      <c r="T637" s="3"/>
      <c r="U637" s="3"/>
    </row>
    <row r="638" spans="18:21" ht="15.75" customHeight="1" x14ac:dyDescent="0.25">
      <c r="R638" s="3"/>
      <c r="S638" s="3"/>
      <c r="T638" s="3"/>
      <c r="U638" s="3"/>
    </row>
    <row r="639" spans="18:21" ht="15.75" customHeight="1" x14ac:dyDescent="0.25">
      <c r="R639" s="3"/>
      <c r="S639" s="3"/>
      <c r="T639" s="3"/>
      <c r="U639" s="3"/>
    </row>
    <row r="640" spans="18:21" ht="15.75" customHeight="1" x14ac:dyDescent="0.25">
      <c r="R640" s="3"/>
      <c r="S640" s="3"/>
      <c r="T640" s="3"/>
      <c r="U640" s="3"/>
    </row>
    <row r="641" spans="18:21" ht="15.75" customHeight="1" x14ac:dyDescent="0.25">
      <c r="R641" s="3"/>
      <c r="S641" s="3"/>
      <c r="T641" s="3"/>
      <c r="U641" s="3"/>
    </row>
    <row r="642" spans="18:21" ht="15.75" customHeight="1" x14ac:dyDescent="0.25">
      <c r="R642" s="3"/>
      <c r="S642" s="3"/>
      <c r="T642" s="3"/>
      <c r="U642" s="3"/>
    </row>
    <row r="643" spans="18:21" ht="15.75" customHeight="1" x14ac:dyDescent="0.25">
      <c r="R643" s="3"/>
      <c r="S643" s="3"/>
      <c r="T643" s="3"/>
      <c r="U643" s="3"/>
    </row>
    <row r="644" spans="18:21" ht="15.75" customHeight="1" x14ac:dyDescent="0.25">
      <c r="R644" s="3"/>
      <c r="S644" s="3"/>
      <c r="T644" s="3"/>
      <c r="U644" s="3"/>
    </row>
    <row r="645" spans="18:21" ht="15.75" customHeight="1" x14ac:dyDescent="0.25">
      <c r="R645" s="3"/>
      <c r="S645" s="3"/>
      <c r="T645" s="3"/>
      <c r="U645" s="3"/>
    </row>
    <row r="646" spans="18:21" ht="15.75" customHeight="1" x14ac:dyDescent="0.25">
      <c r="R646" s="3"/>
      <c r="S646" s="3"/>
      <c r="T646" s="3"/>
      <c r="U646" s="3"/>
    </row>
    <row r="647" spans="18:21" ht="15.75" customHeight="1" x14ac:dyDescent="0.25">
      <c r="R647" s="3"/>
      <c r="S647" s="3"/>
      <c r="T647" s="3"/>
      <c r="U647" s="3"/>
    </row>
    <row r="648" spans="18:21" ht="15.75" customHeight="1" x14ac:dyDescent="0.25">
      <c r="R648" s="3"/>
      <c r="S648" s="3"/>
      <c r="T648" s="3"/>
      <c r="U648" s="3"/>
    </row>
    <row r="649" spans="18:21" ht="15.75" customHeight="1" x14ac:dyDescent="0.25">
      <c r="R649" s="3"/>
      <c r="S649" s="3"/>
      <c r="T649" s="3"/>
      <c r="U649" s="3"/>
    </row>
    <row r="650" spans="18:21" ht="15.75" customHeight="1" x14ac:dyDescent="0.25">
      <c r="R650" s="3"/>
      <c r="S650" s="3"/>
      <c r="T650" s="3"/>
      <c r="U650" s="3"/>
    </row>
    <row r="651" spans="18:21" ht="15.75" customHeight="1" x14ac:dyDescent="0.25">
      <c r="R651" s="3"/>
      <c r="S651" s="3"/>
      <c r="T651" s="3"/>
      <c r="U651" s="3"/>
    </row>
    <row r="652" spans="18:21" ht="15.75" customHeight="1" x14ac:dyDescent="0.25">
      <c r="R652" s="3"/>
      <c r="S652" s="3"/>
      <c r="T652" s="3"/>
      <c r="U652" s="3"/>
    </row>
    <row r="653" spans="18:21" ht="15.75" customHeight="1" x14ac:dyDescent="0.25">
      <c r="R653" s="3"/>
      <c r="S653" s="3"/>
      <c r="T653" s="3"/>
      <c r="U653" s="3"/>
    </row>
    <row r="654" spans="18:21" ht="15.75" customHeight="1" x14ac:dyDescent="0.25">
      <c r="R654" s="3"/>
      <c r="S654" s="3"/>
      <c r="T654" s="3"/>
      <c r="U654" s="3"/>
    </row>
    <row r="655" spans="18:21" ht="15.75" customHeight="1" x14ac:dyDescent="0.25">
      <c r="R655" s="3"/>
      <c r="S655" s="3"/>
      <c r="T655" s="3"/>
      <c r="U655" s="3"/>
    </row>
    <row r="656" spans="18:21" ht="15.75" customHeight="1" x14ac:dyDescent="0.25">
      <c r="R656" s="3"/>
      <c r="S656" s="3"/>
      <c r="T656" s="3"/>
      <c r="U656" s="3"/>
    </row>
    <row r="657" spans="18:21" ht="15.75" customHeight="1" x14ac:dyDescent="0.25">
      <c r="R657" s="3"/>
      <c r="S657" s="3"/>
      <c r="T657" s="3"/>
      <c r="U657" s="3"/>
    </row>
    <row r="658" spans="18:21" ht="15.75" customHeight="1" x14ac:dyDescent="0.25">
      <c r="R658" s="3"/>
      <c r="S658" s="3"/>
      <c r="T658" s="3"/>
      <c r="U658" s="3"/>
    </row>
    <row r="659" spans="18:21" ht="15.75" customHeight="1" x14ac:dyDescent="0.25">
      <c r="R659" s="3"/>
      <c r="S659" s="3"/>
      <c r="T659" s="3"/>
      <c r="U659" s="3"/>
    </row>
    <row r="660" spans="18:21" ht="15.75" customHeight="1" x14ac:dyDescent="0.25">
      <c r="R660" s="3"/>
      <c r="S660" s="3"/>
      <c r="T660" s="3"/>
      <c r="U660" s="3"/>
    </row>
    <row r="661" spans="18:21" ht="15.75" customHeight="1" x14ac:dyDescent="0.25">
      <c r="R661" s="3"/>
      <c r="S661" s="3"/>
      <c r="T661" s="3"/>
      <c r="U661" s="3"/>
    </row>
    <row r="662" spans="18:21" ht="15.75" customHeight="1" x14ac:dyDescent="0.25">
      <c r="R662" s="3"/>
      <c r="S662" s="3"/>
      <c r="T662" s="3"/>
      <c r="U662" s="3"/>
    </row>
    <row r="663" spans="18:21" ht="15.75" customHeight="1" x14ac:dyDescent="0.25">
      <c r="R663" s="3"/>
      <c r="S663" s="3"/>
      <c r="T663" s="3"/>
      <c r="U663" s="3"/>
    </row>
    <row r="664" spans="18:21" ht="15.75" customHeight="1" x14ac:dyDescent="0.25">
      <c r="R664" s="3"/>
      <c r="S664" s="3"/>
      <c r="T664" s="3"/>
      <c r="U664" s="3"/>
    </row>
    <row r="665" spans="18:21" ht="15.75" customHeight="1" x14ac:dyDescent="0.25">
      <c r="R665" s="3"/>
      <c r="S665" s="3"/>
      <c r="T665" s="3"/>
      <c r="U665" s="3"/>
    </row>
    <row r="666" spans="18:21" ht="15.75" customHeight="1" x14ac:dyDescent="0.25">
      <c r="R666" s="3"/>
      <c r="S666" s="3"/>
      <c r="T666" s="3"/>
      <c r="U666" s="3"/>
    </row>
    <row r="667" spans="18:21" ht="15.75" customHeight="1" x14ac:dyDescent="0.25">
      <c r="R667" s="3"/>
      <c r="S667" s="3"/>
      <c r="T667" s="3"/>
      <c r="U667" s="3"/>
    </row>
    <row r="668" spans="18:21" ht="15.75" customHeight="1" x14ac:dyDescent="0.25">
      <c r="R668" s="3"/>
      <c r="S668" s="3"/>
      <c r="T668" s="3"/>
      <c r="U668" s="3"/>
    </row>
    <row r="669" spans="18:21" ht="15.75" customHeight="1" x14ac:dyDescent="0.25">
      <c r="R669" s="3"/>
      <c r="S669" s="3"/>
      <c r="T669" s="3"/>
      <c r="U669" s="3"/>
    </row>
    <row r="670" spans="18:21" ht="15.75" customHeight="1" x14ac:dyDescent="0.25">
      <c r="R670" s="3"/>
      <c r="S670" s="3"/>
      <c r="T670" s="3"/>
      <c r="U670" s="3"/>
    </row>
    <row r="671" spans="18:21" ht="15.75" customHeight="1" x14ac:dyDescent="0.25">
      <c r="R671" s="3"/>
      <c r="S671" s="3"/>
      <c r="T671" s="3"/>
      <c r="U671" s="3"/>
    </row>
    <row r="672" spans="18:21" ht="15.75" customHeight="1" x14ac:dyDescent="0.25">
      <c r="R672" s="3"/>
      <c r="S672" s="3"/>
      <c r="T672" s="3"/>
      <c r="U672" s="3"/>
    </row>
    <row r="673" spans="18:21" ht="15.75" customHeight="1" x14ac:dyDescent="0.25">
      <c r="R673" s="3"/>
      <c r="S673" s="3"/>
      <c r="T673" s="3"/>
      <c r="U673" s="3"/>
    </row>
    <row r="674" spans="18:21" ht="15.75" customHeight="1" x14ac:dyDescent="0.25">
      <c r="R674" s="3"/>
      <c r="S674" s="3"/>
      <c r="T674" s="3"/>
      <c r="U674" s="3"/>
    </row>
    <row r="675" spans="18:21" ht="15.75" customHeight="1" x14ac:dyDescent="0.25">
      <c r="R675" s="3"/>
      <c r="S675" s="3"/>
      <c r="T675" s="3"/>
      <c r="U675" s="3"/>
    </row>
    <row r="676" spans="18:21" ht="15.75" customHeight="1" x14ac:dyDescent="0.25">
      <c r="R676" s="3"/>
      <c r="S676" s="3"/>
      <c r="T676" s="3"/>
      <c r="U676" s="3"/>
    </row>
    <row r="677" spans="18:21" ht="15.75" customHeight="1" x14ac:dyDescent="0.25">
      <c r="R677" s="3"/>
      <c r="S677" s="3"/>
      <c r="T677" s="3"/>
      <c r="U677" s="3"/>
    </row>
    <row r="678" spans="18:21" ht="15.75" customHeight="1" x14ac:dyDescent="0.25">
      <c r="R678" s="3"/>
      <c r="S678" s="3"/>
      <c r="T678" s="3"/>
      <c r="U678" s="3"/>
    </row>
    <row r="679" spans="18:21" ht="15.75" customHeight="1" x14ac:dyDescent="0.25">
      <c r="R679" s="3"/>
      <c r="S679" s="3"/>
      <c r="T679" s="3"/>
      <c r="U679" s="3"/>
    </row>
    <row r="680" spans="18:21" ht="15.75" customHeight="1" x14ac:dyDescent="0.25">
      <c r="R680" s="3"/>
      <c r="S680" s="3"/>
      <c r="T680" s="3"/>
      <c r="U680" s="3"/>
    </row>
    <row r="681" spans="18:21" ht="15.75" customHeight="1" x14ac:dyDescent="0.25">
      <c r="R681" s="3"/>
      <c r="S681" s="3"/>
      <c r="T681" s="3"/>
      <c r="U681" s="3"/>
    </row>
    <row r="682" spans="18:21" ht="15.75" customHeight="1" x14ac:dyDescent="0.25">
      <c r="R682" s="3"/>
      <c r="S682" s="3"/>
      <c r="T682" s="3"/>
      <c r="U682" s="3"/>
    </row>
    <row r="683" spans="18:21" ht="15.75" customHeight="1" x14ac:dyDescent="0.25">
      <c r="R683" s="3"/>
      <c r="S683" s="3"/>
      <c r="T683" s="3"/>
      <c r="U683" s="3"/>
    </row>
    <row r="684" spans="18:21" ht="15.75" customHeight="1" x14ac:dyDescent="0.25">
      <c r="R684" s="3"/>
      <c r="S684" s="3"/>
      <c r="T684" s="3"/>
      <c r="U684" s="3"/>
    </row>
    <row r="685" spans="18:21" ht="15.75" customHeight="1" x14ac:dyDescent="0.25">
      <c r="R685" s="3"/>
      <c r="S685" s="3"/>
      <c r="T685" s="3"/>
      <c r="U685" s="3"/>
    </row>
    <row r="686" spans="18:21" ht="15.75" customHeight="1" x14ac:dyDescent="0.25">
      <c r="R686" s="3"/>
      <c r="S686" s="3"/>
      <c r="T686" s="3"/>
      <c r="U686" s="3"/>
    </row>
    <row r="687" spans="18:21" ht="15.75" customHeight="1" x14ac:dyDescent="0.25">
      <c r="R687" s="3"/>
      <c r="S687" s="3"/>
      <c r="T687" s="3"/>
      <c r="U687" s="3"/>
    </row>
    <row r="688" spans="18:21" ht="15.75" customHeight="1" x14ac:dyDescent="0.25">
      <c r="R688" s="3"/>
      <c r="S688" s="3"/>
      <c r="T688" s="3"/>
      <c r="U688" s="3"/>
    </row>
    <row r="689" spans="18:21" ht="15.75" customHeight="1" x14ac:dyDescent="0.25">
      <c r="R689" s="3"/>
      <c r="S689" s="3"/>
      <c r="T689" s="3"/>
      <c r="U689" s="3"/>
    </row>
    <row r="690" spans="18:21" ht="15.75" customHeight="1" x14ac:dyDescent="0.25">
      <c r="R690" s="3"/>
      <c r="S690" s="3"/>
      <c r="T690" s="3"/>
      <c r="U690" s="3"/>
    </row>
    <row r="691" spans="18:21" ht="15.75" customHeight="1" x14ac:dyDescent="0.25">
      <c r="R691" s="3"/>
      <c r="S691" s="3"/>
      <c r="T691" s="3"/>
      <c r="U691" s="3"/>
    </row>
    <row r="692" spans="18:21" ht="15.75" customHeight="1" x14ac:dyDescent="0.25">
      <c r="R692" s="3"/>
      <c r="S692" s="3"/>
      <c r="T692" s="3"/>
      <c r="U692" s="3"/>
    </row>
    <row r="693" spans="18:21" ht="15.75" customHeight="1" x14ac:dyDescent="0.25">
      <c r="R693" s="3"/>
      <c r="S693" s="3"/>
      <c r="T693" s="3"/>
      <c r="U693" s="3"/>
    </row>
    <row r="694" spans="18:21" ht="15.75" customHeight="1" x14ac:dyDescent="0.25">
      <c r="R694" s="3"/>
      <c r="S694" s="3"/>
      <c r="T694" s="3"/>
      <c r="U694" s="3"/>
    </row>
    <row r="695" spans="18:21" ht="15.75" customHeight="1" x14ac:dyDescent="0.25">
      <c r="R695" s="3"/>
      <c r="S695" s="3"/>
      <c r="T695" s="3"/>
      <c r="U695" s="3"/>
    </row>
    <row r="696" spans="18:21" ht="15.75" customHeight="1" x14ac:dyDescent="0.25">
      <c r="R696" s="3"/>
      <c r="S696" s="3"/>
      <c r="T696" s="3"/>
      <c r="U696" s="3"/>
    </row>
    <row r="697" spans="18:21" ht="15.75" customHeight="1" x14ac:dyDescent="0.25">
      <c r="R697" s="3"/>
      <c r="S697" s="3"/>
      <c r="T697" s="3"/>
      <c r="U697" s="3"/>
    </row>
    <row r="698" spans="18:21" ht="15.75" customHeight="1" x14ac:dyDescent="0.25">
      <c r="R698" s="3"/>
      <c r="S698" s="3"/>
      <c r="T698" s="3"/>
      <c r="U698" s="3"/>
    </row>
    <row r="699" spans="18:21" ht="15.75" customHeight="1" x14ac:dyDescent="0.25">
      <c r="R699" s="3"/>
      <c r="S699" s="3"/>
      <c r="T699" s="3"/>
      <c r="U699" s="3"/>
    </row>
    <row r="700" spans="18:21" ht="15.75" customHeight="1" x14ac:dyDescent="0.25">
      <c r="R700" s="3"/>
      <c r="S700" s="3"/>
      <c r="T700" s="3"/>
      <c r="U700" s="3"/>
    </row>
    <row r="701" spans="18:21" ht="15.75" customHeight="1" x14ac:dyDescent="0.25">
      <c r="R701" s="3"/>
      <c r="S701" s="3"/>
      <c r="T701" s="3"/>
      <c r="U701" s="3"/>
    </row>
    <row r="702" spans="18:21" ht="15.75" customHeight="1" x14ac:dyDescent="0.25">
      <c r="R702" s="3"/>
      <c r="S702" s="3"/>
      <c r="T702" s="3"/>
      <c r="U702" s="3"/>
    </row>
    <row r="703" spans="18:21" ht="15.75" customHeight="1" x14ac:dyDescent="0.25">
      <c r="R703" s="3"/>
      <c r="S703" s="3"/>
      <c r="T703" s="3"/>
      <c r="U703" s="3"/>
    </row>
    <row r="704" spans="18:21" ht="15.75" customHeight="1" x14ac:dyDescent="0.25">
      <c r="R704" s="3"/>
      <c r="S704" s="3"/>
      <c r="T704" s="3"/>
      <c r="U704" s="3"/>
    </row>
    <row r="705" spans="18:21" ht="15.75" customHeight="1" x14ac:dyDescent="0.25">
      <c r="R705" s="3"/>
      <c r="S705" s="3"/>
      <c r="T705" s="3"/>
      <c r="U705" s="3"/>
    </row>
    <row r="706" spans="18:21" ht="15.75" customHeight="1" x14ac:dyDescent="0.25">
      <c r="R706" s="3"/>
      <c r="S706" s="3"/>
      <c r="T706" s="3"/>
      <c r="U706" s="3"/>
    </row>
    <row r="707" spans="18:21" ht="15.75" customHeight="1" x14ac:dyDescent="0.25">
      <c r="R707" s="3"/>
      <c r="S707" s="3"/>
      <c r="T707" s="3"/>
      <c r="U707" s="3"/>
    </row>
    <row r="708" spans="18:21" ht="15.75" customHeight="1" x14ac:dyDescent="0.25">
      <c r="R708" s="3"/>
      <c r="S708" s="3"/>
      <c r="T708" s="3"/>
      <c r="U708" s="3"/>
    </row>
    <row r="709" spans="18:21" ht="15.75" customHeight="1" x14ac:dyDescent="0.25">
      <c r="R709" s="3"/>
      <c r="S709" s="3"/>
      <c r="T709" s="3"/>
      <c r="U709" s="3"/>
    </row>
    <row r="710" spans="18:21" ht="15.75" customHeight="1" x14ac:dyDescent="0.25">
      <c r="R710" s="3"/>
      <c r="S710" s="3"/>
      <c r="T710" s="3"/>
      <c r="U710" s="3"/>
    </row>
    <row r="711" spans="18:21" ht="15.75" customHeight="1" x14ac:dyDescent="0.25">
      <c r="R711" s="3"/>
      <c r="S711" s="3"/>
      <c r="T711" s="3"/>
      <c r="U711" s="3"/>
    </row>
    <row r="712" spans="18:21" ht="15.75" customHeight="1" x14ac:dyDescent="0.25">
      <c r="R712" s="3"/>
      <c r="S712" s="3"/>
      <c r="T712" s="3"/>
      <c r="U712" s="3"/>
    </row>
    <row r="713" spans="18:21" ht="15.75" customHeight="1" x14ac:dyDescent="0.25">
      <c r="R713" s="3"/>
      <c r="S713" s="3"/>
      <c r="T713" s="3"/>
      <c r="U713" s="3"/>
    </row>
    <row r="714" spans="18:21" ht="15.75" customHeight="1" x14ac:dyDescent="0.25">
      <c r="R714" s="3"/>
      <c r="S714" s="3"/>
      <c r="T714" s="3"/>
      <c r="U714" s="3"/>
    </row>
    <row r="715" spans="18:21" ht="15.75" customHeight="1" x14ac:dyDescent="0.25">
      <c r="R715" s="3"/>
      <c r="S715" s="3"/>
      <c r="T715" s="3"/>
      <c r="U715" s="3"/>
    </row>
    <row r="716" spans="18:21" ht="15.75" customHeight="1" x14ac:dyDescent="0.25">
      <c r="R716" s="3"/>
      <c r="S716" s="3"/>
      <c r="T716" s="3"/>
      <c r="U716" s="3"/>
    </row>
    <row r="717" spans="18:21" ht="15.75" customHeight="1" x14ac:dyDescent="0.25">
      <c r="R717" s="3"/>
      <c r="S717" s="3"/>
      <c r="T717" s="3"/>
      <c r="U717" s="3"/>
    </row>
    <row r="718" spans="18:21" ht="15.75" customHeight="1" x14ac:dyDescent="0.25">
      <c r="R718" s="3"/>
      <c r="S718" s="3"/>
      <c r="T718" s="3"/>
      <c r="U718" s="3"/>
    </row>
    <row r="719" spans="18:21" ht="15.75" customHeight="1" x14ac:dyDescent="0.25">
      <c r="R719" s="3"/>
      <c r="S719" s="3"/>
      <c r="T719" s="3"/>
      <c r="U719" s="3"/>
    </row>
    <row r="720" spans="18:21" ht="15.75" customHeight="1" x14ac:dyDescent="0.25">
      <c r="R720" s="3"/>
      <c r="S720" s="3"/>
      <c r="T720" s="3"/>
      <c r="U720" s="3"/>
    </row>
    <row r="721" spans="18:21" ht="15.75" customHeight="1" x14ac:dyDescent="0.25">
      <c r="R721" s="3"/>
      <c r="S721" s="3"/>
      <c r="T721" s="3"/>
      <c r="U721" s="3"/>
    </row>
    <row r="722" spans="18:21" ht="15.75" customHeight="1" x14ac:dyDescent="0.25">
      <c r="R722" s="3"/>
      <c r="S722" s="3"/>
      <c r="T722" s="3"/>
      <c r="U722" s="3"/>
    </row>
    <row r="723" spans="18:21" ht="15.75" customHeight="1" x14ac:dyDescent="0.25">
      <c r="R723" s="3"/>
      <c r="S723" s="3"/>
      <c r="T723" s="3"/>
      <c r="U723" s="3"/>
    </row>
    <row r="724" spans="18:21" ht="15.75" customHeight="1" x14ac:dyDescent="0.25">
      <c r="R724" s="3"/>
      <c r="S724" s="3"/>
      <c r="T724" s="3"/>
      <c r="U724" s="3"/>
    </row>
    <row r="725" spans="18:21" ht="15.75" customHeight="1" x14ac:dyDescent="0.25">
      <c r="R725" s="3"/>
      <c r="S725" s="3"/>
      <c r="T725" s="3"/>
      <c r="U725" s="3"/>
    </row>
    <row r="726" spans="18:21" ht="15.75" customHeight="1" x14ac:dyDescent="0.25">
      <c r="R726" s="3"/>
      <c r="S726" s="3"/>
      <c r="T726" s="3"/>
      <c r="U726" s="3"/>
    </row>
    <row r="727" spans="18:21" ht="15.75" customHeight="1" x14ac:dyDescent="0.25">
      <c r="R727" s="3"/>
      <c r="S727" s="3"/>
      <c r="T727" s="3"/>
      <c r="U727" s="3"/>
    </row>
    <row r="728" spans="18:21" ht="15.75" customHeight="1" x14ac:dyDescent="0.25">
      <c r="R728" s="3"/>
      <c r="S728" s="3"/>
      <c r="T728" s="3"/>
      <c r="U728" s="3"/>
    </row>
    <row r="729" spans="18:21" ht="15.75" customHeight="1" x14ac:dyDescent="0.25">
      <c r="R729" s="3"/>
      <c r="S729" s="3"/>
      <c r="T729" s="3"/>
      <c r="U729" s="3"/>
    </row>
    <row r="730" spans="18:21" ht="15.75" customHeight="1" x14ac:dyDescent="0.25">
      <c r="R730" s="3"/>
      <c r="S730" s="3"/>
      <c r="T730" s="3"/>
      <c r="U730" s="3"/>
    </row>
    <row r="731" spans="18:21" ht="15.75" customHeight="1" x14ac:dyDescent="0.25">
      <c r="R731" s="3"/>
      <c r="S731" s="3"/>
      <c r="T731" s="3"/>
      <c r="U731" s="3"/>
    </row>
    <row r="732" spans="18:21" ht="15.75" customHeight="1" x14ac:dyDescent="0.25">
      <c r="R732" s="3"/>
      <c r="S732" s="3"/>
      <c r="T732" s="3"/>
      <c r="U732" s="3"/>
    </row>
    <row r="733" spans="18:21" ht="15.75" customHeight="1" x14ac:dyDescent="0.25">
      <c r="R733" s="3"/>
      <c r="S733" s="3"/>
      <c r="T733" s="3"/>
      <c r="U733" s="3"/>
    </row>
    <row r="734" spans="18:21" ht="15.75" customHeight="1" x14ac:dyDescent="0.25">
      <c r="R734" s="3"/>
      <c r="S734" s="3"/>
      <c r="T734" s="3"/>
      <c r="U734" s="3"/>
    </row>
    <row r="735" spans="18:21" ht="15.75" customHeight="1" x14ac:dyDescent="0.25">
      <c r="R735" s="3"/>
      <c r="S735" s="3"/>
      <c r="T735" s="3"/>
      <c r="U735" s="3"/>
    </row>
    <row r="736" spans="18:21" ht="15.75" customHeight="1" x14ac:dyDescent="0.25">
      <c r="R736" s="3"/>
      <c r="S736" s="3"/>
      <c r="T736" s="3"/>
      <c r="U736" s="3"/>
    </row>
    <row r="737" spans="18:21" ht="15.75" customHeight="1" x14ac:dyDescent="0.25">
      <c r="R737" s="3"/>
      <c r="S737" s="3"/>
      <c r="T737" s="3"/>
      <c r="U737" s="3"/>
    </row>
    <row r="738" spans="18:21" ht="15.75" customHeight="1" x14ac:dyDescent="0.25">
      <c r="R738" s="3"/>
      <c r="S738" s="3"/>
      <c r="T738" s="3"/>
      <c r="U738" s="3"/>
    </row>
    <row r="739" spans="18:21" ht="15.75" customHeight="1" x14ac:dyDescent="0.25">
      <c r="R739" s="3"/>
      <c r="S739" s="3"/>
      <c r="T739" s="3"/>
      <c r="U739" s="3"/>
    </row>
    <row r="740" spans="18:21" ht="15.75" customHeight="1" x14ac:dyDescent="0.25">
      <c r="R740" s="3"/>
      <c r="S740" s="3"/>
      <c r="T740" s="3"/>
      <c r="U740" s="3"/>
    </row>
    <row r="741" spans="18:21" ht="15.75" customHeight="1" x14ac:dyDescent="0.25">
      <c r="R741" s="3"/>
      <c r="S741" s="3"/>
      <c r="T741" s="3"/>
      <c r="U741" s="3"/>
    </row>
    <row r="742" spans="18:21" ht="15.75" customHeight="1" x14ac:dyDescent="0.25">
      <c r="R742" s="3"/>
      <c r="S742" s="3"/>
      <c r="T742" s="3"/>
      <c r="U742" s="3"/>
    </row>
    <row r="743" spans="18:21" ht="15.75" customHeight="1" x14ac:dyDescent="0.25">
      <c r="R743" s="3"/>
      <c r="S743" s="3"/>
      <c r="T743" s="3"/>
      <c r="U743" s="3"/>
    </row>
    <row r="744" spans="18:21" ht="15.75" customHeight="1" x14ac:dyDescent="0.25">
      <c r="R744" s="3"/>
      <c r="S744" s="3"/>
      <c r="T744" s="3"/>
      <c r="U744" s="3"/>
    </row>
    <row r="745" spans="18:21" ht="15.75" customHeight="1" x14ac:dyDescent="0.25">
      <c r="R745" s="3"/>
      <c r="S745" s="3"/>
      <c r="T745" s="3"/>
      <c r="U745" s="3"/>
    </row>
    <row r="746" spans="18:21" ht="15.75" customHeight="1" x14ac:dyDescent="0.25">
      <c r="R746" s="3"/>
      <c r="S746" s="3"/>
      <c r="T746" s="3"/>
      <c r="U746" s="3"/>
    </row>
    <row r="747" spans="18:21" ht="15.75" customHeight="1" x14ac:dyDescent="0.25">
      <c r="R747" s="3"/>
      <c r="S747" s="3"/>
      <c r="T747" s="3"/>
      <c r="U747" s="3"/>
    </row>
    <row r="748" spans="18:21" ht="15.75" customHeight="1" x14ac:dyDescent="0.25">
      <c r="R748" s="3"/>
      <c r="S748" s="3"/>
      <c r="T748" s="3"/>
      <c r="U748" s="3"/>
    </row>
    <row r="749" spans="18:21" ht="15.75" customHeight="1" x14ac:dyDescent="0.25">
      <c r="R749" s="3"/>
      <c r="S749" s="3"/>
      <c r="T749" s="3"/>
      <c r="U749" s="3"/>
    </row>
    <row r="750" spans="18:21" ht="15.75" customHeight="1" x14ac:dyDescent="0.25">
      <c r="R750" s="3"/>
      <c r="S750" s="3"/>
      <c r="T750" s="3"/>
      <c r="U750" s="3"/>
    </row>
    <row r="751" spans="18:21" ht="15.75" customHeight="1" x14ac:dyDescent="0.25">
      <c r="R751" s="3"/>
      <c r="S751" s="3"/>
      <c r="T751" s="3"/>
      <c r="U751" s="3"/>
    </row>
    <row r="752" spans="18:21" ht="15.75" customHeight="1" x14ac:dyDescent="0.25">
      <c r="R752" s="3"/>
      <c r="S752" s="3"/>
      <c r="T752" s="3"/>
      <c r="U752" s="3"/>
    </row>
    <row r="753" spans="18:21" ht="15.75" customHeight="1" x14ac:dyDescent="0.25">
      <c r="R753" s="3"/>
      <c r="S753" s="3"/>
      <c r="T753" s="3"/>
      <c r="U753" s="3"/>
    </row>
    <row r="754" spans="18:21" ht="15.75" customHeight="1" x14ac:dyDescent="0.25">
      <c r="R754" s="3"/>
      <c r="S754" s="3"/>
      <c r="T754" s="3"/>
      <c r="U754" s="3"/>
    </row>
    <row r="755" spans="18:21" ht="15.75" customHeight="1" x14ac:dyDescent="0.25">
      <c r="R755" s="3"/>
      <c r="S755" s="3"/>
      <c r="T755" s="3"/>
      <c r="U755" s="3"/>
    </row>
    <row r="756" spans="18:21" ht="15.75" customHeight="1" x14ac:dyDescent="0.25">
      <c r="R756" s="3"/>
      <c r="S756" s="3"/>
      <c r="T756" s="3"/>
      <c r="U756" s="3"/>
    </row>
    <row r="757" spans="18:21" ht="15.75" customHeight="1" x14ac:dyDescent="0.25">
      <c r="R757" s="3"/>
      <c r="S757" s="3"/>
      <c r="T757" s="3"/>
      <c r="U757" s="3"/>
    </row>
    <row r="758" spans="18:21" ht="15.75" customHeight="1" x14ac:dyDescent="0.25">
      <c r="R758" s="3"/>
      <c r="S758" s="3"/>
      <c r="T758" s="3"/>
      <c r="U758" s="3"/>
    </row>
    <row r="759" spans="18:21" ht="15.75" customHeight="1" x14ac:dyDescent="0.25">
      <c r="R759" s="3"/>
      <c r="S759" s="3"/>
      <c r="T759" s="3"/>
      <c r="U759" s="3"/>
    </row>
    <row r="760" spans="18:21" ht="15.75" customHeight="1" x14ac:dyDescent="0.25">
      <c r="R760" s="3"/>
      <c r="S760" s="3"/>
      <c r="T760" s="3"/>
      <c r="U760" s="3"/>
    </row>
    <row r="761" spans="18:21" ht="15.75" customHeight="1" x14ac:dyDescent="0.25">
      <c r="R761" s="3"/>
      <c r="S761" s="3"/>
      <c r="T761" s="3"/>
      <c r="U761" s="3"/>
    </row>
    <row r="762" spans="18:21" ht="15.75" customHeight="1" x14ac:dyDescent="0.25">
      <c r="R762" s="3"/>
      <c r="S762" s="3"/>
      <c r="T762" s="3"/>
      <c r="U762" s="3"/>
    </row>
    <row r="763" spans="18:21" ht="15.75" customHeight="1" x14ac:dyDescent="0.25">
      <c r="R763" s="3"/>
      <c r="S763" s="3"/>
      <c r="T763" s="3"/>
      <c r="U763" s="3"/>
    </row>
    <row r="764" spans="18:21" ht="15.75" customHeight="1" x14ac:dyDescent="0.25">
      <c r="R764" s="3"/>
      <c r="S764" s="3"/>
      <c r="T764" s="3"/>
      <c r="U764" s="3"/>
    </row>
    <row r="765" spans="18:21" ht="15.75" customHeight="1" x14ac:dyDescent="0.25">
      <c r="R765" s="3"/>
      <c r="S765" s="3"/>
      <c r="T765" s="3"/>
      <c r="U765" s="3"/>
    </row>
    <row r="766" spans="18:21" ht="15.75" customHeight="1" x14ac:dyDescent="0.25">
      <c r="R766" s="3"/>
      <c r="S766" s="3"/>
      <c r="T766" s="3"/>
      <c r="U766" s="3"/>
    </row>
    <row r="767" spans="18:21" ht="15.75" customHeight="1" x14ac:dyDescent="0.25">
      <c r="R767" s="3"/>
      <c r="S767" s="3"/>
      <c r="T767" s="3"/>
      <c r="U767" s="3"/>
    </row>
    <row r="768" spans="18:21" ht="15.75" customHeight="1" x14ac:dyDescent="0.25">
      <c r="R768" s="3"/>
      <c r="S768" s="3"/>
      <c r="T768" s="3"/>
      <c r="U768" s="3"/>
    </row>
    <row r="769" spans="18:21" ht="15.75" customHeight="1" x14ac:dyDescent="0.25">
      <c r="R769" s="3"/>
      <c r="S769" s="3"/>
      <c r="T769" s="3"/>
      <c r="U769" s="3"/>
    </row>
    <row r="770" spans="18:21" ht="15.75" customHeight="1" x14ac:dyDescent="0.25">
      <c r="R770" s="3"/>
      <c r="S770" s="3"/>
      <c r="T770" s="3"/>
      <c r="U770" s="3"/>
    </row>
    <row r="771" spans="18:21" ht="15.75" customHeight="1" x14ac:dyDescent="0.25">
      <c r="R771" s="3"/>
      <c r="S771" s="3"/>
      <c r="T771" s="3"/>
      <c r="U771" s="3"/>
    </row>
    <row r="772" spans="18:21" ht="15.75" customHeight="1" x14ac:dyDescent="0.25">
      <c r="R772" s="3"/>
      <c r="S772" s="3"/>
      <c r="T772" s="3"/>
      <c r="U772" s="3"/>
    </row>
    <row r="773" spans="18:21" ht="15.75" customHeight="1" x14ac:dyDescent="0.25">
      <c r="R773" s="3"/>
      <c r="S773" s="3"/>
      <c r="T773" s="3"/>
      <c r="U773" s="3"/>
    </row>
    <row r="774" spans="18:21" ht="15.75" customHeight="1" x14ac:dyDescent="0.25">
      <c r="R774" s="3"/>
      <c r="S774" s="3"/>
      <c r="T774" s="3"/>
      <c r="U774" s="3"/>
    </row>
    <row r="775" spans="18:21" ht="15.75" customHeight="1" x14ac:dyDescent="0.25">
      <c r="R775" s="3"/>
      <c r="S775" s="3"/>
      <c r="T775" s="3"/>
      <c r="U775" s="3"/>
    </row>
    <row r="776" spans="18:21" ht="15.75" customHeight="1" x14ac:dyDescent="0.25">
      <c r="R776" s="3"/>
      <c r="S776" s="3"/>
      <c r="T776" s="3"/>
      <c r="U776" s="3"/>
    </row>
    <row r="777" spans="18:21" ht="15.75" customHeight="1" x14ac:dyDescent="0.25">
      <c r="R777" s="3"/>
      <c r="S777" s="3"/>
      <c r="T777" s="3"/>
      <c r="U777" s="3"/>
    </row>
    <row r="778" spans="18:21" ht="15.75" customHeight="1" x14ac:dyDescent="0.25">
      <c r="R778" s="3"/>
      <c r="S778" s="3"/>
      <c r="T778" s="3"/>
      <c r="U778" s="3"/>
    </row>
    <row r="779" spans="18:21" ht="15.75" customHeight="1" x14ac:dyDescent="0.25">
      <c r="R779" s="3"/>
      <c r="S779" s="3"/>
      <c r="T779" s="3"/>
      <c r="U779" s="3"/>
    </row>
    <row r="780" spans="18:21" ht="15.75" customHeight="1" x14ac:dyDescent="0.25">
      <c r="R780" s="3"/>
      <c r="S780" s="3"/>
      <c r="T780" s="3"/>
      <c r="U780" s="3"/>
    </row>
    <row r="781" spans="18:21" ht="15.75" customHeight="1" x14ac:dyDescent="0.25">
      <c r="R781" s="3"/>
      <c r="S781" s="3"/>
      <c r="T781" s="3"/>
      <c r="U781" s="3"/>
    </row>
    <row r="782" spans="18:21" ht="15.75" customHeight="1" x14ac:dyDescent="0.25">
      <c r="R782" s="3"/>
      <c r="S782" s="3"/>
      <c r="T782" s="3"/>
      <c r="U782" s="3"/>
    </row>
    <row r="783" spans="18:21" ht="15.75" customHeight="1" x14ac:dyDescent="0.25">
      <c r="R783" s="3"/>
      <c r="S783" s="3"/>
      <c r="T783" s="3"/>
      <c r="U783" s="3"/>
    </row>
    <row r="784" spans="18:21" ht="15.75" customHeight="1" x14ac:dyDescent="0.25">
      <c r="R784" s="3"/>
      <c r="S784" s="3"/>
      <c r="T784" s="3"/>
      <c r="U784" s="3"/>
    </row>
    <row r="785" spans="18:21" ht="15.75" customHeight="1" x14ac:dyDescent="0.25">
      <c r="R785" s="3"/>
      <c r="S785" s="3"/>
      <c r="T785" s="3"/>
      <c r="U785" s="3"/>
    </row>
    <row r="786" spans="18:21" ht="15.75" customHeight="1" x14ac:dyDescent="0.25">
      <c r="R786" s="3"/>
      <c r="S786" s="3"/>
      <c r="T786" s="3"/>
      <c r="U786" s="3"/>
    </row>
    <row r="787" spans="18:21" ht="15.75" customHeight="1" x14ac:dyDescent="0.25">
      <c r="R787" s="3"/>
      <c r="S787" s="3"/>
      <c r="T787" s="3"/>
      <c r="U787" s="3"/>
    </row>
    <row r="788" spans="18:21" ht="15.75" customHeight="1" x14ac:dyDescent="0.25">
      <c r="R788" s="3"/>
      <c r="S788" s="3"/>
      <c r="T788" s="3"/>
      <c r="U788" s="3"/>
    </row>
    <row r="789" spans="18:21" ht="15.75" customHeight="1" x14ac:dyDescent="0.25">
      <c r="R789" s="3"/>
      <c r="S789" s="3"/>
      <c r="T789" s="3"/>
      <c r="U789" s="3"/>
    </row>
    <row r="790" spans="18:21" ht="15.75" customHeight="1" x14ac:dyDescent="0.25">
      <c r="R790" s="3"/>
      <c r="S790" s="3"/>
      <c r="T790" s="3"/>
      <c r="U790" s="3"/>
    </row>
    <row r="791" spans="18:21" ht="15.75" customHeight="1" x14ac:dyDescent="0.25">
      <c r="R791" s="3"/>
      <c r="S791" s="3"/>
      <c r="T791" s="3"/>
      <c r="U791" s="3"/>
    </row>
    <row r="792" spans="18:21" ht="15.75" customHeight="1" x14ac:dyDescent="0.25">
      <c r="R792" s="3"/>
      <c r="S792" s="3"/>
      <c r="T792" s="3"/>
      <c r="U792" s="3"/>
    </row>
    <row r="793" spans="18:21" ht="15.75" customHeight="1" x14ac:dyDescent="0.25">
      <c r="R793" s="3"/>
      <c r="S793" s="3"/>
      <c r="T793" s="3"/>
      <c r="U793" s="3"/>
    </row>
    <row r="794" spans="18:21" ht="15.75" customHeight="1" x14ac:dyDescent="0.25">
      <c r="R794" s="3"/>
      <c r="S794" s="3"/>
      <c r="T794" s="3"/>
      <c r="U794" s="3"/>
    </row>
    <row r="795" spans="18:21" ht="15.75" customHeight="1" x14ac:dyDescent="0.25">
      <c r="R795" s="3"/>
      <c r="S795" s="3"/>
      <c r="T795" s="3"/>
      <c r="U795" s="3"/>
    </row>
    <row r="796" spans="18:21" ht="15.75" customHeight="1" x14ac:dyDescent="0.25">
      <c r="R796" s="3"/>
      <c r="S796" s="3"/>
      <c r="T796" s="3"/>
      <c r="U796" s="3"/>
    </row>
    <row r="797" spans="18:21" ht="15.75" customHeight="1" x14ac:dyDescent="0.25">
      <c r="R797" s="3"/>
      <c r="S797" s="3"/>
      <c r="T797" s="3"/>
      <c r="U797" s="3"/>
    </row>
    <row r="798" spans="18:21" ht="15.75" customHeight="1" x14ac:dyDescent="0.25">
      <c r="R798" s="3"/>
      <c r="S798" s="3"/>
      <c r="T798" s="3"/>
      <c r="U798" s="3"/>
    </row>
    <row r="799" spans="18:21" ht="15.75" customHeight="1" x14ac:dyDescent="0.25">
      <c r="R799" s="3"/>
      <c r="S799" s="3"/>
      <c r="T799" s="3"/>
      <c r="U799" s="3"/>
    </row>
    <row r="800" spans="18:21" ht="15.75" customHeight="1" x14ac:dyDescent="0.25">
      <c r="R800" s="3"/>
      <c r="S800" s="3"/>
      <c r="T800" s="3"/>
      <c r="U800" s="3"/>
    </row>
    <row r="801" spans="18:21" ht="15.75" customHeight="1" x14ac:dyDescent="0.25">
      <c r="R801" s="3"/>
      <c r="S801" s="3"/>
      <c r="T801" s="3"/>
      <c r="U801" s="3"/>
    </row>
    <row r="802" spans="18:21" ht="15.75" customHeight="1" x14ac:dyDescent="0.25">
      <c r="R802" s="3"/>
      <c r="S802" s="3"/>
      <c r="T802" s="3"/>
      <c r="U802" s="3"/>
    </row>
    <row r="803" spans="18:21" ht="15.75" customHeight="1" x14ac:dyDescent="0.25">
      <c r="R803" s="3"/>
      <c r="S803" s="3"/>
      <c r="T803" s="3"/>
      <c r="U803" s="3"/>
    </row>
    <row r="804" spans="18:21" ht="15.75" customHeight="1" x14ac:dyDescent="0.25">
      <c r="R804" s="3"/>
      <c r="S804" s="3"/>
      <c r="T804" s="3"/>
      <c r="U804" s="3"/>
    </row>
    <row r="805" spans="18:21" ht="15.75" customHeight="1" x14ac:dyDescent="0.25">
      <c r="R805" s="3"/>
      <c r="S805" s="3"/>
      <c r="T805" s="3"/>
      <c r="U805" s="3"/>
    </row>
    <row r="806" spans="18:21" ht="15.75" customHeight="1" x14ac:dyDescent="0.25">
      <c r="R806" s="3"/>
      <c r="S806" s="3"/>
      <c r="T806" s="3"/>
      <c r="U806" s="3"/>
    </row>
    <row r="807" spans="18:21" ht="15.75" customHeight="1" x14ac:dyDescent="0.25">
      <c r="R807" s="3"/>
      <c r="S807" s="3"/>
      <c r="T807" s="3"/>
      <c r="U807" s="3"/>
    </row>
    <row r="808" spans="18:21" ht="15.75" customHeight="1" x14ac:dyDescent="0.25">
      <c r="R808" s="3"/>
      <c r="S808" s="3"/>
      <c r="T808" s="3"/>
      <c r="U808" s="3"/>
    </row>
    <row r="809" spans="18:21" ht="15.75" customHeight="1" x14ac:dyDescent="0.25">
      <c r="R809" s="3"/>
      <c r="S809" s="3"/>
      <c r="T809" s="3"/>
      <c r="U809" s="3"/>
    </row>
    <row r="810" spans="18:21" ht="15.75" customHeight="1" x14ac:dyDescent="0.25">
      <c r="R810" s="3"/>
      <c r="S810" s="3"/>
      <c r="T810" s="3"/>
      <c r="U810" s="3"/>
    </row>
    <row r="811" spans="18:21" ht="15.75" customHeight="1" x14ac:dyDescent="0.25">
      <c r="R811" s="3"/>
      <c r="S811" s="3"/>
      <c r="T811" s="3"/>
      <c r="U811" s="3"/>
    </row>
    <row r="812" spans="18:21" ht="15.75" customHeight="1" x14ac:dyDescent="0.25">
      <c r="R812" s="3"/>
      <c r="S812" s="3"/>
      <c r="T812" s="3"/>
      <c r="U812" s="3"/>
    </row>
    <row r="813" spans="18:21" ht="15.75" customHeight="1" x14ac:dyDescent="0.25">
      <c r="R813" s="3"/>
      <c r="S813" s="3"/>
      <c r="T813" s="3"/>
      <c r="U813" s="3"/>
    </row>
    <row r="814" spans="18:21" ht="15.75" customHeight="1" x14ac:dyDescent="0.25">
      <c r="R814" s="3"/>
      <c r="S814" s="3"/>
      <c r="T814" s="3"/>
      <c r="U814" s="3"/>
    </row>
    <row r="815" spans="18:21" ht="15.75" customHeight="1" x14ac:dyDescent="0.25">
      <c r="R815" s="3"/>
      <c r="S815" s="3"/>
      <c r="T815" s="3"/>
      <c r="U815" s="3"/>
    </row>
    <row r="816" spans="18:21" ht="15.75" customHeight="1" x14ac:dyDescent="0.25">
      <c r="R816" s="3"/>
      <c r="S816" s="3"/>
      <c r="T816" s="3"/>
      <c r="U816" s="3"/>
    </row>
    <row r="817" spans="18:21" ht="15.75" customHeight="1" x14ac:dyDescent="0.25">
      <c r="R817" s="3"/>
      <c r="S817" s="3"/>
      <c r="T817" s="3"/>
      <c r="U817" s="3"/>
    </row>
    <row r="818" spans="18:21" ht="15.75" customHeight="1" x14ac:dyDescent="0.25">
      <c r="R818" s="3"/>
      <c r="S818" s="3"/>
      <c r="T818" s="3"/>
      <c r="U818" s="3"/>
    </row>
    <row r="819" spans="18:21" ht="15.75" customHeight="1" x14ac:dyDescent="0.25">
      <c r="R819" s="3"/>
      <c r="S819" s="3"/>
      <c r="T819" s="3"/>
      <c r="U819" s="3"/>
    </row>
    <row r="820" spans="18:21" ht="15.75" customHeight="1" x14ac:dyDescent="0.25">
      <c r="R820" s="3"/>
      <c r="S820" s="3"/>
      <c r="T820" s="3"/>
      <c r="U820" s="3"/>
    </row>
    <row r="821" spans="18:21" ht="15.75" customHeight="1" x14ac:dyDescent="0.25">
      <c r="R821" s="3"/>
      <c r="S821" s="3"/>
      <c r="T821" s="3"/>
      <c r="U821" s="3"/>
    </row>
    <row r="822" spans="18:21" ht="15.75" customHeight="1" x14ac:dyDescent="0.25">
      <c r="R822" s="3"/>
      <c r="S822" s="3"/>
      <c r="T822" s="3"/>
      <c r="U822" s="3"/>
    </row>
    <row r="823" spans="18:21" ht="15.75" customHeight="1" x14ac:dyDescent="0.25">
      <c r="R823" s="3"/>
      <c r="S823" s="3"/>
      <c r="T823" s="3"/>
      <c r="U823" s="3"/>
    </row>
    <row r="824" spans="18:21" ht="15.75" customHeight="1" x14ac:dyDescent="0.25">
      <c r="R824" s="3"/>
      <c r="S824" s="3"/>
      <c r="T824" s="3"/>
      <c r="U824" s="3"/>
    </row>
    <row r="825" spans="18:21" ht="15.75" customHeight="1" x14ac:dyDescent="0.25">
      <c r="R825" s="3"/>
      <c r="S825" s="3"/>
      <c r="T825" s="3"/>
      <c r="U825" s="3"/>
    </row>
    <row r="826" spans="18:21" ht="15.75" customHeight="1" x14ac:dyDescent="0.25">
      <c r="R826" s="3"/>
      <c r="S826" s="3"/>
      <c r="T826" s="3"/>
      <c r="U826" s="3"/>
    </row>
    <row r="827" spans="18:21" ht="15.75" customHeight="1" x14ac:dyDescent="0.25">
      <c r="R827" s="3"/>
      <c r="S827" s="3"/>
      <c r="T827" s="3"/>
      <c r="U827" s="3"/>
    </row>
    <row r="828" spans="18:21" ht="15.75" customHeight="1" x14ac:dyDescent="0.25">
      <c r="R828" s="3"/>
      <c r="S828" s="3"/>
      <c r="T828" s="3"/>
      <c r="U828" s="3"/>
    </row>
    <row r="829" spans="18:21" ht="15.75" customHeight="1" x14ac:dyDescent="0.25">
      <c r="R829" s="3"/>
      <c r="S829" s="3"/>
      <c r="T829" s="3"/>
      <c r="U829" s="3"/>
    </row>
    <row r="830" spans="18:21" ht="15.75" customHeight="1" x14ac:dyDescent="0.25">
      <c r="R830" s="3"/>
      <c r="S830" s="3"/>
      <c r="T830" s="3"/>
      <c r="U830" s="3"/>
    </row>
    <row r="831" spans="18:21" ht="15.75" customHeight="1" x14ac:dyDescent="0.25">
      <c r="R831" s="3"/>
      <c r="S831" s="3"/>
      <c r="T831" s="3"/>
      <c r="U831" s="3"/>
    </row>
    <row r="832" spans="18:21" ht="15.75" customHeight="1" x14ac:dyDescent="0.25">
      <c r="R832" s="3"/>
      <c r="S832" s="3"/>
      <c r="T832" s="3"/>
      <c r="U832" s="3"/>
    </row>
    <row r="833" spans="18:21" ht="15.75" customHeight="1" x14ac:dyDescent="0.25">
      <c r="R833" s="3"/>
      <c r="S833" s="3"/>
      <c r="T833" s="3"/>
      <c r="U833" s="3"/>
    </row>
    <row r="834" spans="18:21" ht="15.75" customHeight="1" x14ac:dyDescent="0.25">
      <c r="R834" s="3"/>
      <c r="S834" s="3"/>
      <c r="T834" s="3"/>
      <c r="U834" s="3"/>
    </row>
    <row r="835" spans="18:21" ht="15.75" customHeight="1" x14ac:dyDescent="0.25">
      <c r="R835" s="3"/>
      <c r="S835" s="3"/>
      <c r="T835" s="3"/>
      <c r="U835" s="3"/>
    </row>
    <row r="836" spans="18:21" ht="15.75" customHeight="1" x14ac:dyDescent="0.25">
      <c r="R836" s="3"/>
      <c r="S836" s="3"/>
      <c r="T836" s="3"/>
      <c r="U836" s="3"/>
    </row>
    <row r="837" spans="18:21" ht="15.75" customHeight="1" x14ac:dyDescent="0.25">
      <c r="R837" s="3"/>
      <c r="S837" s="3"/>
      <c r="T837" s="3"/>
      <c r="U837" s="3"/>
    </row>
    <row r="838" spans="18:21" ht="15.75" customHeight="1" x14ac:dyDescent="0.25">
      <c r="R838" s="3"/>
      <c r="S838" s="3"/>
      <c r="T838" s="3"/>
      <c r="U838" s="3"/>
    </row>
    <row r="839" spans="18:21" ht="15.75" customHeight="1" x14ac:dyDescent="0.25">
      <c r="R839" s="3"/>
      <c r="S839" s="3"/>
      <c r="T839" s="3"/>
      <c r="U839" s="3"/>
    </row>
    <row r="840" spans="18:21" ht="15.75" customHeight="1" x14ac:dyDescent="0.25">
      <c r="R840" s="3"/>
      <c r="S840" s="3"/>
      <c r="T840" s="3"/>
      <c r="U840" s="3"/>
    </row>
    <row r="841" spans="18:21" ht="15.75" customHeight="1" x14ac:dyDescent="0.25">
      <c r="R841" s="3"/>
      <c r="S841" s="3"/>
      <c r="T841" s="3"/>
      <c r="U841" s="3"/>
    </row>
    <row r="842" spans="18:21" ht="15.75" customHeight="1" x14ac:dyDescent="0.25">
      <c r="R842" s="3"/>
      <c r="S842" s="3"/>
      <c r="T842" s="3"/>
      <c r="U842" s="3"/>
    </row>
    <row r="843" spans="18:21" ht="15.75" customHeight="1" x14ac:dyDescent="0.25">
      <c r="R843" s="3"/>
      <c r="S843" s="3"/>
      <c r="T843" s="3"/>
      <c r="U843" s="3"/>
    </row>
    <row r="844" spans="18:21" ht="15.75" customHeight="1" x14ac:dyDescent="0.25">
      <c r="R844" s="3"/>
      <c r="S844" s="3"/>
      <c r="T844" s="3"/>
      <c r="U844" s="3"/>
    </row>
    <row r="845" spans="18:21" ht="15.75" customHeight="1" x14ac:dyDescent="0.25">
      <c r="R845" s="3"/>
      <c r="S845" s="3"/>
      <c r="T845" s="3"/>
      <c r="U845" s="3"/>
    </row>
    <row r="846" spans="18:21" ht="15.75" customHeight="1" x14ac:dyDescent="0.25">
      <c r="R846" s="3"/>
      <c r="S846" s="3"/>
      <c r="T846" s="3"/>
      <c r="U846" s="3"/>
    </row>
    <row r="847" spans="18:21" ht="15.75" customHeight="1" x14ac:dyDescent="0.25">
      <c r="R847" s="3"/>
      <c r="S847" s="3"/>
      <c r="T847" s="3"/>
      <c r="U847" s="3"/>
    </row>
    <row r="848" spans="18:21" ht="15.75" customHeight="1" x14ac:dyDescent="0.25">
      <c r="R848" s="3"/>
      <c r="S848" s="3"/>
      <c r="T848" s="3"/>
      <c r="U848" s="3"/>
    </row>
    <row r="849" spans="18:21" ht="15.75" customHeight="1" x14ac:dyDescent="0.25">
      <c r="R849" s="3"/>
      <c r="S849" s="3"/>
      <c r="T849" s="3"/>
      <c r="U849" s="3"/>
    </row>
    <row r="850" spans="18:21" ht="15.75" customHeight="1" x14ac:dyDescent="0.25">
      <c r="R850" s="3"/>
      <c r="S850" s="3"/>
      <c r="T850" s="3"/>
      <c r="U850" s="3"/>
    </row>
    <row r="851" spans="18:21" ht="15.75" customHeight="1" x14ac:dyDescent="0.25">
      <c r="R851" s="3"/>
      <c r="S851" s="3"/>
      <c r="T851" s="3"/>
      <c r="U851" s="3"/>
    </row>
    <row r="852" spans="18:21" ht="15.75" customHeight="1" x14ac:dyDescent="0.25">
      <c r="R852" s="3"/>
      <c r="S852" s="3"/>
      <c r="T852" s="3"/>
      <c r="U852" s="3"/>
    </row>
    <row r="853" spans="18:21" ht="15.75" customHeight="1" x14ac:dyDescent="0.25">
      <c r="R853" s="3"/>
      <c r="S853" s="3"/>
      <c r="T853" s="3"/>
      <c r="U853" s="3"/>
    </row>
    <row r="854" spans="18:21" ht="15.75" customHeight="1" x14ac:dyDescent="0.25">
      <c r="R854" s="3"/>
      <c r="S854" s="3"/>
      <c r="T854" s="3"/>
      <c r="U854" s="3"/>
    </row>
    <row r="855" spans="18:21" ht="15.75" customHeight="1" x14ac:dyDescent="0.25">
      <c r="R855" s="3"/>
      <c r="S855" s="3"/>
      <c r="T855" s="3"/>
      <c r="U855" s="3"/>
    </row>
    <row r="856" spans="18:21" ht="15.75" customHeight="1" x14ac:dyDescent="0.25">
      <c r="R856" s="3"/>
      <c r="S856" s="3"/>
      <c r="T856" s="3"/>
      <c r="U856" s="3"/>
    </row>
    <row r="857" spans="18:21" ht="15.75" customHeight="1" x14ac:dyDescent="0.25">
      <c r="R857" s="3"/>
      <c r="S857" s="3"/>
      <c r="T857" s="3"/>
      <c r="U857" s="3"/>
    </row>
    <row r="858" spans="18:21" ht="15.75" customHeight="1" x14ac:dyDescent="0.25">
      <c r="R858" s="3"/>
      <c r="S858" s="3"/>
      <c r="T858" s="3"/>
      <c r="U858" s="3"/>
    </row>
    <row r="859" spans="18:21" ht="15.75" customHeight="1" x14ac:dyDescent="0.25">
      <c r="R859" s="3"/>
      <c r="S859" s="3"/>
      <c r="T859" s="3"/>
      <c r="U859" s="3"/>
    </row>
    <row r="860" spans="18:21" ht="15.75" customHeight="1" x14ac:dyDescent="0.25">
      <c r="R860" s="3"/>
      <c r="S860" s="3"/>
      <c r="T860" s="3"/>
      <c r="U860" s="3"/>
    </row>
    <row r="861" spans="18:21" ht="15.75" customHeight="1" x14ac:dyDescent="0.25">
      <c r="R861" s="3"/>
      <c r="S861" s="3"/>
      <c r="T861" s="3"/>
      <c r="U861" s="3"/>
    </row>
    <row r="862" spans="18:21" ht="15.75" customHeight="1" x14ac:dyDescent="0.25">
      <c r="R862" s="3"/>
      <c r="S862" s="3"/>
      <c r="T862" s="3"/>
      <c r="U862" s="3"/>
    </row>
    <row r="863" spans="18:21" ht="15.75" customHeight="1" x14ac:dyDescent="0.25">
      <c r="R863" s="3"/>
      <c r="S863" s="3"/>
      <c r="T863" s="3"/>
      <c r="U863" s="3"/>
    </row>
    <row r="864" spans="18:21" ht="15.75" customHeight="1" x14ac:dyDescent="0.25">
      <c r="R864" s="3"/>
      <c r="S864" s="3"/>
      <c r="T864" s="3"/>
      <c r="U864" s="3"/>
    </row>
    <row r="865" spans="18:21" ht="15.75" customHeight="1" x14ac:dyDescent="0.25">
      <c r="R865" s="3"/>
      <c r="S865" s="3"/>
      <c r="T865" s="3"/>
      <c r="U865" s="3"/>
    </row>
    <row r="866" spans="18:21" ht="15.75" customHeight="1" x14ac:dyDescent="0.25">
      <c r="R866" s="3"/>
      <c r="S866" s="3"/>
      <c r="T866" s="3"/>
      <c r="U866" s="3"/>
    </row>
    <row r="867" spans="18:21" ht="15.75" customHeight="1" x14ac:dyDescent="0.25">
      <c r="R867" s="3"/>
      <c r="S867" s="3"/>
      <c r="T867" s="3"/>
      <c r="U867" s="3"/>
    </row>
    <row r="868" spans="18:21" ht="15.75" customHeight="1" x14ac:dyDescent="0.25">
      <c r="R868" s="3"/>
      <c r="S868" s="3"/>
      <c r="T868" s="3"/>
      <c r="U868" s="3"/>
    </row>
    <row r="869" spans="18:21" ht="15.75" customHeight="1" x14ac:dyDescent="0.25">
      <c r="R869" s="3"/>
      <c r="S869" s="3"/>
      <c r="T869" s="3"/>
      <c r="U869" s="3"/>
    </row>
    <row r="870" spans="18:21" ht="15.75" customHeight="1" x14ac:dyDescent="0.25">
      <c r="R870" s="3"/>
      <c r="S870" s="3"/>
      <c r="T870" s="3"/>
      <c r="U870" s="3"/>
    </row>
    <row r="871" spans="18:21" ht="15.75" customHeight="1" x14ac:dyDescent="0.25">
      <c r="R871" s="3"/>
      <c r="S871" s="3"/>
      <c r="T871" s="3"/>
      <c r="U871" s="3"/>
    </row>
    <row r="872" spans="18:21" ht="15.75" customHeight="1" x14ac:dyDescent="0.25">
      <c r="R872" s="3"/>
      <c r="S872" s="3"/>
      <c r="T872" s="3"/>
      <c r="U872" s="3"/>
    </row>
    <row r="873" spans="18:21" ht="15.75" customHeight="1" x14ac:dyDescent="0.25">
      <c r="R873" s="3"/>
      <c r="S873" s="3"/>
      <c r="T873" s="3"/>
      <c r="U873" s="3"/>
    </row>
    <row r="874" spans="18:21" ht="15.75" customHeight="1" x14ac:dyDescent="0.25">
      <c r="R874" s="3"/>
      <c r="S874" s="3"/>
      <c r="T874" s="3"/>
      <c r="U874" s="3"/>
    </row>
    <row r="875" spans="18:21" ht="15.75" customHeight="1" x14ac:dyDescent="0.25">
      <c r="R875" s="3"/>
      <c r="S875" s="3"/>
      <c r="T875" s="3"/>
      <c r="U875" s="3"/>
    </row>
    <row r="876" spans="18:21" ht="15.75" customHeight="1" x14ac:dyDescent="0.25">
      <c r="R876" s="3"/>
      <c r="S876" s="3"/>
      <c r="T876" s="3"/>
      <c r="U876" s="3"/>
    </row>
    <row r="877" spans="18:21" ht="15.75" customHeight="1" x14ac:dyDescent="0.25">
      <c r="R877" s="3"/>
      <c r="S877" s="3"/>
      <c r="T877" s="3"/>
      <c r="U877" s="3"/>
    </row>
    <row r="878" spans="18:21" ht="15.75" customHeight="1" x14ac:dyDescent="0.25">
      <c r="R878" s="3"/>
      <c r="S878" s="3"/>
      <c r="T878" s="3"/>
      <c r="U878" s="3"/>
    </row>
    <row r="879" spans="18:21" ht="15.75" customHeight="1" x14ac:dyDescent="0.25">
      <c r="R879" s="3"/>
      <c r="S879" s="3"/>
      <c r="T879" s="3"/>
      <c r="U879" s="3"/>
    </row>
    <row r="880" spans="18:21" ht="15.75" customHeight="1" x14ac:dyDescent="0.25">
      <c r="R880" s="3"/>
      <c r="S880" s="3"/>
      <c r="T880" s="3"/>
      <c r="U880" s="3"/>
    </row>
    <row r="881" spans="18:21" ht="15.75" customHeight="1" x14ac:dyDescent="0.25">
      <c r="R881" s="3"/>
      <c r="S881" s="3"/>
      <c r="T881" s="3"/>
      <c r="U881" s="3"/>
    </row>
    <row r="882" spans="18:21" ht="15.75" customHeight="1" x14ac:dyDescent="0.25">
      <c r="R882" s="3"/>
      <c r="S882" s="3"/>
      <c r="T882" s="3"/>
      <c r="U882" s="3"/>
    </row>
    <row r="883" spans="18:21" ht="15.75" customHeight="1" x14ac:dyDescent="0.25">
      <c r="R883" s="3"/>
      <c r="S883" s="3"/>
      <c r="T883" s="3"/>
      <c r="U883" s="3"/>
    </row>
    <row r="884" spans="18:21" ht="15.75" customHeight="1" x14ac:dyDescent="0.25">
      <c r="R884" s="3"/>
      <c r="S884" s="3"/>
      <c r="T884" s="3"/>
      <c r="U884" s="3"/>
    </row>
    <row r="885" spans="18:21" ht="15.75" customHeight="1" x14ac:dyDescent="0.25">
      <c r="R885" s="3"/>
      <c r="S885" s="3"/>
      <c r="T885" s="3"/>
      <c r="U885" s="3"/>
    </row>
    <row r="886" spans="18:21" ht="15.75" customHeight="1" x14ac:dyDescent="0.25">
      <c r="R886" s="3"/>
      <c r="S886" s="3"/>
      <c r="T886" s="3"/>
      <c r="U886" s="3"/>
    </row>
    <row r="887" spans="18:21" ht="15.75" customHeight="1" x14ac:dyDescent="0.25">
      <c r="R887" s="3"/>
      <c r="S887" s="3"/>
      <c r="T887" s="3"/>
      <c r="U887" s="3"/>
    </row>
    <row r="888" spans="18:21" ht="15.75" customHeight="1" x14ac:dyDescent="0.25">
      <c r="R888" s="3"/>
      <c r="S888" s="3"/>
      <c r="T888" s="3"/>
      <c r="U888" s="3"/>
    </row>
    <row r="889" spans="18:21" ht="15.75" customHeight="1" x14ac:dyDescent="0.25">
      <c r="R889" s="3"/>
      <c r="S889" s="3"/>
      <c r="T889" s="3"/>
      <c r="U889" s="3"/>
    </row>
    <row r="890" spans="18:21" ht="15.75" customHeight="1" x14ac:dyDescent="0.25">
      <c r="R890" s="3"/>
      <c r="S890" s="3"/>
      <c r="T890" s="3"/>
      <c r="U890" s="3"/>
    </row>
    <row r="891" spans="18:21" ht="15.75" customHeight="1" x14ac:dyDescent="0.25">
      <c r="R891" s="3"/>
      <c r="S891" s="3"/>
      <c r="T891" s="3"/>
      <c r="U891" s="3"/>
    </row>
    <row r="892" spans="18:21" ht="15.75" customHeight="1" x14ac:dyDescent="0.25">
      <c r="R892" s="3"/>
      <c r="S892" s="3"/>
      <c r="T892" s="3"/>
      <c r="U892" s="3"/>
    </row>
    <row r="893" spans="18:21" ht="15.75" customHeight="1" x14ac:dyDescent="0.25">
      <c r="R893" s="3"/>
      <c r="S893" s="3"/>
      <c r="T893" s="3"/>
      <c r="U893" s="3"/>
    </row>
    <row r="894" spans="18:21" ht="15.75" customHeight="1" x14ac:dyDescent="0.25">
      <c r="R894" s="3"/>
      <c r="S894" s="3"/>
      <c r="T894" s="3"/>
      <c r="U894" s="3"/>
    </row>
    <row r="895" spans="18:21" ht="15.75" customHeight="1" x14ac:dyDescent="0.25">
      <c r="R895" s="3"/>
      <c r="S895" s="3"/>
      <c r="T895" s="3"/>
      <c r="U895" s="3"/>
    </row>
    <row r="896" spans="18:21" ht="15.75" customHeight="1" x14ac:dyDescent="0.25">
      <c r="R896" s="3"/>
      <c r="S896" s="3"/>
      <c r="T896" s="3"/>
      <c r="U896" s="3"/>
    </row>
    <row r="897" spans="18:21" ht="15.75" customHeight="1" x14ac:dyDescent="0.25">
      <c r="R897" s="3"/>
      <c r="S897" s="3"/>
      <c r="T897" s="3"/>
      <c r="U897" s="3"/>
    </row>
    <row r="898" spans="18:21" ht="15.75" customHeight="1" x14ac:dyDescent="0.25">
      <c r="R898" s="3"/>
      <c r="S898" s="3"/>
      <c r="T898" s="3"/>
      <c r="U898" s="3"/>
    </row>
    <row r="899" spans="18:21" ht="15.75" customHeight="1" x14ac:dyDescent="0.25">
      <c r="R899" s="3"/>
      <c r="S899" s="3"/>
      <c r="T899" s="3"/>
      <c r="U899" s="3"/>
    </row>
    <row r="900" spans="18:21" ht="15.75" customHeight="1" x14ac:dyDescent="0.25">
      <c r="R900" s="3"/>
      <c r="S900" s="3"/>
      <c r="T900" s="3"/>
      <c r="U900" s="3"/>
    </row>
    <row r="901" spans="18:21" ht="15.75" customHeight="1" x14ac:dyDescent="0.25">
      <c r="R901" s="3"/>
      <c r="S901" s="3"/>
      <c r="T901" s="3"/>
      <c r="U901" s="3"/>
    </row>
    <row r="902" spans="18:21" ht="15.75" customHeight="1" x14ac:dyDescent="0.25">
      <c r="R902" s="3"/>
      <c r="S902" s="3"/>
      <c r="T902" s="3"/>
      <c r="U902" s="3"/>
    </row>
    <row r="903" spans="18:21" ht="15.75" customHeight="1" x14ac:dyDescent="0.25">
      <c r="R903" s="3"/>
      <c r="S903" s="3"/>
      <c r="T903" s="3"/>
      <c r="U903" s="3"/>
    </row>
    <row r="904" spans="18:21" ht="15.75" customHeight="1" x14ac:dyDescent="0.25">
      <c r="R904" s="3"/>
      <c r="S904" s="3"/>
      <c r="T904" s="3"/>
      <c r="U904" s="3"/>
    </row>
    <row r="905" spans="18:21" ht="15.75" customHeight="1" x14ac:dyDescent="0.25">
      <c r="R905" s="3"/>
      <c r="S905" s="3"/>
      <c r="T905" s="3"/>
      <c r="U905" s="3"/>
    </row>
    <row r="906" spans="18:21" ht="15.75" customHeight="1" x14ac:dyDescent="0.25">
      <c r="R906" s="3"/>
      <c r="S906" s="3"/>
      <c r="T906" s="3"/>
      <c r="U906" s="3"/>
    </row>
    <row r="907" spans="18:21" ht="15.75" customHeight="1" x14ac:dyDescent="0.25">
      <c r="R907" s="3"/>
      <c r="S907" s="3"/>
      <c r="T907" s="3"/>
      <c r="U907" s="3"/>
    </row>
    <row r="908" spans="18:21" ht="15.75" customHeight="1" x14ac:dyDescent="0.25">
      <c r="R908" s="3"/>
      <c r="S908" s="3"/>
      <c r="T908" s="3"/>
      <c r="U908" s="3"/>
    </row>
    <row r="909" spans="18:21" ht="15.75" customHeight="1" x14ac:dyDescent="0.25">
      <c r="R909" s="3"/>
      <c r="S909" s="3"/>
      <c r="T909" s="3"/>
      <c r="U909" s="3"/>
    </row>
    <row r="910" spans="18:21" ht="15.75" customHeight="1" x14ac:dyDescent="0.25">
      <c r="R910" s="3"/>
      <c r="S910" s="3"/>
      <c r="T910" s="3"/>
      <c r="U910" s="3"/>
    </row>
    <row r="911" spans="18:21" ht="15.75" customHeight="1" x14ac:dyDescent="0.25">
      <c r="R911" s="3"/>
      <c r="S911" s="3"/>
      <c r="T911" s="3"/>
      <c r="U911" s="3"/>
    </row>
    <row r="912" spans="18:21" ht="15.75" customHeight="1" x14ac:dyDescent="0.25">
      <c r="R912" s="3"/>
      <c r="S912" s="3"/>
      <c r="T912" s="3"/>
      <c r="U912" s="3"/>
    </row>
    <row r="913" spans="18:21" ht="15.75" customHeight="1" x14ac:dyDescent="0.25">
      <c r="R913" s="3"/>
      <c r="S913" s="3"/>
      <c r="T913" s="3"/>
      <c r="U913" s="3"/>
    </row>
    <row r="914" spans="18:21" ht="15.75" customHeight="1" x14ac:dyDescent="0.25">
      <c r="R914" s="3"/>
      <c r="S914" s="3"/>
      <c r="T914" s="3"/>
      <c r="U914" s="3"/>
    </row>
    <row r="915" spans="18:21" ht="15.75" customHeight="1" x14ac:dyDescent="0.25">
      <c r="R915" s="3"/>
      <c r="S915" s="3"/>
      <c r="T915" s="3"/>
      <c r="U915" s="3"/>
    </row>
    <row r="916" spans="18:21" ht="15.75" customHeight="1" x14ac:dyDescent="0.25">
      <c r="R916" s="3"/>
      <c r="S916" s="3"/>
      <c r="T916" s="3"/>
      <c r="U916" s="3"/>
    </row>
    <row r="917" spans="18:21" ht="15.75" customHeight="1" x14ac:dyDescent="0.25">
      <c r="R917" s="3"/>
      <c r="S917" s="3"/>
      <c r="T917" s="3"/>
      <c r="U917" s="3"/>
    </row>
    <row r="918" spans="18:21" ht="15.75" customHeight="1" x14ac:dyDescent="0.25">
      <c r="R918" s="3"/>
      <c r="S918" s="3"/>
      <c r="T918" s="3"/>
      <c r="U918" s="3"/>
    </row>
    <row r="919" spans="18:21" ht="15.75" customHeight="1" x14ac:dyDescent="0.25">
      <c r="R919" s="3"/>
      <c r="S919" s="3"/>
      <c r="T919" s="3"/>
      <c r="U919" s="3"/>
    </row>
    <row r="920" spans="18:21" ht="15.75" customHeight="1" x14ac:dyDescent="0.25">
      <c r="R920" s="3"/>
      <c r="S920" s="3"/>
      <c r="T920" s="3"/>
      <c r="U920" s="3"/>
    </row>
    <row r="921" spans="18:21" ht="15.75" customHeight="1" x14ac:dyDescent="0.25">
      <c r="R921" s="3"/>
      <c r="S921" s="3"/>
      <c r="T921" s="3"/>
      <c r="U921" s="3"/>
    </row>
    <row r="922" spans="18:21" ht="15.75" customHeight="1" x14ac:dyDescent="0.25">
      <c r="R922" s="3"/>
      <c r="S922" s="3"/>
      <c r="T922" s="3"/>
      <c r="U922" s="3"/>
    </row>
    <row r="923" spans="18:21" ht="15.75" customHeight="1" x14ac:dyDescent="0.25">
      <c r="R923" s="3"/>
      <c r="S923" s="3"/>
      <c r="T923" s="3"/>
      <c r="U923" s="3"/>
    </row>
    <row r="924" spans="18:21" ht="15.75" customHeight="1" x14ac:dyDescent="0.25">
      <c r="R924" s="3"/>
      <c r="S924" s="3"/>
      <c r="T924" s="3"/>
      <c r="U924" s="3"/>
    </row>
    <row r="925" spans="18:21" ht="15.75" customHeight="1" x14ac:dyDescent="0.25">
      <c r="R925" s="3"/>
      <c r="S925" s="3"/>
      <c r="T925" s="3"/>
      <c r="U925" s="3"/>
    </row>
    <row r="926" spans="18:21" ht="15.75" customHeight="1" x14ac:dyDescent="0.25">
      <c r="R926" s="3"/>
      <c r="S926" s="3"/>
      <c r="T926" s="3"/>
      <c r="U926" s="3"/>
    </row>
    <row r="927" spans="18:21" ht="15.75" customHeight="1" x14ac:dyDescent="0.25">
      <c r="R927" s="3"/>
      <c r="S927" s="3"/>
      <c r="T927" s="3"/>
      <c r="U927" s="3"/>
    </row>
    <row r="928" spans="18:21" ht="15.75" customHeight="1" x14ac:dyDescent="0.25">
      <c r="R928" s="3"/>
      <c r="S928" s="3"/>
      <c r="T928" s="3"/>
      <c r="U928" s="3"/>
    </row>
    <row r="929" spans="18:21" ht="15.75" customHeight="1" x14ac:dyDescent="0.25">
      <c r="R929" s="3"/>
      <c r="S929" s="3"/>
      <c r="T929" s="3"/>
      <c r="U929" s="3"/>
    </row>
    <row r="930" spans="18:21" ht="15.75" customHeight="1" x14ac:dyDescent="0.25">
      <c r="R930" s="3"/>
      <c r="S930" s="3"/>
      <c r="T930" s="3"/>
      <c r="U930" s="3"/>
    </row>
    <row r="931" spans="18:21" ht="15.75" customHeight="1" x14ac:dyDescent="0.25">
      <c r="R931" s="3"/>
      <c r="S931" s="3"/>
      <c r="T931" s="3"/>
      <c r="U931" s="3"/>
    </row>
    <row r="932" spans="18:21" ht="15.75" customHeight="1" x14ac:dyDescent="0.25">
      <c r="R932" s="3"/>
      <c r="S932" s="3"/>
      <c r="T932" s="3"/>
      <c r="U932" s="3"/>
    </row>
    <row r="933" spans="18:21" ht="15.75" customHeight="1" x14ac:dyDescent="0.25">
      <c r="R933" s="3"/>
      <c r="S933" s="3"/>
      <c r="T933" s="3"/>
      <c r="U933" s="3"/>
    </row>
    <row r="934" spans="18:21" ht="15.75" customHeight="1" x14ac:dyDescent="0.25">
      <c r="R934" s="3"/>
      <c r="S934" s="3"/>
      <c r="T934" s="3"/>
      <c r="U934" s="3"/>
    </row>
    <row r="935" spans="18:21" ht="15.75" customHeight="1" x14ac:dyDescent="0.25">
      <c r="R935" s="3"/>
      <c r="S935" s="3"/>
      <c r="T935" s="3"/>
      <c r="U935" s="3"/>
    </row>
    <row r="936" spans="18:21" ht="15.75" customHeight="1" x14ac:dyDescent="0.25">
      <c r="R936" s="3"/>
      <c r="S936" s="3"/>
      <c r="T936" s="3"/>
      <c r="U936" s="3"/>
    </row>
    <row r="937" spans="18:21" ht="15.75" customHeight="1" x14ac:dyDescent="0.25">
      <c r="R937" s="3"/>
      <c r="S937" s="3"/>
      <c r="T937" s="3"/>
      <c r="U937" s="3"/>
    </row>
    <row r="938" spans="18:21" ht="15.75" customHeight="1" x14ac:dyDescent="0.25">
      <c r="R938" s="3"/>
      <c r="S938" s="3"/>
      <c r="T938" s="3"/>
      <c r="U938" s="3"/>
    </row>
    <row r="939" spans="18:21" ht="15.75" customHeight="1" x14ac:dyDescent="0.25">
      <c r="R939" s="3"/>
      <c r="S939" s="3"/>
      <c r="T939" s="3"/>
      <c r="U939" s="3"/>
    </row>
    <row r="940" spans="18:21" ht="15.75" customHeight="1" x14ac:dyDescent="0.25">
      <c r="R940" s="3"/>
      <c r="S940" s="3"/>
      <c r="T940" s="3"/>
      <c r="U940" s="3"/>
    </row>
    <row r="941" spans="18:21" ht="15.75" customHeight="1" x14ac:dyDescent="0.25">
      <c r="R941" s="3"/>
      <c r="S941" s="3"/>
      <c r="T941" s="3"/>
      <c r="U941" s="3"/>
    </row>
    <row r="942" spans="18:21" ht="15.75" customHeight="1" x14ac:dyDescent="0.25">
      <c r="R942" s="3"/>
      <c r="S942" s="3"/>
      <c r="T942" s="3"/>
      <c r="U942" s="3"/>
    </row>
    <row r="943" spans="18:21" ht="15.75" customHeight="1" x14ac:dyDescent="0.25">
      <c r="R943" s="3"/>
      <c r="S943" s="3"/>
      <c r="T943" s="3"/>
      <c r="U943" s="3"/>
    </row>
    <row r="944" spans="18:21" ht="15.75" customHeight="1" x14ac:dyDescent="0.25">
      <c r="R944" s="3"/>
      <c r="S944" s="3"/>
      <c r="T944" s="3"/>
      <c r="U944" s="3"/>
    </row>
    <row r="945" spans="18:21" ht="15.75" customHeight="1" x14ac:dyDescent="0.25">
      <c r="R945" s="3"/>
      <c r="S945" s="3"/>
      <c r="T945" s="3"/>
      <c r="U945" s="3"/>
    </row>
    <row r="946" spans="18:21" ht="15.75" customHeight="1" x14ac:dyDescent="0.25">
      <c r="R946" s="3"/>
      <c r="S946" s="3"/>
      <c r="T946" s="3"/>
      <c r="U946" s="3"/>
    </row>
    <row r="947" spans="18:21" ht="15.75" customHeight="1" x14ac:dyDescent="0.25">
      <c r="R947" s="3"/>
      <c r="S947" s="3"/>
      <c r="T947" s="3"/>
      <c r="U947" s="3"/>
    </row>
    <row r="948" spans="18:21" ht="15.75" customHeight="1" x14ac:dyDescent="0.25">
      <c r="R948" s="3"/>
      <c r="S948" s="3"/>
      <c r="T948" s="3"/>
      <c r="U948" s="3"/>
    </row>
    <row r="949" spans="18:21" ht="15.75" customHeight="1" x14ac:dyDescent="0.25">
      <c r="R949" s="3"/>
      <c r="S949" s="3"/>
      <c r="T949" s="3"/>
      <c r="U949" s="3"/>
    </row>
    <row r="950" spans="18:21" ht="15.75" customHeight="1" x14ac:dyDescent="0.25">
      <c r="R950" s="3"/>
      <c r="S950" s="3"/>
      <c r="T950" s="3"/>
      <c r="U950" s="3"/>
    </row>
    <row r="951" spans="18:21" ht="15.75" customHeight="1" x14ac:dyDescent="0.25">
      <c r="R951" s="3"/>
      <c r="S951" s="3"/>
      <c r="T951" s="3"/>
      <c r="U951" s="3"/>
    </row>
    <row r="952" spans="18:21" ht="15.75" customHeight="1" x14ac:dyDescent="0.25">
      <c r="R952" s="3"/>
      <c r="S952" s="3"/>
      <c r="T952" s="3"/>
      <c r="U952" s="3"/>
    </row>
    <row r="953" spans="18:21" ht="15.75" customHeight="1" x14ac:dyDescent="0.25">
      <c r="R953" s="3"/>
      <c r="S953" s="3"/>
      <c r="T953" s="3"/>
      <c r="U953" s="3"/>
    </row>
    <row r="954" spans="18:21" ht="15.75" customHeight="1" x14ac:dyDescent="0.25">
      <c r="R954" s="3"/>
      <c r="S954" s="3"/>
      <c r="T954" s="3"/>
      <c r="U954" s="3"/>
    </row>
    <row r="955" spans="18:21" ht="15.75" customHeight="1" x14ac:dyDescent="0.25">
      <c r="R955" s="3"/>
      <c r="S955" s="3"/>
      <c r="T955" s="3"/>
      <c r="U955" s="3"/>
    </row>
    <row r="956" spans="18:21" ht="15.75" customHeight="1" x14ac:dyDescent="0.25">
      <c r="R956" s="3"/>
      <c r="S956" s="3"/>
      <c r="T956" s="3"/>
      <c r="U956" s="3"/>
    </row>
    <row r="957" spans="18:21" ht="15.75" customHeight="1" x14ac:dyDescent="0.25">
      <c r="R957" s="3"/>
      <c r="S957" s="3"/>
      <c r="T957" s="3"/>
      <c r="U957" s="3"/>
    </row>
    <row r="958" spans="18:21" ht="15.75" customHeight="1" x14ac:dyDescent="0.25">
      <c r="R958" s="3"/>
      <c r="S958" s="3"/>
      <c r="T958" s="3"/>
      <c r="U958" s="3"/>
    </row>
    <row r="959" spans="18:21" ht="15.75" customHeight="1" x14ac:dyDescent="0.25">
      <c r="R959" s="3"/>
      <c r="S959" s="3"/>
      <c r="T959" s="3"/>
      <c r="U959" s="3"/>
    </row>
    <row r="960" spans="18:21" ht="15.75" customHeight="1" x14ac:dyDescent="0.25">
      <c r="R960" s="3"/>
      <c r="S960" s="3"/>
      <c r="T960" s="3"/>
      <c r="U960" s="3"/>
    </row>
    <row r="961" spans="18:21" ht="15.75" customHeight="1" x14ac:dyDescent="0.25">
      <c r="R961" s="3"/>
      <c r="S961" s="3"/>
      <c r="T961" s="3"/>
      <c r="U961" s="3"/>
    </row>
    <row r="962" spans="18:21" ht="15.75" customHeight="1" x14ac:dyDescent="0.25">
      <c r="R962" s="3"/>
      <c r="S962" s="3"/>
      <c r="T962" s="3"/>
      <c r="U962" s="3"/>
    </row>
    <row r="963" spans="18:21" ht="15.75" customHeight="1" x14ac:dyDescent="0.25">
      <c r="R963" s="3"/>
      <c r="S963" s="3"/>
      <c r="T963" s="3"/>
      <c r="U963" s="3"/>
    </row>
    <row r="964" spans="18:21" ht="15.75" customHeight="1" x14ac:dyDescent="0.25">
      <c r="R964" s="3"/>
      <c r="S964" s="3"/>
      <c r="T964" s="3"/>
      <c r="U964" s="3"/>
    </row>
    <row r="965" spans="18:21" ht="15.75" customHeight="1" x14ac:dyDescent="0.25">
      <c r="R965" s="3"/>
      <c r="S965" s="3"/>
      <c r="T965" s="3"/>
      <c r="U965" s="3"/>
    </row>
    <row r="966" spans="18:21" ht="15.75" customHeight="1" x14ac:dyDescent="0.25">
      <c r="R966" s="3"/>
      <c r="S966" s="3"/>
      <c r="T966" s="3"/>
      <c r="U966" s="3"/>
    </row>
    <row r="967" spans="18:21" ht="15.75" customHeight="1" x14ac:dyDescent="0.25">
      <c r="R967" s="3"/>
      <c r="S967" s="3"/>
      <c r="T967" s="3"/>
      <c r="U967" s="3"/>
    </row>
    <row r="968" spans="18:21" ht="15.75" customHeight="1" x14ac:dyDescent="0.25">
      <c r="R968" s="3"/>
      <c r="S968" s="3"/>
      <c r="T968" s="3"/>
      <c r="U968" s="3"/>
    </row>
    <row r="969" spans="18:21" ht="15.75" customHeight="1" x14ac:dyDescent="0.25">
      <c r="R969" s="3"/>
      <c r="S969" s="3"/>
      <c r="T969" s="3"/>
      <c r="U969" s="3"/>
    </row>
    <row r="970" spans="18:21" ht="15.75" customHeight="1" x14ac:dyDescent="0.25">
      <c r="R970" s="3"/>
      <c r="S970" s="3"/>
      <c r="T970" s="3"/>
      <c r="U970" s="3"/>
    </row>
    <row r="971" spans="18:21" ht="15.75" customHeight="1" x14ac:dyDescent="0.25">
      <c r="R971" s="3"/>
      <c r="S971" s="3"/>
      <c r="T971" s="3"/>
      <c r="U971" s="3"/>
    </row>
    <row r="972" spans="18:21" ht="15.75" customHeight="1" x14ac:dyDescent="0.25">
      <c r="R972" s="3"/>
      <c r="S972" s="3"/>
      <c r="T972" s="3"/>
      <c r="U972" s="3"/>
    </row>
    <row r="973" spans="18:21" ht="15.75" customHeight="1" x14ac:dyDescent="0.25">
      <c r="R973" s="3"/>
      <c r="S973" s="3"/>
      <c r="T973" s="3"/>
      <c r="U973" s="3"/>
    </row>
    <row r="974" spans="18:21" ht="15.75" customHeight="1" x14ac:dyDescent="0.25">
      <c r="R974" s="3"/>
      <c r="S974" s="3"/>
      <c r="T974" s="3"/>
      <c r="U974" s="3"/>
    </row>
    <row r="975" spans="18:21" ht="15.75" customHeight="1" x14ac:dyDescent="0.25">
      <c r="R975" s="3"/>
      <c r="S975" s="3"/>
      <c r="T975" s="3"/>
      <c r="U975" s="3"/>
    </row>
    <row r="976" spans="18:21" ht="15.75" customHeight="1" x14ac:dyDescent="0.25">
      <c r="R976" s="3"/>
      <c r="S976" s="3"/>
      <c r="T976" s="3"/>
      <c r="U976" s="3"/>
    </row>
    <row r="977" spans="18:21" ht="15.75" customHeight="1" x14ac:dyDescent="0.25">
      <c r="R977" s="3"/>
      <c r="S977" s="3"/>
      <c r="T977" s="3"/>
      <c r="U977" s="3"/>
    </row>
    <row r="978" spans="18:21" ht="15.75" customHeight="1" x14ac:dyDescent="0.25">
      <c r="R978" s="3"/>
      <c r="S978" s="3"/>
      <c r="T978" s="3"/>
      <c r="U978" s="3"/>
    </row>
    <row r="979" spans="18:21" ht="15.75" customHeight="1" x14ac:dyDescent="0.25">
      <c r="R979" s="3"/>
      <c r="S979" s="3"/>
      <c r="T979" s="3"/>
      <c r="U979" s="3"/>
    </row>
    <row r="980" spans="18:21" ht="15.75" customHeight="1" x14ac:dyDescent="0.25">
      <c r="R980" s="3"/>
      <c r="S980" s="3"/>
      <c r="T980" s="3"/>
      <c r="U980" s="3"/>
    </row>
    <row r="981" spans="18:21" ht="15.75" customHeight="1" x14ac:dyDescent="0.25">
      <c r="R981" s="3"/>
      <c r="S981" s="3"/>
      <c r="T981" s="3"/>
      <c r="U981" s="3"/>
    </row>
    <row r="982" spans="18:21" ht="15.75" customHeight="1" x14ac:dyDescent="0.25">
      <c r="R982" s="3"/>
      <c r="S982" s="3"/>
      <c r="T982" s="3"/>
      <c r="U982" s="3"/>
    </row>
    <row r="983" spans="18:21" ht="15.75" customHeight="1" x14ac:dyDescent="0.25">
      <c r="R983" s="3"/>
      <c r="S983" s="3"/>
      <c r="T983" s="3"/>
      <c r="U983" s="3"/>
    </row>
    <row r="984" spans="18:21" ht="15.75" customHeight="1" x14ac:dyDescent="0.25">
      <c r="R984" s="3"/>
      <c r="S984" s="3"/>
      <c r="T984" s="3"/>
      <c r="U984" s="3"/>
    </row>
    <row r="985" spans="18:21" ht="15.75" customHeight="1" x14ac:dyDescent="0.25">
      <c r="R985" s="3"/>
      <c r="S985" s="3"/>
      <c r="T985" s="3"/>
      <c r="U985" s="3"/>
    </row>
    <row r="986" spans="18:21" ht="15.75" customHeight="1" x14ac:dyDescent="0.25">
      <c r="R986" s="3"/>
      <c r="S986" s="3"/>
      <c r="T986" s="3"/>
      <c r="U986" s="3"/>
    </row>
    <row r="987" spans="18:21" ht="15.75" customHeight="1" x14ac:dyDescent="0.25">
      <c r="R987" s="3"/>
      <c r="S987" s="3"/>
      <c r="T987" s="3"/>
      <c r="U987" s="3"/>
    </row>
    <row r="988" spans="18:21" ht="15.75" customHeight="1" x14ac:dyDescent="0.25">
      <c r="R988" s="3"/>
      <c r="S988" s="3"/>
      <c r="T988" s="3"/>
      <c r="U988" s="3"/>
    </row>
    <row r="989" spans="18:21" ht="15.75" customHeight="1" x14ac:dyDescent="0.25">
      <c r="R989" s="3"/>
      <c r="S989" s="3"/>
      <c r="T989" s="3"/>
      <c r="U989" s="3"/>
    </row>
    <row r="990" spans="18:21" ht="15.75" customHeight="1" x14ac:dyDescent="0.25">
      <c r="R990" s="3"/>
      <c r="S990" s="3"/>
      <c r="T990" s="3"/>
      <c r="U990" s="3"/>
    </row>
    <row r="991" spans="18:21" ht="15.75" customHeight="1" x14ac:dyDescent="0.25">
      <c r="R991" s="3"/>
      <c r="S991" s="3"/>
      <c r="T991" s="3"/>
      <c r="U991" s="3"/>
    </row>
    <row r="992" spans="18:21" ht="15.75" customHeight="1" x14ac:dyDescent="0.25">
      <c r="R992" s="3"/>
      <c r="S992" s="3"/>
      <c r="T992" s="3"/>
      <c r="U992" s="3"/>
    </row>
    <row r="993" spans="18:21" ht="15.75" customHeight="1" x14ac:dyDescent="0.25">
      <c r="R993" s="3"/>
      <c r="S993" s="3"/>
      <c r="T993" s="3"/>
      <c r="U993" s="3"/>
    </row>
    <row r="994" spans="18:21" ht="15.75" customHeight="1" x14ac:dyDescent="0.25">
      <c r="R994" s="3"/>
      <c r="S994" s="3"/>
      <c r="T994" s="3"/>
      <c r="U994" s="3"/>
    </row>
    <row r="995" spans="18:21" ht="15.75" customHeight="1" x14ac:dyDescent="0.25">
      <c r="R995" s="3"/>
      <c r="S995" s="3"/>
      <c r="T995" s="3"/>
      <c r="U995" s="3"/>
    </row>
    <row r="996" spans="18:21" ht="15.75" customHeight="1" x14ac:dyDescent="0.25">
      <c r="R996" s="3"/>
      <c r="S996" s="3"/>
      <c r="T996" s="3"/>
      <c r="U996" s="3"/>
    </row>
    <row r="997" spans="18:21" ht="15.75" customHeight="1" x14ac:dyDescent="0.25">
      <c r="R997" s="3"/>
      <c r="S997" s="3"/>
      <c r="T997" s="3"/>
      <c r="U997" s="3"/>
    </row>
    <row r="998" spans="18:21" ht="15.75" customHeight="1" x14ac:dyDescent="0.25">
      <c r="R998" s="3"/>
      <c r="S998" s="3"/>
      <c r="T998" s="3"/>
      <c r="U998" s="3"/>
    </row>
    <row r="999" spans="18:21" ht="15.75" customHeight="1" x14ac:dyDescent="0.25">
      <c r="R999" s="3"/>
      <c r="S999" s="3"/>
      <c r="T999" s="3"/>
      <c r="U999" s="3"/>
    </row>
    <row r="1000" spans="18:21" ht="15.75" customHeight="1" x14ac:dyDescent="0.25">
      <c r="R1000" s="3"/>
      <c r="S1000" s="3"/>
      <c r="T1000" s="3"/>
      <c r="U1000" s="3"/>
    </row>
  </sheetData>
  <mergeCells count="2">
    <mergeCell ref="R1:U1"/>
    <mergeCell ref="R12:U12"/>
  </mergeCells>
  <pageMargins left="0.51180555555555596" right="0.51180555555555596" top="0.78749999999999998" bottom="0.78749999999999998" header="0.511811023622047" footer="0.511811023622047"/>
  <pageSetup paperSize="9" scale="67" orientation="landscape" horizontalDpi="300" verticalDpi="300"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F87"/>
  <sheetViews>
    <sheetView view="pageBreakPreview" topLeftCell="C9" zoomScaleNormal="100" zoomScaleSheetLayoutView="100" zoomScalePageLayoutView="62" workbookViewId="0">
      <selection activeCell="U43" sqref="U43"/>
    </sheetView>
  </sheetViews>
  <sheetFormatPr defaultColWidth="14.42578125" defaultRowHeight="15" x14ac:dyDescent="0.25"/>
  <cols>
    <col min="1" max="1" width="7.7109375" customWidth="1"/>
    <col min="2" max="2" width="43.85546875" customWidth="1"/>
    <col min="3" max="3" width="15.28515625" bestFit="1" customWidth="1"/>
    <col min="4" max="4" width="11" customWidth="1"/>
    <col min="5" max="5" width="8.42578125" customWidth="1"/>
    <col min="6" max="6" width="12" customWidth="1"/>
    <col min="7" max="7" width="10.5703125" customWidth="1"/>
    <col min="8" max="8" width="11.85546875" customWidth="1"/>
    <col min="9" max="9" width="8.5703125" customWidth="1"/>
    <col min="10" max="10" width="11.85546875" customWidth="1"/>
    <col min="11" max="11" width="8.7109375" customWidth="1"/>
    <col min="12" max="12" width="11.85546875" customWidth="1"/>
    <col min="13" max="13" width="8.140625" customWidth="1"/>
    <col min="14" max="14" width="11.85546875" customWidth="1"/>
    <col min="15" max="15" width="8.42578125" customWidth="1"/>
    <col min="16" max="16" width="11.85546875" customWidth="1"/>
    <col min="17" max="17" width="8.85546875" customWidth="1"/>
    <col min="18" max="18" width="11.85546875" customWidth="1"/>
    <col min="19" max="19" width="8.5703125" customWidth="1"/>
    <col min="20" max="20" width="11.85546875" customWidth="1"/>
    <col min="21" max="21" width="9" customWidth="1"/>
    <col min="22" max="22" width="12.140625" customWidth="1"/>
    <col min="23" max="23" width="8.5703125" customWidth="1"/>
    <col min="24" max="24" width="11.85546875" hidden="1" customWidth="1"/>
    <col min="25" max="25" width="8.28515625" hidden="1" customWidth="1"/>
    <col min="26" max="26" width="11.85546875" hidden="1" customWidth="1"/>
    <col min="27" max="27" width="8.140625" hidden="1" customWidth="1"/>
    <col min="28" max="28" width="13.7109375" customWidth="1"/>
    <col min="29" max="29" width="11.85546875" customWidth="1"/>
    <col min="30" max="31" width="14.140625" customWidth="1"/>
    <col min="32" max="32" width="11.42578125" customWidth="1"/>
  </cols>
  <sheetData>
    <row r="1" spans="1:32" ht="24.75" customHeight="1" x14ac:dyDescent="0.25">
      <c r="A1" s="886" t="s">
        <v>12628</v>
      </c>
      <c r="B1" s="886"/>
      <c r="C1" s="886"/>
      <c r="D1" s="886"/>
      <c r="E1" s="886"/>
      <c r="F1" s="886"/>
      <c r="G1" s="886"/>
      <c r="H1" s="886"/>
      <c r="I1" s="886"/>
      <c r="J1" s="886"/>
      <c r="K1" s="886"/>
      <c r="L1" s="886"/>
      <c r="M1" s="886"/>
      <c r="N1" s="38"/>
      <c r="O1" s="38"/>
      <c r="P1" s="38"/>
      <c r="Q1" s="38"/>
      <c r="R1" s="38"/>
      <c r="S1" s="38"/>
      <c r="T1" s="38"/>
      <c r="U1" s="38"/>
      <c r="V1" s="38"/>
      <c r="W1" s="38"/>
      <c r="X1" s="38"/>
      <c r="Y1" s="38"/>
      <c r="Z1" s="38"/>
      <c r="AA1" s="38"/>
      <c r="AB1" s="38"/>
      <c r="AC1" s="38"/>
      <c r="AD1" s="38"/>
      <c r="AE1" s="38"/>
      <c r="AF1" s="38"/>
    </row>
    <row r="2" spans="1:32" ht="15" customHeight="1" x14ac:dyDescent="0.25">
      <c r="A2" s="887"/>
      <c r="B2" s="888"/>
      <c r="C2" s="888"/>
      <c r="D2" s="888"/>
      <c r="E2" s="888"/>
      <c r="F2" s="888"/>
      <c r="G2" s="386"/>
      <c r="H2" s="387"/>
      <c r="I2" s="388"/>
      <c r="J2" s="388"/>
      <c r="K2" s="388"/>
      <c r="L2" s="388"/>
      <c r="M2" s="388"/>
      <c r="N2" s="389"/>
      <c r="O2" s="389"/>
      <c r="P2" s="389"/>
      <c r="Q2" s="389"/>
      <c r="R2" s="389"/>
      <c r="S2" s="389"/>
      <c r="T2" s="389"/>
      <c r="U2" s="389"/>
      <c r="V2" s="389"/>
      <c r="W2" s="389"/>
      <c r="X2" s="389"/>
      <c r="Y2" s="389"/>
      <c r="Z2" s="389"/>
      <c r="AA2" s="389"/>
      <c r="AB2" s="389"/>
      <c r="AC2" s="390"/>
      <c r="AD2" s="39"/>
      <c r="AE2" s="39"/>
      <c r="AF2" s="39"/>
    </row>
    <row r="3" spans="1:32" ht="15" customHeight="1" x14ac:dyDescent="0.25">
      <c r="A3" s="887"/>
      <c r="B3" s="889"/>
      <c r="C3" s="889"/>
      <c r="D3" s="889"/>
      <c r="E3" s="889"/>
      <c r="F3" s="889"/>
      <c r="G3" s="391"/>
      <c r="H3" s="392"/>
      <c r="I3" s="393"/>
      <c r="J3" s="393"/>
      <c r="K3" s="393"/>
      <c r="L3" s="393"/>
      <c r="M3" s="391"/>
      <c r="N3" s="39"/>
      <c r="O3" s="39"/>
      <c r="P3" s="394" t="s">
        <v>447</v>
      </c>
      <c r="Q3" s="395" t="str">
        <f>IF('FOLHA FECHAMENTO'!$C$10&lt;&gt;"",'FOLHA FECHAMENTO'!$C$10," ")</f>
        <v xml:space="preserve">PRONTO ATENDIMENTO MUNICIPAL </v>
      </c>
      <c r="R3" s="395"/>
      <c r="S3" s="395"/>
      <c r="T3" s="395"/>
      <c r="U3" s="395"/>
      <c r="V3" s="395"/>
      <c r="W3" s="395"/>
      <c r="X3" s="395"/>
      <c r="Y3" s="395"/>
      <c r="Z3" s="39"/>
      <c r="AA3" s="39"/>
      <c r="AB3" s="394" t="s">
        <v>445</v>
      </c>
      <c r="AC3" s="396">
        <f ca="1">IF('FOLHA FECHAMENTO'!$L$9&lt;&gt;"",'FOLHA FECHAMENTO'!$L$9," ")</f>
        <v>46142</v>
      </c>
      <c r="AD3" s="39"/>
      <c r="AE3" s="39"/>
      <c r="AF3" s="39"/>
    </row>
    <row r="4" spans="1:32" ht="15" customHeight="1" x14ac:dyDescent="0.25">
      <c r="A4" s="397"/>
      <c r="B4" s="889"/>
      <c r="C4" s="889"/>
      <c r="D4" s="889"/>
      <c r="E4" s="889"/>
      <c r="F4" s="889"/>
      <c r="G4" s="391"/>
      <c r="H4" s="392"/>
      <c r="I4" s="393"/>
      <c r="J4" s="393"/>
      <c r="K4" s="393"/>
      <c r="L4" s="393"/>
      <c r="M4" s="391"/>
      <c r="N4" s="39"/>
      <c r="O4" s="39"/>
      <c r="P4" s="394" t="s">
        <v>451</v>
      </c>
      <c r="Q4" s="395" t="str">
        <f>IF(DADOS!$D$16&lt;&gt;"",DADOS!$D$16," ")</f>
        <v>IMBAÚ</v>
      </c>
      <c r="R4" s="395"/>
      <c r="S4" s="395"/>
      <c r="T4" s="395"/>
      <c r="U4" s="395"/>
      <c r="V4" s="395"/>
      <c r="W4" s="395"/>
      <c r="X4" s="395"/>
      <c r="Y4" s="395"/>
      <c r="Z4" s="39"/>
      <c r="AA4" s="39"/>
      <c r="AB4" s="394" t="s">
        <v>12629</v>
      </c>
      <c r="AC4" s="398" t="str">
        <f>IF('FOLHA FECHAMENTO'!K10&lt;&gt;"",'FOLHA FECHAMENTO'!K10," ")</f>
        <v>CONSTRUÇÃO</v>
      </c>
      <c r="AD4" s="39"/>
      <c r="AE4" s="39"/>
      <c r="AF4" s="39"/>
    </row>
    <row r="5" spans="1:32" ht="16.5" customHeight="1" x14ac:dyDescent="0.25">
      <c r="A5" s="399"/>
      <c r="B5" s="890"/>
      <c r="C5" s="890"/>
      <c r="D5" s="890"/>
      <c r="E5" s="890"/>
      <c r="F5" s="890"/>
      <c r="G5" s="391"/>
      <c r="H5" s="392"/>
      <c r="I5" s="393"/>
      <c r="J5" s="393"/>
      <c r="K5" s="393"/>
      <c r="L5" s="393"/>
      <c r="M5" s="391"/>
      <c r="N5" s="39"/>
      <c r="O5" s="39"/>
      <c r="P5" s="394" t="s">
        <v>12630</v>
      </c>
      <c r="Q5" s="395" t="str">
        <f>IF(DADOS!$D$32&lt;&gt;"",DADOS!$D$32," ")</f>
        <v>Prefeitura Municipal de Imbaú</v>
      </c>
      <c r="R5" s="395"/>
      <c r="S5" s="395"/>
      <c r="T5" s="395"/>
      <c r="U5" s="395"/>
      <c r="V5" s="395"/>
      <c r="W5" s="395"/>
      <c r="X5" s="395"/>
      <c r="Y5" s="395"/>
      <c r="Z5" s="39"/>
      <c r="AA5" s="39"/>
      <c r="AB5" s="394" t="s">
        <v>454</v>
      </c>
      <c r="AC5" s="400" t="str">
        <f>IF('FOLHA FECHAMENTO'!$K$12&lt;&gt;"",'FOLHA FECHAMENTO'!$K$12," ")</f>
        <v xml:space="preserve"> </v>
      </c>
      <c r="AD5" s="39"/>
      <c r="AE5" s="39"/>
      <c r="AF5" s="39"/>
    </row>
    <row r="6" spans="1:32" ht="16.5" customHeight="1" x14ac:dyDescent="0.25">
      <c r="A6" s="399"/>
      <c r="B6" s="890"/>
      <c r="C6" s="890"/>
      <c r="D6" s="890"/>
      <c r="E6" s="890"/>
      <c r="F6" s="890"/>
      <c r="G6" s="394"/>
      <c r="H6" s="392"/>
      <c r="I6" s="393"/>
      <c r="J6" s="393"/>
      <c r="K6" s="393"/>
      <c r="L6" s="393"/>
      <c r="M6" s="391"/>
      <c r="N6" s="39"/>
      <c r="O6" s="39"/>
      <c r="P6" s="39"/>
      <c r="Q6" s="39"/>
      <c r="R6" s="39"/>
      <c r="S6" s="39"/>
      <c r="T6" s="39"/>
      <c r="U6" s="39"/>
      <c r="V6" s="39"/>
      <c r="W6" s="39"/>
      <c r="X6" s="39"/>
      <c r="Y6" s="39"/>
      <c r="Z6" s="39"/>
      <c r="AA6" s="39"/>
      <c r="AB6" s="394" t="s">
        <v>12631</v>
      </c>
      <c r="AC6" s="401" t="str">
        <f>IF('FOLHA FECHAMENTO'!$F$31&lt;&gt;"",'FOLHA FECHAMENTO'!$F$31," ")</f>
        <v xml:space="preserve"> </v>
      </c>
      <c r="AD6" s="39"/>
      <c r="AE6" s="39"/>
      <c r="AF6" s="39"/>
    </row>
    <row r="7" spans="1:32" ht="16.5" customHeight="1" x14ac:dyDescent="0.25">
      <c r="A7" s="399"/>
      <c r="B7" s="890"/>
      <c r="C7" s="890"/>
      <c r="D7" s="890"/>
      <c r="E7" s="890"/>
      <c r="F7" s="890"/>
      <c r="G7" s="394"/>
      <c r="H7" s="392"/>
      <c r="I7" s="393"/>
      <c r="J7" s="393"/>
      <c r="K7" s="393"/>
      <c r="L7" s="393"/>
      <c r="M7" s="391"/>
      <c r="N7" s="39"/>
      <c r="O7" s="39"/>
      <c r="P7" s="39"/>
      <c r="Q7" s="39"/>
      <c r="R7" s="39"/>
      <c r="S7" s="39"/>
      <c r="T7" s="39"/>
      <c r="U7" s="39"/>
      <c r="V7" s="39"/>
      <c r="W7" s="39"/>
      <c r="X7" s="39"/>
      <c r="Y7" s="39"/>
      <c r="Z7" s="39"/>
      <c r="AA7" s="39"/>
      <c r="AB7" s="402" t="s">
        <v>12632</v>
      </c>
      <c r="AC7" s="403">
        <f>IF(BDI!D27&lt;&gt;"",BDI!D27," ")</f>
        <v>0.20373659523052501</v>
      </c>
      <c r="AD7" s="39"/>
      <c r="AE7" s="39"/>
      <c r="AF7" s="39"/>
    </row>
    <row r="8" spans="1:32" ht="16.5" customHeight="1" x14ac:dyDescent="0.25">
      <c r="A8" s="399"/>
      <c r="B8" s="890"/>
      <c r="C8" s="890"/>
      <c r="D8" s="890"/>
      <c r="E8" s="890"/>
      <c r="F8" s="890"/>
      <c r="G8" s="404"/>
      <c r="H8" s="404"/>
      <c r="I8" s="404"/>
      <c r="J8" s="404"/>
      <c r="K8" s="404"/>
      <c r="L8" s="404"/>
      <c r="M8" s="404"/>
      <c r="N8" s="39"/>
      <c r="O8" s="39"/>
      <c r="P8" s="39"/>
      <c r="Q8" s="39"/>
      <c r="R8" s="39"/>
      <c r="S8" s="39"/>
      <c r="T8" s="39"/>
      <c r="U8" s="39"/>
      <c r="V8" s="39"/>
      <c r="W8" s="39"/>
      <c r="X8" s="39"/>
      <c r="Y8" s="39"/>
      <c r="Z8" s="39"/>
      <c r="AA8" s="39"/>
      <c r="AB8" s="405" t="s">
        <v>12633</v>
      </c>
      <c r="AC8" s="403">
        <f>IF(BDI!$D$47&lt;&gt;"",BDI!$D$47," ")</f>
        <v>0.11106199024390229</v>
      </c>
      <c r="AD8" s="39"/>
      <c r="AE8" s="39"/>
      <c r="AF8" s="39"/>
    </row>
    <row r="9" spans="1:32" ht="15.75" customHeight="1" x14ac:dyDescent="0.25">
      <c r="A9" s="406"/>
      <c r="B9" s="891" t="s">
        <v>12140</v>
      </c>
      <c r="C9" s="407"/>
      <c r="D9" s="892">
        <v>30</v>
      </c>
      <c r="E9" s="893" t="s">
        <v>12634</v>
      </c>
      <c r="F9" s="892">
        <v>60</v>
      </c>
      <c r="G9" s="894" t="s">
        <v>12634</v>
      </c>
      <c r="H9" s="892">
        <v>90</v>
      </c>
      <c r="I9" s="893" t="s">
        <v>12634</v>
      </c>
      <c r="J9" s="892">
        <v>120</v>
      </c>
      <c r="K9" s="894" t="s">
        <v>12634</v>
      </c>
      <c r="L9" s="892">
        <v>150</v>
      </c>
      <c r="M9" s="894" t="s">
        <v>12634</v>
      </c>
      <c r="N9" s="892">
        <v>180</v>
      </c>
      <c r="O9" s="894" t="s">
        <v>12634</v>
      </c>
      <c r="P9" s="892">
        <v>210</v>
      </c>
      <c r="Q9" s="893" t="s">
        <v>12634</v>
      </c>
      <c r="R9" s="892">
        <v>240</v>
      </c>
      <c r="S9" s="893" t="s">
        <v>12634</v>
      </c>
      <c r="T9" s="892">
        <v>270</v>
      </c>
      <c r="U9" s="893" t="s">
        <v>12634</v>
      </c>
      <c r="V9" s="892">
        <v>300</v>
      </c>
      <c r="W9" s="893" t="s">
        <v>12634</v>
      </c>
      <c r="X9" s="892">
        <v>330</v>
      </c>
      <c r="Y9" s="893" t="s">
        <v>12634</v>
      </c>
      <c r="Z9" s="892">
        <v>360</v>
      </c>
      <c r="AA9" s="893" t="s">
        <v>12634</v>
      </c>
      <c r="AB9" s="408" t="s">
        <v>12635</v>
      </c>
      <c r="AC9" s="409" t="s">
        <v>12635</v>
      </c>
      <c r="AD9" s="410"/>
      <c r="AE9" s="410"/>
      <c r="AF9" s="410"/>
    </row>
    <row r="10" spans="1:32" ht="12.75" customHeight="1" x14ac:dyDescent="0.25">
      <c r="A10" s="411" t="s">
        <v>494</v>
      </c>
      <c r="B10" s="891"/>
      <c r="C10" s="412" t="s">
        <v>12636</v>
      </c>
      <c r="D10" s="892"/>
      <c r="E10" s="893"/>
      <c r="F10" s="892"/>
      <c r="G10" s="892"/>
      <c r="H10" s="892"/>
      <c r="I10" s="893"/>
      <c r="J10" s="892"/>
      <c r="K10" s="892"/>
      <c r="L10" s="892"/>
      <c r="M10" s="892"/>
      <c r="N10" s="892"/>
      <c r="O10" s="892"/>
      <c r="P10" s="892"/>
      <c r="Q10" s="893"/>
      <c r="R10" s="892"/>
      <c r="S10" s="893"/>
      <c r="T10" s="892"/>
      <c r="U10" s="893"/>
      <c r="V10" s="892"/>
      <c r="W10" s="893"/>
      <c r="X10" s="892"/>
      <c r="Y10" s="893"/>
      <c r="Z10" s="892"/>
      <c r="AA10" s="893"/>
      <c r="AB10" s="413" t="s">
        <v>12637</v>
      </c>
      <c r="AC10" s="414" t="s">
        <v>12638</v>
      </c>
      <c r="AD10" s="415"/>
      <c r="AE10" s="415"/>
      <c r="AF10" s="415"/>
    </row>
    <row r="11" spans="1:32" ht="12.75" customHeight="1" x14ac:dyDescent="0.25">
      <c r="A11" s="416"/>
      <c r="B11" s="891"/>
      <c r="C11" s="417"/>
      <c r="D11" s="892"/>
      <c r="E11" s="893"/>
      <c r="F11" s="892"/>
      <c r="G11" s="892"/>
      <c r="H11" s="892"/>
      <c r="I11" s="893"/>
      <c r="J11" s="892"/>
      <c r="K11" s="892"/>
      <c r="L11" s="892"/>
      <c r="M11" s="892"/>
      <c r="N11" s="892"/>
      <c r="O11" s="892"/>
      <c r="P11" s="892"/>
      <c r="Q11" s="893"/>
      <c r="R11" s="892"/>
      <c r="S11" s="893"/>
      <c r="T11" s="892"/>
      <c r="U11" s="893"/>
      <c r="V11" s="892"/>
      <c r="W11" s="893"/>
      <c r="X11" s="892"/>
      <c r="Y11" s="893"/>
      <c r="Z11" s="892"/>
      <c r="AA11" s="893"/>
      <c r="AB11" s="418" t="s">
        <v>12639</v>
      </c>
      <c r="AC11" s="419" t="s">
        <v>12640</v>
      </c>
      <c r="AD11" s="420"/>
      <c r="AE11" s="420"/>
      <c r="AF11" s="420"/>
    </row>
    <row r="12" spans="1:32" ht="12.75" customHeight="1" x14ac:dyDescent="0.25">
      <c r="A12" s="421"/>
      <c r="B12" s="422" t="s">
        <v>12641</v>
      </c>
      <c r="C12" s="423"/>
      <c r="D12" s="424"/>
      <c r="E12" s="423"/>
      <c r="F12" s="424"/>
      <c r="G12" s="423"/>
      <c r="H12" s="424"/>
      <c r="I12" s="423"/>
      <c r="J12" s="424"/>
      <c r="K12" s="423"/>
      <c r="L12" s="424"/>
      <c r="M12" s="423"/>
      <c r="N12" s="424"/>
      <c r="O12" s="423"/>
      <c r="P12" s="424"/>
      <c r="Q12" s="423"/>
      <c r="R12" s="424"/>
      <c r="S12" s="423"/>
      <c r="T12" s="424"/>
      <c r="U12" s="423"/>
      <c r="V12" s="424"/>
      <c r="W12" s="423"/>
      <c r="X12" s="424"/>
      <c r="Y12" s="423"/>
      <c r="Z12" s="424"/>
      <c r="AA12" s="423"/>
      <c r="AB12" s="424"/>
      <c r="AC12" s="425"/>
      <c r="AD12" s="426"/>
      <c r="AE12" s="426"/>
      <c r="AF12" s="427"/>
    </row>
    <row r="13" spans="1:32" ht="12.75" customHeight="1" x14ac:dyDescent="0.25">
      <c r="A13" s="428">
        <v>1</v>
      </c>
      <c r="B13" s="429" t="str">
        <f>IF($A13&lt;&gt;"",VLOOKUP($A13,RESUMO!$B$15:$J$49,2,0),"")</f>
        <v>ADMINISTRAÇÃO LOCAL</v>
      </c>
      <c r="C13" s="430">
        <f t="shared" ref="C13:C30" si="0">IFERROR(AB13/$AB$51,0)</f>
        <v>3.2249347067188627E-2</v>
      </c>
      <c r="D13" s="431">
        <f t="shared" ref="D13:D31" si="1">IF($B13&lt;&gt;"",E13*$AB13," ")</f>
        <v>18788.713663926555</v>
      </c>
      <c r="E13" s="432">
        <f>+E57</f>
        <v>8.6974243643174645E-2</v>
      </c>
      <c r="F13" s="431">
        <f t="shared" ref="F13:F31" si="2">IF($B13&lt;&gt;"",G13*$AB13," ")</f>
        <v>22085.5987724845</v>
      </c>
      <c r="G13" s="432">
        <f>+G57</f>
        <v>0.1022357508343672</v>
      </c>
      <c r="H13" s="431">
        <f t="shared" ref="H13:H31" si="3">IF($B13&lt;&gt;"",I13*$AB13," ")</f>
        <v>18910.262425009412</v>
      </c>
      <c r="I13" s="432">
        <f>+I57</f>
        <v>8.7536901191213365E-2</v>
      </c>
      <c r="J13" s="431">
        <f t="shared" ref="J13:J31" si="4">IF($B13&lt;&gt;"",K13*$AB13," ")</f>
        <v>31424.977162548625</v>
      </c>
      <c r="K13" s="432">
        <f>+K57</f>
        <v>0.14546837367926088</v>
      </c>
      <c r="L13" s="431">
        <f t="shared" ref="L13:L31" si="5">IF($B13&lt;&gt;"",M13*$AB13," ")</f>
        <v>27902.164067888782</v>
      </c>
      <c r="M13" s="432">
        <f>+M57</f>
        <v>0.12916103035151763</v>
      </c>
      <c r="N13" s="431">
        <f t="shared" ref="N13:N31" si="6">IF($B13&lt;&gt;"",O13*$AB13," ")</f>
        <v>19231.77627971171</v>
      </c>
      <c r="O13" s="432">
        <f>+O57</f>
        <v>8.9025210866570351E-2</v>
      </c>
      <c r="P13" s="431">
        <f t="shared" ref="P13:P31" si="7">IF($B13&lt;&gt;"",Q13*$AB13," ")</f>
        <v>17841.946027808448</v>
      </c>
      <c r="Q13" s="432">
        <f>+Q57</f>
        <v>8.2591591348286239E-2</v>
      </c>
      <c r="R13" s="431">
        <f t="shared" ref="R13:R31" si="8">IF($B13&lt;&gt;"",S13*$AB13," ")</f>
        <v>17717.095196044131</v>
      </c>
      <c r="S13" s="432">
        <f>+S57</f>
        <v>8.2013648288683863E-2</v>
      </c>
      <c r="T13" s="431">
        <f t="shared" ref="T13:T31" si="9">IF($B13&lt;&gt;"",U13*$AB13," ")</f>
        <v>16676.579245524481</v>
      </c>
      <c r="U13" s="432">
        <f>+U57</f>
        <v>7.7197028619352404E-2</v>
      </c>
      <c r="V13" s="431">
        <f t="shared" ref="V13:V31" si="10">IF($B13&lt;&gt;"",W13*$AB13," ")</f>
        <v>25447.067748909067</v>
      </c>
      <c r="W13" s="432">
        <f>+W57</f>
        <v>0.11779622117757345</v>
      </c>
      <c r="X13" s="431">
        <f t="shared" ref="X13:X31" si="11">IF($B13&lt;&gt;"",Y13*$AB13," ")</f>
        <v>0</v>
      </c>
      <c r="Y13" s="432"/>
      <c r="Z13" s="431">
        <f t="shared" ref="Z13:Z31" si="12">IF($B13&lt;&gt;"",AA13*$AB13," ")</f>
        <v>0</v>
      </c>
      <c r="AA13" s="432"/>
      <c r="AB13" s="433">
        <f t="shared" ref="AB13:AB31" si="13">(IF(B13&lt;&gt;"",AC13*(1+$AC$7)," "))</f>
        <v>216026.18058985571</v>
      </c>
      <c r="AC13" s="434">
        <f>IF($B13&lt;&gt;"",VLOOKUP($A13,RESUMO!$B$15:$J$49,7,0),"")</f>
        <v>179463</v>
      </c>
      <c r="AD13" s="435">
        <f t="shared" ref="AD13:AD30" si="14">+Z13+X13+V13+T13+R13+P13+N13+L13+J13+H13+F13+D13-AB13</f>
        <v>0</v>
      </c>
      <c r="AE13" s="436">
        <f t="shared" ref="AE13:AE28" si="15">+AA13+Y13+W13+U13+S13+Q13+O13+M13+K13+I13+G13+E13</f>
        <v>1</v>
      </c>
      <c r="AF13" s="436"/>
    </row>
    <row r="14" spans="1:32" ht="12.75" customHeight="1" x14ac:dyDescent="0.25">
      <c r="A14" s="428">
        <v>2</v>
      </c>
      <c r="B14" s="429" t="str">
        <f>IF($A14&lt;&gt;"",VLOOKUP($A14,RESUMO!$B$15:$J$49,2,0),"")</f>
        <v>SERVIÇOS PRELIMINARES</v>
      </c>
      <c r="C14" s="430">
        <f t="shared" si="0"/>
        <v>5.6922506440582436E-3</v>
      </c>
      <c r="D14" s="431">
        <f t="shared" si="1"/>
        <v>38130.23448301544</v>
      </c>
      <c r="E14" s="432">
        <v>1</v>
      </c>
      <c r="F14" s="431">
        <f t="shared" si="2"/>
        <v>0</v>
      </c>
      <c r="G14" s="432"/>
      <c r="H14" s="431">
        <f t="shared" si="3"/>
        <v>0</v>
      </c>
      <c r="I14" s="432"/>
      <c r="J14" s="431">
        <f t="shared" si="4"/>
        <v>0</v>
      </c>
      <c r="K14" s="432"/>
      <c r="L14" s="431">
        <f t="shared" si="5"/>
        <v>0</v>
      </c>
      <c r="M14" s="432"/>
      <c r="N14" s="431">
        <f t="shared" si="6"/>
        <v>0</v>
      </c>
      <c r="O14" s="432"/>
      <c r="P14" s="431">
        <f t="shared" si="7"/>
        <v>0</v>
      </c>
      <c r="Q14" s="432"/>
      <c r="R14" s="431">
        <f t="shared" si="8"/>
        <v>0</v>
      </c>
      <c r="S14" s="432"/>
      <c r="T14" s="431">
        <f t="shared" si="9"/>
        <v>0</v>
      </c>
      <c r="U14" s="432"/>
      <c r="V14" s="431">
        <f t="shared" si="10"/>
        <v>0</v>
      </c>
      <c r="W14" s="432"/>
      <c r="X14" s="431">
        <f t="shared" si="11"/>
        <v>0</v>
      </c>
      <c r="Y14" s="432"/>
      <c r="Z14" s="431">
        <f t="shared" si="12"/>
        <v>0</v>
      </c>
      <c r="AA14" s="432"/>
      <c r="AB14" s="433">
        <f t="shared" si="13"/>
        <v>38130.23448301544</v>
      </c>
      <c r="AC14" s="434">
        <f>IF($B14&lt;&gt;"",VLOOKUP($A14,RESUMO!$B$15:$J$49,7,0),"")</f>
        <v>31676.560000000001</v>
      </c>
      <c r="AD14" s="435">
        <f t="shared" si="14"/>
        <v>0</v>
      </c>
      <c r="AE14" s="436">
        <f t="shared" si="15"/>
        <v>1</v>
      </c>
      <c r="AF14" s="436"/>
    </row>
    <row r="15" spans="1:32" ht="12.75" customHeight="1" x14ac:dyDescent="0.25">
      <c r="A15" s="428">
        <v>3</v>
      </c>
      <c r="B15" s="429" t="str">
        <f>IF($A15&lt;&gt;"",VLOOKUP($A15,RESUMO!$B$15:$J$49,2,0),"")</f>
        <v>MOVIMENTO DE TERRA</v>
      </c>
      <c r="C15" s="430">
        <f t="shared" si="0"/>
        <v>2.1096194048081571E-3</v>
      </c>
      <c r="D15" s="431">
        <f t="shared" si="1"/>
        <v>2826.3085238251301</v>
      </c>
      <c r="E15" s="432">
        <v>0.2</v>
      </c>
      <c r="F15" s="431">
        <f t="shared" si="2"/>
        <v>4239.4627857376945</v>
      </c>
      <c r="G15" s="432">
        <v>0.3</v>
      </c>
      <c r="H15" s="431">
        <f t="shared" si="3"/>
        <v>7065.7713095628251</v>
      </c>
      <c r="I15" s="432">
        <v>0.5</v>
      </c>
      <c r="J15" s="431">
        <f t="shared" si="4"/>
        <v>0</v>
      </c>
      <c r="K15" s="432"/>
      <c r="L15" s="431">
        <f t="shared" si="5"/>
        <v>0</v>
      </c>
      <c r="M15" s="432"/>
      <c r="N15" s="431">
        <f t="shared" si="6"/>
        <v>0</v>
      </c>
      <c r="O15" s="432"/>
      <c r="P15" s="431">
        <f t="shared" si="7"/>
        <v>0</v>
      </c>
      <c r="Q15" s="432"/>
      <c r="R15" s="431">
        <f t="shared" si="8"/>
        <v>0</v>
      </c>
      <c r="S15" s="432"/>
      <c r="T15" s="431">
        <f t="shared" si="9"/>
        <v>0</v>
      </c>
      <c r="U15" s="432"/>
      <c r="V15" s="431">
        <f t="shared" si="10"/>
        <v>0</v>
      </c>
      <c r="W15" s="432"/>
      <c r="X15" s="431">
        <f t="shared" si="11"/>
        <v>0</v>
      </c>
      <c r="Y15" s="432"/>
      <c r="Z15" s="431">
        <f t="shared" si="12"/>
        <v>0</v>
      </c>
      <c r="AA15" s="432"/>
      <c r="AB15" s="433">
        <f t="shared" si="13"/>
        <v>14131.54261912565</v>
      </c>
      <c r="AC15" s="434">
        <f>IF($B15&lt;&gt;"",VLOOKUP($A15,RESUMO!$B$15:$J$49,7,0),"")</f>
        <v>11739.73</v>
      </c>
      <c r="AD15" s="435">
        <f t="shared" si="14"/>
        <v>0</v>
      </c>
      <c r="AE15" s="436">
        <f t="shared" si="15"/>
        <v>1</v>
      </c>
      <c r="AF15" s="436"/>
    </row>
    <row r="16" spans="1:32" ht="12.75" customHeight="1" x14ac:dyDescent="0.25">
      <c r="A16" s="428">
        <v>4</v>
      </c>
      <c r="B16" s="429" t="str">
        <f>IF($A16&lt;&gt;"",VLOOKUP($A16,RESUMO!$B$15:$J$49,2,0),"")</f>
        <v>FUNDAÇÃO</v>
      </c>
      <c r="C16" s="430">
        <f t="shared" si="0"/>
        <v>2.4799922741932927E-2</v>
      </c>
      <c r="D16" s="431">
        <f t="shared" si="1"/>
        <v>49837.591232791856</v>
      </c>
      <c r="E16" s="432">
        <v>0.3</v>
      </c>
      <c r="F16" s="431">
        <f t="shared" si="2"/>
        <v>83062.652054653096</v>
      </c>
      <c r="G16" s="432">
        <v>0.5</v>
      </c>
      <c r="H16" s="431">
        <f t="shared" si="3"/>
        <v>33225.06082186124</v>
      </c>
      <c r="I16" s="432">
        <v>0.2</v>
      </c>
      <c r="J16" s="431">
        <f t="shared" si="4"/>
        <v>0</v>
      </c>
      <c r="K16" s="432"/>
      <c r="L16" s="431">
        <f t="shared" si="5"/>
        <v>0</v>
      </c>
      <c r="M16" s="432"/>
      <c r="N16" s="431">
        <f t="shared" si="6"/>
        <v>0</v>
      </c>
      <c r="O16" s="432"/>
      <c r="P16" s="431">
        <f t="shared" si="7"/>
        <v>0</v>
      </c>
      <c r="Q16" s="432"/>
      <c r="R16" s="431">
        <f t="shared" si="8"/>
        <v>0</v>
      </c>
      <c r="S16" s="432"/>
      <c r="T16" s="431">
        <f t="shared" si="9"/>
        <v>0</v>
      </c>
      <c r="U16" s="432"/>
      <c r="V16" s="431">
        <f t="shared" si="10"/>
        <v>0</v>
      </c>
      <c r="W16" s="432"/>
      <c r="X16" s="431">
        <f t="shared" si="11"/>
        <v>0</v>
      </c>
      <c r="Y16" s="432"/>
      <c r="Z16" s="431">
        <f t="shared" si="12"/>
        <v>0</v>
      </c>
      <c r="AA16" s="432"/>
      <c r="AB16" s="433">
        <f t="shared" si="13"/>
        <v>166125.30410930619</v>
      </c>
      <c r="AC16" s="434">
        <f>IF($B16&lt;&gt;"",VLOOKUP($A16,RESUMO!$B$15:$J$49,7,0),"")</f>
        <v>138008.01999999999</v>
      </c>
      <c r="AD16" s="435">
        <f t="shared" si="14"/>
        <v>0</v>
      </c>
      <c r="AE16" s="436">
        <f t="shared" si="15"/>
        <v>1</v>
      </c>
      <c r="AF16" s="436"/>
    </row>
    <row r="17" spans="1:32" ht="12.75" customHeight="1" x14ac:dyDescent="0.25">
      <c r="A17" s="428">
        <v>5</v>
      </c>
      <c r="B17" s="429" t="str">
        <f>IF($A17&lt;&gt;"",VLOOKUP($A17,RESUMO!$B$15:$J$49,2,0),"")</f>
        <v>SUPRAESTRUTURA</v>
      </c>
      <c r="C17" s="430">
        <f t="shared" si="0"/>
        <v>7.8564897826857327E-2</v>
      </c>
      <c r="D17" s="431">
        <f t="shared" si="1"/>
        <v>0</v>
      </c>
      <c r="E17" s="432"/>
      <c r="F17" s="431">
        <f t="shared" si="2"/>
        <v>157882.96213199399</v>
      </c>
      <c r="G17" s="432">
        <v>0.3</v>
      </c>
      <c r="H17" s="431">
        <f t="shared" si="3"/>
        <v>210510.61617599201</v>
      </c>
      <c r="I17" s="432">
        <v>0.4</v>
      </c>
      <c r="J17" s="431">
        <f t="shared" si="4"/>
        <v>157882.96213199399</v>
      </c>
      <c r="K17" s="432">
        <v>0.3</v>
      </c>
      <c r="L17" s="431">
        <f t="shared" si="5"/>
        <v>0</v>
      </c>
      <c r="M17" s="432"/>
      <c r="N17" s="431">
        <f t="shared" si="6"/>
        <v>0</v>
      </c>
      <c r="O17" s="432"/>
      <c r="P17" s="431">
        <f t="shared" si="7"/>
        <v>0</v>
      </c>
      <c r="Q17" s="432"/>
      <c r="R17" s="431">
        <f t="shared" si="8"/>
        <v>0</v>
      </c>
      <c r="S17" s="432"/>
      <c r="T17" s="431">
        <f t="shared" si="9"/>
        <v>0</v>
      </c>
      <c r="U17" s="432"/>
      <c r="V17" s="431">
        <f t="shared" si="10"/>
        <v>0</v>
      </c>
      <c r="W17" s="432"/>
      <c r="X17" s="431">
        <f t="shared" si="11"/>
        <v>0</v>
      </c>
      <c r="Y17" s="432"/>
      <c r="Z17" s="431">
        <f t="shared" si="12"/>
        <v>0</v>
      </c>
      <c r="AA17" s="432"/>
      <c r="AB17" s="433">
        <f t="shared" si="13"/>
        <v>526276.54043997999</v>
      </c>
      <c r="AC17" s="434">
        <f>IF($B17&lt;&gt;"",VLOOKUP($A17,RESUMO!$B$15:$J$49,7,0),"")</f>
        <v>437202.40999999992</v>
      </c>
      <c r="AD17" s="435">
        <f t="shared" si="14"/>
        <v>0</v>
      </c>
      <c r="AE17" s="436">
        <f t="shared" si="15"/>
        <v>1</v>
      </c>
      <c r="AF17" s="436"/>
    </row>
    <row r="18" spans="1:32" ht="12.75" customHeight="1" x14ac:dyDescent="0.25">
      <c r="A18" s="428">
        <v>6</v>
      </c>
      <c r="B18" s="429" t="str">
        <f>IF($A18&lt;&gt;"",VLOOKUP($A18,RESUMO!$B$15:$J$49,2,0),"")</f>
        <v>ALVENARIAS - VEDAÇÃO</v>
      </c>
      <c r="C18" s="430">
        <f t="shared" si="0"/>
        <v>5.2058543050369235E-2</v>
      </c>
      <c r="D18" s="431">
        <f t="shared" si="1"/>
        <v>0</v>
      </c>
      <c r="E18" s="432"/>
      <c r="F18" s="431">
        <f t="shared" si="2"/>
        <v>0</v>
      </c>
      <c r="G18" s="432"/>
      <c r="H18" s="431">
        <f t="shared" si="3"/>
        <v>104616.14803066051</v>
      </c>
      <c r="I18" s="432">
        <v>0.3</v>
      </c>
      <c r="J18" s="431">
        <f t="shared" si="4"/>
        <v>139488.19737421404</v>
      </c>
      <c r="K18" s="432">
        <v>0.4</v>
      </c>
      <c r="L18" s="431">
        <f t="shared" si="5"/>
        <v>104616.14803066051</v>
      </c>
      <c r="M18" s="432">
        <v>0.3</v>
      </c>
      <c r="N18" s="431">
        <f t="shared" si="6"/>
        <v>0</v>
      </c>
      <c r="O18" s="432"/>
      <c r="P18" s="431">
        <f t="shared" si="7"/>
        <v>0</v>
      </c>
      <c r="Q18" s="432"/>
      <c r="R18" s="431">
        <f t="shared" si="8"/>
        <v>0</v>
      </c>
      <c r="S18" s="432"/>
      <c r="T18" s="431">
        <f t="shared" si="9"/>
        <v>0</v>
      </c>
      <c r="U18" s="432"/>
      <c r="V18" s="431">
        <f t="shared" si="10"/>
        <v>0</v>
      </c>
      <c r="W18" s="432"/>
      <c r="X18" s="431">
        <f t="shared" si="11"/>
        <v>0</v>
      </c>
      <c r="Y18" s="432"/>
      <c r="Z18" s="431">
        <f t="shared" si="12"/>
        <v>0</v>
      </c>
      <c r="AA18" s="432"/>
      <c r="AB18" s="433">
        <f t="shared" si="13"/>
        <v>348720.49343553506</v>
      </c>
      <c r="AC18" s="434">
        <f>IF($B18&lt;&gt;"",VLOOKUP($A18,RESUMO!$B$15:$J$49,7,0),"")</f>
        <v>289698.34000000003</v>
      </c>
      <c r="AD18" s="435">
        <f t="shared" si="14"/>
        <v>0</v>
      </c>
      <c r="AE18" s="436">
        <f t="shared" si="15"/>
        <v>1</v>
      </c>
      <c r="AF18" s="436"/>
    </row>
    <row r="19" spans="1:32" ht="12.75" customHeight="1" x14ac:dyDescent="0.25">
      <c r="A19" s="428">
        <v>7</v>
      </c>
      <c r="B19" s="429" t="str">
        <f>IF($A19&lt;&gt;"",VLOOKUP($A19,RESUMO!$B$15:$J$49,2,0),"")</f>
        <v>COBERTURA</v>
      </c>
      <c r="C19" s="430">
        <f t="shared" si="0"/>
        <v>4.8895917224043982E-2</v>
      </c>
      <c r="D19" s="431">
        <f t="shared" si="1"/>
        <v>0</v>
      </c>
      <c r="E19" s="432"/>
      <c r="F19" s="431">
        <f t="shared" si="2"/>
        <v>0</v>
      </c>
      <c r="G19" s="432"/>
      <c r="H19" s="431">
        <f t="shared" si="3"/>
        <v>0</v>
      </c>
      <c r="I19" s="432"/>
      <c r="J19" s="431">
        <f t="shared" si="4"/>
        <v>163767.62950178987</v>
      </c>
      <c r="K19" s="432">
        <v>0.5</v>
      </c>
      <c r="L19" s="431">
        <f t="shared" si="5"/>
        <v>163767.62950178987</v>
      </c>
      <c r="M19" s="432">
        <v>0.5</v>
      </c>
      <c r="N19" s="431">
        <f t="shared" si="6"/>
        <v>0</v>
      </c>
      <c r="O19" s="432"/>
      <c r="P19" s="431">
        <f t="shared" si="7"/>
        <v>0</v>
      </c>
      <c r="Q19" s="432"/>
      <c r="R19" s="431">
        <f t="shared" si="8"/>
        <v>0</v>
      </c>
      <c r="S19" s="432"/>
      <c r="T19" s="431">
        <f t="shared" si="9"/>
        <v>0</v>
      </c>
      <c r="U19" s="432"/>
      <c r="V19" s="431">
        <f t="shared" si="10"/>
        <v>0</v>
      </c>
      <c r="W19" s="432"/>
      <c r="X19" s="431">
        <f t="shared" si="11"/>
        <v>0</v>
      </c>
      <c r="Y19" s="432"/>
      <c r="Z19" s="431">
        <f t="shared" si="12"/>
        <v>0</v>
      </c>
      <c r="AA19" s="432"/>
      <c r="AB19" s="433">
        <f t="shared" si="13"/>
        <v>327535.25900357973</v>
      </c>
      <c r="AC19" s="434">
        <f>IF($B19&lt;&gt;"",VLOOKUP($A19,RESUMO!$B$15:$J$49,7,0),"")</f>
        <v>272098.78000000003</v>
      </c>
      <c r="AD19" s="435">
        <f t="shared" si="14"/>
        <v>0</v>
      </c>
      <c r="AE19" s="436">
        <f t="shared" si="15"/>
        <v>1</v>
      </c>
      <c r="AF19" s="436"/>
    </row>
    <row r="20" spans="1:32" ht="12.75" customHeight="1" x14ac:dyDescent="0.25">
      <c r="A20" s="428">
        <v>8</v>
      </c>
      <c r="B20" s="429" t="str">
        <f>IF($A20&lt;&gt;"",VLOOKUP($A20,RESUMO!$B$15:$J$49,2,0),"")</f>
        <v>IMPERMEABILIZAÇÃO E ISOLAMENTOS</v>
      </c>
      <c r="C20" s="430">
        <f t="shared" si="0"/>
        <v>5.236436583166546E-3</v>
      </c>
      <c r="D20" s="431">
        <f t="shared" si="1"/>
        <v>0</v>
      </c>
      <c r="E20" s="432"/>
      <c r="F20" s="431">
        <f t="shared" si="2"/>
        <v>0</v>
      </c>
      <c r="G20" s="432"/>
      <c r="H20" s="431">
        <f t="shared" si="3"/>
        <v>17538.4542298747</v>
      </c>
      <c r="I20" s="432">
        <v>0.5</v>
      </c>
      <c r="J20" s="431">
        <f t="shared" si="4"/>
        <v>0</v>
      </c>
      <c r="K20" s="432"/>
      <c r="L20" s="431">
        <f t="shared" si="5"/>
        <v>17538.4542298747</v>
      </c>
      <c r="M20" s="432">
        <v>0.5</v>
      </c>
      <c r="N20" s="431">
        <f t="shared" si="6"/>
        <v>0</v>
      </c>
      <c r="O20" s="432"/>
      <c r="P20" s="431">
        <f t="shared" si="7"/>
        <v>0</v>
      </c>
      <c r="Q20" s="432"/>
      <c r="R20" s="431">
        <f t="shared" si="8"/>
        <v>0</v>
      </c>
      <c r="S20" s="432"/>
      <c r="T20" s="431">
        <f t="shared" si="9"/>
        <v>0</v>
      </c>
      <c r="U20" s="432"/>
      <c r="V20" s="431">
        <f t="shared" si="10"/>
        <v>0</v>
      </c>
      <c r="W20" s="432"/>
      <c r="X20" s="431">
        <f t="shared" si="11"/>
        <v>0</v>
      </c>
      <c r="Y20" s="432"/>
      <c r="Z20" s="431">
        <f t="shared" si="12"/>
        <v>0</v>
      </c>
      <c r="AA20" s="432"/>
      <c r="AB20" s="433">
        <f t="shared" si="13"/>
        <v>35076.9084597494</v>
      </c>
      <c r="AC20" s="434">
        <f>IF($B20&lt;&gt;"",VLOOKUP($A20,RESUMO!$B$15:$J$49,7,0),"")</f>
        <v>29140.019999999997</v>
      </c>
      <c r="AD20" s="435">
        <f t="shared" si="14"/>
        <v>0</v>
      </c>
      <c r="AE20" s="436">
        <f t="shared" si="15"/>
        <v>1</v>
      </c>
      <c r="AF20" s="436"/>
    </row>
    <row r="21" spans="1:32" ht="12.75" customHeight="1" x14ac:dyDescent="0.25">
      <c r="A21" s="428">
        <v>9</v>
      </c>
      <c r="B21" s="429" t="str">
        <f>IF($A21&lt;&gt;"",VLOOKUP($A21,RESUMO!$B$15:$J$49,2,0),"")</f>
        <v>REVESTIMENTOS</v>
      </c>
      <c r="C21" s="430">
        <f t="shared" si="0"/>
        <v>7.1192345200438739E-2</v>
      </c>
      <c r="D21" s="431">
        <f t="shared" si="1"/>
        <v>0</v>
      </c>
      <c r="E21" s="432"/>
      <c r="F21" s="431">
        <f t="shared" si="2"/>
        <v>0</v>
      </c>
      <c r="G21" s="432"/>
      <c r="H21" s="431">
        <f t="shared" si="3"/>
        <v>71533.589760020739</v>
      </c>
      <c r="I21" s="432">
        <v>0.15</v>
      </c>
      <c r="J21" s="431">
        <f t="shared" si="4"/>
        <v>95378.119680027652</v>
      </c>
      <c r="K21" s="432">
        <v>0.2</v>
      </c>
      <c r="L21" s="431">
        <f t="shared" si="5"/>
        <v>119222.64960003457</v>
      </c>
      <c r="M21" s="432">
        <v>0.25</v>
      </c>
      <c r="N21" s="431">
        <f t="shared" si="6"/>
        <v>95378.119680027652</v>
      </c>
      <c r="O21" s="432">
        <v>0.2</v>
      </c>
      <c r="P21" s="431">
        <f t="shared" si="7"/>
        <v>95378.119680027652</v>
      </c>
      <c r="Q21" s="432">
        <v>0.2</v>
      </c>
      <c r="R21" s="431">
        <f t="shared" si="8"/>
        <v>0</v>
      </c>
      <c r="S21" s="432"/>
      <c r="T21" s="431">
        <f t="shared" si="9"/>
        <v>0</v>
      </c>
      <c r="U21" s="432"/>
      <c r="V21" s="431">
        <f t="shared" si="10"/>
        <v>0</v>
      </c>
      <c r="W21" s="432"/>
      <c r="X21" s="431">
        <f t="shared" si="11"/>
        <v>0</v>
      </c>
      <c r="Y21" s="432"/>
      <c r="Z21" s="431">
        <f t="shared" si="12"/>
        <v>0</v>
      </c>
      <c r="AA21" s="432"/>
      <c r="AB21" s="433">
        <f t="shared" si="13"/>
        <v>476890.59840013826</v>
      </c>
      <c r="AC21" s="434">
        <f>IF($B21&lt;&gt;"",VLOOKUP($A21,RESUMO!$B$15:$J$49,7,0),"")</f>
        <v>396175.21</v>
      </c>
      <c r="AD21" s="435">
        <f t="shared" si="14"/>
        <v>0</v>
      </c>
      <c r="AE21" s="436">
        <f t="shared" si="15"/>
        <v>1</v>
      </c>
      <c r="AF21" s="436"/>
    </row>
    <row r="22" spans="1:32" ht="12.75" customHeight="1" x14ac:dyDescent="0.25">
      <c r="A22" s="428">
        <v>10</v>
      </c>
      <c r="B22" s="429" t="str">
        <f>IF($A22&lt;&gt;"",VLOOKUP($A22,RESUMO!$B$15:$J$49,2,0),"")</f>
        <v>ESQUADRIAS</v>
      </c>
      <c r="C22" s="430">
        <f t="shared" si="0"/>
        <v>5.4783076745157422E-2</v>
      </c>
      <c r="D22" s="431">
        <f t="shared" si="1"/>
        <v>0</v>
      </c>
      <c r="E22" s="432"/>
      <c r="F22" s="431">
        <f t="shared" si="2"/>
        <v>0</v>
      </c>
      <c r="G22" s="432"/>
      <c r="H22" s="431">
        <f t="shared" si="3"/>
        <v>73394.222869449222</v>
      </c>
      <c r="I22" s="432">
        <v>0.2</v>
      </c>
      <c r="J22" s="431">
        <f t="shared" si="4"/>
        <v>73394.222869449222</v>
      </c>
      <c r="K22" s="432">
        <v>0.2</v>
      </c>
      <c r="L22" s="431">
        <f t="shared" si="5"/>
        <v>73394.222869449222</v>
      </c>
      <c r="M22" s="432">
        <v>0.2</v>
      </c>
      <c r="N22" s="431">
        <f t="shared" si="6"/>
        <v>73394.222869449222</v>
      </c>
      <c r="O22" s="432">
        <v>0.2</v>
      </c>
      <c r="P22" s="431">
        <f t="shared" si="7"/>
        <v>73394.222869449222</v>
      </c>
      <c r="Q22" s="432">
        <v>0.2</v>
      </c>
      <c r="R22" s="431">
        <f t="shared" si="8"/>
        <v>0</v>
      </c>
      <c r="S22" s="432"/>
      <c r="T22" s="431">
        <f t="shared" si="9"/>
        <v>0</v>
      </c>
      <c r="U22" s="432"/>
      <c r="V22" s="431">
        <f t="shared" si="10"/>
        <v>0</v>
      </c>
      <c r="W22" s="432"/>
      <c r="X22" s="431">
        <f t="shared" si="11"/>
        <v>0</v>
      </c>
      <c r="Y22" s="432"/>
      <c r="Z22" s="431">
        <f t="shared" si="12"/>
        <v>0</v>
      </c>
      <c r="AA22" s="432"/>
      <c r="AB22" s="433">
        <f t="shared" si="13"/>
        <v>366971.11434724607</v>
      </c>
      <c r="AC22" s="434">
        <f>IF($B22&lt;&gt;"",VLOOKUP($A22,RESUMO!$B$15:$J$49,7,0),"")</f>
        <v>304859.9800000001</v>
      </c>
      <c r="AD22" s="435">
        <f t="shared" si="14"/>
        <v>0</v>
      </c>
      <c r="AE22" s="436">
        <f t="shared" si="15"/>
        <v>1</v>
      </c>
      <c r="AF22" s="436"/>
    </row>
    <row r="23" spans="1:32" ht="12.75" customHeight="1" x14ac:dyDescent="0.25">
      <c r="A23" s="428">
        <v>11</v>
      </c>
      <c r="B23" s="429" t="str">
        <f>IF($A23&lt;&gt;"",VLOOKUP($A23,RESUMO!$B$15:$J$49,2,0),"")</f>
        <v>PINTURAS</v>
      </c>
      <c r="C23" s="430">
        <f t="shared" si="0"/>
        <v>1.935054447284144E-2</v>
      </c>
      <c r="D23" s="431">
        <f t="shared" si="1"/>
        <v>0</v>
      </c>
      <c r="E23" s="432"/>
      <c r="F23" s="431">
        <f t="shared" si="2"/>
        <v>0</v>
      </c>
      <c r="G23" s="432"/>
      <c r="H23" s="431">
        <f t="shared" si="3"/>
        <v>0</v>
      </c>
      <c r="I23" s="432"/>
      <c r="J23" s="431">
        <f t="shared" si="4"/>
        <v>0</v>
      </c>
      <c r="K23" s="432"/>
      <c r="L23" s="431">
        <f t="shared" si="5"/>
        <v>0</v>
      </c>
      <c r="M23" s="432"/>
      <c r="N23" s="431">
        <f t="shared" si="6"/>
        <v>0</v>
      </c>
      <c r="O23" s="432"/>
      <c r="P23" s="431">
        <f t="shared" si="7"/>
        <v>0</v>
      </c>
      <c r="Q23" s="432"/>
      <c r="R23" s="431">
        <f t="shared" si="8"/>
        <v>38886.593946472371</v>
      </c>
      <c r="S23" s="432">
        <v>0.3</v>
      </c>
      <c r="T23" s="431">
        <f t="shared" si="9"/>
        <v>38886.593946472371</v>
      </c>
      <c r="U23" s="432">
        <v>0.3</v>
      </c>
      <c r="V23" s="431">
        <f t="shared" si="10"/>
        <v>51848.791928629835</v>
      </c>
      <c r="W23" s="432">
        <v>0.4</v>
      </c>
      <c r="X23" s="431">
        <f t="shared" si="11"/>
        <v>0</v>
      </c>
      <c r="Y23" s="432"/>
      <c r="Z23" s="431">
        <f t="shared" si="12"/>
        <v>0</v>
      </c>
      <c r="AA23" s="432"/>
      <c r="AB23" s="433">
        <f t="shared" si="13"/>
        <v>129621.97982157458</v>
      </c>
      <c r="AC23" s="434">
        <f>IF($B23&lt;&gt;"",VLOOKUP($A23,RESUMO!$B$15:$J$49,7,0),"")</f>
        <v>107683.01000000001</v>
      </c>
      <c r="AD23" s="435">
        <f t="shared" si="14"/>
        <v>0</v>
      </c>
      <c r="AE23" s="436">
        <f t="shared" si="15"/>
        <v>1</v>
      </c>
      <c r="AF23" s="436"/>
    </row>
    <row r="24" spans="1:32" ht="12.75" customHeight="1" x14ac:dyDescent="0.25">
      <c r="A24" s="428">
        <v>12</v>
      </c>
      <c r="B24" s="429" t="str">
        <f>IF($A24&lt;&gt;"",VLOOKUP($A24,RESUMO!$B$15:$J$49,2,0),"")</f>
        <v>DIVERSOS</v>
      </c>
      <c r="C24" s="430">
        <f t="shared" si="0"/>
        <v>3.8095749025972729E-2</v>
      </c>
      <c r="D24" s="431">
        <f t="shared" si="1"/>
        <v>0</v>
      </c>
      <c r="E24" s="432"/>
      <c r="F24" s="431">
        <f t="shared" si="2"/>
        <v>0</v>
      </c>
      <c r="G24" s="432"/>
      <c r="H24" s="431">
        <f t="shared" si="3"/>
        <v>0</v>
      </c>
      <c r="I24" s="432"/>
      <c r="J24" s="431">
        <f t="shared" si="4"/>
        <v>0</v>
      </c>
      <c r="K24" s="432"/>
      <c r="L24" s="431">
        <f t="shared" si="5"/>
        <v>0</v>
      </c>
      <c r="M24" s="432"/>
      <c r="N24" s="431">
        <f t="shared" si="6"/>
        <v>0</v>
      </c>
      <c r="O24" s="432"/>
      <c r="P24" s="431">
        <f t="shared" si="7"/>
        <v>0</v>
      </c>
      <c r="Q24" s="432"/>
      <c r="R24" s="431">
        <f t="shared" si="8"/>
        <v>76556.704930907334</v>
      </c>
      <c r="S24" s="432">
        <v>0.3</v>
      </c>
      <c r="T24" s="431">
        <f t="shared" si="9"/>
        <v>38278.352465453667</v>
      </c>
      <c r="U24" s="432">
        <v>0.15</v>
      </c>
      <c r="V24" s="431">
        <f t="shared" si="10"/>
        <v>140353.95903999679</v>
      </c>
      <c r="W24" s="432">
        <v>0.55000000000000004</v>
      </c>
      <c r="X24" s="431">
        <f t="shared" si="11"/>
        <v>0</v>
      </c>
      <c r="Y24" s="432"/>
      <c r="Z24" s="431">
        <f t="shared" si="12"/>
        <v>0</v>
      </c>
      <c r="AA24" s="432"/>
      <c r="AB24" s="433">
        <f t="shared" si="13"/>
        <v>255189.01643635778</v>
      </c>
      <c r="AC24" s="434">
        <f>IF($B24&lt;&gt;"",VLOOKUP($A24,RESUMO!$B$15:$J$49,7,0),"")</f>
        <v>211997.39</v>
      </c>
      <c r="AD24" s="435">
        <f t="shared" si="14"/>
        <v>0</v>
      </c>
      <c r="AE24" s="436">
        <f t="shared" si="15"/>
        <v>1</v>
      </c>
      <c r="AF24" s="436"/>
    </row>
    <row r="25" spans="1:32" ht="12.75" customHeight="1" x14ac:dyDescent="0.25">
      <c r="A25" s="428">
        <v>13</v>
      </c>
      <c r="B25" s="429" t="str">
        <f>IF($A25&lt;&gt;"",VLOOKUP($A25,RESUMO!$B$15:$J$49,2,0),"")</f>
        <v>INSTALAÇÃO HIDRÁULICA</v>
      </c>
      <c r="C25" s="430">
        <f t="shared" si="0"/>
        <v>3.7841550214104513E-2</v>
      </c>
      <c r="D25" s="431">
        <f t="shared" si="1"/>
        <v>0</v>
      </c>
      <c r="E25" s="432"/>
      <c r="F25" s="431">
        <f t="shared" si="2"/>
        <v>12674.311736173826</v>
      </c>
      <c r="G25" s="432">
        <v>0.05</v>
      </c>
      <c r="H25" s="431">
        <f t="shared" si="3"/>
        <v>12674.311736173826</v>
      </c>
      <c r="I25" s="432">
        <v>0.05</v>
      </c>
      <c r="J25" s="431">
        <f t="shared" si="4"/>
        <v>12674.311736173826</v>
      </c>
      <c r="K25" s="432">
        <v>0.05</v>
      </c>
      <c r="L25" s="431">
        <f t="shared" si="5"/>
        <v>12674.311736173826</v>
      </c>
      <c r="M25" s="432">
        <v>0.05</v>
      </c>
      <c r="N25" s="431">
        <f t="shared" si="6"/>
        <v>25348.623472347652</v>
      </c>
      <c r="O25" s="432">
        <v>0.1</v>
      </c>
      <c r="P25" s="431">
        <f t="shared" si="7"/>
        <v>25348.623472347652</v>
      </c>
      <c r="Q25" s="432">
        <v>0.1</v>
      </c>
      <c r="R25" s="431">
        <f t="shared" si="8"/>
        <v>38022.935208521478</v>
      </c>
      <c r="S25" s="432">
        <v>0.15</v>
      </c>
      <c r="T25" s="431">
        <f t="shared" si="9"/>
        <v>38022.935208521478</v>
      </c>
      <c r="U25" s="432">
        <v>0.15</v>
      </c>
      <c r="V25" s="431">
        <f t="shared" si="10"/>
        <v>76045.870417042956</v>
      </c>
      <c r="W25" s="432">
        <v>0.3</v>
      </c>
      <c r="X25" s="431">
        <f t="shared" si="11"/>
        <v>0</v>
      </c>
      <c r="Y25" s="432"/>
      <c r="Z25" s="431">
        <f t="shared" si="12"/>
        <v>0</v>
      </c>
      <c r="AA25" s="432"/>
      <c r="AB25" s="433">
        <f t="shared" si="13"/>
        <v>253486.23472347652</v>
      </c>
      <c r="AC25" s="434">
        <f>IF($B25&lt;&gt;"",VLOOKUP($A25,RESUMO!$B$15:$J$49,7,0),"")</f>
        <v>210582.80999999997</v>
      </c>
      <c r="AD25" s="435">
        <f t="shared" si="14"/>
        <v>0</v>
      </c>
      <c r="AE25" s="436">
        <f t="shared" si="15"/>
        <v>1</v>
      </c>
      <c r="AF25" s="436"/>
    </row>
    <row r="26" spans="1:32" ht="12.75" customHeight="1" x14ac:dyDescent="0.25">
      <c r="A26" s="428">
        <v>14</v>
      </c>
      <c r="B26" s="429" t="str">
        <f>IF($A26&lt;&gt;"",VLOOKUP($A26,RESUMO!$B$15:$J$49,2,0),"")</f>
        <v>COMBATE INCÊNDIO</v>
      </c>
      <c r="C26" s="430">
        <f t="shared" si="0"/>
        <v>5.9424170071866659E-4</v>
      </c>
      <c r="D26" s="431">
        <f t="shared" si="1"/>
        <v>0</v>
      </c>
      <c r="E26" s="432"/>
      <c r="F26" s="431">
        <f t="shared" si="2"/>
        <v>0</v>
      </c>
      <c r="G26" s="432"/>
      <c r="H26" s="431">
        <f t="shared" si="3"/>
        <v>0</v>
      </c>
      <c r="I26" s="432"/>
      <c r="J26" s="431">
        <f t="shared" si="4"/>
        <v>0</v>
      </c>
      <c r="K26" s="432"/>
      <c r="L26" s="431">
        <f t="shared" si="5"/>
        <v>0</v>
      </c>
      <c r="M26" s="432"/>
      <c r="N26" s="431">
        <f t="shared" si="6"/>
        <v>0</v>
      </c>
      <c r="O26" s="432"/>
      <c r="P26" s="431">
        <f t="shared" si="7"/>
        <v>0</v>
      </c>
      <c r="Q26" s="432"/>
      <c r="R26" s="431">
        <f t="shared" si="8"/>
        <v>0</v>
      </c>
      <c r="S26" s="432"/>
      <c r="T26" s="431">
        <f t="shared" si="9"/>
        <v>0</v>
      </c>
      <c r="U26" s="432"/>
      <c r="V26" s="431">
        <f t="shared" si="10"/>
        <v>3980.6004346699665</v>
      </c>
      <c r="W26" s="432">
        <v>1</v>
      </c>
      <c r="X26" s="431">
        <f t="shared" si="11"/>
        <v>0</v>
      </c>
      <c r="Y26" s="432"/>
      <c r="Z26" s="431">
        <f t="shared" si="12"/>
        <v>0</v>
      </c>
      <c r="AA26" s="432"/>
      <c r="AB26" s="433">
        <f t="shared" si="13"/>
        <v>3980.6004346699665</v>
      </c>
      <c r="AC26" s="434">
        <f>IF($B26&lt;&gt;"",VLOOKUP($A26,RESUMO!$B$15:$J$49,7,0),"")</f>
        <v>3306.8700000000003</v>
      </c>
      <c r="AD26" s="435">
        <f t="shared" si="14"/>
        <v>0</v>
      </c>
      <c r="AE26" s="436">
        <f t="shared" si="15"/>
        <v>1</v>
      </c>
      <c r="AF26" s="436"/>
    </row>
    <row r="27" spans="1:32" ht="12.75" customHeight="1" x14ac:dyDescent="0.25">
      <c r="A27" s="428">
        <v>15</v>
      </c>
      <c r="B27" s="429" t="str">
        <f>IF($A27&lt;&gt;"",VLOOKUP($A27,RESUMO!$B$15:$J$49,2,0),"")</f>
        <v>INSTALAÇÃO ELÉTRICA - EXCETO POSTO TRANSFORMAÇÃO, GERADOR, CABEAMENTO CAT, SWITCH, GRAVADORES, CÂMERAS, CERTIFICAÇÃO, CENTRAL DE ENFERMAGEM</v>
      </c>
      <c r="C27" s="430">
        <f t="shared" si="0"/>
        <v>0.11019628110963134</v>
      </c>
      <c r="D27" s="431">
        <f t="shared" si="1"/>
        <v>0</v>
      </c>
      <c r="E27" s="432"/>
      <c r="F27" s="431">
        <f t="shared" si="2"/>
        <v>36908.160766361492</v>
      </c>
      <c r="G27" s="432">
        <v>0.05</v>
      </c>
      <c r="H27" s="431">
        <f t="shared" si="3"/>
        <v>36908.160766361492</v>
      </c>
      <c r="I27" s="432">
        <v>0.05</v>
      </c>
      <c r="J27" s="431">
        <f t="shared" si="4"/>
        <v>36908.160766361492</v>
      </c>
      <c r="K27" s="432">
        <v>0.05</v>
      </c>
      <c r="L27" s="431">
        <f t="shared" si="5"/>
        <v>36908.160766361492</v>
      </c>
      <c r="M27" s="432">
        <v>0.05</v>
      </c>
      <c r="N27" s="431">
        <f t="shared" si="6"/>
        <v>73816.321532722985</v>
      </c>
      <c r="O27" s="432">
        <v>0.1</v>
      </c>
      <c r="P27" s="431">
        <f t="shared" si="7"/>
        <v>73816.321532722985</v>
      </c>
      <c r="Q27" s="432">
        <v>0.1</v>
      </c>
      <c r="R27" s="431">
        <f t="shared" si="8"/>
        <v>110724.48229908447</v>
      </c>
      <c r="S27" s="432">
        <v>0.15</v>
      </c>
      <c r="T27" s="431">
        <f t="shared" si="9"/>
        <v>110724.48229908447</v>
      </c>
      <c r="U27" s="432">
        <v>0.15</v>
      </c>
      <c r="V27" s="431">
        <f t="shared" si="10"/>
        <v>221448.96459816894</v>
      </c>
      <c r="W27" s="432">
        <v>0.3</v>
      </c>
      <c r="X27" s="431">
        <f t="shared" si="11"/>
        <v>0</v>
      </c>
      <c r="Y27" s="432"/>
      <c r="Z27" s="431">
        <f t="shared" si="12"/>
        <v>0</v>
      </c>
      <c r="AA27" s="432"/>
      <c r="AB27" s="433">
        <f t="shared" si="13"/>
        <v>738163.21532722982</v>
      </c>
      <c r="AC27" s="434">
        <f>IF($B27&lt;&gt;"",VLOOKUP($A27,RESUMO!$B$15:$J$49,7,0),"")</f>
        <v>613226.53000000038</v>
      </c>
      <c r="AD27" s="435">
        <f t="shared" si="14"/>
        <v>0</v>
      </c>
      <c r="AE27" s="436">
        <f t="shared" si="15"/>
        <v>1</v>
      </c>
      <c r="AF27" s="436"/>
    </row>
    <row r="28" spans="1:32" ht="12.75" customHeight="1" x14ac:dyDescent="0.25">
      <c r="A28" s="428">
        <v>16</v>
      </c>
      <c r="B28" s="429" t="str">
        <f>IF($A28&lt;&gt;"",VLOOKUP($A28,RESUMO!$B$15:$J$49,2,0),"")</f>
        <v>INSTALAÇÕES DE GÁS MEDICINAL - EXCETO CENTRAIS</v>
      </c>
      <c r="C28" s="430">
        <f t="shared" si="0"/>
        <v>1.3632091896931696E-2</v>
      </c>
      <c r="D28" s="431">
        <f t="shared" si="1"/>
        <v>0</v>
      </c>
      <c r="E28" s="432"/>
      <c r="F28" s="431">
        <f t="shared" si="2"/>
        <v>0</v>
      </c>
      <c r="G28" s="432"/>
      <c r="H28" s="431">
        <f t="shared" si="3"/>
        <v>0</v>
      </c>
      <c r="I28" s="432"/>
      <c r="J28" s="431">
        <f t="shared" si="4"/>
        <v>0</v>
      </c>
      <c r="K28" s="432"/>
      <c r="L28" s="431">
        <f t="shared" si="5"/>
        <v>45658.114252804306</v>
      </c>
      <c r="M28" s="432">
        <v>0.5</v>
      </c>
      <c r="N28" s="431">
        <f t="shared" si="6"/>
        <v>45658.114252804306</v>
      </c>
      <c r="O28" s="432">
        <v>0.5</v>
      </c>
      <c r="P28" s="431">
        <f t="shared" si="7"/>
        <v>0</v>
      </c>
      <c r="Q28" s="432"/>
      <c r="R28" s="431">
        <f t="shared" si="8"/>
        <v>0</v>
      </c>
      <c r="S28" s="432"/>
      <c r="T28" s="431">
        <f t="shared" si="9"/>
        <v>0</v>
      </c>
      <c r="U28" s="432"/>
      <c r="V28" s="431">
        <f t="shared" si="10"/>
        <v>0</v>
      </c>
      <c r="W28" s="432"/>
      <c r="X28" s="431">
        <f t="shared" si="11"/>
        <v>0</v>
      </c>
      <c r="Y28" s="432"/>
      <c r="Z28" s="431">
        <f t="shared" si="12"/>
        <v>0</v>
      </c>
      <c r="AA28" s="432"/>
      <c r="AB28" s="433">
        <f t="shared" si="13"/>
        <v>91316.228505608611</v>
      </c>
      <c r="AC28" s="434">
        <f>IF($B28&lt;&gt;"",VLOOKUP($A28,RESUMO!$B$15:$J$49,7,0),"")</f>
        <v>75860.640000000029</v>
      </c>
      <c r="AD28" s="435">
        <f t="shared" si="14"/>
        <v>0</v>
      </c>
      <c r="AE28" s="436">
        <f t="shared" si="15"/>
        <v>1</v>
      </c>
      <c r="AF28" s="436"/>
    </row>
    <row r="29" spans="1:32" ht="12.75" customHeight="1" x14ac:dyDescent="0.25">
      <c r="A29" s="428">
        <v>17</v>
      </c>
      <c r="B29" s="429" t="str">
        <f>IF($A29&lt;&gt;"",VLOOKUP($A29,RESUMO!$B$15:$J$49,2,0),"")</f>
        <v>INSTALAÇÕES DE CLIMATIZAÇÃO - EXCETO EQUIPAMENTOS</v>
      </c>
      <c r="C29" s="430">
        <f t="shared" si="0"/>
        <v>4.7265882482591795E-2</v>
      </c>
      <c r="D29" s="431">
        <f t="shared" si="1"/>
        <v>0</v>
      </c>
      <c r="E29" s="432"/>
      <c r="F29" s="431">
        <f t="shared" si="2"/>
        <v>0</v>
      </c>
      <c r="G29" s="432"/>
      <c r="H29" s="431">
        <f t="shared" si="3"/>
        <v>0</v>
      </c>
      <c r="I29" s="432"/>
      <c r="J29" s="431">
        <f t="shared" si="4"/>
        <v>63323.254536907436</v>
      </c>
      <c r="K29" s="432">
        <v>0.2</v>
      </c>
      <c r="L29" s="431">
        <f t="shared" si="5"/>
        <v>63323.254536907436</v>
      </c>
      <c r="M29" s="432">
        <v>0.2</v>
      </c>
      <c r="N29" s="431">
        <f t="shared" si="6"/>
        <v>63323.254536907436</v>
      </c>
      <c r="O29" s="432">
        <v>0.2</v>
      </c>
      <c r="P29" s="431">
        <f t="shared" si="7"/>
        <v>63323.254536907436</v>
      </c>
      <c r="Q29" s="432">
        <v>0.2</v>
      </c>
      <c r="R29" s="431">
        <f t="shared" si="8"/>
        <v>63323.254536907436</v>
      </c>
      <c r="S29" s="432">
        <v>0.2</v>
      </c>
      <c r="T29" s="431">
        <f t="shared" si="9"/>
        <v>0</v>
      </c>
      <c r="U29" s="432"/>
      <c r="V29" s="431">
        <f t="shared" si="10"/>
        <v>0</v>
      </c>
      <c r="W29" s="432"/>
      <c r="X29" s="431">
        <f t="shared" si="11"/>
        <v>0</v>
      </c>
      <c r="Y29" s="432"/>
      <c r="Z29" s="431">
        <f t="shared" si="12"/>
        <v>0</v>
      </c>
      <c r="AA29" s="432"/>
      <c r="AB29" s="433">
        <f t="shared" si="13"/>
        <v>316616.27268453717</v>
      </c>
      <c r="AC29" s="434">
        <f>IF($B29&lt;&gt;"",VLOOKUP($A29,RESUMO!$B$15:$J$49,7,0),"")</f>
        <v>263027.87</v>
      </c>
      <c r="AD29" s="435">
        <f t="shared" si="14"/>
        <v>0</v>
      </c>
      <c r="AE29" s="436"/>
      <c r="AF29" s="436"/>
    </row>
    <row r="30" spans="1:32" ht="12.75" customHeight="1" x14ac:dyDescent="0.25">
      <c r="A30" s="428">
        <v>18</v>
      </c>
      <c r="B30" s="429" t="str">
        <f>IF($A30&lt;&gt;"",VLOOKUP($A30,RESUMO!$B$15:$J$49,2,0),"")</f>
        <v>SERVIÇOS FINAIS</v>
      </c>
      <c r="C30" s="430">
        <f t="shared" si="0"/>
        <v>1.2841174876594909E-3</v>
      </c>
      <c r="D30" s="431">
        <f t="shared" si="1"/>
        <v>0</v>
      </c>
      <c r="E30" s="432"/>
      <c r="F30" s="431">
        <f t="shared" si="2"/>
        <v>0</v>
      </c>
      <c r="G30" s="432"/>
      <c r="H30" s="431">
        <f t="shared" si="3"/>
        <v>0</v>
      </c>
      <c r="I30" s="432"/>
      <c r="J30" s="431">
        <f t="shared" si="4"/>
        <v>0</v>
      </c>
      <c r="K30" s="432"/>
      <c r="L30" s="431">
        <f t="shared" si="5"/>
        <v>0</v>
      </c>
      <c r="M30" s="432"/>
      <c r="N30" s="431">
        <f t="shared" si="6"/>
        <v>0</v>
      </c>
      <c r="O30" s="432"/>
      <c r="P30" s="431">
        <f t="shared" si="7"/>
        <v>0</v>
      </c>
      <c r="Q30" s="432"/>
      <c r="R30" s="431">
        <f t="shared" si="8"/>
        <v>0</v>
      </c>
      <c r="S30" s="432"/>
      <c r="T30" s="431">
        <f t="shared" si="9"/>
        <v>0</v>
      </c>
      <c r="U30" s="432"/>
      <c r="V30" s="431">
        <f t="shared" si="10"/>
        <v>8601.8174479556656</v>
      </c>
      <c r="W30" s="432">
        <v>1</v>
      </c>
      <c r="X30" s="431">
        <f t="shared" si="11"/>
        <v>0</v>
      </c>
      <c r="Y30" s="432"/>
      <c r="Z30" s="431">
        <f t="shared" si="12"/>
        <v>0</v>
      </c>
      <c r="AA30" s="432"/>
      <c r="AB30" s="433">
        <f t="shared" si="13"/>
        <v>8601.8174479556656</v>
      </c>
      <c r="AC30" s="434">
        <f>IF($B30&lt;&gt;"",VLOOKUP($A30,RESUMO!$B$15:$J$49,7,0),"")</f>
        <v>7145.93</v>
      </c>
      <c r="AD30" s="435">
        <f t="shared" si="14"/>
        <v>0</v>
      </c>
      <c r="AE30" s="436"/>
      <c r="AF30" s="436"/>
    </row>
    <row r="31" spans="1:32" ht="12.75" customHeight="1" x14ac:dyDescent="0.25">
      <c r="A31" s="428"/>
      <c r="B31" s="437" t="str">
        <f>IF($A31&lt;&gt;"",VLOOKUP($A31,RESUMO!$B$15:$J$49,2,0),"")</f>
        <v/>
      </c>
      <c r="C31" s="430"/>
      <c r="D31" s="431" t="str">
        <f t="shared" si="1"/>
        <v xml:space="preserve"> </v>
      </c>
      <c r="E31" s="432"/>
      <c r="F31" s="431" t="str">
        <f t="shared" si="2"/>
        <v xml:space="preserve"> </v>
      </c>
      <c r="G31" s="432"/>
      <c r="H31" s="431" t="str">
        <f t="shared" si="3"/>
        <v xml:space="preserve"> </v>
      </c>
      <c r="I31" s="432"/>
      <c r="J31" s="431" t="str">
        <f t="shared" si="4"/>
        <v xml:space="preserve"> </v>
      </c>
      <c r="K31" s="432"/>
      <c r="L31" s="431" t="str">
        <f t="shared" si="5"/>
        <v xml:space="preserve"> </v>
      </c>
      <c r="M31" s="432"/>
      <c r="N31" s="431" t="str">
        <f t="shared" si="6"/>
        <v xml:space="preserve"> </v>
      </c>
      <c r="O31" s="432"/>
      <c r="P31" s="431" t="str">
        <f t="shared" si="7"/>
        <v xml:space="preserve"> </v>
      </c>
      <c r="Q31" s="432"/>
      <c r="R31" s="431" t="str">
        <f t="shared" si="8"/>
        <v xml:space="preserve"> </v>
      </c>
      <c r="S31" s="432"/>
      <c r="T31" s="431" t="str">
        <f t="shared" si="9"/>
        <v xml:space="preserve"> </v>
      </c>
      <c r="U31" s="432"/>
      <c r="V31" s="431" t="str">
        <f t="shared" si="10"/>
        <v xml:space="preserve"> </v>
      </c>
      <c r="W31" s="432"/>
      <c r="X31" s="431" t="str">
        <f t="shared" si="11"/>
        <v xml:space="preserve"> </v>
      </c>
      <c r="Y31" s="432"/>
      <c r="Z31" s="431" t="str">
        <f t="shared" si="12"/>
        <v xml:space="preserve"> </v>
      </c>
      <c r="AA31" s="432"/>
      <c r="AB31" s="433" t="str">
        <f t="shared" si="13"/>
        <v xml:space="preserve"> </v>
      </c>
      <c r="AC31" s="434" t="str">
        <f>IF($B31&lt;&gt;"",VLOOKUP($A31,RESUMO!$B$15:$J$49,7,0),"")</f>
        <v/>
      </c>
      <c r="AD31" s="435"/>
      <c r="AE31" s="436">
        <f>+AA31+Y31+W31+U31+S31+Q31+O31+M31+K31+I31+G31+E31</f>
        <v>0</v>
      </c>
      <c r="AF31" s="436"/>
    </row>
    <row r="32" spans="1:32" ht="12.75" customHeight="1" x14ac:dyDescent="0.25">
      <c r="A32" s="421"/>
      <c r="B32" s="422" t="s">
        <v>560</v>
      </c>
      <c r="C32" s="423"/>
      <c r="D32" s="424"/>
      <c r="E32" s="423"/>
      <c r="F32" s="424"/>
      <c r="G32" s="423"/>
      <c r="H32" s="424"/>
      <c r="I32" s="423"/>
      <c r="J32" s="424"/>
      <c r="K32" s="423"/>
      <c r="L32" s="424"/>
      <c r="M32" s="423"/>
      <c r="N32" s="424"/>
      <c r="O32" s="423"/>
      <c r="P32" s="424"/>
      <c r="Q32" s="423"/>
      <c r="R32" s="424"/>
      <c r="S32" s="423"/>
      <c r="T32" s="424"/>
      <c r="U32" s="423"/>
      <c r="V32" s="424"/>
      <c r="W32" s="423"/>
      <c r="X32" s="424"/>
      <c r="Y32" s="423"/>
      <c r="Z32" s="424"/>
      <c r="AA32" s="423"/>
      <c r="AB32" s="424"/>
      <c r="AC32" s="425"/>
      <c r="AD32" s="426"/>
      <c r="AE32" s="426"/>
      <c r="AF32" s="427"/>
    </row>
    <row r="33" spans="1:32" ht="12.75" customHeight="1" x14ac:dyDescent="0.25">
      <c r="A33" s="428">
        <v>19</v>
      </c>
      <c r="B33" s="429" t="str">
        <f>IF($A33&lt;&gt;"",VLOOKUP($A33,RESUMO!$B$15:$J$49,2,0),"")</f>
        <v>MOVIMENTO DE TERRA</v>
      </c>
      <c r="C33" s="430">
        <f t="shared" ref="C33:C39" si="16">IFERROR(AB33/$AB$51,0)</f>
        <v>1.1960126157754871E-2</v>
      </c>
      <c r="D33" s="431">
        <f t="shared" ref="D33:D40" si="17">IF($B33&lt;&gt;"",E33*$AB33," ")</f>
        <v>80116.362289434968</v>
      </c>
      <c r="E33" s="432">
        <v>1</v>
      </c>
      <c r="F33" s="431">
        <f t="shared" ref="F33:F39" si="18">IF($B33&lt;&gt;"",G33*$AB33," ")</f>
        <v>0</v>
      </c>
      <c r="G33" s="432"/>
      <c r="H33" s="431">
        <f t="shared" ref="H33:H39" si="19">IF($B33&lt;&gt;"",I33*$AB33," ")</f>
        <v>0</v>
      </c>
      <c r="I33" s="432"/>
      <c r="J33" s="431">
        <f t="shared" ref="J33:J39" si="20">IF($B33&lt;&gt;"",K33*$AB33," ")</f>
        <v>0</v>
      </c>
      <c r="K33" s="432"/>
      <c r="L33" s="431">
        <f t="shared" ref="L33:L39" si="21">IF($B33&lt;&gt;"",M33*$AB33," ")</f>
        <v>0</v>
      </c>
      <c r="M33" s="432"/>
      <c r="N33" s="431">
        <f t="shared" ref="N33:N39" si="22">IF($B33&lt;&gt;"",O33*$AB33," ")</f>
        <v>0</v>
      </c>
      <c r="O33" s="432"/>
      <c r="P33" s="431">
        <f t="shared" ref="P33:P39" si="23">IF($B33&lt;&gt;"",Q33*$AB33," ")</f>
        <v>0</v>
      </c>
      <c r="Q33" s="432"/>
      <c r="R33" s="431">
        <f t="shared" ref="R33:R39" si="24">IF($B33&lt;&gt;"",S33*$AB33," ")</f>
        <v>0</v>
      </c>
      <c r="S33" s="432"/>
      <c r="T33" s="431">
        <f t="shared" ref="T33:T39" si="25">IF($B33&lt;&gt;"",U33*$AB33," ")</f>
        <v>0</v>
      </c>
      <c r="U33" s="432"/>
      <c r="V33" s="431">
        <f t="shared" ref="V33:V39" si="26">IF($B33&lt;&gt;"",W33*$AB33," ")</f>
        <v>0</v>
      </c>
      <c r="W33" s="432"/>
      <c r="X33" s="431">
        <f t="shared" ref="X33:X39" si="27">IF($B33&lt;&gt;"",Y33*$AB33," ")</f>
        <v>0</v>
      </c>
      <c r="Y33" s="432"/>
      <c r="Z33" s="431">
        <f t="shared" ref="Z33:Z39" si="28">IF($B33&lt;&gt;"",AA33*$AB33," ")</f>
        <v>0</v>
      </c>
      <c r="AA33" s="432"/>
      <c r="AB33" s="433">
        <f t="shared" ref="AB33:AB39" si="29">(IF(B33&lt;&gt;"",AC33*(1+$AC$7)," "))</f>
        <v>80116.362289434968</v>
      </c>
      <c r="AC33" s="434">
        <f>IF($B33&lt;&gt;"",VLOOKUP($A33,RESUMO!$B$15:$J$49,7,0),"")</f>
        <v>66556.39</v>
      </c>
      <c r="AD33" s="435">
        <f t="shared" ref="AD33:AD39" si="30">+Z33+X33+V33+T33+R33+P33+N33+L33+J33+H33+F33+D33-AB33</f>
        <v>0</v>
      </c>
      <c r="AE33" s="436">
        <f t="shared" ref="AE33:AE47" si="31">+AA33+Y33+W33+U33+S33+Q33+O33+M33+K33+I33+G33+E33</f>
        <v>1</v>
      </c>
      <c r="AF33" s="436"/>
    </row>
    <row r="34" spans="1:32" ht="12.75" customHeight="1" x14ac:dyDescent="0.25">
      <c r="A34" s="428">
        <v>20</v>
      </c>
      <c r="B34" s="429" t="str">
        <f>IF($A34&lt;&gt;"",VLOOKUP($A34,RESUMO!$B$15:$J$49,2,0),"")</f>
        <v>MUROS</v>
      </c>
      <c r="C34" s="430">
        <f t="shared" si="16"/>
        <v>8.3759669367028972E-2</v>
      </c>
      <c r="D34" s="431">
        <f t="shared" si="17"/>
        <v>280537.17526637967</v>
      </c>
      <c r="E34" s="432">
        <v>0.5</v>
      </c>
      <c r="F34" s="431">
        <f t="shared" si="18"/>
        <v>280537.17526637967</v>
      </c>
      <c r="G34" s="432">
        <v>0.5</v>
      </c>
      <c r="H34" s="431">
        <f t="shared" si="19"/>
        <v>0</v>
      </c>
      <c r="I34" s="432"/>
      <c r="J34" s="431">
        <f t="shared" si="20"/>
        <v>0</v>
      </c>
      <c r="K34" s="432"/>
      <c r="L34" s="431">
        <f t="shared" si="21"/>
        <v>0</v>
      </c>
      <c r="M34" s="432"/>
      <c r="N34" s="431">
        <f t="shared" si="22"/>
        <v>0</v>
      </c>
      <c r="O34" s="432"/>
      <c r="P34" s="431">
        <f t="shared" si="23"/>
        <v>0</v>
      </c>
      <c r="Q34" s="432"/>
      <c r="R34" s="431">
        <f t="shared" si="24"/>
        <v>0</v>
      </c>
      <c r="S34" s="432"/>
      <c r="T34" s="431">
        <f t="shared" si="25"/>
        <v>0</v>
      </c>
      <c r="U34" s="432"/>
      <c r="V34" s="431">
        <f t="shared" si="26"/>
        <v>0</v>
      </c>
      <c r="W34" s="432"/>
      <c r="X34" s="431">
        <f t="shared" si="27"/>
        <v>0</v>
      </c>
      <c r="Y34" s="432"/>
      <c r="Z34" s="431">
        <f t="shared" si="28"/>
        <v>0</v>
      </c>
      <c r="AA34" s="432"/>
      <c r="AB34" s="433">
        <f t="shared" si="29"/>
        <v>561074.35053275933</v>
      </c>
      <c r="AC34" s="434">
        <f>IF($B34&lt;&gt;"",VLOOKUP($A34,RESUMO!$B$15:$J$49,7,0),"")</f>
        <v>466110.57</v>
      </c>
      <c r="AD34" s="435">
        <f t="shared" si="30"/>
        <v>0</v>
      </c>
      <c r="AE34" s="436">
        <f t="shared" si="31"/>
        <v>1</v>
      </c>
      <c r="AF34" s="436"/>
    </row>
    <row r="35" spans="1:32" ht="12.75" customHeight="1" x14ac:dyDescent="0.25">
      <c r="A35" s="428">
        <v>21</v>
      </c>
      <c r="B35" s="429" t="str">
        <f>IF($A35&lt;&gt;"",VLOOKUP($A35,RESUMO!$B$15:$J$49,2,0),"")</f>
        <v>CALÇADA EXTERNA</v>
      </c>
      <c r="C35" s="430">
        <f t="shared" si="16"/>
        <v>3.9894596735122197E-2</v>
      </c>
      <c r="D35" s="431">
        <f t="shared" si="17"/>
        <v>0</v>
      </c>
      <c r="E35" s="432"/>
      <c r="F35" s="431">
        <f t="shared" si="18"/>
        <v>0</v>
      </c>
      <c r="G35" s="432"/>
      <c r="H35" s="431">
        <f t="shared" si="19"/>
        <v>0</v>
      </c>
      <c r="I35" s="432"/>
      <c r="J35" s="431">
        <f t="shared" si="20"/>
        <v>0</v>
      </c>
      <c r="K35" s="432"/>
      <c r="L35" s="431">
        <f t="shared" si="21"/>
        <v>0</v>
      </c>
      <c r="M35" s="432"/>
      <c r="N35" s="431">
        <f t="shared" si="22"/>
        <v>0</v>
      </c>
      <c r="O35" s="432"/>
      <c r="P35" s="431">
        <f t="shared" si="23"/>
        <v>0</v>
      </c>
      <c r="Q35" s="432"/>
      <c r="R35" s="431">
        <f t="shared" si="24"/>
        <v>0</v>
      </c>
      <c r="S35" s="432"/>
      <c r="T35" s="431">
        <f t="shared" si="25"/>
        <v>173705.23104199968</v>
      </c>
      <c r="U35" s="432">
        <v>0.65</v>
      </c>
      <c r="V35" s="431">
        <f t="shared" si="26"/>
        <v>93533.585945692117</v>
      </c>
      <c r="W35" s="432">
        <v>0.35</v>
      </c>
      <c r="X35" s="431">
        <f t="shared" si="27"/>
        <v>0</v>
      </c>
      <c r="Y35" s="432"/>
      <c r="Z35" s="431">
        <f t="shared" si="28"/>
        <v>0</v>
      </c>
      <c r="AA35" s="432"/>
      <c r="AB35" s="433">
        <f t="shared" si="29"/>
        <v>267238.8169876918</v>
      </c>
      <c r="AC35" s="434">
        <f>IF($B35&lt;&gt;"",VLOOKUP($A35,RESUMO!$B$15:$J$49,7,0),"")</f>
        <v>222007.72000000006</v>
      </c>
      <c r="AD35" s="435">
        <f t="shared" si="30"/>
        <v>0</v>
      </c>
      <c r="AE35" s="436">
        <f t="shared" si="31"/>
        <v>1</v>
      </c>
      <c r="AF35" s="436"/>
    </row>
    <row r="36" spans="1:32" ht="12.75" customHeight="1" x14ac:dyDescent="0.25">
      <c r="A36" s="428">
        <v>22</v>
      </c>
      <c r="B36" s="429" t="str">
        <f>IF($A36&lt;&gt;"",VLOOKUP($A36,RESUMO!$B$15:$J$49,2,0),"")</f>
        <v>INSTALAÇÃO ELÉTRICA - (POSTO TRANSFORMAÇÃO,  INFRA PARA CABEAMENTO CAT)</v>
      </c>
      <c r="C36" s="430">
        <f t="shared" si="16"/>
        <v>1.3054671832867706E-2</v>
      </c>
      <c r="D36" s="431">
        <f t="shared" si="17"/>
        <v>0</v>
      </c>
      <c r="E36" s="432"/>
      <c r="F36" s="431">
        <f t="shared" si="18"/>
        <v>87448.309853618121</v>
      </c>
      <c r="G36" s="432">
        <v>1</v>
      </c>
      <c r="H36" s="431">
        <f t="shared" si="19"/>
        <v>0</v>
      </c>
      <c r="I36" s="432"/>
      <c r="J36" s="431">
        <f t="shared" si="20"/>
        <v>0</v>
      </c>
      <c r="K36" s="432"/>
      <c r="L36" s="431">
        <f t="shared" si="21"/>
        <v>0</v>
      </c>
      <c r="M36" s="432"/>
      <c r="N36" s="431">
        <f t="shared" si="22"/>
        <v>0</v>
      </c>
      <c r="O36" s="432"/>
      <c r="P36" s="431">
        <f t="shared" si="23"/>
        <v>0</v>
      </c>
      <c r="Q36" s="432"/>
      <c r="R36" s="431">
        <f t="shared" si="24"/>
        <v>0</v>
      </c>
      <c r="S36" s="432"/>
      <c r="T36" s="431">
        <f t="shared" si="25"/>
        <v>0</v>
      </c>
      <c r="U36" s="432"/>
      <c r="V36" s="431">
        <f t="shared" si="26"/>
        <v>0</v>
      </c>
      <c r="W36" s="432"/>
      <c r="X36" s="431">
        <f t="shared" si="27"/>
        <v>0</v>
      </c>
      <c r="Y36" s="432"/>
      <c r="Z36" s="431">
        <f t="shared" si="28"/>
        <v>0</v>
      </c>
      <c r="AA36" s="432"/>
      <c r="AB36" s="433">
        <f t="shared" si="29"/>
        <v>87448.309853618121</v>
      </c>
      <c r="AC36" s="434">
        <f>IF($B36&lt;&gt;"",VLOOKUP($A36,RESUMO!$B$15:$J$49,7,0),"")</f>
        <v>72647.37999999999</v>
      </c>
      <c r="AD36" s="435">
        <f t="shared" si="30"/>
        <v>0</v>
      </c>
      <c r="AE36" s="436">
        <f t="shared" si="31"/>
        <v>1</v>
      </c>
      <c r="AF36" s="436"/>
    </row>
    <row r="37" spans="1:32" ht="12.75" customHeight="1" x14ac:dyDescent="0.25">
      <c r="A37" s="428">
        <v>23</v>
      </c>
      <c r="B37" s="429" t="str">
        <f>IF($A37&lt;&gt;"",VLOOKUP($A37,RESUMO!$B$15:$J$49,2,0),"")</f>
        <v>ESQUADRIAS</v>
      </c>
      <c r="C37" s="430">
        <f t="shared" si="16"/>
        <v>2.3596258357004643E-3</v>
      </c>
      <c r="D37" s="431">
        <f t="shared" si="17"/>
        <v>0</v>
      </c>
      <c r="E37" s="432"/>
      <c r="F37" s="431">
        <f t="shared" si="18"/>
        <v>0</v>
      </c>
      <c r="G37" s="432"/>
      <c r="H37" s="431">
        <f t="shared" si="19"/>
        <v>0</v>
      </c>
      <c r="I37" s="432"/>
      <c r="J37" s="431">
        <f t="shared" si="20"/>
        <v>0</v>
      </c>
      <c r="K37" s="432"/>
      <c r="L37" s="431">
        <f t="shared" si="21"/>
        <v>0</v>
      </c>
      <c r="M37" s="432"/>
      <c r="N37" s="431">
        <f t="shared" si="22"/>
        <v>0</v>
      </c>
      <c r="O37" s="432"/>
      <c r="P37" s="431">
        <f t="shared" si="23"/>
        <v>3951.5602893100295</v>
      </c>
      <c r="Q37" s="432">
        <v>0.25</v>
      </c>
      <c r="R37" s="431">
        <f t="shared" si="24"/>
        <v>3951.5602893100295</v>
      </c>
      <c r="S37" s="432">
        <v>0.25</v>
      </c>
      <c r="T37" s="431">
        <f t="shared" si="25"/>
        <v>3951.5602893100295</v>
      </c>
      <c r="U37" s="432">
        <v>0.25</v>
      </c>
      <c r="V37" s="431">
        <f t="shared" si="26"/>
        <v>3951.5602893100295</v>
      </c>
      <c r="W37" s="432">
        <v>0.25</v>
      </c>
      <c r="X37" s="431">
        <f t="shared" si="27"/>
        <v>0</v>
      </c>
      <c r="Y37" s="432"/>
      <c r="Z37" s="431">
        <f t="shared" si="28"/>
        <v>0</v>
      </c>
      <c r="AA37" s="432"/>
      <c r="AB37" s="433">
        <f t="shared" si="29"/>
        <v>15806.241157240118</v>
      </c>
      <c r="AC37" s="434">
        <f>IF($B37&lt;&gt;"",VLOOKUP($A37,RESUMO!$B$15:$J$49,7,0),"")</f>
        <v>13130.98</v>
      </c>
      <c r="AD37" s="435">
        <f t="shared" si="30"/>
        <v>0</v>
      </c>
      <c r="AE37" s="436">
        <f t="shared" si="31"/>
        <v>1</v>
      </c>
      <c r="AF37" s="436"/>
    </row>
    <row r="38" spans="1:32" ht="12.75" customHeight="1" x14ac:dyDescent="0.25">
      <c r="A38" s="428">
        <v>27</v>
      </c>
      <c r="B38" s="429" t="str">
        <f>IF($A38&lt;&gt;"",VLOOKUP($A38,RESUMO!$B$15:$J$49,2,0),"")</f>
        <v>PAISAGISMO, SINALIZAÇÃO VIÁRIA E MOBILIÁRIO URBANO</v>
      </c>
      <c r="C38" s="430">
        <f t="shared" si="16"/>
        <v>7.1884867955736816E-3</v>
      </c>
      <c r="D38" s="431">
        <f t="shared" si="17"/>
        <v>0</v>
      </c>
      <c r="E38" s="432"/>
      <c r="F38" s="431">
        <f t="shared" si="18"/>
        <v>0</v>
      </c>
      <c r="G38" s="432"/>
      <c r="H38" s="431">
        <f t="shared" si="19"/>
        <v>0</v>
      </c>
      <c r="I38" s="432"/>
      <c r="J38" s="431">
        <f t="shared" si="20"/>
        <v>0</v>
      </c>
      <c r="K38" s="432"/>
      <c r="L38" s="431">
        <f t="shared" si="21"/>
        <v>0</v>
      </c>
      <c r="M38" s="432"/>
      <c r="N38" s="431">
        <f t="shared" si="22"/>
        <v>0</v>
      </c>
      <c r="O38" s="432"/>
      <c r="P38" s="431">
        <f t="shared" si="23"/>
        <v>0</v>
      </c>
      <c r="Q38" s="432"/>
      <c r="R38" s="431">
        <f t="shared" si="24"/>
        <v>0</v>
      </c>
      <c r="S38" s="432"/>
      <c r="T38" s="431">
        <f t="shared" si="25"/>
        <v>0</v>
      </c>
      <c r="U38" s="432"/>
      <c r="V38" s="431">
        <f t="shared" si="26"/>
        <v>48152.954645347163</v>
      </c>
      <c r="W38" s="432">
        <v>1</v>
      </c>
      <c r="X38" s="431">
        <f t="shared" si="27"/>
        <v>0</v>
      </c>
      <c r="Y38" s="432"/>
      <c r="Z38" s="431">
        <f t="shared" si="28"/>
        <v>0</v>
      </c>
      <c r="AA38" s="432"/>
      <c r="AB38" s="433">
        <f t="shared" si="29"/>
        <v>48152.954645347163</v>
      </c>
      <c r="AC38" s="434">
        <f>IF($B38&lt;&gt;"",VLOOKUP($A38,RESUMO!$B$15:$J$49,7,0),"")</f>
        <v>40002.899999999994</v>
      </c>
      <c r="AD38" s="435">
        <f t="shared" si="30"/>
        <v>0</v>
      </c>
      <c r="AE38" s="436">
        <f t="shared" si="31"/>
        <v>1</v>
      </c>
      <c r="AF38" s="436"/>
    </row>
    <row r="39" spans="1:32" ht="12.75" customHeight="1" x14ac:dyDescent="0.25">
      <c r="A39" s="428">
        <v>28</v>
      </c>
      <c r="B39" s="429" t="str">
        <f>IF($A39&lt;&gt;"",VLOOKUP($A39,RESUMO!$B$15:$J$49,2,0),"")</f>
        <v>CANTEIRO DE OBRAS - BARRACÕES</v>
      </c>
      <c r="C39" s="430">
        <f t="shared" si="16"/>
        <v>1.6775268885150591E-2</v>
      </c>
      <c r="D39" s="431">
        <f t="shared" si="17"/>
        <v>112371.18252586211</v>
      </c>
      <c r="E39" s="432">
        <v>1</v>
      </c>
      <c r="F39" s="431">
        <f t="shared" si="18"/>
        <v>0</v>
      </c>
      <c r="G39" s="432"/>
      <c r="H39" s="431">
        <f t="shared" si="19"/>
        <v>0</v>
      </c>
      <c r="I39" s="432"/>
      <c r="J39" s="431">
        <f t="shared" si="20"/>
        <v>0</v>
      </c>
      <c r="K39" s="432"/>
      <c r="L39" s="431">
        <f t="shared" si="21"/>
        <v>0</v>
      </c>
      <c r="M39" s="432"/>
      <c r="N39" s="431">
        <f t="shared" si="22"/>
        <v>0</v>
      </c>
      <c r="O39" s="432"/>
      <c r="P39" s="431">
        <f t="shared" si="23"/>
        <v>0</v>
      </c>
      <c r="Q39" s="432"/>
      <c r="R39" s="431">
        <f t="shared" si="24"/>
        <v>0</v>
      </c>
      <c r="S39" s="432"/>
      <c r="T39" s="431">
        <f t="shared" si="25"/>
        <v>0</v>
      </c>
      <c r="U39" s="432"/>
      <c r="V39" s="431">
        <f t="shared" si="26"/>
        <v>0</v>
      </c>
      <c r="W39" s="432"/>
      <c r="X39" s="431">
        <f t="shared" si="27"/>
        <v>0</v>
      </c>
      <c r="Y39" s="432"/>
      <c r="Z39" s="431">
        <f t="shared" si="28"/>
        <v>0</v>
      </c>
      <c r="AA39" s="432"/>
      <c r="AB39" s="433">
        <f t="shared" si="29"/>
        <v>112371.18252586211</v>
      </c>
      <c r="AC39" s="434">
        <f>IF($B39&lt;&gt;"",VLOOKUP($A39,RESUMO!$B$15:$J$49,7,0),"")</f>
        <v>93351.97</v>
      </c>
      <c r="AD39" s="435">
        <f t="shared" si="30"/>
        <v>0</v>
      </c>
      <c r="AE39" s="436">
        <f t="shared" si="31"/>
        <v>1</v>
      </c>
      <c r="AF39" s="436"/>
    </row>
    <row r="40" spans="1:32" ht="12.75" customHeight="1" x14ac:dyDescent="0.25">
      <c r="A40" s="428">
        <v>31</v>
      </c>
      <c r="B40" s="429" t="str">
        <f>IF($A40&lt;&gt;"",VLOOKUP($A40,RESUMO!$B$15:$J$49,2,0),"")</f>
        <v>SISTEMA DE TRATAMENTO DE EFLUENTES</v>
      </c>
      <c r="C40" s="430">
        <f t="shared" ref="C40" si="32">IFERROR(AB40/$AB$51,0)</f>
        <v>2.812399387114571E-3</v>
      </c>
      <c r="D40" s="431">
        <f t="shared" si="17"/>
        <v>0</v>
      </c>
      <c r="E40" s="432"/>
      <c r="F40" s="431">
        <f t="shared" ref="F40" si="33">IF($B40&lt;&gt;"",G40*$AB40," ")</f>
        <v>0</v>
      </c>
      <c r="G40" s="432"/>
      <c r="H40" s="431">
        <f t="shared" ref="H40" si="34">IF($B40&lt;&gt;"",I40*$AB40," ")</f>
        <v>0</v>
      </c>
      <c r="I40" s="432"/>
      <c r="J40" s="431">
        <f t="shared" ref="J40" si="35">IF($B40&lt;&gt;"",K40*$AB40," ")</f>
        <v>0</v>
      </c>
      <c r="K40" s="432"/>
      <c r="L40" s="431">
        <f t="shared" ref="L40" si="36">IF($B40&lt;&gt;"",M40*$AB40," ")</f>
        <v>0</v>
      </c>
      <c r="M40" s="432"/>
      <c r="N40" s="431">
        <f t="shared" ref="N40" si="37">IF($B40&lt;&gt;"",O40*$AB40," ")</f>
        <v>0</v>
      </c>
      <c r="O40" s="432"/>
      <c r="P40" s="431">
        <f t="shared" ref="P40" si="38">IF($B40&lt;&gt;"",Q40*$AB40," ")</f>
        <v>0</v>
      </c>
      <c r="Q40" s="432"/>
      <c r="R40" s="431">
        <f t="shared" ref="R40" si="39">IF($B40&lt;&gt;"",S40*$AB40," ")</f>
        <v>0</v>
      </c>
      <c r="S40" s="432"/>
      <c r="T40" s="431">
        <f t="shared" ref="T40" si="40">IF($B40&lt;&gt;"",U40*$AB40," ")</f>
        <v>0</v>
      </c>
      <c r="U40" s="432"/>
      <c r="V40" s="431">
        <f t="shared" ref="V40" si="41">IF($B40&lt;&gt;"",W40*$AB40," ")</f>
        <v>18839.199957314853</v>
      </c>
      <c r="W40" s="432">
        <v>1</v>
      </c>
      <c r="X40" s="431">
        <f t="shared" ref="X40" si="42">IF($B40&lt;&gt;"",Y40*$AB40," ")</f>
        <v>0</v>
      </c>
      <c r="Y40" s="432"/>
      <c r="Z40" s="431">
        <f t="shared" ref="Z40" si="43">IF($B40&lt;&gt;"",AA40*$AB40," ")</f>
        <v>0</v>
      </c>
      <c r="AA40" s="432"/>
      <c r="AB40" s="433">
        <f t="shared" ref="AB40" si="44">(IF(B40&lt;&gt;"",AC40*(1+$AC$7)," "))</f>
        <v>18839.199957314853</v>
      </c>
      <c r="AC40" s="434">
        <f>IF($B40&lt;&gt;"",VLOOKUP($A40,RESUMO!$B$15:$J$49,7,0),"")</f>
        <v>15650.599999999999</v>
      </c>
      <c r="AD40" s="435">
        <f t="shared" ref="AD40" si="45">+Z40+X40+V40+T40+R40+P40+N40+L40+J40+H40+F40+D40-AB40</f>
        <v>0</v>
      </c>
      <c r="AE40" s="436">
        <f t="shared" ref="AE40" si="46">+AA40+Y40+W40+U40+S40+Q40+O40+M40+K40+I40+G40+E40</f>
        <v>1</v>
      </c>
      <c r="AF40" s="436"/>
    </row>
    <row r="41" spans="1:32" ht="12.75" customHeight="1" x14ac:dyDescent="0.25">
      <c r="A41" s="428"/>
      <c r="B41" s="438"/>
      <c r="C41" s="439"/>
      <c r="D41" s="431"/>
      <c r="E41" s="432"/>
      <c r="F41" s="431"/>
      <c r="G41" s="432"/>
      <c r="H41" s="431"/>
      <c r="I41" s="432"/>
      <c r="J41" s="431"/>
      <c r="K41" s="432"/>
      <c r="L41" s="431"/>
      <c r="M41" s="432"/>
      <c r="N41" s="431"/>
      <c r="O41" s="432"/>
      <c r="P41" s="431"/>
      <c r="Q41" s="432"/>
      <c r="R41" s="431"/>
      <c r="S41" s="432"/>
      <c r="T41" s="431"/>
      <c r="U41" s="432"/>
      <c r="V41" s="431"/>
      <c r="W41" s="432"/>
      <c r="X41" s="431"/>
      <c r="Y41" s="432"/>
      <c r="Z41" s="431"/>
      <c r="AA41" s="432"/>
      <c r="AB41" s="433"/>
      <c r="AC41" s="440"/>
      <c r="AD41" s="441"/>
      <c r="AE41" s="436">
        <f t="shared" si="31"/>
        <v>0</v>
      </c>
      <c r="AF41" s="436"/>
    </row>
    <row r="42" spans="1:32" ht="12.75" customHeight="1" x14ac:dyDescent="0.25">
      <c r="A42" s="442"/>
      <c r="B42" s="443" t="s">
        <v>12642</v>
      </c>
      <c r="C42" s="444"/>
      <c r="D42" s="445"/>
      <c r="E42" s="445"/>
      <c r="F42" s="445"/>
      <c r="G42" s="445"/>
      <c r="H42" s="445"/>
      <c r="I42" s="445"/>
      <c r="J42" s="445"/>
      <c r="K42" s="445"/>
      <c r="L42" s="445"/>
      <c r="M42" s="445"/>
      <c r="N42" s="445"/>
      <c r="O42" s="445"/>
      <c r="P42" s="445"/>
      <c r="Q42" s="445"/>
      <c r="R42" s="445"/>
      <c r="S42" s="445"/>
      <c r="T42" s="445"/>
      <c r="U42" s="445"/>
      <c r="V42" s="445"/>
      <c r="W42" s="445"/>
      <c r="X42" s="445"/>
      <c r="Y42" s="445"/>
      <c r="Z42" s="445"/>
      <c r="AA42" s="445"/>
      <c r="AB42" s="445"/>
      <c r="AC42" s="446"/>
      <c r="AD42" s="441"/>
      <c r="AE42" s="436">
        <f t="shared" si="31"/>
        <v>0</v>
      </c>
      <c r="AF42" s="436"/>
    </row>
    <row r="43" spans="1:32" ht="12.75" customHeight="1" x14ac:dyDescent="0.25">
      <c r="A43" s="428">
        <v>24</v>
      </c>
      <c r="B43" s="429" t="str">
        <f>IF($A43&lt;&gt;"",VLOOKUP($A43,RESUMO!$B$15:$J$49,2,0),"")</f>
        <v>GRUPO GERADOR</v>
      </c>
      <c r="C43" s="430">
        <f>IFERROR(AB43/$AB$51,0)</f>
        <v>2.8921760239575909E-2</v>
      </c>
      <c r="D43" s="431">
        <f>IF($B43&lt;&gt;"",E43*$AB43," ")</f>
        <v>0</v>
      </c>
      <c r="E43" s="447"/>
      <c r="F43" s="431">
        <f>IF($B43&lt;&gt;"",G43*$AB43," ")</f>
        <v>0</v>
      </c>
      <c r="G43" s="447"/>
      <c r="H43" s="431">
        <f>IF($B43&lt;&gt;"",I43*$AB43," ")</f>
        <v>0</v>
      </c>
      <c r="I43" s="447"/>
      <c r="J43" s="431">
        <f>IF($B43&lt;&gt;"",K43*$AB43," ")</f>
        <v>0</v>
      </c>
      <c r="K43" s="447"/>
      <c r="L43" s="431">
        <f>IF($B43&lt;&gt;"",M43*$AB43," ")</f>
        <v>0</v>
      </c>
      <c r="M43" s="447"/>
      <c r="N43" s="431">
        <f>IF($B43&lt;&gt;"",O43*$AB43," ")</f>
        <v>0</v>
      </c>
      <c r="O43" s="447"/>
      <c r="P43" s="431">
        <f>IF($B43&lt;&gt;"",Q43*$AB43," ")</f>
        <v>0</v>
      </c>
      <c r="Q43" s="447"/>
      <c r="R43" s="431">
        <f>IF($B43&lt;&gt;"",S43*$AB43," ")</f>
        <v>0</v>
      </c>
      <c r="S43" s="447"/>
      <c r="T43" s="431">
        <f>IF($B43&lt;&gt;"",U43*$AB43," ")</f>
        <v>96867.96739596437</v>
      </c>
      <c r="U43" s="447">
        <v>0.5</v>
      </c>
      <c r="V43" s="431">
        <f>IF($B43&lt;&gt;"",W43*$AB43," ")</f>
        <v>96867.96739596437</v>
      </c>
      <c r="W43" s="447">
        <v>0.5</v>
      </c>
      <c r="X43" s="431">
        <f>IF($B43&lt;&gt;"",Y43*$AB43," ")</f>
        <v>0</v>
      </c>
      <c r="Y43" s="447"/>
      <c r="Z43" s="431">
        <f>IF($B43&lt;&gt;"",AA43*$AB43," ")</f>
        <v>0</v>
      </c>
      <c r="AA43" s="447"/>
      <c r="AB43" s="433">
        <f>(IF(B43&lt;&gt;"",AC43*(1+$AC$8)," "))</f>
        <v>193735.93479192874</v>
      </c>
      <c r="AC43" s="434">
        <f>IF($B43&lt;&gt;"",VLOOKUP($A43,RESUMO!$B$15:$J$49,7,0),"")</f>
        <v>174370.05</v>
      </c>
      <c r="AD43" s="435">
        <f>+Z43+X43+V43+T43+R43+P43+N43+L43+J43+H43+F43+D43-AB43</f>
        <v>0</v>
      </c>
      <c r="AE43" s="436">
        <f t="shared" si="31"/>
        <v>1</v>
      </c>
      <c r="AF43" s="436"/>
    </row>
    <row r="44" spans="1:32" ht="12.75" customHeight="1" x14ac:dyDescent="0.25">
      <c r="A44" s="448">
        <v>25</v>
      </c>
      <c r="B44" s="429" t="str">
        <f>IF($A44&lt;&gt;"",VLOOKUP($A44,RESUMO!$B$15:$J$49,2,0),"")</f>
        <v>EQUIPAMENTOS CABEAMENTO ESTRUTURADO</v>
      </c>
      <c r="C44" s="430">
        <f>IFERROR(AB44/$AB$51,0)</f>
        <v>8.3035913938029251E-3</v>
      </c>
      <c r="D44" s="431">
        <f>IF($B44&lt;&gt;"",E44*$AB44," ")</f>
        <v>0</v>
      </c>
      <c r="E44" s="447"/>
      <c r="F44" s="431">
        <f>IF($B44&lt;&gt;"",G44*$AB44," ")</f>
        <v>0</v>
      </c>
      <c r="G44" s="447"/>
      <c r="H44" s="431">
        <f>IF($B44&lt;&gt;"",I44*$AB44," ")</f>
        <v>0</v>
      </c>
      <c r="I44" s="447"/>
      <c r="J44" s="431">
        <f>IF($B44&lt;&gt;"",K44*$AB44," ")</f>
        <v>11124.523732184934</v>
      </c>
      <c r="K44" s="432">
        <v>0.2</v>
      </c>
      <c r="L44" s="431">
        <f>IF($B44&lt;&gt;"",M44*$AB44," ")</f>
        <v>11124.523732184934</v>
      </c>
      <c r="M44" s="432">
        <v>0.2</v>
      </c>
      <c r="N44" s="431">
        <f>IF($B44&lt;&gt;"",O44*$AB44," ")</f>
        <v>11124.523732184934</v>
      </c>
      <c r="O44" s="432">
        <v>0.2</v>
      </c>
      <c r="P44" s="431">
        <f>IF($B44&lt;&gt;"",Q44*$AB44," ")</f>
        <v>11124.523732184934</v>
      </c>
      <c r="Q44" s="432">
        <v>0.2</v>
      </c>
      <c r="R44" s="431">
        <f>IF($B44&lt;&gt;"",S44*$AB44," ")</f>
        <v>11124.523732184934</v>
      </c>
      <c r="S44" s="432">
        <v>0.2</v>
      </c>
      <c r="T44" s="431">
        <f>IF($B44&lt;&gt;"",U44*$AB44," ")</f>
        <v>0</v>
      </c>
      <c r="U44" s="432"/>
      <c r="V44" s="431">
        <f>IF($B44&lt;&gt;"",W44*$AB44," ")</f>
        <v>0</v>
      </c>
      <c r="W44" s="447"/>
      <c r="X44" s="431">
        <f>IF($B44&lt;&gt;"",Y44*$AB44," ")</f>
        <v>0</v>
      </c>
      <c r="Y44" s="447"/>
      <c r="Z44" s="431">
        <f>IF($B44&lt;&gt;"",AA44*$AB44," ")</f>
        <v>0</v>
      </c>
      <c r="AA44" s="447"/>
      <c r="AB44" s="433">
        <f>(IF(B44&lt;&gt;"",AC44*(1+$AC$8)," "))</f>
        <v>55622.618660924672</v>
      </c>
      <c r="AC44" s="434">
        <f>IF($B44&lt;&gt;"",VLOOKUP($A44,RESUMO!$B$15:$J$49,7,0),"")</f>
        <v>50062.57</v>
      </c>
      <c r="AD44" s="435">
        <f>+Z44+X44+V44+T44+R44+P44+N44+L44+J44+H44+F44+D44-AB44</f>
        <v>0</v>
      </c>
      <c r="AE44" s="436">
        <f t="shared" si="31"/>
        <v>1</v>
      </c>
      <c r="AF44" s="436"/>
    </row>
    <row r="45" spans="1:32" ht="12.75" customHeight="1" x14ac:dyDescent="0.25">
      <c r="A45" s="448">
        <v>26</v>
      </c>
      <c r="B45" s="429" t="str">
        <f>IF($A45&lt;&gt;"",VLOOKUP($A45,RESUMO!$B$15:$J$49,2,0),"")</f>
        <v>EQUIPAMENTOS CHAMADA DE ENFERMAGEM</v>
      </c>
      <c r="C45" s="430">
        <f>IFERROR(AB45/$AB$51,0)</f>
        <v>9.5632193599600628E-4</v>
      </c>
      <c r="D45" s="431">
        <f>IF($B45&lt;&gt;"",E45*$AB45," ")</f>
        <v>0</v>
      </c>
      <c r="E45" s="447"/>
      <c r="F45" s="431">
        <f>IF($B45&lt;&gt;"",G45*$AB45," ")</f>
        <v>0</v>
      </c>
      <c r="G45" s="447"/>
      <c r="H45" s="431">
        <f>IF($B45&lt;&gt;"",I45*$AB45," ")</f>
        <v>0</v>
      </c>
      <c r="I45" s="447"/>
      <c r="J45" s="431">
        <f>IF($B45&lt;&gt;"",K45*$AB45," ")</f>
        <v>1281.2078013058729</v>
      </c>
      <c r="K45" s="432">
        <v>0.2</v>
      </c>
      <c r="L45" s="431">
        <f>IF($B45&lt;&gt;"",M45*$AB45," ")</f>
        <v>1281.2078013058729</v>
      </c>
      <c r="M45" s="432">
        <v>0.2</v>
      </c>
      <c r="N45" s="431">
        <f>IF($B45&lt;&gt;"",O45*$AB45," ")</f>
        <v>1281.2078013058729</v>
      </c>
      <c r="O45" s="432">
        <v>0.2</v>
      </c>
      <c r="P45" s="431">
        <f>IF($B45&lt;&gt;"",Q45*$AB45," ")</f>
        <v>1281.2078013058729</v>
      </c>
      <c r="Q45" s="432">
        <v>0.2</v>
      </c>
      <c r="R45" s="431">
        <f>IF($B45&lt;&gt;"",S45*$AB45," ")</f>
        <v>1281.2078013058729</v>
      </c>
      <c r="S45" s="432">
        <v>0.2</v>
      </c>
      <c r="T45" s="431">
        <f>IF($B45&lt;&gt;"",U45*$AB45," ")</f>
        <v>0</v>
      </c>
      <c r="U45" s="432"/>
      <c r="V45" s="431">
        <f>IF($B45&lt;&gt;"",W45*$AB45," ")</f>
        <v>0</v>
      </c>
      <c r="W45" s="447"/>
      <c r="X45" s="431">
        <f>IF($B45&lt;&gt;"",Y45*$AB45," ")</f>
        <v>0</v>
      </c>
      <c r="Y45" s="447"/>
      <c r="Z45" s="431">
        <f>IF($B45&lt;&gt;"",AA45*$AB45," ")</f>
        <v>0</v>
      </c>
      <c r="AA45" s="447"/>
      <c r="AB45" s="433">
        <f>(IF(B45&lt;&gt;"",AC45*(1+$AC$8)," "))</f>
        <v>6406.0390065293641</v>
      </c>
      <c r="AC45" s="434">
        <f>IF($B45&lt;&gt;"",VLOOKUP($A45,RESUMO!$B$15:$J$49,7,0),"")</f>
        <v>5765.69</v>
      </c>
      <c r="AD45" s="435">
        <f>+Z45+X45+V45+T45+R45+P45+N45+L45+J45+H45+F45+D45-AB45</f>
        <v>0</v>
      </c>
      <c r="AE45" s="436">
        <f t="shared" si="31"/>
        <v>1</v>
      </c>
      <c r="AF45" s="436"/>
    </row>
    <row r="46" spans="1:32" ht="12.75" customHeight="1" x14ac:dyDescent="0.25">
      <c r="A46" s="448">
        <v>29</v>
      </c>
      <c r="B46" s="429" t="str">
        <f>IF($A46&lt;&gt;"",VLOOKUP($A46,RESUMO!$B$15:$J$49,2,0),"")</f>
        <v>INSTALAÇÃO DE CLIMATIZAÇÃO  -  EQUIPAMENTOS (FANCOIL, UTAS, VENTILADORES, EVAPORADORES, CONDENSADORES, COMANDO)</v>
      </c>
      <c r="C46" s="430">
        <f>IFERROR(AB46/$AB$51,0)</f>
        <v>0.11881928145601435</v>
      </c>
      <c r="D46" s="431">
        <f>IF($B46&lt;&gt;"",E46*$AB46," ")</f>
        <v>0</v>
      </c>
      <c r="E46" s="447"/>
      <c r="F46" s="431">
        <f>IF($B46&lt;&gt;"",G46*$AB46," ")</f>
        <v>0</v>
      </c>
      <c r="G46" s="447"/>
      <c r="H46" s="431">
        <f>IF($B46&lt;&gt;"",I46*$AB46," ")</f>
        <v>0</v>
      </c>
      <c r="I46" s="447"/>
      <c r="J46" s="431">
        <f>IF($B46&lt;&gt;"",K46*$AB46," ")</f>
        <v>159185.08675475951</v>
      </c>
      <c r="K46" s="432">
        <v>0.2</v>
      </c>
      <c r="L46" s="431">
        <f>IF($B46&lt;&gt;"",M46*$AB46," ")</f>
        <v>159185.08675475951</v>
      </c>
      <c r="M46" s="432">
        <v>0.2</v>
      </c>
      <c r="N46" s="431">
        <f>IF($B46&lt;&gt;"",O46*$AB46," ")</f>
        <v>159185.08675475951</v>
      </c>
      <c r="O46" s="432">
        <v>0.2</v>
      </c>
      <c r="P46" s="431">
        <f>IF($B46&lt;&gt;"",Q46*$AB46," ")</f>
        <v>159185.08675475951</v>
      </c>
      <c r="Q46" s="432">
        <v>0.2</v>
      </c>
      <c r="R46" s="431">
        <f>IF($B46&lt;&gt;"",S46*$AB46," ")</f>
        <v>159185.08675475951</v>
      </c>
      <c r="S46" s="432">
        <v>0.2</v>
      </c>
      <c r="T46" s="431">
        <f>IF($B46&lt;&gt;"",U46*$AB46," ")</f>
        <v>0</v>
      </c>
      <c r="U46" s="432"/>
      <c r="V46" s="431">
        <f>IF($B46&lt;&gt;"",W46*$AB46," ")</f>
        <v>0</v>
      </c>
      <c r="W46" s="447"/>
      <c r="X46" s="431">
        <f>IF($B46&lt;&gt;"",Y46*$AB46," ")</f>
        <v>0</v>
      </c>
      <c r="Y46" s="447"/>
      <c r="Z46" s="431">
        <f>IF($B46&lt;&gt;"",AA46*$AB46," ")</f>
        <v>0</v>
      </c>
      <c r="AA46" s="447"/>
      <c r="AB46" s="433">
        <f>(IF(B46&lt;&gt;"",AC46*(1+$AC$8)," "))</f>
        <v>795925.43377379747</v>
      </c>
      <c r="AC46" s="434">
        <f>IF($B46&lt;&gt;"",VLOOKUP($A46,RESUMO!$B$15:$J$49,7,0),"")</f>
        <v>716364.56</v>
      </c>
      <c r="AD46" s="435">
        <f>+Z46+X46+V46+T46+R46+P46+N46+L46+J46+H46+F46+D46-AB46</f>
        <v>0</v>
      </c>
      <c r="AE46" s="436">
        <f t="shared" si="31"/>
        <v>1</v>
      </c>
      <c r="AF46" s="436"/>
    </row>
    <row r="47" spans="1:32" ht="12.75" customHeight="1" x14ac:dyDescent="0.25">
      <c r="A47" s="448">
        <v>30</v>
      </c>
      <c r="B47" s="429" t="str">
        <f>IF($A47&lt;&gt;"",VLOOKUP($A47,RESUMO!$B$15:$J$49,2,0),"")</f>
        <v>INSTALAÇÃO DE GASES MEDICIAIS - EQUIPAMENTOS</v>
      </c>
      <c r="C47" s="430">
        <f>IFERROR(AB47/$AB$51,0)</f>
        <v>2.135138509982501E-2</v>
      </c>
      <c r="D47" s="431">
        <f>IF($B47&lt;&gt;"",E47*$AB47," ")</f>
        <v>0</v>
      </c>
      <c r="E47" s="447"/>
      <c r="F47" s="431">
        <f>IF($B47&lt;&gt;"",G47*$AB47," ")</f>
        <v>0</v>
      </c>
      <c r="G47" s="447"/>
      <c r="H47" s="431">
        <f>IF($B47&lt;&gt;"",I47*$AB47," ")</f>
        <v>0</v>
      </c>
      <c r="I47" s="447"/>
      <c r="J47" s="431">
        <f>IF($B47&lt;&gt;"",K47*$AB47," ")</f>
        <v>28604.970908767296</v>
      </c>
      <c r="K47" s="432">
        <v>0.2</v>
      </c>
      <c r="L47" s="431">
        <f>IF($B47&lt;&gt;"",M47*$AB47," ")</f>
        <v>28604.970908767296</v>
      </c>
      <c r="M47" s="432">
        <v>0.2</v>
      </c>
      <c r="N47" s="431">
        <f>IF($B47&lt;&gt;"",O47*$AB47," ")</f>
        <v>28604.970908767296</v>
      </c>
      <c r="O47" s="432">
        <v>0.2</v>
      </c>
      <c r="P47" s="431">
        <f>IF($B47&lt;&gt;"",Q47*$AB47," ")</f>
        <v>28604.970908767296</v>
      </c>
      <c r="Q47" s="432">
        <v>0.2</v>
      </c>
      <c r="R47" s="431">
        <f>IF($B47&lt;&gt;"",S47*$AB47," ")</f>
        <v>28604.970908767296</v>
      </c>
      <c r="S47" s="432">
        <v>0.2</v>
      </c>
      <c r="T47" s="431">
        <f>IF($B47&lt;&gt;"",U47*$AB47," ")</f>
        <v>0</v>
      </c>
      <c r="U47" s="432"/>
      <c r="V47" s="431">
        <f>IF($B47&lt;&gt;"",W47*$AB47," ")</f>
        <v>0</v>
      </c>
      <c r="W47" s="447"/>
      <c r="X47" s="431">
        <f>IF($B47&lt;&gt;"",Y47*$AB47," ")</f>
        <v>0</v>
      </c>
      <c r="Y47" s="447"/>
      <c r="Z47" s="431">
        <f>IF($B47&lt;&gt;"",AA47*$AB47," ")</f>
        <v>0</v>
      </c>
      <c r="AA47" s="447"/>
      <c r="AB47" s="433">
        <f>(IF(B47&lt;&gt;"",AC47*(1+$AC$8)," "))</f>
        <v>143024.85454383647</v>
      </c>
      <c r="AC47" s="434">
        <f>IF($B47&lt;&gt;"",VLOOKUP($A47,RESUMO!$B$15:$J$49,7,0),"")</f>
        <v>128728.06</v>
      </c>
      <c r="AD47" s="435">
        <f>+Z47+X47+V47+T47+R47+P47+N47+L47+J47+H47+F47+D47-AB47</f>
        <v>0</v>
      </c>
      <c r="AE47" s="436">
        <f t="shared" si="31"/>
        <v>1</v>
      </c>
      <c r="AF47" s="436"/>
    </row>
    <row r="48" spans="1:32" ht="12.75" customHeight="1" x14ac:dyDescent="0.25">
      <c r="A48" s="448"/>
      <c r="B48" s="429"/>
      <c r="C48" s="430"/>
      <c r="D48" s="431"/>
      <c r="E48" s="447"/>
      <c r="F48" s="431"/>
      <c r="G48" s="447"/>
      <c r="H48" s="431"/>
      <c r="I48" s="447"/>
      <c r="J48" s="431"/>
      <c r="K48" s="432"/>
      <c r="L48" s="431"/>
      <c r="M48" s="432"/>
      <c r="N48" s="431"/>
      <c r="O48" s="432"/>
      <c r="P48" s="431"/>
      <c r="Q48" s="432"/>
      <c r="R48" s="431"/>
      <c r="S48" s="432"/>
      <c r="T48" s="431"/>
      <c r="U48" s="432"/>
      <c r="V48" s="431"/>
      <c r="W48" s="447"/>
      <c r="X48" s="431"/>
      <c r="Y48" s="447"/>
      <c r="Z48" s="433"/>
      <c r="AA48" s="447"/>
      <c r="AB48" s="433"/>
      <c r="AC48" s="434"/>
      <c r="AD48" s="435"/>
      <c r="AE48" s="436"/>
      <c r="AF48" s="436"/>
    </row>
    <row r="49" spans="1:32" ht="12.75" customHeight="1" x14ac:dyDescent="0.25">
      <c r="A49" s="448"/>
      <c r="B49" s="429"/>
      <c r="C49" s="430"/>
      <c r="D49" s="431"/>
      <c r="E49" s="447"/>
      <c r="F49" s="431"/>
      <c r="G49" s="447"/>
      <c r="H49" s="431"/>
      <c r="I49" s="447"/>
      <c r="J49" s="431"/>
      <c r="K49" s="432"/>
      <c r="L49" s="431"/>
      <c r="M49" s="432"/>
      <c r="N49" s="431"/>
      <c r="O49" s="432"/>
      <c r="P49" s="431"/>
      <c r="Q49" s="432"/>
      <c r="R49" s="431"/>
      <c r="S49" s="432"/>
      <c r="T49" s="431"/>
      <c r="U49" s="432"/>
      <c r="V49" s="431"/>
      <c r="W49" s="447"/>
      <c r="X49" s="431"/>
      <c r="Y49" s="447"/>
      <c r="Z49" s="433"/>
      <c r="AA49" s="447"/>
      <c r="AB49" s="433"/>
      <c r="AC49" s="434"/>
      <c r="AD49" s="435"/>
      <c r="AE49" s="436"/>
      <c r="AF49" s="436"/>
    </row>
    <row r="50" spans="1:32" ht="12" customHeight="1" x14ac:dyDescent="0.25">
      <c r="A50" s="448"/>
      <c r="B50" s="437"/>
      <c r="C50" s="430"/>
      <c r="D50" s="431"/>
      <c r="E50" s="432"/>
      <c r="F50" s="431"/>
      <c r="G50" s="432"/>
      <c r="H50" s="431"/>
      <c r="I50" s="432"/>
      <c r="J50" s="431"/>
      <c r="K50" s="432"/>
      <c r="L50" s="431"/>
      <c r="M50" s="432"/>
      <c r="N50" s="431"/>
      <c r="O50" s="432"/>
      <c r="P50" s="431"/>
      <c r="Q50" s="432"/>
      <c r="R50" s="431"/>
      <c r="S50" s="432"/>
      <c r="T50" s="431"/>
      <c r="U50" s="432"/>
      <c r="V50" s="431"/>
      <c r="W50" s="432"/>
      <c r="X50" s="431"/>
      <c r="Y50" s="432"/>
      <c r="Z50" s="433"/>
      <c r="AA50" s="432"/>
      <c r="AB50" s="433"/>
      <c r="AC50" s="434"/>
      <c r="AD50" s="441"/>
      <c r="AE50" s="436">
        <f>+AA50+Y50+W50+U50+S50+Q50+O50+M50+K50+I50+G50+E50</f>
        <v>0</v>
      </c>
      <c r="AF50" s="436"/>
    </row>
    <row r="51" spans="1:32" ht="12" customHeight="1" x14ac:dyDescent="0.25">
      <c r="A51" s="895" t="s">
        <v>12643</v>
      </c>
      <c r="B51" s="895"/>
      <c r="C51" s="449">
        <f>SUMIF(C12:C50,"&gt;0",C12:C50)</f>
        <v>1</v>
      </c>
      <c r="D51" s="450">
        <f>SUMIF(D12:D50,"&gt;0",D12:D50)</f>
        <v>582607.56798523571</v>
      </c>
      <c r="E51" s="451">
        <f>IF($AB$51=0,0,D51/$AB$51)</f>
        <v>8.6974243643174659E-2</v>
      </c>
      <c r="F51" s="450">
        <f>SUMIF(F12:F50,"&gt;0",F12:F50)</f>
        <v>684838.63336740236</v>
      </c>
      <c r="G51" s="451">
        <f>IF($AB$51=0,0,F51/$AB$51)</f>
        <v>0.10223575083436721</v>
      </c>
      <c r="H51" s="450">
        <f>SUMIF(H12:H50,"&gt;0",H12:H50)</f>
        <v>586376.59812496603</v>
      </c>
      <c r="I51" s="451">
        <f>IF($AB$51=0,0,H51/$AB$51)</f>
        <v>8.7536901191213379E-2</v>
      </c>
      <c r="J51" s="450">
        <f>SUMIF(J12:J50,"&gt;0",J12:J50)</f>
        <v>974437.62495648372</v>
      </c>
      <c r="K51" s="451">
        <f>IF($AB$51=0,0,J51/$AB$51)</f>
        <v>0.14546837367926091</v>
      </c>
      <c r="L51" s="450">
        <f>SUMIF(L12:L50,"&gt;0",L12:L50)</f>
        <v>865200.8987889624</v>
      </c>
      <c r="M51" s="451">
        <f>IF($AB$51=0,0,L51/$AB$51)</f>
        <v>0.12916103035151766</v>
      </c>
      <c r="N51" s="450">
        <f>SUMIF(N12:N50,"&gt;0",N12:N50)</f>
        <v>596346.22182098858</v>
      </c>
      <c r="O51" s="451">
        <f>IF($AB$51=0,0,N51/$AB$51)</f>
        <v>8.9025210866570365E-2</v>
      </c>
      <c r="P51" s="450">
        <f>SUMIF(P12:P50,"&gt;0",P12:P50)</f>
        <v>553249.83760559105</v>
      </c>
      <c r="Q51" s="451">
        <f>IF($AB$51=0,0,P51/$AB$51)</f>
        <v>8.2591591348286253E-2</v>
      </c>
      <c r="R51" s="450">
        <f>SUMIF(R12:R50,"&gt;0",R12:R50)</f>
        <v>549378.41560426494</v>
      </c>
      <c r="S51" s="451">
        <f>IF($AB$51=0,0,R51/$AB$51)</f>
        <v>8.2013648288683877E-2</v>
      </c>
      <c r="T51" s="450">
        <f>SUMIF(T12:T50,"&gt;0",T12:T50)</f>
        <v>517113.7018923306</v>
      </c>
      <c r="U51" s="451">
        <f>IF($AB$51=0,0,T51/$AB$51)</f>
        <v>7.7197028619352417E-2</v>
      </c>
      <c r="V51" s="450">
        <f>SUMIF(V12:V50,"&gt;0",V12:V50)</f>
        <v>789072.33984900196</v>
      </c>
      <c r="W51" s="451">
        <f>IF($AB$51=0,0,V51/$AB$51)</f>
        <v>0.11779622117757349</v>
      </c>
      <c r="X51" s="450">
        <f>SUMIF(X12:X50,"&gt;0",X12:X50)</f>
        <v>0</v>
      </c>
      <c r="Y51" s="451">
        <f>IF($AB$51=0,0,X51/$AB$51)</f>
        <v>0</v>
      </c>
      <c r="Z51" s="450">
        <f>SUMIF(Z12:Z50,"&gt;0",Z12:Z50)</f>
        <v>0</v>
      </c>
      <c r="AA51" s="451">
        <f>IF($AB$51=0,0,Z51/$AB$51)</f>
        <v>0</v>
      </c>
      <c r="AB51" s="450">
        <f>SUMIF(AB12:AB50,"&gt;0",AB12:AB50)</f>
        <v>6698621.8399952259</v>
      </c>
      <c r="AC51" s="452">
        <f>SUMIF(AC12:AC50,"&gt;0",AC12:AC50)</f>
        <v>5647642.5400000019</v>
      </c>
      <c r="AD51" s="83">
        <f>+RESUMO!I51</f>
        <v>6698621.8399952259</v>
      </c>
      <c r="AE51" s="436">
        <f>+AA51+Y51+W51+U51+S51+Q51+O51+M51+K51+I51+G51+E51</f>
        <v>1.0000000000000002</v>
      </c>
      <c r="AF51" s="453"/>
    </row>
    <row r="52" spans="1:32" ht="12" customHeight="1" x14ac:dyDescent="0.25">
      <c r="A52" s="896" t="s">
        <v>12644</v>
      </c>
      <c r="B52" s="896"/>
      <c r="C52" s="454">
        <f>RESUMO!I51</f>
        <v>6698621.8399952259</v>
      </c>
      <c r="D52" s="897">
        <f>IF($C$52&lt;&gt;"",(1-$C$53)*D$51," ")</f>
        <v>582607.56798523571</v>
      </c>
      <c r="E52" s="898">
        <f>E51</f>
        <v>8.6974243643174659E-2</v>
      </c>
      <c r="F52" s="897">
        <f>IF($C$52&lt;&gt;"",(1-$C$53)*F$51," ")</f>
        <v>684838.63336740236</v>
      </c>
      <c r="G52" s="898">
        <f>G51</f>
        <v>0.10223575083436721</v>
      </c>
      <c r="H52" s="897">
        <f>IF($C$52&lt;&gt;"",(1-$C$53)*H$51," ")</f>
        <v>586376.59812496603</v>
      </c>
      <c r="I52" s="898">
        <f>I51</f>
        <v>8.7536901191213379E-2</v>
      </c>
      <c r="J52" s="897">
        <f>IF($C$52&lt;&gt;"",(1-$C$53)*J$51," ")</f>
        <v>974437.62495648372</v>
      </c>
      <c r="K52" s="898">
        <f>K51</f>
        <v>0.14546837367926091</v>
      </c>
      <c r="L52" s="897">
        <f>IF($C$52&lt;&gt;"",(1-$C$53)*L$51," ")</f>
        <v>865200.8987889624</v>
      </c>
      <c r="M52" s="898">
        <f>M51</f>
        <v>0.12916103035151766</v>
      </c>
      <c r="N52" s="897">
        <f>IF($C$52&lt;&gt;"",(1-$C$53)*N$51," ")</f>
        <v>596346.22182098858</v>
      </c>
      <c r="O52" s="898">
        <f>O51</f>
        <v>8.9025210866570365E-2</v>
      </c>
      <c r="P52" s="897">
        <f>IF($C$52&lt;&gt;"",(1-$C$53)*P$51," ")</f>
        <v>553249.83760559105</v>
      </c>
      <c r="Q52" s="898">
        <f>Q51</f>
        <v>8.2591591348286253E-2</v>
      </c>
      <c r="R52" s="897">
        <f>IF($C$52&lt;&gt;"",(1-$C$53)*R$51," ")</f>
        <v>549378.41560426494</v>
      </c>
      <c r="S52" s="898">
        <f>S51</f>
        <v>8.2013648288683877E-2</v>
      </c>
      <c r="T52" s="897">
        <f>IF($C$52&lt;&gt;"",(1-$C$53)*T$51," ")</f>
        <v>517113.7018923306</v>
      </c>
      <c r="U52" s="898">
        <f>U51</f>
        <v>7.7197028619352417E-2</v>
      </c>
      <c r="V52" s="897">
        <f>IF($C$52&lt;&gt;"",(1-$C$53)*V$51," ")</f>
        <v>789072.33984900196</v>
      </c>
      <c r="W52" s="898">
        <f>W51</f>
        <v>0.11779622117757349</v>
      </c>
      <c r="X52" s="897">
        <f>IF($C$52&lt;&gt;"",(1-$C$53)*X$51," ")</f>
        <v>0</v>
      </c>
      <c r="Y52" s="898">
        <f>Y51</f>
        <v>0</v>
      </c>
      <c r="Z52" s="897">
        <f>IF($C$52&lt;&gt;"",(1-$C$53)*Z$51," ")</f>
        <v>0</v>
      </c>
      <c r="AA52" s="898">
        <f>AA51</f>
        <v>0</v>
      </c>
      <c r="AB52" s="899">
        <f>IF(C52&lt;&gt;"",D52+F52+H52+J52+L52+N52+P52+Z52+R52+T52+V52," ")</f>
        <v>6698621.8399952278</v>
      </c>
      <c r="AC52" s="900"/>
      <c r="AD52" s="39"/>
      <c r="AE52" s="39"/>
      <c r="AF52" s="39"/>
    </row>
    <row r="53" spans="1:32" ht="12" customHeight="1" x14ac:dyDescent="0.25">
      <c r="A53" s="901" t="s">
        <v>12645</v>
      </c>
      <c r="B53" s="901"/>
      <c r="C53" s="455">
        <f>IF(C52&lt;&gt;"",(1-(C52/AB51))," ")</f>
        <v>0</v>
      </c>
      <c r="D53" s="897"/>
      <c r="E53" s="897"/>
      <c r="F53" s="897"/>
      <c r="G53" s="897"/>
      <c r="H53" s="897"/>
      <c r="I53" s="897"/>
      <c r="J53" s="897"/>
      <c r="K53" s="897"/>
      <c r="L53" s="897"/>
      <c r="M53" s="897"/>
      <c r="N53" s="897"/>
      <c r="O53" s="897"/>
      <c r="P53" s="897"/>
      <c r="Q53" s="897"/>
      <c r="R53" s="897"/>
      <c r="S53" s="897"/>
      <c r="T53" s="897"/>
      <c r="U53" s="897"/>
      <c r="V53" s="897"/>
      <c r="W53" s="897"/>
      <c r="X53" s="897"/>
      <c r="Y53" s="897"/>
      <c r="Z53" s="897"/>
      <c r="AA53" s="897"/>
      <c r="AB53" s="897"/>
      <c r="AC53" s="900"/>
      <c r="AD53" s="39"/>
      <c r="AE53" s="39"/>
      <c r="AF53" s="39"/>
    </row>
    <row r="54" spans="1:32" ht="12" customHeight="1" x14ac:dyDescent="0.25">
      <c r="A54" s="901" t="s">
        <v>12646</v>
      </c>
      <c r="B54" s="901"/>
      <c r="C54" s="456"/>
      <c r="D54" s="457">
        <f>IF(C52&lt;&gt;"",D52,D51)</f>
        <v>582607.56798523571</v>
      </c>
      <c r="E54" s="456">
        <f>E52</f>
        <v>8.6974243643174659E-2</v>
      </c>
      <c r="F54" s="457">
        <f>IF($C$52&lt;&gt;"",F52+D54,D54+F51)</f>
        <v>1267446.2013526382</v>
      </c>
      <c r="G54" s="456">
        <f>G52+E54</f>
        <v>0.18920999447754189</v>
      </c>
      <c r="H54" s="457">
        <f>IF($C$52&lt;&gt;"",F54+H52,F54+H51)</f>
        <v>1853822.7994776042</v>
      </c>
      <c r="I54" s="456">
        <f>I52+G54</f>
        <v>0.27674689566875527</v>
      </c>
      <c r="J54" s="457">
        <f>IF($C$52&lt;&gt;"",H54+J52,H54+J51)</f>
        <v>2828260.4244340882</v>
      </c>
      <c r="K54" s="456">
        <f>K52+I54</f>
        <v>0.42221526934801618</v>
      </c>
      <c r="L54" s="457">
        <f>IF($C$52&lt;&gt;"",J54+L52,J54+L51)</f>
        <v>3693461.3232230507</v>
      </c>
      <c r="M54" s="456">
        <f>M52+K54</f>
        <v>0.55137629969953383</v>
      </c>
      <c r="N54" s="457">
        <f>IF($C$52&lt;&gt;"",L54+N52,L54+N51)</f>
        <v>4289807.5450440394</v>
      </c>
      <c r="O54" s="456">
        <f>O52+M54</f>
        <v>0.64040151056610417</v>
      </c>
      <c r="P54" s="457">
        <f>IF($C$52&lt;&gt;"",N54+P52,N54+P51)</f>
        <v>4843057.3826496303</v>
      </c>
      <c r="Q54" s="456">
        <f>Q52+O54</f>
        <v>0.72299310191439048</v>
      </c>
      <c r="R54" s="457">
        <f>IF($C$52&lt;&gt;"",P54+R52,P54+R51)</f>
        <v>5392435.7982538957</v>
      </c>
      <c r="S54" s="456">
        <f>S52+Q54</f>
        <v>0.80500675020307433</v>
      </c>
      <c r="T54" s="457">
        <f>IF($C$52&lt;&gt;"",R54+T52,R54+T51)</f>
        <v>5909549.500146226</v>
      </c>
      <c r="U54" s="456">
        <f>U52+S54</f>
        <v>0.88220377882242673</v>
      </c>
      <c r="V54" s="457">
        <f>IF($C$52&lt;&gt;"",T54+V52,T54+V51)</f>
        <v>6698621.8399952278</v>
      </c>
      <c r="W54" s="456">
        <f>W52+U54</f>
        <v>1.0000000000000002</v>
      </c>
      <c r="X54" s="457">
        <f>IF($C$52&lt;&gt;"",V54+X52,V54+X51)</f>
        <v>6698621.8399952278</v>
      </c>
      <c r="Y54" s="456">
        <f>Y52+W54</f>
        <v>1.0000000000000002</v>
      </c>
      <c r="Z54" s="457">
        <f>IF($C$52&lt;&gt;"",T54+Z52,T54+Z51)</f>
        <v>5909549.500146226</v>
      </c>
      <c r="AA54" s="456">
        <f>AA52+U54</f>
        <v>0.88220377882242673</v>
      </c>
      <c r="AB54" s="457"/>
      <c r="AC54" s="458"/>
      <c r="AD54" s="459"/>
      <c r="AE54" s="459"/>
      <c r="AF54" s="459"/>
    </row>
    <row r="55" spans="1:32" ht="15.75" customHeight="1" x14ac:dyDescent="0.25">
      <c r="A55" s="460"/>
      <c r="B55" s="461"/>
      <c r="C55" s="391"/>
      <c r="D55" s="453"/>
      <c r="E55" s="391"/>
      <c r="F55" s="453"/>
      <c r="G55" s="391"/>
      <c r="H55" s="453"/>
      <c r="I55" s="391"/>
      <c r="J55" s="453"/>
      <c r="K55" s="391"/>
      <c r="L55" s="453"/>
      <c r="M55" s="391"/>
      <c r="N55" s="39"/>
      <c r="O55" s="39"/>
      <c r="P55" s="39"/>
      <c r="Q55" s="39"/>
      <c r="R55" s="39"/>
      <c r="S55" s="39"/>
      <c r="T55" s="39"/>
      <c r="U55" s="39"/>
      <c r="V55" s="39"/>
      <c r="W55" s="39"/>
      <c r="X55" s="39"/>
      <c r="Y55" s="39"/>
      <c r="Z55" s="39"/>
      <c r="AA55" s="39"/>
      <c r="AB55" s="39"/>
      <c r="AC55" s="39"/>
      <c r="AD55" s="39"/>
      <c r="AE55" s="39"/>
      <c r="AF55" s="39"/>
    </row>
    <row r="56" spans="1:32" ht="15.75" customHeight="1" x14ac:dyDescent="0.25">
      <c r="A56" s="460"/>
      <c r="B56" s="461"/>
      <c r="C56" s="391"/>
      <c r="D56" s="453"/>
      <c r="E56" s="391"/>
      <c r="F56" s="453"/>
      <c r="G56" s="391"/>
      <c r="H56" s="453"/>
      <c r="I56" s="391"/>
      <c r="J56" s="453"/>
      <c r="K56" s="391"/>
      <c r="L56" s="453"/>
      <c r="M56" s="391"/>
      <c r="N56" s="39"/>
      <c r="O56" s="39"/>
      <c r="P56" s="39"/>
      <c r="Q56" s="39"/>
      <c r="R56" s="39"/>
      <c r="S56" s="39"/>
      <c r="T56" s="39"/>
      <c r="U56" s="39"/>
      <c r="V56" s="39"/>
      <c r="W56" s="39"/>
      <c r="X56" s="39"/>
      <c r="Y56" s="39"/>
      <c r="Z56" s="39"/>
      <c r="AA56" s="39"/>
      <c r="AB56" s="39"/>
      <c r="AC56" s="39"/>
      <c r="AD56" s="39"/>
      <c r="AE56" s="39"/>
      <c r="AF56" s="39"/>
    </row>
    <row r="57" spans="1:32" ht="15.75" customHeight="1" x14ac:dyDescent="0.25">
      <c r="A57" s="460"/>
      <c r="B57" s="461"/>
      <c r="C57" s="391"/>
      <c r="D57" s="453">
        <f>SUM(D33:D50)+SUM(D14:D31)</f>
        <v>563818.85432130913</v>
      </c>
      <c r="E57" s="453">
        <f>+D57/$AB57</f>
        <v>8.6974243643174645E-2</v>
      </c>
      <c r="F57" s="453">
        <f>SUM(F33:F50)+SUM(F14:F31)</f>
        <v>662753.0345949179</v>
      </c>
      <c r="G57" s="453">
        <f>+F57/$AB57</f>
        <v>0.1022357508343672</v>
      </c>
      <c r="H57" s="453">
        <f>SUM(H33:H50)+SUM(H14:H31)</f>
        <v>567466.33569995663</v>
      </c>
      <c r="I57" s="453">
        <f>+H57/$AB57</f>
        <v>8.7536901191213365E-2</v>
      </c>
      <c r="J57" s="453">
        <f>SUM(J33:J50)+SUM(J14:J31)</f>
        <v>943012.64779393515</v>
      </c>
      <c r="K57" s="453">
        <f>+J57/$AB57</f>
        <v>0.14546837367926088</v>
      </c>
      <c r="L57" s="453">
        <f>SUM(L33:L50)+SUM(L14:L31)</f>
        <v>837298.73472107365</v>
      </c>
      <c r="M57" s="453">
        <f>+L57/$AB57</f>
        <v>0.12916103035151763</v>
      </c>
      <c r="N57" s="453">
        <f>SUM(N33:N50)+SUM(N14:N31)</f>
        <v>577114.44554127683</v>
      </c>
      <c r="O57" s="453">
        <f>+N57/$AB57</f>
        <v>8.9025210866570351E-2</v>
      </c>
      <c r="P57" s="453">
        <f>SUM(P33:P50)+SUM(P14:P31)</f>
        <v>535407.89157778258</v>
      </c>
      <c r="Q57" s="453">
        <f>+P57/$AB57</f>
        <v>8.2591591348286239E-2</v>
      </c>
      <c r="R57" s="453">
        <f>SUM(R33:R50)+SUM(R14:R31)</f>
        <v>531661.32040822075</v>
      </c>
      <c r="S57" s="453">
        <f>+R57/$AB57</f>
        <v>8.2013648288683863E-2</v>
      </c>
      <c r="T57" s="453">
        <f>SUM(T33:T50)+SUM(T14:T31)</f>
        <v>500437.12264680606</v>
      </c>
      <c r="U57" s="453">
        <f>+T57/$AB57</f>
        <v>7.7197028619352404E-2</v>
      </c>
      <c r="V57" s="453">
        <f>SUM(V33:V50)+SUM(V14:V31)</f>
        <v>763625.27210009273</v>
      </c>
      <c r="W57" s="453">
        <f>+V57/$AB57</f>
        <v>0.11779622117757345</v>
      </c>
      <c r="X57" s="453">
        <f>SUM(X34:X50)+SUM(X13:X31)</f>
        <v>0</v>
      </c>
      <c r="Y57" s="453">
        <f>SUM(Y34:Y50)+SUM(Y13:Y31)</f>
        <v>0</v>
      </c>
      <c r="Z57" s="453">
        <f>SUM(Z34:Z50)+SUM(Z13:Z31)</f>
        <v>0</v>
      </c>
      <c r="AA57" s="453">
        <f>SUM(AA34:AA50)+SUM(AA13:AA31)</f>
        <v>0</v>
      </c>
      <c r="AB57" s="453">
        <f>SUM(AB33:AB50)+SUM(AB14:AB31)</f>
        <v>6482595.6594053712</v>
      </c>
      <c r="AC57" s="391"/>
      <c r="AD57" s="39"/>
      <c r="AE57" s="39"/>
      <c r="AF57" s="39"/>
    </row>
    <row r="58" spans="1:32" ht="15.75" customHeight="1" x14ac:dyDescent="0.25">
      <c r="A58" s="460"/>
      <c r="B58" s="461"/>
      <c r="C58" s="391"/>
      <c r="D58" s="453"/>
      <c r="E58" s="391"/>
      <c r="F58" s="453"/>
      <c r="G58" s="391"/>
      <c r="H58" s="453"/>
      <c r="I58" s="391"/>
      <c r="J58" s="453"/>
      <c r="K58" s="391"/>
      <c r="L58" s="453"/>
      <c r="M58" s="391"/>
      <c r="N58" s="39"/>
      <c r="O58" s="39"/>
      <c r="P58" s="39"/>
      <c r="Q58" s="39"/>
      <c r="R58" s="39"/>
      <c r="S58" s="39"/>
      <c r="T58" s="39"/>
      <c r="U58" s="39"/>
      <c r="V58" s="39"/>
      <c r="W58" s="39"/>
      <c r="X58" s="39"/>
      <c r="Y58" s="39"/>
      <c r="Z58" s="39"/>
      <c r="AA58" s="39"/>
      <c r="AB58" s="39"/>
      <c r="AC58" s="39"/>
      <c r="AD58" s="39"/>
      <c r="AE58" s="39"/>
      <c r="AF58" s="39"/>
    </row>
    <row r="59" spans="1:32" ht="15.75" customHeight="1" x14ac:dyDescent="0.25">
      <c r="A59" s="460"/>
      <c r="B59" s="461"/>
      <c r="C59" s="391"/>
      <c r="D59" s="453"/>
      <c r="E59" s="391"/>
      <c r="F59" s="453"/>
      <c r="G59" s="391"/>
      <c r="H59" s="453"/>
      <c r="I59" s="391"/>
      <c r="J59" s="453"/>
      <c r="K59" s="391"/>
      <c r="L59" s="453"/>
      <c r="M59" s="391"/>
      <c r="N59" s="39"/>
      <c r="O59" s="39"/>
      <c r="P59" s="39"/>
      <c r="Q59" s="39"/>
      <c r="R59" s="39"/>
      <c r="S59" s="39"/>
      <c r="T59" s="39"/>
      <c r="U59" s="39"/>
      <c r="V59" s="39"/>
      <c r="W59" s="39"/>
      <c r="X59" s="39"/>
      <c r="Y59" s="39"/>
      <c r="Z59" s="39"/>
      <c r="AA59" s="39"/>
      <c r="AB59" s="39"/>
      <c r="AC59" s="39"/>
      <c r="AD59" s="39"/>
      <c r="AE59" s="39"/>
      <c r="AF59" s="39"/>
    </row>
    <row r="60" spans="1:32" ht="15.75" customHeight="1" x14ac:dyDescent="0.25">
      <c r="A60" s="460"/>
      <c r="B60" s="461"/>
      <c r="C60" s="391"/>
      <c r="D60" s="453"/>
      <c r="E60" s="462">
        <f>+E54</f>
        <v>8.6974243643174659E-2</v>
      </c>
      <c r="F60" s="462">
        <f>+G54</f>
        <v>0.18920999447754189</v>
      </c>
      <c r="G60" s="462">
        <f>+I54</f>
        <v>0.27674689566875527</v>
      </c>
      <c r="H60" s="462">
        <f>+K54</f>
        <v>0.42221526934801618</v>
      </c>
      <c r="I60" s="462">
        <f>+M54</f>
        <v>0.55137629969953383</v>
      </c>
      <c r="J60" s="462">
        <f>+O54</f>
        <v>0.64040151056610417</v>
      </c>
      <c r="K60" s="462">
        <f>+Q54</f>
        <v>0.72299310191439048</v>
      </c>
      <c r="L60" s="462">
        <f>+S54</f>
        <v>0.80500675020307433</v>
      </c>
      <c r="M60" s="462">
        <f>+U54</f>
        <v>0.88220377882242673</v>
      </c>
      <c r="N60" s="462">
        <f>+W54</f>
        <v>1.0000000000000002</v>
      </c>
      <c r="O60" s="39"/>
      <c r="P60" s="39"/>
      <c r="Q60" s="39"/>
      <c r="R60" s="39"/>
      <c r="S60" s="39"/>
      <c r="T60" s="39"/>
      <c r="U60" s="39"/>
      <c r="V60" s="39"/>
      <c r="W60" s="39"/>
      <c r="X60" s="39"/>
      <c r="Y60" s="39"/>
      <c r="Z60" s="39"/>
      <c r="AA60" s="39"/>
      <c r="AB60" s="39"/>
      <c r="AC60" s="39"/>
      <c r="AD60" s="39"/>
      <c r="AE60" s="39"/>
      <c r="AF60" s="39"/>
    </row>
    <row r="61" spans="1:32" ht="15.75" customHeight="1" x14ac:dyDescent="0.25">
      <c r="A61" s="460"/>
      <c r="B61" s="461"/>
      <c r="C61" s="391"/>
      <c r="D61" s="453"/>
      <c r="E61" s="462">
        <v>3.96000000000001E-2</v>
      </c>
      <c r="F61" s="462">
        <v>0.12565123228502501</v>
      </c>
      <c r="G61" s="462">
        <v>0.24190544875369199</v>
      </c>
      <c r="H61" s="462">
        <v>0.37719496801240698</v>
      </c>
      <c r="I61" s="462">
        <v>0.52114419625132402</v>
      </c>
      <c r="J61" s="462">
        <v>0.66341641089817505</v>
      </c>
      <c r="K61" s="462">
        <v>0.79346567112001598</v>
      </c>
      <c r="L61" s="462">
        <v>0.90043920470666505</v>
      </c>
      <c r="M61" s="462">
        <v>0.97313753001707104</v>
      </c>
      <c r="N61" s="462">
        <v>1</v>
      </c>
      <c r="O61" s="39"/>
      <c r="P61" s="39"/>
      <c r="Q61" s="39"/>
      <c r="R61" s="39"/>
      <c r="S61" s="39"/>
      <c r="T61" s="39"/>
      <c r="U61" s="39"/>
      <c r="V61" s="39"/>
      <c r="W61" s="39"/>
      <c r="X61" s="39"/>
      <c r="Y61" s="39"/>
      <c r="Z61" s="39"/>
      <c r="AA61" s="39"/>
      <c r="AB61" s="39"/>
      <c r="AC61" s="39"/>
      <c r="AD61" s="39"/>
      <c r="AE61" s="39"/>
      <c r="AF61" s="39"/>
    </row>
    <row r="62" spans="1:32" ht="15.75" customHeight="1" x14ac:dyDescent="0.25">
      <c r="A62" s="460"/>
      <c r="B62" s="461"/>
      <c r="C62" s="391"/>
      <c r="D62" s="453"/>
      <c r="E62" s="391"/>
      <c r="F62" s="453"/>
      <c r="G62" s="391"/>
      <c r="H62" s="453"/>
      <c r="I62" s="391"/>
      <c r="J62" s="453"/>
      <c r="K62" s="391"/>
      <c r="L62" s="453"/>
      <c r="M62" s="391"/>
      <c r="N62" s="39"/>
      <c r="O62" s="39"/>
      <c r="P62" s="39"/>
      <c r="Q62" s="39"/>
      <c r="R62" s="39"/>
      <c r="S62" s="39"/>
      <c r="T62" s="39"/>
      <c r="U62" s="39"/>
      <c r="V62" s="39"/>
      <c r="W62" s="39"/>
      <c r="X62" s="39"/>
      <c r="Y62" s="39"/>
      <c r="Z62" s="39"/>
      <c r="AA62" s="39"/>
      <c r="AB62" s="39"/>
      <c r="AC62" s="39"/>
      <c r="AD62" s="39"/>
      <c r="AE62" s="39"/>
      <c r="AF62" s="39"/>
    </row>
    <row r="63" spans="1:32" ht="15.75" customHeight="1" x14ac:dyDescent="0.25">
      <c r="A63" s="460"/>
      <c r="B63" s="461"/>
      <c r="C63" s="391"/>
      <c r="D63" s="453"/>
      <c r="E63" s="391"/>
      <c r="F63" s="453"/>
      <c r="G63" s="391"/>
      <c r="H63" s="453"/>
      <c r="I63" s="391"/>
      <c r="J63" s="453"/>
      <c r="K63" s="391"/>
      <c r="L63" s="453"/>
      <c r="M63" s="391"/>
      <c r="N63" s="39"/>
      <c r="O63" s="39"/>
      <c r="P63" s="39"/>
      <c r="Q63" s="39"/>
      <c r="R63" s="39"/>
      <c r="S63" s="39"/>
      <c r="T63" s="39"/>
      <c r="U63" s="39"/>
      <c r="V63" s="39"/>
      <c r="W63" s="39"/>
      <c r="X63" s="39"/>
      <c r="Y63" s="39"/>
      <c r="Z63" s="39"/>
      <c r="AA63" s="39"/>
      <c r="AB63" s="39"/>
      <c r="AC63" s="39"/>
      <c r="AD63" s="39"/>
      <c r="AE63" s="39"/>
      <c r="AF63" s="39"/>
    </row>
    <row r="64" spans="1:32" ht="15.75" customHeight="1" x14ac:dyDescent="0.25">
      <c r="A64" s="460"/>
      <c r="B64" s="461"/>
      <c r="C64" s="391"/>
      <c r="D64" s="453"/>
      <c r="E64" s="391"/>
      <c r="F64" s="453"/>
      <c r="G64" s="391"/>
      <c r="H64" s="453"/>
      <c r="I64" s="391"/>
      <c r="J64" s="453"/>
      <c r="K64" s="391"/>
      <c r="L64" s="453"/>
      <c r="M64" s="391"/>
      <c r="N64" s="39"/>
      <c r="O64" s="39"/>
      <c r="P64" s="39"/>
      <c r="Q64" s="39"/>
      <c r="R64" s="39"/>
      <c r="S64" s="39"/>
      <c r="T64" s="39"/>
      <c r="U64" s="39"/>
      <c r="V64" s="39"/>
      <c r="W64" s="39"/>
      <c r="X64" s="39"/>
      <c r="Y64" s="39"/>
      <c r="Z64" s="39"/>
      <c r="AA64" s="39"/>
      <c r="AB64" s="39"/>
      <c r="AC64" s="39"/>
      <c r="AD64" s="39"/>
      <c r="AE64" s="39"/>
      <c r="AF64" s="39"/>
    </row>
    <row r="65" spans="1:32" ht="15.75" customHeight="1" x14ac:dyDescent="0.25">
      <c r="A65" s="460"/>
      <c r="B65" s="461"/>
      <c r="C65" s="391"/>
      <c r="D65" s="453"/>
      <c r="E65" s="391"/>
      <c r="F65" s="453"/>
      <c r="G65" s="391"/>
      <c r="H65" s="453"/>
      <c r="I65" s="391"/>
      <c r="J65" s="453"/>
      <c r="K65" s="391"/>
      <c r="L65" s="453"/>
      <c r="M65" s="391"/>
      <c r="N65" s="39"/>
      <c r="O65" s="39"/>
      <c r="P65" s="39"/>
      <c r="Q65" s="39"/>
      <c r="R65" s="39"/>
      <c r="S65" s="39"/>
      <c r="T65" s="39"/>
      <c r="U65" s="39"/>
      <c r="V65" s="39"/>
      <c r="W65" s="39"/>
      <c r="X65" s="39"/>
      <c r="Y65" s="39"/>
      <c r="Z65" s="39"/>
      <c r="AA65" s="39"/>
      <c r="AB65" s="39"/>
      <c r="AC65" s="39"/>
      <c r="AD65" s="39"/>
      <c r="AE65" s="39"/>
      <c r="AF65" s="39"/>
    </row>
    <row r="66" spans="1:32" ht="15.75" customHeight="1" x14ac:dyDescent="0.25">
      <c r="A66" s="460"/>
      <c r="B66" s="461"/>
      <c r="C66" s="391"/>
      <c r="D66" s="453"/>
      <c r="E66" s="391"/>
      <c r="F66" s="453"/>
      <c r="G66" s="391"/>
      <c r="H66" s="453"/>
      <c r="I66" s="391"/>
      <c r="J66" s="453"/>
      <c r="K66" s="391"/>
      <c r="L66" s="453"/>
      <c r="M66" s="391"/>
      <c r="N66" s="39"/>
      <c r="O66" s="39"/>
      <c r="P66" s="39"/>
      <c r="Q66" s="39"/>
      <c r="R66" s="39"/>
      <c r="S66" s="39"/>
      <c r="T66" s="39"/>
      <c r="U66" s="39"/>
      <c r="V66" s="39"/>
      <c r="W66" s="39"/>
      <c r="X66" s="39"/>
      <c r="Y66" s="39"/>
      <c r="Z66" s="39"/>
      <c r="AA66" s="39"/>
      <c r="AB66" s="39"/>
      <c r="AC66" s="39"/>
      <c r="AD66" s="39"/>
      <c r="AE66" s="39"/>
      <c r="AF66" s="39"/>
    </row>
    <row r="67" spans="1:32" ht="15.75" customHeight="1" x14ac:dyDescent="0.25">
      <c r="A67" s="460"/>
      <c r="B67" s="461"/>
      <c r="C67" s="391"/>
      <c r="D67" s="453"/>
      <c r="E67" s="391"/>
      <c r="F67" s="453"/>
      <c r="G67" s="391"/>
      <c r="H67" s="453"/>
      <c r="I67" s="391"/>
      <c r="J67" s="453"/>
      <c r="K67" s="391"/>
      <c r="L67" s="453"/>
      <c r="M67" s="391"/>
      <c r="N67" s="39"/>
      <c r="O67" s="39"/>
      <c r="P67" s="39"/>
      <c r="Q67" s="39"/>
      <c r="R67" s="39"/>
      <c r="S67" s="39"/>
      <c r="T67" s="39"/>
      <c r="U67" s="39"/>
      <c r="V67" s="39"/>
      <c r="W67" s="39"/>
      <c r="X67" s="39"/>
      <c r="Y67" s="39"/>
      <c r="Z67" s="39"/>
      <c r="AA67" s="39"/>
      <c r="AB67" s="39"/>
      <c r="AC67" s="39"/>
      <c r="AD67" s="39"/>
      <c r="AE67" s="39"/>
      <c r="AF67" s="39"/>
    </row>
    <row r="68" spans="1:32" ht="15.75" customHeight="1" x14ac:dyDescent="0.25">
      <c r="A68" s="460"/>
      <c r="B68" s="461"/>
      <c r="C68" s="391"/>
      <c r="D68" s="453"/>
      <c r="E68" s="391"/>
      <c r="F68" s="453"/>
      <c r="G68" s="391"/>
      <c r="H68" s="453"/>
      <c r="I68" s="391"/>
      <c r="J68" s="453"/>
      <c r="K68" s="391"/>
      <c r="L68" s="453"/>
      <c r="M68" s="391"/>
      <c r="N68" s="39"/>
      <c r="O68" s="39"/>
      <c r="P68" s="39"/>
      <c r="Q68" s="39"/>
      <c r="R68" s="39"/>
      <c r="S68" s="39"/>
      <c r="T68" s="39"/>
      <c r="U68" s="39"/>
      <c r="V68" s="39"/>
      <c r="W68" s="39"/>
      <c r="X68" s="39"/>
      <c r="Y68" s="39"/>
      <c r="Z68" s="39"/>
      <c r="AA68" s="39"/>
      <c r="AB68" s="39"/>
      <c r="AC68" s="39"/>
      <c r="AD68" s="39"/>
      <c r="AE68" s="39"/>
      <c r="AF68" s="39"/>
    </row>
    <row r="69" spans="1:32" ht="15.75" customHeight="1" x14ac:dyDescent="0.25">
      <c r="A69" s="460"/>
      <c r="B69" s="461"/>
      <c r="C69" s="391"/>
      <c r="D69" s="453"/>
      <c r="E69" s="391"/>
      <c r="F69" s="453"/>
      <c r="G69" s="391"/>
      <c r="H69" s="453"/>
      <c r="I69" s="391"/>
      <c r="J69" s="453"/>
      <c r="K69" s="391"/>
      <c r="L69" s="453"/>
      <c r="M69" s="391"/>
      <c r="N69" s="39"/>
      <c r="O69" s="39"/>
      <c r="P69" s="39"/>
      <c r="Q69" s="39"/>
      <c r="R69" s="39"/>
      <c r="S69" s="39"/>
      <c r="T69" s="39"/>
      <c r="U69" s="39"/>
      <c r="V69" s="39"/>
      <c r="W69" s="39"/>
      <c r="X69" s="39"/>
      <c r="Y69" s="39"/>
      <c r="Z69" s="39"/>
      <c r="AA69" s="39"/>
      <c r="AB69" s="39"/>
      <c r="AC69" s="39"/>
      <c r="AD69" s="39"/>
      <c r="AE69" s="39"/>
      <c r="AF69" s="39"/>
    </row>
    <row r="70" spans="1:32" ht="15.75" customHeight="1" x14ac:dyDescent="0.25">
      <c r="A70" s="460"/>
      <c r="B70" s="461"/>
      <c r="C70" s="391"/>
      <c r="D70" s="453"/>
      <c r="E70" s="391"/>
      <c r="F70" s="453"/>
      <c r="G70" s="391"/>
      <c r="H70" s="453"/>
      <c r="I70" s="391"/>
      <c r="J70" s="453"/>
      <c r="K70" s="391"/>
      <c r="L70" s="453"/>
      <c r="M70" s="391"/>
      <c r="N70" s="39"/>
      <c r="O70" s="39"/>
      <c r="P70" s="39"/>
      <c r="Q70" s="39"/>
      <c r="R70" s="39"/>
      <c r="S70" s="39"/>
      <c r="T70" s="39"/>
      <c r="U70" s="39"/>
      <c r="V70" s="39"/>
      <c r="W70" s="39"/>
      <c r="X70" s="39"/>
      <c r="Y70" s="39"/>
      <c r="Z70" s="39"/>
      <c r="AA70" s="39"/>
      <c r="AB70" s="39"/>
      <c r="AC70" s="39"/>
      <c r="AD70" s="39"/>
      <c r="AE70" s="39"/>
      <c r="AF70" s="39"/>
    </row>
    <row r="71" spans="1:32" ht="15.75" customHeight="1" x14ac:dyDescent="0.25">
      <c r="A71" s="460"/>
      <c r="B71" s="461"/>
      <c r="C71" s="391"/>
      <c r="D71" s="453"/>
      <c r="E71" s="391"/>
      <c r="F71" s="453"/>
      <c r="G71" s="391"/>
      <c r="H71" s="453"/>
      <c r="I71" s="391"/>
      <c r="J71" s="453"/>
      <c r="K71" s="391"/>
      <c r="L71" s="453"/>
      <c r="M71" s="391"/>
      <c r="N71" s="39"/>
      <c r="O71" s="39"/>
      <c r="P71" s="39"/>
      <c r="Q71" s="39"/>
      <c r="R71" s="39"/>
      <c r="S71" s="39"/>
      <c r="T71" s="39"/>
      <c r="U71" s="39"/>
      <c r="V71" s="39"/>
      <c r="W71" s="39"/>
      <c r="X71" s="39"/>
      <c r="Y71" s="39"/>
      <c r="Z71" s="39"/>
      <c r="AA71" s="39"/>
      <c r="AB71" s="39"/>
      <c r="AC71" s="39"/>
      <c r="AD71" s="39"/>
      <c r="AE71" s="39"/>
      <c r="AF71" s="39"/>
    </row>
    <row r="72" spans="1:32" ht="15.75" customHeight="1" x14ac:dyDescent="0.25">
      <c r="A72" s="460"/>
      <c r="B72" s="461"/>
      <c r="C72" s="391"/>
      <c r="D72" s="453"/>
      <c r="E72" s="391"/>
      <c r="F72" s="453"/>
      <c r="G72" s="391"/>
      <c r="H72" s="453"/>
      <c r="I72" s="391"/>
      <c r="J72" s="453"/>
      <c r="K72" s="391"/>
      <c r="L72" s="453"/>
      <c r="M72" s="391"/>
      <c r="N72" s="39"/>
      <c r="O72" s="39"/>
      <c r="P72" s="39"/>
      <c r="Q72" s="39"/>
      <c r="R72" s="39"/>
      <c r="S72" s="39"/>
      <c r="T72" s="39"/>
      <c r="U72" s="39"/>
      <c r="V72" s="39"/>
      <c r="W72" s="39"/>
      <c r="X72" s="39"/>
      <c r="Y72" s="39"/>
      <c r="Z72" s="39"/>
      <c r="AA72" s="39"/>
      <c r="AB72" s="39"/>
      <c r="AC72" s="39"/>
      <c r="AD72" s="39"/>
      <c r="AE72" s="39"/>
      <c r="AF72" s="39"/>
    </row>
    <row r="73" spans="1:32" ht="15.75" customHeight="1" x14ac:dyDescent="0.25">
      <c r="A73" s="460"/>
      <c r="B73" s="461"/>
      <c r="C73" s="391"/>
      <c r="D73" s="453"/>
      <c r="E73" s="391"/>
      <c r="F73" s="453"/>
      <c r="G73" s="391"/>
      <c r="H73" s="453"/>
      <c r="I73" s="391"/>
      <c r="J73" s="453"/>
      <c r="K73" s="391"/>
      <c r="L73" s="453"/>
      <c r="M73" s="391"/>
      <c r="N73" s="39"/>
      <c r="O73" s="39"/>
      <c r="P73" s="39"/>
      <c r="Q73" s="39"/>
      <c r="R73" s="39"/>
      <c r="S73" s="39"/>
      <c r="T73" s="39"/>
      <c r="U73" s="39"/>
      <c r="V73" s="39"/>
      <c r="W73" s="39"/>
      <c r="X73" s="39"/>
      <c r="Y73" s="39"/>
      <c r="Z73" s="39"/>
      <c r="AA73" s="39"/>
      <c r="AB73" s="39"/>
      <c r="AC73" s="39"/>
      <c r="AD73" s="39"/>
      <c r="AE73" s="39"/>
      <c r="AF73" s="39"/>
    </row>
    <row r="74" spans="1:32" ht="15.75" customHeight="1" x14ac:dyDescent="0.25">
      <c r="A74" s="460"/>
      <c r="B74" s="461"/>
      <c r="C74" s="391"/>
      <c r="D74" s="453"/>
      <c r="E74" s="391"/>
      <c r="F74" s="453"/>
      <c r="G74" s="391"/>
      <c r="H74" s="453"/>
      <c r="I74" s="391"/>
      <c r="J74" s="453"/>
      <c r="K74" s="391"/>
      <c r="L74" s="453"/>
      <c r="M74" s="391"/>
      <c r="N74" s="39"/>
      <c r="O74" s="39"/>
      <c r="P74" s="39"/>
      <c r="Q74" s="39"/>
      <c r="R74" s="39"/>
      <c r="S74" s="39"/>
      <c r="T74" s="39"/>
      <c r="U74" s="39"/>
      <c r="V74" s="39"/>
      <c r="W74" s="39"/>
      <c r="X74" s="39"/>
      <c r="Y74" s="39"/>
      <c r="Z74" s="39"/>
      <c r="AA74" s="39"/>
      <c r="AB74" s="39"/>
      <c r="AC74" s="39"/>
      <c r="AD74" s="39"/>
      <c r="AE74" s="39"/>
      <c r="AF74" s="39"/>
    </row>
    <row r="75" spans="1:32" ht="15.75" customHeight="1" x14ac:dyDescent="0.25">
      <c r="A75" s="460"/>
      <c r="B75" s="461"/>
      <c r="C75" s="391"/>
      <c r="D75" s="453"/>
      <c r="E75" s="391"/>
      <c r="F75" s="453"/>
      <c r="G75" s="391"/>
      <c r="H75" s="453"/>
      <c r="I75" s="391"/>
      <c r="J75" s="453"/>
      <c r="K75" s="391"/>
      <c r="L75" s="453"/>
      <c r="M75" s="391"/>
      <c r="N75" s="39"/>
      <c r="O75" s="39"/>
      <c r="P75" s="39"/>
      <c r="Q75" s="39"/>
      <c r="R75" s="39"/>
      <c r="S75" s="39"/>
      <c r="T75" s="39"/>
      <c r="U75" s="39"/>
      <c r="V75" s="39"/>
      <c r="W75" s="39"/>
      <c r="X75" s="39"/>
      <c r="Y75" s="39"/>
      <c r="Z75" s="39"/>
      <c r="AA75" s="39"/>
      <c r="AB75" s="39"/>
      <c r="AC75" s="39"/>
      <c r="AD75" s="39"/>
      <c r="AE75" s="39"/>
      <c r="AF75" s="39"/>
    </row>
    <row r="76" spans="1:32" ht="15.75" customHeight="1" x14ac:dyDescent="0.25">
      <c r="A76" s="460"/>
      <c r="B76" s="461"/>
      <c r="C76" s="391"/>
      <c r="D76" s="453"/>
      <c r="E76" s="391"/>
      <c r="F76" s="453"/>
      <c r="G76" s="391"/>
      <c r="H76" s="453"/>
      <c r="I76" s="391"/>
      <c r="J76" s="453"/>
      <c r="K76" s="391"/>
      <c r="L76" s="453"/>
      <c r="M76" s="391"/>
      <c r="N76" s="39"/>
      <c r="O76" s="39"/>
      <c r="P76" s="39"/>
      <c r="Q76" s="39"/>
      <c r="R76" s="39"/>
      <c r="S76" s="39"/>
      <c r="T76" s="39"/>
      <c r="U76" s="39"/>
      <c r="V76" s="39"/>
      <c r="W76" s="39"/>
      <c r="X76" s="39"/>
      <c r="Y76" s="39"/>
      <c r="Z76" s="39"/>
      <c r="AA76" s="39"/>
      <c r="AB76" s="39"/>
      <c r="AC76" s="39"/>
      <c r="AD76" s="39"/>
      <c r="AE76" s="39"/>
      <c r="AF76" s="39"/>
    </row>
    <row r="77" spans="1:32" ht="15.75" customHeight="1" x14ac:dyDescent="0.25">
      <c r="A77" s="460"/>
      <c r="B77" s="461"/>
      <c r="C77" s="391"/>
      <c r="D77" s="453"/>
      <c r="E77" s="391"/>
      <c r="F77" s="453"/>
      <c r="G77" s="391"/>
      <c r="H77" s="453"/>
      <c r="I77" s="391"/>
      <c r="J77" s="453"/>
      <c r="K77" s="391"/>
      <c r="L77" s="453"/>
      <c r="M77" s="391"/>
      <c r="N77" s="39"/>
      <c r="O77" s="39"/>
      <c r="P77" s="39"/>
      <c r="Q77" s="39"/>
      <c r="R77" s="39"/>
      <c r="S77" s="39"/>
      <c r="T77" s="39"/>
      <c r="U77" s="39"/>
      <c r="V77" s="39"/>
      <c r="W77" s="39"/>
      <c r="X77" s="39"/>
      <c r="Y77" s="39"/>
      <c r="Z77" s="39"/>
      <c r="AA77" s="39"/>
      <c r="AB77" s="39"/>
      <c r="AC77" s="39"/>
      <c r="AD77" s="39"/>
      <c r="AE77" s="39"/>
      <c r="AF77" s="39"/>
    </row>
    <row r="78" spans="1:32" ht="15.75" customHeight="1" x14ac:dyDescent="0.25">
      <c r="A78" s="460"/>
      <c r="B78" s="461"/>
      <c r="C78" s="391"/>
      <c r="D78" s="453"/>
      <c r="E78" s="391"/>
      <c r="F78" s="453"/>
      <c r="G78" s="391"/>
      <c r="H78" s="453"/>
      <c r="I78" s="391"/>
      <c r="J78" s="453"/>
      <c r="K78" s="391"/>
      <c r="L78" s="453"/>
      <c r="M78" s="391"/>
      <c r="N78" s="39"/>
      <c r="O78" s="39"/>
      <c r="P78" s="39"/>
      <c r="Q78" s="39"/>
      <c r="R78" s="39"/>
      <c r="S78" s="39"/>
      <c r="T78" s="39"/>
      <c r="U78" s="39"/>
      <c r="V78" s="39"/>
      <c r="W78" s="39"/>
      <c r="X78" s="39"/>
      <c r="Y78" s="39"/>
      <c r="Z78" s="39"/>
      <c r="AA78" s="39"/>
      <c r="AB78" s="39"/>
      <c r="AC78" s="39"/>
      <c r="AD78" s="39"/>
      <c r="AE78" s="39"/>
      <c r="AF78" s="39"/>
    </row>
    <row r="79" spans="1:32" ht="15.75" customHeight="1" x14ac:dyDescent="0.25">
      <c r="A79" s="460"/>
      <c r="B79" s="461"/>
      <c r="C79" s="391"/>
      <c r="D79" s="453"/>
      <c r="E79" s="391"/>
      <c r="F79" s="453"/>
      <c r="G79" s="391"/>
      <c r="H79" s="453"/>
      <c r="I79" s="391"/>
      <c r="J79" s="453"/>
      <c r="K79" s="391"/>
      <c r="L79" s="453"/>
      <c r="M79" s="391"/>
      <c r="N79" s="39"/>
      <c r="O79" s="39"/>
      <c r="P79" s="39"/>
      <c r="Q79" s="39"/>
      <c r="R79" s="39"/>
      <c r="S79" s="39"/>
      <c r="T79" s="39"/>
      <c r="U79" s="39"/>
      <c r="V79" s="39"/>
      <c r="W79" s="39"/>
      <c r="X79" s="39"/>
      <c r="Y79" s="39"/>
      <c r="Z79" s="39"/>
      <c r="AA79" s="39"/>
      <c r="AB79" s="39"/>
      <c r="AC79" s="39"/>
      <c r="AD79" s="39"/>
      <c r="AE79" s="39"/>
      <c r="AF79" s="39"/>
    </row>
    <row r="80" spans="1:32" ht="15.75" customHeight="1" x14ac:dyDescent="0.25">
      <c r="A80" s="460"/>
      <c r="B80" s="461"/>
      <c r="C80" s="391"/>
      <c r="D80" s="453"/>
      <c r="E80" s="391"/>
      <c r="F80" s="453"/>
      <c r="G80" s="391"/>
      <c r="H80" s="453"/>
      <c r="I80" s="391"/>
      <c r="J80" s="453"/>
      <c r="K80" s="391"/>
      <c r="L80" s="453"/>
      <c r="M80" s="391"/>
      <c r="N80" s="39"/>
      <c r="O80" s="39"/>
      <c r="P80" s="39"/>
      <c r="Q80" s="39"/>
      <c r="R80" s="39"/>
      <c r="S80" s="39"/>
      <c r="T80" s="39"/>
      <c r="U80" s="39"/>
      <c r="V80" s="39"/>
      <c r="W80" s="39"/>
      <c r="X80" s="39"/>
      <c r="Y80" s="39"/>
      <c r="Z80" s="39"/>
      <c r="AA80" s="39"/>
      <c r="AB80" s="39"/>
      <c r="AC80" s="39"/>
      <c r="AD80" s="39"/>
      <c r="AE80" s="39"/>
      <c r="AF80" s="39"/>
    </row>
    <row r="81" spans="1:32" ht="15.75" customHeight="1" x14ac:dyDescent="0.25">
      <c r="A81" s="460"/>
      <c r="B81" s="461"/>
      <c r="C81" s="391"/>
      <c r="D81" s="453"/>
      <c r="E81" s="391"/>
      <c r="F81" s="453"/>
      <c r="G81" s="391"/>
      <c r="H81" s="453"/>
      <c r="I81" s="391"/>
      <c r="J81" s="453"/>
      <c r="K81" s="391"/>
      <c r="L81" s="453"/>
      <c r="M81" s="391"/>
      <c r="N81" s="39"/>
      <c r="O81" s="39"/>
      <c r="P81" s="39"/>
      <c r="Q81" s="39"/>
      <c r="R81" s="39"/>
      <c r="S81" s="39"/>
      <c r="T81" s="39"/>
      <c r="U81" s="39"/>
      <c r="V81" s="39"/>
      <c r="W81" s="39"/>
      <c r="X81" s="39"/>
      <c r="Y81" s="39"/>
      <c r="Z81" s="39"/>
      <c r="AA81" s="39"/>
      <c r="AB81" s="39"/>
      <c r="AC81" s="39"/>
      <c r="AD81" s="39"/>
      <c r="AE81" s="39"/>
      <c r="AF81" s="39"/>
    </row>
    <row r="82" spans="1:32" ht="15.75" customHeight="1" x14ac:dyDescent="0.25">
      <c r="A82" s="460"/>
      <c r="B82" s="461"/>
      <c r="C82" s="391"/>
      <c r="D82" s="453"/>
      <c r="E82" s="391"/>
      <c r="F82" s="453"/>
      <c r="G82" s="391"/>
      <c r="H82" s="453"/>
      <c r="I82" s="391"/>
      <c r="J82" s="453"/>
      <c r="K82" s="391"/>
      <c r="L82" s="453"/>
      <c r="M82" s="391"/>
      <c r="N82" s="39"/>
      <c r="O82" s="39"/>
      <c r="P82" s="39"/>
      <c r="Q82" s="39"/>
      <c r="R82" s="39"/>
      <c r="S82" s="39"/>
      <c r="T82" s="39"/>
      <c r="U82" s="39"/>
      <c r="V82" s="39"/>
      <c r="W82" s="39"/>
      <c r="X82" s="39"/>
      <c r="Y82" s="39"/>
      <c r="Z82" s="39"/>
      <c r="AA82" s="39"/>
      <c r="AB82" s="39"/>
      <c r="AC82" s="39"/>
      <c r="AD82" s="39"/>
      <c r="AE82" s="39"/>
      <c r="AF82" s="39"/>
    </row>
    <row r="83" spans="1:32" ht="15.75" customHeight="1" x14ac:dyDescent="0.25">
      <c r="A83" s="460"/>
      <c r="B83" s="461"/>
      <c r="C83" s="391"/>
      <c r="D83" s="453"/>
      <c r="E83" s="391"/>
      <c r="F83" s="453"/>
      <c r="G83" s="391"/>
      <c r="H83" s="453"/>
      <c r="I83" s="391"/>
      <c r="J83" s="453"/>
      <c r="K83" s="391"/>
      <c r="L83" s="453"/>
      <c r="M83" s="391"/>
      <c r="N83" s="39"/>
      <c r="O83" s="39"/>
      <c r="P83" s="39"/>
      <c r="Q83" s="39"/>
      <c r="R83" s="39"/>
      <c r="S83" s="39"/>
      <c r="T83" s="39"/>
      <c r="U83" s="39"/>
      <c r="V83" s="39"/>
      <c r="W83" s="39"/>
      <c r="X83" s="39"/>
      <c r="Y83" s="39"/>
      <c r="Z83" s="39"/>
      <c r="AA83" s="39"/>
      <c r="AB83" s="39"/>
      <c r="AC83" s="39"/>
      <c r="AD83" s="39"/>
      <c r="AE83" s="39"/>
      <c r="AF83" s="39"/>
    </row>
    <row r="84" spans="1:32" ht="15.75" customHeight="1" x14ac:dyDescent="0.25">
      <c r="A84" s="460"/>
      <c r="B84" s="461"/>
      <c r="C84" s="391"/>
      <c r="D84" s="453"/>
      <c r="E84" s="391"/>
      <c r="F84" s="453"/>
      <c r="G84" s="391"/>
      <c r="H84" s="453"/>
      <c r="I84" s="391"/>
      <c r="J84" s="453"/>
      <c r="K84" s="391"/>
      <c r="L84" s="453"/>
      <c r="M84" s="391"/>
      <c r="N84" s="39"/>
      <c r="O84" s="39"/>
      <c r="P84" s="39"/>
      <c r="Q84" s="39"/>
      <c r="R84" s="39"/>
      <c r="S84" s="39"/>
      <c r="T84" s="39"/>
      <c r="U84" s="39"/>
      <c r="V84" s="39"/>
      <c r="W84" s="39"/>
      <c r="X84" s="39"/>
      <c r="Y84" s="39"/>
      <c r="Z84" s="39"/>
      <c r="AA84" s="39"/>
      <c r="AB84" s="39"/>
      <c r="AC84" s="39"/>
      <c r="AD84" s="39"/>
      <c r="AE84" s="39"/>
      <c r="AF84" s="39"/>
    </row>
    <row r="85" spans="1:32" ht="15.75" customHeight="1" x14ac:dyDescent="0.25">
      <c r="A85" s="460"/>
      <c r="B85" s="461"/>
      <c r="C85" s="391"/>
      <c r="D85" s="453"/>
      <c r="E85" s="391"/>
      <c r="F85" s="453"/>
      <c r="G85" s="391"/>
      <c r="H85" s="453"/>
      <c r="I85" s="391"/>
      <c r="J85" s="453"/>
      <c r="K85" s="391"/>
      <c r="L85" s="453"/>
      <c r="M85" s="391"/>
      <c r="N85" s="39"/>
      <c r="O85" s="39"/>
      <c r="P85" s="39"/>
      <c r="Q85" s="39"/>
      <c r="R85" s="39"/>
      <c r="S85" s="39"/>
      <c r="T85" s="39"/>
      <c r="U85" s="39"/>
      <c r="V85" s="39"/>
      <c r="W85" s="39"/>
      <c r="X85" s="39"/>
      <c r="Y85" s="39"/>
      <c r="Z85" s="39"/>
      <c r="AA85" s="39"/>
      <c r="AB85" s="39"/>
      <c r="AC85" s="39"/>
      <c r="AD85" s="39"/>
      <c r="AE85" s="39"/>
      <c r="AF85" s="39"/>
    </row>
    <row r="86" spans="1:32" ht="15.75" customHeight="1" x14ac:dyDescent="0.25">
      <c r="A86" s="460"/>
      <c r="B86" s="461"/>
      <c r="C86" s="391"/>
      <c r="D86" s="453"/>
      <c r="E86" s="391"/>
      <c r="F86" s="453"/>
      <c r="G86" s="391"/>
      <c r="H86" s="453"/>
      <c r="I86" s="391"/>
      <c r="J86" s="453"/>
      <c r="K86" s="391"/>
      <c r="L86" s="453"/>
      <c r="M86" s="391"/>
      <c r="N86" s="39"/>
      <c r="O86" s="39"/>
      <c r="P86" s="39"/>
      <c r="Q86" s="39"/>
      <c r="R86" s="39"/>
      <c r="S86" s="39"/>
      <c r="T86" s="39"/>
      <c r="U86" s="39"/>
      <c r="V86" s="39"/>
      <c r="W86" s="39"/>
      <c r="X86" s="39"/>
      <c r="Y86" s="39"/>
      <c r="Z86" s="39"/>
      <c r="AA86" s="39"/>
      <c r="AB86" s="39"/>
      <c r="AC86" s="39"/>
      <c r="AD86" s="39"/>
      <c r="AE86" s="39"/>
      <c r="AF86" s="39"/>
    </row>
    <row r="87" spans="1:32" ht="15.75" customHeight="1" x14ac:dyDescent="0.25">
      <c r="A87" s="460"/>
      <c r="B87" s="461"/>
      <c r="C87" s="391"/>
      <c r="D87" s="453"/>
      <c r="E87" s="391"/>
      <c r="F87" s="453"/>
      <c r="G87" s="391"/>
      <c r="H87" s="453"/>
      <c r="I87" s="391"/>
      <c r="J87" s="453"/>
      <c r="K87" s="391"/>
      <c r="L87" s="453"/>
      <c r="M87" s="391"/>
      <c r="N87" s="39"/>
      <c r="O87" s="39"/>
      <c r="P87" s="39"/>
      <c r="Q87" s="39"/>
      <c r="R87" s="39"/>
      <c r="S87" s="39"/>
      <c r="T87" s="39"/>
      <c r="U87" s="39"/>
      <c r="V87" s="39"/>
      <c r="W87" s="39"/>
      <c r="X87" s="39"/>
      <c r="Y87" s="39"/>
      <c r="Z87" s="39"/>
      <c r="AA87" s="39"/>
      <c r="AB87" s="39"/>
      <c r="AC87" s="39"/>
      <c r="AD87" s="39"/>
      <c r="AE87" s="39"/>
      <c r="AF87" s="39"/>
    </row>
  </sheetData>
  <mergeCells count="61">
    <mergeCell ref="AA52:AA53"/>
    <mergeCell ref="AB52:AB53"/>
    <mergeCell ref="AC52:AC53"/>
    <mergeCell ref="A53:B53"/>
    <mergeCell ref="A54:B54"/>
    <mergeCell ref="V52:V53"/>
    <mergeCell ref="W52:W53"/>
    <mergeCell ref="X52:X53"/>
    <mergeCell ref="Y52:Y53"/>
    <mergeCell ref="Z52:Z53"/>
    <mergeCell ref="Q52:Q53"/>
    <mergeCell ref="R52:R53"/>
    <mergeCell ref="S52:S53"/>
    <mergeCell ref="T52:T53"/>
    <mergeCell ref="U52:U53"/>
    <mergeCell ref="AA9:AA11"/>
    <mergeCell ref="A51:B51"/>
    <mergeCell ref="A52:B52"/>
    <mergeCell ref="D52:D53"/>
    <mergeCell ref="E52:E53"/>
    <mergeCell ref="F52:F53"/>
    <mergeCell ref="G52:G53"/>
    <mergeCell ref="H52:H53"/>
    <mergeCell ref="I52:I53"/>
    <mergeCell ref="J52:J53"/>
    <mergeCell ref="K52:K53"/>
    <mergeCell ref="L52:L53"/>
    <mergeCell ref="M52:M53"/>
    <mergeCell ref="N52:N53"/>
    <mergeCell ref="O52:O53"/>
    <mergeCell ref="P52:P53"/>
    <mergeCell ref="V9:V11"/>
    <mergeCell ref="W9:W11"/>
    <mergeCell ref="X9:X11"/>
    <mergeCell ref="Y9:Y11"/>
    <mergeCell ref="Z9:Z11"/>
    <mergeCell ref="Q9:Q11"/>
    <mergeCell ref="R9:R11"/>
    <mergeCell ref="S9:S11"/>
    <mergeCell ref="T9:T11"/>
    <mergeCell ref="U9:U11"/>
    <mergeCell ref="L9:L11"/>
    <mergeCell ref="M9:M11"/>
    <mergeCell ref="N9:N11"/>
    <mergeCell ref="O9:O11"/>
    <mergeCell ref="P9:P11"/>
    <mergeCell ref="G9:G11"/>
    <mergeCell ref="H9:H11"/>
    <mergeCell ref="I9:I11"/>
    <mergeCell ref="J9:J11"/>
    <mergeCell ref="K9:K11"/>
    <mergeCell ref="B5:F8"/>
    <mergeCell ref="B9:B11"/>
    <mergeCell ref="D9:D11"/>
    <mergeCell ref="E9:E11"/>
    <mergeCell ref="F9:F11"/>
    <mergeCell ref="A1:M1"/>
    <mergeCell ref="A2:A3"/>
    <mergeCell ref="B2:F2"/>
    <mergeCell ref="B3:F3"/>
    <mergeCell ref="B4:F4"/>
  </mergeCells>
  <printOptions horizontalCentered="1" gridLines="1"/>
  <pageMargins left="0.39374999999999999" right="0.39374999999999999" top="1.1812499999999999" bottom="0.98402777777777795" header="0.511811023622047" footer="0"/>
  <pageSetup paperSize="9" scale="46" orientation="landscape" horizontalDpi="300" verticalDpi="300" r:id="rId1"/>
  <headerFooter>
    <oddFooter>&amp;LCarimbo e Assinatura Responsável Técnico Empresa&amp;CCarimbo e Assinatura Representante Lega da Empresa&amp;RCarimbo e Assinatura Responsável Aprovação</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BBB59"/>
    <pageSetUpPr fitToPage="1"/>
  </sheetPr>
  <dimension ref="A1:Y2240"/>
  <sheetViews>
    <sheetView view="pageBreakPreview" topLeftCell="A147" zoomScaleNormal="100" zoomScaleSheetLayoutView="100" zoomScalePageLayoutView="62" workbookViewId="0">
      <selection activeCell="J160" sqref="J160"/>
    </sheetView>
  </sheetViews>
  <sheetFormatPr defaultColWidth="14.42578125" defaultRowHeight="15" x14ac:dyDescent="0.25"/>
  <cols>
    <col min="1" max="1" width="12.5703125" customWidth="1"/>
    <col min="2" max="2" width="18.28515625" customWidth="1"/>
    <col min="3" max="3" width="16.7109375" customWidth="1"/>
    <col min="4" max="4" width="12.7109375" customWidth="1"/>
    <col min="5" max="5" width="76.5703125" customWidth="1"/>
    <col min="6" max="7" width="10.7109375" customWidth="1"/>
    <col min="8" max="11" width="12" customWidth="1"/>
    <col min="12" max="12" width="18.42578125" customWidth="1"/>
    <col min="13" max="13" width="11.5703125" customWidth="1"/>
    <col min="14" max="14" width="17.7109375" customWidth="1"/>
    <col min="15" max="19" width="13.42578125" customWidth="1"/>
    <col min="20" max="25" width="14.7109375" customWidth="1"/>
  </cols>
  <sheetData>
    <row r="1" spans="1:25" ht="15" customHeight="1" x14ac:dyDescent="0.25">
      <c r="A1" s="463"/>
      <c r="B1" s="464"/>
      <c r="C1" s="902" t="s">
        <v>12647</v>
      </c>
      <c r="D1" s="902"/>
      <c r="E1" s="902"/>
      <c r="F1" s="465"/>
      <c r="G1" s="466"/>
      <c r="H1" s="467"/>
      <c r="I1" s="468"/>
      <c r="J1" s="468"/>
      <c r="K1" s="469"/>
      <c r="L1" s="470"/>
      <c r="M1" s="471"/>
      <c r="Q1" s="472"/>
      <c r="R1" s="472"/>
      <c r="S1" s="472"/>
      <c r="T1" s="472"/>
      <c r="U1" s="472"/>
      <c r="V1" s="472"/>
      <c r="W1" s="472"/>
      <c r="X1" s="472"/>
      <c r="Y1" s="472"/>
    </row>
    <row r="2" spans="1:25" ht="15" customHeight="1" x14ac:dyDescent="0.25">
      <c r="A2" s="463"/>
      <c r="B2" s="473"/>
      <c r="C2" s="903" t="s">
        <v>11883</v>
      </c>
      <c r="D2" s="903"/>
      <c r="E2" s="903"/>
      <c r="F2" s="394" t="s">
        <v>447</v>
      </c>
      <c r="G2" s="904" t="str">
        <f>IF(DADOS!$D$12&lt;&gt;"",DADOS!$D$12," ")</f>
        <v xml:space="preserve">PRONTO ATENDIMENTO MUNICIPAL </v>
      </c>
      <c r="H2" s="904"/>
      <c r="I2" s="904"/>
      <c r="J2" s="394" t="s">
        <v>445</v>
      </c>
      <c r="K2" s="474">
        <f ca="1">IF(DADOS!D20&lt;&gt;"",DADOS!D20," ")</f>
        <v>46142</v>
      </c>
      <c r="L2" s="475"/>
      <c r="M2" s="471"/>
      <c r="Q2" s="472"/>
      <c r="R2" s="472"/>
      <c r="S2" s="472"/>
      <c r="T2" s="472"/>
      <c r="U2" s="472"/>
      <c r="V2" s="472"/>
      <c r="W2" s="472"/>
      <c r="X2" s="472"/>
      <c r="Y2" s="472"/>
    </row>
    <row r="3" spans="1:25" ht="15" customHeight="1" x14ac:dyDescent="0.25">
      <c r="A3" s="463"/>
      <c r="B3" s="473"/>
      <c r="C3" s="903" t="s">
        <v>11885</v>
      </c>
      <c r="D3" s="903"/>
      <c r="E3" s="903"/>
      <c r="F3" s="394" t="s">
        <v>451</v>
      </c>
      <c r="G3" s="904" t="str">
        <f>IF(DADOS!$D$16&lt;&gt;"",DADOS!$D$16," ")</f>
        <v>IMBAÚ</v>
      </c>
      <c r="H3" s="904"/>
      <c r="I3" s="476"/>
      <c r="J3" s="394" t="s">
        <v>12648</v>
      </c>
      <c r="K3" s="395" t="str">
        <f>IF('FOLHA FECHAMENTO'!$K$10&lt;&gt;"",'FOLHA FECHAMENTO'!$K$10," ")</f>
        <v>CONSTRUÇÃO</v>
      </c>
      <c r="L3" s="475"/>
      <c r="M3" s="471"/>
      <c r="Q3" s="472"/>
      <c r="R3" s="472"/>
      <c r="S3" s="472"/>
      <c r="T3" s="472"/>
      <c r="U3" s="472"/>
      <c r="V3" s="472"/>
      <c r="W3" s="472"/>
      <c r="X3" s="472"/>
      <c r="Y3" s="472"/>
    </row>
    <row r="4" spans="1:25" x14ac:dyDescent="0.25">
      <c r="A4" s="463"/>
      <c r="B4" s="473"/>
      <c r="C4" s="903"/>
      <c r="D4" s="903"/>
      <c r="E4" s="903"/>
      <c r="F4" s="394" t="s">
        <v>12630</v>
      </c>
      <c r="G4" s="904" t="str">
        <f>IF(DADOS!$D$32&lt;&gt;"",DADOS!$D$32," ")</f>
        <v>Prefeitura Municipal de Imbaú</v>
      </c>
      <c r="H4" s="904"/>
      <c r="I4" s="904"/>
      <c r="J4" s="394" t="s">
        <v>12649</v>
      </c>
      <c r="K4" s="477" t="str">
        <f>IF(DADOS!D24&lt;&gt;"",DADOS!D24," ")</f>
        <v>Erick William da Silva Damaceno</v>
      </c>
      <c r="L4" s="475"/>
      <c r="M4" s="471"/>
      <c r="Q4" s="472"/>
      <c r="R4" s="472"/>
      <c r="S4" s="472"/>
      <c r="T4" s="472"/>
      <c r="U4" s="472"/>
      <c r="V4" s="472"/>
      <c r="W4" s="472"/>
      <c r="X4" s="472"/>
      <c r="Y4" s="472"/>
    </row>
    <row r="5" spans="1:25" x14ac:dyDescent="0.25">
      <c r="A5" s="463"/>
      <c r="B5" s="478"/>
      <c r="C5" s="479"/>
      <c r="D5" s="479"/>
      <c r="E5" s="480"/>
      <c r="F5" s="481"/>
      <c r="G5" s="482"/>
      <c r="H5" s="483"/>
      <c r="I5" s="483"/>
      <c r="J5" s="484"/>
      <c r="K5" s="485"/>
      <c r="L5" s="486"/>
      <c r="M5" s="471"/>
      <c r="Q5" s="472"/>
      <c r="R5" s="472"/>
      <c r="S5" s="472"/>
      <c r="T5" s="472"/>
      <c r="U5" s="472"/>
      <c r="V5" s="472"/>
      <c r="W5" s="472"/>
      <c r="X5" s="472"/>
      <c r="Y5" s="472"/>
    </row>
    <row r="6" spans="1:25" ht="17.25" x14ac:dyDescent="0.25">
      <c r="A6" s="463"/>
      <c r="B6" s="905" t="s">
        <v>12650</v>
      </c>
      <c r="C6" s="905"/>
      <c r="D6" s="905"/>
      <c r="E6" s="905"/>
      <c r="F6" s="905"/>
      <c r="G6" s="905"/>
      <c r="H6" s="905"/>
      <c r="I6" s="905"/>
      <c r="J6" s="905"/>
      <c r="K6" s="905"/>
      <c r="L6" s="905"/>
      <c r="M6" s="471"/>
      <c r="Q6" s="472"/>
      <c r="R6" s="472"/>
      <c r="S6" s="472"/>
      <c r="T6" s="472"/>
      <c r="U6" s="472"/>
      <c r="V6" s="472"/>
      <c r="W6" s="472"/>
      <c r="X6" s="472"/>
      <c r="Y6" s="472"/>
    </row>
    <row r="7" spans="1:25" ht="15" customHeight="1" x14ac:dyDescent="0.25">
      <c r="A7" s="463"/>
      <c r="B7" s="906" t="s">
        <v>12651</v>
      </c>
      <c r="C7" s="906"/>
      <c r="D7" s="907" t="s">
        <v>12652</v>
      </c>
      <c r="E7" s="908" t="s">
        <v>552</v>
      </c>
      <c r="F7" s="909" t="s">
        <v>12653</v>
      </c>
      <c r="G7" s="910" t="s">
        <v>12654</v>
      </c>
      <c r="H7" s="911" t="s">
        <v>12655</v>
      </c>
      <c r="I7" s="912" t="s">
        <v>12656</v>
      </c>
      <c r="J7" s="912"/>
      <c r="K7" s="912"/>
      <c r="L7" s="913" t="s">
        <v>12657</v>
      </c>
      <c r="M7" s="471"/>
      <c r="Q7" s="472"/>
      <c r="R7" s="472"/>
      <c r="S7" s="472"/>
      <c r="T7" s="472"/>
      <c r="U7" s="472"/>
      <c r="V7" s="472"/>
      <c r="W7" s="472"/>
      <c r="X7" s="472"/>
      <c r="Y7" s="472"/>
    </row>
    <row r="8" spans="1:25" ht="25.5" x14ac:dyDescent="0.25">
      <c r="A8" s="463"/>
      <c r="B8" s="487" t="s">
        <v>12658</v>
      </c>
      <c r="C8" s="488" t="s">
        <v>12659</v>
      </c>
      <c r="D8" s="907"/>
      <c r="E8" s="907"/>
      <c r="F8" s="907"/>
      <c r="G8" s="907"/>
      <c r="H8" s="907"/>
      <c r="I8" s="489" t="s">
        <v>12660</v>
      </c>
      <c r="J8" s="489" t="s">
        <v>557</v>
      </c>
      <c r="K8" s="489" t="s">
        <v>558</v>
      </c>
      <c r="L8" s="913"/>
      <c r="M8" s="471"/>
      <c r="Q8" s="472"/>
      <c r="R8" s="472"/>
      <c r="S8" s="472"/>
      <c r="T8" s="472"/>
      <c r="U8" s="472"/>
      <c r="V8" s="472"/>
      <c r="W8" s="472"/>
      <c r="X8" s="472"/>
      <c r="Y8" s="472"/>
    </row>
    <row r="9" spans="1:25" x14ac:dyDescent="0.25">
      <c r="A9" s="463"/>
      <c r="B9" s="490"/>
      <c r="C9" s="491"/>
      <c r="D9" s="492"/>
      <c r="E9" s="493"/>
      <c r="F9" s="493"/>
      <c r="G9" s="494"/>
      <c r="H9" s="495"/>
      <c r="I9" s="496"/>
      <c r="J9" s="496"/>
      <c r="K9" s="496"/>
      <c r="L9" s="497"/>
      <c r="M9" s="471"/>
      <c r="Q9" s="472"/>
      <c r="R9" s="472"/>
      <c r="S9" s="472"/>
      <c r="T9" s="472"/>
      <c r="U9" s="472"/>
      <c r="V9" s="472"/>
      <c r="W9" s="472"/>
      <c r="X9" s="472"/>
      <c r="Y9" s="472"/>
    </row>
    <row r="10" spans="1:25" ht="24" x14ac:dyDescent="0.25">
      <c r="A10" s="463"/>
      <c r="B10" s="498"/>
      <c r="C10" s="498"/>
      <c r="D10" s="499" t="s">
        <v>12058</v>
      </c>
      <c r="E10" s="500" t="s">
        <v>12661</v>
      </c>
      <c r="F10" s="501" t="s">
        <v>580</v>
      </c>
      <c r="G10" s="502"/>
      <c r="H10" s="503"/>
      <c r="I10" s="504">
        <f>ROUND(SUM(I11:I14),2)</f>
        <v>319.47000000000003</v>
      </c>
      <c r="J10" s="504">
        <f>ROUND(SUM(J11:J14),2)</f>
        <v>15.03</v>
      </c>
      <c r="K10" s="504">
        <f>+J10+I10</f>
        <v>334.5</v>
      </c>
      <c r="L10" s="499" t="s">
        <v>12662</v>
      </c>
      <c r="M10" s="471"/>
      <c r="N10" s="505"/>
      <c r="Q10" s="472"/>
      <c r="R10" s="472"/>
      <c r="S10" s="472"/>
      <c r="T10" s="472"/>
      <c r="U10" s="472"/>
      <c r="V10" s="472"/>
      <c r="W10" s="472"/>
      <c r="X10" s="472"/>
      <c r="Y10" s="472"/>
    </row>
    <row r="11" spans="1:25" x14ac:dyDescent="0.25">
      <c r="A11" s="463"/>
      <c r="B11" s="506"/>
      <c r="C11" s="507">
        <v>3148</v>
      </c>
      <c r="D11" s="508"/>
      <c r="E11" s="509" t="str">
        <f>IF($C11="",IFERROR(VLOOKUP($B11,SERVIÇOS!$B:$G,2,0),IFERROR(VLOOKUP($B11,$D:$K,2,0),"")),IFERROR(VLOOKUP($C11,INSUMOS!$A:$D,2,0),IFERROR(VLOOKUP($C11,COTAÇÕES!$B:$I,2,0),(VLOOKUP($C11,'INSUMO SINAPI - SP'!$C:$F,2,0)))))</f>
        <v>FITA VEDA ROSCA, EM PTFE, ROLO DE 18 MM X 50 M (L X C)</v>
      </c>
      <c r="F11" s="510" t="str">
        <f>IF($C11="",IFERROR(VLOOKUP($B11,SERVIÇOS!$B:$G,3,0),IFERROR(VLOOKUP($B11,$D:$K,3,0),"")),IFERROR(VLOOKUP($C11,INSUMOS!$A:$D,3,0),IFERROR(VLOOKUP($C11,COTAÇÕES!$B:$I,3,0),(VLOOKUP($C11,'INSUMO SINAPI - SP'!$C:$F,3,0)))))</f>
        <v>UN</v>
      </c>
      <c r="G11" s="511">
        <v>2.1000000000000001E-2</v>
      </c>
      <c r="H11" s="512">
        <f>IF($C11="",IFERROR(VLOOKUP($B11,SERVIÇOS!$B:$G,6,0),IFERROR(VLOOKUP($B11,$D:$K,8,0),"")),IFERROR(VLOOKUP($C11,INSUMOS!$A:$D,4,0),IFERROR(VLOOKUP($C11,COTAÇÕES!$B:$I,7,0),(VLOOKUP($C11,'INSUMO SINAPI - SP'!$C:$F,4,0)))))</f>
        <v>19.36</v>
      </c>
      <c r="I11" s="513">
        <f>TRUNC(IF($C11="",IFERROR(VLOOKUP($B11,SERVIÇOS!$B:$G,4,0),IFERROR(VLOOKUP($B11,$D:$K,6,0),)),IFERROR(VLOOKUP($C11,INSUMOS!$A:$D,4,0),IFERROR(VLOOKUP($C11,COTAÇÕES!$B:$I,7,0),(VLOOKUP($C11,'INSUMO SINAPI - SP'!$C:$F,4,0)))))*$G11,2)</f>
        <v>0.4</v>
      </c>
      <c r="J11" s="513">
        <f>TRUNC(IF($C11="",IFERROR(VLOOKUP($B11,SERVIÇOS!$B:$G,5,0),IFERROR(VLOOKUP($B11,$D:$K,7,0),)),0)*$G11,2)</f>
        <v>0</v>
      </c>
      <c r="K11" s="514">
        <f>I11+J11</f>
        <v>0.4</v>
      </c>
      <c r="L11" s="515"/>
      <c r="M11" s="471"/>
      <c r="N11" s="516"/>
      <c r="Q11" s="472"/>
      <c r="R11" s="472"/>
      <c r="S11" s="472"/>
      <c r="T11" s="472"/>
      <c r="U11" s="472"/>
      <c r="V11" s="472"/>
      <c r="W11" s="472"/>
      <c r="X11" s="472"/>
      <c r="Y11" s="472"/>
    </row>
    <row r="12" spans="1:25" x14ac:dyDescent="0.25">
      <c r="A12" s="463"/>
      <c r="B12" s="506"/>
      <c r="C12" s="507">
        <v>1367</v>
      </c>
      <c r="D12" s="508"/>
      <c r="E12" s="509" t="str">
        <f>IF($C12="",IFERROR(VLOOKUP($B12,SERVIÇOS!$B:$G,2,0),IFERROR(VLOOKUP($B12,$D:$K,2,0),"")),IFERROR(VLOOKUP($C12,INSUMOS!$A:$D,2,0),IFERROR(VLOOKUP($C12,COTAÇÕES!$B:$I,2,0),(VLOOKUP($C12,'INSUMO SINAPI - SP'!$C:$F,2,0)))))</f>
        <v>CHUVEIRO COMUM EM PLASTICO CROMADO, COM CANO, 4 TEMPERATURAS (110/220 V)</v>
      </c>
      <c r="F12" s="510" t="str">
        <f>IF($C12="",IFERROR(VLOOKUP($B12,SERVIÇOS!$B:$G,3,0),IFERROR(VLOOKUP($B12,$D:$K,3,0),"")),IFERROR(VLOOKUP($C12,INSUMOS!$A:$D,3,0),IFERROR(VLOOKUP($C12,COTAÇÕES!$B:$I,3,0),(VLOOKUP($C12,'INSUMO SINAPI - SP'!$C:$F,3,0)))))</f>
        <v>UN</v>
      </c>
      <c r="G12" s="511">
        <v>1</v>
      </c>
      <c r="H12" s="512">
        <f>IF($C12="",IFERROR(VLOOKUP($B12,SERVIÇOS!$B:$G,6,0),IFERROR(VLOOKUP($B12,$D:$K,8,0),"")),IFERROR(VLOOKUP($C12,INSUMOS!$A:$D,4,0),IFERROR(VLOOKUP($C12,COTAÇÕES!$B:$I,7,0),(VLOOKUP($C12,'INSUMO SINAPI - SP'!$C:$F,4,0)))))</f>
        <v>313.93</v>
      </c>
      <c r="I12" s="513">
        <f>TRUNC(IF($C12="",IFERROR(VLOOKUP($B12,SERVIÇOS!$B:$G,4,0),IFERROR(VLOOKUP($B12,$D:$K,6,0),)),IFERROR(VLOOKUP($C12,INSUMOS!$A:$D,4,0),IFERROR(VLOOKUP($C12,COTAÇÕES!$B:$I,7,0),(VLOOKUP($C12,'INSUMO SINAPI - SP'!$C:$F,4,0)))))*$G12,2)</f>
        <v>313.93</v>
      </c>
      <c r="J12" s="513">
        <f>TRUNC(IF($C12="",IFERROR(VLOOKUP($B12,SERVIÇOS!$B:$G,5,0),IFERROR(VLOOKUP($B12,$D:$K,7,0),)),0)*$G12,2)</f>
        <v>0</v>
      </c>
      <c r="K12" s="514">
        <f>I12+J12</f>
        <v>313.93</v>
      </c>
      <c r="L12" s="517"/>
      <c r="M12" s="471"/>
      <c r="N12" s="516"/>
      <c r="Q12" s="472"/>
      <c r="R12" s="472"/>
      <c r="S12" s="472"/>
      <c r="T12" s="472"/>
      <c r="U12" s="472"/>
      <c r="V12" s="472"/>
      <c r="W12" s="472"/>
      <c r="X12" s="472"/>
      <c r="Y12" s="472"/>
    </row>
    <row r="13" spans="1:25" x14ac:dyDescent="0.25">
      <c r="A13" s="463"/>
      <c r="B13" s="506">
        <v>88267</v>
      </c>
      <c r="C13" s="507"/>
      <c r="D13" s="508"/>
      <c r="E13" s="509" t="str">
        <f>IF($C13="",IFERROR(VLOOKUP($B13,SERVIÇOS!$B:$G,2,0),IFERROR(VLOOKUP($B13,$D:$K,2,0),"")),IFERROR(VLOOKUP($C13,INSUMOS!$A:$D,2,0),IFERROR(VLOOKUP($C13,COTAÇÕES!$B:$I,2,0),(VLOOKUP($C13,'INSUMO SINAPI - SP'!$C:$F,2,0)))))</f>
        <v>ENCANADOR OU BOMBEIRO HIDRÁULICO COM ENCARGOS COMPLEMENTARES</v>
      </c>
      <c r="F13" s="510" t="str">
        <f>IF($C13="",IFERROR(VLOOKUP($B13,SERVIÇOS!$B:$G,3,0),IFERROR(VLOOKUP($B13,$D:$K,3,0),"")),IFERROR(VLOOKUP($C13,INSUMOS!$A:$D,3,0),IFERROR(VLOOKUP($C13,COTAÇÕES!$B:$I,3,0),(VLOOKUP($C13,'INSUMO SINAPI - SP'!$C:$F,3,0)))))</f>
        <v>H</v>
      </c>
      <c r="G13" s="511">
        <v>0.44669999999999999</v>
      </c>
      <c r="H13" s="512">
        <f>IF($C13="",IFERROR(VLOOKUP($B13,SERVIÇOS!$B:$G,6,0),IFERROR(VLOOKUP($B13,$D:$K,8,0),"")),IFERROR(VLOOKUP($C13,INSUMOS!$A:$D,4,0),IFERROR(VLOOKUP($C13,COTAÇÕES!$B:$I,7,0),(VLOOKUP($C13,'INSUMO SINAPI - SP'!$C:$F,4,0)))))</f>
        <v>36.17</v>
      </c>
      <c r="I13" s="513">
        <f>TRUNC(IF($C13="",IFERROR(VLOOKUP($B13,SERVIÇOS!$B:$G,4,0),IFERROR(VLOOKUP($B13,$D:$K,6,0),)),IFERROR(VLOOKUP($C13,INSUMOS!$A:$D,4,0),IFERROR(VLOOKUP($C13,COTAÇÕES!$B:$I,7,0),(VLOOKUP($C13,'INSUMO SINAPI - SP'!$C:$F,4,0)))))*$G13,2)</f>
        <v>3.85</v>
      </c>
      <c r="J13" s="513">
        <f>TRUNC(IF($C13="",IFERROR(VLOOKUP($B13,SERVIÇOS!$B:$G,5,0),IFERROR(VLOOKUP($B13,$D:$K,7,0),)),0)*$G13,2)</f>
        <v>12.29</v>
      </c>
      <c r="K13" s="514">
        <f>I13+J13</f>
        <v>16.14</v>
      </c>
      <c r="L13" s="515"/>
      <c r="M13" s="471"/>
      <c r="N13" s="516"/>
      <c r="Q13" s="472"/>
      <c r="R13" s="472"/>
      <c r="S13" s="472"/>
      <c r="T13" s="472"/>
      <c r="U13" s="472"/>
      <c r="V13" s="472"/>
      <c r="W13" s="472"/>
      <c r="X13" s="472"/>
      <c r="Y13" s="472"/>
    </row>
    <row r="14" spans="1:25" x14ac:dyDescent="0.25">
      <c r="A14" s="463"/>
      <c r="B14" s="506">
        <v>88316</v>
      </c>
      <c r="C14" s="507"/>
      <c r="D14" s="508"/>
      <c r="E14" s="509" t="str">
        <f>IF($C14="",IFERROR(VLOOKUP($B14,SERVIÇOS!$B:$G,2,0),IFERROR(VLOOKUP($B14,$D:$K,2,0),"")),IFERROR(VLOOKUP($C14,INSUMOS!$A:$D,2,0),IFERROR(VLOOKUP($C14,COTAÇÕES!$B:$I,2,0),(VLOOKUP($C14,'INSUMO SINAPI - SP'!$C:$F,2,0)))))</f>
        <v>SERVENTE COM ENCARGOS COMPLEMENTARES</v>
      </c>
      <c r="F14" s="510" t="str">
        <f>IF($C14="",IFERROR(VLOOKUP($B14,SERVIÇOS!$B:$G,3,0),IFERROR(VLOOKUP($B14,$D:$K,3,0),"")),IFERROR(VLOOKUP($C14,INSUMOS!$A:$D,3,0),IFERROR(VLOOKUP($C14,COTAÇÕES!$B:$I,3,0),(VLOOKUP($C14,'INSUMO SINAPI - SP'!$C:$F,3,0)))))</f>
        <v>H</v>
      </c>
      <c r="G14" s="511">
        <v>0.14069999999999999</v>
      </c>
      <c r="H14" s="512">
        <f>IF($C14="",IFERROR(VLOOKUP($B14,SERVIÇOS!$B:$G,6,0),IFERROR(VLOOKUP($B14,$D:$K,8,0),"")),IFERROR(VLOOKUP($C14,INSUMOS!$A:$D,4,0),IFERROR(VLOOKUP($C14,COTAÇÕES!$B:$I,7,0),(VLOOKUP($C14,'INSUMO SINAPI - SP'!$C:$F,4,0)))))</f>
        <v>28.71</v>
      </c>
      <c r="I14" s="513">
        <f>TRUNC(IF($C14="",IFERROR(VLOOKUP($B14,SERVIÇOS!$B:$G,4,0),IFERROR(VLOOKUP($B14,$D:$K,6,0),)),IFERROR(VLOOKUP($C14,INSUMOS!$A:$D,4,0),IFERROR(VLOOKUP($C14,COTAÇÕES!$B:$I,7,0),(VLOOKUP($C14,'INSUMO SINAPI - SP'!$C:$F,4,0)))))*$G14,2)</f>
        <v>1.29</v>
      </c>
      <c r="J14" s="513">
        <f>TRUNC(IF($C14="",IFERROR(VLOOKUP($B14,SERVIÇOS!$B:$G,5,0),IFERROR(VLOOKUP($B14,$D:$K,7,0),)),0)*$G14,2)</f>
        <v>2.74</v>
      </c>
      <c r="K14" s="514">
        <f>I14+J14</f>
        <v>4.03</v>
      </c>
      <c r="L14" s="515"/>
      <c r="M14" s="471"/>
      <c r="N14" s="516"/>
      <c r="Q14" s="472"/>
      <c r="R14" s="472"/>
      <c r="S14" s="472"/>
      <c r="T14" s="472"/>
      <c r="U14" s="472"/>
      <c r="V14" s="472"/>
      <c r="W14" s="472"/>
      <c r="X14" s="472"/>
      <c r="Y14" s="472"/>
    </row>
    <row r="15" spans="1:25" ht="24" x14ac:dyDescent="0.25">
      <c r="A15" s="463"/>
      <c r="B15" s="498"/>
      <c r="C15" s="498"/>
      <c r="D15" s="499" t="s">
        <v>12055</v>
      </c>
      <c r="E15" s="500" t="s">
        <v>12663</v>
      </c>
      <c r="F15" s="501" t="s">
        <v>580</v>
      </c>
      <c r="G15" s="502"/>
      <c r="H15" s="503"/>
      <c r="I15" s="504">
        <f>ROUND(SUM(I16:I21),2)</f>
        <v>593.34</v>
      </c>
      <c r="J15" s="504">
        <f>ROUND(SUM(J16:J21),2)</f>
        <v>33.79</v>
      </c>
      <c r="K15" s="504">
        <f>+J15+I15</f>
        <v>627.13</v>
      </c>
      <c r="L15" s="499" t="s">
        <v>12664</v>
      </c>
      <c r="M15" s="471"/>
      <c r="N15" s="505"/>
      <c r="Q15" s="472"/>
      <c r="R15" s="472"/>
      <c r="S15" s="472"/>
      <c r="T15" s="472"/>
      <c r="U15" s="472"/>
      <c r="V15" s="472"/>
      <c r="W15" s="472"/>
      <c r="X15" s="472"/>
      <c r="Y15" s="472"/>
    </row>
    <row r="16" spans="1:25" ht="24" x14ac:dyDescent="0.25">
      <c r="A16" s="463"/>
      <c r="B16" s="506"/>
      <c r="C16" s="507">
        <v>4351</v>
      </c>
      <c r="D16" s="508"/>
      <c r="E16" s="509" t="str">
        <f>IF($C16="",IFERROR(VLOOKUP($B16,SERVIÇOS!$B:$G,2,0),IFERROR(VLOOKUP($B16,$D:$K,2,0),"")),IFERROR(VLOOKUP($C16,INSUMOS!$A:$D,2,0),IFERROR(VLOOKUP($C16,COTAÇÕES!$B:$I,2,0),(VLOOKUP($C16,'INSUMO SINAPI - SP'!$C:$F,2,0)))))</f>
        <v>PARAFUSO NIQUELADO 3 1/2" COM ACABAMENTO CROMADO PARA FIXAR PECA SANITARIA, INCLUI PORCA CEGA, ARRUELA E BUCHA DE NYLON TAMANHO S-8</v>
      </c>
      <c r="F16" s="510" t="str">
        <f>IF($C16="",IFERROR(VLOOKUP($B16,SERVIÇOS!$B:$G,3,0),IFERROR(VLOOKUP($B16,$D:$K,3,0),"")),IFERROR(VLOOKUP($C16,INSUMOS!$A:$D,3,0),IFERROR(VLOOKUP($C16,COTAÇÕES!$B:$I,3,0),(VLOOKUP($C16,'INSUMO SINAPI - SP'!$C:$F,3,0)))))</f>
        <v>UN</v>
      </c>
      <c r="G16" s="511">
        <v>6</v>
      </c>
      <c r="H16" s="512">
        <f>IF($C16="",IFERROR(VLOOKUP($B16,SERVIÇOS!$B:$G,6,0),IFERROR(VLOOKUP($B16,$D:$K,8,0),"")),IFERROR(VLOOKUP($C16,INSUMOS!$A:$D,4,0),IFERROR(VLOOKUP($C16,COTAÇÕES!$B:$I,7,0),(VLOOKUP($C16,'INSUMO SINAPI - SP'!$C:$F,4,0)))))</f>
        <v>15.02</v>
      </c>
      <c r="I16" s="513">
        <f>TRUNC(IF($C16="",IFERROR(VLOOKUP($B16,SERVIÇOS!$B:$G,4,0),IFERROR(VLOOKUP($B16,$D:$K,6,0),)),IFERROR(VLOOKUP($C16,INSUMOS!$A:$D,4,0),IFERROR(VLOOKUP($C16,COTAÇÕES!$B:$I,7,0),(VLOOKUP($C16,'INSUMO SINAPI - SP'!$C:$F,4,0)))))*$G16,2)</f>
        <v>90.12</v>
      </c>
      <c r="J16" s="513">
        <f>TRUNC(IF($C16="",IFERROR(VLOOKUP($B16,SERVIÇOS!$B:$G,5,0),IFERROR(VLOOKUP($B16,$D:$K,7,0),)),0)*$G16,2)</f>
        <v>0</v>
      </c>
      <c r="K16" s="514">
        <f t="shared" ref="K16:K21" si="0">I16+J16</f>
        <v>90.12</v>
      </c>
      <c r="L16" s="517"/>
      <c r="M16" s="471"/>
      <c r="N16" s="516"/>
      <c r="Q16" s="472"/>
      <c r="R16" s="472"/>
      <c r="S16" s="472"/>
      <c r="T16" s="472"/>
      <c r="U16" s="472"/>
      <c r="V16" s="472"/>
      <c r="W16" s="472"/>
      <c r="X16" s="472"/>
      <c r="Y16" s="472"/>
    </row>
    <row r="17" spans="1:25" x14ac:dyDescent="0.25">
      <c r="A17" s="463"/>
      <c r="B17" s="506"/>
      <c r="C17" s="507" t="s">
        <v>12665</v>
      </c>
      <c r="D17" s="508"/>
      <c r="E17" s="518" t="s">
        <v>12666</v>
      </c>
      <c r="F17" s="519" t="s">
        <v>12667</v>
      </c>
      <c r="G17" s="511">
        <v>1</v>
      </c>
      <c r="H17" s="520">
        <v>324.89999999999998</v>
      </c>
      <c r="I17" s="520">
        <f>TRUNC(H17*G17,2)</f>
        <v>324.89999999999998</v>
      </c>
      <c r="J17" s="521"/>
      <c r="K17" s="522">
        <f t="shared" si="0"/>
        <v>324.89999999999998</v>
      </c>
      <c r="L17" s="517" t="s">
        <v>12668</v>
      </c>
      <c r="M17" s="471"/>
      <c r="N17" s="516"/>
      <c r="Q17" s="472"/>
      <c r="R17" s="472"/>
      <c r="S17" s="472"/>
      <c r="T17" s="472"/>
      <c r="U17" s="472"/>
      <c r="V17" s="472"/>
      <c r="W17" s="472"/>
      <c r="X17" s="472"/>
      <c r="Y17" s="472"/>
    </row>
    <row r="18" spans="1:25" ht="24" x14ac:dyDescent="0.25">
      <c r="A18" s="463"/>
      <c r="B18" s="506"/>
      <c r="C18" s="507" t="s">
        <v>12669</v>
      </c>
      <c r="D18" s="508"/>
      <c r="E18" s="518" t="s">
        <v>12670</v>
      </c>
      <c r="F18" s="519" t="s">
        <v>12667</v>
      </c>
      <c r="G18" s="511">
        <v>1</v>
      </c>
      <c r="H18" s="520">
        <v>154.4</v>
      </c>
      <c r="I18" s="520">
        <f>TRUNC(H18*G18,2)</f>
        <v>154.4</v>
      </c>
      <c r="J18" s="521"/>
      <c r="K18" s="522">
        <f t="shared" si="0"/>
        <v>154.4</v>
      </c>
      <c r="L18" s="517" t="s">
        <v>12668</v>
      </c>
      <c r="M18" s="471"/>
      <c r="N18" s="516"/>
      <c r="Q18" s="472"/>
      <c r="R18" s="472"/>
      <c r="S18" s="472"/>
      <c r="T18" s="472"/>
      <c r="U18" s="472"/>
      <c r="V18" s="472"/>
      <c r="W18" s="472"/>
      <c r="X18" s="472"/>
      <c r="Y18" s="472"/>
    </row>
    <row r="19" spans="1:25" x14ac:dyDescent="0.25">
      <c r="A19" s="463"/>
      <c r="B19" s="506"/>
      <c r="C19" s="507">
        <v>37329</v>
      </c>
      <c r="D19" s="508"/>
      <c r="E19" s="509" t="str">
        <f>IF($C19="",IFERROR(VLOOKUP($B19,SERVIÇOS!$B:$G,2,0),IFERROR(VLOOKUP($B19,$D:$K,2,0),"")),IFERROR(VLOOKUP($C19,INSUMOS!$A:$D,2,0),IFERROR(VLOOKUP($C19,COTAÇÕES!$B:$I,2,0),(VLOOKUP($C19,'INSUMO SINAPI - SP'!$C:$F,2,0)))))</f>
        <v>REJUNTE EPOXI, QUALQUER COR</v>
      </c>
      <c r="F19" s="510" t="str">
        <f>IF($C19="",IFERROR(VLOOKUP($B19,SERVIÇOS!$B:$G,3,0),IFERROR(VLOOKUP($B19,$D:$K,3,0),"")),IFERROR(VLOOKUP($C19,INSUMOS!$A:$D,3,0),IFERROR(VLOOKUP($C19,COTAÇÕES!$B:$I,3,0),(VLOOKUP($C19,'INSUMO SINAPI - SP'!$C:$F,3,0)))))</f>
        <v>KG</v>
      </c>
      <c r="G19" s="511">
        <v>0.12740000000000001</v>
      </c>
      <c r="H19" s="512">
        <f>IF($C19="",IFERROR(VLOOKUP($B19,SERVIÇOS!$B:$G,6,0),IFERROR(VLOOKUP($B19,$D:$K,8,0),"")),IFERROR(VLOOKUP($C19,INSUMOS!$A:$D,4,0),IFERROR(VLOOKUP($C19,COTAÇÕES!$B:$I,7,0),(VLOOKUP($C19,'INSUMO SINAPI - SP'!$C:$F,4,0)))))</f>
        <v>92.75</v>
      </c>
      <c r="I19" s="513">
        <f>TRUNC(IF($C19="",IFERROR(VLOOKUP($B19,SERVIÇOS!$B:$G,4,0),IFERROR(VLOOKUP($B19,$D:$K,6,0),)),IFERROR(VLOOKUP($C19,INSUMOS!$A:$D,4,0),IFERROR(VLOOKUP($C19,COTAÇÕES!$B:$I,7,0),(VLOOKUP($C19,'INSUMO SINAPI - SP'!$C:$F,4,0)))))*$G19,2)</f>
        <v>11.81</v>
      </c>
      <c r="J19" s="513">
        <f>TRUNC(IF($C19="",IFERROR(VLOOKUP($B19,SERVIÇOS!$B:$G,5,0),IFERROR(VLOOKUP($B19,$D:$K,7,0),)),0)*$G19,2)</f>
        <v>0</v>
      </c>
      <c r="K19" s="514">
        <f t="shared" si="0"/>
        <v>11.81</v>
      </c>
      <c r="L19" s="517"/>
      <c r="M19" s="471"/>
      <c r="N19" s="516"/>
      <c r="Q19" s="472"/>
      <c r="R19" s="472"/>
      <c r="S19" s="472"/>
      <c r="T19" s="472"/>
      <c r="U19" s="472"/>
      <c r="V19" s="472"/>
      <c r="W19" s="472"/>
      <c r="X19" s="472"/>
      <c r="Y19" s="472"/>
    </row>
    <row r="20" spans="1:25" x14ac:dyDescent="0.25">
      <c r="A20" s="463"/>
      <c r="B20" s="506">
        <v>88267</v>
      </c>
      <c r="C20" s="507"/>
      <c r="D20" s="508"/>
      <c r="E20" s="509" t="str">
        <f>IF($C20="",IFERROR(VLOOKUP($B20,SERVIÇOS!$B:$G,2,0),IFERROR(VLOOKUP($B20,$D:$K,2,0),"")),IFERROR(VLOOKUP($C20,INSUMOS!$A:$D,2,0),IFERROR(VLOOKUP($C20,COTAÇÕES!$B:$I,2,0),(VLOOKUP($C20,'INSUMO SINAPI - SP'!$C:$F,2,0)))))</f>
        <v>ENCANADOR OU BOMBEIRO HIDRÁULICO COM ENCARGOS COMPLEMENTARES</v>
      </c>
      <c r="F20" s="510" t="str">
        <f>IF($C20="",IFERROR(VLOOKUP($B20,SERVIÇOS!$B:$G,3,0),IFERROR(VLOOKUP($B20,$D:$K,3,0),"")),IFERROR(VLOOKUP($C20,INSUMOS!$A:$D,3,0),IFERROR(VLOOKUP($C20,COTAÇÕES!$B:$I,3,0),(VLOOKUP($C20,'INSUMO SINAPI - SP'!$C:$F,3,0)))))</f>
        <v>H</v>
      </c>
      <c r="G20" s="511">
        <v>0.88</v>
      </c>
      <c r="H20" s="512">
        <f>IF($C20="",IFERROR(VLOOKUP($B20,SERVIÇOS!$B:$G,6,0),IFERROR(VLOOKUP($B20,$D:$K,8,0),"")),IFERROR(VLOOKUP($C20,INSUMOS!$A:$D,4,0),IFERROR(VLOOKUP($C20,COTAÇÕES!$B:$I,7,0),(VLOOKUP($C20,'INSUMO SINAPI - SP'!$C:$F,4,0)))))</f>
        <v>36.17</v>
      </c>
      <c r="I20" s="513">
        <f>TRUNC(IF($C20="",IFERROR(VLOOKUP($B20,SERVIÇOS!$B:$G,4,0),IFERROR(VLOOKUP($B20,$D:$K,6,0),)),IFERROR(VLOOKUP($C20,INSUMOS!$A:$D,4,0),IFERROR(VLOOKUP($C20,COTAÇÕES!$B:$I,7,0),(VLOOKUP($C20,'INSUMO SINAPI - SP'!$C:$F,4,0)))))*$G20,2)</f>
        <v>7.6</v>
      </c>
      <c r="J20" s="513">
        <f>TRUNC(IF($C20="",IFERROR(VLOOKUP($B20,SERVIÇOS!$B:$G,5,0),IFERROR(VLOOKUP($B20,$D:$K,7,0),)),0)*$G20,2)</f>
        <v>24.22</v>
      </c>
      <c r="K20" s="514">
        <f t="shared" si="0"/>
        <v>31.82</v>
      </c>
      <c r="L20" s="515"/>
      <c r="M20" s="471"/>
      <c r="N20" s="516"/>
      <c r="Q20" s="472"/>
      <c r="R20" s="472"/>
      <c r="S20" s="472"/>
      <c r="T20" s="472"/>
      <c r="U20" s="472"/>
      <c r="V20" s="472"/>
      <c r="W20" s="472"/>
      <c r="X20" s="472"/>
      <c r="Y20" s="472"/>
    </row>
    <row r="21" spans="1:25" x14ac:dyDescent="0.25">
      <c r="A21" s="463"/>
      <c r="B21" s="506">
        <v>88316</v>
      </c>
      <c r="C21" s="507"/>
      <c r="D21" s="508"/>
      <c r="E21" s="509" t="str">
        <f>IF($C21="",IFERROR(VLOOKUP($B21,SERVIÇOS!$B:$G,2,0),IFERROR(VLOOKUP($B21,$D:$K,2,0),"")),IFERROR(VLOOKUP($C21,INSUMOS!$A:$D,2,0),IFERROR(VLOOKUP($C21,COTAÇÕES!$B:$I,2,0),(VLOOKUP($C21,'INSUMO SINAPI - SP'!$C:$F,2,0)))))</f>
        <v>SERVENTE COM ENCARGOS COMPLEMENTARES</v>
      </c>
      <c r="F21" s="510" t="str">
        <f>IF($C21="",IFERROR(VLOOKUP($B21,SERVIÇOS!$B:$G,3,0),IFERROR(VLOOKUP($B21,$D:$K,3,0),"")),IFERROR(VLOOKUP($C21,INSUMOS!$A:$D,3,0),IFERROR(VLOOKUP($C21,COTAÇÕES!$B:$I,3,0),(VLOOKUP($C21,'INSUMO SINAPI - SP'!$C:$F,3,0)))))</f>
        <v>H</v>
      </c>
      <c r="G21" s="511">
        <v>0.49099999999999999</v>
      </c>
      <c r="H21" s="512">
        <f>IF($C21="",IFERROR(VLOOKUP($B21,SERVIÇOS!$B:$G,6,0),IFERROR(VLOOKUP($B21,$D:$K,8,0),"")),IFERROR(VLOOKUP($C21,INSUMOS!$A:$D,4,0),IFERROR(VLOOKUP($C21,COTAÇÕES!$B:$I,7,0),(VLOOKUP($C21,'INSUMO SINAPI - SP'!$C:$F,4,0)))))</f>
        <v>28.71</v>
      </c>
      <c r="I21" s="513">
        <f>TRUNC(IF($C21="",IFERROR(VLOOKUP($B21,SERVIÇOS!$B:$G,4,0),IFERROR(VLOOKUP($B21,$D:$K,6,0),)),IFERROR(VLOOKUP($C21,INSUMOS!$A:$D,4,0),IFERROR(VLOOKUP($C21,COTAÇÕES!$B:$I,7,0),(VLOOKUP($C21,'INSUMO SINAPI - SP'!$C:$F,4,0)))))*$G21,2)</f>
        <v>4.51</v>
      </c>
      <c r="J21" s="513">
        <f>TRUNC(IF($C21="",IFERROR(VLOOKUP($B21,SERVIÇOS!$B:$G,5,0),IFERROR(VLOOKUP($B21,$D:$K,7,0),)),0)*$G21,2)</f>
        <v>9.57</v>
      </c>
      <c r="K21" s="514">
        <f t="shared" si="0"/>
        <v>14.08</v>
      </c>
      <c r="L21" s="515"/>
      <c r="M21" s="471"/>
      <c r="N21" s="516"/>
      <c r="Q21" s="472"/>
      <c r="R21" s="472"/>
      <c r="S21" s="472"/>
      <c r="T21" s="472"/>
      <c r="U21" s="472"/>
      <c r="V21" s="472"/>
      <c r="W21" s="472"/>
      <c r="X21" s="472"/>
      <c r="Y21" s="472"/>
    </row>
    <row r="22" spans="1:25" ht="36" x14ac:dyDescent="0.25">
      <c r="A22" s="463"/>
      <c r="B22" s="498"/>
      <c r="C22" s="498"/>
      <c r="D22" s="499" t="s">
        <v>11989</v>
      </c>
      <c r="E22" s="500" t="s">
        <v>12671</v>
      </c>
      <c r="F22" s="501" t="s">
        <v>578</v>
      </c>
      <c r="G22" s="502"/>
      <c r="H22" s="503"/>
      <c r="I22" s="504">
        <f>ROUND(SUM(I23:I25),2)</f>
        <v>364.23</v>
      </c>
      <c r="J22" s="504">
        <f>ROUND(SUM(J23:J25),2)</f>
        <v>19.77</v>
      </c>
      <c r="K22" s="504">
        <f>+J22+I22</f>
        <v>384</v>
      </c>
      <c r="L22" s="499" t="s">
        <v>12672</v>
      </c>
      <c r="M22" s="471"/>
      <c r="N22" s="505"/>
      <c r="Q22" s="472"/>
      <c r="R22" s="472"/>
      <c r="S22" s="472"/>
      <c r="T22" s="472"/>
      <c r="U22" s="472"/>
      <c r="V22" s="472"/>
      <c r="W22" s="472"/>
      <c r="X22" s="472"/>
      <c r="Y22" s="472"/>
    </row>
    <row r="23" spans="1:25" ht="24" x14ac:dyDescent="0.25">
      <c r="A23" s="463"/>
      <c r="B23" s="506"/>
      <c r="C23" s="507">
        <v>10841</v>
      </c>
      <c r="D23" s="508"/>
      <c r="E23" s="509" t="str">
        <f>IF($C23="",IFERROR(VLOOKUP($B23,SERVIÇOS!$B:$G,2,0),IFERROR(VLOOKUP($B23,$D:$K,2,0),"")),IFERROR(VLOOKUP($C23,INSUMOS!$A:$D,2,0),IFERROR(VLOOKUP($C23,COTAÇÕES!$B:$I,2,0),(VLOOKUP($C23,'INSUMO SINAPI - SP'!$C:$F,2,0)))))</f>
        <v>PISO EM GRANITO, POLIDO, TIPO ANDORINHA/ QUARTZ/ CASTELO/ CORUMBA OU OUTROS EQUIVALENTES DA REGIAO, FORMATO MENOR OU IGUAL A 3025 CM2, E= *2* CM</v>
      </c>
      <c r="F23" s="510" t="str">
        <f>IF($C23="",IFERROR(VLOOKUP($B23,SERVIÇOS!$B:$G,3,0),IFERROR(VLOOKUP($B23,$D:$K,3,0),"")),IFERROR(VLOOKUP($C23,INSUMOS!$A:$D,3,0),IFERROR(VLOOKUP($C23,COTAÇÕES!$B:$I,3,0),(VLOOKUP($C23,'INSUMO SINAPI - SP'!$C:$F,3,0)))))</f>
        <v>M2</v>
      </c>
      <c r="G23" s="511">
        <v>1.05</v>
      </c>
      <c r="H23" s="512">
        <f>IF($C23="",IFERROR(VLOOKUP($B23,SERVIÇOS!$B:$G,6,0),IFERROR(VLOOKUP($B23,$D:$K,8,0),"")),IFERROR(VLOOKUP($C23,INSUMOS!$A:$D,4,0),IFERROR(VLOOKUP($C23,COTAÇÕES!$B:$I,7,0),(VLOOKUP($C23,'INSUMO SINAPI - SP'!$C:$F,4,0)))))</f>
        <v>339.62</v>
      </c>
      <c r="I23" s="513">
        <f>TRUNC(IF($C23="",IFERROR(VLOOKUP($B23,SERVIÇOS!$B:$G,4,0),IFERROR(VLOOKUP($B23,$D:$K,6,0),)),IFERROR(VLOOKUP($C23,INSUMOS!$A:$D,4,0),IFERROR(VLOOKUP($C23,COTAÇÕES!$B:$I,7,0),(VLOOKUP($C23,'INSUMO SINAPI - SP'!$C:$F,4,0)))))*$G23,2)</f>
        <v>356.6</v>
      </c>
      <c r="J23" s="513">
        <f>TRUNC(IF($C23="",IFERROR(VLOOKUP($B23,SERVIÇOS!$B:$G,5,0),IFERROR(VLOOKUP($B23,$D:$K,7,0),)),0)*$G23,2)</f>
        <v>0</v>
      </c>
      <c r="K23" s="514">
        <f>I23+J23</f>
        <v>356.6</v>
      </c>
      <c r="L23" s="517"/>
      <c r="M23" s="471"/>
      <c r="N23" s="516"/>
      <c r="Q23" s="472"/>
      <c r="R23" s="472"/>
      <c r="S23" s="472"/>
      <c r="T23" s="472"/>
      <c r="U23" s="472"/>
      <c r="V23" s="472"/>
      <c r="W23" s="472"/>
      <c r="X23" s="472"/>
      <c r="Y23" s="472"/>
    </row>
    <row r="24" spans="1:25" ht="24" x14ac:dyDescent="0.25">
      <c r="A24" s="463"/>
      <c r="B24" s="506">
        <v>87373</v>
      </c>
      <c r="C24" s="507"/>
      <c r="D24" s="508"/>
      <c r="E24" s="509" t="str">
        <f>IF($C24="",IFERROR(VLOOKUP($B24,SERVIÇOS!$B:$G,2,0),IFERROR(VLOOKUP($B24,$D:$K,2,0),"")),IFERROR(VLOOKUP($C24,INSUMOS!$A:$D,2,0),IFERROR(VLOOKUP($C24,COTAÇÕES!$B:$I,2,0),(VLOOKUP($C24,'INSUMO SINAPI - SP'!$C:$F,2,0)))))</f>
        <v>ARGAMASSA TRAÇO 1:4 (EM VOLUME DE CIMENTO E AREIA MÉDIA ÚMIDA) PARA CONTRAPISO, PREPARO MANUAL. AF_08/2019</v>
      </c>
      <c r="F24" s="510" t="str">
        <f>IF($C24="",IFERROR(VLOOKUP($B24,SERVIÇOS!$B:$G,3,0),IFERROR(VLOOKUP($B24,$D:$K,3,0),"")),IFERROR(VLOOKUP($C24,INSUMOS!$A:$D,3,0),IFERROR(VLOOKUP($C24,COTAÇÕES!$B:$I,3,0),(VLOOKUP($C24,'INSUMO SINAPI - SP'!$C:$F,3,0)))))</f>
        <v>M3</v>
      </c>
      <c r="G24" s="511">
        <v>2E-3</v>
      </c>
      <c r="H24" s="512">
        <f>IF($C24="",IFERROR(VLOOKUP($B24,SERVIÇOS!$B:$G,6,0),IFERROR(VLOOKUP($B24,$D:$K,8,0),"")),IFERROR(VLOOKUP($C24,INSUMOS!$A:$D,4,0),IFERROR(VLOOKUP($C24,COTAÇÕES!$B:$I,7,0),(VLOOKUP($C24,'INSUMO SINAPI - SP'!$C:$F,4,0)))))</f>
        <v>786.24</v>
      </c>
      <c r="I24" s="513">
        <f>TRUNC(IF($C24="",IFERROR(VLOOKUP($B24,SERVIÇOS!$B:$G,4,0),IFERROR(VLOOKUP($B24,$D:$K,6,0),)),IFERROR(VLOOKUP($C24,INSUMOS!$A:$D,4,0),IFERROR(VLOOKUP($C24,COTAÇÕES!$B:$I,7,0),(VLOOKUP($C24,'INSUMO SINAPI - SP'!$C:$F,4,0)))))*$G24,2)</f>
        <v>1.1399999999999999</v>
      </c>
      <c r="J24" s="513">
        <f>TRUNC(IF($C24="",IFERROR(VLOOKUP($B24,SERVIÇOS!$B:$G,5,0),IFERROR(VLOOKUP($B24,$D:$K,7,0),)),0)*$G24,2)</f>
        <v>0.43</v>
      </c>
      <c r="K24" s="514">
        <f>I24+J24</f>
        <v>1.5699999999999998</v>
      </c>
      <c r="L24" s="515"/>
      <c r="M24" s="471"/>
      <c r="N24" s="516"/>
      <c r="Q24" s="472"/>
      <c r="R24" s="472"/>
      <c r="S24" s="472"/>
      <c r="T24" s="472"/>
      <c r="U24" s="472"/>
      <c r="V24" s="472"/>
      <c r="W24" s="472"/>
      <c r="X24" s="472"/>
      <c r="Y24" s="472"/>
    </row>
    <row r="25" spans="1:25" x14ac:dyDescent="0.25">
      <c r="A25" s="463"/>
      <c r="B25" s="506">
        <v>88309</v>
      </c>
      <c r="C25" s="507"/>
      <c r="D25" s="508"/>
      <c r="E25" s="509" t="str">
        <f>IF($C25="",IFERROR(VLOOKUP($B25,SERVIÇOS!$B:$G,2,0),IFERROR(VLOOKUP($B25,$D:$K,2,0),"")),IFERROR(VLOOKUP($C25,INSUMOS!$A:$D,2,0),IFERROR(VLOOKUP($C25,COTAÇÕES!$B:$I,2,0),(VLOOKUP($C25,'INSUMO SINAPI - SP'!$C:$F,2,0)))))</f>
        <v>PEDREIRO COM ENCARGOS COMPLEMENTARES</v>
      </c>
      <c r="F25" s="510" t="str">
        <f>IF($C25="",IFERROR(VLOOKUP($B25,SERVIÇOS!$B:$G,3,0),IFERROR(VLOOKUP($B25,$D:$K,3,0),"")),IFERROR(VLOOKUP($C25,INSUMOS!$A:$D,3,0),IFERROR(VLOOKUP($C25,COTAÇÕES!$B:$I,3,0),(VLOOKUP($C25,'INSUMO SINAPI - SP'!$C:$F,3,0)))))</f>
        <v>H</v>
      </c>
      <c r="G25" s="511">
        <v>0.7</v>
      </c>
      <c r="H25" s="512">
        <f>IF($C25="",IFERROR(VLOOKUP($B25,SERVIÇOS!$B:$G,6,0),IFERROR(VLOOKUP($B25,$D:$K,8,0),"")),IFERROR(VLOOKUP($C25,INSUMOS!$A:$D,4,0),IFERROR(VLOOKUP($C25,COTAÇÕES!$B:$I,7,0),(VLOOKUP($C25,'INSUMO SINAPI - SP'!$C:$F,4,0)))))</f>
        <v>36.909999999999997</v>
      </c>
      <c r="I25" s="513">
        <f>TRUNC(IF($C25="",IFERROR(VLOOKUP($B25,SERVIÇOS!$B:$G,4,0),IFERROR(VLOOKUP($B25,$D:$K,6,0),)),IFERROR(VLOOKUP($C25,INSUMOS!$A:$D,4,0),IFERROR(VLOOKUP($C25,COTAÇÕES!$B:$I,7,0),(VLOOKUP($C25,'INSUMO SINAPI - SP'!$C:$F,4,0)))))*$G25,2)</f>
        <v>6.49</v>
      </c>
      <c r="J25" s="513">
        <f>TRUNC(IF($C25="",IFERROR(VLOOKUP($B25,SERVIÇOS!$B:$G,5,0),IFERROR(VLOOKUP($B25,$D:$K,7,0),)),0)*$G25,2)</f>
        <v>19.34</v>
      </c>
      <c r="K25" s="514">
        <f>I25+J25</f>
        <v>25.83</v>
      </c>
      <c r="L25" s="515"/>
      <c r="M25" s="471"/>
      <c r="N25" s="516"/>
      <c r="Q25" s="472"/>
      <c r="R25" s="472"/>
      <c r="S25" s="472"/>
      <c r="T25" s="472"/>
      <c r="U25" s="472"/>
      <c r="V25" s="472"/>
      <c r="W25" s="472"/>
      <c r="X25" s="472"/>
      <c r="Y25" s="472"/>
    </row>
    <row r="26" spans="1:25" x14ac:dyDescent="0.25">
      <c r="A26" s="463"/>
      <c r="B26" s="498"/>
      <c r="C26" s="498"/>
      <c r="D26" s="499" t="s">
        <v>12030</v>
      </c>
      <c r="E26" s="500" t="s">
        <v>12673</v>
      </c>
      <c r="F26" s="501" t="s">
        <v>578</v>
      </c>
      <c r="G26" s="502"/>
      <c r="H26" s="503"/>
      <c r="I26" s="504">
        <f>ROUND(SUM(I27),2)</f>
        <v>1194.6600000000001</v>
      </c>
      <c r="J26" s="504">
        <f>ROUND(SUM(J27),2)</f>
        <v>0</v>
      </c>
      <c r="K26" s="504">
        <f>+J26+I26</f>
        <v>1194.6600000000001</v>
      </c>
      <c r="L26" s="499" t="s">
        <v>12674</v>
      </c>
      <c r="M26" s="471"/>
      <c r="N26" s="505"/>
      <c r="Q26" s="472"/>
      <c r="R26" s="472"/>
      <c r="S26" s="472"/>
      <c r="T26" s="472"/>
      <c r="U26" s="472"/>
      <c r="V26" s="472"/>
      <c r="W26" s="472"/>
      <c r="X26" s="472"/>
      <c r="Y26" s="472"/>
    </row>
    <row r="27" spans="1:25" ht="24" x14ac:dyDescent="0.25">
      <c r="A27" s="463"/>
      <c r="B27" s="506"/>
      <c r="C27" s="507" t="s">
        <v>12675</v>
      </c>
      <c r="D27" s="508"/>
      <c r="E27" s="518" t="s">
        <v>12676</v>
      </c>
      <c r="F27" s="519" t="s">
        <v>578</v>
      </c>
      <c r="G27" s="511">
        <v>1</v>
      </c>
      <c r="H27" s="520">
        <v>1194.6600000000001</v>
      </c>
      <c r="I27" s="520">
        <f>TRUNC(H27*G27,2)</f>
        <v>1194.6600000000001</v>
      </c>
      <c r="J27" s="521"/>
      <c r="K27" s="522">
        <f>I27+J27</f>
        <v>1194.6600000000001</v>
      </c>
      <c r="L27" s="517" t="s">
        <v>12677</v>
      </c>
      <c r="M27" s="471"/>
      <c r="N27" s="516"/>
      <c r="Q27" s="472"/>
      <c r="R27" s="472"/>
      <c r="S27" s="472"/>
      <c r="T27" s="472"/>
      <c r="U27" s="472"/>
      <c r="V27" s="472"/>
      <c r="W27" s="472"/>
      <c r="X27" s="472"/>
      <c r="Y27" s="472"/>
    </row>
    <row r="28" spans="1:25" ht="48" x14ac:dyDescent="0.25">
      <c r="A28" s="463"/>
      <c r="B28" s="498"/>
      <c r="C28" s="498"/>
      <c r="D28" s="499" t="s">
        <v>12511</v>
      </c>
      <c r="E28" s="500" t="s">
        <v>12678</v>
      </c>
      <c r="F28" s="501" t="s">
        <v>578</v>
      </c>
      <c r="G28" s="502"/>
      <c r="H28" s="503"/>
      <c r="I28" s="504">
        <f>ROUND(SUM(I29:I33),2)</f>
        <v>92.97</v>
      </c>
      <c r="J28" s="504">
        <f>ROUND(SUM(J29:J33),2)</f>
        <v>37.22</v>
      </c>
      <c r="K28" s="504">
        <f>+J28+I28</f>
        <v>130.19</v>
      </c>
      <c r="L28" s="499" t="s">
        <v>12679</v>
      </c>
      <c r="M28" s="471"/>
      <c r="N28" s="505"/>
      <c r="Q28" s="472"/>
      <c r="R28" s="472"/>
      <c r="S28" s="472"/>
      <c r="T28" s="472"/>
      <c r="U28" s="472"/>
      <c r="V28" s="472"/>
      <c r="W28" s="472"/>
      <c r="X28" s="472"/>
      <c r="Y28" s="472"/>
    </row>
    <row r="29" spans="1:25" x14ac:dyDescent="0.25">
      <c r="A29" s="463"/>
      <c r="B29" s="507">
        <v>88309</v>
      </c>
      <c r="C29" s="507"/>
      <c r="D29" s="508"/>
      <c r="E29" s="509" t="str">
        <f>IF($C29="",IFERROR(VLOOKUP($B29,SERVIÇOS!$B:$G,2,0),IFERROR(VLOOKUP($B29,$D:$K,2,0),"")),IFERROR(VLOOKUP($C29,INSUMOS!$A:$D,2,0),IFERROR(VLOOKUP($C29,COTAÇÕES!$B:$I,2,0),(VLOOKUP($C29,'INSUMO SINAPI - SP'!$C:$F,2,0)))))</f>
        <v>PEDREIRO COM ENCARGOS COMPLEMENTARES</v>
      </c>
      <c r="F29" s="510" t="str">
        <f>IF($C29="",IFERROR(VLOOKUP($B29,SERVIÇOS!$B:$G,3,0),IFERROR(VLOOKUP($B29,$D:$K,3,0),"")),IFERROR(VLOOKUP($C29,INSUMOS!$A:$D,3,0),IFERROR(VLOOKUP($C29,COTAÇÕES!$B:$I,3,0),(VLOOKUP($C29,'INSUMO SINAPI - SP'!$C:$F,3,0)))))</f>
        <v>H</v>
      </c>
      <c r="G29" s="511">
        <v>0.5</v>
      </c>
      <c r="H29" s="512">
        <f>IF($C29="",IFERROR(VLOOKUP($B29,SERVIÇOS!$B:$G,6,0),IFERROR(VLOOKUP($B29,$D:$K,8,0),"")),IFERROR(VLOOKUP($C29,INSUMOS!$A:$D,4,0),IFERROR(VLOOKUP($C29,COTAÇÕES!$B:$I,7,0),(VLOOKUP($C29,'INSUMO SINAPI - SP'!$C:$F,4,0)))))</f>
        <v>36.909999999999997</v>
      </c>
      <c r="I29" s="513">
        <f>TRUNC(IF($C29="",IFERROR(VLOOKUP($B29,SERVIÇOS!$B:$G,4,0),IFERROR(VLOOKUP($B29,$D:$K,6,0),)),IFERROR(VLOOKUP($C29,INSUMOS!$A:$D,4,0),IFERROR(VLOOKUP($C29,COTAÇÕES!$B:$I,7,0),(VLOOKUP($C29,'INSUMO SINAPI - SP'!$C:$F,4,0)))))*$G29,2)</f>
        <v>4.6399999999999997</v>
      </c>
      <c r="J29" s="513">
        <f>TRUNC(IF($C29="",IFERROR(VLOOKUP($B29,SERVIÇOS!$B:$G,5,0),IFERROR(VLOOKUP($B29,$D:$K,7,0),)),0)*$G29,2)</f>
        <v>13.81</v>
      </c>
      <c r="K29" s="514">
        <f>I29+J29</f>
        <v>18.45</v>
      </c>
      <c r="L29" s="515"/>
      <c r="M29" s="471"/>
      <c r="N29" s="516"/>
      <c r="Q29" s="472"/>
      <c r="R29" s="472"/>
      <c r="S29" s="472"/>
      <c r="T29" s="472"/>
      <c r="U29" s="472"/>
      <c r="V29" s="472"/>
      <c r="W29" s="472"/>
      <c r="X29" s="472"/>
      <c r="Y29" s="472"/>
    </row>
    <row r="30" spans="1:25" x14ac:dyDescent="0.25">
      <c r="A30" s="463"/>
      <c r="B30" s="507">
        <v>88316</v>
      </c>
      <c r="C30" s="507"/>
      <c r="D30" s="508"/>
      <c r="E30" s="509" t="str">
        <f>IF($C30="",IFERROR(VLOOKUP($B30,SERVIÇOS!$B:$G,2,0),IFERROR(VLOOKUP($B30,$D:$K,2,0),"")),IFERROR(VLOOKUP($C30,INSUMOS!$A:$D,2,0),IFERROR(VLOOKUP($C30,COTAÇÕES!$B:$I,2,0),(VLOOKUP($C30,'INSUMO SINAPI - SP'!$C:$F,2,0)))))</f>
        <v>SERVENTE COM ENCARGOS COMPLEMENTARES</v>
      </c>
      <c r="F30" s="510" t="str">
        <f>IF($C30="",IFERROR(VLOOKUP($B30,SERVIÇOS!$B:$G,3,0),IFERROR(VLOOKUP($B30,$D:$K,3,0),"")),IFERROR(VLOOKUP($C30,INSUMOS!$A:$D,3,0),IFERROR(VLOOKUP($C30,COTAÇÕES!$B:$I,3,0),(VLOOKUP($C30,'INSUMO SINAPI - SP'!$C:$F,3,0)))))</f>
        <v>H</v>
      </c>
      <c r="G30" s="511">
        <v>1.2</v>
      </c>
      <c r="H30" s="512">
        <f>IF($C30="",IFERROR(VLOOKUP($B30,SERVIÇOS!$B:$G,6,0),IFERROR(VLOOKUP($B30,$D:$K,8,0),"")),IFERROR(VLOOKUP($C30,INSUMOS!$A:$D,4,0),IFERROR(VLOOKUP($C30,COTAÇÕES!$B:$I,7,0),(VLOOKUP($C30,'INSUMO SINAPI - SP'!$C:$F,4,0)))))</f>
        <v>28.71</v>
      </c>
      <c r="I30" s="513">
        <f>TRUNC(IF($C30="",IFERROR(VLOOKUP($B30,SERVIÇOS!$B:$G,4,0),IFERROR(VLOOKUP($B30,$D:$K,6,0),)),IFERROR(VLOOKUP($C30,INSUMOS!$A:$D,4,0),IFERROR(VLOOKUP($C30,COTAÇÕES!$B:$I,7,0),(VLOOKUP($C30,'INSUMO SINAPI - SP'!$C:$F,4,0)))))*$G30,2)</f>
        <v>11.04</v>
      </c>
      <c r="J30" s="513">
        <f>TRUNC(IF($C30="",IFERROR(VLOOKUP($B30,SERVIÇOS!$B:$G,5,0),IFERROR(VLOOKUP($B30,$D:$K,7,0),)),0)*$G30,2)</f>
        <v>23.41</v>
      </c>
      <c r="K30" s="514">
        <f>I30+J30</f>
        <v>34.450000000000003</v>
      </c>
      <c r="L30" s="515"/>
      <c r="M30" s="471"/>
      <c r="N30" s="516"/>
      <c r="Q30" s="472"/>
      <c r="R30" s="472"/>
      <c r="S30" s="472"/>
      <c r="T30" s="472"/>
      <c r="U30" s="472"/>
      <c r="V30" s="472"/>
      <c r="W30" s="472"/>
      <c r="X30" s="472"/>
      <c r="Y30" s="472"/>
    </row>
    <row r="31" spans="1:25" ht="24" x14ac:dyDescent="0.25">
      <c r="A31" s="463"/>
      <c r="B31" s="507"/>
      <c r="C31" s="507">
        <v>38135</v>
      </c>
      <c r="D31" s="508"/>
      <c r="E31" s="509" t="str">
        <f>IF($C31="",IFERROR(VLOOKUP($B31,SERVIÇOS!$B:$G,2,0),IFERROR(VLOOKUP($B31,$D:$K,2,0),"")),IFERROR(VLOOKUP($C31,INSUMOS!$A:$D,2,0),IFERROR(VLOOKUP($C31,COTAÇÕES!$B:$I,2,0),(VLOOKUP($C31,'INSUMO SINAPI - SP'!$C:$F,2,0)))))</f>
        <v>PISO TATIL / PODOTATIL, LADRILHO HIDRAULICO / CONCRETO, *25 X 25* CM, E= *2,5* CM, PADRAO TATIL ALERTA OU DIRECIONAL, COR AMARELA</v>
      </c>
      <c r="F31" s="510" t="str">
        <f>IF($C31="",IFERROR(VLOOKUP($B31,SERVIÇOS!$B:$G,3,0),IFERROR(VLOOKUP($B31,$D:$K,3,0),"")),IFERROR(VLOOKUP($C31,INSUMOS!$A:$D,3,0),IFERROR(VLOOKUP($C31,COTAÇÕES!$B:$I,3,0),(VLOOKUP($C31,'INSUMO SINAPI - SP'!$C:$F,3,0)))))</f>
        <v>M2</v>
      </c>
      <c r="G31" s="511">
        <v>1.05</v>
      </c>
      <c r="H31" s="512">
        <f>IF($C31="",IFERROR(VLOOKUP($B31,SERVIÇOS!$B:$G,6,0),IFERROR(VLOOKUP($B31,$D:$K,8,0),"")),IFERROR(VLOOKUP($C31,INSUMOS!$A:$D,4,0),IFERROR(VLOOKUP($C31,COTAÇÕES!$B:$I,7,0),(VLOOKUP($C31,'INSUMO SINAPI - SP'!$C:$F,4,0)))))</f>
        <v>66.94</v>
      </c>
      <c r="I31" s="513">
        <f>TRUNC(IF($C31="",IFERROR(VLOOKUP($B31,SERVIÇOS!$B:$G,4,0),IFERROR(VLOOKUP($B31,$D:$K,6,0),)),IFERROR(VLOOKUP($C31,INSUMOS!$A:$D,4,0),IFERROR(VLOOKUP($C31,COTAÇÕES!$B:$I,7,0),(VLOOKUP($C31,'INSUMO SINAPI - SP'!$C:$F,4,0)))))*$G31,2)</f>
        <v>70.28</v>
      </c>
      <c r="J31" s="513">
        <f>TRUNC(IF($C31="",IFERROR(VLOOKUP($B31,SERVIÇOS!$B:$G,5,0),IFERROR(VLOOKUP($B31,$D:$K,7,0),)),0)*$G31,2)</f>
        <v>0</v>
      </c>
      <c r="K31" s="514">
        <f>I31+J31</f>
        <v>70.28</v>
      </c>
      <c r="L31" s="517"/>
      <c r="M31" s="471"/>
      <c r="N31" s="516"/>
      <c r="Q31" s="472"/>
      <c r="R31" s="472"/>
      <c r="S31" s="472"/>
      <c r="T31" s="472"/>
      <c r="U31" s="472"/>
      <c r="V31" s="472"/>
      <c r="W31" s="472"/>
      <c r="X31" s="472"/>
      <c r="Y31" s="472"/>
    </row>
    <row r="32" spans="1:25" x14ac:dyDescent="0.25">
      <c r="A32" s="463"/>
      <c r="B32" s="507"/>
      <c r="C32" s="507">
        <v>34357</v>
      </c>
      <c r="D32" s="508"/>
      <c r="E32" s="509" t="str">
        <f>IF($C32="",IFERROR(VLOOKUP($B32,SERVIÇOS!$B:$G,2,0),IFERROR(VLOOKUP($B32,$D:$K,2,0),"")),IFERROR(VLOOKUP($C32,INSUMOS!$A:$D,2,0),IFERROR(VLOOKUP($C32,COTAÇÕES!$B:$I,2,0),(VLOOKUP($C32,'INSUMO SINAPI - SP'!$C:$F,2,0)))))</f>
        <v>REJUNTE CIMENTICIO, QUALQUER COR</v>
      </c>
      <c r="F32" s="510" t="str">
        <f>IF($C32="",IFERROR(VLOOKUP($B32,SERVIÇOS!$B:$G,3,0),IFERROR(VLOOKUP($B32,$D:$K,3,0),"")),IFERROR(VLOOKUP($C32,INSUMOS!$A:$D,3,0),IFERROR(VLOOKUP($C32,COTAÇÕES!$B:$I,3,0),(VLOOKUP($C32,'INSUMO SINAPI - SP'!$C:$F,3,0)))))</f>
        <v>KG</v>
      </c>
      <c r="G32" s="511">
        <v>0.33</v>
      </c>
      <c r="H32" s="512">
        <f>IF($C32="",IFERROR(VLOOKUP($B32,SERVIÇOS!$B:$G,6,0),IFERROR(VLOOKUP($B32,$D:$K,8,0),"")),IFERROR(VLOOKUP($C32,INSUMOS!$A:$D,4,0),IFERROR(VLOOKUP($C32,COTAÇÕES!$B:$I,7,0),(VLOOKUP($C32,'INSUMO SINAPI - SP'!$C:$F,4,0)))))</f>
        <v>4.4000000000000004</v>
      </c>
      <c r="I32" s="513">
        <f>TRUNC(IF($C32="",IFERROR(VLOOKUP($B32,SERVIÇOS!$B:$G,4,0),IFERROR(VLOOKUP($B32,$D:$K,6,0),)),IFERROR(VLOOKUP($C32,INSUMOS!$A:$D,4,0),IFERROR(VLOOKUP($C32,COTAÇÕES!$B:$I,7,0),(VLOOKUP($C32,'INSUMO SINAPI - SP'!$C:$F,4,0)))))*$G32,2)</f>
        <v>1.45</v>
      </c>
      <c r="J32" s="513">
        <f>TRUNC(IF($C32="",IFERROR(VLOOKUP($B32,SERVIÇOS!$B:$G,5,0),IFERROR(VLOOKUP($B32,$D:$K,7,0),)),0)*$G32,2)</f>
        <v>0</v>
      </c>
      <c r="K32" s="514">
        <f>I32+J32</f>
        <v>1.45</v>
      </c>
      <c r="L32" s="517"/>
      <c r="M32" s="471"/>
      <c r="N32" s="516"/>
      <c r="Q32" s="472"/>
      <c r="R32" s="472"/>
      <c r="S32" s="472"/>
      <c r="T32" s="472"/>
      <c r="U32" s="472"/>
      <c r="V32" s="472"/>
      <c r="W32" s="472"/>
      <c r="X32" s="472"/>
      <c r="Y32" s="472"/>
    </row>
    <row r="33" spans="1:25" x14ac:dyDescent="0.25">
      <c r="A33" s="463"/>
      <c r="B33" s="507"/>
      <c r="C33" s="507">
        <v>34353</v>
      </c>
      <c r="D33" s="508"/>
      <c r="E33" s="509" t="str">
        <f>IF($C33="",IFERROR(VLOOKUP($B33,SERVIÇOS!$B:$G,2,0),IFERROR(VLOOKUP($B33,$D:$K,2,0),"")),IFERROR(VLOOKUP($C33,INSUMOS!$A:$D,2,0),IFERROR(VLOOKUP($C33,COTAÇÕES!$B:$I,2,0),(VLOOKUP($C33,'INSUMO SINAPI - SP'!$C:$F,2,0)))))</f>
        <v>ARGAMASSA COLANTE AC II</v>
      </c>
      <c r="F33" s="510" t="str">
        <f>IF($C33="",IFERROR(VLOOKUP($B33,SERVIÇOS!$B:$G,3,0),IFERROR(VLOOKUP($B33,$D:$K,3,0),"")),IFERROR(VLOOKUP($C33,INSUMOS!$A:$D,3,0),IFERROR(VLOOKUP($C33,COTAÇÕES!$B:$I,3,0),(VLOOKUP($C33,'INSUMO SINAPI - SP'!$C:$F,3,0)))))</f>
        <v>KG</v>
      </c>
      <c r="G33" s="511">
        <v>4</v>
      </c>
      <c r="H33" s="512">
        <f>IF($C33="",IFERROR(VLOOKUP($B33,SERVIÇOS!$B:$G,6,0),IFERROR(VLOOKUP($B33,$D:$K,8,0),"")),IFERROR(VLOOKUP($C33,INSUMOS!$A:$D,4,0),IFERROR(VLOOKUP($C33,COTAÇÕES!$B:$I,7,0),(VLOOKUP($C33,'INSUMO SINAPI - SP'!$C:$F,4,0)))))</f>
        <v>1.39</v>
      </c>
      <c r="I33" s="513">
        <f>TRUNC(IF($C33="",IFERROR(VLOOKUP($B33,SERVIÇOS!$B:$G,4,0),IFERROR(VLOOKUP($B33,$D:$K,6,0),)),IFERROR(VLOOKUP($C33,INSUMOS!$A:$D,4,0),IFERROR(VLOOKUP($C33,COTAÇÕES!$B:$I,7,0),(VLOOKUP($C33,'INSUMO SINAPI - SP'!$C:$F,4,0)))))*$G33,2)</f>
        <v>5.56</v>
      </c>
      <c r="J33" s="513">
        <f>TRUNC(IF($C33="",IFERROR(VLOOKUP($B33,SERVIÇOS!$B:$G,5,0),IFERROR(VLOOKUP($B33,$D:$K,7,0),)),0)*$G33,2)</f>
        <v>0</v>
      </c>
      <c r="K33" s="514">
        <f>I33+J33</f>
        <v>5.56</v>
      </c>
      <c r="L33" s="517"/>
      <c r="M33" s="471"/>
      <c r="N33" s="516"/>
      <c r="Q33" s="472"/>
      <c r="R33" s="472"/>
      <c r="S33" s="472"/>
      <c r="T33" s="472"/>
      <c r="U33" s="472"/>
      <c r="V33" s="472"/>
      <c r="W33" s="472"/>
      <c r="X33" s="472"/>
      <c r="Y33" s="472"/>
    </row>
    <row r="34" spans="1:25" ht="24" x14ac:dyDescent="0.25">
      <c r="A34" s="463"/>
      <c r="B34" s="498"/>
      <c r="C34" s="498"/>
      <c r="D34" s="499" t="s">
        <v>12510</v>
      </c>
      <c r="E34" s="500" t="s">
        <v>12680</v>
      </c>
      <c r="F34" s="501" t="s">
        <v>578</v>
      </c>
      <c r="G34" s="502"/>
      <c r="H34" s="503"/>
      <c r="I34" s="504">
        <f>ROUND(SUM(I35:I41),2)</f>
        <v>28.61</v>
      </c>
      <c r="J34" s="504">
        <f>ROUND(SUM(J35:J41),2)</f>
        <v>15.74</v>
      </c>
      <c r="K34" s="504">
        <f>+J34+I34</f>
        <v>44.35</v>
      </c>
      <c r="L34" s="499" t="s">
        <v>12681</v>
      </c>
      <c r="M34" s="471"/>
      <c r="N34" s="505"/>
      <c r="Q34" s="472"/>
      <c r="R34" s="472"/>
      <c r="S34" s="472"/>
      <c r="T34" s="472"/>
      <c r="U34" s="472"/>
      <c r="V34" s="472"/>
      <c r="W34" s="472"/>
      <c r="X34" s="472"/>
      <c r="Y34" s="472"/>
    </row>
    <row r="35" spans="1:25" x14ac:dyDescent="0.25">
      <c r="A35" s="463"/>
      <c r="B35" s="507">
        <v>88262</v>
      </c>
      <c r="C35" s="507"/>
      <c r="D35" s="508"/>
      <c r="E35" s="509" t="str">
        <f>IF($C35="",IFERROR(VLOOKUP($B35,SERVIÇOS!$B:$G,2,0),IFERROR(VLOOKUP($B35,$D:$K,2,0),"")),IFERROR(VLOOKUP($C35,INSUMOS!$A:$D,2,0),IFERROR(VLOOKUP($C35,COTAÇÕES!$B:$I,2,0),(VLOOKUP($C35,'INSUMO SINAPI - SP'!$C:$F,2,0)))))</f>
        <v>CARPINTEIRO DE FORMAS COM ENCARGOS COMPLEMENTARES</v>
      </c>
      <c r="F35" s="510" t="str">
        <f>IF($C35="",IFERROR(VLOOKUP($B35,SERVIÇOS!$B:$G,3,0),IFERROR(VLOOKUP($B35,$D:$K,3,0),"")),IFERROR(VLOOKUP($C35,INSUMOS!$A:$D,3,0),IFERROR(VLOOKUP($C35,COTAÇÕES!$B:$I,3,0),(VLOOKUP($C35,'INSUMO SINAPI - SP'!$C:$F,3,0)))))</f>
        <v>H</v>
      </c>
      <c r="G35" s="511">
        <v>0.1128</v>
      </c>
      <c r="H35" s="512">
        <f>IF($C35="",IFERROR(VLOOKUP($B35,SERVIÇOS!$B:$G,6,0),IFERROR(VLOOKUP($B35,$D:$K,8,0),"")),IFERROR(VLOOKUP($C35,INSUMOS!$A:$D,4,0),IFERROR(VLOOKUP($C35,COTAÇÕES!$B:$I,7,0),(VLOOKUP($C35,'INSUMO SINAPI - SP'!$C:$F,4,0)))))</f>
        <v>36.43</v>
      </c>
      <c r="I35" s="513">
        <f>TRUNC(IF($C35="",IFERROR(VLOOKUP($B35,SERVIÇOS!$B:$G,4,0),IFERROR(VLOOKUP($B35,$D:$K,6,0),)),IFERROR(VLOOKUP($C35,INSUMOS!$A:$D,4,0),IFERROR(VLOOKUP($C35,COTAÇÕES!$B:$I,7,0),(VLOOKUP($C35,'INSUMO SINAPI - SP'!$C:$F,4,0)))))*$G35,2)</f>
        <v>1.02</v>
      </c>
      <c r="J35" s="513">
        <f>TRUNC(IF($C35="",IFERROR(VLOOKUP($B35,SERVIÇOS!$B:$G,5,0),IFERROR(VLOOKUP($B35,$D:$K,7,0),)),0)*$G35,2)</f>
        <v>3.08</v>
      </c>
      <c r="K35" s="514">
        <f t="shared" ref="K35:K41" si="1">I35+J35</f>
        <v>4.0999999999999996</v>
      </c>
      <c r="L35" s="515"/>
      <c r="M35" s="471"/>
      <c r="N35" s="516"/>
      <c r="Q35" s="472"/>
      <c r="R35" s="472"/>
      <c r="S35" s="472"/>
      <c r="T35" s="472"/>
      <c r="U35" s="472"/>
      <c r="V35" s="472"/>
      <c r="W35" s="472"/>
      <c r="X35" s="472"/>
      <c r="Y35" s="472"/>
    </row>
    <row r="36" spans="1:25" x14ac:dyDescent="0.25">
      <c r="A36" s="463"/>
      <c r="B36" s="507">
        <v>88316</v>
      </c>
      <c r="C36" s="507"/>
      <c r="D36" s="508"/>
      <c r="E36" s="509" t="str">
        <f>IF($C36="",IFERROR(VLOOKUP($B36,SERVIÇOS!$B:$G,2,0),IFERROR(VLOOKUP($B36,$D:$K,2,0),"")),IFERROR(VLOOKUP($C36,INSUMOS!$A:$D,2,0),IFERROR(VLOOKUP($C36,COTAÇÕES!$B:$I,2,0),(VLOOKUP($C36,'INSUMO SINAPI - SP'!$C:$F,2,0)))))</f>
        <v>SERVENTE COM ENCARGOS COMPLEMENTARES</v>
      </c>
      <c r="F36" s="510" t="str">
        <f>IF($C36="",IFERROR(VLOOKUP($B36,SERVIÇOS!$B:$G,3,0),IFERROR(VLOOKUP($B36,$D:$K,3,0),"")),IFERROR(VLOOKUP($C36,INSUMOS!$A:$D,3,0),IFERROR(VLOOKUP($C36,COTAÇÕES!$B:$I,3,0),(VLOOKUP($C36,'INSUMO SINAPI - SP'!$C:$F,3,0)))))</f>
        <v>H</v>
      </c>
      <c r="G36" s="511">
        <v>9.9150000000000002E-2</v>
      </c>
      <c r="H36" s="512">
        <f>IF($C36="",IFERROR(VLOOKUP($B36,SERVIÇOS!$B:$G,6,0),IFERROR(VLOOKUP($B36,$D:$K,8,0),"")),IFERROR(VLOOKUP($C36,INSUMOS!$A:$D,4,0),IFERROR(VLOOKUP($C36,COTAÇÕES!$B:$I,7,0),(VLOOKUP($C36,'INSUMO SINAPI - SP'!$C:$F,4,0)))))</f>
        <v>28.71</v>
      </c>
      <c r="I36" s="513">
        <f>TRUNC(IF($C36="",IFERROR(VLOOKUP($B36,SERVIÇOS!$B:$G,4,0),IFERROR(VLOOKUP($B36,$D:$K,6,0),)),IFERROR(VLOOKUP($C36,INSUMOS!$A:$D,4,0),IFERROR(VLOOKUP($C36,COTAÇÕES!$B:$I,7,0),(VLOOKUP($C36,'INSUMO SINAPI - SP'!$C:$F,4,0)))))*$G36,2)</f>
        <v>0.91</v>
      </c>
      <c r="J36" s="513">
        <f>TRUNC(IF($C36="",IFERROR(VLOOKUP($B36,SERVIÇOS!$B:$G,5,0),IFERROR(VLOOKUP($B36,$D:$K,7,0),)),0)*$G36,2)</f>
        <v>1.93</v>
      </c>
      <c r="K36" s="514">
        <f t="shared" si="1"/>
        <v>2.84</v>
      </c>
      <c r="L36" s="515"/>
      <c r="M36" s="471"/>
      <c r="N36" s="516"/>
      <c r="Q36" s="472"/>
      <c r="R36" s="472"/>
      <c r="S36" s="472"/>
      <c r="T36" s="472"/>
      <c r="U36" s="472"/>
      <c r="V36" s="472"/>
      <c r="W36" s="472"/>
      <c r="X36" s="472"/>
      <c r="Y36" s="472"/>
    </row>
    <row r="37" spans="1:25" x14ac:dyDescent="0.25">
      <c r="A37" s="463"/>
      <c r="B37" s="507">
        <v>88309</v>
      </c>
      <c r="C37" s="507"/>
      <c r="D37" s="508"/>
      <c r="E37" s="509" t="str">
        <f>IF($C37="",IFERROR(VLOOKUP($B37,SERVIÇOS!$B:$G,2,0),IFERROR(VLOOKUP($B37,$D:$K,2,0),"")),IFERROR(VLOOKUP($C37,INSUMOS!$A:$D,2,0),IFERROR(VLOOKUP($C37,COTAÇÕES!$B:$I,2,0),(VLOOKUP($C37,'INSUMO SINAPI - SP'!$C:$F,2,0)))))</f>
        <v>PEDREIRO COM ENCARGOS COMPLEMENTARES</v>
      </c>
      <c r="F37" s="510" t="str">
        <f>IF($C37="",IFERROR(VLOOKUP($B37,SERVIÇOS!$B:$G,3,0),IFERROR(VLOOKUP($B37,$D:$K,3,0),"")),IFERROR(VLOOKUP($C37,INSUMOS!$A:$D,3,0),IFERROR(VLOOKUP($C37,COTAÇÕES!$B:$I,3,0),(VLOOKUP($C37,'INSUMO SINAPI - SP'!$C:$F,3,0)))))</f>
        <v>H</v>
      </c>
      <c r="G37" s="511">
        <v>0.21195</v>
      </c>
      <c r="H37" s="512">
        <f>IF($C37="",IFERROR(VLOOKUP($B37,SERVIÇOS!$B:$G,6,0),IFERROR(VLOOKUP($B37,$D:$K,8,0),"")),IFERROR(VLOOKUP($C37,INSUMOS!$A:$D,4,0),IFERROR(VLOOKUP($C37,COTAÇÕES!$B:$I,7,0),(VLOOKUP($C37,'INSUMO SINAPI - SP'!$C:$F,4,0)))))</f>
        <v>36.909999999999997</v>
      </c>
      <c r="I37" s="513">
        <f>TRUNC(IF($C37="",IFERROR(VLOOKUP($B37,SERVIÇOS!$B:$G,4,0),IFERROR(VLOOKUP($B37,$D:$K,6,0),)),IFERROR(VLOOKUP($C37,INSUMOS!$A:$D,4,0),IFERROR(VLOOKUP($C37,COTAÇÕES!$B:$I,7,0),(VLOOKUP($C37,'INSUMO SINAPI - SP'!$C:$F,4,0)))))*$G37,2)</f>
        <v>1.96</v>
      </c>
      <c r="J37" s="513">
        <f>TRUNC(IF($C37="",IFERROR(VLOOKUP($B37,SERVIÇOS!$B:$G,5,0),IFERROR(VLOOKUP($B37,$D:$K,7,0),)),0)*$G37,2)</f>
        <v>5.85</v>
      </c>
      <c r="K37" s="514">
        <f t="shared" si="1"/>
        <v>7.81</v>
      </c>
      <c r="L37" s="515"/>
      <c r="M37" s="471"/>
      <c r="N37" s="516"/>
      <c r="Q37" s="472"/>
      <c r="R37" s="472"/>
      <c r="S37" s="472"/>
      <c r="T37" s="472"/>
      <c r="U37" s="472"/>
      <c r="V37" s="472"/>
      <c r="W37" s="472"/>
      <c r="X37" s="472"/>
      <c r="Y37" s="472"/>
    </row>
    <row r="38" spans="1:25" ht="24" x14ac:dyDescent="0.25">
      <c r="A38" s="463"/>
      <c r="B38" s="507"/>
      <c r="C38" s="507">
        <v>4460</v>
      </c>
      <c r="D38" s="508"/>
      <c r="E38" s="509" t="str">
        <f>IF($C38="",IFERROR(VLOOKUP($B38,SERVIÇOS!$B:$G,2,0),IFERROR(VLOOKUP($B38,$D:$K,2,0),"")),IFERROR(VLOOKUP($C38,INSUMOS!$A:$D,2,0),IFERROR(VLOOKUP($C38,COTAÇÕES!$B:$I,2,0),(VLOOKUP($C38,'INSUMO SINAPI - SP'!$C:$F,2,0)))))</f>
        <v>SARRAFO NAO APARELHADO *2,5 X 10* CM, EM MACARANDUBA/MASSARANDUBA, ANGELIM OU EQUIVALENTE DA REGIAO - BRUTA</v>
      </c>
      <c r="F38" s="510" t="str">
        <f>IF($C38="",IFERROR(VLOOKUP($B38,SERVIÇOS!$B:$G,3,0),IFERROR(VLOOKUP($B38,$D:$K,3,0),"")),IFERROR(VLOOKUP($C38,INSUMOS!$A:$D,3,0),IFERROR(VLOOKUP($C38,COTAÇÕES!$B:$I,3,0),(VLOOKUP($C38,'INSUMO SINAPI - SP'!$C:$F,3,0)))))</f>
        <v>M</v>
      </c>
      <c r="G38" s="511">
        <v>0.125</v>
      </c>
      <c r="H38" s="512">
        <f>IF($C38="",IFERROR(VLOOKUP($B38,SERVIÇOS!$B:$G,6,0),IFERROR(VLOOKUP($B38,$D:$K,8,0),"")),IFERROR(VLOOKUP($C38,INSUMOS!$A:$D,4,0),IFERROR(VLOOKUP($C38,COTAÇÕES!$B:$I,7,0),(VLOOKUP($C38,'INSUMO SINAPI - SP'!$C:$F,4,0)))))</f>
        <v>10.86</v>
      </c>
      <c r="I38" s="513">
        <f>TRUNC(IF($C38="",IFERROR(VLOOKUP($B38,SERVIÇOS!$B:$G,4,0),IFERROR(VLOOKUP($B38,$D:$K,6,0),)),IFERROR(VLOOKUP($C38,INSUMOS!$A:$D,4,0),IFERROR(VLOOKUP($C38,COTAÇÕES!$B:$I,7,0),(VLOOKUP($C38,'INSUMO SINAPI - SP'!$C:$F,4,0)))))*$G38,2)</f>
        <v>1.35</v>
      </c>
      <c r="J38" s="513">
        <f>TRUNC(IF($C38="",IFERROR(VLOOKUP($B38,SERVIÇOS!$B:$G,5,0),IFERROR(VLOOKUP($B38,$D:$K,7,0),)),0)*$G38,2)</f>
        <v>0</v>
      </c>
      <c r="K38" s="514">
        <f t="shared" si="1"/>
        <v>1.35</v>
      </c>
      <c r="L38" s="517"/>
      <c r="M38" s="471"/>
      <c r="N38" s="516"/>
      <c r="Q38" s="472"/>
      <c r="R38" s="472"/>
      <c r="S38" s="472"/>
      <c r="T38" s="472"/>
      <c r="U38" s="472"/>
      <c r="V38" s="472"/>
      <c r="W38" s="472"/>
      <c r="X38" s="472"/>
      <c r="Y38" s="472"/>
    </row>
    <row r="39" spans="1:25" x14ac:dyDescent="0.25">
      <c r="A39" s="463"/>
      <c r="B39" s="507"/>
      <c r="C39" s="507">
        <v>4517</v>
      </c>
      <c r="D39" s="508"/>
      <c r="E39" s="509" t="str">
        <f>IF($C39="",IFERROR(VLOOKUP($B39,SERVIÇOS!$B:$G,2,0),IFERROR(VLOOKUP($B39,$D:$K,2,0),"")),IFERROR(VLOOKUP($C39,INSUMOS!$A:$D,2,0),IFERROR(VLOOKUP($C39,COTAÇÕES!$B:$I,2,0),(VLOOKUP($C39,'INSUMO SINAPI - SP'!$C:$F,2,0)))))</f>
        <v>SARRAFO *2,5 X 7,5* CM EM PINUS, MISTA OU EQUIVALENTE DA REGIAO - BRUTA</v>
      </c>
      <c r="F39" s="510" t="str">
        <f>IF($C39="",IFERROR(VLOOKUP($B39,SERVIÇOS!$B:$G,3,0),IFERROR(VLOOKUP($B39,$D:$K,3,0),"")),IFERROR(VLOOKUP($C39,INSUMOS!$A:$D,3,0),IFERROR(VLOOKUP($C39,COTAÇÕES!$B:$I,3,0),(VLOOKUP($C39,'INSUMO SINAPI - SP'!$C:$F,3,0)))))</f>
        <v>M</v>
      </c>
      <c r="G39" s="511">
        <v>0.1</v>
      </c>
      <c r="H39" s="512">
        <f>IF($C39="",IFERROR(VLOOKUP($B39,SERVIÇOS!$B:$G,6,0),IFERROR(VLOOKUP($B39,$D:$K,8,0),"")),IFERROR(VLOOKUP($C39,INSUMOS!$A:$D,4,0),IFERROR(VLOOKUP($C39,COTAÇÕES!$B:$I,7,0),(VLOOKUP($C39,'INSUMO SINAPI - SP'!$C:$F,4,0)))))</f>
        <v>2.44</v>
      </c>
      <c r="I39" s="513">
        <f>TRUNC(IF($C39="",IFERROR(VLOOKUP($B39,SERVIÇOS!$B:$G,4,0),IFERROR(VLOOKUP($B39,$D:$K,6,0),)),IFERROR(VLOOKUP($C39,INSUMOS!$A:$D,4,0),IFERROR(VLOOKUP($C39,COTAÇÕES!$B:$I,7,0),(VLOOKUP($C39,'INSUMO SINAPI - SP'!$C:$F,4,0)))))*$G39,2)</f>
        <v>0.24</v>
      </c>
      <c r="J39" s="513">
        <f>TRUNC(IF($C39="",IFERROR(VLOOKUP($B39,SERVIÇOS!$B:$G,5,0),IFERROR(VLOOKUP($B39,$D:$K,7,0),)),0)*$G39,2)</f>
        <v>0</v>
      </c>
      <c r="K39" s="514">
        <f t="shared" si="1"/>
        <v>0.24</v>
      </c>
      <c r="L39" s="517"/>
      <c r="M39" s="471"/>
      <c r="N39" s="516"/>
      <c r="Q39" s="472"/>
      <c r="R39" s="472"/>
      <c r="S39" s="472"/>
      <c r="T39" s="472"/>
      <c r="U39" s="472"/>
      <c r="V39" s="472"/>
      <c r="W39" s="472"/>
      <c r="X39" s="472"/>
      <c r="Y39" s="472"/>
    </row>
    <row r="40" spans="1:25" ht="24" x14ac:dyDescent="0.25">
      <c r="A40" s="463"/>
      <c r="B40" s="506">
        <v>94964</v>
      </c>
      <c r="C40" s="507"/>
      <c r="D40" s="508"/>
      <c r="E40" s="509" t="str">
        <f>IF($C40="",IFERROR(VLOOKUP($B40,SERVIÇOS!$B:$G,2,0),IFERROR(VLOOKUP($B40,$D:$K,2,0),"")),IFERROR(VLOOKUP($C40,INSUMOS!$A:$D,2,0),IFERROR(VLOOKUP($C40,COTAÇÕES!$B:$I,2,0),(VLOOKUP($C40,'INSUMO SINAPI - SP'!$C:$F,2,0)))))</f>
        <v>CONCRETO FCK = 20MPA, TRAÇO 1:2,7:3 (EM MASSA SECA DE CIMENTO/ AREIA MÉDIA/ BRITA 1) - PREPARO MECÂNICO COM BETONEIRA 400 L. AF_05/2021</v>
      </c>
      <c r="F40" s="510" t="str">
        <f>IF($C40="",IFERROR(VLOOKUP($B40,SERVIÇOS!$B:$G,3,0),IFERROR(VLOOKUP($B40,$D:$K,3,0),"")),IFERROR(VLOOKUP($C40,INSUMOS!$A:$D,3,0),IFERROR(VLOOKUP($C40,COTAÇÕES!$B:$I,3,0),(VLOOKUP($C40,'INSUMO SINAPI - SP'!$C:$F,3,0)))))</f>
        <v>M3</v>
      </c>
      <c r="G40" s="511">
        <v>0.03</v>
      </c>
      <c r="H40" s="512">
        <f>IF($C40="",IFERROR(VLOOKUP($B40,SERVIÇOS!$B:$G,6,0),IFERROR(VLOOKUP($B40,$D:$K,8,0),"")),IFERROR(VLOOKUP($C40,INSUMOS!$A:$D,4,0),IFERROR(VLOOKUP($C40,COTAÇÕES!$B:$I,7,0),(VLOOKUP($C40,'INSUMO SINAPI - SP'!$C:$F,4,0)))))</f>
        <v>474.38</v>
      </c>
      <c r="I40" s="513">
        <f>TRUNC(IF($C40="",IFERROR(VLOOKUP($B40,SERVIÇOS!$B:$G,4,0),IFERROR(VLOOKUP($B40,$D:$K,6,0),)),IFERROR(VLOOKUP($C40,INSUMOS!$A:$D,4,0),IFERROR(VLOOKUP($C40,COTAÇÕES!$B:$I,7,0),(VLOOKUP($C40,'INSUMO SINAPI - SP'!$C:$F,4,0)))))*$G40,2)</f>
        <v>11.54</v>
      </c>
      <c r="J40" s="513">
        <f>TRUNC(IF($C40="",IFERROR(VLOOKUP($B40,SERVIÇOS!$B:$G,5,0),IFERROR(VLOOKUP($B40,$D:$K,7,0),)),0)*$G40,2)</f>
        <v>2.68</v>
      </c>
      <c r="K40" s="514">
        <f t="shared" si="1"/>
        <v>14.219999999999999</v>
      </c>
      <c r="L40" s="515"/>
      <c r="M40" s="471"/>
      <c r="N40" s="516"/>
      <c r="Q40" s="472"/>
      <c r="R40" s="472"/>
      <c r="S40" s="472"/>
      <c r="T40" s="472"/>
      <c r="U40" s="472"/>
      <c r="V40" s="472"/>
      <c r="W40" s="472"/>
      <c r="X40" s="472"/>
      <c r="Y40" s="472"/>
    </row>
    <row r="41" spans="1:25" ht="24" x14ac:dyDescent="0.25">
      <c r="A41" s="463"/>
      <c r="B41" s="506">
        <v>87298</v>
      </c>
      <c r="C41" s="507"/>
      <c r="D41" s="508"/>
      <c r="E41" s="509" t="str">
        <f>IF($C41="",IFERROR(VLOOKUP($B41,SERVIÇOS!$B:$G,2,0),IFERROR(VLOOKUP($B41,$D:$K,2,0),"")),IFERROR(VLOOKUP($C41,INSUMOS!$A:$D,2,0),IFERROR(VLOOKUP($C41,COTAÇÕES!$B:$I,2,0),(VLOOKUP($C41,'INSUMO SINAPI - SP'!$C:$F,2,0)))))</f>
        <v>ARGAMASSA TRAÇO 1:3 (EM VOLUME DE CIMENTO E AREIA MÉDIA ÚMIDA) PARA CONTRAPISO, PREPARO MECÂNICO COM BETONEIRA 400 L. AF_08/2019</v>
      </c>
      <c r="F41" s="510" t="str">
        <f>IF($C41="",IFERROR(VLOOKUP($B41,SERVIÇOS!$B:$G,3,0),IFERROR(VLOOKUP($B41,$D:$K,3,0),"")),IFERROR(VLOOKUP($C41,INSUMOS!$A:$D,3,0),IFERROR(VLOOKUP($C41,COTAÇÕES!$B:$I,3,0),(VLOOKUP($C41,'INSUMO SINAPI - SP'!$C:$F,3,0)))))</f>
        <v>M3</v>
      </c>
      <c r="G41" s="511">
        <v>0.02</v>
      </c>
      <c r="H41" s="512">
        <f>IF($C41="",IFERROR(VLOOKUP($B41,SERVIÇOS!$B:$G,6,0),IFERROR(VLOOKUP($B41,$D:$K,8,0),"")),IFERROR(VLOOKUP($C41,INSUMOS!$A:$D,4,0),IFERROR(VLOOKUP($C41,COTAÇÕES!$B:$I,7,0),(VLOOKUP($C41,'INSUMO SINAPI - SP'!$C:$F,4,0)))))</f>
        <v>690.27</v>
      </c>
      <c r="I41" s="513">
        <f>TRUNC(IF($C41="",IFERROR(VLOOKUP($B41,SERVIÇOS!$B:$G,4,0),IFERROR(VLOOKUP($B41,$D:$K,6,0),)),IFERROR(VLOOKUP($C41,INSUMOS!$A:$D,4,0),IFERROR(VLOOKUP($C41,COTAÇÕES!$B:$I,7,0),(VLOOKUP($C41,'INSUMO SINAPI - SP'!$C:$F,4,0)))))*$G41,2)</f>
        <v>11.59</v>
      </c>
      <c r="J41" s="513">
        <f>TRUNC(IF($C41="",IFERROR(VLOOKUP($B41,SERVIÇOS!$B:$G,5,0),IFERROR(VLOOKUP($B41,$D:$K,7,0),)),0)*$G41,2)</f>
        <v>2.2000000000000002</v>
      </c>
      <c r="K41" s="514">
        <f t="shared" si="1"/>
        <v>13.79</v>
      </c>
      <c r="L41" s="515"/>
      <c r="M41" s="471"/>
      <c r="N41" s="516"/>
      <c r="Q41" s="472"/>
      <c r="R41" s="472"/>
      <c r="S41" s="472"/>
      <c r="T41" s="472"/>
      <c r="U41" s="472"/>
      <c r="V41" s="472"/>
      <c r="W41" s="472"/>
      <c r="X41" s="472"/>
      <c r="Y41" s="472"/>
    </row>
    <row r="42" spans="1:25" ht="24" x14ac:dyDescent="0.25">
      <c r="A42" s="463"/>
      <c r="B42" s="498"/>
      <c r="C42" s="498"/>
      <c r="D42" s="499" t="s">
        <v>12074</v>
      </c>
      <c r="E42" s="500" t="s">
        <v>12682</v>
      </c>
      <c r="F42" s="501" t="s">
        <v>578</v>
      </c>
      <c r="G42" s="502"/>
      <c r="H42" s="503"/>
      <c r="I42" s="504">
        <f>ROUND(SUM(I43:I49),2)</f>
        <v>835.17</v>
      </c>
      <c r="J42" s="504">
        <f>ROUND(SUM(J43:J49),2)</f>
        <v>179.44</v>
      </c>
      <c r="K42" s="504">
        <f>+J42+I42</f>
        <v>1014.6099999999999</v>
      </c>
      <c r="L42" s="499" t="s">
        <v>12683</v>
      </c>
      <c r="M42" s="471"/>
      <c r="N42" s="505"/>
      <c r="Q42" s="472"/>
      <c r="R42" s="472"/>
      <c r="S42" s="472"/>
      <c r="T42" s="472"/>
      <c r="U42" s="472"/>
      <c r="V42" s="472"/>
      <c r="W42" s="472"/>
      <c r="X42" s="472"/>
      <c r="Y42" s="472"/>
    </row>
    <row r="43" spans="1:25" x14ac:dyDescent="0.25">
      <c r="A43" s="463"/>
      <c r="B43" s="507">
        <v>88316</v>
      </c>
      <c r="C43" s="507"/>
      <c r="D43" s="508"/>
      <c r="E43" s="509" t="str">
        <f>IF($C43="",IFERROR(VLOOKUP($B43,SERVIÇOS!$B:$G,2,0),IFERROR(VLOOKUP($B43,$D:$K,2,0),"")),IFERROR(VLOOKUP($C43,INSUMOS!$A:$D,2,0),IFERROR(VLOOKUP($C43,COTAÇÕES!$B:$I,2,0),(VLOOKUP($C43,'INSUMO SINAPI - SP'!$C:$F,2,0)))))</f>
        <v>SERVENTE COM ENCARGOS COMPLEMENTARES</v>
      </c>
      <c r="F43" s="510" t="str">
        <f>IF($C43="",IFERROR(VLOOKUP($B43,SERVIÇOS!$B:$G,3,0),IFERROR(VLOOKUP($B43,$D:$K,3,0),"")),IFERROR(VLOOKUP($C43,INSUMOS!$A:$D,3,0),IFERROR(VLOOKUP($C43,COTAÇÕES!$B:$I,3,0),(VLOOKUP($C43,'INSUMO SINAPI - SP'!$C:$F,3,0)))))</f>
        <v>H</v>
      </c>
      <c r="G43" s="511">
        <v>2.4</v>
      </c>
      <c r="H43" s="512">
        <f>IF($C43="",IFERROR(VLOOKUP($B43,SERVIÇOS!$B:$G,6,0),IFERROR(VLOOKUP($B43,$D:$K,8,0),"")),IFERROR(VLOOKUP($C43,INSUMOS!$A:$D,4,0),IFERROR(VLOOKUP($C43,COTAÇÕES!$B:$I,7,0),(VLOOKUP($C43,'INSUMO SINAPI - SP'!$C:$F,4,0)))))</f>
        <v>28.71</v>
      </c>
      <c r="I43" s="513">
        <f>TRUNC(IF($C43="",IFERROR(VLOOKUP($B43,SERVIÇOS!$B:$G,4,0),IFERROR(VLOOKUP($B43,$D:$K,6,0),)),IFERROR(VLOOKUP($C43,INSUMOS!$A:$D,4,0),IFERROR(VLOOKUP($C43,COTAÇÕES!$B:$I,7,0),(VLOOKUP($C43,'INSUMO SINAPI - SP'!$C:$F,4,0)))))*$G43,2)</f>
        <v>22.08</v>
      </c>
      <c r="J43" s="513">
        <f>TRUNC(IF($C43="",IFERROR(VLOOKUP($B43,SERVIÇOS!$B:$G,5,0),IFERROR(VLOOKUP($B43,$D:$K,7,0),)),0)*$G43,2)</f>
        <v>46.82</v>
      </c>
      <c r="K43" s="514">
        <f t="shared" ref="K43:K49" si="2">I43+J43</f>
        <v>68.900000000000006</v>
      </c>
      <c r="L43" s="515"/>
      <c r="M43" s="471"/>
      <c r="N43" s="516"/>
      <c r="Q43" s="472"/>
      <c r="R43" s="472"/>
      <c r="S43" s="472"/>
      <c r="T43" s="472"/>
      <c r="U43" s="472"/>
      <c r="V43" s="472"/>
      <c r="W43" s="472"/>
      <c r="X43" s="472"/>
      <c r="Y43" s="472"/>
    </row>
    <row r="44" spans="1:25" x14ac:dyDescent="0.25">
      <c r="A44" s="463"/>
      <c r="B44" s="507">
        <v>88309</v>
      </c>
      <c r="C44" s="507"/>
      <c r="D44" s="508"/>
      <c r="E44" s="509" t="str">
        <f>IF($C44="",IFERROR(VLOOKUP($B44,SERVIÇOS!$B:$G,2,0),IFERROR(VLOOKUP($B44,$D:$K,2,0),"")),IFERROR(VLOOKUP($C44,INSUMOS!$A:$D,2,0),IFERROR(VLOOKUP($C44,COTAÇÕES!$B:$I,2,0),(VLOOKUP($C44,'INSUMO SINAPI - SP'!$C:$F,2,0)))))</f>
        <v>PEDREIRO COM ENCARGOS COMPLEMENTARES</v>
      </c>
      <c r="F44" s="510" t="str">
        <f>IF($C44="",IFERROR(VLOOKUP($B44,SERVIÇOS!$B:$G,3,0),IFERROR(VLOOKUP($B44,$D:$K,3,0),"")),IFERROR(VLOOKUP($C44,INSUMOS!$A:$D,3,0),IFERROR(VLOOKUP($C44,COTAÇÕES!$B:$I,3,0),(VLOOKUP($C44,'INSUMO SINAPI - SP'!$C:$F,3,0)))))</f>
        <v>H</v>
      </c>
      <c r="G44" s="511">
        <v>4.8</v>
      </c>
      <c r="H44" s="512">
        <f>IF($C44="",IFERROR(VLOOKUP($B44,SERVIÇOS!$B:$G,6,0),IFERROR(VLOOKUP($B44,$D:$K,8,0),"")),IFERROR(VLOOKUP($C44,INSUMOS!$A:$D,4,0),IFERROR(VLOOKUP($C44,COTAÇÕES!$B:$I,7,0),(VLOOKUP($C44,'INSUMO SINAPI - SP'!$C:$F,4,0)))))</f>
        <v>36.909999999999997</v>
      </c>
      <c r="I44" s="513">
        <f>TRUNC(IF($C44="",IFERROR(VLOOKUP($B44,SERVIÇOS!$B:$G,4,0),IFERROR(VLOOKUP($B44,$D:$K,6,0),)),IFERROR(VLOOKUP($C44,INSUMOS!$A:$D,4,0),IFERROR(VLOOKUP($C44,COTAÇÕES!$B:$I,7,0),(VLOOKUP($C44,'INSUMO SINAPI - SP'!$C:$F,4,0)))))*$G44,2)</f>
        <v>44.54</v>
      </c>
      <c r="J44" s="513">
        <f>TRUNC(IF($C44="",IFERROR(VLOOKUP($B44,SERVIÇOS!$B:$G,5,0),IFERROR(VLOOKUP($B44,$D:$K,7,0),)),0)*$G44,2)</f>
        <v>132.62</v>
      </c>
      <c r="K44" s="514">
        <f t="shared" si="2"/>
        <v>177.16</v>
      </c>
      <c r="L44" s="515"/>
      <c r="M44" s="471"/>
      <c r="N44" s="516"/>
      <c r="Q44" s="472"/>
      <c r="R44" s="472"/>
      <c r="S44" s="472"/>
      <c r="T44" s="472"/>
      <c r="U44" s="472"/>
      <c r="V44" s="472"/>
      <c r="W44" s="472"/>
      <c r="X44" s="472"/>
      <c r="Y44" s="472"/>
    </row>
    <row r="45" spans="1:25" x14ac:dyDescent="0.25">
      <c r="A45" s="463"/>
      <c r="B45" s="507"/>
      <c r="C45" s="507">
        <v>367</v>
      </c>
      <c r="D45" s="508"/>
      <c r="E45" s="509" t="str">
        <f>IF($C45="",IFERROR(VLOOKUP($B45,SERVIÇOS!$B:$G,2,0),IFERROR(VLOOKUP($B45,$D:$K,2,0),"")),IFERROR(VLOOKUP($C45,INSUMOS!$A:$D,2,0),IFERROR(VLOOKUP($C45,COTAÇÕES!$B:$I,2,0),(VLOOKUP($C45,'INSUMO SINAPI - SP'!$C:$F,2,0)))))</f>
        <v>AREIA GROSSA - POSTO JAZIDA/FORNECEDOR (RETIRADO NA JAZIDA, SEM TRANSPORTE)</v>
      </c>
      <c r="F45" s="510" t="str">
        <f>IF($C45="",IFERROR(VLOOKUP($B45,SERVIÇOS!$B:$G,3,0),IFERROR(VLOOKUP($B45,$D:$K,3,0),"")),IFERROR(VLOOKUP($C45,INSUMOS!$A:$D,3,0),IFERROR(VLOOKUP($C45,COTAÇÕES!$B:$I,3,0),(VLOOKUP($C45,'INSUMO SINAPI - SP'!$C:$F,3,0)))))</f>
        <v>M3</v>
      </c>
      <c r="G45" s="511">
        <v>4.0000000000000001E-3</v>
      </c>
      <c r="H45" s="512">
        <f>IF($C45="",IFERROR(VLOOKUP($B45,SERVIÇOS!$B:$G,6,0),IFERROR(VLOOKUP($B45,$D:$K,8,0),"")),IFERROR(VLOOKUP($C45,INSUMOS!$A:$D,4,0),IFERROR(VLOOKUP($C45,COTAÇÕES!$B:$I,7,0),(VLOOKUP($C45,'INSUMO SINAPI - SP'!$C:$F,4,0)))))</f>
        <v>120.63</v>
      </c>
      <c r="I45" s="513">
        <f>TRUNC(IF($C45="",IFERROR(VLOOKUP($B45,SERVIÇOS!$B:$G,4,0),IFERROR(VLOOKUP($B45,$D:$K,6,0),)),IFERROR(VLOOKUP($C45,INSUMOS!$A:$D,4,0),IFERROR(VLOOKUP($C45,COTAÇÕES!$B:$I,7,0),(VLOOKUP($C45,'INSUMO SINAPI - SP'!$C:$F,4,0)))))*$G45,2)</f>
        <v>0.48</v>
      </c>
      <c r="J45" s="513">
        <f>TRUNC(IF($C45="",IFERROR(VLOOKUP($B45,SERVIÇOS!$B:$G,5,0),IFERROR(VLOOKUP($B45,$D:$K,7,0),)),0)*$G45,2)</f>
        <v>0</v>
      </c>
      <c r="K45" s="514">
        <f t="shared" si="2"/>
        <v>0.48</v>
      </c>
      <c r="L45" s="517"/>
      <c r="M45" s="471"/>
      <c r="N45" s="516"/>
      <c r="Q45" s="472"/>
      <c r="R45" s="472"/>
      <c r="S45" s="472"/>
      <c r="T45" s="472"/>
      <c r="U45" s="472"/>
      <c r="V45" s="472"/>
      <c r="W45" s="472"/>
      <c r="X45" s="472"/>
      <c r="Y45" s="472"/>
    </row>
    <row r="46" spans="1:25" x14ac:dyDescent="0.25">
      <c r="A46" s="463"/>
      <c r="B46" s="507"/>
      <c r="C46" s="507">
        <v>1380</v>
      </c>
      <c r="D46" s="508"/>
      <c r="E46" s="509" t="str">
        <f>IF($C46="",IFERROR(VLOOKUP($B46,SERVIÇOS!$B:$G,2,0),IFERROR(VLOOKUP($B46,$D:$K,2,0),"")),IFERROR(VLOOKUP($C46,INSUMOS!$A:$D,2,0),IFERROR(VLOOKUP($C46,COTAÇÕES!$B:$I,2,0),(VLOOKUP($C46,'INSUMO SINAPI - SP'!$C:$F,2,0)))))</f>
        <v>CIMENTO BRANCO NAO ESTRUTURAL (CPB - NAO ESTRUTURAL)</v>
      </c>
      <c r="F46" s="510" t="str">
        <f>IF($C46="",IFERROR(VLOOKUP($B46,SERVIÇOS!$B:$G,3,0),IFERROR(VLOOKUP($B46,$D:$K,3,0),"")),IFERROR(VLOOKUP($C46,INSUMOS!$A:$D,3,0),IFERROR(VLOOKUP($C46,COTAÇÕES!$B:$I,3,0),(VLOOKUP($C46,'INSUMO SINAPI - SP'!$C:$F,3,0)))))</f>
        <v>KG</v>
      </c>
      <c r="G46" s="511">
        <v>0.7</v>
      </c>
      <c r="H46" s="512">
        <f>IF($C46="",IFERROR(VLOOKUP($B46,SERVIÇOS!$B:$G,6,0),IFERROR(VLOOKUP($B46,$D:$K,8,0),"")),IFERROR(VLOOKUP($C46,INSUMOS!$A:$D,4,0),IFERROR(VLOOKUP($C46,COTAÇÕES!$B:$I,7,0),(VLOOKUP($C46,'INSUMO SINAPI - SP'!$C:$F,4,0)))))</f>
        <v>4.55</v>
      </c>
      <c r="I46" s="513">
        <f>TRUNC(IF($C46="",IFERROR(VLOOKUP($B46,SERVIÇOS!$B:$G,4,0),IFERROR(VLOOKUP($B46,$D:$K,6,0),)),IFERROR(VLOOKUP($C46,INSUMOS!$A:$D,4,0),IFERROR(VLOOKUP($C46,COTAÇÕES!$B:$I,7,0),(VLOOKUP($C46,'INSUMO SINAPI - SP'!$C:$F,4,0)))))*$G46,2)</f>
        <v>3.18</v>
      </c>
      <c r="J46" s="513">
        <f>TRUNC(IF($C46="",IFERROR(VLOOKUP($B46,SERVIÇOS!$B:$G,5,0),IFERROR(VLOOKUP($B46,$D:$K,7,0),)),0)*$G46,2)</f>
        <v>0</v>
      </c>
      <c r="K46" s="514">
        <f t="shared" si="2"/>
        <v>3.18</v>
      </c>
      <c r="L46" s="517"/>
      <c r="M46" s="471"/>
      <c r="N46" s="516"/>
      <c r="Q46" s="472"/>
      <c r="R46" s="472"/>
      <c r="S46" s="472"/>
      <c r="T46" s="472"/>
      <c r="U46" s="472"/>
      <c r="V46" s="472"/>
      <c r="W46" s="472"/>
      <c r="X46" s="472"/>
      <c r="Y46" s="472"/>
    </row>
    <row r="47" spans="1:25" x14ac:dyDescent="0.25">
      <c r="A47" s="463"/>
      <c r="B47" s="507"/>
      <c r="C47" s="507">
        <v>1379</v>
      </c>
      <c r="D47" s="508"/>
      <c r="E47" s="509" t="str">
        <f>IF($C47="",IFERROR(VLOOKUP($B47,SERVIÇOS!$B:$G,2,0),IFERROR(VLOOKUP($B47,$D:$K,2,0),"")),IFERROR(VLOOKUP($C47,INSUMOS!$A:$D,2,0),IFERROR(VLOOKUP($C47,COTAÇÕES!$B:$I,2,0),(VLOOKUP($C47,'INSUMO SINAPI - SP'!$C:$F,2,0)))))</f>
        <v>CIMENTO PORTLAND COMPOSTO CP II-32</v>
      </c>
      <c r="F47" s="510" t="str">
        <f>IF($C47="",IFERROR(VLOOKUP($B47,SERVIÇOS!$B:$G,3,0),IFERROR(VLOOKUP($B47,$D:$K,3,0),"")),IFERROR(VLOOKUP($C47,INSUMOS!$A:$D,3,0),IFERROR(VLOOKUP($C47,COTAÇÕES!$B:$I,3,0),(VLOOKUP($C47,'INSUMO SINAPI - SP'!$C:$F,3,0)))))</f>
        <v>KG</v>
      </c>
      <c r="G47" s="511">
        <v>1.6</v>
      </c>
      <c r="H47" s="512">
        <f>IF($C47="",IFERROR(VLOOKUP($B47,SERVIÇOS!$B:$G,6,0),IFERROR(VLOOKUP($B47,$D:$K,8,0),"")),IFERROR(VLOOKUP($C47,INSUMOS!$A:$D,4,0),IFERROR(VLOOKUP($C47,COTAÇÕES!$B:$I,7,0),(VLOOKUP($C47,'INSUMO SINAPI - SP'!$C:$F,4,0)))))</f>
        <v>0.68</v>
      </c>
      <c r="I47" s="513">
        <f>TRUNC(IF($C47="",IFERROR(VLOOKUP($B47,SERVIÇOS!$B:$G,4,0),IFERROR(VLOOKUP($B47,$D:$K,6,0),)),IFERROR(VLOOKUP($C47,INSUMOS!$A:$D,4,0),IFERROR(VLOOKUP($C47,COTAÇÕES!$B:$I,7,0),(VLOOKUP($C47,'INSUMO SINAPI - SP'!$C:$F,4,0)))))*$G47,2)</f>
        <v>1.08</v>
      </c>
      <c r="J47" s="513">
        <f>TRUNC(IF($C47="",IFERROR(VLOOKUP($B47,SERVIÇOS!$B:$G,5,0),IFERROR(VLOOKUP($B47,$D:$K,7,0),)),0)*$G47,2)</f>
        <v>0</v>
      </c>
      <c r="K47" s="514">
        <f t="shared" si="2"/>
        <v>1.08</v>
      </c>
      <c r="L47" s="517"/>
      <c r="M47" s="471"/>
      <c r="N47" s="516"/>
      <c r="Q47" s="472"/>
      <c r="R47" s="472"/>
      <c r="S47" s="472"/>
      <c r="T47" s="472"/>
      <c r="U47" s="472"/>
      <c r="V47" s="472"/>
      <c r="W47" s="472"/>
      <c r="X47" s="472"/>
      <c r="Y47" s="472"/>
    </row>
    <row r="48" spans="1:25" ht="24" x14ac:dyDescent="0.25">
      <c r="A48" s="463"/>
      <c r="B48" s="507"/>
      <c r="C48" s="507" t="s">
        <v>12684</v>
      </c>
      <c r="D48" s="508"/>
      <c r="E48" s="509" t="str">
        <f>IF($C48="",IFERROR(VLOOKUP($B48,SERVIÇOS!$B:$G,2,0),IFERROR(VLOOKUP($B48,$D:$K,2,0),"")),IFERROR(VLOOKUP($C48,INSUMOS!$A:$D,2,0),IFERROR(VLOOKUP($C48,COTAÇÕES!$B:$I,2,0),(VLOOKUP($C48,'INSUMO SINAPI - SP'!$C:$F,2,0)))))</f>
        <v>PERFIL "U" SIMPLES, EM CHAPA DOBRADA DE ACO LAMINADO, E = 3 MM, H = 125 MM, L = 50 MM (5,07 KG/M)</v>
      </c>
      <c r="F48" s="510" t="str">
        <f>IF($C48="",IFERROR(VLOOKUP($B48,SERVIÇOS!$B:$G,3,0),IFERROR(VLOOKUP($B48,$D:$K,3,0),"")),IFERROR(VLOOKUP($C48,INSUMOS!$A:$D,3,0),IFERROR(VLOOKUP($C48,COTAÇÕES!$B:$I,3,0),(VLOOKUP($C48,'INSUMO SINAPI - SP'!$C:$F,3,0)))))</f>
        <v>KG</v>
      </c>
      <c r="G48" s="511">
        <v>1.3</v>
      </c>
      <c r="H48" s="512">
        <f>IF($C48="",IFERROR(VLOOKUP($B48,SERVIÇOS!$B:$G,6,0),IFERROR(VLOOKUP($B48,$D:$K,8,0),"")),IFERROR(VLOOKUP($C48,INSUMOS!$A:$D,4,0),IFERROR(VLOOKUP($C48,COTAÇÕES!$B:$I,7,0),(VLOOKUP($C48,'INSUMO SINAPI - SP'!$C:$F,4,0)))))</f>
        <v>8.4499999999999993</v>
      </c>
      <c r="I48" s="513">
        <f>TRUNC(IF($C48="",IFERROR(VLOOKUP($B48,SERVIÇOS!$B:$G,4,0),IFERROR(VLOOKUP($B48,$D:$K,6,0),)),IFERROR(VLOOKUP($C48,INSUMOS!$A:$D,4,0),IFERROR(VLOOKUP($C48,COTAÇÕES!$B:$I,7,0),(VLOOKUP($C48,'INSUMO SINAPI - SP'!$C:$F,4,0)))))*$G48,2)</f>
        <v>10.98</v>
      </c>
      <c r="J48" s="513"/>
      <c r="K48" s="514">
        <f t="shared" si="2"/>
        <v>10.98</v>
      </c>
      <c r="L48" s="515" t="s">
        <v>12685</v>
      </c>
      <c r="M48" s="471"/>
      <c r="N48" s="516"/>
      <c r="Q48" s="472"/>
      <c r="R48" s="472"/>
      <c r="S48" s="472"/>
      <c r="T48" s="472"/>
      <c r="U48" s="472"/>
      <c r="V48" s="472"/>
      <c r="W48" s="472"/>
      <c r="X48" s="472"/>
      <c r="Y48" s="472"/>
    </row>
    <row r="49" spans="1:25" ht="24" x14ac:dyDescent="0.25">
      <c r="A49" s="463"/>
      <c r="B49" s="507"/>
      <c r="C49" s="507">
        <v>44476</v>
      </c>
      <c r="D49" s="508"/>
      <c r="E49" s="509" t="str">
        <f>IF($C49="",IFERROR(VLOOKUP($B49,SERVIÇOS!$B:$G,2,0),IFERROR(VLOOKUP($B49,$D:$K,2,0),"")),IFERROR(VLOOKUP($C49,INSUMOS!$A:$D,2,0),IFERROR(VLOOKUP($C49,COTAÇÕES!$B:$I,2,0),(VLOOKUP($C49,'INSUMO SINAPI - SP'!$C:$F,2,0)))))</f>
        <v>DIVISORIA EM GRANITO, COM DUAS FACES POLIDAS, TIPO ANDORINHA/ QUARTZ/ CASTELO/ CORUMBA OU OUTROS EQUIVALENTES DA REGIAO, E= *3,0* CM</v>
      </c>
      <c r="F49" s="510" t="str">
        <f>IF($C49="",IFERROR(VLOOKUP($B49,SERVIÇOS!$B:$G,3,0),IFERROR(VLOOKUP($B49,$D:$K,3,0),"")),IFERROR(VLOOKUP($C49,INSUMOS!$A:$D,3,0),IFERROR(VLOOKUP($C49,COTAÇÕES!$B:$I,3,0),(VLOOKUP($C49,'INSUMO SINAPI - SP'!$C:$F,3,0)))))</f>
        <v>M2</v>
      </c>
      <c r="G49" s="511">
        <v>1</v>
      </c>
      <c r="H49" s="512">
        <f>IF($C49="",IFERROR(VLOOKUP($B49,SERVIÇOS!$B:$G,6,0),IFERROR(VLOOKUP($B49,$D:$K,8,0),"")),IFERROR(VLOOKUP($C49,INSUMOS!$A:$D,4,0),IFERROR(VLOOKUP($C49,COTAÇÕES!$B:$I,7,0),(VLOOKUP($C49,'INSUMO SINAPI - SP'!$C:$F,4,0)))))</f>
        <v>752.83</v>
      </c>
      <c r="I49" s="513">
        <f>TRUNC(IF($C49="",IFERROR(VLOOKUP($B49,SERVIÇOS!$B:$G,4,0),IFERROR(VLOOKUP($B49,$D:$K,6,0),)),IFERROR(VLOOKUP($C49,INSUMOS!$A:$D,4,0),IFERROR(VLOOKUP($C49,COTAÇÕES!$B:$I,7,0),(VLOOKUP($C49,'INSUMO SINAPI - SP'!$C:$F,4,0)))))*$G49,2)</f>
        <v>752.83</v>
      </c>
      <c r="J49" s="513">
        <f>TRUNC(IF($C49="",IFERROR(VLOOKUP($B49,SERVIÇOS!$B:$G,5,0),IFERROR(VLOOKUP($B49,$D:$K,7,0),)),0)*$G49,2)</f>
        <v>0</v>
      </c>
      <c r="K49" s="514">
        <f t="shared" si="2"/>
        <v>752.83</v>
      </c>
      <c r="L49" s="517"/>
      <c r="M49" s="471"/>
      <c r="N49" s="516"/>
      <c r="Q49" s="472"/>
      <c r="R49" s="472"/>
      <c r="S49" s="472"/>
      <c r="T49" s="472"/>
      <c r="U49" s="472"/>
      <c r="V49" s="472"/>
      <c r="W49" s="472"/>
      <c r="X49" s="472"/>
      <c r="Y49" s="472"/>
    </row>
    <row r="50" spans="1:25" ht="24" x14ac:dyDescent="0.25">
      <c r="A50" s="463"/>
      <c r="B50" s="498"/>
      <c r="C50" s="498"/>
      <c r="D50" s="499" t="s">
        <v>12075</v>
      </c>
      <c r="E50" s="500" t="s">
        <v>12686</v>
      </c>
      <c r="F50" s="501" t="s">
        <v>585</v>
      </c>
      <c r="G50" s="502"/>
      <c r="H50" s="503"/>
      <c r="I50" s="504">
        <f>ROUND(SUM(I51),2)</f>
        <v>602.53</v>
      </c>
      <c r="J50" s="504">
        <f>ROUND(SUM(J51),2)</f>
        <v>0</v>
      </c>
      <c r="K50" s="504">
        <f>+J50+I50</f>
        <v>602.53</v>
      </c>
      <c r="L50" s="523" t="s">
        <v>12687</v>
      </c>
      <c r="M50" s="471"/>
      <c r="N50" s="505"/>
      <c r="Q50" s="472"/>
      <c r="R50" s="472"/>
      <c r="S50" s="472"/>
      <c r="T50" s="472"/>
      <c r="U50" s="472"/>
      <c r="V50" s="472"/>
      <c r="W50" s="472"/>
      <c r="X50" s="472"/>
      <c r="Y50" s="472"/>
    </row>
    <row r="51" spans="1:25" ht="24" x14ac:dyDescent="0.25">
      <c r="A51" s="463"/>
      <c r="B51" s="507"/>
      <c r="C51" s="507" t="s">
        <v>12688</v>
      </c>
      <c r="D51" s="508"/>
      <c r="E51" s="518" t="s">
        <v>12689</v>
      </c>
      <c r="F51" s="519" t="s">
        <v>585</v>
      </c>
      <c r="G51" s="511">
        <v>1</v>
      </c>
      <c r="H51" s="520">
        <v>602.53</v>
      </c>
      <c r="I51" s="520">
        <f>TRUNC(H51*G51,2)</f>
        <v>602.53</v>
      </c>
      <c r="J51" s="521"/>
      <c r="K51" s="522">
        <f>I51+J51</f>
        <v>602.53</v>
      </c>
      <c r="L51" s="517" t="s">
        <v>12668</v>
      </c>
      <c r="M51" s="471"/>
      <c r="N51" s="516"/>
      <c r="Q51" s="472"/>
      <c r="R51" s="472"/>
      <c r="S51" s="472"/>
      <c r="T51" s="472"/>
      <c r="U51" s="472"/>
      <c r="V51" s="472"/>
      <c r="W51" s="472"/>
      <c r="X51" s="472"/>
      <c r="Y51" s="472"/>
    </row>
    <row r="52" spans="1:25" x14ac:dyDescent="0.25">
      <c r="A52" s="463"/>
      <c r="B52" s="498"/>
      <c r="C52" s="498"/>
      <c r="D52" s="499" t="s">
        <v>12550</v>
      </c>
      <c r="E52" s="500" t="s">
        <v>12690</v>
      </c>
      <c r="F52" s="501" t="s">
        <v>585</v>
      </c>
      <c r="G52" s="502"/>
      <c r="H52" s="503"/>
      <c r="I52" s="504">
        <f>ROUND(SUM(I53:I56),2)</f>
        <v>2.36</v>
      </c>
      <c r="J52" s="504">
        <f>ROUND(SUM(J53:J56),2)</f>
        <v>2.95</v>
      </c>
      <c r="K52" s="504">
        <f>+J52+I52</f>
        <v>5.3100000000000005</v>
      </c>
      <c r="L52" s="499" t="s">
        <v>12691</v>
      </c>
      <c r="M52" s="471"/>
      <c r="N52" s="505"/>
      <c r="Q52" s="472"/>
      <c r="R52" s="472"/>
      <c r="S52" s="472"/>
      <c r="T52" s="472"/>
      <c r="U52" s="472"/>
      <c r="V52" s="472"/>
      <c r="W52" s="472"/>
      <c r="X52" s="472"/>
      <c r="Y52" s="472"/>
    </row>
    <row r="53" spans="1:25" x14ac:dyDescent="0.25">
      <c r="A53" s="463"/>
      <c r="B53" s="507"/>
      <c r="C53" s="507">
        <v>7348</v>
      </c>
      <c r="D53" s="508"/>
      <c r="E53" s="509" t="str">
        <f>IF($C53="",IFERROR(VLOOKUP($B53,SERVIÇOS!$B:$G,2,0),IFERROR(VLOOKUP($B53,$D:$K,2,0),"")),IFERROR(VLOOKUP($C53,INSUMOS!$A:$D,2,0),IFERROR(VLOOKUP($C53,COTAÇÕES!$B:$I,2,0),(VLOOKUP($C53,'INSUMO SINAPI - SP'!$C:$F,2,0)))))</f>
        <v>TINTA ACRILICA PREMIUM PARA PISO</v>
      </c>
      <c r="F53" s="510" t="str">
        <f>IF($C53="",IFERROR(VLOOKUP($B53,SERVIÇOS!$B:$G,3,0),IFERROR(VLOOKUP($B53,$D:$K,3,0),"")),IFERROR(VLOOKUP($C53,INSUMOS!$A:$D,3,0),IFERROR(VLOOKUP($C53,COTAÇÕES!$B:$I,3,0),(VLOOKUP($C53,'INSUMO SINAPI - SP'!$C:$F,3,0)))))</f>
        <v>L</v>
      </c>
      <c r="G53" s="511">
        <v>4.2999999999999997E-2</v>
      </c>
      <c r="H53" s="512">
        <f>IF($C53="",IFERROR(VLOOKUP($B53,SERVIÇOS!$B:$G,6,0),IFERROR(VLOOKUP($B53,$D:$K,8,0),"")),IFERROR(VLOOKUP($C53,INSUMOS!$A:$D,4,0),IFERROR(VLOOKUP($C53,COTAÇÕES!$B:$I,7,0),(VLOOKUP($C53,'INSUMO SINAPI - SP'!$C:$F,4,0)))))</f>
        <v>18.73</v>
      </c>
      <c r="I53" s="513">
        <f>TRUNC(IF($C53="",IFERROR(VLOOKUP($B53,SERVIÇOS!$B:$G,4,0),IFERROR(VLOOKUP($B53,$D:$K,6,0),)),IFERROR(VLOOKUP($C53,INSUMOS!$A:$D,4,0),IFERROR(VLOOKUP($C53,COTAÇÕES!$B:$I,7,0),(VLOOKUP($C53,'INSUMO SINAPI - SP'!$C:$F,4,0)))))*$G53,2)</f>
        <v>0.8</v>
      </c>
      <c r="J53" s="513">
        <f>TRUNC(IF($C53="",IFERROR(VLOOKUP($B53,SERVIÇOS!$B:$G,5,0),IFERROR(VLOOKUP($B53,$D:$K,7,0),)),0)*$G53,2)</f>
        <v>0</v>
      </c>
      <c r="K53" s="514">
        <f>I53+J53</f>
        <v>0.8</v>
      </c>
      <c r="L53" s="517"/>
      <c r="M53" s="471"/>
      <c r="N53" s="516"/>
      <c r="Q53" s="472"/>
      <c r="R53" s="472"/>
      <c r="S53" s="472"/>
      <c r="T53" s="472"/>
      <c r="U53" s="472"/>
      <c r="V53" s="472"/>
      <c r="W53" s="472"/>
      <c r="X53" s="472"/>
      <c r="Y53" s="472"/>
    </row>
    <row r="54" spans="1:25" x14ac:dyDescent="0.25">
      <c r="A54" s="463"/>
      <c r="B54" s="507"/>
      <c r="C54" s="507">
        <v>12815</v>
      </c>
      <c r="D54" s="508"/>
      <c r="E54" s="509" t="str">
        <f>IF($C54="",IFERROR(VLOOKUP($B54,SERVIÇOS!$B:$G,2,0),IFERROR(VLOOKUP($B54,$D:$K,2,0),"")),IFERROR(VLOOKUP($C54,INSUMOS!$A:$D,2,0),IFERROR(VLOOKUP($C54,COTAÇÕES!$B:$I,2,0),(VLOOKUP($C54,'INSUMO SINAPI - SP'!$C:$F,2,0)))))</f>
        <v>FITA CREPE ROLO DE *25* MM X 50 M</v>
      </c>
      <c r="F54" s="510" t="str">
        <f>IF($C54="",IFERROR(VLOOKUP($B54,SERVIÇOS!$B:$G,3,0),IFERROR(VLOOKUP($B54,$D:$K,3,0),"")),IFERROR(VLOOKUP($C54,INSUMOS!$A:$D,3,0),IFERROR(VLOOKUP($C54,COTAÇÕES!$B:$I,3,0),(VLOOKUP($C54,'INSUMO SINAPI - SP'!$C:$F,3,0)))))</f>
        <v>UN</v>
      </c>
      <c r="G54" s="511">
        <v>0.04</v>
      </c>
      <c r="H54" s="512">
        <f>IF($C54="",IFERROR(VLOOKUP($B54,SERVIÇOS!$B:$G,6,0),IFERROR(VLOOKUP($B54,$D:$K,8,0),"")),IFERROR(VLOOKUP($C54,INSUMOS!$A:$D,4,0),IFERROR(VLOOKUP($C54,COTAÇÕES!$B:$I,7,0),(VLOOKUP($C54,'INSUMO SINAPI - SP'!$C:$F,4,0)))))</f>
        <v>8.18</v>
      </c>
      <c r="I54" s="513">
        <f>TRUNC(IF($C54="",IFERROR(VLOOKUP($B54,SERVIÇOS!$B:$G,4,0),IFERROR(VLOOKUP($B54,$D:$K,6,0),)),IFERROR(VLOOKUP($C54,INSUMOS!$A:$D,4,0),IFERROR(VLOOKUP($C54,COTAÇÕES!$B:$I,7,0),(VLOOKUP($C54,'INSUMO SINAPI - SP'!$C:$F,4,0)))))*$G54,2)</f>
        <v>0.32</v>
      </c>
      <c r="J54" s="513">
        <f>TRUNC(IF($C54="",IFERROR(VLOOKUP($B54,SERVIÇOS!$B:$G,5,0),IFERROR(VLOOKUP($B54,$D:$K,7,0),)),0)*$G54,2)</f>
        <v>0</v>
      </c>
      <c r="K54" s="514">
        <f>I54+J54</f>
        <v>0.32</v>
      </c>
      <c r="L54" s="517"/>
      <c r="M54" s="471"/>
      <c r="N54" s="516"/>
      <c r="Q54" s="472"/>
      <c r="R54" s="472"/>
      <c r="S54" s="472"/>
      <c r="T54" s="472"/>
      <c r="U54" s="472"/>
      <c r="V54" s="472"/>
      <c r="W54" s="472"/>
      <c r="X54" s="472"/>
      <c r="Y54" s="472"/>
    </row>
    <row r="55" spans="1:25" x14ac:dyDescent="0.25">
      <c r="A55" s="463"/>
      <c r="B55" s="507">
        <v>88310</v>
      </c>
      <c r="C55" s="507"/>
      <c r="D55" s="508"/>
      <c r="E55" s="509" t="str">
        <f>IF($C55="",IFERROR(VLOOKUP($B55,SERVIÇOS!$B:$G,2,0),IFERROR(VLOOKUP($B55,$D:$K,2,0),"")),IFERROR(VLOOKUP($C55,INSUMOS!$A:$D,2,0),IFERROR(VLOOKUP($C55,COTAÇÕES!$B:$I,2,0),(VLOOKUP($C55,'INSUMO SINAPI - SP'!$C:$F,2,0)))))</f>
        <v>PINTOR COM ENCARGOS COMPLEMENTARES</v>
      </c>
      <c r="F55" s="510" t="str">
        <f>IF($C55="",IFERROR(VLOOKUP($B55,SERVIÇOS!$B:$G,3,0),IFERROR(VLOOKUP($B55,$D:$K,3,0),"")),IFERROR(VLOOKUP($C55,INSUMOS!$A:$D,3,0),IFERROR(VLOOKUP($C55,COTAÇÕES!$B:$I,3,0),(VLOOKUP($C55,'INSUMO SINAPI - SP'!$C:$F,3,0)))))</f>
        <v>H</v>
      </c>
      <c r="G55" s="511">
        <v>8.3000000000000004E-2</v>
      </c>
      <c r="H55" s="512">
        <f>IF($C55="",IFERROR(VLOOKUP($B55,SERVIÇOS!$B:$G,6,0),IFERROR(VLOOKUP($B55,$D:$K,8,0),"")),IFERROR(VLOOKUP($C55,INSUMOS!$A:$D,4,0),IFERROR(VLOOKUP($C55,COTAÇÕES!$B:$I,7,0),(VLOOKUP($C55,'INSUMO SINAPI - SP'!$C:$F,4,0)))))</f>
        <v>38.54</v>
      </c>
      <c r="I55" s="513">
        <f>TRUNC(IF($C55="",IFERROR(VLOOKUP($B55,SERVIÇOS!$B:$G,4,0),IFERROR(VLOOKUP($B55,$D:$K,6,0),)),IFERROR(VLOOKUP($C55,INSUMOS!$A:$D,4,0),IFERROR(VLOOKUP($C55,COTAÇÕES!$B:$I,7,0),(VLOOKUP($C55,'INSUMO SINAPI - SP'!$C:$F,4,0)))))*$G55,2)</f>
        <v>0.92</v>
      </c>
      <c r="J55" s="513">
        <f>TRUNC(IF($C55="",IFERROR(VLOOKUP($B55,SERVIÇOS!$B:$G,5,0),IFERROR(VLOOKUP($B55,$D:$K,7,0),)),0)*$G55,2)</f>
        <v>2.27</v>
      </c>
      <c r="K55" s="514">
        <f>I55+J55</f>
        <v>3.19</v>
      </c>
      <c r="L55" s="515"/>
      <c r="M55" s="471"/>
      <c r="N55" s="516"/>
      <c r="Q55" s="472"/>
      <c r="R55" s="472"/>
      <c r="S55" s="472"/>
      <c r="T55" s="472"/>
      <c r="U55" s="472"/>
      <c r="V55" s="472"/>
      <c r="W55" s="472"/>
      <c r="X55" s="472"/>
      <c r="Y55" s="472"/>
    </row>
    <row r="56" spans="1:25" x14ac:dyDescent="0.25">
      <c r="A56" s="463"/>
      <c r="B56" s="507">
        <v>88316</v>
      </c>
      <c r="C56" s="507"/>
      <c r="D56" s="508"/>
      <c r="E56" s="509" t="str">
        <f>IF($C56="",IFERROR(VLOOKUP($B56,SERVIÇOS!$B:$G,2,0),IFERROR(VLOOKUP($B56,$D:$K,2,0),"")),IFERROR(VLOOKUP($C56,INSUMOS!$A:$D,2,0),IFERROR(VLOOKUP($C56,COTAÇÕES!$B:$I,2,0),(VLOOKUP($C56,'INSUMO SINAPI - SP'!$C:$F,2,0)))))</f>
        <v>SERVENTE COM ENCARGOS COMPLEMENTARES</v>
      </c>
      <c r="F56" s="510" t="str">
        <f>IF($C56="",IFERROR(VLOOKUP($B56,SERVIÇOS!$B:$G,3,0),IFERROR(VLOOKUP($B56,$D:$K,3,0),"")),IFERROR(VLOOKUP($C56,INSUMOS!$A:$D,3,0),IFERROR(VLOOKUP($C56,COTAÇÕES!$B:$I,3,0),(VLOOKUP($C56,'INSUMO SINAPI - SP'!$C:$F,3,0)))))</f>
        <v>H</v>
      </c>
      <c r="G56" s="511">
        <v>3.5000000000000003E-2</v>
      </c>
      <c r="H56" s="512">
        <f>IF($C56="",IFERROR(VLOOKUP($B56,SERVIÇOS!$B:$G,6,0),IFERROR(VLOOKUP($B56,$D:$K,8,0),"")),IFERROR(VLOOKUP($C56,INSUMOS!$A:$D,4,0),IFERROR(VLOOKUP($C56,COTAÇÕES!$B:$I,7,0),(VLOOKUP($C56,'INSUMO SINAPI - SP'!$C:$F,4,0)))))</f>
        <v>28.71</v>
      </c>
      <c r="I56" s="513">
        <f>TRUNC(IF($C56="",IFERROR(VLOOKUP($B56,SERVIÇOS!$B:$G,4,0),IFERROR(VLOOKUP($B56,$D:$K,6,0),)),IFERROR(VLOOKUP($C56,INSUMOS!$A:$D,4,0),IFERROR(VLOOKUP($C56,COTAÇÕES!$B:$I,7,0),(VLOOKUP($C56,'INSUMO SINAPI - SP'!$C:$F,4,0)))))*$G56,2)</f>
        <v>0.32</v>
      </c>
      <c r="J56" s="513">
        <f>TRUNC(IF($C56="",IFERROR(VLOOKUP($B56,SERVIÇOS!$B:$G,5,0),IFERROR(VLOOKUP($B56,$D:$K,7,0),)),0)*$G56,2)</f>
        <v>0.68</v>
      </c>
      <c r="K56" s="514">
        <f>I56+J56</f>
        <v>1</v>
      </c>
      <c r="L56" s="515"/>
      <c r="M56" s="471"/>
      <c r="N56" s="516"/>
      <c r="Q56" s="472"/>
      <c r="R56" s="472"/>
      <c r="S56" s="472"/>
      <c r="T56" s="472"/>
      <c r="U56" s="472"/>
      <c r="V56" s="472"/>
      <c r="W56" s="472"/>
      <c r="X56" s="472"/>
      <c r="Y56" s="472"/>
    </row>
    <row r="57" spans="1:25" x14ac:dyDescent="0.25">
      <c r="A57" s="463"/>
      <c r="B57" s="498"/>
      <c r="C57" s="498"/>
      <c r="D57" s="499" t="s">
        <v>12551</v>
      </c>
      <c r="E57" s="500" t="s">
        <v>12692</v>
      </c>
      <c r="F57" s="501" t="s">
        <v>580</v>
      </c>
      <c r="G57" s="524"/>
      <c r="H57" s="503"/>
      <c r="I57" s="504">
        <f>ROUND(SUM(I58:I62),2)</f>
        <v>222.83</v>
      </c>
      <c r="J57" s="504">
        <f>ROUND(SUM(J58:J62),2)</f>
        <v>375.6</v>
      </c>
      <c r="K57" s="504">
        <f>+J57+I57</f>
        <v>598.43000000000006</v>
      </c>
      <c r="L57" s="499" t="s">
        <v>12693</v>
      </c>
      <c r="M57" s="471"/>
      <c r="N57" s="505"/>
      <c r="Q57" s="472"/>
      <c r="R57" s="472"/>
      <c r="S57" s="472"/>
      <c r="T57" s="472"/>
      <c r="U57" s="472"/>
      <c r="V57" s="472"/>
      <c r="W57" s="472"/>
      <c r="X57" s="472"/>
      <c r="Y57" s="472"/>
    </row>
    <row r="58" spans="1:25" x14ac:dyDescent="0.25">
      <c r="A58" s="463"/>
      <c r="B58" s="506"/>
      <c r="C58" s="507">
        <v>7348</v>
      </c>
      <c r="D58" s="508"/>
      <c r="E58" s="509" t="str">
        <f>IF($C58="",IFERROR(VLOOKUP($B58,SERVIÇOS!$B:$G,2,0),IFERROR(VLOOKUP($B58,$D:$K,2,0),"")),IFERROR(VLOOKUP($C58,INSUMOS!$A:$D,2,0),IFERROR(VLOOKUP($C58,COTAÇÕES!$B:$I,2,0),(VLOOKUP($C58,'INSUMO SINAPI - SP'!$C:$F,2,0)))))</f>
        <v>TINTA ACRILICA PREMIUM PARA PISO</v>
      </c>
      <c r="F58" s="510" t="str">
        <f>IF($C58="",IFERROR(VLOOKUP($B58,SERVIÇOS!$B:$G,3,0),IFERROR(VLOOKUP($B58,$D:$K,3,0),"")),IFERROR(VLOOKUP($C58,INSUMOS!$A:$D,3,0),IFERROR(VLOOKUP($C58,COTAÇÕES!$B:$I,3,0),(VLOOKUP($C58,'INSUMO SINAPI - SP'!$C:$F,3,0)))))</f>
        <v>L</v>
      </c>
      <c r="G58" s="511">
        <v>1.3</v>
      </c>
      <c r="H58" s="512">
        <f>IF($C58="",IFERROR(VLOOKUP($B58,SERVIÇOS!$B:$G,6,0),IFERROR(VLOOKUP($B58,$D:$K,8,0),"")),IFERROR(VLOOKUP($C58,INSUMOS!$A:$D,4,0),IFERROR(VLOOKUP($C58,COTAÇÕES!$B:$I,7,0),(VLOOKUP($C58,'INSUMO SINAPI - SP'!$C:$F,4,0)))))</f>
        <v>18.73</v>
      </c>
      <c r="I58" s="513">
        <f>TRUNC(IF($C58="",IFERROR(VLOOKUP($B58,SERVIÇOS!$B:$G,4,0),IFERROR(VLOOKUP($B58,$D:$K,6,0),)),IFERROR(VLOOKUP($C58,INSUMOS!$A:$D,4,0),IFERROR(VLOOKUP($C58,COTAÇÕES!$B:$I,7,0),(VLOOKUP($C58,'INSUMO SINAPI - SP'!$C:$F,4,0)))))*$G58,2)</f>
        <v>24.34</v>
      </c>
      <c r="J58" s="513">
        <f>TRUNC(IF($C58="",IFERROR(VLOOKUP($B58,SERVIÇOS!$B:$G,5,0),IFERROR(VLOOKUP($B58,$D:$K,7,0),)),0)*$G58,2)</f>
        <v>0</v>
      </c>
      <c r="K58" s="514">
        <f>I58+J58</f>
        <v>24.34</v>
      </c>
      <c r="L58" s="517"/>
      <c r="M58" s="471"/>
      <c r="N58" s="516"/>
      <c r="Q58" s="472"/>
      <c r="R58" s="472"/>
      <c r="S58" s="472"/>
      <c r="T58" s="472"/>
      <c r="U58" s="472"/>
      <c r="V58" s="472"/>
      <c r="W58" s="472"/>
      <c r="X58" s="472"/>
      <c r="Y58" s="472"/>
    </row>
    <row r="59" spans="1:25" x14ac:dyDescent="0.25">
      <c r="A59" s="463"/>
      <c r="B59" s="506"/>
      <c r="C59" s="507">
        <v>6085</v>
      </c>
      <c r="D59" s="508"/>
      <c r="E59" s="509" t="str">
        <f>IF($C59="",IFERROR(VLOOKUP($B59,SERVIÇOS!$B:$G,2,0),IFERROR(VLOOKUP($B59,$D:$K,2,0),"")),IFERROR(VLOOKUP($C59,INSUMOS!$A:$D,2,0),IFERROR(VLOOKUP($C59,COTAÇÕES!$B:$I,2,0),(VLOOKUP($C59,'INSUMO SINAPI - SP'!$C:$F,2,0)))))</f>
        <v>SELADOR ACRILICO OPACO PREMIUM INTERIOR/EXTERIOR</v>
      </c>
      <c r="F59" s="510" t="str">
        <f>IF($C59="",IFERROR(VLOOKUP($B59,SERVIÇOS!$B:$G,3,0),IFERROR(VLOOKUP($B59,$D:$K,3,0),"")),IFERROR(VLOOKUP($C59,INSUMOS!$A:$D,3,0),IFERROR(VLOOKUP($C59,COTAÇÕES!$B:$I,3,0),(VLOOKUP($C59,'INSUMO SINAPI - SP'!$C:$F,3,0)))))</f>
        <v>L</v>
      </c>
      <c r="G59" s="511">
        <v>1.3</v>
      </c>
      <c r="H59" s="512">
        <f>IF($C59="",IFERROR(VLOOKUP($B59,SERVIÇOS!$B:$G,6,0),IFERROR(VLOOKUP($B59,$D:$K,8,0),"")),IFERROR(VLOOKUP($C59,INSUMOS!$A:$D,4,0),IFERROR(VLOOKUP($C59,COTAÇÕES!$B:$I,7,0),(VLOOKUP($C59,'INSUMO SINAPI - SP'!$C:$F,4,0)))))</f>
        <v>8.89</v>
      </c>
      <c r="I59" s="513">
        <f>TRUNC(IF($C59="",IFERROR(VLOOKUP($B59,SERVIÇOS!$B:$G,4,0),IFERROR(VLOOKUP($B59,$D:$K,6,0),)),IFERROR(VLOOKUP($C59,INSUMOS!$A:$D,4,0),IFERROR(VLOOKUP($C59,COTAÇÕES!$B:$I,7,0),(VLOOKUP($C59,'INSUMO SINAPI - SP'!$C:$F,4,0)))))*$G59,2)</f>
        <v>11.55</v>
      </c>
      <c r="J59" s="513">
        <f>TRUNC(IF($C59="",IFERROR(VLOOKUP($B59,SERVIÇOS!$B:$G,5,0),IFERROR(VLOOKUP($B59,$D:$K,7,0),)),0)*$G59,2)</f>
        <v>0</v>
      </c>
      <c r="K59" s="514">
        <f>I59+J59</f>
        <v>11.55</v>
      </c>
      <c r="L59" s="517"/>
      <c r="M59" s="471"/>
      <c r="N59" s="516"/>
      <c r="Q59" s="472"/>
      <c r="R59" s="472"/>
      <c r="S59" s="472"/>
      <c r="T59" s="472"/>
      <c r="U59" s="472"/>
      <c r="V59" s="472"/>
      <c r="W59" s="472"/>
      <c r="X59" s="472"/>
      <c r="Y59" s="472"/>
    </row>
    <row r="60" spans="1:25" x14ac:dyDescent="0.25">
      <c r="A60" s="463"/>
      <c r="B60" s="506"/>
      <c r="C60" s="507">
        <v>12815</v>
      </c>
      <c r="D60" s="508"/>
      <c r="E60" s="509" t="str">
        <f>IF($C60="",IFERROR(VLOOKUP($B60,SERVIÇOS!$B:$G,2,0),IFERROR(VLOOKUP($B60,$D:$K,2,0),"")),IFERROR(VLOOKUP($C60,INSUMOS!$A:$D,2,0),IFERROR(VLOOKUP($C60,COTAÇÕES!$B:$I,2,0),(VLOOKUP($C60,'INSUMO SINAPI - SP'!$C:$F,2,0)))))</f>
        <v>FITA CREPE ROLO DE *25* MM X 50 M</v>
      </c>
      <c r="F60" s="510" t="str">
        <f>IF($C60="",IFERROR(VLOOKUP($B60,SERVIÇOS!$B:$G,3,0),IFERROR(VLOOKUP($B60,$D:$K,3,0),"")),IFERROR(VLOOKUP($C60,INSUMOS!$A:$D,3,0),IFERROR(VLOOKUP($C60,COTAÇÕES!$B:$I,3,0),(VLOOKUP($C60,'INSUMO SINAPI - SP'!$C:$F,3,0)))))</f>
        <v>UN</v>
      </c>
      <c r="G60" s="511">
        <v>3</v>
      </c>
      <c r="H60" s="512">
        <f>IF($C60="",IFERROR(VLOOKUP($B60,SERVIÇOS!$B:$G,6,0),IFERROR(VLOOKUP($B60,$D:$K,8,0),"")),IFERROR(VLOOKUP($C60,INSUMOS!$A:$D,4,0),IFERROR(VLOOKUP($C60,COTAÇÕES!$B:$I,7,0),(VLOOKUP($C60,'INSUMO SINAPI - SP'!$C:$F,4,0)))))</f>
        <v>8.18</v>
      </c>
      <c r="I60" s="513">
        <f>TRUNC(IF($C60="",IFERROR(VLOOKUP($B60,SERVIÇOS!$B:$G,4,0),IFERROR(VLOOKUP($B60,$D:$K,6,0),)),IFERROR(VLOOKUP($C60,INSUMOS!$A:$D,4,0),IFERROR(VLOOKUP($C60,COTAÇÕES!$B:$I,7,0),(VLOOKUP($C60,'INSUMO SINAPI - SP'!$C:$F,4,0)))))*$G60,2)</f>
        <v>24.54</v>
      </c>
      <c r="J60" s="513">
        <f>TRUNC(IF($C60="",IFERROR(VLOOKUP($B60,SERVIÇOS!$B:$G,5,0),IFERROR(VLOOKUP($B60,$D:$K,7,0),)),0)*$G60,2)</f>
        <v>0</v>
      </c>
      <c r="K60" s="514">
        <f>I60+J60</f>
        <v>24.54</v>
      </c>
      <c r="L60" s="517"/>
      <c r="M60" s="471"/>
      <c r="N60" s="516"/>
      <c r="Q60" s="472"/>
      <c r="R60" s="472"/>
      <c r="S60" s="472"/>
      <c r="T60" s="472"/>
      <c r="U60" s="472"/>
      <c r="V60" s="472"/>
      <c r="W60" s="472"/>
      <c r="X60" s="472"/>
      <c r="Y60" s="472"/>
    </row>
    <row r="61" spans="1:25" x14ac:dyDescent="0.25">
      <c r="A61" s="463"/>
      <c r="B61" s="507">
        <v>88310</v>
      </c>
      <c r="C61" s="507"/>
      <c r="D61" s="508"/>
      <c r="E61" s="509" t="str">
        <f>IF($C61="",IFERROR(VLOOKUP($B61,SERVIÇOS!$B:$G,2,0),IFERROR(VLOOKUP($B61,$D:$K,2,0),"")),IFERROR(VLOOKUP($C61,INSUMOS!$A:$D,2,0),IFERROR(VLOOKUP($C61,COTAÇÕES!$B:$I,2,0),(VLOOKUP($C61,'INSUMO SINAPI - SP'!$C:$F,2,0)))))</f>
        <v>PINTOR COM ENCARGOS COMPLEMENTARES</v>
      </c>
      <c r="F61" s="510" t="str">
        <f>IF($C61="",IFERROR(VLOOKUP($B61,SERVIÇOS!$B:$G,3,0),IFERROR(VLOOKUP($B61,$D:$K,3,0),"")),IFERROR(VLOOKUP($C61,INSUMOS!$A:$D,3,0),IFERROR(VLOOKUP($C61,COTAÇÕES!$B:$I,3,0),(VLOOKUP($C61,'INSUMO SINAPI - SP'!$C:$F,3,0)))))</f>
        <v>H</v>
      </c>
      <c r="G61" s="511">
        <v>8</v>
      </c>
      <c r="H61" s="512">
        <f>IF($C61="",IFERROR(VLOOKUP($B61,SERVIÇOS!$B:$G,6,0),IFERROR(VLOOKUP($B61,$D:$K,8,0),"")),IFERROR(VLOOKUP($C61,INSUMOS!$A:$D,4,0),IFERROR(VLOOKUP($C61,COTAÇÕES!$B:$I,7,0),(VLOOKUP($C61,'INSUMO SINAPI - SP'!$C:$F,4,0)))))</f>
        <v>38.54</v>
      </c>
      <c r="I61" s="513">
        <f>TRUNC(IF($C61="",IFERROR(VLOOKUP($B61,SERVIÇOS!$B:$G,4,0),IFERROR(VLOOKUP($B61,$D:$K,6,0),)),IFERROR(VLOOKUP($C61,INSUMOS!$A:$D,4,0),IFERROR(VLOOKUP($C61,COTAÇÕES!$B:$I,7,0),(VLOOKUP($C61,'INSUMO SINAPI - SP'!$C:$F,4,0)))))*$G61,2)</f>
        <v>88.8</v>
      </c>
      <c r="J61" s="513">
        <f>TRUNC(IF($C61="",IFERROR(VLOOKUP($B61,SERVIÇOS!$B:$G,5,0),IFERROR(VLOOKUP($B61,$D:$K,7,0),)),0)*$G61,2)</f>
        <v>219.52</v>
      </c>
      <c r="K61" s="514">
        <f>I61+J61</f>
        <v>308.32</v>
      </c>
      <c r="L61" s="515"/>
      <c r="M61" s="471"/>
      <c r="N61" s="516"/>
      <c r="Q61" s="472"/>
      <c r="R61" s="472"/>
      <c r="S61" s="472"/>
      <c r="T61" s="472"/>
      <c r="U61" s="472"/>
      <c r="V61" s="472"/>
      <c r="W61" s="472"/>
      <c r="X61" s="472"/>
      <c r="Y61" s="472"/>
    </row>
    <row r="62" spans="1:25" x14ac:dyDescent="0.25">
      <c r="A62" s="463"/>
      <c r="B62" s="507">
        <v>88316</v>
      </c>
      <c r="C62" s="507"/>
      <c r="D62" s="508"/>
      <c r="E62" s="509" t="str">
        <f>IF($C62="",IFERROR(VLOOKUP($B62,SERVIÇOS!$B:$G,2,0),IFERROR(VLOOKUP($B62,$D:$K,2,0),"")),IFERROR(VLOOKUP($C62,INSUMOS!$A:$D,2,0),IFERROR(VLOOKUP($C62,COTAÇÕES!$B:$I,2,0),(VLOOKUP($C62,'INSUMO SINAPI - SP'!$C:$F,2,0)))))</f>
        <v>SERVENTE COM ENCARGOS COMPLEMENTARES</v>
      </c>
      <c r="F62" s="510" t="str">
        <f>IF($C62="",IFERROR(VLOOKUP($B62,SERVIÇOS!$B:$G,3,0),IFERROR(VLOOKUP($B62,$D:$K,3,0),"")),IFERROR(VLOOKUP($C62,INSUMOS!$A:$D,3,0),IFERROR(VLOOKUP($C62,COTAÇÕES!$B:$I,3,0),(VLOOKUP($C62,'INSUMO SINAPI - SP'!$C:$F,3,0)))))</f>
        <v>H</v>
      </c>
      <c r="G62" s="511">
        <v>8</v>
      </c>
      <c r="H62" s="512">
        <f>IF($C62="",IFERROR(VLOOKUP($B62,SERVIÇOS!$B:$G,6,0),IFERROR(VLOOKUP($B62,$D:$K,8,0),"")),IFERROR(VLOOKUP($C62,INSUMOS!$A:$D,4,0),IFERROR(VLOOKUP($C62,COTAÇÕES!$B:$I,7,0),(VLOOKUP($C62,'INSUMO SINAPI - SP'!$C:$F,4,0)))))</f>
        <v>28.71</v>
      </c>
      <c r="I62" s="513">
        <f>TRUNC(IF($C62="",IFERROR(VLOOKUP($B62,SERVIÇOS!$B:$G,4,0),IFERROR(VLOOKUP($B62,$D:$K,6,0),)),IFERROR(VLOOKUP($C62,INSUMOS!$A:$D,4,0),IFERROR(VLOOKUP($C62,COTAÇÕES!$B:$I,7,0),(VLOOKUP($C62,'INSUMO SINAPI - SP'!$C:$F,4,0)))))*$G62,2)</f>
        <v>73.599999999999994</v>
      </c>
      <c r="J62" s="513">
        <f>TRUNC(IF($C62="",IFERROR(VLOOKUP($B62,SERVIÇOS!$B:$G,5,0),IFERROR(VLOOKUP($B62,$D:$K,7,0),)),0)*$G62,2)</f>
        <v>156.08000000000001</v>
      </c>
      <c r="K62" s="514">
        <f>I62+J62</f>
        <v>229.68</v>
      </c>
      <c r="L62" s="515"/>
      <c r="M62" s="471"/>
      <c r="N62" s="516"/>
      <c r="Q62" s="472"/>
      <c r="R62" s="472"/>
      <c r="S62" s="472"/>
      <c r="T62" s="472"/>
      <c r="U62" s="472"/>
      <c r="V62" s="472"/>
      <c r="W62" s="472"/>
      <c r="X62" s="472"/>
      <c r="Y62" s="472"/>
    </row>
    <row r="63" spans="1:25" x14ac:dyDescent="0.25">
      <c r="A63" s="463"/>
      <c r="B63" s="498"/>
      <c r="C63" s="498"/>
      <c r="D63" s="499" t="s">
        <v>12514</v>
      </c>
      <c r="E63" s="500" t="s">
        <v>12694</v>
      </c>
      <c r="F63" s="501" t="s">
        <v>585</v>
      </c>
      <c r="G63" s="525"/>
      <c r="H63" s="503"/>
      <c r="I63" s="504">
        <f>ROUND(SUM(I64:I66),2)</f>
        <v>19.440000000000001</v>
      </c>
      <c r="J63" s="504">
        <f>ROUND(SUM(J64:J66),2)</f>
        <v>26.98</v>
      </c>
      <c r="K63" s="504">
        <f>+J63+I63</f>
        <v>46.42</v>
      </c>
      <c r="L63" s="523" t="s">
        <v>12695</v>
      </c>
      <c r="M63" s="471"/>
      <c r="N63" s="505"/>
      <c r="Q63" s="472"/>
      <c r="R63" s="472"/>
      <c r="S63" s="472"/>
      <c r="T63" s="472"/>
      <c r="U63" s="472"/>
      <c r="V63" s="472"/>
      <c r="W63" s="472"/>
      <c r="X63" s="472"/>
      <c r="Y63" s="472"/>
    </row>
    <row r="64" spans="1:25" x14ac:dyDescent="0.25">
      <c r="A64" s="463"/>
      <c r="B64" s="506">
        <v>88309</v>
      </c>
      <c r="C64" s="507"/>
      <c r="D64" s="508"/>
      <c r="E64" s="509" t="str">
        <f>IF($C64="",IFERROR(VLOOKUP($B64,SERVIÇOS!$B:$G,2,0),IFERROR(VLOOKUP($B64,$D:$K,2,0),"")),IFERROR(VLOOKUP($C64,INSUMOS!$A:$D,2,0),IFERROR(VLOOKUP($C64,COTAÇÕES!$B:$I,2,0),(VLOOKUP($C64,'INSUMO SINAPI - SP'!$C:$F,2,0)))))</f>
        <v>PEDREIRO COM ENCARGOS COMPLEMENTARES</v>
      </c>
      <c r="F64" s="510" t="str">
        <f>IF($C64="",IFERROR(VLOOKUP($B64,SERVIÇOS!$B:$G,3,0),IFERROR(VLOOKUP($B64,$D:$K,3,0),"")),IFERROR(VLOOKUP($C64,INSUMOS!$A:$D,3,0),IFERROR(VLOOKUP($C64,COTAÇÕES!$B:$I,3,0),(VLOOKUP($C64,'INSUMO SINAPI - SP'!$C:$F,3,0)))))</f>
        <v>H</v>
      </c>
      <c r="G64" s="511">
        <v>0.2</v>
      </c>
      <c r="H64" s="512">
        <f>IF($C64="",IFERROR(VLOOKUP($B64,SERVIÇOS!$B:$G,6,0),IFERROR(VLOOKUP($B64,$D:$K,8,0),"")),IFERROR(VLOOKUP($C64,INSUMOS!$A:$D,4,0),IFERROR(VLOOKUP($C64,COTAÇÕES!$B:$I,7,0),(VLOOKUP($C64,'INSUMO SINAPI - SP'!$C:$F,4,0)))))</f>
        <v>36.909999999999997</v>
      </c>
      <c r="I64" s="513">
        <f>TRUNC(IF($C64="",IFERROR(VLOOKUP($B64,SERVIÇOS!$B:$G,4,0),IFERROR(VLOOKUP($B64,$D:$K,6,0),)),IFERROR(VLOOKUP($C64,INSUMOS!$A:$D,4,0),IFERROR(VLOOKUP($C64,COTAÇÕES!$B:$I,7,0),(VLOOKUP($C64,'INSUMO SINAPI - SP'!$C:$F,4,0)))))*$G64,2)</f>
        <v>1.85</v>
      </c>
      <c r="J64" s="513">
        <f>TRUNC(IF($C64="",IFERROR(VLOOKUP($B64,SERVIÇOS!$B:$G,5,0),IFERROR(VLOOKUP($B64,$D:$K,7,0),)),0)*$G64,2)</f>
        <v>5.52</v>
      </c>
      <c r="K64" s="514">
        <f>I64+J64</f>
        <v>7.3699999999999992</v>
      </c>
      <c r="L64" s="515"/>
      <c r="M64" s="471"/>
      <c r="N64" s="516"/>
      <c r="Q64" s="472"/>
      <c r="R64" s="472"/>
      <c r="S64" s="472"/>
      <c r="T64" s="472"/>
      <c r="U64" s="472"/>
      <c r="V64" s="472"/>
      <c r="W64" s="472"/>
      <c r="X64" s="472"/>
      <c r="Y64" s="472"/>
    </row>
    <row r="65" spans="1:25" x14ac:dyDescent="0.25">
      <c r="A65" s="463"/>
      <c r="B65" s="506">
        <v>88316</v>
      </c>
      <c r="C65" s="507"/>
      <c r="D65" s="508"/>
      <c r="E65" s="509" t="str">
        <f>IF($C65="",IFERROR(VLOOKUP($B65,SERVIÇOS!$B:$G,2,0),IFERROR(VLOOKUP($B65,$D:$K,2,0),"")),IFERROR(VLOOKUP($C65,INSUMOS!$A:$D,2,0),IFERROR(VLOOKUP($C65,COTAÇÕES!$B:$I,2,0),(VLOOKUP($C65,'INSUMO SINAPI - SP'!$C:$F,2,0)))))</f>
        <v>SERVENTE COM ENCARGOS COMPLEMENTARES</v>
      </c>
      <c r="F65" s="510" t="str">
        <f>IF($C65="",IFERROR(VLOOKUP($B65,SERVIÇOS!$B:$G,3,0),IFERROR(VLOOKUP($B65,$D:$K,3,0),"")),IFERROR(VLOOKUP($C65,INSUMOS!$A:$D,3,0),IFERROR(VLOOKUP($C65,COTAÇÕES!$B:$I,3,0),(VLOOKUP($C65,'INSUMO SINAPI - SP'!$C:$F,3,0)))))</f>
        <v>H</v>
      </c>
      <c r="G65" s="511">
        <v>1.1000000000000001</v>
      </c>
      <c r="H65" s="512">
        <f>IF($C65="",IFERROR(VLOOKUP($B65,SERVIÇOS!$B:$G,6,0),IFERROR(VLOOKUP($B65,$D:$K,8,0),"")),IFERROR(VLOOKUP($C65,INSUMOS!$A:$D,4,0),IFERROR(VLOOKUP($C65,COTAÇÕES!$B:$I,7,0),(VLOOKUP($C65,'INSUMO SINAPI - SP'!$C:$F,4,0)))))</f>
        <v>28.71</v>
      </c>
      <c r="I65" s="513">
        <f>TRUNC(IF($C65="",IFERROR(VLOOKUP($B65,SERVIÇOS!$B:$G,4,0),IFERROR(VLOOKUP($B65,$D:$K,6,0),)),IFERROR(VLOOKUP($C65,INSUMOS!$A:$D,4,0),IFERROR(VLOOKUP($C65,COTAÇÕES!$B:$I,7,0),(VLOOKUP($C65,'INSUMO SINAPI - SP'!$C:$F,4,0)))))*$G65,2)</f>
        <v>10.119999999999999</v>
      </c>
      <c r="J65" s="513">
        <f>TRUNC(IF($C65="",IFERROR(VLOOKUP($B65,SERVIÇOS!$B:$G,5,0),IFERROR(VLOOKUP($B65,$D:$K,7,0),)),0)*$G65,2)</f>
        <v>21.46</v>
      </c>
      <c r="K65" s="514">
        <f>I65+J65</f>
        <v>31.58</v>
      </c>
      <c r="L65" s="515"/>
      <c r="M65" s="471"/>
      <c r="N65" s="516"/>
      <c r="Q65" s="472"/>
      <c r="R65" s="472"/>
      <c r="S65" s="472"/>
      <c r="T65" s="472"/>
      <c r="U65" s="472"/>
      <c r="V65" s="472"/>
      <c r="W65" s="472"/>
      <c r="X65" s="472"/>
      <c r="Y65" s="472"/>
    </row>
    <row r="66" spans="1:25" ht="24" x14ac:dyDescent="0.25">
      <c r="A66" s="463"/>
      <c r="B66" s="507"/>
      <c r="C66" s="507">
        <v>38404</v>
      </c>
      <c r="D66" s="508"/>
      <c r="E66" s="509" t="str">
        <f>IF($C66="",IFERROR(VLOOKUP($B66,SERVIÇOS!$B:$G,2,0),IFERROR(VLOOKUP($B66,$D:$K,2,0),"")),IFERROR(VLOOKUP($C66,INSUMOS!$A:$D,2,0),IFERROR(VLOOKUP($C66,COTAÇÕES!$B:$I,2,0),(VLOOKUP($C66,'INSUMO SINAPI - SP'!$C:$F,2,0)))))</f>
        <v>CONCRETO USINADO BOMBEAVEL, CLASSE DE RESISTENCIA C20, COM BRITA 0 E 1, SLUMP = 130 +/- 20 MM, EXCLUI SERVICO DE BOMBEAMENTO (NBR 8953)</v>
      </c>
      <c r="F66" s="510" t="str">
        <f>IF($C66="",IFERROR(VLOOKUP($B66,SERVIÇOS!$B:$G,3,0),IFERROR(VLOOKUP($B66,$D:$K,3,0),"")),IFERROR(VLOOKUP($C66,INSUMOS!$A:$D,3,0),IFERROR(VLOOKUP($C66,COTAÇÕES!$B:$I,3,0),(VLOOKUP($C66,'INSUMO SINAPI - SP'!$C:$F,3,0)))))</f>
        <v>M3</v>
      </c>
      <c r="G66" s="511">
        <v>1.6E-2</v>
      </c>
      <c r="H66" s="512">
        <f>IF($C66="",IFERROR(VLOOKUP($B66,SERVIÇOS!$B:$G,6,0),IFERROR(VLOOKUP($B66,$D:$K,8,0),"")),IFERROR(VLOOKUP($C66,INSUMOS!$A:$D,4,0),IFERROR(VLOOKUP($C66,COTAÇÕES!$B:$I,7,0),(VLOOKUP($C66,'INSUMO SINAPI - SP'!$C:$F,4,0)))))</f>
        <v>466.97</v>
      </c>
      <c r="I66" s="513">
        <f>TRUNC(IF($C66="",IFERROR(VLOOKUP($B66,SERVIÇOS!$B:$G,4,0),IFERROR(VLOOKUP($B66,$D:$K,6,0),)),IFERROR(VLOOKUP($C66,INSUMOS!$A:$D,4,0),IFERROR(VLOOKUP($C66,COTAÇÕES!$B:$I,7,0),(VLOOKUP($C66,'INSUMO SINAPI - SP'!$C:$F,4,0)))))*$G66,2)</f>
        <v>7.47</v>
      </c>
      <c r="J66" s="513">
        <f>TRUNC(IF($C66="",IFERROR(VLOOKUP($B66,SERVIÇOS!$B:$G,5,0),IFERROR(VLOOKUP($B66,$D:$K,7,0),)),0)*$G66,2)</f>
        <v>0</v>
      </c>
      <c r="K66" s="514">
        <f>I66+J66</f>
        <v>7.47</v>
      </c>
      <c r="L66" s="517"/>
      <c r="M66" s="471"/>
      <c r="N66" s="516"/>
      <c r="Q66" s="472"/>
      <c r="R66" s="472"/>
      <c r="S66" s="472"/>
      <c r="T66" s="472"/>
      <c r="U66" s="472"/>
      <c r="V66" s="472"/>
      <c r="W66" s="472"/>
      <c r="X66" s="472"/>
      <c r="Y66" s="472"/>
    </row>
    <row r="67" spans="1:25" ht="24" x14ac:dyDescent="0.25">
      <c r="A67" s="463"/>
      <c r="B67" s="526"/>
      <c r="C67" s="527"/>
      <c r="D67" s="499" t="s">
        <v>12057</v>
      </c>
      <c r="E67" s="500" t="s">
        <v>12696</v>
      </c>
      <c r="F67" s="501" t="s">
        <v>580</v>
      </c>
      <c r="G67" s="528"/>
      <c r="H67" s="503"/>
      <c r="I67" s="504">
        <f>ROUND(SUM(I68:I71),2)</f>
        <v>181.94</v>
      </c>
      <c r="J67" s="504">
        <f>ROUND(SUM(J68:J71),2)</f>
        <v>22.23</v>
      </c>
      <c r="K67" s="504">
        <f>+J67+I67</f>
        <v>204.17</v>
      </c>
      <c r="L67" s="499" t="s">
        <v>12697</v>
      </c>
      <c r="M67" s="471"/>
      <c r="N67" s="505"/>
      <c r="Q67" s="472"/>
      <c r="R67" s="472"/>
      <c r="S67" s="472"/>
      <c r="T67" s="472"/>
      <c r="U67" s="472"/>
      <c r="V67" s="472"/>
      <c r="W67" s="472"/>
      <c r="X67" s="472"/>
      <c r="Y67" s="472"/>
    </row>
    <row r="68" spans="1:25" ht="24" x14ac:dyDescent="0.25">
      <c r="A68" s="463"/>
      <c r="B68" s="506"/>
      <c r="C68" s="507" t="s">
        <v>12698</v>
      </c>
      <c r="D68" s="508"/>
      <c r="E68" s="509" t="str">
        <f>IF($C68="",IFERROR(VLOOKUP($B68,SERVIÇOS!$B:$G,2,0),IFERROR(VLOOKUP($B68,$D:$K,2,0),"")),IFERROR(VLOOKUP($C68,INSUMOS!$A:$D,2,0),IFERROR(VLOOKUP($C68,COTAÇÕES!$B:$I,2,0),(VLOOKUP($C68,'INSUMO SINAPI - SP'!$C:$F,2,0)))))</f>
        <v>PARAFUSO FRANCES M16 EM ACO GALVANIZADO, COMPRIMENTO = 45 MM, DIAMETRO = 16 MM, CABECA ABAULADA</v>
      </c>
      <c r="F68" s="510" t="str">
        <f>IF($C68="",IFERROR(VLOOKUP($B68,SERVIÇOS!$B:$G,3,0),IFERROR(VLOOKUP($B68,$D:$K,3,0),"")),IFERROR(VLOOKUP($C68,INSUMOS!$A:$D,3,0),IFERROR(VLOOKUP($C68,COTAÇÕES!$B:$I,3,0),(VLOOKUP($C68,'INSUMO SINAPI - SP'!$C:$F,3,0)))))</f>
        <v>UN</v>
      </c>
      <c r="G68" s="511">
        <v>4</v>
      </c>
      <c r="H68" s="512">
        <f>IF($C68="",IFERROR(VLOOKUP($B68,SERVIÇOS!$B:$G,6,0),IFERROR(VLOOKUP($B68,$D:$K,8,0),"")),IFERROR(VLOOKUP($C68,INSUMOS!$A:$D,4,0),IFERROR(VLOOKUP($C68,COTAÇÕES!$B:$I,7,0),(VLOOKUP($C68,'INSUMO SINAPI - SP'!$C:$F,4,0)))))</f>
        <v>7.17</v>
      </c>
      <c r="I68" s="513">
        <f>TRUNC(IF($C68="",IFERROR(VLOOKUP($B68,SERVIÇOS!$B:$G,4,0),IFERROR(VLOOKUP($B68,$D:$K,6,0),)),IFERROR(VLOOKUP($C68,INSUMOS!$A:$D,4,0),IFERROR(VLOOKUP($C68,COTAÇÕES!$B:$I,7,0),(VLOOKUP($C68,'INSUMO SINAPI - SP'!$C:$F,4,0)))))*$G68,2)</f>
        <v>28.68</v>
      </c>
      <c r="J68" s="513"/>
      <c r="K68" s="514">
        <f>I68+J68</f>
        <v>28.68</v>
      </c>
      <c r="L68" s="515" t="s">
        <v>12685</v>
      </c>
      <c r="M68" s="471"/>
      <c r="N68" s="516"/>
      <c r="Q68" s="472"/>
      <c r="R68" s="472"/>
      <c r="S68" s="472"/>
      <c r="T68" s="472"/>
      <c r="U68" s="472"/>
      <c r="V68" s="472"/>
      <c r="W68" s="472"/>
      <c r="X68" s="472"/>
      <c r="Y68" s="472"/>
    </row>
    <row r="69" spans="1:25" x14ac:dyDescent="0.25">
      <c r="A69" s="463"/>
      <c r="B69" s="506"/>
      <c r="C69" s="507">
        <v>11186</v>
      </c>
      <c r="D69" s="508"/>
      <c r="E69" s="509" t="str">
        <f>IF($C69="",IFERROR(VLOOKUP($B69,SERVIÇOS!$B:$G,2,0),IFERROR(VLOOKUP($B69,$D:$K,2,0),"")),IFERROR(VLOOKUP($C69,INSUMOS!$A:$D,2,0),IFERROR(VLOOKUP($C69,COTAÇÕES!$B:$I,2,0),(VLOOKUP($C69,'INSUMO SINAPI - SP'!$C:$F,2,0)))))</f>
        <v>ESPELHO CRISTAL E = 4 MM</v>
      </c>
      <c r="F69" s="510" t="str">
        <f>IF($C69="",IFERROR(VLOOKUP($B69,SERVIÇOS!$B:$G,3,0),IFERROR(VLOOKUP($B69,$D:$K,3,0),"")),IFERROR(VLOOKUP($C69,INSUMOS!$A:$D,3,0),IFERROR(VLOOKUP($C69,COTAÇÕES!$B:$I,3,0),(VLOOKUP($C69,'INSUMO SINAPI - SP'!$C:$F,3,0)))))</f>
        <v>M2</v>
      </c>
      <c r="G69" s="511">
        <v>0.35</v>
      </c>
      <c r="H69" s="512">
        <f>IF($C69="",IFERROR(VLOOKUP($B69,SERVIÇOS!$B:$G,6,0),IFERROR(VLOOKUP($B69,$D:$K,8,0),"")),IFERROR(VLOOKUP($C69,INSUMOS!$A:$D,4,0),IFERROR(VLOOKUP($C69,COTAÇÕES!$B:$I,7,0),(VLOOKUP($C69,'INSUMO SINAPI - SP'!$C:$F,4,0)))))</f>
        <v>415.66</v>
      </c>
      <c r="I69" s="513">
        <f>TRUNC(IF($C69="",IFERROR(VLOOKUP($B69,SERVIÇOS!$B:$G,4,0),IFERROR(VLOOKUP($B69,$D:$K,6,0),)),IFERROR(VLOOKUP($C69,INSUMOS!$A:$D,4,0),IFERROR(VLOOKUP($C69,COTAÇÕES!$B:$I,7,0),(VLOOKUP($C69,'INSUMO SINAPI - SP'!$C:$F,4,0)))))*$G69,2)</f>
        <v>145.47999999999999</v>
      </c>
      <c r="J69" s="513">
        <f>TRUNC(IF($C69="",IFERROR(VLOOKUP($B69,SERVIÇOS!$B:$G,5,0),IFERROR(VLOOKUP($B69,$D:$K,7,0),)),0)*$G69,2)</f>
        <v>0</v>
      </c>
      <c r="K69" s="514">
        <f>I69+J69</f>
        <v>145.47999999999999</v>
      </c>
      <c r="L69" s="517"/>
      <c r="M69" s="471"/>
      <c r="N69" s="516"/>
      <c r="Q69" s="472"/>
      <c r="R69" s="472"/>
      <c r="S69" s="472"/>
      <c r="T69" s="472"/>
      <c r="U69" s="472"/>
      <c r="V69" s="472"/>
      <c r="W69" s="472"/>
      <c r="X69" s="472"/>
      <c r="Y69" s="472"/>
    </row>
    <row r="70" spans="1:25" x14ac:dyDescent="0.25">
      <c r="A70" s="463"/>
      <c r="B70" s="506">
        <v>88316</v>
      </c>
      <c r="C70" s="507"/>
      <c r="D70" s="508"/>
      <c r="E70" s="509" t="str">
        <f>IF($C70="",IFERROR(VLOOKUP($B70,SERVIÇOS!$B:$G,2,0),IFERROR(VLOOKUP($B70,$D:$K,2,0),"")),IFERROR(VLOOKUP($C70,INSUMOS!$A:$D,2,0),IFERROR(VLOOKUP($C70,COTAÇÕES!$B:$I,2,0),(VLOOKUP($C70,'INSUMO SINAPI - SP'!$C:$F,2,0)))))</f>
        <v>SERVENTE COM ENCARGOS COMPLEMENTARES</v>
      </c>
      <c r="F70" s="510" t="str">
        <f>IF($C70="",IFERROR(VLOOKUP($B70,SERVIÇOS!$B:$G,3,0),IFERROR(VLOOKUP($B70,$D:$K,3,0),"")),IFERROR(VLOOKUP($C70,INSUMOS!$A:$D,3,0),IFERROR(VLOOKUP($C70,COTAÇÕES!$B:$I,3,0),(VLOOKUP($C70,'INSUMO SINAPI - SP'!$C:$F,3,0)))))</f>
        <v>H</v>
      </c>
      <c r="G70" s="511">
        <v>0.14000000000000001</v>
      </c>
      <c r="H70" s="512">
        <f>IF($C70="",IFERROR(VLOOKUP($B70,SERVIÇOS!$B:$G,6,0),IFERROR(VLOOKUP($B70,$D:$K,8,0),"")),IFERROR(VLOOKUP($C70,INSUMOS!$A:$D,4,0),IFERROR(VLOOKUP($C70,COTAÇÕES!$B:$I,7,0),(VLOOKUP($C70,'INSUMO SINAPI - SP'!$C:$F,4,0)))))</f>
        <v>28.71</v>
      </c>
      <c r="I70" s="513">
        <f>TRUNC(IF($C70="",IFERROR(VLOOKUP($B70,SERVIÇOS!$B:$G,4,0),IFERROR(VLOOKUP($B70,$D:$K,6,0),)),IFERROR(VLOOKUP($C70,INSUMOS!$A:$D,4,0),IFERROR(VLOOKUP($C70,COTAÇÕES!$B:$I,7,0),(VLOOKUP($C70,'INSUMO SINAPI - SP'!$C:$F,4,0)))))*$G70,2)</f>
        <v>1.28</v>
      </c>
      <c r="J70" s="513">
        <f>TRUNC(IF($C70="",IFERROR(VLOOKUP($B70,SERVIÇOS!$B:$G,5,0),IFERROR(VLOOKUP($B70,$D:$K,7,0),)),0)*$G70,2)</f>
        <v>2.73</v>
      </c>
      <c r="K70" s="514">
        <f>I70+J70</f>
        <v>4.01</v>
      </c>
      <c r="L70" s="515"/>
      <c r="M70" s="471"/>
      <c r="N70" s="516"/>
      <c r="Q70" s="472"/>
      <c r="R70" s="472"/>
      <c r="S70" s="472"/>
      <c r="T70" s="472"/>
      <c r="U70" s="472"/>
      <c r="V70" s="472"/>
      <c r="W70" s="472"/>
      <c r="X70" s="472"/>
      <c r="Y70" s="472"/>
    </row>
    <row r="71" spans="1:25" x14ac:dyDescent="0.25">
      <c r="A71" s="463"/>
      <c r="B71" s="506">
        <v>88325</v>
      </c>
      <c r="C71" s="507"/>
      <c r="D71" s="508"/>
      <c r="E71" s="509" t="str">
        <f>IF($C71="",IFERROR(VLOOKUP($B71,SERVIÇOS!$B:$G,2,0),IFERROR(VLOOKUP($B71,$D:$K,2,0),"")),IFERROR(VLOOKUP($C71,INSUMOS!$A:$D,2,0),IFERROR(VLOOKUP($C71,COTAÇÕES!$B:$I,2,0),(VLOOKUP($C71,'INSUMO SINAPI - SP'!$C:$F,2,0)))))</f>
        <v>VIDRACEIRO COM ENCARGOS COMPLEMENTARES</v>
      </c>
      <c r="F71" s="510" t="str">
        <f>IF($C71="",IFERROR(VLOOKUP($B71,SERVIÇOS!$B:$G,3,0),IFERROR(VLOOKUP($B71,$D:$K,3,0),"")),IFERROR(VLOOKUP($C71,INSUMOS!$A:$D,3,0),IFERROR(VLOOKUP($C71,COTAÇÕES!$B:$I,3,0),(VLOOKUP($C71,'INSUMO SINAPI - SP'!$C:$F,3,0)))))</f>
        <v>H</v>
      </c>
      <c r="G71" s="511">
        <v>0.7</v>
      </c>
      <c r="H71" s="512">
        <f>IF($C71="",IFERROR(VLOOKUP($B71,SERVIÇOS!$B:$G,6,0),IFERROR(VLOOKUP($B71,$D:$K,8,0),"")),IFERROR(VLOOKUP($C71,INSUMOS!$A:$D,4,0),IFERROR(VLOOKUP($C71,COTAÇÕES!$B:$I,7,0),(VLOOKUP($C71,'INSUMO SINAPI - SP'!$C:$F,4,0)))))</f>
        <v>37.15</v>
      </c>
      <c r="I71" s="513">
        <f>TRUNC(IF($C71="",IFERROR(VLOOKUP($B71,SERVIÇOS!$B:$G,4,0),IFERROR(VLOOKUP($B71,$D:$K,6,0),)),IFERROR(VLOOKUP($C71,INSUMOS!$A:$D,4,0),IFERROR(VLOOKUP($C71,COTAÇÕES!$B:$I,7,0),(VLOOKUP($C71,'INSUMO SINAPI - SP'!$C:$F,4,0)))))*$G71,2)</f>
        <v>6.5</v>
      </c>
      <c r="J71" s="513">
        <f>TRUNC(IF($C71="",IFERROR(VLOOKUP($B71,SERVIÇOS!$B:$G,5,0),IFERROR(VLOOKUP($B71,$D:$K,7,0),)),0)*$G71,2)</f>
        <v>19.5</v>
      </c>
      <c r="K71" s="514">
        <f>I71+J71</f>
        <v>26</v>
      </c>
      <c r="L71" s="515"/>
      <c r="M71" s="471"/>
      <c r="N71" s="516"/>
      <c r="Q71" s="472"/>
      <c r="R71" s="472"/>
      <c r="S71" s="472"/>
      <c r="T71" s="472"/>
      <c r="U71" s="472"/>
      <c r="V71" s="472"/>
      <c r="W71" s="472"/>
      <c r="X71" s="472"/>
      <c r="Y71" s="472"/>
    </row>
    <row r="72" spans="1:25" x14ac:dyDescent="0.25">
      <c r="A72" s="463"/>
      <c r="B72" s="526"/>
      <c r="C72" s="527"/>
      <c r="D72" s="499" t="s">
        <v>12071</v>
      </c>
      <c r="E72" s="500" t="s">
        <v>12699</v>
      </c>
      <c r="F72" s="501" t="s">
        <v>585</v>
      </c>
      <c r="G72" s="528"/>
      <c r="H72" s="503"/>
      <c r="I72" s="504">
        <f>ROUND(SUM(I73:I77),2)</f>
        <v>1017.32</v>
      </c>
      <c r="J72" s="504">
        <f>ROUND(SUM(J73:J77),2)</f>
        <v>69.69</v>
      </c>
      <c r="K72" s="504">
        <f>+J72+I72</f>
        <v>1087.01</v>
      </c>
      <c r="L72" s="499" t="s">
        <v>12700</v>
      </c>
      <c r="M72" s="471"/>
      <c r="N72" s="505"/>
      <c r="Q72" s="472"/>
      <c r="R72" s="472"/>
      <c r="S72" s="472"/>
      <c r="T72" s="472"/>
      <c r="U72" s="472"/>
      <c r="V72" s="472"/>
      <c r="W72" s="472"/>
      <c r="X72" s="472"/>
      <c r="Y72" s="472"/>
    </row>
    <row r="73" spans="1:25" x14ac:dyDescent="0.25">
      <c r="A73" s="463"/>
      <c r="B73" s="506"/>
      <c r="C73" s="507" t="s">
        <v>12701</v>
      </c>
      <c r="D73" s="508"/>
      <c r="E73" s="518" t="s">
        <v>12702</v>
      </c>
      <c r="F73" s="519" t="s">
        <v>585</v>
      </c>
      <c r="G73" s="511">
        <v>1</v>
      </c>
      <c r="H73" s="520">
        <v>990.43</v>
      </c>
      <c r="I73" s="520">
        <f>TRUNC(H73*G73,2)</f>
        <v>990.43</v>
      </c>
      <c r="J73" s="521"/>
      <c r="K73" s="522">
        <f>I73+J73</f>
        <v>990.43</v>
      </c>
      <c r="L73" s="517" t="s">
        <v>12677</v>
      </c>
      <c r="M73" s="471"/>
      <c r="N73" s="516"/>
      <c r="Q73" s="472"/>
      <c r="R73" s="472"/>
      <c r="S73" s="472"/>
      <c r="T73" s="472"/>
      <c r="U73" s="472"/>
      <c r="V73" s="472"/>
      <c r="W73" s="472"/>
      <c r="X73" s="472"/>
      <c r="Y73" s="472"/>
    </row>
    <row r="74" spans="1:25" x14ac:dyDescent="0.25">
      <c r="A74" s="463"/>
      <c r="B74" s="506"/>
      <c r="C74" s="507">
        <v>3146</v>
      </c>
      <c r="D74" s="508"/>
      <c r="E74" s="509" t="str">
        <f>IF($C74="",IFERROR(VLOOKUP($B74,SERVIÇOS!$B:$G,2,0),IFERROR(VLOOKUP($B74,$D:$K,2,0),"")),IFERROR(VLOOKUP($C74,INSUMOS!$A:$D,2,0),IFERROR(VLOOKUP($C74,COTAÇÕES!$B:$I,2,0),(VLOOKUP($C74,'INSUMO SINAPI - SP'!$C:$F,2,0)))))</f>
        <v>FITA VEDA ROSCA, EM PTFE, ROLO DE 18 MM X 10 M (L X C)</v>
      </c>
      <c r="F74" s="510" t="str">
        <f>IF($C74="",IFERROR(VLOOKUP($B74,SERVIÇOS!$B:$G,3,0),IFERROR(VLOOKUP($B74,$D:$K,3,0),"")),IFERROR(VLOOKUP($C74,INSUMOS!$A:$D,3,0),IFERROR(VLOOKUP($C74,COTAÇÕES!$B:$I,3,0),(VLOOKUP($C74,'INSUMO SINAPI - SP'!$C:$F,3,0)))))</f>
        <v>UN</v>
      </c>
      <c r="G74" s="511">
        <v>9.4E-2</v>
      </c>
      <c r="H74" s="512">
        <f>IF($C74="",IFERROR(VLOOKUP($B74,SERVIÇOS!$B:$G,6,0),IFERROR(VLOOKUP($B74,$D:$K,8,0),"")),IFERROR(VLOOKUP($C74,INSUMOS!$A:$D,4,0),IFERROR(VLOOKUP($C74,COTAÇÕES!$B:$I,7,0),(VLOOKUP($C74,'INSUMO SINAPI - SP'!$C:$F,4,0)))))</f>
        <v>5.25</v>
      </c>
      <c r="I74" s="513">
        <f>TRUNC(IF($C74="",IFERROR(VLOOKUP($B74,SERVIÇOS!$B:$G,4,0),IFERROR(VLOOKUP($B74,$D:$K,6,0),)),IFERROR(VLOOKUP($C74,INSUMOS!$A:$D,4,0),IFERROR(VLOOKUP($C74,COTAÇÕES!$B:$I,7,0),(VLOOKUP($C74,'INSUMO SINAPI - SP'!$C:$F,4,0)))))*$G74,2)</f>
        <v>0.49</v>
      </c>
      <c r="J74" s="513">
        <f>TRUNC(IF($C74="",IFERROR(VLOOKUP($B74,SERVIÇOS!$B:$G,5,0),IFERROR(VLOOKUP($B74,$D:$K,7,0),)),0)*$G74,2)</f>
        <v>0</v>
      </c>
      <c r="K74" s="514">
        <f>I74+J74</f>
        <v>0.49</v>
      </c>
      <c r="L74" s="517"/>
      <c r="M74" s="471"/>
      <c r="N74" s="516"/>
      <c r="Q74" s="472"/>
      <c r="R74" s="472"/>
      <c r="S74" s="472"/>
      <c r="T74" s="472"/>
      <c r="U74" s="472"/>
      <c r="V74" s="472"/>
      <c r="W74" s="472"/>
      <c r="X74" s="472"/>
      <c r="Y74" s="472"/>
    </row>
    <row r="75" spans="1:25" x14ac:dyDescent="0.25">
      <c r="A75" s="463"/>
      <c r="B75" s="506"/>
      <c r="C75" s="507">
        <v>11059</v>
      </c>
      <c r="D75" s="508"/>
      <c r="E75" s="509" t="str">
        <f>IF($C75="",IFERROR(VLOOKUP($B75,SERVIÇOS!$B:$G,2,0),IFERROR(VLOOKUP($B75,$D:$K,2,0),"")),IFERROR(VLOOKUP($C75,INSUMOS!$A:$D,2,0),IFERROR(VLOOKUP($C75,COTAÇÕES!$B:$I,2,0),(VLOOKUP($C75,'INSUMO SINAPI - SP'!$C:$F,2,0)))))</f>
        <v>PARAFUSO ROSCA SOBERBA ZINCADO CABECA CHATA FENDA SIMPLES 5,5 X 50 MM (2 ")</v>
      </c>
      <c r="F75" s="510" t="str">
        <f>IF($C75="",IFERROR(VLOOKUP($B75,SERVIÇOS!$B:$G,3,0),IFERROR(VLOOKUP($B75,$D:$K,3,0),"")),IFERROR(VLOOKUP($C75,INSUMOS!$A:$D,3,0),IFERROR(VLOOKUP($C75,COTAÇÕES!$B:$I,3,0),(VLOOKUP($C75,'INSUMO SINAPI - SP'!$C:$F,3,0)))))</f>
        <v>UN</v>
      </c>
      <c r="G75" s="511">
        <v>2</v>
      </c>
      <c r="H75" s="512">
        <f>IF($C75="",IFERROR(VLOOKUP($B75,SERVIÇOS!$B:$G,6,0),IFERROR(VLOOKUP($B75,$D:$K,8,0),"")),IFERROR(VLOOKUP($C75,INSUMOS!$A:$D,4,0),IFERROR(VLOOKUP($C75,COTAÇÕES!$B:$I,7,0),(VLOOKUP($C75,'INSUMO SINAPI - SP'!$C:$F,4,0)))))</f>
        <v>0.24</v>
      </c>
      <c r="I75" s="513">
        <f>TRUNC(IF($C75="",IFERROR(VLOOKUP($B75,SERVIÇOS!$B:$G,4,0),IFERROR(VLOOKUP($B75,$D:$K,6,0),)),IFERROR(VLOOKUP($C75,INSUMOS!$A:$D,4,0),IFERROR(VLOOKUP($C75,COTAÇÕES!$B:$I,7,0),(VLOOKUP($C75,'INSUMO SINAPI - SP'!$C:$F,4,0)))))*$G75,2)</f>
        <v>0.48</v>
      </c>
      <c r="J75" s="513">
        <f>TRUNC(IF($C75="",IFERROR(VLOOKUP($B75,SERVIÇOS!$B:$G,5,0),IFERROR(VLOOKUP($B75,$D:$K,7,0),)),0)*$G75,2)</f>
        <v>0</v>
      </c>
      <c r="K75" s="514">
        <f>I75+J75</f>
        <v>0.48</v>
      </c>
      <c r="L75" s="517"/>
      <c r="M75" s="471"/>
      <c r="N75" s="516"/>
      <c r="Q75" s="472"/>
      <c r="R75" s="472"/>
      <c r="S75" s="472"/>
      <c r="T75" s="472"/>
      <c r="U75" s="472"/>
      <c r="V75" s="472"/>
      <c r="W75" s="472"/>
      <c r="X75" s="472"/>
      <c r="Y75" s="472"/>
    </row>
    <row r="76" spans="1:25" x14ac:dyDescent="0.25">
      <c r="A76" s="463"/>
      <c r="B76" s="506">
        <v>88267</v>
      </c>
      <c r="C76" s="507"/>
      <c r="D76" s="508"/>
      <c r="E76" s="509" t="str">
        <f>IF($C76="",IFERROR(VLOOKUP($B76,SERVIÇOS!$B:$G,2,0),IFERROR(VLOOKUP($B76,$D:$K,2,0),"")),IFERROR(VLOOKUP($C76,INSUMOS!$A:$D,2,0),IFERROR(VLOOKUP($C76,COTAÇÕES!$B:$I,2,0),(VLOOKUP($C76,'INSUMO SINAPI - SP'!$C:$F,2,0)))))</f>
        <v>ENCANADOR OU BOMBEIRO HIDRÁULICO COM ENCARGOS COMPLEMENTARES</v>
      </c>
      <c r="F76" s="510" t="str">
        <f>IF($C76="",IFERROR(VLOOKUP($B76,SERVIÇOS!$B:$G,3,0),IFERROR(VLOOKUP($B76,$D:$K,3,0),"")),IFERROR(VLOOKUP($C76,INSUMOS!$A:$D,3,0),IFERROR(VLOOKUP($C76,COTAÇÕES!$B:$I,3,0),(VLOOKUP($C76,'INSUMO SINAPI - SP'!$C:$F,3,0)))))</f>
        <v>H</v>
      </c>
      <c r="G76" s="511">
        <v>1</v>
      </c>
      <c r="H76" s="512">
        <f>IF($C76="",IFERROR(VLOOKUP($B76,SERVIÇOS!$B:$G,6,0),IFERROR(VLOOKUP($B76,$D:$K,8,0),"")),IFERROR(VLOOKUP($C76,INSUMOS!$A:$D,4,0),IFERROR(VLOOKUP($C76,COTAÇÕES!$B:$I,7,0),(VLOOKUP($C76,'INSUMO SINAPI - SP'!$C:$F,4,0)))))</f>
        <v>36.17</v>
      </c>
      <c r="I76" s="513">
        <f>TRUNC(IF($C76="",IFERROR(VLOOKUP($B76,SERVIÇOS!$B:$G,4,0),IFERROR(VLOOKUP($B76,$D:$K,6,0),)),IFERROR(VLOOKUP($C76,INSUMOS!$A:$D,4,0),IFERROR(VLOOKUP($C76,COTAÇÕES!$B:$I,7,0),(VLOOKUP($C76,'INSUMO SINAPI - SP'!$C:$F,4,0)))))*$G76,2)</f>
        <v>8.64</v>
      </c>
      <c r="J76" s="513">
        <f>TRUNC(IF($C76="",IFERROR(VLOOKUP($B76,SERVIÇOS!$B:$G,5,0),IFERROR(VLOOKUP($B76,$D:$K,7,0),)),0)*$G76,2)</f>
        <v>27.53</v>
      </c>
      <c r="K76" s="514">
        <f>I76+J76</f>
        <v>36.17</v>
      </c>
      <c r="L76" s="515"/>
      <c r="M76" s="471"/>
      <c r="N76" s="516"/>
      <c r="Q76" s="472"/>
      <c r="R76" s="472"/>
      <c r="S76" s="472"/>
      <c r="T76" s="472"/>
      <c r="U76" s="472"/>
      <c r="V76" s="472"/>
      <c r="W76" s="472"/>
      <c r="X76" s="472"/>
      <c r="Y76" s="472"/>
    </row>
    <row r="77" spans="1:25" x14ac:dyDescent="0.25">
      <c r="A77" s="463"/>
      <c r="B77" s="506">
        <v>88248</v>
      </c>
      <c r="C77" s="507"/>
      <c r="D77" s="508"/>
      <c r="E77" s="509" t="str">
        <f>IF($C77="",IFERROR(VLOOKUP($B77,SERVIÇOS!$B:$G,2,0),IFERROR(VLOOKUP($B77,$D:$K,2,0),"")),IFERROR(VLOOKUP($C77,INSUMOS!$A:$D,2,0),IFERROR(VLOOKUP($C77,COTAÇÕES!$B:$I,2,0),(VLOOKUP($C77,'INSUMO SINAPI - SP'!$C:$F,2,0)))))</f>
        <v>AUXILIAR DE ENCANADOR OU BOMBEIRO HIDRÁULICO COM ENCARGOS COMPLEMENTARES</v>
      </c>
      <c r="F77" s="510" t="str">
        <f>IF($C77="",IFERROR(VLOOKUP($B77,SERVIÇOS!$B:$G,3,0),IFERROR(VLOOKUP($B77,$D:$K,3,0),"")),IFERROR(VLOOKUP($C77,INSUMOS!$A:$D,3,0),IFERROR(VLOOKUP($C77,COTAÇÕES!$B:$I,3,0),(VLOOKUP($C77,'INSUMO SINAPI - SP'!$C:$F,3,0)))))</f>
        <v>H</v>
      </c>
      <c r="G77" s="511">
        <v>2</v>
      </c>
      <c r="H77" s="512">
        <f>IF($C77="",IFERROR(VLOOKUP($B77,SERVIÇOS!$B:$G,6,0),IFERROR(VLOOKUP($B77,$D:$K,8,0),"")),IFERROR(VLOOKUP($C77,INSUMOS!$A:$D,4,0),IFERROR(VLOOKUP($C77,COTAÇÕES!$B:$I,7,0),(VLOOKUP($C77,'INSUMO SINAPI - SP'!$C:$F,4,0)))))</f>
        <v>29.72</v>
      </c>
      <c r="I77" s="513">
        <f>TRUNC(IF($C77="",IFERROR(VLOOKUP($B77,SERVIÇOS!$B:$G,4,0),IFERROR(VLOOKUP($B77,$D:$K,6,0),)),IFERROR(VLOOKUP($C77,INSUMOS!$A:$D,4,0),IFERROR(VLOOKUP($C77,COTAÇÕES!$B:$I,7,0),(VLOOKUP($C77,'INSUMO SINAPI - SP'!$C:$F,4,0)))))*$G77,2)</f>
        <v>17.28</v>
      </c>
      <c r="J77" s="513">
        <f>TRUNC(IF($C77="",IFERROR(VLOOKUP($B77,SERVIÇOS!$B:$G,5,0),IFERROR(VLOOKUP($B77,$D:$K,7,0),)),0)*$G77,2)</f>
        <v>42.16</v>
      </c>
      <c r="K77" s="514">
        <f>I77+J77</f>
        <v>59.44</v>
      </c>
      <c r="L77" s="515"/>
      <c r="M77" s="471"/>
      <c r="N77" s="516"/>
      <c r="Q77" s="472"/>
      <c r="R77" s="472"/>
      <c r="S77" s="472"/>
      <c r="T77" s="472"/>
      <c r="U77" s="472"/>
      <c r="V77" s="472"/>
      <c r="W77" s="472"/>
      <c r="X77" s="472"/>
      <c r="Y77" s="472"/>
    </row>
    <row r="78" spans="1:25" ht="24" x14ac:dyDescent="0.25">
      <c r="A78" s="463"/>
      <c r="B78" s="526"/>
      <c r="C78" s="527"/>
      <c r="D78" s="499" t="s">
        <v>12004</v>
      </c>
      <c r="E78" s="500" t="s">
        <v>12703</v>
      </c>
      <c r="F78" s="501" t="s">
        <v>578</v>
      </c>
      <c r="G78" s="528"/>
      <c r="H78" s="503"/>
      <c r="I78" s="504">
        <f>ROUND(SUM(I79:I86),2)</f>
        <v>70.319999999999993</v>
      </c>
      <c r="J78" s="504">
        <f>ROUND(SUM(J79:J86),2)</f>
        <v>11.4</v>
      </c>
      <c r="K78" s="504">
        <f>+J78+I78</f>
        <v>81.72</v>
      </c>
      <c r="L78" s="499" t="s">
        <v>12704</v>
      </c>
      <c r="M78" s="471"/>
      <c r="N78" s="505"/>
      <c r="Q78" s="472"/>
      <c r="R78" s="472"/>
      <c r="S78" s="472"/>
      <c r="T78" s="472"/>
      <c r="U78" s="472"/>
      <c r="V78" s="472"/>
      <c r="W78" s="472"/>
      <c r="X78" s="472"/>
      <c r="Y78" s="472"/>
    </row>
    <row r="79" spans="1:25" ht="24" x14ac:dyDescent="0.25">
      <c r="A79" s="463"/>
      <c r="B79" s="506"/>
      <c r="C79" s="507">
        <v>39567</v>
      </c>
      <c r="D79" s="508"/>
      <c r="E79" s="509" t="str">
        <f>IF($C79="",IFERROR(VLOOKUP($B79,SERVIÇOS!$B:$G,2,0),IFERROR(VLOOKUP($B79,$D:$K,2,0),"")),IFERROR(VLOOKUP($C79,INSUMOS!$A:$D,2,0),IFERROR(VLOOKUP($C79,COTAÇÕES!$B:$I,2,0),(VLOOKUP($C79,'INSUMO SINAPI - SP'!$C:$F,2,0)))))</f>
        <v>PLACA / CHAPA DE GESSO ACARTONADO, ACABAMENTO VINILICO LISO EM UMA DAS FACES, COR BRANCA, BORDA QUADRADA, E = 9,5 MM, *625 X 1250* MM (L X C), PARA FORRO REMOVIVEL</v>
      </c>
      <c r="F79" s="510" t="str">
        <f>IF($C79="",IFERROR(VLOOKUP($B79,SERVIÇOS!$B:$G,3,0),IFERROR(VLOOKUP($B79,$D:$K,3,0),"")),IFERROR(VLOOKUP($C79,INSUMOS!$A:$D,3,0),IFERROR(VLOOKUP($C79,COTAÇÕES!$B:$I,3,0),(VLOOKUP($C79,'INSUMO SINAPI - SP'!$C:$F,3,0)))))</f>
        <v>M2</v>
      </c>
      <c r="G79" s="511">
        <v>1.0966</v>
      </c>
      <c r="H79" s="512">
        <f>IF($C79="",IFERROR(VLOOKUP($B79,SERVIÇOS!$B:$G,6,0),IFERROR(VLOOKUP($B79,$D:$K,8,0),"")),IFERROR(VLOOKUP($C79,INSUMOS!$A:$D,4,0),IFERROR(VLOOKUP($C79,COTAÇÕES!$B:$I,7,0),(VLOOKUP($C79,'INSUMO SINAPI - SP'!$C:$F,4,0)))))</f>
        <v>45.03</v>
      </c>
      <c r="I79" s="513">
        <f>TRUNC(IF($C79="",IFERROR(VLOOKUP($B79,SERVIÇOS!$B:$G,4,0),IFERROR(VLOOKUP($B79,$D:$K,6,0),)),IFERROR(VLOOKUP($C79,INSUMOS!$A:$D,4,0),IFERROR(VLOOKUP($C79,COTAÇÕES!$B:$I,7,0),(VLOOKUP($C79,'INSUMO SINAPI - SP'!$C:$F,4,0)))))*$G79,2)</f>
        <v>49.37</v>
      </c>
      <c r="J79" s="513">
        <f>TRUNC(IF($C79="",IFERROR(VLOOKUP($B79,SERVIÇOS!$B:$G,5,0),IFERROR(VLOOKUP($B79,$D:$K,7,0),)),0)*$G79,2)</f>
        <v>0</v>
      </c>
      <c r="K79" s="514">
        <f t="shared" ref="K79:K86" si="3">I79+J79</f>
        <v>49.37</v>
      </c>
      <c r="L79" s="517"/>
      <c r="M79" s="471"/>
      <c r="N79" s="516"/>
      <c r="Q79" s="472"/>
      <c r="R79" s="472"/>
      <c r="S79" s="472"/>
      <c r="T79" s="472"/>
      <c r="U79" s="472"/>
      <c r="V79" s="472"/>
      <c r="W79" s="472"/>
      <c r="X79" s="472"/>
      <c r="Y79" s="472"/>
    </row>
    <row r="80" spans="1:25" ht="24" x14ac:dyDescent="0.25">
      <c r="A80" s="463"/>
      <c r="B80" s="506"/>
      <c r="C80" s="507">
        <v>39571</v>
      </c>
      <c r="D80" s="508"/>
      <c r="E80" s="509" t="str">
        <f>IF($C80="",IFERROR(VLOOKUP($B80,SERVIÇOS!$B:$G,2,0),IFERROR(VLOOKUP($B80,$D:$K,2,0),"")),IFERROR(VLOOKUP($C80,INSUMOS!$A:$D,2,0),IFERROR(VLOOKUP($C80,COTAÇÕES!$B:$I,2,0),(VLOOKUP($C80,'INSUMO SINAPI - SP'!$C:$F,2,0)))))</f>
        <v>PERFIL LONGARINA (PRINCIPAL), T CLICADO, EM ACO, BRANCO NAS FACES APARENTES, PARA FORRO REMOVIVEL, 24 X 32 X 3750 MM (L X H X C</v>
      </c>
      <c r="F80" s="510" t="str">
        <f>IF($C80="",IFERROR(VLOOKUP($B80,SERVIÇOS!$B:$G,3,0),IFERROR(VLOOKUP($B80,$D:$K,3,0),"")),IFERROR(VLOOKUP($C80,INSUMOS!$A:$D,3,0),IFERROR(VLOOKUP($C80,COTAÇÕES!$B:$I,3,0),(VLOOKUP($C80,'INSUMO SINAPI - SP'!$C:$F,3,0)))))</f>
        <v>M</v>
      </c>
      <c r="G80" s="511">
        <v>1.0092000000000001</v>
      </c>
      <c r="H80" s="512">
        <f>IF($C80="",IFERROR(VLOOKUP($B80,SERVIÇOS!$B:$G,6,0),IFERROR(VLOOKUP($B80,$D:$K,8,0),"")),IFERROR(VLOOKUP($C80,INSUMOS!$A:$D,4,0),IFERROR(VLOOKUP($C80,COTAÇÕES!$B:$I,7,0),(VLOOKUP($C80,'INSUMO SINAPI - SP'!$C:$F,4,0)))))</f>
        <v>4.7699999999999996</v>
      </c>
      <c r="I80" s="513">
        <f>TRUNC(IF($C80="",IFERROR(VLOOKUP($B80,SERVIÇOS!$B:$G,4,0),IFERROR(VLOOKUP($B80,$D:$K,6,0),)),IFERROR(VLOOKUP($C80,INSUMOS!$A:$D,4,0),IFERROR(VLOOKUP($C80,COTAÇÕES!$B:$I,7,0),(VLOOKUP($C80,'INSUMO SINAPI - SP'!$C:$F,4,0)))))*$G80,2)</f>
        <v>4.8099999999999996</v>
      </c>
      <c r="J80" s="513">
        <f>TRUNC(IF($C80="",IFERROR(VLOOKUP($B80,SERVIÇOS!$B:$G,5,0),IFERROR(VLOOKUP($B80,$D:$K,7,0),)),0)*$G80,2)</f>
        <v>0</v>
      </c>
      <c r="K80" s="514">
        <f t="shared" si="3"/>
        <v>4.8099999999999996</v>
      </c>
      <c r="L80" s="517"/>
      <c r="M80" s="471"/>
      <c r="N80" s="516"/>
      <c r="Q80" s="472"/>
      <c r="R80" s="472"/>
      <c r="S80" s="472"/>
      <c r="T80" s="472"/>
      <c r="U80" s="472"/>
      <c r="V80" s="472"/>
      <c r="W80" s="472"/>
      <c r="X80" s="472"/>
      <c r="Y80" s="472"/>
    </row>
    <row r="81" spans="1:25" ht="24" x14ac:dyDescent="0.25">
      <c r="A81" s="463"/>
      <c r="B81" s="506"/>
      <c r="C81" s="507">
        <v>39569</v>
      </c>
      <c r="D81" s="508"/>
      <c r="E81" s="509" t="str">
        <f>IF($C81="",IFERROR(VLOOKUP($B81,SERVIÇOS!$B:$G,2,0),IFERROR(VLOOKUP($B81,$D:$K,2,0),"")),IFERROR(VLOOKUP($C81,INSUMOS!$A:$D,2,0),IFERROR(VLOOKUP($C81,COTAÇÕES!$B:$I,2,0),(VLOOKUP($C81,'INSUMO SINAPI - SP'!$C:$F,2,0)))))</f>
        <v>PERFIL TRAVESSA (SECUNDARIO), T CLICADO, EM ACO GALVANIZADO, BRANCO, PARA FORRO REMOVIVEL, 24 X 625 MM (L X C)</v>
      </c>
      <c r="F81" s="510" t="str">
        <f>IF($C81="",IFERROR(VLOOKUP($B81,SERVIÇOS!$B:$G,3,0),IFERROR(VLOOKUP($B81,$D:$K,3,0),"")),IFERROR(VLOOKUP($C81,INSUMOS!$A:$D,3,0),IFERROR(VLOOKUP($C81,COTAÇÕES!$B:$I,3,0),(VLOOKUP($C81,'INSUMO SINAPI - SP'!$C:$F,3,0)))))</f>
        <v>M</v>
      </c>
      <c r="G81" s="511">
        <v>1.0092000000000001</v>
      </c>
      <c r="H81" s="512">
        <f>IF($C81="",IFERROR(VLOOKUP($B81,SERVIÇOS!$B:$G,6,0),IFERROR(VLOOKUP($B81,$D:$K,8,0),"")),IFERROR(VLOOKUP($C81,INSUMOS!$A:$D,4,0),IFERROR(VLOOKUP($C81,COTAÇÕES!$B:$I,7,0),(VLOOKUP($C81,'INSUMO SINAPI - SP'!$C:$F,4,0)))))</f>
        <v>4.63</v>
      </c>
      <c r="I81" s="513">
        <f>TRUNC(IF($C81="",IFERROR(VLOOKUP($B81,SERVIÇOS!$B:$G,4,0),IFERROR(VLOOKUP($B81,$D:$K,6,0),)),IFERROR(VLOOKUP($C81,INSUMOS!$A:$D,4,0),IFERROR(VLOOKUP($C81,COTAÇÕES!$B:$I,7,0),(VLOOKUP($C81,'INSUMO SINAPI - SP'!$C:$F,4,0)))))*$G81,2)</f>
        <v>4.67</v>
      </c>
      <c r="J81" s="513">
        <f>TRUNC(IF($C81="",IFERROR(VLOOKUP($B81,SERVIÇOS!$B:$G,5,0),IFERROR(VLOOKUP($B81,$D:$K,7,0),)),0)*$G81,2)</f>
        <v>0</v>
      </c>
      <c r="K81" s="514">
        <f t="shared" si="3"/>
        <v>4.67</v>
      </c>
      <c r="L81" s="517"/>
      <c r="M81" s="471"/>
      <c r="N81" s="516"/>
      <c r="Q81" s="472"/>
      <c r="R81" s="472"/>
      <c r="S81" s="472"/>
      <c r="T81" s="472"/>
      <c r="U81" s="472"/>
      <c r="V81" s="472"/>
      <c r="W81" s="472"/>
      <c r="X81" s="472"/>
      <c r="Y81" s="472"/>
    </row>
    <row r="82" spans="1:25" ht="24" x14ac:dyDescent="0.25">
      <c r="A82" s="463"/>
      <c r="B82" s="506"/>
      <c r="C82" s="507">
        <v>39573</v>
      </c>
      <c r="D82" s="508"/>
      <c r="E82" s="509" t="str">
        <f>IF($C82="",IFERROR(VLOOKUP($B82,SERVIÇOS!$B:$G,2,0),IFERROR(VLOOKUP($B82,$D:$K,2,0),"")),IFERROR(VLOOKUP($C82,INSUMOS!$A:$D,2,0),IFERROR(VLOOKUP($C82,COTAÇÕES!$B:$I,2,0),(VLOOKUP($C82,'INSUMO SINAPI - SP'!$C:$F,2,0)))))</f>
        <v>PENDURAL OU REGULADOR, COM MOLA, EM ACO GALVANIZADO, PARA PERFIL TIPO T CLICADO DE FORROS REMOVIVEL</v>
      </c>
      <c r="F82" s="510" t="str">
        <f>IF($C82="",IFERROR(VLOOKUP($B82,SERVIÇOS!$B:$G,3,0),IFERROR(VLOOKUP($B82,$D:$K,3,0),"")),IFERROR(VLOOKUP($C82,INSUMOS!$A:$D,3,0),IFERROR(VLOOKUP($C82,COTAÇÕES!$B:$I,3,0),(VLOOKUP($C82,'INSUMO SINAPI - SP'!$C:$F,3,0)))))</f>
        <v>UN</v>
      </c>
      <c r="G82" s="511">
        <v>1.0183</v>
      </c>
      <c r="H82" s="512">
        <f>IF($C82="",IFERROR(VLOOKUP($B82,SERVIÇOS!$B:$G,6,0),IFERROR(VLOOKUP($B82,$D:$K,8,0),"")),IFERROR(VLOOKUP($C82,INSUMOS!$A:$D,4,0),IFERROR(VLOOKUP($C82,COTAÇÕES!$B:$I,7,0),(VLOOKUP($C82,'INSUMO SINAPI - SP'!$C:$F,4,0)))))</f>
        <v>1.95</v>
      </c>
      <c r="I82" s="513">
        <f>TRUNC(IF($C82="",IFERROR(VLOOKUP($B82,SERVIÇOS!$B:$G,4,0),IFERROR(VLOOKUP($B82,$D:$K,6,0),)),IFERROR(VLOOKUP($C82,INSUMOS!$A:$D,4,0),IFERROR(VLOOKUP($C82,COTAÇÕES!$B:$I,7,0),(VLOOKUP($C82,'INSUMO SINAPI - SP'!$C:$F,4,0)))))*$G82,2)</f>
        <v>1.98</v>
      </c>
      <c r="J82" s="513">
        <f>TRUNC(IF($C82="",IFERROR(VLOOKUP($B82,SERVIÇOS!$B:$G,5,0),IFERROR(VLOOKUP($B82,$D:$K,7,0),)),0)*$G82,2)</f>
        <v>0</v>
      </c>
      <c r="K82" s="514">
        <f t="shared" si="3"/>
        <v>1.98</v>
      </c>
      <c r="L82" s="517"/>
      <c r="M82" s="471"/>
      <c r="N82" s="516"/>
      <c r="Q82" s="472"/>
      <c r="R82" s="472"/>
      <c r="S82" s="472"/>
      <c r="T82" s="472"/>
      <c r="U82" s="472"/>
      <c r="V82" s="472"/>
      <c r="W82" s="472"/>
      <c r="X82" s="472"/>
      <c r="Y82" s="472"/>
    </row>
    <row r="83" spans="1:25" ht="24" x14ac:dyDescent="0.25">
      <c r="A83" s="463"/>
      <c r="B83" s="506"/>
      <c r="C83" s="507">
        <v>39574</v>
      </c>
      <c r="D83" s="508"/>
      <c r="E83" s="509" t="str">
        <f>IF($C83="",IFERROR(VLOOKUP($B83,SERVIÇOS!$B:$G,2,0),IFERROR(VLOOKUP($B83,$D:$K,2,0),"")),IFERROR(VLOOKUP($C83,INSUMOS!$A:$D,2,0),IFERROR(VLOOKUP($C83,COTAÇÕES!$B:$I,2,0),(VLOOKUP($C83,'INSUMO SINAPI - SP'!$C:$F,2,0)))))</f>
        <v>TIRANTE COM ELO, EM ARAME GALVANIZADO RIGIDO, NUMERO 10, COMPRIMENTO 2000 MM, PARA PENDURAL DE FORRO REMOVIVEL</v>
      </c>
      <c r="F83" s="510" t="str">
        <f>IF($C83="",IFERROR(VLOOKUP($B83,SERVIÇOS!$B:$G,3,0),IFERROR(VLOOKUP($B83,$D:$K,3,0),"")),IFERROR(VLOOKUP($C83,INSUMOS!$A:$D,3,0),IFERROR(VLOOKUP($C83,COTAÇÕES!$B:$I,3,0),(VLOOKUP($C83,'INSUMO SINAPI - SP'!$C:$F,3,0)))))</f>
        <v>UN</v>
      </c>
      <c r="G83" s="511">
        <v>1.0183</v>
      </c>
      <c r="H83" s="512">
        <f>IF($C83="",IFERROR(VLOOKUP($B83,SERVIÇOS!$B:$G,6,0),IFERROR(VLOOKUP($B83,$D:$K,8,0),"")),IFERROR(VLOOKUP($C83,INSUMOS!$A:$D,4,0),IFERROR(VLOOKUP($C83,COTAÇÕES!$B:$I,7,0),(VLOOKUP($C83,'INSUMO SINAPI - SP'!$C:$F,4,0)))))</f>
        <v>4.45</v>
      </c>
      <c r="I83" s="513">
        <f>TRUNC(IF($C83="",IFERROR(VLOOKUP($B83,SERVIÇOS!$B:$G,4,0),IFERROR(VLOOKUP($B83,$D:$K,6,0),)),IFERROR(VLOOKUP($C83,INSUMOS!$A:$D,4,0),IFERROR(VLOOKUP($C83,COTAÇÕES!$B:$I,7,0),(VLOOKUP($C83,'INSUMO SINAPI - SP'!$C:$F,4,0)))))*$G83,2)</f>
        <v>4.53</v>
      </c>
      <c r="J83" s="513">
        <f>TRUNC(IF($C83="",IFERROR(VLOOKUP($B83,SERVIÇOS!$B:$G,5,0),IFERROR(VLOOKUP($B83,$D:$K,7,0),)),0)*$G83,2)</f>
        <v>0</v>
      </c>
      <c r="K83" s="514">
        <f t="shared" si="3"/>
        <v>4.53</v>
      </c>
      <c r="L83" s="517"/>
      <c r="M83" s="471"/>
      <c r="N83" s="516"/>
      <c r="Q83" s="472"/>
      <c r="R83" s="472"/>
      <c r="S83" s="472"/>
      <c r="T83" s="472"/>
      <c r="U83" s="472"/>
      <c r="V83" s="472"/>
      <c r="W83" s="472"/>
      <c r="X83" s="472"/>
      <c r="Y83" s="472"/>
    </row>
    <row r="84" spans="1:25" x14ac:dyDescent="0.25">
      <c r="A84" s="463"/>
      <c r="B84" s="506"/>
      <c r="C84" s="507" t="s">
        <v>12705</v>
      </c>
      <c r="D84" s="508"/>
      <c r="E84" s="509" t="str">
        <f>IF($C84="",IFERROR(VLOOKUP($B84,SERVIÇOS!$B:$G,2,0),IFERROR(VLOOKUP($B84,$D:$K,2,0),"")),IFERROR(VLOOKUP($C84,INSUMOS!$A:$D,2,0),IFERROR(VLOOKUP($C84,COTAÇÕES!$B:$I,2,0),(VLOOKUP($C84,'INSUMO SINAPI - SP'!$C:$F,2,0)))))</f>
        <v>PINO DE ACO COM FURO, HASTE = 27 MM (ACAO DIRETA)</v>
      </c>
      <c r="F84" s="510" t="str">
        <f>IF($C84="",IFERROR(VLOOKUP($B84,SERVIÇOS!$B:$G,3,0),IFERROR(VLOOKUP($B84,$D:$K,3,0),"")),IFERROR(VLOOKUP($C84,INSUMOS!$A:$D,3,0),IFERROR(VLOOKUP($C84,COTAÇÕES!$B:$I,3,0),(VLOOKUP($C84,'INSUMO SINAPI - SP'!$C:$F,3,0)))))</f>
        <v>CENTO</v>
      </c>
      <c r="G84" s="511">
        <v>1.0200000000000001E-2</v>
      </c>
      <c r="H84" s="512">
        <f>IF($C84="",IFERROR(VLOOKUP($B84,SERVIÇOS!$B:$G,6,0),IFERROR(VLOOKUP($B84,$D:$K,8,0),"")),IFERROR(VLOOKUP($C84,INSUMOS!$A:$D,4,0),IFERROR(VLOOKUP($C84,COTAÇÕES!$B:$I,7,0),(VLOOKUP($C84,'INSUMO SINAPI - SP'!$C:$F,4,0)))))</f>
        <v>44.84</v>
      </c>
      <c r="I84" s="513">
        <f>TRUNC(IF($C84="",IFERROR(VLOOKUP($B84,SERVIÇOS!$B:$G,4,0),IFERROR(VLOOKUP($B84,$D:$K,6,0),)),IFERROR(VLOOKUP($C84,INSUMOS!$A:$D,4,0),IFERROR(VLOOKUP($C84,COTAÇÕES!$B:$I,7,0),(VLOOKUP($C84,'INSUMO SINAPI - SP'!$C:$F,4,0)))))*$G84,2)</f>
        <v>0.45</v>
      </c>
      <c r="J84" s="513"/>
      <c r="K84" s="514">
        <f t="shared" si="3"/>
        <v>0.45</v>
      </c>
      <c r="L84" s="515" t="s">
        <v>12685</v>
      </c>
      <c r="M84" s="471"/>
      <c r="N84" s="516"/>
      <c r="Q84" s="472"/>
      <c r="R84" s="472"/>
      <c r="S84" s="472"/>
      <c r="T84" s="472"/>
      <c r="U84" s="472"/>
      <c r="V84" s="472"/>
      <c r="W84" s="472"/>
      <c r="X84" s="472"/>
      <c r="Y84" s="472"/>
    </row>
    <row r="85" spans="1:25" x14ac:dyDescent="0.25">
      <c r="A85" s="463"/>
      <c r="B85" s="506">
        <v>88278</v>
      </c>
      <c r="C85" s="507"/>
      <c r="D85" s="508"/>
      <c r="E85" s="509" t="str">
        <f>IF($C85="",IFERROR(VLOOKUP($B85,SERVIÇOS!$B:$G,2,0),IFERROR(VLOOKUP($B85,$D:$K,2,0),"")),IFERROR(VLOOKUP($C85,INSUMOS!$A:$D,2,0),IFERROR(VLOOKUP($C85,COTAÇÕES!$B:$I,2,0),(VLOOKUP($C85,'INSUMO SINAPI - SP'!$C:$F,2,0)))))</f>
        <v>MONTADOR DE ESTRUTURA METÁLICA COM ENCARGOS COMPLEMENTARES</v>
      </c>
      <c r="F85" s="510" t="str">
        <f>IF($C85="",IFERROR(VLOOKUP($B85,SERVIÇOS!$B:$G,3,0),IFERROR(VLOOKUP($B85,$D:$K,3,0),"")),IFERROR(VLOOKUP($C85,INSUMOS!$A:$D,3,0),IFERROR(VLOOKUP($C85,COTAÇÕES!$B:$I,3,0),(VLOOKUP($C85,'INSUMO SINAPI - SP'!$C:$F,3,0)))))</f>
        <v>H</v>
      </c>
      <c r="G85" s="511">
        <v>0.2616</v>
      </c>
      <c r="H85" s="512">
        <f>IF($C85="",IFERROR(VLOOKUP($B85,SERVIÇOS!$B:$G,6,0),IFERROR(VLOOKUP($B85,$D:$K,8,0),"")),IFERROR(VLOOKUP($C85,INSUMOS!$A:$D,4,0),IFERROR(VLOOKUP($C85,COTAÇÕES!$B:$I,7,0),(VLOOKUP($C85,'INSUMO SINAPI - SP'!$C:$F,4,0)))))</f>
        <v>32.22</v>
      </c>
      <c r="I85" s="513">
        <f>TRUNC(IF($C85="",IFERROR(VLOOKUP($B85,SERVIÇOS!$B:$G,4,0),IFERROR(VLOOKUP($B85,$D:$K,6,0),)),IFERROR(VLOOKUP($C85,INSUMOS!$A:$D,4,0),IFERROR(VLOOKUP($C85,COTAÇÕES!$B:$I,7,0),(VLOOKUP($C85,'INSUMO SINAPI - SP'!$C:$F,4,0)))))*$G85,2)</f>
        <v>2.11</v>
      </c>
      <c r="J85" s="513">
        <f>TRUNC(IF($C85="",IFERROR(VLOOKUP($B85,SERVIÇOS!$B:$G,5,0),IFERROR(VLOOKUP($B85,$D:$K,7,0),)),0)*$G85,2)</f>
        <v>6.3</v>
      </c>
      <c r="K85" s="514">
        <f t="shared" si="3"/>
        <v>8.41</v>
      </c>
      <c r="L85" s="515"/>
      <c r="M85" s="471"/>
      <c r="N85" s="516"/>
      <c r="Q85" s="472"/>
      <c r="R85" s="472"/>
      <c r="S85" s="472"/>
      <c r="T85" s="472"/>
      <c r="U85" s="472"/>
      <c r="V85" s="472"/>
      <c r="W85" s="472"/>
      <c r="X85" s="472"/>
      <c r="Y85" s="472"/>
    </row>
    <row r="86" spans="1:25" x14ac:dyDescent="0.25">
      <c r="A86" s="463"/>
      <c r="B86" s="506">
        <v>88316</v>
      </c>
      <c r="C86" s="507"/>
      <c r="D86" s="508"/>
      <c r="E86" s="509" t="str">
        <f>IF($C86="",IFERROR(VLOOKUP($B86,SERVIÇOS!$B:$G,2,0),IFERROR(VLOOKUP($B86,$D:$K,2,0),"")),IFERROR(VLOOKUP($C86,INSUMOS!$A:$D,2,0),IFERROR(VLOOKUP($C86,COTAÇÕES!$B:$I,2,0),(VLOOKUP($C86,'INSUMO SINAPI - SP'!$C:$F,2,0)))))</f>
        <v>SERVENTE COM ENCARGOS COMPLEMENTARES</v>
      </c>
      <c r="F86" s="510" t="str">
        <f>IF($C86="",IFERROR(VLOOKUP($B86,SERVIÇOS!$B:$G,3,0),IFERROR(VLOOKUP($B86,$D:$K,3,0),"")),IFERROR(VLOOKUP($C86,INSUMOS!$A:$D,3,0),IFERROR(VLOOKUP($C86,COTAÇÕES!$B:$I,3,0),(VLOOKUP($C86,'INSUMO SINAPI - SP'!$C:$F,3,0)))))</f>
        <v>H</v>
      </c>
      <c r="G86" s="511">
        <v>0.2616</v>
      </c>
      <c r="H86" s="512">
        <f>IF($C86="",IFERROR(VLOOKUP($B86,SERVIÇOS!$B:$G,6,0),IFERROR(VLOOKUP($B86,$D:$K,8,0),"")),IFERROR(VLOOKUP($C86,INSUMOS!$A:$D,4,0),IFERROR(VLOOKUP($C86,COTAÇÕES!$B:$I,7,0),(VLOOKUP($C86,'INSUMO SINAPI - SP'!$C:$F,4,0)))))</f>
        <v>28.71</v>
      </c>
      <c r="I86" s="513">
        <f>TRUNC(IF($C86="",IFERROR(VLOOKUP($B86,SERVIÇOS!$B:$G,4,0),IFERROR(VLOOKUP($B86,$D:$K,6,0),)),IFERROR(VLOOKUP($C86,INSUMOS!$A:$D,4,0),IFERROR(VLOOKUP($C86,COTAÇÕES!$B:$I,7,0),(VLOOKUP($C86,'INSUMO SINAPI - SP'!$C:$F,4,0)))))*$G86,2)</f>
        <v>2.4</v>
      </c>
      <c r="J86" s="513">
        <f>TRUNC(IF($C86="",IFERROR(VLOOKUP($B86,SERVIÇOS!$B:$G,5,0),IFERROR(VLOOKUP($B86,$D:$K,7,0),)),0)*$G86,2)</f>
        <v>5.0999999999999996</v>
      </c>
      <c r="K86" s="514">
        <f t="shared" si="3"/>
        <v>7.5</v>
      </c>
      <c r="L86" s="515"/>
      <c r="M86" s="471"/>
      <c r="N86" s="516"/>
      <c r="Q86" s="472"/>
      <c r="R86" s="472"/>
      <c r="S86" s="472"/>
      <c r="T86" s="472"/>
      <c r="U86" s="472"/>
      <c r="V86" s="472"/>
      <c r="W86" s="472"/>
      <c r="X86" s="472"/>
      <c r="Y86" s="472"/>
    </row>
    <row r="87" spans="1:25" x14ac:dyDescent="0.25">
      <c r="A87" s="463"/>
      <c r="B87" s="526"/>
      <c r="C87" s="527"/>
      <c r="D87" s="499" t="s">
        <v>12059</v>
      </c>
      <c r="E87" s="500" t="s">
        <v>12706</v>
      </c>
      <c r="F87" s="501" t="s">
        <v>580</v>
      </c>
      <c r="G87" s="528"/>
      <c r="H87" s="503"/>
      <c r="I87" s="504">
        <f>ROUND(SUM(I88:I89),2)</f>
        <v>63.03</v>
      </c>
      <c r="J87" s="504">
        <f>ROUND(SUM(J88:J89),2)</f>
        <v>19.27</v>
      </c>
      <c r="K87" s="504">
        <f>+J87+I87</f>
        <v>82.3</v>
      </c>
      <c r="L87" s="499" t="s">
        <v>12707</v>
      </c>
      <c r="M87" s="471"/>
      <c r="N87" s="505"/>
      <c r="Q87" s="472"/>
      <c r="R87" s="472"/>
      <c r="S87" s="472"/>
      <c r="T87" s="472"/>
      <c r="U87" s="472"/>
      <c r="V87" s="472"/>
      <c r="W87" s="472"/>
      <c r="X87" s="472"/>
      <c r="Y87" s="472"/>
    </row>
    <row r="88" spans="1:25" x14ac:dyDescent="0.25">
      <c r="A88" s="463"/>
      <c r="B88" s="506"/>
      <c r="C88" s="507">
        <v>37399</v>
      </c>
      <c r="D88" s="508"/>
      <c r="E88" s="509" t="str">
        <f>IF($C88="",IFERROR(VLOOKUP($B88,SERVIÇOS!$B:$G,2,0),IFERROR(VLOOKUP($B88,$D:$K,2,0),"")),IFERROR(VLOOKUP($C88,INSUMOS!$A:$D,2,0),IFERROR(VLOOKUP($C88,COTAÇÕES!$B:$I,2,0),(VLOOKUP($C88,'INSUMO SINAPI - SP'!$C:$F,2,0)))))</f>
        <v>CABIDE/GANCHO DE BANHEIRO SIMPLES EM METAL CROMADO</v>
      </c>
      <c r="F88" s="510" t="str">
        <f>IF($C88="",IFERROR(VLOOKUP($B88,SERVIÇOS!$B:$G,3,0),IFERROR(VLOOKUP($B88,$D:$K,3,0),"")),IFERROR(VLOOKUP($C88,INSUMOS!$A:$D,3,0),IFERROR(VLOOKUP($C88,COTAÇÕES!$B:$I,3,0),(VLOOKUP($C88,'INSUMO SINAPI - SP'!$C:$F,3,0)))))</f>
        <v>UN</v>
      </c>
      <c r="G88" s="511">
        <v>1</v>
      </c>
      <c r="H88" s="512">
        <f>IF($C88="",IFERROR(VLOOKUP($B88,SERVIÇOS!$B:$G,6,0),IFERROR(VLOOKUP($B88,$D:$K,8,0),"")),IFERROR(VLOOKUP($C88,INSUMOS!$A:$D,4,0),IFERROR(VLOOKUP($C88,COTAÇÕES!$B:$I,7,0),(VLOOKUP($C88,'INSUMO SINAPI - SP'!$C:$F,4,0)))))</f>
        <v>56.99</v>
      </c>
      <c r="I88" s="513">
        <f>TRUNC(IF($C88="",IFERROR(VLOOKUP($B88,SERVIÇOS!$B:$G,4,0),IFERROR(VLOOKUP($B88,$D:$K,6,0),)),IFERROR(VLOOKUP($C88,INSUMOS!$A:$D,4,0),IFERROR(VLOOKUP($C88,COTAÇÕES!$B:$I,7,0),(VLOOKUP($C88,'INSUMO SINAPI - SP'!$C:$F,4,0)))))*$G88,2)</f>
        <v>56.99</v>
      </c>
      <c r="J88" s="513">
        <f>TRUNC(IF($C88="",IFERROR(VLOOKUP($B88,SERVIÇOS!$B:$G,5,0),IFERROR(VLOOKUP($B88,$D:$K,7,0),)),0)*$G88,2)</f>
        <v>0</v>
      </c>
      <c r="K88" s="514">
        <f>I88+J88</f>
        <v>56.99</v>
      </c>
      <c r="L88" s="517"/>
      <c r="M88" s="471"/>
      <c r="N88" s="516"/>
      <c r="Q88" s="472"/>
      <c r="R88" s="472"/>
      <c r="S88" s="472"/>
      <c r="T88" s="472"/>
      <c r="U88" s="472"/>
      <c r="V88" s="472"/>
      <c r="W88" s="472"/>
      <c r="X88" s="472"/>
      <c r="Y88" s="472"/>
    </row>
    <row r="89" spans="1:25" x14ac:dyDescent="0.25">
      <c r="A89" s="463"/>
      <c r="B89" s="506">
        <v>88267</v>
      </c>
      <c r="C89" s="507"/>
      <c r="D89" s="508"/>
      <c r="E89" s="509" t="str">
        <f>IF($C89="",IFERROR(VLOOKUP($B89,SERVIÇOS!$B:$G,2,0),IFERROR(VLOOKUP($B89,$D:$K,2,0),"")),IFERROR(VLOOKUP($C89,INSUMOS!$A:$D,2,0),IFERROR(VLOOKUP($C89,COTAÇÕES!$B:$I,2,0),(VLOOKUP($C89,'INSUMO SINAPI - SP'!$C:$F,2,0)))))</f>
        <v>ENCANADOR OU BOMBEIRO HIDRÁULICO COM ENCARGOS COMPLEMENTARES</v>
      </c>
      <c r="F89" s="510" t="str">
        <f>IF($C89="",IFERROR(VLOOKUP($B89,SERVIÇOS!$B:$G,3,0),IFERROR(VLOOKUP($B89,$D:$K,3,0),"")),IFERROR(VLOOKUP($C89,INSUMOS!$A:$D,3,0),IFERROR(VLOOKUP($C89,COTAÇÕES!$B:$I,3,0),(VLOOKUP($C89,'INSUMO SINAPI - SP'!$C:$F,3,0)))))</f>
        <v>H</v>
      </c>
      <c r="G89" s="511">
        <v>0.7</v>
      </c>
      <c r="H89" s="512">
        <f>IF($C89="",IFERROR(VLOOKUP($B89,SERVIÇOS!$B:$G,6,0),IFERROR(VLOOKUP($B89,$D:$K,8,0),"")),IFERROR(VLOOKUP($C89,INSUMOS!$A:$D,4,0),IFERROR(VLOOKUP($C89,COTAÇÕES!$B:$I,7,0),(VLOOKUP($C89,'INSUMO SINAPI - SP'!$C:$F,4,0)))))</f>
        <v>36.17</v>
      </c>
      <c r="I89" s="513">
        <f>TRUNC(IF($C89="",IFERROR(VLOOKUP($B89,SERVIÇOS!$B:$G,4,0),IFERROR(VLOOKUP($B89,$D:$K,6,0),)),IFERROR(VLOOKUP($C89,INSUMOS!$A:$D,4,0),IFERROR(VLOOKUP($C89,COTAÇÕES!$B:$I,7,0),(VLOOKUP($C89,'INSUMO SINAPI - SP'!$C:$F,4,0)))))*$G89,2)</f>
        <v>6.04</v>
      </c>
      <c r="J89" s="513">
        <f>TRUNC(IF($C89="",IFERROR(VLOOKUP($B89,SERVIÇOS!$B:$G,5,0),IFERROR(VLOOKUP($B89,$D:$K,7,0),)),0)*$G89,2)</f>
        <v>19.27</v>
      </c>
      <c r="K89" s="514">
        <f>I89+J89</f>
        <v>25.31</v>
      </c>
      <c r="L89" s="515"/>
      <c r="M89" s="471"/>
      <c r="N89" s="516"/>
      <c r="Q89" s="472"/>
      <c r="R89" s="472"/>
      <c r="S89" s="472"/>
      <c r="T89" s="472"/>
      <c r="U89" s="472"/>
      <c r="V89" s="472"/>
      <c r="W89" s="472"/>
      <c r="X89" s="472"/>
      <c r="Y89" s="472"/>
    </row>
    <row r="90" spans="1:25" ht="24" x14ac:dyDescent="0.25">
      <c r="A90" s="463"/>
      <c r="B90" s="526"/>
      <c r="C90" s="527"/>
      <c r="D90" s="499" t="s">
        <v>12063</v>
      </c>
      <c r="E90" s="500" t="s">
        <v>12708</v>
      </c>
      <c r="F90" s="501" t="s">
        <v>580</v>
      </c>
      <c r="G90" s="528"/>
      <c r="H90" s="503"/>
      <c r="I90" s="504">
        <f>ROUND(SUM(I91:I92),2)</f>
        <v>272.8</v>
      </c>
      <c r="J90" s="504">
        <f>ROUND(SUM(J91:J92),2)</f>
        <v>19.34</v>
      </c>
      <c r="K90" s="504">
        <f>+J90+I90</f>
        <v>292.14</v>
      </c>
      <c r="L90" s="499"/>
      <c r="M90" s="471"/>
      <c r="N90" s="505"/>
      <c r="Q90" s="472"/>
      <c r="R90" s="472"/>
      <c r="S90" s="472"/>
      <c r="T90" s="472"/>
      <c r="U90" s="472"/>
      <c r="V90" s="472"/>
      <c r="W90" s="472"/>
      <c r="X90" s="472"/>
      <c r="Y90" s="472"/>
    </row>
    <row r="91" spans="1:25" x14ac:dyDescent="0.25">
      <c r="A91" s="463"/>
      <c r="B91" s="506">
        <v>88309</v>
      </c>
      <c r="C91" s="507"/>
      <c r="D91" s="508"/>
      <c r="E91" s="509" t="str">
        <f>IF($C91="",IFERROR(VLOOKUP($B91,SERVIÇOS!$B:$G,2,0),IFERROR(VLOOKUP($B91,$D:$K,2,0),"")),IFERROR(VLOOKUP($C91,INSUMOS!$A:$D,2,0),IFERROR(VLOOKUP($C91,COTAÇÕES!$B:$I,2,0),(VLOOKUP($C91,'INSUMO SINAPI - SP'!$C:$F,2,0)))))</f>
        <v>PEDREIRO COM ENCARGOS COMPLEMENTARES</v>
      </c>
      <c r="F91" s="510" t="str">
        <f>IF($C91="",IFERROR(VLOOKUP($B91,SERVIÇOS!$B:$G,3,0),IFERROR(VLOOKUP($B91,$D:$K,3,0),"")),IFERROR(VLOOKUP($C91,INSUMOS!$A:$D,3,0),IFERROR(VLOOKUP($C91,COTAÇÕES!$B:$I,3,0),(VLOOKUP($C91,'INSUMO SINAPI - SP'!$C:$F,3,0)))))</f>
        <v>H</v>
      </c>
      <c r="G91" s="511">
        <v>0.7</v>
      </c>
      <c r="H91" s="512">
        <f>IF($C91="",IFERROR(VLOOKUP($B91,SERVIÇOS!$B:$G,6,0),IFERROR(VLOOKUP($B91,$D:$K,8,0),"")),IFERROR(VLOOKUP($C91,INSUMOS!$A:$D,4,0),IFERROR(VLOOKUP($C91,COTAÇÕES!$B:$I,7,0),(VLOOKUP($C91,'INSUMO SINAPI - SP'!$C:$F,4,0)))))</f>
        <v>36.909999999999997</v>
      </c>
      <c r="I91" s="513">
        <f>TRUNC(IF($C91="",IFERROR(VLOOKUP($B91,SERVIÇOS!$B:$G,4,0),IFERROR(VLOOKUP($B91,$D:$K,6,0),)),IFERROR(VLOOKUP($C91,INSUMOS!$A:$D,4,0),IFERROR(VLOOKUP($C91,COTAÇÕES!$B:$I,7,0),(VLOOKUP($C91,'INSUMO SINAPI - SP'!$C:$F,4,0)))))*$G91,2)</f>
        <v>6.49</v>
      </c>
      <c r="J91" s="513">
        <f>TRUNC(IF($C91="",IFERROR(VLOOKUP($B91,SERVIÇOS!$B:$G,5,0),IFERROR(VLOOKUP($B91,$D:$K,7,0),)),0)*$G91,2)</f>
        <v>19.34</v>
      </c>
      <c r="K91" s="514">
        <f>I91+J91</f>
        <v>25.83</v>
      </c>
      <c r="L91" s="515"/>
      <c r="M91" s="471"/>
      <c r="N91" s="516"/>
      <c r="Q91" s="472"/>
      <c r="R91" s="472"/>
      <c r="S91" s="472"/>
      <c r="T91" s="472"/>
      <c r="U91" s="472"/>
      <c r="V91" s="472"/>
      <c r="W91" s="472"/>
      <c r="X91" s="472"/>
      <c r="Y91" s="472"/>
    </row>
    <row r="92" spans="1:25" ht="24" x14ac:dyDescent="0.25">
      <c r="A92" s="463"/>
      <c r="B92" s="506"/>
      <c r="C92" s="507" t="s">
        <v>12709</v>
      </c>
      <c r="D92" s="508"/>
      <c r="E92" s="518" t="s">
        <v>12708</v>
      </c>
      <c r="F92" s="519" t="s">
        <v>580</v>
      </c>
      <c r="G92" s="511">
        <v>1</v>
      </c>
      <c r="H92" s="520">
        <v>266.31397010000001</v>
      </c>
      <c r="I92" s="520">
        <f>TRUNC(H92*G92,2)</f>
        <v>266.31</v>
      </c>
      <c r="J92" s="521"/>
      <c r="K92" s="522">
        <f>I92+J92</f>
        <v>266.31</v>
      </c>
      <c r="L92" s="517" t="s">
        <v>12668</v>
      </c>
      <c r="M92" s="471"/>
      <c r="N92" s="516"/>
      <c r="Q92" s="472"/>
      <c r="R92" s="472"/>
      <c r="S92" s="472"/>
      <c r="T92" s="472"/>
      <c r="U92" s="472"/>
      <c r="V92" s="472"/>
      <c r="W92" s="472"/>
      <c r="X92" s="472"/>
      <c r="Y92" s="472"/>
    </row>
    <row r="93" spans="1:25" ht="48" x14ac:dyDescent="0.25">
      <c r="A93" s="463"/>
      <c r="B93" s="526"/>
      <c r="C93" s="527"/>
      <c r="D93" s="499" t="s">
        <v>12066</v>
      </c>
      <c r="E93" s="500" t="s">
        <v>12710</v>
      </c>
      <c r="F93" s="501" t="s">
        <v>585</v>
      </c>
      <c r="G93" s="528"/>
      <c r="H93" s="503"/>
      <c r="I93" s="504">
        <f>ROUND(SUM(I94:I100),2)</f>
        <v>1317.87</v>
      </c>
      <c r="J93" s="504">
        <f>ROUND(SUM(J94:J100),2)</f>
        <v>106.66</v>
      </c>
      <c r="K93" s="504">
        <f>+J93+I93</f>
        <v>1424.53</v>
      </c>
      <c r="L93" s="499" t="s">
        <v>12711</v>
      </c>
      <c r="M93" s="471"/>
      <c r="N93" s="505"/>
      <c r="Q93" s="472"/>
      <c r="R93" s="472"/>
      <c r="S93" s="472"/>
      <c r="T93" s="472"/>
      <c r="U93" s="472"/>
      <c r="V93" s="472"/>
      <c r="W93" s="472"/>
      <c r="X93" s="472"/>
      <c r="Y93" s="472"/>
    </row>
    <row r="94" spans="1:25" x14ac:dyDescent="0.25">
      <c r="A94" s="463"/>
      <c r="B94" s="506">
        <v>88316</v>
      </c>
      <c r="C94" s="507"/>
      <c r="D94" s="508"/>
      <c r="E94" s="509" t="str">
        <f>IF($C94="",IFERROR(VLOOKUP($B94,SERVIÇOS!$B:$G,2,0),IFERROR(VLOOKUP($B94,$D:$K,2,0),"")),IFERROR(VLOOKUP($C94,INSUMOS!$A:$D,2,0),IFERROR(VLOOKUP($C94,COTAÇÕES!$B:$I,2,0),(VLOOKUP($C94,'INSUMO SINAPI - SP'!$C:$F,2,0)))))</f>
        <v>SERVENTE COM ENCARGOS COMPLEMENTARES</v>
      </c>
      <c r="F94" s="510" t="str">
        <f>IF($C94="",IFERROR(VLOOKUP($B94,SERVIÇOS!$B:$G,3,0),IFERROR(VLOOKUP($B94,$D:$K,3,0),"")),IFERROR(VLOOKUP($C94,INSUMOS!$A:$D,3,0),IFERROR(VLOOKUP($C94,COTAÇÕES!$B:$I,3,0),(VLOOKUP($C94,'INSUMO SINAPI - SP'!$C:$F,3,0)))))</f>
        <v>H</v>
      </c>
      <c r="G94" s="511">
        <v>2</v>
      </c>
      <c r="H94" s="512">
        <f>IF($C94="",IFERROR(VLOOKUP($B94,SERVIÇOS!$B:$G,6,0),IFERROR(VLOOKUP($B94,$D:$K,8,0),"")),IFERROR(VLOOKUP($C94,INSUMOS!$A:$D,4,0),IFERROR(VLOOKUP($C94,COTAÇÕES!$B:$I,7,0),(VLOOKUP($C94,'INSUMO SINAPI - SP'!$C:$F,4,0)))))</f>
        <v>28.71</v>
      </c>
      <c r="I94" s="513">
        <f>TRUNC(IF($C94="",IFERROR(VLOOKUP($B94,SERVIÇOS!$B:$G,4,0),IFERROR(VLOOKUP($B94,$D:$K,6,0),)),IFERROR(VLOOKUP($C94,INSUMOS!$A:$D,4,0),IFERROR(VLOOKUP($C94,COTAÇÕES!$B:$I,7,0),(VLOOKUP($C94,'INSUMO SINAPI - SP'!$C:$F,4,0)))))*$G94,2)</f>
        <v>18.399999999999999</v>
      </c>
      <c r="J94" s="513">
        <f>TRUNC(IF($C94="",IFERROR(VLOOKUP($B94,SERVIÇOS!$B:$G,5,0),IFERROR(VLOOKUP($B94,$D:$K,7,0),)),0)*$G94,2)</f>
        <v>39.020000000000003</v>
      </c>
      <c r="K94" s="514">
        <f t="shared" ref="K94:K100" si="4">I94+J94</f>
        <v>57.42</v>
      </c>
      <c r="L94" s="515"/>
      <c r="M94" s="471"/>
      <c r="N94" s="516"/>
      <c r="Q94" s="472"/>
      <c r="R94" s="472"/>
      <c r="S94" s="472"/>
      <c r="T94" s="472"/>
      <c r="U94" s="472"/>
      <c r="V94" s="472"/>
      <c r="W94" s="472"/>
      <c r="X94" s="472"/>
      <c r="Y94" s="472"/>
    </row>
    <row r="95" spans="1:25" x14ac:dyDescent="0.25">
      <c r="A95" s="463"/>
      <c r="B95" s="506">
        <v>88309</v>
      </c>
      <c r="C95" s="507"/>
      <c r="D95" s="508"/>
      <c r="E95" s="509" t="str">
        <f>IF($C95="",IFERROR(VLOOKUP($B95,SERVIÇOS!$B:$G,2,0),IFERROR(VLOOKUP($B95,$D:$K,2,0),"")),IFERROR(VLOOKUP($C95,INSUMOS!$A:$D,2,0),IFERROR(VLOOKUP($C95,COTAÇÕES!$B:$I,2,0),(VLOOKUP($C95,'INSUMO SINAPI - SP'!$C:$F,2,0)))))</f>
        <v>PEDREIRO COM ENCARGOS COMPLEMENTARES</v>
      </c>
      <c r="F95" s="510" t="str">
        <f>IF($C95="",IFERROR(VLOOKUP($B95,SERVIÇOS!$B:$G,3,0),IFERROR(VLOOKUP($B95,$D:$K,3,0),"")),IFERROR(VLOOKUP($C95,INSUMOS!$A:$D,3,0),IFERROR(VLOOKUP($C95,COTAÇÕES!$B:$I,3,0),(VLOOKUP($C95,'INSUMO SINAPI - SP'!$C:$F,3,0)))))</f>
        <v>H</v>
      </c>
      <c r="G95" s="511">
        <v>2</v>
      </c>
      <c r="H95" s="512">
        <f>IF($C95="",IFERROR(VLOOKUP($B95,SERVIÇOS!$B:$G,6,0),IFERROR(VLOOKUP($B95,$D:$K,8,0),"")),IFERROR(VLOOKUP($C95,INSUMOS!$A:$D,4,0),IFERROR(VLOOKUP($C95,COTAÇÕES!$B:$I,7,0),(VLOOKUP($C95,'INSUMO SINAPI - SP'!$C:$F,4,0)))))</f>
        <v>36.909999999999997</v>
      </c>
      <c r="I95" s="513">
        <f>TRUNC(IF($C95="",IFERROR(VLOOKUP($B95,SERVIÇOS!$B:$G,4,0),IFERROR(VLOOKUP($B95,$D:$K,6,0),)),IFERROR(VLOOKUP($C95,INSUMOS!$A:$D,4,0),IFERROR(VLOOKUP($C95,COTAÇÕES!$B:$I,7,0),(VLOOKUP($C95,'INSUMO SINAPI - SP'!$C:$F,4,0)))))*$G95,2)</f>
        <v>18.559999999999999</v>
      </c>
      <c r="J95" s="513">
        <f>TRUNC(IF($C95="",IFERROR(VLOOKUP($B95,SERVIÇOS!$B:$G,5,0),IFERROR(VLOOKUP($B95,$D:$K,7,0),)),0)*$G95,2)</f>
        <v>55.26</v>
      </c>
      <c r="K95" s="514">
        <f t="shared" si="4"/>
        <v>73.819999999999993</v>
      </c>
      <c r="L95" s="515"/>
      <c r="M95" s="471"/>
      <c r="N95" s="516"/>
      <c r="Q95" s="472"/>
      <c r="R95" s="472"/>
      <c r="S95" s="472"/>
      <c r="T95" s="472"/>
      <c r="U95" s="472"/>
      <c r="V95" s="472"/>
      <c r="W95" s="472"/>
      <c r="X95" s="472"/>
      <c r="Y95" s="472"/>
    </row>
    <row r="96" spans="1:25" ht="24" x14ac:dyDescent="0.25">
      <c r="A96" s="463"/>
      <c r="B96" s="506">
        <v>87299</v>
      </c>
      <c r="C96" s="507"/>
      <c r="D96" s="508"/>
      <c r="E96" s="509" t="str">
        <f>IF($C96="",IFERROR(VLOOKUP($B96,SERVIÇOS!$B:$G,2,0),IFERROR(VLOOKUP($B96,$D:$K,2,0),"")),IFERROR(VLOOKUP($C96,INSUMOS!$A:$D,2,0),IFERROR(VLOOKUP($C96,COTAÇÕES!$B:$I,2,0),(VLOOKUP($C96,'INSUMO SINAPI - SP'!$C:$F,2,0)))))</f>
        <v>ARGAMASSA TRAÇO 1:3 (EM VOLUME DE CIMENTO E AREIA MÉDIA ÚMIDA) PARA CONTRAPISO, PREPARO MECÂNICO COM BETONEIRA 600 L. AF_08/2019</v>
      </c>
      <c r="F96" s="510" t="str">
        <f>IF($C96="",IFERROR(VLOOKUP($B96,SERVIÇOS!$B:$G,3,0),IFERROR(VLOOKUP($B96,$D:$K,3,0),"")),IFERROR(VLOOKUP($C96,INSUMOS!$A:$D,3,0),IFERROR(VLOOKUP($C96,COTAÇÕES!$B:$I,3,0),(VLOOKUP($C96,'INSUMO SINAPI - SP'!$C:$F,3,0)))))</f>
        <v>M3</v>
      </c>
      <c r="G96" s="511">
        <v>4.4999999999999997E-3</v>
      </c>
      <c r="H96" s="512">
        <f>IF($C96="",IFERROR(VLOOKUP($B96,SERVIÇOS!$B:$G,6,0),IFERROR(VLOOKUP($B96,$D:$K,8,0),"")),IFERROR(VLOOKUP($C96,INSUMOS!$A:$D,4,0),IFERROR(VLOOKUP($C96,COTAÇÕES!$B:$I,7,0),(VLOOKUP($C96,'INSUMO SINAPI - SP'!$C:$F,4,0)))))</f>
        <v>476.35</v>
      </c>
      <c r="I96" s="513">
        <f>TRUNC(IF($C96="",IFERROR(VLOOKUP($B96,SERVIÇOS!$B:$G,4,0),IFERROR(VLOOKUP($B96,$D:$K,6,0),)),IFERROR(VLOOKUP($C96,INSUMOS!$A:$D,4,0),IFERROR(VLOOKUP($C96,COTAÇÕES!$B:$I,7,0),(VLOOKUP($C96,'INSUMO SINAPI - SP'!$C:$F,4,0)))))*$G96,2)</f>
        <v>1.7</v>
      </c>
      <c r="J96" s="513">
        <f>TRUNC(IF($C96="",IFERROR(VLOOKUP($B96,SERVIÇOS!$B:$G,5,0),IFERROR(VLOOKUP($B96,$D:$K,7,0),)),0)*$G96,2)</f>
        <v>0.44</v>
      </c>
      <c r="K96" s="514">
        <f t="shared" si="4"/>
        <v>2.14</v>
      </c>
      <c r="L96" s="515"/>
      <c r="M96" s="471"/>
      <c r="N96" s="516"/>
      <c r="Q96" s="472"/>
      <c r="R96" s="472"/>
      <c r="S96" s="472"/>
      <c r="T96" s="472"/>
      <c r="U96" s="472"/>
      <c r="V96" s="472"/>
      <c r="W96" s="472"/>
      <c r="X96" s="472"/>
      <c r="Y96" s="472"/>
    </row>
    <row r="97" spans="1:25" ht="24" x14ac:dyDescent="0.25">
      <c r="A97" s="463"/>
      <c r="B97" s="506"/>
      <c r="C97" s="507">
        <v>11687</v>
      </c>
      <c r="D97" s="508"/>
      <c r="E97" s="509" t="str">
        <f>IF($C97="",IFERROR(VLOOKUP($B97,SERVIÇOS!$B:$G,2,0),IFERROR(VLOOKUP($B97,$D:$K,2,0),"")),IFERROR(VLOOKUP($C97,INSUMOS!$A:$D,2,0),IFERROR(VLOOKUP($C97,COTAÇÕES!$B:$I,2,0),(VLOOKUP($C97,'INSUMO SINAPI - SP'!$C:$F,2,0)))))</f>
        <v>BANCADA/TAMPO ACO INOX (AISI 304), LARGURA 60 CM, COM RODABANCA (NAO INCLUI PES DE APOIO)</v>
      </c>
      <c r="F97" s="510" t="str">
        <f>IF($C97="",IFERROR(VLOOKUP($B97,SERVIÇOS!$B:$G,3,0),IFERROR(VLOOKUP($B97,$D:$K,3,0),"")),IFERROR(VLOOKUP($C97,INSUMOS!$A:$D,3,0),IFERROR(VLOOKUP($C97,COTAÇÕES!$B:$I,3,0),(VLOOKUP($C97,'INSUMO SINAPI - SP'!$C:$F,3,0)))))</f>
        <v>M</v>
      </c>
      <c r="G97" s="511">
        <v>1</v>
      </c>
      <c r="H97" s="512">
        <f>IF($C97="",IFERROR(VLOOKUP($B97,SERVIÇOS!$B:$G,6,0),IFERROR(VLOOKUP($B97,$D:$K,8,0),"")),IFERROR(VLOOKUP($C97,INSUMOS!$A:$D,4,0),IFERROR(VLOOKUP($C97,COTAÇÕES!$B:$I,7,0),(VLOOKUP($C97,'INSUMO SINAPI - SP'!$C:$F,4,0)))))</f>
        <v>1257.5999999999999</v>
      </c>
      <c r="I97" s="513">
        <f>TRUNC(IF($C97="",IFERROR(VLOOKUP($B97,SERVIÇOS!$B:$G,4,0),IFERROR(VLOOKUP($B97,$D:$K,6,0),)),IFERROR(VLOOKUP($C97,INSUMOS!$A:$D,4,0),IFERROR(VLOOKUP($C97,COTAÇÕES!$B:$I,7,0),(VLOOKUP($C97,'INSUMO SINAPI - SP'!$C:$F,4,0)))))*$G97,2)</f>
        <v>1257.5999999999999</v>
      </c>
      <c r="J97" s="513">
        <f>TRUNC(IF($C97="",IFERROR(VLOOKUP($B97,SERVIÇOS!$B:$G,5,0),IFERROR(VLOOKUP($B97,$D:$K,7,0),)),0)*$G97,2)</f>
        <v>0</v>
      </c>
      <c r="K97" s="514">
        <f t="shared" si="4"/>
        <v>1257.5999999999999</v>
      </c>
      <c r="L97" s="517"/>
      <c r="M97" s="471"/>
      <c r="N97" s="516"/>
      <c r="Q97" s="472"/>
      <c r="R97" s="472"/>
      <c r="S97" s="472"/>
      <c r="T97" s="472"/>
      <c r="U97" s="472"/>
      <c r="V97" s="472"/>
      <c r="W97" s="472"/>
      <c r="X97" s="472"/>
      <c r="Y97" s="472"/>
    </row>
    <row r="98" spans="1:25" ht="24" x14ac:dyDescent="0.25">
      <c r="A98" s="463"/>
      <c r="B98" s="506">
        <v>94963</v>
      </c>
      <c r="C98" s="507"/>
      <c r="D98" s="508"/>
      <c r="E98" s="509" t="str">
        <f>IF($C98="",IFERROR(VLOOKUP($B98,SERVIÇOS!$B:$G,2,0),IFERROR(VLOOKUP($B98,$D:$K,2,0),"")),IFERROR(VLOOKUP($C98,INSUMOS!$A:$D,2,0),IFERROR(VLOOKUP($C98,COTAÇÕES!$B:$I,2,0),(VLOOKUP($C98,'INSUMO SINAPI - SP'!$C:$F,2,0)))))</f>
        <v>CONCRETO FCK = 15MPA, TRAÇO 1:3,4:3,5 (EM MASSA SECA DE CIMENTO/ AREIA MÉDIA/ BRITA 1) - PREPARO MECÂNICO COM BETONEIRA 400 L. AF_05/2021</v>
      </c>
      <c r="F98" s="510" t="str">
        <f>IF($C98="",IFERROR(VLOOKUP($B98,SERVIÇOS!$B:$G,3,0),IFERROR(VLOOKUP($B98,$D:$K,3,0),"")),IFERROR(VLOOKUP($C98,INSUMOS!$A:$D,3,0),IFERROR(VLOOKUP($C98,COTAÇÕES!$B:$I,3,0),(VLOOKUP($C98,'INSUMO SINAPI - SP'!$C:$F,3,0)))))</f>
        <v>M3</v>
      </c>
      <c r="G98" s="511">
        <v>1.7999999999999999E-2</v>
      </c>
      <c r="H98" s="512">
        <f>IF($C98="",IFERROR(VLOOKUP($B98,SERVIÇOS!$B:$G,6,0),IFERROR(VLOOKUP($B98,$D:$K,8,0),"")),IFERROR(VLOOKUP($C98,INSUMOS!$A:$D,4,0),IFERROR(VLOOKUP($C98,COTAÇÕES!$B:$I,7,0),(VLOOKUP($C98,'INSUMO SINAPI - SP'!$C:$F,4,0)))))</f>
        <v>435.24</v>
      </c>
      <c r="I98" s="513">
        <f>TRUNC(IF($C98="",IFERROR(VLOOKUP($B98,SERVIÇOS!$B:$G,4,0),IFERROR(VLOOKUP($B98,$D:$K,6,0),)),IFERROR(VLOOKUP($C98,INSUMOS!$A:$D,4,0),IFERROR(VLOOKUP($C98,COTAÇÕES!$B:$I,7,0),(VLOOKUP($C98,'INSUMO SINAPI - SP'!$C:$F,4,0)))))*$G98,2)</f>
        <v>6.35</v>
      </c>
      <c r="J98" s="513">
        <f>TRUNC(IF($C98="",IFERROR(VLOOKUP($B98,SERVIÇOS!$B:$G,5,0),IFERROR(VLOOKUP($B98,$D:$K,7,0),)),0)*$G98,2)</f>
        <v>1.47</v>
      </c>
      <c r="K98" s="514">
        <f t="shared" si="4"/>
        <v>7.8199999999999994</v>
      </c>
      <c r="L98" s="515"/>
      <c r="M98" s="471"/>
      <c r="N98" s="516"/>
      <c r="Q98" s="472"/>
      <c r="R98" s="472"/>
      <c r="S98" s="472"/>
      <c r="T98" s="472"/>
      <c r="U98" s="472"/>
      <c r="V98" s="472"/>
      <c r="W98" s="472"/>
      <c r="X98" s="472"/>
      <c r="Y98" s="472"/>
    </row>
    <row r="99" spans="1:25" ht="24" x14ac:dyDescent="0.25">
      <c r="A99" s="463"/>
      <c r="B99" s="506">
        <v>103670</v>
      </c>
      <c r="C99" s="507"/>
      <c r="D99" s="508"/>
      <c r="E99" s="509" t="str">
        <f>IF($C99="",IFERROR(VLOOKUP($B99,SERVIÇOS!$B:$G,2,0),IFERROR(VLOOKUP($B99,$D:$K,2,0),"")),IFERROR(VLOOKUP($C99,INSUMOS!$A:$D,2,0),IFERROR(VLOOKUP($C99,COTAÇÕES!$B:$I,2,0),(VLOOKUP($C99,'INSUMO SINAPI - SP'!$C:$F,2,0)))))</f>
        <v>LANÇAMENTO COM USO DE BALDES, ADENSAMENTO E ACABAMENTO DE CONCRETO EM ESTRUTURAS. AF_02/2022</v>
      </c>
      <c r="F99" s="510" t="str">
        <f>IF($C99="",IFERROR(VLOOKUP($B99,SERVIÇOS!$B:$G,3,0),IFERROR(VLOOKUP($B99,$D:$K,3,0),"")),IFERROR(VLOOKUP($C99,INSUMOS!$A:$D,3,0),IFERROR(VLOOKUP($C99,COTAÇÕES!$B:$I,3,0),(VLOOKUP($C99,'INSUMO SINAPI - SP'!$C:$F,3,0)))))</f>
        <v>M3</v>
      </c>
      <c r="G99" s="511">
        <v>1.7999999999999999E-2</v>
      </c>
      <c r="H99" s="512">
        <f>IF($C99="",IFERROR(VLOOKUP($B99,SERVIÇOS!$B:$G,6,0),IFERROR(VLOOKUP($B99,$D:$K,8,0),"")),IFERROR(VLOOKUP($C99,INSUMOS!$A:$D,4,0),IFERROR(VLOOKUP($C99,COTAÇÕES!$B:$I,7,0),(VLOOKUP($C99,'INSUMO SINAPI - SP'!$C:$F,4,0)))))</f>
        <v>394.15</v>
      </c>
      <c r="I99" s="513">
        <f>TRUNC(IF($C99="",IFERROR(VLOOKUP($B99,SERVIÇOS!$B:$G,4,0),IFERROR(VLOOKUP($B99,$D:$K,6,0),)),IFERROR(VLOOKUP($C99,INSUMOS!$A:$D,4,0),IFERROR(VLOOKUP($C99,COTAÇÕES!$B:$I,7,0),(VLOOKUP($C99,'INSUMO SINAPI - SP'!$C:$F,4,0)))))*$G99,2)</f>
        <v>2.06</v>
      </c>
      <c r="J99" s="513">
        <f>TRUNC(IF($C99="",IFERROR(VLOOKUP($B99,SERVIÇOS!$B:$G,5,0),IFERROR(VLOOKUP($B99,$D:$K,7,0),)),0)*$G99,2)</f>
        <v>5.0199999999999996</v>
      </c>
      <c r="K99" s="514">
        <f t="shared" si="4"/>
        <v>7.08</v>
      </c>
      <c r="L99" s="515"/>
      <c r="M99" s="471"/>
      <c r="N99" s="516"/>
      <c r="Q99" s="472"/>
      <c r="R99" s="472"/>
      <c r="S99" s="472"/>
      <c r="T99" s="472"/>
      <c r="U99" s="472"/>
      <c r="V99" s="472"/>
      <c r="W99" s="472"/>
      <c r="X99" s="472"/>
      <c r="Y99" s="472"/>
    </row>
    <row r="100" spans="1:25" ht="24" x14ac:dyDescent="0.25">
      <c r="A100" s="463"/>
      <c r="B100" s="506">
        <v>92768</v>
      </c>
      <c r="C100" s="507"/>
      <c r="D100" s="508"/>
      <c r="E100" s="509" t="str">
        <f>IF($C100="",IFERROR(VLOOKUP($B100,SERVIÇOS!$B:$G,2,0),IFERROR(VLOOKUP($B100,$D:$K,2,0),"")),IFERROR(VLOOKUP($C100,INSUMOS!$A:$D,2,0),IFERROR(VLOOKUP($C100,COTAÇÕES!$B:$I,2,0),(VLOOKUP($C100,'INSUMO SINAPI - SP'!$C:$F,2,0)))))</f>
        <v>ARMAÇÃO DE LAJE DE ESTRUTURA CONVENCIONAL DE CONCRETO ARMADO UTILIZANDO AÇO CA-60 DE 5,0 MM - MONTAGEM. AF_06/2022</v>
      </c>
      <c r="F100" s="510" t="str">
        <f>IF($C100="",IFERROR(VLOOKUP($B100,SERVIÇOS!$B:$G,3,0),IFERROR(VLOOKUP($B100,$D:$K,3,0),"")),IFERROR(VLOOKUP($C100,INSUMOS!$A:$D,3,0),IFERROR(VLOOKUP($C100,COTAÇÕES!$B:$I,3,0),(VLOOKUP($C100,'INSUMO SINAPI - SP'!$C:$F,3,0)))))</f>
        <v>KG</v>
      </c>
      <c r="G100" s="511">
        <v>1.26</v>
      </c>
      <c r="H100" s="512">
        <f>IF($C100="",IFERROR(VLOOKUP($B100,SERVIÇOS!$B:$G,6,0),IFERROR(VLOOKUP($B100,$D:$K,8,0),"")),IFERROR(VLOOKUP($C100,INSUMOS!$A:$D,4,0),IFERROR(VLOOKUP($C100,COTAÇÕES!$B:$I,7,0),(VLOOKUP($C100,'INSUMO SINAPI - SP'!$C:$F,4,0)))))</f>
        <v>14.81</v>
      </c>
      <c r="I100" s="513">
        <f>TRUNC(IF($C100="",IFERROR(VLOOKUP($B100,SERVIÇOS!$B:$G,4,0),IFERROR(VLOOKUP($B100,$D:$K,6,0),)),IFERROR(VLOOKUP($C100,INSUMOS!$A:$D,4,0),IFERROR(VLOOKUP($C100,COTAÇÕES!$B:$I,7,0),(VLOOKUP($C100,'INSUMO SINAPI - SP'!$C:$F,4,0)))))*$G100,2)</f>
        <v>13.2</v>
      </c>
      <c r="J100" s="513">
        <f>TRUNC(IF($C100="",IFERROR(VLOOKUP($B100,SERVIÇOS!$B:$G,5,0),IFERROR(VLOOKUP($B100,$D:$K,7,0),)),0)*$G100,2)</f>
        <v>5.45</v>
      </c>
      <c r="K100" s="514">
        <f t="shared" si="4"/>
        <v>18.649999999999999</v>
      </c>
      <c r="L100" s="515"/>
      <c r="M100" s="471"/>
      <c r="N100" s="516"/>
      <c r="Q100" s="472"/>
      <c r="R100" s="472"/>
      <c r="S100" s="472"/>
      <c r="T100" s="472"/>
      <c r="U100" s="472"/>
      <c r="V100" s="472"/>
      <c r="W100" s="472"/>
      <c r="X100" s="472"/>
      <c r="Y100" s="472"/>
    </row>
    <row r="101" spans="1:25" ht="48" x14ac:dyDescent="0.25">
      <c r="A101" s="463"/>
      <c r="B101" s="526"/>
      <c r="C101" s="527"/>
      <c r="D101" s="499" t="s">
        <v>12067</v>
      </c>
      <c r="E101" s="500" t="s">
        <v>12712</v>
      </c>
      <c r="F101" s="501" t="s">
        <v>585</v>
      </c>
      <c r="G101" s="528"/>
      <c r="H101" s="503"/>
      <c r="I101" s="504">
        <f>ROUND(SUM(I102:I109),2)</f>
        <v>1480.95</v>
      </c>
      <c r="J101" s="504">
        <f>ROUND(SUM(J102:J109),2)</f>
        <v>106.66</v>
      </c>
      <c r="K101" s="504">
        <f>+J101+I101</f>
        <v>1587.6100000000001</v>
      </c>
      <c r="L101" s="499" t="s">
        <v>12711</v>
      </c>
      <c r="M101" s="471"/>
      <c r="N101" s="505"/>
      <c r="Q101" s="472"/>
      <c r="R101" s="472"/>
      <c r="S101" s="472"/>
      <c r="T101" s="472"/>
      <c r="U101" s="472"/>
      <c r="V101" s="472"/>
      <c r="W101" s="472"/>
      <c r="X101" s="472"/>
      <c r="Y101" s="472"/>
    </row>
    <row r="102" spans="1:25" x14ac:dyDescent="0.25">
      <c r="A102" s="463"/>
      <c r="B102" s="506">
        <v>88316</v>
      </c>
      <c r="C102" s="507"/>
      <c r="D102" s="508"/>
      <c r="E102" s="509" t="str">
        <f>IF($C102="",IFERROR(VLOOKUP($B102,SERVIÇOS!$B:$G,2,0),IFERROR(VLOOKUP($B102,$D:$K,2,0),"")),IFERROR(VLOOKUP($C102,INSUMOS!$A:$D,2,0),IFERROR(VLOOKUP($C102,COTAÇÕES!$B:$I,2,0),(VLOOKUP($C102,'INSUMO SINAPI - SP'!$C:$F,2,0)))))</f>
        <v>SERVENTE COM ENCARGOS COMPLEMENTARES</v>
      </c>
      <c r="F102" s="510" t="str">
        <f>IF($C102="",IFERROR(VLOOKUP($B102,SERVIÇOS!$B:$G,3,0),IFERROR(VLOOKUP($B102,$D:$K,3,0),"")),IFERROR(VLOOKUP($C102,INSUMOS!$A:$D,3,0),IFERROR(VLOOKUP($C102,COTAÇÕES!$B:$I,3,0),(VLOOKUP($C102,'INSUMO SINAPI - SP'!$C:$F,3,0)))))</f>
        <v>H</v>
      </c>
      <c r="G102" s="511">
        <v>2</v>
      </c>
      <c r="H102" s="512">
        <f>IF($C102="",IFERROR(VLOOKUP($B102,SERVIÇOS!$B:$G,6,0),IFERROR(VLOOKUP($B102,$D:$K,8,0),"")),IFERROR(VLOOKUP($C102,INSUMOS!$A:$D,4,0),IFERROR(VLOOKUP($C102,COTAÇÕES!$B:$I,7,0),(VLOOKUP($C102,'INSUMO SINAPI - SP'!$C:$F,4,0)))))</f>
        <v>28.71</v>
      </c>
      <c r="I102" s="513">
        <f>TRUNC(IF($C102="",IFERROR(VLOOKUP($B102,SERVIÇOS!$B:$G,4,0),IFERROR(VLOOKUP($B102,$D:$K,6,0),)),IFERROR(VLOOKUP($C102,INSUMOS!$A:$D,4,0),IFERROR(VLOOKUP($C102,COTAÇÕES!$B:$I,7,0),(VLOOKUP($C102,'INSUMO SINAPI - SP'!$C:$F,4,0)))))*$G102,2)</f>
        <v>18.399999999999999</v>
      </c>
      <c r="J102" s="513">
        <f>TRUNC(IF($C102="",IFERROR(VLOOKUP($B102,SERVIÇOS!$B:$G,5,0),IFERROR(VLOOKUP($B102,$D:$K,7,0),)),0)*$G102,2)</f>
        <v>39.020000000000003</v>
      </c>
      <c r="K102" s="514">
        <f t="shared" ref="K102:K109" si="5">I102+J102</f>
        <v>57.42</v>
      </c>
      <c r="L102" s="515"/>
      <c r="M102" s="471"/>
      <c r="N102" s="516"/>
      <c r="Q102" s="472"/>
      <c r="R102" s="472"/>
      <c r="S102" s="472"/>
      <c r="T102" s="472"/>
      <c r="U102" s="472"/>
      <c r="V102" s="472"/>
      <c r="W102" s="472"/>
      <c r="X102" s="472"/>
      <c r="Y102" s="472"/>
    </row>
    <row r="103" spans="1:25" x14ac:dyDescent="0.25">
      <c r="A103" s="463"/>
      <c r="B103" s="506">
        <v>88309</v>
      </c>
      <c r="C103" s="507"/>
      <c r="D103" s="508"/>
      <c r="E103" s="509" t="str">
        <f>IF($C103="",IFERROR(VLOOKUP($B103,SERVIÇOS!$B:$G,2,0),IFERROR(VLOOKUP($B103,$D:$K,2,0),"")),IFERROR(VLOOKUP($C103,INSUMOS!$A:$D,2,0),IFERROR(VLOOKUP($C103,COTAÇÕES!$B:$I,2,0),(VLOOKUP($C103,'INSUMO SINAPI - SP'!$C:$F,2,0)))))</f>
        <v>PEDREIRO COM ENCARGOS COMPLEMENTARES</v>
      </c>
      <c r="F103" s="510" t="str">
        <f>IF($C103="",IFERROR(VLOOKUP($B103,SERVIÇOS!$B:$G,3,0),IFERROR(VLOOKUP($B103,$D:$K,3,0),"")),IFERROR(VLOOKUP($C103,INSUMOS!$A:$D,3,0),IFERROR(VLOOKUP($C103,COTAÇÕES!$B:$I,3,0),(VLOOKUP($C103,'INSUMO SINAPI - SP'!$C:$F,3,0)))))</f>
        <v>H</v>
      </c>
      <c r="G103" s="511">
        <v>2</v>
      </c>
      <c r="H103" s="512">
        <f>IF($C103="",IFERROR(VLOOKUP($B103,SERVIÇOS!$B:$G,6,0),IFERROR(VLOOKUP($B103,$D:$K,8,0),"")),IFERROR(VLOOKUP($C103,INSUMOS!$A:$D,4,0),IFERROR(VLOOKUP($C103,COTAÇÕES!$B:$I,7,0),(VLOOKUP($C103,'INSUMO SINAPI - SP'!$C:$F,4,0)))))</f>
        <v>36.909999999999997</v>
      </c>
      <c r="I103" s="513">
        <f>TRUNC(IF($C103="",IFERROR(VLOOKUP($B103,SERVIÇOS!$B:$G,4,0),IFERROR(VLOOKUP($B103,$D:$K,6,0),)),IFERROR(VLOOKUP($C103,INSUMOS!$A:$D,4,0),IFERROR(VLOOKUP($C103,COTAÇÕES!$B:$I,7,0),(VLOOKUP($C103,'INSUMO SINAPI - SP'!$C:$F,4,0)))))*$G103,2)</f>
        <v>18.559999999999999</v>
      </c>
      <c r="J103" s="513">
        <f>TRUNC(IF($C103="",IFERROR(VLOOKUP($B103,SERVIÇOS!$B:$G,5,0),IFERROR(VLOOKUP($B103,$D:$K,7,0),)),0)*$G103,2)</f>
        <v>55.26</v>
      </c>
      <c r="K103" s="514">
        <f t="shared" si="5"/>
        <v>73.819999999999993</v>
      </c>
      <c r="L103" s="515"/>
      <c r="M103" s="471"/>
      <c r="N103" s="516"/>
      <c r="Q103" s="472"/>
      <c r="R103" s="472"/>
      <c r="S103" s="472"/>
      <c r="T103" s="472"/>
      <c r="U103" s="472"/>
      <c r="V103" s="472"/>
      <c r="W103" s="472"/>
      <c r="X103" s="472"/>
      <c r="Y103" s="472"/>
    </row>
    <row r="104" spans="1:25" ht="24" x14ac:dyDescent="0.25">
      <c r="A104" s="463"/>
      <c r="B104" s="506">
        <v>87299</v>
      </c>
      <c r="C104" s="507"/>
      <c r="D104" s="508"/>
      <c r="E104" s="509" t="str">
        <f>IF($C104="",IFERROR(VLOOKUP($B104,SERVIÇOS!$B:$G,2,0),IFERROR(VLOOKUP($B104,$D:$K,2,0),"")),IFERROR(VLOOKUP($C104,INSUMOS!$A:$D,2,0),IFERROR(VLOOKUP($C104,COTAÇÕES!$B:$I,2,0),(VLOOKUP($C104,'INSUMO SINAPI - SP'!$C:$F,2,0)))))</f>
        <v>ARGAMASSA TRAÇO 1:3 (EM VOLUME DE CIMENTO E AREIA MÉDIA ÚMIDA) PARA CONTRAPISO, PREPARO MECÂNICO COM BETONEIRA 600 L. AF_08/2019</v>
      </c>
      <c r="F104" s="510" t="str">
        <f>IF($C104="",IFERROR(VLOOKUP($B104,SERVIÇOS!$B:$G,3,0),IFERROR(VLOOKUP($B104,$D:$K,3,0),"")),IFERROR(VLOOKUP($C104,INSUMOS!$A:$D,3,0),IFERROR(VLOOKUP($C104,COTAÇÕES!$B:$I,3,0),(VLOOKUP($C104,'INSUMO SINAPI - SP'!$C:$F,3,0)))))</f>
        <v>M3</v>
      </c>
      <c r="G104" s="511">
        <v>4.4999999999999997E-3</v>
      </c>
      <c r="H104" s="512">
        <f>IF($C104="",IFERROR(VLOOKUP($B104,SERVIÇOS!$B:$G,6,0),IFERROR(VLOOKUP($B104,$D:$K,8,0),"")),IFERROR(VLOOKUP($C104,INSUMOS!$A:$D,4,0),IFERROR(VLOOKUP($C104,COTAÇÕES!$B:$I,7,0),(VLOOKUP($C104,'INSUMO SINAPI - SP'!$C:$F,4,0)))))</f>
        <v>476.35</v>
      </c>
      <c r="I104" s="513">
        <f>TRUNC(IF($C104="",IFERROR(VLOOKUP($B104,SERVIÇOS!$B:$G,4,0),IFERROR(VLOOKUP($B104,$D:$K,6,0),)),IFERROR(VLOOKUP($C104,INSUMOS!$A:$D,4,0),IFERROR(VLOOKUP($C104,COTAÇÕES!$B:$I,7,0),(VLOOKUP($C104,'INSUMO SINAPI - SP'!$C:$F,4,0)))))*$G104,2)</f>
        <v>1.7</v>
      </c>
      <c r="J104" s="513">
        <f>TRUNC(IF($C104="",IFERROR(VLOOKUP($B104,SERVIÇOS!$B:$G,5,0),IFERROR(VLOOKUP($B104,$D:$K,7,0),)),0)*$G104,2)</f>
        <v>0.44</v>
      </c>
      <c r="K104" s="514">
        <f t="shared" si="5"/>
        <v>2.14</v>
      </c>
      <c r="L104" s="515"/>
      <c r="M104" s="471"/>
      <c r="N104" s="516"/>
      <c r="Q104" s="472"/>
      <c r="R104" s="472"/>
      <c r="S104" s="472"/>
      <c r="T104" s="472"/>
      <c r="U104" s="472"/>
      <c r="V104" s="472"/>
      <c r="W104" s="472"/>
      <c r="X104" s="472"/>
      <c r="Y104" s="472"/>
    </row>
    <row r="105" spans="1:25" ht="24" x14ac:dyDescent="0.25">
      <c r="A105" s="463"/>
      <c r="B105" s="506"/>
      <c r="C105" s="507">
        <v>11687</v>
      </c>
      <c r="D105" s="508"/>
      <c r="E105" s="509" t="str">
        <f>IF($C105="",IFERROR(VLOOKUP($B105,SERVIÇOS!$B:$G,2,0),IFERROR(VLOOKUP($B105,$D:$K,2,0),"")),IFERROR(VLOOKUP($C105,INSUMOS!$A:$D,2,0),IFERROR(VLOOKUP($C105,COTAÇÕES!$B:$I,2,0),(VLOOKUP($C105,'INSUMO SINAPI - SP'!$C:$F,2,0)))))</f>
        <v>BANCADA/TAMPO ACO INOX (AISI 304), LARGURA 60 CM, COM RODABANCA (NAO INCLUI PES DE APOIO)</v>
      </c>
      <c r="F105" s="510" t="str">
        <f>IF($C105="",IFERROR(VLOOKUP($B105,SERVIÇOS!$B:$G,3,0),IFERROR(VLOOKUP($B105,$D:$K,3,0),"")),IFERROR(VLOOKUP($C105,INSUMOS!$A:$D,3,0),IFERROR(VLOOKUP($C105,COTAÇÕES!$B:$I,3,0),(VLOOKUP($C105,'INSUMO SINAPI - SP'!$C:$F,3,0)))))</f>
        <v>M</v>
      </c>
      <c r="G105" s="511">
        <v>1</v>
      </c>
      <c r="H105" s="512">
        <f>IF($C105="",IFERROR(VLOOKUP($B105,SERVIÇOS!$B:$G,6,0),IFERROR(VLOOKUP($B105,$D:$K,8,0),"")),IFERROR(VLOOKUP($C105,INSUMOS!$A:$D,4,0),IFERROR(VLOOKUP($C105,COTAÇÕES!$B:$I,7,0),(VLOOKUP($C105,'INSUMO SINAPI - SP'!$C:$F,4,0)))))</f>
        <v>1257.5999999999999</v>
      </c>
      <c r="I105" s="513">
        <f>TRUNC(IF($C105="",IFERROR(VLOOKUP($B105,SERVIÇOS!$B:$G,4,0),IFERROR(VLOOKUP($B105,$D:$K,6,0),)),IFERROR(VLOOKUP($C105,INSUMOS!$A:$D,4,0),IFERROR(VLOOKUP($C105,COTAÇÕES!$B:$I,7,0),(VLOOKUP($C105,'INSUMO SINAPI - SP'!$C:$F,4,0)))))*$G105,2)</f>
        <v>1257.5999999999999</v>
      </c>
      <c r="J105" s="513">
        <f>TRUNC(IF($C105="",IFERROR(VLOOKUP($B105,SERVIÇOS!$B:$G,5,0),IFERROR(VLOOKUP($B105,$D:$K,7,0),)),0)*$G105,2)</f>
        <v>0</v>
      </c>
      <c r="K105" s="514">
        <f t="shared" si="5"/>
        <v>1257.5999999999999</v>
      </c>
      <c r="L105" s="517"/>
      <c r="M105" s="471"/>
      <c r="N105" s="516"/>
      <c r="Q105" s="472"/>
      <c r="R105" s="472"/>
      <c r="S105" s="472"/>
      <c r="T105" s="472"/>
      <c r="U105" s="472"/>
      <c r="V105" s="472"/>
      <c r="W105" s="472"/>
      <c r="X105" s="472"/>
      <c r="Y105" s="472"/>
    </row>
    <row r="106" spans="1:25" x14ac:dyDescent="0.25">
      <c r="A106" s="463"/>
      <c r="B106" s="506"/>
      <c r="C106" s="507" t="s">
        <v>12713</v>
      </c>
      <c r="D106" s="508"/>
      <c r="E106" s="518" t="s">
        <v>12714</v>
      </c>
      <c r="F106" s="519" t="s">
        <v>580</v>
      </c>
      <c r="G106" s="511">
        <v>0.41797283176593503</v>
      </c>
      <c r="H106" s="520">
        <v>390.18</v>
      </c>
      <c r="I106" s="520">
        <f>TRUNC(H106*G106,2)</f>
        <v>163.08000000000001</v>
      </c>
      <c r="J106" s="521"/>
      <c r="K106" s="522">
        <f t="shared" si="5"/>
        <v>163.08000000000001</v>
      </c>
      <c r="L106" s="517" t="s">
        <v>12677</v>
      </c>
      <c r="M106" s="471"/>
      <c r="N106" s="516"/>
      <c r="Q106" s="472"/>
      <c r="R106" s="472"/>
      <c r="S106" s="472"/>
      <c r="T106" s="472"/>
      <c r="U106" s="472"/>
      <c r="V106" s="472"/>
      <c r="W106" s="472"/>
      <c r="X106" s="472"/>
      <c r="Y106" s="472"/>
    </row>
    <row r="107" spans="1:25" ht="24" x14ac:dyDescent="0.25">
      <c r="A107" s="463"/>
      <c r="B107" s="506">
        <v>94963</v>
      </c>
      <c r="C107" s="507"/>
      <c r="D107" s="508"/>
      <c r="E107" s="509" t="str">
        <f>IF($C107="",IFERROR(VLOOKUP($B107,SERVIÇOS!$B:$G,2,0),IFERROR(VLOOKUP($B107,$D:$K,2,0),"")),IFERROR(VLOOKUP($C107,INSUMOS!$A:$D,2,0),IFERROR(VLOOKUP($C107,COTAÇÕES!$B:$I,2,0),(VLOOKUP($C107,'INSUMO SINAPI - SP'!$C:$F,2,0)))))</f>
        <v>CONCRETO FCK = 15MPA, TRAÇO 1:3,4:3,5 (EM MASSA SECA DE CIMENTO/ AREIA MÉDIA/ BRITA 1) - PREPARO MECÂNICO COM BETONEIRA 400 L. AF_05/2021</v>
      </c>
      <c r="F107" s="510" t="str">
        <f>IF($C107="",IFERROR(VLOOKUP($B107,SERVIÇOS!$B:$G,3,0),IFERROR(VLOOKUP($B107,$D:$K,3,0),"")),IFERROR(VLOOKUP($C107,INSUMOS!$A:$D,3,0),IFERROR(VLOOKUP($C107,COTAÇÕES!$B:$I,3,0),(VLOOKUP($C107,'INSUMO SINAPI - SP'!$C:$F,3,0)))))</f>
        <v>M3</v>
      </c>
      <c r="G107" s="511">
        <v>1.7999999999999999E-2</v>
      </c>
      <c r="H107" s="512">
        <f>IF($C107="",IFERROR(VLOOKUP($B107,SERVIÇOS!$B:$G,6,0),IFERROR(VLOOKUP($B107,$D:$K,8,0),"")),IFERROR(VLOOKUP($C107,INSUMOS!$A:$D,4,0),IFERROR(VLOOKUP($C107,COTAÇÕES!$B:$I,7,0),(VLOOKUP($C107,'INSUMO SINAPI - SP'!$C:$F,4,0)))))</f>
        <v>435.24</v>
      </c>
      <c r="I107" s="513">
        <f>TRUNC(IF($C107="",IFERROR(VLOOKUP($B107,SERVIÇOS!$B:$G,4,0),IFERROR(VLOOKUP($B107,$D:$K,6,0),)),IFERROR(VLOOKUP($C107,INSUMOS!$A:$D,4,0),IFERROR(VLOOKUP($C107,COTAÇÕES!$B:$I,7,0),(VLOOKUP($C107,'INSUMO SINAPI - SP'!$C:$F,4,0)))))*$G107,2)</f>
        <v>6.35</v>
      </c>
      <c r="J107" s="513">
        <f>TRUNC(IF($C107="",IFERROR(VLOOKUP($B107,SERVIÇOS!$B:$G,5,0),IFERROR(VLOOKUP($B107,$D:$K,7,0),)),0)*$G107,2)</f>
        <v>1.47</v>
      </c>
      <c r="K107" s="514">
        <f t="shared" si="5"/>
        <v>7.8199999999999994</v>
      </c>
      <c r="L107" s="515"/>
      <c r="M107" s="471"/>
      <c r="N107" s="516"/>
      <c r="Q107" s="472"/>
      <c r="R107" s="472"/>
      <c r="S107" s="472"/>
      <c r="T107" s="472"/>
      <c r="U107" s="472"/>
      <c r="V107" s="472"/>
      <c r="W107" s="472"/>
      <c r="X107" s="472"/>
      <c r="Y107" s="472"/>
    </row>
    <row r="108" spans="1:25" ht="24" x14ac:dyDescent="0.25">
      <c r="A108" s="463"/>
      <c r="B108" s="506">
        <v>103670</v>
      </c>
      <c r="C108" s="507"/>
      <c r="D108" s="508"/>
      <c r="E108" s="509" t="str">
        <f>IF($C108="",IFERROR(VLOOKUP($B108,SERVIÇOS!$B:$G,2,0),IFERROR(VLOOKUP($B108,$D:$K,2,0),"")),IFERROR(VLOOKUP($C108,INSUMOS!$A:$D,2,0),IFERROR(VLOOKUP($C108,COTAÇÕES!$B:$I,2,0),(VLOOKUP($C108,'INSUMO SINAPI - SP'!$C:$F,2,0)))))</f>
        <v>LANÇAMENTO COM USO DE BALDES, ADENSAMENTO E ACABAMENTO DE CONCRETO EM ESTRUTURAS. AF_02/2022</v>
      </c>
      <c r="F108" s="510" t="str">
        <f>IF($C108="",IFERROR(VLOOKUP($B108,SERVIÇOS!$B:$G,3,0),IFERROR(VLOOKUP($B108,$D:$K,3,0),"")),IFERROR(VLOOKUP($C108,INSUMOS!$A:$D,3,0),IFERROR(VLOOKUP($C108,COTAÇÕES!$B:$I,3,0),(VLOOKUP($C108,'INSUMO SINAPI - SP'!$C:$F,3,0)))))</f>
        <v>M3</v>
      </c>
      <c r="G108" s="511">
        <v>1.7999999999999999E-2</v>
      </c>
      <c r="H108" s="512">
        <f>IF($C108="",IFERROR(VLOOKUP($B108,SERVIÇOS!$B:$G,6,0),IFERROR(VLOOKUP($B108,$D:$K,8,0),"")),IFERROR(VLOOKUP($C108,INSUMOS!$A:$D,4,0),IFERROR(VLOOKUP($C108,COTAÇÕES!$B:$I,7,0),(VLOOKUP($C108,'INSUMO SINAPI - SP'!$C:$F,4,0)))))</f>
        <v>394.15</v>
      </c>
      <c r="I108" s="513">
        <f>TRUNC(IF($C108="",IFERROR(VLOOKUP($B108,SERVIÇOS!$B:$G,4,0),IFERROR(VLOOKUP($B108,$D:$K,6,0),)),IFERROR(VLOOKUP($C108,INSUMOS!$A:$D,4,0),IFERROR(VLOOKUP($C108,COTAÇÕES!$B:$I,7,0),(VLOOKUP($C108,'INSUMO SINAPI - SP'!$C:$F,4,0)))))*$G108,2)</f>
        <v>2.06</v>
      </c>
      <c r="J108" s="513">
        <f>TRUNC(IF($C108="",IFERROR(VLOOKUP($B108,SERVIÇOS!$B:$G,5,0),IFERROR(VLOOKUP($B108,$D:$K,7,0),)),0)*$G108,2)</f>
        <v>5.0199999999999996</v>
      </c>
      <c r="K108" s="514">
        <f t="shared" si="5"/>
        <v>7.08</v>
      </c>
      <c r="L108" s="515"/>
      <c r="M108" s="471"/>
      <c r="N108" s="516"/>
      <c r="Q108" s="472"/>
      <c r="R108" s="472"/>
      <c r="S108" s="472"/>
      <c r="T108" s="472"/>
      <c r="U108" s="472"/>
      <c r="V108" s="472"/>
      <c r="W108" s="472"/>
      <c r="X108" s="472"/>
      <c r="Y108" s="472"/>
    </row>
    <row r="109" spans="1:25" ht="24" x14ac:dyDescent="0.25">
      <c r="A109" s="463"/>
      <c r="B109" s="506">
        <v>92768</v>
      </c>
      <c r="C109" s="507"/>
      <c r="D109" s="508"/>
      <c r="E109" s="509" t="str">
        <f>IF($C109="",IFERROR(VLOOKUP($B109,SERVIÇOS!$B:$G,2,0),IFERROR(VLOOKUP($B109,$D:$K,2,0),"")),IFERROR(VLOOKUP($C109,INSUMOS!$A:$D,2,0),IFERROR(VLOOKUP($C109,COTAÇÕES!$B:$I,2,0),(VLOOKUP($C109,'INSUMO SINAPI - SP'!$C:$F,2,0)))))</f>
        <v>ARMAÇÃO DE LAJE DE ESTRUTURA CONVENCIONAL DE CONCRETO ARMADO UTILIZANDO AÇO CA-60 DE 5,0 MM - MONTAGEM. AF_06/2022</v>
      </c>
      <c r="F109" s="510" t="str">
        <f>IF($C109="",IFERROR(VLOOKUP($B109,SERVIÇOS!$B:$G,3,0),IFERROR(VLOOKUP($B109,$D:$K,3,0),"")),IFERROR(VLOOKUP($C109,INSUMOS!$A:$D,3,0),IFERROR(VLOOKUP($C109,COTAÇÕES!$B:$I,3,0),(VLOOKUP($C109,'INSUMO SINAPI - SP'!$C:$F,3,0)))))</f>
        <v>KG</v>
      </c>
      <c r="G109" s="511">
        <v>1.26</v>
      </c>
      <c r="H109" s="512">
        <f>IF($C109="",IFERROR(VLOOKUP($B109,SERVIÇOS!$B:$G,6,0),IFERROR(VLOOKUP($B109,$D:$K,8,0),"")),IFERROR(VLOOKUP($C109,INSUMOS!$A:$D,4,0),IFERROR(VLOOKUP($C109,COTAÇÕES!$B:$I,7,0),(VLOOKUP($C109,'INSUMO SINAPI - SP'!$C:$F,4,0)))))</f>
        <v>14.81</v>
      </c>
      <c r="I109" s="513">
        <f>TRUNC(IF($C109="",IFERROR(VLOOKUP($B109,SERVIÇOS!$B:$G,4,0),IFERROR(VLOOKUP($B109,$D:$K,6,0),)),IFERROR(VLOOKUP($C109,INSUMOS!$A:$D,4,0),IFERROR(VLOOKUP($C109,COTAÇÕES!$B:$I,7,0),(VLOOKUP($C109,'INSUMO SINAPI - SP'!$C:$F,4,0)))))*$G109,2)</f>
        <v>13.2</v>
      </c>
      <c r="J109" s="513">
        <f>TRUNC(IF($C109="",IFERROR(VLOOKUP($B109,SERVIÇOS!$B:$G,5,0),IFERROR(VLOOKUP($B109,$D:$K,7,0),)),0)*$G109,2)</f>
        <v>5.45</v>
      </c>
      <c r="K109" s="514">
        <f t="shared" si="5"/>
        <v>18.649999999999999</v>
      </c>
      <c r="L109" s="515"/>
      <c r="M109" s="471"/>
      <c r="N109" s="516"/>
      <c r="Q109" s="472"/>
      <c r="R109" s="472"/>
      <c r="S109" s="472"/>
      <c r="T109" s="472"/>
      <c r="U109" s="472"/>
      <c r="V109" s="472"/>
      <c r="W109" s="472"/>
      <c r="X109" s="472"/>
      <c r="Y109" s="472"/>
    </row>
    <row r="110" spans="1:25" ht="48" x14ac:dyDescent="0.25">
      <c r="A110" s="463"/>
      <c r="B110" s="526"/>
      <c r="C110" s="527"/>
      <c r="D110" s="499" t="s">
        <v>12069</v>
      </c>
      <c r="E110" s="500" t="s">
        <v>12715</v>
      </c>
      <c r="F110" s="501" t="s">
        <v>585</v>
      </c>
      <c r="G110" s="528"/>
      <c r="H110" s="503"/>
      <c r="I110" s="504">
        <f>ROUND(SUM(I111:I118),2)</f>
        <v>1480.44</v>
      </c>
      <c r="J110" s="504">
        <f>ROUND(SUM(J111:J118),2)</f>
        <v>106.66</v>
      </c>
      <c r="K110" s="504">
        <f>+J110+I110</f>
        <v>1587.1000000000001</v>
      </c>
      <c r="L110" s="499" t="s">
        <v>12711</v>
      </c>
      <c r="M110" s="471"/>
      <c r="N110" s="505"/>
      <c r="Q110" s="472"/>
      <c r="R110" s="472"/>
      <c r="S110" s="472"/>
      <c r="T110" s="472"/>
      <c r="U110" s="472"/>
      <c r="V110" s="472"/>
      <c r="W110" s="472"/>
      <c r="X110" s="472"/>
      <c r="Y110" s="472"/>
    </row>
    <row r="111" spans="1:25" x14ac:dyDescent="0.25">
      <c r="A111" s="463"/>
      <c r="B111" s="506">
        <v>88316</v>
      </c>
      <c r="C111" s="507"/>
      <c r="D111" s="508"/>
      <c r="E111" s="509" t="str">
        <f>IF($C111="",IFERROR(VLOOKUP($B111,SERVIÇOS!$B:$G,2,0),IFERROR(VLOOKUP($B111,$D:$K,2,0),"")),IFERROR(VLOOKUP($C111,INSUMOS!$A:$D,2,0),IFERROR(VLOOKUP($C111,COTAÇÕES!$B:$I,2,0),(VLOOKUP($C111,'INSUMO SINAPI - SP'!$C:$F,2,0)))))</f>
        <v>SERVENTE COM ENCARGOS COMPLEMENTARES</v>
      </c>
      <c r="F111" s="510" t="str">
        <f>IF($C111="",IFERROR(VLOOKUP($B111,SERVIÇOS!$B:$G,3,0),IFERROR(VLOOKUP($B111,$D:$K,3,0),"")),IFERROR(VLOOKUP($C111,INSUMOS!$A:$D,3,0),IFERROR(VLOOKUP($C111,COTAÇÕES!$B:$I,3,0),(VLOOKUP($C111,'INSUMO SINAPI - SP'!$C:$F,3,0)))))</f>
        <v>H</v>
      </c>
      <c r="G111" s="511">
        <v>2</v>
      </c>
      <c r="H111" s="512">
        <f>IF($C111="",IFERROR(VLOOKUP($B111,SERVIÇOS!$B:$G,6,0),IFERROR(VLOOKUP($B111,$D:$K,8,0),"")),IFERROR(VLOOKUP($C111,INSUMOS!$A:$D,4,0),IFERROR(VLOOKUP($C111,COTAÇÕES!$B:$I,7,0),(VLOOKUP($C111,'INSUMO SINAPI - SP'!$C:$F,4,0)))))</f>
        <v>28.71</v>
      </c>
      <c r="I111" s="513">
        <f>TRUNC(IF($C111="",IFERROR(VLOOKUP($B111,SERVIÇOS!$B:$G,4,0),IFERROR(VLOOKUP($B111,$D:$K,6,0),)),IFERROR(VLOOKUP($C111,INSUMOS!$A:$D,4,0),IFERROR(VLOOKUP($C111,COTAÇÕES!$B:$I,7,0),(VLOOKUP($C111,'INSUMO SINAPI - SP'!$C:$F,4,0)))))*$G111,2)</f>
        <v>18.399999999999999</v>
      </c>
      <c r="J111" s="513">
        <f>TRUNC(IF($C111="",IFERROR(VLOOKUP($B111,SERVIÇOS!$B:$G,5,0),IFERROR(VLOOKUP($B111,$D:$K,7,0),)),0)*$G111,2)</f>
        <v>39.020000000000003</v>
      </c>
      <c r="K111" s="514">
        <f t="shared" ref="K111:K118" si="6">I111+J111</f>
        <v>57.42</v>
      </c>
      <c r="L111" s="515"/>
      <c r="M111" s="471"/>
      <c r="N111" s="516"/>
      <c r="Q111" s="472"/>
      <c r="R111" s="472"/>
      <c r="S111" s="472"/>
      <c r="T111" s="472"/>
      <c r="U111" s="472"/>
      <c r="V111" s="472"/>
      <c r="W111" s="472"/>
      <c r="X111" s="472"/>
      <c r="Y111" s="472"/>
    </row>
    <row r="112" spans="1:25" x14ac:dyDescent="0.25">
      <c r="A112" s="463"/>
      <c r="B112" s="506">
        <v>88309</v>
      </c>
      <c r="C112" s="507"/>
      <c r="D112" s="508"/>
      <c r="E112" s="509" t="str">
        <f>IF($C112="",IFERROR(VLOOKUP($B112,SERVIÇOS!$B:$G,2,0),IFERROR(VLOOKUP($B112,$D:$K,2,0),"")),IFERROR(VLOOKUP($C112,INSUMOS!$A:$D,2,0),IFERROR(VLOOKUP($C112,COTAÇÕES!$B:$I,2,0),(VLOOKUP($C112,'INSUMO SINAPI - SP'!$C:$F,2,0)))))</f>
        <v>PEDREIRO COM ENCARGOS COMPLEMENTARES</v>
      </c>
      <c r="F112" s="510" t="str">
        <f>IF($C112="",IFERROR(VLOOKUP($B112,SERVIÇOS!$B:$G,3,0),IFERROR(VLOOKUP($B112,$D:$K,3,0),"")),IFERROR(VLOOKUP($C112,INSUMOS!$A:$D,3,0),IFERROR(VLOOKUP($C112,COTAÇÕES!$B:$I,3,0),(VLOOKUP($C112,'INSUMO SINAPI - SP'!$C:$F,3,0)))))</f>
        <v>H</v>
      </c>
      <c r="G112" s="511">
        <v>2</v>
      </c>
      <c r="H112" s="512">
        <f>IF($C112="",IFERROR(VLOOKUP($B112,SERVIÇOS!$B:$G,6,0),IFERROR(VLOOKUP($B112,$D:$K,8,0),"")),IFERROR(VLOOKUP($C112,INSUMOS!$A:$D,4,0),IFERROR(VLOOKUP($C112,COTAÇÕES!$B:$I,7,0),(VLOOKUP($C112,'INSUMO SINAPI - SP'!$C:$F,4,0)))))</f>
        <v>36.909999999999997</v>
      </c>
      <c r="I112" s="513">
        <f>TRUNC(IF($C112="",IFERROR(VLOOKUP($B112,SERVIÇOS!$B:$G,4,0),IFERROR(VLOOKUP($B112,$D:$K,6,0),)),IFERROR(VLOOKUP($C112,INSUMOS!$A:$D,4,0),IFERROR(VLOOKUP($C112,COTAÇÕES!$B:$I,7,0),(VLOOKUP($C112,'INSUMO SINAPI - SP'!$C:$F,4,0)))))*$G112,2)</f>
        <v>18.559999999999999</v>
      </c>
      <c r="J112" s="513">
        <f>TRUNC(IF($C112="",IFERROR(VLOOKUP($B112,SERVIÇOS!$B:$G,5,0),IFERROR(VLOOKUP($B112,$D:$K,7,0),)),0)*$G112,2)</f>
        <v>55.26</v>
      </c>
      <c r="K112" s="514">
        <f t="shared" si="6"/>
        <v>73.819999999999993</v>
      </c>
      <c r="L112" s="515"/>
      <c r="M112" s="471"/>
      <c r="N112" s="516"/>
      <c r="Q112" s="472"/>
      <c r="R112" s="472"/>
      <c r="S112" s="472"/>
      <c r="T112" s="472"/>
      <c r="U112" s="472"/>
      <c r="V112" s="472"/>
      <c r="W112" s="472"/>
      <c r="X112" s="472"/>
      <c r="Y112" s="472"/>
    </row>
    <row r="113" spans="1:25" ht="24" x14ac:dyDescent="0.25">
      <c r="A113" s="463"/>
      <c r="B113" s="506">
        <v>87299</v>
      </c>
      <c r="C113" s="507"/>
      <c r="D113" s="508"/>
      <c r="E113" s="509" t="str">
        <f>IF($C113="",IFERROR(VLOOKUP($B113,SERVIÇOS!$B:$G,2,0),IFERROR(VLOOKUP($B113,$D:$K,2,0),"")),IFERROR(VLOOKUP($C113,INSUMOS!$A:$D,2,0),IFERROR(VLOOKUP($C113,COTAÇÕES!$B:$I,2,0),(VLOOKUP($C113,'INSUMO SINAPI - SP'!$C:$F,2,0)))))</f>
        <v>ARGAMASSA TRAÇO 1:3 (EM VOLUME DE CIMENTO E AREIA MÉDIA ÚMIDA) PARA CONTRAPISO, PREPARO MECÂNICO COM BETONEIRA 600 L. AF_08/2019</v>
      </c>
      <c r="F113" s="510" t="str">
        <f>IF($C113="",IFERROR(VLOOKUP($B113,SERVIÇOS!$B:$G,3,0),IFERROR(VLOOKUP($B113,$D:$K,3,0),"")),IFERROR(VLOOKUP($C113,INSUMOS!$A:$D,3,0),IFERROR(VLOOKUP($C113,COTAÇÕES!$B:$I,3,0),(VLOOKUP($C113,'INSUMO SINAPI - SP'!$C:$F,3,0)))))</f>
        <v>M3</v>
      </c>
      <c r="G113" s="511">
        <v>4.4999999999999997E-3</v>
      </c>
      <c r="H113" s="512">
        <f>IF($C113="",IFERROR(VLOOKUP($B113,SERVIÇOS!$B:$G,6,0),IFERROR(VLOOKUP($B113,$D:$K,8,0),"")),IFERROR(VLOOKUP($C113,INSUMOS!$A:$D,4,0),IFERROR(VLOOKUP($C113,COTAÇÕES!$B:$I,7,0),(VLOOKUP($C113,'INSUMO SINAPI - SP'!$C:$F,4,0)))))</f>
        <v>476.35</v>
      </c>
      <c r="I113" s="513">
        <f>TRUNC(IF($C113="",IFERROR(VLOOKUP($B113,SERVIÇOS!$B:$G,4,0),IFERROR(VLOOKUP($B113,$D:$K,6,0),)),IFERROR(VLOOKUP($C113,INSUMOS!$A:$D,4,0),IFERROR(VLOOKUP($C113,COTAÇÕES!$B:$I,7,0),(VLOOKUP($C113,'INSUMO SINAPI - SP'!$C:$F,4,0)))))*$G113,2)</f>
        <v>1.7</v>
      </c>
      <c r="J113" s="513">
        <f>TRUNC(IF($C113="",IFERROR(VLOOKUP($B113,SERVIÇOS!$B:$G,5,0),IFERROR(VLOOKUP($B113,$D:$K,7,0),)),0)*$G113,2)</f>
        <v>0.44</v>
      </c>
      <c r="K113" s="514">
        <f t="shared" si="6"/>
        <v>2.14</v>
      </c>
      <c r="L113" s="515"/>
      <c r="M113" s="471"/>
      <c r="N113" s="516"/>
      <c r="Q113" s="472"/>
      <c r="R113" s="472"/>
      <c r="S113" s="472"/>
      <c r="T113" s="472"/>
      <c r="U113" s="472"/>
      <c r="V113" s="472"/>
      <c r="W113" s="472"/>
      <c r="X113" s="472"/>
      <c r="Y113" s="472"/>
    </row>
    <row r="114" spans="1:25" ht="24" x14ac:dyDescent="0.25">
      <c r="A114" s="463"/>
      <c r="B114" s="506"/>
      <c r="C114" s="507">
        <v>11687</v>
      </c>
      <c r="D114" s="508"/>
      <c r="E114" s="509" t="str">
        <f>IF($C114="",IFERROR(VLOOKUP($B114,SERVIÇOS!$B:$G,2,0),IFERROR(VLOOKUP($B114,$D:$K,2,0),"")),IFERROR(VLOOKUP($C114,INSUMOS!$A:$D,2,0),IFERROR(VLOOKUP($C114,COTAÇÕES!$B:$I,2,0),(VLOOKUP($C114,'INSUMO SINAPI - SP'!$C:$F,2,0)))))</f>
        <v>BANCADA/TAMPO ACO INOX (AISI 304), LARGURA 60 CM, COM RODABANCA (NAO INCLUI PES DE APOIO)</v>
      </c>
      <c r="F114" s="510" t="str">
        <f>IF($C114="",IFERROR(VLOOKUP($B114,SERVIÇOS!$B:$G,3,0),IFERROR(VLOOKUP($B114,$D:$K,3,0),"")),IFERROR(VLOOKUP($C114,INSUMOS!$A:$D,3,0),IFERROR(VLOOKUP($C114,COTAÇÕES!$B:$I,3,0),(VLOOKUP($C114,'INSUMO SINAPI - SP'!$C:$F,3,0)))))</f>
        <v>M</v>
      </c>
      <c r="G114" s="511">
        <v>1</v>
      </c>
      <c r="H114" s="512">
        <f>IF($C114="",IFERROR(VLOOKUP($B114,SERVIÇOS!$B:$G,6,0),IFERROR(VLOOKUP($B114,$D:$K,8,0),"")),IFERROR(VLOOKUP($C114,INSUMOS!$A:$D,4,0),IFERROR(VLOOKUP($C114,COTAÇÕES!$B:$I,7,0),(VLOOKUP($C114,'INSUMO SINAPI - SP'!$C:$F,4,0)))))</f>
        <v>1257.5999999999999</v>
      </c>
      <c r="I114" s="513">
        <f>TRUNC(IF($C114="",IFERROR(VLOOKUP($B114,SERVIÇOS!$B:$G,4,0),IFERROR(VLOOKUP($B114,$D:$K,6,0),)),IFERROR(VLOOKUP($C114,INSUMOS!$A:$D,4,0),IFERROR(VLOOKUP($C114,COTAÇÕES!$B:$I,7,0),(VLOOKUP($C114,'INSUMO SINAPI - SP'!$C:$F,4,0)))))*$G114,2)</f>
        <v>1257.5999999999999</v>
      </c>
      <c r="J114" s="513">
        <f>TRUNC(IF($C114="",IFERROR(VLOOKUP($B114,SERVIÇOS!$B:$G,5,0),IFERROR(VLOOKUP($B114,$D:$K,7,0),)),0)*$G114,2)</f>
        <v>0</v>
      </c>
      <c r="K114" s="514">
        <f t="shared" si="6"/>
        <v>1257.5999999999999</v>
      </c>
      <c r="L114" s="517"/>
      <c r="M114" s="471"/>
      <c r="N114" s="516"/>
      <c r="Q114" s="472"/>
      <c r="R114" s="472"/>
      <c r="S114" s="472"/>
      <c r="T114" s="472"/>
      <c r="U114" s="472"/>
      <c r="V114" s="472"/>
      <c r="W114" s="472"/>
      <c r="X114" s="472"/>
      <c r="Y114" s="472"/>
    </row>
    <row r="115" spans="1:25" x14ac:dyDescent="0.25">
      <c r="A115" s="463"/>
      <c r="B115" s="506"/>
      <c r="C115" s="507" t="s">
        <v>12713</v>
      </c>
      <c r="D115" s="508"/>
      <c r="E115" s="518" t="s">
        <v>12714</v>
      </c>
      <c r="F115" s="519" t="s">
        <v>580</v>
      </c>
      <c r="G115" s="511">
        <v>0.41666666666666702</v>
      </c>
      <c r="H115" s="520">
        <v>390.18</v>
      </c>
      <c r="I115" s="520">
        <f>TRUNC(H115*G115,2)</f>
        <v>162.57</v>
      </c>
      <c r="J115" s="521"/>
      <c r="K115" s="522">
        <f t="shared" si="6"/>
        <v>162.57</v>
      </c>
      <c r="L115" s="517" t="s">
        <v>12677</v>
      </c>
      <c r="M115" s="471"/>
      <c r="N115" s="516"/>
      <c r="Q115" s="472"/>
      <c r="R115" s="472"/>
      <c r="S115" s="472"/>
      <c r="T115" s="472"/>
      <c r="U115" s="472"/>
      <c r="V115" s="472"/>
      <c r="W115" s="472"/>
      <c r="X115" s="472"/>
      <c r="Y115" s="472"/>
    </row>
    <row r="116" spans="1:25" ht="24" x14ac:dyDescent="0.25">
      <c r="A116" s="463"/>
      <c r="B116" s="506">
        <v>94963</v>
      </c>
      <c r="C116" s="507"/>
      <c r="D116" s="508"/>
      <c r="E116" s="509" t="str">
        <f>IF($C116="",IFERROR(VLOOKUP($B116,SERVIÇOS!$B:$G,2,0),IFERROR(VLOOKUP($B116,$D:$K,2,0),"")),IFERROR(VLOOKUP($C116,INSUMOS!$A:$D,2,0),IFERROR(VLOOKUP($C116,COTAÇÕES!$B:$I,2,0),(VLOOKUP($C116,'INSUMO SINAPI - SP'!$C:$F,2,0)))))</f>
        <v>CONCRETO FCK = 15MPA, TRAÇO 1:3,4:3,5 (EM MASSA SECA DE CIMENTO/ AREIA MÉDIA/ BRITA 1) - PREPARO MECÂNICO COM BETONEIRA 400 L. AF_05/2021</v>
      </c>
      <c r="F116" s="510" t="str">
        <f>IF($C116="",IFERROR(VLOOKUP($B116,SERVIÇOS!$B:$G,3,0),IFERROR(VLOOKUP($B116,$D:$K,3,0),"")),IFERROR(VLOOKUP($C116,INSUMOS!$A:$D,3,0),IFERROR(VLOOKUP($C116,COTAÇÕES!$B:$I,3,0),(VLOOKUP($C116,'INSUMO SINAPI - SP'!$C:$F,3,0)))))</f>
        <v>M3</v>
      </c>
      <c r="G116" s="511">
        <v>1.7999999999999999E-2</v>
      </c>
      <c r="H116" s="512">
        <f>IF($C116="",IFERROR(VLOOKUP($B116,SERVIÇOS!$B:$G,6,0),IFERROR(VLOOKUP($B116,$D:$K,8,0),"")),IFERROR(VLOOKUP($C116,INSUMOS!$A:$D,4,0),IFERROR(VLOOKUP($C116,COTAÇÕES!$B:$I,7,0),(VLOOKUP($C116,'INSUMO SINAPI - SP'!$C:$F,4,0)))))</f>
        <v>435.24</v>
      </c>
      <c r="I116" s="513">
        <f>TRUNC(IF($C116="",IFERROR(VLOOKUP($B116,SERVIÇOS!$B:$G,4,0),IFERROR(VLOOKUP($B116,$D:$K,6,0),)),IFERROR(VLOOKUP($C116,INSUMOS!$A:$D,4,0),IFERROR(VLOOKUP($C116,COTAÇÕES!$B:$I,7,0),(VLOOKUP($C116,'INSUMO SINAPI - SP'!$C:$F,4,0)))))*$G116,2)</f>
        <v>6.35</v>
      </c>
      <c r="J116" s="513">
        <f>TRUNC(IF($C116="",IFERROR(VLOOKUP($B116,SERVIÇOS!$B:$G,5,0),IFERROR(VLOOKUP($B116,$D:$K,7,0),)),0)*$G116,2)</f>
        <v>1.47</v>
      </c>
      <c r="K116" s="514">
        <f t="shared" si="6"/>
        <v>7.8199999999999994</v>
      </c>
      <c r="L116" s="515"/>
      <c r="M116" s="471"/>
      <c r="N116" s="516"/>
      <c r="Q116" s="472"/>
      <c r="R116" s="472"/>
      <c r="S116" s="472"/>
      <c r="T116" s="472"/>
      <c r="U116" s="472"/>
      <c r="V116" s="472"/>
      <c r="W116" s="472"/>
      <c r="X116" s="472"/>
      <c r="Y116" s="472"/>
    </row>
    <row r="117" spans="1:25" ht="24" x14ac:dyDescent="0.25">
      <c r="A117" s="463"/>
      <c r="B117" s="506">
        <v>103670</v>
      </c>
      <c r="C117" s="507"/>
      <c r="D117" s="508"/>
      <c r="E117" s="509" t="str">
        <f>IF($C117="",IFERROR(VLOOKUP($B117,SERVIÇOS!$B:$G,2,0),IFERROR(VLOOKUP($B117,$D:$K,2,0),"")),IFERROR(VLOOKUP($C117,INSUMOS!$A:$D,2,0),IFERROR(VLOOKUP($C117,COTAÇÕES!$B:$I,2,0),(VLOOKUP($C117,'INSUMO SINAPI - SP'!$C:$F,2,0)))))</f>
        <v>LANÇAMENTO COM USO DE BALDES, ADENSAMENTO E ACABAMENTO DE CONCRETO EM ESTRUTURAS. AF_02/2022</v>
      </c>
      <c r="F117" s="510" t="str">
        <f>IF($C117="",IFERROR(VLOOKUP($B117,SERVIÇOS!$B:$G,3,0),IFERROR(VLOOKUP($B117,$D:$K,3,0),"")),IFERROR(VLOOKUP($C117,INSUMOS!$A:$D,3,0),IFERROR(VLOOKUP($C117,COTAÇÕES!$B:$I,3,0),(VLOOKUP($C117,'INSUMO SINAPI - SP'!$C:$F,3,0)))))</f>
        <v>M3</v>
      </c>
      <c r="G117" s="511">
        <v>1.7999999999999999E-2</v>
      </c>
      <c r="H117" s="512">
        <f>IF($C117="",IFERROR(VLOOKUP($B117,SERVIÇOS!$B:$G,6,0),IFERROR(VLOOKUP($B117,$D:$K,8,0),"")),IFERROR(VLOOKUP($C117,INSUMOS!$A:$D,4,0),IFERROR(VLOOKUP($C117,COTAÇÕES!$B:$I,7,0),(VLOOKUP($C117,'INSUMO SINAPI - SP'!$C:$F,4,0)))))</f>
        <v>394.15</v>
      </c>
      <c r="I117" s="513">
        <f>TRUNC(IF($C117="",IFERROR(VLOOKUP($B117,SERVIÇOS!$B:$G,4,0),IFERROR(VLOOKUP($B117,$D:$K,6,0),)),IFERROR(VLOOKUP($C117,INSUMOS!$A:$D,4,0),IFERROR(VLOOKUP($C117,COTAÇÕES!$B:$I,7,0),(VLOOKUP($C117,'INSUMO SINAPI - SP'!$C:$F,4,0)))))*$G117,2)</f>
        <v>2.06</v>
      </c>
      <c r="J117" s="513">
        <f>TRUNC(IF($C117="",IFERROR(VLOOKUP($B117,SERVIÇOS!$B:$G,5,0),IFERROR(VLOOKUP($B117,$D:$K,7,0),)),0)*$G117,2)</f>
        <v>5.0199999999999996</v>
      </c>
      <c r="K117" s="514">
        <f t="shared" si="6"/>
        <v>7.08</v>
      </c>
      <c r="L117" s="515"/>
      <c r="M117" s="471"/>
      <c r="N117" s="516"/>
      <c r="Q117" s="472"/>
      <c r="R117" s="472"/>
      <c r="S117" s="472"/>
      <c r="T117" s="472"/>
      <c r="U117" s="472"/>
      <c r="V117" s="472"/>
      <c r="W117" s="472"/>
      <c r="X117" s="472"/>
      <c r="Y117" s="472"/>
    </row>
    <row r="118" spans="1:25" ht="24" x14ac:dyDescent="0.25">
      <c r="A118" s="463"/>
      <c r="B118" s="506">
        <v>92768</v>
      </c>
      <c r="C118" s="507"/>
      <c r="D118" s="508"/>
      <c r="E118" s="509" t="str">
        <f>IF($C118="",IFERROR(VLOOKUP($B118,SERVIÇOS!$B:$G,2,0),IFERROR(VLOOKUP($B118,$D:$K,2,0),"")),IFERROR(VLOOKUP($C118,INSUMOS!$A:$D,2,0),IFERROR(VLOOKUP($C118,COTAÇÕES!$B:$I,2,0),(VLOOKUP($C118,'INSUMO SINAPI - SP'!$C:$F,2,0)))))</f>
        <v>ARMAÇÃO DE LAJE DE ESTRUTURA CONVENCIONAL DE CONCRETO ARMADO UTILIZANDO AÇO CA-60 DE 5,0 MM - MONTAGEM. AF_06/2022</v>
      </c>
      <c r="F118" s="510" t="str">
        <f>IF($C118="",IFERROR(VLOOKUP($B118,SERVIÇOS!$B:$G,3,0),IFERROR(VLOOKUP($B118,$D:$K,3,0),"")),IFERROR(VLOOKUP($C118,INSUMOS!$A:$D,3,0),IFERROR(VLOOKUP($C118,COTAÇÕES!$B:$I,3,0),(VLOOKUP($C118,'INSUMO SINAPI - SP'!$C:$F,3,0)))))</f>
        <v>KG</v>
      </c>
      <c r="G118" s="511">
        <v>1.26</v>
      </c>
      <c r="H118" s="512">
        <f>IF($C118="",IFERROR(VLOOKUP($B118,SERVIÇOS!$B:$G,6,0),IFERROR(VLOOKUP($B118,$D:$K,8,0),"")),IFERROR(VLOOKUP($C118,INSUMOS!$A:$D,4,0),IFERROR(VLOOKUP($C118,COTAÇÕES!$B:$I,7,0),(VLOOKUP($C118,'INSUMO SINAPI - SP'!$C:$F,4,0)))))</f>
        <v>14.81</v>
      </c>
      <c r="I118" s="513">
        <f>TRUNC(IF($C118="",IFERROR(VLOOKUP($B118,SERVIÇOS!$B:$G,4,0),IFERROR(VLOOKUP($B118,$D:$K,6,0),)),IFERROR(VLOOKUP($C118,INSUMOS!$A:$D,4,0),IFERROR(VLOOKUP($C118,COTAÇÕES!$B:$I,7,0),(VLOOKUP($C118,'INSUMO SINAPI - SP'!$C:$F,4,0)))))*$G118,2)</f>
        <v>13.2</v>
      </c>
      <c r="J118" s="513">
        <f>TRUNC(IF($C118="",IFERROR(VLOOKUP($B118,SERVIÇOS!$B:$G,5,0),IFERROR(VLOOKUP($B118,$D:$K,7,0),)),0)*$G118,2)</f>
        <v>5.45</v>
      </c>
      <c r="K118" s="514">
        <f t="shared" si="6"/>
        <v>18.649999999999999</v>
      </c>
      <c r="L118" s="515"/>
      <c r="M118" s="471"/>
      <c r="N118" s="516"/>
      <c r="Q118" s="472"/>
      <c r="R118" s="472"/>
      <c r="S118" s="472"/>
      <c r="T118" s="472"/>
      <c r="U118" s="472"/>
      <c r="V118" s="472"/>
      <c r="W118" s="472"/>
      <c r="X118" s="472"/>
      <c r="Y118" s="472"/>
    </row>
    <row r="119" spans="1:25" ht="24" x14ac:dyDescent="0.25">
      <c r="A119" s="463"/>
      <c r="B119" s="526"/>
      <c r="C119" s="527"/>
      <c r="D119" s="499" t="s">
        <v>12077</v>
      </c>
      <c r="E119" s="500" t="s">
        <v>12716</v>
      </c>
      <c r="F119" s="501" t="s">
        <v>585</v>
      </c>
      <c r="G119" s="528"/>
      <c r="H119" s="503"/>
      <c r="I119" s="504">
        <f>ROUND(SUM(I120:I122),2)</f>
        <v>465.6</v>
      </c>
      <c r="J119" s="504">
        <f>ROUND(SUM(J120:J122),2)</f>
        <v>86.79</v>
      </c>
      <c r="K119" s="504">
        <f>+J119+I119</f>
        <v>552.39</v>
      </c>
      <c r="L119" s="499" t="s">
        <v>12717</v>
      </c>
      <c r="M119" s="471"/>
      <c r="N119" s="505"/>
      <c r="Q119" s="472"/>
      <c r="R119" s="472"/>
      <c r="S119" s="472"/>
      <c r="T119" s="472"/>
      <c r="U119" s="472"/>
      <c r="V119" s="472"/>
      <c r="W119" s="472"/>
      <c r="X119" s="472"/>
      <c r="Y119" s="472"/>
    </row>
    <row r="120" spans="1:25" x14ac:dyDescent="0.25">
      <c r="A120" s="463"/>
      <c r="B120" s="506">
        <v>88316</v>
      </c>
      <c r="C120" s="507"/>
      <c r="D120" s="508"/>
      <c r="E120" s="509" t="str">
        <f>IF($C120="",IFERROR(VLOOKUP($B120,SERVIÇOS!$B:$G,2,0),IFERROR(VLOOKUP($B120,$D:$K,2,0),"")),IFERROR(VLOOKUP($C120,INSUMOS!$A:$D,2,0),IFERROR(VLOOKUP($C120,COTAÇÕES!$B:$I,2,0),(VLOOKUP($C120,'INSUMO SINAPI - SP'!$C:$F,2,0)))))</f>
        <v>SERVENTE COM ENCARGOS COMPLEMENTARES</v>
      </c>
      <c r="F120" s="510" t="str">
        <f>IF($C120="",IFERROR(VLOOKUP($B120,SERVIÇOS!$B:$G,3,0),IFERROR(VLOOKUP($B120,$D:$K,3,0),"")),IFERROR(VLOOKUP($C120,INSUMOS!$A:$D,3,0),IFERROR(VLOOKUP($C120,COTAÇÕES!$B:$I,3,0),(VLOOKUP($C120,'INSUMO SINAPI - SP'!$C:$F,3,0)))))</f>
        <v>H</v>
      </c>
      <c r="G120" s="511">
        <v>1.9</v>
      </c>
      <c r="H120" s="512">
        <f>IF($C120="",IFERROR(VLOOKUP($B120,SERVIÇOS!$B:$G,6,0),IFERROR(VLOOKUP($B120,$D:$K,8,0),"")),IFERROR(VLOOKUP($C120,INSUMOS!$A:$D,4,0),IFERROR(VLOOKUP($C120,COTAÇÕES!$B:$I,7,0),(VLOOKUP($C120,'INSUMO SINAPI - SP'!$C:$F,4,0)))))</f>
        <v>28.71</v>
      </c>
      <c r="I120" s="513">
        <f>TRUNC(IF($C120="",IFERROR(VLOOKUP($B120,SERVIÇOS!$B:$G,4,0),IFERROR(VLOOKUP($B120,$D:$K,6,0),)),IFERROR(VLOOKUP($C120,INSUMOS!$A:$D,4,0),IFERROR(VLOOKUP($C120,COTAÇÕES!$B:$I,7,0),(VLOOKUP($C120,'INSUMO SINAPI - SP'!$C:$F,4,0)))))*$G120,2)</f>
        <v>17.48</v>
      </c>
      <c r="J120" s="513">
        <f>TRUNC(IF($C120="",IFERROR(VLOOKUP($B120,SERVIÇOS!$B:$G,5,0),IFERROR(VLOOKUP($B120,$D:$K,7,0),)),0)*$G120,2)</f>
        <v>37.06</v>
      </c>
      <c r="K120" s="514">
        <f>I120+J120</f>
        <v>54.540000000000006</v>
      </c>
      <c r="L120" s="515"/>
      <c r="M120" s="471"/>
      <c r="N120" s="516"/>
      <c r="Q120" s="472"/>
      <c r="R120" s="472"/>
      <c r="S120" s="472"/>
      <c r="T120" s="472"/>
      <c r="U120" s="472"/>
      <c r="V120" s="472"/>
      <c r="W120" s="472"/>
      <c r="X120" s="472"/>
      <c r="Y120" s="472"/>
    </row>
    <row r="121" spans="1:25" x14ac:dyDescent="0.25">
      <c r="A121" s="463"/>
      <c r="B121" s="506">
        <v>88309</v>
      </c>
      <c r="C121" s="507"/>
      <c r="D121" s="508"/>
      <c r="E121" s="509" t="str">
        <f>IF($C121="",IFERROR(VLOOKUP($B121,SERVIÇOS!$B:$G,2,0),IFERROR(VLOOKUP($B121,$D:$K,2,0),"")),IFERROR(VLOOKUP($C121,INSUMOS!$A:$D,2,0),IFERROR(VLOOKUP($C121,COTAÇÕES!$B:$I,2,0),(VLOOKUP($C121,'INSUMO SINAPI - SP'!$C:$F,2,0)))))</f>
        <v>PEDREIRO COM ENCARGOS COMPLEMENTARES</v>
      </c>
      <c r="F121" s="510" t="str">
        <f>IF($C121="",IFERROR(VLOOKUP($B121,SERVIÇOS!$B:$G,3,0),IFERROR(VLOOKUP($B121,$D:$K,3,0),"")),IFERROR(VLOOKUP($C121,INSUMOS!$A:$D,3,0),IFERROR(VLOOKUP($C121,COTAÇÕES!$B:$I,3,0),(VLOOKUP($C121,'INSUMO SINAPI - SP'!$C:$F,3,0)))))</f>
        <v>H</v>
      </c>
      <c r="G121" s="511">
        <v>1.8</v>
      </c>
      <c r="H121" s="512">
        <f>IF($C121="",IFERROR(VLOOKUP($B121,SERVIÇOS!$B:$G,6,0),IFERROR(VLOOKUP($B121,$D:$K,8,0),"")),IFERROR(VLOOKUP($C121,INSUMOS!$A:$D,4,0),IFERROR(VLOOKUP($C121,COTAÇÕES!$B:$I,7,0),(VLOOKUP($C121,'INSUMO SINAPI - SP'!$C:$F,4,0)))))</f>
        <v>36.909999999999997</v>
      </c>
      <c r="I121" s="513">
        <f>TRUNC(IF($C121="",IFERROR(VLOOKUP($B121,SERVIÇOS!$B:$G,4,0),IFERROR(VLOOKUP($B121,$D:$K,6,0),)),IFERROR(VLOOKUP($C121,INSUMOS!$A:$D,4,0),IFERROR(VLOOKUP($C121,COTAÇÕES!$B:$I,7,0),(VLOOKUP($C121,'INSUMO SINAPI - SP'!$C:$F,4,0)))))*$G121,2)</f>
        <v>16.7</v>
      </c>
      <c r="J121" s="513">
        <f>TRUNC(IF($C121="",IFERROR(VLOOKUP($B121,SERVIÇOS!$B:$G,5,0),IFERROR(VLOOKUP($B121,$D:$K,7,0),)),0)*$G121,2)</f>
        <v>49.73</v>
      </c>
      <c r="K121" s="514">
        <f>I121+J121</f>
        <v>66.429999999999993</v>
      </c>
      <c r="L121" s="515"/>
      <c r="M121" s="471"/>
      <c r="N121" s="516"/>
      <c r="Q121" s="472"/>
      <c r="R121" s="472"/>
      <c r="S121" s="472"/>
      <c r="T121" s="472"/>
      <c r="U121" s="472"/>
      <c r="V121" s="472"/>
      <c r="W121" s="472"/>
      <c r="X121" s="472"/>
      <c r="Y121" s="472"/>
    </row>
    <row r="122" spans="1:25" ht="24" x14ac:dyDescent="0.25">
      <c r="A122" s="463"/>
      <c r="B122" s="506"/>
      <c r="C122" s="507" t="s">
        <v>12718</v>
      </c>
      <c r="D122" s="508"/>
      <c r="E122" s="518" t="s">
        <v>12719</v>
      </c>
      <c r="F122" s="519" t="s">
        <v>585</v>
      </c>
      <c r="G122" s="511">
        <v>1</v>
      </c>
      <c r="H122" s="520">
        <v>431.42</v>
      </c>
      <c r="I122" s="520">
        <f>TRUNC(H122*G122,2)</f>
        <v>431.42</v>
      </c>
      <c r="J122" s="521"/>
      <c r="K122" s="522">
        <f>I122+J122</f>
        <v>431.42</v>
      </c>
      <c r="L122" s="517" t="s">
        <v>12677</v>
      </c>
      <c r="M122" s="471"/>
      <c r="N122" s="516"/>
      <c r="Q122" s="472"/>
      <c r="R122" s="472"/>
      <c r="S122" s="472"/>
      <c r="T122" s="472"/>
      <c r="U122" s="472"/>
      <c r="V122" s="472"/>
      <c r="W122" s="472"/>
      <c r="X122" s="472"/>
      <c r="Y122" s="472"/>
    </row>
    <row r="123" spans="1:25" x14ac:dyDescent="0.25">
      <c r="A123" s="463"/>
      <c r="B123" s="498"/>
      <c r="C123" s="498"/>
      <c r="D123" s="499" t="s">
        <v>12500</v>
      </c>
      <c r="E123" s="500" t="s">
        <v>12720</v>
      </c>
      <c r="F123" s="501" t="s">
        <v>578</v>
      </c>
      <c r="G123" s="525"/>
      <c r="H123" s="503"/>
      <c r="I123" s="504">
        <f>ROUND(SUM(I124:I125),2)</f>
        <v>2.0099999999999998</v>
      </c>
      <c r="J123" s="504">
        <f>ROUND(SUM(J124:J125),2)</f>
        <v>2.73</v>
      </c>
      <c r="K123" s="504">
        <f>+J123+I123</f>
        <v>4.74</v>
      </c>
      <c r="L123" s="523" t="s">
        <v>12721</v>
      </c>
      <c r="M123" s="471"/>
      <c r="N123" s="505"/>
      <c r="Q123" s="472"/>
      <c r="R123" s="472"/>
      <c r="S123" s="472"/>
      <c r="T123" s="472"/>
      <c r="U123" s="472"/>
      <c r="V123" s="472"/>
      <c r="W123" s="472"/>
      <c r="X123" s="472"/>
      <c r="Y123" s="472"/>
    </row>
    <row r="124" spans="1:25" x14ac:dyDescent="0.25">
      <c r="A124" s="463"/>
      <c r="B124" s="506">
        <v>88316</v>
      </c>
      <c r="C124" s="507"/>
      <c r="D124" s="508"/>
      <c r="E124" s="509" t="str">
        <f>IF($C124="",IFERROR(VLOOKUP($B124,SERVIÇOS!$B:$G,2,0),IFERROR(VLOOKUP($B124,$D:$K,2,0),"")),IFERROR(VLOOKUP($C124,INSUMOS!$A:$D,2,0),IFERROR(VLOOKUP($C124,COTAÇÕES!$B:$I,2,0),(VLOOKUP($C124,'INSUMO SINAPI - SP'!$C:$F,2,0)))))</f>
        <v>SERVENTE COM ENCARGOS COMPLEMENTARES</v>
      </c>
      <c r="F124" s="510" t="str">
        <f>IF($C124="",IFERROR(VLOOKUP($B124,SERVIÇOS!$B:$G,3,0),IFERROR(VLOOKUP($B124,$D:$K,3,0),"")),IFERROR(VLOOKUP($C124,INSUMOS!$A:$D,3,0),IFERROR(VLOOKUP($C124,COTAÇÕES!$B:$I,3,0),(VLOOKUP($C124,'INSUMO SINAPI - SP'!$C:$F,3,0)))))</f>
        <v>H</v>
      </c>
      <c r="G124" s="511">
        <v>0.14000000000000001</v>
      </c>
      <c r="H124" s="512">
        <f>IF($C124="",IFERROR(VLOOKUP($B124,SERVIÇOS!$B:$G,6,0),IFERROR(VLOOKUP($B124,$D:$K,8,0),"")),IFERROR(VLOOKUP($C124,INSUMOS!$A:$D,4,0),IFERROR(VLOOKUP($C124,COTAÇÕES!$B:$I,7,0),(VLOOKUP($C124,'INSUMO SINAPI - SP'!$C:$F,4,0)))))</f>
        <v>28.71</v>
      </c>
      <c r="I124" s="513">
        <f>TRUNC(IF($C124="",IFERROR(VLOOKUP($B124,SERVIÇOS!$B:$G,4,0),IFERROR(VLOOKUP($B124,$D:$K,6,0),)),IFERROR(VLOOKUP($C124,INSUMOS!$A:$D,4,0),IFERROR(VLOOKUP($C124,COTAÇÕES!$B:$I,7,0),(VLOOKUP($C124,'INSUMO SINAPI - SP'!$C:$F,4,0)))))*$G124,2)</f>
        <v>1.28</v>
      </c>
      <c r="J124" s="513">
        <f>TRUNC(IF($C124="",IFERROR(VLOOKUP($B124,SERVIÇOS!$B:$G,5,0),IFERROR(VLOOKUP($B124,$D:$K,7,0),)),0)*$G124,2)</f>
        <v>2.73</v>
      </c>
      <c r="K124" s="514">
        <f>I124+J124</f>
        <v>4.01</v>
      </c>
      <c r="L124" s="515"/>
      <c r="M124" s="471"/>
      <c r="N124" s="516"/>
      <c r="Q124" s="472"/>
      <c r="R124" s="472"/>
      <c r="S124" s="472"/>
      <c r="T124" s="472"/>
      <c r="U124" s="472"/>
      <c r="V124" s="472"/>
      <c r="W124" s="472"/>
      <c r="X124" s="472"/>
      <c r="Y124" s="472"/>
    </row>
    <row r="125" spans="1:25" x14ac:dyDescent="0.25">
      <c r="A125" s="463"/>
      <c r="B125" s="506"/>
      <c r="C125" s="507">
        <v>3</v>
      </c>
      <c r="D125" s="508"/>
      <c r="E125" s="509" t="str">
        <f>IF($C125="",IFERROR(VLOOKUP($B125,SERVIÇOS!$B:$G,2,0),IFERROR(VLOOKUP($B125,$D:$K,2,0),"")),IFERROR(VLOOKUP($C125,INSUMOS!$A:$D,2,0),IFERROR(VLOOKUP($C125,COTAÇÕES!$B:$I,2,0),(VLOOKUP($C125,'INSUMO SINAPI - SP'!$C:$F,2,0)))))</f>
        <v>ACIDO CLORIDRICO / ACIDO MURIATICO, DILUICAO 10% A 12% PARA USO EM LIMPEZA</v>
      </c>
      <c r="F125" s="510" t="str">
        <f>IF($C125="",IFERROR(VLOOKUP($B125,SERVIÇOS!$B:$G,3,0),IFERROR(VLOOKUP($B125,$D:$K,3,0),"")),IFERROR(VLOOKUP($C125,INSUMOS!$A:$D,3,0),IFERROR(VLOOKUP($C125,COTAÇÕES!$B:$I,3,0),(VLOOKUP($C125,'INSUMO SINAPI - SP'!$C:$F,3,0)))))</f>
        <v>L</v>
      </c>
      <c r="G125" s="511">
        <v>0.05</v>
      </c>
      <c r="H125" s="512">
        <f>IF($C125="",IFERROR(VLOOKUP($B125,SERVIÇOS!$B:$G,6,0),IFERROR(VLOOKUP($B125,$D:$K,8,0),"")),IFERROR(VLOOKUP($C125,INSUMOS!$A:$D,4,0),IFERROR(VLOOKUP($C125,COTAÇÕES!$B:$I,7,0),(VLOOKUP($C125,'INSUMO SINAPI - SP'!$C:$F,4,0)))))</f>
        <v>14.73</v>
      </c>
      <c r="I125" s="513">
        <f>TRUNC(IF($C125="",IFERROR(VLOOKUP($B125,SERVIÇOS!$B:$G,4,0),IFERROR(VLOOKUP($B125,$D:$K,6,0),)),IFERROR(VLOOKUP($C125,INSUMOS!$A:$D,4,0),IFERROR(VLOOKUP($C125,COTAÇÕES!$B:$I,7,0),(VLOOKUP($C125,'INSUMO SINAPI - SP'!$C:$F,4,0)))))*$G125,2)</f>
        <v>0.73</v>
      </c>
      <c r="J125" s="513">
        <f>TRUNC(IF($C125="",IFERROR(VLOOKUP($B125,SERVIÇOS!$B:$G,5,0),IFERROR(VLOOKUP($B125,$D:$K,7,0),)),0)*$G125,2)</f>
        <v>0</v>
      </c>
      <c r="K125" s="514">
        <f>I125+J125</f>
        <v>0.73</v>
      </c>
      <c r="L125" s="517"/>
      <c r="M125" s="471"/>
      <c r="N125" s="516"/>
      <c r="Q125" s="472"/>
      <c r="R125" s="472"/>
      <c r="S125" s="472"/>
      <c r="T125" s="472"/>
      <c r="U125" s="472"/>
      <c r="V125" s="472"/>
      <c r="W125" s="472"/>
      <c r="X125" s="472"/>
      <c r="Y125" s="472"/>
    </row>
    <row r="126" spans="1:25" ht="36" x14ac:dyDescent="0.25">
      <c r="A126" s="463"/>
      <c r="B126" s="526"/>
      <c r="C126" s="527"/>
      <c r="D126" s="499" t="s">
        <v>12070</v>
      </c>
      <c r="E126" s="500" t="s">
        <v>12722</v>
      </c>
      <c r="F126" s="501" t="s">
        <v>585</v>
      </c>
      <c r="G126" s="528"/>
      <c r="H126" s="503"/>
      <c r="I126" s="504">
        <f>ROUND(SUM(I127:I133),2)</f>
        <v>1638.57</v>
      </c>
      <c r="J126" s="504">
        <f>ROUND(SUM(J127:J133),2)</f>
        <v>109.65</v>
      </c>
      <c r="K126" s="504">
        <f>+J126+I126</f>
        <v>1748.22</v>
      </c>
      <c r="L126" s="499" t="s">
        <v>12711</v>
      </c>
      <c r="M126" s="471"/>
      <c r="N126" s="505"/>
      <c r="Q126" s="472"/>
      <c r="R126" s="472"/>
      <c r="S126" s="472"/>
      <c r="T126" s="472"/>
      <c r="U126" s="472"/>
      <c r="V126" s="472"/>
      <c r="W126" s="472"/>
      <c r="X126" s="472"/>
      <c r="Y126" s="472"/>
    </row>
    <row r="127" spans="1:25" x14ac:dyDescent="0.25">
      <c r="A127" s="463"/>
      <c r="B127" s="506">
        <v>88316</v>
      </c>
      <c r="C127" s="507"/>
      <c r="D127" s="508"/>
      <c r="E127" s="509" t="str">
        <f>IF($C127="",IFERROR(VLOOKUP($B127,SERVIÇOS!$B:$G,2,0),IFERROR(VLOOKUP($B127,$D:$K,2,0),"")),IFERROR(VLOOKUP($C127,INSUMOS!$A:$D,2,0),IFERROR(VLOOKUP($C127,COTAÇÕES!$B:$I,2,0),(VLOOKUP($C127,'INSUMO SINAPI - SP'!$C:$F,2,0)))))</f>
        <v>SERVENTE COM ENCARGOS COMPLEMENTARES</v>
      </c>
      <c r="F127" s="510" t="str">
        <f>IF($C127="",IFERROR(VLOOKUP($B127,SERVIÇOS!$B:$G,3,0),IFERROR(VLOOKUP($B127,$D:$K,3,0),"")),IFERROR(VLOOKUP($C127,INSUMOS!$A:$D,3,0),IFERROR(VLOOKUP($C127,COTAÇÕES!$B:$I,3,0),(VLOOKUP($C127,'INSUMO SINAPI - SP'!$C:$F,3,0)))))</f>
        <v>H</v>
      </c>
      <c r="G127" s="511">
        <v>2</v>
      </c>
      <c r="H127" s="512">
        <f>IF($C127="",IFERROR(VLOOKUP($B127,SERVIÇOS!$B:$G,6,0),IFERROR(VLOOKUP($B127,$D:$K,8,0),"")),IFERROR(VLOOKUP($C127,INSUMOS!$A:$D,4,0),IFERROR(VLOOKUP($C127,COTAÇÕES!$B:$I,7,0),(VLOOKUP($C127,'INSUMO SINAPI - SP'!$C:$F,4,0)))))</f>
        <v>28.71</v>
      </c>
      <c r="I127" s="513">
        <f>TRUNC(IF($C127="",IFERROR(VLOOKUP($B127,SERVIÇOS!$B:$G,4,0),IFERROR(VLOOKUP($B127,$D:$K,6,0),)),IFERROR(VLOOKUP($C127,INSUMOS!$A:$D,4,0),IFERROR(VLOOKUP($C127,COTAÇÕES!$B:$I,7,0),(VLOOKUP($C127,'INSUMO SINAPI - SP'!$C:$F,4,0)))))*$G127,2)</f>
        <v>18.399999999999999</v>
      </c>
      <c r="J127" s="513">
        <f>TRUNC(IF($C127="",IFERROR(VLOOKUP($B127,SERVIÇOS!$B:$G,5,0),IFERROR(VLOOKUP($B127,$D:$K,7,0),)),0)*$G127,2)</f>
        <v>39.020000000000003</v>
      </c>
      <c r="K127" s="514">
        <f t="shared" ref="K127:K133" si="7">I127+J127</f>
        <v>57.42</v>
      </c>
      <c r="L127" s="515"/>
      <c r="M127" s="471"/>
      <c r="N127" s="516"/>
      <c r="Q127" s="472"/>
      <c r="R127" s="472"/>
      <c r="S127" s="472"/>
      <c r="T127" s="472"/>
      <c r="U127" s="472"/>
      <c r="V127" s="472"/>
      <c r="W127" s="472"/>
      <c r="X127" s="472"/>
      <c r="Y127" s="472"/>
    </row>
    <row r="128" spans="1:25" x14ac:dyDescent="0.25">
      <c r="A128" s="463"/>
      <c r="B128" s="506">
        <v>88309</v>
      </c>
      <c r="C128" s="507"/>
      <c r="D128" s="508"/>
      <c r="E128" s="509" t="str">
        <f>IF($C128="",IFERROR(VLOOKUP($B128,SERVIÇOS!$B:$G,2,0),IFERROR(VLOOKUP($B128,$D:$K,2,0),"")),IFERROR(VLOOKUP($C128,INSUMOS!$A:$D,2,0),IFERROR(VLOOKUP($C128,COTAÇÕES!$B:$I,2,0),(VLOOKUP($C128,'INSUMO SINAPI - SP'!$C:$F,2,0)))))</f>
        <v>PEDREIRO COM ENCARGOS COMPLEMENTARES</v>
      </c>
      <c r="F128" s="510" t="str">
        <f>IF($C128="",IFERROR(VLOOKUP($B128,SERVIÇOS!$B:$G,3,0),IFERROR(VLOOKUP($B128,$D:$K,3,0),"")),IFERROR(VLOOKUP($C128,INSUMOS!$A:$D,3,0),IFERROR(VLOOKUP($C128,COTAÇÕES!$B:$I,3,0),(VLOOKUP($C128,'INSUMO SINAPI - SP'!$C:$F,3,0)))))</f>
        <v>H</v>
      </c>
      <c r="G128" s="511">
        <v>2</v>
      </c>
      <c r="H128" s="512">
        <f>IF($C128="",IFERROR(VLOOKUP($B128,SERVIÇOS!$B:$G,6,0),IFERROR(VLOOKUP($B128,$D:$K,8,0),"")),IFERROR(VLOOKUP($C128,INSUMOS!$A:$D,4,0),IFERROR(VLOOKUP($C128,COTAÇÕES!$B:$I,7,0),(VLOOKUP($C128,'INSUMO SINAPI - SP'!$C:$F,4,0)))))</f>
        <v>36.909999999999997</v>
      </c>
      <c r="I128" s="513">
        <f>TRUNC(IF($C128="",IFERROR(VLOOKUP($B128,SERVIÇOS!$B:$G,4,0),IFERROR(VLOOKUP($B128,$D:$K,6,0),)),IFERROR(VLOOKUP($C128,INSUMOS!$A:$D,4,0),IFERROR(VLOOKUP($C128,COTAÇÕES!$B:$I,7,0),(VLOOKUP($C128,'INSUMO SINAPI - SP'!$C:$F,4,0)))))*$G128,2)</f>
        <v>18.559999999999999</v>
      </c>
      <c r="J128" s="513">
        <f>TRUNC(IF($C128="",IFERROR(VLOOKUP($B128,SERVIÇOS!$B:$G,5,0),IFERROR(VLOOKUP($B128,$D:$K,7,0),)),0)*$G128,2)</f>
        <v>55.26</v>
      </c>
      <c r="K128" s="514">
        <f t="shared" si="7"/>
        <v>73.819999999999993</v>
      </c>
      <c r="L128" s="515"/>
      <c r="M128" s="471"/>
      <c r="N128" s="516"/>
      <c r="Q128" s="472"/>
      <c r="R128" s="472"/>
      <c r="S128" s="472"/>
      <c r="T128" s="472"/>
      <c r="U128" s="472"/>
      <c r="V128" s="472"/>
      <c r="W128" s="472"/>
      <c r="X128" s="472"/>
      <c r="Y128" s="472"/>
    </row>
    <row r="129" spans="1:25" ht="24" x14ac:dyDescent="0.25">
      <c r="A129" s="463"/>
      <c r="B129" s="506"/>
      <c r="C129" s="507">
        <v>11689</v>
      </c>
      <c r="D129" s="508"/>
      <c r="E129" s="509" t="str">
        <f>IF($C129="",IFERROR(VLOOKUP($B129,SERVIÇOS!$B:$G,2,0),IFERROR(VLOOKUP($B129,$D:$K,2,0),"")),IFERROR(VLOOKUP($C129,INSUMOS!$A:$D,2,0),IFERROR(VLOOKUP($C129,COTAÇÕES!$B:$I,2,0),(VLOOKUP($C129,'INSUMO SINAPI - SP'!$C:$F,2,0)))))</f>
        <v>BANCADA/TAMPO ACO INOX (AISI 304), LARGURA 70 CM, COM RODABANCA (NAO INCLUI PES DE APOIO)</v>
      </c>
      <c r="F129" s="510" t="str">
        <f>IF($C129="",IFERROR(VLOOKUP($B129,SERVIÇOS!$B:$G,3,0),IFERROR(VLOOKUP($B129,$D:$K,3,0),"")),IFERROR(VLOOKUP($C129,INSUMOS!$A:$D,3,0),IFERROR(VLOOKUP($C129,COTAÇÕES!$B:$I,3,0),(VLOOKUP($C129,'INSUMO SINAPI - SP'!$C:$F,3,0)))))</f>
        <v>M</v>
      </c>
      <c r="G129" s="511">
        <v>1</v>
      </c>
      <c r="H129" s="512">
        <f>IF($C129="",IFERROR(VLOOKUP($B129,SERVIÇOS!$B:$G,6,0),IFERROR(VLOOKUP($B129,$D:$K,8,0),"")),IFERROR(VLOOKUP($C129,INSUMOS!$A:$D,4,0),IFERROR(VLOOKUP($C129,COTAÇÕES!$B:$I,7,0),(VLOOKUP($C129,'INSUMO SINAPI - SP'!$C:$F,4,0)))))</f>
        <v>1575.7</v>
      </c>
      <c r="I129" s="513">
        <f>TRUNC(IF($C129="",IFERROR(VLOOKUP($B129,SERVIÇOS!$B:$G,4,0),IFERROR(VLOOKUP($B129,$D:$K,6,0),)),IFERROR(VLOOKUP($C129,INSUMOS!$A:$D,4,0),IFERROR(VLOOKUP($C129,COTAÇÕES!$B:$I,7,0),(VLOOKUP($C129,'INSUMO SINAPI - SP'!$C:$F,4,0)))))*$G129,2)</f>
        <v>1575.7</v>
      </c>
      <c r="J129" s="513">
        <f>TRUNC(IF($C129="",IFERROR(VLOOKUP($B129,SERVIÇOS!$B:$G,5,0),IFERROR(VLOOKUP($B129,$D:$K,7,0),)),0)*$G129,2)</f>
        <v>0</v>
      </c>
      <c r="K129" s="514">
        <f t="shared" si="7"/>
        <v>1575.7</v>
      </c>
      <c r="L129" s="517"/>
      <c r="M129" s="471"/>
      <c r="N129" s="516"/>
      <c r="Q129" s="472"/>
      <c r="R129" s="472"/>
      <c r="S129" s="472"/>
      <c r="T129" s="472"/>
      <c r="U129" s="472"/>
      <c r="V129" s="472"/>
      <c r="W129" s="472"/>
      <c r="X129" s="472"/>
      <c r="Y129" s="472"/>
    </row>
    <row r="130" spans="1:25" x14ac:dyDescent="0.25">
      <c r="A130" s="463"/>
      <c r="B130" s="506"/>
      <c r="C130" s="507">
        <v>43061</v>
      </c>
      <c r="D130" s="508"/>
      <c r="E130" s="509" t="str">
        <f>IF($C130="",IFERROR(VLOOKUP($B130,SERVIÇOS!$B:$G,2,0),IFERROR(VLOOKUP($B130,$D:$K,2,0),"")),IFERROR(VLOOKUP($C130,INSUMOS!$A:$D,2,0),IFERROR(VLOOKUP($C130,COTAÇÕES!$B:$I,2,0),(VLOOKUP($C130,'INSUMO SINAPI - SP'!$C:$F,2,0)))))</f>
        <v>ACO CA-60, 4,2 MM OU 5,0 MM, DOBRADO E CORTADO</v>
      </c>
      <c r="F130" s="510" t="str">
        <f>IF($C130="",IFERROR(VLOOKUP($B130,SERVIÇOS!$B:$G,3,0),IFERROR(VLOOKUP($B130,$D:$K,3,0),"")),IFERROR(VLOOKUP($C130,INSUMOS!$A:$D,3,0),IFERROR(VLOOKUP($C130,COTAÇÕES!$B:$I,3,0),(VLOOKUP($C130,'INSUMO SINAPI - SP'!$C:$F,3,0)))))</f>
        <v>KG</v>
      </c>
      <c r="G130" s="511">
        <v>0.26</v>
      </c>
      <c r="H130" s="512">
        <f>IF($C130="",IFERROR(VLOOKUP($B130,SERVIÇOS!$B:$G,6,0),IFERROR(VLOOKUP($B130,$D:$K,8,0),"")),IFERROR(VLOOKUP($C130,INSUMOS!$A:$D,4,0),IFERROR(VLOOKUP($C130,COTAÇÕES!$B:$I,7,0),(VLOOKUP($C130,'INSUMO SINAPI - SP'!$C:$F,4,0)))))</f>
        <v>7.66</v>
      </c>
      <c r="I130" s="513">
        <f>TRUNC(IF($C130="",IFERROR(VLOOKUP($B130,SERVIÇOS!$B:$G,4,0),IFERROR(VLOOKUP($B130,$D:$K,6,0),)),IFERROR(VLOOKUP($C130,INSUMOS!$A:$D,4,0),IFERROR(VLOOKUP($C130,COTAÇÕES!$B:$I,7,0),(VLOOKUP($C130,'INSUMO SINAPI - SP'!$C:$F,4,0)))))*$G130,2)</f>
        <v>1.99</v>
      </c>
      <c r="J130" s="513">
        <f>TRUNC(IF($C130="",IFERROR(VLOOKUP($B130,SERVIÇOS!$B:$G,5,0),IFERROR(VLOOKUP($B130,$D:$K,7,0),)),0)*$G130,2)</f>
        <v>0</v>
      </c>
      <c r="K130" s="514">
        <f t="shared" si="7"/>
        <v>1.99</v>
      </c>
      <c r="L130" s="517"/>
      <c r="M130" s="471"/>
      <c r="N130" s="516"/>
      <c r="Q130" s="472"/>
      <c r="R130" s="472"/>
      <c r="S130" s="472"/>
      <c r="T130" s="472"/>
      <c r="U130" s="472"/>
      <c r="V130" s="472"/>
      <c r="W130" s="472"/>
      <c r="X130" s="472"/>
      <c r="Y130" s="472"/>
    </row>
    <row r="131" spans="1:25" ht="24" x14ac:dyDescent="0.25">
      <c r="A131" s="463"/>
      <c r="B131" s="506">
        <v>94963</v>
      </c>
      <c r="C131" s="507"/>
      <c r="D131" s="508"/>
      <c r="E131" s="509" t="str">
        <f>IF($C131="",IFERROR(VLOOKUP($B131,SERVIÇOS!$B:$G,2,0),IFERROR(VLOOKUP($B131,$D:$K,2,0),"")),IFERROR(VLOOKUP($C131,INSUMOS!$A:$D,2,0),IFERROR(VLOOKUP($C131,COTAÇÕES!$B:$I,2,0),(VLOOKUP($C131,'INSUMO SINAPI - SP'!$C:$F,2,0)))))</f>
        <v>CONCRETO FCK = 15MPA, TRAÇO 1:3,4:3,5 (EM MASSA SECA DE CIMENTO/ AREIA MÉDIA/ BRITA 1) - PREPARO MECÂNICO COM BETONEIRA 400 L. AF_05/2021</v>
      </c>
      <c r="F131" s="510" t="str">
        <f>IF($C131="",IFERROR(VLOOKUP($B131,SERVIÇOS!$B:$G,3,0),IFERROR(VLOOKUP($B131,$D:$K,3,0),"")),IFERROR(VLOOKUP($C131,INSUMOS!$A:$D,3,0),IFERROR(VLOOKUP($C131,COTAÇÕES!$B:$I,3,0),(VLOOKUP($C131,'INSUMO SINAPI - SP'!$C:$F,3,0)))))</f>
        <v>M3</v>
      </c>
      <c r="G131" s="511">
        <v>1.7999999999999999E-2</v>
      </c>
      <c r="H131" s="512">
        <f>IF($C131="",IFERROR(VLOOKUP($B131,SERVIÇOS!$B:$G,6,0),IFERROR(VLOOKUP($B131,$D:$K,8,0),"")),IFERROR(VLOOKUP($C131,INSUMOS!$A:$D,4,0),IFERROR(VLOOKUP($C131,COTAÇÕES!$B:$I,7,0),(VLOOKUP($C131,'INSUMO SINAPI - SP'!$C:$F,4,0)))))</f>
        <v>435.24</v>
      </c>
      <c r="I131" s="513">
        <f>TRUNC(IF($C131="",IFERROR(VLOOKUP($B131,SERVIÇOS!$B:$G,4,0),IFERROR(VLOOKUP($B131,$D:$K,6,0),)),IFERROR(VLOOKUP($C131,INSUMOS!$A:$D,4,0),IFERROR(VLOOKUP($C131,COTAÇÕES!$B:$I,7,0),(VLOOKUP($C131,'INSUMO SINAPI - SP'!$C:$F,4,0)))))*$G131,2)</f>
        <v>6.35</v>
      </c>
      <c r="J131" s="513">
        <f>TRUNC(IF($C131="",IFERROR(VLOOKUP($B131,SERVIÇOS!$B:$G,5,0),IFERROR(VLOOKUP($B131,$D:$K,7,0),)),0)*$G131,2)</f>
        <v>1.47</v>
      </c>
      <c r="K131" s="514">
        <f t="shared" si="7"/>
        <v>7.8199999999999994</v>
      </c>
      <c r="L131" s="515"/>
      <c r="M131" s="471"/>
      <c r="N131" s="516"/>
      <c r="Q131" s="472"/>
      <c r="R131" s="472"/>
      <c r="S131" s="472"/>
      <c r="T131" s="472"/>
      <c r="U131" s="472"/>
      <c r="V131" s="472"/>
      <c r="W131" s="472"/>
      <c r="X131" s="472"/>
      <c r="Y131" s="472"/>
    </row>
    <row r="132" spans="1:25" x14ac:dyDescent="0.25">
      <c r="A132" s="463"/>
      <c r="B132" s="506">
        <v>96543</v>
      </c>
      <c r="C132" s="507"/>
      <c r="D132" s="508"/>
      <c r="E132" s="509" t="str">
        <f>IF($C132="",IFERROR(VLOOKUP($B132,SERVIÇOS!$B:$G,2,0),IFERROR(VLOOKUP($B132,$D:$K,2,0),"")),IFERROR(VLOOKUP($C132,INSUMOS!$A:$D,2,0),IFERROR(VLOOKUP($C132,COTAÇÕES!$B:$I,2,0),(VLOOKUP($C132,'INSUMO SINAPI - SP'!$C:$F,2,0)))))</f>
        <v>ARMAÇÃO DE BLOCO UTILIZANDO AÇO CA-60 DE 5 MM - MONTAGEM. AF_01/2024</v>
      </c>
      <c r="F132" s="510" t="str">
        <f>IF($C132="",IFERROR(VLOOKUP($B132,SERVIÇOS!$B:$G,3,0),IFERROR(VLOOKUP($B132,$D:$K,3,0),"")),IFERROR(VLOOKUP($C132,INSUMOS!$A:$D,3,0),IFERROR(VLOOKUP($C132,COTAÇÕES!$B:$I,3,0),(VLOOKUP($C132,'INSUMO SINAPI - SP'!$C:$F,3,0)))))</f>
        <v>KG</v>
      </c>
      <c r="G132" s="511">
        <v>1.26</v>
      </c>
      <c r="H132" s="512">
        <f>IF($C132="",IFERROR(VLOOKUP($B132,SERVIÇOS!$B:$G,6,0),IFERROR(VLOOKUP($B132,$D:$K,8,0),"")),IFERROR(VLOOKUP($C132,INSUMOS!$A:$D,4,0),IFERROR(VLOOKUP($C132,COTAÇÕES!$B:$I,7,0),(VLOOKUP($C132,'INSUMO SINAPI - SP'!$C:$F,4,0)))))</f>
        <v>23.29</v>
      </c>
      <c r="I132" s="513">
        <f>TRUNC(IF($C132="",IFERROR(VLOOKUP($B132,SERVIÇOS!$B:$G,4,0),IFERROR(VLOOKUP($B132,$D:$K,6,0),)),IFERROR(VLOOKUP($C132,INSUMOS!$A:$D,4,0),IFERROR(VLOOKUP($C132,COTAÇÕES!$B:$I,7,0),(VLOOKUP($C132,'INSUMO SINAPI - SP'!$C:$F,4,0)))))*$G132,2)</f>
        <v>15.87</v>
      </c>
      <c r="J132" s="513">
        <f>TRUNC(IF($C132="",IFERROR(VLOOKUP($B132,SERVIÇOS!$B:$G,5,0),IFERROR(VLOOKUP($B132,$D:$K,7,0),)),0)*$G132,2)</f>
        <v>13.46</v>
      </c>
      <c r="K132" s="514">
        <f t="shared" si="7"/>
        <v>29.33</v>
      </c>
      <c r="L132" s="515"/>
      <c r="M132" s="471"/>
      <c r="N132" s="516"/>
      <c r="Q132" s="472"/>
      <c r="R132" s="472"/>
      <c r="S132" s="472"/>
      <c r="T132" s="472"/>
      <c r="U132" s="472"/>
      <c r="V132" s="472"/>
      <c r="W132" s="472"/>
      <c r="X132" s="472"/>
      <c r="Y132" s="472"/>
    </row>
    <row r="133" spans="1:25" ht="24" x14ac:dyDescent="0.25">
      <c r="A133" s="463"/>
      <c r="B133" s="506">
        <v>87299</v>
      </c>
      <c r="C133" s="507"/>
      <c r="D133" s="508"/>
      <c r="E133" s="509" t="str">
        <f>IF($C133="",IFERROR(VLOOKUP($B133,SERVIÇOS!$B:$G,2,0),IFERROR(VLOOKUP($B133,$D:$K,2,0),"")),IFERROR(VLOOKUP($C133,INSUMOS!$A:$D,2,0),IFERROR(VLOOKUP($C133,COTAÇÕES!$B:$I,2,0),(VLOOKUP($C133,'INSUMO SINAPI - SP'!$C:$F,2,0)))))</f>
        <v>ARGAMASSA TRAÇO 1:3 (EM VOLUME DE CIMENTO E AREIA MÉDIA ÚMIDA) PARA CONTRAPISO, PREPARO MECÂNICO COM BETONEIRA 600 L. AF_08/2019</v>
      </c>
      <c r="F133" s="510" t="str">
        <f>IF($C133="",IFERROR(VLOOKUP($B133,SERVIÇOS!$B:$G,3,0),IFERROR(VLOOKUP($B133,$D:$K,3,0),"")),IFERROR(VLOOKUP($C133,INSUMOS!$A:$D,3,0),IFERROR(VLOOKUP($C133,COTAÇÕES!$B:$I,3,0),(VLOOKUP($C133,'INSUMO SINAPI - SP'!$C:$F,3,0)))))</f>
        <v>M3</v>
      </c>
      <c r="G133" s="511">
        <v>4.4999999999999997E-3</v>
      </c>
      <c r="H133" s="512">
        <f>IF($C133="",IFERROR(VLOOKUP($B133,SERVIÇOS!$B:$G,6,0),IFERROR(VLOOKUP($B133,$D:$K,8,0),"")),IFERROR(VLOOKUP($C133,INSUMOS!$A:$D,4,0),IFERROR(VLOOKUP($C133,COTAÇÕES!$B:$I,7,0),(VLOOKUP($C133,'INSUMO SINAPI - SP'!$C:$F,4,0)))))</f>
        <v>476.35</v>
      </c>
      <c r="I133" s="513">
        <f>TRUNC(IF($C133="",IFERROR(VLOOKUP($B133,SERVIÇOS!$B:$G,4,0),IFERROR(VLOOKUP($B133,$D:$K,6,0),)),IFERROR(VLOOKUP($C133,INSUMOS!$A:$D,4,0),IFERROR(VLOOKUP($C133,COTAÇÕES!$B:$I,7,0),(VLOOKUP($C133,'INSUMO SINAPI - SP'!$C:$F,4,0)))))*$G133,2)</f>
        <v>1.7</v>
      </c>
      <c r="J133" s="513">
        <f>TRUNC(IF($C133="",IFERROR(VLOOKUP($B133,SERVIÇOS!$B:$G,5,0),IFERROR(VLOOKUP($B133,$D:$K,7,0),)),0)*$G133,2)</f>
        <v>0.44</v>
      </c>
      <c r="K133" s="514">
        <f t="shared" si="7"/>
        <v>2.14</v>
      </c>
      <c r="L133" s="515"/>
      <c r="M133" s="471"/>
      <c r="N133" s="516"/>
      <c r="Q133" s="472"/>
      <c r="R133" s="472"/>
      <c r="S133" s="472"/>
      <c r="T133" s="472"/>
      <c r="U133" s="472"/>
      <c r="V133" s="472"/>
      <c r="W133" s="472"/>
      <c r="X133" s="472"/>
      <c r="Y133" s="472"/>
    </row>
    <row r="134" spans="1:25" ht="24" x14ac:dyDescent="0.25">
      <c r="A134" s="463"/>
      <c r="B134" s="526"/>
      <c r="C134" s="527"/>
      <c r="D134" s="499" t="s">
        <v>11997</v>
      </c>
      <c r="E134" s="500" t="s">
        <v>12723</v>
      </c>
      <c r="F134" s="501" t="s">
        <v>578</v>
      </c>
      <c r="G134" s="528"/>
      <c r="H134" s="503"/>
      <c r="I134" s="504">
        <f>ROUND(SUM(I135:I139),2)</f>
        <v>89.9</v>
      </c>
      <c r="J134" s="504">
        <f>ROUND(SUM(J135:J139),2)</f>
        <v>26.41</v>
      </c>
      <c r="K134" s="504">
        <f>+J134+I134</f>
        <v>116.31</v>
      </c>
      <c r="L134" s="499" t="s">
        <v>12724</v>
      </c>
      <c r="M134" s="471"/>
      <c r="N134" s="505"/>
      <c r="Q134" s="472"/>
      <c r="R134" s="472"/>
      <c r="S134" s="472"/>
      <c r="T134" s="472"/>
      <c r="U134" s="472"/>
      <c r="V134" s="472"/>
      <c r="W134" s="472"/>
      <c r="X134" s="472"/>
      <c r="Y134" s="472"/>
    </row>
    <row r="135" spans="1:25" x14ac:dyDescent="0.25">
      <c r="A135" s="463"/>
      <c r="B135" s="506"/>
      <c r="C135" s="507">
        <v>536</v>
      </c>
      <c r="D135" s="508"/>
      <c r="E135" s="509" t="str">
        <f>IF($C135="",IFERROR(VLOOKUP($B135,SERVIÇOS!$B:$G,2,0),IFERROR(VLOOKUP($B135,$D:$K,2,0),"")),IFERROR(VLOOKUP($C135,INSUMOS!$A:$D,2,0),IFERROR(VLOOKUP($C135,COTAÇÕES!$B:$I,2,0),(VLOOKUP($C135,'INSUMO SINAPI - SP'!$C:$F,2,0)))))</f>
        <v>REVESTIMENTO PARA PAREDE, EM CERAMICA ESMALTADA, FORMATO MENOR OU IGUAL A 2025 CM2</v>
      </c>
      <c r="F135" s="510" t="str">
        <f>IF($C135="",IFERROR(VLOOKUP($B135,SERVIÇOS!$B:$G,3,0),IFERROR(VLOOKUP($B135,$D:$K,3,0),"")),IFERROR(VLOOKUP($C135,INSUMOS!$A:$D,3,0),IFERROR(VLOOKUP($C135,COTAÇÕES!$B:$I,3,0),(VLOOKUP($C135,'INSUMO SINAPI - SP'!$C:$F,3,0)))))</f>
        <v>M2</v>
      </c>
      <c r="G135" s="511">
        <v>1.06</v>
      </c>
      <c r="H135" s="512">
        <f>IF($C135="",IFERROR(VLOOKUP($B135,SERVIÇOS!$B:$G,6,0),IFERROR(VLOOKUP($B135,$D:$K,8,0),"")),IFERROR(VLOOKUP($C135,INSUMOS!$A:$D,4,0),IFERROR(VLOOKUP($C135,COTAÇÕES!$B:$I,7,0),(VLOOKUP($C135,'INSUMO SINAPI - SP'!$C:$F,4,0)))))</f>
        <v>35.299999999999997</v>
      </c>
      <c r="I135" s="513">
        <f>TRUNC(IF($C135="",IFERROR(VLOOKUP($B135,SERVIÇOS!$B:$G,4,0),IFERROR(VLOOKUP($B135,$D:$K,6,0),)),IFERROR(VLOOKUP($C135,INSUMOS!$A:$D,4,0),IFERROR(VLOOKUP($C135,COTAÇÕES!$B:$I,7,0),(VLOOKUP($C135,'INSUMO SINAPI - SP'!$C:$F,4,0)))))*$G135,2)</f>
        <v>37.409999999999997</v>
      </c>
      <c r="J135" s="513">
        <f>TRUNC(IF($C135="",IFERROR(VLOOKUP($B135,SERVIÇOS!$B:$G,5,0),IFERROR(VLOOKUP($B135,$D:$K,7,0),)),0)*$G135,2)</f>
        <v>0</v>
      </c>
      <c r="K135" s="514">
        <f>I135+J135</f>
        <v>37.409999999999997</v>
      </c>
      <c r="L135" s="517"/>
      <c r="M135" s="471"/>
      <c r="N135" s="516"/>
      <c r="Q135" s="472"/>
      <c r="R135" s="472"/>
      <c r="S135" s="472"/>
      <c r="T135" s="472"/>
      <c r="U135" s="472"/>
      <c r="V135" s="472"/>
      <c r="W135" s="472"/>
      <c r="X135" s="472"/>
      <c r="Y135" s="472"/>
    </row>
    <row r="136" spans="1:25" x14ac:dyDescent="0.25">
      <c r="A136" s="463"/>
      <c r="B136" s="506"/>
      <c r="C136" s="507">
        <v>1381</v>
      </c>
      <c r="D136" s="508"/>
      <c r="E136" s="509" t="str">
        <f>IF($C136="",IFERROR(VLOOKUP($B136,SERVIÇOS!$B:$G,2,0),IFERROR(VLOOKUP($B136,$D:$K,2,0),"")),IFERROR(VLOOKUP($C136,INSUMOS!$A:$D,2,0),IFERROR(VLOOKUP($C136,COTAÇÕES!$B:$I,2,0),(VLOOKUP($C136,'INSUMO SINAPI - SP'!$C:$F,2,0)))))</f>
        <v>ARGAMASSA COLANTE AC I PARA CERAMICAS</v>
      </c>
      <c r="F136" s="510" t="str">
        <f>IF($C136="",IFERROR(VLOOKUP($B136,SERVIÇOS!$B:$G,3,0),IFERROR(VLOOKUP($B136,$D:$K,3,0),"")),IFERROR(VLOOKUP($C136,INSUMOS!$A:$D,3,0),IFERROR(VLOOKUP($C136,COTAÇÕES!$B:$I,3,0),(VLOOKUP($C136,'INSUMO SINAPI - SP'!$C:$F,3,0)))))</f>
        <v>KG</v>
      </c>
      <c r="G136" s="511">
        <v>4.8600000000000003</v>
      </c>
      <c r="H136" s="512">
        <f>IF($C136="",IFERROR(VLOOKUP($B136,SERVIÇOS!$B:$G,6,0),IFERROR(VLOOKUP($B136,$D:$K,8,0),"")),IFERROR(VLOOKUP($C136,INSUMOS!$A:$D,4,0),IFERROR(VLOOKUP($C136,COTAÇÕES!$B:$I,7,0),(VLOOKUP($C136,'INSUMO SINAPI - SP'!$C:$F,4,0)))))</f>
        <v>0.75</v>
      </c>
      <c r="I136" s="513">
        <f>TRUNC(IF($C136="",IFERROR(VLOOKUP($B136,SERVIÇOS!$B:$G,4,0),IFERROR(VLOOKUP($B136,$D:$K,6,0),)),IFERROR(VLOOKUP($C136,INSUMOS!$A:$D,4,0),IFERROR(VLOOKUP($C136,COTAÇÕES!$B:$I,7,0),(VLOOKUP($C136,'INSUMO SINAPI - SP'!$C:$F,4,0)))))*$G136,2)</f>
        <v>3.64</v>
      </c>
      <c r="J136" s="513">
        <f>TRUNC(IF($C136="",IFERROR(VLOOKUP($B136,SERVIÇOS!$B:$G,5,0),IFERROR(VLOOKUP($B136,$D:$K,7,0),)),0)*$G136,2)</f>
        <v>0</v>
      </c>
      <c r="K136" s="514">
        <f>I136+J136</f>
        <v>3.64</v>
      </c>
      <c r="L136" s="517"/>
      <c r="M136" s="471"/>
      <c r="N136" s="516"/>
      <c r="Q136" s="472"/>
      <c r="R136" s="472"/>
      <c r="S136" s="472"/>
      <c r="T136" s="472"/>
      <c r="U136" s="472"/>
      <c r="V136" s="472"/>
      <c r="W136" s="472"/>
      <c r="X136" s="472"/>
      <c r="Y136" s="472"/>
    </row>
    <row r="137" spans="1:25" x14ac:dyDescent="0.25">
      <c r="A137" s="463"/>
      <c r="B137" s="506"/>
      <c r="C137" s="507">
        <v>37329</v>
      </c>
      <c r="D137" s="508"/>
      <c r="E137" s="509" t="str">
        <f>IF($C137="",IFERROR(VLOOKUP($B137,SERVIÇOS!$B:$G,2,0),IFERROR(VLOOKUP($B137,$D:$K,2,0),"")),IFERROR(VLOOKUP($C137,INSUMOS!$A:$D,2,0),IFERROR(VLOOKUP($C137,COTAÇÕES!$B:$I,2,0),(VLOOKUP($C137,'INSUMO SINAPI - SP'!$C:$F,2,0)))))</f>
        <v>REJUNTE EPOXI, QUALQUER COR</v>
      </c>
      <c r="F137" s="510" t="str">
        <f>IF($C137="",IFERROR(VLOOKUP($B137,SERVIÇOS!$B:$G,3,0),IFERROR(VLOOKUP($B137,$D:$K,3,0),"")),IFERROR(VLOOKUP($C137,INSUMOS!$A:$D,3,0),IFERROR(VLOOKUP($C137,COTAÇÕES!$B:$I,3,0),(VLOOKUP($C137,'INSUMO SINAPI - SP'!$C:$F,3,0)))))</f>
        <v>KG</v>
      </c>
      <c r="G137" s="511">
        <v>0.42</v>
      </c>
      <c r="H137" s="512">
        <f>IF($C137="",IFERROR(VLOOKUP($B137,SERVIÇOS!$B:$G,6,0),IFERROR(VLOOKUP($B137,$D:$K,8,0),"")),IFERROR(VLOOKUP($C137,INSUMOS!$A:$D,4,0),IFERROR(VLOOKUP($C137,COTAÇÕES!$B:$I,7,0),(VLOOKUP($C137,'INSUMO SINAPI - SP'!$C:$F,4,0)))))</f>
        <v>92.75</v>
      </c>
      <c r="I137" s="513">
        <f>TRUNC(IF($C137="",IFERROR(VLOOKUP($B137,SERVIÇOS!$B:$G,4,0),IFERROR(VLOOKUP($B137,$D:$K,6,0),)),IFERROR(VLOOKUP($C137,INSUMOS!$A:$D,4,0),IFERROR(VLOOKUP($C137,COTAÇÕES!$B:$I,7,0),(VLOOKUP($C137,'INSUMO SINAPI - SP'!$C:$F,4,0)))))*$G137,2)</f>
        <v>38.950000000000003</v>
      </c>
      <c r="J137" s="513">
        <f>TRUNC(IF($C137="",IFERROR(VLOOKUP($B137,SERVIÇOS!$B:$G,5,0),IFERROR(VLOOKUP($B137,$D:$K,7,0),)),0)*$G137,2)</f>
        <v>0</v>
      </c>
      <c r="K137" s="514">
        <f>I137+J137</f>
        <v>38.950000000000003</v>
      </c>
      <c r="L137" s="517"/>
      <c r="M137" s="471"/>
      <c r="N137" s="516"/>
      <c r="Q137" s="472"/>
      <c r="R137" s="472"/>
      <c r="S137" s="472"/>
      <c r="T137" s="472"/>
      <c r="U137" s="472"/>
      <c r="V137" s="472"/>
      <c r="W137" s="472"/>
      <c r="X137" s="472"/>
      <c r="Y137" s="472"/>
    </row>
    <row r="138" spans="1:25" x14ac:dyDescent="0.25">
      <c r="A138" s="463"/>
      <c r="B138" s="506">
        <v>88256</v>
      </c>
      <c r="C138" s="507"/>
      <c r="D138" s="508"/>
      <c r="E138" s="509" t="str">
        <f>IF($C138="",IFERROR(VLOOKUP($B138,SERVIÇOS!$B:$G,2,0),IFERROR(VLOOKUP($B138,$D:$K,2,0),"")),IFERROR(VLOOKUP($C138,INSUMOS!$A:$D,2,0),IFERROR(VLOOKUP($C138,COTAÇÕES!$B:$I,2,0),(VLOOKUP($C138,'INSUMO SINAPI - SP'!$C:$F,2,0)))))</f>
        <v>AZULEJISTA OU LADRILHISTA COM ENCARGOS COMPLEMENTARES</v>
      </c>
      <c r="F138" s="510" t="str">
        <f>IF($C138="",IFERROR(VLOOKUP($B138,SERVIÇOS!$B:$G,3,0),IFERROR(VLOOKUP($B138,$D:$K,3,0),"")),IFERROR(VLOOKUP($C138,INSUMOS!$A:$D,3,0),IFERROR(VLOOKUP($C138,COTAÇÕES!$B:$I,3,0),(VLOOKUP($C138,'INSUMO SINAPI - SP'!$C:$F,3,0)))))</f>
        <v>H</v>
      </c>
      <c r="G138" s="511">
        <v>0.7</v>
      </c>
      <c r="H138" s="512">
        <f>IF($C138="",IFERROR(VLOOKUP($B138,SERVIÇOS!$B:$G,6,0),IFERROR(VLOOKUP($B138,$D:$K,8,0),"")),IFERROR(VLOOKUP($C138,INSUMOS!$A:$D,4,0),IFERROR(VLOOKUP($C138,COTAÇÕES!$B:$I,7,0),(VLOOKUP($C138,'INSUMO SINAPI - SP'!$C:$F,4,0)))))</f>
        <v>36.729999999999997</v>
      </c>
      <c r="I138" s="513">
        <f>TRUNC(IF($C138="",IFERROR(VLOOKUP($B138,SERVIÇOS!$B:$G,4,0),IFERROR(VLOOKUP($B138,$D:$K,6,0),)),IFERROR(VLOOKUP($C138,INSUMOS!$A:$D,4,0),IFERROR(VLOOKUP($C138,COTAÇÕES!$B:$I,7,0),(VLOOKUP($C138,'INSUMO SINAPI - SP'!$C:$F,4,0)))))*$G138,2)</f>
        <v>6.5</v>
      </c>
      <c r="J138" s="513">
        <f>TRUNC(IF($C138="",IFERROR(VLOOKUP($B138,SERVIÇOS!$B:$G,5,0),IFERROR(VLOOKUP($B138,$D:$K,7,0),)),0)*$G138,2)</f>
        <v>19.2</v>
      </c>
      <c r="K138" s="514">
        <f>I138+J138</f>
        <v>25.7</v>
      </c>
      <c r="L138" s="515"/>
      <c r="M138" s="471"/>
      <c r="N138" s="516"/>
      <c r="Q138" s="472"/>
      <c r="R138" s="472"/>
      <c r="S138" s="472"/>
      <c r="T138" s="472"/>
      <c r="U138" s="472"/>
      <c r="V138" s="472"/>
      <c r="W138" s="472"/>
      <c r="X138" s="472"/>
      <c r="Y138" s="472"/>
    </row>
    <row r="139" spans="1:25" x14ac:dyDescent="0.25">
      <c r="A139" s="463"/>
      <c r="B139" s="506">
        <v>88316</v>
      </c>
      <c r="C139" s="507"/>
      <c r="D139" s="508"/>
      <c r="E139" s="509" t="str">
        <f>IF($C139="",IFERROR(VLOOKUP($B139,SERVIÇOS!$B:$G,2,0),IFERROR(VLOOKUP($B139,$D:$K,2,0),"")),IFERROR(VLOOKUP($C139,INSUMOS!$A:$D,2,0),IFERROR(VLOOKUP($C139,COTAÇÕES!$B:$I,2,0),(VLOOKUP($C139,'INSUMO SINAPI - SP'!$C:$F,2,0)))))</f>
        <v>SERVENTE COM ENCARGOS COMPLEMENTARES</v>
      </c>
      <c r="F139" s="510" t="str">
        <f>IF($C139="",IFERROR(VLOOKUP($B139,SERVIÇOS!$B:$G,3,0),IFERROR(VLOOKUP($B139,$D:$K,3,0),"")),IFERROR(VLOOKUP($C139,INSUMOS!$A:$D,3,0),IFERROR(VLOOKUP($C139,COTAÇÕES!$B:$I,3,0),(VLOOKUP($C139,'INSUMO SINAPI - SP'!$C:$F,3,0)))))</f>
        <v>H</v>
      </c>
      <c r="G139" s="511">
        <v>0.37</v>
      </c>
      <c r="H139" s="512">
        <f>IF($C139="",IFERROR(VLOOKUP($B139,SERVIÇOS!$B:$G,6,0),IFERROR(VLOOKUP($B139,$D:$K,8,0),"")),IFERROR(VLOOKUP($C139,INSUMOS!$A:$D,4,0),IFERROR(VLOOKUP($C139,COTAÇÕES!$B:$I,7,0),(VLOOKUP($C139,'INSUMO SINAPI - SP'!$C:$F,4,0)))))</f>
        <v>28.71</v>
      </c>
      <c r="I139" s="513">
        <f>TRUNC(IF($C139="",IFERROR(VLOOKUP($B139,SERVIÇOS!$B:$G,4,0),IFERROR(VLOOKUP($B139,$D:$K,6,0),)),IFERROR(VLOOKUP($C139,INSUMOS!$A:$D,4,0),IFERROR(VLOOKUP($C139,COTAÇÕES!$B:$I,7,0),(VLOOKUP($C139,'INSUMO SINAPI - SP'!$C:$F,4,0)))))*$G139,2)</f>
        <v>3.4</v>
      </c>
      <c r="J139" s="513">
        <f>TRUNC(IF($C139="",IFERROR(VLOOKUP($B139,SERVIÇOS!$B:$G,5,0),IFERROR(VLOOKUP($B139,$D:$K,7,0),)),0)*$G139,2)</f>
        <v>7.21</v>
      </c>
      <c r="K139" s="514">
        <f>I139+J139</f>
        <v>10.61</v>
      </c>
      <c r="L139" s="515"/>
      <c r="M139" s="471"/>
      <c r="N139" s="516"/>
      <c r="Q139" s="472"/>
      <c r="R139" s="472"/>
      <c r="S139" s="472"/>
      <c r="T139" s="472"/>
      <c r="U139" s="472"/>
      <c r="V139" s="472"/>
      <c r="W139" s="472"/>
      <c r="X139" s="472"/>
      <c r="Y139" s="472"/>
    </row>
    <row r="140" spans="1:25" x14ac:dyDescent="0.25">
      <c r="A140" s="463"/>
      <c r="B140" s="526"/>
      <c r="C140" s="527"/>
      <c r="D140" s="499" t="s">
        <v>12007</v>
      </c>
      <c r="E140" s="500" t="s">
        <v>12725</v>
      </c>
      <c r="F140" s="501" t="s">
        <v>585</v>
      </c>
      <c r="G140" s="528"/>
      <c r="H140" s="503"/>
      <c r="I140" s="504">
        <f>ROUND(SUM(I141:I143),2)</f>
        <v>11.55</v>
      </c>
      <c r="J140" s="504">
        <f>ROUND(SUM(J141:J143),2)</f>
        <v>14.96</v>
      </c>
      <c r="K140" s="504">
        <f>+J140+I140</f>
        <v>26.51</v>
      </c>
      <c r="L140" s="499" t="s">
        <v>12726</v>
      </c>
      <c r="M140" s="471"/>
      <c r="N140" s="505"/>
      <c r="Q140" s="472"/>
      <c r="R140" s="472"/>
      <c r="S140" s="472"/>
      <c r="T140" s="472"/>
      <c r="U140" s="472"/>
      <c r="V140" s="472"/>
      <c r="W140" s="472"/>
      <c r="X140" s="472"/>
      <c r="Y140" s="472"/>
    </row>
    <row r="141" spans="1:25" ht="24" x14ac:dyDescent="0.25">
      <c r="A141" s="463"/>
      <c r="B141" s="506"/>
      <c r="C141" s="507">
        <v>39428</v>
      </c>
      <c r="D141" s="508"/>
      <c r="E141" s="509" t="str">
        <f>IF($C141="",IFERROR(VLOOKUP($B141,SERVIÇOS!$B:$G,2,0),IFERROR(VLOOKUP($B141,$D:$K,2,0),"")),IFERROR(VLOOKUP($C141,INSUMOS!$A:$D,2,0),IFERROR(VLOOKUP($C141,COTAÇÕES!$B:$I,2,0),(VLOOKUP($C141,'INSUMO SINAPI - SP'!$C:$F,2,0)))))</f>
        <v>PERFIL TABICA FECHADA, LISA, FORMATO Z, EM ACO GALVANIZADO NATURAL, LARGURA TOTAL NA HORIZONTAL *40* MM, PARA ESTRUTURA FORRO DRYWALL</v>
      </c>
      <c r="F141" s="510" t="str">
        <f>IF($C141="",IFERROR(VLOOKUP($B141,SERVIÇOS!$B:$G,3,0),IFERROR(VLOOKUP($B141,$D:$K,3,0),"")),IFERROR(VLOOKUP($C141,INSUMOS!$A:$D,3,0),IFERROR(VLOOKUP($C141,COTAÇÕES!$B:$I,3,0),(VLOOKUP($C141,'INSUMO SINAPI - SP'!$C:$F,3,0)))))</f>
        <v>M</v>
      </c>
      <c r="G141" s="511">
        <v>1</v>
      </c>
      <c r="H141" s="512">
        <f>IF($C141="",IFERROR(VLOOKUP($B141,SERVIÇOS!$B:$G,6,0),IFERROR(VLOOKUP($B141,$D:$K,8,0),"")),IFERROR(VLOOKUP($C141,INSUMOS!$A:$D,4,0),IFERROR(VLOOKUP($C141,COTAÇÕES!$B:$I,7,0),(VLOOKUP($C141,'INSUMO SINAPI - SP'!$C:$F,4,0)))))</f>
        <v>5.0999999999999996</v>
      </c>
      <c r="I141" s="513">
        <f>TRUNC(IF($C141="",IFERROR(VLOOKUP($B141,SERVIÇOS!$B:$G,4,0),IFERROR(VLOOKUP($B141,$D:$K,6,0),)),IFERROR(VLOOKUP($C141,INSUMOS!$A:$D,4,0),IFERROR(VLOOKUP($C141,COTAÇÕES!$B:$I,7,0),(VLOOKUP($C141,'INSUMO SINAPI - SP'!$C:$F,4,0)))))*$G141,2)</f>
        <v>5.0999999999999996</v>
      </c>
      <c r="J141" s="513">
        <f>TRUNC(IF($C141="",IFERROR(VLOOKUP($B141,SERVIÇOS!$B:$G,5,0),IFERROR(VLOOKUP($B141,$D:$K,7,0),)),0)*$G141,2)</f>
        <v>0</v>
      </c>
      <c r="K141" s="514">
        <f>I141+J141</f>
        <v>5.0999999999999996</v>
      </c>
      <c r="L141" s="517"/>
      <c r="M141" s="471"/>
      <c r="N141" s="516"/>
      <c r="Q141" s="472"/>
      <c r="R141" s="472"/>
      <c r="S141" s="472"/>
      <c r="T141" s="472"/>
      <c r="U141" s="472"/>
      <c r="V141" s="472"/>
      <c r="W141" s="472"/>
      <c r="X141" s="472"/>
      <c r="Y141" s="472"/>
    </row>
    <row r="142" spans="1:25" x14ac:dyDescent="0.25">
      <c r="A142" s="463"/>
      <c r="B142" s="506">
        <v>88269</v>
      </c>
      <c r="C142" s="507"/>
      <c r="D142" s="508"/>
      <c r="E142" s="509" t="str">
        <f>IF($C142="",IFERROR(VLOOKUP($B142,SERVIÇOS!$B:$G,2,0),IFERROR(VLOOKUP($B142,$D:$K,2,0),"")),IFERROR(VLOOKUP($C142,INSUMOS!$A:$D,2,0),IFERROR(VLOOKUP($C142,COTAÇÕES!$B:$I,2,0),(VLOOKUP($C142,'INSUMO SINAPI - SP'!$C:$F,2,0)))))</f>
        <v>GESSEIRO COM ENCARGOS COMPLEMENTARES</v>
      </c>
      <c r="F142" s="510" t="str">
        <f>IF($C142="",IFERROR(VLOOKUP($B142,SERVIÇOS!$B:$G,3,0),IFERROR(VLOOKUP($B142,$D:$K,3,0),"")),IFERROR(VLOOKUP($C142,INSUMOS!$A:$D,3,0),IFERROR(VLOOKUP($C142,COTAÇÕES!$B:$I,3,0),(VLOOKUP($C142,'INSUMO SINAPI - SP'!$C:$F,3,0)))))</f>
        <v>H</v>
      </c>
      <c r="G142" s="511">
        <v>0.2</v>
      </c>
      <c r="H142" s="512">
        <f>IF($C142="",IFERROR(VLOOKUP($B142,SERVIÇOS!$B:$G,6,0),IFERROR(VLOOKUP($B142,$D:$K,8,0),"")),IFERROR(VLOOKUP($C142,INSUMOS!$A:$D,4,0),IFERROR(VLOOKUP($C142,COTAÇÕES!$B:$I,7,0),(VLOOKUP($C142,'INSUMO SINAPI - SP'!$C:$F,4,0)))))</f>
        <v>35.36</v>
      </c>
      <c r="I142" s="513">
        <f>TRUNC(IF($C142="",IFERROR(VLOOKUP($B142,SERVIÇOS!$B:$G,4,0),IFERROR(VLOOKUP($B142,$D:$K,6,0),)),IFERROR(VLOOKUP($C142,INSUMOS!$A:$D,4,0),IFERROR(VLOOKUP($C142,COTAÇÕES!$B:$I,7,0),(VLOOKUP($C142,'INSUMO SINAPI - SP'!$C:$F,4,0)))))*$G142,2)</f>
        <v>1.85</v>
      </c>
      <c r="J142" s="513">
        <f>TRUNC(IF($C142="",IFERROR(VLOOKUP($B142,SERVIÇOS!$B:$G,5,0),IFERROR(VLOOKUP($B142,$D:$K,7,0),)),0)*$G142,2)</f>
        <v>5.21</v>
      </c>
      <c r="K142" s="514">
        <f>I142+J142</f>
        <v>7.0600000000000005</v>
      </c>
      <c r="L142" s="515"/>
      <c r="M142" s="471"/>
      <c r="N142" s="516"/>
      <c r="Q142" s="472"/>
      <c r="R142" s="472"/>
      <c r="S142" s="472"/>
      <c r="T142" s="472"/>
      <c r="U142" s="472"/>
      <c r="V142" s="472"/>
      <c r="W142" s="472"/>
      <c r="X142" s="472"/>
      <c r="Y142" s="472"/>
    </row>
    <row r="143" spans="1:25" x14ac:dyDescent="0.25">
      <c r="A143" s="463"/>
      <c r="B143" s="506">
        <v>88316</v>
      </c>
      <c r="C143" s="507"/>
      <c r="D143" s="508"/>
      <c r="E143" s="509" t="str">
        <f>IF($C143="",IFERROR(VLOOKUP($B143,SERVIÇOS!$B:$G,2,0),IFERROR(VLOOKUP($B143,$D:$K,2,0),"")),IFERROR(VLOOKUP($C143,INSUMOS!$A:$D,2,0),IFERROR(VLOOKUP($C143,COTAÇÕES!$B:$I,2,0),(VLOOKUP($C143,'INSUMO SINAPI - SP'!$C:$F,2,0)))))</f>
        <v>SERVENTE COM ENCARGOS COMPLEMENTARES</v>
      </c>
      <c r="F143" s="510" t="str">
        <f>IF($C143="",IFERROR(VLOOKUP($B143,SERVIÇOS!$B:$G,3,0),IFERROR(VLOOKUP($B143,$D:$K,3,0),"")),IFERROR(VLOOKUP($C143,INSUMOS!$A:$D,3,0),IFERROR(VLOOKUP($C143,COTAÇÕES!$B:$I,3,0),(VLOOKUP($C143,'INSUMO SINAPI - SP'!$C:$F,3,0)))))</f>
        <v>H</v>
      </c>
      <c r="G143" s="511">
        <v>0.5</v>
      </c>
      <c r="H143" s="512">
        <f>IF($C143="",IFERROR(VLOOKUP($B143,SERVIÇOS!$B:$G,6,0),IFERROR(VLOOKUP($B143,$D:$K,8,0),"")),IFERROR(VLOOKUP($C143,INSUMOS!$A:$D,4,0),IFERROR(VLOOKUP($C143,COTAÇÕES!$B:$I,7,0),(VLOOKUP($C143,'INSUMO SINAPI - SP'!$C:$F,4,0)))))</f>
        <v>28.71</v>
      </c>
      <c r="I143" s="513">
        <f>TRUNC(IF($C143="",IFERROR(VLOOKUP($B143,SERVIÇOS!$B:$G,4,0),IFERROR(VLOOKUP($B143,$D:$K,6,0),)),IFERROR(VLOOKUP($C143,INSUMOS!$A:$D,4,0),IFERROR(VLOOKUP($C143,COTAÇÕES!$B:$I,7,0),(VLOOKUP($C143,'INSUMO SINAPI - SP'!$C:$F,4,0)))))*$G143,2)</f>
        <v>4.5999999999999996</v>
      </c>
      <c r="J143" s="513">
        <f>TRUNC(IF($C143="",IFERROR(VLOOKUP($B143,SERVIÇOS!$B:$G,5,0),IFERROR(VLOOKUP($B143,$D:$K,7,0),)),0)*$G143,2)</f>
        <v>9.75</v>
      </c>
      <c r="K143" s="514">
        <f>I143+J143</f>
        <v>14.35</v>
      </c>
      <c r="L143" s="515"/>
      <c r="M143" s="471"/>
      <c r="N143" s="516"/>
      <c r="Q143" s="472"/>
      <c r="R143" s="472"/>
      <c r="S143" s="472"/>
      <c r="T143" s="472"/>
      <c r="U143" s="472"/>
      <c r="V143" s="472"/>
      <c r="W143" s="472"/>
      <c r="X143" s="472"/>
      <c r="Y143" s="472"/>
    </row>
    <row r="144" spans="1:25" ht="24" x14ac:dyDescent="0.25">
      <c r="A144" s="463"/>
      <c r="B144" s="526"/>
      <c r="C144" s="527"/>
      <c r="D144" s="499" t="s">
        <v>11978</v>
      </c>
      <c r="E144" s="500" t="s">
        <v>12727</v>
      </c>
      <c r="F144" s="501" t="s">
        <v>578</v>
      </c>
      <c r="G144" s="528"/>
      <c r="H144" s="503"/>
      <c r="I144" s="504">
        <f>ROUND(SUM(I145),2)</f>
        <v>505.25</v>
      </c>
      <c r="J144" s="504">
        <f>ROUND(SUM(J145),2)</f>
        <v>0</v>
      </c>
      <c r="K144" s="504">
        <f>+J144+I144</f>
        <v>505.25</v>
      </c>
      <c r="L144" s="499" t="s">
        <v>12728</v>
      </c>
      <c r="M144" s="471"/>
      <c r="N144" s="505"/>
      <c r="Q144" s="472"/>
      <c r="R144" s="472"/>
      <c r="S144" s="472"/>
      <c r="T144" s="472"/>
      <c r="U144" s="472"/>
      <c r="V144" s="472"/>
      <c r="W144" s="472"/>
      <c r="X144" s="472"/>
      <c r="Y144" s="472"/>
    </row>
    <row r="145" spans="1:25" ht="24" x14ac:dyDescent="0.25">
      <c r="A145" s="463"/>
      <c r="B145" s="506"/>
      <c r="C145" s="507" t="s">
        <v>12729</v>
      </c>
      <c r="D145" s="508"/>
      <c r="E145" s="518" t="s">
        <v>12730</v>
      </c>
      <c r="F145" s="519" t="s">
        <v>578</v>
      </c>
      <c r="G145" s="511">
        <v>1</v>
      </c>
      <c r="H145" s="520">
        <v>505.25</v>
      </c>
      <c r="I145" s="520">
        <f>TRUNC(H145*G145,2)</f>
        <v>505.25</v>
      </c>
      <c r="J145" s="513">
        <f>TRUNC(IF($C145="",IFERROR(VLOOKUP($B145,SERVIÇOS!$B:$G,5,0),IFERROR(VLOOKUP($B145,$D:$K,7,0),)),0)*$G145,2)</f>
        <v>0</v>
      </c>
      <c r="K145" s="522">
        <f>I145+J145</f>
        <v>505.25</v>
      </c>
      <c r="L145" s="517" t="s">
        <v>12668</v>
      </c>
      <c r="M145" s="471"/>
      <c r="N145" s="516"/>
      <c r="Q145" s="472"/>
      <c r="R145" s="472"/>
      <c r="S145" s="472"/>
      <c r="T145" s="472"/>
      <c r="U145" s="472"/>
      <c r="V145" s="472"/>
      <c r="W145" s="472"/>
      <c r="X145" s="472"/>
      <c r="Y145" s="472"/>
    </row>
    <row r="146" spans="1:25" ht="24" x14ac:dyDescent="0.25">
      <c r="A146" s="463"/>
      <c r="B146" s="498"/>
      <c r="C146" s="498"/>
      <c r="D146" s="499" t="s">
        <v>12005</v>
      </c>
      <c r="E146" s="500" t="s">
        <v>12731</v>
      </c>
      <c r="F146" s="501" t="s">
        <v>578</v>
      </c>
      <c r="G146" s="525"/>
      <c r="H146" s="503"/>
      <c r="I146" s="504">
        <f>ROUND(SUM(I147:I157),2)</f>
        <v>69.97</v>
      </c>
      <c r="J146" s="504">
        <f>ROUND(SUM(J147:J157),2)</f>
        <v>15.82</v>
      </c>
      <c r="K146" s="504">
        <f>+J146+I146</f>
        <v>85.789999999999992</v>
      </c>
      <c r="L146" s="523" t="s">
        <v>12732</v>
      </c>
      <c r="M146" s="471"/>
      <c r="N146" s="505"/>
      <c r="Q146" s="472"/>
      <c r="R146" s="472"/>
      <c r="S146" s="472"/>
      <c r="T146" s="472"/>
      <c r="U146" s="472"/>
      <c r="V146" s="472"/>
      <c r="W146" s="472"/>
      <c r="X146" s="472"/>
      <c r="Y146" s="472"/>
    </row>
    <row r="147" spans="1:25" ht="24" x14ac:dyDescent="0.25">
      <c r="A147" s="463"/>
      <c r="B147" s="506"/>
      <c r="C147" s="507">
        <v>43131</v>
      </c>
      <c r="D147" s="508"/>
      <c r="E147" s="509" t="str">
        <f>IF($C147="",IFERROR(VLOOKUP($B147,SERVIÇOS!$B:$G,2,0),IFERROR(VLOOKUP($B147,$D:$K,2,0),"")),IFERROR(VLOOKUP($C147,INSUMOS!$A:$D,2,0),IFERROR(VLOOKUP($C147,COTAÇÕES!$B:$I,2,0),(VLOOKUP($C147,'INSUMO SINAPI - SP'!$C:$F,2,0)))))</f>
        <v>ARAME GALVANIZADO 6 BWG, D = 5,16 MM (0,157 KG/M), OU 8 BWG, D = 4,19 MM (0,101 KG/M), OU 10 BWG, D = 3,40 MM (0,0713 KG/M)</v>
      </c>
      <c r="F147" s="510" t="str">
        <f>IF($C147="",IFERROR(VLOOKUP($B147,SERVIÇOS!$B:$G,3,0),IFERROR(VLOOKUP($B147,$D:$K,3,0),"")),IFERROR(VLOOKUP($C147,INSUMOS!$A:$D,3,0),IFERROR(VLOOKUP($C147,COTAÇÕES!$B:$I,3,0),(VLOOKUP($C147,'INSUMO SINAPI - SP'!$C:$F,3,0)))))</f>
        <v>KG</v>
      </c>
      <c r="G147" s="511">
        <v>4.2599999999999999E-2</v>
      </c>
      <c r="H147" s="512">
        <f>IF($C147="",IFERROR(VLOOKUP($B147,SERVIÇOS!$B:$G,6,0),IFERROR(VLOOKUP($B147,$D:$K,8,0),"")),IFERROR(VLOOKUP($C147,INSUMOS!$A:$D,4,0),IFERROR(VLOOKUP($C147,COTAÇÕES!$B:$I,7,0),(VLOOKUP($C147,'INSUMO SINAPI - SP'!$C:$F,4,0)))))</f>
        <v>30.72</v>
      </c>
      <c r="I147" s="513">
        <f>TRUNC(IF($C147="",IFERROR(VLOOKUP($B147,SERVIÇOS!$B:$G,4,0),IFERROR(VLOOKUP($B147,$D:$K,6,0),)),IFERROR(VLOOKUP($C147,INSUMOS!$A:$D,4,0),IFERROR(VLOOKUP($C147,COTAÇÕES!$B:$I,7,0),(VLOOKUP($C147,'INSUMO SINAPI - SP'!$C:$F,4,0)))))*$G147,2)</f>
        <v>1.3</v>
      </c>
      <c r="J147" s="513">
        <f>TRUNC(IF($C147="",IFERROR(VLOOKUP($B147,SERVIÇOS!$B:$G,5,0),IFERROR(VLOOKUP($B147,$D:$K,7,0),)),0)*$G147,2)</f>
        <v>0</v>
      </c>
      <c r="K147" s="514">
        <f t="shared" ref="K147:K157" si="8">I147+J147</f>
        <v>1.3</v>
      </c>
      <c r="L147" s="517"/>
      <c r="M147" s="471"/>
      <c r="N147" s="516"/>
      <c r="Q147" s="472"/>
      <c r="R147" s="472"/>
      <c r="S147" s="472"/>
      <c r="T147" s="472"/>
      <c r="U147" s="472"/>
      <c r="V147" s="472"/>
      <c r="W147" s="472"/>
      <c r="X147" s="472"/>
      <c r="Y147" s="472"/>
    </row>
    <row r="148" spans="1:25" ht="24" x14ac:dyDescent="0.25">
      <c r="A148" s="463"/>
      <c r="B148" s="506"/>
      <c r="C148" s="507">
        <v>39416</v>
      </c>
      <c r="D148" s="508"/>
      <c r="E148" s="509" t="str">
        <f>IF($C148="",IFERROR(VLOOKUP($B148,SERVIÇOS!$B:$G,2,0),IFERROR(VLOOKUP($B148,$D:$K,2,0),"")),IFERROR(VLOOKUP($C148,INSUMOS!$A:$D,2,0),IFERROR(VLOOKUP($C148,COTAÇÕES!$B:$I,2,0),(VLOOKUP($C148,'INSUMO SINAPI - SP'!$C:$F,2,0)))))</f>
        <v>PLACA / CHAPA DE GESSO ACARTONADO, RESISTENTE A UMIDADE (RU), COR VERDE, E = 12,5 MM, 1200 X 1800 MM (L X C)</v>
      </c>
      <c r="F148" s="510" t="str">
        <f>IF($C148="",IFERROR(VLOOKUP($B148,SERVIÇOS!$B:$G,3,0),IFERROR(VLOOKUP($B148,$D:$K,3,0),"")),IFERROR(VLOOKUP($C148,INSUMOS!$A:$D,3,0),IFERROR(VLOOKUP($C148,COTAÇÕES!$B:$I,3,0),(VLOOKUP($C148,'INSUMO SINAPI - SP'!$C:$F,3,0)))))</f>
        <v>M2</v>
      </c>
      <c r="G148" s="511">
        <v>1.0966</v>
      </c>
      <c r="H148" s="512">
        <f>IF($C148="",IFERROR(VLOOKUP($B148,SERVIÇOS!$B:$G,6,0),IFERROR(VLOOKUP($B148,$D:$K,8,0),"")),IFERROR(VLOOKUP($C148,INSUMOS!$A:$D,4,0),IFERROR(VLOOKUP($C148,COTAÇÕES!$B:$I,7,0),(VLOOKUP($C148,'INSUMO SINAPI - SP'!$C:$F,4,0)))))</f>
        <v>29.05</v>
      </c>
      <c r="I148" s="513">
        <f>TRUNC(IF($C148="",IFERROR(VLOOKUP($B148,SERVIÇOS!$B:$G,4,0),IFERROR(VLOOKUP($B148,$D:$K,6,0),)),IFERROR(VLOOKUP($C148,INSUMOS!$A:$D,4,0),IFERROR(VLOOKUP($C148,COTAÇÕES!$B:$I,7,0),(VLOOKUP($C148,'INSUMO SINAPI - SP'!$C:$F,4,0)))))*$G148,2)</f>
        <v>31.85</v>
      </c>
      <c r="J148" s="513">
        <f>TRUNC(IF($C148="",IFERROR(VLOOKUP($B148,SERVIÇOS!$B:$G,5,0),IFERROR(VLOOKUP($B148,$D:$K,7,0),)),0)*$G148,2)</f>
        <v>0</v>
      </c>
      <c r="K148" s="514">
        <f t="shared" si="8"/>
        <v>31.85</v>
      </c>
      <c r="L148" s="517"/>
      <c r="M148" s="471"/>
      <c r="N148" s="516"/>
      <c r="Q148" s="472"/>
      <c r="R148" s="472"/>
      <c r="S148" s="472"/>
      <c r="T148" s="472"/>
      <c r="U148" s="472"/>
      <c r="V148" s="472"/>
      <c r="W148" s="472"/>
      <c r="X148" s="472"/>
      <c r="Y148" s="472"/>
    </row>
    <row r="149" spans="1:25" ht="24" x14ac:dyDescent="0.25">
      <c r="A149" s="463"/>
      <c r="B149" s="506"/>
      <c r="C149" s="507">
        <v>39427</v>
      </c>
      <c r="D149" s="508"/>
      <c r="E149" s="509" t="str">
        <f>IF($C149="",IFERROR(VLOOKUP($B149,SERVIÇOS!$B:$G,2,0),IFERROR(VLOOKUP($B149,$D:$K,2,0),"")),IFERROR(VLOOKUP($C149,INSUMOS!$A:$D,2,0),IFERROR(VLOOKUP($C149,COTAÇÕES!$B:$I,2,0),(VLOOKUP($C149,'INSUMO SINAPI - SP'!$C:$F,2,0)))))</f>
        <v>PERFIL CANALETA, FORMATO C, EM ACO ZINCADO, PARA ESTRUTURA FORRO DRYWALL, E = 0,5 MM, *46 X 18* (L X H), COMPRIMENTO 3 M</v>
      </c>
      <c r="F149" s="510" t="str">
        <f>IF($C149="",IFERROR(VLOOKUP($B149,SERVIÇOS!$B:$G,3,0),IFERROR(VLOOKUP($B149,$D:$K,3,0),"")),IFERROR(VLOOKUP($C149,INSUMOS!$A:$D,3,0),IFERROR(VLOOKUP($C149,COTAÇÕES!$B:$I,3,0),(VLOOKUP($C149,'INSUMO SINAPI - SP'!$C:$F,3,0)))))</f>
        <v>M</v>
      </c>
      <c r="G149" s="511">
        <v>3.851</v>
      </c>
      <c r="H149" s="512">
        <f>IF($C149="",IFERROR(VLOOKUP($B149,SERVIÇOS!$B:$G,6,0),IFERROR(VLOOKUP($B149,$D:$K,8,0),"")),IFERROR(VLOOKUP($C149,INSUMOS!$A:$D,4,0),IFERROR(VLOOKUP($C149,COTAÇÕES!$B:$I,7,0),(VLOOKUP($C149,'INSUMO SINAPI - SP'!$C:$F,4,0)))))</f>
        <v>5.26</v>
      </c>
      <c r="I149" s="513">
        <f>TRUNC(IF($C149="",IFERROR(VLOOKUP($B149,SERVIÇOS!$B:$G,4,0),IFERROR(VLOOKUP($B149,$D:$K,6,0),)),IFERROR(VLOOKUP($C149,INSUMOS!$A:$D,4,0),IFERROR(VLOOKUP($C149,COTAÇÕES!$B:$I,7,0),(VLOOKUP($C149,'INSUMO SINAPI - SP'!$C:$F,4,0)))))*$G149,2)</f>
        <v>20.25</v>
      </c>
      <c r="J149" s="513">
        <f>TRUNC(IF($C149="",IFERROR(VLOOKUP($B149,SERVIÇOS!$B:$G,5,0),IFERROR(VLOOKUP($B149,$D:$K,7,0),)),0)*$G149,2)</f>
        <v>0</v>
      </c>
      <c r="K149" s="514">
        <f t="shared" si="8"/>
        <v>20.25</v>
      </c>
      <c r="L149" s="517"/>
      <c r="M149" s="471"/>
      <c r="N149" s="516"/>
      <c r="Q149" s="472"/>
      <c r="R149" s="472"/>
      <c r="S149" s="472"/>
      <c r="T149" s="472"/>
      <c r="U149" s="472"/>
      <c r="V149" s="472"/>
      <c r="W149" s="472"/>
      <c r="X149" s="472"/>
      <c r="Y149" s="472"/>
    </row>
    <row r="150" spans="1:25" ht="24" x14ac:dyDescent="0.25">
      <c r="A150" s="463"/>
      <c r="B150" s="506"/>
      <c r="C150" s="507">
        <v>39430</v>
      </c>
      <c r="D150" s="508"/>
      <c r="E150" s="509" t="str">
        <f>IF($C150="",IFERROR(VLOOKUP($B150,SERVIÇOS!$B:$G,2,0),IFERROR(VLOOKUP($B150,$D:$K,2,0),"")),IFERROR(VLOOKUP($C150,INSUMOS!$A:$D,2,0),IFERROR(VLOOKUP($C150,COTAÇÕES!$B:$I,2,0),(VLOOKUP($C150,'INSUMO SINAPI - SP'!$C:$F,2,0)))))</f>
        <v>PENDURAL OU PRESILHA REGULADORA, EM ACO GALVANIZADO, COM CORPO, MOLA E REBITE, PARA PERFIL TIPO CANALETA DE ESTRUTURA EM FORROS DRYWALL</v>
      </c>
      <c r="F150" s="510" t="str">
        <f>IF($C150="",IFERROR(VLOOKUP($B150,SERVIÇOS!$B:$G,3,0),IFERROR(VLOOKUP($B150,$D:$K,3,0),"")),IFERROR(VLOOKUP($C150,INSUMOS!$A:$D,3,0),IFERROR(VLOOKUP($C150,COTAÇÕES!$B:$I,3,0),(VLOOKUP($C150,'INSUMO SINAPI - SP'!$C:$F,3,0)))))</f>
        <v>UN</v>
      </c>
      <c r="G150" s="511">
        <v>1.3265</v>
      </c>
      <c r="H150" s="512">
        <f>IF($C150="",IFERROR(VLOOKUP($B150,SERVIÇOS!$B:$G,6,0),IFERROR(VLOOKUP($B150,$D:$K,8,0),"")),IFERROR(VLOOKUP($C150,INSUMOS!$A:$D,4,0),IFERROR(VLOOKUP($C150,COTAÇÕES!$B:$I,7,0),(VLOOKUP($C150,'INSUMO SINAPI - SP'!$C:$F,4,0)))))</f>
        <v>1.98</v>
      </c>
      <c r="I150" s="513">
        <f>TRUNC(IF($C150="",IFERROR(VLOOKUP($B150,SERVIÇOS!$B:$G,4,0),IFERROR(VLOOKUP($B150,$D:$K,6,0),)),IFERROR(VLOOKUP($C150,INSUMOS!$A:$D,4,0),IFERROR(VLOOKUP($C150,COTAÇÕES!$B:$I,7,0),(VLOOKUP($C150,'INSUMO SINAPI - SP'!$C:$F,4,0)))))*$G150,2)</f>
        <v>2.62</v>
      </c>
      <c r="J150" s="513">
        <f>TRUNC(IF($C150="",IFERROR(VLOOKUP($B150,SERVIÇOS!$B:$G,5,0),IFERROR(VLOOKUP($B150,$D:$K,7,0),)),0)*$G150,2)</f>
        <v>0</v>
      </c>
      <c r="K150" s="514">
        <f t="shared" si="8"/>
        <v>2.62</v>
      </c>
      <c r="L150" s="517"/>
      <c r="M150" s="471"/>
      <c r="N150" s="516"/>
      <c r="Q150" s="472"/>
      <c r="R150" s="472"/>
      <c r="S150" s="472"/>
      <c r="T150" s="472"/>
      <c r="U150" s="472"/>
      <c r="V150" s="472"/>
      <c r="W150" s="472"/>
      <c r="X150" s="472"/>
      <c r="Y150" s="472"/>
    </row>
    <row r="151" spans="1:25" ht="24" x14ac:dyDescent="0.25">
      <c r="A151" s="463"/>
      <c r="B151" s="506"/>
      <c r="C151" s="507">
        <v>39432</v>
      </c>
      <c r="D151" s="508"/>
      <c r="E151" s="509" t="str">
        <f>IF($C151="",IFERROR(VLOOKUP($B151,SERVIÇOS!$B:$G,2,0),IFERROR(VLOOKUP($B151,$D:$K,2,0),"")),IFERROR(VLOOKUP($C151,INSUMOS!$A:$D,2,0),IFERROR(VLOOKUP($C151,COTAÇÕES!$B:$I,2,0),(VLOOKUP($C151,'INSUMO SINAPI - SP'!$C:$F,2,0)))))</f>
        <v>FITA DE PAPEL REFORCADA COM LAMINA DE METAL PARA REFORCO DE CANTOS DE CHAPA DE GESSO PARA DRYWALL</v>
      </c>
      <c r="F151" s="510" t="str">
        <f>IF($C151="",IFERROR(VLOOKUP($B151,SERVIÇOS!$B:$G,3,0),IFERROR(VLOOKUP($B151,$D:$K,3,0),"")),IFERROR(VLOOKUP($C151,INSUMOS!$A:$D,3,0),IFERROR(VLOOKUP($C151,COTAÇÕES!$B:$I,3,0),(VLOOKUP($C151,'INSUMO SINAPI - SP'!$C:$F,3,0)))))</f>
        <v>M</v>
      </c>
      <c r="G151" s="511">
        <v>1.4395</v>
      </c>
      <c r="H151" s="512">
        <f>IF($C151="",IFERROR(VLOOKUP($B151,SERVIÇOS!$B:$G,6,0),IFERROR(VLOOKUP($B151,$D:$K,8,0),"")),IFERROR(VLOOKUP($C151,INSUMOS!$A:$D,4,0),IFERROR(VLOOKUP($C151,COTAÇÕES!$B:$I,7,0),(VLOOKUP($C151,'INSUMO SINAPI - SP'!$C:$F,4,0)))))</f>
        <v>2.97</v>
      </c>
      <c r="I151" s="513">
        <f>TRUNC(IF($C151="",IFERROR(VLOOKUP($B151,SERVIÇOS!$B:$G,4,0),IFERROR(VLOOKUP($B151,$D:$K,6,0),)),IFERROR(VLOOKUP($C151,INSUMOS!$A:$D,4,0),IFERROR(VLOOKUP($C151,COTAÇÕES!$B:$I,7,0),(VLOOKUP($C151,'INSUMO SINAPI - SP'!$C:$F,4,0)))))*$G151,2)</f>
        <v>4.2699999999999996</v>
      </c>
      <c r="J151" s="513">
        <f>TRUNC(IF($C151="",IFERROR(VLOOKUP($B151,SERVIÇOS!$B:$G,5,0),IFERROR(VLOOKUP($B151,$D:$K,7,0),)),0)*$G151,2)</f>
        <v>0</v>
      </c>
      <c r="K151" s="514">
        <f t="shared" si="8"/>
        <v>4.2699999999999996</v>
      </c>
      <c r="L151" s="517"/>
      <c r="M151" s="471"/>
      <c r="N151" s="516"/>
      <c r="Q151" s="472"/>
      <c r="R151" s="472"/>
      <c r="S151" s="472"/>
      <c r="T151" s="472"/>
      <c r="U151" s="472"/>
      <c r="V151" s="472"/>
      <c r="W151" s="472"/>
      <c r="X151" s="472"/>
      <c r="Y151" s="472"/>
    </row>
    <row r="152" spans="1:25" ht="24" x14ac:dyDescent="0.25">
      <c r="A152" s="463"/>
      <c r="B152" s="506"/>
      <c r="C152" s="507">
        <v>39434</v>
      </c>
      <c r="D152" s="508"/>
      <c r="E152" s="509" t="str">
        <f>IF($C152="",IFERROR(VLOOKUP($B152,SERVIÇOS!$B:$G,2,0),IFERROR(VLOOKUP($B152,$D:$K,2,0),"")),IFERROR(VLOOKUP($C152,INSUMOS!$A:$D,2,0),IFERROR(VLOOKUP($C152,COTAÇÕES!$B:$I,2,0),(VLOOKUP($C152,'INSUMO SINAPI - SP'!$C:$F,2,0)))))</f>
        <v>MASSA DE REJUNTE EM PO PARA DRYWALL, A BASE DE GESSO, SECAGEM RAPIDA, PARA TRATAMENTO DE JUNTAS DE CHAPA DE GESSO (NECESSITA ADICAO DE AGUA)</v>
      </c>
      <c r="F152" s="510" t="str">
        <f>IF($C152="",IFERROR(VLOOKUP($B152,SERVIÇOS!$B:$G,3,0),IFERROR(VLOOKUP($B152,$D:$K,3,0),"")),IFERROR(VLOOKUP($C152,INSUMOS!$A:$D,3,0),IFERROR(VLOOKUP($C152,COTAÇÕES!$B:$I,3,0),(VLOOKUP($C152,'INSUMO SINAPI - SP'!$C:$F,3,0)))))</f>
        <v>KG</v>
      </c>
      <c r="G152" s="511">
        <v>0.5202</v>
      </c>
      <c r="H152" s="512">
        <f>IF($C152="",IFERROR(VLOOKUP($B152,SERVIÇOS!$B:$G,6,0),IFERROR(VLOOKUP($B152,$D:$K,8,0),"")),IFERROR(VLOOKUP($C152,INSUMOS!$A:$D,4,0),IFERROR(VLOOKUP($C152,COTAÇÕES!$B:$I,7,0),(VLOOKUP($C152,'INSUMO SINAPI - SP'!$C:$F,4,0)))))</f>
        <v>3.72</v>
      </c>
      <c r="I152" s="513">
        <f>TRUNC(IF($C152="",IFERROR(VLOOKUP($B152,SERVIÇOS!$B:$G,4,0),IFERROR(VLOOKUP($B152,$D:$K,6,0),)),IFERROR(VLOOKUP($C152,INSUMOS!$A:$D,4,0),IFERROR(VLOOKUP($C152,COTAÇÕES!$B:$I,7,0),(VLOOKUP($C152,'INSUMO SINAPI - SP'!$C:$F,4,0)))))*$G152,2)</f>
        <v>1.93</v>
      </c>
      <c r="J152" s="513">
        <f>TRUNC(IF($C152="",IFERROR(VLOOKUP($B152,SERVIÇOS!$B:$G,5,0),IFERROR(VLOOKUP($B152,$D:$K,7,0),)),0)*$G152,2)</f>
        <v>0</v>
      </c>
      <c r="K152" s="514">
        <f t="shared" si="8"/>
        <v>1.93</v>
      </c>
      <c r="L152" s="517"/>
      <c r="M152" s="471"/>
      <c r="N152" s="516"/>
      <c r="Q152" s="472"/>
      <c r="R152" s="472"/>
      <c r="S152" s="472"/>
      <c r="T152" s="472"/>
      <c r="U152" s="472"/>
      <c r="V152" s="472"/>
      <c r="W152" s="472"/>
      <c r="X152" s="472"/>
      <c r="Y152" s="472"/>
    </row>
    <row r="153" spans="1:25" ht="24" x14ac:dyDescent="0.25">
      <c r="A153" s="463"/>
      <c r="B153" s="506"/>
      <c r="C153" s="507">
        <v>39435</v>
      </c>
      <c r="D153" s="508"/>
      <c r="E153" s="509" t="str">
        <f>IF($C153="",IFERROR(VLOOKUP($B153,SERVIÇOS!$B:$G,2,0),IFERROR(VLOOKUP($B153,$D:$K,2,0),"")),IFERROR(VLOOKUP($C153,INSUMOS!$A:$D,2,0),IFERROR(VLOOKUP($C153,COTAÇÕES!$B:$I,2,0),(VLOOKUP($C153,'INSUMO SINAPI - SP'!$C:$F,2,0)))))</f>
        <v>PARAFUSO DRY WALL, EM ACO FOSFATIZADO, CABECA TROMBETA E PONTA AGULHA (TA), COMPRIMENTO 25 MM</v>
      </c>
      <c r="F153" s="510" t="str">
        <f>IF($C153="",IFERROR(VLOOKUP($B153,SERVIÇOS!$B:$G,3,0),IFERROR(VLOOKUP($B153,$D:$K,3,0),"")),IFERROR(VLOOKUP($C153,INSUMOS!$A:$D,3,0),IFERROR(VLOOKUP($C153,COTAÇÕES!$B:$I,3,0),(VLOOKUP($C153,'INSUMO SINAPI - SP'!$C:$F,3,0)))))</f>
        <v>UN</v>
      </c>
      <c r="G153" s="511">
        <v>7.9740000000000002</v>
      </c>
      <c r="H153" s="512">
        <f>IF($C153="",IFERROR(VLOOKUP($B153,SERVIÇOS!$B:$G,6,0),IFERROR(VLOOKUP($B153,$D:$K,8,0),"")),IFERROR(VLOOKUP($C153,INSUMOS!$A:$D,4,0),IFERROR(VLOOKUP($C153,COTAÇÕES!$B:$I,7,0),(VLOOKUP($C153,'INSUMO SINAPI - SP'!$C:$F,4,0)))))</f>
        <v>0.09</v>
      </c>
      <c r="I153" s="513">
        <f>TRUNC(IF($C153="",IFERROR(VLOOKUP($B153,SERVIÇOS!$B:$G,4,0),IFERROR(VLOOKUP($B153,$D:$K,6,0),)),IFERROR(VLOOKUP($C153,INSUMOS!$A:$D,4,0),IFERROR(VLOOKUP($C153,COTAÇÕES!$B:$I,7,0),(VLOOKUP($C153,'INSUMO SINAPI - SP'!$C:$F,4,0)))))*$G153,2)</f>
        <v>0.71</v>
      </c>
      <c r="J153" s="513">
        <f>TRUNC(IF($C153="",IFERROR(VLOOKUP($B153,SERVIÇOS!$B:$G,5,0),IFERROR(VLOOKUP($B153,$D:$K,7,0),)),0)*$G153,2)</f>
        <v>0</v>
      </c>
      <c r="K153" s="514">
        <f t="shared" si="8"/>
        <v>0.71</v>
      </c>
      <c r="L153" s="517"/>
      <c r="M153" s="471"/>
      <c r="N153" s="516"/>
      <c r="Q153" s="472"/>
      <c r="R153" s="472"/>
      <c r="S153" s="472"/>
      <c r="T153" s="472"/>
      <c r="U153" s="472"/>
      <c r="V153" s="472"/>
      <c r="W153" s="472"/>
      <c r="X153" s="472"/>
      <c r="Y153" s="472"/>
    </row>
    <row r="154" spans="1:25" ht="24" x14ac:dyDescent="0.25">
      <c r="A154" s="463"/>
      <c r="B154" s="506"/>
      <c r="C154" s="507">
        <v>39443</v>
      </c>
      <c r="D154" s="508"/>
      <c r="E154" s="509" t="str">
        <f>IF($C154="",IFERROR(VLOOKUP($B154,SERVIÇOS!$B:$G,2,0),IFERROR(VLOOKUP($B154,$D:$K,2,0),"")),IFERROR(VLOOKUP($C154,INSUMOS!$A:$D,2,0),IFERROR(VLOOKUP($C154,COTAÇÕES!$B:$I,2,0),(VLOOKUP($C154,'INSUMO SINAPI - SP'!$C:$F,2,0)))))</f>
        <v>PARAFUSO DRY WALL, EM ACO ZINCADO, CABECA LENTILHA E PONTA BROCA (LB), LARGURA 4,2 MM, COMPRIMENTO 13 MM</v>
      </c>
      <c r="F154" s="510" t="str">
        <f>IF($C154="",IFERROR(VLOOKUP($B154,SERVIÇOS!$B:$G,3,0),IFERROR(VLOOKUP($B154,$D:$K,3,0),"")),IFERROR(VLOOKUP($C154,INSUMOS!$A:$D,3,0),IFERROR(VLOOKUP($C154,COTAÇÕES!$B:$I,3,0),(VLOOKUP($C154,'INSUMO SINAPI - SP'!$C:$F,3,0)))))</f>
        <v>UN</v>
      </c>
      <c r="G154" s="511">
        <v>2.1911999999999998</v>
      </c>
      <c r="H154" s="512">
        <f>IF($C154="",IFERROR(VLOOKUP($B154,SERVIÇOS!$B:$G,6,0),IFERROR(VLOOKUP($B154,$D:$K,8,0),"")),IFERROR(VLOOKUP($C154,INSUMOS!$A:$D,4,0),IFERROR(VLOOKUP($C154,COTAÇÕES!$B:$I,7,0),(VLOOKUP($C154,'INSUMO SINAPI - SP'!$C:$F,4,0)))))</f>
        <v>0.21</v>
      </c>
      <c r="I154" s="513">
        <f>TRUNC(IF($C154="",IFERROR(VLOOKUP($B154,SERVIÇOS!$B:$G,4,0),IFERROR(VLOOKUP($B154,$D:$K,6,0),)),IFERROR(VLOOKUP($C154,INSUMOS!$A:$D,4,0),IFERROR(VLOOKUP($C154,COTAÇÕES!$B:$I,7,0),(VLOOKUP($C154,'INSUMO SINAPI - SP'!$C:$F,4,0)))))*$G154,2)</f>
        <v>0.46</v>
      </c>
      <c r="J154" s="513">
        <f>TRUNC(IF($C154="",IFERROR(VLOOKUP($B154,SERVIÇOS!$B:$G,5,0),IFERROR(VLOOKUP($B154,$D:$K,7,0),)),0)*$G154,2)</f>
        <v>0</v>
      </c>
      <c r="K154" s="514">
        <f t="shared" si="8"/>
        <v>0.46</v>
      </c>
      <c r="L154" s="517"/>
      <c r="M154" s="471"/>
      <c r="N154" s="516"/>
      <c r="Q154" s="472"/>
      <c r="R154" s="472"/>
      <c r="S154" s="472"/>
      <c r="T154" s="472"/>
      <c r="U154" s="472"/>
      <c r="V154" s="472"/>
      <c r="W154" s="472"/>
      <c r="X154" s="472"/>
      <c r="Y154" s="472"/>
    </row>
    <row r="155" spans="1:25" x14ac:dyDescent="0.25">
      <c r="A155" s="463"/>
      <c r="B155" s="506"/>
      <c r="C155" s="507">
        <v>40547</v>
      </c>
      <c r="D155" s="508"/>
      <c r="E155" s="509" t="str">
        <f>IF($C155="",IFERROR(VLOOKUP($B155,SERVIÇOS!$B:$G,2,0),IFERROR(VLOOKUP($B155,$D:$K,2,0),"")),IFERROR(VLOOKUP($C155,INSUMOS!$A:$D,2,0),IFERROR(VLOOKUP($C155,COTAÇÕES!$B:$I,2,0),(VLOOKUP($C155,'INSUMO SINAPI - SP'!$C:$F,2,0)))))</f>
        <v>PARAFUSO ZINCADO, AUTOBROCANTE, FLANGEADO, 4,2 MM X 19 MM</v>
      </c>
      <c r="F155" s="510" t="str">
        <f>IF($C155="",IFERROR(VLOOKUP($B155,SERVIÇOS!$B:$G,3,0),IFERROR(VLOOKUP($B155,$D:$K,3,0),"")),IFERROR(VLOOKUP($C155,INSUMOS!$A:$D,3,0),IFERROR(VLOOKUP($C155,COTAÇÕES!$B:$I,3,0),(VLOOKUP($C155,'INSUMO SINAPI - SP'!$C:$F,3,0)))))</f>
        <v>CENTO</v>
      </c>
      <c r="G155" s="511">
        <v>1.32E-2</v>
      </c>
      <c r="H155" s="512">
        <f>IF($C155="",IFERROR(VLOOKUP($B155,SERVIÇOS!$B:$G,6,0),IFERROR(VLOOKUP($B155,$D:$K,8,0),"")),IFERROR(VLOOKUP($C155,INSUMOS!$A:$D,4,0),IFERROR(VLOOKUP($C155,COTAÇÕES!$B:$I,7,0),(VLOOKUP($C155,'INSUMO SINAPI - SP'!$C:$F,4,0)))))</f>
        <v>24.62</v>
      </c>
      <c r="I155" s="513">
        <f>TRUNC(IF($C155="",IFERROR(VLOOKUP($B155,SERVIÇOS!$B:$G,4,0),IFERROR(VLOOKUP($B155,$D:$K,6,0),)),IFERROR(VLOOKUP($C155,INSUMOS!$A:$D,4,0),IFERROR(VLOOKUP($C155,COTAÇÕES!$B:$I,7,0),(VLOOKUP($C155,'INSUMO SINAPI - SP'!$C:$F,4,0)))))*$G155,2)</f>
        <v>0.32</v>
      </c>
      <c r="J155" s="513">
        <f>TRUNC(IF($C155="",IFERROR(VLOOKUP($B155,SERVIÇOS!$B:$G,5,0),IFERROR(VLOOKUP($B155,$D:$K,7,0),)),0)*$G155,2)</f>
        <v>0</v>
      </c>
      <c r="K155" s="514">
        <f t="shared" si="8"/>
        <v>0.32</v>
      </c>
      <c r="L155" s="517"/>
      <c r="M155" s="471"/>
      <c r="N155" s="516"/>
      <c r="Q155" s="472"/>
      <c r="R155" s="472"/>
      <c r="S155" s="472"/>
      <c r="T155" s="472"/>
      <c r="U155" s="472"/>
      <c r="V155" s="472"/>
      <c r="W155" s="472"/>
      <c r="X155" s="472"/>
      <c r="Y155" s="472"/>
    </row>
    <row r="156" spans="1:25" x14ac:dyDescent="0.25">
      <c r="A156" s="463"/>
      <c r="B156" s="506">
        <v>88278</v>
      </c>
      <c r="C156" s="507"/>
      <c r="D156" s="508"/>
      <c r="E156" s="509" t="str">
        <f>IF($C156="",IFERROR(VLOOKUP($B156,SERVIÇOS!$B:$G,2,0),IFERROR(VLOOKUP($B156,$D:$K,2,0),"")),IFERROR(VLOOKUP($C156,INSUMOS!$A:$D,2,0),IFERROR(VLOOKUP($C156,COTAÇÕES!$B:$I,2,0),(VLOOKUP($C156,'INSUMO SINAPI - SP'!$C:$F,2,0)))))</f>
        <v>MONTADOR DE ESTRUTURA METÁLICA COM ENCARGOS COMPLEMENTARES</v>
      </c>
      <c r="F156" s="510" t="str">
        <f>IF($C156="",IFERROR(VLOOKUP($B156,SERVIÇOS!$B:$G,3,0),IFERROR(VLOOKUP($B156,$D:$K,3,0),"")),IFERROR(VLOOKUP($C156,INSUMOS!$A:$D,3,0),IFERROR(VLOOKUP($C156,COTAÇÕES!$B:$I,3,0),(VLOOKUP($C156,'INSUMO SINAPI - SP'!$C:$F,3,0)))))</f>
        <v>H</v>
      </c>
      <c r="G156" s="511">
        <v>0.36280000000000001</v>
      </c>
      <c r="H156" s="512">
        <f>IF($C156="",IFERROR(VLOOKUP($B156,SERVIÇOS!$B:$G,6,0),IFERROR(VLOOKUP($B156,$D:$K,8,0),"")),IFERROR(VLOOKUP($C156,INSUMOS!$A:$D,4,0),IFERROR(VLOOKUP($C156,COTAÇÕES!$B:$I,7,0),(VLOOKUP($C156,'INSUMO SINAPI - SP'!$C:$F,4,0)))))</f>
        <v>32.22</v>
      </c>
      <c r="I156" s="513">
        <f>TRUNC(IF($C156="",IFERROR(VLOOKUP($B156,SERVIÇOS!$B:$G,4,0),IFERROR(VLOOKUP($B156,$D:$K,6,0),)),IFERROR(VLOOKUP($C156,INSUMOS!$A:$D,4,0),IFERROR(VLOOKUP($C156,COTAÇÕES!$B:$I,7,0),(VLOOKUP($C156,'INSUMO SINAPI - SP'!$C:$F,4,0)))))*$G156,2)</f>
        <v>2.93</v>
      </c>
      <c r="J156" s="513">
        <f>TRUNC(IF($C156="",IFERROR(VLOOKUP($B156,SERVIÇOS!$B:$G,5,0),IFERROR(VLOOKUP($B156,$D:$K,7,0),)),0)*$G156,2)</f>
        <v>8.75</v>
      </c>
      <c r="K156" s="514">
        <f t="shared" si="8"/>
        <v>11.68</v>
      </c>
      <c r="L156" s="515"/>
      <c r="M156" s="471"/>
      <c r="N156" s="516"/>
      <c r="Q156" s="472"/>
      <c r="R156" s="472"/>
      <c r="S156" s="472"/>
      <c r="T156" s="472"/>
      <c r="U156" s="472"/>
      <c r="V156" s="472"/>
      <c r="W156" s="472"/>
      <c r="X156" s="472"/>
      <c r="Y156" s="472"/>
    </row>
    <row r="157" spans="1:25" x14ac:dyDescent="0.25">
      <c r="A157" s="463"/>
      <c r="B157" s="506">
        <v>88316</v>
      </c>
      <c r="C157" s="507"/>
      <c r="D157" s="508"/>
      <c r="E157" s="509" t="str">
        <f>IF($C157="",IFERROR(VLOOKUP($B157,SERVIÇOS!$B:$G,2,0),IFERROR(VLOOKUP($B157,$D:$K,2,0),"")),IFERROR(VLOOKUP($C157,INSUMOS!$A:$D,2,0),IFERROR(VLOOKUP($C157,COTAÇÕES!$B:$I,2,0),(VLOOKUP($C157,'INSUMO SINAPI - SP'!$C:$F,2,0)))))</f>
        <v>SERVENTE COM ENCARGOS COMPLEMENTARES</v>
      </c>
      <c r="F157" s="510" t="str">
        <f>IF($C157="",IFERROR(VLOOKUP($B157,SERVIÇOS!$B:$G,3,0),IFERROR(VLOOKUP($B157,$D:$K,3,0),"")),IFERROR(VLOOKUP($C157,INSUMOS!$A:$D,3,0),IFERROR(VLOOKUP($C157,COTAÇÕES!$B:$I,3,0),(VLOOKUP($C157,'INSUMO SINAPI - SP'!$C:$F,3,0)))))</f>
        <v>H</v>
      </c>
      <c r="G157" s="511">
        <v>0.36280000000000001</v>
      </c>
      <c r="H157" s="512">
        <f>IF($C157="",IFERROR(VLOOKUP($B157,SERVIÇOS!$B:$G,6,0),IFERROR(VLOOKUP($B157,$D:$K,8,0),"")),IFERROR(VLOOKUP($C157,INSUMOS!$A:$D,4,0),IFERROR(VLOOKUP($C157,COTAÇÕES!$B:$I,7,0),(VLOOKUP($C157,'INSUMO SINAPI - SP'!$C:$F,4,0)))))</f>
        <v>28.71</v>
      </c>
      <c r="I157" s="513">
        <f>TRUNC(IF($C157="",IFERROR(VLOOKUP($B157,SERVIÇOS!$B:$G,4,0),IFERROR(VLOOKUP($B157,$D:$K,6,0),)),IFERROR(VLOOKUP($C157,INSUMOS!$A:$D,4,0),IFERROR(VLOOKUP($C157,COTAÇÕES!$B:$I,7,0),(VLOOKUP($C157,'INSUMO SINAPI - SP'!$C:$F,4,0)))))*$G157,2)</f>
        <v>3.33</v>
      </c>
      <c r="J157" s="513">
        <f>TRUNC(IF($C157="",IFERROR(VLOOKUP($B157,SERVIÇOS!$B:$G,5,0),IFERROR(VLOOKUP($B157,$D:$K,7,0),)),0)*$G157,2)</f>
        <v>7.07</v>
      </c>
      <c r="K157" s="514">
        <f t="shared" si="8"/>
        <v>10.4</v>
      </c>
      <c r="L157" s="515"/>
      <c r="M157" s="471"/>
      <c r="N157" s="516"/>
      <c r="Q157" s="472"/>
      <c r="R157" s="472"/>
      <c r="S157" s="472"/>
      <c r="T157" s="472"/>
      <c r="U157" s="472"/>
      <c r="V157" s="472"/>
      <c r="W157" s="472"/>
      <c r="X157" s="472"/>
      <c r="Y157" s="472"/>
    </row>
    <row r="158" spans="1:25" x14ac:dyDescent="0.25">
      <c r="A158" s="463"/>
      <c r="B158" s="526"/>
      <c r="C158" s="527"/>
      <c r="D158" s="499" t="s">
        <v>11994</v>
      </c>
      <c r="E158" s="500" t="s">
        <v>12733</v>
      </c>
      <c r="F158" s="501" t="s">
        <v>578</v>
      </c>
      <c r="G158" s="528"/>
      <c r="H158" s="503"/>
      <c r="I158" s="504">
        <f>ROUND(SUM(I159:I161),2)</f>
        <v>83.21</v>
      </c>
      <c r="J158" s="504">
        <f>ROUND(SUM(J159:J161),2)</f>
        <v>48.53</v>
      </c>
      <c r="K158" s="504">
        <f>+J158+I158</f>
        <v>131.74</v>
      </c>
      <c r="L158" s="499" t="s">
        <v>12734</v>
      </c>
      <c r="M158" s="471"/>
      <c r="N158" s="505"/>
      <c r="Q158" s="472"/>
      <c r="R158" s="472"/>
      <c r="S158" s="472"/>
      <c r="T158" s="472"/>
      <c r="U158" s="472"/>
      <c r="V158" s="472"/>
      <c r="W158" s="472"/>
      <c r="X158" s="472"/>
      <c r="Y158" s="472"/>
    </row>
    <row r="159" spans="1:25" x14ac:dyDescent="0.25">
      <c r="A159" s="463"/>
      <c r="B159" s="506">
        <v>88309</v>
      </c>
      <c r="C159" s="507"/>
      <c r="D159" s="508"/>
      <c r="E159" s="509" t="str">
        <f>IF($C159="",IFERROR(VLOOKUP($B159,SERVIÇOS!$B:$G,2,0),IFERROR(VLOOKUP($B159,$D:$K,2,0),"")),IFERROR(VLOOKUP($C159,INSUMOS!$A:$D,2,0),IFERROR(VLOOKUP($C159,COTAÇÕES!$B:$I,2,0),(VLOOKUP($C159,'INSUMO SINAPI - SP'!$C:$F,2,0)))))</f>
        <v>PEDREIRO COM ENCARGOS COMPLEMENTARES</v>
      </c>
      <c r="F159" s="510" t="str">
        <f>IF($C159="",IFERROR(VLOOKUP($B159,SERVIÇOS!$B:$G,3,0),IFERROR(VLOOKUP($B159,$D:$K,3,0),"")),IFERROR(VLOOKUP($C159,INSUMOS!$A:$D,3,0),IFERROR(VLOOKUP($C159,COTAÇÕES!$B:$I,3,0),(VLOOKUP($C159,'INSUMO SINAPI - SP'!$C:$F,3,0)))))</f>
        <v>H</v>
      </c>
      <c r="G159" s="511">
        <v>0.98</v>
      </c>
      <c r="H159" s="512">
        <f>IF($C159="",IFERROR(VLOOKUP($B159,SERVIÇOS!$B:$G,6,0),IFERROR(VLOOKUP($B159,$D:$K,8,0),"")),IFERROR(VLOOKUP($C159,INSUMOS!$A:$D,4,0),IFERROR(VLOOKUP($C159,COTAÇÕES!$B:$I,7,0),(VLOOKUP($C159,'INSUMO SINAPI - SP'!$C:$F,4,0)))))</f>
        <v>36.909999999999997</v>
      </c>
      <c r="I159" s="513">
        <f>TRUNC(IF($C159="",IFERROR(VLOOKUP($B159,SERVIÇOS!$B:$G,4,0),IFERROR(VLOOKUP($B159,$D:$K,6,0),)),IFERROR(VLOOKUP($C159,INSUMOS!$A:$D,4,0),IFERROR(VLOOKUP($C159,COTAÇÕES!$B:$I,7,0),(VLOOKUP($C159,'INSUMO SINAPI - SP'!$C:$F,4,0)))))*$G159,2)</f>
        <v>9.09</v>
      </c>
      <c r="J159" s="513">
        <f>TRUNC(IF($C159="",IFERROR(VLOOKUP($B159,SERVIÇOS!$B:$G,5,0),IFERROR(VLOOKUP($B159,$D:$K,7,0),)),0)*$G159,2)</f>
        <v>27.07</v>
      </c>
      <c r="K159" s="514">
        <f>I159+J159</f>
        <v>36.159999999999997</v>
      </c>
      <c r="L159" s="515"/>
      <c r="M159" s="471"/>
      <c r="N159" s="516"/>
      <c r="Q159" s="472"/>
      <c r="R159" s="472"/>
      <c r="S159" s="472"/>
      <c r="T159" s="472"/>
      <c r="U159" s="472"/>
      <c r="V159" s="472"/>
      <c r="W159" s="472"/>
      <c r="X159" s="472"/>
      <c r="Y159" s="472"/>
    </row>
    <row r="160" spans="1:25" x14ac:dyDescent="0.25">
      <c r="A160" s="463"/>
      <c r="B160" s="506">
        <v>88316</v>
      </c>
      <c r="C160" s="507"/>
      <c r="D160" s="508"/>
      <c r="E160" s="509" t="str">
        <f>IF($C160="",IFERROR(VLOOKUP($B160,SERVIÇOS!$B:$G,2,0),IFERROR(VLOOKUP($B160,$D:$K,2,0),"")),IFERROR(VLOOKUP($C160,INSUMOS!$A:$D,2,0),IFERROR(VLOOKUP($C160,COTAÇÕES!$B:$I,2,0),(VLOOKUP($C160,'INSUMO SINAPI - SP'!$C:$F,2,0)))))</f>
        <v>SERVENTE COM ENCARGOS COMPLEMENTARES</v>
      </c>
      <c r="F160" s="510" t="str">
        <f>IF($C160="",IFERROR(VLOOKUP($B160,SERVIÇOS!$B:$G,3,0),IFERROR(VLOOKUP($B160,$D:$K,3,0),"")),IFERROR(VLOOKUP($C160,INSUMOS!$A:$D,3,0),IFERROR(VLOOKUP($C160,COTAÇÕES!$B:$I,3,0),(VLOOKUP($C160,'INSUMO SINAPI - SP'!$C:$F,3,0)))))</f>
        <v>H</v>
      </c>
      <c r="G160" s="511">
        <v>1.1000000000000001</v>
      </c>
      <c r="H160" s="512">
        <f>IF($C160="",IFERROR(VLOOKUP($B160,SERVIÇOS!$B:$G,6,0),IFERROR(VLOOKUP($B160,$D:$K,8,0),"")),IFERROR(VLOOKUP($C160,INSUMOS!$A:$D,4,0),IFERROR(VLOOKUP($C160,COTAÇÕES!$B:$I,7,0),(VLOOKUP($C160,'INSUMO SINAPI - SP'!$C:$F,4,0)))))</f>
        <v>28.71</v>
      </c>
      <c r="I160" s="513">
        <f>TRUNC(IF($C160="",IFERROR(VLOOKUP($B160,SERVIÇOS!$B:$G,4,0),IFERROR(VLOOKUP($B160,$D:$K,6,0),)),IFERROR(VLOOKUP($C160,INSUMOS!$A:$D,4,0),IFERROR(VLOOKUP($C160,COTAÇÕES!$B:$I,7,0),(VLOOKUP($C160,'INSUMO SINAPI - SP'!$C:$F,4,0)))))*$G160,2)</f>
        <v>10.119999999999999</v>
      </c>
      <c r="J160" s="513">
        <f>TRUNC(IF($C160="",IFERROR(VLOOKUP($B160,SERVIÇOS!$B:$G,5,0),IFERROR(VLOOKUP($B160,$D:$K,7,0),)),0)*$G160,2)</f>
        <v>21.46</v>
      </c>
      <c r="K160" s="514">
        <f>I160+J160</f>
        <v>31.58</v>
      </c>
      <c r="L160" s="515"/>
      <c r="M160" s="471"/>
      <c r="N160" s="516"/>
      <c r="Q160" s="472"/>
      <c r="R160" s="472"/>
      <c r="S160" s="472"/>
      <c r="T160" s="472"/>
      <c r="U160" s="472"/>
      <c r="V160" s="472"/>
      <c r="W160" s="472"/>
      <c r="X160" s="472"/>
      <c r="Y160" s="472"/>
    </row>
    <row r="161" spans="1:25" x14ac:dyDescent="0.25">
      <c r="A161" s="463"/>
      <c r="B161" s="506"/>
      <c r="C161" s="507" t="s">
        <v>12735</v>
      </c>
      <c r="D161" s="508"/>
      <c r="E161" s="518" t="s">
        <v>12736</v>
      </c>
      <c r="F161" s="519" t="s">
        <v>823</v>
      </c>
      <c r="G161" s="511">
        <v>32</v>
      </c>
      <c r="H161" s="520">
        <v>2</v>
      </c>
      <c r="I161" s="520">
        <f>TRUNC(H161*G161,2)</f>
        <v>64</v>
      </c>
      <c r="J161" s="521"/>
      <c r="K161" s="522">
        <f>I161+J161</f>
        <v>64</v>
      </c>
      <c r="L161" s="517" t="s">
        <v>12668</v>
      </c>
      <c r="M161" s="471"/>
      <c r="N161" s="516"/>
      <c r="Q161" s="472"/>
      <c r="R161" s="472"/>
      <c r="S161" s="472"/>
      <c r="T161" s="472"/>
      <c r="U161" s="472"/>
      <c r="V161" s="472"/>
      <c r="W161" s="472"/>
      <c r="X161" s="472"/>
      <c r="Y161" s="472"/>
    </row>
    <row r="162" spans="1:25" x14ac:dyDescent="0.25">
      <c r="A162" s="463"/>
      <c r="B162" s="526"/>
      <c r="C162" s="527"/>
      <c r="D162" s="499" t="s">
        <v>11995</v>
      </c>
      <c r="E162" s="500" t="s">
        <v>12737</v>
      </c>
      <c r="F162" s="501" t="s">
        <v>578</v>
      </c>
      <c r="G162" s="528"/>
      <c r="H162" s="503"/>
      <c r="I162" s="504">
        <f>ROUND(SUM(I163:I165),2)</f>
        <v>99.21</v>
      </c>
      <c r="J162" s="504">
        <f>ROUND(SUM(J163:J165),2)</f>
        <v>48.53</v>
      </c>
      <c r="K162" s="504">
        <f>+J162+I162</f>
        <v>147.74</v>
      </c>
      <c r="L162" s="499" t="s">
        <v>12738</v>
      </c>
      <c r="M162" s="471"/>
      <c r="N162" s="505"/>
      <c r="Q162" s="472"/>
      <c r="R162" s="472"/>
      <c r="S162" s="472"/>
      <c r="T162" s="472"/>
      <c r="U162" s="472"/>
      <c r="V162" s="472"/>
      <c r="W162" s="472"/>
      <c r="X162" s="472"/>
      <c r="Y162" s="472"/>
    </row>
    <row r="163" spans="1:25" x14ac:dyDescent="0.25">
      <c r="A163" s="463"/>
      <c r="B163" s="506">
        <v>88309</v>
      </c>
      <c r="C163" s="507"/>
      <c r="D163" s="508"/>
      <c r="E163" s="509" t="str">
        <f>IF($C163="",IFERROR(VLOOKUP($B163,SERVIÇOS!$B:$G,2,0),IFERROR(VLOOKUP($B163,$D:$K,2,0),"")),IFERROR(VLOOKUP($C163,INSUMOS!$A:$D,2,0),IFERROR(VLOOKUP($C163,COTAÇÕES!$B:$I,2,0),(VLOOKUP($C163,'INSUMO SINAPI - SP'!$C:$F,2,0)))))</f>
        <v>PEDREIRO COM ENCARGOS COMPLEMENTARES</v>
      </c>
      <c r="F163" s="510" t="str">
        <f>IF($C163="",IFERROR(VLOOKUP($B163,SERVIÇOS!$B:$G,3,0),IFERROR(VLOOKUP($B163,$D:$K,3,0),"")),IFERROR(VLOOKUP($C163,INSUMOS!$A:$D,3,0),IFERROR(VLOOKUP($C163,COTAÇÕES!$B:$I,3,0),(VLOOKUP($C163,'INSUMO SINAPI - SP'!$C:$F,3,0)))))</f>
        <v>H</v>
      </c>
      <c r="G163" s="511">
        <v>0.98</v>
      </c>
      <c r="H163" s="512">
        <f>IF($C163="",IFERROR(VLOOKUP($B163,SERVIÇOS!$B:$G,6,0),IFERROR(VLOOKUP($B163,$D:$K,8,0),"")),IFERROR(VLOOKUP($C163,INSUMOS!$A:$D,4,0),IFERROR(VLOOKUP($C163,COTAÇÕES!$B:$I,7,0),(VLOOKUP($C163,'INSUMO SINAPI - SP'!$C:$F,4,0)))))</f>
        <v>36.909999999999997</v>
      </c>
      <c r="I163" s="513">
        <f>TRUNC(IF($C163="",IFERROR(VLOOKUP($B163,SERVIÇOS!$B:$G,4,0),IFERROR(VLOOKUP($B163,$D:$K,6,0),)),IFERROR(VLOOKUP($C163,INSUMOS!$A:$D,4,0),IFERROR(VLOOKUP($C163,COTAÇÕES!$B:$I,7,0),(VLOOKUP($C163,'INSUMO SINAPI - SP'!$C:$F,4,0)))))*$G163,2)</f>
        <v>9.09</v>
      </c>
      <c r="J163" s="513">
        <f>TRUNC(IF($C163="",IFERROR(VLOOKUP($B163,SERVIÇOS!$B:$G,5,0),IFERROR(VLOOKUP($B163,$D:$K,7,0),)),0)*$G163,2)</f>
        <v>27.07</v>
      </c>
      <c r="K163" s="514">
        <f>I163+J163</f>
        <v>36.159999999999997</v>
      </c>
      <c r="L163" s="515"/>
      <c r="M163" s="471"/>
      <c r="N163" s="516"/>
      <c r="Q163" s="472"/>
      <c r="R163" s="472"/>
      <c r="S163" s="472"/>
      <c r="T163" s="472"/>
      <c r="U163" s="472"/>
      <c r="V163" s="472"/>
      <c r="W163" s="472"/>
      <c r="X163" s="472"/>
      <c r="Y163" s="472"/>
    </row>
    <row r="164" spans="1:25" x14ac:dyDescent="0.25">
      <c r="A164" s="463"/>
      <c r="B164" s="506">
        <v>88316</v>
      </c>
      <c r="C164" s="507"/>
      <c r="D164" s="508"/>
      <c r="E164" s="509" t="str">
        <f>IF($C164="",IFERROR(VLOOKUP($B164,SERVIÇOS!$B:$G,2,0),IFERROR(VLOOKUP($B164,$D:$K,2,0),"")),IFERROR(VLOOKUP($C164,INSUMOS!$A:$D,2,0),IFERROR(VLOOKUP($C164,COTAÇÕES!$B:$I,2,0),(VLOOKUP($C164,'INSUMO SINAPI - SP'!$C:$F,2,0)))))</f>
        <v>SERVENTE COM ENCARGOS COMPLEMENTARES</v>
      </c>
      <c r="F164" s="510" t="str">
        <f>IF($C164="",IFERROR(VLOOKUP($B164,SERVIÇOS!$B:$G,3,0),IFERROR(VLOOKUP($B164,$D:$K,3,0),"")),IFERROR(VLOOKUP($C164,INSUMOS!$A:$D,3,0),IFERROR(VLOOKUP($C164,COTAÇÕES!$B:$I,3,0),(VLOOKUP($C164,'INSUMO SINAPI - SP'!$C:$F,3,0)))))</f>
        <v>H</v>
      </c>
      <c r="G164" s="511">
        <v>1.1000000000000001</v>
      </c>
      <c r="H164" s="512">
        <f>IF($C164="",IFERROR(VLOOKUP($B164,SERVIÇOS!$B:$G,6,0),IFERROR(VLOOKUP($B164,$D:$K,8,0),"")),IFERROR(VLOOKUP($C164,INSUMOS!$A:$D,4,0),IFERROR(VLOOKUP($C164,COTAÇÕES!$B:$I,7,0),(VLOOKUP($C164,'INSUMO SINAPI - SP'!$C:$F,4,0)))))</f>
        <v>28.71</v>
      </c>
      <c r="I164" s="513">
        <f>TRUNC(IF($C164="",IFERROR(VLOOKUP($B164,SERVIÇOS!$B:$G,4,0),IFERROR(VLOOKUP($B164,$D:$K,6,0),)),IFERROR(VLOOKUP($C164,INSUMOS!$A:$D,4,0),IFERROR(VLOOKUP($C164,COTAÇÕES!$B:$I,7,0),(VLOOKUP($C164,'INSUMO SINAPI - SP'!$C:$F,4,0)))))*$G164,2)</f>
        <v>10.119999999999999</v>
      </c>
      <c r="J164" s="513">
        <f>TRUNC(IF($C164="",IFERROR(VLOOKUP($B164,SERVIÇOS!$B:$G,5,0),IFERROR(VLOOKUP($B164,$D:$K,7,0),)),0)*$G164,2)</f>
        <v>21.46</v>
      </c>
      <c r="K164" s="514">
        <f>I164+J164</f>
        <v>31.58</v>
      </c>
      <c r="L164" s="515"/>
      <c r="M164" s="471"/>
      <c r="N164" s="516"/>
      <c r="Q164" s="472"/>
      <c r="R164" s="472"/>
      <c r="S164" s="472"/>
      <c r="T164" s="472"/>
      <c r="U164" s="472"/>
      <c r="V164" s="472"/>
      <c r="W164" s="472"/>
      <c r="X164" s="472"/>
      <c r="Y164" s="472"/>
    </row>
    <row r="165" spans="1:25" x14ac:dyDescent="0.25">
      <c r="A165" s="463"/>
      <c r="B165" s="506"/>
      <c r="C165" s="507" t="s">
        <v>12735</v>
      </c>
      <c r="D165" s="508"/>
      <c r="E165" s="518" t="s">
        <v>12736</v>
      </c>
      <c r="F165" s="519" t="s">
        <v>823</v>
      </c>
      <c r="G165" s="511">
        <v>40</v>
      </c>
      <c r="H165" s="520">
        <v>2</v>
      </c>
      <c r="I165" s="520">
        <f>TRUNC(H165*G165,2)</f>
        <v>80</v>
      </c>
      <c r="J165" s="521"/>
      <c r="K165" s="522">
        <f>I165+J165</f>
        <v>80</v>
      </c>
      <c r="L165" s="517" t="s">
        <v>12668</v>
      </c>
      <c r="M165" s="471"/>
      <c r="N165" s="516"/>
      <c r="Q165" s="472"/>
      <c r="R165" s="472"/>
      <c r="S165" s="472"/>
      <c r="T165" s="472"/>
      <c r="U165" s="472"/>
      <c r="V165" s="472"/>
      <c r="W165" s="472"/>
      <c r="X165" s="472"/>
      <c r="Y165" s="472"/>
    </row>
    <row r="166" spans="1:25" x14ac:dyDescent="0.25">
      <c r="A166" s="463"/>
      <c r="B166" s="526"/>
      <c r="C166" s="527"/>
      <c r="D166" s="499" t="s">
        <v>11996</v>
      </c>
      <c r="E166" s="500" t="s">
        <v>12739</v>
      </c>
      <c r="F166" s="501" t="s">
        <v>578</v>
      </c>
      <c r="G166" s="528"/>
      <c r="H166" s="503"/>
      <c r="I166" s="504">
        <f>ROUND(SUM(I167:I169),2)</f>
        <v>135.6</v>
      </c>
      <c r="J166" s="504">
        <f>ROUND(SUM(J167:J169),2)</f>
        <v>58.91</v>
      </c>
      <c r="K166" s="504">
        <f>+J166+I166</f>
        <v>194.51</v>
      </c>
      <c r="L166" s="499" t="s">
        <v>12740</v>
      </c>
      <c r="M166" s="471"/>
      <c r="N166" s="505"/>
      <c r="Q166" s="472"/>
      <c r="R166" s="472"/>
      <c r="S166" s="472"/>
      <c r="T166" s="472"/>
      <c r="U166" s="472"/>
      <c r="V166" s="472"/>
      <c r="W166" s="472"/>
      <c r="X166" s="472"/>
      <c r="Y166" s="472"/>
    </row>
    <row r="167" spans="1:25" x14ac:dyDescent="0.25">
      <c r="A167" s="463"/>
      <c r="B167" s="506">
        <v>88309</v>
      </c>
      <c r="C167" s="507"/>
      <c r="D167" s="508"/>
      <c r="E167" s="509" t="str">
        <f>IF($C167="",IFERROR(VLOOKUP($B167,SERVIÇOS!$B:$G,2,0),IFERROR(VLOOKUP($B167,$D:$K,2,0),"")),IFERROR(VLOOKUP($C167,INSUMOS!$A:$D,2,0),IFERROR(VLOOKUP($C167,COTAÇÕES!$B:$I,2,0),(VLOOKUP($C167,'INSUMO SINAPI - SP'!$C:$F,2,0)))))</f>
        <v>PEDREIRO COM ENCARGOS COMPLEMENTARES</v>
      </c>
      <c r="F167" s="510" t="str">
        <f>IF($C167="",IFERROR(VLOOKUP($B167,SERVIÇOS!$B:$G,3,0),IFERROR(VLOOKUP($B167,$D:$K,3,0),"")),IFERROR(VLOOKUP($C167,INSUMOS!$A:$D,3,0),IFERROR(VLOOKUP($C167,COTAÇÕES!$B:$I,3,0),(VLOOKUP($C167,'INSUMO SINAPI - SP'!$C:$F,3,0)))))</f>
        <v>H</v>
      </c>
      <c r="G167" s="511">
        <v>1.25</v>
      </c>
      <c r="H167" s="512">
        <f>IF($C167="",IFERROR(VLOOKUP($B167,SERVIÇOS!$B:$G,6,0),IFERROR(VLOOKUP($B167,$D:$K,8,0),"")),IFERROR(VLOOKUP($C167,INSUMOS!$A:$D,4,0),IFERROR(VLOOKUP($C167,COTAÇÕES!$B:$I,7,0),(VLOOKUP($C167,'INSUMO SINAPI - SP'!$C:$F,4,0)))))</f>
        <v>36.909999999999997</v>
      </c>
      <c r="I167" s="513">
        <f>TRUNC(IF($C167="",IFERROR(VLOOKUP($B167,SERVIÇOS!$B:$G,4,0),IFERROR(VLOOKUP($B167,$D:$K,6,0),)),IFERROR(VLOOKUP($C167,INSUMOS!$A:$D,4,0),IFERROR(VLOOKUP($C167,COTAÇÕES!$B:$I,7,0),(VLOOKUP($C167,'INSUMO SINAPI - SP'!$C:$F,4,0)))))*$G167,2)</f>
        <v>11.6</v>
      </c>
      <c r="J167" s="513">
        <f>TRUNC(IF($C167="",IFERROR(VLOOKUP($B167,SERVIÇOS!$B:$G,5,0),IFERROR(VLOOKUP($B167,$D:$K,7,0),)),0)*$G167,2)</f>
        <v>34.53</v>
      </c>
      <c r="K167" s="514">
        <f>I167+J167</f>
        <v>46.13</v>
      </c>
      <c r="L167" s="515"/>
      <c r="M167" s="471"/>
      <c r="N167" s="516"/>
      <c r="Q167" s="472"/>
      <c r="R167" s="472"/>
      <c r="S167" s="472"/>
      <c r="T167" s="472"/>
      <c r="U167" s="472"/>
      <c r="V167" s="472"/>
      <c r="W167" s="472"/>
      <c r="X167" s="472"/>
      <c r="Y167" s="472"/>
    </row>
    <row r="168" spans="1:25" x14ac:dyDescent="0.25">
      <c r="A168" s="463"/>
      <c r="B168" s="506">
        <v>88316</v>
      </c>
      <c r="C168" s="507"/>
      <c r="D168" s="508"/>
      <c r="E168" s="509" t="str">
        <f>IF($C168="",IFERROR(VLOOKUP($B168,SERVIÇOS!$B:$G,2,0),IFERROR(VLOOKUP($B168,$D:$K,2,0),"")),IFERROR(VLOOKUP($C168,INSUMOS!$A:$D,2,0),IFERROR(VLOOKUP($C168,COTAÇÕES!$B:$I,2,0),(VLOOKUP($C168,'INSUMO SINAPI - SP'!$C:$F,2,0)))))</f>
        <v>SERVENTE COM ENCARGOS COMPLEMENTARES</v>
      </c>
      <c r="F168" s="510" t="str">
        <f>IF($C168="",IFERROR(VLOOKUP($B168,SERVIÇOS!$B:$G,3,0),IFERROR(VLOOKUP($B168,$D:$K,3,0),"")),IFERROR(VLOOKUP($C168,INSUMOS!$A:$D,3,0),IFERROR(VLOOKUP($C168,COTAÇÕES!$B:$I,3,0),(VLOOKUP($C168,'INSUMO SINAPI - SP'!$C:$F,3,0)))))</f>
        <v>H</v>
      </c>
      <c r="G168" s="511">
        <v>1.25</v>
      </c>
      <c r="H168" s="512">
        <f>IF($C168="",IFERROR(VLOOKUP($B168,SERVIÇOS!$B:$G,6,0),IFERROR(VLOOKUP($B168,$D:$K,8,0),"")),IFERROR(VLOOKUP($C168,INSUMOS!$A:$D,4,0),IFERROR(VLOOKUP($C168,COTAÇÕES!$B:$I,7,0),(VLOOKUP($C168,'INSUMO SINAPI - SP'!$C:$F,4,0)))))</f>
        <v>28.71</v>
      </c>
      <c r="I168" s="513">
        <f>TRUNC(IF($C168="",IFERROR(VLOOKUP($B168,SERVIÇOS!$B:$G,4,0),IFERROR(VLOOKUP($B168,$D:$K,6,0),)),IFERROR(VLOOKUP($C168,INSUMOS!$A:$D,4,0),IFERROR(VLOOKUP($C168,COTAÇÕES!$B:$I,7,0),(VLOOKUP($C168,'INSUMO SINAPI - SP'!$C:$F,4,0)))))*$G168,2)</f>
        <v>11.5</v>
      </c>
      <c r="J168" s="513">
        <f>TRUNC(IF($C168="",IFERROR(VLOOKUP($B168,SERVIÇOS!$B:$G,5,0),IFERROR(VLOOKUP($B168,$D:$K,7,0),)),0)*$G168,2)</f>
        <v>24.38</v>
      </c>
      <c r="K168" s="514">
        <f>I168+J168</f>
        <v>35.879999999999995</v>
      </c>
      <c r="L168" s="515"/>
      <c r="M168" s="471"/>
      <c r="N168" s="516"/>
      <c r="Q168" s="472"/>
      <c r="R168" s="472"/>
      <c r="S168" s="472"/>
      <c r="T168" s="472"/>
      <c r="U168" s="472"/>
      <c r="V168" s="472"/>
      <c r="W168" s="472"/>
      <c r="X168" s="472"/>
      <c r="Y168" s="472"/>
    </row>
    <row r="169" spans="1:25" x14ac:dyDescent="0.25">
      <c r="A169" s="463"/>
      <c r="B169" s="506"/>
      <c r="C169" s="507" t="s">
        <v>12735</v>
      </c>
      <c r="D169" s="508"/>
      <c r="E169" s="518" t="s">
        <v>12736</v>
      </c>
      <c r="F169" s="519" t="s">
        <v>823</v>
      </c>
      <c r="G169" s="511">
        <v>56.25</v>
      </c>
      <c r="H169" s="520">
        <v>2</v>
      </c>
      <c r="I169" s="520">
        <f>TRUNC(H169*G169,2)</f>
        <v>112.5</v>
      </c>
      <c r="J169" s="521"/>
      <c r="K169" s="522">
        <f>I169+J169</f>
        <v>112.5</v>
      </c>
      <c r="L169" s="517" t="s">
        <v>12668</v>
      </c>
      <c r="M169" s="471"/>
      <c r="N169" s="516"/>
      <c r="Q169" s="472"/>
      <c r="R169" s="472"/>
      <c r="S169" s="472"/>
      <c r="T169" s="472"/>
      <c r="U169" s="472"/>
      <c r="V169" s="472"/>
      <c r="W169" s="472"/>
      <c r="X169" s="472"/>
      <c r="Y169" s="472"/>
    </row>
    <row r="170" spans="1:25" x14ac:dyDescent="0.25">
      <c r="A170" s="463"/>
      <c r="B170" s="526"/>
      <c r="C170" s="527"/>
      <c r="D170" s="499" t="s">
        <v>11991</v>
      </c>
      <c r="E170" s="500" t="s">
        <v>12741</v>
      </c>
      <c r="F170" s="501" t="s">
        <v>585</v>
      </c>
      <c r="G170" s="528"/>
      <c r="H170" s="503"/>
      <c r="I170" s="504">
        <f>ROUND(SUM(I171:I174),2)</f>
        <v>13.18</v>
      </c>
      <c r="J170" s="504">
        <f>ROUND(SUM(J171:J174),2)</f>
        <v>31.81</v>
      </c>
      <c r="K170" s="504">
        <f>+J170+I170</f>
        <v>44.989999999999995</v>
      </c>
      <c r="L170" s="499" t="s">
        <v>12742</v>
      </c>
      <c r="M170" s="471"/>
      <c r="N170" s="505"/>
      <c r="Q170" s="472"/>
      <c r="R170" s="472"/>
      <c r="S170" s="472"/>
      <c r="T170" s="472"/>
      <c r="U170" s="472"/>
      <c r="V170" s="472"/>
      <c r="W170" s="472"/>
      <c r="X170" s="472"/>
      <c r="Y170" s="472"/>
    </row>
    <row r="171" spans="1:25" x14ac:dyDescent="0.25">
      <c r="A171" s="463"/>
      <c r="B171" s="506"/>
      <c r="C171" s="507">
        <v>13284</v>
      </c>
      <c r="D171" s="508"/>
      <c r="E171" s="509" t="str">
        <f>IF($C171="",IFERROR(VLOOKUP($B171,SERVIÇOS!$B:$G,2,0),IFERROR(VLOOKUP($B171,$D:$K,2,0),"")),IFERROR(VLOOKUP($C171,INSUMOS!$A:$D,2,0),IFERROR(VLOOKUP($C171,COTAÇÕES!$B:$I,2,0),(VLOOKUP($C171,'INSUMO SINAPI - SP'!$C:$F,2,0)))))</f>
        <v>CIMENTO PORTLAND DE ALTO FORNO (AF) CP III-40</v>
      </c>
      <c r="F171" s="510" t="str">
        <f>IF($C171="",IFERROR(VLOOKUP($B171,SERVIÇOS!$B:$G,3,0),IFERROR(VLOOKUP($B171,$D:$K,3,0),"")),IFERROR(VLOOKUP($C171,INSUMOS!$A:$D,3,0),IFERROR(VLOOKUP($C171,COTAÇÕES!$B:$I,3,0),(VLOOKUP($C171,'INSUMO SINAPI - SP'!$C:$F,3,0)))))</f>
        <v>KG</v>
      </c>
      <c r="G171" s="511">
        <v>1.1200000000000001</v>
      </c>
      <c r="H171" s="512">
        <f>IF($C171="",IFERROR(VLOOKUP($B171,SERVIÇOS!$B:$G,6,0),IFERROR(VLOOKUP($B171,$D:$K,8,0),"")),IFERROR(VLOOKUP($C171,INSUMOS!$A:$D,4,0),IFERROR(VLOOKUP($C171,COTAÇÕES!$B:$I,7,0),(VLOOKUP($C171,'INSUMO SINAPI - SP'!$C:$F,4,0)))))</f>
        <v>0.61</v>
      </c>
      <c r="I171" s="513">
        <f>TRUNC(IF($C171="",IFERROR(VLOOKUP($B171,SERVIÇOS!$B:$G,4,0),IFERROR(VLOOKUP($B171,$D:$K,6,0),)),IFERROR(VLOOKUP($C171,INSUMOS!$A:$D,4,0),IFERROR(VLOOKUP($C171,COTAÇÕES!$B:$I,7,0),(VLOOKUP($C171,'INSUMO SINAPI - SP'!$C:$F,4,0)))))*$G171,2)</f>
        <v>0.68</v>
      </c>
      <c r="J171" s="513">
        <f>TRUNC(IF($C171="",IFERROR(VLOOKUP($B171,SERVIÇOS!$B:$G,5,0),IFERROR(VLOOKUP($B171,$D:$K,7,0),)),0)*$G171,2)</f>
        <v>0</v>
      </c>
      <c r="K171" s="514">
        <f>I171+J171</f>
        <v>0.68</v>
      </c>
      <c r="L171" s="517"/>
      <c r="M171" s="471"/>
      <c r="N171" s="516"/>
      <c r="Q171" s="472"/>
      <c r="R171" s="472"/>
      <c r="S171" s="472"/>
      <c r="T171" s="472"/>
      <c r="U171" s="472"/>
      <c r="V171" s="472"/>
      <c r="W171" s="472"/>
      <c r="X171" s="472"/>
      <c r="Y171" s="472"/>
    </row>
    <row r="172" spans="1:25" x14ac:dyDescent="0.25">
      <c r="A172" s="463"/>
      <c r="B172" s="506"/>
      <c r="C172" s="507">
        <v>367</v>
      </c>
      <c r="D172" s="508"/>
      <c r="E172" s="509" t="str">
        <f>IF($C172="",IFERROR(VLOOKUP($B172,SERVIÇOS!$B:$G,2,0),IFERROR(VLOOKUP($B172,$D:$K,2,0),"")),IFERROR(VLOOKUP($C172,INSUMOS!$A:$D,2,0),IFERROR(VLOOKUP($C172,COTAÇÕES!$B:$I,2,0),(VLOOKUP($C172,'INSUMO SINAPI - SP'!$C:$F,2,0)))))</f>
        <v>AREIA GROSSA - POSTO JAZIDA/FORNECEDOR (RETIRADO NA JAZIDA, SEM TRANSPORTE)</v>
      </c>
      <c r="F172" s="510" t="str">
        <f>IF($C172="",IFERROR(VLOOKUP($B172,SERVIÇOS!$B:$G,3,0),IFERROR(VLOOKUP($B172,$D:$K,3,0),"")),IFERROR(VLOOKUP($C172,INSUMOS!$A:$D,3,0),IFERROR(VLOOKUP($C172,COTAÇÕES!$B:$I,3,0),(VLOOKUP($C172,'INSUMO SINAPI - SP'!$C:$F,3,0)))))</f>
        <v>M3</v>
      </c>
      <c r="G172" s="511">
        <v>2E-3</v>
      </c>
      <c r="H172" s="512">
        <f>IF($C172="",IFERROR(VLOOKUP($B172,SERVIÇOS!$B:$G,6,0),IFERROR(VLOOKUP($B172,$D:$K,8,0),"")),IFERROR(VLOOKUP($C172,INSUMOS!$A:$D,4,0),IFERROR(VLOOKUP($C172,COTAÇÕES!$B:$I,7,0),(VLOOKUP($C172,'INSUMO SINAPI - SP'!$C:$F,4,0)))))</f>
        <v>120.63</v>
      </c>
      <c r="I172" s="513">
        <f>TRUNC(IF($C172="",IFERROR(VLOOKUP($B172,SERVIÇOS!$B:$G,4,0),IFERROR(VLOOKUP($B172,$D:$K,6,0),)),IFERROR(VLOOKUP($C172,INSUMOS!$A:$D,4,0),IFERROR(VLOOKUP($C172,COTAÇÕES!$B:$I,7,0),(VLOOKUP($C172,'INSUMO SINAPI - SP'!$C:$F,4,0)))))*$G172,2)</f>
        <v>0.24</v>
      </c>
      <c r="J172" s="513">
        <f>TRUNC(IF($C172="",IFERROR(VLOOKUP($B172,SERVIÇOS!$B:$G,5,0),IFERROR(VLOOKUP($B172,$D:$K,7,0),)),0)*$G172,2)</f>
        <v>0</v>
      </c>
      <c r="K172" s="514">
        <f>I172+J172</f>
        <v>0.24</v>
      </c>
      <c r="L172" s="517"/>
      <c r="M172" s="471"/>
      <c r="N172" s="516"/>
      <c r="Q172" s="472"/>
      <c r="R172" s="472"/>
      <c r="S172" s="472"/>
      <c r="T172" s="472"/>
      <c r="U172" s="472"/>
      <c r="V172" s="472"/>
      <c r="W172" s="472"/>
      <c r="X172" s="472"/>
      <c r="Y172" s="472"/>
    </row>
    <row r="173" spans="1:25" x14ac:dyDescent="0.25">
      <c r="A173" s="463"/>
      <c r="B173" s="506">
        <v>88309</v>
      </c>
      <c r="C173" s="507"/>
      <c r="D173" s="508"/>
      <c r="E173" s="509" t="str">
        <f>IF($C173="",IFERROR(VLOOKUP($B173,SERVIÇOS!$B:$G,2,0),IFERROR(VLOOKUP($B173,$D:$K,2,0),"")),IFERROR(VLOOKUP($C173,INSUMOS!$A:$D,2,0),IFERROR(VLOOKUP($C173,COTAÇÕES!$B:$I,2,0),(VLOOKUP($C173,'INSUMO SINAPI - SP'!$C:$F,2,0)))))</f>
        <v>PEDREIRO COM ENCARGOS COMPLEMENTARES</v>
      </c>
      <c r="F173" s="510" t="str">
        <f>IF($C173="",IFERROR(VLOOKUP($B173,SERVIÇOS!$B:$G,3,0),IFERROR(VLOOKUP($B173,$D:$K,3,0),"")),IFERROR(VLOOKUP($C173,INSUMOS!$A:$D,3,0),IFERROR(VLOOKUP($C173,COTAÇÕES!$B:$I,3,0),(VLOOKUP($C173,'INSUMO SINAPI - SP'!$C:$F,3,0)))))</f>
        <v>H</v>
      </c>
      <c r="G173" s="511">
        <v>0.73099999999999998</v>
      </c>
      <c r="H173" s="512">
        <f>IF($C173="",IFERROR(VLOOKUP($B173,SERVIÇOS!$B:$G,6,0),IFERROR(VLOOKUP($B173,$D:$K,8,0),"")),IFERROR(VLOOKUP($C173,INSUMOS!$A:$D,4,0),IFERROR(VLOOKUP($C173,COTAÇÕES!$B:$I,7,0),(VLOOKUP($C173,'INSUMO SINAPI - SP'!$C:$F,4,0)))))</f>
        <v>36.909999999999997</v>
      </c>
      <c r="I173" s="513">
        <f>TRUNC(IF($C173="",IFERROR(VLOOKUP($B173,SERVIÇOS!$B:$G,4,0),IFERROR(VLOOKUP($B173,$D:$K,6,0),)),IFERROR(VLOOKUP($C173,INSUMOS!$A:$D,4,0),IFERROR(VLOOKUP($C173,COTAÇÕES!$B:$I,7,0),(VLOOKUP($C173,'INSUMO SINAPI - SP'!$C:$F,4,0)))))*$G173,2)</f>
        <v>6.78</v>
      </c>
      <c r="J173" s="513">
        <f>TRUNC(IF($C173="",IFERROR(VLOOKUP($B173,SERVIÇOS!$B:$G,5,0),IFERROR(VLOOKUP($B173,$D:$K,7,0),)),0)*$G173,2)</f>
        <v>20.190000000000001</v>
      </c>
      <c r="K173" s="514">
        <f>I173+J173</f>
        <v>26.970000000000002</v>
      </c>
      <c r="L173" s="515"/>
      <c r="M173" s="471"/>
      <c r="N173" s="516"/>
      <c r="Q173" s="472"/>
      <c r="R173" s="472"/>
      <c r="S173" s="472"/>
      <c r="T173" s="472"/>
      <c r="U173" s="472"/>
      <c r="V173" s="472"/>
      <c r="W173" s="472"/>
      <c r="X173" s="472"/>
      <c r="Y173" s="472"/>
    </row>
    <row r="174" spans="1:25" x14ac:dyDescent="0.25">
      <c r="A174" s="463"/>
      <c r="B174" s="506">
        <v>88316</v>
      </c>
      <c r="C174" s="507"/>
      <c r="D174" s="508"/>
      <c r="E174" s="509" t="str">
        <f>IF($C174="",IFERROR(VLOOKUP($B174,SERVIÇOS!$B:$G,2,0),IFERROR(VLOOKUP($B174,$D:$K,2,0),"")),IFERROR(VLOOKUP($C174,INSUMOS!$A:$D,2,0),IFERROR(VLOOKUP($C174,COTAÇÕES!$B:$I,2,0),(VLOOKUP($C174,'INSUMO SINAPI - SP'!$C:$F,2,0)))))</f>
        <v>SERVENTE COM ENCARGOS COMPLEMENTARES</v>
      </c>
      <c r="F174" s="510" t="str">
        <f>IF($C174="",IFERROR(VLOOKUP($B174,SERVIÇOS!$B:$G,3,0),IFERROR(VLOOKUP($B174,$D:$K,3,0),"")),IFERROR(VLOOKUP($C174,INSUMOS!$A:$D,3,0),IFERROR(VLOOKUP($C174,COTAÇÕES!$B:$I,3,0),(VLOOKUP($C174,'INSUMO SINAPI - SP'!$C:$F,3,0)))))</f>
        <v>H</v>
      </c>
      <c r="G174" s="511">
        <v>0.59599999999999997</v>
      </c>
      <c r="H174" s="512">
        <f>IF($C174="",IFERROR(VLOOKUP($B174,SERVIÇOS!$B:$G,6,0),IFERROR(VLOOKUP($B174,$D:$K,8,0),"")),IFERROR(VLOOKUP($C174,INSUMOS!$A:$D,4,0),IFERROR(VLOOKUP($C174,COTAÇÕES!$B:$I,7,0),(VLOOKUP($C174,'INSUMO SINAPI - SP'!$C:$F,4,0)))))</f>
        <v>28.71</v>
      </c>
      <c r="I174" s="513">
        <f>TRUNC(IF($C174="",IFERROR(VLOOKUP($B174,SERVIÇOS!$B:$G,4,0),IFERROR(VLOOKUP($B174,$D:$K,6,0),)),IFERROR(VLOOKUP($C174,INSUMOS!$A:$D,4,0),IFERROR(VLOOKUP($C174,COTAÇÕES!$B:$I,7,0),(VLOOKUP($C174,'INSUMO SINAPI - SP'!$C:$F,4,0)))))*$G174,2)</f>
        <v>5.48</v>
      </c>
      <c r="J174" s="513">
        <f>TRUNC(IF($C174="",IFERROR(VLOOKUP($B174,SERVIÇOS!$B:$G,5,0),IFERROR(VLOOKUP($B174,$D:$K,7,0),)),0)*$G174,2)</f>
        <v>11.62</v>
      </c>
      <c r="K174" s="514">
        <f>I174+J174</f>
        <v>17.100000000000001</v>
      </c>
      <c r="L174" s="515"/>
      <c r="M174" s="471"/>
      <c r="N174" s="516"/>
      <c r="Q174" s="472"/>
      <c r="R174" s="472"/>
      <c r="S174" s="472"/>
      <c r="T174" s="472"/>
      <c r="U174" s="472"/>
      <c r="V174" s="472"/>
      <c r="W174" s="472"/>
      <c r="X174" s="472"/>
      <c r="Y174" s="472"/>
    </row>
    <row r="175" spans="1:25" x14ac:dyDescent="0.25">
      <c r="A175" s="463"/>
      <c r="B175" s="526"/>
      <c r="C175" s="527"/>
      <c r="D175" s="499" t="s">
        <v>12029</v>
      </c>
      <c r="E175" s="500" t="s">
        <v>12743</v>
      </c>
      <c r="F175" s="501" t="s">
        <v>12744</v>
      </c>
      <c r="G175" s="528"/>
      <c r="H175" s="503"/>
      <c r="I175" s="504">
        <f>ROUND(SUM(I176:I178),2)</f>
        <v>115.83</v>
      </c>
      <c r="J175" s="504">
        <f>ROUND(SUM(J176:J178),2)</f>
        <v>31.93</v>
      </c>
      <c r="K175" s="504">
        <f>+J175+I175</f>
        <v>147.76</v>
      </c>
      <c r="L175" s="499" t="s">
        <v>12745</v>
      </c>
      <c r="M175" s="471"/>
      <c r="N175" s="505"/>
      <c r="Q175" s="472"/>
      <c r="R175" s="472"/>
      <c r="S175" s="472"/>
      <c r="T175" s="472"/>
      <c r="U175" s="472"/>
      <c r="V175" s="472"/>
      <c r="W175" s="472"/>
      <c r="X175" s="472"/>
      <c r="Y175" s="472"/>
    </row>
    <row r="176" spans="1:25" x14ac:dyDescent="0.25">
      <c r="A176" s="463"/>
      <c r="B176" s="506">
        <v>88267</v>
      </c>
      <c r="C176" s="507"/>
      <c r="D176" s="508"/>
      <c r="E176" s="509" t="str">
        <f>IF($C176="",IFERROR(VLOOKUP($B176,SERVIÇOS!$B:$G,2,0),IFERROR(VLOOKUP($B176,$D:$K,2,0),"")),IFERROR(VLOOKUP($C176,INSUMOS!$A:$D,2,0),IFERROR(VLOOKUP($C176,COTAÇÕES!$B:$I,2,0),(VLOOKUP($C176,'INSUMO SINAPI - SP'!$C:$F,2,0)))))</f>
        <v>ENCANADOR OU BOMBEIRO HIDRÁULICO COM ENCARGOS COMPLEMENTARES</v>
      </c>
      <c r="F176" s="510" t="str">
        <f>IF($C176="",IFERROR(VLOOKUP($B176,SERVIÇOS!$B:$G,3,0),IFERROR(VLOOKUP($B176,$D:$K,3,0),"")),IFERROR(VLOOKUP($C176,INSUMOS!$A:$D,3,0),IFERROR(VLOOKUP($C176,COTAÇÕES!$B:$I,3,0),(VLOOKUP($C176,'INSUMO SINAPI - SP'!$C:$F,3,0)))))</f>
        <v>H</v>
      </c>
      <c r="G176" s="511">
        <v>0.94850000000000001</v>
      </c>
      <c r="H176" s="512">
        <f>IF($C176="",IFERROR(VLOOKUP($B176,SERVIÇOS!$B:$G,6,0),IFERROR(VLOOKUP($B176,$D:$K,8,0),"")),IFERROR(VLOOKUP($C176,INSUMOS!$A:$D,4,0),IFERROR(VLOOKUP($C176,COTAÇÕES!$B:$I,7,0),(VLOOKUP($C176,'INSUMO SINAPI - SP'!$C:$F,4,0)))))</f>
        <v>36.17</v>
      </c>
      <c r="I176" s="513">
        <f>TRUNC(IF($C176="",IFERROR(VLOOKUP($B176,SERVIÇOS!$B:$G,4,0),IFERROR(VLOOKUP($B176,$D:$K,6,0),)),IFERROR(VLOOKUP($C176,INSUMOS!$A:$D,4,0),IFERROR(VLOOKUP($C176,COTAÇÕES!$B:$I,7,0),(VLOOKUP($C176,'INSUMO SINAPI - SP'!$C:$F,4,0)))))*$G176,2)</f>
        <v>8.19</v>
      </c>
      <c r="J176" s="513">
        <f>TRUNC(IF($C176="",IFERROR(VLOOKUP($B176,SERVIÇOS!$B:$G,5,0),IFERROR(VLOOKUP($B176,$D:$K,7,0),)),0)*$G176,2)</f>
        <v>26.11</v>
      </c>
      <c r="K176" s="514">
        <f>I176+J176</f>
        <v>34.299999999999997</v>
      </c>
      <c r="L176" s="515"/>
      <c r="M176" s="471"/>
      <c r="N176" s="516"/>
      <c r="Q176" s="472"/>
      <c r="R176" s="472"/>
      <c r="S176" s="472"/>
      <c r="T176" s="472"/>
      <c r="U176" s="472"/>
      <c r="V176" s="472"/>
      <c r="W176" s="472"/>
      <c r="X176" s="472"/>
      <c r="Y176" s="472"/>
    </row>
    <row r="177" spans="1:25" x14ac:dyDescent="0.25">
      <c r="A177" s="463"/>
      <c r="B177" s="506">
        <v>88316</v>
      </c>
      <c r="C177" s="507"/>
      <c r="D177" s="508"/>
      <c r="E177" s="509" t="str">
        <f>IF($C177="",IFERROR(VLOOKUP($B177,SERVIÇOS!$B:$G,2,0),IFERROR(VLOOKUP($B177,$D:$K,2,0),"")),IFERROR(VLOOKUP($C177,INSUMOS!$A:$D,2,0),IFERROR(VLOOKUP($C177,COTAÇÕES!$B:$I,2,0),(VLOOKUP($C177,'INSUMO SINAPI - SP'!$C:$F,2,0)))))</f>
        <v>SERVENTE COM ENCARGOS COMPLEMENTARES</v>
      </c>
      <c r="F177" s="510" t="str">
        <f>IF($C177="",IFERROR(VLOOKUP($B177,SERVIÇOS!$B:$G,3,0),IFERROR(VLOOKUP($B177,$D:$K,3,0),"")),IFERROR(VLOOKUP($C177,INSUMOS!$A:$D,3,0),IFERROR(VLOOKUP($C177,COTAÇÕES!$B:$I,3,0),(VLOOKUP($C177,'INSUMO SINAPI - SP'!$C:$F,3,0)))))</f>
        <v>H</v>
      </c>
      <c r="G177" s="511">
        <v>0.29880000000000001</v>
      </c>
      <c r="H177" s="512">
        <f>IF($C177="",IFERROR(VLOOKUP($B177,SERVIÇOS!$B:$G,6,0),IFERROR(VLOOKUP($B177,$D:$K,8,0),"")),IFERROR(VLOOKUP($C177,INSUMOS!$A:$D,4,0),IFERROR(VLOOKUP($C177,COTAÇÕES!$B:$I,7,0),(VLOOKUP($C177,'INSUMO SINAPI - SP'!$C:$F,4,0)))))</f>
        <v>28.71</v>
      </c>
      <c r="I177" s="513">
        <f>TRUNC(IF($C177="",IFERROR(VLOOKUP($B177,SERVIÇOS!$B:$G,4,0),IFERROR(VLOOKUP($B177,$D:$K,6,0),)),IFERROR(VLOOKUP($C177,INSUMOS!$A:$D,4,0),IFERROR(VLOOKUP($C177,COTAÇÕES!$B:$I,7,0),(VLOOKUP($C177,'INSUMO SINAPI - SP'!$C:$F,4,0)))))*$G177,2)</f>
        <v>2.74</v>
      </c>
      <c r="J177" s="513">
        <f>TRUNC(IF($C177="",IFERROR(VLOOKUP($B177,SERVIÇOS!$B:$G,5,0),IFERROR(VLOOKUP($B177,$D:$K,7,0),)),0)*$G177,2)</f>
        <v>5.82</v>
      </c>
      <c r="K177" s="514">
        <f>I177+J177</f>
        <v>8.56</v>
      </c>
      <c r="L177" s="515"/>
      <c r="M177" s="471"/>
      <c r="N177" s="516"/>
      <c r="Q177" s="472"/>
      <c r="R177" s="472"/>
      <c r="S177" s="472"/>
      <c r="T177" s="472"/>
      <c r="U177" s="472"/>
      <c r="V177" s="472"/>
      <c r="W177" s="472"/>
      <c r="X177" s="472"/>
      <c r="Y177" s="472"/>
    </row>
    <row r="178" spans="1:25" x14ac:dyDescent="0.25">
      <c r="A178" s="463"/>
      <c r="B178" s="506"/>
      <c r="C178" s="507" t="s">
        <v>12746</v>
      </c>
      <c r="D178" s="508"/>
      <c r="E178" s="518" t="s">
        <v>12747</v>
      </c>
      <c r="F178" s="519" t="s">
        <v>580</v>
      </c>
      <c r="G178" s="511">
        <v>1</v>
      </c>
      <c r="H178" s="520">
        <v>104.9</v>
      </c>
      <c r="I178" s="520">
        <f>TRUNC(H178*G178,2)</f>
        <v>104.9</v>
      </c>
      <c r="J178" s="521"/>
      <c r="K178" s="522">
        <f>I178+J178</f>
        <v>104.9</v>
      </c>
      <c r="L178" s="517" t="s">
        <v>12668</v>
      </c>
      <c r="M178" s="471"/>
      <c r="N178" s="516"/>
      <c r="Q178" s="472"/>
      <c r="R178" s="472"/>
      <c r="S178" s="472"/>
      <c r="T178" s="472"/>
      <c r="U178" s="472"/>
      <c r="V178" s="472"/>
      <c r="W178" s="472"/>
      <c r="X178" s="472"/>
      <c r="Y178" s="472"/>
    </row>
    <row r="179" spans="1:25" x14ac:dyDescent="0.25">
      <c r="A179" s="463"/>
      <c r="B179" s="498"/>
      <c r="C179" s="498"/>
      <c r="D179" s="499" t="s">
        <v>12102</v>
      </c>
      <c r="E179" s="500" t="s">
        <v>12748</v>
      </c>
      <c r="F179" s="501" t="s">
        <v>585</v>
      </c>
      <c r="G179" s="502"/>
      <c r="H179" s="503"/>
      <c r="I179" s="504">
        <f>ROUND(SUM(I180:I184),2)</f>
        <v>12.57</v>
      </c>
      <c r="J179" s="504">
        <f>ROUND(SUM(J180:J184),2)</f>
        <v>19.440000000000001</v>
      </c>
      <c r="K179" s="504">
        <f>+J179+I179</f>
        <v>32.010000000000005</v>
      </c>
      <c r="L179" s="523" t="s">
        <v>12749</v>
      </c>
      <c r="M179" s="471"/>
      <c r="N179" s="505"/>
      <c r="Q179" s="472"/>
      <c r="R179" s="472"/>
      <c r="S179" s="472"/>
      <c r="T179" s="472"/>
      <c r="U179" s="472"/>
      <c r="V179" s="472"/>
      <c r="W179" s="472"/>
      <c r="X179" s="472"/>
      <c r="Y179" s="472"/>
    </row>
    <row r="180" spans="1:25" x14ac:dyDescent="0.25">
      <c r="A180" s="463"/>
      <c r="B180" s="506">
        <v>88267</v>
      </c>
      <c r="C180" s="507"/>
      <c r="D180" s="508"/>
      <c r="E180" s="509" t="str">
        <f>IF($C180="",IFERROR(VLOOKUP($B180,SERVIÇOS!$B:$G,2,0),IFERROR(VLOOKUP($B180,$D:$K,2,0),"")),IFERROR(VLOOKUP($C180,INSUMOS!$A:$D,2,0),IFERROR(VLOOKUP($C180,COTAÇÕES!$B:$I,2,0),(VLOOKUP($C180,'INSUMO SINAPI - SP'!$C:$F,2,0)))))</f>
        <v>ENCANADOR OU BOMBEIRO HIDRÁULICO COM ENCARGOS COMPLEMENTARES</v>
      </c>
      <c r="F180" s="510" t="str">
        <f>IF($C180="",IFERROR(VLOOKUP($B180,SERVIÇOS!$B:$G,3,0),IFERROR(VLOOKUP($B180,$D:$K,3,0),"")),IFERROR(VLOOKUP($C180,INSUMOS!$A:$D,3,0),IFERROR(VLOOKUP($C180,COTAÇÕES!$B:$I,3,0),(VLOOKUP($C180,'INSUMO SINAPI - SP'!$C:$F,3,0)))))</f>
        <v>H</v>
      </c>
      <c r="G180" s="511">
        <v>0.4</v>
      </c>
      <c r="H180" s="512">
        <f>IF($C180="",IFERROR(VLOOKUP($B180,SERVIÇOS!$B:$G,6,0),IFERROR(VLOOKUP($B180,$D:$K,8,0),"")),IFERROR(VLOOKUP($C180,INSUMOS!$A:$D,4,0),IFERROR(VLOOKUP($C180,COTAÇÕES!$B:$I,7,0),(VLOOKUP($C180,'INSUMO SINAPI - SP'!$C:$F,4,0)))))</f>
        <v>36.17</v>
      </c>
      <c r="I180" s="513">
        <f>TRUNC(IF($C180="",IFERROR(VLOOKUP($B180,SERVIÇOS!$B:$G,4,0),IFERROR(VLOOKUP($B180,$D:$K,6,0),)),IFERROR(VLOOKUP($C180,INSUMOS!$A:$D,4,0),IFERROR(VLOOKUP($C180,COTAÇÕES!$B:$I,7,0),(VLOOKUP($C180,'INSUMO SINAPI - SP'!$C:$F,4,0)))))*$G180,2)</f>
        <v>3.45</v>
      </c>
      <c r="J180" s="513">
        <f>TRUNC(IF($C180="",IFERROR(VLOOKUP($B180,SERVIÇOS!$B:$G,5,0),IFERROR(VLOOKUP($B180,$D:$K,7,0),)),0)*$G180,2)</f>
        <v>11.01</v>
      </c>
      <c r="K180" s="514">
        <f>I180+J180</f>
        <v>14.46</v>
      </c>
      <c r="L180" s="515"/>
      <c r="M180" s="471"/>
      <c r="N180" s="516"/>
      <c r="Q180" s="472"/>
      <c r="R180" s="472"/>
      <c r="S180" s="472"/>
      <c r="T180" s="472"/>
      <c r="U180" s="472"/>
      <c r="V180" s="472"/>
      <c r="W180" s="472"/>
      <c r="X180" s="472"/>
      <c r="Y180" s="472"/>
    </row>
    <row r="181" spans="1:25" x14ac:dyDescent="0.25">
      <c r="A181" s="463"/>
      <c r="B181" s="506">
        <v>88248</v>
      </c>
      <c r="C181" s="507"/>
      <c r="D181" s="508"/>
      <c r="E181" s="509" t="str">
        <f>IF($C181="",IFERROR(VLOOKUP($B181,SERVIÇOS!$B:$G,2,0),IFERROR(VLOOKUP($B181,$D:$K,2,0),"")),IFERROR(VLOOKUP($C181,INSUMOS!$A:$D,2,0),IFERROR(VLOOKUP($C181,COTAÇÕES!$B:$I,2,0),(VLOOKUP($C181,'INSUMO SINAPI - SP'!$C:$F,2,0)))))</f>
        <v>AUXILIAR DE ENCANADOR OU BOMBEIRO HIDRÁULICO COM ENCARGOS COMPLEMENTARES</v>
      </c>
      <c r="F181" s="510" t="str">
        <f>IF($C181="",IFERROR(VLOOKUP($B181,SERVIÇOS!$B:$G,3,0),IFERROR(VLOOKUP($B181,$D:$K,3,0),"")),IFERROR(VLOOKUP($C181,INSUMOS!$A:$D,3,0),IFERROR(VLOOKUP($C181,COTAÇÕES!$B:$I,3,0),(VLOOKUP($C181,'INSUMO SINAPI - SP'!$C:$F,3,0)))))</f>
        <v>H</v>
      </c>
      <c r="G181" s="511">
        <v>0.4</v>
      </c>
      <c r="H181" s="512">
        <f>IF($C181="",IFERROR(VLOOKUP($B181,SERVIÇOS!$B:$G,6,0),IFERROR(VLOOKUP($B181,$D:$K,8,0),"")),IFERROR(VLOOKUP($C181,INSUMOS!$A:$D,4,0),IFERROR(VLOOKUP($C181,COTAÇÕES!$B:$I,7,0),(VLOOKUP($C181,'INSUMO SINAPI - SP'!$C:$F,4,0)))))</f>
        <v>29.72</v>
      </c>
      <c r="I181" s="513">
        <f>TRUNC(IF($C181="",IFERROR(VLOOKUP($B181,SERVIÇOS!$B:$G,4,0),IFERROR(VLOOKUP($B181,$D:$K,6,0),)),IFERROR(VLOOKUP($C181,INSUMOS!$A:$D,4,0),IFERROR(VLOOKUP($C181,COTAÇÕES!$B:$I,7,0),(VLOOKUP($C181,'INSUMO SINAPI - SP'!$C:$F,4,0)))))*$G181,2)</f>
        <v>3.45</v>
      </c>
      <c r="J181" s="513">
        <f>TRUNC(IF($C181="",IFERROR(VLOOKUP($B181,SERVIÇOS!$B:$G,5,0),IFERROR(VLOOKUP($B181,$D:$K,7,0),)),0)*$G181,2)</f>
        <v>8.43</v>
      </c>
      <c r="K181" s="514">
        <f>I181+J181</f>
        <v>11.879999999999999</v>
      </c>
      <c r="L181" s="515"/>
      <c r="M181" s="471"/>
      <c r="N181" s="516"/>
      <c r="Q181" s="472"/>
      <c r="R181" s="472"/>
      <c r="S181" s="472"/>
      <c r="T181" s="472"/>
      <c r="U181" s="472"/>
      <c r="V181" s="472"/>
      <c r="W181" s="472"/>
      <c r="X181" s="472"/>
      <c r="Y181" s="472"/>
    </row>
    <row r="182" spans="1:25" x14ac:dyDescent="0.25">
      <c r="A182" s="463"/>
      <c r="B182" s="506"/>
      <c r="C182" s="507">
        <v>20083</v>
      </c>
      <c r="D182" s="508"/>
      <c r="E182" s="509" t="str">
        <f>IF($C182="",IFERROR(VLOOKUP($B182,SERVIÇOS!$B:$G,2,0),IFERROR(VLOOKUP($B182,$D:$K,2,0),"")),IFERROR(VLOOKUP($C182,INSUMOS!$A:$D,2,0),IFERROR(VLOOKUP($C182,COTAÇÕES!$B:$I,2,0),(VLOOKUP($C182,'INSUMO SINAPI - SP'!$C:$F,2,0)))))</f>
        <v>SOLUCAO PREPARADORA / LIMPADORA PARA PVC, FRASCO COM 1000 CM3</v>
      </c>
      <c r="F182" s="510" t="str">
        <f>IF($C182="",IFERROR(VLOOKUP($B182,SERVIÇOS!$B:$G,3,0),IFERROR(VLOOKUP($B182,$D:$K,3,0),"")),IFERROR(VLOOKUP($C182,INSUMOS!$A:$D,3,0),IFERROR(VLOOKUP($C182,COTAÇÕES!$B:$I,3,0),(VLOOKUP($C182,'INSUMO SINAPI - SP'!$C:$F,3,0)))))</f>
        <v>UN</v>
      </c>
      <c r="G182" s="511">
        <v>2.9999999999999997E-4</v>
      </c>
      <c r="H182" s="512">
        <f>IF($C182="",IFERROR(VLOOKUP($B182,SERVIÇOS!$B:$G,6,0),IFERROR(VLOOKUP($B182,$D:$K,8,0),"")),IFERROR(VLOOKUP($C182,INSUMOS!$A:$D,4,0),IFERROR(VLOOKUP($C182,COTAÇÕES!$B:$I,7,0),(VLOOKUP($C182,'INSUMO SINAPI - SP'!$C:$F,4,0)))))</f>
        <v>83.68</v>
      </c>
      <c r="I182" s="513">
        <f>TRUNC(IF($C182="",IFERROR(VLOOKUP($B182,SERVIÇOS!$B:$G,4,0),IFERROR(VLOOKUP($B182,$D:$K,6,0),)),IFERROR(VLOOKUP($C182,INSUMOS!$A:$D,4,0),IFERROR(VLOOKUP($C182,COTAÇÕES!$B:$I,7,0),(VLOOKUP($C182,'INSUMO SINAPI - SP'!$C:$F,4,0)))))*$G182,2)</f>
        <v>0.02</v>
      </c>
      <c r="J182" s="513">
        <f>TRUNC(IF($C182="",IFERROR(VLOOKUP($B182,SERVIÇOS!$B:$G,5,0),IFERROR(VLOOKUP($B182,$D:$K,7,0),)),0)*$G182,2)</f>
        <v>0</v>
      </c>
      <c r="K182" s="514">
        <f>I182+J182</f>
        <v>0.02</v>
      </c>
      <c r="L182" s="517"/>
      <c r="M182" s="471"/>
      <c r="N182" s="516"/>
      <c r="Q182" s="472"/>
      <c r="R182" s="472"/>
      <c r="S182" s="472"/>
      <c r="T182" s="472"/>
      <c r="U182" s="472"/>
      <c r="V182" s="472"/>
      <c r="W182" s="472"/>
      <c r="X182" s="472"/>
      <c r="Y182" s="472"/>
    </row>
    <row r="183" spans="1:25" x14ac:dyDescent="0.25">
      <c r="A183" s="463"/>
      <c r="B183" s="506"/>
      <c r="C183" s="507">
        <v>122</v>
      </c>
      <c r="D183" s="508"/>
      <c r="E183" s="509" t="str">
        <f>IF($C183="",IFERROR(VLOOKUP($B183,SERVIÇOS!$B:$G,2,0),IFERROR(VLOOKUP($B183,$D:$K,2,0),"")),IFERROR(VLOOKUP($C183,INSUMOS!$A:$D,2,0),IFERROR(VLOOKUP($C183,COTAÇÕES!$B:$I,2,0),(VLOOKUP($C183,'INSUMO SINAPI - SP'!$C:$F,2,0)))))</f>
        <v>ADESIVO PLASTICO PARA PVC, FRASCO COM *850* GR</v>
      </c>
      <c r="F183" s="510" t="str">
        <f>IF($C183="",IFERROR(VLOOKUP($B183,SERVIÇOS!$B:$G,3,0),IFERROR(VLOOKUP($B183,$D:$K,3,0),"")),IFERROR(VLOOKUP($C183,INSUMOS!$A:$D,3,0),IFERROR(VLOOKUP($C183,COTAÇÕES!$B:$I,3,0),(VLOOKUP($C183,'INSUMO SINAPI - SP'!$C:$F,3,0)))))</f>
        <v>UN</v>
      </c>
      <c r="G183" s="511">
        <v>8.0000000000000004E-4</v>
      </c>
      <c r="H183" s="512">
        <f>IF($C183="",IFERROR(VLOOKUP($B183,SERVIÇOS!$B:$G,6,0),IFERROR(VLOOKUP($B183,$D:$K,8,0),"")),IFERROR(VLOOKUP($C183,INSUMOS!$A:$D,4,0),IFERROR(VLOOKUP($C183,COTAÇÕES!$B:$I,7,0),(VLOOKUP($C183,'INSUMO SINAPI - SP'!$C:$F,4,0)))))</f>
        <v>73.86</v>
      </c>
      <c r="I183" s="513">
        <f>TRUNC(IF($C183="",IFERROR(VLOOKUP($B183,SERVIÇOS!$B:$G,4,0),IFERROR(VLOOKUP($B183,$D:$K,6,0),)),IFERROR(VLOOKUP($C183,INSUMOS!$A:$D,4,0),IFERROR(VLOOKUP($C183,COTAÇÕES!$B:$I,7,0),(VLOOKUP($C183,'INSUMO SINAPI - SP'!$C:$F,4,0)))))*$G183,2)</f>
        <v>0.05</v>
      </c>
      <c r="J183" s="513">
        <f>TRUNC(IF($C183="",IFERROR(VLOOKUP($B183,SERVIÇOS!$B:$G,5,0),IFERROR(VLOOKUP($B183,$D:$K,7,0),)),0)*$G183,2)</f>
        <v>0</v>
      </c>
      <c r="K183" s="514">
        <f>I183+J183</f>
        <v>0.05</v>
      </c>
      <c r="L183" s="517"/>
      <c r="M183" s="471"/>
      <c r="N183" s="516"/>
      <c r="Q183" s="472"/>
      <c r="R183" s="472"/>
      <c r="S183" s="472"/>
      <c r="T183" s="472"/>
      <c r="U183" s="472"/>
      <c r="V183" s="472"/>
      <c r="W183" s="472"/>
      <c r="X183" s="472"/>
      <c r="Y183" s="472"/>
    </row>
    <row r="184" spans="1:25" x14ac:dyDescent="0.25">
      <c r="A184" s="463"/>
      <c r="B184" s="506"/>
      <c r="C184" s="507">
        <v>9868</v>
      </c>
      <c r="D184" s="508"/>
      <c r="E184" s="509" t="str">
        <f>IF($C184="",IFERROR(VLOOKUP($B184,SERVIÇOS!$B:$G,2,0),IFERROR(VLOOKUP($B184,$D:$K,2,0),"")),IFERROR(VLOOKUP($C184,INSUMOS!$A:$D,2,0),IFERROR(VLOOKUP($C184,COTAÇÕES!$B:$I,2,0),(VLOOKUP($C184,'INSUMO SINAPI - SP'!$C:$F,2,0)))))</f>
        <v>TUBO PVC, SOLDAVEL, DE 25 MM, AGUA FRIA (NBR-5648)</v>
      </c>
      <c r="F184" s="510" t="str">
        <f>IF($C184="",IFERROR(VLOOKUP($B184,SERVIÇOS!$B:$G,3,0),IFERROR(VLOOKUP($B184,$D:$K,3,0),"")),IFERROR(VLOOKUP($C184,INSUMOS!$A:$D,3,0),IFERROR(VLOOKUP($C184,COTAÇÕES!$B:$I,3,0),(VLOOKUP($C184,'INSUMO SINAPI - SP'!$C:$F,3,0)))))</f>
        <v>M</v>
      </c>
      <c r="G184" s="511">
        <v>1.6</v>
      </c>
      <c r="H184" s="512">
        <f>IF($C184="",IFERROR(VLOOKUP($B184,SERVIÇOS!$B:$G,6,0),IFERROR(VLOOKUP($B184,$D:$K,8,0),"")),IFERROR(VLOOKUP($C184,INSUMOS!$A:$D,4,0),IFERROR(VLOOKUP($C184,COTAÇÕES!$B:$I,7,0),(VLOOKUP($C184,'INSUMO SINAPI - SP'!$C:$F,4,0)))))</f>
        <v>3.5</v>
      </c>
      <c r="I184" s="513">
        <f>TRUNC(IF($C184="",IFERROR(VLOOKUP($B184,SERVIÇOS!$B:$G,4,0),IFERROR(VLOOKUP($B184,$D:$K,6,0),)),IFERROR(VLOOKUP($C184,INSUMOS!$A:$D,4,0),IFERROR(VLOOKUP($C184,COTAÇÕES!$B:$I,7,0),(VLOOKUP($C184,'INSUMO SINAPI - SP'!$C:$F,4,0)))))*$G184,2)</f>
        <v>5.6</v>
      </c>
      <c r="J184" s="513">
        <f>TRUNC(IF($C184="",IFERROR(VLOOKUP($B184,SERVIÇOS!$B:$G,5,0),IFERROR(VLOOKUP($B184,$D:$K,7,0),)),0)*$G184,2)</f>
        <v>0</v>
      </c>
      <c r="K184" s="514">
        <f>I184+J184</f>
        <v>5.6</v>
      </c>
      <c r="L184" s="517"/>
      <c r="M184" s="471"/>
      <c r="N184" s="516"/>
      <c r="Q184" s="472"/>
      <c r="R184" s="472"/>
      <c r="S184" s="472"/>
      <c r="T184" s="472"/>
      <c r="U184" s="472"/>
      <c r="V184" s="472"/>
      <c r="W184" s="472"/>
      <c r="X184" s="472"/>
      <c r="Y184" s="472"/>
    </row>
    <row r="185" spans="1:25" x14ac:dyDescent="0.25">
      <c r="A185" s="463"/>
      <c r="B185" s="498"/>
      <c r="C185" s="498"/>
      <c r="D185" s="499" t="s">
        <v>12103</v>
      </c>
      <c r="E185" s="500" t="s">
        <v>12750</v>
      </c>
      <c r="F185" s="501" t="s">
        <v>585</v>
      </c>
      <c r="G185" s="502"/>
      <c r="H185" s="503"/>
      <c r="I185" s="504">
        <f>ROUND(SUM(I186:I190),2)</f>
        <v>19.2</v>
      </c>
      <c r="J185" s="504">
        <f>ROUND(SUM(J186:J190),2)</f>
        <v>21.86</v>
      </c>
      <c r="K185" s="504">
        <f>+J185+I185</f>
        <v>41.06</v>
      </c>
      <c r="L185" s="523" t="s">
        <v>12751</v>
      </c>
      <c r="M185" s="471"/>
      <c r="N185" s="505"/>
      <c r="Q185" s="472"/>
      <c r="R185" s="472"/>
      <c r="S185" s="472"/>
      <c r="T185" s="472"/>
      <c r="U185" s="472"/>
      <c r="V185" s="472"/>
      <c r="W185" s="472"/>
      <c r="X185" s="472"/>
      <c r="Y185" s="472"/>
    </row>
    <row r="186" spans="1:25" x14ac:dyDescent="0.25">
      <c r="A186" s="463"/>
      <c r="B186" s="506">
        <v>88267</v>
      </c>
      <c r="C186" s="507"/>
      <c r="D186" s="508"/>
      <c r="E186" s="509" t="str">
        <f>IF($C186="",IFERROR(VLOOKUP($B186,SERVIÇOS!$B:$G,2,0),IFERROR(VLOOKUP($B186,$D:$K,2,0),"")),IFERROR(VLOOKUP($C186,INSUMOS!$A:$D,2,0),IFERROR(VLOOKUP($C186,COTAÇÕES!$B:$I,2,0),(VLOOKUP($C186,'INSUMO SINAPI - SP'!$C:$F,2,0)))))</f>
        <v>ENCANADOR OU BOMBEIRO HIDRÁULICO COM ENCARGOS COMPLEMENTARES</v>
      </c>
      <c r="F186" s="510" t="str">
        <f>IF($C186="",IFERROR(VLOOKUP($B186,SERVIÇOS!$B:$G,3,0),IFERROR(VLOOKUP($B186,$D:$K,3,0),"")),IFERROR(VLOOKUP($C186,INSUMOS!$A:$D,3,0),IFERROR(VLOOKUP($C186,COTAÇÕES!$B:$I,3,0),(VLOOKUP($C186,'INSUMO SINAPI - SP'!$C:$F,3,0)))))</f>
        <v>H</v>
      </c>
      <c r="G186" s="511">
        <v>0.45</v>
      </c>
      <c r="H186" s="512">
        <f>IF($C186="",IFERROR(VLOOKUP($B186,SERVIÇOS!$B:$G,6,0),IFERROR(VLOOKUP($B186,$D:$K,8,0),"")),IFERROR(VLOOKUP($C186,INSUMOS!$A:$D,4,0),IFERROR(VLOOKUP($C186,COTAÇÕES!$B:$I,7,0),(VLOOKUP($C186,'INSUMO SINAPI - SP'!$C:$F,4,0)))))</f>
        <v>36.17</v>
      </c>
      <c r="I186" s="513">
        <f>TRUNC(IF($C186="",IFERROR(VLOOKUP($B186,SERVIÇOS!$B:$G,4,0),IFERROR(VLOOKUP($B186,$D:$K,6,0),)),IFERROR(VLOOKUP($C186,INSUMOS!$A:$D,4,0),IFERROR(VLOOKUP($C186,COTAÇÕES!$B:$I,7,0),(VLOOKUP($C186,'INSUMO SINAPI - SP'!$C:$F,4,0)))))*$G186,2)</f>
        <v>3.88</v>
      </c>
      <c r="J186" s="513">
        <f>TRUNC(IF($C186="",IFERROR(VLOOKUP($B186,SERVIÇOS!$B:$G,5,0),IFERROR(VLOOKUP($B186,$D:$K,7,0),)),0)*$G186,2)</f>
        <v>12.38</v>
      </c>
      <c r="K186" s="514">
        <f>I186+J186</f>
        <v>16.260000000000002</v>
      </c>
      <c r="L186" s="515"/>
      <c r="M186" s="471"/>
      <c r="N186" s="516"/>
      <c r="Q186" s="472"/>
      <c r="R186" s="472"/>
      <c r="S186" s="472"/>
      <c r="T186" s="472"/>
      <c r="U186" s="472"/>
      <c r="V186" s="472"/>
      <c r="W186" s="472"/>
      <c r="X186" s="472"/>
      <c r="Y186" s="472"/>
    </row>
    <row r="187" spans="1:25" x14ac:dyDescent="0.25">
      <c r="A187" s="463"/>
      <c r="B187" s="506">
        <v>88248</v>
      </c>
      <c r="C187" s="507"/>
      <c r="D187" s="508"/>
      <c r="E187" s="509" t="str">
        <f>IF($C187="",IFERROR(VLOOKUP($B187,SERVIÇOS!$B:$G,2,0),IFERROR(VLOOKUP($B187,$D:$K,2,0),"")),IFERROR(VLOOKUP($C187,INSUMOS!$A:$D,2,0),IFERROR(VLOOKUP($C187,COTAÇÕES!$B:$I,2,0),(VLOOKUP($C187,'INSUMO SINAPI - SP'!$C:$F,2,0)))))</f>
        <v>AUXILIAR DE ENCANADOR OU BOMBEIRO HIDRÁULICO COM ENCARGOS COMPLEMENTARES</v>
      </c>
      <c r="F187" s="510" t="str">
        <f>IF($C187="",IFERROR(VLOOKUP($B187,SERVIÇOS!$B:$G,3,0),IFERROR(VLOOKUP($B187,$D:$K,3,0),"")),IFERROR(VLOOKUP($C187,INSUMOS!$A:$D,3,0),IFERROR(VLOOKUP($C187,COTAÇÕES!$B:$I,3,0),(VLOOKUP($C187,'INSUMO SINAPI - SP'!$C:$F,3,0)))))</f>
        <v>H</v>
      </c>
      <c r="G187" s="511">
        <v>0.45</v>
      </c>
      <c r="H187" s="512">
        <f>IF($C187="",IFERROR(VLOOKUP($B187,SERVIÇOS!$B:$G,6,0),IFERROR(VLOOKUP($B187,$D:$K,8,0),"")),IFERROR(VLOOKUP($C187,INSUMOS!$A:$D,4,0),IFERROR(VLOOKUP($C187,COTAÇÕES!$B:$I,7,0),(VLOOKUP($C187,'INSUMO SINAPI - SP'!$C:$F,4,0)))))</f>
        <v>29.72</v>
      </c>
      <c r="I187" s="513">
        <f>TRUNC(IF($C187="",IFERROR(VLOOKUP($B187,SERVIÇOS!$B:$G,4,0),IFERROR(VLOOKUP($B187,$D:$K,6,0),)),IFERROR(VLOOKUP($C187,INSUMOS!$A:$D,4,0),IFERROR(VLOOKUP($C187,COTAÇÕES!$B:$I,7,0),(VLOOKUP($C187,'INSUMO SINAPI - SP'!$C:$F,4,0)))))*$G187,2)</f>
        <v>3.88</v>
      </c>
      <c r="J187" s="513">
        <f>TRUNC(IF($C187="",IFERROR(VLOOKUP($B187,SERVIÇOS!$B:$G,5,0),IFERROR(VLOOKUP($B187,$D:$K,7,0),)),0)*$G187,2)</f>
        <v>9.48</v>
      </c>
      <c r="K187" s="514">
        <f>I187+J187</f>
        <v>13.36</v>
      </c>
      <c r="L187" s="515"/>
      <c r="M187" s="471"/>
      <c r="N187" s="516"/>
      <c r="Q187" s="472"/>
      <c r="R187" s="472"/>
      <c r="S187" s="472"/>
      <c r="T187" s="472"/>
      <c r="U187" s="472"/>
      <c r="V187" s="472"/>
      <c r="W187" s="472"/>
      <c r="X187" s="472"/>
      <c r="Y187" s="472"/>
    </row>
    <row r="188" spans="1:25" x14ac:dyDescent="0.25">
      <c r="A188" s="463"/>
      <c r="B188" s="506"/>
      <c r="C188" s="507">
        <v>20083</v>
      </c>
      <c r="D188" s="508"/>
      <c r="E188" s="509" t="str">
        <f>IF($C188="",IFERROR(VLOOKUP($B188,SERVIÇOS!$B:$G,2,0),IFERROR(VLOOKUP($B188,$D:$K,2,0),"")),IFERROR(VLOOKUP($C188,INSUMOS!$A:$D,2,0),IFERROR(VLOOKUP($C188,COTAÇÕES!$B:$I,2,0),(VLOOKUP($C188,'INSUMO SINAPI - SP'!$C:$F,2,0)))))</f>
        <v>SOLUCAO PREPARADORA / LIMPADORA PARA PVC, FRASCO COM 1000 CM3</v>
      </c>
      <c r="F188" s="510" t="str">
        <f>IF($C188="",IFERROR(VLOOKUP($B188,SERVIÇOS!$B:$G,3,0),IFERROR(VLOOKUP($B188,$D:$K,3,0),"")),IFERROR(VLOOKUP($C188,INSUMOS!$A:$D,3,0),IFERROR(VLOOKUP($C188,COTAÇÕES!$B:$I,3,0),(VLOOKUP($C188,'INSUMO SINAPI - SP'!$C:$F,3,0)))))</f>
        <v>UN</v>
      </c>
      <c r="G188" s="511">
        <v>5.0000000000000001E-4</v>
      </c>
      <c r="H188" s="512">
        <f>IF($C188="",IFERROR(VLOOKUP($B188,SERVIÇOS!$B:$G,6,0),IFERROR(VLOOKUP($B188,$D:$K,8,0),"")),IFERROR(VLOOKUP($C188,INSUMOS!$A:$D,4,0),IFERROR(VLOOKUP($C188,COTAÇÕES!$B:$I,7,0),(VLOOKUP($C188,'INSUMO SINAPI - SP'!$C:$F,4,0)))))</f>
        <v>83.68</v>
      </c>
      <c r="I188" s="513">
        <f>TRUNC(IF($C188="",IFERROR(VLOOKUP($B188,SERVIÇOS!$B:$G,4,0),IFERROR(VLOOKUP($B188,$D:$K,6,0),)),IFERROR(VLOOKUP($C188,INSUMOS!$A:$D,4,0),IFERROR(VLOOKUP($C188,COTAÇÕES!$B:$I,7,0),(VLOOKUP($C188,'INSUMO SINAPI - SP'!$C:$F,4,0)))))*$G188,2)</f>
        <v>0.04</v>
      </c>
      <c r="J188" s="513">
        <f>TRUNC(IF($C188="",IFERROR(VLOOKUP($B188,SERVIÇOS!$B:$G,5,0),IFERROR(VLOOKUP($B188,$D:$K,7,0),)),0)*$G188,2)</f>
        <v>0</v>
      </c>
      <c r="K188" s="514">
        <f>I188+J188</f>
        <v>0.04</v>
      </c>
      <c r="L188" s="517"/>
      <c r="M188" s="471"/>
      <c r="N188" s="516"/>
      <c r="Q188" s="472"/>
      <c r="R188" s="472"/>
      <c r="S188" s="472"/>
      <c r="T188" s="472"/>
      <c r="U188" s="472"/>
      <c r="V188" s="472"/>
      <c r="W188" s="472"/>
      <c r="X188" s="472"/>
      <c r="Y188" s="472"/>
    </row>
    <row r="189" spans="1:25" x14ac:dyDescent="0.25">
      <c r="A189" s="463"/>
      <c r="B189" s="506"/>
      <c r="C189" s="507">
        <v>122</v>
      </c>
      <c r="D189" s="508"/>
      <c r="E189" s="509" t="str">
        <f>IF($C189="",IFERROR(VLOOKUP($B189,SERVIÇOS!$B:$G,2,0),IFERROR(VLOOKUP($B189,$D:$K,2,0),"")),IFERROR(VLOOKUP($C189,INSUMOS!$A:$D,2,0),IFERROR(VLOOKUP($C189,COTAÇÕES!$B:$I,2,0),(VLOOKUP($C189,'INSUMO SINAPI - SP'!$C:$F,2,0)))))</f>
        <v>ADESIVO PLASTICO PARA PVC, FRASCO COM *850* GR</v>
      </c>
      <c r="F189" s="510" t="str">
        <f>IF($C189="",IFERROR(VLOOKUP($B189,SERVIÇOS!$B:$G,3,0),IFERROR(VLOOKUP($B189,$D:$K,3,0),"")),IFERROR(VLOOKUP($C189,INSUMOS!$A:$D,3,0),IFERROR(VLOOKUP($C189,COTAÇÕES!$B:$I,3,0),(VLOOKUP($C189,'INSUMO SINAPI - SP'!$C:$F,3,0)))))</f>
        <v>UN</v>
      </c>
      <c r="G189" s="511">
        <v>1.1000000000000001E-3</v>
      </c>
      <c r="H189" s="512">
        <f>IF($C189="",IFERROR(VLOOKUP($B189,SERVIÇOS!$B:$G,6,0),IFERROR(VLOOKUP($B189,$D:$K,8,0),"")),IFERROR(VLOOKUP($C189,INSUMOS!$A:$D,4,0),IFERROR(VLOOKUP($C189,COTAÇÕES!$B:$I,7,0),(VLOOKUP($C189,'INSUMO SINAPI - SP'!$C:$F,4,0)))))</f>
        <v>73.86</v>
      </c>
      <c r="I189" s="513">
        <f>TRUNC(IF($C189="",IFERROR(VLOOKUP($B189,SERVIÇOS!$B:$G,4,0),IFERROR(VLOOKUP($B189,$D:$K,6,0),)),IFERROR(VLOOKUP($C189,INSUMOS!$A:$D,4,0),IFERROR(VLOOKUP($C189,COTAÇÕES!$B:$I,7,0),(VLOOKUP($C189,'INSUMO SINAPI - SP'!$C:$F,4,0)))))*$G189,2)</f>
        <v>0.08</v>
      </c>
      <c r="J189" s="513">
        <f>TRUNC(IF($C189="",IFERROR(VLOOKUP($B189,SERVIÇOS!$B:$G,5,0),IFERROR(VLOOKUP($B189,$D:$K,7,0),)),0)*$G189,2)</f>
        <v>0</v>
      </c>
      <c r="K189" s="514">
        <f>I189+J189</f>
        <v>0.08</v>
      </c>
      <c r="L189" s="517"/>
      <c r="M189" s="471"/>
      <c r="N189" s="516"/>
      <c r="Q189" s="472"/>
      <c r="R189" s="472"/>
      <c r="S189" s="472"/>
      <c r="T189" s="472"/>
      <c r="U189" s="472"/>
      <c r="V189" s="472"/>
      <c r="W189" s="472"/>
      <c r="X189" s="472"/>
      <c r="Y189" s="472"/>
    </row>
    <row r="190" spans="1:25" x14ac:dyDescent="0.25">
      <c r="A190" s="463"/>
      <c r="B190" s="506"/>
      <c r="C190" s="507">
        <v>9869</v>
      </c>
      <c r="D190" s="508"/>
      <c r="E190" s="509" t="str">
        <f>IF($C190="",IFERROR(VLOOKUP($B190,SERVIÇOS!$B:$G,2,0),IFERROR(VLOOKUP($B190,$D:$K,2,0),"")),IFERROR(VLOOKUP($C190,INSUMOS!$A:$D,2,0),IFERROR(VLOOKUP($C190,COTAÇÕES!$B:$I,2,0),(VLOOKUP($C190,'INSUMO SINAPI - SP'!$C:$F,2,0)))))</f>
        <v>TUBO PVC, SOLDAVEL, DE 32 MM, AGUA FRIA (NBR-5648)</v>
      </c>
      <c r="F190" s="510" t="str">
        <f>IF($C190="",IFERROR(VLOOKUP($B190,SERVIÇOS!$B:$G,3,0),IFERROR(VLOOKUP($B190,$D:$K,3,0),"")),IFERROR(VLOOKUP($C190,INSUMOS!$A:$D,3,0),IFERROR(VLOOKUP($C190,COTAÇÕES!$B:$I,3,0),(VLOOKUP($C190,'INSUMO SINAPI - SP'!$C:$F,3,0)))))</f>
        <v>M</v>
      </c>
      <c r="G190" s="511">
        <v>1.5</v>
      </c>
      <c r="H190" s="512">
        <f>IF($C190="",IFERROR(VLOOKUP($B190,SERVIÇOS!$B:$G,6,0),IFERROR(VLOOKUP($B190,$D:$K,8,0),"")),IFERROR(VLOOKUP($C190,INSUMOS!$A:$D,4,0),IFERROR(VLOOKUP($C190,COTAÇÕES!$B:$I,7,0),(VLOOKUP($C190,'INSUMO SINAPI - SP'!$C:$F,4,0)))))</f>
        <v>7.55</v>
      </c>
      <c r="I190" s="513">
        <f>TRUNC(IF($C190="",IFERROR(VLOOKUP($B190,SERVIÇOS!$B:$G,4,0),IFERROR(VLOOKUP($B190,$D:$K,6,0),)),IFERROR(VLOOKUP($C190,INSUMOS!$A:$D,4,0),IFERROR(VLOOKUP($C190,COTAÇÕES!$B:$I,7,0),(VLOOKUP($C190,'INSUMO SINAPI - SP'!$C:$F,4,0)))))*$G190,2)</f>
        <v>11.32</v>
      </c>
      <c r="J190" s="513">
        <f>TRUNC(IF($C190="",IFERROR(VLOOKUP($B190,SERVIÇOS!$B:$G,5,0),IFERROR(VLOOKUP($B190,$D:$K,7,0),)),0)*$G190,2)</f>
        <v>0</v>
      </c>
      <c r="K190" s="514">
        <f>I190+J190</f>
        <v>11.32</v>
      </c>
      <c r="L190" s="517"/>
      <c r="M190" s="471"/>
      <c r="N190" s="516"/>
      <c r="Q190" s="472"/>
      <c r="R190" s="472"/>
      <c r="S190" s="472"/>
      <c r="T190" s="472"/>
      <c r="U190" s="472"/>
      <c r="V190" s="472"/>
      <c r="W190" s="472"/>
      <c r="X190" s="472"/>
      <c r="Y190" s="472"/>
    </row>
    <row r="191" spans="1:25" x14ac:dyDescent="0.25">
      <c r="A191" s="463"/>
      <c r="B191" s="498"/>
      <c r="C191" s="498"/>
      <c r="D191" s="499" t="s">
        <v>12104</v>
      </c>
      <c r="E191" s="500" t="s">
        <v>12752</v>
      </c>
      <c r="F191" s="501" t="s">
        <v>585</v>
      </c>
      <c r="G191" s="502"/>
      <c r="H191" s="503"/>
      <c r="I191" s="504">
        <f>ROUND(SUM(I192:I196),2)</f>
        <v>26.55</v>
      </c>
      <c r="J191" s="504">
        <f>ROUND(SUM(J192:J196),2)</f>
        <v>24.3</v>
      </c>
      <c r="K191" s="504">
        <f>+J191+I191</f>
        <v>50.85</v>
      </c>
      <c r="L191" s="523" t="s">
        <v>12753</v>
      </c>
      <c r="M191" s="471"/>
      <c r="N191" s="505"/>
      <c r="Q191" s="472"/>
      <c r="R191" s="472"/>
      <c r="S191" s="472"/>
      <c r="T191" s="472"/>
      <c r="U191" s="472"/>
      <c r="V191" s="472"/>
      <c r="W191" s="472"/>
      <c r="X191" s="472"/>
      <c r="Y191" s="472"/>
    </row>
    <row r="192" spans="1:25" x14ac:dyDescent="0.25">
      <c r="A192" s="463"/>
      <c r="B192" s="506">
        <v>88267</v>
      </c>
      <c r="C192" s="507"/>
      <c r="D192" s="508"/>
      <c r="E192" s="509" t="str">
        <f>IF($C192="",IFERROR(VLOOKUP($B192,SERVIÇOS!$B:$G,2,0),IFERROR(VLOOKUP($B192,$D:$K,2,0),"")),IFERROR(VLOOKUP($C192,INSUMOS!$A:$D,2,0),IFERROR(VLOOKUP($C192,COTAÇÕES!$B:$I,2,0),(VLOOKUP($C192,'INSUMO SINAPI - SP'!$C:$F,2,0)))))</f>
        <v>ENCANADOR OU BOMBEIRO HIDRÁULICO COM ENCARGOS COMPLEMENTARES</v>
      </c>
      <c r="F192" s="510" t="str">
        <f>IF($C192="",IFERROR(VLOOKUP($B192,SERVIÇOS!$B:$G,3,0),IFERROR(VLOOKUP($B192,$D:$K,3,0),"")),IFERROR(VLOOKUP($C192,INSUMOS!$A:$D,3,0),IFERROR(VLOOKUP($C192,COTAÇÕES!$B:$I,3,0),(VLOOKUP($C192,'INSUMO SINAPI - SP'!$C:$F,3,0)))))</f>
        <v>H</v>
      </c>
      <c r="G192" s="511">
        <v>0.5</v>
      </c>
      <c r="H192" s="512">
        <f>IF($C192="",IFERROR(VLOOKUP($B192,SERVIÇOS!$B:$G,6,0),IFERROR(VLOOKUP($B192,$D:$K,8,0),"")),IFERROR(VLOOKUP($C192,INSUMOS!$A:$D,4,0),IFERROR(VLOOKUP($C192,COTAÇÕES!$B:$I,7,0),(VLOOKUP($C192,'INSUMO SINAPI - SP'!$C:$F,4,0)))))</f>
        <v>36.17</v>
      </c>
      <c r="I192" s="513">
        <f>TRUNC(IF($C192="",IFERROR(VLOOKUP($B192,SERVIÇOS!$B:$G,4,0),IFERROR(VLOOKUP($B192,$D:$K,6,0),)),IFERROR(VLOOKUP($C192,INSUMOS!$A:$D,4,0),IFERROR(VLOOKUP($C192,COTAÇÕES!$B:$I,7,0),(VLOOKUP($C192,'INSUMO SINAPI - SP'!$C:$F,4,0)))))*$G192,2)</f>
        <v>4.32</v>
      </c>
      <c r="J192" s="513">
        <f>TRUNC(IF($C192="",IFERROR(VLOOKUP($B192,SERVIÇOS!$B:$G,5,0),IFERROR(VLOOKUP($B192,$D:$K,7,0),)),0)*$G192,2)</f>
        <v>13.76</v>
      </c>
      <c r="K192" s="514">
        <f>I192+J192</f>
        <v>18.079999999999998</v>
      </c>
      <c r="L192" s="515"/>
      <c r="M192" s="471"/>
      <c r="N192" s="516"/>
      <c r="Q192" s="472"/>
      <c r="R192" s="472"/>
      <c r="S192" s="472"/>
      <c r="T192" s="472"/>
      <c r="U192" s="472"/>
      <c r="V192" s="472"/>
      <c r="W192" s="472"/>
      <c r="X192" s="472"/>
      <c r="Y192" s="472"/>
    </row>
    <row r="193" spans="1:25" x14ac:dyDescent="0.25">
      <c r="A193" s="463"/>
      <c r="B193" s="506">
        <v>88248</v>
      </c>
      <c r="C193" s="507"/>
      <c r="D193" s="508"/>
      <c r="E193" s="509" t="str">
        <f>IF($C193="",IFERROR(VLOOKUP($B193,SERVIÇOS!$B:$G,2,0),IFERROR(VLOOKUP($B193,$D:$K,2,0),"")),IFERROR(VLOOKUP($C193,INSUMOS!$A:$D,2,0),IFERROR(VLOOKUP($C193,COTAÇÕES!$B:$I,2,0),(VLOOKUP($C193,'INSUMO SINAPI - SP'!$C:$F,2,0)))))</f>
        <v>AUXILIAR DE ENCANADOR OU BOMBEIRO HIDRÁULICO COM ENCARGOS COMPLEMENTARES</v>
      </c>
      <c r="F193" s="510" t="str">
        <f>IF($C193="",IFERROR(VLOOKUP($B193,SERVIÇOS!$B:$G,3,0),IFERROR(VLOOKUP($B193,$D:$K,3,0),"")),IFERROR(VLOOKUP($C193,INSUMOS!$A:$D,3,0),IFERROR(VLOOKUP($C193,COTAÇÕES!$B:$I,3,0),(VLOOKUP($C193,'INSUMO SINAPI - SP'!$C:$F,3,0)))))</f>
        <v>H</v>
      </c>
      <c r="G193" s="511">
        <v>0.5</v>
      </c>
      <c r="H193" s="512">
        <f>IF($C193="",IFERROR(VLOOKUP($B193,SERVIÇOS!$B:$G,6,0),IFERROR(VLOOKUP($B193,$D:$K,8,0),"")),IFERROR(VLOOKUP($C193,INSUMOS!$A:$D,4,0),IFERROR(VLOOKUP($C193,COTAÇÕES!$B:$I,7,0),(VLOOKUP($C193,'INSUMO SINAPI - SP'!$C:$F,4,0)))))</f>
        <v>29.72</v>
      </c>
      <c r="I193" s="513">
        <f>TRUNC(IF($C193="",IFERROR(VLOOKUP($B193,SERVIÇOS!$B:$G,4,0),IFERROR(VLOOKUP($B193,$D:$K,6,0),)),IFERROR(VLOOKUP($C193,INSUMOS!$A:$D,4,0),IFERROR(VLOOKUP($C193,COTAÇÕES!$B:$I,7,0),(VLOOKUP($C193,'INSUMO SINAPI - SP'!$C:$F,4,0)))))*$G193,2)</f>
        <v>4.32</v>
      </c>
      <c r="J193" s="513">
        <f>TRUNC(IF($C193="",IFERROR(VLOOKUP($B193,SERVIÇOS!$B:$G,5,0),IFERROR(VLOOKUP($B193,$D:$K,7,0),)),0)*$G193,2)</f>
        <v>10.54</v>
      </c>
      <c r="K193" s="514">
        <f>I193+J193</f>
        <v>14.86</v>
      </c>
      <c r="L193" s="515"/>
      <c r="M193" s="471"/>
      <c r="N193" s="516"/>
      <c r="Q193" s="472"/>
      <c r="R193" s="472"/>
      <c r="S193" s="472"/>
      <c r="T193" s="472"/>
      <c r="U193" s="472"/>
      <c r="V193" s="472"/>
      <c r="W193" s="472"/>
      <c r="X193" s="472"/>
      <c r="Y193" s="472"/>
    </row>
    <row r="194" spans="1:25" x14ac:dyDescent="0.25">
      <c r="A194" s="463"/>
      <c r="B194" s="506"/>
      <c r="C194" s="507">
        <v>20083</v>
      </c>
      <c r="D194" s="508"/>
      <c r="E194" s="509" t="str">
        <f>IF($C194="",IFERROR(VLOOKUP($B194,SERVIÇOS!$B:$G,2,0),IFERROR(VLOOKUP($B194,$D:$K,2,0),"")),IFERROR(VLOOKUP($C194,INSUMOS!$A:$D,2,0),IFERROR(VLOOKUP($C194,COTAÇÕES!$B:$I,2,0),(VLOOKUP($C194,'INSUMO SINAPI - SP'!$C:$F,2,0)))))</f>
        <v>SOLUCAO PREPARADORA / LIMPADORA PARA PVC, FRASCO COM 1000 CM3</v>
      </c>
      <c r="F194" s="510" t="str">
        <f>IF($C194="",IFERROR(VLOOKUP($B194,SERVIÇOS!$B:$G,3,0),IFERROR(VLOOKUP($B194,$D:$K,3,0),"")),IFERROR(VLOOKUP($C194,INSUMOS!$A:$D,3,0),IFERROR(VLOOKUP($C194,COTAÇÕES!$B:$I,3,0),(VLOOKUP($C194,'INSUMO SINAPI - SP'!$C:$F,3,0)))))</f>
        <v>UN</v>
      </c>
      <c r="G194" s="511">
        <v>5.0000000000000001E-4</v>
      </c>
      <c r="H194" s="512">
        <f>IF($C194="",IFERROR(VLOOKUP($B194,SERVIÇOS!$B:$G,6,0),IFERROR(VLOOKUP($B194,$D:$K,8,0),"")),IFERROR(VLOOKUP($C194,INSUMOS!$A:$D,4,0),IFERROR(VLOOKUP($C194,COTAÇÕES!$B:$I,7,0),(VLOOKUP($C194,'INSUMO SINAPI - SP'!$C:$F,4,0)))))</f>
        <v>83.68</v>
      </c>
      <c r="I194" s="513">
        <f>TRUNC(IF($C194="",IFERROR(VLOOKUP($B194,SERVIÇOS!$B:$G,4,0),IFERROR(VLOOKUP($B194,$D:$K,6,0),)),IFERROR(VLOOKUP($C194,INSUMOS!$A:$D,4,0),IFERROR(VLOOKUP($C194,COTAÇÕES!$B:$I,7,0),(VLOOKUP($C194,'INSUMO SINAPI - SP'!$C:$F,4,0)))))*$G194,2)</f>
        <v>0.04</v>
      </c>
      <c r="J194" s="513">
        <f>TRUNC(IF($C194="",IFERROR(VLOOKUP($B194,SERVIÇOS!$B:$G,5,0),IFERROR(VLOOKUP($B194,$D:$K,7,0),)),0)*$G194,2)</f>
        <v>0</v>
      </c>
      <c r="K194" s="514">
        <f>I194+J194</f>
        <v>0.04</v>
      </c>
      <c r="L194" s="517"/>
      <c r="M194" s="471"/>
      <c r="N194" s="516"/>
      <c r="Q194" s="472"/>
      <c r="R194" s="472"/>
      <c r="S194" s="472"/>
      <c r="T194" s="472"/>
      <c r="U194" s="472"/>
      <c r="V194" s="472"/>
      <c r="W194" s="472"/>
      <c r="X194" s="472"/>
      <c r="Y194" s="472"/>
    </row>
    <row r="195" spans="1:25" x14ac:dyDescent="0.25">
      <c r="A195" s="463"/>
      <c r="B195" s="506"/>
      <c r="C195" s="507">
        <v>122</v>
      </c>
      <c r="D195" s="508"/>
      <c r="E195" s="509" t="str">
        <f>IF($C195="",IFERROR(VLOOKUP($B195,SERVIÇOS!$B:$G,2,0),IFERROR(VLOOKUP($B195,$D:$K,2,0),"")),IFERROR(VLOOKUP($C195,INSUMOS!$A:$D,2,0),IFERROR(VLOOKUP($C195,COTAÇÕES!$B:$I,2,0),(VLOOKUP($C195,'INSUMO SINAPI - SP'!$C:$F,2,0)))))</f>
        <v>ADESIVO PLASTICO PARA PVC, FRASCO COM *850* GR</v>
      </c>
      <c r="F195" s="510" t="str">
        <f>IF($C195="",IFERROR(VLOOKUP($B195,SERVIÇOS!$B:$G,3,0),IFERROR(VLOOKUP($B195,$D:$K,3,0),"")),IFERROR(VLOOKUP($C195,INSUMOS!$A:$D,3,0),IFERROR(VLOOKUP($C195,COTAÇÕES!$B:$I,3,0),(VLOOKUP($C195,'INSUMO SINAPI - SP'!$C:$F,3,0)))))</f>
        <v>UN</v>
      </c>
      <c r="G195" s="511">
        <v>1.1999999999999999E-3</v>
      </c>
      <c r="H195" s="512">
        <f>IF($C195="",IFERROR(VLOOKUP($B195,SERVIÇOS!$B:$G,6,0),IFERROR(VLOOKUP($B195,$D:$K,8,0),"")),IFERROR(VLOOKUP($C195,INSUMOS!$A:$D,4,0),IFERROR(VLOOKUP($C195,COTAÇÕES!$B:$I,7,0),(VLOOKUP($C195,'INSUMO SINAPI - SP'!$C:$F,4,0)))))</f>
        <v>73.86</v>
      </c>
      <c r="I195" s="513">
        <f>TRUNC(IF($C195="",IFERROR(VLOOKUP($B195,SERVIÇOS!$B:$G,4,0),IFERROR(VLOOKUP($B195,$D:$K,6,0),)),IFERROR(VLOOKUP($C195,INSUMOS!$A:$D,4,0),IFERROR(VLOOKUP($C195,COTAÇÕES!$B:$I,7,0),(VLOOKUP($C195,'INSUMO SINAPI - SP'!$C:$F,4,0)))))*$G195,2)</f>
        <v>0.08</v>
      </c>
      <c r="J195" s="513">
        <f>TRUNC(IF($C195="",IFERROR(VLOOKUP($B195,SERVIÇOS!$B:$G,5,0),IFERROR(VLOOKUP($B195,$D:$K,7,0),)),0)*$G195,2)</f>
        <v>0</v>
      </c>
      <c r="K195" s="514">
        <f>I195+J195</f>
        <v>0.08</v>
      </c>
      <c r="L195" s="517"/>
      <c r="M195" s="471"/>
      <c r="N195" s="516"/>
      <c r="Q195" s="472"/>
      <c r="R195" s="472"/>
      <c r="S195" s="472"/>
      <c r="T195" s="472"/>
      <c r="U195" s="472"/>
      <c r="V195" s="472"/>
      <c r="W195" s="472"/>
      <c r="X195" s="472"/>
      <c r="Y195" s="472"/>
    </row>
    <row r="196" spans="1:25" x14ac:dyDescent="0.25">
      <c r="A196" s="463"/>
      <c r="B196" s="506"/>
      <c r="C196" s="507">
        <v>9874</v>
      </c>
      <c r="D196" s="508"/>
      <c r="E196" s="509" t="str">
        <f>IF($C196="",IFERROR(VLOOKUP($B196,SERVIÇOS!$B:$G,2,0),IFERROR(VLOOKUP($B196,$D:$K,2,0),"")),IFERROR(VLOOKUP($C196,INSUMOS!$A:$D,2,0),IFERROR(VLOOKUP($C196,COTAÇÕES!$B:$I,2,0),(VLOOKUP($C196,'INSUMO SINAPI - SP'!$C:$F,2,0)))))</f>
        <v>TUBO PVC, SOLDAVEL, DE 40 MM, AGUA FRIA (NBR-5648)</v>
      </c>
      <c r="F196" s="510" t="str">
        <f>IF($C196="",IFERROR(VLOOKUP($B196,SERVIÇOS!$B:$G,3,0),IFERROR(VLOOKUP($B196,$D:$K,3,0),"")),IFERROR(VLOOKUP($C196,INSUMOS!$A:$D,3,0),IFERROR(VLOOKUP($C196,COTAÇÕES!$B:$I,3,0),(VLOOKUP($C196,'INSUMO SINAPI - SP'!$C:$F,3,0)))))</f>
        <v>M</v>
      </c>
      <c r="G196" s="511">
        <v>1.5</v>
      </c>
      <c r="H196" s="512">
        <f>IF($C196="",IFERROR(VLOOKUP($B196,SERVIÇOS!$B:$G,6,0),IFERROR(VLOOKUP($B196,$D:$K,8,0),"")),IFERROR(VLOOKUP($C196,INSUMOS!$A:$D,4,0),IFERROR(VLOOKUP($C196,COTAÇÕES!$B:$I,7,0),(VLOOKUP($C196,'INSUMO SINAPI - SP'!$C:$F,4,0)))))</f>
        <v>11.86</v>
      </c>
      <c r="I196" s="513">
        <f>TRUNC(IF($C196="",IFERROR(VLOOKUP($B196,SERVIÇOS!$B:$G,4,0),IFERROR(VLOOKUP($B196,$D:$K,6,0),)),IFERROR(VLOOKUP($C196,INSUMOS!$A:$D,4,0),IFERROR(VLOOKUP($C196,COTAÇÕES!$B:$I,7,0),(VLOOKUP($C196,'INSUMO SINAPI - SP'!$C:$F,4,0)))))*$G196,2)</f>
        <v>17.79</v>
      </c>
      <c r="J196" s="513">
        <f>TRUNC(IF($C196="",IFERROR(VLOOKUP($B196,SERVIÇOS!$B:$G,5,0),IFERROR(VLOOKUP($B196,$D:$K,7,0),)),0)*$G196,2)</f>
        <v>0</v>
      </c>
      <c r="K196" s="514">
        <f>I196+J196</f>
        <v>17.79</v>
      </c>
      <c r="L196" s="517"/>
      <c r="M196" s="471"/>
      <c r="N196" s="516"/>
      <c r="Q196" s="472"/>
      <c r="R196" s="472"/>
      <c r="S196" s="472"/>
      <c r="T196" s="472"/>
      <c r="U196" s="472"/>
      <c r="V196" s="472"/>
      <c r="W196" s="472"/>
      <c r="X196" s="472"/>
      <c r="Y196" s="472"/>
    </row>
    <row r="197" spans="1:25" x14ac:dyDescent="0.25">
      <c r="A197" s="463"/>
      <c r="B197" s="498"/>
      <c r="C197" s="498"/>
      <c r="D197" s="499" t="s">
        <v>12105</v>
      </c>
      <c r="E197" s="500" t="s">
        <v>12754</v>
      </c>
      <c r="F197" s="501" t="s">
        <v>585</v>
      </c>
      <c r="G197" s="502"/>
      <c r="H197" s="503"/>
      <c r="I197" s="504">
        <f>ROUND(SUM(I198:I202),2)</f>
        <v>28.74</v>
      </c>
      <c r="J197" s="504">
        <f>ROUND(SUM(J198:J202),2)</f>
        <v>29.15</v>
      </c>
      <c r="K197" s="504">
        <f>+J197+I197</f>
        <v>57.89</v>
      </c>
      <c r="L197" s="523" t="s">
        <v>12755</v>
      </c>
      <c r="M197" s="471"/>
      <c r="N197" s="505"/>
      <c r="Q197" s="472"/>
      <c r="R197" s="472"/>
      <c r="S197" s="472"/>
      <c r="T197" s="472"/>
      <c r="U197" s="472"/>
      <c r="V197" s="472"/>
      <c r="W197" s="472"/>
      <c r="X197" s="472"/>
      <c r="Y197" s="472"/>
    </row>
    <row r="198" spans="1:25" x14ac:dyDescent="0.25">
      <c r="A198" s="463"/>
      <c r="B198" s="506">
        <v>88267</v>
      </c>
      <c r="C198" s="507"/>
      <c r="D198" s="508"/>
      <c r="E198" s="509" t="str">
        <f>IF($C198="",IFERROR(VLOOKUP($B198,SERVIÇOS!$B:$G,2,0),IFERROR(VLOOKUP($B198,$D:$K,2,0),"")),IFERROR(VLOOKUP($C198,INSUMOS!$A:$D,2,0),IFERROR(VLOOKUP($C198,COTAÇÕES!$B:$I,2,0),(VLOOKUP($C198,'INSUMO SINAPI - SP'!$C:$F,2,0)))))</f>
        <v>ENCANADOR OU BOMBEIRO HIDRÁULICO COM ENCARGOS COMPLEMENTARES</v>
      </c>
      <c r="F198" s="510" t="str">
        <f>IF($C198="",IFERROR(VLOOKUP($B198,SERVIÇOS!$B:$G,3,0),IFERROR(VLOOKUP($B198,$D:$K,3,0),"")),IFERROR(VLOOKUP($C198,INSUMOS!$A:$D,3,0),IFERROR(VLOOKUP($C198,COTAÇÕES!$B:$I,3,0),(VLOOKUP($C198,'INSUMO SINAPI - SP'!$C:$F,3,0)))))</f>
        <v>H</v>
      </c>
      <c r="G198" s="511">
        <v>0.6</v>
      </c>
      <c r="H198" s="512">
        <f>IF($C198="",IFERROR(VLOOKUP($B198,SERVIÇOS!$B:$G,6,0),IFERROR(VLOOKUP($B198,$D:$K,8,0),"")),IFERROR(VLOOKUP($C198,INSUMOS!$A:$D,4,0),IFERROR(VLOOKUP($C198,COTAÇÕES!$B:$I,7,0),(VLOOKUP($C198,'INSUMO SINAPI - SP'!$C:$F,4,0)))))</f>
        <v>36.17</v>
      </c>
      <c r="I198" s="513">
        <f>TRUNC(IF($C198="",IFERROR(VLOOKUP($B198,SERVIÇOS!$B:$G,4,0),IFERROR(VLOOKUP($B198,$D:$K,6,0),)),IFERROR(VLOOKUP($C198,INSUMOS!$A:$D,4,0),IFERROR(VLOOKUP($C198,COTAÇÕES!$B:$I,7,0),(VLOOKUP($C198,'INSUMO SINAPI - SP'!$C:$F,4,0)))))*$G198,2)</f>
        <v>5.18</v>
      </c>
      <c r="J198" s="513">
        <f>TRUNC(IF($C198="",IFERROR(VLOOKUP($B198,SERVIÇOS!$B:$G,5,0),IFERROR(VLOOKUP($B198,$D:$K,7,0),)),0)*$G198,2)</f>
        <v>16.510000000000002</v>
      </c>
      <c r="K198" s="514">
        <f>I198+J198</f>
        <v>21.69</v>
      </c>
      <c r="L198" s="515"/>
      <c r="M198" s="471"/>
      <c r="N198" s="516"/>
      <c r="Q198" s="472"/>
      <c r="R198" s="472"/>
      <c r="S198" s="472"/>
      <c r="T198" s="472"/>
      <c r="U198" s="472"/>
      <c r="V198" s="472"/>
      <c r="W198" s="472"/>
      <c r="X198" s="472"/>
      <c r="Y198" s="472"/>
    </row>
    <row r="199" spans="1:25" x14ac:dyDescent="0.25">
      <c r="A199" s="463"/>
      <c r="B199" s="506">
        <v>88248</v>
      </c>
      <c r="C199" s="507"/>
      <c r="D199" s="508"/>
      <c r="E199" s="509" t="str">
        <f>IF($C199="",IFERROR(VLOOKUP($B199,SERVIÇOS!$B:$G,2,0),IFERROR(VLOOKUP($B199,$D:$K,2,0),"")),IFERROR(VLOOKUP($C199,INSUMOS!$A:$D,2,0),IFERROR(VLOOKUP($C199,COTAÇÕES!$B:$I,2,0),(VLOOKUP($C199,'INSUMO SINAPI - SP'!$C:$F,2,0)))))</f>
        <v>AUXILIAR DE ENCANADOR OU BOMBEIRO HIDRÁULICO COM ENCARGOS COMPLEMENTARES</v>
      </c>
      <c r="F199" s="510" t="str">
        <f>IF($C199="",IFERROR(VLOOKUP($B199,SERVIÇOS!$B:$G,3,0),IFERROR(VLOOKUP($B199,$D:$K,3,0),"")),IFERROR(VLOOKUP($C199,INSUMOS!$A:$D,3,0),IFERROR(VLOOKUP($C199,COTAÇÕES!$B:$I,3,0),(VLOOKUP($C199,'INSUMO SINAPI - SP'!$C:$F,3,0)))))</f>
        <v>H</v>
      </c>
      <c r="G199" s="511">
        <v>0.6</v>
      </c>
      <c r="H199" s="512">
        <f>IF($C199="",IFERROR(VLOOKUP($B199,SERVIÇOS!$B:$G,6,0),IFERROR(VLOOKUP($B199,$D:$K,8,0),"")),IFERROR(VLOOKUP($C199,INSUMOS!$A:$D,4,0),IFERROR(VLOOKUP($C199,COTAÇÕES!$B:$I,7,0),(VLOOKUP($C199,'INSUMO SINAPI - SP'!$C:$F,4,0)))))</f>
        <v>29.72</v>
      </c>
      <c r="I199" s="513">
        <f>TRUNC(IF($C199="",IFERROR(VLOOKUP($B199,SERVIÇOS!$B:$G,4,0),IFERROR(VLOOKUP($B199,$D:$K,6,0),)),IFERROR(VLOOKUP($C199,INSUMOS!$A:$D,4,0),IFERROR(VLOOKUP($C199,COTAÇÕES!$B:$I,7,0),(VLOOKUP($C199,'INSUMO SINAPI - SP'!$C:$F,4,0)))))*$G199,2)</f>
        <v>5.18</v>
      </c>
      <c r="J199" s="513">
        <f>TRUNC(IF($C199="",IFERROR(VLOOKUP($B199,SERVIÇOS!$B:$G,5,0),IFERROR(VLOOKUP($B199,$D:$K,7,0),)),0)*$G199,2)</f>
        <v>12.64</v>
      </c>
      <c r="K199" s="514">
        <f>I199+J199</f>
        <v>17.82</v>
      </c>
      <c r="L199" s="515"/>
      <c r="M199" s="471"/>
      <c r="N199" s="516"/>
      <c r="Q199" s="472"/>
      <c r="R199" s="472"/>
      <c r="S199" s="472"/>
      <c r="T199" s="472"/>
      <c r="U199" s="472"/>
      <c r="V199" s="472"/>
      <c r="W199" s="472"/>
      <c r="X199" s="472"/>
      <c r="Y199" s="472"/>
    </row>
    <row r="200" spans="1:25" x14ac:dyDescent="0.25">
      <c r="A200" s="463"/>
      <c r="B200" s="506"/>
      <c r="C200" s="507">
        <v>20083</v>
      </c>
      <c r="D200" s="508"/>
      <c r="E200" s="509" t="str">
        <f>IF($C200="",IFERROR(VLOOKUP($B200,SERVIÇOS!$B:$G,2,0),IFERROR(VLOOKUP($B200,$D:$K,2,0),"")),IFERROR(VLOOKUP($C200,INSUMOS!$A:$D,2,0),IFERROR(VLOOKUP($C200,COTAÇÕES!$B:$I,2,0),(VLOOKUP($C200,'INSUMO SINAPI - SP'!$C:$F,2,0)))))</f>
        <v>SOLUCAO PREPARADORA / LIMPADORA PARA PVC, FRASCO COM 1000 CM3</v>
      </c>
      <c r="F200" s="510" t="str">
        <f>IF($C200="",IFERROR(VLOOKUP($B200,SERVIÇOS!$B:$G,3,0),IFERROR(VLOOKUP($B200,$D:$K,3,0),"")),IFERROR(VLOOKUP($C200,INSUMOS!$A:$D,3,0),IFERROR(VLOOKUP($C200,COTAÇÕES!$B:$I,3,0),(VLOOKUP($C200,'INSUMO SINAPI - SP'!$C:$F,3,0)))))</f>
        <v>UN</v>
      </c>
      <c r="G200" s="511">
        <v>6.9999999999999999E-4</v>
      </c>
      <c r="H200" s="512">
        <f>IF($C200="",IFERROR(VLOOKUP($B200,SERVIÇOS!$B:$G,6,0),IFERROR(VLOOKUP($B200,$D:$K,8,0),"")),IFERROR(VLOOKUP($C200,INSUMOS!$A:$D,4,0),IFERROR(VLOOKUP($C200,COTAÇÕES!$B:$I,7,0),(VLOOKUP($C200,'INSUMO SINAPI - SP'!$C:$F,4,0)))))</f>
        <v>83.68</v>
      </c>
      <c r="I200" s="513">
        <f>TRUNC(IF($C200="",IFERROR(VLOOKUP($B200,SERVIÇOS!$B:$G,4,0),IFERROR(VLOOKUP($B200,$D:$K,6,0),)),IFERROR(VLOOKUP($C200,INSUMOS!$A:$D,4,0),IFERROR(VLOOKUP($C200,COTAÇÕES!$B:$I,7,0),(VLOOKUP($C200,'INSUMO SINAPI - SP'!$C:$F,4,0)))))*$G200,2)</f>
        <v>0.05</v>
      </c>
      <c r="J200" s="513">
        <f>TRUNC(IF($C200="",IFERROR(VLOOKUP($B200,SERVIÇOS!$B:$G,5,0),IFERROR(VLOOKUP($B200,$D:$K,7,0),)),0)*$G200,2)</f>
        <v>0</v>
      </c>
      <c r="K200" s="514">
        <f>I200+J200</f>
        <v>0.05</v>
      </c>
      <c r="L200" s="517"/>
      <c r="M200" s="471"/>
      <c r="N200" s="516"/>
      <c r="Q200" s="472"/>
      <c r="R200" s="472"/>
      <c r="S200" s="472"/>
      <c r="T200" s="472"/>
      <c r="U200" s="472"/>
      <c r="V200" s="472"/>
      <c r="W200" s="472"/>
      <c r="X200" s="472"/>
      <c r="Y200" s="472"/>
    </row>
    <row r="201" spans="1:25" x14ac:dyDescent="0.25">
      <c r="A201" s="463"/>
      <c r="B201" s="506"/>
      <c r="C201" s="507">
        <v>122</v>
      </c>
      <c r="D201" s="508"/>
      <c r="E201" s="509" t="str">
        <f>IF($C201="",IFERROR(VLOOKUP($B201,SERVIÇOS!$B:$G,2,0),IFERROR(VLOOKUP($B201,$D:$K,2,0),"")),IFERROR(VLOOKUP($C201,INSUMOS!$A:$D,2,0),IFERROR(VLOOKUP($C201,COTAÇÕES!$B:$I,2,0),(VLOOKUP($C201,'INSUMO SINAPI - SP'!$C:$F,2,0)))))</f>
        <v>ADESIVO PLASTICO PARA PVC, FRASCO COM *850* GR</v>
      </c>
      <c r="F201" s="510" t="str">
        <f>IF($C201="",IFERROR(VLOOKUP($B201,SERVIÇOS!$B:$G,3,0),IFERROR(VLOOKUP($B201,$D:$K,3,0),"")),IFERROR(VLOOKUP($C201,INSUMOS!$A:$D,3,0),IFERROR(VLOOKUP($C201,COTAÇÕES!$B:$I,3,0),(VLOOKUP($C201,'INSUMO SINAPI - SP'!$C:$F,3,0)))))</f>
        <v>UN</v>
      </c>
      <c r="G201" s="511">
        <v>1.6999999999999999E-3</v>
      </c>
      <c r="H201" s="512">
        <f>IF($C201="",IFERROR(VLOOKUP($B201,SERVIÇOS!$B:$G,6,0),IFERROR(VLOOKUP($B201,$D:$K,8,0),"")),IFERROR(VLOOKUP($C201,INSUMOS!$A:$D,4,0),IFERROR(VLOOKUP($C201,COTAÇÕES!$B:$I,7,0),(VLOOKUP($C201,'INSUMO SINAPI - SP'!$C:$F,4,0)))))</f>
        <v>73.86</v>
      </c>
      <c r="I201" s="513">
        <f>TRUNC(IF($C201="",IFERROR(VLOOKUP($B201,SERVIÇOS!$B:$G,4,0),IFERROR(VLOOKUP($B201,$D:$K,6,0),)),IFERROR(VLOOKUP($C201,INSUMOS!$A:$D,4,0),IFERROR(VLOOKUP($C201,COTAÇÕES!$B:$I,7,0),(VLOOKUP($C201,'INSUMO SINAPI - SP'!$C:$F,4,0)))))*$G201,2)</f>
        <v>0.12</v>
      </c>
      <c r="J201" s="513">
        <f>TRUNC(IF($C201="",IFERROR(VLOOKUP($B201,SERVIÇOS!$B:$G,5,0),IFERROR(VLOOKUP($B201,$D:$K,7,0),)),0)*$G201,2)</f>
        <v>0</v>
      </c>
      <c r="K201" s="514">
        <f>I201+J201</f>
        <v>0.12</v>
      </c>
      <c r="L201" s="517"/>
      <c r="M201" s="471"/>
      <c r="N201" s="516"/>
      <c r="Q201" s="472"/>
      <c r="R201" s="472"/>
      <c r="S201" s="472"/>
      <c r="T201" s="472"/>
      <c r="U201" s="472"/>
      <c r="V201" s="472"/>
      <c r="W201" s="472"/>
      <c r="X201" s="472"/>
      <c r="Y201" s="472"/>
    </row>
    <row r="202" spans="1:25" x14ac:dyDescent="0.25">
      <c r="A202" s="463"/>
      <c r="B202" s="506"/>
      <c r="C202" s="507">
        <v>9875</v>
      </c>
      <c r="D202" s="508"/>
      <c r="E202" s="509" t="str">
        <f>IF($C202="",IFERROR(VLOOKUP($B202,SERVIÇOS!$B:$G,2,0),IFERROR(VLOOKUP($B202,$D:$K,2,0),"")),IFERROR(VLOOKUP($C202,INSUMOS!$A:$D,2,0),IFERROR(VLOOKUP($C202,COTAÇÕES!$B:$I,2,0),(VLOOKUP($C202,'INSUMO SINAPI - SP'!$C:$F,2,0)))))</f>
        <v>TUBO PVC, SOLDAVEL, DE 50 MM, AGUA FRIA (NBR-5648)</v>
      </c>
      <c r="F202" s="510" t="str">
        <f>IF($C202="",IFERROR(VLOOKUP($B202,SERVIÇOS!$B:$G,3,0),IFERROR(VLOOKUP($B202,$D:$K,3,0),"")),IFERROR(VLOOKUP($C202,INSUMOS!$A:$D,3,0),IFERROR(VLOOKUP($C202,COTAÇÕES!$B:$I,3,0),(VLOOKUP($C202,'INSUMO SINAPI - SP'!$C:$F,3,0)))))</f>
        <v>M</v>
      </c>
      <c r="G202" s="511">
        <v>1.4</v>
      </c>
      <c r="H202" s="512">
        <f>IF($C202="",IFERROR(VLOOKUP($B202,SERVIÇOS!$B:$G,6,0),IFERROR(VLOOKUP($B202,$D:$K,8,0),"")),IFERROR(VLOOKUP($C202,INSUMOS!$A:$D,4,0),IFERROR(VLOOKUP($C202,COTAÇÕES!$B:$I,7,0),(VLOOKUP($C202,'INSUMO SINAPI - SP'!$C:$F,4,0)))))</f>
        <v>13.01</v>
      </c>
      <c r="I202" s="513">
        <f>TRUNC(IF($C202="",IFERROR(VLOOKUP($B202,SERVIÇOS!$B:$G,4,0),IFERROR(VLOOKUP($B202,$D:$K,6,0),)),IFERROR(VLOOKUP($C202,INSUMOS!$A:$D,4,0),IFERROR(VLOOKUP($C202,COTAÇÕES!$B:$I,7,0),(VLOOKUP($C202,'INSUMO SINAPI - SP'!$C:$F,4,0)))))*$G202,2)</f>
        <v>18.21</v>
      </c>
      <c r="J202" s="513">
        <f>TRUNC(IF($C202="",IFERROR(VLOOKUP($B202,SERVIÇOS!$B:$G,5,0),IFERROR(VLOOKUP($B202,$D:$K,7,0),)),0)*$G202,2)</f>
        <v>0</v>
      </c>
      <c r="K202" s="514">
        <f>I202+J202</f>
        <v>18.21</v>
      </c>
      <c r="L202" s="517"/>
      <c r="M202" s="471"/>
      <c r="N202" s="516"/>
      <c r="Q202" s="472"/>
      <c r="R202" s="472"/>
      <c r="S202" s="472"/>
      <c r="T202" s="472"/>
      <c r="U202" s="472"/>
      <c r="V202" s="472"/>
      <c r="W202" s="472"/>
      <c r="X202" s="472"/>
      <c r="Y202" s="472"/>
    </row>
    <row r="203" spans="1:25" x14ac:dyDescent="0.25">
      <c r="A203" s="463"/>
      <c r="B203" s="498"/>
      <c r="C203" s="498"/>
      <c r="D203" s="499" t="s">
        <v>12106</v>
      </c>
      <c r="E203" s="500" t="s">
        <v>12756</v>
      </c>
      <c r="F203" s="501" t="s">
        <v>585</v>
      </c>
      <c r="G203" s="502"/>
      <c r="H203" s="503"/>
      <c r="I203" s="504">
        <f>ROUND(SUM(I204:I208),2)</f>
        <v>42.26</v>
      </c>
      <c r="J203" s="504">
        <f>ROUND(SUM(J204:J208),2)</f>
        <v>34.020000000000003</v>
      </c>
      <c r="K203" s="504">
        <f>+J203+I203</f>
        <v>76.28</v>
      </c>
      <c r="L203" s="523" t="s">
        <v>12757</v>
      </c>
      <c r="M203" s="471"/>
      <c r="N203" s="505"/>
      <c r="Q203" s="472"/>
      <c r="R203" s="472"/>
      <c r="S203" s="472"/>
      <c r="T203" s="472"/>
      <c r="U203" s="472"/>
      <c r="V203" s="472"/>
      <c r="W203" s="472"/>
      <c r="X203" s="472"/>
      <c r="Y203" s="472"/>
    </row>
    <row r="204" spans="1:25" x14ac:dyDescent="0.25">
      <c r="A204" s="463"/>
      <c r="B204" s="506">
        <v>88267</v>
      </c>
      <c r="C204" s="507"/>
      <c r="D204" s="508"/>
      <c r="E204" s="509" t="str">
        <f>IF($C204="",IFERROR(VLOOKUP($B204,SERVIÇOS!$B:$G,2,0),IFERROR(VLOOKUP($B204,$D:$K,2,0),"")),IFERROR(VLOOKUP($C204,INSUMOS!$A:$D,2,0),IFERROR(VLOOKUP($C204,COTAÇÕES!$B:$I,2,0),(VLOOKUP($C204,'INSUMO SINAPI - SP'!$C:$F,2,0)))))</f>
        <v>ENCANADOR OU BOMBEIRO HIDRÁULICO COM ENCARGOS COMPLEMENTARES</v>
      </c>
      <c r="F204" s="510" t="str">
        <f>IF($C204="",IFERROR(VLOOKUP($B204,SERVIÇOS!$B:$G,3,0),IFERROR(VLOOKUP($B204,$D:$K,3,0),"")),IFERROR(VLOOKUP($C204,INSUMOS!$A:$D,3,0),IFERROR(VLOOKUP($C204,COTAÇÕES!$B:$I,3,0),(VLOOKUP($C204,'INSUMO SINAPI - SP'!$C:$F,3,0)))))</f>
        <v>H</v>
      </c>
      <c r="G204" s="511">
        <v>0.7</v>
      </c>
      <c r="H204" s="512">
        <f>IF($C204="",IFERROR(VLOOKUP($B204,SERVIÇOS!$B:$G,6,0),IFERROR(VLOOKUP($B204,$D:$K,8,0),"")),IFERROR(VLOOKUP($C204,INSUMOS!$A:$D,4,0),IFERROR(VLOOKUP($C204,COTAÇÕES!$B:$I,7,0),(VLOOKUP($C204,'INSUMO SINAPI - SP'!$C:$F,4,0)))))</f>
        <v>36.17</v>
      </c>
      <c r="I204" s="513">
        <f>TRUNC(IF($C204="",IFERROR(VLOOKUP($B204,SERVIÇOS!$B:$G,4,0),IFERROR(VLOOKUP($B204,$D:$K,6,0),)),IFERROR(VLOOKUP($C204,INSUMOS!$A:$D,4,0),IFERROR(VLOOKUP($C204,COTAÇÕES!$B:$I,7,0),(VLOOKUP($C204,'INSUMO SINAPI - SP'!$C:$F,4,0)))))*$G204,2)</f>
        <v>6.04</v>
      </c>
      <c r="J204" s="513">
        <f>TRUNC(IF($C204="",IFERROR(VLOOKUP($B204,SERVIÇOS!$B:$G,5,0),IFERROR(VLOOKUP($B204,$D:$K,7,0),)),0)*$G204,2)</f>
        <v>19.27</v>
      </c>
      <c r="K204" s="514">
        <f>I204+J204</f>
        <v>25.31</v>
      </c>
      <c r="L204" s="515"/>
      <c r="M204" s="471"/>
      <c r="N204" s="516"/>
      <c r="Q204" s="472"/>
      <c r="R204" s="472"/>
      <c r="S204" s="472"/>
      <c r="T204" s="472"/>
      <c r="U204" s="472"/>
      <c r="V204" s="472"/>
      <c r="W204" s="472"/>
      <c r="X204" s="472"/>
      <c r="Y204" s="472"/>
    </row>
    <row r="205" spans="1:25" x14ac:dyDescent="0.25">
      <c r="A205" s="463"/>
      <c r="B205" s="506">
        <v>88248</v>
      </c>
      <c r="C205" s="507"/>
      <c r="D205" s="508"/>
      <c r="E205" s="509" t="str">
        <f>IF($C205="",IFERROR(VLOOKUP($B205,SERVIÇOS!$B:$G,2,0),IFERROR(VLOOKUP($B205,$D:$K,2,0),"")),IFERROR(VLOOKUP($C205,INSUMOS!$A:$D,2,0),IFERROR(VLOOKUP($C205,COTAÇÕES!$B:$I,2,0),(VLOOKUP($C205,'INSUMO SINAPI - SP'!$C:$F,2,0)))))</f>
        <v>AUXILIAR DE ENCANADOR OU BOMBEIRO HIDRÁULICO COM ENCARGOS COMPLEMENTARES</v>
      </c>
      <c r="F205" s="510" t="str">
        <f>IF($C205="",IFERROR(VLOOKUP($B205,SERVIÇOS!$B:$G,3,0),IFERROR(VLOOKUP($B205,$D:$K,3,0),"")),IFERROR(VLOOKUP($C205,INSUMOS!$A:$D,3,0),IFERROR(VLOOKUP($C205,COTAÇÕES!$B:$I,3,0),(VLOOKUP($C205,'INSUMO SINAPI - SP'!$C:$F,3,0)))))</f>
        <v>H</v>
      </c>
      <c r="G205" s="511">
        <v>0.7</v>
      </c>
      <c r="H205" s="512">
        <f>IF($C205="",IFERROR(VLOOKUP($B205,SERVIÇOS!$B:$G,6,0),IFERROR(VLOOKUP($B205,$D:$K,8,0),"")),IFERROR(VLOOKUP($C205,INSUMOS!$A:$D,4,0),IFERROR(VLOOKUP($C205,COTAÇÕES!$B:$I,7,0),(VLOOKUP($C205,'INSUMO SINAPI - SP'!$C:$F,4,0)))))</f>
        <v>29.72</v>
      </c>
      <c r="I205" s="513">
        <f>TRUNC(IF($C205="",IFERROR(VLOOKUP($B205,SERVIÇOS!$B:$G,4,0),IFERROR(VLOOKUP($B205,$D:$K,6,0),)),IFERROR(VLOOKUP($C205,INSUMOS!$A:$D,4,0),IFERROR(VLOOKUP($C205,COTAÇÕES!$B:$I,7,0),(VLOOKUP($C205,'INSUMO SINAPI - SP'!$C:$F,4,0)))))*$G205,2)</f>
        <v>6.04</v>
      </c>
      <c r="J205" s="513">
        <f>TRUNC(IF($C205="",IFERROR(VLOOKUP($B205,SERVIÇOS!$B:$G,5,0),IFERROR(VLOOKUP($B205,$D:$K,7,0),)),0)*$G205,2)</f>
        <v>14.75</v>
      </c>
      <c r="K205" s="514">
        <f>I205+J205</f>
        <v>20.79</v>
      </c>
      <c r="L205" s="515"/>
      <c r="M205" s="471"/>
      <c r="N205" s="516"/>
      <c r="Q205" s="472"/>
      <c r="R205" s="472"/>
      <c r="S205" s="472"/>
      <c r="T205" s="472"/>
      <c r="U205" s="472"/>
      <c r="V205" s="472"/>
      <c r="W205" s="472"/>
      <c r="X205" s="472"/>
      <c r="Y205" s="472"/>
    </row>
    <row r="206" spans="1:25" x14ac:dyDescent="0.25">
      <c r="A206" s="463"/>
      <c r="B206" s="506"/>
      <c r="C206" s="507">
        <v>20083</v>
      </c>
      <c r="D206" s="508"/>
      <c r="E206" s="509" t="str">
        <f>IF($C206="",IFERROR(VLOOKUP($B206,SERVIÇOS!$B:$G,2,0),IFERROR(VLOOKUP($B206,$D:$K,2,0),"")),IFERROR(VLOOKUP($C206,INSUMOS!$A:$D,2,0),IFERROR(VLOOKUP($C206,COTAÇÕES!$B:$I,2,0),(VLOOKUP($C206,'INSUMO SINAPI - SP'!$C:$F,2,0)))))</f>
        <v>SOLUCAO PREPARADORA / LIMPADORA PARA PVC, FRASCO COM 1000 CM3</v>
      </c>
      <c r="F206" s="510" t="str">
        <f>IF($C206="",IFERROR(VLOOKUP($B206,SERVIÇOS!$B:$G,3,0),IFERROR(VLOOKUP($B206,$D:$K,3,0),"")),IFERROR(VLOOKUP($C206,INSUMOS!$A:$D,3,0),IFERROR(VLOOKUP($C206,COTAÇÕES!$B:$I,3,0),(VLOOKUP($C206,'INSUMO SINAPI - SP'!$C:$F,3,0)))))</f>
        <v>UN</v>
      </c>
      <c r="G206" s="511">
        <v>8.0000000000000004E-4</v>
      </c>
      <c r="H206" s="512">
        <f>IF($C206="",IFERROR(VLOOKUP($B206,SERVIÇOS!$B:$G,6,0),IFERROR(VLOOKUP($B206,$D:$K,8,0),"")),IFERROR(VLOOKUP($C206,INSUMOS!$A:$D,4,0),IFERROR(VLOOKUP($C206,COTAÇÕES!$B:$I,7,0),(VLOOKUP($C206,'INSUMO SINAPI - SP'!$C:$F,4,0)))))</f>
        <v>83.68</v>
      </c>
      <c r="I206" s="513">
        <f>TRUNC(IF($C206="",IFERROR(VLOOKUP($B206,SERVIÇOS!$B:$G,4,0),IFERROR(VLOOKUP($B206,$D:$K,6,0),)),IFERROR(VLOOKUP($C206,INSUMOS!$A:$D,4,0),IFERROR(VLOOKUP($C206,COTAÇÕES!$B:$I,7,0),(VLOOKUP($C206,'INSUMO SINAPI - SP'!$C:$F,4,0)))))*$G206,2)</f>
        <v>0.06</v>
      </c>
      <c r="J206" s="513">
        <f>TRUNC(IF($C206="",IFERROR(VLOOKUP($B206,SERVIÇOS!$B:$G,5,0),IFERROR(VLOOKUP($B206,$D:$K,7,0),)),0)*$G206,2)</f>
        <v>0</v>
      </c>
      <c r="K206" s="514">
        <f>I206+J206</f>
        <v>0.06</v>
      </c>
      <c r="L206" s="517"/>
      <c r="M206" s="471"/>
      <c r="N206" s="516"/>
      <c r="Q206" s="472"/>
      <c r="R206" s="472"/>
      <c r="S206" s="472"/>
      <c r="T206" s="472"/>
      <c r="U206" s="472"/>
      <c r="V206" s="472"/>
      <c r="W206" s="472"/>
      <c r="X206" s="472"/>
      <c r="Y206" s="472"/>
    </row>
    <row r="207" spans="1:25" x14ac:dyDescent="0.25">
      <c r="A207" s="463"/>
      <c r="B207" s="506"/>
      <c r="C207" s="507">
        <v>122</v>
      </c>
      <c r="D207" s="508"/>
      <c r="E207" s="509" t="str">
        <f>IF($C207="",IFERROR(VLOOKUP($B207,SERVIÇOS!$B:$G,2,0),IFERROR(VLOOKUP($B207,$D:$K,2,0),"")),IFERROR(VLOOKUP($C207,INSUMOS!$A:$D,2,0),IFERROR(VLOOKUP($C207,COTAÇÕES!$B:$I,2,0),(VLOOKUP($C207,'INSUMO SINAPI - SP'!$C:$F,2,0)))))</f>
        <v>ADESIVO PLASTICO PARA PVC, FRASCO COM *850* GR</v>
      </c>
      <c r="F207" s="510" t="str">
        <f>IF($C207="",IFERROR(VLOOKUP($B207,SERVIÇOS!$B:$G,3,0),IFERROR(VLOOKUP($B207,$D:$K,3,0),"")),IFERROR(VLOOKUP($C207,INSUMOS!$A:$D,3,0),IFERROR(VLOOKUP($C207,COTAÇÕES!$B:$I,3,0),(VLOOKUP($C207,'INSUMO SINAPI - SP'!$C:$F,3,0)))))</f>
        <v>UN</v>
      </c>
      <c r="G207" s="511">
        <v>2.2000000000000001E-3</v>
      </c>
      <c r="H207" s="512">
        <f>IF($C207="",IFERROR(VLOOKUP($B207,SERVIÇOS!$B:$G,6,0),IFERROR(VLOOKUP($B207,$D:$K,8,0),"")),IFERROR(VLOOKUP($C207,INSUMOS!$A:$D,4,0),IFERROR(VLOOKUP($C207,COTAÇÕES!$B:$I,7,0),(VLOOKUP($C207,'INSUMO SINAPI - SP'!$C:$F,4,0)))))</f>
        <v>73.86</v>
      </c>
      <c r="I207" s="513">
        <f>TRUNC(IF($C207="",IFERROR(VLOOKUP($B207,SERVIÇOS!$B:$G,4,0),IFERROR(VLOOKUP($B207,$D:$K,6,0),)),IFERROR(VLOOKUP($C207,INSUMOS!$A:$D,4,0),IFERROR(VLOOKUP($C207,COTAÇÕES!$B:$I,7,0),(VLOOKUP($C207,'INSUMO SINAPI - SP'!$C:$F,4,0)))))*$G207,2)</f>
        <v>0.16</v>
      </c>
      <c r="J207" s="513">
        <f>TRUNC(IF($C207="",IFERROR(VLOOKUP($B207,SERVIÇOS!$B:$G,5,0),IFERROR(VLOOKUP($B207,$D:$K,7,0),)),0)*$G207,2)</f>
        <v>0</v>
      </c>
      <c r="K207" s="514">
        <f>I207+J207</f>
        <v>0.16</v>
      </c>
      <c r="L207" s="517"/>
      <c r="M207" s="471"/>
      <c r="N207" s="516"/>
      <c r="Q207" s="472"/>
      <c r="R207" s="472"/>
      <c r="S207" s="472"/>
      <c r="T207" s="472"/>
      <c r="U207" s="472"/>
      <c r="V207" s="472"/>
      <c r="W207" s="472"/>
      <c r="X207" s="472"/>
      <c r="Y207" s="472"/>
    </row>
    <row r="208" spans="1:25" x14ac:dyDescent="0.25">
      <c r="A208" s="463"/>
      <c r="B208" s="506"/>
      <c r="C208" s="507">
        <v>9873</v>
      </c>
      <c r="D208" s="508"/>
      <c r="E208" s="509" t="str">
        <f>IF($C208="",IFERROR(VLOOKUP($B208,SERVIÇOS!$B:$G,2,0),IFERROR(VLOOKUP($B208,$D:$K,2,0),"")),IFERROR(VLOOKUP($C208,INSUMOS!$A:$D,2,0),IFERROR(VLOOKUP($C208,COTAÇÕES!$B:$I,2,0),(VLOOKUP($C208,'INSUMO SINAPI - SP'!$C:$F,2,0)))))</f>
        <v>TUBO PVC, SOLDAVEL, DE 60 MM, AGUA FRIA (NBR-5648)</v>
      </c>
      <c r="F208" s="510" t="str">
        <f>IF($C208="",IFERROR(VLOOKUP($B208,SERVIÇOS!$B:$G,3,0),IFERROR(VLOOKUP($B208,$D:$K,3,0),"")),IFERROR(VLOOKUP($C208,INSUMOS!$A:$D,3,0),IFERROR(VLOOKUP($C208,COTAÇÕES!$B:$I,3,0),(VLOOKUP($C208,'INSUMO SINAPI - SP'!$C:$F,3,0)))))</f>
        <v>M</v>
      </c>
      <c r="G208" s="511">
        <v>1.4</v>
      </c>
      <c r="H208" s="512">
        <f>IF($C208="",IFERROR(VLOOKUP($B208,SERVIÇOS!$B:$G,6,0),IFERROR(VLOOKUP($B208,$D:$K,8,0),"")),IFERROR(VLOOKUP($C208,INSUMOS!$A:$D,4,0),IFERROR(VLOOKUP($C208,COTAÇÕES!$B:$I,7,0),(VLOOKUP($C208,'INSUMO SINAPI - SP'!$C:$F,4,0)))))</f>
        <v>21.4</v>
      </c>
      <c r="I208" s="513">
        <f>TRUNC(IF($C208="",IFERROR(VLOOKUP($B208,SERVIÇOS!$B:$G,4,0),IFERROR(VLOOKUP($B208,$D:$K,6,0),)),IFERROR(VLOOKUP($C208,INSUMOS!$A:$D,4,0),IFERROR(VLOOKUP($C208,COTAÇÕES!$B:$I,7,0),(VLOOKUP($C208,'INSUMO SINAPI - SP'!$C:$F,4,0)))))*$G208,2)</f>
        <v>29.96</v>
      </c>
      <c r="J208" s="513">
        <f>TRUNC(IF($C208="",IFERROR(VLOOKUP($B208,SERVIÇOS!$B:$G,5,0),IFERROR(VLOOKUP($B208,$D:$K,7,0),)),0)*$G208,2)</f>
        <v>0</v>
      </c>
      <c r="K208" s="514">
        <f>I208+J208</f>
        <v>29.96</v>
      </c>
      <c r="L208" s="517"/>
      <c r="M208" s="471"/>
      <c r="N208" s="516"/>
      <c r="Q208" s="472"/>
      <c r="R208" s="472"/>
      <c r="S208" s="472"/>
      <c r="T208" s="472"/>
      <c r="U208" s="472"/>
      <c r="V208" s="472"/>
      <c r="W208" s="472"/>
      <c r="X208" s="472"/>
      <c r="Y208" s="472"/>
    </row>
    <row r="209" spans="1:25" x14ac:dyDescent="0.25">
      <c r="A209" s="463"/>
      <c r="B209" s="498"/>
      <c r="C209" s="498"/>
      <c r="D209" s="499" t="s">
        <v>12107</v>
      </c>
      <c r="E209" s="500" t="s">
        <v>12758</v>
      </c>
      <c r="F209" s="501" t="s">
        <v>585</v>
      </c>
      <c r="G209" s="502"/>
      <c r="H209" s="503"/>
      <c r="I209" s="504">
        <f>ROUND(SUM(I210:I214),2)</f>
        <v>65.489999999999995</v>
      </c>
      <c r="J209" s="504">
        <f>ROUND(SUM(J210:J214),2)</f>
        <v>43.74</v>
      </c>
      <c r="K209" s="504">
        <f>+J209+I209</f>
        <v>109.22999999999999</v>
      </c>
      <c r="L209" s="523" t="s">
        <v>12759</v>
      </c>
      <c r="M209" s="471"/>
      <c r="N209" s="505"/>
      <c r="Q209" s="472"/>
      <c r="R209" s="472"/>
      <c r="S209" s="472"/>
      <c r="T209" s="472"/>
      <c r="U209" s="472"/>
      <c r="V209" s="472"/>
      <c r="W209" s="472"/>
      <c r="X209" s="472"/>
      <c r="Y209" s="472"/>
    </row>
    <row r="210" spans="1:25" x14ac:dyDescent="0.25">
      <c r="A210" s="463"/>
      <c r="B210" s="506">
        <v>88267</v>
      </c>
      <c r="C210" s="507"/>
      <c r="D210" s="508"/>
      <c r="E210" s="509" t="str">
        <f>IF($C210="",IFERROR(VLOOKUP($B210,SERVIÇOS!$B:$G,2,0),IFERROR(VLOOKUP($B210,$D:$K,2,0),"")),IFERROR(VLOOKUP($C210,INSUMOS!$A:$D,2,0),IFERROR(VLOOKUP($C210,COTAÇÕES!$B:$I,2,0),(VLOOKUP($C210,'INSUMO SINAPI - SP'!$C:$F,2,0)))))</f>
        <v>ENCANADOR OU BOMBEIRO HIDRÁULICO COM ENCARGOS COMPLEMENTARES</v>
      </c>
      <c r="F210" s="510" t="str">
        <f>IF($C210="",IFERROR(VLOOKUP($B210,SERVIÇOS!$B:$G,3,0),IFERROR(VLOOKUP($B210,$D:$K,3,0),"")),IFERROR(VLOOKUP($C210,INSUMOS!$A:$D,3,0),IFERROR(VLOOKUP($C210,COTAÇÕES!$B:$I,3,0),(VLOOKUP($C210,'INSUMO SINAPI - SP'!$C:$F,3,0)))))</f>
        <v>H</v>
      </c>
      <c r="G210" s="511">
        <v>0.9</v>
      </c>
      <c r="H210" s="512">
        <f>IF($C210="",IFERROR(VLOOKUP($B210,SERVIÇOS!$B:$G,6,0),IFERROR(VLOOKUP($B210,$D:$K,8,0),"")),IFERROR(VLOOKUP($C210,INSUMOS!$A:$D,4,0),IFERROR(VLOOKUP($C210,COTAÇÕES!$B:$I,7,0),(VLOOKUP($C210,'INSUMO SINAPI - SP'!$C:$F,4,0)))))</f>
        <v>36.17</v>
      </c>
      <c r="I210" s="513">
        <f>TRUNC(IF($C210="",IFERROR(VLOOKUP($B210,SERVIÇOS!$B:$G,4,0),IFERROR(VLOOKUP($B210,$D:$K,6,0),)),IFERROR(VLOOKUP($C210,INSUMOS!$A:$D,4,0),IFERROR(VLOOKUP($C210,COTAÇÕES!$B:$I,7,0),(VLOOKUP($C210,'INSUMO SINAPI - SP'!$C:$F,4,0)))))*$G210,2)</f>
        <v>7.77</v>
      </c>
      <c r="J210" s="513">
        <f>TRUNC(IF($C210="",IFERROR(VLOOKUP($B210,SERVIÇOS!$B:$G,5,0),IFERROR(VLOOKUP($B210,$D:$K,7,0),)),0)*$G210,2)</f>
        <v>24.77</v>
      </c>
      <c r="K210" s="514">
        <f>I210+J210</f>
        <v>32.54</v>
      </c>
      <c r="L210" s="515"/>
      <c r="M210" s="471"/>
      <c r="N210" s="516"/>
      <c r="Q210" s="472"/>
      <c r="R210" s="472"/>
      <c r="S210" s="472"/>
      <c r="T210" s="472"/>
      <c r="U210" s="472"/>
      <c r="V210" s="472"/>
      <c r="W210" s="472"/>
      <c r="X210" s="472"/>
      <c r="Y210" s="472"/>
    </row>
    <row r="211" spans="1:25" x14ac:dyDescent="0.25">
      <c r="A211" s="463"/>
      <c r="B211" s="506">
        <v>88248</v>
      </c>
      <c r="C211" s="507"/>
      <c r="D211" s="508"/>
      <c r="E211" s="509" t="str">
        <f>IF($C211="",IFERROR(VLOOKUP($B211,SERVIÇOS!$B:$G,2,0),IFERROR(VLOOKUP($B211,$D:$K,2,0),"")),IFERROR(VLOOKUP($C211,INSUMOS!$A:$D,2,0),IFERROR(VLOOKUP($C211,COTAÇÕES!$B:$I,2,0),(VLOOKUP($C211,'INSUMO SINAPI - SP'!$C:$F,2,0)))))</f>
        <v>AUXILIAR DE ENCANADOR OU BOMBEIRO HIDRÁULICO COM ENCARGOS COMPLEMENTARES</v>
      </c>
      <c r="F211" s="510" t="str">
        <f>IF($C211="",IFERROR(VLOOKUP($B211,SERVIÇOS!$B:$G,3,0),IFERROR(VLOOKUP($B211,$D:$K,3,0),"")),IFERROR(VLOOKUP($C211,INSUMOS!$A:$D,3,0),IFERROR(VLOOKUP($C211,COTAÇÕES!$B:$I,3,0),(VLOOKUP($C211,'INSUMO SINAPI - SP'!$C:$F,3,0)))))</f>
        <v>H</v>
      </c>
      <c r="G211" s="511">
        <v>0.9</v>
      </c>
      <c r="H211" s="512">
        <f>IF($C211="",IFERROR(VLOOKUP($B211,SERVIÇOS!$B:$G,6,0),IFERROR(VLOOKUP($B211,$D:$K,8,0),"")),IFERROR(VLOOKUP($C211,INSUMOS!$A:$D,4,0),IFERROR(VLOOKUP($C211,COTAÇÕES!$B:$I,7,0),(VLOOKUP($C211,'INSUMO SINAPI - SP'!$C:$F,4,0)))))</f>
        <v>29.72</v>
      </c>
      <c r="I211" s="513">
        <f>TRUNC(IF($C211="",IFERROR(VLOOKUP($B211,SERVIÇOS!$B:$G,4,0),IFERROR(VLOOKUP($B211,$D:$K,6,0),)),IFERROR(VLOOKUP($C211,INSUMOS!$A:$D,4,0),IFERROR(VLOOKUP($C211,COTAÇÕES!$B:$I,7,0),(VLOOKUP($C211,'INSUMO SINAPI - SP'!$C:$F,4,0)))))*$G211,2)</f>
        <v>7.77</v>
      </c>
      <c r="J211" s="513">
        <f>TRUNC(IF($C211="",IFERROR(VLOOKUP($B211,SERVIÇOS!$B:$G,5,0),IFERROR(VLOOKUP($B211,$D:$K,7,0),)),0)*$G211,2)</f>
        <v>18.97</v>
      </c>
      <c r="K211" s="514">
        <f>I211+J211</f>
        <v>26.74</v>
      </c>
      <c r="L211" s="515"/>
      <c r="M211" s="471"/>
      <c r="N211" s="516"/>
      <c r="Q211" s="472"/>
      <c r="R211" s="472"/>
      <c r="S211" s="472"/>
      <c r="T211" s="472"/>
      <c r="U211" s="472"/>
      <c r="V211" s="472"/>
      <c r="W211" s="472"/>
      <c r="X211" s="472"/>
      <c r="Y211" s="472"/>
    </row>
    <row r="212" spans="1:25" x14ac:dyDescent="0.25">
      <c r="A212" s="463"/>
      <c r="B212" s="506"/>
      <c r="C212" s="507">
        <v>20083</v>
      </c>
      <c r="D212" s="508"/>
      <c r="E212" s="509" t="str">
        <f>IF($C212="",IFERROR(VLOOKUP($B212,SERVIÇOS!$B:$G,2,0),IFERROR(VLOOKUP($B212,$D:$K,2,0),"")),IFERROR(VLOOKUP($C212,INSUMOS!$A:$D,2,0),IFERROR(VLOOKUP($C212,COTAÇÕES!$B:$I,2,0),(VLOOKUP($C212,'INSUMO SINAPI - SP'!$C:$F,2,0)))))</f>
        <v>SOLUCAO PREPARADORA / LIMPADORA PARA PVC, FRASCO COM 1000 CM3</v>
      </c>
      <c r="F212" s="510" t="str">
        <f>IF($C212="",IFERROR(VLOOKUP($B212,SERVIÇOS!$B:$G,3,0),IFERROR(VLOOKUP($B212,$D:$K,3,0),"")),IFERROR(VLOOKUP($C212,INSUMOS!$A:$D,3,0),IFERROR(VLOOKUP($C212,COTAÇÕES!$B:$I,3,0),(VLOOKUP($C212,'INSUMO SINAPI - SP'!$C:$F,3,0)))))</f>
        <v>UN</v>
      </c>
      <c r="G212" s="511">
        <v>1.1000000000000001E-3</v>
      </c>
      <c r="H212" s="512">
        <f>IF($C212="",IFERROR(VLOOKUP($B212,SERVIÇOS!$B:$G,6,0),IFERROR(VLOOKUP($B212,$D:$K,8,0),"")),IFERROR(VLOOKUP($C212,INSUMOS!$A:$D,4,0),IFERROR(VLOOKUP($C212,COTAÇÕES!$B:$I,7,0),(VLOOKUP($C212,'INSUMO SINAPI - SP'!$C:$F,4,0)))))</f>
        <v>83.68</v>
      </c>
      <c r="I212" s="513">
        <f>TRUNC(IF($C212="",IFERROR(VLOOKUP($B212,SERVIÇOS!$B:$G,4,0),IFERROR(VLOOKUP($B212,$D:$K,6,0),)),IFERROR(VLOOKUP($C212,INSUMOS!$A:$D,4,0),IFERROR(VLOOKUP($C212,COTAÇÕES!$B:$I,7,0),(VLOOKUP($C212,'INSUMO SINAPI - SP'!$C:$F,4,0)))))*$G212,2)</f>
        <v>0.09</v>
      </c>
      <c r="J212" s="513">
        <f>TRUNC(IF($C212="",IFERROR(VLOOKUP($B212,SERVIÇOS!$B:$G,5,0),IFERROR(VLOOKUP($B212,$D:$K,7,0),)),0)*$G212,2)</f>
        <v>0</v>
      </c>
      <c r="K212" s="514">
        <f>I212+J212</f>
        <v>0.09</v>
      </c>
      <c r="L212" s="517"/>
      <c r="M212" s="471"/>
      <c r="N212" s="516"/>
      <c r="Q212" s="472"/>
      <c r="R212" s="472"/>
      <c r="S212" s="472"/>
      <c r="T212" s="472"/>
      <c r="U212" s="472"/>
      <c r="V212" s="472"/>
      <c r="W212" s="472"/>
      <c r="X212" s="472"/>
      <c r="Y212" s="472"/>
    </row>
    <row r="213" spans="1:25" x14ac:dyDescent="0.25">
      <c r="A213" s="463"/>
      <c r="B213" s="506"/>
      <c r="C213" s="507">
        <v>122</v>
      </c>
      <c r="D213" s="508"/>
      <c r="E213" s="509" t="str">
        <f>IF($C213="",IFERROR(VLOOKUP($B213,SERVIÇOS!$B:$G,2,0),IFERROR(VLOOKUP($B213,$D:$K,2,0),"")),IFERROR(VLOOKUP($C213,INSUMOS!$A:$D,2,0),IFERROR(VLOOKUP($C213,COTAÇÕES!$B:$I,2,0),(VLOOKUP($C213,'INSUMO SINAPI - SP'!$C:$F,2,0)))))</f>
        <v>ADESIVO PLASTICO PARA PVC, FRASCO COM *850* GR</v>
      </c>
      <c r="F213" s="510" t="str">
        <f>IF($C213="",IFERROR(VLOOKUP($B213,SERVIÇOS!$B:$G,3,0),IFERROR(VLOOKUP($B213,$D:$K,3,0),"")),IFERROR(VLOOKUP($C213,INSUMOS!$A:$D,3,0),IFERROR(VLOOKUP($C213,COTAÇÕES!$B:$I,3,0),(VLOOKUP($C213,'INSUMO SINAPI - SP'!$C:$F,3,0)))))</f>
        <v>UN</v>
      </c>
      <c r="G213" s="511">
        <v>3.0999999999999999E-3</v>
      </c>
      <c r="H213" s="512">
        <f>IF($C213="",IFERROR(VLOOKUP($B213,SERVIÇOS!$B:$G,6,0),IFERROR(VLOOKUP($B213,$D:$K,8,0),"")),IFERROR(VLOOKUP($C213,INSUMOS!$A:$D,4,0),IFERROR(VLOOKUP($C213,COTAÇÕES!$B:$I,7,0),(VLOOKUP($C213,'INSUMO SINAPI - SP'!$C:$F,4,0)))))</f>
        <v>73.86</v>
      </c>
      <c r="I213" s="513">
        <f>TRUNC(IF($C213="",IFERROR(VLOOKUP($B213,SERVIÇOS!$B:$G,4,0),IFERROR(VLOOKUP($B213,$D:$K,6,0),)),IFERROR(VLOOKUP($C213,INSUMOS!$A:$D,4,0),IFERROR(VLOOKUP($C213,COTAÇÕES!$B:$I,7,0),(VLOOKUP($C213,'INSUMO SINAPI - SP'!$C:$F,4,0)))))*$G213,2)</f>
        <v>0.22</v>
      </c>
      <c r="J213" s="513">
        <f>TRUNC(IF($C213="",IFERROR(VLOOKUP($B213,SERVIÇOS!$B:$G,5,0),IFERROR(VLOOKUP($B213,$D:$K,7,0),)),0)*$G213,2)</f>
        <v>0</v>
      </c>
      <c r="K213" s="514">
        <f>I213+J213</f>
        <v>0.22</v>
      </c>
      <c r="L213" s="517"/>
      <c r="M213" s="471"/>
      <c r="N213" s="516"/>
      <c r="Q213" s="472"/>
      <c r="R213" s="472"/>
      <c r="S213" s="472"/>
      <c r="T213" s="472"/>
      <c r="U213" s="472"/>
      <c r="V213" s="472"/>
      <c r="W213" s="472"/>
      <c r="X213" s="472"/>
      <c r="Y213" s="472"/>
    </row>
    <row r="214" spans="1:25" x14ac:dyDescent="0.25">
      <c r="A214" s="463"/>
      <c r="B214" s="506"/>
      <c r="C214" s="507">
        <v>9871</v>
      </c>
      <c r="D214" s="508"/>
      <c r="E214" s="509" t="str">
        <f>IF($C214="",IFERROR(VLOOKUP($B214,SERVIÇOS!$B:$G,2,0),IFERROR(VLOOKUP($B214,$D:$K,2,0),"")),IFERROR(VLOOKUP($C214,INSUMOS!$A:$D,2,0),IFERROR(VLOOKUP($C214,COTAÇÕES!$B:$I,2,0),(VLOOKUP($C214,'INSUMO SINAPI - SP'!$C:$F,2,0)))))</f>
        <v>TUBO PVC, SOLDAVEL, DE 75 MM, AGUA FRIA (NBR-5648)</v>
      </c>
      <c r="F214" s="510" t="str">
        <f>IF($C214="",IFERROR(VLOOKUP($B214,SERVIÇOS!$B:$G,3,0),IFERROR(VLOOKUP($B214,$D:$K,3,0),"")),IFERROR(VLOOKUP($C214,INSUMOS!$A:$D,3,0),IFERROR(VLOOKUP($C214,COTAÇÕES!$B:$I,3,0),(VLOOKUP($C214,'INSUMO SINAPI - SP'!$C:$F,3,0)))))</f>
        <v>M</v>
      </c>
      <c r="G214" s="511">
        <v>1.4</v>
      </c>
      <c r="H214" s="512">
        <f>IF($C214="",IFERROR(VLOOKUP($B214,SERVIÇOS!$B:$G,6,0),IFERROR(VLOOKUP($B214,$D:$K,8,0),"")),IFERROR(VLOOKUP($C214,INSUMOS!$A:$D,4,0),IFERROR(VLOOKUP($C214,COTAÇÕES!$B:$I,7,0),(VLOOKUP($C214,'INSUMO SINAPI - SP'!$C:$F,4,0)))))</f>
        <v>35.46</v>
      </c>
      <c r="I214" s="513">
        <f>TRUNC(IF($C214="",IFERROR(VLOOKUP($B214,SERVIÇOS!$B:$G,4,0),IFERROR(VLOOKUP($B214,$D:$K,6,0),)),IFERROR(VLOOKUP($C214,INSUMOS!$A:$D,4,0),IFERROR(VLOOKUP($C214,COTAÇÕES!$B:$I,7,0),(VLOOKUP($C214,'INSUMO SINAPI - SP'!$C:$F,4,0)))))*$G214,2)</f>
        <v>49.64</v>
      </c>
      <c r="J214" s="513">
        <f>TRUNC(IF($C214="",IFERROR(VLOOKUP($B214,SERVIÇOS!$B:$G,5,0),IFERROR(VLOOKUP($B214,$D:$K,7,0),)),0)*$G214,2)</f>
        <v>0</v>
      </c>
      <c r="K214" s="514">
        <f>I214+J214</f>
        <v>49.64</v>
      </c>
      <c r="L214" s="517"/>
      <c r="M214" s="471"/>
      <c r="N214" s="516"/>
      <c r="Q214" s="472"/>
      <c r="R214" s="472"/>
      <c r="S214" s="472"/>
      <c r="T214" s="472"/>
      <c r="U214" s="472"/>
      <c r="V214" s="472"/>
      <c r="W214" s="472"/>
      <c r="X214" s="472"/>
      <c r="Y214" s="472"/>
    </row>
    <row r="215" spans="1:25" x14ac:dyDescent="0.25">
      <c r="A215" s="463"/>
      <c r="B215" s="498"/>
      <c r="C215" s="498"/>
      <c r="D215" s="499" t="s">
        <v>12110</v>
      </c>
      <c r="E215" s="500" t="s">
        <v>12760</v>
      </c>
      <c r="F215" s="501" t="s">
        <v>585</v>
      </c>
      <c r="G215" s="502"/>
      <c r="H215" s="503"/>
      <c r="I215" s="504">
        <f>ROUND(SUM(I216:I218),2)</f>
        <v>28.32</v>
      </c>
      <c r="J215" s="504">
        <f>ROUND(SUM(J216:J218),2)</f>
        <v>6.11</v>
      </c>
      <c r="K215" s="504">
        <f>+J215+I215</f>
        <v>34.43</v>
      </c>
      <c r="L215" s="523" t="s">
        <v>12761</v>
      </c>
      <c r="M215" s="471"/>
      <c r="N215" s="505"/>
      <c r="Q215" s="472"/>
      <c r="R215" s="472"/>
      <c r="S215" s="472"/>
      <c r="T215" s="472"/>
      <c r="U215" s="472"/>
      <c r="V215" s="472"/>
      <c r="W215" s="472"/>
      <c r="X215" s="472"/>
      <c r="Y215" s="472"/>
    </row>
    <row r="216" spans="1:25" x14ac:dyDescent="0.25">
      <c r="A216" s="463"/>
      <c r="B216" s="506">
        <v>88267</v>
      </c>
      <c r="C216" s="507"/>
      <c r="D216" s="508"/>
      <c r="E216" s="509" t="str">
        <f>IF($C216="",IFERROR(VLOOKUP($B216,SERVIÇOS!$B:$G,2,0),IFERROR(VLOOKUP($B216,$D:$K,2,0),"")),IFERROR(VLOOKUP($C216,INSUMOS!$A:$D,2,0),IFERROR(VLOOKUP($C216,COTAÇÕES!$B:$I,2,0),(VLOOKUP($C216,'INSUMO SINAPI - SP'!$C:$F,2,0)))))</f>
        <v>ENCANADOR OU BOMBEIRO HIDRÁULICO COM ENCARGOS COMPLEMENTARES</v>
      </c>
      <c r="F216" s="510" t="str">
        <f>IF($C216="",IFERROR(VLOOKUP($B216,SERVIÇOS!$B:$G,3,0),IFERROR(VLOOKUP($B216,$D:$K,3,0),"")),IFERROR(VLOOKUP($C216,INSUMOS!$A:$D,3,0),IFERROR(VLOOKUP($C216,COTAÇÕES!$B:$I,3,0),(VLOOKUP($C216,'INSUMO SINAPI - SP'!$C:$F,3,0)))))</f>
        <v>H</v>
      </c>
      <c r="G216" s="511">
        <v>0.126</v>
      </c>
      <c r="H216" s="512">
        <f>IF($C216="",IFERROR(VLOOKUP($B216,SERVIÇOS!$B:$G,6,0),IFERROR(VLOOKUP($B216,$D:$K,8,0),"")),IFERROR(VLOOKUP($C216,INSUMOS!$A:$D,4,0),IFERROR(VLOOKUP($C216,COTAÇÕES!$B:$I,7,0),(VLOOKUP($C216,'INSUMO SINAPI - SP'!$C:$F,4,0)))))</f>
        <v>36.17</v>
      </c>
      <c r="I216" s="513">
        <f>TRUNC(IF($C216="",IFERROR(VLOOKUP($B216,SERVIÇOS!$B:$G,4,0),IFERROR(VLOOKUP($B216,$D:$K,6,0),)),IFERROR(VLOOKUP($C216,INSUMOS!$A:$D,4,0),IFERROR(VLOOKUP($C216,COTAÇÕES!$B:$I,7,0),(VLOOKUP($C216,'INSUMO SINAPI - SP'!$C:$F,4,0)))))*$G216,2)</f>
        <v>1.08</v>
      </c>
      <c r="J216" s="513">
        <f>TRUNC(IF($C216="",IFERROR(VLOOKUP($B216,SERVIÇOS!$B:$G,5,0),IFERROR(VLOOKUP($B216,$D:$K,7,0),)),0)*$G216,2)</f>
        <v>3.46</v>
      </c>
      <c r="K216" s="514">
        <f>I216+J216</f>
        <v>4.54</v>
      </c>
      <c r="L216" s="515"/>
      <c r="M216" s="471"/>
      <c r="N216" s="516"/>
      <c r="Q216" s="472"/>
      <c r="R216" s="472"/>
      <c r="S216" s="472"/>
      <c r="T216" s="472"/>
      <c r="U216" s="472"/>
      <c r="V216" s="472"/>
      <c r="W216" s="472"/>
      <c r="X216" s="472"/>
      <c r="Y216" s="472"/>
    </row>
    <row r="217" spans="1:25" x14ac:dyDescent="0.25">
      <c r="A217" s="463"/>
      <c r="B217" s="506">
        <v>88248</v>
      </c>
      <c r="C217" s="507"/>
      <c r="D217" s="508"/>
      <c r="E217" s="509" t="str">
        <f>IF($C217="",IFERROR(VLOOKUP($B217,SERVIÇOS!$B:$G,2,0),IFERROR(VLOOKUP($B217,$D:$K,2,0),"")),IFERROR(VLOOKUP($C217,INSUMOS!$A:$D,2,0),IFERROR(VLOOKUP($C217,COTAÇÕES!$B:$I,2,0),(VLOOKUP($C217,'INSUMO SINAPI - SP'!$C:$F,2,0)))))</f>
        <v>AUXILIAR DE ENCANADOR OU BOMBEIRO HIDRÁULICO COM ENCARGOS COMPLEMENTARES</v>
      </c>
      <c r="F217" s="510" t="str">
        <f>IF($C217="",IFERROR(VLOOKUP($B217,SERVIÇOS!$B:$G,3,0),IFERROR(VLOOKUP($B217,$D:$K,3,0),"")),IFERROR(VLOOKUP($C217,INSUMOS!$A:$D,3,0),IFERROR(VLOOKUP($C217,COTAÇÕES!$B:$I,3,0),(VLOOKUP($C217,'INSUMO SINAPI - SP'!$C:$F,3,0)))))</f>
        <v>H</v>
      </c>
      <c r="G217" s="511">
        <v>0.126</v>
      </c>
      <c r="H217" s="512">
        <f>IF($C217="",IFERROR(VLOOKUP($B217,SERVIÇOS!$B:$G,6,0),IFERROR(VLOOKUP($B217,$D:$K,8,0),"")),IFERROR(VLOOKUP($C217,INSUMOS!$A:$D,4,0),IFERROR(VLOOKUP($C217,COTAÇÕES!$B:$I,7,0),(VLOOKUP($C217,'INSUMO SINAPI - SP'!$C:$F,4,0)))))</f>
        <v>29.72</v>
      </c>
      <c r="I217" s="513">
        <f>TRUNC(IF($C217="",IFERROR(VLOOKUP($B217,SERVIÇOS!$B:$G,4,0),IFERROR(VLOOKUP($B217,$D:$K,6,0),)),IFERROR(VLOOKUP($C217,INSUMOS!$A:$D,4,0),IFERROR(VLOOKUP($C217,COTAÇÕES!$B:$I,7,0),(VLOOKUP($C217,'INSUMO SINAPI - SP'!$C:$F,4,0)))))*$G217,2)</f>
        <v>1.08</v>
      </c>
      <c r="J217" s="513">
        <f>TRUNC(IF($C217="",IFERROR(VLOOKUP($B217,SERVIÇOS!$B:$G,5,0),IFERROR(VLOOKUP($B217,$D:$K,7,0),)),0)*$G217,2)</f>
        <v>2.65</v>
      </c>
      <c r="K217" s="514">
        <f>I217+J217</f>
        <v>3.73</v>
      </c>
      <c r="L217" s="515"/>
      <c r="M217" s="471"/>
      <c r="N217" s="516"/>
      <c r="Q217" s="472"/>
      <c r="R217" s="472"/>
      <c r="S217" s="472"/>
      <c r="T217" s="472"/>
      <c r="U217" s="472"/>
      <c r="V217" s="472"/>
      <c r="W217" s="472"/>
      <c r="X217" s="472"/>
      <c r="Y217" s="472"/>
    </row>
    <row r="218" spans="1:25" x14ac:dyDescent="0.25">
      <c r="A218" s="463"/>
      <c r="B218" s="506"/>
      <c r="C218" s="507">
        <v>36278</v>
      </c>
      <c r="D218" s="508"/>
      <c r="E218" s="509" t="str">
        <f>IF($C218="",IFERROR(VLOOKUP($B218,SERVIÇOS!$B:$G,2,0),IFERROR(VLOOKUP($B218,$D:$K,2,0),"")),IFERROR(VLOOKUP($C218,INSUMOS!$A:$D,2,0),IFERROR(VLOOKUP($C218,COTAÇÕES!$B:$I,2,0),(VLOOKUP($C218,'INSUMO SINAPI - SP'!$C:$F,2,0)))))</f>
        <v>TUBO PPR PN 20, DN 25 MM, PARA AGUA QUENTE PREDIAL</v>
      </c>
      <c r="F218" s="510" t="str">
        <f>IF($C218="",IFERROR(VLOOKUP($B218,SERVIÇOS!$B:$G,3,0),IFERROR(VLOOKUP($B218,$D:$K,3,0),"")),IFERROR(VLOOKUP($C218,INSUMOS!$A:$D,3,0),IFERROR(VLOOKUP($C218,COTAÇÕES!$B:$I,3,0),(VLOOKUP($C218,'INSUMO SINAPI - SP'!$C:$F,3,0)))))</f>
        <v>M</v>
      </c>
      <c r="G218" s="511">
        <v>1.6</v>
      </c>
      <c r="H218" s="512">
        <f>IF($C218="",IFERROR(VLOOKUP($B218,SERVIÇOS!$B:$G,6,0),IFERROR(VLOOKUP($B218,$D:$K,8,0),"")),IFERROR(VLOOKUP($C218,INSUMOS!$A:$D,4,0),IFERROR(VLOOKUP($C218,COTAÇÕES!$B:$I,7,0),(VLOOKUP($C218,'INSUMO SINAPI - SP'!$C:$F,4,0)))))</f>
        <v>16.350000000000001</v>
      </c>
      <c r="I218" s="513">
        <f>TRUNC(IF($C218="",IFERROR(VLOOKUP($B218,SERVIÇOS!$B:$G,4,0),IFERROR(VLOOKUP($B218,$D:$K,6,0),)),IFERROR(VLOOKUP($C218,INSUMOS!$A:$D,4,0),IFERROR(VLOOKUP($C218,COTAÇÕES!$B:$I,7,0),(VLOOKUP($C218,'INSUMO SINAPI - SP'!$C:$F,4,0)))))*$G218,2)</f>
        <v>26.16</v>
      </c>
      <c r="J218" s="513">
        <f>TRUNC(IF($C218="",IFERROR(VLOOKUP($B218,SERVIÇOS!$B:$G,5,0),IFERROR(VLOOKUP($B218,$D:$K,7,0),)),0)*$G218,2)</f>
        <v>0</v>
      </c>
      <c r="K218" s="514">
        <f>I218+J218</f>
        <v>26.16</v>
      </c>
      <c r="L218" s="517"/>
      <c r="M218" s="471"/>
      <c r="N218" s="516"/>
      <c r="Q218" s="472"/>
      <c r="R218" s="472"/>
      <c r="S218" s="472"/>
      <c r="T218" s="472"/>
      <c r="U218" s="472"/>
      <c r="V218" s="472"/>
      <c r="W218" s="472"/>
      <c r="X218" s="472"/>
      <c r="Y218" s="472"/>
    </row>
    <row r="219" spans="1:25" x14ac:dyDescent="0.25">
      <c r="A219" s="463"/>
      <c r="B219" s="498"/>
      <c r="C219" s="498"/>
      <c r="D219" s="499" t="s">
        <v>12123</v>
      </c>
      <c r="E219" s="500" t="s">
        <v>12762</v>
      </c>
      <c r="F219" s="501" t="s">
        <v>585</v>
      </c>
      <c r="G219" s="502"/>
      <c r="H219" s="503"/>
      <c r="I219" s="504">
        <f>ROUND(SUM(I220:I222),2)</f>
        <v>82.65</v>
      </c>
      <c r="J219" s="504">
        <f>ROUND(SUM(J220:J222),2)</f>
        <v>12.24</v>
      </c>
      <c r="K219" s="504">
        <f>+J219+I219</f>
        <v>94.89</v>
      </c>
      <c r="L219" s="523" t="s">
        <v>12763</v>
      </c>
      <c r="M219" s="471"/>
      <c r="N219" s="505"/>
      <c r="Q219" s="472"/>
      <c r="R219" s="472"/>
      <c r="S219" s="472"/>
      <c r="T219" s="472"/>
      <c r="U219" s="472"/>
      <c r="V219" s="472"/>
      <c r="W219" s="472"/>
      <c r="X219" s="472"/>
      <c r="Y219" s="472"/>
    </row>
    <row r="220" spans="1:25" x14ac:dyDescent="0.25">
      <c r="A220" s="463"/>
      <c r="B220" s="506">
        <v>88267</v>
      </c>
      <c r="C220" s="507"/>
      <c r="D220" s="508"/>
      <c r="E220" s="509" t="str">
        <f>IF($C220="",IFERROR(VLOOKUP($B220,SERVIÇOS!$B:$G,2,0),IFERROR(VLOOKUP($B220,$D:$K,2,0),"")),IFERROR(VLOOKUP($C220,INSUMOS!$A:$D,2,0),IFERROR(VLOOKUP($C220,COTAÇÕES!$B:$I,2,0),(VLOOKUP($C220,'INSUMO SINAPI - SP'!$C:$F,2,0)))))</f>
        <v>ENCANADOR OU BOMBEIRO HIDRÁULICO COM ENCARGOS COMPLEMENTARES</v>
      </c>
      <c r="F220" s="510" t="str">
        <f>IF($C220="",IFERROR(VLOOKUP($B220,SERVIÇOS!$B:$G,3,0),IFERROR(VLOOKUP($B220,$D:$K,3,0),"")),IFERROR(VLOOKUP($C220,INSUMOS!$A:$D,3,0),IFERROR(VLOOKUP($C220,COTAÇÕES!$B:$I,3,0),(VLOOKUP($C220,'INSUMO SINAPI - SP'!$C:$F,3,0)))))</f>
        <v>H</v>
      </c>
      <c r="G220" s="511">
        <v>0.252</v>
      </c>
      <c r="H220" s="512">
        <f>IF($C220="",IFERROR(VLOOKUP($B220,SERVIÇOS!$B:$G,6,0),IFERROR(VLOOKUP($B220,$D:$K,8,0),"")),IFERROR(VLOOKUP($C220,INSUMOS!$A:$D,4,0),IFERROR(VLOOKUP($C220,COTAÇÕES!$B:$I,7,0),(VLOOKUP($C220,'INSUMO SINAPI - SP'!$C:$F,4,0)))))</f>
        <v>36.17</v>
      </c>
      <c r="I220" s="513">
        <f>TRUNC(IF($C220="",IFERROR(VLOOKUP($B220,SERVIÇOS!$B:$G,4,0),IFERROR(VLOOKUP($B220,$D:$K,6,0),)),IFERROR(VLOOKUP($C220,INSUMOS!$A:$D,4,0),IFERROR(VLOOKUP($C220,COTAÇÕES!$B:$I,7,0),(VLOOKUP($C220,'INSUMO SINAPI - SP'!$C:$F,4,0)))))*$G220,2)</f>
        <v>2.17</v>
      </c>
      <c r="J220" s="513">
        <f>TRUNC(IF($C220="",IFERROR(VLOOKUP($B220,SERVIÇOS!$B:$G,5,0),IFERROR(VLOOKUP($B220,$D:$K,7,0),)),0)*$G220,2)</f>
        <v>6.93</v>
      </c>
      <c r="K220" s="514">
        <f>I220+J220</f>
        <v>9.1</v>
      </c>
      <c r="L220" s="515"/>
      <c r="M220" s="471"/>
      <c r="N220" s="516"/>
      <c r="Q220" s="472"/>
      <c r="R220" s="472"/>
      <c r="S220" s="472"/>
      <c r="T220" s="472"/>
      <c r="U220" s="472"/>
      <c r="V220" s="472"/>
      <c r="W220" s="472"/>
      <c r="X220" s="472"/>
      <c r="Y220" s="472"/>
    </row>
    <row r="221" spans="1:25" x14ac:dyDescent="0.25">
      <c r="A221" s="463"/>
      <c r="B221" s="506">
        <v>88248</v>
      </c>
      <c r="C221" s="507"/>
      <c r="D221" s="508"/>
      <c r="E221" s="509" t="str">
        <f>IF($C221="",IFERROR(VLOOKUP($B221,SERVIÇOS!$B:$G,2,0),IFERROR(VLOOKUP($B221,$D:$K,2,0),"")),IFERROR(VLOOKUP($C221,INSUMOS!$A:$D,2,0),IFERROR(VLOOKUP($C221,COTAÇÕES!$B:$I,2,0),(VLOOKUP($C221,'INSUMO SINAPI - SP'!$C:$F,2,0)))))</f>
        <v>AUXILIAR DE ENCANADOR OU BOMBEIRO HIDRÁULICO COM ENCARGOS COMPLEMENTARES</v>
      </c>
      <c r="F221" s="510" t="str">
        <f>IF($C221="",IFERROR(VLOOKUP($B221,SERVIÇOS!$B:$G,3,0),IFERROR(VLOOKUP($B221,$D:$K,3,0),"")),IFERROR(VLOOKUP($C221,INSUMOS!$A:$D,3,0),IFERROR(VLOOKUP($C221,COTAÇÕES!$B:$I,3,0),(VLOOKUP($C221,'INSUMO SINAPI - SP'!$C:$F,3,0)))))</f>
        <v>H</v>
      </c>
      <c r="G221" s="511">
        <v>0.252</v>
      </c>
      <c r="H221" s="512">
        <f>IF($C221="",IFERROR(VLOOKUP($B221,SERVIÇOS!$B:$G,6,0),IFERROR(VLOOKUP($B221,$D:$K,8,0),"")),IFERROR(VLOOKUP($C221,INSUMOS!$A:$D,4,0),IFERROR(VLOOKUP($C221,COTAÇÕES!$B:$I,7,0),(VLOOKUP($C221,'INSUMO SINAPI - SP'!$C:$F,4,0)))))</f>
        <v>29.72</v>
      </c>
      <c r="I221" s="513">
        <f>TRUNC(IF($C221="",IFERROR(VLOOKUP($B221,SERVIÇOS!$B:$G,4,0),IFERROR(VLOOKUP($B221,$D:$K,6,0),)),IFERROR(VLOOKUP($C221,INSUMOS!$A:$D,4,0),IFERROR(VLOOKUP($C221,COTAÇÕES!$B:$I,7,0),(VLOOKUP($C221,'INSUMO SINAPI - SP'!$C:$F,4,0)))))*$G221,2)</f>
        <v>2.17</v>
      </c>
      <c r="J221" s="513">
        <f>TRUNC(IF($C221="",IFERROR(VLOOKUP($B221,SERVIÇOS!$B:$G,5,0),IFERROR(VLOOKUP($B221,$D:$K,7,0),)),0)*$G221,2)</f>
        <v>5.31</v>
      </c>
      <c r="K221" s="514">
        <f>I221+J221</f>
        <v>7.4799999999999995</v>
      </c>
      <c r="L221" s="515"/>
      <c r="M221" s="471"/>
      <c r="N221" s="516"/>
      <c r="Q221" s="472"/>
      <c r="R221" s="472"/>
      <c r="S221" s="472"/>
      <c r="T221" s="472"/>
      <c r="U221" s="472"/>
      <c r="V221" s="472"/>
      <c r="W221" s="472"/>
      <c r="X221" s="472"/>
      <c r="Y221" s="472"/>
    </row>
    <row r="222" spans="1:25" x14ac:dyDescent="0.25">
      <c r="A222" s="463"/>
      <c r="B222" s="506"/>
      <c r="C222" s="507">
        <v>38982</v>
      </c>
      <c r="D222" s="508"/>
      <c r="E222" s="509" t="str">
        <f>IF($C222="",IFERROR(VLOOKUP($B222,SERVIÇOS!$B:$G,2,0),IFERROR(VLOOKUP($B222,$D:$K,2,0),"")),IFERROR(VLOOKUP($C222,INSUMOS!$A:$D,2,0),IFERROR(VLOOKUP($C222,COTAÇÕES!$B:$I,2,0),(VLOOKUP($C222,'INSUMO SINAPI - SP'!$C:$F,2,0)))))</f>
        <v>TUBO PPR, CLASSE PN 25, DN 50 MM, PARA AGUA QUENTE E FRIA PREDIAL</v>
      </c>
      <c r="F222" s="510" t="str">
        <f>IF($C222="",IFERROR(VLOOKUP($B222,SERVIÇOS!$B:$G,3,0),IFERROR(VLOOKUP($B222,$D:$K,3,0),"")),IFERROR(VLOOKUP($C222,INSUMOS!$A:$D,3,0),IFERROR(VLOOKUP($C222,COTAÇÕES!$B:$I,3,0),(VLOOKUP($C222,'INSUMO SINAPI - SP'!$C:$F,3,0)))))</f>
        <v>M</v>
      </c>
      <c r="G222" s="511">
        <v>1.4</v>
      </c>
      <c r="H222" s="512">
        <f>IF($C222="",IFERROR(VLOOKUP($B222,SERVIÇOS!$B:$G,6,0),IFERROR(VLOOKUP($B222,$D:$K,8,0),"")),IFERROR(VLOOKUP($C222,INSUMOS!$A:$D,4,0),IFERROR(VLOOKUP($C222,COTAÇÕES!$B:$I,7,0),(VLOOKUP($C222,'INSUMO SINAPI - SP'!$C:$F,4,0)))))</f>
        <v>55.94</v>
      </c>
      <c r="I222" s="513">
        <f>TRUNC(IF($C222="",IFERROR(VLOOKUP($B222,SERVIÇOS!$B:$G,4,0),IFERROR(VLOOKUP($B222,$D:$K,6,0),)),IFERROR(VLOOKUP($C222,INSUMOS!$A:$D,4,0),IFERROR(VLOOKUP($C222,COTAÇÕES!$B:$I,7,0),(VLOOKUP($C222,'INSUMO SINAPI - SP'!$C:$F,4,0)))))*$G222,2)</f>
        <v>78.31</v>
      </c>
      <c r="J222" s="513">
        <f>TRUNC(IF($C222="",IFERROR(VLOOKUP($B222,SERVIÇOS!$B:$G,5,0),IFERROR(VLOOKUP($B222,$D:$K,7,0),)),0)*$G222,2)</f>
        <v>0</v>
      </c>
      <c r="K222" s="514">
        <f>I222+J222</f>
        <v>78.31</v>
      </c>
      <c r="L222" s="517"/>
      <c r="M222" s="471"/>
      <c r="N222" s="516"/>
      <c r="Q222" s="472"/>
      <c r="R222" s="472"/>
      <c r="S222" s="472"/>
      <c r="T222" s="472"/>
      <c r="U222" s="472"/>
      <c r="V222" s="472"/>
      <c r="W222" s="472"/>
      <c r="X222" s="472"/>
      <c r="Y222" s="472"/>
    </row>
    <row r="223" spans="1:25" ht="24" x14ac:dyDescent="0.25">
      <c r="A223" s="463"/>
      <c r="B223" s="498"/>
      <c r="C223" s="498"/>
      <c r="D223" s="499" t="s">
        <v>12117</v>
      </c>
      <c r="E223" s="500" t="s">
        <v>12764</v>
      </c>
      <c r="F223" s="501" t="s">
        <v>585</v>
      </c>
      <c r="G223" s="502"/>
      <c r="H223" s="503"/>
      <c r="I223" s="504">
        <f>ROUND(SUM(I224:I230),2)</f>
        <v>20.64</v>
      </c>
      <c r="J223" s="504">
        <f>ROUND(SUM(J224:J230),2)</f>
        <v>24.3</v>
      </c>
      <c r="K223" s="504">
        <f>+J223+I223</f>
        <v>44.94</v>
      </c>
      <c r="L223" s="523" t="s">
        <v>12765</v>
      </c>
      <c r="M223" s="471"/>
      <c r="N223" s="505"/>
      <c r="Q223" s="472"/>
      <c r="R223" s="472"/>
      <c r="S223" s="472"/>
      <c r="T223" s="472"/>
      <c r="U223" s="472"/>
      <c r="V223" s="472"/>
      <c r="W223" s="472"/>
      <c r="X223" s="472"/>
      <c r="Y223" s="472"/>
    </row>
    <row r="224" spans="1:25" x14ac:dyDescent="0.25">
      <c r="A224" s="463"/>
      <c r="B224" s="506">
        <v>88267</v>
      </c>
      <c r="C224" s="507"/>
      <c r="D224" s="508"/>
      <c r="E224" s="509" t="str">
        <f>IF($C224="",IFERROR(VLOOKUP($B224,SERVIÇOS!$B:$G,2,0),IFERROR(VLOOKUP($B224,$D:$K,2,0),"")),IFERROR(VLOOKUP($C224,INSUMOS!$A:$D,2,0),IFERROR(VLOOKUP($C224,COTAÇÕES!$B:$I,2,0),(VLOOKUP($C224,'INSUMO SINAPI - SP'!$C:$F,2,0)))))</f>
        <v>ENCANADOR OU BOMBEIRO HIDRÁULICO COM ENCARGOS COMPLEMENTARES</v>
      </c>
      <c r="F224" s="510" t="str">
        <f>IF($C224="",IFERROR(VLOOKUP($B224,SERVIÇOS!$B:$G,3,0),IFERROR(VLOOKUP($B224,$D:$K,3,0),"")),IFERROR(VLOOKUP($C224,INSUMOS!$A:$D,3,0),IFERROR(VLOOKUP($C224,COTAÇÕES!$B:$I,3,0),(VLOOKUP($C224,'INSUMO SINAPI - SP'!$C:$F,3,0)))))</f>
        <v>H</v>
      </c>
      <c r="G224" s="511">
        <v>0.5</v>
      </c>
      <c r="H224" s="512">
        <f>IF($C224="",IFERROR(VLOOKUP($B224,SERVIÇOS!$B:$G,6,0),IFERROR(VLOOKUP($B224,$D:$K,8,0),"")),IFERROR(VLOOKUP($C224,INSUMOS!$A:$D,4,0),IFERROR(VLOOKUP($C224,COTAÇÕES!$B:$I,7,0),(VLOOKUP($C224,'INSUMO SINAPI - SP'!$C:$F,4,0)))))</f>
        <v>36.17</v>
      </c>
      <c r="I224" s="513">
        <f>TRUNC(IF($C224="",IFERROR(VLOOKUP($B224,SERVIÇOS!$B:$G,4,0),IFERROR(VLOOKUP($B224,$D:$K,6,0),)),IFERROR(VLOOKUP($C224,INSUMOS!$A:$D,4,0),IFERROR(VLOOKUP($C224,COTAÇÕES!$B:$I,7,0),(VLOOKUP($C224,'INSUMO SINAPI - SP'!$C:$F,4,0)))))*$G224,2)</f>
        <v>4.32</v>
      </c>
      <c r="J224" s="513">
        <f>TRUNC(IF($C224="",IFERROR(VLOOKUP($B224,SERVIÇOS!$B:$G,5,0),IFERROR(VLOOKUP($B224,$D:$K,7,0),)),0)*$G224,2)</f>
        <v>13.76</v>
      </c>
      <c r="K224" s="514">
        <f t="shared" ref="K224:K230" si="9">I224+J224</f>
        <v>18.079999999999998</v>
      </c>
      <c r="L224" s="515"/>
      <c r="M224" s="471"/>
      <c r="N224" s="516"/>
      <c r="Q224" s="472"/>
      <c r="R224" s="472"/>
      <c r="S224" s="472"/>
      <c r="T224" s="472"/>
      <c r="U224" s="472"/>
      <c r="V224" s="472"/>
      <c r="W224" s="472"/>
      <c r="X224" s="472"/>
      <c r="Y224" s="472"/>
    </row>
    <row r="225" spans="1:25" x14ac:dyDescent="0.25">
      <c r="A225" s="463"/>
      <c r="B225" s="506">
        <v>88248</v>
      </c>
      <c r="C225" s="507"/>
      <c r="D225" s="508"/>
      <c r="E225" s="509" t="str">
        <f>IF($C225="",IFERROR(VLOOKUP($B225,SERVIÇOS!$B:$G,2,0),IFERROR(VLOOKUP($B225,$D:$K,2,0),"")),IFERROR(VLOOKUP($C225,INSUMOS!$A:$D,2,0),IFERROR(VLOOKUP($C225,COTAÇÕES!$B:$I,2,0),(VLOOKUP($C225,'INSUMO SINAPI - SP'!$C:$F,2,0)))))</f>
        <v>AUXILIAR DE ENCANADOR OU BOMBEIRO HIDRÁULICO COM ENCARGOS COMPLEMENTARES</v>
      </c>
      <c r="F225" s="510" t="str">
        <f>IF($C225="",IFERROR(VLOOKUP($B225,SERVIÇOS!$B:$G,3,0),IFERROR(VLOOKUP($B225,$D:$K,3,0),"")),IFERROR(VLOOKUP($C225,INSUMOS!$A:$D,3,0),IFERROR(VLOOKUP($C225,COTAÇÕES!$B:$I,3,0),(VLOOKUP($C225,'INSUMO SINAPI - SP'!$C:$F,3,0)))))</f>
        <v>H</v>
      </c>
      <c r="G225" s="511">
        <v>0.5</v>
      </c>
      <c r="H225" s="512">
        <f>IF($C225="",IFERROR(VLOOKUP($B225,SERVIÇOS!$B:$G,6,0),IFERROR(VLOOKUP($B225,$D:$K,8,0),"")),IFERROR(VLOOKUP($C225,INSUMOS!$A:$D,4,0),IFERROR(VLOOKUP($C225,COTAÇÕES!$B:$I,7,0),(VLOOKUP($C225,'INSUMO SINAPI - SP'!$C:$F,4,0)))))</f>
        <v>29.72</v>
      </c>
      <c r="I225" s="513">
        <f>TRUNC(IF($C225="",IFERROR(VLOOKUP($B225,SERVIÇOS!$B:$G,4,0),IFERROR(VLOOKUP($B225,$D:$K,6,0),)),IFERROR(VLOOKUP($C225,INSUMOS!$A:$D,4,0),IFERROR(VLOOKUP($C225,COTAÇÕES!$B:$I,7,0),(VLOOKUP($C225,'INSUMO SINAPI - SP'!$C:$F,4,0)))))*$G225,2)</f>
        <v>4.32</v>
      </c>
      <c r="J225" s="513">
        <f>TRUNC(IF($C225="",IFERROR(VLOOKUP($B225,SERVIÇOS!$B:$G,5,0),IFERROR(VLOOKUP($B225,$D:$K,7,0),)),0)*$G225,2)</f>
        <v>10.54</v>
      </c>
      <c r="K225" s="514">
        <f t="shared" si="9"/>
        <v>14.86</v>
      </c>
      <c r="L225" s="515"/>
      <c r="M225" s="471"/>
      <c r="N225" s="516"/>
      <c r="Q225" s="472"/>
      <c r="R225" s="472"/>
      <c r="S225" s="472"/>
      <c r="T225" s="472"/>
      <c r="U225" s="472"/>
      <c r="V225" s="472"/>
      <c r="W225" s="472"/>
      <c r="X225" s="472"/>
      <c r="Y225" s="472"/>
    </row>
    <row r="226" spans="1:25" x14ac:dyDescent="0.25">
      <c r="A226" s="463"/>
      <c r="B226" s="506"/>
      <c r="C226" s="507">
        <v>38383</v>
      </c>
      <c r="D226" s="508"/>
      <c r="E226" s="509" t="str">
        <f>IF($C226="",IFERROR(VLOOKUP($B226,SERVIÇOS!$B:$G,2,0),IFERROR(VLOOKUP($B226,$D:$K,2,0),"")),IFERROR(VLOOKUP($C226,INSUMOS!$A:$D,2,0),IFERROR(VLOOKUP($C226,COTAÇÕES!$B:$I,2,0),(VLOOKUP($C226,'INSUMO SINAPI - SP'!$C:$F,2,0)))))</f>
        <v>LIXA D'AGUA EM FOLHA, COR PRETA, GRAO 100</v>
      </c>
      <c r="F226" s="510" t="str">
        <f>IF($C226="",IFERROR(VLOOKUP($B226,SERVIÇOS!$B:$G,3,0),IFERROR(VLOOKUP($B226,$D:$K,3,0),"")),IFERROR(VLOOKUP($C226,INSUMOS!$A:$D,3,0),IFERROR(VLOOKUP($C226,COTAÇÕES!$B:$I,3,0),(VLOOKUP($C226,'INSUMO SINAPI - SP'!$C:$F,3,0)))))</f>
        <v>UN</v>
      </c>
      <c r="G226" s="511">
        <v>7.0000000000000007E-2</v>
      </c>
      <c r="H226" s="512">
        <f>IF($C226="",IFERROR(VLOOKUP($B226,SERVIÇOS!$B:$G,6,0),IFERROR(VLOOKUP($B226,$D:$K,8,0),"")),IFERROR(VLOOKUP($C226,INSUMOS!$A:$D,4,0),IFERROR(VLOOKUP($C226,COTAÇÕES!$B:$I,7,0),(VLOOKUP($C226,'INSUMO SINAPI - SP'!$C:$F,4,0)))))</f>
        <v>1.99</v>
      </c>
      <c r="I226" s="513">
        <f>TRUNC(IF($C226="",IFERROR(VLOOKUP($B226,SERVIÇOS!$B:$G,4,0),IFERROR(VLOOKUP($B226,$D:$K,6,0),)),IFERROR(VLOOKUP($C226,INSUMOS!$A:$D,4,0),IFERROR(VLOOKUP($C226,COTAÇÕES!$B:$I,7,0),(VLOOKUP($C226,'INSUMO SINAPI - SP'!$C:$F,4,0)))))*$G226,2)</f>
        <v>0.13</v>
      </c>
      <c r="J226" s="513">
        <f>TRUNC(IF($C226="",IFERROR(VLOOKUP($B226,SERVIÇOS!$B:$G,5,0),IFERROR(VLOOKUP($B226,$D:$K,7,0),)),0)*$G226,2)</f>
        <v>0</v>
      </c>
      <c r="K226" s="514">
        <f t="shared" si="9"/>
        <v>0.13</v>
      </c>
      <c r="L226" s="517"/>
      <c r="M226" s="471"/>
      <c r="N226" s="516"/>
      <c r="Q226" s="472"/>
      <c r="R226" s="472"/>
      <c r="S226" s="472"/>
      <c r="T226" s="472"/>
      <c r="U226" s="472"/>
      <c r="V226" s="472"/>
      <c r="W226" s="472"/>
      <c r="X226" s="472"/>
      <c r="Y226" s="472"/>
    </row>
    <row r="227" spans="1:25" x14ac:dyDescent="0.25">
      <c r="A227" s="463"/>
      <c r="B227" s="506"/>
      <c r="C227" s="507">
        <v>20083</v>
      </c>
      <c r="D227" s="508"/>
      <c r="E227" s="509" t="str">
        <f>IF($C227="",IFERROR(VLOOKUP($B227,SERVIÇOS!$B:$G,2,0),IFERROR(VLOOKUP($B227,$D:$K,2,0),"")),IFERROR(VLOOKUP($C227,INSUMOS!$A:$D,2,0),IFERROR(VLOOKUP($C227,COTAÇÕES!$B:$I,2,0),(VLOOKUP($C227,'INSUMO SINAPI - SP'!$C:$F,2,0)))))</f>
        <v>SOLUCAO PREPARADORA / LIMPADORA PARA PVC, FRASCO COM 1000 CM3</v>
      </c>
      <c r="F227" s="510" t="str">
        <f>IF($C227="",IFERROR(VLOOKUP($B227,SERVIÇOS!$B:$G,3,0),IFERROR(VLOOKUP($B227,$D:$K,3,0),"")),IFERROR(VLOOKUP($C227,INSUMOS!$A:$D,3,0),IFERROR(VLOOKUP($C227,COTAÇÕES!$B:$I,3,0),(VLOOKUP($C227,'INSUMO SINAPI - SP'!$C:$F,3,0)))))</f>
        <v>UN</v>
      </c>
      <c r="G227" s="511">
        <v>7.0000000000000001E-3</v>
      </c>
      <c r="H227" s="512">
        <f>IF($C227="",IFERROR(VLOOKUP($B227,SERVIÇOS!$B:$G,6,0),IFERROR(VLOOKUP($B227,$D:$K,8,0),"")),IFERROR(VLOOKUP($C227,INSUMOS!$A:$D,4,0),IFERROR(VLOOKUP($C227,COTAÇÕES!$B:$I,7,0),(VLOOKUP($C227,'INSUMO SINAPI - SP'!$C:$F,4,0)))))</f>
        <v>83.68</v>
      </c>
      <c r="I227" s="513">
        <f>TRUNC(IF($C227="",IFERROR(VLOOKUP($B227,SERVIÇOS!$B:$G,4,0),IFERROR(VLOOKUP($B227,$D:$K,6,0),)),IFERROR(VLOOKUP($C227,INSUMOS!$A:$D,4,0),IFERROR(VLOOKUP($C227,COTAÇÕES!$B:$I,7,0),(VLOOKUP($C227,'INSUMO SINAPI - SP'!$C:$F,4,0)))))*$G227,2)</f>
        <v>0.57999999999999996</v>
      </c>
      <c r="J227" s="513">
        <f>TRUNC(IF($C227="",IFERROR(VLOOKUP($B227,SERVIÇOS!$B:$G,5,0),IFERROR(VLOOKUP($B227,$D:$K,7,0),)),0)*$G227,2)</f>
        <v>0</v>
      </c>
      <c r="K227" s="514">
        <f t="shared" si="9"/>
        <v>0.57999999999999996</v>
      </c>
      <c r="L227" s="517"/>
      <c r="M227" s="471"/>
      <c r="N227" s="516"/>
      <c r="Q227" s="472"/>
      <c r="R227" s="472"/>
      <c r="S227" s="472"/>
      <c r="T227" s="472"/>
      <c r="U227" s="472"/>
      <c r="V227" s="472"/>
      <c r="W227" s="472"/>
      <c r="X227" s="472"/>
      <c r="Y227" s="472"/>
    </row>
    <row r="228" spans="1:25" x14ac:dyDescent="0.25">
      <c r="A228" s="463"/>
      <c r="B228" s="506"/>
      <c r="C228" s="507">
        <v>122</v>
      </c>
      <c r="D228" s="508"/>
      <c r="E228" s="509" t="str">
        <f>IF($C228="",IFERROR(VLOOKUP($B228,SERVIÇOS!$B:$G,2,0),IFERROR(VLOOKUP($B228,$D:$K,2,0),"")),IFERROR(VLOOKUP($C228,INSUMOS!$A:$D,2,0),IFERROR(VLOOKUP($C228,COTAÇÕES!$B:$I,2,0),(VLOOKUP($C228,'INSUMO SINAPI - SP'!$C:$F,2,0)))))</f>
        <v>ADESIVO PLASTICO PARA PVC, FRASCO COM *850* GR</v>
      </c>
      <c r="F228" s="510" t="str">
        <f>IF($C228="",IFERROR(VLOOKUP($B228,SERVIÇOS!$B:$G,3,0),IFERROR(VLOOKUP($B228,$D:$K,3,0),"")),IFERROR(VLOOKUP($C228,INSUMOS!$A:$D,3,0),IFERROR(VLOOKUP($C228,COTAÇÕES!$B:$I,3,0),(VLOOKUP($C228,'INSUMO SINAPI - SP'!$C:$F,3,0)))))</f>
        <v>UN</v>
      </c>
      <c r="G228" s="511">
        <v>5.0000000000000001E-3</v>
      </c>
      <c r="H228" s="512">
        <f>IF($C228="",IFERROR(VLOOKUP($B228,SERVIÇOS!$B:$G,6,0),IFERROR(VLOOKUP($B228,$D:$K,8,0),"")),IFERROR(VLOOKUP($C228,INSUMOS!$A:$D,4,0),IFERROR(VLOOKUP($C228,COTAÇÕES!$B:$I,7,0),(VLOOKUP($C228,'INSUMO SINAPI - SP'!$C:$F,4,0)))))</f>
        <v>73.86</v>
      </c>
      <c r="I228" s="513">
        <f>TRUNC(IF($C228="",IFERROR(VLOOKUP($B228,SERVIÇOS!$B:$G,4,0),IFERROR(VLOOKUP($B228,$D:$K,6,0),)),IFERROR(VLOOKUP($C228,INSUMOS!$A:$D,4,0),IFERROR(VLOOKUP($C228,COTAÇÕES!$B:$I,7,0),(VLOOKUP($C228,'INSUMO SINAPI - SP'!$C:$F,4,0)))))*$G228,2)</f>
        <v>0.36</v>
      </c>
      <c r="J228" s="513">
        <f>TRUNC(IF($C228="",IFERROR(VLOOKUP($B228,SERVIÇOS!$B:$G,5,0),IFERROR(VLOOKUP($B228,$D:$K,7,0),)),0)*$G228,2)</f>
        <v>0</v>
      </c>
      <c r="K228" s="514">
        <f t="shared" si="9"/>
        <v>0.36</v>
      </c>
      <c r="L228" s="517"/>
      <c r="M228" s="471"/>
      <c r="N228" s="516"/>
      <c r="Q228" s="472"/>
      <c r="R228" s="472"/>
      <c r="S228" s="472"/>
      <c r="T228" s="472"/>
      <c r="U228" s="472"/>
      <c r="V228" s="472"/>
      <c r="W228" s="472"/>
      <c r="X228" s="472"/>
      <c r="Y228" s="472"/>
    </row>
    <row r="229" spans="1:25" x14ac:dyDescent="0.25">
      <c r="A229" s="463"/>
      <c r="B229" s="506"/>
      <c r="C229" s="507">
        <v>9835</v>
      </c>
      <c r="D229" s="508"/>
      <c r="E229" s="509" t="str">
        <f>IF($C229="",IFERROR(VLOOKUP($B229,SERVIÇOS!$B:$G,2,0),IFERROR(VLOOKUP($B229,$D:$K,2,0),"")),IFERROR(VLOOKUP($C229,INSUMOS!$A:$D,2,0),IFERROR(VLOOKUP($C229,COTAÇÕES!$B:$I,2,0),(VLOOKUP($C229,'INSUMO SINAPI - SP'!$C:$F,2,0)))))</f>
        <v>TUBO PVC SERIE NORMAL, DN 40 MM, PARA ESGOTO PREDIAL (NBR 5688)</v>
      </c>
      <c r="F229" s="510" t="str">
        <f>IF($C229="",IFERROR(VLOOKUP($B229,SERVIÇOS!$B:$G,3,0),IFERROR(VLOOKUP($B229,$D:$K,3,0),"")),IFERROR(VLOOKUP($C229,INSUMOS!$A:$D,3,0),IFERROR(VLOOKUP($C229,COTAÇÕES!$B:$I,3,0),(VLOOKUP($C229,'INSUMO SINAPI - SP'!$C:$F,3,0)))))</f>
        <v>M</v>
      </c>
      <c r="G229" s="511">
        <v>1.5</v>
      </c>
      <c r="H229" s="512">
        <f>IF($C229="",IFERROR(VLOOKUP($B229,SERVIÇOS!$B:$G,6,0),IFERROR(VLOOKUP($B229,$D:$K,8,0),"")),IFERROR(VLOOKUP($C229,INSUMOS!$A:$D,4,0),IFERROR(VLOOKUP($C229,COTAÇÕES!$B:$I,7,0),(VLOOKUP($C229,'INSUMO SINAPI - SP'!$C:$F,4,0)))))</f>
        <v>6.28</v>
      </c>
      <c r="I229" s="513">
        <f>TRUNC(IF($C229="",IFERROR(VLOOKUP($B229,SERVIÇOS!$B:$G,4,0),IFERROR(VLOOKUP($B229,$D:$K,6,0),)),IFERROR(VLOOKUP($C229,INSUMOS!$A:$D,4,0),IFERROR(VLOOKUP($C229,COTAÇÕES!$B:$I,7,0),(VLOOKUP($C229,'INSUMO SINAPI - SP'!$C:$F,4,0)))))*$G229,2)</f>
        <v>9.42</v>
      </c>
      <c r="J229" s="513">
        <f>TRUNC(IF($C229="",IFERROR(VLOOKUP($B229,SERVIÇOS!$B:$G,5,0),IFERROR(VLOOKUP($B229,$D:$K,7,0),)),0)*$G229,2)</f>
        <v>0</v>
      </c>
      <c r="K229" s="514">
        <f t="shared" si="9"/>
        <v>9.42</v>
      </c>
      <c r="L229" s="517"/>
      <c r="M229" s="471"/>
      <c r="N229" s="516"/>
      <c r="Q229" s="472"/>
      <c r="R229" s="472"/>
      <c r="S229" s="472"/>
      <c r="T229" s="472"/>
      <c r="U229" s="472"/>
      <c r="V229" s="472"/>
      <c r="W229" s="472"/>
      <c r="X229" s="472"/>
      <c r="Y229" s="472"/>
    </row>
    <row r="230" spans="1:25" x14ac:dyDescent="0.25">
      <c r="A230" s="463"/>
      <c r="B230" s="506"/>
      <c r="C230" s="507">
        <v>296</v>
      </c>
      <c r="D230" s="508"/>
      <c r="E230" s="509" t="str">
        <f>IF($C230="",IFERROR(VLOOKUP($B230,SERVIÇOS!$B:$G,2,0),IFERROR(VLOOKUP($B230,$D:$K,2,0),"")),IFERROR(VLOOKUP($C230,INSUMOS!$A:$D,2,0),IFERROR(VLOOKUP($C230,COTAÇÕES!$B:$I,2,0),(VLOOKUP($C230,'INSUMO SINAPI - SP'!$C:$F,2,0)))))</f>
        <v>ANEL BORRACHA PARA TUBO ESGOTO PREDIAL, DN 50 MM (NBR 5688)</v>
      </c>
      <c r="F230" s="510" t="str">
        <f>IF($C230="",IFERROR(VLOOKUP($B230,SERVIÇOS!$B:$G,3,0),IFERROR(VLOOKUP($B230,$D:$K,3,0),"")),IFERROR(VLOOKUP($C230,INSUMOS!$A:$D,3,0),IFERROR(VLOOKUP($C230,COTAÇÕES!$B:$I,3,0),(VLOOKUP($C230,'INSUMO SINAPI - SP'!$C:$F,3,0)))))</f>
        <v>UN</v>
      </c>
      <c r="G230" s="511">
        <v>1</v>
      </c>
      <c r="H230" s="512">
        <f>IF($C230="",IFERROR(VLOOKUP($B230,SERVIÇOS!$B:$G,6,0),IFERROR(VLOOKUP($B230,$D:$K,8,0),"")),IFERROR(VLOOKUP($C230,INSUMOS!$A:$D,4,0),IFERROR(VLOOKUP($C230,COTAÇÕES!$B:$I,7,0),(VLOOKUP($C230,'INSUMO SINAPI - SP'!$C:$F,4,0)))))</f>
        <v>1.51</v>
      </c>
      <c r="I230" s="513">
        <f>TRUNC(IF($C230="",IFERROR(VLOOKUP($B230,SERVIÇOS!$B:$G,4,0),IFERROR(VLOOKUP($B230,$D:$K,6,0),)),IFERROR(VLOOKUP($C230,INSUMOS!$A:$D,4,0),IFERROR(VLOOKUP($C230,COTAÇÕES!$B:$I,7,0),(VLOOKUP($C230,'INSUMO SINAPI - SP'!$C:$F,4,0)))))*$G230,2)</f>
        <v>1.51</v>
      </c>
      <c r="J230" s="513">
        <f>TRUNC(IF($C230="",IFERROR(VLOOKUP($B230,SERVIÇOS!$B:$G,5,0),IFERROR(VLOOKUP($B230,$D:$K,7,0),)),0)*$G230,2)</f>
        <v>0</v>
      </c>
      <c r="K230" s="514">
        <f t="shared" si="9"/>
        <v>1.51</v>
      </c>
      <c r="L230" s="517"/>
      <c r="M230" s="471"/>
      <c r="N230" s="516"/>
      <c r="Q230" s="472"/>
      <c r="R230" s="472"/>
      <c r="S230" s="472"/>
      <c r="T230" s="472"/>
      <c r="U230" s="472"/>
      <c r="V230" s="472"/>
      <c r="W230" s="472"/>
      <c r="X230" s="472"/>
      <c r="Y230" s="472"/>
    </row>
    <row r="231" spans="1:25" ht="24" x14ac:dyDescent="0.25">
      <c r="A231" s="463"/>
      <c r="B231" s="498"/>
      <c r="C231" s="498"/>
      <c r="D231" s="499" t="s">
        <v>12118</v>
      </c>
      <c r="E231" s="500" t="s">
        <v>12766</v>
      </c>
      <c r="F231" s="501" t="s">
        <v>585</v>
      </c>
      <c r="G231" s="502"/>
      <c r="H231" s="503"/>
      <c r="I231" s="504">
        <f>ROUND(SUM(I232:I237),2)</f>
        <v>28.06</v>
      </c>
      <c r="J231" s="504">
        <f>ROUND(SUM(J232:J237),2)</f>
        <v>29.15</v>
      </c>
      <c r="K231" s="504">
        <f>+J231+I231</f>
        <v>57.209999999999994</v>
      </c>
      <c r="L231" s="523" t="s">
        <v>12767</v>
      </c>
      <c r="M231" s="471"/>
      <c r="N231" s="505"/>
      <c r="Q231" s="472"/>
      <c r="R231" s="472"/>
      <c r="S231" s="472"/>
      <c r="T231" s="472"/>
      <c r="U231" s="472"/>
      <c r="V231" s="472"/>
      <c r="W231" s="472"/>
      <c r="X231" s="472"/>
      <c r="Y231" s="472"/>
    </row>
    <row r="232" spans="1:25" x14ac:dyDescent="0.25">
      <c r="A232" s="463"/>
      <c r="B232" s="506">
        <v>88267</v>
      </c>
      <c r="C232" s="507"/>
      <c r="D232" s="508"/>
      <c r="E232" s="509" t="str">
        <f>IF($C232="",IFERROR(VLOOKUP($B232,SERVIÇOS!$B:$G,2,0),IFERROR(VLOOKUP($B232,$D:$K,2,0),"")),IFERROR(VLOOKUP($C232,INSUMOS!$A:$D,2,0),IFERROR(VLOOKUP($C232,COTAÇÕES!$B:$I,2,0),(VLOOKUP($C232,'INSUMO SINAPI - SP'!$C:$F,2,0)))))</f>
        <v>ENCANADOR OU BOMBEIRO HIDRÁULICO COM ENCARGOS COMPLEMENTARES</v>
      </c>
      <c r="F232" s="510" t="str">
        <f>IF($C232="",IFERROR(VLOOKUP($B232,SERVIÇOS!$B:$G,3,0),IFERROR(VLOOKUP($B232,$D:$K,3,0),"")),IFERROR(VLOOKUP($C232,INSUMOS!$A:$D,3,0),IFERROR(VLOOKUP($C232,COTAÇÕES!$B:$I,3,0),(VLOOKUP($C232,'INSUMO SINAPI - SP'!$C:$F,3,0)))))</f>
        <v>H</v>
      </c>
      <c r="G232" s="511">
        <v>0.6</v>
      </c>
      <c r="H232" s="512">
        <f>IF($C232="",IFERROR(VLOOKUP($B232,SERVIÇOS!$B:$G,6,0),IFERROR(VLOOKUP($B232,$D:$K,8,0),"")),IFERROR(VLOOKUP($C232,INSUMOS!$A:$D,4,0),IFERROR(VLOOKUP($C232,COTAÇÕES!$B:$I,7,0),(VLOOKUP($C232,'INSUMO SINAPI - SP'!$C:$F,4,0)))))</f>
        <v>36.17</v>
      </c>
      <c r="I232" s="513">
        <f>TRUNC(IF($C232="",IFERROR(VLOOKUP($B232,SERVIÇOS!$B:$G,4,0),IFERROR(VLOOKUP($B232,$D:$K,6,0),)),IFERROR(VLOOKUP($C232,INSUMOS!$A:$D,4,0),IFERROR(VLOOKUP($C232,COTAÇÕES!$B:$I,7,0),(VLOOKUP($C232,'INSUMO SINAPI - SP'!$C:$F,4,0)))))*$G232,2)</f>
        <v>5.18</v>
      </c>
      <c r="J232" s="513">
        <f>TRUNC(IF($C232="",IFERROR(VLOOKUP($B232,SERVIÇOS!$B:$G,5,0),IFERROR(VLOOKUP($B232,$D:$K,7,0),)),0)*$G232,2)</f>
        <v>16.510000000000002</v>
      </c>
      <c r="K232" s="514">
        <f t="shared" ref="K232:K237" si="10">I232+J232</f>
        <v>21.69</v>
      </c>
      <c r="L232" s="515"/>
      <c r="M232" s="471"/>
      <c r="N232" s="516"/>
      <c r="Q232" s="472"/>
      <c r="R232" s="472"/>
      <c r="S232" s="472"/>
      <c r="T232" s="472"/>
      <c r="U232" s="472"/>
      <c r="V232" s="472"/>
      <c r="W232" s="472"/>
      <c r="X232" s="472"/>
      <c r="Y232" s="472"/>
    </row>
    <row r="233" spans="1:25" x14ac:dyDescent="0.25">
      <c r="A233" s="463"/>
      <c r="B233" s="506">
        <v>88248</v>
      </c>
      <c r="C233" s="507"/>
      <c r="D233" s="508"/>
      <c r="E233" s="509" t="str">
        <f>IF($C233="",IFERROR(VLOOKUP($B233,SERVIÇOS!$B:$G,2,0),IFERROR(VLOOKUP($B233,$D:$K,2,0),"")),IFERROR(VLOOKUP($C233,INSUMOS!$A:$D,2,0),IFERROR(VLOOKUP($C233,COTAÇÕES!$B:$I,2,0),(VLOOKUP($C233,'INSUMO SINAPI - SP'!$C:$F,2,0)))))</f>
        <v>AUXILIAR DE ENCANADOR OU BOMBEIRO HIDRÁULICO COM ENCARGOS COMPLEMENTARES</v>
      </c>
      <c r="F233" s="510" t="str">
        <f>IF($C233="",IFERROR(VLOOKUP($B233,SERVIÇOS!$B:$G,3,0),IFERROR(VLOOKUP($B233,$D:$K,3,0),"")),IFERROR(VLOOKUP($C233,INSUMOS!$A:$D,3,0),IFERROR(VLOOKUP($C233,COTAÇÕES!$B:$I,3,0),(VLOOKUP($C233,'INSUMO SINAPI - SP'!$C:$F,3,0)))))</f>
        <v>H</v>
      </c>
      <c r="G233" s="511">
        <v>0.6</v>
      </c>
      <c r="H233" s="512">
        <f>IF($C233="",IFERROR(VLOOKUP($B233,SERVIÇOS!$B:$G,6,0),IFERROR(VLOOKUP($B233,$D:$K,8,0),"")),IFERROR(VLOOKUP($C233,INSUMOS!$A:$D,4,0),IFERROR(VLOOKUP($C233,COTAÇÕES!$B:$I,7,0),(VLOOKUP($C233,'INSUMO SINAPI - SP'!$C:$F,4,0)))))</f>
        <v>29.72</v>
      </c>
      <c r="I233" s="513">
        <f>TRUNC(IF($C233="",IFERROR(VLOOKUP($B233,SERVIÇOS!$B:$G,4,0),IFERROR(VLOOKUP($B233,$D:$K,6,0),)),IFERROR(VLOOKUP($C233,INSUMOS!$A:$D,4,0),IFERROR(VLOOKUP($C233,COTAÇÕES!$B:$I,7,0),(VLOOKUP($C233,'INSUMO SINAPI - SP'!$C:$F,4,0)))))*$G233,2)</f>
        <v>5.18</v>
      </c>
      <c r="J233" s="513">
        <f>TRUNC(IF($C233="",IFERROR(VLOOKUP($B233,SERVIÇOS!$B:$G,5,0),IFERROR(VLOOKUP($B233,$D:$K,7,0),)),0)*$G233,2)</f>
        <v>12.64</v>
      </c>
      <c r="K233" s="514">
        <f t="shared" si="10"/>
        <v>17.82</v>
      </c>
      <c r="L233" s="515"/>
      <c r="M233" s="471"/>
      <c r="N233" s="516"/>
      <c r="Q233" s="472"/>
      <c r="R233" s="472"/>
      <c r="S233" s="472"/>
      <c r="T233" s="472"/>
      <c r="U233" s="472"/>
      <c r="V233" s="472"/>
      <c r="W233" s="472"/>
      <c r="X233" s="472"/>
      <c r="Y233" s="472"/>
    </row>
    <row r="234" spans="1:25" x14ac:dyDescent="0.25">
      <c r="A234" s="463"/>
      <c r="B234" s="506"/>
      <c r="C234" s="507">
        <v>20083</v>
      </c>
      <c r="D234" s="508"/>
      <c r="E234" s="509" t="str">
        <f>IF($C234="",IFERROR(VLOOKUP($B234,SERVIÇOS!$B:$G,2,0),IFERROR(VLOOKUP($B234,$D:$K,2,0),"")),IFERROR(VLOOKUP($C234,INSUMOS!$A:$D,2,0),IFERROR(VLOOKUP($C234,COTAÇÕES!$B:$I,2,0),(VLOOKUP($C234,'INSUMO SINAPI - SP'!$C:$F,2,0)))))</f>
        <v>SOLUCAO PREPARADORA / LIMPADORA PARA PVC, FRASCO COM 1000 CM3</v>
      </c>
      <c r="F234" s="510" t="str">
        <f>IF($C234="",IFERROR(VLOOKUP($B234,SERVIÇOS!$B:$G,3,0),IFERROR(VLOOKUP($B234,$D:$K,3,0),"")),IFERROR(VLOOKUP($C234,INSUMOS!$A:$D,3,0),IFERROR(VLOOKUP($C234,COTAÇÕES!$B:$I,3,0),(VLOOKUP($C234,'INSUMO SINAPI - SP'!$C:$F,3,0)))))</f>
        <v>UN</v>
      </c>
      <c r="G234" s="511">
        <v>1.0999999999999999E-2</v>
      </c>
      <c r="H234" s="512">
        <f>IF($C234="",IFERROR(VLOOKUP($B234,SERVIÇOS!$B:$G,6,0),IFERROR(VLOOKUP($B234,$D:$K,8,0),"")),IFERROR(VLOOKUP($C234,INSUMOS!$A:$D,4,0),IFERROR(VLOOKUP($C234,COTAÇÕES!$B:$I,7,0),(VLOOKUP($C234,'INSUMO SINAPI - SP'!$C:$F,4,0)))))</f>
        <v>83.68</v>
      </c>
      <c r="I234" s="513">
        <f>TRUNC(IF($C234="",IFERROR(VLOOKUP($B234,SERVIÇOS!$B:$G,4,0),IFERROR(VLOOKUP($B234,$D:$K,6,0),)),IFERROR(VLOOKUP($C234,INSUMOS!$A:$D,4,0),IFERROR(VLOOKUP($C234,COTAÇÕES!$B:$I,7,0),(VLOOKUP($C234,'INSUMO SINAPI - SP'!$C:$F,4,0)))))*$G234,2)</f>
        <v>0.92</v>
      </c>
      <c r="J234" s="513">
        <f>TRUNC(IF($C234="",IFERROR(VLOOKUP($B234,SERVIÇOS!$B:$G,5,0),IFERROR(VLOOKUP($B234,$D:$K,7,0),)),0)*$G234,2)</f>
        <v>0</v>
      </c>
      <c r="K234" s="514">
        <f t="shared" si="10"/>
        <v>0.92</v>
      </c>
      <c r="L234" s="517"/>
      <c r="M234" s="471"/>
      <c r="N234" s="516"/>
      <c r="Q234" s="472"/>
      <c r="R234" s="472"/>
      <c r="S234" s="472"/>
      <c r="T234" s="472"/>
      <c r="U234" s="472"/>
      <c r="V234" s="472"/>
      <c r="W234" s="472"/>
      <c r="X234" s="472"/>
      <c r="Y234" s="472"/>
    </row>
    <row r="235" spans="1:25" ht="24" x14ac:dyDescent="0.25">
      <c r="A235" s="463"/>
      <c r="B235" s="506"/>
      <c r="C235" s="507">
        <v>20078</v>
      </c>
      <c r="D235" s="508"/>
      <c r="E235" s="509" t="str">
        <f>IF($C235="",IFERROR(VLOOKUP($B235,SERVIÇOS!$B:$G,2,0),IFERROR(VLOOKUP($B235,$D:$K,2,0),"")),IFERROR(VLOOKUP($C235,INSUMOS!$A:$D,2,0),IFERROR(VLOOKUP($C235,COTAÇÕES!$B:$I,2,0),(VLOOKUP($C235,'INSUMO SINAPI - SP'!$C:$F,2,0)))))</f>
        <v>PASTA LUBRIFICANTE PARA TUBOS E CONEXOES COM JUNTA ELASTICA, EMBALAGEM DE *400* GR (USO EM PVC, ACO, POLIETILENO E OUTROS)</v>
      </c>
      <c r="F235" s="510" t="str">
        <f>IF($C235="",IFERROR(VLOOKUP($B235,SERVIÇOS!$B:$G,3,0),IFERROR(VLOOKUP($B235,$D:$K,3,0),"")),IFERROR(VLOOKUP($C235,INSUMOS!$A:$D,3,0),IFERROR(VLOOKUP($C235,COTAÇÕES!$B:$I,3,0),(VLOOKUP($C235,'INSUMO SINAPI - SP'!$C:$F,3,0)))))</f>
        <v>UN</v>
      </c>
      <c r="G235" s="511">
        <v>2.5000000000000001E-2</v>
      </c>
      <c r="H235" s="512">
        <f>IF($C235="",IFERROR(VLOOKUP($B235,SERVIÇOS!$B:$G,6,0),IFERROR(VLOOKUP($B235,$D:$K,8,0),"")),IFERROR(VLOOKUP($C235,INSUMOS!$A:$D,4,0),IFERROR(VLOOKUP($C235,COTAÇÕES!$B:$I,7,0),(VLOOKUP($C235,'INSUMO SINAPI - SP'!$C:$F,4,0)))))</f>
        <v>30.48</v>
      </c>
      <c r="I235" s="513">
        <f>TRUNC(IF($C235="",IFERROR(VLOOKUP($B235,SERVIÇOS!$B:$G,4,0),IFERROR(VLOOKUP($B235,$D:$K,6,0),)),IFERROR(VLOOKUP($C235,INSUMOS!$A:$D,4,0),IFERROR(VLOOKUP($C235,COTAÇÕES!$B:$I,7,0),(VLOOKUP($C235,'INSUMO SINAPI - SP'!$C:$F,4,0)))))*$G235,2)</f>
        <v>0.76</v>
      </c>
      <c r="J235" s="513">
        <f>TRUNC(IF($C235="",IFERROR(VLOOKUP($B235,SERVIÇOS!$B:$G,5,0),IFERROR(VLOOKUP($B235,$D:$K,7,0),)),0)*$G235,2)</f>
        <v>0</v>
      </c>
      <c r="K235" s="514">
        <f t="shared" si="10"/>
        <v>0.76</v>
      </c>
      <c r="L235" s="517"/>
      <c r="M235" s="471"/>
      <c r="N235" s="516"/>
      <c r="Q235" s="472"/>
      <c r="R235" s="472"/>
      <c r="S235" s="472"/>
      <c r="T235" s="472"/>
      <c r="U235" s="472"/>
      <c r="V235" s="472"/>
      <c r="W235" s="472"/>
      <c r="X235" s="472"/>
      <c r="Y235" s="472"/>
    </row>
    <row r="236" spans="1:25" x14ac:dyDescent="0.25">
      <c r="A236" s="463"/>
      <c r="B236" s="506"/>
      <c r="C236" s="507">
        <v>9838</v>
      </c>
      <c r="D236" s="508"/>
      <c r="E236" s="509" t="str">
        <f>IF($C236="",IFERROR(VLOOKUP($B236,SERVIÇOS!$B:$G,2,0),IFERROR(VLOOKUP($B236,$D:$K,2,0),"")),IFERROR(VLOOKUP($C236,INSUMOS!$A:$D,2,0),IFERROR(VLOOKUP($C236,COTAÇÕES!$B:$I,2,0),(VLOOKUP($C236,'INSUMO SINAPI - SP'!$C:$F,2,0)))))</f>
        <v>TUBO PVC SERIE NORMAL, DN 50 MM, PARA ESGOTO PREDIAL (NBR 5688)</v>
      </c>
      <c r="F236" s="510" t="str">
        <f>IF($C236="",IFERROR(VLOOKUP($B236,SERVIÇOS!$B:$G,3,0),IFERROR(VLOOKUP($B236,$D:$K,3,0),"")),IFERROR(VLOOKUP($C236,INSUMOS!$A:$D,3,0),IFERROR(VLOOKUP($C236,COTAÇÕES!$B:$I,3,0),(VLOOKUP($C236,'INSUMO SINAPI - SP'!$C:$F,3,0)))))</f>
        <v>M</v>
      </c>
      <c r="G236" s="511">
        <v>1.4</v>
      </c>
      <c r="H236" s="512">
        <f>IF($C236="",IFERROR(VLOOKUP($B236,SERVIÇOS!$B:$G,6,0),IFERROR(VLOOKUP($B236,$D:$K,8,0),"")),IFERROR(VLOOKUP($C236,INSUMOS!$A:$D,4,0),IFERROR(VLOOKUP($C236,COTAÇÕES!$B:$I,7,0),(VLOOKUP($C236,'INSUMO SINAPI - SP'!$C:$F,4,0)))))</f>
        <v>10.37</v>
      </c>
      <c r="I236" s="513">
        <f>TRUNC(IF($C236="",IFERROR(VLOOKUP($B236,SERVIÇOS!$B:$G,4,0),IFERROR(VLOOKUP($B236,$D:$K,6,0),)),IFERROR(VLOOKUP($C236,INSUMOS!$A:$D,4,0),IFERROR(VLOOKUP($C236,COTAÇÕES!$B:$I,7,0),(VLOOKUP($C236,'INSUMO SINAPI - SP'!$C:$F,4,0)))))*$G236,2)</f>
        <v>14.51</v>
      </c>
      <c r="J236" s="513">
        <f>TRUNC(IF($C236="",IFERROR(VLOOKUP($B236,SERVIÇOS!$B:$G,5,0),IFERROR(VLOOKUP($B236,$D:$K,7,0),)),0)*$G236,2)</f>
        <v>0</v>
      </c>
      <c r="K236" s="514">
        <f t="shared" si="10"/>
        <v>14.51</v>
      </c>
      <c r="L236" s="517"/>
      <c r="M236" s="471"/>
      <c r="N236" s="516"/>
      <c r="Q236" s="472"/>
      <c r="R236" s="472"/>
      <c r="S236" s="472"/>
      <c r="T236" s="472"/>
      <c r="U236" s="472"/>
      <c r="V236" s="472"/>
      <c r="W236" s="472"/>
      <c r="X236" s="472"/>
      <c r="Y236" s="472"/>
    </row>
    <row r="237" spans="1:25" x14ac:dyDescent="0.25">
      <c r="A237" s="463"/>
      <c r="B237" s="506"/>
      <c r="C237" s="507">
        <v>296</v>
      </c>
      <c r="D237" s="508"/>
      <c r="E237" s="509" t="str">
        <f>IF($C237="",IFERROR(VLOOKUP($B237,SERVIÇOS!$B:$G,2,0),IFERROR(VLOOKUP($B237,$D:$K,2,0),"")),IFERROR(VLOOKUP($C237,INSUMOS!$A:$D,2,0),IFERROR(VLOOKUP($C237,COTAÇÕES!$B:$I,2,0),(VLOOKUP($C237,'INSUMO SINAPI - SP'!$C:$F,2,0)))))</f>
        <v>ANEL BORRACHA PARA TUBO ESGOTO PREDIAL, DN 50 MM (NBR 5688)</v>
      </c>
      <c r="F237" s="510" t="str">
        <f>IF($C237="",IFERROR(VLOOKUP($B237,SERVIÇOS!$B:$G,3,0),IFERROR(VLOOKUP($B237,$D:$K,3,0),"")),IFERROR(VLOOKUP($C237,INSUMOS!$A:$D,3,0),IFERROR(VLOOKUP($C237,COTAÇÕES!$B:$I,3,0),(VLOOKUP($C237,'INSUMO SINAPI - SP'!$C:$F,3,0)))))</f>
        <v>UN</v>
      </c>
      <c r="G237" s="511">
        <v>1</v>
      </c>
      <c r="H237" s="512">
        <f>IF($C237="",IFERROR(VLOOKUP($B237,SERVIÇOS!$B:$G,6,0),IFERROR(VLOOKUP($B237,$D:$K,8,0),"")),IFERROR(VLOOKUP($C237,INSUMOS!$A:$D,4,0),IFERROR(VLOOKUP($C237,COTAÇÕES!$B:$I,7,0),(VLOOKUP($C237,'INSUMO SINAPI - SP'!$C:$F,4,0)))))</f>
        <v>1.51</v>
      </c>
      <c r="I237" s="513">
        <f>TRUNC(IF($C237="",IFERROR(VLOOKUP($B237,SERVIÇOS!$B:$G,4,0),IFERROR(VLOOKUP($B237,$D:$K,6,0),)),IFERROR(VLOOKUP($C237,INSUMOS!$A:$D,4,0),IFERROR(VLOOKUP($C237,COTAÇÕES!$B:$I,7,0),(VLOOKUP($C237,'INSUMO SINAPI - SP'!$C:$F,4,0)))))*$G237,2)</f>
        <v>1.51</v>
      </c>
      <c r="J237" s="513">
        <f>TRUNC(IF($C237="",IFERROR(VLOOKUP($B237,SERVIÇOS!$B:$G,5,0),IFERROR(VLOOKUP($B237,$D:$K,7,0),)),0)*$G237,2)</f>
        <v>0</v>
      </c>
      <c r="K237" s="514">
        <f t="shared" si="10"/>
        <v>1.51</v>
      </c>
      <c r="L237" s="517"/>
      <c r="M237" s="471"/>
      <c r="N237" s="516"/>
      <c r="Q237" s="472"/>
      <c r="R237" s="472"/>
      <c r="S237" s="472"/>
      <c r="T237" s="472"/>
      <c r="U237" s="472"/>
      <c r="V237" s="472"/>
      <c r="W237" s="472"/>
      <c r="X237" s="472"/>
      <c r="Y237" s="472"/>
    </row>
    <row r="238" spans="1:25" ht="24" x14ac:dyDescent="0.25">
      <c r="A238" s="463"/>
      <c r="B238" s="498"/>
      <c r="C238" s="498"/>
      <c r="D238" s="499" t="s">
        <v>12119</v>
      </c>
      <c r="E238" s="500" t="s">
        <v>12768</v>
      </c>
      <c r="F238" s="501" t="s">
        <v>585</v>
      </c>
      <c r="G238" s="502"/>
      <c r="H238" s="503"/>
      <c r="I238" s="504">
        <f>ROUND(SUM(I239:I244),2)</f>
        <v>50.39</v>
      </c>
      <c r="J238" s="504">
        <f>ROUND(SUM(J239:J244),2)</f>
        <v>43.74</v>
      </c>
      <c r="K238" s="504">
        <f>+J238+I238</f>
        <v>94.13</v>
      </c>
      <c r="L238" s="523" t="s">
        <v>12769</v>
      </c>
      <c r="M238" s="471"/>
      <c r="N238" s="505"/>
      <c r="Q238" s="472"/>
      <c r="R238" s="472"/>
      <c r="S238" s="472"/>
      <c r="T238" s="472"/>
      <c r="U238" s="472"/>
      <c r="V238" s="472"/>
      <c r="W238" s="472"/>
      <c r="X238" s="472"/>
      <c r="Y238" s="472"/>
    </row>
    <row r="239" spans="1:25" x14ac:dyDescent="0.25">
      <c r="A239" s="463"/>
      <c r="B239" s="506">
        <v>88267</v>
      </c>
      <c r="C239" s="507"/>
      <c r="D239" s="508"/>
      <c r="E239" s="509" t="str">
        <f>IF($C239="",IFERROR(VLOOKUP($B239,SERVIÇOS!$B:$G,2,0),IFERROR(VLOOKUP($B239,$D:$K,2,0),"")),IFERROR(VLOOKUP($C239,INSUMOS!$A:$D,2,0),IFERROR(VLOOKUP($C239,COTAÇÕES!$B:$I,2,0),(VLOOKUP($C239,'INSUMO SINAPI - SP'!$C:$F,2,0)))))</f>
        <v>ENCANADOR OU BOMBEIRO HIDRÁULICO COM ENCARGOS COMPLEMENTARES</v>
      </c>
      <c r="F239" s="510" t="str">
        <f>IF($C239="",IFERROR(VLOOKUP($B239,SERVIÇOS!$B:$G,3,0),IFERROR(VLOOKUP($B239,$D:$K,3,0),"")),IFERROR(VLOOKUP($C239,INSUMOS!$A:$D,3,0),IFERROR(VLOOKUP($C239,COTAÇÕES!$B:$I,3,0),(VLOOKUP($C239,'INSUMO SINAPI - SP'!$C:$F,3,0)))))</f>
        <v>H</v>
      </c>
      <c r="G239" s="511">
        <v>0.9</v>
      </c>
      <c r="H239" s="512">
        <f>IF($C239="",IFERROR(VLOOKUP($B239,SERVIÇOS!$B:$G,6,0),IFERROR(VLOOKUP($B239,$D:$K,8,0),"")),IFERROR(VLOOKUP($C239,INSUMOS!$A:$D,4,0),IFERROR(VLOOKUP($C239,COTAÇÕES!$B:$I,7,0),(VLOOKUP($C239,'INSUMO SINAPI - SP'!$C:$F,4,0)))))</f>
        <v>36.17</v>
      </c>
      <c r="I239" s="513">
        <f>TRUNC(IF($C239="",IFERROR(VLOOKUP($B239,SERVIÇOS!$B:$G,4,0),IFERROR(VLOOKUP($B239,$D:$K,6,0),)),IFERROR(VLOOKUP($C239,INSUMOS!$A:$D,4,0),IFERROR(VLOOKUP($C239,COTAÇÕES!$B:$I,7,0),(VLOOKUP($C239,'INSUMO SINAPI - SP'!$C:$F,4,0)))))*$G239,2)</f>
        <v>7.77</v>
      </c>
      <c r="J239" s="513">
        <f>TRUNC(IF($C239="",IFERROR(VLOOKUP($B239,SERVIÇOS!$B:$G,5,0),IFERROR(VLOOKUP($B239,$D:$K,7,0),)),0)*$G239,2)</f>
        <v>24.77</v>
      </c>
      <c r="K239" s="514">
        <f t="shared" ref="K239:K244" si="11">I239+J239</f>
        <v>32.54</v>
      </c>
      <c r="L239" s="515"/>
      <c r="M239" s="471"/>
      <c r="N239" s="516"/>
      <c r="Q239" s="472"/>
      <c r="R239" s="472"/>
      <c r="S239" s="472"/>
      <c r="T239" s="472"/>
      <c r="U239" s="472"/>
      <c r="V239" s="472"/>
      <c r="W239" s="472"/>
      <c r="X239" s="472"/>
      <c r="Y239" s="472"/>
    </row>
    <row r="240" spans="1:25" x14ac:dyDescent="0.25">
      <c r="A240" s="463"/>
      <c r="B240" s="506">
        <v>88248</v>
      </c>
      <c r="C240" s="507"/>
      <c r="D240" s="508"/>
      <c r="E240" s="509" t="str">
        <f>IF($C240="",IFERROR(VLOOKUP($B240,SERVIÇOS!$B:$G,2,0),IFERROR(VLOOKUP($B240,$D:$K,2,0),"")),IFERROR(VLOOKUP($C240,INSUMOS!$A:$D,2,0),IFERROR(VLOOKUP($C240,COTAÇÕES!$B:$I,2,0),(VLOOKUP($C240,'INSUMO SINAPI - SP'!$C:$F,2,0)))))</f>
        <v>AUXILIAR DE ENCANADOR OU BOMBEIRO HIDRÁULICO COM ENCARGOS COMPLEMENTARES</v>
      </c>
      <c r="F240" s="510" t="str">
        <f>IF($C240="",IFERROR(VLOOKUP($B240,SERVIÇOS!$B:$G,3,0),IFERROR(VLOOKUP($B240,$D:$K,3,0),"")),IFERROR(VLOOKUP($C240,INSUMOS!$A:$D,3,0),IFERROR(VLOOKUP($C240,COTAÇÕES!$B:$I,3,0),(VLOOKUP($C240,'INSUMO SINAPI - SP'!$C:$F,3,0)))))</f>
        <v>H</v>
      </c>
      <c r="G240" s="511">
        <v>0.9</v>
      </c>
      <c r="H240" s="512">
        <f>IF($C240="",IFERROR(VLOOKUP($B240,SERVIÇOS!$B:$G,6,0),IFERROR(VLOOKUP($B240,$D:$K,8,0),"")),IFERROR(VLOOKUP($C240,INSUMOS!$A:$D,4,0),IFERROR(VLOOKUP($C240,COTAÇÕES!$B:$I,7,0),(VLOOKUP($C240,'INSUMO SINAPI - SP'!$C:$F,4,0)))))</f>
        <v>29.72</v>
      </c>
      <c r="I240" s="513">
        <f>TRUNC(IF($C240="",IFERROR(VLOOKUP($B240,SERVIÇOS!$B:$G,4,0),IFERROR(VLOOKUP($B240,$D:$K,6,0),)),IFERROR(VLOOKUP($C240,INSUMOS!$A:$D,4,0),IFERROR(VLOOKUP($C240,COTAÇÕES!$B:$I,7,0),(VLOOKUP($C240,'INSUMO SINAPI - SP'!$C:$F,4,0)))))*$G240,2)</f>
        <v>7.77</v>
      </c>
      <c r="J240" s="513">
        <f>TRUNC(IF($C240="",IFERROR(VLOOKUP($B240,SERVIÇOS!$B:$G,5,0),IFERROR(VLOOKUP($B240,$D:$K,7,0),)),0)*$G240,2)</f>
        <v>18.97</v>
      </c>
      <c r="K240" s="514">
        <f t="shared" si="11"/>
        <v>26.74</v>
      </c>
      <c r="L240" s="515"/>
      <c r="M240" s="471"/>
      <c r="N240" s="516"/>
      <c r="Q240" s="472"/>
      <c r="R240" s="472"/>
      <c r="S240" s="472"/>
      <c r="T240" s="472"/>
      <c r="U240" s="472"/>
      <c r="V240" s="472"/>
      <c r="W240" s="472"/>
      <c r="X240" s="472"/>
      <c r="Y240" s="472"/>
    </row>
    <row r="241" spans="1:25" x14ac:dyDescent="0.25">
      <c r="A241" s="463"/>
      <c r="B241" s="506"/>
      <c r="C241" s="507">
        <v>20083</v>
      </c>
      <c r="D241" s="508"/>
      <c r="E241" s="509" t="str">
        <f>IF($C241="",IFERROR(VLOOKUP($B241,SERVIÇOS!$B:$G,2,0),IFERROR(VLOOKUP($B241,$D:$K,2,0),"")),IFERROR(VLOOKUP($C241,INSUMOS!$A:$D,2,0),IFERROR(VLOOKUP($C241,COTAÇÕES!$B:$I,2,0),(VLOOKUP($C241,'INSUMO SINAPI - SP'!$C:$F,2,0)))))</f>
        <v>SOLUCAO PREPARADORA / LIMPADORA PARA PVC, FRASCO COM 1000 CM3</v>
      </c>
      <c r="F241" s="510" t="str">
        <f>IF($C241="",IFERROR(VLOOKUP($B241,SERVIÇOS!$B:$G,3,0),IFERROR(VLOOKUP($B241,$D:$K,3,0),"")),IFERROR(VLOOKUP($C241,INSUMOS!$A:$D,3,0),IFERROR(VLOOKUP($C241,COTAÇÕES!$B:$I,3,0),(VLOOKUP($C241,'INSUMO SINAPI - SP'!$C:$F,3,0)))))</f>
        <v>UN</v>
      </c>
      <c r="G241" s="511">
        <v>2.5999999999999999E-2</v>
      </c>
      <c r="H241" s="512">
        <f>IF($C241="",IFERROR(VLOOKUP($B241,SERVIÇOS!$B:$G,6,0),IFERROR(VLOOKUP($B241,$D:$K,8,0),"")),IFERROR(VLOOKUP($C241,INSUMOS!$A:$D,4,0),IFERROR(VLOOKUP($C241,COTAÇÕES!$B:$I,7,0),(VLOOKUP($C241,'INSUMO SINAPI - SP'!$C:$F,4,0)))))</f>
        <v>83.68</v>
      </c>
      <c r="I241" s="513">
        <f>TRUNC(IF($C241="",IFERROR(VLOOKUP($B241,SERVIÇOS!$B:$G,4,0),IFERROR(VLOOKUP($B241,$D:$K,6,0),)),IFERROR(VLOOKUP($C241,INSUMOS!$A:$D,4,0),IFERROR(VLOOKUP($C241,COTAÇÕES!$B:$I,7,0),(VLOOKUP($C241,'INSUMO SINAPI - SP'!$C:$F,4,0)))))*$G241,2)</f>
        <v>2.17</v>
      </c>
      <c r="J241" s="513">
        <f>TRUNC(IF($C241="",IFERROR(VLOOKUP($B241,SERVIÇOS!$B:$G,5,0),IFERROR(VLOOKUP($B241,$D:$K,7,0),)),0)*$G241,2)</f>
        <v>0</v>
      </c>
      <c r="K241" s="514">
        <f t="shared" si="11"/>
        <v>2.17</v>
      </c>
      <c r="L241" s="517"/>
      <c r="M241" s="471"/>
      <c r="N241" s="516"/>
      <c r="Q241" s="472"/>
      <c r="R241" s="472"/>
      <c r="S241" s="472"/>
      <c r="T241" s="472"/>
      <c r="U241" s="472"/>
      <c r="V241" s="472"/>
      <c r="W241" s="472"/>
      <c r="X241" s="472"/>
      <c r="Y241" s="472"/>
    </row>
    <row r="242" spans="1:25" ht="24" x14ac:dyDescent="0.25">
      <c r="A242" s="463"/>
      <c r="B242" s="506"/>
      <c r="C242" s="507">
        <v>20078</v>
      </c>
      <c r="D242" s="508"/>
      <c r="E242" s="509" t="str">
        <f>IF($C242="",IFERROR(VLOOKUP($B242,SERVIÇOS!$B:$G,2,0),IFERROR(VLOOKUP($B242,$D:$K,2,0),"")),IFERROR(VLOOKUP($C242,INSUMOS!$A:$D,2,0),IFERROR(VLOOKUP($C242,COTAÇÕES!$B:$I,2,0),(VLOOKUP($C242,'INSUMO SINAPI - SP'!$C:$F,2,0)))))</f>
        <v>PASTA LUBRIFICANTE PARA TUBOS E CONEXOES COM JUNTA ELASTICA, EMBALAGEM DE *400* GR (USO EM PVC, ACO, POLIETILENO E OUTROS)</v>
      </c>
      <c r="F242" s="510" t="str">
        <f>IF($C242="",IFERROR(VLOOKUP($B242,SERVIÇOS!$B:$G,3,0),IFERROR(VLOOKUP($B242,$D:$K,3,0),"")),IFERROR(VLOOKUP($C242,INSUMOS!$A:$D,3,0),IFERROR(VLOOKUP($C242,COTAÇÕES!$B:$I,3,0),(VLOOKUP($C242,'INSUMO SINAPI - SP'!$C:$F,3,0)))))</f>
        <v>UN</v>
      </c>
      <c r="G242" s="511">
        <v>0.375</v>
      </c>
      <c r="H242" s="512">
        <f>IF($C242="",IFERROR(VLOOKUP($B242,SERVIÇOS!$B:$G,6,0),IFERROR(VLOOKUP($B242,$D:$K,8,0),"")),IFERROR(VLOOKUP($C242,INSUMOS!$A:$D,4,0),IFERROR(VLOOKUP($C242,COTAÇÕES!$B:$I,7,0),(VLOOKUP($C242,'INSUMO SINAPI - SP'!$C:$F,4,0)))))</f>
        <v>30.48</v>
      </c>
      <c r="I242" s="513">
        <f>TRUNC(IF($C242="",IFERROR(VLOOKUP($B242,SERVIÇOS!$B:$G,4,0),IFERROR(VLOOKUP($B242,$D:$K,6,0),)),IFERROR(VLOOKUP($C242,INSUMOS!$A:$D,4,0),IFERROR(VLOOKUP($C242,COTAÇÕES!$B:$I,7,0),(VLOOKUP($C242,'INSUMO SINAPI - SP'!$C:$F,4,0)))))*$G242,2)</f>
        <v>11.43</v>
      </c>
      <c r="J242" s="513">
        <f>TRUNC(IF($C242="",IFERROR(VLOOKUP($B242,SERVIÇOS!$B:$G,5,0),IFERROR(VLOOKUP($B242,$D:$K,7,0),)),0)*$G242,2)</f>
        <v>0</v>
      </c>
      <c r="K242" s="514">
        <f t="shared" si="11"/>
        <v>11.43</v>
      </c>
      <c r="L242" s="517"/>
      <c r="M242" s="471"/>
      <c r="N242" s="516"/>
      <c r="Q242" s="472"/>
      <c r="R242" s="472"/>
      <c r="S242" s="472"/>
      <c r="T242" s="472"/>
      <c r="U242" s="472"/>
      <c r="V242" s="472"/>
      <c r="W242" s="472"/>
      <c r="X242" s="472"/>
      <c r="Y242" s="472"/>
    </row>
    <row r="243" spans="1:25" x14ac:dyDescent="0.25">
      <c r="A243" s="463"/>
      <c r="B243" s="506"/>
      <c r="C243" s="507">
        <v>9837</v>
      </c>
      <c r="D243" s="508"/>
      <c r="E243" s="509" t="str">
        <f>IF($C243="",IFERROR(VLOOKUP($B243,SERVIÇOS!$B:$G,2,0),IFERROR(VLOOKUP($B243,$D:$K,2,0),"")),IFERROR(VLOOKUP($C243,INSUMOS!$A:$D,2,0),IFERROR(VLOOKUP($C243,COTAÇÕES!$B:$I,2,0),(VLOOKUP($C243,'INSUMO SINAPI - SP'!$C:$F,2,0)))))</f>
        <v>TUBO PVC SERIE NORMAL, DN 75 MM, PARA ESGOTO PREDIAL (NBR 5688)</v>
      </c>
      <c r="F243" s="510" t="str">
        <f>IF($C243="",IFERROR(VLOOKUP($B243,SERVIÇOS!$B:$G,3,0),IFERROR(VLOOKUP($B243,$D:$K,3,0),"")),IFERROR(VLOOKUP($C243,INSUMOS!$A:$D,3,0),IFERROR(VLOOKUP($C243,COTAÇÕES!$B:$I,3,0),(VLOOKUP($C243,'INSUMO SINAPI - SP'!$C:$F,3,0)))))</f>
        <v>M</v>
      </c>
      <c r="G243" s="511">
        <v>1.4</v>
      </c>
      <c r="H243" s="512">
        <f>IF($C243="",IFERROR(VLOOKUP($B243,SERVIÇOS!$B:$G,6,0),IFERROR(VLOOKUP($B243,$D:$K,8,0),"")),IFERROR(VLOOKUP($C243,INSUMOS!$A:$D,4,0),IFERROR(VLOOKUP($C243,COTAÇÕES!$B:$I,7,0),(VLOOKUP($C243,'INSUMO SINAPI - SP'!$C:$F,4,0)))))</f>
        <v>13.6</v>
      </c>
      <c r="I243" s="513">
        <f>TRUNC(IF($C243="",IFERROR(VLOOKUP($B243,SERVIÇOS!$B:$G,4,0),IFERROR(VLOOKUP($B243,$D:$K,6,0),)),IFERROR(VLOOKUP($C243,INSUMOS!$A:$D,4,0),IFERROR(VLOOKUP($C243,COTAÇÕES!$B:$I,7,0),(VLOOKUP($C243,'INSUMO SINAPI - SP'!$C:$F,4,0)))))*$G243,2)</f>
        <v>19.04</v>
      </c>
      <c r="J243" s="513">
        <f>TRUNC(IF($C243="",IFERROR(VLOOKUP($B243,SERVIÇOS!$B:$G,5,0),IFERROR(VLOOKUP($B243,$D:$K,7,0),)),0)*$G243,2)</f>
        <v>0</v>
      </c>
      <c r="K243" s="514">
        <f t="shared" si="11"/>
        <v>19.04</v>
      </c>
      <c r="L243" s="517"/>
      <c r="M243" s="471"/>
      <c r="N243" s="516"/>
      <c r="Q243" s="472"/>
      <c r="R243" s="472"/>
      <c r="S243" s="472"/>
      <c r="T243" s="472"/>
      <c r="U243" s="472"/>
      <c r="V243" s="472"/>
      <c r="W243" s="472"/>
      <c r="X243" s="472"/>
      <c r="Y243" s="472"/>
    </row>
    <row r="244" spans="1:25" x14ac:dyDescent="0.25">
      <c r="A244" s="463"/>
      <c r="B244" s="506"/>
      <c r="C244" s="507">
        <v>297</v>
      </c>
      <c r="D244" s="508"/>
      <c r="E244" s="509" t="str">
        <f>IF($C244="",IFERROR(VLOOKUP($B244,SERVIÇOS!$B:$G,2,0),IFERROR(VLOOKUP($B244,$D:$K,2,0),"")),IFERROR(VLOOKUP($C244,INSUMOS!$A:$D,2,0),IFERROR(VLOOKUP($C244,COTAÇÕES!$B:$I,2,0),(VLOOKUP($C244,'INSUMO SINAPI - SP'!$C:$F,2,0)))))</f>
        <v>ANEL BORRACHA PARA TUBO ESGOTO PREDIAL, DN 75 MM (NBR 5688)</v>
      </c>
      <c r="F244" s="510" t="str">
        <f>IF($C244="",IFERROR(VLOOKUP($B244,SERVIÇOS!$B:$G,3,0),IFERROR(VLOOKUP($B244,$D:$K,3,0),"")),IFERROR(VLOOKUP($C244,INSUMOS!$A:$D,3,0),IFERROR(VLOOKUP($C244,COTAÇÕES!$B:$I,3,0),(VLOOKUP($C244,'INSUMO SINAPI - SP'!$C:$F,3,0)))))</f>
        <v>UN</v>
      </c>
      <c r="G244" s="511">
        <v>1</v>
      </c>
      <c r="H244" s="512">
        <f>IF($C244="",IFERROR(VLOOKUP($B244,SERVIÇOS!$B:$G,6,0),IFERROR(VLOOKUP($B244,$D:$K,8,0),"")),IFERROR(VLOOKUP($C244,INSUMOS!$A:$D,4,0),IFERROR(VLOOKUP($C244,COTAÇÕES!$B:$I,7,0),(VLOOKUP($C244,'INSUMO SINAPI - SP'!$C:$F,4,0)))))</f>
        <v>2.21</v>
      </c>
      <c r="I244" s="513">
        <f>TRUNC(IF($C244="",IFERROR(VLOOKUP($B244,SERVIÇOS!$B:$G,4,0),IFERROR(VLOOKUP($B244,$D:$K,6,0),)),IFERROR(VLOOKUP($C244,INSUMOS!$A:$D,4,0),IFERROR(VLOOKUP($C244,COTAÇÕES!$B:$I,7,0),(VLOOKUP($C244,'INSUMO SINAPI - SP'!$C:$F,4,0)))))*$G244,2)</f>
        <v>2.21</v>
      </c>
      <c r="J244" s="513">
        <f>TRUNC(IF($C244="",IFERROR(VLOOKUP($B244,SERVIÇOS!$B:$G,5,0),IFERROR(VLOOKUP($B244,$D:$K,7,0),)),0)*$G244,2)</f>
        <v>0</v>
      </c>
      <c r="K244" s="514">
        <f t="shared" si="11"/>
        <v>2.21</v>
      </c>
      <c r="L244" s="517"/>
      <c r="M244" s="471"/>
      <c r="N244" s="516"/>
      <c r="Q244" s="472"/>
      <c r="R244" s="472"/>
      <c r="S244" s="472"/>
      <c r="T244" s="472"/>
      <c r="U244" s="472"/>
      <c r="V244" s="472"/>
      <c r="W244" s="472"/>
      <c r="X244" s="472"/>
      <c r="Y244" s="472"/>
    </row>
    <row r="245" spans="1:25" ht="24" x14ac:dyDescent="0.25">
      <c r="A245" s="463"/>
      <c r="B245" s="498"/>
      <c r="C245" s="498"/>
      <c r="D245" s="499" t="s">
        <v>12120</v>
      </c>
      <c r="E245" s="500" t="s">
        <v>12770</v>
      </c>
      <c r="F245" s="501" t="s">
        <v>585</v>
      </c>
      <c r="G245" s="502"/>
      <c r="H245" s="503"/>
      <c r="I245" s="504">
        <f>ROUND(SUM(I246:I251),2)</f>
        <v>45.94</v>
      </c>
      <c r="J245" s="504">
        <f>ROUND(SUM(J246:J251),2)</f>
        <v>53.46</v>
      </c>
      <c r="K245" s="504">
        <f>+J245+I245</f>
        <v>99.4</v>
      </c>
      <c r="L245" s="523" t="s">
        <v>12771</v>
      </c>
      <c r="M245" s="471"/>
      <c r="N245" s="505"/>
      <c r="Q245" s="472"/>
      <c r="R245" s="472"/>
      <c r="S245" s="472"/>
      <c r="T245" s="472"/>
      <c r="U245" s="472"/>
      <c r="V245" s="472"/>
      <c r="W245" s="472"/>
      <c r="X245" s="472"/>
      <c r="Y245" s="472"/>
    </row>
    <row r="246" spans="1:25" x14ac:dyDescent="0.25">
      <c r="A246" s="463"/>
      <c r="B246" s="506">
        <v>88267</v>
      </c>
      <c r="C246" s="507"/>
      <c r="D246" s="508"/>
      <c r="E246" s="509" t="str">
        <f>IF($C246="",IFERROR(VLOOKUP($B246,SERVIÇOS!$B:$G,2,0),IFERROR(VLOOKUP($B246,$D:$K,2,0),"")),IFERROR(VLOOKUP($C246,INSUMOS!$A:$D,2,0),IFERROR(VLOOKUP($C246,COTAÇÕES!$B:$I,2,0),(VLOOKUP($C246,'INSUMO SINAPI - SP'!$C:$F,2,0)))))</f>
        <v>ENCANADOR OU BOMBEIRO HIDRÁULICO COM ENCARGOS COMPLEMENTARES</v>
      </c>
      <c r="F246" s="510" t="str">
        <f>IF($C246="",IFERROR(VLOOKUP($B246,SERVIÇOS!$B:$G,3,0),IFERROR(VLOOKUP($B246,$D:$K,3,0),"")),IFERROR(VLOOKUP($C246,INSUMOS!$A:$D,3,0),IFERROR(VLOOKUP($C246,COTAÇÕES!$B:$I,3,0),(VLOOKUP($C246,'INSUMO SINAPI - SP'!$C:$F,3,0)))))</f>
        <v>H</v>
      </c>
      <c r="G246" s="511">
        <v>1.1000000000000001</v>
      </c>
      <c r="H246" s="512">
        <f>IF($C246="",IFERROR(VLOOKUP($B246,SERVIÇOS!$B:$G,6,0),IFERROR(VLOOKUP($B246,$D:$K,8,0),"")),IFERROR(VLOOKUP($C246,INSUMOS!$A:$D,4,0),IFERROR(VLOOKUP($C246,COTAÇÕES!$B:$I,7,0),(VLOOKUP($C246,'INSUMO SINAPI - SP'!$C:$F,4,0)))))</f>
        <v>36.17</v>
      </c>
      <c r="I246" s="513">
        <f>TRUNC(IF($C246="",IFERROR(VLOOKUP($B246,SERVIÇOS!$B:$G,4,0),IFERROR(VLOOKUP($B246,$D:$K,6,0),)),IFERROR(VLOOKUP($C246,INSUMOS!$A:$D,4,0),IFERROR(VLOOKUP($C246,COTAÇÕES!$B:$I,7,0),(VLOOKUP($C246,'INSUMO SINAPI - SP'!$C:$F,4,0)))))*$G246,2)</f>
        <v>9.5</v>
      </c>
      <c r="J246" s="513">
        <f>TRUNC(IF($C246="",IFERROR(VLOOKUP($B246,SERVIÇOS!$B:$G,5,0),IFERROR(VLOOKUP($B246,$D:$K,7,0),)),0)*$G246,2)</f>
        <v>30.28</v>
      </c>
      <c r="K246" s="514">
        <f t="shared" ref="K246:K251" si="12">I246+J246</f>
        <v>39.78</v>
      </c>
      <c r="L246" s="515"/>
      <c r="M246" s="471"/>
      <c r="N246" s="516"/>
      <c r="Q246" s="472"/>
      <c r="R246" s="472"/>
      <c r="S246" s="472"/>
      <c r="T246" s="472"/>
      <c r="U246" s="472"/>
      <c r="V246" s="472"/>
      <c r="W246" s="472"/>
      <c r="X246" s="472"/>
      <c r="Y246" s="472"/>
    </row>
    <row r="247" spans="1:25" x14ac:dyDescent="0.25">
      <c r="A247" s="463"/>
      <c r="B247" s="506">
        <v>88248</v>
      </c>
      <c r="C247" s="507"/>
      <c r="D247" s="508"/>
      <c r="E247" s="509" t="str">
        <f>IF($C247="",IFERROR(VLOOKUP($B247,SERVIÇOS!$B:$G,2,0),IFERROR(VLOOKUP($B247,$D:$K,2,0),"")),IFERROR(VLOOKUP($C247,INSUMOS!$A:$D,2,0),IFERROR(VLOOKUP($C247,COTAÇÕES!$B:$I,2,0),(VLOOKUP($C247,'INSUMO SINAPI - SP'!$C:$F,2,0)))))</f>
        <v>AUXILIAR DE ENCANADOR OU BOMBEIRO HIDRÁULICO COM ENCARGOS COMPLEMENTARES</v>
      </c>
      <c r="F247" s="510" t="str">
        <f>IF($C247="",IFERROR(VLOOKUP($B247,SERVIÇOS!$B:$G,3,0),IFERROR(VLOOKUP($B247,$D:$K,3,0),"")),IFERROR(VLOOKUP($C247,INSUMOS!$A:$D,3,0),IFERROR(VLOOKUP($C247,COTAÇÕES!$B:$I,3,0),(VLOOKUP($C247,'INSUMO SINAPI - SP'!$C:$F,3,0)))))</f>
        <v>H</v>
      </c>
      <c r="G247" s="511">
        <v>1.1000000000000001</v>
      </c>
      <c r="H247" s="512">
        <f>IF($C247="",IFERROR(VLOOKUP($B247,SERVIÇOS!$B:$G,6,0),IFERROR(VLOOKUP($B247,$D:$K,8,0),"")),IFERROR(VLOOKUP($C247,INSUMOS!$A:$D,4,0),IFERROR(VLOOKUP($C247,COTAÇÕES!$B:$I,7,0),(VLOOKUP($C247,'INSUMO SINAPI - SP'!$C:$F,4,0)))))</f>
        <v>29.72</v>
      </c>
      <c r="I247" s="513">
        <f>TRUNC(IF($C247="",IFERROR(VLOOKUP($B247,SERVIÇOS!$B:$G,4,0),IFERROR(VLOOKUP($B247,$D:$K,6,0),)),IFERROR(VLOOKUP($C247,INSUMOS!$A:$D,4,0),IFERROR(VLOOKUP($C247,COTAÇÕES!$B:$I,7,0),(VLOOKUP($C247,'INSUMO SINAPI - SP'!$C:$F,4,0)))))*$G247,2)</f>
        <v>9.5</v>
      </c>
      <c r="J247" s="513">
        <f>TRUNC(IF($C247="",IFERROR(VLOOKUP($B247,SERVIÇOS!$B:$G,5,0),IFERROR(VLOOKUP($B247,$D:$K,7,0),)),0)*$G247,2)</f>
        <v>23.18</v>
      </c>
      <c r="K247" s="514">
        <f t="shared" si="12"/>
        <v>32.68</v>
      </c>
      <c r="L247" s="515"/>
      <c r="M247" s="471"/>
      <c r="N247" s="516"/>
      <c r="Q247" s="472"/>
      <c r="R247" s="472"/>
      <c r="S247" s="472"/>
      <c r="T247" s="472"/>
      <c r="U247" s="472"/>
      <c r="V247" s="472"/>
      <c r="W247" s="472"/>
      <c r="X247" s="472"/>
      <c r="Y247" s="472"/>
    </row>
    <row r="248" spans="1:25" x14ac:dyDescent="0.25">
      <c r="A248" s="463"/>
      <c r="B248" s="506"/>
      <c r="C248" s="507">
        <v>20083</v>
      </c>
      <c r="D248" s="508"/>
      <c r="E248" s="509" t="str">
        <f>IF($C248="",IFERROR(VLOOKUP($B248,SERVIÇOS!$B:$G,2,0),IFERROR(VLOOKUP($B248,$D:$K,2,0),"")),IFERROR(VLOOKUP($C248,INSUMOS!$A:$D,2,0),IFERROR(VLOOKUP($C248,COTAÇÕES!$B:$I,2,0),(VLOOKUP($C248,'INSUMO SINAPI - SP'!$C:$F,2,0)))))</f>
        <v>SOLUCAO PREPARADORA / LIMPADORA PARA PVC, FRASCO COM 1000 CM3</v>
      </c>
      <c r="F248" s="510" t="str">
        <f>IF($C248="",IFERROR(VLOOKUP($B248,SERVIÇOS!$B:$G,3,0),IFERROR(VLOOKUP($B248,$D:$K,3,0),"")),IFERROR(VLOOKUP($C248,INSUMOS!$A:$D,3,0),IFERROR(VLOOKUP($C248,COTAÇÕES!$B:$I,3,0),(VLOOKUP($C248,'INSUMO SINAPI - SP'!$C:$F,3,0)))))</f>
        <v>UN</v>
      </c>
      <c r="G248" s="511">
        <v>4.5999999999999999E-2</v>
      </c>
      <c r="H248" s="512">
        <f>IF($C248="",IFERROR(VLOOKUP($B248,SERVIÇOS!$B:$G,6,0),IFERROR(VLOOKUP($B248,$D:$K,8,0),"")),IFERROR(VLOOKUP($C248,INSUMOS!$A:$D,4,0),IFERROR(VLOOKUP($C248,COTAÇÕES!$B:$I,7,0),(VLOOKUP($C248,'INSUMO SINAPI - SP'!$C:$F,4,0)))))</f>
        <v>83.68</v>
      </c>
      <c r="I248" s="513">
        <f>TRUNC(IF($C248="",IFERROR(VLOOKUP($B248,SERVIÇOS!$B:$G,4,0),IFERROR(VLOOKUP($B248,$D:$K,6,0),)),IFERROR(VLOOKUP($C248,INSUMOS!$A:$D,4,0),IFERROR(VLOOKUP($C248,COTAÇÕES!$B:$I,7,0),(VLOOKUP($C248,'INSUMO SINAPI - SP'!$C:$F,4,0)))))*$G248,2)</f>
        <v>3.84</v>
      </c>
      <c r="J248" s="513">
        <f>TRUNC(IF($C248="",IFERROR(VLOOKUP($B248,SERVIÇOS!$B:$G,5,0),IFERROR(VLOOKUP($B248,$D:$K,7,0),)),0)*$G248,2)</f>
        <v>0</v>
      </c>
      <c r="K248" s="514">
        <f t="shared" si="12"/>
        <v>3.84</v>
      </c>
      <c r="L248" s="517"/>
      <c r="M248" s="471"/>
      <c r="N248" s="516"/>
      <c r="Q248" s="472"/>
      <c r="R248" s="472"/>
      <c r="S248" s="472"/>
      <c r="T248" s="472"/>
      <c r="U248" s="472"/>
      <c r="V248" s="472"/>
      <c r="W248" s="472"/>
      <c r="X248" s="472"/>
      <c r="Y248" s="472"/>
    </row>
    <row r="249" spans="1:25" ht="24" x14ac:dyDescent="0.25">
      <c r="A249" s="463"/>
      <c r="B249" s="506"/>
      <c r="C249" s="507">
        <v>20078</v>
      </c>
      <c r="D249" s="508"/>
      <c r="E249" s="509" t="str">
        <f>IF($C249="",IFERROR(VLOOKUP($B249,SERVIÇOS!$B:$G,2,0),IFERROR(VLOOKUP($B249,$D:$K,2,0),"")),IFERROR(VLOOKUP($C249,INSUMOS!$A:$D,2,0),IFERROR(VLOOKUP($C249,COTAÇÕES!$B:$I,2,0),(VLOOKUP($C249,'INSUMO SINAPI - SP'!$C:$F,2,0)))))</f>
        <v>PASTA LUBRIFICANTE PARA TUBOS E CONEXOES COM JUNTA ELASTICA, EMBALAGEM DE *400* GR (USO EM PVC, ACO, POLIETILENO E OUTROS)</v>
      </c>
      <c r="F249" s="510" t="str">
        <f>IF($C249="",IFERROR(VLOOKUP($B249,SERVIÇOS!$B:$G,3,0),IFERROR(VLOOKUP($B249,$D:$K,3,0),"")),IFERROR(VLOOKUP($C249,INSUMOS!$A:$D,3,0),IFERROR(VLOOKUP($C249,COTAÇÕES!$B:$I,3,0),(VLOOKUP($C249,'INSUMO SINAPI - SP'!$C:$F,3,0)))))</f>
        <v>UN</v>
      </c>
      <c r="G249" s="511">
        <v>5.7500000000000002E-2</v>
      </c>
      <c r="H249" s="512">
        <f>IF($C249="",IFERROR(VLOOKUP($B249,SERVIÇOS!$B:$G,6,0),IFERROR(VLOOKUP($B249,$D:$K,8,0),"")),IFERROR(VLOOKUP($C249,INSUMOS!$A:$D,4,0),IFERROR(VLOOKUP($C249,COTAÇÕES!$B:$I,7,0),(VLOOKUP($C249,'INSUMO SINAPI - SP'!$C:$F,4,0)))))</f>
        <v>30.48</v>
      </c>
      <c r="I249" s="513">
        <f>TRUNC(IF($C249="",IFERROR(VLOOKUP($B249,SERVIÇOS!$B:$G,4,0),IFERROR(VLOOKUP($B249,$D:$K,6,0),)),IFERROR(VLOOKUP($C249,INSUMOS!$A:$D,4,0),IFERROR(VLOOKUP($C249,COTAÇÕES!$B:$I,7,0),(VLOOKUP($C249,'INSUMO SINAPI - SP'!$C:$F,4,0)))))*$G249,2)</f>
        <v>1.75</v>
      </c>
      <c r="J249" s="513">
        <f>TRUNC(IF($C249="",IFERROR(VLOOKUP($B249,SERVIÇOS!$B:$G,5,0),IFERROR(VLOOKUP($B249,$D:$K,7,0),)),0)*$G249,2)</f>
        <v>0</v>
      </c>
      <c r="K249" s="514">
        <f t="shared" si="12"/>
        <v>1.75</v>
      </c>
      <c r="L249" s="517"/>
      <c r="M249" s="471"/>
      <c r="N249" s="516"/>
      <c r="Q249" s="472"/>
      <c r="R249" s="472"/>
      <c r="S249" s="472"/>
      <c r="T249" s="472"/>
      <c r="U249" s="472"/>
      <c r="V249" s="472"/>
      <c r="W249" s="472"/>
      <c r="X249" s="472"/>
      <c r="Y249" s="472"/>
    </row>
    <row r="250" spans="1:25" x14ac:dyDescent="0.25">
      <c r="A250" s="463"/>
      <c r="B250" s="506"/>
      <c r="C250" s="507">
        <v>9836</v>
      </c>
      <c r="D250" s="508"/>
      <c r="E250" s="509" t="str">
        <f>IF($C250="",IFERROR(VLOOKUP($B250,SERVIÇOS!$B:$G,2,0),IFERROR(VLOOKUP($B250,$D:$K,2,0),"")),IFERROR(VLOOKUP($C250,INSUMOS!$A:$D,2,0),IFERROR(VLOOKUP($C250,COTAÇÕES!$B:$I,2,0),(VLOOKUP($C250,'INSUMO SINAPI - SP'!$C:$F,2,0)))))</f>
        <v>TUBO PVC SERIE NORMAL, DN 100 MM, PARA ESGOTO PREDIAL (NBR 5688)</v>
      </c>
      <c r="F250" s="510" t="str">
        <f>IF($C250="",IFERROR(VLOOKUP($B250,SERVIÇOS!$B:$G,3,0),IFERROR(VLOOKUP($B250,$D:$K,3,0),"")),IFERROR(VLOOKUP($C250,INSUMOS!$A:$D,3,0),IFERROR(VLOOKUP($C250,COTAÇÕES!$B:$I,3,0),(VLOOKUP($C250,'INSUMO SINAPI - SP'!$C:$F,3,0)))))</f>
        <v>M</v>
      </c>
      <c r="G250" s="511">
        <v>1.3</v>
      </c>
      <c r="H250" s="512">
        <f>IF($C250="",IFERROR(VLOOKUP($B250,SERVIÇOS!$B:$G,6,0),IFERROR(VLOOKUP($B250,$D:$K,8,0),"")),IFERROR(VLOOKUP($C250,INSUMOS!$A:$D,4,0),IFERROR(VLOOKUP($C250,COTAÇÕES!$B:$I,7,0),(VLOOKUP($C250,'INSUMO SINAPI - SP'!$C:$F,4,0)))))</f>
        <v>14.37</v>
      </c>
      <c r="I250" s="513">
        <f>TRUNC(IF($C250="",IFERROR(VLOOKUP($B250,SERVIÇOS!$B:$G,4,0),IFERROR(VLOOKUP($B250,$D:$K,6,0),)),IFERROR(VLOOKUP($C250,INSUMOS!$A:$D,4,0),IFERROR(VLOOKUP($C250,COTAÇÕES!$B:$I,7,0),(VLOOKUP($C250,'INSUMO SINAPI - SP'!$C:$F,4,0)))))*$G250,2)</f>
        <v>18.68</v>
      </c>
      <c r="J250" s="513">
        <f>TRUNC(IF($C250="",IFERROR(VLOOKUP($B250,SERVIÇOS!$B:$G,5,0),IFERROR(VLOOKUP($B250,$D:$K,7,0),)),0)*$G250,2)</f>
        <v>0</v>
      </c>
      <c r="K250" s="514">
        <f t="shared" si="12"/>
        <v>18.68</v>
      </c>
      <c r="L250" s="517"/>
      <c r="M250" s="471"/>
      <c r="N250" s="516"/>
      <c r="Q250" s="472"/>
      <c r="R250" s="472"/>
      <c r="S250" s="472"/>
      <c r="T250" s="472"/>
      <c r="U250" s="472"/>
      <c r="V250" s="472"/>
      <c r="W250" s="472"/>
      <c r="X250" s="472"/>
      <c r="Y250" s="472"/>
    </row>
    <row r="251" spans="1:25" x14ac:dyDescent="0.25">
      <c r="A251" s="463"/>
      <c r="B251" s="506"/>
      <c r="C251" s="507">
        <v>301</v>
      </c>
      <c r="D251" s="508"/>
      <c r="E251" s="509" t="str">
        <f>IF($C251="",IFERROR(VLOOKUP($B251,SERVIÇOS!$B:$G,2,0),IFERROR(VLOOKUP($B251,$D:$K,2,0),"")),IFERROR(VLOOKUP($C251,INSUMOS!$A:$D,2,0),IFERROR(VLOOKUP($C251,COTAÇÕES!$B:$I,2,0),(VLOOKUP($C251,'INSUMO SINAPI - SP'!$C:$F,2,0)))))</f>
        <v>ANEL BORRACHA PARA TUBO ESGOTO PREDIAL, DN 100 MM (NBR 5688)</v>
      </c>
      <c r="F251" s="510" t="str">
        <f>IF($C251="",IFERROR(VLOOKUP($B251,SERVIÇOS!$B:$G,3,0),IFERROR(VLOOKUP($B251,$D:$K,3,0),"")),IFERROR(VLOOKUP($C251,INSUMOS!$A:$D,3,0),IFERROR(VLOOKUP($C251,COTAÇÕES!$B:$I,3,0),(VLOOKUP($C251,'INSUMO SINAPI - SP'!$C:$F,3,0)))))</f>
        <v>UN</v>
      </c>
      <c r="G251" s="511">
        <v>1</v>
      </c>
      <c r="H251" s="512">
        <f>IF($C251="",IFERROR(VLOOKUP($B251,SERVIÇOS!$B:$G,6,0),IFERROR(VLOOKUP($B251,$D:$K,8,0),"")),IFERROR(VLOOKUP($C251,INSUMOS!$A:$D,4,0),IFERROR(VLOOKUP($C251,COTAÇÕES!$B:$I,7,0),(VLOOKUP($C251,'INSUMO SINAPI - SP'!$C:$F,4,0)))))</f>
        <v>2.67</v>
      </c>
      <c r="I251" s="513">
        <f>TRUNC(IF($C251="",IFERROR(VLOOKUP($B251,SERVIÇOS!$B:$G,4,0),IFERROR(VLOOKUP($B251,$D:$K,6,0),)),IFERROR(VLOOKUP($C251,INSUMOS!$A:$D,4,0),IFERROR(VLOOKUP($C251,COTAÇÕES!$B:$I,7,0),(VLOOKUP($C251,'INSUMO SINAPI - SP'!$C:$F,4,0)))))*$G251,2)</f>
        <v>2.67</v>
      </c>
      <c r="J251" s="513">
        <f>TRUNC(IF($C251="",IFERROR(VLOOKUP($B251,SERVIÇOS!$B:$G,5,0),IFERROR(VLOOKUP($B251,$D:$K,7,0),)),0)*$G251,2)</f>
        <v>0</v>
      </c>
      <c r="K251" s="514">
        <f t="shared" si="12"/>
        <v>2.67</v>
      </c>
      <c r="L251" s="517"/>
      <c r="M251" s="471"/>
      <c r="N251" s="516"/>
      <c r="Q251" s="472"/>
      <c r="R251" s="472"/>
      <c r="S251" s="472"/>
      <c r="T251" s="472"/>
      <c r="U251" s="472"/>
      <c r="V251" s="472"/>
      <c r="W251" s="472"/>
      <c r="X251" s="472"/>
      <c r="Y251" s="472"/>
    </row>
    <row r="252" spans="1:25" x14ac:dyDescent="0.25">
      <c r="A252" s="463"/>
      <c r="B252" s="498"/>
      <c r="C252" s="498"/>
      <c r="D252" s="499" t="s">
        <v>12149</v>
      </c>
      <c r="E252" s="500" t="s">
        <v>12772</v>
      </c>
      <c r="F252" s="501" t="s">
        <v>585</v>
      </c>
      <c r="G252" s="502"/>
      <c r="H252" s="503"/>
      <c r="I252" s="504">
        <f>ROUND(SUM(I253:I258),2)</f>
        <v>31.42</v>
      </c>
      <c r="J252" s="504">
        <f>ROUND(SUM(J253:J258),2)</f>
        <v>34.020000000000003</v>
      </c>
      <c r="K252" s="504">
        <f>+J252+I252</f>
        <v>65.44</v>
      </c>
      <c r="L252" s="523" t="s">
        <v>12759</v>
      </c>
      <c r="M252" s="471"/>
      <c r="N252" s="505"/>
      <c r="Q252" s="472"/>
      <c r="R252" s="472"/>
      <c r="S252" s="472"/>
      <c r="T252" s="472"/>
      <c r="U252" s="472"/>
      <c r="V252" s="472"/>
      <c r="W252" s="472"/>
      <c r="X252" s="472"/>
      <c r="Y252" s="472"/>
    </row>
    <row r="253" spans="1:25" x14ac:dyDescent="0.25">
      <c r="A253" s="463"/>
      <c r="B253" s="506">
        <v>88267</v>
      </c>
      <c r="C253" s="507"/>
      <c r="D253" s="508"/>
      <c r="E253" s="509" t="str">
        <f>IF($C253="",IFERROR(VLOOKUP($B253,SERVIÇOS!$B:$G,2,0),IFERROR(VLOOKUP($B253,$D:$K,2,0),"")),IFERROR(VLOOKUP($C253,INSUMOS!$A:$D,2,0),IFERROR(VLOOKUP($C253,COTAÇÕES!$B:$I,2,0),(VLOOKUP($C253,'INSUMO SINAPI - SP'!$C:$F,2,0)))))</f>
        <v>ENCANADOR OU BOMBEIRO HIDRÁULICO COM ENCARGOS COMPLEMENTARES</v>
      </c>
      <c r="F253" s="510" t="str">
        <f>IF($C253="",IFERROR(VLOOKUP($B253,SERVIÇOS!$B:$G,3,0),IFERROR(VLOOKUP($B253,$D:$K,3,0),"")),IFERROR(VLOOKUP($C253,INSUMOS!$A:$D,3,0),IFERROR(VLOOKUP($C253,COTAÇÕES!$B:$I,3,0),(VLOOKUP($C253,'INSUMO SINAPI - SP'!$C:$F,3,0)))))</f>
        <v>H</v>
      </c>
      <c r="G253" s="511">
        <v>0.7</v>
      </c>
      <c r="H253" s="512">
        <f>IF($C253="",IFERROR(VLOOKUP($B253,SERVIÇOS!$B:$G,6,0),IFERROR(VLOOKUP($B253,$D:$K,8,0),"")),IFERROR(VLOOKUP($C253,INSUMOS!$A:$D,4,0),IFERROR(VLOOKUP($C253,COTAÇÕES!$B:$I,7,0),(VLOOKUP($C253,'INSUMO SINAPI - SP'!$C:$F,4,0)))))</f>
        <v>36.17</v>
      </c>
      <c r="I253" s="513">
        <f>TRUNC(IF($C253="",IFERROR(VLOOKUP($B253,SERVIÇOS!$B:$G,4,0),IFERROR(VLOOKUP($B253,$D:$K,6,0),)),IFERROR(VLOOKUP($C253,INSUMOS!$A:$D,4,0),IFERROR(VLOOKUP($C253,COTAÇÕES!$B:$I,7,0),(VLOOKUP($C253,'INSUMO SINAPI - SP'!$C:$F,4,0)))))*$G253,2)</f>
        <v>6.04</v>
      </c>
      <c r="J253" s="513">
        <f>TRUNC(IF($C253="",IFERROR(VLOOKUP($B253,SERVIÇOS!$B:$G,5,0),IFERROR(VLOOKUP($B253,$D:$K,7,0),)),0)*$G253,2)</f>
        <v>19.27</v>
      </c>
      <c r="K253" s="514">
        <f t="shared" ref="K253:K258" si="13">I253+J253</f>
        <v>25.31</v>
      </c>
      <c r="L253" s="515"/>
      <c r="M253" s="471"/>
      <c r="N253" s="516"/>
      <c r="Q253" s="472"/>
      <c r="R253" s="472"/>
      <c r="S253" s="472"/>
      <c r="T253" s="472"/>
      <c r="U253" s="472"/>
      <c r="V253" s="472"/>
      <c r="W253" s="472"/>
      <c r="X253" s="472"/>
      <c r="Y253" s="472"/>
    </row>
    <row r="254" spans="1:25" x14ac:dyDescent="0.25">
      <c r="A254" s="463"/>
      <c r="B254" s="506">
        <v>88248</v>
      </c>
      <c r="C254" s="507"/>
      <c r="D254" s="508"/>
      <c r="E254" s="509" t="str">
        <f>IF($C254="",IFERROR(VLOOKUP($B254,SERVIÇOS!$B:$G,2,0),IFERROR(VLOOKUP($B254,$D:$K,2,0),"")),IFERROR(VLOOKUP($C254,INSUMOS!$A:$D,2,0),IFERROR(VLOOKUP($C254,COTAÇÕES!$B:$I,2,0),(VLOOKUP($C254,'INSUMO SINAPI - SP'!$C:$F,2,0)))))</f>
        <v>AUXILIAR DE ENCANADOR OU BOMBEIRO HIDRÁULICO COM ENCARGOS COMPLEMENTARES</v>
      </c>
      <c r="F254" s="510" t="str">
        <f>IF($C254="",IFERROR(VLOOKUP($B254,SERVIÇOS!$B:$G,3,0),IFERROR(VLOOKUP($B254,$D:$K,3,0),"")),IFERROR(VLOOKUP($C254,INSUMOS!$A:$D,3,0),IFERROR(VLOOKUP($C254,COTAÇÕES!$B:$I,3,0),(VLOOKUP($C254,'INSUMO SINAPI - SP'!$C:$F,3,0)))))</f>
        <v>H</v>
      </c>
      <c r="G254" s="511">
        <v>0.7</v>
      </c>
      <c r="H254" s="512">
        <f>IF($C254="",IFERROR(VLOOKUP($B254,SERVIÇOS!$B:$G,6,0),IFERROR(VLOOKUP($B254,$D:$K,8,0),"")),IFERROR(VLOOKUP($C254,INSUMOS!$A:$D,4,0),IFERROR(VLOOKUP($C254,COTAÇÕES!$B:$I,7,0),(VLOOKUP($C254,'INSUMO SINAPI - SP'!$C:$F,4,0)))))</f>
        <v>29.72</v>
      </c>
      <c r="I254" s="513">
        <f>TRUNC(IF($C254="",IFERROR(VLOOKUP($B254,SERVIÇOS!$B:$G,4,0),IFERROR(VLOOKUP($B254,$D:$K,6,0),)),IFERROR(VLOOKUP($C254,INSUMOS!$A:$D,4,0),IFERROR(VLOOKUP($C254,COTAÇÕES!$B:$I,7,0),(VLOOKUP($C254,'INSUMO SINAPI - SP'!$C:$F,4,0)))))*$G254,2)</f>
        <v>6.04</v>
      </c>
      <c r="J254" s="513">
        <f>TRUNC(IF($C254="",IFERROR(VLOOKUP($B254,SERVIÇOS!$B:$G,5,0),IFERROR(VLOOKUP($B254,$D:$K,7,0),)),0)*$G254,2)</f>
        <v>14.75</v>
      </c>
      <c r="K254" s="514">
        <f t="shared" si="13"/>
        <v>20.79</v>
      </c>
      <c r="L254" s="515"/>
      <c r="M254" s="471"/>
      <c r="N254" s="516"/>
      <c r="Q254" s="472"/>
      <c r="R254" s="472"/>
      <c r="S254" s="472"/>
      <c r="T254" s="472"/>
      <c r="U254" s="472"/>
      <c r="V254" s="472"/>
      <c r="W254" s="472"/>
      <c r="X254" s="472"/>
      <c r="Y254" s="472"/>
    </row>
    <row r="255" spans="1:25" x14ac:dyDescent="0.25">
      <c r="A255" s="463"/>
      <c r="B255" s="506"/>
      <c r="C255" s="507">
        <v>20083</v>
      </c>
      <c r="D255" s="508"/>
      <c r="E255" s="509" t="str">
        <f>IF($C255="",IFERROR(VLOOKUP($B255,SERVIÇOS!$B:$G,2,0),IFERROR(VLOOKUP($B255,$D:$K,2,0),"")),IFERROR(VLOOKUP($C255,INSUMOS!$A:$D,2,0),IFERROR(VLOOKUP($C255,COTAÇÕES!$B:$I,2,0),(VLOOKUP($C255,'INSUMO SINAPI - SP'!$C:$F,2,0)))))</f>
        <v>SOLUCAO PREPARADORA / LIMPADORA PARA PVC, FRASCO COM 1000 CM3</v>
      </c>
      <c r="F255" s="510" t="str">
        <f>IF($C255="",IFERROR(VLOOKUP($B255,SERVIÇOS!$B:$G,3,0),IFERROR(VLOOKUP($B255,$D:$K,3,0),"")),IFERROR(VLOOKUP($C255,INSUMOS!$A:$D,3,0),IFERROR(VLOOKUP($C255,COTAÇÕES!$B:$I,3,0),(VLOOKUP($C255,'INSUMO SINAPI - SP'!$C:$F,3,0)))))</f>
        <v>UN</v>
      </c>
      <c r="G255" s="511">
        <v>8.0000000000000004E-4</v>
      </c>
      <c r="H255" s="512">
        <f>IF($C255="",IFERROR(VLOOKUP($B255,SERVIÇOS!$B:$G,6,0),IFERROR(VLOOKUP($B255,$D:$K,8,0),"")),IFERROR(VLOOKUP($C255,INSUMOS!$A:$D,4,0),IFERROR(VLOOKUP($C255,COTAÇÕES!$B:$I,7,0),(VLOOKUP($C255,'INSUMO SINAPI - SP'!$C:$F,4,0)))))</f>
        <v>83.68</v>
      </c>
      <c r="I255" s="513">
        <f>TRUNC(IF($C255="",IFERROR(VLOOKUP($B255,SERVIÇOS!$B:$G,4,0),IFERROR(VLOOKUP($B255,$D:$K,6,0),)),IFERROR(VLOOKUP($C255,INSUMOS!$A:$D,4,0),IFERROR(VLOOKUP($C255,COTAÇÕES!$B:$I,7,0),(VLOOKUP($C255,'INSUMO SINAPI - SP'!$C:$F,4,0)))))*$G255,2)</f>
        <v>0.06</v>
      </c>
      <c r="J255" s="513">
        <f>TRUNC(IF($C255="",IFERROR(VLOOKUP($B255,SERVIÇOS!$B:$G,5,0),IFERROR(VLOOKUP($B255,$D:$K,7,0),)),0)*$G255,2)</f>
        <v>0</v>
      </c>
      <c r="K255" s="514">
        <f t="shared" si="13"/>
        <v>0.06</v>
      </c>
      <c r="L255" s="517"/>
      <c r="M255" s="471"/>
      <c r="N255" s="516"/>
      <c r="Q255" s="472"/>
      <c r="R255" s="472"/>
      <c r="S255" s="472"/>
      <c r="T255" s="472"/>
      <c r="U255" s="472"/>
      <c r="V255" s="472"/>
      <c r="W255" s="472"/>
      <c r="X255" s="472"/>
      <c r="Y255" s="472"/>
    </row>
    <row r="256" spans="1:25" x14ac:dyDescent="0.25">
      <c r="A256" s="463"/>
      <c r="B256" s="506"/>
      <c r="C256" s="507">
        <v>122</v>
      </c>
      <c r="D256" s="508"/>
      <c r="E256" s="509" t="str">
        <f>IF($C256="",IFERROR(VLOOKUP($B256,SERVIÇOS!$B:$G,2,0),IFERROR(VLOOKUP($B256,$D:$K,2,0),"")),IFERROR(VLOOKUP($C256,INSUMOS!$A:$D,2,0),IFERROR(VLOOKUP($C256,COTAÇÕES!$B:$I,2,0),(VLOOKUP($C256,'INSUMO SINAPI - SP'!$C:$F,2,0)))))</f>
        <v>ADESIVO PLASTICO PARA PVC, FRASCO COM *850* GR</v>
      </c>
      <c r="F256" s="510" t="str">
        <f>IF($C256="",IFERROR(VLOOKUP($B256,SERVIÇOS!$B:$G,3,0),IFERROR(VLOOKUP($B256,$D:$K,3,0),"")),IFERROR(VLOOKUP($C256,INSUMOS!$A:$D,3,0),IFERROR(VLOOKUP($C256,COTAÇÕES!$B:$I,3,0),(VLOOKUP($C256,'INSUMO SINAPI - SP'!$C:$F,3,0)))))</f>
        <v>UN</v>
      </c>
      <c r="G256" s="511">
        <v>2.2000000000000001E-3</v>
      </c>
      <c r="H256" s="512">
        <f>IF($C256="",IFERROR(VLOOKUP($B256,SERVIÇOS!$B:$G,6,0),IFERROR(VLOOKUP($B256,$D:$K,8,0),"")),IFERROR(VLOOKUP($C256,INSUMOS!$A:$D,4,0),IFERROR(VLOOKUP($C256,COTAÇÕES!$B:$I,7,0),(VLOOKUP($C256,'INSUMO SINAPI - SP'!$C:$F,4,0)))))</f>
        <v>73.86</v>
      </c>
      <c r="I256" s="513">
        <f>TRUNC(IF($C256="",IFERROR(VLOOKUP($B256,SERVIÇOS!$B:$G,4,0),IFERROR(VLOOKUP($B256,$D:$K,6,0),)),IFERROR(VLOOKUP($C256,INSUMOS!$A:$D,4,0),IFERROR(VLOOKUP($C256,COTAÇÕES!$B:$I,7,0),(VLOOKUP($C256,'INSUMO SINAPI - SP'!$C:$F,4,0)))))*$G256,2)</f>
        <v>0.16</v>
      </c>
      <c r="J256" s="513">
        <f>TRUNC(IF($C256="",IFERROR(VLOOKUP($B256,SERVIÇOS!$B:$G,5,0),IFERROR(VLOOKUP($B256,$D:$K,7,0),)),0)*$G256,2)</f>
        <v>0</v>
      </c>
      <c r="K256" s="514">
        <f t="shared" si="13"/>
        <v>0.16</v>
      </c>
      <c r="L256" s="517"/>
      <c r="M256" s="471"/>
      <c r="N256" s="516"/>
      <c r="Q256" s="472"/>
      <c r="R256" s="472"/>
      <c r="S256" s="472"/>
      <c r="T256" s="472"/>
      <c r="U256" s="472"/>
      <c r="V256" s="472"/>
      <c r="W256" s="472"/>
      <c r="X256" s="472"/>
      <c r="Y256" s="472"/>
    </row>
    <row r="257" spans="1:25" x14ac:dyDescent="0.25">
      <c r="A257" s="463"/>
      <c r="B257" s="506"/>
      <c r="C257" s="507">
        <v>9837</v>
      </c>
      <c r="D257" s="508"/>
      <c r="E257" s="509" t="str">
        <f>IF($C257="",IFERROR(VLOOKUP($B257,SERVIÇOS!$B:$G,2,0),IFERROR(VLOOKUP($B257,$D:$K,2,0),"")),IFERROR(VLOOKUP($C257,INSUMOS!$A:$D,2,0),IFERROR(VLOOKUP($C257,COTAÇÕES!$B:$I,2,0),(VLOOKUP($C257,'INSUMO SINAPI - SP'!$C:$F,2,0)))))</f>
        <v>TUBO PVC SERIE NORMAL, DN 75 MM, PARA ESGOTO PREDIAL (NBR 5688)</v>
      </c>
      <c r="F257" s="510" t="str">
        <f>IF($C257="",IFERROR(VLOOKUP($B257,SERVIÇOS!$B:$G,3,0),IFERROR(VLOOKUP($B257,$D:$K,3,0),"")),IFERROR(VLOOKUP($C257,INSUMOS!$A:$D,3,0),IFERROR(VLOOKUP($C257,COTAÇÕES!$B:$I,3,0),(VLOOKUP($C257,'INSUMO SINAPI - SP'!$C:$F,3,0)))))</f>
        <v>M</v>
      </c>
      <c r="G257" s="511">
        <v>1.4</v>
      </c>
      <c r="H257" s="512">
        <f>IF($C257="",IFERROR(VLOOKUP($B257,SERVIÇOS!$B:$G,6,0),IFERROR(VLOOKUP($B257,$D:$K,8,0),"")),IFERROR(VLOOKUP($C257,INSUMOS!$A:$D,4,0),IFERROR(VLOOKUP($C257,COTAÇÕES!$B:$I,7,0),(VLOOKUP($C257,'INSUMO SINAPI - SP'!$C:$F,4,0)))))</f>
        <v>13.6</v>
      </c>
      <c r="I257" s="513">
        <f>TRUNC(IF($C257="",IFERROR(VLOOKUP($B257,SERVIÇOS!$B:$G,4,0),IFERROR(VLOOKUP($B257,$D:$K,6,0),)),IFERROR(VLOOKUP($C257,INSUMOS!$A:$D,4,0),IFERROR(VLOOKUP($C257,COTAÇÕES!$B:$I,7,0),(VLOOKUP($C257,'INSUMO SINAPI - SP'!$C:$F,4,0)))))*$G257,2)</f>
        <v>19.04</v>
      </c>
      <c r="J257" s="513">
        <f>TRUNC(IF($C257="",IFERROR(VLOOKUP($B257,SERVIÇOS!$B:$G,5,0),IFERROR(VLOOKUP($B257,$D:$K,7,0),)),0)*$G257,2)</f>
        <v>0</v>
      </c>
      <c r="K257" s="514">
        <f t="shared" si="13"/>
        <v>19.04</v>
      </c>
      <c r="L257" s="517"/>
      <c r="M257" s="471"/>
      <c r="N257" s="516"/>
      <c r="Q257" s="472"/>
      <c r="R257" s="472"/>
      <c r="S257" s="472"/>
      <c r="T257" s="472"/>
      <c r="U257" s="472"/>
      <c r="V257" s="472"/>
      <c r="W257" s="472"/>
      <c r="X257" s="472"/>
      <c r="Y257" s="472"/>
    </row>
    <row r="258" spans="1:25" x14ac:dyDescent="0.25">
      <c r="A258" s="463"/>
      <c r="B258" s="506"/>
      <c r="C258" s="507">
        <v>297</v>
      </c>
      <c r="D258" s="508"/>
      <c r="E258" s="509" t="str">
        <f>IF($C258="",IFERROR(VLOOKUP($B258,SERVIÇOS!$B:$G,2,0),IFERROR(VLOOKUP($B258,$D:$K,2,0),"")),IFERROR(VLOOKUP($C258,INSUMOS!$A:$D,2,0),IFERROR(VLOOKUP($C258,COTAÇÕES!$B:$I,2,0),(VLOOKUP($C258,'INSUMO SINAPI - SP'!$C:$F,2,0)))))</f>
        <v>ANEL BORRACHA PARA TUBO ESGOTO PREDIAL, DN 75 MM (NBR 5688)</v>
      </c>
      <c r="F258" s="510" t="str">
        <f>IF($C258="",IFERROR(VLOOKUP($B258,SERVIÇOS!$B:$G,3,0),IFERROR(VLOOKUP($B258,$D:$K,3,0),"")),IFERROR(VLOOKUP($C258,INSUMOS!$A:$D,3,0),IFERROR(VLOOKUP($C258,COTAÇÕES!$B:$I,3,0),(VLOOKUP($C258,'INSUMO SINAPI - SP'!$C:$F,3,0)))))</f>
        <v>UN</v>
      </c>
      <c r="G258" s="511">
        <v>3.8699999999999998E-2</v>
      </c>
      <c r="H258" s="512">
        <f>IF($C258="",IFERROR(VLOOKUP($B258,SERVIÇOS!$B:$G,6,0),IFERROR(VLOOKUP($B258,$D:$K,8,0),"")),IFERROR(VLOOKUP($C258,INSUMOS!$A:$D,4,0),IFERROR(VLOOKUP($C258,COTAÇÕES!$B:$I,7,0),(VLOOKUP($C258,'INSUMO SINAPI - SP'!$C:$F,4,0)))))</f>
        <v>2.21</v>
      </c>
      <c r="I258" s="513">
        <f>TRUNC(IF($C258="",IFERROR(VLOOKUP($B258,SERVIÇOS!$B:$G,4,0),IFERROR(VLOOKUP($B258,$D:$K,6,0),)),IFERROR(VLOOKUP($C258,INSUMOS!$A:$D,4,0),IFERROR(VLOOKUP($C258,COTAÇÕES!$B:$I,7,0),(VLOOKUP($C258,'INSUMO SINAPI - SP'!$C:$F,4,0)))))*$G258,2)</f>
        <v>0.08</v>
      </c>
      <c r="J258" s="513">
        <f>TRUNC(IF($C258="",IFERROR(VLOOKUP($B258,SERVIÇOS!$B:$G,5,0),IFERROR(VLOOKUP($B258,$D:$K,7,0),)),0)*$G258,2)</f>
        <v>0</v>
      </c>
      <c r="K258" s="514">
        <f t="shared" si="13"/>
        <v>0.08</v>
      </c>
      <c r="L258" s="517"/>
      <c r="M258" s="471"/>
      <c r="N258" s="516"/>
      <c r="Q258" s="472"/>
      <c r="R258" s="472"/>
      <c r="S258" s="472"/>
      <c r="T258" s="472"/>
      <c r="U258" s="472"/>
      <c r="V258" s="472"/>
      <c r="W258" s="472"/>
      <c r="X258" s="472"/>
      <c r="Y258" s="472"/>
    </row>
    <row r="259" spans="1:25" x14ac:dyDescent="0.25">
      <c r="A259" s="463"/>
      <c r="B259" s="498"/>
      <c r="C259" s="498"/>
      <c r="D259" s="499" t="s">
        <v>12150</v>
      </c>
      <c r="E259" s="500" t="s">
        <v>12773</v>
      </c>
      <c r="F259" s="501" t="s">
        <v>585</v>
      </c>
      <c r="G259" s="502"/>
      <c r="H259" s="503"/>
      <c r="I259" s="504">
        <f>ROUND(SUM(I260:I264),2)</f>
        <v>39.51</v>
      </c>
      <c r="J259" s="504">
        <f>ROUND(SUM(J260:J264),2)</f>
        <v>53.46</v>
      </c>
      <c r="K259" s="504">
        <f>+J259+I259</f>
        <v>92.97</v>
      </c>
      <c r="L259" s="523" t="s">
        <v>12774</v>
      </c>
      <c r="M259" s="471"/>
      <c r="N259" s="505"/>
      <c r="Q259" s="472"/>
      <c r="R259" s="472"/>
      <c r="S259" s="472"/>
      <c r="T259" s="472"/>
      <c r="U259" s="472"/>
      <c r="V259" s="472"/>
      <c r="W259" s="472"/>
      <c r="X259" s="472"/>
      <c r="Y259" s="472"/>
    </row>
    <row r="260" spans="1:25" x14ac:dyDescent="0.25">
      <c r="A260" s="463"/>
      <c r="B260" s="506">
        <v>88267</v>
      </c>
      <c r="C260" s="507"/>
      <c r="D260" s="508"/>
      <c r="E260" s="509" t="str">
        <f>IF($C260="",IFERROR(VLOOKUP($B260,SERVIÇOS!$B:$G,2,0),IFERROR(VLOOKUP($B260,$D:$K,2,0),"")),IFERROR(VLOOKUP($C260,INSUMOS!$A:$D,2,0),IFERROR(VLOOKUP($C260,COTAÇÕES!$B:$I,2,0),(VLOOKUP($C260,'INSUMO SINAPI - SP'!$C:$F,2,0)))))</f>
        <v>ENCANADOR OU BOMBEIRO HIDRÁULICO COM ENCARGOS COMPLEMENTARES</v>
      </c>
      <c r="F260" s="510" t="str">
        <f>IF($C260="",IFERROR(VLOOKUP($B260,SERVIÇOS!$B:$G,3,0),IFERROR(VLOOKUP($B260,$D:$K,3,0),"")),IFERROR(VLOOKUP($C260,INSUMOS!$A:$D,3,0),IFERROR(VLOOKUP($C260,COTAÇÕES!$B:$I,3,0),(VLOOKUP($C260,'INSUMO SINAPI - SP'!$C:$F,3,0)))))</f>
        <v>H</v>
      </c>
      <c r="G260" s="511">
        <v>1.1000000000000001</v>
      </c>
      <c r="H260" s="512">
        <f>IF($C260="",IFERROR(VLOOKUP($B260,SERVIÇOS!$B:$G,6,0),IFERROR(VLOOKUP($B260,$D:$K,8,0),"")),IFERROR(VLOOKUP($C260,INSUMOS!$A:$D,4,0),IFERROR(VLOOKUP($C260,COTAÇÕES!$B:$I,7,0),(VLOOKUP($C260,'INSUMO SINAPI - SP'!$C:$F,4,0)))))</f>
        <v>36.17</v>
      </c>
      <c r="I260" s="513">
        <f>TRUNC(IF($C260="",IFERROR(VLOOKUP($B260,SERVIÇOS!$B:$G,4,0),IFERROR(VLOOKUP($B260,$D:$K,6,0),)),IFERROR(VLOOKUP($C260,INSUMOS!$A:$D,4,0),IFERROR(VLOOKUP($C260,COTAÇÕES!$B:$I,7,0),(VLOOKUP($C260,'INSUMO SINAPI - SP'!$C:$F,4,0)))))*$G260,2)</f>
        <v>9.5</v>
      </c>
      <c r="J260" s="513">
        <f>TRUNC(IF($C260="",IFERROR(VLOOKUP($B260,SERVIÇOS!$B:$G,5,0),IFERROR(VLOOKUP($B260,$D:$K,7,0),)),0)*$G260,2)</f>
        <v>30.28</v>
      </c>
      <c r="K260" s="514">
        <f>I260+J260</f>
        <v>39.78</v>
      </c>
      <c r="L260" s="515"/>
      <c r="M260" s="471"/>
      <c r="N260" s="516"/>
      <c r="Q260" s="472"/>
      <c r="R260" s="472"/>
      <c r="S260" s="472"/>
      <c r="T260" s="472"/>
      <c r="U260" s="472"/>
      <c r="V260" s="472"/>
      <c r="W260" s="472"/>
      <c r="X260" s="472"/>
      <c r="Y260" s="472"/>
    </row>
    <row r="261" spans="1:25" x14ac:dyDescent="0.25">
      <c r="A261" s="463"/>
      <c r="B261" s="506">
        <v>88248</v>
      </c>
      <c r="C261" s="507"/>
      <c r="D261" s="508"/>
      <c r="E261" s="509" t="str">
        <f>IF($C261="",IFERROR(VLOOKUP($B261,SERVIÇOS!$B:$G,2,0),IFERROR(VLOOKUP($B261,$D:$K,2,0),"")),IFERROR(VLOOKUP($C261,INSUMOS!$A:$D,2,0),IFERROR(VLOOKUP($C261,COTAÇÕES!$B:$I,2,0),(VLOOKUP($C261,'INSUMO SINAPI - SP'!$C:$F,2,0)))))</f>
        <v>AUXILIAR DE ENCANADOR OU BOMBEIRO HIDRÁULICO COM ENCARGOS COMPLEMENTARES</v>
      </c>
      <c r="F261" s="510" t="str">
        <f>IF($C261="",IFERROR(VLOOKUP($B261,SERVIÇOS!$B:$G,3,0),IFERROR(VLOOKUP($B261,$D:$K,3,0),"")),IFERROR(VLOOKUP($C261,INSUMOS!$A:$D,3,0),IFERROR(VLOOKUP($C261,COTAÇÕES!$B:$I,3,0),(VLOOKUP($C261,'INSUMO SINAPI - SP'!$C:$F,3,0)))))</f>
        <v>H</v>
      </c>
      <c r="G261" s="511">
        <v>1.1000000000000001</v>
      </c>
      <c r="H261" s="512">
        <f>IF($C261="",IFERROR(VLOOKUP($B261,SERVIÇOS!$B:$G,6,0),IFERROR(VLOOKUP($B261,$D:$K,8,0),"")),IFERROR(VLOOKUP($C261,INSUMOS!$A:$D,4,0),IFERROR(VLOOKUP($C261,COTAÇÕES!$B:$I,7,0),(VLOOKUP($C261,'INSUMO SINAPI - SP'!$C:$F,4,0)))))</f>
        <v>29.72</v>
      </c>
      <c r="I261" s="513">
        <f>TRUNC(IF($C261="",IFERROR(VLOOKUP($B261,SERVIÇOS!$B:$G,4,0),IFERROR(VLOOKUP($B261,$D:$K,6,0),)),IFERROR(VLOOKUP($C261,INSUMOS!$A:$D,4,0),IFERROR(VLOOKUP($C261,COTAÇÕES!$B:$I,7,0),(VLOOKUP($C261,'INSUMO SINAPI - SP'!$C:$F,4,0)))))*$G261,2)</f>
        <v>9.5</v>
      </c>
      <c r="J261" s="513">
        <f>TRUNC(IF($C261="",IFERROR(VLOOKUP($B261,SERVIÇOS!$B:$G,5,0),IFERROR(VLOOKUP($B261,$D:$K,7,0),)),0)*$G261,2)</f>
        <v>23.18</v>
      </c>
      <c r="K261" s="514">
        <f>I261+J261</f>
        <v>32.68</v>
      </c>
      <c r="L261" s="515"/>
      <c r="M261" s="471"/>
      <c r="N261" s="516"/>
      <c r="Q261" s="472"/>
      <c r="R261" s="472"/>
      <c r="S261" s="472"/>
      <c r="T261" s="472"/>
      <c r="U261" s="472"/>
      <c r="V261" s="472"/>
      <c r="W261" s="472"/>
      <c r="X261" s="472"/>
      <c r="Y261" s="472"/>
    </row>
    <row r="262" spans="1:25" x14ac:dyDescent="0.25">
      <c r="A262" s="463"/>
      <c r="B262" s="506"/>
      <c r="C262" s="507">
        <v>20083</v>
      </c>
      <c r="D262" s="508"/>
      <c r="E262" s="509" t="str">
        <f>IF($C262="",IFERROR(VLOOKUP($B262,SERVIÇOS!$B:$G,2,0),IFERROR(VLOOKUP($B262,$D:$K,2,0),"")),IFERROR(VLOOKUP($C262,INSUMOS!$A:$D,2,0),IFERROR(VLOOKUP($C262,COTAÇÕES!$B:$I,2,0),(VLOOKUP($C262,'INSUMO SINAPI - SP'!$C:$F,2,0)))))</f>
        <v>SOLUCAO PREPARADORA / LIMPADORA PARA PVC, FRASCO COM 1000 CM3</v>
      </c>
      <c r="F262" s="510" t="str">
        <f>IF($C262="",IFERROR(VLOOKUP($B262,SERVIÇOS!$B:$G,3,0),IFERROR(VLOOKUP($B262,$D:$K,3,0),"")),IFERROR(VLOOKUP($C262,INSUMOS!$A:$D,3,0),IFERROR(VLOOKUP($C262,COTAÇÕES!$B:$I,3,0),(VLOOKUP($C262,'INSUMO SINAPI - SP'!$C:$F,3,0)))))</f>
        <v>UN</v>
      </c>
      <c r="G262" s="511">
        <v>2.3E-3</v>
      </c>
      <c r="H262" s="512">
        <f>IF($C262="",IFERROR(VLOOKUP($B262,SERVIÇOS!$B:$G,6,0),IFERROR(VLOOKUP($B262,$D:$K,8,0),"")),IFERROR(VLOOKUP($C262,INSUMOS!$A:$D,4,0),IFERROR(VLOOKUP($C262,COTAÇÕES!$B:$I,7,0),(VLOOKUP($C262,'INSUMO SINAPI - SP'!$C:$F,4,0)))))</f>
        <v>83.68</v>
      </c>
      <c r="I262" s="513">
        <f>TRUNC(IF($C262="",IFERROR(VLOOKUP($B262,SERVIÇOS!$B:$G,4,0),IFERROR(VLOOKUP($B262,$D:$K,6,0),)),IFERROR(VLOOKUP($C262,INSUMOS!$A:$D,4,0),IFERROR(VLOOKUP($C262,COTAÇÕES!$B:$I,7,0),(VLOOKUP($C262,'INSUMO SINAPI - SP'!$C:$F,4,0)))))*$G262,2)</f>
        <v>0.19</v>
      </c>
      <c r="J262" s="513">
        <f>TRUNC(IF($C262="",IFERROR(VLOOKUP($B262,SERVIÇOS!$B:$G,5,0),IFERROR(VLOOKUP($B262,$D:$K,7,0),)),0)*$G262,2)</f>
        <v>0</v>
      </c>
      <c r="K262" s="514">
        <f>I262+J262</f>
        <v>0.19</v>
      </c>
      <c r="L262" s="517"/>
      <c r="M262" s="471"/>
      <c r="N262" s="516"/>
      <c r="Q262" s="472"/>
      <c r="R262" s="472"/>
      <c r="S262" s="472"/>
      <c r="T262" s="472"/>
      <c r="U262" s="472"/>
      <c r="V262" s="472"/>
      <c r="W262" s="472"/>
      <c r="X262" s="472"/>
      <c r="Y262" s="472"/>
    </row>
    <row r="263" spans="1:25" ht="24" x14ac:dyDescent="0.25">
      <c r="A263" s="463"/>
      <c r="B263" s="506"/>
      <c r="C263" s="507">
        <v>20078</v>
      </c>
      <c r="D263" s="508"/>
      <c r="E263" s="509" t="str">
        <f>IF($C263="",IFERROR(VLOOKUP($B263,SERVIÇOS!$B:$G,2,0),IFERROR(VLOOKUP($B263,$D:$K,2,0),"")),IFERROR(VLOOKUP($C263,INSUMOS!$A:$D,2,0),IFERROR(VLOOKUP($C263,COTAÇÕES!$B:$I,2,0),(VLOOKUP($C263,'INSUMO SINAPI - SP'!$C:$F,2,0)))))</f>
        <v>PASTA LUBRIFICANTE PARA TUBOS E CONEXOES COM JUNTA ELASTICA, EMBALAGEM DE *400* GR (USO EM PVC, ACO, POLIETILENO E OUTROS)</v>
      </c>
      <c r="F263" s="510" t="str">
        <f>IF($C263="",IFERROR(VLOOKUP($B263,SERVIÇOS!$B:$G,3,0),IFERROR(VLOOKUP($B263,$D:$K,3,0),"")),IFERROR(VLOOKUP($C263,INSUMOS!$A:$D,3,0),IFERROR(VLOOKUP($C263,COTAÇÕES!$B:$I,3,0),(VLOOKUP($C263,'INSUMO SINAPI - SP'!$C:$F,3,0)))))</f>
        <v>UN</v>
      </c>
      <c r="G263" s="511">
        <v>5.41176470588235E-2</v>
      </c>
      <c r="H263" s="512">
        <f>IF($C263="",IFERROR(VLOOKUP($B263,SERVIÇOS!$B:$G,6,0),IFERROR(VLOOKUP($B263,$D:$K,8,0),"")),IFERROR(VLOOKUP($C263,INSUMOS!$A:$D,4,0),IFERROR(VLOOKUP($C263,COTAÇÕES!$B:$I,7,0),(VLOOKUP($C263,'INSUMO SINAPI - SP'!$C:$F,4,0)))))</f>
        <v>30.48</v>
      </c>
      <c r="I263" s="513">
        <f>TRUNC(IF($C263="",IFERROR(VLOOKUP($B263,SERVIÇOS!$B:$G,4,0),IFERROR(VLOOKUP($B263,$D:$K,6,0),)),IFERROR(VLOOKUP($C263,INSUMOS!$A:$D,4,0),IFERROR(VLOOKUP($C263,COTAÇÕES!$B:$I,7,0),(VLOOKUP($C263,'INSUMO SINAPI - SP'!$C:$F,4,0)))))*$G263,2)</f>
        <v>1.64</v>
      </c>
      <c r="J263" s="513">
        <f>TRUNC(IF($C263="",IFERROR(VLOOKUP($B263,SERVIÇOS!$B:$G,5,0),IFERROR(VLOOKUP($B263,$D:$K,7,0),)),0)*$G263,2)</f>
        <v>0</v>
      </c>
      <c r="K263" s="514">
        <f>I263+J263</f>
        <v>1.64</v>
      </c>
      <c r="L263" s="517"/>
      <c r="M263" s="471"/>
      <c r="N263" s="516"/>
      <c r="Q263" s="472"/>
      <c r="R263" s="472"/>
      <c r="S263" s="472"/>
      <c r="T263" s="472"/>
      <c r="U263" s="472"/>
      <c r="V263" s="472"/>
      <c r="W263" s="472"/>
      <c r="X263" s="472"/>
      <c r="Y263" s="472"/>
    </row>
    <row r="264" spans="1:25" x14ac:dyDescent="0.25">
      <c r="A264" s="463"/>
      <c r="B264" s="506"/>
      <c r="C264" s="507">
        <v>9836</v>
      </c>
      <c r="D264" s="508"/>
      <c r="E264" s="509" t="str">
        <f>IF($C264="",IFERROR(VLOOKUP($B264,SERVIÇOS!$B:$G,2,0),IFERROR(VLOOKUP($B264,$D:$K,2,0),"")),IFERROR(VLOOKUP($C264,INSUMOS!$A:$D,2,0),IFERROR(VLOOKUP($C264,COTAÇÕES!$B:$I,2,0),(VLOOKUP($C264,'INSUMO SINAPI - SP'!$C:$F,2,0)))))</f>
        <v>TUBO PVC SERIE NORMAL, DN 100 MM, PARA ESGOTO PREDIAL (NBR 5688)</v>
      </c>
      <c r="F264" s="510" t="str">
        <f>IF($C264="",IFERROR(VLOOKUP($B264,SERVIÇOS!$B:$G,3,0),IFERROR(VLOOKUP($B264,$D:$K,3,0),"")),IFERROR(VLOOKUP($C264,INSUMOS!$A:$D,3,0),IFERROR(VLOOKUP($C264,COTAÇÕES!$B:$I,3,0),(VLOOKUP($C264,'INSUMO SINAPI - SP'!$C:$F,3,0)))))</f>
        <v>M</v>
      </c>
      <c r="G264" s="511">
        <v>1.3</v>
      </c>
      <c r="H264" s="512">
        <f>IF($C264="",IFERROR(VLOOKUP($B264,SERVIÇOS!$B:$G,6,0),IFERROR(VLOOKUP($B264,$D:$K,8,0),"")),IFERROR(VLOOKUP($C264,INSUMOS!$A:$D,4,0),IFERROR(VLOOKUP($C264,COTAÇÕES!$B:$I,7,0),(VLOOKUP($C264,'INSUMO SINAPI - SP'!$C:$F,4,0)))))</f>
        <v>14.37</v>
      </c>
      <c r="I264" s="513">
        <f>TRUNC(IF($C264="",IFERROR(VLOOKUP($B264,SERVIÇOS!$B:$G,4,0),IFERROR(VLOOKUP($B264,$D:$K,6,0),)),IFERROR(VLOOKUP($C264,INSUMOS!$A:$D,4,0),IFERROR(VLOOKUP($C264,COTAÇÕES!$B:$I,7,0),(VLOOKUP($C264,'INSUMO SINAPI - SP'!$C:$F,4,0)))))*$G264,2)</f>
        <v>18.68</v>
      </c>
      <c r="J264" s="513">
        <f>TRUNC(IF($C264="",IFERROR(VLOOKUP($B264,SERVIÇOS!$B:$G,5,0),IFERROR(VLOOKUP($B264,$D:$K,7,0),)),0)*$G264,2)</f>
        <v>0</v>
      </c>
      <c r="K264" s="514">
        <f>I264+J264</f>
        <v>18.68</v>
      </c>
      <c r="L264" s="517"/>
      <c r="M264" s="471"/>
      <c r="N264" s="516"/>
      <c r="Q264" s="472"/>
      <c r="R264" s="472"/>
      <c r="S264" s="472"/>
      <c r="T264" s="472"/>
      <c r="U264" s="472"/>
      <c r="V264" s="472"/>
      <c r="W264" s="472"/>
      <c r="X264" s="472"/>
      <c r="Y264" s="472"/>
    </row>
    <row r="265" spans="1:25" x14ac:dyDescent="0.25">
      <c r="A265" s="463"/>
      <c r="B265" s="498"/>
      <c r="C265" s="498"/>
      <c r="D265" s="499" t="s">
        <v>12151</v>
      </c>
      <c r="E265" s="500" t="s">
        <v>12775</v>
      </c>
      <c r="F265" s="501" t="s">
        <v>585</v>
      </c>
      <c r="G265" s="502"/>
      <c r="H265" s="503"/>
      <c r="I265" s="504">
        <f>ROUND(SUM(I266:I271),2)</f>
        <v>82.71</v>
      </c>
      <c r="J265" s="504">
        <f>ROUND(SUM(J266:J271),2)</f>
        <v>53.46</v>
      </c>
      <c r="K265" s="504">
        <f>+J265+I265</f>
        <v>136.16999999999999</v>
      </c>
      <c r="L265" s="523" t="s">
        <v>12776</v>
      </c>
      <c r="M265" s="471"/>
      <c r="N265" s="505"/>
      <c r="Q265" s="472"/>
      <c r="R265" s="472"/>
      <c r="S265" s="472"/>
      <c r="T265" s="472"/>
      <c r="U265" s="472"/>
      <c r="V265" s="472"/>
      <c r="W265" s="472"/>
      <c r="X265" s="472"/>
      <c r="Y265" s="472"/>
    </row>
    <row r="266" spans="1:25" x14ac:dyDescent="0.25">
      <c r="A266" s="463"/>
      <c r="B266" s="506">
        <v>88267</v>
      </c>
      <c r="C266" s="507"/>
      <c r="D266" s="508"/>
      <c r="E266" s="509" t="str">
        <f>IF($C266="",IFERROR(VLOOKUP($B266,SERVIÇOS!$B:$G,2,0),IFERROR(VLOOKUP($B266,$D:$K,2,0),"")),IFERROR(VLOOKUP($C266,INSUMOS!$A:$D,2,0),IFERROR(VLOOKUP($C266,COTAÇÕES!$B:$I,2,0),(VLOOKUP($C266,'INSUMO SINAPI - SP'!$C:$F,2,0)))))</f>
        <v>ENCANADOR OU BOMBEIRO HIDRÁULICO COM ENCARGOS COMPLEMENTARES</v>
      </c>
      <c r="F266" s="510" t="str">
        <f>IF($C266="",IFERROR(VLOOKUP($B266,SERVIÇOS!$B:$G,3,0),IFERROR(VLOOKUP($B266,$D:$K,3,0),"")),IFERROR(VLOOKUP($C266,INSUMOS!$A:$D,3,0),IFERROR(VLOOKUP($C266,COTAÇÕES!$B:$I,3,0),(VLOOKUP($C266,'INSUMO SINAPI - SP'!$C:$F,3,0)))))</f>
        <v>H</v>
      </c>
      <c r="G266" s="511">
        <v>1.1000000000000001</v>
      </c>
      <c r="H266" s="512">
        <f>IF($C266="",IFERROR(VLOOKUP($B266,SERVIÇOS!$B:$G,6,0),IFERROR(VLOOKUP($B266,$D:$K,8,0),"")),IFERROR(VLOOKUP($C266,INSUMOS!$A:$D,4,0),IFERROR(VLOOKUP($C266,COTAÇÕES!$B:$I,7,0),(VLOOKUP($C266,'INSUMO SINAPI - SP'!$C:$F,4,0)))))</f>
        <v>36.17</v>
      </c>
      <c r="I266" s="513">
        <f>TRUNC(IF($C266="",IFERROR(VLOOKUP($B266,SERVIÇOS!$B:$G,4,0),IFERROR(VLOOKUP($B266,$D:$K,6,0),)),IFERROR(VLOOKUP($C266,INSUMOS!$A:$D,4,0),IFERROR(VLOOKUP($C266,COTAÇÕES!$B:$I,7,0),(VLOOKUP($C266,'INSUMO SINAPI - SP'!$C:$F,4,0)))))*$G266,2)</f>
        <v>9.5</v>
      </c>
      <c r="J266" s="513">
        <f>TRUNC(IF($C266="",IFERROR(VLOOKUP($B266,SERVIÇOS!$B:$G,5,0),IFERROR(VLOOKUP($B266,$D:$K,7,0),)),0)*$G266,2)</f>
        <v>30.28</v>
      </c>
      <c r="K266" s="514">
        <f t="shared" ref="K266:K271" si="14">I266+J266</f>
        <v>39.78</v>
      </c>
      <c r="L266" s="515"/>
      <c r="M266" s="471"/>
      <c r="N266" s="516"/>
      <c r="Q266" s="472"/>
      <c r="R266" s="472"/>
      <c r="S266" s="472"/>
      <c r="T266" s="472"/>
      <c r="U266" s="472"/>
      <c r="V266" s="472"/>
      <c r="W266" s="472"/>
      <c r="X266" s="472"/>
      <c r="Y266" s="472"/>
    </row>
    <row r="267" spans="1:25" x14ac:dyDescent="0.25">
      <c r="A267" s="463"/>
      <c r="B267" s="506">
        <v>88248</v>
      </c>
      <c r="C267" s="507"/>
      <c r="D267" s="508"/>
      <c r="E267" s="509" t="str">
        <f>IF($C267="",IFERROR(VLOOKUP($B267,SERVIÇOS!$B:$G,2,0),IFERROR(VLOOKUP($B267,$D:$K,2,0),"")),IFERROR(VLOOKUP($C267,INSUMOS!$A:$D,2,0),IFERROR(VLOOKUP($C267,COTAÇÕES!$B:$I,2,0),(VLOOKUP($C267,'INSUMO SINAPI - SP'!$C:$F,2,0)))))</f>
        <v>AUXILIAR DE ENCANADOR OU BOMBEIRO HIDRÁULICO COM ENCARGOS COMPLEMENTARES</v>
      </c>
      <c r="F267" s="510" t="str">
        <f>IF($C267="",IFERROR(VLOOKUP($B267,SERVIÇOS!$B:$G,3,0),IFERROR(VLOOKUP($B267,$D:$K,3,0),"")),IFERROR(VLOOKUP($C267,INSUMOS!$A:$D,3,0),IFERROR(VLOOKUP($C267,COTAÇÕES!$B:$I,3,0),(VLOOKUP($C267,'INSUMO SINAPI - SP'!$C:$F,3,0)))))</f>
        <v>H</v>
      </c>
      <c r="G267" s="511">
        <v>1.1000000000000001</v>
      </c>
      <c r="H267" s="512">
        <f>IF($C267="",IFERROR(VLOOKUP($B267,SERVIÇOS!$B:$G,6,0),IFERROR(VLOOKUP($B267,$D:$K,8,0),"")),IFERROR(VLOOKUP($C267,INSUMOS!$A:$D,4,0),IFERROR(VLOOKUP($C267,COTAÇÕES!$B:$I,7,0),(VLOOKUP($C267,'INSUMO SINAPI - SP'!$C:$F,4,0)))))</f>
        <v>29.72</v>
      </c>
      <c r="I267" s="513">
        <f>TRUNC(IF($C267="",IFERROR(VLOOKUP($B267,SERVIÇOS!$B:$G,4,0),IFERROR(VLOOKUP($B267,$D:$K,6,0),)),IFERROR(VLOOKUP($C267,INSUMOS!$A:$D,4,0),IFERROR(VLOOKUP($C267,COTAÇÕES!$B:$I,7,0),(VLOOKUP($C267,'INSUMO SINAPI - SP'!$C:$F,4,0)))))*$G267,2)</f>
        <v>9.5</v>
      </c>
      <c r="J267" s="513">
        <f>TRUNC(IF($C267="",IFERROR(VLOOKUP($B267,SERVIÇOS!$B:$G,5,0),IFERROR(VLOOKUP($B267,$D:$K,7,0),)),0)*$G267,2)</f>
        <v>23.18</v>
      </c>
      <c r="K267" s="514">
        <f t="shared" si="14"/>
        <v>32.68</v>
      </c>
      <c r="L267" s="515"/>
      <c r="M267" s="471"/>
      <c r="N267" s="516"/>
      <c r="Q267" s="472"/>
      <c r="R267" s="472"/>
      <c r="S267" s="472"/>
      <c r="T267" s="472"/>
      <c r="U267" s="472"/>
      <c r="V267" s="472"/>
      <c r="W267" s="472"/>
      <c r="X267" s="472"/>
      <c r="Y267" s="472"/>
    </row>
    <row r="268" spans="1:25" x14ac:dyDescent="0.25">
      <c r="A268" s="463"/>
      <c r="B268" s="506"/>
      <c r="C268" s="507">
        <v>20083</v>
      </c>
      <c r="D268" s="508"/>
      <c r="E268" s="509" t="str">
        <f>IF($C268="",IFERROR(VLOOKUP($B268,SERVIÇOS!$B:$G,2,0),IFERROR(VLOOKUP($B268,$D:$K,2,0),"")),IFERROR(VLOOKUP($C268,INSUMOS!$A:$D,2,0),IFERROR(VLOOKUP($C268,COTAÇÕES!$B:$I,2,0),(VLOOKUP($C268,'INSUMO SINAPI - SP'!$C:$F,2,0)))))</f>
        <v>SOLUCAO PREPARADORA / LIMPADORA PARA PVC, FRASCO COM 1000 CM3</v>
      </c>
      <c r="F268" s="510" t="str">
        <f>IF($C268="",IFERROR(VLOOKUP($B268,SERVIÇOS!$B:$G,3,0),IFERROR(VLOOKUP($B268,$D:$K,3,0),"")),IFERROR(VLOOKUP($C268,INSUMOS!$A:$D,3,0),IFERROR(VLOOKUP($C268,COTAÇÕES!$B:$I,3,0),(VLOOKUP($C268,'INSUMO SINAPI - SP'!$C:$F,3,0)))))</f>
        <v>UN</v>
      </c>
      <c r="G268" s="511">
        <v>4.5999999999999999E-2</v>
      </c>
      <c r="H268" s="512">
        <f>IF($C268="",IFERROR(VLOOKUP($B268,SERVIÇOS!$B:$G,6,0),IFERROR(VLOOKUP($B268,$D:$K,8,0),"")),IFERROR(VLOOKUP($C268,INSUMOS!$A:$D,4,0),IFERROR(VLOOKUP($C268,COTAÇÕES!$B:$I,7,0),(VLOOKUP($C268,'INSUMO SINAPI - SP'!$C:$F,4,0)))))</f>
        <v>83.68</v>
      </c>
      <c r="I268" s="513">
        <f>TRUNC(IF($C268="",IFERROR(VLOOKUP($B268,SERVIÇOS!$B:$G,4,0),IFERROR(VLOOKUP($B268,$D:$K,6,0),)),IFERROR(VLOOKUP($C268,INSUMOS!$A:$D,4,0),IFERROR(VLOOKUP($C268,COTAÇÕES!$B:$I,7,0),(VLOOKUP($C268,'INSUMO SINAPI - SP'!$C:$F,4,0)))))*$G268,2)</f>
        <v>3.84</v>
      </c>
      <c r="J268" s="513">
        <f>TRUNC(IF($C268="",IFERROR(VLOOKUP($B268,SERVIÇOS!$B:$G,5,0),IFERROR(VLOOKUP($B268,$D:$K,7,0),)),0)*$G268,2)</f>
        <v>0</v>
      </c>
      <c r="K268" s="514">
        <f t="shared" si="14"/>
        <v>3.84</v>
      </c>
      <c r="L268" s="517"/>
      <c r="M268" s="471"/>
      <c r="N268" s="516"/>
      <c r="Q268" s="472"/>
      <c r="R268" s="472"/>
      <c r="S268" s="472"/>
      <c r="T268" s="472"/>
      <c r="U268" s="472"/>
      <c r="V268" s="472"/>
      <c r="W268" s="472"/>
      <c r="X268" s="472"/>
      <c r="Y268" s="472"/>
    </row>
    <row r="269" spans="1:25" ht="24" x14ac:dyDescent="0.25">
      <c r="A269" s="463"/>
      <c r="B269" s="506"/>
      <c r="C269" s="507">
        <v>20078</v>
      </c>
      <c r="D269" s="508"/>
      <c r="E269" s="509" t="str">
        <f>IF($C269="",IFERROR(VLOOKUP($B269,SERVIÇOS!$B:$G,2,0),IFERROR(VLOOKUP($B269,$D:$K,2,0),"")),IFERROR(VLOOKUP($C269,INSUMOS!$A:$D,2,0),IFERROR(VLOOKUP($C269,COTAÇÕES!$B:$I,2,0),(VLOOKUP($C269,'INSUMO SINAPI - SP'!$C:$F,2,0)))))</f>
        <v>PASTA LUBRIFICANTE PARA TUBOS E CONEXOES COM JUNTA ELASTICA, EMBALAGEM DE *400* GR (USO EM PVC, ACO, POLIETILENO E OUTROS)</v>
      </c>
      <c r="F269" s="510" t="str">
        <f>IF($C269="",IFERROR(VLOOKUP($B269,SERVIÇOS!$B:$G,3,0),IFERROR(VLOOKUP($B269,$D:$K,3,0),"")),IFERROR(VLOOKUP($C269,INSUMOS!$A:$D,3,0),IFERROR(VLOOKUP($C269,COTAÇÕES!$B:$I,3,0),(VLOOKUP($C269,'INSUMO SINAPI - SP'!$C:$F,3,0)))))</f>
        <v>UN</v>
      </c>
      <c r="G269" s="511">
        <v>5.7500000000000002E-2</v>
      </c>
      <c r="H269" s="512">
        <f>IF($C269="",IFERROR(VLOOKUP($B269,SERVIÇOS!$B:$G,6,0),IFERROR(VLOOKUP($B269,$D:$K,8,0),"")),IFERROR(VLOOKUP($C269,INSUMOS!$A:$D,4,0),IFERROR(VLOOKUP($C269,COTAÇÕES!$B:$I,7,0),(VLOOKUP($C269,'INSUMO SINAPI - SP'!$C:$F,4,0)))))</f>
        <v>30.48</v>
      </c>
      <c r="I269" s="513">
        <f>TRUNC(IF($C269="",IFERROR(VLOOKUP($B269,SERVIÇOS!$B:$G,4,0),IFERROR(VLOOKUP($B269,$D:$K,6,0),)),IFERROR(VLOOKUP($C269,INSUMOS!$A:$D,4,0),IFERROR(VLOOKUP($C269,COTAÇÕES!$B:$I,7,0),(VLOOKUP($C269,'INSUMO SINAPI - SP'!$C:$F,4,0)))))*$G269,2)</f>
        <v>1.75</v>
      </c>
      <c r="J269" s="513">
        <f>TRUNC(IF($C269="",IFERROR(VLOOKUP($B269,SERVIÇOS!$B:$G,5,0),IFERROR(VLOOKUP($B269,$D:$K,7,0),)),0)*$G269,2)</f>
        <v>0</v>
      </c>
      <c r="K269" s="514">
        <f t="shared" si="14"/>
        <v>1.75</v>
      </c>
      <c r="L269" s="517"/>
      <c r="M269" s="471"/>
      <c r="N269" s="516"/>
      <c r="Q269" s="472"/>
      <c r="R269" s="472"/>
      <c r="S269" s="472"/>
      <c r="T269" s="472"/>
      <c r="U269" s="472"/>
      <c r="V269" s="472"/>
      <c r="W269" s="472"/>
      <c r="X269" s="472"/>
      <c r="Y269" s="472"/>
    </row>
    <row r="270" spans="1:25" x14ac:dyDescent="0.25">
      <c r="A270" s="463"/>
      <c r="B270" s="506"/>
      <c r="C270" s="507">
        <v>20065</v>
      </c>
      <c r="D270" s="508"/>
      <c r="E270" s="509" t="str">
        <f>IF($C270="",IFERROR(VLOOKUP($B270,SERVIÇOS!$B:$G,2,0),IFERROR(VLOOKUP($B270,$D:$K,2,0),"")),IFERROR(VLOOKUP($C270,INSUMOS!$A:$D,2,0),IFERROR(VLOOKUP($C270,COTAÇÕES!$B:$I,2,0),(VLOOKUP($C270,'INSUMO SINAPI - SP'!$C:$F,2,0)))))</f>
        <v>TUBO PVC SERIE NORMAL, DN 150 MM, PARA ESGOTO PREDIAL (NBR 5688)</v>
      </c>
      <c r="F270" s="510" t="str">
        <f>IF($C270="",IFERROR(VLOOKUP($B270,SERVIÇOS!$B:$G,3,0),IFERROR(VLOOKUP($B270,$D:$K,3,0),"")),IFERROR(VLOOKUP($C270,INSUMOS!$A:$D,3,0),IFERROR(VLOOKUP($C270,COTAÇÕES!$B:$I,3,0),(VLOOKUP($C270,'INSUMO SINAPI - SP'!$C:$F,3,0)))))</f>
        <v>M</v>
      </c>
      <c r="G270" s="511">
        <v>1.3</v>
      </c>
      <c r="H270" s="512">
        <f>IF($C270="",IFERROR(VLOOKUP($B270,SERVIÇOS!$B:$G,6,0),IFERROR(VLOOKUP($B270,$D:$K,8,0),"")),IFERROR(VLOOKUP($C270,INSUMOS!$A:$D,4,0),IFERROR(VLOOKUP($C270,COTAÇÕES!$B:$I,7,0),(VLOOKUP($C270,'INSUMO SINAPI - SP'!$C:$F,4,0)))))</f>
        <v>37.56</v>
      </c>
      <c r="I270" s="513">
        <f>TRUNC(IF($C270="",IFERROR(VLOOKUP($B270,SERVIÇOS!$B:$G,4,0),IFERROR(VLOOKUP($B270,$D:$K,6,0),)),IFERROR(VLOOKUP($C270,INSUMOS!$A:$D,4,0),IFERROR(VLOOKUP($C270,COTAÇÕES!$B:$I,7,0),(VLOOKUP($C270,'INSUMO SINAPI - SP'!$C:$F,4,0)))))*$G270,2)</f>
        <v>48.82</v>
      </c>
      <c r="J270" s="513">
        <f>TRUNC(IF($C270="",IFERROR(VLOOKUP($B270,SERVIÇOS!$B:$G,5,0),IFERROR(VLOOKUP($B270,$D:$K,7,0),)),0)*$G270,2)</f>
        <v>0</v>
      </c>
      <c r="K270" s="514">
        <f t="shared" si="14"/>
        <v>48.82</v>
      </c>
      <c r="L270" s="517"/>
      <c r="M270" s="471"/>
      <c r="N270" s="516"/>
      <c r="Q270" s="472"/>
      <c r="R270" s="472"/>
      <c r="S270" s="472"/>
      <c r="T270" s="472"/>
      <c r="U270" s="472"/>
      <c r="V270" s="472"/>
      <c r="W270" s="472"/>
      <c r="X270" s="472"/>
      <c r="Y270" s="472"/>
    </row>
    <row r="271" spans="1:25" x14ac:dyDescent="0.25">
      <c r="A271" s="463"/>
      <c r="B271" s="506"/>
      <c r="C271" s="507">
        <v>305</v>
      </c>
      <c r="D271" s="508"/>
      <c r="E271" s="509" t="str">
        <f>IF($C271="",IFERROR(VLOOKUP($B271,SERVIÇOS!$B:$G,2,0),IFERROR(VLOOKUP($B271,$D:$K,2,0),"")),IFERROR(VLOOKUP($C271,INSUMOS!$A:$D,2,0),IFERROR(VLOOKUP($C271,COTAÇÕES!$B:$I,2,0),(VLOOKUP($C271,'INSUMO SINAPI - SP'!$C:$F,2,0)))))</f>
        <v>ANEL BORRACHA, PARA TUBO PVC, REDE COLETOR ESGOTO, DN 150 MM (NBR 7362)</v>
      </c>
      <c r="F271" s="510" t="str">
        <f>IF($C271="",IFERROR(VLOOKUP($B271,SERVIÇOS!$B:$G,3,0),IFERROR(VLOOKUP($B271,$D:$K,3,0),"")),IFERROR(VLOOKUP($C271,INSUMOS!$A:$D,3,0),IFERROR(VLOOKUP($C271,COTAÇÕES!$B:$I,3,0),(VLOOKUP($C271,'INSUMO SINAPI - SP'!$C:$F,3,0)))))</f>
        <v>UN</v>
      </c>
      <c r="G271" s="511">
        <v>1</v>
      </c>
      <c r="H271" s="512">
        <f>IF($C271="",IFERROR(VLOOKUP($B271,SERVIÇOS!$B:$G,6,0),IFERROR(VLOOKUP($B271,$D:$K,8,0),"")),IFERROR(VLOOKUP($C271,INSUMOS!$A:$D,4,0),IFERROR(VLOOKUP($C271,COTAÇÕES!$B:$I,7,0),(VLOOKUP($C271,'INSUMO SINAPI - SP'!$C:$F,4,0)))))</f>
        <v>9.3000000000000007</v>
      </c>
      <c r="I271" s="513">
        <f>TRUNC(IF($C271="",IFERROR(VLOOKUP($B271,SERVIÇOS!$B:$G,4,0),IFERROR(VLOOKUP($B271,$D:$K,6,0),)),IFERROR(VLOOKUP($C271,INSUMOS!$A:$D,4,0),IFERROR(VLOOKUP($C271,COTAÇÕES!$B:$I,7,0),(VLOOKUP($C271,'INSUMO SINAPI - SP'!$C:$F,4,0)))))*$G271,2)</f>
        <v>9.3000000000000007</v>
      </c>
      <c r="J271" s="513">
        <f>TRUNC(IF($C271="",IFERROR(VLOOKUP($B271,SERVIÇOS!$B:$G,5,0),IFERROR(VLOOKUP($B271,$D:$K,7,0),)),0)*$G271,2)</f>
        <v>0</v>
      </c>
      <c r="K271" s="514">
        <f t="shared" si="14"/>
        <v>9.3000000000000007</v>
      </c>
      <c r="L271" s="517"/>
      <c r="M271" s="471"/>
      <c r="N271" s="516"/>
      <c r="Q271" s="472"/>
      <c r="R271" s="472"/>
      <c r="S271" s="472"/>
      <c r="T271" s="472"/>
      <c r="U271" s="472"/>
      <c r="V271" s="472"/>
      <c r="W271" s="472"/>
      <c r="X271" s="472"/>
      <c r="Y271" s="472"/>
    </row>
    <row r="272" spans="1:25" x14ac:dyDescent="0.25">
      <c r="A272" s="463"/>
      <c r="B272" s="498"/>
      <c r="C272" s="498"/>
      <c r="D272" s="499" t="s">
        <v>12152</v>
      </c>
      <c r="E272" s="500" t="s">
        <v>12777</v>
      </c>
      <c r="F272" s="501" t="s">
        <v>585</v>
      </c>
      <c r="G272" s="502"/>
      <c r="H272" s="503"/>
      <c r="I272" s="504">
        <f>ROUND(SUM(I273:I277),2)</f>
        <v>184.97</v>
      </c>
      <c r="J272" s="504">
        <f>ROUND(SUM(J273:J277),2)</f>
        <v>34.840000000000003</v>
      </c>
      <c r="K272" s="504">
        <f>+J272+I272</f>
        <v>219.81</v>
      </c>
      <c r="L272" s="523" t="s">
        <v>12778</v>
      </c>
      <c r="M272" s="471"/>
      <c r="N272" s="505"/>
      <c r="Q272" s="472"/>
      <c r="R272" s="472"/>
      <c r="S272" s="472"/>
      <c r="T272" s="472"/>
      <c r="U272" s="472"/>
      <c r="V272" s="472"/>
      <c r="W272" s="472"/>
      <c r="X272" s="472"/>
      <c r="Y272" s="472"/>
    </row>
    <row r="273" spans="1:25" x14ac:dyDescent="0.25">
      <c r="A273" s="463"/>
      <c r="B273" s="506">
        <v>88267</v>
      </c>
      <c r="C273" s="507"/>
      <c r="D273" s="508"/>
      <c r="E273" s="509" t="str">
        <f>IF($C273="",IFERROR(VLOOKUP($B273,SERVIÇOS!$B:$G,2,0),IFERROR(VLOOKUP($B273,$D:$K,2,0),"")),IFERROR(VLOOKUP($C273,INSUMOS!$A:$D,2,0),IFERROR(VLOOKUP($C273,COTAÇÕES!$B:$I,2,0),(VLOOKUP($C273,'INSUMO SINAPI - SP'!$C:$F,2,0)))))</f>
        <v>ENCANADOR OU BOMBEIRO HIDRÁULICO COM ENCARGOS COMPLEMENTARES</v>
      </c>
      <c r="F273" s="510" t="str">
        <f>IF($C273="",IFERROR(VLOOKUP($B273,SERVIÇOS!$B:$G,3,0),IFERROR(VLOOKUP($B273,$D:$K,3,0),"")),IFERROR(VLOOKUP($C273,INSUMOS!$A:$D,3,0),IFERROR(VLOOKUP($C273,COTAÇÕES!$B:$I,3,0),(VLOOKUP($C273,'INSUMO SINAPI - SP'!$C:$F,3,0)))))</f>
        <v>H</v>
      </c>
      <c r="G273" s="511">
        <v>0.5</v>
      </c>
      <c r="H273" s="512">
        <f>IF($C273="",IFERROR(VLOOKUP($B273,SERVIÇOS!$B:$G,6,0),IFERROR(VLOOKUP($B273,$D:$K,8,0),"")),IFERROR(VLOOKUP($C273,INSUMOS!$A:$D,4,0),IFERROR(VLOOKUP($C273,COTAÇÕES!$B:$I,7,0),(VLOOKUP($C273,'INSUMO SINAPI - SP'!$C:$F,4,0)))))</f>
        <v>36.17</v>
      </c>
      <c r="I273" s="513">
        <f>TRUNC(IF($C273="",IFERROR(VLOOKUP($B273,SERVIÇOS!$B:$G,4,0),IFERROR(VLOOKUP($B273,$D:$K,6,0),)),IFERROR(VLOOKUP($C273,INSUMOS!$A:$D,4,0),IFERROR(VLOOKUP($C273,COTAÇÕES!$B:$I,7,0),(VLOOKUP($C273,'INSUMO SINAPI - SP'!$C:$F,4,0)))))*$G273,2)</f>
        <v>4.32</v>
      </c>
      <c r="J273" s="513">
        <f>TRUNC(IF($C273="",IFERROR(VLOOKUP($B273,SERVIÇOS!$B:$G,5,0),IFERROR(VLOOKUP($B273,$D:$K,7,0),)),0)*$G273,2)</f>
        <v>13.76</v>
      </c>
      <c r="K273" s="514">
        <f>I273+J273</f>
        <v>18.079999999999998</v>
      </c>
      <c r="L273" s="515"/>
      <c r="M273" s="471"/>
      <c r="N273" s="516"/>
      <c r="Q273" s="472"/>
      <c r="R273" s="472"/>
      <c r="S273" s="472"/>
      <c r="T273" s="472"/>
      <c r="U273" s="472"/>
      <c r="V273" s="472"/>
      <c r="W273" s="472"/>
      <c r="X273" s="472"/>
      <c r="Y273" s="472"/>
    </row>
    <row r="274" spans="1:25" x14ac:dyDescent="0.25">
      <c r="A274" s="463"/>
      <c r="B274" s="506">
        <v>88248</v>
      </c>
      <c r="C274" s="507"/>
      <c r="D274" s="508"/>
      <c r="E274" s="509" t="str">
        <f>IF($C274="",IFERROR(VLOOKUP($B274,SERVIÇOS!$B:$G,2,0),IFERROR(VLOOKUP($B274,$D:$K,2,0),"")),IFERROR(VLOOKUP($C274,INSUMOS!$A:$D,2,0),IFERROR(VLOOKUP($C274,COTAÇÕES!$B:$I,2,0),(VLOOKUP($C274,'INSUMO SINAPI - SP'!$C:$F,2,0)))))</f>
        <v>AUXILIAR DE ENCANADOR OU BOMBEIRO HIDRÁULICO COM ENCARGOS COMPLEMENTARES</v>
      </c>
      <c r="F274" s="510" t="str">
        <f>IF($C274="",IFERROR(VLOOKUP($B274,SERVIÇOS!$B:$G,3,0),IFERROR(VLOOKUP($B274,$D:$K,3,0),"")),IFERROR(VLOOKUP($C274,INSUMOS!$A:$D,3,0),IFERROR(VLOOKUP($C274,COTAÇÕES!$B:$I,3,0),(VLOOKUP($C274,'INSUMO SINAPI - SP'!$C:$F,3,0)))))</f>
        <v>H</v>
      </c>
      <c r="G274" s="511">
        <v>1</v>
      </c>
      <c r="H274" s="512">
        <f>IF($C274="",IFERROR(VLOOKUP($B274,SERVIÇOS!$B:$G,6,0),IFERROR(VLOOKUP($B274,$D:$K,8,0),"")),IFERROR(VLOOKUP($C274,INSUMOS!$A:$D,4,0),IFERROR(VLOOKUP($C274,COTAÇÕES!$B:$I,7,0),(VLOOKUP($C274,'INSUMO SINAPI - SP'!$C:$F,4,0)))))</f>
        <v>29.72</v>
      </c>
      <c r="I274" s="513">
        <f>TRUNC(IF($C274="",IFERROR(VLOOKUP($B274,SERVIÇOS!$B:$G,4,0),IFERROR(VLOOKUP($B274,$D:$K,6,0),)),IFERROR(VLOOKUP($C274,INSUMOS!$A:$D,4,0),IFERROR(VLOOKUP($C274,COTAÇÕES!$B:$I,7,0),(VLOOKUP($C274,'INSUMO SINAPI - SP'!$C:$F,4,0)))))*$G274,2)</f>
        <v>8.64</v>
      </c>
      <c r="J274" s="513">
        <f>TRUNC(IF($C274="",IFERROR(VLOOKUP($B274,SERVIÇOS!$B:$G,5,0),IFERROR(VLOOKUP($B274,$D:$K,7,0),)),0)*$G274,2)</f>
        <v>21.08</v>
      </c>
      <c r="K274" s="514">
        <f>I274+J274</f>
        <v>29.72</v>
      </c>
      <c r="L274" s="515"/>
      <c r="M274" s="471"/>
      <c r="N274" s="516"/>
      <c r="Q274" s="472"/>
      <c r="R274" s="472"/>
      <c r="S274" s="472"/>
      <c r="T274" s="472"/>
      <c r="U274" s="472"/>
      <c r="V274" s="472"/>
      <c r="W274" s="472"/>
      <c r="X274" s="472"/>
      <c r="Y274" s="472"/>
    </row>
    <row r="275" spans="1:25" x14ac:dyDescent="0.25">
      <c r="A275" s="463"/>
      <c r="B275" s="506"/>
      <c r="C275" s="507">
        <v>20083</v>
      </c>
      <c r="D275" s="508"/>
      <c r="E275" s="509" t="str">
        <f>IF($C275="",IFERROR(VLOOKUP($B275,SERVIÇOS!$B:$G,2,0),IFERROR(VLOOKUP($B275,$D:$K,2,0),"")),IFERROR(VLOOKUP($C275,INSUMOS!$A:$D,2,0),IFERROR(VLOOKUP($C275,COTAÇÕES!$B:$I,2,0),(VLOOKUP($C275,'INSUMO SINAPI - SP'!$C:$F,2,0)))))</f>
        <v>SOLUCAO PREPARADORA / LIMPADORA PARA PVC, FRASCO COM 1000 CM3</v>
      </c>
      <c r="F275" s="510" t="str">
        <f>IF($C275="",IFERROR(VLOOKUP($B275,SERVIÇOS!$B:$G,3,0),IFERROR(VLOOKUP($B275,$D:$K,3,0),"")),IFERROR(VLOOKUP($C275,INSUMOS!$A:$D,3,0),IFERROR(VLOOKUP($C275,COTAÇÕES!$B:$I,3,0),(VLOOKUP($C275,'INSUMO SINAPI - SP'!$C:$F,3,0)))))</f>
        <v>UN</v>
      </c>
      <c r="G275" s="511">
        <v>4.5999999999999999E-2</v>
      </c>
      <c r="H275" s="512">
        <f>IF($C275="",IFERROR(VLOOKUP($B275,SERVIÇOS!$B:$G,6,0),IFERROR(VLOOKUP($B275,$D:$K,8,0),"")),IFERROR(VLOOKUP($C275,INSUMOS!$A:$D,4,0),IFERROR(VLOOKUP($C275,COTAÇÕES!$B:$I,7,0),(VLOOKUP($C275,'INSUMO SINAPI - SP'!$C:$F,4,0)))))</f>
        <v>83.68</v>
      </c>
      <c r="I275" s="513">
        <f>TRUNC(IF($C275="",IFERROR(VLOOKUP($B275,SERVIÇOS!$B:$G,4,0),IFERROR(VLOOKUP($B275,$D:$K,6,0),)),IFERROR(VLOOKUP($C275,INSUMOS!$A:$D,4,0),IFERROR(VLOOKUP($C275,COTAÇÕES!$B:$I,7,0),(VLOOKUP($C275,'INSUMO SINAPI - SP'!$C:$F,4,0)))))*$G275,2)</f>
        <v>3.84</v>
      </c>
      <c r="J275" s="513">
        <f>TRUNC(IF($C275="",IFERROR(VLOOKUP($B275,SERVIÇOS!$B:$G,5,0),IFERROR(VLOOKUP($B275,$D:$K,7,0),)),0)*$G275,2)</f>
        <v>0</v>
      </c>
      <c r="K275" s="514">
        <f>I275+J275</f>
        <v>3.84</v>
      </c>
      <c r="L275" s="517"/>
      <c r="M275" s="471"/>
      <c r="N275" s="516"/>
      <c r="Q275" s="472"/>
      <c r="R275" s="472"/>
      <c r="S275" s="472"/>
      <c r="T275" s="472"/>
      <c r="U275" s="472"/>
      <c r="V275" s="472"/>
      <c r="W275" s="472"/>
      <c r="X275" s="472"/>
      <c r="Y275" s="472"/>
    </row>
    <row r="276" spans="1:25" x14ac:dyDescent="0.25">
      <c r="A276" s="463"/>
      <c r="B276" s="506"/>
      <c r="C276" s="507">
        <v>122</v>
      </c>
      <c r="D276" s="508"/>
      <c r="E276" s="509" t="str">
        <f>IF($C276="",IFERROR(VLOOKUP($B276,SERVIÇOS!$B:$G,2,0),IFERROR(VLOOKUP($B276,$D:$K,2,0),"")),IFERROR(VLOOKUP($C276,INSUMOS!$A:$D,2,0),IFERROR(VLOOKUP($C276,COTAÇÕES!$B:$I,2,0),(VLOOKUP($C276,'INSUMO SINAPI - SP'!$C:$F,2,0)))))</f>
        <v>ADESIVO PLASTICO PARA PVC, FRASCO COM *850* GR</v>
      </c>
      <c r="F276" s="510" t="str">
        <f>IF($C276="",IFERROR(VLOOKUP($B276,SERVIÇOS!$B:$G,3,0),IFERROR(VLOOKUP($B276,$D:$K,3,0),"")),IFERROR(VLOOKUP($C276,INSUMOS!$A:$D,3,0),IFERROR(VLOOKUP($C276,COTAÇÕES!$B:$I,3,0),(VLOOKUP($C276,'INSUMO SINAPI - SP'!$C:$F,3,0)))))</f>
        <v>UN</v>
      </c>
      <c r="G276" s="511">
        <v>8.2500000000000004E-3</v>
      </c>
      <c r="H276" s="512">
        <f>IF($C276="",IFERROR(VLOOKUP($B276,SERVIÇOS!$B:$G,6,0),IFERROR(VLOOKUP($B276,$D:$K,8,0),"")),IFERROR(VLOOKUP($C276,INSUMOS!$A:$D,4,0),IFERROR(VLOOKUP($C276,COTAÇÕES!$B:$I,7,0),(VLOOKUP($C276,'INSUMO SINAPI - SP'!$C:$F,4,0)))))</f>
        <v>73.86</v>
      </c>
      <c r="I276" s="513">
        <f>TRUNC(IF($C276="",IFERROR(VLOOKUP($B276,SERVIÇOS!$B:$G,4,0),IFERROR(VLOOKUP($B276,$D:$K,6,0),)),IFERROR(VLOOKUP($C276,INSUMOS!$A:$D,4,0),IFERROR(VLOOKUP($C276,COTAÇÕES!$B:$I,7,0),(VLOOKUP($C276,'INSUMO SINAPI - SP'!$C:$F,4,0)))))*$G276,2)</f>
        <v>0.6</v>
      </c>
      <c r="J276" s="513">
        <f>TRUNC(IF($C276="",IFERROR(VLOOKUP($B276,SERVIÇOS!$B:$G,5,0),IFERROR(VLOOKUP($B276,$D:$K,7,0),)),0)*$G276,2)</f>
        <v>0</v>
      </c>
      <c r="K276" s="514">
        <f>I276+J276</f>
        <v>0.6</v>
      </c>
      <c r="L276" s="517"/>
      <c r="M276" s="471"/>
      <c r="N276" s="516"/>
      <c r="Q276" s="472"/>
      <c r="R276" s="472"/>
      <c r="S276" s="472"/>
      <c r="T276" s="472"/>
      <c r="U276" s="472"/>
      <c r="V276" s="472"/>
      <c r="W276" s="472"/>
      <c r="X276" s="472"/>
      <c r="Y276" s="472"/>
    </row>
    <row r="277" spans="1:25" x14ac:dyDescent="0.25">
      <c r="A277" s="463"/>
      <c r="B277" s="506"/>
      <c r="C277" s="507">
        <v>41930</v>
      </c>
      <c r="D277" s="508"/>
      <c r="E277" s="509" t="str">
        <f>IF($C277="",IFERROR(VLOOKUP($B277,SERVIÇOS!$B:$G,2,0),IFERROR(VLOOKUP($B277,$D:$K,2,0),"")),IFERROR(VLOOKUP($C277,INSUMOS!$A:$D,2,0),IFERROR(VLOOKUP($C277,COTAÇÕES!$B:$I,2,0),(VLOOKUP($C277,'INSUMO SINAPI - SP'!$C:$F,2,0)))))</f>
        <v>TUBO COLETOR DE ESGOTO PVC, JEI, DN 200 MM (NBR 7362)</v>
      </c>
      <c r="F277" s="510" t="str">
        <f>IF($C277="",IFERROR(VLOOKUP($B277,SERVIÇOS!$B:$G,3,0),IFERROR(VLOOKUP($B277,$D:$K,3,0),"")),IFERROR(VLOOKUP($C277,INSUMOS!$A:$D,3,0),IFERROR(VLOOKUP($C277,COTAÇÕES!$B:$I,3,0),(VLOOKUP($C277,'INSUMO SINAPI - SP'!$C:$F,3,0)))))</f>
        <v>M</v>
      </c>
      <c r="G277" s="511">
        <v>1.3</v>
      </c>
      <c r="H277" s="512">
        <f>IF($C277="",IFERROR(VLOOKUP($B277,SERVIÇOS!$B:$G,6,0),IFERROR(VLOOKUP($B277,$D:$K,8,0),"")),IFERROR(VLOOKUP($C277,INSUMOS!$A:$D,4,0),IFERROR(VLOOKUP($C277,COTAÇÕES!$B:$I,7,0),(VLOOKUP($C277,'INSUMO SINAPI - SP'!$C:$F,4,0)))))</f>
        <v>128.9</v>
      </c>
      <c r="I277" s="513">
        <f>TRUNC(IF($C277="",IFERROR(VLOOKUP($B277,SERVIÇOS!$B:$G,4,0),IFERROR(VLOOKUP($B277,$D:$K,6,0),)),IFERROR(VLOOKUP($C277,INSUMOS!$A:$D,4,0),IFERROR(VLOOKUP($C277,COTAÇÕES!$B:$I,7,0),(VLOOKUP($C277,'INSUMO SINAPI - SP'!$C:$F,4,0)))))*$G277,2)</f>
        <v>167.57</v>
      </c>
      <c r="J277" s="513">
        <f>TRUNC(IF($C277="",IFERROR(VLOOKUP($B277,SERVIÇOS!$B:$G,5,0),IFERROR(VLOOKUP($B277,$D:$K,7,0),)),0)*$G277,2)</f>
        <v>0</v>
      </c>
      <c r="K277" s="514">
        <f>I277+J277</f>
        <v>167.57</v>
      </c>
      <c r="L277" s="517"/>
      <c r="M277" s="471"/>
      <c r="N277" s="516"/>
      <c r="Q277" s="472"/>
      <c r="R277" s="472"/>
      <c r="S277" s="472"/>
      <c r="T277" s="472"/>
      <c r="U277" s="472"/>
      <c r="V277" s="472"/>
      <c r="W277" s="472"/>
      <c r="X277" s="472"/>
      <c r="Y277" s="472"/>
    </row>
    <row r="278" spans="1:25" x14ac:dyDescent="0.25">
      <c r="A278" s="463"/>
      <c r="B278" s="498"/>
      <c r="C278" s="498"/>
      <c r="D278" s="499" t="s">
        <v>12164</v>
      </c>
      <c r="E278" s="500" t="s">
        <v>12779</v>
      </c>
      <c r="F278" s="501" t="s">
        <v>585</v>
      </c>
      <c r="G278" s="502"/>
      <c r="H278" s="503"/>
      <c r="I278" s="504">
        <f>ROUND(SUM(I279:I283),2)</f>
        <v>18.18</v>
      </c>
      <c r="J278" s="504">
        <f>ROUND(SUM(J279:J283),2)</f>
        <v>24.3</v>
      </c>
      <c r="K278" s="504">
        <f>+J278+I278</f>
        <v>42.480000000000004</v>
      </c>
      <c r="L278" s="523" t="s">
        <v>12753</v>
      </c>
      <c r="M278" s="471"/>
      <c r="N278" s="505"/>
      <c r="Q278" s="472"/>
      <c r="R278" s="472"/>
      <c r="S278" s="472"/>
      <c r="T278" s="472"/>
      <c r="U278" s="472"/>
      <c r="V278" s="472"/>
      <c r="W278" s="472"/>
      <c r="X278" s="472"/>
      <c r="Y278" s="472"/>
    </row>
    <row r="279" spans="1:25" x14ac:dyDescent="0.25">
      <c r="A279" s="463"/>
      <c r="B279" s="506">
        <v>88267</v>
      </c>
      <c r="C279" s="507"/>
      <c r="D279" s="508"/>
      <c r="E279" s="509" t="str">
        <f>IF($C279="",IFERROR(VLOOKUP($B279,SERVIÇOS!$B:$G,2,0),IFERROR(VLOOKUP($B279,$D:$K,2,0),"")),IFERROR(VLOOKUP($C279,INSUMOS!$A:$D,2,0),IFERROR(VLOOKUP($C279,COTAÇÕES!$B:$I,2,0),(VLOOKUP($C279,'INSUMO SINAPI - SP'!$C:$F,2,0)))))</f>
        <v>ENCANADOR OU BOMBEIRO HIDRÁULICO COM ENCARGOS COMPLEMENTARES</v>
      </c>
      <c r="F279" s="510" t="str">
        <f>IF($C279="",IFERROR(VLOOKUP($B279,SERVIÇOS!$B:$G,3,0),IFERROR(VLOOKUP($B279,$D:$K,3,0),"")),IFERROR(VLOOKUP($C279,INSUMOS!$A:$D,3,0),IFERROR(VLOOKUP($C279,COTAÇÕES!$B:$I,3,0),(VLOOKUP($C279,'INSUMO SINAPI - SP'!$C:$F,3,0)))))</f>
        <v>H</v>
      </c>
      <c r="G279" s="511">
        <v>0.5</v>
      </c>
      <c r="H279" s="512">
        <f>IF($C279="",IFERROR(VLOOKUP($B279,SERVIÇOS!$B:$G,6,0),IFERROR(VLOOKUP($B279,$D:$K,8,0),"")),IFERROR(VLOOKUP($C279,INSUMOS!$A:$D,4,0),IFERROR(VLOOKUP($C279,COTAÇÕES!$B:$I,7,0),(VLOOKUP($C279,'INSUMO SINAPI - SP'!$C:$F,4,0)))))</f>
        <v>36.17</v>
      </c>
      <c r="I279" s="513">
        <f>TRUNC(IF($C279="",IFERROR(VLOOKUP($B279,SERVIÇOS!$B:$G,4,0),IFERROR(VLOOKUP($B279,$D:$K,6,0),)),IFERROR(VLOOKUP($C279,INSUMOS!$A:$D,4,0),IFERROR(VLOOKUP($C279,COTAÇÕES!$B:$I,7,0),(VLOOKUP($C279,'INSUMO SINAPI - SP'!$C:$F,4,0)))))*$G279,2)</f>
        <v>4.32</v>
      </c>
      <c r="J279" s="513">
        <f>TRUNC(IF($C279="",IFERROR(VLOOKUP($B279,SERVIÇOS!$B:$G,5,0),IFERROR(VLOOKUP($B279,$D:$K,7,0),)),0)*$G279,2)</f>
        <v>13.76</v>
      </c>
      <c r="K279" s="514">
        <f>I279+J279</f>
        <v>18.079999999999998</v>
      </c>
      <c r="L279" s="515"/>
      <c r="M279" s="471"/>
      <c r="N279" s="516"/>
      <c r="Q279" s="472"/>
      <c r="R279" s="472"/>
      <c r="S279" s="472"/>
      <c r="T279" s="472"/>
      <c r="U279" s="472"/>
      <c r="V279" s="472"/>
      <c r="W279" s="472"/>
      <c r="X279" s="472"/>
      <c r="Y279" s="472"/>
    </row>
    <row r="280" spans="1:25" x14ac:dyDescent="0.25">
      <c r="A280" s="463"/>
      <c r="B280" s="506">
        <v>88248</v>
      </c>
      <c r="C280" s="507"/>
      <c r="D280" s="508"/>
      <c r="E280" s="509" t="str">
        <f>IF($C280="",IFERROR(VLOOKUP($B280,SERVIÇOS!$B:$G,2,0),IFERROR(VLOOKUP($B280,$D:$K,2,0),"")),IFERROR(VLOOKUP($C280,INSUMOS!$A:$D,2,0),IFERROR(VLOOKUP($C280,COTAÇÕES!$B:$I,2,0),(VLOOKUP($C280,'INSUMO SINAPI - SP'!$C:$F,2,0)))))</f>
        <v>AUXILIAR DE ENCANADOR OU BOMBEIRO HIDRÁULICO COM ENCARGOS COMPLEMENTARES</v>
      </c>
      <c r="F280" s="510" t="str">
        <f>IF($C280="",IFERROR(VLOOKUP($B280,SERVIÇOS!$B:$G,3,0),IFERROR(VLOOKUP($B280,$D:$K,3,0),"")),IFERROR(VLOOKUP($C280,INSUMOS!$A:$D,3,0),IFERROR(VLOOKUP($C280,COTAÇÕES!$B:$I,3,0),(VLOOKUP($C280,'INSUMO SINAPI - SP'!$C:$F,3,0)))))</f>
        <v>H</v>
      </c>
      <c r="G280" s="511">
        <v>0.5</v>
      </c>
      <c r="H280" s="512">
        <f>IF($C280="",IFERROR(VLOOKUP($B280,SERVIÇOS!$B:$G,6,0),IFERROR(VLOOKUP($B280,$D:$K,8,0),"")),IFERROR(VLOOKUP($C280,INSUMOS!$A:$D,4,0),IFERROR(VLOOKUP($C280,COTAÇÕES!$B:$I,7,0),(VLOOKUP($C280,'INSUMO SINAPI - SP'!$C:$F,4,0)))))</f>
        <v>29.72</v>
      </c>
      <c r="I280" s="513">
        <f>TRUNC(IF($C280="",IFERROR(VLOOKUP($B280,SERVIÇOS!$B:$G,4,0),IFERROR(VLOOKUP($B280,$D:$K,6,0),)),IFERROR(VLOOKUP($C280,INSUMOS!$A:$D,4,0),IFERROR(VLOOKUP($C280,COTAÇÕES!$B:$I,7,0),(VLOOKUP($C280,'INSUMO SINAPI - SP'!$C:$F,4,0)))))*$G280,2)</f>
        <v>4.32</v>
      </c>
      <c r="J280" s="513">
        <f>TRUNC(IF($C280="",IFERROR(VLOOKUP($B280,SERVIÇOS!$B:$G,5,0),IFERROR(VLOOKUP($B280,$D:$K,7,0),)),0)*$G280,2)</f>
        <v>10.54</v>
      </c>
      <c r="K280" s="514">
        <f>I280+J280</f>
        <v>14.86</v>
      </c>
      <c r="L280" s="515"/>
      <c r="M280" s="471"/>
      <c r="N280" s="516"/>
      <c r="Q280" s="472"/>
      <c r="R280" s="472"/>
      <c r="S280" s="472"/>
      <c r="T280" s="472"/>
      <c r="U280" s="472"/>
      <c r="V280" s="472"/>
      <c r="W280" s="472"/>
      <c r="X280" s="472"/>
      <c r="Y280" s="472"/>
    </row>
    <row r="281" spans="1:25" x14ac:dyDescent="0.25">
      <c r="A281" s="463"/>
      <c r="B281" s="506"/>
      <c r="C281" s="507">
        <v>20083</v>
      </c>
      <c r="D281" s="508"/>
      <c r="E281" s="509" t="str">
        <f>IF($C281="",IFERROR(VLOOKUP($B281,SERVIÇOS!$B:$G,2,0),IFERROR(VLOOKUP($B281,$D:$K,2,0),"")),IFERROR(VLOOKUP($C281,INSUMOS!$A:$D,2,0),IFERROR(VLOOKUP($C281,COTAÇÕES!$B:$I,2,0),(VLOOKUP($C281,'INSUMO SINAPI - SP'!$C:$F,2,0)))))</f>
        <v>SOLUCAO PREPARADORA / LIMPADORA PARA PVC, FRASCO COM 1000 CM3</v>
      </c>
      <c r="F281" s="510" t="str">
        <f>IF($C281="",IFERROR(VLOOKUP($B281,SERVIÇOS!$B:$G,3,0),IFERROR(VLOOKUP($B281,$D:$K,3,0),"")),IFERROR(VLOOKUP($C281,INSUMOS!$A:$D,3,0),IFERROR(VLOOKUP($C281,COTAÇÕES!$B:$I,3,0),(VLOOKUP($C281,'INSUMO SINAPI - SP'!$C:$F,3,0)))))</f>
        <v>UN</v>
      </c>
      <c r="G281" s="511">
        <v>5.0000000000000001E-4</v>
      </c>
      <c r="H281" s="512">
        <f>IF($C281="",IFERROR(VLOOKUP($B281,SERVIÇOS!$B:$G,6,0),IFERROR(VLOOKUP($B281,$D:$K,8,0),"")),IFERROR(VLOOKUP($C281,INSUMOS!$A:$D,4,0),IFERROR(VLOOKUP($C281,COTAÇÕES!$B:$I,7,0),(VLOOKUP($C281,'INSUMO SINAPI - SP'!$C:$F,4,0)))))</f>
        <v>83.68</v>
      </c>
      <c r="I281" s="513">
        <f>TRUNC(IF($C281="",IFERROR(VLOOKUP($B281,SERVIÇOS!$B:$G,4,0),IFERROR(VLOOKUP($B281,$D:$K,6,0),)),IFERROR(VLOOKUP($C281,INSUMOS!$A:$D,4,0),IFERROR(VLOOKUP($C281,COTAÇÕES!$B:$I,7,0),(VLOOKUP($C281,'INSUMO SINAPI - SP'!$C:$F,4,0)))))*$G281,2)</f>
        <v>0.04</v>
      </c>
      <c r="J281" s="513">
        <f>TRUNC(IF($C281="",IFERROR(VLOOKUP($B281,SERVIÇOS!$B:$G,5,0),IFERROR(VLOOKUP($B281,$D:$K,7,0),)),0)*$G281,2)</f>
        <v>0</v>
      </c>
      <c r="K281" s="514">
        <f>I281+J281</f>
        <v>0.04</v>
      </c>
      <c r="L281" s="517"/>
      <c r="M281" s="471"/>
      <c r="N281" s="516"/>
      <c r="Q281" s="472"/>
      <c r="R281" s="472"/>
      <c r="S281" s="472"/>
      <c r="T281" s="472"/>
      <c r="U281" s="472"/>
      <c r="V281" s="472"/>
      <c r="W281" s="472"/>
      <c r="X281" s="472"/>
      <c r="Y281" s="472"/>
    </row>
    <row r="282" spans="1:25" x14ac:dyDescent="0.25">
      <c r="A282" s="463"/>
      <c r="B282" s="506"/>
      <c r="C282" s="507">
        <v>122</v>
      </c>
      <c r="D282" s="508"/>
      <c r="E282" s="509" t="str">
        <f>IF($C282="",IFERROR(VLOOKUP($B282,SERVIÇOS!$B:$G,2,0),IFERROR(VLOOKUP($B282,$D:$K,2,0),"")),IFERROR(VLOOKUP($C282,INSUMOS!$A:$D,2,0),IFERROR(VLOOKUP($C282,COTAÇÕES!$B:$I,2,0),(VLOOKUP($C282,'INSUMO SINAPI - SP'!$C:$F,2,0)))))</f>
        <v>ADESIVO PLASTICO PARA PVC, FRASCO COM *850* GR</v>
      </c>
      <c r="F282" s="510" t="str">
        <f>IF($C282="",IFERROR(VLOOKUP($B282,SERVIÇOS!$B:$G,3,0),IFERROR(VLOOKUP($B282,$D:$K,3,0),"")),IFERROR(VLOOKUP($C282,INSUMOS!$A:$D,3,0),IFERROR(VLOOKUP($C282,COTAÇÕES!$B:$I,3,0),(VLOOKUP($C282,'INSUMO SINAPI - SP'!$C:$F,3,0)))))</f>
        <v>UN</v>
      </c>
      <c r="G282" s="511">
        <v>1.1999999999999999E-3</v>
      </c>
      <c r="H282" s="512">
        <f>IF($C282="",IFERROR(VLOOKUP($B282,SERVIÇOS!$B:$G,6,0),IFERROR(VLOOKUP($B282,$D:$K,8,0),"")),IFERROR(VLOOKUP($C282,INSUMOS!$A:$D,4,0),IFERROR(VLOOKUP($C282,COTAÇÕES!$B:$I,7,0),(VLOOKUP($C282,'INSUMO SINAPI - SP'!$C:$F,4,0)))))</f>
        <v>73.86</v>
      </c>
      <c r="I282" s="513">
        <f>TRUNC(IF($C282="",IFERROR(VLOOKUP($B282,SERVIÇOS!$B:$G,4,0),IFERROR(VLOOKUP($B282,$D:$K,6,0),)),IFERROR(VLOOKUP($C282,INSUMOS!$A:$D,4,0),IFERROR(VLOOKUP($C282,COTAÇÕES!$B:$I,7,0),(VLOOKUP($C282,'INSUMO SINAPI - SP'!$C:$F,4,0)))))*$G282,2)</f>
        <v>0.08</v>
      </c>
      <c r="J282" s="513">
        <f>TRUNC(IF($C282="",IFERROR(VLOOKUP($B282,SERVIÇOS!$B:$G,5,0),IFERROR(VLOOKUP($B282,$D:$K,7,0),)),0)*$G282,2)</f>
        <v>0</v>
      </c>
      <c r="K282" s="514">
        <f>I282+J282</f>
        <v>0.08</v>
      </c>
      <c r="L282" s="517"/>
      <c r="M282" s="471"/>
      <c r="N282" s="516"/>
      <c r="Q282" s="472"/>
      <c r="R282" s="472"/>
      <c r="S282" s="472"/>
      <c r="T282" s="472"/>
      <c r="U282" s="472"/>
      <c r="V282" s="472"/>
      <c r="W282" s="472"/>
      <c r="X282" s="472"/>
      <c r="Y282" s="472"/>
    </row>
    <row r="283" spans="1:25" x14ac:dyDescent="0.25">
      <c r="A283" s="463"/>
      <c r="B283" s="506"/>
      <c r="C283" s="507">
        <v>9835</v>
      </c>
      <c r="D283" s="508"/>
      <c r="E283" s="509" t="str">
        <f>IF($C283="",IFERROR(VLOOKUP($B283,SERVIÇOS!$B:$G,2,0),IFERROR(VLOOKUP($B283,$D:$K,2,0),"")),IFERROR(VLOOKUP($C283,INSUMOS!$A:$D,2,0),IFERROR(VLOOKUP($C283,COTAÇÕES!$B:$I,2,0),(VLOOKUP($C283,'INSUMO SINAPI - SP'!$C:$F,2,0)))))</f>
        <v>TUBO PVC SERIE NORMAL, DN 40 MM, PARA ESGOTO PREDIAL (NBR 5688)</v>
      </c>
      <c r="F283" s="510" t="str">
        <f>IF($C283="",IFERROR(VLOOKUP($B283,SERVIÇOS!$B:$G,3,0),IFERROR(VLOOKUP($B283,$D:$K,3,0),"")),IFERROR(VLOOKUP($C283,INSUMOS!$A:$D,3,0),IFERROR(VLOOKUP($C283,COTAÇÕES!$B:$I,3,0),(VLOOKUP($C283,'INSUMO SINAPI - SP'!$C:$F,3,0)))))</f>
        <v>M</v>
      </c>
      <c r="G283" s="511">
        <v>1.5</v>
      </c>
      <c r="H283" s="512">
        <f>IF($C283="",IFERROR(VLOOKUP($B283,SERVIÇOS!$B:$G,6,0),IFERROR(VLOOKUP($B283,$D:$K,8,0),"")),IFERROR(VLOOKUP($C283,INSUMOS!$A:$D,4,0),IFERROR(VLOOKUP($C283,COTAÇÕES!$B:$I,7,0),(VLOOKUP($C283,'INSUMO SINAPI - SP'!$C:$F,4,0)))))</f>
        <v>6.28</v>
      </c>
      <c r="I283" s="513">
        <f>TRUNC(IF($C283="",IFERROR(VLOOKUP($B283,SERVIÇOS!$B:$G,4,0),IFERROR(VLOOKUP($B283,$D:$K,6,0),)),IFERROR(VLOOKUP($C283,INSUMOS!$A:$D,4,0),IFERROR(VLOOKUP($C283,COTAÇÕES!$B:$I,7,0),(VLOOKUP($C283,'INSUMO SINAPI - SP'!$C:$F,4,0)))))*$G283,2)</f>
        <v>9.42</v>
      </c>
      <c r="J283" s="513">
        <f>TRUNC(IF($C283="",IFERROR(VLOOKUP($B283,SERVIÇOS!$B:$G,5,0),IFERROR(VLOOKUP($B283,$D:$K,7,0),)),0)*$G283,2)</f>
        <v>0</v>
      </c>
      <c r="K283" s="514">
        <f>I283+J283</f>
        <v>9.42</v>
      </c>
      <c r="L283" s="517"/>
      <c r="M283" s="471"/>
      <c r="N283" s="516"/>
      <c r="Q283" s="472"/>
      <c r="R283" s="472"/>
      <c r="S283" s="472"/>
      <c r="T283" s="472"/>
      <c r="U283" s="472"/>
      <c r="V283" s="472"/>
      <c r="W283" s="472"/>
      <c r="X283" s="472"/>
      <c r="Y283" s="472"/>
    </row>
    <row r="284" spans="1:25" x14ac:dyDescent="0.25">
      <c r="A284" s="463"/>
      <c r="B284" s="498"/>
      <c r="C284" s="498"/>
      <c r="D284" s="499" t="s">
        <v>12153</v>
      </c>
      <c r="E284" s="500" t="s">
        <v>12780</v>
      </c>
      <c r="F284" s="501" t="s">
        <v>585</v>
      </c>
      <c r="G284" s="502"/>
      <c r="H284" s="503"/>
      <c r="I284" s="504">
        <f>ROUND(SUM(I285:I289),2)</f>
        <v>214.76</v>
      </c>
      <c r="J284" s="504">
        <f>ROUND(SUM(J285:J289),2)</f>
        <v>6.35</v>
      </c>
      <c r="K284" s="504">
        <f>+J284+I284</f>
        <v>221.10999999999999</v>
      </c>
      <c r="L284" s="523" t="s">
        <v>12781</v>
      </c>
      <c r="M284" s="471"/>
      <c r="N284" s="505"/>
      <c r="Q284" s="472"/>
      <c r="R284" s="472"/>
      <c r="S284" s="472"/>
      <c r="T284" s="472"/>
      <c r="U284" s="472"/>
      <c r="V284" s="472"/>
      <c r="W284" s="472"/>
      <c r="X284" s="472"/>
      <c r="Y284" s="472"/>
    </row>
    <row r="285" spans="1:25" x14ac:dyDescent="0.25">
      <c r="A285" s="463"/>
      <c r="B285" s="506">
        <v>88267</v>
      </c>
      <c r="C285" s="507"/>
      <c r="D285" s="508"/>
      <c r="E285" s="509" t="str">
        <f>IF($C285="",IFERROR(VLOOKUP($B285,SERVIÇOS!$B:$G,2,0),IFERROR(VLOOKUP($B285,$D:$K,2,0),"")),IFERROR(VLOOKUP($C285,INSUMOS!$A:$D,2,0),IFERROR(VLOOKUP($C285,COTAÇÕES!$B:$I,2,0),(VLOOKUP($C285,'INSUMO SINAPI - SP'!$C:$F,2,0)))))</f>
        <v>ENCANADOR OU BOMBEIRO HIDRÁULICO COM ENCARGOS COMPLEMENTARES</v>
      </c>
      <c r="F285" s="510" t="str">
        <f>IF($C285="",IFERROR(VLOOKUP($B285,SERVIÇOS!$B:$G,3,0),IFERROR(VLOOKUP($B285,$D:$K,3,0),"")),IFERROR(VLOOKUP($C285,INSUMOS!$A:$D,3,0),IFERROR(VLOOKUP($C285,COTAÇÕES!$B:$I,3,0),(VLOOKUP($C285,'INSUMO SINAPI - SP'!$C:$F,3,0)))))</f>
        <v>H</v>
      </c>
      <c r="G285" s="511">
        <v>0.1308</v>
      </c>
      <c r="H285" s="512">
        <f>IF($C285="",IFERROR(VLOOKUP($B285,SERVIÇOS!$B:$G,6,0),IFERROR(VLOOKUP($B285,$D:$K,8,0),"")),IFERROR(VLOOKUP($C285,INSUMOS!$A:$D,4,0),IFERROR(VLOOKUP($C285,COTAÇÕES!$B:$I,7,0),(VLOOKUP($C285,'INSUMO SINAPI - SP'!$C:$F,4,0)))))</f>
        <v>36.17</v>
      </c>
      <c r="I285" s="513">
        <f>TRUNC(IF($C285="",IFERROR(VLOOKUP($B285,SERVIÇOS!$B:$G,4,0),IFERROR(VLOOKUP($B285,$D:$K,6,0),)),IFERROR(VLOOKUP($C285,INSUMOS!$A:$D,4,0),IFERROR(VLOOKUP($C285,COTAÇÕES!$B:$I,7,0),(VLOOKUP($C285,'INSUMO SINAPI - SP'!$C:$F,4,0)))))*$G285,2)</f>
        <v>1.1299999999999999</v>
      </c>
      <c r="J285" s="513">
        <f>TRUNC(IF($C285="",IFERROR(VLOOKUP($B285,SERVIÇOS!$B:$G,5,0),IFERROR(VLOOKUP($B285,$D:$K,7,0),)),0)*$G285,2)</f>
        <v>3.6</v>
      </c>
      <c r="K285" s="514">
        <f>I285+J285</f>
        <v>4.7300000000000004</v>
      </c>
      <c r="L285" s="515"/>
      <c r="M285" s="471"/>
      <c r="N285" s="516"/>
      <c r="Q285" s="472"/>
      <c r="R285" s="472"/>
      <c r="S285" s="472"/>
      <c r="T285" s="472"/>
      <c r="U285" s="472"/>
      <c r="V285" s="472"/>
      <c r="W285" s="472"/>
      <c r="X285" s="472"/>
      <c r="Y285" s="472"/>
    </row>
    <row r="286" spans="1:25" x14ac:dyDescent="0.25">
      <c r="A286" s="463"/>
      <c r="B286" s="506">
        <v>88248</v>
      </c>
      <c r="C286" s="507"/>
      <c r="D286" s="508"/>
      <c r="E286" s="509" t="str">
        <f>IF($C286="",IFERROR(VLOOKUP($B286,SERVIÇOS!$B:$G,2,0),IFERROR(VLOOKUP($B286,$D:$K,2,0),"")),IFERROR(VLOOKUP($C286,INSUMOS!$A:$D,2,0),IFERROR(VLOOKUP($C286,COTAÇÕES!$B:$I,2,0),(VLOOKUP($C286,'INSUMO SINAPI - SP'!$C:$F,2,0)))))</f>
        <v>AUXILIAR DE ENCANADOR OU BOMBEIRO HIDRÁULICO COM ENCARGOS COMPLEMENTARES</v>
      </c>
      <c r="F286" s="510" t="str">
        <f>IF($C286="",IFERROR(VLOOKUP($B286,SERVIÇOS!$B:$G,3,0),IFERROR(VLOOKUP($B286,$D:$K,3,0),"")),IFERROR(VLOOKUP($C286,INSUMOS!$A:$D,3,0),IFERROR(VLOOKUP($C286,COTAÇÕES!$B:$I,3,0),(VLOOKUP($C286,'INSUMO SINAPI - SP'!$C:$F,3,0)))))</f>
        <v>H</v>
      </c>
      <c r="G286" s="511">
        <v>0.1308</v>
      </c>
      <c r="H286" s="512">
        <f>IF($C286="",IFERROR(VLOOKUP($B286,SERVIÇOS!$B:$G,6,0),IFERROR(VLOOKUP($B286,$D:$K,8,0),"")),IFERROR(VLOOKUP($C286,INSUMOS!$A:$D,4,0),IFERROR(VLOOKUP($C286,COTAÇÕES!$B:$I,7,0),(VLOOKUP($C286,'INSUMO SINAPI - SP'!$C:$F,4,0)))))</f>
        <v>29.72</v>
      </c>
      <c r="I286" s="513">
        <f>TRUNC(IF($C286="",IFERROR(VLOOKUP($B286,SERVIÇOS!$B:$G,4,0),IFERROR(VLOOKUP($B286,$D:$K,6,0),)),IFERROR(VLOOKUP($C286,INSUMOS!$A:$D,4,0),IFERROR(VLOOKUP($C286,COTAÇÕES!$B:$I,7,0),(VLOOKUP($C286,'INSUMO SINAPI - SP'!$C:$F,4,0)))))*$G286,2)</f>
        <v>1.1299999999999999</v>
      </c>
      <c r="J286" s="513">
        <f>TRUNC(IF($C286="",IFERROR(VLOOKUP($B286,SERVIÇOS!$B:$G,5,0),IFERROR(VLOOKUP($B286,$D:$K,7,0),)),0)*$G286,2)</f>
        <v>2.75</v>
      </c>
      <c r="K286" s="514">
        <f>I286+J286</f>
        <v>3.88</v>
      </c>
      <c r="L286" s="515"/>
      <c r="M286" s="471"/>
      <c r="N286" s="516"/>
      <c r="Q286" s="472"/>
      <c r="R286" s="472"/>
      <c r="S286" s="472"/>
      <c r="T286" s="472"/>
      <c r="U286" s="472"/>
      <c r="V286" s="472"/>
      <c r="W286" s="472"/>
      <c r="X286" s="472"/>
      <c r="Y286" s="472"/>
    </row>
    <row r="287" spans="1:25" x14ac:dyDescent="0.25">
      <c r="A287" s="463"/>
      <c r="B287" s="506"/>
      <c r="C287" s="507">
        <v>20083</v>
      </c>
      <c r="D287" s="508"/>
      <c r="E287" s="509" t="str">
        <f>IF($C287="",IFERROR(VLOOKUP($B287,SERVIÇOS!$B:$G,2,0),IFERROR(VLOOKUP($B287,$D:$K,2,0),"")),IFERROR(VLOOKUP($C287,INSUMOS!$A:$D,2,0),IFERROR(VLOOKUP($C287,COTAÇÕES!$B:$I,2,0),(VLOOKUP($C287,'INSUMO SINAPI - SP'!$C:$F,2,0)))))</f>
        <v>SOLUCAO PREPARADORA / LIMPADORA PARA PVC, FRASCO COM 1000 CM3</v>
      </c>
      <c r="F287" s="510" t="str">
        <f>IF($C287="",IFERROR(VLOOKUP($B287,SERVIÇOS!$B:$G,3,0),IFERROR(VLOOKUP($B287,$D:$K,3,0),"")),IFERROR(VLOOKUP($C287,INSUMOS!$A:$D,3,0),IFERROR(VLOOKUP($C287,COTAÇÕES!$B:$I,3,0),(VLOOKUP($C287,'INSUMO SINAPI - SP'!$C:$F,3,0)))))</f>
        <v>UN</v>
      </c>
      <c r="G287" s="511">
        <v>4.5999999999999999E-2</v>
      </c>
      <c r="H287" s="512">
        <f>IF($C287="",IFERROR(VLOOKUP($B287,SERVIÇOS!$B:$G,6,0),IFERROR(VLOOKUP($B287,$D:$K,8,0),"")),IFERROR(VLOOKUP($C287,INSUMOS!$A:$D,4,0),IFERROR(VLOOKUP($C287,COTAÇÕES!$B:$I,7,0),(VLOOKUP($C287,'INSUMO SINAPI - SP'!$C:$F,4,0)))))</f>
        <v>83.68</v>
      </c>
      <c r="I287" s="513">
        <f>TRUNC(IF($C287="",IFERROR(VLOOKUP($B287,SERVIÇOS!$B:$G,4,0),IFERROR(VLOOKUP($B287,$D:$K,6,0),)),IFERROR(VLOOKUP($C287,INSUMOS!$A:$D,4,0),IFERROR(VLOOKUP($C287,COTAÇÕES!$B:$I,7,0),(VLOOKUP($C287,'INSUMO SINAPI - SP'!$C:$F,4,0)))))*$G287,2)</f>
        <v>3.84</v>
      </c>
      <c r="J287" s="513">
        <f>TRUNC(IF($C287="",IFERROR(VLOOKUP($B287,SERVIÇOS!$B:$G,5,0),IFERROR(VLOOKUP($B287,$D:$K,7,0),)),0)*$G287,2)</f>
        <v>0</v>
      </c>
      <c r="K287" s="514">
        <f>I287+J287</f>
        <v>3.84</v>
      </c>
      <c r="L287" s="517"/>
      <c r="M287" s="471"/>
      <c r="N287" s="516"/>
      <c r="Q287" s="472"/>
      <c r="R287" s="472"/>
      <c r="S287" s="472"/>
      <c r="T287" s="472"/>
      <c r="U287" s="472"/>
      <c r="V287" s="472"/>
      <c r="W287" s="472"/>
      <c r="X287" s="472"/>
      <c r="Y287" s="472"/>
    </row>
    <row r="288" spans="1:25" x14ac:dyDescent="0.25">
      <c r="A288" s="463"/>
      <c r="B288" s="506"/>
      <c r="C288" s="507">
        <v>122</v>
      </c>
      <c r="D288" s="508"/>
      <c r="E288" s="509" t="str">
        <f>IF($C288="",IFERROR(VLOOKUP($B288,SERVIÇOS!$B:$G,2,0),IFERROR(VLOOKUP($B288,$D:$K,2,0),"")),IFERROR(VLOOKUP($C288,INSUMOS!$A:$D,2,0),IFERROR(VLOOKUP($C288,COTAÇÕES!$B:$I,2,0),(VLOOKUP($C288,'INSUMO SINAPI - SP'!$C:$F,2,0)))))</f>
        <v>ADESIVO PLASTICO PARA PVC, FRASCO COM *850* GR</v>
      </c>
      <c r="F288" s="510" t="str">
        <f>IF($C288="",IFERROR(VLOOKUP($B288,SERVIÇOS!$B:$G,3,0),IFERROR(VLOOKUP($B288,$D:$K,3,0),"")),IFERROR(VLOOKUP($C288,INSUMOS!$A:$D,3,0),IFERROR(VLOOKUP($C288,COTAÇÕES!$B:$I,3,0),(VLOOKUP($C288,'INSUMO SINAPI - SP'!$C:$F,3,0)))))</f>
        <v>UN</v>
      </c>
      <c r="G288" s="511">
        <v>8.2500000000000004E-3</v>
      </c>
      <c r="H288" s="512">
        <f>IF($C288="",IFERROR(VLOOKUP($B288,SERVIÇOS!$B:$G,6,0),IFERROR(VLOOKUP($B288,$D:$K,8,0),"")),IFERROR(VLOOKUP($C288,INSUMOS!$A:$D,4,0),IFERROR(VLOOKUP($C288,COTAÇÕES!$B:$I,7,0),(VLOOKUP($C288,'INSUMO SINAPI - SP'!$C:$F,4,0)))))</f>
        <v>73.86</v>
      </c>
      <c r="I288" s="513">
        <f>TRUNC(IF($C288="",IFERROR(VLOOKUP($B288,SERVIÇOS!$B:$G,4,0),IFERROR(VLOOKUP($B288,$D:$K,6,0),)),IFERROR(VLOOKUP($C288,INSUMOS!$A:$D,4,0),IFERROR(VLOOKUP($C288,COTAÇÕES!$B:$I,7,0),(VLOOKUP($C288,'INSUMO SINAPI - SP'!$C:$F,4,0)))))*$G288,2)</f>
        <v>0.6</v>
      </c>
      <c r="J288" s="513">
        <f>TRUNC(IF($C288="",IFERROR(VLOOKUP($B288,SERVIÇOS!$B:$G,5,0),IFERROR(VLOOKUP($B288,$D:$K,7,0),)),0)*$G288,2)</f>
        <v>0</v>
      </c>
      <c r="K288" s="514">
        <f>I288+J288</f>
        <v>0.6</v>
      </c>
      <c r="L288" s="517"/>
      <c r="M288" s="471"/>
      <c r="N288" s="516"/>
      <c r="Q288" s="472"/>
      <c r="R288" s="472"/>
      <c r="S288" s="472"/>
      <c r="T288" s="472"/>
      <c r="U288" s="472"/>
      <c r="V288" s="472"/>
      <c r="W288" s="472"/>
      <c r="X288" s="472"/>
      <c r="Y288" s="472"/>
    </row>
    <row r="289" spans="1:25" x14ac:dyDescent="0.25">
      <c r="A289" s="463"/>
      <c r="B289" s="506"/>
      <c r="C289" s="507" t="s">
        <v>12782</v>
      </c>
      <c r="D289" s="508"/>
      <c r="E289" s="509" t="s">
        <v>12783</v>
      </c>
      <c r="F289" s="510" t="s">
        <v>585</v>
      </c>
      <c r="G289" s="511">
        <v>1.3</v>
      </c>
      <c r="H289" s="512">
        <v>160.05000000000001</v>
      </c>
      <c r="I289" s="513">
        <f>TRUNC(H289*G289,2)</f>
        <v>208.06</v>
      </c>
      <c r="J289" s="513">
        <f>TRUNC(IF($C289="",IFERROR(VLOOKUP($B289,SERVIÇOS!$B:$G,5,0),IFERROR(VLOOKUP($B289,$D:$K,7,0),)),0)*$G289,2)</f>
        <v>0</v>
      </c>
      <c r="K289" s="514">
        <f>I289+J289</f>
        <v>208.06</v>
      </c>
      <c r="L289" s="517" t="s">
        <v>12784</v>
      </c>
      <c r="M289" s="471"/>
      <c r="N289" s="516"/>
      <c r="Q289" s="472"/>
      <c r="R289" s="472"/>
      <c r="S289" s="472"/>
      <c r="T289" s="472"/>
      <c r="U289" s="472"/>
      <c r="V289" s="472"/>
      <c r="W289" s="472"/>
      <c r="X289" s="472"/>
      <c r="Y289" s="472"/>
    </row>
    <row r="290" spans="1:25" x14ac:dyDescent="0.25">
      <c r="A290" s="463"/>
      <c r="B290" s="498"/>
      <c r="C290" s="498"/>
      <c r="D290" s="499" t="s">
        <v>12086</v>
      </c>
      <c r="E290" s="500" t="s">
        <v>12785</v>
      </c>
      <c r="F290" s="501" t="s">
        <v>580</v>
      </c>
      <c r="G290" s="502"/>
      <c r="H290" s="503"/>
      <c r="I290" s="504">
        <f>ROUND(SUM(I291:I295),2)</f>
        <v>861.94</v>
      </c>
      <c r="J290" s="504">
        <f>ROUND(SUM(J291:J295),2)</f>
        <v>243.98</v>
      </c>
      <c r="K290" s="504">
        <f>+J290+I290</f>
        <v>1105.92</v>
      </c>
      <c r="L290" s="523" t="s">
        <v>12786</v>
      </c>
      <c r="M290" s="471"/>
      <c r="N290" s="505"/>
      <c r="Q290" s="472"/>
      <c r="R290" s="472"/>
      <c r="S290" s="472"/>
      <c r="T290" s="472"/>
      <c r="U290" s="472"/>
      <c r="V290" s="472"/>
      <c r="W290" s="472"/>
      <c r="X290" s="472"/>
      <c r="Y290" s="472"/>
    </row>
    <row r="291" spans="1:25" x14ac:dyDescent="0.25">
      <c r="A291" s="463"/>
      <c r="B291" s="506">
        <v>88267</v>
      </c>
      <c r="C291" s="507"/>
      <c r="D291" s="508"/>
      <c r="E291" s="509" t="str">
        <f>IF($C291="",IFERROR(VLOOKUP($B291,SERVIÇOS!$B:$G,2,0),IFERROR(VLOOKUP($B291,$D:$K,2,0),"")),IFERROR(VLOOKUP($C291,INSUMOS!$A:$D,2,0),IFERROR(VLOOKUP($C291,COTAÇÕES!$B:$I,2,0),(VLOOKUP($C291,'INSUMO SINAPI - SP'!$C:$F,2,0)))))</f>
        <v>ENCANADOR OU BOMBEIRO HIDRÁULICO COM ENCARGOS COMPLEMENTARES</v>
      </c>
      <c r="F291" s="510" t="str">
        <f>IF($C291="",IFERROR(VLOOKUP($B291,SERVIÇOS!$B:$G,3,0),IFERROR(VLOOKUP($B291,$D:$K,3,0),"")),IFERROR(VLOOKUP($C291,INSUMOS!$A:$D,3,0),IFERROR(VLOOKUP($C291,COTAÇÕES!$B:$I,3,0),(VLOOKUP($C291,'INSUMO SINAPI - SP'!$C:$F,3,0)))))</f>
        <v>H</v>
      </c>
      <c r="G291" s="511">
        <v>4</v>
      </c>
      <c r="H291" s="512">
        <f>IF($C291="",IFERROR(VLOOKUP($B291,SERVIÇOS!$B:$G,6,0),IFERROR(VLOOKUP($B291,$D:$K,8,0),"")),IFERROR(VLOOKUP($C291,INSUMOS!$A:$D,4,0),IFERROR(VLOOKUP($C291,COTAÇÕES!$B:$I,7,0),(VLOOKUP($C291,'INSUMO SINAPI - SP'!$C:$F,4,0)))))</f>
        <v>36.17</v>
      </c>
      <c r="I291" s="513">
        <f>TRUNC(IF($C291="",IFERROR(VLOOKUP($B291,SERVIÇOS!$B:$G,4,0),IFERROR(VLOOKUP($B291,$D:$K,6,0),)),IFERROR(VLOOKUP($C291,INSUMOS!$A:$D,4,0),IFERROR(VLOOKUP($C291,COTAÇÕES!$B:$I,7,0),(VLOOKUP($C291,'INSUMO SINAPI - SP'!$C:$F,4,0)))))*$G291,2)</f>
        <v>34.56</v>
      </c>
      <c r="J291" s="513">
        <f>TRUNC(IF($C291="",IFERROR(VLOOKUP($B291,SERVIÇOS!$B:$G,5,0),IFERROR(VLOOKUP($B291,$D:$K,7,0),)),0)*$G291,2)</f>
        <v>110.12</v>
      </c>
      <c r="K291" s="514">
        <f>I291+J291</f>
        <v>144.68</v>
      </c>
      <c r="L291" s="515"/>
      <c r="M291" s="471"/>
      <c r="N291" s="516"/>
      <c r="Q291" s="472"/>
      <c r="R291" s="472"/>
      <c r="S291" s="472"/>
      <c r="T291" s="472"/>
      <c r="U291" s="472"/>
      <c r="V291" s="472"/>
      <c r="W291" s="472"/>
      <c r="X291" s="472"/>
      <c r="Y291" s="472"/>
    </row>
    <row r="292" spans="1:25" x14ac:dyDescent="0.25">
      <c r="A292" s="463"/>
      <c r="B292" s="506">
        <v>88248</v>
      </c>
      <c r="C292" s="507"/>
      <c r="D292" s="508"/>
      <c r="E292" s="509" t="str">
        <f>IF($C292="",IFERROR(VLOOKUP($B292,SERVIÇOS!$B:$G,2,0),IFERROR(VLOOKUP($B292,$D:$K,2,0),"")),IFERROR(VLOOKUP($C292,INSUMOS!$A:$D,2,0),IFERROR(VLOOKUP($C292,COTAÇÕES!$B:$I,2,0),(VLOOKUP($C292,'INSUMO SINAPI - SP'!$C:$F,2,0)))))</f>
        <v>AUXILIAR DE ENCANADOR OU BOMBEIRO HIDRÁULICO COM ENCARGOS COMPLEMENTARES</v>
      </c>
      <c r="F292" s="510" t="str">
        <f>IF($C292="",IFERROR(VLOOKUP($B292,SERVIÇOS!$B:$G,3,0),IFERROR(VLOOKUP($B292,$D:$K,3,0),"")),IFERROR(VLOOKUP($C292,INSUMOS!$A:$D,3,0),IFERROR(VLOOKUP($C292,COTAÇÕES!$B:$I,3,0),(VLOOKUP($C292,'INSUMO SINAPI - SP'!$C:$F,3,0)))))</f>
        <v>H</v>
      </c>
      <c r="G292" s="511">
        <v>4</v>
      </c>
      <c r="H292" s="512">
        <f>IF($C292="",IFERROR(VLOOKUP($B292,SERVIÇOS!$B:$G,6,0),IFERROR(VLOOKUP($B292,$D:$K,8,0),"")),IFERROR(VLOOKUP($C292,INSUMOS!$A:$D,4,0),IFERROR(VLOOKUP($C292,COTAÇÕES!$B:$I,7,0),(VLOOKUP($C292,'INSUMO SINAPI - SP'!$C:$F,4,0)))))</f>
        <v>29.72</v>
      </c>
      <c r="I292" s="513">
        <f>TRUNC(IF($C292="",IFERROR(VLOOKUP($B292,SERVIÇOS!$B:$G,4,0),IFERROR(VLOOKUP($B292,$D:$K,6,0),)),IFERROR(VLOOKUP($C292,INSUMOS!$A:$D,4,0),IFERROR(VLOOKUP($C292,COTAÇÕES!$B:$I,7,0),(VLOOKUP($C292,'INSUMO SINAPI - SP'!$C:$F,4,0)))))*$G292,2)</f>
        <v>34.56</v>
      </c>
      <c r="J292" s="513">
        <f>TRUNC(IF($C292="",IFERROR(VLOOKUP($B292,SERVIÇOS!$B:$G,5,0),IFERROR(VLOOKUP($B292,$D:$K,7,0),)),0)*$G292,2)</f>
        <v>84.32</v>
      </c>
      <c r="K292" s="514">
        <f>I292+J292</f>
        <v>118.88</v>
      </c>
      <c r="L292" s="515"/>
      <c r="M292" s="471"/>
      <c r="N292" s="516"/>
      <c r="Q292" s="472"/>
      <c r="R292" s="472"/>
      <c r="S292" s="472"/>
      <c r="T292" s="472"/>
      <c r="U292" s="472"/>
      <c r="V292" s="472"/>
      <c r="W292" s="472"/>
      <c r="X292" s="472"/>
      <c r="Y292" s="472"/>
    </row>
    <row r="293" spans="1:25" x14ac:dyDescent="0.25">
      <c r="A293" s="463"/>
      <c r="B293" s="506">
        <v>88247</v>
      </c>
      <c r="C293" s="507"/>
      <c r="D293" s="508"/>
      <c r="E293" s="509" t="str">
        <f>IF($C293="",IFERROR(VLOOKUP($B293,SERVIÇOS!$B:$G,2,0),IFERROR(VLOOKUP($B293,$D:$K,2,0),"")),IFERROR(VLOOKUP($C293,INSUMOS!$A:$D,2,0),IFERROR(VLOOKUP($C293,COTAÇÕES!$B:$I,2,0),(VLOOKUP($C293,'INSUMO SINAPI - SP'!$C:$F,2,0)))))</f>
        <v>AUXILIAR DE ELETRICISTA COM ENCARGOS COMPLEMENTARES</v>
      </c>
      <c r="F293" s="510" t="str">
        <f>IF($C293="",IFERROR(VLOOKUP($B293,SERVIÇOS!$B:$G,3,0),IFERROR(VLOOKUP($B293,$D:$K,3,0),"")),IFERROR(VLOOKUP($C293,INSUMOS!$A:$D,3,0),IFERROR(VLOOKUP($C293,COTAÇÕES!$B:$I,3,0),(VLOOKUP($C293,'INSUMO SINAPI - SP'!$C:$F,3,0)))))</f>
        <v>H</v>
      </c>
      <c r="G293" s="511">
        <v>1</v>
      </c>
      <c r="H293" s="512">
        <f>IF($C293="",IFERROR(VLOOKUP($B293,SERVIÇOS!$B:$G,6,0),IFERROR(VLOOKUP($B293,$D:$K,8,0),"")),IFERROR(VLOOKUP($C293,INSUMOS!$A:$D,4,0),IFERROR(VLOOKUP($C293,COTAÇÕES!$B:$I,7,0),(VLOOKUP($C293,'INSUMO SINAPI - SP'!$C:$F,4,0)))))</f>
        <v>30.8</v>
      </c>
      <c r="I293" s="513">
        <f>TRUNC(IF($C293="",IFERROR(VLOOKUP($B293,SERVIÇOS!$B:$G,4,0),IFERROR(VLOOKUP($B293,$D:$K,6,0),)),IFERROR(VLOOKUP($C293,INSUMOS!$A:$D,4,0),IFERROR(VLOOKUP($C293,COTAÇÕES!$B:$I,7,0),(VLOOKUP($C293,'INSUMO SINAPI - SP'!$C:$F,4,0)))))*$G293,2)</f>
        <v>9.32</v>
      </c>
      <c r="J293" s="513">
        <f>TRUNC(IF($C293="",IFERROR(VLOOKUP($B293,SERVIÇOS!$B:$G,5,0),IFERROR(VLOOKUP($B293,$D:$K,7,0),)),0)*$G293,2)</f>
        <v>21.48</v>
      </c>
      <c r="K293" s="514">
        <f>I293+J293</f>
        <v>30.8</v>
      </c>
      <c r="L293" s="515"/>
      <c r="M293" s="471"/>
      <c r="N293" s="516"/>
      <c r="Q293" s="472"/>
      <c r="R293" s="472"/>
      <c r="S293" s="472"/>
      <c r="T293" s="472"/>
      <c r="U293" s="472"/>
      <c r="V293" s="472"/>
      <c r="W293" s="472"/>
      <c r="X293" s="472"/>
      <c r="Y293" s="472"/>
    </row>
    <row r="294" spans="1:25" x14ac:dyDescent="0.25">
      <c r="A294" s="463"/>
      <c r="B294" s="506">
        <v>88264</v>
      </c>
      <c r="C294" s="507"/>
      <c r="D294" s="508"/>
      <c r="E294" s="509" t="str">
        <f>IF($C294="",IFERROR(VLOOKUP($B294,SERVIÇOS!$B:$G,2,0),IFERROR(VLOOKUP($B294,$D:$K,2,0),"")),IFERROR(VLOOKUP($C294,INSUMOS!$A:$D,2,0),IFERROR(VLOOKUP($C294,COTAÇÕES!$B:$I,2,0),(VLOOKUP($C294,'INSUMO SINAPI - SP'!$C:$F,2,0)))))</f>
        <v>ELETRICISTA COM ENCARGOS COMPLEMENTARES</v>
      </c>
      <c r="F294" s="510" t="str">
        <f>IF($C294="",IFERROR(VLOOKUP($B294,SERVIÇOS!$B:$G,3,0),IFERROR(VLOOKUP($B294,$D:$K,3,0),"")),IFERROR(VLOOKUP($C294,INSUMOS!$A:$D,3,0),IFERROR(VLOOKUP($C294,COTAÇÕES!$B:$I,3,0),(VLOOKUP($C294,'INSUMO SINAPI - SP'!$C:$F,3,0)))))</f>
        <v>H</v>
      </c>
      <c r="G294" s="511">
        <v>1</v>
      </c>
      <c r="H294" s="512">
        <f>IF($C294="",IFERROR(VLOOKUP($B294,SERVIÇOS!$B:$G,6,0),IFERROR(VLOOKUP($B294,$D:$K,8,0),"")),IFERROR(VLOOKUP($C294,INSUMOS!$A:$D,4,0),IFERROR(VLOOKUP($C294,COTAÇÕES!$B:$I,7,0),(VLOOKUP($C294,'INSUMO SINAPI - SP'!$C:$F,4,0)))))</f>
        <v>37.369999999999997</v>
      </c>
      <c r="I294" s="513">
        <f>TRUNC(IF($C294="",IFERROR(VLOOKUP($B294,SERVIÇOS!$B:$G,4,0),IFERROR(VLOOKUP($B294,$D:$K,6,0),)),IFERROR(VLOOKUP($C294,INSUMOS!$A:$D,4,0),IFERROR(VLOOKUP($C294,COTAÇÕES!$B:$I,7,0),(VLOOKUP($C294,'INSUMO SINAPI - SP'!$C:$F,4,0)))))*$G294,2)</f>
        <v>9.31</v>
      </c>
      <c r="J294" s="513">
        <f>TRUNC(IF($C294="",IFERROR(VLOOKUP($B294,SERVIÇOS!$B:$G,5,0),IFERROR(VLOOKUP($B294,$D:$K,7,0),)),0)*$G294,2)</f>
        <v>28.06</v>
      </c>
      <c r="K294" s="514">
        <f>I294+J294</f>
        <v>37.369999999999997</v>
      </c>
      <c r="L294" s="515"/>
      <c r="M294" s="471"/>
      <c r="N294" s="516"/>
      <c r="Q294" s="472"/>
      <c r="R294" s="472"/>
      <c r="S294" s="472"/>
      <c r="T294" s="472"/>
      <c r="U294" s="472"/>
      <c r="V294" s="472"/>
      <c r="W294" s="472"/>
      <c r="X294" s="472"/>
      <c r="Y294" s="472"/>
    </row>
    <row r="295" spans="1:25" x14ac:dyDescent="0.25">
      <c r="A295" s="463"/>
      <c r="B295" s="506"/>
      <c r="C295" s="507" t="s">
        <v>12787</v>
      </c>
      <c r="D295" s="508"/>
      <c r="E295" s="518" t="s">
        <v>12788</v>
      </c>
      <c r="F295" s="519" t="s">
        <v>580</v>
      </c>
      <c r="G295" s="511">
        <v>1</v>
      </c>
      <c r="H295" s="520">
        <v>774.19</v>
      </c>
      <c r="I295" s="520">
        <f>TRUNC(H295*G295,2)</f>
        <v>774.19</v>
      </c>
      <c r="J295" s="521"/>
      <c r="K295" s="522">
        <f>I295+J295</f>
        <v>774.19</v>
      </c>
      <c r="L295" s="517" t="s">
        <v>12789</v>
      </c>
      <c r="M295" s="471"/>
      <c r="N295" s="516"/>
      <c r="Q295" s="472"/>
      <c r="R295" s="472"/>
      <c r="S295" s="472"/>
      <c r="T295" s="472"/>
      <c r="U295" s="472"/>
      <c r="V295" s="472"/>
      <c r="W295" s="472"/>
      <c r="X295" s="472"/>
      <c r="Y295" s="472"/>
    </row>
    <row r="296" spans="1:25" ht="24" x14ac:dyDescent="0.25">
      <c r="A296" s="463"/>
      <c r="B296" s="498"/>
      <c r="C296" s="498"/>
      <c r="D296" s="499" t="s">
        <v>12173</v>
      </c>
      <c r="E296" s="500" t="s">
        <v>12790</v>
      </c>
      <c r="F296" s="501" t="s">
        <v>580</v>
      </c>
      <c r="G296" s="502"/>
      <c r="H296" s="503"/>
      <c r="I296" s="504">
        <f>ROUND(SUM(I297:I298),2)</f>
        <v>13.42</v>
      </c>
      <c r="J296" s="504">
        <f>ROUND(SUM(J297:J298),2)</f>
        <v>1.95</v>
      </c>
      <c r="K296" s="504">
        <f>+J296+I296</f>
        <v>15.37</v>
      </c>
      <c r="L296" s="523" t="s">
        <v>12791</v>
      </c>
      <c r="M296" s="471"/>
      <c r="N296" s="505"/>
      <c r="Q296" s="472"/>
      <c r="R296" s="472"/>
      <c r="S296" s="472"/>
      <c r="T296" s="472"/>
      <c r="U296" s="472"/>
      <c r="V296" s="472"/>
      <c r="W296" s="472"/>
      <c r="X296" s="472"/>
      <c r="Y296" s="472"/>
    </row>
    <row r="297" spans="1:25" x14ac:dyDescent="0.25">
      <c r="A297" s="463"/>
      <c r="B297" s="506">
        <v>88316</v>
      </c>
      <c r="C297" s="507"/>
      <c r="D297" s="508"/>
      <c r="E297" s="509" t="str">
        <f>IF($C297="",IFERROR(VLOOKUP($B297,SERVIÇOS!$B:$G,2,0),IFERROR(VLOOKUP($B297,$D:$K,2,0),"")),IFERROR(VLOOKUP($C297,INSUMOS!$A:$D,2,0),IFERROR(VLOOKUP($C297,COTAÇÕES!$B:$I,2,0),(VLOOKUP($C297,'INSUMO SINAPI - SP'!$C:$F,2,0)))))</f>
        <v>SERVENTE COM ENCARGOS COMPLEMENTARES</v>
      </c>
      <c r="F297" s="510" t="str">
        <f>IF($C297="",IFERROR(VLOOKUP($B297,SERVIÇOS!$B:$G,3,0),IFERROR(VLOOKUP($B297,$D:$K,3,0),"")),IFERROR(VLOOKUP($C297,INSUMOS!$A:$D,3,0),IFERROR(VLOOKUP($C297,COTAÇÕES!$B:$I,3,0),(VLOOKUP($C297,'INSUMO SINAPI - SP'!$C:$F,3,0)))))</f>
        <v>H</v>
      </c>
      <c r="G297" s="511">
        <v>0.1</v>
      </c>
      <c r="H297" s="512">
        <f>IF($C297="",IFERROR(VLOOKUP($B297,SERVIÇOS!$B:$G,6,0),IFERROR(VLOOKUP($B297,$D:$K,8,0),"")),IFERROR(VLOOKUP($C297,INSUMOS!$A:$D,4,0),IFERROR(VLOOKUP($C297,COTAÇÕES!$B:$I,7,0),(VLOOKUP($C297,'INSUMO SINAPI - SP'!$C:$F,4,0)))))</f>
        <v>28.71</v>
      </c>
      <c r="I297" s="513">
        <f>TRUNC(IF($C297="",IFERROR(VLOOKUP($B297,SERVIÇOS!$B:$G,4,0),IFERROR(VLOOKUP($B297,$D:$K,6,0),)),IFERROR(VLOOKUP($C297,INSUMOS!$A:$D,4,0),IFERROR(VLOOKUP($C297,COTAÇÕES!$B:$I,7,0),(VLOOKUP($C297,'INSUMO SINAPI - SP'!$C:$F,4,0)))))*$G297,2)</f>
        <v>0.92</v>
      </c>
      <c r="J297" s="513">
        <f>TRUNC(IF($C297="",IFERROR(VLOOKUP($B297,SERVIÇOS!$B:$G,5,0),IFERROR(VLOOKUP($B297,$D:$K,7,0),)),0)*$G297,2)</f>
        <v>1.95</v>
      </c>
      <c r="K297" s="514">
        <f>I297+J297</f>
        <v>2.87</v>
      </c>
      <c r="L297" s="515"/>
      <c r="M297" s="471"/>
      <c r="N297" s="516"/>
      <c r="Q297" s="472"/>
      <c r="R297" s="472"/>
      <c r="S297" s="472"/>
      <c r="T297" s="472"/>
      <c r="U297" s="472"/>
      <c r="V297" s="472"/>
      <c r="W297" s="472"/>
      <c r="X297" s="472"/>
      <c r="Y297" s="472"/>
    </row>
    <row r="298" spans="1:25" ht="36" x14ac:dyDescent="0.25">
      <c r="A298" s="463"/>
      <c r="B298" s="506"/>
      <c r="C298" s="507">
        <v>37539</v>
      </c>
      <c r="D298" s="508"/>
      <c r="E298" s="509" t="str">
        <f>IF($C298="",IFERROR(VLOOKUP($B298,SERVIÇOS!$B:$G,2,0),IFERROR(VLOOKUP($B298,$D:$K,2,0),"")),IFERROR(VLOOKUP($C298,INSUMOS!$A:$D,2,0),IFERROR(VLOOKUP($C298,COTAÇÕES!$B:$I,2,0),(VLOOKUP($C298,'INSUMO SINAPI - SP'!$C:$F,2,0)))))</f>
        <v>PLACA DE SINALIZACAO DE SEGURANCA CONTRA INCENDIO, FOTOLUMINESCENTE, RETANGULAR, *13 X 26* CM, EM PVC *2* MM ANTI-CHAMAS (SIMBOLOS, CORES E PICTOGRAMAS CONFORME NBR 16820)</v>
      </c>
      <c r="F298" s="510" t="str">
        <f>IF($C298="",IFERROR(VLOOKUP($B298,SERVIÇOS!$B:$G,3,0),IFERROR(VLOOKUP($B298,$D:$K,3,0),"")),IFERROR(VLOOKUP($C298,INSUMOS!$A:$D,3,0),IFERROR(VLOOKUP($C298,COTAÇÕES!$B:$I,3,0),(VLOOKUP($C298,'INSUMO SINAPI - SP'!$C:$F,3,0)))))</f>
        <v>UN</v>
      </c>
      <c r="G298" s="511">
        <v>1</v>
      </c>
      <c r="H298" s="512">
        <f>IF($C298="",IFERROR(VLOOKUP($B298,SERVIÇOS!$B:$G,6,0),IFERROR(VLOOKUP($B298,$D:$K,8,0),"")),IFERROR(VLOOKUP($C298,INSUMOS!$A:$D,4,0),IFERROR(VLOOKUP($C298,COTAÇÕES!$B:$I,7,0),(VLOOKUP($C298,'INSUMO SINAPI - SP'!$C:$F,4,0)))))</f>
        <v>12.5</v>
      </c>
      <c r="I298" s="513">
        <f>TRUNC(IF($C298="",IFERROR(VLOOKUP($B298,SERVIÇOS!$B:$G,4,0),IFERROR(VLOOKUP($B298,$D:$K,6,0),)),IFERROR(VLOOKUP($C298,INSUMOS!$A:$D,4,0),IFERROR(VLOOKUP($C298,COTAÇÕES!$B:$I,7,0),(VLOOKUP($C298,'INSUMO SINAPI - SP'!$C:$F,4,0)))))*$G298,2)</f>
        <v>12.5</v>
      </c>
      <c r="J298" s="513">
        <f>TRUNC(IF($C298="",IFERROR(VLOOKUP($B298,SERVIÇOS!$B:$G,5,0),IFERROR(VLOOKUP($B298,$D:$K,7,0),)),0)*$G298,2)</f>
        <v>0</v>
      </c>
      <c r="K298" s="514">
        <f>I298+J298</f>
        <v>12.5</v>
      </c>
      <c r="L298" s="517"/>
      <c r="M298" s="471"/>
      <c r="N298" s="516"/>
      <c r="Q298" s="472"/>
      <c r="R298" s="472"/>
      <c r="S298" s="472"/>
      <c r="T298" s="472"/>
      <c r="U298" s="472"/>
      <c r="V298" s="472"/>
      <c r="W298" s="472"/>
      <c r="X298" s="472"/>
      <c r="Y298" s="472"/>
    </row>
    <row r="299" spans="1:25" ht="24" x14ac:dyDescent="0.25">
      <c r="A299" s="463"/>
      <c r="B299" s="498"/>
      <c r="C299" s="498"/>
      <c r="D299" s="499" t="s">
        <v>12174</v>
      </c>
      <c r="E299" s="500" t="s">
        <v>12792</v>
      </c>
      <c r="F299" s="501" t="s">
        <v>580</v>
      </c>
      <c r="G299" s="502"/>
      <c r="H299" s="503"/>
      <c r="I299" s="504">
        <f>ROUND(SUM(I300:I301),2)</f>
        <v>8.39</v>
      </c>
      <c r="J299" s="504">
        <f>ROUND(SUM(J300:J301),2)</f>
        <v>1.95</v>
      </c>
      <c r="K299" s="504">
        <f>+J299+I299</f>
        <v>10.34</v>
      </c>
      <c r="L299" s="523" t="s">
        <v>12791</v>
      </c>
      <c r="M299" s="471"/>
      <c r="N299" s="505"/>
      <c r="Q299" s="472"/>
      <c r="R299" s="472"/>
      <c r="S299" s="472"/>
      <c r="T299" s="472"/>
      <c r="U299" s="472"/>
      <c r="V299" s="472"/>
      <c r="W299" s="472"/>
      <c r="X299" s="472"/>
      <c r="Y299" s="472"/>
    </row>
    <row r="300" spans="1:25" x14ac:dyDescent="0.25">
      <c r="A300" s="463"/>
      <c r="B300" s="506">
        <v>88316</v>
      </c>
      <c r="C300" s="507"/>
      <c r="D300" s="508"/>
      <c r="E300" s="509" t="str">
        <f>IF($C300="",IFERROR(VLOOKUP($B300,SERVIÇOS!$B:$G,2,0),IFERROR(VLOOKUP($B300,$D:$K,2,0),"")),IFERROR(VLOOKUP($C300,INSUMOS!$A:$D,2,0),IFERROR(VLOOKUP($C300,COTAÇÕES!$B:$I,2,0),(VLOOKUP($C300,'INSUMO SINAPI - SP'!$C:$F,2,0)))))</f>
        <v>SERVENTE COM ENCARGOS COMPLEMENTARES</v>
      </c>
      <c r="F300" s="510" t="str">
        <f>IF($C300="",IFERROR(VLOOKUP($B300,SERVIÇOS!$B:$G,3,0),IFERROR(VLOOKUP($B300,$D:$K,3,0),"")),IFERROR(VLOOKUP($C300,INSUMOS!$A:$D,3,0),IFERROR(VLOOKUP($C300,COTAÇÕES!$B:$I,3,0),(VLOOKUP($C300,'INSUMO SINAPI - SP'!$C:$F,3,0)))))</f>
        <v>H</v>
      </c>
      <c r="G300" s="511">
        <v>0.1</v>
      </c>
      <c r="H300" s="512">
        <f>IF($C300="",IFERROR(VLOOKUP($B300,SERVIÇOS!$B:$G,6,0),IFERROR(VLOOKUP($B300,$D:$K,8,0),"")),IFERROR(VLOOKUP($C300,INSUMOS!$A:$D,4,0),IFERROR(VLOOKUP($C300,COTAÇÕES!$B:$I,7,0),(VLOOKUP($C300,'INSUMO SINAPI - SP'!$C:$F,4,0)))))</f>
        <v>28.71</v>
      </c>
      <c r="I300" s="513">
        <f>TRUNC(IF($C300="",IFERROR(VLOOKUP($B300,SERVIÇOS!$B:$G,4,0),IFERROR(VLOOKUP($B300,$D:$K,6,0),)),IFERROR(VLOOKUP($C300,INSUMOS!$A:$D,4,0),IFERROR(VLOOKUP($C300,COTAÇÕES!$B:$I,7,0),(VLOOKUP($C300,'INSUMO SINAPI - SP'!$C:$F,4,0)))))*$G300,2)</f>
        <v>0.92</v>
      </c>
      <c r="J300" s="513">
        <f>TRUNC(IF($C300="",IFERROR(VLOOKUP($B300,SERVIÇOS!$B:$G,5,0),IFERROR(VLOOKUP($B300,$D:$K,7,0),)),0)*$G300,2)</f>
        <v>1.95</v>
      </c>
      <c r="K300" s="514">
        <f>I300+J300</f>
        <v>2.87</v>
      </c>
      <c r="L300" s="515"/>
      <c r="M300" s="471"/>
      <c r="N300" s="516"/>
      <c r="Q300" s="472"/>
      <c r="R300" s="472"/>
      <c r="S300" s="472"/>
      <c r="T300" s="472"/>
      <c r="U300" s="472"/>
      <c r="V300" s="472"/>
      <c r="W300" s="472"/>
      <c r="X300" s="472"/>
      <c r="Y300" s="472"/>
    </row>
    <row r="301" spans="1:25" ht="36" x14ac:dyDescent="0.25">
      <c r="A301" s="463"/>
      <c r="B301" s="506"/>
      <c r="C301" s="507">
        <v>37557</v>
      </c>
      <c r="D301" s="508"/>
      <c r="E301" s="509" t="str">
        <f>IF($C301="",IFERROR(VLOOKUP($B301,SERVIÇOS!$B:$G,2,0),IFERROR(VLOOKUP($B301,$D:$K,2,0),"")),IFERROR(VLOOKUP($C301,INSUMOS!$A:$D,2,0),IFERROR(VLOOKUP($C301,COTAÇÕES!$B:$I,2,0),(VLOOKUP($C301,'INSUMO SINAPI - SP'!$C:$F,2,0)))))</f>
        <v>PLACA DE SINALIZACAO DE SEGURANCA CONTRA INCENDIO, FOTOLUMINESCENTE, QUADRADA, *14 X 14* CM, EM PVC *2* MM ANTI-CHAMAS (SIMBOLOS, CORES E PICTOGRAMAS CONFORME NBR 16820)</v>
      </c>
      <c r="F301" s="510" t="str">
        <f>IF($C301="",IFERROR(VLOOKUP($B301,SERVIÇOS!$B:$G,3,0),IFERROR(VLOOKUP($B301,$D:$K,3,0),"")),IFERROR(VLOOKUP($C301,INSUMOS!$A:$D,3,0),IFERROR(VLOOKUP($C301,COTAÇÕES!$B:$I,3,0),(VLOOKUP($C301,'INSUMO SINAPI - SP'!$C:$F,3,0)))))</f>
        <v>UN</v>
      </c>
      <c r="G301" s="511">
        <v>1</v>
      </c>
      <c r="H301" s="512">
        <f>IF($C301="",IFERROR(VLOOKUP($B301,SERVIÇOS!$B:$G,6,0),IFERROR(VLOOKUP($B301,$D:$K,8,0),"")),IFERROR(VLOOKUP($C301,INSUMOS!$A:$D,4,0),IFERROR(VLOOKUP($C301,COTAÇÕES!$B:$I,7,0),(VLOOKUP($C301,'INSUMO SINAPI - SP'!$C:$F,4,0)))))</f>
        <v>7.47</v>
      </c>
      <c r="I301" s="513">
        <f>TRUNC(IF($C301="",IFERROR(VLOOKUP($B301,SERVIÇOS!$B:$G,4,0),IFERROR(VLOOKUP($B301,$D:$K,6,0),)),IFERROR(VLOOKUP($C301,INSUMOS!$A:$D,4,0),IFERROR(VLOOKUP($C301,COTAÇÕES!$B:$I,7,0),(VLOOKUP($C301,'INSUMO SINAPI - SP'!$C:$F,4,0)))))*$G301,2)</f>
        <v>7.47</v>
      </c>
      <c r="J301" s="513">
        <f>TRUNC(IF($C301="",IFERROR(VLOOKUP($B301,SERVIÇOS!$B:$G,5,0),IFERROR(VLOOKUP($B301,$D:$K,7,0),)),0)*$G301,2)</f>
        <v>0</v>
      </c>
      <c r="K301" s="514">
        <f>I301+J301</f>
        <v>7.47</v>
      </c>
      <c r="L301" s="517"/>
      <c r="M301" s="471"/>
      <c r="N301" s="516"/>
      <c r="Q301" s="472"/>
      <c r="R301" s="472"/>
      <c r="S301" s="472"/>
      <c r="T301" s="472"/>
      <c r="U301" s="472"/>
      <c r="V301" s="472"/>
      <c r="W301" s="472"/>
      <c r="X301" s="472"/>
      <c r="Y301" s="472"/>
    </row>
    <row r="302" spans="1:25" ht="24" x14ac:dyDescent="0.25">
      <c r="A302" s="463"/>
      <c r="B302" s="498"/>
      <c r="C302" s="498"/>
      <c r="D302" s="499" t="s">
        <v>12156</v>
      </c>
      <c r="E302" s="500" t="s">
        <v>12793</v>
      </c>
      <c r="F302" s="501" t="s">
        <v>585</v>
      </c>
      <c r="G302" s="502"/>
      <c r="H302" s="503"/>
      <c r="I302" s="504">
        <f>ROUND(SUM(I303:I305),2)</f>
        <v>6.55</v>
      </c>
      <c r="J302" s="504">
        <f>ROUND(SUM(J303:J305),2)</f>
        <v>8.9600000000000009</v>
      </c>
      <c r="K302" s="504">
        <f>+J302+I302</f>
        <v>15.510000000000002</v>
      </c>
      <c r="L302" s="523" t="s">
        <v>12794</v>
      </c>
      <c r="M302" s="471"/>
      <c r="N302" s="505"/>
      <c r="Q302" s="472"/>
      <c r="R302" s="472"/>
      <c r="S302" s="472"/>
      <c r="T302" s="472"/>
      <c r="U302" s="472"/>
      <c r="V302" s="472"/>
      <c r="W302" s="472"/>
      <c r="X302" s="472"/>
      <c r="Y302" s="472"/>
    </row>
    <row r="303" spans="1:25" x14ac:dyDescent="0.25">
      <c r="A303" s="463"/>
      <c r="B303" s="506">
        <v>88248</v>
      </c>
      <c r="C303" s="507"/>
      <c r="D303" s="508"/>
      <c r="E303" s="509" t="str">
        <f>IF($C303="",IFERROR(VLOOKUP($B303,SERVIÇOS!$B:$G,2,0),IFERROR(VLOOKUP($B303,$D:$K,2,0),"")),IFERROR(VLOOKUP($C303,INSUMOS!$A:$D,2,0),IFERROR(VLOOKUP($C303,COTAÇÕES!$B:$I,2,0),(VLOOKUP($C303,'INSUMO SINAPI - SP'!$C:$F,2,0)))))</f>
        <v>AUXILIAR DE ENCANADOR OU BOMBEIRO HIDRÁULICO COM ENCARGOS COMPLEMENTARES</v>
      </c>
      <c r="F303" s="510" t="str">
        <f>IF($C303="",IFERROR(VLOOKUP($B303,SERVIÇOS!$B:$G,3,0),IFERROR(VLOOKUP($B303,$D:$K,3,0),"")),IFERROR(VLOOKUP($C303,INSUMOS!$A:$D,3,0),IFERROR(VLOOKUP($C303,COTAÇÕES!$B:$I,3,0),(VLOOKUP($C303,'INSUMO SINAPI - SP'!$C:$F,3,0)))))</f>
        <v>H</v>
      </c>
      <c r="G303" s="511">
        <v>3.7999999999999999E-2</v>
      </c>
      <c r="H303" s="512">
        <f>IF($C303="",IFERROR(VLOOKUP($B303,SERVIÇOS!$B:$G,6,0),IFERROR(VLOOKUP($B303,$D:$K,8,0),"")),IFERROR(VLOOKUP($C303,INSUMOS!$A:$D,4,0),IFERROR(VLOOKUP($C303,COTAÇÕES!$B:$I,7,0),(VLOOKUP($C303,'INSUMO SINAPI - SP'!$C:$F,4,0)))))</f>
        <v>29.72</v>
      </c>
      <c r="I303" s="513">
        <f>TRUNC(IF($C303="",IFERROR(VLOOKUP($B303,SERVIÇOS!$B:$G,4,0),IFERROR(VLOOKUP($B303,$D:$K,6,0),)),IFERROR(VLOOKUP($C303,INSUMOS!$A:$D,4,0),IFERROR(VLOOKUP($C303,COTAÇÕES!$B:$I,7,0),(VLOOKUP($C303,'INSUMO SINAPI - SP'!$C:$F,4,0)))))*$G303,2)</f>
        <v>0.32</v>
      </c>
      <c r="J303" s="513">
        <f>TRUNC(IF($C303="",IFERROR(VLOOKUP($B303,SERVIÇOS!$B:$G,5,0),IFERROR(VLOOKUP($B303,$D:$K,7,0),)),0)*$G303,2)</f>
        <v>0.8</v>
      </c>
      <c r="K303" s="514">
        <f>I303+J303</f>
        <v>1.1200000000000001</v>
      </c>
      <c r="L303" s="515"/>
      <c r="M303" s="471"/>
      <c r="N303" s="516"/>
      <c r="Q303" s="472"/>
      <c r="R303" s="472"/>
      <c r="S303" s="472"/>
      <c r="T303" s="472"/>
      <c r="U303" s="472"/>
      <c r="V303" s="472"/>
      <c r="W303" s="472"/>
      <c r="X303" s="472"/>
      <c r="Y303" s="472"/>
    </row>
    <row r="304" spans="1:25" x14ac:dyDescent="0.25">
      <c r="A304" s="463"/>
      <c r="B304" s="506">
        <v>88267</v>
      </c>
      <c r="C304" s="507"/>
      <c r="D304" s="508"/>
      <c r="E304" s="509" t="str">
        <f>IF($C304="",IFERROR(VLOOKUP($B304,SERVIÇOS!$B:$G,2,0),IFERROR(VLOOKUP($B304,$D:$K,2,0),"")),IFERROR(VLOOKUP($C304,INSUMOS!$A:$D,2,0),IFERROR(VLOOKUP($C304,COTAÇÕES!$B:$I,2,0),(VLOOKUP($C304,'INSUMO SINAPI - SP'!$C:$F,2,0)))))</f>
        <v>ENCANADOR OU BOMBEIRO HIDRÁULICO COM ENCARGOS COMPLEMENTARES</v>
      </c>
      <c r="F304" s="510" t="str">
        <f>IF($C304="",IFERROR(VLOOKUP($B304,SERVIÇOS!$B:$G,3,0),IFERROR(VLOOKUP($B304,$D:$K,3,0),"")),IFERROR(VLOOKUP($C304,INSUMOS!$A:$D,3,0),IFERROR(VLOOKUP($C304,COTAÇÕES!$B:$I,3,0),(VLOOKUP($C304,'INSUMO SINAPI - SP'!$C:$F,3,0)))))</f>
        <v>H</v>
      </c>
      <c r="G304" s="511">
        <v>0.27200000000000002</v>
      </c>
      <c r="H304" s="512">
        <f>IF($C304="",IFERROR(VLOOKUP($B304,SERVIÇOS!$B:$G,6,0),IFERROR(VLOOKUP($B304,$D:$K,8,0),"")),IFERROR(VLOOKUP($C304,INSUMOS!$A:$D,4,0),IFERROR(VLOOKUP($C304,COTAÇÕES!$B:$I,7,0),(VLOOKUP($C304,'INSUMO SINAPI - SP'!$C:$F,4,0)))))</f>
        <v>36.17</v>
      </c>
      <c r="I304" s="513">
        <f>TRUNC(IF($C304="",IFERROR(VLOOKUP($B304,SERVIÇOS!$B:$G,4,0),IFERROR(VLOOKUP($B304,$D:$K,6,0),)),IFERROR(VLOOKUP($C304,INSUMOS!$A:$D,4,0),IFERROR(VLOOKUP($C304,COTAÇÕES!$B:$I,7,0),(VLOOKUP($C304,'INSUMO SINAPI - SP'!$C:$F,4,0)))))*$G304,2)</f>
        <v>2.35</v>
      </c>
      <c r="J304" s="513">
        <f>TRUNC(IF($C304="",IFERROR(VLOOKUP($B304,SERVIÇOS!$B:$G,5,0),IFERROR(VLOOKUP($B304,$D:$K,7,0),)),0)*$G304,2)</f>
        <v>7.48</v>
      </c>
      <c r="K304" s="514">
        <f>I304+J304</f>
        <v>9.83</v>
      </c>
      <c r="L304" s="515"/>
      <c r="M304" s="471"/>
      <c r="N304" s="516"/>
      <c r="Q304" s="472"/>
      <c r="R304" s="472"/>
      <c r="S304" s="472"/>
      <c r="T304" s="472"/>
      <c r="U304" s="472"/>
      <c r="V304" s="472"/>
      <c r="W304" s="472"/>
      <c r="X304" s="472"/>
      <c r="Y304" s="472"/>
    </row>
    <row r="305" spans="1:25" ht="24" x14ac:dyDescent="0.25">
      <c r="A305" s="463"/>
      <c r="B305" s="506">
        <v>88628</v>
      </c>
      <c r="C305" s="507"/>
      <c r="D305" s="508"/>
      <c r="E305" s="509" t="str">
        <f>IF($C305="",IFERROR(VLOOKUP($B305,SERVIÇOS!$B:$G,2,0),IFERROR(VLOOKUP($B305,$D:$K,2,0),"")),IFERROR(VLOOKUP($C305,INSUMOS!$A:$D,2,0),IFERROR(VLOOKUP($C305,COTAÇÕES!$B:$I,2,0),(VLOOKUP($C305,'INSUMO SINAPI - SP'!$C:$F,2,0)))))</f>
        <v>ARGAMASSA TRAÇO 1:3 (EM VOLUME DE CIMENTO E AREIA MÉDIA ÚMIDA), PREPARO MECÂNICO COM BETONEIRA 400 L. AF_08/2019</v>
      </c>
      <c r="F305" s="510" t="str">
        <f>IF($C305="",IFERROR(VLOOKUP($B305,SERVIÇOS!$B:$G,3,0),IFERROR(VLOOKUP($B305,$D:$K,3,0),"")),IFERROR(VLOOKUP($C305,INSUMOS!$A:$D,3,0),IFERROR(VLOOKUP($C305,COTAÇÕES!$B:$I,3,0),(VLOOKUP($C305,'INSUMO SINAPI - SP'!$C:$F,3,0)))))</f>
        <v>M3</v>
      </c>
      <c r="G305" s="511">
        <v>8.0000000000000002E-3</v>
      </c>
      <c r="H305" s="512">
        <f>IF($C305="",IFERROR(VLOOKUP($B305,SERVIÇOS!$B:$G,6,0),IFERROR(VLOOKUP($B305,$D:$K,8,0),"")),IFERROR(VLOOKUP($C305,INSUMOS!$A:$D,4,0),IFERROR(VLOOKUP($C305,COTAÇÕES!$B:$I,7,0),(VLOOKUP($C305,'INSUMO SINAPI - SP'!$C:$F,4,0)))))</f>
        <v>571.6</v>
      </c>
      <c r="I305" s="513">
        <f>TRUNC(IF($C305="",IFERROR(VLOOKUP($B305,SERVIÇOS!$B:$G,4,0),IFERROR(VLOOKUP($B305,$D:$K,6,0),)),IFERROR(VLOOKUP($C305,INSUMOS!$A:$D,4,0),IFERROR(VLOOKUP($C305,COTAÇÕES!$B:$I,7,0),(VLOOKUP($C305,'INSUMO SINAPI - SP'!$C:$F,4,0)))))*$G305,2)</f>
        <v>3.88</v>
      </c>
      <c r="J305" s="513">
        <f>TRUNC(IF($C305="",IFERROR(VLOOKUP($B305,SERVIÇOS!$B:$G,5,0),IFERROR(VLOOKUP($B305,$D:$K,7,0),)),0)*$G305,2)</f>
        <v>0.68</v>
      </c>
      <c r="K305" s="514">
        <f>I305+J305</f>
        <v>4.5599999999999996</v>
      </c>
      <c r="L305" s="515"/>
      <c r="M305" s="471"/>
      <c r="N305" s="516"/>
      <c r="Q305" s="472"/>
      <c r="R305" s="472"/>
      <c r="S305" s="472"/>
      <c r="T305" s="472"/>
      <c r="U305" s="472"/>
      <c r="V305" s="472"/>
      <c r="W305" s="472"/>
      <c r="X305" s="472"/>
      <c r="Y305" s="472"/>
    </row>
    <row r="306" spans="1:25" ht="24" x14ac:dyDescent="0.25">
      <c r="A306" s="463"/>
      <c r="B306" s="498"/>
      <c r="C306" s="498"/>
      <c r="D306" s="499" t="s">
        <v>12155</v>
      </c>
      <c r="E306" s="500" t="s">
        <v>12795</v>
      </c>
      <c r="F306" s="501" t="s">
        <v>585</v>
      </c>
      <c r="G306" s="502"/>
      <c r="H306" s="503"/>
      <c r="I306" s="504">
        <f>ROUND(SUM(I307:I309),2)</f>
        <v>4.8099999999999996</v>
      </c>
      <c r="J306" s="504">
        <f>ROUND(SUM(J307:J309),2)</f>
        <v>7.01</v>
      </c>
      <c r="K306" s="504">
        <f>+J306+I306</f>
        <v>11.82</v>
      </c>
      <c r="L306" s="523" t="s">
        <v>12796</v>
      </c>
      <c r="M306" s="471"/>
      <c r="N306" s="505"/>
      <c r="Q306" s="472"/>
      <c r="R306" s="472"/>
      <c r="S306" s="472"/>
      <c r="T306" s="472"/>
      <c r="U306" s="472"/>
      <c r="V306" s="472"/>
      <c r="W306" s="472"/>
      <c r="X306" s="472"/>
      <c r="Y306" s="472"/>
    </row>
    <row r="307" spans="1:25" x14ac:dyDescent="0.25">
      <c r="A307" s="463"/>
      <c r="B307" s="506">
        <v>88267</v>
      </c>
      <c r="C307" s="507"/>
      <c r="D307" s="508"/>
      <c r="E307" s="509" t="str">
        <f>IF($C307="",IFERROR(VLOOKUP($B307,SERVIÇOS!$B:$G,2,0),IFERROR(VLOOKUP($B307,$D:$K,2,0),"")),IFERROR(VLOOKUP($C307,INSUMOS!$A:$D,2,0),IFERROR(VLOOKUP($C307,COTAÇÕES!$B:$I,2,0),(VLOOKUP($C307,'INSUMO SINAPI - SP'!$C:$F,2,0)))))</f>
        <v>ENCANADOR OU BOMBEIRO HIDRÁULICO COM ENCARGOS COMPLEMENTARES</v>
      </c>
      <c r="F307" s="510" t="str">
        <f>IF($C307="",IFERROR(VLOOKUP($B307,SERVIÇOS!$B:$G,3,0),IFERROR(VLOOKUP($B307,$D:$K,3,0),"")),IFERROR(VLOOKUP($C307,INSUMOS!$A:$D,3,0),IFERROR(VLOOKUP($C307,COTAÇÕES!$B:$I,3,0),(VLOOKUP($C307,'INSUMO SINAPI - SP'!$C:$F,3,0)))))</f>
        <v>H</v>
      </c>
      <c r="G307" s="511">
        <v>0.215</v>
      </c>
      <c r="H307" s="512">
        <f>IF($C307="",IFERROR(VLOOKUP($B307,SERVIÇOS!$B:$G,6,0),IFERROR(VLOOKUP($B307,$D:$K,8,0),"")),IFERROR(VLOOKUP($C307,INSUMOS!$A:$D,4,0),IFERROR(VLOOKUP($C307,COTAÇÕES!$B:$I,7,0),(VLOOKUP($C307,'INSUMO SINAPI - SP'!$C:$F,4,0)))))</f>
        <v>36.17</v>
      </c>
      <c r="I307" s="513">
        <f>TRUNC(IF($C307="",IFERROR(VLOOKUP($B307,SERVIÇOS!$B:$G,4,0),IFERROR(VLOOKUP($B307,$D:$K,6,0),)),IFERROR(VLOOKUP($C307,INSUMOS!$A:$D,4,0),IFERROR(VLOOKUP($C307,COTAÇÕES!$B:$I,7,0),(VLOOKUP($C307,'INSUMO SINAPI - SP'!$C:$F,4,0)))))*$G307,2)</f>
        <v>1.85</v>
      </c>
      <c r="J307" s="513">
        <f>TRUNC(IF($C307="",IFERROR(VLOOKUP($B307,SERVIÇOS!$B:$G,5,0),IFERROR(VLOOKUP($B307,$D:$K,7,0),)),0)*$G307,2)</f>
        <v>5.91</v>
      </c>
      <c r="K307" s="514">
        <f>I307+J307</f>
        <v>7.76</v>
      </c>
      <c r="L307" s="515"/>
      <c r="M307" s="471"/>
      <c r="N307" s="516"/>
      <c r="Q307" s="472"/>
      <c r="R307" s="472"/>
      <c r="S307" s="472"/>
      <c r="T307" s="472"/>
      <c r="U307" s="472"/>
      <c r="V307" s="472"/>
      <c r="W307" s="472"/>
      <c r="X307" s="472"/>
      <c r="Y307" s="472"/>
    </row>
    <row r="308" spans="1:25" x14ac:dyDescent="0.25">
      <c r="A308" s="463"/>
      <c r="B308" s="506">
        <v>88248</v>
      </c>
      <c r="C308" s="507"/>
      <c r="D308" s="508"/>
      <c r="E308" s="509" t="str">
        <f>IF($C308="",IFERROR(VLOOKUP($B308,SERVIÇOS!$B:$G,2,0),IFERROR(VLOOKUP($B308,$D:$K,2,0),"")),IFERROR(VLOOKUP($C308,INSUMOS!$A:$D,2,0),IFERROR(VLOOKUP($C308,COTAÇÕES!$B:$I,2,0),(VLOOKUP($C308,'INSUMO SINAPI - SP'!$C:$F,2,0)))))</f>
        <v>AUXILIAR DE ENCANADOR OU BOMBEIRO HIDRÁULICO COM ENCARGOS COMPLEMENTARES</v>
      </c>
      <c r="F308" s="510" t="str">
        <f>IF($C308="",IFERROR(VLOOKUP($B308,SERVIÇOS!$B:$G,3,0),IFERROR(VLOOKUP($B308,$D:$K,3,0),"")),IFERROR(VLOOKUP($C308,INSUMOS!$A:$D,3,0),IFERROR(VLOOKUP($C308,COTAÇÕES!$B:$I,3,0),(VLOOKUP($C308,'INSUMO SINAPI - SP'!$C:$F,3,0)))))</f>
        <v>H</v>
      </c>
      <c r="G308" s="511">
        <v>0.03</v>
      </c>
      <c r="H308" s="512">
        <f>IF($C308="",IFERROR(VLOOKUP($B308,SERVIÇOS!$B:$G,6,0),IFERROR(VLOOKUP($B308,$D:$K,8,0),"")),IFERROR(VLOOKUP($C308,INSUMOS!$A:$D,4,0),IFERROR(VLOOKUP($C308,COTAÇÕES!$B:$I,7,0),(VLOOKUP($C308,'INSUMO SINAPI - SP'!$C:$F,4,0)))))</f>
        <v>29.72</v>
      </c>
      <c r="I308" s="513">
        <f>TRUNC(IF($C308="",IFERROR(VLOOKUP($B308,SERVIÇOS!$B:$G,4,0),IFERROR(VLOOKUP($B308,$D:$K,6,0),)),IFERROR(VLOOKUP($C308,INSUMOS!$A:$D,4,0),IFERROR(VLOOKUP($C308,COTAÇÕES!$B:$I,7,0),(VLOOKUP($C308,'INSUMO SINAPI - SP'!$C:$F,4,0)))))*$G308,2)</f>
        <v>0.25</v>
      </c>
      <c r="J308" s="513">
        <f>TRUNC(IF($C308="",IFERROR(VLOOKUP($B308,SERVIÇOS!$B:$G,5,0),IFERROR(VLOOKUP($B308,$D:$K,7,0),)),0)*$G308,2)</f>
        <v>0.63</v>
      </c>
      <c r="K308" s="514">
        <f>I308+J308</f>
        <v>0.88</v>
      </c>
      <c r="L308" s="515"/>
      <c r="M308" s="471"/>
      <c r="N308" s="516"/>
      <c r="Q308" s="472"/>
      <c r="R308" s="472"/>
      <c r="S308" s="472"/>
      <c r="T308" s="472"/>
      <c r="U308" s="472"/>
      <c r="V308" s="472"/>
      <c r="W308" s="472"/>
      <c r="X308" s="472"/>
      <c r="Y308" s="472"/>
    </row>
    <row r="309" spans="1:25" ht="24" x14ac:dyDescent="0.25">
      <c r="A309" s="463"/>
      <c r="B309" s="506">
        <v>88628</v>
      </c>
      <c r="C309" s="507"/>
      <c r="D309" s="508"/>
      <c r="E309" s="509" t="str">
        <f>IF($C309="",IFERROR(VLOOKUP($B309,SERVIÇOS!$B:$G,2,0),IFERROR(VLOOKUP($B309,$D:$K,2,0),"")),IFERROR(VLOOKUP($C309,INSUMOS!$A:$D,2,0),IFERROR(VLOOKUP($C309,COTAÇÕES!$B:$I,2,0),(VLOOKUP($C309,'INSUMO SINAPI - SP'!$C:$F,2,0)))))</f>
        <v>ARGAMASSA TRAÇO 1:3 (EM VOLUME DE CIMENTO E AREIA MÉDIA ÚMIDA), PREPARO MECÂNICO COM BETONEIRA 400 L. AF_08/2019</v>
      </c>
      <c r="F309" s="510" t="str">
        <f>IF($C309="",IFERROR(VLOOKUP($B309,SERVIÇOS!$B:$G,3,0),IFERROR(VLOOKUP($B309,$D:$K,3,0),"")),IFERROR(VLOOKUP($C309,INSUMOS!$A:$D,3,0),IFERROR(VLOOKUP($C309,COTAÇÕES!$B:$I,3,0),(VLOOKUP($C309,'INSUMO SINAPI - SP'!$C:$F,3,0)))))</f>
        <v>M3</v>
      </c>
      <c r="G309" s="511">
        <v>5.5843749999999999E-3</v>
      </c>
      <c r="H309" s="512">
        <f>IF($C309="",IFERROR(VLOOKUP($B309,SERVIÇOS!$B:$G,6,0),IFERROR(VLOOKUP($B309,$D:$K,8,0),"")),IFERROR(VLOOKUP($C309,INSUMOS!$A:$D,4,0),IFERROR(VLOOKUP($C309,COTAÇÕES!$B:$I,7,0),(VLOOKUP($C309,'INSUMO SINAPI - SP'!$C:$F,4,0)))))</f>
        <v>571.6</v>
      </c>
      <c r="I309" s="513">
        <f>TRUNC(IF($C309="",IFERROR(VLOOKUP($B309,SERVIÇOS!$B:$G,4,0),IFERROR(VLOOKUP($B309,$D:$K,6,0),)),IFERROR(VLOOKUP($C309,INSUMOS!$A:$D,4,0),IFERROR(VLOOKUP($C309,COTAÇÕES!$B:$I,7,0),(VLOOKUP($C309,'INSUMO SINAPI - SP'!$C:$F,4,0)))))*$G309,2)</f>
        <v>2.71</v>
      </c>
      <c r="J309" s="513">
        <f>TRUNC(IF($C309="",IFERROR(VLOOKUP($B309,SERVIÇOS!$B:$G,5,0),IFERROR(VLOOKUP($B309,$D:$K,7,0),)),0)*$G309,2)</f>
        <v>0.47</v>
      </c>
      <c r="K309" s="514">
        <f>I309+J309</f>
        <v>3.1799999999999997</v>
      </c>
      <c r="L309" s="515"/>
      <c r="M309" s="471"/>
      <c r="N309" s="516"/>
      <c r="Q309" s="472"/>
      <c r="R309" s="472"/>
      <c r="S309" s="472"/>
      <c r="T309" s="472"/>
      <c r="U309" s="472"/>
      <c r="V309" s="472"/>
      <c r="W309" s="472"/>
      <c r="X309" s="472"/>
      <c r="Y309" s="472"/>
    </row>
    <row r="310" spans="1:25" x14ac:dyDescent="0.25">
      <c r="A310" s="463"/>
      <c r="B310" s="498"/>
      <c r="C310" s="498"/>
      <c r="D310" s="499" t="s">
        <v>12081</v>
      </c>
      <c r="E310" s="500" t="s">
        <v>12797</v>
      </c>
      <c r="F310" s="501" t="s">
        <v>580</v>
      </c>
      <c r="G310" s="502"/>
      <c r="H310" s="503"/>
      <c r="I310" s="504">
        <f>ROUND(SUM(I311:I314),2)</f>
        <v>1231.49</v>
      </c>
      <c r="J310" s="504">
        <f>ROUND(SUM(J311:J314),2)</f>
        <v>38.880000000000003</v>
      </c>
      <c r="K310" s="504">
        <f>+J310+I310</f>
        <v>1270.3700000000001</v>
      </c>
      <c r="L310" s="523" t="s">
        <v>12798</v>
      </c>
      <c r="M310" s="471"/>
      <c r="N310" s="505"/>
      <c r="Q310" s="472"/>
      <c r="R310" s="472"/>
      <c r="S310" s="472"/>
      <c r="T310" s="472"/>
      <c r="U310" s="472"/>
      <c r="V310" s="472"/>
      <c r="W310" s="472"/>
      <c r="X310" s="472"/>
      <c r="Y310" s="472"/>
    </row>
    <row r="311" spans="1:25" x14ac:dyDescent="0.25">
      <c r="A311" s="463"/>
      <c r="B311" s="506">
        <v>88248</v>
      </c>
      <c r="C311" s="507"/>
      <c r="D311" s="508"/>
      <c r="E311" s="509" t="str">
        <f>IF($C311="",IFERROR(VLOOKUP($B311,SERVIÇOS!$B:$G,2,0),IFERROR(VLOOKUP($B311,$D:$K,2,0),"")),IFERROR(VLOOKUP($C311,INSUMOS!$A:$D,2,0),IFERROR(VLOOKUP($C311,COTAÇÕES!$B:$I,2,0),(VLOOKUP($C311,'INSUMO SINAPI - SP'!$C:$F,2,0)))))</f>
        <v>AUXILIAR DE ENCANADOR OU BOMBEIRO HIDRÁULICO COM ENCARGOS COMPLEMENTARES</v>
      </c>
      <c r="F311" s="510" t="str">
        <f>IF($C311="",IFERROR(VLOOKUP($B311,SERVIÇOS!$B:$G,3,0),IFERROR(VLOOKUP($B311,$D:$K,3,0),"")),IFERROR(VLOOKUP($C311,INSUMOS!$A:$D,3,0),IFERROR(VLOOKUP($C311,COTAÇÕES!$B:$I,3,0),(VLOOKUP($C311,'INSUMO SINAPI - SP'!$C:$F,3,0)))))</f>
        <v>H</v>
      </c>
      <c r="G311" s="511">
        <v>0.8</v>
      </c>
      <c r="H311" s="512">
        <f>IF($C311="",IFERROR(VLOOKUP($B311,SERVIÇOS!$B:$G,6,0),IFERROR(VLOOKUP($B311,$D:$K,8,0),"")),IFERROR(VLOOKUP($C311,INSUMOS!$A:$D,4,0),IFERROR(VLOOKUP($C311,COTAÇÕES!$B:$I,7,0),(VLOOKUP($C311,'INSUMO SINAPI - SP'!$C:$F,4,0)))))</f>
        <v>29.72</v>
      </c>
      <c r="I311" s="513">
        <f>TRUNC(IF($C311="",IFERROR(VLOOKUP($B311,SERVIÇOS!$B:$G,4,0),IFERROR(VLOOKUP($B311,$D:$K,6,0),)),IFERROR(VLOOKUP($C311,INSUMOS!$A:$D,4,0),IFERROR(VLOOKUP($C311,COTAÇÕES!$B:$I,7,0),(VLOOKUP($C311,'INSUMO SINAPI - SP'!$C:$F,4,0)))))*$G311,2)</f>
        <v>6.91</v>
      </c>
      <c r="J311" s="513">
        <f>TRUNC(IF($C311="",IFERROR(VLOOKUP($B311,SERVIÇOS!$B:$G,5,0),IFERROR(VLOOKUP($B311,$D:$K,7,0),)),0)*$G311,2)</f>
        <v>16.86</v>
      </c>
      <c r="K311" s="514">
        <f>I311+J311</f>
        <v>23.77</v>
      </c>
      <c r="L311" s="515"/>
      <c r="M311" s="471"/>
      <c r="N311" s="516"/>
      <c r="Q311" s="472"/>
      <c r="R311" s="472"/>
      <c r="S311" s="472"/>
      <c r="T311" s="472"/>
      <c r="U311" s="472"/>
      <c r="V311" s="472"/>
      <c r="W311" s="472"/>
      <c r="X311" s="472"/>
      <c r="Y311" s="472"/>
    </row>
    <row r="312" spans="1:25" x14ac:dyDescent="0.25">
      <c r="A312" s="463"/>
      <c r="B312" s="506">
        <v>88267</v>
      </c>
      <c r="C312" s="507"/>
      <c r="D312" s="508"/>
      <c r="E312" s="509" t="str">
        <f>IF($C312="",IFERROR(VLOOKUP($B312,SERVIÇOS!$B:$G,2,0),IFERROR(VLOOKUP($B312,$D:$K,2,0),"")),IFERROR(VLOOKUP($C312,INSUMOS!$A:$D,2,0),IFERROR(VLOOKUP($C312,COTAÇÕES!$B:$I,2,0),(VLOOKUP($C312,'INSUMO SINAPI - SP'!$C:$F,2,0)))))</f>
        <v>ENCANADOR OU BOMBEIRO HIDRÁULICO COM ENCARGOS COMPLEMENTARES</v>
      </c>
      <c r="F312" s="510" t="str">
        <f>IF($C312="",IFERROR(VLOOKUP($B312,SERVIÇOS!$B:$G,3,0),IFERROR(VLOOKUP($B312,$D:$K,3,0),"")),IFERROR(VLOOKUP($C312,INSUMOS!$A:$D,3,0),IFERROR(VLOOKUP($C312,COTAÇÕES!$B:$I,3,0),(VLOOKUP($C312,'INSUMO SINAPI - SP'!$C:$F,3,0)))))</f>
        <v>H</v>
      </c>
      <c r="G312" s="511">
        <v>0.8</v>
      </c>
      <c r="H312" s="512">
        <f>IF($C312="",IFERROR(VLOOKUP($B312,SERVIÇOS!$B:$G,6,0),IFERROR(VLOOKUP($B312,$D:$K,8,0),"")),IFERROR(VLOOKUP($C312,INSUMOS!$A:$D,4,0),IFERROR(VLOOKUP($C312,COTAÇÕES!$B:$I,7,0),(VLOOKUP($C312,'INSUMO SINAPI - SP'!$C:$F,4,0)))))</f>
        <v>36.17</v>
      </c>
      <c r="I312" s="513">
        <f>TRUNC(IF($C312="",IFERROR(VLOOKUP($B312,SERVIÇOS!$B:$G,4,0),IFERROR(VLOOKUP($B312,$D:$K,6,0),)),IFERROR(VLOOKUP($C312,INSUMOS!$A:$D,4,0),IFERROR(VLOOKUP($C312,COTAÇÕES!$B:$I,7,0),(VLOOKUP($C312,'INSUMO SINAPI - SP'!$C:$F,4,0)))))*$G312,2)</f>
        <v>6.91</v>
      </c>
      <c r="J312" s="513">
        <f>TRUNC(IF($C312="",IFERROR(VLOOKUP($B312,SERVIÇOS!$B:$G,5,0),IFERROR(VLOOKUP($B312,$D:$K,7,0),)),0)*$G312,2)</f>
        <v>22.02</v>
      </c>
      <c r="K312" s="514">
        <f>I312+J312</f>
        <v>28.93</v>
      </c>
      <c r="L312" s="515"/>
      <c r="M312" s="471"/>
      <c r="N312" s="516"/>
      <c r="Q312" s="472"/>
      <c r="R312" s="472"/>
      <c r="S312" s="472"/>
      <c r="T312" s="472"/>
      <c r="U312" s="472"/>
      <c r="V312" s="472"/>
      <c r="W312" s="472"/>
      <c r="X312" s="472"/>
      <c r="Y312" s="472"/>
    </row>
    <row r="313" spans="1:25" ht="24" x14ac:dyDescent="0.25">
      <c r="A313" s="463"/>
      <c r="B313" s="506"/>
      <c r="C313" s="507" t="s">
        <v>12799</v>
      </c>
      <c r="D313" s="508"/>
      <c r="E313" s="518" t="s">
        <v>12800</v>
      </c>
      <c r="F313" s="519" t="s">
        <v>580</v>
      </c>
      <c r="G313" s="511">
        <v>1</v>
      </c>
      <c r="H313" s="520">
        <v>1217.02</v>
      </c>
      <c r="I313" s="520">
        <f>TRUNC(H313*G313,2)</f>
        <v>1217.02</v>
      </c>
      <c r="J313" s="521"/>
      <c r="K313" s="522">
        <f>I313+J313</f>
        <v>1217.02</v>
      </c>
      <c r="L313" s="517" t="s">
        <v>12677</v>
      </c>
      <c r="M313" s="471"/>
      <c r="N313" s="516"/>
      <c r="Q313" s="472"/>
      <c r="R313" s="472"/>
      <c r="S313" s="472"/>
      <c r="T313" s="472"/>
      <c r="U313" s="472"/>
      <c r="V313" s="472"/>
      <c r="W313" s="472"/>
      <c r="X313" s="472"/>
      <c r="Y313" s="472"/>
    </row>
    <row r="314" spans="1:25" x14ac:dyDescent="0.25">
      <c r="A314" s="463"/>
      <c r="B314" s="506"/>
      <c r="C314" s="507">
        <v>3148</v>
      </c>
      <c r="D314" s="508"/>
      <c r="E314" s="509" t="str">
        <f>IF($C314="",IFERROR(VLOOKUP($B314,SERVIÇOS!$B:$G,2,0),IFERROR(VLOOKUP($B314,$D:$K,2,0),"")),IFERROR(VLOOKUP($C314,INSUMOS!$A:$D,2,0),IFERROR(VLOOKUP($C314,COTAÇÕES!$B:$I,2,0),(VLOOKUP($C314,'INSUMO SINAPI - SP'!$C:$F,2,0)))))</f>
        <v>FITA VEDA ROSCA, EM PTFE, ROLO DE 18 MM X 50 M (L X C)</v>
      </c>
      <c r="F314" s="510" t="str">
        <f>IF($C314="",IFERROR(VLOOKUP($B314,SERVIÇOS!$B:$G,3,0),IFERROR(VLOOKUP($B314,$D:$K,3,0),"")),IFERROR(VLOOKUP($C314,INSUMOS!$A:$D,3,0),IFERROR(VLOOKUP($C314,COTAÇÕES!$B:$I,3,0),(VLOOKUP($C314,'INSUMO SINAPI - SP'!$C:$F,3,0)))))</f>
        <v>UN</v>
      </c>
      <c r="G314" s="511">
        <v>3.4000000000000002E-2</v>
      </c>
      <c r="H314" s="512">
        <f>IF($C314="",IFERROR(VLOOKUP($B314,SERVIÇOS!$B:$G,6,0),IFERROR(VLOOKUP($B314,$D:$K,8,0),"")),IFERROR(VLOOKUP($C314,INSUMOS!$A:$D,4,0),IFERROR(VLOOKUP($C314,COTAÇÕES!$B:$I,7,0),(VLOOKUP($C314,'INSUMO SINAPI - SP'!$C:$F,4,0)))))</f>
        <v>19.36</v>
      </c>
      <c r="I314" s="513">
        <f>TRUNC(IF($C314="",IFERROR(VLOOKUP($B314,SERVIÇOS!$B:$G,4,0),IFERROR(VLOOKUP($B314,$D:$K,6,0),)),IFERROR(VLOOKUP($C314,INSUMOS!$A:$D,4,0),IFERROR(VLOOKUP($C314,COTAÇÕES!$B:$I,7,0),(VLOOKUP($C314,'INSUMO SINAPI - SP'!$C:$F,4,0)))))*$G314,2)</f>
        <v>0.65</v>
      </c>
      <c r="J314" s="513">
        <f>TRUNC(IF($C314="",IFERROR(VLOOKUP($B314,SERVIÇOS!$B:$G,5,0),IFERROR(VLOOKUP($B314,$D:$K,7,0),)),0)*$G314,2)</f>
        <v>0</v>
      </c>
      <c r="K314" s="514">
        <f>I314+J314</f>
        <v>0.65</v>
      </c>
      <c r="L314" s="517"/>
      <c r="M314" s="471"/>
      <c r="N314" s="516"/>
      <c r="Q314" s="472"/>
      <c r="R314" s="472"/>
      <c r="S314" s="472"/>
      <c r="T314" s="472"/>
      <c r="U314" s="472"/>
      <c r="V314" s="472"/>
      <c r="W314" s="472"/>
      <c r="X314" s="472"/>
      <c r="Y314" s="472"/>
    </row>
    <row r="315" spans="1:25" ht="24" x14ac:dyDescent="0.25">
      <c r="A315" s="463"/>
      <c r="B315" s="498"/>
      <c r="C315" s="498"/>
      <c r="D315" s="499" t="s">
        <v>12084</v>
      </c>
      <c r="E315" s="500" t="s">
        <v>12801</v>
      </c>
      <c r="F315" s="501" t="s">
        <v>580</v>
      </c>
      <c r="G315" s="502"/>
      <c r="H315" s="503"/>
      <c r="I315" s="504">
        <f>ROUND(SUM(I316:I319),2)</f>
        <v>55.97</v>
      </c>
      <c r="J315" s="504">
        <f>ROUND(SUM(J316:J319),2)</f>
        <v>4.95</v>
      </c>
      <c r="K315" s="504">
        <f>+J315+I315</f>
        <v>60.92</v>
      </c>
      <c r="L315" s="523" t="s">
        <v>12802</v>
      </c>
      <c r="M315" s="471"/>
      <c r="N315" s="505"/>
      <c r="Q315" s="472"/>
      <c r="R315" s="472"/>
      <c r="S315" s="472"/>
      <c r="T315" s="472"/>
      <c r="U315" s="472"/>
      <c r="V315" s="472"/>
      <c r="W315" s="472"/>
      <c r="X315" s="472"/>
      <c r="Y315" s="472"/>
    </row>
    <row r="316" spans="1:25" x14ac:dyDescent="0.25">
      <c r="A316" s="463"/>
      <c r="B316" s="506">
        <v>88248</v>
      </c>
      <c r="C316" s="507"/>
      <c r="D316" s="508"/>
      <c r="E316" s="509" t="str">
        <f>IF($C316="",IFERROR(VLOOKUP($B316,SERVIÇOS!$B:$G,2,0),IFERROR(VLOOKUP($B316,$D:$K,2,0),"")),IFERROR(VLOOKUP($C316,INSUMOS!$A:$D,2,0),IFERROR(VLOOKUP($C316,COTAÇÕES!$B:$I,2,0),(VLOOKUP($C316,'INSUMO SINAPI - SP'!$C:$F,2,0)))))</f>
        <v>AUXILIAR DE ENCANADOR OU BOMBEIRO HIDRÁULICO COM ENCARGOS COMPLEMENTARES</v>
      </c>
      <c r="F316" s="510" t="str">
        <f>IF($C316="",IFERROR(VLOOKUP($B316,SERVIÇOS!$B:$G,3,0),IFERROR(VLOOKUP($B316,$D:$K,3,0),"")),IFERROR(VLOOKUP($C316,INSUMOS!$A:$D,3,0),IFERROR(VLOOKUP($C316,COTAÇÕES!$B:$I,3,0),(VLOOKUP($C316,'INSUMO SINAPI - SP'!$C:$F,3,0)))))</f>
        <v>H</v>
      </c>
      <c r="G316" s="511">
        <v>0.17</v>
      </c>
      <c r="H316" s="512">
        <f>IF($C316="",IFERROR(VLOOKUP($B316,SERVIÇOS!$B:$G,6,0),IFERROR(VLOOKUP($B316,$D:$K,8,0),"")),IFERROR(VLOOKUP($C316,INSUMOS!$A:$D,4,0),IFERROR(VLOOKUP($C316,COTAÇÕES!$B:$I,7,0),(VLOOKUP($C316,'INSUMO SINAPI - SP'!$C:$F,4,0)))))</f>
        <v>29.72</v>
      </c>
      <c r="I316" s="513">
        <f>TRUNC(IF($C316="",IFERROR(VLOOKUP($B316,SERVIÇOS!$B:$G,4,0),IFERROR(VLOOKUP($B316,$D:$K,6,0),)),IFERROR(VLOOKUP($C316,INSUMOS!$A:$D,4,0),IFERROR(VLOOKUP($C316,COTAÇÕES!$B:$I,7,0),(VLOOKUP($C316,'INSUMO SINAPI - SP'!$C:$F,4,0)))))*$G316,2)</f>
        <v>1.46</v>
      </c>
      <c r="J316" s="513">
        <f>TRUNC(IF($C316="",IFERROR(VLOOKUP($B316,SERVIÇOS!$B:$G,5,0),IFERROR(VLOOKUP($B316,$D:$K,7,0),)),0)*$G316,2)</f>
        <v>3.58</v>
      </c>
      <c r="K316" s="514">
        <f>I316+J316</f>
        <v>5.04</v>
      </c>
      <c r="L316" s="515"/>
      <c r="M316" s="471"/>
      <c r="N316" s="516"/>
      <c r="Q316" s="472"/>
      <c r="R316" s="472"/>
      <c r="S316" s="472"/>
      <c r="T316" s="472"/>
      <c r="U316" s="472"/>
      <c r="V316" s="472"/>
      <c r="W316" s="472"/>
      <c r="X316" s="472"/>
      <c r="Y316" s="472"/>
    </row>
    <row r="317" spans="1:25" x14ac:dyDescent="0.25">
      <c r="A317" s="463"/>
      <c r="B317" s="506">
        <v>88267</v>
      </c>
      <c r="C317" s="507"/>
      <c r="D317" s="508"/>
      <c r="E317" s="509" t="str">
        <f>IF($C317="",IFERROR(VLOOKUP($B317,SERVIÇOS!$B:$G,2,0),IFERROR(VLOOKUP($B317,$D:$K,2,0),"")),IFERROR(VLOOKUP($C317,INSUMOS!$A:$D,2,0),IFERROR(VLOOKUP($C317,COTAÇÕES!$B:$I,2,0),(VLOOKUP($C317,'INSUMO SINAPI - SP'!$C:$F,2,0)))))</f>
        <v>ENCANADOR OU BOMBEIRO HIDRÁULICO COM ENCARGOS COMPLEMENTARES</v>
      </c>
      <c r="F317" s="510" t="str">
        <f>IF($C317="",IFERROR(VLOOKUP($B317,SERVIÇOS!$B:$G,3,0),IFERROR(VLOOKUP($B317,$D:$K,3,0),"")),IFERROR(VLOOKUP($C317,INSUMOS!$A:$D,3,0),IFERROR(VLOOKUP($C317,COTAÇÕES!$B:$I,3,0),(VLOOKUP($C317,'INSUMO SINAPI - SP'!$C:$F,3,0)))))</f>
        <v>H</v>
      </c>
      <c r="G317" s="511">
        <v>0.05</v>
      </c>
      <c r="H317" s="512">
        <f>IF($C317="",IFERROR(VLOOKUP($B317,SERVIÇOS!$B:$G,6,0),IFERROR(VLOOKUP($B317,$D:$K,8,0),"")),IFERROR(VLOOKUP($C317,INSUMOS!$A:$D,4,0),IFERROR(VLOOKUP($C317,COTAÇÕES!$B:$I,7,0),(VLOOKUP($C317,'INSUMO SINAPI - SP'!$C:$F,4,0)))))</f>
        <v>36.17</v>
      </c>
      <c r="I317" s="513">
        <f>TRUNC(IF($C317="",IFERROR(VLOOKUP($B317,SERVIÇOS!$B:$G,4,0),IFERROR(VLOOKUP($B317,$D:$K,6,0),)),IFERROR(VLOOKUP($C317,INSUMOS!$A:$D,4,0),IFERROR(VLOOKUP($C317,COTAÇÕES!$B:$I,7,0),(VLOOKUP($C317,'INSUMO SINAPI - SP'!$C:$F,4,0)))))*$G317,2)</f>
        <v>0.43</v>
      </c>
      <c r="J317" s="513">
        <f>TRUNC(IF($C317="",IFERROR(VLOOKUP($B317,SERVIÇOS!$B:$G,5,0),IFERROR(VLOOKUP($B317,$D:$K,7,0),)),0)*$G317,2)</f>
        <v>1.37</v>
      </c>
      <c r="K317" s="514">
        <f>I317+J317</f>
        <v>1.8</v>
      </c>
      <c r="L317" s="515"/>
      <c r="M317" s="471"/>
      <c r="N317" s="516"/>
      <c r="Q317" s="472"/>
      <c r="R317" s="472"/>
      <c r="S317" s="472"/>
      <c r="T317" s="472"/>
      <c r="U317" s="472"/>
      <c r="V317" s="472"/>
      <c r="W317" s="472"/>
      <c r="X317" s="472"/>
      <c r="Y317" s="472"/>
    </row>
    <row r="318" spans="1:25" ht="24" x14ac:dyDescent="0.25">
      <c r="A318" s="463"/>
      <c r="B318" s="506"/>
      <c r="C318" s="507">
        <v>11762</v>
      </c>
      <c r="D318" s="508"/>
      <c r="E318" s="509" t="str">
        <f>IF($C318="",IFERROR(VLOOKUP($B318,SERVIÇOS!$B:$G,2,0),IFERROR(VLOOKUP($B318,$D:$K,2,0),"")),IFERROR(VLOOKUP($C318,INSUMOS!$A:$D,2,0),IFERROR(VLOOKUP($C318,COTAÇÕES!$B:$I,2,0),(VLOOKUP($C318,'INSUMO SINAPI - SP'!$C:$F,2,0)))))</f>
        <v>TORNEIRA METALICA CROMADA PARA JARDIM / TANQUE, COM BICO PLASTICO, CANO LONGO, DE PAREDE, PADRAO POPULAR / USO GERAL, 1/2" OU 3/4"</v>
      </c>
      <c r="F318" s="510" t="str">
        <f>IF($C318="",IFERROR(VLOOKUP($B318,SERVIÇOS!$B:$G,3,0),IFERROR(VLOOKUP($B318,$D:$K,3,0),"")),IFERROR(VLOOKUP($C318,INSUMOS!$A:$D,3,0),IFERROR(VLOOKUP($C318,COTAÇÕES!$B:$I,3,0),(VLOOKUP($C318,'INSUMO SINAPI - SP'!$C:$F,3,0)))))</f>
        <v>UN</v>
      </c>
      <c r="G318" s="511">
        <v>1</v>
      </c>
      <c r="H318" s="512">
        <f>IF($C318="",IFERROR(VLOOKUP($B318,SERVIÇOS!$B:$G,6,0),IFERROR(VLOOKUP($B318,$D:$K,8,0),"")),IFERROR(VLOOKUP($C318,INSUMOS!$A:$D,4,0),IFERROR(VLOOKUP($C318,COTAÇÕES!$B:$I,7,0),(VLOOKUP($C318,'INSUMO SINAPI - SP'!$C:$F,4,0)))))</f>
        <v>53.93</v>
      </c>
      <c r="I318" s="513">
        <f>TRUNC(IF($C318="",IFERROR(VLOOKUP($B318,SERVIÇOS!$B:$G,4,0),IFERROR(VLOOKUP($B318,$D:$K,6,0),)),IFERROR(VLOOKUP($C318,INSUMOS!$A:$D,4,0),IFERROR(VLOOKUP($C318,COTAÇÕES!$B:$I,7,0),(VLOOKUP($C318,'INSUMO SINAPI - SP'!$C:$F,4,0)))))*$G318,2)</f>
        <v>53.93</v>
      </c>
      <c r="J318" s="513">
        <f>TRUNC(IF($C318="",IFERROR(VLOOKUP($B318,SERVIÇOS!$B:$G,5,0),IFERROR(VLOOKUP($B318,$D:$K,7,0),)),0)*$G318,2)</f>
        <v>0</v>
      </c>
      <c r="K318" s="514">
        <f>I318+J318</f>
        <v>53.93</v>
      </c>
      <c r="L318" s="517"/>
      <c r="M318" s="471"/>
      <c r="N318" s="516"/>
      <c r="Q318" s="472"/>
      <c r="R318" s="472"/>
      <c r="S318" s="472"/>
      <c r="T318" s="472"/>
      <c r="U318" s="472"/>
      <c r="V318" s="472"/>
      <c r="W318" s="472"/>
      <c r="X318" s="472"/>
      <c r="Y318" s="472"/>
    </row>
    <row r="319" spans="1:25" x14ac:dyDescent="0.25">
      <c r="A319" s="463"/>
      <c r="B319" s="506"/>
      <c r="C319" s="507">
        <v>3146</v>
      </c>
      <c r="D319" s="508"/>
      <c r="E319" s="509" t="str">
        <f>IF($C319="",IFERROR(VLOOKUP($B319,SERVIÇOS!$B:$G,2,0),IFERROR(VLOOKUP($B319,$D:$K,2,0),"")),IFERROR(VLOOKUP($C319,INSUMOS!$A:$D,2,0),IFERROR(VLOOKUP($C319,COTAÇÕES!$B:$I,2,0),(VLOOKUP($C319,'INSUMO SINAPI - SP'!$C:$F,2,0)))))</f>
        <v>FITA VEDA ROSCA, EM PTFE, ROLO DE 18 MM X 10 M (L X C)</v>
      </c>
      <c r="F319" s="510" t="str">
        <f>IF($C319="",IFERROR(VLOOKUP($B319,SERVIÇOS!$B:$G,3,0),IFERROR(VLOOKUP($B319,$D:$K,3,0),"")),IFERROR(VLOOKUP($C319,INSUMOS!$A:$D,3,0),IFERROR(VLOOKUP($C319,COTAÇÕES!$B:$I,3,0),(VLOOKUP($C319,'INSUMO SINAPI - SP'!$C:$F,3,0)))))</f>
        <v>UN</v>
      </c>
      <c r="G319" s="511">
        <v>3.04E-2</v>
      </c>
      <c r="H319" s="512">
        <f>IF($C319="",IFERROR(VLOOKUP($B319,SERVIÇOS!$B:$G,6,0),IFERROR(VLOOKUP($B319,$D:$K,8,0),"")),IFERROR(VLOOKUP($C319,INSUMOS!$A:$D,4,0),IFERROR(VLOOKUP($C319,COTAÇÕES!$B:$I,7,0),(VLOOKUP($C319,'INSUMO SINAPI - SP'!$C:$F,4,0)))))</f>
        <v>5.25</v>
      </c>
      <c r="I319" s="513">
        <f>TRUNC(IF($C319="",IFERROR(VLOOKUP($B319,SERVIÇOS!$B:$G,4,0),IFERROR(VLOOKUP($B319,$D:$K,6,0),)),IFERROR(VLOOKUP($C319,INSUMOS!$A:$D,4,0),IFERROR(VLOOKUP($C319,COTAÇÕES!$B:$I,7,0),(VLOOKUP($C319,'INSUMO SINAPI - SP'!$C:$F,4,0)))))*$G319,2)</f>
        <v>0.15</v>
      </c>
      <c r="J319" s="513">
        <f>TRUNC(IF($C319="",IFERROR(VLOOKUP($B319,SERVIÇOS!$B:$G,5,0),IFERROR(VLOOKUP($B319,$D:$K,7,0),)),0)*$G319,2)</f>
        <v>0</v>
      </c>
      <c r="K319" s="514">
        <f>I319+J319</f>
        <v>0.15</v>
      </c>
      <c r="L319" s="517"/>
      <c r="M319" s="471"/>
      <c r="N319" s="516"/>
      <c r="Q319" s="472"/>
      <c r="R319" s="472"/>
      <c r="S319" s="472"/>
      <c r="T319" s="472"/>
      <c r="U319" s="472"/>
      <c r="V319" s="472"/>
      <c r="W319" s="472"/>
      <c r="X319" s="472"/>
      <c r="Y319" s="472"/>
    </row>
    <row r="320" spans="1:25" ht="24" x14ac:dyDescent="0.25">
      <c r="A320" s="463"/>
      <c r="B320" s="498"/>
      <c r="C320" s="498"/>
      <c r="D320" s="499" t="s">
        <v>12085</v>
      </c>
      <c r="E320" s="500" t="s">
        <v>12803</v>
      </c>
      <c r="F320" s="501" t="s">
        <v>580</v>
      </c>
      <c r="G320" s="502"/>
      <c r="H320" s="503"/>
      <c r="I320" s="504">
        <f>ROUND(SUM(I321:I324),2)</f>
        <v>66.27</v>
      </c>
      <c r="J320" s="504">
        <f>ROUND(SUM(J321:J324),2)</f>
        <v>4.95</v>
      </c>
      <c r="K320" s="504">
        <f>+J320+I320</f>
        <v>71.22</v>
      </c>
      <c r="L320" s="523" t="s">
        <v>12802</v>
      </c>
      <c r="M320" s="471"/>
      <c r="N320" s="505"/>
      <c r="Q320" s="472"/>
      <c r="R320" s="472"/>
      <c r="S320" s="472"/>
      <c r="T320" s="472"/>
      <c r="U320" s="472"/>
      <c r="V320" s="472"/>
      <c r="W320" s="472"/>
      <c r="X320" s="472"/>
      <c r="Y320" s="472"/>
    </row>
    <row r="321" spans="1:25" x14ac:dyDescent="0.25">
      <c r="A321" s="463"/>
      <c r="B321" s="506">
        <v>88248</v>
      </c>
      <c r="C321" s="507"/>
      <c r="D321" s="508"/>
      <c r="E321" s="509" t="str">
        <f>IF($C321="",IFERROR(VLOOKUP($B321,SERVIÇOS!$B:$G,2,0),IFERROR(VLOOKUP($B321,$D:$K,2,0),"")),IFERROR(VLOOKUP($C321,INSUMOS!$A:$D,2,0),IFERROR(VLOOKUP($C321,COTAÇÕES!$B:$I,2,0),(VLOOKUP($C321,'INSUMO SINAPI - SP'!$C:$F,2,0)))))</f>
        <v>AUXILIAR DE ENCANADOR OU BOMBEIRO HIDRÁULICO COM ENCARGOS COMPLEMENTARES</v>
      </c>
      <c r="F321" s="510" t="str">
        <f>IF($C321="",IFERROR(VLOOKUP($B321,SERVIÇOS!$B:$G,3,0),IFERROR(VLOOKUP($B321,$D:$K,3,0),"")),IFERROR(VLOOKUP($C321,INSUMOS!$A:$D,3,0),IFERROR(VLOOKUP($C321,COTAÇÕES!$B:$I,3,0),(VLOOKUP($C321,'INSUMO SINAPI - SP'!$C:$F,3,0)))))</f>
        <v>H</v>
      </c>
      <c r="G321" s="511">
        <v>0.17</v>
      </c>
      <c r="H321" s="512">
        <f>IF($C321="",IFERROR(VLOOKUP($B321,SERVIÇOS!$B:$G,6,0),IFERROR(VLOOKUP($B321,$D:$K,8,0),"")),IFERROR(VLOOKUP($C321,INSUMOS!$A:$D,4,0),IFERROR(VLOOKUP($C321,COTAÇÕES!$B:$I,7,0),(VLOOKUP($C321,'INSUMO SINAPI - SP'!$C:$F,4,0)))))</f>
        <v>29.72</v>
      </c>
      <c r="I321" s="513">
        <f>TRUNC(IF($C321="",IFERROR(VLOOKUP($B321,SERVIÇOS!$B:$G,4,0),IFERROR(VLOOKUP($B321,$D:$K,6,0),)),IFERROR(VLOOKUP($C321,INSUMOS!$A:$D,4,0),IFERROR(VLOOKUP($C321,COTAÇÕES!$B:$I,7,0),(VLOOKUP($C321,'INSUMO SINAPI - SP'!$C:$F,4,0)))))*$G321,2)</f>
        <v>1.46</v>
      </c>
      <c r="J321" s="513">
        <f>TRUNC(IF($C321="",IFERROR(VLOOKUP($B321,SERVIÇOS!$B:$G,5,0),IFERROR(VLOOKUP($B321,$D:$K,7,0),)),0)*$G321,2)</f>
        <v>3.58</v>
      </c>
      <c r="K321" s="514">
        <f>I321+J321</f>
        <v>5.04</v>
      </c>
      <c r="L321" s="515"/>
      <c r="M321" s="471"/>
      <c r="N321" s="516"/>
      <c r="Q321" s="472"/>
      <c r="R321" s="472"/>
      <c r="S321" s="472"/>
      <c r="T321" s="472"/>
      <c r="U321" s="472"/>
      <c r="V321" s="472"/>
      <c r="W321" s="472"/>
      <c r="X321" s="472"/>
      <c r="Y321" s="472"/>
    </row>
    <row r="322" spans="1:25" x14ac:dyDescent="0.25">
      <c r="A322" s="463"/>
      <c r="B322" s="506">
        <v>88267</v>
      </c>
      <c r="C322" s="507"/>
      <c r="D322" s="508"/>
      <c r="E322" s="509" t="str">
        <f>IF($C322="",IFERROR(VLOOKUP($B322,SERVIÇOS!$B:$G,2,0),IFERROR(VLOOKUP($B322,$D:$K,2,0),"")),IFERROR(VLOOKUP($C322,INSUMOS!$A:$D,2,0),IFERROR(VLOOKUP($C322,COTAÇÕES!$B:$I,2,0),(VLOOKUP($C322,'INSUMO SINAPI - SP'!$C:$F,2,0)))))</f>
        <v>ENCANADOR OU BOMBEIRO HIDRÁULICO COM ENCARGOS COMPLEMENTARES</v>
      </c>
      <c r="F322" s="510" t="str">
        <f>IF($C322="",IFERROR(VLOOKUP($B322,SERVIÇOS!$B:$G,3,0),IFERROR(VLOOKUP($B322,$D:$K,3,0),"")),IFERROR(VLOOKUP($C322,INSUMOS!$A:$D,3,0),IFERROR(VLOOKUP($C322,COTAÇÕES!$B:$I,3,0),(VLOOKUP($C322,'INSUMO SINAPI - SP'!$C:$F,3,0)))))</f>
        <v>H</v>
      </c>
      <c r="G322" s="511">
        <v>0.05</v>
      </c>
      <c r="H322" s="512">
        <f>IF($C322="",IFERROR(VLOOKUP($B322,SERVIÇOS!$B:$G,6,0),IFERROR(VLOOKUP($B322,$D:$K,8,0),"")),IFERROR(VLOOKUP($C322,INSUMOS!$A:$D,4,0),IFERROR(VLOOKUP($C322,COTAÇÕES!$B:$I,7,0),(VLOOKUP($C322,'INSUMO SINAPI - SP'!$C:$F,4,0)))))</f>
        <v>36.17</v>
      </c>
      <c r="I322" s="513">
        <f>TRUNC(IF($C322="",IFERROR(VLOOKUP($B322,SERVIÇOS!$B:$G,4,0),IFERROR(VLOOKUP($B322,$D:$K,6,0),)),IFERROR(VLOOKUP($C322,INSUMOS!$A:$D,4,0),IFERROR(VLOOKUP($C322,COTAÇÕES!$B:$I,7,0),(VLOOKUP($C322,'INSUMO SINAPI - SP'!$C:$F,4,0)))))*$G322,2)</f>
        <v>0.43</v>
      </c>
      <c r="J322" s="513">
        <f>TRUNC(IF($C322="",IFERROR(VLOOKUP($B322,SERVIÇOS!$B:$G,5,0),IFERROR(VLOOKUP($B322,$D:$K,7,0),)),0)*$G322,2)</f>
        <v>1.37</v>
      </c>
      <c r="K322" s="514">
        <f>I322+J322</f>
        <v>1.8</v>
      </c>
      <c r="L322" s="515"/>
      <c r="M322" s="471"/>
      <c r="N322" s="516"/>
      <c r="Q322" s="472"/>
      <c r="R322" s="472"/>
      <c r="S322" s="472"/>
      <c r="T322" s="472"/>
      <c r="U322" s="472"/>
      <c r="V322" s="472"/>
      <c r="W322" s="472"/>
      <c r="X322" s="472"/>
      <c r="Y322" s="472"/>
    </row>
    <row r="323" spans="1:25" ht="24" x14ac:dyDescent="0.25">
      <c r="A323" s="463"/>
      <c r="B323" s="506"/>
      <c r="C323" s="507" t="s">
        <v>12804</v>
      </c>
      <c r="D323" s="508"/>
      <c r="E323" s="518" t="s">
        <v>12803</v>
      </c>
      <c r="F323" s="519" t="s">
        <v>580</v>
      </c>
      <c r="G323" s="511">
        <v>1</v>
      </c>
      <c r="H323" s="520">
        <v>64.23</v>
      </c>
      <c r="I323" s="520">
        <f>TRUNC(H323*G323,2)</f>
        <v>64.23</v>
      </c>
      <c r="J323" s="521"/>
      <c r="K323" s="522">
        <f>I323+J323</f>
        <v>64.23</v>
      </c>
      <c r="L323" s="517" t="s">
        <v>12677</v>
      </c>
      <c r="M323" s="471"/>
      <c r="N323" s="516"/>
      <c r="Q323" s="472"/>
      <c r="R323" s="472"/>
      <c r="S323" s="472"/>
      <c r="T323" s="472"/>
      <c r="U323" s="472"/>
      <c r="V323" s="472"/>
      <c r="W323" s="472"/>
      <c r="X323" s="472"/>
      <c r="Y323" s="472"/>
    </row>
    <row r="324" spans="1:25" x14ac:dyDescent="0.25">
      <c r="A324" s="463"/>
      <c r="B324" s="506"/>
      <c r="C324" s="507">
        <v>3146</v>
      </c>
      <c r="D324" s="508"/>
      <c r="E324" s="509" t="str">
        <f>IF($C324="",IFERROR(VLOOKUP($B324,SERVIÇOS!$B:$G,2,0),IFERROR(VLOOKUP($B324,$D:$K,2,0),"")),IFERROR(VLOOKUP($C324,INSUMOS!$A:$D,2,0),IFERROR(VLOOKUP($C324,COTAÇÕES!$B:$I,2,0),(VLOOKUP($C324,'INSUMO SINAPI - SP'!$C:$F,2,0)))))</f>
        <v>FITA VEDA ROSCA, EM PTFE, ROLO DE 18 MM X 10 M (L X C)</v>
      </c>
      <c r="F324" s="510" t="str">
        <f>IF($C324="",IFERROR(VLOOKUP($B324,SERVIÇOS!$B:$G,3,0),IFERROR(VLOOKUP($B324,$D:$K,3,0),"")),IFERROR(VLOOKUP($C324,INSUMOS!$A:$D,3,0),IFERROR(VLOOKUP($C324,COTAÇÕES!$B:$I,3,0),(VLOOKUP($C324,'INSUMO SINAPI - SP'!$C:$F,3,0)))))</f>
        <v>UN</v>
      </c>
      <c r="G324" s="511">
        <v>3.04E-2</v>
      </c>
      <c r="H324" s="512">
        <f>IF($C324="",IFERROR(VLOOKUP($B324,SERVIÇOS!$B:$G,6,0),IFERROR(VLOOKUP($B324,$D:$K,8,0),"")),IFERROR(VLOOKUP($C324,INSUMOS!$A:$D,4,0),IFERROR(VLOOKUP($C324,COTAÇÕES!$B:$I,7,0),(VLOOKUP($C324,'INSUMO SINAPI - SP'!$C:$F,4,0)))))</f>
        <v>5.25</v>
      </c>
      <c r="I324" s="513">
        <f>TRUNC(IF($C324="",IFERROR(VLOOKUP($B324,SERVIÇOS!$B:$G,4,0),IFERROR(VLOOKUP($B324,$D:$K,6,0),)),IFERROR(VLOOKUP($C324,INSUMOS!$A:$D,4,0),IFERROR(VLOOKUP($C324,COTAÇÕES!$B:$I,7,0),(VLOOKUP($C324,'INSUMO SINAPI - SP'!$C:$F,4,0)))))*$G324,2)</f>
        <v>0.15</v>
      </c>
      <c r="J324" s="513">
        <f>TRUNC(IF($C324="",IFERROR(VLOOKUP($B324,SERVIÇOS!$B:$G,5,0),IFERROR(VLOOKUP($B324,$D:$K,7,0),)),0)*$G324,2)</f>
        <v>0</v>
      </c>
      <c r="K324" s="514">
        <f>I324+J324</f>
        <v>0.15</v>
      </c>
      <c r="L324" s="517"/>
      <c r="M324" s="471"/>
      <c r="N324" s="516"/>
      <c r="Q324" s="472"/>
      <c r="R324" s="472"/>
      <c r="S324" s="472"/>
      <c r="T324" s="472"/>
      <c r="U324" s="472"/>
      <c r="V324" s="472"/>
      <c r="W324" s="472"/>
      <c r="X324" s="472"/>
      <c r="Y324" s="472"/>
    </row>
    <row r="325" spans="1:25" ht="24" x14ac:dyDescent="0.25">
      <c r="A325" s="463"/>
      <c r="B325" s="498"/>
      <c r="C325" s="498"/>
      <c r="D325" s="499" t="s">
        <v>12175</v>
      </c>
      <c r="E325" s="500" t="s">
        <v>12805</v>
      </c>
      <c r="F325" s="501" t="s">
        <v>580</v>
      </c>
      <c r="G325" s="502"/>
      <c r="H325" s="503"/>
      <c r="I325" s="504">
        <f>ROUND(SUM(I326:I327),2)</f>
        <v>147.46</v>
      </c>
      <c r="J325" s="504">
        <f>ROUND(SUM(J326:J327),2)</f>
        <v>3.9</v>
      </c>
      <c r="K325" s="504">
        <f>+J325+I325</f>
        <v>151.36000000000001</v>
      </c>
      <c r="L325" s="523" t="s">
        <v>12791</v>
      </c>
      <c r="M325" s="471"/>
      <c r="N325" s="505"/>
      <c r="Q325" s="472"/>
      <c r="R325" s="472"/>
      <c r="S325" s="472"/>
      <c r="T325" s="472"/>
      <c r="U325" s="472"/>
      <c r="V325" s="472"/>
      <c r="W325" s="472"/>
      <c r="X325" s="472"/>
      <c r="Y325" s="472"/>
    </row>
    <row r="326" spans="1:25" x14ac:dyDescent="0.25">
      <c r="A326" s="463"/>
      <c r="B326" s="506">
        <v>88316</v>
      </c>
      <c r="C326" s="507"/>
      <c r="D326" s="508"/>
      <c r="E326" s="509" t="str">
        <f>IF($C326="",IFERROR(VLOOKUP($B326,SERVIÇOS!$B:$G,2,0),IFERROR(VLOOKUP($B326,$D:$K,2,0),"")),IFERROR(VLOOKUP($C326,INSUMOS!$A:$D,2,0),IFERROR(VLOOKUP($C326,COTAÇÕES!$B:$I,2,0),(VLOOKUP($C326,'INSUMO SINAPI - SP'!$C:$F,2,0)))))</f>
        <v>SERVENTE COM ENCARGOS COMPLEMENTARES</v>
      </c>
      <c r="F326" s="510" t="str">
        <f>IF($C326="",IFERROR(VLOOKUP($B326,SERVIÇOS!$B:$G,3,0),IFERROR(VLOOKUP($B326,$D:$K,3,0),"")),IFERROR(VLOOKUP($C326,INSUMOS!$A:$D,3,0),IFERROR(VLOOKUP($C326,COTAÇÕES!$B:$I,3,0),(VLOOKUP($C326,'INSUMO SINAPI - SP'!$C:$F,3,0)))))</f>
        <v>H</v>
      </c>
      <c r="G326" s="511">
        <v>0.2</v>
      </c>
      <c r="H326" s="512">
        <f>IF($C326="",IFERROR(VLOOKUP($B326,SERVIÇOS!$B:$G,6,0),IFERROR(VLOOKUP($B326,$D:$K,8,0),"")),IFERROR(VLOOKUP($C326,INSUMOS!$A:$D,4,0),IFERROR(VLOOKUP($C326,COTAÇÕES!$B:$I,7,0),(VLOOKUP($C326,'INSUMO SINAPI - SP'!$C:$F,4,0)))))</f>
        <v>28.71</v>
      </c>
      <c r="I326" s="513">
        <f>TRUNC(IF($C326="",IFERROR(VLOOKUP($B326,SERVIÇOS!$B:$G,4,0),IFERROR(VLOOKUP($B326,$D:$K,6,0),)),IFERROR(VLOOKUP($C326,INSUMOS!$A:$D,4,0),IFERROR(VLOOKUP($C326,COTAÇÕES!$B:$I,7,0),(VLOOKUP($C326,'INSUMO SINAPI - SP'!$C:$F,4,0)))))*$G326,2)</f>
        <v>1.84</v>
      </c>
      <c r="J326" s="513">
        <f>TRUNC(IF($C326="",IFERROR(VLOOKUP($B326,SERVIÇOS!$B:$G,5,0),IFERROR(VLOOKUP($B326,$D:$K,7,0),)),0)*$G326,2)</f>
        <v>3.9</v>
      </c>
      <c r="K326" s="514">
        <f>I326+J326</f>
        <v>5.74</v>
      </c>
      <c r="L326" s="515"/>
      <c r="M326" s="471"/>
      <c r="N326" s="516"/>
      <c r="Q326" s="472"/>
      <c r="R326" s="472"/>
      <c r="S326" s="472"/>
      <c r="T326" s="472"/>
      <c r="U326" s="472"/>
      <c r="V326" s="472"/>
      <c r="W326" s="472"/>
      <c r="X326" s="472"/>
      <c r="Y326" s="472"/>
    </row>
    <row r="327" spans="1:25" ht="36" x14ac:dyDescent="0.25">
      <c r="A327" s="463"/>
      <c r="B327" s="506"/>
      <c r="C327" s="507">
        <v>37558</v>
      </c>
      <c r="D327" s="508"/>
      <c r="E327" s="509" t="str">
        <f>IF($C327="",IFERROR(VLOOKUP($B327,SERVIÇOS!$B:$G,2,0),IFERROR(VLOOKUP($B327,$D:$K,2,0),"")),IFERROR(VLOOKUP($C327,INSUMOS!$A:$D,2,0),IFERROR(VLOOKUP($C327,COTAÇÕES!$B:$I,2,0),(VLOOKUP($C327,'INSUMO SINAPI - SP'!$C:$F,2,0)))))</f>
        <v>PLACA DE SINALIZACAO DE SEGURANCA CONTRA INCENDIO, FOTOLUMINESCENTE, RETANGULAR, *20 X 40* CM, EM PVC *2* MM ANTI-CHAMAS (SIMBOLOS, CORES E PICTOGRAMAS CONFORME NBR 16820)</v>
      </c>
      <c r="F327" s="510" t="str">
        <f>IF($C327="",IFERROR(VLOOKUP($B327,SERVIÇOS!$B:$G,3,0),IFERROR(VLOOKUP($B327,$D:$K,3,0),"")),IFERROR(VLOOKUP($C327,INSUMOS!$A:$D,3,0),IFERROR(VLOOKUP($C327,COTAÇÕES!$B:$I,3,0),(VLOOKUP($C327,'INSUMO SINAPI - SP'!$C:$F,3,0)))))</f>
        <v>UN</v>
      </c>
      <c r="G327" s="511">
        <v>6.25</v>
      </c>
      <c r="H327" s="512">
        <f>IF($C327="",IFERROR(VLOOKUP($B327,SERVIÇOS!$B:$G,6,0),IFERROR(VLOOKUP($B327,$D:$K,8,0),"")),IFERROR(VLOOKUP($C327,INSUMOS!$A:$D,4,0),IFERROR(VLOOKUP($C327,COTAÇÕES!$B:$I,7,0),(VLOOKUP($C327,'INSUMO SINAPI - SP'!$C:$F,4,0)))))</f>
        <v>23.3</v>
      </c>
      <c r="I327" s="513">
        <f>TRUNC(IF($C327="",IFERROR(VLOOKUP($B327,SERVIÇOS!$B:$G,4,0),IFERROR(VLOOKUP($B327,$D:$K,6,0),)),IFERROR(VLOOKUP($C327,INSUMOS!$A:$D,4,0),IFERROR(VLOOKUP($C327,COTAÇÕES!$B:$I,7,0),(VLOOKUP($C327,'INSUMO SINAPI - SP'!$C:$F,4,0)))))*$G327,2)</f>
        <v>145.62</v>
      </c>
      <c r="J327" s="513">
        <f>TRUNC(IF($C327="",IFERROR(VLOOKUP($B327,SERVIÇOS!$B:$G,5,0),IFERROR(VLOOKUP($B327,$D:$K,7,0),)),0)*$G327,2)</f>
        <v>0</v>
      </c>
      <c r="K327" s="514">
        <f>I327+J327</f>
        <v>145.62</v>
      </c>
      <c r="L327" s="517"/>
      <c r="M327" s="471"/>
      <c r="N327" s="516"/>
      <c r="Q327" s="472"/>
      <c r="R327" s="472"/>
      <c r="S327" s="472"/>
      <c r="T327" s="472"/>
      <c r="U327" s="472"/>
      <c r="V327" s="472"/>
      <c r="W327" s="472"/>
      <c r="X327" s="472"/>
      <c r="Y327" s="472"/>
    </row>
    <row r="328" spans="1:25" ht="24" x14ac:dyDescent="0.25">
      <c r="A328" s="463"/>
      <c r="B328" s="498"/>
      <c r="C328" s="498"/>
      <c r="D328" s="499" t="s">
        <v>12526</v>
      </c>
      <c r="E328" s="529" t="s">
        <v>12806</v>
      </c>
      <c r="F328" s="501" t="s">
        <v>9561</v>
      </c>
      <c r="G328" s="502"/>
      <c r="H328" s="503"/>
      <c r="I328" s="504">
        <f>ROUND(SUM(I329:I362),2)</f>
        <v>43581.56</v>
      </c>
      <c r="J328" s="504">
        <f>ROUND(SUM(J329:J362),2)</f>
        <v>6220.83</v>
      </c>
      <c r="K328" s="504">
        <f>+J328+I328</f>
        <v>49802.39</v>
      </c>
      <c r="L328" s="523" t="s">
        <v>12791</v>
      </c>
      <c r="M328" s="471"/>
      <c r="N328" s="505"/>
      <c r="Q328" s="472"/>
      <c r="R328" s="472"/>
      <c r="S328" s="472"/>
      <c r="T328" s="472"/>
      <c r="U328" s="472"/>
      <c r="V328" s="472"/>
      <c r="W328" s="472"/>
      <c r="X328" s="472"/>
      <c r="Y328" s="472"/>
    </row>
    <row r="329" spans="1:25" x14ac:dyDescent="0.25">
      <c r="A329" s="463"/>
      <c r="B329" s="506">
        <v>88264</v>
      </c>
      <c r="C329" s="507"/>
      <c r="D329" s="508"/>
      <c r="E329" s="509" t="str">
        <f>IF($C329="",IFERROR(VLOOKUP($B329,SERVIÇOS!$B:$G,2,0),IFERROR(VLOOKUP($B329,$D:$K,2,0),"")),IFERROR(VLOOKUP($C329,INSUMOS!$A:$D,2,0),IFERROR(VLOOKUP($C329,COTAÇÕES!$B:$I,2,0),(VLOOKUP($C329,'INSUMO SINAPI - SP'!$C:$F,2,0)))))</f>
        <v>ELETRICISTA COM ENCARGOS COMPLEMENTARES</v>
      </c>
      <c r="F329" s="510" t="str">
        <f>IF($C329="",IFERROR(VLOOKUP($B329,SERVIÇOS!$B:$G,3,0),IFERROR(VLOOKUP($B329,$D:$K,3,0),"")),IFERROR(VLOOKUP($C329,INSUMOS!$A:$D,3,0),IFERROR(VLOOKUP($C329,COTAÇÕES!$B:$I,3,0),(VLOOKUP($C329,'INSUMO SINAPI - SP'!$C:$F,3,0)))))</f>
        <v>H</v>
      </c>
      <c r="G329" s="511">
        <v>40</v>
      </c>
      <c r="H329" s="512">
        <f>IF($C329="",IFERROR(VLOOKUP($B329,SERVIÇOS!$B:$G,6,0),IFERROR(VLOOKUP($B329,$D:$K,8,0),"")),IFERROR(VLOOKUP($C329,INSUMOS!$A:$D,4,0),IFERROR(VLOOKUP($C329,COTAÇÕES!$B:$I,7,0),(VLOOKUP($C329,'INSUMO SINAPI - SP'!$C:$F,4,0)))))</f>
        <v>37.369999999999997</v>
      </c>
      <c r="I329" s="513">
        <f>TRUNC(IF($C329="",IFERROR(VLOOKUP($B329,SERVIÇOS!$B:$G,4,0),IFERROR(VLOOKUP($B329,$D:$K,6,0),)),IFERROR(VLOOKUP($C329,INSUMOS!$A:$D,4,0),IFERROR(VLOOKUP($C329,COTAÇÕES!$B:$I,7,0),(VLOOKUP($C329,'INSUMO SINAPI - SP'!$C:$F,4,0)))))*$G329,2)</f>
        <v>372.4</v>
      </c>
      <c r="J329" s="513">
        <f>TRUNC(IF($C329="",IFERROR(VLOOKUP($B329,SERVIÇOS!$B:$G,5,0),IFERROR(VLOOKUP($B329,$D:$K,7,0),)),0)*$G329,2)</f>
        <v>1122.4000000000001</v>
      </c>
      <c r="K329" s="514">
        <f t="shared" ref="K329:K362" si="15">I329+J329</f>
        <v>1494.8000000000002</v>
      </c>
      <c r="L329" s="515"/>
      <c r="M329" s="471"/>
      <c r="N329" s="516"/>
      <c r="Q329" s="472"/>
      <c r="R329" s="472"/>
      <c r="S329" s="472"/>
      <c r="T329" s="472"/>
      <c r="U329" s="472"/>
      <c r="V329" s="472"/>
      <c r="W329" s="472"/>
      <c r="X329" s="472"/>
      <c r="Y329" s="472"/>
    </row>
    <row r="330" spans="1:25" x14ac:dyDescent="0.25">
      <c r="A330" s="463"/>
      <c r="B330" s="506">
        <v>88266</v>
      </c>
      <c r="C330" s="507"/>
      <c r="D330" s="508"/>
      <c r="E330" s="509" t="str">
        <f>IF($C330="",IFERROR(VLOOKUP($B330,SERVIÇOS!$B:$G,2,0),IFERROR(VLOOKUP($B330,$D:$K,2,0),"")),IFERROR(VLOOKUP($C330,INSUMOS!$A:$D,2,0),IFERROR(VLOOKUP($C330,COTAÇÕES!$B:$I,2,0),(VLOOKUP($C330,'INSUMO SINAPI - SP'!$C:$F,2,0)))))</f>
        <v>ELETROTÉCNICO COM ENCARGOS COMPLEMENTARES</v>
      </c>
      <c r="F330" s="510" t="str">
        <f>IF($C330="",IFERROR(VLOOKUP($B330,SERVIÇOS!$B:$G,3,0),IFERROR(VLOOKUP($B330,$D:$K,3,0),"")),IFERROR(VLOOKUP($C330,INSUMOS!$A:$D,3,0),IFERROR(VLOOKUP($C330,COTAÇÕES!$B:$I,3,0),(VLOOKUP($C330,'INSUMO SINAPI - SP'!$C:$F,3,0)))))</f>
        <v>H</v>
      </c>
      <c r="G330" s="511">
        <v>40</v>
      </c>
      <c r="H330" s="512">
        <f>IF($C330="",IFERROR(VLOOKUP($B330,SERVIÇOS!$B:$G,6,0),IFERROR(VLOOKUP($B330,$D:$K,8,0),"")),IFERROR(VLOOKUP($C330,INSUMOS!$A:$D,4,0),IFERROR(VLOOKUP($C330,COTAÇÕES!$B:$I,7,0),(VLOOKUP($C330,'INSUMO SINAPI - SP'!$C:$F,4,0)))))</f>
        <v>44.39</v>
      </c>
      <c r="I330" s="513">
        <f>TRUNC(IF($C330="",IFERROR(VLOOKUP($B330,SERVIÇOS!$B:$G,4,0),IFERROR(VLOOKUP($B330,$D:$K,6,0),)),IFERROR(VLOOKUP($C330,INSUMOS!$A:$D,4,0),IFERROR(VLOOKUP($C330,COTAÇÕES!$B:$I,7,0),(VLOOKUP($C330,'INSUMO SINAPI - SP'!$C:$F,4,0)))))*$G330,2)</f>
        <v>372.4</v>
      </c>
      <c r="J330" s="513">
        <f>TRUNC(IF($C330="",IFERROR(VLOOKUP($B330,SERVIÇOS!$B:$G,5,0),IFERROR(VLOOKUP($B330,$D:$K,7,0),)),0)*$G330,2)</f>
        <v>1403.2</v>
      </c>
      <c r="K330" s="514">
        <f t="shared" si="15"/>
        <v>1775.6</v>
      </c>
      <c r="L330" s="515"/>
      <c r="M330" s="471"/>
      <c r="N330" s="516"/>
      <c r="Q330" s="472"/>
      <c r="R330" s="472"/>
      <c r="S330" s="472"/>
      <c r="T330" s="472"/>
      <c r="U330" s="472"/>
      <c r="V330" s="472"/>
      <c r="W330" s="472"/>
      <c r="X330" s="472"/>
      <c r="Y330" s="472"/>
    </row>
    <row r="331" spans="1:25" x14ac:dyDescent="0.25">
      <c r="A331" s="463"/>
      <c r="B331" s="506">
        <v>88247</v>
      </c>
      <c r="C331" s="507"/>
      <c r="D331" s="508"/>
      <c r="E331" s="509" t="str">
        <f>IF($C331="",IFERROR(VLOOKUP($B331,SERVIÇOS!$B:$G,2,0),IFERROR(VLOOKUP($B331,$D:$K,2,0),"")),IFERROR(VLOOKUP($C331,INSUMOS!$A:$D,2,0),IFERROR(VLOOKUP($C331,COTAÇÕES!$B:$I,2,0),(VLOOKUP($C331,'INSUMO SINAPI - SP'!$C:$F,2,0)))))</f>
        <v>AUXILIAR DE ELETRICISTA COM ENCARGOS COMPLEMENTARES</v>
      </c>
      <c r="F331" s="510" t="str">
        <f>IF($C331="",IFERROR(VLOOKUP($B331,SERVIÇOS!$B:$G,3,0),IFERROR(VLOOKUP($B331,$D:$K,3,0),"")),IFERROR(VLOOKUP($C331,INSUMOS!$A:$D,3,0),IFERROR(VLOOKUP($C331,COTAÇÕES!$B:$I,3,0),(VLOOKUP($C331,'INSUMO SINAPI - SP'!$C:$F,3,0)))))</f>
        <v>H</v>
      </c>
      <c r="G331" s="511">
        <v>120</v>
      </c>
      <c r="H331" s="512">
        <f>IF($C331="",IFERROR(VLOOKUP($B331,SERVIÇOS!$B:$G,6,0),IFERROR(VLOOKUP($B331,$D:$K,8,0),"")),IFERROR(VLOOKUP($C331,INSUMOS!$A:$D,4,0),IFERROR(VLOOKUP($C331,COTAÇÕES!$B:$I,7,0),(VLOOKUP($C331,'INSUMO SINAPI - SP'!$C:$F,4,0)))))</f>
        <v>30.8</v>
      </c>
      <c r="I331" s="513">
        <f>TRUNC(IF($C331="",IFERROR(VLOOKUP($B331,SERVIÇOS!$B:$G,4,0),IFERROR(VLOOKUP($B331,$D:$K,6,0),)),IFERROR(VLOOKUP($C331,INSUMOS!$A:$D,4,0),IFERROR(VLOOKUP($C331,COTAÇÕES!$B:$I,7,0),(VLOOKUP($C331,'INSUMO SINAPI - SP'!$C:$F,4,0)))))*$G331,2)</f>
        <v>1118.4000000000001</v>
      </c>
      <c r="J331" s="513">
        <f>TRUNC(IF($C331="",IFERROR(VLOOKUP($B331,SERVIÇOS!$B:$G,5,0),IFERROR(VLOOKUP($B331,$D:$K,7,0),)),0)*$G331,2)</f>
        <v>2577.6</v>
      </c>
      <c r="K331" s="514">
        <f t="shared" si="15"/>
        <v>3696</v>
      </c>
      <c r="L331" s="515"/>
      <c r="M331" s="471"/>
      <c r="N331" s="516"/>
      <c r="Q331" s="472"/>
      <c r="R331" s="472"/>
      <c r="S331" s="472"/>
      <c r="T331" s="472"/>
      <c r="U331" s="472"/>
      <c r="V331" s="472"/>
      <c r="W331" s="472"/>
      <c r="X331" s="472"/>
      <c r="Y331" s="472"/>
    </row>
    <row r="332" spans="1:25" ht="36" x14ac:dyDescent="0.25">
      <c r="A332" s="463"/>
      <c r="B332" s="506">
        <v>91634</v>
      </c>
      <c r="C332" s="507"/>
      <c r="D332" s="508"/>
      <c r="E332" s="509" t="str">
        <f>IF($C332="",IFERROR(VLOOKUP($B332,SERVIÇOS!$B:$G,2,0),IFERROR(VLOOKUP($B332,$D:$K,2,0),"")),IFERROR(VLOOKUP($C332,INSUMOS!$A:$D,2,0),IFERROR(VLOOKUP($C332,COTAÇÕES!$B:$I,2,0),(VLOOKUP($C332,'INSUMO SINAPI - SP'!$C:$F,2,0)))))</f>
        <v>GUINDAUTO HIDRÁULICO, CAPACIDADE MÁXIMA DE CARGA 6500 KG, MOMENTO MÁXIMO DE CARGA 5,8 TM, ALCANCE MÁXIMO HORIZONTAL 7,60 M, INCLUSIVE CAMINHÃO TOCO PBT 9.700 KG, POTÊNCIA DE 160 CV - CHP DIURNO. AF_08/2015</v>
      </c>
      <c r="F332" s="510" t="str">
        <f>IF($C332="",IFERROR(VLOOKUP($B332,SERVIÇOS!$B:$G,3,0),IFERROR(VLOOKUP($B332,$D:$K,3,0),"")),IFERROR(VLOOKUP($C332,INSUMOS!$A:$D,3,0),IFERROR(VLOOKUP($C332,COTAÇÕES!$B:$I,3,0),(VLOOKUP($C332,'INSUMO SINAPI - SP'!$C:$F,3,0)))))</f>
        <v>CHP</v>
      </c>
      <c r="G332" s="511">
        <v>10</v>
      </c>
      <c r="H332" s="512">
        <f>IF($C332="",IFERROR(VLOOKUP($B332,SERVIÇOS!$B:$G,6,0),IFERROR(VLOOKUP($B332,$D:$K,8,0),"")),IFERROR(VLOOKUP($C332,INSUMOS!$A:$D,4,0),IFERROR(VLOOKUP($C332,COTAÇÕES!$B:$I,7,0),(VLOOKUP($C332,'INSUMO SINAPI - SP'!$C:$F,4,0)))))</f>
        <v>252.54</v>
      </c>
      <c r="I332" s="513">
        <f>TRUNC(IF($C332="",IFERROR(VLOOKUP($B332,SERVIÇOS!$B:$G,4,0),IFERROR(VLOOKUP($B332,$D:$K,6,0),)),IFERROR(VLOOKUP($C332,INSUMOS!$A:$D,4,0),IFERROR(VLOOKUP($C332,COTAÇÕES!$B:$I,7,0),(VLOOKUP($C332,'INSUMO SINAPI - SP'!$C:$F,4,0)))))*$G332,2)</f>
        <v>2208.3000000000002</v>
      </c>
      <c r="J332" s="513">
        <f>TRUNC(IF($C332="",IFERROR(VLOOKUP($B332,SERVIÇOS!$B:$G,5,0),IFERROR(VLOOKUP($B332,$D:$K,7,0),)),0)*$G332,2)</f>
        <v>317.10000000000002</v>
      </c>
      <c r="K332" s="514">
        <f t="shared" si="15"/>
        <v>2525.4</v>
      </c>
      <c r="L332" s="515"/>
      <c r="M332" s="471"/>
      <c r="N332" s="516"/>
      <c r="Q332" s="472"/>
      <c r="R332" s="472"/>
      <c r="S332" s="472"/>
      <c r="T332" s="472"/>
      <c r="U332" s="472"/>
      <c r="V332" s="472"/>
      <c r="W332" s="472"/>
      <c r="X332" s="472"/>
      <c r="Y332" s="472"/>
    </row>
    <row r="333" spans="1:25" x14ac:dyDescent="0.25">
      <c r="A333" s="463"/>
      <c r="B333" s="506"/>
      <c r="C333" s="507" t="s">
        <v>12807</v>
      </c>
      <c r="D333" s="508"/>
      <c r="E333" s="518" t="s">
        <v>12808</v>
      </c>
      <c r="F333" s="519" t="s">
        <v>12809</v>
      </c>
      <c r="G333" s="511">
        <v>3</v>
      </c>
      <c r="H333" s="520">
        <v>4.0999999999999996</v>
      </c>
      <c r="I333" s="520">
        <f>TRUNC(H333*G333,2)</f>
        <v>12.3</v>
      </c>
      <c r="J333" s="521"/>
      <c r="K333" s="522">
        <f t="shared" si="15"/>
        <v>12.3</v>
      </c>
      <c r="L333" s="517" t="s">
        <v>12668</v>
      </c>
      <c r="M333" s="471"/>
      <c r="N333" s="516"/>
      <c r="Q333" s="472"/>
      <c r="R333" s="472"/>
      <c r="S333" s="472"/>
      <c r="T333" s="472"/>
      <c r="U333" s="472"/>
      <c r="V333" s="472"/>
      <c r="W333" s="472"/>
      <c r="X333" s="472"/>
      <c r="Y333" s="472"/>
    </row>
    <row r="334" spans="1:25" ht="24" x14ac:dyDescent="0.25">
      <c r="A334" s="463"/>
      <c r="B334" s="506"/>
      <c r="C334" s="507" t="s">
        <v>12810</v>
      </c>
      <c r="D334" s="508"/>
      <c r="E334" s="509" t="str">
        <f>IF($C334="",IFERROR(VLOOKUP($B334,SERVIÇOS!$B:$G,2,0),IFERROR(VLOOKUP($B334,$D:$K,2,0),"")),IFERROR(VLOOKUP($C334,INSUMOS!$A:$D,2,0),IFERROR(VLOOKUP($C334,COTAÇÕES!$B:$I,2,0),(VLOOKUP($C334,'INSUMO SINAPI - SP'!$C:$F,2,0)))))</f>
        <v>ARRUELA QUADRADA EM ACO GALVANIZADO, DIMENSAO = 38 MM, ESPESSURA = 3MM, DIAMETRO DO FURO= 18 MM</v>
      </c>
      <c r="F334" s="510" t="str">
        <f>IF($C334="",IFERROR(VLOOKUP($B334,SERVIÇOS!$B:$G,3,0),IFERROR(VLOOKUP($B334,$D:$K,3,0),"")),IFERROR(VLOOKUP($C334,INSUMOS!$A:$D,3,0),IFERROR(VLOOKUP($C334,COTAÇÕES!$B:$I,3,0),(VLOOKUP($C334,'INSUMO SINAPI - SP'!$C:$F,3,0)))))</f>
        <v>UN</v>
      </c>
      <c r="G334" s="511">
        <v>16</v>
      </c>
      <c r="H334" s="512">
        <f>IF($C334="",IFERROR(VLOOKUP($B334,SERVIÇOS!$B:$G,6,0),IFERROR(VLOOKUP($B334,$D:$K,8,0),"")),IFERROR(VLOOKUP($C334,INSUMOS!$A:$D,4,0),IFERROR(VLOOKUP($C334,COTAÇÕES!$B:$I,7,0),(VLOOKUP($C334,'INSUMO SINAPI - SP'!$C:$F,4,0)))))</f>
        <v>1.43</v>
      </c>
      <c r="I334" s="513">
        <f>TRUNC(IF($C334="",IFERROR(VLOOKUP($B334,SERVIÇOS!$B:$G,4,0),IFERROR(VLOOKUP($B334,$D:$K,6,0),)),IFERROR(VLOOKUP($C334,INSUMOS!$A:$D,4,0),IFERROR(VLOOKUP($C334,COTAÇÕES!$B:$I,7,0),(VLOOKUP($C334,'INSUMO SINAPI - SP'!$C:$F,4,0)))))*$G334,2)</f>
        <v>22.88</v>
      </c>
      <c r="J334" s="513"/>
      <c r="K334" s="514">
        <f t="shared" si="15"/>
        <v>22.88</v>
      </c>
      <c r="L334" s="515" t="s">
        <v>12685</v>
      </c>
      <c r="M334" s="471"/>
      <c r="N334" s="516"/>
      <c r="Q334" s="472"/>
      <c r="R334" s="472"/>
      <c r="S334" s="472"/>
      <c r="T334" s="472"/>
      <c r="U334" s="472"/>
      <c r="V334" s="472"/>
      <c r="W334" s="472"/>
      <c r="X334" s="472"/>
      <c r="Y334" s="472"/>
    </row>
    <row r="335" spans="1:25" x14ac:dyDescent="0.25">
      <c r="A335" s="463"/>
      <c r="B335" s="506" t="s">
        <v>12258</v>
      </c>
      <c r="C335" s="507"/>
      <c r="D335" s="508"/>
      <c r="E335" s="509" t="str">
        <f>IF($C335="",IFERROR(VLOOKUP($B335,SERVIÇOS!$B:$G,2,0),IFERROR(VLOOKUP($B335,$D:$K,2,0),"")),IFERROR(VLOOKUP($C335,INSUMOS!$A:$D,2,0),IFERROR(VLOOKUP($C335,COTAÇÕES!$B:$I,2,0),(VLOOKUP($C335,'INSUMO SINAPI - SP'!$C:$F,2,0)))))</f>
        <v>UNIDUT CÔNICO Ø1" COM BUCHA E ARRUELA DE ALUMÍNIO Ø1"</v>
      </c>
      <c r="F335" s="510" t="str">
        <f>IF($C335="",IFERROR(VLOOKUP($B335,SERVIÇOS!$B:$G,3,0),IFERROR(VLOOKUP($B335,$D:$K,3,0),"")),IFERROR(VLOOKUP($C335,INSUMOS!$A:$D,3,0),IFERROR(VLOOKUP($C335,COTAÇÕES!$B:$I,3,0),(VLOOKUP($C335,'INSUMO SINAPI - SP'!$C:$F,3,0)))))</f>
        <v>UN</v>
      </c>
      <c r="G335" s="511">
        <v>2</v>
      </c>
      <c r="H335" s="512">
        <f>IF($C335="",IFERROR(VLOOKUP($B335,SERVIÇOS!$B:$G,6,0),IFERROR(VLOOKUP($B335,$D:$K,8,0),"")),IFERROR(VLOOKUP($C335,INSUMOS!$A:$D,4,0),IFERROR(VLOOKUP($C335,COTAÇÕES!$B:$I,7,0),(VLOOKUP($C335,'INSUMO SINAPI - SP'!$C:$F,4,0)))))</f>
        <v>9.59</v>
      </c>
      <c r="I335" s="513">
        <f>TRUNC(IF($C335="",IFERROR(VLOOKUP($B335,SERVIÇOS!$B:$G,4,0),IFERROR(VLOOKUP($B335,$D:$K,6,0),)),IFERROR(VLOOKUP($C335,INSUMOS!$A:$D,4,0),IFERROR(VLOOKUP($C335,COTAÇÕES!$B:$I,7,0),(VLOOKUP($C335,'INSUMO SINAPI - SP'!$C:$F,4,0)))))*$G335,2)</f>
        <v>14.24</v>
      </c>
      <c r="J335" s="513">
        <f>TRUNC(IF($C335="",IFERROR(VLOOKUP($B335,SERVIÇOS!$B:$G,5,0),IFERROR(VLOOKUP($B335,$D:$K,7,0),)),0)*$G335,2)</f>
        <v>4.9400000000000004</v>
      </c>
      <c r="K335" s="514">
        <f t="shared" si="15"/>
        <v>19.18</v>
      </c>
      <c r="L335" s="515"/>
      <c r="M335" s="471"/>
      <c r="N335" s="516"/>
      <c r="Q335" s="472"/>
      <c r="R335" s="472"/>
      <c r="S335" s="472"/>
      <c r="T335" s="472"/>
      <c r="U335" s="472"/>
      <c r="V335" s="472"/>
      <c r="W335" s="472"/>
      <c r="X335" s="472"/>
      <c r="Y335" s="472"/>
    </row>
    <row r="336" spans="1:25" x14ac:dyDescent="0.25">
      <c r="A336" s="463"/>
      <c r="B336" s="506" t="s">
        <v>12300</v>
      </c>
      <c r="C336" s="507"/>
      <c r="D336" s="508"/>
      <c r="E336" s="509" t="str">
        <f>IF($C336="",IFERROR(VLOOKUP($B336,SERVIÇOS!$B:$G,2,0),IFERROR(VLOOKUP($B336,$D:$K,2,0),"")),IFERROR(VLOOKUP($C336,INSUMOS!$A:$D,2,0),IFERROR(VLOOKUP($C336,COTAÇÕES!$B:$I,2,0),(VLOOKUP($C336,'INSUMO SINAPI - SP'!$C:$F,2,0)))))</f>
        <v>UNIDUT CÔNICO Ø3" COM BUCHA E ARRUELA DE ALUMÍNIO Ø3"</v>
      </c>
      <c r="F336" s="510" t="str">
        <f>IF($C336="",IFERROR(VLOOKUP($B336,SERVIÇOS!$B:$G,3,0),IFERROR(VLOOKUP($B336,$D:$K,3,0),"")),IFERROR(VLOOKUP($C336,INSUMOS!$A:$D,3,0),IFERROR(VLOOKUP($C336,COTAÇÕES!$B:$I,3,0),(VLOOKUP($C336,'INSUMO SINAPI - SP'!$C:$F,3,0)))))</f>
        <v>UN</v>
      </c>
      <c r="G336" s="511">
        <v>4</v>
      </c>
      <c r="H336" s="512">
        <f>IF($C336="",IFERROR(VLOOKUP($B336,SERVIÇOS!$B:$G,6,0),IFERROR(VLOOKUP($B336,$D:$K,8,0),"")),IFERROR(VLOOKUP($C336,INSUMOS!$A:$D,4,0),IFERROR(VLOOKUP($C336,COTAÇÕES!$B:$I,7,0),(VLOOKUP($C336,'INSUMO SINAPI - SP'!$C:$F,4,0)))))</f>
        <v>46.49</v>
      </c>
      <c r="I336" s="513">
        <f>TRUNC(IF($C336="",IFERROR(VLOOKUP($B336,SERVIÇOS!$B:$G,4,0),IFERROR(VLOOKUP($B336,$D:$K,6,0),)),IFERROR(VLOOKUP($C336,INSUMOS!$A:$D,4,0),IFERROR(VLOOKUP($C336,COTAÇÕES!$B:$I,7,0),(VLOOKUP($C336,'INSUMO SINAPI - SP'!$C:$F,4,0)))))*$G336,2)</f>
        <v>176.08</v>
      </c>
      <c r="J336" s="513">
        <f>TRUNC(IF($C336="",IFERROR(VLOOKUP($B336,SERVIÇOS!$B:$G,5,0),IFERROR(VLOOKUP($B336,$D:$K,7,0),)),0)*$G336,2)</f>
        <v>9.8800000000000008</v>
      </c>
      <c r="K336" s="514">
        <f t="shared" si="15"/>
        <v>185.96</v>
      </c>
      <c r="L336" s="515"/>
      <c r="M336" s="471"/>
      <c r="N336" s="516"/>
      <c r="Q336" s="472"/>
      <c r="R336" s="472"/>
      <c r="S336" s="472"/>
      <c r="T336" s="472"/>
      <c r="U336" s="472"/>
      <c r="V336" s="472"/>
      <c r="W336" s="472"/>
      <c r="X336" s="472"/>
      <c r="Y336" s="472"/>
    </row>
    <row r="337" spans="1:25" ht="24" x14ac:dyDescent="0.25">
      <c r="A337" s="463"/>
      <c r="B337" s="506"/>
      <c r="C337" s="507">
        <v>1102</v>
      </c>
      <c r="D337" s="508"/>
      <c r="E337" s="509" t="str">
        <f>IF($C337="",IFERROR(VLOOKUP($B337,SERVIÇOS!$B:$G,2,0),IFERROR(VLOOKUP($B337,$D:$K,2,0),"")),IFERROR(VLOOKUP($C337,INSUMOS!$A:$D,2,0),IFERROR(VLOOKUP($C337,COTAÇÕES!$B:$I,2,0),(VLOOKUP($C337,'INSUMO SINAPI - SP'!$C:$F,2,0)))))</f>
        <v>CABECOTE PARA ENTRADA DE LINHA DE ALIMENTACAO PARA ELETRODUTO, EM LIGA DE ALUMINIO COM ACABAMENTO ANTI CORROSIVO, COM FIXACAO POR ENCAIXE LISO DE 360 GRAUS, DE 3"</v>
      </c>
      <c r="F337" s="510" t="str">
        <f>IF($C337="",IFERROR(VLOOKUP($B337,SERVIÇOS!$B:$G,3,0),IFERROR(VLOOKUP($B337,$D:$K,3,0),"")),IFERROR(VLOOKUP($C337,INSUMOS!$A:$D,3,0),IFERROR(VLOOKUP($C337,COTAÇÕES!$B:$I,3,0),(VLOOKUP($C337,'INSUMO SINAPI - SP'!$C:$F,3,0)))))</f>
        <v>UN</v>
      </c>
      <c r="G337" s="511">
        <v>2</v>
      </c>
      <c r="H337" s="512">
        <f>IF($C337="",IFERROR(VLOOKUP($B337,SERVIÇOS!$B:$G,6,0),IFERROR(VLOOKUP($B337,$D:$K,8,0),"")),IFERROR(VLOOKUP($C337,INSUMOS!$A:$D,4,0),IFERROR(VLOOKUP($C337,COTAÇÕES!$B:$I,7,0),(VLOOKUP($C337,'INSUMO SINAPI - SP'!$C:$F,4,0)))))</f>
        <v>53.74</v>
      </c>
      <c r="I337" s="513">
        <f>TRUNC(IF($C337="",IFERROR(VLOOKUP($B337,SERVIÇOS!$B:$G,4,0),IFERROR(VLOOKUP($B337,$D:$K,6,0),)),IFERROR(VLOOKUP($C337,INSUMOS!$A:$D,4,0),IFERROR(VLOOKUP($C337,COTAÇÕES!$B:$I,7,0),(VLOOKUP($C337,'INSUMO SINAPI - SP'!$C:$F,4,0)))))*$G337,2)</f>
        <v>107.48</v>
      </c>
      <c r="J337" s="513">
        <f>TRUNC(IF($C337="",IFERROR(VLOOKUP($B337,SERVIÇOS!$B:$G,5,0),IFERROR(VLOOKUP($B337,$D:$K,7,0),)),0)*$G337,2)</f>
        <v>0</v>
      </c>
      <c r="K337" s="514">
        <f t="shared" si="15"/>
        <v>107.48</v>
      </c>
      <c r="L337" s="517"/>
      <c r="M337" s="471"/>
      <c r="N337" s="516"/>
      <c r="Q337" s="472"/>
      <c r="R337" s="472"/>
      <c r="S337" s="472"/>
      <c r="T337" s="472"/>
      <c r="U337" s="472"/>
      <c r="V337" s="472"/>
      <c r="W337" s="472"/>
      <c r="X337" s="472"/>
      <c r="Y337" s="472"/>
    </row>
    <row r="338" spans="1:25" x14ac:dyDescent="0.25">
      <c r="A338" s="463"/>
      <c r="B338" s="506"/>
      <c r="C338" s="507" t="s">
        <v>12811</v>
      </c>
      <c r="D338" s="508"/>
      <c r="E338" s="518" t="s">
        <v>12812</v>
      </c>
      <c r="F338" s="519" t="s">
        <v>12809</v>
      </c>
      <c r="G338" s="511">
        <v>1</v>
      </c>
      <c r="H338" s="520">
        <v>666.1</v>
      </c>
      <c r="I338" s="520">
        <f>TRUNC(H338*G338,2)</f>
        <v>666.1</v>
      </c>
      <c r="J338" s="521"/>
      <c r="K338" s="522">
        <f t="shared" si="15"/>
        <v>666.1</v>
      </c>
      <c r="L338" s="517" t="s">
        <v>12668</v>
      </c>
      <c r="M338" s="471"/>
      <c r="N338" s="516"/>
      <c r="Q338" s="472"/>
      <c r="R338" s="472"/>
      <c r="S338" s="472"/>
      <c r="T338" s="472"/>
      <c r="U338" s="472"/>
      <c r="V338" s="472"/>
      <c r="W338" s="472"/>
      <c r="X338" s="472"/>
      <c r="Y338" s="472"/>
    </row>
    <row r="339" spans="1:25" x14ac:dyDescent="0.25">
      <c r="A339" s="463"/>
      <c r="B339" s="506"/>
      <c r="C339" s="507" t="s">
        <v>12813</v>
      </c>
      <c r="D339" s="508"/>
      <c r="E339" s="518" t="s">
        <v>12814</v>
      </c>
      <c r="F339" s="519" t="s">
        <v>12809</v>
      </c>
      <c r="G339" s="511">
        <v>1</v>
      </c>
      <c r="H339" s="520">
        <v>330.99</v>
      </c>
      <c r="I339" s="520">
        <f>TRUNC(H339*G339,2)</f>
        <v>330.99</v>
      </c>
      <c r="J339" s="521"/>
      <c r="K339" s="522">
        <f t="shared" si="15"/>
        <v>330.99</v>
      </c>
      <c r="L339" s="517" t="s">
        <v>12668</v>
      </c>
      <c r="M339" s="471"/>
      <c r="N339" s="516"/>
      <c r="Q339" s="472"/>
      <c r="R339" s="472"/>
      <c r="S339" s="472"/>
      <c r="T339" s="472"/>
      <c r="U339" s="472"/>
      <c r="V339" s="472"/>
      <c r="W339" s="472"/>
      <c r="X339" s="472"/>
      <c r="Y339" s="472"/>
    </row>
    <row r="340" spans="1:25" ht="36" x14ac:dyDescent="0.25">
      <c r="A340" s="463"/>
      <c r="B340" s="506">
        <v>92543</v>
      </c>
      <c r="C340" s="507"/>
      <c r="D340" s="508"/>
      <c r="E340" s="509" t="str">
        <f>IF($C340="",IFERROR(VLOOKUP($B340,SERVIÇOS!$B:$G,2,0),IFERROR(VLOOKUP($B340,$D:$K,2,0),"")),IFERROR(VLOOKUP($C340,INSUMOS!$A:$D,2,0),IFERROR(VLOOKUP($C340,COTAÇÕES!$B:$I,2,0),(VLOOKUP($C340,'INSUMO SINAPI - SP'!$C:$F,2,0)))))</f>
        <v>TRAMA DE MADEIRA COMPOSTA POR TERÇAS PARA TELHADOS DE ATÉ 2 ÁGUAS PARA TELHA ONDULADA DE FIBROCIMENTO, METÁLICA, PLÁSTICA OU TERMOACÚSTICA, INCLUSO TRANSPORTE VERTICAL. AF_07/2019</v>
      </c>
      <c r="F340" s="510" t="str">
        <f>IF($C340="",IFERROR(VLOOKUP($B340,SERVIÇOS!$B:$G,3,0),IFERROR(VLOOKUP($B340,$D:$K,3,0),"")),IFERROR(VLOOKUP($C340,INSUMOS!$A:$D,3,0),IFERROR(VLOOKUP($C340,COTAÇÕES!$B:$I,3,0),(VLOOKUP($C340,'INSUMO SINAPI - SP'!$C:$F,3,0)))))</f>
        <v>M2</v>
      </c>
      <c r="G340" s="511">
        <v>3</v>
      </c>
      <c r="H340" s="512">
        <f>IF($C340="",IFERROR(VLOOKUP($B340,SERVIÇOS!$B:$G,6,0),IFERROR(VLOOKUP($B340,$D:$K,8,0),"")),IFERROR(VLOOKUP($C340,INSUMOS!$A:$D,4,0),IFERROR(VLOOKUP($C340,COTAÇÕES!$B:$I,7,0),(VLOOKUP($C340,'INSUMO SINAPI - SP'!$C:$F,4,0)))))</f>
        <v>27.73</v>
      </c>
      <c r="I340" s="513">
        <f>TRUNC(IF($C340="",IFERROR(VLOOKUP($B340,SERVIÇOS!$B:$G,4,0),IFERROR(VLOOKUP($B340,$D:$K,6,0),)),IFERROR(VLOOKUP($C340,INSUMOS!$A:$D,4,0),IFERROR(VLOOKUP($C340,COTAÇÕES!$B:$I,7,0),(VLOOKUP($C340,'INSUMO SINAPI - SP'!$C:$F,4,0)))))*$G340,2)</f>
        <v>68.61</v>
      </c>
      <c r="J340" s="513">
        <f>TRUNC(IF($C340="",IFERROR(VLOOKUP($B340,SERVIÇOS!$B:$G,5,0),IFERROR(VLOOKUP($B340,$D:$K,7,0),)),0)*$G340,2)</f>
        <v>14.58</v>
      </c>
      <c r="K340" s="514">
        <f t="shared" si="15"/>
        <v>83.19</v>
      </c>
      <c r="L340" s="515"/>
      <c r="M340" s="471"/>
      <c r="N340" s="516"/>
      <c r="Q340" s="472"/>
      <c r="R340" s="472"/>
      <c r="S340" s="472"/>
      <c r="T340" s="472"/>
      <c r="U340" s="472"/>
      <c r="V340" s="472"/>
      <c r="W340" s="472"/>
      <c r="X340" s="472"/>
      <c r="Y340" s="472"/>
    </row>
    <row r="341" spans="1:25" ht="36" x14ac:dyDescent="0.25">
      <c r="A341" s="463"/>
      <c r="B341" s="506">
        <v>100367</v>
      </c>
      <c r="C341" s="507"/>
      <c r="D341" s="508"/>
      <c r="E341" s="509" t="str">
        <f>IF($C341="",IFERROR(VLOOKUP($B341,SERVIÇOS!$B:$G,2,0),IFERROR(VLOOKUP($B341,$D:$K,2,0),"")),IFERROR(VLOOKUP($C341,INSUMOS!$A:$D,2,0),IFERROR(VLOOKUP($C341,COTAÇÕES!$B:$I,2,0),(VLOOKUP($C341,'INSUMO SINAPI - SP'!$C:$F,2,0)))))</f>
        <v>FABRICAÇÃO E INSTALAÇÃO DE MEIA TESOURA DE MADEIRA NÃO APARELHADA, COM VÃO DE 3 M, PARA TELHA ONDULADA DE FIBROCIMENTO, ALUMÍNIO, PLÁSTICA OU TERMOACÚSTICA, INCLUSO IÇAMENTO. AF_07/2019</v>
      </c>
      <c r="F341" s="510" t="str">
        <f>IF($C341="",IFERROR(VLOOKUP($B341,SERVIÇOS!$B:$G,3,0),IFERROR(VLOOKUP($B341,$D:$K,3,0),"")),IFERROR(VLOOKUP($C341,INSUMOS!$A:$D,3,0),IFERROR(VLOOKUP($C341,COTAÇÕES!$B:$I,3,0),(VLOOKUP($C341,'INSUMO SINAPI - SP'!$C:$F,3,0)))))</f>
        <v>UN</v>
      </c>
      <c r="G341" s="511">
        <v>2</v>
      </c>
      <c r="H341" s="512">
        <f>IF($C341="",IFERROR(VLOOKUP($B341,SERVIÇOS!$B:$G,6,0),IFERROR(VLOOKUP($B341,$D:$K,8,0),"")),IFERROR(VLOOKUP($C341,INSUMOS!$A:$D,4,0),IFERROR(VLOOKUP($C341,COTAÇÕES!$B:$I,7,0),(VLOOKUP($C341,'INSUMO SINAPI - SP'!$C:$F,4,0)))))</f>
        <v>1238.71</v>
      </c>
      <c r="I341" s="513">
        <f>TRUNC(IF($C341="",IFERROR(VLOOKUP($B341,SERVIÇOS!$B:$G,4,0),IFERROR(VLOOKUP($B341,$D:$K,6,0),)),IFERROR(VLOOKUP($C341,INSUMOS!$A:$D,4,0),IFERROR(VLOOKUP($C341,COTAÇÕES!$B:$I,7,0),(VLOOKUP($C341,'INSUMO SINAPI - SP'!$C:$F,4,0)))))*$G341,2)</f>
        <v>1725.28</v>
      </c>
      <c r="J341" s="513">
        <f>TRUNC(IF($C341="",IFERROR(VLOOKUP($B341,SERVIÇOS!$B:$G,5,0),IFERROR(VLOOKUP($B341,$D:$K,7,0),)),0)*$G341,2)</f>
        <v>752.14</v>
      </c>
      <c r="K341" s="514">
        <f t="shared" si="15"/>
        <v>2477.42</v>
      </c>
      <c r="L341" s="515"/>
      <c r="M341" s="471"/>
      <c r="N341" s="516"/>
      <c r="Q341" s="472"/>
      <c r="R341" s="472"/>
      <c r="S341" s="472"/>
      <c r="T341" s="472"/>
      <c r="U341" s="472"/>
      <c r="V341" s="472"/>
      <c r="W341" s="472"/>
      <c r="X341" s="472"/>
      <c r="Y341" s="472"/>
    </row>
    <row r="342" spans="1:25" ht="36" x14ac:dyDescent="0.25">
      <c r="A342" s="463"/>
      <c r="B342" s="506">
        <v>94207</v>
      </c>
      <c r="C342" s="507"/>
      <c r="D342" s="508"/>
      <c r="E342" s="509" t="str">
        <f>IF($C342="",IFERROR(VLOOKUP($B342,SERVIÇOS!$B:$G,2,0),IFERROR(VLOOKUP($B342,$D:$K,2,0),"")),IFERROR(VLOOKUP($C342,INSUMOS!$A:$D,2,0),IFERROR(VLOOKUP($C342,COTAÇÕES!$B:$I,2,0),(VLOOKUP($C342,'INSUMO SINAPI - SP'!$C:$F,2,0)))))</f>
        <v>TELHAMENTO COM TELHA ONDULADA DE FIBROCIMENTO E = 6 MM, COM RECOBRIMENTO LATERAL DE 1/4 DE ONDA PARA TELHADO COM INCLINAÇÃO MAIOR QUE 10°, COM ATÉ 2 ÁGUAS, INCLUSO IÇAMENTO. AF_07/2019</v>
      </c>
      <c r="F342" s="510" t="str">
        <f>IF($C342="",IFERROR(VLOOKUP($B342,SERVIÇOS!$B:$G,3,0),IFERROR(VLOOKUP($B342,$D:$K,3,0),"")),IFERROR(VLOOKUP($C342,INSUMOS!$A:$D,3,0),IFERROR(VLOOKUP($C342,COTAÇÕES!$B:$I,3,0),(VLOOKUP($C342,'INSUMO SINAPI - SP'!$C:$F,3,0)))))</f>
        <v>M2</v>
      </c>
      <c r="G342" s="511">
        <v>3</v>
      </c>
      <c r="H342" s="512">
        <f>IF($C342="",IFERROR(VLOOKUP($B342,SERVIÇOS!$B:$G,6,0),IFERROR(VLOOKUP($B342,$D:$K,8,0),"")),IFERROR(VLOOKUP($C342,INSUMOS!$A:$D,4,0),IFERROR(VLOOKUP($C342,COTAÇÕES!$B:$I,7,0),(VLOOKUP($C342,'INSUMO SINAPI - SP'!$C:$F,4,0)))))</f>
        <v>47.08</v>
      </c>
      <c r="I342" s="513">
        <f>TRUNC(IF($C342="",IFERROR(VLOOKUP($B342,SERVIÇOS!$B:$G,4,0),IFERROR(VLOOKUP($B342,$D:$K,6,0),)),IFERROR(VLOOKUP($C342,INSUMOS!$A:$D,4,0),IFERROR(VLOOKUP($C342,COTAÇÕES!$B:$I,7,0),(VLOOKUP($C342,'INSUMO SINAPI - SP'!$C:$F,4,0)))))*$G342,2)</f>
        <v>122.25</v>
      </c>
      <c r="J342" s="513">
        <f>TRUNC(IF($C342="",IFERROR(VLOOKUP($B342,SERVIÇOS!$B:$G,5,0),IFERROR(VLOOKUP($B342,$D:$K,7,0),)),0)*$G342,2)</f>
        <v>18.989999999999998</v>
      </c>
      <c r="K342" s="514">
        <f t="shared" si="15"/>
        <v>141.24</v>
      </c>
      <c r="L342" s="515"/>
      <c r="M342" s="471"/>
      <c r="N342" s="516"/>
      <c r="Q342" s="472"/>
      <c r="R342" s="472"/>
      <c r="S342" s="472"/>
      <c r="T342" s="472"/>
      <c r="U342" s="472"/>
      <c r="V342" s="472"/>
      <c r="W342" s="472"/>
      <c r="X342" s="472"/>
      <c r="Y342" s="472"/>
    </row>
    <row r="343" spans="1:25" ht="24" x14ac:dyDescent="0.25">
      <c r="A343" s="463"/>
      <c r="B343" s="506"/>
      <c r="C343" s="507">
        <v>998</v>
      </c>
      <c r="D343" s="508"/>
      <c r="E343" s="509" t="str">
        <f>IF($C343="",IFERROR(VLOOKUP($B343,SERVIÇOS!$B:$G,2,0),IFERROR(VLOOKUP($B343,$D:$K,2,0),"")),IFERROR(VLOOKUP($C343,INSUMOS!$A:$D,2,0),IFERROR(VLOOKUP($C343,COTAÇÕES!$B:$I,2,0),(VLOOKUP($C343,'INSUMO SINAPI - SP'!$C:$F,2,0)))))</f>
        <v>CABO DE COBRE, FLEXIVEL, CLASSE 4 OU 5, ISOLACAO EM PVC/A, ANTICHAMA BWF-B, COBERTURA PVC-ST1, ANTICHAMA BWF-B, 1 CONDUTOR, 0,6/1 KV, SECAO NOMINAL 95 MM2</v>
      </c>
      <c r="F343" s="510" t="str">
        <f>IF($C343="",IFERROR(VLOOKUP($B343,SERVIÇOS!$B:$G,3,0),IFERROR(VLOOKUP($B343,$D:$K,3,0),"")),IFERROR(VLOOKUP($C343,INSUMOS!$A:$D,3,0),IFERROR(VLOOKUP($C343,COTAÇÕES!$B:$I,3,0),(VLOOKUP($C343,'INSUMO SINAPI - SP'!$C:$F,3,0)))))</f>
        <v>M</v>
      </c>
      <c r="G343" s="511">
        <v>80</v>
      </c>
      <c r="H343" s="512">
        <f>IF($C343="",IFERROR(VLOOKUP($B343,SERVIÇOS!$B:$G,6,0),IFERROR(VLOOKUP($B343,$D:$K,8,0),"")),IFERROR(VLOOKUP($C343,INSUMOS!$A:$D,4,0),IFERROR(VLOOKUP($C343,COTAÇÕES!$B:$I,7,0),(VLOOKUP($C343,'INSUMO SINAPI - SP'!$C:$F,4,0)))))</f>
        <v>90.83</v>
      </c>
      <c r="I343" s="513">
        <f>TRUNC(IF($C343="",IFERROR(VLOOKUP($B343,SERVIÇOS!$B:$G,4,0),IFERROR(VLOOKUP($B343,$D:$K,6,0),)),IFERROR(VLOOKUP($C343,INSUMOS!$A:$D,4,0),IFERROR(VLOOKUP($C343,COTAÇÕES!$B:$I,7,0),(VLOOKUP($C343,'INSUMO SINAPI - SP'!$C:$F,4,0)))))*$G343,2)</f>
        <v>7266.4</v>
      </c>
      <c r="J343" s="513">
        <f>TRUNC(IF($C343="",IFERROR(VLOOKUP($B343,SERVIÇOS!$B:$G,5,0),IFERROR(VLOOKUP($B343,$D:$K,7,0),)),0)*$G343,2)</f>
        <v>0</v>
      </c>
      <c r="K343" s="514">
        <f t="shared" si="15"/>
        <v>7266.4</v>
      </c>
      <c r="L343" s="517"/>
      <c r="M343" s="471"/>
      <c r="N343" s="516"/>
      <c r="Q343" s="472"/>
      <c r="R343" s="472"/>
      <c r="S343" s="472"/>
      <c r="T343" s="472"/>
      <c r="U343" s="472"/>
      <c r="V343" s="472"/>
      <c r="W343" s="472"/>
      <c r="X343" s="472"/>
      <c r="Y343" s="472"/>
    </row>
    <row r="344" spans="1:25" x14ac:dyDescent="0.25">
      <c r="A344" s="463"/>
      <c r="B344" s="506"/>
      <c r="C344" s="507">
        <v>865</v>
      </c>
      <c r="D344" s="508"/>
      <c r="E344" s="509" t="str">
        <f>IF($C344="",IFERROR(VLOOKUP($B344,SERVIÇOS!$B:$G,2,0),IFERROR(VLOOKUP($B344,$D:$K,2,0),"")),IFERROR(VLOOKUP($C344,INSUMOS!$A:$D,2,0),IFERROR(VLOOKUP($C344,COTAÇÕES!$B:$I,2,0),(VLOOKUP($C344,'INSUMO SINAPI - SP'!$C:$F,2,0)))))</f>
        <v>CABO DE COBRE NU 95 MM2 MEIO-DURO</v>
      </c>
      <c r="F344" s="510" t="str">
        <f>IF($C344="",IFERROR(VLOOKUP($B344,SERVIÇOS!$B:$G,3,0),IFERROR(VLOOKUP($B344,$D:$K,3,0),"")),IFERROR(VLOOKUP($C344,INSUMOS!$A:$D,3,0),IFERROR(VLOOKUP($C344,COTAÇÕES!$B:$I,3,0),(VLOOKUP($C344,'INSUMO SINAPI - SP'!$C:$F,3,0)))))</f>
        <v>M</v>
      </c>
      <c r="G344" s="511">
        <v>15</v>
      </c>
      <c r="H344" s="512">
        <f>IF($C344="",IFERROR(VLOOKUP($B344,SERVIÇOS!$B:$G,6,0),IFERROR(VLOOKUP($B344,$D:$K,8,0),"")),IFERROR(VLOOKUP($C344,INSUMOS!$A:$D,4,0),IFERROR(VLOOKUP($C344,COTAÇÕES!$B:$I,7,0),(VLOOKUP($C344,'INSUMO SINAPI - SP'!$C:$F,4,0)))))</f>
        <v>99.9</v>
      </c>
      <c r="I344" s="513">
        <f>TRUNC(IF($C344="",IFERROR(VLOOKUP($B344,SERVIÇOS!$B:$G,4,0),IFERROR(VLOOKUP($B344,$D:$K,6,0),)),IFERROR(VLOOKUP($C344,INSUMOS!$A:$D,4,0),IFERROR(VLOOKUP($C344,COTAÇÕES!$B:$I,7,0),(VLOOKUP($C344,'INSUMO SINAPI - SP'!$C:$F,4,0)))))*$G344,2)</f>
        <v>1498.5</v>
      </c>
      <c r="J344" s="513">
        <f>TRUNC(IF($C344="",IFERROR(VLOOKUP($B344,SERVIÇOS!$B:$G,5,0),IFERROR(VLOOKUP($B344,$D:$K,7,0),)),0)*$G344,2)</f>
        <v>0</v>
      </c>
      <c r="K344" s="514">
        <f t="shared" si="15"/>
        <v>1498.5</v>
      </c>
      <c r="L344" s="517"/>
      <c r="M344" s="471"/>
      <c r="N344" s="516"/>
      <c r="Q344" s="472"/>
      <c r="R344" s="472"/>
      <c r="S344" s="472"/>
      <c r="T344" s="472"/>
      <c r="U344" s="472"/>
      <c r="V344" s="472"/>
      <c r="W344" s="472"/>
      <c r="X344" s="472"/>
      <c r="Y344" s="472"/>
    </row>
    <row r="345" spans="1:25" x14ac:dyDescent="0.25">
      <c r="A345" s="463"/>
      <c r="B345" s="506"/>
      <c r="C345" s="507" t="s">
        <v>12815</v>
      </c>
      <c r="D345" s="508"/>
      <c r="E345" s="518" t="s">
        <v>12816</v>
      </c>
      <c r="F345" s="519" t="s">
        <v>580</v>
      </c>
      <c r="G345" s="511">
        <v>2</v>
      </c>
      <c r="H345" s="520">
        <v>4.2</v>
      </c>
      <c r="I345" s="520">
        <f>TRUNC(H345*G345,2)</f>
        <v>8.4</v>
      </c>
      <c r="J345" s="521"/>
      <c r="K345" s="522">
        <f t="shared" si="15"/>
        <v>8.4</v>
      </c>
      <c r="L345" s="517" t="s">
        <v>12817</v>
      </c>
      <c r="M345" s="471"/>
      <c r="N345" s="516"/>
      <c r="Q345" s="472"/>
      <c r="R345" s="472"/>
      <c r="S345" s="472"/>
      <c r="T345" s="472"/>
      <c r="U345" s="472"/>
      <c r="V345" s="472"/>
      <c r="W345" s="472"/>
      <c r="X345" s="472"/>
      <c r="Y345" s="472"/>
    </row>
    <row r="346" spans="1:25" x14ac:dyDescent="0.25">
      <c r="A346" s="463"/>
      <c r="B346" s="506"/>
      <c r="C346" s="507">
        <v>11864</v>
      </c>
      <c r="D346" s="508"/>
      <c r="E346" s="509" t="str">
        <f>IF($C346="",IFERROR(VLOOKUP($B346,SERVIÇOS!$B:$G,2,0),IFERROR(VLOOKUP($B346,$D:$K,2,0),"")),IFERROR(VLOOKUP($C346,INSUMOS!$A:$D,2,0),IFERROR(VLOOKUP($C346,COTAÇÕES!$B:$I,2,0),(VLOOKUP($C346,'INSUMO SINAPI - SP'!$C:$F,2,0)))))</f>
        <v>CONECTOR METALICO TIPO PARAFUSO FENDIDO (SPLIT BOLT), PARA CABOS ATE 95 MM2</v>
      </c>
      <c r="F346" s="510" t="str">
        <f>IF($C346="",IFERROR(VLOOKUP($B346,SERVIÇOS!$B:$G,3,0),IFERROR(VLOOKUP($B346,$D:$K,3,0),"")),IFERROR(VLOOKUP($C346,INSUMOS!$A:$D,3,0),IFERROR(VLOOKUP($C346,COTAÇÕES!$B:$I,3,0),(VLOOKUP($C346,'INSUMO SINAPI - SP'!$C:$F,3,0)))))</f>
        <v>UN</v>
      </c>
      <c r="G346" s="511">
        <v>2</v>
      </c>
      <c r="H346" s="512">
        <f>IF($C346="",IFERROR(VLOOKUP($B346,SERVIÇOS!$B:$G,6,0),IFERROR(VLOOKUP($B346,$D:$K,8,0),"")),IFERROR(VLOOKUP($C346,INSUMOS!$A:$D,4,0),IFERROR(VLOOKUP($C346,COTAÇÕES!$B:$I,7,0),(VLOOKUP($C346,'INSUMO SINAPI - SP'!$C:$F,4,0)))))</f>
        <v>36.04</v>
      </c>
      <c r="I346" s="513">
        <f>TRUNC(IF($C346="",IFERROR(VLOOKUP($B346,SERVIÇOS!$B:$G,4,0),IFERROR(VLOOKUP($B346,$D:$K,6,0),)),IFERROR(VLOOKUP($C346,INSUMOS!$A:$D,4,0),IFERROR(VLOOKUP($C346,COTAÇÕES!$B:$I,7,0),(VLOOKUP($C346,'INSUMO SINAPI - SP'!$C:$F,4,0)))))*$G346,2)</f>
        <v>72.08</v>
      </c>
      <c r="J346" s="513">
        <f>TRUNC(IF($C346="",IFERROR(VLOOKUP($B346,SERVIÇOS!$B:$G,5,0),IFERROR(VLOOKUP($B346,$D:$K,7,0),)),0)*$G346,2)</f>
        <v>0</v>
      </c>
      <c r="K346" s="514">
        <f t="shared" si="15"/>
        <v>72.08</v>
      </c>
      <c r="L346" s="517"/>
      <c r="M346" s="471"/>
      <c r="N346" s="516"/>
      <c r="Q346" s="472"/>
      <c r="R346" s="472"/>
      <c r="S346" s="472"/>
      <c r="T346" s="472"/>
      <c r="U346" s="472"/>
      <c r="V346" s="472"/>
      <c r="W346" s="472"/>
      <c r="X346" s="472"/>
      <c r="Y346" s="472"/>
    </row>
    <row r="347" spans="1:25" ht="24" x14ac:dyDescent="0.25">
      <c r="A347" s="463"/>
      <c r="B347" s="506"/>
      <c r="C347" s="507" t="s">
        <v>12818</v>
      </c>
      <c r="D347" s="508"/>
      <c r="E347" s="509" t="str">
        <f>IF($C347="",IFERROR(VLOOKUP($B347,SERVIÇOS!$B:$G,2,0),IFERROR(VLOOKUP($B347,$D:$K,2,0),"")),IFERROR(VLOOKUP($C347,INSUMOS!$A:$D,2,0),IFERROR(VLOOKUP($C347,COTAÇÕES!$B:$I,2,0),(VLOOKUP($C347,'INSUMO SINAPI - SP'!$C:$F,2,0)))))</f>
        <v>CAIXA DE CONCRETO ARMADO PRE-MOLDADO, COM FUNDO E SEM TAMPA, DIMENSOES DE 0,30 X 0,30 X 0,30 M</v>
      </c>
      <c r="F347" s="510" t="str">
        <f>IF($C347="",IFERROR(VLOOKUP($B347,SERVIÇOS!$B:$G,3,0),IFERROR(VLOOKUP($B347,$D:$K,3,0),"")),IFERROR(VLOOKUP($C347,INSUMOS!$A:$D,3,0),IFERROR(VLOOKUP($C347,COTAÇÕES!$B:$I,3,0),(VLOOKUP($C347,'INSUMO SINAPI - SP'!$C:$F,3,0)))))</f>
        <v>UN</v>
      </c>
      <c r="G347" s="511">
        <v>1</v>
      </c>
      <c r="H347" s="512">
        <f>IF($C347="",IFERROR(VLOOKUP($B347,SERVIÇOS!$B:$G,6,0),IFERROR(VLOOKUP($B347,$D:$K,8,0),"")),IFERROR(VLOOKUP($C347,INSUMOS!$A:$D,4,0),IFERROR(VLOOKUP($C347,COTAÇÕES!$B:$I,7,0),(VLOOKUP($C347,'INSUMO SINAPI - SP'!$C:$F,4,0)))))</f>
        <v>123.02</v>
      </c>
      <c r="I347" s="513">
        <f>TRUNC(IF($C347="",IFERROR(VLOOKUP($B347,SERVIÇOS!$B:$G,4,0),IFERROR(VLOOKUP($B347,$D:$K,6,0),)),IFERROR(VLOOKUP($C347,INSUMOS!$A:$D,4,0),IFERROR(VLOOKUP($C347,COTAÇÕES!$B:$I,7,0),(VLOOKUP($C347,'INSUMO SINAPI - SP'!$C:$F,4,0)))))*$G347,2)</f>
        <v>123.02</v>
      </c>
      <c r="J347" s="513"/>
      <c r="K347" s="514">
        <f t="shared" si="15"/>
        <v>123.02</v>
      </c>
      <c r="L347" s="515" t="s">
        <v>12685</v>
      </c>
      <c r="M347" s="471"/>
      <c r="N347" s="516"/>
      <c r="Q347" s="472"/>
      <c r="R347" s="472"/>
      <c r="S347" s="472"/>
      <c r="T347" s="472"/>
      <c r="U347" s="472"/>
      <c r="V347" s="472"/>
      <c r="W347" s="472"/>
      <c r="X347" s="472"/>
      <c r="Y347" s="472"/>
    </row>
    <row r="348" spans="1:25" x14ac:dyDescent="0.25">
      <c r="A348" s="463"/>
      <c r="B348" s="506"/>
      <c r="C348" s="507">
        <v>2379</v>
      </c>
      <c r="D348" s="508"/>
      <c r="E348" s="509" t="str">
        <f>IF($C348="",IFERROR(VLOOKUP($B348,SERVIÇOS!$B:$G,2,0),IFERROR(VLOOKUP($B348,$D:$K,2,0),"")),IFERROR(VLOOKUP($C348,INSUMOS!$A:$D,2,0),IFERROR(VLOOKUP($C348,COTAÇÕES!$B:$I,2,0),(VLOOKUP($C348,'INSUMO SINAPI - SP'!$C:$F,2,0)))))</f>
        <v>DISJUNTOR TERMOMAGNETICO TRIPOLAR 400 A / 600 V, TIPO JXD / ICC - 40 KA</v>
      </c>
      <c r="F348" s="510" t="str">
        <f>IF($C348="",IFERROR(VLOOKUP($B348,SERVIÇOS!$B:$G,3,0),IFERROR(VLOOKUP($B348,$D:$K,3,0),"")),IFERROR(VLOOKUP($C348,INSUMOS!$A:$D,3,0),IFERROR(VLOOKUP($C348,COTAÇÕES!$B:$I,3,0),(VLOOKUP($C348,'INSUMO SINAPI - SP'!$C:$F,3,0)))))</f>
        <v>UN</v>
      </c>
      <c r="G348" s="511">
        <v>1</v>
      </c>
      <c r="H348" s="512">
        <f>IF($C348="",IFERROR(VLOOKUP($B348,SERVIÇOS!$B:$G,6,0),IFERROR(VLOOKUP($B348,$D:$K,8,0),"")),IFERROR(VLOOKUP($C348,INSUMOS!$A:$D,4,0),IFERROR(VLOOKUP($C348,COTAÇÕES!$B:$I,7,0),(VLOOKUP($C348,'INSUMO SINAPI - SP'!$C:$F,4,0)))))</f>
        <v>1347.56</v>
      </c>
      <c r="I348" s="513">
        <f>TRUNC(IF($C348="",IFERROR(VLOOKUP($B348,SERVIÇOS!$B:$G,4,0),IFERROR(VLOOKUP($B348,$D:$K,6,0),)),IFERROR(VLOOKUP($C348,INSUMOS!$A:$D,4,0),IFERROR(VLOOKUP($C348,COTAÇÕES!$B:$I,7,0),(VLOOKUP($C348,'INSUMO SINAPI - SP'!$C:$F,4,0)))))*$G348,2)</f>
        <v>1347.56</v>
      </c>
      <c r="J348" s="513">
        <f>TRUNC(IF($C348="",IFERROR(VLOOKUP($B348,SERVIÇOS!$B:$G,5,0),IFERROR(VLOOKUP($B348,$D:$K,7,0),)),0)*$G348,2)</f>
        <v>0</v>
      </c>
      <c r="K348" s="514">
        <f t="shared" si="15"/>
        <v>1347.56</v>
      </c>
      <c r="L348" s="517"/>
      <c r="M348" s="471"/>
      <c r="N348" s="516"/>
      <c r="Q348" s="472"/>
      <c r="R348" s="472"/>
      <c r="S348" s="472"/>
      <c r="T348" s="472"/>
      <c r="U348" s="472"/>
      <c r="V348" s="472"/>
      <c r="W348" s="472"/>
      <c r="X348" s="472"/>
      <c r="Y348" s="472"/>
    </row>
    <row r="349" spans="1:25" x14ac:dyDescent="0.25">
      <c r="A349" s="463"/>
      <c r="B349" s="506"/>
      <c r="C349" s="507">
        <v>2674</v>
      </c>
      <c r="D349" s="508"/>
      <c r="E349" s="509" t="str">
        <f>IF($C349="",IFERROR(VLOOKUP($B349,SERVIÇOS!$B:$G,2,0),IFERROR(VLOOKUP($B349,$D:$K,2,0),"")),IFERROR(VLOOKUP($C349,INSUMOS!$A:$D,2,0),IFERROR(VLOOKUP($C349,COTAÇÕES!$B:$I,2,0),(VLOOKUP($C349,'INSUMO SINAPI - SP'!$C:$F,2,0)))))</f>
        <v>ELETRODUTO DE PVC RIGIDO ROSCAVEL DE 3/4 ", SEM LUVA</v>
      </c>
      <c r="F349" s="510" t="str">
        <f>IF($C349="",IFERROR(VLOOKUP($B349,SERVIÇOS!$B:$G,3,0),IFERROR(VLOOKUP($B349,$D:$K,3,0),"")),IFERROR(VLOOKUP($C349,INSUMOS!$A:$D,3,0),IFERROR(VLOOKUP($C349,COTAÇÕES!$B:$I,3,0),(VLOOKUP($C349,'INSUMO SINAPI - SP'!$C:$F,3,0)))))</f>
        <v>M</v>
      </c>
      <c r="G349" s="511">
        <v>3</v>
      </c>
      <c r="H349" s="512">
        <f>IF($C349="",IFERROR(VLOOKUP($B349,SERVIÇOS!$B:$G,6,0),IFERROR(VLOOKUP($B349,$D:$K,8,0),"")),IFERROR(VLOOKUP($C349,INSUMOS!$A:$D,4,0),IFERROR(VLOOKUP($C349,COTAÇÕES!$B:$I,7,0),(VLOOKUP($C349,'INSUMO SINAPI - SP'!$C:$F,4,0)))))</f>
        <v>7.46</v>
      </c>
      <c r="I349" s="513">
        <f>TRUNC(IF($C349="",IFERROR(VLOOKUP($B349,SERVIÇOS!$B:$G,4,0),IFERROR(VLOOKUP($B349,$D:$K,6,0),)),IFERROR(VLOOKUP($C349,INSUMOS!$A:$D,4,0),IFERROR(VLOOKUP($C349,COTAÇÕES!$B:$I,7,0),(VLOOKUP($C349,'INSUMO SINAPI - SP'!$C:$F,4,0)))))*$G349,2)</f>
        <v>22.38</v>
      </c>
      <c r="J349" s="513">
        <f>TRUNC(IF($C349="",IFERROR(VLOOKUP($B349,SERVIÇOS!$B:$G,5,0),IFERROR(VLOOKUP($B349,$D:$K,7,0),)),0)*$G349,2)</f>
        <v>0</v>
      </c>
      <c r="K349" s="514">
        <f t="shared" si="15"/>
        <v>22.38</v>
      </c>
      <c r="L349" s="517"/>
      <c r="M349" s="471"/>
      <c r="N349" s="516"/>
      <c r="Q349" s="472"/>
      <c r="R349" s="472"/>
      <c r="S349" s="472"/>
      <c r="T349" s="472"/>
      <c r="U349" s="472"/>
      <c r="V349" s="472"/>
      <c r="W349" s="472"/>
      <c r="X349" s="472"/>
      <c r="Y349" s="472"/>
    </row>
    <row r="350" spans="1:25" x14ac:dyDescent="0.25">
      <c r="A350" s="463"/>
      <c r="B350" s="506"/>
      <c r="C350" s="507">
        <v>2686</v>
      </c>
      <c r="D350" s="508"/>
      <c r="E350" s="509" t="str">
        <f>IF($C350="",IFERROR(VLOOKUP($B350,SERVIÇOS!$B:$G,2,0),IFERROR(VLOOKUP($B350,$D:$K,2,0),"")),IFERROR(VLOOKUP($C350,INSUMOS!$A:$D,2,0),IFERROR(VLOOKUP($C350,COTAÇÕES!$B:$I,2,0),(VLOOKUP($C350,'INSUMO SINAPI - SP'!$C:$F,2,0)))))</f>
        <v>ELETRODUTO DE PVC RIGIDO ROSCAVEL DE 3 ", SEM LUVA</v>
      </c>
      <c r="F350" s="510" t="str">
        <f>IF($C350="",IFERROR(VLOOKUP($B350,SERVIÇOS!$B:$G,3,0),IFERROR(VLOOKUP($B350,$D:$K,3,0),"")),IFERROR(VLOOKUP($C350,INSUMOS!$A:$D,3,0),IFERROR(VLOOKUP($C350,COTAÇÕES!$B:$I,3,0),(VLOOKUP($C350,'INSUMO SINAPI - SP'!$C:$F,3,0)))))</f>
        <v>M</v>
      </c>
      <c r="G350" s="511">
        <v>12</v>
      </c>
      <c r="H350" s="512">
        <f>IF($C350="",IFERROR(VLOOKUP($B350,SERVIÇOS!$B:$G,6,0),IFERROR(VLOOKUP($B350,$D:$K,8,0),"")),IFERROR(VLOOKUP($C350,INSUMOS!$A:$D,4,0),IFERROR(VLOOKUP($C350,COTAÇÕES!$B:$I,7,0),(VLOOKUP($C350,'INSUMO SINAPI - SP'!$C:$F,4,0)))))</f>
        <v>51</v>
      </c>
      <c r="I350" s="513">
        <f>TRUNC(IF($C350="",IFERROR(VLOOKUP($B350,SERVIÇOS!$B:$G,4,0),IFERROR(VLOOKUP($B350,$D:$K,6,0),)),IFERROR(VLOOKUP($C350,INSUMOS!$A:$D,4,0),IFERROR(VLOOKUP($C350,COTAÇÕES!$B:$I,7,0),(VLOOKUP($C350,'INSUMO SINAPI - SP'!$C:$F,4,0)))))*$G350,2)</f>
        <v>612</v>
      </c>
      <c r="J350" s="513">
        <f>TRUNC(IF($C350="",IFERROR(VLOOKUP($B350,SERVIÇOS!$B:$G,5,0),IFERROR(VLOOKUP($B350,$D:$K,7,0),)),0)*$G350,2)</f>
        <v>0</v>
      </c>
      <c r="K350" s="514">
        <f t="shared" si="15"/>
        <v>612</v>
      </c>
      <c r="L350" s="517"/>
      <c r="M350" s="471"/>
      <c r="N350" s="516"/>
      <c r="Q350" s="472"/>
      <c r="R350" s="472"/>
      <c r="S350" s="472"/>
      <c r="T350" s="472"/>
      <c r="U350" s="472"/>
      <c r="V350" s="472"/>
      <c r="W350" s="472"/>
      <c r="X350" s="472"/>
      <c r="Y350" s="472"/>
    </row>
    <row r="351" spans="1:25" x14ac:dyDescent="0.25">
      <c r="A351" s="463"/>
      <c r="B351" s="506"/>
      <c r="C351" s="507" t="s">
        <v>12819</v>
      </c>
      <c r="D351" s="508"/>
      <c r="E351" s="509" t="str">
        <f>IF($C351="",IFERROR(VLOOKUP($B351,SERVIÇOS!$B:$G,2,0),IFERROR(VLOOKUP($B351,$D:$K,2,0),"")),IFERROR(VLOOKUP($C351,INSUMOS!$A:$D,2,0),IFERROR(VLOOKUP($C351,COTAÇÕES!$B:$I,2,0),(VLOOKUP($C351,'INSUMO SINAPI - SP'!$C:$F,2,0)))))</f>
        <v>JUNCAO 2 GARRAS PARA FITA PERFURADA</v>
      </c>
      <c r="F351" s="510" t="str">
        <f>IF($C351="",IFERROR(VLOOKUP($B351,SERVIÇOS!$B:$G,3,0),IFERROR(VLOOKUP($B351,$D:$K,3,0),"")),IFERROR(VLOOKUP($C351,INSUMOS!$A:$D,3,0),IFERROR(VLOOKUP($C351,COTAÇÕES!$B:$I,3,0),(VLOOKUP($C351,'INSUMO SINAPI - SP'!$C:$F,3,0)))))</f>
        <v>UN</v>
      </c>
      <c r="G351" s="511">
        <v>5</v>
      </c>
      <c r="H351" s="512">
        <f>IF($C351="",IFERROR(VLOOKUP($B351,SERVIÇOS!$B:$G,6,0),IFERROR(VLOOKUP($B351,$D:$K,8,0),"")),IFERROR(VLOOKUP($C351,INSUMOS!$A:$D,4,0),IFERROR(VLOOKUP($C351,COTAÇÕES!$B:$I,7,0),(VLOOKUP($C351,'INSUMO SINAPI - SP'!$C:$F,4,0)))))</f>
        <v>1.41</v>
      </c>
      <c r="I351" s="513">
        <f>TRUNC(IF($C351="",IFERROR(VLOOKUP($B351,SERVIÇOS!$B:$G,4,0),IFERROR(VLOOKUP($B351,$D:$K,6,0),)),IFERROR(VLOOKUP($C351,INSUMOS!$A:$D,4,0),IFERROR(VLOOKUP($C351,COTAÇÕES!$B:$I,7,0),(VLOOKUP($C351,'INSUMO SINAPI - SP'!$C:$F,4,0)))))*$G351,2)</f>
        <v>7.05</v>
      </c>
      <c r="J351" s="513"/>
      <c r="K351" s="514">
        <f t="shared" si="15"/>
        <v>7.05</v>
      </c>
      <c r="L351" s="515" t="s">
        <v>12685</v>
      </c>
      <c r="M351" s="471"/>
      <c r="N351" s="516"/>
      <c r="Q351" s="472"/>
      <c r="R351" s="472"/>
      <c r="S351" s="472"/>
      <c r="T351" s="472"/>
      <c r="U351" s="472"/>
      <c r="V351" s="472"/>
      <c r="W351" s="472"/>
      <c r="X351" s="472"/>
      <c r="Y351" s="472"/>
    </row>
    <row r="352" spans="1:25" x14ac:dyDescent="0.25">
      <c r="A352" s="463"/>
      <c r="B352" s="506"/>
      <c r="C352" s="507">
        <v>404</v>
      </c>
      <c r="D352" s="508"/>
      <c r="E352" s="509" t="str">
        <f>IF($C352="",IFERROR(VLOOKUP($B352,SERVIÇOS!$B:$G,2,0),IFERROR(VLOOKUP($B352,$D:$K,2,0),"")),IFERROR(VLOOKUP($C352,INSUMOS!$A:$D,2,0),IFERROR(VLOOKUP($C352,COTAÇÕES!$B:$I,2,0),(VLOOKUP($C352,'INSUMO SINAPI - SP'!$C:$F,2,0)))))</f>
        <v>FITA ISOLANTE DE BORRACHA AUTOFUSAO, USO ATE 69 KV (ALTA TENSAO), LARGURA DE 19 MM</v>
      </c>
      <c r="F352" s="510" t="str">
        <f>IF($C352="",IFERROR(VLOOKUP($B352,SERVIÇOS!$B:$G,3,0),IFERROR(VLOOKUP($B352,$D:$K,3,0),"")),IFERROR(VLOOKUP($C352,INSUMOS!$A:$D,3,0),IFERROR(VLOOKUP($C352,COTAÇÕES!$B:$I,3,0),(VLOOKUP($C352,'INSUMO SINAPI - SP'!$C:$F,3,0)))))</f>
        <v>M</v>
      </c>
      <c r="G352" s="511">
        <v>3</v>
      </c>
      <c r="H352" s="512">
        <f>IF($C352="",IFERROR(VLOOKUP($B352,SERVIÇOS!$B:$G,6,0),IFERROR(VLOOKUP($B352,$D:$K,8,0),"")),IFERROR(VLOOKUP($C352,INSUMOS!$A:$D,4,0),IFERROR(VLOOKUP($C352,COTAÇÕES!$B:$I,7,0),(VLOOKUP($C352,'INSUMO SINAPI - SP'!$C:$F,4,0)))))</f>
        <v>1.9</v>
      </c>
      <c r="I352" s="513">
        <f>TRUNC(IF($C352="",IFERROR(VLOOKUP($B352,SERVIÇOS!$B:$G,4,0),IFERROR(VLOOKUP($B352,$D:$K,6,0),)),IFERROR(VLOOKUP($C352,INSUMOS!$A:$D,4,0),IFERROR(VLOOKUP($C352,COTAÇÕES!$B:$I,7,0),(VLOOKUP($C352,'INSUMO SINAPI - SP'!$C:$F,4,0)))))*$G352,2)</f>
        <v>5.7</v>
      </c>
      <c r="J352" s="513">
        <f>TRUNC(IF($C352="",IFERROR(VLOOKUP($B352,SERVIÇOS!$B:$G,5,0),IFERROR(VLOOKUP($B352,$D:$K,7,0),)),0)*$G352,2)</f>
        <v>0</v>
      </c>
      <c r="K352" s="514">
        <f t="shared" si="15"/>
        <v>5.7</v>
      </c>
      <c r="L352" s="517"/>
      <c r="M352" s="471"/>
      <c r="N352" s="516"/>
      <c r="Q352" s="472"/>
      <c r="R352" s="472"/>
      <c r="S352" s="472"/>
      <c r="T352" s="472"/>
      <c r="U352" s="472"/>
      <c r="V352" s="472"/>
      <c r="W352" s="472"/>
      <c r="X352" s="472"/>
      <c r="Y352" s="472"/>
    </row>
    <row r="353" spans="1:25" x14ac:dyDescent="0.25">
      <c r="A353" s="463"/>
      <c r="B353" s="506"/>
      <c r="C353" s="507" t="s">
        <v>12820</v>
      </c>
      <c r="D353" s="508"/>
      <c r="E353" s="509" t="str">
        <f>IF($C353="",IFERROR(VLOOKUP($B353,SERVIÇOS!$B:$G,2,0),IFERROR(VLOOKUP($B353,$D:$K,2,0),"")),IFERROR(VLOOKUP($C353,INSUMOS!$A:$D,2,0),IFERROR(VLOOKUP($C353,COTAÇÕES!$B:$I,2,0),(VLOOKUP($C353,'INSUMO SINAPI - SP'!$C:$F,2,0)))))</f>
        <v>FITA METALICA PERFURADA, L = *18* MM, ROLO DE 30 M, CARGA RECOMENDADA = *30* KGF</v>
      </c>
      <c r="F353" s="510" t="str">
        <f>IF($C353="",IFERROR(VLOOKUP($B353,SERVIÇOS!$B:$G,3,0),IFERROR(VLOOKUP($B353,$D:$K,3,0),"")),IFERROR(VLOOKUP($C353,INSUMOS!$A:$D,3,0),IFERROR(VLOOKUP($C353,COTAÇÕES!$B:$I,3,0),(VLOOKUP($C353,'INSUMO SINAPI - SP'!$C:$F,3,0)))))</f>
        <v>UN</v>
      </c>
      <c r="G353" s="511">
        <v>0.33329999999999999</v>
      </c>
      <c r="H353" s="512">
        <f>IF($C353="",IFERROR(VLOOKUP($B353,SERVIÇOS!$B:$G,6,0),IFERROR(VLOOKUP($B353,$D:$K,8,0),"")),IFERROR(VLOOKUP($C353,INSUMOS!$A:$D,4,0),IFERROR(VLOOKUP($C353,COTAÇÕES!$B:$I,7,0),(VLOOKUP($C353,'INSUMO SINAPI - SP'!$C:$F,4,0)))))</f>
        <v>61.69</v>
      </c>
      <c r="I353" s="513">
        <f>TRUNC(IF($C353="",IFERROR(VLOOKUP($B353,SERVIÇOS!$B:$G,4,0),IFERROR(VLOOKUP($B353,$D:$K,6,0),)),IFERROR(VLOOKUP($C353,INSUMOS!$A:$D,4,0),IFERROR(VLOOKUP($C353,COTAÇÕES!$B:$I,7,0),(VLOOKUP($C353,'INSUMO SINAPI - SP'!$C:$F,4,0)))))*$G353,2)</f>
        <v>20.56</v>
      </c>
      <c r="J353" s="513"/>
      <c r="K353" s="514">
        <f t="shared" si="15"/>
        <v>20.56</v>
      </c>
      <c r="L353" s="515" t="s">
        <v>12685</v>
      </c>
      <c r="M353" s="471"/>
      <c r="N353" s="516"/>
      <c r="Q353" s="472"/>
      <c r="R353" s="472"/>
      <c r="S353" s="472"/>
      <c r="T353" s="472"/>
      <c r="U353" s="472"/>
      <c r="V353" s="472"/>
      <c r="W353" s="472"/>
      <c r="X353" s="472"/>
      <c r="Y353" s="472"/>
    </row>
    <row r="354" spans="1:25" ht="24" x14ac:dyDescent="0.25">
      <c r="A354" s="463"/>
      <c r="B354" s="506"/>
      <c r="C354" s="507">
        <v>3380</v>
      </c>
      <c r="D354" s="508"/>
      <c r="E354" s="509" t="str">
        <f>IF($C354="",IFERROR(VLOOKUP($B354,SERVIÇOS!$B:$G,2,0),IFERROR(VLOOKUP($B354,$D:$K,2,0),"")),IFERROR(VLOOKUP($C354,INSUMOS!$A:$D,2,0),IFERROR(VLOOKUP($C354,COTAÇÕES!$B:$I,2,0),(VLOOKUP($C354,'INSUMO SINAPI - SP'!$C:$F,2,0)))))</f>
        <v>HASTE DE ATERRAMENTO EM ACO COM 3,00 M DE COMPRIMENTO E DN = 5/8", REVESTIDA COM BAIXA CAMADA DE COBRE, COM CONECTOR TIPO GRAMPO</v>
      </c>
      <c r="F354" s="510" t="str">
        <f>IF($C354="",IFERROR(VLOOKUP($B354,SERVIÇOS!$B:$G,3,0),IFERROR(VLOOKUP($B354,$D:$K,3,0),"")),IFERROR(VLOOKUP($C354,INSUMOS!$A:$D,3,0),IFERROR(VLOOKUP($C354,COTAÇÕES!$B:$I,3,0),(VLOOKUP($C354,'INSUMO SINAPI - SP'!$C:$F,3,0)))))</f>
        <v>UN</v>
      </c>
      <c r="G354" s="511">
        <v>1</v>
      </c>
      <c r="H354" s="512">
        <f>IF($C354="",IFERROR(VLOOKUP($B354,SERVIÇOS!$B:$G,6,0),IFERROR(VLOOKUP($B354,$D:$K,8,0),"")),IFERROR(VLOOKUP($C354,INSUMOS!$A:$D,4,0),IFERROR(VLOOKUP($C354,COTAÇÕES!$B:$I,7,0),(VLOOKUP($C354,'INSUMO SINAPI - SP'!$C:$F,4,0)))))</f>
        <v>56.94</v>
      </c>
      <c r="I354" s="513">
        <f>TRUNC(IF($C354="",IFERROR(VLOOKUP($B354,SERVIÇOS!$B:$G,4,0),IFERROR(VLOOKUP($B354,$D:$K,6,0),)),IFERROR(VLOOKUP($C354,INSUMOS!$A:$D,4,0),IFERROR(VLOOKUP($C354,COTAÇÕES!$B:$I,7,0),(VLOOKUP($C354,'INSUMO SINAPI - SP'!$C:$F,4,0)))))*$G354,2)</f>
        <v>56.94</v>
      </c>
      <c r="J354" s="513">
        <f>TRUNC(IF($C354="",IFERROR(VLOOKUP($B354,SERVIÇOS!$B:$G,5,0),IFERROR(VLOOKUP($B354,$D:$K,7,0),)),0)*$G354,2)</f>
        <v>0</v>
      </c>
      <c r="K354" s="514">
        <f t="shared" si="15"/>
        <v>56.94</v>
      </c>
      <c r="L354" s="517"/>
      <c r="M354" s="471"/>
      <c r="N354" s="516"/>
      <c r="Q354" s="472"/>
      <c r="R354" s="472"/>
      <c r="S354" s="472"/>
      <c r="T354" s="472"/>
      <c r="U354" s="472"/>
      <c r="V354" s="472"/>
      <c r="W354" s="472"/>
      <c r="X354" s="472"/>
      <c r="Y354" s="472"/>
    </row>
    <row r="355" spans="1:25" ht="24" x14ac:dyDescent="0.25">
      <c r="A355" s="463"/>
      <c r="B355" s="506"/>
      <c r="C355" s="507">
        <v>3405</v>
      </c>
      <c r="D355" s="508"/>
      <c r="E355" s="509" t="str">
        <f>IF($C355="",IFERROR(VLOOKUP($B355,SERVIÇOS!$B:$G,2,0),IFERROR(VLOOKUP($B355,$D:$K,2,0),"")),IFERROR(VLOOKUP($C355,INSUMOS!$A:$D,2,0),IFERROR(VLOOKUP($C355,COTAÇÕES!$B:$I,2,0),(VLOOKUP($C355,'INSUMO SINAPI - SP'!$C:$F,2,0)))))</f>
        <v>ISOLADOR DE PORCELANA SUSPENSO, DISCO TIPO GARFO OLHAL, DIAMETRO DE 152 MM, PARA TENSAO DE *15* KV</v>
      </c>
      <c r="F355" s="510" t="str">
        <f>IF($C355="",IFERROR(VLOOKUP($B355,SERVIÇOS!$B:$G,3,0),IFERROR(VLOOKUP($B355,$D:$K,3,0),"")),IFERROR(VLOOKUP($C355,INSUMOS!$A:$D,3,0),IFERROR(VLOOKUP($C355,COTAÇÕES!$B:$I,3,0),(VLOOKUP($C355,'INSUMO SINAPI - SP'!$C:$F,3,0)))))</f>
        <v>UN</v>
      </c>
      <c r="G355" s="511">
        <v>3</v>
      </c>
      <c r="H355" s="512">
        <f>IF($C355="",IFERROR(VLOOKUP($B355,SERVIÇOS!$B:$G,6,0),IFERROR(VLOOKUP($B355,$D:$K,8,0),"")),IFERROR(VLOOKUP($C355,INSUMOS!$A:$D,4,0),IFERROR(VLOOKUP($C355,COTAÇÕES!$B:$I,7,0),(VLOOKUP($C355,'INSUMO SINAPI - SP'!$C:$F,4,0)))))</f>
        <v>96.37</v>
      </c>
      <c r="I355" s="513">
        <f>TRUNC(IF($C355="",IFERROR(VLOOKUP($B355,SERVIÇOS!$B:$G,4,0),IFERROR(VLOOKUP($B355,$D:$K,6,0),)),IFERROR(VLOOKUP($C355,INSUMOS!$A:$D,4,0),IFERROR(VLOOKUP($C355,COTAÇÕES!$B:$I,7,0),(VLOOKUP($C355,'INSUMO SINAPI - SP'!$C:$F,4,0)))))*$G355,2)</f>
        <v>289.11</v>
      </c>
      <c r="J355" s="513">
        <f>TRUNC(IF($C355="",IFERROR(VLOOKUP($B355,SERVIÇOS!$B:$G,5,0),IFERROR(VLOOKUP($B355,$D:$K,7,0),)),0)*$G355,2)</f>
        <v>0</v>
      </c>
      <c r="K355" s="514">
        <f t="shared" si="15"/>
        <v>289.11</v>
      </c>
      <c r="L355" s="517"/>
      <c r="M355" s="471"/>
      <c r="N355" s="516"/>
      <c r="Q355" s="472"/>
      <c r="R355" s="472"/>
      <c r="S355" s="472"/>
      <c r="T355" s="472"/>
      <c r="U355" s="472"/>
      <c r="V355" s="472"/>
      <c r="W355" s="472"/>
      <c r="X355" s="472"/>
      <c r="Y355" s="472"/>
    </row>
    <row r="356" spans="1:25" ht="24" x14ac:dyDescent="0.25">
      <c r="A356" s="463"/>
      <c r="B356" s="506"/>
      <c r="C356" s="507" t="s">
        <v>12821</v>
      </c>
      <c r="D356" s="508"/>
      <c r="E356" s="509" t="str">
        <f>IF($C356="",IFERROR(VLOOKUP($B356,SERVIÇOS!$B:$G,2,0),IFERROR(VLOOKUP($B356,$D:$K,2,0),"")),IFERROR(VLOOKUP($C356,INSUMOS!$A:$D,2,0),IFERROR(VLOOKUP($C356,COTAÇÕES!$B:$I,2,0),(VLOOKUP($C356,'INSUMO SINAPI - SP'!$C:$F,2,0)))))</f>
        <v>PARAFUSO M16 EM ACO GALVANIZADO, COMPRIMENTO = 125 MM, DIAMETRO = 16 MM, ROSCA MAQUINA, CABECA QUADRADA</v>
      </c>
      <c r="F356" s="510" t="str">
        <f>IF($C356="",IFERROR(VLOOKUP($B356,SERVIÇOS!$B:$G,3,0),IFERROR(VLOOKUP($B356,$D:$K,3,0),"")),IFERROR(VLOOKUP($C356,INSUMOS!$A:$D,3,0),IFERROR(VLOOKUP($C356,COTAÇÕES!$B:$I,3,0),(VLOOKUP($C356,'INSUMO SINAPI - SP'!$C:$F,3,0)))))</f>
        <v>UN</v>
      </c>
      <c r="G356" s="511">
        <v>4</v>
      </c>
      <c r="H356" s="512">
        <f>IF($C356="",IFERROR(VLOOKUP($B356,SERVIÇOS!$B:$G,6,0),IFERROR(VLOOKUP($B356,$D:$K,8,0),"")),IFERROR(VLOOKUP($C356,INSUMOS!$A:$D,4,0),IFERROR(VLOOKUP($C356,COTAÇÕES!$B:$I,7,0),(VLOOKUP($C356,'INSUMO SINAPI - SP'!$C:$F,4,0)))))</f>
        <v>10.85</v>
      </c>
      <c r="I356" s="513">
        <f>TRUNC(IF($C356="",IFERROR(VLOOKUP($B356,SERVIÇOS!$B:$G,4,0),IFERROR(VLOOKUP($B356,$D:$K,6,0),)),IFERROR(VLOOKUP($C356,INSUMOS!$A:$D,4,0),IFERROR(VLOOKUP($C356,COTAÇÕES!$B:$I,7,0),(VLOOKUP($C356,'INSUMO SINAPI - SP'!$C:$F,4,0)))))*$G356,2)</f>
        <v>43.4</v>
      </c>
      <c r="J356" s="513"/>
      <c r="K356" s="514">
        <f t="shared" si="15"/>
        <v>43.4</v>
      </c>
      <c r="L356" s="515" t="s">
        <v>12685</v>
      </c>
      <c r="M356" s="471"/>
      <c r="N356" s="516"/>
      <c r="Q356" s="472"/>
      <c r="R356" s="472"/>
      <c r="S356" s="472"/>
      <c r="T356" s="472"/>
      <c r="U356" s="472"/>
      <c r="V356" s="472"/>
      <c r="W356" s="472"/>
      <c r="X356" s="472"/>
      <c r="Y356" s="472"/>
    </row>
    <row r="357" spans="1:25" ht="24" x14ac:dyDescent="0.25">
      <c r="A357" s="463"/>
      <c r="B357" s="506"/>
      <c r="C357" s="507" t="s">
        <v>12822</v>
      </c>
      <c r="D357" s="508"/>
      <c r="E357" s="509" t="str">
        <f>IF($C357="",IFERROR(VLOOKUP($B357,SERVIÇOS!$B:$G,2,0),IFERROR(VLOOKUP($B357,$D:$K,2,0),"")),IFERROR(VLOOKUP($C357,INSUMOS!$A:$D,2,0),IFERROR(VLOOKUP($C357,COTAÇÕES!$B:$I,2,0),(VLOOKUP($C357,'INSUMO SINAPI - SP'!$C:$F,2,0)))))</f>
        <v>PARAFUSO M16 EM ACO GALVANIZADO, COMPRIMENTO = 250 MM, DIAMETRO = 16 MM, ROSCA MAQUINA, CABECA QUADRADA</v>
      </c>
      <c r="F357" s="510" t="str">
        <f>IF($C357="",IFERROR(VLOOKUP($B357,SERVIÇOS!$B:$G,3,0),IFERROR(VLOOKUP($B357,$D:$K,3,0),"")),IFERROR(VLOOKUP($C357,INSUMOS!$A:$D,3,0),IFERROR(VLOOKUP($C357,COTAÇÕES!$B:$I,3,0),(VLOOKUP($C357,'INSUMO SINAPI - SP'!$C:$F,3,0)))))</f>
        <v>UN</v>
      </c>
      <c r="G357" s="511">
        <v>2</v>
      </c>
      <c r="H357" s="512">
        <f>IF($C357="",IFERROR(VLOOKUP($B357,SERVIÇOS!$B:$G,6,0),IFERROR(VLOOKUP($B357,$D:$K,8,0),"")),IFERROR(VLOOKUP($C357,INSUMOS!$A:$D,4,0),IFERROR(VLOOKUP($C357,COTAÇÕES!$B:$I,7,0),(VLOOKUP($C357,'INSUMO SINAPI - SP'!$C:$F,4,0)))))</f>
        <v>15.91</v>
      </c>
      <c r="I357" s="513">
        <f>TRUNC(IF($C357="",IFERROR(VLOOKUP($B357,SERVIÇOS!$B:$G,4,0),IFERROR(VLOOKUP($B357,$D:$K,6,0),)),IFERROR(VLOOKUP($C357,INSUMOS!$A:$D,4,0),IFERROR(VLOOKUP($C357,COTAÇÕES!$B:$I,7,0),(VLOOKUP($C357,'INSUMO SINAPI - SP'!$C:$F,4,0)))))*$G357,2)</f>
        <v>31.82</v>
      </c>
      <c r="J357" s="513"/>
      <c r="K357" s="514">
        <f t="shared" si="15"/>
        <v>31.82</v>
      </c>
      <c r="L357" s="515" t="s">
        <v>12685</v>
      </c>
      <c r="M357" s="471"/>
      <c r="N357" s="516"/>
      <c r="Q357" s="472"/>
      <c r="R357" s="472"/>
      <c r="S357" s="472"/>
      <c r="T357" s="472"/>
      <c r="U357" s="472"/>
      <c r="V357" s="472"/>
      <c r="W357" s="472"/>
      <c r="X357" s="472"/>
      <c r="Y357" s="472"/>
    </row>
    <row r="358" spans="1:25" ht="24" x14ac:dyDescent="0.25">
      <c r="A358" s="463"/>
      <c r="B358" s="506"/>
      <c r="C358" s="507" t="s">
        <v>12823</v>
      </c>
      <c r="D358" s="508"/>
      <c r="E358" s="509" t="str">
        <f>IF($C358="",IFERROR(VLOOKUP($B358,SERVIÇOS!$B:$G,2,0),IFERROR(VLOOKUP($B358,$D:$K,2,0),"")),IFERROR(VLOOKUP($C358,INSUMOS!$A:$D,2,0),IFERROR(VLOOKUP($C358,COTAÇÕES!$B:$I,2,0),(VLOOKUP($C358,'INSUMO SINAPI - SP'!$C:$F,2,0)))))</f>
        <v>PARAFUSO M16 EM ACO GALVANIZADO, COMPRIMENTO = 300 MM, DIAMETRO = 16 MM, ROSCA MAQUINA, CABECA QUADRADA</v>
      </c>
      <c r="F358" s="510" t="str">
        <f>IF($C358="",IFERROR(VLOOKUP($B358,SERVIÇOS!$B:$G,3,0),IFERROR(VLOOKUP($B358,$D:$K,3,0),"")),IFERROR(VLOOKUP($C358,INSUMOS!$A:$D,3,0),IFERROR(VLOOKUP($C358,COTAÇÕES!$B:$I,3,0),(VLOOKUP($C358,'INSUMO SINAPI - SP'!$C:$F,3,0)))))</f>
        <v>UN</v>
      </c>
      <c r="G358" s="511">
        <v>2</v>
      </c>
      <c r="H358" s="512">
        <f>IF($C358="",IFERROR(VLOOKUP($B358,SERVIÇOS!$B:$G,6,0),IFERROR(VLOOKUP($B358,$D:$K,8,0),"")),IFERROR(VLOOKUP($C358,INSUMOS!$A:$D,4,0),IFERROR(VLOOKUP($C358,COTAÇÕES!$B:$I,7,0),(VLOOKUP($C358,'INSUMO SINAPI - SP'!$C:$F,4,0)))))</f>
        <v>18.28</v>
      </c>
      <c r="I358" s="513">
        <f>TRUNC(IF($C358="",IFERROR(VLOOKUP($B358,SERVIÇOS!$B:$G,4,0),IFERROR(VLOOKUP($B358,$D:$K,6,0),)),IFERROR(VLOOKUP($C358,INSUMOS!$A:$D,4,0),IFERROR(VLOOKUP($C358,COTAÇÕES!$B:$I,7,0),(VLOOKUP($C358,'INSUMO SINAPI - SP'!$C:$F,4,0)))))*$G358,2)</f>
        <v>36.56</v>
      </c>
      <c r="J358" s="513"/>
      <c r="K358" s="514">
        <f t="shared" si="15"/>
        <v>36.56</v>
      </c>
      <c r="L358" s="515" t="s">
        <v>12685</v>
      </c>
      <c r="M358" s="471"/>
      <c r="N358" s="516"/>
      <c r="Q358" s="472"/>
      <c r="R358" s="472"/>
      <c r="S358" s="472"/>
      <c r="T358" s="472"/>
      <c r="U358" s="472"/>
      <c r="V358" s="472"/>
      <c r="W358" s="472"/>
      <c r="X358" s="472"/>
      <c r="Y358" s="472"/>
    </row>
    <row r="359" spans="1:25" ht="24" x14ac:dyDescent="0.25">
      <c r="A359" s="463"/>
      <c r="B359" s="506"/>
      <c r="C359" s="507" t="s">
        <v>12698</v>
      </c>
      <c r="D359" s="508"/>
      <c r="E359" s="509" t="str">
        <f>IF($C359="",IFERROR(VLOOKUP($B359,SERVIÇOS!$B:$G,2,0),IFERROR(VLOOKUP($B359,$D:$K,2,0),"")),IFERROR(VLOOKUP($C359,INSUMOS!$A:$D,2,0),IFERROR(VLOOKUP($C359,COTAÇÕES!$B:$I,2,0),(VLOOKUP($C359,'INSUMO SINAPI - SP'!$C:$F,2,0)))))</f>
        <v>PARAFUSO FRANCES M16 EM ACO GALVANIZADO, COMPRIMENTO = 45 MM, DIAMETRO = 16 MM, CABECA ABAULADA</v>
      </c>
      <c r="F359" s="510" t="str">
        <f>IF($C359="",IFERROR(VLOOKUP($B359,SERVIÇOS!$B:$G,3,0),IFERROR(VLOOKUP($B359,$D:$K,3,0),"")),IFERROR(VLOOKUP($C359,INSUMOS!$A:$D,3,0),IFERROR(VLOOKUP($C359,COTAÇÕES!$B:$I,3,0),(VLOOKUP($C359,'INSUMO SINAPI - SP'!$C:$F,3,0)))))</f>
        <v>UN</v>
      </c>
      <c r="G359" s="511">
        <v>4</v>
      </c>
      <c r="H359" s="512">
        <f>IF($C359="",IFERROR(VLOOKUP($B359,SERVIÇOS!$B:$G,6,0),IFERROR(VLOOKUP($B359,$D:$K,8,0),"")),IFERROR(VLOOKUP($C359,INSUMOS!$A:$D,4,0),IFERROR(VLOOKUP($C359,COTAÇÕES!$B:$I,7,0),(VLOOKUP($C359,'INSUMO SINAPI - SP'!$C:$F,4,0)))))</f>
        <v>7.17</v>
      </c>
      <c r="I359" s="513">
        <f>TRUNC(IF($C359="",IFERROR(VLOOKUP($B359,SERVIÇOS!$B:$G,4,0),IFERROR(VLOOKUP($B359,$D:$K,6,0),)),IFERROR(VLOOKUP($C359,INSUMOS!$A:$D,4,0),IFERROR(VLOOKUP($C359,COTAÇÕES!$B:$I,7,0),(VLOOKUP($C359,'INSUMO SINAPI - SP'!$C:$F,4,0)))))*$G359,2)</f>
        <v>28.68</v>
      </c>
      <c r="J359" s="513"/>
      <c r="K359" s="514">
        <f t="shared" si="15"/>
        <v>28.68</v>
      </c>
      <c r="L359" s="515" t="s">
        <v>12685</v>
      </c>
      <c r="M359" s="471"/>
      <c r="N359" s="516"/>
      <c r="Q359" s="472"/>
      <c r="R359" s="472"/>
      <c r="S359" s="472"/>
      <c r="T359" s="472"/>
      <c r="U359" s="472"/>
      <c r="V359" s="472"/>
      <c r="W359" s="472"/>
      <c r="X359" s="472"/>
      <c r="Y359" s="472"/>
    </row>
    <row r="360" spans="1:25" x14ac:dyDescent="0.25">
      <c r="A360" s="463"/>
      <c r="B360" s="506"/>
      <c r="C360" s="507" t="s">
        <v>12824</v>
      </c>
      <c r="D360" s="508"/>
      <c r="E360" s="509" t="str">
        <f>IF($C360="",IFERROR(VLOOKUP($B360,SERVIÇOS!$B:$G,2,0),IFERROR(VLOOKUP($B360,$D:$K,2,0),"")),IFERROR(VLOOKUP($C360,INSUMOS!$A:$D,2,0),IFERROR(VLOOKUP($C360,COTAÇÕES!$B:$I,2,0),(VLOOKUP($C360,'INSUMO SINAPI - SP'!$C:$F,2,0)))))</f>
        <v>PARA-RAIOS DE DISTRIBUICAO, TENSAO NOMINAL 15 KV, CORRENTE NOMINAL DE DESCARGA 5 KA</v>
      </c>
      <c r="F360" s="510" t="str">
        <f>IF($C360="",IFERROR(VLOOKUP($B360,SERVIÇOS!$B:$G,3,0),IFERROR(VLOOKUP($B360,$D:$K,3,0),"")),IFERROR(VLOOKUP($C360,INSUMOS!$A:$D,3,0),IFERROR(VLOOKUP($C360,COTAÇÕES!$B:$I,3,0),(VLOOKUP($C360,'INSUMO SINAPI - SP'!$C:$F,3,0)))))</f>
        <v>UN</v>
      </c>
      <c r="G360" s="511">
        <v>3</v>
      </c>
      <c r="H360" s="512">
        <f>IF($C360="",IFERROR(VLOOKUP($B360,SERVIÇOS!$B:$G,6,0),IFERROR(VLOOKUP($B360,$D:$K,8,0),"")),IFERROR(VLOOKUP($C360,INSUMOS!$A:$D,4,0),IFERROR(VLOOKUP($C360,COTAÇÕES!$B:$I,7,0),(VLOOKUP($C360,'INSUMO SINAPI - SP'!$C:$F,4,0)))))</f>
        <v>216.09</v>
      </c>
      <c r="I360" s="513">
        <f>TRUNC(IF($C360="",IFERROR(VLOOKUP($B360,SERVIÇOS!$B:$G,4,0),IFERROR(VLOOKUP($B360,$D:$K,6,0),)),IFERROR(VLOOKUP($C360,INSUMOS!$A:$D,4,0),IFERROR(VLOOKUP($C360,COTAÇÕES!$B:$I,7,0),(VLOOKUP($C360,'INSUMO SINAPI - SP'!$C:$F,4,0)))))*$G360,2)</f>
        <v>648.27</v>
      </c>
      <c r="J360" s="513"/>
      <c r="K360" s="514">
        <f t="shared" si="15"/>
        <v>648.27</v>
      </c>
      <c r="L360" s="515" t="s">
        <v>12685</v>
      </c>
      <c r="M360" s="471"/>
      <c r="N360" s="516"/>
      <c r="Q360" s="472"/>
      <c r="R360" s="472"/>
      <c r="S360" s="472"/>
      <c r="T360" s="472"/>
      <c r="U360" s="472"/>
      <c r="V360" s="472"/>
      <c r="W360" s="472"/>
      <c r="X360" s="472"/>
      <c r="Y360" s="472"/>
    </row>
    <row r="361" spans="1:25" ht="24" x14ac:dyDescent="0.25">
      <c r="A361" s="463"/>
      <c r="B361" s="506"/>
      <c r="C361" s="507" t="s">
        <v>12825</v>
      </c>
      <c r="D361" s="508"/>
      <c r="E361" s="509" t="str">
        <f>IF($C361="",IFERROR(VLOOKUP($B361,SERVIÇOS!$B:$G,2,0),IFERROR(VLOOKUP($B361,$D:$K,2,0),"")),IFERROR(VLOOKUP($C361,INSUMOS!$A:$D,2,0),IFERROR(VLOOKUP($C361,COTAÇÕES!$B:$I,2,0),(VLOOKUP($C361,'INSUMO SINAPI - SP'!$C:$F,2,0)))))</f>
        <v>PERFIL "U" SIMPLES, EM CHAPA DOBRADA DE ACO LAMINADO, E = 3 MM, H = 200 MM, L = 50 MM (6,83 KG/M)</v>
      </c>
      <c r="F361" s="510" t="str">
        <f>IF($C361="",IFERROR(VLOOKUP($B361,SERVIÇOS!$B:$G,3,0),IFERROR(VLOOKUP($B361,$D:$K,3,0),"")),IFERROR(VLOOKUP($C361,INSUMOS!$A:$D,3,0),IFERROR(VLOOKUP($C361,COTAÇÕES!$B:$I,3,0),(VLOOKUP($C361,'INSUMO SINAPI - SP'!$C:$F,3,0)))))</f>
        <v>KG</v>
      </c>
      <c r="G361" s="511">
        <v>10</v>
      </c>
      <c r="H361" s="512">
        <f>IF($C361="",IFERROR(VLOOKUP($B361,SERVIÇOS!$B:$G,6,0),IFERROR(VLOOKUP($B361,$D:$K,8,0),"")),IFERROR(VLOOKUP($C361,INSUMOS!$A:$D,4,0),IFERROR(VLOOKUP($C361,COTAÇÕES!$B:$I,7,0),(VLOOKUP($C361,'INSUMO SINAPI - SP'!$C:$F,4,0)))))</f>
        <v>9.1199999999999992</v>
      </c>
      <c r="I361" s="513">
        <f>TRUNC(IF($C361="",IFERROR(VLOOKUP($B361,SERVIÇOS!$B:$G,4,0),IFERROR(VLOOKUP($B361,$D:$K,6,0),)),IFERROR(VLOOKUP($C361,INSUMOS!$A:$D,4,0),IFERROR(VLOOKUP($C361,COTAÇÕES!$B:$I,7,0),(VLOOKUP($C361,'INSUMO SINAPI - SP'!$C:$F,4,0)))))*$G361,2)</f>
        <v>91.2</v>
      </c>
      <c r="J361" s="513"/>
      <c r="K361" s="514">
        <f t="shared" si="15"/>
        <v>91.2</v>
      </c>
      <c r="L361" s="515" t="s">
        <v>12685</v>
      </c>
      <c r="M361" s="471"/>
      <c r="N361" s="516"/>
      <c r="Q361" s="472"/>
      <c r="R361" s="472"/>
      <c r="S361" s="472"/>
      <c r="T361" s="472"/>
      <c r="U361" s="472"/>
      <c r="V361" s="472"/>
      <c r="W361" s="472"/>
      <c r="X361" s="472"/>
      <c r="Y361" s="472"/>
    </row>
    <row r="362" spans="1:25" ht="24" x14ac:dyDescent="0.25">
      <c r="A362" s="463"/>
      <c r="B362" s="506"/>
      <c r="C362" s="507" t="s">
        <v>12826</v>
      </c>
      <c r="D362" s="508"/>
      <c r="E362" s="509" t="str">
        <f>IF($C362="",IFERROR(VLOOKUP($B362,SERVIÇOS!$B:$G,2,0),IFERROR(VLOOKUP($B362,$D:$K,2,0),"")),IFERROR(VLOOKUP($C362,INSUMOS!$A:$D,2,0),IFERROR(VLOOKUP($C362,COTAÇÕES!$B:$I,2,0),(VLOOKUP($C362,'INSUMO SINAPI - SP'!$C:$F,2,0)))))</f>
        <v>TRANSFORMADOR TRIFASICO DE DISTRIBUICAO, POTENCIA DE 150 KVA, TENSAO NOMINAL DE 15 KV, TENSAO SECUNDARIA DE 220/127V, EM OLEO ISOLANTE TIPO MINERAL</v>
      </c>
      <c r="F362" s="510" t="str">
        <f>IF($C362="",IFERROR(VLOOKUP($B362,SERVIÇOS!$B:$G,3,0),IFERROR(VLOOKUP($B362,$D:$K,3,0),"")),IFERROR(VLOOKUP($C362,INSUMOS!$A:$D,3,0),IFERROR(VLOOKUP($C362,COTAÇÕES!$B:$I,3,0),(VLOOKUP($C362,'INSUMO SINAPI - SP'!$C:$F,3,0)))))</f>
        <v>UN</v>
      </c>
      <c r="G362" s="511">
        <v>1</v>
      </c>
      <c r="H362" s="512">
        <f>IF($C362="",IFERROR(VLOOKUP($B362,SERVIÇOS!$B:$G,6,0),IFERROR(VLOOKUP($B362,$D:$K,8,0),"")),IFERROR(VLOOKUP($C362,INSUMOS!$A:$D,4,0),IFERROR(VLOOKUP($C362,COTAÇÕES!$B:$I,7,0),(VLOOKUP($C362,'INSUMO SINAPI - SP'!$C:$F,4,0)))))</f>
        <v>24054.22</v>
      </c>
      <c r="I362" s="513">
        <f>TRUNC(IF($C362="",IFERROR(VLOOKUP($B362,SERVIÇOS!$B:$G,4,0),IFERROR(VLOOKUP($B362,$D:$K,6,0),)),IFERROR(VLOOKUP($C362,INSUMOS!$A:$D,4,0),IFERROR(VLOOKUP($C362,COTAÇÕES!$B:$I,7,0),(VLOOKUP($C362,'INSUMO SINAPI - SP'!$C:$F,4,0)))))*$G362,2)</f>
        <v>24054.22</v>
      </c>
      <c r="J362" s="513"/>
      <c r="K362" s="514">
        <f t="shared" si="15"/>
        <v>24054.22</v>
      </c>
      <c r="L362" s="515" t="s">
        <v>12685</v>
      </c>
      <c r="M362" s="471"/>
      <c r="N362" s="516"/>
      <c r="Q362" s="472"/>
      <c r="R362" s="472"/>
      <c r="S362" s="472"/>
      <c r="T362" s="472"/>
      <c r="U362" s="472"/>
      <c r="V362" s="472"/>
      <c r="W362" s="472"/>
      <c r="X362" s="472"/>
      <c r="Y362" s="472"/>
    </row>
    <row r="363" spans="1:25" ht="48" x14ac:dyDescent="0.25">
      <c r="A363" s="463"/>
      <c r="B363" s="498"/>
      <c r="C363" s="498"/>
      <c r="D363" s="499" t="s">
        <v>12534</v>
      </c>
      <c r="E363" s="500" t="s">
        <v>12827</v>
      </c>
      <c r="F363" s="501" t="s">
        <v>580</v>
      </c>
      <c r="G363" s="502"/>
      <c r="H363" s="503"/>
      <c r="I363" s="504">
        <f>ROUND(SUM(I364:I368),2)</f>
        <v>174370.05</v>
      </c>
      <c r="J363" s="504">
        <f>ROUND(SUM(J364),2)</f>
        <v>0</v>
      </c>
      <c r="K363" s="504">
        <f>ROUND(SUM(K364:K368),2)</f>
        <v>176102.8</v>
      </c>
      <c r="L363" s="523" t="s">
        <v>12828</v>
      </c>
      <c r="M363" s="471"/>
      <c r="N363" s="505"/>
      <c r="Q363" s="472"/>
      <c r="R363" s="472"/>
      <c r="S363" s="472"/>
      <c r="T363" s="472"/>
      <c r="U363" s="472"/>
      <c r="V363" s="472"/>
      <c r="W363" s="472"/>
      <c r="X363" s="472"/>
      <c r="Y363" s="472"/>
    </row>
    <row r="364" spans="1:25" ht="24" x14ac:dyDescent="0.25">
      <c r="A364" s="463"/>
      <c r="B364" s="506"/>
      <c r="C364" s="507">
        <v>39587</v>
      </c>
      <c r="D364" s="508"/>
      <c r="E364" s="509" t="str">
        <f>IF($C364="",IFERROR(VLOOKUP($B364,SERVIÇOS!$B:$G,2,0),IFERROR(VLOOKUP($B364,$D:$K,2,0),"")),IFERROR(VLOOKUP($C364,INSUMOS!$A:$D,2,0),IFERROR(VLOOKUP($C364,COTAÇÕES!$B:$I,2,0),(VLOOKUP($C364,'INSUMO SINAPI - SP'!$C:$F,2,0)))))</f>
        <v>GRUPO GERADOR DIESEL, COM CARENAGEM, POTENCIA STANDART ENTRE 210 E 220 KVA, VELOCIDADE DE 1800 RPM, FREQUENCIA DE 60 HZ</v>
      </c>
      <c r="F364" s="510" t="str">
        <f>IF($C364="",IFERROR(VLOOKUP($B364,SERVIÇOS!$B:$G,3,0),IFERROR(VLOOKUP($B364,$D:$K,3,0),"")),IFERROR(VLOOKUP($C364,INSUMOS!$A:$D,3,0),IFERROR(VLOOKUP($C364,COTAÇÕES!$B:$I,3,0),(VLOOKUP($C364,'INSUMO SINAPI - SP'!$C:$F,3,0)))))</f>
        <v>UN</v>
      </c>
      <c r="G364" s="511">
        <v>1</v>
      </c>
      <c r="H364" s="512">
        <f>IF($C364="",IFERROR(VLOOKUP($B364,SERVIÇOS!$B:$G,6,0),IFERROR(VLOOKUP($B364,$D:$K,8,0),"")),IFERROR(VLOOKUP($C364,INSUMOS!$A:$D,4,0),IFERROR(VLOOKUP($C364,COTAÇÕES!$B:$I,7,0),(VLOOKUP($C364,'INSUMO SINAPI - SP'!$C:$F,4,0)))))</f>
        <v>173515.74</v>
      </c>
      <c r="I364" s="513">
        <f>TRUNC(IF($C364="",IFERROR(VLOOKUP($B364,SERVIÇOS!$B:$G,4,0),IFERROR(VLOOKUP($B364,$D:$K,6,0),)),IFERROR(VLOOKUP($C364,INSUMOS!$A:$D,4,0),IFERROR(VLOOKUP($C364,COTAÇÕES!$B:$I,7,0),(VLOOKUP($C364,'INSUMO SINAPI - SP'!$C:$F,4,0)))))*$G364,2)</f>
        <v>173515.74</v>
      </c>
      <c r="J364" s="513">
        <f>TRUNC(IF($C364="",IFERROR(VLOOKUP($B364,SERVIÇOS!$B:$G,5,0),IFERROR(VLOOKUP($B364,$D:$K,7,0),)),0)*$G364,2)</f>
        <v>0</v>
      </c>
      <c r="K364" s="514">
        <f>I364+J364</f>
        <v>173515.74</v>
      </c>
      <c r="L364" s="515"/>
      <c r="M364" s="471"/>
      <c r="N364" s="516"/>
      <c r="Q364" s="472"/>
      <c r="R364" s="472"/>
      <c r="S364" s="472"/>
      <c r="T364" s="472"/>
      <c r="U364" s="472"/>
      <c r="V364" s="472"/>
      <c r="W364" s="472"/>
      <c r="X364" s="472"/>
      <c r="Y364" s="472"/>
    </row>
    <row r="365" spans="1:25" x14ac:dyDescent="0.25">
      <c r="A365" s="463"/>
      <c r="B365" s="506">
        <v>88264</v>
      </c>
      <c r="C365" s="507"/>
      <c r="D365" s="508"/>
      <c r="E365" s="509" t="str">
        <f>IF($C365="",IFERROR(VLOOKUP($B365,SERVIÇOS!$B:$G,2,0),IFERROR(VLOOKUP($B365,$D:$K,2,0),"")),IFERROR(VLOOKUP($C365,INSUMOS!$A:$D,2,0),IFERROR(VLOOKUP($C365,COTAÇÕES!$B:$I,2,0),(VLOOKUP($C365,'INSUMO SINAPI - SP'!$C:$F,2,0)))))</f>
        <v>ELETRICISTA COM ENCARGOS COMPLEMENTARES</v>
      </c>
      <c r="F365" s="510" t="str">
        <f>IF($C365="",IFERROR(VLOOKUP($B365,SERVIÇOS!$B:$G,3,0),IFERROR(VLOOKUP($B365,$D:$K,3,0),"")),IFERROR(VLOOKUP($C365,INSUMOS!$A:$D,3,0),IFERROR(VLOOKUP($C365,COTAÇÕES!$B:$I,3,0),(VLOOKUP($C365,'INSUMO SINAPI - SP'!$C:$F,3,0)))))</f>
        <v>H</v>
      </c>
      <c r="G365" s="511">
        <v>20</v>
      </c>
      <c r="H365" s="512">
        <f>IF($C365="",IFERROR(VLOOKUP($B365,SERVIÇOS!$B:$G,6,0),IFERROR(VLOOKUP($B365,$D:$K,8,0),"")),IFERROR(VLOOKUP($C365,INSUMOS!$A:$D,4,0),IFERROR(VLOOKUP($C365,COTAÇÕES!$B:$I,7,0),(VLOOKUP($C365,'INSUMO SINAPI - SP'!$C:$F,4,0)))))</f>
        <v>37.369999999999997</v>
      </c>
      <c r="I365" s="513">
        <f>TRUNC(IF($C365="",IFERROR(VLOOKUP($B365,SERVIÇOS!$B:$G,4,0),IFERROR(VLOOKUP($B365,$D:$K,6,0),)),IFERROR(VLOOKUP($C365,INSUMOS!$A:$D,4,0),IFERROR(VLOOKUP($C365,COTAÇÕES!$B:$I,7,0),(VLOOKUP($C365,'INSUMO SINAPI - SP'!$C:$F,4,0)))))*$G365,2)</f>
        <v>186.2</v>
      </c>
      <c r="J365" s="513">
        <f>TRUNC(IF($C365="",IFERROR(VLOOKUP($B365,SERVIÇOS!$B:$G,5,0),IFERROR(VLOOKUP($B365,$D:$K,7,0),)),0)*$G365,2)</f>
        <v>561.20000000000005</v>
      </c>
      <c r="K365" s="514">
        <f>I365+J365</f>
        <v>747.40000000000009</v>
      </c>
      <c r="L365" s="515"/>
      <c r="M365" s="471"/>
      <c r="N365" s="516"/>
      <c r="Q365" s="472"/>
      <c r="R365" s="472"/>
      <c r="S365" s="472"/>
      <c r="T365" s="472"/>
      <c r="U365" s="472"/>
      <c r="V365" s="472"/>
      <c r="W365" s="472"/>
      <c r="X365" s="472"/>
      <c r="Y365" s="472"/>
    </row>
    <row r="366" spans="1:25" x14ac:dyDescent="0.25">
      <c r="A366" s="463"/>
      <c r="B366" s="506">
        <v>88266</v>
      </c>
      <c r="C366" s="507"/>
      <c r="D366" s="508"/>
      <c r="E366" s="509" t="str">
        <f>IF($C366="",IFERROR(VLOOKUP($B366,SERVIÇOS!$B:$G,2,0),IFERROR(VLOOKUP($B366,$D:$K,2,0),"")),IFERROR(VLOOKUP($C366,INSUMOS!$A:$D,2,0),IFERROR(VLOOKUP($C366,COTAÇÕES!$B:$I,2,0),(VLOOKUP($C366,'INSUMO SINAPI - SP'!$C:$F,2,0)))))</f>
        <v>ELETROTÉCNICO COM ENCARGOS COMPLEMENTARES</v>
      </c>
      <c r="F366" s="510" t="str">
        <f>IF($C366="",IFERROR(VLOOKUP($B366,SERVIÇOS!$B:$G,3,0),IFERROR(VLOOKUP($B366,$D:$K,3,0),"")),IFERROR(VLOOKUP($C366,INSUMOS!$A:$D,3,0),IFERROR(VLOOKUP($C366,COTAÇÕES!$B:$I,3,0),(VLOOKUP($C366,'INSUMO SINAPI - SP'!$C:$F,3,0)))))</f>
        <v>H</v>
      </c>
      <c r="G366" s="511">
        <v>8</v>
      </c>
      <c r="H366" s="512">
        <f>IF($C366="",IFERROR(VLOOKUP($B366,SERVIÇOS!$B:$G,6,0),IFERROR(VLOOKUP($B366,$D:$K,8,0),"")),IFERROR(VLOOKUP($C366,INSUMOS!$A:$D,4,0),IFERROR(VLOOKUP($C366,COTAÇÕES!$B:$I,7,0),(VLOOKUP($C366,'INSUMO SINAPI - SP'!$C:$F,4,0)))))</f>
        <v>44.39</v>
      </c>
      <c r="I366" s="513">
        <f>TRUNC(IF($C366="",IFERROR(VLOOKUP($B366,SERVIÇOS!$B:$G,4,0),IFERROR(VLOOKUP($B366,$D:$K,6,0),)),IFERROR(VLOOKUP($C366,INSUMOS!$A:$D,4,0),IFERROR(VLOOKUP($C366,COTAÇÕES!$B:$I,7,0),(VLOOKUP($C366,'INSUMO SINAPI - SP'!$C:$F,4,0)))))*$G366,2)</f>
        <v>74.48</v>
      </c>
      <c r="J366" s="513">
        <f>TRUNC(IF($C366="",IFERROR(VLOOKUP($B366,SERVIÇOS!$B:$G,5,0),IFERROR(VLOOKUP($B366,$D:$K,7,0),)),0)*$G366,2)</f>
        <v>280.64</v>
      </c>
      <c r="K366" s="514">
        <f>I366+J366</f>
        <v>355.12</v>
      </c>
      <c r="L366" s="515"/>
      <c r="M366" s="471"/>
      <c r="N366" s="516"/>
      <c r="Q366" s="472"/>
      <c r="R366" s="472"/>
      <c r="S366" s="472"/>
      <c r="T366" s="472"/>
      <c r="U366" s="472"/>
      <c r="V366" s="472"/>
      <c r="W366" s="472"/>
      <c r="X366" s="472"/>
      <c r="Y366" s="472"/>
    </row>
    <row r="367" spans="1:25" x14ac:dyDescent="0.25">
      <c r="A367" s="463"/>
      <c r="B367" s="506">
        <v>88247</v>
      </c>
      <c r="C367" s="507"/>
      <c r="D367" s="508"/>
      <c r="E367" s="509" t="str">
        <f>IF($C367="",IFERROR(VLOOKUP($B367,SERVIÇOS!$B:$G,2,0),IFERROR(VLOOKUP($B367,$D:$K,2,0),"")),IFERROR(VLOOKUP($C367,INSUMOS!$A:$D,2,0),IFERROR(VLOOKUP($C367,COTAÇÕES!$B:$I,2,0),(VLOOKUP($C367,'INSUMO SINAPI - SP'!$C:$F,2,0)))))</f>
        <v>AUXILIAR DE ELETRICISTA COM ENCARGOS COMPLEMENTARES</v>
      </c>
      <c r="F367" s="510" t="str">
        <f>IF($C367="",IFERROR(VLOOKUP($B367,SERVIÇOS!$B:$G,3,0),IFERROR(VLOOKUP($B367,$D:$K,3,0),"")),IFERROR(VLOOKUP($C367,INSUMOS!$A:$D,3,0),IFERROR(VLOOKUP($C367,COTAÇÕES!$B:$I,3,0),(VLOOKUP($C367,'INSUMO SINAPI - SP'!$C:$F,3,0)))))</f>
        <v>H</v>
      </c>
      <c r="G367" s="511">
        <v>40</v>
      </c>
      <c r="H367" s="512">
        <f>IF($C367="",IFERROR(VLOOKUP($B367,SERVIÇOS!$B:$G,6,0),IFERROR(VLOOKUP($B367,$D:$K,8,0),"")),IFERROR(VLOOKUP($C367,INSUMOS!$A:$D,4,0),IFERROR(VLOOKUP($C367,COTAÇÕES!$B:$I,7,0),(VLOOKUP($C367,'INSUMO SINAPI - SP'!$C:$F,4,0)))))</f>
        <v>30.8</v>
      </c>
      <c r="I367" s="513">
        <f>TRUNC(IF($C367="",IFERROR(VLOOKUP($B367,SERVIÇOS!$B:$G,4,0),IFERROR(VLOOKUP($B367,$D:$K,6,0),)),IFERROR(VLOOKUP($C367,INSUMOS!$A:$D,4,0),IFERROR(VLOOKUP($C367,COTAÇÕES!$B:$I,7,0),(VLOOKUP($C367,'INSUMO SINAPI - SP'!$C:$F,4,0)))))*$G367,2)</f>
        <v>372.8</v>
      </c>
      <c r="J367" s="513">
        <f>TRUNC(IF($C367="",IFERROR(VLOOKUP($B367,SERVIÇOS!$B:$G,5,0),IFERROR(VLOOKUP($B367,$D:$K,7,0),)),0)*$G367,2)</f>
        <v>859.2</v>
      </c>
      <c r="K367" s="514">
        <f>I367+J367</f>
        <v>1232</v>
      </c>
      <c r="L367" s="515"/>
      <c r="M367" s="471"/>
      <c r="N367" s="516"/>
      <c r="Q367" s="472"/>
      <c r="R367" s="472"/>
      <c r="S367" s="472"/>
      <c r="T367" s="472"/>
      <c r="U367" s="472"/>
      <c r="V367" s="472"/>
      <c r="W367" s="472"/>
      <c r="X367" s="472"/>
      <c r="Y367" s="472"/>
    </row>
    <row r="368" spans="1:25" ht="36" x14ac:dyDescent="0.25">
      <c r="A368" s="463"/>
      <c r="B368" s="506">
        <v>91634</v>
      </c>
      <c r="C368" s="507"/>
      <c r="D368" s="508"/>
      <c r="E368" s="509" t="str">
        <f>IF($C368="",IFERROR(VLOOKUP($B368,SERVIÇOS!$B:$G,2,0),IFERROR(VLOOKUP($B368,$D:$K,2,0),"")),IFERROR(VLOOKUP($C368,INSUMOS!$A:$D,2,0),IFERROR(VLOOKUP($C368,COTAÇÕES!$B:$I,2,0),(VLOOKUP($C368,'INSUMO SINAPI - SP'!$C:$F,2,0)))))</f>
        <v>GUINDAUTO HIDRÁULICO, CAPACIDADE MÁXIMA DE CARGA 6500 KG, MOMENTO MÁXIMO DE CARGA 5,8 TM, ALCANCE MÁXIMO HORIZONTAL 7,60 M, INCLUSIVE CAMINHÃO TOCO PBT 9.700 KG, POTÊNCIA DE 160 CV - CHP DIURNO. AF_08/2015</v>
      </c>
      <c r="F368" s="510" t="str">
        <f>IF($C368="",IFERROR(VLOOKUP($B368,SERVIÇOS!$B:$G,3,0),IFERROR(VLOOKUP($B368,$D:$K,3,0),"")),IFERROR(VLOOKUP($C368,INSUMOS!$A:$D,3,0),IFERROR(VLOOKUP($C368,COTAÇÕES!$B:$I,3,0),(VLOOKUP($C368,'INSUMO SINAPI - SP'!$C:$F,3,0)))))</f>
        <v>CHP</v>
      </c>
      <c r="G368" s="511">
        <v>1</v>
      </c>
      <c r="H368" s="512">
        <f>IF($C368="",IFERROR(VLOOKUP($B368,SERVIÇOS!$B:$G,6,0),IFERROR(VLOOKUP($B368,$D:$K,8,0),"")),IFERROR(VLOOKUP($C368,INSUMOS!$A:$D,4,0),IFERROR(VLOOKUP($C368,COTAÇÕES!$B:$I,7,0),(VLOOKUP($C368,'INSUMO SINAPI - SP'!$C:$F,4,0)))))</f>
        <v>252.54</v>
      </c>
      <c r="I368" s="513">
        <f>TRUNC(IF($C368="",IFERROR(VLOOKUP($B368,SERVIÇOS!$B:$G,4,0),IFERROR(VLOOKUP($B368,$D:$K,6,0),)),IFERROR(VLOOKUP($C368,INSUMOS!$A:$D,4,0),IFERROR(VLOOKUP($C368,COTAÇÕES!$B:$I,7,0),(VLOOKUP($C368,'INSUMO SINAPI - SP'!$C:$F,4,0)))))*$G368,2)</f>
        <v>220.83</v>
      </c>
      <c r="J368" s="513">
        <f>TRUNC(IF($C368="",IFERROR(VLOOKUP($B368,SERVIÇOS!$B:$G,5,0),IFERROR(VLOOKUP($B368,$D:$K,7,0),)),0)*$G368,2)</f>
        <v>31.71</v>
      </c>
      <c r="K368" s="514">
        <f>I368+J368</f>
        <v>252.54000000000002</v>
      </c>
      <c r="L368" s="515"/>
      <c r="M368" s="471"/>
      <c r="N368" s="516"/>
      <c r="Q368" s="472"/>
      <c r="R368" s="472"/>
      <c r="S368" s="472"/>
      <c r="T368" s="472"/>
      <c r="U368" s="472"/>
      <c r="V368" s="472"/>
      <c r="W368" s="472"/>
      <c r="X368" s="472"/>
      <c r="Y368" s="472"/>
    </row>
    <row r="369" spans="1:25" x14ac:dyDescent="0.25">
      <c r="A369" s="463"/>
      <c r="B369" s="498"/>
      <c r="C369" s="498"/>
      <c r="D369" s="499" t="s">
        <v>12089</v>
      </c>
      <c r="E369" s="500" t="s">
        <v>12829</v>
      </c>
      <c r="F369" s="501" t="s">
        <v>580</v>
      </c>
      <c r="G369" s="502"/>
      <c r="H369" s="503"/>
      <c r="I369" s="504">
        <f>ROUND(SUM(I370:I372),2)</f>
        <v>148.58000000000001</v>
      </c>
      <c r="J369" s="504">
        <f>ROUND(SUM(J370:J372),2)</f>
        <v>34.020000000000003</v>
      </c>
      <c r="K369" s="504">
        <f>+J369+I369</f>
        <v>182.60000000000002</v>
      </c>
      <c r="L369" s="523" t="s">
        <v>12830</v>
      </c>
      <c r="M369" s="471"/>
      <c r="N369" s="505"/>
      <c r="Q369" s="472"/>
      <c r="R369" s="472"/>
      <c r="S369" s="472"/>
      <c r="T369" s="472"/>
      <c r="U369" s="472"/>
      <c r="V369" s="472"/>
      <c r="W369" s="472"/>
      <c r="X369" s="472"/>
      <c r="Y369" s="472"/>
    </row>
    <row r="370" spans="1:25" x14ac:dyDescent="0.25">
      <c r="A370" s="463"/>
      <c r="B370" s="506">
        <v>88267</v>
      </c>
      <c r="C370" s="507"/>
      <c r="D370" s="508"/>
      <c r="E370" s="509" t="str">
        <f>IF($C370="",IFERROR(VLOOKUP($B370,SERVIÇOS!$B:$G,2,0),IFERROR(VLOOKUP($B370,$D:$K,2,0),"")),IFERROR(VLOOKUP($C370,INSUMOS!$A:$D,2,0),IFERROR(VLOOKUP($C370,COTAÇÕES!$B:$I,2,0),(VLOOKUP($C370,'INSUMO SINAPI - SP'!$C:$F,2,0)))))</f>
        <v>ENCANADOR OU BOMBEIRO HIDRÁULICO COM ENCARGOS COMPLEMENTARES</v>
      </c>
      <c r="F370" s="510" t="str">
        <f>IF($C370="",IFERROR(VLOOKUP($B370,SERVIÇOS!$B:$G,3,0),IFERROR(VLOOKUP($B370,$D:$K,3,0),"")),IFERROR(VLOOKUP($C370,INSUMOS!$A:$D,3,0),IFERROR(VLOOKUP($C370,COTAÇÕES!$B:$I,3,0),(VLOOKUP($C370,'INSUMO SINAPI - SP'!$C:$F,3,0)))))</f>
        <v>H</v>
      </c>
      <c r="G370" s="511">
        <v>0.7</v>
      </c>
      <c r="H370" s="512">
        <f>IF($C370="",IFERROR(VLOOKUP($B370,SERVIÇOS!$B:$G,6,0),IFERROR(VLOOKUP($B370,$D:$K,8,0),"")),IFERROR(VLOOKUP($C370,INSUMOS!$A:$D,4,0),IFERROR(VLOOKUP($C370,COTAÇÕES!$B:$I,7,0),(VLOOKUP($C370,'INSUMO SINAPI - SP'!$C:$F,4,0)))))</f>
        <v>36.17</v>
      </c>
      <c r="I370" s="513">
        <f>TRUNC(IF($C370="",IFERROR(VLOOKUP($B370,SERVIÇOS!$B:$G,4,0),IFERROR(VLOOKUP($B370,$D:$K,6,0),)),IFERROR(VLOOKUP($C370,INSUMOS!$A:$D,4,0),IFERROR(VLOOKUP($C370,COTAÇÕES!$B:$I,7,0),(VLOOKUP($C370,'INSUMO SINAPI - SP'!$C:$F,4,0)))))*$G370,2)</f>
        <v>6.04</v>
      </c>
      <c r="J370" s="513">
        <f>TRUNC(IF($C370="",IFERROR(VLOOKUP($B370,SERVIÇOS!$B:$G,5,0),IFERROR(VLOOKUP($B370,$D:$K,7,0),)),0)*$G370,2)</f>
        <v>19.27</v>
      </c>
      <c r="K370" s="514">
        <f>I370+J370</f>
        <v>25.31</v>
      </c>
      <c r="L370" s="515"/>
      <c r="M370" s="471"/>
      <c r="N370" s="516"/>
      <c r="Q370" s="472"/>
      <c r="R370" s="472"/>
      <c r="S370" s="472"/>
      <c r="T370" s="472"/>
      <c r="U370" s="472"/>
      <c r="V370" s="472"/>
      <c r="W370" s="472"/>
      <c r="X370" s="472"/>
      <c r="Y370" s="472"/>
    </row>
    <row r="371" spans="1:25" x14ac:dyDescent="0.25">
      <c r="A371" s="463"/>
      <c r="B371" s="506">
        <v>88248</v>
      </c>
      <c r="C371" s="507"/>
      <c r="D371" s="508"/>
      <c r="E371" s="509" t="str">
        <f>IF($C371="",IFERROR(VLOOKUP($B371,SERVIÇOS!$B:$G,2,0),IFERROR(VLOOKUP($B371,$D:$K,2,0),"")),IFERROR(VLOOKUP($C371,INSUMOS!$A:$D,2,0),IFERROR(VLOOKUP($C371,COTAÇÕES!$B:$I,2,0),(VLOOKUP($C371,'INSUMO SINAPI - SP'!$C:$F,2,0)))))</f>
        <v>AUXILIAR DE ENCANADOR OU BOMBEIRO HIDRÁULICO COM ENCARGOS COMPLEMENTARES</v>
      </c>
      <c r="F371" s="510" t="str">
        <f>IF($C371="",IFERROR(VLOOKUP($B371,SERVIÇOS!$B:$G,3,0),IFERROR(VLOOKUP($B371,$D:$K,3,0),"")),IFERROR(VLOOKUP($C371,INSUMOS!$A:$D,3,0),IFERROR(VLOOKUP($C371,COTAÇÕES!$B:$I,3,0),(VLOOKUP($C371,'INSUMO SINAPI - SP'!$C:$F,3,0)))))</f>
        <v>H</v>
      </c>
      <c r="G371" s="511">
        <v>0.7</v>
      </c>
      <c r="H371" s="512">
        <f>IF($C371="",IFERROR(VLOOKUP($B371,SERVIÇOS!$B:$G,6,0),IFERROR(VLOOKUP($B371,$D:$K,8,0),"")),IFERROR(VLOOKUP($C371,INSUMOS!$A:$D,4,0),IFERROR(VLOOKUP($C371,COTAÇÕES!$B:$I,7,0),(VLOOKUP($C371,'INSUMO SINAPI - SP'!$C:$F,4,0)))))</f>
        <v>29.72</v>
      </c>
      <c r="I371" s="513">
        <f>TRUNC(IF($C371="",IFERROR(VLOOKUP($B371,SERVIÇOS!$B:$G,4,0),IFERROR(VLOOKUP($B371,$D:$K,6,0),)),IFERROR(VLOOKUP($C371,INSUMOS!$A:$D,4,0),IFERROR(VLOOKUP($C371,COTAÇÕES!$B:$I,7,0),(VLOOKUP($C371,'INSUMO SINAPI - SP'!$C:$F,4,0)))))*$G371,2)</f>
        <v>6.04</v>
      </c>
      <c r="J371" s="513">
        <f>TRUNC(IF($C371="",IFERROR(VLOOKUP($B371,SERVIÇOS!$B:$G,5,0),IFERROR(VLOOKUP($B371,$D:$K,7,0),)),0)*$G371,2)</f>
        <v>14.75</v>
      </c>
      <c r="K371" s="514">
        <f>I371+J371</f>
        <v>20.79</v>
      </c>
      <c r="L371" s="515"/>
      <c r="M371" s="471"/>
      <c r="N371" s="516"/>
      <c r="Q371" s="472"/>
      <c r="R371" s="472"/>
      <c r="S371" s="472"/>
      <c r="T371" s="472"/>
      <c r="U371" s="472"/>
      <c r="V371" s="472"/>
      <c r="W371" s="472"/>
      <c r="X371" s="472"/>
      <c r="Y371" s="472"/>
    </row>
    <row r="372" spans="1:25" x14ac:dyDescent="0.25">
      <c r="A372" s="463"/>
      <c r="B372" s="506"/>
      <c r="C372" s="507" t="s">
        <v>12831</v>
      </c>
      <c r="D372" s="508"/>
      <c r="E372" s="518" t="s">
        <v>12832</v>
      </c>
      <c r="F372" s="519" t="s">
        <v>580</v>
      </c>
      <c r="G372" s="511">
        <v>1</v>
      </c>
      <c r="H372" s="520">
        <v>136.5</v>
      </c>
      <c r="I372" s="520">
        <f>TRUNC(H372*G372,2)</f>
        <v>136.5</v>
      </c>
      <c r="J372" s="521"/>
      <c r="K372" s="522">
        <f>I372+J372</f>
        <v>136.5</v>
      </c>
      <c r="L372" s="517" t="s">
        <v>12817</v>
      </c>
      <c r="M372" s="471"/>
      <c r="N372" s="516"/>
      <c r="Q372" s="472"/>
      <c r="R372" s="472"/>
      <c r="S372" s="472"/>
      <c r="T372" s="472"/>
      <c r="U372" s="472"/>
      <c r="V372" s="472"/>
      <c r="W372" s="472"/>
      <c r="X372" s="472"/>
      <c r="Y372" s="472"/>
    </row>
    <row r="373" spans="1:25" x14ac:dyDescent="0.25">
      <c r="A373" s="463"/>
      <c r="B373" s="498"/>
      <c r="C373" s="498"/>
      <c r="D373" s="499" t="s">
        <v>12091</v>
      </c>
      <c r="E373" s="500" t="s">
        <v>12833</v>
      </c>
      <c r="F373" s="501" t="s">
        <v>580</v>
      </c>
      <c r="G373" s="502"/>
      <c r="H373" s="503"/>
      <c r="I373" s="504">
        <f>ROUND(SUM(I374:I376),2)</f>
        <v>277</v>
      </c>
      <c r="J373" s="504">
        <f>ROUND(SUM(J374:J376),2)</f>
        <v>24.3</v>
      </c>
      <c r="K373" s="504">
        <f>+J373+I373</f>
        <v>301.3</v>
      </c>
      <c r="L373" s="523" t="s">
        <v>12834</v>
      </c>
      <c r="M373" s="471"/>
      <c r="N373" s="505"/>
      <c r="Q373" s="472"/>
      <c r="R373" s="472"/>
      <c r="S373" s="472"/>
      <c r="T373" s="472"/>
      <c r="U373" s="472"/>
      <c r="V373" s="472"/>
      <c r="W373" s="472"/>
      <c r="X373" s="472"/>
      <c r="Y373" s="472"/>
    </row>
    <row r="374" spans="1:25" x14ac:dyDescent="0.25">
      <c r="A374" s="463"/>
      <c r="B374" s="506">
        <v>88248</v>
      </c>
      <c r="C374" s="507"/>
      <c r="D374" s="508"/>
      <c r="E374" s="509" t="str">
        <f>IF($C374="",IFERROR(VLOOKUP($B374,SERVIÇOS!$B:$G,2,0),IFERROR(VLOOKUP($B374,$D:$K,2,0),"")),IFERROR(VLOOKUP($C374,INSUMOS!$A:$D,2,0),IFERROR(VLOOKUP($C374,COTAÇÕES!$B:$I,2,0),(VLOOKUP($C374,'INSUMO SINAPI - SP'!$C:$F,2,0)))))</f>
        <v>AUXILIAR DE ENCANADOR OU BOMBEIRO HIDRÁULICO COM ENCARGOS COMPLEMENTARES</v>
      </c>
      <c r="F374" s="510" t="str">
        <f>IF($C374="",IFERROR(VLOOKUP($B374,SERVIÇOS!$B:$G,3,0),IFERROR(VLOOKUP($B374,$D:$K,3,0),"")),IFERROR(VLOOKUP($C374,INSUMOS!$A:$D,3,0),IFERROR(VLOOKUP($C374,COTAÇÕES!$B:$I,3,0),(VLOOKUP($C374,'INSUMO SINAPI - SP'!$C:$F,3,0)))))</f>
        <v>H</v>
      </c>
      <c r="G374" s="511">
        <v>0.5</v>
      </c>
      <c r="H374" s="512">
        <f>IF($C374="",IFERROR(VLOOKUP($B374,SERVIÇOS!$B:$G,6,0),IFERROR(VLOOKUP($B374,$D:$K,8,0),"")),IFERROR(VLOOKUP($C374,INSUMOS!$A:$D,4,0),IFERROR(VLOOKUP($C374,COTAÇÕES!$B:$I,7,0),(VLOOKUP($C374,'INSUMO SINAPI - SP'!$C:$F,4,0)))))</f>
        <v>29.72</v>
      </c>
      <c r="I374" s="513">
        <f>TRUNC(IF($C374="",IFERROR(VLOOKUP($B374,SERVIÇOS!$B:$G,4,0),IFERROR(VLOOKUP($B374,$D:$K,6,0),)),IFERROR(VLOOKUP($C374,INSUMOS!$A:$D,4,0),IFERROR(VLOOKUP($C374,COTAÇÕES!$B:$I,7,0),(VLOOKUP($C374,'INSUMO SINAPI - SP'!$C:$F,4,0)))))*$G374,2)</f>
        <v>4.32</v>
      </c>
      <c r="J374" s="513">
        <f>TRUNC(IF($C374="",IFERROR(VLOOKUP($B374,SERVIÇOS!$B:$G,5,0),IFERROR(VLOOKUP($B374,$D:$K,7,0),)),0)*$G374,2)</f>
        <v>10.54</v>
      </c>
      <c r="K374" s="514">
        <f>I374+J374</f>
        <v>14.86</v>
      </c>
      <c r="L374" s="515"/>
      <c r="M374" s="471"/>
      <c r="N374" s="516"/>
      <c r="Q374" s="472"/>
      <c r="R374" s="472"/>
      <c r="S374" s="472"/>
      <c r="T374" s="472"/>
      <c r="U374" s="472"/>
      <c r="V374" s="472"/>
      <c r="W374" s="472"/>
      <c r="X374" s="472"/>
      <c r="Y374" s="472"/>
    </row>
    <row r="375" spans="1:25" x14ac:dyDescent="0.25">
      <c r="A375" s="463"/>
      <c r="B375" s="506">
        <v>88267</v>
      </c>
      <c r="C375" s="507"/>
      <c r="D375" s="508"/>
      <c r="E375" s="509" t="str">
        <f>IF($C375="",IFERROR(VLOOKUP($B375,SERVIÇOS!$B:$G,2,0),IFERROR(VLOOKUP($B375,$D:$K,2,0),"")),IFERROR(VLOOKUP($C375,INSUMOS!$A:$D,2,0),IFERROR(VLOOKUP($C375,COTAÇÕES!$B:$I,2,0),(VLOOKUP($C375,'INSUMO SINAPI - SP'!$C:$F,2,0)))))</f>
        <v>ENCANADOR OU BOMBEIRO HIDRÁULICO COM ENCARGOS COMPLEMENTARES</v>
      </c>
      <c r="F375" s="510" t="str">
        <f>IF($C375="",IFERROR(VLOOKUP($B375,SERVIÇOS!$B:$G,3,0),IFERROR(VLOOKUP($B375,$D:$K,3,0),"")),IFERROR(VLOOKUP($C375,INSUMOS!$A:$D,3,0),IFERROR(VLOOKUP($C375,COTAÇÕES!$B:$I,3,0),(VLOOKUP($C375,'INSUMO SINAPI - SP'!$C:$F,3,0)))))</f>
        <v>H</v>
      </c>
      <c r="G375" s="511">
        <v>0.5</v>
      </c>
      <c r="H375" s="512">
        <f>IF($C375="",IFERROR(VLOOKUP($B375,SERVIÇOS!$B:$G,6,0),IFERROR(VLOOKUP($B375,$D:$K,8,0),"")),IFERROR(VLOOKUP($C375,INSUMOS!$A:$D,4,0),IFERROR(VLOOKUP($C375,COTAÇÕES!$B:$I,7,0),(VLOOKUP($C375,'INSUMO SINAPI - SP'!$C:$F,4,0)))))</f>
        <v>36.17</v>
      </c>
      <c r="I375" s="513">
        <f>TRUNC(IF($C375="",IFERROR(VLOOKUP($B375,SERVIÇOS!$B:$G,4,0),IFERROR(VLOOKUP($B375,$D:$K,6,0),)),IFERROR(VLOOKUP($C375,INSUMOS!$A:$D,4,0),IFERROR(VLOOKUP($C375,COTAÇÕES!$B:$I,7,0),(VLOOKUP($C375,'INSUMO SINAPI - SP'!$C:$F,4,0)))))*$G375,2)</f>
        <v>4.32</v>
      </c>
      <c r="J375" s="513">
        <f>TRUNC(IF($C375="",IFERROR(VLOOKUP($B375,SERVIÇOS!$B:$G,5,0),IFERROR(VLOOKUP($B375,$D:$K,7,0),)),0)*$G375,2)</f>
        <v>13.76</v>
      </c>
      <c r="K375" s="514">
        <f>I375+J375</f>
        <v>18.079999999999998</v>
      </c>
      <c r="L375" s="515"/>
      <c r="M375" s="471"/>
      <c r="N375" s="516"/>
      <c r="Q375" s="472"/>
      <c r="R375" s="472"/>
      <c r="S375" s="472"/>
      <c r="T375" s="472"/>
      <c r="U375" s="472"/>
      <c r="V375" s="472"/>
      <c r="W375" s="472"/>
      <c r="X375" s="472"/>
      <c r="Y375" s="472"/>
    </row>
    <row r="376" spans="1:25" x14ac:dyDescent="0.25">
      <c r="A376" s="463"/>
      <c r="B376" s="506"/>
      <c r="C376" s="507" t="s">
        <v>12835</v>
      </c>
      <c r="D376" s="508"/>
      <c r="E376" s="518" t="s">
        <v>12833</v>
      </c>
      <c r="F376" s="519" t="s">
        <v>580</v>
      </c>
      <c r="G376" s="511">
        <v>1</v>
      </c>
      <c r="H376" s="520">
        <v>268.36</v>
      </c>
      <c r="I376" s="520">
        <f>TRUNC(H376*G376,2)</f>
        <v>268.36</v>
      </c>
      <c r="J376" s="521"/>
      <c r="K376" s="522">
        <f>I376+J376</f>
        <v>268.36</v>
      </c>
      <c r="L376" s="517" t="s">
        <v>12677</v>
      </c>
      <c r="M376" s="471"/>
      <c r="N376" s="516"/>
      <c r="Q376" s="472"/>
      <c r="R376" s="472"/>
      <c r="S376" s="472"/>
      <c r="T376" s="472"/>
      <c r="U376" s="472"/>
      <c r="V376" s="472"/>
      <c r="W376" s="472"/>
      <c r="X376" s="472"/>
      <c r="Y376" s="472"/>
    </row>
    <row r="377" spans="1:25" x14ac:dyDescent="0.25">
      <c r="A377" s="463"/>
      <c r="B377" s="498"/>
      <c r="C377" s="498"/>
      <c r="D377" s="499" t="s">
        <v>12092</v>
      </c>
      <c r="E377" s="500" t="s">
        <v>12836</v>
      </c>
      <c r="F377" s="501" t="s">
        <v>580</v>
      </c>
      <c r="G377" s="502"/>
      <c r="H377" s="503"/>
      <c r="I377" s="504">
        <f>ROUND(SUM(I378:I380),2)</f>
        <v>459.32</v>
      </c>
      <c r="J377" s="504">
        <f>ROUND(SUM(J378:J380),2)</f>
        <v>19.440000000000001</v>
      </c>
      <c r="K377" s="504">
        <f>+J377+I377</f>
        <v>478.76</v>
      </c>
      <c r="L377" s="523" t="s">
        <v>12837</v>
      </c>
      <c r="M377" s="471"/>
      <c r="N377" s="505"/>
      <c r="Q377" s="472"/>
      <c r="R377" s="472"/>
      <c r="S377" s="472"/>
      <c r="T377" s="472"/>
      <c r="U377" s="472"/>
      <c r="V377" s="472"/>
      <c r="W377" s="472"/>
      <c r="X377" s="472"/>
      <c r="Y377" s="472"/>
    </row>
    <row r="378" spans="1:25" x14ac:dyDescent="0.25">
      <c r="A378" s="463"/>
      <c r="B378" s="506">
        <v>88248</v>
      </c>
      <c r="C378" s="507"/>
      <c r="D378" s="508"/>
      <c r="E378" s="509" t="str">
        <f>IF($C378="",IFERROR(VLOOKUP($B378,SERVIÇOS!$B:$G,2,0),IFERROR(VLOOKUP($B378,$D:$K,2,0),"")),IFERROR(VLOOKUP($C378,INSUMOS!$A:$D,2,0),IFERROR(VLOOKUP($C378,COTAÇÕES!$B:$I,2,0),(VLOOKUP($C378,'INSUMO SINAPI - SP'!$C:$F,2,0)))))</f>
        <v>AUXILIAR DE ENCANADOR OU BOMBEIRO HIDRÁULICO COM ENCARGOS COMPLEMENTARES</v>
      </c>
      <c r="F378" s="510" t="str">
        <f>IF($C378="",IFERROR(VLOOKUP($B378,SERVIÇOS!$B:$G,3,0),IFERROR(VLOOKUP($B378,$D:$K,3,0),"")),IFERROR(VLOOKUP($C378,INSUMOS!$A:$D,3,0),IFERROR(VLOOKUP($C378,COTAÇÕES!$B:$I,3,0),(VLOOKUP($C378,'INSUMO SINAPI - SP'!$C:$F,3,0)))))</f>
        <v>H</v>
      </c>
      <c r="G378" s="511">
        <v>0.4</v>
      </c>
      <c r="H378" s="512">
        <f>IF($C378="",IFERROR(VLOOKUP($B378,SERVIÇOS!$B:$G,6,0),IFERROR(VLOOKUP($B378,$D:$K,8,0),"")),IFERROR(VLOOKUP($C378,INSUMOS!$A:$D,4,0),IFERROR(VLOOKUP($C378,COTAÇÕES!$B:$I,7,0),(VLOOKUP($C378,'INSUMO SINAPI - SP'!$C:$F,4,0)))))</f>
        <v>29.72</v>
      </c>
      <c r="I378" s="513">
        <f>TRUNC(IF($C378="",IFERROR(VLOOKUP($B378,SERVIÇOS!$B:$G,4,0),IFERROR(VLOOKUP($B378,$D:$K,6,0),)),IFERROR(VLOOKUP($C378,INSUMOS!$A:$D,4,0),IFERROR(VLOOKUP($C378,COTAÇÕES!$B:$I,7,0),(VLOOKUP($C378,'INSUMO SINAPI - SP'!$C:$F,4,0)))))*$G378,2)</f>
        <v>3.45</v>
      </c>
      <c r="J378" s="513">
        <f>TRUNC(IF($C378="",IFERROR(VLOOKUP($B378,SERVIÇOS!$B:$G,5,0),IFERROR(VLOOKUP($B378,$D:$K,7,0),)),0)*$G378,2)</f>
        <v>8.43</v>
      </c>
      <c r="K378" s="514">
        <f>I378+J378</f>
        <v>11.879999999999999</v>
      </c>
      <c r="L378" s="515"/>
      <c r="M378" s="471"/>
      <c r="N378" s="516"/>
      <c r="Q378" s="472"/>
      <c r="R378" s="472"/>
      <c r="S378" s="472"/>
      <c r="T378" s="472"/>
      <c r="U378" s="472"/>
      <c r="V378" s="472"/>
      <c r="W378" s="472"/>
      <c r="X378" s="472"/>
      <c r="Y378" s="472"/>
    </row>
    <row r="379" spans="1:25" x14ac:dyDescent="0.25">
      <c r="A379" s="463"/>
      <c r="B379" s="506">
        <v>88267</v>
      </c>
      <c r="C379" s="507"/>
      <c r="D379" s="508"/>
      <c r="E379" s="509" t="str">
        <f>IF($C379="",IFERROR(VLOOKUP($B379,SERVIÇOS!$B:$G,2,0),IFERROR(VLOOKUP($B379,$D:$K,2,0),"")),IFERROR(VLOOKUP($C379,INSUMOS!$A:$D,2,0),IFERROR(VLOOKUP($C379,COTAÇÕES!$B:$I,2,0),(VLOOKUP($C379,'INSUMO SINAPI - SP'!$C:$F,2,0)))))</f>
        <v>ENCANADOR OU BOMBEIRO HIDRÁULICO COM ENCARGOS COMPLEMENTARES</v>
      </c>
      <c r="F379" s="510" t="str">
        <f>IF($C379="",IFERROR(VLOOKUP($B379,SERVIÇOS!$B:$G,3,0),IFERROR(VLOOKUP($B379,$D:$K,3,0),"")),IFERROR(VLOOKUP($C379,INSUMOS!$A:$D,3,0),IFERROR(VLOOKUP($C379,COTAÇÕES!$B:$I,3,0),(VLOOKUP($C379,'INSUMO SINAPI - SP'!$C:$F,3,0)))))</f>
        <v>H</v>
      </c>
      <c r="G379" s="511">
        <v>0.4</v>
      </c>
      <c r="H379" s="512">
        <f>IF($C379="",IFERROR(VLOOKUP($B379,SERVIÇOS!$B:$G,6,0),IFERROR(VLOOKUP($B379,$D:$K,8,0),"")),IFERROR(VLOOKUP($C379,INSUMOS!$A:$D,4,0),IFERROR(VLOOKUP($C379,COTAÇÕES!$B:$I,7,0),(VLOOKUP($C379,'INSUMO SINAPI - SP'!$C:$F,4,0)))))</f>
        <v>36.17</v>
      </c>
      <c r="I379" s="513">
        <f>TRUNC(IF($C379="",IFERROR(VLOOKUP($B379,SERVIÇOS!$B:$G,4,0),IFERROR(VLOOKUP($B379,$D:$K,6,0),)),IFERROR(VLOOKUP($C379,INSUMOS!$A:$D,4,0),IFERROR(VLOOKUP($C379,COTAÇÕES!$B:$I,7,0),(VLOOKUP($C379,'INSUMO SINAPI - SP'!$C:$F,4,0)))))*$G379,2)</f>
        <v>3.45</v>
      </c>
      <c r="J379" s="513">
        <f>TRUNC(IF($C379="",IFERROR(VLOOKUP($B379,SERVIÇOS!$B:$G,5,0),IFERROR(VLOOKUP($B379,$D:$K,7,0),)),0)*$G379,2)</f>
        <v>11.01</v>
      </c>
      <c r="K379" s="514">
        <f>I379+J379</f>
        <v>14.46</v>
      </c>
      <c r="L379" s="515"/>
      <c r="M379" s="471"/>
      <c r="N379" s="516"/>
      <c r="Q379" s="472"/>
      <c r="R379" s="472"/>
      <c r="S379" s="472"/>
      <c r="T379" s="472"/>
      <c r="U379" s="472"/>
      <c r="V379" s="472"/>
      <c r="W379" s="472"/>
      <c r="X379" s="472"/>
      <c r="Y379" s="472"/>
    </row>
    <row r="380" spans="1:25" x14ac:dyDescent="0.25">
      <c r="A380" s="463"/>
      <c r="B380" s="506"/>
      <c r="C380" s="507" t="s">
        <v>12838</v>
      </c>
      <c r="D380" s="508"/>
      <c r="E380" s="518" t="s">
        <v>12839</v>
      </c>
      <c r="F380" s="519" t="s">
        <v>585</v>
      </c>
      <c r="G380" s="511">
        <v>1</v>
      </c>
      <c r="H380" s="520">
        <v>452.42</v>
      </c>
      <c r="I380" s="520">
        <f>TRUNC(H380*G380,2)</f>
        <v>452.42</v>
      </c>
      <c r="J380" s="521"/>
      <c r="K380" s="522">
        <f>I380+J380</f>
        <v>452.42</v>
      </c>
      <c r="L380" s="517" t="s">
        <v>12677</v>
      </c>
      <c r="M380" s="471"/>
      <c r="N380" s="516"/>
      <c r="Q380" s="472"/>
      <c r="R380" s="472"/>
      <c r="S380" s="472"/>
      <c r="T380" s="472"/>
      <c r="U380" s="472"/>
      <c r="V380" s="472"/>
      <c r="W380" s="472"/>
      <c r="X380" s="472"/>
      <c r="Y380" s="472"/>
    </row>
    <row r="381" spans="1:25" x14ac:dyDescent="0.25">
      <c r="A381" s="463"/>
      <c r="B381" s="498"/>
      <c r="C381" s="498"/>
      <c r="D381" s="499" t="s">
        <v>12840</v>
      </c>
      <c r="E381" s="500" t="s">
        <v>12841</v>
      </c>
      <c r="F381" s="501" t="s">
        <v>578</v>
      </c>
      <c r="G381" s="502"/>
      <c r="H381" s="503"/>
      <c r="I381" s="504">
        <f>SUM(I382:I394)</f>
        <v>137.19999999999999</v>
      </c>
      <c r="J381" s="504">
        <f>SUM(J382:J394)</f>
        <v>163.14999999999998</v>
      </c>
      <c r="K381" s="504">
        <f>+J381+I381</f>
        <v>300.34999999999997</v>
      </c>
      <c r="L381" s="523" t="s">
        <v>12842</v>
      </c>
      <c r="M381" s="471"/>
      <c r="Q381" s="472"/>
      <c r="R381" s="472"/>
      <c r="S381" s="472"/>
      <c r="T381" s="472"/>
      <c r="U381" s="472"/>
      <c r="V381" s="472"/>
      <c r="W381" s="472"/>
      <c r="X381" s="472"/>
      <c r="Y381" s="472"/>
    </row>
    <row r="382" spans="1:25" x14ac:dyDescent="0.25">
      <c r="A382" s="463"/>
      <c r="B382" s="507">
        <v>88316</v>
      </c>
      <c r="C382" s="507"/>
      <c r="D382" s="508"/>
      <c r="E382" s="509" t="str">
        <f>IF($C382="",IFERROR(VLOOKUP($B382,SERVIÇOS!$B:$G,2,0),IFERROR(VLOOKUP($B382,$D:$K,2,0),"")),IFERROR(VLOOKUP($C382,INSUMOS!$A:$D,2,0),IFERROR(VLOOKUP($C382,COTAÇÕES!$B:$I,2,0),(VLOOKUP($C382,'INSUMO SINAPI - SP'!$C:$F,2,0)))))</f>
        <v>SERVENTE COM ENCARGOS COMPLEMENTARES</v>
      </c>
      <c r="F382" s="510" t="str">
        <f>IF($C382="",IFERROR(VLOOKUP($B382,SERVIÇOS!$B:$G,3,0),IFERROR(VLOOKUP($B382,$D:$K,3,0),"")),IFERROR(VLOOKUP($C382,INSUMOS!$A:$D,3,0),IFERROR(VLOOKUP($C382,COTAÇÕES!$B:$I,3,0),(VLOOKUP($C382,'INSUMO SINAPI - SP'!$C:$F,3,0)))))</f>
        <v>H</v>
      </c>
      <c r="G382" s="511">
        <v>0.8</v>
      </c>
      <c r="H382" s="512">
        <f>IF($C382="",IFERROR(VLOOKUP($B382,SERVIÇOS!$B:$G,6,0),IFERROR(VLOOKUP($B382,$D:$K,8,0),"")),IFERROR(VLOOKUP($C382,INSUMOS!$A:$D,4,0),IFERROR(VLOOKUP($C382,COTAÇÕES!$B:$I,7,0),(VLOOKUP($C382,'INSUMO SINAPI - SP'!$C:$F,4,0)))))</f>
        <v>28.71</v>
      </c>
      <c r="I382" s="513">
        <f>TRUNC(IF($C382="",IFERROR(VLOOKUP($B382,SERVIÇOS!$B:$G,4,0),IFERROR(VLOOKUP($B382,$D:$K,6,0),)),IFERROR(VLOOKUP($C382,INSUMOS!$A:$D,4,0),IFERROR(VLOOKUP($C382,COTAÇÕES!$B:$I,7,0),(VLOOKUP($C382,'INSUMO SINAPI - SP'!$C:$F,4,0)))))*$G382,2)</f>
        <v>7.36</v>
      </c>
      <c r="J382" s="513">
        <f>TRUNC(IF($C382="",IFERROR(VLOOKUP($B382,SERVIÇOS!$B:$G,5,0),IFERROR(VLOOKUP($B382,$D:$K,7,0),)),0)*$G382,2)</f>
        <v>15.6</v>
      </c>
      <c r="K382" s="514">
        <f t="shared" ref="K382:K394" si="16">I382+J382</f>
        <v>22.96</v>
      </c>
      <c r="L382" s="515"/>
      <c r="M382" s="471"/>
      <c r="Q382" s="472"/>
      <c r="R382" s="472"/>
      <c r="S382" s="472"/>
      <c r="T382" s="472"/>
      <c r="U382" s="472"/>
      <c r="V382" s="472"/>
      <c r="W382" s="472"/>
      <c r="X382" s="472"/>
      <c r="Y382" s="472"/>
    </row>
    <row r="383" spans="1:25" x14ac:dyDescent="0.25">
      <c r="A383" s="463"/>
      <c r="B383" s="507">
        <v>88239</v>
      </c>
      <c r="C383" s="507"/>
      <c r="D383" s="508"/>
      <c r="E383" s="509" t="str">
        <f>IF($C383="",IFERROR(VLOOKUP($B383,SERVIÇOS!$B:$G,2,0),IFERROR(VLOOKUP($B383,$D:$K,2,0),"")),IFERROR(VLOOKUP($C383,INSUMOS!$A:$D,2,0),IFERROR(VLOOKUP($C383,COTAÇÕES!$B:$I,2,0),(VLOOKUP($C383,'INSUMO SINAPI - SP'!$C:$F,2,0)))))</f>
        <v>AJUDANTE DE CARPINTEIRO COM ENCARGOS COMPLEMENTARES</v>
      </c>
      <c r="F383" s="510" t="str">
        <f>IF($C383="",IFERROR(VLOOKUP($B383,SERVIÇOS!$B:$G,3,0),IFERROR(VLOOKUP($B383,$D:$K,3,0),"")),IFERROR(VLOOKUP($C383,INSUMOS!$A:$D,3,0),IFERROR(VLOOKUP($C383,COTAÇÕES!$B:$I,3,0),(VLOOKUP($C383,'INSUMO SINAPI - SP'!$C:$F,3,0)))))</f>
        <v>H</v>
      </c>
      <c r="G383" s="511">
        <v>2.42</v>
      </c>
      <c r="H383" s="512">
        <f>IF($C383="",IFERROR(VLOOKUP($B383,SERVIÇOS!$B:$G,6,0),IFERROR(VLOOKUP($B383,$D:$K,8,0),"")),IFERROR(VLOOKUP($C383,INSUMOS!$A:$D,4,0),IFERROR(VLOOKUP($C383,COTAÇÕES!$B:$I,7,0),(VLOOKUP($C383,'INSUMO SINAPI - SP'!$C:$F,4,0)))))</f>
        <v>30.08</v>
      </c>
      <c r="I383" s="513">
        <f>TRUNC(IF($C383="",IFERROR(VLOOKUP($B383,SERVIÇOS!$B:$G,4,0),IFERROR(VLOOKUP($B383,$D:$K,6,0),)),IFERROR(VLOOKUP($C383,INSUMOS!$A:$D,4,0),IFERROR(VLOOKUP($C383,COTAÇÕES!$B:$I,7,0),(VLOOKUP($C383,'INSUMO SINAPI - SP'!$C:$F,4,0)))))*$G383,2)</f>
        <v>21.94</v>
      </c>
      <c r="J383" s="513">
        <f>TRUNC(IF($C383="",IFERROR(VLOOKUP($B383,SERVIÇOS!$B:$G,5,0),IFERROR(VLOOKUP($B383,$D:$K,7,0),)),0)*$G383,2)</f>
        <v>50.84</v>
      </c>
      <c r="K383" s="514">
        <f t="shared" si="16"/>
        <v>72.78</v>
      </c>
      <c r="L383" s="515"/>
      <c r="M383" s="471"/>
      <c r="Q383" s="472"/>
      <c r="R383" s="472"/>
      <c r="S383" s="472"/>
      <c r="T383" s="472"/>
      <c r="U383" s="472"/>
      <c r="V383" s="472"/>
      <c r="W383" s="472"/>
      <c r="X383" s="472"/>
      <c r="Y383" s="472"/>
    </row>
    <row r="384" spans="1:25" x14ac:dyDescent="0.25">
      <c r="A384" s="463"/>
      <c r="B384" s="507">
        <v>88309</v>
      </c>
      <c r="C384" s="507"/>
      <c r="D384" s="508"/>
      <c r="E384" s="509" t="str">
        <f>IF($C384="",IFERROR(VLOOKUP($B384,SERVIÇOS!$B:$G,2,0),IFERROR(VLOOKUP($B384,$D:$K,2,0),"")),IFERROR(VLOOKUP($C384,INSUMOS!$A:$D,2,0),IFERROR(VLOOKUP($C384,COTAÇÕES!$B:$I,2,0),(VLOOKUP($C384,'INSUMO SINAPI - SP'!$C:$F,2,0)))))</f>
        <v>PEDREIRO COM ENCARGOS COMPLEMENTARES</v>
      </c>
      <c r="F384" s="510" t="str">
        <f>IF($C384="",IFERROR(VLOOKUP($B384,SERVIÇOS!$B:$G,3,0),IFERROR(VLOOKUP($B384,$D:$K,3,0),"")),IFERROR(VLOOKUP($C384,INSUMOS!$A:$D,3,0),IFERROR(VLOOKUP($C384,COTAÇÕES!$B:$I,3,0),(VLOOKUP($C384,'INSUMO SINAPI - SP'!$C:$F,3,0)))))</f>
        <v>H</v>
      </c>
      <c r="G384" s="511">
        <v>0.3</v>
      </c>
      <c r="H384" s="512">
        <f>IF($C384="",IFERROR(VLOOKUP($B384,SERVIÇOS!$B:$G,6,0),IFERROR(VLOOKUP($B384,$D:$K,8,0),"")),IFERROR(VLOOKUP($C384,INSUMOS!$A:$D,4,0),IFERROR(VLOOKUP($C384,COTAÇÕES!$B:$I,7,0),(VLOOKUP($C384,'INSUMO SINAPI - SP'!$C:$F,4,0)))))</f>
        <v>36.909999999999997</v>
      </c>
      <c r="I384" s="513">
        <f>TRUNC(IF($C384="",IFERROR(VLOOKUP($B384,SERVIÇOS!$B:$G,4,0),IFERROR(VLOOKUP($B384,$D:$K,6,0),)),IFERROR(VLOOKUP($C384,INSUMOS!$A:$D,4,0),IFERROR(VLOOKUP($C384,COTAÇÕES!$B:$I,7,0),(VLOOKUP($C384,'INSUMO SINAPI - SP'!$C:$F,4,0)))))*$G384,2)</f>
        <v>2.78</v>
      </c>
      <c r="J384" s="513">
        <f>TRUNC(IF($C384="",IFERROR(VLOOKUP($B384,SERVIÇOS!$B:$G,5,0),IFERROR(VLOOKUP($B384,$D:$K,7,0),)),0)*$G384,2)</f>
        <v>8.2799999999999994</v>
      </c>
      <c r="K384" s="514">
        <f t="shared" si="16"/>
        <v>11.059999999999999</v>
      </c>
      <c r="L384" s="515"/>
      <c r="M384" s="471"/>
      <c r="Q384" s="472"/>
      <c r="R384" s="472"/>
      <c r="S384" s="472"/>
      <c r="T384" s="472"/>
      <c r="U384" s="472"/>
      <c r="V384" s="472"/>
      <c r="W384" s="472"/>
      <c r="X384" s="472"/>
      <c r="Y384" s="472"/>
    </row>
    <row r="385" spans="1:25" x14ac:dyDescent="0.25">
      <c r="A385" s="463"/>
      <c r="B385" s="507">
        <v>88245</v>
      </c>
      <c r="C385" s="507"/>
      <c r="D385" s="508"/>
      <c r="E385" s="509" t="str">
        <f>IF($C385="",IFERROR(VLOOKUP($B385,SERVIÇOS!$B:$G,2,0),IFERROR(VLOOKUP($B385,$D:$K,2,0),"")),IFERROR(VLOOKUP($C385,INSUMOS!$A:$D,2,0),IFERROR(VLOOKUP($C385,COTAÇÕES!$B:$I,2,0),(VLOOKUP($C385,'INSUMO SINAPI - SP'!$C:$F,2,0)))))</f>
        <v>ARMADOR COM ENCARGOS COMPLEMENTARES</v>
      </c>
      <c r="F385" s="510" t="str">
        <f>IF($C385="",IFERROR(VLOOKUP($B385,SERVIÇOS!$B:$G,3,0),IFERROR(VLOOKUP($B385,$D:$K,3,0),"")),IFERROR(VLOOKUP($C385,INSUMOS!$A:$D,3,0),IFERROR(VLOOKUP($C385,COTAÇÕES!$B:$I,3,0),(VLOOKUP($C385,'INSUMO SINAPI - SP'!$C:$F,3,0)))))</f>
        <v>H</v>
      </c>
      <c r="G385" s="511">
        <v>0.46</v>
      </c>
      <c r="H385" s="512">
        <f>IF($C385="",IFERROR(VLOOKUP($B385,SERVIÇOS!$B:$G,6,0),IFERROR(VLOOKUP($B385,$D:$K,8,0),"")),IFERROR(VLOOKUP($C385,INSUMOS!$A:$D,4,0),IFERROR(VLOOKUP($C385,COTAÇÕES!$B:$I,7,0),(VLOOKUP($C385,'INSUMO SINAPI - SP'!$C:$F,4,0)))))</f>
        <v>36.65</v>
      </c>
      <c r="I385" s="513">
        <f>TRUNC(IF($C385="",IFERROR(VLOOKUP($B385,SERVIÇOS!$B:$G,4,0),IFERROR(VLOOKUP($B385,$D:$K,6,0),)),IFERROR(VLOOKUP($C385,INSUMOS!$A:$D,4,0),IFERROR(VLOOKUP($C385,COTAÇÕES!$B:$I,7,0),(VLOOKUP($C385,'INSUMO SINAPI - SP'!$C:$F,4,0)))))*$G385,2)</f>
        <v>4.26</v>
      </c>
      <c r="J385" s="513">
        <f>TRUNC(IF($C385="",IFERROR(VLOOKUP($B385,SERVIÇOS!$B:$G,5,0),IFERROR(VLOOKUP($B385,$D:$K,7,0),)),0)*$G385,2)</f>
        <v>12.59</v>
      </c>
      <c r="K385" s="514">
        <f t="shared" si="16"/>
        <v>16.850000000000001</v>
      </c>
      <c r="L385" s="515"/>
      <c r="M385" s="471"/>
      <c r="Q385" s="472"/>
      <c r="R385" s="472"/>
      <c r="S385" s="472"/>
      <c r="T385" s="472"/>
      <c r="U385" s="472"/>
      <c r="V385" s="472"/>
      <c r="W385" s="472"/>
      <c r="X385" s="472"/>
      <c r="Y385" s="472"/>
    </row>
    <row r="386" spans="1:25" x14ac:dyDescent="0.25">
      <c r="A386" s="463"/>
      <c r="B386" s="507">
        <v>88238</v>
      </c>
      <c r="C386" s="507"/>
      <c r="D386" s="508"/>
      <c r="E386" s="509" t="str">
        <f>IF($C386="",IFERROR(VLOOKUP($B386,SERVIÇOS!$B:$G,2,0),IFERROR(VLOOKUP($B386,$D:$K,2,0),"")),IFERROR(VLOOKUP($C386,INSUMOS!$A:$D,2,0),IFERROR(VLOOKUP($C386,COTAÇÕES!$B:$I,2,0),(VLOOKUP($C386,'INSUMO SINAPI - SP'!$C:$F,2,0)))))</f>
        <v>AJUDANTE DE ARMADOR COM ENCARGOS COMPLEMENTARES</v>
      </c>
      <c r="F386" s="510" t="str">
        <f>IF($C386="",IFERROR(VLOOKUP($B386,SERVIÇOS!$B:$G,3,0),IFERROR(VLOOKUP($B386,$D:$K,3,0),"")),IFERROR(VLOOKUP($C386,INSUMOS!$A:$D,3,0),IFERROR(VLOOKUP($C386,COTAÇÕES!$B:$I,3,0),(VLOOKUP($C386,'INSUMO SINAPI - SP'!$C:$F,3,0)))))</f>
        <v>H</v>
      </c>
      <c r="G386" s="511">
        <v>0.46</v>
      </c>
      <c r="H386" s="512">
        <f>IF($C386="",IFERROR(VLOOKUP($B386,SERVIÇOS!$B:$G,6,0),IFERROR(VLOOKUP($B386,$D:$K,8,0),"")),IFERROR(VLOOKUP($C386,INSUMOS!$A:$D,4,0),IFERROR(VLOOKUP($C386,COTAÇÕES!$B:$I,7,0),(VLOOKUP($C386,'INSUMO SINAPI - SP'!$C:$F,4,0)))))</f>
        <v>30.23</v>
      </c>
      <c r="I386" s="513">
        <f>TRUNC(IF($C386="",IFERROR(VLOOKUP($B386,SERVIÇOS!$B:$G,4,0),IFERROR(VLOOKUP($B386,$D:$K,6,0),)),IFERROR(VLOOKUP($C386,INSUMOS!$A:$D,4,0),IFERROR(VLOOKUP($C386,COTAÇÕES!$B:$I,7,0),(VLOOKUP($C386,'INSUMO SINAPI - SP'!$C:$F,4,0)))))*$G386,2)</f>
        <v>4.2699999999999996</v>
      </c>
      <c r="J386" s="513">
        <f>TRUNC(IF($C386="",IFERROR(VLOOKUP($B386,SERVIÇOS!$B:$G,5,0),IFERROR(VLOOKUP($B386,$D:$K,7,0),)),0)*$G386,2)</f>
        <v>9.6300000000000008</v>
      </c>
      <c r="K386" s="514">
        <f t="shared" si="16"/>
        <v>13.9</v>
      </c>
      <c r="L386" s="515"/>
      <c r="M386" s="471"/>
      <c r="Q386" s="472"/>
      <c r="R386" s="472"/>
      <c r="S386" s="472"/>
      <c r="T386" s="472"/>
      <c r="U386" s="472"/>
      <c r="V386" s="472"/>
      <c r="W386" s="472"/>
      <c r="X386" s="472"/>
      <c r="Y386" s="472"/>
    </row>
    <row r="387" spans="1:25" x14ac:dyDescent="0.25">
      <c r="A387" s="463"/>
      <c r="B387" s="507">
        <v>88262</v>
      </c>
      <c r="C387" s="507"/>
      <c r="D387" s="508"/>
      <c r="E387" s="509" t="str">
        <f>IF($C387="",IFERROR(VLOOKUP($B387,SERVIÇOS!$B:$G,2,0),IFERROR(VLOOKUP($B387,$D:$K,2,0),"")),IFERROR(VLOOKUP($C387,INSUMOS!$A:$D,2,0),IFERROR(VLOOKUP($C387,COTAÇÕES!$B:$I,2,0),(VLOOKUP($C387,'INSUMO SINAPI - SP'!$C:$F,2,0)))))</f>
        <v>CARPINTEIRO DE FORMAS COM ENCARGOS COMPLEMENTARES</v>
      </c>
      <c r="F387" s="510" t="str">
        <f>IF($C387="",IFERROR(VLOOKUP($B387,SERVIÇOS!$B:$G,3,0),IFERROR(VLOOKUP($B387,$D:$K,3,0),"")),IFERROR(VLOOKUP($C387,INSUMOS!$A:$D,3,0),IFERROR(VLOOKUP($C387,COTAÇÕES!$B:$I,3,0),(VLOOKUP($C387,'INSUMO SINAPI - SP'!$C:$F,3,0)))))</f>
        <v>H</v>
      </c>
      <c r="G387" s="511">
        <v>2.42</v>
      </c>
      <c r="H387" s="512">
        <f>IF($C387="",IFERROR(VLOOKUP($B387,SERVIÇOS!$B:$G,6,0),IFERROR(VLOOKUP($B387,$D:$K,8,0),"")),IFERROR(VLOOKUP($C387,INSUMOS!$A:$D,4,0),IFERROR(VLOOKUP($C387,COTAÇÕES!$B:$I,7,0),(VLOOKUP($C387,'INSUMO SINAPI - SP'!$C:$F,4,0)))))</f>
        <v>36.43</v>
      </c>
      <c r="I387" s="513">
        <f>TRUNC(IF($C387="",IFERROR(VLOOKUP($B387,SERVIÇOS!$B:$G,4,0),IFERROR(VLOOKUP($B387,$D:$K,6,0),)),IFERROR(VLOOKUP($C387,INSUMOS!$A:$D,4,0),IFERROR(VLOOKUP($C387,COTAÇÕES!$B:$I,7,0),(VLOOKUP($C387,'INSUMO SINAPI - SP'!$C:$F,4,0)))))*$G387,2)</f>
        <v>21.94</v>
      </c>
      <c r="J387" s="513">
        <f>TRUNC(IF($C387="",IFERROR(VLOOKUP($B387,SERVIÇOS!$B:$G,5,0),IFERROR(VLOOKUP($B387,$D:$K,7,0),)),0)*$G387,2)</f>
        <v>66.209999999999994</v>
      </c>
      <c r="K387" s="514">
        <f t="shared" si="16"/>
        <v>88.149999999999991</v>
      </c>
      <c r="L387" s="515"/>
      <c r="M387" s="471"/>
      <c r="Q387" s="472"/>
      <c r="R387" s="472"/>
      <c r="S387" s="472"/>
      <c r="T387" s="472"/>
      <c r="U387" s="472"/>
      <c r="V387" s="472"/>
      <c r="W387" s="472"/>
      <c r="X387" s="472"/>
      <c r="Y387" s="472"/>
    </row>
    <row r="388" spans="1:25" ht="24" x14ac:dyDescent="0.25">
      <c r="A388" s="463"/>
      <c r="B388" s="507"/>
      <c r="C388" s="507">
        <v>1355</v>
      </c>
      <c r="D388" s="508"/>
      <c r="E388" s="509" t="str">
        <f>IF($C388="",IFERROR(VLOOKUP($B388,SERVIÇOS!$B:$G,2,0),IFERROR(VLOOKUP($B388,$D:$K,2,0),"")),IFERROR(VLOOKUP($C388,INSUMOS!$A:$D,2,0),IFERROR(VLOOKUP($C388,COTAÇÕES!$B:$I,2,0),(VLOOKUP($C388,'INSUMO SINAPI - SP'!$C:$F,2,0)))))</f>
        <v>CHAPA/PAINEL DE MADEIRA COMPENSADA RESINADA (MADEIRITE RESINADO ROSA) PARA FORMA DE CONCRETO, DE 2200 X 1100 MM, E = 14 MM</v>
      </c>
      <c r="F388" s="510" t="str">
        <f>IF($C388="",IFERROR(VLOOKUP($B388,SERVIÇOS!$B:$G,3,0),IFERROR(VLOOKUP($B388,$D:$K,3,0),"")),IFERROR(VLOOKUP($C388,INSUMOS!$A:$D,3,0),IFERROR(VLOOKUP($C388,COTAÇÕES!$B:$I,3,0),(VLOOKUP($C388,'INSUMO SINAPI - SP'!$C:$F,3,0)))))</f>
        <v>M2</v>
      </c>
      <c r="G388" s="511">
        <v>0.4</v>
      </c>
      <c r="H388" s="512">
        <f>IF($C388="",IFERROR(VLOOKUP($B388,SERVIÇOS!$B:$G,6,0),IFERROR(VLOOKUP($B388,$D:$K,8,0),"")),IFERROR(VLOOKUP($C388,INSUMOS!$A:$D,4,0),IFERROR(VLOOKUP($C388,COTAÇÕES!$B:$I,7,0),(VLOOKUP($C388,'INSUMO SINAPI - SP'!$C:$F,4,0)))))</f>
        <v>36.06</v>
      </c>
      <c r="I388" s="513">
        <f>TRUNC(IF($C388="",IFERROR(VLOOKUP($B388,SERVIÇOS!$B:$G,4,0),IFERROR(VLOOKUP($B388,$D:$K,6,0),)),IFERROR(VLOOKUP($C388,INSUMOS!$A:$D,4,0),IFERROR(VLOOKUP($C388,COTAÇÕES!$B:$I,7,0),(VLOOKUP($C388,'INSUMO SINAPI - SP'!$C:$F,4,0)))))*$G388,2)</f>
        <v>14.42</v>
      </c>
      <c r="J388" s="513">
        <f>TRUNC(IF($C388="",IFERROR(VLOOKUP($B388,SERVIÇOS!$B:$G,5,0),IFERROR(VLOOKUP($B388,$D:$K,7,0),)),0)*$G388,2)</f>
        <v>0</v>
      </c>
      <c r="K388" s="514">
        <f t="shared" si="16"/>
        <v>14.42</v>
      </c>
      <c r="L388" s="517"/>
      <c r="M388" s="471"/>
      <c r="Q388" s="472"/>
      <c r="R388" s="472"/>
      <c r="S388" s="472"/>
      <c r="T388" s="472"/>
      <c r="U388" s="472"/>
      <c r="V388" s="472"/>
      <c r="W388" s="472"/>
      <c r="X388" s="472"/>
      <c r="Y388" s="472"/>
    </row>
    <row r="389" spans="1:25" x14ac:dyDescent="0.25">
      <c r="A389" s="463"/>
      <c r="B389" s="507"/>
      <c r="C389" s="507">
        <v>4720</v>
      </c>
      <c r="D389" s="508"/>
      <c r="E389" s="509" t="str">
        <f>IF($C389="",IFERROR(VLOOKUP($B389,SERVIÇOS!$B:$G,2,0),IFERROR(VLOOKUP($B389,$D:$K,2,0),"")),IFERROR(VLOOKUP($C389,INSUMOS!$A:$D,2,0),IFERROR(VLOOKUP($C389,COTAÇÕES!$B:$I,2,0),(VLOOKUP($C389,'INSUMO SINAPI - SP'!$C:$F,2,0)))))</f>
        <v>PEDRA BRITADA N. 0, OU PEDRISCO (4,8 A 9,5 MM) POSTO PEDREIRA/FORNECEDOR, SEM FRETE</v>
      </c>
      <c r="F389" s="510" t="str">
        <f>IF($C389="",IFERROR(VLOOKUP($B389,SERVIÇOS!$B:$G,3,0),IFERROR(VLOOKUP($B389,$D:$K,3,0),"")),IFERROR(VLOOKUP($C389,INSUMOS!$A:$D,3,0),IFERROR(VLOOKUP($C389,COTAÇÕES!$B:$I,3,0),(VLOOKUP($C389,'INSUMO SINAPI - SP'!$C:$F,3,0)))))</f>
        <v>M3</v>
      </c>
      <c r="G389" s="511">
        <v>0.04</v>
      </c>
      <c r="H389" s="512">
        <f>IF($C389="",IFERROR(VLOOKUP($B389,SERVIÇOS!$B:$G,6,0),IFERROR(VLOOKUP($B389,$D:$K,8,0),"")),IFERROR(VLOOKUP($C389,INSUMOS!$A:$D,4,0),IFERROR(VLOOKUP($C389,COTAÇÕES!$B:$I,7,0),(VLOOKUP($C389,'INSUMO SINAPI - SP'!$C:$F,4,0)))))</f>
        <v>73.56</v>
      </c>
      <c r="I389" s="513">
        <f>TRUNC(IF($C389="",IFERROR(VLOOKUP($B389,SERVIÇOS!$B:$G,4,0),IFERROR(VLOOKUP($B389,$D:$K,6,0),)),IFERROR(VLOOKUP($C389,INSUMOS!$A:$D,4,0),IFERROR(VLOOKUP($C389,COTAÇÕES!$B:$I,7,0),(VLOOKUP($C389,'INSUMO SINAPI - SP'!$C:$F,4,0)))))*$G389,2)</f>
        <v>2.94</v>
      </c>
      <c r="J389" s="513">
        <f>TRUNC(IF($C389="",IFERROR(VLOOKUP($B389,SERVIÇOS!$B:$G,5,0),IFERROR(VLOOKUP($B389,$D:$K,7,0),)),0)*$G389,2)</f>
        <v>0</v>
      </c>
      <c r="K389" s="514">
        <f t="shared" si="16"/>
        <v>2.94</v>
      </c>
      <c r="L389" s="517"/>
      <c r="M389" s="471"/>
      <c r="Q389" s="472"/>
      <c r="R389" s="472"/>
      <c r="S389" s="472"/>
      <c r="T389" s="472"/>
      <c r="U389" s="472"/>
      <c r="V389" s="472"/>
      <c r="W389" s="472"/>
      <c r="X389" s="472"/>
      <c r="Y389" s="472"/>
    </row>
    <row r="390" spans="1:25" x14ac:dyDescent="0.25">
      <c r="A390" s="463"/>
      <c r="B390" s="507"/>
      <c r="C390" s="507">
        <v>6212</v>
      </c>
      <c r="D390" s="508"/>
      <c r="E390" s="509" t="str">
        <f>IF($C390="",IFERROR(VLOOKUP($B390,SERVIÇOS!$B:$G,2,0),IFERROR(VLOOKUP($B390,$D:$K,2,0),"")),IFERROR(VLOOKUP($C390,INSUMOS!$A:$D,2,0),IFERROR(VLOOKUP($C390,COTAÇÕES!$B:$I,2,0),(VLOOKUP($C390,'INSUMO SINAPI - SP'!$C:$F,2,0)))))</f>
        <v>TABUA *2,5 X 30 CM EM PINUS, MISTA OU EQUIVALENTE DA REGIAO - BRUTA</v>
      </c>
      <c r="F390" s="510" t="str">
        <f>IF($C390="",IFERROR(VLOOKUP($B390,SERVIÇOS!$B:$G,3,0),IFERROR(VLOOKUP($B390,$D:$K,3,0),"")),IFERROR(VLOOKUP($C390,INSUMOS!$A:$D,3,0),IFERROR(VLOOKUP($C390,COTAÇÕES!$B:$I,3,0),(VLOOKUP($C390,'INSUMO SINAPI - SP'!$C:$F,3,0)))))</f>
        <v>M</v>
      </c>
      <c r="G390" s="511">
        <v>0.12</v>
      </c>
      <c r="H390" s="512">
        <f>IF($C390="",IFERROR(VLOOKUP($B390,SERVIÇOS!$B:$G,6,0),IFERROR(VLOOKUP($B390,$D:$K,8,0),"")),IFERROR(VLOOKUP($C390,INSUMOS!$A:$D,4,0),IFERROR(VLOOKUP($C390,COTAÇÕES!$B:$I,7,0),(VLOOKUP($C390,'INSUMO SINAPI - SP'!$C:$F,4,0)))))</f>
        <v>11.6</v>
      </c>
      <c r="I390" s="513">
        <f>TRUNC(IF($C390="",IFERROR(VLOOKUP($B390,SERVIÇOS!$B:$G,4,0),IFERROR(VLOOKUP($B390,$D:$K,6,0),)),IFERROR(VLOOKUP($C390,INSUMOS!$A:$D,4,0),IFERROR(VLOOKUP($C390,COTAÇÕES!$B:$I,7,0),(VLOOKUP($C390,'INSUMO SINAPI - SP'!$C:$F,4,0)))))*$G390,2)</f>
        <v>1.39</v>
      </c>
      <c r="J390" s="513">
        <f>TRUNC(IF($C390="",IFERROR(VLOOKUP($B390,SERVIÇOS!$B:$G,5,0),IFERROR(VLOOKUP($B390,$D:$K,7,0),)),0)*$G390,2)</f>
        <v>0</v>
      </c>
      <c r="K390" s="514">
        <f t="shared" si="16"/>
        <v>1.39</v>
      </c>
      <c r="L390" s="517"/>
      <c r="M390" s="471"/>
      <c r="Q390" s="472"/>
      <c r="R390" s="472"/>
      <c r="S390" s="472"/>
      <c r="T390" s="472"/>
      <c r="U390" s="472"/>
      <c r="V390" s="472"/>
      <c r="W390" s="472"/>
      <c r="X390" s="472"/>
      <c r="Y390" s="472"/>
    </row>
    <row r="391" spans="1:25" x14ac:dyDescent="0.25">
      <c r="A391" s="463"/>
      <c r="B391" s="507"/>
      <c r="C391" s="507">
        <v>1379</v>
      </c>
      <c r="D391" s="508"/>
      <c r="E391" s="509" t="str">
        <f>IF($C391="",IFERROR(VLOOKUP($B391,SERVIÇOS!$B:$G,2,0),IFERROR(VLOOKUP($B391,$D:$K,2,0),"")),IFERROR(VLOOKUP($C391,INSUMOS!$A:$D,2,0),IFERROR(VLOOKUP($C391,COTAÇÕES!$B:$I,2,0),(VLOOKUP($C391,'INSUMO SINAPI - SP'!$C:$F,2,0)))))</f>
        <v>CIMENTO PORTLAND COMPOSTO CP II-32</v>
      </c>
      <c r="F391" s="510" t="str">
        <f>IF($C391="",IFERROR(VLOOKUP($B391,SERVIÇOS!$B:$G,3,0),IFERROR(VLOOKUP($B391,$D:$K,3,0),"")),IFERROR(VLOOKUP($C391,INSUMOS!$A:$D,3,0),IFERROR(VLOOKUP($C391,COTAÇÕES!$B:$I,3,0),(VLOOKUP($C391,'INSUMO SINAPI - SP'!$C:$F,3,0)))))</f>
        <v>KG</v>
      </c>
      <c r="G391" s="511">
        <v>16.3</v>
      </c>
      <c r="H391" s="512">
        <f>IF($C391="",IFERROR(VLOOKUP($B391,SERVIÇOS!$B:$G,6,0),IFERROR(VLOOKUP($B391,$D:$K,8,0),"")),IFERROR(VLOOKUP($C391,INSUMOS!$A:$D,4,0),IFERROR(VLOOKUP($C391,COTAÇÕES!$B:$I,7,0),(VLOOKUP($C391,'INSUMO SINAPI - SP'!$C:$F,4,0)))))</f>
        <v>0.68</v>
      </c>
      <c r="I391" s="513">
        <f>TRUNC(IF($C391="",IFERROR(VLOOKUP($B391,SERVIÇOS!$B:$G,4,0),IFERROR(VLOOKUP($B391,$D:$K,6,0),)),IFERROR(VLOOKUP($C391,INSUMOS!$A:$D,4,0),IFERROR(VLOOKUP($C391,COTAÇÕES!$B:$I,7,0),(VLOOKUP($C391,'INSUMO SINAPI - SP'!$C:$F,4,0)))))*$G391,2)</f>
        <v>11.08</v>
      </c>
      <c r="J391" s="513">
        <f>TRUNC(IF($C391="",IFERROR(VLOOKUP($B391,SERVIÇOS!$B:$G,5,0),IFERROR(VLOOKUP($B391,$D:$K,7,0),)),0)*$G391,2)</f>
        <v>0</v>
      </c>
      <c r="K391" s="514">
        <f t="shared" si="16"/>
        <v>11.08</v>
      </c>
      <c r="L391" s="517"/>
      <c r="M391" s="471"/>
      <c r="Q391" s="472"/>
      <c r="R391" s="472"/>
      <c r="S391" s="472"/>
      <c r="T391" s="472"/>
      <c r="U391" s="472"/>
      <c r="V391" s="472"/>
      <c r="W391" s="472"/>
      <c r="X391" s="472"/>
      <c r="Y391" s="472"/>
    </row>
    <row r="392" spans="1:25" x14ac:dyDescent="0.25">
      <c r="A392" s="463"/>
      <c r="B392" s="507"/>
      <c r="C392" s="507">
        <v>43132</v>
      </c>
      <c r="D392" s="508"/>
      <c r="E392" s="509" t="str">
        <f>IF($C392="",IFERROR(VLOOKUP($B392,SERVIÇOS!$B:$G,2,0),IFERROR(VLOOKUP($B392,$D:$K,2,0),"")),IFERROR(VLOOKUP($C392,INSUMOS!$A:$D,2,0),IFERROR(VLOOKUP($C392,COTAÇÕES!$B:$I,2,0),(VLOOKUP($C392,'INSUMO SINAPI - SP'!$C:$F,2,0)))))</f>
        <v>ARAME RECOZIDO 16 BWG, D = 1,65 MM (0,016 KG/M) OU 18 BWG, D = 1,25 MM (0,01 KG/M)</v>
      </c>
      <c r="F392" s="510" t="str">
        <f>IF($C392="",IFERROR(VLOOKUP($B392,SERVIÇOS!$B:$G,3,0),IFERROR(VLOOKUP($B392,$D:$K,3,0),"")),IFERROR(VLOOKUP($C392,INSUMOS!$A:$D,3,0),IFERROR(VLOOKUP($C392,COTAÇÕES!$B:$I,3,0),(VLOOKUP($C392,'INSUMO SINAPI - SP'!$C:$F,3,0)))))</f>
        <v>KG</v>
      </c>
      <c r="G392" s="511">
        <v>0.09</v>
      </c>
      <c r="H392" s="512">
        <f>IF($C392="",IFERROR(VLOOKUP($B392,SERVIÇOS!$B:$G,6,0),IFERROR(VLOOKUP($B392,$D:$K,8,0),"")),IFERROR(VLOOKUP($C392,INSUMOS!$A:$D,4,0),IFERROR(VLOOKUP($C392,COTAÇÕES!$B:$I,7,0),(VLOOKUP($C392,'INSUMO SINAPI - SP'!$C:$F,4,0)))))</f>
        <v>26.45</v>
      </c>
      <c r="I392" s="513">
        <f>TRUNC(IF($C392="",IFERROR(VLOOKUP($B392,SERVIÇOS!$B:$G,4,0),IFERROR(VLOOKUP($B392,$D:$K,6,0),)),IFERROR(VLOOKUP($C392,INSUMOS!$A:$D,4,0),IFERROR(VLOOKUP($C392,COTAÇÕES!$B:$I,7,0),(VLOOKUP($C392,'INSUMO SINAPI - SP'!$C:$F,4,0)))))*$G392,2)</f>
        <v>2.38</v>
      </c>
      <c r="J392" s="513">
        <f>TRUNC(IF($C392="",IFERROR(VLOOKUP($B392,SERVIÇOS!$B:$G,5,0),IFERROR(VLOOKUP($B392,$D:$K,7,0),)),0)*$G392,2)</f>
        <v>0</v>
      </c>
      <c r="K392" s="514">
        <f t="shared" si="16"/>
        <v>2.38</v>
      </c>
      <c r="L392" s="517"/>
      <c r="M392" s="471"/>
      <c r="Q392" s="472"/>
      <c r="R392" s="472"/>
      <c r="S392" s="472"/>
      <c r="T392" s="472"/>
      <c r="U392" s="472"/>
      <c r="V392" s="472"/>
      <c r="W392" s="472"/>
      <c r="X392" s="472"/>
      <c r="Y392" s="472"/>
    </row>
    <row r="393" spans="1:25" x14ac:dyDescent="0.25">
      <c r="A393" s="463"/>
      <c r="B393" s="507"/>
      <c r="C393" s="507">
        <v>370</v>
      </c>
      <c r="D393" s="508"/>
      <c r="E393" s="509" t="str">
        <f>IF($C393="",IFERROR(VLOOKUP($B393,SERVIÇOS!$B:$G,2,0),IFERROR(VLOOKUP($B393,$D:$K,2,0),"")),IFERROR(VLOOKUP($C393,INSUMOS!$A:$D,2,0),IFERROR(VLOOKUP($C393,COTAÇÕES!$B:$I,2,0),(VLOOKUP($C393,'INSUMO SINAPI - SP'!$C:$F,2,0)))))</f>
        <v>AREIA MEDIA - POSTO JAZIDA/FORNECEDOR (RETIRADO NA JAZIDA, SEM TRANSPORTE)</v>
      </c>
      <c r="F393" s="510" t="str">
        <f>IF($C393="",IFERROR(VLOOKUP($B393,SERVIÇOS!$B:$G,3,0),IFERROR(VLOOKUP($B393,$D:$K,3,0),"")),IFERROR(VLOOKUP($C393,INSUMOS!$A:$D,3,0),IFERROR(VLOOKUP($C393,COTAÇÕES!$B:$I,3,0),(VLOOKUP($C393,'INSUMO SINAPI - SP'!$C:$F,3,0)))))</f>
        <v>M3</v>
      </c>
      <c r="G393" s="511">
        <v>3.3000000000000002E-2</v>
      </c>
      <c r="H393" s="512">
        <f>IF($C393="",IFERROR(VLOOKUP($B393,SERVIÇOS!$B:$G,6,0),IFERROR(VLOOKUP($B393,$D:$K,8,0),"")),IFERROR(VLOOKUP($C393,INSUMOS!$A:$D,4,0),IFERROR(VLOOKUP($C393,COTAÇÕES!$B:$I,7,0),(VLOOKUP($C393,'INSUMO SINAPI - SP'!$C:$F,4,0)))))</f>
        <v>119.08</v>
      </c>
      <c r="I393" s="513">
        <f>TRUNC(IF($C393="",IFERROR(VLOOKUP($B393,SERVIÇOS!$B:$G,4,0),IFERROR(VLOOKUP($B393,$D:$K,6,0),)),IFERROR(VLOOKUP($C393,INSUMOS!$A:$D,4,0),IFERROR(VLOOKUP($C393,COTAÇÕES!$B:$I,7,0),(VLOOKUP($C393,'INSUMO SINAPI - SP'!$C:$F,4,0)))))*$G393,2)</f>
        <v>3.92</v>
      </c>
      <c r="J393" s="513">
        <f>TRUNC(IF($C393="",IFERROR(VLOOKUP($B393,SERVIÇOS!$B:$G,5,0),IFERROR(VLOOKUP($B393,$D:$K,7,0),)),0)*$G393,2)</f>
        <v>0</v>
      </c>
      <c r="K393" s="514">
        <f t="shared" si="16"/>
        <v>3.92</v>
      </c>
      <c r="L393" s="517"/>
      <c r="M393" s="471"/>
      <c r="Q393" s="472"/>
      <c r="R393" s="472"/>
      <c r="S393" s="472"/>
      <c r="T393" s="472"/>
      <c r="U393" s="472"/>
      <c r="V393" s="472"/>
      <c r="W393" s="472"/>
      <c r="X393" s="472"/>
      <c r="Y393" s="472"/>
    </row>
    <row r="394" spans="1:25" x14ac:dyDescent="0.25">
      <c r="A394" s="463"/>
      <c r="B394" s="507"/>
      <c r="C394" s="507">
        <v>43059</v>
      </c>
      <c r="D394" s="508"/>
      <c r="E394" s="509" t="str">
        <f>IF($C394="",IFERROR(VLOOKUP($B394,SERVIÇOS!$B:$G,2,0),IFERROR(VLOOKUP($B394,$D:$K,2,0),"")),IFERROR(VLOOKUP($C394,INSUMOS!$A:$D,2,0),IFERROR(VLOOKUP($C394,COTAÇÕES!$B:$I,2,0),(VLOOKUP($C394,'INSUMO SINAPI - SP'!$C:$F,2,0)))))</f>
        <v>ACO CA-60, 4,2 MM, OU 5,0 MM, OU 6,0 MM, OU 7,0 MM, VERGALHAO</v>
      </c>
      <c r="F394" s="510" t="str">
        <f>IF($C394="",IFERROR(VLOOKUP($B394,SERVIÇOS!$B:$G,3,0),IFERROR(VLOOKUP($B394,$D:$K,3,0),"")),IFERROR(VLOOKUP($C394,INSUMOS!$A:$D,3,0),IFERROR(VLOOKUP($C394,COTAÇÕES!$B:$I,3,0),(VLOOKUP($C394,'INSUMO SINAPI - SP'!$C:$F,3,0)))))</f>
        <v>KG</v>
      </c>
      <c r="G394" s="511">
        <v>5.27</v>
      </c>
      <c r="H394" s="512">
        <f>IF($C394="",IFERROR(VLOOKUP($B394,SERVIÇOS!$B:$G,6,0),IFERROR(VLOOKUP($B394,$D:$K,8,0),"")),IFERROR(VLOOKUP($C394,INSUMOS!$A:$D,4,0),IFERROR(VLOOKUP($C394,COTAÇÕES!$B:$I,7,0),(VLOOKUP($C394,'INSUMO SINAPI - SP'!$C:$F,4,0)))))</f>
        <v>7.31</v>
      </c>
      <c r="I394" s="513">
        <f>TRUNC(IF($C394="",IFERROR(VLOOKUP($B394,SERVIÇOS!$B:$G,4,0),IFERROR(VLOOKUP($B394,$D:$K,6,0),)),IFERROR(VLOOKUP($C394,INSUMOS!$A:$D,4,0),IFERROR(VLOOKUP($C394,COTAÇÕES!$B:$I,7,0),(VLOOKUP($C394,'INSUMO SINAPI - SP'!$C:$F,4,0)))))*$G394,2)</f>
        <v>38.520000000000003</v>
      </c>
      <c r="J394" s="513">
        <f>TRUNC(IF($C394="",IFERROR(VLOOKUP($B394,SERVIÇOS!$B:$G,5,0),IFERROR(VLOOKUP($B394,$D:$K,7,0),)),0)*$G394,2)</f>
        <v>0</v>
      </c>
      <c r="K394" s="514">
        <f t="shared" si="16"/>
        <v>38.520000000000003</v>
      </c>
      <c r="L394" s="517"/>
      <c r="M394" s="471"/>
      <c r="Q394" s="472"/>
      <c r="R394" s="472"/>
      <c r="S394" s="472"/>
      <c r="T394" s="472"/>
      <c r="U394" s="472"/>
      <c r="V394" s="472"/>
      <c r="W394" s="472"/>
      <c r="X394" s="472"/>
      <c r="Y394" s="472"/>
    </row>
    <row r="395" spans="1:25" x14ac:dyDescent="0.25">
      <c r="A395" s="463"/>
      <c r="B395" s="498"/>
      <c r="C395" s="498"/>
      <c r="D395" s="499" t="s">
        <v>12093</v>
      </c>
      <c r="E395" s="500" t="s">
        <v>12843</v>
      </c>
      <c r="F395" s="501" t="s">
        <v>580</v>
      </c>
      <c r="G395" s="502"/>
      <c r="H395" s="503"/>
      <c r="I395" s="504">
        <f>ROUND(SUM(I396:I398),2)</f>
        <v>57.82</v>
      </c>
      <c r="J395" s="504">
        <f>ROUND(SUM(J396:J398),2)</f>
        <v>48.61</v>
      </c>
      <c r="K395" s="504">
        <f>+J395+I395</f>
        <v>106.43</v>
      </c>
      <c r="L395" s="523"/>
      <c r="M395" s="471"/>
      <c r="N395" s="505"/>
      <c r="Q395" s="472"/>
      <c r="R395" s="472"/>
      <c r="S395" s="472"/>
      <c r="T395" s="472"/>
      <c r="U395" s="472"/>
      <c r="V395" s="472"/>
      <c r="W395" s="472"/>
      <c r="X395" s="472"/>
      <c r="Y395" s="472"/>
    </row>
    <row r="396" spans="1:25" x14ac:dyDescent="0.25">
      <c r="A396" s="463"/>
      <c r="B396" s="506"/>
      <c r="C396" s="507" t="s">
        <v>12844</v>
      </c>
      <c r="D396" s="508"/>
      <c r="E396" s="509" t="str">
        <f>IF($C396="",IFERROR(VLOOKUP($B396,SERVIÇOS!$B:$G,2,0),IFERROR(VLOOKUP($B396,$D:$K,2,0),"")),IFERROR(VLOOKUP($C396,INSUMOS!$A:$D,2,0),IFERROR(VLOOKUP($C396,COTAÇÕES!$B:$I,2,0),(VLOOKUP($C396,'INSUMO SINAPI - SP'!$C:$F,2,0)))))</f>
        <v>SUPORTE MAO-FRANCESA EM ACO, ABAS IGUAIS 40 CM, CAPACIDADE MINIMA 70 KG, BRANCO</v>
      </c>
      <c r="F396" s="510" t="str">
        <f>IF($C396="",IFERROR(VLOOKUP($B396,SERVIÇOS!$B:$G,3,0),IFERROR(VLOOKUP($B396,$D:$K,3,0),"")),IFERROR(VLOOKUP($C396,INSUMOS!$A:$D,3,0),IFERROR(VLOOKUP($C396,COTAÇÕES!$B:$I,3,0),(VLOOKUP($C396,'INSUMO SINAPI - SP'!$C:$F,3,0)))))</f>
        <v>UN</v>
      </c>
      <c r="G396" s="511">
        <v>2</v>
      </c>
      <c r="H396" s="512">
        <f>IF($C396="",IFERROR(VLOOKUP($B396,SERVIÇOS!$B:$G,6,0),IFERROR(VLOOKUP($B396,$D:$K,8,0),"")),IFERROR(VLOOKUP($C396,INSUMOS!$A:$D,4,0),IFERROR(VLOOKUP($C396,COTAÇÕES!$B:$I,7,0),(VLOOKUP($C396,'INSUMO SINAPI - SP'!$C:$F,4,0)))))</f>
        <v>20.27</v>
      </c>
      <c r="I396" s="513">
        <f>TRUNC(IF($C396="",IFERROR(VLOOKUP($B396,SERVIÇOS!$B:$G,4,0),IFERROR(VLOOKUP($B396,$D:$K,6,0),)),IFERROR(VLOOKUP($C396,INSUMOS!$A:$D,4,0),IFERROR(VLOOKUP($C396,COTAÇÕES!$B:$I,7,0),(VLOOKUP($C396,'INSUMO SINAPI - SP'!$C:$F,4,0)))))*$G396,2)</f>
        <v>40.54</v>
      </c>
      <c r="J396" s="513"/>
      <c r="K396" s="514">
        <f>I396+J396</f>
        <v>40.54</v>
      </c>
      <c r="L396" s="515" t="s">
        <v>12685</v>
      </c>
      <c r="M396" s="471"/>
      <c r="N396" s="516"/>
      <c r="Q396" s="472"/>
      <c r="R396" s="472"/>
      <c r="S396" s="472"/>
      <c r="T396" s="472"/>
      <c r="U396" s="472"/>
      <c r="V396" s="472"/>
      <c r="W396" s="472"/>
      <c r="X396" s="472"/>
      <c r="Y396" s="472"/>
    </row>
    <row r="397" spans="1:25" x14ac:dyDescent="0.25">
      <c r="A397" s="463"/>
      <c r="B397" s="506">
        <v>88248</v>
      </c>
      <c r="C397" s="507"/>
      <c r="D397" s="508"/>
      <c r="E397" s="509" t="str">
        <f>IF($C397="",IFERROR(VLOOKUP($B397,SERVIÇOS!$B:$G,2,0),IFERROR(VLOOKUP($B397,$D:$K,2,0),"")),IFERROR(VLOOKUP($C397,INSUMOS!$A:$D,2,0),IFERROR(VLOOKUP($C397,COTAÇÕES!$B:$I,2,0),(VLOOKUP($C397,'INSUMO SINAPI - SP'!$C:$F,2,0)))))</f>
        <v>AUXILIAR DE ENCANADOR OU BOMBEIRO HIDRÁULICO COM ENCARGOS COMPLEMENTARES</v>
      </c>
      <c r="F397" s="510" t="str">
        <f>IF($C397="",IFERROR(VLOOKUP($B397,SERVIÇOS!$B:$G,3,0),IFERROR(VLOOKUP($B397,$D:$K,3,0),"")),IFERROR(VLOOKUP($C397,INSUMOS!$A:$D,3,0),IFERROR(VLOOKUP($C397,COTAÇÕES!$B:$I,3,0),(VLOOKUP($C397,'INSUMO SINAPI - SP'!$C:$F,3,0)))))</f>
        <v>H</v>
      </c>
      <c r="G397" s="511">
        <v>1</v>
      </c>
      <c r="H397" s="512">
        <f>IF($C397="",IFERROR(VLOOKUP($B397,SERVIÇOS!$B:$G,6,0),IFERROR(VLOOKUP($B397,$D:$K,8,0),"")),IFERROR(VLOOKUP($C397,INSUMOS!$A:$D,4,0),IFERROR(VLOOKUP($C397,COTAÇÕES!$B:$I,7,0),(VLOOKUP($C397,'INSUMO SINAPI - SP'!$C:$F,4,0)))))</f>
        <v>29.72</v>
      </c>
      <c r="I397" s="513">
        <f>TRUNC(IF($C397="",IFERROR(VLOOKUP($B397,SERVIÇOS!$B:$G,4,0),IFERROR(VLOOKUP($B397,$D:$K,6,0),)),IFERROR(VLOOKUP($C397,INSUMOS!$A:$D,4,0),IFERROR(VLOOKUP($C397,COTAÇÕES!$B:$I,7,0),(VLOOKUP($C397,'INSUMO SINAPI - SP'!$C:$F,4,0)))))*$G397,2)</f>
        <v>8.64</v>
      </c>
      <c r="J397" s="513">
        <f>TRUNC(IF($C397="",IFERROR(VLOOKUP($B397,SERVIÇOS!$B:$G,5,0),IFERROR(VLOOKUP($B397,$D:$K,7,0),)),0)*$G397,2)</f>
        <v>21.08</v>
      </c>
      <c r="K397" s="514">
        <f>I397+J397</f>
        <v>29.72</v>
      </c>
      <c r="L397" s="515"/>
      <c r="M397" s="471"/>
      <c r="N397" s="516"/>
      <c r="Q397" s="472"/>
      <c r="R397" s="472"/>
      <c r="S397" s="472"/>
      <c r="T397" s="472"/>
      <c r="U397" s="472"/>
      <c r="V397" s="472"/>
      <c r="W397" s="472"/>
      <c r="X397" s="472"/>
      <c r="Y397" s="472"/>
    </row>
    <row r="398" spans="1:25" x14ac:dyDescent="0.25">
      <c r="A398" s="463"/>
      <c r="B398" s="506">
        <v>88267</v>
      </c>
      <c r="C398" s="507"/>
      <c r="D398" s="508"/>
      <c r="E398" s="509" t="str">
        <f>IF($C398="",IFERROR(VLOOKUP($B398,SERVIÇOS!$B:$G,2,0),IFERROR(VLOOKUP($B398,$D:$K,2,0),"")),IFERROR(VLOOKUP($C398,INSUMOS!$A:$D,2,0),IFERROR(VLOOKUP($C398,COTAÇÕES!$B:$I,2,0),(VLOOKUP($C398,'INSUMO SINAPI - SP'!$C:$F,2,0)))))</f>
        <v>ENCANADOR OU BOMBEIRO HIDRÁULICO COM ENCARGOS COMPLEMENTARES</v>
      </c>
      <c r="F398" s="510" t="str">
        <f>IF($C398="",IFERROR(VLOOKUP($B398,SERVIÇOS!$B:$G,3,0),IFERROR(VLOOKUP($B398,$D:$K,3,0),"")),IFERROR(VLOOKUP($C398,INSUMOS!$A:$D,3,0),IFERROR(VLOOKUP($C398,COTAÇÕES!$B:$I,3,0),(VLOOKUP($C398,'INSUMO SINAPI - SP'!$C:$F,3,0)))))</f>
        <v>H</v>
      </c>
      <c r="G398" s="511">
        <v>1</v>
      </c>
      <c r="H398" s="512">
        <f>IF($C398="",IFERROR(VLOOKUP($B398,SERVIÇOS!$B:$G,6,0),IFERROR(VLOOKUP($B398,$D:$K,8,0),"")),IFERROR(VLOOKUP($C398,INSUMOS!$A:$D,4,0),IFERROR(VLOOKUP($C398,COTAÇÕES!$B:$I,7,0),(VLOOKUP($C398,'INSUMO SINAPI - SP'!$C:$F,4,0)))))</f>
        <v>36.17</v>
      </c>
      <c r="I398" s="513">
        <f>TRUNC(IF($C398="",IFERROR(VLOOKUP($B398,SERVIÇOS!$B:$G,4,0),IFERROR(VLOOKUP($B398,$D:$K,6,0),)),IFERROR(VLOOKUP($C398,INSUMOS!$A:$D,4,0),IFERROR(VLOOKUP($C398,COTAÇÕES!$B:$I,7,0),(VLOOKUP($C398,'INSUMO SINAPI - SP'!$C:$F,4,0)))))*$G398,2)</f>
        <v>8.64</v>
      </c>
      <c r="J398" s="513">
        <f>TRUNC(IF($C398="",IFERROR(VLOOKUP($B398,SERVIÇOS!$B:$G,5,0),IFERROR(VLOOKUP($B398,$D:$K,7,0),)),0)*$G398,2)</f>
        <v>27.53</v>
      </c>
      <c r="K398" s="514">
        <f>I398+J398</f>
        <v>36.17</v>
      </c>
      <c r="L398" s="515"/>
      <c r="M398" s="471"/>
      <c r="N398" s="516"/>
      <c r="Q398" s="472"/>
      <c r="R398" s="472"/>
      <c r="S398" s="472"/>
      <c r="T398" s="472"/>
      <c r="U398" s="472"/>
      <c r="V398" s="472"/>
      <c r="W398" s="472"/>
      <c r="X398" s="472"/>
      <c r="Y398" s="472"/>
    </row>
    <row r="399" spans="1:25" x14ac:dyDescent="0.25">
      <c r="A399" s="463"/>
      <c r="B399" s="498"/>
      <c r="C399" s="498"/>
      <c r="D399" s="499" t="s">
        <v>12144</v>
      </c>
      <c r="E399" s="500" t="s">
        <v>12845</v>
      </c>
      <c r="F399" s="501" t="s">
        <v>580</v>
      </c>
      <c r="G399" s="502"/>
      <c r="H399" s="503"/>
      <c r="I399" s="504">
        <f>ROUND(SUM(I400:I404),2)</f>
        <v>18.78</v>
      </c>
      <c r="J399" s="504">
        <f>ROUND(SUM(J400:J404),2)</f>
        <v>3.28</v>
      </c>
      <c r="K399" s="504">
        <f>+J399+I399</f>
        <v>22.060000000000002</v>
      </c>
      <c r="L399" s="523" t="s">
        <v>12846</v>
      </c>
      <c r="M399" s="471"/>
      <c r="N399" s="505"/>
      <c r="Q399" s="472"/>
      <c r="R399" s="472"/>
      <c r="S399" s="472"/>
      <c r="T399" s="472"/>
      <c r="U399" s="472"/>
      <c r="V399" s="472"/>
      <c r="W399" s="472"/>
      <c r="X399" s="472"/>
      <c r="Y399" s="472"/>
    </row>
    <row r="400" spans="1:25" ht="24" x14ac:dyDescent="0.25">
      <c r="A400" s="463"/>
      <c r="B400" s="506"/>
      <c r="C400" s="507">
        <v>20078</v>
      </c>
      <c r="D400" s="508"/>
      <c r="E400" s="509" t="str">
        <f>IF($C400="",IFERROR(VLOOKUP($B400,SERVIÇOS!$B:$G,2,0),IFERROR(VLOOKUP($B400,$D:$K,2,0),"")),IFERROR(VLOOKUP($C400,INSUMOS!$A:$D,2,0),IFERROR(VLOOKUP($C400,COTAÇÕES!$B:$I,2,0),(VLOOKUP($C400,'INSUMO SINAPI - SP'!$C:$F,2,0)))))</f>
        <v>PASTA LUBRIFICANTE PARA TUBOS E CONEXOES COM JUNTA ELASTICA, EMBALAGEM DE *400* GR (USO EM PVC, ACO, POLIETILENO E OUTROS)</v>
      </c>
      <c r="F400" s="510" t="str">
        <f>IF($C400="",IFERROR(VLOOKUP($B400,SERVIÇOS!$B:$G,3,0),IFERROR(VLOOKUP($B400,$D:$K,3,0),"")),IFERROR(VLOOKUP($C400,INSUMOS!$A:$D,3,0),IFERROR(VLOOKUP($C400,COTAÇÕES!$B:$I,3,0),(VLOOKUP($C400,'INSUMO SINAPI - SP'!$C:$F,3,0)))))</f>
        <v>UN</v>
      </c>
      <c r="G400" s="511">
        <v>0.02</v>
      </c>
      <c r="H400" s="512">
        <f>IF($C400="",IFERROR(VLOOKUP($B400,SERVIÇOS!$B:$G,6,0),IFERROR(VLOOKUP($B400,$D:$K,8,0),"")),IFERROR(VLOOKUP($C400,INSUMOS!$A:$D,4,0),IFERROR(VLOOKUP($C400,COTAÇÕES!$B:$I,7,0),(VLOOKUP($C400,'INSUMO SINAPI - SP'!$C:$F,4,0)))))</f>
        <v>30.48</v>
      </c>
      <c r="I400" s="513">
        <f>TRUNC(IF($C400="",IFERROR(VLOOKUP($B400,SERVIÇOS!$B:$G,4,0),IFERROR(VLOOKUP($B400,$D:$K,6,0),)),IFERROR(VLOOKUP($C400,INSUMOS!$A:$D,4,0),IFERROR(VLOOKUP($C400,COTAÇÕES!$B:$I,7,0),(VLOOKUP($C400,'INSUMO SINAPI - SP'!$C:$F,4,0)))))*$G400,2)</f>
        <v>0.6</v>
      </c>
      <c r="J400" s="513">
        <f>TRUNC(IF($C400="",IFERROR(VLOOKUP($B400,SERVIÇOS!$B:$G,5,0),IFERROR(VLOOKUP($B400,$D:$K,7,0),)),0)*$G400,2)</f>
        <v>0</v>
      </c>
      <c r="K400" s="514">
        <f>I400+J400</f>
        <v>0.6</v>
      </c>
      <c r="L400" s="517"/>
      <c r="M400" s="471"/>
      <c r="N400" s="516"/>
      <c r="Q400" s="472"/>
      <c r="R400" s="472"/>
      <c r="S400" s="472"/>
      <c r="T400" s="472"/>
      <c r="U400" s="472"/>
      <c r="V400" s="472"/>
      <c r="W400" s="472"/>
      <c r="X400" s="472"/>
      <c r="Y400" s="472"/>
    </row>
    <row r="401" spans="1:25" x14ac:dyDescent="0.25">
      <c r="A401" s="463"/>
      <c r="B401" s="506"/>
      <c r="C401" s="507">
        <v>39320</v>
      </c>
      <c r="D401" s="508"/>
      <c r="E401" s="509" t="str">
        <f>IF($C401="",IFERROR(VLOOKUP($B401,SERVIÇOS!$B:$G,2,0),IFERROR(VLOOKUP($B401,$D:$K,2,0),"")),IFERROR(VLOOKUP($C401,INSUMOS!$A:$D,2,0),IFERROR(VLOOKUP($C401,COTAÇÕES!$B:$I,2,0),(VLOOKUP($C401,'INSUMO SINAPI - SP'!$C:$F,2,0)))))</f>
        <v>TERMINAL DE VENTILACAO, 75 MM, SERIE NORMAL, ESGOTO PREDIAL</v>
      </c>
      <c r="F401" s="510" t="str">
        <f>IF($C401="",IFERROR(VLOOKUP($B401,SERVIÇOS!$B:$G,3,0),IFERROR(VLOOKUP($B401,$D:$K,3,0),"")),IFERROR(VLOOKUP($C401,INSUMOS!$A:$D,3,0),IFERROR(VLOOKUP($C401,COTAÇÕES!$B:$I,3,0),(VLOOKUP($C401,'INSUMO SINAPI - SP'!$C:$F,3,0)))))</f>
        <v>UN</v>
      </c>
      <c r="G401" s="511">
        <v>1</v>
      </c>
      <c r="H401" s="512">
        <f>IF($C401="",IFERROR(VLOOKUP($B401,SERVIÇOS!$B:$G,6,0),IFERROR(VLOOKUP($B401,$D:$K,8,0),"")),IFERROR(VLOOKUP($C401,INSUMOS!$A:$D,4,0),IFERROR(VLOOKUP($C401,COTAÇÕES!$B:$I,7,0),(VLOOKUP($C401,'INSUMO SINAPI - SP'!$C:$F,4,0)))))</f>
        <v>16.920000000000002</v>
      </c>
      <c r="I401" s="513">
        <f>TRUNC(IF($C401="",IFERROR(VLOOKUP($B401,SERVIÇOS!$B:$G,4,0),IFERROR(VLOOKUP($B401,$D:$K,6,0),)),IFERROR(VLOOKUP($C401,INSUMOS!$A:$D,4,0),IFERROR(VLOOKUP($C401,COTAÇÕES!$B:$I,7,0),(VLOOKUP($C401,'INSUMO SINAPI - SP'!$C:$F,4,0)))))*$G401,2)</f>
        <v>16.920000000000002</v>
      </c>
      <c r="J401" s="513">
        <f>TRUNC(IF($C401="",IFERROR(VLOOKUP($B401,SERVIÇOS!$B:$G,5,0),IFERROR(VLOOKUP($B401,$D:$K,7,0),)),0)*$G401,2)</f>
        <v>0</v>
      </c>
      <c r="K401" s="514">
        <f>I401+J401</f>
        <v>16.920000000000002</v>
      </c>
      <c r="L401" s="517"/>
      <c r="M401" s="471"/>
      <c r="N401" s="516"/>
      <c r="Q401" s="472"/>
      <c r="R401" s="472"/>
      <c r="S401" s="472"/>
      <c r="T401" s="472"/>
      <c r="U401" s="472"/>
      <c r="V401" s="472"/>
      <c r="W401" s="472"/>
      <c r="X401" s="472"/>
      <c r="Y401" s="472"/>
    </row>
    <row r="402" spans="1:25" x14ac:dyDescent="0.25">
      <c r="A402" s="463"/>
      <c r="B402" s="506">
        <v>88316</v>
      </c>
      <c r="C402" s="507"/>
      <c r="D402" s="508"/>
      <c r="E402" s="509" t="str">
        <f>IF($C402="",IFERROR(VLOOKUP($B402,SERVIÇOS!$B:$G,2,0),IFERROR(VLOOKUP($B402,$D:$K,2,0),"")),IFERROR(VLOOKUP($C402,INSUMOS!$A:$D,2,0),IFERROR(VLOOKUP($C402,COTAÇÕES!$B:$I,2,0),(VLOOKUP($C402,'INSUMO SINAPI - SP'!$C:$F,2,0)))))</f>
        <v>SERVENTE COM ENCARGOS COMPLEMENTARES</v>
      </c>
      <c r="F402" s="510" t="str">
        <f>IF($C402="",IFERROR(VLOOKUP($B402,SERVIÇOS!$B:$G,3,0),IFERROR(VLOOKUP($B402,$D:$K,3,0),"")),IFERROR(VLOOKUP($C402,INSUMOS!$A:$D,3,0),IFERROR(VLOOKUP($C402,COTAÇÕES!$B:$I,3,0),(VLOOKUP($C402,'INSUMO SINAPI - SP'!$C:$F,3,0)))))</f>
        <v>H</v>
      </c>
      <c r="G402" s="511">
        <v>7.0000000000000007E-2</v>
      </c>
      <c r="H402" s="512">
        <f>IF($C402="",IFERROR(VLOOKUP($B402,SERVIÇOS!$B:$G,6,0),IFERROR(VLOOKUP($B402,$D:$K,8,0),"")),IFERROR(VLOOKUP($C402,INSUMOS!$A:$D,4,0),IFERROR(VLOOKUP($C402,COTAÇÕES!$B:$I,7,0),(VLOOKUP($C402,'INSUMO SINAPI - SP'!$C:$F,4,0)))))</f>
        <v>28.71</v>
      </c>
      <c r="I402" s="513">
        <f>TRUNC(IF($C402="",IFERROR(VLOOKUP($B402,SERVIÇOS!$B:$G,4,0),IFERROR(VLOOKUP($B402,$D:$K,6,0),)),IFERROR(VLOOKUP($C402,INSUMOS!$A:$D,4,0),IFERROR(VLOOKUP($C402,COTAÇÕES!$B:$I,7,0),(VLOOKUP($C402,'INSUMO SINAPI - SP'!$C:$F,4,0)))))*$G402,2)</f>
        <v>0.64</v>
      </c>
      <c r="J402" s="513">
        <f>TRUNC(IF($C402="",IFERROR(VLOOKUP($B402,SERVIÇOS!$B:$G,5,0),IFERROR(VLOOKUP($B402,$D:$K,7,0),)),0)*$G402,2)</f>
        <v>1.36</v>
      </c>
      <c r="K402" s="514">
        <f>I402+J402</f>
        <v>2</v>
      </c>
      <c r="L402" s="515"/>
      <c r="M402" s="471"/>
      <c r="N402" s="516"/>
      <c r="Q402" s="472"/>
      <c r="R402" s="472"/>
      <c r="S402" s="472"/>
      <c r="T402" s="472"/>
      <c r="U402" s="472"/>
      <c r="V402" s="472"/>
      <c r="W402" s="472"/>
      <c r="X402" s="472"/>
      <c r="Y402" s="472"/>
    </row>
    <row r="403" spans="1:25" x14ac:dyDescent="0.25">
      <c r="A403" s="463"/>
      <c r="B403" s="506"/>
      <c r="C403" s="507">
        <v>297</v>
      </c>
      <c r="D403" s="508"/>
      <c r="E403" s="509" t="str">
        <f>IF($C403="",IFERROR(VLOOKUP($B403,SERVIÇOS!$B:$G,2,0),IFERROR(VLOOKUP($B403,$D:$K,2,0),"")),IFERROR(VLOOKUP($C403,INSUMOS!$A:$D,2,0),IFERROR(VLOOKUP($C403,COTAÇÕES!$B:$I,2,0),(VLOOKUP($C403,'INSUMO SINAPI - SP'!$C:$F,2,0)))))</f>
        <v>ANEL BORRACHA PARA TUBO ESGOTO PREDIAL, DN 75 MM (NBR 5688)</v>
      </c>
      <c r="F403" s="510" t="str">
        <f>IF($C403="",IFERROR(VLOOKUP($B403,SERVIÇOS!$B:$G,3,0),IFERROR(VLOOKUP($B403,$D:$K,3,0),"")),IFERROR(VLOOKUP($C403,INSUMOS!$A:$D,3,0),IFERROR(VLOOKUP($C403,COTAÇÕES!$B:$I,3,0),(VLOOKUP($C403,'INSUMO SINAPI - SP'!$C:$F,3,0)))))</f>
        <v>UN</v>
      </c>
      <c r="G403" s="511">
        <v>1.0999999999999999E-2</v>
      </c>
      <c r="H403" s="512">
        <f>IF($C403="",IFERROR(VLOOKUP($B403,SERVIÇOS!$B:$G,6,0),IFERROR(VLOOKUP($B403,$D:$K,8,0),"")),IFERROR(VLOOKUP($C403,INSUMOS!$A:$D,4,0),IFERROR(VLOOKUP($C403,COTAÇÕES!$B:$I,7,0),(VLOOKUP($C403,'INSUMO SINAPI - SP'!$C:$F,4,0)))))</f>
        <v>2.21</v>
      </c>
      <c r="I403" s="513">
        <f>TRUNC(IF($C403="",IFERROR(VLOOKUP($B403,SERVIÇOS!$B:$G,4,0),IFERROR(VLOOKUP($B403,$D:$K,6,0),)),IFERROR(VLOOKUP($C403,INSUMOS!$A:$D,4,0),IFERROR(VLOOKUP($C403,COTAÇÕES!$B:$I,7,0),(VLOOKUP($C403,'INSUMO SINAPI - SP'!$C:$F,4,0)))))*$G403,2)</f>
        <v>0.02</v>
      </c>
      <c r="J403" s="513">
        <f>TRUNC(IF($C403="",IFERROR(VLOOKUP($B403,SERVIÇOS!$B:$G,5,0),IFERROR(VLOOKUP($B403,$D:$K,7,0),)),0)*$G403,2)</f>
        <v>0</v>
      </c>
      <c r="K403" s="514">
        <f>I403+J403</f>
        <v>0.02</v>
      </c>
      <c r="L403" s="517"/>
      <c r="M403" s="471"/>
      <c r="N403" s="516"/>
      <c r="Q403" s="472"/>
      <c r="R403" s="472"/>
      <c r="S403" s="472"/>
      <c r="T403" s="472"/>
      <c r="U403" s="472"/>
      <c r="V403" s="472"/>
      <c r="W403" s="472"/>
      <c r="X403" s="472"/>
      <c r="Y403" s="472"/>
    </row>
    <row r="404" spans="1:25" x14ac:dyDescent="0.25">
      <c r="A404" s="463"/>
      <c r="B404" s="506">
        <v>88267</v>
      </c>
      <c r="C404" s="507"/>
      <c r="D404" s="508"/>
      <c r="E404" s="509" t="str">
        <f>IF($C404="",IFERROR(VLOOKUP($B404,SERVIÇOS!$B:$G,2,0),IFERROR(VLOOKUP($B404,$D:$K,2,0),"")),IFERROR(VLOOKUP($C404,INSUMOS!$A:$D,2,0),IFERROR(VLOOKUP($C404,COTAÇÕES!$B:$I,2,0),(VLOOKUP($C404,'INSUMO SINAPI - SP'!$C:$F,2,0)))))</f>
        <v>ENCANADOR OU BOMBEIRO HIDRÁULICO COM ENCARGOS COMPLEMENTARES</v>
      </c>
      <c r="F404" s="510" t="str">
        <f>IF($C404="",IFERROR(VLOOKUP($B404,SERVIÇOS!$B:$G,3,0),IFERROR(VLOOKUP($B404,$D:$K,3,0),"")),IFERROR(VLOOKUP($C404,INSUMOS!$A:$D,3,0),IFERROR(VLOOKUP($C404,COTAÇÕES!$B:$I,3,0),(VLOOKUP($C404,'INSUMO SINAPI - SP'!$C:$F,3,0)))))</f>
        <v>H</v>
      </c>
      <c r="G404" s="511">
        <v>7.0000000000000007E-2</v>
      </c>
      <c r="H404" s="512">
        <f>IF($C404="",IFERROR(VLOOKUP($B404,SERVIÇOS!$B:$G,6,0),IFERROR(VLOOKUP($B404,$D:$K,8,0),"")),IFERROR(VLOOKUP($C404,INSUMOS!$A:$D,4,0),IFERROR(VLOOKUP($C404,COTAÇÕES!$B:$I,7,0),(VLOOKUP($C404,'INSUMO SINAPI - SP'!$C:$F,4,0)))))</f>
        <v>36.17</v>
      </c>
      <c r="I404" s="513">
        <f>TRUNC(IF($C404="",IFERROR(VLOOKUP($B404,SERVIÇOS!$B:$G,4,0),IFERROR(VLOOKUP($B404,$D:$K,6,0),)),IFERROR(VLOOKUP($C404,INSUMOS!$A:$D,4,0),IFERROR(VLOOKUP($C404,COTAÇÕES!$B:$I,7,0),(VLOOKUP($C404,'INSUMO SINAPI - SP'!$C:$F,4,0)))))*$G404,2)</f>
        <v>0.6</v>
      </c>
      <c r="J404" s="513">
        <f>TRUNC(IF($C404="",IFERROR(VLOOKUP($B404,SERVIÇOS!$B:$G,5,0),IFERROR(VLOOKUP($B404,$D:$K,7,0),)),0)*$G404,2)</f>
        <v>1.92</v>
      </c>
      <c r="K404" s="514">
        <f>I404+J404</f>
        <v>2.52</v>
      </c>
      <c r="L404" s="515"/>
      <c r="M404" s="471"/>
      <c r="N404" s="516"/>
      <c r="Q404" s="472"/>
      <c r="R404" s="472"/>
      <c r="S404" s="472"/>
      <c r="T404" s="472"/>
      <c r="U404" s="472"/>
      <c r="V404" s="472"/>
      <c r="W404" s="472"/>
      <c r="X404" s="472"/>
      <c r="Y404" s="472"/>
    </row>
    <row r="405" spans="1:25" x14ac:dyDescent="0.25">
      <c r="A405" s="463"/>
      <c r="B405" s="498"/>
      <c r="C405" s="498"/>
      <c r="D405" s="499" t="s">
        <v>12169</v>
      </c>
      <c r="E405" s="500" t="s">
        <v>12847</v>
      </c>
      <c r="F405" s="501" t="s">
        <v>580</v>
      </c>
      <c r="G405" s="502"/>
      <c r="H405" s="503"/>
      <c r="I405" s="504">
        <f>ROUND(SUM(I406:I408),2)</f>
        <v>206.39</v>
      </c>
      <c r="J405" s="504">
        <f>ROUND(SUM(J406:J408),2)</f>
        <v>23.56</v>
      </c>
      <c r="K405" s="504">
        <f>+J405+I405</f>
        <v>229.95</v>
      </c>
      <c r="L405" s="523" t="s">
        <v>12848</v>
      </c>
      <c r="M405" s="471"/>
      <c r="N405" s="505"/>
      <c r="Q405" s="472"/>
      <c r="R405" s="472"/>
      <c r="S405" s="472"/>
      <c r="T405" s="472"/>
      <c r="U405" s="472"/>
      <c r="V405" s="472"/>
      <c r="W405" s="472"/>
      <c r="X405" s="472"/>
      <c r="Y405" s="472"/>
    </row>
    <row r="406" spans="1:25" x14ac:dyDescent="0.25">
      <c r="A406" s="463"/>
      <c r="B406" s="506">
        <v>88309</v>
      </c>
      <c r="C406" s="507"/>
      <c r="D406" s="508"/>
      <c r="E406" s="509" t="str">
        <f>IF($C406="",IFERROR(VLOOKUP($B406,SERVIÇOS!$B:$G,2,0),IFERROR(VLOOKUP($B406,$D:$K,2,0),"")),IFERROR(VLOOKUP($C406,INSUMOS!$A:$D,2,0),IFERROR(VLOOKUP($C406,COTAÇÕES!$B:$I,2,0),(VLOOKUP($C406,'INSUMO SINAPI - SP'!$C:$F,2,0)))))</f>
        <v>PEDREIRO COM ENCARGOS COMPLEMENTARES</v>
      </c>
      <c r="F406" s="510" t="str">
        <f>IF($C406="",IFERROR(VLOOKUP($B406,SERVIÇOS!$B:$G,3,0),IFERROR(VLOOKUP($B406,$D:$K,3,0),"")),IFERROR(VLOOKUP($C406,INSUMOS!$A:$D,3,0),IFERROR(VLOOKUP($C406,COTAÇÕES!$B:$I,3,0),(VLOOKUP($C406,'INSUMO SINAPI - SP'!$C:$F,3,0)))))</f>
        <v>H</v>
      </c>
      <c r="G406" s="511">
        <v>0.5</v>
      </c>
      <c r="H406" s="512">
        <f>IF($C406="",IFERROR(VLOOKUP($B406,SERVIÇOS!$B:$G,6,0),IFERROR(VLOOKUP($B406,$D:$K,8,0),"")),IFERROR(VLOOKUP($C406,INSUMOS!$A:$D,4,0),IFERROR(VLOOKUP($C406,COTAÇÕES!$B:$I,7,0),(VLOOKUP($C406,'INSUMO SINAPI - SP'!$C:$F,4,0)))))</f>
        <v>36.909999999999997</v>
      </c>
      <c r="I406" s="513">
        <f>TRUNC(IF($C406="",IFERROR(VLOOKUP($B406,SERVIÇOS!$B:$G,4,0),IFERROR(VLOOKUP($B406,$D:$K,6,0),)),IFERROR(VLOOKUP($C406,INSUMOS!$A:$D,4,0),IFERROR(VLOOKUP($C406,COTAÇÕES!$B:$I,7,0),(VLOOKUP($C406,'INSUMO SINAPI - SP'!$C:$F,4,0)))))*$G406,2)</f>
        <v>4.6399999999999997</v>
      </c>
      <c r="J406" s="513">
        <f>TRUNC(IF($C406="",IFERROR(VLOOKUP($B406,SERVIÇOS!$B:$G,5,0),IFERROR(VLOOKUP($B406,$D:$K,7,0),)),0)*$G406,2)</f>
        <v>13.81</v>
      </c>
      <c r="K406" s="514">
        <f>I406+J406</f>
        <v>18.45</v>
      </c>
      <c r="L406" s="515"/>
      <c r="M406" s="471"/>
      <c r="N406" s="516"/>
      <c r="Q406" s="472"/>
      <c r="R406" s="472"/>
      <c r="S406" s="472"/>
      <c r="T406" s="472"/>
      <c r="U406" s="472"/>
      <c r="V406" s="472"/>
      <c r="W406" s="472"/>
      <c r="X406" s="472"/>
      <c r="Y406" s="472"/>
    </row>
    <row r="407" spans="1:25" x14ac:dyDescent="0.25">
      <c r="A407" s="463"/>
      <c r="B407" s="506">
        <v>88316</v>
      </c>
      <c r="C407" s="507"/>
      <c r="D407" s="508"/>
      <c r="E407" s="509" t="str">
        <f>IF($C407="",IFERROR(VLOOKUP($B407,SERVIÇOS!$B:$G,2,0),IFERROR(VLOOKUP($B407,$D:$K,2,0),"")),IFERROR(VLOOKUP($C407,INSUMOS!$A:$D,2,0),IFERROR(VLOOKUP($C407,COTAÇÕES!$B:$I,2,0),(VLOOKUP($C407,'INSUMO SINAPI - SP'!$C:$F,2,0)))))</f>
        <v>SERVENTE COM ENCARGOS COMPLEMENTARES</v>
      </c>
      <c r="F407" s="510" t="str">
        <f>IF($C407="",IFERROR(VLOOKUP($B407,SERVIÇOS!$B:$G,3,0),IFERROR(VLOOKUP($B407,$D:$K,3,0),"")),IFERROR(VLOOKUP($C407,INSUMOS!$A:$D,3,0),IFERROR(VLOOKUP($C407,COTAÇÕES!$B:$I,3,0),(VLOOKUP($C407,'INSUMO SINAPI - SP'!$C:$F,3,0)))))</f>
        <v>H</v>
      </c>
      <c r="G407" s="511">
        <v>0.5</v>
      </c>
      <c r="H407" s="512">
        <f>IF($C407="",IFERROR(VLOOKUP($B407,SERVIÇOS!$B:$G,6,0),IFERROR(VLOOKUP($B407,$D:$K,8,0),"")),IFERROR(VLOOKUP($C407,INSUMOS!$A:$D,4,0),IFERROR(VLOOKUP($C407,COTAÇÕES!$B:$I,7,0),(VLOOKUP($C407,'INSUMO SINAPI - SP'!$C:$F,4,0)))))</f>
        <v>28.71</v>
      </c>
      <c r="I407" s="513">
        <f>TRUNC(IF($C407="",IFERROR(VLOOKUP($B407,SERVIÇOS!$B:$G,4,0),IFERROR(VLOOKUP($B407,$D:$K,6,0),)),IFERROR(VLOOKUP($C407,INSUMOS!$A:$D,4,0),IFERROR(VLOOKUP($C407,COTAÇÕES!$B:$I,7,0),(VLOOKUP($C407,'INSUMO SINAPI - SP'!$C:$F,4,0)))))*$G407,2)</f>
        <v>4.5999999999999996</v>
      </c>
      <c r="J407" s="513">
        <f>TRUNC(IF($C407="",IFERROR(VLOOKUP($B407,SERVIÇOS!$B:$G,5,0),IFERROR(VLOOKUP($B407,$D:$K,7,0),)),0)*$G407,2)</f>
        <v>9.75</v>
      </c>
      <c r="K407" s="514">
        <f>I407+J407</f>
        <v>14.35</v>
      </c>
      <c r="L407" s="515"/>
      <c r="M407" s="471"/>
      <c r="N407" s="516"/>
      <c r="Q407" s="472"/>
      <c r="R407" s="472"/>
      <c r="S407" s="472"/>
      <c r="T407" s="472"/>
      <c r="U407" s="472"/>
      <c r="V407" s="472"/>
      <c r="W407" s="472"/>
      <c r="X407" s="472"/>
      <c r="Y407" s="472"/>
    </row>
    <row r="408" spans="1:25" x14ac:dyDescent="0.25">
      <c r="A408" s="463"/>
      <c r="B408" s="506"/>
      <c r="C408" s="507" t="s">
        <v>12849</v>
      </c>
      <c r="D408" s="508"/>
      <c r="E408" s="518" t="s">
        <v>12850</v>
      </c>
      <c r="F408" s="519" t="s">
        <v>12667</v>
      </c>
      <c r="G408" s="511">
        <v>1</v>
      </c>
      <c r="H408" s="520">
        <v>197.15</v>
      </c>
      <c r="I408" s="520">
        <f>TRUNC(H408*G408,2)</f>
        <v>197.15</v>
      </c>
      <c r="J408" s="521"/>
      <c r="K408" s="522">
        <f>I408+J408</f>
        <v>197.15</v>
      </c>
      <c r="L408" s="517" t="s">
        <v>12668</v>
      </c>
      <c r="M408" s="471"/>
      <c r="N408" s="516"/>
      <c r="Q408" s="472"/>
      <c r="R408" s="472"/>
      <c r="S408" s="472"/>
      <c r="T408" s="472"/>
      <c r="U408" s="472"/>
      <c r="V408" s="472"/>
      <c r="W408" s="472"/>
      <c r="X408" s="472"/>
      <c r="Y408" s="472"/>
    </row>
    <row r="409" spans="1:25" x14ac:dyDescent="0.25">
      <c r="A409" s="463"/>
      <c r="B409" s="498"/>
      <c r="C409" s="498"/>
      <c r="D409" s="499" t="s">
        <v>12143</v>
      </c>
      <c r="E409" s="500" t="s">
        <v>12851</v>
      </c>
      <c r="F409" s="501" t="s">
        <v>580</v>
      </c>
      <c r="G409" s="502"/>
      <c r="H409" s="503"/>
      <c r="I409" s="504">
        <f>ROUND(SUM(I410:I414),2)</f>
        <v>10.65</v>
      </c>
      <c r="J409" s="504">
        <f>ROUND(SUM(J410:J414),2)</f>
        <v>3.28</v>
      </c>
      <c r="K409" s="504">
        <f>+J409+I409</f>
        <v>13.93</v>
      </c>
      <c r="L409" s="523" t="s">
        <v>12846</v>
      </c>
      <c r="M409" s="471"/>
      <c r="N409" s="505"/>
      <c r="Q409" s="472"/>
      <c r="R409" s="472"/>
      <c r="S409" s="472"/>
      <c r="T409" s="472"/>
      <c r="U409" s="472"/>
      <c r="V409" s="472"/>
      <c r="W409" s="472"/>
      <c r="X409" s="472"/>
      <c r="Y409" s="472"/>
    </row>
    <row r="410" spans="1:25" ht="24" x14ac:dyDescent="0.25">
      <c r="A410" s="463"/>
      <c r="B410" s="506"/>
      <c r="C410" s="507">
        <v>20078</v>
      </c>
      <c r="D410" s="508"/>
      <c r="E410" s="509" t="str">
        <f>IF($C410="",IFERROR(VLOOKUP($B410,SERVIÇOS!$B:$G,2,0),IFERROR(VLOOKUP($B410,$D:$K,2,0),"")),IFERROR(VLOOKUP($C410,INSUMOS!$A:$D,2,0),IFERROR(VLOOKUP($C410,COTAÇÕES!$B:$I,2,0),(VLOOKUP($C410,'INSUMO SINAPI - SP'!$C:$F,2,0)))))</f>
        <v>PASTA LUBRIFICANTE PARA TUBOS E CONEXOES COM JUNTA ELASTICA, EMBALAGEM DE *400* GR (USO EM PVC, ACO, POLIETILENO E OUTROS)</v>
      </c>
      <c r="F410" s="510" t="str">
        <f>IF($C410="",IFERROR(VLOOKUP($B410,SERVIÇOS!$B:$G,3,0),IFERROR(VLOOKUP($B410,$D:$K,3,0),"")),IFERROR(VLOOKUP($C410,INSUMOS!$A:$D,3,0),IFERROR(VLOOKUP($C410,COTAÇÕES!$B:$I,3,0),(VLOOKUP($C410,'INSUMO SINAPI - SP'!$C:$F,3,0)))))</f>
        <v>UN</v>
      </c>
      <c r="G410" s="511">
        <v>0.02</v>
      </c>
      <c r="H410" s="512">
        <f>IF($C410="",IFERROR(VLOOKUP($B410,SERVIÇOS!$B:$G,6,0),IFERROR(VLOOKUP($B410,$D:$K,8,0),"")),IFERROR(VLOOKUP($C410,INSUMOS!$A:$D,4,0),IFERROR(VLOOKUP($C410,COTAÇÕES!$B:$I,7,0),(VLOOKUP($C410,'INSUMO SINAPI - SP'!$C:$F,4,0)))))</f>
        <v>30.48</v>
      </c>
      <c r="I410" s="513">
        <f>TRUNC(IF($C410="",IFERROR(VLOOKUP($B410,SERVIÇOS!$B:$G,4,0),IFERROR(VLOOKUP($B410,$D:$K,6,0),)),IFERROR(VLOOKUP($C410,INSUMOS!$A:$D,4,0),IFERROR(VLOOKUP($C410,COTAÇÕES!$B:$I,7,0),(VLOOKUP($C410,'INSUMO SINAPI - SP'!$C:$F,4,0)))))*$G410,2)</f>
        <v>0.6</v>
      </c>
      <c r="J410" s="513">
        <f>TRUNC(IF($C410="",IFERROR(VLOOKUP($B410,SERVIÇOS!$B:$G,5,0),IFERROR(VLOOKUP($B410,$D:$K,7,0),)),0)*$G410,2)</f>
        <v>0</v>
      </c>
      <c r="K410" s="514">
        <f>I410+J410</f>
        <v>0.6</v>
      </c>
      <c r="L410" s="517"/>
      <c r="M410" s="471"/>
      <c r="N410" s="516"/>
      <c r="Q410" s="472"/>
      <c r="R410" s="472"/>
      <c r="S410" s="472"/>
      <c r="T410" s="472"/>
      <c r="U410" s="472"/>
      <c r="V410" s="472"/>
      <c r="W410" s="472"/>
      <c r="X410" s="472"/>
      <c r="Y410" s="472"/>
    </row>
    <row r="411" spans="1:25" x14ac:dyDescent="0.25">
      <c r="A411" s="463"/>
      <c r="B411" s="506"/>
      <c r="C411" s="507">
        <v>39319</v>
      </c>
      <c r="D411" s="508"/>
      <c r="E411" s="509" t="str">
        <f>IF($C411="",IFERROR(VLOOKUP($B411,SERVIÇOS!$B:$G,2,0),IFERROR(VLOOKUP($B411,$D:$K,2,0),"")),IFERROR(VLOOKUP($C411,INSUMOS!$A:$D,2,0),IFERROR(VLOOKUP($C411,COTAÇÕES!$B:$I,2,0),(VLOOKUP($C411,'INSUMO SINAPI - SP'!$C:$F,2,0)))))</f>
        <v>TERMINAL DE VENTILACAO, 50 MM, SERIE NORMAL, ESGOTO PREDIAL</v>
      </c>
      <c r="F411" s="510" t="str">
        <f>IF($C411="",IFERROR(VLOOKUP($B411,SERVIÇOS!$B:$G,3,0),IFERROR(VLOOKUP($B411,$D:$K,3,0),"")),IFERROR(VLOOKUP($C411,INSUMOS!$A:$D,3,0),IFERROR(VLOOKUP($C411,COTAÇÕES!$B:$I,3,0),(VLOOKUP($C411,'INSUMO SINAPI - SP'!$C:$F,3,0)))))</f>
        <v>UN</v>
      </c>
      <c r="G411" s="511">
        <v>1</v>
      </c>
      <c r="H411" s="512">
        <f>IF($C411="",IFERROR(VLOOKUP($B411,SERVIÇOS!$B:$G,6,0),IFERROR(VLOOKUP($B411,$D:$K,8,0),"")),IFERROR(VLOOKUP($C411,INSUMOS!$A:$D,4,0),IFERROR(VLOOKUP($C411,COTAÇÕES!$B:$I,7,0),(VLOOKUP($C411,'INSUMO SINAPI - SP'!$C:$F,4,0)))))</f>
        <v>8.8000000000000007</v>
      </c>
      <c r="I411" s="513">
        <f>TRUNC(IF($C411="",IFERROR(VLOOKUP($B411,SERVIÇOS!$B:$G,4,0),IFERROR(VLOOKUP($B411,$D:$K,6,0),)),IFERROR(VLOOKUP($C411,INSUMOS!$A:$D,4,0),IFERROR(VLOOKUP($C411,COTAÇÕES!$B:$I,7,0),(VLOOKUP($C411,'INSUMO SINAPI - SP'!$C:$F,4,0)))))*$G411,2)</f>
        <v>8.8000000000000007</v>
      </c>
      <c r="J411" s="513">
        <f>TRUNC(IF($C411="",IFERROR(VLOOKUP($B411,SERVIÇOS!$B:$G,5,0),IFERROR(VLOOKUP($B411,$D:$K,7,0),)),0)*$G411,2)</f>
        <v>0</v>
      </c>
      <c r="K411" s="514">
        <f>I411+J411</f>
        <v>8.8000000000000007</v>
      </c>
      <c r="L411" s="517"/>
      <c r="M411" s="471"/>
      <c r="N411" s="516"/>
      <c r="Q411" s="472"/>
      <c r="R411" s="472"/>
      <c r="S411" s="472"/>
      <c r="T411" s="472"/>
      <c r="U411" s="472"/>
      <c r="V411" s="472"/>
      <c r="W411" s="472"/>
      <c r="X411" s="472"/>
      <c r="Y411" s="472"/>
    </row>
    <row r="412" spans="1:25" x14ac:dyDescent="0.25">
      <c r="A412" s="463"/>
      <c r="B412" s="506">
        <v>88316</v>
      </c>
      <c r="C412" s="507"/>
      <c r="D412" s="508"/>
      <c r="E412" s="509" t="str">
        <f>IF($C412="",IFERROR(VLOOKUP($B412,SERVIÇOS!$B:$G,2,0),IFERROR(VLOOKUP($B412,$D:$K,2,0),"")),IFERROR(VLOOKUP($C412,INSUMOS!$A:$D,2,0),IFERROR(VLOOKUP($C412,COTAÇÕES!$B:$I,2,0),(VLOOKUP($C412,'INSUMO SINAPI - SP'!$C:$F,2,0)))))</f>
        <v>SERVENTE COM ENCARGOS COMPLEMENTARES</v>
      </c>
      <c r="F412" s="510" t="str">
        <f>IF($C412="",IFERROR(VLOOKUP($B412,SERVIÇOS!$B:$G,3,0),IFERROR(VLOOKUP($B412,$D:$K,3,0),"")),IFERROR(VLOOKUP($C412,INSUMOS!$A:$D,3,0),IFERROR(VLOOKUP($C412,COTAÇÕES!$B:$I,3,0),(VLOOKUP($C412,'INSUMO SINAPI - SP'!$C:$F,3,0)))))</f>
        <v>H</v>
      </c>
      <c r="G412" s="511">
        <v>7.0000000000000007E-2</v>
      </c>
      <c r="H412" s="512">
        <f>IF($C412="",IFERROR(VLOOKUP($B412,SERVIÇOS!$B:$G,6,0),IFERROR(VLOOKUP($B412,$D:$K,8,0),"")),IFERROR(VLOOKUP($C412,INSUMOS!$A:$D,4,0),IFERROR(VLOOKUP($C412,COTAÇÕES!$B:$I,7,0),(VLOOKUP($C412,'INSUMO SINAPI - SP'!$C:$F,4,0)))))</f>
        <v>28.71</v>
      </c>
      <c r="I412" s="513">
        <f>TRUNC(IF($C412="",IFERROR(VLOOKUP($B412,SERVIÇOS!$B:$G,4,0),IFERROR(VLOOKUP($B412,$D:$K,6,0),)),IFERROR(VLOOKUP($C412,INSUMOS!$A:$D,4,0),IFERROR(VLOOKUP($C412,COTAÇÕES!$B:$I,7,0),(VLOOKUP($C412,'INSUMO SINAPI - SP'!$C:$F,4,0)))))*$G412,2)</f>
        <v>0.64</v>
      </c>
      <c r="J412" s="513">
        <f>TRUNC(IF($C412="",IFERROR(VLOOKUP($B412,SERVIÇOS!$B:$G,5,0),IFERROR(VLOOKUP($B412,$D:$K,7,0),)),0)*$G412,2)</f>
        <v>1.36</v>
      </c>
      <c r="K412" s="514">
        <f>I412+J412</f>
        <v>2</v>
      </c>
      <c r="L412" s="515"/>
      <c r="M412" s="471"/>
      <c r="N412" s="516"/>
      <c r="Q412" s="472"/>
      <c r="R412" s="472"/>
      <c r="S412" s="472"/>
      <c r="T412" s="472"/>
      <c r="U412" s="472"/>
      <c r="V412" s="472"/>
      <c r="W412" s="472"/>
      <c r="X412" s="472"/>
      <c r="Y412" s="472"/>
    </row>
    <row r="413" spans="1:25" x14ac:dyDescent="0.25">
      <c r="A413" s="463"/>
      <c r="B413" s="506"/>
      <c r="C413" s="507">
        <v>296</v>
      </c>
      <c r="D413" s="508"/>
      <c r="E413" s="509" t="str">
        <f>IF($C413="",IFERROR(VLOOKUP($B413,SERVIÇOS!$B:$G,2,0),IFERROR(VLOOKUP($B413,$D:$K,2,0),"")),IFERROR(VLOOKUP($C413,INSUMOS!$A:$D,2,0),IFERROR(VLOOKUP($C413,COTAÇÕES!$B:$I,2,0),(VLOOKUP($C413,'INSUMO SINAPI - SP'!$C:$F,2,0)))))</f>
        <v>ANEL BORRACHA PARA TUBO ESGOTO PREDIAL, DN 50 MM (NBR 5688)</v>
      </c>
      <c r="F413" s="510" t="str">
        <f>IF($C413="",IFERROR(VLOOKUP($B413,SERVIÇOS!$B:$G,3,0),IFERROR(VLOOKUP($B413,$D:$K,3,0),"")),IFERROR(VLOOKUP($C413,INSUMOS!$A:$D,3,0),IFERROR(VLOOKUP($C413,COTAÇÕES!$B:$I,3,0),(VLOOKUP($C413,'INSUMO SINAPI - SP'!$C:$F,3,0)))))</f>
        <v>UN</v>
      </c>
      <c r="G413" s="511">
        <v>1.0999999999999999E-2</v>
      </c>
      <c r="H413" s="512">
        <f>IF($C413="",IFERROR(VLOOKUP($B413,SERVIÇOS!$B:$G,6,0),IFERROR(VLOOKUP($B413,$D:$K,8,0),"")),IFERROR(VLOOKUP($C413,INSUMOS!$A:$D,4,0),IFERROR(VLOOKUP($C413,COTAÇÕES!$B:$I,7,0),(VLOOKUP($C413,'INSUMO SINAPI - SP'!$C:$F,4,0)))))</f>
        <v>1.51</v>
      </c>
      <c r="I413" s="513">
        <f>TRUNC(IF($C413="",IFERROR(VLOOKUP($B413,SERVIÇOS!$B:$G,4,0),IFERROR(VLOOKUP($B413,$D:$K,6,0),)),IFERROR(VLOOKUP($C413,INSUMOS!$A:$D,4,0),IFERROR(VLOOKUP($C413,COTAÇÕES!$B:$I,7,0),(VLOOKUP($C413,'INSUMO SINAPI - SP'!$C:$F,4,0)))))*$G413,2)</f>
        <v>0.01</v>
      </c>
      <c r="J413" s="513">
        <f>TRUNC(IF($C413="",IFERROR(VLOOKUP($B413,SERVIÇOS!$B:$G,5,0),IFERROR(VLOOKUP($B413,$D:$K,7,0),)),0)*$G413,2)</f>
        <v>0</v>
      </c>
      <c r="K413" s="514">
        <f>I413+J413</f>
        <v>0.01</v>
      </c>
      <c r="L413" s="517"/>
      <c r="M413" s="471"/>
      <c r="N413" s="516"/>
      <c r="Q413" s="472"/>
      <c r="R413" s="472"/>
      <c r="S413" s="472"/>
      <c r="T413" s="472"/>
      <c r="U413" s="472"/>
      <c r="V413" s="472"/>
      <c r="W413" s="472"/>
      <c r="X413" s="472"/>
      <c r="Y413" s="472"/>
    </row>
    <row r="414" spans="1:25" x14ac:dyDescent="0.25">
      <c r="A414" s="463"/>
      <c r="B414" s="506">
        <v>88267</v>
      </c>
      <c r="C414" s="507"/>
      <c r="D414" s="508"/>
      <c r="E414" s="509" t="str">
        <f>IF($C414="",IFERROR(VLOOKUP($B414,SERVIÇOS!$B:$G,2,0),IFERROR(VLOOKUP($B414,$D:$K,2,0),"")),IFERROR(VLOOKUP($C414,INSUMOS!$A:$D,2,0),IFERROR(VLOOKUP($C414,COTAÇÕES!$B:$I,2,0),(VLOOKUP($C414,'INSUMO SINAPI - SP'!$C:$F,2,0)))))</f>
        <v>ENCANADOR OU BOMBEIRO HIDRÁULICO COM ENCARGOS COMPLEMENTARES</v>
      </c>
      <c r="F414" s="510" t="str">
        <f>IF($C414="",IFERROR(VLOOKUP($B414,SERVIÇOS!$B:$G,3,0),IFERROR(VLOOKUP($B414,$D:$K,3,0),"")),IFERROR(VLOOKUP($C414,INSUMOS!$A:$D,3,0),IFERROR(VLOOKUP($C414,COTAÇÕES!$B:$I,3,0),(VLOOKUP($C414,'INSUMO SINAPI - SP'!$C:$F,3,0)))))</f>
        <v>H</v>
      </c>
      <c r="G414" s="511">
        <v>7.0000000000000007E-2</v>
      </c>
      <c r="H414" s="512">
        <f>IF($C414="",IFERROR(VLOOKUP($B414,SERVIÇOS!$B:$G,6,0),IFERROR(VLOOKUP($B414,$D:$K,8,0),"")),IFERROR(VLOOKUP($C414,INSUMOS!$A:$D,4,0),IFERROR(VLOOKUP($C414,COTAÇÕES!$B:$I,7,0),(VLOOKUP($C414,'INSUMO SINAPI - SP'!$C:$F,4,0)))))</f>
        <v>36.17</v>
      </c>
      <c r="I414" s="513">
        <f>TRUNC(IF($C414="",IFERROR(VLOOKUP($B414,SERVIÇOS!$B:$G,4,0),IFERROR(VLOOKUP($B414,$D:$K,6,0),)),IFERROR(VLOOKUP($C414,INSUMOS!$A:$D,4,0),IFERROR(VLOOKUP($C414,COTAÇÕES!$B:$I,7,0),(VLOOKUP($C414,'INSUMO SINAPI - SP'!$C:$F,4,0)))))*$G414,2)</f>
        <v>0.6</v>
      </c>
      <c r="J414" s="513">
        <f>TRUNC(IF($C414="",IFERROR(VLOOKUP($B414,SERVIÇOS!$B:$G,5,0),IFERROR(VLOOKUP($B414,$D:$K,7,0),)),0)*$G414,2)</f>
        <v>1.92</v>
      </c>
      <c r="K414" s="514">
        <f>I414+J414</f>
        <v>2.52</v>
      </c>
      <c r="L414" s="515"/>
      <c r="M414" s="471"/>
      <c r="N414" s="516"/>
      <c r="Q414" s="472"/>
      <c r="R414" s="472"/>
      <c r="S414" s="472"/>
      <c r="T414" s="472"/>
      <c r="U414" s="472"/>
      <c r="V414" s="472"/>
      <c r="W414" s="472"/>
      <c r="X414" s="472"/>
      <c r="Y414" s="472"/>
    </row>
    <row r="415" spans="1:25" ht="24" x14ac:dyDescent="0.25">
      <c r="A415" s="463"/>
      <c r="B415" s="498"/>
      <c r="C415" s="498"/>
      <c r="D415" s="499" t="s">
        <v>12141</v>
      </c>
      <c r="E415" s="500" t="s">
        <v>12852</v>
      </c>
      <c r="F415" s="501" t="s">
        <v>580</v>
      </c>
      <c r="G415" s="502"/>
      <c r="H415" s="503"/>
      <c r="I415" s="504">
        <f>ROUND(SUM(I416:I419),2)</f>
        <v>932.58</v>
      </c>
      <c r="J415" s="504">
        <f>ROUND(SUM(J416:J419),2)</f>
        <v>683.64</v>
      </c>
      <c r="K415" s="504">
        <f>+J415+I415</f>
        <v>1616.22</v>
      </c>
      <c r="L415" s="523" t="s">
        <v>12842</v>
      </c>
      <c r="M415" s="471"/>
      <c r="N415" s="505"/>
      <c r="Q415" s="472"/>
      <c r="R415" s="472"/>
      <c r="S415" s="472"/>
      <c r="T415" s="472"/>
      <c r="U415" s="472"/>
      <c r="V415" s="472"/>
      <c r="W415" s="472"/>
      <c r="X415" s="472"/>
      <c r="Y415" s="472"/>
    </row>
    <row r="416" spans="1:25" x14ac:dyDescent="0.25">
      <c r="A416" s="463"/>
      <c r="B416" s="506">
        <v>93358</v>
      </c>
      <c r="C416" s="507"/>
      <c r="D416" s="508"/>
      <c r="E416" s="509" t="str">
        <f>IF($C416="",IFERROR(VLOOKUP($B416,SERVIÇOS!$B:$G,2,0),IFERROR(VLOOKUP($B416,$D:$K,2,0),"")),IFERROR(VLOOKUP($C416,INSUMOS!$A:$D,2,0),IFERROR(VLOOKUP($C416,COTAÇÕES!$B:$I,2,0),(VLOOKUP($C416,'INSUMO SINAPI - SP'!$C:$F,2,0)))))</f>
        <v>ESCAVAÇÃO MANUAL DE VALA. AF_09/2024</v>
      </c>
      <c r="F416" s="510" t="str">
        <f>IF($C416="",IFERROR(VLOOKUP($B416,SERVIÇOS!$B:$G,3,0),IFERROR(VLOOKUP($B416,$D:$K,3,0),"")),IFERROR(VLOOKUP($C416,INSUMOS!$A:$D,3,0),IFERROR(VLOOKUP($C416,COTAÇÕES!$B:$I,3,0),(VLOOKUP($C416,'INSUMO SINAPI - SP'!$C:$F,3,0)))))</f>
        <v>M3</v>
      </c>
      <c r="G416" s="511">
        <v>0.84</v>
      </c>
      <c r="H416" s="512">
        <f>IF($C416="",IFERROR(VLOOKUP($B416,SERVIÇOS!$B:$G,6,0),IFERROR(VLOOKUP($B416,$D:$K,8,0),"")),IFERROR(VLOOKUP($C416,INSUMOS!$A:$D,4,0),IFERROR(VLOOKUP($C416,COTAÇÕES!$B:$I,7,0),(VLOOKUP($C416,'INSUMO SINAPI - SP'!$C:$F,4,0)))))</f>
        <v>113.57</v>
      </c>
      <c r="I416" s="513">
        <f>TRUNC(IF($C416="",IFERROR(VLOOKUP($B416,SERVIÇOS!$B:$G,4,0),IFERROR(VLOOKUP($B416,$D:$K,6,0),)),IFERROR(VLOOKUP($C416,INSUMOS!$A:$D,4,0),IFERROR(VLOOKUP($C416,COTAÇÕES!$B:$I,7,0),(VLOOKUP($C416,'INSUMO SINAPI - SP'!$C:$F,4,0)))))*$G416,2)</f>
        <v>30.55</v>
      </c>
      <c r="J416" s="513">
        <f>TRUNC(IF($C416="",IFERROR(VLOOKUP($B416,SERVIÇOS!$B:$G,5,0),IFERROR(VLOOKUP($B416,$D:$K,7,0),)),0)*$G416,2)</f>
        <v>64.84</v>
      </c>
      <c r="K416" s="514">
        <f>I416+J416</f>
        <v>95.39</v>
      </c>
      <c r="L416" s="515"/>
      <c r="M416" s="471"/>
      <c r="N416" s="516"/>
      <c r="Q416" s="472"/>
      <c r="R416" s="472"/>
      <c r="S416" s="472"/>
      <c r="T416" s="472"/>
      <c r="U416" s="472"/>
      <c r="V416" s="472"/>
      <c r="W416" s="472"/>
      <c r="X416" s="472"/>
      <c r="Y416" s="472"/>
    </row>
    <row r="417" spans="1:25" x14ac:dyDescent="0.25">
      <c r="A417" s="463"/>
      <c r="B417" s="506">
        <v>93382</v>
      </c>
      <c r="C417" s="507"/>
      <c r="D417" s="508"/>
      <c r="E417" s="509" t="str">
        <f>IF($C417="",IFERROR(VLOOKUP($B417,SERVIÇOS!$B:$G,2,0),IFERROR(VLOOKUP($B417,$D:$K,2,0),"")),IFERROR(VLOOKUP($C417,INSUMOS!$A:$D,2,0),IFERROR(VLOOKUP($C417,COTAÇÕES!$B:$I,2,0),(VLOOKUP($C417,'INSUMO SINAPI - SP'!$C:$F,2,0)))))</f>
        <v>REATERRO MANUAL DE VALAS, COM COMPACTADOR DE SOLOS DE PERCUSSÃO. AF_08/2023</v>
      </c>
      <c r="F417" s="510" t="str">
        <f>IF($C417="",IFERROR(VLOOKUP($B417,SERVIÇOS!$B:$G,3,0),IFERROR(VLOOKUP($B417,$D:$K,3,0),"")),IFERROR(VLOOKUP($C417,INSUMOS!$A:$D,3,0),IFERROR(VLOOKUP($C417,COTAÇÕES!$B:$I,3,0),(VLOOKUP($C417,'INSUMO SINAPI - SP'!$C:$F,3,0)))))</f>
        <v>M3</v>
      </c>
      <c r="G417" s="511">
        <v>0.48</v>
      </c>
      <c r="H417" s="512">
        <f>IF($C417="",IFERROR(VLOOKUP($B417,SERVIÇOS!$B:$G,6,0),IFERROR(VLOOKUP($B417,$D:$K,8,0),"")),IFERROR(VLOOKUP($C417,INSUMOS!$A:$D,4,0),IFERROR(VLOOKUP($C417,COTAÇÕES!$B:$I,7,0),(VLOOKUP($C417,'INSUMO SINAPI - SP'!$C:$F,4,0)))))</f>
        <v>33.07</v>
      </c>
      <c r="I417" s="513">
        <f>TRUNC(IF($C417="",IFERROR(VLOOKUP($B417,SERVIÇOS!$B:$G,4,0),IFERROR(VLOOKUP($B417,$D:$K,6,0),)),IFERROR(VLOOKUP($C417,INSUMOS!$A:$D,4,0),IFERROR(VLOOKUP($C417,COTAÇÕES!$B:$I,7,0),(VLOOKUP($C417,'INSUMO SINAPI - SP'!$C:$F,4,0)))))*$G417,2)</f>
        <v>5.89</v>
      </c>
      <c r="J417" s="513">
        <f>TRUNC(IF($C417="",IFERROR(VLOOKUP($B417,SERVIÇOS!$B:$G,5,0),IFERROR(VLOOKUP($B417,$D:$K,7,0),)),0)*$G417,2)</f>
        <v>9.9700000000000006</v>
      </c>
      <c r="K417" s="514">
        <f>I417+J417</f>
        <v>15.86</v>
      </c>
      <c r="L417" s="515"/>
      <c r="M417" s="471"/>
      <c r="N417" s="516"/>
      <c r="Q417" s="472"/>
      <c r="R417" s="472"/>
      <c r="S417" s="472"/>
      <c r="T417" s="472"/>
      <c r="U417" s="472"/>
      <c r="V417" s="472"/>
      <c r="W417" s="472"/>
      <c r="X417" s="472"/>
      <c r="Y417" s="472"/>
    </row>
    <row r="418" spans="1:25" x14ac:dyDescent="0.25">
      <c r="A418" s="463"/>
      <c r="B418" s="506">
        <v>88316</v>
      </c>
      <c r="C418" s="507"/>
      <c r="D418" s="508"/>
      <c r="E418" s="509" t="str">
        <f>IF($C418="",IFERROR(VLOOKUP($B418,SERVIÇOS!$B:$G,2,0),IFERROR(VLOOKUP($B418,$D:$K,2,0),"")),IFERROR(VLOOKUP($C418,INSUMOS!$A:$D,2,0),IFERROR(VLOOKUP($C418,COTAÇÕES!$B:$I,2,0),(VLOOKUP($C418,'INSUMO SINAPI - SP'!$C:$F,2,0)))))</f>
        <v>SERVENTE COM ENCARGOS COMPLEMENTARES</v>
      </c>
      <c r="F418" s="510" t="str">
        <f>IF($C418="",IFERROR(VLOOKUP($B418,SERVIÇOS!$B:$G,3,0),IFERROR(VLOOKUP($B418,$D:$K,3,0),"")),IFERROR(VLOOKUP($C418,INSUMOS!$A:$D,3,0),IFERROR(VLOOKUP($C418,COTAÇÕES!$B:$I,3,0),(VLOOKUP($C418,'INSUMO SINAPI - SP'!$C:$F,3,0)))))</f>
        <v>H</v>
      </c>
      <c r="G418" s="511">
        <v>0.2</v>
      </c>
      <c r="H418" s="512">
        <f>IF($C418="",IFERROR(VLOOKUP($B418,SERVIÇOS!$B:$G,6,0),IFERROR(VLOOKUP($B418,$D:$K,8,0),"")),IFERROR(VLOOKUP($C418,INSUMOS!$A:$D,4,0),IFERROR(VLOOKUP($C418,COTAÇÕES!$B:$I,7,0),(VLOOKUP($C418,'INSUMO SINAPI - SP'!$C:$F,4,0)))))</f>
        <v>28.71</v>
      </c>
      <c r="I418" s="513">
        <f>TRUNC(IF($C418="",IFERROR(VLOOKUP($B418,SERVIÇOS!$B:$G,4,0),IFERROR(VLOOKUP($B418,$D:$K,6,0),)),IFERROR(VLOOKUP($C418,INSUMOS!$A:$D,4,0),IFERROR(VLOOKUP($C418,COTAÇÕES!$B:$I,7,0),(VLOOKUP($C418,'INSUMO SINAPI - SP'!$C:$F,4,0)))))*$G418,2)</f>
        <v>1.84</v>
      </c>
      <c r="J418" s="513">
        <f>TRUNC(IF($C418="",IFERROR(VLOOKUP($B418,SERVIÇOS!$B:$G,5,0),IFERROR(VLOOKUP($B418,$D:$K,7,0),)),0)*$G418,2)</f>
        <v>3.9</v>
      </c>
      <c r="K418" s="514">
        <f>I418+J418</f>
        <v>5.74</v>
      </c>
      <c r="L418" s="515"/>
      <c r="M418" s="471"/>
      <c r="N418" s="516"/>
      <c r="Q418" s="472"/>
      <c r="R418" s="472"/>
      <c r="S418" s="472"/>
      <c r="T418" s="472"/>
      <c r="U418" s="472"/>
      <c r="V418" s="472"/>
      <c r="W418" s="472"/>
      <c r="X418" s="472"/>
      <c r="Y418" s="472"/>
    </row>
    <row r="419" spans="1:25" ht="24" x14ac:dyDescent="0.25">
      <c r="A419" s="463"/>
      <c r="B419" s="506">
        <v>101804</v>
      </c>
      <c r="C419" s="507"/>
      <c r="D419" s="508"/>
      <c r="E419" s="509" t="str">
        <f>IF($C419="",IFERROR(VLOOKUP($B419,SERVIÇOS!$B:$G,2,0),IFERROR(VLOOKUP($B419,$D:$K,2,0),"")),IFERROR(VLOOKUP($C419,INSUMOS!$A:$D,2,0),IFERROR(VLOOKUP($C419,COTAÇÕES!$B:$I,2,0),(VLOOKUP($C419,'INSUMO SINAPI - SP'!$C:$F,2,0)))))</f>
        <v>CAIXA ENTERRADA SEPARADORA DE ÓLEO RETANGULAR, EM ALVENARIA COM BLOCOS DE CONCRETO, DIMENSÕES INTERNAS: 0,8 X 0,8 X 1,00 M, EXCLUINDO TAMPÃO. AF_12/2020</v>
      </c>
      <c r="F419" s="510" t="str">
        <f>IF($C419="",IFERROR(VLOOKUP($B419,SERVIÇOS!$B:$G,3,0),IFERROR(VLOOKUP($B419,$D:$K,3,0),"")),IFERROR(VLOOKUP($C419,INSUMOS!$A:$D,3,0),IFERROR(VLOOKUP($C419,COTAÇÕES!$B:$I,3,0),(VLOOKUP($C419,'INSUMO SINAPI - SP'!$C:$F,3,0)))))</f>
        <v>UN</v>
      </c>
      <c r="G419" s="511">
        <v>1</v>
      </c>
      <c r="H419" s="512">
        <f>IF($C419="",IFERROR(VLOOKUP($B419,SERVIÇOS!$B:$G,6,0),IFERROR(VLOOKUP($B419,$D:$K,8,0),"")),IFERROR(VLOOKUP($C419,INSUMOS!$A:$D,4,0),IFERROR(VLOOKUP($C419,COTAÇÕES!$B:$I,7,0),(VLOOKUP($C419,'INSUMO SINAPI - SP'!$C:$F,4,0)))))</f>
        <v>1499.23</v>
      </c>
      <c r="I419" s="513">
        <f>TRUNC(IF($C419="",IFERROR(VLOOKUP($B419,SERVIÇOS!$B:$G,4,0),IFERROR(VLOOKUP($B419,$D:$K,6,0),)),IFERROR(VLOOKUP($C419,INSUMOS!$A:$D,4,0),IFERROR(VLOOKUP($C419,COTAÇÕES!$B:$I,7,0),(VLOOKUP($C419,'INSUMO SINAPI - SP'!$C:$F,4,0)))))*$G419,2)</f>
        <v>894.3</v>
      </c>
      <c r="J419" s="513">
        <f>TRUNC(IF($C419="",IFERROR(VLOOKUP($B419,SERVIÇOS!$B:$G,5,0),IFERROR(VLOOKUP($B419,$D:$K,7,0),)),0)*$G419,2)</f>
        <v>604.92999999999995</v>
      </c>
      <c r="K419" s="514">
        <f>I419+J419</f>
        <v>1499.23</v>
      </c>
      <c r="L419" s="515"/>
      <c r="M419" s="471"/>
      <c r="N419" s="516"/>
      <c r="Q419" s="472"/>
      <c r="R419" s="472"/>
      <c r="S419" s="472"/>
      <c r="T419" s="472"/>
      <c r="U419" s="472"/>
      <c r="V419" s="472"/>
      <c r="W419" s="472"/>
      <c r="X419" s="472"/>
      <c r="Y419" s="472"/>
    </row>
    <row r="420" spans="1:25" x14ac:dyDescent="0.25">
      <c r="A420" s="463"/>
      <c r="B420" s="498"/>
      <c r="C420" s="498"/>
      <c r="D420" s="499" t="s">
        <v>12090</v>
      </c>
      <c r="E420" s="500" t="s">
        <v>12853</v>
      </c>
      <c r="F420" s="501" t="s">
        <v>580</v>
      </c>
      <c r="G420" s="502"/>
      <c r="H420" s="503"/>
      <c r="I420" s="504">
        <f>ROUND(SUM(I421:I423),2)</f>
        <v>2101.58</v>
      </c>
      <c r="J420" s="504">
        <f>ROUND(SUM(J421:J423),2)</f>
        <v>34.020000000000003</v>
      </c>
      <c r="K420" s="504">
        <f>+J420+I420</f>
        <v>2135.6</v>
      </c>
      <c r="L420" s="523" t="s">
        <v>12854</v>
      </c>
      <c r="M420" s="471"/>
      <c r="N420" s="505"/>
      <c r="Q420" s="472"/>
      <c r="R420" s="472"/>
      <c r="S420" s="472"/>
      <c r="T420" s="472"/>
      <c r="U420" s="472"/>
      <c r="V420" s="472"/>
      <c r="W420" s="472"/>
      <c r="X420" s="472"/>
      <c r="Y420" s="472"/>
    </row>
    <row r="421" spans="1:25" x14ac:dyDescent="0.25">
      <c r="A421" s="463"/>
      <c r="B421" s="506">
        <v>88248</v>
      </c>
      <c r="C421" s="507"/>
      <c r="D421" s="508"/>
      <c r="E421" s="509" t="str">
        <f>IF($C421="",IFERROR(VLOOKUP($B421,SERVIÇOS!$B:$G,2,0),IFERROR(VLOOKUP($B421,$D:$K,2,0),"")),IFERROR(VLOOKUP($C421,INSUMOS!$A:$D,2,0),IFERROR(VLOOKUP($C421,COTAÇÕES!$B:$I,2,0),(VLOOKUP($C421,'INSUMO SINAPI - SP'!$C:$F,2,0)))))</f>
        <v>AUXILIAR DE ENCANADOR OU BOMBEIRO HIDRÁULICO COM ENCARGOS COMPLEMENTARES</v>
      </c>
      <c r="F421" s="510" t="str">
        <f>IF($C421="",IFERROR(VLOOKUP($B421,SERVIÇOS!$B:$G,3,0),IFERROR(VLOOKUP($B421,$D:$K,3,0),"")),IFERROR(VLOOKUP($C421,INSUMOS!$A:$D,3,0),IFERROR(VLOOKUP($C421,COTAÇÕES!$B:$I,3,0),(VLOOKUP($C421,'INSUMO SINAPI - SP'!$C:$F,3,0)))))</f>
        <v>H</v>
      </c>
      <c r="G421" s="511">
        <v>0.7</v>
      </c>
      <c r="H421" s="512">
        <f>IF($C421="",IFERROR(VLOOKUP($B421,SERVIÇOS!$B:$G,6,0),IFERROR(VLOOKUP($B421,$D:$K,8,0),"")),IFERROR(VLOOKUP($C421,INSUMOS!$A:$D,4,0),IFERROR(VLOOKUP($C421,COTAÇÕES!$B:$I,7,0),(VLOOKUP($C421,'INSUMO SINAPI - SP'!$C:$F,4,0)))))</f>
        <v>29.72</v>
      </c>
      <c r="I421" s="513">
        <f>TRUNC(IF($C421="",IFERROR(VLOOKUP($B421,SERVIÇOS!$B:$G,4,0),IFERROR(VLOOKUP($B421,$D:$K,6,0),)),IFERROR(VLOOKUP($C421,INSUMOS!$A:$D,4,0),IFERROR(VLOOKUP($C421,COTAÇÕES!$B:$I,7,0),(VLOOKUP($C421,'INSUMO SINAPI - SP'!$C:$F,4,0)))))*$G421,2)</f>
        <v>6.04</v>
      </c>
      <c r="J421" s="513">
        <f>TRUNC(IF($C421="",IFERROR(VLOOKUP($B421,SERVIÇOS!$B:$G,5,0),IFERROR(VLOOKUP($B421,$D:$K,7,0),)),0)*$G421,2)</f>
        <v>14.75</v>
      </c>
      <c r="K421" s="514">
        <f>I421+J421</f>
        <v>20.79</v>
      </c>
      <c r="L421" s="515"/>
      <c r="M421" s="471"/>
      <c r="N421" s="516"/>
      <c r="Q421" s="472"/>
      <c r="R421" s="472"/>
      <c r="S421" s="472"/>
      <c r="T421" s="472"/>
      <c r="U421" s="472"/>
      <c r="V421" s="472"/>
      <c r="W421" s="472"/>
      <c r="X421" s="472"/>
      <c r="Y421" s="472"/>
    </row>
    <row r="422" spans="1:25" x14ac:dyDescent="0.25">
      <c r="A422" s="463"/>
      <c r="B422" s="506">
        <v>88267</v>
      </c>
      <c r="C422" s="507"/>
      <c r="D422" s="508"/>
      <c r="E422" s="509" t="str">
        <f>IF($C422="",IFERROR(VLOOKUP($B422,SERVIÇOS!$B:$G,2,0),IFERROR(VLOOKUP($B422,$D:$K,2,0),"")),IFERROR(VLOOKUP($C422,INSUMOS!$A:$D,2,0),IFERROR(VLOOKUP($C422,COTAÇÕES!$B:$I,2,0),(VLOOKUP($C422,'INSUMO SINAPI - SP'!$C:$F,2,0)))))</f>
        <v>ENCANADOR OU BOMBEIRO HIDRÁULICO COM ENCARGOS COMPLEMENTARES</v>
      </c>
      <c r="F422" s="510" t="str">
        <f>IF($C422="",IFERROR(VLOOKUP($B422,SERVIÇOS!$B:$G,3,0),IFERROR(VLOOKUP($B422,$D:$K,3,0),"")),IFERROR(VLOOKUP($C422,INSUMOS!$A:$D,3,0),IFERROR(VLOOKUP($C422,COTAÇÕES!$B:$I,3,0),(VLOOKUP($C422,'INSUMO SINAPI - SP'!$C:$F,3,0)))))</f>
        <v>H</v>
      </c>
      <c r="G422" s="511">
        <v>0.7</v>
      </c>
      <c r="H422" s="512">
        <f>IF($C422="",IFERROR(VLOOKUP($B422,SERVIÇOS!$B:$G,6,0),IFERROR(VLOOKUP($B422,$D:$K,8,0),"")),IFERROR(VLOOKUP($C422,INSUMOS!$A:$D,4,0),IFERROR(VLOOKUP($C422,COTAÇÕES!$B:$I,7,0),(VLOOKUP($C422,'INSUMO SINAPI - SP'!$C:$F,4,0)))))</f>
        <v>36.17</v>
      </c>
      <c r="I422" s="513">
        <f>TRUNC(IF($C422="",IFERROR(VLOOKUP($B422,SERVIÇOS!$B:$G,4,0),IFERROR(VLOOKUP($B422,$D:$K,6,0),)),IFERROR(VLOOKUP($C422,INSUMOS!$A:$D,4,0),IFERROR(VLOOKUP($C422,COTAÇÕES!$B:$I,7,0),(VLOOKUP($C422,'INSUMO SINAPI - SP'!$C:$F,4,0)))))*$G422,2)</f>
        <v>6.04</v>
      </c>
      <c r="J422" s="513">
        <f>TRUNC(IF($C422="",IFERROR(VLOOKUP($B422,SERVIÇOS!$B:$G,5,0),IFERROR(VLOOKUP($B422,$D:$K,7,0),)),0)*$G422,2)</f>
        <v>19.27</v>
      </c>
      <c r="K422" s="514">
        <f>I422+J422</f>
        <v>25.31</v>
      </c>
      <c r="L422" s="515"/>
      <c r="M422" s="471"/>
      <c r="N422" s="516"/>
      <c r="Q422" s="472"/>
      <c r="R422" s="472"/>
      <c r="S422" s="472"/>
      <c r="T422" s="472"/>
      <c r="U422" s="472"/>
      <c r="V422" s="472"/>
      <c r="W422" s="472"/>
      <c r="X422" s="472"/>
      <c r="Y422" s="472"/>
    </row>
    <row r="423" spans="1:25" ht="24" x14ac:dyDescent="0.25">
      <c r="A423" s="463"/>
      <c r="B423" s="506"/>
      <c r="C423" s="507" t="s">
        <v>12855</v>
      </c>
      <c r="D423" s="508"/>
      <c r="E423" s="518" t="s">
        <v>12856</v>
      </c>
      <c r="F423" s="519" t="s">
        <v>580</v>
      </c>
      <c r="G423" s="511">
        <v>1</v>
      </c>
      <c r="H423" s="520">
        <v>2089.5</v>
      </c>
      <c r="I423" s="520">
        <f>TRUNC(H423*G423,2)</f>
        <v>2089.5</v>
      </c>
      <c r="J423" s="521"/>
      <c r="K423" s="522">
        <f>I423+J423</f>
        <v>2089.5</v>
      </c>
      <c r="L423" s="517" t="s">
        <v>12817</v>
      </c>
      <c r="M423" s="471"/>
      <c r="N423" s="516"/>
      <c r="Q423" s="472"/>
      <c r="R423" s="472"/>
      <c r="S423" s="472"/>
      <c r="T423" s="472"/>
      <c r="U423" s="472"/>
      <c r="V423" s="472"/>
      <c r="W423" s="472"/>
      <c r="X423" s="472"/>
      <c r="Y423" s="472"/>
    </row>
    <row r="424" spans="1:25" x14ac:dyDescent="0.25">
      <c r="A424" s="463"/>
      <c r="B424" s="498"/>
      <c r="C424" s="498"/>
      <c r="D424" s="499" t="s">
        <v>12096</v>
      </c>
      <c r="E424" s="500" t="s">
        <v>12857</v>
      </c>
      <c r="F424" s="501" t="s">
        <v>580</v>
      </c>
      <c r="G424" s="502"/>
      <c r="H424" s="503"/>
      <c r="I424" s="504">
        <f>ROUND(SUM(I425:I427),2)</f>
        <v>1971.62</v>
      </c>
      <c r="J424" s="504">
        <f>ROUND(SUM(J425:J427),2)</f>
        <v>59.15</v>
      </c>
      <c r="K424" s="504">
        <f>+J424+I424</f>
        <v>2030.77</v>
      </c>
      <c r="L424" s="523" t="s">
        <v>12858</v>
      </c>
      <c r="M424" s="471"/>
      <c r="N424" s="505"/>
      <c r="Q424" s="472"/>
      <c r="R424" s="472"/>
      <c r="S424" s="472"/>
      <c r="T424" s="472"/>
      <c r="U424" s="472"/>
      <c r="V424" s="472"/>
      <c r="W424" s="472"/>
      <c r="X424" s="472"/>
      <c r="Y424" s="472"/>
    </row>
    <row r="425" spans="1:25" x14ac:dyDescent="0.25">
      <c r="A425" s="463"/>
      <c r="B425" s="506">
        <v>88248</v>
      </c>
      <c r="C425" s="507"/>
      <c r="D425" s="508"/>
      <c r="E425" s="509" t="str">
        <f>IF($C425="",IFERROR(VLOOKUP($B425,SERVIÇOS!$B:$G,2,0),IFERROR(VLOOKUP($B425,$D:$K,2,0),"")),IFERROR(VLOOKUP($C425,INSUMOS!$A:$D,2,0),IFERROR(VLOOKUP($C425,COTAÇÕES!$B:$I,2,0),(VLOOKUP($C425,'INSUMO SINAPI - SP'!$C:$F,2,0)))))</f>
        <v>AUXILIAR DE ENCANADOR OU BOMBEIRO HIDRÁULICO COM ENCARGOS COMPLEMENTARES</v>
      </c>
      <c r="F425" s="510" t="str">
        <f>IF($C425="",IFERROR(VLOOKUP($B425,SERVIÇOS!$B:$G,3,0),IFERROR(VLOOKUP($B425,$D:$K,3,0),"")),IFERROR(VLOOKUP($C425,INSUMOS!$A:$D,3,0),IFERROR(VLOOKUP($C425,COTAÇÕES!$B:$I,3,0),(VLOOKUP($C425,'INSUMO SINAPI - SP'!$C:$F,3,0)))))</f>
        <v>H</v>
      </c>
      <c r="G425" s="511">
        <v>1.5</v>
      </c>
      <c r="H425" s="512">
        <f>IF($C425="",IFERROR(VLOOKUP($B425,SERVIÇOS!$B:$G,6,0),IFERROR(VLOOKUP($B425,$D:$K,8,0),"")),IFERROR(VLOOKUP($C425,INSUMOS!$A:$D,4,0),IFERROR(VLOOKUP($C425,COTAÇÕES!$B:$I,7,0),(VLOOKUP($C425,'INSUMO SINAPI - SP'!$C:$F,4,0)))))</f>
        <v>29.72</v>
      </c>
      <c r="I425" s="513">
        <f>TRUNC(IF($C425="",IFERROR(VLOOKUP($B425,SERVIÇOS!$B:$G,4,0),IFERROR(VLOOKUP($B425,$D:$K,6,0),)),IFERROR(VLOOKUP($C425,INSUMOS!$A:$D,4,0),IFERROR(VLOOKUP($C425,COTAÇÕES!$B:$I,7,0),(VLOOKUP($C425,'INSUMO SINAPI - SP'!$C:$F,4,0)))))*$G425,2)</f>
        <v>12.96</v>
      </c>
      <c r="J425" s="513">
        <f>TRUNC(IF($C425="",IFERROR(VLOOKUP($B425,SERVIÇOS!$B:$G,5,0),IFERROR(VLOOKUP($B425,$D:$K,7,0),)),0)*$G425,2)</f>
        <v>31.62</v>
      </c>
      <c r="K425" s="514">
        <f>I425+J425</f>
        <v>44.58</v>
      </c>
      <c r="L425" s="515"/>
      <c r="M425" s="471"/>
      <c r="N425" s="516"/>
      <c r="Q425" s="472"/>
      <c r="R425" s="472"/>
      <c r="S425" s="472"/>
      <c r="T425" s="472"/>
      <c r="U425" s="472"/>
      <c r="V425" s="472"/>
      <c r="W425" s="472"/>
      <c r="X425" s="472"/>
      <c r="Y425" s="472"/>
    </row>
    <row r="426" spans="1:25" x14ac:dyDescent="0.25">
      <c r="A426" s="463"/>
      <c r="B426" s="506">
        <v>88267</v>
      </c>
      <c r="C426" s="507"/>
      <c r="D426" s="508"/>
      <c r="E426" s="509" t="str">
        <f>IF($C426="",IFERROR(VLOOKUP($B426,SERVIÇOS!$B:$G,2,0),IFERROR(VLOOKUP($B426,$D:$K,2,0),"")),IFERROR(VLOOKUP($C426,INSUMOS!$A:$D,2,0),IFERROR(VLOOKUP($C426,COTAÇÕES!$B:$I,2,0),(VLOOKUP($C426,'INSUMO SINAPI - SP'!$C:$F,2,0)))))</f>
        <v>ENCANADOR OU BOMBEIRO HIDRÁULICO COM ENCARGOS COMPLEMENTARES</v>
      </c>
      <c r="F426" s="510" t="str">
        <f>IF($C426="",IFERROR(VLOOKUP($B426,SERVIÇOS!$B:$G,3,0),IFERROR(VLOOKUP($B426,$D:$K,3,0),"")),IFERROR(VLOOKUP($C426,INSUMOS!$A:$D,3,0),IFERROR(VLOOKUP($C426,COTAÇÕES!$B:$I,3,0),(VLOOKUP($C426,'INSUMO SINAPI - SP'!$C:$F,3,0)))))</f>
        <v>H</v>
      </c>
      <c r="G426" s="511">
        <v>1</v>
      </c>
      <c r="H426" s="512">
        <f>IF($C426="",IFERROR(VLOOKUP($B426,SERVIÇOS!$B:$G,6,0),IFERROR(VLOOKUP($B426,$D:$K,8,0),"")),IFERROR(VLOOKUP($C426,INSUMOS!$A:$D,4,0),IFERROR(VLOOKUP($C426,COTAÇÕES!$B:$I,7,0),(VLOOKUP($C426,'INSUMO SINAPI - SP'!$C:$F,4,0)))))</f>
        <v>36.17</v>
      </c>
      <c r="I426" s="513">
        <f>TRUNC(IF($C426="",IFERROR(VLOOKUP($B426,SERVIÇOS!$B:$G,4,0),IFERROR(VLOOKUP($B426,$D:$K,6,0),)),IFERROR(VLOOKUP($C426,INSUMOS!$A:$D,4,0),IFERROR(VLOOKUP($C426,COTAÇÕES!$B:$I,7,0),(VLOOKUP($C426,'INSUMO SINAPI - SP'!$C:$F,4,0)))))*$G426,2)</f>
        <v>8.64</v>
      </c>
      <c r="J426" s="513">
        <f>TRUNC(IF($C426="",IFERROR(VLOOKUP($B426,SERVIÇOS!$B:$G,5,0),IFERROR(VLOOKUP($B426,$D:$K,7,0),)),0)*$G426,2)</f>
        <v>27.53</v>
      </c>
      <c r="K426" s="514">
        <f>I426+J426</f>
        <v>36.17</v>
      </c>
      <c r="L426" s="515"/>
      <c r="M426" s="471"/>
      <c r="N426" s="516"/>
      <c r="Q426" s="472"/>
      <c r="R426" s="472"/>
      <c r="S426" s="472"/>
      <c r="T426" s="472"/>
      <c r="U426" s="472"/>
      <c r="V426" s="472"/>
      <c r="W426" s="472"/>
      <c r="X426" s="472"/>
      <c r="Y426" s="472"/>
    </row>
    <row r="427" spans="1:25" ht="24" x14ac:dyDescent="0.25">
      <c r="A427" s="463"/>
      <c r="B427" s="506"/>
      <c r="C427" s="507" t="s">
        <v>12859</v>
      </c>
      <c r="D427" s="508"/>
      <c r="E427" s="518" t="s">
        <v>12860</v>
      </c>
      <c r="F427" s="519" t="s">
        <v>580</v>
      </c>
      <c r="G427" s="511">
        <v>1</v>
      </c>
      <c r="H427" s="520">
        <v>1950.02</v>
      </c>
      <c r="I427" s="520">
        <f>TRUNC(H427*G427,2)</f>
        <v>1950.02</v>
      </c>
      <c r="J427" s="521"/>
      <c r="K427" s="522">
        <f>I427+J427</f>
        <v>1950.02</v>
      </c>
      <c r="L427" s="517" t="s">
        <v>12677</v>
      </c>
      <c r="M427" s="471"/>
      <c r="N427" s="516"/>
      <c r="Q427" s="472"/>
      <c r="R427" s="472"/>
      <c r="S427" s="472"/>
      <c r="T427" s="472"/>
      <c r="U427" s="472"/>
      <c r="V427" s="472"/>
      <c r="W427" s="472"/>
      <c r="X427" s="472"/>
      <c r="Y427" s="472"/>
    </row>
    <row r="428" spans="1:25" ht="24" x14ac:dyDescent="0.25">
      <c r="A428" s="463"/>
      <c r="B428" s="498"/>
      <c r="C428" s="498"/>
      <c r="D428" s="499" t="s">
        <v>12097</v>
      </c>
      <c r="E428" s="500" t="s">
        <v>12860</v>
      </c>
      <c r="F428" s="501" t="s">
        <v>580</v>
      </c>
      <c r="G428" s="502"/>
      <c r="H428" s="503"/>
      <c r="I428" s="504">
        <f>ROUND(SUM(I429:I431),2)</f>
        <v>3210.36</v>
      </c>
      <c r="J428" s="504">
        <f>ROUND(SUM(J429:J431),2)</f>
        <v>69.69</v>
      </c>
      <c r="K428" s="504">
        <f>+J428+I428</f>
        <v>3280.05</v>
      </c>
      <c r="L428" s="523" t="s">
        <v>12861</v>
      </c>
      <c r="M428" s="471"/>
      <c r="N428" s="505"/>
      <c r="Q428" s="472"/>
      <c r="R428" s="472"/>
      <c r="S428" s="472"/>
      <c r="T428" s="472"/>
      <c r="U428" s="472"/>
      <c r="V428" s="472"/>
      <c r="W428" s="472"/>
      <c r="X428" s="472"/>
      <c r="Y428" s="472"/>
    </row>
    <row r="429" spans="1:25" x14ac:dyDescent="0.25">
      <c r="A429" s="463"/>
      <c r="B429" s="506">
        <v>88248</v>
      </c>
      <c r="C429" s="507"/>
      <c r="D429" s="508"/>
      <c r="E429" s="509" t="str">
        <f>IF($C429="",IFERROR(VLOOKUP($B429,SERVIÇOS!$B:$G,2,0),IFERROR(VLOOKUP($B429,$D:$K,2,0),"")),IFERROR(VLOOKUP($C429,INSUMOS!$A:$D,2,0),IFERROR(VLOOKUP($C429,COTAÇÕES!$B:$I,2,0),(VLOOKUP($C429,'INSUMO SINAPI - SP'!$C:$F,2,0)))))</f>
        <v>AUXILIAR DE ENCANADOR OU BOMBEIRO HIDRÁULICO COM ENCARGOS COMPLEMENTARES</v>
      </c>
      <c r="F429" s="510" t="str">
        <f>IF($C429="",IFERROR(VLOOKUP($B429,SERVIÇOS!$B:$G,3,0),IFERROR(VLOOKUP($B429,$D:$K,3,0),"")),IFERROR(VLOOKUP($C429,INSUMOS!$A:$D,3,0),IFERROR(VLOOKUP($C429,COTAÇÕES!$B:$I,3,0),(VLOOKUP($C429,'INSUMO SINAPI - SP'!$C:$F,3,0)))))</f>
        <v>H</v>
      </c>
      <c r="G429" s="511">
        <v>2</v>
      </c>
      <c r="H429" s="512">
        <f>IF($C429="",IFERROR(VLOOKUP($B429,SERVIÇOS!$B:$G,6,0),IFERROR(VLOOKUP($B429,$D:$K,8,0),"")),IFERROR(VLOOKUP($C429,INSUMOS!$A:$D,4,0),IFERROR(VLOOKUP($C429,COTAÇÕES!$B:$I,7,0),(VLOOKUP($C429,'INSUMO SINAPI - SP'!$C:$F,4,0)))))</f>
        <v>29.72</v>
      </c>
      <c r="I429" s="513">
        <f>TRUNC(IF($C429="",IFERROR(VLOOKUP($B429,SERVIÇOS!$B:$G,4,0),IFERROR(VLOOKUP($B429,$D:$K,6,0),)),IFERROR(VLOOKUP($C429,INSUMOS!$A:$D,4,0),IFERROR(VLOOKUP($C429,COTAÇÕES!$B:$I,7,0),(VLOOKUP($C429,'INSUMO SINAPI - SP'!$C:$F,4,0)))))*$G429,2)</f>
        <v>17.28</v>
      </c>
      <c r="J429" s="513">
        <f>TRUNC(IF($C429="",IFERROR(VLOOKUP($B429,SERVIÇOS!$B:$G,5,0),IFERROR(VLOOKUP($B429,$D:$K,7,0),)),0)*$G429,2)</f>
        <v>42.16</v>
      </c>
      <c r="K429" s="514">
        <f>I429+J429</f>
        <v>59.44</v>
      </c>
      <c r="L429" s="515"/>
      <c r="M429" s="471"/>
      <c r="N429" s="516"/>
      <c r="Q429" s="472"/>
      <c r="R429" s="472"/>
      <c r="S429" s="472"/>
      <c r="T429" s="472"/>
      <c r="U429" s="472"/>
      <c r="V429" s="472"/>
      <c r="W429" s="472"/>
      <c r="X429" s="472"/>
      <c r="Y429" s="472"/>
    </row>
    <row r="430" spans="1:25" x14ac:dyDescent="0.25">
      <c r="A430" s="463"/>
      <c r="B430" s="506">
        <v>88267</v>
      </c>
      <c r="C430" s="507"/>
      <c r="D430" s="508"/>
      <c r="E430" s="509" t="str">
        <f>IF($C430="",IFERROR(VLOOKUP($B430,SERVIÇOS!$B:$G,2,0),IFERROR(VLOOKUP($B430,$D:$K,2,0),"")),IFERROR(VLOOKUP($C430,INSUMOS!$A:$D,2,0),IFERROR(VLOOKUP($C430,COTAÇÕES!$B:$I,2,0),(VLOOKUP($C430,'INSUMO SINAPI - SP'!$C:$F,2,0)))))</f>
        <v>ENCANADOR OU BOMBEIRO HIDRÁULICO COM ENCARGOS COMPLEMENTARES</v>
      </c>
      <c r="F430" s="510" t="str">
        <f>IF($C430="",IFERROR(VLOOKUP($B430,SERVIÇOS!$B:$G,3,0),IFERROR(VLOOKUP($B430,$D:$K,3,0),"")),IFERROR(VLOOKUP($C430,INSUMOS!$A:$D,3,0),IFERROR(VLOOKUP($C430,COTAÇÕES!$B:$I,3,0),(VLOOKUP($C430,'INSUMO SINAPI - SP'!$C:$F,3,0)))))</f>
        <v>H</v>
      </c>
      <c r="G430" s="511">
        <v>1</v>
      </c>
      <c r="H430" s="512">
        <f>IF($C430="",IFERROR(VLOOKUP($B430,SERVIÇOS!$B:$G,6,0),IFERROR(VLOOKUP($B430,$D:$K,8,0),"")),IFERROR(VLOOKUP($C430,INSUMOS!$A:$D,4,0),IFERROR(VLOOKUP($C430,COTAÇÕES!$B:$I,7,0),(VLOOKUP($C430,'INSUMO SINAPI - SP'!$C:$F,4,0)))))</f>
        <v>36.17</v>
      </c>
      <c r="I430" s="513">
        <f>TRUNC(IF($C430="",IFERROR(VLOOKUP($B430,SERVIÇOS!$B:$G,4,0),IFERROR(VLOOKUP($B430,$D:$K,6,0),)),IFERROR(VLOOKUP($C430,INSUMOS!$A:$D,4,0),IFERROR(VLOOKUP($C430,COTAÇÕES!$B:$I,7,0),(VLOOKUP($C430,'INSUMO SINAPI - SP'!$C:$F,4,0)))))*$G430,2)</f>
        <v>8.64</v>
      </c>
      <c r="J430" s="513">
        <f>TRUNC(IF($C430="",IFERROR(VLOOKUP($B430,SERVIÇOS!$B:$G,5,0),IFERROR(VLOOKUP($B430,$D:$K,7,0),)),0)*$G430,2)</f>
        <v>27.53</v>
      </c>
      <c r="K430" s="514">
        <f>I430+J430</f>
        <v>36.17</v>
      </c>
      <c r="L430" s="515"/>
      <c r="M430" s="471"/>
      <c r="N430" s="516"/>
      <c r="Q430" s="472"/>
      <c r="R430" s="472"/>
      <c r="S430" s="472"/>
      <c r="T430" s="472"/>
      <c r="U430" s="472"/>
      <c r="V430" s="472"/>
      <c r="W430" s="472"/>
      <c r="X430" s="472"/>
      <c r="Y430" s="472"/>
    </row>
    <row r="431" spans="1:25" ht="24" x14ac:dyDescent="0.25">
      <c r="A431" s="463"/>
      <c r="B431" s="506"/>
      <c r="C431" s="507" t="s">
        <v>12862</v>
      </c>
      <c r="D431" s="508"/>
      <c r="E431" s="518" t="s">
        <v>12860</v>
      </c>
      <c r="F431" s="519" t="s">
        <v>580</v>
      </c>
      <c r="G431" s="511">
        <v>1</v>
      </c>
      <c r="H431" s="520">
        <v>3184.44</v>
      </c>
      <c r="I431" s="520">
        <f>TRUNC(H431*G431,2)</f>
        <v>3184.44</v>
      </c>
      <c r="J431" s="521"/>
      <c r="K431" s="522">
        <f>I431+J431</f>
        <v>3184.44</v>
      </c>
      <c r="L431" s="517" t="s">
        <v>12677</v>
      </c>
      <c r="M431" s="471"/>
      <c r="N431" s="516"/>
      <c r="Q431" s="472"/>
      <c r="R431" s="472"/>
      <c r="S431" s="472"/>
      <c r="T431" s="472"/>
      <c r="U431" s="472"/>
      <c r="V431" s="472"/>
      <c r="W431" s="472"/>
      <c r="X431" s="472"/>
      <c r="Y431" s="472"/>
    </row>
    <row r="432" spans="1:25" x14ac:dyDescent="0.25">
      <c r="A432" s="463"/>
      <c r="B432" s="498"/>
      <c r="C432" s="498"/>
      <c r="D432" s="499" t="s">
        <v>12129</v>
      </c>
      <c r="E432" s="500" t="s">
        <v>12863</v>
      </c>
      <c r="F432" s="501" t="s">
        <v>580</v>
      </c>
      <c r="G432" s="502"/>
      <c r="H432" s="503"/>
      <c r="I432" s="504">
        <f>ROUND(SUM(I433:I442),2)</f>
        <v>281.63</v>
      </c>
      <c r="J432" s="504">
        <f>ROUND(SUM(J433:J442),2)</f>
        <v>295.2</v>
      </c>
      <c r="K432" s="504">
        <f>+J432+I432</f>
        <v>576.82999999999993</v>
      </c>
      <c r="L432" s="523"/>
      <c r="M432" s="471"/>
      <c r="N432" s="505"/>
      <c r="Q432" s="472"/>
      <c r="R432" s="472"/>
      <c r="S432" s="472"/>
      <c r="T432" s="472"/>
      <c r="U432" s="472"/>
      <c r="V432" s="472"/>
      <c r="W432" s="472"/>
      <c r="X432" s="472"/>
      <c r="Y432" s="472"/>
    </row>
    <row r="433" spans="1:25" x14ac:dyDescent="0.25">
      <c r="A433" s="463"/>
      <c r="B433" s="506"/>
      <c r="C433" s="507">
        <v>7258</v>
      </c>
      <c r="D433" s="508"/>
      <c r="E433" s="509" t="str">
        <f>IF($C433="",IFERROR(VLOOKUP($B433,SERVIÇOS!$B:$G,2,0),IFERROR(VLOOKUP($B433,$D:$K,2,0),"")),IFERROR(VLOOKUP($C433,INSUMOS!$A:$D,2,0),IFERROR(VLOOKUP($C433,COTAÇÕES!$B:$I,2,0),(VLOOKUP($C433,'INSUMO SINAPI - SP'!$C:$F,2,0)))))</f>
        <v>TIJOLO CERAMICO MACICO COMUM DE *5 X 10 X 20* CM (L X A X C)</v>
      </c>
      <c r="F433" s="510" t="str">
        <f>IF($C433="",IFERROR(VLOOKUP($B433,SERVIÇOS!$B:$G,3,0),IFERROR(VLOOKUP($B433,$D:$K,3,0),"")),IFERROR(VLOOKUP($C433,INSUMOS!$A:$D,3,0),IFERROR(VLOOKUP($C433,COTAÇÕES!$B:$I,3,0),(VLOOKUP($C433,'INSUMO SINAPI - SP'!$C:$F,3,0)))))</f>
        <v>UN</v>
      </c>
      <c r="G433" s="511">
        <v>121.74715</v>
      </c>
      <c r="H433" s="512">
        <f>IF($C433="",IFERROR(VLOOKUP($B433,SERVIÇOS!$B:$G,6,0),IFERROR(VLOOKUP($B433,$D:$K,8,0),"")),IFERROR(VLOOKUP($C433,INSUMOS!$A:$D,4,0),IFERROR(VLOOKUP($C433,COTAÇÕES!$B:$I,7,0),(VLOOKUP($C433,'INSUMO SINAPI - SP'!$C:$F,4,0)))))</f>
        <v>0.54</v>
      </c>
      <c r="I433" s="513">
        <f>TRUNC(IF($C433="",IFERROR(VLOOKUP($B433,SERVIÇOS!$B:$G,4,0),IFERROR(VLOOKUP($B433,$D:$K,6,0),)),IFERROR(VLOOKUP($C433,INSUMOS!$A:$D,4,0),IFERROR(VLOOKUP($C433,COTAÇÕES!$B:$I,7,0),(VLOOKUP($C433,'INSUMO SINAPI - SP'!$C:$F,4,0)))))*$G433,2)</f>
        <v>65.739999999999995</v>
      </c>
      <c r="J433" s="513">
        <f>TRUNC(IF($C433="",IFERROR(VLOOKUP($B433,SERVIÇOS!$B:$G,5,0),IFERROR(VLOOKUP($B433,$D:$K,7,0),)),0)*$G433,2)</f>
        <v>0</v>
      </c>
      <c r="K433" s="514">
        <f t="shared" ref="K433:K442" si="17">I433+J433</f>
        <v>65.739999999999995</v>
      </c>
      <c r="L433" s="517"/>
      <c r="M433" s="471"/>
      <c r="N433" s="516"/>
      <c r="Q433" s="472"/>
      <c r="R433" s="472"/>
      <c r="S433" s="472"/>
      <c r="T433" s="472"/>
      <c r="U433" s="472"/>
      <c r="V433" s="472"/>
      <c r="W433" s="472"/>
      <c r="X433" s="472"/>
      <c r="Y433" s="472"/>
    </row>
    <row r="434" spans="1:25" ht="24" x14ac:dyDescent="0.25">
      <c r="A434" s="463"/>
      <c r="B434" s="506">
        <v>87316</v>
      </c>
      <c r="C434" s="507"/>
      <c r="D434" s="508"/>
      <c r="E434" s="509" t="str">
        <f>IF($C434="",IFERROR(VLOOKUP($B434,SERVIÇOS!$B:$G,2,0),IFERROR(VLOOKUP($B434,$D:$K,2,0),"")),IFERROR(VLOOKUP($C434,INSUMOS!$A:$D,2,0),IFERROR(VLOOKUP($C434,COTAÇÕES!$B:$I,2,0),(VLOOKUP($C434,'INSUMO SINAPI - SP'!$C:$F,2,0)))))</f>
        <v>ARGAMASSA TRAÇO 1:4 (EM VOLUME DE CIMENTO E AREIA GROSSA ÚMIDA) PARA CHAPISCO CONVENCIONAL, PREPARO MECÂNICO COM BETONEIRA 400 L. AF_08/2019</v>
      </c>
      <c r="F434" s="510" t="str">
        <f>IF($C434="",IFERROR(VLOOKUP($B434,SERVIÇOS!$B:$G,3,0),IFERROR(VLOOKUP($B434,$D:$K,3,0),"")),IFERROR(VLOOKUP($C434,INSUMOS!$A:$D,3,0),IFERROR(VLOOKUP($C434,COTAÇÕES!$B:$I,3,0),(VLOOKUP($C434,'INSUMO SINAPI - SP'!$C:$F,3,0)))))</f>
        <v>M3</v>
      </c>
      <c r="G434" s="511">
        <v>1E-3</v>
      </c>
      <c r="H434" s="512">
        <f>IF($C434="",IFERROR(VLOOKUP($B434,SERVIÇOS!$B:$G,6,0),IFERROR(VLOOKUP($B434,$D:$K,8,0),"")),IFERROR(VLOOKUP($C434,INSUMOS!$A:$D,4,0),IFERROR(VLOOKUP($C434,COTAÇÕES!$B:$I,7,0),(VLOOKUP($C434,'INSUMO SINAPI - SP'!$C:$F,4,0)))))</f>
        <v>513.03</v>
      </c>
      <c r="I434" s="513">
        <f>TRUNC(IF($C434="",IFERROR(VLOOKUP($B434,SERVIÇOS!$B:$G,4,0),IFERROR(VLOOKUP($B434,$D:$K,6,0),)),IFERROR(VLOOKUP($C434,INSUMOS!$A:$D,4,0),IFERROR(VLOOKUP($C434,COTAÇÕES!$B:$I,7,0),(VLOOKUP($C434,'INSUMO SINAPI - SP'!$C:$F,4,0)))))*$G434,2)</f>
        <v>0.39</v>
      </c>
      <c r="J434" s="513">
        <f>TRUNC(IF($C434="",IFERROR(VLOOKUP($B434,SERVIÇOS!$B:$G,5,0),IFERROR(VLOOKUP($B434,$D:$K,7,0),)),0)*$G434,2)</f>
        <v>0.11</v>
      </c>
      <c r="K434" s="514">
        <f t="shared" si="17"/>
        <v>0.5</v>
      </c>
      <c r="L434" s="515"/>
      <c r="M434" s="471"/>
      <c r="N434" s="516"/>
      <c r="Q434" s="472"/>
      <c r="R434" s="472"/>
      <c r="S434" s="472"/>
      <c r="T434" s="472"/>
      <c r="U434" s="472"/>
      <c r="V434" s="472"/>
      <c r="W434" s="472"/>
      <c r="X434" s="472"/>
      <c r="Y434" s="472"/>
    </row>
    <row r="435" spans="1:25" x14ac:dyDescent="0.25">
      <c r="A435" s="463"/>
      <c r="B435" s="506">
        <v>88309</v>
      </c>
      <c r="C435" s="507"/>
      <c r="D435" s="508"/>
      <c r="E435" s="509" t="str">
        <f>IF($C435="",IFERROR(VLOOKUP($B435,SERVIÇOS!$B:$G,2,0),IFERROR(VLOOKUP($B435,$D:$K,2,0),"")),IFERROR(VLOOKUP($C435,INSUMOS!$A:$D,2,0),IFERROR(VLOOKUP($C435,COTAÇÕES!$B:$I,2,0),(VLOOKUP($C435,'INSUMO SINAPI - SP'!$C:$F,2,0)))))</f>
        <v>PEDREIRO COM ENCARGOS COMPLEMENTARES</v>
      </c>
      <c r="F435" s="510" t="str">
        <f>IF($C435="",IFERROR(VLOOKUP($B435,SERVIÇOS!$B:$G,3,0),IFERROR(VLOOKUP($B435,$D:$K,3,0),"")),IFERROR(VLOOKUP($C435,INSUMOS!$A:$D,3,0),IFERROR(VLOOKUP($C435,COTAÇÕES!$B:$I,3,0),(VLOOKUP($C435,'INSUMO SINAPI - SP'!$C:$F,3,0)))))</f>
        <v>H</v>
      </c>
      <c r="G435" s="511">
        <v>4.4691000000000001</v>
      </c>
      <c r="H435" s="512">
        <f>IF($C435="",IFERROR(VLOOKUP($B435,SERVIÇOS!$B:$G,6,0),IFERROR(VLOOKUP($B435,$D:$K,8,0),"")),IFERROR(VLOOKUP($C435,INSUMOS!$A:$D,4,0),IFERROR(VLOOKUP($C435,COTAÇÕES!$B:$I,7,0),(VLOOKUP($C435,'INSUMO SINAPI - SP'!$C:$F,4,0)))))</f>
        <v>36.909999999999997</v>
      </c>
      <c r="I435" s="513">
        <f>TRUNC(IF($C435="",IFERROR(VLOOKUP($B435,SERVIÇOS!$B:$G,4,0),IFERROR(VLOOKUP($B435,$D:$K,6,0),)),IFERROR(VLOOKUP($C435,INSUMOS!$A:$D,4,0),IFERROR(VLOOKUP($C435,COTAÇÕES!$B:$I,7,0),(VLOOKUP($C435,'INSUMO SINAPI - SP'!$C:$F,4,0)))))*$G435,2)</f>
        <v>41.47</v>
      </c>
      <c r="J435" s="513">
        <f>TRUNC(IF($C435="",IFERROR(VLOOKUP($B435,SERVIÇOS!$B:$G,5,0),IFERROR(VLOOKUP($B435,$D:$K,7,0),)),0)*$G435,2)</f>
        <v>123.48</v>
      </c>
      <c r="K435" s="514">
        <f t="shared" si="17"/>
        <v>164.95</v>
      </c>
      <c r="L435" s="515"/>
      <c r="M435" s="471"/>
      <c r="N435" s="516"/>
      <c r="Q435" s="472"/>
      <c r="R435" s="472"/>
      <c r="S435" s="472"/>
      <c r="T435" s="472"/>
      <c r="U435" s="472"/>
      <c r="V435" s="472"/>
      <c r="W435" s="472"/>
      <c r="X435" s="472"/>
      <c r="Y435" s="472"/>
    </row>
    <row r="436" spans="1:25" x14ac:dyDescent="0.25">
      <c r="A436" s="463"/>
      <c r="B436" s="506">
        <v>88316</v>
      </c>
      <c r="C436" s="507"/>
      <c r="D436" s="508"/>
      <c r="E436" s="509" t="str">
        <f>IF($C436="",IFERROR(VLOOKUP($B436,SERVIÇOS!$B:$G,2,0),IFERROR(VLOOKUP($B436,$D:$K,2,0),"")),IFERROR(VLOOKUP($C436,INSUMOS!$A:$D,2,0),IFERROR(VLOOKUP($C436,COTAÇÕES!$B:$I,2,0),(VLOOKUP($C436,'INSUMO SINAPI - SP'!$C:$F,2,0)))))</f>
        <v>SERVENTE COM ENCARGOS COMPLEMENTARES</v>
      </c>
      <c r="F436" s="510" t="str">
        <f>IF($C436="",IFERROR(VLOOKUP($B436,SERVIÇOS!$B:$G,3,0),IFERROR(VLOOKUP($B436,$D:$K,3,0),"")),IFERROR(VLOOKUP($C436,INSUMOS!$A:$D,3,0),IFERROR(VLOOKUP($C436,COTAÇÕES!$B:$I,3,0),(VLOOKUP($C436,'INSUMO SINAPI - SP'!$C:$F,3,0)))))</f>
        <v>H</v>
      </c>
      <c r="G436" s="511">
        <v>4.4691000000000001</v>
      </c>
      <c r="H436" s="512">
        <f>IF($C436="",IFERROR(VLOOKUP($B436,SERVIÇOS!$B:$G,6,0),IFERROR(VLOOKUP($B436,$D:$K,8,0),"")),IFERROR(VLOOKUP($C436,INSUMOS!$A:$D,4,0),IFERROR(VLOOKUP($C436,COTAÇÕES!$B:$I,7,0),(VLOOKUP($C436,'INSUMO SINAPI - SP'!$C:$F,4,0)))))</f>
        <v>28.71</v>
      </c>
      <c r="I436" s="513">
        <f>TRUNC(IF($C436="",IFERROR(VLOOKUP($B436,SERVIÇOS!$B:$G,4,0),IFERROR(VLOOKUP($B436,$D:$K,6,0),)),IFERROR(VLOOKUP($C436,INSUMOS!$A:$D,4,0),IFERROR(VLOOKUP($C436,COTAÇÕES!$B:$I,7,0),(VLOOKUP($C436,'INSUMO SINAPI - SP'!$C:$F,4,0)))))*$G436,2)</f>
        <v>41.11</v>
      </c>
      <c r="J436" s="513">
        <f>TRUNC(IF($C436="",IFERROR(VLOOKUP($B436,SERVIÇOS!$B:$G,5,0),IFERROR(VLOOKUP($B436,$D:$K,7,0),)),0)*$G436,2)</f>
        <v>87.19</v>
      </c>
      <c r="K436" s="514">
        <f t="shared" si="17"/>
        <v>128.30000000000001</v>
      </c>
      <c r="L436" s="515"/>
      <c r="M436" s="471"/>
      <c r="N436" s="516"/>
      <c r="Q436" s="472"/>
      <c r="R436" s="472"/>
      <c r="S436" s="472"/>
      <c r="T436" s="472"/>
      <c r="U436" s="472"/>
      <c r="V436" s="472"/>
      <c r="W436" s="472"/>
      <c r="X436" s="472"/>
      <c r="Y436" s="472"/>
    </row>
    <row r="437" spans="1:25" ht="24" x14ac:dyDescent="0.25">
      <c r="A437" s="463"/>
      <c r="B437" s="506">
        <v>94970</v>
      </c>
      <c r="C437" s="507"/>
      <c r="D437" s="508"/>
      <c r="E437" s="509" t="str">
        <f>IF($C437="",IFERROR(VLOOKUP($B437,SERVIÇOS!$B:$G,2,0),IFERROR(VLOOKUP($B437,$D:$K,2,0),"")),IFERROR(VLOOKUP($C437,INSUMOS!$A:$D,2,0),IFERROR(VLOOKUP($C437,COTAÇÕES!$B:$I,2,0),(VLOOKUP($C437,'INSUMO SINAPI - SP'!$C:$F,2,0)))))</f>
        <v>CONCRETO FCK = 20MPA, TRAÇO 1:2,7:3 (EM MASSA SECA DE CIMENTO/ AREIA MÉDIA/ BRITA 1) - PREPARO MECÂNICO COM BETONEIRA 600 L. AF_05/2021</v>
      </c>
      <c r="F437" s="510" t="str">
        <f>IF($C437="",IFERROR(VLOOKUP($B437,SERVIÇOS!$B:$G,3,0),IFERROR(VLOOKUP($B437,$D:$K,3,0),"")),IFERROR(VLOOKUP($C437,INSUMOS!$A:$D,3,0),IFERROR(VLOOKUP($C437,COTAÇÕES!$B:$I,3,0),(VLOOKUP($C437,'INSUMO SINAPI - SP'!$C:$F,3,0)))))</f>
        <v>M3</v>
      </c>
      <c r="G437" s="511">
        <v>5.815E-2</v>
      </c>
      <c r="H437" s="512">
        <f>IF($C437="",IFERROR(VLOOKUP($B437,SERVIÇOS!$B:$G,6,0),IFERROR(VLOOKUP($B437,$D:$K,8,0),"")),IFERROR(VLOOKUP($C437,INSUMOS!$A:$D,4,0),IFERROR(VLOOKUP($C437,COTAÇÕES!$B:$I,7,0),(VLOOKUP($C437,'INSUMO SINAPI - SP'!$C:$F,4,0)))))</f>
        <v>453.74</v>
      </c>
      <c r="I437" s="513">
        <f>TRUNC(IF($C437="",IFERROR(VLOOKUP($B437,SERVIÇOS!$B:$G,4,0),IFERROR(VLOOKUP($B437,$D:$K,6,0),)),IFERROR(VLOOKUP($C437,INSUMOS!$A:$D,4,0),IFERROR(VLOOKUP($C437,COTAÇÕES!$B:$I,7,0),(VLOOKUP($C437,'INSUMO SINAPI - SP'!$C:$F,4,0)))))*$G437,2)</f>
        <v>22.23</v>
      </c>
      <c r="J437" s="513">
        <f>TRUNC(IF($C437="",IFERROR(VLOOKUP($B437,SERVIÇOS!$B:$G,5,0),IFERROR(VLOOKUP($B437,$D:$K,7,0),)),0)*$G437,2)</f>
        <v>4.1500000000000004</v>
      </c>
      <c r="K437" s="514">
        <f t="shared" si="17"/>
        <v>26.380000000000003</v>
      </c>
      <c r="L437" s="515"/>
      <c r="M437" s="471"/>
      <c r="N437" s="516"/>
      <c r="Q437" s="472"/>
      <c r="R437" s="472"/>
      <c r="S437" s="472"/>
      <c r="T437" s="472"/>
      <c r="U437" s="472"/>
      <c r="V437" s="472"/>
      <c r="W437" s="472"/>
      <c r="X437" s="472"/>
      <c r="Y437" s="472"/>
    </row>
    <row r="438" spans="1:25" ht="24" x14ac:dyDescent="0.25">
      <c r="A438" s="463"/>
      <c r="B438" s="506">
        <v>97734</v>
      </c>
      <c r="C438" s="507"/>
      <c r="D438" s="508"/>
      <c r="E438" s="509" t="str">
        <f>IF($C438="",IFERROR(VLOOKUP($B438,SERVIÇOS!$B:$G,2,0),IFERROR(VLOOKUP($B438,$D:$K,2,0),"")),IFERROR(VLOOKUP($C438,INSUMOS!$A:$D,2,0),IFERROR(VLOOKUP($C438,COTAÇÕES!$B:$I,2,0),(VLOOKUP($C438,'INSUMO SINAPI - SP'!$C:$F,2,0)))))</f>
        <v>PEÇA RETANGULAR PRÉ-MOLDADA, VOLUME DE CONCRETO DE 10 A 30 LITROS, TAXA DE AÇO APROXIMADA DE 30KG/M³. AF_03/2024</v>
      </c>
      <c r="F438" s="510" t="str">
        <f>IF($C438="",IFERROR(VLOOKUP($B438,SERVIÇOS!$B:$G,3,0),IFERROR(VLOOKUP($B438,$D:$K,3,0),"")),IFERROR(VLOOKUP($C438,INSUMOS!$A:$D,3,0),IFERROR(VLOOKUP($C438,COTAÇÕES!$B:$I,3,0),(VLOOKUP($C438,'INSUMO SINAPI - SP'!$C:$F,3,0)))))</f>
        <v>M3</v>
      </c>
      <c r="G438" s="511">
        <v>3.5000000000000003E-2</v>
      </c>
      <c r="H438" s="512">
        <f>IF($C438="",IFERROR(VLOOKUP($B438,SERVIÇOS!$B:$G,6,0),IFERROR(VLOOKUP($B438,$D:$K,8,0),"")),IFERROR(VLOOKUP($C438,INSUMOS!$A:$D,4,0),IFERROR(VLOOKUP($C438,COTAÇÕES!$B:$I,7,0),(VLOOKUP($C438,'INSUMO SINAPI - SP'!$C:$F,4,0)))))</f>
        <v>3522.06</v>
      </c>
      <c r="I438" s="513">
        <f>TRUNC(IF($C438="",IFERROR(VLOOKUP($B438,SERVIÇOS!$B:$G,4,0),IFERROR(VLOOKUP($B438,$D:$K,6,0),)),IFERROR(VLOOKUP($C438,INSUMOS!$A:$D,4,0),IFERROR(VLOOKUP($C438,COTAÇÕES!$B:$I,7,0),(VLOOKUP($C438,'INSUMO SINAPI - SP'!$C:$F,4,0)))))*$G438,2)</f>
        <v>55.25</v>
      </c>
      <c r="J438" s="513">
        <f>TRUNC(IF($C438="",IFERROR(VLOOKUP($B438,SERVIÇOS!$B:$G,5,0),IFERROR(VLOOKUP($B438,$D:$K,7,0),)),0)*$G438,2)</f>
        <v>68.02</v>
      </c>
      <c r="K438" s="514">
        <f t="shared" si="17"/>
        <v>123.27</v>
      </c>
      <c r="L438" s="515"/>
      <c r="M438" s="471"/>
      <c r="N438" s="516"/>
      <c r="Q438" s="472"/>
      <c r="R438" s="472"/>
      <c r="S438" s="472"/>
      <c r="T438" s="472"/>
      <c r="U438" s="472"/>
      <c r="V438" s="472"/>
      <c r="W438" s="472"/>
      <c r="X438" s="472"/>
      <c r="Y438" s="472"/>
    </row>
    <row r="439" spans="1:25" ht="24" x14ac:dyDescent="0.25">
      <c r="A439" s="463"/>
      <c r="B439" s="506">
        <v>100475</v>
      </c>
      <c r="C439" s="507"/>
      <c r="D439" s="508"/>
      <c r="E439" s="509" t="str">
        <f>IF($C439="",IFERROR(VLOOKUP($B439,SERVIÇOS!$B:$G,2,0),IFERROR(VLOOKUP($B439,$D:$K,2,0),"")),IFERROR(VLOOKUP($C439,INSUMOS!$A:$D,2,0),IFERROR(VLOOKUP($C439,COTAÇÕES!$B:$I,2,0),(VLOOKUP($C439,'INSUMO SINAPI - SP'!$C:$F,2,0)))))</f>
        <v>ARGAMASSA TRAÇO 1:3 (EM VOLUME DE CIMENTO E AREIA MÉDIA ÚMIDA) COM ADIÇÃO DE IMPERMEABILIZANTE, PREPARO MECÂNICO COM BETONEIRA 400 L. AF_08/2019</v>
      </c>
      <c r="F439" s="510" t="str">
        <f>IF($C439="",IFERROR(VLOOKUP($B439,SERVIÇOS!$B:$G,3,0),IFERROR(VLOOKUP($B439,$D:$K,3,0),"")),IFERROR(VLOOKUP($C439,INSUMOS!$A:$D,3,0),IFERROR(VLOOKUP($C439,COTAÇÕES!$B:$I,3,0),(VLOOKUP($C439,'INSUMO SINAPI - SP'!$C:$F,3,0)))))</f>
        <v>M3</v>
      </c>
      <c r="G439" s="511">
        <v>8.3549999999999999E-2</v>
      </c>
      <c r="H439" s="512">
        <f>IF($C439="",IFERROR(VLOOKUP($B439,SERVIÇOS!$B:$G,6,0),IFERROR(VLOOKUP($B439,$D:$K,8,0),"")),IFERROR(VLOOKUP($C439,INSUMOS!$A:$D,4,0),IFERROR(VLOOKUP($C439,COTAÇÕES!$B:$I,7,0),(VLOOKUP($C439,'INSUMO SINAPI - SP'!$C:$F,4,0)))))</f>
        <v>721.94</v>
      </c>
      <c r="I439" s="513">
        <f>TRUNC(IF($C439="",IFERROR(VLOOKUP($B439,SERVIÇOS!$B:$G,4,0),IFERROR(VLOOKUP($B439,$D:$K,6,0),)),IFERROR(VLOOKUP($C439,INSUMOS!$A:$D,4,0),IFERROR(VLOOKUP($C439,COTAÇÕES!$B:$I,7,0),(VLOOKUP($C439,'INSUMO SINAPI - SP'!$C:$F,4,0)))))*$G439,2)</f>
        <v>52.49</v>
      </c>
      <c r="J439" s="513">
        <f>TRUNC(IF($C439="",IFERROR(VLOOKUP($B439,SERVIÇOS!$B:$G,5,0),IFERROR(VLOOKUP($B439,$D:$K,7,0),)),0)*$G439,2)</f>
        <v>7.82</v>
      </c>
      <c r="K439" s="514">
        <f t="shared" si="17"/>
        <v>60.31</v>
      </c>
      <c r="L439" s="515"/>
      <c r="M439" s="471"/>
      <c r="N439" s="516"/>
      <c r="Q439" s="472"/>
      <c r="R439" s="472"/>
      <c r="S439" s="472"/>
      <c r="T439" s="472"/>
      <c r="U439" s="472"/>
      <c r="V439" s="472"/>
      <c r="W439" s="472"/>
      <c r="X439" s="472"/>
      <c r="Y439" s="472"/>
    </row>
    <row r="440" spans="1:25" ht="24" x14ac:dyDescent="0.25">
      <c r="A440" s="463"/>
      <c r="B440" s="506">
        <v>101616</v>
      </c>
      <c r="C440" s="507"/>
      <c r="D440" s="508"/>
      <c r="E440" s="509" t="str">
        <f>IF($C440="",IFERROR(VLOOKUP($B440,SERVIÇOS!$B:$G,2,0),IFERROR(VLOOKUP($B440,$D:$K,2,0),"")),IFERROR(VLOOKUP($C440,INSUMOS!$A:$D,2,0),IFERROR(VLOOKUP($C440,COTAÇÕES!$B:$I,2,0),(VLOOKUP($C440,'INSUMO SINAPI - SP'!$C:$F,2,0)))))</f>
        <v>PREPARO DE FUNDO DE VALA COM LARGURA MENOR QUE 1,5 M (ACERTO DO SOLO NATURAL). AF_08/2020</v>
      </c>
      <c r="F440" s="510" t="str">
        <f>IF($C440="",IFERROR(VLOOKUP($B440,SERVIÇOS!$B:$G,3,0),IFERROR(VLOOKUP($B440,$D:$K,3,0),"")),IFERROR(VLOOKUP($C440,INSUMOS!$A:$D,3,0),IFERROR(VLOOKUP($C440,COTAÇÕES!$B:$I,3,0),(VLOOKUP($C440,'INSUMO SINAPI - SP'!$C:$F,3,0)))))</f>
        <v>M2</v>
      </c>
      <c r="G440" s="511">
        <v>0.65</v>
      </c>
      <c r="H440" s="512">
        <f>IF($C440="",IFERROR(VLOOKUP($B440,SERVIÇOS!$B:$G,6,0),IFERROR(VLOOKUP($B440,$D:$K,8,0),"")),IFERROR(VLOOKUP($C440,INSUMOS!$A:$D,4,0),IFERROR(VLOOKUP($C440,COTAÇÕES!$B:$I,7,0),(VLOOKUP($C440,'INSUMO SINAPI - SP'!$C:$F,4,0)))))</f>
        <v>8.42</v>
      </c>
      <c r="I440" s="513">
        <f>TRUNC(IF($C440="",IFERROR(VLOOKUP($B440,SERVIÇOS!$B:$G,4,0),IFERROR(VLOOKUP($B440,$D:$K,6,0),)),IFERROR(VLOOKUP($C440,INSUMOS!$A:$D,4,0),IFERROR(VLOOKUP($C440,COTAÇÕES!$B:$I,7,0),(VLOOKUP($C440,'INSUMO SINAPI - SP'!$C:$F,4,0)))))*$G440,2)</f>
        <v>1.59</v>
      </c>
      <c r="J440" s="513">
        <f>TRUNC(IF($C440="",IFERROR(VLOOKUP($B440,SERVIÇOS!$B:$G,5,0),IFERROR(VLOOKUP($B440,$D:$K,7,0),)),0)*$G440,2)</f>
        <v>3.87</v>
      </c>
      <c r="K440" s="514">
        <f t="shared" si="17"/>
        <v>5.46</v>
      </c>
      <c r="L440" s="515"/>
      <c r="M440" s="471"/>
      <c r="N440" s="516"/>
      <c r="Q440" s="472"/>
      <c r="R440" s="472"/>
      <c r="S440" s="472"/>
      <c r="T440" s="472"/>
      <c r="U440" s="472"/>
      <c r="V440" s="472"/>
      <c r="W440" s="472"/>
      <c r="X440" s="472"/>
      <c r="Y440" s="472"/>
    </row>
    <row r="441" spans="1:25" ht="36" x14ac:dyDescent="0.25">
      <c r="A441" s="463"/>
      <c r="B441" s="506">
        <v>5678</v>
      </c>
      <c r="C441" s="507"/>
      <c r="D441" s="508"/>
      <c r="E441" s="509" t="str">
        <f>IF($C441="",IFERROR(VLOOKUP($B441,SERVIÇOS!$B:$G,2,0),IFERROR(VLOOKUP($B441,$D:$K,2,0),"")),IFERROR(VLOOKUP($C441,INSUMOS!$A:$D,2,0),IFERROR(VLOOKUP($C441,COTAÇÕES!$B:$I,2,0),(VLOOKUP($C441,'INSUMO SINAPI - SP'!$C:$F,2,0)))))</f>
        <v>RETROESCAVADEIRA SOBRE RODAS COM CARREGADEIRA, TRAÇÃO 4X4, POTÊNCIA LÍQ. 88 HP, CAÇAMBA CARREG. CAP. MÍN. 1 M3, CAÇAMBA RETRO CAP. 0,26 M3, PESO OPERACIONAL MÍN. 6.674 KG, PROFUNDIDADE ESCAVAÇÃO MÁX. 4,37 M - CHP DIURNO. AF_06/2014</v>
      </c>
      <c r="F441" s="510" t="str">
        <f>IF($C441="",IFERROR(VLOOKUP($B441,SERVIÇOS!$B:$G,3,0),IFERROR(VLOOKUP($B441,$D:$K,3,0),"")),IFERROR(VLOOKUP($C441,INSUMOS!$A:$D,3,0),IFERROR(VLOOKUP($C441,COTAÇÕES!$B:$I,3,0),(VLOOKUP($C441,'INSUMO SINAPI - SP'!$C:$F,3,0)))))</f>
        <v>CHP</v>
      </c>
      <c r="G441" s="511">
        <v>5.0000000000000001E-3</v>
      </c>
      <c r="H441" s="512">
        <f>IF($C441="",IFERROR(VLOOKUP($B441,SERVIÇOS!$B:$G,6,0),IFERROR(VLOOKUP($B441,$D:$K,8,0),"")),IFERROR(VLOOKUP($C441,INSUMOS!$A:$D,4,0),IFERROR(VLOOKUP($C441,COTAÇÕES!$B:$I,7,0),(VLOOKUP($C441,'INSUMO SINAPI - SP'!$C:$F,4,0)))))</f>
        <v>164.49</v>
      </c>
      <c r="I441" s="513">
        <f>TRUNC(IF($C441="",IFERROR(VLOOKUP($B441,SERVIÇOS!$B:$G,4,0),IFERROR(VLOOKUP($B441,$D:$K,6,0),)),IFERROR(VLOOKUP($C441,INSUMOS!$A:$D,4,0),IFERROR(VLOOKUP($C441,COTAÇÕES!$B:$I,7,0),(VLOOKUP($C441,'INSUMO SINAPI - SP'!$C:$F,4,0)))))*$G441,2)</f>
        <v>0.68</v>
      </c>
      <c r="J441" s="513">
        <f>TRUNC(IF($C441="",IFERROR(VLOOKUP($B441,SERVIÇOS!$B:$G,5,0),IFERROR(VLOOKUP($B441,$D:$K,7,0),)),0)*$G441,2)</f>
        <v>0.14000000000000001</v>
      </c>
      <c r="K441" s="514">
        <f t="shared" si="17"/>
        <v>0.82000000000000006</v>
      </c>
      <c r="L441" s="515"/>
      <c r="M441" s="471"/>
      <c r="N441" s="516"/>
      <c r="Q441" s="472"/>
      <c r="R441" s="472"/>
      <c r="S441" s="472"/>
      <c r="T441" s="472"/>
      <c r="U441" s="472"/>
      <c r="V441" s="472"/>
      <c r="W441" s="472"/>
      <c r="X441" s="472"/>
      <c r="Y441" s="472"/>
    </row>
    <row r="442" spans="1:25" ht="36" x14ac:dyDescent="0.25">
      <c r="A442" s="463"/>
      <c r="B442" s="506">
        <v>5679</v>
      </c>
      <c r="C442" s="507"/>
      <c r="D442" s="508"/>
      <c r="E442" s="509" t="str">
        <f>IF($C442="",IFERROR(VLOOKUP($B442,SERVIÇOS!$B:$G,2,0),IFERROR(VLOOKUP($B442,$D:$K,2,0),"")),IFERROR(VLOOKUP($C442,INSUMOS!$A:$D,2,0),IFERROR(VLOOKUP($C442,COTAÇÕES!$B:$I,2,0),(VLOOKUP($C442,'INSUMO SINAPI - SP'!$C:$F,2,0)))))</f>
        <v>RETROESCAVADEIRA SOBRE RODAS COM CARREGADEIRA, TRAÇÃO 4X4, POTÊNCIA LÍQ. 88 HP, CAÇAMBA CARREG. CAP. MÍN. 1 M3, CAÇAMBA RETRO CAP. 0,26 M3, PESO OPERACIONAL MÍN. 6.674 KG, PROFUNDIDADE ESCAVAÇÃO MÁX. 4,37 M - CHI DIURNO. AF_06/2014</v>
      </c>
      <c r="F442" s="510" t="str">
        <f>IF($C442="",IFERROR(VLOOKUP($B442,SERVIÇOS!$B:$G,3,0),IFERROR(VLOOKUP($B442,$D:$K,3,0),"")),IFERROR(VLOOKUP($C442,INSUMOS!$A:$D,3,0),IFERROR(VLOOKUP($C442,COTAÇÕES!$B:$I,3,0),(VLOOKUP($C442,'INSUMO SINAPI - SP'!$C:$F,3,0)))))</f>
        <v>CHI</v>
      </c>
      <c r="G442" s="511">
        <v>1.4999999999999999E-2</v>
      </c>
      <c r="H442" s="512">
        <f>IF($C442="",IFERROR(VLOOKUP($B442,SERVIÇOS!$B:$G,6,0),IFERROR(VLOOKUP($B442,$D:$K,8,0),"")),IFERROR(VLOOKUP($C442,INSUMOS!$A:$D,4,0),IFERROR(VLOOKUP($C442,COTAÇÕES!$B:$I,7,0),(VLOOKUP($C442,'INSUMO SINAPI - SP'!$C:$F,4,0)))))</f>
        <v>73.569999999999993</v>
      </c>
      <c r="I442" s="513">
        <f>TRUNC(IF($C442="",IFERROR(VLOOKUP($B442,SERVIÇOS!$B:$G,4,0),IFERROR(VLOOKUP($B442,$D:$K,6,0),)),IFERROR(VLOOKUP($C442,INSUMOS!$A:$D,4,0),IFERROR(VLOOKUP($C442,COTAÇÕES!$B:$I,7,0),(VLOOKUP($C442,'INSUMO SINAPI - SP'!$C:$F,4,0)))))*$G442,2)</f>
        <v>0.68</v>
      </c>
      <c r="J442" s="513">
        <f>TRUNC(IF($C442="",IFERROR(VLOOKUP($B442,SERVIÇOS!$B:$G,5,0),IFERROR(VLOOKUP($B442,$D:$K,7,0),)),0)*$G442,2)</f>
        <v>0.42</v>
      </c>
      <c r="K442" s="514">
        <f t="shared" si="17"/>
        <v>1.1000000000000001</v>
      </c>
      <c r="L442" s="515"/>
      <c r="M442" s="471"/>
      <c r="N442" s="516"/>
      <c r="Q442" s="472"/>
      <c r="R442" s="472"/>
      <c r="S442" s="472"/>
      <c r="T442" s="472"/>
      <c r="U442" s="472"/>
      <c r="V442" s="472"/>
      <c r="W442" s="472"/>
      <c r="X442" s="472"/>
      <c r="Y442" s="472"/>
    </row>
    <row r="443" spans="1:25" x14ac:dyDescent="0.25">
      <c r="A443" s="463"/>
      <c r="B443" s="498"/>
      <c r="C443" s="498"/>
      <c r="D443" s="499" t="s">
        <v>12130</v>
      </c>
      <c r="E443" s="500" t="s">
        <v>12864</v>
      </c>
      <c r="F443" s="501" t="s">
        <v>580</v>
      </c>
      <c r="G443" s="502"/>
      <c r="H443" s="503"/>
      <c r="I443" s="504">
        <f>ROUND(SUM(I444:I453),2)</f>
        <v>208.38</v>
      </c>
      <c r="J443" s="504">
        <f>ROUND(SUM(J444:J453),2)</f>
        <v>218.84</v>
      </c>
      <c r="K443" s="504">
        <f>+J443+I443</f>
        <v>427.22</v>
      </c>
      <c r="L443" s="523"/>
      <c r="M443" s="471"/>
      <c r="N443" s="505"/>
      <c r="Q443" s="472"/>
      <c r="R443" s="472"/>
      <c r="S443" s="472"/>
      <c r="T443" s="472"/>
      <c r="U443" s="472"/>
      <c r="V443" s="472"/>
      <c r="W443" s="472"/>
      <c r="X443" s="472"/>
      <c r="Y443" s="472"/>
    </row>
    <row r="444" spans="1:25" x14ac:dyDescent="0.25">
      <c r="A444" s="463"/>
      <c r="B444" s="506"/>
      <c r="C444" s="507">
        <v>7258</v>
      </c>
      <c r="D444" s="508"/>
      <c r="E444" s="509" t="str">
        <f>IF($C444="",IFERROR(VLOOKUP($B444,SERVIÇOS!$B:$G,2,0),IFERROR(VLOOKUP($B444,$D:$K,2,0),"")),IFERROR(VLOOKUP($C444,INSUMOS!$A:$D,2,0),IFERROR(VLOOKUP($C444,COTAÇÕES!$B:$I,2,0),(VLOOKUP($C444,'INSUMO SINAPI - SP'!$C:$F,2,0)))))</f>
        <v>TIJOLO CERAMICO MACICO COMUM DE *5 X 10 X 20* CM (L X A X C)</v>
      </c>
      <c r="F444" s="510" t="str">
        <f>IF($C444="",IFERROR(VLOOKUP($B444,SERVIÇOS!$B:$G,3,0),IFERROR(VLOOKUP($B444,$D:$K,3,0),"")),IFERROR(VLOOKUP($C444,INSUMOS!$A:$D,3,0),IFERROR(VLOOKUP($C444,COTAÇÕES!$B:$I,3,0),(VLOOKUP($C444,'INSUMO SINAPI - SP'!$C:$F,3,0)))))</f>
        <v>UN</v>
      </c>
      <c r="G444" s="511">
        <v>87.078037499999994</v>
      </c>
      <c r="H444" s="512">
        <f>IF($C444="",IFERROR(VLOOKUP($B444,SERVIÇOS!$B:$G,6,0),IFERROR(VLOOKUP($B444,$D:$K,8,0),"")),IFERROR(VLOOKUP($C444,INSUMOS!$A:$D,4,0),IFERROR(VLOOKUP($C444,COTAÇÕES!$B:$I,7,0),(VLOOKUP($C444,'INSUMO SINAPI - SP'!$C:$F,4,0)))))</f>
        <v>0.54</v>
      </c>
      <c r="I444" s="513">
        <f>TRUNC(IF($C444="",IFERROR(VLOOKUP($B444,SERVIÇOS!$B:$G,4,0),IFERROR(VLOOKUP($B444,$D:$K,6,0),)),IFERROR(VLOOKUP($C444,INSUMOS!$A:$D,4,0),IFERROR(VLOOKUP($C444,COTAÇÕES!$B:$I,7,0),(VLOOKUP($C444,'INSUMO SINAPI - SP'!$C:$F,4,0)))))*$G444,2)</f>
        <v>47.02</v>
      </c>
      <c r="J444" s="513">
        <f>TRUNC(IF($C444="",IFERROR(VLOOKUP($B444,SERVIÇOS!$B:$G,5,0),IFERROR(VLOOKUP($B444,$D:$K,7,0),)),0)*$G444,2)</f>
        <v>0</v>
      </c>
      <c r="K444" s="514">
        <f t="shared" ref="K444:K453" si="18">I444+J444</f>
        <v>47.02</v>
      </c>
      <c r="L444" s="517"/>
      <c r="M444" s="471"/>
      <c r="N444" s="516"/>
      <c r="Q444" s="472"/>
      <c r="R444" s="472"/>
      <c r="S444" s="472"/>
      <c r="T444" s="472"/>
      <c r="U444" s="472"/>
      <c r="V444" s="472"/>
      <c r="W444" s="472"/>
      <c r="X444" s="472"/>
      <c r="Y444" s="472"/>
    </row>
    <row r="445" spans="1:25" ht="24" x14ac:dyDescent="0.25">
      <c r="A445" s="463"/>
      <c r="B445" s="506">
        <v>87316</v>
      </c>
      <c r="C445" s="507"/>
      <c r="D445" s="508"/>
      <c r="E445" s="509" t="str">
        <f>IF($C445="",IFERROR(VLOOKUP($B445,SERVIÇOS!$B:$G,2,0),IFERROR(VLOOKUP($B445,$D:$K,2,0),"")),IFERROR(VLOOKUP($C445,INSUMOS!$A:$D,2,0),IFERROR(VLOOKUP($C445,COTAÇÕES!$B:$I,2,0),(VLOOKUP($C445,'INSUMO SINAPI - SP'!$C:$F,2,0)))))</f>
        <v>ARGAMASSA TRAÇO 1:4 (EM VOLUME DE CIMENTO E AREIA GROSSA ÚMIDA) PARA CHAPISCO CONVENCIONAL, PREPARO MECÂNICO COM BETONEIRA 400 L. AF_08/2019</v>
      </c>
      <c r="F445" s="510" t="str">
        <f>IF($C445="",IFERROR(VLOOKUP($B445,SERVIÇOS!$B:$G,3,0),IFERROR(VLOOKUP($B445,$D:$K,3,0),"")),IFERROR(VLOOKUP($C445,INSUMOS!$A:$D,3,0),IFERROR(VLOOKUP($C445,COTAÇÕES!$B:$I,3,0),(VLOOKUP($C445,'INSUMO SINAPI - SP'!$C:$F,3,0)))))</f>
        <v>M3</v>
      </c>
      <c r="G445" s="511">
        <v>6.7500000000000004E-4</v>
      </c>
      <c r="H445" s="512">
        <f>IF($C445="",IFERROR(VLOOKUP($B445,SERVIÇOS!$B:$G,6,0),IFERROR(VLOOKUP($B445,$D:$K,8,0),"")),IFERROR(VLOOKUP($C445,INSUMOS!$A:$D,4,0),IFERROR(VLOOKUP($C445,COTAÇÕES!$B:$I,7,0),(VLOOKUP($C445,'INSUMO SINAPI - SP'!$C:$F,4,0)))))</f>
        <v>513.03</v>
      </c>
      <c r="I445" s="513">
        <f>TRUNC(IF($C445="",IFERROR(VLOOKUP($B445,SERVIÇOS!$B:$G,4,0),IFERROR(VLOOKUP($B445,$D:$K,6,0),)),IFERROR(VLOOKUP($C445,INSUMOS!$A:$D,4,0),IFERROR(VLOOKUP($C445,COTAÇÕES!$B:$I,7,0),(VLOOKUP($C445,'INSUMO SINAPI - SP'!$C:$F,4,0)))))*$G445,2)</f>
        <v>0.26</v>
      </c>
      <c r="J445" s="513">
        <f>TRUNC(IF($C445="",IFERROR(VLOOKUP($B445,SERVIÇOS!$B:$G,5,0),IFERROR(VLOOKUP($B445,$D:$K,7,0),)),0)*$G445,2)</f>
        <v>7.0000000000000007E-2</v>
      </c>
      <c r="K445" s="514">
        <f t="shared" si="18"/>
        <v>0.33</v>
      </c>
      <c r="L445" s="515"/>
      <c r="M445" s="471"/>
      <c r="N445" s="516"/>
      <c r="Q445" s="472"/>
      <c r="R445" s="472"/>
      <c r="S445" s="472"/>
      <c r="T445" s="472"/>
      <c r="U445" s="472"/>
      <c r="V445" s="472"/>
      <c r="W445" s="472"/>
      <c r="X445" s="472"/>
      <c r="Y445" s="472"/>
    </row>
    <row r="446" spans="1:25" x14ac:dyDescent="0.25">
      <c r="A446" s="463"/>
      <c r="B446" s="506">
        <v>88309</v>
      </c>
      <c r="C446" s="507"/>
      <c r="D446" s="508"/>
      <c r="E446" s="509" t="str">
        <f>IF($C446="",IFERROR(VLOOKUP($B446,SERVIÇOS!$B:$G,2,0),IFERROR(VLOOKUP($B446,$D:$K,2,0),"")),IFERROR(VLOOKUP($C446,INSUMOS!$A:$D,2,0),IFERROR(VLOOKUP($C446,COTAÇÕES!$B:$I,2,0),(VLOOKUP($C446,'INSUMO SINAPI - SP'!$C:$F,2,0)))))</f>
        <v>PEDREIRO COM ENCARGOS COMPLEMENTARES</v>
      </c>
      <c r="F446" s="510" t="str">
        <f>IF($C446="",IFERROR(VLOOKUP($B446,SERVIÇOS!$B:$G,3,0),IFERROR(VLOOKUP($B446,$D:$K,3,0),"")),IFERROR(VLOOKUP($C446,INSUMOS!$A:$D,3,0),IFERROR(VLOOKUP($C446,COTAÇÕES!$B:$I,3,0),(VLOOKUP($C446,'INSUMO SINAPI - SP'!$C:$F,3,0)))))</f>
        <v>H</v>
      </c>
      <c r="G446" s="511">
        <v>3.2047875000000001</v>
      </c>
      <c r="H446" s="512">
        <f>IF($C446="",IFERROR(VLOOKUP($B446,SERVIÇOS!$B:$G,6,0),IFERROR(VLOOKUP($B446,$D:$K,8,0),"")),IFERROR(VLOOKUP($C446,INSUMOS!$A:$D,4,0),IFERROR(VLOOKUP($C446,COTAÇÕES!$B:$I,7,0),(VLOOKUP($C446,'INSUMO SINAPI - SP'!$C:$F,4,0)))))</f>
        <v>36.909999999999997</v>
      </c>
      <c r="I446" s="513">
        <f>TRUNC(IF($C446="",IFERROR(VLOOKUP($B446,SERVIÇOS!$B:$G,4,0),IFERROR(VLOOKUP($B446,$D:$K,6,0),)),IFERROR(VLOOKUP($C446,INSUMOS!$A:$D,4,0),IFERROR(VLOOKUP($C446,COTAÇÕES!$B:$I,7,0),(VLOOKUP($C446,'INSUMO SINAPI - SP'!$C:$F,4,0)))))*$G446,2)</f>
        <v>29.74</v>
      </c>
      <c r="J446" s="513">
        <f>TRUNC(IF($C446="",IFERROR(VLOOKUP($B446,SERVIÇOS!$B:$G,5,0),IFERROR(VLOOKUP($B446,$D:$K,7,0),)),0)*$G446,2)</f>
        <v>88.54</v>
      </c>
      <c r="K446" s="514">
        <f t="shared" si="18"/>
        <v>118.28</v>
      </c>
      <c r="L446" s="515"/>
      <c r="M446" s="471"/>
      <c r="N446" s="516"/>
      <c r="Q446" s="472"/>
      <c r="R446" s="472"/>
      <c r="S446" s="472"/>
      <c r="T446" s="472"/>
      <c r="U446" s="472"/>
      <c r="V446" s="472"/>
      <c r="W446" s="472"/>
      <c r="X446" s="472"/>
      <c r="Y446" s="472"/>
    </row>
    <row r="447" spans="1:25" x14ac:dyDescent="0.25">
      <c r="A447" s="463"/>
      <c r="B447" s="506">
        <v>88316</v>
      </c>
      <c r="C447" s="507"/>
      <c r="D447" s="508"/>
      <c r="E447" s="509" t="str">
        <f>IF($C447="",IFERROR(VLOOKUP($B447,SERVIÇOS!$B:$G,2,0),IFERROR(VLOOKUP($B447,$D:$K,2,0),"")),IFERROR(VLOOKUP($C447,INSUMOS!$A:$D,2,0),IFERROR(VLOOKUP($C447,COTAÇÕES!$B:$I,2,0),(VLOOKUP($C447,'INSUMO SINAPI - SP'!$C:$F,2,0)))))</f>
        <v>SERVENTE COM ENCARGOS COMPLEMENTARES</v>
      </c>
      <c r="F447" s="510" t="str">
        <f>IF($C447="",IFERROR(VLOOKUP($B447,SERVIÇOS!$B:$G,3,0),IFERROR(VLOOKUP($B447,$D:$K,3,0),"")),IFERROR(VLOOKUP($C447,INSUMOS!$A:$D,3,0),IFERROR(VLOOKUP($C447,COTAÇÕES!$B:$I,3,0),(VLOOKUP($C447,'INSUMO SINAPI - SP'!$C:$F,3,0)))))</f>
        <v>H</v>
      </c>
      <c r="G447" s="511">
        <v>3.2047875000000001</v>
      </c>
      <c r="H447" s="512">
        <f>IF($C447="",IFERROR(VLOOKUP($B447,SERVIÇOS!$B:$G,6,0),IFERROR(VLOOKUP($B447,$D:$K,8,0),"")),IFERROR(VLOOKUP($C447,INSUMOS!$A:$D,4,0),IFERROR(VLOOKUP($C447,COTAÇÕES!$B:$I,7,0),(VLOOKUP($C447,'INSUMO SINAPI - SP'!$C:$F,4,0)))))</f>
        <v>28.71</v>
      </c>
      <c r="I447" s="513">
        <f>TRUNC(IF($C447="",IFERROR(VLOOKUP($B447,SERVIÇOS!$B:$G,4,0),IFERROR(VLOOKUP($B447,$D:$K,6,0),)),IFERROR(VLOOKUP($C447,INSUMOS!$A:$D,4,0),IFERROR(VLOOKUP($C447,COTAÇÕES!$B:$I,7,0),(VLOOKUP($C447,'INSUMO SINAPI - SP'!$C:$F,4,0)))))*$G447,2)</f>
        <v>29.48</v>
      </c>
      <c r="J447" s="513">
        <f>TRUNC(IF($C447="",IFERROR(VLOOKUP($B447,SERVIÇOS!$B:$G,5,0),IFERROR(VLOOKUP($B447,$D:$K,7,0),)),0)*$G447,2)</f>
        <v>62.52</v>
      </c>
      <c r="K447" s="514">
        <f t="shared" si="18"/>
        <v>92</v>
      </c>
      <c r="L447" s="515"/>
      <c r="M447" s="471"/>
      <c r="N447" s="516"/>
      <c r="Q447" s="472"/>
      <c r="R447" s="472"/>
      <c r="S447" s="472"/>
      <c r="T447" s="472"/>
      <c r="U447" s="472"/>
      <c r="V447" s="472"/>
      <c r="W447" s="472"/>
      <c r="X447" s="472"/>
      <c r="Y447" s="472"/>
    </row>
    <row r="448" spans="1:25" ht="24" x14ac:dyDescent="0.25">
      <c r="A448" s="463"/>
      <c r="B448" s="506">
        <v>94970</v>
      </c>
      <c r="C448" s="507"/>
      <c r="D448" s="508"/>
      <c r="E448" s="509" t="str">
        <f>IF($C448="",IFERROR(VLOOKUP($B448,SERVIÇOS!$B:$G,2,0),IFERROR(VLOOKUP($B448,$D:$K,2,0),"")),IFERROR(VLOOKUP($C448,INSUMOS!$A:$D,2,0),IFERROR(VLOOKUP($C448,COTAÇÕES!$B:$I,2,0),(VLOOKUP($C448,'INSUMO SINAPI - SP'!$C:$F,2,0)))))</f>
        <v>CONCRETO FCK = 20MPA, TRAÇO 1:2,7:3 (EM MASSA SECA DE CIMENTO/ AREIA MÉDIA/ BRITA 1) - PREPARO MECÂNICO COM BETONEIRA 600 L. AF_05/2021</v>
      </c>
      <c r="F448" s="510" t="str">
        <f>IF($C448="",IFERROR(VLOOKUP($B448,SERVIÇOS!$B:$G,3,0),IFERROR(VLOOKUP($B448,$D:$K,3,0),"")),IFERROR(VLOOKUP($C448,INSUMOS!$A:$D,3,0),IFERROR(VLOOKUP($C448,COTAÇÕES!$B:$I,3,0),(VLOOKUP($C448,'INSUMO SINAPI - SP'!$C:$F,3,0)))))</f>
        <v>M3</v>
      </c>
      <c r="G448" s="511">
        <v>4.7137499999999999E-2</v>
      </c>
      <c r="H448" s="512">
        <f>IF($C448="",IFERROR(VLOOKUP($B448,SERVIÇOS!$B:$G,6,0),IFERROR(VLOOKUP($B448,$D:$K,8,0),"")),IFERROR(VLOOKUP($C448,INSUMOS!$A:$D,4,0),IFERROR(VLOOKUP($C448,COTAÇÕES!$B:$I,7,0),(VLOOKUP($C448,'INSUMO SINAPI - SP'!$C:$F,4,0)))))</f>
        <v>453.74</v>
      </c>
      <c r="I448" s="513">
        <f>TRUNC(IF($C448="",IFERROR(VLOOKUP($B448,SERVIÇOS!$B:$G,4,0),IFERROR(VLOOKUP($B448,$D:$K,6,0),)),IFERROR(VLOOKUP($C448,INSUMOS!$A:$D,4,0),IFERROR(VLOOKUP($C448,COTAÇÕES!$B:$I,7,0),(VLOOKUP($C448,'INSUMO SINAPI - SP'!$C:$F,4,0)))))*$G448,2)</f>
        <v>18.02</v>
      </c>
      <c r="J448" s="513">
        <f>TRUNC(IF($C448="",IFERROR(VLOOKUP($B448,SERVIÇOS!$B:$G,5,0),IFERROR(VLOOKUP($B448,$D:$K,7,0),)),0)*$G448,2)</f>
        <v>3.36</v>
      </c>
      <c r="K448" s="514">
        <f t="shared" si="18"/>
        <v>21.38</v>
      </c>
      <c r="L448" s="515"/>
      <c r="M448" s="471"/>
      <c r="N448" s="516"/>
      <c r="Q448" s="472"/>
      <c r="R448" s="472"/>
      <c r="S448" s="472"/>
      <c r="T448" s="472"/>
      <c r="U448" s="472"/>
      <c r="V448" s="472"/>
      <c r="W448" s="472"/>
      <c r="X448" s="472"/>
      <c r="Y448" s="472"/>
    </row>
    <row r="449" spans="1:25" ht="24" x14ac:dyDescent="0.25">
      <c r="A449" s="463"/>
      <c r="B449" s="506">
        <v>97734</v>
      </c>
      <c r="C449" s="507"/>
      <c r="D449" s="508"/>
      <c r="E449" s="509" t="str">
        <f>IF($C449="",IFERROR(VLOOKUP($B449,SERVIÇOS!$B:$G,2,0),IFERROR(VLOOKUP($B449,$D:$K,2,0),"")),IFERROR(VLOOKUP($C449,INSUMOS!$A:$D,2,0),IFERROR(VLOOKUP($C449,COTAÇÕES!$B:$I,2,0),(VLOOKUP($C449,'INSUMO SINAPI - SP'!$C:$F,2,0)))))</f>
        <v>PEÇA RETANGULAR PRÉ-MOLDADA, VOLUME DE CONCRETO DE 10 A 30 LITROS, TAXA DE AÇO APROXIMADA DE 30KG/M³. AF_03/2024</v>
      </c>
      <c r="F449" s="510" t="str">
        <f>IF($C449="",IFERROR(VLOOKUP($B449,SERVIÇOS!$B:$G,3,0),IFERROR(VLOOKUP($B449,$D:$K,3,0),"")),IFERROR(VLOOKUP($C449,INSUMOS!$A:$D,3,0),IFERROR(VLOOKUP($C449,COTAÇÕES!$B:$I,3,0),(VLOOKUP($C449,'INSUMO SINAPI - SP'!$C:$F,3,0)))))</f>
        <v>M3</v>
      </c>
      <c r="G449" s="511">
        <v>2.835E-2</v>
      </c>
      <c r="H449" s="512">
        <f>IF($C449="",IFERROR(VLOOKUP($B449,SERVIÇOS!$B:$G,6,0),IFERROR(VLOOKUP($B449,$D:$K,8,0),"")),IFERROR(VLOOKUP($C449,INSUMOS!$A:$D,4,0),IFERROR(VLOOKUP($C449,COTAÇÕES!$B:$I,7,0),(VLOOKUP($C449,'INSUMO SINAPI - SP'!$C:$F,4,0)))))</f>
        <v>3522.06</v>
      </c>
      <c r="I449" s="513">
        <f>TRUNC(IF($C449="",IFERROR(VLOOKUP($B449,SERVIÇOS!$B:$G,4,0),IFERROR(VLOOKUP($B449,$D:$K,6,0),)),IFERROR(VLOOKUP($C449,INSUMOS!$A:$D,4,0),IFERROR(VLOOKUP($C449,COTAÇÕES!$B:$I,7,0),(VLOOKUP($C449,'INSUMO SINAPI - SP'!$C:$F,4,0)))))*$G449,2)</f>
        <v>44.75</v>
      </c>
      <c r="J449" s="513">
        <f>TRUNC(IF($C449="",IFERROR(VLOOKUP($B449,SERVIÇOS!$B:$G,5,0),IFERROR(VLOOKUP($B449,$D:$K,7,0),)),0)*$G449,2)</f>
        <v>55.09</v>
      </c>
      <c r="K449" s="514">
        <f t="shared" si="18"/>
        <v>99.84</v>
      </c>
      <c r="L449" s="515"/>
      <c r="M449" s="471"/>
      <c r="N449" s="516"/>
      <c r="Q449" s="472"/>
      <c r="R449" s="472"/>
      <c r="S449" s="472"/>
      <c r="T449" s="472"/>
      <c r="U449" s="472"/>
      <c r="V449" s="472"/>
      <c r="W449" s="472"/>
      <c r="X449" s="472"/>
      <c r="Y449" s="472"/>
    </row>
    <row r="450" spans="1:25" ht="24" x14ac:dyDescent="0.25">
      <c r="A450" s="463"/>
      <c r="B450" s="506">
        <v>100475</v>
      </c>
      <c r="C450" s="507"/>
      <c r="D450" s="508"/>
      <c r="E450" s="509" t="str">
        <f>IF($C450="",IFERROR(VLOOKUP($B450,SERVIÇOS!$B:$G,2,0),IFERROR(VLOOKUP($B450,$D:$K,2,0),"")),IFERROR(VLOOKUP($C450,INSUMOS!$A:$D,2,0),IFERROR(VLOOKUP($C450,COTAÇÕES!$B:$I,2,0),(VLOOKUP($C450,'INSUMO SINAPI - SP'!$C:$F,2,0)))))</f>
        <v>ARGAMASSA TRAÇO 1:3 (EM VOLUME DE CIMENTO E AREIA MÉDIA ÚMIDA) COM ADIÇÃO DE IMPERMEABILIZANTE, PREPARO MECÂNICO COM BETONEIRA 400 L. AF_08/2019</v>
      </c>
      <c r="F450" s="510" t="str">
        <f>IF($C450="",IFERROR(VLOOKUP($B450,SERVIÇOS!$B:$G,3,0),IFERROR(VLOOKUP($B450,$D:$K,3,0),"")),IFERROR(VLOOKUP($C450,INSUMOS!$A:$D,3,0),IFERROR(VLOOKUP($C450,COTAÇÕES!$B:$I,3,0),(VLOOKUP($C450,'INSUMO SINAPI - SP'!$C:$F,3,0)))))</f>
        <v>M3</v>
      </c>
      <c r="G450" s="511">
        <v>5.7937500000000003E-2</v>
      </c>
      <c r="H450" s="512">
        <f>IF($C450="",IFERROR(VLOOKUP($B450,SERVIÇOS!$B:$G,6,0),IFERROR(VLOOKUP($B450,$D:$K,8,0),"")),IFERROR(VLOOKUP($C450,INSUMOS!$A:$D,4,0),IFERROR(VLOOKUP($C450,COTAÇÕES!$B:$I,7,0),(VLOOKUP($C450,'INSUMO SINAPI - SP'!$C:$F,4,0)))))</f>
        <v>721.94</v>
      </c>
      <c r="I450" s="513">
        <f>TRUNC(IF($C450="",IFERROR(VLOOKUP($B450,SERVIÇOS!$B:$G,4,0),IFERROR(VLOOKUP($B450,$D:$K,6,0),)),IFERROR(VLOOKUP($C450,INSUMOS!$A:$D,4,0),IFERROR(VLOOKUP($C450,COTAÇÕES!$B:$I,7,0),(VLOOKUP($C450,'INSUMO SINAPI - SP'!$C:$F,4,0)))))*$G450,2)</f>
        <v>36.4</v>
      </c>
      <c r="J450" s="513">
        <f>TRUNC(IF($C450="",IFERROR(VLOOKUP($B450,SERVIÇOS!$B:$G,5,0),IFERROR(VLOOKUP($B450,$D:$K,7,0),)),0)*$G450,2)</f>
        <v>5.42</v>
      </c>
      <c r="K450" s="514">
        <f t="shared" si="18"/>
        <v>41.82</v>
      </c>
      <c r="L450" s="515"/>
      <c r="M450" s="471"/>
      <c r="N450" s="516"/>
      <c r="Q450" s="472"/>
      <c r="R450" s="472"/>
      <c r="S450" s="472"/>
      <c r="T450" s="472"/>
      <c r="U450" s="472"/>
      <c r="V450" s="472"/>
      <c r="W450" s="472"/>
      <c r="X450" s="472"/>
      <c r="Y450" s="472"/>
    </row>
    <row r="451" spans="1:25" ht="24" x14ac:dyDescent="0.25">
      <c r="A451" s="463"/>
      <c r="B451" s="506">
        <v>101616</v>
      </c>
      <c r="C451" s="507"/>
      <c r="D451" s="508"/>
      <c r="E451" s="509" t="str">
        <f>IF($C451="",IFERROR(VLOOKUP($B451,SERVIÇOS!$B:$G,2,0),IFERROR(VLOOKUP($B451,$D:$K,2,0),"")),IFERROR(VLOOKUP($C451,INSUMOS!$A:$D,2,0),IFERROR(VLOOKUP($C451,COTAÇÕES!$B:$I,2,0),(VLOOKUP($C451,'INSUMO SINAPI - SP'!$C:$F,2,0)))))</f>
        <v>PREPARO DE FUNDO DE VALA COM LARGURA MENOR QUE 1,5 M (ACERTO DO SOLO NATURAL). AF_08/2020</v>
      </c>
      <c r="F451" s="510" t="str">
        <f>IF($C451="",IFERROR(VLOOKUP($B451,SERVIÇOS!$B:$G,3,0),IFERROR(VLOOKUP($B451,$D:$K,3,0),"")),IFERROR(VLOOKUP($C451,INSUMOS!$A:$D,3,0),IFERROR(VLOOKUP($C451,COTAÇÕES!$B:$I,3,0),(VLOOKUP($C451,'INSUMO SINAPI - SP'!$C:$F,3,0)))))</f>
        <v>M2</v>
      </c>
      <c r="G451" s="511">
        <v>0.55125000000000002</v>
      </c>
      <c r="H451" s="512">
        <f>IF($C451="",IFERROR(VLOOKUP($B451,SERVIÇOS!$B:$G,6,0),IFERROR(VLOOKUP($B451,$D:$K,8,0),"")),IFERROR(VLOOKUP($C451,INSUMOS!$A:$D,4,0),IFERROR(VLOOKUP($C451,COTAÇÕES!$B:$I,7,0),(VLOOKUP($C451,'INSUMO SINAPI - SP'!$C:$F,4,0)))))</f>
        <v>8.42</v>
      </c>
      <c r="I451" s="513">
        <f>TRUNC(IF($C451="",IFERROR(VLOOKUP($B451,SERVIÇOS!$B:$G,4,0),IFERROR(VLOOKUP($B451,$D:$K,6,0),)),IFERROR(VLOOKUP($C451,INSUMOS!$A:$D,4,0),IFERROR(VLOOKUP($C451,COTAÇÕES!$B:$I,7,0),(VLOOKUP($C451,'INSUMO SINAPI - SP'!$C:$F,4,0)))))*$G451,2)</f>
        <v>1.35</v>
      </c>
      <c r="J451" s="513">
        <f>TRUNC(IF($C451="",IFERROR(VLOOKUP($B451,SERVIÇOS!$B:$G,5,0),IFERROR(VLOOKUP($B451,$D:$K,7,0),)),0)*$G451,2)</f>
        <v>3.28</v>
      </c>
      <c r="K451" s="514">
        <f t="shared" si="18"/>
        <v>4.63</v>
      </c>
      <c r="L451" s="515"/>
      <c r="M451" s="471"/>
      <c r="N451" s="516"/>
      <c r="Q451" s="472"/>
      <c r="R451" s="472"/>
      <c r="S451" s="472"/>
      <c r="T451" s="472"/>
      <c r="U451" s="472"/>
      <c r="V451" s="472"/>
      <c r="W451" s="472"/>
      <c r="X451" s="472"/>
      <c r="Y451" s="472"/>
    </row>
    <row r="452" spans="1:25" ht="36" x14ac:dyDescent="0.25">
      <c r="A452" s="463"/>
      <c r="B452" s="506">
        <v>5678</v>
      </c>
      <c r="C452" s="507"/>
      <c r="D452" s="508"/>
      <c r="E452" s="509" t="str">
        <f>IF($C452="",IFERROR(VLOOKUP($B452,SERVIÇOS!$B:$G,2,0),IFERROR(VLOOKUP($B452,$D:$K,2,0),"")),IFERROR(VLOOKUP($C452,INSUMOS!$A:$D,2,0),IFERROR(VLOOKUP($C452,COTAÇÕES!$B:$I,2,0),(VLOOKUP($C452,'INSUMO SINAPI - SP'!$C:$F,2,0)))))</f>
        <v>RETROESCAVADEIRA SOBRE RODAS COM CARREGADEIRA, TRAÇÃO 4X4, POTÊNCIA LÍQ. 88 HP, CAÇAMBA CARREG. CAP. MÍN. 1 M3, CAÇAMBA RETRO CAP. 0,26 M3, PESO OPERACIONAL MÍN. 6.674 KG, PROFUNDIDADE ESCAVAÇÃO MÁX. 4,37 M - CHP DIURNO. AF_06/2014</v>
      </c>
      <c r="F452" s="510" t="str">
        <f>IF($C452="",IFERROR(VLOOKUP($B452,SERVIÇOS!$B:$G,3,0),IFERROR(VLOOKUP($B452,$D:$K,3,0),"")),IFERROR(VLOOKUP($C452,INSUMOS!$A:$D,3,0),IFERROR(VLOOKUP($C452,COTAÇÕES!$B:$I,3,0),(VLOOKUP($C452,'INSUMO SINAPI - SP'!$C:$F,3,0)))))</f>
        <v>CHP</v>
      </c>
      <c r="G452" s="511">
        <v>5.0000000000000001E-3</v>
      </c>
      <c r="H452" s="512">
        <f>IF($C452="",IFERROR(VLOOKUP($B452,SERVIÇOS!$B:$G,6,0),IFERROR(VLOOKUP($B452,$D:$K,8,0),"")),IFERROR(VLOOKUP($C452,INSUMOS!$A:$D,4,0),IFERROR(VLOOKUP($C452,COTAÇÕES!$B:$I,7,0),(VLOOKUP($C452,'INSUMO SINAPI - SP'!$C:$F,4,0)))))</f>
        <v>164.49</v>
      </c>
      <c r="I452" s="513">
        <f>TRUNC(IF($C452="",IFERROR(VLOOKUP($B452,SERVIÇOS!$B:$G,4,0),IFERROR(VLOOKUP($B452,$D:$K,6,0),)),IFERROR(VLOOKUP($C452,INSUMOS!$A:$D,4,0),IFERROR(VLOOKUP($C452,COTAÇÕES!$B:$I,7,0),(VLOOKUP($C452,'INSUMO SINAPI - SP'!$C:$F,4,0)))))*$G452,2)</f>
        <v>0.68</v>
      </c>
      <c r="J452" s="513">
        <f>TRUNC(IF($C452="",IFERROR(VLOOKUP($B452,SERVIÇOS!$B:$G,5,0),IFERROR(VLOOKUP($B452,$D:$K,7,0),)),0)*$G452,2)</f>
        <v>0.14000000000000001</v>
      </c>
      <c r="K452" s="514">
        <f t="shared" si="18"/>
        <v>0.82000000000000006</v>
      </c>
      <c r="L452" s="515"/>
      <c r="M452" s="471"/>
      <c r="N452" s="516"/>
      <c r="Q452" s="472"/>
      <c r="R452" s="472"/>
      <c r="S452" s="472"/>
      <c r="T452" s="472"/>
      <c r="U452" s="472"/>
      <c r="V452" s="472"/>
      <c r="W452" s="472"/>
      <c r="X452" s="472"/>
      <c r="Y452" s="472"/>
    </row>
    <row r="453" spans="1:25" ht="36" x14ac:dyDescent="0.25">
      <c r="A453" s="463"/>
      <c r="B453" s="506">
        <v>5679</v>
      </c>
      <c r="C453" s="507"/>
      <c r="D453" s="508"/>
      <c r="E453" s="509" t="str">
        <f>IF($C453="",IFERROR(VLOOKUP($B453,SERVIÇOS!$B:$G,2,0),IFERROR(VLOOKUP($B453,$D:$K,2,0),"")),IFERROR(VLOOKUP($C453,INSUMOS!$A:$D,2,0),IFERROR(VLOOKUP($C453,COTAÇÕES!$B:$I,2,0),(VLOOKUP($C453,'INSUMO SINAPI - SP'!$C:$F,2,0)))))</f>
        <v>RETROESCAVADEIRA SOBRE RODAS COM CARREGADEIRA, TRAÇÃO 4X4, POTÊNCIA LÍQ. 88 HP, CAÇAMBA CARREG. CAP. MÍN. 1 M3, CAÇAMBA RETRO CAP. 0,26 M3, PESO OPERACIONAL MÍN. 6.674 KG, PROFUNDIDADE ESCAVAÇÃO MÁX. 4,37 M - CHI DIURNO. AF_06/2014</v>
      </c>
      <c r="F453" s="510" t="str">
        <f>IF($C453="",IFERROR(VLOOKUP($B453,SERVIÇOS!$B:$G,3,0),IFERROR(VLOOKUP($B453,$D:$K,3,0),"")),IFERROR(VLOOKUP($C453,INSUMOS!$A:$D,3,0),IFERROR(VLOOKUP($C453,COTAÇÕES!$B:$I,3,0),(VLOOKUP($C453,'INSUMO SINAPI - SP'!$C:$F,3,0)))))</f>
        <v>CHI</v>
      </c>
      <c r="G453" s="511">
        <v>1.4999999999999999E-2</v>
      </c>
      <c r="H453" s="512">
        <f>IF($C453="",IFERROR(VLOOKUP($B453,SERVIÇOS!$B:$G,6,0),IFERROR(VLOOKUP($B453,$D:$K,8,0),"")),IFERROR(VLOOKUP($C453,INSUMOS!$A:$D,4,0),IFERROR(VLOOKUP($C453,COTAÇÕES!$B:$I,7,0),(VLOOKUP($C453,'INSUMO SINAPI - SP'!$C:$F,4,0)))))</f>
        <v>73.569999999999993</v>
      </c>
      <c r="I453" s="513">
        <f>TRUNC(IF($C453="",IFERROR(VLOOKUP($B453,SERVIÇOS!$B:$G,4,0),IFERROR(VLOOKUP($B453,$D:$K,6,0),)),IFERROR(VLOOKUP($C453,INSUMOS!$A:$D,4,0),IFERROR(VLOOKUP($C453,COTAÇÕES!$B:$I,7,0),(VLOOKUP($C453,'INSUMO SINAPI - SP'!$C:$F,4,0)))))*$G453,2)</f>
        <v>0.68</v>
      </c>
      <c r="J453" s="513">
        <f>TRUNC(IF($C453="",IFERROR(VLOOKUP($B453,SERVIÇOS!$B:$G,5,0),IFERROR(VLOOKUP($B453,$D:$K,7,0),)),0)*$G453,2)</f>
        <v>0.42</v>
      </c>
      <c r="K453" s="514">
        <f t="shared" si="18"/>
        <v>1.1000000000000001</v>
      </c>
      <c r="L453" s="515"/>
      <c r="M453" s="471"/>
      <c r="N453" s="516"/>
      <c r="Q453" s="472"/>
      <c r="R453" s="472"/>
      <c r="S453" s="472"/>
      <c r="T453" s="472"/>
      <c r="U453" s="472"/>
      <c r="V453" s="472"/>
      <c r="W453" s="472"/>
      <c r="X453" s="472"/>
      <c r="Y453" s="472"/>
    </row>
    <row r="454" spans="1:25" x14ac:dyDescent="0.25">
      <c r="A454" s="463"/>
      <c r="B454" s="498"/>
      <c r="C454" s="498"/>
      <c r="D454" s="499" t="s">
        <v>12131</v>
      </c>
      <c r="E454" s="500" t="s">
        <v>12865</v>
      </c>
      <c r="F454" s="501" t="s">
        <v>580</v>
      </c>
      <c r="G454" s="502"/>
      <c r="H454" s="503"/>
      <c r="I454" s="504">
        <f>ROUND(SUM(I455:I459),2)</f>
        <v>189.79</v>
      </c>
      <c r="J454" s="504">
        <f>ROUND(SUM(J455:J459),2)</f>
        <v>206.05</v>
      </c>
      <c r="K454" s="504">
        <f>+J454+I454</f>
        <v>395.84000000000003</v>
      </c>
      <c r="L454" s="523"/>
      <c r="M454" s="471"/>
      <c r="N454" s="505"/>
      <c r="Q454" s="472"/>
      <c r="R454" s="472"/>
      <c r="S454" s="472"/>
      <c r="T454" s="472"/>
      <c r="U454" s="472"/>
      <c r="V454" s="472"/>
      <c r="W454" s="472"/>
      <c r="X454" s="472"/>
      <c r="Y454" s="472"/>
    </row>
    <row r="455" spans="1:25" x14ac:dyDescent="0.25">
      <c r="A455" s="463"/>
      <c r="B455" s="506">
        <v>93358</v>
      </c>
      <c r="C455" s="507"/>
      <c r="D455" s="508"/>
      <c r="E455" s="509" t="str">
        <f>IF($C455="",IFERROR(VLOOKUP($B455,SERVIÇOS!$B:$G,2,0),IFERROR(VLOOKUP($B455,$D:$K,2,0),"")),IFERROR(VLOOKUP($C455,INSUMOS!$A:$D,2,0),IFERROR(VLOOKUP($C455,COTAÇÕES!$B:$I,2,0),(VLOOKUP($C455,'INSUMO SINAPI - SP'!$C:$F,2,0)))))</f>
        <v>ESCAVAÇÃO MANUAL DE VALA. AF_09/2024</v>
      </c>
      <c r="F455" s="510" t="str">
        <f>IF($C455="",IFERROR(VLOOKUP($B455,SERVIÇOS!$B:$G,3,0),IFERROR(VLOOKUP($B455,$D:$K,3,0),"")),IFERROR(VLOOKUP($C455,INSUMOS!$A:$D,3,0),IFERROR(VLOOKUP($C455,COTAÇÕES!$B:$I,3,0),(VLOOKUP($C455,'INSUMO SINAPI - SP'!$C:$F,3,0)))))</f>
        <v>M3</v>
      </c>
      <c r="G455" s="511">
        <v>0.24</v>
      </c>
      <c r="H455" s="512">
        <f>IF($C455="",IFERROR(VLOOKUP($B455,SERVIÇOS!$B:$G,6,0),IFERROR(VLOOKUP($B455,$D:$K,8,0),"")),IFERROR(VLOOKUP($C455,INSUMOS!$A:$D,4,0),IFERROR(VLOOKUP($C455,COTAÇÕES!$B:$I,7,0),(VLOOKUP($C455,'INSUMO SINAPI - SP'!$C:$F,4,0)))))</f>
        <v>113.57</v>
      </c>
      <c r="I455" s="513">
        <f>TRUNC(IF($C455="",IFERROR(VLOOKUP($B455,SERVIÇOS!$B:$G,4,0),IFERROR(VLOOKUP($B455,$D:$K,6,0),)),IFERROR(VLOOKUP($C455,INSUMOS!$A:$D,4,0),IFERROR(VLOOKUP($C455,COTAÇÕES!$B:$I,7,0),(VLOOKUP($C455,'INSUMO SINAPI - SP'!$C:$F,4,0)))))*$G455,2)</f>
        <v>8.7200000000000006</v>
      </c>
      <c r="J455" s="513">
        <f>TRUNC(IF($C455="",IFERROR(VLOOKUP($B455,SERVIÇOS!$B:$G,5,0),IFERROR(VLOOKUP($B455,$D:$K,7,0),)),0)*$G455,2)</f>
        <v>18.52</v>
      </c>
      <c r="K455" s="514">
        <f>I455+J455</f>
        <v>27.240000000000002</v>
      </c>
      <c r="L455" s="515"/>
      <c r="M455" s="471"/>
      <c r="N455" s="516"/>
      <c r="Q455" s="472"/>
      <c r="R455" s="472"/>
      <c r="S455" s="472"/>
      <c r="T455" s="472"/>
      <c r="U455" s="472"/>
      <c r="V455" s="472"/>
      <c r="W455" s="472"/>
      <c r="X455" s="472"/>
      <c r="Y455" s="472"/>
    </row>
    <row r="456" spans="1:25" ht="24" x14ac:dyDescent="0.25">
      <c r="A456" s="463"/>
      <c r="B456" s="506">
        <v>94968</v>
      </c>
      <c r="C456" s="507"/>
      <c r="D456" s="508"/>
      <c r="E456" s="509" t="str">
        <f>IF($C456="",IFERROR(VLOOKUP($B456,SERVIÇOS!$B:$G,2,0),IFERROR(VLOOKUP($B456,$D:$K,2,0),"")),IFERROR(VLOOKUP($C456,INSUMOS!$A:$D,2,0),IFERROR(VLOOKUP($C456,COTAÇÕES!$B:$I,2,0),(VLOOKUP($C456,'INSUMO SINAPI - SP'!$C:$F,2,0)))))</f>
        <v>CONCRETO MAGRO PARA LASTRO, TRAÇO 1:4,5:4,5 (EM MASSA SECA DE CIMENTO/ AREIA MÉDIA/ BRITA 1) - PREPARO MECÂNICO COM BETONEIRA 600 L. AF_05/2021</v>
      </c>
      <c r="F456" s="510" t="str">
        <f>IF($C456="",IFERROR(VLOOKUP($B456,SERVIÇOS!$B:$G,3,0),IFERROR(VLOOKUP($B456,$D:$K,3,0),"")),IFERROR(VLOOKUP($C456,INSUMOS!$A:$D,3,0),IFERROR(VLOOKUP($C456,COTAÇÕES!$B:$I,3,0),(VLOOKUP($C456,'INSUMO SINAPI - SP'!$C:$F,3,0)))))</f>
        <v>M3</v>
      </c>
      <c r="G456" s="511">
        <v>2.4E-2</v>
      </c>
      <c r="H456" s="512">
        <f>IF($C456="",IFERROR(VLOOKUP($B456,SERVIÇOS!$B:$G,6,0),IFERROR(VLOOKUP($B456,$D:$K,8,0),"")),IFERROR(VLOOKUP($C456,INSUMOS!$A:$D,4,0),IFERROR(VLOOKUP($C456,COTAÇÕES!$B:$I,7,0),(VLOOKUP($C456,'INSUMO SINAPI - SP'!$C:$F,4,0)))))</f>
        <v>389.97</v>
      </c>
      <c r="I456" s="513">
        <f>TRUNC(IF($C456="",IFERROR(VLOOKUP($B456,SERVIÇOS!$B:$G,4,0),IFERROR(VLOOKUP($B456,$D:$K,6,0),)),IFERROR(VLOOKUP($C456,INSUMOS!$A:$D,4,0),IFERROR(VLOOKUP($C456,COTAÇÕES!$B:$I,7,0),(VLOOKUP($C456,'INSUMO SINAPI - SP'!$C:$F,4,0)))))*$G456,2)</f>
        <v>7.57</v>
      </c>
      <c r="J456" s="513">
        <f>TRUNC(IF($C456="",IFERROR(VLOOKUP($B456,SERVIÇOS!$B:$G,5,0),IFERROR(VLOOKUP($B456,$D:$K,7,0),)),0)*$G456,2)</f>
        <v>1.78</v>
      </c>
      <c r="K456" s="514">
        <f>I456+J456</f>
        <v>9.35</v>
      </c>
      <c r="L456" s="515"/>
      <c r="M456" s="471"/>
      <c r="N456" s="516"/>
      <c r="Q456" s="472"/>
      <c r="R456" s="472"/>
      <c r="S456" s="472"/>
      <c r="T456" s="472"/>
      <c r="U456" s="472"/>
      <c r="V456" s="472"/>
      <c r="W456" s="472"/>
      <c r="X456" s="472"/>
      <c r="Y456" s="472"/>
    </row>
    <row r="457" spans="1:25" ht="24" x14ac:dyDescent="0.25">
      <c r="A457" s="463"/>
      <c r="B457" s="506">
        <v>101159</v>
      </c>
      <c r="C457" s="507"/>
      <c r="D457" s="508"/>
      <c r="E457" s="509" t="str">
        <f>IF($C457="",IFERROR(VLOOKUP($B457,SERVIÇOS!$B:$G,2,0),IFERROR(VLOOKUP($B457,$D:$K,2,0),"")),IFERROR(VLOOKUP($C457,INSUMOS!$A:$D,2,0),IFERROR(VLOOKUP($C457,COTAÇÕES!$B:$I,2,0),(VLOOKUP($C457,'INSUMO SINAPI - SP'!$C:$F,2,0)))))</f>
        <v>ALVENARIA DE VEDAÇÃO DE BLOCOS CERÂMICOS MACIÇOS DE 5X10X20CM (ESPESSURA 10CM) E ARGAMASSA DE ASSENTAMENTO COM PREPARO EM BETONEIRA. AF_05/2020</v>
      </c>
      <c r="F457" s="510" t="str">
        <f>IF($C457="",IFERROR(VLOOKUP($B457,SERVIÇOS!$B:$G,3,0),IFERROR(VLOOKUP($B457,$D:$K,3,0),"")),IFERROR(VLOOKUP($C457,INSUMOS!$A:$D,3,0),IFERROR(VLOOKUP($C457,COTAÇÕES!$B:$I,3,0),(VLOOKUP($C457,'INSUMO SINAPI - SP'!$C:$F,3,0)))))</f>
        <v>M2</v>
      </c>
      <c r="G457" s="511">
        <v>1.1200000000000001</v>
      </c>
      <c r="H457" s="512">
        <f>IF($C457="",IFERROR(VLOOKUP($B457,SERVIÇOS!$B:$G,6,0),IFERROR(VLOOKUP($B457,$D:$K,8,0),"")),IFERROR(VLOOKUP($C457,INSUMOS!$A:$D,4,0),IFERROR(VLOOKUP($C457,COTAÇÕES!$B:$I,7,0),(VLOOKUP($C457,'INSUMO SINAPI - SP'!$C:$F,4,0)))))</f>
        <v>154.91999999999999</v>
      </c>
      <c r="I457" s="513">
        <f>TRUNC(IF($C457="",IFERROR(VLOOKUP($B457,SERVIÇOS!$B:$G,4,0),IFERROR(VLOOKUP($B457,$D:$K,6,0),)),IFERROR(VLOOKUP($C457,INSUMOS!$A:$D,4,0),IFERROR(VLOOKUP($C457,COTAÇÕES!$B:$I,7,0),(VLOOKUP($C457,'INSUMO SINAPI - SP'!$C:$F,4,0)))))*$G457,2)</f>
        <v>88.79</v>
      </c>
      <c r="J457" s="513">
        <f>TRUNC(IF($C457="",IFERROR(VLOOKUP($B457,SERVIÇOS!$B:$G,5,0),IFERROR(VLOOKUP($B457,$D:$K,7,0),)),0)*$G457,2)</f>
        <v>84.71</v>
      </c>
      <c r="K457" s="514">
        <f>I457+J457</f>
        <v>173.5</v>
      </c>
      <c r="L457" s="515"/>
      <c r="M457" s="471"/>
      <c r="N457" s="516"/>
      <c r="Q457" s="472"/>
      <c r="R457" s="472"/>
      <c r="S457" s="472"/>
      <c r="T457" s="472"/>
      <c r="U457" s="472"/>
      <c r="V457" s="472"/>
      <c r="W457" s="472"/>
      <c r="X457" s="472"/>
      <c r="Y457" s="472"/>
    </row>
    <row r="458" spans="1:25" ht="36" x14ac:dyDescent="0.25">
      <c r="A458" s="463"/>
      <c r="B458" s="506">
        <v>87775</v>
      </c>
      <c r="C458" s="507"/>
      <c r="D458" s="508"/>
      <c r="E458" s="509" t="str">
        <f>IF($C458="",IFERROR(VLOOKUP($B458,SERVIÇOS!$B:$G,2,0),IFERROR(VLOOKUP($B458,$D:$K,2,0),"")),IFERROR(VLOOKUP($C458,INSUMOS!$A:$D,2,0),IFERROR(VLOOKUP($C458,COTAÇÕES!$B:$I,2,0),(VLOOKUP($C458,'INSUMO SINAPI - SP'!$C:$F,2,0)))))</f>
        <v>EMBOÇO OU MASSA ÚNICA EM ARGAMASSA TRAÇO 1:2:8, PREPARO MECÂNICO COM BETONEIRA 400 L, APLICADA MANUALMENTE EM PANOS DE FACHADA COM PRESENÇA DE VÃOS, ESPESSURA DE 25 MM. AF_08/2022</v>
      </c>
      <c r="F458" s="510" t="str">
        <f>IF($C458="",IFERROR(VLOOKUP($B458,SERVIÇOS!$B:$G,3,0),IFERROR(VLOOKUP($B458,$D:$K,3,0),"")),IFERROR(VLOOKUP($C458,INSUMOS!$A:$D,3,0),IFERROR(VLOOKUP($C458,COTAÇÕES!$B:$I,3,0),(VLOOKUP($C458,'INSUMO SINAPI - SP'!$C:$F,3,0)))))</f>
        <v>M2</v>
      </c>
      <c r="G458" s="511">
        <v>0.64</v>
      </c>
      <c r="H458" s="512">
        <f>IF($C458="",IFERROR(VLOOKUP($B458,SERVIÇOS!$B:$G,6,0),IFERROR(VLOOKUP($B458,$D:$K,8,0),"")),IFERROR(VLOOKUP($C458,INSUMOS!$A:$D,4,0),IFERROR(VLOOKUP($C458,COTAÇÕES!$B:$I,7,0),(VLOOKUP($C458,'INSUMO SINAPI - SP'!$C:$F,4,0)))))</f>
        <v>65</v>
      </c>
      <c r="I458" s="513">
        <f>TRUNC(IF($C458="",IFERROR(VLOOKUP($B458,SERVIÇOS!$B:$G,4,0),IFERROR(VLOOKUP($B458,$D:$K,6,0),)),IFERROR(VLOOKUP($C458,INSUMOS!$A:$D,4,0),IFERROR(VLOOKUP($C458,COTAÇÕES!$B:$I,7,0),(VLOOKUP($C458,'INSUMO SINAPI - SP'!$C:$F,4,0)))))*$G458,2)</f>
        <v>18.86</v>
      </c>
      <c r="J458" s="513">
        <f>TRUNC(IF($C458="",IFERROR(VLOOKUP($B458,SERVIÇOS!$B:$G,5,0),IFERROR(VLOOKUP($B458,$D:$K,7,0),)),0)*$G458,2)</f>
        <v>22.73</v>
      </c>
      <c r="K458" s="514">
        <f>I458+J458</f>
        <v>41.59</v>
      </c>
      <c r="L458" s="515"/>
      <c r="M458" s="471"/>
      <c r="N458" s="516"/>
      <c r="Q458" s="472"/>
      <c r="R458" s="472"/>
      <c r="S458" s="472"/>
      <c r="T458" s="472"/>
      <c r="U458" s="472"/>
      <c r="V458" s="472"/>
      <c r="W458" s="472"/>
      <c r="X458" s="472"/>
      <c r="Y458" s="472"/>
    </row>
    <row r="459" spans="1:25" x14ac:dyDescent="0.25">
      <c r="A459" s="463"/>
      <c r="B459" s="506" t="s">
        <v>12840</v>
      </c>
      <c r="C459" s="507"/>
      <c r="D459" s="508"/>
      <c r="E459" s="509" t="str">
        <f>IF($C459="",IFERROR(VLOOKUP($B459,SERVIÇOS!$B:$G,2,0),IFERROR(VLOOKUP($B459,$D:$K,2,0),"")),IFERROR(VLOOKUP($C459,INSUMOS!$A:$D,2,0),IFERROR(VLOOKUP($C459,COTAÇÕES!$B:$I,2,0),(VLOOKUP($C459,'INSUMO SINAPI - SP'!$C:$F,2,0)))))</f>
        <v>TAMPA DE CONCRETO ARMADO ESP=5CM PARA CAIXAS</v>
      </c>
      <c r="F459" s="510" t="str">
        <f>IF($C459="",IFERROR(VLOOKUP($B459,SERVIÇOS!$B:$G,3,0),IFERROR(VLOOKUP($B459,$D:$K,3,0),"")),IFERROR(VLOOKUP($C459,INSUMOS!$A:$D,3,0),IFERROR(VLOOKUP($C459,COTAÇÕES!$B:$I,3,0),(VLOOKUP($C459,'INSUMO SINAPI - SP'!$C:$F,3,0)))))</f>
        <v>M2</v>
      </c>
      <c r="G459" s="511">
        <v>0.48</v>
      </c>
      <c r="H459" s="512">
        <f>IF($C459="",IFERROR(VLOOKUP($B459,SERVIÇOS!$B:$G,6,0),IFERROR(VLOOKUP($B459,$D:$K,8,0),"")),IFERROR(VLOOKUP($C459,INSUMOS!$A:$D,4,0),IFERROR(VLOOKUP($C459,COTAÇÕES!$B:$I,7,0),(VLOOKUP($C459,'INSUMO SINAPI - SP'!$C:$F,4,0)))))</f>
        <v>300.34999999999997</v>
      </c>
      <c r="I459" s="513">
        <f>TRUNC(IF($C459="",IFERROR(VLOOKUP($B459,SERVIÇOS!$B:$G,4,0),IFERROR(VLOOKUP($B459,$D:$K,6,0),)),IFERROR(VLOOKUP($C459,INSUMOS!$A:$D,4,0),IFERROR(VLOOKUP($C459,COTAÇÕES!$B:$I,7,0),(VLOOKUP($C459,'INSUMO SINAPI - SP'!$C:$F,4,0)))))*$G459,2)</f>
        <v>65.849999999999994</v>
      </c>
      <c r="J459" s="513">
        <f>TRUNC(IF($C459="",IFERROR(VLOOKUP($B459,SERVIÇOS!$B:$G,5,0),IFERROR(VLOOKUP($B459,$D:$K,7,0),)),0)*$G459,2)</f>
        <v>78.31</v>
      </c>
      <c r="K459" s="514">
        <f>I459+J459</f>
        <v>144.16</v>
      </c>
      <c r="L459" s="515"/>
      <c r="M459" s="471"/>
      <c r="N459" s="516"/>
      <c r="Q459" s="472"/>
      <c r="R459" s="472"/>
      <c r="S459" s="472"/>
      <c r="T459" s="472"/>
      <c r="U459" s="472"/>
      <c r="V459" s="472"/>
      <c r="W459" s="472"/>
      <c r="X459" s="472"/>
      <c r="Y459" s="472"/>
    </row>
    <row r="460" spans="1:25" ht="24" x14ac:dyDescent="0.25">
      <c r="A460" s="463"/>
      <c r="B460" s="498"/>
      <c r="C460" s="498"/>
      <c r="D460" s="499" t="s">
        <v>12132</v>
      </c>
      <c r="E460" s="500" t="s">
        <v>12866</v>
      </c>
      <c r="F460" s="501" t="s">
        <v>580</v>
      </c>
      <c r="G460" s="502"/>
      <c r="H460" s="503"/>
      <c r="I460" s="504">
        <f>ROUND(SUM(I461:I480),2)</f>
        <v>464.89</v>
      </c>
      <c r="J460" s="504">
        <f>ROUND(SUM(J461:J480),2)</f>
        <v>440.44</v>
      </c>
      <c r="K460" s="504">
        <f>+J460+I460</f>
        <v>905.32999999999993</v>
      </c>
      <c r="L460" s="523"/>
      <c r="M460" s="471"/>
      <c r="N460" s="505"/>
      <c r="Q460" s="472"/>
      <c r="R460" s="472"/>
      <c r="S460" s="472"/>
      <c r="T460" s="472"/>
      <c r="U460" s="472"/>
      <c r="V460" s="472"/>
      <c r="W460" s="472"/>
      <c r="X460" s="472"/>
      <c r="Y460" s="472"/>
    </row>
    <row r="461" spans="1:25" x14ac:dyDescent="0.25">
      <c r="A461" s="463"/>
      <c r="B461" s="506">
        <v>93358</v>
      </c>
      <c r="C461" s="507"/>
      <c r="D461" s="508"/>
      <c r="E461" s="509" t="str">
        <f>IF($C461="",IFERROR(VLOOKUP($B461,SERVIÇOS!$B:$G,2,0),IFERROR(VLOOKUP($B461,$D:$K,2,0),"")),IFERROR(VLOOKUP($C461,INSUMOS!$A:$D,2,0),IFERROR(VLOOKUP($C461,COTAÇÕES!$B:$I,2,0),(VLOOKUP($C461,'INSUMO SINAPI - SP'!$C:$F,2,0)))))</f>
        <v>ESCAVAÇÃO MANUAL DE VALA. AF_09/2024</v>
      </c>
      <c r="F461" s="510" t="str">
        <f>IF($C461="",IFERROR(VLOOKUP($B461,SERVIÇOS!$B:$G,3,0),IFERROR(VLOOKUP($B461,$D:$K,3,0),"")),IFERROR(VLOOKUP($C461,INSUMOS!$A:$D,3,0),IFERROR(VLOOKUP($C461,COTAÇÕES!$B:$I,3,0),(VLOOKUP($C461,'INSUMO SINAPI - SP'!$C:$F,3,0)))))</f>
        <v>M3</v>
      </c>
      <c r="G461" s="511">
        <v>0.89100000000000001</v>
      </c>
      <c r="H461" s="512">
        <f>IF($C461="",IFERROR(VLOOKUP($B461,SERVIÇOS!$B:$G,6,0),IFERROR(VLOOKUP($B461,$D:$K,8,0),"")),IFERROR(VLOOKUP($C461,INSUMOS!$A:$D,4,0),IFERROR(VLOOKUP($C461,COTAÇÕES!$B:$I,7,0),(VLOOKUP($C461,'INSUMO SINAPI - SP'!$C:$F,4,0)))))</f>
        <v>113.57</v>
      </c>
      <c r="I461" s="513">
        <f>TRUNC(IF($C461="",IFERROR(VLOOKUP($B461,SERVIÇOS!$B:$G,4,0),IFERROR(VLOOKUP($B461,$D:$K,6,0),)),IFERROR(VLOOKUP($C461,INSUMOS!$A:$D,4,0),IFERROR(VLOOKUP($C461,COTAÇÕES!$B:$I,7,0),(VLOOKUP($C461,'INSUMO SINAPI - SP'!$C:$F,4,0)))))*$G461,2)</f>
        <v>32.4</v>
      </c>
      <c r="J461" s="513">
        <f>TRUNC(IF($C461="",IFERROR(VLOOKUP($B461,SERVIÇOS!$B:$G,5,0),IFERROR(VLOOKUP($B461,$D:$K,7,0),)),0)*$G461,2)</f>
        <v>68.78</v>
      </c>
      <c r="K461" s="514">
        <f t="shared" ref="K461:K480" si="19">I461+J461</f>
        <v>101.18</v>
      </c>
      <c r="L461" s="515"/>
      <c r="M461" s="471"/>
      <c r="N461" s="516"/>
      <c r="Q461" s="472"/>
      <c r="R461" s="472"/>
      <c r="S461" s="472"/>
      <c r="T461" s="472"/>
      <c r="U461" s="472"/>
      <c r="V461" s="472"/>
      <c r="W461" s="472"/>
      <c r="X461" s="472"/>
      <c r="Y461" s="472"/>
    </row>
    <row r="462" spans="1:25" ht="24" x14ac:dyDescent="0.25">
      <c r="A462" s="463"/>
      <c r="B462" s="506">
        <v>94968</v>
      </c>
      <c r="C462" s="507"/>
      <c r="D462" s="508"/>
      <c r="E462" s="509" t="str">
        <f>IF($C462="",IFERROR(VLOOKUP($B462,SERVIÇOS!$B:$G,2,0),IFERROR(VLOOKUP($B462,$D:$K,2,0),"")),IFERROR(VLOOKUP($C462,INSUMOS!$A:$D,2,0),IFERROR(VLOOKUP($C462,COTAÇÕES!$B:$I,2,0),(VLOOKUP($C462,'INSUMO SINAPI - SP'!$C:$F,2,0)))))</f>
        <v>CONCRETO MAGRO PARA LASTRO, TRAÇO 1:4,5:4,5 (EM MASSA SECA DE CIMENTO/ AREIA MÉDIA/ BRITA 1) - PREPARO MECÂNICO COM BETONEIRA 600 L. AF_05/2021</v>
      </c>
      <c r="F462" s="510" t="str">
        <f>IF($C462="",IFERROR(VLOOKUP($B462,SERVIÇOS!$B:$G,3,0),IFERROR(VLOOKUP($B462,$D:$K,3,0),"")),IFERROR(VLOOKUP($C462,INSUMOS!$A:$D,3,0),IFERROR(VLOOKUP($C462,COTAÇÕES!$B:$I,3,0),(VLOOKUP($C462,'INSUMO SINAPI - SP'!$C:$F,3,0)))))</f>
        <v>M3</v>
      </c>
      <c r="G462" s="511">
        <v>4.0500000000000001E-2</v>
      </c>
      <c r="H462" s="512">
        <f>IF($C462="",IFERROR(VLOOKUP($B462,SERVIÇOS!$B:$G,6,0),IFERROR(VLOOKUP($B462,$D:$K,8,0),"")),IFERROR(VLOOKUP($C462,INSUMOS!$A:$D,4,0),IFERROR(VLOOKUP($C462,COTAÇÕES!$B:$I,7,0),(VLOOKUP($C462,'INSUMO SINAPI - SP'!$C:$F,4,0)))))</f>
        <v>389.97</v>
      </c>
      <c r="I462" s="513">
        <f>TRUNC(IF($C462="",IFERROR(VLOOKUP($B462,SERVIÇOS!$B:$G,4,0),IFERROR(VLOOKUP($B462,$D:$K,6,0),)),IFERROR(VLOOKUP($C462,INSUMOS!$A:$D,4,0),IFERROR(VLOOKUP($C462,COTAÇÕES!$B:$I,7,0),(VLOOKUP($C462,'INSUMO SINAPI - SP'!$C:$F,4,0)))))*$G462,2)</f>
        <v>12.78</v>
      </c>
      <c r="J462" s="513">
        <f>TRUNC(IF($C462="",IFERROR(VLOOKUP($B462,SERVIÇOS!$B:$G,5,0),IFERROR(VLOOKUP($B462,$D:$K,7,0),)),0)*$G462,2)</f>
        <v>3</v>
      </c>
      <c r="K462" s="514">
        <f t="shared" si="19"/>
        <v>15.78</v>
      </c>
      <c r="L462" s="515"/>
      <c r="M462" s="471"/>
      <c r="N462" s="516"/>
      <c r="Q462" s="472"/>
      <c r="R462" s="472"/>
      <c r="S462" s="472"/>
      <c r="T462" s="472"/>
      <c r="U462" s="472"/>
      <c r="V462" s="472"/>
      <c r="W462" s="472"/>
      <c r="X462" s="472"/>
      <c r="Y462" s="472"/>
    </row>
    <row r="463" spans="1:25" ht="24" x14ac:dyDescent="0.25">
      <c r="A463" s="463"/>
      <c r="B463" s="506">
        <v>101159</v>
      </c>
      <c r="C463" s="507"/>
      <c r="D463" s="508"/>
      <c r="E463" s="509" t="str">
        <f>IF($C463="",IFERROR(VLOOKUP($B463,SERVIÇOS!$B:$G,2,0),IFERROR(VLOOKUP($B463,$D:$K,2,0),"")),IFERROR(VLOOKUP($C463,INSUMOS!$A:$D,2,0),IFERROR(VLOOKUP($C463,COTAÇÕES!$B:$I,2,0),(VLOOKUP($C463,'INSUMO SINAPI - SP'!$C:$F,2,0)))))</f>
        <v>ALVENARIA DE VEDAÇÃO DE BLOCOS CERÂMICOS MACIÇOS DE 5X10X20CM (ESPESSURA 10CM) E ARGAMASSA DE ASSENTAMENTO COM PREPARO EM BETONEIRA. AF_05/2020</v>
      </c>
      <c r="F463" s="510" t="str">
        <f>IF($C463="",IFERROR(VLOOKUP($B463,SERVIÇOS!$B:$G,3,0),IFERROR(VLOOKUP($B463,$D:$K,3,0),"")),IFERROR(VLOOKUP($C463,INSUMOS!$A:$D,3,0),IFERROR(VLOOKUP($C463,COTAÇÕES!$B:$I,3,0),(VLOOKUP($C463,'INSUMO SINAPI - SP'!$C:$F,3,0)))))</f>
        <v>M2</v>
      </c>
      <c r="G463" s="511">
        <v>3</v>
      </c>
      <c r="H463" s="512">
        <f>IF($C463="",IFERROR(VLOOKUP($B463,SERVIÇOS!$B:$G,6,0),IFERROR(VLOOKUP($B463,$D:$K,8,0),"")),IFERROR(VLOOKUP($C463,INSUMOS!$A:$D,4,0),IFERROR(VLOOKUP($C463,COTAÇÕES!$B:$I,7,0),(VLOOKUP($C463,'INSUMO SINAPI - SP'!$C:$F,4,0)))))</f>
        <v>154.91999999999999</v>
      </c>
      <c r="I463" s="513">
        <f>TRUNC(IF($C463="",IFERROR(VLOOKUP($B463,SERVIÇOS!$B:$G,4,0),IFERROR(VLOOKUP($B463,$D:$K,6,0),)),IFERROR(VLOOKUP($C463,INSUMOS!$A:$D,4,0),IFERROR(VLOOKUP($C463,COTAÇÕES!$B:$I,7,0),(VLOOKUP($C463,'INSUMO SINAPI - SP'!$C:$F,4,0)))))*$G463,2)</f>
        <v>237.84</v>
      </c>
      <c r="J463" s="513">
        <f>TRUNC(IF($C463="",IFERROR(VLOOKUP($B463,SERVIÇOS!$B:$G,5,0),IFERROR(VLOOKUP($B463,$D:$K,7,0),)),0)*$G463,2)</f>
        <v>226.92</v>
      </c>
      <c r="K463" s="514">
        <f t="shared" si="19"/>
        <v>464.76</v>
      </c>
      <c r="L463" s="515"/>
      <c r="M463" s="471"/>
      <c r="N463" s="516"/>
      <c r="Q463" s="472"/>
      <c r="R463" s="472"/>
      <c r="S463" s="472"/>
      <c r="T463" s="472"/>
      <c r="U463" s="472"/>
      <c r="V463" s="472"/>
      <c r="W463" s="472"/>
      <c r="X463" s="472"/>
      <c r="Y463" s="472"/>
    </row>
    <row r="464" spans="1:25" ht="36" x14ac:dyDescent="0.25">
      <c r="A464" s="463"/>
      <c r="B464" s="506">
        <v>87775</v>
      </c>
      <c r="C464" s="507"/>
      <c r="D464" s="508"/>
      <c r="E464" s="509" t="str">
        <f>IF($C464="",IFERROR(VLOOKUP($B464,SERVIÇOS!$B:$G,2,0),IFERROR(VLOOKUP($B464,$D:$K,2,0),"")),IFERROR(VLOOKUP($C464,INSUMOS!$A:$D,2,0),IFERROR(VLOOKUP($C464,COTAÇÕES!$B:$I,2,0),(VLOOKUP($C464,'INSUMO SINAPI - SP'!$C:$F,2,0)))))</f>
        <v>EMBOÇO OU MASSA ÚNICA EM ARGAMASSA TRAÇO 1:2:8, PREPARO MECÂNICO COM BETONEIRA 400 L, APLICADA MANUALMENTE EM PANOS DE FACHADA COM PRESENÇA DE VÃOS, ESPESSURA DE 25 MM. AF_08/2022</v>
      </c>
      <c r="F464" s="510" t="str">
        <f>IF($C464="",IFERROR(VLOOKUP($B464,SERVIÇOS!$B:$G,3,0),IFERROR(VLOOKUP($B464,$D:$K,3,0),"")),IFERROR(VLOOKUP($C464,INSUMOS!$A:$D,3,0),IFERROR(VLOOKUP($C464,COTAÇÕES!$B:$I,3,0),(VLOOKUP($C464,'INSUMO SINAPI - SP'!$C:$F,3,0)))))</f>
        <v>M2</v>
      </c>
      <c r="G464" s="511">
        <v>2.4</v>
      </c>
      <c r="H464" s="512">
        <f>IF($C464="",IFERROR(VLOOKUP($B464,SERVIÇOS!$B:$G,6,0),IFERROR(VLOOKUP($B464,$D:$K,8,0),"")),IFERROR(VLOOKUP($C464,INSUMOS!$A:$D,4,0),IFERROR(VLOOKUP($C464,COTAÇÕES!$B:$I,7,0),(VLOOKUP($C464,'INSUMO SINAPI - SP'!$C:$F,4,0)))))</f>
        <v>65</v>
      </c>
      <c r="I464" s="513">
        <f>TRUNC(IF($C464="",IFERROR(VLOOKUP($B464,SERVIÇOS!$B:$G,4,0),IFERROR(VLOOKUP($B464,$D:$K,6,0),)),IFERROR(VLOOKUP($C464,INSUMOS!$A:$D,4,0),IFERROR(VLOOKUP($C464,COTAÇÕES!$B:$I,7,0),(VLOOKUP($C464,'INSUMO SINAPI - SP'!$C:$F,4,0)))))*$G464,2)</f>
        <v>70.75</v>
      </c>
      <c r="J464" s="513">
        <f>TRUNC(IF($C464="",IFERROR(VLOOKUP($B464,SERVIÇOS!$B:$G,5,0),IFERROR(VLOOKUP($B464,$D:$K,7,0),)),0)*$G464,2)</f>
        <v>85.24</v>
      </c>
      <c r="K464" s="514">
        <f t="shared" si="19"/>
        <v>155.99</v>
      </c>
      <c r="L464" s="515"/>
      <c r="M464" s="471"/>
      <c r="N464" s="516"/>
      <c r="Q464" s="472"/>
      <c r="R464" s="472"/>
      <c r="S464" s="472"/>
      <c r="T464" s="472"/>
      <c r="U464" s="472"/>
      <c r="V464" s="472"/>
      <c r="W464" s="472"/>
      <c r="X464" s="472"/>
      <c r="Y464" s="472"/>
    </row>
    <row r="465" spans="1:25" x14ac:dyDescent="0.25">
      <c r="A465" s="463"/>
      <c r="B465" s="506">
        <v>88309</v>
      </c>
      <c r="C465" s="507"/>
      <c r="D465" s="508"/>
      <c r="E465" s="509" t="str">
        <f>IF($C465="",IFERROR(VLOOKUP($B465,SERVIÇOS!$B:$G,2,0),IFERROR(VLOOKUP($B465,$D:$K,2,0),"")),IFERROR(VLOOKUP($C465,INSUMOS!$A:$D,2,0),IFERROR(VLOOKUP($C465,COTAÇÕES!$B:$I,2,0),(VLOOKUP($C465,'INSUMO SINAPI - SP'!$C:$F,2,0)))))</f>
        <v>PEDREIRO COM ENCARGOS COMPLEMENTARES</v>
      </c>
      <c r="F465" s="510" t="str">
        <f>IF($C465="",IFERROR(VLOOKUP($B465,SERVIÇOS!$B:$G,3,0),IFERROR(VLOOKUP($B465,$D:$K,3,0),"")),IFERROR(VLOOKUP($C465,INSUMOS!$A:$D,3,0),IFERROR(VLOOKUP($C465,COTAÇÕES!$B:$I,3,0),(VLOOKUP($C465,'INSUMO SINAPI - SP'!$C:$F,3,0)))))</f>
        <v>H</v>
      </c>
      <c r="G465" s="511">
        <v>1</v>
      </c>
      <c r="H465" s="512">
        <f>IF($C465="",IFERROR(VLOOKUP($B465,SERVIÇOS!$B:$G,6,0),IFERROR(VLOOKUP($B465,$D:$K,8,0),"")),IFERROR(VLOOKUP($C465,INSUMOS!$A:$D,4,0),IFERROR(VLOOKUP($C465,COTAÇÕES!$B:$I,7,0),(VLOOKUP($C465,'INSUMO SINAPI - SP'!$C:$F,4,0)))))</f>
        <v>36.909999999999997</v>
      </c>
      <c r="I465" s="513">
        <f>TRUNC(IF($C465="",IFERROR(VLOOKUP($B465,SERVIÇOS!$B:$G,4,0),IFERROR(VLOOKUP($B465,$D:$K,6,0),)),IFERROR(VLOOKUP($C465,INSUMOS!$A:$D,4,0),IFERROR(VLOOKUP($C465,COTAÇÕES!$B:$I,7,0),(VLOOKUP($C465,'INSUMO SINAPI - SP'!$C:$F,4,0)))))*$G465,2)</f>
        <v>9.2799999999999994</v>
      </c>
      <c r="J465" s="513">
        <f>TRUNC(IF($C465="",IFERROR(VLOOKUP($B465,SERVIÇOS!$B:$G,5,0),IFERROR(VLOOKUP($B465,$D:$K,7,0),)),0)*$G465,2)</f>
        <v>27.63</v>
      </c>
      <c r="K465" s="514">
        <f t="shared" si="19"/>
        <v>36.909999999999997</v>
      </c>
      <c r="L465" s="515"/>
      <c r="M465" s="471"/>
      <c r="N465" s="516"/>
      <c r="Q465" s="472"/>
      <c r="R465" s="472"/>
      <c r="S465" s="472"/>
      <c r="T465" s="472"/>
      <c r="U465" s="472"/>
      <c r="V465" s="472"/>
      <c r="W465" s="472"/>
      <c r="X465" s="472"/>
      <c r="Y465" s="472"/>
    </row>
    <row r="466" spans="1:25" x14ac:dyDescent="0.25">
      <c r="A466" s="463"/>
      <c r="B466" s="506">
        <v>88316</v>
      </c>
      <c r="C466" s="507"/>
      <c r="D466" s="508"/>
      <c r="E466" s="509" t="str">
        <f>IF($C466="",IFERROR(VLOOKUP($B466,SERVIÇOS!$B:$G,2,0),IFERROR(VLOOKUP($B466,$D:$K,2,0),"")),IFERROR(VLOOKUP($C466,INSUMOS!$A:$D,2,0),IFERROR(VLOOKUP($C466,COTAÇÕES!$B:$I,2,0),(VLOOKUP($C466,'INSUMO SINAPI - SP'!$C:$F,2,0)))))</f>
        <v>SERVENTE COM ENCARGOS COMPLEMENTARES</v>
      </c>
      <c r="F466" s="510" t="str">
        <f>IF($C466="",IFERROR(VLOOKUP($B466,SERVIÇOS!$B:$G,3,0),IFERROR(VLOOKUP($B466,$D:$K,3,0),"")),IFERROR(VLOOKUP($C466,INSUMOS!$A:$D,3,0),IFERROR(VLOOKUP($C466,COTAÇÕES!$B:$I,3,0),(VLOOKUP($C466,'INSUMO SINAPI - SP'!$C:$F,3,0)))))</f>
        <v>H</v>
      </c>
      <c r="G466" s="511">
        <v>1</v>
      </c>
      <c r="H466" s="512">
        <f>IF($C466="",IFERROR(VLOOKUP($B466,SERVIÇOS!$B:$G,6,0),IFERROR(VLOOKUP($B466,$D:$K,8,0),"")),IFERROR(VLOOKUP($C466,INSUMOS!$A:$D,4,0),IFERROR(VLOOKUP($C466,COTAÇÕES!$B:$I,7,0),(VLOOKUP($C466,'INSUMO SINAPI - SP'!$C:$F,4,0)))))</f>
        <v>28.71</v>
      </c>
      <c r="I466" s="513">
        <f>TRUNC(IF($C466="",IFERROR(VLOOKUP($B466,SERVIÇOS!$B:$G,4,0),IFERROR(VLOOKUP($B466,$D:$K,6,0),)),IFERROR(VLOOKUP($C466,INSUMOS!$A:$D,4,0),IFERROR(VLOOKUP($C466,COTAÇÕES!$B:$I,7,0),(VLOOKUP($C466,'INSUMO SINAPI - SP'!$C:$F,4,0)))))*$G466,2)</f>
        <v>9.1999999999999993</v>
      </c>
      <c r="J466" s="513">
        <f>TRUNC(IF($C466="",IFERROR(VLOOKUP($B466,SERVIÇOS!$B:$G,5,0),IFERROR(VLOOKUP($B466,$D:$K,7,0),)),0)*$G466,2)</f>
        <v>19.510000000000002</v>
      </c>
      <c r="K466" s="514">
        <f t="shared" si="19"/>
        <v>28.71</v>
      </c>
      <c r="L466" s="515"/>
      <c r="M466" s="471"/>
      <c r="N466" s="516"/>
      <c r="Q466" s="472"/>
      <c r="R466" s="472"/>
      <c r="S466" s="472"/>
      <c r="T466" s="472"/>
      <c r="U466" s="472"/>
      <c r="V466" s="472"/>
      <c r="W466" s="472"/>
      <c r="X466" s="472"/>
      <c r="Y466" s="472"/>
    </row>
    <row r="467" spans="1:25" x14ac:dyDescent="0.25">
      <c r="A467" s="463"/>
      <c r="B467" s="506"/>
      <c r="C467" s="507">
        <v>370</v>
      </c>
      <c r="D467" s="508"/>
      <c r="E467" s="509" t="str">
        <f>IF($C467="",IFERROR(VLOOKUP($B467,SERVIÇOS!$B:$G,2,0),IFERROR(VLOOKUP($B467,$D:$K,2,0),"")),IFERROR(VLOOKUP($C467,INSUMOS!$A:$D,2,0),IFERROR(VLOOKUP($C467,COTAÇÕES!$B:$I,2,0),(VLOOKUP($C467,'INSUMO SINAPI - SP'!$C:$F,2,0)))))</f>
        <v>AREIA MEDIA - POSTO JAZIDA/FORNECEDOR (RETIRADO NA JAZIDA, SEM TRANSPORTE)</v>
      </c>
      <c r="F467" s="510" t="str">
        <f>IF($C467="",IFERROR(VLOOKUP($B467,SERVIÇOS!$B:$G,3,0),IFERROR(VLOOKUP($B467,$D:$K,3,0),"")),IFERROR(VLOOKUP($C467,INSUMOS!$A:$D,3,0),IFERROR(VLOOKUP($C467,COTAÇÕES!$B:$I,3,0),(VLOOKUP($C467,'INSUMO SINAPI - SP'!$C:$F,3,0)))))</f>
        <v>M3</v>
      </c>
      <c r="G467" s="511">
        <v>0.02</v>
      </c>
      <c r="H467" s="512">
        <f>IF($C467="",IFERROR(VLOOKUP($B467,SERVIÇOS!$B:$G,6,0),IFERROR(VLOOKUP($B467,$D:$K,8,0),"")),IFERROR(VLOOKUP($C467,INSUMOS!$A:$D,4,0),IFERROR(VLOOKUP($C467,COTAÇÕES!$B:$I,7,0),(VLOOKUP($C467,'INSUMO SINAPI - SP'!$C:$F,4,0)))))</f>
        <v>119.08</v>
      </c>
      <c r="I467" s="513">
        <f>TRUNC(IF($C467="",IFERROR(VLOOKUP($B467,SERVIÇOS!$B:$G,4,0),IFERROR(VLOOKUP($B467,$D:$K,6,0),)),IFERROR(VLOOKUP($C467,INSUMOS!$A:$D,4,0),IFERROR(VLOOKUP($C467,COTAÇÕES!$B:$I,7,0),(VLOOKUP($C467,'INSUMO SINAPI - SP'!$C:$F,4,0)))))*$G467,2)</f>
        <v>2.38</v>
      </c>
      <c r="J467" s="513">
        <f>TRUNC(IF($C467="",IFERROR(VLOOKUP($B467,SERVIÇOS!$B:$G,5,0),IFERROR(VLOOKUP($B467,$D:$K,7,0),)),0)*$G467,2)</f>
        <v>0</v>
      </c>
      <c r="K467" s="514">
        <f t="shared" si="19"/>
        <v>2.38</v>
      </c>
      <c r="L467" s="517"/>
      <c r="M467" s="471"/>
      <c r="N467" s="516"/>
      <c r="Q467" s="472"/>
      <c r="R467" s="472"/>
      <c r="S467" s="472"/>
      <c r="T467" s="472"/>
      <c r="U467" s="472"/>
      <c r="V467" s="472"/>
      <c r="W467" s="472"/>
      <c r="X467" s="472"/>
      <c r="Y467" s="472"/>
    </row>
    <row r="468" spans="1:25" x14ac:dyDescent="0.25">
      <c r="A468" s="463"/>
      <c r="B468" s="506"/>
      <c r="C468" s="507">
        <v>1379</v>
      </c>
      <c r="D468" s="508"/>
      <c r="E468" s="509" t="str">
        <f>IF($C468="",IFERROR(VLOOKUP($B468,SERVIÇOS!$B:$G,2,0),IFERROR(VLOOKUP($B468,$D:$K,2,0),"")),IFERROR(VLOOKUP($C468,INSUMOS!$A:$D,2,0),IFERROR(VLOOKUP($C468,COTAÇÕES!$B:$I,2,0),(VLOOKUP($C468,'INSUMO SINAPI - SP'!$C:$F,2,0)))))</f>
        <v>CIMENTO PORTLAND COMPOSTO CP II-32</v>
      </c>
      <c r="F468" s="510" t="str">
        <f>IF($C468="",IFERROR(VLOOKUP($B468,SERVIÇOS!$B:$G,3,0),IFERROR(VLOOKUP($B468,$D:$K,3,0),"")),IFERROR(VLOOKUP($C468,INSUMOS!$A:$D,3,0),IFERROR(VLOOKUP($C468,COTAÇÕES!$B:$I,3,0),(VLOOKUP($C468,'INSUMO SINAPI - SP'!$C:$F,3,0)))))</f>
        <v>KG</v>
      </c>
      <c r="G468" s="511">
        <v>7</v>
      </c>
      <c r="H468" s="512">
        <f>IF($C468="",IFERROR(VLOOKUP($B468,SERVIÇOS!$B:$G,6,0),IFERROR(VLOOKUP($B468,$D:$K,8,0),"")),IFERROR(VLOOKUP($C468,INSUMOS!$A:$D,4,0),IFERROR(VLOOKUP($C468,COTAÇÕES!$B:$I,7,0),(VLOOKUP($C468,'INSUMO SINAPI - SP'!$C:$F,4,0)))))</f>
        <v>0.68</v>
      </c>
      <c r="I468" s="513">
        <f>TRUNC(IF($C468="",IFERROR(VLOOKUP($B468,SERVIÇOS!$B:$G,4,0),IFERROR(VLOOKUP($B468,$D:$K,6,0),)),IFERROR(VLOOKUP($C468,INSUMOS!$A:$D,4,0),IFERROR(VLOOKUP($C468,COTAÇÕES!$B:$I,7,0),(VLOOKUP($C468,'INSUMO SINAPI - SP'!$C:$F,4,0)))))*$G468,2)</f>
        <v>4.76</v>
      </c>
      <c r="J468" s="513">
        <f>TRUNC(IF($C468="",IFERROR(VLOOKUP($B468,SERVIÇOS!$B:$G,5,0),IFERROR(VLOOKUP($B468,$D:$K,7,0),)),0)*$G468,2)</f>
        <v>0</v>
      </c>
      <c r="K468" s="514">
        <f t="shared" si="19"/>
        <v>4.76</v>
      </c>
      <c r="L468" s="517"/>
      <c r="M468" s="471"/>
      <c r="N468" s="516"/>
      <c r="Q468" s="472"/>
      <c r="R468" s="472"/>
      <c r="S468" s="472"/>
      <c r="T468" s="472"/>
      <c r="U468" s="472"/>
      <c r="V468" s="472"/>
      <c r="W468" s="472"/>
      <c r="X468" s="472"/>
      <c r="Y468" s="472"/>
    </row>
    <row r="469" spans="1:25" x14ac:dyDescent="0.25">
      <c r="A469" s="463"/>
      <c r="B469" s="506"/>
      <c r="C469" s="507">
        <v>11236</v>
      </c>
      <c r="D469" s="508"/>
      <c r="E469" s="509" t="str">
        <f>IF($C469="",IFERROR(VLOOKUP($B469,SERVIÇOS!$B:$G,2,0),IFERROR(VLOOKUP($B469,$D:$K,2,0),"")),IFERROR(VLOOKUP($C469,INSUMOS!$A:$D,2,0),IFERROR(VLOOKUP($C469,COTAÇÕES!$B:$I,2,0),(VLOOKUP($C469,'INSUMO SINAPI - SP'!$C:$F,2,0)))))</f>
        <v>GRELHA FOFO SIMPLES COM REQUADRO, CARGA MAXIMA 1,5 T, 200 X 1000 MM, E= *15* MM</v>
      </c>
      <c r="F469" s="510" t="str">
        <f>IF($C469="",IFERROR(VLOOKUP($B469,SERVIÇOS!$B:$G,3,0),IFERROR(VLOOKUP($B469,$D:$K,3,0),"")),IFERROR(VLOOKUP($C469,INSUMOS!$A:$D,3,0),IFERROR(VLOOKUP($C469,COTAÇÕES!$B:$I,3,0),(VLOOKUP($C469,'INSUMO SINAPI - SP'!$C:$F,3,0)))))</f>
        <v>UN</v>
      </c>
      <c r="G469" s="511">
        <v>0.2</v>
      </c>
      <c r="H469" s="512">
        <f>IF($C469="",IFERROR(VLOOKUP($B469,SERVIÇOS!$B:$G,6,0),IFERROR(VLOOKUP($B469,$D:$K,8,0),"")),IFERROR(VLOOKUP($C469,INSUMOS!$A:$D,4,0),IFERROR(VLOOKUP($C469,COTAÇÕES!$B:$I,7,0),(VLOOKUP($C469,'INSUMO SINAPI - SP'!$C:$F,4,0)))))</f>
        <v>290.33999999999997</v>
      </c>
      <c r="I469" s="513">
        <f>TRUNC(IF($C469="",IFERROR(VLOOKUP($B469,SERVIÇOS!$B:$G,4,0),IFERROR(VLOOKUP($B469,$D:$K,6,0),)),IFERROR(VLOOKUP($C469,INSUMOS!$A:$D,4,0),IFERROR(VLOOKUP($C469,COTAÇÕES!$B:$I,7,0),(VLOOKUP($C469,'INSUMO SINAPI - SP'!$C:$F,4,0)))))*$G469,2)</f>
        <v>58.06</v>
      </c>
      <c r="J469" s="513">
        <f>TRUNC(IF($C469="",IFERROR(VLOOKUP($B469,SERVIÇOS!$B:$G,5,0),IFERROR(VLOOKUP($B469,$D:$K,7,0),)),0)*$G469,2)</f>
        <v>0</v>
      </c>
      <c r="K469" s="514">
        <f t="shared" si="19"/>
        <v>58.06</v>
      </c>
      <c r="L469" s="517"/>
      <c r="M469" s="471"/>
      <c r="N469" s="516"/>
      <c r="Q469" s="472"/>
      <c r="R469" s="472"/>
      <c r="S469" s="472"/>
      <c r="T469" s="472"/>
      <c r="U469" s="472"/>
      <c r="V469" s="472"/>
      <c r="W469" s="472"/>
      <c r="X469" s="472"/>
      <c r="Y469" s="472"/>
    </row>
    <row r="470" spans="1:25" x14ac:dyDescent="0.25">
      <c r="A470" s="463"/>
      <c r="B470" s="506"/>
      <c r="C470" s="507">
        <v>43059</v>
      </c>
      <c r="D470" s="508"/>
      <c r="E470" s="509" t="str">
        <f>IF($C470="",IFERROR(VLOOKUP($B470,SERVIÇOS!$B:$G,2,0),IFERROR(VLOOKUP($B470,$D:$K,2,0),"")),IFERROR(VLOOKUP($C470,INSUMOS!$A:$D,2,0),IFERROR(VLOOKUP($C470,COTAÇÕES!$B:$I,2,0),(VLOOKUP($C470,'INSUMO SINAPI - SP'!$C:$F,2,0)))))</f>
        <v>ACO CA-60, 4,2 MM, OU 5,0 MM, OU 6,0 MM, OU 7,0 MM, VERGALHAO</v>
      </c>
      <c r="F470" s="510" t="str">
        <f>IF($C470="",IFERROR(VLOOKUP($B470,SERVIÇOS!$B:$G,3,0),IFERROR(VLOOKUP($B470,$D:$K,3,0),"")),IFERROR(VLOOKUP($C470,INSUMOS!$A:$D,3,0),IFERROR(VLOOKUP($C470,COTAÇÕES!$B:$I,3,0),(VLOOKUP($C470,'INSUMO SINAPI - SP'!$C:$F,3,0)))))</f>
        <v>KG</v>
      </c>
      <c r="G470" s="511">
        <v>1.44</v>
      </c>
      <c r="H470" s="512">
        <f>IF($C470="",IFERROR(VLOOKUP($B470,SERVIÇOS!$B:$G,6,0),IFERROR(VLOOKUP($B470,$D:$K,8,0),"")),IFERROR(VLOOKUP($C470,INSUMOS!$A:$D,4,0),IFERROR(VLOOKUP($C470,COTAÇÕES!$B:$I,7,0),(VLOOKUP($C470,'INSUMO SINAPI - SP'!$C:$F,4,0)))))</f>
        <v>7.31</v>
      </c>
      <c r="I470" s="513">
        <f>TRUNC(IF($C470="",IFERROR(VLOOKUP($B470,SERVIÇOS!$B:$G,4,0),IFERROR(VLOOKUP($B470,$D:$K,6,0),)),IFERROR(VLOOKUP($C470,INSUMOS!$A:$D,4,0),IFERROR(VLOOKUP($C470,COTAÇÕES!$B:$I,7,0),(VLOOKUP($C470,'INSUMO SINAPI - SP'!$C:$F,4,0)))))*$G470,2)</f>
        <v>10.52</v>
      </c>
      <c r="J470" s="513">
        <f>TRUNC(IF($C470="",IFERROR(VLOOKUP($B470,SERVIÇOS!$B:$G,5,0),IFERROR(VLOOKUP($B470,$D:$K,7,0),)),0)*$G470,2)</f>
        <v>0</v>
      </c>
      <c r="K470" s="514">
        <f t="shared" si="19"/>
        <v>10.52</v>
      </c>
      <c r="L470" s="517"/>
      <c r="M470" s="471"/>
      <c r="N470" s="516"/>
      <c r="Q470" s="472"/>
      <c r="R470" s="472"/>
      <c r="S470" s="472"/>
      <c r="T470" s="472"/>
      <c r="U470" s="472"/>
      <c r="V470" s="472"/>
      <c r="W470" s="472"/>
      <c r="X470" s="472"/>
      <c r="Y470" s="472"/>
    </row>
    <row r="471" spans="1:25" x14ac:dyDescent="0.25">
      <c r="A471" s="463"/>
      <c r="B471" s="506"/>
      <c r="C471" s="507">
        <v>345</v>
      </c>
      <c r="D471" s="508"/>
      <c r="E471" s="509" t="str">
        <f>IF($C471="",IFERROR(VLOOKUP($B471,SERVIÇOS!$B:$G,2,0),IFERROR(VLOOKUP($B471,$D:$K,2,0),"")),IFERROR(VLOOKUP($C471,INSUMOS!$A:$D,2,0),IFERROR(VLOOKUP($C471,COTAÇÕES!$B:$I,2,0),(VLOOKUP($C471,'INSUMO SINAPI - SP'!$C:$F,2,0)))))</f>
        <v>ARAME GALVANIZADO 18 BWG, D = 1,24MM (0,009 KG/M)</v>
      </c>
      <c r="F471" s="510" t="str">
        <f>IF($C471="",IFERROR(VLOOKUP($B471,SERVIÇOS!$B:$G,3,0),IFERROR(VLOOKUP($B471,$D:$K,3,0),"")),IFERROR(VLOOKUP($C471,INSUMOS!$A:$D,3,0),IFERROR(VLOOKUP($C471,COTAÇÕES!$B:$I,3,0),(VLOOKUP($C471,'INSUMO SINAPI - SP'!$C:$F,3,0)))))</f>
        <v>KG</v>
      </c>
      <c r="G471" s="511">
        <v>2.9000000000000001E-2</v>
      </c>
      <c r="H471" s="512">
        <f>IF($C471="",IFERROR(VLOOKUP($B471,SERVIÇOS!$B:$G,6,0),IFERROR(VLOOKUP($B471,$D:$K,8,0),"")),IFERROR(VLOOKUP($C471,INSUMOS!$A:$D,4,0),IFERROR(VLOOKUP($C471,COTAÇÕES!$B:$I,7,0),(VLOOKUP($C471,'INSUMO SINAPI - SP'!$C:$F,4,0)))))</f>
        <v>37.729999999999997</v>
      </c>
      <c r="I471" s="513">
        <f>TRUNC(IF($C471="",IFERROR(VLOOKUP($B471,SERVIÇOS!$B:$G,4,0),IFERROR(VLOOKUP($B471,$D:$K,6,0),)),IFERROR(VLOOKUP($C471,INSUMOS!$A:$D,4,0),IFERROR(VLOOKUP($C471,COTAÇÕES!$B:$I,7,0),(VLOOKUP($C471,'INSUMO SINAPI - SP'!$C:$F,4,0)))))*$G471,2)</f>
        <v>1.0900000000000001</v>
      </c>
      <c r="J471" s="513">
        <f>TRUNC(IF($C471="",IFERROR(VLOOKUP($B471,SERVIÇOS!$B:$G,5,0),IFERROR(VLOOKUP($B471,$D:$K,7,0),)),0)*$G471,2)</f>
        <v>0</v>
      </c>
      <c r="K471" s="514">
        <f t="shared" si="19"/>
        <v>1.0900000000000001</v>
      </c>
      <c r="L471" s="517"/>
      <c r="M471" s="471"/>
      <c r="N471" s="516"/>
      <c r="Q471" s="472"/>
      <c r="R471" s="472"/>
      <c r="S471" s="472"/>
      <c r="T471" s="472"/>
      <c r="U471" s="472"/>
      <c r="V471" s="472"/>
      <c r="W471" s="472"/>
      <c r="X471" s="472"/>
      <c r="Y471" s="472"/>
    </row>
    <row r="472" spans="1:25" x14ac:dyDescent="0.25">
      <c r="A472" s="463"/>
      <c r="B472" s="506"/>
      <c r="C472" s="507">
        <v>367</v>
      </c>
      <c r="D472" s="508"/>
      <c r="E472" s="509" t="str">
        <f>IF($C472="",IFERROR(VLOOKUP($B472,SERVIÇOS!$B:$G,2,0),IFERROR(VLOOKUP($B472,$D:$K,2,0),"")),IFERROR(VLOOKUP($C472,INSUMOS!$A:$D,2,0),IFERROR(VLOOKUP($C472,COTAÇÕES!$B:$I,2,0),(VLOOKUP($C472,'INSUMO SINAPI - SP'!$C:$F,2,0)))))</f>
        <v>AREIA GROSSA - POSTO JAZIDA/FORNECEDOR (RETIRADO NA JAZIDA, SEM TRANSPORTE)</v>
      </c>
      <c r="F472" s="510" t="str">
        <f>IF($C472="",IFERROR(VLOOKUP($B472,SERVIÇOS!$B:$G,3,0),IFERROR(VLOOKUP($B472,$D:$K,3,0),"")),IFERROR(VLOOKUP($C472,INSUMOS!$A:$D,3,0),IFERROR(VLOOKUP($C472,COTAÇÕES!$B:$I,3,0),(VLOOKUP($C472,'INSUMO SINAPI - SP'!$C:$F,3,0)))))</f>
        <v>M3</v>
      </c>
      <c r="G472" s="511">
        <v>1.6E-2</v>
      </c>
      <c r="H472" s="512">
        <f>IF($C472="",IFERROR(VLOOKUP($B472,SERVIÇOS!$B:$G,6,0),IFERROR(VLOOKUP($B472,$D:$K,8,0),"")),IFERROR(VLOOKUP($C472,INSUMOS!$A:$D,4,0),IFERROR(VLOOKUP($C472,COTAÇÕES!$B:$I,7,0),(VLOOKUP($C472,'INSUMO SINAPI - SP'!$C:$F,4,0)))))</f>
        <v>120.63</v>
      </c>
      <c r="I472" s="513">
        <f>TRUNC(IF($C472="",IFERROR(VLOOKUP($B472,SERVIÇOS!$B:$G,4,0),IFERROR(VLOOKUP($B472,$D:$K,6,0),)),IFERROR(VLOOKUP($C472,INSUMOS!$A:$D,4,0),IFERROR(VLOOKUP($C472,COTAÇÕES!$B:$I,7,0),(VLOOKUP($C472,'INSUMO SINAPI - SP'!$C:$F,4,0)))))*$G472,2)</f>
        <v>1.93</v>
      </c>
      <c r="J472" s="513">
        <f>TRUNC(IF($C472="",IFERROR(VLOOKUP($B472,SERVIÇOS!$B:$G,5,0),IFERROR(VLOOKUP($B472,$D:$K,7,0),)),0)*$G472,2)</f>
        <v>0</v>
      </c>
      <c r="K472" s="514">
        <f t="shared" si="19"/>
        <v>1.93</v>
      </c>
      <c r="L472" s="517"/>
      <c r="M472" s="471"/>
      <c r="N472" s="516"/>
      <c r="Q472" s="472"/>
      <c r="R472" s="472"/>
      <c r="S472" s="472"/>
      <c r="T472" s="472"/>
      <c r="U472" s="472"/>
      <c r="V472" s="472"/>
      <c r="W472" s="472"/>
      <c r="X472" s="472"/>
      <c r="Y472" s="472"/>
    </row>
    <row r="473" spans="1:25" x14ac:dyDescent="0.25">
      <c r="A473" s="463"/>
      <c r="B473" s="506"/>
      <c r="C473" s="507">
        <v>1379</v>
      </c>
      <c r="D473" s="508"/>
      <c r="E473" s="509" t="str">
        <f>IF($C473="",IFERROR(VLOOKUP($B473,SERVIÇOS!$B:$G,2,0),IFERROR(VLOOKUP($B473,$D:$K,2,0),"")),IFERROR(VLOOKUP($C473,INSUMOS!$A:$D,2,0),IFERROR(VLOOKUP($C473,COTAÇÕES!$B:$I,2,0),(VLOOKUP($C473,'INSUMO SINAPI - SP'!$C:$F,2,0)))))</f>
        <v>CIMENTO PORTLAND COMPOSTO CP II-32</v>
      </c>
      <c r="F473" s="510" t="str">
        <f>IF($C473="",IFERROR(VLOOKUP($B473,SERVIÇOS!$B:$G,3,0),IFERROR(VLOOKUP($B473,$D:$K,3,0),"")),IFERROR(VLOOKUP($C473,INSUMOS!$A:$D,3,0),IFERROR(VLOOKUP($C473,COTAÇÕES!$B:$I,3,0),(VLOOKUP($C473,'INSUMO SINAPI - SP'!$C:$F,3,0)))))</f>
        <v>KG</v>
      </c>
      <c r="G473" s="511">
        <v>5.54</v>
      </c>
      <c r="H473" s="512">
        <f>IF($C473="",IFERROR(VLOOKUP($B473,SERVIÇOS!$B:$G,6,0),IFERROR(VLOOKUP($B473,$D:$K,8,0),"")),IFERROR(VLOOKUP($C473,INSUMOS!$A:$D,4,0),IFERROR(VLOOKUP($C473,COTAÇÕES!$B:$I,7,0),(VLOOKUP($C473,'INSUMO SINAPI - SP'!$C:$F,4,0)))))</f>
        <v>0.68</v>
      </c>
      <c r="I473" s="513">
        <f>TRUNC(IF($C473="",IFERROR(VLOOKUP($B473,SERVIÇOS!$B:$G,4,0),IFERROR(VLOOKUP($B473,$D:$K,6,0),)),IFERROR(VLOOKUP($C473,INSUMOS!$A:$D,4,0),IFERROR(VLOOKUP($C473,COTAÇÕES!$B:$I,7,0),(VLOOKUP($C473,'INSUMO SINAPI - SP'!$C:$F,4,0)))))*$G473,2)</f>
        <v>3.76</v>
      </c>
      <c r="J473" s="513">
        <f>TRUNC(IF($C473="",IFERROR(VLOOKUP($B473,SERVIÇOS!$B:$G,5,0),IFERROR(VLOOKUP($B473,$D:$K,7,0),)),0)*$G473,2)</f>
        <v>0</v>
      </c>
      <c r="K473" s="514">
        <f t="shared" si="19"/>
        <v>3.76</v>
      </c>
      <c r="L473" s="517"/>
      <c r="M473" s="471"/>
      <c r="N473" s="516"/>
      <c r="Q473" s="472"/>
      <c r="R473" s="472"/>
      <c r="S473" s="472"/>
      <c r="T473" s="472"/>
      <c r="U473" s="472"/>
      <c r="V473" s="472"/>
      <c r="W473" s="472"/>
      <c r="X473" s="472"/>
      <c r="Y473" s="472"/>
    </row>
    <row r="474" spans="1:25" x14ac:dyDescent="0.25">
      <c r="A474" s="463"/>
      <c r="B474" s="506"/>
      <c r="C474" s="507">
        <v>4512</v>
      </c>
      <c r="D474" s="508"/>
      <c r="E474" s="509" t="str">
        <f>IF($C474="",IFERROR(VLOOKUP($B474,SERVIÇOS!$B:$G,2,0),IFERROR(VLOOKUP($B474,$D:$K,2,0),"")),IFERROR(VLOOKUP($C474,INSUMOS!$A:$D,2,0),IFERROR(VLOOKUP($C474,COTAÇÕES!$B:$I,2,0),(VLOOKUP($C474,'INSUMO SINAPI - SP'!$C:$F,2,0)))))</f>
        <v>SARRAFO *2,5 X 5* CM EM PINUS, MISTA OU EQUIVALENTE DA REGIAO - BRUTA</v>
      </c>
      <c r="F474" s="510" t="str">
        <f>IF($C474="",IFERROR(VLOOKUP($B474,SERVIÇOS!$B:$G,3,0),IFERROR(VLOOKUP($B474,$D:$K,3,0),"")),IFERROR(VLOOKUP($C474,INSUMOS!$A:$D,3,0),IFERROR(VLOOKUP($C474,COTAÇÕES!$B:$I,3,0),(VLOOKUP($C474,'INSUMO SINAPI - SP'!$C:$F,3,0)))))</f>
        <v>M</v>
      </c>
      <c r="G474" s="511">
        <v>2.5</v>
      </c>
      <c r="H474" s="512">
        <f>IF($C474="",IFERROR(VLOOKUP($B474,SERVIÇOS!$B:$G,6,0),IFERROR(VLOOKUP($B474,$D:$K,8,0),"")),IFERROR(VLOOKUP($C474,INSUMOS!$A:$D,4,0),IFERROR(VLOOKUP($C474,COTAÇÕES!$B:$I,7,0),(VLOOKUP($C474,'INSUMO SINAPI - SP'!$C:$F,4,0)))))</f>
        <v>1.69</v>
      </c>
      <c r="I474" s="513">
        <f>TRUNC(IF($C474="",IFERROR(VLOOKUP($B474,SERVIÇOS!$B:$G,4,0),IFERROR(VLOOKUP($B474,$D:$K,6,0),)),IFERROR(VLOOKUP($C474,INSUMOS!$A:$D,4,0),IFERROR(VLOOKUP($C474,COTAÇÕES!$B:$I,7,0),(VLOOKUP($C474,'INSUMO SINAPI - SP'!$C:$F,4,0)))))*$G474,2)</f>
        <v>4.22</v>
      </c>
      <c r="J474" s="513">
        <f>TRUNC(IF($C474="",IFERROR(VLOOKUP($B474,SERVIÇOS!$B:$G,5,0),IFERROR(VLOOKUP($B474,$D:$K,7,0),)),0)*$G474,2)</f>
        <v>0</v>
      </c>
      <c r="K474" s="514">
        <f t="shared" si="19"/>
        <v>4.22</v>
      </c>
      <c r="L474" s="517"/>
      <c r="M474" s="471"/>
      <c r="N474" s="516"/>
      <c r="Q474" s="472"/>
      <c r="R474" s="472"/>
      <c r="S474" s="472"/>
      <c r="T474" s="472"/>
      <c r="U474" s="472"/>
      <c r="V474" s="472"/>
      <c r="W474" s="472"/>
      <c r="X474" s="472"/>
      <c r="Y474" s="472"/>
    </row>
    <row r="475" spans="1:25" x14ac:dyDescent="0.25">
      <c r="A475" s="463"/>
      <c r="B475" s="506"/>
      <c r="C475" s="507">
        <v>4718</v>
      </c>
      <c r="D475" s="508"/>
      <c r="E475" s="509" t="str">
        <f>IF($C475="",IFERROR(VLOOKUP($B475,SERVIÇOS!$B:$G,2,0),IFERROR(VLOOKUP($B475,$D:$K,2,0),"")),IFERROR(VLOOKUP($C475,INSUMOS!$A:$D,2,0),IFERROR(VLOOKUP($C475,COTAÇÕES!$B:$I,2,0),(VLOOKUP($C475,'INSUMO SINAPI - SP'!$C:$F,2,0)))))</f>
        <v>PEDRA BRITADA N. 2 (19 A 38 MM) POSTO PEDREIRA/FORNECEDOR, SEM FRETE</v>
      </c>
      <c r="F475" s="510" t="str">
        <f>IF($C475="",IFERROR(VLOOKUP($B475,SERVIÇOS!$B:$G,3,0),IFERROR(VLOOKUP($B475,$D:$K,3,0),"")),IFERROR(VLOOKUP($C475,INSUMOS!$A:$D,3,0),IFERROR(VLOOKUP($C475,COTAÇÕES!$B:$I,3,0),(VLOOKUP($C475,'INSUMO SINAPI - SP'!$C:$F,3,0)))))</f>
        <v>M3</v>
      </c>
      <c r="G475" s="511">
        <v>1.4999999999999999E-2</v>
      </c>
      <c r="H475" s="512">
        <f>IF($C475="",IFERROR(VLOOKUP($B475,SERVIÇOS!$B:$G,6,0),IFERROR(VLOOKUP($B475,$D:$K,8,0),"")),IFERROR(VLOOKUP($C475,INSUMOS!$A:$D,4,0),IFERROR(VLOOKUP($C475,COTAÇÕES!$B:$I,7,0),(VLOOKUP($C475,'INSUMO SINAPI - SP'!$C:$F,4,0)))))</f>
        <v>64.05</v>
      </c>
      <c r="I475" s="513">
        <f>TRUNC(IF($C475="",IFERROR(VLOOKUP($B475,SERVIÇOS!$B:$G,4,0),IFERROR(VLOOKUP($B475,$D:$K,6,0),)),IFERROR(VLOOKUP($C475,INSUMOS!$A:$D,4,0),IFERROR(VLOOKUP($C475,COTAÇÕES!$B:$I,7,0),(VLOOKUP($C475,'INSUMO SINAPI - SP'!$C:$F,4,0)))))*$G475,2)</f>
        <v>0.96</v>
      </c>
      <c r="J475" s="513">
        <f>TRUNC(IF($C475="",IFERROR(VLOOKUP($B475,SERVIÇOS!$B:$G,5,0),IFERROR(VLOOKUP($B475,$D:$K,7,0),)),0)*$G475,2)</f>
        <v>0</v>
      </c>
      <c r="K475" s="514">
        <f t="shared" si="19"/>
        <v>0.96</v>
      </c>
      <c r="L475" s="517"/>
      <c r="M475" s="471"/>
      <c r="N475" s="516"/>
      <c r="Q475" s="472"/>
      <c r="R475" s="472"/>
      <c r="S475" s="472"/>
      <c r="T475" s="472"/>
      <c r="U475" s="472"/>
      <c r="V475" s="472"/>
      <c r="W475" s="472"/>
      <c r="X475" s="472"/>
      <c r="Y475" s="472"/>
    </row>
    <row r="476" spans="1:25" x14ac:dyDescent="0.25">
      <c r="A476" s="463"/>
      <c r="B476" s="506"/>
      <c r="C476" s="507">
        <v>5068</v>
      </c>
      <c r="D476" s="508"/>
      <c r="E476" s="509" t="str">
        <f>IF($C476="",IFERROR(VLOOKUP($B476,SERVIÇOS!$B:$G,2,0),IFERROR(VLOOKUP($B476,$D:$K,2,0),"")),IFERROR(VLOOKUP($C476,INSUMOS!$A:$D,2,0),IFERROR(VLOOKUP($C476,COTAÇÕES!$B:$I,2,0),(VLOOKUP($C476,'INSUMO SINAPI - SP'!$C:$F,2,0)))))</f>
        <v>PREGO DE ACO POLIDO COM CABECA 17 X 21 (2 X 11)</v>
      </c>
      <c r="F476" s="510" t="str">
        <f>IF($C476="",IFERROR(VLOOKUP($B476,SERVIÇOS!$B:$G,3,0),IFERROR(VLOOKUP($B476,$D:$K,3,0),"")),IFERROR(VLOOKUP($C476,INSUMOS!$A:$D,3,0),IFERROR(VLOOKUP($C476,COTAÇÕES!$B:$I,3,0),(VLOOKUP($C476,'INSUMO SINAPI - SP'!$C:$F,3,0)))))</f>
        <v>KG</v>
      </c>
      <c r="G476" s="511">
        <v>0.08</v>
      </c>
      <c r="H476" s="512">
        <f>IF($C476="",IFERROR(VLOOKUP($B476,SERVIÇOS!$B:$G,6,0),IFERROR(VLOOKUP($B476,$D:$K,8,0),"")),IFERROR(VLOOKUP($C476,INSUMOS!$A:$D,4,0),IFERROR(VLOOKUP($C476,COTAÇÕES!$B:$I,7,0),(VLOOKUP($C476,'INSUMO SINAPI - SP'!$C:$F,4,0)))))</f>
        <v>16.07</v>
      </c>
      <c r="I476" s="513">
        <f>TRUNC(IF($C476="",IFERROR(VLOOKUP($B476,SERVIÇOS!$B:$G,4,0),IFERROR(VLOOKUP($B476,$D:$K,6,0),)),IFERROR(VLOOKUP($C476,INSUMOS!$A:$D,4,0),IFERROR(VLOOKUP($C476,COTAÇÕES!$B:$I,7,0),(VLOOKUP($C476,'INSUMO SINAPI - SP'!$C:$F,4,0)))))*$G476,2)</f>
        <v>1.28</v>
      </c>
      <c r="J476" s="513">
        <f>TRUNC(IF($C476="",IFERROR(VLOOKUP($B476,SERVIÇOS!$B:$G,5,0),IFERROR(VLOOKUP($B476,$D:$K,7,0),)),0)*$G476,2)</f>
        <v>0</v>
      </c>
      <c r="K476" s="514">
        <f t="shared" si="19"/>
        <v>1.28</v>
      </c>
      <c r="L476" s="517"/>
      <c r="M476" s="471"/>
      <c r="N476" s="516"/>
      <c r="Q476" s="472"/>
      <c r="R476" s="472"/>
      <c r="S476" s="472"/>
      <c r="T476" s="472"/>
      <c r="U476" s="472"/>
      <c r="V476" s="472"/>
      <c r="W476" s="472"/>
      <c r="X476" s="472"/>
      <c r="Y476" s="472"/>
    </row>
    <row r="477" spans="1:25" x14ac:dyDescent="0.25">
      <c r="A477" s="463"/>
      <c r="B477" s="506">
        <v>88245</v>
      </c>
      <c r="C477" s="507"/>
      <c r="D477" s="508"/>
      <c r="E477" s="509" t="str">
        <f>IF($C477="",IFERROR(VLOOKUP($B477,SERVIÇOS!$B:$G,2,0),IFERROR(VLOOKUP($B477,$D:$K,2,0),"")),IFERROR(VLOOKUP($C477,INSUMOS!$A:$D,2,0),IFERROR(VLOOKUP($C477,COTAÇÕES!$B:$I,2,0),(VLOOKUP($C477,'INSUMO SINAPI - SP'!$C:$F,2,0)))))</f>
        <v>ARMADOR COM ENCARGOS COMPLEMENTARES</v>
      </c>
      <c r="F477" s="510" t="str">
        <f>IF($C477="",IFERROR(VLOOKUP($B477,SERVIÇOS!$B:$G,3,0),IFERROR(VLOOKUP($B477,$D:$K,3,0),"")),IFERROR(VLOOKUP($C477,INSUMOS!$A:$D,3,0),IFERROR(VLOOKUP($C477,COTAÇÕES!$B:$I,3,0),(VLOOKUP($C477,'INSUMO SINAPI - SP'!$C:$F,3,0)))))</f>
        <v>H</v>
      </c>
      <c r="G477" s="511">
        <v>0.1</v>
      </c>
      <c r="H477" s="512">
        <f>IF($C477="",IFERROR(VLOOKUP($B477,SERVIÇOS!$B:$G,6,0),IFERROR(VLOOKUP($B477,$D:$K,8,0),"")),IFERROR(VLOOKUP($C477,INSUMOS!$A:$D,4,0),IFERROR(VLOOKUP($C477,COTAÇÕES!$B:$I,7,0),(VLOOKUP($C477,'INSUMO SINAPI - SP'!$C:$F,4,0)))))</f>
        <v>36.65</v>
      </c>
      <c r="I477" s="513">
        <f>TRUNC(IF($C477="",IFERROR(VLOOKUP($B477,SERVIÇOS!$B:$G,4,0),IFERROR(VLOOKUP($B477,$D:$K,6,0),)),IFERROR(VLOOKUP($C477,INSUMOS!$A:$D,4,0),IFERROR(VLOOKUP($C477,COTAÇÕES!$B:$I,7,0),(VLOOKUP($C477,'INSUMO SINAPI - SP'!$C:$F,4,0)))))*$G477,2)</f>
        <v>0.92</v>
      </c>
      <c r="J477" s="513">
        <f>TRUNC(IF($C477="",IFERROR(VLOOKUP($B477,SERVIÇOS!$B:$G,5,0),IFERROR(VLOOKUP($B477,$D:$K,7,0),)),0)*$G477,2)</f>
        <v>2.73</v>
      </c>
      <c r="K477" s="514">
        <f t="shared" si="19"/>
        <v>3.65</v>
      </c>
      <c r="L477" s="515"/>
      <c r="M477" s="471"/>
      <c r="N477" s="516"/>
      <c r="Q477" s="472"/>
      <c r="R477" s="472"/>
      <c r="S477" s="472"/>
      <c r="T477" s="472"/>
      <c r="U477" s="472"/>
      <c r="V477" s="472"/>
      <c r="W477" s="472"/>
      <c r="X477" s="472"/>
      <c r="Y477" s="472"/>
    </row>
    <row r="478" spans="1:25" x14ac:dyDescent="0.25">
      <c r="A478" s="463"/>
      <c r="B478" s="506">
        <v>88262</v>
      </c>
      <c r="C478" s="507"/>
      <c r="D478" s="508"/>
      <c r="E478" s="509" t="str">
        <f>IF($C478="",IFERROR(VLOOKUP($B478,SERVIÇOS!$B:$G,2,0),IFERROR(VLOOKUP($B478,$D:$K,2,0),"")),IFERROR(VLOOKUP($C478,INSUMOS!$A:$D,2,0),IFERROR(VLOOKUP($C478,COTAÇÕES!$B:$I,2,0),(VLOOKUP($C478,'INSUMO SINAPI - SP'!$C:$F,2,0)))))</f>
        <v>CARPINTEIRO DE FORMAS COM ENCARGOS COMPLEMENTARES</v>
      </c>
      <c r="F478" s="510" t="str">
        <f>IF($C478="",IFERROR(VLOOKUP($B478,SERVIÇOS!$B:$G,3,0),IFERROR(VLOOKUP($B478,$D:$K,3,0),"")),IFERROR(VLOOKUP($C478,INSUMOS!$A:$D,3,0),IFERROR(VLOOKUP($C478,COTAÇÕES!$B:$I,3,0),(VLOOKUP($C478,'INSUMO SINAPI - SP'!$C:$F,3,0)))))</f>
        <v>H</v>
      </c>
      <c r="G478" s="511">
        <v>0.1</v>
      </c>
      <c r="H478" s="512">
        <f>IF($C478="",IFERROR(VLOOKUP($B478,SERVIÇOS!$B:$G,6,0),IFERROR(VLOOKUP($B478,$D:$K,8,0),"")),IFERROR(VLOOKUP($C478,INSUMOS!$A:$D,4,0),IFERROR(VLOOKUP($C478,COTAÇÕES!$B:$I,7,0),(VLOOKUP($C478,'INSUMO SINAPI - SP'!$C:$F,4,0)))))</f>
        <v>36.43</v>
      </c>
      <c r="I478" s="513">
        <f>TRUNC(IF($C478="",IFERROR(VLOOKUP($B478,SERVIÇOS!$B:$G,4,0),IFERROR(VLOOKUP($B478,$D:$K,6,0),)),IFERROR(VLOOKUP($C478,INSUMOS!$A:$D,4,0),IFERROR(VLOOKUP($C478,COTAÇÕES!$B:$I,7,0),(VLOOKUP($C478,'INSUMO SINAPI - SP'!$C:$F,4,0)))))*$G478,2)</f>
        <v>0.9</v>
      </c>
      <c r="J478" s="513">
        <f>TRUNC(IF($C478="",IFERROR(VLOOKUP($B478,SERVIÇOS!$B:$G,5,0),IFERROR(VLOOKUP($B478,$D:$K,7,0),)),0)*$G478,2)</f>
        <v>2.73</v>
      </c>
      <c r="K478" s="514">
        <f t="shared" si="19"/>
        <v>3.63</v>
      </c>
      <c r="L478" s="515"/>
      <c r="M478" s="471"/>
      <c r="N478" s="516"/>
      <c r="Q478" s="472"/>
      <c r="R478" s="472"/>
      <c r="S478" s="472"/>
      <c r="T478" s="472"/>
      <c r="U478" s="472"/>
      <c r="V478" s="472"/>
      <c r="W478" s="472"/>
      <c r="X478" s="472"/>
      <c r="Y478" s="472"/>
    </row>
    <row r="479" spans="1:25" x14ac:dyDescent="0.25">
      <c r="A479" s="463"/>
      <c r="B479" s="506">
        <v>88316</v>
      </c>
      <c r="C479" s="507"/>
      <c r="D479" s="508"/>
      <c r="E479" s="509" t="str">
        <f>IF($C479="",IFERROR(VLOOKUP($B479,SERVIÇOS!$B:$G,2,0),IFERROR(VLOOKUP($B479,$D:$K,2,0),"")),IFERROR(VLOOKUP($C479,INSUMOS!$A:$D,2,0),IFERROR(VLOOKUP($C479,COTAÇÕES!$B:$I,2,0),(VLOOKUP($C479,'INSUMO SINAPI - SP'!$C:$F,2,0)))))</f>
        <v>SERVENTE COM ENCARGOS COMPLEMENTARES</v>
      </c>
      <c r="F479" s="510" t="str">
        <f>IF($C479="",IFERROR(VLOOKUP($B479,SERVIÇOS!$B:$G,3,0),IFERROR(VLOOKUP($B479,$D:$K,3,0),"")),IFERROR(VLOOKUP($C479,INSUMOS!$A:$D,3,0),IFERROR(VLOOKUP($C479,COTAÇÕES!$B:$I,3,0),(VLOOKUP($C479,'INSUMO SINAPI - SP'!$C:$F,3,0)))))</f>
        <v>H</v>
      </c>
      <c r="G479" s="511">
        <v>0.2</v>
      </c>
      <c r="H479" s="512">
        <f>IF($C479="",IFERROR(VLOOKUP($B479,SERVIÇOS!$B:$G,6,0),IFERROR(VLOOKUP($B479,$D:$K,8,0),"")),IFERROR(VLOOKUP($C479,INSUMOS!$A:$D,4,0),IFERROR(VLOOKUP($C479,COTAÇÕES!$B:$I,7,0),(VLOOKUP($C479,'INSUMO SINAPI - SP'!$C:$F,4,0)))))</f>
        <v>28.71</v>
      </c>
      <c r="I479" s="513">
        <f>TRUNC(IF($C479="",IFERROR(VLOOKUP($B479,SERVIÇOS!$B:$G,4,0),IFERROR(VLOOKUP($B479,$D:$K,6,0),)),IFERROR(VLOOKUP($C479,INSUMOS!$A:$D,4,0),IFERROR(VLOOKUP($C479,COTAÇÕES!$B:$I,7,0),(VLOOKUP($C479,'INSUMO SINAPI - SP'!$C:$F,4,0)))))*$G479,2)</f>
        <v>1.84</v>
      </c>
      <c r="J479" s="513">
        <f>TRUNC(IF($C479="",IFERROR(VLOOKUP($B479,SERVIÇOS!$B:$G,5,0),IFERROR(VLOOKUP($B479,$D:$K,7,0),)),0)*$G479,2)</f>
        <v>3.9</v>
      </c>
      <c r="K479" s="514">
        <f t="shared" si="19"/>
        <v>5.74</v>
      </c>
      <c r="L479" s="515"/>
      <c r="M479" s="471"/>
      <c r="N479" s="516"/>
      <c r="Q479" s="472"/>
      <c r="R479" s="472"/>
      <c r="S479" s="472"/>
      <c r="T479" s="472"/>
      <c r="U479" s="472"/>
      <c r="V479" s="472"/>
      <c r="W479" s="472"/>
      <c r="X479" s="472"/>
      <c r="Y479" s="472"/>
    </row>
    <row r="480" spans="1:25" ht="24" x14ac:dyDescent="0.25">
      <c r="A480" s="463"/>
      <c r="B480" s="506">
        <v>88830</v>
      </c>
      <c r="C480" s="507"/>
      <c r="D480" s="508"/>
      <c r="E480" s="509" t="str">
        <f>IF($C480="",IFERROR(VLOOKUP($B480,SERVIÇOS!$B:$G,2,0),IFERROR(VLOOKUP($B480,$D:$K,2,0),"")),IFERROR(VLOOKUP($C480,INSUMOS!$A:$D,2,0),IFERROR(VLOOKUP($C480,COTAÇÕES!$B:$I,2,0),(VLOOKUP($C480,'INSUMO SINAPI - SP'!$C:$F,2,0)))))</f>
        <v>BETONEIRA CAPACIDADE NOMINAL DE 400 L, CAPACIDADE DE MISTURA 280 L, MOTOR ELÉTRICO TRIFÁSICO POTÊNCIA DE 2 CV, SEM CARREGADOR - CHP DIURNO. AF_05/2023</v>
      </c>
      <c r="F480" s="510" t="str">
        <f>IF($C480="",IFERROR(VLOOKUP($B480,SERVIÇOS!$B:$G,3,0),IFERROR(VLOOKUP($B480,$D:$K,3,0),"")),IFERROR(VLOOKUP($C480,INSUMOS!$A:$D,3,0),IFERROR(VLOOKUP($C480,COTAÇÕES!$B:$I,3,0),(VLOOKUP($C480,'INSUMO SINAPI - SP'!$C:$F,3,0)))))</f>
        <v>CHP</v>
      </c>
      <c r="G480" s="511">
        <v>1.4E-2</v>
      </c>
      <c r="H480" s="512">
        <f>IF($C480="",IFERROR(VLOOKUP($B480,SERVIÇOS!$B:$G,6,0),IFERROR(VLOOKUP($B480,$D:$K,8,0),"")),IFERROR(VLOOKUP($C480,INSUMOS!$A:$D,4,0),IFERROR(VLOOKUP($C480,COTAÇÕES!$B:$I,7,0),(VLOOKUP($C480,'INSUMO SINAPI - SP'!$C:$F,4,0)))))</f>
        <v>1.58</v>
      </c>
      <c r="I480" s="513">
        <f>TRUNC(IF($C480="",IFERROR(VLOOKUP($B480,SERVIÇOS!$B:$G,4,0),IFERROR(VLOOKUP($B480,$D:$K,6,0),)),IFERROR(VLOOKUP($C480,INSUMOS!$A:$D,4,0),IFERROR(VLOOKUP($C480,COTAÇÕES!$B:$I,7,0),(VLOOKUP($C480,'INSUMO SINAPI - SP'!$C:$F,4,0)))))*$G480,2)</f>
        <v>0.02</v>
      </c>
      <c r="J480" s="513">
        <f>TRUNC(IF($C480="",IFERROR(VLOOKUP($B480,SERVIÇOS!$B:$G,5,0),IFERROR(VLOOKUP($B480,$D:$K,7,0),)),0)*$G480,2)</f>
        <v>0</v>
      </c>
      <c r="K480" s="514">
        <f t="shared" si="19"/>
        <v>0.02</v>
      </c>
      <c r="L480" s="515"/>
      <c r="M480" s="471"/>
      <c r="N480" s="516"/>
      <c r="Q480" s="472"/>
      <c r="R480" s="472"/>
      <c r="S480" s="472"/>
      <c r="T480" s="472"/>
      <c r="U480" s="472"/>
      <c r="V480" s="472"/>
      <c r="W480" s="472"/>
      <c r="X480" s="472"/>
      <c r="Y480" s="472"/>
    </row>
    <row r="481" spans="1:25" ht="24" x14ac:dyDescent="0.25">
      <c r="A481" s="463"/>
      <c r="B481" s="498"/>
      <c r="C481" s="498"/>
      <c r="D481" s="499" t="s">
        <v>12133</v>
      </c>
      <c r="E481" s="500" t="s">
        <v>12867</v>
      </c>
      <c r="F481" s="501" t="s">
        <v>580</v>
      </c>
      <c r="G481" s="502"/>
      <c r="H481" s="503"/>
      <c r="I481" s="504">
        <f>ROUND(SUM(I482:I501),2)</f>
        <v>409.05</v>
      </c>
      <c r="J481" s="504">
        <f>ROUND(SUM(J482:J501),2)</f>
        <v>375.17</v>
      </c>
      <c r="K481" s="504">
        <f>+J481+I481</f>
        <v>784.22</v>
      </c>
      <c r="L481" s="523"/>
      <c r="M481" s="471"/>
      <c r="N481" s="505"/>
      <c r="Q481" s="472"/>
      <c r="R481" s="472"/>
      <c r="S481" s="472"/>
      <c r="T481" s="472"/>
      <c r="U481" s="472"/>
      <c r="V481" s="472"/>
      <c r="W481" s="472"/>
      <c r="X481" s="472"/>
      <c r="Y481" s="472"/>
    </row>
    <row r="482" spans="1:25" x14ac:dyDescent="0.25">
      <c r="A482" s="463"/>
      <c r="B482" s="506">
        <v>93358</v>
      </c>
      <c r="C482" s="507"/>
      <c r="D482" s="508"/>
      <c r="E482" s="509" t="str">
        <f>IF($C482="",IFERROR(VLOOKUP($B482,SERVIÇOS!$B:$G,2,0),IFERROR(VLOOKUP($B482,$D:$K,2,0),"")),IFERROR(VLOOKUP($C482,INSUMOS!$A:$D,2,0),IFERROR(VLOOKUP($C482,COTAÇÕES!$B:$I,2,0),(VLOOKUP($C482,'INSUMO SINAPI - SP'!$C:$F,2,0)))))</f>
        <v>ESCAVAÇÃO MANUAL DE VALA. AF_09/2024</v>
      </c>
      <c r="F482" s="510" t="str">
        <f>IF($C482="",IFERROR(VLOOKUP($B482,SERVIÇOS!$B:$G,3,0),IFERROR(VLOOKUP($B482,$D:$K,3,0),"")),IFERROR(VLOOKUP($C482,INSUMOS!$A:$D,3,0),IFERROR(VLOOKUP($C482,COTAÇÕES!$B:$I,3,0),(VLOOKUP($C482,'INSUMO SINAPI - SP'!$C:$F,3,0)))))</f>
        <v>M3</v>
      </c>
      <c r="G482" s="511">
        <v>0.63</v>
      </c>
      <c r="H482" s="512">
        <f>IF($C482="",IFERROR(VLOOKUP($B482,SERVIÇOS!$B:$G,6,0),IFERROR(VLOOKUP($B482,$D:$K,8,0),"")),IFERROR(VLOOKUP($C482,INSUMOS!$A:$D,4,0),IFERROR(VLOOKUP($C482,COTAÇÕES!$B:$I,7,0),(VLOOKUP($C482,'INSUMO SINAPI - SP'!$C:$F,4,0)))))</f>
        <v>113.57</v>
      </c>
      <c r="I482" s="513">
        <f>TRUNC(IF($C482="",IFERROR(VLOOKUP($B482,SERVIÇOS!$B:$G,4,0),IFERROR(VLOOKUP($B482,$D:$K,6,0),)),IFERROR(VLOOKUP($C482,INSUMOS!$A:$D,4,0),IFERROR(VLOOKUP($C482,COTAÇÕES!$B:$I,7,0),(VLOOKUP($C482,'INSUMO SINAPI - SP'!$C:$F,4,0)))))*$G482,2)</f>
        <v>22.91</v>
      </c>
      <c r="J482" s="513">
        <f>TRUNC(IF($C482="",IFERROR(VLOOKUP($B482,SERVIÇOS!$B:$G,5,0),IFERROR(VLOOKUP($B482,$D:$K,7,0),)),0)*$G482,2)</f>
        <v>48.63</v>
      </c>
      <c r="K482" s="514">
        <f t="shared" ref="K482:K501" si="20">I482+J482</f>
        <v>71.540000000000006</v>
      </c>
      <c r="L482" s="515"/>
      <c r="M482" s="471"/>
      <c r="N482" s="516"/>
      <c r="Q482" s="472"/>
      <c r="R482" s="472"/>
      <c r="S482" s="472"/>
      <c r="T482" s="472"/>
      <c r="U482" s="472"/>
      <c r="V482" s="472"/>
      <c r="W482" s="472"/>
      <c r="X482" s="472"/>
      <c r="Y482" s="472"/>
    </row>
    <row r="483" spans="1:25" ht="24" x14ac:dyDescent="0.25">
      <c r="A483" s="463"/>
      <c r="B483" s="506">
        <v>94968</v>
      </c>
      <c r="C483" s="507"/>
      <c r="D483" s="508"/>
      <c r="E483" s="509" t="str">
        <f>IF($C483="",IFERROR(VLOOKUP($B483,SERVIÇOS!$B:$G,2,0),IFERROR(VLOOKUP($B483,$D:$K,2,0),"")),IFERROR(VLOOKUP($C483,INSUMOS!$A:$D,2,0),IFERROR(VLOOKUP($C483,COTAÇÕES!$B:$I,2,0),(VLOOKUP($C483,'INSUMO SINAPI - SP'!$C:$F,2,0)))))</f>
        <v>CONCRETO MAGRO PARA LASTRO, TRAÇO 1:4,5:4,5 (EM MASSA SECA DE CIMENTO/ AREIA MÉDIA/ BRITA 1) - PREPARO MECÂNICO COM BETONEIRA 600 L. AF_05/2021</v>
      </c>
      <c r="F483" s="510" t="str">
        <f>IF($C483="",IFERROR(VLOOKUP($B483,SERVIÇOS!$B:$G,3,0),IFERROR(VLOOKUP($B483,$D:$K,3,0),"")),IFERROR(VLOOKUP($C483,INSUMOS!$A:$D,3,0),IFERROR(VLOOKUP($C483,COTAÇÕES!$B:$I,3,0),(VLOOKUP($C483,'INSUMO SINAPI - SP'!$C:$F,3,0)))))</f>
        <v>M3</v>
      </c>
      <c r="G483" s="511">
        <v>3.15E-2</v>
      </c>
      <c r="H483" s="512">
        <f>IF($C483="",IFERROR(VLOOKUP($B483,SERVIÇOS!$B:$G,6,0),IFERROR(VLOOKUP($B483,$D:$K,8,0),"")),IFERROR(VLOOKUP($C483,INSUMOS!$A:$D,4,0),IFERROR(VLOOKUP($C483,COTAÇÕES!$B:$I,7,0),(VLOOKUP($C483,'INSUMO SINAPI - SP'!$C:$F,4,0)))))</f>
        <v>389.97</v>
      </c>
      <c r="I483" s="513">
        <f>TRUNC(IF($C483="",IFERROR(VLOOKUP($B483,SERVIÇOS!$B:$G,4,0),IFERROR(VLOOKUP($B483,$D:$K,6,0),)),IFERROR(VLOOKUP($C483,INSUMOS!$A:$D,4,0),IFERROR(VLOOKUP($C483,COTAÇÕES!$B:$I,7,0),(VLOOKUP($C483,'INSUMO SINAPI - SP'!$C:$F,4,0)))))*$G483,2)</f>
        <v>9.94</v>
      </c>
      <c r="J483" s="513">
        <f>TRUNC(IF($C483="",IFERROR(VLOOKUP($B483,SERVIÇOS!$B:$G,5,0),IFERROR(VLOOKUP($B483,$D:$K,7,0),)),0)*$G483,2)</f>
        <v>2.34</v>
      </c>
      <c r="K483" s="514">
        <f t="shared" si="20"/>
        <v>12.28</v>
      </c>
      <c r="L483" s="515"/>
      <c r="M483" s="471"/>
      <c r="N483" s="516"/>
      <c r="Q483" s="472"/>
      <c r="R483" s="472"/>
      <c r="S483" s="472"/>
      <c r="T483" s="472"/>
      <c r="U483" s="472"/>
      <c r="V483" s="472"/>
      <c r="W483" s="472"/>
      <c r="X483" s="472"/>
      <c r="Y483" s="472"/>
    </row>
    <row r="484" spans="1:25" ht="24" x14ac:dyDescent="0.25">
      <c r="A484" s="463"/>
      <c r="B484" s="506">
        <v>101159</v>
      </c>
      <c r="C484" s="507"/>
      <c r="D484" s="508"/>
      <c r="E484" s="509" t="str">
        <f>IF($C484="",IFERROR(VLOOKUP($B484,SERVIÇOS!$B:$G,2,0),IFERROR(VLOOKUP($B484,$D:$K,2,0),"")),IFERROR(VLOOKUP($C484,INSUMOS!$A:$D,2,0),IFERROR(VLOOKUP($C484,COTAÇÕES!$B:$I,2,0),(VLOOKUP($C484,'INSUMO SINAPI - SP'!$C:$F,2,0)))))</f>
        <v>ALVENARIA DE VEDAÇÃO DE BLOCOS CERÂMICOS MACIÇOS DE 5X10X20CM (ESPESSURA 10CM) E ARGAMASSA DE ASSENTAMENTO COM PREPARO EM BETONEIRA. AF_05/2020</v>
      </c>
      <c r="F484" s="510" t="str">
        <f>IF($C484="",IFERROR(VLOOKUP($B484,SERVIÇOS!$B:$G,3,0),IFERROR(VLOOKUP($B484,$D:$K,3,0),"")),IFERROR(VLOOKUP($C484,INSUMOS!$A:$D,3,0),IFERROR(VLOOKUP($C484,COTAÇÕES!$B:$I,3,0),(VLOOKUP($C484,'INSUMO SINAPI - SP'!$C:$F,3,0)))))</f>
        <v>M2</v>
      </c>
      <c r="G484" s="511">
        <v>2.6</v>
      </c>
      <c r="H484" s="512">
        <f>IF($C484="",IFERROR(VLOOKUP($B484,SERVIÇOS!$B:$G,6,0),IFERROR(VLOOKUP($B484,$D:$K,8,0),"")),IFERROR(VLOOKUP($C484,INSUMOS!$A:$D,4,0),IFERROR(VLOOKUP($C484,COTAÇÕES!$B:$I,7,0),(VLOOKUP($C484,'INSUMO SINAPI - SP'!$C:$F,4,0)))))</f>
        <v>154.91999999999999</v>
      </c>
      <c r="I484" s="513">
        <f>TRUNC(IF($C484="",IFERROR(VLOOKUP($B484,SERVIÇOS!$B:$G,4,0),IFERROR(VLOOKUP($B484,$D:$K,6,0),)),IFERROR(VLOOKUP($C484,INSUMOS!$A:$D,4,0),IFERROR(VLOOKUP($C484,COTAÇÕES!$B:$I,7,0),(VLOOKUP($C484,'INSUMO SINAPI - SP'!$C:$F,4,0)))))*$G484,2)</f>
        <v>206.12</v>
      </c>
      <c r="J484" s="513">
        <f>TRUNC(IF($C484="",IFERROR(VLOOKUP($B484,SERVIÇOS!$B:$G,5,0),IFERROR(VLOOKUP($B484,$D:$K,7,0),)),0)*$G484,2)</f>
        <v>196.66</v>
      </c>
      <c r="K484" s="514">
        <f t="shared" si="20"/>
        <v>402.78</v>
      </c>
      <c r="L484" s="515"/>
      <c r="M484" s="471"/>
      <c r="N484" s="516"/>
      <c r="Q484" s="472"/>
      <c r="R484" s="472"/>
      <c r="S484" s="472"/>
      <c r="T484" s="472"/>
      <c r="U484" s="472"/>
      <c r="V484" s="472"/>
      <c r="W484" s="472"/>
      <c r="X484" s="472"/>
      <c r="Y484" s="472"/>
    </row>
    <row r="485" spans="1:25" ht="36" x14ac:dyDescent="0.25">
      <c r="A485" s="463"/>
      <c r="B485" s="506">
        <v>87775</v>
      </c>
      <c r="C485" s="507"/>
      <c r="D485" s="508"/>
      <c r="E485" s="509" t="str">
        <f>IF($C485="",IFERROR(VLOOKUP($B485,SERVIÇOS!$B:$G,2,0),IFERROR(VLOOKUP($B485,$D:$K,2,0),"")),IFERROR(VLOOKUP($C485,INSUMOS!$A:$D,2,0),IFERROR(VLOOKUP($C485,COTAÇÕES!$B:$I,2,0),(VLOOKUP($C485,'INSUMO SINAPI - SP'!$C:$F,2,0)))))</f>
        <v>EMBOÇO OU MASSA ÚNICA EM ARGAMASSA TRAÇO 1:2:8, PREPARO MECÂNICO COM BETONEIRA 400 L, APLICADA MANUALMENTE EM PANOS DE FACHADA COM PRESENÇA DE VÃOS, ESPESSURA DE 25 MM. AF_08/2022</v>
      </c>
      <c r="F485" s="510" t="str">
        <f>IF($C485="",IFERROR(VLOOKUP($B485,SERVIÇOS!$B:$G,3,0),IFERROR(VLOOKUP($B485,$D:$K,3,0),"")),IFERROR(VLOOKUP($C485,INSUMOS!$A:$D,3,0),IFERROR(VLOOKUP($C485,COTAÇÕES!$B:$I,3,0),(VLOOKUP($C485,'INSUMO SINAPI - SP'!$C:$F,3,0)))))</f>
        <v>M2</v>
      </c>
      <c r="G485" s="511">
        <v>2</v>
      </c>
      <c r="H485" s="512">
        <f>IF($C485="",IFERROR(VLOOKUP($B485,SERVIÇOS!$B:$G,6,0),IFERROR(VLOOKUP($B485,$D:$K,8,0),"")),IFERROR(VLOOKUP($C485,INSUMOS!$A:$D,4,0),IFERROR(VLOOKUP($C485,COTAÇÕES!$B:$I,7,0),(VLOOKUP($C485,'INSUMO SINAPI - SP'!$C:$F,4,0)))))</f>
        <v>65</v>
      </c>
      <c r="I485" s="513">
        <f>TRUNC(IF($C485="",IFERROR(VLOOKUP($B485,SERVIÇOS!$B:$G,4,0),IFERROR(VLOOKUP($B485,$D:$K,6,0),)),IFERROR(VLOOKUP($C485,INSUMOS!$A:$D,4,0),IFERROR(VLOOKUP($C485,COTAÇÕES!$B:$I,7,0),(VLOOKUP($C485,'INSUMO SINAPI - SP'!$C:$F,4,0)))))*$G485,2)</f>
        <v>58.96</v>
      </c>
      <c r="J485" s="513">
        <f>TRUNC(IF($C485="",IFERROR(VLOOKUP($B485,SERVIÇOS!$B:$G,5,0),IFERROR(VLOOKUP($B485,$D:$K,7,0),)),0)*$G485,2)</f>
        <v>71.040000000000006</v>
      </c>
      <c r="K485" s="514">
        <f t="shared" si="20"/>
        <v>130</v>
      </c>
      <c r="L485" s="515"/>
      <c r="M485" s="471"/>
      <c r="N485" s="516"/>
      <c r="Q485" s="472"/>
      <c r="R485" s="472"/>
      <c r="S485" s="472"/>
      <c r="T485" s="472"/>
      <c r="U485" s="472"/>
      <c r="V485" s="472"/>
      <c r="W485" s="472"/>
      <c r="X485" s="472"/>
      <c r="Y485" s="472"/>
    </row>
    <row r="486" spans="1:25" x14ac:dyDescent="0.25">
      <c r="A486" s="463"/>
      <c r="B486" s="506">
        <v>88309</v>
      </c>
      <c r="C486" s="507"/>
      <c r="D486" s="508"/>
      <c r="E486" s="509" t="str">
        <f>IF($C486="",IFERROR(VLOOKUP($B486,SERVIÇOS!$B:$G,2,0),IFERROR(VLOOKUP($B486,$D:$K,2,0),"")),IFERROR(VLOOKUP($C486,INSUMOS!$A:$D,2,0),IFERROR(VLOOKUP($C486,COTAÇÕES!$B:$I,2,0),(VLOOKUP($C486,'INSUMO SINAPI - SP'!$C:$F,2,0)))))</f>
        <v>PEDREIRO COM ENCARGOS COMPLEMENTARES</v>
      </c>
      <c r="F486" s="510" t="str">
        <f>IF($C486="",IFERROR(VLOOKUP($B486,SERVIÇOS!$B:$G,3,0),IFERROR(VLOOKUP($B486,$D:$K,3,0),"")),IFERROR(VLOOKUP($C486,INSUMOS!$A:$D,3,0),IFERROR(VLOOKUP($C486,COTAÇÕES!$B:$I,3,0),(VLOOKUP($C486,'INSUMO SINAPI - SP'!$C:$F,3,0)))))</f>
        <v>H</v>
      </c>
      <c r="G486" s="511">
        <v>1</v>
      </c>
      <c r="H486" s="512">
        <f>IF($C486="",IFERROR(VLOOKUP($B486,SERVIÇOS!$B:$G,6,0),IFERROR(VLOOKUP($B486,$D:$K,8,0),"")),IFERROR(VLOOKUP($C486,INSUMOS!$A:$D,4,0),IFERROR(VLOOKUP($C486,COTAÇÕES!$B:$I,7,0),(VLOOKUP($C486,'INSUMO SINAPI - SP'!$C:$F,4,0)))))</f>
        <v>36.909999999999997</v>
      </c>
      <c r="I486" s="513">
        <f>TRUNC(IF($C486="",IFERROR(VLOOKUP($B486,SERVIÇOS!$B:$G,4,0),IFERROR(VLOOKUP($B486,$D:$K,6,0),)),IFERROR(VLOOKUP($C486,INSUMOS!$A:$D,4,0),IFERROR(VLOOKUP($C486,COTAÇÕES!$B:$I,7,0),(VLOOKUP($C486,'INSUMO SINAPI - SP'!$C:$F,4,0)))))*$G486,2)</f>
        <v>9.2799999999999994</v>
      </c>
      <c r="J486" s="513">
        <f>TRUNC(IF($C486="",IFERROR(VLOOKUP($B486,SERVIÇOS!$B:$G,5,0),IFERROR(VLOOKUP($B486,$D:$K,7,0),)),0)*$G486,2)</f>
        <v>27.63</v>
      </c>
      <c r="K486" s="514">
        <f t="shared" si="20"/>
        <v>36.909999999999997</v>
      </c>
      <c r="L486" s="515"/>
      <c r="M486" s="471"/>
      <c r="N486" s="516"/>
      <c r="Q486" s="472"/>
      <c r="R486" s="472"/>
      <c r="S486" s="472"/>
      <c r="T486" s="472"/>
      <c r="U486" s="472"/>
      <c r="V486" s="472"/>
      <c r="W486" s="472"/>
      <c r="X486" s="472"/>
      <c r="Y486" s="472"/>
    </row>
    <row r="487" spans="1:25" x14ac:dyDescent="0.25">
      <c r="A487" s="463"/>
      <c r="B487" s="506">
        <v>88316</v>
      </c>
      <c r="C487" s="507"/>
      <c r="D487" s="508"/>
      <c r="E487" s="509" t="str">
        <f>IF($C487="",IFERROR(VLOOKUP($B487,SERVIÇOS!$B:$G,2,0),IFERROR(VLOOKUP($B487,$D:$K,2,0),"")),IFERROR(VLOOKUP($C487,INSUMOS!$A:$D,2,0),IFERROR(VLOOKUP($C487,COTAÇÕES!$B:$I,2,0),(VLOOKUP($C487,'INSUMO SINAPI - SP'!$C:$F,2,0)))))</f>
        <v>SERVENTE COM ENCARGOS COMPLEMENTARES</v>
      </c>
      <c r="F487" s="510" t="str">
        <f>IF($C487="",IFERROR(VLOOKUP($B487,SERVIÇOS!$B:$G,3,0),IFERROR(VLOOKUP($B487,$D:$K,3,0),"")),IFERROR(VLOOKUP($C487,INSUMOS!$A:$D,3,0),IFERROR(VLOOKUP($C487,COTAÇÕES!$B:$I,3,0),(VLOOKUP($C487,'INSUMO SINAPI - SP'!$C:$F,3,0)))))</f>
        <v>H</v>
      </c>
      <c r="G487" s="511">
        <v>1</v>
      </c>
      <c r="H487" s="512">
        <f>IF($C487="",IFERROR(VLOOKUP($B487,SERVIÇOS!$B:$G,6,0),IFERROR(VLOOKUP($B487,$D:$K,8,0),"")),IFERROR(VLOOKUP($C487,INSUMOS!$A:$D,4,0),IFERROR(VLOOKUP($C487,COTAÇÕES!$B:$I,7,0),(VLOOKUP($C487,'INSUMO SINAPI - SP'!$C:$F,4,0)))))</f>
        <v>28.71</v>
      </c>
      <c r="I487" s="513">
        <f>TRUNC(IF($C487="",IFERROR(VLOOKUP($B487,SERVIÇOS!$B:$G,4,0),IFERROR(VLOOKUP($B487,$D:$K,6,0),)),IFERROR(VLOOKUP($C487,INSUMOS!$A:$D,4,0),IFERROR(VLOOKUP($C487,COTAÇÕES!$B:$I,7,0),(VLOOKUP($C487,'INSUMO SINAPI - SP'!$C:$F,4,0)))))*$G487,2)</f>
        <v>9.1999999999999993</v>
      </c>
      <c r="J487" s="513">
        <f>TRUNC(IF($C487="",IFERROR(VLOOKUP($B487,SERVIÇOS!$B:$G,5,0),IFERROR(VLOOKUP($B487,$D:$K,7,0),)),0)*$G487,2)</f>
        <v>19.510000000000002</v>
      </c>
      <c r="K487" s="514">
        <f t="shared" si="20"/>
        <v>28.71</v>
      </c>
      <c r="L487" s="515"/>
      <c r="M487" s="471"/>
      <c r="N487" s="516"/>
      <c r="Q487" s="472"/>
      <c r="R487" s="472"/>
      <c r="S487" s="472"/>
      <c r="T487" s="472"/>
      <c r="U487" s="472"/>
      <c r="V487" s="472"/>
      <c r="W487" s="472"/>
      <c r="X487" s="472"/>
      <c r="Y487" s="472"/>
    </row>
    <row r="488" spans="1:25" x14ac:dyDescent="0.25">
      <c r="A488" s="463"/>
      <c r="B488" s="506"/>
      <c r="C488" s="507">
        <v>370</v>
      </c>
      <c r="D488" s="508"/>
      <c r="E488" s="509" t="str">
        <f>IF($C488="",IFERROR(VLOOKUP($B488,SERVIÇOS!$B:$G,2,0),IFERROR(VLOOKUP($B488,$D:$K,2,0),"")),IFERROR(VLOOKUP($C488,INSUMOS!$A:$D,2,0),IFERROR(VLOOKUP($C488,COTAÇÕES!$B:$I,2,0),(VLOOKUP($C488,'INSUMO SINAPI - SP'!$C:$F,2,0)))))</f>
        <v>AREIA MEDIA - POSTO JAZIDA/FORNECEDOR (RETIRADO NA JAZIDA, SEM TRANSPORTE)</v>
      </c>
      <c r="F488" s="510" t="str">
        <f>IF($C488="",IFERROR(VLOOKUP($B488,SERVIÇOS!$B:$G,3,0),IFERROR(VLOOKUP($B488,$D:$K,3,0),"")),IFERROR(VLOOKUP($C488,INSUMOS!$A:$D,3,0),IFERROR(VLOOKUP($C488,COTAÇÕES!$B:$I,3,0),(VLOOKUP($C488,'INSUMO SINAPI - SP'!$C:$F,3,0)))))</f>
        <v>M3</v>
      </c>
      <c r="G488" s="511">
        <v>0.02</v>
      </c>
      <c r="H488" s="512">
        <f>IF($C488="",IFERROR(VLOOKUP($B488,SERVIÇOS!$B:$G,6,0),IFERROR(VLOOKUP($B488,$D:$K,8,0),"")),IFERROR(VLOOKUP($C488,INSUMOS!$A:$D,4,0),IFERROR(VLOOKUP($C488,COTAÇÕES!$B:$I,7,0),(VLOOKUP($C488,'INSUMO SINAPI - SP'!$C:$F,4,0)))))</f>
        <v>119.08</v>
      </c>
      <c r="I488" s="513">
        <f>TRUNC(IF($C488="",IFERROR(VLOOKUP($B488,SERVIÇOS!$B:$G,4,0),IFERROR(VLOOKUP($B488,$D:$K,6,0),)),IFERROR(VLOOKUP($C488,INSUMOS!$A:$D,4,0),IFERROR(VLOOKUP($C488,COTAÇÕES!$B:$I,7,0),(VLOOKUP($C488,'INSUMO SINAPI - SP'!$C:$F,4,0)))))*$G488,2)</f>
        <v>2.38</v>
      </c>
      <c r="J488" s="513">
        <f>TRUNC(IF($C488="",IFERROR(VLOOKUP($B488,SERVIÇOS!$B:$G,5,0),IFERROR(VLOOKUP($B488,$D:$K,7,0),)),0)*$G488,2)</f>
        <v>0</v>
      </c>
      <c r="K488" s="514">
        <f t="shared" si="20"/>
        <v>2.38</v>
      </c>
      <c r="L488" s="517"/>
      <c r="M488" s="471"/>
      <c r="N488" s="516"/>
      <c r="Q488" s="472"/>
      <c r="R488" s="472"/>
      <c r="S488" s="472"/>
      <c r="T488" s="472"/>
      <c r="U488" s="472"/>
      <c r="V488" s="472"/>
      <c r="W488" s="472"/>
      <c r="X488" s="472"/>
      <c r="Y488" s="472"/>
    </row>
    <row r="489" spans="1:25" x14ac:dyDescent="0.25">
      <c r="A489" s="463"/>
      <c r="B489" s="506"/>
      <c r="C489" s="507">
        <v>1379</v>
      </c>
      <c r="D489" s="508"/>
      <c r="E489" s="509" t="str">
        <f>IF($C489="",IFERROR(VLOOKUP($B489,SERVIÇOS!$B:$G,2,0),IFERROR(VLOOKUP($B489,$D:$K,2,0),"")),IFERROR(VLOOKUP($C489,INSUMOS!$A:$D,2,0),IFERROR(VLOOKUP($C489,COTAÇÕES!$B:$I,2,0),(VLOOKUP($C489,'INSUMO SINAPI - SP'!$C:$F,2,0)))))</f>
        <v>CIMENTO PORTLAND COMPOSTO CP II-32</v>
      </c>
      <c r="F489" s="510" t="str">
        <f>IF($C489="",IFERROR(VLOOKUP($B489,SERVIÇOS!$B:$G,3,0),IFERROR(VLOOKUP($B489,$D:$K,3,0),"")),IFERROR(VLOOKUP($C489,INSUMOS!$A:$D,3,0),IFERROR(VLOOKUP($C489,COTAÇÕES!$B:$I,3,0),(VLOOKUP($C489,'INSUMO SINAPI - SP'!$C:$F,3,0)))))</f>
        <v>KG</v>
      </c>
      <c r="G489" s="511">
        <v>7</v>
      </c>
      <c r="H489" s="512">
        <f>IF($C489="",IFERROR(VLOOKUP($B489,SERVIÇOS!$B:$G,6,0),IFERROR(VLOOKUP($B489,$D:$K,8,0),"")),IFERROR(VLOOKUP($C489,INSUMOS!$A:$D,4,0),IFERROR(VLOOKUP($C489,COTAÇÕES!$B:$I,7,0),(VLOOKUP($C489,'INSUMO SINAPI - SP'!$C:$F,4,0)))))</f>
        <v>0.68</v>
      </c>
      <c r="I489" s="513">
        <f>TRUNC(IF($C489="",IFERROR(VLOOKUP($B489,SERVIÇOS!$B:$G,4,0),IFERROR(VLOOKUP($B489,$D:$K,6,0),)),IFERROR(VLOOKUP($C489,INSUMOS!$A:$D,4,0),IFERROR(VLOOKUP($C489,COTAÇÕES!$B:$I,7,0),(VLOOKUP($C489,'INSUMO SINAPI - SP'!$C:$F,4,0)))))*$G489,2)</f>
        <v>4.76</v>
      </c>
      <c r="J489" s="513">
        <f>TRUNC(IF($C489="",IFERROR(VLOOKUP($B489,SERVIÇOS!$B:$G,5,0),IFERROR(VLOOKUP($B489,$D:$K,7,0),)),0)*$G489,2)</f>
        <v>0</v>
      </c>
      <c r="K489" s="514">
        <f t="shared" si="20"/>
        <v>4.76</v>
      </c>
      <c r="L489" s="517"/>
      <c r="M489" s="471"/>
      <c r="N489" s="516"/>
      <c r="Q489" s="472"/>
      <c r="R489" s="472"/>
      <c r="S489" s="472"/>
      <c r="T489" s="472"/>
      <c r="U489" s="472"/>
      <c r="V489" s="472"/>
      <c r="W489" s="472"/>
      <c r="X489" s="472"/>
      <c r="Y489" s="472"/>
    </row>
    <row r="490" spans="1:25" x14ac:dyDescent="0.25">
      <c r="A490" s="463"/>
      <c r="B490" s="506"/>
      <c r="C490" s="507">
        <v>11236</v>
      </c>
      <c r="D490" s="508"/>
      <c r="E490" s="509" t="str">
        <f>IF($C490="",IFERROR(VLOOKUP($B490,SERVIÇOS!$B:$G,2,0),IFERROR(VLOOKUP($B490,$D:$K,2,0),"")),IFERROR(VLOOKUP($C490,INSUMOS!$A:$D,2,0),IFERROR(VLOOKUP($C490,COTAÇÕES!$B:$I,2,0),(VLOOKUP($C490,'INSUMO SINAPI - SP'!$C:$F,2,0)))))</f>
        <v>GRELHA FOFO SIMPLES COM REQUADRO, CARGA MAXIMA 1,5 T, 200 X 1000 MM, E= *15* MM</v>
      </c>
      <c r="F490" s="510" t="str">
        <f>IF($C490="",IFERROR(VLOOKUP($B490,SERVIÇOS!$B:$G,3,0),IFERROR(VLOOKUP($B490,$D:$K,3,0),"")),IFERROR(VLOOKUP($C490,INSUMOS!$A:$D,3,0),IFERROR(VLOOKUP($C490,COTAÇÕES!$B:$I,3,0),(VLOOKUP($C490,'INSUMO SINAPI - SP'!$C:$F,3,0)))))</f>
        <v>UN</v>
      </c>
      <c r="G490" s="511">
        <v>0.2</v>
      </c>
      <c r="H490" s="512">
        <f>IF($C490="",IFERROR(VLOOKUP($B490,SERVIÇOS!$B:$G,6,0),IFERROR(VLOOKUP($B490,$D:$K,8,0),"")),IFERROR(VLOOKUP($C490,INSUMOS!$A:$D,4,0),IFERROR(VLOOKUP($C490,COTAÇÕES!$B:$I,7,0),(VLOOKUP($C490,'INSUMO SINAPI - SP'!$C:$F,4,0)))))</f>
        <v>290.33999999999997</v>
      </c>
      <c r="I490" s="513">
        <f>TRUNC(IF($C490="",IFERROR(VLOOKUP($B490,SERVIÇOS!$B:$G,4,0),IFERROR(VLOOKUP($B490,$D:$K,6,0),)),IFERROR(VLOOKUP($C490,INSUMOS!$A:$D,4,0),IFERROR(VLOOKUP($C490,COTAÇÕES!$B:$I,7,0),(VLOOKUP($C490,'INSUMO SINAPI - SP'!$C:$F,4,0)))))*$G490,2)</f>
        <v>58.06</v>
      </c>
      <c r="J490" s="513">
        <f>TRUNC(IF($C490="",IFERROR(VLOOKUP($B490,SERVIÇOS!$B:$G,5,0),IFERROR(VLOOKUP($B490,$D:$K,7,0),)),0)*$G490,2)</f>
        <v>0</v>
      </c>
      <c r="K490" s="514">
        <f t="shared" si="20"/>
        <v>58.06</v>
      </c>
      <c r="L490" s="517"/>
      <c r="M490" s="471"/>
      <c r="N490" s="516"/>
      <c r="Q490" s="472"/>
      <c r="R490" s="472"/>
      <c r="S490" s="472"/>
      <c r="T490" s="472"/>
      <c r="U490" s="472"/>
      <c r="V490" s="472"/>
      <c r="W490" s="472"/>
      <c r="X490" s="472"/>
      <c r="Y490" s="472"/>
    </row>
    <row r="491" spans="1:25" x14ac:dyDescent="0.25">
      <c r="A491" s="463"/>
      <c r="B491" s="506"/>
      <c r="C491" s="507">
        <v>43059</v>
      </c>
      <c r="D491" s="508"/>
      <c r="E491" s="509" t="str">
        <f>IF($C491="",IFERROR(VLOOKUP($B491,SERVIÇOS!$B:$G,2,0),IFERROR(VLOOKUP($B491,$D:$K,2,0),"")),IFERROR(VLOOKUP($C491,INSUMOS!$A:$D,2,0),IFERROR(VLOOKUP($C491,COTAÇÕES!$B:$I,2,0),(VLOOKUP($C491,'INSUMO SINAPI - SP'!$C:$F,2,0)))))</f>
        <v>ACO CA-60, 4,2 MM, OU 5,0 MM, OU 6,0 MM, OU 7,0 MM, VERGALHAO</v>
      </c>
      <c r="F491" s="510" t="str">
        <f>IF($C491="",IFERROR(VLOOKUP($B491,SERVIÇOS!$B:$G,3,0),IFERROR(VLOOKUP($B491,$D:$K,3,0),"")),IFERROR(VLOOKUP($C491,INSUMOS!$A:$D,3,0),IFERROR(VLOOKUP($C491,COTAÇÕES!$B:$I,3,0),(VLOOKUP($C491,'INSUMO SINAPI - SP'!$C:$F,3,0)))))</f>
        <v>KG</v>
      </c>
      <c r="G491" s="511">
        <v>1.44</v>
      </c>
      <c r="H491" s="512">
        <f>IF($C491="",IFERROR(VLOOKUP($B491,SERVIÇOS!$B:$G,6,0),IFERROR(VLOOKUP($B491,$D:$K,8,0),"")),IFERROR(VLOOKUP($C491,INSUMOS!$A:$D,4,0),IFERROR(VLOOKUP($C491,COTAÇÕES!$B:$I,7,0),(VLOOKUP($C491,'INSUMO SINAPI - SP'!$C:$F,4,0)))))</f>
        <v>7.31</v>
      </c>
      <c r="I491" s="513">
        <f>TRUNC(IF($C491="",IFERROR(VLOOKUP($B491,SERVIÇOS!$B:$G,4,0),IFERROR(VLOOKUP($B491,$D:$K,6,0),)),IFERROR(VLOOKUP($C491,INSUMOS!$A:$D,4,0),IFERROR(VLOOKUP($C491,COTAÇÕES!$B:$I,7,0),(VLOOKUP($C491,'INSUMO SINAPI - SP'!$C:$F,4,0)))))*$G491,2)</f>
        <v>10.52</v>
      </c>
      <c r="J491" s="513">
        <f>TRUNC(IF($C491="",IFERROR(VLOOKUP($B491,SERVIÇOS!$B:$G,5,0),IFERROR(VLOOKUP($B491,$D:$K,7,0),)),0)*$G491,2)</f>
        <v>0</v>
      </c>
      <c r="K491" s="514">
        <f t="shared" si="20"/>
        <v>10.52</v>
      </c>
      <c r="L491" s="517"/>
      <c r="M491" s="471"/>
      <c r="N491" s="516"/>
      <c r="Q491" s="472"/>
      <c r="R491" s="472"/>
      <c r="S491" s="472"/>
      <c r="T491" s="472"/>
      <c r="U491" s="472"/>
      <c r="V491" s="472"/>
      <c r="W491" s="472"/>
      <c r="X491" s="472"/>
      <c r="Y491" s="472"/>
    </row>
    <row r="492" spans="1:25" x14ac:dyDescent="0.25">
      <c r="A492" s="463"/>
      <c r="B492" s="506"/>
      <c r="C492" s="507">
        <v>345</v>
      </c>
      <c r="D492" s="508"/>
      <c r="E492" s="509" t="str">
        <f>IF($C492="",IFERROR(VLOOKUP($B492,SERVIÇOS!$B:$G,2,0),IFERROR(VLOOKUP($B492,$D:$K,2,0),"")),IFERROR(VLOOKUP($C492,INSUMOS!$A:$D,2,0),IFERROR(VLOOKUP($C492,COTAÇÕES!$B:$I,2,0),(VLOOKUP($C492,'INSUMO SINAPI - SP'!$C:$F,2,0)))))</f>
        <v>ARAME GALVANIZADO 18 BWG, D = 1,24MM (0,009 KG/M)</v>
      </c>
      <c r="F492" s="510" t="str">
        <f>IF($C492="",IFERROR(VLOOKUP($B492,SERVIÇOS!$B:$G,3,0),IFERROR(VLOOKUP($B492,$D:$K,3,0),"")),IFERROR(VLOOKUP($C492,INSUMOS!$A:$D,3,0),IFERROR(VLOOKUP($C492,COTAÇÕES!$B:$I,3,0),(VLOOKUP($C492,'INSUMO SINAPI - SP'!$C:$F,3,0)))))</f>
        <v>KG</v>
      </c>
      <c r="G492" s="511">
        <v>2.9000000000000001E-2</v>
      </c>
      <c r="H492" s="512">
        <f>IF($C492="",IFERROR(VLOOKUP($B492,SERVIÇOS!$B:$G,6,0),IFERROR(VLOOKUP($B492,$D:$K,8,0),"")),IFERROR(VLOOKUP($C492,INSUMOS!$A:$D,4,0),IFERROR(VLOOKUP($C492,COTAÇÕES!$B:$I,7,0),(VLOOKUP($C492,'INSUMO SINAPI - SP'!$C:$F,4,0)))))</f>
        <v>37.729999999999997</v>
      </c>
      <c r="I492" s="513">
        <f>TRUNC(IF($C492="",IFERROR(VLOOKUP($B492,SERVIÇOS!$B:$G,4,0),IFERROR(VLOOKUP($B492,$D:$K,6,0),)),IFERROR(VLOOKUP($C492,INSUMOS!$A:$D,4,0),IFERROR(VLOOKUP($C492,COTAÇÕES!$B:$I,7,0),(VLOOKUP($C492,'INSUMO SINAPI - SP'!$C:$F,4,0)))))*$G492,2)</f>
        <v>1.0900000000000001</v>
      </c>
      <c r="J492" s="513">
        <f>TRUNC(IF($C492="",IFERROR(VLOOKUP($B492,SERVIÇOS!$B:$G,5,0),IFERROR(VLOOKUP($B492,$D:$K,7,0),)),0)*$G492,2)</f>
        <v>0</v>
      </c>
      <c r="K492" s="514">
        <f t="shared" si="20"/>
        <v>1.0900000000000001</v>
      </c>
      <c r="L492" s="517"/>
      <c r="M492" s="471"/>
      <c r="N492" s="516"/>
      <c r="Q492" s="472"/>
      <c r="R492" s="472"/>
      <c r="S492" s="472"/>
      <c r="T492" s="472"/>
      <c r="U492" s="472"/>
      <c r="V492" s="472"/>
      <c r="W492" s="472"/>
      <c r="X492" s="472"/>
      <c r="Y492" s="472"/>
    </row>
    <row r="493" spans="1:25" x14ac:dyDescent="0.25">
      <c r="A493" s="463"/>
      <c r="B493" s="506"/>
      <c r="C493" s="507">
        <v>367</v>
      </c>
      <c r="D493" s="508"/>
      <c r="E493" s="509" t="str">
        <f>IF($C493="",IFERROR(VLOOKUP($B493,SERVIÇOS!$B:$G,2,0),IFERROR(VLOOKUP($B493,$D:$K,2,0),"")),IFERROR(VLOOKUP($C493,INSUMOS!$A:$D,2,0),IFERROR(VLOOKUP($C493,COTAÇÕES!$B:$I,2,0),(VLOOKUP($C493,'INSUMO SINAPI - SP'!$C:$F,2,0)))))</f>
        <v>AREIA GROSSA - POSTO JAZIDA/FORNECEDOR (RETIRADO NA JAZIDA, SEM TRANSPORTE)</v>
      </c>
      <c r="F493" s="510" t="str">
        <f>IF($C493="",IFERROR(VLOOKUP($B493,SERVIÇOS!$B:$G,3,0),IFERROR(VLOOKUP($B493,$D:$K,3,0),"")),IFERROR(VLOOKUP($C493,INSUMOS!$A:$D,3,0),IFERROR(VLOOKUP($C493,COTAÇÕES!$B:$I,3,0),(VLOOKUP($C493,'INSUMO SINAPI - SP'!$C:$F,3,0)))))</f>
        <v>M3</v>
      </c>
      <c r="G493" s="511">
        <v>1.6E-2</v>
      </c>
      <c r="H493" s="512">
        <f>IF($C493="",IFERROR(VLOOKUP($B493,SERVIÇOS!$B:$G,6,0),IFERROR(VLOOKUP($B493,$D:$K,8,0),"")),IFERROR(VLOOKUP($C493,INSUMOS!$A:$D,4,0),IFERROR(VLOOKUP($C493,COTAÇÕES!$B:$I,7,0),(VLOOKUP($C493,'INSUMO SINAPI - SP'!$C:$F,4,0)))))</f>
        <v>120.63</v>
      </c>
      <c r="I493" s="513">
        <f>TRUNC(IF($C493="",IFERROR(VLOOKUP($B493,SERVIÇOS!$B:$G,4,0),IFERROR(VLOOKUP($B493,$D:$K,6,0),)),IFERROR(VLOOKUP($C493,INSUMOS!$A:$D,4,0),IFERROR(VLOOKUP($C493,COTAÇÕES!$B:$I,7,0),(VLOOKUP($C493,'INSUMO SINAPI - SP'!$C:$F,4,0)))))*$G493,2)</f>
        <v>1.93</v>
      </c>
      <c r="J493" s="513">
        <f>TRUNC(IF($C493="",IFERROR(VLOOKUP($B493,SERVIÇOS!$B:$G,5,0),IFERROR(VLOOKUP($B493,$D:$K,7,0),)),0)*$G493,2)</f>
        <v>0</v>
      </c>
      <c r="K493" s="514">
        <f t="shared" si="20"/>
        <v>1.93</v>
      </c>
      <c r="L493" s="517"/>
      <c r="M493" s="471"/>
      <c r="N493" s="516"/>
      <c r="Q493" s="472"/>
      <c r="R493" s="472"/>
      <c r="S493" s="472"/>
      <c r="T493" s="472"/>
      <c r="U493" s="472"/>
      <c r="V493" s="472"/>
      <c r="W493" s="472"/>
      <c r="X493" s="472"/>
      <c r="Y493" s="472"/>
    </row>
    <row r="494" spans="1:25" x14ac:dyDescent="0.25">
      <c r="A494" s="463"/>
      <c r="B494" s="506"/>
      <c r="C494" s="507">
        <v>1379</v>
      </c>
      <c r="D494" s="508"/>
      <c r="E494" s="509" t="str">
        <f>IF($C494="",IFERROR(VLOOKUP($B494,SERVIÇOS!$B:$G,2,0),IFERROR(VLOOKUP($B494,$D:$K,2,0),"")),IFERROR(VLOOKUP($C494,INSUMOS!$A:$D,2,0),IFERROR(VLOOKUP($C494,COTAÇÕES!$B:$I,2,0),(VLOOKUP($C494,'INSUMO SINAPI - SP'!$C:$F,2,0)))))</f>
        <v>CIMENTO PORTLAND COMPOSTO CP II-32</v>
      </c>
      <c r="F494" s="510" t="str">
        <f>IF($C494="",IFERROR(VLOOKUP($B494,SERVIÇOS!$B:$G,3,0),IFERROR(VLOOKUP($B494,$D:$K,3,0),"")),IFERROR(VLOOKUP($C494,INSUMOS!$A:$D,3,0),IFERROR(VLOOKUP($C494,COTAÇÕES!$B:$I,3,0),(VLOOKUP($C494,'INSUMO SINAPI - SP'!$C:$F,3,0)))))</f>
        <v>KG</v>
      </c>
      <c r="G494" s="511">
        <v>5.54</v>
      </c>
      <c r="H494" s="512">
        <f>IF($C494="",IFERROR(VLOOKUP($B494,SERVIÇOS!$B:$G,6,0),IFERROR(VLOOKUP($B494,$D:$K,8,0),"")),IFERROR(VLOOKUP($C494,INSUMOS!$A:$D,4,0),IFERROR(VLOOKUP($C494,COTAÇÕES!$B:$I,7,0),(VLOOKUP($C494,'INSUMO SINAPI - SP'!$C:$F,4,0)))))</f>
        <v>0.68</v>
      </c>
      <c r="I494" s="513">
        <f>TRUNC(IF($C494="",IFERROR(VLOOKUP($B494,SERVIÇOS!$B:$G,4,0),IFERROR(VLOOKUP($B494,$D:$K,6,0),)),IFERROR(VLOOKUP($C494,INSUMOS!$A:$D,4,0),IFERROR(VLOOKUP($C494,COTAÇÕES!$B:$I,7,0),(VLOOKUP($C494,'INSUMO SINAPI - SP'!$C:$F,4,0)))))*$G494,2)</f>
        <v>3.76</v>
      </c>
      <c r="J494" s="513">
        <f>TRUNC(IF($C494="",IFERROR(VLOOKUP($B494,SERVIÇOS!$B:$G,5,0),IFERROR(VLOOKUP($B494,$D:$K,7,0),)),0)*$G494,2)</f>
        <v>0</v>
      </c>
      <c r="K494" s="514">
        <f t="shared" si="20"/>
        <v>3.76</v>
      </c>
      <c r="L494" s="517"/>
      <c r="M494" s="471"/>
      <c r="N494" s="516"/>
      <c r="Q494" s="472"/>
      <c r="R494" s="472"/>
      <c r="S494" s="472"/>
      <c r="T494" s="472"/>
      <c r="U494" s="472"/>
      <c r="V494" s="472"/>
      <c r="W494" s="472"/>
      <c r="X494" s="472"/>
      <c r="Y494" s="472"/>
    </row>
    <row r="495" spans="1:25" x14ac:dyDescent="0.25">
      <c r="A495" s="463"/>
      <c r="B495" s="506"/>
      <c r="C495" s="507">
        <v>4512</v>
      </c>
      <c r="D495" s="508"/>
      <c r="E495" s="509" t="str">
        <f>IF($C495="",IFERROR(VLOOKUP($B495,SERVIÇOS!$B:$G,2,0),IFERROR(VLOOKUP($B495,$D:$K,2,0),"")),IFERROR(VLOOKUP($C495,INSUMOS!$A:$D,2,0),IFERROR(VLOOKUP($C495,COTAÇÕES!$B:$I,2,0),(VLOOKUP($C495,'INSUMO SINAPI - SP'!$C:$F,2,0)))))</f>
        <v>SARRAFO *2,5 X 5* CM EM PINUS, MISTA OU EQUIVALENTE DA REGIAO - BRUTA</v>
      </c>
      <c r="F495" s="510" t="str">
        <f>IF($C495="",IFERROR(VLOOKUP($B495,SERVIÇOS!$B:$G,3,0),IFERROR(VLOOKUP($B495,$D:$K,3,0),"")),IFERROR(VLOOKUP($C495,INSUMOS!$A:$D,3,0),IFERROR(VLOOKUP($C495,COTAÇÕES!$B:$I,3,0),(VLOOKUP($C495,'INSUMO SINAPI - SP'!$C:$F,3,0)))))</f>
        <v>M</v>
      </c>
      <c r="G495" s="511">
        <v>2.5</v>
      </c>
      <c r="H495" s="512">
        <f>IF($C495="",IFERROR(VLOOKUP($B495,SERVIÇOS!$B:$G,6,0),IFERROR(VLOOKUP($B495,$D:$K,8,0),"")),IFERROR(VLOOKUP($C495,INSUMOS!$A:$D,4,0),IFERROR(VLOOKUP($C495,COTAÇÕES!$B:$I,7,0),(VLOOKUP($C495,'INSUMO SINAPI - SP'!$C:$F,4,0)))))</f>
        <v>1.69</v>
      </c>
      <c r="I495" s="513">
        <f>TRUNC(IF($C495="",IFERROR(VLOOKUP($B495,SERVIÇOS!$B:$G,4,0),IFERROR(VLOOKUP($B495,$D:$K,6,0),)),IFERROR(VLOOKUP($C495,INSUMOS!$A:$D,4,0),IFERROR(VLOOKUP($C495,COTAÇÕES!$B:$I,7,0),(VLOOKUP($C495,'INSUMO SINAPI - SP'!$C:$F,4,0)))))*$G495,2)</f>
        <v>4.22</v>
      </c>
      <c r="J495" s="513">
        <f>TRUNC(IF($C495="",IFERROR(VLOOKUP($B495,SERVIÇOS!$B:$G,5,0),IFERROR(VLOOKUP($B495,$D:$K,7,0),)),0)*$G495,2)</f>
        <v>0</v>
      </c>
      <c r="K495" s="514">
        <f t="shared" si="20"/>
        <v>4.22</v>
      </c>
      <c r="L495" s="517"/>
      <c r="M495" s="471"/>
      <c r="N495" s="516"/>
      <c r="Q495" s="472"/>
      <c r="R495" s="472"/>
      <c r="S495" s="472"/>
      <c r="T495" s="472"/>
      <c r="U495" s="472"/>
      <c r="V495" s="472"/>
      <c r="W495" s="472"/>
      <c r="X495" s="472"/>
      <c r="Y495" s="472"/>
    </row>
    <row r="496" spans="1:25" x14ac:dyDescent="0.25">
      <c r="A496" s="463"/>
      <c r="B496" s="506"/>
      <c r="C496" s="507">
        <v>4718</v>
      </c>
      <c r="D496" s="508"/>
      <c r="E496" s="509" t="str">
        <f>IF($C496="",IFERROR(VLOOKUP($B496,SERVIÇOS!$B:$G,2,0),IFERROR(VLOOKUP($B496,$D:$K,2,0),"")),IFERROR(VLOOKUP($C496,INSUMOS!$A:$D,2,0),IFERROR(VLOOKUP($C496,COTAÇÕES!$B:$I,2,0),(VLOOKUP($C496,'INSUMO SINAPI - SP'!$C:$F,2,0)))))</f>
        <v>PEDRA BRITADA N. 2 (19 A 38 MM) POSTO PEDREIRA/FORNECEDOR, SEM FRETE</v>
      </c>
      <c r="F496" s="510" t="str">
        <f>IF($C496="",IFERROR(VLOOKUP($B496,SERVIÇOS!$B:$G,3,0),IFERROR(VLOOKUP($B496,$D:$K,3,0),"")),IFERROR(VLOOKUP($C496,INSUMOS!$A:$D,3,0),IFERROR(VLOOKUP($C496,COTAÇÕES!$B:$I,3,0),(VLOOKUP($C496,'INSUMO SINAPI - SP'!$C:$F,3,0)))))</f>
        <v>M3</v>
      </c>
      <c r="G496" s="511">
        <v>1.4999999999999999E-2</v>
      </c>
      <c r="H496" s="512">
        <f>IF($C496="",IFERROR(VLOOKUP($B496,SERVIÇOS!$B:$G,6,0),IFERROR(VLOOKUP($B496,$D:$K,8,0),"")),IFERROR(VLOOKUP($C496,INSUMOS!$A:$D,4,0),IFERROR(VLOOKUP($C496,COTAÇÕES!$B:$I,7,0),(VLOOKUP($C496,'INSUMO SINAPI - SP'!$C:$F,4,0)))))</f>
        <v>64.05</v>
      </c>
      <c r="I496" s="513">
        <f>TRUNC(IF($C496="",IFERROR(VLOOKUP($B496,SERVIÇOS!$B:$G,4,0),IFERROR(VLOOKUP($B496,$D:$K,6,0),)),IFERROR(VLOOKUP($C496,INSUMOS!$A:$D,4,0),IFERROR(VLOOKUP($C496,COTAÇÕES!$B:$I,7,0),(VLOOKUP($C496,'INSUMO SINAPI - SP'!$C:$F,4,0)))))*$G496,2)</f>
        <v>0.96</v>
      </c>
      <c r="J496" s="513">
        <f>TRUNC(IF($C496="",IFERROR(VLOOKUP($B496,SERVIÇOS!$B:$G,5,0),IFERROR(VLOOKUP($B496,$D:$K,7,0),)),0)*$G496,2)</f>
        <v>0</v>
      </c>
      <c r="K496" s="514">
        <f t="shared" si="20"/>
        <v>0.96</v>
      </c>
      <c r="L496" s="517"/>
      <c r="M496" s="471"/>
      <c r="N496" s="516"/>
      <c r="Q496" s="472"/>
      <c r="R496" s="472"/>
      <c r="S496" s="472"/>
      <c r="T496" s="472"/>
      <c r="U496" s="472"/>
      <c r="V496" s="472"/>
      <c r="W496" s="472"/>
      <c r="X496" s="472"/>
      <c r="Y496" s="472"/>
    </row>
    <row r="497" spans="1:25" x14ac:dyDescent="0.25">
      <c r="A497" s="463"/>
      <c r="B497" s="506"/>
      <c r="C497" s="507">
        <v>5068</v>
      </c>
      <c r="D497" s="508"/>
      <c r="E497" s="509" t="str">
        <f>IF($C497="",IFERROR(VLOOKUP($B497,SERVIÇOS!$B:$G,2,0),IFERROR(VLOOKUP($B497,$D:$K,2,0),"")),IFERROR(VLOOKUP($C497,INSUMOS!$A:$D,2,0),IFERROR(VLOOKUP($C497,COTAÇÕES!$B:$I,2,0),(VLOOKUP($C497,'INSUMO SINAPI - SP'!$C:$F,2,0)))))</f>
        <v>PREGO DE ACO POLIDO COM CABECA 17 X 21 (2 X 11)</v>
      </c>
      <c r="F497" s="510" t="str">
        <f>IF($C497="",IFERROR(VLOOKUP($B497,SERVIÇOS!$B:$G,3,0),IFERROR(VLOOKUP($B497,$D:$K,3,0),"")),IFERROR(VLOOKUP($C497,INSUMOS!$A:$D,3,0),IFERROR(VLOOKUP($C497,COTAÇÕES!$B:$I,3,0),(VLOOKUP($C497,'INSUMO SINAPI - SP'!$C:$F,3,0)))))</f>
        <v>KG</v>
      </c>
      <c r="G497" s="511">
        <v>0.08</v>
      </c>
      <c r="H497" s="512">
        <f>IF($C497="",IFERROR(VLOOKUP($B497,SERVIÇOS!$B:$G,6,0),IFERROR(VLOOKUP($B497,$D:$K,8,0),"")),IFERROR(VLOOKUP($C497,INSUMOS!$A:$D,4,0),IFERROR(VLOOKUP($C497,COTAÇÕES!$B:$I,7,0),(VLOOKUP($C497,'INSUMO SINAPI - SP'!$C:$F,4,0)))))</f>
        <v>16.07</v>
      </c>
      <c r="I497" s="513">
        <f>TRUNC(IF($C497="",IFERROR(VLOOKUP($B497,SERVIÇOS!$B:$G,4,0),IFERROR(VLOOKUP($B497,$D:$K,6,0),)),IFERROR(VLOOKUP($C497,INSUMOS!$A:$D,4,0),IFERROR(VLOOKUP($C497,COTAÇÕES!$B:$I,7,0),(VLOOKUP($C497,'INSUMO SINAPI - SP'!$C:$F,4,0)))))*$G497,2)</f>
        <v>1.28</v>
      </c>
      <c r="J497" s="513">
        <f>TRUNC(IF($C497="",IFERROR(VLOOKUP($B497,SERVIÇOS!$B:$G,5,0),IFERROR(VLOOKUP($B497,$D:$K,7,0),)),0)*$G497,2)</f>
        <v>0</v>
      </c>
      <c r="K497" s="514">
        <f t="shared" si="20"/>
        <v>1.28</v>
      </c>
      <c r="L497" s="517"/>
      <c r="M497" s="471"/>
      <c r="N497" s="516"/>
      <c r="Q497" s="472"/>
      <c r="R497" s="472"/>
      <c r="S497" s="472"/>
      <c r="T497" s="472"/>
      <c r="U497" s="472"/>
      <c r="V497" s="472"/>
      <c r="W497" s="472"/>
      <c r="X497" s="472"/>
      <c r="Y497" s="472"/>
    </row>
    <row r="498" spans="1:25" x14ac:dyDescent="0.25">
      <c r="A498" s="463"/>
      <c r="B498" s="506">
        <v>88245</v>
      </c>
      <c r="C498" s="507"/>
      <c r="D498" s="508"/>
      <c r="E498" s="509" t="str">
        <f>IF($C498="",IFERROR(VLOOKUP($B498,SERVIÇOS!$B:$G,2,0),IFERROR(VLOOKUP($B498,$D:$K,2,0),"")),IFERROR(VLOOKUP($C498,INSUMOS!$A:$D,2,0),IFERROR(VLOOKUP($C498,COTAÇÕES!$B:$I,2,0),(VLOOKUP($C498,'INSUMO SINAPI - SP'!$C:$F,2,0)))))</f>
        <v>ARMADOR COM ENCARGOS COMPLEMENTARES</v>
      </c>
      <c r="F498" s="510" t="str">
        <f>IF($C498="",IFERROR(VLOOKUP($B498,SERVIÇOS!$B:$G,3,0),IFERROR(VLOOKUP($B498,$D:$K,3,0),"")),IFERROR(VLOOKUP($C498,INSUMOS!$A:$D,3,0),IFERROR(VLOOKUP($C498,COTAÇÕES!$B:$I,3,0),(VLOOKUP($C498,'INSUMO SINAPI - SP'!$C:$F,3,0)))))</f>
        <v>H</v>
      </c>
      <c r="G498" s="511">
        <v>0.1</v>
      </c>
      <c r="H498" s="512">
        <f>IF($C498="",IFERROR(VLOOKUP($B498,SERVIÇOS!$B:$G,6,0),IFERROR(VLOOKUP($B498,$D:$K,8,0),"")),IFERROR(VLOOKUP($C498,INSUMOS!$A:$D,4,0),IFERROR(VLOOKUP($C498,COTAÇÕES!$B:$I,7,0),(VLOOKUP($C498,'INSUMO SINAPI - SP'!$C:$F,4,0)))))</f>
        <v>36.65</v>
      </c>
      <c r="I498" s="513">
        <f>TRUNC(IF($C498="",IFERROR(VLOOKUP($B498,SERVIÇOS!$B:$G,4,0),IFERROR(VLOOKUP($B498,$D:$K,6,0),)),IFERROR(VLOOKUP($C498,INSUMOS!$A:$D,4,0),IFERROR(VLOOKUP($C498,COTAÇÕES!$B:$I,7,0),(VLOOKUP($C498,'INSUMO SINAPI - SP'!$C:$F,4,0)))))*$G498,2)</f>
        <v>0.92</v>
      </c>
      <c r="J498" s="513">
        <f>TRUNC(IF($C498="",IFERROR(VLOOKUP($B498,SERVIÇOS!$B:$G,5,0),IFERROR(VLOOKUP($B498,$D:$K,7,0),)),0)*$G498,2)</f>
        <v>2.73</v>
      </c>
      <c r="K498" s="514">
        <f t="shared" si="20"/>
        <v>3.65</v>
      </c>
      <c r="L498" s="515"/>
      <c r="M498" s="471"/>
      <c r="N498" s="516"/>
      <c r="Q498" s="472"/>
      <c r="R498" s="472"/>
      <c r="S498" s="472"/>
      <c r="T498" s="472"/>
      <c r="U498" s="472"/>
      <c r="V498" s="472"/>
      <c r="W498" s="472"/>
      <c r="X498" s="472"/>
      <c r="Y498" s="472"/>
    </row>
    <row r="499" spans="1:25" x14ac:dyDescent="0.25">
      <c r="A499" s="463"/>
      <c r="B499" s="506">
        <v>88262</v>
      </c>
      <c r="C499" s="507"/>
      <c r="D499" s="508"/>
      <c r="E499" s="509" t="str">
        <f>IF($C499="",IFERROR(VLOOKUP($B499,SERVIÇOS!$B:$G,2,0),IFERROR(VLOOKUP($B499,$D:$K,2,0),"")),IFERROR(VLOOKUP($C499,INSUMOS!$A:$D,2,0),IFERROR(VLOOKUP($C499,COTAÇÕES!$B:$I,2,0),(VLOOKUP($C499,'INSUMO SINAPI - SP'!$C:$F,2,0)))))</f>
        <v>CARPINTEIRO DE FORMAS COM ENCARGOS COMPLEMENTARES</v>
      </c>
      <c r="F499" s="510" t="str">
        <f>IF($C499="",IFERROR(VLOOKUP($B499,SERVIÇOS!$B:$G,3,0),IFERROR(VLOOKUP($B499,$D:$K,3,0),"")),IFERROR(VLOOKUP($C499,INSUMOS!$A:$D,3,0),IFERROR(VLOOKUP($C499,COTAÇÕES!$B:$I,3,0),(VLOOKUP($C499,'INSUMO SINAPI - SP'!$C:$F,3,0)))))</f>
        <v>H</v>
      </c>
      <c r="G499" s="511">
        <v>0.1</v>
      </c>
      <c r="H499" s="512">
        <f>IF($C499="",IFERROR(VLOOKUP($B499,SERVIÇOS!$B:$G,6,0),IFERROR(VLOOKUP($B499,$D:$K,8,0),"")),IFERROR(VLOOKUP($C499,INSUMOS!$A:$D,4,0),IFERROR(VLOOKUP($C499,COTAÇÕES!$B:$I,7,0),(VLOOKUP($C499,'INSUMO SINAPI - SP'!$C:$F,4,0)))))</f>
        <v>36.43</v>
      </c>
      <c r="I499" s="513">
        <f>TRUNC(IF($C499="",IFERROR(VLOOKUP($B499,SERVIÇOS!$B:$G,4,0),IFERROR(VLOOKUP($B499,$D:$K,6,0),)),IFERROR(VLOOKUP($C499,INSUMOS!$A:$D,4,0),IFERROR(VLOOKUP($C499,COTAÇÕES!$B:$I,7,0),(VLOOKUP($C499,'INSUMO SINAPI - SP'!$C:$F,4,0)))))*$G499,2)</f>
        <v>0.9</v>
      </c>
      <c r="J499" s="513">
        <f>TRUNC(IF($C499="",IFERROR(VLOOKUP($B499,SERVIÇOS!$B:$G,5,0),IFERROR(VLOOKUP($B499,$D:$K,7,0),)),0)*$G499,2)</f>
        <v>2.73</v>
      </c>
      <c r="K499" s="514">
        <f t="shared" si="20"/>
        <v>3.63</v>
      </c>
      <c r="L499" s="515"/>
      <c r="M499" s="471"/>
      <c r="N499" s="516"/>
      <c r="Q499" s="472"/>
      <c r="R499" s="472"/>
      <c r="S499" s="472"/>
      <c r="T499" s="472"/>
      <c r="U499" s="472"/>
      <c r="V499" s="472"/>
      <c r="W499" s="472"/>
      <c r="X499" s="472"/>
      <c r="Y499" s="472"/>
    </row>
    <row r="500" spans="1:25" x14ac:dyDescent="0.25">
      <c r="A500" s="463"/>
      <c r="B500" s="506">
        <v>88316</v>
      </c>
      <c r="C500" s="507"/>
      <c r="D500" s="508"/>
      <c r="E500" s="509" t="str">
        <f>IF($C500="",IFERROR(VLOOKUP($B500,SERVIÇOS!$B:$G,2,0),IFERROR(VLOOKUP($B500,$D:$K,2,0),"")),IFERROR(VLOOKUP($C500,INSUMOS!$A:$D,2,0),IFERROR(VLOOKUP($C500,COTAÇÕES!$B:$I,2,0),(VLOOKUP($C500,'INSUMO SINAPI - SP'!$C:$F,2,0)))))</f>
        <v>SERVENTE COM ENCARGOS COMPLEMENTARES</v>
      </c>
      <c r="F500" s="510" t="str">
        <f>IF($C500="",IFERROR(VLOOKUP($B500,SERVIÇOS!$B:$G,3,0),IFERROR(VLOOKUP($B500,$D:$K,3,0),"")),IFERROR(VLOOKUP($C500,INSUMOS!$A:$D,3,0),IFERROR(VLOOKUP($C500,COTAÇÕES!$B:$I,3,0),(VLOOKUP($C500,'INSUMO SINAPI - SP'!$C:$F,3,0)))))</f>
        <v>H</v>
      </c>
      <c r="G500" s="511">
        <v>0.2</v>
      </c>
      <c r="H500" s="512">
        <f>IF($C500="",IFERROR(VLOOKUP($B500,SERVIÇOS!$B:$G,6,0),IFERROR(VLOOKUP($B500,$D:$K,8,0),"")),IFERROR(VLOOKUP($C500,INSUMOS!$A:$D,4,0),IFERROR(VLOOKUP($C500,COTAÇÕES!$B:$I,7,0),(VLOOKUP($C500,'INSUMO SINAPI - SP'!$C:$F,4,0)))))</f>
        <v>28.71</v>
      </c>
      <c r="I500" s="513">
        <f>TRUNC(IF($C500="",IFERROR(VLOOKUP($B500,SERVIÇOS!$B:$G,4,0),IFERROR(VLOOKUP($B500,$D:$K,6,0),)),IFERROR(VLOOKUP($C500,INSUMOS!$A:$D,4,0),IFERROR(VLOOKUP($C500,COTAÇÕES!$B:$I,7,0),(VLOOKUP($C500,'INSUMO SINAPI - SP'!$C:$F,4,0)))))*$G500,2)</f>
        <v>1.84</v>
      </c>
      <c r="J500" s="513">
        <f>TRUNC(IF($C500="",IFERROR(VLOOKUP($B500,SERVIÇOS!$B:$G,5,0),IFERROR(VLOOKUP($B500,$D:$K,7,0),)),0)*$G500,2)</f>
        <v>3.9</v>
      </c>
      <c r="K500" s="514">
        <f t="shared" si="20"/>
        <v>5.74</v>
      </c>
      <c r="L500" s="515"/>
      <c r="M500" s="471"/>
      <c r="N500" s="516"/>
      <c r="Q500" s="472"/>
      <c r="R500" s="472"/>
      <c r="S500" s="472"/>
      <c r="T500" s="472"/>
      <c r="U500" s="472"/>
      <c r="V500" s="472"/>
      <c r="W500" s="472"/>
      <c r="X500" s="472"/>
      <c r="Y500" s="472"/>
    </row>
    <row r="501" spans="1:25" ht="24" x14ac:dyDescent="0.25">
      <c r="A501" s="463"/>
      <c r="B501" s="506">
        <v>88830</v>
      </c>
      <c r="C501" s="507"/>
      <c r="D501" s="508"/>
      <c r="E501" s="509" t="str">
        <f>IF($C501="",IFERROR(VLOOKUP($B501,SERVIÇOS!$B:$G,2,0),IFERROR(VLOOKUP($B501,$D:$K,2,0),"")),IFERROR(VLOOKUP($C501,INSUMOS!$A:$D,2,0),IFERROR(VLOOKUP($C501,COTAÇÕES!$B:$I,2,0),(VLOOKUP($C501,'INSUMO SINAPI - SP'!$C:$F,2,0)))))</f>
        <v>BETONEIRA CAPACIDADE NOMINAL DE 400 L, CAPACIDADE DE MISTURA 280 L, MOTOR ELÉTRICO TRIFÁSICO POTÊNCIA DE 2 CV, SEM CARREGADOR - CHP DIURNO. AF_05/2023</v>
      </c>
      <c r="F501" s="510" t="str">
        <f>IF($C501="",IFERROR(VLOOKUP($B501,SERVIÇOS!$B:$G,3,0),IFERROR(VLOOKUP($B501,$D:$K,3,0),"")),IFERROR(VLOOKUP($C501,INSUMOS!$A:$D,3,0),IFERROR(VLOOKUP($C501,COTAÇÕES!$B:$I,3,0),(VLOOKUP($C501,'INSUMO SINAPI - SP'!$C:$F,3,0)))))</f>
        <v>CHP</v>
      </c>
      <c r="G501" s="511">
        <v>1.4E-2</v>
      </c>
      <c r="H501" s="512">
        <f>IF($C501="",IFERROR(VLOOKUP($B501,SERVIÇOS!$B:$G,6,0),IFERROR(VLOOKUP($B501,$D:$K,8,0),"")),IFERROR(VLOOKUP($C501,INSUMOS!$A:$D,4,0),IFERROR(VLOOKUP($C501,COTAÇÕES!$B:$I,7,0),(VLOOKUP($C501,'INSUMO SINAPI - SP'!$C:$F,4,0)))))</f>
        <v>1.58</v>
      </c>
      <c r="I501" s="513">
        <f>TRUNC(IF($C501="",IFERROR(VLOOKUP($B501,SERVIÇOS!$B:$G,4,0),IFERROR(VLOOKUP($B501,$D:$K,6,0),)),IFERROR(VLOOKUP($C501,INSUMOS!$A:$D,4,0),IFERROR(VLOOKUP($C501,COTAÇÕES!$B:$I,7,0),(VLOOKUP($C501,'INSUMO SINAPI - SP'!$C:$F,4,0)))))*$G501,2)</f>
        <v>0.02</v>
      </c>
      <c r="J501" s="513">
        <f>TRUNC(IF($C501="",IFERROR(VLOOKUP($B501,SERVIÇOS!$B:$G,5,0),IFERROR(VLOOKUP($B501,$D:$K,7,0),)),0)*$G501,2)</f>
        <v>0</v>
      </c>
      <c r="K501" s="514">
        <f t="shared" si="20"/>
        <v>0.02</v>
      </c>
      <c r="L501" s="515"/>
      <c r="M501" s="471"/>
      <c r="N501" s="516"/>
      <c r="Q501" s="472"/>
      <c r="R501" s="472"/>
      <c r="S501" s="472"/>
      <c r="T501" s="472"/>
      <c r="U501" s="472"/>
      <c r="V501" s="472"/>
      <c r="W501" s="472"/>
      <c r="X501" s="472"/>
      <c r="Y501" s="472"/>
    </row>
    <row r="502" spans="1:25" x14ac:dyDescent="0.25">
      <c r="A502" s="463"/>
      <c r="B502" s="498"/>
      <c r="C502" s="498"/>
      <c r="D502" s="499" t="s">
        <v>12134</v>
      </c>
      <c r="E502" s="500" t="s">
        <v>12868</v>
      </c>
      <c r="F502" s="501" t="s">
        <v>580</v>
      </c>
      <c r="G502" s="502"/>
      <c r="H502" s="503"/>
      <c r="I502" s="504">
        <f>ROUND(SUM(I503:I512),2)</f>
        <v>281.63</v>
      </c>
      <c r="J502" s="504">
        <f>ROUND(SUM(J503:J512),2)</f>
        <v>295.2</v>
      </c>
      <c r="K502" s="504">
        <f>+J502+I502</f>
        <v>576.82999999999993</v>
      </c>
      <c r="L502" s="523"/>
      <c r="M502" s="471"/>
      <c r="N502" s="505"/>
      <c r="Q502" s="472"/>
      <c r="R502" s="472"/>
      <c r="S502" s="472"/>
      <c r="T502" s="472"/>
      <c r="U502" s="472"/>
      <c r="V502" s="472"/>
      <c r="W502" s="472"/>
      <c r="X502" s="472"/>
      <c r="Y502" s="472"/>
    </row>
    <row r="503" spans="1:25" x14ac:dyDescent="0.25">
      <c r="A503" s="463"/>
      <c r="B503" s="506"/>
      <c r="C503" s="507">
        <v>7258</v>
      </c>
      <c r="D503" s="508"/>
      <c r="E503" s="509" t="str">
        <f>IF($C503="",IFERROR(VLOOKUP($B503,SERVIÇOS!$B:$G,2,0),IFERROR(VLOOKUP($B503,$D:$K,2,0),"")),IFERROR(VLOOKUP($C503,INSUMOS!$A:$D,2,0),IFERROR(VLOOKUP($C503,COTAÇÕES!$B:$I,2,0),(VLOOKUP($C503,'INSUMO SINAPI - SP'!$C:$F,2,0)))))</f>
        <v>TIJOLO CERAMICO MACICO COMUM DE *5 X 10 X 20* CM (L X A X C)</v>
      </c>
      <c r="F503" s="510" t="str">
        <f>IF($C503="",IFERROR(VLOOKUP($B503,SERVIÇOS!$B:$G,3,0),IFERROR(VLOOKUP($B503,$D:$K,3,0),"")),IFERROR(VLOOKUP($C503,INSUMOS!$A:$D,3,0),IFERROR(VLOOKUP($C503,COTAÇÕES!$B:$I,3,0),(VLOOKUP($C503,'INSUMO SINAPI - SP'!$C:$F,3,0)))))</f>
        <v>UN</v>
      </c>
      <c r="G503" s="511">
        <v>121.74715</v>
      </c>
      <c r="H503" s="512">
        <f>IF($C503="",IFERROR(VLOOKUP($B503,SERVIÇOS!$B:$G,6,0),IFERROR(VLOOKUP($B503,$D:$K,8,0),"")),IFERROR(VLOOKUP($C503,INSUMOS!$A:$D,4,0),IFERROR(VLOOKUP($C503,COTAÇÕES!$B:$I,7,0),(VLOOKUP($C503,'INSUMO SINAPI - SP'!$C:$F,4,0)))))</f>
        <v>0.54</v>
      </c>
      <c r="I503" s="513">
        <f>TRUNC(IF($C503="",IFERROR(VLOOKUP($B503,SERVIÇOS!$B:$G,4,0),IFERROR(VLOOKUP($B503,$D:$K,6,0),)),IFERROR(VLOOKUP($C503,INSUMOS!$A:$D,4,0),IFERROR(VLOOKUP($C503,COTAÇÕES!$B:$I,7,0),(VLOOKUP($C503,'INSUMO SINAPI - SP'!$C:$F,4,0)))))*$G503,2)</f>
        <v>65.739999999999995</v>
      </c>
      <c r="J503" s="513">
        <f>TRUNC(IF($C503="",IFERROR(VLOOKUP($B503,SERVIÇOS!$B:$G,5,0),IFERROR(VLOOKUP($B503,$D:$K,7,0),)),0)*$G503,2)</f>
        <v>0</v>
      </c>
      <c r="K503" s="514">
        <f t="shared" ref="K503:K512" si="21">I503+J503</f>
        <v>65.739999999999995</v>
      </c>
      <c r="L503" s="517"/>
      <c r="M503" s="471"/>
      <c r="N503" s="516"/>
      <c r="Q503" s="472"/>
      <c r="R503" s="472"/>
      <c r="S503" s="472"/>
      <c r="T503" s="472"/>
      <c r="U503" s="472"/>
      <c r="V503" s="472"/>
      <c r="W503" s="472"/>
      <c r="X503" s="472"/>
      <c r="Y503" s="472"/>
    </row>
    <row r="504" spans="1:25" ht="24" x14ac:dyDescent="0.25">
      <c r="A504" s="463"/>
      <c r="B504" s="506">
        <v>87316</v>
      </c>
      <c r="C504" s="507"/>
      <c r="D504" s="508"/>
      <c r="E504" s="509" t="str">
        <f>IF($C504="",IFERROR(VLOOKUP($B504,SERVIÇOS!$B:$G,2,0),IFERROR(VLOOKUP($B504,$D:$K,2,0),"")),IFERROR(VLOOKUP($C504,INSUMOS!$A:$D,2,0),IFERROR(VLOOKUP($C504,COTAÇÕES!$B:$I,2,0),(VLOOKUP($C504,'INSUMO SINAPI - SP'!$C:$F,2,0)))))</f>
        <v>ARGAMASSA TRAÇO 1:4 (EM VOLUME DE CIMENTO E AREIA GROSSA ÚMIDA) PARA CHAPISCO CONVENCIONAL, PREPARO MECÂNICO COM BETONEIRA 400 L. AF_08/2019</v>
      </c>
      <c r="F504" s="510" t="str">
        <f>IF($C504="",IFERROR(VLOOKUP($B504,SERVIÇOS!$B:$G,3,0),IFERROR(VLOOKUP($B504,$D:$K,3,0),"")),IFERROR(VLOOKUP($C504,INSUMOS!$A:$D,3,0),IFERROR(VLOOKUP($C504,COTAÇÕES!$B:$I,3,0),(VLOOKUP($C504,'INSUMO SINAPI - SP'!$C:$F,3,0)))))</f>
        <v>M3</v>
      </c>
      <c r="G504" s="511">
        <v>1E-3</v>
      </c>
      <c r="H504" s="512">
        <f>IF($C504="",IFERROR(VLOOKUP($B504,SERVIÇOS!$B:$G,6,0),IFERROR(VLOOKUP($B504,$D:$K,8,0),"")),IFERROR(VLOOKUP($C504,INSUMOS!$A:$D,4,0),IFERROR(VLOOKUP($C504,COTAÇÕES!$B:$I,7,0),(VLOOKUP($C504,'INSUMO SINAPI - SP'!$C:$F,4,0)))))</f>
        <v>513.03</v>
      </c>
      <c r="I504" s="513">
        <f>TRUNC(IF($C504="",IFERROR(VLOOKUP($B504,SERVIÇOS!$B:$G,4,0),IFERROR(VLOOKUP($B504,$D:$K,6,0),)),IFERROR(VLOOKUP($C504,INSUMOS!$A:$D,4,0),IFERROR(VLOOKUP($C504,COTAÇÕES!$B:$I,7,0),(VLOOKUP($C504,'INSUMO SINAPI - SP'!$C:$F,4,0)))))*$G504,2)</f>
        <v>0.39</v>
      </c>
      <c r="J504" s="513">
        <f>TRUNC(IF($C504="",IFERROR(VLOOKUP($B504,SERVIÇOS!$B:$G,5,0),IFERROR(VLOOKUP($B504,$D:$K,7,0),)),0)*$G504,2)</f>
        <v>0.11</v>
      </c>
      <c r="K504" s="514">
        <f t="shared" si="21"/>
        <v>0.5</v>
      </c>
      <c r="L504" s="515"/>
      <c r="M504" s="471"/>
      <c r="N504" s="516"/>
      <c r="Q504" s="472"/>
      <c r="R504" s="472"/>
      <c r="S504" s="472"/>
      <c r="T504" s="472"/>
      <c r="U504" s="472"/>
      <c r="V504" s="472"/>
      <c r="W504" s="472"/>
      <c r="X504" s="472"/>
      <c r="Y504" s="472"/>
    </row>
    <row r="505" spans="1:25" x14ac:dyDescent="0.25">
      <c r="A505" s="463"/>
      <c r="B505" s="506">
        <v>88309</v>
      </c>
      <c r="C505" s="507"/>
      <c r="D505" s="508"/>
      <c r="E505" s="509" t="str">
        <f>IF($C505="",IFERROR(VLOOKUP($B505,SERVIÇOS!$B:$G,2,0),IFERROR(VLOOKUP($B505,$D:$K,2,0),"")),IFERROR(VLOOKUP($C505,INSUMOS!$A:$D,2,0),IFERROR(VLOOKUP($C505,COTAÇÕES!$B:$I,2,0),(VLOOKUP($C505,'INSUMO SINAPI - SP'!$C:$F,2,0)))))</f>
        <v>PEDREIRO COM ENCARGOS COMPLEMENTARES</v>
      </c>
      <c r="F505" s="510" t="str">
        <f>IF($C505="",IFERROR(VLOOKUP($B505,SERVIÇOS!$B:$G,3,0),IFERROR(VLOOKUP($B505,$D:$K,3,0),"")),IFERROR(VLOOKUP($C505,INSUMOS!$A:$D,3,0),IFERROR(VLOOKUP($C505,COTAÇÕES!$B:$I,3,0),(VLOOKUP($C505,'INSUMO SINAPI - SP'!$C:$F,3,0)))))</f>
        <v>H</v>
      </c>
      <c r="G505" s="511">
        <v>4.4691000000000001</v>
      </c>
      <c r="H505" s="512">
        <f>IF($C505="",IFERROR(VLOOKUP($B505,SERVIÇOS!$B:$G,6,0),IFERROR(VLOOKUP($B505,$D:$K,8,0),"")),IFERROR(VLOOKUP($C505,INSUMOS!$A:$D,4,0),IFERROR(VLOOKUP($C505,COTAÇÕES!$B:$I,7,0),(VLOOKUP($C505,'INSUMO SINAPI - SP'!$C:$F,4,0)))))</f>
        <v>36.909999999999997</v>
      </c>
      <c r="I505" s="513">
        <f>TRUNC(IF($C505="",IFERROR(VLOOKUP($B505,SERVIÇOS!$B:$G,4,0),IFERROR(VLOOKUP($B505,$D:$K,6,0),)),IFERROR(VLOOKUP($C505,INSUMOS!$A:$D,4,0),IFERROR(VLOOKUP($C505,COTAÇÕES!$B:$I,7,0),(VLOOKUP($C505,'INSUMO SINAPI - SP'!$C:$F,4,0)))))*$G505,2)</f>
        <v>41.47</v>
      </c>
      <c r="J505" s="513">
        <f>TRUNC(IF($C505="",IFERROR(VLOOKUP($B505,SERVIÇOS!$B:$G,5,0),IFERROR(VLOOKUP($B505,$D:$K,7,0),)),0)*$G505,2)</f>
        <v>123.48</v>
      </c>
      <c r="K505" s="514">
        <f t="shared" si="21"/>
        <v>164.95</v>
      </c>
      <c r="L505" s="515"/>
      <c r="M505" s="471"/>
      <c r="N505" s="516"/>
      <c r="Q505" s="472"/>
      <c r="R505" s="472"/>
      <c r="S505" s="472"/>
      <c r="T505" s="472"/>
      <c r="U505" s="472"/>
      <c r="V505" s="472"/>
      <c r="W505" s="472"/>
      <c r="X505" s="472"/>
      <c r="Y505" s="472"/>
    </row>
    <row r="506" spans="1:25" x14ac:dyDescent="0.25">
      <c r="A506" s="463"/>
      <c r="B506" s="506">
        <v>88316</v>
      </c>
      <c r="C506" s="507"/>
      <c r="D506" s="508"/>
      <c r="E506" s="509" t="str">
        <f>IF($C506="",IFERROR(VLOOKUP($B506,SERVIÇOS!$B:$G,2,0),IFERROR(VLOOKUP($B506,$D:$K,2,0),"")),IFERROR(VLOOKUP($C506,INSUMOS!$A:$D,2,0),IFERROR(VLOOKUP($C506,COTAÇÕES!$B:$I,2,0),(VLOOKUP($C506,'INSUMO SINAPI - SP'!$C:$F,2,0)))))</f>
        <v>SERVENTE COM ENCARGOS COMPLEMENTARES</v>
      </c>
      <c r="F506" s="510" t="str">
        <f>IF($C506="",IFERROR(VLOOKUP($B506,SERVIÇOS!$B:$G,3,0),IFERROR(VLOOKUP($B506,$D:$K,3,0),"")),IFERROR(VLOOKUP($C506,INSUMOS!$A:$D,3,0),IFERROR(VLOOKUP($C506,COTAÇÕES!$B:$I,3,0),(VLOOKUP($C506,'INSUMO SINAPI - SP'!$C:$F,3,0)))))</f>
        <v>H</v>
      </c>
      <c r="G506" s="511">
        <v>4.4691000000000001</v>
      </c>
      <c r="H506" s="512">
        <f>IF($C506="",IFERROR(VLOOKUP($B506,SERVIÇOS!$B:$G,6,0),IFERROR(VLOOKUP($B506,$D:$K,8,0),"")),IFERROR(VLOOKUP($C506,INSUMOS!$A:$D,4,0),IFERROR(VLOOKUP($C506,COTAÇÕES!$B:$I,7,0),(VLOOKUP($C506,'INSUMO SINAPI - SP'!$C:$F,4,0)))))</f>
        <v>28.71</v>
      </c>
      <c r="I506" s="513">
        <f>TRUNC(IF($C506="",IFERROR(VLOOKUP($B506,SERVIÇOS!$B:$G,4,0),IFERROR(VLOOKUP($B506,$D:$K,6,0),)),IFERROR(VLOOKUP($C506,INSUMOS!$A:$D,4,0),IFERROR(VLOOKUP($C506,COTAÇÕES!$B:$I,7,0),(VLOOKUP($C506,'INSUMO SINAPI - SP'!$C:$F,4,0)))))*$G506,2)</f>
        <v>41.11</v>
      </c>
      <c r="J506" s="513">
        <f>TRUNC(IF($C506="",IFERROR(VLOOKUP($B506,SERVIÇOS!$B:$G,5,0),IFERROR(VLOOKUP($B506,$D:$K,7,0),)),0)*$G506,2)</f>
        <v>87.19</v>
      </c>
      <c r="K506" s="514">
        <f t="shared" si="21"/>
        <v>128.30000000000001</v>
      </c>
      <c r="L506" s="515"/>
      <c r="M506" s="471"/>
      <c r="N506" s="516"/>
      <c r="Q506" s="472"/>
      <c r="R506" s="472"/>
      <c r="S506" s="472"/>
      <c r="T506" s="472"/>
      <c r="U506" s="472"/>
      <c r="V506" s="472"/>
      <c r="W506" s="472"/>
      <c r="X506" s="472"/>
      <c r="Y506" s="472"/>
    </row>
    <row r="507" spans="1:25" ht="24" x14ac:dyDescent="0.25">
      <c r="A507" s="463"/>
      <c r="B507" s="506">
        <v>94970</v>
      </c>
      <c r="C507" s="507"/>
      <c r="D507" s="508"/>
      <c r="E507" s="509" t="str">
        <f>IF($C507="",IFERROR(VLOOKUP($B507,SERVIÇOS!$B:$G,2,0),IFERROR(VLOOKUP($B507,$D:$K,2,0),"")),IFERROR(VLOOKUP($C507,INSUMOS!$A:$D,2,0),IFERROR(VLOOKUP($C507,COTAÇÕES!$B:$I,2,0),(VLOOKUP($C507,'INSUMO SINAPI - SP'!$C:$F,2,0)))))</f>
        <v>CONCRETO FCK = 20MPA, TRAÇO 1:2,7:3 (EM MASSA SECA DE CIMENTO/ AREIA MÉDIA/ BRITA 1) - PREPARO MECÂNICO COM BETONEIRA 600 L. AF_05/2021</v>
      </c>
      <c r="F507" s="510" t="str">
        <f>IF($C507="",IFERROR(VLOOKUP($B507,SERVIÇOS!$B:$G,3,0),IFERROR(VLOOKUP($B507,$D:$K,3,0),"")),IFERROR(VLOOKUP($C507,INSUMOS!$A:$D,3,0),IFERROR(VLOOKUP($C507,COTAÇÕES!$B:$I,3,0),(VLOOKUP($C507,'INSUMO SINAPI - SP'!$C:$F,3,0)))))</f>
        <v>M3</v>
      </c>
      <c r="G507" s="511">
        <v>5.815E-2</v>
      </c>
      <c r="H507" s="512">
        <f>IF($C507="",IFERROR(VLOOKUP($B507,SERVIÇOS!$B:$G,6,0),IFERROR(VLOOKUP($B507,$D:$K,8,0),"")),IFERROR(VLOOKUP($C507,INSUMOS!$A:$D,4,0),IFERROR(VLOOKUP($C507,COTAÇÕES!$B:$I,7,0),(VLOOKUP($C507,'INSUMO SINAPI - SP'!$C:$F,4,0)))))</f>
        <v>453.74</v>
      </c>
      <c r="I507" s="513">
        <f>TRUNC(IF($C507="",IFERROR(VLOOKUP($B507,SERVIÇOS!$B:$G,4,0),IFERROR(VLOOKUP($B507,$D:$K,6,0),)),IFERROR(VLOOKUP($C507,INSUMOS!$A:$D,4,0),IFERROR(VLOOKUP($C507,COTAÇÕES!$B:$I,7,0),(VLOOKUP($C507,'INSUMO SINAPI - SP'!$C:$F,4,0)))))*$G507,2)</f>
        <v>22.23</v>
      </c>
      <c r="J507" s="513">
        <f>TRUNC(IF($C507="",IFERROR(VLOOKUP($B507,SERVIÇOS!$B:$G,5,0),IFERROR(VLOOKUP($B507,$D:$K,7,0),)),0)*$G507,2)</f>
        <v>4.1500000000000004</v>
      </c>
      <c r="K507" s="514">
        <f t="shared" si="21"/>
        <v>26.380000000000003</v>
      </c>
      <c r="L507" s="515"/>
      <c r="M507" s="471"/>
      <c r="N507" s="516"/>
      <c r="Q507" s="472"/>
      <c r="R507" s="472"/>
      <c r="S507" s="472"/>
      <c r="T507" s="472"/>
      <c r="U507" s="472"/>
      <c r="V507" s="472"/>
      <c r="W507" s="472"/>
      <c r="X507" s="472"/>
      <c r="Y507" s="472"/>
    </row>
    <row r="508" spans="1:25" ht="24" x14ac:dyDescent="0.25">
      <c r="A508" s="463"/>
      <c r="B508" s="506">
        <v>97734</v>
      </c>
      <c r="C508" s="507"/>
      <c r="D508" s="508"/>
      <c r="E508" s="509" t="str">
        <f>IF($C508="",IFERROR(VLOOKUP($B508,SERVIÇOS!$B:$G,2,0),IFERROR(VLOOKUP($B508,$D:$K,2,0),"")),IFERROR(VLOOKUP($C508,INSUMOS!$A:$D,2,0),IFERROR(VLOOKUP($C508,COTAÇÕES!$B:$I,2,0),(VLOOKUP($C508,'INSUMO SINAPI - SP'!$C:$F,2,0)))))</f>
        <v>PEÇA RETANGULAR PRÉ-MOLDADA, VOLUME DE CONCRETO DE 10 A 30 LITROS, TAXA DE AÇO APROXIMADA DE 30KG/M³. AF_03/2024</v>
      </c>
      <c r="F508" s="510" t="str">
        <f>IF($C508="",IFERROR(VLOOKUP($B508,SERVIÇOS!$B:$G,3,0),IFERROR(VLOOKUP($B508,$D:$K,3,0),"")),IFERROR(VLOOKUP($C508,INSUMOS!$A:$D,3,0),IFERROR(VLOOKUP($C508,COTAÇÕES!$B:$I,3,0),(VLOOKUP($C508,'INSUMO SINAPI - SP'!$C:$F,3,0)))))</f>
        <v>M3</v>
      </c>
      <c r="G508" s="511">
        <v>3.5000000000000003E-2</v>
      </c>
      <c r="H508" s="512">
        <f>IF($C508="",IFERROR(VLOOKUP($B508,SERVIÇOS!$B:$G,6,0),IFERROR(VLOOKUP($B508,$D:$K,8,0),"")),IFERROR(VLOOKUP($C508,INSUMOS!$A:$D,4,0),IFERROR(VLOOKUP($C508,COTAÇÕES!$B:$I,7,0),(VLOOKUP($C508,'INSUMO SINAPI - SP'!$C:$F,4,0)))))</f>
        <v>3522.06</v>
      </c>
      <c r="I508" s="513">
        <f>TRUNC(IF($C508="",IFERROR(VLOOKUP($B508,SERVIÇOS!$B:$G,4,0),IFERROR(VLOOKUP($B508,$D:$K,6,0),)),IFERROR(VLOOKUP($C508,INSUMOS!$A:$D,4,0),IFERROR(VLOOKUP($C508,COTAÇÕES!$B:$I,7,0),(VLOOKUP($C508,'INSUMO SINAPI - SP'!$C:$F,4,0)))))*$G508,2)</f>
        <v>55.25</v>
      </c>
      <c r="J508" s="513">
        <f>TRUNC(IF($C508="",IFERROR(VLOOKUP($B508,SERVIÇOS!$B:$G,5,0),IFERROR(VLOOKUP($B508,$D:$K,7,0),)),0)*$G508,2)</f>
        <v>68.02</v>
      </c>
      <c r="K508" s="514">
        <f t="shared" si="21"/>
        <v>123.27</v>
      </c>
      <c r="L508" s="515"/>
      <c r="M508" s="471"/>
      <c r="N508" s="516"/>
      <c r="Q508" s="472"/>
      <c r="R508" s="472"/>
      <c r="S508" s="472"/>
      <c r="T508" s="472"/>
      <c r="U508" s="472"/>
      <c r="V508" s="472"/>
      <c r="W508" s="472"/>
      <c r="X508" s="472"/>
      <c r="Y508" s="472"/>
    </row>
    <row r="509" spans="1:25" ht="24" x14ac:dyDescent="0.25">
      <c r="A509" s="463"/>
      <c r="B509" s="506">
        <v>100475</v>
      </c>
      <c r="C509" s="507"/>
      <c r="D509" s="508"/>
      <c r="E509" s="509" t="str">
        <f>IF($C509="",IFERROR(VLOOKUP($B509,SERVIÇOS!$B:$G,2,0),IFERROR(VLOOKUP($B509,$D:$K,2,0),"")),IFERROR(VLOOKUP($C509,INSUMOS!$A:$D,2,0),IFERROR(VLOOKUP($C509,COTAÇÕES!$B:$I,2,0),(VLOOKUP($C509,'INSUMO SINAPI - SP'!$C:$F,2,0)))))</f>
        <v>ARGAMASSA TRAÇO 1:3 (EM VOLUME DE CIMENTO E AREIA MÉDIA ÚMIDA) COM ADIÇÃO DE IMPERMEABILIZANTE, PREPARO MECÂNICO COM BETONEIRA 400 L. AF_08/2019</v>
      </c>
      <c r="F509" s="510" t="str">
        <f>IF($C509="",IFERROR(VLOOKUP($B509,SERVIÇOS!$B:$G,3,0),IFERROR(VLOOKUP($B509,$D:$K,3,0),"")),IFERROR(VLOOKUP($C509,INSUMOS!$A:$D,3,0),IFERROR(VLOOKUP($C509,COTAÇÕES!$B:$I,3,0),(VLOOKUP($C509,'INSUMO SINAPI - SP'!$C:$F,3,0)))))</f>
        <v>M3</v>
      </c>
      <c r="G509" s="511">
        <v>8.3549999999999999E-2</v>
      </c>
      <c r="H509" s="512">
        <f>IF($C509="",IFERROR(VLOOKUP($B509,SERVIÇOS!$B:$G,6,0),IFERROR(VLOOKUP($B509,$D:$K,8,0),"")),IFERROR(VLOOKUP($C509,INSUMOS!$A:$D,4,0),IFERROR(VLOOKUP($C509,COTAÇÕES!$B:$I,7,0),(VLOOKUP($C509,'INSUMO SINAPI - SP'!$C:$F,4,0)))))</f>
        <v>721.94</v>
      </c>
      <c r="I509" s="513">
        <f>TRUNC(IF($C509="",IFERROR(VLOOKUP($B509,SERVIÇOS!$B:$G,4,0),IFERROR(VLOOKUP($B509,$D:$K,6,0),)),IFERROR(VLOOKUP($C509,INSUMOS!$A:$D,4,0),IFERROR(VLOOKUP($C509,COTAÇÕES!$B:$I,7,0),(VLOOKUP($C509,'INSUMO SINAPI - SP'!$C:$F,4,0)))))*$G509,2)</f>
        <v>52.49</v>
      </c>
      <c r="J509" s="513">
        <f>TRUNC(IF($C509="",IFERROR(VLOOKUP($B509,SERVIÇOS!$B:$G,5,0),IFERROR(VLOOKUP($B509,$D:$K,7,0),)),0)*$G509,2)</f>
        <v>7.82</v>
      </c>
      <c r="K509" s="514">
        <f t="shared" si="21"/>
        <v>60.31</v>
      </c>
      <c r="L509" s="515"/>
      <c r="M509" s="471"/>
      <c r="N509" s="516"/>
      <c r="Q509" s="472"/>
      <c r="R509" s="472"/>
      <c r="S509" s="472"/>
      <c r="T509" s="472"/>
      <c r="U509" s="472"/>
      <c r="V509" s="472"/>
      <c r="W509" s="472"/>
      <c r="X509" s="472"/>
      <c r="Y509" s="472"/>
    </row>
    <row r="510" spans="1:25" ht="24" x14ac:dyDescent="0.25">
      <c r="A510" s="463"/>
      <c r="B510" s="506">
        <v>101616</v>
      </c>
      <c r="C510" s="507"/>
      <c r="D510" s="508"/>
      <c r="E510" s="509" t="str">
        <f>IF($C510="",IFERROR(VLOOKUP($B510,SERVIÇOS!$B:$G,2,0),IFERROR(VLOOKUP($B510,$D:$K,2,0),"")),IFERROR(VLOOKUP($C510,INSUMOS!$A:$D,2,0),IFERROR(VLOOKUP($C510,COTAÇÕES!$B:$I,2,0),(VLOOKUP($C510,'INSUMO SINAPI - SP'!$C:$F,2,0)))))</f>
        <v>PREPARO DE FUNDO DE VALA COM LARGURA MENOR QUE 1,5 M (ACERTO DO SOLO NATURAL). AF_08/2020</v>
      </c>
      <c r="F510" s="510" t="str">
        <f>IF($C510="",IFERROR(VLOOKUP($B510,SERVIÇOS!$B:$G,3,0),IFERROR(VLOOKUP($B510,$D:$K,3,0),"")),IFERROR(VLOOKUP($C510,INSUMOS!$A:$D,3,0),IFERROR(VLOOKUP($C510,COTAÇÕES!$B:$I,3,0),(VLOOKUP($C510,'INSUMO SINAPI - SP'!$C:$F,3,0)))))</f>
        <v>M2</v>
      </c>
      <c r="G510" s="511">
        <v>0.65</v>
      </c>
      <c r="H510" s="512">
        <f>IF($C510="",IFERROR(VLOOKUP($B510,SERVIÇOS!$B:$G,6,0),IFERROR(VLOOKUP($B510,$D:$K,8,0),"")),IFERROR(VLOOKUP($C510,INSUMOS!$A:$D,4,0),IFERROR(VLOOKUP($C510,COTAÇÕES!$B:$I,7,0),(VLOOKUP($C510,'INSUMO SINAPI - SP'!$C:$F,4,0)))))</f>
        <v>8.42</v>
      </c>
      <c r="I510" s="513">
        <f>TRUNC(IF($C510="",IFERROR(VLOOKUP($B510,SERVIÇOS!$B:$G,4,0),IFERROR(VLOOKUP($B510,$D:$K,6,0),)),IFERROR(VLOOKUP($C510,INSUMOS!$A:$D,4,0),IFERROR(VLOOKUP($C510,COTAÇÕES!$B:$I,7,0),(VLOOKUP($C510,'INSUMO SINAPI - SP'!$C:$F,4,0)))))*$G510,2)</f>
        <v>1.59</v>
      </c>
      <c r="J510" s="513">
        <f>TRUNC(IF($C510="",IFERROR(VLOOKUP($B510,SERVIÇOS!$B:$G,5,0),IFERROR(VLOOKUP($B510,$D:$K,7,0),)),0)*$G510,2)</f>
        <v>3.87</v>
      </c>
      <c r="K510" s="514">
        <f t="shared" si="21"/>
        <v>5.46</v>
      </c>
      <c r="L510" s="515"/>
      <c r="M510" s="471"/>
      <c r="N510" s="516"/>
      <c r="Q510" s="472"/>
      <c r="R510" s="472"/>
      <c r="S510" s="472"/>
      <c r="T510" s="472"/>
      <c r="U510" s="472"/>
      <c r="V510" s="472"/>
      <c r="W510" s="472"/>
      <c r="X510" s="472"/>
      <c r="Y510" s="472"/>
    </row>
    <row r="511" spans="1:25" ht="36" x14ac:dyDescent="0.25">
      <c r="A511" s="463"/>
      <c r="B511" s="506">
        <v>5678</v>
      </c>
      <c r="C511" s="507"/>
      <c r="D511" s="508"/>
      <c r="E511" s="509" t="str">
        <f>IF($C511="",IFERROR(VLOOKUP($B511,SERVIÇOS!$B:$G,2,0),IFERROR(VLOOKUP($B511,$D:$K,2,0),"")),IFERROR(VLOOKUP($C511,INSUMOS!$A:$D,2,0),IFERROR(VLOOKUP($C511,COTAÇÕES!$B:$I,2,0),(VLOOKUP($C511,'INSUMO SINAPI - SP'!$C:$F,2,0)))))</f>
        <v>RETROESCAVADEIRA SOBRE RODAS COM CARREGADEIRA, TRAÇÃO 4X4, POTÊNCIA LÍQ. 88 HP, CAÇAMBA CARREG. CAP. MÍN. 1 M3, CAÇAMBA RETRO CAP. 0,26 M3, PESO OPERACIONAL MÍN. 6.674 KG, PROFUNDIDADE ESCAVAÇÃO MÁX. 4,37 M - CHP DIURNO. AF_06/2014</v>
      </c>
      <c r="F511" s="510" t="str">
        <f>IF($C511="",IFERROR(VLOOKUP($B511,SERVIÇOS!$B:$G,3,0),IFERROR(VLOOKUP($B511,$D:$K,3,0),"")),IFERROR(VLOOKUP($C511,INSUMOS!$A:$D,3,0),IFERROR(VLOOKUP($C511,COTAÇÕES!$B:$I,3,0),(VLOOKUP($C511,'INSUMO SINAPI - SP'!$C:$F,3,0)))))</f>
        <v>CHP</v>
      </c>
      <c r="G511" s="511">
        <v>5.0000000000000001E-3</v>
      </c>
      <c r="H511" s="512">
        <f>IF($C511="",IFERROR(VLOOKUP($B511,SERVIÇOS!$B:$G,6,0),IFERROR(VLOOKUP($B511,$D:$K,8,0),"")),IFERROR(VLOOKUP($C511,INSUMOS!$A:$D,4,0),IFERROR(VLOOKUP($C511,COTAÇÕES!$B:$I,7,0),(VLOOKUP($C511,'INSUMO SINAPI - SP'!$C:$F,4,0)))))</f>
        <v>164.49</v>
      </c>
      <c r="I511" s="513">
        <f>TRUNC(IF($C511="",IFERROR(VLOOKUP($B511,SERVIÇOS!$B:$G,4,0),IFERROR(VLOOKUP($B511,$D:$K,6,0),)),IFERROR(VLOOKUP($C511,INSUMOS!$A:$D,4,0),IFERROR(VLOOKUP($C511,COTAÇÕES!$B:$I,7,0),(VLOOKUP($C511,'INSUMO SINAPI - SP'!$C:$F,4,0)))))*$G511,2)</f>
        <v>0.68</v>
      </c>
      <c r="J511" s="513">
        <f>TRUNC(IF($C511="",IFERROR(VLOOKUP($B511,SERVIÇOS!$B:$G,5,0),IFERROR(VLOOKUP($B511,$D:$K,7,0),)),0)*$G511,2)</f>
        <v>0.14000000000000001</v>
      </c>
      <c r="K511" s="514">
        <f t="shared" si="21"/>
        <v>0.82000000000000006</v>
      </c>
      <c r="L511" s="515"/>
      <c r="M511" s="471"/>
      <c r="N511" s="516"/>
      <c r="Q511" s="472"/>
      <c r="R511" s="472"/>
      <c r="S511" s="472"/>
      <c r="T511" s="472"/>
      <c r="U511" s="472"/>
      <c r="V511" s="472"/>
      <c r="W511" s="472"/>
      <c r="X511" s="472"/>
      <c r="Y511" s="472"/>
    </row>
    <row r="512" spans="1:25" ht="36" x14ac:dyDescent="0.25">
      <c r="A512" s="463"/>
      <c r="B512" s="506">
        <v>5679</v>
      </c>
      <c r="C512" s="507"/>
      <c r="D512" s="508"/>
      <c r="E512" s="509" t="str">
        <f>IF($C512="",IFERROR(VLOOKUP($B512,SERVIÇOS!$B:$G,2,0),IFERROR(VLOOKUP($B512,$D:$K,2,0),"")),IFERROR(VLOOKUP($C512,INSUMOS!$A:$D,2,0),IFERROR(VLOOKUP($C512,COTAÇÕES!$B:$I,2,0),(VLOOKUP($C512,'INSUMO SINAPI - SP'!$C:$F,2,0)))))</f>
        <v>RETROESCAVADEIRA SOBRE RODAS COM CARREGADEIRA, TRAÇÃO 4X4, POTÊNCIA LÍQ. 88 HP, CAÇAMBA CARREG. CAP. MÍN. 1 M3, CAÇAMBA RETRO CAP. 0,26 M3, PESO OPERACIONAL MÍN. 6.674 KG, PROFUNDIDADE ESCAVAÇÃO MÁX. 4,37 M - CHI DIURNO. AF_06/2014</v>
      </c>
      <c r="F512" s="510" t="str">
        <f>IF($C512="",IFERROR(VLOOKUP($B512,SERVIÇOS!$B:$G,3,0),IFERROR(VLOOKUP($B512,$D:$K,3,0),"")),IFERROR(VLOOKUP($C512,INSUMOS!$A:$D,3,0),IFERROR(VLOOKUP($C512,COTAÇÕES!$B:$I,3,0),(VLOOKUP($C512,'INSUMO SINAPI - SP'!$C:$F,3,0)))))</f>
        <v>CHI</v>
      </c>
      <c r="G512" s="511">
        <v>1.4999999999999999E-2</v>
      </c>
      <c r="H512" s="512">
        <f>IF($C512="",IFERROR(VLOOKUP($B512,SERVIÇOS!$B:$G,6,0),IFERROR(VLOOKUP($B512,$D:$K,8,0),"")),IFERROR(VLOOKUP($C512,INSUMOS!$A:$D,4,0),IFERROR(VLOOKUP($C512,COTAÇÕES!$B:$I,7,0),(VLOOKUP($C512,'INSUMO SINAPI - SP'!$C:$F,4,0)))))</f>
        <v>73.569999999999993</v>
      </c>
      <c r="I512" s="513">
        <f>TRUNC(IF($C512="",IFERROR(VLOOKUP($B512,SERVIÇOS!$B:$G,4,0),IFERROR(VLOOKUP($B512,$D:$K,6,0),)),IFERROR(VLOOKUP($C512,INSUMOS!$A:$D,4,0),IFERROR(VLOOKUP($C512,COTAÇÕES!$B:$I,7,0),(VLOOKUP($C512,'INSUMO SINAPI - SP'!$C:$F,4,0)))))*$G512,2)</f>
        <v>0.68</v>
      </c>
      <c r="J512" s="513">
        <f>TRUNC(IF($C512="",IFERROR(VLOOKUP($B512,SERVIÇOS!$B:$G,5,0),IFERROR(VLOOKUP($B512,$D:$K,7,0),)),0)*$G512,2)</f>
        <v>0.42</v>
      </c>
      <c r="K512" s="514">
        <f t="shared" si="21"/>
        <v>1.1000000000000001</v>
      </c>
      <c r="L512" s="515"/>
      <c r="M512" s="471"/>
      <c r="N512" s="516"/>
      <c r="Q512" s="472"/>
      <c r="R512" s="472"/>
      <c r="S512" s="472"/>
      <c r="T512" s="472"/>
      <c r="U512" s="472"/>
      <c r="V512" s="472"/>
      <c r="W512" s="472"/>
      <c r="X512" s="472"/>
      <c r="Y512" s="472"/>
    </row>
    <row r="513" spans="1:25" ht="24" x14ac:dyDescent="0.25">
      <c r="A513" s="463"/>
      <c r="B513" s="498"/>
      <c r="C513" s="498"/>
      <c r="D513" s="499" t="s">
        <v>12135</v>
      </c>
      <c r="E513" s="500" t="s">
        <v>12869</v>
      </c>
      <c r="F513" s="501" t="s">
        <v>580</v>
      </c>
      <c r="G513" s="502"/>
      <c r="H513" s="503"/>
      <c r="I513" s="504">
        <f>ROUND(SUM(I514:I518),2)</f>
        <v>1310.22</v>
      </c>
      <c r="J513" s="504">
        <f>ROUND(SUM(J514:J518),2)</f>
        <v>638.77</v>
      </c>
      <c r="K513" s="504">
        <f>+J513+I513</f>
        <v>1948.99</v>
      </c>
      <c r="L513" s="523" t="s">
        <v>12870</v>
      </c>
      <c r="M513" s="471"/>
      <c r="N513" s="505"/>
      <c r="Q513" s="472"/>
      <c r="R513" s="472"/>
      <c r="S513" s="472"/>
      <c r="T513" s="472"/>
      <c r="U513" s="472"/>
      <c r="V513" s="472"/>
      <c r="W513" s="472"/>
      <c r="X513" s="472"/>
      <c r="Y513" s="472"/>
    </row>
    <row r="514" spans="1:25" ht="24" x14ac:dyDescent="0.25">
      <c r="A514" s="463"/>
      <c r="B514" s="506">
        <v>97956</v>
      </c>
      <c r="C514" s="507"/>
      <c r="D514" s="508"/>
      <c r="E514" s="509" t="str">
        <f>IF($C514="",IFERROR(VLOOKUP($B514,SERVIÇOS!$B:$G,2,0),IFERROR(VLOOKUP($B514,$D:$K,2,0),"")),IFERROR(VLOOKUP($C514,INSUMOS!$A:$D,2,0),IFERROR(VLOOKUP($C514,COTAÇÕES!$B:$I,2,0),(VLOOKUP($C514,'INSUMO SINAPI - SP'!$C:$F,2,0)))))</f>
        <v>CAIXA PARA BOCA DE LOBO SIMPLES RETANGULAR, EM ALVENARIA COM BLOCOS DE CONCRETO, DIMENSÕES INTERNAS: 0,6X1X1,2 M. AF_12/2020</v>
      </c>
      <c r="F514" s="510" t="str">
        <f>IF($C514="",IFERROR(VLOOKUP($B514,SERVIÇOS!$B:$G,3,0),IFERROR(VLOOKUP($B514,$D:$K,3,0),"")),IFERROR(VLOOKUP($C514,INSUMOS!$A:$D,3,0),IFERROR(VLOOKUP($C514,COTAÇÕES!$B:$I,3,0),(VLOOKUP($C514,'INSUMO SINAPI - SP'!$C:$F,3,0)))))</f>
        <v>UN</v>
      </c>
      <c r="G514" s="511">
        <v>1</v>
      </c>
      <c r="H514" s="512">
        <f>IF($C514="",IFERROR(VLOOKUP($B514,SERVIÇOS!$B:$G,6,0),IFERROR(VLOOKUP($B514,$D:$K,8,0),"")),IFERROR(VLOOKUP($C514,INSUMOS!$A:$D,4,0),IFERROR(VLOOKUP($C514,COTAÇÕES!$B:$I,7,0),(VLOOKUP($C514,'INSUMO SINAPI - SP'!$C:$F,4,0)))))</f>
        <v>1606.56</v>
      </c>
      <c r="I514" s="513">
        <f>TRUNC(IF($C514="",IFERROR(VLOOKUP($B514,SERVIÇOS!$B:$G,4,0),IFERROR(VLOOKUP($B514,$D:$K,6,0),)),IFERROR(VLOOKUP($C514,INSUMOS!$A:$D,4,0),IFERROR(VLOOKUP($C514,COTAÇÕES!$B:$I,7,0),(VLOOKUP($C514,'INSUMO SINAPI - SP'!$C:$F,4,0)))))*$G514,2)</f>
        <v>993.66</v>
      </c>
      <c r="J514" s="513">
        <f>TRUNC(IF($C514="",IFERROR(VLOOKUP($B514,SERVIÇOS!$B:$G,5,0),IFERROR(VLOOKUP($B514,$D:$K,7,0),)),0)*$G514,2)</f>
        <v>612.9</v>
      </c>
      <c r="K514" s="514">
        <f>I514+J514</f>
        <v>1606.56</v>
      </c>
      <c r="L514" s="515"/>
      <c r="M514" s="471"/>
      <c r="N514" s="516"/>
      <c r="Q514" s="472"/>
      <c r="R514" s="472"/>
      <c r="S514" s="472"/>
      <c r="T514" s="472"/>
      <c r="U514" s="472"/>
      <c r="V514" s="472"/>
      <c r="W514" s="472"/>
      <c r="X514" s="472"/>
      <c r="Y514" s="472"/>
    </row>
    <row r="515" spans="1:25" x14ac:dyDescent="0.25">
      <c r="A515" s="463"/>
      <c r="B515" s="506">
        <v>88309</v>
      </c>
      <c r="C515" s="507"/>
      <c r="D515" s="508"/>
      <c r="E515" s="509" t="str">
        <f>IF($C515="",IFERROR(VLOOKUP($B515,SERVIÇOS!$B:$G,2,0),IFERROR(VLOOKUP($B515,$D:$K,2,0),"")),IFERROR(VLOOKUP($C515,INSUMOS!$A:$D,2,0),IFERROR(VLOOKUP($C515,COTAÇÕES!$B:$I,2,0),(VLOOKUP($C515,'INSUMO SINAPI - SP'!$C:$F,2,0)))))</f>
        <v>PEDREIRO COM ENCARGOS COMPLEMENTARES</v>
      </c>
      <c r="F515" s="510" t="str">
        <f>IF($C515="",IFERROR(VLOOKUP($B515,SERVIÇOS!$B:$G,3,0),IFERROR(VLOOKUP($B515,$D:$K,3,0),"")),IFERROR(VLOOKUP($C515,INSUMOS!$A:$D,3,0),IFERROR(VLOOKUP($C515,COTAÇÕES!$B:$I,3,0),(VLOOKUP($C515,'INSUMO SINAPI - SP'!$C:$F,3,0)))))</f>
        <v>H</v>
      </c>
      <c r="G515" s="511">
        <v>0.5</v>
      </c>
      <c r="H515" s="512">
        <f>IF($C515="",IFERROR(VLOOKUP($B515,SERVIÇOS!$B:$G,6,0),IFERROR(VLOOKUP($B515,$D:$K,8,0),"")),IFERROR(VLOOKUP($C515,INSUMOS!$A:$D,4,0),IFERROR(VLOOKUP($C515,COTAÇÕES!$B:$I,7,0),(VLOOKUP($C515,'INSUMO SINAPI - SP'!$C:$F,4,0)))))</f>
        <v>36.909999999999997</v>
      </c>
      <c r="I515" s="513">
        <f>TRUNC(IF($C515="",IFERROR(VLOOKUP($B515,SERVIÇOS!$B:$G,4,0),IFERROR(VLOOKUP($B515,$D:$K,6,0),)),IFERROR(VLOOKUP($C515,INSUMOS!$A:$D,4,0),IFERROR(VLOOKUP($C515,COTAÇÕES!$B:$I,7,0),(VLOOKUP($C515,'INSUMO SINAPI - SP'!$C:$F,4,0)))))*$G515,2)</f>
        <v>4.6399999999999997</v>
      </c>
      <c r="J515" s="513">
        <f>TRUNC(IF($C515="",IFERROR(VLOOKUP($B515,SERVIÇOS!$B:$G,5,0),IFERROR(VLOOKUP($B515,$D:$K,7,0),)),0)*$G515,2)</f>
        <v>13.81</v>
      </c>
      <c r="K515" s="514">
        <f>I515+J515</f>
        <v>18.45</v>
      </c>
      <c r="L515" s="515"/>
      <c r="M515" s="471"/>
      <c r="N515" s="516"/>
      <c r="Q515" s="472"/>
      <c r="R515" s="472"/>
      <c r="S515" s="472"/>
      <c r="T515" s="472"/>
      <c r="U515" s="472"/>
      <c r="V515" s="472"/>
      <c r="W515" s="472"/>
      <c r="X515" s="472"/>
      <c r="Y515" s="472"/>
    </row>
    <row r="516" spans="1:25" x14ac:dyDescent="0.25">
      <c r="A516" s="463"/>
      <c r="B516" s="506">
        <v>88316</v>
      </c>
      <c r="C516" s="507"/>
      <c r="D516" s="508"/>
      <c r="E516" s="509" t="str">
        <f>IF($C516="",IFERROR(VLOOKUP($B516,SERVIÇOS!$B:$G,2,0),IFERROR(VLOOKUP($B516,$D:$K,2,0),"")),IFERROR(VLOOKUP($C516,INSUMOS!$A:$D,2,0),IFERROR(VLOOKUP($C516,COTAÇÕES!$B:$I,2,0),(VLOOKUP($C516,'INSUMO SINAPI - SP'!$C:$F,2,0)))))</f>
        <v>SERVENTE COM ENCARGOS COMPLEMENTARES</v>
      </c>
      <c r="F516" s="510" t="str">
        <f>IF($C516="",IFERROR(VLOOKUP($B516,SERVIÇOS!$B:$G,3,0),IFERROR(VLOOKUP($B516,$D:$K,3,0),"")),IFERROR(VLOOKUP($C516,INSUMOS!$A:$D,3,0),IFERROR(VLOOKUP($C516,COTAÇÕES!$B:$I,3,0),(VLOOKUP($C516,'INSUMO SINAPI - SP'!$C:$F,3,0)))))</f>
        <v>H</v>
      </c>
      <c r="G516" s="511">
        <v>0.5</v>
      </c>
      <c r="H516" s="512">
        <f>IF($C516="",IFERROR(VLOOKUP($B516,SERVIÇOS!$B:$G,6,0),IFERROR(VLOOKUP($B516,$D:$K,8,0),"")),IFERROR(VLOOKUP($C516,INSUMOS!$A:$D,4,0),IFERROR(VLOOKUP($C516,COTAÇÕES!$B:$I,7,0),(VLOOKUP($C516,'INSUMO SINAPI - SP'!$C:$F,4,0)))))</f>
        <v>28.71</v>
      </c>
      <c r="I516" s="513">
        <f>TRUNC(IF($C516="",IFERROR(VLOOKUP($B516,SERVIÇOS!$B:$G,4,0),IFERROR(VLOOKUP($B516,$D:$K,6,0),)),IFERROR(VLOOKUP($C516,INSUMOS!$A:$D,4,0),IFERROR(VLOOKUP($C516,COTAÇÕES!$B:$I,7,0),(VLOOKUP($C516,'INSUMO SINAPI - SP'!$C:$F,4,0)))))*$G516,2)</f>
        <v>4.5999999999999996</v>
      </c>
      <c r="J516" s="513">
        <f>TRUNC(IF($C516="",IFERROR(VLOOKUP($B516,SERVIÇOS!$B:$G,5,0),IFERROR(VLOOKUP($B516,$D:$K,7,0),)),0)*$G516,2)</f>
        <v>9.75</v>
      </c>
      <c r="K516" s="514">
        <f>I516+J516</f>
        <v>14.35</v>
      </c>
      <c r="L516" s="515"/>
      <c r="M516" s="471"/>
      <c r="N516" s="516"/>
      <c r="Q516" s="472"/>
      <c r="R516" s="472"/>
      <c r="S516" s="472"/>
      <c r="T516" s="472"/>
      <c r="U516" s="472"/>
      <c r="V516" s="472"/>
      <c r="W516" s="472"/>
      <c r="X516" s="472"/>
      <c r="Y516" s="472"/>
    </row>
    <row r="517" spans="1:25" x14ac:dyDescent="0.25">
      <c r="A517" s="463"/>
      <c r="B517" s="506"/>
      <c r="C517" s="507">
        <v>11244</v>
      </c>
      <c r="D517" s="508"/>
      <c r="E517" s="509" t="str">
        <f>IF($C517="",IFERROR(VLOOKUP($B517,SERVIÇOS!$B:$G,2,0),IFERROR(VLOOKUP($B517,$D:$K,2,0),"")),IFERROR(VLOOKUP($C517,INSUMOS!$A:$D,2,0),IFERROR(VLOOKUP($C517,COTAÇÕES!$B:$I,2,0),(VLOOKUP($C517,'INSUMO SINAPI - SP'!$C:$F,2,0)))))</f>
        <v>GRELHA FOFO ARTICULADA, CARGA MAXIMA 1,5 T, *300 X 1000* MM, E= *15* MM</v>
      </c>
      <c r="F517" s="510" t="str">
        <f>IF($C517="",IFERROR(VLOOKUP($B517,SERVIÇOS!$B:$G,3,0),IFERROR(VLOOKUP($B517,$D:$K,3,0),"")),IFERROR(VLOOKUP($C517,INSUMOS!$A:$D,3,0),IFERROR(VLOOKUP($C517,COTAÇÕES!$B:$I,3,0),(VLOOKUP($C517,'INSUMO SINAPI - SP'!$C:$F,3,0)))))</f>
        <v>UN</v>
      </c>
      <c r="G517" s="511">
        <v>1</v>
      </c>
      <c r="H517" s="512">
        <f>IF($C517="",IFERROR(VLOOKUP($B517,SERVIÇOS!$B:$G,6,0),IFERROR(VLOOKUP($B517,$D:$K,8,0),"")),IFERROR(VLOOKUP($C517,INSUMOS!$A:$D,4,0),IFERROR(VLOOKUP($C517,COTAÇÕES!$B:$I,7,0),(VLOOKUP($C517,'INSUMO SINAPI - SP'!$C:$F,4,0)))))</f>
        <v>299.38</v>
      </c>
      <c r="I517" s="513">
        <f>TRUNC(IF($C517="",IFERROR(VLOOKUP($B517,SERVIÇOS!$B:$G,4,0),IFERROR(VLOOKUP($B517,$D:$K,6,0),)),IFERROR(VLOOKUP($C517,INSUMOS!$A:$D,4,0),IFERROR(VLOOKUP($C517,COTAÇÕES!$B:$I,7,0),(VLOOKUP($C517,'INSUMO SINAPI - SP'!$C:$F,4,0)))))*$G517,2)</f>
        <v>299.38</v>
      </c>
      <c r="J517" s="513">
        <f>TRUNC(IF($C517="",IFERROR(VLOOKUP($B517,SERVIÇOS!$B:$G,5,0),IFERROR(VLOOKUP($B517,$D:$K,7,0),)),0)*$G517,2)</f>
        <v>0</v>
      </c>
      <c r="K517" s="514">
        <f>I517+J517</f>
        <v>299.38</v>
      </c>
      <c r="L517" s="517"/>
      <c r="M517" s="471"/>
      <c r="N517" s="516"/>
      <c r="Q517" s="472"/>
      <c r="R517" s="472"/>
      <c r="S517" s="472"/>
      <c r="T517" s="472"/>
      <c r="U517" s="472"/>
      <c r="V517" s="472"/>
      <c r="W517" s="472"/>
      <c r="X517" s="472"/>
      <c r="Y517" s="472"/>
    </row>
    <row r="518" spans="1:25" ht="24" x14ac:dyDescent="0.25">
      <c r="A518" s="463"/>
      <c r="B518" s="506">
        <v>87316</v>
      </c>
      <c r="C518" s="507"/>
      <c r="D518" s="508"/>
      <c r="E518" s="509" t="str">
        <f>IF($C518="",IFERROR(VLOOKUP($B518,SERVIÇOS!$B:$G,2,0),IFERROR(VLOOKUP($B518,$D:$K,2,0),"")),IFERROR(VLOOKUP($C518,INSUMOS!$A:$D,2,0),IFERROR(VLOOKUP($C518,COTAÇÕES!$B:$I,2,0),(VLOOKUP($C518,'INSUMO SINAPI - SP'!$C:$F,2,0)))))</f>
        <v>ARGAMASSA TRAÇO 1:4 (EM VOLUME DE CIMENTO E AREIA GROSSA ÚMIDA) PARA CHAPISCO CONVENCIONAL, PREPARO MECÂNICO COM BETONEIRA 400 L. AF_08/2019</v>
      </c>
      <c r="F518" s="510" t="str">
        <f>IF($C518="",IFERROR(VLOOKUP($B518,SERVIÇOS!$B:$G,3,0),IFERROR(VLOOKUP($B518,$D:$K,3,0),"")),IFERROR(VLOOKUP($C518,INSUMOS!$A:$D,3,0),IFERROR(VLOOKUP($C518,COTAÇÕES!$B:$I,3,0),(VLOOKUP($C518,'INSUMO SINAPI - SP'!$C:$F,3,0)))))</f>
        <v>M3</v>
      </c>
      <c r="G518" s="511">
        <v>0.02</v>
      </c>
      <c r="H518" s="512">
        <f>IF($C518="",IFERROR(VLOOKUP($B518,SERVIÇOS!$B:$G,6,0),IFERROR(VLOOKUP($B518,$D:$K,8,0),"")),IFERROR(VLOOKUP($C518,INSUMOS!$A:$D,4,0),IFERROR(VLOOKUP($C518,COTAÇÕES!$B:$I,7,0),(VLOOKUP($C518,'INSUMO SINAPI - SP'!$C:$F,4,0)))))</f>
        <v>513.03</v>
      </c>
      <c r="I518" s="513">
        <f>TRUNC(IF($C518="",IFERROR(VLOOKUP($B518,SERVIÇOS!$B:$G,4,0),IFERROR(VLOOKUP($B518,$D:$K,6,0),)),IFERROR(VLOOKUP($C518,INSUMOS!$A:$D,4,0),IFERROR(VLOOKUP($C518,COTAÇÕES!$B:$I,7,0),(VLOOKUP($C518,'INSUMO SINAPI - SP'!$C:$F,4,0)))))*$G518,2)</f>
        <v>7.94</v>
      </c>
      <c r="J518" s="513">
        <f>TRUNC(IF($C518="",IFERROR(VLOOKUP($B518,SERVIÇOS!$B:$G,5,0),IFERROR(VLOOKUP($B518,$D:$K,7,0),)),0)*$G518,2)</f>
        <v>2.31</v>
      </c>
      <c r="K518" s="514">
        <f>I518+J518</f>
        <v>10.25</v>
      </c>
      <c r="L518" s="515"/>
      <c r="M518" s="471"/>
      <c r="N518" s="516"/>
      <c r="Q518" s="472"/>
      <c r="R518" s="472"/>
      <c r="S518" s="472"/>
      <c r="T518" s="472"/>
      <c r="U518" s="472"/>
      <c r="V518" s="472"/>
      <c r="W518" s="472"/>
      <c r="X518" s="472"/>
      <c r="Y518" s="472"/>
    </row>
    <row r="519" spans="1:25" ht="24" x14ac:dyDescent="0.25">
      <c r="A519" s="463"/>
      <c r="B519" s="498"/>
      <c r="C519" s="498"/>
      <c r="D519" s="499" t="s">
        <v>12138</v>
      </c>
      <c r="E519" s="500" t="s">
        <v>12871</v>
      </c>
      <c r="F519" s="501" t="s">
        <v>580</v>
      </c>
      <c r="G519" s="502"/>
      <c r="H519" s="503"/>
      <c r="I519" s="504">
        <f>ROUND(SUM(I520),2)</f>
        <v>172.55</v>
      </c>
      <c r="J519" s="504">
        <f>ROUND(SUM(J520),2)</f>
        <v>162.16999999999999</v>
      </c>
      <c r="K519" s="504">
        <f>+J519+I519</f>
        <v>334.72</v>
      </c>
      <c r="L519" s="523"/>
      <c r="M519" s="471"/>
      <c r="N519" s="505"/>
      <c r="Q519" s="472"/>
      <c r="R519" s="472"/>
      <c r="S519" s="472"/>
      <c r="T519" s="472"/>
      <c r="U519" s="472"/>
      <c r="V519" s="472"/>
      <c r="W519" s="472"/>
      <c r="X519" s="472"/>
      <c r="Y519" s="472"/>
    </row>
    <row r="520" spans="1:25" ht="24" x14ac:dyDescent="0.25">
      <c r="A520" s="463"/>
      <c r="B520" s="506">
        <v>97901</v>
      </c>
      <c r="C520" s="507"/>
      <c r="D520" s="508"/>
      <c r="E520" s="509" t="str">
        <f>IF($C520="",IFERROR(VLOOKUP($B520,SERVIÇOS!$B:$G,2,0),IFERROR(VLOOKUP($B520,$D:$K,2,0),"")),IFERROR(VLOOKUP($C520,INSUMOS!$A:$D,2,0),IFERROR(VLOOKUP($C520,COTAÇÕES!$B:$I,2,0),(VLOOKUP($C520,'INSUMO SINAPI - SP'!$C:$F,2,0)))))</f>
        <v>CAIXA ENTERRADA HIDRÁULICA RETANGULAR EM ALVENARIA COM TIJOLOS CERÂMICOS MACIÇOS, DIMENSÕES INTERNAS: 0,4X0,4X0,4 M PARA REDE DE ESGOTO. AF_12/2020</v>
      </c>
      <c r="F520" s="510" t="str">
        <f>IF($C520="",IFERROR(VLOOKUP($B520,SERVIÇOS!$B:$G,3,0),IFERROR(VLOOKUP($B520,$D:$K,3,0),"")),IFERROR(VLOOKUP($C520,INSUMOS!$A:$D,3,0),IFERROR(VLOOKUP($C520,COTAÇÕES!$B:$I,3,0),(VLOOKUP($C520,'INSUMO SINAPI - SP'!$C:$F,3,0)))))</f>
        <v>UN</v>
      </c>
      <c r="G520" s="511">
        <v>1</v>
      </c>
      <c r="H520" s="512">
        <f>IF($C520="",IFERROR(VLOOKUP($B520,SERVIÇOS!$B:$G,6,0),IFERROR(VLOOKUP($B520,$D:$K,8,0),"")),IFERROR(VLOOKUP($C520,INSUMOS!$A:$D,4,0),IFERROR(VLOOKUP($C520,COTAÇÕES!$B:$I,7,0),(VLOOKUP($C520,'INSUMO SINAPI - SP'!$C:$F,4,0)))))</f>
        <v>334.72</v>
      </c>
      <c r="I520" s="513">
        <f>TRUNC(IF($C520="",IFERROR(VLOOKUP($B520,SERVIÇOS!$B:$G,4,0),IFERROR(VLOOKUP($B520,$D:$K,6,0),)),IFERROR(VLOOKUP($C520,INSUMOS!$A:$D,4,0),IFERROR(VLOOKUP($C520,COTAÇÕES!$B:$I,7,0),(VLOOKUP($C520,'INSUMO SINAPI - SP'!$C:$F,4,0)))))*$G520,2)</f>
        <v>172.55</v>
      </c>
      <c r="J520" s="513">
        <f>TRUNC(IF($C520="",IFERROR(VLOOKUP($B520,SERVIÇOS!$B:$G,5,0),IFERROR(VLOOKUP($B520,$D:$K,7,0),)),0)*$G520,2)</f>
        <v>162.16999999999999</v>
      </c>
      <c r="K520" s="514">
        <f>I520+J520</f>
        <v>334.72</v>
      </c>
      <c r="L520" s="515"/>
      <c r="M520" s="471"/>
      <c r="N520" s="516"/>
      <c r="Q520" s="472"/>
      <c r="R520" s="472"/>
      <c r="S520" s="472"/>
      <c r="T520" s="472"/>
      <c r="U520" s="472"/>
      <c r="V520" s="472"/>
      <c r="W520" s="472"/>
      <c r="X520" s="472"/>
      <c r="Y520" s="472"/>
    </row>
    <row r="521" spans="1:25" x14ac:dyDescent="0.25">
      <c r="A521" s="463"/>
      <c r="B521" s="498"/>
      <c r="C521" s="498"/>
      <c r="D521" s="499" t="s">
        <v>12142</v>
      </c>
      <c r="E521" s="500" t="s">
        <v>12872</v>
      </c>
      <c r="F521" s="501" t="s">
        <v>580</v>
      </c>
      <c r="G521" s="502"/>
      <c r="H521" s="503"/>
      <c r="I521" s="504">
        <f>ROUND(SUM(I522),2)</f>
        <v>129.62</v>
      </c>
      <c r="J521" s="504">
        <f>ROUND(SUM(J522),2)</f>
        <v>12.78</v>
      </c>
      <c r="K521" s="504">
        <f>+J521+I521</f>
        <v>142.4</v>
      </c>
      <c r="L521" s="523" t="s">
        <v>12873</v>
      </c>
      <c r="M521" s="471"/>
      <c r="N521" s="505"/>
      <c r="Q521" s="472"/>
      <c r="R521" s="472"/>
      <c r="S521" s="472"/>
      <c r="T521" s="472"/>
      <c r="U521" s="472"/>
      <c r="V521" s="472"/>
      <c r="W521" s="472"/>
      <c r="X521" s="472"/>
      <c r="Y521" s="472"/>
    </row>
    <row r="522" spans="1:25" ht="24" x14ac:dyDescent="0.25">
      <c r="A522" s="463"/>
      <c r="B522" s="506">
        <v>95676</v>
      </c>
      <c r="C522" s="507"/>
      <c r="D522" s="508"/>
      <c r="E522" s="509" t="str">
        <f>IF($C522="",IFERROR(VLOOKUP($B522,SERVIÇOS!$B:$G,2,0),IFERROR(VLOOKUP($B522,$D:$K,2,0),"")),IFERROR(VLOOKUP($C522,INSUMOS!$A:$D,2,0),IFERROR(VLOOKUP($C522,COTAÇÕES!$B:$I,2,0),(VLOOKUP($C522,'INSUMO SINAPI - SP'!$C:$F,2,0)))))</f>
        <v>CAIXA EM CONCRETO PRÉ-MOLDADO PARA ABRIGO DE HIDRÔMETRO COM DN 20 MM - FORNECIMENTO E INSTALAÇÃO. AF_03/2024</v>
      </c>
      <c r="F522" s="510" t="str">
        <f>IF($C522="",IFERROR(VLOOKUP($B522,SERVIÇOS!$B:$G,3,0),IFERROR(VLOOKUP($B522,$D:$K,3,0),"")),IFERROR(VLOOKUP($C522,INSUMOS!$A:$D,3,0),IFERROR(VLOOKUP($C522,COTAÇÕES!$B:$I,3,0),(VLOOKUP($C522,'INSUMO SINAPI - SP'!$C:$F,3,0)))))</f>
        <v>UN</v>
      </c>
      <c r="G522" s="511">
        <v>1</v>
      </c>
      <c r="H522" s="512">
        <f>IF($C522="",IFERROR(VLOOKUP($B522,SERVIÇOS!$B:$G,6,0),IFERROR(VLOOKUP($B522,$D:$K,8,0),"")),IFERROR(VLOOKUP($C522,INSUMOS!$A:$D,4,0),IFERROR(VLOOKUP($C522,COTAÇÕES!$B:$I,7,0),(VLOOKUP($C522,'INSUMO SINAPI - SP'!$C:$F,4,0)))))</f>
        <v>142.4</v>
      </c>
      <c r="I522" s="513">
        <f>TRUNC(IF($C522="",IFERROR(VLOOKUP($B522,SERVIÇOS!$B:$G,4,0),IFERROR(VLOOKUP($B522,$D:$K,6,0),)),IFERROR(VLOOKUP($C522,INSUMOS!$A:$D,4,0),IFERROR(VLOOKUP($C522,COTAÇÕES!$B:$I,7,0),(VLOOKUP($C522,'INSUMO SINAPI - SP'!$C:$F,4,0)))))*$G522,2)</f>
        <v>129.62</v>
      </c>
      <c r="J522" s="513">
        <f>TRUNC(IF($C522="",IFERROR(VLOOKUP($B522,SERVIÇOS!$B:$G,5,0),IFERROR(VLOOKUP($B522,$D:$K,7,0),)),0)*$G522,2)</f>
        <v>12.78</v>
      </c>
      <c r="K522" s="514">
        <f>I522+J522</f>
        <v>142.4</v>
      </c>
      <c r="L522" s="515"/>
      <c r="M522" s="471"/>
      <c r="N522" s="516"/>
      <c r="Q522" s="472"/>
      <c r="R522" s="472"/>
      <c r="S522" s="472"/>
      <c r="T522" s="472"/>
      <c r="U522" s="472"/>
      <c r="V522" s="472"/>
      <c r="W522" s="472"/>
      <c r="X522" s="472"/>
      <c r="Y522" s="472"/>
    </row>
    <row r="523" spans="1:25" x14ac:dyDescent="0.25">
      <c r="A523" s="463"/>
      <c r="B523" s="498"/>
      <c r="C523" s="498"/>
      <c r="D523" s="499" t="s">
        <v>12170</v>
      </c>
      <c r="E523" s="500" t="s">
        <v>12874</v>
      </c>
      <c r="F523" s="501" t="s">
        <v>580</v>
      </c>
      <c r="G523" s="502"/>
      <c r="H523" s="503"/>
      <c r="I523" s="504">
        <f>ROUND(SUM(I524:I526),2)</f>
        <v>195.39</v>
      </c>
      <c r="J523" s="504">
        <f>ROUND(SUM(J524:J526),2)</f>
        <v>23.56</v>
      </c>
      <c r="K523" s="504">
        <f>+J523+I523</f>
        <v>218.95</v>
      </c>
      <c r="L523" s="523" t="s">
        <v>12848</v>
      </c>
      <c r="M523" s="471"/>
      <c r="N523" s="505"/>
      <c r="Q523" s="472"/>
      <c r="R523" s="472"/>
      <c r="S523" s="472"/>
      <c r="T523" s="472"/>
      <c r="U523" s="472"/>
      <c r="V523" s="472"/>
      <c r="W523" s="472"/>
      <c r="X523" s="472"/>
      <c r="Y523" s="472"/>
    </row>
    <row r="524" spans="1:25" x14ac:dyDescent="0.25">
      <c r="A524" s="463"/>
      <c r="B524" s="506">
        <v>88309</v>
      </c>
      <c r="C524" s="507"/>
      <c r="D524" s="508"/>
      <c r="E524" s="509" t="str">
        <f>IF($C524="",IFERROR(VLOOKUP($B524,SERVIÇOS!$B:$G,2,0),IFERROR(VLOOKUP($B524,$D:$K,2,0),"")),IFERROR(VLOOKUP($C524,INSUMOS!$A:$D,2,0),IFERROR(VLOOKUP($C524,COTAÇÕES!$B:$I,2,0),(VLOOKUP($C524,'INSUMO SINAPI - SP'!$C:$F,2,0)))))</f>
        <v>PEDREIRO COM ENCARGOS COMPLEMENTARES</v>
      </c>
      <c r="F524" s="510" t="str">
        <f>IF($C524="",IFERROR(VLOOKUP($B524,SERVIÇOS!$B:$G,3,0),IFERROR(VLOOKUP($B524,$D:$K,3,0),"")),IFERROR(VLOOKUP($C524,INSUMOS!$A:$D,3,0),IFERROR(VLOOKUP($C524,COTAÇÕES!$B:$I,3,0),(VLOOKUP($C524,'INSUMO SINAPI - SP'!$C:$F,3,0)))))</f>
        <v>H</v>
      </c>
      <c r="G524" s="511">
        <v>0.5</v>
      </c>
      <c r="H524" s="512">
        <f>IF($C524="",IFERROR(VLOOKUP($B524,SERVIÇOS!$B:$G,6,0),IFERROR(VLOOKUP($B524,$D:$K,8,0),"")),IFERROR(VLOOKUP($C524,INSUMOS!$A:$D,4,0),IFERROR(VLOOKUP($C524,COTAÇÕES!$B:$I,7,0),(VLOOKUP($C524,'INSUMO SINAPI - SP'!$C:$F,4,0)))))</f>
        <v>36.909999999999997</v>
      </c>
      <c r="I524" s="513">
        <f>TRUNC(IF($C524="",IFERROR(VLOOKUP($B524,SERVIÇOS!$B:$G,4,0),IFERROR(VLOOKUP($B524,$D:$K,6,0),)),IFERROR(VLOOKUP($C524,INSUMOS!$A:$D,4,0),IFERROR(VLOOKUP($C524,COTAÇÕES!$B:$I,7,0),(VLOOKUP($C524,'INSUMO SINAPI - SP'!$C:$F,4,0)))))*$G524,2)</f>
        <v>4.6399999999999997</v>
      </c>
      <c r="J524" s="513">
        <f>TRUNC(IF($C524="",IFERROR(VLOOKUP($B524,SERVIÇOS!$B:$G,5,0),IFERROR(VLOOKUP($B524,$D:$K,7,0),)),0)*$G524,2)</f>
        <v>13.81</v>
      </c>
      <c r="K524" s="514">
        <f>I524+J524</f>
        <v>18.45</v>
      </c>
      <c r="L524" s="515"/>
      <c r="M524" s="471"/>
      <c r="N524" s="516"/>
      <c r="Q524" s="472"/>
      <c r="R524" s="472"/>
      <c r="S524" s="472"/>
      <c r="T524" s="472"/>
      <c r="U524" s="472"/>
      <c r="V524" s="472"/>
      <c r="W524" s="472"/>
      <c r="X524" s="472"/>
      <c r="Y524" s="472"/>
    </row>
    <row r="525" spans="1:25" x14ac:dyDescent="0.25">
      <c r="A525" s="463"/>
      <c r="B525" s="506">
        <v>88316</v>
      </c>
      <c r="C525" s="507"/>
      <c r="D525" s="508"/>
      <c r="E525" s="509" t="str">
        <f>IF($C525="",IFERROR(VLOOKUP($B525,SERVIÇOS!$B:$G,2,0),IFERROR(VLOOKUP($B525,$D:$K,2,0),"")),IFERROR(VLOOKUP($C525,INSUMOS!$A:$D,2,0),IFERROR(VLOOKUP($C525,COTAÇÕES!$B:$I,2,0),(VLOOKUP($C525,'INSUMO SINAPI - SP'!$C:$F,2,0)))))</f>
        <v>SERVENTE COM ENCARGOS COMPLEMENTARES</v>
      </c>
      <c r="F525" s="510" t="str">
        <f>IF($C525="",IFERROR(VLOOKUP($B525,SERVIÇOS!$B:$G,3,0),IFERROR(VLOOKUP($B525,$D:$K,3,0),"")),IFERROR(VLOOKUP($C525,INSUMOS!$A:$D,3,0),IFERROR(VLOOKUP($C525,COTAÇÕES!$B:$I,3,0),(VLOOKUP($C525,'INSUMO SINAPI - SP'!$C:$F,3,0)))))</f>
        <v>H</v>
      </c>
      <c r="G525" s="511">
        <v>0.5</v>
      </c>
      <c r="H525" s="512">
        <f>IF($C525="",IFERROR(VLOOKUP($B525,SERVIÇOS!$B:$G,6,0),IFERROR(VLOOKUP($B525,$D:$K,8,0),"")),IFERROR(VLOOKUP($C525,INSUMOS!$A:$D,4,0),IFERROR(VLOOKUP($C525,COTAÇÕES!$B:$I,7,0),(VLOOKUP($C525,'INSUMO SINAPI - SP'!$C:$F,4,0)))))</f>
        <v>28.71</v>
      </c>
      <c r="I525" s="513">
        <f>TRUNC(IF($C525="",IFERROR(VLOOKUP($B525,SERVIÇOS!$B:$G,4,0),IFERROR(VLOOKUP($B525,$D:$K,6,0),)),IFERROR(VLOOKUP($C525,INSUMOS!$A:$D,4,0),IFERROR(VLOOKUP($C525,COTAÇÕES!$B:$I,7,0),(VLOOKUP($C525,'INSUMO SINAPI - SP'!$C:$F,4,0)))))*$G525,2)</f>
        <v>4.5999999999999996</v>
      </c>
      <c r="J525" s="513">
        <f>TRUNC(IF($C525="",IFERROR(VLOOKUP($B525,SERVIÇOS!$B:$G,5,0),IFERROR(VLOOKUP($B525,$D:$K,7,0),)),0)*$G525,2)</f>
        <v>9.75</v>
      </c>
      <c r="K525" s="514">
        <f>I525+J525</f>
        <v>14.35</v>
      </c>
      <c r="L525" s="515"/>
      <c r="M525" s="471"/>
      <c r="N525" s="516"/>
      <c r="Q525" s="472"/>
      <c r="R525" s="472"/>
      <c r="S525" s="472"/>
      <c r="T525" s="472"/>
      <c r="U525" s="472"/>
      <c r="V525" s="472"/>
      <c r="W525" s="472"/>
      <c r="X525" s="472"/>
      <c r="Y525" s="472"/>
    </row>
    <row r="526" spans="1:25" x14ac:dyDescent="0.25">
      <c r="A526" s="463"/>
      <c r="B526" s="506"/>
      <c r="C526" s="507">
        <v>10891</v>
      </c>
      <c r="D526" s="508"/>
      <c r="E526" s="509" t="str">
        <f>IF($C526="",IFERROR(VLOOKUP($B526,SERVIÇOS!$B:$G,2,0),IFERROR(VLOOKUP($B526,$D:$K,2,0),"")),IFERROR(VLOOKUP($C526,INSUMOS!$A:$D,2,0),IFERROR(VLOOKUP($C526,COTAÇÕES!$B:$I,2,0),(VLOOKUP($C526,'INSUMO SINAPI - SP'!$C:$F,2,0)))))</f>
        <v>EXTINTOR DE INCENDIO PORTATIL COM CARGA DE PO QUIMICO SECO (PQS) DE 4 KG, CLASSE BC</v>
      </c>
      <c r="F526" s="510" t="str">
        <f>IF($C526="",IFERROR(VLOOKUP($B526,SERVIÇOS!$B:$G,3,0),IFERROR(VLOOKUP($B526,$D:$K,3,0),"")),IFERROR(VLOOKUP($C526,INSUMOS!$A:$D,3,0),IFERROR(VLOOKUP($C526,COTAÇÕES!$B:$I,3,0),(VLOOKUP($C526,'INSUMO SINAPI - SP'!$C:$F,3,0)))))</f>
        <v>UN</v>
      </c>
      <c r="G526" s="511">
        <v>1</v>
      </c>
      <c r="H526" s="512">
        <f>IF($C526="",IFERROR(VLOOKUP($B526,SERVIÇOS!$B:$G,6,0),IFERROR(VLOOKUP($B526,$D:$K,8,0),"")),IFERROR(VLOOKUP($C526,INSUMOS!$A:$D,4,0),IFERROR(VLOOKUP($C526,COTAÇÕES!$B:$I,7,0),(VLOOKUP($C526,'INSUMO SINAPI - SP'!$C:$F,4,0)))))</f>
        <v>186.15</v>
      </c>
      <c r="I526" s="513">
        <f>TRUNC(IF($C526="",IFERROR(VLOOKUP($B526,SERVIÇOS!$B:$G,4,0),IFERROR(VLOOKUP($B526,$D:$K,6,0),)),IFERROR(VLOOKUP($C526,INSUMOS!$A:$D,4,0),IFERROR(VLOOKUP($C526,COTAÇÕES!$B:$I,7,0),(VLOOKUP($C526,'INSUMO SINAPI - SP'!$C:$F,4,0)))))*$G526,2)</f>
        <v>186.15</v>
      </c>
      <c r="J526" s="513">
        <f>TRUNC(IF($C526="",IFERROR(VLOOKUP($B526,SERVIÇOS!$B:$G,5,0),IFERROR(VLOOKUP($B526,$D:$K,7,0),)),0)*$G526,2)</f>
        <v>0</v>
      </c>
      <c r="K526" s="514">
        <f>I526+J526</f>
        <v>186.15</v>
      </c>
      <c r="L526" s="517"/>
      <c r="M526" s="471"/>
      <c r="N526" s="516"/>
      <c r="Q526" s="472"/>
      <c r="R526" s="472"/>
      <c r="S526" s="472"/>
      <c r="T526" s="472"/>
      <c r="U526" s="472"/>
      <c r="V526" s="472"/>
      <c r="W526" s="472"/>
      <c r="X526" s="472"/>
      <c r="Y526" s="472"/>
    </row>
    <row r="527" spans="1:25" ht="409.5" x14ac:dyDescent="0.25">
      <c r="A527" s="530"/>
      <c r="B527" s="531"/>
      <c r="C527" s="531"/>
      <c r="D527" s="532" t="s">
        <v>12588</v>
      </c>
      <c r="E527" s="533" t="s">
        <v>12875</v>
      </c>
      <c r="F527" s="534" t="s">
        <v>580</v>
      </c>
      <c r="G527" s="535"/>
      <c r="H527" s="536"/>
      <c r="I527" s="537">
        <f>SUM(I528:I533)</f>
        <v>50306.36</v>
      </c>
      <c r="J527" s="537">
        <f>SUM(J528:J533)</f>
        <v>3651.4300000000003</v>
      </c>
      <c r="K527" s="537">
        <f>+J527+I527</f>
        <v>53957.79</v>
      </c>
      <c r="L527" s="538" t="s">
        <v>12876</v>
      </c>
      <c r="M527" s="530"/>
      <c r="N527" s="539"/>
      <c r="O527" s="540"/>
      <c r="P527" s="540"/>
      <c r="Q527" s="541"/>
      <c r="R527" s="541"/>
      <c r="S527" s="541"/>
      <c r="T527" s="541"/>
      <c r="U527" s="541"/>
      <c r="V527" s="541"/>
      <c r="W527" s="541"/>
      <c r="X527" s="541"/>
      <c r="Y527" s="541"/>
    </row>
    <row r="528" spans="1:25" ht="409.5" x14ac:dyDescent="0.25">
      <c r="A528" s="530"/>
      <c r="B528" s="542"/>
      <c r="C528" s="543" t="s">
        <v>12877</v>
      </c>
      <c r="D528" s="544"/>
      <c r="E528" s="545" t="str">
        <f>IF($C528="",IFERROR(VLOOKUP($B528,SERVIÇOS!$B:$G,2,0),IFERROR(VLOOKUP($B528,$D:$K,2,0),"")),IFERROR(VLOOKUP($C528,INSUMOS!$A:$D,2,0),IFERROR(VLOOKUP($C528,COTAÇÕES!$B:$I,2,0),(VLOOKUP($C528,'INSUMO SINAPI - SP'!$C:$F,2,0)))))</f>
        <v>UNIDADES DE TRATAMENTO DE AR MODULAR DE MONTAGEM HORIZONTAL PARA ENTREFORRO
AMBIENTES ATENDIDOS:  CLASSIFICAÇÃO DE RISCO
LOCALIZAÇÃO: ENTREFORRO
TIPO DE SISTEMA DE CLIMATIZAÇÃO: EXPANSÃO DIRETA, FLUIDO R410A (OBS: DEVE ACOMPANHAR VÁLVULA DE EXPANSÃO ELETRÔNICA CONFORME SELEÇÃO DO FABRICANTE)
CARGA TÉRMICA TOTAL DA SERPENTINA: 1,54kW
CARGA TÉRMICA SENSÍVEL DA SERPENTINA: 1,11kW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528" s="546" t="str">
        <f>IF($C528="",IFERROR(VLOOKUP($B528,SERVIÇOS!$B:$G,3,0),IFERROR(VLOOKUP($B528,$D:$K,3,0),"")),IFERROR(VLOOKUP($C528,INSUMOS!$A:$D,3,0),IFERROR(VLOOKUP($C528,COTAÇÕES!$B:$I,3,0),(VLOOKUP($C528,'INSUMO SINAPI - SP'!$C:$F,3,0)))))</f>
        <v>UN</v>
      </c>
      <c r="G528" s="547">
        <v>1</v>
      </c>
      <c r="H528" s="548">
        <f>IF($C528="",IFERROR(VLOOKUP($B528,SERVIÇOS!$B:$G,6,0),IFERROR(VLOOKUP($B528,$D:$K,8,0),"")),IFERROR(VLOOKUP($C528,INSUMOS!$A:$D,4,0),IFERROR(VLOOKUP($C528,COTAÇÕES!$B:$I,8,0),(VLOOKUP($C528,'INSUMO SINAPI - SP'!$C:$F,4,0)))))</f>
        <v>47976.89</v>
      </c>
      <c r="I528" s="549">
        <f>TRUNC(IF($C528="",IFERROR(VLOOKUP($B528,SERVIÇOS!$B:$G,4,0),IFERROR(VLOOKUP($B528,$D:$K,6,0),)),IFERROR(VLOOKUP($C528,INSUMOS!$A:$D,4,0),IFERROR(VLOOKUP($C528,COTAÇÕES!$B:$I,8,0),(VLOOKUP($C528,'INSUMO SINAPI - SP'!$C:$F,4,0)))))*$G528,2)</f>
        <v>47976.89</v>
      </c>
      <c r="J528" s="549"/>
      <c r="K528" s="550">
        <f t="shared" ref="K528:K533" si="22">I528+J528</f>
        <v>47976.89</v>
      </c>
      <c r="L528" s="551" t="s">
        <v>12878</v>
      </c>
      <c r="M528" s="530"/>
      <c r="N528" s="552"/>
      <c r="O528" s="540"/>
      <c r="P528" s="540"/>
      <c r="Q528" s="541"/>
      <c r="R528" s="541"/>
      <c r="S528" s="541"/>
      <c r="T528" s="541"/>
      <c r="U528" s="541"/>
      <c r="V528" s="541"/>
      <c r="W528" s="541"/>
      <c r="X528" s="541"/>
      <c r="Y528" s="541"/>
    </row>
    <row r="529" spans="1:25" x14ac:dyDescent="0.25">
      <c r="A529" s="530"/>
      <c r="B529" s="542">
        <v>88264</v>
      </c>
      <c r="C529" s="543"/>
      <c r="D529" s="544"/>
      <c r="E529" s="545" t="str">
        <f>IF($C529="",IFERROR(VLOOKUP($B529,SERVIÇOS!$B:$G,2,0),IFERROR(VLOOKUP($B529,$D:$K,2,0),"")),IFERROR(VLOOKUP($C529,INSUMOS!$A:$D,2,0),IFERROR(VLOOKUP($C529,COTAÇÕES!$B:$I,2,0),(VLOOKUP($C529,'INSUMO SINAPI - SP'!$C:$F,2,0)))))</f>
        <v>ELETRICISTA COM ENCARGOS COMPLEMENTARES</v>
      </c>
      <c r="F529" s="546" t="str">
        <f>IF($C529="",IFERROR(VLOOKUP($B529,SERVIÇOS!$B:$G,3,0),IFERROR(VLOOKUP($B529,$D:$K,3,0),"")),IFERROR(VLOOKUP($C529,INSUMOS!$A:$D,3,0),IFERROR(VLOOKUP($C529,COTAÇÕES!$B:$I,3,0),(VLOOKUP($C529,'INSUMO SINAPI - SP'!$C:$F,3,0)))))</f>
        <v>H</v>
      </c>
      <c r="G529" s="547">
        <v>5</v>
      </c>
      <c r="H529" s="548">
        <f>IF($C529="",IFERROR(VLOOKUP($B529,SERVIÇOS!$B:$G,6,0),IFERROR(VLOOKUP($B529,$D:$K,8,0),"")),IFERROR(VLOOKUP($C529,INSUMOS!$A:$D,4,0),IFERROR(VLOOKUP($C529,COTAÇÕES!$B:$I,7,0),(VLOOKUP($C529,'INSUMO SINAPI - SP'!$C:$F,4,0)))))</f>
        <v>37.369999999999997</v>
      </c>
      <c r="I529" s="549">
        <f>TRUNC(IF($C529="",IFERROR(VLOOKUP($B529,SERVIÇOS!$B:$G,4,0),IFERROR(VLOOKUP($B529,$D:$K,6,0),)),IFERROR(VLOOKUP($C529,INSUMOS!$A:$D,4,0),IFERROR(VLOOKUP($C529,COTAÇÕES!$B:$I,7,0),(VLOOKUP($C529,'INSUMO SINAPI - SP'!$C:$F,4,0)))))*$G529,2)</f>
        <v>46.55</v>
      </c>
      <c r="J529" s="549">
        <f>TRUNC(IF($C529="",IFERROR(VLOOKUP($B529,SERVIÇOS!$B:$G,5,0),IFERROR(VLOOKUP($B529,$D:$K,7,0),)),0)*$G529,2)</f>
        <v>140.30000000000001</v>
      </c>
      <c r="K529" s="550">
        <f t="shared" si="22"/>
        <v>186.85000000000002</v>
      </c>
      <c r="L529" s="553"/>
      <c r="M529" s="530"/>
      <c r="N529" s="552"/>
      <c r="O529" s="540"/>
      <c r="P529" s="540"/>
      <c r="Q529" s="541"/>
      <c r="R529" s="541"/>
      <c r="S529" s="541"/>
      <c r="T529" s="541"/>
      <c r="U529" s="541"/>
      <c r="V529" s="541"/>
      <c r="W529" s="541"/>
      <c r="X529" s="541"/>
      <c r="Y529" s="541"/>
    </row>
    <row r="530" spans="1:25" x14ac:dyDescent="0.25">
      <c r="A530" s="530"/>
      <c r="B530" s="542">
        <v>88247</v>
      </c>
      <c r="C530" s="543"/>
      <c r="D530" s="544"/>
      <c r="E530" s="545" t="str">
        <f>IF($C530="",IFERROR(VLOOKUP($B530,SERVIÇOS!$B:$G,2,0),IFERROR(VLOOKUP($B530,$D:$K,2,0),"")),IFERROR(VLOOKUP($C530,INSUMOS!$A:$D,2,0),IFERROR(VLOOKUP($C530,COTAÇÕES!$B:$I,2,0),(VLOOKUP($C530,'INSUMO SINAPI - SP'!$C:$F,2,0)))))</f>
        <v>AUXILIAR DE ELETRICISTA COM ENCARGOS COMPLEMENTARES</v>
      </c>
      <c r="F530" s="546" t="str">
        <f>IF($C530="",IFERROR(VLOOKUP($B530,SERVIÇOS!$B:$G,3,0),IFERROR(VLOOKUP($B530,$D:$K,3,0),"")),IFERROR(VLOOKUP($C530,INSUMOS!$A:$D,3,0),IFERROR(VLOOKUP($C530,COTAÇÕES!$B:$I,3,0),(VLOOKUP($C530,'INSUMO SINAPI - SP'!$C:$F,3,0)))))</f>
        <v>H</v>
      </c>
      <c r="G530" s="547">
        <v>5</v>
      </c>
      <c r="H530" s="548">
        <f>IF($C530="",IFERROR(VLOOKUP($B530,SERVIÇOS!$B:$G,6,0),IFERROR(VLOOKUP($B530,$D:$K,8,0),"")),IFERROR(VLOOKUP($C530,INSUMOS!$A:$D,4,0),IFERROR(VLOOKUP($C530,COTAÇÕES!$B:$I,7,0),(VLOOKUP($C530,'INSUMO SINAPI - SP'!$C:$F,4,0)))))</f>
        <v>30.8</v>
      </c>
      <c r="I530" s="549">
        <f>TRUNC(IF($C530="",IFERROR(VLOOKUP($B530,SERVIÇOS!$B:$G,4,0),IFERROR(VLOOKUP($B530,$D:$K,6,0),)),IFERROR(VLOOKUP($C530,INSUMOS!$A:$D,4,0),IFERROR(VLOOKUP($C530,COTAÇÕES!$B:$I,7,0),(VLOOKUP($C530,'INSUMO SINAPI - SP'!$C:$F,4,0)))))*$G530,2)</f>
        <v>46.6</v>
      </c>
      <c r="J530" s="549">
        <f>TRUNC(IF($C530="",IFERROR(VLOOKUP($B530,SERVIÇOS!$B:$G,5,0),IFERROR(VLOOKUP($B530,$D:$K,7,0),)),0)*$G530,2)</f>
        <v>107.4</v>
      </c>
      <c r="K530" s="550">
        <f t="shared" si="22"/>
        <v>154</v>
      </c>
      <c r="L530" s="553"/>
      <c r="M530" s="530"/>
      <c r="N530" s="552"/>
      <c r="O530" s="540"/>
      <c r="P530" s="540"/>
      <c r="Q530" s="541"/>
      <c r="R530" s="541"/>
      <c r="S530" s="541"/>
      <c r="T530" s="541"/>
      <c r="U530" s="541"/>
      <c r="V530" s="541"/>
      <c r="W530" s="541"/>
      <c r="X530" s="541"/>
      <c r="Y530" s="541"/>
    </row>
    <row r="531" spans="1:25" x14ac:dyDescent="0.25">
      <c r="A531" s="530"/>
      <c r="B531" s="542">
        <v>88275</v>
      </c>
      <c r="C531" s="543"/>
      <c r="D531" s="544"/>
      <c r="E531" s="545" t="str">
        <f>IF($C531="",IFERROR(VLOOKUP($B531,SERVIÇOS!$B:$G,2,0),IFERROR(VLOOKUP($B531,$D:$K,2,0),"")),IFERROR(VLOOKUP($C531,INSUMOS!$A:$D,2,0),IFERROR(VLOOKUP($C531,COTAÇÕES!$B:$I,2,0),(VLOOKUP($C531,'INSUMO SINAPI - SP'!$C:$F,2,0)))))</f>
        <v>MECÃNICO DE EQUIPAMENTOS PESADOS COM ENCARGOS COMPLEMENTARES</v>
      </c>
      <c r="F531" s="546" t="str">
        <f>IF($C531="",IFERROR(VLOOKUP($B531,SERVIÇOS!$B:$G,3,0),IFERROR(VLOOKUP($B531,$D:$K,3,0),"")),IFERROR(VLOOKUP($C531,INSUMOS!$A:$D,3,0),IFERROR(VLOOKUP($C531,COTAÇÕES!$B:$I,3,0),(VLOOKUP($C531,'INSUMO SINAPI - SP'!$C:$F,3,0)))))</f>
        <v>H</v>
      </c>
      <c r="G531" s="547">
        <v>35</v>
      </c>
      <c r="H531" s="548">
        <f>IF($C531="",IFERROR(VLOOKUP($B531,SERVIÇOS!$B:$G,6,0),IFERROR(VLOOKUP($B531,$D:$K,8,0),"")),IFERROR(VLOOKUP($C531,INSUMOS!$A:$D,4,0),IFERROR(VLOOKUP($C531,COTAÇÕES!$B:$I,7,0),(VLOOKUP($C531,'INSUMO SINAPI - SP'!$C:$F,4,0)))))</f>
        <v>40.479999999999997</v>
      </c>
      <c r="I531" s="549">
        <f>TRUNC(IF($C531="",IFERROR(VLOOKUP($B531,SERVIÇOS!$B:$G,4,0),IFERROR(VLOOKUP($B531,$D:$K,6,0),)),IFERROR(VLOOKUP($C531,INSUMOS!$A:$D,4,0),IFERROR(VLOOKUP($C531,COTAÇÕES!$B:$I,7,0),(VLOOKUP($C531,'INSUMO SINAPI - SP'!$C:$F,4,0)))))*$G531,2)</f>
        <v>283.5</v>
      </c>
      <c r="J531" s="549">
        <f>TRUNC(IF($C531="",IFERROR(VLOOKUP($B531,SERVIÇOS!$B:$G,5,0),IFERROR(VLOOKUP($B531,$D:$K,7,0),)),0)*$G531,2)</f>
        <v>1133.3</v>
      </c>
      <c r="K531" s="550">
        <f t="shared" si="22"/>
        <v>1416.8</v>
      </c>
      <c r="L531" s="553"/>
      <c r="M531" s="530"/>
      <c r="N531" s="552"/>
      <c r="O531" s="540"/>
      <c r="P531" s="540"/>
      <c r="Q531" s="541"/>
      <c r="R531" s="541"/>
      <c r="S531" s="541"/>
      <c r="T531" s="541"/>
      <c r="U531" s="541"/>
      <c r="V531" s="541"/>
      <c r="W531" s="541"/>
      <c r="X531" s="541"/>
      <c r="Y531" s="541"/>
    </row>
    <row r="532" spans="1:25" x14ac:dyDescent="0.25">
      <c r="A532" s="530"/>
      <c r="B532" s="542">
        <v>88241</v>
      </c>
      <c r="C532" s="543"/>
      <c r="D532" s="544"/>
      <c r="E532" s="545" t="str">
        <f>IF($C532="",IFERROR(VLOOKUP($B532,SERVIÇOS!$B:$G,2,0),IFERROR(VLOOKUP($B532,$D:$K,2,0),"")),IFERROR(VLOOKUP($C532,INSUMOS!$A:$D,2,0),IFERROR(VLOOKUP($C532,COTAÇÕES!$B:$I,2,0),(VLOOKUP($C532,'INSUMO SINAPI - SP'!$C:$F,2,0)))))</f>
        <v>AJUDANTE DE OPERAÇÃO EM GERAL COM ENCARGOS COMPLEMENTARES</v>
      </c>
      <c r="F532" s="546" t="str">
        <f>IF($C532="",IFERROR(VLOOKUP($B532,SERVIÇOS!$B:$G,3,0),IFERROR(VLOOKUP($B532,$D:$K,3,0),"")),IFERROR(VLOOKUP($C532,INSUMOS!$A:$D,3,0),IFERROR(VLOOKUP($C532,COTAÇÕES!$B:$I,3,0),(VLOOKUP($C532,'INSUMO SINAPI - SP'!$C:$F,3,0)))))</f>
        <v>H</v>
      </c>
      <c r="G532" s="547">
        <v>105</v>
      </c>
      <c r="H532" s="548">
        <f>IF($C532="",IFERROR(VLOOKUP($B532,SERVIÇOS!$B:$G,6,0),IFERROR(VLOOKUP($B532,$D:$K,8,0),"")),IFERROR(VLOOKUP($C532,INSUMOS!$A:$D,4,0),IFERROR(VLOOKUP($C532,COTAÇÕES!$B:$I,7,0),(VLOOKUP($C532,'INSUMO SINAPI - SP'!$C:$F,4,0)))))</f>
        <v>29.87</v>
      </c>
      <c r="I532" s="549">
        <f>TRUNC(IF($C532="",IFERROR(VLOOKUP($B532,SERVIÇOS!$B:$G,4,0),IFERROR(VLOOKUP($B532,$D:$K,6,0),)),IFERROR(VLOOKUP($C532,INSUMOS!$A:$D,4,0),IFERROR(VLOOKUP($C532,COTAÇÕES!$B:$I,7,0),(VLOOKUP($C532,'INSUMO SINAPI - SP'!$C:$F,4,0)))))*$G532,2)</f>
        <v>975.45</v>
      </c>
      <c r="J532" s="549">
        <f>TRUNC(IF($C532="",IFERROR(VLOOKUP($B532,SERVIÇOS!$B:$G,5,0),IFERROR(VLOOKUP($B532,$D:$K,7,0),)),0)*$G532,2)</f>
        <v>2160.9</v>
      </c>
      <c r="K532" s="550">
        <f t="shared" si="22"/>
        <v>3136.3500000000004</v>
      </c>
      <c r="L532" s="553"/>
      <c r="M532" s="530"/>
      <c r="N532" s="552"/>
      <c r="O532" s="540"/>
      <c r="P532" s="540"/>
      <c r="Q532" s="541"/>
      <c r="R532" s="541"/>
      <c r="S532" s="541"/>
      <c r="T532" s="541"/>
      <c r="U532" s="541"/>
      <c r="V532" s="541"/>
      <c r="W532" s="541"/>
      <c r="X532" s="541"/>
      <c r="Y532" s="541"/>
    </row>
    <row r="533" spans="1:25" ht="22.5" x14ac:dyDescent="0.25">
      <c r="A533" s="530"/>
      <c r="B533" s="542">
        <v>93287</v>
      </c>
      <c r="C533" s="543"/>
      <c r="D533" s="544"/>
      <c r="E533" s="545" t="str">
        <f>IF($C533="",IFERROR(VLOOKUP($B533,SERVIÇOS!$B:$G,2,0),IFERROR(VLOOKUP($B533,$D:$K,2,0),"")),IFERROR(VLOOKUP($C533,INSUMOS!$A:$D,2,0),IFERROR(VLOOKUP($C533,COTAÇÕES!$B:$I,2,0),(VLOOKUP($C533,'INSUMO SINAPI - SP'!$C:$F,2,0)))))</f>
        <v>GUINDASTE HIDRÁULICO AUTOPROPELIDO, COM LANÇA TELESCÓPICA 40 M, CAPACIDADE MÁXIMA 60 T, POTÊNCIA 260 KW - CHP DIURNO. AF_03/2016</v>
      </c>
      <c r="F533" s="546" t="str">
        <f>IF($C533="",IFERROR(VLOOKUP($B533,SERVIÇOS!$B:$G,3,0),IFERROR(VLOOKUP($B533,$D:$K,3,0),"")),IFERROR(VLOOKUP($C533,INSUMOS!$A:$D,3,0),IFERROR(VLOOKUP($C533,COTAÇÕES!$B:$I,3,0),(VLOOKUP($C533,'INSUMO SINAPI - SP'!$C:$F,3,0)))))</f>
        <v>CHP</v>
      </c>
      <c r="G533" s="547">
        <v>3</v>
      </c>
      <c r="H533" s="548">
        <f>IF($C533="",IFERROR(VLOOKUP($B533,SERVIÇOS!$B:$G,6,0),IFERROR(VLOOKUP($B533,$D:$K,8,0),"")),IFERROR(VLOOKUP($C533,INSUMOS!$A:$D,4,0),IFERROR(VLOOKUP($C533,COTAÇÕES!$B:$I,7,0),(VLOOKUP($C533,'INSUMO SINAPI - SP'!$C:$F,4,0)))))</f>
        <v>362.3</v>
      </c>
      <c r="I533" s="549">
        <f>TRUNC(IF($C533="",IFERROR(VLOOKUP($B533,SERVIÇOS!$B:$G,4,0),IFERROR(VLOOKUP($B533,$D:$K,6,0),)),IFERROR(VLOOKUP($C533,INSUMOS!$A:$D,4,0),IFERROR(VLOOKUP($C533,COTAÇÕES!$B:$I,7,0),(VLOOKUP($C533,'INSUMO SINAPI - SP'!$C:$F,4,0)))))*$G533,2)</f>
        <v>977.37</v>
      </c>
      <c r="J533" s="549">
        <f>TRUNC(IF($C533="",IFERROR(VLOOKUP($B533,SERVIÇOS!$B:$G,5,0),IFERROR(VLOOKUP($B533,$D:$K,7,0),)),0)*$G533,2)</f>
        <v>109.53</v>
      </c>
      <c r="K533" s="550">
        <f t="shared" si="22"/>
        <v>1086.9000000000001</v>
      </c>
      <c r="L533" s="553"/>
      <c r="M533" s="530"/>
      <c r="N533" s="552"/>
      <c r="O533" s="540"/>
      <c r="P533" s="540"/>
      <c r="Q533" s="541"/>
      <c r="R533" s="541"/>
      <c r="S533" s="541"/>
      <c r="T533" s="541"/>
      <c r="U533" s="541"/>
      <c r="V533" s="541"/>
      <c r="W533" s="541"/>
      <c r="X533" s="541"/>
      <c r="Y533" s="541"/>
    </row>
    <row r="534" spans="1:25" ht="409.5" x14ac:dyDescent="0.25">
      <c r="A534" s="530"/>
      <c r="B534" s="531"/>
      <c r="C534" s="531"/>
      <c r="D534" s="532" t="s">
        <v>12586</v>
      </c>
      <c r="E534" s="533" t="s">
        <v>12879</v>
      </c>
      <c r="F534" s="534" t="s">
        <v>580</v>
      </c>
      <c r="G534" s="535"/>
      <c r="H534" s="536"/>
      <c r="I534" s="537">
        <f>SUM(I535:I540)</f>
        <v>50306.36</v>
      </c>
      <c r="J534" s="537">
        <f>SUM(J535:J540)</f>
        <v>3651.4300000000003</v>
      </c>
      <c r="K534" s="537">
        <f>+J534+I534</f>
        <v>53957.79</v>
      </c>
      <c r="L534" s="538" t="s">
        <v>12876</v>
      </c>
      <c r="M534" s="530"/>
      <c r="N534" s="539"/>
      <c r="O534" s="540"/>
      <c r="P534" s="540"/>
      <c r="Q534" s="541"/>
      <c r="R534" s="541"/>
      <c r="S534" s="541"/>
      <c r="T534" s="541"/>
      <c r="U534" s="541"/>
      <c r="V534" s="541"/>
      <c r="W534" s="541"/>
      <c r="X534" s="541"/>
      <c r="Y534" s="541"/>
    </row>
    <row r="535" spans="1:25" ht="409.5" x14ac:dyDescent="0.25">
      <c r="A535" s="530"/>
      <c r="B535" s="542"/>
      <c r="C535" s="543" t="s">
        <v>12880</v>
      </c>
      <c r="D535" s="544"/>
      <c r="E535" s="545" t="str">
        <f>IF($C535="",IFERROR(VLOOKUP($B535,SERVIÇOS!$B:$G,2,0),IFERROR(VLOOKUP($B535,$D:$K,2,0),"")),IFERROR(VLOOKUP($C535,INSUMOS!$A:$D,2,0),IFERROR(VLOOKUP($C535,COTAÇÕES!$B:$I,2,0),(VLOOKUP($C535,'INSUMO SINAPI - SP'!$C:$F,2,0)))))</f>
        <v>UNIDADES DE TRATAMENTO DE AR MODULAR DE MONTAGEM HORIZONTAL PARA ENTREFORRO
AMBIENTES ATENDIDOS: FARMÁCIA - FRACIONAMENTO
LOCALIZAÇÃO: ENTREFORRO
TIPO DE SISTEMA DE CLIMATIZAÇÃO: EXPANSÃO DIRETA, FLUIDO R410A (OBS: DEVE ACOMPANHAR VÁLVULA DE EXPANSÃO ELETRÔNICA CONFORME SELEÇÃO DO FABRICANTE)
CARGA TÉRMICA TOTAL DA SERPENTINA: 1,60kW
CARGA TÉRMICA SENSÍVEL DA SERPENTINA: 1,11kW
VAZÃO DE INSUFLAMENTO: 700m³/h
VAZÃO DE AR EXTERNO: 30m³/h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535" s="546" t="str">
        <f>IF($C535="",IFERROR(VLOOKUP($B535,SERVIÇOS!$B:$G,3,0),IFERROR(VLOOKUP($B535,$D:$K,3,0),"")),IFERROR(VLOOKUP($C535,INSUMOS!$A:$D,3,0),IFERROR(VLOOKUP($C535,COTAÇÕES!$B:$I,3,0),(VLOOKUP($C535,'INSUMO SINAPI - SP'!$C:$F,3,0)))))</f>
        <v>UN</v>
      </c>
      <c r="G535" s="547">
        <v>1</v>
      </c>
      <c r="H535" s="548">
        <f>IF($C535="",IFERROR(VLOOKUP($B535,SERVIÇOS!$B:$G,6,0),IFERROR(VLOOKUP($B535,$D:$K,8,0),"")),IFERROR(VLOOKUP($C535,INSUMOS!$A:$D,4,0),IFERROR(VLOOKUP($C535,COTAÇÕES!$B:$I,8,0),(VLOOKUP($C535,'INSUMO SINAPI - SP'!$C:$F,4,0)))))</f>
        <v>47976.89</v>
      </c>
      <c r="I535" s="549">
        <f>TRUNC(IF($C535="",IFERROR(VLOOKUP($B535,SERVIÇOS!$B:$G,4,0),IFERROR(VLOOKUP($B535,$D:$K,6,0),)),IFERROR(VLOOKUP($C535,INSUMOS!$A:$D,4,0),IFERROR(VLOOKUP($C535,COTAÇÕES!$B:$I,8,0),(VLOOKUP($C535,'INSUMO SINAPI - SP'!$C:$F,4,0)))))*$G535,2)</f>
        <v>47976.89</v>
      </c>
      <c r="J535" s="549"/>
      <c r="K535" s="550">
        <f t="shared" ref="K535:K540" si="23">I535+J535</f>
        <v>47976.89</v>
      </c>
      <c r="L535" s="551" t="s">
        <v>12878</v>
      </c>
      <c r="M535" s="530"/>
      <c r="N535" s="552"/>
      <c r="O535" s="540"/>
      <c r="P535" s="540"/>
      <c r="Q535" s="541"/>
      <c r="R535" s="541"/>
      <c r="S535" s="541"/>
      <c r="T535" s="541"/>
      <c r="U535" s="541"/>
      <c r="V535" s="541"/>
      <c r="W535" s="541"/>
      <c r="X535" s="541"/>
      <c r="Y535" s="541"/>
    </row>
    <row r="536" spans="1:25" x14ac:dyDescent="0.25">
      <c r="A536" s="530"/>
      <c r="B536" s="542">
        <v>88264</v>
      </c>
      <c r="C536" s="543"/>
      <c r="D536" s="544"/>
      <c r="E536" s="545" t="str">
        <f>IF($C536="",IFERROR(VLOOKUP($B536,SERVIÇOS!$B:$G,2,0),IFERROR(VLOOKUP($B536,$D:$K,2,0),"")),IFERROR(VLOOKUP($C536,INSUMOS!$A:$D,2,0),IFERROR(VLOOKUP($C536,COTAÇÕES!$B:$I,2,0),(VLOOKUP($C536,'INSUMO SINAPI - SP'!$C:$F,2,0)))))</f>
        <v>ELETRICISTA COM ENCARGOS COMPLEMENTARES</v>
      </c>
      <c r="F536" s="546" t="str">
        <f>IF($C536="",IFERROR(VLOOKUP($B536,SERVIÇOS!$B:$G,3,0),IFERROR(VLOOKUP($B536,$D:$K,3,0),"")),IFERROR(VLOOKUP($C536,INSUMOS!$A:$D,3,0),IFERROR(VLOOKUP($C536,COTAÇÕES!$B:$I,3,0),(VLOOKUP($C536,'INSUMO SINAPI - SP'!$C:$F,3,0)))))</f>
        <v>H</v>
      </c>
      <c r="G536" s="547">
        <v>5</v>
      </c>
      <c r="H536" s="548">
        <f>IF($C536="",IFERROR(VLOOKUP($B536,SERVIÇOS!$B:$G,6,0),IFERROR(VLOOKUP($B536,$D:$K,8,0),"")),IFERROR(VLOOKUP($C536,INSUMOS!$A:$D,4,0),IFERROR(VLOOKUP($C536,COTAÇÕES!$B:$I,7,0),(VLOOKUP($C536,'INSUMO SINAPI - SP'!$C:$F,4,0)))))</f>
        <v>37.369999999999997</v>
      </c>
      <c r="I536" s="549">
        <f>TRUNC(IF($C536="",IFERROR(VLOOKUP($B536,SERVIÇOS!$B:$G,4,0),IFERROR(VLOOKUP($B536,$D:$K,6,0),)),IFERROR(VLOOKUP($C536,INSUMOS!$A:$D,4,0),IFERROR(VLOOKUP($C536,COTAÇÕES!$B:$I,7,0),(VLOOKUP($C536,'INSUMO SINAPI - SP'!$C:$F,4,0)))))*$G536,2)</f>
        <v>46.55</v>
      </c>
      <c r="J536" s="549">
        <f>TRUNC(IF($C536="",IFERROR(VLOOKUP($B536,SERVIÇOS!$B:$G,5,0),IFERROR(VLOOKUP($B536,$D:$K,7,0),)),0)*$G536,2)</f>
        <v>140.30000000000001</v>
      </c>
      <c r="K536" s="550">
        <f t="shared" si="23"/>
        <v>186.85000000000002</v>
      </c>
      <c r="L536" s="553"/>
      <c r="M536" s="530"/>
      <c r="N536" s="552"/>
      <c r="O536" s="540"/>
      <c r="P536" s="540"/>
      <c r="Q536" s="541"/>
      <c r="R536" s="541"/>
      <c r="S536" s="541"/>
      <c r="T536" s="541"/>
      <c r="U536" s="541"/>
      <c r="V536" s="541"/>
      <c r="W536" s="541"/>
      <c r="X536" s="541"/>
      <c r="Y536" s="541"/>
    </row>
    <row r="537" spans="1:25" x14ac:dyDescent="0.25">
      <c r="A537" s="530"/>
      <c r="B537" s="542">
        <v>88247</v>
      </c>
      <c r="C537" s="543"/>
      <c r="D537" s="544"/>
      <c r="E537" s="545" t="str">
        <f>IF($C537="",IFERROR(VLOOKUP($B537,SERVIÇOS!$B:$G,2,0),IFERROR(VLOOKUP($B537,$D:$K,2,0),"")),IFERROR(VLOOKUP($C537,INSUMOS!$A:$D,2,0),IFERROR(VLOOKUP($C537,COTAÇÕES!$B:$I,2,0),(VLOOKUP($C537,'INSUMO SINAPI - SP'!$C:$F,2,0)))))</f>
        <v>AUXILIAR DE ELETRICISTA COM ENCARGOS COMPLEMENTARES</v>
      </c>
      <c r="F537" s="546" t="str">
        <f>IF($C537="",IFERROR(VLOOKUP($B537,SERVIÇOS!$B:$G,3,0),IFERROR(VLOOKUP($B537,$D:$K,3,0),"")),IFERROR(VLOOKUP($C537,INSUMOS!$A:$D,3,0),IFERROR(VLOOKUP($C537,COTAÇÕES!$B:$I,3,0),(VLOOKUP($C537,'INSUMO SINAPI - SP'!$C:$F,3,0)))))</f>
        <v>H</v>
      </c>
      <c r="G537" s="547">
        <v>5</v>
      </c>
      <c r="H537" s="548">
        <f>IF($C537="",IFERROR(VLOOKUP($B537,SERVIÇOS!$B:$G,6,0),IFERROR(VLOOKUP($B537,$D:$K,8,0),"")),IFERROR(VLOOKUP($C537,INSUMOS!$A:$D,4,0),IFERROR(VLOOKUP($C537,COTAÇÕES!$B:$I,7,0),(VLOOKUP($C537,'INSUMO SINAPI - SP'!$C:$F,4,0)))))</f>
        <v>30.8</v>
      </c>
      <c r="I537" s="549">
        <f>TRUNC(IF($C537="",IFERROR(VLOOKUP($B537,SERVIÇOS!$B:$G,4,0),IFERROR(VLOOKUP($B537,$D:$K,6,0),)),IFERROR(VLOOKUP($C537,INSUMOS!$A:$D,4,0),IFERROR(VLOOKUP($C537,COTAÇÕES!$B:$I,7,0),(VLOOKUP($C537,'INSUMO SINAPI - SP'!$C:$F,4,0)))))*$G537,2)</f>
        <v>46.6</v>
      </c>
      <c r="J537" s="549">
        <f>TRUNC(IF($C537="",IFERROR(VLOOKUP($B537,SERVIÇOS!$B:$G,5,0),IFERROR(VLOOKUP($B537,$D:$K,7,0),)),0)*$G537,2)</f>
        <v>107.4</v>
      </c>
      <c r="K537" s="550">
        <f t="shared" si="23"/>
        <v>154</v>
      </c>
      <c r="L537" s="553"/>
      <c r="M537" s="530"/>
      <c r="N537" s="552"/>
      <c r="O537" s="540"/>
      <c r="P537" s="540"/>
      <c r="Q537" s="541"/>
      <c r="R537" s="541"/>
      <c r="S537" s="541"/>
      <c r="T537" s="541"/>
      <c r="U537" s="541"/>
      <c r="V537" s="541"/>
      <c r="W537" s="541"/>
      <c r="X537" s="541"/>
      <c r="Y537" s="541"/>
    </row>
    <row r="538" spans="1:25" x14ac:dyDescent="0.25">
      <c r="A538" s="530"/>
      <c r="B538" s="542">
        <v>88275</v>
      </c>
      <c r="C538" s="543"/>
      <c r="D538" s="544"/>
      <c r="E538" s="545" t="str">
        <f>IF($C538="",IFERROR(VLOOKUP($B538,SERVIÇOS!$B:$G,2,0),IFERROR(VLOOKUP($B538,$D:$K,2,0),"")),IFERROR(VLOOKUP($C538,INSUMOS!$A:$D,2,0),IFERROR(VLOOKUP($C538,COTAÇÕES!$B:$I,2,0),(VLOOKUP($C538,'INSUMO SINAPI - SP'!$C:$F,2,0)))))</f>
        <v>MECÃNICO DE EQUIPAMENTOS PESADOS COM ENCARGOS COMPLEMENTARES</v>
      </c>
      <c r="F538" s="546" t="str">
        <f>IF($C538="",IFERROR(VLOOKUP($B538,SERVIÇOS!$B:$G,3,0),IFERROR(VLOOKUP($B538,$D:$K,3,0),"")),IFERROR(VLOOKUP($C538,INSUMOS!$A:$D,3,0),IFERROR(VLOOKUP($C538,COTAÇÕES!$B:$I,3,0),(VLOOKUP($C538,'INSUMO SINAPI - SP'!$C:$F,3,0)))))</f>
        <v>H</v>
      </c>
      <c r="G538" s="547">
        <v>35</v>
      </c>
      <c r="H538" s="548">
        <f>IF($C538="",IFERROR(VLOOKUP($B538,SERVIÇOS!$B:$G,6,0),IFERROR(VLOOKUP($B538,$D:$K,8,0),"")),IFERROR(VLOOKUP($C538,INSUMOS!$A:$D,4,0),IFERROR(VLOOKUP($C538,COTAÇÕES!$B:$I,7,0),(VLOOKUP($C538,'INSUMO SINAPI - SP'!$C:$F,4,0)))))</f>
        <v>40.479999999999997</v>
      </c>
      <c r="I538" s="549">
        <f>TRUNC(IF($C538="",IFERROR(VLOOKUP($B538,SERVIÇOS!$B:$G,4,0),IFERROR(VLOOKUP($B538,$D:$K,6,0),)),IFERROR(VLOOKUP($C538,INSUMOS!$A:$D,4,0),IFERROR(VLOOKUP($C538,COTAÇÕES!$B:$I,7,0),(VLOOKUP($C538,'INSUMO SINAPI - SP'!$C:$F,4,0)))))*$G538,2)</f>
        <v>283.5</v>
      </c>
      <c r="J538" s="549">
        <f>TRUNC(IF($C538="",IFERROR(VLOOKUP($B538,SERVIÇOS!$B:$G,5,0),IFERROR(VLOOKUP($B538,$D:$K,7,0),)),0)*$G538,2)</f>
        <v>1133.3</v>
      </c>
      <c r="K538" s="550">
        <f t="shared" si="23"/>
        <v>1416.8</v>
      </c>
      <c r="L538" s="553"/>
      <c r="M538" s="530"/>
      <c r="N538" s="552"/>
      <c r="O538" s="540"/>
      <c r="P538" s="540"/>
      <c r="Q538" s="541"/>
      <c r="R538" s="541"/>
      <c r="S538" s="541"/>
      <c r="T538" s="541"/>
      <c r="U538" s="541"/>
      <c r="V538" s="541"/>
      <c r="W538" s="541"/>
      <c r="X538" s="541"/>
      <c r="Y538" s="541"/>
    </row>
    <row r="539" spans="1:25" x14ac:dyDescent="0.25">
      <c r="A539" s="530"/>
      <c r="B539" s="542">
        <v>88241</v>
      </c>
      <c r="C539" s="543"/>
      <c r="D539" s="544"/>
      <c r="E539" s="545" t="str">
        <f>IF($C539="",IFERROR(VLOOKUP($B539,SERVIÇOS!$B:$G,2,0),IFERROR(VLOOKUP($B539,$D:$K,2,0),"")),IFERROR(VLOOKUP($C539,INSUMOS!$A:$D,2,0),IFERROR(VLOOKUP($C539,COTAÇÕES!$B:$I,2,0),(VLOOKUP($C539,'INSUMO SINAPI - SP'!$C:$F,2,0)))))</f>
        <v>AJUDANTE DE OPERAÇÃO EM GERAL COM ENCARGOS COMPLEMENTARES</v>
      </c>
      <c r="F539" s="546" t="str">
        <f>IF($C539="",IFERROR(VLOOKUP($B539,SERVIÇOS!$B:$G,3,0),IFERROR(VLOOKUP($B539,$D:$K,3,0),"")),IFERROR(VLOOKUP($C539,INSUMOS!$A:$D,3,0),IFERROR(VLOOKUP($C539,COTAÇÕES!$B:$I,3,0),(VLOOKUP($C539,'INSUMO SINAPI - SP'!$C:$F,3,0)))))</f>
        <v>H</v>
      </c>
      <c r="G539" s="547">
        <v>105</v>
      </c>
      <c r="H539" s="548">
        <f>IF($C539="",IFERROR(VLOOKUP($B539,SERVIÇOS!$B:$G,6,0),IFERROR(VLOOKUP($B539,$D:$K,8,0),"")),IFERROR(VLOOKUP($C539,INSUMOS!$A:$D,4,0),IFERROR(VLOOKUP($C539,COTAÇÕES!$B:$I,7,0),(VLOOKUP($C539,'INSUMO SINAPI - SP'!$C:$F,4,0)))))</f>
        <v>29.87</v>
      </c>
      <c r="I539" s="549">
        <f>TRUNC(IF($C539="",IFERROR(VLOOKUP($B539,SERVIÇOS!$B:$G,4,0),IFERROR(VLOOKUP($B539,$D:$K,6,0),)),IFERROR(VLOOKUP($C539,INSUMOS!$A:$D,4,0),IFERROR(VLOOKUP($C539,COTAÇÕES!$B:$I,7,0),(VLOOKUP($C539,'INSUMO SINAPI - SP'!$C:$F,4,0)))))*$G539,2)</f>
        <v>975.45</v>
      </c>
      <c r="J539" s="549">
        <f>TRUNC(IF($C539="",IFERROR(VLOOKUP($B539,SERVIÇOS!$B:$G,5,0),IFERROR(VLOOKUP($B539,$D:$K,7,0),)),0)*$G539,2)</f>
        <v>2160.9</v>
      </c>
      <c r="K539" s="550">
        <f t="shared" si="23"/>
        <v>3136.3500000000004</v>
      </c>
      <c r="L539" s="553"/>
      <c r="M539" s="530"/>
      <c r="N539" s="552"/>
      <c r="O539" s="540"/>
      <c r="P539" s="540"/>
      <c r="Q539" s="541"/>
      <c r="R539" s="541"/>
      <c r="S539" s="541"/>
      <c r="T539" s="541"/>
      <c r="U539" s="541"/>
      <c r="V539" s="541"/>
      <c r="W539" s="541"/>
      <c r="X539" s="541"/>
      <c r="Y539" s="541"/>
    </row>
    <row r="540" spans="1:25" ht="22.5" x14ac:dyDescent="0.25">
      <c r="A540" s="530"/>
      <c r="B540" s="542">
        <v>93287</v>
      </c>
      <c r="C540" s="543"/>
      <c r="D540" s="544"/>
      <c r="E540" s="545" t="str">
        <f>IF($C540="",IFERROR(VLOOKUP($B540,SERVIÇOS!$B:$G,2,0),IFERROR(VLOOKUP($B540,$D:$K,2,0),"")),IFERROR(VLOOKUP($C540,INSUMOS!$A:$D,2,0),IFERROR(VLOOKUP($C540,COTAÇÕES!$B:$I,2,0),(VLOOKUP($C540,'INSUMO SINAPI - SP'!$C:$F,2,0)))))</f>
        <v>GUINDASTE HIDRÁULICO AUTOPROPELIDO, COM LANÇA TELESCÓPICA 40 M, CAPACIDADE MÁXIMA 60 T, POTÊNCIA 260 KW - CHP DIURNO. AF_03/2016</v>
      </c>
      <c r="F540" s="546" t="str">
        <f>IF($C540="",IFERROR(VLOOKUP($B540,SERVIÇOS!$B:$G,3,0),IFERROR(VLOOKUP($B540,$D:$K,3,0),"")),IFERROR(VLOOKUP($C540,INSUMOS!$A:$D,3,0),IFERROR(VLOOKUP($C540,COTAÇÕES!$B:$I,3,0),(VLOOKUP($C540,'INSUMO SINAPI - SP'!$C:$F,3,0)))))</f>
        <v>CHP</v>
      </c>
      <c r="G540" s="547">
        <v>3</v>
      </c>
      <c r="H540" s="548">
        <f>IF($C540="",IFERROR(VLOOKUP($B540,SERVIÇOS!$B:$G,6,0),IFERROR(VLOOKUP($B540,$D:$K,8,0),"")),IFERROR(VLOOKUP($C540,INSUMOS!$A:$D,4,0),IFERROR(VLOOKUP($C540,COTAÇÕES!$B:$I,7,0),(VLOOKUP($C540,'INSUMO SINAPI - SP'!$C:$F,4,0)))))</f>
        <v>362.3</v>
      </c>
      <c r="I540" s="549">
        <f>TRUNC(IF($C540="",IFERROR(VLOOKUP($B540,SERVIÇOS!$B:$G,4,0),IFERROR(VLOOKUP($B540,$D:$K,6,0),)),IFERROR(VLOOKUP($C540,INSUMOS!$A:$D,4,0),IFERROR(VLOOKUP($C540,COTAÇÕES!$B:$I,7,0),(VLOOKUP($C540,'INSUMO SINAPI - SP'!$C:$F,4,0)))))*$G540,2)</f>
        <v>977.37</v>
      </c>
      <c r="J540" s="549">
        <f>TRUNC(IF($C540="",IFERROR(VLOOKUP($B540,SERVIÇOS!$B:$G,5,0),IFERROR(VLOOKUP($B540,$D:$K,7,0),)),0)*$G540,2)</f>
        <v>109.53</v>
      </c>
      <c r="K540" s="550">
        <f t="shared" si="23"/>
        <v>1086.9000000000001</v>
      </c>
      <c r="L540" s="553"/>
      <c r="M540" s="530"/>
      <c r="N540" s="552"/>
      <c r="O540" s="540"/>
      <c r="P540" s="540"/>
      <c r="Q540" s="541"/>
      <c r="R540" s="541"/>
      <c r="S540" s="541"/>
      <c r="T540" s="541"/>
      <c r="U540" s="541"/>
      <c r="V540" s="541"/>
      <c r="W540" s="541"/>
      <c r="X540" s="541"/>
      <c r="Y540" s="541"/>
    </row>
    <row r="541" spans="1:25" ht="409.5" x14ac:dyDescent="0.25">
      <c r="A541" s="530"/>
      <c r="B541" s="531"/>
      <c r="C541" s="531"/>
      <c r="D541" s="532" t="s">
        <v>12585</v>
      </c>
      <c r="E541" s="533" t="s">
        <v>12881</v>
      </c>
      <c r="F541" s="534" t="s">
        <v>580</v>
      </c>
      <c r="G541" s="535"/>
      <c r="H541" s="536"/>
      <c r="I541" s="537">
        <f>SUM(I542:I547)</f>
        <v>50306.36</v>
      </c>
      <c r="J541" s="537">
        <f>SUM(J542:J547)</f>
        <v>3651.4300000000003</v>
      </c>
      <c r="K541" s="537">
        <f>+J541+I541</f>
        <v>53957.79</v>
      </c>
      <c r="L541" s="538" t="s">
        <v>12876</v>
      </c>
      <c r="M541" s="530"/>
      <c r="N541" s="539"/>
      <c r="O541" s="540"/>
      <c r="P541" s="540"/>
      <c r="Q541" s="541"/>
      <c r="R541" s="541"/>
      <c r="S541" s="541"/>
      <c r="T541" s="541"/>
      <c r="U541" s="541"/>
      <c r="V541" s="541"/>
      <c r="W541" s="541"/>
      <c r="X541" s="541"/>
      <c r="Y541" s="541"/>
    </row>
    <row r="542" spans="1:25" ht="409.5" x14ac:dyDescent="0.25">
      <c r="A542" s="530"/>
      <c r="B542" s="542"/>
      <c r="C542" s="543" t="s">
        <v>12882</v>
      </c>
      <c r="D542" s="544"/>
      <c r="E542" s="545" t="str">
        <f>IF($C542="",IFERROR(VLOOKUP($B542,SERVIÇOS!$B:$G,2,0),IFERROR(VLOOKUP($B542,$D:$K,2,0),"")),IFERROR(VLOOKUP($C542,INSUMOS!$A:$D,2,0),IFERROR(VLOOKUP($C542,COTAÇÕES!$B:$I,2,0),(VLOOKUP($C542,'INSUMO SINAPI - SP'!$C:$F,2,0)))))</f>
        <v>UNIDADES DE TRATAMENTO DE AR MODULAR DE MONTAGEM HORIZONTAL PARA ENTREFORRO 
AMBIENTES ATENDIDOS: FARMÁCIA - DILUIÇÃO
LOCALIZAÇÃO: ENTREFORRO
TIPO DE SISTEMA DE CLIMATIZAÇÃO: EXPANSÃO DIRETA, FLUIDO R410A (OBS: DEVE ACOMPANHAR VÁLVULA DE EXPANSÃO ELETRÔNICA CONFORME SELEÇÃO DO FABRICANTE)
CARGA TÉRMICA TOTAL DA SERPENTINA: 3,55kW
CARGA TÉRMICA SENSÍVEL DA SERPENTINA: 2,51kW
VAZÃO DE INSUFLAMENTO: 700m³/h
VAZÃO DE AR EXTERNO: 100m³/h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542" s="546" t="str">
        <f>IF($C542="",IFERROR(VLOOKUP($B542,SERVIÇOS!$B:$G,3,0),IFERROR(VLOOKUP($B542,$D:$K,3,0),"")),IFERROR(VLOOKUP($C542,INSUMOS!$A:$D,3,0),IFERROR(VLOOKUP($C542,COTAÇÕES!$B:$I,3,0),(VLOOKUP($C542,'INSUMO SINAPI - SP'!$C:$F,3,0)))))</f>
        <v>UN</v>
      </c>
      <c r="G542" s="547">
        <v>1</v>
      </c>
      <c r="H542" s="548">
        <f>IF($C542="",IFERROR(VLOOKUP($B542,SERVIÇOS!$B:$G,6,0),IFERROR(VLOOKUP($B542,$D:$K,8,0),"")),IFERROR(VLOOKUP($C542,INSUMOS!$A:$D,4,0),IFERROR(VLOOKUP($C542,COTAÇÕES!$B:$I,8,0),(VLOOKUP($C542,'INSUMO SINAPI - SP'!$C:$F,4,0)))))</f>
        <v>47976.89</v>
      </c>
      <c r="I542" s="549">
        <f>TRUNC(IF($C542="",IFERROR(VLOOKUP($B542,SERVIÇOS!$B:$G,4,0),IFERROR(VLOOKUP($B542,$D:$K,6,0),)),IFERROR(VLOOKUP($C542,INSUMOS!$A:$D,4,0),IFERROR(VLOOKUP($C542,COTAÇÕES!$B:$I,8,0),(VLOOKUP($C542,'INSUMO SINAPI - SP'!$C:$F,4,0)))))*$G542,2)</f>
        <v>47976.89</v>
      </c>
      <c r="J542" s="549"/>
      <c r="K542" s="550">
        <f t="shared" ref="K542:K547" si="24">I542+J542</f>
        <v>47976.89</v>
      </c>
      <c r="L542" s="551" t="s">
        <v>12878</v>
      </c>
      <c r="M542" s="530"/>
      <c r="N542" s="552"/>
      <c r="O542" s="540"/>
      <c r="P542" s="540"/>
      <c r="Q542" s="541"/>
      <c r="R542" s="541"/>
      <c r="S542" s="541"/>
      <c r="T542" s="541"/>
      <c r="U542" s="541"/>
      <c r="V542" s="541"/>
      <c r="W542" s="541"/>
      <c r="X542" s="541"/>
      <c r="Y542" s="541"/>
    </row>
    <row r="543" spans="1:25" x14ac:dyDescent="0.25">
      <c r="A543" s="530"/>
      <c r="B543" s="542">
        <v>88264</v>
      </c>
      <c r="C543" s="543"/>
      <c r="D543" s="544"/>
      <c r="E543" s="545" t="str">
        <f>IF($C543="",IFERROR(VLOOKUP($B543,SERVIÇOS!$B:$G,2,0),IFERROR(VLOOKUP($B543,$D:$K,2,0),"")),IFERROR(VLOOKUP($C543,INSUMOS!$A:$D,2,0),IFERROR(VLOOKUP($C543,COTAÇÕES!$B:$I,2,0),(VLOOKUP($C543,'INSUMO SINAPI - SP'!$C:$F,2,0)))))</f>
        <v>ELETRICISTA COM ENCARGOS COMPLEMENTARES</v>
      </c>
      <c r="F543" s="546" t="str">
        <f>IF($C543="",IFERROR(VLOOKUP($B543,SERVIÇOS!$B:$G,3,0),IFERROR(VLOOKUP($B543,$D:$K,3,0),"")),IFERROR(VLOOKUP($C543,INSUMOS!$A:$D,3,0),IFERROR(VLOOKUP($C543,COTAÇÕES!$B:$I,3,0),(VLOOKUP($C543,'INSUMO SINAPI - SP'!$C:$F,3,0)))))</f>
        <v>H</v>
      </c>
      <c r="G543" s="547">
        <v>5</v>
      </c>
      <c r="H543" s="548">
        <f>IF($C543="",IFERROR(VLOOKUP($B543,SERVIÇOS!$B:$G,6,0),IFERROR(VLOOKUP($B543,$D:$K,8,0),"")),IFERROR(VLOOKUP($C543,INSUMOS!$A:$D,4,0),IFERROR(VLOOKUP($C543,COTAÇÕES!$B:$I,7,0),(VLOOKUP($C543,'INSUMO SINAPI - SP'!$C:$F,4,0)))))</f>
        <v>37.369999999999997</v>
      </c>
      <c r="I543" s="549">
        <f>TRUNC(IF($C543="",IFERROR(VLOOKUP($B543,SERVIÇOS!$B:$G,4,0),IFERROR(VLOOKUP($B543,$D:$K,6,0),)),IFERROR(VLOOKUP($C543,INSUMOS!$A:$D,4,0),IFERROR(VLOOKUP($C543,COTAÇÕES!$B:$I,7,0),(VLOOKUP($C543,'INSUMO SINAPI - SP'!$C:$F,4,0)))))*$G543,2)</f>
        <v>46.55</v>
      </c>
      <c r="J543" s="549">
        <f>TRUNC(IF($C543="",IFERROR(VLOOKUP($B543,SERVIÇOS!$B:$G,5,0),IFERROR(VLOOKUP($B543,$D:$K,7,0),)),0)*$G543,2)</f>
        <v>140.30000000000001</v>
      </c>
      <c r="K543" s="550">
        <f t="shared" si="24"/>
        <v>186.85000000000002</v>
      </c>
      <c r="L543" s="553"/>
      <c r="M543" s="530"/>
      <c r="N543" s="552"/>
      <c r="O543" s="540"/>
      <c r="P543" s="540"/>
      <c r="Q543" s="541"/>
      <c r="R543" s="541"/>
      <c r="S543" s="541"/>
      <c r="T543" s="541"/>
      <c r="U543" s="541"/>
      <c r="V543" s="541"/>
      <c r="W543" s="541"/>
      <c r="X543" s="541"/>
      <c r="Y543" s="541"/>
    </row>
    <row r="544" spans="1:25" x14ac:dyDescent="0.25">
      <c r="A544" s="530"/>
      <c r="B544" s="542">
        <v>88247</v>
      </c>
      <c r="C544" s="543"/>
      <c r="D544" s="544"/>
      <c r="E544" s="545" t="str">
        <f>IF($C544="",IFERROR(VLOOKUP($B544,SERVIÇOS!$B:$G,2,0),IFERROR(VLOOKUP($B544,$D:$K,2,0),"")),IFERROR(VLOOKUP($C544,INSUMOS!$A:$D,2,0),IFERROR(VLOOKUP($C544,COTAÇÕES!$B:$I,2,0),(VLOOKUP($C544,'INSUMO SINAPI - SP'!$C:$F,2,0)))))</f>
        <v>AUXILIAR DE ELETRICISTA COM ENCARGOS COMPLEMENTARES</v>
      </c>
      <c r="F544" s="546" t="str">
        <f>IF($C544="",IFERROR(VLOOKUP($B544,SERVIÇOS!$B:$G,3,0),IFERROR(VLOOKUP($B544,$D:$K,3,0),"")),IFERROR(VLOOKUP($C544,INSUMOS!$A:$D,3,0),IFERROR(VLOOKUP($C544,COTAÇÕES!$B:$I,3,0),(VLOOKUP($C544,'INSUMO SINAPI - SP'!$C:$F,3,0)))))</f>
        <v>H</v>
      </c>
      <c r="G544" s="547">
        <v>5</v>
      </c>
      <c r="H544" s="548">
        <f>IF($C544="",IFERROR(VLOOKUP($B544,SERVIÇOS!$B:$G,6,0),IFERROR(VLOOKUP($B544,$D:$K,8,0),"")),IFERROR(VLOOKUP($C544,INSUMOS!$A:$D,4,0),IFERROR(VLOOKUP($C544,COTAÇÕES!$B:$I,7,0),(VLOOKUP($C544,'INSUMO SINAPI - SP'!$C:$F,4,0)))))</f>
        <v>30.8</v>
      </c>
      <c r="I544" s="549">
        <f>TRUNC(IF($C544="",IFERROR(VLOOKUP($B544,SERVIÇOS!$B:$G,4,0),IFERROR(VLOOKUP($B544,$D:$K,6,0),)),IFERROR(VLOOKUP($C544,INSUMOS!$A:$D,4,0),IFERROR(VLOOKUP($C544,COTAÇÕES!$B:$I,7,0),(VLOOKUP($C544,'INSUMO SINAPI - SP'!$C:$F,4,0)))))*$G544,2)</f>
        <v>46.6</v>
      </c>
      <c r="J544" s="549">
        <f>TRUNC(IF($C544="",IFERROR(VLOOKUP($B544,SERVIÇOS!$B:$G,5,0),IFERROR(VLOOKUP($B544,$D:$K,7,0),)),0)*$G544,2)</f>
        <v>107.4</v>
      </c>
      <c r="K544" s="550">
        <f t="shared" si="24"/>
        <v>154</v>
      </c>
      <c r="L544" s="553"/>
      <c r="M544" s="530"/>
      <c r="N544" s="552"/>
      <c r="O544" s="540"/>
      <c r="P544" s="540"/>
      <c r="Q544" s="541"/>
      <c r="R544" s="541"/>
      <c r="S544" s="541"/>
      <c r="T544" s="541"/>
      <c r="U544" s="541"/>
      <c r="V544" s="541"/>
      <c r="W544" s="541"/>
      <c r="X544" s="541"/>
      <c r="Y544" s="541"/>
    </row>
    <row r="545" spans="1:25" x14ac:dyDescent="0.25">
      <c r="A545" s="530"/>
      <c r="B545" s="542">
        <v>88275</v>
      </c>
      <c r="C545" s="543"/>
      <c r="D545" s="544"/>
      <c r="E545" s="545" t="str">
        <f>IF($C545="",IFERROR(VLOOKUP($B545,SERVIÇOS!$B:$G,2,0),IFERROR(VLOOKUP($B545,$D:$K,2,0),"")),IFERROR(VLOOKUP($C545,INSUMOS!$A:$D,2,0),IFERROR(VLOOKUP($C545,COTAÇÕES!$B:$I,2,0),(VLOOKUP($C545,'INSUMO SINAPI - SP'!$C:$F,2,0)))))</f>
        <v>MECÃNICO DE EQUIPAMENTOS PESADOS COM ENCARGOS COMPLEMENTARES</v>
      </c>
      <c r="F545" s="546" t="str">
        <f>IF($C545="",IFERROR(VLOOKUP($B545,SERVIÇOS!$B:$G,3,0),IFERROR(VLOOKUP($B545,$D:$K,3,0),"")),IFERROR(VLOOKUP($C545,INSUMOS!$A:$D,3,0),IFERROR(VLOOKUP($C545,COTAÇÕES!$B:$I,3,0),(VLOOKUP($C545,'INSUMO SINAPI - SP'!$C:$F,3,0)))))</f>
        <v>H</v>
      </c>
      <c r="G545" s="547">
        <v>35</v>
      </c>
      <c r="H545" s="548">
        <f>IF($C545="",IFERROR(VLOOKUP($B545,SERVIÇOS!$B:$G,6,0),IFERROR(VLOOKUP($B545,$D:$K,8,0),"")),IFERROR(VLOOKUP($C545,INSUMOS!$A:$D,4,0),IFERROR(VLOOKUP($C545,COTAÇÕES!$B:$I,7,0),(VLOOKUP($C545,'INSUMO SINAPI - SP'!$C:$F,4,0)))))</f>
        <v>40.479999999999997</v>
      </c>
      <c r="I545" s="549">
        <f>TRUNC(IF($C545="",IFERROR(VLOOKUP($B545,SERVIÇOS!$B:$G,4,0),IFERROR(VLOOKUP($B545,$D:$K,6,0),)),IFERROR(VLOOKUP($C545,INSUMOS!$A:$D,4,0),IFERROR(VLOOKUP($C545,COTAÇÕES!$B:$I,7,0),(VLOOKUP($C545,'INSUMO SINAPI - SP'!$C:$F,4,0)))))*$G545,2)</f>
        <v>283.5</v>
      </c>
      <c r="J545" s="549">
        <f>TRUNC(IF($C545="",IFERROR(VLOOKUP($B545,SERVIÇOS!$B:$G,5,0),IFERROR(VLOOKUP($B545,$D:$K,7,0),)),0)*$G545,2)</f>
        <v>1133.3</v>
      </c>
      <c r="K545" s="550">
        <f t="shared" si="24"/>
        <v>1416.8</v>
      </c>
      <c r="L545" s="553"/>
      <c r="M545" s="530"/>
      <c r="N545" s="552"/>
      <c r="O545" s="540"/>
      <c r="P545" s="540"/>
      <c r="Q545" s="541"/>
      <c r="R545" s="541"/>
      <c r="S545" s="541"/>
      <c r="T545" s="541"/>
      <c r="U545" s="541"/>
      <c r="V545" s="541"/>
      <c r="W545" s="541"/>
      <c r="X545" s="541"/>
      <c r="Y545" s="541"/>
    </row>
    <row r="546" spans="1:25" x14ac:dyDescent="0.25">
      <c r="A546" s="530"/>
      <c r="B546" s="542">
        <v>88241</v>
      </c>
      <c r="C546" s="543"/>
      <c r="D546" s="544"/>
      <c r="E546" s="545" t="str">
        <f>IF($C546="",IFERROR(VLOOKUP($B546,SERVIÇOS!$B:$G,2,0),IFERROR(VLOOKUP($B546,$D:$K,2,0),"")),IFERROR(VLOOKUP($C546,INSUMOS!$A:$D,2,0),IFERROR(VLOOKUP($C546,COTAÇÕES!$B:$I,2,0),(VLOOKUP($C546,'INSUMO SINAPI - SP'!$C:$F,2,0)))))</f>
        <v>AJUDANTE DE OPERAÇÃO EM GERAL COM ENCARGOS COMPLEMENTARES</v>
      </c>
      <c r="F546" s="546" t="str">
        <f>IF($C546="",IFERROR(VLOOKUP($B546,SERVIÇOS!$B:$G,3,0),IFERROR(VLOOKUP($B546,$D:$K,3,0),"")),IFERROR(VLOOKUP($C546,INSUMOS!$A:$D,3,0),IFERROR(VLOOKUP($C546,COTAÇÕES!$B:$I,3,0),(VLOOKUP($C546,'INSUMO SINAPI - SP'!$C:$F,3,0)))))</f>
        <v>H</v>
      </c>
      <c r="G546" s="547">
        <v>105</v>
      </c>
      <c r="H546" s="548">
        <f>IF($C546="",IFERROR(VLOOKUP($B546,SERVIÇOS!$B:$G,6,0),IFERROR(VLOOKUP($B546,$D:$K,8,0),"")),IFERROR(VLOOKUP($C546,INSUMOS!$A:$D,4,0),IFERROR(VLOOKUP($C546,COTAÇÕES!$B:$I,7,0),(VLOOKUP($C546,'INSUMO SINAPI - SP'!$C:$F,4,0)))))</f>
        <v>29.87</v>
      </c>
      <c r="I546" s="549">
        <f>TRUNC(IF($C546="",IFERROR(VLOOKUP($B546,SERVIÇOS!$B:$G,4,0),IFERROR(VLOOKUP($B546,$D:$K,6,0),)),IFERROR(VLOOKUP($C546,INSUMOS!$A:$D,4,0),IFERROR(VLOOKUP($C546,COTAÇÕES!$B:$I,7,0),(VLOOKUP($C546,'INSUMO SINAPI - SP'!$C:$F,4,0)))))*$G546,2)</f>
        <v>975.45</v>
      </c>
      <c r="J546" s="549">
        <f>TRUNC(IF($C546="",IFERROR(VLOOKUP($B546,SERVIÇOS!$B:$G,5,0),IFERROR(VLOOKUP($B546,$D:$K,7,0),)),0)*$G546,2)</f>
        <v>2160.9</v>
      </c>
      <c r="K546" s="550">
        <f t="shared" si="24"/>
        <v>3136.3500000000004</v>
      </c>
      <c r="L546" s="553"/>
      <c r="M546" s="530"/>
      <c r="N546" s="552"/>
      <c r="O546" s="540"/>
      <c r="P546" s="540"/>
      <c r="Q546" s="541"/>
      <c r="R546" s="541"/>
      <c r="S546" s="541"/>
      <c r="T546" s="541"/>
      <c r="U546" s="541"/>
      <c r="V546" s="541"/>
      <c r="W546" s="541"/>
      <c r="X546" s="541"/>
      <c r="Y546" s="541"/>
    </row>
    <row r="547" spans="1:25" ht="22.5" x14ac:dyDescent="0.25">
      <c r="A547" s="530"/>
      <c r="B547" s="542">
        <v>93287</v>
      </c>
      <c r="C547" s="543"/>
      <c r="D547" s="544"/>
      <c r="E547" s="545" t="str">
        <f>IF($C547="",IFERROR(VLOOKUP($B547,SERVIÇOS!$B:$G,2,0),IFERROR(VLOOKUP($B547,$D:$K,2,0),"")),IFERROR(VLOOKUP($C547,INSUMOS!$A:$D,2,0),IFERROR(VLOOKUP($C547,COTAÇÕES!$B:$I,2,0),(VLOOKUP($C547,'INSUMO SINAPI - SP'!$C:$F,2,0)))))</f>
        <v>GUINDASTE HIDRÁULICO AUTOPROPELIDO, COM LANÇA TELESCÓPICA 40 M, CAPACIDADE MÁXIMA 60 T, POTÊNCIA 260 KW - CHP DIURNO. AF_03/2016</v>
      </c>
      <c r="F547" s="546" t="str">
        <f>IF($C547="",IFERROR(VLOOKUP($B547,SERVIÇOS!$B:$G,3,0),IFERROR(VLOOKUP($B547,$D:$K,3,0),"")),IFERROR(VLOOKUP($C547,INSUMOS!$A:$D,3,0),IFERROR(VLOOKUP($C547,COTAÇÕES!$B:$I,3,0),(VLOOKUP($C547,'INSUMO SINAPI - SP'!$C:$F,3,0)))))</f>
        <v>CHP</v>
      </c>
      <c r="G547" s="547">
        <v>3</v>
      </c>
      <c r="H547" s="548">
        <f>IF($C547="",IFERROR(VLOOKUP($B547,SERVIÇOS!$B:$G,6,0),IFERROR(VLOOKUP($B547,$D:$K,8,0),"")),IFERROR(VLOOKUP($C547,INSUMOS!$A:$D,4,0),IFERROR(VLOOKUP($C547,COTAÇÕES!$B:$I,7,0),(VLOOKUP($C547,'INSUMO SINAPI - SP'!$C:$F,4,0)))))</f>
        <v>362.3</v>
      </c>
      <c r="I547" s="549">
        <f>TRUNC(IF($C547="",IFERROR(VLOOKUP($B547,SERVIÇOS!$B:$G,4,0),IFERROR(VLOOKUP($B547,$D:$K,6,0),)),IFERROR(VLOOKUP($C547,INSUMOS!$A:$D,4,0),IFERROR(VLOOKUP($C547,COTAÇÕES!$B:$I,7,0),(VLOOKUP($C547,'INSUMO SINAPI - SP'!$C:$F,4,0)))))*$G547,2)</f>
        <v>977.37</v>
      </c>
      <c r="J547" s="549">
        <f>TRUNC(IF($C547="",IFERROR(VLOOKUP($B547,SERVIÇOS!$B:$G,5,0),IFERROR(VLOOKUP($B547,$D:$K,7,0),)),0)*$G547,2)</f>
        <v>109.53</v>
      </c>
      <c r="K547" s="550">
        <f t="shared" si="24"/>
        <v>1086.9000000000001</v>
      </c>
      <c r="L547" s="553"/>
      <c r="M547" s="530"/>
      <c r="N547" s="552"/>
      <c r="O547" s="540"/>
      <c r="P547" s="540"/>
      <c r="Q547" s="541"/>
      <c r="R547" s="541"/>
      <c r="S547" s="541"/>
      <c r="T547" s="541"/>
      <c r="U547" s="541"/>
      <c r="V547" s="541"/>
      <c r="W547" s="541"/>
      <c r="X547" s="541"/>
      <c r="Y547" s="541"/>
    </row>
    <row r="548" spans="1:25" ht="409.5" x14ac:dyDescent="0.25">
      <c r="A548" s="530"/>
      <c r="B548" s="531"/>
      <c r="C548" s="531"/>
      <c r="D548" s="532" t="s">
        <v>12583</v>
      </c>
      <c r="E548" s="533" t="s">
        <v>12883</v>
      </c>
      <c r="F548" s="534" t="s">
        <v>580</v>
      </c>
      <c r="G548" s="535"/>
      <c r="H548" s="536"/>
      <c r="I548" s="537">
        <f>SUM(I549:I554)</f>
        <v>50306.36</v>
      </c>
      <c r="J548" s="537">
        <f>SUM(J549:J554)</f>
        <v>3651.4300000000003</v>
      </c>
      <c r="K548" s="537">
        <f>+J548+I548</f>
        <v>53957.79</v>
      </c>
      <c r="L548" s="538" t="s">
        <v>12876</v>
      </c>
      <c r="M548" s="530"/>
      <c r="N548" s="539"/>
      <c r="O548" s="540"/>
      <c r="P548" s="540"/>
      <c r="Q548" s="541"/>
      <c r="R548" s="541"/>
      <c r="S548" s="541"/>
      <c r="T548" s="541"/>
      <c r="U548" s="541"/>
      <c r="V548" s="541"/>
      <c r="W548" s="541"/>
      <c r="X548" s="541"/>
      <c r="Y548" s="541"/>
    </row>
    <row r="549" spans="1:25" ht="409.5" x14ac:dyDescent="0.25">
      <c r="A549" s="530"/>
      <c r="B549" s="542"/>
      <c r="C549" s="543" t="s">
        <v>12884</v>
      </c>
      <c r="D549" s="544"/>
      <c r="E549" s="545" t="str">
        <f>IF($C549="",IFERROR(VLOOKUP($B549,SERVIÇOS!$B:$G,2,0),IFERROR(VLOOKUP($B549,$D:$K,2,0),"")),IFERROR(VLOOKUP($C549,INSUMOS!$A:$D,2,0),IFERROR(VLOOKUP($C549,COTAÇÕES!$B:$I,2,0),(VLOOKUP($C549,'INSUMO SINAPI - SP'!$C:$F,2,0)))))</f>
        <v>UNIDADES DE TRATAMENTO DE AR MODULAR DE MONTAGEM HORIZONTAL PARA ENTREFORRO
AMBIENTES ATENDIDOS: SALA DE EMERGÊNCIA
LOCALIZAÇÃO: ENTREFORRO
TIPO DE SISTEMA DE CLIMATIZAÇÃO: EXPANSÃO DIRETA, FLUIDO R410A (OBS: DEVE ACOMPANHAR VÁLVULA DE EXPANSÃO ELETRÔNICA CONFORME SELEÇÃO DO FABRICANTE)
CARGA TÉRMICA TOTAL DA SERPENTINA: 4,29kW
CARGA TÉRMICA SENSÍVEL DA SERPENTINA: 3,09kW
VAZÃO DE INSUFLAMENTO: 830m³/h
VAZÃO DE AR EXTERNO: 100m³/h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549" s="546" t="str">
        <f>IF($C549="",IFERROR(VLOOKUP($B549,SERVIÇOS!$B:$G,3,0),IFERROR(VLOOKUP($B549,$D:$K,3,0),"")),IFERROR(VLOOKUP($C549,INSUMOS!$A:$D,3,0),IFERROR(VLOOKUP($C549,COTAÇÕES!$B:$I,3,0),(VLOOKUP($C549,'INSUMO SINAPI - SP'!$C:$F,3,0)))))</f>
        <v>UN</v>
      </c>
      <c r="G549" s="547">
        <v>1</v>
      </c>
      <c r="H549" s="548">
        <f>IF($C549="",IFERROR(VLOOKUP($B549,SERVIÇOS!$B:$G,6,0),IFERROR(VLOOKUP($B549,$D:$K,8,0),"")),IFERROR(VLOOKUP($C549,INSUMOS!$A:$D,4,0),IFERROR(VLOOKUP($C549,COTAÇÕES!$B:$I,8,0),(VLOOKUP($C549,'INSUMO SINAPI - SP'!$C:$F,4,0)))))</f>
        <v>47976.89</v>
      </c>
      <c r="I549" s="549">
        <f>TRUNC(IF($C549="",IFERROR(VLOOKUP($B549,SERVIÇOS!$B:$G,4,0),IFERROR(VLOOKUP($B549,$D:$K,6,0),)),IFERROR(VLOOKUP($C549,INSUMOS!$A:$D,4,0),IFERROR(VLOOKUP($C549,COTAÇÕES!$B:$I,8,0),(VLOOKUP($C549,'INSUMO SINAPI - SP'!$C:$F,4,0)))))*$G549,2)</f>
        <v>47976.89</v>
      </c>
      <c r="J549" s="549"/>
      <c r="K549" s="550">
        <f t="shared" ref="K549:K554" si="25">I549+J549</f>
        <v>47976.89</v>
      </c>
      <c r="L549" s="551" t="s">
        <v>12878</v>
      </c>
      <c r="M549" s="530"/>
      <c r="N549" s="552"/>
      <c r="O549" s="540"/>
      <c r="P549" s="540"/>
      <c r="Q549" s="541"/>
      <c r="R549" s="541"/>
      <c r="S549" s="541"/>
      <c r="T549" s="541"/>
      <c r="U549" s="541"/>
      <c r="V549" s="541"/>
      <c r="W549" s="541"/>
      <c r="X549" s="541"/>
      <c r="Y549" s="541"/>
    </row>
    <row r="550" spans="1:25" x14ac:dyDescent="0.25">
      <c r="A550" s="530"/>
      <c r="B550" s="542">
        <v>88264</v>
      </c>
      <c r="C550" s="543"/>
      <c r="D550" s="544"/>
      <c r="E550" s="545" t="str">
        <f>IF($C550="",IFERROR(VLOOKUP($B550,SERVIÇOS!$B:$G,2,0),IFERROR(VLOOKUP($B550,$D:$K,2,0),"")),IFERROR(VLOOKUP($C550,INSUMOS!$A:$D,2,0),IFERROR(VLOOKUP($C550,COTAÇÕES!$B:$I,2,0),(VLOOKUP($C550,'INSUMO SINAPI - SP'!$C:$F,2,0)))))</f>
        <v>ELETRICISTA COM ENCARGOS COMPLEMENTARES</v>
      </c>
      <c r="F550" s="546" t="str">
        <f>IF($C550="",IFERROR(VLOOKUP($B550,SERVIÇOS!$B:$G,3,0),IFERROR(VLOOKUP($B550,$D:$K,3,0),"")),IFERROR(VLOOKUP($C550,INSUMOS!$A:$D,3,0),IFERROR(VLOOKUP($C550,COTAÇÕES!$B:$I,3,0),(VLOOKUP($C550,'INSUMO SINAPI - SP'!$C:$F,3,0)))))</f>
        <v>H</v>
      </c>
      <c r="G550" s="547">
        <v>5</v>
      </c>
      <c r="H550" s="548">
        <f>IF($C550="",IFERROR(VLOOKUP($B550,SERVIÇOS!$B:$G,6,0),IFERROR(VLOOKUP($B550,$D:$K,8,0),"")),IFERROR(VLOOKUP($C550,INSUMOS!$A:$D,4,0),IFERROR(VLOOKUP($C550,COTAÇÕES!$B:$I,7,0),(VLOOKUP($C550,'INSUMO SINAPI - SP'!$C:$F,4,0)))))</f>
        <v>37.369999999999997</v>
      </c>
      <c r="I550" s="549">
        <f>TRUNC(IF($C550="",IFERROR(VLOOKUP($B550,SERVIÇOS!$B:$G,4,0),IFERROR(VLOOKUP($B550,$D:$K,6,0),)),IFERROR(VLOOKUP($C550,INSUMOS!$A:$D,4,0),IFERROR(VLOOKUP($C550,COTAÇÕES!$B:$I,7,0),(VLOOKUP($C550,'INSUMO SINAPI - SP'!$C:$F,4,0)))))*$G550,2)</f>
        <v>46.55</v>
      </c>
      <c r="J550" s="549">
        <f>TRUNC(IF($C550="",IFERROR(VLOOKUP($B550,SERVIÇOS!$B:$G,5,0),IFERROR(VLOOKUP($B550,$D:$K,7,0),)),0)*$G550,2)</f>
        <v>140.30000000000001</v>
      </c>
      <c r="K550" s="550">
        <f t="shared" si="25"/>
        <v>186.85000000000002</v>
      </c>
      <c r="L550" s="553"/>
      <c r="M550" s="530"/>
      <c r="N550" s="552"/>
      <c r="O550" s="540"/>
      <c r="P550" s="540"/>
      <c r="Q550" s="541"/>
      <c r="R550" s="541"/>
      <c r="S550" s="541"/>
      <c r="T550" s="541"/>
      <c r="U550" s="541"/>
      <c r="V550" s="541"/>
      <c r="W550" s="541"/>
      <c r="X550" s="541"/>
      <c r="Y550" s="541"/>
    </row>
    <row r="551" spans="1:25" x14ac:dyDescent="0.25">
      <c r="A551" s="530"/>
      <c r="B551" s="542">
        <v>88247</v>
      </c>
      <c r="C551" s="543"/>
      <c r="D551" s="544"/>
      <c r="E551" s="545" t="str">
        <f>IF($C551="",IFERROR(VLOOKUP($B551,SERVIÇOS!$B:$G,2,0),IFERROR(VLOOKUP($B551,$D:$K,2,0),"")),IFERROR(VLOOKUP($C551,INSUMOS!$A:$D,2,0),IFERROR(VLOOKUP($C551,COTAÇÕES!$B:$I,2,0),(VLOOKUP($C551,'INSUMO SINAPI - SP'!$C:$F,2,0)))))</f>
        <v>AUXILIAR DE ELETRICISTA COM ENCARGOS COMPLEMENTARES</v>
      </c>
      <c r="F551" s="546" t="str">
        <f>IF($C551="",IFERROR(VLOOKUP($B551,SERVIÇOS!$B:$G,3,0),IFERROR(VLOOKUP($B551,$D:$K,3,0),"")),IFERROR(VLOOKUP($C551,INSUMOS!$A:$D,3,0),IFERROR(VLOOKUP($C551,COTAÇÕES!$B:$I,3,0),(VLOOKUP($C551,'INSUMO SINAPI - SP'!$C:$F,3,0)))))</f>
        <v>H</v>
      </c>
      <c r="G551" s="547">
        <v>5</v>
      </c>
      <c r="H551" s="548">
        <f>IF($C551="",IFERROR(VLOOKUP($B551,SERVIÇOS!$B:$G,6,0),IFERROR(VLOOKUP($B551,$D:$K,8,0),"")),IFERROR(VLOOKUP($C551,INSUMOS!$A:$D,4,0),IFERROR(VLOOKUP($C551,COTAÇÕES!$B:$I,7,0),(VLOOKUP($C551,'INSUMO SINAPI - SP'!$C:$F,4,0)))))</f>
        <v>30.8</v>
      </c>
      <c r="I551" s="549">
        <f>TRUNC(IF($C551="",IFERROR(VLOOKUP($B551,SERVIÇOS!$B:$G,4,0),IFERROR(VLOOKUP($B551,$D:$K,6,0),)),IFERROR(VLOOKUP($C551,INSUMOS!$A:$D,4,0),IFERROR(VLOOKUP($C551,COTAÇÕES!$B:$I,7,0),(VLOOKUP($C551,'INSUMO SINAPI - SP'!$C:$F,4,0)))))*$G551,2)</f>
        <v>46.6</v>
      </c>
      <c r="J551" s="549">
        <f>TRUNC(IF($C551="",IFERROR(VLOOKUP($B551,SERVIÇOS!$B:$G,5,0),IFERROR(VLOOKUP($B551,$D:$K,7,0),)),0)*$G551,2)</f>
        <v>107.4</v>
      </c>
      <c r="K551" s="550">
        <f t="shared" si="25"/>
        <v>154</v>
      </c>
      <c r="L551" s="553"/>
      <c r="M551" s="530"/>
      <c r="N551" s="552"/>
      <c r="O551" s="540"/>
      <c r="P551" s="540"/>
      <c r="Q551" s="541"/>
      <c r="R551" s="541"/>
      <c r="S551" s="541"/>
      <c r="T551" s="541"/>
      <c r="U551" s="541"/>
      <c r="V551" s="541"/>
      <c r="W551" s="541"/>
      <c r="X551" s="541"/>
      <c r="Y551" s="541"/>
    </row>
    <row r="552" spans="1:25" x14ac:dyDescent="0.25">
      <c r="A552" s="530"/>
      <c r="B552" s="542">
        <v>88275</v>
      </c>
      <c r="C552" s="543"/>
      <c r="D552" s="544"/>
      <c r="E552" s="545" t="str">
        <f>IF($C552="",IFERROR(VLOOKUP($B552,SERVIÇOS!$B:$G,2,0),IFERROR(VLOOKUP($B552,$D:$K,2,0),"")),IFERROR(VLOOKUP($C552,INSUMOS!$A:$D,2,0),IFERROR(VLOOKUP($C552,COTAÇÕES!$B:$I,2,0),(VLOOKUP($C552,'INSUMO SINAPI - SP'!$C:$F,2,0)))))</f>
        <v>MECÃNICO DE EQUIPAMENTOS PESADOS COM ENCARGOS COMPLEMENTARES</v>
      </c>
      <c r="F552" s="546" t="str">
        <f>IF($C552="",IFERROR(VLOOKUP($B552,SERVIÇOS!$B:$G,3,0),IFERROR(VLOOKUP($B552,$D:$K,3,0),"")),IFERROR(VLOOKUP($C552,INSUMOS!$A:$D,3,0),IFERROR(VLOOKUP($C552,COTAÇÕES!$B:$I,3,0),(VLOOKUP($C552,'INSUMO SINAPI - SP'!$C:$F,3,0)))))</f>
        <v>H</v>
      </c>
      <c r="G552" s="547">
        <v>35</v>
      </c>
      <c r="H552" s="548">
        <f>IF($C552="",IFERROR(VLOOKUP($B552,SERVIÇOS!$B:$G,6,0),IFERROR(VLOOKUP($B552,$D:$K,8,0),"")),IFERROR(VLOOKUP($C552,INSUMOS!$A:$D,4,0),IFERROR(VLOOKUP($C552,COTAÇÕES!$B:$I,7,0),(VLOOKUP($C552,'INSUMO SINAPI - SP'!$C:$F,4,0)))))</f>
        <v>40.479999999999997</v>
      </c>
      <c r="I552" s="549">
        <f>TRUNC(IF($C552="",IFERROR(VLOOKUP($B552,SERVIÇOS!$B:$G,4,0),IFERROR(VLOOKUP($B552,$D:$K,6,0),)),IFERROR(VLOOKUP($C552,INSUMOS!$A:$D,4,0),IFERROR(VLOOKUP($C552,COTAÇÕES!$B:$I,7,0),(VLOOKUP($C552,'INSUMO SINAPI - SP'!$C:$F,4,0)))))*$G552,2)</f>
        <v>283.5</v>
      </c>
      <c r="J552" s="549">
        <f>TRUNC(IF($C552="",IFERROR(VLOOKUP($B552,SERVIÇOS!$B:$G,5,0),IFERROR(VLOOKUP($B552,$D:$K,7,0),)),0)*$G552,2)</f>
        <v>1133.3</v>
      </c>
      <c r="K552" s="550">
        <f t="shared" si="25"/>
        <v>1416.8</v>
      </c>
      <c r="L552" s="553"/>
      <c r="M552" s="530"/>
      <c r="N552" s="552"/>
      <c r="O552" s="540"/>
      <c r="P552" s="540"/>
      <c r="Q552" s="541"/>
      <c r="R552" s="541"/>
      <c r="S552" s="541"/>
      <c r="T552" s="541"/>
      <c r="U552" s="541"/>
      <c r="V552" s="541"/>
      <c r="W552" s="541"/>
      <c r="X552" s="541"/>
      <c r="Y552" s="541"/>
    </row>
    <row r="553" spans="1:25" x14ac:dyDescent="0.25">
      <c r="A553" s="530"/>
      <c r="B553" s="542">
        <v>88241</v>
      </c>
      <c r="C553" s="543"/>
      <c r="D553" s="544"/>
      <c r="E553" s="545" t="str">
        <f>IF($C553="",IFERROR(VLOOKUP($B553,SERVIÇOS!$B:$G,2,0),IFERROR(VLOOKUP($B553,$D:$K,2,0),"")),IFERROR(VLOOKUP($C553,INSUMOS!$A:$D,2,0),IFERROR(VLOOKUP($C553,COTAÇÕES!$B:$I,2,0),(VLOOKUP($C553,'INSUMO SINAPI - SP'!$C:$F,2,0)))))</f>
        <v>AJUDANTE DE OPERAÇÃO EM GERAL COM ENCARGOS COMPLEMENTARES</v>
      </c>
      <c r="F553" s="546" t="str">
        <f>IF($C553="",IFERROR(VLOOKUP($B553,SERVIÇOS!$B:$G,3,0),IFERROR(VLOOKUP($B553,$D:$K,3,0),"")),IFERROR(VLOOKUP($C553,INSUMOS!$A:$D,3,0),IFERROR(VLOOKUP($C553,COTAÇÕES!$B:$I,3,0),(VLOOKUP($C553,'INSUMO SINAPI - SP'!$C:$F,3,0)))))</f>
        <v>H</v>
      </c>
      <c r="G553" s="547">
        <v>105</v>
      </c>
      <c r="H553" s="548">
        <f>IF($C553="",IFERROR(VLOOKUP($B553,SERVIÇOS!$B:$G,6,0),IFERROR(VLOOKUP($B553,$D:$K,8,0),"")),IFERROR(VLOOKUP($C553,INSUMOS!$A:$D,4,0),IFERROR(VLOOKUP($C553,COTAÇÕES!$B:$I,7,0),(VLOOKUP($C553,'INSUMO SINAPI - SP'!$C:$F,4,0)))))</f>
        <v>29.87</v>
      </c>
      <c r="I553" s="549">
        <f>TRUNC(IF($C553="",IFERROR(VLOOKUP($B553,SERVIÇOS!$B:$G,4,0),IFERROR(VLOOKUP($B553,$D:$K,6,0),)),IFERROR(VLOOKUP($C553,INSUMOS!$A:$D,4,0),IFERROR(VLOOKUP($C553,COTAÇÕES!$B:$I,7,0),(VLOOKUP($C553,'INSUMO SINAPI - SP'!$C:$F,4,0)))))*$G553,2)</f>
        <v>975.45</v>
      </c>
      <c r="J553" s="549">
        <f>TRUNC(IF($C553="",IFERROR(VLOOKUP($B553,SERVIÇOS!$B:$G,5,0),IFERROR(VLOOKUP($B553,$D:$K,7,0),)),0)*$G553,2)</f>
        <v>2160.9</v>
      </c>
      <c r="K553" s="550">
        <f t="shared" si="25"/>
        <v>3136.3500000000004</v>
      </c>
      <c r="L553" s="553"/>
      <c r="M553" s="530"/>
      <c r="N553" s="552"/>
      <c r="O553" s="540"/>
      <c r="P553" s="540"/>
      <c r="Q553" s="541"/>
      <c r="R553" s="541"/>
      <c r="S553" s="541"/>
      <c r="T553" s="541"/>
      <c r="U553" s="541"/>
      <c r="V553" s="541"/>
      <c r="W553" s="541"/>
      <c r="X553" s="541"/>
      <c r="Y553" s="541"/>
    </row>
    <row r="554" spans="1:25" ht="22.5" x14ac:dyDescent="0.25">
      <c r="A554" s="530"/>
      <c r="B554" s="542">
        <v>93287</v>
      </c>
      <c r="C554" s="543"/>
      <c r="D554" s="544"/>
      <c r="E554" s="545" t="str">
        <f>IF($C554="",IFERROR(VLOOKUP($B554,SERVIÇOS!$B:$G,2,0),IFERROR(VLOOKUP($B554,$D:$K,2,0),"")),IFERROR(VLOOKUP($C554,INSUMOS!$A:$D,2,0),IFERROR(VLOOKUP($C554,COTAÇÕES!$B:$I,2,0),(VLOOKUP($C554,'INSUMO SINAPI - SP'!$C:$F,2,0)))))</f>
        <v>GUINDASTE HIDRÁULICO AUTOPROPELIDO, COM LANÇA TELESCÓPICA 40 M, CAPACIDADE MÁXIMA 60 T, POTÊNCIA 260 KW - CHP DIURNO. AF_03/2016</v>
      </c>
      <c r="F554" s="546" t="str">
        <f>IF($C554="",IFERROR(VLOOKUP($B554,SERVIÇOS!$B:$G,3,0),IFERROR(VLOOKUP($B554,$D:$K,3,0),"")),IFERROR(VLOOKUP($C554,INSUMOS!$A:$D,3,0),IFERROR(VLOOKUP($C554,COTAÇÕES!$B:$I,3,0),(VLOOKUP($C554,'INSUMO SINAPI - SP'!$C:$F,3,0)))))</f>
        <v>CHP</v>
      </c>
      <c r="G554" s="547">
        <v>3</v>
      </c>
      <c r="H554" s="548">
        <f>IF($C554="",IFERROR(VLOOKUP($B554,SERVIÇOS!$B:$G,6,0),IFERROR(VLOOKUP($B554,$D:$K,8,0),"")),IFERROR(VLOOKUP($C554,INSUMOS!$A:$D,4,0),IFERROR(VLOOKUP($C554,COTAÇÕES!$B:$I,7,0),(VLOOKUP($C554,'INSUMO SINAPI - SP'!$C:$F,4,0)))))</f>
        <v>362.3</v>
      </c>
      <c r="I554" s="549">
        <f>TRUNC(IF($C554="",IFERROR(VLOOKUP($B554,SERVIÇOS!$B:$G,4,0),IFERROR(VLOOKUP($B554,$D:$K,6,0),)),IFERROR(VLOOKUP($C554,INSUMOS!$A:$D,4,0),IFERROR(VLOOKUP($C554,COTAÇÕES!$B:$I,7,0),(VLOOKUP($C554,'INSUMO SINAPI - SP'!$C:$F,4,0)))))*$G554,2)</f>
        <v>977.37</v>
      </c>
      <c r="J554" s="549">
        <f>TRUNC(IF($C554="",IFERROR(VLOOKUP($B554,SERVIÇOS!$B:$G,5,0),IFERROR(VLOOKUP($B554,$D:$K,7,0),)),0)*$G554,2)</f>
        <v>109.53</v>
      </c>
      <c r="K554" s="550">
        <f t="shared" si="25"/>
        <v>1086.9000000000001</v>
      </c>
      <c r="L554" s="553"/>
      <c r="M554" s="530"/>
      <c r="N554" s="552"/>
      <c r="O554" s="540"/>
      <c r="P554" s="540"/>
      <c r="Q554" s="541"/>
      <c r="R554" s="541"/>
      <c r="S554" s="541"/>
      <c r="T554" s="541"/>
      <c r="U554" s="541"/>
      <c r="V554" s="541"/>
      <c r="W554" s="541"/>
      <c r="X554" s="541"/>
      <c r="Y554" s="541"/>
    </row>
    <row r="555" spans="1:25" ht="409.5" x14ac:dyDescent="0.25">
      <c r="A555" s="530"/>
      <c r="B555" s="531"/>
      <c r="C555" s="531"/>
      <c r="D555" s="532" t="s">
        <v>12587</v>
      </c>
      <c r="E555" s="533" t="s">
        <v>12885</v>
      </c>
      <c r="F555" s="534" t="s">
        <v>580</v>
      </c>
      <c r="G555" s="535"/>
      <c r="H555" s="536"/>
      <c r="I555" s="537">
        <f>SUM(I556:I561)</f>
        <v>50306.36</v>
      </c>
      <c r="J555" s="537">
        <f>SUM(J556:J561)</f>
        <v>3651.4300000000003</v>
      </c>
      <c r="K555" s="537">
        <f>+J555+I555</f>
        <v>53957.79</v>
      </c>
      <c r="L555" s="538" t="s">
        <v>12876</v>
      </c>
      <c r="M555" s="530"/>
      <c r="N555" s="539"/>
      <c r="O555" s="540"/>
      <c r="P555" s="540"/>
      <c r="Q555" s="541"/>
      <c r="R555" s="541"/>
      <c r="S555" s="541"/>
      <c r="T555" s="541"/>
      <c r="U555" s="541"/>
      <c r="V555" s="541"/>
      <c r="W555" s="541"/>
      <c r="X555" s="541"/>
      <c r="Y555" s="541"/>
    </row>
    <row r="556" spans="1:25" ht="409.5" x14ac:dyDescent="0.25">
      <c r="A556" s="530"/>
      <c r="B556" s="542"/>
      <c r="C556" s="543" t="s">
        <v>12886</v>
      </c>
      <c r="D556" s="544"/>
      <c r="E556" s="545" t="str">
        <f>IF($C556="",IFERROR(VLOOKUP($B556,SERVIÇOS!$B:$G,2,0),IFERROR(VLOOKUP($B556,$D:$K,2,0),"")),IFERROR(VLOOKUP($C556,INSUMOS!$A:$D,2,0),IFERROR(VLOOKUP($C556,COTAÇÕES!$B:$I,2,0),(VLOOKUP($C556,'INSUMO SINAPI - SP'!$C:$F,2,0)))))</f>
        <v>UNIDADES DE TRATAMENTO DE AR MODULAR DE MONTAGEM HORIZONTAL PARA ENTREFORRO
AMBIENTES ATENDIDOS: FARMÁCIA - CAF
LOCALIZAÇÃO: ENTREFORRO
TIPO DE SISTEMA DE CLIMATIZAÇÃO: EXPANSÃO DIRETA, FLUIDO R410A (OBS: DEVE ACOMPANHAR VÁLVULA DE EXPANSÃO ELETRÔNICA CONFORME SELEÇÃO DO FABRICANTE)
CARGA TÉRMICA TOTAL DA SERPENTINA: 4,35kW
CARGA TÉRMICA SENSÍVEL DA SERPENTINA: 3,26kW
VAZÃO DE INSUFLAMENTO: 700m³/h
VAZÃO DE AR EXTERNO: 50m³/h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556" s="546" t="str">
        <f>IF($C556="",IFERROR(VLOOKUP($B556,SERVIÇOS!$B:$G,3,0),IFERROR(VLOOKUP($B556,$D:$K,3,0),"")),IFERROR(VLOOKUP($C556,INSUMOS!$A:$D,3,0),IFERROR(VLOOKUP($C556,COTAÇÕES!$B:$I,3,0),(VLOOKUP($C556,'INSUMO SINAPI - SP'!$C:$F,3,0)))))</f>
        <v>UN</v>
      </c>
      <c r="G556" s="547">
        <v>1</v>
      </c>
      <c r="H556" s="548">
        <f>IF($C556="",IFERROR(VLOOKUP($B556,SERVIÇOS!$B:$G,6,0),IFERROR(VLOOKUP($B556,$D:$K,8,0),"")),IFERROR(VLOOKUP($C556,INSUMOS!$A:$D,4,0),IFERROR(VLOOKUP($C556,COTAÇÕES!$B:$I,8,0),(VLOOKUP($C556,'INSUMO SINAPI - SP'!$C:$F,4,0)))))</f>
        <v>47976.89</v>
      </c>
      <c r="I556" s="549">
        <f>TRUNC(IF($C556="",IFERROR(VLOOKUP($B556,SERVIÇOS!$B:$G,4,0),IFERROR(VLOOKUP($B556,$D:$K,6,0),)),IFERROR(VLOOKUP($C556,INSUMOS!$A:$D,4,0),IFERROR(VLOOKUP($C556,COTAÇÕES!$B:$I,8,0),(VLOOKUP($C556,'INSUMO SINAPI - SP'!$C:$F,4,0)))))*$G556,2)</f>
        <v>47976.89</v>
      </c>
      <c r="J556" s="549"/>
      <c r="K556" s="550">
        <f t="shared" ref="K556:K561" si="26">I556+J556</f>
        <v>47976.89</v>
      </c>
      <c r="L556" s="551" t="s">
        <v>12878</v>
      </c>
      <c r="M556" s="530"/>
      <c r="N556" s="552"/>
      <c r="O556" s="540"/>
      <c r="P556" s="540"/>
      <c r="Q556" s="541"/>
      <c r="R556" s="541"/>
      <c r="S556" s="541"/>
      <c r="T556" s="541"/>
      <c r="U556" s="541"/>
      <c r="V556" s="541"/>
      <c r="W556" s="541"/>
      <c r="X556" s="541"/>
      <c r="Y556" s="541"/>
    </row>
    <row r="557" spans="1:25" x14ac:dyDescent="0.25">
      <c r="A557" s="530"/>
      <c r="B557" s="542">
        <v>88264</v>
      </c>
      <c r="C557" s="543"/>
      <c r="D557" s="544"/>
      <c r="E557" s="545" t="str">
        <f>IF($C557="",IFERROR(VLOOKUP($B557,SERVIÇOS!$B:$G,2,0),IFERROR(VLOOKUP($B557,$D:$K,2,0),"")),IFERROR(VLOOKUP($C557,INSUMOS!$A:$D,2,0),IFERROR(VLOOKUP($C557,COTAÇÕES!$B:$I,2,0),(VLOOKUP($C557,'INSUMO SINAPI - SP'!$C:$F,2,0)))))</f>
        <v>ELETRICISTA COM ENCARGOS COMPLEMENTARES</v>
      </c>
      <c r="F557" s="546" t="str">
        <f>IF($C557="",IFERROR(VLOOKUP($B557,SERVIÇOS!$B:$G,3,0),IFERROR(VLOOKUP($B557,$D:$K,3,0),"")),IFERROR(VLOOKUP($C557,INSUMOS!$A:$D,3,0),IFERROR(VLOOKUP($C557,COTAÇÕES!$B:$I,3,0),(VLOOKUP($C557,'INSUMO SINAPI - SP'!$C:$F,3,0)))))</f>
        <v>H</v>
      </c>
      <c r="G557" s="547">
        <v>5</v>
      </c>
      <c r="H557" s="548">
        <f>IF($C557="",IFERROR(VLOOKUP($B557,SERVIÇOS!$B:$G,6,0),IFERROR(VLOOKUP($B557,$D:$K,8,0),"")),IFERROR(VLOOKUP($C557,INSUMOS!$A:$D,4,0),IFERROR(VLOOKUP($C557,COTAÇÕES!$B:$I,7,0),(VLOOKUP($C557,'INSUMO SINAPI - SP'!$C:$F,4,0)))))</f>
        <v>37.369999999999997</v>
      </c>
      <c r="I557" s="549">
        <f>TRUNC(IF($C557="",IFERROR(VLOOKUP($B557,SERVIÇOS!$B:$G,4,0),IFERROR(VLOOKUP($B557,$D:$K,6,0),)),IFERROR(VLOOKUP($C557,INSUMOS!$A:$D,4,0),IFERROR(VLOOKUP($C557,COTAÇÕES!$B:$I,7,0),(VLOOKUP($C557,'INSUMO SINAPI - SP'!$C:$F,4,0)))))*$G557,2)</f>
        <v>46.55</v>
      </c>
      <c r="J557" s="549">
        <f>TRUNC(IF($C557="",IFERROR(VLOOKUP($B557,SERVIÇOS!$B:$G,5,0),IFERROR(VLOOKUP($B557,$D:$K,7,0),)),0)*$G557,2)</f>
        <v>140.30000000000001</v>
      </c>
      <c r="K557" s="550">
        <f t="shared" si="26"/>
        <v>186.85000000000002</v>
      </c>
      <c r="L557" s="553"/>
      <c r="M557" s="530"/>
      <c r="N557" s="552"/>
      <c r="O557" s="540"/>
      <c r="P557" s="540"/>
      <c r="Q557" s="541"/>
      <c r="R557" s="541"/>
      <c r="S557" s="541"/>
      <c r="T557" s="541"/>
      <c r="U557" s="541"/>
      <c r="V557" s="541"/>
      <c r="W557" s="541"/>
      <c r="X557" s="541"/>
      <c r="Y557" s="541"/>
    </row>
    <row r="558" spans="1:25" x14ac:dyDescent="0.25">
      <c r="A558" s="530"/>
      <c r="B558" s="542">
        <v>88247</v>
      </c>
      <c r="C558" s="543"/>
      <c r="D558" s="544"/>
      <c r="E558" s="545" t="str">
        <f>IF($C558="",IFERROR(VLOOKUP($B558,SERVIÇOS!$B:$G,2,0),IFERROR(VLOOKUP($B558,$D:$K,2,0),"")),IFERROR(VLOOKUP($C558,INSUMOS!$A:$D,2,0),IFERROR(VLOOKUP($C558,COTAÇÕES!$B:$I,2,0),(VLOOKUP($C558,'INSUMO SINAPI - SP'!$C:$F,2,0)))))</f>
        <v>AUXILIAR DE ELETRICISTA COM ENCARGOS COMPLEMENTARES</v>
      </c>
      <c r="F558" s="546" t="str">
        <f>IF($C558="",IFERROR(VLOOKUP($B558,SERVIÇOS!$B:$G,3,0),IFERROR(VLOOKUP($B558,$D:$K,3,0),"")),IFERROR(VLOOKUP($C558,INSUMOS!$A:$D,3,0),IFERROR(VLOOKUP($C558,COTAÇÕES!$B:$I,3,0),(VLOOKUP($C558,'INSUMO SINAPI - SP'!$C:$F,3,0)))))</f>
        <v>H</v>
      </c>
      <c r="G558" s="547">
        <v>5</v>
      </c>
      <c r="H558" s="548">
        <f>IF($C558="",IFERROR(VLOOKUP($B558,SERVIÇOS!$B:$G,6,0),IFERROR(VLOOKUP($B558,$D:$K,8,0),"")),IFERROR(VLOOKUP($C558,INSUMOS!$A:$D,4,0),IFERROR(VLOOKUP($C558,COTAÇÕES!$B:$I,7,0),(VLOOKUP($C558,'INSUMO SINAPI - SP'!$C:$F,4,0)))))</f>
        <v>30.8</v>
      </c>
      <c r="I558" s="549">
        <f>TRUNC(IF($C558="",IFERROR(VLOOKUP($B558,SERVIÇOS!$B:$G,4,0),IFERROR(VLOOKUP($B558,$D:$K,6,0),)),IFERROR(VLOOKUP($C558,INSUMOS!$A:$D,4,0),IFERROR(VLOOKUP($C558,COTAÇÕES!$B:$I,7,0),(VLOOKUP($C558,'INSUMO SINAPI - SP'!$C:$F,4,0)))))*$G558,2)</f>
        <v>46.6</v>
      </c>
      <c r="J558" s="549">
        <f>TRUNC(IF($C558="",IFERROR(VLOOKUP($B558,SERVIÇOS!$B:$G,5,0),IFERROR(VLOOKUP($B558,$D:$K,7,0),)),0)*$G558,2)</f>
        <v>107.4</v>
      </c>
      <c r="K558" s="550">
        <f t="shared" si="26"/>
        <v>154</v>
      </c>
      <c r="L558" s="553"/>
      <c r="M558" s="530"/>
      <c r="N558" s="552"/>
      <c r="O558" s="540"/>
      <c r="P558" s="540"/>
      <c r="Q558" s="541"/>
      <c r="R558" s="541"/>
      <c r="S558" s="541"/>
      <c r="T558" s="541"/>
      <c r="U558" s="541"/>
      <c r="V558" s="541"/>
      <c r="W558" s="541"/>
      <c r="X558" s="541"/>
      <c r="Y558" s="541"/>
    </row>
    <row r="559" spans="1:25" x14ac:dyDescent="0.25">
      <c r="A559" s="530"/>
      <c r="B559" s="542">
        <v>88275</v>
      </c>
      <c r="C559" s="543"/>
      <c r="D559" s="544"/>
      <c r="E559" s="545" t="str">
        <f>IF($C559="",IFERROR(VLOOKUP($B559,SERVIÇOS!$B:$G,2,0),IFERROR(VLOOKUP($B559,$D:$K,2,0),"")),IFERROR(VLOOKUP($C559,INSUMOS!$A:$D,2,0),IFERROR(VLOOKUP($C559,COTAÇÕES!$B:$I,2,0),(VLOOKUP($C559,'INSUMO SINAPI - SP'!$C:$F,2,0)))))</f>
        <v>MECÃNICO DE EQUIPAMENTOS PESADOS COM ENCARGOS COMPLEMENTARES</v>
      </c>
      <c r="F559" s="546" t="str">
        <f>IF($C559="",IFERROR(VLOOKUP($B559,SERVIÇOS!$B:$G,3,0),IFERROR(VLOOKUP($B559,$D:$K,3,0),"")),IFERROR(VLOOKUP($C559,INSUMOS!$A:$D,3,0),IFERROR(VLOOKUP($C559,COTAÇÕES!$B:$I,3,0),(VLOOKUP($C559,'INSUMO SINAPI - SP'!$C:$F,3,0)))))</f>
        <v>H</v>
      </c>
      <c r="G559" s="547">
        <v>35</v>
      </c>
      <c r="H559" s="548">
        <f>IF($C559="",IFERROR(VLOOKUP($B559,SERVIÇOS!$B:$G,6,0),IFERROR(VLOOKUP($B559,$D:$K,8,0),"")),IFERROR(VLOOKUP($C559,INSUMOS!$A:$D,4,0),IFERROR(VLOOKUP($C559,COTAÇÕES!$B:$I,7,0),(VLOOKUP($C559,'INSUMO SINAPI - SP'!$C:$F,4,0)))))</f>
        <v>40.479999999999997</v>
      </c>
      <c r="I559" s="549">
        <f>TRUNC(IF($C559="",IFERROR(VLOOKUP($B559,SERVIÇOS!$B:$G,4,0),IFERROR(VLOOKUP($B559,$D:$K,6,0),)),IFERROR(VLOOKUP($C559,INSUMOS!$A:$D,4,0),IFERROR(VLOOKUP($C559,COTAÇÕES!$B:$I,7,0),(VLOOKUP($C559,'INSUMO SINAPI - SP'!$C:$F,4,0)))))*$G559,2)</f>
        <v>283.5</v>
      </c>
      <c r="J559" s="549">
        <f>TRUNC(IF($C559="",IFERROR(VLOOKUP($B559,SERVIÇOS!$B:$G,5,0),IFERROR(VLOOKUP($B559,$D:$K,7,0),)),0)*$G559,2)</f>
        <v>1133.3</v>
      </c>
      <c r="K559" s="550">
        <f t="shared" si="26"/>
        <v>1416.8</v>
      </c>
      <c r="L559" s="553"/>
      <c r="M559" s="530"/>
      <c r="N559" s="552"/>
      <c r="O559" s="540"/>
      <c r="P559" s="540"/>
      <c r="Q559" s="541"/>
      <c r="R559" s="541"/>
      <c r="S559" s="541"/>
      <c r="T559" s="541"/>
      <c r="U559" s="541"/>
      <c r="V559" s="541"/>
      <c r="W559" s="541"/>
      <c r="X559" s="541"/>
      <c r="Y559" s="541"/>
    </row>
    <row r="560" spans="1:25" x14ac:dyDescent="0.25">
      <c r="A560" s="530"/>
      <c r="B560" s="542">
        <v>88241</v>
      </c>
      <c r="C560" s="543"/>
      <c r="D560" s="544"/>
      <c r="E560" s="545" t="str">
        <f>IF($C560="",IFERROR(VLOOKUP($B560,SERVIÇOS!$B:$G,2,0),IFERROR(VLOOKUP($B560,$D:$K,2,0),"")),IFERROR(VLOOKUP($C560,INSUMOS!$A:$D,2,0),IFERROR(VLOOKUP($C560,COTAÇÕES!$B:$I,2,0),(VLOOKUP($C560,'INSUMO SINAPI - SP'!$C:$F,2,0)))))</f>
        <v>AJUDANTE DE OPERAÇÃO EM GERAL COM ENCARGOS COMPLEMENTARES</v>
      </c>
      <c r="F560" s="546" t="str">
        <f>IF($C560="",IFERROR(VLOOKUP($B560,SERVIÇOS!$B:$G,3,0),IFERROR(VLOOKUP($B560,$D:$K,3,0),"")),IFERROR(VLOOKUP($C560,INSUMOS!$A:$D,3,0),IFERROR(VLOOKUP($C560,COTAÇÕES!$B:$I,3,0),(VLOOKUP($C560,'INSUMO SINAPI - SP'!$C:$F,3,0)))))</f>
        <v>H</v>
      </c>
      <c r="G560" s="547">
        <v>105</v>
      </c>
      <c r="H560" s="548">
        <f>IF($C560="",IFERROR(VLOOKUP($B560,SERVIÇOS!$B:$G,6,0),IFERROR(VLOOKUP($B560,$D:$K,8,0),"")),IFERROR(VLOOKUP($C560,INSUMOS!$A:$D,4,0),IFERROR(VLOOKUP($C560,COTAÇÕES!$B:$I,7,0),(VLOOKUP($C560,'INSUMO SINAPI - SP'!$C:$F,4,0)))))</f>
        <v>29.87</v>
      </c>
      <c r="I560" s="549">
        <f>TRUNC(IF($C560="",IFERROR(VLOOKUP($B560,SERVIÇOS!$B:$G,4,0),IFERROR(VLOOKUP($B560,$D:$K,6,0),)),IFERROR(VLOOKUP($C560,INSUMOS!$A:$D,4,0),IFERROR(VLOOKUP($C560,COTAÇÕES!$B:$I,7,0),(VLOOKUP($C560,'INSUMO SINAPI - SP'!$C:$F,4,0)))))*$G560,2)</f>
        <v>975.45</v>
      </c>
      <c r="J560" s="549">
        <f>TRUNC(IF($C560="",IFERROR(VLOOKUP($B560,SERVIÇOS!$B:$G,5,0),IFERROR(VLOOKUP($B560,$D:$K,7,0),)),0)*$G560,2)</f>
        <v>2160.9</v>
      </c>
      <c r="K560" s="550">
        <f t="shared" si="26"/>
        <v>3136.3500000000004</v>
      </c>
      <c r="L560" s="553"/>
      <c r="M560" s="530"/>
      <c r="N560" s="552"/>
      <c r="O560" s="540"/>
      <c r="P560" s="540"/>
      <c r="Q560" s="541"/>
      <c r="R560" s="541"/>
      <c r="S560" s="541"/>
      <c r="T560" s="541"/>
      <c r="U560" s="541"/>
      <c r="V560" s="541"/>
      <c r="W560" s="541"/>
      <c r="X560" s="541"/>
      <c r="Y560" s="541"/>
    </row>
    <row r="561" spans="1:25" ht="22.5" x14ac:dyDescent="0.25">
      <c r="A561" s="530"/>
      <c r="B561" s="542">
        <v>93287</v>
      </c>
      <c r="C561" s="543"/>
      <c r="D561" s="544"/>
      <c r="E561" s="545" t="str">
        <f>IF($C561="",IFERROR(VLOOKUP($B561,SERVIÇOS!$B:$G,2,0),IFERROR(VLOOKUP($B561,$D:$K,2,0),"")),IFERROR(VLOOKUP($C561,INSUMOS!$A:$D,2,0),IFERROR(VLOOKUP($C561,COTAÇÕES!$B:$I,2,0),(VLOOKUP($C561,'INSUMO SINAPI - SP'!$C:$F,2,0)))))</f>
        <v>GUINDASTE HIDRÁULICO AUTOPROPELIDO, COM LANÇA TELESCÓPICA 40 M, CAPACIDADE MÁXIMA 60 T, POTÊNCIA 260 KW - CHP DIURNO. AF_03/2016</v>
      </c>
      <c r="F561" s="546" t="str">
        <f>IF($C561="",IFERROR(VLOOKUP($B561,SERVIÇOS!$B:$G,3,0),IFERROR(VLOOKUP($B561,$D:$K,3,0),"")),IFERROR(VLOOKUP($C561,INSUMOS!$A:$D,3,0),IFERROR(VLOOKUP($C561,COTAÇÕES!$B:$I,3,0),(VLOOKUP($C561,'INSUMO SINAPI - SP'!$C:$F,3,0)))))</f>
        <v>CHP</v>
      </c>
      <c r="G561" s="547">
        <v>3</v>
      </c>
      <c r="H561" s="548">
        <f>IF($C561="",IFERROR(VLOOKUP($B561,SERVIÇOS!$B:$G,6,0),IFERROR(VLOOKUP($B561,$D:$K,8,0),"")),IFERROR(VLOOKUP($C561,INSUMOS!$A:$D,4,0),IFERROR(VLOOKUP($C561,COTAÇÕES!$B:$I,7,0),(VLOOKUP($C561,'INSUMO SINAPI - SP'!$C:$F,4,0)))))</f>
        <v>362.3</v>
      </c>
      <c r="I561" s="549">
        <f>TRUNC(IF($C561="",IFERROR(VLOOKUP($B561,SERVIÇOS!$B:$G,4,0),IFERROR(VLOOKUP($B561,$D:$K,6,0),)),IFERROR(VLOOKUP($C561,INSUMOS!$A:$D,4,0),IFERROR(VLOOKUP($C561,COTAÇÕES!$B:$I,7,0),(VLOOKUP($C561,'INSUMO SINAPI - SP'!$C:$F,4,0)))))*$G561,2)</f>
        <v>977.37</v>
      </c>
      <c r="J561" s="549">
        <f>TRUNC(IF($C561="",IFERROR(VLOOKUP($B561,SERVIÇOS!$B:$G,5,0),IFERROR(VLOOKUP($B561,$D:$K,7,0),)),0)*$G561,2)</f>
        <v>109.53</v>
      </c>
      <c r="K561" s="550">
        <f t="shared" si="26"/>
        <v>1086.9000000000001</v>
      </c>
      <c r="L561" s="553"/>
      <c r="M561" s="530"/>
      <c r="N561" s="552"/>
      <c r="O561" s="540"/>
      <c r="P561" s="540"/>
      <c r="Q561" s="541"/>
      <c r="R561" s="541"/>
      <c r="S561" s="541"/>
      <c r="T561" s="541"/>
      <c r="U561" s="541"/>
      <c r="V561" s="541"/>
      <c r="W561" s="541"/>
      <c r="X561" s="541"/>
      <c r="Y561" s="541"/>
    </row>
    <row r="562" spans="1:25" ht="409.5" x14ac:dyDescent="0.25">
      <c r="A562" s="530"/>
      <c r="B562" s="531"/>
      <c r="C562" s="531"/>
      <c r="D562" s="532" t="s">
        <v>12584</v>
      </c>
      <c r="E562" s="533" t="s">
        <v>12887</v>
      </c>
      <c r="F562" s="534" t="s">
        <v>580</v>
      </c>
      <c r="G562" s="535"/>
      <c r="H562" s="536"/>
      <c r="I562" s="537">
        <f>SUM(I563:I568)</f>
        <v>51541.840000000004</v>
      </c>
      <c r="J562" s="537">
        <f>SUM(J563:J568)</f>
        <v>3651.4300000000003</v>
      </c>
      <c r="K562" s="537">
        <f>+J562+I562</f>
        <v>55193.270000000004</v>
      </c>
      <c r="L562" s="538" t="s">
        <v>12876</v>
      </c>
      <c r="M562" s="530"/>
      <c r="N562" s="539"/>
      <c r="O562" s="540"/>
      <c r="P562" s="540"/>
      <c r="Q562" s="541"/>
      <c r="R562" s="541"/>
      <c r="S562" s="541"/>
      <c r="T562" s="541"/>
      <c r="U562" s="541"/>
      <c r="V562" s="541"/>
      <c r="W562" s="541"/>
      <c r="X562" s="541"/>
      <c r="Y562" s="541"/>
    </row>
    <row r="563" spans="1:25" ht="409.5" x14ac:dyDescent="0.25">
      <c r="A563" s="530"/>
      <c r="B563" s="542"/>
      <c r="C563" s="543" t="s">
        <v>12888</v>
      </c>
      <c r="D563" s="544"/>
      <c r="E563" s="545" t="str">
        <f>IF($C563="",IFERROR(VLOOKUP($B563,SERVIÇOS!$B:$G,2,0),IFERROR(VLOOKUP($B563,$D:$K,2,0),"")),IFERROR(VLOOKUP($C563,INSUMOS!$A:$D,2,0),IFERROR(VLOOKUP($C563,COTAÇÕES!$B:$I,2,0),(VLOOKUP($C563,'INSUMO SINAPI - SP'!$C:$F,2,0)))))</f>
        <v>UNIDADES DE TRATAMENTO DE AR MODULAR DE MONTAGEM HORIZONTAL PARA ENTREFORRO
AMBIENTES ATENDIDOS: SALA DE RAIO-X
LOCALIZAÇÃO: ENTREFORRO
TIPO DE SISTEMA DE CLIMATIZAÇÃO: EXPANSÃO DIRETA, FLUIDO R410A (OBS: DEVE ACOMPANHAR VÁLVULA DE EXPANSÃO ELETRÔNICA CONFORME SELEÇÃO DO FABRICANTE)
CARGA TÉRMICA TOTAL DA SERPENTINA: 5,03kW
CARGA TÉRMICA SENSÍVEL DA SERPENTINA: 3,98kW
VAZÃO DE INSUFLAMENTO: 980m³/h
VAZÃO DE AR EXTERNO: 140m³/h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15
PRESSÃO ESTÁTICA INTERNA CONSIDERADA (mmCA): 90*
PRESSÃO ESTÁTICA TOTAL CONSIDERADA: 105*
TIPO DE ROTOR: PLENUM FAN E.C OU PLENUM FAN A.C
TIPO DE ACOPLAMENTO DO MOTOR: DIRETO
TENSÃO ELÉTRICA MOTOR: 220/3F
POTÊNCIA DO MOTOR (kW): 0,55
VARIADOR DE FREQUÊNCIA: SIM
TENSÃO ELÉTRICA RESISTÊNCIA: N/A
POTÊNCIA DA RESISTÊNCIA ELÉTRICA - DESUMIDIFICAÇÃO (kW): N/A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563" s="546" t="str">
        <f>IF($C563="",IFERROR(VLOOKUP($B563,SERVIÇOS!$B:$G,3,0),IFERROR(VLOOKUP($B563,$D:$K,3,0),"")),IFERROR(VLOOKUP($C563,INSUMOS!$A:$D,3,0),IFERROR(VLOOKUP($C563,COTAÇÕES!$B:$I,3,0),(VLOOKUP($C563,'INSUMO SINAPI - SP'!$C:$F,3,0)))))</f>
        <v>UN</v>
      </c>
      <c r="G563" s="547">
        <v>1</v>
      </c>
      <c r="H563" s="548">
        <f>IF($C563="",IFERROR(VLOOKUP($B563,SERVIÇOS!$B:$G,6,0),IFERROR(VLOOKUP($B563,$D:$K,8,0),"")),IFERROR(VLOOKUP($C563,INSUMOS!$A:$D,4,0),IFERROR(VLOOKUP($C563,COTAÇÕES!$B:$I,8,0),(VLOOKUP($C563,'INSUMO SINAPI - SP'!$C:$F,4,0)))))</f>
        <v>49212.37</v>
      </c>
      <c r="I563" s="549">
        <f>TRUNC(IF($C563="",IFERROR(VLOOKUP($B563,SERVIÇOS!$B:$G,4,0),IFERROR(VLOOKUP($B563,$D:$K,6,0),)),IFERROR(VLOOKUP($C563,INSUMOS!$A:$D,4,0),IFERROR(VLOOKUP($C563,COTAÇÕES!$B:$I,8,0),(VLOOKUP($C563,'INSUMO SINAPI - SP'!$C:$F,4,0)))))*$G563,2)</f>
        <v>49212.37</v>
      </c>
      <c r="J563" s="549"/>
      <c r="K563" s="550">
        <f t="shared" ref="K563:K568" si="27">I563+J563</f>
        <v>49212.37</v>
      </c>
      <c r="L563" s="551" t="s">
        <v>12878</v>
      </c>
      <c r="M563" s="530"/>
      <c r="N563" s="552"/>
      <c r="O563" s="540"/>
      <c r="P563" s="540"/>
      <c r="Q563" s="541"/>
      <c r="R563" s="541"/>
      <c r="S563" s="541"/>
      <c r="T563" s="541"/>
      <c r="U563" s="541"/>
      <c r="V563" s="541"/>
      <c r="W563" s="541"/>
      <c r="X563" s="541"/>
      <c r="Y563" s="541"/>
    </row>
    <row r="564" spans="1:25" x14ac:dyDescent="0.25">
      <c r="A564" s="530"/>
      <c r="B564" s="542">
        <v>88264</v>
      </c>
      <c r="C564" s="543"/>
      <c r="D564" s="544"/>
      <c r="E564" s="545" t="str">
        <f>IF($C564="",IFERROR(VLOOKUP($B564,SERVIÇOS!$B:$G,2,0),IFERROR(VLOOKUP($B564,$D:$K,2,0),"")),IFERROR(VLOOKUP($C564,INSUMOS!$A:$D,2,0),IFERROR(VLOOKUP($C564,COTAÇÕES!$B:$I,2,0),(VLOOKUP($C564,'INSUMO SINAPI - SP'!$C:$F,2,0)))))</f>
        <v>ELETRICISTA COM ENCARGOS COMPLEMENTARES</v>
      </c>
      <c r="F564" s="546" t="str">
        <f>IF($C564="",IFERROR(VLOOKUP($B564,SERVIÇOS!$B:$G,3,0),IFERROR(VLOOKUP($B564,$D:$K,3,0),"")),IFERROR(VLOOKUP($C564,INSUMOS!$A:$D,3,0),IFERROR(VLOOKUP($C564,COTAÇÕES!$B:$I,3,0),(VLOOKUP($C564,'INSUMO SINAPI - SP'!$C:$F,3,0)))))</f>
        <v>H</v>
      </c>
      <c r="G564" s="547">
        <v>5</v>
      </c>
      <c r="H564" s="548">
        <f>IF($C564="",IFERROR(VLOOKUP($B564,SERVIÇOS!$B:$G,6,0),IFERROR(VLOOKUP($B564,$D:$K,8,0),"")),IFERROR(VLOOKUP($C564,INSUMOS!$A:$D,4,0),IFERROR(VLOOKUP($C564,COTAÇÕES!$B:$I,7,0),(VLOOKUP($C564,'INSUMO SINAPI - SP'!$C:$F,4,0)))))</f>
        <v>37.369999999999997</v>
      </c>
      <c r="I564" s="549">
        <f>TRUNC(IF($C564="",IFERROR(VLOOKUP($B564,SERVIÇOS!$B:$G,4,0),IFERROR(VLOOKUP($B564,$D:$K,6,0),)),IFERROR(VLOOKUP($C564,INSUMOS!$A:$D,4,0),IFERROR(VLOOKUP($C564,COTAÇÕES!$B:$I,7,0),(VLOOKUP($C564,'INSUMO SINAPI - SP'!$C:$F,4,0)))))*$G564,2)</f>
        <v>46.55</v>
      </c>
      <c r="J564" s="549">
        <f>TRUNC(IF($C564="",IFERROR(VLOOKUP($B564,SERVIÇOS!$B:$G,5,0),IFERROR(VLOOKUP($B564,$D:$K,7,0),)),0)*$G564,2)</f>
        <v>140.30000000000001</v>
      </c>
      <c r="K564" s="550">
        <f t="shared" si="27"/>
        <v>186.85000000000002</v>
      </c>
      <c r="L564" s="553"/>
      <c r="M564" s="530"/>
      <c r="N564" s="552"/>
      <c r="O564" s="540"/>
      <c r="P564" s="540"/>
      <c r="Q564" s="541"/>
      <c r="R564" s="541"/>
      <c r="S564" s="541"/>
      <c r="T564" s="541"/>
      <c r="U564" s="541"/>
      <c r="V564" s="541"/>
      <c r="W564" s="541"/>
      <c r="X564" s="541"/>
      <c r="Y564" s="541"/>
    </row>
    <row r="565" spans="1:25" x14ac:dyDescent="0.25">
      <c r="A565" s="530"/>
      <c r="B565" s="542">
        <v>88247</v>
      </c>
      <c r="C565" s="543"/>
      <c r="D565" s="544"/>
      <c r="E565" s="545" t="str">
        <f>IF($C565="",IFERROR(VLOOKUP($B565,SERVIÇOS!$B:$G,2,0),IFERROR(VLOOKUP($B565,$D:$K,2,0),"")),IFERROR(VLOOKUP($C565,INSUMOS!$A:$D,2,0),IFERROR(VLOOKUP($C565,COTAÇÕES!$B:$I,2,0),(VLOOKUP($C565,'INSUMO SINAPI - SP'!$C:$F,2,0)))))</f>
        <v>AUXILIAR DE ELETRICISTA COM ENCARGOS COMPLEMENTARES</v>
      </c>
      <c r="F565" s="546" t="str">
        <f>IF($C565="",IFERROR(VLOOKUP($B565,SERVIÇOS!$B:$G,3,0),IFERROR(VLOOKUP($B565,$D:$K,3,0),"")),IFERROR(VLOOKUP($C565,INSUMOS!$A:$D,3,0),IFERROR(VLOOKUP($C565,COTAÇÕES!$B:$I,3,0),(VLOOKUP($C565,'INSUMO SINAPI - SP'!$C:$F,3,0)))))</f>
        <v>H</v>
      </c>
      <c r="G565" s="547">
        <v>5</v>
      </c>
      <c r="H565" s="548">
        <f>IF($C565="",IFERROR(VLOOKUP($B565,SERVIÇOS!$B:$G,6,0),IFERROR(VLOOKUP($B565,$D:$K,8,0),"")),IFERROR(VLOOKUP($C565,INSUMOS!$A:$D,4,0),IFERROR(VLOOKUP($C565,COTAÇÕES!$B:$I,7,0),(VLOOKUP($C565,'INSUMO SINAPI - SP'!$C:$F,4,0)))))</f>
        <v>30.8</v>
      </c>
      <c r="I565" s="549">
        <f>TRUNC(IF($C565="",IFERROR(VLOOKUP($B565,SERVIÇOS!$B:$G,4,0),IFERROR(VLOOKUP($B565,$D:$K,6,0),)),IFERROR(VLOOKUP($C565,INSUMOS!$A:$D,4,0),IFERROR(VLOOKUP($C565,COTAÇÕES!$B:$I,7,0),(VLOOKUP($C565,'INSUMO SINAPI - SP'!$C:$F,4,0)))))*$G565,2)</f>
        <v>46.6</v>
      </c>
      <c r="J565" s="549">
        <f>TRUNC(IF($C565="",IFERROR(VLOOKUP($B565,SERVIÇOS!$B:$G,5,0),IFERROR(VLOOKUP($B565,$D:$K,7,0),)),0)*$G565,2)</f>
        <v>107.4</v>
      </c>
      <c r="K565" s="550">
        <f t="shared" si="27"/>
        <v>154</v>
      </c>
      <c r="L565" s="553"/>
      <c r="M565" s="530"/>
      <c r="N565" s="552"/>
      <c r="O565" s="540"/>
      <c r="P565" s="540"/>
      <c r="Q565" s="541"/>
      <c r="R565" s="541"/>
      <c r="S565" s="541"/>
      <c r="T565" s="541"/>
      <c r="U565" s="541"/>
      <c r="V565" s="541"/>
      <c r="W565" s="541"/>
      <c r="X565" s="541"/>
      <c r="Y565" s="541"/>
    </row>
    <row r="566" spans="1:25" x14ac:dyDescent="0.25">
      <c r="A566" s="530"/>
      <c r="B566" s="542">
        <v>88275</v>
      </c>
      <c r="C566" s="543"/>
      <c r="D566" s="544"/>
      <c r="E566" s="545" t="str">
        <f>IF($C566="",IFERROR(VLOOKUP($B566,SERVIÇOS!$B:$G,2,0),IFERROR(VLOOKUP($B566,$D:$K,2,0),"")),IFERROR(VLOOKUP($C566,INSUMOS!$A:$D,2,0),IFERROR(VLOOKUP($C566,COTAÇÕES!$B:$I,2,0),(VLOOKUP($C566,'INSUMO SINAPI - SP'!$C:$F,2,0)))))</f>
        <v>MECÃNICO DE EQUIPAMENTOS PESADOS COM ENCARGOS COMPLEMENTARES</v>
      </c>
      <c r="F566" s="546" t="str">
        <f>IF($C566="",IFERROR(VLOOKUP($B566,SERVIÇOS!$B:$G,3,0),IFERROR(VLOOKUP($B566,$D:$K,3,0),"")),IFERROR(VLOOKUP($C566,INSUMOS!$A:$D,3,0),IFERROR(VLOOKUP($C566,COTAÇÕES!$B:$I,3,0),(VLOOKUP($C566,'INSUMO SINAPI - SP'!$C:$F,3,0)))))</f>
        <v>H</v>
      </c>
      <c r="G566" s="547">
        <v>35</v>
      </c>
      <c r="H566" s="548">
        <f>IF($C566="",IFERROR(VLOOKUP($B566,SERVIÇOS!$B:$G,6,0),IFERROR(VLOOKUP($B566,$D:$K,8,0),"")),IFERROR(VLOOKUP($C566,INSUMOS!$A:$D,4,0),IFERROR(VLOOKUP($C566,COTAÇÕES!$B:$I,7,0),(VLOOKUP($C566,'INSUMO SINAPI - SP'!$C:$F,4,0)))))</f>
        <v>40.479999999999997</v>
      </c>
      <c r="I566" s="549">
        <f>TRUNC(IF($C566="",IFERROR(VLOOKUP($B566,SERVIÇOS!$B:$G,4,0),IFERROR(VLOOKUP($B566,$D:$K,6,0),)),IFERROR(VLOOKUP($C566,INSUMOS!$A:$D,4,0),IFERROR(VLOOKUP($C566,COTAÇÕES!$B:$I,7,0),(VLOOKUP($C566,'INSUMO SINAPI - SP'!$C:$F,4,0)))))*$G566,2)</f>
        <v>283.5</v>
      </c>
      <c r="J566" s="549">
        <f>TRUNC(IF($C566="",IFERROR(VLOOKUP($B566,SERVIÇOS!$B:$G,5,0),IFERROR(VLOOKUP($B566,$D:$K,7,0),)),0)*$G566,2)</f>
        <v>1133.3</v>
      </c>
      <c r="K566" s="550">
        <f t="shared" si="27"/>
        <v>1416.8</v>
      </c>
      <c r="L566" s="553"/>
      <c r="M566" s="530"/>
      <c r="N566" s="552"/>
      <c r="O566" s="540"/>
      <c r="P566" s="540"/>
      <c r="Q566" s="541"/>
      <c r="R566" s="541"/>
      <c r="S566" s="541"/>
      <c r="T566" s="541"/>
      <c r="U566" s="541"/>
      <c r="V566" s="541"/>
      <c r="W566" s="541"/>
      <c r="X566" s="541"/>
      <c r="Y566" s="541"/>
    </row>
    <row r="567" spans="1:25" x14ac:dyDescent="0.25">
      <c r="A567" s="530"/>
      <c r="B567" s="542">
        <v>88241</v>
      </c>
      <c r="C567" s="543"/>
      <c r="D567" s="544"/>
      <c r="E567" s="545" t="str">
        <f>IF($C567="",IFERROR(VLOOKUP($B567,SERVIÇOS!$B:$G,2,0),IFERROR(VLOOKUP($B567,$D:$K,2,0),"")),IFERROR(VLOOKUP($C567,INSUMOS!$A:$D,2,0),IFERROR(VLOOKUP($C567,COTAÇÕES!$B:$I,2,0),(VLOOKUP($C567,'INSUMO SINAPI - SP'!$C:$F,2,0)))))</f>
        <v>AJUDANTE DE OPERAÇÃO EM GERAL COM ENCARGOS COMPLEMENTARES</v>
      </c>
      <c r="F567" s="546" t="str">
        <f>IF($C567="",IFERROR(VLOOKUP($B567,SERVIÇOS!$B:$G,3,0),IFERROR(VLOOKUP($B567,$D:$K,3,0),"")),IFERROR(VLOOKUP($C567,INSUMOS!$A:$D,3,0),IFERROR(VLOOKUP($C567,COTAÇÕES!$B:$I,3,0),(VLOOKUP($C567,'INSUMO SINAPI - SP'!$C:$F,3,0)))))</f>
        <v>H</v>
      </c>
      <c r="G567" s="547">
        <v>105</v>
      </c>
      <c r="H567" s="548">
        <f>IF($C567="",IFERROR(VLOOKUP($B567,SERVIÇOS!$B:$G,6,0),IFERROR(VLOOKUP($B567,$D:$K,8,0),"")),IFERROR(VLOOKUP($C567,INSUMOS!$A:$D,4,0),IFERROR(VLOOKUP($C567,COTAÇÕES!$B:$I,7,0),(VLOOKUP($C567,'INSUMO SINAPI - SP'!$C:$F,4,0)))))</f>
        <v>29.87</v>
      </c>
      <c r="I567" s="549">
        <f>TRUNC(IF($C567="",IFERROR(VLOOKUP($B567,SERVIÇOS!$B:$G,4,0),IFERROR(VLOOKUP($B567,$D:$K,6,0),)),IFERROR(VLOOKUP($C567,INSUMOS!$A:$D,4,0),IFERROR(VLOOKUP($C567,COTAÇÕES!$B:$I,7,0),(VLOOKUP($C567,'INSUMO SINAPI - SP'!$C:$F,4,0)))))*$G567,2)</f>
        <v>975.45</v>
      </c>
      <c r="J567" s="549">
        <f>TRUNC(IF($C567="",IFERROR(VLOOKUP($B567,SERVIÇOS!$B:$G,5,0),IFERROR(VLOOKUP($B567,$D:$K,7,0),)),0)*$G567,2)</f>
        <v>2160.9</v>
      </c>
      <c r="K567" s="550">
        <f t="shared" si="27"/>
        <v>3136.3500000000004</v>
      </c>
      <c r="L567" s="553"/>
      <c r="M567" s="530"/>
      <c r="N567" s="552"/>
      <c r="O567" s="540"/>
      <c r="P567" s="540"/>
      <c r="Q567" s="541"/>
      <c r="R567" s="541"/>
      <c r="S567" s="541"/>
      <c r="T567" s="541"/>
      <c r="U567" s="541"/>
      <c r="V567" s="541"/>
      <c r="W567" s="541"/>
      <c r="X567" s="541"/>
      <c r="Y567" s="541"/>
    </row>
    <row r="568" spans="1:25" ht="22.5" x14ac:dyDescent="0.25">
      <c r="A568" s="530"/>
      <c r="B568" s="542">
        <v>93287</v>
      </c>
      <c r="C568" s="543"/>
      <c r="D568" s="544"/>
      <c r="E568" s="545" t="str">
        <f>IF($C568="",IFERROR(VLOOKUP($B568,SERVIÇOS!$B:$G,2,0),IFERROR(VLOOKUP($B568,$D:$K,2,0),"")),IFERROR(VLOOKUP($C568,INSUMOS!$A:$D,2,0),IFERROR(VLOOKUP($C568,COTAÇÕES!$B:$I,2,0),(VLOOKUP($C568,'INSUMO SINAPI - SP'!$C:$F,2,0)))))</f>
        <v>GUINDASTE HIDRÁULICO AUTOPROPELIDO, COM LANÇA TELESCÓPICA 40 M, CAPACIDADE MÁXIMA 60 T, POTÊNCIA 260 KW - CHP DIURNO. AF_03/2016</v>
      </c>
      <c r="F568" s="546" t="str">
        <f>IF($C568="",IFERROR(VLOOKUP($B568,SERVIÇOS!$B:$G,3,0),IFERROR(VLOOKUP($B568,$D:$K,3,0),"")),IFERROR(VLOOKUP($C568,INSUMOS!$A:$D,3,0),IFERROR(VLOOKUP($C568,COTAÇÕES!$B:$I,3,0),(VLOOKUP($C568,'INSUMO SINAPI - SP'!$C:$F,3,0)))))</f>
        <v>CHP</v>
      </c>
      <c r="G568" s="547">
        <v>3</v>
      </c>
      <c r="H568" s="548">
        <f>IF($C568="",IFERROR(VLOOKUP($B568,SERVIÇOS!$B:$G,6,0),IFERROR(VLOOKUP($B568,$D:$K,8,0),"")),IFERROR(VLOOKUP($C568,INSUMOS!$A:$D,4,0),IFERROR(VLOOKUP($C568,COTAÇÕES!$B:$I,7,0),(VLOOKUP($C568,'INSUMO SINAPI - SP'!$C:$F,4,0)))))</f>
        <v>362.3</v>
      </c>
      <c r="I568" s="549">
        <f>TRUNC(IF($C568="",IFERROR(VLOOKUP($B568,SERVIÇOS!$B:$G,4,0),IFERROR(VLOOKUP($B568,$D:$K,6,0),)),IFERROR(VLOOKUP($C568,INSUMOS!$A:$D,4,0),IFERROR(VLOOKUP($C568,COTAÇÕES!$B:$I,7,0),(VLOOKUP($C568,'INSUMO SINAPI - SP'!$C:$F,4,0)))))*$G568,2)</f>
        <v>977.37</v>
      </c>
      <c r="J568" s="549">
        <f>TRUNC(IF($C568="",IFERROR(VLOOKUP($B568,SERVIÇOS!$B:$G,5,0),IFERROR(VLOOKUP($B568,$D:$K,7,0),)),0)*$G568,2)</f>
        <v>109.53</v>
      </c>
      <c r="K568" s="550">
        <f t="shared" si="27"/>
        <v>1086.9000000000001</v>
      </c>
      <c r="L568" s="553"/>
      <c r="M568" s="530"/>
      <c r="N568" s="552"/>
      <c r="O568" s="540"/>
      <c r="P568" s="540"/>
      <c r="Q568" s="541"/>
      <c r="R568" s="541"/>
      <c r="S568" s="541"/>
      <c r="T568" s="541"/>
      <c r="U568" s="541"/>
      <c r="V568" s="541"/>
      <c r="W568" s="541"/>
      <c r="X568" s="541"/>
      <c r="Y568" s="541"/>
    </row>
    <row r="569" spans="1:25" ht="48" x14ac:dyDescent="0.25">
      <c r="A569" s="463"/>
      <c r="B569" s="498"/>
      <c r="C569" s="498"/>
      <c r="D569" s="499" t="s">
        <v>12445</v>
      </c>
      <c r="E569" s="500" t="s">
        <v>12889</v>
      </c>
      <c r="F569" s="501" t="s">
        <v>580</v>
      </c>
      <c r="G569" s="502"/>
      <c r="H569" s="503"/>
      <c r="I569" s="504">
        <f>ROUND(SUM(I570:I572),2)</f>
        <v>30.57</v>
      </c>
      <c r="J569" s="504">
        <f>ROUND(SUM(J570:J572),2)</f>
        <v>15.43</v>
      </c>
      <c r="K569" s="504">
        <f>+J569+I569</f>
        <v>46</v>
      </c>
      <c r="L569" s="523"/>
      <c r="M569" s="471"/>
      <c r="N569" s="505"/>
      <c r="Q569" s="472"/>
      <c r="R569" s="472"/>
      <c r="S569" s="472"/>
      <c r="T569" s="472"/>
      <c r="U569" s="472"/>
      <c r="V569" s="472"/>
      <c r="W569" s="472"/>
      <c r="X569" s="472"/>
      <c r="Y569" s="472"/>
    </row>
    <row r="570" spans="1:25" ht="48" x14ac:dyDescent="0.25">
      <c r="A570" s="463"/>
      <c r="B570" s="506"/>
      <c r="C570" s="507">
        <v>1761</v>
      </c>
      <c r="D570" s="508"/>
      <c r="E570" s="518" t="s">
        <v>12890</v>
      </c>
      <c r="F570" s="519" t="s">
        <v>580</v>
      </c>
      <c r="G570" s="511">
        <v>1</v>
      </c>
      <c r="H570" s="520">
        <v>25</v>
      </c>
      <c r="I570" s="520">
        <f>TRUNC(H570*G570,2)</f>
        <v>25</v>
      </c>
      <c r="J570" s="521"/>
      <c r="K570" s="522">
        <f>I570+J570</f>
        <v>25</v>
      </c>
      <c r="L570" s="517" t="s">
        <v>12891</v>
      </c>
      <c r="M570" s="471"/>
      <c r="N570" s="516"/>
      <c r="Q570" s="472"/>
      <c r="R570" s="472"/>
      <c r="S570" s="472"/>
      <c r="T570" s="472"/>
      <c r="U570" s="472"/>
      <c r="V570" s="472"/>
      <c r="W570" s="472"/>
      <c r="X570" s="472"/>
      <c r="Y570" s="472"/>
    </row>
    <row r="571" spans="1:25" x14ac:dyDescent="0.25">
      <c r="A571" s="463"/>
      <c r="B571" s="506">
        <v>100308</v>
      </c>
      <c r="C571" s="507"/>
      <c r="D571" s="508"/>
      <c r="E571" s="509" t="str">
        <f>IF($C571="",IFERROR(VLOOKUP($B571,SERVIÇOS!$B:$G,2,0),IFERROR(VLOOKUP($B571,$D:$K,2,0),"")),IFERROR(VLOOKUP($C571,INSUMOS!$A:$D,2,0),IFERROR(VLOOKUP($C571,COTAÇÕES!$B:$I,2,0),(VLOOKUP($C571,'INSUMO SINAPI - SP'!$C:$F,2,0)))))</f>
        <v>MECÂNICO DE REFRIGERAÇÃO COM ENCARGOS COMPLEMENTARES</v>
      </c>
      <c r="F571" s="510" t="str">
        <f>IF($C571="",IFERROR(VLOOKUP($B571,SERVIÇOS!$B:$G,3,0),IFERROR(VLOOKUP($B571,$D:$K,3,0),"")),IFERROR(VLOOKUP($C571,INSUMOS!$A:$D,3,0),IFERROR(VLOOKUP($C571,COTAÇÕES!$B:$I,3,0),(VLOOKUP($C571,'INSUMO SINAPI - SP'!$C:$F,3,0)))))</f>
        <v>H</v>
      </c>
      <c r="G571" s="511">
        <v>0.3</v>
      </c>
      <c r="H571" s="512">
        <f>IF($C571="",IFERROR(VLOOKUP($B571,SERVIÇOS!$B:$G,6,0),IFERROR(VLOOKUP($B571,$D:$K,8,0),"")),IFERROR(VLOOKUP($C571,INSUMOS!$A:$D,4,0),IFERROR(VLOOKUP($C571,COTAÇÕES!$B:$I,7,0),(VLOOKUP($C571,'INSUMO SINAPI - SP'!$C:$F,4,0)))))</f>
        <v>40.19</v>
      </c>
      <c r="I571" s="513">
        <f>TRUNC(IF($C571="",IFERROR(VLOOKUP($B571,SERVIÇOS!$B:$G,4,0),IFERROR(VLOOKUP($B571,$D:$K,6,0),)),IFERROR(VLOOKUP($C571,INSUMOS!$A:$D,4,0),IFERROR(VLOOKUP($C571,COTAÇÕES!$B:$I,7,0),(VLOOKUP($C571,'INSUMO SINAPI - SP'!$C:$F,4,0)))))*$G571,2)</f>
        <v>2.79</v>
      </c>
      <c r="J571" s="513">
        <f>TRUNC(IF($C571="",IFERROR(VLOOKUP($B571,SERVIÇOS!$B:$G,5,0),IFERROR(VLOOKUP($B571,$D:$K,7,0),)),0)*$G571,2)</f>
        <v>9.26</v>
      </c>
      <c r="K571" s="514">
        <f>I571+J571</f>
        <v>12.05</v>
      </c>
      <c r="L571" s="515"/>
      <c r="M571" s="471"/>
      <c r="N571" s="516"/>
      <c r="Q571" s="472"/>
      <c r="R571" s="472"/>
      <c r="S571" s="472"/>
      <c r="T571" s="472"/>
      <c r="U571" s="472"/>
      <c r="V571" s="472"/>
      <c r="W571" s="472"/>
      <c r="X571" s="472"/>
      <c r="Y571" s="472"/>
    </row>
    <row r="572" spans="1:25" x14ac:dyDescent="0.25">
      <c r="A572" s="463"/>
      <c r="B572" s="506">
        <v>88241</v>
      </c>
      <c r="C572" s="507"/>
      <c r="D572" s="508"/>
      <c r="E572" s="509" t="str">
        <f>IF($C572="",IFERROR(VLOOKUP($B572,SERVIÇOS!$B:$G,2,0),IFERROR(VLOOKUP($B572,$D:$K,2,0),"")),IFERROR(VLOOKUP($C572,INSUMOS!$A:$D,2,0),IFERROR(VLOOKUP($C572,COTAÇÕES!$B:$I,2,0),(VLOOKUP($C572,'INSUMO SINAPI - SP'!$C:$F,2,0)))))</f>
        <v>AJUDANTE DE OPERAÇÃO EM GERAL COM ENCARGOS COMPLEMENTARES</v>
      </c>
      <c r="F572" s="510" t="str">
        <f>IF($C572="",IFERROR(VLOOKUP($B572,SERVIÇOS!$B:$G,3,0),IFERROR(VLOOKUP($B572,$D:$K,3,0),"")),IFERROR(VLOOKUP($C572,INSUMOS!$A:$D,3,0),IFERROR(VLOOKUP($C572,COTAÇÕES!$B:$I,3,0),(VLOOKUP($C572,'INSUMO SINAPI - SP'!$C:$F,3,0)))))</f>
        <v>H</v>
      </c>
      <c r="G572" s="511">
        <v>0.3</v>
      </c>
      <c r="H572" s="512">
        <f>IF($C572="",IFERROR(VLOOKUP($B572,SERVIÇOS!$B:$G,6,0),IFERROR(VLOOKUP($B572,$D:$K,8,0),"")),IFERROR(VLOOKUP($C572,INSUMOS!$A:$D,4,0),IFERROR(VLOOKUP($C572,COTAÇÕES!$B:$I,7,0),(VLOOKUP($C572,'INSUMO SINAPI - SP'!$C:$F,4,0)))))</f>
        <v>29.87</v>
      </c>
      <c r="I572" s="513">
        <f>TRUNC(IF($C572="",IFERROR(VLOOKUP($B572,SERVIÇOS!$B:$G,4,0),IFERROR(VLOOKUP($B572,$D:$K,6,0),)),IFERROR(VLOOKUP($C572,INSUMOS!$A:$D,4,0),IFERROR(VLOOKUP($C572,COTAÇÕES!$B:$I,7,0),(VLOOKUP($C572,'INSUMO SINAPI - SP'!$C:$F,4,0)))))*$G572,2)</f>
        <v>2.78</v>
      </c>
      <c r="J572" s="513">
        <f>TRUNC(IF($C572="",IFERROR(VLOOKUP($B572,SERVIÇOS!$B:$G,5,0),IFERROR(VLOOKUP($B572,$D:$K,7,0),)),0)*$G572,2)</f>
        <v>6.17</v>
      </c>
      <c r="K572" s="514">
        <f>I572+J572</f>
        <v>8.9499999999999993</v>
      </c>
      <c r="L572" s="515"/>
      <c r="M572" s="471"/>
      <c r="N572" s="516"/>
      <c r="Q572" s="472"/>
      <c r="R572" s="472"/>
      <c r="S572" s="472"/>
      <c r="T572" s="472"/>
      <c r="U572" s="472"/>
      <c r="V572" s="472"/>
      <c r="W572" s="472"/>
      <c r="X572" s="472"/>
      <c r="Y572" s="472"/>
    </row>
    <row r="573" spans="1:25" ht="48" x14ac:dyDescent="0.25">
      <c r="A573" s="463"/>
      <c r="B573" s="498"/>
      <c r="C573" s="498"/>
      <c r="D573" s="499" t="s">
        <v>12446</v>
      </c>
      <c r="E573" s="500" t="s">
        <v>12892</v>
      </c>
      <c r="F573" s="501" t="s">
        <v>580</v>
      </c>
      <c r="G573" s="502"/>
      <c r="H573" s="503"/>
      <c r="I573" s="504">
        <f>ROUND(SUM(I574:I576),2)</f>
        <v>40.57</v>
      </c>
      <c r="J573" s="504">
        <f>ROUND(SUM(J574:J576),2)</f>
        <v>15.43</v>
      </c>
      <c r="K573" s="504">
        <f>+J573+I573</f>
        <v>56</v>
      </c>
      <c r="L573" s="523"/>
      <c r="M573" s="471"/>
      <c r="N573" s="505"/>
      <c r="Q573" s="472"/>
      <c r="R573" s="472"/>
      <c r="S573" s="472"/>
      <c r="T573" s="472"/>
      <c r="U573" s="472"/>
      <c r="V573" s="472"/>
      <c r="W573" s="472"/>
      <c r="X573" s="472"/>
      <c r="Y573" s="472"/>
    </row>
    <row r="574" spans="1:25" ht="48" x14ac:dyDescent="0.25">
      <c r="A574" s="463"/>
      <c r="B574" s="506"/>
      <c r="C574" s="507">
        <v>1762</v>
      </c>
      <c r="D574" s="508"/>
      <c r="E574" s="518" t="s">
        <v>12893</v>
      </c>
      <c r="F574" s="519" t="s">
        <v>12894</v>
      </c>
      <c r="G574" s="511">
        <v>1</v>
      </c>
      <c r="H574" s="520">
        <v>35</v>
      </c>
      <c r="I574" s="520">
        <f>TRUNC(H574*G574,2)</f>
        <v>35</v>
      </c>
      <c r="J574" s="521"/>
      <c r="K574" s="522">
        <f>I574+J574</f>
        <v>35</v>
      </c>
      <c r="L574" s="517" t="s">
        <v>12891</v>
      </c>
      <c r="M574" s="471"/>
      <c r="N574" s="516"/>
      <c r="Q574" s="472"/>
      <c r="R574" s="472"/>
      <c r="S574" s="472"/>
      <c r="T574" s="472"/>
      <c r="U574" s="472"/>
      <c r="V574" s="472"/>
      <c r="W574" s="472"/>
      <c r="X574" s="472"/>
      <c r="Y574" s="472"/>
    </row>
    <row r="575" spans="1:25" x14ac:dyDescent="0.25">
      <c r="A575" s="463"/>
      <c r="B575" s="506">
        <v>100308</v>
      </c>
      <c r="C575" s="507"/>
      <c r="D575" s="508"/>
      <c r="E575" s="509" t="str">
        <f>IF($C575="",IFERROR(VLOOKUP($B575,SERVIÇOS!$B:$G,2,0),IFERROR(VLOOKUP($B575,$D:$K,2,0),"")),IFERROR(VLOOKUP($C575,INSUMOS!$A:$D,2,0),IFERROR(VLOOKUP($C575,COTAÇÕES!$B:$I,2,0),(VLOOKUP($C575,'INSUMO SINAPI - SP'!$C:$F,2,0)))))</f>
        <v>MECÂNICO DE REFRIGERAÇÃO COM ENCARGOS COMPLEMENTARES</v>
      </c>
      <c r="F575" s="510" t="str">
        <f>IF($C575="",IFERROR(VLOOKUP($B575,SERVIÇOS!$B:$G,3,0),IFERROR(VLOOKUP($B575,$D:$K,3,0),"")),IFERROR(VLOOKUP($C575,INSUMOS!$A:$D,3,0),IFERROR(VLOOKUP($C575,COTAÇÕES!$B:$I,3,0),(VLOOKUP($C575,'INSUMO SINAPI - SP'!$C:$F,3,0)))))</f>
        <v>H</v>
      </c>
      <c r="G575" s="511">
        <v>0.3</v>
      </c>
      <c r="H575" s="512">
        <f>IF($C575="",IFERROR(VLOOKUP($B575,SERVIÇOS!$B:$G,6,0),IFERROR(VLOOKUP($B575,$D:$K,8,0),"")),IFERROR(VLOOKUP($C575,INSUMOS!$A:$D,4,0),IFERROR(VLOOKUP($C575,COTAÇÕES!$B:$I,7,0),(VLOOKUP($C575,'INSUMO SINAPI - SP'!$C:$F,4,0)))))</f>
        <v>40.19</v>
      </c>
      <c r="I575" s="513">
        <f>TRUNC(IF($C575="",IFERROR(VLOOKUP($B575,SERVIÇOS!$B:$G,4,0),IFERROR(VLOOKUP($B575,$D:$K,6,0),)),IFERROR(VLOOKUP($C575,INSUMOS!$A:$D,4,0),IFERROR(VLOOKUP($C575,COTAÇÕES!$B:$I,7,0),(VLOOKUP($C575,'INSUMO SINAPI - SP'!$C:$F,4,0)))))*$G575,2)</f>
        <v>2.79</v>
      </c>
      <c r="J575" s="513">
        <f>TRUNC(IF($C575="",IFERROR(VLOOKUP($B575,SERVIÇOS!$B:$G,5,0),IFERROR(VLOOKUP($B575,$D:$K,7,0),)),0)*$G575,2)</f>
        <v>9.26</v>
      </c>
      <c r="K575" s="514">
        <f>I575+J575</f>
        <v>12.05</v>
      </c>
      <c r="L575" s="515"/>
      <c r="M575" s="471"/>
      <c r="N575" s="516"/>
      <c r="Q575" s="472"/>
      <c r="R575" s="472"/>
      <c r="S575" s="472"/>
      <c r="T575" s="472"/>
      <c r="U575" s="472"/>
      <c r="V575" s="472"/>
      <c r="W575" s="472"/>
      <c r="X575" s="472"/>
      <c r="Y575" s="472"/>
    </row>
    <row r="576" spans="1:25" x14ac:dyDescent="0.25">
      <c r="A576" s="463"/>
      <c r="B576" s="506">
        <v>88241</v>
      </c>
      <c r="C576" s="507"/>
      <c r="D576" s="508"/>
      <c r="E576" s="509" t="str">
        <f>IF($C576="",IFERROR(VLOOKUP($B576,SERVIÇOS!$B:$G,2,0),IFERROR(VLOOKUP($B576,$D:$K,2,0),"")),IFERROR(VLOOKUP($C576,INSUMOS!$A:$D,2,0),IFERROR(VLOOKUP($C576,COTAÇÕES!$B:$I,2,0),(VLOOKUP($C576,'INSUMO SINAPI - SP'!$C:$F,2,0)))))</f>
        <v>AJUDANTE DE OPERAÇÃO EM GERAL COM ENCARGOS COMPLEMENTARES</v>
      </c>
      <c r="F576" s="510" t="str">
        <f>IF($C576="",IFERROR(VLOOKUP($B576,SERVIÇOS!$B:$G,3,0),IFERROR(VLOOKUP($B576,$D:$K,3,0),"")),IFERROR(VLOOKUP($C576,INSUMOS!$A:$D,3,0),IFERROR(VLOOKUP($C576,COTAÇÕES!$B:$I,3,0),(VLOOKUP($C576,'INSUMO SINAPI - SP'!$C:$F,3,0)))))</f>
        <v>H</v>
      </c>
      <c r="G576" s="511">
        <v>0.3</v>
      </c>
      <c r="H576" s="512">
        <f>IF($C576="",IFERROR(VLOOKUP($B576,SERVIÇOS!$B:$G,6,0),IFERROR(VLOOKUP($B576,$D:$K,8,0),"")),IFERROR(VLOOKUP($C576,INSUMOS!$A:$D,4,0),IFERROR(VLOOKUP($C576,COTAÇÕES!$B:$I,7,0),(VLOOKUP($C576,'INSUMO SINAPI - SP'!$C:$F,4,0)))))</f>
        <v>29.87</v>
      </c>
      <c r="I576" s="513">
        <f>TRUNC(IF($C576="",IFERROR(VLOOKUP($B576,SERVIÇOS!$B:$G,4,0),IFERROR(VLOOKUP($B576,$D:$K,6,0),)),IFERROR(VLOOKUP($C576,INSUMOS!$A:$D,4,0),IFERROR(VLOOKUP($C576,COTAÇÕES!$B:$I,7,0),(VLOOKUP($C576,'INSUMO SINAPI - SP'!$C:$F,4,0)))))*$G576,2)</f>
        <v>2.78</v>
      </c>
      <c r="J576" s="513">
        <f>TRUNC(IF($C576="",IFERROR(VLOOKUP($B576,SERVIÇOS!$B:$G,5,0),IFERROR(VLOOKUP($B576,$D:$K,7,0),)),0)*$G576,2)</f>
        <v>6.17</v>
      </c>
      <c r="K576" s="514">
        <f>I576+J576</f>
        <v>8.9499999999999993</v>
      </c>
      <c r="L576" s="515"/>
      <c r="M576" s="471"/>
      <c r="N576" s="516"/>
      <c r="Q576" s="472"/>
      <c r="R576" s="472"/>
      <c r="S576" s="472"/>
      <c r="T576" s="472"/>
      <c r="U576" s="472"/>
      <c r="V576" s="472"/>
      <c r="W576" s="472"/>
      <c r="X576" s="472"/>
      <c r="Y576" s="472"/>
    </row>
    <row r="577" spans="1:25" ht="48" x14ac:dyDescent="0.25">
      <c r="A577" s="463"/>
      <c r="B577" s="498"/>
      <c r="C577" s="498"/>
      <c r="D577" s="499" t="s">
        <v>12447</v>
      </c>
      <c r="E577" s="500" t="s">
        <v>12895</v>
      </c>
      <c r="F577" s="501" t="s">
        <v>580</v>
      </c>
      <c r="G577" s="502"/>
      <c r="H577" s="503"/>
      <c r="I577" s="504">
        <f>ROUND(SUM(I578:I580),2)</f>
        <v>40.57</v>
      </c>
      <c r="J577" s="504">
        <f>ROUND(SUM(J578:J580),2)</f>
        <v>15.43</v>
      </c>
      <c r="K577" s="504">
        <f>+J577+I577</f>
        <v>56</v>
      </c>
      <c r="L577" s="523"/>
      <c r="M577" s="471"/>
      <c r="N577" s="505"/>
      <c r="Q577" s="472"/>
      <c r="R577" s="472"/>
      <c r="S577" s="472"/>
      <c r="T577" s="472"/>
      <c r="U577" s="472"/>
      <c r="V577" s="472"/>
      <c r="W577" s="472"/>
      <c r="X577" s="472"/>
      <c r="Y577" s="472"/>
    </row>
    <row r="578" spans="1:25" ht="48" x14ac:dyDescent="0.25">
      <c r="A578" s="463"/>
      <c r="B578" s="506"/>
      <c r="C578" s="507">
        <v>1976</v>
      </c>
      <c r="D578" s="508"/>
      <c r="E578" s="518" t="s">
        <v>12896</v>
      </c>
      <c r="F578" s="519" t="s">
        <v>12894</v>
      </c>
      <c r="G578" s="511">
        <v>1</v>
      </c>
      <c r="H578" s="520">
        <v>35</v>
      </c>
      <c r="I578" s="520">
        <f>TRUNC(H578*G578,2)</f>
        <v>35</v>
      </c>
      <c r="J578" s="521"/>
      <c r="K578" s="522">
        <f>I578+J578</f>
        <v>35</v>
      </c>
      <c r="L578" s="517" t="s">
        <v>12891</v>
      </c>
      <c r="M578" s="471"/>
      <c r="N578" s="516"/>
      <c r="Q578" s="472"/>
      <c r="R578" s="472"/>
      <c r="S578" s="472"/>
      <c r="T578" s="472"/>
      <c r="U578" s="472"/>
      <c r="V578" s="472"/>
      <c r="W578" s="472"/>
      <c r="X578" s="472"/>
      <c r="Y578" s="472"/>
    </row>
    <row r="579" spans="1:25" x14ac:dyDescent="0.25">
      <c r="A579" s="463"/>
      <c r="B579" s="506">
        <v>100308</v>
      </c>
      <c r="C579" s="507"/>
      <c r="D579" s="508"/>
      <c r="E579" s="509" t="str">
        <f>IF($C579="",IFERROR(VLOOKUP($B579,SERVIÇOS!$B:$G,2,0),IFERROR(VLOOKUP($B579,$D:$K,2,0),"")),IFERROR(VLOOKUP($C579,INSUMOS!$A:$D,2,0),IFERROR(VLOOKUP($C579,COTAÇÕES!$B:$I,2,0),(VLOOKUP($C579,'INSUMO SINAPI - SP'!$C:$F,2,0)))))</f>
        <v>MECÂNICO DE REFRIGERAÇÃO COM ENCARGOS COMPLEMENTARES</v>
      </c>
      <c r="F579" s="510" t="str">
        <f>IF($C579="",IFERROR(VLOOKUP($B579,SERVIÇOS!$B:$G,3,0),IFERROR(VLOOKUP($B579,$D:$K,3,0),"")),IFERROR(VLOOKUP($C579,INSUMOS!$A:$D,3,0),IFERROR(VLOOKUP($C579,COTAÇÕES!$B:$I,3,0),(VLOOKUP($C579,'INSUMO SINAPI - SP'!$C:$F,3,0)))))</f>
        <v>H</v>
      </c>
      <c r="G579" s="511">
        <v>0.3</v>
      </c>
      <c r="H579" s="512">
        <f>IF($C579="",IFERROR(VLOOKUP($B579,SERVIÇOS!$B:$G,6,0),IFERROR(VLOOKUP($B579,$D:$K,8,0),"")),IFERROR(VLOOKUP($C579,INSUMOS!$A:$D,4,0),IFERROR(VLOOKUP($C579,COTAÇÕES!$B:$I,7,0),(VLOOKUP($C579,'INSUMO SINAPI - SP'!$C:$F,4,0)))))</f>
        <v>40.19</v>
      </c>
      <c r="I579" s="513">
        <f>TRUNC(IF($C579="",IFERROR(VLOOKUP($B579,SERVIÇOS!$B:$G,4,0),IFERROR(VLOOKUP($B579,$D:$K,6,0),)),IFERROR(VLOOKUP($C579,INSUMOS!$A:$D,4,0),IFERROR(VLOOKUP($C579,COTAÇÕES!$B:$I,7,0),(VLOOKUP($C579,'INSUMO SINAPI - SP'!$C:$F,4,0)))))*$G579,2)</f>
        <v>2.79</v>
      </c>
      <c r="J579" s="513">
        <f>TRUNC(IF($C579="",IFERROR(VLOOKUP($B579,SERVIÇOS!$B:$G,5,0),IFERROR(VLOOKUP($B579,$D:$K,7,0),)),0)*$G579,2)</f>
        <v>9.26</v>
      </c>
      <c r="K579" s="514">
        <f>I579+J579</f>
        <v>12.05</v>
      </c>
      <c r="L579" s="515"/>
      <c r="M579" s="471"/>
      <c r="N579" s="516"/>
      <c r="Q579" s="472"/>
      <c r="R579" s="472"/>
      <c r="S579" s="472"/>
      <c r="T579" s="472"/>
      <c r="U579" s="472"/>
      <c r="V579" s="472"/>
      <c r="W579" s="472"/>
      <c r="X579" s="472"/>
      <c r="Y579" s="472"/>
    </row>
    <row r="580" spans="1:25" x14ac:dyDescent="0.25">
      <c r="A580" s="463"/>
      <c r="B580" s="506">
        <v>88241</v>
      </c>
      <c r="C580" s="507"/>
      <c r="D580" s="508"/>
      <c r="E580" s="509" t="str">
        <f>IF($C580="",IFERROR(VLOOKUP($B580,SERVIÇOS!$B:$G,2,0),IFERROR(VLOOKUP($B580,$D:$K,2,0),"")),IFERROR(VLOOKUP($C580,INSUMOS!$A:$D,2,0),IFERROR(VLOOKUP($C580,COTAÇÕES!$B:$I,2,0),(VLOOKUP($C580,'INSUMO SINAPI - SP'!$C:$F,2,0)))))</f>
        <v>AJUDANTE DE OPERAÇÃO EM GERAL COM ENCARGOS COMPLEMENTARES</v>
      </c>
      <c r="F580" s="510" t="str">
        <f>IF($C580="",IFERROR(VLOOKUP($B580,SERVIÇOS!$B:$G,3,0),IFERROR(VLOOKUP($B580,$D:$K,3,0),"")),IFERROR(VLOOKUP($C580,INSUMOS!$A:$D,3,0),IFERROR(VLOOKUP($C580,COTAÇÕES!$B:$I,3,0),(VLOOKUP($C580,'INSUMO SINAPI - SP'!$C:$F,3,0)))))</f>
        <v>H</v>
      </c>
      <c r="G580" s="511">
        <v>0.3</v>
      </c>
      <c r="H580" s="512">
        <f>IF($C580="",IFERROR(VLOOKUP($B580,SERVIÇOS!$B:$G,6,0),IFERROR(VLOOKUP($B580,$D:$K,8,0),"")),IFERROR(VLOOKUP($C580,INSUMOS!$A:$D,4,0),IFERROR(VLOOKUP($C580,COTAÇÕES!$B:$I,7,0),(VLOOKUP($C580,'INSUMO SINAPI - SP'!$C:$F,4,0)))))</f>
        <v>29.87</v>
      </c>
      <c r="I580" s="513">
        <f>TRUNC(IF($C580="",IFERROR(VLOOKUP($B580,SERVIÇOS!$B:$G,4,0),IFERROR(VLOOKUP($B580,$D:$K,6,0),)),IFERROR(VLOOKUP($C580,INSUMOS!$A:$D,4,0),IFERROR(VLOOKUP($C580,COTAÇÕES!$B:$I,7,0),(VLOOKUP($C580,'INSUMO SINAPI - SP'!$C:$F,4,0)))))*$G580,2)</f>
        <v>2.78</v>
      </c>
      <c r="J580" s="513">
        <f>TRUNC(IF($C580="",IFERROR(VLOOKUP($B580,SERVIÇOS!$B:$G,5,0),IFERROR(VLOOKUP($B580,$D:$K,7,0),)),0)*$G580,2)</f>
        <v>6.17</v>
      </c>
      <c r="K580" s="514">
        <f>I580+J580</f>
        <v>8.9499999999999993</v>
      </c>
      <c r="L580" s="515"/>
      <c r="M580" s="471"/>
      <c r="N580" s="516"/>
      <c r="Q580" s="472"/>
      <c r="R580" s="472"/>
      <c r="S580" s="472"/>
      <c r="T580" s="472"/>
      <c r="U580" s="472"/>
      <c r="V580" s="472"/>
      <c r="W580" s="472"/>
      <c r="X580" s="472"/>
      <c r="Y580" s="472"/>
    </row>
    <row r="581" spans="1:25" ht="24" x14ac:dyDescent="0.25">
      <c r="A581" s="463"/>
      <c r="B581" s="498"/>
      <c r="C581" s="498"/>
      <c r="D581" s="499" t="s">
        <v>12442</v>
      </c>
      <c r="E581" s="500" t="s">
        <v>12897</v>
      </c>
      <c r="F581" s="501" t="s">
        <v>580</v>
      </c>
      <c r="G581" s="502"/>
      <c r="H581" s="503"/>
      <c r="I581" s="504">
        <f>ROUND(SUM(I582:I584),2)</f>
        <v>94.2</v>
      </c>
      <c r="J581" s="504">
        <f>ROUND(SUM(J582:J584),2)</f>
        <v>20.41</v>
      </c>
      <c r="K581" s="504">
        <f>+J581+I581</f>
        <v>114.61</v>
      </c>
      <c r="L581" s="523" t="s">
        <v>12898</v>
      </c>
      <c r="M581" s="471"/>
      <c r="N581" s="505"/>
      <c r="Q581" s="472"/>
      <c r="R581" s="472"/>
      <c r="S581" s="472"/>
      <c r="T581" s="472"/>
      <c r="U581" s="472"/>
      <c r="V581" s="472"/>
      <c r="W581" s="472"/>
      <c r="X581" s="472"/>
      <c r="Y581" s="472"/>
    </row>
    <row r="582" spans="1:25" ht="24" x14ac:dyDescent="0.25">
      <c r="A582" s="463"/>
      <c r="B582" s="506"/>
      <c r="C582" s="507" t="s">
        <v>12899</v>
      </c>
      <c r="D582" s="508"/>
      <c r="E582" s="518" t="s">
        <v>12900</v>
      </c>
      <c r="F582" s="519" t="s">
        <v>578</v>
      </c>
      <c r="G582" s="511">
        <v>0.06</v>
      </c>
      <c r="H582" s="520">
        <v>1447.29</v>
      </c>
      <c r="I582" s="520">
        <f>TRUNC(H582*G582,2)</f>
        <v>86.83</v>
      </c>
      <c r="J582" s="521"/>
      <c r="K582" s="522">
        <f>I582+J582</f>
        <v>86.83</v>
      </c>
      <c r="L582" s="517" t="s">
        <v>12901</v>
      </c>
      <c r="M582" s="471"/>
      <c r="N582" s="516"/>
      <c r="Q582" s="472"/>
      <c r="R582" s="472"/>
      <c r="S582" s="472"/>
      <c r="T582" s="472"/>
      <c r="U582" s="472"/>
      <c r="V582" s="472"/>
      <c r="W582" s="472"/>
      <c r="X582" s="472"/>
      <c r="Y582" s="472"/>
    </row>
    <row r="583" spans="1:25" x14ac:dyDescent="0.25">
      <c r="A583" s="463"/>
      <c r="B583" s="506">
        <v>100308</v>
      </c>
      <c r="C583" s="507"/>
      <c r="D583" s="508"/>
      <c r="E583" s="509" t="str">
        <f>IF($C583="",IFERROR(VLOOKUP($B583,SERVIÇOS!$B:$G,2,0),IFERROR(VLOOKUP($B583,$D:$K,2,0),"")),IFERROR(VLOOKUP($C583,INSUMOS!$A:$D,2,0),IFERROR(VLOOKUP($C583,COTAÇÕES!$B:$I,2,0),(VLOOKUP($C583,'INSUMO SINAPI - SP'!$C:$F,2,0)))))</f>
        <v>MECÂNICO DE REFRIGERAÇÃO COM ENCARGOS COMPLEMENTARES</v>
      </c>
      <c r="F583" s="510" t="str">
        <f>IF($C583="",IFERROR(VLOOKUP($B583,SERVIÇOS!$B:$G,3,0),IFERROR(VLOOKUP($B583,$D:$K,3,0),"")),IFERROR(VLOOKUP($C583,INSUMOS!$A:$D,3,0),IFERROR(VLOOKUP($C583,COTAÇÕES!$B:$I,3,0),(VLOOKUP($C583,'INSUMO SINAPI - SP'!$C:$F,3,0)))))</f>
        <v>H</v>
      </c>
      <c r="G583" s="511">
        <v>0.39674999999999999</v>
      </c>
      <c r="H583" s="512">
        <f>IF($C583="",IFERROR(VLOOKUP($B583,SERVIÇOS!$B:$G,6,0),IFERROR(VLOOKUP($B583,$D:$K,8,0),"")),IFERROR(VLOOKUP($C583,INSUMOS!$A:$D,4,0),IFERROR(VLOOKUP($C583,COTAÇÕES!$B:$I,7,0),(VLOOKUP($C583,'INSUMO SINAPI - SP'!$C:$F,4,0)))))</f>
        <v>40.19</v>
      </c>
      <c r="I583" s="513">
        <f>TRUNC(IF($C583="",IFERROR(VLOOKUP($B583,SERVIÇOS!$B:$G,4,0),IFERROR(VLOOKUP($B583,$D:$K,6,0),)),IFERROR(VLOOKUP($C583,INSUMOS!$A:$D,4,0),IFERROR(VLOOKUP($C583,COTAÇÕES!$B:$I,7,0),(VLOOKUP($C583,'INSUMO SINAPI - SP'!$C:$F,4,0)))))*$G583,2)</f>
        <v>3.69</v>
      </c>
      <c r="J583" s="513">
        <f>TRUNC(IF($C583="",IFERROR(VLOOKUP($B583,SERVIÇOS!$B:$G,5,0),IFERROR(VLOOKUP($B583,$D:$K,7,0),)),0)*$G583,2)</f>
        <v>12.25</v>
      </c>
      <c r="K583" s="514">
        <f>I583+J583</f>
        <v>15.94</v>
      </c>
      <c r="L583" s="515"/>
      <c r="M583" s="471"/>
      <c r="N583" s="516"/>
      <c r="Q583" s="472"/>
      <c r="R583" s="472"/>
      <c r="S583" s="472"/>
      <c r="T583" s="472"/>
      <c r="U583" s="472"/>
      <c r="V583" s="472"/>
      <c r="W583" s="472"/>
      <c r="X583" s="472"/>
      <c r="Y583" s="472"/>
    </row>
    <row r="584" spans="1:25" x14ac:dyDescent="0.25">
      <c r="A584" s="463"/>
      <c r="B584" s="506">
        <v>88241</v>
      </c>
      <c r="C584" s="507"/>
      <c r="D584" s="508"/>
      <c r="E584" s="509" t="str">
        <f>IF($C584="",IFERROR(VLOOKUP($B584,SERVIÇOS!$B:$G,2,0),IFERROR(VLOOKUP($B584,$D:$K,2,0),"")),IFERROR(VLOOKUP($C584,INSUMOS!$A:$D,2,0),IFERROR(VLOOKUP($C584,COTAÇÕES!$B:$I,2,0),(VLOOKUP($C584,'INSUMO SINAPI - SP'!$C:$F,2,0)))))</f>
        <v>AJUDANTE DE OPERAÇÃO EM GERAL COM ENCARGOS COMPLEMENTARES</v>
      </c>
      <c r="F584" s="510" t="str">
        <f>IF($C584="",IFERROR(VLOOKUP($B584,SERVIÇOS!$B:$G,3,0),IFERROR(VLOOKUP($B584,$D:$K,3,0),"")),IFERROR(VLOOKUP($C584,INSUMOS!$A:$D,3,0),IFERROR(VLOOKUP($C584,COTAÇÕES!$B:$I,3,0),(VLOOKUP($C584,'INSUMO SINAPI - SP'!$C:$F,3,0)))))</f>
        <v>H</v>
      </c>
      <c r="G584" s="511">
        <v>0.39674999999999999</v>
      </c>
      <c r="H584" s="512">
        <f>IF($C584="",IFERROR(VLOOKUP($B584,SERVIÇOS!$B:$G,6,0),IFERROR(VLOOKUP($B584,$D:$K,8,0),"")),IFERROR(VLOOKUP($C584,INSUMOS!$A:$D,4,0),IFERROR(VLOOKUP($C584,COTAÇÕES!$B:$I,7,0),(VLOOKUP($C584,'INSUMO SINAPI - SP'!$C:$F,4,0)))))</f>
        <v>29.87</v>
      </c>
      <c r="I584" s="513">
        <f>TRUNC(IF($C584="",IFERROR(VLOOKUP($B584,SERVIÇOS!$B:$G,4,0),IFERROR(VLOOKUP($B584,$D:$K,6,0),)),IFERROR(VLOOKUP($C584,INSUMOS!$A:$D,4,0),IFERROR(VLOOKUP($C584,COTAÇÕES!$B:$I,7,0),(VLOOKUP($C584,'INSUMO SINAPI - SP'!$C:$F,4,0)))))*$G584,2)</f>
        <v>3.68</v>
      </c>
      <c r="J584" s="513">
        <f>TRUNC(IF($C584="",IFERROR(VLOOKUP($B584,SERVIÇOS!$B:$G,5,0),IFERROR(VLOOKUP($B584,$D:$K,7,0),)),0)*$G584,2)</f>
        <v>8.16</v>
      </c>
      <c r="K584" s="514">
        <f>I584+J584</f>
        <v>11.84</v>
      </c>
      <c r="L584" s="515"/>
      <c r="M584" s="471"/>
      <c r="N584" s="516"/>
      <c r="Q584" s="472"/>
      <c r="R584" s="472"/>
      <c r="S584" s="472"/>
      <c r="T584" s="472"/>
      <c r="U584" s="472"/>
      <c r="V584" s="472"/>
      <c r="W584" s="472"/>
      <c r="X584" s="472"/>
      <c r="Y584" s="472"/>
    </row>
    <row r="585" spans="1:25" x14ac:dyDescent="0.25">
      <c r="A585" s="463"/>
      <c r="B585" s="498"/>
      <c r="C585" s="498"/>
      <c r="D585" s="499" t="s">
        <v>12489</v>
      </c>
      <c r="E585" s="500" t="s">
        <v>12902</v>
      </c>
      <c r="F585" s="501" t="s">
        <v>585</v>
      </c>
      <c r="G585" s="502"/>
      <c r="H585" s="503"/>
      <c r="I585" s="504">
        <f>ROUND(SUM(I586:I588),2)</f>
        <v>31.66</v>
      </c>
      <c r="J585" s="504">
        <f>ROUND(SUM(J586:J588),2)</f>
        <v>14.97</v>
      </c>
      <c r="K585" s="504">
        <f>+J585+I585</f>
        <v>46.63</v>
      </c>
      <c r="L585" s="523" t="s">
        <v>12903</v>
      </c>
      <c r="M585" s="471"/>
      <c r="N585" s="505"/>
      <c r="Q585" s="472"/>
      <c r="R585" s="472"/>
      <c r="S585" s="472"/>
      <c r="T585" s="472"/>
      <c r="U585" s="472"/>
      <c r="V585" s="472"/>
      <c r="W585" s="472"/>
      <c r="X585" s="472"/>
      <c r="Y585" s="472"/>
    </row>
    <row r="586" spans="1:25" x14ac:dyDescent="0.25">
      <c r="A586" s="463"/>
      <c r="B586" s="506">
        <v>88251</v>
      </c>
      <c r="C586" s="507"/>
      <c r="D586" s="508"/>
      <c r="E586" s="509" t="str">
        <f>IF($C586="",IFERROR(VLOOKUP($B586,SERVIÇOS!$B:$G,2,0),IFERROR(VLOOKUP($B586,$D:$K,2,0),"")),IFERROR(VLOOKUP($C586,INSUMOS!$A:$D,2,0),IFERROR(VLOOKUP($C586,COTAÇÕES!$B:$I,2,0),(VLOOKUP($C586,'INSUMO SINAPI - SP'!$C:$F,2,0)))))</f>
        <v>AUXILIAR DE SERRALHEIRO COM ENCARGOS COMPLEMENTARES</v>
      </c>
      <c r="F586" s="510" t="str">
        <f>IF($C586="",IFERROR(VLOOKUP($B586,SERVIÇOS!$B:$G,3,0),IFERROR(VLOOKUP($B586,$D:$K,3,0),"")),IFERROR(VLOOKUP($C586,INSUMOS!$A:$D,3,0),IFERROR(VLOOKUP($C586,COTAÇÕES!$B:$I,3,0),(VLOOKUP($C586,'INSUMO SINAPI - SP'!$C:$F,3,0)))))</f>
        <v>H</v>
      </c>
      <c r="G586" s="511">
        <v>0.28899999999999998</v>
      </c>
      <c r="H586" s="512">
        <f>IF($C586="",IFERROR(VLOOKUP($B586,SERVIÇOS!$B:$G,6,0),IFERROR(VLOOKUP($B586,$D:$K,8,0),"")),IFERROR(VLOOKUP($C586,INSUMOS!$A:$D,4,0),IFERROR(VLOOKUP($C586,COTAÇÕES!$B:$I,7,0),(VLOOKUP($C586,'INSUMO SINAPI - SP'!$C:$F,4,0)))))</f>
        <v>30.23</v>
      </c>
      <c r="I586" s="513">
        <f>TRUNC(IF($C586="",IFERROR(VLOOKUP($B586,SERVIÇOS!$B:$G,4,0),IFERROR(VLOOKUP($B586,$D:$K,6,0),)),IFERROR(VLOOKUP($C586,INSUMOS!$A:$D,4,0),IFERROR(VLOOKUP($C586,COTAÇÕES!$B:$I,7,0),(VLOOKUP($C586,'INSUMO SINAPI - SP'!$C:$F,4,0)))))*$G586,2)</f>
        <v>2.68</v>
      </c>
      <c r="J586" s="513">
        <f>TRUNC(IF($C586="",IFERROR(VLOOKUP($B586,SERVIÇOS!$B:$G,5,0),IFERROR(VLOOKUP($B586,$D:$K,7,0),)),0)*$G586,2)</f>
        <v>6.05</v>
      </c>
      <c r="K586" s="514">
        <f>I586+J586</f>
        <v>8.73</v>
      </c>
      <c r="L586" s="515"/>
      <c r="M586" s="471"/>
      <c r="N586" s="516"/>
      <c r="Q586" s="472"/>
      <c r="R586" s="472"/>
      <c r="S586" s="472"/>
      <c r="T586" s="472"/>
      <c r="U586" s="472"/>
      <c r="V586" s="472"/>
      <c r="W586" s="472"/>
      <c r="X586" s="472"/>
      <c r="Y586" s="472"/>
    </row>
    <row r="587" spans="1:25" x14ac:dyDescent="0.25">
      <c r="A587" s="463"/>
      <c r="B587" s="506">
        <v>100308</v>
      </c>
      <c r="C587" s="507"/>
      <c r="D587" s="508"/>
      <c r="E587" s="509" t="str">
        <f>IF($C587="",IFERROR(VLOOKUP($B587,SERVIÇOS!$B:$G,2,0),IFERROR(VLOOKUP($B587,$D:$K,2,0),"")),IFERROR(VLOOKUP($C587,INSUMOS!$A:$D,2,0),IFERROR(VLOOKUP($C587,COTAÇÕES!$B:$I,2,0),(VLOOKUP($C587,'INSUMO SINAPI - SP'!$C:$F,2,0)))))</f>
        <v>MECÂNICO DE REFRIGERAÇÃO COM ENCARGOS COMPLEMENTARES</v>
      </c>
      <c r="F587" s="510" t="str">
        <f>IF($C587="",IFERROR(VLOOKUP($B587,SERVIÇOS!$B:$G,3,0),IFERROR(VLOOKUP($B587,$D:$K,3,0),"")),IFERROR(VLOOKUP($C587,INSUMOS!$A:$D,3,0),IFERROR(VLOOKUP($C587,COTAÇÕES!$B:$I,3,0),(VLOOKUP($C587,'INSUMO SINAPI - SP'!$C:$F,3,0)))))</f>
        <v>H</v>
      </c>
      <c r="G587" s="511">
        <v>0.28899999999999998</v>
      </c>
      <c r="H587" s="512">
        <f>IF($C587="",IFERROR(VLOOKUP($B587,SERVIÇOS!$B:$G,6,0),IFERROR(VLOOKUP($B587,$D:$K,8,0),"")),IFERROR(VLOOKUP($C587,INSUMOS!$A:$D,4,0),IFERROR(VLOOKUP($C587,COTAÇÕES!$B:$I,7,0),(VLOOKUP($C587,'INSUMO SINAPI - SP'!$C:$F,4,0)))))</f>
        <v>40.19</v>
      </c>
      <c r="I587" s="513">
        <f>TRUNC(IF($C587="",IFERROR(VLOOKUP($B587,SERVIÇOS!$B:$G,4,0),IFERROR(VLOOKUP($B587,$D:$K,6,0),)),IFERROR(VLOOKUP($C587,INSUMOS!$A:$D,4,0),IFERROR(VLOOKUP($C587,COTAÇÕES!$B:$I,7,0),(VLOOKUP($C587,'INSUMO SINAPI - SP'!$C:$F,4,0)))))*$G587,2)</f>
        <v>2.69</v>
      </c>
      <c r="J587" s="513">
        <f>TRUNC(IF($C587="",IFERROR(VLOOKUP($B587,SERVIÇOS!$B:$G,5,0),IFERROR(VLOOKUP($B587,$D:$K,7,0),)),0)*$G587,2)</f>
        <v>8.92</v>
      </c>
      <c r="K587" s="514">
        <f>I587+J587</f>
        <v>11.61</v>
      </c>
      <c r="L587" s="515"/>
      <c r="M587" s="471"/>
      <c r="N587" s="516"/>
      <c r="Q587" s="472"/>
      <c r="R587" s="472"/>
      <c r="S587" s="472"/>
      <c r="T587" s="472"/>
      <c r="U587" s="472"/>
      <c r="V587" s="472"/>
      <c r="W587" s="472"/>
      <c r="X587" s="472"/>
      <c r="Y587" s="472"/>
    </row>
    <row r="588" spans="1:25" x14ac:dyDescent="0.25">
      <c r="A588" s="463"/>
      <c r="B588" s="506"/>
      <c r="C588" s="507" t="s">
        <v>12904</v>
      </c>
      <c r="D588" s="508"/>
      <c r="E588" s="518" t="s">
        <v>12905</v>
      </c>
      <c r="F588" s="519" t="s">
        <v>585</v>
      </c>
      <c r="G588" s="511">
        <v>1.2</v>
      </c>
      <c r="H588" s="520">
        <v>21.91</v>
      </c>
      <c r="I588" s="520">
        <f>TRUNC(H588*G588,2)</f>
        <v>26.29</v>
      </c>
      <c r="J588" s="521"/>
      <c r="K588" s="522">
        <f>I588+J588</f>
        <v>26.29</v>
      </c>
      <c r="L588" s="517" t="s">
        <v>12668</v>
      </c>
      <c r="M588" s="471"/>
      <c r="N588" s="516"/>
      <c r="Q588" s="472"/>
      <c r="R588" s="472"/>
      <c r="S588" s="472"/>
      <c r="T588" s="472"/>
      <c r="U588" s="472"/>
      <c r="V588" s="472"/>
      <c r="W588" s="472"/>
      <c r="X588" s="472"/>
      <c r="Y588" s="472"/>
    </row>
    <row r="589" spans="1:25" x14ac:dyDescent="0.25">
      <c r="A589" s="463"/>
      <c r="B589" s="498"/>
      <c r="C589" s="498"/>
      <c r="D589" s="499" t="s">
        <v>12490</v>
      </c>
      <c r="E589" s="500" t="s">
        <v>12906</v>
      </c>
      <c r="F589" s="501" t="s">
        <v>585</v>
      </c>
      <c r="G589" s="502"/>
      <c r="H589" s="503"/>
      <c r="I589" s="504">
        <f>ROUND(SUM(I590:I592),2)</f>
        <v>44.17</v>
      </c>
      <c r="J589" s="504">
        <f>ROUND(SUM(J590:J592),2)</f>
        <v>14.97</v>
      </c>
      <c r="K589" s="504">
        <f>+J589+I589</f>
        <v>59.14</v>
      </c>
      <c r="L589" s="523" t="s">
        <v>12907</v>
      </c>
      <c r="M589" s="471"/>
      <c r="N589" s="505"/>
      <c r="Q589" s="472"/>
      <c r="R589" s="472"/>
      <c r="S589" s="472"/>
      <c r="T589" s="472"/>
      <c r="U589" s="472"/>
      <c r="V589" s="472"/>
      <c r="W589" s="472"/>
      <c r="X589" s="472"/>
      <c r="Y589" s="472"/>
    </row>
    <row r="590" spans="1:25" x14ac:dyDescent="0.25">
      <c r="A590" s="463"/>
      <c r="B590" s="506">
        <v>88251</v>
      </c>
      <c r="C590" s="507"/>
      <c r="D590" s="508"/>
      <c r="E590" s="509" t="str">
        <f>IF($C590="",IFERROR(VLOOKUP($B590,SERVIÇOS!$B:$G,2,0),IFERROR(VLOOKUP($B590,$D:$K,2,0),"")),IFERROR(VLOOKUP($C590,INSUMOS!$A:$D,2,0),IFERROR(VLOOKUP($C590,COTAÇÕES!$B:$I,2,0),(VLOOKUP($C590,'INSUMO SINAPI - SP'!$C:$F,2,0)))))</f>
        <v>AUXILIAR DE SERRALHEIRO COM ENCARGOS COMPLEMENTARES</v>
      </c>
      <c r="F590" s="510" t="str">
        <f>IF($C590="",IFERROR(VLOOKUP($B590,SERVIÇOS!$B:$G,3,0),IFERROR(VLOOKUP($B590,$D:$K,3,0),"")),IFERROR(VLOOKUP($C590,INSUMOS!$A:$D,3,0),IFERROR(VLOOKUP($C590,COTAÇÕES!$B:$I,3,0),(VLOOKUP($C590,'INSUMO SINAPI - SP'!$C:$F,3,0)))))</f>
        <v>H</v>
      </c>
      <c r="G590" s="511">
        <v>0.28899999999999998</v>
      </c>
      <c r="H590" s="512">
        <f>IF($C590="",IFERROR(VLOOKUP($B590,SERVIÇOS!$B:$G,6,0),IFERROR(VLOOKUP($B590,$D:$K,8,0),"")),IFERROR(VLOOKUP($C590,INSUMOS!$A:$D,4,0),IFERROR(VLOOKUP($C590,COTAÇÕES!$B:$I,7,0),(VLOOKUP($C590,'INSUMO SINAPI - SP'!$C:$F,4,0)))))</f>
        <v>30.23</v>
      </c>
      <c r="I590" s="513">
        <f>TRUNC(IF($C590="",IFERROR(VLOOKUP($B590,SERVIÇOS!$B:$G,4,0),IFERROR(VLOOKUP($B590,$D:$K,6,0),)),IFERROR(VLOOKUP($C590,INSUMOS!$A:$D,4,0),IFERROR(VLOOKUP($C590,COTAÇÕES!$B:$I,7,0),(VLOOKUP($C590,'INSUMO SINAPI - SP'!$C:$F,4,0)))))*$G590,2)</f>
        <v>2.68</v>
      </c>
      <c r="J590" s="513">
        <f>TRUNC(IF($C590="",IFERROR(VLOOKUP($B590,SERVIÇOS!$B:$G,5,0),IFERROR(VLOOKUP($B590,$D:$K,7,0),)),0)*$G590,2)</f>
        <v>6.05</v>
      </c>
      <c r="K590" s="514">
        <f>I590+J590</f>
        <v>8.73</v>
      </c>
      <c r="L590" s="515"/>
      <c r="M590" s="471"/>
      <c r="N590" s="516"/>
      <c r="Q590" s="472"/>
      <c r="R590" s="472"/>
      <c r="S590" s="472"/>
      <c r="T590" s="472"/>
      <c r="U590" s="472"/>
      <c r="V590" s="472"/>
      <c r="W590" s="472"/>
      <c r="X590" s="472"/>
      <c r="Y590" s="472"/>
    </row>
    <row r="591" spans="1:25" x14ac:dyDescent="0.25">
      <c r="A591" s="463"/>
      <c r="B591" s="506">
        <v>100308</v>
      </c>
      <c r="C591" s="507"/>
      <c r="D591" s="508"/>
      <c r="E591" s="509" t="str">
        <f>IF($C591="",IFERROR(VLOOKUP($B591,SERVIÇOS!$B:$G,2,0),IFERROR(VLOOKUP($B591,$D:$K,2,0),"")),IFERROR(VLOOKUP($C591,INSUMOS!$A:$D,2,0),IFERROR(VLOOKUP($C591,COTAÇÕES!$B:$I,2,0),(VLOOKUP($C591,'INSUMO SINAPI - SP'!$C:$F,2,0)))))</f>
        <v>MECÂNICO DE REFRIGERAÇÃO COM ENCARGOS COMPLEMENTARES</v>
      </c>
      <c r="F591" s="510" t="str">
        <f>IF($C591="",IFERROR(VLOOKUP($B591,SERVIÇOS!$B:$G,3,0),IFERROR(VLOOKUP($B591,$D:$K,3,0),"")),IFERROR(VLOOKUP($C591,INSUMOS!$A:$D,3,0),IFERROR(VLOOKUP($C591,COTAÇÕES!$B:$I,3,0),(VLOOKUP($C591,'INSUMO SINAPI - SP'!$C:$F,3,0)))))</f>
        <v>H</v>
      </c>
      <c r="G591" s="511">
        <v>0.28899999999999998</v>
      </c>
      <c r="H591" s="512">
        <f>IF($C591="",IFERROR(VLOOKUP($B591,SERVIÇOS!$B:$G,6,0),IFERROR(VLOOKUP($B591,$D:$K,8,0),"")),IFERROR(VLOOKUP($C591,INSUMOS!$A:$D,4,0),IFERROR(VLOOKUP($C591,COTAÇÕES!$B:$I,7,0),(VLOOKUP($C591,'INSUMO SINAPI - SP'!$C:$F,4,0)))))</f>
        <v>40.19</v>
      </c>
      <c r="I591" s="513">
        <f>TRUNC(IF($C591="",IFERROR(VLOOKUP($B591,SERVIÇOS!$B:$G,4,0),IFERROR(VLOOKUP($B591,$D:$K,6,0),)),IFERROR(VLOOKUP($C591,INSUMOS!$A:$D,4,0),IFERROR(VLOOKUP($C591,COTAÇÕES!$B:$I,7,0),(VLOOKUP($C591,'INSUMO SINAPI - SP'!$C:$F,4,0)))))*$G591,2)</f>
        <v>2.69</v>
      </c>
      <c r="J591" s="513">
        <f>TRUNC(IF($C591="",IFERROR(VLOOKUP($B591,SERVIÇOS!$B:$G,5,0),IFERROR(VLOOKUP($B591,$D:$K,7,0),)),0)*$G591,2)</f>
        <v>8.92</v>
      </c>
      <c r="K591" s="514">
        <f>I591+J591</f>
        <v>11.61</v>
      </c>
      <c r="L591" s="515"/>
      <c r="M591" s="471"/>
      <c r="N591" s="516"/>
      <c r="Q591" s="472"/>
      <c r="R591" s="472"/>
      <c r="S591" s="472"/>
      <c r="T591" s="472"/>
      <c r="U591" s="472"/>
      <c r="V591" s="472"/>
      <c r="W591" s="472"/>
      <c r="X591" s="472"/>
      <c r="Y591" s="472"/>
    </row>
    <row r="592" spans="1:25" x14ac:dyDescent="0.25">
      <c r="A592" s="463"/>
      <c r="B592" s="506"/>
      <c r="C592" s="507" t="s">
        <v>12908</v>
      </c>
      <c r="D592" s="508"/>
      <c r="E592" s="518" t="s">
        <v>12909</v>
      </c>
      <c r="F592" s="519" t="s">
        <v>585</v>
      </c>
      <c r="G592" s="511">
        <v>1.2</v>
      </c>
      <c r="H592" s="520">
        <v>32.340000000000003</v>
      </c>
      <c r="I592" s="520">
        <f>TRUNC(H592*G592,2)</f>
        <v>38.799999999999997</v>
      </c>
      <c r="J592" s="521"/>
      <c r="K592" s="522">
        <f>I592+J592</f>
        <v>38.799999999999997</v>
      </c>
      <c r="L592" s="517" t="s">
        <v>12668</v>
      </c>
      <c r="M592" s="471"/>
      <c r="N592" s="516"/>
      <c r="Q592" s="472"/>
      <c r="R592" s="472"/>
      <c r="S592" s="472"/>
      <c r="T592" s="472"/>
      <c r="U592" s="472"/>
      <c r="V592" s="472"/>
      <c r="W592" s="472"/>
      <c r="X592" s="472"/>
      <c r="Y592" s="472"/>
    </row>
    <row r="593" spans="1:25" x14ac:dyDescent="0.25">
      <c r="A593" s="463"/>
      <c r="B593" s="498"/>
      <c r="C593" s="498"/>
      <c r="D593" s="499" t="s">
        <v>12491</v>
      </c>
      <c r="E593" s="500" t="s">
        <v>12910</v>
      </c>
      <c r="F593" s="501" t="s">
        <v>585</v>
      </c>
      <c r="G593" s="502"/>
      <c r="H593" s="503"/>
      <c r="I593" s="504">
        <f>ROUND(SUM(I594:I596),2)</f>
        <v>38.46</v>
      </c>
      <c r="J593" s="504">
        <f>ROUND(SUM(J594:J596),2)</f>
        <v>14.97</v>
      </c>
      <c r="K593" s="504">
        <f>+J593+I593</f>
        <v>53.43</v>
      </c>
      <c r="L593" s="523" t="s">
        <v>12907</v>
      </c>
      <c r="M593" s="471"/>
      <c r="N593" s="505"/>
      <c r="Q593" s="472"/>
      <c r="R593" s="472"/>
      <c r="S593" s="472"/>
      <c r="T593" s="472"/>
      <c r="U593" s="472"/>
      <c r="V593" s="472"/>
      <c r="W593" s="472"/>
      <c r="X593" s="472"/>
      <c r="Y593" s="472"/>
    </row>
    <row r="594" spans="1:25" x14ac:dyDescent="0.25">
      <c r="A594" s="463"/>
      <c r="B594" s="506">
        <v>88251</v>
      </c>
      <c r="C594" s="507"/>
      <c r="D594" s="508"/>
      <c r="E594" s="509" t="str">
        <f>IF($C594="",IFERROR(VLOOKUP($B594,SERVIÇOS!$B:$G,2,0),IFERROR(VLOOKUP($B594,$D:$K,2,0),"")),IFERROR(VLOOKUP($C594,INSUMOS!$A:$D,2,0),IFERROR(VLOOKUP($C594,COTAÇÕES!$B:$I,2,0),(VLOOKUP($C594,'INSUMO SINAPI - SP'!$C:$F,2,0)))))</f>
        <v>AUXILIAR DE SERRALHEIRO COM ENCARGOS COMPLEMENTARES</v>
      </c>
      <c r="F594" s="510" t="str">
        <f>IF($C594="",IFERROR(VLOOKUP($B594,SERVIÇOS!$B:$G,3,0),IFERROR(VLOOKUP($B594,$D:$K,3,0),"")),IFERROR(VLOOKUP($C594,INSUMOS!$A:$D,3,0),IFERROR(VLOOKUP($C594,COTAÇÕES!$B:$I,3,0),(VLOOKUP($C594,'INSUMO SINAPI - SP'!$C:$F,3,0)))))</f>
        <v>H</v>
      </c>
      <c r="G594" s="511">
        <v>0.28899999999999998</v>
      </c>
      <c r="H594" s="512">
        <f>IF($C594="",IFERROR(VLOOKUP($B594,SERVIÇOS!$B:$G,6,0),IFERROR(VLOOKUP($B594,$D:$K,8,0),"")),IFERROR(VLOOKUP($C594,INSUMOS!$A:$D,4,0),IFERROR(VLOOKUP($C594,COTAÇÕES!$B:$I,7,0),(VLOOKUP($C594,'INSUMO SINAPI - SP'!$C:$F,4,0)))))</f>
        <v>30.23</v>
      </c>
      <c r="I594" s="513">
        <f>TRUNC(IF($C594="",IFERROR(VLOOKUP($B594,SERVIÇOS!$B:$G,4,0),IFERROR(VLOOKUP($B594,$D:$K,6,0),)),IFERROR(VLOOKUP($C594,INSUMOS!$A:$D,4,0),IFERROR(VLOOKUP($C594,COTAÇÕES!$B:$I,7,0),(VLOOKUP($C594,'INSUMO SINAPI - SP'!$C:$F,4,0)))))*$G594,2)</f>
        <v>2.68</v>
      </c>
      <c r="J594" s="513">
        <f>TRUNC(IF($C594="",IFERROR(VLOOKUP($B594,SERVIÇOS!$B:$G,5,0),IFERROR(VLOOKUP($B594,$D:$K,7,0),)),0)*$G594,2)</f>
        <v>6.05</v>
      </c>
      <c r="K594" s="514">
        <f>I594+J594</f>
        <v>8.73</v>
      </c>
      <c r="L594" s="515"/>
      <c r="M594" s="471"/>
      <c r="N594" s="516"/>
      <c r="Q594" s="472"/>
      <c r="R594" s="472"/>
      <c r="S594" s="472"/>
      <c r="T594" s="472"/>
      <c r="U594" s="472"/>
      <c r="V594" s="472"/>
      <c r="W594" s="472"/>
      <c r="X594" s="472"/>
      <c r="Y594" s="472"/>
    </row>
    <row r="595" spans="1:25" x14ac:dyDescent="0.25">
      <c r="A595" s="463"/>
      <c r="B595" s="506">
        <v>100308</v>
      </c>
      <c r="C595" s="507"/>
      <c r="D595" s="508"/>
      <c r="E595" s="509" t="str">
        <f>IF($C595="",IFERROR(VLOOKUP($B595,SERVIÇOS!$B:$G,2,0),IFERROR(VLOOKUP($B595,$D:$K,2,0),"")),IFERROR(VLOOKUP($C595,INSUMOS!$A:$D,2,0),IFERROR(VLOOKUP($C595,COTAÇÕES!$B:$I,2,0),(VLOOKUP($C595,'INSUMO SINAPI - SP'!$C:$F,2,0)))))</f>
        <v>MECÂNICO DE REFRIGERAÇÃO COM ENCARGOS COMPLEMENTARES</v>
      </c>
      <c r="F595" s="510" t="str">
        <f>IF($C595="",IFERROR(VLOOKUP($B595,SERVIÇOS!$B:$G,3,0),IFERROR(VLOOKUP($B595,$D:$K,3,0),"")),IFERROR(VLOOKUP($C595,INSUMOS!$A:$D,3,0),IFERROR(VLOOKUP($C595,COTAÇÕES!$B:$I,3,0),(VLOOKUP($C595,'INSUMO SINAPI - SP'!$C:$F,3,0)))))</f>
        <v>H</v>
      </c>
      <c r="G595" s="511">
        <v>0.28899999999999998</v>
      </c>
      <c r="H595" s="512">
        <f>IF($C595="",IFERROR(VLOOKUP($B595,SERVIÇOS!$B:$G,6,0),IFERROR(VLOOKUP($B595,$D:$K,8,0),"")),IFERROR(VLOOKUP($C595,INSUMOS!$A:$D,4,0),IFERROR(VLOOKUP($C595,COTAÇÕES!$B:$I,7,0),(VLOOKUP($C595,'INSUMO SINAPI - SP'!$C:$F,4,0)))))</f>
        <v>40.19</v>
      </c>
      <c r="I595" s="513">
        <f>TRUNC(IF($C595="",IFERROR(VLOOKUP($B595,SERVIÇOS!$B:$G,4,0),IFERROR(VLOOKUP($B595,$D:$K,6,0),)),IFERROR(VLOOKUP($C595,INSUMOS!$A:$D,4,0),IFERROR(VLOOKUP($C595,COTAÇÕES!$B:$I,7,0),(VLOOKUP($C595,'INSUMO SINAPI - SP'!$C:$F,4,0)))))*$G595,2)</f>
        <v>2.69</v>
      </c>
      <c r="J595" s="513">
        <f>TRUNC(IF($C595="",IFERROR(VLOOKUP($B595,SERVIÇOS!$B:$G,5,0),IFERROR(VLOOKUP($B595,$D:$K,7,0),)),0)*$G595,2)</f>
        <v>8.92</v>
      </c>
      <c r="K595" s="514">
        <f>I595+J595</f>
        <v>11.61</v>
      </c>
      <c r="L595" s="515"/>
      <c r="M595" s="471"/>
      <c r="N595" s="516"/>
      <c r="Q595" s="472"/>
      <c r="R595" s="472"/>
      <c r="S595" s="472"/>
      <c r="T595" s="472"/>
      <c r="U595" s="472"/>
      <c r="V595" s="472"/>
      <c r="W595" s="472"/>
      <c r="X595" s="472"/>
      <c r="Y595" s="472"/>
    </row>
    <row r="596" spans="1:25" x14ac:dyDescent="0.25">
      <c r="A596" s="463"/>
      <c r="B596" s="506"/>
      <c r="C596" s="554" t="s">
        <v>12911</v>
      </c>
      <c r="D596" s="508"/>
      <c r="E596" s="518" t="s">
        <v>12909</v>
      </c>
      <c r="F596" s="519" t="s">
        <v>585</v>
      </c>
      <c r="G596" s="511">
        <v>1.2</v>
      </c>
      <c r="H596" s="520">
        <v>27.58</v>
      </c>
      <c r="I596" s="520">
        <f>TRUNC(H596*G596,2)</f>
        <v>33.090000000000003</v>
      </c>
      <c r="J596" s="521"/>
      <c r="K596" s="522">
        <f>I596+J596</f>
        <v>33.090000000000003</v>
      </c>
      <c r="L596" s="517" t="s">
        <v>12668</v>
      </c>
      <c r="M596" s="471"/>
      <c r="N596" s="516"/>
      <c r="Q596" s="472"/>
      <c r="R596" s="472"/>
      <c r="S596" s="472"/>
      <c r="T596" s="472"/>
      <c r="U596" s="472"/>
      <c r="V596" s="472"/>
      <c r="W596" s="472"/>
      <c r="X596" s="472"/>
      <c r="Y596" s="472"/>
    </row>
    <row r="597" spans="1:25" x14ac:dyDescent="0.25">
      <c r="A597" s="463"/>
      <c r="B597" s="498"/>
      <c r="C597" s="498"/>
      <c r="D597" s="499" t="s">
        <v>12330</v>
      </c>
      <c r="E597" s="555" t="s">
        <v>12912</v>
      </c>
      <c r="F597" s="501" t="s">
        <v>580</v>
      </c>
      <c r="G597" s="502"/>
      <c r="H597" s="503"/>
      <c r="I597" s="504">
        <f>ROUND(SUM(I598:I601),2)</f>
        <v>119.43</v>
      </c>
      <c r="J597" s="504">
        <f>ROUND(SUM(J598:J601),2)</f>
        <v>9.64</v>
      </c>
      <c r="K597" s="504">
        <f>+J597+I597</f>
        <v>129.07</v>
      </c>
      <c r="L597" s="523" t="s">
        <v>12913</v>
      </c>
      <c r="M597" s="471"/>
      <c r="N597" s="505"/>
      <c r="Q597" s="472"/>
      <c r="R597" s="472"/>
      <c r="S597" s="472"/>
      <c r="T597" s="472"/>
      <c r="U597" s="472"/>
      <c r="V597" s="472"/>
      <c r="W597" s="472"/>
      <c r="X597" s="472"/>
      <c r="Y597" s="472"/>
    </row>
    <row r="598" spans="1:25" x14ac:dyDescent="0.25">
      <c r="A598" s="463"/>
      <c r="B598" s="506">
        <v>88309</v>
      </c>
      <c r="C598" s="507"/>
      <c r="D598" s="508"/>
      <c r="E598" s="509" t="str">
        <f>IF($C598="",IFERROR(VLOOKUP($B598,SERVIÇOS!$B:$G,2,0),IFERROR(VLOOKUP($B598,$D:$K,2,0),"")),IFERROR(VLOOKUP($C598,INSUMOS!$A:$D,2,0),IFERROR(VLOOKUP($C598,COTAÇÕES!$B:$I,2,0),(VLOOKUP($C598,'INSUMO SINAPI - SP'!$C:$F,2,0)))))</f>
        <v>PEDREIRO COM ENCARGOS COMPLEMENTARES</v>
      </c>
      <c r="F598" s="510" t="str">
        <f>IF($C598="",IFERROR(VLOOKUP($B598,SERVIÇOS!$B:$G,3,0),IFERROR(VLOOKUP($B598,$D:$K,3,0),"")),IFERROR(VLOOKUP($C598,INSUMOS!$A:$D,3,0),IFERROR(VLOOKUP($C598,COTAÇÕES!$B:$I,3,0),(VLOOKUP($C598,'INSUMO SINAPI - SP'!$C:$F,3,0)))))</f>
        <v>H</v>
      </c>
      <c r="G598" s="511">
        <v>0.16930000000000001</v>
      </c>
      <c r="H598" s="512">
        <f>IF($C598="",IFERROR(VLOOKUP($B598,SERVIÇOS!$B:$G,6,0),IFERROR(VLOOKUP($B598,$D:$K,8,0),"")),IFERROR(VLOOKUP($C598,INSUMOS!$A:$D,4,0),IFERROR(VLOOKUP($C598,COTAÇÕES!$B:$I,7,0),(VLOOKUP($C598,'INSUMO SINAPI - SP'!$C:$F,4,0)))))</f>
        <v>36.909999999999997</v>
      </c>
      <c r="I598" s="513">
        <f>TRUNC(IF($C598="",IFERROR(VLOOKUP($B598,SERVIÇOS!$B:$G,4,0),IFERROR(VLOOKUP($B598,$D:$K,6,0),)),IFERROR(VLOOKUP($C598,INSUMOS!$A:$D,4,0),IFERROR(VLOOKUP($C598,COTAÇÕES!$B:$I,7,0),(VLOOKUP($C598,'INSUMO SINAPI - SP'!$C:$F,4,0)))))*$G598,2)</f>
        <v>1.57</v>
      </c>
      <c r="J598" s="513">
        <f>TRUNC(IF($C598="",IFERROR(VLOOKUP($B598,SERVIÇOS!$B:$G,5,0),IFERROR(VLOOKUP($B598,$D:$K,7,0),)),0)*$G598,2)</f>
        <v>4.67</v>
      </c>
      <c r="K598" s="514">
        <f>I598+J598</f>
        <v>6.24</v>
      </c>
      <c r="L598" s="515"/>
      <c r="M598" s="471"/>
      <c r="N598" s="516"/>
      <c r="Q598" s="472"/>
      <c r="R598" s="472"/>
      <c r="S598" s="472"/>
      <c r="T598" s="472"/>
      <c r="U598" s="472"/>
      <c r="V598" s="472"/>
      <c r="W598" s="472"/>
      <c r="X598" s="472"/>
      <c r="Y598" s="472"/>
    </row>
    <row r="599" spans="1:25" x14ac:dyDescent="0.25">
      <c r="A599" s="463"/>
      <c r="B599" s="506">
        <v>88316</v>
      </c>
      <c r="C599" s="507"/>
      <c r="D599" s="508"/>
      <c r="E599" s="509" t="str">
        <f>IF($C599="",IFERROR(VLOOKUP($B599,SERVIÇOS!$B:$G,2,0),IFERROR(VLOOKUP($B599,$D:$K,2,0),"")),IFERROR(VLOOKUP($C599,INSUMOS!$A:$D,2,0),IFERROR(VLOOKUP($C599,COTAÇÕES!$B:$I,2,0),(VLOOKUP($C599,'INSUMO SINAPI - SP'!$C:$F,2,0)))))</f>
        <v>SERVENTE COM ENCARGOS COMPLEMENTARES</v>
      </c>
      <c r="F599" s="510" t="str">
        <f>IF($C599="",IFERROR(VLOOKUP($B599,SERVIÇOS!$B:$G,3,0),IFERROR(VLOOKUP($B599,$D:$K,3,0),"")),IFERROR(VLOOKUP($C599,INSUMOS!$A:$D,3,0),IFERROR(VLOOKUP($C599,COTAÇÕES!$B:$I,3,0),(VLOOKUP($C599,'INSUMO SINAPI - SP'!$C:$F,3,0)))))</f>
        <v>H</v>
      </c>
      <c r="G599" s="511">
        <v>0.16930000000000001</v>
      </c>
      <c r="H599" s="512">
        <f>IF($C599="",IFERROR(VLOOKUP($B599,SERVIÇOS!$B:$G,6,0),IFERROR(VLOOKUP($B599,$D:$K,8,0),"")),IFERROR(VLOOKUP($C599,INSUMOS!$A:$D,4,0),IFERROR(VLOOKUP($C599,COTAÇÕES!$B:$I,7,0),(VLOOKUP($C599,'INSUMO SINAPI - SP'!$C:$F,4,0)))))</f>
        <v>28.71</v>
      </c>
      <c r="I599" s="513">
        <f>TRUNC(IF($C599="",IFERROR(VLOOKUP($B599,SERVIÇOS!$B:$G,4,0),IFERROR(VLOOKUP($B599,$D:$K,6,0),)),IFERROR(VLOOKUP($C599,INSUMOS!$A:$D,4,0),IFERROR(VLOOKUP($C599,COTAÇÕES!$B:$I,7,0),(VLOOKUP($C599,'INSUMO SINAPI - SP'!$C:$F,4,0)))))*$G599,2)</f>
        <v>1.55</v>
      </c>
      <c r="J599" s="513">
        <f>TRUNC(IF($C599="",IFERROR(VLOOKUP($B599,SERVIÇOS!$B:$G,5,0),IFERROR(VLOOKUP($B599,$D:$K,7,0),)),0)*$G599,2)</f>
        <v>3.3</v>
      </c>
      <c r="K599" s="514">
        <f>I599+J599</f>
        <v>4.8499999999999996</v>
      </c>
      <c r="L599" s="515"/>
      <c r="M599" s="471"/>
      <c r="N599" s="516"/>
      <c r="Q599" s="472"/>
      <c r="R599" s="472"/>
      <c r="S599" s="472"/>
      <c r="T599" s="472"/>
      <c r="U599" s="472"/>
      <c r="V599" s="472"/>
      <c r="W599" s="472"/>
      <c r="X599" s="472"/>
      <c r="Y599" s="472"/>
    </row>
    <row r="600" spans="1:25" ht="24" x14ac:dyDescent="0.25">
      <c r="A600" s="463"/>
      <c r="B600" s="506">
        <v>101618</v>
      </c>
      <c r="C600" s="507"/>
      <c r="D600" s="508"/>
      <c r="E600" s="509" t="str">
        <f>IF($C600="",IFERROR(VLOOKUP($B600,SERVIÇOS!$B:$G,2,0),IFERROR(VLOOKUP($B600,$D:$K,2,0),"")),IFERROR(VLOOKUP($C600,INSUMOS!$A:$D,2,0),IFERROR(VLOOKUP($C600,COTAÇÕES!$B:$I,2,0),(VLOOKUP($C600,'INSUMO SINAPI - SP'!$C:$F,2,0)))))</f>
        <v>PREPARO DE FUNDO DE VALA COM LARGURA MENOR QUE 1,5 M, COM CAMADA DE AREIA, LANÇAMENTO MANUAL. AF_08/2020</v>
      </c>
      <c r="F600" s="510" t="str">
        <f>IF($C600="",IFERROR(VLOOKUP($B600,SERVIÇOS!$B:$G,3,0),IFERROR(VLOOKUP($B600,$D:$K,3,0),"")),IFERROR(VLOOKUP($C600,INSUMOS!$A:$D,3,0),IFERROR(VLOOKUP($C600,COTAÇÕES!$B:$I,3,0),(VLOOKUP($C600,'INSUMO SINAPI - SP'!$C:$F,3,0)))))</f>
        <v>M3</v>
      </c>
      <c r="G600" s="511">
        <v>1.41E-2</v>
      </c>
      <c r="H600" s="512">
        <f>IF($C600="",IFERROR(VLOOKUP($B600,SERVIÇOS!$B:$G,6,0),IFERROR(VLOOKUP($B600,$D:$K,8,0),"")),IFERROR(VLOOKUP($C600,INSUMOS!$A:$D,4,0),IFERROR(VLOOKUP($C600,COTAÇÕES!$B:$I,7,0),(VLOOKUP($C600,'INSUMO SINAPI - SP'!$C:$F,4,0)))))</f>
        <v>298.22000000000003</v>
      </c>
      <c r="I600" s="513">
        <f>TRUNC(IF($C600="",IFERROR(VLOOKUP($B600,SERVIÇOS!$B:$G,4,0),IFERROR(VLOOKUP($B600,$D:$K,6,0),)),IFERROR(VLOOKUP($C600,INSUMOS!$A:$D,4,0),IFERROR(VLOOKUP($C600,COTAÇÕES!$B:$I,7,0),(VLOOKUP($C600,'INSUMO SINAPI - SP'!$C:$F,4,0)))))*$G600,2)</f>
        <v>2.5299999999999998</v>
      </c>
      <c r="J600" s="513">
        <f>TRUNC(IF($C600="",IFERROR(VLOOKUP($B600,SERVIÇOS!$B:$G,5,0),IFERROR(VLOOKUP($B600,$D:$K,7,0),)),0)*$G600,2)</f>
        <v>1.67</v>
      </c>
      <c r="K600" s="514">
        <f>I600+J600</f>
        <v>4.1999999999999993</v>
      </c>
      <c r="L600" s="515"/>
      <c r="M600" s="471"/>
      <c r="N600" s="516"/>
      <c r="Q600" s="472"/>
      <c r="R600" s="472"/>
      <c r="S600" s="472"/>
      <c r="T600" s="472"/>
      <c r="U600" s="472"/>
      <c r="V600" s="472"/>
      <c r="W600" s="472"/>
      <c r="X600" s="472"/>
      <c r="Y600" s="472"/>
    </row>
    <row r="601" spans="1:25" ht="24" x14ac:dyDescent="0.25">
      <c r="A601" s="463"/>
      <c r="B601" s="506"/>
      <c r="C601" s="507" t="s">
        <v>12914</v>
      </c>
      <c r="D601" s="508"/>
      <c r="E601" s="509" t="str">
        <f>IF($C601="",IFERROR(VLOOKUP($B601,SERVIÇOS!$B:$G,2,0),IFERROR(VLOOKUP($B601,$D:$K,2,0),"")),IFERROR(VLOOKUP($C601,INSUMOS!$A:$D,2,0),IFERROR(VLOOKUP($C601,COTAÇÕES!$B:$I,2,0),(VLOOKUP($C601,'INSUMO SINAPI - SP'!$C:$F,2,0)))))</f>
        <v>CAIXA DE ATERRAMENTO EM CONCRETO PRE-MOLDADO, DIAMETRO DE 0,30 M E ALTURA DE 0,35 M, SEM FUNDO E COM TAMPA</v>
      </c>
      <c r="F601" s="510" t="str">
        <f>IF($C601="",IFERROR(VLOOKUP($B601,SERVIÇOS!$B:$G,3,0),IFERROR(VLOOKUP($B601,$D:$K,3,0),"")),IFERROR(VLOOKUP($C601,INSUMOS!$A:$D,3,0),IFERROR(VLOOKUP($C601,COTAÇÕES!$B:$I,3,0),(VLOOKUP($C601,'INSUMO SINAPI - SP'!$C:$F,3,0)))))</f>
        <v>UN</v>
      </c>
      <c r="G601" s="511">
        <v>1</v>
      </c>
      <c r="H601" s="512">
        <f>IF($C601="",IFERROR(VLOOKUP($B601,SERVIÇOS!$B:$G,6,0),IFERROR(VLOOKUP($B601,$D:$K,8,0),"")),IFERROR(VLOOKUP($C601,INSUMOS!$A:$D,4,0),IFERROR(VLOOKUP($C601,COTAÇÕES!$B:$I,7,0),(VLOOKUP($C601,'INSUMO SINAPI - SP'!$C:$F,4,0)))))</f>
        <v>113.78</v>
      </c>
      <c r="I601" s="513">
        <f>TRUNC(IF($C601="",IFERROR(VLOOKUP($B601,SERVIÇOS!$B:$G,4,0),IFERROR(VLOOKUP($B601,$D:$K,6,0),)),IFERROR(VLOOKUP($C601,INSUMOS!$A:$D,4,0),IFERROR(VLOOKUP($C601,COTAÇÕES!$B:$I,7,0),(VLOOKUP($C601,'INSUMO SINAPI - SP'!$C:$F,4,0)))))*$G601,2)</f>
        <v>113.78</v>
      </c>
      <c r="J601" s="513"/>
      <c r="K601" s="514">
        <f>I601+J601</f>
        <v>113.78</v>
      </c>
      <c r="L601" s="515" t="s">
        <v>12685</v>
      </c>
      <c r="M601" s="471"/>
      <c r="N601" s="516"/>
      <c r="Q601" s="472"/>
      <c r="R601" s="472"/>
      <c r="S601" s="472"/>
      <c r="T601" s="472"/>
      <c r="U601" s="472"/>
      <c r="V601" s="472"/>
      <c r="W601" s="472"/>
      <c r="X601" s="472"/>
      <c r="Y601" s="472"/>
    </row>
    <row r="602" spans="1:25" x14ac:dyDescent="0.25">
      <c r="A602" s="463"/>
      <c r="B602" s="498"/>
      <c r="C602" s="498"/>
      <c r="D602" s="499" t="s">
        <v>12323</v>
      </c>
      <c r="E602" s="555" t="s">
        <v>12915</v>
      </c>
      <c r="F602" s="501" t="s">
        <v>585</v>
      </c>
      <c r="G602" s="502"/>
      <c r="H602" s="503"/>
      <c r="I602" s="504">
        <f>ROUND(SUM(I603:I606),2)</f>
        <v>20.02</v>
      </c>
      <c r="J602" s="504">
        <f>ROUND(SUM(J603:J606),2)</f>
        <v>10.89</v>
      </c>
      <c r="K602" s="504">
        <f>+J602+I602</f>
        <v>30.91</v>
      </c>
      <c r="L602" s="523" t="s">
        <v>12916</v>
      </c>
      <c r="M602" s="471"/>
      <c r="N602" s="505"/>
      <c r="Q602" s="472"/>
      <c r="R602" s="472"/>
      <c r="S602" s="472"/>
      <c r="T602" s="472"/>
      <c r="U602" s="472"/>
      <c r="V602" s="472"/>
      <c r="W602" s="472"/>
      <c r="X602" s="472"/>
      <c r="Y602" s="472"/>
    </row>
    <row r="603" spans="1:25" x14ac:dyDescent="0.25">
      <c r="A603" s="463"/>
      <c r="B603" s="506">
        <v>88247</v>
      </c>
      <c r="C603" s="507"/>
      <c r="D603" s="508"/>
      <c r="E603" s="509" t="str">
        <f>IF($C603="",IFERROR(VLOOKUP($B603,SERVIÇOS!$B:$G,2,0),IFERROR(VLOOKUP($B603,$D:$K,2,0),"")),IFERROR(VLOOKUP($C603,INSUMOS!$A:$D,2,0),IFERROR(VLOOKUP($C603,COTAÇÕES!$B:$I,2,0),(VLOOKUP($C603,'INSUMO SINAPI - SP'!$C:$F,2,0)))))</f>
        <v>AUXILIAR DE ELETRICISTA COM ENCARGOS COMPLEMENTARES</v>
      </c>
      <c r="F603" s="510" t="str">
        <f>IF($C603="",IFERROR(VLOOKUP($B603,SERVIÇOS!$B:$G,3,0),IFERROR(VLOOKUP($B603,$D:$K,3,0),"")),IFERROR(VLOOKUP($C603,INSUMOS!$A:$D,3,0),IFERROR(VLOOKUP($C603,COTAÇÕES!$B:$I,3,0),(VLOOKUP($C603,'INSUMO SINAPI - SP'!$C:$F,3,0)))))</f>
        <v>H</v>
      </c>
      <c r="G603" s="511">
        <v>8.2000000000000003E-2</v>
      </c>
      <c r="H603" s="512">
        <f>IF($C603="",IFERROR(VLOOKUP($B603,SERVIÇOS!$B:$G,6,0),IFERROR(VLOOKUP($B603,$D:$K,8,0),"")),IFERROR(VLOOKUP($C603,INSUMOS!$A:$D,4,0),IFERROR(VLOOKUP($C603,COTAÇÕES!$B:$I,7,0),(VLOOKUP($C603,'INSUMO SINAPI - SP'!$C:$F,4,0)))))</f>
        <v>30.8</v>
      </c>
      <c r="I603" s="513">
        <f>TRUNC(IF($C603="",IFERROR(VLOOKUP($B603,SERVIÇOS!$B:$G,4,0),IFERROR(VLOOKUP($B603,$D:$K,6,0),)),IFERROR(VLOOKUP($C603,INSUMOS!$A:$D,4,0),IFERROR(VLOOKUP($C603,COTAÇÕES!$B:$I,7,0),(VLOOKUP($C603,'INSUMO SINAPI - SP'!$C:$F,4,0)))))*$G603,2)</f>
        <v>0.76</v>
      </c>
      <c r="J603" s="513">
        <f>TRUNC(IF($C603="",IFERROR(VLOOKUP($B603,SERVIÇOS!$B:$G,5,0),IFERROR(VLOOKUP($B603,$D:$K,7,0),)),0)*$G603,2)</f>
        <v>1.76</v>
      </c>
      <c r="K603" s="514">
        <f>I603+J603</f>
        <v>2.52</v>
      </c>
      <c r="L603" s="515"/>
      <c r="M603" s="471"/>
      <c r="N603" s="516"/>
      <c r="Q603" s="472"/>
      <c r="R603" s="472"/>
      <c r="S603" s="472"/>
      <c r="T603" s="472"/>
      <c r="U603" s="472"/>
      <c r="V603" s="472"/>
      <c r="W603" s="472"/>
      <c r="X603" s="472"/>
      <c r="Y603" s="472"/>
    </row>
    <row r="604" spans="1:25" x14ac:dyDescent="0.25">
      <c r="A604" s="463"/>
      <c r="B604" s="506">
        <v>88264</v>
      </c>
      <c r="C604" s="507"/>
      <c r="D604" s="508"/>
      <c r="E604" s="509" t="str">
        <f>IF($C604="",IFERROR(VLOOKUP($B604,SERVIÇOS!$B:$G,2,0),IFERROR(VLOOKUP($B604,$D:$K,2,0),"")),IFERROR(VLOOKUP($C604,INSUMOS!$A:$D,2,0),IFERROR(VLOOKUP($C604,COTAÇÕES!$B:$I,2,0),(VLOOKUP($C604,'INSUMO SINAPI - SP'!$C:$F,2,0)))))</f>
        <v>ELETRICISTA COM ENCARGOS COMPLEMENTARES</v>
      </c>
      <c r="F604" s="510" t="str">
        <f>IF($C604="",IFERROR(VLOOKUP($B604,SERVIÇOS!$B:$G,3,0),IFERROR(VLOOKUP($B604,$D:$K,3,0),"")),IFERROR(VLOOKUP($C604,INSUMOS!$A:$D,3,0),IFERROR(VLOOKUP($C604,COTAÇÕES!$B:$I,3,0),(VLOOKUP($C604,'INSUMO SINAPI - SP'!$C:$F,3,0)))))</f>
        <v>H</v>
      </c>
      <c r="G604" s="511">
        <v>8.2000000000000003E-2</v>
      </c>
      <c r="H604" s="512">
        <f>IF($C604="",IFERROR(VLOOKUP($B604,SERVIÇOS!$B:$G,6,0),IFERROR(VLOOKUP($B604,$D:$K,8,0),"")),IFERROR(VLOOKUP($C604,INSUMOS!$A:$D,4,0),IFERROR(VLOOKUP($C604,COTAÇÕES!$B:$I,7,0),(VLOOKUP($C604,'INSUMO SINAPI - SP'!$C:$F,4,0)))))</f>
        <v>37.369999999999997</v>
      </c>
      <c r="I604" s="513">
        <f>TRUNC(IF($C604="",IFERROR(VLOOKUP($B604,SERVIÇOS!$B:$G,4,0),IFERROR(VLOOKUP($B604,$D:$K,6,0),)),IFERROR(VLOOKUP($C604,INSUMOS!$A:$D,4,0),IFERROR(VLOOKUP($C604,COTAÇÕES!$B:$I,7,0),(VLOOKUP($C604,'INSUMO SINAPI - SP'!$C:$F,4,0)))))*$G604,2)</f>
        <v>0.76</v>
      </c>
      <c r="J604" s="513">
        <f>TRUNC(IF($C604="",IFERROR(VLOOKUP($B604,SERVIÇOS!$B:$G,5,0),IFERROR(VLOOKUP($B604,$D:$K,7,0),)),0)*$G604,2)</f>
        <v>2.2999999999999998</v>
      </c>
      <c r="K604" s="514">
        <f>I604+J604</f>
        <v>3.0599999999999996</v>
      </c>
      <c r="L604" s="515"/>
      <c r="M604" s="471"/>
      <c r="N604" s="516"/>
      <c r="Q604" s="472"/>
      <c r="R604" s="472"/>
      <c r="S604" s="472"/>
      <c r="T604" s="472"/>
      <c r="U604" s="472"/>
      <c r="V604" s="472"/>
      <c r="W604" s="472"/>
      <c r="X604" s="472"/>
      <c r="Y604" s="472"/>
    </row>
    <row r="605" spans="1:25" ht="36" x14ac:dyDescent="0.25">
      <c r="A605" s="463"/>
      <c r="B605" s="506">
        <v>91170</v>
      </c>
      <c r="C605" s="507"/>
      <c r="D605" s="508"/>
      <c r="E605" s="509" t="str">
        <f>IF($C605="",IFERROR(VLOOKUP($B605,SERVIÇOS!$B:$G,2,0),IFERROR(VLOOKUP($B605,$D:$K,2,0),"")),IFERROR(VLOOKUP($C605,INSUMOS!$A:$D,2,0),IFERROR(VLOOKUP($C605,COTAÇÕES!$B:$I,2,0),(VLOOKUP($C605,'INSUMO SINAPI - SP'!$C:$F,2,0)))))</f>
        <v>FIXAÇÃO DE TUBOS HORIZONTAIS DE PVC ÁGUA, PVC ESGOTO, PVC ÁGUA PLUVIAL, CPVC, PPR, COBRE OU AÇO, DIÂMETROS MENORES OU IGUAIS A 40 MM, COM ABRAÇADEIRA METÁLICA RÍGIDA TIPO U PERFIL 1 1/4", FIXADA EM PERFILADO EM LAJE. AF_09/2023_PS</v>
      </c>
      <c r="F605" s="510" t="str">
        <f>IF($C605="",IFERROR(VLOOKUP($B605,SERVIÇOS!$B:$G,3,0),IFERROR(VLOOKUP($B605,$D:$K,3,0),"")),IFERROR(VLOOKUP($C605,INSUMOS!$A:$D,3,0),IFERROR(VLOOKUP($C605,COTAÇÕES!$B:$I,3,0),(VLOOKUP($C605,'INSUMO SINAPI - SP'!$C:$F,3,0)))))</f>
        <v>M</v>
      </c>
      <c r="G605" s="511">
        <v>1</v>
      </c>
      <c r="H605" s="512">
        <f>IF($C605="",IFERROR(VLOOKUP($B605,SERVIÇOS!$B:$G,6,0),IFERROR(VLOOKUP($B605,$D:$K,8,0),"")),IFERROR(VLOOKUP($C605,INSUMOS!$A:$D,4,0),IFERROR(VLOOKUP($C605,COTAÇÕES!$B:$I,7,0),(VLOOKUP($C605,'INSUMO SINAPI - SP'!$C:$F,4,0)))))</f>
        <v>13.09</v>
      </c>
      <c r="I605" s="513">
        <f>TRUNC(IF($C605="",IFERROR(VLOOKUP($B605,SERVIÇOS!$B:$G,4,0),IFERROR(VLOOKUP($B605,$D:$K,6,0),)),IFERROR(VLOOKUP($C605,INSUMOS!$A:$D,4,0),IFERROR(VLOOKUP($C605,COTAÇÕES!$B:$I,7,0),(VLOOKUP($C605,'INSUMO SINAPI - SP'!$C:$F,4,0)))))*$G605,2)</f>
        <v>6.26</v>
      </c>
      <c r="J605" s="513">
        <f>TRUNC(IF($C605="",IFERROR(VLOOKUP($B605,SERVIÇOS!$B:$G,5,0),IFERROR(VLOOKUP($B605,$D:$K,7,0),)),0)*$G605,2)</f>
        <v>6.83</v>
      </c>
      <c r="K605" s="514">
        <f>I605+J605</f>
        <v>13.09</v>
      </c>
      <c r="L605" s="515"/>
      <c r="M605" s="471"/>
      <c r="N605" s="516"/>
      <c r="Q605" s="472"/>
      <c r="R605" s="472"/>
      <c r="S605" s="472"/>
      <c r="T605" s="472"/>
      <c r="U605" s="472"/>
      <c r="V605" s="472"/>
      <c r="W605" s="472"/>
      <c r="X605" s="472"/>
      <c r="Y605" s="472"/>
    </row>
    <row r="606" spans="1:25" x14ac:dyDescent="0.25">
      <c r="A606" s="463"/>
      <c r="B606" s="506"/>
      <c r="C606" s="507">
        <v>2685</v>
      </c>
      <c r="D606" s="508"/>
      <c r="E606" s="509" t="str">
        <f>IF($C606="",IFERROR(VLOOKUP($B606,SERVIÇOS!$B:$G,2,0),IFERROR(VLOOKUP($B606,$D:$K,2,0),"")),IFERROR(VLOOKUP($C606,INSUMOS!$A:$D,2,0),IFERROR(VLOOKUP($C606,COTAÇÕES!$B:$I,2,0),(VLOOKUP($C606,'INSUMO SINAPI - SP'!$C:$F,2,0)))))</f>
        <v>ELETRODUTO DE PVC RIGIDO ROSCAVEL DE 1 ", SEM LUVA</v>
      </c>
      <c r="F606" s="510" t="str">
        <f>IF($C606="",IFERROR(VLOOKUP($B606,SERVIÇOS!$B:$G,3,0),IFERROR(VLOOKUP($B606,$D:$K,3,0),"")),IFERROR(VLOOKUP($C606,INSUMOS!$A:$D,3,0),IFERROR(VLOOKUP($C606,COTAÇÕES!$B:$I,3,0),(VLOOKUP($C606,'INSUMO SINAPI - SP'!$C:$F,3,0)))))</f>
        <v>M</v>
      </c>
      <c r="G606" s="511">
        <v>1.05</v>
      </c>
      <c r="H606" s="512">
        <f>IF($C606="",IFERROR(VLOOKUP($B606,SERVIÇOS!$B:$G,6,0),IFERROR(VLOOKUP($B606,$D:$K,8,0),"")),IFERROR(VLOOKUP($C606,INSUMOS!$A:$D,4,0),IFERROR(VLOOKUP($C606,COTAÇÕES!$B:$I,7,0),(VLOOKUP($C606,'INSUMO SINAPI - SP'!$C:$F,4,0)))))</f>
        <v>11.66</v>
      </c>
      <c r="I606" s="513">
        <f>TRUNC(IF($C606="",IFERROR(VLOOKUP($B606,SERVIÇOS!$B:$G,4,0),IFERROR(VLOOKUP($B606,$D:$K,6,0),)),IFERROR(VLOOKUP($C606,INSUMOS!$A:$D,4,0),IFERROR(VLOOKUP($C606,COTAÇÕES!$B:$I,7,0),(VLOOKUP($C606,'INSUMO SINAPI - SP'!$C:$F,4,0)))))*$G606,2)</f>
        <v>12.24</v>
      </c>
      <c r="J606" s="513">
        <f>TRUNC(IF($C606="",IFERROR(VLOOKUP($B606,SERVIÇOS!$B:$G,5,0),IFERROR(VLOOKUP($B606,$D:$K,7,0),)),0)*$G606,2)</f>
        <v>0</v>
      </c>
      <c r="K606" s="514">
        <f>I606+J606</f>
        <v>12.24</v>
      </c>
      <c r="L606" s="517"/>
      <c r="M606" s="471"/>
      <c r="N606" s="516"/>
      <c r="Q606" s="472"/>
      <c r="R606" s="472"/>
      <c r="S606" s="472"/>
      <c r="T606" s="472"/>
      <c r="U606" s="472"/>
      <c r="V606" s="472"/>
      <c r="W606" s="472"/>
      <c r="X606" s="472"/>
      <c r="Y606" s="472"/>
    </row>
    <row r="607" spans="1:25" ht="24" x14ac:dyDescent="0.25">
      <c r="A607" s="463"/>
      <c r="B607" s="498"/>
      <c r="C607" s="498"/>
      <c r="D607" s="499" t="s">
        <v>12218</v>
      </c>
      <c r="E607" s="555" t="s">
        <v>12917</v>
      </c>
      <c r="F607" s="501" t="s">
        <v>585</v>
      </c>
      <c r="G607" s="502"/>
      <c r="H607" s="503"/>
      <c r="I607" s="504">
        <f>ROUND(SUM(I608:I611),2)</f>
        <v>9.18</v>
      </c>
      <c r="J607" s="504">
        <f>ROUND(SUM(J608:J611),2)</f>
        <v>4.1500000000000004</v>
      </c>
      <c r="K607" s="504">
        <f>+J607+I607</f>
        <v>13.33</v>
      </c>
      <c r="L607" s="523" t="s">
        <v>12918</v>
      </c>
      <c r="M607" s="471"/>
      <c r="N607" s="505"/>
      <c r="Q607" s="472"/>
      <c r="R607" s="472"/>
      <c r="S607" s="472"/>
      <c r="T607" s="472"/>
      <c r="U607" s="472"/>
      <c r="V607" s="472"/>
      <c r="W607" s="472"/>
      <c r="X607" s="472"/>
      <c r="Y607" s="472"/>
    </row>
    <row r="608" spans="1:25" x14ac:dyDescent="0.25">
      <c r="A608" s="463"/>
      <c r="B608" s="506">
        <v>88264</v>
      </c>
      <c r="C608" s="507"/>
      <c r="D608" s="508"/>
      <c r="E608" s="509" t="str">
        <f>IF($C608="",IFERROR(VLOOKUP($B608,SERVIÇOS!$B:$G,2,0),IFERROR(VLOOKUP($B608,$D:$K,2,0),"")),IFERROR(VLOOKUP($C608,INSUMOS!$A:$D,2,0),IFERROR(VLOOKUP($C608,COTAÇÕES!$B:$I,2,0),(VLOOKUP($C608,'INSUMO SINAPI - SP'!$C:$F,2,0)))))</f>
        <v>ELETRICISTA COM ENCARGOS COMPLEMENTARES</v>
      </c>
      <c r="F608" s="510" t="str">
        <f>IF($C608="",IFERROR(VLOOKUP($B608,SERVIÇOS!$B:$G,3,0),IFERROR(VLOOKUP($B608,$D:$K,3,0),"")),IFERROR(VLOOKUP($C608,INSUMOS!$A:$D,3,0),IFERROR(VLOOKUP($C608,COTAÇÕES!$B:$I,3,0),(VLOOKUP($C608,'INSUMO SINAPI - SP'!$C:$F,3,0)))))</f>
        <v>H</v>
      </c>
      <c r="G608" s="511">
        <v>8.2000000000000003E-2</v>
      </c>
      <c r="H608" s="512">
        <f>IF($C608="",IFERROR(VLOOKUP($B608,SERVIÇOS!$B:$G,6,0),IFERROR(VLOOKUP($B608,$D:$K,8,0),"")),IFERROR(VLOOKUP($C608,INSUMOS!$A:$D,4,0),IFERROR(VLOOKUP($C608,COTAÇÕES!$B:$I,7,0),(VLOOKUP($C608,'INSUMO SINAPI - SP'!$C:$F,4,0)))))</f>
        <v>37.369999999999997</v>
      </c>
      <c r="I608" s="513">
        <f>TRUNC(IF($C608="",IFERROR(VLOOKUP($B608,SERVIÇOS!$B:$G,4,0),IFERROR(VLOOKUP($B608,$D:$K,6,0),)),IFERROR(VLOOKUP($C608,INSUMOS!$A:$D,4,0),IFERROR(VLOOKUP($C608,COTAÇÕES!$B:$I,7,0),(VLOOKUP($C608,'INSUMO SINAPI - SP'!$C:$F,4,0)))))*$G608,2)</f>
        <v>0.76</v>
      </c>
      <c r="J608" s="513">
        <f>TRUNC(IF($C608="",IFERROR(VLOOKUP($B608,SERVIÇOS!$B:$G,5,0),IFERROR(VLOOKUP($B608,$D:$K,7,0),)),0)*$G608,2)</f>
        <v>2.2999999999999998</v>
      </c>
      <c r="K608" s="514">
        <f>I608+J608</f>
        <v>3.0599999999999996</v>
      </c>
      <c r="L608" s="515"/>
      <c r="M608" s="471"/>
      <c r="N608" s="516"/>
      <c r="Q608" s="472"/>
      <c r="R608" s="472"/>
      <c r="S608" s="472"/>
      <c r="T608" s="472"/>
      <c r="U608" s="472"/>
      <c r="V608" s="472"/>
      <c r="W608" s="472"/>
      <c r="X608" s="472"/>
      <c r="Y608" s="472"/>
    </row>
    <row r="609" spans="1:25" x14ac:dyDescent="0.25">
      <c r="A609" s="463"/>
      <c r="B609" s="506">
        <v>88247</v>
      </c>
      <c r="C609" s="507"/>
      <c r="D609" s="508"/>
      <c r="E609" s="509" t="str">
        <f>IF($C609="",IFERROR(VLOOKUP($B609,SERVIÇOS!$B:$G,2,0),IFERROR(VLOOKUP($B609,$D:$K,2,0),"")),IFERROR(VLOOKUP($C609,INSUMOS!$A:$D,2,0),IFERROR(VLOOKUP($C609,COTAÇÕES!$B:$I,2,0),(VLOOKUP($C609,'INSUMO SINAPI - SP'!$C:$F,2,0)))))</f>
        <v>AUXILIAR DE ELETRICISTA COM ENCARGOS COMPLEMENTARES</v>
      </c>
      <c r="F609" s="510" t="str">
        <f>IF($C609="",IFERROR(VLOOKUP($B609,SERVIÇOS!$B:$G,3,0),IFERROR(VLOOKUP($B609,$D:$K,3,0),"")),IFERROR(VLOOKUP($C609,INSUMOS!$A:$D,3,0),IFERROR(VLOOKUP($C609,COTAÇÕES!$B:$I,3,0),(VLOOKUP($C609,'INSUMO SINAPI - SP'!$C:$F,3,0)))))</f>
        <v>H</v>
      </c>
      <c r="G609" s="511">
        <v>8.2000000000000003E-2</v>
      </c>
      <c r="H609" s="512">
        <f>IF($C609="",IFERROR(VLOOKUP($B609,SERVIÇOS!$B:$G,6,0),IFERROR(VLOOKUP($B609,$D:$K,8,0),"")),IFERROR(VLOOKUP($C609,INSUMOS!$A:$D,4,0),IFERROR(VLOOKUP($C609,COTAÇÕES!$B:$I,7,0),(VLOOKUP($C609,'INSUMO SINAPI - SP'!$C:$F,4,0)))))</f>
        <v>30.8</v>
      </c>
      <c r="I609" s="513">
        <f>TRUNC(IF($C609="",IFERROR(VLOOKUP($B609,SERVIÇOS!$B:$G,4,0),IFERROR(VLOOKUP($B609,$D:$K,6,0),)),IFERROR(VLOOKUP($C609,INSUMOS!$A:$D,4,0),IFERROR(VLOOKUP($C609,COTAÇÕES!$B:$I,7,0),(VLOOKUP($C609,'INSUMO SINAPI - SP'!$C:$F,4,0)))))*$G609,2)</f>
        <v>0.76</v>
      </c>
      <c r="J609" s="513">
        <f>TRUNC(IF($C609="",IFERROR(VLOOKUP($B609,SERVIÇOS!$B:$G,5,0),IFERROR(VLOOKUP($B609,$D:$K,7,0),)),0)*$G609,2)</f>
        <v>1.76</v>
      </c>
      <c r="K609" s="514">
        <f>I609+J609</f>
        <v>2.52</v>
      </c>
      <c r="L609" s="515"/>
      <c r="M609" s="471"/>
      <c r="N609" s="516"/>
      <c r="Q609" s="472"/>
      <c r="R609" s="472"/>
      <c r="S609" s="472"/>
      <c r="T609" s="472"/>
      <c r="U609" s="472"/>
      <c r="V609" s="472"/>
      <c r="W609" s="472"/>
      <c r="X609" s="472"/>
      <c r="Y609" s="472"/>
    </row>
    <row r="610" spans="1:25" ht="36" x14ac:dyDescent="0.25">
      <c r="A610" s="463"/>
      <c r="B610" s="506">
        <v>91170</v>
      </c>
      <c r="C610" s="507"/>
      <c r="D610" s="508"/>
      <c r="E610" s="509" t="str">
        <f>IF($C610="",IFERROR(VLOOKUP($B610,SERVIÇOS!$B:$G,2,0),IFERROR(VLOOKUP($B610,$D:$K,2,0),"")),IFERROR(VLOOKUP($C610,INSUMOS!$A:$D,2,0),IFERROR(VLOOKUP($C610,COTAÇÕES!$B:$I,2,0),(VLOOKUP($C610,'INSUMO SINAPI - SP'!$C:$F,2,0)))))</f>
        <v>FIXAÇÃO DE TUBOS HORIZONTAIS DE PVC ÁGUA, PVC ESGOTO, PVC ÁGUA PLUVIAL, CPVC, PPR, COBRE OU AÇO, DIÂMETROS MENORES OU IGUAIS A 40 MM, COM ABRAÇADEIRA METÁLICA RÍGIDA TIPO U PERFIL 1 1/4", FIXADA EM PERFILADO EM LAJE. AF_09/2023_PS</v>
      </c>
      <c r="F610" s="510" t="str">
        <f>IF($C610="",IFERROR(VLOOKUP($B610,SERVIÇOS!$B:$G,3,0),IFERROR(VLOOKUP($B610,$D:$K,3,0),"")),IFERROR(VLOOKUP($C610,INSUMOS!$A:$D,3,0),IFERROR(VLOOKUP($C610,COTAÇÕES!$B:$I,3,0),(VLOOKUP($C610,'INSUMO SINAPI - SP'!$C:$F,3,0)))))</f>
        <v>M</v>
      </c>
      <c r="G610" s="511">
        <v>1.41E-2</v>
      </c>
      <c r="H610" s="512">
        <f>IF($C610="",IFERROR(VLOOKUP($B610,SERVIÇOS!$B:$G,6,0),IFERROR(VLOOKUP($B610,$D:$K,8,0),"")),IFERROR(VLOOKUP($C610,INSUMOS!$A:$D,4,0),IFERROR(VLOOKUP($C610,COTAÇÕES!$B:$I,7,0),(VLOOKUP($C610,'INSUMO SINAPI - SP'!$C:$F,4,0)))))</f>
        <v>13.09</v>
      </c>
      <c r="I610" s="513">
        <f>TRUNC(IF($C610="",IFERROR(VLOOKUP($B610,SERVIÇOS!$B:$G,4,0),IFERROR(VLOOKUP($B610,$D:$K,6,0),)),IFERROR(VLOOKUP($C610,INSUMOS!$A:$D,4,0),IFERROR(VLOOKUP($C610,COTAÇÕES!$B:$I,7,0),(VLOOKUP($C610,'INSUMO SINAPI - SP'!$C:$F,4,0)))))*$G610,2)</f>
        <v>0.08</v>
      </c>
      <c r="J610" s="513">
        <f>TRUNC(IF($C610="",IFERROR(VLOOKUP($B610,SERVIÇOS!$B:$G,5,0),IFERROR(VLOOKUP($B610,$D:$K,7,0),)),0)*$G610,2)</f>
        <v>0.09</v>
      </c>
      <c r="K610" s="514">
        <f>I610+J610</f>
        <v>0.16999999999999998</v>
      </c>
      <c r="L610" s="515"/>
      <c r="M610" s="471"/>
      <c r="N610" s="516"/>
      <c r="Q610" s="472"/>
      <c r="R610" s="472"/>
      <c r="S610" s="472"/>
      <c r="T610" s="472"/>
      <c r="U610" s="472"/>
      <c r="V610" s="472"/>
      <c r="W610" s="472"/>
      <c r="X610" s="472"/>
      <c r="Y610" s="472"/>
    </row>
    <row r="611" spans="1:25" x14ac:dyDescent="0.25">
      <c r="A611" s="463"/>
      <c r="B611" s="506"/>
      <c r="C611" s="507">
        <v>2674</v>
      </c>
      <c r="D611" s="508"/>
      <c r="E611" s="509" t="str">
        <f>IF($C611="",IFERROR(VLOOKUP($B611,SERVIÇOS!$B:$G,2,0),IFERROR(VLOOKUP($B611,$D:$K,2,0),"")),IFERROR(VLOOKUP($C611,INSUMOS!$A:$D,2,0),IFERROR(VLOOKUP($C611,COTAÇÕES!$B:$I,2,0),(VLOOKUP($C611,'INSUMO SINAPI - SP'!$C:$F,2,0)))))</f>
        <v>ELETRODUTO DE PVC RIGIDO ROSCAVEL DE 3/4 ", SEM LUVA</v>
      </c>
      <c r="F611" s="510" t="str">
        <f>IF($C611="",IFERROR(VLOOKUP($B611,SERVIÇOS!$B:$G,3,0),IFERROR(VLOOKUP($B611,$D:$K,3,0),"")),IFERROR(VLOOKUP($C611,INSUMOS!$A:$D,3,0),IFERROR(VLOOKUP($C611,COTAÇÕES!$B:$I,3,0),(VLOOKUP($C611,'INSUMO SINAPI - SP'!$C:$F,3,0)))))</f>
        <v>M</v>
      </c>
      <c r="G611" s="511">
        <v>1.0169999999999999</v>
      </c>
      <c r="H611" s="512">
        <f>IF($C611="",IFERROR(VLOOKUP($B611,SERVIÇOS!$B:$G,6,0),IFERROR(VLOOKUP($B611,$D:$K,8,0),"")),IFERROR(VLOOKUP($C611,INSUMOS!$A:$D,4,0),IFERROR(VLOOKUP($C611,COTAÇÕES!$B:$I,7,0),(VLOOKUP($C611,'INSUMO SINAPI - SP'!$C:$F,4,0)))))</f>
        <v>7.46</v>
      </c>
      <c r="I611" s="513">
        <f>TRUNC(IF($C611="",IFERROR(VLOOKUP($B611,SERVIÇOS!$B:$G,4,0),IFERROR(VLOOKUP($B611,$D:$K,6,0),)),IFERROR(VLOOKUP($C611,INSUMOS!$A:$D,4,0),IFERROR(VLOOKUP($C611,COTAÇÕES!$B:$I,7,0),(VLOOKUP($C611,'INSUMO SINAPI - SP'!$C:$F,4,0)))))*$G611,2)</f>
        <v>7.58</v>
      </c>
      <c r="J611" s="513">
        <f>TRUNC(IF($C611="",IFERROR(VLOOKUP($B611,SERVIÇOS!$B:$G,5,0),IFERROR(VLOOKUP($B611,$D:$K,7,0),)),0)*$G611,2)</f>
        <v>0</v>
      </c>
      <c r="K611" s="514">
        <f>I611+J611</f>
        <v>7.58</v>
      </c>
      <c r="L611" s="517"/>
      <c r="M611" s="471"/>
      <c r="N611" s="516"/>
      <c r="Q611" s="472"/>
      <c r="R611" s="472"/>
      <c r="S611" s="472"/>
      <c r="T611" s="472"/>
      <c r="U611" s="472"/>
      <c r="V611" s="472"/>
      <c r="W611" s="472"/>
      <c r="X611" s="472"/>
      <c r="Y611" s="472"/>
    </row>
    <row r="612" spans="1:25" ht="24" x14ac:dyDescent="0.25">
      <c r="A612" s="463"/>
      <c r="B612" s="498"/>
      <c r="C612" s="498"/>
      <c r="D612" s="499" t="s">
        <v>12217</v>
      </c>
      <c r="E612" s="555" t="s">
        <v>12919</v>
      </c>
      <c r="F612" s="501" t="s">
        <v>585</v>
      </c>
      <c r="G612" s="502"/>
      <c r="H612" s="503"/>
      <c r="I612" s="504">
        <f>ROUND(SUM(I613:I616),2)</f>
        <v>14.79</v>
      </c>
      <c r="J612" s="504">
        <f>ROUND(SUM(J613:J616),2)</f>
        <v>8.75</v>
      </c>
      <c r="K612" s="504">
        <f>+J612+I612</f>
        <v>23.54</v>
      </c>
      <c r="L612" s="523" t="s">
        <v>12920</v>
      </c>
      <c r="M612" s="471"/>
      <c r="N612" s="505"/>
      <c r="Q612" s="472"/>
      <c r="R612" s="472"/>
      <c r="S612" s="472"/>
      <c r="T612" s="472"/>
      <c r="U612" s="472"/>
      <c r="V612" s="472"/>
      <c r="W612" s="472"/>
      <c r="X612" s="472"/>
      <c r="Y612" s="472"/>
    </row>
    <row r="613" spans="1:25" x14ac:dyDescent="0.25">
      <c r="A613" s="463"/>
      <c r="B613" s="506">
        <v>88247</v>
      </c>
      <c r="C613" s="507"/>
      <c r="D613" s="508"/>
      <c r="E613" s="509" t="str">
        <f>IF($C613="",IFERROR(VLOOKUP($B613,SERVIÇOS!$B:$G,2,0),IFERROR(VLOOKUP($B613,$D:$K,2,0),"")),IFERROR(VLOOKUP($C613,INSUMOS!$A:$D,2,0),IFERROR(VLOOKUP($C613,COTAÇÕES!$B:$I,2,0),(VLOOKUP($C613,'INSUMO SINAPI - SP'!$C:$F,2,0)))))</f>
        <v>AUXILIAR DE ELETRICISTA COM ENCARGOS COMPLEMENTARES</v>
      </c>
      <c r="F613" s="510" t="str">
        <f>IF($C613="",IFERROR(VLOOKUP($B613,SERVIÇOS!$B:$G,3,0),IFERROR(VLOOKUP($B613,$D:$K,3,0),"")),IFERROR(VLOOKUP($C613,INSUMOS!$A:$D,3,0),IFERROR(VLOOKUP($C613,COTAÇÕES!$B:$I,3,0),(VLOOKUP($C613,'INSUMO SINAPI - SP'!$C:$F,3,0)))))</f>
        <v>H</v>
      </c>
      <c r="G613" s="511">
        <v>3.9100000000000003E-2</v>
      </c>
      <c r="H613" s="512">
        <f>IF($C613="",IFERROR(VLOOKUP($B613,SERVIÇOS!$B:$G,6,0),IFERROR(VLOOKUP($B613,$D:$K,8,0),"")),IFERROR(VLOOKUP($C613,INSUMOS!$A:$D,4,0),IFERROR(VLOOKUP($C613,COTAÇÕES!$B:$I,7,0),(VLOOKUP($C613,'INSUMO SINAPI - SP'!$C:$F,4,0)))))</f>
        <v>30.8</v>
      </c>
      <c r="I613" s="513">
        <f>TRUNC(IF($C613="",IFERROR(VLOOKUP($B613,SERVIÇOS!$B:$G,4,0),IFERROR(VLOOKUP($B613,$D:$K,6,0),)),IFERROR(VLOOKUP($C613,INSUMOS!$A:$D,4,0),IFERROR(VLOOKUP($C613,COTAÇÕES!$B:$I,7,0),(VLOOKUP($C613,'INSUMO SINAPI - SP'!$C:$F,4,0)))))*$G613,2)</f>
        <v>0.36</v>
      </c>
      <c r="J613" s="513">
        <f>TRUNC(IF($C613="",IFERROR(VLOOKUP($B613,SERVIÇOS!$B:$G,5,0),IFERROR(VLOOKUP($B613,$D:$K,7,0),)),0)*$G613,2)</f>
        <v>0.83</v>
      </c>
      <c r="K613" s="514">
        <f>I613+J613</f>
        <v>1.19</v>
      </c>
      <c r="L613" s="515"/>
      <c r="M613" s="471"/>
      <c r="N613" s="516"/>
      <c r="Q613" s="472"/>
      <c r="R613" s="472"/>
      <c r="S613" s="472"/>
      <c r="T613" s="472"/>
      <c r="U613" s="472"/>
      <c r="V613" s="472"/>
      <c r="W613" s="472"/>
      <c r="X613" s="472"/>
      <c r="Y613" s="472"/>
    </row>
    <row r="614" spans="1:25" x14ac:dyDescent="0.25">
      <c r="A614" s="463"/>
      <c r="B614" s="506">
        <v>88264</v>
      </c>
      <c r="C614" s="507"/>
      <c r="D614" s="508"/>
      <c r="E614" s="509" t="str">
        <f>IF($C614="",IFERROR(VLOOKUP($B614,SERVIÇOS!$B:$G,2,0),IFERROR(VLOOKUP($B614,$D:$K,2,0),"")),IFERROR(VLOOKUP($C614,INSUMOS!$A:$D,2,0),IFERROR(VLOOKUP($C614,COTAÇÕES!$B:$I,2,0),(VLOOKUP($C614,'INSUMO SINAPI - SP'!$C:$F,2,0)))))</f>
        <v>ELETRICISTA COM ENCARGOS COMPLEMENTARES</v>
      </c>
      <c r="F614" s="510" t="str">
        <f>IF($C614="",IFERROR(VLOOKUP($B614,SERVIÇOS!$B:$G,3,0),IFERROR(VLOOKUP($B614,$D:$K,3,0),"")),IFERROR(VLOOKUP($C614,INSUMOS!$A:$D,3,0),IFERROR(VLOOKUP($C614,COTAÇÕES!$B:$I,3,0),(VLOOKUP($C614,'INSUMO SINAPI - SP'!$C:$F,3,0)))))</f>
        <v>H</v>
      </c>
      <c r="G614" s="511">
        <v>3.9100000000000003E-2</v>
      </c>
      <c r="H614" s="512">
        <f>IF($C614="",IFERROR(VLOOKUP($B614,SERVIÇOS!$B:$G,6,0),IFERROR(VLOOKUP($B614,$D:$K,8,0),"")),IFERROR(VLOOKUP($C614,INSUMOS!$A:$D,4,0),IFERROR(VLOOKUP($C614,COTAÇÕES!$B:$I,7,0),(VLOOKUP($C614,'INSUMO SINAPI - SP'!$C:$F,4,0)))))</f>
        <v>37.369999999999997</v>
      </c>
      <c r="I614" s="513">
        <f>TRUNC(IF($C614="",IFERROR(VLOOKUP($B614,SERVIÇOS!$B:$G,4,0),IFERROR(VLOOKUP($B614,$D:$K,6,0),)),IFERROR(VLOOKUP($C614,INSUMOS!$A:$D,4,0),IFERROR(VLOOKUP($C614,COTAÇÕES!$B:$I,7,0),(VLOOKUP($C614,'INSUMO SINAPI - SP'!$C:$F,4,0)))))*$G614,2)</f>
        <v>0.36</v>
      </c>
      <c r="J614" s="513">
        <f>TRUNC(IF($C614="",IFERROR(VLOOKUP($B614,SERVIÇOS!$B:$G,5,0),IFERROR(VLOOKUP($B614,$D:$K,7,0),)),0)*$G614,2)</f>
        <v>1.0900000000000001</v>
      </c>
      <c r="K614" s="514">
        <f>I614+J614</f>
        <v>1.4500000000000002</v>
      </c>
      <c r="L614" s="515"/>
      <c r="M614" s="471"/>
      <c r="N614" s="516"/>
      <c r="Q614" s="472"/>
      <c r="R614" s="472"/>
      <c r="S614" s="472"/>
      <c r="T614" s="472"/>
      <c r="U614" s="472"/>
      <c r="V614" s="472"/>
      <c r="W614" s="472"/>
      <c r="X614" s="472"/>
      <c r="Y614" s="472"/>
    </row>
    <row r="615" spans="1:25" x14ac:dyDescent="0.25">
      <c r="A615" s="463"/>
      <c r="B615" s="506"/>
      <c r="C615" s="507">
        <v>2674</v>
      </c>
      <c r="D615" s="508"/>
      <c r="E615" s="509" t="str">
        <f>IF($C615="",IFERROR(VLOOKUP($B615,SERVIÇOS!$B:$G,2,0),IFERROR(VLOOKUP($B615,$D:$K,2,0),"")),IFERROR(VLOOKUP($C615,INSUMOS!$A:$D,2,0),IFERROR(VLOOKUP($C615,COTAÇÕES!$B:$I,2,0),(VLOOKUP($C615,'INSUMO SINAPI - SP'!$C:$F,2,0)))))</f>
        <v>ELETRODUTO DE PVC RIGIDO ROSCAVEL DE 3/4 ", SEM LUVA</v>
      </c>
      <c r="F615" s="510" t="str">
        <f>IF($C615="",IFERROR(VLOOKUP($B615,SERVIÇOS!$B:$G,3,0),IFERROR(VLOOKUP($B615,$D:$K,3,0),"")),IFERROR(VLOOKUP($C615,INSUMOS!$A:$D,3,0),IFERROR(VLOOKUP($C615,COTAÇÕES!$B:$I,3,0),(VLOOKUP($C615,'INSUMO SINAPI - SP'!$C:$F,3,0)))))</f>
        <v>M</v>
      </c>
      <c r="G615" s="511">
        <v>1.0481</v>
      </c>
      <c r="H615" s="512">
        <f>IF($C615="",IFERROR(VLOOKUP($B615,SERVIÇOS!$B:$G,6,0),IFERROR(VLOOKUP($B615,$D:$K,8,0),"")),IFERROR(VLOOKUP($C615,INSUMOS!$A:$D,4,0),IFERROR(VLOOKUP($C615,COTAÇÕES!$B:$I,7,0),(VLOOKUP($C615,'INSUMO SINAPI - SP'!$C:$F,4,0)))))</f>
        <v>7.46</v>
      </c>
      <c r="I615" s="513">
        <f>TRUNC(IF($C615="",IFERROR(VLOOKUP($B615,SERVIÇOS!$B:$G,4,0),IFERROR(VLOOKUP($B615,$D:$K,6,0),)),IFERROR(VLOOKUP($C615,INSUMOS!$A:$D,4,0),IFERROR(VLOOKUP($C615,COTAÇÕES!$B:$I,7,0),(VLOOKUP($C615,'INSUMO SINAPI - SP'!$C:$F,4,0)))))*$G615,2)</f>
        <v>7.81</v>
      </c>
      <c r="J615" s="513">
        <f>TRUNC(IF($C615="",IFERROR(VLOOKUP($B615,SERVIÇOS!$B:$G,5,0),IFERROR(VLOOKUP($B615,$D:$K,7,0),)),0)*$G615,2)</f>
        <v>0</v>
      </c>
      <c r="K615" s="514">
        <f>I615+J615</f>
        <v>7.81</v>
      </c>
      <c r="L615" s="517"/>
      <c r="M615" s="471"/>
      <c r="N615" s="516"/>
      <c r="Q615" s="472"/>
      <c r="R615" s="472"/>
      <c r="S615" s="472"/>
      <c r="T615" s="472"/>
      <c r="U615" s="472"/>
      <c r="V615" s="472"/>
      <c r="W615" s="472"/>
      <c r="X615" s="472"/>
      <c r="Y615" s="472"/>
    </row>
    <row r="616" spans="1:25" ht="36" x14ac:dyDescent="0.25">
      <c r="A616" s="463"/>
      <c r="B616" s="506">
        <v>91170</v>
      </c>
      <c r="C616" s="507"/>
      <c r="D616" s="508"/>
      <c r="E616" s="509" t="str">
        <f>IF($C616="",IFERROR(VLOOKUP($B616,SERVIÇOS!$B:$G,2,0),IFERROR(VLOOKUP($B616,$D:$K,2,0),"")),IFERROR(VLOOKUP($C616,INSUMOS!$A:$D,2,0),IFERROR(VLOOKUP($C616,COTAÇÕES!$B:$I,2,0),(VLOOKUP($C616,'INSUMO SINAPI - SP'!$C:$F,2,0)))))</f>
        <v>FIXAÇÃO DE TUBOS HORIZONTAIS DE PVC ÁGUA, PVC ESGOTO, PVC ÁGUA PLUVIAL, CPVC, PPR, COBRE OU AÇO, DIÂMETROS MENORES OU IGUAIS A 40 MM, COM ABRAÇADEIRA METÁLICA RÍGIDA TIPO U PERFIL 1 1/4", FIXADA EM PERFILADO EM LAJE. AF_09/2023_PS</v>
      </c>
      <c r="F616" s="510" t="str">
        <f>IF($C616="",IFERROR(VLOOKUP($B616,SERVIÇOS!$B:$G,3,0),IFERROR(VLOOKUP($B616,$D:$K,3,0),"")),IFERROR(VLOOKUP($C616,INSUMOS!$A:$D,3,0),IFERROR(VLOOKUP($C616,COTAÇÕES!$B:$I,3,0),(VLOOKUP($C616,'INSUMO SINAPI - SP'!$C:$F,3,0)))))</f>
        <v>M</v>
      </c>
      <c r="G616" s="511">
        <v>1</v>
      </c>
      <c r="H616" s="512">
        <f>IF($C616="",IFERROR(VLOOKUP($B616,SERVIÇOS!$B:$G,6,0),IFERROR(VLOOKUP($B616,$D:$K,8,0),"")),IFERROR(VLOOKUP($C616,INSUMOS!$A:$D,4,0),IFERROR(VLOOKUP($C616,COTAÇÕES!$B:$I,7,0),(VLOOKUP($C616,'INSUMO SINAPI - SP'!$C:$F,4,0)))))</f>
        <v>13.09</v>
      </c>
      <c r="I616" s="513">
        <f>TRUNC(IF($C616="",IFERROR(VLOOKUP($B616,SERVIÇOS!$B:$G,4,0),IFERROR(VLOOKUP($B616,$D:$K,6,0),)),IFERROR(VLOOKUP($C616,INSUMOS!$A:$D,4,0),IFERROR(VLOOKUP($C616,COTAÇÕES!$B:$I,7,0),(VLOOKUP($C616,'INSUMO SINAPI - SP'!$C:$F,4,0)))))*$G616,2)</f>
        <v>6.26</v>
      </c>
      <c r="J616" s="513">
        <f>TRUNC(IF($C616="",IFERROR(VLOOKUP($B616,SERVIÇOS!$B:$G,5,0),IFERROR(VLOOKUP($B616,$D:$K,7,0),)),0)*$G616,2)</f>
        <v>6.83</v>
      </c>
      <c r="K616" s="514">
        <f>I616+J616</f>
        <v>13.09</v>
      </c>
      <c r="L616" s="515"/>
      <c r="M616" s="471"/>
      <c r="N616" s="516"/>
      <c r="Q616" s="472"/>
      <c r="R616" s="472"/>
      <c r="S616" s="472"/>
      <c r="T616" s="472"/>
      <c r="U616" s="472"/>
      <c r="V616" s="472"/>
      <c r="W616" s="472"/>
      <c r="X616" s="472"/>
      <c r="Y616" s="472"/>
    </row>
    <row r="617" spans="1:25" ht="24" x14ac:dyDescent="0.25">
      <c r="A617" s="463"/>
      <c r="B617" s="498"/>
      <c r="C617" s="498"/>
      <c r="D617" s="499" t="s">
        <v>12220</v>
      </c>
      <c r="E617" s="555" t="s">
        <v>12921</v>
      </c>
      <c r="F617" s="501" t="s">
        <v>585</v>
      </c>
      <c r="G617" s="502"/>
      <c r="H617" s="503"/>
      <c r="I617" s="504">
        <f>ROUND(SUM(I618:I621),2)</f>
        <v>20.07</v>
      </c>
      <c r="J617" s="504">
        <f>ROUND(SUM(J618:J621),2)</f>
        <v>12.07</v>
      </c>
      <c r="K617" s="504">
        <f>+J617+I617</f>
        <v>32.14</v>
      </c>
      <c r="L617" s="523" t="s">
        <v>12916</v>
      </c>
      <c r="M617" s="471"/>
      <c r="N617" s="505"/>
      <c r="Q617" s="472"/>
      <c r="R617" s="472"/>
      <c r="S617" s="472"/>
      <c r="T617" s="472"/>
      <c r="U617" s="472"/>
      <c r="V617" s="472"/>
      <c r="W617" s="472"/>
      <c r="X617" s="472"/>
      <c r="Y617" s="472"/>
    </row>
    <row r="618" spans="1:25" x14ac:dyDescent="0.25">
      <c r="A618" s="463"/>
      <c r="B618" s="506">
        <v>88264</v>
      </c>
      <c r="C618" s="507"/>
      <c r="D618" s="508"/>
      <c r="E618" s="509" t="str">
        <f>IF($C618="",IFERROR(VLOOKUP($B618,SERVIÇOS!$B:$G,2,0),IFERROR(VLOOKUP($B618,$D:$K,2,0),"")),IFERROR(VLOOKUP($C618,INSUMOS!$A:$D,2,0),IFERROR(VLOOKUP($C618,COTAÇÕES!$B:$I,2,0),(VLOOKUP($C618,'INSUMO SINAPI - SP'!$C:$F,2,0)))))</f>
        <v>ELETRICISTA COM ENCARGOS COMPLEMENTARES</v>
      </c>
      <c r="F618" s="510" t="str">
        <f>IF($C618="",IFERROR(VLOOKUP($B618,SERVIÇOS!$B:$G,3,0),IFERROR(VLOOKUP($B618,$D:$K,3,0),"")),IFERROR(VLOOKUP($C618,INSUMOS!$A:$D,3,0),IFERROR(VLOOKUP($C618,COTAÇÕES!$B:$I,3,0),(VLOOKUP($C618,'INSUMO SINAPI - SP'!$C:$F,3,0)))))</f>
        <v>H</v>
      </c>
      <c r="G618" s="511">
        <v>0.106</v>
      </c>
      <c r="H618" s="512">
        <f>IF($C618="",IFERROR(VLOOKUP($B618,SERVIÇOS!$B:$G,6,0),IFERROR(VLOOKUP($B618,$D:$K,8,0),"")),IFERROR(VLOOKUP($C618,INSUMOS!$A:$D,4,0),IFERROR(VLOOKUP($C618,COTAÇÕES!$B:$I,7,0),(VLOOKUP($C618,'INSUMO SINAPI - SP'!$C:$F,4,0)))))</f>
        <v>37.369999999999997</v>
      </c>
      <c r="I618" s="513">
        <f>TRUNC(IF($C618="",IFERROR(VLOOKUP($B618,SERVIÇOS!$B:$G,4,0),IFERROR(VLOOKUP($B618,$D:$K,6,0),)),IFERROR(VLOOKUP($C618,INSUMOS!$A:$D,4,0),IFERROR(VLOOKUP($C618,COTAÇÕES!$B:$I,7,0),(VLOOKUP($C618,'INSUMO SINAPI - SP'!$C:$F,4,0)))))*$G618,2)</f>
        <v>0.98</v>
      </c>
      <c r="J618" s="513">
        <f>TRUNC(IF($C618="",IFERROR(VLOOKUP($B618,SERVIÇOS!$B:$G,5,0),IFERROR(VLOOKUP($B618,$D:$K,7,0),)),0)*$G618,2)</f>
        <v>2.97</v>
      </c>
      <c r="K618" s="514">
        <f>I618+J618</f>
        <v>3.95</v>
      </c>
      <c r="L618" s="515"/>
      <c r="M618" s="471"/>
      <c r="N618" s="516"/>
      <c r="Q618" s="472"/>
      <c r="R618" s="472"/>
      <c r="S618" s="472"/>
      <c r="T618" s="472"/>
      <c r="U618" s="472"/>
      <c r="V618" s="472"/>
      <c r="W618" s="472"/>
      <c r="X618" s="472"/>
      <c r="Y618" s="472"/>
    </row>
    <row r="619" spans="1:25" x14ac:dyDescent="0.25">
      <c r="A619" s="463"/>
      <c r="B619" s="506">
        <v>88247</v>
      </c>
      <c r="C619" s="507"/>
      <c r="D619" s="508"/>
      <c r="E619" s="509" t="str">
        <f>IF($C619="",IFERROR(VLOOKUP($B619,SERVIÇOS!$B:$G,2,0),IFERROR(VLOOKUP($B619,$D:$K,2,0),"")),IFERROR(VLOOKUP($C619,INSUMOS!$A:$D,2,0),IFERROR(VLOOKUP($C619,COTAÇÕES!$B:$I,2,0),(VLOOKUP($C619,'INSUMO SINAPI - SP'!$C:$F,2,0)))))</f>
        <v>AUXILIAR DE ELETRICISTA COM ENCARGOS COMPLEMENTARES</v>
      </c>
      <c r="F619" s="510" t="str">
        <f>IF($C619="",IFERROR(VLOOKUP($B619,SERVIÇOS!$B:$G,3,0),IFERROR(VLOOKUP($B619,$D:$K,3,0),"")),IFERROR(VLOOKUP($C619,INSUMOS!$A:$D,3,0),IFERROR(VLOOKUP($C619,COTAÇÕES!$B:$I,3,0),(VLOOKUP($C619,'INSUMO SINAPI - SP'!$C:$F,3,0)))))</f>
        <v>H</v>
      </c>
      <c r="G619" s="511">
        <v>0.106</v>
      </c>
      <c r="H619" s="512">
        <f>IF($C619="",IFERROR(VLOOKUP($B619,SERVIÇOS!$B:$G,6,0),IFERROR(VLOOKUP($B619,$D:$K,8,0),"")),IFERROR(VLOOKUP($C619,INSUMOS!$A:$D,4,0),IFERROR(VLOOKUP($C619,COTAÇÕES!$B:$I,7,0),(VLOOKUP($C619,'INSUMO SINAPI - SP'!$C:$F,4,0)))))</f>
        <v>30.8</v>
      </c>
      <c r="I619" s="513">
        <f>TRUNC(IF($C619="",IFERROR(VLOOKUP($B619,SERVIÇOS!$B:$G,4,0),IFERROR(VLOOKUP($B619,$D:$K,6,0),)),IFERROR(VLOOKUP($C619,INSUMOS!$A:$D,4,0),IFERROR(VLOOKUP($C619,COTAÇÕES!$B:$I,7,0),(VLOOKUP($C619,'INSUMO SINAPI - SP'!$C:$F,4,0)))))*$G619,2)</f>
        <v>0.98</v>
      </c>
      <c r="J619" s="513">
        <f>TRUNC(IF($C619="",IFERROR(VLOOKUP($B619,SERVIÇOS!$B:$G,5,0),IFERROR(VLOOKUP($B619,$D:$K,7,0),)),0)*$G619,2)</f>
        <v>2.27</v>
      </c>
      <c r="K619" s="514">
        <f>I619+J619</f>
        <v>3.25</v>
      </c>
      <c r="L619" s="515"/>
      <c r="M619" s="471"/>
      <c r="N619" s="516"/>
      <c r="Q619" s="472"/>
      <c r="R619" s="472"/>
      <c r="S619" s="472"/>
      <c r="T619" s="472"/>
      <c r="U619" s="472"/>
      <c r="V619" s="472"/>
      <c r="W619" s="472"/>
      <c r="X619" s="472"/>
      <c r="Y619" s="472"/>
    </row>
    <row r="620" spans="1:25" ht="36" x14ac:dyDescent="0.25">
      <c r="A620" s="463"/>
      <c r="B620" s="506">
        <v>91170</v>
      </c>
      <c r="C620" s="507"/>
      <c r="D620" s="508"/>
      <c r="E620" s="509" t="str">
        <f>IF($C620="",IFERROR(VLOOKUP($B620,SERVIÇOS!$B:$G,2,0),IFERROR(VLOOKUP($B620,$D:$K,2,0),"")),IFERROR(VLOOKUP($C620,INSUMOS!$A:$D,2,0),IFERROR(VLOOKUP($C620,COTAÇÕES!$B:$I,2,0),(VLOOKUP($C620,'INSUMO SINAPI - SP'!$C:$F,2,0)))))</f>
        <v>FIXAÇÃO DE TUBOS HORIZONTAIS DE PVC ÁGUA, PVC ESGOTO, PVC ÁGUA PLUVIAL, CPVC, PPR, COBRE OU AÇO, DIÂMETROS MENORES OU IGUAIS A 40 MM, COM ABRAÇADEIRA METÁLICA RÍGIDA TIPO U PERFIL 1 1/4", FIXADA EM PERFILADO EM LAJE. AF_09/2023_PS</v>
      </c>
      <c r="F620" s="510" t="str">
        <f>IF($C620="",IFERROR(VLOOKUP($B620,SERVIÇOS!$B:$G,3,0),IFERROR(VLOOKUP($B620,$D:$K,3,0),"")),IFERROR(VLOOKUP($C620,INSUMOS!$A:$D,3,0),IFERROR(VLOOKUP($C620,COTAÇÕES!$B:$I,3,0),(VLOOKUP($C620,'INSUMO SINAPI - SP'!$C:$F,3,0)))))</f>
        <v>M</v>
      </c>
      <c r="G620" s="511">
        <v>1</v>
      </c>
      <c r="H620" s="512">
        <f>IF($C620="",IFERROR(VLOOKUP($B620,SERVIÇOS!$B:$G,6,0),IFERROR(VLOOKUP($B620,$D:$K,8,0),"")),IFERROR(VLOOKUP($C620,INSUMOS!$A:$D,4,0),IFERROR(VLOOKUP($C620,COTAÇÕES!$B:$I,7,0),(VLOOKUP($C620,'INSUMO SINAPI - SP'!$C:$F,4,0)))))</f>
        <v>13.09</v>
      </c>
      <c r="I620" s="513">
        <f>TRUNC(IF($C620="",IFERROR(VLOOKUP($B620,SERVIÇOS!$B:$G,4,0),IFERROR(VLOOKUP($B620,$D:$K,6,0),)),IFERROR(VLOOKUP($C620,INSUMOS!$A:$D,4,0),IFERROR(VLOOKUP($C620,COTAÇÕES!$B:$I,7,0),(VLOOKUP($C620,'INSUMO SINAPI - SP'!$C:$F,4,0)))))*$G620,2)</f>
        <v>6.26</v>
      </c>
      <c r="J620" s="513">
        <f>TRUNC(IF($C620="",IFERROR(VLOOKUP($B620,SERVIÇOS!$B:$G,5,0),IFERROR(VLOOKUP($B620,$D:$K,7,0),)),0)*$G620,2)</f>
        <v>6.83</v>
      </c>
      <c r="K620" s="514">
        <f>I620+J620</f>
        <v>13.09</v>
      </c>
      <c r="L620" s="515"/>
      <c r="M620" s="471"/>
      <c r="N620" s="516"/>
      <c r="Q620" s="472"/>
      <c r="R620" s="472"/>
      <c r="S620" s="472"/>
      <c r="T620" s="472"/>
      <c r="U620" s="472"/>
      <c r="V620" s="472"/>
      <c r="W620" s="472"/>
      <c r="X620" s="472"/>
      <c r="Y620" s="472"/>
    </row>
    <row r="621" spans="1:25" x14ac:dyDescent="0.25">
      <c r="A621" s="463"/>
      <c r="B621" s="506"/>
      <c r="C621" s="507">
        <v>2685</v>
      </c>
      <c r="D621" s="508"/>
      <c r="E621" s="509" t="str">
        <f>IF($C621="",IFERROR(VLOOKUP($B621,SERVIÇOS!$B:$G,2,0),IFERROR(VLOOKUP($B621,$D:$K,2,0),"")),IFERROR(VLOOKUP($C621,INSUMOS!$A:$D,2,0),IFERROR(VLOOKUP($C621,COTAÇÕES!$B:$I,2,0),(VLOOKUP($C621,'INSUMO SINAPI - SP'!$C:$F,2,0)))))</f>
        <v>ELETRODUTO DE PVC RIGIDO ROSCAVEL DE 1 ", SEM LUVA</v>
      </c>
      <c r="F621" s="510" t="str">
        <f>IF($C621="",IFERROR(VLOOKUP($B621,SERVIÇOS!$B:$G,3,0),IFERROR(VLOOKUP($B621,$D:$K,3,0),"")),IFERROR(VLOOKUP($C621,INSUMOS!$A:$D,3,0),IFERROR(VLOOKUP($C621,COTAÇÕES!$B:$I,3,0),(VLOOKUP($C621,'INSUMO SINAPI - SP'!$C:$F,3,0)))))</f>
        <v>M</v>
      </c>
      <c r="G621" s="511">
        <v>1.0169999999999999</v>
      </c>
      <c r="H621" s="512">
        <f>IF($C621="",IFERROR(VLOOKUP($B621,SERVIÇOS!$B:$G,6,0),IFERROR(VLOOKUP($B621,$D:$K,8,0),"")),IFERROR(VLOOKUP($C621,INSUMOS!$A:$D,4,0),IFERROR(VLOOKUP($C621,COTAÇÕES!$B:$I,7,0),(VLOOKUP($C621,'INSUMO SINAPI - SP'!$C:$F,4,0)))))</f>
        <v>11.66</v>
      </c>
      <c r="I621" s="513">
        <f>TRUNC(IF($C621="",IFERROR(VLOOKUP($B621,SERVIÇOS!$B:$G,4,0),IFERROR(VLOOKUP($B621,$D:$K,6,0),)),IFERROR(VLOOKUP($C621,INSUMOS!$A:$D,4,0),IFERROR(VLOOKUP($C621,COTAÇÕES!$B:$I,7,0),(VLOOKUP($C621,'INSUMO SINAPI - SP'!$C:$F,4,0)))))*$G621,2)</f>
        <v>11.85</v>
      </c>
      <c r="J621" s="513">
        <f>TRUNC(IF($C621="",IFERROR(VLOOKUP($B621,SERVIÇOS!$B:$G,5,0),IFERROR(VLOOKUP($B621,$D:$K,7,0),)),0)*$G621,2)</f>
        <v>0</v>
      </c>
      <c r="K621" s="514">
        <f>I621+J621</f>
        <v>11.85</v>
      </c>
      <c r="L621" s="517"/>
      <c r="M621" s="471"/>
      <c r="N621" s="516"/>
      <c r="Q621" s="472"/>
      <c r="R621" s="472"/>
      <c r="S621" s="472"/>
      <c r="T621" s="472"/>
      <c r="U621" s="472"/>
      <c r="V621" s="472"/>
      <c r="W621" s="472"/>
      <c r="X621" s="472"/>
      <c r="Y621" s="472"/>
    </row>
    <row r="622" spans="1:25" ht="24" x14ac:dyDescent="0.25">
      <c r="A622" s="463"/>
      <c r="B622" s="498"/>
      <c r="C622" s="498"/>
      <c r="D622" s="499" t="s">
        <v>12219</v>
      </c>
      <c r="E622" s="555" t="s">
        <v>12922</v>
      </c>
      <c r="F622" s="501" t="s">
        <v>585</v>
      </c>
      <c r="G622" s="502"/>
      <c r="H622" s="503"/>
      <c r="I622" s="504">
        <f>ROUND(SUM(I623:I626),2)</f>
        <v>19.420000000000002</v>
      </c>
      <c r="J622" s="504">
        <f>ROUND(SUM(J623:J626),2)</f>
        <v>9.32</v>
      </c>
      <c r="K622" s="504">
        <f>+J622+I622</f>
        <v>28.740000000000002</v>
      </c>
      <c r="L622" s="523" t="s">
        <v>12923</v>
      </c>
      <c r="M622" s="471"/>
      <c r="N622" s="505"/>
      <c r="Q622" s="472"/>
      <c r="R622" s="472"/>
      <c r="S622" s="472"/>
      <c r="T622" s="472"/>
      <c r="U622" s="472"/>
      <c r="V622" s="472"/>
      <c r="W622" s="472"/>
      <c r="X622" s="472"/>
      <c r="Y622" s="472"/>
    </row>
    <row r="623" spans="1:25" x14ac:dyDescent="0.25">
      <c r="A623" s="463"/>
      <c r="B623" s="506">
        <v>88247</v>
      </c>
      <c r="C623" s="507"/>
      <c r="D623" s="508"/>
      <c r="E623" s="509" t="str">
        <f>IF($C623="",IFERROR(VLOOKUP($B623,SERVIÇOS!$B:$G,2,0),IFERROR(VLOOKUP($B623,$D:$K,2,0),"")),IFERROR(VLOOKUP($C623,INSUMOS!$A:$D,2,0),IFERROR(VLOOKUP($C623,COTAÇÕES!$B:$I,2,0),(VLOOKUP($C623,'INSUMO SINAPI - SP'!$C:$F,2,0)))))</f>
        <v>AUXILIAR DE ELETRICISTA COM ENCARGOS COMPLEMENTARES</v>
      </c>
      <c r="F623" s="510" t="str">
        <f>IF($C623="",IFERROR(VLOOKUP($B623,SERVIÇOS!$B:$G,3,0),IFERROR(VLOOKUP($B623,$D:$K,3,0),"")),IFERROR(VLOOKUP($C623,INSUMOS!$A:$D,3,0),IFERROR(VLOOKUP($C623,COTAÇÕES!$B:$I,3,0),(VLOOKUP($C623,'INSUMO SINAPI - SP'!$C:$F,3,0)))))</f>
        <v>H</v>
      </c>
      <c r="G623" s="511">
        <v>5.0599999999999999E-2</v>
      </c>
      <c r="H623" s="512">
        <f>IF($C623="",IFERROR(VLOOKUP($B623,SERVIÇOS!$B:$G,6,0),IFERROR(VLOOKUP($B623,$D:$K,8,0),"")),IFERROR(VLOOKUP($C623,INSUMOS!$A:$D,4,0),IFERROR(VLOOKUP($C623,COTAÇÕES!$B:$I,7,0),(VLOOKUP($C623,'INSUMO SINAPI - SP'!$C:$F,4,0)))))</f>
        <v>30.8</v>
      </c>
      <c r="I623" s="513">
        <f>TRUNC(IF($C623="",IFERROR(VLOOKUP($B623,SERVIÇOS!$B:$G,4,0),IFERROR(VLOOKUP($B623,$D:$K,6,0),)),IFERROR(VLOOKUP($C623,INSUMOS!$A:$D,4,0),IFERROR(VLOOKUP($C623,COTAÇÕES!$B:$I,7,0),(VLOOKUP($C623,'INSUMO SINAPI - SP'!$C:$F,4,0)))))*$G623,2)</f>
        <v>0.47</v>
      </c>
      <c r="J623" s="513">
        <f>TRUNC(IF($C623="",IFERROR(VLOOKUP($B623,SERVIÇOS!$B:$G,5,0),IFERROR(VLOOKUP($B623,$D:$K,7,0),)),0)*$G623,2)</f>
        <v>1.08</v>
      </c>
      <c r="K623" s="514">
        <f>I623+J623</f>
        <v>1.55</v>
      </c>
      <c r="L623" s="515"/>
      <c r="M623" s="471"/>
      <c r="N623" s="516"/>
      <c r="Q623" s="472"/>
      <c r="R623" s="472"/>
      <c r="S623" s="472"/>
      <c r="T623" s="472"/>
      <c r="U623" s="472"/>
      <c r="V623" s="472"/>
      <c r="W623" s="472"/>
      <c r="X623" s="472"/>
      <c r="Y623" s="472"/>
    </row>
    <row r="624" spans="1:25" x14ac:dyDescent="0.25">
      <c r="A624" s="463"/>
      <c r="B624" s="506">
        <v>88264</v>
      </c>
      <c r="C624" s="507"/>
      <c r="D624" s="508"/>
      <c r="E624" s="509" t="str">
        <f>IF($C624="",IFERROR(VLOOKUP($B624,SERVIÇOS!$B:$G,2,0),IFERROR(VLOOKUP($B624,$D:$K,2,0),"")),IFERROR(VLOOKUP($C624,INSUMOS!$A:$D,2,0),IFERROR(VLOOKUP($C624,COTAÇÕES!$B:$I,2,0),(VLOOKUP($C624,'INSUMO SINAPI - SP'!$C:$F,2,0)))))</f>
        <v>ELETRICISTA COM ENCARGOS COMPLEMENTARES</v>
      </c>
      <c r="F624" s="510" t="str">
        <f>IF($C624="",IFERROR(VLOOKUP($B624,SERVIÇOS!$B:$G,3,0),IFERROR(VLOOKUP($B624,$D:$K,3,0),"")),IFERROR(VLOOKUP($C624,INSUMOS!$A:$D,3,0),IFERROR(VLOOKUP($C624,COTAÇÕES!$B:$I,3,0),(VLOOKUP($C624,'INSUMO SINAPI - SP'!$C:$F,3,0)))))</f>
        <v>H</v>
      </c>
      <c r="G624" s="511">
        <v>5.0599999999999999E-2</v>
      </c>
      <c r="H624" s="512">
        <f>IF($C624="",IFERROR(VLOOKUP($B624,SERVIÇOS!$B:$G,6,0),IFERROR(VLOOKUP($B624,$D:$K,8,0),"")),IFERROR(VLOOKUP($C624,INSUMOS!$A:$D,4,0),IFERROR(VLOOKUP($C624,COTAÇÕES!$B:$I,7,0),(VLOOKUP($C624,'INSUMO SINAPI - SP'!$C:$F,4,0)))))</f>
        <v>37.369999999999997</v>
      </c>
      <c r="I624" s="513">
        <f>TRUNC(IF($C624="",IFERROR(VLOOKUP($B624,SERVIÇOS!$B:$G,4,0),IFERROR(VLOOKUP($B624,$D:$K,6,0),)),IFERROR(VLOOKUP($C624,INSUMOS!$A:$D,4,0),IFERROR(VLOOKUP($C624,COTAÇÕES!$B:$I,7,0),(VLOOKUP($C624,'INSUMO SINAPI - SP'!$C:$F,4,0)))))*$G624,2)</f>
        <v>0.47</v>
      </c>
      <c r="J624" s="513">
        <f>TRUNC(IF($C624="",IFERROR(VLOOKUP($B624,SERVIÇOS!$B:$G,5,0),IFERROR(VLOOKUP($B624,$D:$K,7,0),)),0)*$G624,2)</f>
        <v>1.41</v>
      </c>
      <c r="K624" s="514">
        <f>I624+J624</f>
        <v>1.88</v>
      </c>
      <c r="L624" s="515"/>
      <c r="M624" s="471"/>
      <c r="N624" s="516"/>
      <c r="Q624" s="472"/>
      <c r="R624" s="472"/>
      <c r="S624" s="472"/>
      <c r="T624" s="472"/>
      <c r="U624" s="472"/>
      <c r="V624" s="472"/>
      <c r="W624" s="472"/>
      <c r="X624" s="472"/>
      <c r="Y624" s="472"/>
    </row>
    <row r="625" spans="1:25" x14ac:dyDescent="0.25">
      <c r="A625" s="463"/>
      <c r="B625" s="506"/>
      <c r="C625" s="507">
        <v>2685</v>
      </c>
      <c r="D625" s="508"/>
      <c r="E625" s="509" t="str">
        <f>IF($C625="",IFERROR(VLOOKUP($B625,SERVIÇOS!$B:$G,2,0),IFERROR(VLOOKUP($B625,$D:$K,2,0),"")),IFERROR(VLOOKUP($C625,INSUMOS!$A:$D,2,0),IFERROR(VLOOKUP($C625,COTAÇÕES!$B:$I,2,0),(VLOOKUP($C625,'INSUMO SINAPI - SP'!$C:$F,2,0)))))</f>
        <v>ELETRODUTO DE PVC RIGIDO ROSCAVEL DE 1 ", SEM LUVA</v>
      </c>
      <c r="F625" s="510" t="str">
        <f>IF($C625="",IFERROR(VLOOKUP($B625,SERVIÇOS!$B:$G,3,0),IFERROR(VLOOKUP($B625,$D:$K,3,0),"")),IFERROR(VLOOKUP($C625,INSUMOS!$A:$D,3,0),IFERROR(VLOOKUP($C625,COTAÇÕES!$B:$I,3,0),(VLOOKUP($C625,'INSUMO SINAPI - SP'!$C:$F,3,0)))))</f>
        <v>M</v>
      </c>
      <c r="G625" s="511">
        <v>1.0481</v>
      </c>
      <c r="H625" s="512">
        <f>IF($C625="",IFERROR(VLOOKUP($B625,SERVIÇOS!$B:$G,6,0),IFERROR(VLOOKUP($B625,$D:$K,8,0),"")),IFERROR(VLOOKUP($C625,INSUMOS!$A:$D,4,0),IFERROR(VLOOKUP($C625,COTAÇÕES!$B:$I,7,0),(VLOOKUP($C625,'INSUMO SINAPI - SP'!$C:$F,4,0)))))</f>
        <v>11.66</v>
      </c>
      <c r="I625" s="513">
        <f>TRUNC(IF($C625="",IFERROR(VLOOKUP($B625,SERVIÇOS!$B:$G,4,0),IFERROR(VLOOKUP($B625,$D:$K,6,0),)),IFERROR(VLOOKUP($C625,INSUMOS!$A:$D,4,0),IFERROR(VLOOKUP($C625,COTAÇÕES!$B:$I,7,0),(VLOOKUP($C625,'INSUMO SINAPI - SP'!$C:$F,4,0)))))*$G625,2)</f>
        <v>12.22</v>
      </c>
      <c r="J625" s="513">
        <f>TRUNC(IF($C625="",IFERROR(VLOOKUP($B625,SERVIÇOS!$B:$G,5,0),IFERROR(VLOOKUP($B625,$D:$K,7,0),)),0)*$G625,2)</f>
        <v>0</v>
      </c>
      <c r="K625" s="514">
        <f>I625+J625</f>
        <v>12.22</v>
      </c>
      <c r="L625" s="517"/>
      <c r="M625" s="471"/>
      <c r="N625" s="516"/>
      <c r="Q625" s="472"/>
      <c r="R625" s="472"/>
      <c r="S625" s="472"/>
      <c r="T625" s="472"/>
      <c r="U625" s="472"/>
      <c r="V625" s="472"/>
      <c r="W625" s="472"/>
      <c r="X625" s="472"/>
      <c r="Y625" s="472"/>
    </row>
    <row r="626" spans="1:25" ht="36" x14ac:dyDescent="0.25">
      <c r="A626" s="463"/>
      <c r="B626" s="506">
        <v>91170</v>
      </c>
      <c r="C626" s="507"/>
      <c r="D626" s="508"/>
      <c r="E626" s="509" t="str">
        <f>IF($C626="",IFERROR(VLOOKUP($B626,SERVIÇOS!$B:$G,2,0),IFERROR(VLOOKUP($B626,$D:$K,2,0),"")),IFERROR(VLOOKUP($C626,INSUMOS!$A:$D,2,0),IFERROR(VLOOKUP($C626,COTAÇÕES!$B:$I,2,0),(VLOOKUP($C626,'INSUMO SINAPI - SP'!$C:$F,2,0)))))</f>
        <v>FIXAÇÃO DE TUBOS HORIZONTAIS DE PVC ÁGUA, PVC ESGOTO, PVC ÁGUA PLUVIAL, CPVC, PPR, COBRE OU AÇO, DIÂMETROS MENORES OU IGUAIS A 40 MM, COM ABRAÇADEIRA METÁLICA RÍGIDA TIPO U PERFIL 1 1/4", FIXADA EM PERFILADO EM LAJE. AF_09/2023_PS</v>
      </c>
      <c r="F626" s="510" t="str">
        <f>IF($C626="",IFERROR(VLOOKUP($B626,SERVIÇOS!$B:$G,3,0),IFERROR(VLOOKUP($B626,$D:$K,3,0),"")),IFERROR(VLOOKUP($C626,INSUMOS!$A:$D,3,0),IFERROR(VLOOKUP($C626,COTAÇÕES!$B:$I,3,0),(VLOOKUP($C626,'INSUMO SINAPI - SP'!$C:$F,3,0)))))</f>
        <v>M</v>
      </c>
      <c r="G626" s="511">
        <v>1</v>
      </c>
      <c r="H626" s="512">
        <f>IF($C626="",IFERROR(VLOOKUP($B626,SERVIÇOS!$B:$G,6,0),IFERROR(VLOOKUP($B626,$D:$K,8,0),"")),IFERROR(VLOOKUP($C626,INSUMOS!$A:$D,4,0),IFERROR(VLOOKUP($C626,COTAÇÕES!$B:$I,7,0),(VLOOKUP($C626,'INSUMO SINAPI - SP'!$C:$F,4,0)))))</f>
        <v>13.09</v>
      </c>
      <c r="I626" s="513">
        <f>TRUNC(IF($C626="",IFERROR(VLOOKUP($B626,SERVIÇOS!$B:$G,4,0),IFERROR(VLOOKUP($B626,$D:$K,6,0),)),IFERROR(VLOOKUP($C626,INSUMOS!$A:$D,4,0),IFERROR(VLOOKUP($C626,COTAÇÕES!$B:$I,7,0),(VLOOKUP($C626,'INSUMO SINAPI - SP'!$C:$F,4,0)))))*$G626,2)</f>
        <v>6.26</v>
      </c>
      <c r="J626" s="513">
        <f>TRUNC(IF($C626="",IFERROR(VLOOKUP($B626,SERVIÇOS!$B:$G,5,0),IFERROR(VLOOKUP($B626,$D:$K,7,0),)),0)*$G626,2)</f>
        <v>6.83</v>
      </c>
      <c r="K626" s="514">
        <f>I626+J626</f>
        <v>13.09</v>
      </c>
      <c r="L626" s="515"/>
      <c r="M626" s="471"/>
      <c r="N626" s="516"/>
      <c r="Q626" s="472"/>
      <c r="R626" s="472"/>
      <c r="S626" s="472"/>
      <c r="T626" s="472"/>
      <c r="U626" s="472"/>
      <c r="V626" s="472"/>
      <c r="W626" s="472"/>
      <c r="X626" s="472"/>
      <c r="Y626" s="472"/>
    </row>
    <row r="627" spans="1:25" ht="24" x14ac:dyDescent="0.25">
      <c r="A627" s="463"/>
      <c r="B627" s="498"/>
      <c r="C627" s="498"/>
      <c r="D627" s="499" t="s">
        <v>12286</v>
      </c>
      <c r="E627" s="555" t="s">
        <v>12924</v>
      </c>
      <c r="F627" s="501" t="s">
        <v>585</v>
      </c>
      <c r="G627" s="502"/>
      <c r="H627" s="503"/>
      <c r="I627" s="504">
        <f>ROUND(SUM(I628:I630),2)</f>
        <v>33.049999999999997</v>
      </c>
      <c r="J627" s="504">
        <f>ROUND(SUM(J628:J630),2)</f>
        <v>6.38</v>
      </c>
      <c r="K627" s="504">
        <f>+J627+I627</f>
        <v>39.43</v>
      </c>
      <c r="L627" s="523" t="s">
        <v>12925</v>
      </c>
      <c r="M627" s="471"/>
      <c r="N627" s="505"/>
      <c r="Q627" s="472"/>
      <c r="R627" s="472"/>
      <c r="S627" s="472"/>
      <c r="T627" s="472"/>
      <c r="U627" s="472"/>
      <c r="V627" s="472"/>
      <c r="W627" s="472"/>
      <c r="X627" s="472"/>
      <c r="Y627" s="472"/>
    </row>
    <row r="628" spans="1:25" x14ac:dyDescent="0.25">
      <c r="A628" s="463"/>
      <c r="B628" s="506">
        <v>88247</v>
      </c>
      <c r="C628" s="507"/>
      <c r="D628" s="508"/>
      <c r="E628" s="509" t="str">
        <f>IF($C628="",IFERROR(VLOOKUP($B628,SERVIÇOS!$B:$G,2,0),IFERROR(VLOOKUP($B628,$D:$K,2,0),"")),IFERROR(VLOOKUP($C628,INSUMOS!$A:$D,2,0),IFERROR(VLOOKUP($C628,COTAÇÕES!$B:$I,2,0),(VLOOKUP($C628,'INSUMO SINAPI - SP'!$C:$F,2,0)))))</f>
        <v>AUXILIAR DE ELETRICISTA COM ENCARGOS COMPLEMENTARES</v>
      </c>
      <c r="F628" s="510" t="str">
        <f>IF($C628="",IFERROR(VLOOKUP($B628,SERVIÇOS!$B:$G,3,0),IFERROR(VLOOKUP($B628,$D:$K,3,0),"")),IFERROR(VLOOKUP($C628,INSUMOS!$A:$D,3,0),IFERROR(VLOOKUP($C628,COTAÇÕES!$B:$I,3,0),(VLOOKUP($C628,'INSUMO SINAPI - SP'!$C:$F,3,0)))))</f>
        <v>H</v>
      </c>
      <c r="G628" s="511">
        <v>0.129</v>
      </c>
      <c r="H628" s="512">
        <f>IF($C628="",IFERROR(VLOOKUP($B628,SERVIÇOS!$B:$G,6,0),IFERROR(VLOOKUP($B628,$D:$K,8,0),"")),IFERROR(VLOOKUP($C628,INSUMOS!$A:$D,4,0),IFERROR(VLOOKUP($C628,COTAÇÕES!$B:$I,7,0),(VLOOKUP($C628,'INSUMO SINAPI - SP'!$C:$F,4,0)))))</f>
        <v>30.8</v>
      </c>
      <c r="I628" s="513">
        <f>TRUNC(IF($C628="",IFERROR(VLOOKUP($B628,SERVIÇOS!$B:$G,4,0),IFERROR(VLOOKUP($B628,$D:$K,6,0),)),IFERROR(VLOOKUP($C628,INSUMOS!$A:$D,4,0),IFERROR(VLOOKUP($C628,COTAÇÕES!$B:$I,7,0),(VLOOKUP($C628,'INSUMO SINAPI - SP'!$C:$F,4,0)))))*$G628,2)</f>
        <v>1.2</v>
      </c>
      <c r="J628" s="513">
        <f>TRUNC(IF($C628="",IFERROR(VLOOKUP($B628,SERVIÇOS!$B:$G,5,0),IFERROR(VLOOKUP($B628,$D:$K,7,0),)),0)*$G628,2)</f>
        <v>2.77</v>
      </c>
      <c r="K628" s="514">
        <f>I628+J628</f>
        <v>3.9699999999999998</v>
      </c>
      <c r="L628" s="515"/>
      <c r="M628" s="471"/>
      <c r="N628" s="516"/>
      <c r="Q628" s="472"/>
      <c r="R628" s="472"/>
      <c r="S628" s="472"/>
      <c r="T628" s="472"/>
      <c r="U628" s="472"/>
      <c r="V628" s="472"/>
      <c r="W628" s="472"/>
      <c r="X628" s="472"/>
      <c r="Y628" s="472"/>
    </row>
    <row r="629" spans="1:25" x14ac:dyDescent="0.25">
      <c r="A629" s="463"/>
      <c r="B629" s="506">
        <v>88264</v>
      </c>
      <c r="C629" s="507"/>
      <c r="D629" s="508"/>
      <c r="E629" s="509" t="str">
        <f>IF($C629="",IFERROR(VLOOKUP($B629,SERVIÇOS!$B:$G,2,0),IFERROR(VLOOKUP($B629,$D:$K,2,0),"")),IFERROR(VLOOKUP($C629,INSUMOS!$A:$D,2,0),IFERROR(VLOOKUP($C629,COTAÇÕES!$B:$I,2,0),(VLOOKUP($C629,'INSUMO SINAPI - SP'!$C:$F,2,0)))))</f>
        <v>ELETRICISTA COM ENCARGOS COMPLEMENTARES</v>
      </c>
      <c r="F629" s="510" t="str">
        <f>IF($C629="",IFERROR(VLOOKUP($B629,SERVIÇOS!$B:$G,3,0),IFERROR(VLOOKUP($B629,$D:$K,3,0),"")),IFERROR(VLOOKUP($C629,INSUMOS!$A:$D,3,0),IFERROR(VLOOKUP($C629,COTAÇÕES!$B:$I,3,0),(VLOOKUP($C629,'INSUMO SINAPI - SP'!$C:$F,3,0)))))</f>
        <v>H</v>
      </c>
      <c r="G629" s="511">
        <v>0.129</v>
      </c>
      <c r="H629" s="512">
        <f>IF($C629="",IFERROR(VLOOKUP($B629,SERVIÇOS!$B:$G,6,0),IFERROR(VLOOKUP($B629,$D:$K,8,0),"")),IFERROR(VLOOKUP($C629,INSUMOS!$A:$D,4,0),IFERROR(VLOOKUP($C629,COTAÇÕES!$B:$I,7,0),(VLOOKUP($C629,'INSUMO SINAPI - SP'!$C:$F,4,0)))))</f>
        <v>37.369999999999997</v>
      </c>
      <c r="I629" s="513">
        <f>TRUNC(IF($C629="",IFERROR(VLOOKUP($B629,SERVIÇOS!$B:$G,4,0),IFERROR(VLOOKUP($B629,$D:$K,6,0),)),IFERROR(VLOOKUP($C629,INSUMOS!$A:$D,4,0),IFERROR(VLOOKUP($C629,COTAÇÕES!$B:$I,7,0),(VLOOKUP($C629,'INSUMO SINAPI - SP'!$C:$F,4,0)))))*$G629,2)</f>
        <v>1.2</v>
      </c>
      <c r="J629" s="513">
        <f>TRUNC(IF($C629="",IFERROR(VLOOKUP($B629,SERVIÇOS!$B:$G,5,0),IFERROR(VLOOKUP($B629,$D:$K,7,0),)),0)*$G629,2)</f>
        <v>3.61</v>
      </c>
      <c r="K629" s="514">
        <f>I629+J629</f>
        <v>4.8099999999999996</v>
      </c>
      <c r="L629" s="515"/>
      <c r="M629" s="471"/>
      <c r="N629" s="516"/>
      <c r="Q629" s="472"/>
      <c r="R629" s="472"/>
      <c r="S629" s="472"/>
      <c r="T629" s="472"/>
      <c r="U629" s="472"/>
      <c r="V629" s="472"/>
      <c r="W629" s="472"/>
      <c r="X629" s="472"/>
      <c r="Y629" s="472"/>
    </row>
    <row r="630" spans="1:25" x14ac:dyDescent="0.25">
      <c r="A630" s="463"/>
      <c r="B630" s="506"/>
      <c r="C630" s="507">
        <v>2681</v>
      </c>
      <c r="D630" s="508"/>
      <c r="E630" s="509" t="str">
        <f>IF($C630="",IFERROR(VLOOKUP($B630,SERVIÇOS!$B:$G,2,0),IFERROR(VLOOKUP($B630,$D:$K,2,0),"")),IFERROR(VLOOKUP($C630,INSUMOS!$A:$D,2,0),IFERROR(VLOOKUP($C630,COTAÇÕES!$B:$I,2,0),(VLOOKUP($C630,'INSUMO SINAPI - SP'!$C:$F,2,0)))))</f>
        <v>ELETRODUTO DE PVC RIGIDO ROSCAVEL DE 2 ", SEM LUVA</v>
      </c>
      <c r="F630" s="510" t="str">
        <f>IF($C630="",IFERROR(VLOOKUP($B630,SERVIÇOS!$B:$G,3,0),IFERROR(VLOOKUP($B630,$D:$K,3,0),"")),IFERROR(VLOOKUP($C630,INSUMOS!$A:$D,3,0),IFERROR(VLOOKUP($C630,COTAÇÕES!$B:$I,3,0),(VLOOKUP($C630,'INSUMO SINAPI - SP'!$C:$F,3,0)))))</f>
        <v>M</v>
      </c>
      <c r="G630" s="511">
        <v>1.1000000000000001</v>
      </c>
      <c r="H630" s="512">
        <f>IF($C630="",IFERROR(VLOOKUP($B630,SERVIÇOS!$B:$G,6,0),IFERROR(VLOOKUP($B630,$D:$K,8,0),"")),IFERROR(VLOOKUP($C630,INSUMOS!$A:$D,4,0),IFERROR(VLOOKUP($C630,COTAÇÕES!$B:$I,7,0),(VLOOKUP($C630,'INSUMO SINAPI - SP'!$C:$F,4,0)))))</f>
        <v>27.87</v>
      </c>
      <c r="I630" s="513">
        <f>TRUNC(IF($C630="",IFERROR(VLOOKUP($B630,SERVIÇOS!$B:$G,4,0),IFERROR(VLOOKUP($B630,$D:$K,6,0),)),IFERROR(VLOOKUP($C630,INSUMOS!$A:$D,4,0),IFERROR(VLOOKUP($C630,COTAÇÕES!$B:$I,7,0),(VLOOKUP($C630,'INSUMO SINAPI - SP'!$C:$F,4,0)))))*$G630,2)</f>
        <v>30.65</v>
      </c>
      <c r="J630" s="513">
        <f>TRUNC(IF($C630="",IFERROR(VLOOKUP($B630,SERVIÇOS!$B:$G,5,0),IFERROR(VLOOKUP($B630,$D:$K,7,0),)),0)*$G630,2)</f>
        <v>0</v>
      </c>
      <c r="K630" s="514">
        <f>I630+J630</f>
        <v>30.65</v>
      </c>
      <c r="L630" s="517"/>
      <c r="M630" s="471"/>
      <c r="N630" s="516"/>
      <c r="Q630" s="472"/>
      <c r="R630" s="472"/>
      <c r="S630" s="472"/>
      <c r="T630" s="472"/>
      <c r="U630" s="472"/>
      <c r="V630" s="472"/>
      <c r="W630" s="472"/>
      <c r="X630" s="472"/>
      <c r="Y630" s="472"/>
    </row>
    <row r="631" spans="1:25" x14ac:dyDescent="0.25">
      <c r="A631" s="463"/>
      <c r="B631" s="498"/>
      <c r="C631" s="498"/>
      <c r="D631" s="499" t="s">
        <v>12204</v>
      </c>
      <c r="E631" s="555" t="s">
        <v>12926</v>
      </c>
      <c r="F631" s="501" t="s">
        <v>580</v>
      </c>
      <c r="G631" s="502"/>
      <c r="H631" s="503"/>
      <c r="I631" s="504">
        <f>ROUND(SUM(I632:I634),2)</f>
        <v>2.71</v>
      </c>
      <c r="J631" s="504">
        <f>ROUND(SUM(J632:J634),2)</f>
        <v>1.1200000000000001</v>
      </c>
      <c r="K631" s="504">
        <f>+J631+I631</f>
        <v>3.83</v>
      </c>
      <c r="L631" s="523" t="s">
        <v>12927</v>
      </c>
      <c r="M631" s="471"/>
      <c r="N631" s="505"/>
      <c r="Q631" s="472"/>
      <c r="R631" s="472"/>
      <c r="S631" s="472"/>
      <c r="T631" s="472"/>
      <c r="U631" s="472"/>
      <c r="V631" s="472"/>
      <c r="W631" s="472"/>
      <c r="X631" s="472"/>
      <c r="Y631" s="472"/>
    </row>
    <row r="632" spans="1:25" ht="24" x14ac:dyDescent="0.25">
      <c r="A632" s="463"/>
      <c r="B632" s="506"/>
      <c r="C632" s="507">
        <v>1575</v>
      </c>
      <c r="D632" s="508"/>
      <c r="E632" s="509" t="str">
        <f>IF($C632="",IFERROR(VLOOKUP($B632,SERVIÇOS!$B:$G,2,0),IFERROR(VLOOKUP($B632,$D:$K,2,0),"")),IFERROR(VLOOKUP($C632,INSUMOS!$A:$D,2,0),IFERROR(VLOOKUP($C632,COTAÇÕES!$B:$I,2,0),(VLOOKUP($C632,'INSUMO SINAPI - SP'!$C:$F,2,0)))))</f>
        <v>TERMINAL A COMPRESSAO EM COBRE ESTANHADO PARA CABO 16 MM2, 1 FURO E 1 COMPRESSAO, PARA PARAFUSO DE FIXACAO M6</v>
      </c>
      <c r="F632" s="510" t="str">
        <f>IF($C632="",IFERROR(VLOOKUP($B632,SERVIÇOS!$B:$G,3,0),IFERROR(VLOOKUP($B632,$D:$K,3,0),"")),IFERROR(VLOOKUP($C632,INSUMOS!$A:$D,3,0),IFERROR(VLOOKUP($C632,COTAÇÕES!$B:$I,3,0),(VLOOKUP($C632,'INSUMO SINAPI - SP'!$C:$F,3,0)))))</f>
        <v>UN</v>
      </c>
      <c r="G632" s="511">
        <v>1</v>
      </c>
      <c r="H632" s="512">
        <f>IF($C632="",IFERROR(VLOOKUP($B632,SERVIÇOS!$B:$G,6,0),IFERROR(VLOOKUP($B632,$D:$K,8,0),"")),IFERROR(VLOOKUP($C632,INSUMOS!$A:$D,4,0),IFERROR(VLOOKUP($C632,COTAÇÕES!$B:$I,7,0),(VLOOKUP($C632,'INSUMO SINAPI - SP'!$C:$F,4,0)))))</f>
        <v>2.23</v>
      </c>
      <c r="I632" s="513">
        <f>TRUNC(IF($C632="",IFERROR(VLOOKUP($B632,SERVIÇOS!$B:$G,4,0),IFERROR(VLOOKUP($B632,$D:$K,6,0),)),IFERROR(VLOOKUP($C632,INSUMOS!$A:$D,4,0),IFERROR(VLOOKUP($C632,COTAÇÕES!$B:$I,7,0),(VLOOKUP($C632,'INSUMO SINAPI - SP'!$C:$F,4,0)))))*$G632,2)</f>
        <v>2.23</v>
      </c>
      <c r="J632" s="513">
        <f>TRUNC(IF($C632="",IFERROR(VLOOKUP($B632,SERVIÇOS!$B:$G,5,0),IFERROR(VLOOKUP($B632,$D:$K,7,0),)),0)*$G632,2)</f>
        <v>0</v>
      </c>
      <c r="K632" s="514">
        <f>I632+J632</f>
        <v>2.23</v>
      </c>
      <c r="L632" s="517"/>
      <c r="M632" s="471"/>
      <c r="N632" s="516"/>
      <c r="Q632" s="472"/>
      <c r="R632" s="472"/>
      <c r="S632" s="472"/>
      <c r="T632" s="472"/>
      <c r="U632" s="472"/>
      <c r="V632" s="472"/>
      <c r="W632" s="472"/>
      <c r="X632" s="472"/>
      <c r="Y632" s="472"/>
    </row>
    <row r="633" spans="1:25" x14ac:dyDescent="0.25">
      <c r="A633" s="463"/>
      <c r="B633" s="506"/>
      <c r="C633" s="507" t="s">
        <v>12928</v>
      </c>
      <c r="D633" s="508"/>
      <c r="E633" s="518" t="s">
        <v>12929</v>
      </c>
      <c r="F633" s="519" t="s">
        <v>580</v>
      </c>
      <c r="G633" s="511">
        <v>4.2999999999999997E-2</v>
      </c>
      <c r="H633" s="520">
        <v>2.67</v>
      </c>
      <c r="I633" s="520">
        <f>TRUNC(H633*G633,2)</f>
        <v>0.11</v>
      </c>
      <c r="J633" s="521"/>
      <c r="K633" s="522">
        <f>I633+J633</f>
        <v>0.11</v>
      </c>
      <c r="L633" s="517" t="s">
        <v>12668</v>
      </c>
      <c r="M633" s="471"/>
      <c r="N633" s="516"/>
      <c r="Q633" s="472"/>
      <c r="R633" s="472"/>
      <c r="S633" s="472"/>
      <c r="T633" s="472"/>
      <c r="U633" s="472"/>
      <c r="V633" s="472"/>
      <c r="W633" s="472"/>
      <c r="X633" s="472"/>
      <c r="Y633" s="472"/>
    </row>
    <row r="634" spans="1:25" x14ac:dyDescent="0.25">
      <c r="A634" s="463"/>
      <c r="B634" s="506">
        <v>88264</v>
      </c>
      <c r="C634" s="507"/>
      <c r="D634" s="508"/>
      <c r="E634" s="509" t="str">
        <f>IF($C634="",IFERROR(VLOOKUP($B634,SERVIÇOS!$B:$G,2,0),IFERROR(VLOOKUP($B634,$D:$K,2,0),"")),IFERROR(VLOOKUP($C634,INSUMOS!$A:$D,2,0),IFERROR(VLOOKUP($C634,COTAÇÕES!$B:$I,2,0),(VLOOKUP($C634,'INSUMO SINAPI - SP'!$C:$F,2,0)))))</f>
        <v>ELETRICISTA COM ENCARGOS COMPLEMENTARES</v>
      </c>
      <c r="F634" s="510" t="str">
        <f>IF($C634="",IFERROR(VLOOKUP($B634,SERVIÇOS!$B:$G,3,0),IFERROR(VLOOKUP($B634,$D:$K,3,0),"")),IFERROR(VLOOKUP($C634,INSUMOS!$A:$D,3,0),IFERROR(VLOOKUP($C634,COTAÇÕES!$B:$I,3,0),(VLOOKUP($C634,'INSUMO SINAPI - SP'!$C:$F,3,0)))))</f>
        <v>H</v>
      </c>
      <c r="G634" s="511">
        <v>0.04</v>
      </c>
      <c r="H634" s="512">
        <f>IF($C634="",IFERROR(VLOOKUP($B634,SERVIÇOS!$B:$G,6,0),IFERROR(VLOOKUP($B634,$D:$K,8,0),"")),IFERROR(VLOOKUP($C634,INSUMOS!$A:$D,4,0),IFERROR(VLOOKUP($C634,COTAÇÕES!$B:$I,7,0),(VLOOKUP($C634,'INSUMO SINAPI - SP'!$C:$F,4,0)))))</f>
        <v>37.369999999999997</v>
      </c>
      <c r="I634" s="513">
        <f>TRUNC(IF($C634="",IFERROR(VLOOKUP($B634,SERVIÇOS!$B:$G,4,0),IFERROR(VLOOKUP($B634,$D:$K,6,0),)),IFERROR(VLOOKUP($C634,INSUMOS!$A:$D,4,0),IFERROR(VLOOKUP($C634,COTAÇÕES!$B:$I,7,0),(VLOOKUP($C634,'INSUMO SINAPI - SP'!$C:$F,4,0)))))*$G634,2)</f>
        <v>0.37</v>
      </c>
      <c r="J634" s="513">
        <f>TRUNC(IF($C634="",IFERROR(VLOOKUP($B634,SERVIÇOS!$B:$G,5,0),IFERROR(VLOOKUP($B634,$D:$K,7,0),)),0)*$G634,2)</f>
        <v>1.1200000000000001</v>
      </c>
      <c r="K634" s="514">
        <f>I634+J634</f>
        <v>1.4900000000000002</v>
      </c>
      <c r="L634" s="515"/>
      <c r="M634" s="471"/>
      <c r="N634" s="516"/>
      <c r="Q634" s="472"/>
      <c r="R634" s="472"/>
      <c r="S634" s="472"/>
      <c r="T634" s="472"/>
      <c r="U634" s="472"/>
      <c r="V634" s="472"/>
      <c r="W634" s="472"/>
      <c r="X634" s="472"/>
      <c r="Y634" s="472"/>
    </row>
    <row r="635" spans="1:25" x14ac:dyDescent="0.25">
      <c r="A635" s="463"/>
      <c r="B635" s="498"/>
      <c r="C635" s="498"/>
      <c r="D635" s="499" t="s">
        <v>12203</v>
      </c>
      <c r="E635" s="555" t="s">
        <v>12930</v>
      </c>
      <c r="F635" s="501" t="s">
        <v>580</v>
      </c>
      <c r="G635" s="502"/>
      <c r="H635" s="503"/>
      <c r="I635" s="504">
        <f>ROUND(SUM(I636:I638),2)</f>
        <v>4.13</v>
      </c>
      <c r="J635" s="504">
        <f>ROUND(SUM(J636:J638),2)</f>
        <v>1.57</v>
      </c>
      <c r="K635" s="504">
        <f>+J635+I635</f>
        <v>5.7</v>
      </c>
      <c r="L635" s="523" t="s">
        <v>12931</v>
      </c>
      <c r="M635" s="471"/>
      <c r="N635" s="505"/>
      <c r="Q635" s="472"/>
      <c r="R635" s="472"/>
      <c r="S635" s="472"/>
      <c r="T635" s="472"/>
      <c r="U635" s="472"/>
      <c r="V635" s="472"/>
      <c r="W635" s="472"/>
      <c r="X635" s="472"/>
      <c r="Y635" s="472"/>
    </row>
    <row r="636" spans="1:25" ht="24" x14ac:dyDescent="0.25">
      <c r="A636" s="463"/>
      <c r="B636" s="506"/>
      <c r="C636" s="507">
        <v>1577</v>
      </c>
      <c r="D636" s="508"/>
      <c r="E636" s="509" t="str">
        <f>IF($C636="",IFERROR(VLOOKUP($B636,SERVIÇOS!$B:$G,2,0),IFERROR(VLOOKUP($B636,$D:$K,2,0),"")),IFERROR(VLOOKUP($C636,INSUMOS!$A:$D,2,0),IFERROR(VLOOKUP($C636,COTAÇÕES!$B:$I,2,0),(VLOOKUP($C636,'INSUMO SINAPI - SP'!$C:$F,2,0)))))</f>
        <v>TERMINAL A COMPRESSAO EM COBRE ESTANHADO PARA CABO 35 MM2, 1 FURO E 1 COMPRESSAO, PARA PARAFUSO DE FIXACAO M8</v>
      </c>
      <c r="F636" s="510" t="str">
        <f>IF($C636="",IFERROR(VLOOKUP($B636,SERVIÇOS!$B:$G,3,0),IFERROR(VLOOKUP($B636,$D:$K,3,0),"")),IFERROR(VLOOKUP($C636,INSUMOS!$A:$D,3,0),IFERROR(VLOOKUP($C636,COTAÇÕES!$B:$I,3,0),(VLOOKUP($C636,'INSUMO SINAPI - SP'!$C:$F,3,0)))))</f>
        <v>UN</v>
      </c>
      <c r="G636" s="511">
        <v>1</v>
      </c>
      <c r="H636" s="512">
        <f>IF($C636="",IFERROR(VLOOKUP($B636,SERVIÇOS!$B:$G,6,0),IFERROR(VLOOKUP($B636,$D:$K,8,0),"")),IFERROR(VLOOKUP($C636,INSUMOS!$A:$D,4,0),IFERROR(VLOOKUP($C636,COTAÇÕES!$B:$I,7,0),(VLOOKUP($C636,'INSUMO SINAPI - SP'!$C:$F,4,0)))))</f>
        <v>3.47</v>
      </c>
      <c r="I636" s="513">
        <f>TRUNC(IF($C636="",IFERROR(VLOOKUP($B636,SERVIÇOS!$B:$G,4,0),IFERROR(VLOOKUP($B636,$D:$K,6,0),)),IFERROR(VLOOKUP($C636,INSUMOS!$A:$D,4,0),IFERROR(VLOOKUP($C636,COTAÇÕES!$B:$I,7,0),(VLOOKUP($C636,'INSUMO SINAPI - SP'!$C:$F,4,0)))))*$G636,2)</f>
        <v>3.47</v>
      </c>
      <c r="J636" s="513">
        <f>TRUNC(IF($C636="",IFERROR(VLOOKUP($B636,SERVIÇOS!$B:$G,5,0),IFERROR(VLOOKUP($B636,$D:$K,7,0),)),0)*$G636,2)</f>
        <v>0</v>
      </c>
      <c r="K636" s="514">
        <f>I636+J636</f>
        <v>3.47</v>
      </c>
      <c r="L636" s="517"/>
      <c r="M636" s="471"/>
      <c r="N636" s="516"/>
      <c r="Q636" s="472"/>
      <c r="R636" s="472"/>
      <c r="S636" s="472"/>
      <c r="T636" s="472"/>
      <c r="U636" s="472"/>
      <c r="V636" s="472"/>
      <c r="W636" s="472"/>
      <c r="X636" s="472"/>
      <c r="Y636" s="472"/>
    </row>
    <row r="637" spans="1:25" x14ac:dyDescent="0.25">
      <c r="A637" s="463"/>
      <c r="B637" s="506"/>
      <c r="C637" s="507" t="s">
        <v>12928</v>
      </c>
      <c r="D637" s="508"/>
      <c r="E637" s="518" t="s">
        <v>12929</v>
      </c>
      <c r="F637" s="519" t="s">
        <v>580</v>
      </c>
      <c r="G637" s="511">
        <v>5.6000000000000001E-2</v>
      </c>
      <c r="H637" s="520">
        <v>2.67</v>
      </c>
      <c r="I637" s="520">
        <f>TRUNC(H637*G637,2)</f>
        <v>0.14000000000000001</v>
      </c>
      <c r="J637" s="521"/>
      <c r="K637" s="522">
        <f>I637+J637</f>
        <v>0.14000000000000001</v>
      </c>
      <c r="L637" s="517" t="s">
        <v>12668</v>
      </c>
      <c r="M637" s="471"/>
      <c r="N637" s="516"/>
      <c r="Q637" s="472"/>
      <c r="R637" s="472"/>
      <c r="S637" s="472"/>
      <c r="T637" s="472"/>
      <c r="U637" s="472"/>
      <c r="V637" s="472"/>
      <c r="W637" s="472"/>
      <c r="X637" s="472"/>
      <c r="Y637" s="472"/>
    </row>
    <row r="638" spans="1:25" x14ac:dyDescent="0.25">
      <c r="A638" s="463"/>
      <c r="B638" s="506">
        <v>88264</v>
      </c>
      <c r="C638" s="507"/>
      <c r="D638" s="508"/>
      <c r="E638" s="509" t="str">
        <f>IF($C638="",IFERROR(VLOOKUP($B638,SERVIÇOS!$B:$G,2,0),IFERROR(VLOOKUP($B638,$D:$K,2,0),"")),IFERROR(VLOOKUP($C638,INSUMOS!$A:$D,2,0),IFERROR(VLOOKUP($C638,COTAÇÕES!$B:$I,2,0),(VLOOKUP($C638,'INSUMO SINAPI - SP'!$C:$F,2,0)))))</f>
        <v>ELETRICISTA COM ENCARGOS COMPLEMENTARES</v>
      </c>
      <c r="F638" s="510" t="str">
        <f>IF($C638="",IFERROR(VLOOKUP($B638,SERVIÇOS!$B:$G,3,0),IFERROR(VLOOKUP($B638,$D:$K,3,0),"")),IFERROR(VLOOKUP($C638,INSUMOS!$A:$D,3,0),IFERROR(VLOOKUP($C638,COTAÇÕES!$B:$I,3,0),(VLOOKUP($C638,'INSUMO SINAPI - SP'!$C:$F,3,0)))))</f>
        <v>H</v>
      </c>
      <c r="G638" s="511">
        <v>5.6000000000000001E-2</v>
      </c>
      <c r="H638" s="512">
        <f>IF($C638="",IFERROR(VLOOKUP($B638,SERVIÇOS!$B:$G,6,0),IFERROR(VLOOKUP($B638,$D:$K,8,0),"")),IFERROR(VLOOKUP($C638,INSUMOS!$A:$D,4,0),IFERROR(VLOOKUP($C638,COTAÇÕES!$B:$I,7,0),(VLOOKUP($C638,'INSUMO SINAPI - SP'!$C:$F,4,0)))))</f>
        <v>37.369999999999997</v>
      </c>
      <c r="I638" s="513">
        <f>TRUNC(IF($C638="",IFERROR(VLOOKUP($B638,SERVIÇOS!$B:$G,4,0),IFERROR(VLOOKUP($B638,$D:$K,6,0),)),IFERROR(VLOOKUP($C638,INSUMOS!$A:$D,4,0),IFERROR(VLOOKUP($C638,COTAÇÕES!$B:$I,7,0),(VLOOKUP($C638,'INSUMO SINAPI - SP'!$C:$F,4,0)))))*$G638,2)</f>
        <v>0.52</v>
      </c>
      <c r="J638" s="513">
        <f>TRUNC(IF($C638="",IFERROR(VLOOKUP($B638,SERVIÇOS!$B:$G,5,0),IFERROR(VLOOKUP($B638,$D:$K,7,0),)),0)*$G638,2)</f>
        <v>1.57</v>
      </c>
      <c r="K638" s="514">
        <f>I638+J638</f>
        <v>2.09</v>
      </c>
      <c r="L638" s="515"/>
      <c r="M638" s="471"/>
      <c r="N638" s="516"/>
      <c r="Q638" s="472"/>
      <c r="R638" s="472"/>
      <c r="S638" s="472"/>
      <c r="T638" s="472"/>
      <c r="U638" s="472"/>
      <c r="V638" s="472"/>
      <c r="W638" s="472"/>
      <c r="X638" s="472"/>
      <c r="Y638" s="472"/>
    </row>
    <row r="639" spans="1:25" x14ac:dyDescent="0.25">
      <c r="A639" s="463"/>
      <c r="B639" s="498"/>
      <c r="C639" s="498"/>
      <c r="D639" s="499" t="s">
        <v>12189</v>
      </c>
      <c r="E639" s="555" t="s">
        <v>12932</v>
      </c>
      <c r="F639" s="501" t="s">
        <v>580</v>
      </c>
      <c r="G639" s="502"/>
      <c r="H639" s="503"/>
      <c r="I639" s="504">
        <f>ROUND(SUM(I640:I642),2)</f>
        <v>6.63</v>
      </c>
      <c r="J639" s="504">
        <f>ROUND(SUM(J640:J642),2)</f>
        <v>1.4</v>
      </c>
      <c r="K639" s="504">
        <f>+J639+I639</f>
        <v>8.0299999999999994</v>
      </c>
      <c r="L639" s="523" t="s">
        <v>12933</v>
      </c>
      <c r="M639" s="471"/>
      <c r="N639" s="505"/>
      <c r="Q639" s="472"/>
      <c r="R639" s="472"/>
      <c r="S639" s="472"/>
      <c r="T639" s="472"/>
      <c r="U639" s="472"/>
      <c r="V639" s="472"/>
      <c r="W639" s="472"/>
      <c r="X639" s="472"/>
      <c r="Y639" s="472"/>
    </row>
    <row r="640" spans="1:25" ht="24" x14ac:dyDescent="0.25">
      <c r="A640" s="463"/>
      <c r="B640" s="506"/>
      <c r="C640" s="507">
        <v>1578</v>
      </c>
      <c r="D640" s="508"/>
      <c r="E640" s="509" t="str">
        <f>IF($C640="",IFERROR(VLOOKUP($B640,SERVIÇOS!$B:$G,2,0),IFERROR(VLOOKUP($B640,$D:$K,2,0),"")),IFERROR(VLOOKUP($C640,INSUMOS!$A:$D,2,0),IFERROR(VLOOKUP($C640,COTAÇÕES!$B:$I,2,0),(VLOOKUP($C640,'INSUMO SINAPI - SP'!$C:$F,2,0)))))</f>
        <v>TERMINAL A COMPRESSAO EM COBRE ESTANHADO PARA CABO 50 MM2, 1 FURO E 1 COMPRESSAO, PARA PARAFUSO DE FIXACAO M8</v>
      </c>
      <c r="F640" s="510" t="str">
        <f>IF($C640="",IFERROR(VLOOKUP($B640,SERVIÇOS!$B:$G,3,0),IFERROR(VLOOKUP($B640,$D:$K,3,0),"")),IFERROR(VLOOKUP($C640,INSUMOS!$A:$D,3,0),IFERROR(VLOOKUP($C640,COTAÇÕES!$B:$I,3,0),(VLOOKUP($C640,'INSUMO SINAPI - SP'!$C:$F,3,0)))))</f>
        <v>UN</v>
      </c>
      <c r="G640" s="511">
        <v>1</v>
      </c>
      <c r="H640" s="512">
        <f>IF($C640="",IFERROR(VLOOKUP($B640,SERVIÇOS!$B:$G,6,0),IFERROR(VLOOKUP($B640,$D:$K,8,0),"")),IFERROR(VLOOKUP($C640,INSUMOS!$A:$D,4,0),IFERROR(VLOOKUP($C640,COTAÇÕES!$B:$I,7,0),(VLOOKUP($C640,'INSUMO SINAPI - SP'!$C:$F,4,0)))))</f>
        <v>6.03</v>
      </c>
      <c r="I640" s="513">
        <f>TRUNC(IF($C640="",IFERROR(VLOOKUP($B640,SERVIÇOS!$B:$G,4,0),IFERROR(VLOOKUP($B640,$D:$K,6,0),)),IFERROR(VLOOKUP($C640,INSUMOS!$A:$D,4,0),IFERROR(VLOOKUP($C640,COTAÇÕES!$B:$I,7,0),(VLOOKUP($C640,'INSUMO SINAPI - SP'!$C:$F,4,0)))))*$G640,2)</f>
        <v>6.03</v>
      </c>
      <c r="J640" s="513">
        <f>TRUNC(IF($C640="",IFERROR(VLOOKUP($B640,SERVIÇOS!$B:$G,5,0),IFERROR(VLOOKUP($B640,$D:$K,7,0),)),0)*$G640,2)</f>
        <v>0</v>
      </c>
      <c r="K640" s="514">
        <f>I640+J640</f>
        <v>6.03</v>
      </c>
      <c r="L640" s="517"/>
      <c r="M640" s="471"/>
      <c r="N640" s="516"/>
      <c r="Q640" s="472"/>
      <c r="R640" s="472"/>
      <c r="S640" s="472"/>
      <c r="T640" s="472"/>
      <c r="U640" s="472"/>
      <c r="V640" s="472"/>
      <c r="W640" s="472"/>
      <c r="X640" s="472"/>
      <c r="Y640" s="472"/>
    </row>
    <row r="641" spans="1:25" x14ac:dyDescent="0.25">
      <c r="A641" s="463"/>
      <c r="B641" s="506"/>
      <c r="C641" s="507" t="s">
        <v>12928</v>
      </c>
      <c r="D641" s="508"/>
      <c r="E641" s="518" t="s">
        <v>12929</v>
      </c>
      <c r="F641" s="519" t="s">
        <v>580</v>
      </c>
      <c r="G641" s="511">
        <v>5.6000000000000001E-2</v>
      </c>
      <c r="H641" s="520">
        <v>2.67</v>
      </c>
      <c r="I641" s="520">
        <f>TRUNC(H641*G641,2)</f>
        <v>0.14000000000000001</v>
      </c>
      <c r="J641" s="521"/>
      <c r="K641" s="522">
        <f>I641+J641</f>
        <v>0.14000000000000001</v>
      </c>
      <c r="L641" s="517" t="s">
        <v>12668</v>
      </c>
      <c r="M641" s="471"/>
      <c r="N641" s="516"/>
      <c r="Q641" s="472"/>
      <c r="R641" s="472"/>
      <c r="S641" s="472"/>
      <c r="T641" s="472"/>
      <c r="U641" s="472"/>
      <c r="V641" s="472"/>
      <c r="W641" s="472"/>
      <c r="X641" s="472"/>
      <c r="Y641" s="472"/>
    </row>
    <row r="642" spans="1:25" x14ac:dyDescent="0.25">
      <c r="A642" s="463"/>
      <c r="B642" s="506">
        <v>88264</v>
      </c>
      <c r="C642" s="507"/>
      <c r="D642" s="508"/>
      <c r="E642" s="509" t="str">
        <f>IF($C642="",IFERROR(VLOOKUP($B642,SERVIÇOS!$B:$G,2,0),IFERROR(VLOOKUP($B642,$D:$K,2,0),"")),IFERROR(VLOOKUP($C642,INSUMOS!$A:$D,2,0),IFERROR(VLOOKUP($C642,COTAÇÕES!$B:$I,2,0),(VLOOKUP($C642,'INSUMO SINAPI - SP'!$C:$F,2,0)))))</f>
        <v>ELETRICISTA COM ENCARGOS COMPLEMENTARES</v>
      </c>
      <c r="F642" s="510" t="str">
        <f>IF($C642="",IFERROR(VLOOKUP($B642,SERVIÇOS!$B:$G,3,0),IFERROR(VLOOKUP($B642,$D:$K,3,0),"")),IFERROR(VLOOKUP($C642,INSUMOS!$A:$D,3,0),IFERROR(VLOOKUP($C642,COTAÇÕES!$B:$I,3,0),(VLOOKUP($C642,'INSUMO SINAPI - SP'!$C:$F,3,0)))))</f>
        <v>H</v>
      </c>
      <c r="G642" s="511">
        <v>0.05</v>
      </c>
      <c r="H642" s="512">
        <f>IF($C642="",IFERROR(VLOOKUP($B642,SERVIÇOS!$B:$G,6,0),IFERROR(VLOOKUP($B642,$D:$K,8,0),"")),IFERROR(VLOOKUP($C642,INSUMOS!$A:$D,4,0),IFERROR(VLOOKUP($C642,COTAÇÕES!$B:$I,7,0),(VLOOKUP($C642,'INSUMO SINAPI - SP'!$C:$F,4,0)))))</f>
        <v>37.369999999999997</v>
      </c>
      <c r="I642" s="513">
        <f>TRUNC(IF($C642="",IFERROR(VLOOKUP($B642,SERVIÇOS!$B:$G,4,0),IFERROR(VLOOKUP($B642,$D:$K,6,0),)),IFERROR(VLOOKUP($C642,INSUMOS!$A:$D,4,0),IFERROR(VLOOKUP($C642,COTAÇÕES!$B:$I,7,0),(VLOOKUP($C642,'INSUMO SINAPI - SP'!$C:$F,4,0)))))*$G642,2)</f>
        <v>0.46</v>
      </c>
      <c r="J642" s="513">
        <f>TRUNC(IF($C642="",IFERROR(VLOOKUP($B642,SERVIÇOS!$B:$G,5,0),IFERROR(VLOOKUP($B642,$D:$K,7,0),)),0)*$G642,2)</f>
        <v>1.4</v>
      </c>
      <c r="K642" s="514">
        <f>I642+J642</f>
        <v>1.8599999999999999</v>
      </c>
      <c r="L642" s="515"/>
      <c r="M642" s="471"/>
      <c r="N642" s="516"/>
      <c r="Q642" s="472"/>
      <c r="R642" s="472"/>
      <c r="S642" s="472"/>
      <c r="T642" s="472"/>
      <c r="U642" s="472"/>
      <c r="V642" s="472"/>
      <c r="W642" s="472"/>
      <c r="X642" s="472"/>
      <c r="Y642" s="472"/>
    </row>
    <row r="643" spans="1:25" x14ac:dyDescent="0.25">
      <c r="A643" s="463"/>
      <c r="B643" s="498"/>
      <c r="C643" s="498"/>
      <c r="D643" s="499" t="s">
        <v>12188</v>
      </c>
      <c r="E643" s="555" t="s">
        <v>12934</v>
      </c>
      <c r="F643" s="501" t="s">
        <v>580</v>
      </c>
      <c r="G643" s="502"/>
      <c r="H643" s="503"/>
      <c r="I643" s="504">
        <f>ROUND(SUM(I644:I646),2)</f>
        <v>9.99</v>
      </c>
      <c r="J643" s="504">
        <f>ROUND(SUM(J644:J646),2)</f>
        <v>1.68</v>
      </c>
      <c r="K643" s="504">
        <f>+J643+I643</f>
        <v>11.67</v>
      </c>
      <c r="L643" s="523" t="s">
        <v>12935</v>
      </c>
      <c r="M643" s="471"/>
      <c r="N643" s="505"/>
      <c r="Q643" s="472"/>
      <c r="R643" s="472"/>
      <c r="S643" s="472"/>
      <c r="T643" s="472"/>
      <c r="U643" s="472"/>
      <c r="V643" s="472"/>
      <c r="W643" s="472"/>
      <c r="X643" s="472"/>
      <c r="Y643" s="472"/>
    </row>
    <row r="644" spans="1:25" ht="24" x14ac:dyDescent="0.25">
      <c r="A644" s="463"/>
      <c r="B644" s="506"/>
      <c r="C644" s="507">
        <v>1580</v>
      </c>
      <c r="D644" s="508"/>
      <c r="E644" s="509" t="str">
        <f>IF($C644="",IFERROR(VLOOKUP($B644,SERVIÇOS!$B:$G,2,0),IFERROR(VLOOKUP($B644,$D:$K,2,0),"")),IFERROR(VLOOKUP($C644,INSUMOS!$A:$D,2,0),IFERROR(VLOOKUP($C644,COTAÇÕES!$B:$I,2,0),(VLOOKUP($C644,'INSUMO SINAPI - SP'!$C:$F,2,0)))))</f>
        <v>TERMINAL A COMPRESSAO EM COBRE ESTANHADO PARA CABO 95 MM2, 1 FURO E 1 COMPRESSAO, PARA PARAFUSO DE FIXACAO M12</v>
      </c>
      <c r="F644" s="510" t="str">
        <f>IF($C644="",IFERROR(VLOOKUP($B644,SERVIÇOS!$B:$G,3,0),IFERROR(VLOOKUP($B644,$D:$K,3,0),"")),IFERROR(VLOOKUP($C644,INSUMOS!$A:$D,3,0),IFERROR(VLOOKUP($C644,COTAÇÕES!$B:$I,3,0),(VLOOKUP($C644,'INSUMO SINAPI - SP'!$C:$F,3,0)))))</f>
        <v>UN</v>
      </c>
      <c r="G644" s="511">
        <v>1</v>
      </c>
      <c r="H644" s="512">
        <f>IF($C644="",IFERROR(VLOOKUP($B644,SERVIÇOS!$B:$G,6,0),IFERROR(VLOOKUP($B644,$D:$K,8,0),"")),IFERROR(VLOOKUP($C644,INSUMOS!$A:$D,4,0),IFERROR(VLOOKUP($C644,COTAÇÕES!$B:$I,7,0),(VLOOKUP($C644,'INSUMO SINAPI - SP'!$C:$F,4,0)))))</f>
        <v>9.25</v>
      </c>
      <c r="I644" s="513">
        <f>TRUNC(IF($C644="",IFERROR(VLOOKUP($B644,SERVIÇOS!$B:$G,4,0),IFERROR(VLOOKUP($B644,$D:$K,6,0),)),IFERROR(VLOOKUP($C644,INSUMOS!$A:$D,4,0),IFERROR(VLOOKUP($C644,COTAÇÕES!$B:$I,7,0),(VLOOKUP($C644,'INSUMO SINAPI - SP'!$C:$F,4,0)))))*$G644,2)</f>
        <v>9.25</v>
      </c>
      <c r="J644" s="513">
        <f>TRUNC(IF($C644="",IFERROR(VLOOKUP($B644,SERVIÇOS!$B:$G,5,0),IFERROR(VLOOKUP($B644,$D:$K,7,0),)),0)*$G644,2)</f>
        <v>0</v>
      </c>
      <c r="K644" s="514">
        <f>I644+J644</f>
        <v>9.25</v>
      </c>
      <c r="L644" s="517"/>
      <c r="M644" s="471"/>
      <c r="N644" s="516"/>
      <c r="Q644" s="472"/>
      <c r="R644" s="472"/>
      <c r="S644" s="472"/>
      <c r="T644" s="472"/>
      <c r="U644" s="472"/>
      <c r="V644" s="472"/>
      <c r="W644" s="472"/>
      <c r="X644" s="472"/>
      <c r="Y644" s="472"/>
    </row>
    <row r="645" spans="1:25" x14ac:dyDescent="0.25">
      <c r="A645" s="463"/>
      <c r="B645" s="506"/>
      <c r="C645" s="507" t="s">
        <v>12928</v>
      </c>
      <c r="D645" s="508"/>
      <c r="E645" s="518" t="s">
        <v>12929</v>
      </c>
      <c r="F645" s="519" t="s">
        <v>580</v>
      </c>
      <c r="G645" s="511">
        <v>7.2999999999999995E-2</v>
      </c>
      <c r="H645" s="520">
        <v>2.67</v>
      </c>
      <c r="I645" s="520">
        <f>TRUNC(H645*G645,2)</f>
        <v>0.19</v>
      </c>
      <c r="J645" s="521"/>
      <c r="K645" s="522">
        <f>I645+J645</f>
        <v>0.19</v>
      </c>
      <c r="L645" s="517" t="s">
        <v>12668</v>
      </c>
      <c r="M645" s="471"/>
      <c r="N645" s="516"/>
      <c r="Q645" s="472"/>
      <c r="R645" s="472"/>
      <c r="S645" s="472"/>
      <c r="T645" s="472"/>
      <c r="U645" s="472"/>
      <c r="V645" s="472"/>
      <c r="W645" s="472"/>
      <c r="X645" s="472"/>
      <c r="Y645" s="472"/>
    </row>
    <row r="646" spans="1:25" x14ac:dyDescent="0.25">
      <c r="A646" s="463"/>
      <c r="B646" s="506">
        <v>88264</v>
      </c>
      <c r="C646" s="507"/>
      <c r="D646" s="508"/>
      <c r="E646" s="509" t="str">
        <f>IF($C646="",IFERROR(VLOOKUP($B646,SERVIÇOS!$B:$G,2,0),IFERROR(VLOOKUP($B646,$D:$K,2,0),"")),IFERROR(VLOOKUP($C646,INSUMOS!$A:$D,2,0),IFERROR(VLOOKUP($C646,COTAÇÕES!$B:$I,2,0),(VLOOKUP($C646,'INSUMO SINAPI - SP'!$C:$F,2,0)))))</f>
        <v>ELETRICISTA COM ENCARGOS COMPLEMENTARES</v>
      </c>
      <c r="F646" s="510" t="str">
        <f>IF($C646="",IFERROR(VLOOKUP($B646,SERVIÇOS!$B:$G,3,0),IFERROR(VLOOKUP($B646,$D:$K,3,0),"")),IFERROR(VLOOKUP($C646,INSUMOS!$A:$D,3,0),IFERROR(VLOOKUP($C646,COTAÇÕES!$B:$I,3,0),(VLOOKUP($C646,'INSUMO SINAPI - SP'!$C:$F,3,0)))))</f>
        <v>H</v>
      </c>
      <c r="G646" s="511">
        <v>0.06</v>
      </c>
      <c r="H646" s="512">
        <f>IF($C646="",IFERROR(VLOOKUP($B646,SERVIÇOS!$B:$G,6,0),IFERROR(VLOOKUP($B646,$D:$K,8,0),"")),IFERROR(VLOOKUP($C646,INSUMOS!$A:$D,4,0),IFERROR(VLOOKUP($C646,COTAÇÕES!$B:$I,7,0),(VLOOKUP($C646,'INSUMO SINAPI - SP'!$C:$F,4,0)))))</f>
        <v>37.369999999999997</v>
      </c>
      <c r="I646" s="513">
        <f>TRUNC(IF($C646="",IFERROR(VLOOKUP($B646,SERVIÇOS!$B:$G,4,0),IFERROR(VLOOKUP($B646,$D:$K,6,0),)),IFERROR(VLOOKUP($C646,INSUMOS!$A:$D,4,0),IFERROR(VLOOKUP($C646,COTAÇÕES!$B:$I,7,0),(VLOOKUP($C646,'INSUMO SINAPI - SP'!$C:$F,4,0)))))*$G646,2)</f>
        <v>0.55000000000000004</v>
      </c>
      <c r="J646" s="513">
        <f>TRUNC(IF($C646="",IFERROR(VLOOKUP($B646,SERVIÇOS!$B:$G,5,0),IFERROR(VLOOKUP($B646,$D:$K,7,0),)),0)*$G646,2)</f>
        <v>1.68</v>
      </c>
      <c r="K646" s="514">
        <f>I646+J646</f>
        <v>2.23</v>
      </c>
      <c r="L646" s="515"/>
      <c r="M646" s="471"/>
      <c r="N646" s="516"/>
      <c r="Q646" s="472"/>
      <c r="R646" s="472"/>
      <c r="S646" s="472"/>
      <c r="T646" s="472"/>
      <c r="U646" s="472"/>
      <c r="V646" s="472"/>
      <c r="W646" s="472"/>
      <c r="X646" s="472"/>
      <c r="Y646" s="472"/>
    </row>
    <row r="647" spans="1:25" x14ac:dyDescent="0.25">
      <c r="A647" s="463"/>
      <c r="B647" s="498"/>
      <c r="C647" s="498"/>
      <c r="D647" s="499" t="s">
        <v>12239</v>
      </c>
      <c r="E647" s="555" t="s">
        <v>12936</v>
      </c>
      <c r="F647" s="501" t="s">
        <v>580</v>
      </c>
      <c r="G647" s="502"/>
      <c r="H647" s="503"/>
      <c r="I647" s="504">
        <f>ROUND(SUM(I648:I650),2)</f>
        <v>3.65</v>
      </c>
      <c r="J647" s="504">
        <f>ROUND(SUM(J648:J650),2)</f>
        <v>1.4</v>
      </c>
      <c r="K647" s="504">
        <f>+J647+I647</f>
        <v>5.05</v>
      </c>
      <c r="L647" s="523" t="s">
        <v>12937</v>
      </c>
      <c r="M647" s="471"/>
      <c r="N647" s="505"/>
      <c r="Q647" s="472"/>
      <c r="R647" s="472"/>
      <c r="S647" s="472"/>
      <c r="T647" s="472"/>
      <c r="U647" s="472"/>
      <c r="V647" s="472"/>
      <c r="W647" s="472"/>
      <c r="X647" s="472"/>
      <c r="Y647" s="472"/>
    </row>
    <row r="648" spans="1:25" ht="24" x14ac:dyDescent="0.25">
      <c r="A648" s="463"/>
      <c r="B648" s="506"/>
      <c r="C648" s="507">
        <v>1576</v>
      </c>
      <c r="D648" s="508"/>
      <c r="E648" s="509" t="str">
        <f>IF($C648="",IFERROR(VLOOKUP($B648,SERVIÇOS!$B:$G,2,0),IFERROR(VLOOKUP($B648,$D:$K,2,0),"")),IFERROR(VLOOKUP($C648,INSUMOS!$A:$D,2,0),IFERROR(VLOOKUP($C648,COTAÇÕES!$B:$I,2,0),(VLOOKUP($C648,'INSUMO SINAPI - SP'!$C:$F,2,0)))))</f>
        <v>TERMINAL A COMPRESSAO EM COBRE ESTANHADO PARA CABO 25 MM2, 1 FURO E 1 COMPRESSAO, PARA PARAFUSO DE FIXACAO M8</v>
      </c>
      <c r="F648" s="510" t="str">
        <f>IF($C648="",IFERROR(VLOOKUP($B648,SERVIÇOS!$B:$G,3,0),IFERROR(VLOOKUP($B648,$D:$K,3,0),"")),IFERROR(VLOOKUP($C648,INSUMOS!$A:$D,3,0),IFERROR(VLOOKUP($C648,COTAÇÕES!$B:$I,3,0),(VLOOKUP($C648,'INSUMO SINAPI - SP'!$C:$F,3,0)))))</f>
        <v>UN</v>
      </c>
      <c r="G648" s="511">
        <v>1</v>
      </c>
      <c r="H648" s="512">
        <f>IF($C648="",IFERROR(VLOOKUP($B648,SERVIÇOS!$B:$G,6,0),IFERROR(VLOOKUP($B648,$D:$K,8,0),"")),IFERROR(VLOOKUP($C648,INSUMOS!$A:$D,4,0),IFERROR(VLOOKUP($C648,COTAÇÕES!$B:$I,7,0),(VLOOKUP($C648,'INSUMO SINAPI - SP'!$C:$F,4,0)))))</f>
        <v>3.08</v>
      </c>
      <c r="I648" s="513">
        <f>TRUNC(IF($C648="",IFERROR(VLOOKUP($B648,SERVIÇOS!$B:$G,4,0),IFERROR(VLOOKUP($B648,$D:$K,6,0),)),IFERROR(VLOOKUP($C648,INSUMOS!$A:$D,4,0),IFERROR(VLOOKUP($C648,COTAÇÕES!$B:$I,7,0),(VLOOKUP($C648,'INSUMO SINAPI - SP'!$C:$F,4,0)))))*$G648,2)</f>
        <v>3.08</v>
      </c>
      <c r="J648" s="513">
        <f>TRUNC(IF($C648="",IFERROR(VLOOKUP($B648,SERVIÇOS!$B:$G,5,0),IFERROR(VLOOKUP($B648,$D:$K,7,0),)),0)*$G648,2)</f>
        <v>0</v>
      </c>
      <c r="K648" s="514">
        <f>I648+J648</f>
        <v>3.08</v>
      </c>
      <c r="L648" s="517"/>
      <c r="M648" s="471"/>
      <c r="N648" s="516"/>
      <c r="Q648" s="472"/>
      <c r="R648" s="472"/>
      <c r="S648" s="472"/>
      <c r="T648" s="472"/>
      <c r="U648" s="472"/>
      <c r="V648" s="472"/>
      <c r="W648" s="472"/>
      <c r="X648" s="472"/>
      <c r="Y648" s="472"/>
    </row>
    <row r="649" spans="1:25" x14ac:dyDescent="0.25">
      <c r="A649" s="463"/>
      <c r="B649" s="506"/>
      <c r="C649" s="507" t="s">
        <v>12928</v>
      </c>
      <c r="D649" s="508"/>
      <c r="E649" s="518" t="s">
        <v>12929</v>
      </c>
      <c r="F649" s="519" t="s">
        <v>580</v>
      </c>
      <c r="G649" s="511">
        <v>4.2999999999999997E-2</v>
      </c>
      <c r="H649" s="520">
        <v>2.67</v>
      </c>
      <c r="I649" s="520">
        <f>TRUNC(H649*G649,2)</f>
        <v>0.11</v>
      </c>
      <c r="J649" s="521"/>
      <c r="K649" s="522">
        <f>I649+J649</f>
        <v>0.11</v>
      </c>
      <c r="L649" s="517" t="s">
        <v>12668</v>
      </c>
      <c r="M649" s="471"/>
      <c r="N649" s="516"/>
      <c r="Q649" s="472"/>
      <c r="R649" s="472"/>
      <c r="S649" s="472"/>
      <c r="T649" s="472"/>
      <c r="U649" s="472"/>
      <c r="V649" s="472"/>
      <c r="W649" s="472"/>
      <c r="X649" s="472"/>
      <c r="Y649" s="472"/>
    </row>
    <row r="650" spans="1:25" x14ac:dyDescent="0.25">
      <c r="A650" s="463"/>
      <c r="B650" s="506">
        <v>88264</v>
      </c>
      <c r="C650" s="507"/>
      <c r="D650" s="508"/>
      <c r="E650" s="509" t="str">
        <f>IF($C650="",IFERROR(VLOOKUP($B650,SERVIÇOS!$B:$G,2,0),IFERROR(VLOOKUP($B650,$D:$K,2,0),"")),IFERROR(VLOOKUP($C650,INSUMOS!$A:$D,2,0),IFERROR(VLOOKUP($C650,COTAÇÕES!$B:$I,2,0),(VLOOKUP($C650,'INSUMO SINAPI - SP'!$C:$F,2,0)))))</f>
        <v>ELETRICISTA COM ENCARGOS COMPLEMENTARES</v>
      </c>
      <c r="F650" s="510" t="str">
        <f>IF($C650="",IFERROR(VLOOKUP($B650,SERVIÇOS!$B:$G,3,0),IFERROR(VLOOKUP($B650,$D:$K,3,0),"")),IFERROR(VLOOKUP($C650,INSUMOS!$A:$D,3,0),IFERROR(VLOOKUP($C650,COTAÇÕES!$B:$I,3,0),(VLOOKUP($C650,'INSUMO SINAPI - SP'!$C:$F,3,0)))))</f>
        <v>H</v>
      </c>
      <c r="G650" s="511">
        <v>0.05</v>
      </c>
      <c r="H650" s="512">
        <f>IF($C650="",IFERROR(VLOOKUP($B650,SERVIÇOS!$B:$G,6,0),IFERROR(VLOOKUP($B650,$D:$K,8,0),"")),IFERROR(VLOOKUP($C650,INSUMOS!$A:$D,4,0),IFERROR(VLOOKUP($C650,COTAÇÕES!$B:$I,7,0),(VLOOKUP($C650,'INSUMO SINAPI - SP'!$C:$F,4,0)))))</f>
        <v>37.369999999999997</v>
      </c>
      <c r="I650" s="513">
        <f>TRUNC(IF($C650="",IFERROR(VLOOKUP($B650,SERVIÇOS!$B:$G,4,0),IFERROR(VLOOKUP($B650,$D:$K,6,0),)),IFERROR(VLOOKUP($C650,INSUMOS!$A:$D,4,0),IFERROR(VLOOKUP($C650,COTAÇÕES!$B:$I,7,0),(VLOOKUP($C650,'INSUMO SINAPI - SP'!$C:$F,4,0)))))*$G650,2)</f>
        <v>0.46</v>
      </c>
      <c r="J650" s="513">
        <f>TRUNC(IF($C650="",IFERROR(VLOOKUP($B650,SERVIÇOS!$B:$G,5,0),IFERROR(VLOOKUP($B650,$D:$K,7,0),)),0)*$G650,2)</f>
        <v>1.4</v>
      </c>
      <c r="K650" s="514">
        <f>I650+J650</f>
        <v>1.8599999999999999</v>
      </c>
      <c r="L650" s="515"/>
      <c r="M650" s="471"/>
      <c r="N650" s="516"/>
      <c r="Q650" s="472"/>
      <c r="R650" s="472"/>
      <c r="S650" s="472"/>
      <c r="T650" s="472"/>
      <c r="U650" s="472"/>
      <c r="V650" s="472"/>
      <c r="W650" s="472"/>
      <c r="X650" s="472"/>
      <c r="Y650" s="472"/>
    </row>
    <row r="651" spans="1:25" x14ac:dyDescent="0.25">
      <c r="A651" s="463"/>
      <c r="B651" s="498"/>
      <c r="C651" s="498"/>
      <c r="D651" s="499" t="s">
        <v>12256</v>
      </c>
      <c r="E651" s="555" t="s">
        <v>12938</v>
      </c>
      <c r="F651" s="501" t="s">
        <v>580</v>
      </c>
      <c r="G651" s="502"/>
      <c r="H651" s="503"/>
      <c r="I651" s="504">
        <f>ROUND(SUM(I652:I654),2)</f>
        <v>1.93</v>
      </c>
      <c r="J651" s="504">
        <f>ROUND(SUM(J652:J654),2)</f>
        <v>1.1200000000000001</v>
      </c>
      <c r="K651" s="504">
        <f>+J651+I651</f>
        <v>3.05</v>
      </c>
      <c r="L651" s="523" t="s">
        <v>12927</v>
      </c>
      <c r="M651" s="471"/>
      <c r="N651" s="505"/>
      <c r="Q651" s="472"/>
      <c r="R651" s="472"/>
      <c r="S651" s="472"/>
      <c r="T651" s="472"/>
      <c r="U651" s="472"/>
      <c r="V651" s="472"/>
      <c r="W651" s="472"/>
      <c r="X651" s="472"/>
      <c r="Y651" s="472"/>
    </row>
    <row r="652" spans="1:25" ht="24" x14ac:dyDescent="0.25">
      <c r="A652" s="463"/>
      <c r="B652" s="506"/>
      <c r="C652" s="507">
        <v>1571</v>
      </c>
      <c r="D652" s="508"/>
      <c r="E652" s="509" t="str">
        <f>IF($C652="",IFERROR(VLOOKUP($B652,SERVIÇOS!$B:$G,2,0),IFERROR(VLOOKUP($B652,$D:$K,2,0),"")),IFERROR(VLOOKUP($C652,INSUMOS!$A:$D,2,0),IFERROR(VLOOKUP($C652,COTAÇÕES!$B:$I,2,0),(VLOOKUP($C652,'INSUMO SINAPI - SP'!$C:$F,2,0)))))</f>
        <v>TERMINAL A COMPRESSAO EM COBRE ESTANHADO PARA CABO 4 MM2, 1 FURO E 1 COMPRESSAO, PARA PARAFUSO DE FIXACAO M5</v>
      </c>
      <c r="F652" s="510" t="str">
        <f>IF($C652="",IFERROR(VLOOKUP($B652,SERVIÇOS!$B:$G,3,0),IFERROR(VLOOKUP($B652,$D:$K,3,0),"")),IFERROR(VLOOKUP($C652,INSUMOS!$A:$D,3,0),IFERROR(VLOOKUP($C652,COTAÇÕES!$B:$I,3,0),(VLOOKUP($C652,'INSUMO SINAPI - SP'!$C:$F,3,0)))))</f>
        <v>UN</v>
      </c>
      <c r="G652" s="511">
        <v>1</v>
      </c>
      <c r="H652" s="512">
        <f>IF($C652="",IFERROR(VLOOKUP($B652,SERVIÇOS!$B:$G,6,0),IFERROR(VLOOKUP($B652,$D:$K,8,0),"")),IFERROR(VLOOKUP($C652,INSUMOS!$A:$D,4,0),IFERROR(VLOOKUP($C652,COTAÇÕES!$B:$I,7,0),(VLOOKUP($C652,'INSUMO SINAPI - SP'!$C:$F,4,0)))))</f>
        <v>1.45</v>
      </c>
      <c r="I652" s="513">
        <f>TRUNC(IF($C652="",IFERROR(VLOOKUP($B652,SERVIÇOS!$B:$G,4,0),IFERROR(VLOOKUP($B652,$D:$K,6,0),)),IFERROR(VLOOKUP($C652,INSUMOS!$A:$D,4,0),IFERROR(VLOOKUP($C652,COTAÇÕES!$B:$I,7,0),(VLOOKUP($C652,'INSUMO SINAPI - SP'!$C:$F,4,0)))))*$G652,2)</f>
        <v>1.45</v>
      </c>
      <c r="J652" s="513">
        <f>TRUNC(IF($C652="",IFERROR(VLOOKUP($B652,SERVIÇOS!$B:$G,5,0),IFERROR(VLOOKUP($B652,$D:$K,7,0),)),0)*$G652,2)</f>
        <v>0</v>
      </c>
      <c r="K652" s="514">
        <f>I652+J652</f>
        <v>1.45</v>
      </c>
      <c r="L652" s="517"/>
      <c r="M652" s="471"/>
      <c r="N652" s="516"/>
      <c r="Q652" s="472"/>
      <c r="R652" s="472"/>
      <c r="S652" s="472"/>
      <c r="T652" s="472"/>
      <c r="U652" s="472"/>
      <c r="V652" s="472"/>
      <c r="W652" s="472"/>
      <c r="X652" s="472"/>
      <c r="Y652" s="472"/>
    </row>
    <row r="653" spans="1:25" x14ac:dyDescent="0.25">
      <c r="A653" s="463"/>
      <c r="B653" s="506"/>
      <c r="C653" s="507" t="s">
        <v>12928</v>
      </c>
      <c r="D653" s="508"/>
      <c r="E653" s="518" t="s">
        <v>12929</v>
      </c>
      <c r="F653" s="519" t="s">
        <v>580</v>
      </c>
      <c r="G653" s="511">
        <v>4.2999999999999997E-2</v>
      </c>
      <c r="H653" s="520">
        <v>2.67</v>
      </c>
      <c r="I653" s="520">
        <f>TRUNC(H653*G653,2)</f>
        <v>0.11</v>
      </c>
      <c r="J653" s="521"/>
      <c r="K653" s="522">
        <f>I653+J653</f>
        <v>0.11</v>
      </c>
      <c r="L653" s="517" t="s">
        <v>12668</v>
      </c>
      <c r="M653" s="471"/>
      <c r="N653" s="516"/>
      <c r="Q653" s="472"/>
      <c r="R653" s="472"/>
      <c r="S653" s="472"/>
      <c r="T653" s="472"/>
      <c r="U653" s="472"/>
      <c r="V653" s="472"/>
      <c r="W653" s="472"/>
      <c r="X653" s="472"/>
      <c r="Y653" s="472"/>
    </row>
    <row r="654" spans="1:25" x14ac:dyDescent="0.25">
      <c r="A654" s="463"/>
      <c r="B654" s="506">
        <v>88264</v>
      </c>
      <c r="C654" s="507"/>
      <c r="D654" s="508"/>
      <c r="E654" s="509" t="str">
        <f>IF($C654="",IFERROR(VLOOKUP($B654,SERVIÇOS!$B:$G,2,0),IFERROR(VLOOKUP($B654,$D:$K,2,0),"")),IFERROR(VLOOKUP($C654,INSUMOS!$A:$D,2,0),IFERROR(VLOOKUP($C654,COTAÇÕES!$B:$I,2,0),(VLOOKUP($C654,'INSUMO SINAPI - SP'!$C:$F,2,0)))))</f>
        <v>ELETRICISTA COM ENCARGOS COMPLEMENTARES</v>
      </c>
      <c r="F654" s="510" t="str">
        <f>IF($C654="",IFERROR(VLOOKUP($B654,SERVIÇOS!$B:$G,3,0),IFERROR(VLOOKUP($B654,$D:$K,3,0),"")),IFERROR(VLOOKUP($C654,INSUMOS!$A:$D,3,0),IFERROR(VLOOKUP($C654,COTAÇÕES!$B:$I,3,0),(VLOOKUP($C654,'INSUMO SINAPI - SP'!$C:$F,3,0)))))</f>
        <v>H</v>
      </c>
      <c r="G654" s="511">
        <v>0.04</v>
      </c>
      <c r="H654" s="512">
        <f>IF($C654="",IFERROR(VLOOKUP($B654,SERVIÇOS!$B:$G,6,0),IFERROR(VLOOKUP($B654,$D:$K,8,0),"")),IFERROR(VLOOKUP($C654,INSUMOS!$A:$D,4,0),IFERROR(VLOOKUP($C654,COTAÇÕES!$B:$I,7,0),(VLOOKUP($C654,'INSUMO SINAPI - SP'!$C:$F,4,0)))))</f>
        <v>37.369999999999997</v>
      </c>
      <c r="I654" s="513">
        <f>TRUNC(IF($C654="",IFERROR(VLOOKUP($B654,SERVIÇOS!$B:$G,4,0),IFERROR(VLOOKUP($B654,$D:$K,6,0),)),IFERROR(VLOOKUP($C654,INSUMOS!$A:$D,4,0),IFERROR(VLOOKUP($C654,COTAÇÕES!$B:$I,7,0),(VLOOKUP($C654,'INSUMO SINAPI - SP'!$C:$F,4,0)))))*$G654,2)</f>
        <v>0.37</v>
      </c>
      <c r="J654" s="513">
        <f>TRUNC(IF($C654="",IFERROR(VLOOKUP($B654,SERVIÇOS!$B:$G,5,0),IFERROR(VLOOKUP($B654,$D:$K,7,0),)),0)*$G654,2)</f>
        <v>1.1200000000000001</v>
      </c>
      <c r="K654" s="514">
        <f>I654+J654</f>
        <v>1.4900000000000002</v>
      </c>
      <c r="L654" s="515"/>
      <c r="M654" s="471"/>
      <c r="N654" s="516"/>
      <c r="Q654" s="472"/>
      <c r="R654" s="472"/>
      <c r="S654" s="472"/>
      <c r="T654" s="472"/>
      <c r="U654" s="472"/>
      <c r="V654" s="472"/>
      <c r="W654" s="472"/>
      <c r="X654" s="472"/>
      <c r="Y654" s="472"/>
    </row>
    <row r="655" spans="1:25" x14ac:dyDescent="0.25">
      <c r="A655" s="463"/>
      <c r="B655" s="498"/>
      <c r="C655" s="498"/>
      <c r="D655" s="499" t="s">
        <v>12262</v>
      </c>
      <c r="E655" s="555" t="s">
        <v>12939</v>
      </c>
      <c r="F655" s="501" t="s">
        <v>580</v>
      </c>
      <c r="G655" s="502"/>
      <c r="H655" s="503"/>
      <c r="I655" s="504">
        <f>ROUND(SUM(I656:I658),2)</f>
        <v>2.21</v>
      </c>
      <c r="J655" s="504">
        <f>ROUND(SUM(J656:J658),2)</f>
        <v>1.1200000000000001</v>
      </c>
      <c r="K655" s="504">
        <f>+J655+I655</f>
        <v>3.33</v>
      </c>
      <c r="L655" s="523" t="s">
        <v>12927</v>
      </c>
      <c r="M655" s="471"/>
      <c r="N655" s="505"/>
      <c r="Q655" s="472"/>
      <c r="R655" s="472"/>
      <c r="S655" s="472"/>
      <c r="T655" s="472"/>
      <c r="U655" s="472"/>
      <c r="V655" s="472"/>
      <c r="W655" s="472"/>
      <c r="X655" s="472"/>
      <c r="Y655" s="472"/>
    </row>
    <row r="656" spans="1:25" ht="24" x14ac:dyDescent="0.25">
      <c r="A656" s="463"/>
      <c r="B656" s="506"/>
      <c r="C656" s="507">
        <v>1573</v>
      </c>
      <c r="D656" s="508"/>
      <c r="E656" s="509" t="str">
        <f>IF($C656="",IFERROR(VLOOKUP($B656,SERVIÇOS!$B:$G,2,0),IFERROR(VLOOKUP($B656,$D:$K,2,0),"")),IFERROR(VLOOKUP($C656,INSUMOS!$A:$D,2,0),IFERROR(VLOOKUP($C656,COTAÇÕES!$B:$I,2,0),(VLOOKUP($C656,'INSUMO SINAPI - SP'!$C:$F,2,0)))))</f>
        <v>TERMINAL A COMPRESSAO EM COBRE ESTANHADO PARA CABO 6 MM2, 1 FURO E 1 COMPRESSAO, PARA PARAFUSO DE FIXACAO M6</v>
      </c>
      <c r="F656" s="510" t="str">
        <f>IF($C656="",IFERROR(VLOOKUP($B656,SERVIÇOS!$B:$G,3,0),IFERROR(VLOOKUP($B656,$D:$K,3,0),"")),IFERROR(VLOOKUP($C656,INSUMOS!$A:$D,3,0),IFERROR(VLOOKUP($C656,COTAÇÕES!$B:$I,3,0),(VLOOKUP($C656,'INSUMO SINAPI - SP'!$C:$F,3,0)))))</f>
        <v>UN</v>
      </c>
      <c r="G656" s="511">
        <v>1</v>
      </c>
      <c r="H656" s="512">
        <f>IF($C656="",IFERROR(VLOOKUP($B656,SERVIÇOS!$B:$G,6,0),IFERROR(VLOOKUP($B656,$D:$K,8,0),"")),IFERROR(VLOOKUP($C656,INSUMOS!$A:$D,4,0),IFERROR(VLOOKUP($C656,COTAÇÕES!$B:$I,7,0),(VLOOKUP($C656,'INSUMO SINAPI - SP'!$C:$F,4,0)))))</f>
        <v>1.73</v>
      </c>
      <c r="I656" s="513">
        <f>TRUNC(IF($C656="",IFERROR(VLOOKUP($B656,SERVIÇOS!$B:$G,4,0),IFERROR(VLOOKUP($B656,$D:$K,6,0),)),IFERROR(VLOOKUP($C656,INSUMOS!$A:$D,4,0),IFERROR(VLOOKUP($C656,COTAÇÕES!$B:$I,7,0),(VLOOKUP($C656,'INSUMO SINAPI - SP'!$C:$F,4,0)))))*$G656,2)</f>
        <v>1.73</v>
      </c>
      <c r="J656" s="513">
        <f>TRUNC(IF($C656="",IFERROR(VLOOKUP($B656,SERVIÇOS!$B:$G,5,0),IFERROR(VLOOKUP($B656,$D:$K,7,0),)),0)*$G656,2)</f>
        <v>0</v>
      </c>
      <c r="K656" s="514">
        <f>I656+J656</f>
        <v>1.73</v>
      </c>
      <c r="L656" s="517"/>
      <c r="M656" s="471"/>
      <c r="N656" s="516"/>
      <c r="Q656" s="472"/>
      <c r="R656" s="472"/>
      <c r="S656" s="472"/>
      <c r="T656" s="472"/>
      <c r="U656" s="472"/>
      <c r="V656" s="472"/>
      <c r="W656" s="472"/>
      <c r="X656" s="472"/>
      <c r="Y656" s="472"/>
    </row>
    <row r="657" spans="1:25" x14ac:dyDescent="0.25">
      <c r="A657" s="463"/>
      <c r="B657" s="506"/>
      <c r="C657" s="507" t="s">
        <v>12928</v>
      </c>
      <c r="D657" s="508"/>
      <c r="E657" s="518" t="s">
        <v>12929</v>
      </c>
      <c r="F657" s="519" t="s">
        <v>580</v>
      </c>
      <c r="G657" s="511">
        <v>4.2999999999999997E-2</v>
      </c>
      <c r="H657" s="520">
        <v>2.67</v>
      </c>
      <c r="I657" s="520">
        <f>TRUNC(H657*G657,2)</f>
        <v>0.11</v>
      </c>
      <c r="J657" s="521"/>
      <c r="K657" s="522">
        <f>I657+J657</f>
        <v>0.11</v>
      </c>
      <c r="L657" s="517" t="s">
        <v>12668</v>
      </c>
      <c r="M657" s="471"/>
      <c r="N657" s="516"/>
      <c r="Q657" s="472"/>
      <c r="R657" s="472"/>
      <c r="S657" s="472"/>
      <c r="T657" s="472"/>
      <c r="U657" s="472"/>
      <c r="V657" s="472"/>
      <c r="W657" s="472"/>
      <c r="X657" s="472"/>
      <c r="Y657" s="472"/>
    </row>
    <row r="658" spans="1:25" x14ac:dyDescent="0.25">
      <c r="A658" s="463"/>
      <c r="B658" s="506">
        <v>88264</v>
      </c>
      <c r="C658" s="507"/>
      <c r="D658" s="508"/>
      <c r="E658" s="509" t="str">
        <f>IF($C658="",IFERROR(VLOOKUP($B658,SERVIÇOS!$B:$G,2,0),IFERROR(VLOOKUP($B658,$D:$K,2,0),"")),IFERROR(VLOOKUP($C658,INSUMOS!$A:$D,2,0),IFERROR(VLOOKUP($C658,COTAÇÕES!$B:$I,2,0),(VLOOKUP($C658,'INSUMO SINAPI - SP'!$C:$F,2,0)))))</f>
        <v>ELETRICISTA COM ENCARGOS COMPLEMENTARES</v>
      </c>
      <c r="F658" s="510" t="str">
        <f>IF($C658="",IFERROR(VLOOKUP($B658,SERVIÇOS!$B:$G,3,0),IFERROR(VLOOKUP($B658,$D:$K,3,0),"")),IFERROR(VLOOKUP($C658,INSUMOS!$A:$D,3,0),IFERROR(VLOOKUP($C658,COTAÇÕES!$B:$I,3,0),(VLOOKUP($C658,'INSUMO SINAPI - SP'!$C:$F,3,0)))))</f>
        <v>H</v>
      </c>
      <c r="G658" s="511">
        <v>0.04</v>
      </c>
      <c r="H658" s="512">
        <f>IF($C658="",IFERROR(VLOOKUP($B658,SERVIÇOS!$B:$G,6,0),IFERROR(VLOOKUP($B658,$D:$K,8,0),"")),IFERROR(VLOOKUP($C658,INSUMOS!$A:$D,4,0),IFERROR(VLOOKUP($C658,COTAÇÕES!$B:$I,7,0),(VLOOKUP($C658,'INSUMO SINAPI - SP'!$C:$F,4,0)))))</f>
        <v>37.369999999999997</v>
      </c>
      <c r="I658" s="513">
        <f>TRUNC(IF($C658="",IFERROR(VLOOKUP($B658,SERVIÇOS!$B:$G,4,0),IFERROR(VLOOKUP($B658,$D:$K,6,0),)),IFERROR(VLOOKUP($C658,INSUMOS!$A:$D,4,0),IFERROR(VLOOKUP($C658,COTAÇÕES!$B:$I,7,0),(VLOOKUP($C658,'INSUMO SINAPI - SP'!$C:$F,4,0)))))*$G658,2)</f>
        <v>0.37</v>
      </c>
      <c r="J658" s="513">
        <f>TRUNC(IF($C658="",IFERROR(VLOOKUP($B658,SERVIÇOS!$B:$G,5,0),IFERROR(VLOOKUP($B658,$D:$K,7,0),)),0)*$G658,2)</f>
        <v>1.1200000000000001</v>
      </c>
      <c r="K658" s="514">
        <f>I658+J658</f>
        <v>1.4900000000000002</v>
      </c>
      <c r="L658" s="515"/>
      <c r="M658" s="471"/>
      <c r="N658" s="516"/>
      <c r="Q658" s="472"/>
      <c r="R658" s="472"/>
      <c r="S658" s="472"/>
      <c r="T658" s="472"/>
      <c r="U658" s="472"/>
      <c r="V658" s="472"/>
      <c r="W658" s="472"/>
      <c r="X658" s="472"/>
      <c r="Y658" s="472"/>
    </row>
    <row r="659" spans="1:25" x14ac:dyDescent="0.25">
      <c r="A659" s="463"/>
      <c r="B659" s="498"/>
      <c r="C659" s="498"/>
      <c r="D659" s="499" t="s">
        <v>12215</v>
      </c>
      <c r="E659" s="555" t="s">
        <v>12940</v>
      </c>
      <c r="F659" s="501" t="s">
        <v>585</v>
      </c>
      <c r="G659" s="502"/>
      <c r="H659" s="503"/>
      <c r="I659" s="504">
        <f>ROUND(SUM(I660:I664),2)</f>
        <v>61.76</v>
      </c>
      <c r="J659" s="504">
        <f>ROUND(SUM(J660:J664),2)</f>
        <v>31.6</v>
      </c>
      <c r="K659" s="504">
        <f>+J659+I659</f>
        <v>93.36</v>
      </c>
      <c r="L659" s="523" t="s">
        <v>12941</v>
      </c>
      <c r="M659" s="471"/>
      <c r="N659" s="505"/>
      <c r="Q659" s="472"/>
      <c r="R659" s="472"/>
      <c r="S659" s="472"/>
      <c r="T659" s="472"/>
      <c r="U659" s="472"/>
      <c r="V659" s="472"/>
      <c r="W659" s="472"/>
      <c r="X659" s="472"/>
      <c r="Y659" s="472"/>
    </row>
    <row r="660" spans="1:25" x14ac:dyDescent="0.25">
      <c r="A660" s="463"/>
      <c r="B660" s="506"/>
      <c r="C660" s="507" t="s">
        <v>12942</v>
      </c>
      <c r="D660" s="508"/>
      <c r="E660" s="518" t="s">
        <v>12943</v>
      </c>
      <c r="F660" s="519" t="s">
        <v>585</v>
      </c>
      <c r="G660" s="511">
        <v>1</v>
      </c>
      <c r="H660" s="520">
        <v>36.119999999999997</v>
      </c>
      <c r="I660" s="520">
        <f>TRUNC(H660*G660,2)</f>
        <v>36.119999999999997</v>
      </c>
      <c r="J660" s="521"/>
      <c r="K660" s="522">
        <f>I660+J660</f>
        <v>36.119999999999997</v>
      </c>
      <c r="L660" s="517" t="s">
        <v>12944</v>
      </c>
      <c r="M660" s="471"/>
      <c r="N660" s="516"/>
      <c r="Q660" s="472"/>
      <c r="R660" s="472"/>
      <c r="S660" s="472"/>
      <c r="T660" s="472"/>
      <c r="U660" s="472"/>
      <c r="V660" s="472"/>
      <c r="W660" s="472"/>
      <c r="X660" s="472"/>
      <c r="Y660" s="472"/>
    </row>
    <row r="661" spans="1:25" x14ac:dyDescent="0.25">
      <c r="A661" s="463"/>
      <c r="B661" s="506"/>
      <c r="C661" s="507" t="s">
        <v>12945</v>
      </c>
      <c r="D661" s="508"/>
      <c r="E661" s="518" t="s">
        <v>12946</v>
      </c>
      <c r="F661" s="519" t="s">
        <v>585</v>
      </c>
      <c r="G661" s="511">
        <v>1</v>
      </c>
      <c r="H661" s="520">
        <v>10.07</v>
      </c>
      <c r="I661" s="520">
        <f>TRUNC(H661*G661,2)</f>
        <v>10.07</v>
      </c>
      <c r="J661" s="521"/>
      <c r="K661" s="522">
        <f>I661+J661</f>
        <v>10.07</v>
      </c>
      <c r="L661" s="517" t="s">
        <v>12668</v>
      </c>
      <c r="M661" s="471"/>
      <c r="N661" s="516"/>
      <c r="Q661" s="472"/>
      <c r="R661" s="472"/>
      <c r="S661" s="472"/>
      <c r="T661" s="472"/>
      <c r="U661" s="472"/>
      <c r="V661" s="472"/>
      <c r="W661" s="472"/>
      <c r="X661" s="472"/>
      <c r="Y661" s="472"/>
    </row>
    <row r="662" spans="1:25" x14ac:dyDescent="0.25">
      <c r="A662" s="463"/>
      <c r="B662" s="506">
        <v>88264</v>
      </c>
      <c r="C662" s="507"/>
      <c r="D662" s="508"/>
      <c r="E662" s="509" t="str">
        <f>IF($C662="",IFERROR(VLOOKUP($B662,SERVIÇOS!$B:$G,2,0),IFERROR(VLOOKUP($B662,$D:$K,2,0),"")),IFERROR(VLOOKUP($C662,INSUMOS!$A:$D,2,0),IFERROR(VLOOKUP($C662,COTAÇÕES!$B:$I,2,0),(VLOOKUP($C662,'INSUMO SINAPI - SP'!$C:$F,2,0)))))</f>
        <v>ELETRICISTA COM ENCARGOS COMPLEMENTARES</v>
      </c>
      <c r="F662" s="510" t="str">
        <f>IF($C662="",IFERROR(VLOOKUP($B662,SERVIÇOS!$B:$G,3,0),IFERROR(VLOOKUP($B662,$D:$K,3,0),"")),IFERROR(VLOOKUP($C662,INSUMOS!$A:$D,3,0),IFERROR(VLOOKUP($C662,COTAÇÕES!$B:$I,3,0),(VLOOKUP($C662,'INSUMO SINAPI - SP'!$C:$F,3,0)))))</f>
        <v>H</v>
      </c>
      <c r="G662" s="511">
        <v>0.5</v>
      </c>
      <c r="H662" s="512">
        <f>IF($C662="",IFERROR(VLOOKUP($B662,SERVIÇOS!$B:$G,6,0),IFERROR(VLOOKUP($B662,$D:$K,8,0),"")),IFERROR(VLOOKUP($C662,INSUMOS!$A:$D,4,0),IFERROR(VLOOKUP($C662,COTAÇÕES!$B:$I,7,0),(VLOOKUP($C662,'INSUMO SINAPI - SP'!$C:$F,4,0)))))</f>
        <v>37.369999999999997</v>
      </c>
      <c r="I662" s="513">
        <f>TRUNC(IF($C662="",IFERROR(VLOOKUP($B662,SERVIÇOS!$B:$G,4,0),IFERROR(VLOOKUP($B662,$D:$K,6,0),)),IFERROR(VLOOKUP($C662,INSUMOS!$A:$D,4,0),IFERROR(VLOOKUP($C662,COTAÇÕES!$B:$I,7,0),(VLOOKUP($C662,'INSUMO SINAPI - SP'!$C:$F,4,0)))))*$G662,2)</f>
        <v>4.6500000000000004</v>
      </c>
      <c r="J662" s="513">
        <f>TRUNC(IF($C662="",IFERROR(VLOOKUP($B662,SERVIÇOS!$B:$G,5,0),IFERROR(VLOOKUP($B662,$D:$K,7,0),)),0)*$G662,2)</f>
        <v>14.03</v>
      </c>
      <c r="K662" s="514">
        <f>I662+J662</f>
        <v>18.68</v>
      </c>
      <c r="L662" s="515"/>
      <c r="M662" s="471"/>
      <c r="N662" s="516"/>
      <c r="Q662" s="472"/>
      <c r="R662" s="472"/>
      <c r="S662" s="472"/>
      <c r="T662" s="472"/>
      <c r="U662" s="472"/>
      <c r="V662" s="472"/>
      <c r="W662" s="472"/>
      <c r="X662" s="472"/>
      <c r="Y662" s="472"/>
    </row>
    <row r="663" spans="1:25" x14ac:dyDescent="0.25">
      <c r="A663" s="463"/>
      <c r="B663" s="506">
        <v>88247</v>
      </c>
      <c r="C663" s="507"/>
      <c r="D663" s="508"/>
      <c r="E663" s="509" t="str">
        <f>IF($C663="",IFERROR(VLOOKUP($B663,SERVIÇOS!$B:$G,2,0),IFERROR(VLOOKUP($B663,$D:$K,2,0),"")),IFERROR(VLOOKUP($C663,INSUMOS!$A:$D,2,0),IFERROR(VLOOKUP($C663,COTAÇÕES!$B:$I,2,0),(VLOOKUP($C663,'INSUMO SINAPI - SP'!$C:$F,2,0)))))</f>
        <v>AUXILIAR DE ELETRICISTA COM ENCARGOS COMPLEMENTARES</v>
      </c>
      <c r="F663" s="510" t="str">
        <f>IF($C663="",IFERROR(VLOOKUP($B663,SERVIÇOS!$B:$G,3,0),IFERROR(VLOOKUP($B663,$D:$K,3,0),"")),IFERROR(VLOOKUP($C663,INSUMOS!$A:$D,3,0),IFERROR(VLOOKUP($C663,COTAÇÕES!$B:$I,3,0),(VLOOKUP($C663,'INSUMO SINAPI - SP'!$C:$F,3,0)))))</f>
        <v>H</v>
      </c>
      <c r="G663" s="511">
        <v>0.5</v>
      </c>
      <c r="H663" s="512">
        <f>IF($C663="",IFERROR(VLOOKUP($B663,SERVIÇOS!$B:$G,6,0),IFERROR(VLOOKUP($B663,$D:$K,8,0),"")),IFERROR(VLOOKUP($C663,INSUMOS!$A:$D,4,0),IFERROR(VLOOKUP($C663,COTAÇÕES!$B:$I,7,0),(VLOOKUP($C663,'INSUMO SINAPI - SP'!$C:$F,4,0)))))</f>
        <v>30.8</v>
      </c>
      <c r="I663" s="513">
        <f>TRUNC(IF($C663="",IFERROR(VLOOKUP($B663,SERVIÇOS!$B:$G,4,0),IFERROR(VLOOKUP($B663,$D:$K,6,0),)),IFERROR(VLOOKUP($C663,INSUMOS!$A:$D,4,0),IFERROR(VLOOKUP($C663,COTAÇÕES!$B:$I,7,0),(VLOOKUP($C663,'INSUMO SINAPI - SP'!$C:$F,4,0)))))*$G663,2)</f>
        <v>4.66</v>
      </c>
      <c r="J663" s="513">
        <f>TRUNC(IF($C663="",IFERROR(VLOOKUP($B663,SERVIÇOS!$B:$G,5,0),IFERROR(VLOOKUP($B663,$D:$K,7,0),)),0)*$G663,2)</f>
        <v>10.74</v>
      </c>
      <c r="K663" s="514">
        <f>I663+J663</f>
        <v>15.4</v>
      </c>
      <c r="L663" s="515"/>
      <c r="M663" s="471"/>
      <c r="N663" s="516"/>
      <c r="Q663" s="472"/>
      <c r="R663" s="472"/>
      <c r="S663" s="472"/>
      <c r="T663" s="472"/>
      <c r="U663" s="472"/>
      <c r="V663" s="472"/>
      <c r="W663" s="472"/>
      <c r="X663" s="472"/>
      <c r="Y663" s="472"/>
    </row>
    <row r="664" spans="1:25" ht="36" x14ac:dyDescent="0.25">
      <c r="A664" s="463"/>
      <c r="B664" s="506">
        <v>91170</v>
      </c>
      <c r="C664" s="507"/>
      <c r="D664" s="508"/>
      <c r="E664" s="509" t="str">
        <f>IF($C664="",IFERROR(VLOOKUP($B664,SERVIÇOS!$B:$G,2,0),IFERROR(VLOOKUP($B664,$D:$K,2,0),"")),IFERROR(VLOOKUP($C664,INSUMOS!$A:$D,2,0),IFERROR(VLOOKUP($C664,COTAÇÕES!$B:$I,2,0),(VLOOKUP($C664,'INSUMO SINAPI - SP'!$C:$F,2,0)))))</f>
        <v>FIXAÇÃO DE TUBOS HORIZONTAIS DE PVC ÁGUA, PVC ESGOTO, PVC ÁGUA PLUVIAL, CPVC, PPR, COBRE OU AÇO, DIÂMETROS MENORES OU IGUAIS A 40 MM, COM ABRAÇADEIRA METÁLICA RÍGIDA TIPO U PERFIL 1 1/4", FIXADA EM PERFILADO EM LAJE. AF_09/2023_PS</v>
      </c>
      <c r="F664" s="510" t="str">
        <f>IF($C664="",IFERROR(VLOOKUP($B664,SERVIÇOS!$B:$G,3,0),IFERROR(VLOOKUP($B664,$D:$K,3,0),"")),IFERROR(VLOOKUP($C664,INSUMOS!$A:$D,3,0),IFERROR(VLOOKUP($C664,COTAÇÕES!$B:$I,3,0),(VLOOKUP($C664,'INSUMO SINAPI - SP'!$C:$F,3,0)))))</f>
        <v>M</v>
      </c>
      <c r="G664" s="511">
        <v>1</v>
      </c>
      <c r="H664" s="512">
        <f>IF($C664="",IFERROR(VLOOKUP($B664,SERVIÇOS!$B:$G,6,0),IFERROR(VLOOKUP($B664,$D:$K,8,0),"")),IFERROR(VLOOKUP($C664,INSUMOS!$A:$D,4,0),IFERROR(VLOOKUP($C664,COTAÇÕES!$B:$I,7,0),(VLOOKUP($C664,'INSUMO SINAPI - SP'!$C:$F,4,0)))))</f>
        <v>13.09</v>
      </c>
      <c r="I664" s="513">
        <f>TRUNC(IF($C664="",IFERROR(VLOOKUP($B664,SERVIÇOS!$B:$G,4,0),IFERROR(VLOOKUP($B664,$D:$K,6,0),)),IFERROR(VLOOKUP($C664,INSUMOS!$A:$D,4,0),IFERROR(VLOOKUP($C664,COTAÇÕES!$B:$I,7,0),(VLOOKUP($C664,'INSUMO SINAPI - SP'!$C:$F,4,0)))))*$G664,2)</f>
        <v>6.26</v>
      </c>
      <c r="J664" s="513">
        <f>TRUNC(IF($C664="",IFERROR(VLOOKUP($B664,SERVIÇOS!$B:$G,5,0),IFERROR(VLOOKUP($B664,$D:$K,7,0),)),0)*$G664,2)</f>
        <v>6.83</v>
      </c>
      <c r="K664" s="514">
        <f>I664+J664</f>
        <v>13.09</v>
      </c>
      <c r="L664" s="515"/>
      <c r="M664" s="471"/>
      <c r="N664" s="516"/>
      <c r="Q664" s="472"/>
      <c r="R664" s="472"/>
      <c r="S664" s="472"/>
      <c r="T664" s="472"/>
      <c r="U664" s="472"/>
      <c r="V664" s="472"/>
      <c r="W664" s="472"/>
      <c r="X664" s="472"/>
      <c r="Y664" s="472"/>
    </row>
    <row r="665" spans="1:25" ht="24" x14ac:dyDescent="0.25">
      <c r="A665" s="463"/>
      <c r="B665" s="498"/>
      <c r="C665" s="498"/>
      <c r="D665" s="499" t="s">
        <v>12060</v>
      </c>
      <c r="E665" s="555" t="s">
        <v>12947</v>
      </c>
      <c r="F665" s="501" t="s">
        <v>580</v>
      </c>
      <c r="G665" s="502"/>
      <c r="H665" s="503"/>
      <c r="I665" s="504">
        <f>ROUND(SUM(I666:I668),2)</f>
        <v>546.79999999999995</v>
      </c>
      <c r="J665" s="504">
        <f>ROUND(SUM(J666:J668),2)</f>
        <v>8.42</v>
      </c>
      <c r="K665" s="504">
        <f>+J665+I665</f>
        <v>555.21999999999991</v>
      </c>
      <c r="L665" s="523" t="s">
        <v>12948</v>
      </c>
      <c r="M665" s="471"/>
      <c r="N665" s="505"/>
      <c r="Q665" s="472"/>
      <c r="R665" s="472"/>
      <c r="S665" s="472"/>
      <c r="T665" s="472"/>
      <c r="U665" s="472"/>
      <c r="V665" s="472"/>
      <c r="W665" s="472"/>
      <c r="X665" s="472"/>
      <c r="Y665" s="472"/>
    </row>
    <row r="666" spans="1:25" x14ac:dyDescent="0.25">
      <c r="A666" s="463"/>
      <c r="B666" s="506"/>
      <c r="C666" s="507" t="s">
        <v>12949</v>
      </c>
      <c r="D666" s="508"/>
      <c r="E666" s="518" t="s">
        <v>12950</v>
      </c>
      <c r="F666" s="519" t="s">
        <v>580</v>
      </c>
      <c r="G666" s="511">
        <v>1</v>
      </c>
      <c r="H666" s="520">
        <v>543.64</v>
      </c>
      <c r="I666" s="520">
        <f>TRUNC(H666*G666,2)</f>
        <v>543.64</v>
      </c>
      <c r="J666" s="521"/>
      <c r="K666" s="522">
        <f>I666+J666</f>
        <v>543.64</v>
      </c>
      <c r="L666" s="517" t="s">
        <v>12668</v>
      </c>
      <c r="M666" s="471"/>
      <c r="N666" s="516"/>
      <c r="Q666" s="472"/>
      <c r="R666" s="472"/>
      <c r="S666" s="472"/>
      <c r="T666" s="472"/>
      <c r="U666" s="472"/>
      <c r="V666" s="472"/>
      <c r="W666" s="472"/>
      <c r="X666" s="472"/>
      <c r="Y666" s="472"/>
    </row>
    <row r="667" spans="1:25" x14ac:dyDescent="0.25">
      <c r="A667" s="463"/>
      <c r="B667" s="506">
        <v>88264</v>
      </c>
      <c r="C667" s="507"/>
      <c r="D667" s="508"/>
      <c r="E667" s="509" t="str">
        <f>IF($C667="",IFERROR(VLOOKUP($B667,SERVIÇOS!$B:$G,2,0),IFERROR(VLOOKUP($B667,$D:$K,2,0),"")),IFERROR(VLOOKUP($C667,INSUMOS!$A:$D,2,0),IFERROR(VLOOKUP($C667,COTAÇÕES!$B:$I,2,0),(VLOOKUP($C667,'INSUMO SINAPI - SP'!$C:$F,2,0)))))</f>
        <v>ELETRICISTA COM ENCARGOS COMPLEMENTARES</v>
      </c>
      <c r="F667" s="510" t="str">
        <f>IF($C667="",IFERROR(VLOOKUP($B667,SERVIÇOS!$B:$G,3,0),IFERROR(VLOOKUP($B667,$D:$K,3,0),"")),IFERROR(VLOOKUP($C667,INSUMOS!$A:$D,3,0),IFERROR(VLOOKUP($C667,COTAÇÕES!$B:$I,3,0),(VLOOKUP($C667,'INSUMO SINAPI - SP'!$C:$F,3,0)))))</f>
        <v>H</v>
      </c>
      <c r="G667" s="511">
        <v>0.17</v>
      </c>
      <c r="H667" s="512">
        <f>IF($C667="",IFERROR(VLOOKUP($B667,SERVIÇOS!$B:$G,6,0),IFERROR(VLOOKUP($B667,$D:$K,8,0),"")),IFERROR(VLOOKUP($C667,INSUMOS!$A:$D,4,0),IFERROR(VLOOKUP($C667,COTAÇÕES!$B:$I,7,0),(VLOOKUP($C667,'INSUMO SINAPI - SP'!$C:$F,4,0)))))</f>
        <v>37.369999999999997</v>
      </c>
      <c r="I667" s="513">
        <f>TRUNC(IF($C667="",IFERROR(VLOOKUP($B667,SERVIÇOS!$B:$G,4,0),IFERROR(VLOOKUP($B667,$D:$K,6,0),)),IFERROR(VLOOKUP($C667,INSUMOS!$A:$D,4,0),IFERROR(VLOOKUP($C667,COTAÇÕES!$B:$I,7,0),(VLOOKUP($C667,'INSUMO SINAPI - SP'!$C:$F,4,0)))))*$G667,2)</f>
        <v>1.58</v>
      </c>
      <c r="J667" s="513">
        <f>TRUNC(IF($C667="",IFERROR(VLOOKUP($B667,SERVIÇOS!$B:$G,5,0),IFERROR(VLOOKUP($B667,$D:$K,7,0),)),0)*$G667,2)</f>
        <v>4.7699999999999996</v>
      </c>
      <c r="K667" s="514">
        <f>I667+J667</f>
        <v>6.35</v>
      </c>
      <c r="L667" s="515"/>
      <c r="M667" s="471"/>
      <c r="N667" s="516"/>
      <c r="Q667" s="472"/>
      <c r="R667" s="472"/>
      <c r="S667" s="472"/>
      <c r="T667" s="472"/>
      <c r="U667" s="472"/>
      <c r="V667" s="472"/>
      <c r="W667" s="472"/>
      <c r="X667" s="472"/>
      <c r="Y667" s="472"/>
    </row>
    <row r="668" spans="1:25" x14ac:dyDescent="0.25">
      <c r="A668" s="463"/>
      <c r="B668" s="506">
        <v>88247</v>
      </c>
      <c r="C668" s="507"/>
      <c r="D668" s="508"/>
      <c r="E668" s="509" t="str">
        <f>IF($C668="",IFERROR(VLOOKUP($B668,SERVIÇOS!$B:$G,2,0),IFERROR(VLOOKUP($B668,$D:$K,2,0),"")),IFERROR(VLOOKUP($C668,INSUMOS!$A:$D,2,0),IFERROR(VLOOKUP($C668,COTAÇÕES!$B:$I,2,0),(VLOOKUP($C668,'INSUMO SINAPI - SP'!$C:$F,2,0)))))</f>
        <v>AUXILIAR DE ELETRICISTA COM ENCARGOS COMPLEMENTARES</v>
      </c>
      <c r="F668" s="510" t="str">
        <f>IF($C668="",IFERROR(VLOOKUP($B668,SERVIÇOS!$B:$G,3,0),IFERROR(VLOOKUP($B668,$D:$K,3,0),"")),IFERROR(VLOOKUP($C668,INSUMOS!$A:$D,3,0),IFERROR(VLOOKUP($C668,COTAÇÕES!$B:$I,3,0),(VLOOKUP($C668,'INSUMO SINAPI - SP'!$C:$F,3,0)))))</f>
        <v>H</v>
      </c>
      <c r="G668" s="511">
        <v>0.17</v>
      </c>
      <c r="H668" s="512">
        <f>IF($C668="",IFERROR(VLOOKUP($B668,SERVIÇOS!$B:$G,6,0),IFERROR(VLOOKUP($B668,$D:$K,8,0),"")),IFERROR(VLOOKUP($C668,INSUMOS!$A:$D,4,0),IFERROR(VLOOKUP($C668,COTAÇÕES!$B:$I,7,0),(VLOOKUP($C668,'INSUMO SINAPI - SP'!$C:$F,4,0)))))</f>
        <v>30.8</v>
      </c>
      <c r="I668" s="513">
        <f>TRUNC(IF($C668="",IFERROR(VLOOKUP($B668,SERVIÇOS!$B:$G,4,0),IFERROR(VLOOKUP($B668,$D:$K,6,0),)),IFERROR(VLOOKUP($C668,INSUMOS!$A:$D,4,0),IFERROR(VLOOKUP($C668,COTAÇÕES!$B:$I,7,0),(VLOOKUP($C668,'INSUMO SINAPI - SP'!$C:$F,4,0)))))*$G668,2)</f>
        <v>1.58</v>
      </c>
      <c r="J668" s="513">
        <f>TRUNC(IF($C668="",IFERROR(VLOOKUP($B668,SERVIÇOS!$B:$G,5,0),IFERROR(VLOOKUP($B668,$D:$K,7,0),)),0)*$G668,2)</f>
        <v>3.65</v>
      </c>
      <c r="K668" s="514">
        <f>I668+J668</f>
        <v>5.23</v>
      </c>
      <c r="L668" s="515"/>
      <c r="M668" s="471"/>
      <c r="N668" s="516"/>
      <c r="Q668" s="472"/>
      <c r="R668" s="472"/>
      <c r="S668" s="472"/>
      <c r="T668" s="472"/>
      <c r="U668" s="472"/>
      <c r="V668" s="472"/>
      <c r="W668" s="472"/>
      <c r="X668" s="472"/>
      <c r="Y668" s="472"/>
    </row>
    <row r="669" spans="1:25" x14ac:dyDescent="0.25">
      <c r="A669" s="463"/>
      <c r="B669" s="498"/>
      <c r="C669" s="498"/>
      <c r="D669" s="499" t="s">
        <v>12216</v>
      </c>
      <c r="E669" s="555" t="s">
        <v>12951</v>
      </c>
      <c r="F669" s="501" t="s">
        <v>585</v>
      </c>
      <c r="G669" s="502"/>
      <c r="H669" s="503"/>
      <c r="I669" s="504">
        <f>ROUND(SUM(I670:I673),2)</f>
        <v>241.21</v>
      </c>
      <c r="J669" s="504">
        <f>ROUND(SUM(J670:J673),2)</f>
        <v>43.98</v>
      </c>
      <c r="K669" s="504">
        <f>+J669+I669</f>
        <v>285.19</v>
      </c>
      <c r="L669" s="523" t="s">
        <v>12952</v>
      </c>
      <c r="M669" s="471"/>
      <c r="N669" s="505"/>
      <c r="Q669" s="472"/>
      <c r="R669" s="472"/>
      <c r="S669" s="472"/>
      <c r="T669" s="472"/>
      <c r="U669" s="472"/>
      <c r="V669" s="472"/>
      <c r="W669" s="472"/>
      <c r="X669" s="472"/>
      <c r="Y669" s="472"/>
    </row>
    <row r="670" spans="1:25" ht="24" x14ac:dyDescent="0.25">
      <c r="A670" s="463"/>
      <c r="B670" s="506"/>
      <c r="C670" s="507" t="s">
        <v>12953</v>
      </c>
      <c r="D670" s="508"/>
      <c r="E670" s="518" t="s">
        <v>12954</v>
      </c>
      <c r="F670" s="519" t="s">
        <v>585</v>
      </c>
      <c r="G670" s="511">
        <v>1.3</v>
      </c>
      <c r="H670" s="520">
        <v>169.99</v>
      </c>
      <c r="I670" s="520">
        <f>TRUNC(H670*G670,2)</f>
        <v>220.98</v>
      </c>
      <c r="J670" s="521"/>
      <c r="K670" s="522">
        <f>I670+J670</f>
        <v>220.98</v>
      </c>
      <c r="L670" s="517" t="s">
        <v>12668</v>
      </c>
      <c r="M670" s="471"/>
      <c r="N670" s="516"/>
      <c r="Q670" s="472"/>
      <c r="R670" s="472"/>
      <c r="S670" s="472"/>
      <c r="T670" s="472"/>
      <c r="U670" s="472"/>
      <c r="V670" s="472"/>
      <c r="W670" s="472"/>
      <c r="X670" s="472"/>
      <c r="Y670" s="472"/>
    </row>
    <row r="671" spans="1:25" x14ac:dyDescent="0.25">
      <c r="A671" s="463"/>
      <c r="B671" s="506">
        <v>88264</v>
      </c>
      <c r="C671" s="507"/>
      <c r="D671" s="508"/>
      <c r="E671" s="509" t="str">
        <f>IF($C671="",IFERROR(VLOOKUP($B671,SERVIÇOS!$B:$G,2,0),IFERROR(VLOOKUP($B671,$D:$K,2,0),"")),IFERROR(VLOOKUP($C671,INSUMOS!$A:$D,2,0),IFERROR(VLOOKUP($C671,COTAÇÕES!$B:$I,2,0),(VLOOKUP($C671,'INSUMO SINAPI - SP'!$C:$F,2,0)))))</f>
        <v>ELETRICISTA COM ENCARGOS COMPLEMENTARES</v>
      </c>
      <c r="F671" s="510" t="str">
        <f>IF($C671="",IFERROR(VLOOKUP($B671,SERVIÇOS!$B:$G,3,0),IFERROR(VLOOKUP($B671,$D:$K,3,0),"")),IFERROR(VLOOKUP($C671,INSUMOS!$A:$D,3,0),IFERROR(VLOOKUP($C671,COTAÇÕES!$B:$I,3,0),(VLOOKUP($C671,'INSUMO SINAPI - SP'!$C:$F,3,0)))))</f>
        <v>H</v>
      </c>
      <c r="G671" s="511">
        <v>0.75</v>
      </c>
      <c r="H671" s="512">
        <f>IF($C671="",IFERROR(VLOOKUP($B671,SERVIÇOS!$B:$G,6,0),IFERROR(VLOOKUP($B671,$D:$K,8,0),"")),IFERROR(VLOOKUP($C671,INSUMOS!$A:$D,4,0),IFERROR(VLOOKUP($C671,COTAÇÕES!$B:$I,7,0),(VLOOKUP($C671,'INSUMO SINAPI - SP'!$C:$F,4,0)))))</f>
        <v>37.369999999999997</v>
      </c>
      <c r="I671" s="513">
        <f>TRUNC(IF($C671="",IFERROR(VLOOKUP($B671,SERVIÇOS!$B:$G,4,0),IFERROR(VLOOKUP($B671,$D:$K,6,0),)),IFERROR(VLOOKUP($C671,INSUMOS!$A:$D,4,0),IFERROR(VLOOKUP($C671,COTAÇÕES!$B:$I,7,0),(VLOOKUP($C671,'INSUMO SINAPI - SP'!$C:$F,4,0)))))*$G671,2)</f>
        <v>6.98</v>
      </c>
      <c r="J671" s="513">
        <f>TRUNC(IF($C671="",IFERROR(VLOOKUP($B671,SERVIÇOS!$B:$G,5,0),IFERROR(VLOOKUP($B671,$D:$K,7,0),)),0)*$G671,2)</f>
        <v>21.04</v>
      </c>
      <c r="K671" s="514">
        <f>I671+J671</f>
        <v>28.02</v>
      </c>
      <c r="L671" s="515"/>
      <c r="M671" s="471"/>
      <c r="N671" s="516"/>
      <c r="Q671" s="472"/>
      <c r="R671" s="472"/>
      <c r="S671" s="472"/>
      <c r="T671" s="472"/>
      <c r="U671" s="472"/>
      <c r="V671" s="472"/>
      <c r="W671" s="472"/>
      <c r="X671" s="472"/>
      <c r="Y671" s="472"/>
    </row>
    <row r="672" spans="1:25" x14ac:dyDescent="0.25">
      <c r="A672" s="463"/>
      <c r="B672" s="506">
        <v>88247</v>
      </c>
      <c r="C672" s="507"/>
      <c r="D672" s="508"/>
      <c r="E672" s="509" t="str">
        <f>IF($C672="",IFERROR(VLOOKUP($B672,SERVIÇOS!$B:$G,2,0),IFERROR(VLOOKUP($B672,$D:$K,2,0),"")),IFERROR(VLOOKUP($C672,INSUMOS!$A:$D,2,0),IFERROR(VLOOKUP($C672,COTAÇÕES!$B:$I,2,0),(VLOOKUP($C672,'INSUMO SINAPI - SP'!$C:$F,2,0)))))</f>
        <v>AUXILIAR DE ELETRICISTA COM ENCARGOS COMPLEMENTARES</v>
      </c>
      <c r="F672" s="510" t="str">
        <f>IF($C672="",IFERROR(VLOOKUP($B672,SERVIÇOS!$B:$G,3,0),IFERROR(VLOOKUP($B672,$D:$K,3,0),"")),IFERROR(VLOOKUP($C672,INSUMOS!$A:$D,3,0),IFERROR(VLOOKUP($C672,COTAÇÕES!$B:$I,3,0),(VLOOKUP($C672,'INSUMO SINAPI - SP'!$C:$F,3,0)))))</f>
        <v>H</v>
      </c>
      <c r="G672" s="511">
        <v>0.75</v>
      </c>
      <c r="H672" s="512">
        <f>IF($C672="",IFERROR(VLOOKUP($B672,SERVIÇOS!$B:$G,6,0),IFERROR(VLOOKUP($B672,$D:$K,8,0),"")),IFERROR(VLOOKUP($C672,INSUMOS!$A:$D,4,0),IFERROR(VLOOKUP($C672,COTAÇÕES!$B:$I,7,0),(VLOOKUP($C672,'INSUMO SINAPI - SP'!$C:$F,4,0)))))</f>
        <v>30.8</v>
      </c>
      <c r="I672" s="513">
        <f>TRUNC(IF($C672="",IFERROR(VLOOKUP($B672,SERVIÇOS!$B:$G,4,0),IFERROR(VLOOKUP($B672,$D:$K,6,0),)),IFERROR(VLOOKUP($C672,INSUMOS!$A:$D,4,0),IFERROR(VLOOKUP($C672,COTAÇÕES!$B:$I,7,0),(VLOOKUP($C672,'INSUMO SINAPI - SP'!$C:$F,4,0)))))*$G672,2)</f>
        <v>6.99</v>
      </c>
      <c r="J672" s="513">
        <f>TRUNC(IF($C672="",IFERROR(VLOOKUP($B672,SERVIÇOS!$B:$G,5,0),IFERROR(VLOOKUP($B672,$D:$K,7,0),)),0)*$G672,2)</f>
        <v>16.11</v>
      </c>
      <c r="K672" s="514">
        <f>I672+J672</f>
        <v>23.1</v>
      </c>
      <c r="L672" s="515"/>
      <c r="M672" s="471"/>
      <c r="N672" s="516"/>
      <c r="Q672" s="472"/>
      <c r="R672" s="472"/>
      <c r="S672" s="472"/>
      <c r="T672" s="472"/>
      <c r="U672" s="472"/>
      <c r="V672" s="472"/>
      <c r="W672" s="472"/>
      <c r="X672" s="472"/>
      <c r="Y672" s="472"/>
    </row>
    <row r="673" spans="1:25" ht="36" x14ac:dyDescent="0.25">
      <c r="A673" s="463"/>
      <c r="B673" s="506">
        <v>91170</v>
      </c>
      <c r="C673" s="507"/>
      <c r="D673" s="508"/>
      <c r="E673" s="509" t="str">
        <f>IF($C673="",IFERROR(VLOOKUP($B673,SERVIÇOS!$B:$G,2,0),IFERROR(VLOOKUP($B673,$D:$K,2,0),"")),IFERROR(VLOOKUP($C673,INSUMOS!$A:$D,2,0),IFERROR(VLOOKUP($C673,COTAÇÕES!$B:$I,2,0),(VLOOKUP($C673,'INSUMO SINAPI - SP'!$C:$F,2,0)))))</f>
        <v>FIXAÇÃO DE TUBOS HORIZONTAIS DE PVC ÁGUA, PVC ESGOTO, PVC ÁGUA PLUVIAL, CPVC, PPR, COBRE OU AÇO, DIÂMETROS MENORES OU IGUAIS A 40 MM, COM ABRAÇADEIRA METÁLICA RÍGIDA TIPO U PERFIL 1 1/4", FIXADA EM PERFILADO EM LAJE. AF_09/2023_PS</v>
      </c>
      <c r="F673" s="510" t="str">
        <f>IF($C673="",IFERROR(VLOOKUP($B673,SERVIÇOS!$B:$G,3,0),IFERROR(VLOOKUP($B673,$D:$K,3,0),"")),IFERROR(VLOOKUP($C673,INSUMOS!$A:$D,3,0),IFERROR(VLOOKUP($C673,COTAÇÕES!$B:$I,3,0),(VLOOKUP($C673,'INSUMO SINAPI - SP'!$C:$F,3,0)))))</f>
        <v>M</v>
      </c>
      <c r="G673" s="511">
        <v>1</v>
      </c>
      <c r="H673" s="512">
        <f>IF($C673="",IFERROR(VLOOKUP($B673,SERVIÇOS!$B:$G,6,0),IFERROR(VLOOKUP($B673,$D:$K,8,0),"")),IFERROR(VLOOKUP($C673,INSUMOS!$A:$D,4,0),IFERROR(VLOOKUP($C673,COTAÇÕES!$B:$I,7,0),(VLOOKUP($C673,'INSUMO SINAPI - SP'!$C:$F,4,0)))))</f>
        <v>13.09</v>
      </c>
      <c r="I673" s="513">
        <f>TRUNC(IF($C673="",IFERROR(VLOOKUP($B673,SERVIÇOS!$B:$G,4,0),IFERROR(VLOOKUP($B673,$D:$K,6,0),)),IFERROR(VLOOKUP($C673,INSUMOS!$A:$D,4,0),IFERROR(VLOOKUP($C673,COTAÇÕES!$B:$I,7,0),(VLOOKUP($C673,'INSUMO SINAPI - SP'!$C:$F,4,0)))))*$G673,2)</f>
        <v>6.26</v>
      </c>
      <c r="J673" s="513">
        <f>TRUNC(IF($C673="",IFERROR(VLOOKUP($B673,SERVIÇOS!$B:$G,5,0),IFERROR(VLOOKUP($B673,$D:$K,7,0),)),0)*$G673,2)</f>
        <v>6.83</v>
      </c>
      <c r="K673" s="514">
        <f>I673+J673</f>
        <v>13.09</v>
      </c>
      <c r="L673" s="515"/>
      <c r="M673" s="471"/>
      <c r="N673" s="516"/>
      <c r="Q673" s="472"/>
      <c r="R673" s="472"/>
      <c r="S673" s="472"/>
      <c r="T673" s="472"/>
      <c r="U673" s="472"/>
      <c r="V673" s="472"/>
      <c r="W673" s="472"/>
      <c r="X673" s="472"/>
      <c r="Y673" s="472"/>
    </row>
    <row r="674" spans="1:25" x14ac:dyDescent="0.25">
      <c r="A674" s="463"/>
      <c r="B674" s="498"/>
      <c r="C674" s="498"/>
      <c r="D674" s="499" t="s">
        <v>12284</v>
      </c>
      <c r="E674" s="555" t="s">
        <v>12955</v>
      </c>
      <c r="F674" s="501" t="s">
        <v>585</v>
      </c>
      <c r="G674" s="502"/>
      <c r="H674" s="503"/>
      <c r="I674" s="504">
        <f>ROUND(SUM(I675:I678),2)</f>
        <v>258.89</v>
      </c>
      <c r="J674" s="504">
        <f>ROUND(SUM(J675:J678),2)</f>
        <v>56.37</v>
      </c>
      <c r="K674" s="504">
        <f>+J674+I674</f>
        <v>315.26</v>
      </c>
      <c r="L674" s="523" t="s">
        <v>12956</v>
      </c>
      <c r="M674" s="471"/>
      <c r="N674" s="505"/>
      <c r="Q674" s="472"/>
      <c r="R674" s="472"/>
      <c r="S674" s="472"/>
      <c r="T674" s="472"/>
      <c r="U674" s="472"/>
      <c r="V674" s="472"/>
      <c r="W674" s="472"/>
      <c r="X674" s="472"/>
      <c r="Y674" s="472"/>
    </row>
    <row r="675" spans="1:25" x14ac:dyDescent="0.25">
      <c r="A675" s="463"/>
      <c r="B675" s="506">
        <v>88247</v>
      </c>
      <c r="C675" s="507"/>
      <c r="D675" s="508"/>
      <c r="E675" s="509" t="str">
        <f>IF($C675="",IFERROR(VLOOKUP($B675,SERVIÇOS!$B:$G,2,0),IFERROR(VLOOKUP($B675,$D:$K,2,0),"")),IFERROR(VLOOKUP($C675,INSUMOS!$A:$D,2,0),IFERROR(VLOOKUP($C675,COTAÇÕES!$B:$I,2,0),(VLOOKUP($C675,'INSUMO SINAPI - SP'!$C:$F,2,0)))))</f>
        <v>AUXILIAR DE ELETRICISTA COM ENCARGOS COMPLEMENTARES</v>
      </c>
      <c r="F675" s="510" t="str">
        <f>IF($C675="",IFERROR(VLOOKUP($B675,SERVIÇOS!$B:$G,3,0),IFERROR(VLOOKUP($B675,$D:$K,3,0),"")),IFERROR(VLOOKUP($C675,INSUMOS!$A:$D,3,0),IFERROR(VLOOKUP($C675,COTAÇÕES!$B:$I,3,0),(VLOOKUP($C675,'INSUMO SINAPI - SP'!$C:$F,3,0)))))</f>
        <v>H</v>
      </c>
      <c r="G675" s="511">
        <v>1</v>
      </c>
      <c r="H675" s="512">
        <f>IF($C675="",IFERROR(VLOOKUP($B675,SERVIÇOS!$B:$G,6,0),IFERROR(VLOOKUP($B675,$D:$K,8,0),"")),IFERROR(VLOOKUP($C675,INSUMOS!$A:$D,4,0),IFERROR(VLOOKUP($C675,COTAÇÕES!$B:$I,7,0),(VLOOKUP($C675,'INSUMO SINAPI - SP'!$C:$F,4,0)))))</f>
        <v>30.8</v>
      </c>
      <c r="I675" s="513">
        <f>TRUNC(IF($C675="",IFERROR(VLOOKUP($B675,SERVIÇOS!$B:$G,4,0),IFERROR(VLOOKUP($B675,$D:$K,6,0),)),IFERROR(VLOOKUP($C675,INSUMOS!$A:$D,4,0),IFERROR(VLOOKUP($C675,COTAÇÕES!$B:$I,7,0),(VLOOKUP($C675,'INSUMO SINAPI - SP'!$C:$F,4,0)))))*$G675,2)</f>
        <v>9.32</v>
      </c>
      <c r="J675" s="513">
        <f>TRUNC(IF($C675="",IFERROR(VLOOKUP($B675,SERVIÇOS!$B:$G,5,0),IFERROR(VLOOKUP($B675,$D:$K,7,0),)),0)*$G675,2)</f>
        <v>21.48</v>
      </c>
      <c r="K675" s="514">
        <f>I675+J675</f>
        <v>30.8</v>
      </c>
      <c r="L675" s="515"/>
      <c r="M675" s="471"/>
      <c r="N675" s="516"/>
      <c r="Q675" s="472"/>
      <c r="R675" s="472"/>
      <c r="S675" s="472"/>
      <c r="T675" s="472"/>
      <c r="U675" s="472"/>
      <c r="V675" s="472"/>
      <c r="W675" s="472"/>
      <c r="X675" s="472"/>
      <c r="Y675" s="472"/>
    </row>
    <row r="676" spans="1:25" x14ac:dyDescent="0.25">
      <c r="A676" s="463"/>
      <c r="B676" s="506">
        <v>88264</v>
      </c>
      <c r="C676" s="507"/>
      <c r="D676" s="508"/>
      <c r="E676" s="509" t="str">
        <f>IF($C676="",IFERROR(VLOOKUP($B676,SERVIÇOS!$B:$G,2,0),IFERROR(VLOOKUP($B676,$D:$K,2,0),"")),IFERROR(VLOOKUP($C676,INSUMOS!$A:$D,2,0),IFERROR(VLOOKUP($C676,COTAÇÕES!$B:$I,2,0),(VLOOKUP($C676,'INSUMO SINAPI - SP'!$C:$F,2,0)))))</f>
        <v>ELETRICISTA COM ENCARGOS COMPLEMENTARES</v>
      </c>
      <c r="F676" s="510" t="str">
        <f>IF($C676="",IFERROR(VLOOKUP($B676,SERVIÇOS!$B:$G,3,0),IFERROR(VLOOKUP($B676,$D:$K,3,0),"")),IFERROR(VLOOKUP($C676,INSUMOS!$A:$D,3,0),IFERROR(VLOOKUP($C676,COTAÇÕES!$B:$I,3,0),(VLOOKUP($C676,'INSUMO SINAPI - SP'!$C:$F,3,0)))))</f>
        <v>H</v>
      </c>
      <c r="G676" s="511">
        <v>1</v>
      </c>
      <c r="H676" s="512">
        <f>IF($C676="",IFERROR(VLOOKUP($B676,SERVIÇOS!$B:$G,6,0),IFERROR(VLOOKUP($B676,$D:$K,8,0),"")),IFERROR(VLOOKUP($C676,INSUMOS!$A:$D,4,0),IFERROR(VLOOKUP($C676,COTAÇÕES!$B:$I,7,0),(VLOOKUP($C676,'INSUMO SINAPI - SP'!$C:$F,4,0)))))</f>
        <v>37.369999999999997</v>
      </c>
      <c r="I676" s="513">
        <f>TRUNC(IF($C676="",IFERROR(VLOOKUP($B676,SERVIÇOS!$B:$G,4,0),IFERROR(VLOOKUP($B676,$D:$K,6,0),)),IFERROR(VLOOKUP($C676,INSUMOS!$A:$D,4,0),IFERROR(VLOOKUP($C676,COTAÇÕES!$B:$I,7,0),(VLOOKUP($C676,'INSUMO SINAPI - SP'!$C:$F,4,0)))))*$G676,2)</f>
        <v>9.31</v>
      </c>
      <c r="J676" s="513">
        <f>TRUNC(IF($C676="",IFERROR(VLOOKUP($B676,SERVIÇOS!$B:$G,5,0),IFERROR(VLOOKUP($B676,$D:$K,7,0),)),0)*$G676,2)</f>
        <v>28.06</v>
      </c>
      <c r="K676" s="514">
        <f>I676+J676</f>
        <v>37.369999999999997</v>
      </c>
      <c r="L676" s="515"/>
      <c r="M676" s="471"/>
      <c r="N676" s="516"/>
      <c r="Q676" s="472"/>
      <c r="R676" s="472"/>
      <c r="S676" s="472"/>
      <c r="T676" s="472"/>
      <c r="U676" s="472"/>
      <c r="V676" s="472"/>
      <c r="W676" s="472"/>
      <c r="X676" s="472"/>
      <c r="Y676" s="472"/>
    </row>
    <row r="677" spans="1:25" ht="36" x14ac:dyDescent="0.25">
      <c r="A677" s="463"/>
      <c r="B677" s="506">
        <v>91170</v>
      </c>
      <c r="C677" s="507"/>
      <c r="D677" s="508"/>
      <c r="E677" s="509" t="str">
        <f>IF($C677="",IFERROR(VLOOKUP($B677,SERVIÇOS!$B:$G,2,0),IFERROR(VLOOKUP($B677,$D:$K,2,0),"")),IFERROR(VLOOKUP($C677,INSUMOS!$A:$D,2,0),IFERROR(VLOOKUP($C677,COTAÇÕES!$B:$I,2,0),(VLOOKUP($C677,'INSUMO SINAPI - SP'!$C:$F,2,0)))))</f>
        <v>FIXAÇÃO DE TUBOS HORIZONTAIS DE PVC ÁGUA, PVC ESGOTO, PVC ÁGUA PLUVIAL, CPVC, PPR, COBRE OU AÇO, DIÂMETROS MENORES OU IGUAIS A 40 MM, COM ABRAÇADEIRA METÁLICA RÍGIDA TIPO U PERFIL 1 1/4", FIXADA EM PERFILADO EM LAJE. AF_09/2023_PS</v>
      </c>
      <c r="F677" s="510" t="str">
        <f>IF($C677="",IFERROR(VLOOKUP($B677,SERVIÇOS!$B:$G,3,0),IFERROR(VLOOKUP($B677,$D:$K,3,0),"")),IFERROR(VLOOKUP($C677,INSUMOS!$A:$D,3,0),IFERROR(VLOOKUP($C677,COTAÇÕES!$B:$I,3,0),(VLOOKUP($C677,'INSUMO SINAPI - SP'!$C:$F,3,0)))))</f>
        <v>M</v>
      </c>
      <c r="G677" s="511">
        <v>1</v>
      </c>
      <c r="H677" s="512">
        <f>IF($C677="",IFERROR(VLOOKUP($B677,SERVIÇOS!$B:$G,6,0),IFERROR(VLOOKUP($B677,$D:$K,8,0),"")),IFERROR(VLOOKUP($C677,INSUMOS!$A:$D,4,0),IFERROR(VLOOKUP($C677,COTAÇÕES!$B:$I,7,0),(VLOOKUP($C677,'INSUMO SINAPI - SP'!$C:$F,4,0)))))</f>
        <v>13.09</v>
      </c>
      <c r="I677" s="513">
        <f>TRUNC(IF($C677="",IFERROR(VLOOKUP($B677,SERVIÇOS!$B:$G,4,0),IFERROR(VLOOKUP($B677,$D:$K,6,0),)),IFERROR(VLOOKUP($C677,INSUMOS!$A:$D,4,0),IFERROR(VLOOKUP($C677,COTAÇÕES!$B:$I,7,0),(VLOOKUP($C677,'INSUMO SINAPI - SP'!$C:$F,4,0)))))*$G677,2)</f>
        <v>6.26</v>
      </c>
      <c r="J677" s="513">
        <f>TRUNC(IF($C677="",IFERROR(VLOOKUP($B677,SERVIÇOS!$B:$G,5,0),IFERROR(VLOOKUP($B677,$D:$K,7,0),)),0)*$G677,2)</f>
        <v>6.83</v>
      </c>
      <c r="K677" s="514">
        <f>I677+J677</f>
        <v>13.09</v>
      </c>
      <c r="L677" s="515"/>
      <c r="M677" s="471"/>
      <c r="N677" s="516"/>
      <c r="Q677" s="472"/>
      <c r="R677" s="472"/>
      <c r="S677" s="472"/>
      <c r="T677" s="472"/>
      <c r="U677" s="472"/>
      <c r="V677" s="472"/>
      <c r="W677" s="472"/>
      <c r="X677" s="472"/>
      <c r="Y677" s="472"/>
    </row>
    <row r="678" spans="1:25" x14ac:dyDescent="0.25">
      <c r="A678" s="463"/>
      <c r="B678" s="506"/>
      <c r="C678" s="507" t="s">
        <v>12957</v>
      </c>
      <c r="D678" s="508"/>
      <c r="E678" s="518" t="s">
        <v>12958</v>
      </c>
      <c r="F678" s="519" t="s">
        <v>585</v>
      </c>
      <c r="G678" s="511">
        <v>1.3</v>
      </c>
      <c r="H678" s="520">
        <v>180</v>
      </c>
      <c r="I678" s="520">
        <f>TRUNC(H678*G678,2)</f>
        <v>234</v>
      </c>
      <c r="J678" s="521"/>
      <c r="K678" s="522">
        <f>I678+J678</f>
        <v>234</v>
      </c>
      <c r="L678" s="517" t="s">
        <v>12668</v>
      </c>
      <c r="M678" s="471"/>
      <c r="N678" s="516"/>
      <c r="Q678" s="472"/>
      <c r="R678" s="472"/>
      <c r="S678" s="472"/>
      <c r="T678" s="472"/>
      <c r="U678" s="472"/>
      <c r="V678" s="472"/>
      <c r="W678" s="472"/>
      <c r="X678" s="472"/>
      <c r="Y678" s="472"/>
    </row>
    <row r="679" spans="1:25" x14ac:dyDescent="0.25">
      <c r="A679" s="463"/>
      <c r="B679" s="498"/>
      <c r="C679" s="498"/>
      <c r="D679" s="499" t="s">
        <v>12315</v>
      </c>
      <c r="E679" s="555" t="s">
        <v>12959</v>
      </c>
      <c r="F679" s="501" t="s">
        <v>580</v>
      </c>
      <c r="G679" s="502"/>
      <c r="H679" s="503"/>
      <c r="I679" s="504">
        <f>ROUND(SUM(I680:I682),2)</f>
        <v>50.66</v>
      </c>
      <c r="J679" s="504">
        <f>ROUND(SUM(J680:J682),2)</f>
        <v>4.9400000000000004</v>
      </c>
      <c r="K679" s="504">
        <f>+J679+I679</f>
        <v>55.599999999999994</v>
      </c>
      <c r="L679" s="523" t="s">
        <v>12960</v>
      </c>
      <c r="M679" s="471"/>
      <c r="N679" s="505"/>
      <c r="Q679" s="472"/>
      <c r="R679" s="472"/>
      <c r="S679" s="472"/>
      <c r="T679" s="472"/>
      <c r="U679" s="472"/>
      <c r="V679" s="472"/>
      <c r="W679" s="472"/>
      <c r="X679" s="472"/>
      <c r="Y679" s="472"/>
    </row>
    <row r="680" spans="1:25" x14ac:dyDescent="0.25">
      <c r="A680" s="463"/>
      <c r="B680" s="506"/>
      <c r="C680" s="507" t="s">
        <v>12961</v>
      </c>
      <c r="D680" s="508"/>
      <c r="E680" s="518" t="s">
        <v>12962</v>
      </c>
      <c r="F680" s="519" t="s">
        <v>580</v>
      </c>
      <c r="G680" s="511">
        <v>1</v>
      </c>
      <c r="H680" s="520">
        <v>48.8</v>
      </c>
      <c r="I680" s="520">
        <f>TRUNC(H680*G680,2)</f>
        <v>48.8</v>
      </c>
      <c r="J680" s="521"/>
      <c r="K680" s="522">
        <f>I680+J680</f>
        <v>48.8</v>
      </c>
      <c r="L680" s="517" t="s">
        <v>12901</v>
      </c>
      <c r="M680" s="471"/>
      <c r="N680" s="516"/>
      <c r="Q680" s="472"/>
      <c r="R680" s="472"/>
      <c r="S680" s="472"/>
      <c r="T680" s="472"/>
      <c r="U680" s="472"/>
      <c r="V680" s="472"/>
      <c r="W680" s="472"/>
      <c r="X680" s="472"/>
      <c r="Y680" s="472"/>
    </row>
    <row r="681" spans="1:25" x14ac:dyDescent="0.25">
      <c r="A681" s="463"/>
      <c r="B681" s="506">
        <v>88264</v>
      </c>
      <c r="C681" s="507"/>
      <c r="D681" s="508"/>
      <c r="E681" s="509" t="str">
        <f>IF($C681="",IFERROR(VLOOKUP($B681,SERVIÇOS!$B:$G,2,0),IFERROR(VLOOKUP($B681,$D:$K,2,0),"")),IFERROR(VLOOKUP($C681,INSUMOS!$A:$D,2,0),IFERROR(VLOOKUP($C681,COTAÇÕES!$B:$I,2,0),(VLOOKUP($C681,'INSUMO SINAPI - SP'!$C:$F,2,0)))))</f>
        <v>ELETRICISTA COM ENCARGOS COMPLEMENTARES</v>
      </c>
      <c r="F681" s="510" t="str">
        <f>IF($C681="",IFERROR(VLOOKUP($B681,SERVIÇOS!$B:$G,3,0),IFERROR(VLOOKUP($B681,$D:$K,3,0),"")),IFERROR(VLOOKUP($C681,INSUMOS!$A:$D,3,0),IFERROR(VLOOKUP($C681,COTAÇÕES!$B:$I,3,0),(VLOOKUP($C681,'INSUMO SINAPI - SP'!$C:$F,3,0)))))</f>
        <v>H</v>
      </c>
      <c r="G681" s="511">
        <v>0.1</v>
      </c>
      <c r="H681" s="512">
        <f>IF($C681="",IFERROR(VLOOKUP($B681,SERVIÇOS!$B:$G,6,0),IFERROR(VLOOKUP($B681,$D:$K,8,0),"")),IFERROR(VLOOKUP($C681,INSUMOS!$A:$D,4,0),IFERROR(VLOOKUP($C681,COTAÇÕES!$B:$I,7,0),(VLOOKUP($C681,'INSUMO SINAPI - SP'!$C:$F,4,0)))))</f>
        <v>37.369999999999997</v>
      </c>
      <c r="I681" s="513">
        <f>TRUNC(IF($C681="",IFERROR(VLOOKUP($B681,SERVIÇOS!$B:$G,4,0),IFERROR(VLOOKUP($B681,$D:$K,6,0),)),IFERROR(VLOOKUP($C681,INSUMOS!$A:$D,4,0),IFERROR(VLOOKUP($C681,COTAÇÕES!$B:$I,7,0),(VLOOKUP($C681,'INSUMO SINAPI - SP'!$C:$F,4,0)))))*$G681,2)</f>
        <v>0.93</v>
      </c>
      <c r="J681" s="513">
        <f>TRUNC(IF($C681="",IFERROR(VLOOKUP($B681,SERVIÇOS!$B:$G,5,0),IFERROR(VLOOKUP($B681,$D:$K,7,0),)),0)*$G681,2)</f>
        <v>2.8</v>
      </c>
      <c r="K681" s="514">
        <f>I681+J681</f>
        <v>3.73</v>
      </c>
      <c r="L681" s="515"/>
      <c r="M681" s="471"/>
      <c r="N681" s="516"/>
      <c r="Q681" s="472"/>
      <c r="R681" s="472"/>
      <c r="S681" s="472"/>
      <c r="T681" s="472"/>
      <c r="U681" s="472"/>
      <c r="V681" s="472"/>
      <c r="W681" s="472"/>
      <c r="X681" s="472"/>
      <c r="Y681" s="472"/>
    </row>
    <row r="682" spans="1:25" x14ac:dyDescent="0.25">
      <c r="A682" s="463"/>
      <c r="B682" s="506">
        <v>88247</v>
      </c>
      <c r="C682" s="507"/>
      <c r="D682" s="508"/>
      <c r="E682" s="509" t="str">
        <f>IF($C682="",IFERROR(VLOOKUP($B682,SERVIÇOS!$B:$G,2,0),IFERROR(VLOOKUP($B682,$D:$K,2,0),"")),IFERROR(VLOOKUP($C682,INSUMOS!$A:$D,2,0),IFERROR(VLOOKUP($C682,COTAÇÕES!$B:$I,2,0),(VLOOKUP($C682,'INSUMO SINAPI - SP'!$C:$F,2,0)))))</f>
        <v>AUXILIAR DE ELETRICISTA COM ENCARGOS COMPLEMENTARES</v>
      </c>
      <c r="F682" s="510" t="str">
        <f>IF($C682="",IFERROR(VLOOKUP($B682,SERVIÇOS!$B:$G,3,0),IFERROR(VLOOKUP($B682,$D:$K,3,0),"")),IFERROR(VLOOKUP($C682,INSUMOS!$A:$D,3,0),IFERROR(VLOOKUP($C682,COTAÇÕES!$B:$I,3,0),(VLOOKUP($C682,'INSUMO SINAPI - SP'!$C:$F,3,0)))))</f>
        <v>H</v>
      </c>
      <c r="G682" s="511">
        <v>0.1</v>
      </c>
      <c r="H682" s="512">
        <f>IF($C682="",IFERROR(VLOOKUP($B682,SERVIÇOS!$B:$G,6,0),IFERROR(VLOOKUP($B682,$D:$K,8,0),"")),IFERROR(VLOOKUP($C682,INSUMOS!$A:$D,4,0),IFERROR(VLOOKUP($C682,COTAÇÕES!$B:$I,7,0),(VLOOKUP($C682,'INSUMO SINAPI - SP'!$C:$F,4,0)))))</f>
        <v>30.8</v>
      </c>
      <c r="I682" s="513">
        <f>TRUNC(IF($C682="",IFERROR(VLOOKUP($B682,SERVIÇOS!$B:$G,4,0),IFERROR(VLOOKUP($B682,$D:$K,6,0),)),IFERROR(VLOOKUP($C682,INSUMOS!$A:$D,4,0),IFERROR(VLOOKUP($C682,COTAÇÕES!$B:$I,7,0),(VLOOKUP($C682,'INSUMO SINAPI - SP'!$C:$F,4,0)))))*$G682,2)</f>
        <v>0.93</v>
      </c>
      <c r="J682" s="513">
        <f>TRUNC(IF($C682="",IFERROR(VLOOKUP($B682,SERVIÇOS!$B:$G,5,0),IFERROR(VLOOKUP($B682,$D:$K,7,0),)),0)*$G682,2)</f>
        <v>2.14</v>
      </c>
      <c r="K682" s="514">
        <f>I682+J682</f>
        <v>3.0700000000000003</v>
      </c>
      <c r="L682" s="515"/>
      <c r="M682" s="471"/>
      <c r="N682" s="516"/>
      <c r="Q682" s="472"/>
      <c r="R682" s="472"/>
      <c r="S682" s="472"/>
      <c r="T682" s="472"/>
      <c r="U682" s="472"/>
      <c r="V682" s="472"/>
      <c r="W682" s="472"/>
      <c r="X682" s="472"/>
      <c r="Y682" s="472"/>
    </row>
    <row r="683" spans="1:25" x14ac:dyDescent="0.25">
      <c r="A683" s="463"/>
      <c r="B683" s="498"/>
      <c r="C683" s="498"/>
      <c r="D683" s="499" t="s">
        <v>12314</v>
      </c>
      <c r="E683" s="555" t="s">
        <v>12962</v>
      </c>
      <c r="F683" s="501" t="s">
        <v>580</v>
      </c>
      <c r="G683" s="502"/>
      <c r="H683" s="503"/>
      <c r="I683" s="504">
        <f>ROUND(SUM(I684:I686),2)</f>
        <v>50.66</v>
      </c>
      <c r="J683" s="504">
        <f>ROUND(SUM(J684:J686),2)</f>
        <v>4.9400000000000004</v>
      </c>
      <c r="K683" s="504">
        <f>+J683+I683</f>
        <v>55.599999999999994</v>
      </c>
      <c r="L683" s="523" t="s">
        <v>12960</v>
      </c>
      <c r="M683" s="471"/>
      <c r="N683" s="505"/>
      <c r="Q683" s="472"/>
      <c r="R683" s="472"/>
      <c r="S683" s="472"/>
      <c r="T683" s="472"/>
      <c r="U683" s="472"/>
      <c r="V683" s="472"/>
      <c r="W683" s="472"/>
      <c r="X683" s="472"/>
      <c r="Y683" s="472"/>
    </row>
    <row r="684" spans="1:25" x14ac:dyDescent="0.25">
      <c r="A684" s="463"/>
      <c r="B684" s="506"/>
      <c r="C684" s="507" t="s">
        <v>12961</v>
      </c>
      <c r="D684" s="508"/>
      <c r="E684" s="518" t="s">
        <v>12962</v>
      </c>
      <c r="F684" s="519" t="s">
        <v>580</v>
      </c>
      <c r="G684" s="511">
        <v>1</v>
      </c>
      <c r="H684" s="520">
        <v>48.8</v>
      </c>
      <c r="I684" s="520">
        <f>TRUNC(H684*G684,2)</f>
        <v>48.8</v>
      </c>
      <c r="J684" s="521"/>
      <c r="K684" s="522">
        <f>I684+J684</f>
        <v>48.8</v>
      </c>
      <c r="L684" s="517" t="s">
        <v>12901</v>
      </c>
      <c r="M684" s="471"/>
      <c r="N684" s="516"/>
      <c r="Q684" s="472"/>
      <c r="R684" s="472"/>
      <c r="S684" s="472"/>
      <c r="T684" s="472"/>
      <c r="U684" s="472"/>
      <c r="V684" s="472"/>
      <c r="W684" s="472"/>
      <c r="X684" s="472"/>
      <c r="Y684" s="472"/>
    </row>
    <row r="685" spans="1:25" x14ac:dyDescent="0.25">
      <c r="A685" s="463"/>
      <c r="B685" s="506">
        <v>88264</v>
      </c>
      <c r="C685" s="507"/>
      <c r="D685" s="508"/>
      <c r="E685" s="509" t="str">
        <f>IF($C685="",IFERROR(VLOOKUP($B685,SERVIÇOS!$B:$G,2,0),IFERROR(VLOOKUP($B685,$D:$K,2,0),"")),IFERROR(VLOOKUP($C685,INSUMOS!$A:$D,2,0),IFERROR(VLOOKUP($C685,COTAÇÕES!$B:$I,2,0),(VLOOKUP($C685,'INSUMO SINAPI - SP'!$C:$F,2,0)))))</f>
        <v>ELETRICISTA COM ENCARGOS COMPLEMENTARES</v>
      </c>
      <c r="F685" s="510" t="str">
        <f>IF($C685="",IFERROR(VLOOKUP($B685,SERVIÇOS!$B:$G,3,0),IFERROR(VLOOKUP($B685,$D:$K,3,0),"")),IFERROR(VLOOKUP($C685,INSUMOS!$A:$D,3,0),IFERROR(VLOOKUP($C685,COTAÇÕES!$B:$I,3,0),(VLOOKUP($C685,'INSUMO SINAPI - SP'!$C:$F,3,0)))))</f>
        <v>H</v>
      </c>
      <c r="G685" s="511">
        <v>0.1</v>
      </c>
      <c r="H685" s="512">
        <f>IF($C685="",IFERROR(VLOOKUP($B685,SERVIÇOS!$B:$G,6,0),IFERROR(VLOOKUP($B685,$D:$K,8,0),"")),IFERROR(VLOOKUP($C685,INSUMOS!$A:$D,4,0),IFERROR(VLOOKUP($C685,COTAÇÕES!$B:$I,7,0),(VLOOKUP($C685,'INSUMO SINAPI - SP'!$C:$F,4,0)))))</f>
        <v>37.369999999999997</v>
      </c>
      <c r="I685" s="513">
        <f>TRUNC(IF($C685="",IFERROR(VLOOKUP($B685,SERVIÇOS!$B:$G,4,0),IFERROR(VLOOKUP($B685,$D:$K,6,0),)),IFERROR(VLOOKUP($C685,INSUMOS!$A:$D,4,0),IFERROR(VLOOKUP($C685,COTAÇÕES!$B:$I,7,0),(VLOOKUP($C685,'INSUMO SINAPI - SP'!$C:$F,4,0)))))*$G685,2)</f>
        <v>0.93</v>
      </c>
      <c r="J685" s="513">
        <f>TRUNC(IF($C685="",IFERROR(VLOOKUP($B685,SERVIÇOS!$B:$G,5,0),IFERROR(VLOOKUP($B685,$D:$K,7,0),)),0)*$G685,2)</f>
        <v>2.8</v>
      </c>
      <c r="K685" s="514">
        <f>I685+J685</f>
        <v>3.73</v>
      </c>
      <c r="L685" s="515"/>
      <c r="M685" s="471"/>
      <c r="N685" s="516"/>
      <c r="Q685" s="472"/>
      <c r="R685" s="472"/>
      <c r="S685" s="472"/>
      <c r="T685" s="472"/>
      <c r="U685" s="472"/>
      <c r="V685" s="472"/>
      <c r="W685" s="472"/>
      <c r="X685" s="472"/>
      <c r="Y685" s="472"/>
    </row>
    <row r="686" spans="1:25" x14ac:dyDescent="0.25">
      <c r="A686" s="463"/>
      <c r="B686" s="506">
        <v>88247</v>
      </c>
      <c r="C686" s="507"/>
      <c r="D686" s="508"/>
      <c r="E686" s="509" t="str">
        <f>IF($C686="",IFERROR(VLOOKUP($B686,SERVIÇOS!$B:$G,2,0),IFERROR(VLOOKUP($B686,$D:$K,2,0),"")),IFERROR(VLOOKUP($C686,INSUMOS!$A:$D,2,0),IFERROR(VLOOKUP($C686,COTAÇÕES!$B:$I,2,0),(VLOOKUP($C686,'INSUMO SINAPI - SP'!$C:$F,2,0)))))</f>
        <v>AUXILIAR DE ELETRICISTA COM ENCARGOS COMPLEMENTARES</v>
      </c>
      <c r="F686" s="510" t="str">
        <f>IF($C686="",IFERROR(VLOOKUP($B686,SERVIÇOS!$B:$G,3,0),IFERROR(VLOOKUP($B686,$D:$K,3,0),"")),IFERROR(VLOOKUP($C686,INSUMOS!$A:$D,3,0),IFERROR(VLOOKUP($C686,COTAÇÕES!$B:$I,3,0),(VLOOKUP($C686,'INSUMO SINAPI - SP'!$C:$F,3,0)))))</f>
        <v>H</v>
      </c>
      <c r="G686" s="511">
        <v>0.1</v>
      </c>
      <c r="H686" s="512">
        <f>IF($C686="",IFERROR(VLOOKUP($B686,SERVIÇOS!$B:$G,6,0),IFERROR(VLOOKUP($B686,$D:$K,8,0),"")),IFERROR(VLOOKUP($C686,INSUMOS!$A:$D,4,0),IFERROR(VLOOKUP($C686,COTAÇÕES!$B:$I,7,0),(VLOOKUP($C686,'INSUMO SINAPI - SP'!$C:$F,4,0)))))</f>
        <v>30.8</v>
      </c>
      <c r="I686" s="513">
        <f>TRUNC(IF($C686="",IFERROR(VLOOKUP($B686,SERVIÇOS!$B:$G,4,0),IFERROR(VLOOKUP($B686,$D:$K,6,0),)),IFERROR(VLOOKUP($C686,INSUMOS!$A:$D,4,0),IFERROR(VLOOKUP($C686,COTAÇÕES!$B:$I,7,0),(VLOOKUP($C686,'INSUMO SINAPI - SP'!$C:$F,4,0)))))*$G686,2)</f>
        <v>0.93</v>
      </c>
      <c r="J686" s="513">
        <f>TRUNC(IF($C686="",IFERROR(VLOOKUP($B686,SERVIÇOS!$B:$G,5,0),IFERROR(VLOOKUP($B686,$D:$K,7,0),)),0)*$G686,2)</f>
        <v>2.14</v>
      </c>
      <c r="K686" s="514">
        <f>I686+J686</f>
        <v>3.0700000000000003</v>
      </c>
      <c r="L686" s="515"/>
      <c r="M686" s="471"/>
      <c r="N686" s="516"/>
      <c r="Q686" s="472"/>
      <c r="R686" s="472"/>
      <c r="S686" s="472"/>
      <c r="T686" s="472"/>
      <c r="U686" s="472"/>
      <c r="V686" s="472"/>
      <c r="W686" s="472"/>
      <c r="X686" s="472"/>
      <c r="Y686" s="472"/>
    </row>
    <row r="687" spans="1:25" x14ac:dyDescent="0.25">
      <c r="A687" s="463"/>
      <c r="B687" s="498"/>
      <c r="C687" s="498"/>
      <c r="D687" s="499" t="s">
        <v>12313</v>
      </c>
      <c r="E687" s="555" t="s">
        <v>12963</v>
      </c>
      <c r="F687" s="501" t="s">
        <v>580</v>
      </c>
      <c r="G687" s="502"/>
      <c r="H687" s="503"/>
      <c r="I687" s="504">
        <f>ROUND(SUM(I688:I690),2)</f>
        <v>50.66</v>
      </c>
      <c r="J687" s="504">
        <f>ROUND(SUM(J688:J690),2)</f>
        <v>4.9400000000000004</v>
      </c>
      <c r="K687" s="504">
        <f>+J687+I687</f>
        <v>55.599999999999994</v>
      </c>
      <c r="L687" s="523" t="s">
        <v>12960</v>
      </c>
      <c r="M687" s="471"/>
      <c r="N687" s="505"/>
      <c r="Q687" s="472"/>
      <c r="R687" s="472"/>
      <c r="S687" s="472"/>
      <c r="T687" s="472"/>
      <c r="U687" s="472"/>
      <c r="V687" s="472"/>
      <c r="W687" s="472"/>
      <c r="X687" s="472"/>
      <c r="Y687" s="472"/>
    </row>
    <row r="688" spans="1:25" x14ac:dyDescent="0.25">
      <c r="A688" s="463"/>
      <c r="B688" s="506"/>
      <c r="C688" s="507" t="s">
        <v>12961</v>
      </c>
      <c r="D688" s="508"/>
      <c r="E688" s="518" t="s">
        <v>12962</v>
      </c>
      <c r="F688" s="519" t="s">
        <v>580</v>
      </c>
      <c r="G688" s="511">
        <v>1</v>
      </c>
      <c r="H688" s="520">
        <v>48.8</v>
      </c>
      <c r="I688" s="520">
        <f>TRUNC(H688*G688,2)</f>
        <v>48.8</v>
      </c>
      <c r="J688" s="521"/>
      <c r="K688" s="522">
        <f>I688+J688</f>
        <v>48.8</v>
      </c>
      <c r="L688" s="517" t="s">
        <v>12901</v>
      </c>
      <c r="M688" s="471"/>
      <c r="N688" s="516"/>
      <c r="Q688" s="472"/>
      <c r="R688" s="472"/>
      <c r="S688" s="472"/>
      <c r="T688" s="472"/>
      <c r="U688" s="472"/>
      <c r="V688" s="472"/>
      <c r="W688" s="472"/>
      <c r="X688" s="472"/>
      <c r="Y688" s="472"/>
    </row>
    <row r="689" spans="1:25" x14ac:dyDescent="0.25">
      <c r="A689" s="463"/>
      <c r="B689" s="506">
        <v>88264</v>
      </c>
      <c r="C689" s="507"/>
      <c r="D689" s="508"/>
      <c r="E689" s="509" t="str">
        <f>IF($C689="",IFERROR(VLOOKUP($B689,SERVIÇOS!$B:$G,2,0),IFERROR(VLOOKUP($B689,$D:$K,2,0),"")),IFERROR(VLOOKUP($C689,INSUMOS!$A:$D,2,0),IFERROR(VLOOKUP($C689,COTAÇÕES!$B:$I,2,0),(VLOOKUP($C689,'INSUMO SINAPI - SP'!$C:$F,2,0)))))</f>
        <v>ELETRICISTA COM ENCARGOS COMPLEMENTARES</v>
      </c>
      <c r="F689" s="510" t="str">
        <f>IF($C689="",IFERROR(VLOOKUP($B689,SERVIÇOS!$B:$G,3,0),IFERROR(VLOOKUP($B689,$D:$K,3,0),"")),IFERROR(VLOOKUP($C689,INSUMOS!$A:$D,3,0),IFERROR(VLOOKUP($C689,COTAÇÕES!$B:$I,3,0),(VLOOKUP($C689,'INSUMO SINAPI - SP'!$C:$F,3,0)))))</f>
        <v>H</v>
      </c>
      <c r="G689" s="511">
        <v>0.1</v>
      </c>
      <c r="H689" s="512">
        <f>IF($C689="",IFERROR(VLOOKUP($B689,SERVIÇOS!$B:$G,6,0),IFERROR(VLOOKUP($B689,$D:$K,8,0),"")),IFERROR(VLOOKUP($C689,INSUMOS!$A:$D,4,0),IFERROR(VLOOKUP($C689,COTAÇÕES!$B:$I,7,0),(VLOOKUP($C689,'INSUMO SINAPI - SP'!$C:$F,4,0)))))</f>
        <v>37.369999999999997</v>
      </c>
      <c r="I689" s="513">
        <f>TRUNC(IF($C689="",IFERROR(VLOOKUP($B689,SERVIÇOS!$B:$G,4,0),IFERROR(VLOOKUP($B689,$D:$K,6,0),)),IFERROR(VLOOKUP($C689,INSUMOS!$A:$D,4,0),IFERROR(VLOOKUP($C689,COTAÇÕES!$B:$I,7,0),(VLOOKUP($C689,'INSUMO SINAPI - SP'!$C:$F,4,0)))))*$G689,2)</f>
        <v>0.93</v>
      </c>
      <c r="J689" s="513">
        <f>TRUNC(IF($C689="",IFERROR(VLOOKUP($B689,SERVIÇOS!$B:$G,5,0),IFERROR(VLOOKUP($B689,$D:$K,7,0),)),0)*$G689,2)</f>
        <v>2.8</v>
      </c>
      <c r="K689" s="514">
        <f>I689+J689</f>
        <v>3.73</v>
      </c>
      <c r="L689" s="515"/>
      <c r="M689" s="471"/>
      <c r="N689" s="516"/>
      <c r="Q689" s="472"/>
      <c r="R689" s="472"/>
      <c r="S689" s="472"/>
      <c r="T689" s="472"/>
      <c r="U689" s="472"/>
      <c r="V689" s="472"/>
      <c r="W689" s="472"/>
      <c r="X689" s="472"/>
      <c r="Y689" s="472"/>
    </row>
    <row r="690" spans="1:25" x14ac:dyDescent="0.25">
      <c r="A690" s="463"/>
      <c r="B690" s="506">
        <v>88247</v>
      </c>
      <c r="C690" s="507"/>
      <c r="D690" s="508"/>
      <c r="E690" s="509" t="str">
        <f>IF($C690="",IFERROR(VLOOKUP($B690,SERVIÇOS!$B:$G,2,0),IFERROR(VLOOKUP($B690,$D:$K,2,0),"")),IFERROR(VLOOKUP($C690,INSUMOS!$A:$D,2,0),IFERROR(VLOOKUP($C690,COTAÇÕES!$B:$I,2,0),(VLOOKUP($C690,'INSUMO SINAPI - SP'!$C:$F,2,0)))))</f>
        <v>AUXILIAR DE ELETRICISTA COM ENCARGOS COMPLEMENTARES</v>
      </c>
      <c r="F690" s="510" t="str">
        <f>IF($C690="",IFERROR(VLOOKUP($B690,SERVIÇOS!$B:$G,3,0),IFERROR(VLOOKUP($B690,$D:$K,3,0),"")),IFERROR(VLOOKUP($C690,INSUMOS!$A:$D,3,0),IFERROR(VLOOKUP($C690,COTAÇÕES!$B:$I,3,0),(VLOOKUP($C690,'INSUMO SINAPI - SP'!$C:$F,3,0)))))</f>
        <v>H</v>
      </c>
      <c r="G690" s="511">
        <v>0.1</v>
      </c>
      <c r="H690" s="512">
        <f>IF($C690="",IFERROR(VLOOKUP($B690,SERVIÇOS!$B:$G,6,0),IFERROR(VLOOKUP($B690,$D:$K,8,0),"")),IFERROR(VLOOKUP($C690,INSUMOS!$A:$D,4,0),IFERROR(VLOOKUP($C690,COTAÇÕES!$B:$I,7,0),(VLOOKUP($C690,'INSUMO SINAPI - SP'!$C:$F,4,0)))))</f>
        <v>30.8</v>
      </c>
      <c r="I690" s="513">
        <f>TRUNC(IF($C690="",IFERROR(VLOOKUP($B690,SERVIÇOS!$B:$G,4,0),IFERROR(VLOOKUP($B690,$D:$K,6,0),)),IFERROR(VLOOKUP($C690,INSUMOS!$A:$D,4,0),IFERROR(VLOOKUP($C690,COTAÇÕES!$B:$I,7,0),(VLOOKUP($C690,'INSUMO SINAPI - SP'!$C:$F,4,0)))))*$G690,2)</f>
        <v>0.93</v>
      </c>
      <c r="J690" s="513">
        <f>TRUNC(IF($C690="",IFERROR(VLOOKUP($B690,SERVIÇOS!$B:$G,5,0),IFERROR(VLOOKUP($B690,$D:$K,7,0),)),0)*$G690,2)</f>
        <v>2.14</v>
      </c>
      <c r="K690" s="514">
        <f>I690+J690</f>
        <v>3.0700000000000003</v>
      </c>
      <c r="L690" s="515"/>
      <c r="M690" s="471"/>
      <c r="N690" s="516"/>
      <c r="Q690" s="472"/>
      <c r="R690" s="472"/>
      <c r="S690" s="472"/>
      <c r="T690" s="472"/>
      <c r="U690" s="472"/>
      <c r="V690" s="472"/>
      <c r="W690" s="472"/>
      <c r="X690" s="472"/>
      <c r="Y690" s="472"/>
    </row>
    <row r="691" spans="1:25" ht="48" x14ac:dyDescent="0.25">
      <c r="A691" s="463"/>
      <c r="B691" s="498"/>
      <c r="C691" s="498"/>
      <c r="D691" s="499" t="s">
        <v>12309</v>
      </c>
      <c r="E691" s="555" t="s">
        <v>12964</v>
      </c>
      <c r="F691" s="501" t="s">
        <v>580</v>
      </c>
      <c r="G691" s="502"/>
      <c r="H691" s="503"/>
      <c r="I691" s="504">
        <f>ROUND(SUM(I692:I694),2)</f>
        <v>733.45</v>
      </c>
      <c r="J691" s="504">
        <f>ROUND(SUM(J692:J694),2)</f>
        <v>99.08</v>
      </c>
      <c r="K691" s="504">
        <f>+J691+I691</f>
        <v>832.53000000000009</v>
      </c>
      <c r="L691" s="523" t="s">
        <v>12965</v>
      </c>
      <c r="M691" s="471"/>
      <c r="N691" s="505"/>
      <c r="Q691" s="472"/>
      <c r="R691" s="472"/>
      <c r="S691" s="472"/>
      <c r="T691" s="472"/>
      <c r="U691" s="472"/>
      <c r="V691" s="472"/>
      <c r="W691" s="472"/>
      <c r="X691" s="472"/>
      <c r="Y691" s="472"/>
    </row>
    <row r="692" spans="1:25" x14ac:dyDescent="0.25">
      <c r="A692" s="463"/>
      <c r="B692" s="506"/>
      <c r="C692" s="507" t="s">
        <v>12966</v>
      </c>
      <c r="D692" s="508"/>
      <c r="E692" s="518" t="s">
        <v>12967</v>
      </c>
      <c r="F692" s="519" t="s">
        <v>580</v>
      </c>
      <c r="G692" s="511">
        <v>1</v>
      </c>
      <c r="H692" s="520">
        <v>696.19</v>
      </c>
      <c r="I692" s="520">
        <f>TRUNC(H692*G692,2)</f>
        <v>696.19</v>
      </c>
      <c r="J692" s="521"/>
      <c r="K692" s="522">
        <f>I692+J692</f>
        <v>696.19</v>
      </c>
      <c r="L692" s="517" t="s">
        <v>12668</v>
      </c>
      <c r="M692" s="471"/>
      <c r="N692" s="516"/>
      <c r="Q692" s="472"/>
      <c r="R692" s="472"/>
      <c r="S692" s="472"/>
      <c r="T692" s="472"/>
      <c r="U692" s="472"/>
      <c r="V692" s="472"/>
      <c r="W692" s="472"/>
      <c r="X692" s="472"/>
      <c r="Y692" s="472"/>
    </row>
    <row r="693" spans="1:25" x14ac:dyDescent="0.25">
      <c r="A693" s="463"/>
      <c r="B693" s="506">
        <v>88264</v>
      </c>
      <c r="C693" s="507"/>
      <c r="D693" s="508"/>
      <c r="E693" s="509" t="str">
        <f>IF($C693="",IFERROR(VLOOKUP($B693,SERVIÇOS!$B:$G,2,0),IFERROR(VLOOKUP($B693,$D:$K,2,0),"")),IFERROR(VLOOKUP($C693,INSUMOS!$A:$D,2,0),IFERROR(VLOOKUP($C693,COTAÇÕES!$B:$I,2,0),(VLOOKUP($C693,'INSUMO SINAPI - SP'!$C:$F,2,0)))))</f>
        <v>ELETRICISTA COM ENCARGOS COMPLEMENTARES</v>
      </c>
      <c r="F693" s="510" t="str">
        <f>IF($C693="",IFERROR(VLOOKUP($B693,SERVIÇOS!$B:$G,3,0),IFERROR(VLOOKUP($B693,$D:$K,3,0),"")),IFERROR(VLOOKUP($C693,INSUMOS!$A:$D,3,0),IFERROR(VLOOKUP($C693,COTAÇÕES!$B:$I,3,0),(VLOOKUP($C693,'INSUMO SINAPI - SP'!$C:$F,3,0)))))</f>
        <v>H</v>
      </c>
      <c r="G693" s="511">
        <v>2</v>
      </c>
      <c r="H693" s="512">
        <f>IF($C693="",IFERROR(VLOOKUP($B693,SERVIÇOS!$B:$G,6,0),IFERROR(VLOOKUP($B693,$D:$K,8,0),"")),IFERROR(VLOOKUP($C693,INSUMOS!$A:$D,4,0),IFERROR(VLOOKUP($C693,COTAÇÕES!$B:$I,7,0),(VLOOKUP($C693,'INSUMO SINAPI - SP'!$C:$F,4,0)))))</f>
        <v>37.369999999999997</v>
      </c>
      <c r="I693" s="513">
        <f>TRUNC(IF($C693="",IFERROR(VLOOKUP($B693,SERVIÇOS!$B:$G,4,0),IFERROR(VLOOKUP($B693,$D:$K,6,0),)),IFERROR(VLOOKUP($C693,INSUMOS!$A:$D,4,0),IFERROR(VLOOKUP($C693,COTAÇÕES!$B:$I,7,0),(VLOOKUP($C693,'INSUMO SINAPI - SP'!$C:$F,4,0)))))*$G693,2)</f>
        <v>18.62</v>
      </c>
      <c r="J693" s="513">
        <f>TRUNC(IF($C693="",IFERROR(VLOOKUP($B693,SERVIÇOS!$B:$G,5,0),IFERROR(VLOOKUP($B693,$D:$K,7,0),)),0)*$G693,2)</f>
        <v>56.12</v>
      </c>
      <c r="K693" s="514">
        <f>I693+J693</f>
        <v>74.739999999999995</v>
      </c>
      <c r="L693" s="515"/>
      <c r="M693" s="471"/>
      <c r="N693" s="516"/>
      <c r="Q693" s="472"/>
      <c r="R693" s="472"/>
      <c r="S693" s="472"/>
      <c r="T693" s="472"/>
      <c r="U693" s="472"/>
      <c r="V693" s="472"/>
      <c r="W693" s="472"/>
      <c r="X693" s="472"/>
      <c r="Y693" s="472"/>
    </row>
    <row r="694" spans="1:25" x14ac:dyDescent="0.25">
      <c r="A694" s="463"/>
      <c r="B694" s="506">
        <v>88247</v>
      </c>
      <c r="C694" s="507"/>
      <c r="D694" s="508"/>
      <c r="E694" s="509" t="str">
        <f>IF($C694="",IFERROR(VLOOKUP($B694,SERVIÇOS!$B:$G,2,0),IFERROR(VLOOKUP($B694,$D:$K,2,0),"")),IFERROR(VLOOKUP($C694,INSUMOS!$A:$D,2,0),IFERROR(VLOOKUP($C694,COTAÇÕES!$B:$I,2,0),(VLOOKUP($C694,'INSUMO SINAPI - SP'!$C:$F,2,0)))))</f>
        <v>AUXILIAR DE ELETRICISTA COM ENCARGOS COMPLEMENTARES</v>
      </c>
      <c r="F694" s="510" t="str">
        <f>IF($C694="",IFERROR(VLOOKUP($B694,SERVIÇOS!$B:$G,3,0),IFERROR(VLOOKUP($B694,$D:$K,3,0),"")),IFERROR(VLOOKUP($C694,INSUMOS!$A:$D,3,0),IFERROR(VLOOKUP($C694,COTAÇÕES!$B:$I,3,0),(VLOOKUP($C694,'INSUMO SINAPI - SP'!$C:$F,3,0)))))</f>
        <v>H</v>
      </c>
      <c r="G694" s="511">
        <v>2</v>
      </c>
      <c r="H694" s="512">
        <f>IF($C694="",IFERROR(VLOOKUP($B694,SERVIÇOS!$B:$G,6,0),IFERROR(VLOOKUP($B694,$D:$K,8,0),"")),IFERROR(VLOOKUP($C694,INSUMOS!$A:$D,4,0),IFERROR(VLOOKUP($C694,COTAÇÕES!$B:$I,7,0),(VLOOKUP($C694,'INSUMO SINAPI - SP'!$C:$F,4,0)))))</f>
        <v>30.8</v>
      </c>
      <c r="I694" s="513">
        <f>TRUNC(IF($C694="",IFERROR(VLOOKUP($B694,SERVIÇOS!$B:$G,4,0),IFERROR(VLOOKUP($B694,$D:$K,6,0),)),IFERROR(VLOOKUP($C694,INSUMOS!$A:$D,4,0),IFERROR(VLOOKUP($C694,COTAÇÕES!$B:$I,7,0),(VLOOKUP($C694,'INSUMO SINAPI - SP'!$C:$F,4,0)))))*$G694,2)</f>
        <v>18.64</v>
      </c>
      <c r="J694" s="513">
        <f>TRUNC(IF($C694="",IFERROR(VLOOKUP($B694,SERVIÇOS!$B:$G,5,0),IFERROR(VLOOKUP($B694,$D:$K,7,0),)),0)*$G694,2)</f>
        <v>42.96</v>
      </c>
      <c r="K694" s="514">
        <f>I694+J694</f>
        <v>61.6</v>
      </c>
      <c r="L694" s="515"/>
      <c r="M694" s="471"/>
      <c r="N694" s="516"/>
      <c r="Q694" s="472"/>
      <c r="R694" s="472"/>
      <c r="S694" s="472"/>
      <c r="T694" s="472"/>
      <c r="U694" s="472"/>
      <c r="V694" s="472"/>
      <c r="W694" s="472"/>
      <c r="X694" s="472"/>
      <c r="Y694" s="472"/>
    </row>
    <row r="695" spans="1:25" ht="96" x14ac:dyDescent="0.25">
      <c r="A695" s="463"/>
      <c r="B695" s="498"/>
      <c r="C695" s="498"/>
      <c r="D695" s="499" t="s">
        <v>12310</v>
      </c>
      <c r="E695" s="555" t="s">
        <v>12968</v>
      </c>
      <c r="F695" s="501" t="s">
        <v>580</v>
      </c>
      <c r="G695" s="502"/>
      <c r="H695" s="503"/>
      <c r="I695" s="504">
        <f>ROUND(SUM(I696:I698),2)</f>
        <v>710.36</v>
      </c>
      <c r="J695" s="504">
        <f>ROUND(SUM(J696:J698),2)</f>
        <v>123.85</v>
      </c>
      <c r="K695" s="504">
        <f>+J695+I695</f>
        <v>834.21</v>
      </c>
      <c r="L695" s="523" t="s">
        <v>12969</v>
      </c>
      <c r="M695" s="471"/>
      <c r="N695" s="505"/>
      <c r="Q695" s="472"/>
      <c r="R695" s="472"/>
      <c r="S695" s="472"/>
      <c r="T695" s="472"/>
      <c r="U695" s="472"/>
      <c r="V695" s="472"/>
      <c r="W695" s="472"/>
      <c r="X695" s="472"/>
      <c r="Y695" s="472"/>
    </row>
    <row r="696" spans="1:25" ht="96" x14ac:dyDescent="0.25">
      <c r="A696" s="463"/>
      <c r="B696" s="506"/>
      <c r="C696" s="507" t="s">
        <v>12970</v>
      </c>
      <c r="D696" s="508"/>
      <c r="E696" s="518" t="s">
        <v>12971</v>
      </c>
      <c r="F696" s="519" t="s">
        <v>580</v>
      </c>
      <c r="G696" s="511">
        <v>1</v>
      </c>
      <c r="H696" s="520">
        <v>663.79</v>
      </c>
      <c r="I696" s="520">
        <f>TRUNC(H696*G696,2)</f>
        <v>663.79</v>
      </c>
      <c r="J696" s="521"/>
      <c r="K696" s="522">
        <f>I696+J696</f>
        <v>663.79</v>
      </c>
      <c r="L696" s="517" t="s">
        <v>12901</v>
      </c>
      <c r="M696" s="471"/>
      <c r="N696" s="516"/>
      <c r="Q696" s="472"/>
      <c r="R696" s="472"/>
      <c r="S696" s="472"/>
      <c r="T696" s="472"/>
      <c r="U696" s="472"/>
      <c r="V696" s="472"/>
      <c r="W696" s="472"/>
      <c r="X696" s="472"/>
      <c r="Y696" s="472"/>
    </row>
    <row r="697" spans="1:25" x14ac:dyDescent="0.25">
      <c r="A697" s="463"/>
      <c r="B697" s="506">
        <v>88264</v>
      </c>
      <c r="C697" s="507"/>
      <c r="D697" s="508"/>
      <c r="E697" s="509" t="str">
        <f>IF($C697="",IFERROR(VLOOKUP($B697,SERVIÇOS!$B:$G,2,0),IFERROR(VLOOKUP($B697,$D:$K,2,0),"")),IFERROR(VLOOKUP($C697,INSUMOS!$A:$D,2,0),IFERROR(VLOOKUP($C697,COTAÇÕES!$B:$I,2,0),(VLOOKUP($C697,'INSUMO SINAPI - SP'!$C:$F,2,0)))))</f>
        <v>ELETRICISTA COM ENCARGOS COMPLEMENTARES</v>
      </c>
      <c r="F697" s="510" t="str">
        <f>IF($C697="",IFERROR(VLOOKUP($B697,SERVIÇOS!$B:$G,3,0),IFERROR(VLOOKUP($B697,$D:$K,3,0),"")),IFERROR(VLOOKUP($C697,INSUMOS!$A:$D,3,0),IFERROR(VLOOKUP($C697,COTAÇÕES!$B:$I,3,0),(VLOOKUP($C697,'INSUMO SINAPI - SP'!$C:$F,3,0)))))</f>
        <v>H</v>
      </c>
      <c r="G697" s="511">
        <v>2.5</v>
      </c>
      <c r="H697" s="512">
        <f>IF($C697="",IFERROR(VLOOKUP($B697,SERVIÇOS!$B:$G,6,0),IFERROR(VLOOKUP($B697,$D:$K,8,0),"")),IFERROR(VLOOKUP($C697,INSUMOS!$A:$D,4,0),IFERROR(VLOOKUP($C697,COTAÇÕES!$B:$I,7,0),(VLOOKUP($C697,'INSUMO SINAPI - SP'!$C:$F,4,0)))))</f>
        <v>37.369999999999997</v>
      </c>
      <c r="I697" s="513">
        <f>TRUNC(IF($C697="",IFERROR(VLOOKUP($B697,SERVIÇOS!$B:$G,4,0),IFERROR(VLOOKUP($B697,$D:$K,6,0),)),IFERROR(VLOOKUP($C697,INSUMOS!$A:$D,4,0),IFERROR(VLOOKUP($C697,COTAÇÕES!$B:$I,7,0),(VLOOKUP($C697,'INSUMO SINAPI - SP'!$C:$F,4,0)))))*$G697,2)</f>
        <v>23.27</v>
      </c>
      <c r="J697" s="513">
        <f>TRUNC(IF($C697="",IFERROR(VLOOKUP($B697,SERVIÇOS!$B:$G,5,0),IFERROR(VLOOKUP($B697,$D:$K,7,0),)),0)*$G697,2)</f>
        <v>70.150000000000006</v>
      </c>
      <c r="K697" s="514">
        <f>I697+J697</f>
        <v>93.42</v>
      </c>
      <c r="L697" s="515"/>
      <c r="M697" s="471"/>
      <c r="N697" s="516"/>
      <c r="Q697" s="472"/>
      <c r="R697" s="472"/>
      <c r="S697" s="472"/>
      <c r="T697" s="472"/>
      <c r="U697" s="472"/>
      <c r="V697" s="472"/>
      <c r="W697" s="472"/>
      <c r="X697" s="472"/>
      <c r="Y697" s="472"/>
    </row>
    <row r="698" spans="1:25" x14ac:dyDescent="0.25">
      <c r="A698" s="463"/>
      <c r="B698" s="506">
        <v>88247</v>
      </c>
      <c r="C698" s="507"/>
      <c r="D698" s="508"/>
      <c r="E698" s="509" t="str">
        <f>IF($C698="",IFERROR(VLOOKUP($B698,SERVIÇOS!$B:$G,2,0),IFERROR(VLOOKUP($B698,$D:$K,2,0),"")),IFERROR(VLOOKUP($C698,INSUMOS!$A:$D,2,0),IFERROR(VLOOKUP($C698,COTAÇÕES!$B:$I,2,0),(VLOOKUP($C698,'INSUMO SINAPI - SP'!$C:$F,2,0)))))</f>
        <v>AUXILIAR DE ELETRICISTA COM ENCARGOS COMPLEMENTARES</v>
      </c>
      <c r="F698" s="510" t="str">
        <f>IF($C698="",IFERROR(VLOOKUP($B698,SERVIÇOS!$B:$G,3,0),IFERROR(VLOOKUP($B698,$D:$K,3,0),"")),IFERROR(VLOOKUP($C698,INSUMOS!$A:$D,3,0),IFERROR(VLOOKUP($C698,COTAÇÕES!$B:$I,3,0),(VLOOKUP($C698,'INSUMO SINAPI - SP'!$C:$F,3,0)))))</f>
        <v>H</v>
      </c>
      <c r="G698" s="511">
        <v>2.5</v>
      </c>
      <c r="H698" s="512">
        <f>IF($C698="",IFERROR(VLOOKUP($B698,SERVIÇOS!$B:$G,6,0),IFERROR(VLOOKUP($B698,$D:$K,8,0),"")),IFERROR(VLOOKUP($C698,INSUMOS!$A:$D,4,0),IFERROR(VLOOKUP($C698,COTAÇÕES!$B:$I,7,0),(VLOOKUP($C698,'INSUMO SINAPI - SP'!$C:$F,4,0)))))</f>
        <v>30.8</v>
      </c>
      <c r="I698" s="513">
        <f>TRUNC(IF($C698="",IFERROR(VLOOKUP($B698,SERVIÇOS!$B:$G,4,0),IFERROR(VLOOKUP($B698,$D:$K,6,0),)),IFERROR(VLOOKUP($C698,INSUMOS!$A:$D,4,0),IFERROR(VLOOKUP($C698,COTAÇÕES!$B:$I,7,0),(VLOOKUP($C698,'INSUMO SINAPI - SP'!$C:$F,4,0)))))*$G698,2)</f>
        <v>23.3</v>
      </c>
      <c r="J698" s="513">
        <f>TRUNC(IF($C698="",IFERROR(VLOOKUP($B698,SERVIÇOS!$B:$G,5,0),IFERROR(VLOOKUP($B698,$D:$K,7,0),)),0)*$G698,2)</f>
        <v>53.7</v>
      </c>
      <c r="K698" s="514">
        <f>I698+J698</f>
        <v>77</v>
      </c>
      <c r="L698" s="515"/>
      <c r="M698" s="471"/>
      <c r="N698" s="516"/>
      <c r="Q698" s="472"/>
      <c r="R698" s="472"/>
      <c r="S698" s="472"/>
      <c r="T698" s="472"/>
      <c r="U698" s="472"/>
      <c r="V698" s="472"/>
      <c r="W698" s="472"/>
      <c r="X698" s="472"/>
      <c r="Y698" s="472"/>
    </row>
    <row r="699" spans="1:25" x14ac:dyDescent="0.25">
      <c r="A699" s="463"/>
      <c r="B699" s="498"/>
      <c r="C699" s="498"/>
      <c r="D699" s="499" t="s">
        <v>12529</v>
      </c>
      <c r="E699" s="555" t="s">
        <v>12972</v>
      </c>
      <c r="F699" s="501" t="s">
        <v>580</v>
      </c>
      <c r="G699" s="502"/>
      <c r="H699" s="503"/>
      <c r="I699" s="504">
        <f>ROUND(SUM(I700:I703),2)</f>
        <v>67.62</v>
      </c>
      <c r="J699" s="504">
        <f>ROUND(SUM(J700:J703),2)</f>
        <v>19.809999999999999</v>
      </c>
      <c r="K699" s="504">
        <f>+J699+I699</f>
        <v>87.43</v>
      </c>
      <c r="L699" s="523" t="s">
        <v>12973</v>
      </c>
      <c r="M699" s="471"/>
      <c r="N699" s="505"/>
      <c r="Q699" s="472"/>
      <c r="R699" s="472"/>
      <c r="S699" s="472"/>
      <c r="T699" s="472"/>
      <c r="U699" s="472"/>
      <c r="V699" s="472"/>
      <c r="W699" s="472"/>
      <c r="X699" s="472"/>
      <c r="Y699" s="472"/>
    </row>
    <row r="700" spans="1:25" x14ac:dyDescent="0.25">
      <c r="A700" s="463"/>
      <c r="B700" s="506">
        <v>88264</v>
      </c>
      <c r="C700" s="507"/>
      <c r="D700" s="508"/>
      <c r="E700" s="509" t="str">
        <f>IF($C700="",IFERROR(VLOOKUP($B700,SERVIÇOS!$B:$G,2,0),IFERROR(VLOOKUP($B700,$D:$K,2,0),"")),IFERROR(VLOOKUP($C700,INSUMOS!$A:$D,2,0),IFERROR(VLOOKUP($C700,COTAÇÕES!$B:$I,2,0),(VLOOKUP($C700,'INSUMO SINAPI - SP'!$C:$F,2,0)))))</f>
        <v>ELETRICISTA COM ENCARGOS COMPLEMENTARES</v>
      </c>
      <c r="F700" s="510" t="str">
        <f>IF($C700="",IFERROR(VLOOKUP($B700,SERVIÇOS!$B:$G,3,0),IFERROR(VLOOKUP($B700,$D:$K,3,0),"")),IFERROR(VLOOKUP($C700,INSUMOS!$A:$D,3,0),IFERROR(VLOOKUP($C700,COTAÇÕES!$B:$I,3,0),(VLOOKUP($C700,'INSUMO SINAPI - SP'!$C:$F,3,0)))))</f>
        <v>H</v>
      </c>
      <c r="G700" s="511">
        <v>0.4</v>
      </c>
      <c r="H700" s="512">
        <f>IF($C700="",IFERROR(VLOOKUP($B700,SERVIÇOS!$B:$G,6,0),IFERROR(VLOOKUP($B700,$D:$K,8,0),"")),IFERROR(VLOOKUP($C700,INSUMOS!$A:$D,4,0),IFERROR(VLOOKUP($C700,COTAÇÕES!$B:$I,7,0),(VLOOKUP($C700,'INSUMO SINAPI - SP'!$C:$F,4,0)))))</f>
        <v>37.369999999999997</v>
      </c>
      <c r="I700" s="513">
        <f>TRUNC(IF($C700="",IFERROR(VLOOKUP($B700,SERVIÇOS!$B:$G,4,0),IFERROR(VLOOKUP($B700,$D:$K,6,0),)),IFERROR(VLOOKUP($C700,INSUMOS!$A:$D,4,0),IFERROR(VLOOKUP($C700,COTAÇÕES!$B:$I,7,0),(VLOOKUP($C700,'INSUMO SINAPI - SP'!$C:$F,4,0)))))*$G700,2)</f>
        <v>3.72</v>
      </c>
      <c r="J700" s="513">
        <f>TRUNC(IF($C700="",IFERROR(VLOOKUP($B700,SERVIÇOS!$B:$G,5,0),IFERROR(VLOOKUP($B700,$D:$K,7,0),)),0)*$G700,2)</f>
        <v>11.22</v>
      </c>
      <c r="K700" s="514">
        <f>I700+J700</f>
        <v>14.940000000000001</v>
      </c>
      <c r="L700" s="515"/>
      <c r="M700" s="471"/>
      <c r="N700" s="516"/>
      <c r="Q700" s="472"/>
      <c r="R700" s="472"/>
      <c r="S700" s="472"/>
      <c r="T700" s="472"/>
      <c r="U700" s="472"/>
      <c r="V700" s="472"/>
      <c r="W700" s="472"/>
      <c r="X700" s="472"/>
      <c r="Y700" s="472"/>
    </row>
    <row r="701" spans="1:25" x14ac:dyDescent="0.25">
      <c r="A701" s="463"/>
      <c r="B701" s="506">
        <v>88247</v>
      </c>
      <c r="C701" s="507"/>
      <c r="D701" s="508"/>
      <c r="E701" s="509" t="str">
        <f>IF($C701="",IFERROR(VLOOKUP($B701,SERVIÇOS!$B:$G,2,0),IFERROR(VLOOKUP($B701,$D:$K,2,0),"")),IFERROR(VLOOKUP($C701,INSUMOS!$A:$D,2,0),IFERROR(VLOOKUP($C701,COTAÇÕES!$B:$I,2,0),(VLOOKUP($C701,'INSUMO SINAPI - SP'!$C:$F,2,0)))))</f>
        <v>AUXILIAR DE ELETRICISTA COM ENCARGOS COMPLEMENTARES</v>
      </c>
      <c r="F701" s="510" t="str">
        <f>IF($C701="",IFERROR(VLOOKUP($B701,SERVIÇOS!$B:$G,3,0),IFERROR(VLOOKUP($B701,$D:$K,3,0),"")),IFERROR(VLOOKUP($C701,INSUMOS!$A:$D,3,0),IFERROR(VLOOKUP($C701,COTAÇÕES!$B:$I,3,0),(VLOOKUP($C701,'INSUMO SINAPI - SP'!$C:$F,3,0)))))</f>
        <v>H</v>
      </c>
      <c r="G701" s="511">
        <v>0.4</v>
      </c>
      <c r="H701" s="512">
        <f>IF($C701="",IFERROR(VLOOKUP($B701,SERVIÇOS!$B:$G,6,0),IFERROR(VLOOKUP($B701,$D:$K,8,0),"")),IFERROR(VLOOKUP($C701,INSUMOS!$A:$D,4,0),IFERROR(VLOOKUP($C701,COTAÇÕES!$B:$I,7,0),(VLOOKUP($C701,'INSUMO SINAPI - SP'!$C:$F,4,0)))))</f>
        <v>30.8</v>
      </c>
      <c r="I701" s="513">
        <f>TRUNC(IF($C701="",IFERROR(VLOOKUP($B701,SERVIÇOS!$B:$G,4,0),IFERROR(VLOOKUP($B701,$D:$K,6,0),)),IFERROR(VLOOKUP($C701,INSUMOS!$A:$D,4,0),IFERROR(VLOOKUP($C701,COTAÇÕES!$B:$I,7,0),(VLOOKUP($C701,'INSUMO SINAPI - SP'!$C:$F,4,0)))))*$G701,2)</f>
        <v>3.72</v>
      </c>
      <c r="J701" s="513">
        <f>TRUNC(IF($C701="",IFERROR(VLOOKUP($B701,SERVIÇOS!$B:$G,5,0),IFERROR(VLOOKUP($B701,$D:$K,7,0),)),0)*$G701,2)</f>
        <v>8.59</v>
      </c>
      <c r="K701" s="514">
        <f>I701+J701</f>
        <v>12.31</v>
      </c>
      <c r="L701" s="515"/>
      <c r="M701" s="471"/>
      <c r="N701" s="516"/>
      <c r="Q701" s="472"/>
      <c r="R701" s="472"/>
      <c r="S701" s="472"/>
      <c r="T701" s="472"/>
      <c r="U701" s="472"/>
      <c r="V701" s="472"/>
      <c r="W701" s="472"/>
      <c r="X701" s="472"/>
      <c r="Y701" s="472"/>
    </row>
    <row r="702" spans="1:25" ht="24" x14ac:dyDescent="0.25">
      <c r="A702" s="463"/>
      <c r="B702" s="506"/>
      <c r="C702" s="507">
        <v>3379</v>
      </c>
      <c r="D702" s="508"/>
      <c r="E702" s="509" t="str">
        <f>IF($C702="",IFERROR(VLOOKUP($B702,SERVIÇOS!$B:$G,2,0),IFERROR(VLOOKUP($B702,$D:$K,2,0),"")),IFERROR(VLOOKUP($C702,INSUMOS!$A:$D,2,0),IFERROR(VLOOKUP($C702,COTAÇÕES!$B:$I,2,0),(VLOOKUP($C702,'INSUMO SINAPI - SP'!$C:$F,2,0)))))</f>
        <v>HASTE DE ATERRAMENTO EM ACO COM 3,00 M DE COMPRIMENTO E DN = 5/8", REVESTIDA COM BAIXA CAMADA DE COBRE, SEM CONECTOR</v>
      </c>
      <c r="F702" s="510" t="str">
        <f>IF($C702="",IFERROR(VLOOKUP($B702,SERVIÇOS!$B:$G,3,0),IFERROR(VLOOKUP($B702,$D:$K,3,0),"")),IFERROR(VLOOKUP($C702,INSUMOS!$A:$D,3,0),IFERROR(VLOOKUP($C702,COTAÇÕES!$B:$I,3,0),(VLOOKUP($C702,'INSUMO SINAPI - SP'!$C:$F,3,0)))))</f>
        <v>UN</v>
      </c>
      <c r="G702" s="511">
        <v>1</v>
      </c>
      <c r="H702" s="512">
        <f>IF($C702="",IFERROR(VLOOKUP($B702,SERVIÇOS!$B:$G,6,0),IFERROR(VLOOKUP($B702,$D:$K,8,0),"")),IFERROR(VLOOKUP($C702,INSUMOS!$A:$D,4,0),IFERROR(VLOOKUP($C702,COTAÇÕES!$B:$I,7,0),(VLOOKUP($C702,'INSUMO SINAPI - SP'!$C:$F,4,0)))))</f>
        <v>54.97</v>
      </c>
      <c r="I702" s="513">
        <f>TRUNC(IF($C702="",IFERROR(VLOOKUP($B702,SERVIÇOS!$B:$G,4,0),IFERROR(VLOOKUP($B702,$D:$K,6,0),)),IFERROR(VLOOKUP($C702,INSUMOS!$A:$D,4,0),IFERROR(VLOOKUP($C702,COTAÇÕES!$B:$I,7,0),(VLOOKUP($C702,'INSUMO SINAPI - SP'!$C:$F,4,0)))))*$G702,2)</f>
        <v>54.97</v>
      </c>
      <c r="J702" s="513">
        <f>TRUNC(IF($C702="",IFERROR(VLOOKUP($B702,SERVIÇOS!$B:$G,5,0),IFERROR(VLOOKUP($B702,$D:$K,7,0),)),0)*$G702,2)</f>
        <v>0</v>
      </c>
      <c r="K702" s="514">
        <f>I702+J702</f>
        <v>54.97</v>
      </c>
      <c r="L702" s="517"/>
      <c r="M702" s="471"/>
      <c r="N702" s="516"/>
      <c r="Q702" s="472"/>
      <c r="R702" s="472"/>
      <c r="S702" s="472"/>
      <c r="T702" s="472"/>
      <c r="U702" s="472"/>
      <c r="V702" s="472"/>
      <c r="W702" s="472"/>
      <c r="X702" s="472"/>
      <c r="Y702" s="472"/>
    </row>
    <row r="703" spans="1:25" ht="24" x14ac:dyDescent="0.25">
      <c r="A703" s="463"/>
      <c r="B703" s="506"/>
      <c r="C703" s="507">
        <v>425</v>
      </c>
      <c r="D703" s="508"/>
      <c r="E703" s="509" t="str">
        <f>IF($C703="",IFERROR(VLOOKUP($B703,SERVIÇOS!$B:$G,2,0),IFERROR(VLOOKUP($B703,$D:$K,2,0),"")),IFERROR(VLOOKUP($C703,INSUMOS!$A:$D,2,0),IFERROR(VLOOKUP($C703,COTAÇÕES!$B:$I,2,0),(VLOOKUP($C703,'INSUMO SINAPI - SP'!$C:$F,2,0)))))</f>
        <v>GRAMPO METALICO TIPO OLHAL PARA HASTE DE ATERRAMENTO DE 5/8", CONDUTOR DE *10* A 50 MM2</v>
      </c>
      <c r="F703" s="510" t="str">
        <f>IF($C703="",IFERROR(VLOOKUP($B703,SERVIÇOS!$B:$G,3,0),IFERROR(VLOOKUP($B703,$D:$K,3,0),"")),IFERROR(VLOOKUP($C703,INSUMOS!$A:$D,3,0),IFERROR(VLOOKUP($C703,COTAÇÕES!$B:$I,3,0),(VLOOKUP($C703,'INSUMO SINAPI - SP'!$C:$F,3,0)))))</f>
        <v>UN</v>
      </c>
      <c r="G703" s="511">
        <v>1</v>
      </c>
      <c r="H703" s="512">
        <f>IF($C703="",IFERROR(VLOOKUP($B703,SERVIÇOS!$B:$G,6,0),IFERROR(VLOOKUP($B703,$D:$K,8,0),"")),IFERROR(VLOOKUP($C703,INSUMOS!$A:$D,4,0),IFERROR(VLOOKUP($C703,COTAÇÕES!$B:$I,7,0),(VLOOKUP($C703,'INSUMO SINAPI - SP'!$C:$F,4,0)))))</f>
        <v>5.21</v>
      </c>
      <c r="I703" s="513">
        <f>TRUNC(IF($C703="",IFERROR(VLOOKUP($B703,SERVIÇOS!$B:$G,4,0),IFERROR(VLOOKUP($B703,$D:$K,6,0),)),IFERROR(VLOOKUP($C703,INSUMOS!$A:$D,4,0),IFERROR(VLOOKUP($C703,COTAÇÕES!$B:$I,7,0),(VLOOKUP($C703,'INSUMO SINAPI - SP'!$C:$F,4,0)))))*$G703,2)</f>
        <v>5.21</v>
      </c>
      <c r="J703" s="513">
        <f>TRUNC(IF($C703="",IFERROR(VLOOKUP($B703,SERVIÇOS!$B:$G,5,0),IFERROR(VLOOKUP($B703,$D:$K,7,0),)),0)*$G703,2)</f>
        <v>0</v>
      </c>
      <c r="K703" s="514">
        <f>I703+J703</f>
        <v>5.21</v>
      </c>
      <c r="L703" s="517"/>
      <c r="M703" s="471"/>
      <c r="N703" s="516"/>
      <c r="Q703" s="472"/>
      <c r="R703" s="472"/>
      <c r="S703" s="472"/>
      <c r="T703" s="472"/>
      <c r="U703" s="472"/>
      <c r="V703" s="472"/>
      <c r="W703" s="472"/>
      <c r="X703" s="472"/>
      <c r="Y703" s="472"/>
    </row>
    <row r="704" spans="1:25" ht="24" x14ac:dyDescent="0.25">
      <c r="A704" s="463"/>
      <c r="B704" s="498"/>
      <c r="C704" s="498"/>
      <c r="D704" s="499" t="s">
        <v>12331</v>
      </c>
      <c r="E704" s="555" t="s">
        <v>12974</v>
      </c>
      <c r="F704" s="501" t="s">
        <v>580</v>
      </c>
      <c r="G704" s="502"/>
      <c r="H704" s="503"/>
      <c r="I704" s="504">
        <f>ROUND(SUM(I705:I707),2)</f>
        <v>64.38</v>
      </c>
      <c r="J704" s="504">
        <f>ROUND(SUM(J705:J707),2)</f>
        <v>19.809999999999999</v>
      </c>
      <c r="K704" s="504">
        <f>+J704+I704</f>
        <v>84.19</v>
      </c>
      <c r="L704" s="523" t="s">
        <v>12973</v>
      </c>
      <c r="M704" s="471"/>
      <c r="N704" s="505"/>
      <c r="Q704" s="472"/>
      <c r="R704" s="472"/>
      <c r="S704" s="472"/>
      <c r="T704" s="472"/>
      <c r="U704" s="472"/>
      <c r="V704" s="472"/>
      <c r="W704" s="472"/>
      <c r="X704" s="472"/>
      <c r="Y704" s="472"/>
    </row>
    <row r="705" spans="1:25" x14ac:dyDescent="0.25">
      <c r="A705" s="463"/>
      <c r="B705" s="506">
        <v>88264</v>
      </c>
      <c r="C705" s="507"/>
      <c r="D705" s="508"/>
      <c r="E705" s="509" t="str">
        <f>IF($C705="",IFERROR(VLOOKUP($B705,SERVIÇOS!$B:$G,2,0),IFERROR(VLOOKUP($B705,$D:$K,2,0),"")),IFERROR(VLOOKUP($C705,INSUMOS!$A:$D,2,0),IFERROR(VLOOKUP($C705,COTAÇÕES!$B:$I,2,0),(VLOOKUP($C705,'INSUMO SINAPI - SP'!$C:$F,2,0)))))</f>
        <v>ELETRICISTA COM ENCARGOS COMPLEMENTARES</v>
      </c>
      <c r="F705" s="510" t="str">
        <f>IF($C705="",IFERROR(VLOOKUP($B705,SERVIÇOS!$B:$G,3,0),IFERROR(VLOOKUP($B705,$D:$K,3,0),"")),IFERROR(VLOOKUP($C705,INSUMOS!$A:$D,3,0),IFERROR(VLOOKUP($C705,COTAÇÕES!$B:$I,3,0),(VLOOKUP($C705,'INSUMO SINAPI - SP'!$C:$F,3,0)))))</f>
        <v>H</v>
      </c>
      <c r="G705" s="511">
        <v>0.4</v>
      </c>
      <c r="H705" s="512">
        <f>IF($C705="",IFERROR(VLOOKUP($B705,SERVIÇOS!$B:$G,6,0),IFERROR(VLOOKUP($B705,$D:$K,8,0),"")),IFERROR(VLOOKUP($C705,INSUMOS!$A:$D,4,0),IFERROR(VLOOKUP($C705,COTAÇÕES!$B:$I,7,0),(VLOOKUP($C705,'INSUMO SINAPI - SP'!$C:$F,4,0)))))</f>
        <v>37.369999999999997</v>
      </c>
      <c r="I705" s="513">
        <f>TRUNC(IF($C705="",IFERROR(VLOOKUP($B705,SERVIÇOS!$B:$G,4,0),IFERROR(VLOOKUP($B705,$D:$K,6,0),)),IFERROR(VLOOKUP($C705,INSUMOS!$A:$D,4,0),IFERROR(VLOOKUP($C705,COTAÇÕES!$B:$I,7,0),(VLOOKUP($C705,'INSUMO SINAPI - SP'!$C:$F,4,0)))))*$G705,2)</f>
        <v>3.72</v>
      </c>
      <c r="J705" s="513">
        <f>TRUNC(IF($C705="",IFERROR(VLOOKUP($B705,SERVIÇOS!$B:$G,5,0),IFERROR(VLOOKUP($B705,$D:$K,7,0),)),0)*$G705,2)</f>
        <v>11.22</v>
      </c>
      <c r="K705" s="514">
        <f>I705+J705</f>
        <v>14.940000000000001</v>
      </c>
      <c r="L705" s="515"/>
      <c r="M705" s="471"/>
      <c r="N705" s="516"/>
      <c r="Q705" s="472"/>
      <c r="R705" s="472"/>
      <c r="S705" s="472"/>
      <c r="T705" s="472"/>
      <c r="U705" s="472"/>
      <c r="V705" s="472"/>
      <c r="W705" s="472"/>
      <c r="X705" s="472"/>
      <c r="Y705" s="472"/>
    </row>
    <row r="706" spans="1:25" x14ac:dyDescent="0.25">
      <c r="A706" s="463"/>
      <c r="B706" s="506">
        <v>88247</v>
      </c>
      <c r="C706" s="507"/>
      <c r="D706" s="508"/>
      <c r="E706" s="509" t="str">
        <f>IF($C706="",IFERROR(VLOOKUP($B706,SERVIÇOS!$B:$G,2,0),IFERROR(VLOOKUP($B706,$D:$K,2,0),"")),IFERROR(VLOOKUP($C706,INSUMOS!$A:$D,2,0),IFERROR(VLOOKUP($C706,COTAÇÕES!$B:$I,2,0),(VLOOKUP($C706,'INSUMO SINAPI - SP'!$C:$F,2,0)))))</f>
        <v>AUXILIAR DE ELETRICISTA COM ENCARGOS COMPLEMENTARES</v>
      </c>
      <c r="F706" s="510" t="str">
        <f>IF($C706="",IFERROR(VLOOKUP($B706,SERVIÇOS!$B:$G,3,0),IFERROR(VLOOKUP($B706,$D:$K,3,0),"")),IFERROR(VLOOKUP($C706,INSUMOS!$A:$D,3,0),IFERROR(VLOOKUP($C706,COTAÇÕES!$B:$I,3,0),(VLOOKUP($C706,'INSUMO SINAPI - SP'!$C:$F,3,0)))))</f>
        <v>H</v>
      </c>
      <c r="G706" s="511">
        <v>0.4</v>
      </c>
      <c r="H706" s="512">
        <f>IF($C706="",IFERROR(VLOOKUP($B706,SERVIÇOS!$B:$G,6,0),IFERROR(VLOOKUP($B706,$D:$K,8,0),"")),IFERROR(VLOOKUP($C706,INSUMOS!$A:$D,4,0),IFERROR(VLOOKUP($C706,COTAÇÕES!$B:$I,7,0),(VLOOKUP($C706,'INSUMO SINAPI - SP'!$C:$F,4,0)))))</f>
        <v>30.8</v>
      </c>
      <c r="I706" s="513">
        <f>TRUNC(IF($C706="",IFERROR(VLOOKUP($B706,SERVIÇOS!$B:$G,4,0),IFERROR(VLOOKUP($B706,$D:$K,6,0),)),IFERROR(VLOOKUP($C706,INSUMOS!$A:$D,4,0),IFERROR(VLOOKUP($C706,COTAÇÕES!$B:$I,7,0),(VLOOKUP($C706,'INSUMO SINAPI - SP'!$C:$F,4,0)))))*$G706,2)</f>
        <v>3.72</v>
      </c>
      <c r="J706" s="513">
        <f>TRUNC(IF($C706="",IFERROR(VLOOKUP($B706,SERVIÇOS!$B:$G,5,0),IFERROR(VLOOKUP($B706,$D:$K,7,0),)),0)*$G706,2)</f>
        <v>8.59</v>
      </c>
      <c r="K706" s="514">
        <f>I706+J706</f>
        <v>12.31</v>
      </c>
      <c r="L706" s="515"/>
      <c r="M706" s="471"/>
      <c r="N706" s="516"/>
      <c r="Q706" s="472"/>
      <c r="R706" s="472"/>
      <c r="S706" s="472"/>
      <c r="T706" s="472"/>
      <c r="U706" s="472"/>
      <c r="V706" s="472"/>
      <c r="W706" s="472"/>
      <c r="X706" s="472"/>
      <c r="Y706" s="472"/>
    </row>
    <row r="707" spans="1:25" ht="24" x14ac:dyDescent="0.25">
      <c r="A707" s="463"/>
      <c r="B707" s="506"/>
      <c r="C707" s="507">
        <v>3380</v>
      </c>
      <c r="D707" s="508"/>
      <c r="E707" s="509" t="str">
        <f>IF($C707="",IFERROR(VLOOKUP($B707,SERVIÇOS!$B:$G,2,0),IFERROR(VLOOKUP($B707,$D:$K,2,0),"")),IFERROR(VLOOKUP($C707,INSUMOS!$A:$D,2,0),IFERROR(VLOOKUP($C707,COTAÇÕES!$B:$I,2,0),(VLOOKUP($C707,'INSUMO SINAPI - SP'!$C:$F,2,0)))))</f>
        <v>HASTE DE ATERRAMENTO EM ACO COM 3,00 M DE COMPRIMENTO E DN = 5/8", REVESTIDA COM BAIXA CAMADA DE COBRE, COM CONECTOR TIPO GRAMPO</v>
      </c>
      <c r="F707" s="510" t="str">
        <f>IF($C707="",IFERROR(VLOOKUP($B707,SERVIÇOS!$B:$G,3,0),IFERROR(VLOOKUP($B707,$D:$K,3,0),"")),IFERROR(VLOOKUP($C707,INSUMOS!$A:$D,3,0),IFERROR(VLOOKUP($C707,COTAÇÕES!$B:$I,3,0),(VLOOKUP($C707,'INSUMO SINAPI - SP'!$C:$F,3,0)))))</f>
        <v>UN</v>
      </c>
      <c r="G707" s="511">
        <v>1</v>
      </c>
      <c r="H707" s="512">
        <f>IF($C707="",IFERROR(VLOOKUP($B707,SERVIÇOS!$B:$G,6,0),IFERROR(VLOOKUP($B707,$D:$K,8,0),"")),IFERROR(VLOOKUP($C707,INSUMOS!$A:$D,4,0),IFERROR(VLOOKUP($C707,COTAÇÕES!$B:$I,7,0),(VLOOKUP($C707,'INSUMO SINAPI - SP'!$C:$F,4,0)))))</f>
        <v>56.94</v>
      </c>
      <c r="I707" s="513">
        <f>TRUNC(IF($C707="",IFERROR(VLOOKUP($B707,SERVIÇOS!$B:$G,4,0),IFERROR(VLOOKUP($B707,$D:$K,6,0),)),IFERROR(VLOOKUP($C707,INSUMOS!$A:$D,4,0),IFERROR(VLOOKUP($C707,COTAÇÕES!$B:$I,7,0),(VLOOKUP($C707,'INSUMO SINAPI - SP'!$C:$F,4,0)))))*$G707,2)</f>
        <v>56.94</v>
      </c>
      <c r="J707" s="513">
        <f>TRUNC(IF($C707="",IFERROR(VLOOKUP($B707,SERVIÇOS!$B:$G,5,0),IFERROR(VLOOKUP($B707,$D:$K,7,0),)),0)*$G707,2)</f>
        <v>0</v>
      </c>
      <c r="K707" s="514">
        <f>I707+J707</f>
        <v>56.94</v>
      </c>
      <c r="L707" s="517"/>
      <c r="M707" s="471"/>
      <c r="N707" s="516"/>
      <c r="Q707" s="472"/>
      <c r="R707" s="472"/>
      <c r="S707" s="472"/>
      <c r="T707" s="472"/>
      <c r="U707" s="472"/>
      <c r="V707" s="472"/>
      <c r="W707" s="472"/>
      <c r="X707" s="472"/>
      <c r="Y707" s="472"/>
    </row>
    <row r="708" spans="1:25" x14ac:dyDescent="0.25">
      <c r="A708" s="463"/>
      <c r="B708" s="498"/>
      <c r="C708" s="498"/>
      <c r="D708" s="499" t="s">
        <v>12190</v>
      </c>
      <c r="E708" s="555" t="s">
        <v>12975</v>
      </c>
      <c r="F708" s="501" t="s">
        <v>580</v>
      </c>
      <c r="G708" s="502"/>
      <c r="H708" s="503"/>
      <c r="I708" s="504">
        <f>ROUND(SUM(I709:I712),2)</f>
        <v>490.83</v>
      </c>
      <c r="J708" s="504">
        <f>ROUND(SUM(J709:J712),2)</f>
        <v>133.79</v>
      </c>
      <c r="K708" s="504">
        <f>+J708+I708</f>
        <v>624.62</v>
      </c>
      <c r="L708" s="523"/>
      <c r="M708" s="471"/>
      <c r="N708" s="505"/>
      <c r="Q708" s="472"/>
      <c r="R708" s="472"/>
      <c r="S708" s="472"/>
      <c r="T708" s="472"/>
      <c r="U708" s="472"/>
      <c r="V708" s="472"/>
      <c r="W708" s="472"/>
      <c r="X708" s="472"/>
      <c r="Y708" s="472"/>
    </row>
    <row r="709" spans="1:25" ht="24" x14ac:dyDescent="0.25">
      <c r="A709" s="463"/>
      <c r="B709" s="506"/>
      <c r="C709" s="507" t="s">
        <v>12976</v>
      </c>
      <c r="D709" s="508"/>
      <c r="E709" s="518" t="s">
        <v>12977</v>
      </c>
      <c r="F709" s="519" t="s">
        <v>580</v>
      </c>
      <c r="G709" s="511">
        <v>1.5</v>
      </c>
      <c r="H709" s="520">
        <v>289.55</v>
      </c>
      <c r="I709" s="520">
        <f>TRUNC(H709*G709,2)</f>
        <v>434.32</v>
      </c>
      <c r="J709" s="521"/>
      <c r="K709" s="522">
        <f>I709+J709</f>
        <v>434.32</v>
      </c>
      <c r="L709" s="517" t="s">
        <v>12901</v>
      </c>
      <c r="M709" s="471"/>
      <c r="N709" s="516"/>
      <c r="Q709" s="472"/>
      <c r="R709" s="472"/>
      <c r="S709" s="472"/>
      <c r="T709" s="472"/>
      <c r="U709" s="472"/>
      <c r="V709" s="472"/>
      <c r="W709" s="472"/>
      <c r="X709" s="472"/>
      <c r="Y709" s="472"/>
    </row>
    <row r="710" spans="1:25" x14ac:dyDescent="0.25">
      <c r="A710" s="463"/>
      <c r="B710" s="506">
        <v>88309</v>
      </c>
      <c r="C710" s="507"/>
      <c r="D710" s="508"/>
      <c r="E710" s="509" t="str">
        <f>IF($C710="",IFERROR(VLOOKUP($B710,SERVIÇOS!$B:$G,2,0),IFERROR(VLOOKUP($B710,$D:$K,2,0),"")),IFERROR(VLOOKUP($C710,INSUMOS!$A:$D,2,0),IFERROR(VLOOKUP($C710,COTAÇÕES!$B:$I,2,0),(VLOOKUP($C710,'INSUMO SINAPI - SP'!$C:$F,2,0)))))</f>
        <v>PEDREIRO COM ENCARGOS COMPLEMENTARES</v>
      </c>
      <c r="F710" s="510" t="str">
        <f>IF($C710="",IFERROR(VLOOKUP($B710,SERVIÇOS!$B:$G,3,0),IFERROR(VLOOKUP($B710,$D:$K,3,0),"")),IFERROR(VLOOKUP($C710,INSUMOS!$A:$D,3,0),IFERROR(VLOOKUP($C710,COTAÇÕES!$B:$I,3,0),(VLOOKUP($C710,'INSUMO SINAPI - SP'!$C:$F,3,0)))))</f>
        <v>H</v>
      </c>
      <c r="G710" s="511">
        <v>2.8099173553718999</v>
      </c>
      <c r="H710" s="512">
        <f>IF($C710="",IFERROR(VLOOKUP($B710,SERVIÇOS!$B:$G,6,0),IFERROR(VLOOKUP($B710,$D:$K,8,0),"")),IFERROR(VLOOKUP($C710,INSUMOS!$A:$D,4,0),IFERROR(VLOOKUP($C710,COTAÇÕES!$B:$I,7,0),(VLOOKUP($C710,'INSUMO SINAPI - SP'!$C:$F,4,0)))))</f>
        <v>36.909999999999997</v>
      </c>
      <c r="I710" s="513">
        <f>TRUNC(IF($C710="",IFERROR(VLOOKUP($B710,SERVIÇOS!$B:$G,4,0),IFERROR(VLOOKUP($B710,$D:$K,6,0),)),IFERROR(VLOOKUP($C710,INSUMOS!$A:$D,4,0),IFERROR(VLOOKUP($C710,COTAÇÕES!$B:$I,7,0),(VLOOKUP($C710,'INSUMO SINAPI - SP'!$C:$F,4,0)))))*$G710,2)</f>
        <v>26.07</v>
      </c>
      <c r="J710" s="513">
        <f>TRUNC(IF($C710="",IFERROR(VLOOKUP($B710,SERVIÇOS!$B:$G,5,0),IFERROR(VLOOKUP($B710,$D:$K,7,0),)),0)*$G710,2)</f>
        <v>77.63</v>
      </c>
      <c r="K710" s="514">
        <f>I710+J710</f>
        <v>103.69999999999999</v>
      </c>
      <c r="L710" s="515"/>
      <c r="M710" s="471"/>
      <c r="N710" s="516"/>
      <c r="Q710" s="472"/>
      <c r="R710" s="472"/>
      <c r="S710" s="472"/>
      <c r="T710" s="472"/>
      <c r="U710" s="472"/>
      <c r="V710" s="472"/>
      <c r="W710" s="472"/>
      <c r="X710" s="472"/>
      <c r="Y710" s="472"/>
    </row>
    <row r="711" spans="1:25" x14ac:dyDescent="0.25">
      <c r="A711" s="463"/>
      <c r="B711" s="506">
        <v>88316</v>
      </c>
      <c r="C711" s="507"/>
      <c r="D711" s="508"/>
      <c r="E711" s="509" t="str">
        <f>IF($C711="",IFERROR(VLOOKUP($B711,SERVIÇOS!$B:$G,2,0),IFERROR(VLOOKUP($B711,$D:$K,2,0),"")),IFERROR(VLOOKUP($C711,INSUMOS!$A:$D,2,0),IFERROR(VLOOKUP($C711,COTAÇÕES!$B:$I,2,0),(VLOOKUP($C711,'INSUMO SINAPI - SP'!$C:$F,2,0)))))</f>
        <v>SERVENTE COM ENCARGOS COMPLEMENTARES</v>
      </c>
      <c r="F711" s="510" t="str">
        <f>IF($C711="",IFERROR(VLOOKUP($B711,SERVIÇOS!$B:$G,3,0),IFERROR(VLOOKUP($B711,$D:$K,3,0),"")),IFERROR(VLOOKUP($C711,INSUMOS!$A:$D,3,0),IFERROR(VLOOKUP($C711,COTAÇÕES!$B:$I,3,0),(VLOOKUP($C711,'INSUMO SINAPI - SP'!$C:$F,3,0)))))</f>
        <v>H</v>
      </c>
      <c r="G711" s="511">
        <v>2.8099173553718999</v>
      </c>
      <c r="H711" s="512">
        <f>IF($C711="",IFERROR(VLOOKUP($B711,SERVIÇOS!$B:$G,6,0),IFERROR(VLOOKUP($B711,$D:$K,8,0),"")),IFERROR(VLOOKUP($C711,INSUMOS!$A:$D,4,0),IFERROR(VLOOKUP($C711,COTAÇÕES!$B:$I,7,0),(VLOOKUP($C711,'INSUMO SINAPI - SP'!$C:$F,4,0)))))</f>
        <v>28.71</v>
      </c>
      <c r="I711" s="513">
        <f>TRUNC(IF($C711="",IFERROR(VLOOKUP($B711,SERVIÇOS!$B:$G,4,0),IFERROR(VLOOKUP($B711,$D:$K,6,0),)),IFERROR(VLOOKUP($C711,INSUMOS!$A:$D,4,0),IFERROR(VLOOKUP($C711,COTAÇÕES!$B:$I,7,0),(VLOOKUP($C711,'INSUMO SINAPI - SP'!$C:$F,4,0)))))*$G711,2)</f>
        <v>25.85</v>
      </c>
      <c r="J711" s="513">
        <f>TRUNC(IF($C711="",IFERROR(VLOOKUP($B711,SERVIÇOS!$B:$G,5,0),IFERROR(VLOOKUP($B711,$D:$K,7,0),)),0)*$G711,2)</f>
        <v>54.82</v>
      </c>
      <c r="K711" s="514">
        <f>I711+J711</f>
        <v>80.67</v>
      </c>
      <c r="L711" s="515"/>
      <c r="M711" s="471"/>
      <c r="N711" s="516"/>
      <c r="Q711" s="472"/>
      <c r="R711" s="472"/>
      <c r="S711" s="472"/>
      <c r="T711" s="472"/>
      <c r="U711" s="472"/>
      <c r="V711" s="472"/>
      <c r="W711" s="472"/>
      <c r="X711" s="472"/>
      <c r="Y711" s="472"/>
    </row>
    <row r="712" spans="1:25" ht="24" x14ac:dyDescent="0.25">
      <c r="A712" s="463"/>
      <c r="B712" s="506">
        <v>87316</v>
      </c>
      <c r="C712" s="507"/>
      <c r="D712" s="508"/>
      <c r="E712" s="509" t="str">
        <f>IF($C712="",IFERROR(VLOOKUP($B712,SERVIÇOS!$B:$G,2,0),IFERROR(VLOOKUP($B712,$D:$K,2,0),"")),IFERROR(VLOOKUP($C712,INSUMOS!$A:$D,2,0),IFERROR(VLOOKUP($C712,COTAÇÕES!$B:$I,2,0),(VLOOKUP($C712,'INSUMO SINAPI - SP'!$C:$F,2,0)))))</f>
        <v>ARGAMASSA TRAÇO 1:4 (EM VOLUME DE CIMENTO E AREIA GROSSA ÚMIDA) PARA CHAPISCO CONVENCIONAL, PREPARO MECÂNICO COM BETONEIRA 400 L. AF_08/2019</v>
      </c>
      <c r="F712" s="510" t="str">
        <f>IF($C712="",IFERROR(VLOOKUP($B712,SERVIÇOS!$B:$G,3,0),IFERROR(VLOOKUP($B712,$D:$K,3,0),"")),IFERROR(VLOOKUP($C712,INSUMOS!$A:$D,3,0),IFERROR(VLOOKUP($C712,COTAÇÕES!$B:$I,3,0),(VLOOKUP($C712,'INSUMO SINAPI - SP'!$C:$F,3,0)))))</f>
        <v>M3</v>
      </c>
      <c r="G712" s="511">
        <v>1.15702479338843E-2</v>
      </c>
      <c r="H712" s="512">
        <f>IF($C712="",IFERROR(VLOOKUP($B712,SERVIÇOS!$B:$G,6,0),IFERROR(VLOOKUP($B712,$D:$K,8,0),"")),IFERROR(VLOOKUP($C712,INSUMOS!$A:$D,4,0),IFERROR(VLOOKUP($C712,COTAÇÕES!$B:$I,7,0),(VLOOKUP($C712,'INSUMO SINAPI - SP'!$C:$F,4,0)))))</f>
        <v>513.03</v>
      </c>
      <c r="I712" s="513">
        <f>TRUNC(IF($C712="",IFERROR(VLOOKUP($B712,SERVIÇOS!$B:$G,4,0),IFERROR(VLOOKUP($B712,$D:$K,6,0),)),IFERROR(VLOOKUP($C712,INSUMOS!$A:$D,4,0),IFERROR(VLOOKUP($C712,COTAÇÕES!$B:$I,7,0),(VLOOKUP($C712,'INSUMO SINAPI - SP'!$C:$F,4,0)))))*$G712,2)</f>
        <v>4.59</v>
      </c>
      <c r="J712" s="513">
        <f>TRUNC(IF($C712="",IFERROR(VLOOKUP($B712,SERVIÇOS!$B:$G,5,0),IFERROR(VLOOKUP($B712,$D:$K,7,0),)),0)*$G712,2)</f>
        <v>1.34</v>
      </c>
      <c r="K712" s="514">
        <f>I712+J712</f>
        <v>5.93</v>
      </c>
      <c r="L712" s="515"/>
      <c r="M712" s="471"/>
      <c r="N712" s="516"/>
      <c r="Q712" s="472"/>
      <c r="R712" s="472"/>
      <c r="S712" s="472"/>
      <c r="T712" s="472"/>
      <c r="U712" s="472"/>
      <c r="V712" s="472"/>
      <c r="W712" s="472"/>
      <c r="X712" s="472"/>
      <c r="Y712" s="472"/>
    </row>
    <row r="713" spans="1:25" x14ac:dyDescent="0.25">
      <c r="A713" s="463"/>
      <c r="B713" s="498"/>
      <c r="C713" s="498"/>
      <c r="D713" s="499" t="s">
        <v>12194</v>
      </c>
      <c r="E713" s="555" t="s">
        <v>12978</v>
      </c>
      <c r="F713" s="501" t="s">
        <v>580</v>
      </c>
      <c r="G713" s="502"/>
      <c r="H713" s="503"/>
      <c r="I713" s="504">
        <f>ROUND(SUM(I714:I717),2)</f>
        <v>828.64</v>
      </c>
      <c r="J713" s="504">
        <f>ROUND(SUM(J714:J717),2)</f>
        <v>133.79</v>
      </c>
      <c r="K713" s="504">
        <f>+J713+I713</f>
        <v>962.43</v>
      </c>
      <c r="L713" s="523"/>
      <c r="M713" s="471"/>
      <c r="N713" s="505"/>
      <c r="Q713" s="472"/>
      <c r="R713" s="472"/>
      <c r="S713" s="472"/>
      <c r="T713" s="472"/>
      <c r="U713" s="472"/>
      <c r="V713" s="472"/>
      <c r="W713" s="472"/>
      <c r="X713" s="472"/>
      <c r="Y713" s="472"/>
    </row>
    <row r="714" spans="1:25" ht="24" x14ac:dyDescent="0.25">
      <c r="A714" s="463"/>
      <c r="B714" s="506"/>
      <c r="C714" s="507" t="s">
        <v>12976</v>
      </c>
      <c r="D714" s="508"/>
      <c r="E714" s="518" t="s">
        <v>12977</v>
      </c>
      <c r="F714" s="519" t="s">
        <v>580</v>
      </c>
      <c r="G714" s="511">
        <v>2.6666666666666701</v>
      </c>
      <c r="H714" s="520">
        <v>289.55</v>
      </c>
      <c r="I714" s="520">
        <f>TRUNC(H714*G714,2)</f>
        <v>772.13</v>
      </c>
      <c r="J714" s="521"/>
      <c r="K714" s="522">
        <f>I714+J714</f>
        <v>772.13</v>
      </c>
      <c r="L714" s="517" t="s">
        <v>12901</v>
      </c>
      <c r="M714" s="471"/>
      <c r="N714" s="516"/>
      <c r="Q714" s="472"/>
      <c r="R714" s="472"/>
      <c r="S714" s="472"/>
      <c r="T714" s="472"/>
      <c r="U714" s="472"/>
      <c r="V714" s="472"/>
      <c r="W714" s="472"/>
      <c r="X714" s="472"/>
      <c r="Y714" s="472"/>
    </row>
    <row r="715" spans="1:25" x14ac:dyDescent="0.25">
      <c r="A715" s="463"/>
      <c r="B715" s="506">
        <v>88309</v>
      </c>
      <c r="C715" s="507"/>
      <c r="D715" s="508"/>
      <c r="E715" s="509" t="str">
        <f>IF($C715="",IFERROR(VLOOKUP($B715,SERVIÇOS!$B:$G,2,0),IFERROR(VLOOKUP($B715,$D:$K,2,0),"")),IFERROR(VLOOKUP($C715,INSUMOS!$A:$D,2,0),IFERROR(VLOOKUP($C715,COTAÇÕES!$B:$I,2,0),(VLOOKUP($C715,'INSUMO SINAPI - SP'!$C:$F,2,0)))))</f>
        <v>PEDREIRO COM ENCARGOS COMPLEMENTARES</v>
      </c>
      <c r="F715" s="510" t="str">
        <f>IF($C715="",IFERROR(VLOOKUP($B715,SERVIÇOS!$B:$G,3,0),IFERROR(VLOOKUP($B715,$D:$K,3,0),"")),IFERROR(VLOOKUP($C715,INSUMOS!$A:$D,3,0),IFERROR(VLOOKUP($C715,COTAÇÕES!$B:$I,3,0),(VLOOKUP($C715,'INSUMO SINAPI - SP'!$C:$F,3,0)))))</f>
        <v>H</v>
      </c>
      <c r="G715" s="511">
        <v>2.8099173553718999</v>
      </c>
      <c r="H715" s="512">
        <f>IF($C715="",IFERROR(VLOOKUP($B715,SERVIÇOS!$B:$G,6,0),IFERROR(VLOOKUP($B715,$D:$K,8,0),"")),IFERROR(VLOOKUP($C715,INSUMOS!$A:$D,4,0),IFERROR(VLOOKUP($C715,COTAÇÕES!$B:$I,7,0),(VLOOKUP($C715,'INSUMO SINAPI - SP'!$C:$F,4,0)))))</f>
        <v>36.909999999999997</v>
      </c>
      <c r="I715" s="513">
        <f>TRUNC(IF($C715="",IFERROR(VLOOKUP($B715,SERVIÇOS!$B:$G,4,0),IFERROR(VLOOKUP($B715,$D:$K,6,0),)),IFERROR(VLOOKUP($C715,INSUMOS!$A:$D,4,0),IFERROR(VLOOKUP($C715,COTAÇÕES!$B:$I,7,0),(VLOOKUP($C715,'INSUMO SINAPI - SP'!$C:$F,4,0)))))*$G715,2)</f>
        <v>26.07</v>
      </c>
      <c r="J715" s="513">
        <f>TRUNC(IF($C715="",IFERROR(VLOOKUP($B715,SERVIÇOS!$B:$G,5,0),IFERROR(VLOOKUP($B715,$D:$K,7,0),)),0)*$G715,2)</f>
        <v>77.63</v>
      </c>
      <c r="K715" s="514">
        <f>I715+J715</f>
        <v>103.69999999999999</v>
      </c>
      <c r="L715" s="515"/>
      <c r="M715" s="471"/>
      <c r="N715" s="516"/>
      <c r="Q715" s="472"/>
      <c r="R715" s="472"/>
      <c r="S715" s="472"/>
      <c r="T715" s="472"/>
      <c r="U715" s="472"/>
      <c r="V715" s="472"/>
      <c r="W715" s="472"/>
      <c r="X715" s="472"/>
      <c r="Y715" s="472"/>
    </row>
    <row r="716" spans="1:25" x14ac:dyDescent="0.25">
      <c r="A716" s="463"/>
      <c r="B716" s="506">
        <v>88316</v>
      </c>
      <c r="C716" s="507"/>
      <c r="D716" s="508"/>
      <c r="E716" s="509" t="str">
        <f>IF($C716="",IFERROR(VLOOKUP($B716,SERVIÇOS!$B:$G,2,0),IFERROR(VLOOKUP($B716,$D:$K,2,0),"")),IFERROR(VLOOKUP($C716,INSUMOS!$A:$D,2,0),IFERROR(VLOOKUP($C716,COTAÇÕES!$B:$I,2,0),(VLOOKUP($C716,'INSUMO SINAPI - SP'!$C:$F,2,0)))))</f>
        <v>SERVENTE COM ENCARGOS COMPLEMENTARES</v>
      </c>
      <c r="F716" s="510" t="str">
        <f>IF($C716="",IFERROR(VLOOKUP($B716,SERVIÇOS!$B:$G,3,0),IFERROR(VLOOKUP($B716,$D:$K,3,0),"")),IFERROR(VLOOKUP($C716,INSUMOS!$A:$D,3,0),IFERROR(VLOOKUP($C716,COTAÇÕES!$B:$I,3,0),(VLOOKUP($C716,'INSUMO SINAPI - SP'!$C:$F,3,0)))))</f>
        <v>H</v>
      </c>
      <c r="G716" s="511">
        <v>2.8099173553718999</v>
      </c>
      <c r="H716" s="512">
        <f>IF($C716="",IFERROR(VLOOKUP($B716,SERVIÇOS!$B:$G,6,0),IFERROR(VLOOKUP($B716,$D:$K,8,0),"")),IFERROR(VLOOKUP($C716,INSUMOS!$A:$D,4,0),IFERROR(VLOOKUP($C716,COTAÇÕES!$B:$I,7,0),(VLOOKUP($C716,'INSUMO SINAPI - SP'!$C:$F,4,0)))))</f>
        <v>28.71</v>
      </c>
      <c r="I716" s="513">
        <f>TRUNC(IF($C716="",IFERROR(VLOOKUP($B716,SERVIÇOS!$B:$G,4,0),IFERROR(VLOOKUP($B716,$D:$K,6,0),)),IFERROR(VLOOKUP($C716,INSUMOS!$A:$D,4,0),IFERROR(VLOOKUP($C716,COTAÇÕES!$B:$I,7,0),(VLOOKUP($C716,'INSUMO SINAPI - SP'!$C:$F,4,0)))))*$G716,2)</f>
        <v>25.85</v>
      </c>
      <c r="J716" s="513">
        <f>TRUNC(IF($C716="",IFERROR(VLOOKUP($B716,SERVIÇOS!$B:$G,5,0),IFERROR(VLOOKUP($B716,$D:$K,7,0),)),0)*$G716,2)</f>
        <v>54.82</v>
      </c>
      <c r="K716" s="514">
        <f>I716+J716</f>
        <v>80.67</v>
      </c>
      <c r="L716" s="515"/>
      <c r="M716" s="471"/>
      <c r="N716" s="516"/>
      <c r="Q716" s="472"/>
      <c r="R716" s="472"/>
      <c r="S716" s="472"/>
      <c r="T716" s="472"/>
      <c r="U716" s="472"/>
      <c r="V716" s="472"/>
      <c r="W716" s="472"/>
      <c r="X716" s="472"/>
      <c r="Y716" s="472"/>
    </row>
    <row r="717" spans="1:25" ht="24" x14ac:dyDescent="0.25">
      <c r="A717" s="463"/>
      <c r="B717" s="506">
        <v>87316</v>
      </c>
      <c r="C717" s="507"/>
      <c r="D717" s="508"/>
      <c r="E717" s="509" t="str">
        <f>IF($C717="",IFERROR(VLOOKUP($B717,SERVIÇOS!$B:$G,2,0),IFERROR(VLOOKUP($B717,$D:$K,2,0),"")),IFERROR(VLOOKUP($C717,INSUMOS!$A:$D,2,0),IFERROR(VLOOKUP($C717,COTAÇÕES!$B:$I,2,0),(VLOOKUP($C717,'INSUMO SINAPI - SP'!$C:$F,2,0)))))</f>
        <v>ARGAMASSA TRAÇO 1:4 (EM VOLUME DE CIMENTO E AREIA GROSSA ÚMIDA) PARA CHAPISCO CONVENCIONAL, PREPARO MECÂNICO COM BETONEIRA 400 L. AF_08/2019</v>
      </c>
      <c r="F717" s="510" t="str">
        <f>IF($C717="",IFERROR(VLOOKUP($B717,SERVIÇOS!$B:$G,3,0),IFERROR(VLOOKUP($B717,$D:$K,3,0),"")),IFERROR(VLOOKUP($C717,INSUMOS!$A:$D,3,0),IFERROR(VLOOKUP($C717,COTAÇÕES!$B:$I,3,0),(VLOOKUP($C717,'INSUMO SINAPI - SP'!$C:$F,3,0)))))</f>
        <v>M3</v>
      </c>
      <c r="G717" s="511">
        <v>1.15702479338843E-2</v>
      </c>
      <c r="H717" s="512">
        <f>IF($C717="",IFERROR(VLOOKUP($B717,SERVIÇOS!$B:$G,6,0),IFERROR(VLOOKUP($B717,$D:$K,8,0),"")),IFERROR(VLOOKUP($C717,INSUMOS!$A:$D,4,0),IFERROR(VLOOKUP($C717,COTAÇÕES!$B:$I,7,0),(VLOOKUP($C717,'INSUMO SINAPI - SP'!$C:$F,4,0)))))</f>
        <v>513.03</v>
      </c>
      <c r="I717" s="513">
        <f>TRUNC(IF($C717="",IFERROR(VLOOKUP($B717,SERVIÇOS!$B:$G,4,0),IFERROR(VLOOKUP($B717,$D:$K,6,0),)),IFERROR(VLOOKUP($C717,INSUMOS!$A:$D,4,0),IFERROR(VLOOKUP($C717,COTAÇÕES!$B:$I,7,0),(VLOOKUP($C717,'INSUMO SINAPI - SP'!$C:$F,4,0)))))*$G717,2)</f>
        <v>4.59</v>
      </c>
      <c r="J717" s="513">
        <f>TRUNC(IF($C717="",IFERROR(VLOOKUP($B717,SERVIÇOS!$B:$G,5,0),IFERROR(VLOOKUP($B717,$D:$K,7,0),)),0)*$G717,2)</f>
        <v>1.34</v>
      </c>
      <c r="K717" s="514">
        <f>I717+J717</f>
        <v>5.93</v>
      </c>
      <c r="L717" s="515"/>
      <c r="M717" s="471"/>
      <c r="N717" s="516"/>
      <c r="Q717" s="472"/>
      <c r="R717" s="472"/>
      <c r="S717" s="472"/>
      <c r="T717" s="472"/>
      <c r="U717" s="472"/>
      <c r="V717" s="472"/>
      <c r="W717" s="472"/>
      <c r="X717" s="472"/>
      <c r="Y717" s="472"/>
    </row>
    <row r="718" spans="1:25" x14ac:dyDescent="0.25">
      <c r="A718" s="463"/>
      <c r="B718" s="498"/>
      <c r="C718" s="498"/>
      <c r="D718" s="499" t="s">
        <v>12258</v>
      </c>
      <c r="E718" s="555" t="s">
        <v>12979</v>
      </c>
      <c r="F718" s="501" t="s">
        <v>580</v>
      </c>
      <c r="G718" s="502"/>
      <c r="H718" s="503"/>
      <c r="I718" s="504">
        <f>ROUND(SUM(I719:I721),2)</f>
        <v>7.12</v>
      </c>
      <c r="J718" s="504">
        <f>ROUND(SUM(J719:J721),2)</f>
        <v>2.4700000000000002</v>
      </c>
      <c r="K718" s="504">
        <f>+J718+I718</f>
        <v>9.59</v>
      </c>
      <c r="L718" s="523" t="s">
        <v>12980</v>
      </c>
      <c r="M718" s="471"/>
      <c r="N718" s="505"/>
      <c r="Q718" s="472"/>
      <c r="R718" s="472"/>
      <c r="S718" s="472"/>
      <c r="T718" s="472"/>
      <c r="U718" s="472"/>
      <c r="V718" s="472"/>
      <c r="W718" s="472"/>
      <c r="X718" s="472"/>
      <c r="Y718" s="472"/>
    </row>
    <row r="719" spans="1:25" x14ac:dyDescent="0.25">
      <c r="A719" s="463"/>
      <c r="B719" s="506">
        <v>88247</v>
      </c>
      <c r="C719" s="507"/>
      <c r="D719" s="508"/>
      <c r="E719" s="509" t="str">
        <f>IF($C719="",IFERROR(VLOOKUP($B719,SERVIÇOS!$B:$G,2,0),IFERROR(VLOOKUP($B719,$D:$K,2,0),"")),IFERROR(VLOOKUP($C719,INSUMOS!$A:$D,2,0),IFERROR(VLOOKUP($C719,COTAÇÕES!$B:$I,2,0),(VLOOKUP($C719,'INSUMO SINAPI - SP'!$C:$F,2,0)))))</f>
        <v>AUXILIAR DE ELETRICISTA COM ENCARGOS COMPLEMENTARES</v>
      </c>
      <c r="F719" s="510" t="str">
        <f>IF($C719="",IFERROR(VLOOKUP($B719,SERVIÇOS!$B:$G,3,0),IFERROR(VLOOKUP($B719,$D:$K,3,0),"")),IFERROR(VLOOKUP($C719,INSUMOS!$A:$D,3,0),IFERROR(VLOOKUP($C719,COTAÇÕES!$B:$I,3,0),(VLOOKUP($C719,'INSUMO SINAPI - SP'!$C:$F,3,0)))))</f>
        <v>H</v>
      </c>
      <c r="G719" s="511">
        <v>0.05</v>
      </c>
      <c r="H719" s="512">
        <f>IF($C719="",IFERROR(VLOOKUP($B719,SERVIÇOS!$B:$G,6,0),IFERROR(VLOOKUP($B719,$D:$K,8,0),"")),IFERROR(VLOOKUP($C719,INSUMOS!$A:$D,4,0),IFERROR(VLOOKUP($C719,COTAÇÕES!$B:$I,7,0),(VLOOKUP($C719,'INSUMO SINAPI - SP'!$C:$F,4,0)))))</f>
        <v>30.8</v>
      </c>
      <c r="I719" s="513">
        <f>TRUNC(IF($C719="",IFERROR(VLOOKUP($B719,SERVIÇOS!$B:$G,4,0),IFERROR(VLOOKUP($B719,$D:$K,6,0),)),IFERROR(VLOOKUP($C719,INSUMOS!$A:$D,4,0),IFERROR(VLOOKUP($C719,COTAÇÕES!$B:$I,7,0),(VLOOKUP($C719,'INSUMO SINAPI - SP'!$C:$F,4,0)))))*$G719,2)</f>
        <v>0.46</v>
      </c>
      <c r="J719" s="513">
        <f>TRUNC(IF($C719="",IFERROR(VLOOKUP($B719,SERVIÇOS!$B:$G,5,0),IFERROR(VLOOKUP($B719,$D:$K,7,0),)),0)*$G719,2)</f>
        <v>1.07</v>
      </c>
      <c r="K719" s="514">
        <f>I719+J719</f>
        <v>1.53</v>
      </c>
      <c r="L719" s="515"/>
      <c r="M719" s="471"/>
      <c r="N719" s="516"/>
      <c r="Q719" s="472"/>
      <c r="R719" s="472"/>
      <c r="S719" s="472"/>
      <c r="T719" s="472"/>
      <c r="U719" s="472"/>
      <c r="V719" s="472"/>
      <c r="W719" s="472"/>
      <c r="X719" s="472"/>
      <c r="Y719" s="472"/>
    </row>
    <row r="720" spans="1:25" x14ac:dyDescent="0.25">
      <c r="A720" s="463"/>
      <c r="B720" s="506">
        <v>88264</v>
      </c>
      <c r="C720" s="507"/>
      <c r="D720" s="508"/>
      <c r="E720" s="509" t="str">
        <f>IF($C720="",IFERROR(VLOOKUP($B720,SERVIÇOS!$B:$G,2,0),IFERROR(VLOOKUP($B720,$D:$K,2,0),"")),IFERROR(VLOOKUP($C720,INSUMOS!$A:$D,2,0),IFERROR(VLOOKUP($C720,COTAÇÕES!$B:$I,2,0),(VLOOKUP($C720,'INSUMO SINAPI - SP'!$C:$F,2,0)))))</f>
        <v>ELETRICISTA COM ENCARGOS COMPLEMENTARES</v>
      </c>
      <c r="F720" s="510" t="str">
        <f>IF($C720="",IFERROR(VLOOKUP($B720,SERVIÇOS!$B:$G,3,0),IFERROR(VLOOKUP($B720,$D:$K,3,0),"")),IFERROR(VLOOKUP($C720,INSUMOS!$A:$D,3,0),IFERROR(VLOOKUP($C720,COTAÇÕES!$B:$I,3,0),(VLOOKUP($C720,'INSUMO SINAPI - SP'!$C:$F,3,0)))))</f>
        <v>H</v>
      </c>
      <c r="G720" s="511">
        <v>0.05</v>
      </c>
      <c r="H720" s="512">
        <f>IF($C720="",IFERROR(VLOOKUP($B720,SERVIÇOS!$B:$G,6,0),IFERROR(VLOOKUP($B720,$D:$K,8,0),"")),IFERROR(VLOOKUP($C720,INSUMOS!$A:$D,4,0),IFERROR(VLOOKUP($C720,COTAÇÕES!$B:$I,7,0),(VLOOKUP($C720,'INSUMO SINAPI - SP'!$C:$F,4,0)))))</f>
        <v>37.369999999999997</v>
      </c>
      <c r="I720" s="513">
        <f>TRUNC(IF($C720="",IFERROR(VLOOKUP($B720,SERVIÇOS!$B:$G,4,0),IFERROR(VLOOKUP($B720,$D:$K,6,0),)),IFERROR(VLOOKUP($C720,INSUMOS!$A:$D,4,0),IFERROR(VLOOKUP($C720,COTAÇÕES!$B:$I,7,0),(VLOOKUP($C720,'INSUMO SINAPI - SP'!$C:$F,4,0)))))*$G720,2)</f>
        <v>0.46</v>
      </c>
      <c r="J720" s="513">
        <f>TRUNC(IF($C720="",IFERROR(VLOOKUP($B720,SERVIÇOS!$B:$G,5,0),IFERROR(VLOOKUP($B720,$D:$K,7,0),)),0)*$G720,2)</f>
        <v>1.4</v>
      </c>
      <c r="K720" s="514">
        <f>I720+J720</f>
        <v>1.8599999999999999</v>
      </c>
      <c r="L720" s="515"/>
      <c r="M720" s="471"/>
      <c r="N720" s="516"/>
      <c r="Q720" s="472"/>
      <c r="R720" s="472"/>
      <c r="S720" s="472"/>
      <c r="T720" s="472"/>
      <c r="U720" s="472"/>
      <c r="V720" s="472"/>
      <c r="W720" s="472"/>
      <c r="X720" s="472"/>
      <c r="Y720" s="472"/>
    </row>
    <row r="721" spans="1:25" x14ac:dyDescent="0.25">
      <c r="A721" s="463"/>
      <c r="B721" s="506"/>
      <c r="C721" s="507" t="s">
        <v>12981</v>
      </c>
      <c r="D721" s="508"/>
      <c r="E721" s="518" t="s">
        <v>12979</v>
      </c>
      <c r="F721" s="519" t="s">
        <v>580</v>
      </c>
      <c r="G721" s="511">
        <v>1</v>
      </c>
      <c r="H721" s="520">
        <v>6.2</v>
      </c>
      <c r="I721" s="520">
        <f>TRUNC(H721*G721,2)</f>
        <v>6.2</v>
      </c>
      <c r="J721" s="521"/>
      <c r="K721" s="522">
        <f>I721+J721</f>
        <v>6.2</v>
      </c>
      <c r="L721" s="517" t="s">
        <v>12668</v>
      </c>
      <c r="M721" s="471"/>
      <c r="N721" s="516"/>
      <c r="Q721" s="472"/>
      <c r="R721" s="472"/>
      <c r="S721" s="472"/>
      <c r="T721" s="472"/>
      <c r="U721" s="472"/>
      <c r="V721" s="472"/>
      <c r="W721" s="472"/>
      <c r="X721" s="472"/>
      <c r="Y721" s="472"/>
    </row>
    <row r="722" spans="1:25" x14ac:dyDescent="0.25">
      <c r="A722" s="463"/>
      <c r="B722" s="498"/>
      <c r="C722" s="498"/>
      <c r="D722" s="499" t="s">
        <v>12205</v>
      </c>
      <c r="E722" s="555" t="s">
        <v>12982</v>
      </c>
      <c r="F722" s="501" t="s">
        <v>580</v>
      </c>
      <c r="G722" s="502"/>
      <c r="H722" s="503"/>
      <c r="I722" s="504">
        <f>ROUND(SUM(I723:I725),2)</f>
        <v>17.22</v>
      </c>
      <c r="J722" s="504">
        <f>ROUND(SUM(J723:J725),2)</f>
        <v>2.4700000000000002</v>
      </c>
      <c r="K722" s="504">
        <f>+J722+I722</f>
        <v>19.689999999999998</v>
      </c>
      <c r="L722" s="523" t="s">
        <v>12980</v>
      </c>
      <c r="M722" s="471"/>
      <c r="N722" s="505"/>
      <c r="Q722" s="472"/>
      <c r="R722" s="472"/>
      <c r="S722" s="472"/>
      <c r="T722" s="472"/>
      <c r="U722" s="472"/>
      <c r="V722" s="472"/>
      <c r="W722" s="472"/>
      <c r="X722" s="472"/>
      <c r="Y722" s="472"/>
    </row>
    <row r="723" spans="1:25" x14ac:dyDescent="0.25">
      <c r="A723" s="463"/>
      <c r="B723" s="506">
        <v>88247</v>
      </c>
      <c r="C723" s="507"/>
      <c r="D723" s="508"/>
      <c r="E723" s="509" t="str">
        <f>IF($C723="",IFERROR(VLOOKUP($B723,SERVIÇOS!$B:$G,2,0),IFERROR(VLOOKUP($B723,$D:$K,2,0),"")),IFERROR(VLOOKUP($C723,INSUMOS!$A:$D,2,0),IFERROR(VLOOKUP($C723,COTAÇÕES!$B:$I,2,0),(VLOOKUP($C723,'INSUMO SINAPI - SP'!$C:$F,2,0)))))</f>
        <v>AUXILIAR DE ELETRICISTA COM ENCARGOS COMPLEMENTARES</v>
      </c>
      <c r="F723" s="510" t="str">
        <f>IF($C723="",IFERROR(VLOOKUP($B723,SERVIÇOS!$B:$G,3,0),IFERROR(VLOOKUP($B723,$D:$K,3,0),"")),IFERROR(VLOOKUP($C723,INSUMOS!$A:$D,3,0),IFERROR(VLOOKUP($C723,COTAÇÕES!$B:$I,3,0),(VLOOKUP($C723,'INSUMO SINAPI - SP'!$C:$F,3,0)))))</f>
        <v>H</v>
      </c>
      <c r="G723" s="511">
        <v>0.05</v>
      </c>
      <c r="H723" s="512">
        <f>IF($C723="",IFERROR(VLOOKUP($B723,SERVIÇOS!$B:$G,6,0),IFERROR(VLOOKUP($B723,$D:$K,8,0),"")),IFERROR(VLOOKUP($C723,INSUMOS!$A:$D,4,0),IFERROR(VLOOKUP($C723,COTAÇÕES!$B:$I,7,0),(VLOOKUP($C723,'INSUMO SINAPI - SP'!$C:$F,4,0)))))</f>
        <v>30.8</v>
      </c>
      <c r="I723" s="513">
        <f>TRUNC(IF($C723="",IFERROR(VLOOKUP($B723,SERVIÇOS!$B:$G,4,0),IFERROR(VLOOKUP($B723,$D:$K,6,0),)),IFERROR(VLOOKUP($C723,INSUMOS!$A:$D,4,0),IFERROR(VLOOKUP($C723,COTAÇÕES!$B:$I,7,0),(VLOOKUP($C723,'INSUMO SINAPI - SP'!$C:$F,4,0)))))*$G723,2)</f>
        <v>0.46</v>
      </c>
      <c r="J723" s="513">
        <f>TRUNC(IF($C723="",IFERROR(VLOOKUP($B723,SERVIÇOS!$B:$G,5,0),IFERROR(VLOOKUP($B723,$D:$K,7,0),)),0)*$G723,2)</f>
        <v>1.07</v>
      </c>
      <c r="K723" s="514">
        <f>I723+J723</f>
        <v>1.53</v>
      </c>
      <c r="L723" s="515"/>
      <c r="M723" s="471"/>
      <c r="N723" s="516"/>
      <c r="Q723" s="472"/>
      <c r="R723" s="472"/>
      <c r="S723" s="472"/>
      <c r="T723" s="472"/>
      <c r="U723" s="472"/>
      <c r="V723" s="472"/>
      <c r="W723" s="472"/>
      <c r="X723" s="472"/>
      <c r="Y723" s="472"/>
    </row>
    <row r="724" spans="1:25" x14ac:dyDescent="0.25">
      <c r="A724" s="463"/>
      <c r="B724" s="506">
        <v>88264</v>
      </c>
      <c r="C724" s="507"/>
      <c r="D724" s="508"/>
      <c r="E724" s="509" t="str">
        <f>IF($C724="",IFERROR(VLOOKUP($B724,SERVIÇOS!$B:$G,2,0),IFERROR(VLOOKUP($B724,$D:$K,2,0),"")),IFERROR(VLOOKUP($C724,INSUMOS!$A:$D,2,0),IFERROR(VLOOKUP($C724,COTAÇÕES!$B:$I,2,0),(VLOOKUP($C724,'INSUMO SINAPI - SP'!$C:$F,2,0)))))</f>
        <v>ELETRICISTA COM ENCARGOS COMPLEMENTARES</v>
      </c>
      <c r="F724" s="510" t="str">
        <f>IF($C724="",IFERROR(VLOOKUP($B724,SERVIÇOS!$B:$G,3,0),IFERROR(VLOOKUP($B724,$D:$K,3,0),"")),IFERROR(VLOOKUP($C724,INSUMOS!$A:$D,3,0),IFERROR(VLOOKUP($C724,COTAÇÕES!$B:$I,3,0),(VLOOKUP($C724,'INSUMO SINAPI - SP'!$C:$F,3,0)))))</f>
        <v>H</v>
      </c>
      <c r="G724" s="511">
        <v>0.05</v>
      </c>
      <c r="H724" s="512">
        <f>IF($C724="",IFERROR(VLOOKUP($B724,SERVIÇOS!$B:$G,6,0),IFERROR(VLOOKUP($B724,$D:$K,8,0),"")),IFERROR(VLOOKUP($C724,INSUMOS!$A:$D,4,0),IFERROR(VLOOKUP($C724,COTAÇÕES!$B:$I,7,0),(VLOOKUP($C724,'INSUMO SINAPI - SP'!$C:$F,4,0)))))</f>
        <v>37.369999999999997</v>
      </c>
      <c r="I724" s="513">
        <f>TRUNC(IF($C724="",IFERROR(VLOOKUP($B724,SERVIÇOS!$B:$G,4,0),IFERROR(VLOOKUP($B724,$D:$K,6,0),)),IFERROR(VLOOKUP($C724,INSUMOS!$A:$D,4,0),IFERROR(VLOOKUP($C724,COTAÇÕES!$B:$I,7,0),(VLOOKUP($C724,'INSUMO SINAPI - SP'!$C:$F,4,0)))))*$G724,2)</f>
        <v>0.46</v>
      </c>
      <c r="J724" s="513">
        <f>TRUNC(IF($C724="",IFERROR(VLOOKUP($B724,SERVIÇOS!$B:$G,5,0),IFERROR(VLOOKUP($B724,$D:$K,7,0),)),0)*$G724,2)</f>
        <v>1.4</v>
      </c>
      <c r="K724" s="514">
        <f>I724+J724</f>
        <v>1.8599999999999999</v>
      </c>
      <c r="L724" s="515"/>
      <c r="M724" s="471"/>
      <c r="N724" s="516"/>
      <c r="Q724" s="472"/>
      <c r="R724" s="472"/>
      <c r="S724" s="472"/>
      <c r="T724" s="472"/>
      <c r="U724" s="472"/>
      <c r="V724" s="472"/>
      <c r="W724" s="472"/>
      <c r="X724" s="472"/>
      <c r="Y724" s="472"/>
    </row>
    <row r="725" spans="1:25" x14ac:dyDescent="0.25">
      <c r="A725" s="463"/>
      <c r="B725" s="506"/>
      <c r="C725" s="507" t="s">
        <v>12983</v>
      </c>
      <c r="D725" s="508"/>
      <c r="E725" s="518" t="s">
        <v>12982</v>
      </c>
      <c r="F725" s="519" t="s">
        <v>580</v>
      </c>
      <c r="G725" s="511">
        <v>1</v>
      </c>
      <c r="H725" s="520">
        <v>16.3</v>
      </c>
      <c r="I725" s="520">
        <f>TRUNC(H725*G725,2)</f>
        <v>16.3</v>
      </c>
      <c r="J725" s="521"/>
      <c r="K725" s="522">
        <f>I725+J725</f>
        <v>16.3</v>
      </c>
      <c r="L725" s="517" t="s">
        <v>12668</v>
      </c>
      <c r="M725" s="471"/>
      <c r="N725" s="516"/>
      <c r="Q725" s="472"/>
      <c r="R725" s="472"/>
      <c r="S725" s="472"/>
      <c r="T725" s="472"/>
      <c r="U725" s="472"/>
      <c r="V725" s="472"/>
      <c r="W725" s="472"/>
      <c r="X725" s="472"/>
      <c r="Y725" s="472"/>
    </row>
    <row r="726" spans="1:25" x14ac:dyDescent="0.25">
      <c r="A726" s="463"/>
      <c r="B726" s="498"/>
      <c r="C726" s="498"/>
      <c r="D726" s="499" t="s">
        <v>12300</v>
      </c>
      <c r="E726" s="555" t="s">
        <v>12984</v>
      </c>
      <c r="F726" s="501" t="s">
        <v>580</v>
      </c>
      <c r="G726" s="502"/>
      <c r="H726" s="503"/>
      <c r="I726" s="504">
        <f>ROUND(SUM(I727:I729),2)</f>
        <v>44.02</v>
      </c>
      <c r="J726" s="504">
        <f>ROUND(SUM(J727:J729),2)</f>
        <v>2.4700000000000002</v>
      </c>
      <c r="K726" s="504">
        <f>+J726+I726</f>
        <v>46.49</v>
      </c>
      <c r="L726" s="523" t="s">
        <v>12980</v>
      </c>
      <c r="M726" s="471"/>
      <c r="N726" s="505"/>
      <c r="Q726" s="472"/>
      <c r="R726" s="472"/>
      <c r="S726" s="472"/>
      <c r="T726" s="472"/>
      <c r="U726" s="472"/>
      <c r="V726" s="472"/>
      <c r="W726" s="472"/>
      <c r="X726" s="472"/>
      <c r="Y726" s="472"/>
    </row>
    <row r="727" spans="1:25" x14ac:dyDescent="0.25">
      <c r="A727" s="463"/>
      <c r="B727" s="506">
        <v>88247</v>
      </c>
      <c r="C727" s="507"/>
      <c r="D727" s="508"/>
      <c r="E727" s="509" t="str">
        <f>IF($C727="",IFERROR(VLOOKUP($B727,SERVIÇOS!$B:$G,2,0),IFERROR(VLOOKUP($B727,$D:$K,2,0),"")),IFERROR(VLOOKUP($C727,INSUMOS!$A:$D,2,0),IFERROR(VLOOKUP($C727,COTAÇÕES!$B:$I,2,0),(VLOOKUP($C727,'INSUMO SINAPI - SP'!$C:$F,2,0)))))</f>
        <v>AUXILIAR DE ELETRICISTA COM ENCARGOS COMPLEMENTARES</v>
      </c>
      <c r="F727" s="510" t="str">
        <f>IF($C727="",IFERROR(VLOOKUP($B727,SERVIÇOS!$B:$G,3,0),IFERROR(VLOOKUP($B727,$D:$K,3,0),"")),IFERROR(VLOOKUP($C727,INSUMOS!$A:$D,3,0),IFERROR(VLOOKUP($C727,COTAÇÕES!$B:$I,3,0),(VLOOKUP($C727,'INSUMO SINAPI - SP'!$C:$F,3,0)))))</f>
        <v>H</v>
      </c>
      <c r="G727" s="511">
        <v>0.05</v>
      </c>
      <c r="H727" s="512">
        <f>IF($C727="",IFERROR(VLOOKUP($B727,SERVIÇOS!$B:$G,6,0),IFERROR(VLOOKUP($B727,$D:$K,8,0),"")),IFERROR(VLOOKUP($C727,INSUMOS!$A:$D,4,0),IFERROR(VLOOKUP($C727,COTAÇÕES!$B:$I,7,0),(VLOOKUP($C727,'INSUMO SINAPI - SP'!$C:$F,4,0)))))</f>
        <v>30.8</v>
      </c>
      <c r="I727" s="513">
        <f>TRUNC(IF($C727="",IFERROR(VLOOKUP($B727,SERVIÇOS!$B:$G,4,0),IFERROR(VLOOKUP($B727,$D:$K,6,0),)),IFERROR(VLOOKUP($C727,INSUMOS!$A:$D,4,0),IFERROR(VLOOKUP($C727,COTAÇÕES!$B:$I,7,0),(VLOOKUP($C727,'INSUMO SINAPI - SP'!$C:$F,4,0)))))*$G727,2)</f>
        <v>0.46</v>
      </c>
      <c r="J727" s="513">
        <f>TRUNC(IF($C727="",IFERROR(VLOOKUP($B727,SERVIÇOS!$B:$G,5,0),IFERROR(VLOOKUP($B727,$D:$K,7,0),)),0)*$G727,2)</f>
        <v>1.07</v>
      </c>
      <c r="K727" s="514">
        <f>I727+J727</f>
        <v>1.53</v>
      </c>
      <c r="L727" s="515"/>
      <c r="M727" s="471"/>
      <c r="N727" s="516"/>
      <c r="Q727" s="472"/>
      <c r="R727" s="472"/>
      <c r="S727" s="472"/>
      <c r="T727" s="472"/>
      <c r="U727" s="472"/>
      <c r="V727" s="472"/>
      <c r="W727" s="472"/>
      <c r="X727" s="472"/>
      <c r="Y727" s="472"/>
    </row>
    <row r="728" spans="1:25" x14ac:dyDescent="0.25">
      <c r="A728" s="463"/>
      <c r="B728" s="506">
        <v>88264</v>
      </c>
      <c r="C728" s="507"/>
      <c r="D728" s="508"/>
      <c r="E728" s="509" t="str">
        <f>IF($C728="",IFERROR(VLOOKUP($B728,SERVIÇOS!$B:$G,2,0),IFERROR(VLOOKUP($B728,$D:$K,2,0),"")),IFERROR(VLOOKUP($C728,INSUMOS!$A:$D,2,0),IFERROR(VLOOKUP($C728,COTAÇÕES!$B:$I,2,0),(VLOOKUP($C728,'INSUMO SINAPI - SP'!$C:$F,2,0)))))</f>
        <v>ELETRICISTA COM ENCARGOS COMPLEMENTARES</v>
      </c>
      <c r="F728" s="510" t="str">
        <f>IF($C728="",IFERROR(VLOOKUP($B728,SERVIÇOS!$B:$G,3,0),IFERROR(VLOOKUP($B728,$D:$K,3,0),"")),IFERROR(VLOOKUP($C728,INSUMOS!$A:$D,3,0),IFERROR(VLOOKUP($C728,COTAÇÕES!$B:$I,3,0),(VLOOKUP($C728,'INSUMO SINAPI - SP'!$C:$F,3,0)))))</f>
        <v>H</v>
      </c>
      <c r="G728" s="511">
        <v>0.05</v>
      </c>
      <c r="H728" s="512">
        <f>IF($C728="",IFERROR(VLOOKUP($B728,SERVIÇOS!$B:$G,6,0),IFERROR(VLOOKUP($B728,$D:$K,8,0),"")),IFERROR(VLOOKUP($C728,INSUMOS!$A:$D,4,0),IFERROR(VLOOKUP($C728,COTAÇÕES!$B:$I,7,0),(VLOOKUP($C728,'INSUMO SINAPI - SP'!$C:$F,4,0)))))</f>
        <v>37.369999999999997</v>
      </c>
      <c r="I728" s="513">
        <f>TRUNC(IF($C728="",IFERROR(VLOOKUP($B728,SERVIÇOS!$B:$G,4,0),IFERROR(VLOOKUP($B728,$D:$K,6,0),)),IFERROR(VLOOKUP($C728,INSUMOS!$A:$D,4,0),IFERROR(VLOOKUP($C728,COTAÇÕES!$B:$I,7,0),(VLOOKUP($C728,'INSUMO SINAPI - SP'!$C:$F,4,0)))))*$G728,2)</f>
        <v>0.46</v>
      </c>
      <c r="J728" s="513">
        <f>TRUNC(IF($C728="",IFERROR(VLOOKUP($B728,SERVIÇOS!$B:$G,5,0),IFERROR(VLOOKUP($B728,$D:$K,7,0),)),0)*$G728,2)</f>
        <v>1.4</v>
      </c>
      <c r="K728" s="514">
        <f>I728+J728</f>
        <v>1.8599999999999999</v>
      </c>
      <c r="L728" s="515"/>
      <c r="M728" s="471"/>
      <c r="N728" s="516"/>
      <c r="Q728" s="472"/>
      <c r="R728" s="472"/>
      <c r="S728" s="472"/>
      <c r="T728" s="472"/>
      <c r="U728" s="472"/>
      <c r="V728" s="472"/>
      <c r="W728" s="472"/>
      <c r="X728" s="472"/>
      <c r="Y728" s="472"/>
    </row>
    <row r="729" spans="1:25" x14ac:dyDescent="0.25">
      <c r="A729" s="463"/>
      <c r="B729" s="506"/>
      <c r="C729" s="507" t="s">
        <v>12985</v>
      </c>
      <c r="D729" s="508"/>
      <c r="E729" s="518" t="s">
        <v>12984</v>
      </c>
      <c r="F729" s="519" t="s">
        <v>580</v>
      </c>
      <c r="G729" s="511">
        <v>1</v>
      </c>
      <c r="H729" s="520">
        <v>43.1</v>
      </c>
      <c r="I729" s="520">
        <f>TRUNC(H729*G729,2)</f>
        <v>43.1</v>
      </c>
      <c r="J729" s="521"/>
      <c r="K729" s="522">
        <f>I729+J729</f>
        <v>43.1</v>
      </c>
      <c r="L729" s="517" t="s">
        <v>12668</v>
      </c>
      <c r="M729" s="471"/>
      <c r="N729" s="516"/>
      <c r="Q729" s="472"/>
      <c r="R729" s="472"/>
      <c r="S729" s="472"/>
      <c r="T729" s="472"/>
      <c r="U729" s="472"/>
      <c r="V729" s="472"/>
      <c r="W729" s="472"/>
      <c r="X729" s="472"/>
      <c r="Y729" s="472"/>
    </row>
    <row r="730" spans="1:25" x14ac:dyDescent="0.25">
      <c r="A730" s="463"/>
      <c r="B730" s="498"/>
      <c r="C730" s="498"/>
      <c r="D730" s="499" t="s">
        <v>12279</v>
      </c>
      <c r="E730" s="555" t="s">
        <v>12986</v>
      </c>
      <c r="F730" s="501" t="s">
        <v>580</v>
      </c>
      <c r="G730" s="502"/>
      <c r="H730" s="503"/>
      <c r="I730" s="504">
        <f>ROUND(SUM(I731:I733),2)</f>
        <v>63.47</v>
      </c>
      <c r="J730" s="504">
        <f>ROUND(SUM(J731:J733),2)</f>
        <v>2.37</v>
      </c>
      <c r="K730" s="504">
        <f>+J730+I730</f>
        <v>65.84</v>
      </c>
      <c r="L730" s="523" t="s">
        <v>12987</v>
      </c>
      <c r="M730" s="471"/>
      <c r="N730" s="505"/>
      <c r="Q730" s="472"/>
      <c r="R730" s="472"/>
      <c r="S730" s="472"/>
      <c r="T730" s="472"/>
      <c r="U730" s="472"/>
      <c r="V730" s="472"/>
      <c r="W730" s="472"/>
      <c r="X730" s="472"/>
      <c r="Y730" s="472"/>
    </row>
    <row r="731" spans="1:25" x14ac:dyDescent="0.25">
      <c r="A731" s="463"/>
      <c r="B731" s="506">
        <v>88264</v>
      </c>
      <c r="C731" s="507"/>
      <c r="D731" s="508"/>
      <c r="E731" s="509" t="str">
        <f>IF($C731="",IFERROR(VLOOKUP($B731,SERVIÇOS!$B:$G,2,0),IFERROR(VLOOKUP($B731,$D:$K,2,0),"")),IFERROR(VLOOKUP($C731,INSUMOS!$A:$D,2,0),IFERROR(VLOOKUP($C731,COTAÇÕES!$B:$I,2,0),(VLOOKUP($C731,'INSUMO SINAPI - SP'!$C:$F,2,0)))))</f>
        <v>ELETRICISTA COM ENCARGOS COMPLEMENTARES</v>
      </c>
      <c r="F731" s="510" t="str">
        <f>IF($C731="",IFERROR(VLOOKUP($B731,SERVIÇOS!$B:$G,3,0),IFERROR(VLOOKUP($B731,$D:$K,3,0),"")),IFERROR(VLOOKUP($C731,INSUMOS!$A:$D,3,0),IFERROR(VLOOKUP($C731,COTAÇÕES!$B:$I,3,0),(VLOOKUP($C731,'INSUMO SINAPI - SP'!$C:$F,3,0)))))</f>
        <v>H</v>
      </c>
      <c r="G731" s="511">
        <v>0.05</v>
      </c>
      <c r="H731" s="512">
        <f>IF($C731="",IFERROR(VLOOKUP($B731,SERVIÇOS!$B:$G,6,0),IFERROR(VLOOKUP($B731,$D:$K,8,0),"")),IFERROR(VLOOKUP($C731,INSUMOS!$A:$D,4,0),IFERROR(VLOOKUP($C731,COTAÇÕES!$B:$I,7,0),(VLOOKUP($C731,'INSUMO SINAPI - SP'!$C:$F,4,0)))))</f>
        <v>37.369999999999997</v>
      </c>
      <c r="I731" s="513">
        <f>TRUNC(IF($C731="",IFERROR(VLOOKUP($B731,SERVIÇOS!$B:$G,4,0),IFERROR(VLOOKUP($B731,$D:$K,6,0),)),IFERROR(VLOOKUP($C731,INSUMOS!$A:$D,4,0),IFERROR(VLOOKUP($C731,COTAÇÕES!$B:$I,7,0),(VLOOKUP($C731,'INSUMO SINAPI - SP'!$C:$F,4,0)))))*$G731,2)</f>
        <v>0.46</v>
      </c>
      <c r="J731" s="513">
        <f>TRUNC(IF($C731="",IFERROR(VLOOKUP($B731,SERVIÇOS!$B:$G,5,0),IFERROR(VLOOKUP($B731,$D:$K,7,0),)),0)*$G731,2)</f>
        <v>1.4</v>
      </c>
      <c r="K731" s="514">
        <f>I731+J731</f>
        <v>1.8599999999999999</v>
      </c>
      <c r="L731" s="515"/>
      <c r="M731" s="471"/>
      <c r="N731" s="516"/>
      <c r="Q731" s="472"/>
      <c r="R731" s="472"/>
      <c r="S731" s="472"/>
      <c r="T731" s="472"/>
      <c r="U731" s="472"/>
      <c r="V731" s="472"/>
      <c r="W731" s="472"/>
      <c r="X731" s="472"/>
      <c r="Y731" s="472"/>
    </row>
    <row r="732" spans="1:25" x14ac:dyDescent="0.25">
      <c r="A732" s="463"/>
      <c r="B732" s="506">
        <v>88316</v>
      </c>
      <c r="C732" s="507"/>
      <c r="D732" s="508"/>
      <c r="E732" s="509" t="str">
        <f>IF($C732="",IFERROR(VLOOKUP($B732,SERVIÇOS!$B:$G,2,0),IFERROR(VLOOKUP($B732,$D:$K,2,0),"")),IFERROR(VLOOKUP($C732,INSUMOS!$A:$D,2,0),IFERROR(VLOOKUP($C732,COTAÇÕES!$B:$I,2,0),(VLOOKUP($C732,'INSUMO SINAPI - SP'!$C:$F,2,0)))))</f>
        <v>SERVENTE COM ENCARGOS COMPLEMENTARES</v>
      </c>
      <c r="F732" s="510" t="str">
        <f>IF($C732="",IFERROR(VLOOKUP($B732,SERVIÇOS!$B:$G,3,0),IFERROR(VLOOKUP($B732,$D:$K,3,0),"")),IFERROR(VLOOKUP($C732,INSUMOS!$A:$D,3,0),IFERROR(VLOOKUP($C732,COTAÇÕES!$B:$I,3,0),(VLOOKUP($C732,'INSUMO SINAPI - SP'!$C:$F,3,0)))))</f>
        <v>H</v>
      </c>
      <c r="G732" s="511">
        <v>0.05</v>
      </c>
      <c r="H732" s="512">
        <f>IF($C732="",IFERROR(VLOOKUP($B732,SERVIÇOS!$B:$G,6,0),IFERROR(VLOOKUP($B732,$D:$K,8,0),"")),IFERROR(VLOOKUP($C732,INSUMOS!$A:$D,4,0),IFERROR(VLOOKUP($C732,COTAÇÕES!$B:$I,7,0),(VLOOKUP($C732,'INSUMO SINAPI - SP'!$C:$F,4,0)))))</f>
        <v>28.71</v>
      </c>
      <c r="I732" s="513">
        <f>TRUNC(IF($C732="",IFERROR(VLOOKUP($B732,SERVIÇOS!$B:$G,4,0),IFERROR(VLOOKUP($B732,$D:$K,6,0),)),IFERROR(VLOOKUP($C732,INSUMOS!$A:$D,4,0),IFERROR(VLOOKUP($C732,COTAÇÕES!$B:$I,7,0),(VLOOKUP($C732,'INSUMO SINAPI - SP'!$C:$F,4,0)))))*$G732,2)</f>
        <v>0.46</v>
      </c>
      <c r="J732" s="513">
        <f>TRUNC(IF($C732="",IFERROR(VLOOKUP($B732,SERVIÇOS!$B:$G,5,0),IFERROR(VLOOKUP($B732,$D:$K,7,0),)),0)*$G732,2)</f>
        <v>0.97</v>
      </c>
      <c r="K732" s="514">
        <f>I732+J732</f>
        <v>1.43</v>
      </c>
      <c r="L732" s="515"/>
      <c r="M732" s="471"/>
      <c r="N732" s="516"/>
      <c r="Q732" s="472"/>
      <c r="R732" s="472"/>
      <c r="S732" s="472"/>
      <c r="T732" s="472"/>
      <c r="U732" s="472"/>
      <c r="V732" s="472"/>
      <c r="W732" s="472"/>
      <c r="X732" s="472"/>
      <c r="Y732" s="472"/>
    </row>
    <row r="733" spans="1:25" x14ac:dyDescent="0.25">
      <c r="A733" s="463"/>
      <c r="B733" s="506"/>
      <c r="C733" s="507" t="s">
        <v>12988</v>
      </c>
      <c r="D733" s="508"/>
      <c r="E733" s="518" t="s">
        <v>12986</v>
      </c>
      <c r="F733" s="519" t="s">
        <v>580</v>
      </c>
      <c r="G733" s="511">
        <v>1</v>
      </c>
      <c r="H733" s="520">
        <v>62.55</v>
      </c>
      <c r="I733" s="520">
        <f>TRUNC(H733*G733,2)</f>
        <v>62.55</v>
      </c>
      <c r="J733" s="521"/>
      <c r="K733" s="522">
        <f>I733+J733</f>
        <v>62.55</v>
      </c>
      <c r="L733" s="517" t="s">
        <v>12668</v>
      </c>
      <c r="M733" s="471"/>
      <c r="N733" s="516"/>
      <c r="Q733" s="472"/>
      <c r="R733" s="472"/>
      <c r="S733" s="472"/>
      <c r="T733" s="472"/>
      <c r="U733" s="472"/>
      <c r="V733" s="472"/>
      <c r="W733" s="472"/>
      <c r="X733" s="472"/>
      <c r="Y733" s="472"/>
    </row>
    <row r="734" spans="1:25" x14ac:dyDescent="0.25">
      <c r="A734" s="463"/>
      <c r="B734" s="498"/>
      <c r="C734" s="498"/>
      <c r="D734" s="499" t="s">
        <v>12333</v>
      </c>
      <c r="E734" s="555" t="s">
        <v>12989</v>
      </c>
      <c r="F734" s="501" t="s">
        <v>585</v>
      </c>
      <c r="G734" s="502"/>
      <c r="H734" s="503"/>
      <c r="I734" s="504">
        <f>ROUND(SUM(I735:I737),2)</f>
        <v>13.72</v>
      </c>
      <c r="J734" s="504">
        <f>ROUND(SUM(J735:J737),2)</f>
        <v>16.5</v>
      </c>
      <c r="K734" s="504">
        <f>+J734+I734</f>
        <v>30.22</v>
      </c>
      <c r="L734" s="523" t="s">
        <v>12990</v>
      </c>
      <c r="M734" s="471"/>
      <c r="N734" s="505"/>
      <c r="Q734" s="472"/>
      <c r="R734" s="472"/>
      <c r="S734" s="472"/>
      <c r="T734" s="472"/>
      <c r="U734" s="472"/>
      <c r="V734" s="472"/>
      <c r="W734" s="472"/>
      <c r="X734" s="472"/>
      <c r="Y734" s="472"/>
    </row>
    <row r="735" spans="1:25" x14ac:dyDescent="0.25">
      <c r="A735" s="463"/>
      <c r="B735" s="506">
        <v>88247</v>
      </c>
      <c r="C735" s="507"/>
      <c r="D735" s="508"/>
      <c r="E735" s="509" t="str">
        <f>IF($C735="",IFERROR(VLOOKUP($B735,SERVIÇOS!$B:$G,2,0),IFERROR(VLOOKUP($B735,$D:$K,2,0),"")),IFERROR(VLOOKUP($C735,INSUMOS!$A:$D,2,0),IFERROR(VLOOKUP($C735,COTAÇÕES!$B:$I,2,0),(VLOOKUP($C735,'INSUMO SINAPI - SP'!$C:$F,2,0)))))</f>
        <v>AUXILIAR DE ELETRICISTA COM ENCARGOS COMPLEMENTARES</v>
      </c>
      <c r="F735" s="510" t="str">
        <f>IF($C735="",IFERROR(VLOOKUP($B735,SERVIÇOS!$B:$G,3,0),IFERROR(VLOOKUP($B735,$D:$K,3,0),"")),IFERROR(VLOOKUP($C735,INSUMOS!$A:$D,3,0),IFERROR(VLOOKUP($C735,COTAÇÕES!$B:$I,3,0),(VLOOKUP($C735,'INSUMO SINAPI - SP'!$C:$F,3,0)))))</f>
        <v>H</v>
      </c>
      <c r="G735" s="511">
        <v>0.33329999999999999</v>
      </c>
      <c r="H735" s="512">
        <f>IF($C735="",IFERROR(VLOOKUP($B735,SERVIÇOS!$B:$G,6,0),IFERROR(VLOOKUP($B735,$D:$K,8,0),"")),IFERROR(VLOOKUP($C735,INSUMOS!$A:$D,4,0),IFERROR(VLOOKUP($C735,COTAÇÕES!$B:$I,7,0),(VLOOKUP($C735,'INSUMO SINAPI - SP'!$C:$F,4,0)))))</f>
        <v>30.8</v>
      </c>
      <c r="I735" s="513">
        <f>TRUNC(IF($C735="",IFERROR(VLOOKUP($B735,SERVIÇOS!$B:$G,4,0),IFERROR(VLOOKUP($B735,$D:$K,6,0),)),IFERROR(VLOOKUP($C735,INSUMOS!$A:$D,4,0),IFERROR(VLOOKUP($C735,COTAÇÕES!$B:$I,7,0),(VLOOKUP($C735,'INSUMO SINAPI - SP'!$C:$F,4,0)))))*$G735,2)</f>
        <v>3.1</v>
      </c>
      <c r="J735" s="513">
        <f>TRUNC(IF($C735="",IFERROR(VLOOKUP($B735,SERVIÇOS!$B:$G,5,0),IFERROR(VLOOKUP($B735,$D:$K,7,0),)),0)*$G735,2)</f>
        <v>7.15</v>
      </c>
      <c r="K735" s="514">
        <f>I735+J735</f>
        <v>10.25</v>
      </c>
      <c r="L735" s="515"/>
      <c r="M735" s="471"/>
      <c r="N735" s="516"/>
      <c r="Q735" s="472"/>
      <c r="R735" s="472"/>
      <c r="S735" s="472"/>
      <c r="T735" s="472"/>
      <c r="U735" s="472"/>
      <c r="V735" s="472"/>
      <c r="W735" s="472"/>
      <c r="X735" s="472"/>
      <c r="Y735" s="472"/>
    </row>
    <row r="736" spans="1:25" x14ac:dyDescent="0.25">
      <c r="A736" s="463"/>
      <c r="B736" s="506">
        <v>88264</v>
      </c>
      <c r="C736" s="507"/>
      <c r="D736" s="508"/>
      <c r="E736" s="509" t="str">
        <f>IF($C736="",IFERROR(VLOOKUP($B736,SERVIÇOS!$B:$G,2,0),IFERROR(VLOOKUP($B736,$D:$K,2,0),"")),IFERROR(VLOOKUP($C736,INSUMOS!$A:$D,2,0),IFERROR(VLOOKUP($C736,COTAÇÕES!$B:$I,2,0),(VLOOKUP($C736,'INSUMO SINAPI - SP'!$C:$F,2,0)))))</f>
        <v>ELETRICISTA COM ENCARGOS COMPLEMENTARES</v>
      </c>
      <c r="F736" s="510" t="str">
        <f>IF($C736="",IFERROR(VLOOKUP($B736,SERVIÇOS!$B:$G,3,0),IFERROR(VLOOKUP($B736,$D:$K,3,0),"")),IFERROR(VLOOKUP($C736,INSUMOS!$A:$D,3,0),IFERROR(VLOOKUP($C736,COTAÇÕES!$B:$I,3,0),(VLOOKUP($C736,'INSUMO SINAPI - SP'!$C:$F,3,0)))))</f>
        <v>H</v>
      </c>
      <c r="G736" s="511">
        <v>0.33329999999999999</v>
      </c>
      <c r="H736" s="512">
        <f>IF($C736="",IFERROR(VLOOKUP($B736,SERVIÇOS!$B:$G,6,0),IFERROR(VLOOKUP($B736,$D:$K,8,0),"")),IFERROR(VLOOKUP($C736,INSUMOS!$A:$D,4,0),IFERROR(VLOOKUP($C736,COTAÇÕES!$B:$I,7,0),(VLOOKUP($C736,'INSUMO SINAPI - SP'!$C:$F,4,0)))))</f>
        <v>37.369999999999997</v>
      </c>
      <c r="I736" s="513">
        <f>TRUNC(IF($C736="",IFERROR(VLOOKUP($B736,SERVIÇOS!$B:$G,4,0),IFERROR(VLOOKUP($B736,$D:$K,6,0),)),IFERROR(VLOOKUP($C736,INSUMOS!$A:$D,4,0),IFERROR(VLOOKUP($C736,COTAÇÕES!$B:$I,7,0),(VLOOKUP($C736,'INSUMO SINAPI - SP'!$C:$F,4,0)))))*$G736,2)</f>
        <v>3.1</v>
      </c>
      <c r="J736" s="513">
        <f>TRUNC(IF($C736="",IFERROR(VLOOKUP($B736,SERVIÇOS!$B:$G,5,0),IFERROR(VLOOKUP($B736,$D:$K,7,0),)),0)*$G736,2)</f>
        <v>9.35</v>
      </c>
      <c r="K736" s="514">
        <f>I736+J736</f>
        <v>12.45</v>
      </c>
      <c r="L736" s="515"/>
      <c r="M736" s="471"/>
      <c r="N736" s="516"/>
      <c r="Q736" s="472"/>
      <c r="R736" s="472"/>
      <c r="S736" s="472"/>
      <c r="T736" s="472"/>
      <c r="U736" s="472"/>
      <c r="V736" s="472"/>
      <c r="W736" s="472"/>
      <c r="X736" s="472"/>
      <c r="Y736" s="472"/>
    </row>
    <row r="737" spans="1:25" x14ac:dyDescent="0.25">
      <c r="A737" s="463"/>
      <c r="B737" s="506"/>
      <c r="C737" s="507" t="s">
        <v>12991</v>
      </c>
      <c r="D737" s="508"/>
      <c r="E737" s="518" t="s">
        <v>12992</v>
      </c>
      <c r="F737" s="519" t="s">
        <v>580</v>
      </c>
      <c r="G737" s="511">
        <v>1</v>
      </c>
      <c r="H737" s="520">
        <v>7.52</v>
      </c>
      <c r="I737" s="520">
        <f>TRUNC(H737*G737,2)</f>
        <v>7.52</v>
      </c>
      <c r="J737" s="521"/>
      <c r="K737" s="522">
        <f>I737+J737</f>
        <v>7.52</v>
      </c>
      <c r="L737" s="517" t="s">
        <v>12901</v>
      </c>
      <c r="M737" s="471"/>
      <c r="N737" s="516"/>
      <c r="Q737" s="472"/>
      <c r="R737" s="472"/>
      <c r="S737" s="472"/>
      <c r="T737" s="472"/>
      <c r="U737" s="472"/>
      <c r="V737" s="472"/>
      <c r="W737" s="472"/>
      <c r="X737" s="472"/>
      <c r="Y737" s="472"/>
    </row>
    <row r="738" spans="1:25" ht="24" x14ac:dyDescent="0.25">
      <c r="A738" s="463"/>
      <c r="B738" s="498"/>
      <c r="C738" s="498"/>
      <c r="D738" s="499" t="s">
        <v>12334</v>
      </c>
      <c r="E738" s="555" t="s">
        <v>12993</v>
      </c>
      <c r="F738" s="501" t="s">
        <v>580</v>
      </c>
      <c r="G738" s="502"/>
      <c r="H738" s="503"/>
      <c r="I738" s="504">
        <f>ROUND(SUM(I739:I740),2)</f>
        <v>8</v>
      </c>
      <c r="J738" s="504">
        <f>ROUND(SUM(J739:J740),2)</f>
        <v>4.2</v>
      </c>
      <c r="K738" s="504">
        <f>+J738+I738</f>
        <v>12.2</v>
      </c>
      <c r="L738" s="523" t="s">
        <v>12994</v>
      </c>
      <c r="M738" s="471"/>
      <c r="N738" s="505"/>
      <c r="Q738" s="472"/>
      <c r="R738" s="472"/>
      <c r="S738" s="472"/>
      <c r="T738" s="472"/>
      <c r="U738" s="472"/>
      <c r="V738" s="472"/>
      <c r="W738" s="472"/>
      <c r="X738" s="472"/>
      <c r="Y738" s="472"/>
    </row>
    <row r="739" spans="1:25" x14ac:dyDescent="0.25">
      <c r="A739" s="463"/>
      <c r="B739" s="506">
        <v>88264</v>
      </c>
      <c r="C739" s="507"/>
      <c r="D739" s="508"/>
      <c r="E739" s="509" t="str">
        <f>IF($C739="",IFERROR(VLOOKUP($B739,SERVIÇOS!$B:$G,2,0),IFERROR(VLOOKUP($B739,$D:$K,2,0),"")),IFERROR(VLOOKUP($C739,INSUMOS!$A:$D,2,0),IFERROR(VLOOKUP($C739,COTAÇÕES!$B:$I,2,0),(VLOOKUP($C739,'INSUMO SINAPI - SP'!$C:$F,2,0)))))</f>
        <v>ELETRICISTA COM ENCARGOS COMPLEMENTARES</v>
      </c>
      <c r="F739" s="510" t="str">
        <f>IF($C739="",IFERROR(VLOOKUP($B739,SERVIÇOS!$B:$G,3,0),IFERROR(VLOOKUP($B739,$D:$K,3,0),"")),IFERROR(VLOOKUP($C739,INSUMOS!$A:$D,3,0),IFERROR(VLOOKUP($C739,COTAÇÕES!$B:$I,3,0),(VLOOKUP($C739,'INSUMO SINAPI - SP'!$C:$F,3,0)))))</f>
        <v>H</v>
      </c>
      <c r="G739" s="511">
        <v>0.15</v>
      </c>
      <c r="H739" s="512">
        <f>IF($C739="",IFERROR(VLOOKUP($B739,SERVIÇOS!$B:$G,6,0),IFERROR(VLOOKUP($B739,$D:$K,8,0),"")),IFERROR(VLOOKUP($C739,INSUMOS!$A:$D,4,0),IFERROR(VLOOKUP($C739,COTAÇÕES!$B:$I,7,0),(VLOOKUP($C739,'INSUMO SINAPI - SP'!$C:$F,4,0)))))</f>
        <v>37.369999999999997</v>
      </c>
      <c r="I739" s="513">
        <f>TRUNC(IF($C739="",IFERROR(VLOOKUP($B739,SERVIÇOS!$B:$G,4,0),IFERROR(VLOOKUP($B739,$D:$K,6,0),)),IFERROR(VLOOKUP($C739,INSUMOS!$A:$D,4,0),IFERROR(VLOOKUP($C739,COTAÇÕES!$B:$I,7,0),(VLOOKUP($C739,'INSUMO SINAPI - SP'!$C:$F,4,0)))))*$G739,2)</f>
        <v>1.39</v>
      </c>
      <c r="J739" s="513">
        <f>TRUNC(IF($C739="",IFERROR(VLOOKUP($B739,SERVIÇOS!$B:$G,5,0),IFERROR(VLOOKUP($B739,$D:$K,7,0),)),0)*$G739,2)</f>
        <v>4.2</v>
      </c>
      <c r="K739" s="514">
        <f>I739+J739</f>
        <v>5.59</v>
      </c>
      <c r="L739" s="515"/>
      <c r="M739" s="471"/>
      <c r="N739" s="516"/>
      <c r="Q739" s="472"/>
      <c r="R739" s="472"/>
      <c r="S739" s="472"/>
      <c r="T739" s="472"/>
      <c r="U739" s="472"/>
      <c r="V739" s="472"/>
      <c r="W739" s="472"/>
      <c r="X739" s="472"/>
      <c r="Y739" s="472"/>
    </row>
    <row r="740" spans="1:25" ht="24" x14ac:dyDescent="0.25">
      <c r="A740" s="463"/>
      <c r="B740" s="506"/>
      <c r="C740" s="507" t="s">
        <v>12995</v>
      </c>
      <c r="D740" s="508"/>
      <c r="E740" s="518" t="s">
        <v>12993</v>
      </c>
      <c r="F740" s="519" t="s">
        <v>580</v>
      </c>
      <c r="G740" s="511">
        <v>1</v>
      </c>
      <c r="H740" s="520">
        <v>6.61</v>
      </c>
      <c r="I740" s="520">
        <f>TRUNC(H740*G740,2)</f>
        <v>6.61</v>
      </c>
      <c r="J740" s="521"/>
      <c r="K740" s="522">
        <f>I740+J740</f>
        <v>6.61</v>
      </c>
      <c r="L740" s="517" t="s">
        <v>12901</v>
      </c>
      <c r="M740" s="471"/>
      <c r="N740" s="516"/>
      <c r="Q740" s="472"/>
      <c r="R740" s="472"/>
      <c r="S740" s="472"/>
      <c r="T740" s="472"/>
      <c r="U740" s="472"/>
      <c r="V740" s="472"/>
      <c r="W740" s="472"/>
      <c r="X740" s="472"/>
      <c r="Y740" s="472"/>
    </row>
    <row r="741" spans="1:25" x14ac:dyDescent="0.25">
      <c r="A741" s="463"/>
      <c r="B741" s="498"/>
      <c r="C741" s="498"/>
      <c r="D741" s="499" t="s">
        <v>12248</v>
      </c>
      <c r="E741" s="555" t="s">
        <v>12996</v>
      </c>
      <c r="F741" s="501" t="s">
        <v>580</v>
      </c>
      <c r="G741" s="502"/>
      <c r="H741" s="503"/>
      <c r="I741" s="504">
        <f>ROUND(SUM(I742:I744),2)</f>
        <v>51.44</v>
      </c>
      <c r="J741" s="504">
        <f>ROUND(SUM(J742:J744),2)</f>
        <v>61.92</v>
      </c>
      <c r="K741" s="504">
        <f>+J741+I741</f>
        <v>113.36</v>
      </c>
      <c r="L741" s="523" t="s">
        <v>12997</v>
      </c>
      <c r="M741" s="471"/>
      <c r="N741" s="505"/>
      <c r="Q741" s="472"/>
      <c r="R741" s="472"/>
      <c r="S741" s="472"/>
      <c r="T741" s="472"/>
      <c r="U741" s="472"/>
      <c r="V741" s="472"/>
      <c r="W741" s="472"/>
      <c r="X741" s="472"/>
      <c r="Y741" s="472"/>
    </row>
    <row r="742" spans="1:25" x14ac:dyDescent="0.25">
      <c r="A742" s="463"/>
      <c r="B742" s="506">
        <v>88247</v>
      </c>
      <c r="C742" s="507"/>
      <c r="D742" s="508"/>
      <c r="E742" s="509" t="str">
        <f>IF($C742="",IFERROR(VLOOKUP($B742,SERVIÇOS!$B:$G,2,0),IFERROR(VLOOKUP($B742,$D:$K,2,0),"")),IFERROR(VLOOKUP($C742,INSUMOS!$A:$D,2,0),IFERROR(VLOOKUP($C742,COTAÇÕES!$B:$I,2,0),(VLOOKUP($C742,'INSUMO SINAPI - SP'!$C:$F,2,0)))))</f>
        <v>AUXILIAR DE ELETRICISTA COM ENCARGOS COMPLEMENTARES</v>
      </c>
      <c r="F742" s="510" t="str">
        <f>IF($C742="",IFERROR(VLOOKUP($B742,SERVIÇOS!$B:$G,3,0),IFERROR(VLOOKUP($B742,$D:$K,3,0),"")),IFERROR(VLOOKUP($C742,INSUMOS!$A:$D,3,0),IFERROR(VLOOKUP($C742,COTAÇÕES!$B:$I,3,0),(VLOOKUP($C742,'INSUMO SINAPI - SP'!$C:$F,3,0)))))</f>
        <v>H</v>
      </c>
      <c r="G742" s="511">
        <v>1.25</v>
      </c>
      <c r="H742" s="512">
        <f>IF($C742="",IFERROR(VLOOKUP($B742,SERVIÇOS!$B:$G,6,0),IFERROR(VLOOKUP($B742,$D:$K,8,0),"")),IFERROR(VLOOKUP($C742,INSUMOS!$A:$D,4,0),IFERROR(VLOOKUP($C742,COTAÇÕES!$B:$I,7,0),(VLOOKUP($C742,'INSUMO SINAPI - SP'!$C:$F,4,0)))))</f>
        <v>30.8</v>
      </c>
      <c r="I742" s="513">
        <f>TRUNC(IF($C742="",IFERROR(VLOOKUP($B742,SERVIÇOS!$B:$G,4,0),IFERROR(VLOOKUP($B742,$D:$K,6,0),)),IFERROR(VLOOKUP($C742,INSUMOS!$A:$D,4,0),IFERROR(VLOOKUP($C742,COTAÇÕES!$B:$I,7,0),(VLOOKUP($C742,'INSUMO SINAPI - SP'!$C:$F,4,0)))))*$G742,2)</f>
        <v>11.65</v>
      </c>
      <c r="J742" s="513">
        <f>TRUNC(IF($C742="",IFERROR(VLOOKUP($B742,SERVIÇOS!$B:$G,5,0),IFERROR(VLOOKUP($B742,$D:$K,7,0),)),0)*$G742,2)</f>
        <v>26.85</v>
      </c>
      <c r="K742" s="514">
        <f>I742+J742</f>
        <v>38.5</v>
      </c>
      <c r="L742" s="515"/>
      <c r="M742" s="471"/>
      <c r="N742" s="516"/>
      <c r="Q742" s="472"/>
      <c r="R742" s="472"/>
      <c r="S742" s="472"/>
      <c r="T742" s="472"/>
      <c r="U742" s="472"/>
      <c r="V742" s="472"/>
      <c r="W742" s="472"/>
      <c r="X742" s="472"/>
      <c r="Y742" s="472"/>
    </row>
    <row r="743" spans="1:25" x14ac:dyDescent="0.25">
      <c r="A743" s="463"/>
      <c r="B743" s="506">
        <v>88264</v>
      </c>
      <c r="C743" s="507"/>
      <c r="D743" s="508"/>
      <c r="E743" s="509" t="str">
        <f>IF($C743="",IFERROR(VLOOKUP($B743,SERVIÇOS!$B:$G,2,0),IFERROR(VLOOKUP($B743,$D:$K,2,0),"")),IFERROR(VLOOKUP($C743,INSUMOS!$A:$D,2,0),IFERROR(VLOOKUP($C743,COTAÇÕES!$B:$I,2,0),(VLOOKUP($C743,'INSUMO SINAPI - SP'!$C:$F,2,0)))))</f>
        <v>ELETRICISTA COM ENCARGOS COMPLEMENTARES</v>
      </c>
      <c r="F743" s="510" t="str">
        <f>IF($C743="",IFERROR(VLOOKUP($B743,SERVIÇOS!$B:$G,3,0),IFERROR(VLOOKUP($B743,$D:$K,3,0),"")),IFERROR(VLOOKUP($C743,INSUMOS!$A:$D,3,0),IFERROR(VLOOKUP($C743,COTAÇÕES!$B:$I,3,0),(VLOOKUP($C743,'INSUMO SINAPI - SP'!$C:$F,3,0)))))</f>
        <v>H</v>
      </c>
      <c r="G743" s="511">
        <v>1.25</v>
      </c>
      <c r="H743" s="512">
        <f>IF($C743="",IFERROR(VLOOKUP($B743,SERVIÇOS!$B:$G,6,0),IFERROR(VLOOKUP($B743,$D:$K,8,0),"")),IFERROR(VLOOKUP($C743,INSUMOS!$A:$D,4,0),IFERROR(VLOOKUP($C743,COTAÇÕES!$B:$I,7,0),(VLOOKUP($C743,'INSUMO SINAPI - SP'!$C:$F,4,0)))))</f>
        <v>37.369999999999997</v>
      </c>
      <c r="I743" s="513">
        <f>TRUNC(IF($C743="",IFERROR(VLOOKUP($B743,SERVIÇOS!$B:$G,4,0),IFERROR(VLOOKUP($B743,$D:$K,6,0),)),IFERROR(VLOOKUP($C743,INSUMOS!$A:$D,4,0),IFERROR(VLOOKUP($C743,COTAÇÕES!$B:$I,7,0),(VLOOKUP($C743,'INSUMO SINAPI - SP'!$C:$F,4,0)))))*$G743,2)</f>
        <v>11.63</v>
      </c>
      <c r="J743" s="513">
        <f>TRUNC(IF($C743="",IFERROR(VLOOKUP($B743,SERVIÇOS!$B:$G,5,0),IFERROR(VLOOKUP($B743,$D:$K,7,0),)),0)*$G743,2)</f>
        <v>35.07</v>
      </c>
      <c r="K743" s="514">
        <f>I743+J743</f>
        <v>46.7</v>
      </c>
      <c r="L743" s="515"/>
      <c r="M743" s="471"/>
      <c r="N743" s="516"/>
      <c r="Q743" s="472"/>
      <c r="R743" s="472"/>
      <c r="S743" s="472"/>
      <c r="T743" s="472"/>
      <c r="U743" s="472"/>
      <c r="V743" s="472"/>
      <c r="W743" s="472"/>
      <c r="X743" s="472"/>
      <c r="Y743" s="472"/>
    </row>
    <row r="744" spans="1:25" ht="24" x14ac:dyDescent="0.25">
      <c r="A744" s="463"/>
      <c r="B744" s="506"/>
      <c r="C744" s="507" t="s">
        <v>12998</v>
      </c>
      <c r="D744" s="508"/>
      <c r="E744" s="509" t="str">
        <f>IF($C744="",IFERROR(VLOOKUP($B744,SERVIÇOS!$B:$G,2,0),IFERROR(VLOOKUP($B744,$D:$K,2,0),"")),IFERROR(VLOOKUP($C744,INSUMOS!$A:$D,2,0),IFERROR(VLOOKUP($C744,COTAÇÕES!$B:$I,2,0),(VLOOKUP($C744,'INSUMO SINAPI - SP'!$C:$F,2,0)))))</f>
        <v>CAIXA DE PASSAGEM METALICA DE SOBREPOR COM TAMPA PARAFUSADA, DIMENSOES 20 X 20 X 10 CM</v>
      </c>
      <c r="F744" s="510" t="str">
        <f>IF($C744="",IFERROR(VLOOKUP($B744,SERVIÇOS!$B:$G,3,0),IFERROR(VLOOKUP($B744,$D:$K,3,0),"")),IFERROR(VLOOKUP($C744,INSUMOS!$A:$D,3,0),IFERROR(VLOOKUP($C744,COTAÇÕES!$B:$I,3,0),(VLOOKUP($C744,'INSUMO SINAPI - SP'!$C:$F,3,0)))))</f>
        <v>UN</v>
      </c>
      <c r="G744" s="511">
        <v>1</v>
      </c>
      <c r="H744" s="512">
        <f>IF($C744="",IFERROR(VLOOKUP($B744,SERVIÇOS!$B:$G,6,0),IFERROR(VLOOKUP($B744,$D:$K,8,0),"")),IFERROR(VLOOKUP($C744,INSUMOS!$A:$D,4,0),IFERROR(VLOOKUP($C744,COTAÇÕES!$B:$I,7,0),(VLOOKUP($C744,'INSUMO SINAPI - SP'!$C:$F,4,0)))))</f>
        <v>28.16</v>
      </c>
      <c r="I744" s="513">
        <f>TRUNC(IF($C744="",IFERROR(VLOOKUP($B744,SERVIÇOS!$B:$G,4,0),IFERROR(VLOOKUP($B744,$D:$K,6,0),)),IFERROR(VLOOKUP($C744,INSUMOS!$A:$D,4,0),IFERROR(VLOOKUP($C744,COTAÇÕES!$B:$I,7,0),(VLOOKUP($C744,'INSUMO SINAPI - SP'!$C:$F,4,0)))))*$G744,2)</f>
        <v>28.16</v>
      </c>
      <c r="J744" s="513"/>
      <c r="K744" s="514">
        <f>I744+J744</f>
        <v>28.16</v>
      </c>
      <c r="L744" s="515" t="s">
        <v>12685</v>
      </c>
      <c r="M744" s="471"/>
      <c r="N744" s="516"/>
      <c r="Q744" s="472"/>
      <c r="R744" s="472"/>
      <c r="S744" s="472"/>
      <c r="T744" s="472"/>
      <c r="U744" s="472"/>
      <c r="V744" s="472"/>
      <c r="W744" s="472"/>
      <c r="X744" s="472"/>
      <c r="Y744" s="472"/>
    </row>
    <row r="745" spans="1:25" x14ac:dyDescent="0.25">
      <c r="A745" s="463"/>
      <c r="B745" s="498"/>
      <c r="C745" s="498"/>
      <c r="D745" s="499" t="s">
        <v>12319</v>
      </c>
      <c r="E745" s="555" t="s">
        <v>12999</v>
      </c>
      <c r="F745" s="501" t="s">
        <v>580</v>
      </c>
      <c r="G745" s="502"/>
      <c r="H745" s="503"/>
      <c r="I745" s="504">
        <f>ROUND(SUM(I746:I749),2)</f>
        <v>26.41</v>
      </c>
      <c r="J745" s="504">
        <f>ROUND(SUM(J746:J749),2)</f>
        <v>15.19</v>
      </c>
      <c r="K745" s="504">
        <f>+J745+I745</f>
        <v>41.6</v>
      </c>
      <c r="L745" s="523" t="s">
        <v>13000</v>
      </c>
      <c r="M745" s="471"/>
      <c r="N745" s="505"/>
      <c r="Q745" s="472"/>
      <c r="R745" s="472"/>
      <c r="S745" s="472"/>
      <c r="T745" s="472"/>
      <c r="U745" s="472"/>
      <c r="V745" s="472"/>
      <c r="W745" s="472"/>
      <c r="X745" s="472"/>
      <c r="Y745" s="472"/>
    </row>
    <row r="746" spans="1:25" x14ac:dyDescent="0.25">
      <c r="A746" s="463"/>
      <c r="B746" s="506">
        <v>88264</v>
      </c>
      <c r="C746" s="507"/>
      <c r="D746" s="508"/>
      <c r="E746" s="509" t="str">
        <f>IF($C746="",IFERROR(VLOOKUP($B746,SERVIÇOS!$B:$G,2,0),IFERROR(VLOOKUP($B746,$D:$K,2,0),"")),IFERROR(VLOOKUP($C746,INSUMOS!$A:$D,2,0),IFERROR(VLOOKUP($C746,COTAÇÕES!$B:$I,2,0),(VLOOKUP($C746,'INSUMO SINAPI - SP'!$C:$F,2,0)))))</f>
        <v>ELETRICISTA COM ENCARGOS COMPLEMENTARES</v>
      </c>
      <c r="F746" s="510" t="str">
        <f>IF($C746="",IFERROR(VLOOKUP($B746,SERVIÇOS!$B:$G,3,0),IFERROR(VLOOKUP($B746,$D:$K,3,0),"")),IFERROR(VLOOKUP($C746,INSUMOS!$A:$D,3,0),IFERROR(VLOOKUP($C746,COTAÇÕES!$B:$I,3,0),(VLOOKUP($C746,'INSUMO SINAPI - SP'!$C:$F,3,0)))))</f>
        <v>H</v>
      </c>
      <c r="G746" s="511">
        <v>0.2</v>
      </c>
      <c r="H746" s="512">
        <f>IF($C746="",IFERROR(VLOOKUP($B746,SERVIÇOS!$B:$G,6,0),IFERROR(VLOOKUP($B746,$D:$K,8,0),"")),IFERROR(VLOOKUP($C746,INSUMOS!$A:$D,4,0),IFERROR(VLOOKUP($C746,COTAÇÕES!$B:$I,7,0),(VLOOKUP($C746,'INSUMO SINAPI - SP'!$C:$F,4,0)))))</f>
        <v>37.369999999999997</v>
      </c>
      <c r="I746" s="513">
        <f>TRUNC(IF($C746="",IFERROR(VLOOKUP($B746,SERVIÇOS!$B:$G,4,0),IFERROR(VLOOKUP($B746,$D:$K,6,0),)),IFERROR(VLOOKUP($C746,INSUMOS!$A:$D,4,0),IFERROR(VLOOKUP($C746,COTAÇÕES!$B:$I,7,0),(VLOOKUP($C746,'INSUMO SINAPI - SP'!$C:$F,4,0)))))*$G746,2)</f>
        <v>1.86</v>
      </c>
      <c r="J746" s="513">
        <f>TRUNC(IF($C746="",IFERROR(VLOOKUP($B746,SERVIÇOS!$B:$G,5,0),IFERROR(VLOOKUP($B746,$D:$K,7,0),)),0)*$G746,2)</f>
        <v>5.61</v>
      </c>
      <c r="K746" s="514">
        <f>I746+J746</f>
        <v>7.4700000000000006</v>
      </c>
      <c r="L746" s="515"/>
      <c r="M746" s="471"/>
      <c r="N746" s="516"/>
      <c r="Q746" s="472"/>
      <c r="R746" s="472"/>
      <c r="S746" s="472"/>
      <c r="T746" s="472"/>
      <c r="U746" s="472"/>
      <c r="V746" s="472"/>
      <c r="W746" s="472"/>
      <c r="X746" s="472"/>
      <c r="Y746" s="472"/>
    </row>
    <row r="747" spans="1:25" x14ac:dyDescent="0.25">
      <c r="A747" s="463"/>
      <c r="B747" s="506">
        <v>88247</v>
      </c>
      <c r="C747" s="507"/>
      <c r="D747" s="508"/>
      <c r="E747" s="509" t="str">
        <f>IF($C747="",IFERROR(VLOOKUP($B747,SERVIÇOS!$B:$G,2,0),IFERROR(VLOOKUP($B747,$D:$K,2,0),"")),IFERROR(VLOOKUP($C747,INSUMOS!$A:$D,2,0),IFERROR(VLOOKUP($C747,COTAÇÕES!$B:$I,2,0),(VLOOKUP($C747,'INSUMO SINAPI - SP'!$C:$F,2,0)))))</f>
        <v>AUXILIAR DE ELETRICISTA COM ENCARGOS COMPLEMENTARES</v>
      </c>
      <c r="F747" s="510" t="str">
        <f>IF($C747="",IFERROR(VLOOKUP($B747,SERVIÇOS!$B:$G,3,0),IFERROR(VLOOKUP($B747,$D:$K,3,0),"")),IFERROR(VLOOKUP($C747,INSUMOS!$A:$D,3,0),IFERROR(VLOOKUP($C747,COTAÇÕES!$B:$I,3,0),(VLOOKUP($C747,'INSUMO SINAPI - SP'!$C:$F,3,0)))))</f>
        <v>H</v>
      </c>
      <c r="G747" s="511">
        <v>0.2</v>
      </c>
      <c r="H747" s="512">
        <f>IF($C747="",IFERROR(VLOOKUP($B747,SERVIÇOS!$B:$G,6,0),IFERROR(VLOOKUP($B747,$D:$K,8,0),"")),IFERROR(VLOOKUP($C747,INSUMOS!$A:$D,4,0),IFERROR(VLOOKUP($C747,COTAÇÕES!$B:$I,7,0),(VLOOKUP($C747,'INSUMO SINAPI - SP'!$C:$F,4,0)))))</f>
        <v>30.8</v>
      </c>
      <c r="I747" s="513">
        <f>TRUNC(IF($C747="",IFERROR(VLOOKUP($B747,SERVIÇOS!$B:$G,4,0),IFERROR(VLOOKUP($B747,$D:$K,6,0),)),IFERROR(VLOOKUP($C747,INSUMOS!$A:$D,4,0),IFERROR(VLOOKUP($C747,COTAÇÕES!$B:$I,7,0),(VLOOKUP($C747,'INSUMO SINAPI - SP'!$C:$F,4,0)))))*$G747,2)</f>
        <v>1.86</v>
      </c>
      <c r="J747" s="513">
        <f>TRUNC(IF($C747="",IFERROR(VLOOKUP($B747,SERVIÇOS!$B:$G,5,0),IFERROR(VLOOKUP($B747,$D:$K,7,0),)),0)*$G747,2)</f>
        <v>4.29</v>
      </c>
      <c r="K747" s="514">
        <f>I747+J747</f>
        <v>6.15</v>
      </c>
      <c r="L747" s="515"/>
      <c r="M747" s="471"/>
      <c r="N747" s="516"/>
      <c r="Q747" s="472"/>
      <c r="R747" s="472"/>
      <c r="S747" s="472"/>
      <c r="T747" s="472"/>
      <c r="U747" s="472"/>
      <c r="V747" s="472"/>
      <c r="W747" s="472"/>
      <c r="X747" s="472"/>
      <c r="Y747" s="472"/>
    </row>
    <row r="748" spans="1:25" x14ac:dyDescent="0.25">
      <c r="A748" s="463"/>
      <c r="B748" s="506"/>
      <c r="C748" s="507" t="s">
        <v>13001</v>
      </c>
      <c r="D748" s="508"/>
      <c r="E748" s="518" t="s">
        <v>13002</v>
      </c>
      <c r="F748" s="519" t="s">
        <v>580</v>
      </c>
      <c r="G748" s="511">
        <v>1</v>
      </c>
      <c r="H748" s="520">
        <v>11.41</v>
      </c>
      <c r="I748" s="520">
        <f>TRUNC(H748*G748,2)</f>
        <v>11.41</v>
      </c>
      <c r="J748" s="521"/>
      <c r="K748" s="522">
        <f>I748+J748</f>
        <v>11.41</v>
      </c>
      <c r="L748" s="517" t="s">
        <v>12901</v>
      </c>
      <c r="M748" s="471"/>
      <c r="N748" s="516"/>
      <c r="Q748" s="472"/>
      <c r="R748" s="472"/>
      <c r="S748" s="472"/>
      <c r="T748" s="472"/>
      <c r="U748" s="472"/>
      <c r="V748" s="472"/>
      <c r="W748" s="472"/>
      <c r="X748" s="472"/>
      <c r="Y748" s="472"/>
    </row>
    <row r="749" spans="1:25" ht="24" x14ac:dyDescent="0.25">
      <c r="A749" s="463"/>
      <c r="B749" s="506">
        <v>91951</v>
      </c>
      <c r="C749" s="507"/>
      <c r="D749" s="508"/>
      <c r="E749" s="509" t="str">
        <f>IF($C749="",IFERROR(VLOOKUP($B749,SERVIÇOS!$B:$G,2,0),IFERROR(VLOOKUP($B749,$D:$K,2,0),"")),IFERROR(VLOOKUP($C749,INSUMOS!$A:$D,2,0),IFERROR(VLOOKUP($C749,COTAÇÕES!$B:$I,2,0),(VLOOKUP($C749,'INSUMO SINAPI - SP'!$C:$F,2,0)))))</f>
        <v>SUPORTE PARAFUSADO COM PLACA DE ENCAIXE 4" X 4" BAIXO (0,30 M DO PISO) PARA PONTO ELÉTRICO - FORNECIMENTO E INSTALAÇÃO. AF_03/2023</v>
      </c>
      <c r="F749" s="510" t="str">
        <f>IF($C749="",IFERROR(VLOOKUP($B749,SERVIÇOS!$B:$G,3,0),IFERROR(VLOOKUP($B749,$D:$K,3,0),"")),IFERROR(VLOOKUP($C749,INSUMOS!$A:$D,3,0),IFERROR(VLOOKUP($C749,COTAÇÕES!$B:$I,3,0),(VLOOKUP($C749,'INSUMO SINAPI - SP'!$C:$F,3,0)))))</f>
        <v>UN</v>
      </c>
      <c r="G749" s="511">
        <v>1</v>
      </c>
      <c r="H749" s="512">
        <f>IF($C749="",IFERROR(VLOOKUP($B749,SERVIÇOS!$B:$G,6,0),IFERROR(VLOOKUP($B749,$D:$K,8,0),"")),IFERROR(VLOOKUP($C749,INSUMOS!$A:$D,4,0),IFERROR(VLOOKUP($C749,COTAÇÕES!$B:$I,7,0),(VLOOKUP($C749,'INSUMO SINAPI - SP'!$C:$F,4,0)))))</f>
        <v>16.57</v>
      </c>
      <c r="I749" s="513">
        <f>TRUNC(IF($C749="",IFERROR(VLOOKUP($B749,SERVIÇOS!$B:$G,4,0),IFERROR(VLOOKUP($B749,$D:$K,6,0),)),IFERROR(VLOOKUP($C749,INSUMOS!$A:$D,4,0),IFERROR(VLOOKUP($C749,COTAÇÕES!$B:$I,7,0),(VLOOKUP($C749,'INSUMO SINAPI - SP'!$C:$F,4,0)))))*$G749,2)</f>
        <v>11.28</v>
      </c>
      <c r="J749" s="513">
        <f>TRUNC(IF($C749="",IFERROR(VLOOKUP($B749,SERVIÇOS!$B:$G,5,0),IFERROR(VLOOKUP($B749,$D:$K,7,0),)),0)*$G749,2)</f>
        <v>5.29</v>
      </c>
      <c r="K749" s="514">
        <f>I749+J749</f>
        <v>16.57</v>
      </c>
      <c r="L749" s="515"/>
      <c r="M749" s="471"/>
      <c r="N749" s="516"/>
      <c r="Q749" s="472"/>
      <c r="R749" s="472"/>
      <c r="S749" s="472"/>
      <c r="T749" s="472"/>
      <c r="U749" s="472"/>
      <c r="V749" s="472"/>
      <c r="W749" s="472"/>
      <c r="X749" s="472"/>
      <c r="Y749" s="472"/>
    </row>
    <row r="750" spans="1:25" ht="24" x14ac:dyDescent="0.25">
      <c r="A750" s="463"/>
      <c r="B750" s="498"/>
      <c r="C750" s="498"/>
      <c r="D750" s="499" t="s">
        <v>12244</v>
      </c>
      <c r="E750" s="555" t="s">
        <v>13003</v>
      </c>
      <c r="F750" s="501" t="s">
        <v>580</v>
      </c>
      <c r="G750" s="502"/>
      <c r="H750" s="503"/>
      <c r="I750" s="504">
        <f>ROUND(SUM(I751:I753),2)</f>
        <v>552.95000000000005</v>
      </c>
      <c r="J750" s="504">
        <f>ROUND(SUM(J751:J753),2)</f>
        <v>24.77</v>
      </c>
      <c r="K750" s="504">
        <f>+J750+I750</f>
        <v>577.72</v>
      </c>
      <c r="L750" s="523" t="s">
        <v>13004</v>
      </c>
      <c r="M750" s="471"/>
      <c r="N750" s="505"/>
      <c r="Q750" s="472"/>
      <c r="R750" s="472"/>
      <c r="S750" s="472"/>
      <c r="T750" s="472"/>
      <c r="U750" s="472"/>
      <c r="V750" s="472"/>
      <c r="W750" s="472"/>
      <c r="X750" s="472"/>
      <c r="Y750" s="472"/>
    </row>
    <row r="751" spans="1:25" x14ac:dyDescent="0.25">
      <c r="A751" s="463"/>
      <c r="B751" s="506"/>
      <c r="C751" s="507" t="s">
        <v>12949</v>
      </c>
      <c r="D751" s="508"/>
      <c r="E751" s="518" t="s">
        <v>12950</v>
      </c>
      <c r="F751" s="519" t="s">
        <v>580</v>
      </c>
      <c r="G751" s="511">
        <v>1</v>
      </c>
      <c r="H751" s="520">
        <v>543.64</v>
      </c>
      <c r="I751" s="520">
        <f>TRUNC(H751*G751,2)</f>
        <v>543.64</v>
      </c>
      <c r="J751" s="521"/>
      <c r="K751" s="522">
        <f>I751+J751</f>
        <v>543.64</v>
      </c>
      <c r="L751" s="517" t="s">
        <v>12668</v>
      </c>
      <c r="M751" s="471"/>
      <c r="N751" s="516"/>
      <c r="Q751" s="472"/>
      <c r="R751" s="472"/>
      <c r="S751" s="472"/>
      <c r="T751" s="472"/>
      <c r="U751" s="472"/>
      <c r="V751" s="472"/>
      <c r="W751" s="472"/>
      <c r="X751" s="472"/>
      <c r="Y751" s="472"/>
    </row>
    <row r="752" spans="1:25" x14ac:dyDescent="0.25">
      <c r="A752" s="463"/>
      <c r="B752" s="506">
        <v>88247</v>
      </c>
      <c r="C752" s="507"/>
      <c r="D752" s="508"/>
      <c r="E752" s="509" t="str">
        <f>IF($C752="",IFERROR(VLOOKUP($B752,SERVIÇOS!$B:$G,2,0),IFERROR(VLOOKUP($B752,$D:$K,2,0),"")),IFERROR(VLOOKUP($C752,INSUMOS!$A:$D,2,0),IFERROR(VLOOKUP($C752,COTAÇÕES!$B:$I,2,0),(VLOOKUP($C752,'INSUMO SINAPI - SP'!$C:$F,2,0)))))</f>
        <v>AUXILIAR DE ELETRICISTA COM ENCARGOS COMPLEMENTARES</v>
      </c>
      <c r="F752" s="510" t="str">
        <f>IF($C752="",IFERROR(VLOOKUP($B752,SERVIÇOS!$B:$G,3,0),IFERROR(VLOOKUP($B752,$D:$K,3,0),"")),IFERROR(VLOOKUP($C752,INSUMOS!$A:$D,3,0),IFERROR(VLOOKUP($C752,COTAÇÕES!$B:$I,3,0),(VLOOKUP($C752,'INSUMO SINAPI - SP'!$C:$F,3,0)))))</f>
        <v>H</v>
      </c>
      <c r="G752" s="511">
        <v>0.5</v>
      </c>
      <c r="H752" s="512">
        <f>IF($C752="",IFERROR(VLOOKUP($B752,SERVIÇOS!$B:$G,6,0),IFERROR(VLOOKUP($B752,$D:$K,8,0),"")),IFERROR(VLOOKUP($C752,INSUMOS!$A:$D,4,0),IFERROR(VLOOKUP($C752,COTAÇÕES!$B:$I,7,0),(VLOOKUP($C752,'INSUMO SINAPI - SP'!$C:$F,4,0)))))</f>
        <v>30.8</v>
      </c>
      <c r="I752" s="513">
        <f>TRUNC(IF($C752="",IFERROR(VLOOKUP($B752,SERVIÇOS!$B:$G,4,0),IFERROR(VLOOKUP($B752,$D:$K,6,0),)),IFERROR(VLOOKUP($C752,INSUMOS!$A:$D,4,0),IFERROR(VLOOKUP($C752,COTAÇÕES!$B:$I,7,0),(VLOOKUP($C752,'INSUMO SINAPI - SP'!$C:$F,4,0)))))*$G752,2)</f>
        <v>4.66</v>
      </c>
      <c r="J752" s="513">
        <f>TRUNC(IF($C752="",IFERROR(VLOOKUP($B752,SERVIÇOS!$B:$G,5,0),IFERROR(VLOOKUP($B752,$D:$K,7,0),)),0)*$G752,2)</f>
        <v>10.74</v>
      </c>
      <c r="K752" s="514">
        <f>I752+J752</f>
        <v>15.4</v>
      </c>
      <c r="L752" s="515"/>
      <c r="M752" s="471"/>
      <c r="N752" s="516"/>
      <c r="Q752" s="472"/>
      <c r="R752" s="472"/>
      <c r="S752" s="472"/>
      <c r="T752" s="472"/>
      <c r="U752" s="472"/>
      <c r="V752" s="472"/>
      <c r="W752" s="472"/>
      <c r="X752" s="472"/>
      <c r="Y752" s="472"/>
    </row>
    <row r="753" spans="1:25" x14ac:dyDescent="0.25">
      <c r="A753" s="463"/>
      <c r="B753" s="506">
        <v>88264</v>
      </c>
      <c r="C753" s="507"/>
      <c r="D753" s="508"/>
      <c r="E753" s="509" t="str">
        <f>IF($C753="",IFERROR(VLOOKUP($B753,SERVIÇOS!$B:$G,2,0),IFERROR(VLOOKUP($B753,$D:$K,2,0),"")),IFERROR(VLOOKUP($C753,INSUMOS!$A:$D,2,0),IFERROR(VLOOKUP($C753,COTAÇÕES!$B:$I,2,0),(VLOOKUP($C753,'INSUMO SINAPI - SP'!$C:$F,2,0)))))</f>
        <v>ELETRICISTA COM ENCARGOS COMPLEMENTARES</v>
      </c>
      <c r="F753" s="510" t="str">
        <f>IF($C753="",IFERROR(VLOOKUP($B753,SERVIÇOS!$B:$G,3,0),IFERROR(VLOOKUP($B753,$D:$K,3,0),"")),IFERROR(VLOOKUP($C753,INSUMOS!$A:$D,3,0),IFERROR(VLOOKUP($C753,COTAÇÕES!$B:$I,3,0),(VLOOKUP($C753,'INSUMO SINAPI - SP'!$C:$F,3,0)))))</f>
        <v>H</v>
      </c>
      <c r="G753" s="511">
        <v>0.5</v>
      </c>
      <c r="H753" s="512">
        <f>IF($C753="",IFERROR(VLOOKUP($B753,SERVIÇOS!$B:$G,6,0),IFERROR(VLOOKUP($B753,$D:$K,8,0),"")),IFERROR(VLOOKUP($C753,INSUMOS!$A:$D,4,0),IFERROR(VLOOKUP($C753,COTAÇÕES!$B:$I,7,0),(VLOOKUP($C753,'INSUMO SINAPI - SP'!$C:$F,4,0)))))</f>
        <v>37.369999999999997</v>
      </c>
      <c r="I753" s="513">
        <f>TRUNC(IF($C753="",IFERROR(VLOOKUP($B753,SERVIÇOS!$B:$G,4,0),IFERROR(VLOOKUP($B753,$D:$K,6,0),)),IFERROR(VLOOKUP($C753,INSUMOS!$A:$D,4,0),IFERROR(VLOOKUP($C753,COTAÇÕES!$B:$I,7,0),(VLOOKUP($C753,'INSUMO SINAPI - SP'!$C:$F,4,0)))))*$G753,2)</f>
        <v>4.6500000000000004</v>
      </c>
      <c r="J753" s="513">
        <f>TRUNC(IF($C753="",IFERROR(VLOOKUP($B753,SERVIÇOS!$B:$G,5,0),IFERROR(VLOOKUP($B753,$D:$K,7,0),)),0)*$G753,2)</f>
        <v>14.03</v>
      </c>
      <c r="K753" s="514">
        <f>I753+J753</f>
        <v>18.68</v>
      </c>
      <c r="L753" s="515"/>
      <c r="M753" s="471"/>
      <c r="N753" s="516"/>
      <c r="Q753" s="472"/>
      <c r="R753" s="472"/>
      <c r="S753" s="472"/>
      <c r="T753" s="472"/>
      <c r="U753" s="472"/>
      <c r="V753" s="472"/>
      <c r="W753" s="472"/>
      <c r="X753" s="472"/>
      <c r="Y753" s="472"/>
    </row>
    <row r="754" spans="1:25" x14ac:dyDescent="0.25">
      <c r="A754" s="463"/>
      <c r="B754" s="498"/>
      <c r="C754" s="498"/>
      <c r="D754" s="499" t="s">
        <v>12337</v>
      </c>
      <c r="E754" s="555" t="s">
        <v>13005</v>
      </c>
      <c r="F754" s="501" t="s">
        <v>580</v>
      </c>
      <c r="G754" s="502"/>
      <c r="H754" s="503"/>
      <c r="I754" s="504">
        <f>ROUND(SUM(I755:I759),2)</f>
        <v>39.11</v>
      </c>
      <c r="J754" s="504">
        <f>ROUND(SUM(J755:J759),2)</f>
        <v>24.77</v>
      </c>
      <c r="K754" s="504">
        <f>+J754+I754</f>
        <v>63.879999999999995</v>
      </c>
      <c r="L754" s="523" t="s">
        <v>13006</v>
      </c>
      <c r="M754" s="471"/>
      <c r="N754" s="505"/>
      <c r="Q754" s="472"/>
      <c r="R754" s="472"/>
      <c r="S754" s="472"/>
      <c r="T754" s="472"/>
      <c r="U754" s="472"/>
      <c r="V754" s="472"/>
      <c r="W754" s="472"/>
      <c r="X754" s="472"/>
      <c r="Y754" s="472"/>
    </row>
    <row r="755" spans="1:25" x14ac:dyDescent="0.25">
      <c r="A755" s="463"/>
      <c r="B755" s="506">
        <v>88247</v>
      </c>
      <c r="C755" s="507"/>
      <c r="D755" s="508"/>
      <c r="E755" s="509" t="str">
        <f>IF($C755="",IFERROR(VLOOKUP($B755,SERVIÇOS!$B:$G,2,0),IFERROR(VLOOKUP($B755,$D:$K,2,0),"")),IFERROR(VLOOKUP($C755,INSUMOS!$A:$D,2,0),IFERROR(VLOOKUP($C755,COTAÇÕES!$B:$I,2,0),(VLOOKUP($C755,'INSUMO SINAPI - SP'!$C:$F,2,0)))))</f>
        <v>AUXILIAR DE ELETRICISTA COM ENCARGOS COMPLEMENTARES</v>
      </c>
      <c r="F755" s="510" t="str">
        <f>IF($C755="",IFERROR(VLOOKUP($B755,SERVIÇOS!$B:$G,3,0),IFERROR(VLOOKUP($B755,$D:$K,3,0),"")),IFERROR(VLOOKUP($C755,INSUMOS!$A:$D,3,0),IFERROR(VLOOKUP($C755,COTAÇÕES!$B:$I,3,0),(VLOOKUP($C755,'INSUMO SINAPI - SP'!$C:$F,3,0)))))</f>
        <v>H</v>
      </c>
      <c r="G755" s="511">
        <v>0.5</v>
      </c>
      <c r="H755" s="512">
        <f>IF($C755="",IFERROR(VLOOKUP($B755,SERVIÇOS!$B:$G,6,0),IFERROR(VLOOKUP($B755,$D:$K,8,0),"")),IFERROR(VLOOKUP($C755,INSUMOS!$A:$D,4,0),IFERROR(VLOOKUP($C755,COTAÇÕES!$B:$I,7,0),(VLOOKUP($C755,'INSUMO SINAPI - SP'!$C:$F,4,0)))))</f>
        <v>30.8</v>
      </c>
      <c r="I755" s="513">
        <f>TRUNC(IF($C755="",IFERROR(VLOOKUP($B755,SERVIÇOS!$B:$G,4,0),IFERROR(VLOOKUP($B755,$D:$K,6,0),)),IFERROR(VLOOKUP($C755,INSUMOS!$A:$D,4,0),IFERROR(VLOOKUP($C755,COTAÇÕES!$B:$I,7,0),(VLOOKUP($C755,'INSUMO SINAPI - SP'!$C:$F,4,0)))))*$G755,2)</f>
        <v>4.66</v>
      </c>
      <c r="J755" s="513">
        <f>TRUNC(IF($C755="",IFERROR(VLOOKUP($B755,SERVIÇOS!$B:$G,5,0),IFERROR(VLOOKUP($B755,$D:$K,7,0),)),0)*$G755,2)</f>
        <v>10.74</v>
      </c>
      <c r="K755" s="514">
        <f>I755+J755</f>
        <v>15.4</v>
      </c>
      <c r="L755" s="515"/>
      <c r="M755" s="471"/>
      <c r="N755" s="516"/>
      <c r="Q755" s="472"/>
      <c r="R755" s="472"/>
      <c r="S755" s="472"/>
      <c r="T755" s="472"/>
      <c r="U755" s="472"/>
      <c r="V755" s="472"/>
      <c r="W755" s="472"/>
      <c r="X755" s="472"/>
      <c r="Y755" s="472"/>
    </row>
    <row r="756" spans="1:25" x14ac:dyDescent="0.25">
      <c r="A756" s="463"/>
      <c r="B756" s="506">
        <v>88264</v>
      </c>
      <c r="C756" s="507"/>
      <c r="D756" s="508"/>
      <c r="E756" s="509" t="str">
        <f>IF($C756="",IFERROR(VLOOKUP($B756,SERVIÇOS!$B:$G,2,0),IFERROR(VLOOKUP($B756,$D:$K,2,0),"")),IFERROR(VLOOKUP($C756,INSUMOS!$A:$D,2,0),IFERROR(VLOOKUP($C756,COTAÇÕES!$B:$I,2,0),(VLOOKUP($C756,'INSUMO SINAPI - SP'!$C:$F,2,0)))))</f>
        <v>ELETRICISTA COM ENCARGOS COMPLEMENTARES</v>
      </c>
      <c r="F756" s="510" t="str">
        <f>IF($C756="",IFERROR(VLOOKUP($B756,SERVIÇOS!$B:$G,3,0),IFERROR(VLOOKUP($B756,$D:$K,3,0),"")),IFERROR(VLOOKUP($C756,INSUMOS!$A:$D,3,0),IFERROR(VLOOKUP($C756,COTAÇÕES!$B:$I,3,0),(VLOOKUP($C756,'INSUMO SINAPI - SP'!$C:$F,3,0)))))</f>
        <v>H</v>
      </c>
      <c r="G756" s="511">
        <v>0.5</v>
      </c>
      <c r="H756" s="512">
        <f>IF($C756="",IFERROR(VLOOKUP($B756,SERVIÇOS!$B:$G,6,0),IFERROR(VLOOKUP($B756,$D:$K,8,0),"")),IFERROR(VLOOKUP($C756,INSUMOS!$A:$D,4,0),IFERROR(VLOOKUP($C756,COTAÇÕES!$B:$I,7,0),(VLOOKUP($C756,'INSUMO SINAPI - SP'!$C:$F,4,0)))))</f>
        <v>37.369999999999997</v>
      </c>
      <c r="I756" s="513">
        <f>TRUNC(IF($C756="",IFERROR(VLOOKUP($B756,SERVIÇOS!$B:$G,4,0),IFERROR(VLOOKUP($B756,$D:$K,6,0),)),IFERROR(VLOOKUP($C756,INSUMOS!$A:$D,4,0),IFERROR(VLOOKUP($C756,COTAÇÕES!$B:$I,7,0),(VLOOKUP($C756,'INSUMO SINAPI - SP'!$C:$F,4,0)))))*$G756,2)</f>
        <v>4.6500000000000004</v>
      </c>
      <c r="J756" s="513">
        <f>TRUNC(IF($C756="",IFERROR(VLOOKUP($B756,SERVIÇOS!$B:$G,5,0),IFERROR(VLOOKUP($B756,$D:$K,7,0),)),0)*$G756,2)</f>
        <v>14.03</v>
      </c>
      <c r="K756" s="514">
        <f>I756+J756</f>
        <v>18.68</v>
      </c>
      <c r="L756" s="515"/>
      <c r="M756" s="471"/>
      <c r="N756" s="516"/>
      <c r="Q756" s="472"/>
      <c r="R756" s="472"/>
      <c r="S756" s="472"/>
      <c r="T756" s="472"/>
      <c r="U756" s="472"/>
      <c r="V756" s="472"/>
      <c r="W756" s="472"/>
      <c r="X756" s="472"/>
      <c r="Y756" s="472"/>
    </row>
    <row r="757" spans="1:25" x14ac:dyDescent="0.25">
      <c r="A757" s="463"/>
      <c r="B757" s="506"/>
      <c r="C757" s="507" t="s">
        <v>13007</v>
      </c>
      <c r="D757" s="508"/>
      <c r="E757" s="518" t="s">
        <v>13008</v>
      </c>
      <c r="F757" s="519" t="s">
        <v>580</v>
      </c>
      <c r="G757" s="511">
        <v>1</v>
      </c>
      <c r="H757" s="520">
        <v>26.85</v>
      </c>
      <c r="I757" s="520">
        <f>TRUNC(H757*G757,2)</f>
        <v>26.85</v>
      </c>
      <c r="J757" s="521"/>
      <c r="K757" s="522">
        <f>I757+J757</f>
        <v>26.85</v>
      </c>
      <c r="L757" s="517" t="s">
        <v>12668</v>
      </c>
      <c r="M757" s="471"/>
      <c r="N757" s="516"/>
      <c r="Q757" s="472"/>
      <c r="R757" s="472"/>
      <c r="S757" s="472"/>
      <c r="T757" s="472"/>
      <c r="U757" s="472"/>
      <c r="V757" s="472"/>
      <c r="W757" s="472"/>
      <c r="X757" s="472"/>
      <c r="Y757" s="472"/>
    </row>
    <row r="758" spans="1:25" x14ac:dyDescent="0.25">
      <c r="A758" s="463"/>
      <c r="B758" s="506"/>
      <c r="C758" s="507" t="s">
        <v>13009</v>
      </c>
      <c r="D758" s="508"/>
      <c r="E758" s="518" t="s">
        <v>13010</v>
      </c>
      <c r="F758" s="519" t="s">
        <v>580</v>
      </c>
      <c r="G758" s="511">
        <v>0.01</v>
      </c>
      <c r="H758" s="520">
        <v>84.77</v>
      </c>
      <c r="I758" s="520">
        <f>TRUNC(H758*G758,2)</f>
        <v>0.84</v>
      </c>
      <c r="J758" s="521"/>
      <c r="K758" s="522">
        <f>I758+J758</f>
        <v>0.84</v>
      </c>
      <c r="L758" s="517" t="s">
        <v>12668</v>
      </c>
      <c r="M758" s="471"/>
      <c r="N758" s="516"/>
      <c r="Q758" s="472"/>
      <c r="R758" s="472"/>
      <c r="S758" s="472"/>
      <c r="T758" s="472"/>
      <c r="U758" s="472"/>
      <c r="V758" s="472"/>
      <c r="W758" s="472"/>
      <c r="X758" s="472"/>
      <c r="Y758" s="472"/>
    </row>
    <row r="759" spans="1:25" x14ac:dyDescent="0.25">
      <c r="A759" s="463"/>
      <c r="B759" s="506"/>
      <c r="C759" s="507" t="s">
        <v>13011</v>
      </c>
      <c r="D759" s="508"/>
      <c r="E759" s="518" t="s">
        <v>13012</v>
      </c>
      <c r="F759" s="519" t="s">
        <v>580</v>
      </c>
      <c r="G759" s="511">
        <v>1.2500000000000001E-2</v>
      </c>
      <c r="H759" s="520">
        <v>169.14</v>
      </c>
      <c r="I759" s="520">
        <f>TRUNC(H759*G759,2)</f>
        <v>2.11</v>
      </c>
      <c r="J759" s="521"/>
      <c r="K759" s="522">
        <f>I759+J759</f>
        <v>2.11</v>
      </c>
      <c r="L759" s="517" t="s">
        <v>12668</v>
      </c>
      <c r="M759" s="471"/>
      <c r="N759" s="516"/>
      <c r="Q759" s="472"/>
      <c r="R759" s="472"/>
      <c r="S759" s="472"/>
      <c r="T759" s="472"/>
      <c r="U759" s="472"/>
      <c r="V759" s="472"/>
      <c r="W759" s="472"/>
      <c r="X759" s="472"/>
      <c r="Y759" s="472"/>
    </row>
    <row r="760" spans="1:25" x14ac:dyDescent="0.25">
      <c r="A760" s="463"/>
      <c r="B760" s="498"/>
      <c r="C760" s="498"/>
      <c r="D760" s="499" t="s">
        <v>12184</v>
      </c>
      <c r="E760" s="555" t="s">
        <v>13013</v>
      </c>
      <c r="F760" s="501" t="s">
        <v>580</v>
      </c>
      <c r="G760" s="502"/>
      <c r="H760" s="503"/>
      <c r="I760" s="504">
        <f>ROUND(SUM(I761:I763),2)</f>
        <v>99.2</v>
      </c>
      <c r="J760" s="504">
        <f>ROUND(SUM(J761:J763),2)</f>
        <v>49.54</v>
      </c>
      <c r="K760" s="504">
        <f>+J760+I760</f>
        <v>148.74</v>
      </c>
      <c r="L760" s="523" t="s">
        <v>13014</v>
      </c>
      <c r="M760" s="471"/>
      <c r="N760" s="505"/>
      <c r="Q760" s="472"/>
      <c r="R760" s="472"/>
      <c r="S760" s="472"/>
      <c r="T760" s="472"/>
      <c r="U760" s="472"/>
      <c r="V760" s="472"/>
      <c r="W760" s="472"/>
      <c r="X760" s="472"/>
      <c r="Y760" s="472"/>
    </row>
    <row r="761" spans="1:25" x14ac:dyDescent="0.25">
      <c r="A761" s="463"/>
      <c r="B761" s="506">
        <v>88247</v>
      </c>
      <c r="C761" s="507"/>
      <c r="D761" s="508"/>
      <c r="E761" s="509" t="str">
        <f>IF($C761="",IFERROR(VLOOKUP($B761,SERVIÇOS!$B:$G,2,0),IFERROR(VLOOKUP($B761,$D:$K,2,0),"")),IFERROR(VLOOKUP($C761,INSUMOS!$A:$D,2,0),IFERROR(VLOOKUP($C761,COTAÇÕES!$B:$I,2,0),(VLOOKUP($C761,'INSUMO SINAPI - SP'!$C:$F,2,0)))))</f>
        <v>AUXILIAR DE ELETRICISTA COM ENCARGOS COMPLEMENTARES</v>
      </c>
      <c r="F761" s="510" t="str">
        <f>IF($C761="",IFERROR(VLOOKUP($B761,SERVIÇOS!$B:$G,3,0),IFERROR(VLOOKUP($B761,$D:$K,3,0),"")),IFERROR(VLOOKUP($C761,INSUMOS!$A:$D,3,0),IFERROR(VLOOKUP($C761,COTAÇÕES!$B:$I,3,0),(VLOOKUP($C761,'INSUMO SINAPI - SP'!$C:$F,3,0)))))</f>
        <v>H</v>
      </c>
      <c r="G761" s="511">
        <v>1</v>
      </c>
      <c r="H761" s="512">
        <f>IF($C761="",IFERROR(VLOOKUP($B761,SERVIÇOS!$B:$G,6,0),IFERROR(VLOOKUP($B761,$D:$K,8,0),"")),IFERROR(VLOOKUP($C761,INSUMOS!$A:$D,4,0),IFERROR(VLOOKUP($C761,COTAÇÕES!$B:$I,7,0),(VLOOKUP($C761,'INSUMO SINAPI - SP'!$C:$F,4,0)))))</f>
        <v>30.8</v>
      </c>
      <c r="I761" s="513">
        <f>TRUNC(IF($C761="",IFERROR(VLOOKUP($B761,SERVIÇOS!$B:$G,4,0),IFERROR(VLOOKUP($B761,$D:$K,6,0),)),IFERROR(VLOOKUP($C761,INSUMOS!$A:$D,4,0),IFERROR(VLOOKUP($C761,COTAÇÕES!$B:$I,7,0),(VLOOKUP($C761,'INSUMO SINAPI - SP'!$C:$F,4,0)))))*$G761,2)</f>
        <v>9.32</v>
      </c>
      <c r="J761" s="513">
        <f>TRUNC(IF($C761="",IFERROR(VLOOKUP($B761,SERVIÇOS!$B:$G,5,0),IFERROR(VLOOKUP($B761,$D:$K,7,0),)),0)*$G761,2)</f>
        <v>21.48</v>
      </c>
      <c r="K761" s="514">
        <f>I761+J761</f>
        <v>30.8</v>
      </c>
      <c r="L761" s="515"/>
      <c r="M761" s="471"/>
      <c r="N761" s="516"/>
      <c r="Q761" s="472"/>
      <c r="R761" s="472"/>
      <c r="S761" s="472"/>
      <c r="T761" s="472"/>
      <c r="U761" s="472"/>
      <c r="V761" s="472"/>
      <c r="W761" s="472"/>
      <c r="X761" s="472"/>
      <c r="Y761" s="472"/>
    </row>
    <row r="762" spans="1:25" x14ac:dyDescent="0.25">
      <c r="A762" s="463"/>
      <c r="B762" s="506">
        <v>88264</v>
      </c>
      <c r="C762" s="507"/>
      <c r="D762" s="508"/>
      <c r="E762" s="509" t="str">
        <f>IF($C762="",IFERROR(VLOOKUP($B762,SERVIÇOS!$B:$G,2,0),IFERROR(VLOOKUP($B762,$D:$K,2,0),"")),IFERROR(VLOOKUP($C762,INSUMOS!$A:$D,2,0),IFERROR(VLOOKUP($C762,COTAÇÕES!$B:$I,2,0),(VLOOKUP($C762,'INSUMO SINAPI - SP'!$C:$F,2,0)))))</f>
        <v>ELETRICISTA COM ENCARGOS COMPLEMENTARES</v>
      </c>
      <c r="F762" s="510" t="str">
        <f>IF($C762="",IFERROR(VLOOKUP($B762,SERVIÇOS!$B:$G,3,0),IFERROR(VLOOKUP($B762,$D:$K,3,0),"")),IFERROR(VLOOKUP($C762,INSUMOS!$A:$D,3,0),IFERROR(VLOOKUP($C762,COTAÇÕES!$B:$I,3,0),(VLOOKUP($C762,'INSUMO SINAPI - SP'!$C:$F,3,0)))))</f>
        <v>H</v>
      </c>
      <c r="G762" s="511">
        <v>1</v>
      </c>
      <c r="H762" s="512">
        <f>IF($C762="",IFERROR(VLOOKUP($B762,SERVIÇOS!$B:$G,6,0),IFERROR(VLOOKUP($B762,$D:$K,8,0),"")),IFERROR(VLOOKUP($C762,INSUMOS!$A:$D,4,0),IFERROR(VLOOKUP($C762,COTAÇÕES!$B:$I,7,0),(VLOOKUP($C762,'INSUMO SINAPI - SP'!$C:$F,4,0)))))</f>
        <v>37.369999999999997</v>
      </c>
      <c r="I762" s="513">
        <f>TRUNC(IF($C762="",IFERROR(VLOOKUP($B762,SERVIÇOS!$B:$G,4,0),IFERROR(VLOOKUP($B762,$D:$K,6,0),)),IFERROR(VLOOKUP($C762,INSUMOS!$A:$D,4,0),IFERROR(VLOOKUP($C762,COTAÇÕES!$B:$I,7,0),(VLOOKUP($C762,'INSUMO SINAPI - SP'!$C:$F,4,0)))))*$G762,2)</f>
        <v>9.31</v>
      </c>
      <c r="J762" s="513">
        <f>TRUNC(IF($C762="",IFERROR(VLOOKUP($B762,SERVIÇOS!$B:$G,5,0),IFERROR(VLOOKUP($B762,$D:$K,7,0),)),0)*$G762,2)</f>
        <v>28.06</v>
      </c>
      <c r="K762" s="514">
        <f>I762+J762</f>
        <v>37.369999999999997</v>
      </c>
      <c r="L762" s="515"/>
      <c r="M762" s="471"/>
      <c r="N762" s="516"/>
      <c r="Q762" s="472"/>
      <c r="R762" s="472"/>
      <c r="S762" s="472"/>
      <c r="T762" s="472"/>
      <c r="U762" s="472"/>
      <c r="V762" s="472"/>
      <c r="W762" s="472"/>
      <c r="X762" s="472"/>
      <c r="Y762" s="472"/>
    </row>
    <row r="763" spans="1:25" x14ac:dyDescent="0.25">
      <c r="A763" s="463"/>
      <c r="B763" s="506"/>
      <c r="C763" s="507">
        <v>34714</v>
      </c>
      <c r="D763" s="508"/>
      <c r="E763" s="509" t="str">
        <f>IF($C763="",IFERROR(VLOOKUP($B763,SERVIÇOS!$B:$G,2,0),IFERROR(VLOOKUP($B763,$D:$K,2,0),"")),IFERROR(VLOOKUP($C763,INSUMOS!$A:$D,2,0),IFERROR(VLOOKUP($C763,COTAÇÕES!$B:$I,2,0),(VLOOKUP($C763,'INSUMO SINAPI - SP'!$C:$F,2,0)))))</f>
        <v>DISJUNTOR TERMOMAGNETICO PARA TRILHO DIN (IEC), TRIPOLAR, 63 A</v>
      </c>
      <c r="F763" s="510" t="str">
        <f>IF($C763="",IFERROR(VLOOKUP($B763,SERVIÇOS!$B:$G,3,0),IFERROR(VLOOKUP($B763,$D:$K,3,0),"")),IFERROR(VLOOKUP($C763,INSUMOS!$A:$D,3,0),IFERROR(VLOOKUP($C763,COTAÇÕES!$B:$I,3,0),(VLOOKUP($C763,'INSUMO SINAPI - SP'!$C:$F,3,0)))))</f>
        <v>UN</v>
      </c>
      <c r="G763" s="511">
        <v>1</v>
      </c>
      <c r="H763" s="512">
        <f>IF($C763="",IFERROR(VLOOKUP($B763,SERVIÇOS!$B:$G,6,0),IFERROR(VLOOKUP($B763,$D:$K,8,0),"")),IFERROR(VLOOKUP($C763,INSUMOS!$A:$D,4,0),IFERROR(VLOOKUP($C763,COTAÇÕES!$B:$I,7,0),(VLOOKUP($C763,'INSUMO SINAPI - SP'!$C:$F,4,0)))))</f>
        <v>80.569999999999993</v>
      </c>
      <c r="I763" s="513">
        <f>TRUNC(IF($C763="",IFERROR(VLOOKUP($B763,SERVIÇOS!$B:$G,4,0),IFERROR(VLOOKUP($B763,$D:$K,6,0),)),IFERROR(VLOOKUP($C763,INSUMOS!$A:$D,4,0),IFERROR(VLOOKUP($C763,COTAÇÕES!$B:$I,7,0),(VLOOKUP($C763,'INSUMO SINAPI - SP'!$C:$F,4,0)))))*$G763,2)</f>
        <v>80.569999999999993</v>
      </c>
      <c r="J763" s="513">
        <f>TRUNC(IF($C763="",IFERROR(VLOOKUP($B763,SERVIÇOS!$B:$G,5,0),IFERROR(VLOOKUP($B763,$D:$K,7,0),)),0)*$G763,2)</f>
        <v>0</v>
      </c>
      <c r="K763" s="514">
        <f>I763+J763</f>
        <v>80.569999999999993</v>
      </c>
      <c r="L763" s="517"/>
      <c r="M763" s="471"/>
      <c r="N763" s="516"/>
      <c r="Q763" s="472"/>
      <c r="R763" s="472"/>
      <c r="S763" s="472"/>
      <c r="T763" s="472"/>
      <c r="U763" s="472"/>
      <c r="V763" s="472"/>
      <c r="W763" s="472"/>
      <c r="X763" s="472"/>
      <c r="Y763" s="472"/>
    </row>
    <row r="764" spans="1:25" x14ac:dyDescent="0.25">
      <c r="A764" s="463"/>
      <c r="B764" s="498"/>
      <c r="C764" s="498"/>
      <c r="D764" s="499" t="s">
        <v>12231</v>
      </c>
      <c r="E764" s="555" t="s">
        <v>13015</v>
      </c>
      <c r="F764" s="501" t="s">
        <v>580</v>
      </c>
      <c r="G764" s="502"/>
      <c r="H764" s="503"/>
      <c r="I764" s="504">
        <f>ROUND(SUM(I765:I768),2)</f>
        <v>62.37</v>
      </c>
      <c r="J764" s="504">
        <f>ROUND(SUM(J765:J768),2)</f>
        <v>22.28</v>
      </c>
      <c r="K764" s="504">
        <f>+J764+I764</f>
        <v>84.65</v>
      </c>
      <c r="L764" s="523" t="s">
        <v>13016</v>
      </c>
      <c r="M764" s="471"/>
      <c r="N764" s="505"/>
      <c r="Q764" s="472"/>
      <c r="R764" s="472"/>
      <c r="S764" s="472"/>
      <c r="T764" s="472"/>
      <c r="U764" s="472"/>
      <c r="V764" s="472"/>
      <c r="W764" s="472"/>
      <c r="X764" s="472"/>
      <c r="Y764" s="472"/>
    </row>
    <row r="765" spans="1:25" x14ac:dyDescent="0.25">
      <c r="A765" s="463"/>
      <c r="B765" s="506"/>
      <c r="C765" s="507">
        <v>7525</v>
      </c>
      <c r="D765" s="508"/>
      <c r="E765" s="509" t="str">
        <f>IF($C765="",IFERROR(VLOOKUP($B765,SERVIÇOS!$B:$G,2,0),IFERROR(VLOOKUP($B765,$D:$K,2,0),"")),IFERROR(VLOOKUP($C765,INSUMOS!$A:$D,2,0),IFERROR(VLOOKUP($C765,COTAÇÕES!$B:$I,2,0),(VLOOKUP($C765,'INSUMO SINAPI - SP'!$C:$F,2,0)))))</f>
        <v>TOMADA INDUSTRIAL DE EMBUTIR 3P+T 30 A, 440 V, COM TRAVA, COM PLACA</v>
      </c>
      <c r="F765" s="510" t="str">
        <f>IF($C765="",IFERROR(VLOOKUP($B765,SERVIÇOS!$B:$G,3,0),IFERROR(VLOOKUP($B765,$D:$K,3,0),"")),IFERROR(VLOOKUP($C765,INSUMOS!$A:$D,3,0),IFERROR(VLOOKUP($C765,COTAÇÕES!$B:$I,3,0),(VLOOKUP($C765,'INSUMO SINAPI - SP'!$C:$F,3,0)))))</f>
        <v>UN</v>
      </c>
      <c r="G765" s="511">
        <v>1</v>
      </c>
      <c r="H765" s="512">
        <f>IF($C765="",IFERROR(VLOOKUP($B765,SERVIÇOS!$B:$G,6,0),IFERROR(VLOOKUP($B765,$D:$K,8,0),"")),IFERROR(VLOOKUP($C765,INSUMOS!$A:$D,4,0),IFERROR(VLOOKUP($C765,COTAÇÕES!$B:$I,7,0),(VLOOKUP($C765,'INSUMO SINAPI - SP'!$C:$F,4,0)))))</f>
        <v>50.12</v>
      </c>
      <c r="I765" s="513">
        <f>TRUNC(IF($C765="",IFERROR(VLOOKUP($B765,SERVIÇOS!$B:$G,4,0),IFERROR(VLOOKUP($B765,$D:$K,6,0),)),IFERROR(VLOOKUP($C765,INSUMOS!$A:$D,4,0),IFERROR(VLOOKUP($C765,COTAÇÕES!$B:$I,7,0),(VLOOKUP($C765,'INSUMO SINAPI - SP'!$C:$F,4,0)))))*$G765,2)</f>
        <v>50.12</v>
      </c>
      <c r="J765" s="513">
        <f>TRUNC(IF($C765="",IFERROR(VLOOKUP($B765,SERVIÇOS!$B:$G,5,0),IFERROR(VLOOKUP($B765,$D:$K,7,0),)),0)*$G765,2)</f>
        <v>0</v>
      </c>
      <c r="K765" s="514">
        <f>I765+J765</f>
        <v>50.12</v>
      </c>
      <c r="L765" s="517"/>
      <c r="M765" s="471"/>
      <c r="N765" s="516"/>
      <c r="Q765" s="472"/>
      <c r="R765" s="472"/>
      <c r="S765" s="472"/>
      <c r="T765" s="472"/>
      <c r="U765" s="472"/>
      <c r="V765" s="472"/>
      <c r="W765" s="472"/>
      <c r="X765" s="472"/>
      <c r="Y765" s="472"/>
    </row>
    <row r="766" spans="1:25" x14ac:dyDescent="0.25">
      <c r="A766" s="463"/>
      <c r="B766" s="506">
        <v>88247</v>
      </c>
      <c r="C766" s="507"/>
      <c r="D766" s="508"/>
      <c r="E766" s="509" t="str">
        <f>IF($C766="",IFERROR(VLOOKUP($B766,SERVIÇOS!$B:$G,2,0),IFERROR(VLOOKUP($B766,$D:$K,2,0),"")),IFERROR(VLOOKUP($C766,INSUMOS!$A:$D,2,0),IFERROR(VLOOKUP($C766,COTAÇÕES!$B:$I,2,0),(VLOOKUP($C766,'INSUMO SINAPI - SP'!$C:$F,2,0)))))</f>
        <v>AUXILIAR DE ELETRICISTA COM ENCARGOS COMPLEMENTARES</v>
      </c>
      <c r="F766" s="510" t="str">
        <f>IF($C766="",IFERROR(VLOOKUP($B766,SERVIÇOS!$B:$G,3,0),IFERROR(VLOOKUP($B766,$D:$K,3,0),"")),IFERROR(VLOOKUP($C766,INSUMOS!$A:$D,3,0),IFERROR(VLOOKUP($C766,COTAÇÕES!$B:$I,3,0),(VLOOKUP($C766,'INSUMO SINAPI - SP'!$C:$F,3,0)))))</f>
        <v>H</v>
      </c>
      <c r="G766" s="511">
        <v>0.45</v>
      </c>
      <c r="H766" s="512">
        <f>IF($C766="",IFERROR(VLOOKUP($B766,SERVIÇOS!$B:$G,6,0),IFERROR(VLOOKUP($B766,$D:$K,8,0),"")),IFERROR(VLOOKUP($C766,INSUMOS!$A:$D,4,0),IFERROR(VLOOKUP($C766,COTAÇÕES!$B:$I,7,0),(VLOOKUP($C766,'INSUMO SINAPI - SP'!$C:$F,4,0)))))</f>
        <v>30.8</v>
      </c>
      <c r="I766" s="513">
        <f>TRUNC(IF($C766="",IFERROR(VLOOKUP($B766,SERVIÇOS!$B:$G,4,0),IFERROR(VLOOKUP($B766,$D:$K,6,0),)),IFERROR(VLOOKUP($C766,INSUMOS!$A:$D,4,0),IFERROR(VLOOKUP($C766,COTAÇÕES!$B:$I,7,0),(VLOOKUP($C766,'INSUMO SINAPI - SP'!$C:$F,4,0)))))*$G766,2)</f>
        <v>4.1900000000000004</v>
      </c>
      <c r="J766" s="513">
        <f>TRUNC(IF($C766="",IFERROR(VLOOKUP($B766,SERVIÇOS!$B:$G,5,0),IFERROR(VLOOKUP($B766,$D:$K,7,0),)),0)*$G766,2)</f>
        <v>9.66</v>
      </c>
      <c r="K766" s="514">
        <f>I766+J766</f>
        <v>13.850000000000001</v>
      </c>
      <c r="L766" s="515"/>
      <c r="M766" s="471"/>
      <c r="N766" s="516"/>
      <c r="Q766" s="472"/>
      <c r="R766" s="472"/>
      <c r="S766" s="472"/>
      <c r="T766" s="472"/>
      <c r="U766" s="472"/>
      <c r="V766" s="472"/>
      <c r="W766" s="472"/>
      <c r="X766" s="472"/>
      <c r="Y766" s="472"/>
    </row>
    <row r="767" spans="1:25" x14ac:dyDescent="0.25">
      <c r="A767" s="463"/>
      <c r="B767" s="506">
        <v>88264</v>
      </c>
      <c r="C767" s="507"/>
      <c r="D767" s="508"/>
      <c r="E767" s="509" t="str">
        <f>IF($C767="",IFERROR(VLOOKUP($B767,SERVIÇOS!$B:$G,2,0),IFERROR(VLOOKUP($B767,$D:$K,2,0),"")),IFERROR(VLOOKUP($C767,INSUMOS!$A:$D,2,0),IFERROR(VLOOKUP($C767,COTAÇÕES!$B:$I,2,0),(VLOOKUP($C767,'INSUMO SINAPI - SP'!$C:$F,2,0)))))</f>
        <v>ELETRICISTA COM ENCARGOS COMPLEMENTARES</v>
      </c>
      <c r="F767" s="510" t="str">
        <f>IF($C767="",IFERROR(VLOOKUP($B767,SERVIÇOS!$B:$G,3,0),IFERROR(VLOOKUP($B767,$D:$K,3,0),"")),IFERROR(VLOOKUP($C767,INSUMOS!$A:$D,3,0),IFERROR(VLOOKUP($C767,COTAÇÕES!$B:$I,3,0),(VLOOKUP($C767,'INSUMO SINAPI - SP'!$C:$F,3,0)))))</f>
        <v>H</v>
      </c>
      <c r="G767" s="511">
        <v>0.45</v>
      </c>
      <c r="H767" s="512">
        <f>IF($C767="",IFERROR(VLOOKUP($B767,SERVIÇOS!$B:$G,6,0),IFERROR(VLOOKUP($B767,$D:$K,8,0),"")),IFERROR(VLOOKUP($C767,INSUMOS!$A:$D,4,0),IFERROR(VLOOKUP($C767,COTAÇÕES!$B:$I,7,0),(VLOOKUP($C767,'INSUMO SINAPI - SP'!$C:$F,4,0)))))</f>
        <v>37.369999999999997</v>
      </c>
      <c r="I767" s="513">
        <f>TRUNC(IF($C767="",IFERROR(VLOOKUP($B767,SERVIÇOS!$B:$G,4,0),IFERROR(VLOOKUP($B767,$D:$K,6,0),)),IFERROR(VLOOKUP($C767,INSUMOS!$A:$D,4,0),IFERROR(VLOOKUP($C767,COTAÇÕES!$B:$I,7,0),(VLOOKUP($C767,'INSUMO SINAPI - SP'!$C:$F,4,0)))))*$G767,2)</f>
        <v>4.18</v>
      </c>
      <c r="J767" s="513">
        <f>TRUNC(IF($C767="",IFERROR(VLOOKUP($B767,SERVIÇOS!$B:$G,5,0),IFERROR(VLOOKUP($B767,$D:$K,7,0),)),0)*$G767,2)</f>
        <v>12.62</v>
      </c>
      <c r="K767" s="514">
        <f>I767+J767</f>
        <v>16.799999999999997</v>
      </c>
      <c r="L767" s="515"/>
      <c r="M767" s="471"/>
      <c r="N767" s="516"/>
      <c r="Q767" s="472"/>
      <c r="R767" s="472"/>
      <c r="S767" s="472"/>
      <c r="T767" s="472"/>
      <c r="U767" s="472"/>
      <c r="V767" s="472"/>
      <c r="W767" s="472"/>
      <c r="X767" s="472"/>
      <c r="Y767" s="472"/>
    </row>
    <row r="768" spans="1:25" x14ac:dyDescent="0.25">
      <c r="A768" s="463"/>
      <c r="B768" s="506"/>
      <c r="C768" s="507">
        <v>1872</v>
      </c>
      <c r="D768" s="508"/>
      <c r="E768" s="509" t="str">
        <f>IF($C768="",IFERROR(VLOOKUP($B768,SERVIÇOS!$B:$G,2,0),IFERROR(VLOOKUP($B768,$D:$K,2,0),"")),IFERROR(VLOOKUP($C768,INSUMOS!$A:$D,2,0),IFERROR(VLOOKUP($C768,COTAÇÕES!$B:$I,2,0),(VLOOKUP($C768,'INSUMO SINAPI - SP'!$C:$F,2,0)))))</f>
        <v>CAIXA DE PASSAGEM, EM PVC, DE 4" X 2", PARA ELETRODUTO FLEXIVEL CORRUGADO</v>
      </c>
      <c r="F768" s="510" t="str">
        <f>IF($C768="",IFERROR(VLOOKUP($B768,SERVIÇOS!$B:$G,3,0),IFERROR(VLOOKUP($B768,$D:$K,3,0),"")),IFERROR(VLOOKUP($C768,INSUMOS!$A:$D,3,0),IFERROR(VLOOKUP($C768,COTAÇÕES!$B:$I,3,0),(VLOOKUP($C768,'INSUMO SINAPI - SP'!$C:$F,3,0)))))</f>
        <v>UN</v>
      </c>
      <c r="G768" s="511">
        <v>1</v>
      </c>
      <c r="H768" s="512">
        <f>IF($C768="",IFERROR(VLOOKUP($B768,SERVIÇOS!$B:$G,6,0),IFERROR(VLOOKUP($B768,$D:$K,8,0),"")),IFERROR(VLOOKUP($C768,INSUMOS!$A:$D,4,0),IFERROR(VLOOKUP($C768,COTAÇÕES!$B:$I,7,0),(VLOOKUP($C768,'INSUMO SINAPI - SP'!$C:$F,4,0)))))</f>
        <v>3.88</v>
      </c>
      <c r="I768" s="513">
        <f>TRUNC(IF($C768="",IFERROR(VLOOKUP($B768,SERVIÇOS!$B:$G,4,0),IFERROR(VLOOKUP($B768,$D:$K,6,0),)),IFERROR(VLOOKUP($C768,INSUMOS!$A:$D,4,0),IFERROR(VLOOKUP($C768,COTAÇÕES!$B:$I,7,0),(VLOOKUP($C768,'INSUMO SINAPI - SP'!$C:$F,4,0)))))*$G768,2)</f>
        <v>3.88</v>
      </c>
      <c r="J768" s="513">
        <f>TRUNC(IF($C768="",IFERROR(VLOOKUP($B768,SERVIÇOS!$B:$G,5,0),IFERROR(VLOOKUP($B768,$D:$K,7,0),)),0)*$G768,2)</f>
        <v>0</v>
      </c>
      <c r="K768" s="514">
        <f>I768+J768</f>
        <v>3.88</v>
      </c>
      <c r="L768" s="517"/>
      <c r="M768" s="471"/>
      <c r="N768" s="516"/>
      <c r="Q768" s="472"/>
      <c r="R768" s="472"/>
      <c r="S768" s="472"/>
      <c r="T768" s="472"/>
      <c r="U768" s="472"/>
      <c r="V768" s="472"/>
      <c r="W768" s="472"/>
      <c r="X768" s="472"/>
      <c r="Y768" s="472"/>
    </row>
    <row r="769" spans="1:25" x14ac:dyDescent="0.25">
      <c r="A769" s="463"/>
      <c r="B769" s="498"/>
      <c r="C769" s="498"/>
      <c r="D769" s="499" t="s">
        <v>12245</v>
      </c>
      <c r="E769" s="555" t="s">
        <v>13017</v>
      </c>
      <c r="F769" s="501" t="s">
        <v>580</v>
      </c>
      <c r="G769" s="502"/>
      <c r="H769" s="503"/>
      <c r="I769" s="504">
        <f>ROUND(SUM(I770:I773),2)</f>
        <v>60.23</v>
      </c>
      <c r="J769" s="504">
        <f>ROUND(SUM(J770:J773),2)</f>
        <v>70.06</v>
      </c>
      <c r="K769" s="504">
        <f>+J769+I769</f>
        <v>130.29</v>
      </c>
      <c r="L769" s="523" t="s">
        <v>13016</v>
      </c>
      <c r="M769" s="471"/>
      <c r="N769" s="505"/>
      <c r="Q769" s="472"/>
      <c r="R769" s="472"/>
      <c r="S769" s="472"/>
      <c r="T769" s="472"/>
      <c r="U769" s="472"/>
      <c r="V769" s="472"/>
      <c r="W769" s="472"/>
      <c r="X769" s="472"/>
      <c r="Y769" s="472"/>
    </row>
    <row r="770" spans="1:25" x14ac:dyDescent="0.25">
      <c r="A770" s="463"/>
      <c r="B770" s="506"/>
      <c r="C770" s="507" t="s">
        <v>13018</v>
      </c>
      <c r="D770" s="508"/>
      <c r="E770" s="518" t="s">
        <v>13019</v>
      </c>
      <c r="F770" s="519" t="s">
        <v>12667</v>
      </c>
      <c r="G770" s="511">
        <v>1</v>
      </c>
      <c r="H770" s="520">
        <v>30</v>
      </c>
      <c r="I770" s="520">
        <f>TRUNC(H770*G770,2)</f>
        <v>30</v>
      </c>
      <c r="J770" s="521"/>
      <c r="K770" s="522">
        <f>I770+J770</f>
        <v>30</v>
      </c>
      <c r="L770" s="517" t="s">
        <v>12668</v>
      </c>
      <c r="M770" s="471"/>
      <c r="N770" s="516"/>
      <c r="Q770" s="472"/>
      <c r="R770" s="472"/>
      <c r="S770" s="472"/>
      <c r="T770" s="472"/>
      <c r="U770" s="472"/>
      <c r="V770" s="472"/>
      <c r="W770" s="472"/>
      <c r="X770" s="472"/>
      <c r="Y770" s="472"/>
    </row>
    <row r="771" spans="1:25" x14ac:dyDescent="0.25">
      <c r="A771" s="463"/>
      <c r="B771" s="506">
        <v>88247</v>
      </c>
      <c r="C771" s="507"/>
      <c r="D771" s="508"/>
      <c r="E771" s="509" t="str">
        <f>IF($C771="",IFERROR(VLOOKUP($B771,SERVIÇOS!$B:$G,2,0),IFERROR(VLOOKUP($B771,$D:$K,2,0),"")),IFERROR(VLOOKUP($C771,INSUMOS!$A:$D,2,0),IFERROR(VLOOKUP($C771,COTAÇÕES!$B:$I,2,0),(VLOOKUP($C771,'INSUMO SINAPI - SP'!$C:$F,2,0)))))</f>
        <v>AUXILIAR DE ELETRICISTA COM ENCARGOS COMPLEMENTARES</v>
      </c>
      <c r="F771" s="510" t="str">
        <f>IF($C771="",IFERROR(VLOOKUP($B771,SERVIÇOS!$B:$G,3,0),IFERROR(VLOOKUP($B771,$D:$K,3,0),"")),IFERROR(VLOOKUP($C771,INSUMOS!$A:$D,3,0),IFERROR(VLOOKUP($C771,COTAÇÕES!$B:$I,3,0),(VLOOKUP($C771,'INSUMO SINAPI - SP'!$C:$F,3,0)))))</f>
        <v>H</v>
      </c>
      <c r="G771" s="511">
        <v>1.4179999999999999</v>
      </c>
      <c r="H771" s="512">
        <f>IF($C771="",IFERROR(VLOOKUP($B771,SERVIÇOS!$B:$G,6,0),IFERROR(VLOOKUP($B771,$D:$K,8,0),"")),IFERROR(VLOOKUP($C771,INSUMOS!$A:$D,4,0),IFERROR(VLOOKUP($C771,COTAÇÕES!$B:$I,7,0),(VLOOKUP($C771,'INSUMO SINAPI - SP'!$C:$F,4,0)))))</f>
        <v>30.8</v>
      </c>
      <c r="I771" s="513">
        <f>TRUNC(IF($C771="",IFERROR(VLOOKUP($B771,SERVIÇOS!$B:$G,4,0),IFERROR(VLOOKUP($B771,$D:$K,6,0),)),IFERROR(VLOOKUP($C771,INSUMOS!$A:$D,4,0),IFERROR(VLOOKUP($C771,COTAÇÕES!$B:$I,7,0),(VLOOKUP($C771,'INSUMO SINAPI - SP'!$C:$F,4,0)))))*$G771,2)</f>
        <v>13.21</v>
      </c>
      <c r="J771" s="513">
        <f>TRUNC(IF($C771="",IFERROR(VLOOKUP($B771,SERVIÇOS!$B:$G,5,0),IFERROR(VLOOKUP($B771,$D:$K,7,0),)),0)*$G771,2)</f>
        <v>30.45</v>
      </c>
      <c r="K771" s="514">
        <f>I771+J771</f>
        <v>43.66</v>
      </c>
      <c r="L771" s="515"/>
      <c r="M771" s="471"/>
      <c r="N771" s="516"/>
      <c r="Q771" s="472"/>
      <c r="R771" s="472"/>
      <c r="S771" s="472"/>
      <c r="T771" s="472"/>
      <c r="U771" s="472"/>
      <c r="V771" s="472"/>
      <c r="W771" s="472"/>
      <c r="X771" s="472"/>
      <c r="Y771" s="472"/>
    </row>
    <row r="772" spans="1:25" x14ac:dyDescent="0.25">
      <c r="A772" s="463"/>
      <c r="B772" s="506">
        <v>88264</v>
      </c>
      <c r="C772" s="507"/>
      <c r="D772" s="508"/>
      <c r="E772" s="509" t="str">
        <f>IF($C772="",IFERROR(VLOOKUP($B772,SERVIÇOS!$B:$G,2,0),IFERROR(VLOOKUP($B772,$D:$K,2,0),"")),IFERROR(VLOOKUP($C772,INSUMOS!$A:$D,2,0),IFERROR(VLOOKUP($C772,COTAÇÕES!$B:$I,2,0),(VLOOKUP($C772,'INSUMO SINAPI - SP'!$C:$F,2,0)))))</f>
        <v>ELETRICISTA COM ENCARGOS COMPLEMENTARES</v>
      </c>
      <c r="F772" s="510" t="str">
        <f>IF($C772="",IFERROR(VLOOKUP($B772,SERVIÇOS!$B:$G,3,0),IFERROR(VLOOKUP($B772,$D:$K,3,0),"")),IFERROR(VLOOKUP($C772,INSUMOS!$A:$D,3,0),IFERROR(VLOOKUP($C772,COTAÇÕES!$B:$I,3,0),(VLOOKUP($C772,'INSUMO SINAPI - SP'!$C:$F,3,0)))))</f>
        <v>H</v>
      </c>
      <c r="G772" s="511">
        <v>1.4117999999999999</v>
      </c>
      <c r="H772" s="512">
        <f>IF($C772="",IFERROR(VLOOKUP($B772,SERVIÇOS!$B:$G,6,0),IFERROR(VLOOKUP($B772,$D:$K,8,0),"")),IFERROR(VLOOKUP($C772,INSUMOS!$A:$D,4,0),IFERROR(VLOOKUP($C772,COTAÇÕES!$B:$I,7,0),(VLOOKUP($C772,'INSUMO SINAPI - SP'!$C:$F,4,0)))))</f>
        <v>37.369999999999997</v>
      </c>
      <c r="I772" s="513">
        <f>TRUNC(IF($C772="",IFERROR(VLOOKUP($B772,SERVIÇOS!$B:$G,4,0),IFERROR(VLOOKUP($B772,$D:$K,6,0),)),IFERROR(VLOOKUP($C772,INSUMOS!$A:$D,4,0),IFERROR(VLOOKUP($C772,COTAÇÕES!$B:$I,7,0),(VLOOKUP($C772,'INSUMO SINAPI - SP'!$C:$F,4,0)))))*$G772,2)</f>
        <v>13.14</v>
      </c>
      <c r="J772" s="513">
        <f>TRUNC(IF($C772="",IFERROR(VLOOKUP($B772,SERVIÇOS!$B:$G,5,0),IFERROR(VLOOKUP($B772,$D:$K,7,0),)),0)*$G772,2)</f>
        <v>39.61</v>
      </c>
      <c r="K772" s="514">
        <f>I772+J772</f>
        <v>52.75</v>
      </c>
      <c r="L772" s="515"/>
      <c r="M772" s="471"/>
      <c r="N772" s="516"/>
      <c r="Q772" s="472"/>
      <c r="R772" s="472"/>
      <c r="S772" s="472"/>
      <c r="T772" s="472"/>
      <c r="U772" s="472"/>
      <c r="V772" s="472"/>
      <c r="W772" s="472"/>
      <c r="X772" s="472"/>
      <c r="Y772" s="472"/>
    </row>
    <row r="773" spans="1:25" x14ac:dyDescent="0.25">
      <c r="A773" s="463"/>
      <c r="B773" s="506"/>
      <c r="C773" s="507">
        <v>1872</v>
      </c>
      <c r="D773" s="508"/>
      <c r="E773" s="509" t="str">
        <f>IF($C773="",IFERROR(VLOOKUP($B773,SERVIÇOS!$B:$G,2,0),IFERROR(VLOOKUP($B773,$D:$K,2,0),"")),IFERROR(VLOOKUP($C773,INSUMOS!$A:$D,2,0),IFERROR(VLOOKUP($C773,COTAÇÕES!$B:$I,2,0),(VLOOKUP($C773,'INSUMO SINAPI - SP'!$C:$F,2,0)))))</f>
        <v>CAIXA DE PASSAGEM, EM PVC, DE 4" X 2", PARA ELETRODUTO FLEXIVEL CORRUGADO</v>
      </c>
      <c r="F773" s="510" t="str">
        <f>IF($C773="",IFERROR(VLOOKUP($B773,SERVIÇOS!$B:$G,3,0),IFERROR(VLOOKUP($B773,$D:$K,3,0),"")),IFERROR(VLOOKUP($C773,INSUMOS!$A:$D,3,0),IFERROR(VLOOKUP($C773,COTAÇÕES!$B:$I,3,0),(VLOOKUP($C773,'INSUMO SINAPI - SP'!$C:$F,3,0)))))</f>
        <v>UN</v>
      </c>
      <c r="G773" s="511">
        <v>1</v>
      </c>
      <c r="H773" s="512">
        <f>IF($C773="",IFERROR(VLOOKUP($B773,SERVIÇOS!$B:$G,6,0),IFERROR(VLOOKUP($B773,$D:$K,8,0),"")),IFERROR(VLOOKUP($C773,INSUMOS!$A:$D,4,0),IFERROR(VLOOKUP($C773,COTAÇÕES!$B:$I,7,0),(VLOOKUP($C773,'INSUMO SINAPI - SP'!$C:$F,4,0)))))</f>
        <v>3.88</v>
      </c>
      <c r="I773" s="513">
        <f>TRUNC(IF($C773="",IFERROR(VLOOKUP($B773,SERVIÇOS!$B:$G,4,0),IFERROR(VLOOKUP($B773,$D:$K,6,0),)),IFERROR(VLOOKUP($C773,INSUMOS!$A:$D,4,0),IFERROR(VLOOKUP($C773,COTAÇÕES!$B:$I,7,0),(VLOOKUP($C773,'INSUMO SINAPI - SP'!$C:$F,4,0)))))*$G773,2)</f>
        <v>3.88</v>
      </c>
      <c r="J773" s="513">
        <f>TRUNC(IF($C773="",IFERROR(VLOOKUP($B773,SERVIÇOS!$B:$G,5,0),IFERROR(VLOOKUP($B773,$D:$K,7,0),)),0)*$G773,2)</f>
        <v>0</v>
      </c>
      <c r="K773" s="514">
        <f>I773+J773</f>
        <v>3.88</v>
      </c>
      <c r="L773" s="517"/>
      <c r="M773" s="471"/>
      <c r="N773" s="516"/>
      <c r="Q773" s="472"/>
      <c r="R773" s="472"/>
      <c r="S773" s="472"/>
      <c r="T773" s="472"/>
      <c r="U773" s="472"/>
      <c r="V773" s="472"/>
      <c r="W773" s="472"/>
      <c r="X773" s="472"/>
      <c r="Y773" s="472"/>
    </row>
    <row r="774" spans="1:25" x14ac:dyDescent="0.25">
      <c r="A774" s="463"/>
      <c r="B774" s="498"/>
      <c r="C774" s="498"/>
      <c r="D774" s="499" t="s">
        <v>12212</v>
      </c>
      <c r="E774" s="555" t="s">
        <v>13020</v>
      </c>
      <c r="F774" s="501" t="s">
        <v>580</v>
      </c>
      <c r="G774" s="502"/>
      <c r="H774" s="503"/>
      <c r="I774" s="504">
        <f>ROUND(SUM(I775),2)</f>
        <v>11.28</v>
      </c>
      <c r="J774" s="504">
        <f>ROUND(SUM(J775),2)</f>
        <v>5.29</v>
      </c>
      <c r="K774" s="504">
        <f>+J774+I774</f>
        <v>16.57</v>
      </c>
      <c r="L774" s="523" t="s">
        <v>12842</v>
      </c>
      <c r="M774" s="471"/>
      <c r="N774" s="505"/>
      <c r="Q774" s="472"/>
      <c r="R774" s="472"/>
      <c r="S774" s="472"/>
      <c r="T774" s="472"/>
      <c r="U774" s="472"/>
      <c r="V774" s="472"/>
      <c r="W774" s="472"/>
      <c r="X774" s="472"/>
      <c r="Y774" s="472"/>
    </row>
    <row r="775" spans="1:25" ht="24" x14ac:dyDescent="0.25">
      <c r="A775" s="463"/>
      <c r="B775" s="506">
        <v>91951</v>
      </c>
      <c r="C775" s="507"/>
      <c r="D775" s="508"/>
      <c r="E775" s="509" t="str">
        <f>IF($C775="",IFERROR(VLOOKUP($B775,SERVIÇOS!$B:$G,2,0),IFERROR(VLOOKUP($B775,$D:$K,2,0),"")),IFERROR(VLOOKUP($C775,INSUMOS!$A:$D,2,0),IFERROR(VLOOKUP($C775,COTAÇÕES!$B:$I,2,0),(VLOOKUP($C775,'INSUMO SINAPI - SP'!$C:$F,2,0)))))</f>
        <v>SUPORTE PARAFUSADO COM PLACA DE ENCAIXE 4" X 4" BAIXO (0,30 M DO PISO) PARA PONTO ELÉTRICO - FORNECIMENTO E INSTALAÇÃO. AF_03/2023</v>
      </c>
      <c r="F775" s="510" t="str">
        <f>IF($C775="",IFERROR(VLOOKUP($B775,SERVIÇOS!$B:$G,3,0),IFERROR(VLOOKUP($B775,$D:$K,3,0),"")),IFERROR(VLOOKUP($C775,INSUMOS!$A:$D,3,0),IFERROR(VLOOKUP($C775,COTAÇÕES!$B:$I,3,0),(VLOOKUP($C775,'INSUMO SINAPI - SP'!$C:$F,3,0)))))</f>
        <v>UN</v>
      </c>
      <c r="G775" s="511">
        <v>1</v>
      </c>
      <c r="H775" s="512">
        <f>IF($C775="",IFERROR(VLOOKUP($B775,SERVIÇOS!$B:$G,6,0),IFERROR(VLOOKUP($B775,$D:$K,8,0),"")),IFERROR(VLOOKUP($C775,INSUMOS!$A:$D,4,0),IFERROR(VLOOKUP($C775,COTAÇÕES!$B:$I,7,0),(VLOOKUP($C775,'INSUMO SINAPI - SP'!$C:$F,4,0)))))</f>
        <v>16.57</v>
      </c>
      <c r="I775" s="513">
        <f>TRUNC(IF($C775="",IFERROR(VLOOKUP($B775,SERVIÇOS!$B:$G,4,0),IFERROR(VLOOKUP($B775,$D:$K,6,0),)),IFERROR(VLOOKUP($C775,INSUMOS!$A:$D,4,0),IFERROR(VLOOKUP($C775,COTAÇÕES!$B:$I,7,0),(VLOOKUP($C775,'INSUMO SINAPI - SP'!$C:$F,4,0)))))*$G775,2)</f>
        <v>11.28</v>
      </c>
      <c r="J775" s="513">
        <f>TRUNC(IF($C775="",IFERROR(VLOOKUP($B775,SERVIÇOS!$B:$G,5,0),IFERROR(VLOOKUP($B775,$D:$K,7,0),)),0)*$G775,2)</f>
        <v>5.29</v>
      </c>
      <c r="K775" s="514">
        <f>I775+J775</f>
        <v>16.57</v>
      </c>
      <c r="L775" s="515"/>
      <c r="M775" s="471"/>
      <c r="N775" s="516"/>
      <c r="Q775" s="472"/>
      <c r="R775" s="472"/>
      <c r="S775" s="472"/>
      <c r="T775" s="472"/>
      <c r="U775" s="472"/>
      <c r="V775" s="472"/>
      <c r="W775" s="472"/>
      <c r="X775" s="472"/>
      <c r="Y775" s="472"/>
    </row>
    <row r="776" spans="1:25" x14ac:dyDescent="0.25">
      <c r="A776" s="463"/>
      <c r="B776" s="498"/>
      <c r="C776" s="498"/>
      <c r="D776" s="499" t="s">
        <v>12182</v>
      </c>
      <c r="E776" s="555" t="s">
        <v>13021</v>
      </c>
      <c r="F776" s="501" t="s">
        <v>580</v>
      </c>
      <c r="G776" s="502"/>
      <c r="H776" s="503"/>
      <c r="I776" s="504">
        <f>ROUND(SUM(I777:I779),2)</f>
        <v>154.91</v>
      </c>
      <c r="J776" s="504">
        <f>ROUND(SUM(J777:J779),2)</f>
        <v>99.08</v>
      </c>
      <c r="K776" s="504">
        <f>+J776+I776</f>
        <v>253.99</v>
      </c>
      <c r="L776" s="523" t="s">
        <v>13022</v>
      </c>
      <c r="M776" s="471"/>
      <c r="N776" s="505"/>
      <c r="Q776" s="472"/>
      <c r="R776" s="472"/>
      <c r="S776" s="472"/>
      <c r="T776" s="472"/>
      <c r="U776" s="472"/>
      <c r="V776" s="472"/>
      <c r="W776" s="472"/>
      <c r="X776" s="472"/>
      <c r="Y776" s="472"/>
    </row>
    <row r="777" spans="1:25" x14ac:dyDescent="0.25">
      <c r="A777" s="463"/>
      <c r="B777" s="506">
        <v>88264</v>
      </c>
      <c r="C777" s="507"/>
      <c r="D777" s="508"/>
      <c r="E777" s="509" t="str">
        <f>IF($C777="",IFERROR(VLOOKUP($B777,SERVIÇOS!$B:$G,2,0),IFERROR(VLOOKUP($B777,$D:$K,2,0),"")),IFERROR(VLOOKUP($C777,INSUMOS!$A:$D,2,0),IFERROR(VLOOKUP($C777,COTAÇÕES!$B:$I,2,0),(VLOOKUP($C777,'INSUMO SINAPI - SP'!$C:$F,2,0)))))</f>
        <v>ELETRICISTA COM ENCARGOS COMPLEMENTARES</v>
      </c>
      <c r="F777" s="510" t="str">
        <f>IF($C777="",IFERROR(VLOOKUP($B777,SERVIÇOS!$B:$G,3,0),IFERROR(VLOOKUP($B777,$D:$K,3,0),"")),IFERROR(VLOOKUP($C777,INSUMOS!$A:$D,3,0),IFERROR(VLOOKUP($C777,COTAÇÕES!$B:$I,3,0),(VLOOKUP($C777,'INSUMO SINAPI - SP'!$C:$F,3,0)))))</f>
        <v>H</v>
      </c>
      <c r="G777" s="511">
        <v>2</v>
      </c>
      <c r="H777" s="512">
        <f>IF($C777="",IFERROR(VLOOKUP($B777,SERVIÇOS!$B:$G,6,0),IFERROR(VLOOKUP($B777,$D:$K,8,0),"")),IFERROR(VLOOKUP($C777,INSUMOS!$A:$D,4,0),IFERROR(VLOOKUP($C777,COTAÇÕES!$B:$I,7,0),(VLOOKUP($C777,'INSUMO SINAPI - SP'!$C:$F,4,0)))))</f>
        <v>37.369999999999997</v>
      </c>
      <c r="I777" s="513">
        <f>TRUNC(IF($C777="",IFERROR(VLOOKUP($B777,SERVIÇOS!$B:$G,4,0),IFERROR(VLOOKUP($B777,$D:$K,6,0),)),IFERROR(VLOOKUP($C777,INSUMOS!$A:$D,4,0),IFERROR(VLOOKUP($C777,COTAÇÕES!$B:$I,7,0),(VLOOKUP($C777,'INSUMO SINAPI - SP'!$C:$F,4,0)))))*$G777,2)</f>
        <v>18.62</v>
      </c>
      <c r="J777" s="513">
        <f>TRUNC(IF($C777="",IFERROR(VLOOKUP($B777,SERVIÇOS!$B:$G,5,0),IFERROR(VLOOKUP($B777,$D:$K,7,0),)),0)*$G777,2)</f>
        <v>56.12</v>
      </c>
      <c r="K777" s="514">
        <f>I777+J777</f>
        <v>74.739999999999995</v>
      </c>
      <c r="L777" s="515"/>
      <c r="M777" s="471"/>
      <c r="N777" s="516"/>
      <c r="Q777" s="472"/>
      <c r="R777" s="472"/>
      <c r="S777" s="472"/>
      <c r="T777" s="472"/>
      <c r="U777" s="472"/>
      <c r="V777" s="472"/>
      <c r="W777" s="472"/>
      <c r="X777" s="472"/>
      <c r="Y777" s="472"/>
    </row>
    <row r="778" spans="1:25" x14ac:dyDescent="0.25">
      <c r="A778" s="463"/>
      <c r="B778" s="506">
        <v>88247</v>
      </c>
      <c r="C778" s="507"/>
      <c r="D778" s="508"/>
      <c r="E778" s="509" t="str">
        <f>IF($C778="",IFERROR(VLOOKUP($B778,SERVIÇOS!$B:$G,2,0),IFERROR(VLOOKUP($B778,$D:$K,2,0),"")),IFERROR(VLOOKUP($C778,INSUMOS!$A:$D,2,0),IFERROR(VLOOKUP($C778,COTAÇÕES!$B:$I,2,0),(VLOOKUP($C778,'INSUMO SINAPI - SP'!$C:$F,2,0)))))</f>
        <v>AUXILIAR DE ELETRICISTA COM ENCARGOS COMPLEMENTARES</v>
      </c>
      <c r="F778" s="510" t="str">
        <f>IF($C778="",IFERROR(VLOOKUP($B778,SERVIÇOS!$B:$G,3,0),IFERROR(VLOOKUP($B778,$D:$K,3,0),"")),IFERROR(VLOOKUP($C778,INSUMOS!$A:$D,3,0),IFERROR(VLOOKUP($C778,COTAÇÕES!$B:$I,3,0),(VLOOKUP($C778,'INSUMO SINAPI - SP'!$C:$F,3,0)))))</f>
        <v>H</v>
      </c>
      <c r="G778" s="511">
        <v>2</v>
      </c>
      <c r="H778" s="512">
        <f>IF($C778="",IFERROR(VLOOKUP($B778,SERVIÇOS!$B:$G,6,0),IFERROR(VLOOKUP($B778,$D:$K,8,0),"")),IFERROR(VLOOKUP($C778,INSUMOS!$A:$D,4,0),IFERROR(VLOOKUP($C778,COTAÇÕES!$B:$I,7,0),(VLOOKUP($C778,'INSUMO SINAPI - SP'!$C:$F,4,0)))))</f>
        <v>30.8</v>
      </c>
      <c r="I778" s="513">
        <f>TRUNC(IF($C778="",IFERROR(VLOOKUP($B778,SERVIÇOS!$B:$G,4,0),IFERROR(VLOOKUP($B778,$D:$K,6,0),)),IFERROR(VLOOKUP($C778,INSUMOS!$A:$D,4,0),IFERROR(VLOOKUP($C778,COTAÇÕES!$B:$I,7,0),(VLOOKUP($C778,'INSUMO SINAPI - SP'!$C:$F,4,0)))))*$G778,2)</f>
        <v>18.64</v>
      </c>
      <c r="J778" s="513">
        <f>TRUNC(IF($C778="",IFERROR(VLOOKUP($B778,SERVIÇOS!$B:$G,5,0),IFERROR(VLOOKUP($B778,$D:$K,7,0),)),0)*$G778,2)</f>
        <v>42.96</v>
      </c>
      <c r="K778" s="514">
        <f>I778+J778</f>
        <v>61.6</v>
      </c>
      <c r="L778" s="515"/>
      <c r="M778" s="471"/>
      <c r="N778" s="516"/>
      <c r="Q778" s="472"/>
      <c r="R778" s="472"/>
      <c r="S778" s="472"/>
      <c r="T778" s="472"/>
      <c r="U778" s="472"/>
      <c r="V778" s="472"/>
      <c r="W778" s="472"/>
      <c r="X778" s="472"/>
      <c r="Y778" s="472"/>
    </row>
    <row r="779" spans="1:25" x14ac:dyDescent="0.25">
      <c r="A779" s="463"/>
      <c r="B779" s="506"/>
      <c r="C779" s="507">
        <v>2373</v>
      </c>
      <c r="D779" s="508"/>
      <c r="E779" s="509" t="str">
        <f>IF($C779="",IFERROR(VLOOKUP($B779,SERVIÇOS!$B:$G,2,0),IFERROR(VLOOKUP($B779,$D:$K,2,0),"")),IFERROR(VLOOKUP($C779,INSUMOS!$A:$D,2,0),IFERROR(VLOOKUP($C779,COTAÇÕES!$B:$I,2,0),(VLOOKUP($C779,'INSUMO SINAPI - SP'!$C:$F,2,0)))))</f>
        <v>DISJUNTOR TIPO NEMA, TRIPOLAR 60 ATE 100 A, TENSAO MAXIMA DE 415 V</v>
      </c>
      <c r="F779" s="510" t="str">
        <f>IF($C779="",IFERROR(VLOOKUP($B779,SERVIÇOS!$B:$G,3,0),IFERROR(VLOOKUP($B779,$D:$K,3,0),"")),IFERROR(VLOOKUP($C779,INSUMOS!$A:$D,3,0),IFERROR(VLOOKUP($C779,COTAÇÕES!$B:$I,3,0),(VLOOKUP($C779,'INSUMO SINAPI - SP'!$C:$F,3,0)))))</f>
        <v>UN</v>
      </c>
      <c r="G779" s="511">
        <v>1</v>
      </c>
      <c r="H779" s="512">
        <f>IF($C779="",IFERROR(VLOOKUP($B779,SERVIÇOS!$B:$G,6,0),IFERROR(VLOOKUP($B779,$D:$K,8,0),"")),IFERROR(VLOOKUP($C779,INSUMOS!$A:$D,4,0),IFERROR(VLOOKUP($C779,COTAÇÕES!$B:$I,7,0),(VLOOKUP($C779,'INSUMO SINAPI - SP'!$C:$F,4,0)))))</f>
        <v>117.65</v>
      </c>
      <c r="I779" s="513">
        <f>TRUNC(IF($C779="",IFERROR(VLOOKUP($B779,SERVIÇOS!$B:$G,4,0),IFERROR(VLOOKUP($B779,$D:$K,6,0),)),IFERROR(VLOOKUP($C779,INSUMOS!$A:$D,4,0),IFERROR(VLOOKUP($C779,COTAÇÕES!$B:$I,7,0),(VLOOKUP($C779,'INSUMO SINAPI - SP'!$C:$F,4,0)))))*$G779,2)</f>
        <v>117.65</v>
      </c>
      <c r="J779" s="513">
        <f>TRUNC(IF($C779="",IFERROR(VLOOKUP($B779,SERVIÇOS!$B:$G,5,0),IFERROR(VLOOKUP($B779,$D:$K,7,0),)),0)*$G779,2)</f>
        <v>0</v>
      </c>
      <c r="K779" s="514">
        <f>I779+J779</f>
        <v>117.65</v>
      </c>
      <c r="L779" s="517"/>
      <c r="M779" s="471"/>
      <c r="N779" s="516"/>
      <c r="Q779" s="472"/>
      <c r="R779" s="472"/>
      <c r="S779" s="472"/>
      <c r="T779" s="472"/>
      <c r="U779" s="472"/>
      <c r="V779" s="472"/>
      <c r="W779" s="472"/>
      <c r="X779" s="472"/>
      <c r="Y779" s="472"/>
    </row>
    <row r="780" spans="1:25" x14ac:dyDescent="0.25">
      <c r="A780" s="463"/>
      <c r="B780" s="498"/>
      <c r="C780" s="498"/>
      <c r="D780" s="499" t="s">
        <v>12181</v>
      </c>
      <c r="E780" s="555" t="s">
        <v>13023</v>
      </c>
      <c r="F780" s="501" t="s">
        <v>580</v>
      </c>
      <c r="G780" s="502"/>
      <c r="H780" s="503"/>
      <c r="I780" s="504">
        <f>ROUND(SUM(I781:I783),2)</f>
        <v>222.8</v>
      </c>
      <c r="J780" s="504">
        <f>ROUND(SUM(J781:J783),2)</f>
        <v>47.57</v>
      </c>
      <c r="K780" s="504">
        <f>+J780+I780</f>
        <v>270.37</v>
      </c>
      <c r="L780" s="523" t="s">
        <v>13024</v>
      </c>
      <c r="M780" s="471"/>
      <c r="N780" s="505"/>
      <c r="Q780" s="472"/>
      <c r="R780" s="472"/>
      <c r="S780" s="472"/>
      <c r="T780" s="472"/>
      <c r="U780" s="472"/>
      <c r="V780" s="472"/>
      <c r="W780" s="472"/>
      <c r="X780" s="472"/>
      <c r="Y780" s="472"/>
    </row>
    <row r="781" spans="1:25" x14ac:dyDescent="0.25">
      <c r="A781" s="463"/>
      <c r="B781" s="506">
        <v>88264</v>
      </c>
      <c r="C781" s="507"/>
      <c r="D781" s="508"/>
      <c r="E781" s="509" t="str">
        <f>IF($C781="",IFERROR(VLOOKUP($B781,SERVIÇOS!$B:$G,2,0),IFERROR(VLOOKUP($B781,$D:$K,2,0),"")),IFERROR(VLOOKUP($C781,INSUMOS!$A:$D,2,0),IFERROR(VLOOKUP($C781,COTAÇÕES!$B:$I,2,0),(VLOOKUP($C781,'INSUMO SINAPI - SP'!$C:$F,2,0)))))</f>
        <v>ELETRICISTA COM ENCARGOS COMPLEMENTARES</v>
      </c>
      <c r="F781" s="510" t="str">
        <f>IF($C781="",IFERROR(VLOOKUP($B781,SERVIÇOS!$B:$G,3,0),IFERROR(VLOOKUP($B781,$D:$K,3,0),"")),IFERROR(VLOOKUP($C781,INSUMOS!$A:$D,3,0),IFERROR(VLOOKUP($C781,COTAÇÕES!$B:$I,3,0),(VLOOKUP($C781,'INSUMO SINAPI - SP'!$C:$F,3,0)))))</f>
        <v>H</v>
      </c>
      <c r="G781" s="511">
        <v>1</v>
      </c>
      <c r="H781" s="512">
        <f>IF($C781="",IFERROR(VLOOKUP($B781,SERVIÇOS!$B:$G,6,0),IFERROR(VLOOKUP($B781,$D:$K,8,0),"")),IFERROR(VLOOKUP($C781,INSUMOS!$A:$D,4,0),IFERROR(VLOOKUP($C781,COTAÇÕES!$B:$I,7,0),(VLOOKUP($C781,'INSUMO SINAPI - SP'!$C:$F,4,0)))))</f>
        <v>37.369999999999997</v>
      </c>
      <c r="I781" s="513">
        <f>TRUNC(IF($C781="",IFERROR(VLOOKUP($B781,SERVIÇOS!$B:$G,4,0),IFERROR(VLOOKUP($B781,$D:$K,6,0),)),IFERROR(VLOOKUP($C781,INSUMOS!$A:$D,4,0),IFERROR(VLOOKUP($C781,COTAÇÕES!$B:$I,7,0),(VLOOKUP($C781,'INSUMO SINAPI - SP'!$C:$F,4,0)))))*$G781,2)</f>
        <v>9.31</v>
      </c>
      <c r="J781" s="513">
        <f>TRUNC(IF($C781="",IFERROR(VLOOKUP($B781,SERVIÇOS!$B:$G,5,0),IFERROR(VLOOKUP($B781,$D:$K,7,0),)),0)*$G781,2)</f>
        <v>28.06</v>
      </c>
      <c r="K781" s="514">
        <f>I781+J781</f>
        <v>37.369999999999997</v>
      </c>
      <c r="L781" s="515"/>
      <c r="M781" s="471"/>
      <c r="N781" s="516"/>
      <c r="Q781" s="472"/>
      <c r="R781" s="472"/>
      <c r="S781" s="472"/>
      <c r="T781" s="472"/>
      <c r="U781" s="472"/>
      <c r="V781" s="472"/>
      <c r="W781" s="472"/>
      <c r="X781" s="472"/>
      <c r="Y781" s="472"/>
    </row>
    <row r="782" spans="1:25" x14ac:dyDescent="0.25">
      <c r="A782" s="463"/>
      <c r="B782" s="506">
        <v>88316</v>
      </c>
      <c r="C782" s="507"/>
      <c r="D782" s="508"/>
      <c r="E782" s="509" t="str">
        <f>IF($C782="",IFERROR(VLOOKUP($B782,SERVIÇOS!$B:$G,2,0),IFERROR(VLOOKUP($B782,$D:$K,2,0),"")),IFERROR(VLOOKUP($C782,INSUMOS!$A:$D,2,0),IFERROR(VLOOKUP($C782,COTAÇÕES!$B:$I,2,0),(VLOOKUP($C782,'INSUMO SINAPI - SP'!$C:$F,2,0)))))</f>
        <v>SERVENTE COM ENCARGOS COMPLEMENTARES</v>
      </c>
      <c r="F782" s="510" t="str">
        <f>IF($C782="",IFERROR(VLOOKUP($B782,SERVIÇOS!$B:$G,3,0),IFERROR(VLOOKUP($B782,$D:$K,3,0),"")),IFERROR(VLOOKUP($C782,INSUMOS!$A:$D,3,0),IFERROR(VLOOKUP($C782,COTAÇÕES!$B:$I,3,0),(VLOOKUP($C782,'INSUMO SINAPI - SP'!$C:$F,3,0)))))</f>
        <v>H</v>
      </c>
      <c r="G782" s="511">
        <v>1</v>
      </c>
      <c r="H782" s="512">
        <f>IF($C782="",IFERROR(VLOOKUP($B782,SERVIÇOS!$B:$G,6,0),IFERROR(VLOOKUP($B782,$D:$K,8,0),"")),IFERROR(VLOOKUP($C782,INSUMOS!$A:$D,4,0),IFERROR(VLOOKUP($C782,COTAÇÕES!$B:$I,7,0),(VLOOKUP($C782,'INSUMO SINAPI - SP'!$C:$F,4,0)))))</f>
        <v>28.71</v>
      </c>
      <c r="I782" s="513">
        <f>TRUNC(IF($C782="",IFERROR(VLOOKUP($B782,SERVIÇOS!$B:$G,4,0),IFERROR(VLOOKUP($B782,$D:$K,6,0),)),IFERROR(VLOOKUP($C782,INSUMOS!$A:$D,4,0),IFERROR(VLOOKUP($C782,COTAÇÕES!$B:$I,7,0),(VLOOKUP($C782,'INSUMO SINAPI - SP'!$C:$F,4,0)))))*$G782,2)</f>
        <v>9.1999999999999993</v>
      </c>
      <c r="J782" s="513">
        <f>TRUNC(IF($C782="",IFERROR(VLOOKUP($B782,SERVIÇOS!$B:$G,5,0),IFERROR(VLOOKUP($B782,$D:$K,7,0),)),0)*$G782,2)</f>
        <v>19.510000000000002</v>
      </c>
      <c r="K782" s="514">
        <f>I782+J782</f>
        <v>28.71</v>
      </c>
      <c r="L782" s="515"/>
      <c r="M782" s="471"/>
      <c r="N782" s="516"/>
      <c r="Q782" s="472"/>
      <c r="R782" s="472"/>
      <c r="S782" s="472"/>
      <c r="T782" s="472"/>
      <c r="U782" s="472"/>
      <c r="V782" s="472"/>
      <c r="W782" s="472"/>
      <c r="X782" s="472"/>
      <c r="Y782" s="472"/>
    </row>
    <row r="783" spans="1:25" ht="24" x14ac:dyDescent="0.25">
      <c r="A783" s="463"/>
      <c r="B783" s="506"/>
      <c r="C783" s="507" t="s">
        <v>13025</v>
      </c>
      <c r="D783" s="508"/>
      <c r="E783" s="518" t="s">
        <v>13026</v>
      </c>
      <c r="F783" s="519" t="s">
        <v>580</v>
      </c>
      <c r="G783" s="511">
        <v>1</v>
      </c>
      <c r="H783" s="520">
        <v>204.29</v>
      </c>
      <c r="I783" s="520">
        <f>TRUNC(H783*G783,2)</f>
        <v>204.29</v>
      </c>
      <c r="J783" s="521"/>
      <c r="K783" s="522">
        <f>I783+J783</f>
        <v>204.29</v>
      </c>
      <c r="L783" s="517" t="s">
        <v>12668</v>
      </c>
      <c r="M783" s="471"/>
      <c r="N783" s="516"/>
      <c r="Q783" s="472"/>
      <c r="R783" s="472"/>
      <c r="S783" s="472"/>
      <c r="T783" s="472"/>
      <c r="U783" s="472"/>
      <c r="V783" s="472"/>
      <c r="W783" s="472"/>
      <c r="X783" s="472"/>
      <c r="Y783" s="472"/>
    </row>
    <row r="784" spans="1:25" x14ac:dyDescent="0.25">
      <c r="A784" s="463"/>
      <c r="B784" s="498"/>
      <c r="C784" s="498"/>
      <c r="D784" s="499" t="s">
        <v>12191</v>
      </c>
      <c r="E784" s="555" t="s">
        <v>13027</v>
      </c>
      <c r="F784" s="501" t="s">
        <v>664</v>
      </c>
      <c r="G784" s="502"/>
      <c r="H784" s="503"/>
      <c r="I784" s="504">
        <f>ROUND(SUM(I785:I790),2)</f>
        <v>353.89</v>
      </c>
      <c r="J784" s="504">
        <f>ROUND(SUM(J785:J790),2)</f>
        <v>82.48</v>
      </c>
      <c r="K784" s="504">
        <f>+J784+I784</f>
        <v>436.37</v>
      </c>
      <c r="L784" s="523"/>
      <c r="M784" s="471"/>
      <c r="N784" s="505"/>
      <c r="Q784" s="472"/>
      <c r="R784" s="472"/>
      <c r="S784" s="472"/>
      <c r="T784" s="472"/>
      <c r="U784" s="472"/>
      <c r="V784" s="472"/>
      <c r="W784" s="472"/>
      <c r="X784" s="472"/>
      <c r="Y784" s="472"/>
    </row>
    <row r="785" spans="1:25" x14ac:dyDescent="0.25">
      <c r="A785" s="463"/>
      <c r="B785" s="506">
        <v>88262</v>
      </c>
      <c r="C785" s="507"/>
      <c r="D785" s="508"/>
      <c r="E785" s="509" t="str">
        <f>IF($C785="",IFERROR(VLOOKUP($B785,SERVIÇOS!$B:$G,2,0),IFERROR(VLOOKUP($B785,$D:$K,2,0),"")),IFERROR(VLOOKUP($C785,INSUMOS!$A:$D,2,0),IFERROR(VLOOKUP($C785,COTAÇÕES!$B:$I,2,0),(VLOOKUP($C785,'INSUMO SINAPI - SP'!$C:$F,2,0)))))</f>
        <v>CARPINTEIRO DE FORMAS COM ENCARGOS COMPLEMENTARES</v>
      </c>
      <c r="F785" s="510" t="str">
        <f>IF($C785="",IFERROR(VLOOKUP($B785,SERVIÇOS!$B:$G,3,0),IFERROR(VLOOKUP($B785,$D:$K,3,0),"")),IFERROR(VLOOKUP($C785,INSUMOS!$A:$D,3,0),IFERROR(VLOOKUP($C785,COTAÇÕES!$B:$I,3,0),(VLOOKUP($C785,'INSUMO SINAPI - SP'!$C:$F,3,0)))))</f>
        <v>H</v>
      </c>
      <c r="G785" s="511">
        <v>2.31E-3</v>
      </c>
      <c r="H785" s="512">
        <f>IF($C785="",IFERROR(VLOOKUP($B785,SERVIÇOS!$B:$G,6,0),IFERROR(VLOOKUP($B785,$D:$K,8,0),"")),IFERROR(VLOOKUP($C785,INSUMOS!$A:$D,4,0),IFERROR(VLOOKUP($C785,COTAÇÕES!$B:$I,7,0),(VLOOKUP($C785,'INSUMO SINAPI - SP'!$C:$F,4,0)))))</f>
        <v>36.43</v>
      </c>
      <c r="I785" s="513">
        <f>TRUNC(IF($C785="",IFERROR(VLOOKUP($B785,SERVIÇOS!$B:$G,4,0),IFERROR(VLOOKUP($B785,$D:$K,6,0),)),IFERROR(VLOOKUP($C785,INSUMOS!$A:$D,4,0),IFERROR(VLOOKUP($C785,COTAÇÕES!$B:$I,7,0),(VLOOKUP($C785,'INSUMO SINAPI - SP'!$C:$F,4,0)))))*$G785,2)</f>
        <v>0.02</v>
      </c>
      <c r="J785" s="513">
        <f>TRUNC(IF($C785="",IFERROR(VLOOKUP($B785,SERVIÇOS!$B:$G,5,0),IFERROR(VLOOKUP($B785,$D:$K,7,0),)),0)*$G785,2)</f>
        <v>0.06</v>
      </c>
      <c r="K785" s="514">
        <f t="shared" ref="K785:K790" si="28">I785+J785</f>
        <v>0.08</v>
      </c>
      <c r="L785" s="515"/>
      <c r="M785" s="471"/>
      <c r="N785" s="516"/>
      <c r="Q785" s="472"/>
      <c r="R785" s="472"/>
      <c r="S785" s="472"/>
      <c r="T785" s="472"/>
      <c r="U785" s="472"/>
      <c r="V785" s="472"/>
      <c r="W785" s="472"/>
      <c r="X785" s="472"/>
      <c r="Y785" s="472"/>
    </row>
    <row r="786" spans="1:25" x14ac:dyDescent="0.25">
      <c r="A786" s="463"/>
      <c r="B786" s="506">
        <v>88239</v>
      </c>
      <c r="C786" s="507"/>
      <c r="D786" s="508"/>
      <c r="E786" s="509" t="str">
        <f>IF($C786="",IFERROR(VLOOKUP($B786,SERVIÇOS!$B:$G,2,0),IFERROR(VLOOKUP($B786,$D:$K,2,0),"")),IFERROR(VLOOKUP($C786,INSUMOS!$A:$D,2,0),IFERROR(VLOOKUP($C786,COTAÇÕES!$B:$I,2,0),(VLOOKUP($C786,'INSUMO SINAPI - SP'!$C:$F,2,0)))))</f>
        <v>AJUDANTE DE CARPINTEIRO COM ENCARGOS COMPLEMENTARES</v>
      </c>
      <c r="F786" s="510" t="str">
        <f>IF($C786="",IFERROR(VLOOKUP($B786,SERVIÇOS!$B:$G,3,0),IFERROR(VLOOKUP($B786,$D:$K,3,0),"")),IFERROR(VLOOKUP($C786,INSUMOS!$A:$D,3,0),IFERROR(VLOOKUP($C786,COTAÇÕES!$B:$I,3,0),(VLOOKUP($C786,'INSUMO SINAPI - SP'!$C:$F,3,0)))))</f>
        <v>H</v>
      </c>
      <c r="G786" s="511">
        <v>4.55E-4</v>
      </c>
      <c r="H786" s="512">
        <f>IF($C786="",IFERROR(VLOOKUP($B786,SERVIÇOS!$B:$G,6,0),IFERROR(VLOOKUP($B786,$D:$K,8,0),"")),IFERROR(VLOOKUP($C786,INSUMOS!$A:$D,4,0),IFERROR(VLOOKUP($C786,COTAÇÕES!$B:$I,7,0),(VLOOKUP($C786,'INSUMO SINAPI - SP'!$C:$F,4,0)))))</f>
        <v>30.08</v>
      </c>
      <c r="I786" s="513">
        <f>TRUNC(IF($C786="",IFERROR(VLOOKUP($B786,SERVIÇOS!$B:$G,4,0),IFERROR(VLOOKUP($B786,$D:$K,6,0),)),IFERROR(VLOOKUP($C786,INSUMOS!$A:$D,4,0),IFERROR(VLOOKUP($C786,COTAÇÕES!$B:$I,7,0),(VLOOKUP($C786,'INSUMO SINAPI - SP'!$C:$F,4,0)))))*$G786,2)</f>
        <v>0</v>
      </c>
      <c r="J786" s="513">
        <f>TRUNC(IF($C786="",IFERROR(VLOOKUP($B786,SERVIÇOS!$B:$G,5,0),IFERROR(VLOOKUP($B786,$D:$K,7,0),)),0)*$G786,2)</f>
        <v>0</v>
      </c>
      <c r="K786" s="514">
        <f t="shared" si="28"/>
        <v>0</v>
      </c>
      <c r="L786" s="515"/>
      <c r="M786" s="471"/>
      <c r="N786" s="516"/>
      <c r="Q786" s="472"/>
      <c r="R786" s="472"/>
      <c r="S786" s="472"/>
      <c r="T786" s="472"/>
      <c r="U786" s="472"/>
      <c r="V786" s="472"/>
      <c r="W786" s="472"/>
      <c r="X786" s="472"/>
      <c r="Y786" s="472"/>
    </row>
    <row r="787" spans="1:25" ht="24" x14ac:dyDescent="0.25">
      <c r="A787" s="463"/>
      <c r="B787" s="506">
        <v>94963</v>
      </c>
      <c r="C787" s="507"/>
      <c r="D787" s="508"/>
      <c r="E787" s="509" t="str">
        <f>IF($C787="",IFERROR(VLOOKUP($B787,SERVIÇOS!$B:$G,2,0),IFERROR(VLOOKUP($B787,$D:$K,2,0),"")),IFERROR(VLOOKUP($C787,INSUMOS!$A:$D,2,0),IFERROR(VLOOKUP($C787,COTAÇÕES!$B:$I,2,0),(VLOOKUP($C787,'INSUMO SINAPI - SP'!$C:$F,2,0)))))</f>
        <v>CONCRETO FCK = 15MPA, TRAÇO 1:3,4:3,5 (EM MASSA SECA DE CIMENTO/ AREIA MÉDIA/ BRITA 1) - PREPARO MECÂNICO COM BETONEIRA 400 L. AF_05/2021</v>
      </c>
      <c r="F787" s="510" t="str">
        <f>IF($C787="",IFERROR(VLOOKUP($B787,SERVIÇOS!$B:$G,3,0),IFERROR(VLOOKUP($B787,$D:$K,3,0),"")),IFERROR(VLOOKUP($C787,INSUMOS!$A:$D,3,0),IFERROR(VLOOKUP($C787,COTAÇÕES!$B:$I,3,0),(VLOOKUP($C787,'INSUMO SINAPI - SP'!$C:$F,3,0)))))</f>
        <v>M3</v>
      </c>
      <c r="G787" s="511">
        <v>1</v>
      </c>
      <c r="H787" s="512">
        <f>IF($C787="",IFERROR(VLOOKUP($B787,SERVIÇOS!$B:$G,6,0),IFERROR(VLOOKUP($B787,$D:$K,8,0),"")),IFERROR(VLOOKUP($C787,INSUMOS!$A:$D,4,0),IFERROR(VLOOKUP($C787,COTAÇÕES!$B:$I,7,0),(VLOOKUP($C787,'INSUMO SINAPI - SP'!$C:$F,4,0)))))</f>
        <v>435.24</v>
      </c>
      <c r="I787" s="513">
        <f>TRUNC(IF($C787="",IFERROR(VLOOKUP($B787,SERVIÇOS!$B:$G,4,0),IFERROR(VLOOKUP($B787,$D:$K,6,0),)),IFERROR(VLOOKUP($C787,INSUMOS!$A:$D,4,0),IFERROR(VLOOKUP($C787,COTAÇÕES!$B:$I,7,0),(VLOOKUP($C787,'INSUMO SINAPI - SP'!$C:$F,4,0)))))*$G787,2)</f>
        <v>353.12</v>
      </c>
      <c r="J787" s="513">
        <f>TRUNC(IF($C787="",IFERROR(VLOOKUP($B787,SERVIÇOS!$B:$G,5,0),IFERROR(VLOOKUP($B787,$D:$K,7,0),)),0)*$G787,2)</f>
        <v>82.12</v>
      </c>
      <c r="K787" s="514">
        <f t="shared" si="28"/>
        <v>435.24</v>
      </c>
      <c r="L787" s="515"/>
      <c r="M787" s="471"/>
      <c r="N787" s="516"/>
      <c r="Q787" s="472"/>
      <c r="R787" s="472"/>
      <c r="S787" s="472"/>
      <c r="T787" s="472"/>
      <c r="U787" s="472"/>
      <c r="V787" s="472"/>
      <c r="W787" s="472"/>
      <c r="X787" s="472"/>
      <c r="Y787" s="472"/>
    </row>
    <row r="788" spans="1:25" x14ac:dyDescent="0.25">
      <c r="A788" s="463"/>
      <c r="B788" s="506"/>
      <c r="C788" s="507">
        <v>4006</v>
      </c>
      <c r="D788" s="508"/>
      <c r="E788" s="509" t="str">
        <f>IF($C788="",IFERROR(VLOOKUP($B788,SERVIÇOS!$B:$G,2,0),IFERROR(VLOOKUP($B788,$D:$K,2,0),"")),IFERROR(VLOOKUP($C788,INSUMOS!$A:$D,2,0),IFERROR(VLOOKUP($C788,COTAÇÕES!$B:$I,2,0),(VLOOKUP($C788,'INSUMO SINAPI - SP'!$C:$F,2,0)))))</f>
        <v>MADEIRA SERRADA EM PINUS, MISTA OU EQUIVALENTE DA REGIAO - BRUTA</v>
      </c>
      <c r="F788" s="510" t="str">
        <f>IF($C788="",IFERROR(VLOOKUP($B788,SERVIÇOS!$B:$G,3,0),IFERROR(VLOOKUP($B788,$D:$K,3,0),"")),IFERROR(VLOOKUP($C788,INSUMOS!$A:$D,3,0),IFERROR(VLOOKUP($C788,COTAÇÕES!$B:$I,3,0),(VLOOKUP($C788,'INSUMO SINAPI - SP'!$C:$F,3,0)))))</f>
        <v>M3</v>
      </c>
      <c r="G788" s="511">
        <v>4.21875E-4</v>
      </c>
      <c r="H788" s="512">
        <f>IF($C788="",IFERROR(VLOOKUP($B788,SERVIÇOS!$B:$G,6,0),IFERROR(VLOOKUP($B788,$D:$K,8,0),"")),IFERROR(VLOOKUP($C788,INSUMOS!$A:$D,4,0),IFERROR(VLOOKUP($C788,COTAÇÕES!$B:$I,7,0),(VLOOKUP($C788,'INSUMO SINAPI - SP'!$C:$F,4,0)))))</f>
        <v>1574.6</v>
      </c>
      <c r="I788" s="513">
        <f>TRUNC(IF($C788="",IFERROR(VLOOKUP($B788,SERVIÇOS!$B:$G,4,0),IFERROR(VLOOKUP($B788,$D:$K,6,0),)),IFERROR(VLOOKUP($C788,INSUMOS!$A:$D,4,0),IFERROR(VLOOKUP($C788,COTAÇÕES!$B:$I,7,0),(VLOOKUP($C788,'INSUMO SINAPI - SP'!$C:$F,4,0)))))*$G788,2)</f>
        <v>0.66</v>
      </c>
      <c r="J788" s="513">
        <f>TRUNC(IF($C788="",IFERROR(VLOOKUP($B788,SERVIÇOS!$B:$G,5,0),IFERROR(VLOOKUP($B788,$D:$K,7,0),)),0)*$G788,2)</f>
        <v>0</v>
      </c>
      <c r="K788" s="514">
        <f t="shared" si="28"/>
        <v>0.66</v>
      </c>
      <c r="L788" s="517"/>
      <c r="M788" s="471"/>
      <c r="N788" s="516"/>
      <c r="Q788" s="472"/>
      <c r="R788" s="472"/>
      <c r="S788" s="472"/>
      <c r="T788" s="472"/>
      <c r="U788" s="472"/>
      <c r="V788" s="472"/>
      <c r="W788" s="472"/>
      <c r="X788" s="472"/>
      <c r="Y788" s="472"/>
    </row>
    <row r="789" spans="1:25" ht="24" x14ac:dyDescent="0.25">
      <c r="A789" s="463"/>
      <c r="B789" s="506">
        <v>91692</v>
      </c>
      <c r="C789" s="507"/>
      <c r="D789" s="508"/>
      <c r="E789" s="509" t="str">
        <f>IF($C789="",IFERROR(VLOOKUP($B789,SERVIÇOS!$B:$G,2,0),IFERROR(VLOOKUP($B789,$D:$K,2,0),"")),IFERROR(VLOOKUP($C789,INSUMOS!$A:$D,2,0),IFERROR(VLOOKUP($C789,COTAÇÕES!$B:$I,2,0),(VLOOKUP($C789,'INSUMO SINAPI - SP'!$C:$F,2,0)))))</f>
        <v>SERRA CIRCULAR DE BANCADA COM MOTOR ELÉTRICO POTÊNCIA DE 5HP, COM COIFA PARA DISCO 10" - CHP DIURNO. AF_08/2015</v>
      </c>
      <c r="F789" s="510" t="str">
        <f>IF($C789="",IFERROR(VLOOKUP($B789,SERVIÇOS!$B:$G,3,0),IFERROR(VLOOKUP($B789,$D:$K,3,0),"")),IFERROR(VLOOKUP($C789,INSUMOS!$A:$D,3,0),IFERROR(VLOOKUP($C789,COTAÇÕES!$B:$I,3,0),(VLOOKUP($C789,'INSUMO SINAPI - SP'!$C:$F,3,0)))))</f>
        <v>CHP</v>
      </c>
      <c r="G789" s="511">
        <v>5.7749999999999998E-3</v>
      </c>
      <c r="H789" s="512">
        <f>IF($C789="",IFERROR(VLOOKUP($B789,SERVIÇOS!$B:$G,6,0),IFERROR(VLOOKUP($B789,$D:$K,8,0),"")),IFERROR(VLOOKUP($C789,INSUMOS!$A:$D,4,0),IFERROR(VLOOKUP($C789,COTAÇÕES!$B:$I,7,0),(VLOOKUP($C789,'INSUMO SINAPI - SP'!$C:$F,4,0)))))</f>
        <v>36.119999999999997</v>
      </c>
      <c r="I789" s="513">
        <f>TRUNC(IF($C789="",IFERROR(VLOOKUP($B789,SERVIÇOS!$B:$G,4,0),IFERROR(VLOOKUP($B789,$D:$K,6,0),)),IFERROR(VLOOKUP($C789,INSUMOS!$A:$D,4,0),IFERROR(VLOOKUP($C789,COTAÇÕES!$B:$I,7,0),(VLOOKUP($C789,'INSUMO SINAPI - SP'!$C:$F,4,0)))))*$G789,2)</f>
        <v>0.05</v>
      </c>
      <c r="J789" s="513">
        <f>TRUNC(IF($C789="",IFERROR(VLOOKUP($B789,SERVIÇOS!$B:$G,5,0),IFERROR(VLOOKUP($B789,$D:$K,7,0),)),0)*$G789,2)</f>
        <v>0.15</v>
      </c>
      <c r="K789" s="514">
        <f t="shared" si="28"/>
        <v>0.2</v>
      </c>
      <c r="L789" s="515"/>
      <c r="M789" s="471"/>
      <c r="N789" s="516"/>
      <c r="Q789" s="472"/>
      <c r="R789" s="472"/>
      <c r="S789" s="472"/>
      <c r="T789" s="472"/>
      <c r="U789" s="472"/>
      <c r="V789" s="472"/>
      <c r="W789" s="472"/>
      <c r="X789" s="472"/>
      <c r="Y789" s="472"/>
    </row>
    <row r="790" spans="1:25" ht="24" x14ac:dyDescent="0.25">
      <c r="A790" s="463"/>
      <c r="B790" s="506">
        <v>91693</v>
      </c>
      <c r="C790" s="507"/>
      <c r="D790" s="508"/>
      <c r="E790" s="509" t="str">
        <f>IF($C790="",IFERROR(VLOOKUP($B790,SERVIÇOS!$B:$G,2,0),IFERROR(VLOOKUP($B790,$D:$K,2,0),"")),IFERROR(VLOOKUP($C790,INSUMOS!$A:$D,2,0),IFERROR(VLOOKUP($C790,COTAÇÕES!$B:$I,2,0),(VLOOKUP($C790,'INSUMO SINAPI - SP'!$C:$F,2,0)))))</f>
        <v>SERRA CIRCULAR DE BANCADA COM MOTOR ELÉTRICO POTÊNCIA DE 5HP, COM COIFA PARA DISCO 10" - CHI DIURNO. AF_08/2015</v>
      </c>
      <c r="F790" s="510" t="str">
        <f>IF($C790="",IFERROR(VLOOKUP($B790,SERVIÇOS!$B:$G,3,0),IFERROR(VLOOKUP($B790,$D:$K,3,0),"")),IFERROR(VLOOKUP($C790,INSUMOS!$A:$D,3,0),IFERROR(VLOOKUP($C790,COTAÇÕES!$B:$I,3,0),(VLOOKUP($C790,'INSUMO SINAPI - SP'!$C:$F,3,0)))))</f>
        <v>CHI</v>
      </c>
      <c r="G790" s="511">
        <v>5.7749999999999998E-3</v>
      </c>
      <c r="H790" s="512">
        <f>IF($C790="",IFERROR(VLOOKUP($B790,SERVIÇOS!$B:$G,6,0),IFERROR(VLOOKUP($B790,$D:$K,8,0),"")),IFERROR(VLOOKUP($C790,INSUMOS!$A:$D,4,0),IFERROR(VLOOKUP($C790,COTAÇÕES!$B:$I,7,0),(VLOOKUP($C790,'INSUMO SINAPI - SP'!$C:$F,4,0)))))</f>
        <v>35.1</v>
      </c>
      <c r="I790" s="513">
        <f>TRUNC(IF($C790="",IFERROR(VLOOKUP($B790,SERVIÇOS!$B:$G,4,0),IFERROR(VLOOKUP($B790,$D:$K,6,0),)),IFERROR(VLOOKUP($C790,INSUMOS!$A:$D,4,0),IFERROR(VLOOKUP($C790,COTAÇÕES!$B:$I,7,0),(VLOOKUP($C790,'INSUMO SINAPI - SP'!$C:$F,4,0)))))*$G790,2)</f>
        <v>0.04</v>
      </c>
      <c r="J790" s="513">
        <f>TRUNC(IF($C790="",IFERROR(VLOOKUP($B790,SERVIÇOS!$B:$G,5,0),IFERROR(VLOOKUP($B790,$D:$K,7,0),)),0)*$G790,2)</f>
        <v>0.15</v>
      </c>
      <c r="K790" s="514">
        <f t="shared" si="28"/>
        <v>0.19</v>
      </c>
      <c r="L790" s="515"/>
      <c r="M790" s="471"/>
      <c r="N790" s="516"/>
      <c r="Q790" s="472"/>
      <c r="R790" s="472"/>
      <c r="S790" s="472"/>
      <c r="T790" s="472"/>
      <c r="U790" s="472"/>
      <c r="V790" s="472"/>
      <c r="W790" s="472"/>
      <c r="X790" s="472"/>
      <c r="Y790" s="472"/>
    </row>
    <row r="791" spans="1:25" x14ac:dyDescent="0.25">
      <c r="A791" s="463"/>
      <c r="B791" s="498"/>
      <c r="C791" s="498"/>
      <c r="D791" s="499" t="s">
        <v>12277</v>
      </c>
      <c r="E791" s="555" t="s">
        <v>13028</v>
      </c>
      <c r="F791" s="501" t="s">
        <v>580</v>
      </c>
      <c r="G791" s="502"/>
      <c r="H791" s="503"/>
      <c r="I791" s="504">
        <f>ROUND(SUM(I792:I794),2)</f>
        <v>34.24</v>
      </c>
      <c r="J791" s="504">
        <f>ROUND(SUM(J792:J794),2)</f>
        <v>9.51</v>
      </c>
      <c r="K791" s="504">
        <f>+J791+I791</f>
        <v>43.75</v>
      </c>
      <c r="L791" s="523" t="s">
        <v>13029</v>
      </c>
      <c r="M791" s="471"/>
      <c r="N791" s="505"/>
      <c r="Q791" s="472"/>
      <c r="R791" s="472"/>
      <c r="S791" s="472"/>
      <c r="T791" s="472"/>
      <c r="U791" s="472"/>
      <c r="V791" s="472"/>
      <c r="W791" s="472"/>
      <c r="X791" s="472"/>
      <c r="Y791" s="472"/>
    </row>
    <row r="792" spans="1:25" x14ac:dyDescent="0.25">
      <c r="A792" s="463"/>
      <c r="B792" s="506"/>
      <c r="C792" s="507" t="s">
        <v>13030</v>
      </c>
      <c r="D792" s="508"/>
      <c r="E792" s="518" t="s">
        <v>13028</v>
      </c>
      <c r="F792" s="519" t="s">
        <v>580</v>
      </c>
      <c r="G792" s="511">
        <v>1</v>
      </c>
      <c r="H792" s="520">
        <v>30.54</v>
      </c>
      <c r="I792" s="520">
        <f>TRUNC(H792*G792,2)</f>
        <v>30.54</v>
      </c>
      <c r="J792" s="521"/>
      <c r="K792" s="522">
        <f>I792+J792</f>
        <v>30.54</v>
      </c>
      <c r="L792" s="517" t="s">
        <v>12901</v>
      </c>
      <c r="M792" s="471"/>
      <c r="N792" s="516"/>
      <c r="Q792" s="472"/>
      <c r="R792" s="472"/>
      <c r="S792" s="472"/>
      <c r="T792" s="472"/>
      <c r="U792" s="472"/>
      <c r="V792" s="472"/>
      <c r="W792" s="472"/>
      <c r="X792" s="472"/>
      <c r="Y792" s="472"/>
    </row>
    <row r="793" spans="1:25" x14ac:dyDescent="0.25">
      <c r="A793" s="463"/>
      <c r="B793" s="506">
        <v>88316</v>
      </c>
      <c r="C793" s="507"/>
      <c r="D793" s="508"/>
      <c r="E793" s="509" t="str">
        <f>IF($C793="",IFERROR(VLOOKUP($B793,SERVIÇOS!$B:$G,2,0),IFERROR(VLOOKUP($B793,$D:$K,2,0),"")),IFERROR(VLOOKUP($C793,INSUMOS!$A:$D,2,0),IFERROR(VLOOKUP($C793,COTAÇÕES!$B:$I,2,0),(VLOOKUP($C793,'INSUMO SINAPI - SP'!$C:$F,2,0)))))</f>
        <v>SERVENTE COM ENCARGOS COMPLEMENTARES</v>
      </c>
      <c r="F793" s="510" t="str">
        <f>IF($C793="",IFERROR(VLOOKUP($B793,SERVIÇOS!$B:$G,3,0),IFERROR(VLOOKUP($B793,$D:$K,3,0),"")),IFERROR(VLOOKUP($C793,INSUMOS!$A:$D,3,0),IFERROR(VLOOKUP($C793,COTAÇÕES!$B:$I,3,0),(VLOOKUP($C793,'INSUMO SINAPI - SP'!$C:$F,3,0)))))</f>
        <v>H</v>
      </c>
      <c r="G793" s="511">
        <v>0.2</v>
      </c>
      <c r="H793" s="512">
        <f>IF($C793="",IFERROR(VLOOKUP($B793,SERVIÇOS!$B:$G,6,0),IFERROR(VLOOKUP($B793,$D:$K,8,0),"")),IFERROR(VLOOKUP($C793,INSUMOS!$A:$D,4,0),IFERROR(VLOOKUP($C793,COTAÇÕES!$B:$I,7,0),(VLOOKUP($C793,'INSUMO SINAPI - SP'!$C:$F,4,0)))))</f>
        <v>28.71</v>
      </c>
      <c r="I793" s="513">
        <f>TRUNC(IF($C793="",IFERROR(VLOOKUP($B793,SERVIÇOS!$B:$G,4,0),IFERROR(VLOOKUP($B793,$D:$K,6,0),)),IFERROR(VLOOKUP($C793,INSUMOS!$A:$D,4,0),IFERROR(VLOOKUP($C793,COTAÇÕES!$B:$I,7,0),(VLOOKUP($C793,'INSUMO SINAPI - SP'!$C:$F,4,0)))))*$G793,2)</f>
        <v>1.84</v>
      </c>
      <c r="J793" s="513">
        <f>TRUNC(IF($C793="",IFERROR(VLOOKUP($B793,SERVIÇOS!$B:$G,5,0),IFERROR(VLOOKUP($B793,$D:$K,7,0),)),0)*$G793,2)</f>
        <v>3.9</v>
      </c>
      <c r="K793" s="514">
        <f>I793+J793</f>
        <v>5.74</v>
      </c>
      <c r="L793" s="515"/>
      <c r="M793" s="471"/>
      <c r="N793" s="516"/>
      <c r="Q793" s="472"/>
      <c r="R793" s="472"/>
      <c r="S793" s="472"/>
      <c r="T793" s="472"/>
      <c r="U793" s="472"/>
      <c r="V793" s="472"/>
      <c r="W793" s="472"/>
      <c r="X793" s="472"/>
      <c r="Y793" s="472"/>
    </row>
    <row r="794" spans="1:25" x14ac:dyDescent="0.25">
      <c r="A794" s="463"/>
      <c r="B794" s="506">
        <v>88264</v>
      </c>
      <c r="C794" s="507"/>
      <c r="D794" s="508"/>
      <c r="E794" s="509" t="str">
        <f>IF($C794="",IFERROR(VLOOKUP($B794,SERVIÇOS!$B:$G,2,0),IFERROR(VLOOKUP($B794,$D:$K,2,0),"")),IFERROR(VLOOKUP($C794,INSUMOS!$A:$D,2,0),IFERROR(VLOOKUP($C794,COTAÇÕES!$B:$I,2,0),(VLOOKUP($C794,'INSUMO SINAPI - SP'!$C:$F,2,0)))))</f>
        <v>ELETRICISTA COM ENCARGOS COMPLEMENTARES</v>
      </c>
      <c r="F794" s="510" t="str">
        <f>IF($C794="",IFERROR(VLOOKUP($B794,SERVIÇOS!$B:$G,3,0),IFERROR(VLOOKUP($B794,$D:$K,3,0),"")),IFERROR(VLOOKUP($C794,INSUMOS!$A:$D,3,0),IFERROR(VLOOKUP($C794,COTAÇÕES!$B:$I,3,0),(VLOOKUP($C794,'INSUMO SINAPI - SP'!$C:$F,3,0)))))</f>
        <v>H</v>
      </c>
      <c r="G794" s="511">
        <v>0.2</v>
      </c>
      <c r="H794" s="512">
        <f>IF($C794="",IFERROR(VLOOKUP($B794,SERVIÇOS!$B:$G,6,0),IFERROR(VLOOKUP($B794,$D:$K,8,0),"")),IFERROR(VLOOKUP($C794,INSUMOS!$A:$D,4,0),IFERROR(VLOOKUP($C794,COTAÇÕES!$B:$I,7,0),(VLOOKUP($C794,'INSUMO SINAPI - SP'!$C:$F,4,0)))))</f>
        <v>37.369999999999997</v>
      </c>
      <c r="I794" s="513">
        <f>TRUNC(IF($C794="",IFERROR(VLOOKUP($B794,SERVIÇOS!$B:$G,4,0),IFERROR(VLOOKUP($B794,$D:$K,6,0),)),IFERROR(VLOOKUP($C794,INSUMOS!$A:$D,4,0),IFERROR(VLOOKUP($C794,COTAÇÕES!$B:$I,7,0),(VLOOKUP($C794,'INSUMO SINAPI - SP'!$C:$F,4,0)))))*$G794,2)</f>
        <v>1.86</v>
      </c>
      <c r="J794" s="513">
        <f>TRUNC(IF($C794="",IFERROR(VLOOKUP($B794,SERVIÇOS!$B:$G,5,0),IFERROR(VLOOKUP($B794,$D:$K,7,0),)),0)*$G794,2)</f>
        <v>5.61</v>
      </c>
      <c r="K794" s="514">
        <f>I794+J794</f>
        <v>7.4700000000000006</v>
      </c>
      <c r="L794" s="515"/>
      <c r="M794" s="471"/>
      <c r="N794" s="516"/>
      <c r="Q794" s="472"/>
      <c r="R794" s="472"/>
      <c r="S794" s="472"/>
      <c r="T794" s="472"/>
      <c r="U794" s="472"/>
      <c r="V794" s="472"/>
      <c r="W794" s="472"/>
      <c r="X794" s="472"/>
      <c r="Y794" s="472"/>
    </row>
    <row r="795" spans="1:25" x14ac:dyDescent="0.25">
      <c r="A795" s="463"/>
      <c r="B795" s="498"/>
      <c r="C795" s="498"/>
      <c r="D795" s="499" t="s">
        <v>12221</v>
      </c>
      <c r="E795" s="555" t="s">
        <v>13031</v>
      </c>
      <c r="F795" s="501" t="s">
        <v>585</v>
      </c>
      <c r="G795" s="502"/>
      <c r="H795" s="503"/>
      <c r="I795" s="504">
        <f>ROUND(SUM(I796:I799),2)</f>
        <v>3.59</v>
      </c>
      <c r="J795" s="504">
        <f>ROUND(SUM(J796:J799),2)</f>
        <v>1.48</v>
      </c>
      <c r="K795" s="504">
        <f>+J795+I795</f>
        <v>5.07</v>
      </c>
      <c r="L795" s="523" t="s">
        <v>13032</v>
      </c>
      <c r="M795" s="471"/>
      <c r="N795" s="505"/>
      <c r="Q795" s="472"/>
      <c r="R795" s="472"/>
      <c r="S795" s="472"/>
      <c r="T795" s="472"/>
      <c r="U795" s="472"/>
      <c r="V795" s="472"/>
      <c r="W795" s="472"/>
      <c r="X795" s="472"/>
      <c r="Y795" s="472"/>
    </row>
    <row r="796" spans="1:25" x14ac:dyDescent="0.25">
      <c r="A796" s="463"/>
      <c r="B796" s="506">
        <v>88264</v>
      </c>
      <c r="C796" s="507"/>
      <c r="D796" s="508"/>
      <c r="E796" s="509" t="str">
        <f>IF($C796="",IFERROR(VLOOKUP($B796,SERVIÇOS!$B:$G,2,0),IFERROR(VLOOKUP($B796,$D:$K,2,0),"")),IFERROR(VLOOKUP($C796,INSUMOS!$A:$D,2,0),IFERROR(VLOOKUP($C796,COTAÇÕES!$B:$I,2,0),(VLOOKUP($C796,'INSUMO SINAPI - SP'!$C:$F,2,0)))))</f>
        <v>ELETRICISTA COM ENCARGOS COMPLEMENTARES</v>
      </c>
      <c r="F796" s="510" t="str">
        <f>IF($C796="",IFERROR(VLOOKUP($B796,SERVIÇOS!$B:$G,3,0),IFERROR(VLOOKUP($B796,$D:$K,3,0),"")),IFERROR(VLOOKUP($C796,INSUMOS!$A:$D,3,0),IFERROR(VLOOKUP($C796,COTAÇÕES!$B:$I,3,0),(VLOOKUP($C796,'INSUMO SINAPI - SP'!$C:$F,3,0)))))</f>
        <v>H</v>
      </c>
      <c r="G796" s="511">
        <v>0.03</v>
      </c>
      <c r="H796" s="512">
        <f>IF($C796="",IFERROR(VLOOKUP($B796,SERVIÇOS!$B:$G,6,0),IFERROR(VLOOKUP($B796,$D:$K,8,0),"")),IFERROR(VLOOKUP($C796,INSUMOS!$A:$D,4,0),IFERROR(VLOOKUP($C796,COTAÇÕES!$B:$I,7,0),(VLOOKUP($C796,'INSUMO SINAPI - SP'!$C:$F,4,0)))))</f>
        <v>37.369999999999997</v>
      </c>
      <c r="I796" s="513">
        <f>TRUNC(IF($C796="",IFERROR(VLOOKUP($B796,SERVIÇOS!$B:$G,4,0),IFERROR(VLOOKUP($B796,$D:$K,6,0),)),IFERROR(VLOOKUP($C796,INSUMOS!$A:$D,4,0),IFERROR(VLOOKUP($C796,COTAÇÕES!$B:$I,7,0),(VLOOKUP($C796,'INSUMO SINAPI - SP'!$C:$F,4,0)))))*$G796,2)</f>
        <v>0.27</v>
      </c>
      <c r="J796" s="513">
        <f>TRUNC(IF($C796="",IFERROR(VLOOKUP($B796,SERVIÇOS!$B:$G,5,0),IFERROR(VLOOKUP($B796,$D:$K,7,0),)),0)*$G796,2)</f>
        <v>0.84</v>
      </c>
      <c r="K796" s="514">
        <f>I796+J796</f>
        <v>1.1099999999999999</v>
      </c>
      <c r="L796" s="515"/>
      <c r="M796" s="471"/>
      <c r="N796" s="516"/>
      <c r="Q796" s="472"/>
      <c r="R796" s="472"/>
      <c r="S796" s="472"/>
      <c r="T796" s="472"/>
      <c r="U796" s="472"/>
      <c r="V796" s="472"/>
      <c r="W796" s="472"/>
      <c r="X796" s="472"/>
      <c r="Y796" s="472"/>
    </row>
    <row r="797" spans="1:25" x14ac:dyDescent="0.25">
      <c r="A797" s="463"/>
      <c r="B797" s="506">
        <v>88247</v>
      </c>
      <c r="C797" s="507"/>
      <c r="D797" s="508"/>
      <c r="E797" s="509" t="str">
        <f>IF($C797="",IFERROR(VLOOKUP($B797,SERVIÇOS!$B:$G,2,0),IFERROR(VLOOKUP($B797,$D:$K,2,0),"")),IFERROR(VLOOKUP($C797,INSUMOS!$A:$D,2,0),IFERROR(VLOOKUP($C797,COTAÇÕES!$B:$I,2,0),(VLOOKUP($C797,'INSUMO SINAPI - SP'!$C:$F,2,0)))))</f>
        <v>AUXILIAR DE ELETRICISTA COM ENCARGOS COMPLEMENTARES</v>
      </c>
      <c r="F797" s="510" t="str">
        <f>IF($C797="",IFERROR(VLOOKUP($B797,SERVIÇOS!$B:$G,3,0),IFERROR(VLOOKUP($B797,$D:$K,3,0),"")),IFERROR(VLOOKUP($C797,INSUMOS!$A:$D,3,0),IFERROR(VLOOKUP($C797,COTAÇÕES!$B:$I,3,0),(VLOOKUP($C797,'INSUMO SINAPI - SP'!$C:$F,3,0)))))</f>
        <v>H</v>
      </c>
      <c r="G797" s="511">
        <v>0.03</v>
      </c>
      <c r="H797" s="512">
        <f>IF($C797="",IFERROR(VLOOKUP($B797,SERVIÇOS!$B:$G,6,0),IFERROR(VLOOKUP($B797,$D:$K,8,0),"")),IFERROR(VLOOKUP($C797,INSUMOS!$A:$D,4,0),IFERROR(VLOOKUP($C797,COTAÇÕES!$B:$I,7,0),(VLOOKUP($C797,'INSUMO SINAPI - SP'!$C:$F,4,0)))))</f>
        <v>30.8</v>
      </c>
      <c r="I797" s="513">
        <f>TRUNC(IF($C797="",IFERROR(VLOOKUP($B797,SERVIÇOS!$B:$G,4,0),IFERROR(VLOOKUP($B797,$D:$K,6,0),)),IFERROR(VLOOKUP($C797,INSUMOS!$A:$D,4,0),IFERROR(VLOOKUP($C797,COTAÇÕES!$B:$I,7,0),(VLOOKUP($C797,'INSUMO SINAPI - SP'!$C:$F,4,0)))))*$G797,2)</f>
        <v>0.27</v>
      </c>
      <c r="J797" s="513">
        <f>TRUNC(IF($C797="",IFERROR(VLOOKUP($B797,SERVIÇOS!$B:$G,5,0),IFERROR(VLOOKUP($B797,$D:$K,7,0),)),0)*$G797,2)</f>
        <v>0.64</v>
      </c>
      <c r="K797" s="514">
        <f>I797+J797</f>
        <v>0.91</v>
      </c>
      <c r="L797" s="515"/>
      <c r="M797" s="471"/>
      <c r="N797" s="516"/>
      <c r="Q797" s="472"/>
      <c r="R797" s="472"/>
      <c r="S797" s="472"/>
      <c r="T797" s="472"/>
      <c r="U797" s="472"/>
      <c r="V797" s="472"/>
      <c r="W797" s="472"/>
      <c r="X797" s="472"/>
      <c r="Y797" s="472"/>
    </row>
    <row r="798" spans="1:25" x14ac:dyDescent="0.25">
      <c r="A798" s="463"/>
      <c r="B798" s="506"/>
      <c r="C798" s="507" t="s">
        <v>13033</v>
      </c>
      <c r="D798" s="508"/>
      <c r="E798" s="518" t="s">
        <v>13034</v>
      </c>
      <c r="F798" s="519" t="s">
        <v>13035</v>
      </c>
      <c r="G798" s="511">
        <v>1.19</v>
      </c>
      <c r="H798" s="520">
        <v>2.5299999999999998</v>
      </c>
      <c r="I798" s="520">
        <f>TRUNC(H798*G798,2)</f>
        <v>3.01</v>
      </c>
      <c r="J798" s="521"/>
      <c r="K798" s="522">
        <f>I798+J798</f>
        <v>3.01</v>
      </c>
      <c r="L798" s="517" t="s">
        <v>12944</v>
      </c>
      <c r="M798" s="471"/>
      <c r="N798" s="516"/>
      <c r="Q798" s="472"/>
      <c r="R798" s="472"/>
      <c r="S798" s="472"/>
      <c r="T798" s="472"/>
      <c r="U798" s="472"/>
      <c r="V798" s="472"/>
      <c r="W798" s="472"/>
      <c r="X798" s="472"/>
      <c r="Y798" s="472"/>
    </row>
    <row r="799" spans="1:25" x14ac:dyDescent="0.25">
      <c r="A799" s="463"/>
      <c r="B799" s="506"/>
      <c r="C799" s="507">
        <v>21127</v>
      </c>
      <c r="D799" s="508"/>
      <c r="E799" s="509" t="str">
        <f>IF($C799="",IFERROR(VLOOKUP($B799,SERVIÇOS!$B:$G,2,0),IFERROR(VLOOKUP($B799,$D:$K,2,0),"")),IFERROR(VLOOKUP($C799,INSUMOS!$A:$D,2,0),IFERROR(VLOOKUP($C799,COTAÇÕES!$B:$I,2,0),(VLOOKUP($C799,'INSUMO SINAPI - SP'!$C:$F,2,0)))))</f>
        <v>FITA ISOLANTE ADESIVA ANTICHAMA, USO ATE 750 V, EM ROLO DE 19 MM X 5 M</v>
      </c>
      <c r="F799" s="510" t="str">
        <f>IF($C799="",IFERROR(VLOOKUP($B799,SERVIÇOS!$B:$G,3,0),IFERROR(VLOOKUP($B799,$D:$K,3,0),"")),IFERROR(VLOOKUP($C799,INSUMOS!$A:$D,3,0),IFERROR(VLOOKUP($C799,COTAÇÕES!$B:$I,3,0),(VLOOKUP($C799,'INSUMO SINAPI - SP'!$C:$F,3,0)))))</f>
        <v>UN</v>
      </c>
      <c r="G799" s="511">
        <v>8.9999999999999993E-3</v>
      </c>
      <c r="H799" s="512">
        <f>IF($C799="",IFERROR(VLOOKUP($B799,SERVIÇOS!$B:$G,6,0),IFERROR(VLOOKUP($B799,$D:$K,8,0),"")),IFERROR(VLOOKUP($C799,INSUMOS!$A:$D,4,0),IFERROR(VLOOKUP($C799,COTAÇÕES!$B:$I,7,0),(VLOOKUP($C799,'INSUMO SINAPI - SP'!$C:$F,4,0)))))</f>
        <v>5.27</v>
      </c>
      <c r="I799" s="513">
        <f>TRUNC(IF($C799="",IFERROR(VLOOKUP($B799,SERVIÇOS!$B:$G,4,0),IFERROR(VLOOKUP($B799,$D:$K,6,0),)),IFERROR(VLOOKUP($C799,INSUMOS!$A:$D,4,0),IFERROR(VLOOKUP($C799,COTAÇÕES!$B:$I,7,0),(VLOOKUP($C799,'INSUMO SINAPI - SP'!$C:$F,4,0)))))*$G799,2)</f>
        <v>0.04</v>
      </c>
      <c r="J799" s="513">
        <f>TRUNC(IF($C799="",IFERROR(VLOOKUP($B799,SERVIÇOS!$B:$G,5,0),IFERROR(VLOOKUP($B799,$D:$K,7,0),)),0)*$G799,2)</f>
        <v>0</v>
      </c>
      <c r="K799" s="514">
        <f>I799+J799</f>
        <v>0.04</v>
      </c>
      <c r="L799" s="517"/>
      <c r="M799" s="471"/>
      <c r="N799" s="516"/>
      <c r="Q799" s="472"/>
      <c r="R799" s="472"/>
      <c r="S799" s="472"/>
      <c r="T799" s="472"/>
      <c r="U799" s="472"/>
      <c r="V799" s="472"/>
      <c r="W799" s="472"/>
      <c r="X799" s="472"/>
      <c r="Y799" s="472"/>
    </row>
    <row r="800" spans="1:25" x14ac:dyDescent="0.25">
      <c r="A800" s="463"/>
      <c r="B800" s="498"/>
      <c r="C800" s="498"/>
      <c r="D800" s="499" t="s">
        <v>12271</v>
      </c>
      <c r="E800" s="555" t="s">
        <v>13036</v>
      </c>
      <c r="F800" s="501" t="s">
        <v>585</v>
      </c>
      <c r="G800" s="502"/>
      <c r="H800" s="503"/>
      <c r="I800" s="504">
        <f>ROUND(SUM(I801:I804),2)</f>
        <v>5.38</v>
      </c>
      <c r="J800" s="504">
        <f>ROUND(SUM(J801:J804),2)</f>
        <v>1.97</v>
      </c>
      <c r="K800" s="504">
        <f>+J800+I800</f>
        <v>7.35</v>
      </c>
      <c r="L800" s="523" t="s">
        <v>13037</v>
      </c>
      <c r="M800" s="471"/>
      <c r="N800" s="505"/>
      <c r="Q800" s="472"/>
      <c r="R800" s="472"/>
      <c r="S800" s="472"/>
      <c r="T800" s="472"/>
      <c r="U800" s="472"/>
      <c r="V800" s="472"/>
      <c r="W800" s="472"/>
      <c r="X800" s="472"/>
      <c r="Y800" s="472"/>
    </row>
    <row r="801" spans="1:25" x14ac:dyDescent="0.25">
      <c r="A801" s="463"/>
      <c r="B801" s="506">
        <v>88264</v>
      </c>
      <c r="C801" s="507"/>
      <c r="D801" s="508"/>
      <c r="E801" s="509" t="str">
        <f>IF($C801="",IFERROR(VLOOKUP($B801,SERVIÇOS!$B:$G,2,0),IFERROR(VLOOKUP($B801,$D:$K,2,0),"")),IFERROR(VLOOKUP($C801,INSUMOS!$A:$D,2,0),IFERROR(VLOOKUP($C801,COTAÇÕES!$B:$I,2,0),(VLOOKUP($C801,'INSUMO SINAPI - SP'!$C:$F,2,0)))))</f>
        <v>ELETRICISTA COM ENCARGOS COMPLEMENTARES</v>
      </c>
      <c r="F801" s="510" t="str">
        <f>IF($C801="",IFERROR(VLOOKUP($B801,SERVIÇOS!$B:$G,3,0),IFERROR(VLOOKUP($B801,$D:$K,3,0),"")),IFERROR(VLOOKUP($C801,INSUMOS!$A:$D,3,0),IFERROR(VLOOKUP($C801,COTAÇÕES!$B:$I,3,0),(VLOOKUP($C801,'INSUMO SINAPI - SP'!$C:$F,3,0)))))</f>
        <v>H</v>
      </c>
      <c r="G801" s="511">
        <v>0.04</v>
      </c>
      <c r="H801" s="512">
        <f>IF($C801="",IFERROR(VLOOKUP($B801,SERVIÇOS!$B:$G,6,0),IFERROR(VLOOKUP($B801,$D:$K,8,0),"")),IFERROR(VLOOKUP($C801,INSUMOS!$A:$D,4,0),IFERROR(VLOOKUP($C801,COTAÇÕES!$B:$I,7,0),(VLOOKUP($C801,'INSUMO SINAPI - SP'!$C:$F,4,0)))))</f>
        <v>37.369999999999997</v>
      </c>
      <c r="I801" s="513">
        <f>TRUNC(IF($C801="",IFERROR(VLOOKUP($B801,SERVIÇOS!$B:$G,4,0),IFERROR(VLOOKUP($B801,$D:$K,6,0),)),IFERROR(VLOOKUP($C801,INSUMOS!$A:$D,4,0),IFERROR(VLOOKUP($C801,COTAÇÕES!$B:$I,7,0),(VLOOKUP($C801,'INSUMO SINAPI - SP'!$C:$F,4,0)))))*$G801,2)</f>
        <v>0.37</v>
      </c>
      <c r="J801" s="513">
        <f>TRUNC(IF($C801="",IFERROR(VLOOKUP($B801,SERVIÇOS!$B:$G,5,0),IFERROR(VLOOKUP($B801,$D:$K,7,0),)),0)*$G801,2)</f>
        <v>1.1200000000000001</v>
      </c>
      <c r="K801" s="514">
        <f>I801+J801</f>
        <v>1.4900000000000002</v>
      </c>
      <c r="L801" s="515"/>
      <c r="M801" s="471"/>
      <c r="N801" s="516"/>
      <c r="Q801" s="472"/>
      <c r="R801" s="472"/>
      <c r="S801" s="472"/>
      <c r="T801" s="472"/>
      <c r="U801" s="472"/>
      <c r="V801" s="472"/>
      <c r="W801" s="472"/>
      <c r="X801" s="472"/>
      <c r="Y801" s="472"/>
    </row>
    <row r="802" spans="1:25" x14ac:dyDescent="0.25">
      <c r="A802" s="463"/>
      <c r="B802" s="506">
        <v>88247</v>
      </c>
      <c r="C802" s="507"/>
      <c r="D802" s="508"/>
      <c r="E802" s="509" t="str">
        <f>IF($C802="",IFERROR(VLOOKUP($B802,SERVIÇOS!$B:$G,2,0),IFERROR(VLOOKUP($B802,$D:$K,2,0),"")),IFERROR(VLOOKUP($C802,INSUMOS!$A:$D,2,0),IFERROR(VLOOKUP($C802,COTAÇÕES!$B:$I,2,0),(VLOOKUP($C802,'INSUMO SINAPI - SP'!$C:$F,2,0)))))</f>
        <v>AUXILIAR DE ELETRICISTA COM ENCARGOS COMPLEMENTARES</v>
      </c>
      <c r="F802" s="510" t="str">
        <f>IF($C802="",IFERROR(VLOOKUP($B802,SERVIÇOS!$B:$G,3,0),IFERROR(VLOOKUP($B802,$D:$K,3,0),"")),IFERROR(VLOOKUP($C802,INSUMOS!$A:$D,3,0),IFERROR(VLOOKUP($C802,COTAÇÕES!$B:$I,3,0),(VLOOKUP($C802,'INSUMO SINAPI - SP'!$C:$F,3,0)))))</f>
        <v>H</v>
      </c>
      <c r="G802" s="511">
        <v>0.04</v>
      </c>
      <c r="H802" s="512">
        <f>IF($C802="",IFERROR(VLOOKUP($B802,SERVIÇOS!$B:$G,6,0),IFERROR(VLOOKUP($B802,$D:$K,8,0),"")),IFERROR(VLOOKUP($C802,INSUMOS!$A:$D,4,0),IFERROR(VLOOKUP($C802,COTAÇÕES!$B:$I,7,0),(VLOOKUP($C802,'INSUMO SINAPI - SP'!$C:$F,4,0)))))</f>
        <v>30.8</v>
      </c>
      <c r="I802" s="513">
        <f>TRUNC(IF($C802="",IFERROR(VLOOKUP($B802,SERVIÇOS!$B:$G,4,0),IFERROR(VLOOKUP($B802,$D:$K,6,0),)),IFERROR(VLOOKUP($C802,INSUMOS!$A:$D,4,0),IFERROR(VLOOKUP($C802,COTAÇÕES!$B:$I,7,0),(VLOOKUP($C802,'INSUMO SINAPI - SP'!$C:$F,4,0)))))*$G802,2)</f>
        <v>0.37</v>
      </c>
      <c r="J802" s="513">
        <f>TRUNC(IF($C802="",IFERROR(VLOOKUP($B802,SERVIÇOS!$B:$G,5,0),IFERROR(VLOOKUP($B802,$D:$K,7,0),)),0)*$G802,2)</f>
        <v>0.85</v>
      </c>
      <c r="K802" s="514">
        <f>I802+J802</f>
        <v>1.22</v>
      </c>
      <c r="L802" s="515"/>
      <c r="M802" s="471"/>
      <c r="N802" s="516"/>
      <c r="Q802" s="472"/>
      <c r="R802" s="472"/>
      <c r="S802" s="472"/>
      <c r="T802" s="472"/>
      <c r="U802" s="472"/>
      <c r="V802" s="472"/>
      <c r="W802" s="472"/>
      <c r="X802" s="472"/>
      <c r="Y802" s="472"/>
    </row>
    <row r="803" spans="1:25" x14ac:dyDescent="0.25">
      <c r="A803" s="463"/>
      <c r="B803" s="506"/>
      <c r="C803" s="507" t="s">
        <v>13038</v>
      </c>
      <c r="D803" s="508"/>
      <c r="E803" s="518" t="s">
        <v>13039</v>
      </c>
      <c r="F803" s="519" t="s">
        <v>13035</v>
      </c>
      <c r="G803" s="511">
        <v>1.19</v>
      </c>
      <c r="H803" s="520">
        <v>3.87</v>
      </c>
      <c r="I803" s="520">
        <f>TRUNC(H803*G803,2)</f>
        <v>4.5999999999999996</v>
      </c>
      <c r="J803" s="521"/>
      <c r="K803" s="522">
        <f>I803+J803</f>
        <v>4.5999999999999996</v>
      </c>
      <c r="L803" s="517" t="s">
        <v>12944</v>
      </c>
      <c r="M803" s="471"/>
      <c r="N803" s="516"/>
      <c r="Q803" s="472"/>
      <c r="R803" s="472"/>
      <c r="S803" s="472"/>
      <c r="T803" s="472"/>
      <c r="U803" s="472"/>
      <c r="V803" s="472"/>
      <c r="W803" s="472"/>
      <c r="X803" s="472"/>
      <c r="Y803" s="472"/>
    </row>
    <row r="804" spans="1:25" x14ac:dyDescent="0.25">
      <c r="A804" s="463"/>
      <c r="B804" s="506"/>
      <c r="C804" s="507">
        <v>21127</v>
      </c>
      <c r="D804" s="508"/>
      <c r="E804" s="509" t="str">
        <f>IF($C804="",IFERROR(VLOOKUP($B804,SERVIÇOS!$B:$G,2,0),IFERROR(VLOOKUP($B804,$D:$K,2,0),"")),IFERROR(VLOOKUP($C804,INSUMOS!$A:$D,2,0),IFERROR(VLOOKUP($C804,COTAÇÕES!$B:$I,2,0),(VLOOKUP($C804,'INSUMO SINAPI - SP'!$C:$F,2,0)))))</f>
        <v>FITA ISOLANTE ADESIVA ANTICHAMA, USO ATE 750 V, EM ROLO DE 19 MM X 5 M</v>
      </c>
      <c r="F804" s="510" t="str">
        <f>IF($C804="",IFERROR(VLOOKUP($B804,SERVIÇOS!$B:$G,3,0),IFERROR(VLOOKUP($B804,$D:$K,3,0),"")),IFERROR(VLOOKUP($C804,INSUMOS!$A:$D,3,0),IFERROR(VLOOKUP($C804,COTAÇÕES!$B:$I,3,0),(VLOOKUP($C804,'INSUMO SINAPI - SP'!$C:$F,3,0)))))</f>
        <v>UN</v>
      </c>
      <c r="G804" s="511">
        <v>8.9999999999999993E-3</v>
      </c>
      <c r="H804" s="512">
        <f>IF($C804="",IFERROR(VLOOKUP($B804,SERVIÇOS!$B:$G,6,0),IFERROR(VLOOKUP($B804,$D:$K,8,0),"")),IFERROR(VLOOKUP($C804,INSUMOS!$A:$D,4,0),IFERROR(VLOOKUP($C804,COTAÇÕES!$B:$I,7,0),(VLOOKUP($C804,'INSUMO SINAPI - SP'!$C:$F,4,0)))))</f>
        <v>5.27</v>
      </c>
      <c r="I804" s="513">
        <f>TRUNC(IF($C804="",IFERROR(VLOOKUP($B804,SERVIÇOS!$B:$G,4,0),IFERROR(VLOOKUP($B804,$D:$K,6,0),)),IFERROR(VLOOKUP($C804,INSUMOS!$A:$D,4,0),IFERROR(VLOOKUP($C804,COTAÇÕES!$B:$I,7,0),(VLOOKUP($C804,'INSUMO SINAPI - SP'!$C:$F,4,0)))))*$G804,2)</f>
        <v>0.04</v>
      </c>
      <c r="J804" s="513">
        <f>TRUNC(IF($C804="",IFERROR(VLOOKUP($B804,SERVIÇOS!$B:$G,5,0),IFERROR(VLOOKUP($B804,$D:$K,7,0),)),0)*$G804,2)</f>
        <v>0</v>
      </c>
      <c r="K804" s="514">
        <f>I804+J804</f>
        <v>0.04</v>
      </c>
      <c r="L804" s="517"/>
      <c r="M804" s="471"/>
      <c r="N804" s="516"/>
      <c r="Q804" s="472"/>
      <c r="R804" s="472"/>
      <c r="S804" s="472"/>
      <c r="T804" s="472"/>
      <c r="U804" s="472"/>
      <c r="V804" s="472"/>
      <c r="W804" s="472"/>
      <c r="X804" s="472"/>
      <c r="Y804" s="472"/>
    </row>
    <row r="805" spans="1:25" x14ac:dyDescent="0.25">
      <c r="A805" s="463"/>
      <c r="B805" s="498"/>
      <c r="C805" s="498"/>
      <c r="D805" s="499" t="s">
        <v>12251</v>
      </c>
      <c r="E805" s="555" t="s">
        <v>13040</v>
      </c>
      <c r="F805" s="501" t="s">
        <v>585</v>
      </c>
      <c r="G805" s="502"/>
      <c r="H805" s="503"/>
      <c r="I805" s="504">
        <f>ROUND(SUM(I806:I809),2)</f>
        <v>7.73</v>
      </c>
      <c r="J805" s="504">
        <f>ROUND(SUM(J806:J809),2)</f>
        <v>2.56</v>
      </c>
      <c r="K805" s="504">
        <f>+J805+I805</f>
        <v>10.290000000000001</v>
      </c>
      <c r="L805" s="523" t="s">
        <v>13041</v>
      </c>
      <c r="M805" s="471"/>
      <c r="N805" s="505"/>
      <c r="Q805" s="472"/>
      <c r="R805" s="472"/>
      <c r="S805" s="472"/>
      <c r="T805" s="472"/>
      <c r="U805" s="472"/>
      <c r="V805" s="472"/>
      <c r="W805" s="472"/>
      <c r="X805" s="472"/>
      <c r="Y805" s="472"/>
    </row>
    <row r="806" spans="1:25" x14ac:dyDescent="0.25">
      <c r="A806" s="463"/>
      <c r="B806" s="506">
        <v>88264</v>
      </c>
      <c r="C806" s="507"/>
      <c r="D806" s="508"/>
      <c r="E806" s="509" t="str">
        <f>IF($C806="",IFERROR(VLOOKUP($B806,SERVIÇOS!$B:$G,2,0),IFERROR(VLOOKUP($B806,$D:$K,2,0),"")),IFERROR(VLOOKUP($C806,INSUMOS!$A:$D,2,0),IFERROR(VLOOKUP($C806,COTAÇÕES!$B:$I,2,0),(VLOOKUP($C806,'INSUMO SINAPI - SP'!$C:$F,2,0)))))</f>
        <v>ELETRICISTA COM ENCARGOS COMPLEMENTARES</v>
      </c>
      <c r="F806" s="510" t="str">
        <f>IF($C806="",IFERROR(VLOOKUP($B806,SERVIÇOS!$B:$G,3,0),IFERROR(VLOOKUP($B806,$D:$K,3,0),"")),IFERROR(VLOOKUP($C806,INSUMOS!$A:$D,3,0),IFERROR(VLOOKUP($C806,COTAÇÕES!$B:$I,3,0),(VLOOKUP($C806,'INSUMO SINAPI - SP'!$C:$F,3,0)))))</f>
        <v>H</v>
      </c>
      <c r="G806" s="511">
        <v>5.1999999999999998E-2</v>
      </c>
      <c r="H806" s="512">
        <f>IF($C806="",IFERROR(VLOOKUP($B806,SERVIÇOS!$B:$G,6,0),IFERROR(VLOOKUP($B806,$D:$K,8,0),"")),IFERROR(VLOOKUP($C806,INSUMOS!$A:$D,4,0),IFERROR(VLOOKUP($C806,COTAÇÕES!$B:$I,7,0),(VLOOKUP($C806,'INSUMO SINAPI - SP'!$C:$F,4,0)))))</f>
        <v>37.369999999999997</v>
      </c>
      <c r="I806" s="513">
        <f>TRUNC(IF($C806="",IFERROR(VLOOKUP($B806,SERVIÇOS!$B:$G,4,0),IFERROR(VLOOKUP($B806,$D:$K,6,0),)),IFERROR(VLOOKUP($C806,INSUMOS!$A:$D,4,0),IFERROR(VLOOKUP($C806,COTAÇÕES!$B:$I,7,0),(VLOOKUP($C806,'INSUMO SINAPI - SP'!$C:$F,4,0)))))*$G806,2)</f>
        <v>0.48</v>
      </c>
      <c r="J806" s="513">
        <f>TRUNC(IF($C806="",IFERROR(VLOOKUP($B806,SERVIÇOS!$B:$G,5,0),IFERROR(VLOOKUP($B806,$D:$K,7,0),)),0)*$G806,2)</f>
        <v>1.45</v>
      </c>
      <c r="K806" s="514">
        <f>I806+J806</f>
        <v>1.93</v>
      </c>
      <c r="L806" s="515"/>
      <c r="M806" s="471"/>
      <c r="N806" s="516"/>
      <c r="Q806" s="472"/>
      <c r="R806" s="472"/>
      <c r="S806" s="472"/>
      <c r="T806" s="472"/>
      <c r="U806" s="472"/>
      <c r="V806" s="472"/>
      <c r="W806" s="472"/>
      <c r="X806" s="472"/>
      <c r="Y806" s="472"/>
    </row>
    <row r="807" spans="1:25" x14ac:dyDescent="0.25">
      <c r="A807" s="463"/>
      <c r="B807" s="506">
        <v>88247</v>
      </c>
      <c r="C807" s="507"/>
      <c r="D807" s="508"/>
      <c r="E807" s="509" t="str">
        <f>IF($C807="",IFERROR(VLOOKUP($B807,SERVIÇOS!$B:$G,2,0),IFERROR(VLOOKUP($B807,$D:$K,2,0),"")),IFERROR(VLOOKUP($C807,INSUMOS!$A:$D,2,0),IFERROR(VLOOKUP($C807,COTAÇÕES!$B:$I,2,0),(VLOOKUP($C807,'INSUMO SINAPI - SP'!$C:$F,2,0)))))</f>
        <v>AUXILIAR DE ELETRICISTA COM ENCARGOS COMPLEMENTARES</v>
      </c>
      <c r="F807" s="510" t="str">
        <f>IF($C807="",IFERROR(VLOOKUP($B807,SERVIÇOS!$B:$G,3,0),IFERROR(VLOOKUP($B807,$D:$K,3,0),"")),IFERROR(VLOOKUP($C807,INSUMOS!$A:$D,3,0),IFERROR(VLOOKUP($C807,COTAÇÕES!$B:$I,3,0),(VLOOKUP($C807,'INSUMO SINAPI - SP'!$C:$F,3,0)))))</f>
        <v>H</v>
      </c>
      <c r="G807" s="511">
        <v>5.1999999999999998E-2</v>
      </c>
      <c r="H807" s="512">
        <f>IF($C807="",IFERROR(VLOOKUP($B807,SERVIÇOS!$B:$G,6,0),IFERROR(VLOOKUP($B807,$D:$K,8,0),"")),IFERROR(VLOOKUP($C807,INSUMOS!$A:$D,4,0),IFERROR(VLOOKUP($C807,COTAÇÕES!$B:$I,7,0),(VLOOKUP($C807,'INSUMO SINAPI - SP'!$C:$F,4,0)))))</f>
        <v>30.8</v>
      </c>
      <c r="I807" s="513">
        <f>TRUNC(IF($C807="",IFERROR(VLOOKUP($B807,SERVIÇOS!$B:$G,4,0),IFERROR(VLOOKUP($B807,$D:$K,6,0),)),IFERROR(VLOOKUP($C807,INSUMOS!$A:$D,4,0),IFERROR(VLOOKUP($C807,COTAÇÕES!$B:$I,7,0),(VLOOKUP($C807,'INSUMO SINAPI - SP'!$C:$F,4,0)))))*$G807,2)</f>
        <v>0.48</v>
      </c>
      <c r="J807" s="513">
        <f>TRUNC(IF($C807="",IFERROR(VLOOKUP($B807,SERVIÇOS!$B:$G,5,0),IFERROR(VLOOKUP($B807,$D:$K,7,0),)),0)*$G807,2)</f>
        <v>1.1100000000000001</v>
      </c>
      <c r="K807" s="514">
        <f>I807+J807</f>
        <v>1.59</v>
      </c>
      <c r="L807" s="515"/>
      <c r="M807" s="471"/>
      <c r="N807" s="516"/>
      <c r="Q807" s="472"/>
      <c r="R807" s="472"/>
      <c r="S807" s="472"/>
      <c r="T807" s="472"/>
      <c r="U807" s="472"/>
      <c r="V807" s="472"/>
      <c r="W807" s="472"/>
      <c r="X807" s="472"/>
      <c r="Y807" s="472"/>
    </row>
    <row r="808" spans="1:25" x14ac:dyDescent="0.25">
      <c r="A808" s="463"/>
      <c r="B808" s="506"/>
      <c r="C808" s="507" t="s">
        <v>13042</v>
      </c>
      <c r="D808" s="508"/>
      <c r="E808" s="518" t="s">
        <v>13043</v>
      </c>
      <c r="F808" s="519" t="s">
        <v>13035</v>
      </c>
      <c r="G808" s="511">
        <v>1.19</v>
      </c>
      <c r="H808" s="520">
        <v>5.66</v>
      </c>
      <c r="I808" s="520">
        <f>TRUNC(H808*G808,2)</f>
        <v>6.73</v>
      </c>
      <c r="J808" s="521"/>
      <c r="K808" s="522">
        <f>I808+J808</f>
        <v>6.73</v>
      </c>
      <c r="L808" s="517" t="s">
        <v>12944</v>
      </c>
      <c r="M808" s="471"/>
      <c r="N808" s="516"/>
      <c r="Q808" s="472"/>
      <c r="R808" s="472"/>
      <c r="S808" s="472"/>
      <c r="T808" s="472"/>
      <c r="U808" s="472"/>
      <c r="V808" s="472"/>
      <c r="W808" s="472"/>
      <c r="X808" s="472"/>
      <c r="Y808" s="472"/>
    </row>
    <row r="809" spans="1:25" x14ac:dyDescent="0.25">
      <c r="A809" s="463"/>
      <c r="B809" s="506"/>
      <c r="C809" s="507">
        <v>21127</v>
      </c>
      <c r="D809" s="508"/>
      <c r="E809" s="509" t="str">
        <f>IF($C809="",IFERROR(VLOOKUP($B809,SERVIÇOS!$B:$G,2,0),IFERROR(VLOOKUP($B809,$D:$K,2,0),"")),IFERROR(VLOOKUP($C809,INSUMOS!$A:$D,2,0),IFERROR(VLOOKUP($C809,COTAÇÕES!$B:$I,2,0),(VLOOKUP($C809,'INSUMO SINAPI - SP'!$C:$F,2,0)))))</f>
        <v>FITA ISOLANTE ADESIVA ANTICHAMA, USO ATE 750 V, EM ROLO DE 19 MM X 5 M</v>
      </c>
      <c r="F809" s="510" t="str">
        <f>IF($C809="",IFERROR(VLOOKUP($B809,SERVIÇOS!$B:$G,3,0),IFERROR(VLOOKUP($B809,$D:$K,3,0),"")),IFERROR(VLOOKUP($C809,INSUMOS!$A:$D,3,0),IFERROR(VLOOKUP($C809,COTAÇÕES!$B:$I,3,0),(VLOOKUP($C809,'INSUMO SINAPI - SP'!$C:$F,3,0)))))</f>
        <v>UN</v>
      </c>
      <c r="G809" s="511">
        <v>8.9999999999999993E-3</v>
      </c>
      <c r="H809" s="512">
        <f>IF($C809="",IFERROR(VLOOKUP($B809,SERVIÇOS!$B:$G,6,0),IFERROR(VLOOKUP($B809,$D:$K,8,0),"")),IFERROR(VLOOKUP($C809,INSUMOS!$A:$D,4,0),IFERROR(VLOOKUP($C809,COTAÇÕES!$B:$I,7,0),(VLOOKUP($C809,'INSUMO SINAPI - SP'!$C:$F,4,0)))))</f>
        <v>5.27</v>
      </c>
      <c r="I809" s="513">
        <f>TRUNC(IF($C809="",IFERROR(VLOOKUP($B809,SERVIÇOS!$B:$G,4,0),IFERROR(VLOOKUP($B809,$D:$K,6,0),)),IFERROR(VLOOKUP($C809,INSUMOS!$A:$D,4,0),IFERROR(VLOOKUP($C809,COTAÇÕES!$B:$I,7,0),(VLOOKUP($C809,'INSUMO SINAPI - SP'!$C:$F,4,0)))))*$G809,2)</f>
        <v>0.04</v>
      </c>
      <c r="J809" s="513">
        <f>TRUNC(IF($C809="",IFERROR(VLOOKUP($B809,SERVIÇOS!$B:$G,5,0),IFERROR(VLOOKUP($B809,$D:$K,7,0),)),0)*$G809,2)</f>
        <v>0</v>
      </c>
      <c r="K809" s="514">
        <f>I809+J809</f>
        <v>0.04</v>
      </c>
      <c r="L809" s="517"/>
      <c r="M809" s="471"/>
      <c r="N809" s="516"/>
      <c r="Q809" s="472"/>
      <c r="R809" s="472"/>
      <c r="S809" s="472"/>
      <c r="T809" s="472"/>
      <c r="U809" s="472"/>
      <c r="V809" s="472"/>
      <c r="W809" s="472"/>
      <c r="X809" s="472"/>
      <c r="Y809" s="472"/>
    </row>
    <row r="810" spans="1:25" x14ac:dyDescent="0.25">
      <c r="A810" s="463"/>
      <c r="B810" s="498"/>
      <c r="C810" s="498"/>
      <c r="D810" s="499" t="s">
        <v>12202</v>
      </c>
      <c r="E810" s="555" t="s">
        <v>13044</v>
      </c>
      <c r="F810" s="501" t="s">
        <v>585</v>
      </c>
      <c r="G810" s="502"/>
      <c r="H810" s="503"/>
      <c r="I810" s="504">
        <f>ROUND(SUM(I811:I814),2)</f>
        <v>19.739999999999998</v>
      </c>
      <c r="J810" s="504">
        <f>ROUND(SUM(J811:J814),2)</f>
        <v>5.69</v>
      </c>
      <c r="K810" s="504">
        <f>+J810+I810</f>
        <v>25.43</v>
      </c>
      <c r="L810" s="523" t="s">
        <v>13045</v>
      </c>
      <c r="M810" s="471"/>
      <c r="N810" s="505"/>
      <c r="Q810" s="472"/>
      <c r="R810" s="472"/>
      <c r="S810" s="472"/>
      <c r="T810" s="472"/>
      <c r="U810" s="472"/>
      <c r="V810" s="472"/>
      <c r="W810" s="472"/>
      <c r="X810" s="472"/>
      <c r="Y810" s="472"/>
    </row>
    <row r="811" spans="1:25" x14ac:dyDescent="0.25">
      <c r="A811" s="463"/>
      <c r="B811" s="506">
        <v>88264</v>
      </c>
      <c r="C811" s="507"/>
      <c r="D811" s="508"/>
      <c r="E811" s="509" t="str">
        <f>IF($C811="",IFERROR(VLOOKUP($B811,SERVIÇOS!$B:$G,2,0),IFERROR(VLOOKUP($B811,$D:$K,2,0),"")),IFERROR(VLOOKUP($C811,INSUMOS!$A:$D,2,0),IFERROR(VLOOKUP($C811,COTAÇÕES!$B:$I,2,0),(VLOOKUP($C811,'INSUMO SINAPI - SP'!$C:$F,2,0)))))</f>
        <v>ELETRICISTA COM ENCARGOS COMPLEMENTARES</v>
      </c>
      <c r="F811" s="510" t="str">
        <f>IF($C811="",IFERROR(VLOOKUP($B811,SERVIÇOS!$B:$G,3,0),IFERROR(VLOOKUP($B811,$D:$K,3,0),"")),IFERROR(VLOOKUP($C811,INSUMOS!$A:$D,3,0),IFERROR(VLOOKUP($C811,COTAÇÕES!$B:$I,3,0),(VLOOKUP($C811,'INSUMO SINAPI - SP'!$C:$F,3,0)))))</f>
        <v>H</v>
      </c>
      <c r="G811" s="511">
        <v>0.115</v>
      </c>
      <c r="H811" s="512">
        <f>IF($C811="",IFERROR(VLOOKUP($B811,SERVIÇOS!$B:$G,6,0),IFERROR(VLOOKUP($B811,$D:$K,8,0),"")),IFERROR(VLOOKUP($C811,INSUMOS!$A:$D,4,0),IFERROR(VLOOKUP($C811,COTAÇÕES!$B:$I,7,0),(VLOOKUP($C811,'INSUMO SINAPI - SP'!$C:$F,4,0)))))</f>
        <v>37.369999999999997</v>
      </c>
      <c r="I811" s="513">
        <f>TRUNC(IF($C811="",IFERROR(VLOOKUP($B811,SERVIÇOS!$B:$G,4,0),IFERROR(VLOOKUP($B811,$D:$K,6,0),)),IFERROR(VLOOKUP($C811,INSUMOS!$A:$D,4,0),IFERROR(VLOOKUP($C811,COTAÇÕES!$B:$I,7,0),(VLOOKUP($C811,'INSUMO SINAPI - SP'!$C:$F,4,0)))))*$G811,2)</f>
        <v>1.07</v>
      </c>
      <c r="J811" s="513">
        <f>TRUNC(IF($C811="",IFERROR(VLOOKUP($B811,SERVIÇOS!$B:$G,5,0),IFERROR(VLOOKUP($B811,$D:$K,7,0),)),0)*$G811,2)</f>
        <v>3.22</v>
      </c>
      <c r="K811" s="514">
        <f>I811+J811</f>
        <v>4.29</v>
      </c>
      <c r="L811" s="515"/>
      <c r="M811" s="471"/>
      <c r="N811" s="516"/>
      <c r="Q811" s="472"/>
      <c r="R811" s="472"/>
      <c r="S811" s="472"/>
      <c r="T811" s="472"/>
      <c r="U811" s="472"/>
      <c r="V811" s="472"/>
      <c r="W811" s="472"/>
      <c r="X811" s="472"/>
      <c r="Y811" s="472"/>
    </row>
    <row r="812" spans="1:25" x14ac:dyDescent="0.25">
      <c r="A812" s="463"/>
      <c r="B812" s="506">
        <v>88247</v>
      </c>
      <c r="C812" s="507"/>
      <c r="D812" s="508"/>
      <c r="E812" s="509" t="str">
        <f>IF($C812="",IFERROR(VLOOKUP($B812,SERVIÇOS!$B:$G,2,0),IFERROR(VLOOKUP($B812,$D:$K,2,0),"")),IFERROR(VLOOKUP($C812,INSUMOS!$A:$D,2,0),IFERROR(VLOOKUP($C812,COTAÇÕES!$B:$I,2,0),(VLOOKUP($C812,'INSUMO SINAPI - SP'!$C:$F,2,0)))))</f>
        <v>AUXILIAR DE ELETRICISTA COM ENCARGOS COMPLEMENTARES</v>
      </c>
      <c r="F812" s="510" t="str">
        <f>IF($C812="",IFERROR(VLOOKUP($B812,SERVIÇOS!$B:$G,3,0),IFERROR(VLOOKUP($B812,$D:$K,3,0),"")),IFERROR(VLOOKUP($C812,INSUMOS!$A:$D,3,0),IFERROR(VLOOKUP($C812,COTAÇÕES!$B:$I,3,0),(VLOOKUP($C812,'INSUMO SINAPI - SP'!$C:$F,3,0)))))</f>
        <v>H</v>
      </c>
      <c r="G812" s="511">
        <v>0.115</v>
      </c>
      <c r="H812" s="512">
        <f>IF($C812="",IFERROR(VLOOKUP($B812,SERVIÇOS!$B:$G,6,0),IFERROR(VLOOKUP($B812,$D:$K,8,0),"")),IFERROR(VLOOKUP($C812,INSUMOS!$A:$D,4,0),IFERROR(VLOOKUP($C812,COTAÇÕES!$B:$I,7,0),(VLOOKUP($C812,'INSUMO SINAPI - SP'!$C:$F,4,0)))))</f>
        <v>30.8</v>
      </c>
      <c r="I812" s="513">
        <f>TRUNC(IF($C812="",IFERROR(VLOOKUP($B812,SERVIÇOS!$B:$G,4,0),IFERROR(VLOOKUP($B812,$D:$K,6,0),)),IFERROR(VLOOKUP($C812,INSUMOS!$A:$D,4,0),IFERROR(VLOOKUP($C812,COTAÇÕES!$B:$I,7,0),(VLOOKUP($C812,'INSUMO SINAPI - SP'!$C:$F,4,0)))))*$G812,2)</f>
        <v>1.07</v>
      </c>
      <c r="J812" s="513">
        <f>TRUNC(IF($C812="",IFERROR(VLOOKUP($B812,SERVIÇOS!$B:$G,5,0),IFERROR(VLOOKUP($B812,$D:$K,7,0),)),0)*$G812,2)</f>
        <v>2.4700000000000002</v>
      </c>
      <c r="K812" s="514">
        <f>I812+J812</f>
        <v>3.54</v>
      </c>
      <c r="L812" s="515"/>
      <c r="M812" s="471"/>
      <c r="N812" s="516"/>
      <c r="Q812" s="472"/>
      <c r="R812" s="472"/>
      <c r="S812" s="472"/>
      <c r="T812" s="472"/>
      <c r="U812" s="472"/>
      <c r="V812" s="472"/>
      <c r="W812" s="472"/>
      <c r="X812" s="472"/>
      <c r="Y812" s="472"/>
    </row>
    <row r="813" spans="1:25" x14ac:dyDescent="0.25">
      <c r="A813" s="463"/>
      <c r="B813" s="506"/>
      <c r="C813" s="507" t="s">
        <v>13046</v>
      </c>
      <c r="D813" s="508"/>
      <c r="E813" s="518" t="s">
        <v>13044</v>
      </c>
      <c r="F813" s="519" t="s">
        <v>585</v>
      </c>
      <c r="G813" s="511">
        <v>1.19</v>
      </c>
      <c r="H813" s="520">
        <v>14.76</v>
      </c>
      <c r="I813" s="520">
        <f>TRUNC(H813*G813,2)</f>
        <v>17.559999999999999</v>
      </c>
      <c r="J813" s="521"/>
      <c r="K813" s="522">
        <f>I813+J813</f>
        <v>17.559999999999999</v>
      </c>
      <c r="L813" s="517" t="s">
        <v>12901</v>
      </c>
      <c r="M813" s="471"/>
      <c r="N813" s="516"/>
      <c r="Q813" s="472"/>
      <c r="R813" s="472"/>
      <c r="S813" s="472"/>
      <c r="T813" s="472"/>
      <c r="U813" s="472"/>
      <c r="V813" s="472"/>
      <c r="W813" s="472"/>
      <c r="X813" s="472"/>
      <c r="Y813" s="472"/>
    </row>
    <row r="814" spans="1:25" x14ac:dyDescent="0.25">
      <c r="A814" s="463"/>
      <c r="B814" s="506"/>
      <c r="C814" s="507">
        <v>21127</v>
      </c>
      <c r="D814" s="508"/>
      <c r="E814" s="509" t="str">
        <f>IF($C814="",IFERROR(VLOOKUP($B814,SERVIÇOS!$B:$G,2,0),IFERROR(VLOOKUP($B814,$D:$K,2,0),"")),IFERROR(VLOOKUP($C814,INSUMOS!$A:$D,2,0),IFERROR(VLOOKUP($C814,COTAÇÕES!$B:$I,2,0),(VLOOKUP($C814,'INSUMO SINAPI - SP'!$C:$F,2,0)))))</f>
        <v>FITA ISOLANTE ADESIVA ANTICHAMA, USO ATE 750 V, EM ROLO DE 19 MM X 5 M</v>
      </c>
      <c r="F814" s="510" t="str">
        <f>IF($C814="",IFERROR(VLOOKUP($B814,SERVIÇOS!$B:$G,3,0),IFERROR(VLOOKUP($B814,$D:$K,3,0),"")),IFERROR(VLOOKUP($C814,INSUMOS!$A:$D,3,0),IFERROR(VLOOKUP($C814,COTAÇÕES!$B:$I,3,0),(VLOOKUP($C814,'INSUMO SINAPI - SP'!$C:$F,3,0)))))</f>
        <v>UN</v>
      </c>
      <c r="G814" s="511">
        <v>8.9999999999999993E-3</v>
      </c>
      <c r="H814" s="512">
        <f>IF($C814="",IFERROR(VLOOKUP($B814,SERVIÇOS!$B:$G,6,0),IFERROR(VLOOKUP($B814,$D:$K,8,0),"")),IFERROR(VLOOKUP($C814,INSUMOS!$A:$D,4,0),IFERROR(VLOOKUP($C814,COTAÇÕES!$B:$I,7,0),(VLOOKUP($C814,'INSUMO SINAPI - SP'!$C:$F,4,0)))))</f>
        <v>5.27</v>
      </c>
      <c r="I814" s="513">
        <f>TRUNC(IF($C814="",IFERROR(VLOOKUP($B814,SERVIÇOS!$B:$G,4,0),IFERROR(VLOOKUP($B814,$D:$K,6,0),)),IFERROR(VLOOKUP($C814,INSUMOS!$A:$D,4,0),IFERROR(VLOOKUP($C814,COTAÇÕES!$B:$I,7,0),(VLOOKUP($C814,'INSUMO SINAPI - SP'!$C:$F,4,0)))))*$G814,2)</f>
        <v>0.04</v>
      </c>
      <c r="J814" s="513">
        <f>TRUNC(IF($C814="",IFERROR(VLOOKUP($B814,SERVIÇOS!$B:$G,5,0),IFERROR(VLOOKUP($B814,$D:$K,7,0),)),0)*$G814,2)</f>
        <v>0</v>
      </c>
      <c r="K814" s="514">
        <f>I814+J814</f>
        <v>0.04</v>
      </c>
      <c r="L814" s="517"/>
      <c r="M814" s="471"/>
      <c r="N814" s="516"/>
      <c r="Q814" s="472"/>
      <c r="R814" s="472"/>
      <c r="S814" s="472"/>
      <c r="T814" s="472"/>
      <c r="U814" s="472"/>
      <c r="V814" s="472"/>
      <c r="W814" s="472"/>
      <c r="X814" s="472"/>
      <c r="Y814" s="472"/>
    </row>
    <row r="815" spans="1:25" x14ac:dyDescent="0.25">
      <c r="A815" s="463"/>
      <c r="B815" s="498"/>
      <c r="C815" s="498"/>
      <c r="D815" s="499" t="s">
        <v>12238</v>
      </c>
      <c r="E815" s="555" t="s">
        <v>13047</v>
      </c>
      <c r="F815" s="501" t="s">
        <v>585</v>
      </c>
      <c r="G815" s="502"/>
      <c r="H815" s="503"/>
      <c r="I815" s="504">
        <f>ROUND(SUM(I816:I819),2)</f>
        <v>25.38</v>
      </c>
      <c r="J815" s="504">
        <f>ROUND(SUM(J816:J819),2)</f>
        <v>3.16</v>
      </c>
      <c r="K815" s="504">
        <f>+J815+I815</f>
        <v>28.54</v>
      </c>
      <c r="L815" s="523" t="s">
        <v>13048</v>
      </c>
      <c r="M815" s="471"/>
      <c r="N815" s="505"/>
      <c r="Q815" s="472"/>
      <c r="R815" s="472"/>
      <c r="S815" s="472"/>
      <c r="T815" s="472"/>
      <c r="U815" s="472"/>
      <c r="V815" s="472"/>
      <c r="W815" s="472"/>
      <c r="X815" s="472"/>
      <c r="Y815" s="472"/>
    </row>
    <row r="816" spans="1:25" x14ac:dyDescent="0.25">
      <c r="A816" s="463"/>
      <c r="B816" s="506">
        <v>88264</v>
      </c>
      <c r="C816" s="507"/>
      <c r="D816" s="508"/>
      <c r="E816" s="509" t="str">
        <f>IF($C816="",IFERROR(VLOOKUP($B816,SERVIÇOS!$B:$G,2,0),IFERROR(VLOOKUP($B816,$D:$K,2,0),"")),IFERROR(VLOOKUP($C816,INSUMOS!$A:$D,2,0),IFERROR(VLOOKUP($C816,COTAÇÕES!$B:$I,2,0),(VLOOKUP($C816,'INSUMO SINAPI - SP'!$C:$F,2,0)))))</f>
        <v>ELETRICISTA COM ENCARGOS COMPLEMENTARES</v>
      </c>
      <c r="F816" s="510" t="str">
        <f>IF($C816="",IFERROR(VLOOKUP($B816,SERVIÇOS!$B:$G,3,0),IFERROR(VLOOKUP($B816,$D:$K,3,0),"")),IFERROR(VLOOKUP($C816,INSUMOS!$A:$D,3,0),IFERROR(VLOOKUP($C816,COTAÇÕES!$B:$I,3,0),(VLOOKUP($C816,'INSUMO SINAPI - SP'!$C:$F,3,0)))))</f>
        <v>H</v>
      </c>
      <c r="G816" s="511">
        <v>6.4000000000000001E-2</v>
      </c>
      <c r="H816" s="512">
        <f>IF($C816="",IFERROR(VLOOKUP($B816,SERVIÇOS!$B:$G,6,0),IFERROR(VLOOKUP($B816,$D:$K,8,0),"")),IFERROR(VLOOKUP($C816,INSUMOS!$A:$D,4,0),IFERROR(VLOOKUP($C816,COTAÇÕES!$B:$I,7,0),(VLOOKUP($C816,'INSUMO SINAPI - SP'!$C:$F,4,0)))))</f>
        <v>37.369999999999997</v>
      </c>
      <c r="I816" s="513">
        <f>TRUNC(IF($C816="",IFERROR(VLOOKUP($B816,SERVIÇOS!$B:$G,4,0),IFERROR(VLOOKUP($B816,$D:$K,6,0),)),IFERROR(VLOOKUP($C816,INSUMOS!$A:$D,4,0),IFERROR(VLOOKUP($C816,COTAÇÕES!$B:$I,7,0),(VLOOKUP($C816,'INSUMO SINAPI - SP'!$C:$F,4,0)))))*$G816,2)</f>
        <v>0.59</v>
      </c>
      <c r="J816" s="513">
        <f>TRUNC(IF($C816="",IFERROR(VLOOKUP($B816,SERVIÇOS!$B:$G,5,0),IFERROR(VLOOKUP($B816,$D:$K,7,0),)),0)*$G816,2)</f>
        <v>1.79</v>
      </c>
      <c r="K816" s="514">
        <f>I816+J816</f>
        <v>2.38</v>
      </c>
      <c r="L816" s="515"/>
      <c r="M816" s="471"/>
      <c r="N816" s="516"/>
      <c r="Q816" s="472"/>
      <c r="R816" s="472"/>
      <c r="S816" s="472"/>
      <c r="T816" s="472"/>
      <c r="U816" s="472"/>
      <c r="V816" s="472"/>
      <c r="W816" s="472"/>
      <c r="X816" s="472"/>
      <c r="Y816" s="472"/>
    </row>
    <row r="817" spans="1:25" x14ac:dyDescent="0.25">
      <c r="A817" s="463"/>
      <c r="B817" s="506">
        <v>88247</v>
      </c>
      <c r="C817" s="507"/>
      <c r="D817" s="508"/>
      <c r="E817" s="509" t="str">
        <f>IF($C817="",IFERROR(VLOOKUP($B817,SERVIÇOS!$B:$G,2,0),IFERROR(VLOOKUP($B817,$D:$K,2,0),"")),IFERROR(VLOOKUP($C817,INSUMOS!$A:$D,2,0),IFERROR(VLOOKUP($C817,COTAÇÕES!$B:$I,2,0),(VLOOKUP($C817,'INSUMO SINAPI - SP'!$C:$F,2,0)))))</f>
        <v>AUXILIAR DE ELETRICISTA COM ENCARGOS COMPLEMENTARES</v>
      </c>
      <c r="F817" s="510" t="str">
        <f>IF($C817="",IFERROR(VLOOKUP($B817,SERVIÇOS!$B:$G,3,0),IFERROR(VLOOKUP($B817,$D:$K,3,0),"")),IFERROR(VLOOKUP($C817,INSUMOS!$A:$D,3,0),IFERROR(VLOOKUP($C817,COTAÇÕES!$B:$I,3,0),(VLOOKUP($C817,'INSUMO SINAPI - SP'!$C:$F,3,0)))))</f>
        <v>H</v>
      </c>
      <c r="G817" s="511">
        <v>6.4000000000000001E-2</v>
      </c>
      <c r="H817" s="512">
        <f>IF($C817="",IFERROR(VLOOKUP($B817,SERVIÇOS!$B:$G,6,0),IFERROR(VLOOKUP($B817,$D:$K,8,0),"")),IFERROR(VLOOKUP($C817,INSUMOS!$A:$D,4,0),IFERROR(VLOOKUP($C817,COTAÇÕES!$B:$I,7,0),(VLOOKUP($C817,'INSUMO SINAPI - SP'!$C:$F,4,0)))))</f>
        <v>30.8</v>
      </c>
      <c r="I817" s="513">
        <f>TRUNC(IF($C817="",IFERROR(VLOOKUP($B817,SERVIÇOS!$B:$G,4,0),IFERROR(VLOOKUP($B817,$D:$K,6,0),)),IFERROR(VLOOKUP($C817,INSUMOS!$A:$D,4,0),IFERROR(VLOOKUP($C817,COTAÇÕES!$B:$I,7,0),(VLOOKUP($C817,'INSUMO SINAPI - SP'!$C:$F,4,0)))))*$G817,2)</f>
        <v>0.59</v>
      </c>
      <c r="J817" s="513">
        <f>TRUNC(IF($C817="",IFERROR(VLOOKUP($B817,SERVIÇOS!$B:$G,5,0),IFERROR(VLOOKUP($B817,$D:$K,7,0),)),0)*$G817,2)</f>
        <v>1.37</v>
      </c>
      <c r="K817" s="514">
        <f>I817+J817</f>
        <v>1.96</v>
      </c>
      <c r="L817" s="515"/>
      <c r="M817" s="471"/>
      <c r="N817" s="516"/>
      <c r="Q817" s="472"/>
      <c r="R817" s="472"/>
      <c r="S817" s="472"/>
      <c r="T817" s="472"/>
      <c r="U817" s="472"/>
      <c r="V817" s="472"/>
      <c r="W817" s="472"/>
      <c r="X817" s="472"/>
      <c r="Y817" s="472"/>
    </row>
    <row r="818" spans="1:25" x14ac:dyDescent="0.25">
      <c r="A818" s="463"/>
      <c r="B818" s="506"/>
      <c r="C818" s="507" t="s">
        <v>13049</v>
      </c>
      <c r="D818" s="508"/>
      <c r="E818" s="518" t="s">
        <v>13047</v>
      </c>
      <c r="F818" s="519" t="s">
        <v>585</v>
      </c>
      <c r="G818" s="511">
        <v>1.0149999999999999</v>
      </c>
      <c r="H818" s="520">
        <v>23.81</v>
      </c>
      <c r="I818" s="520">
        <f>TRUNC(H818*G818,2)</f>
        <v>24.16</v>
      </c>
      <c r="J818" s="521"/>
      <c r="K818" s="522">
        <f>I818+J818</f>
        <v>24.16</v>
      </c>
      <c r="L818" s="517" t="s">
        <v>12901</v>
      </c>
      <c r="M818" s="471"/>
      <c r="N818" s="516"/>
      <c r="Q818" s="472"/>
      <c r="R818" s="472"/>
      <c r="S818" s="472"/>
      <c r="T818" s="472"/>
      <c r="U818" s="472"/>
      <c r="V818" s="472"/>
      <c r="W818" s="472"/>
      <c r="X818" s="472"/>
      <c r="Y818" s="472"/>
    </row>
    <row r="819" spans="1:25" x14ac:dyDescent="0.25">
      <c r="A819" s="463"/>
      <c r="B819" s="506"/>
      <c r="C819" s="507">
        <v>21127</v>
      </c>
      <c r="D819" s="508"/>
      <c r="E819" s="509" t="str">
        <f>IF($C819="",IFERROR(VLOOKUP($B819,SERVIÇOS!$B:$G,2,0),IFERROR(VLOOKUP($B819,$D:$K,2,0),"")),IFERROR(VLOOKUP($C819,INSUMOS!$A:$D,2,0),IFERROR(VLOOKUP($C819,COTAÇÕES!$B:$I,2,0),(VLOOKUP($C819,'INSUMO SINAPI - SP'!$C:$F,2,0)))))</f>
        <v>FITA ISOLANTE ADESIVA ANTICHAMA, USO ATE 750 V, EM ROLO DE 19 MM X 5 M</v>
      </c>
      <c r="F819" s="510" t="str">
        <f>IF($C819="",IFERROR(VLOOKUP($B819,SERVIÇOS!$B:$G,3,0),IFERROR(VLOOKUP($B819,$D:$K,3,0),"")),IFERROR(VLOOKUP($C819,INSUMOS!$A:$D,3,0),IFERROR(VLOOKUP($C819,COTAÇÕES!$B:$I,3,0),(VLOOKUP($C819,'INSUMO SINAPI - SP'!$C:$F,3,0)))))</f>
        <v>UN</v>
      </c>
      <c r="G819" s="511">
        <v>8.9999999999999993E-3</v>
      </c>
      <c r="H819" s="512">
        <f>IF($C819="",IFERROR(VLOOKUP($B819,SERVIÇOS!$B:$G,6,0),IFERROR(VLOOKUP($B819,$D:$K,8,0),"")),IFERROR(VLOOKUP($C819,INSUMOS!$A:$D,4,0),IFERROR(VLOOKUP($C819,COTAÇÕES!$B:$I,7,0),(VLOOKUP($C819,'INSUMO SINAPI - SP'!$C:$F,4,0)))))</f>
        <v>5.27</v>
      </c>
      <c r="I819" s="513">
        <f>TRUNC(IF($C819="",IFERROR(VLOOKUP($B819,SERVIÇOS!$B:$G,4,0),IFERROR(VLOOKUP($B819,$D:$K,6,0),)),IFERROR(VLOOKUP($C819,INSUMOS!$A:$D,4,0),IFERROR(VLOOKUP($C819,COTAÇÕES!$B:$I,7,0),(VLOOKUP($C819,'INSUMO SINAPI - SP'!$C:$F,4,0)))))*$G819,2)</f>
        <v>0.04</v>
      </c>
      <c r="J819" s="513">
        <f>TRUNC(IF($C819="",IFERROR(VLOOKUP($B819,SERVIÇOS!$B:$G,5,0),IFERROR(VLOOKUP($B819,$D:$K,7,0),)),0)*$G819,2)</f>
        <v>0</v>
      </c>
      <c r="K819" s="514">
        <f>I819+J819</f>
        <v>0.04</v>
      </c>
      <c r="L819" s="517"/>
      <c r="M819" s="471"/>
      <c r="N819" s="516"/>
      <c r="Q819" s="472"/>
      <c r="R819" s="472"/>
      <c r="S819" s="472"/>
      <c r="T819" s="472"/>
      <c r="U819" s="472"/>
      <c r="V819" s="472"/>
      <c r="W819" s="472"/>
      <c r="X819" s="472"/>
      <c r="Y819" s="472"/>
    </row>
    <row r="820" spans="1:25" x14ac:dyDescent="0.25">
      <c r="A820" s="463"/>
      <c r="B820" s="498"/>
      <c r="C820" s="498"/>
      <c r="D820" s="499" t="s">
        <v>12201</v>
      </c>
      <c r="E820" s="555" t="s">
        <v>13050</v>
      </c>
      <c r="F820" s="501" t="s">
        <v>585</v>
      </c>
      <c r="G820" s="502"/>
      <c r="H820" s="503"/>
      <c r="I820" s="504">
        <f>ROUND(SUM(I821:I824),2)</f>
        <v>33.159999999999997</v>
      </c>
      <c r="J820" s="504">
        <f>ROUND(SUM(J821:J824),2)</f>
        <v>3.6</v>
      </c>
      <c r="K820" s="504">
        <f>+J820+I820</f>
        <v>36.76</v>
      </c>
      <c r="L820" s="523" t="s">
        <v>13051</v>
      </c>
      <c r="M820" s="471"/>
      <c r="N820" s="505"/>
      <c r="Q820" s="472"/>
      <c r="R820" s="472"/>
      <c r="S820" s="472"/>
      <c r="T820" s="472"/>
      <c r="U820" s="472"/>
      <c r="V820" s="472"/>
      <c r="W820" s="472"/>
      <c r="X820" s="472"/>
      <c r="Y820" s="472"/>
    </row>
    <row r="821" spans="1:25" x14ac:dyDescent="0.25">
      <c r="A821" s="463"/>
      <c r="B821" s="506">
        <v>88264</v>
      </c>
      <c r="C821" s="507"/>
      <c r="D821" s="508"/>
      <c r="E821" s="509" t="str">
        <f>IF($C821="",IFERROR(VLOOKUP($B821,SERVIÇOS!$B:$G,2,0),IFERROR(VLOOKUP($B821,$D:$K,2,0),"")),IFERROR(VLOOKUP($C821,INSUMOS!$A:$D,2,0),IFERROR(VLOOKUP($C821,COTAÇÕES!$B:$I,2,0),(VLOOKUP($C821,'INSUMO SINAPI - SP'!$C:$F,2,0)))))</f>
        <v>ELETRICISTA COM ENCARGOS COMPLEMENTARES</v>
      </c>
      <c r="F821" s="510" t="str">
        <f>IF($C821="",IFERROR(VLOOKUP($B821,SERVIÇOS!$B:$G,3,0),IFERROR(VLOOKUP($B821,$D:$K,3,0),"")),IFERROR(VLOOKUP($C821,INSUMOS!$A:$D,3,0),IFERROR(VLOOKUP($C821,COTAÇÕES!$B:$I,3,0),(VLOOKUP($C821,'INSUMO SINAPI - SP'!$C:$F,3,0)))))</f>
        <v>H</v>
      </c>
      <c r="G821" s="511">
        <v>7.2999999999999995E-2</v>
      </c>
      <c r="H821" s="512">
        <f>IF($C821="",IFERROR(VLOOKUP($B821,SERVIÇOS!$B:$G,6,0),IFERROR(VLOOKUP($B821,$D:$K,8,0),"")),IFERROR(VLOOKUP($C821,INSUMOS!$A:$D,4,0),IFERROR(VLOOKUP($C821,COTAÇÕES!$B:$I,7,0),(VLOOKUP($C821,'INSUMO SINAPI - SP'!$C:$F,4,0)))))</f>
        <v>37.369999999999997</v>
      </c>
      <c r="I821" s="513">
        <f>TRUNC(IF($C821="",IFERROR(VLOOKUP($B821,SERVIÇOS!$B:$G,4,0),IFERROR(VLOOKUP($B821,$D:$K,6,0),)),IFERROR(VLOOKUP($C821,INSUMOS!$A:$D,4,0),IFERROR(VLOOKUP($C821,COTAÇÕES!$B:$I,7,0),(VLOOKUP($C821,'INSUMO SINAPI - SP'!$C:$F,4,0)))))*$G821,2)</f>
        <v>0.67</v>
      </c>
      <c r="J821" s="513">
        <f>TRUNC(IF($C821="",IFERROR(VLOOKUP($B821,SERVIÇOS!$B:$G,5,0),IFERROR(VLOOKUP($B821,$D:$K,7,0),)),0)*$G821,2)</f>
        <v>2.04</v>
      </c>
      <c r="K821" s="514">
        <f>I821+J821</f>
        <v>2.71</v>
      </c>
      <c r="L821" s="515"/>
      <c r="M821" s="471"/>
      <c r="N821" s="516"/>
      <c r="Q821" s="472"/>
      <c r="R821" s="472"/>
      <c r="S821" s="472"/>
      <c r="T821" s="472"/>
      <c r="U821" s="472"/>
      <c r="V821" s="472"/>
      <c r="W821" s="472"/>
      <c r="X821" s="472"/>
      <c r="Y821" s="472"/>
    </row>
    <row r="822" spans="1:25" x14ac:dyDescent="0.25">
      <c r="A822" s="463"/>
      <c r="B822" s="506">
        <v>88247</v>
      </c>
      <c r="C822" s="507"/>
      <c r="D822" s="508"/>
      <c r="E822" s="509" t="str">
        <f>IF($C822="",IFERROR(VLOOKUP($B822,SERVIÇOS!$B:$G,2,0),IFERROR(VLOOKUP($B822,$D:$K,2,0),"")),IFERROR(VLOOKUP($C822,INSUMOS!$A:$D,2,0),IFERROR(VLOOKUP($C822,COTAÇÕES!$B:$I,2,0),(VLOOKUP($C822,'INSUMO SINAPI - SP'!$C:$F,2,0)))))</f>
        <v>AUXILIAR DE ELETRICISTA COM ENCARGOS COMPLEMENTARES</v>
      </c>
      <c r="F822" s="510" t="str">
        <f>IF($C822="",IFERROR(VLOOKUP($B822,SERVIÇOS!$B:$G,3,0),IFERROR(VLOOKUP($B822,$D:$K,3,0),"")),IFERROR(VLOOKUP($C822,INSUMOS!$A:$D,3,0),IFERROR(VLOOKUP($C822,COTAÇÕES!$B:$I,3,0),(VLOOKUP($C822,'INSUMO SINAPI - SP'!$C:$F,3,0)))))</f>
        <v>H</v>
      </c>
      <c r="G822" s="511">
        <v>7.2999999999999995E-2</v>
      </c>
      <c r="H822" s="512">
        <f>IF($C822="",IFERROR(VLOOKUP($B822,SERVIÇOS!$B:$G,6,0),IFERROR(VLOOKUP($B822,$D:$K,8,0),"")),IFERROR(VLOOKUP($C822,INSUMOS!$A:$D,4,0),IFERROR(VLOOKUP($C822,COTAÇÕES!$B:$I,7,0),(VLOOKUP($C822,'INSUMO SINAPI - SP'!$C:$F,4,0)))))</f>
        <v>30.8</v>
      </c>
      <c r="I822" s="513">
        <f>TRUNC(IF($C822="",IFERROR(VLOOKUP($B822,SERVIÇOS!$B:$G,4,0),IFERROR(VLOOKUP($B822,$D:$K,6,0),)),IFERROR(VLOOKUP($C822,INSUMOS!$A:$D,4,0),IFERROR(VLOOKUP($C822,COTAÇÕES!$B:$I,7,0),(VLOOKUP($C822,'INSUMO SINAPI - SP'!$C:$F,4,0)))))*$G822,2)</f>
        <v>0.68</v>
      </c>
      <c r="J822" s="513">
        <f>TRUNC(IF($C822="",IFERROR(VLOOKUP($B822,SERVIÇOS!$B:$G,5,0),IFERROR(VLOOKUP($B822,$D:$K,7,0),)),0)*$G822,2)</f>
        <v>1.56</v>
      </c>
      <c r="K822" s="514">
        <f>I822+J822</f>
        <v>2.2400000000000002</v>
      </c>
      <c r="L822" s="515"/>
      <c r="M822" s="471"/>
      <c r="N822" s="516"/>
      <c r="Q822" s="472"/>
      <c r="R822" s="472"/>
      <c r="S822" s="472"/>
      <c r="T822" s="472"/>
      <c r="U822" s="472"/>
      <c r="V822" s="472"/>
      <c r="W822" s="472"/>
      <c r="X822" s="472"/>
      <c r="Y822" s="472"/>
    </row>
    <row r="823" spans="1:25" x14ac:dyDescent="0.25">
      <c r="A823" s="463"/>
      <c r="B823" s="506"/>
      <c r="C823" s="507" t="s">
        <v>13052</v>
      </c>
      <c r="D823" s="508"/>
      <c r="E823" s="518" t="s">
        <v>13050</v>
      </c>
      <c r="F823" s="519" t="s">
        <v>585</v>
      </c>
      <c r="G823" s="511">
        <v>1.0149999999999999</v>
      </c>
      <c r="H823" s="520">
        <v>31.31</v>
      </c>
      <c r="I823" s="520">
        <f>TRUNC(H823*G823,2)</f>
        <v>31.77</v>
      </c>
      <c r="J823" s="521"/>
      <c r="K823" s="522">
        <f>I823+J823</f>
        <v>31.77</v>
      </c>
      <c r="L823" s="517" t="s">
        <v>12901</v>
      </c>
      <c r="M823" s="471"/>
      <c r="N823" s="516"/>
      <c r="Q823" s="472"/>
      <c r="R823" s="472"/>
      <c r="S823" s="472"/>
      <c r="T823" s="472"/>
      <c r="U823" s="472"/>
      <c r="V823" s="472"/>
      <c r="W823" s="472"/>
      <c r="X823" s="472"/>
      <c r="Y823" s="472"/>
    </row>
    <row r="824" spans="1:25" x14ac:dyDescent="0.25">
      <c r="A824" s="463"/>
      <c r="B824" s="506"/>
      <c r="C824" s="507">
        <v>21127</v>
      </c>
      <c r="D824" s="508"/>
      <c r="E824" s="509" t="str">
        <f>IF($C824="",IFERROR(VLOOKUP($B824,SERVIÇOS!$B:$G,2,0),IFERROR(VLOOKUP($B824,$D:$K,2,0),"")),IFERROR(VLOOKUP($C824,INSUMOS!$A:$D,2,0),IFERROR(VLOOKUP($C824,COTAÇÕES!$B:$I,2,0),(VLOOKUP($C824,'INSUMO SINAPI - SP'!$C:$F,2,0)))))</f>
        <v>FITA ISOLANTE ADESIVA ANTICHAMA, USO ATE 750 V, EM ROLO DE 19 MM X 5 M</v>
      </c>
      <c r="F824" s="510" t="str">
        <f>IF($C824="",IFERROR(VLOOKUP($B824,SERVIÇOS!$B:$G,3,0),IFERROR(VLOOKUP($B824,$D:$K,3,0),"")),IFERROR(VLOOKUP($C824,INSUMOS!$A:$D,3,0),IFERROR(VLOOKUP($C824,COTAÇÕES!$B:$I,3,0),(VLOOKUP($C824,'INSUMO SINAPI - SP'!$C:$F,3,0)))))</f>
        <v>UN</v>
      </c>
      <c r="G824" s="511">
        <v>8.9999999999999993E-3</v>
      </c>
      <c r="H824" s="512">
        <f>IF($C824="",IFERROR(VLOOKUP($B824,SERVIÇOS!$B:$G,6,0),IFERROR(VLOOKUP($B824,$D:$K,8,0),"")),IFERROR(VLOOKUP($C824,INSUMOS!$A:$D,4,0),IFERROR(VLOOKUP($C824,COTAÇÕES!$B:$I,7,0),(VLOOKUP($C824,'INSUMO SINAPI - SP'!$C:$F,4,0)))))</f>
        <v>5.27</v>
      </c>
      <c r="I824" s="513">
        <f>TRUNC(IF($C824="",IFERROR(VLOOKUP($B824,SERVIÇOS!$B:$G,4,0),IFERROR(VLOOKUP($B824,$D:$K,6,0),)),IFERROR(VLOOKUP($C824,INSUMOS!$A:$D,4,0),IFERROR(VLOOKUP($C824,COTAÇÕES!$B:$I,7,0),(VLOOKUP($C824,'INSUMO SINAPI - SP'!$C:$F,4,0)))))*$G824,2)</f>
        <v>0.04</v>
      </c>
      <c r="J824" s="513">
        <f>TRUNC(IF($C824="",IFERROR(VLOOKUP($B824,SERVIÇOS!$B:$G,5,0),IFERROR(VLOOKUP($B824,$D:$K,7,0),)),0)*$G824,2)</f>
        <v>0</v>
      </c>
      <c r="K824" s="514">
        <f>I824+J824</f>
        <v>0.04</v>
      </c>
      <c r="L824" s="517"/>
      <c r="M824" s="471"/>
      <c r="N824" s="516"/>
      <c r="Q824" s="472"/>
      <c r="R824" s="472"/>
      <c r="S824" s="472"/>
      <c r="T824" s="472"/>
      <c r="U824" s="472"/>
      <c r="V824" s="472"/>
      <c r="W824" s="472"/>
      <c r="X824" s="472"/>
      <c r="Y824" s="472"/>
    </row>
    <row r="825" spans="1:25" x14ac:dyDescent="0.25">
      <c r="A825" s="463"/>
      <c r="B825" s="498"/>
      <c r="C825" s="498"/>
      <c r="D825" s="499" t="s">
        <v>12187</v>
      </c>
      <c r="E825" s="555" t="s">
        <v>13053</v>
      </c>
      <c r="F825" s="501" t="s">
        <v>585</v>
      </c>
      <c r="G825" s="502"/>
      <c r="H825" s="503"/>
      <c r="I825" s="504">
        <f>ROUND(SUM(I826:I829),2)</f>
        <v>51.15</v>
      </c>
      <c r="J825" s="504">
        <f>ROUND(SUM(J826:J829),2)</f>
        <v>4.3</v>
      </c>
      <c r="K825" s="504">
        <f>+J825+I825</f>
        <v>55.449999999999996</v>
      </c>
      <c r="L825" s="523" t="s">
        <v>13054</v>
      </c>
      <c r="M825" s="471"/>
      <c r="N825" s="505"/>
      <c r="Q825" s="472"/>
      <c r="R825" s="472"/>
      <c r="S825" s="472"/>
      <c r="T825" s="472"/>
      <c r="U825" s="472"/>
      <c r="V825" s="472"/>
      <c r="W825" s="472"/>
      <c r="X825" s="472"/>
      <c r="Y825" s="472"/>
    </row>
    <row r="826" spans="1:25" x14ac:dyDescent="0.25">
      <c r="A826" s="463"/>
      <c r="B826" s="506">
        <v>88264</v>
      </c>
      <c r="C826" s="507"/>
      <c r="D826" s="508"/>
      <c r="E826" s="509" t="str">
        <f>IF($C826="",IFERROR(VLOOKUP($B826,SERVIÇOS!$B:$G,2,0),IFERROR(VLOOKUP($B826,$D:$K,2,0),"")),IFERROR(VLOOKUP($C826,INSUMOS!$A:$D,2,0),IFERROR(VLOOKUP($C826,COTAÇÕES!$B:$I,2,0),(VLOOKUP($C826,'INSUMO SINAPI - SP'!$C:$F,2,0)))))</f>
        <v>ELETRICISTA COM ENCARGOS COMPLEMENTARES</v>
      </c>
      <c r="F826" s="510" t="str">
        <f>IF($C826="",IFERROR(VLOOKUP($B826,SERVIÇOS!$B:$G,3,0),IFERROR(VLOOKUP($B826,$D:$K,3,0),"")),IFERROR(VLOOKUP($C826,INSUMOS!$A:$D,3,0),IFERROR(VLOOKUP($C826,COTAÇÕES!$B:$I,3,0),(VLOOKUP($C826,'INSUMO SINAPI - SP'!$C:$F,3,0)))))</f>
        <v>H</v>
      </c>
      <c r="G826" s="511">
        <v>8.6999999999999994E-2</v>
      </c>
      <c r="H826" s="512">
        <f>IF($C826="",IFERROR(VLOOKUP($B826,SERVIÇOS!$B:$G,6,0),IFERROR(VLOOKUP($B826,$D:$K,8,0),"")),IFERROR(VLOOKUP($C826,INSUMOS!$A:$D,4,0),IFERROR(VLOOKUP($C826,COTAÇÕES!$B:$I,7,0),(VLOOKUP($C826,'INSUMO SINAPI - SP'!$C:$F,4,0)))))</f>
        <v>37.369999999999997</v>
      </c>
      <c r="I826" s="513">
        <f>TRUNC(IF($C826="",IFERROR(VLOOKUP($B826,SERVIÇOS!$B:$G,4,0),IFERROR(VLOOKUP($B826,$D:$K,6,0),)),IFERROR(VLOOKUP($C826,INSUMOS!$A:$D,4,0),IFERROR(VLOOKUP($C826,COTAÇÕES!$B:$I,7,0),(VLOOKUP($C826,'INSUMO SINAPI - SP'!$C:$F,4,0)))))*$G826,2)</f>
        <v>0.8</v>
      </c>
      <c r="J826" s="513">
        <f>TRUNC(IF($C826="",IFERROR(VLOOKUP($B826,SERVIÇOS!$B:$G,5,0),IFERROR(VLOOKUP($B826,$D:$K,7,0),)),0)*$G826,2)</f>
        <v>2.44</v>
      </c>
      <c r="K826" s="514">
        <f>I826+J826</f>
        <v>3.24</v>
      </c>
      <c r="L826" s="515"/>
      <c r="M826" s="471"/>
      <c r="N826" s="516"/>
      <c r="Q826" s="472"/>
      <c r="R826" s="472"/>
      <c r="S826" s="472"/>
      <c r="T826" s="472"/>
      <c r="U826" s="472"/>
      <c r="V826" s="472"/>
      <c r="W826" s="472"/>
      <c r="X826" s="472"/>
      <c r="Y826" s="472"/>
    </row>
    <row r="827" spans="1:25" x14ac:dyDescent="0.25">
      <c r="A827" s="463"/>
      <c r="B827" s="506">
        <v>88247</v>
      </c>
      <c r="C827" s="507"/>
      <c r="D827" s="508"/>
      <c r="E827" s="509" t="str">
        <f>IF($C827="",IFERROR(VLOOKUP($B827,SERVIÇOS!$B:$G,2,0),IFERROR(VLOOKUP($B827,$D:$K,2,0),"")),IFERROR(VLOOKUP($C827,INSUMOS!$A:$D,2,0),IFERROR(VLOOKUP($C827,COTAÇÕES!$B:$I,2,0),(VLOOKUP($C827,'INSUMO SINAPI - SP'!$C:$F,2,0)))))</f>
        <v>AUXILIAR DE ELETRICISTA COM ENCARGOS COMPLEMENTARES</v>
      </c>
      <c r="F827" s="510" t="str">
        <f>IF($C827="",IFERROR(VLOOKUP($B827,SERVIÇOS!$B:$G,3,0),IFERROR(VLOOKUP($B827,$D:$K,3,0),"")),IFERROR(VLOOKUP($C827,INSUMOS!$A:$D,3,0),IFERROR(VLOOKUP($C827,COTAÇÕES!$B:$I,3,0),(VLOOKUP($C827,'INSUMO SINAPI - SP'!$C:$F,3,0)))))</f>
        <v>H</v>
      </c>
      <c r="G827" s="511">
        <v>8.6999999999999994E-2</v>
      </c>
      <c r="H827" s="512">
        <f>IF($C827="",IFERROR(VLOOKUP($B827,SERVIÇOS!$B:$G,6,0),IFERROR(VLOOKUP($B827,$D:$K,8,0),"")),IFERROR(VLOOKUP($C827,INSUMOS!$A:$D,4,0),IFERROR(VLOOKUP($C827,COTAÇÕES!$B:$I,7,0),(VLOOKUP($C827,'INSUMO SINAPI - SP'!$C:$F,4,0)))))</f>
        <v>30.8</v>
      </c>
      <c r="I827" s="513">
        <f>TRUNC(IF($C827="",IFERROR(VLOOKUP($B827,SERVIÇOS!$B:$G,4,0),IFERROR(VLOOKUP($B827,$D:$K,6,0),)),IFERROR(VLOOKUP($C827,INSUMOS!$A:$D,4,0),IFERROR(VLOOKUP($C827,COTAÇÕES!$B:$I,7,0),(VLOOKUP($C827,'INSUMO SINAPI - SP'!$C:$F,4,0)))))*$G827,2)</f>
        <v>0.81</v>
      </c>
      <c r="J827" s="513">
        <f>TRUNC(IF($C827="",IFERROR(VLOOKUP($B827,SERVIÇOS!$B:$G,5,0),IFERROR(VLOOKUP($B827,$D:$K,7,0),)),0)*$G827,2)</f>
        <v>1.86</v>
      </c>
      <c r="K827" s="514">
        <f>I827+J827</f>
        <v>2.67</v>
      </c>
      <c r="L827" s="515"/>
      <c r="M827" s="471"/>
      <c r="N827" s="516"/>
      <c r="Q827" s="472"/>
      <c r="R827" s="472"/>
      <c r="S827" s="472"/>
      <c r="T827" s="472"/>
      <c r="U827" s="472"/>
      <c r="V827" s="472"/>
      <c r="W827" s="472"/>
      <c r="X827" s="472"/>
      <c r="Y827" s="472"/>
    </row>
    <row r="828" spans="1:25" x14ac:dyDescent="0.25">
      <c r="A828" s="463"/>
      <c r="B828" s="506"/>
      <c r="C828" s="507" t="s">
        <v>13055</v>
      </c>
      <c r="D828" s="508"/>
      <c r="E828" s="518" t="s">
        <v>13053</v>
      </c>
      <c r="F828" s="519" t="s">
        <v>585</v>
      </c>
      <c r="G828" s="511">
        <v>1.0149999999999999</v>
      </c>
      <c r="H828" s="520">
        <v>48.77</v>
      </c>
      <c r="I828" s="520">
        <f>TRUNC(H828*G828,2)</f>
        <v>49.5</v>
      </c>
      <c r="J828" s="521"/>
      <c r="K828" s="522">
        <f>I828+J828</f>
        <v>49.5</v>
      </c>
      <c r="L828" s="517" t="s">
        <v>12901</v>
      </c>
      <c r="M828" s="471"/>
      <c r="N828" s="516"/>
      <c r="Q828" s="472"/>
      <c r="R828" s="472"/>
      <c r="S828" s="472"/>
      <c r="T828" s="472"/>
      <c r="U828" s="472"/>
      <c r="V828" s="472"/>
      <c r="W828" s="472"/>
      <c r="X828" s="472"/>
      <c r="Y828" s="472"/>
    </row>
    <row r="829" spans="1:25" x14ac:dyDescent="0.25">
      <c r="A829" s="463"/>
      <c r="B829" s="506"/>
      <c r="C829" s="507">
        <v>21127</v>
      </c>
      <c r="D829" s="508"/>
      <c r="E829" s="509" t="str">
        <f>IF($C829="",IFERROR(VLOOKUP($B829,SERVIÇOS!$B:$G,2,0),IFERROR(VLOOKUP($B829,$D:$K,2,0),"")),IFERROR(VLOOKUP($C829,INSUMOS!$A:$D,2,0),IFERROR(VLOOKUP($C829,COTAÇÕES!$B:$I,2,0),(VLOOKUP($C829,'INSUMO SINAPI - SP'!$C:$F,2,0)))))</f>
        <v>FITA ISOLANTE ADESIVA ANTICHAMA, USO ATE 750 V, EM ROLO DE 19 MM X 5 M</v>
      </c>
      <c r="F829" s="510" t="str">
        <f>IF($C829="",IFERROR(VLOOKUP($B829,SERVIÇOS!$B:$G,3,0),IFERROR(VLOOKUP($B829,$D:$K,3,0),"")),IFERROR(VLOOKUP($C829,INSUMOS!$A:$D,3,0),IFERROR(VLOOKUP($C829,COTAÇÕES!$B:$I,3,0),(VLOOKUP($C829,'INSUMO SINAPI - SP'!$C:$F,3,0)))))</f>
        <v>UN</v>
      </c>
      <c r="G829" s="511">
        <v>8.9999999999999993E-3</v>
      </c>
      <c r="H829" s="512">
        <f>IF($C829="",IFERROR(VLOOKUP($B829,SERVIÇOS!$B:$G,6,0),IFERROR(VLOOKUP($B829,$D:$K,8,0),"")),IFERROR(VLOOKUP($C829,INSUMOS!$A:$D,4,0),IFERROR(VLOOKUP($C829,COTAÇÕES!$B:$I,7,0),(VLOOKUP($C829,'INSUMO SINAPI - SP'!$C:$F,4,0)))))</f>
        <v>5.27</v>
      </c>
      <c r="I829" s="513">
        <f>TRUNC(IF($C829="",IFERROR(VLOOKUP($B829,SERVIÇOS!$B:$G,4,0),IFERROR(VLOOKUP($B829,$D:$K,6,0),)),IFERROR(VLOOKUP($C829,INSUMOS!$A:$D,4,0),IFERROR(VLOOKUP($C829,COTAÇÕES!$B:$I,7,0),(VLOOKUP($C829,'INSUMO SINAPI - SP'!$C:$F,4,0)))))*$G829,2)</f>
        <v>0.04</v>
      </c>
      <c r="J829" s="513">
        <f>TRUNC(IF($C829="",IFERROR(VLOOKUP($B829,SERVIÇOS!$B:$G,5,0),IFERROR(VLOOKUP($B829,$D:$K,7,0),)),0)*$G829,2)</f>
        <v>0</v>
      </c>
      <c r="K829" s="514">
        <f>I829+J829</f>
        <v>0.04</v>
      </c>
      <c r="L829" s="517"/>
      <c r="M829" s="471"/>
      <c r="N829" s="516"/>
      <c r="Q829" s="472"/>
      <c r="R829" s="472"/>
      <c r="S829" s="472"/>
      <c r="T829" s="472"/>
      <c r="U829" s="472"/>
      <c r="V829" s="472"/>
      <c r="W829" s="472"/>
      <c r="X829" s="472"/>
      <c r="Y829" s="472"/>
    </row>
    <row r="830" spans="1:25" x14ac:dyDescent="0.25">
      <c r="A830" s="463"/>
      <c r="B830" s="498"/>
      <c r="C830" s="498"/>
      <c r="D830" s="499" t="s">
        <v>12276</v>
      </c>
      <c r="E830" s="555" t="s">
        <v>13056</v>
      </c>
      <c r="F830" s="501" t="s">
        <v>585</v>
      </c>
      <c r="G830" s="502"/>
      <c r="H830" s="503"/>
      <c r="I830" s="504">
        <f>ROUND(SUM(I831:I834),2)</f>
        <v>60.85</v>
      </c>
      <c r="J830" s="504">
        <f>ROUND(SUM(J831:J834),2)</f>
        <v>5.19</v>
      </c>
      <c r="K830" s="504">
        <f>+J830+I830</f>
        <v>66.040000000000006</v>
      </c>
      <c r="L830" s="523" t="s">
        <v>13057</v>
      </c>
      <c r="M830" s="471"/>
      <c r="N830" s="505"/>
      <c r="Q830" s="472"/>
      <c r="R830" s="472"/>
      <c r="S830" s="472"/>
      <c r="T830" s="472"/>
      <c r="U830" s="472"/>
      <c r="V830" s="472"/>
      <c r="W830" s="472"/>
      <c r="X830" s="472"/>
      <c r="Y830" s="472"/>
    </row>
    <row r="831" spans="1:25" x14ac:dyDescent="0.25">
      <c r="A831" s="463"/>
      <c r="B831" s="506">
        <v>88264</v>
      </c>
      <c r="C831" s="507"/>
      <c r="D831" s="508"/>
      <c r="E831" s="509" t="str">
        <f>IF($C831="",IFERROR(VLOOKUP($B831,SERVIÇOS!$B:$G,2,0),IFERROR(VLOOKUP($B831,$D:$K,2,0),"")),IFERROR(VLOOKUP($C831,INSUMOS!$A:$D,2,0),IFERROR(VLOOKUP($C831,COTAÇÕES!$B:$I,2,0),(VLOOKUP($C831,'INSUMO SINAPI - SP'!$C:$F,2,0)))))</f>
        <v>ELETRICISTA COM ENCARGOS COMPLEMENTARES</v>
      </c>
      <c r="F831" s="510" t="str">
        <f>IF($C831="",IFERROR(VLOOKUP($B831,SERVIÇOS!$B:$G,3,0),IFERROR(VLOOKUP($B831,$D:$K,3,0),"")),IFERROR(VLOOKUP($C831,INSUMOS!$A:$D,3,0),IFERROR(VLOOKUP($C831,COTAÇÕES!$B:$I,3,0),(VLOOKUP($C831,'INSUMO SINAPI - SP'!$C:$F,3,0)))))</f>
        <v>H</v>
      </c>
      <c r="G831" s="511">
        <v>0.105</v>
      </c>
      <c r="H831" s="512">
        <f>IF($C831="",IFERROR(VLOOKUP($B831,SERVIÇOS!$B:$G,6,0),IFERROR(VLOOKUP($B831,$D:$K,8,0),"")),IFERROR(VLOOKUP($C831,INSUMOS!$A:$D,4,0),IFERROR(VLOOKUP($C831,COTAÇÕES!$B:$I,7,0),(VLOOKUP($C831,'INSUMO SINAPI - SP'!$C:$F,4,0)))))</f>
        <v>37.369999999999997</v>
      </c>
      <c r="I831" s="513">
        <f>TRUNC(IF($C831="",IFERROR(VLOOKUP($B831,SERVIÇOS!$B:$G,4,0),IFERROR(VLOOKUP($B831,$D:$K,6,0),)),IFERROR(VLOOKUP($C831,INSUMOS!$A:$D,4,0),IFERROR(VLOOKUP($C831,COTAÇÕES!$B:$I,7,0),(VLOOKUP($C831,'INSUMO SINAPI - SP'!$C:$F,4,0)))))*$G831,2)</f>
        <v>0.97</v>
      </c>
      <c r="J831" s="513">
        <f>TRUNC(IF($C831="",IFERROR(VLOOKUP($B831,SERVIÇOS!$B:$G,5,0),IFERROR(VLOOKUP($B831,$D:$K,7,0),)),0)*$G831,2)</f>
        <v>2.94</v>
      </c>
      <c r="K831" s="514">
        <f>I831+J831</f>
        <v>3.91</v>
      </c>
      <c r="L831" s="515"/>
      <c r="M831" s="471"/>
      <c r="N831" s="516"/>
      <c r="Q831" s="472"/>
      <c r="R831" s="472"/>
      <c r="S831" s="472"/>
      <c r="T831" s="472"/>
      <c r="U831" s="472"/>
      <c r="V831" s="472"/>
      <c r="W831" s="472"/>
      <c r="X831" s="472"/>
      <c r="Y831" s="472"/>
    </row>
    <row r="832" spans="1:25" x14ac:dyDescent="0.25">
      <c r="A832" s="463"/>
      <c r="B832" s="506">
        <v>88247</v>
      </c>
      <c r="C832" s="507"/>
      <c r="D832" s="508"/>
      <c r="E832" s="509" t="str">
        <f>IF($C832="",IFERROR(VLOOKUP($B832,SERVIÇOS!$B:$G,2,0),IFERROR(VLOOKUP($B832,$D:$K,2,0),"")),IFERROR(VLOOKUP($C832,INSUMOS!$A:$D,2,0),IFERROR(VLOOKUP($C832,COTAÇÕES!$B:$I,2,0),(VLOOKUP($C832,'INSUMO SINAPI - SP'!$C:$F,2,0)))))</f>
        <v>AUXILIAR DE ELETRICISTA COM ENCARGOS COMPLEMENTARES</v>
      </c>
      <c r="F832" s="510" t="str">
        <f>IF($C832="",IFERROR(VLOOKUP($B832,SERVIÇOS!$B:$G,3,0),IFERROR(VLOOKUP($B832,$D:$K,3,0),"")),IFERROR(VLOOKUP($C832,INSUMOS!$A:$D,3,0),IFERROR(VLOOKUP($C832,COTAÇÕES!$B:$I,3,0),(VLOOKUP($C832,'INSUMO SINAPI - SP'!$C:$F,3,0)))))</f>
        <v>H</v>
      </c>
      <c r="G832" s="511">
        <v>0.105</v>
      </c>
      <c r="H832" s="512">
        <f>IF($C832="",IFERROR(VLOOKUP($B832,SERVIÇOS!$B:$G,6,0),IFERROR(VLOOKUP($B832,$D:$K,8,0),"")),IFERROR(VLOOKUP($C832,INSUMOS!$A:$D,4,0),IFERROR(VLOOKUP($C832,COTAÇÕES!$B:$I,7,0),(VLOOKUP($C832,'INSUMO SINAPI - SP'!$C:$F,4,0)))))</f>
        <v>30.8</v>
      </c>
      <c r="I832" s="513">
        <f>TRUNC(IF($C832="",IFERROR(VLOOKUP($B832,SERVIÇOS!$B:$G,4,0),IFERROR(VLOOKUP($B832,$D:$K,6,0),)),IFERROR(VLOOKUP($C832,INSUMOS!$A:$D,4,0),IFERROR(VLOOKUP($C832,COTAÇÕES!$B:$I,7,0),(VLOOKUP($C832,'INSUMO SINAPI - SP'!$C:$F,4,0)))))*$G832,2)</f>
        <v>0.97</v>
      </c>
      <c r="J832" s="513">
        <f>TRUNC(IF($C832="",IFERROR(VLOOKUP($B832,SERVIÇOS!$B:$G,5,0),IFERROR(VLOOKUP($B832,$D:$K,7,0),)),0)*$G832,2)</f>
        <v>2.25</v>
      </c>
      <c r="K832" s="514">
        <f>I832+J832</f>
        <v>3.2199999999999998</v>
      </c>
      <c r="L832" s="515"/>
      <c r="M832" s="471"/>
      <c r="N832" s="516"/>
      <c r="Q832" s="472"/>
      <c r="R832" s="472"/>
      <c r="S832" s="472"/>
      <c r="T832" s="472"/>
      <c r="U832" s="472"/>
      <c r="V832" s="472"/>
      <c r="W832" s="472"/>
      <c r="X832" s="472"/>
      <c r="Y832" s="472"/>
    </row>
    <row r="833" spans="1:25" x14ac:dyDescent="0.25">
      <c r="A833" s="463"/>
      <c r="B833" s="506"/>
      <c r="C833" s="507" t="s">
        <v>13058</v>
      </c>
      <c r="D833" s="508"/>
      <c r="E833" s="518" t="s">
        <v>13056</v>
      </c>
      <c r="F833" s="519" t="s">
        <v>585</v>
      </c>
      <c r="G833" s="511">
        <v>1.0149999999999999</v>
      </c>
      <c r="H833" s="520">
        <v>58</v>
      </c>
      <c r="I833" s="520">
        <f>TRUNC(H833*G833,2)</f>
        <v>58.87</v>
      </c>
      <c r="J833" s="521"/>
      <c r="K833" s="522">
        <f>I833+J833</f>
        <v>58.87</v>
      </c>
      <c r="L833" s="517" t="s">
        <v>12901</v>
      </c>
      <c r="M833" s="471"/>
      <c r="N833" s="516"/>
      <c r="Q833" s="472"/>
      <c r="R833" s="472"/>
      <c r="S833" s="472"/>
      <c r="T833" s="472"/>
      <c r="U833" s="472"/>
      <c r="V833" s="472"/>
      <c r="W833" s="472"/>
      <c r="X833" s="472"/>
      <c r="Y833" s="472"/>
    </row>
    <row r="834" spans="1:25" x14ac:dyDescent="0.25">
      <c r="A834" s="463"/>
      <c r="B834" s="506"/>
      <c r="C834" s="507">
        <v>21127</v>
      </c>
      <c r="D834" s="508"/>
      <c r="E834" s="509" t="str">
        <f>IF($C834="",IFERROR(VLOOKUP($B834,SERVIÇOS!$B:$G,2,0),IFERROR(VLOOKUP($B834,$D:$K,2,0),"")),IFERROR(VLOOKUP($C834,INSUMOS!$A:$D,2,0),IFERROR(VLOOKUP($C834,COTAÇÕES!$B:$I,2,0),(VLOOKUP($C834,'INSUMO SINAPI - SP'!$C:$F,2,0)))))</f>
        <v>FITA ISOLANTE ADESIVA ANTICHAMA, USO ATE 750 V, EM ROLO DE 19 MM X 5 M</v>
      </c>
      <c r="F834" s="510" t="str">
        <f>IF($C834="",IFERROR(VLOOKUP($B834,SERVIÇOS!$B:$G,3,0),IFERROR(VLOOKUP($B834,$D:$K,3,0),"")),IFERROR(VLOOKUP($C834,INSUMOS!$A:$D,3,0),IFERROR(VLOOKUP($C834,COTAÇÕES!$B:$I,3,0),(VLOOKUP($C834,'INSUMO SINAPI - SP'!$C:$F,3,0)))))</f>
        <v>UN</v>
      </c>
      <c r="G834" s="511">
        <v>8.9999999999999993E-3</v>
      </c>
      <c r="H834" s="512">
        <f>IF($C834="",IFERROR(VLOOKUP($B834,SERVIÇOS!$B:$G,6,0),IFERROR(VLOOKUP($B834,$D:$K,8,0),"")),IFERROR(VLOOKUP($C834,INSUMOS!$A:$D,4,0),IFERROR(VLOOKUP($C834,COTAÇÕES!$B:$I,7,0),(VLOOKUP($C834,'INSUMO SINAPI - SP'!$C:$F,4,0)))))</f>
        <v>5.27</v>
      </c>
      <c r="I834" s="513">
        <f>TRUNC(IF($C834="",IFERROR(VLOOKUP($B834,SERVIÇOS!$B:$G,4,0),IFERROR(VLOOKUP($B834,$D:$K,6,0),)),IFERROR(VLOOKUP($C834,INSUMOS!$A:$D,4,0),IFERROR(VLOOKUP($C834,COTAÇÕES!$B:$I,7,0),(VLOOKUP($C834,'INSUMO SINAPI - SP'!$C:$F,4,0)))))*$G834,2)</f>
        <v>0.04</v>
      </c>
      <c r="J834" s="513">
        <f>TRUNC(IF($C834="",IFERROR(VLOOKUP($B834,SERVIÇOS!$B:$G,5,0),IFERROR(VLOOKUP($B834,$D:$K,7,0),)),0)*$G834,2)</f>
        <v>0</v>
      </c>
      <c r="K834" s="514">
        <f>I834+J834</f>
        <v>0.04</v>
      </c>
      <c r="L834" s="517"/>
      <c r="M834" s="471"/>
      <c r="N834" s="516"/>
      <c r="Q834" s="472"/>
      <c r="R834" s="472"/>
      <c r="S834" s="472"/>
      <c r="T834" s="472"/>
      <c r="U834" s="472"/>
      <c r="V834" s="472"/>
      <c r="W834" s="472"/>
      <c r="X834" s="472"/>
      <c r="Y834" s="472"/>
    </row>
    <row r="835" spans="1:25" x14ac:dyDescent="0.25">
      <c r="A835" s="463"/>
      <c r="B835" s="498"/>
      <c r="C835" s="498"/>
      <c r="D835" s="499" t="s">
        <v>12186</v>
      </c>
      <c r="E835" s="555" t="s">
        <v>13059</v>
      </c>
      <c r="F835" s="501" t="s">
        <v>585</v>
      </c>
      <c r="G835" s="502"/>
      <c r="H835" s="503"/>
      <c r="I835" s="504">
        <f>ROUND(SUM(I836:I839),2)</f>
        <v>85.88</v>
      </c>
      <c r="J835" s="504">
        <f>ROUND(SUM(J836:J839),2)</f>
        <v>6.33</v>
      </c>
      <c r="K835" s="504">
        <f>+J835+I835</f>
        <v>92.21</v>
      </c>
      <c r="L835" s="523" t="s">
        <v>13060</v>
      </c>
      <c r="M835" s="471"/>
      <c r="N835" s="505"/>
      <c r="Q835" s="472"/>
      <c r="R835" s="472"/>
      <c r="S835" s="472"/>
      <c r="T835" s="472"/>
      <c r="U835" s="472"/>
      <c r="V835" s="472"/>
      <c r="W835" s="472"/>
      <c r="X835" s="472"/>
      <c r="Y835" s="472"/>
    </row>
    <row r="836" spans="1:25" x14ac:dyDescent="0.25">
      <c r="A836" s="463"/>
      <c r="B836" s="506">
        <v>88264</v>
      </c>
      <c r="C836" s="507"/>
      <c r="D836" s="508"/>
      <c r="E836" s="509" t="str">
        <f>IF($C836="",IFERROR(VLOOKUP($B836,SERVIÇOS!$B:$G,2,0),IFERROR(VLOOKUP($B836,$D:$K,2,0),"")),IFERROR(VLOOKUP($C836,INSUMOS!$A:$D,2,0),IFERROR(VLOOKUP($C836,COTAÇÕES!$B:$I,2,0),(VLOOKUP($C836,'INSUMO SINAPI - SP'!$C:$F,2,0)))))</f>
        <v>ELETRICISTA COM ENCARGOS COMPLEMENTARES</v>
      </c>
      <c r="F836" s="510" t="str">
        <f>IF($C836="",IFERROR(VLOOKUP($B836,SERVIÇOS!$B:$G,3,0),IFERROR(VLOOKUP($B836,$D:$K,3,0),"")),IFERROR(VLOOKUP($C836,INSUMOS!$A:$D,3,0),IFERROR(VLOOKUP($C836,COTAÇÕES!$B:$I,3,0),(VLOOKUP($C836,'INSUMO SINAPI - SP'!$C:$F,3,0)))))</f>
        <v>H</v>
      </c>
      <c r="G836" s="511">
        <v>0.128</v>
      </c>
      <c r="H836" s="512">
        <f>IF($C836="",IFERROR(VLOOKUP($B836,SERVIÇOS!$B:$G,6,0),IFERROR(VLOOKUP($B836,$D:$K,8,0),"")),IFERROR(VLOOKUP($C836,INSUMOS!$A:$D,4,0),IFERROR(VLOOKUP($C836,COTAÇÕES!$B:$I,7,0),(VLOOKUP($C836,'INSUMO SINAPI - SP'!$C:$F,4,0)))))</f>
        <v>37.369999999999997</v>
      </c>
      <c r="I836" s="513">
        <f>TRUNC(IF($C836="",IFERROR(VLOOKUP($B836,SERVIÇOS!$B:$G,4,0),IFERROR(VLOOKUP($B836,$D:$K,6,0),)),IFERROR(VLOOKUP($C836,INSUMOS!$A:$D,4,0),IFERROR(VLOOKUP($C836,COTAÇÕES!$B:$I,7,0),(VLOOKUP($C836,'INSUMO SINAPI - SP'!$C:$F,4,0)))))*$G836,2)</f>
        <v>1.19</v>
      </c>
      <c r="J836" s="513">
        <f>TRUNC(IF($C836="",IFERROR(VLOOKUP($B836,SERVIÇOS!$B:$G,5,0),IFERROR(VLOOKUP($B836,$D:$K,7,0),)),0)*$G836,2)</f>
        <v>3.59</v>
      </c>
      <c r="K836" s="514">
        <f>I836+J836</f>
        <v>4.7799999999999994</v>
      </c>
      <c r="L836" s="515"/>
      <c r="M836" s="471"/>
      <c r="N836" s="516"/>
      <c r="Q836" s="472"/>
      <c r="R836" s="472"/>
      <c r="S836" s="472"/>
      <c r="T836" s="472"/>
      <c r="U836" s="472"/>
      <c r="V836" s="472"/>
      <c r="W836" s="472"/>
      <c r="X836" s="472"/>
      <c r="Y836" s="472"/>
    </row>
    <row r="837" spans="1:25" x14ac:dyDescent="0.25">
      <c r="A837" s="463"/>
      <c r="B837" s="506">
        <v>88247</v>
      </c>
      <c r="C837" s="507"/>
      <c r="D837" s="508"/>
      <c r="E837" s="509" t="str">
        <f>IF($C837="",IFERROR(VLOOKUP($B837,SERVIÇOS!$B:$G,2,0),IFERROR(VLOOKUP($B837,$D:$K,2,0),"")),IFERROR(VLOOKUP($C837,INSUMOS!$A:$D,2,0),IFERROR(VLOOKUP($C837,COTAÇÕES!$B:$I,2,0),(VLOOKUP($C837,'INSUMO SINAPI - SP'!$C:$F,2,0)))))</f>
        <v>AUXILIAR DE ELETRICISTA COM ENCARGOS COMPLEMENTARES</v>
      </c>
      <c r="F837" s="510" t="str">
        <f>IF($C837="",IFERROR(VLOOKUP($B837,SERVIÇOS!$B:$G,3,0),IFERROR(VLOOKUP($B837,$D:$K,3,0),"")),IFERROR(VLOOKUP($C837,INSUMOS!$A:$D,3,0),IFERROR(VLOOKUP($C837,COTAÇÕES!$B:$I,3,0),(VLOOKUP($C837,'INSUMO SINAPI - SP'!$C:$F,3,0)))))</f>
        <v>H</v>
      </c>
      <c r="G837" s="511">
        <v>0.128</v>
      </c>
      <c r="H837" s="512">
        <f>IF($C837="",IFERROR(VLOOKUP($B837,SERVIÇOS!$B:$G,6,0),IFERROR(VLOOKUP($B837,$D:$K,8,0),"")),IFERROR(VLOOKUP($C837,INSUMOS!$A:$D,4,0),IFERROR(VLOOKUP($C837,COTAÇÕES!$B:$I,7,0),(VLOOKUP($C837,'INSUMO SINAPI - SP'!$C:$F,4,0)))))</f>
        <v>30.8</v>
      </c>
      <c r="I837" s="513">
        <f>TRUNC(IF($C837="",IFERROR(VLOOKUP($B837,SERVIÇOS!$B:$G,4,0),IFERROR(VLOOKUP($B837,$D:$K,6,0),)),IFERROR(VLOOKUP($C837,INSUMOS!$A:$D,4,0),IFERROR(VLOOKUP($C837,COTAÇÕES!$B:$I,7,0),(VLOOKUP($C837,'INSUMO SINAPI - SP'!$C:$F,4,0)))))*$G837,2)</f>
        <v>1.19</v>
      </c>
      <c r="J837" s="513">
        <f>TRUNC(IF($C837="",IFERROR(VLOOKUP($B837,SERVIÇOS!$B:$G,5,0),IFERROR(VLOOKUP($B837,$D:$K,7,0),)),0)*$G837,2)</f>
        <v>2.74</v>
      </c>
      <c r="K837" s="514">
        <f>I837+J837</f>
        <v>3.93</v>
      </c>
      <c r="L837" s="515"/>
      <c r="M837" s="471"/>
      <c r="N837" s="516"/>
      <c r="Q837" s="472"/>
      <c r="R837" s="472"/>
      <c r="S837" s="472"/>
      <c r="T837" s="472"/>
      <c r="U837" s="472"/>
      <c r="V837" s="472"/>
      <c r="W837" s="472"/>
      <c r="X837" s="472"/>
      <c r="Y837" s="472"/>
    </row>
    <row r="838" spans="1:25" x14ac:dyDescent="0.25">
      <c r="A838" s="463"/>
      <c r="B838" s="506"/>
      <c r="C838" s="507" t="s">
        <v>13061</v>
      </c>
      <c r="D838" s="508"/>
      <c r="E838" s="518" t="s">
        <v>13059</v>
      </c>
      <c r="F838" s="519" t="s">
        <v>585</v>
      </c>
      <c r="G838" s="511">
        <v>1.0149999999999999</v>
      </c>
      <c r="H838" s="520">
        <v>82.23</v>
      </c>
      <c r="I838" s="520">
        <f>TRUNC(H838*G838,2)</f>
        <v>83.46</v>
      </c>
      <c r="J838" s="521"/>
      <c r="K838" s="522">
        <f>I838+J838</f>
        <v>83.46</v>
      </c>
      <c r="L838" s="517" t="s">
        <v>12901</v>
      </c>
      <c r="M838" s="471"/>
      <c r="N838" s="516"/>
      <c r="Q838" s="472"/>
      <c r="R838" s="472"/>
      <c r="S838" s="472"/>
      <c r="T838" s="472"/>
      <c r="U838" s="472"/>
      <c r="V838" s="472"/>
      <c r="W838" s="472"/>
      <c r="X838" s="472"/>
      <c r="Y838" s="472"/>
    </row>
    <row r="839" spans="1:25" x14ac:dyDescent="0.25">
      <c r="A839" s="463"/>
      <c r="B839" s="506"/>
      <c r="C839" s="507">
        <v>21127</v>
      </c>
      <c r="D839" s="508"/>
      <c r="E839" s="509" t="str">
        <f>IF($C839="",IFERROR(VLOOKUP($B839,SERVIÇOS!$B:$G,2,0),IFERROR(VLOOKUP($B839,$D:$K,2,0),"")),IFERROR(VLOOKUP($C839,INSUMOS!$A:$D,2,0),IFERROR(VLOOKUP($C839,COTAÇÕES!$B:$I,2,0),(VLOOKUP($C839,'INSUMO SINAPI - SP'!$C:$F,2,0)))))</f>
        <v>FITA ISOLANTE ADESIVA ANTICHAMA, USO ATE 750 V, EM ROLO DE 19 MM X 5 M</v>
      </c>
      <c r="F839" s="510" t="str">
        <f>IF($C839="",IFERROR(VLOOKUP($B839,SERVIÇOS!$B:$G,3,0),IFERROR(VLOOKUP($B839,$D:$K,3,0),"")),IFERROR(VLOOKUP($C839,INSUMOS!$A:$D,3,0),IFERROR(VLOOKUP($C839,COTAÇÕES!$B:$I,3,0),(VLOOKUP($C839,'INSUMO SINAPI - SP'!$C:$F,3,0)))))</f>
        <v>UN</v>
      </c>
      <c r="G839" s="511">
        <v>8.9999999999999993E-3</v>
      </c>
      <c r="H839" s="512">
        <f>IF($C839="",IFERROR(VLOOKUP($B839,SERVIÇOS!$B:$G,6,0),IFERROR(VLOOKUP($B839,$D:$K,8,0),"")),IFERROR(VLOOKUP($C839,INSUMOS!$A:$D,4,0),IFERROR(VLOOKUP($C839,COTAÇÕES!$B:$I,7,0),(VLOOKUP($C839,'INSUMO SINAPI - SP'!$C:$F,4,0)))))</f>
        <v>5.27</v>
      </c>
      <c r="I839" s="513">
        <f>TRUNC(IF($C839="",IFERROR(VLOOKUP($B839,SERVIÇOS!$B:$G,4,0),IFERROR(VLOOKUP($B839,$D:$K,6,0),)),IFERROR(VLOOKUP($C839,INSUMOS!$A:$D,4,0),IFERROR(VLOOKUP($C839,COTAÇÕES!$B:$I,7,0),(VLOOKUP($C839,'INSUMO SINAPI - SP'!$C:$F,4,0)))))*$G839,2)</f>
        <v>0.04</v>
      </c>
      <c r="J839" s="513">
        <f>TRUNC(IF($C839="",IFERROR(VLOOKUP($B839,SERVIÇOS!$B:$G,5,0),IFERROR(VLOOKUP($B839,$D:$K,7,0),)),0)*$G839,2)</f>
        <v>0</v>
      </c>
      <c r="K839" s="514">
        <f>I839+J839</f>
        <v>0.04</v>
      </c>
      <c r="L839" s="517"/>
      <c r="M839" s="471"/>
      <c r="N839" s="516"/>
      <c r="Q839" s="472"/>
      <c r="R839" s="472"/>
      <c r="S839" s="472"/>
      <c r="T839" s="472"/>
      <c r="U839" s="472"/>
      <c r="V839" s="472"/>
      <c r="W839" s="472"/>
      <c r="X839" s="472"/>
      <c r="Y839" s="472"/>
    </row>
    <row r="840" spans="1:25" x14ac:dyDescent="0.25">
      <c r="A840" s="463"/>
      <c r="B840" s="498"/>
      <c r="C840" s="498"/>
      <c r="D840" s="499" t="s">
        <v>12275</v>
      </c>
      <c r="E840" s="555" t="s">
        <v>13062</v>
      </c>
      <c r="F840" s="501" t="s">
        <v>585</v>
      </c>
      <c r="G840" s="502"/>
      <c r="H840" s="503"/>
      <c r="I840" s="504">
        <f>ROUND(SUM(I841:I844),2)</f>
        <v>116.08</v>
      </c>
      <c r="J840" s="504">
        <f>ROUND(SUM(J841:J844),2)</f>
        <v>7.52</v>
      </c>
      <c r="K840" s="504">
        <f>+J840+I840</f>
        <v>123.6</v>
      </c>
      <c r="L840" s="523" t="s">
        <v>13063</v>
      </c>
      <c r="M840" s="471"/>
      <c r="N840" s="505"/>
      <c r="Q840" s="472"/>
      <c r="R840" s="472"/>
      <c r="S840" s="472"/>
      <c r="T840" s="472"/>
      <c r="U840" s="472"/>
      <c r="V840" s="472"/>
      <c r="W840" s="472"/>
      <c r="X840" s="472"/>
      <c r="Y840" s="472"/>
    </row>
    <row r="841" spans="1:25" x14ac:dyDescent="0.25">
      <c r="A841" s="463"/>
      <c r="B841" s="506">
        <v>88264</v>
      </c>
      <c r="C841" s="507"/>
      <c r="D841" s="508"/>
      <c r="E841" s="509" t="str">
        <f>IF($C841="",IFERROR(VLOOKUP($B841,SERVIÇOS!$B:$G,2,0),IFERROR(VLOOKUP($B841,$D:$K,2,0),"")),IFERROR(VLOOKUP($C841,INSUMOS!$A:$D,2,0),IFERROR(VLOOKUP($C841,COTAÇÕES!$B:$I,2,0),(VLOOKUP($C841,'INSUMO SINAPI - SP'!$C:$F,2,0)))))</f>
        <v>ELETRICISTA COM ENCARGOS COMPLEMENTARES</v>
      </c>
      <c r="F841" s="510" t="str">
        <f>IF($C841="",IFERROR(VLOOKUP($B841,SERVIÇOS!$B:$G,3,0),IFERROR(VLOOKUP($B841,$D:$K,3,0),"")),IFERROR(VLOOKUP($C841,INSUMOS!$A:$D,3,0),IFERROR(VLOOKUP($C841,COTAÇÕES!$B:$I,3,0),(VLOOKUP($C841,'INSUMO SINAPI - SP'!$C:$F,3,0)))))</f>
        <v>H</v>
      </c>
      <c r="G841" s="511">
        <v>0.152</v>
      </c>
      <c r="H841" s="512">
        <f>IF($C841="",IFERROR(VLOOKUP($B841,SERVIÇOS!$B:$G,6,0),IFERROR(VLOOKUP($B841,$D:$K,8,0),"")),IFERROR(VLOOKUP($C841,INSUMOS!$A:$D,4,0),IFERROR(VLOOKUP($C841,COTAÇÕES!$B:$I,7,0),(VLOOKUP($C841,'INSUMO SINAPI - SP'!$C:$F,4,0)))))</f>
        <v>37.369999999999997</v>
      </c>
      <c r="I841" s="513">
        <f>TRUNC(IF($C841="",IFERROR(VLOOKUP($B841,SERVIÇOS!$B:$G,4,0),IFERROR(VLOOKUP($B841,$D:$K,6,0),)),IFERROR(VLOOKUP($C841,INSUMOS!$A:$D,4,0),IFERROR(VLOOKUP($C841,COTAÇÕES!$B:$I,7,0),(VLOOKUP($C841,'INSUMO SINAPI - SP'!$C:$F,4,0)))))*$G841,2)</f>
        <v>1.41</v>
      </c>
      <c r="J841" s="513">
        <f>TRUNC(IF($C841="",IFERROR(VLOOKUP($B841,SERVIÇOS!$B:$G,5,0),IFERROR(VLOOKUP($B841,$D:$K,7,0),)),0)*$G841,2)</f>
        <v>4.26</v>
      </c>
      <c r="K841" s="514">
        <f>I841+J841</f>
        <v>5.67</v>
      </c>
      <c r="L841" s="515"/>
      <c r="M841" s="471"/>
      <c r="N841" s="516"/>
      <c r="Q841" s="472"/>
      <c r="R841" s="472"/>
      <c r="S841" s="472"/>
      <c r="T841" s="472"/>
      <c r="U841" s="472"/>
      <c r="V841" s="472"/>
      <c r="W841" s="472"/>
      <c r="X841" s="472"/>
      <c r="Y841" s="472"/>
    </row>
    <row r="842" spans="1:25" x14ac:dyDescent="0.25">
      <c r="A842" s="463"/>
      <c r="B842" s="506">
        <v>88247</v>
      </c>
      <c r="C842" s="507"/>
      <c r="D842" s="508"/>
      <c r="E842" s="509" t="str">
        <f>IF($C842="",IFERROR(VLOOKUP($B842,SERVIÇOS!$B:$G,2,0),IFERROR(VLOOKUP($B842,$D:$K,2,0),"")),IFERROR(VLOOKUP($C842,INSUMOS!$A:$D,2,0),IFERROR(VLOOKUP($C842,COTAÇÕES!$B:$I,2,0),(VLOOKUP($C842,'INSUMO SINAPI - SP'!$C:$F,2,0)))))</f>
        <v>AUXILIAR DE ELETRICISTA COM ENCARGOS COMPLEMENTARES</v>
      </c>
      <c r="F842" s="510" t="str">
        <f>IF($C842="",IFERROR(VLOOKUP($B842,SERVIÇOS!$B:$G,3,0),IFERROR(VLOOKUP($B842,$D:$K,3,0),"")),IFERROR(VLOOKUP($C842,INSUMOS!$A:$D,3,0),IFERROR(VLOOKUP($C842,COTAÇÕES!$B:$I,3,0),(VLOOKUP($C842,'INSUMO SINAPI - SP'!$C:$F,3,0)))))</f>
        <v>H</v>
      </c>
      <c r="G842" s="511">
        <v>0.152</v>
      </c>
      <c r="H842" s="512">
        <f>IF($C842="",IFERROR(VLOOKUP($B842,SERVIÇOS!$B:$G,6,0),IFERROR(VLOOKUP($B842,$D:$K,8,0),"")),IFERROR(VLOOKUP($C842,INSUMOS!$A:$D,4,0),IFERROR(VLOOKUP($C842,COTAÇÕES!$B:$I,7,0),(VLOOKUP($C842,'INSUMO SINAPI - SP'!$C:$F,4,0)))))</f>
        <v>30.8</v>
      </c>
      <c r="I842" s="513">
        <f>TRUNC(IF($C842="",IFERROR(VLOOKUP($B842,SERVIÇOS!$B:$G,4,0),IFERROR(VLOOKUP($B842,$D:$K,6,0),)),IFERROR(VLOOKUP($C842,INSUMOS!$A:$D,4,0),IFERROR(VLOOKUP($C842,COTAÇÕES!$B:$I,7,0),(VLOOKUP($C842,'INSUMO SINAPI - SP'!$C:$F,4,0)))))*$G842,2)</f>
        <v>1.41</v>
      </c>
      <c r="J842" s="513">
        <f>TRUNC(IF($C842="",IFERROR(VLOOKUP($B842,SERVIÇOS!$B:$G,5,0),IFERROR(VLOOKUP($B842,$D:$K,7,0),)),0)*$G842,2)</f>
        <v>3.26</v>
      </c>
      <c r="K842" s="514">
        <f>I842+J842</f>
        <v>4.67</v>
      </c>
      <c r="L842" s="515"/>
      <c r="M842" s="471"/>
      <c r="N842" s="516"/>
      <c r="Q842" s="472"/>
      <c r="R842" s="472"/>
      <c r="S842" s="472"/>
      <c r="T842" s="472"/>
      <c r="U842" s="472"/>
      <c r="V842" s="472"/>
      <c r="W842" s="472"/>
      <c r="X842" s="472"/>
      <c r="Y842" s="472"/>
    </row>
    <row r="843" spans="1:25" x14ac:dyDescent="0.25">
      <c r="A843" s="463"/>
      <c r="B843" s="506"/>
      <c r="C843" s="507" t="s">
        <v>13064</v>
      </c>
      <c r="D843" s="508"/>
      <c r="E843" s="518" t="s">
        <v>13062</v>
      </c>
      <c r="F843" s="519" t="s">
        <v>585</v>
      </c>
      <c r="G843" s="511">
        <v>1.0149999999999999</v>
      </c>
      <c r="H843" s="520">
        <v>111.55</v>
      </c>
      <c r="I843" s="520">
        <f>TRUNC(H843*G843,2)</f>
        <v>113.22</v>
      </c>
      <c r="J843" s="521"/>
      <c r="K843" s="522">
        <f>I843+J843</f>
        <v>113.22</v>
      </c>
      <c r="L843" s="517" t="s">
        <v>12901</v>
      </c>
      <c r="M843" s="471"/>
      <c r="N843" s="516"/>
      <c r="Q843" s="472"/>
      <c r="R843" s="472"/>
      <c r="S843" s="472"/>
      <c r="T843" s="472"/>
      <c r="U843" s="472"/>
      <c r="V843" s="472"/>
      <c r="W843" s="472"/>
      <c r="X843" s="472"/>
      <c r="Y843" s="472"/>
    </row>
    <row r="844" spans="1:25" x14ac:dyDescent="0.25">
      <c r="A844" s="463"/>
      <c r="B844" s="506"/>
      <c r="C844" s="507">
        <v>21127</v>
      </c>
      <c r="D844" s="508"/>
      <c r="E844" s="509" t="str">
        <f>IF($C844="",IFERROR(VLOOKUP($B844,SERVIÇOS!$B:$G,2,0),IFERROR(VLOOKUP($B844,$D:$K,2,0),"")),IFERROR(VLOOKUP($C844,INSUMOS!$A:$D,2,0),IFERROR(VLOOKUP($C844,COTAÇÕES!$B:$I,2,0),(VLOOKUP($C844,'INSUMO SINAPI - SP'!$C:$F,2,0)))))</f>
        <v>FITA ISOLANTE ADESIVA ANTICHAMA, USO ATE 750 V, EM ROLO DE 19 MM X 5 M</v>
      </c>
      <c r="F844" s="510" t="str">
        <f>IF($C844="",IFERROR(VLOOKUP($B844,SERVIÇOS!$B:$G,3,0),IFERROR(VLOOKUP($B844,$D:$K,3,0),"")),IFERROR(VLOOKUP($C844,INSUMOS!$A:$D,3,0),IFERROR(VLOOKUP($C844,COTAÇÕES!$B:$I,3,0),(VLOOKUP($C844,'INSUMO SINAPI - SP'!$C:$F,3,0)))))</f>
        <v>UN</v>
      </c>
      <c r="G844" s="511">
        <v>8.9999999999999993E-3</v>
      </c>
      <c r="H844" s="512">
        <f>IF($C844="",IFERROR(VLOOKUP($B844,SERVIÇOS!$B:$G,6,0),IFERROR(VLOOKUP($B844,$D:$K,8,0),"")),IFERROR(VLOOKUP($C844,INSUMOS!$A:$D,4,0),IFERROR(VLOOKUP($C844,COTAÇÕES!$B:$I,7,0),(VLOOKUP($C844,'INSUMO SINAPI - SP'!$C:$F,4,0)))))</f>
        <v>5.27</v>
      </c>
      <c r="I844" s="513">
        <f>TRUNC(IF($C844="",IFERROR(VLOOKUP($B844,SERVIÇOS!$B:$G,4,0),IFERROR(VLOOKUP($B844,$D:$K,6,0),)),IFERROR(VLOOKUP($C844,INSUMOS!$A:$D,4,0),IFERROR(VLOOKUP($C844,COTAÇÕES!$B:$I,7,0),(VLOOKUP($C844,'INSUMO SINAPI - SP'!$C:$F,4,0)))))*$G844,2)</f>
        <v>0.04</v>
      </c>
      <c r="J844" s="513">
        <f>TRUNC(IF($C844="",IFERROR(VLOOKUP($B844,SERVIÇOS!$B:$G,5,0),IFERROR(VLOOKUP($B844,$D:$K,7,0),)),0)*$G844,2)</f>
        <v>0</v>
      </c>
      <c r="K844" s="514">
        <f>I844+J844</f>
        <v>0.04</v>
      </c>
      <c r="L844" s="517"/>
      <c r="M844" s="471"/>
      <c r="N844" s="516"/>
      <c r="Q844" s="472"/>
      <c r="R844" s="472"/>
      <c r="S844" s="472"/>
      <c r="T844" s="472"/>
      <c r="U844" s="472"/>
      <c r="V844" s="472"/>
      <c r="W844" s="472"/>
      <c r="X844" s="472"/>
      <c r="Y844" s="472"/>
    </row>
    <row r="845" spans="1:25" x14ac:dyDescent="0.25">
      <c r="A845" s="463"/>
      <c r="B845" s="498"/>
      <c r="C845" s="498"/>
      <c r="D845" s="499" t="s">
        <v>12278</v>
      </c>
      <c r="E845" s="555" t="s">
        <v>13065</v>
      </c>
      <c r="F845" s="501" t="s">
        <v>580</v>
      </c>
      <c r="G845" s="502"/>
      <c r="H845" s="503"/>
      <c r="I845" s="504">
        <f>ROUND(SUM(I846:I848),2)</f>
        <v>11.23</v>
      </c>
      <c r="J845" s="504">
        <f>ROUND(SUM(J846:J848),2)</f>
        <v>9.9</v>
      </c>
      <c r="K845" s="504">
        <f>+J845+I845</f>
        <v>21.130000000000003</v>
      </c>
      <c r="L845" s="523" t="s">
        <v>13066</v>
      </c>
      <c r="M845" s="471"/>
      <c r="N845" s="505"/>
      <c r="Q845" s="472"/>
      <c r="R845" s="472"/>
      <c r="S845" s="472"/>
      <c r="T845" s="472"/>
      <c r="U845" s="472"/>
      <c r="V845" s="472"/>
      <c r="W845" s="472"/>
      <c r="X845" s="472"/>
      <c r="Y845" s="472"/>
    </row>
    <row r="846" spans="1:25" ht="24" x14ac:dyDescent="0.25">
      <c r="A846" s="463"/>
      <c r="B846" s="506"/>
      <c r="C846" s="507">
        <v>1579</v>
      </c>
      <c r="D846" s="508"/>
      <c r="E846" s="509" t="str">
        <f>IF($C846="",IFERROR(VLOOKUP($B846,SERVIÇOS!$B:$G,2,0),IFERROR(VLOOKUP($B846,$D:$K,2,0),"")),IFERROR(VLOOKUP($C846,INSUMOS!$A:$D,2,0),IFERROR(VLOOKUP($C846,COTAÇÕES!$B:$I,2,0),(VLOOKUP($C846,'INSUMO SINAPI - SP'!$C:$F,2,0)))))</f>
        <v>TERMINAL A COMPRESSAO EM COBRE ESTANHADO PARA CABO 70 MM2, 1 FURO E 1 COMPRESSAO, PARA PARAFUSO DE FIXACAO M10</v>
      </c>
      <c r="F846" s="510" t="str">
        <f>IF($C846="",IFERROR(VLOOKUP($B846,SERVIÇOS!$B:$G,3,0),IFERROR(VLOOKUP($B846,$D:$K,3,0),"")),IFERROR(VLOOKUP($C846,INSUMOS!$A:$D,3,0),IFERROR(VLOOKUP($C846,COTAÇÕES!$B:$I,3,0),(VLOOKUP($C846,'INSUMO SINAPI - SP'!$C:$F,3,0)))))</f>
        <v>UN</v>
      </c>
      <c r="G846" s="511">
        <v>1</v>
      </c>
      <c r="H846" s="512">
        <f>IF($C846="",IFERROR(VLOOKUP($B846,SERVIÇOS!$B:$G,6,0),IFERROR(VLOOKUP($B846,$D:$K,8,0),"")),IFERROR(VLOOKUP($C846,INSUMOS!$A:$D,4,0),IFERROR(VLOOKUP($C846,COTAÇÕES!$B:$I,7,0),(VLOOKUP($C846,'INSUMO SINAPI - SP'!$C:$F,4,0)))))</f>
        <v>7.51</v>
      </c>
      <c r="I846" s="513">
        <f>TRUNC(IF($C846="",IFERROR(VLOOKUP($B846,SERVIÇOS!$B:$G,4,0),IFERROR(VLOOKUP($B846,$D:$K,6,0),)),IFERROR(VLOOKUP($C846,INSUMOS!$A:$D,4,0),IFERROR(VLOOKUP($C846,COTAÇÕES!$B:$I,7,0),(VLOOKUP($C846,'INSUMO SINAPI - SP'!$C:$F,4,0)))))*$G846,2)</f>
        <v>7.51</v>
      </c>
      <c r="J846" s="513">
        <f>TRUNC(IF($C846="",IFERROR(VLOOKUP($B846,SERVIÇOS!$B:$G,5,0),IFERROR(VLOOKUP($B846,$D:$K,7,0),)),0)*$G846,2)</f>
        <v>0</v>
      </c>
      <c r="K846" s="514">
        <f>I846+J846</f>
        <v>7.51</v>
      </c>
      <c r="L846" s="517"/>
      <c r="M846" s="471"/>
      <c r="N846" s="516"/>
      <c r="Q846" s="472"/>
      <c r="R846" s="472"/>
      <c r="S846" s="472"/>
      <c r="T846" s="472"/>
      <c r="U846" s="472"/>
      <c r="V846" s="472"/>
      <c r="W846" s="472"/>
      <c r="X846" s="472"/>
      <c r="Y846" s="472"/>
    </row>
    <row r="847" spans="1:25" x14ac:dyDescent="0.25">
      <c r="A847" s="463"/>
      <c r="B847" s="506">
        <v>88247</v>
      </c>
      <c r="C847" s="507"/>
      <c r="D847" s="508"/>
      <c r="E847" s="509" t="str">
        <f>IF($C847="",IFERROR(VLOOKUP($B847,SERVIÇOS!$B:$G,2,0),IFERROR(VLOOKUP($B847,$D:$K,2,0),"")),IFERROR(VLOOKUP($C847,INSUMOS!$A:$D,2,0),IFERROR(VLOOKUP($C847,COTAÇÕES!$B:$I,2,0),(VLOOKUP($C847,'INSUMO SINAPI - SP'!$C:$F,2,0)))))</f>
        <v>AUXILIAR DE ELETRICISTA COM ENCARGOS COMPLEMENTARES</v>
      </c>
      <c r="F847" s="510" t="str">
        <f>IF($C847="",IFERROR(VLOOKUP($B847,SERVIÇOS!$B:$G,3,0),IFERROR(VLOOKUP($B847,$D:$K,3,0),"")),IFERROR(VLOOKUP($C847,INSUMOS!$A:$D,3,0),IFERROR(VLOOKUP($C847,COTAÇÕES!$B:$I,3,0),(VLOOKUP($C847,'INSUMO SINAPI - SP'!$C:$F,3,0)))))</f>
        <v>H</v>
      </c>
      <c r="G847" s="511">
        <v>0.2</v>
      </c>
      <c r="H847" s="512">
        <f>IF($C847="",IFERROR(VLOOKUP($B847,SERVIÇOS!$B:$G,6,0),IFERROR(VLOOKUP($B847,$D:$K,8,0),"")),IFERROR(VLOOKUP($C847,INSUMOS!$A:$D,4,0),IFERROR(VLOOKUP($C847,COTAÇÕES!$B:$I,7,0),(VLOOKUP($C847,'INSUMO SINAPI - SP'!$C:$F,4,0)))))</f>
        <v>30.8</v>
      </c>
      <c r="I847" s="513">
        <f>TRUNC(IF($C847="",IFERROR(VLOOKUP($B847,SERVIÇOS!$B:$G,4,0),IFERROR(VLOOKUP($B847,$D:$K,6,0),)),IFERROR(VLOOKUP($C847,INSUMOS!$A:$D,4,0),IFERROR(VLOOKUP($C847,COTAÇÕES!$B:$I,7,0),(VLOOKUP($C847,'INSUMO SINAPI - SP'!$C:$F,4,0)))))*$G847,2)</f>
        <v>1.86</v>
      </c>
      <c r="J847" s="513">
        <f>TRUNC(IF($C847="",IFERROR(VLOOKUP($B847,SERVIÇOS!$B:$G,5,0),IFERROR(VLOOKUP($B847,$D:$K,7,0),)),0)*$G847,2)</f>
        <v>4.29</v>
      </c>
      <c r="K847" s="514">
        <f>I847+J847</f>
        <v>6.15</v>
      </c>
      <c r="L847" s="515"/>
      <c r="M847" s="471"/>
      <c r="N847" s="516"/>
      <c r="Q847" s="472"/>
      <c r="R847" s="472"/>
      <c r="S847" s="472"/>
      <c r="T847" s="472"/>
      <c r="U847" s="472"/>
      <c r="V847" s="472"/>
      <c r="W847" s="472"/>
      <c r="X847" s="472"/>
      <c r="Y847" s="472"/>
    </row>
    <row r="848" spans="1:25" x14ac:dyDescent="0.25">
      <c r="A848" s="463"/>
      <c r="B848" s="506">
        <v>88264</v>
      </c>
      <c r="C848" s="507"/>
      <c r="D848" s="508"/>
      <c r="E848" s="509" t="str">
        <f>IF($C848="",IFERROR(VLOOKUP($B848,SERVIÇOS!$B:$G,2,0),IFERROR(VLOOKUP($B848,$D:$K,2,0),"")),IFERROR(VLOOKUP($C848,INSUMOS!$A:$D,2,0),IFERROR(VLOOKUP($C848,COTAÇÕES!$B:$I,2,0),(VLOOKUP($C848,'INSUMO SINAPI - SP'!$C:$F,2,0)))))</f>
        <v>ELETRICISTA COM ENCARGOS COMPLEMENTARES</v>
      </c>
      <c r="F848" s="510" t="str">
        <f>IF($C848="",IFERROR(VLOOKUP($B848,SERVIÇOS!$B:$G,3,0),IFERROR(VLOOKUP($B848,$D:$K,3,0),"")),IFERROR(VLOOKUP($C848,INSUMOS!$A:$D,3,0),IFERROR(VLOOKUP($C848,COTAÇÕES!$B:$I,3,0),(VLOOKUP($C848,'INSUMO SINAPI - SP'!$C:$F,3,0)))))</f>
        <v>H</v>
      </c>
      <c r="G848" s="511">
        <v>0.2</v>
      </c>
      <c r="H848" s="512">
        <f>IF($C848="",IFERROR(VLOOKUP($B848,SERVIÇOS!$B:$G,6,0),IFERROR(VLOOKUP($B848,$D:$K,8,0),"")),IFERROR(VLOOKUP($C848,INSUMOS!$A:$D,4,0),IFERROR(VLOOKUP($C848,COTAÇÕES!$B:$I,7,0),(VLOOKUP($C848,'INSUMO SINAPI - SP'!$C:$F,4,0)))))</f>
        <v>37.369999999999997</v>
      </c>
      <c r="I848" s="513">
        <f>TRUNC(IF($C848="",IFERROR(VLOOKUP($B848,SERVIÇOS!$B:$G,4,0),IFERROR(VLOOKUP($B848,$D:$K,6,0),)),IFERROR(VLOOKUP($C848,INSUMOS!$A:$D,4,0),IFERROR(VLOOKUP($C848,COTAÇÕES!$B:$I,7,0),(VLOOKUP($C848,'INSUMO SINAPI - SP'!$C:$F,4,0)))))*$G848,2)</f>
        <v>1.86</v>
      </c>
      <c r="J848" s="513">
        <f>TRUNC(IF($C848="",IFERROR(VLOOKUP($B848,SERVIÇOS!$B:$G,5,0),IFERROR(VLOOKUP($B848,$D:$K,7,0),)),0)*$G848,2)</f>
        <v>5.61</v>
      </c>
      <c r="K848" s="514">
        <f>I848+J848</f>
        <v>7.4700000000000006</v>
      </c>
      <c r="L848" s="515"/>
      <c r="M848" s="471"/>
      <c r="N848" s="516"/>
      <c r="Q848" s="472"/>
      <c r="R848" s="472"/>
      <c r="S848" s="472"/>
      <c r="T848" s="472"/>
      <c r="U848" s="472"/>
      <c r="V848" s="472"/>
      <c r="W848" s="472"/>
      <c r="X848" s="472"/>
      <c r="Y848" s="472"/>
    </row>
    <row r="849" spans="1:25" ht="24" x14ac:dyDescent="0.25">
      <c r="A849" s="463"/>
      <c r="B849" s="498"/>
      <c r="C849" s="498"/>
      <c r="D849" s="499" t="s">
        <v>12210</v>
      </c>
      <c r="E849" s="555" t="s">
        <v>13067</v>
      </c>
      <c r="F849" s="501" t="s">
        <v>580</v>
      </c>
      <c r="G849" s="502"/>
      <c r="H849" s="503"/>
      <c r="I849" s="504">
        <f>ROUND(SUM(I850:I853),2)</f>
        <v>138.43</v>
      </c>
      <c r="J849" s="504">
        <f>ROUND(SUM(J850:J853),2)</f>
        <v>17.5</v>
      </c>
      <c r="K849" s="504">
        <f>+J849+I849</f>
        <v>155.93</v>
      </c>
      <c r="L849" s="523" t="s">
        <v>13068</v>
      </c>
      <c r="M849" s="471"/>
      <c r="N849" s="505"/>
      <c r="Q849" s="472"/>
      <c r="R849" s="472"/>
      <c r="S849" s="472"/>
      <c r="T849" s="472"/>
      <c r="U849" s="472"/>
      <c r="V849" s="472"/>
      <c r="W849" s="472"/>
      <c r="X849" s="472"/>
      <c r="Y849" s="472"/>
    </row>
    <row r="850" spans="1:25" x14ac:dyDescent="0.25">
      <c r="A850" s="463"/>
      <c r="B850" s="506">
        <v>88247</v>
      </c>
      <c r="C850" s="507"/>
      <c r="D850" s="508"/>
      <c r="E850" s="509" t="str">
        <f>IF($C850="",IFERROR(VLOOKUP($B850,SERVIÇOS!$B:$G,2,0),IFERROR(VLOOKUP($B850,$D:$K,2,0),"")),IFERROR(VLOOKUP($C850,INSUMOS!$A:$D,2,0),IFERROR(VLOOKUP($C850,COTAÇÕES!$B:$I,2,0),(VLOOKUP($C850,'INSUMO SINAPI - SP'!$C:$F,2,0)))))</f>
        <v>AUXILIAR DE ELETRICISTA COM ENCARGOS COMPLEMENTARES</v>
      </c>
      <c r="F850" s="510" t="str">
        <f>IF($C850="",IFERROR(VLOOKUP($B850,SERVIÇOS!$B:$G,3,0),IFERROR(VLOOKUP($B850,$D:$K,3,0),"")),IFERROR(VLOOKUP($C850,INSUMOS!$A:$D,3,0),IFERROR(VLOOKUP($C850,COTAÇÕES!$B:$I,3,0),(VLOOKUP($C850,'INSUMO SINAPI - SP'!$C:$F,3,0)))))</f>
        <v>H</v>
      </c>
      <c r="G850" s="511">
        <v>0.19719999999999999</v>
      </c>
      <c r="H850" s="512">
        <f>IF($C850="",IFERROR(VLOOKUP($B850,SERVIÇOS!$B:$G,6,0),IFERROR(VLOOKUP($B850,$D:$K,8,0),"")),IFERROR(VLOOKUP($C850,INSUMOS!$A:$D,4,0),IFERROR(VLOOKUP($C850,COTAÇÕES!$B:$I,7,0),(VLOOKUP($C850,'INSUMO SINAPI - SP'!$C:$F,4,0)))))</f>
        <v>30.8</v>
      </c>
      <c r="I850" s="513">
        <f>TRUNC(IF($C850="",IFERROR(VLOOKUP($B850,SERVIÇOS!$B:$G,4,0),IFERROR(VLOOKUP($B850,$D:$K,6,0),)),IFERROR(VLOOKUP($C850,INSUMOS!$A:$D,4,0),IFERROR(VLOOKUP($C850,COTAÇÕES!$B:$I,7,0),(VLOOKUP($C850,'INSUMO SINAPI - SP'!$C:$F,4,0)))))*$G850,2)</f>
        <v>1.83</v>
      </c>
      <c r="J850" s="513">
        <f>TRUNC(IF($C850="",IFERROR(VLOOKUP($B850,SERVIÇOS!$B:$G,5,0),IFERROR(VLOOKUP($B850,$D:$K,7,0),)),0)*$G850,2)</f>
        <v>4.2300000000000004</v>
      </c>
      <c r="K850" s="514">
        <f>I850+J850</f>
        <v>6.0600000000000005</v>
      </c>
      <c r="L850" s="515"/>
      <c r="M850" s="471"/>
      <c r="N850" s="516"/>
      <c r="Q850" s="472"/>
      <c r="R850" s="472"/>
      <c r="S850" s="472"/>
      <c r="T850" s="472"/>
      <c r="U850" s="472"/>
      <c r="V850" s="472"/>
      <c r="W850" s="472"/>
      <c r="X850" s="472"/>
      <c r="Y850" s="472"/>
    </row>
    <row r="851" spans="1:25" x14ac:dyDescent="0.25">
      <c r="A851" s="463"/>
      <c r="B851" s="506">
        <v>88264</v>
      </c>
      <c r="C851" s="507"/>
      <c r="D851" s="508"/>
      <c r="E851" s="509" t="str">
        <f>IF($C851="",IFERROR(VLOOKUP($B851,SERVIÇOS!$B:$G,2,0),IFERROR(VLOOKUP($B851,$D:$K,2,0),"")),IFERROR(VLOOKUP($C851,INSUMOS!$A:$D,2,0),IFERROR(VLOOKUP($C851,COTAÇÕES!$B:$I,2,0),(VLOOKUP($C851,'INSUMO SINAPI - SP'!$C:$F,2,0)))))</f>
        <v>ELETRICISTA COM ENCARGOS COMPLEMENTARES</v>
      </c>
      <c r="F851" s="510" t="str">
        <f>IF($C851="",IFERROR(VLOOKUP($B851,SERVIÇOS!$B:$G,3,0),IFERROR(VLOOKUP($B851,$D:$K,3,0),"")),IFERROR(VLOOKUP($C851,INSUMOS!$A:$D,3,0),IFERROR(VLOOKUP($C851,COTAÇÕES!$B:$I,3,0),(VLOOKUP($C851,'INSUMO SINAPI - SP'!$C:$F,3,0)))))</f>
        <v>H</v>
      </c>
      <c r="G851" s="511">
        <v>0.47320000000000001</v>
      </c>
      <c r="H851" s="512">
        <f>IF($C851="",IFERROR(VLOOKUP($B851,SERVIÇOS!$B:$G,6,0),IFERROR(VLOOKUP($B851,$D:$K,8,0),"")),IFERROR(VLOOKUP($C851,INSUMOS!$A:$D,4,0),IFERROR(VLOOKUP($C851,COTAÇÕES!$B:$I,7,0),(VLOOKUP($C851,'INSUMO SINAPI - SP'!$C:$F,4,0)))))</f>
        <v>37.369999999999997</v>
      </c>
      <c r="I851" s="513">
        <f>TRUNC(IF($C851="",IFERROR(VLOOKUP($B851,SERVIÇOS!$B:$G,4,0),IFERROR(VLOOKUP($B851,$D:$K,6,0),)),IFERROR(VLOOKUP($C851,INSUMOS!$A:$D,4,0),IFERROR(VLOOKUP($C851,COTAÇÕES!$B:$I,7,0),(VLOOKUP($C851,'INSUMO SINAPI - SP'!$C:$F,4,0)))))*$G851,2)</f>
        <v>4.4000000000000004</v>
      </c>
      <c r="J851" s="513">
        <f>TRUNC(IF($C851="",IFERROR(VLOOKUP($B851,SERVIÇOS!$B:$G,5,0),IFERROR(VLOOKUP($B851,$D:$K,7,0),)),0)*$G851,2)</f>
        <v>13.27</v>
      </c>
      <c r="K851" s="514">
        <f>I851+J851</f>
        <v>17.670000000000002</v>
      </c>
      <c r="L851" s="515"/>
      <c r="M851" s="471"/>
      <c r="N851" s="516"/>
      <c r="Q851" s="472"/>
      <c r="R851" s="472"/>
      <c r="S851" s="472"/>
      <c r="T851" s="472"/>
      <c r="U851" s="472"/>
      <c r="V851" s="472"/>
      <c r="W851" s="472"/>
      <c r="X851" s="472"/>
      <c r="Y851" s="472"/>
    </row>
    <row r="852" spans="1:25" x14ac:dyDescent="0.25">
      <c r="A852" s="463"/>
      <c r="B852" s="506"/>
      <c r="C852" s="507" t="s">
        <v>13069</v>
      </c>
      <c r="D852" s="508"/>
      <c r="E852" s="518" t="s">
        <v>13070</v>
      </c>
      <c r="F852" s="519" t="s">
        <v>580</v>
      </c>
      <c r="G852" s="511">
        <v>1</v>
      </c>
      <c r="H852" s="520">
        <v>94.87</v>
      </c>
      <c r="I852" s="520">
        <f>TRUNC(H852*G852,2)</f>
        <v>94.87</v>
      </c>
      <c r="J852" s="521"/>
      <c r="K852" s="522">
        <f>I852+J852</f>
        <v>94.87</v>
      </c>
      <c r="L852" s="517" t="s">
        <v>12668</v>
      </c>
      <c r="M852" s="471"/>
      <c r="N852" s="516"/>
      <c r="Q852" s="472"/>
      <c r="R852" s="472"/>
      <c r="S852" s="472"/>
      <c r="T852" s="472"/>
      <c r="U852" s="472"/>
      <c r="V852" s="472"/>
      <c r="W852" s="472"/>
      <c r="X852" s="472"/>
      <c r="Y852" s="472"/>
    </row>
    <row r="853" spans="1:25" x14ac:dyDescent="0.25">
      <c r="A853" s="463"/>
      <c r="B853" s="506"/>
      <c r="C853" s="507" t="s">
        <v>13071</v>
      </c>
      <c r="D853" s="508"/>
      <c r="E853" s="518" t="s">
        <v>13072</v>
      </c>
      <c r="F853" s="519" t="s">
        <v>580</v>
      </c>
      <c r="G853" s="511">
        <v>1</v>
      </c>
      <c r="H853" s="520">
        <v>37.33</v>
      </c>
      <c r="I853" s="520">
        <f>TRUNC(H853*G853,2)</f>
        <v>37.33</v>
      </c>
      <c r="J853" s="521"/>
      <c r="K853" s="522">
        <f>I853+J853</f>
        <v>37.33</v>
      </c>
      <c r="L853" s="517" t="s">
        <v>12668</v>
      </c>
      <c r="M853" s="471"/>
      <c r="N853" s="516"/>
      <c r="Q853" s="472"/>
      <c r="R853" s="472"/>
      <c r="S853" s="472"/>
      <c r="T853" s="472"/>
      <c r="U853" s="472"/>
      <c r="V853" s="472"/>
      <c r="W853" s="472"/>
      <c r="X853" s="472"/>
      <c r="Y853" s="472"/>
    </row>
    <row r="854" spans="1:25" x14ac:dyDescent="0.25">
      <c r="A854" s="463"/>
      <c r="B854" s="498"/>
      <c r="C854" s="498"/>
      <c r="D854" s="499" t="s">
        <v>12211</v>
      </c>
      <c r="E854" s="555" t="s">
        <v>13073</v>
      </c>
      <c r="F854" s="501" t="s">
        <v>580</v>
      </c>
      <c r="G854" s="502"/>
      <c r="H854" s="503"/>
      <c r="I854" s="504">
        <f>ROUND(SUM(I855:I859),2)</f>
        <v>34.75</v>
      </c>
      <c r="J854" s="504">
        <f>ROUND(SUM(J855:J859),2)</f>
        <v>29.7</v>
      </c>
      <c r="K854" s="504">
        <f>+J854+I854</f>
        <v>64.45</v>
      </c>
      <c r="L854" s="523" t="s">
        <v>13074</v>
      </c>
      <c r="M854" s="471"/>
      <c r="N854" s="505"/>
      <c r="Q854" s="472"/>
      <c r="R854" s="472"/>
      <c r="S854" s="472"/>
      <c r="T854" s="472"/>
      <c r="U854" s="472"/>
      <c r="V854" s="472"/>
      <c r="W854" s="472"/>
      <c r="X854" s="472"/>
      <c r="Y854" s="472"/>
    </row>
    <row r="855" spans="1:25" x14ac:dyDescent="0.25">
      <c r="A855" s="463"/>
      <c r="B855" s="506">
        <v>88247</v>
      </c>
      <c r="C855" s="507"/>
      <c r="D855" s="508"/>
      <c r="E855" s="509" t="str">
        <f>IF($C855="",IFERROR(VLOOKUP($B855,SERVIÇOS!$B:$G,2,0),IFERROR(VLOOKUP($B855,$D:$K,2,0),"")),IFERROR(VLOOKUP($C855,INSUMOS!$A:$D,2,0),IFERROR(VLOOKUP($C855,COTAÇÕES!$B:$I,2,0),(VLOOKUP($C855,'INSUMO SINAPI - SP'!$C:$F,2,0)))))</f>
        <v>AUXILIAR DE ELETRICISTA COM ENCARGOS COMPLEMENTARES</v>
      </c>
      <c r="F855" s="510" t="str">
        <f>IF($C855="",IFERROR(VLOOKUP($B855,SERVIÇOS!$B:$G,3,0),IFERROR(VLOOKUP($B855,$D:$K,3,0),"")),IFERROR(VLOOKUP($C855,INSUMOS!$A:$D,3,0),IFERROR(VLOOKUP($C855,COTAÇÕES!$B:$I,3,0),(VLOOKUP($C855,'INSUMO SINAPI - SP'!$C:$F,3,0)))))</f>
        <v>H</v>
      </c>
      <c r="G855" s="511">
        <v>0.47199999999999998</v>
      </c>
      <c r="H855" s="512">
        <f>IF($C855="",IFERROR(VLOOKUP($B855,SERVIÇOS!$B:$G,6,0),IFERROR(VLOOKUP($B855,$D:$K,8,0),"")),IFERROR(VLOOKUP($C855,INSUMOS!$A:$D,4,0),IFERROR(VLOOKUP($C855,COTAÇÕES!$B:$I,7,0),(VLOOKUP($C855,'INSUMO SINAPI - SP'!$C:$F,4,0)))))</f>
        <v>30.8</v>
      </c>
      <c r="I855" s="513">
        <f>TRUNC(IF($C855="",IFERROR(VLOOKUP($B855,SERVIÇOS!$B:$G,4,0),IFERROR(VLOOKUP($B855,$D:$K,6,0),)),IFERROR(VLOOKUP($C855,INSUMOS!$A:$D,4,0),IFERROR(VLOOKUP($C855,COTAÇÕES!$B:$I,7,0),(VLOOKUP($C855,'INSUMO SINAPI - SP'!$C:$F,4,0)))))*$G855,2)</f>
        <v>4.3899999999999997</v>
      </c>
      <c r="J855" s="513">
        <f>TRUNC(IF($C855="",IFERROR(VLOOKUP($B855,SERVIÇOS!$B:$G,5,0),IFERROR(VLOOKUP($B855,$D:$K,7,0),)),0)*$G855,2)</f>
        <v>10.130000000000001</v>
      </c>
      <c r="K855" s="514">
        <f>I855+J855</f>
        <v>14.52</v>
      </c>
      <c r="L855" s="515"/>
      <c r="M855" s="471"/>
      <c r="N855" s="516"/>
      <c r="Q855" s="472"/>
      <c r="R855" s="472"/>
      <c r="S855" s="472"/>
      <c r="T855" s="472"/>
      <c r="U855" s="472"/>
      <c r="V855" s="472"/>
      <c r="W855" s="472"/>
      <c r="X855" s="472"/>
      <c r="Y855" s="472"/>
    </row>
    <row r="856" spans="1:25" x14ac:dyDescent="0.25">
      <c r="A856" s="463"/>
      <c r="B856" s="506">
        <v>88264</v>
      </c>
      <c r="C856" s="507"/>
      <c r="D856" s="508"/>
      <c r="E856" s="509" t="str">
        <f>IF($C856="",IFERROR(VLOOKUP($B856,SERVIÇOS!$B:$G,2,0),IFERROR(VLOOKUP($B856,$D:$K,2,0),"")),IFERROR(VLOOKUP($C856,INSUMOS!$A:$D,2,0),IFERROR(VLOOKUP($C856,COTAÇÕES!$B:$I,2,0),(VLOOKUP($C856,'INSUMO SINAPI - SP'!$C:$F,2,0)))))</f>
        <v>ELETRICISTA COM ENCARGOS COMPLEMENTARES</v>
      </c>
      <c r="F856" s="510" t="str">
        <f>IF($C856="",IFERROR(VLOOKUP($B856,SERVIÇOS!$B:$G,3,0),IFERROR(VLOOKUP($B856,$D:$K,3,0),"")),IFERROR(VLOOKUP($C856,INSUMOS!$A:$D,3,0),IFERROR(VLOOKUP($C856,COTAÇÕES!$B:$I,3,0),(VLOOKUP($C856,'INSUMO SINAPI - SP'!$C:$F,3,0)))))</f>
        <v>H</v>
      </c>
      <c r="G856" s="511">
        <v>0.47199999999999998</v>
      </c>
      <c r="H856" s="512">
        <f>IF($C856="",IFERROR(VLOOKUP($B856,SERVIÇOS!$B:$G,6,0),IFERROR(VLOOKUP($B856,$D:$K,8,0),"")),IFERROR(VLOOKUP($C856,INSUMOS!$A:$D,4,0),IFERROR(VLOOKUP($C856,COTAÇÕES!$B:$I,7,0),(VLOOKUP($C856,'INSUMO SINAPI - SP'!$C:$F,4,0)))))</f>
        <v>37.369999999999997</v>
      </c>
      <c r="I856" s="513">
        <f>TRUNC(IF($C856="",IFERROR(VLOOKUP($B856,SERVIÇOS!$B:$G,4,0),IFERROR(VLOOKUP($B856,$D:$K,6,0),)),IFERROR(VLOOKUP($C856,INSUMOS!$A:$D,4,0),IFERROR(VLOOKUP($C856,COTAÇÕES!$B:$I,7,0),(VLOOKUP($C856,'INSUMO SINAPI - SP'!$C:$F,4,0)))))*$G856,2)</f>
        <v>4.3899999999999997</v>
      </c>
      <c r="J856" s="513">
        <f>TRUNC(IF($C856="",IFERROR(VLOOKUP($B856,SERVIÇOS!$B:$G,5,0),IFERROR(VLOOKUP($B856,$D:$K,7,0),)),0)*$G856,2)</f>
        <v>13.24</v>
      </c>
      <c r="K856" s="514">
        <f>I856+J856</f>
        <v>17.63</v>
      </c>
      <c r="L856" s="515"/>
      <c r="M856" s="471"/>
      <c r="N856" s="516"/>
      <c r="Q856" s="472"/>
      <c r="R856" s="472"/>
      <c r="S856" s="472"/>
      <c r="T856" s="472"/>
      <c r="U856" s="472"/>
      <c r="V856" s="472"/>
      <c r="W856" s="472"/>
      <c r="X856" s="472"/>
      <c r="Y856" s="472"/>
    </row>
    <row r="857" spans="1:25" x14ac:dyDescent="0.25">
      <c r="A857" s="463"/>
      <c r="B857" s="506"/>
      <c r="C857" s="507">
        <v>38112</v>
      </c>
      <c r="D857" s="508"/>
      <c r="E857" s="509" t="str">
        <f>IF($C857="",IFERROR(VLOOKUP($B857,SERVIÇOS!$B:$G,2,0),IFERROR(VLOOKUP($B857,$D:$K,2,0),"")),IFERROR(VLOOKUP($C857,INSUMOS!$A:$D,2,0),IFERROR(VLOOKUP($C857,COTAÇÕES!$B:$I,2,0),(VLOOKUP($C857,'INSUMO SINAPI - SP'!$C:$F,2,0)))))</f>
        <v>INTERRUPTOR SIMPLES 10A, 250V (APENAS MODULO)</v>
      </c>
      <c r="F857" s="510" t="str">
        <f>IF($C857="",IFERROR(VLOOKUP($B857,SERVIÇOS!$B:$G,3,0),IFERROR(VLOOKUP($B857,$D:$K,3,0),"")),IFERROR(VLOOKUP($C857,INSUMOS!$A:$D,3,0),IFERROR(VLOOKUP($C857,COTAÇÕES!$B:$I,3,0),(VLOOKUP($C857,'INSUMO SINAPI - SP'!$C:$F,3,0)))))</f>
        <v>UN</v>
      </c>
      <c r="G857" s="511">
        <v>1</v>
      </c>
      <c r="H857" s="512">
        <f>IF($C857="",IFERROR(VLOOKUP($B857,SERVIÇOS!$B:$G,6,0),IFERROR(VLOOKUP($B857,$D:$K,8,0),"")),IFERROR(VLOOKUP($C857,INSUMOS!$A:$D,4,0),IFERROR(VLOOKUP($C857,COTAÇÕES!$B:$I,7,0),(VLOOKUP($C857,'INSUMO SINAPI - SP'!$C:$F,4,0)))))</f>
        <v>7.61</v>
      </c>
      <c r="I857" s="513">
        <f>TRUNC(IF($C857="",IFERROR(VLOOKUP($B857,SERVIÇOS!$B:$G,4,0),IFERROR(VLOOKUP($B857,$D:$K,6,0),)),IFERROR(VLOOKUP($C857,INSUMOS!$A:$D,4,0),IFERROR(VLOOKUP($C857,COTAÇÕES!$B:$I,7,0),(VLOOKUP($C857,'INSUMO SINAPI - SP'!$C:$F,4,0)))))*$G857,2)</f>
        <v>7.61</v>
      </c>
      <c r="J857" s="513">
        <f>TRUNC(IF($C857="",IFERROR(VLOOKUP($B857,SERVIÇOS!$B:$G,5,0),IFERROR(VLOOKUP($B857,$D:$K,7,0),)),0)*$G857,2)</f>
        <v>0</v>
      </c>
      <c r="K857" s="514">
        <f>I857+J857</f>
        <v>7.61</v>
      </c>
      <c r="L857" s="517"/>
      <c r="M857" s="471"/>
      <c r="N857" s="516"/>
      <c r="Q857" s="472"/>
      <c r="R857" s="472"/>
      <c r="S857" s="472"/>
      <c r="T857" s="472"/>
      <c r="U857" s="472"/>
      <c r="V857" s="472"/>
      <c r="W857" s="472"/>
      <c r="X857" s="472"/>
      <c r="Y857" s="472"/>
    </row>
    <row r="858" spans="1:25" x14ac:dyDescent="0.25">
      <c r="A858" s="463"/>
      <c r="B858" s="506"/>
      <c r="C858" s="507">
        <v>38102</v>
      </c>
      <c r="D858" s="508"/>
      <c r="E858" s="509" t="str">
        <f>IF($C858="",IFERROR(VLOOKUP($B858,SERVIÇOS!$B:$G,2,0),IFERROR(VLOOKUP($B858,$D:$K,2,0),"")),IFERROR(VLOOKUP($C858,INSUMOS!$A:$D,2,0),IFERROR(VLOOKUP($C858,COTAÇÕES!$B:$I,2,0),(VLOOKUP($C858,'INSUMO SINAPI - SP'!$C:$F,2,0)))))</f>
        <v>TOMADA 2P+T 20A, 250V (APENAS MODULO)</v>
      </c>
      <c r="F858" s="510" t="str">
        <f>IF($C858="",IFERROR(VLOOKUP($B858,SERVIÇOS!$B:$G,3,0),IFERROR(VLOOKUP($B858,$D:$K,3,0),"")),IFERROR(VLOOKUP($C858,INSUMOS!$A:$D,3,0),IFERROR(VLOOKUP($C858,COTAÇÕES!$B:$I,3,0),(VLOOKUP($C858,'INSUMO SINAPI - SP'!$C:$F,3,0)))))</f>
        <v>UN</v>
      </c>
      <c r="G858" s="511">
        <v>1</v>
      </c>
      <c r="H858" s="512">
        <f>IF($C858="",IFERROR(VLOOKUP($B858,SERVIÇOS!$B:$G,6,0),IFERROR(VLOOKUP($B858,$D:$K,8,0),"")),IFERROR(VLOOKUP($C858,INSUMOS!$A:$D,4,0),IFERROR(VLOOKUP($C858,COTAÇÕES!$B:$I,7,0),(VLOOKUP($C858,'INSUMO SINAPI - SP'!$C:$F,4,0)))))</f>
        <v>11.08</v>
      </c>
      <c r="I858" s="513">
        <f>TRUNC(IF($C858="",IFERROR(VLOOKUP($B858,SERVIÇOS!$B:$G,4,0),IFERROR(VLOOKUP($B858,$D:$K,6,0),)),IFERROR(VLOOKUP($C858,INSUMOS!$A:$D,4,0),IFERROR(VLOOKUP($C858,COTAÇÕES!$B:$I,7,0),(VLOOKUP($C858,'INSUMO SINAPI - SP'!$C:$F,4,0)))))*$G858,2)</f>
        <v>11.08</v>
      </c>
      <c r="J858" s="513">
        <f>TRUNC(IF($C858="",IFERROR(VLOOKUP($B858,SERVIÇOS!$B:$G,5,0),IFERROR(VLOOKUP($B858,$D:$K,7,0),)),0)*$G858,2)</f>
        <v>0</v>
      </c>
      <c r="K858" s="514">
        <f>I858+J858</f>
        <v>11.08</v>
      </c>
      <c r="L858" s="517"/>
      <c r="M858" s="471"/>
      <c r="N858" s="516"/>
      <c r="Q858" s="472"/>
      <c r="R858" s="472"/>
      <c r="S858" s="472"/>
      <c r="T858" s="472"/>
      <c r="U858" s="472"/>
      <c r="V858" s="472"/>
      <c r="W858" s="472"/>
      <c r="X858" s="472"/>
      <c r="Y858" s="472"/>
    </row>
    <row r="859" spans="1:25" ht="24" x14ac:dyDescent="0.25">
      <c r="A859" s="463"/>
      <c r="B859" s="506">
        <v>91946</v>
      </c>
      <c r="C859" s="507"/>
      <c r="D859" s="508"/>
      <c r="E859" s="509" t="str">
        <f>IF($C859="",IFERROR(VLOOKUP($B859,SERVIÇOS!$B:$G,2,0),IFERROR(VLOOKUP($B859,$D:$K,2,0),"")),IFERROR(VLOOKUP($C859,INSUMOS!$A:$D,2,0),IFERROR(VLOOKUP($C859,COTAÇÕES!$B:$I,2,0),(VLOOKUP($C859,'INSUMO SINAPI - SP'!$C:$F,2,0)))))</f>
        <v>SUPORTE PARAFUSADO COM PLACA DE ENCAIXE 4" X 2" MÉDIO (1,30 M DO PISO) PARA PONTO ELÉTRICO - FORNECIMENTO E INSTALAÇÃO. AF_03/2023</v>
      </c>
      <c r="F859" s="510" t="str">
        <f>IF($C859="",IFERROR(VLOOKUP($B859,SERVIÇOS!$B:$G,3,0),IFERROR(VLOOKUP($B859,$D:$K,3,0),"")),IFERROR(VLOOKUP($C859,INSUMOS!$A:$D,3,0),IFERROR(VLOOKUP($C859,COTAÇÕES!$B:$I,3,0),(VLOOKUP($C859,'INSUMO SINAPI - SP'!$C:$F,3,0)))))</f>
        <v>UN</v>
      </c>
      <c r="G859" s="511">
        <v>1</v>
      </c>
      <c r="H859" s="512">
        <f>IF($C859="",IFERROR(VLOOKUP($B859,SERVIÇOS!$B:$G,6,0),IFERROR(VLOOKUP($B859,$D:$K,8,0),"")),IFERROR(VLOOKUP($C859,INSUMOS!$A:$D,4,0),IFERROR(VLOOKUP($C859,COTAÇÕES!$B:$I,7,0),(VLOOKUP($C859,'INSUMO SINAPI - SP'!$C:$F,4,0)))))</f>
        <v>13.61</v>
      </c>
      <c r="I859" s="513">
        <f>TRUNC(IF($C859="",IFERROR(VLOOKUP($B859,SERVIÇOS!$B:$G,4,0),IFERROR(VLOOKUP($B859,$D:$K,6,0),)),IFERROR(VLOOKUP($C859,INSUMOS!$A:$D,4,0),IFERROR(VLOOKUP($C859,COTAÇÕES!$B:$I,7,0),(VLOOKUP($C859,'INSUMO SINAPI - SP'!$C:$F,4,0)))))*$G859,2)</f>
        <v>7.28</v>
      </c>
      <c r="J859" s="513">
        <f>TRUNC(IF($C859="",IFERROR(VLOOKUP($B859,SERVIÇOS!$B:$G,5,0),IFERROR(VLOOKUP($B859,$D:$K,7,0),)),0)*$G859,2)</f>
        <v>6.33</v>
      </c>
      <c r="K859" s="514">
        <f>I859+J859</f>
        <v>13.61</v>
      </c>
      <c r="L859" s="515"/>
      <c r="M859" s="471"/>
      <c r="N859" s="516"/>
      <c r="Q859" s="472"/>
      <c r="R859" s="472"/>
      <c r="S859" s="472"/>
      <c r="T859" s="472"/>
      <c r="U859" s="472"/>
      <c r="V859" s="472"/>
      <c r="W859" s="472"/>
      <c r="X859" s="472"/>
      <c r="Y859" s="472"/>
    </row>
    <row r="860" spans="1:25" x14ac:dyDescent="0.25">
      <c r="A860" s="463"/>
      <c r="B860" s="498"/>
      <c r="C860" s="498"/>
      <c r="D860" s="499" t="s">
        <v>12229</v>
      </c>
      <c r="E860" s="555" t="s">
        <v>13075</v>
      </c>
      <c r="F860" s="501" t="s">
        <v>580</v>
      </c>
      <c r="G860" s="502"/>
      <c r="H860" s="503"/>
      <c r="I860" s="504">
        <f>ROUND(SUM(I861:I864),2)</f>
        <v>60.39</v>
      </c>
      <c r="J860" s="504">
        <f>ROUND(SUM(J861:J864),2)</f>
        <v>34.65</v>
      </c>
      <c r="K860" s="504">
        <f>+J860+I860</f>
        <v>95.039999999999992</v>
      </c>
      <c r="L860" s="523" t="s">
        <v>12842</v>
      </c>
      <c r="M860" s="471"/>
      <c r="N860" s="505"/>
      <c r="Q860" s="472"/>
      <c r="R860" s="472"/>
      <c r="S860" s="472"/>
      <c r="T860" s="472"/>
      <c r="U860" s="472"/>
      <c r="V860" s="472"/>
      <c r="W860" s="472"/>
      <c r="X860" s="472"/>
      <c r="Y860" s="472"/>
    </row>
    <row r="861" spans="1:25" x14ac:dyDescent="0.25">
      <c r="A861" s="463"/>
      <c r="B861" s="506">
        <v>88247</v>
      </c>
      <c r="C861" s="507"/>
      <c r="D861" s="508"/>
      <c r="E861" s="509" t="str">
        <f>IF($C861="",IFERROR(VLOOKUP($B861,SERVIÇOS!$B:$G,2,0),IFERROR(VLOOKUP($B861,$D:$K,2,0),"")),IFERROR(VLOOKUP($C861,INSUMOS!$A:$D,2,0),IFERROR(VLOOKUP($C861,COTAÇÕES!$B:$I,2,0),(VLOOKUP($C861,'INSUMO SINAPI - SP'!$C:$F,2,0)))))</f>
        <v>AUXILIAR DE ELETRICISTA COM ENCARGOS COMPLEMENTARES</v>
      </c>
      <c r="F861" s="510" t="str">
        <f>IF($C861="",IFERROR(VLOOKUP($B861,SERVIÇOS!$B:$G,3,0),IFERROR(VLOOKUP($B861,$D:$K,3,0),"")),IFERROR(VLOOKUP($C861,INSUMOS!$A:$D,3,0),IFERROR(VLOOKUP($C861,COTAÇÕES!$B:$I,3,0),(VLOOKUP($C861,'INSUMO SINAPI - SP'!$C:$F,3,0)))))</f>
        <v>H</v>
      </c>
      <c r="G861" s="511">
        <v>0.55000000000000004</v>
      </c>
      <c r="H861" s="512">
        <f>IF($C861="",IFERROR(VLOOKUP($B861,SERVIÇOS!$B:$G,6,0),IFERROR(VLOOKUP($B861,$D:$K,8,0),"")),IFERROR(VLOOKUP($C861,INSUMOS!$A:$D,4,0),IFERROR(VLOOKUP($C861,COTAÇÕES!$B:$I,7,0),(VLOOKUP($C861,'INSUMO SINAPI - SP'!$C:$F,4,0)))))</f>
        <v>30.8</v>
      </c>
      <c r="I861" s="513">
        <f>TRUNC(IF($C861="",IFERROR(VLOOKUP($B861,SERVIÇOS!$B:$G,4,0),IFERROR(VLOOKUP($B861,$D:$K,6,0),)),IFERROR(VLOOKUP($C861,INSUMOS!$A:$D,4,0),IFERROR(VLOOKUP($C861,COTAÇÕES!$B:$I,7,0),(VLOOKUP($C861,'INSUMO SINAPI - SP'!$C:$F,4,0)))))*$G861,2)</f>
        <v>5.12</v>
      </c>
      <c r="J861" s="513">
        <f>TRUNC(IF($C861="",IFERROR(VLOOKUP($B861,SERVIÇOS!$B:$G,5,0),IFERROR(VLOOKUP($B861,$D:$K,7,0),)),0)*$G861,2)</f>
        <v>11.81</v>
      </c>
      <c r="K861" s="514">
        <f>I861+J861</f>
        <v>16.93</v>
      </c>
      <c r="L861" s="515"/>
      <c r="M861" s="471"/>
      <c r="N861" s="516"/>
      <c r="Q861" s="472"/>
      <c r="R861" s="472"/>
      <c r="S861" s="472"/>
      <c r="T861" s="472"/>
      <c r="U861" s="472"/>
      <c r="V861" s="472"/>
      <c r="W861" s="472"/>
      <c r="X861" s="472"/>
      <c r="Y861" s="472"/>
    </row>
    <row r="862" spans="1:25" x14ac:dyDescent="0.25">
      <c r="A862" s="463"/>
      <c r="B862" s="506">
        <v>88264</v>
      </c>
      <c r="C862" s="507"/>
      <c r="D862" s="508"/>
      <c r="E862" s="509" t="str">
        <f>IF($C862="",IFERROR(VLOOKUP($B862,SERVIÇOS!$B:$G,2,0),IFERROR(VLOOKUP($B862,$D:$K,2,0),"")),IFERROR(VLOOKUP($C862,INSUMOS!$A:$D,2,0),IFERROR(VLOOKUP($C862,COTAÇÕES!$B:$I,2,0),(VLOOKUP($C862,'INSUMO SINAPI - SP'!$C:$F,2,0)))))</f>
        <v>ELETRICISTA COM ENCARGOS COMPLEMENTARES</v>
      </c>
      <c r="F862" s="510" t="str">
        <f>IF($C862="",IFERROR(VLOOKUP($B862,SERVIÇOS!$B:$G,3,0),IFERROR(VLOOKUP($B862,$D:$K,3,0),"")),IFERROR(VLOOKUP($C862,INSUMOS!$A:$D,3,0),IFERROR(VLOOKUP($C862,COTAÇÕES!$B:$I,3,0),(VLOOKUP($C862,'INSUMO SINAPI - SP'!$C:$F,3,0)))))</f>
        <v>H</v>
      </c>
      <c r="G862" s="511">
        <v>0.55000000000000004</v>
      </c>
      <c r="H862" s="512">
        <f>IF($C862="",IFERROR(VLOOKUP($B862,SERVIÇOS!$B:$G,6,0),IFERROR(VLOOKUP($B862,$D:$K,8,0),"")),IFERROR(VLOOKUP($C862,INSUMOS!$A:$D,4,0),IFERROR(VLOOKUP($C862,COTAÇÕES!$B:$I,7,0),(VLOOKUP($C862,'INSUMO SINAPI - SP'!$C:$F,4,0)))))</f>
        <v>37.369999999999997</v>
      </c>
      <c r="I862" s="513">
        <f>TRUNC(IF($C862="",IFERROR(VLOOKUP($B862,SERVIÇOS!$B:$G,4,0),IFERROR(VLOOKUP($B862,$D:$K,6,0),)),IFERROR(VLOOKUP($C862,INSUMOS!$A:$D,4,0),IFERROR(VLOOKUP($C862,COTAÇÕES!$B:$I,7,0),(VLOOKUP($C862,'INSUMO SINAPI - SP'!$C:$F,4,0)))))*$G862,2)</f>
        <v>5.12</v>
      </c>
      <c r="J862" s="513">
        <f>TRUNC(IF($C862="",IFERROR(VLOOKUP($B862,SERVIÇOS!$B:$G,5,0),IFERROR(VLOOKUP($B862,$D:$K,7,0),)),0)*$G862,2)</f>
        <v>15.43</v>
      </c>
      <c r="K862" s="514">
        <f>I862+J862</f>
        <v>20.55</v>
      </c>
      <c r="L862" s="515"/>
      <c r="M862" s="471"/>
      <c r="N862" s="516"/>
      <c r="Q862" s="472"/>
      <c r="R862" s="472"/>
      <c r="S862" s="472"/>
      <c r="T862" s="472"/>
      <c r="U862" s="472"/>
      <c r="V862" s="472"/>
      <c r="W862" s="472"/>
      <c r="X862" s="472"/>
      <c r="Y862" s="472"/>
    </row>
    <row r="863" spans="1:25" x14ac:dyDescent="0.25">
      <c r="A863" s="463"/>
      <c r="B863" s="506"/>
      <c r="C863" s="507">
        <v>38112</v>
      </c>
      <c r="D863" s="508"/>
      <c r="E863" s="509" t="str">
        <f>IF($C863="",IFERROR(VLOOKUP($B863,SERVIÇOS!$B:$G,2,0),IFERROR(VLOOKUP($B863,$D:$K,2,0),"")),IFERROR(VLOOKUP($C863,INSUMOS!$A:$D,2,0),IFERROR(VLOOKUP($C863,COTAÇÕES!$B:$I,2,0),(VLOOKUP($C863,'INSUMO SINAPI - SP'!$C:$F,2,0)))))</f>
        <v>INTERRUPTOR SIMPLES 10A, 250V (APENAS MODULO)</v>
      </c>
      <c r="F863" s="510" t="str">
        <f>IF($C863="",IFERROR(VLOOKUP($B863,SERVIÇOS!$B:$G,3,0),IFERROR(VLOOKUP($B863,$D:$K,3,0),"")),IFERROR(VLOOKUP($C863,INSUMOS!$A:$D,3,0),IFERROR(VLOOKUP($C863,COTAÇÕES!$B:$I,3,0),(VLOOKUP($C863,'INSUMO SINAPI - SP'!$C:$F,3,0)))))</f>
        <v>UN</v>
      </c>
      <c r="G863" s="511">
        <v>5</v>
      </c>
      <c r="H863" s="512">
        <f>IF($C863="",IFERROR(VLOOKUP($B863,SERVIÇOS!$B:$G,6,0),IFERROR(VLOOKUP($B863,$D:$K,8,0),"")),IFERROR(VLOOKUP($C863,INSUMOS!$A:$D,4,0),IFERROR(VLOOKUP($C863,COTAÇÕES!$B:$I,7,0),(VLOOKUP($C863,'INSUMO SINAPI - SP'!$C:$F,4,0)))))</f>
        <v>7.61</v>
      </c>
      <c r="I863" s="513">
        <f>TRUNC(IF($C863="",IFERROR(VLOOKUP($B863,SERVIÇOS!$B:$G,4,0),IFERROR(VLOOKUP($B863,$D:$K,6,0),)),IFERROR(VLOOKUP($C863,INSUMOS!$A:$D,4,0),IFERROR(VLOOKUP($C863,COTAÇÕES!$B:$I,7,0),(VLOOKUP($C863,'INSUMO SINAPI - SP'!$C:$F,4,0)))))*$G863,2)</f>
        <v>38.049999999999997</v>
      </c>
      <c r="J863" s="513">
        <f>TRUNC(IF($C863="",IFERROR(VLOOKUP($B863,SERVIÇOS!$B:$G,5,0),IFERROR(VLOOKUP($B863,$D:$K,7,0),)),0)*$G863,2)</f>
        <v>0</v>
      </c>
      <c r="K863" s="514">
        <f>I863+J863</f>
        <v>38.049999999999997</v>
      </c>
      <c r="L863" s="517"/>
      <c r="M863" s="471"/>
      <c r="N863" s="516"/>
      <c r="Q863" s="472"/>
      <c r="R863" s="472"/>
      <c r="S863" s="472"/>
      <c r="T863" s="472"/>
      <c r="U863" s="472"/>
      <c r="V863" s="472"/>
      <c r="W863" s="472"/>
      <c r="X863" s="472"/>
      <c r="Y863" s="472"/>
    </row>
    <row r="864" spans="1:25" ht="24" x14ac:dyDescent="0.25">
      <c r="A864" s="463"/>
      <c r="B864" s="506">
        <v>91950</v>
      </c>
      <c r="C864" s="507"/>
      <c r="D864" s="508"/>
      <c r="E864" s="509" t="str">
        <f>IF($C864="",IFERROR(VLOOKUP($B864,SERVIÇOS!$B:$G,2,0),IFERROR(VLOOKUP($B864,$D:$K,2,0),"")),IFERROR(VLOOKUP($C864,INSUMOS!$A:$D,2,0),IFERROR(VLOOKUP($C864,COTAÇÕES!$B:$I,2,0),(VLOOKUP($C864,'INSUMO SINAPI - SP'!$C:$F,2,0)))))</f>
        <v>SUPORTE PARAFUSADO COM PLACA DE ENCAIXE 4" X 4" MÉDIO (1,30 M DO PISO) PARA PONTO ELÉTRICO - FORNECIMENTO E INSTALAÇÃO. AF_03/2023</v>
      </c>
      <c r="F864" s="510" t="str">
        <f>IF($C864="",IFERROR(VLOOKUP($B864,SERVIÇOS!$B:$G,3,0),IFERROR(VLOOKUP($B864,$D:$K,3,0),"")),IFERROR(VLOOKUP($C864,INSUMOS!$A:$D,3,0),IFERROR(VLOOKUP($C864,COTAÇÕES!$B:$I,3,0),(VLOOKUP($C864,'INSUMO SINAPI - SP'!$C:$F,3,0)))))</f>
        <v>UN</v>
      </c>
      <c r="G864" s="511">
        <v>1</v>
      </c>
      <c r="H864" s="512">
        <f>IF($C864="",IFERROR(VLOOKUP($B864,SERVIÇOS!$B:$G,6,0),IFERROR(VLOOKUP($B864,$D:$K,8,0),"")),IFERROR(VLOOKUP($C864,INSUMOS!$A:$D,4,0),IFERROR(VLOOKUP($C864,COTAÇÕES!$B:$I,7,0),(VLOOKUP($C864,'INSUMO SINAPI - SP'!$C:$F,4,0)))))</f>
        <v>19.510000000000002</v>
      </c>
      <c r="I864" s="513">
        <f>TRUNC(IF($C864="",IFERROR(VLOOKUP($B864,SERVIÇOS!$B:$G,4,0),IFERROR(VLOOKUP($B864,$D:$K,6,0),)),IFERROR(VLOOKUP($C864,INSUMOS!$A:$D,4,0),IFERROR(VLOOKUP($C864,COTAÇÕES!$B:$I,7,0),(VLOOKUP($C864,'INSUMO SINAPI - SP'!$C:$F,4,0)))))*$G864,2)</f>
        <v>12.1</v>
      </c>
      <c r="J864" s="513">
        <f>TRUNC(IF($C864="",IFERROR(VLOOKUP($B864,SERVIÇOS!$B:$G,5,0),IFERROR(VLOOKUP($B864,$D:$K,7,0),)),0)*$G864,2)</f>
        <v>7.41</v>
      </c>
      <c r="K864" s="514">
        <f>I864+J864</f>
        <v>19.509999999999998</v>
      </c>
      <c r="L864" s="515"/>
      <c r="M864" s="471"/>
      <c r="N864" s="516"/>
      <c r="Q864" s="472"/>
      <c r="R864" s="472"/>
      <c r="S864" s="472"/>
      <c r="T864" s="472"/>
      <c r="U864" s="472"/>
      <c r="V864" s="472"/>
      <c r="W864" s="472"/>
      <c r="X864" s="472"/>
      <c r="Y864" s="472"/>
    </row>
    <row r="865" spans="1:25" ht="24" x14ac:dyDescent="0.25">
      <c r="A865" s="463"/>
      <c r="B865" s="498"/>
      <c r="C865" s="498"/>
      <c r="D865" s="499" t="s">
        <v>12332</v>
      </c>
      <c r="E865" s="555" t="s">
        <v>13076</v>
      </c>
      <c r="F865" s="501" t="s">
        <v>580</v>
      </c>
      <c r="G865" s="502"/>
      <c r="H865" s="503"/>
      <c r="I865" s="504">
        <f>ROUND(SUM(I866:I868),2)</f>
        <v>45.51</v>
      </c>
      <c r="J865" s="504">
        <f>ROUND(SUM(J866:J868),2)</f>
        <v>14.85</v>
      </c>
      <c r="K865" s="504">
        <f>+J865+I865</f>
        <v>60.36</v>
      </c>
      <c r="L865" s="523" t="s">
        <v>13077</v>
      </c>
      <c r="M865" s="471"/>
      <c r="N865" s="505"/>
      <c r="Q865" s="472"/>
      <c r="R865" s="472"/>
      <c r="S865" s="472"/>
      <c r="T865" s="472"/>
      <c r="U865" s="472"/>
      <c r="V865" s="472"/>
      <c r="W865" s="472"/>
      <c r="X865" s="472"/>
      <c r="Y865" s="472"/>
    </row>
    <row r="866" spans="1:25" x14ac:dyDescent="0.25">
      <c r="A866" s="463"/>
      <c r="B866" s="506"/>
      <c r="C866" s="507" t="s">
        <v>13078</v>
      </c>
      <c r="D866" s="508"/>
      <c r="E866" s="518" t="s">
        <v>13079</v>
      </c>
      <c r="F866" s="519" t="s">
        <v>580</v>
      </c>
      <c r="G866" s="511">
        <v>1</v>
      </c>
      <c r="H866" s="520">
        <v>39.93</v>
      </c>
      <c r="I866" s="520">
        <f>TRUNC(H866*G866,2)</f>
        <v>39.93</v>
      </c>
      <c r="J866" s="521"/>
      <c r="K866" s="522">
        <f>I866+J866</f>
        <v>39.93</v>
      </c>
      <c r="L866" s="517" t="s">
        <v>12668</v>
      </c>
      <c r="M866" s="471"/>
      <c r="N866" s="516"/>
      <c r="Q866" s="472"/>
      <c r="R866" s="472"/>
      <c r="S866" s="472"/>
      <c r="T866" s="472"/>
      <c r="U866" s="472"/>
      <c r="V866" s="472"/>
      <c r="W866" s="472"/>
      <c r="X866" s="472"/>
      <c r="Y866" s="472"/>
    </row>
    <row r="867" spans="1:25" x14ac:dyDescent="0.25">
      <c r="A867" s="463"/>
      <c r="B867" s="506">
        <v>88264</v>
      </c>
      <c r="C867" s="507"/>
      <c r="D867" s="508"/>
      <c r="E867" s="509" t="str">
        <f>IF($C867="",IFERROR(VLOOKUP($B867,SERVIÇOS!$B:$G,2,0),IFERROR(VLOOKUP($B867,$D:$K,2,0),"")),IFERROR(VLOOKUP($C867,INSUMOS!$A:$D,2,0),IFERROR(VLOOKUP($C867,COTAÇÕES!$B:$I,2,0),(VLOOKUP($C867,'INSUMO SINAPI - SP'!$C:$F,2,0)))))</f>
        <v>ELETRICISTA COM ENCARGOS COMPLEMENTARES</v>
      </c>
      <c r="F867" s="510" t="str">
        <f>IF($C867="",IFERROR(VLOOKUP($B867,SERVIÇOS!$B:$G,3,0),IFERROR(VLOOKUP($B867,$D:$K,3,0),"")),IFERROR(VLOOKUP($C867,INSUMOS!$A:$D,3,0),IFERROR(VLOOKUP($C867,COTAÇÕES!$B:$I,3,0),(VLOOKUP($C867,'INSUMO SINAPI - SP'!$C:$F,3,0)))))</f>
        <v>H</v>
      </c>
      <c r="G867" s="511">
        <v>0.3</v>
      </c>
      <c r="H867" s="512">
        <f>IF($C867="",IFERROR(VLOOKUP($B867,SERVIÇOS!$B:$G,6,0),IFERROR(VLOOKUP($B867,$D:$K,8,0),"")),IFERROR(VLOOKUP($C867,INSUMOS!$A:$D,4,0),IFERROR(VLOOKUP($C867,COTAÇÕES!$B:$I,7,0),(VLOOKUP($C867,'INSUMO SINAPI - SP'!$C:$F,4,0)))))</f>
        <v>37.369999999999997</v>
      </c>
      <c r="I867" s="513">
        <f>TRUNC(IF($C867="",IFERROR(VLOOKUP($B867,SERVIÇOS!$B:$G,4,0),IFERROR(VLOOKUP($B867,$D:$K,6,0),)),IFERROR(VLOOKUP($C867,INSUMOS!$A:$D,4,0),IFERROR(VLOOKUP($C867,COTAÇÕES!$B:$I,7,0),(VLOOKUP($C867,'INSUMO SINAPI - SP'!$C:$F,4,0)))))*$G867,2)</f>
        <v>2.79</v>
      </c>
      <c r="J867" s="513">
        <f>TRUNC(IF($C867="",IFERROR(VLOOKUP($B867,SERVIÇOS!$B:$G,5,0),IFERROR(VLOOKUP($B867,$D:$K,7,0),)),0)*$G867,2)</f>
        <v>8.41</v>
      </c>
      <c r="K867" s="514">
        <f>I867+J867</f>
        <v>11.2</v>
      </c>
      <c r="L867" s="515"/>
      <c r="M867" s="471"/>
      <c r="N867" s="516"/>
      <c r="Q867" s="472"/>
      <c r="R867" s="472"/>
      <c r="S867" s="472"/>
      <c r="T867" s="472"/>
      <c r="U867" s="472"/>
      <c r="V867" s="472"/>
      <c r="W867" s="472"/>
      <c r="X867" s="472"/>
      <c r="Y867" s="472"/>
    </row>
    <row r="868" spans="1:25" x14ac:dyDescent="0.25">
      <c r="A868" s="463"/>
      <c r="B868" s="506">
        <v>88247</v>
      </c>
      <c r="C868" s="507"/>
      <c r="D868" s="508"/>
      <c r="E868" s="509" t="str">
        <f>IF($C868="",IFERROR(VLOOKUP($B868,SERVIÇOS!$B:$G,2,0),IFERROR(VLOOKUP($B868,$D:$K,2,0),"")),IFERROR(VLOOKUP($C868,INSUMOS!$A:$D,2,0),IFERROR(VLOOKUP($C868,COTAÇÕES!$B:$I,2,0),(VLOOKUP($C868,'INSUMO SINAPI - SP'!$C:$F,2,0)))))</f>
        <v>AUXILIAR DE ELETRICISTA COM ENCARGOS COMPLEMENTARES</v>
      </c>
      <c r="F868" s="510" t="str">
        <f>IF($C868="",IFERROR(VLOOKUP($B868,SERVIÇOS!$B:$G,3,0),IFERROR(VLOOKUP($B868,$D:$K,3,0),"")),IFERROR(VLOOKUP($C868,INSUMOS!$A:$D,3,0),IFERROR(VLOOKUP($C868,COTAÇÕES!$B:$I,3,0),(VLOOKUP($C868,'INSUMO SINAPI - SP'!$C:$F,3,0)))))</f>
        <v>H</v>
      </c>
      <c r="G868" s="511">
        <v>0.3</v>
      </c>
      <c r="H868" s="512">
        <f>IF($C868="",IFERROR(VLOOKUP($B868,SERVIÇOS!$B:$G,6,0),IFERROR(VLOOKUP($B868,$D:$K,8,0),"")),IFERROR(VLOOKUP($C868,INSUMOS!$A:$D,4,0),IFERROR(VLOOKUP($C868,COTAÇÕES!$B:$I,7,0),(VLOOKUP($C868,'INSUMO SINAPI - SP'!$C:$F,4,0)))))</f>
        <v>30.8</v>
      </c>
      <c r="I868" s="513">
        <f>TRUNC(IF($C868="",IFERROR(VLOOKUP($B868,SERVIÇOS!$B:$G,4,0),IFERROR(VLOOKUP($B868,$D:$K,6,0),)),IFERROR(VLOOKUP($C868,INSUMOS!$A:$D,4,0),IFERROR(VLOOKUP($C868,COTAÇÕES!$B:$I,7,0),(VLOOKUP($C868,'INSUMO SINAPI - SP'!$C:$F,4,0)))))*$G868,2)</f>
        <v>2.79</v>
      </c>
      <c r="J868" s="513">
        <f>TRUNC(IF($C868="",IFERROR(VLOOKUP($B868,SERVIÇOS!$B:$G,5,0),IFERROR(VLOOKUP($B868,$D:$K,7,0),)),0)*$G868,2)</f>
        <v>6.44</v>
      </c>
      <c r="K868" s="514">
        <f>I868+J868</f>
        <v>9.23</v>
      </c>
      <c r="L868" s="515"/>
      <c r="M868" s="471"/>
      <c r="N868" s="516"/>
      <c r="Q868" s="472"/>
      <c r="R868" s="472"/>
      <c r="S868" s="472"/>
      <c r="T868" s="472"/>
      <c r="U868" s="472"/>
      <c r="V868" s="472"/>
      <c r="W868" s="472"/>
      <c r="X868" s="472"/>
      <c r="Y868" s="472"/>
    </row>
    <row r="869" spans="1:25" x14ac:dyDescent="0.25">
      <c r="A869" s="463"/>
      <c r="B869" s="498"/>
      <c r="C869" s="498"/>
      <c r="D869" s="499" t="s">
        <v>12336</v>
      </c>
      <c r="E869" s="555" t="s">
        <v>13080</v>
      </c>
      <c r="F869" s="501" t="s">
        <v>580</v>
      </c>
      <c r="G869" s="502"/>
      <c r="H869" s="503"/>
      <c r="I869" s="504">
        <f>ROUND(SUM(I870:I874),2)</f>
        <v>32.82</v>
      </c>
      <c r="J869" s="504">
        <f>ROUND(SUM(J870:J874),2)</f>
        <v>24.77</v>
      </c>
      <c r="K869" s="504">
        <f>+J869+I869</f>
        <v>57.59</v>
      </c>
      <c r="L869" s="523" t="s">
        <v>13006</v>
      </c>
      <c r="M869" s="471"/>
      <c r="N869" s="505"/>
      <c r="Q869" s="472"/>
      <c r="R869" s="472"/>
      <c r="S869" s="472"/>
      <c r="T869" s="472"/>
      <c r="U869" s="472"/>
      <c r="V869" s="472"/>
      <c r="W869" s="472"/>
      <c r="X869" s="472"/>
      <c r="Y869" s="472"/>
    </row>
    <row r="870" spans="1:25" x14ac:dyDescent="0.25">
      <c r="A870" s="463"/>
      <c r="B870" s="506">
        <v>88264</v>
      </c>
      <c r="C870" s="507"/>
      <c r="D870" s="508"/>
      <c r="E870" s="509" t="str">
        <f>IF($C870="",IFERROR(VLOOKUP($B870,SERVIÇOS!$B:$G,2,0),IFERROR(VLOOKUP($B870,$D:$K,2,0),"")),IFERROR(VLOOKUP($C870,INSUMOS!$A:$D,2,0),IFERROR(VLOOKUP($C870,COTAÇÕES!$B:$I,2,0),(VLOOKUP($C870,'INSUMO SINAPI - SP'!$C:$F,2,0)))))</f>
        <v>ELETRICISTA COM ENCARGOS COMPLEMENTARES</v>
      </c>
      <c r="F870" s="510" t="str">
        <f>IF($C870="",IFERROR(VLOOKUP($B870,SERVIÇOS!$B:$G,3,0),IFERROR(VLOOKUP($B870,$D:$K,3,0),"")),IFERROR(VLOOKUP($C870,INSUMOS!$A:$D,3,0),IFERROR(VLOOKUP($C870,COTAÇÕES!$B:$I,3,0),(VLOOKUP($C870,'INSUMO SINAPI - SP'!$C:$F,3,0)))))</f>
        <v>H</v>
      </c>
      <c r="G870" s="511">
        <v>0.5</v>
      </c>
      <c r="H870" s="512">
        <f>IF($C870="",IFERROR(VLOOKUP($B870,SERVIÇOS!$B:$G,6,0),IFERROR(VLOOKUP($B870,$D:$K,8,0),"")),IFERROR(VLOOKUP($C870,INSUMOS!$A:$D,4,0),IFERROR(VLOOKUP($C870,COTAÇÕES!$B:$I,7,0),(VLOOKUP($C870,'INSUMO SINAPI - SP'!$C:$F,4,0)))))</f>
        <v>37.369999999999997</v>
      </c>
      <c r="I870" s="513">
        <f>TRUNC(IF($C870="",IFERROR(VLOOKUP($B870,SERVIÇOS!$B:$G,4,0),IFERROR(VLOOKUP($B870,$D:$K,6,0),)),IFERROR(VLOOKUP($C870,INSUMOS!$A:$D,4,0),IFERROR(VLOOKUP($C870,COTAÇÕES!$B:$I,7,0),(VLOOKUP($C870,'INSUMO SINAPI - SP'!$C:$F,4,0)))))*$G870,2)</f>
        <v>4.6500000000000004</v>
      </c>
      <c r="J870" s="513">
        <f>TRUNC(IF($C870="",IFERROR(VLOOKUP($B870,SERVIÇOS!$B:$G,5,0),IFERROR(VLOOKUP($B870,$D:$K,7,0),)),0)*$G870,2)</f>
        <v>14.03</v>
      </c>
      <c r="K870" s="514">
        <f>I870+J870</f>
        <v>18.68</v>
      </c>
      <c r="L870" s="515"/>
      <c r="M870" s="471"/>
      <c r="N870" s="516"/>
      <c r="Q870" s="472"/>
      <c r="R870" s="472"/>
      <c r="S870" s="472"/>
      <c r="T870" s="472"/>
      <c r="U870" s="472"/>
      <c r="V870" s="472"/>
      <c r="W870" s="472"/>
      <c r="X870" s="472"/>
      <c r="Y870" s="472"/>
    </row>
    <row r="871" spans="1:25" x14ac:dyDescent="0.25">
      <c r="A871" s="463"/>
      <c r="B871" s="506">
        <v>88247</v>
      </c>
      <c r="C871" s="507"/>
      <c r="D871" s="508"/>
      <c r="E871" s="509" t="str">
        <f>IF($C871="",IFERROR(VLOOKUP($B871,SERVIÇOS!$B:$G,2,0),IFERROR(VLOOKUP($B871,$D:$K,2,0),"")),IFERROR(VLOOKUP($C871,INSUMOS!$A:$D,2,0),IFERROR(VLOOKUP($C871,COTAÇÕES!$B:$I,2,0),(VLOOKUP($C871,'INSUMO SINAPI - SP'!$C:$F,2,0)))))</f>
        <v>AUXILIAR DE ELETRICISTA COM ENCARGOS COMPLEMENTARES</v>
      </c>
      <c r="F871" s="510" t="str">
        <f>IF($C871="",IFERROR(VLOOKUP($B871,SERVIÇOS!$B:$G,3,0),IFERROR(VLOOKUP($B871,$D:$K,3,0),"")),IFERROR(VLOOKUP($C871,INSUMOS!$A:$D,3,0),IFERROR(VLOOKUP($C871,COTAÇÕES!$B:$I,3,0),(VLOOKUP($C871,'INSUMO SINAPI - SP'!$C:$F,3,0)))))</f>
        <v>H</v>
      </c>
      <c r="G871" s="511">
        <v>0.5</v>
      </c>
      <c r="H871" s="512">
        <f>IF($C871="",IFERROR(VLOOKUP($B871,SERVIÇOS!$B:$G,6,0),IFERROR(VLOOKUP($B871,$D:$K,8,0),"")),IFERROR(VLOOKUP($C871,INSUMOS!$A:$D,4,0),IFERROR(VLOOKUP($C871,COTAÇÕES!$B:$I,7,0),(VLOOKUP($C871,'INSUMO SINAPI - SP'!$C:$F,4,0)))))</f>
        <v>30.8</v>
      </c>
      <c r="I871" s="513">
        <f>TRUNC(IF($C871="",IFERROR(VLOOKUP($B871,SERVIÇOS!$B:$G,4,0),IFERROR(VLOOKUP($B871,$D:$K,6,0),)),IFERROR(VLOOKUP($C871,INSUMOS!$A:$D,4,0),IFERROR(VLOOKUP($C871,COTAÇÕES!$B:$I,7,0),(VLOOKUP($C871,'INSUMO SINAPI - SP'!$C:$F,4,0)))))*$G871,2)</f>
        <v>4.66</v>
      </c>
      <c r="J871" s="513">
        <f>TRUNC(IF($C871="",IFERROR(VLOOKUP($B871,SERVIÇOS!$B:$G,5,0),IFERROR(VLOOKUP($B871,$D:$K,7,0),)),0)*$G871,2)</f>
        <v>10.74</v>
      </c>
      <c r="K871" s="514">
        <f>I871+J871</f>
        <v>15.4</v>
      </c>
      <c r="L871" s="515"/>
      <c r="M871" s="471"/>
      <c r="N871" s="516"/>
      <c r="Q871" s="472"/>
      <c r="R871" s="472"/>
      <c r="S871" s="472"/>
      <c r="T871" s="472"/>
      <c r="U871" s="472"/>
      <c r="V871" s="472"/>
      <c r="W871" s="472"/>
      <c r="X871" s="472"/>
      <c r="Y871" s="472"/>
    </row>
    <row r="872" spans="1:25" x14ac:dyDescent="0.25">
      <c r="A872" s="463"/>
      <c r="B872" s="506"/>
      <c r="C872" s="507" t="s">
        <v>13081</v>
      </c>
      <c r="D872" s="508"/>
      <c r="E872" s="518" t="s">
        <v>13082</v>
      </c>
      <c r="F872" s="519" t="s">
        <v>580</v>
      </c>
      <c r="G872" s="511">
        <v>1</v>
      </c>
      <c r="H872" s="520">
        <v>20</v>
      </c>
      <c r="I872" s="520">
        <f>TRUNC(H872*G872,2)</f>
        <v>20</v>
      </c>
      <c r="J872" s="521"/>
      <c r="K872" s="522">
        <f>I872+J872</f>
        <v>20</v>
      </c>
      <c r="L872" s="517" t="s">
        <v>12668</v>
      </c>
      <c r="M872" s="471"/>
      <c r="N872" s="516"/>
      <c r="Q872" s="472"/>
      <c r="R872" s="472"/>
      <c r="S872" s="472"/>
      <c r="T872" s="472"/>
      <c r="U872" s="472"/>
      <c r="V872" s="472"/>
      <c r="W872" s="472"/>
      <c r="X872" s="472"/>
      <c r="Y872" s="472"/>
    </row>
    <row r="873" spans="1:25" x14ac:dyDescent="0.25">
      <c r="A873" s="463"/>
      <c r="B873" s="506"/>
      <c r="C873" s="507" t="s">
        <v>13009</v>
      </c>
      <c r="D873" s="508"/>
      <c r="E873" s="518" t="s">
        <v>13010</v>
      </c>
      <c r="F873" s="519" t="s">
        <v>580</v>
      </c>
      <c r="G873" s="511">
        <v>0.01</v>
      </c>
      <c r="H873" s="520">
        <v>84.77</v>
      </c>
      <c r="I873" s="520">
        <f>TRUNC(H873*G873,2)</f>
        <v>0.84</v>
      </c>
      <c r="J873" s="521"/>
      <c r="K873" s="522">
        <f>I873+J873</f>
        <v>0.84</v>
      </c>
      <c r="L873" s="517" t="s">
        <v>12668</v>
      </c>
      <c r="M873" s="471"/>
      <c r="N873" s="516"/>
      <c r="Q873" s="472"/>
      <c r="R873" s="472"/>
      <c r="S873" s="472"/>
      <c r="T873" s="472"/>
      <c r="U873" s="472"/>
      <c r="V873" s="472"/>
      <c r="W873" s="472"/>
      <c r="X873" s="472"/>
      <c r="Y873" s="472"/>
    </row>
    <row r="874" spans="1:25" x14ac:dyDescent="0.25">
      <c r="A874" s="463"/>
      <c r="B874" s="506"/>
      <c r="C874" s="507" t="s">
        <v>13083</v>
      </c>
      <c r="D874" s="508"/>
      <c r="E874" s="518" t="s">
        <v>13084</v>
      </c>
      <c r="F874" s="519" t="s">
        <v>580</v>
      </c>
      <c r="G874" s="511">
        <v>1.2500000000000001E-2</v>
      </c>
      <c r="H874" s="520">
        <v>214.09</v>
      </c>
      <c r="I874" s="520">
        <f>TRUNC(H874*G874,2)</f>
        <v>2.67</v>
      </c>
      <c r="J874" s="521"/>
      <c r="K874" s="522">
        <f>I874+J874</f>
        <v>2.67</v>
      </c>
      <c r="L874" s="517" t="s">
        <v>12668</v>
      </c>
      <c r="M874" s="471"/>
      <c r="N874" s="516"/>
      <c r="Q874" s="472"/>
      <c r="R874" s="472"/>
      <c r="S874" s="472"/>
      <c r="T874" s="472"/>
      <c r="U874" s="472"/>
      <c r="V874" s="472"/>
      <c r="W874" s="472"/>
      <c r="X874" s="472"/>
      <c r="Y874" s="472"/>
    </row>
    <row r="875" spans="1:25" x14ac:dyDescent="0.25">
      <c r="A875" s="463"/>
      <c r="B875" s="498"/>
      <c r="C875" s="498"/>
      <c r="D875" s="499" t="s">
        <v>12335</v>
      </c>
      <c r="E875" s="555" t="s">
        <v>13085</v>
      </c>
      <c r="F875" s="501" t="s">
        <v>580</v>
      </c>
      <c r="G875" s="502"/>
      <c r="H875" s="503"/>
      <c r="I875" s="504">
        <f>ROUND(SUM(I876:I880),2)</f>
        <v>32.82</v>
      </c>
      <c r="J875" s="504">
        <f>ROUND(SUM(J876:J880),2)</f>
        <v>24.77</v>
      </c>
      <c r="K875" s="504">
        <f>+J875+I875</f>
        <v>57.59</v>
      </c>
      <c r="L875" s="523" t="s">
        <v>13006</v>
      </c>
      <c r="M875" s="471"/>
      <c r="N875" s="505"/>
      <c r="Q875" s="472"/>
      <c r="R875" s="472"/>
      <c r="S875" s="472"/>
      <c r="T875" s="472"/>
      <c r="U875" s="472"/>
      <c r="V875" s="472"/>
      <c r="W875" s="472"/>
      <c r="X875" s="472"/>
      <c r="Y875" s="472"/>
    </row>
    <row r="876" spans="1:25" x14ac:dyDescent="0.25">
      <c r="A876" s="463"/>
      <c r="B876" s="506">
        <v>88264</v>
      </c>
      <c r="C876" s="507"/>
      <c r="D876" s="508"/>
      <c r="E876" s="509" t="str">
        <f>IF($C876="",IFERROR(VLOOKUP($B876,SERVIÇOS!$B:$G,2,0),IFERROR(VLOOKUP($B876,$D:$K,2,0),"")),IFERROR(VLOOKUP($C876,INSUMOS!$A:$D,2,0),IFERROR(VLOOKUP($C876,COTAÇÕES!$B:$I,2,0),(VLOOKUP($C876,'INSUMO SINAPI - SP'!$C:$F,2,0)))))</f>
        <v>ELETRICISTA COM ENCARGOS COMPLEMENTARES</v>
      </c>
      <c r="F876" s="510" t="str">
        <f>IF($C876="",IFERROR(VLOOKUP($B876,SERVIÇOS!$B:$G,3,0),IFERROR(VLOOKUP($B876,$D:$K,3,0),"")),IFERROR(VLOOKUP($C876,INSUMOS!$A:$D,3,0),IFERROR(VLOOKUP($C876,COTAÇÕES!$B:$I,3,0),(VLOOKUP($C876,'INSUMO SINAPI - SP'!$C:$F,3,0)))))</f>
        <v>H</v>
      </c>
      <c r="G876" s="511">
        <v>0.5</v>
      </c>
      <c r="H876" s="512">
        <f>IF($C876="",IFERROR(VLOOKUP($B876,SERVIÇOS!$B:$G,6,0),IFERROR(VLOOKUP($B876,$D:$K,8,0),"")),IFERROR(VLOOKUP($C876,INSUMOS!$A:$D,4,0),IFERROR(VLOOKUP($C876,COTAÇÕES!$B:$I,7,0),(VLOOKUP($C876,'INSUMO SINAPI - SP'!$C:$F,4,0)))))</f>
        <v>37.369999999999997</v>
      </c>
      <c r="I876" s="513">
        <f>TRUNC(IF($C876="",IFERROR(VLOOKUP($B876,SERVIÇOS!$B:$G,4,0),IFERROR(VLOOKUP($B876,$D:$K,6,0),)),IFERROR(VLOOKUP($C876,INSUMOS!$A:$D,4,0),IFERROR(VLOOKUP($C876,COTAÇÕES!$B:$I,7,0),(VLOOKUP($C876,'INSUMO SINAPI - SP'!$C:$F,4,0)))))*$G876,2)</f>
        <v>4.6500000000000004</v>
      </c>
      <c r="J876" s="513">
        <f>TRUNC(IF($C876="",IFERROR(VLOOKUP($B876,SERVIÇOS!$B:$G,5,0),IFERROR(VLOOKUP($B876,$D:$K,7,0),)),0)*$G876,2)</f>
        <v>14.03</v>
      </c>
      <c r="K876" s="514">
        <f>I876+J876</f>
        <v>18.68</v>
      </c>
      <c r="L876" s="515"/>
      <c r="M876" s="471"/>
      <c r="N876" s="516"/>
      <c r="Q876" s="472"/>
      <c r="R876" s="472"/>
      <c r="S876" s="472"/>
      <c r="T876" s="472"/>
      <c r="U876" s="472"/>
      <c r="V876" s="472"/>
      <c r="W876" s="472"/>
      <c r="X876" s="472"/>
      <c r="Y876" s="472"/>
    </row>
    <row r="877" spans="1:25" x14ac:dyDescent="0.25">
      <c r="A877" s="463"/>
      <c r="B877" s="506">
        <v>88247</v>
      </c>
      <c r="C877" s="507"/>
      <c r="D877" s="508"/>
      <c r="E877" s="509" t="str">
        <f>IF($C877="",IFERROR(VLOOKUP($B877,SERVIÇOS!$B:$G,2,0),IFERROR(VLOOKUP($B877,$D:$K,2,0),"")),IFERROR(VLOOKUP($C877,INSUMOS!$A:$D,2,0),IFERROR(VLOOKUP($C877,COTAÇÕES!$B:$I,2,0),(VLOOKUP($C877,'INSUMO SINAPI - SP'!$C:$F,2,0)))))</f>
        <v>AUXILIAR DE ELETRICISTA COM ENCARGOS COMPLEMENTARES</v>
      </c>
      <c r="F877" s="510" t="str">
        <f>IF($C877="",IFERROR(VLOOKUP($B877,SERVIÇOS!$B:$G,3,0),IFERROR(VLOOKUP($B877,$D:$K,3,0),"")),IFERROR(VLOOKUP($C877,INSUMOS!$A:$D,3,0),IFERROR(VLOOKUP($C877,COTAÇÕES!$B:$I,3,0),(VLOOKUP($C877,'INSUMO SINAPI - SP'!$C:$F,3,0)))))</f>
        <v>H</v>
      </c>
      <c r="G877" s="511">
        <v>0.5</v>
      </c>
      <c r="H877" s="512">
        <f>IF($C877="",IFERROR(VLOOKUP($B877,SERVIÇOS!$B:$G,6,0),IFERROR(VLOOKUP($B877,$D:$K,8,0),"")),IFERROR(VLOOKUP($C877,INSUMOS!$A:$D,4,0),IFERROR(VLOOKUP($C877,COTAÇÕES!$B:$I,7,0),(VLOOKUP($C877,'INSUMO SINAPI - SP'!$C:$F,4,0)))))</f>
        <v>30.8</v>
      </c>
      <c r="I877" s="513">
        <f>TRUNC(IF($C877="",IFERROR(VLOOKUP($B877,SERVIÇOS!$B:$G,4,0),IFERROR(VLOOKUP($B877,$D:$K,6,0),)),IFERROR(VLOOKUP($C877,INSUMOS!$A:$D,4,0),IFERROR(VLOOKUP($C877,COTAÇÕES!$B:$I,7,0),(VLOOKUP($C877,'INSUMO SINAPI - SP'!$C:$F,4,0)))))*$G877,2)</f>
        <v>4.66</v>
      </c>
      <c r="J877" s="513">
        <f>TRUNC(IF($C877="",IFERROR(VLOOKUP($B877,SERVIÇOS!$B:$G,5,0),IFERROR(VLOOKUP($B877,$D:$K,7,0),)),0)*$G877,2)</f>
        <v>10.74</v>
      </c>
      <c r="K877" s="514">
        <f>I877+J877</f>
        <v>15.4</v>
      </c>
      <c r="L877" s="515"/>
      <c r="M877" s="471"/>
      <c r="N877" s="516"/>
      <c r="Q877" s="472"/>
      <c r="R877" s="472"/>
      <c r="S877" s="472"/>
      <c r="T877" s="472"/>
      <c r="U877" s="472"/>
      <c r="V877" s="472"/>
      <c r="W877" s="472"/>
      <c r="X877" s="472"/>
      <c r="Y877" s="472"/>
    </row>
    <row r="878" spans="1:25" x14ac:dyDescent="0.25">
      <c r="A878" s="463"/>
      <c r="B878" s="506"/>
      <c r="C878" s="507" t="s">
        <v>13081</v>
      </c>
      <c r="D878" s="508"/>
      <c r="E878" s="518" t="s">
        <v>13082</v>
      </c>
      <c r="F878" s="519" t="s">
        <v>580</v>
      </c>
      <c r="G878" s="511">
        <v>1</v>
      </c>
      <c r="H878" s="520">
        <v>20</v>
      </c>
      <c r="I878" s="520">
        <f>TRUNC(H878*G878,2)</f>
        <v>20</v>
      </c>
      <c r="J878" s="521"/>
      <c r="K878" s="522">
        <f>I878+J878</f>
        <v>20</v>
      </c>
      <c r="L878" s="517" t="s">
        <v>12668</v>
      </c>
      <c r="M878" s="471"/>
      <c r="N878" s="516"/>
      <c r="Q878" s="472"/>
      <c r="R878" s="472"/>
      <c r="S878" s="472"/>
      <c r="T878" s="472"/>
      <c r="U878" s="472"/>
      <c r="V878" s="472"/>
      <c r="W878" s="472"/>
      <c r="X878" s="472"/>
      <c r="Y878" s="472"/>
    </row>
    <row r="879" spans="1:25" x14ac:dyDescent="0.25">
      <c r="A879" s="463"/>
      <c r="B879" s="506"/>
      <c r="C879" s="507" t="s">
        <v>13009</v>
      </c>
      <c r="D879" s="508"/>
      <c r="E879" s="518" t="s">
        <v>13010</v>
      </c>
      <c r="F879" s="519" t="s">
        <v>580</v>
      </c>
      <c r="G879" s="511">
        <v>0.01</v>
      </c>
      <c r="H879" s="520">
        <v>84.77</v>
      </c>
      <c r="I879" s="520">
        <f>TRUNC(H879*G879,2)</f>
        <v>0.84</v>
      </c>
      <c r="J879" s="521"/>
      <c r="K879" s="522">
        <f>I879+J879</f>
        <v>0.84</v>
      </c>
      <c r="L879" s="517" t="s">
        <v>12668</v>
      </c>
      <c r="M879" s="471"/>
      <c r="N879" s="516"/>
      <c r="Q879" s="472"/>
      <c r="R879" s="472"/>
      <c r="S879" s="472"/>
      <c r="T879" s="472"/>
      <c r="U879" s="472"/>
      <c r="V879" s="472"/>
      <c r="W879" s="472"/>
      <c r="X879" s="472"/>
      <c r="Y879" s="472"/>
    </row>
    <row r="880" spans="1:25" x14ac:dyDescent="0.25">
      <c r="A880" s="463"/>
      <c r="B880" s="506"/>
      <c r="C880" s="507" t="s">
        <v>13083</v>
      </c>
      <c r="D880" s="508"/>
      <c r="E880" s="518" t="s">
        <v>13084</v>
      </c>
      <c r="F880" s="519" t="s">
        <v>580</v>
      </c>
      <c r="G880" s="511">
        <v>1.2500000000000001E-2</v>
      </c>
      <c r="H880" s="520">
        <v>214.09</v>
      </c>
      <c r="I880" s="520">
        <f>TRUNC(H880*G880,2)</f>
        <v>2.67</v>
      </c>
      <c r="J880" s="521"/>
      <c r="K880" s="522">
        <f>I880+J880</f>
        <v>2.67</v>
      </c>
      <c r="L880" s="517" t="s">
        <v>12668</v>
      </c>
      <c r="M880" s="471"/>
      <c r="N880" s="516"/>
      <c r="Q880" s="472"/>
      <c r="R880" s="472"/>
      <c r="S880" s="472"/>
      <c r="T880" s="472"/>
      <c r="U880" s="472"/>
      <c r="V880" s="472"/>
      <c r="W880" s="472"/>
      <c r="X880" s="472"/>
      <c r="Y880" s="472"/>
    </row>
    <row r="881" spans="1:25" x14ac:dyDescent="0.25">
      <c r="A881" s="463"/>
      <c r="B881" s="498"/>
      <c r="C881" s="498"/>
      <c r="D881" s="499" t="s">
        <v>12287</v>
      </c>
      <c r="E881" s="555" t="s">
        <v>13086</v>
      </c>
      <c r="F881" s="501" t="s">
        <v>585</v>
      </c>
      <c r="G881" s="502"/>
      <c r="H881" s="503"/>
      <c r="I881" s="504">
        <f>ROUND(SUM(I882:I884),2)</f>
        <v>118.08</v>
      </c>
      <c r="J881" s="504">
        <f>ROUND(SUM(J882:J884),2)</f>
        <v>14.85</v>
      </c>
      <c r="K881" s="504">
        <f>+J881+I881</f>
        <v>132.93</v>
      </c>
      <c r="L881" s="523"/>
      <c r="M881" s="471"/>
      <c r="N881" s="505"/>
      <c r="Q881" s="472"/>
      <c r="R881" s="472"/>
      <c r="S881" s="472"/>
      <c r="T881" s="472"/>
      <c r="U881" s="472"/>
      <c r="V881" s="472"/>
      <c r="W881" s="472"/>
      <c r="X881" s="472"/>
      <c r="Y881" s="472"/>
    </row>
    <row r="882" spans="1:25" x14ac:dyDescent="0.25">
      <c r="A882" s="463"/>
      <c r="B882" s="506">
        <v>88247</v>
      </c>
      <c r="C882" s="507"/>
      <c r="D882" s="508"/>
      <c r="E882" s="509" t="str">
        <f>IF($C882="",IFERROR(VLOOKUP($B882,SERVIÇOS!$B:$G,2,0),IFERROR(VLOOKUP($B882,$D:$K,2,0),"")),IFERROR(VLOOKUP($C882,INSUMOS!$A:$D,2,0),IFERROR(VLOOKUP($C882,COTAÇÕES!$B:$I,2,0),(VLOOKUP($C882,'INSUMO SINAPI - SP'!$C:$F,2,0)))))</f>
        <v>AUXILIAR DE ELETRICISTA COM ENCARGOS COMPLEMENTARES</v>
      </c>
      <c r="F882" s="510" t="str">
        <f>IF($C882="",IFERROR(VLOOKUP($B882,SERVIÇOS!$B:$G,3,0),IFERROR(VLOOKUP($B882,$D:$K,3,0),"")),IFERROR(VLOOKUP($C882,INSUMOS!$A:$D,3,0),IFERROR(VLOOKUP($C882,COTAÇÕES!$B:$I,3,0),(VLOOKUP($C882,'INSUMO SINAPI - SP'!$C:$F,3,0)))))</f>
        <v>H</v>
      </c>
      <c r="G882" s="511">
        <v>0.3</v>
      </c>
      <c r="H882" s="512">
        <f>IF($C882="",IFERROR(VLOOKUP($B882,SERVIÇOS!$B:$G,6,0),IFERROR(VLOOKUP($B882,$D:$K,8,0),"")),IFERROR(VLOOKUP($C882,INSUMOS!$A:$D,4,0),IFERROR(VLOOKUP($C882,COTAÇÕES!$B:$I,7,0),(VLOOKUP($C882,'INSUMO SINAPI - SP'!$C:$F,4,0)))))</f>
        <v>30.8</v>
      </c>
      <c r="I882" s="513">
        <f>TRUNC(IF($C882="",IFERROR(VLOOKUP($B882,SERVIÇOS!$B:$G,4,0),IFERROR(VLOOKUP($B882,$D:$K,6,0),)),IFERROR(VLOOKUP($C882,INSUMOS!$A:$D,4,0),IFERROR(VLOOKUP($C882,COTAÇÕES!$B:$I,7,0),(VLOOKUP($C882,'INSUMO SINAPI - SP'!$C:$F,4,0)))))*$G882,2)</f>
        <v>2.79</v>
      </c>
      <c r="J882" s="513">
        <f>TRUNC(IF($C882="",IFERROR(VLOOKUP($B882,SERVIÇOS!$B:$G,5,0),IFERROR(VLOOKUP($B882,$D:$K,7,0),)),0)*$G882,2)</f>
        <v>6.44</v>
      </c>
      <c r="K882" s="514">
        <f>I882+J882</f>
        <v>9.23</v>
      </c>
      <c r="L882" s="515"/>
      <c r="M882" s="471"/>
      <c r="N882" s="516"/>
      <c r="Q882" s="472"/>
      <c r="R882" s="472"/>
      <c r="S882" s="472"/>
      <c r="T882" s="472"/>
      <c r="U882" s="472"/>
      <c r="V882" s="472"/>
      <c r="W882" s="472"/>
      <c r="X882" s="472"/>
      <c r="Y882" s="472"/>
    </row>
    <row r="883" spans="1:25" x14ac:dyDescent="0.25">
      <c r="A883" s="463"/>
      <c r="B883" s="506">
        <v>88264</v>
      </c>
      <c r="C883" s="507"/>
      <c r="D883" s="508"/>
      <c r="E883" s="509" t="str">
        <f>IF($C883="",IFERROR(VLOOKUP($B883,SERVIÇOS!$B:$G,2,0),IFERROR(VLOOKUP($B883,$D:$K,2,0),"")),IFERROR(VLOOKUP($C883,INSUMOS!$A:$D,2,0),IFERROR(VLOOKUP($C883,COTAÇÕES!$B:$I,2,0),(VLOOKUP($C883,'INSUMO SINAPI - SP'!$C:$F,2,0)))))</f>
        <v>ELETRICISTA COM ENCARGOS COMPLEMENTARES</v>
      </c>
      <c r="F883" s="510" t="str">
        <f>IF($C883="",IFERROR(VLOOKUP($B883,SERVIÇOS!$B:$G,3,0),IFERROR(VLOOKUP($B883,$D:$K,3,0),"")),IFERROR(VLOOKUP($C883,INSUMOS!$A:$D,3,0),IFERROR(VLOOKUP($C883,COTAÇÕES!$B:$I,3,0),(VLOOKUP($C883,'INSUMO SINAPI - SP'!$C:$F,3,0)))))</f>
        <v>H</v>
      </c>
      <c r="G883" s="511">
        <v>0.3</v>
      </c>
      <c r="H883" s="512">
        <f>IF($C883="",IFERROR(VLOOKUP($B883,SERVIÇOS!$B:$G,6,0),IFERROR(VLOOKUP($B883,$D:$K,8,0),"")),IFERROR(VLOOKUP($C883,INSUMOS!$A:$D,4,0),IFERROR(VLOOKUP($C883,COTAÇÕES!$B:$I,7,0),(VLOOKUP($C883,'INSUMO SINAPI - SP'!$C:$F,4,0)))))</f>
        <v>37.369999999999997</v>
      </c>
      <c r="I883" s="513">
        <f>TRUNC(IF($C883="",IFERROR(VLOOKUP($B883,SERVIÇOS!$B:$G,4,0),IFERROR(VLOOKUP($B883,$D:$K,6,0),)),IFERROR(VLOOKUP($C883,INSUMOS!$A:$D,4,0),IFERROR(VLOOKUP($C883,COTAÇÕES!$B:$I,7,0),(VLOOKUP($C883,'INSUMO SINAPI - SP'!$C:$F,4,0)))))*$G883,2)</f>
        <v>2.79</v>
      </c>
      <c r="J883" s="513">
        <f>TRUNC(IF($C883="",IFERROR(VLOOKUP($B883,SERVIÇOS!$B:$G,5,0),IFERROR(VLOOKUP($B883,$D:$K,7,0),)),0)*$G883,2)</f>
        <v>8.41</v>
      </c>
      <c r="K883" s="514">
        <f>I883+J883</f>
        <v>11.2</v>
      </c>
      <c r="L883" s="515"/>
      <c r="M883" s="471"/>
      <c r="N883" s="516"/>
      <c r="Q883" s="472"/>
      <c r="R883" s="472"/>
      <c r="S883" s="472"/>
      <c r="T883" s="472"/>
      <c r="U883" s="472"/>
      <c r="V883" s="472"/>
      <c r="W883" s="472"/>
      <c r="X883" s="472"/>
      <c r="Y883" s="472"/>
    </row>
    <row r="884" spans="1:25" x14ac:dyDescent="0.25">
      <c r="A884" s="463"/>
      <c r="B884" s="506"/>
      <c r="C884" s="507">
        <v>2683</v>
      </c>
      <c r="D884" s="508"/>
      <c r="E884" s="509" t="str">
        <f>IF($C884="",IFERROR(VLOOKUP($B884,SERVIÇOS!$B:$G,2,0),IFERROR(VLOOKUP($B884,$D:$K,2,0),"")),IFERROR(VLOOKUP($C884,INSUMOS!$A:$D,2,0),IFERROR(VLOOKUP($C884,COTAÇÕES!$B:$I,2,0),(VLOOKUP($C884,'INSUMO SINAPI - SP'!$C:$F,2,0)))))</f>
        <v>ELETRODUTO DE PVC RIGIDO ROSCAVEL DE 4 ", SEM LUVA</v>
      </c>
      <c r="F884" s="510" t="str">
        <f>IF($C884="",IFERROR(VLOOKUP($B884,SERVIÇOS!$B:$G,3,0),IFERROR(VLOOKUP($B884,$D:$K,3,0),"")),IFERROR(VLOOKUP($C884,INSUMOS!$A:$D,3,0),IFERROR(VLOOKUP($C884,COTAÇÕES!$B:$I,3,0),(VLOOKUP($C884,'INSUMO SINAPI - SP'!$C:$F,3,0)))))</f>
        <v>M</v>
      </c>
      <c r="G884" s="511">
        <v>1.4</v>
      </c>
      <c r="H884" s="512">
        <f>IF($C884="",IFERROR(VLOOKUP($B884,SERVIÇOS!$B:$G,6,0),IFERROR(VLOOKUP($B884,$D:$K,8,0),"")),IFERROR(VLOOKUP($C884,INSUMOS!$A:$D,4,0),IFERROR(VLOOKUP($C884,COTAÇÕES!$B:$I,7,0),(VLOOKUP($C884,'INSUMO SINAPI - SP'!$C:$F,4,0)))))</f>
        <v>80.36</v>
      </c>
      <c r="I884" s="513">
        <f>TRUNC(IF($C884="",IFERROR(VLOOKUP($B884,SERVIÇOS!$B:$G,4,0),IFERROR(VLOOKUP($B884,$D:$K,6,0),)),IFERROR(VLOOKUP($C884,INSUMOS!$A:$D,4,0),IFERROR(VLOOKUP($C884,COTAÇÕES!$B:$I,7,0),(VLOOKUP($C884,'INSUMO SINAPI - SP'!$C:$F,4,0)))))*$G884,2)</f>
        <v>112.5</v>
      </c>
      <c r="J884" s="513">
        <f>TRUNC(IF($C884="",IFERROR(VLOOKUP($B884,SERVIÇOS!$B:$G,5,0),IFERROR(VLOOKUP($B884,$D:$K,7,0),)),0)*$G884,2)</f>
        <v>0</v>
      </c>
      <c r="K884" s="514">
        <f>I884+J884</f>
        <v>112.5</v>
      </c>
      <c r="L884" s="517"/>
      <c r="M884" s="471"/>
      <c r="N884" s="516"/>
      <c r="Q884" s="472"/>
      <c r="R884" s="472"/>
      <c r="S884" s="472"/>
      <c r="T884" s="472"/>
      <c r="U884" s="472"/>
      <c r="V884" s="472"/>
      <c r="W884" s="472"/>
      <c r="X884" s="472"/>
      <c r="Y884" s="472"/>
    </row>
    <row r="885" spans="1:25" x14ac:dyDescent="0.25">
      <c r="A885" s="463"/>
      <c r="B885" s="498"/>
      <c r="C885" s="498"/>
      <c r="D885" s="499" t="s">
        <v>12199</v>
      </c>
      <c r="E885" s="555" t="s">
        <v>13087</v>
      </c>
      <c r="F885" s="501" t="s">
        <v>580</v>
      </c>
      <c r="G885" s="502"/>
      <c r="H885" s="503"/>
      <c r="I885" s="504">
        <f>ROUND(SUM(I886:I889),2)</f>
        <v>218.04</v>
      </c>
      <c r="J885" s="504">
        <f>ROUND(SUM(J886:J889),2)</f>
        <v>100.29</v>
      </c>
      <c r="K885" s="504">
        <f>+J885+I885</f>
        <v>318.33</v>
      </c>
      <c r="L885" s="523" t="s">
        <v>13088</v>
      </c>
      <c r="M885" s="471"/>
      <c r="N885" s="505"/>
      <c r="Q885" s="472"/>
      <c r="R885" s="472"/>
      <c r="S885" s="472"/>
      <c r="T885" s="472"/>
      <c r="U885" s="472"/>
      <c r="V885" s="472"/>
      <c r="W885" s="472"/>
      <c r="X885" s="472"/>
      <c r="Y885" s="472"/>
    </row>
    <row r="886" spans="1:25" x14ac:dyDescent="0.25">
      <c r="A886" s="463"/>
      <c r="B886" s="506">
        <v>88247</v>
      </c>
      <c r="C886" s="507"/>
      <c r="D886" s="508"/>
      <c r="E886" s="509" t="str">
        <f>IF($C886="",IFERROR(VLOOKUP($B886,SERVIÇOS!$B:$G,2,0),IFERROR(VLOOKUP($B886,$D:$K,2,0),"")),IFERROR(VLOOKUP($C886,INSUMOS!$A:$D,2,0),IFERROR(VLOOKUP($C886,COTAÇÕES!$B:$I,2,0),(VLOOKUP($C886,'INSUMO SINAPI - SP'!$C:$F,2,0)))))</f>
        <v>AUXILIAR DE ELETRICISTA COM ENCARGOS COMPLEMENTARES</v>
      </c>
      <c r="F886" s="510" t="str">
        <f>IF($C886="",IFERROR(VLOOKUP($B886,SERVIÇOS!$B:$G,3,0),IFERROR(VLOOKUP($B886,$D:$K,3,0),"")),IFERROR(VLOOKUP($C886,INSUMOS!$A:$D,3,0),IFERROR(VLOOKUP($C886,COTAÇÕES!$B:$I,3,0),(VLOOKUP($C886,'INSUMO SINAPI - SP'!$C:$F,3,0)))))</f>
        <v>H</v>
      </c>
      <c r="G886" s="511">
        <v>1.6</v>
      </c>
      <c r="H886" s="512">
        <f>IF($C886="",IFERROR(VLOOKUP($B886,SERVIÇOS!$B:$G,6,0),IFERROR(VLOOKUP($B886,$D:$K,8,0),"")),IFERROR(VLOOKUP($C886,INSUMOS!$A:$D,4,0),IFERROR(VLOOKUP($C886,COTAÇÕES!$B:$I,7,0),(VLOOKUP($C886,'INSUMO SINAPI - SP'!$C:$F,4,0)))))</f>
        <v>30.8</v>
      </c>
      <c r="I886" s="513">
        <f>TRUNC(IF($C886="",IFERROR(VLOOKUP($B886,SERVIÇOS!$B:$G,4,0),IFERROR(VLOOKUP($B886,$D:$K,6,0),)),IFERROR(VLOOKUP($C886,INSUMOS!$A:$D,4,0),IFERROR(VLOOKUP($C886,COTAÇÕES!$B:$I,7,0),(VLOOKUP($C886,'INSUMO SINAPI - SP'!$C:$F,4,0)))))*$G886,2)</f>
        <v>14.91</v>
      </c>
      <c r="J886" s="513">
        <f>TRUNC(IF($C886="",IFERROR(VLOOKUP($B886,SERVIÇOS!$B:$G,5,0),IFERROR(VLOOKUP($B886,$D:$K,7,0),)),0)*$G886,2)</f>
        <v>34.36</v>
      </c>
      <c r="K886" s="514">
        <f>I886+J886</f>
        <v>49.269999999999996</v>
      </c>
      <c r="L886" s="515"/>
      <c r="M886" s="471"/>
      <c r="N886" s="516"/>
      <c r="Q886" s="472"/>
      <c r="R886" s="472"/>
      <c r="S886" s="472"/>
      <c r="T886" s="472"/>
      <c r="U886" s="472"/>
      <c r="V886" s="472"/>
      <c r="W886" s="472"/>
      <c r="X886" s="472"/>
      <c r="Y886" s="472"/>
    </row>
    <row r="887" spans="1:25" x14ac:dyDescent="0.25">
      <c r="A887" s="463"/>
      <c r="B887" s="506">
        <v>88264</v>
      </c>
      <c r="C887" s="507"/>
      <c r="D887" s="508"/>
      <c r="E887" s="509" t="str">
        <f>IF($C887="",IFERROR(VLOOKUP($B887,SERVIÇOS!$B:$G,2,0),IFERROR(VLOOKUP($B887,$D:$K,2,0),"")),IFERROR(VLOOKUP($C887,INSUMOS!$A:$D,2,0),IFERROR(VLOOKUP($C887,COTAÇÕES!$B:$I,2,0),(VLOOKUP($C887,'INSUMO SINAPI - SP'!$C:$F,2,0)))))</f>
        <v>ELETRICISTA COM ENCARGOS COMPLEMENTARES</v>
      </c>
      <c r="F887" s="510" t="str">
        <f>IF($C887="",IFERROR(VLOOKUP($B887,SERVIÇOS!$B:$G,3,0),IFERROR(VLOOKUP($B887,$D:$K,3,0),"")),IFERROR(VLOOKUP($C887,INSUMOS!$A:$D,3,0),IFERROR(VLOOKUP($C887,COTAÇÕES!$B:$I,3,0),(VLOOKUP($C887,'INSUMO SINAPI - SP'!$C:$F,3,0)))))</f>
        <v>H</v>
      </c>
      <c r="G887" s="511">
        <v>1.6</v>
      </c>
      <c r="H887" s="512">
        <f>IF($C887="",IFERROR(VLOOKUP($B887,SERVIÇOS!$B:$G,6,0),IFERROR(VLOOKUP($B887,$D:$K,8,0),"")),IFERROR(VLOOKUP($C887,INSUMOS!$A:$D,4,0),IFERROR(VLOOKUP($C887,COTAÇÕES!$B:$I,7,0),(VLOOKUP($C887,'INSUMO SINAPI - SP'!$C:$F,4,0)))))</f>
        <v>37.369999999999997</v>
      </c>
      <c r="I887" s="513">
        <f>TRUNC(IF($C887="",IFERROR(VLOOKUP($B887,SERVIÇOS!$B:$G,4,0),IFERROR(VLOOKUP($B887,$D:$K,6,0),)),IFERROR(VLOOKUP($C887,INSUMOS!$A:$D,4,0),IFERROR(VLOOKUP($C887,COTAÇÕES!$B:$I,7,0),(VLOOKUP($C887,'INSUMO SINAPI - SP'!$C:$F,4,0)))))*$G887,2)</f>
        <v>14.89</v>
      </c>
      <c r="J887" s="513">
        <f>TRUNC(IF($C887="",IFERROR(VLOOKUP($B887,SERVIÇOS!$B:$G,5,0),IFERROR(VLOOKUP($B887,$D:$K,7,0),)),0)*$G887,2)</f>
        <v>44.89</v>
      </c>
      <c r="K887" s="514">
        <f>I887+J887</f>
        <v>59.78</v>
      </c>
      <c r="L887" s="515"/>
      <c r="M887" s="471"/>
      <c r="N887" s="516"/>
      <c r="Q887" s="472"/>
      <c r="R887" s="472"/>
      <c r="S887" s="472"/>
      <c r="T887" s="472"/>
      <c r="U887" s="472"/>
      <c r="V887" s="472"/>
      <c r="W887" s="472"/>
      <c r="X887" s="472"/>
      <c r="Y887" s="472"/>
    </row>
    <row r="888" spans="1:25" x14ac:dyDescent="0.25">
      <c r="A888" s="463"/>
      <c r="B888" s="506">
        <v>88266</v>
      </c>
      <c r="C888" s="507"/>
      <c r="D888" s="508"/>
      <c r="E888" s="509" t="str">
        <f>IF($C888="",IFERROR(VLOOKUP($B888,SERVIÇOS!$B:$G,2,0),IFERROR(VLOOKUP($B888,$D:$K,2,0),"")),IFERROR(VLOOKUP($C888,INSUMOS!$A:$D,2,0),IFERROR(VLOOKUP($C888,COTAÇÕES!$B:$I,2,0),(VLOOKUP($C888,'INSUMO SINAPI - SP'!$C:$F,2,0)))))</f>
        <v>ELETROTÉCNICO COM ENCARGOS COMPLEMENTARES</v>
      </c>
      <c r="F888" s="510" t="str">
        <f>IF($C888="",IFERROR(VLOOKUP($B888,SERVIÇOS!$B:$G,3,0),IFERROR(VLOOKUP($B888,$D:$K,3,0),"")),IFERROR(VLOOKUP($C888,INSUMOS!$A:$D,3,0),IFERROR(VLOOKUP($C888,COTAÇÕES!$B:$I,3,0),(VLOOKUP($C888,'INSUMO SINAPI - SP'!$C:$F,3,0)))))</f>
        <v>H</v>
      </c>
      <c r="G888" s="511">
        <v>0.6</v>
      </c>
      <c r="H888" s="512">
        <f>IF($C888="",IFERROR(VLOOKUP($B888,SERVIÇOS!$B:$G,6,0),IFERROR(VLOOKUP($B888,$D:$K,8,0),"")),IFERROR(VLOOKUP($C888,INSUMOS!$A:$D,4,0),IFERROR(VLOOKUP($C888,COTAÇÕES!$B:$I,7,0),(VLOOKUP($C888,'INSUMO SINAPI - SP'!$C:$F,4,0)))))</f>
        <v>44.39</v>
      </c>
      <c r="I888" s="513">
        <f>TRUNC(IF($C888="",IFERROR(VLOOKUP($B888,SERVIÇOS!$B:$G,4,0),IFERROR(VLOOKUP($B888,$D:$K,6,0),)),IFERROR(VLOOKUP($C888,INSUMOS!$A:$D,4,0),IFERROR(VLOOKUP($C888,COTAÇÕES!$B:$I,7,0),(VLOOKUP($C888,'INSUMO SINAPI - SP'!$C:$F,4,0)))))*$G888,2)</f>
        <v>5.58</v>
      </c>
      <c r="J888" s="513">
        <f>TRUNC(IF($C888="",IFERROR(VLOOKUP($B888,SERVIÇOS!$B:$G,5,0),IFERROR(VLOOKUP($B888,$D:$K,7,0),)),0)*$G888,2)</f>
        <v>21.04</v>
      </c>
      <c r="K888" s="514">
        <f>I888+J888</f>
        <v>26.619999999999997</v>
      </c>
      <c r="L888" s="515"/>
      <c r="M888" s="471"/>
      <c r="N888" s="516"/>
      <c r="Q888" s="472"/>
      <c r="R888" s="472"/>
      <c r="S888" s="472"/>
      <c r="T888" s="472"/>
      <c r="U888" s="472"/>
      <c r="V888" s="472"/>
      <c r="W888" s="472"/>
      <c r="X888" s="472"/>
      <c r="Y888" s="472"/>
    </row>
    <row r="889" spans="1:25" x14ac:dyDescent="0.25">
      <c r="A889" s="463"/>
      <c r="B889" s="506"/>
      <c r="C889" s="507">
        <v>39451</v>
      </c>
      <c r="D889" s="508"/>
      <c r="E889" s="509" t="str">
        <f>IF($C889="",IFERROR(VLOOKUP($B889,SERVIÇOS!$B:$G,2,0),IFERROR(VLOOKUP($B889,$D:$K,2,0),"")),IFERROR(VLOOKUP($C889,INSUMOS!$A:$D,2,0),IFERROR(VLOOKUP($C889,COTAÇÕES!$B:$I,2,0),(VLOOKUP($C889,'INSUMO SINAPI - SP'!$C:$F,2,0)))))</f>
        <v>DISPOSITIVO DR, 2 POLOS, SENSIBILIDADE DE 300 MA, CORRENTE DE 40 A, TIPO AC</v>
      </c>
      <c r="F889" s="510" t="str">
        <f>IF($C889="",IFERROR(VLOOKUP($B889,SERVIÇOS!$B:$G,3,0),IFERROR(VLOOKUP($B889,$D:$K,3,0),"")),IFERROR(VLOOKUP($C889,INSUMOS!$A:$D,3,0),IFERROR(VLOOKUP($C889,COTAÇÕES!$B:$I,3,0),(VLOOKUP($C889,'INSUMO SINAPI - SP'!$C:$F,3,0)))))</f>
        <v>UN</v>
      </c>
      <c r="G889" s="511">
        <v>1</v>
      </c>
      <c r="H889" s="512">
        <f>IF($C889="",IFERROR(VLOOKUP($B889,SERVIÇOS!$B:$G,6,0),IFERROR(VLOOKUP($B889,$D:$K,8,0),"")),IFERROR(VLOOKUP($C889,INSUMOS!$A:$D,4,0),IFERROR(VLOOKUP($C889,COTAÇÕES!$B:$I,7,0),(VLOOKUP($C889,'INSUMO SINAPI - SP'!$C:$F,4,0)))))</f>
        <v>182.66</v>
      </c>
      <c r="I889" s="513">
        <f>TRUNC(IF($C889="",IFERROR(VLOOKUP($B889,SERVIÇOS!$B:$G,4,0),IFERROR(VLOOKUP($B889,$D:$K,6,0),)),IFERROR(VLOOKUP($C889,INSUMOS!$A:$D,4,0),IFERROR(VLOOKUP($C889,COTAÇÕES!$B:$I,7,0),(VLOOKUP($C889,'INSUMO SINAPI - SP'!$C:$F,4,0)))))*$G889,2)</f>
        <v>182.66</v>
      </c>
      <c r="J889" s="513">
        <f>TRUNC(IF($C889="",IFERROR(VLOOKUP($B889,SERVIÇOS!$B:$G,5,0),IFERROR(VLOOKUP($B889,$D:$K,7,0),)),0)*$G889,2)</f>
        <v>0</v>
      </c>
      <c r="K889" s="514">
        <f>I889+J889</f>
        <v>182.66</v>
      </c>
      <c r="L889" s="517"/>
      <c r="M889" s="471"/>
      <c r="N889" s="516"/>
      <c r="Q889" s="472"/>
      <c r="R889" s="472"/>
      <c r="S889" s="472"/>
      <c r="T889" s="472"/>
      <c r="U889" s="472"/>
      <c r="V889" s="472"/>
      <c r="W889" s="472"/>
      <c r="X889" s="472"/>
      <c r="Y889" s="472"/>
    </row>
    <row r="890" spans="1:25" x14ac:dyDescent="0.25">
      <c r="A890" s="463"/>
      <c r="B890" s="498"/>
      <c r="C890" s="498"/>
      <c r="D890" s="499" t="s">
        <v>12200</v>
      </c>
      <c r="E890" s="555" t="s">
        <v>13089</v>
      </c>
      <c r="F890" s="501" t="s">
        <v>580</v>
      </c>
      <c r="G890" s="502"/>
      <c r="H890" s="503"/>
      <c r="I890" s="504">
        <f>ROUND(SUM(I891:I894),2)</f>
        <v>279.11</v>
      </c>
      <c r="J890" s="504">
        <f>ROUND(SUM(J891:J894),2)</f>
        <v>120.12</v>
      </c>
      <c r="K890" s="504">
        <f>+J890+I890</f>
        <v>399.23</v>
      </c>
      <c r="L890" s="523" t="s">
        <v>13090</v>
      </c>
      <c r="M890" s="471"/>
      <c r="N890" s="505"/>
      <c r="Q890" s="472"/>
      <c r="R890" s="472"/>
      <c r="S890" s="472"/>
      <c r="T890" s="472"/>
      <c r="U890" s="472"/>
      <c r="V890" s="472"/>
      <c r="W890" s="472"/>
      <c r="X890" s="472"/>
      <c r="Y890" s="472"/>
    </row>
    <row r="891" spans="1:25" x14ac:dyDescent="0.25">
      <c r="A891" s="463"/>
      <c r="B891" s="506">
        <v>88247</v>
      </c>
      <c r="C891" s="507"/>
      <c r="D891" s="508"/>
      <c r="E891" s="509" t="str">
        <f>IF($C891="",IFERROR(VLOOKUP($B891,SERVIÇOS!$B:$G,2,0),IFERROR(VLOOKUP($B891,$D:$K,2,0),"")),IFERROR(VLOOKUP($C891,INSUMOS!$A:$D,2,0),IFERROR(VLOOKUP($C891,COTAÇÕES!$B:$I,2,0),(VLOOKUP($C891,'INSUMO SINAPI - SP'!$C:$F,2,0)))))</f>
        <v>AUXILIAR DE ELETRICISTA COM ENCARGOS COMPLEMENTARES</v>
      </c>
      <c r="F891" s="510" t="str">
        <f>IF($C891="",IFERROR(VLOOKUP($B891,SERVIÇOS!$B:$G,3,0),IFERROR(VLOOKUP($B891,$D:$K,3,0),"")),IFERROR(VLOOKUP($C891,INSUMOS!$A:$D,3,0),IFERROR(VLOOKUP($C891,COTAÇÕES!$B:$I,3,0),(VLOOKUP($C891,'INSUMO SINAPI - SP'!$C:$F,3,0)))))</f>
        <v>H</v>
      </c>
      <c r="G891" s="511">
        <v>2</v>
      </c>
      <c r="H891" s="512">
        <f>IF($C891="",IFERROR(VLOOKUP($B891,SERVIÇOS!$B:$G,6,0),IFERROR(VLOOKUP($B891,$D:$K,8,0),"")),IFERROR(VLOOKUP($C891,INSUMOS!$A:$D,4,0),IFERROR(VLOOKUP($C891,COTAÇÕES!$B:$I,7,0),(VLOOKUP($C891,'INSUMO SINAPI - SP'!$C:$F,4,0)))))</f>
        <v>30.8</v>
      </c>
      <c r="I891" s="513">
        <f>TRUNC(IF($C891="",IFERROR(VLOOKUP($B891,SERVIÇOS!$B:$G,4,0),IFERROR(VLOOKUP($B891,$D:$K,6,0),)),IFERROR(VLOOKUP($C891,INSUMOS!$A:$D,4,0),IFERROR(VLOOKUP($C891,COTAÇÕES!$B:$I,7,0),(VLOOKUP($C891,'INSUMO SINAPI - SP'!$C:$F,4,0)))))*$G891,2)</f>
        <v>18.64</v>
      </c>
      <c r="J891" s="513">
        <f>TRUNC(IF($C891="",IFERROR(VLOOKUP($B891,SERVIÇOS!$B:$G,5,0),IFERROR(VLOOKUP($B891,$D:$K,7,0),)),0)*$G891,2)</f>
        <v>42.96</v>
      </c>
      <c r="K891" s="514">
        <f>I891+J891</f>
        <v>61.6</v>
      </c>
      <c r="L891" s="515"/>
      <c r="M891" s="471"/>
      <c r="N891" s="516"/>
      <c r="Q891" s="472"/>
      <c r="R891" s="472"/>
      <c r="S891" s="472"/>
      <c r="T891" s="472"/>
      <c r="U891" s="472"/>
      <c r="V891" s="472"/>
      <c r="W891" s="472"/>
      <c r="X891" s="472"/>
      <c r="Y891" s="472"/>
    </row>
    <row r="892" spans="1:25" x14ac:dyDescent="0.25">
      <c r="A892" s="463"/>
      <c r="B892" s="506">
        <v>88264</v>
      </c>
      <c r="C892" s="507"/>
      <c r="D892" s="508"/>
      <c r="E892" s="509" t="str">
        <f>IF($C892="",IFERROR(VLOOKUP($B892,SERVIÇOS!$B:$G,2,0),IFERROR(VLOOKUP($B892,$D:$K,2,0),"")),IFERROR(VLOOKUP($C892,INSUMOS!$A:$D,2,0),IFERROR(VLOOKUP($C892,COTAÇÕES!$B:$I,2,0),(VLOOKUP($C892,'INSUMO SINAPI - SP'!$C:$F,2,0)))))</f>
        <v>ELETRICISTA COM ENCARGOS COMPLEMENTARES</v>
      </c>
      <c r="F892" s="510" t="str">
        <f>IF($C892="",IFERROR(VLOOKUP($B892,SERVIÇOS!$B:$G,3,0),IFERROR(VLOOKUP($B892,$D:$K,3,0),"")),IFERROR(VLOOKUP($C892,INSUMOS!$A:$D,3,0),IFERROR(VLOOKUP($C892,COTAÇÕES!$B:$I,3,0),(VLOOKUP($C892,'INSUMO SINAPI - SP'!$C:$F,3,0)))))</f>
        <v>H</v>
      </c>
      <c r="G892" s="511">
        <v>2</v>
      </c>
      <c r="H892" s="512">
        <f>IF($C892="",IFERROR(VLOOKUP($B892,SERVIÇOS!$B:$G,6,0),IFERROR(VLOOKUP($B892,$D:$K,8,0),"")),IFERROR(VLOOKUP($C892,INSUMOS!$A:$D,4,0),IFERROR(VLOOKUP($C892,COTAÇÕES!$B:$I,7,0),(VLOOKUP($C892,'INSUMO SINAPI - SP'!$C:$F,4,0)))))</f>
        <v>37.369999999999997</v>
      </c>
      <c r="I892" s="513">
        <f>TRUNC(IF($C892="",IFERROR(VLOOKUP($B892,SERVIÇOS!$B:$G,4,0),IFERROR(VLOOKUP($B892,$D:$K,6,0),)),IFERROR(VLOOKUP($C892,INSUMOS!$A:$D,4,0),IFERROR(VLOOKUP($C892,COTAÇÕES!$B:$I,7,0),(VLOOKUP($C892,'INSUMO SINAPI - SP'!$C:$F,4,0)))))*$G892,2)</f>
        <v>18.62</v>
      </c>
      <c r="J892" s="513">
        <f>TRUNC(IF($C892="",IFERROR(VLOOKUP($B892,SERVIÇOS!$B:$G,5,0),IFERROR(VLOOKUP($B892,$D:$K,7,0),)),0)*$G892,2)</f>
        <v>56.12</v>
      </c>
      <c r="K892" s="514">
        <f>I892+J892</f>
        <v>74.739999999999995</v>
      </c>
      <c r="L892" s="515"/>
      <c r="M892" s="471"/>
      <c r="N892" s="516"/>
      <c r="Q892" s="472"/>
      <c r="R892" s="472"/>
      <c r="S892" s="472"/>
      <c r="T892" s="472"/>
      <c r="U892" s="472"/>
      <c r="V892" s="472"/>
      <c r="W892" s="472"/>
      <c r="X892" s="472"/>
      <c r="Y892" s="472"/>
    </row>
    <row r="893" spans="1:25" x14ac:dyDescent="0.25">
      <c r="A893" s="463"/>
      <c r="B893" s="506">
        <v>88266</v>
      </c>
      <c r="C893" s="507"/>
      <c r="D893" s="508"/>
      <c r="E893" s="509" t="str">
        <f>IF($C893="",IFERROR(VLOOKUP($B893,SERVIÇOS!$B:$G,2,0),IFERROR(VLOOKUP($B893,$D:$K,2,0),"")),IFERROR(VLOOKUP($C893,INSUMOS!$A:$D,2,0),IFERROR(VLOOKUP($C893,COTAÇÕES!$B:$I,2,0),(VLOOKUP($C893,'INSUMO SINAPI - SP'!$C:$F,2,0)))))</f>
        <v>ELETROTÉCNICO COM ENCARGOS COMPLEMENTARES</v>
      </c>
      <c r="F893" s="510" t="str">
        <f>IF($C893="",IFERROR(VLOOKUP($B893,SERVIÇOS!$B:$G,3,0),IFERROR(VLOOKUP($B893,$D:$K,3,0),"")),IFERROR(VLOOKUP($C893,INSUMOS!$A:$D,3,0),IFERROR(VLOOKUP($C893,COTAÇÕES!$B:$I,3,0),(VLOOKUP($C893,'INSUMO SINAPI - SP'!$C:$F,3,0)))))</f>
        <v>H</v>
      </c>
      <c r="G893" s="511">
        <v>0.6</v>
      </c>
      <c r="H893" s="512">
        <f>IF($C893="",IFERROR(VLOOKUP($B893,SERVIÇOS!$B:$G,6,0),IFERROR(VLOOKUP($B893,$D:$K,8,0),"")),IFERROR(VLOOKUP($C893,INSUMOS!$A:$D,4,0),IFERROR(VLOOKUP($C893,COTAÇÕES!$B:$I,7,0),(VLOOKUP($C893,'INSUMO SINAPI - SP'!$C:$F,4,0)))))</f>
        <v>44.39</v>
      </c>
      <c r="I893" s="513">
        <f>TRUNC(IF($C893="",IFERROR(VLOOKUP($B893,SERVIÇOS!$B:$G,4,0),IFERROR(VLOOKUP($B893,$D:$K,6,0),)),IFERROR(VLOOKUP($C893,INSUMOS!$A:$D,4,0),IFERROR(VLOOKUP($C893,COTAÇÕES!$B:$I,7,0),(VLOOKUP($C893,'INSUMO SINAPI - SP'!$C:$F,4,0)))))*$G893,2)</f>
        <v>5.58</v>
      </c>
      <c r="J893" s="513">
        <f>TRUNC(IF($C893="",IFERROR(VLOOKUP($B893,SERVIÇOS!$B:$G,5,0),IFERROR(VLOOKUP($B893,$D:$K,7,0),)),0)*$G893,2)</f>
        <v>21.04</v>
      </c>
      <c r="K893" s="514">
        <f>I893+J893</f>
        <v>26.619999999999997</v>
      </c>
      <c r="L893" s="515"/>
      <c r="M893" s="471"/>
      <c r="N893" s="516"/>
      <c r="Q893" s="472"/>
      <c r="R893" s="472"/>
      <c r="S893" s="472"/>
      <c r="T893" s="472"/>
      <c r="U893" s="472"/>
      <c r="V893" s="472"/>
      <c r="W893" s="472"/>
      <c r="X893" s="472"/>
      <c r="Y893" s="472"/>
    </row>
    <row r="894" spans="1:25" x14ac:dyDescent="0.25">
      <c r="A894" s="463"/>
      <c r="B894" s="506"/>
      <c r="C894" s="507">
        <v>39462</v>
      </c>
      <c r="D894" s="508"/>
      <c r="E894" s="509" t="str">
        <f>IF($C894="",IFERROR(VLOOKUP($B894,SERVIÇOS!$B:$G,2,0),IFERROR(VLOOKUP($B894,$D:$K,2,0),"")),IFERROR(VLOOKUP($C894,INSUMOS!$A:$D,2,0),IFERROR(VLOOKUP($C894,COTAÇÕES!$B:$I,2,0),(VLOOKUP($C894,'INSUMO SINAPI - SP'!$C:$F,2,0)))))</f>
        <v>DISPOSITIVO DR, 4 POLOS, SENSIBILIDADE DE 300 MA, CORRENTE DE 63 A, TIPO AC</v>
      </c>
      <c r="F894" s="510" t="str">
        <f>IF($C894="",IFERROR(VLOOKUP($B894,SERVIÇOS!$B:$G,3,0),IFERROR(VLOOKUP($B894,$D:$K,3,0),"")),IFERROR(VLOOKUP($C894,INSUMOS!$A:$D,3,0),IFERROR(VLOOKUP($C894,COTAÇÕES!$B:$I,3,0),(VLOOKUP($C894,'INSUMO SINAPI - SP'!$C:$F,3,0)))))</f>
        <v>UN</v>
      </c>
      <c r="G894" s="511">
        <v>1</v>
      </c>
      <c r="H894" s="512">
        <f>IF($C894="",IFERROR(VLOOKUP($B894,SERVIÇOS!$B:$G,6,0),IFERROR(VLOOKUP($B894,$D:$K,8,0),"")),IFERROR(VLOOKUP($C894,INSUMOS!$A:$D,4,0),IFERROR(VLOOKUP($C894,COTAÇÕES!$B:$I,7,0),(VLOOKUP($C894,'INSUMO SINAPI - SP'!$C:$F,4,0)))))</f>
        <v>236.27</v>
      </c>
      <c r="I894" s="513">
        <f>TRUNC(IF($C894="",IFERROR(VLOOKUP($B894,SERVIÇOS!$B:$G,4,0),IFERROR(VLOOKUP($B894,$D:$K,6,0),)),IFERROR(VLOOKUP($C894,INSUMOS!$A:$D,4,0),IFERROR(VLOOKUP($C894,COTAÇÕES!$B:$I,7,0),(VLOOKUP($C894,'INSUMO SINAPI - SP'!$C:$F,4,0)))))*$G894,2)</f>
        <v>236.27</v>
      </c>
      <c r="J894" s="513">
        <f>TRUNC(IF($C894="",IFERROR(VLOOKUP($B894,SERVIÇOS!$B:$G,5,0),IFERROR(VLOOKUP($B894,$D:$K,7,0),)),0)*$G894,2)</f>
        <v>0</v>
      </c>
      <c r="K894" s="514">
        <f>I894+J894</f>
        <v>236.27</v>
      </c>
      <c r="L894" s="517"/>
      <c r="M894" s="471"/>
      <c r="N894" s="516"/>
      <c r="Q894" s="472"/>
      <c r="R894" s="472"/>
      <c r="S894" s="472"/>
      <c r="T894" s="472"/>
      <c r="U894" s="472"/>
      <c r="V894" s="472"/>
      <c r="W894" s="472"/>
      <c r="X894" s="472"/>
      <c r="Y894" s="472"/>
    </row>
    <row r="895" spans="1:25" x14ac:dyDescent="0.25">
      <c r="A895" s="463"/>
      <c r="B895" s="498"/>
      <c r="C895" s="498"/>
      <c r="D895" s="499" t="s">
        <v>12222</v>
      </c>
      <c r="E895" s="555" t="s">
        <v>13091</v>
      </c>
      <c r="F895" s="501" t="s">
        <v>585</v>
      </c>
      <c r="G895" s="502"/>
      <c r="H895" s="503"/>
      <c r="I895" s="504">
        <f>ROUND(SUM(I896:I899),2)</f>
        <v>6.12</v>
      </c>
      <c r="J895" s="504">
        <f>ROUND(SUM(J896:J899),2)</f>
        <v>1.97</v>
      </c>
      <c r="K895" s="504">
        <f>+J895+I895</f>
        <v>8.09</v>
      </c>
      <c r="L895" s="523" t="s">
        <v>13092</v>
      </c>
      <c r="M895" s="471"/>
      <c r="N895" s="505"/>
      <c r="Q895" s="472"/>
      <c r="R895" s="472"/>
      <c r="S895" s="472"/>
      <c r="T895" s="472"/>
      <c r="U895" s="472"/>
      <c r="V895" s="472"/>
      <c r="W895" s="472"/>
      <c r="X895" s="472"/>
      <c r="Y895" s="472"/>
    </row>
    <row r="896" spans="1:25" x14ac:dyDescent="0.25">
      <c r="A896" s="463"/>
      <c r="B896" s="506">
        <v>88264</v>
      </c>
      <c r="C896" s="507"/>
      <c r="D896" s="508"/>
      <c r="E896" s="509" t="str">
        <f>IF($C896="",IFERROR(VLOOKUP($B896,SERVIÇOS!$B:$G,2,0),IFERROR(VLOOKUP($B896,$D:$K,2,0),"")),IFERROR(VLOOKUP($C896,INSUMOS!$A:$D,2,0),IFERROR(VLOOKUP($C896,COTAÇÕES!$B:$I,2,0),(VLOOKUP($C896,'INSUMO SINAPI - SP'!$C:$F,2,0)))))</f>
        <v>ELETRICISTA COM ENCARGOS COMPLEMENTARES</v>
      </c>
      <c r="F896" s="510" t="str">
        <f>IF($C896="",IFERROR(VLOOKUP($B896,SERVIÇOS!$B:$G,3,0),IFERROR(VLOOKUP($B896,$D:$K,3,0),"")),IFERROR(VLOOKUP($C896,INSUMOS!$A:$D,3,0),IFERROR(VLOOKUP($C896,COTAÇÕES!$B:$I,3,0),(VLOOKUP($C896,'INSUMO SINAPI - SP'!$C:$F,3,0)))))</f>
        <v>H</v>
      </c>
      <c r="G896" s="511">
        <v>0.04</v>
      </c>
      <c r="H896" s="512">
        <f>IF($C896="",IFERROR(VLOOKUP($B896,SERVIÇOS!$B:$G,6,0),IFERROR(VLOOKUP($B896,$D:$K,8,0),"")),IFERROR(VLOOKUP($C896,INSUMOS!$A:$D,4,0),IFERROR(VLOOKUP($C896,COTAÇÕES!$B:$I,7,0),(VLOOKUP($C896,'INSUMO SINAPI - SP'!$C:$F,4,0)))))</f>
        <v>37.369999999999997</v>
      </c>
      <c r="I896" s="513">
        <f>TRUNC(IF($C896="",IFERROR(VLOOKUP($B896,SERVIÇOS!$B:$G,4,0),IFERROR(VLOOKUP($B896,$D:$K,6,0),)),IFERROR(VLOOKUP($C896,INSUMOS!$A:$D,4,0),IFERROR(VLOOKUP($C896,COTAÇÕES!$B:$I,7,0),(VLOOKUP($C896,'INSUMO SINAPI - SP'!$C:$F,4,0)))))*$G896,2)</f>
        <v>0.37</v>
      </c>
      <c r="J896" s="513">
        <f>TRUNC(IF($C896="",IFERROR(VLOOKUP($B896,SERVIÇOS!$B:$G,5,0),IFERROR(VLOOKUP($B896,$D:$K,7,0),)),0)*$G896,2)</f>
        <v>1.1200000000000001</v>
      </c>
      <c r="K896" s="514">
        <f>I896+J896</f>
        <v>1.4900000000000002</v>
      </c>
      <c r="L896" s="515"/>
      <c r="M896" s="471"/>
      <c r="N896" s="516"/>
      <c r="Q896" s="472"/>
      <c r="R896" s="472"/>
      <c r="S896" s="472"/>
      <c r="T896" s="472"/>
      <c r="U896" s="472"/>
      <c r="V896" s="472"/>
      <c r="W896" s="472"/>
      <c r="X896" s="472"/>
      <c r="Y896" s="472"/>
    </row>
    <row r="897" spans="1:25" x14ac:dyDescent="0.25">
      <c r="A897" s="463"/>
      <c r="B897" s="506">
        <v>88247</v>
      </c>
      <c r="C897" s="507"/>
      <c r="D897" s="508"/>
      <c r="E897" s="509" t="str">
        <f>IF($C897="",IFERROR(VLOOKUP($B897,SERVIÇOS!$B:$G,2,0),IFERROR(VLOOKUP($B897,$D:$K,2,0),"")),IFERROR(VLOOKUP($C897,INSUMOS!$A:$D,2,0),IFERROR(VLOOKUP($C897,COTAÇÕES!$B:$I,2,0),(VLOOKUP($C897,'INSUMO SINAPI - SP'!$C:$F,2,0)))))</f>
        <v>AUXILIAR DE ELETRICISTA COM ENCARGOS COMPLEMENTARES</v>
      </c>
      <c r="F897" s="510" t="str">
        <f>IF($C897="",IFERROR(VLOOKUP($B897,SERVIÇOS!$B:$G,3,0),IFERROR(VLOOKUP($B897,$D:$K,3,0),"")),IFERROR(VLOOKUP($C897,INSUMOS!$A:$D,3,0),IFERROR(VLOOKUP($C897,COTAÇÕES!$B:$I,3,0),(VLOOKUP($C897,'INSUMO SINAPI - SP'!$C:$F,3,0)))))</f>
        <v>H</v>
      </c>
      <c r="G897" s="511">
        <v>0.04</v>
      </c>
      <c r="H897" s="512">
        <f>IF($C897="",IFERROR(VLOOKUP($B897,SERVIÇOS!$B:$G,6,0),IFERROR(VLOOKUP($B897,$D:$K,8,0),"")),IFERROR(VLOOKUP($C897,INSUMOS!$A:$D,4,0),IFERROR(VLOOKUP($C897,COTAÇÕES!$B:$I,7,0),(VLOOKUP($C897,'INSUMO SINAPI - SP'!$C:$F,4,0)))))</f>
        <v>30.8</v>
      </c>
      <c r="I897" s="513">
        <f>TRUNC(IF($C897="",IFERROR(VLOOKUP($B897,SERVIÇOS!$B:$G,4,0),IFERROR(VLOOKUP($B897,$D:$K,6,0),)),IFERROR(VLOOKUP($C897,INSUMOS!$A:$D,4,0),IFERROR(VLOOKUP($C897,COTAÇÕES!$B:$I,7,0),(VLOOKUP($C897,'INSUMO SINAPI - SP'!$C:$F,4,0)))))*$G897,2)</f>
        <v>0.37</v>
      </c>
      <c r="J897" s="513">
        <f>TRUNC(IF($C897="",IFERROR(VLOOKUP($B897,SERVIÇOS!$B:$G,5,0),IFERROR(VLOOKUP($B897,$D:$K,7,0),)),0)*$G897,2)</f>
        <v>0.85</v>
      </c>
      <c r="K897" s="514">
        <f>I897+J897</f>
        <v>1.22</v>
      </c>
      <c r="L897" s="515"/>
      <c r="M897" s="471"/>
      <c r="N897" s="516"/>
      <c r="Q897" s="472"/>
      <c r="R897" s="472"/>
      <c r="S897" s="472"/>
      <c r="T897" s="472"/>
      <c r="U897" s="472"/>
      <c r="V897" s="472"/>
      <c r="W897" s="472"/>
      <c r="X897" s="472"/>
      <c r="Y897" s="472"/>
    </row>
    <row r="898" spans="1:25" x14ac:dyDescent="0.25">
      <c r="A898" s="463"/>
      <c r="B898" s="506"/>
      <c r="C898" s="507" t="s">
        <v>13093</v>
      </c>
      <c r="D898" s="508"/>
      <c r="E898" s="518" t="s">
        <v>13094</v>
      </c>
      <c r="F898" s="519" t="s">
        <v>585</v>
      </c>
      <c r="G898" s="511">
        <v>1.19</v>
      </c>
      <c r="H898" s="520">
        <v>4.49</v>
      </c>
      <c r="I898" s="520">
        <f>TRUNC(H898*G898,2)</f>
        <v>5.34</v>
      </c>
      <c r="J898" s="521"/>
      <c r="K898" s="522">
        <f>I898+J898</f>
        <v>5.34</v>
      </c>
      <c r="L898" s="517" t="s">
        <v>12901</v>
      </c>
      <c r="M898" s="471"/>
      <c r="N898" s="516"/>
      <c r="Q898" s="472"/>
      <c r="R898" s="472"/>
      <c r="S898" s="472"/>
      <c r="T898" s="472"/>
      <c r="U898" s="472"/>
      <c r="V898" s="472"/>
      <c r="W898" s="472"/>
      <c r="X898" s="472"/>
      <c r="Y898" s="472"/>
    </row>
    <row r="899" spans="1:25" x14ac:dyDescent="0.25">
      <c r="A899" s="463"/>
      <c r="B899" s="506"/>
      <c r="C899" s="507">
        <v>21127</v>
      </c>
      <c r="D899" s="508"/>
      <c r="E899" s="509" t="str">
        <f>IF($C899="",IFERROR(VLOOKUP($B899,SERVIÇOS!$B:$G,2,0),IFERROR(VLOOKUP($B899,$D:$K,2,0),"")),IFERROR(VLOOKUP($C899,INSUMOS!$A:$D,2,0),IFERROR(VLOOKUP($C899,COTAÇÕES!$B:$I,2,0),(VLOOKUP($C899,'INSUMO SINAPI - SP'!$C:$F,2,0)))))</f>
        <v>FITA ISOLANTE ADESIVA ANTICHAMA, USO ATE 750 V, EM ROLO DE 19 MM X 5 M</v>
      </c>
      <c r="F899" s="510" t="str">
        <f>IF($C899="",IFERROR(VLOOKUP($B899,SERVIÇOS!$B:$G,3,0),IFERROR(VLOOKUP($B899,$D:$K,3,0),"")),IFERROR(VLOOKUP($C899,INSUMOS!$A:$D,3,0),IFERROR(VLOOKUP($C899,COTAÇÕES!$B:$I,3,0),(VLOOKUP($C899,'INSUMO SINAPI - SP'!$C:$F,3,0)))))</f>
        <v>UN</v>
      </c>
      <c r="G899" s="511">
        <v>8.9999999999999993E-3</v>
      </c>
      <c r="H899" s="512">
        <f>IF($C899="",IFERROR(VLOOKUP($B899,SERVIÇOS!$B:$G,6,0),IFERROR(VLOOKUP($B899,$D:$K,8,0),"")),IFERROR(VLOOKUP($C899,INSUMOS!$A:$D,4,0),IFERROR(VLOOKUP($C899,COTAÇÕES!$B:$I,7,0),(VLOOKUP($C899,'INSUMO SINAPI - SP'!$C:$F,4,0)))))</f>
        <v>5.27</v>
      </c>
      <c r="I899" s="513">
        <f>TRUNC(IF($C899="",IFERROR(VLOOKUP($B899,SERVIÇOS!$B:$G,4,0),IFERROR(VLOOKUP($B899,$D:$K,6,0),)),IFERROR(VLOOKUP($C899,INSUMOS!$A:$D,4,0),IFERROR(VLOOKUP($C899,COTAÇÕES!$B:$I,7,0),(VLOOKUP($C899,'INSUMO SINAPI - SP'!$C:$F,4,0)))))*$G899,2)</f>
        <v>0.04</v>
      </c>
      <c r="J899" s="513">
        <f>TRUNC(IF($C899="",IFERROR(VLOOKUP($B899,SERVIÇOS!$B:$G,5,0),IFERROR(VLOOKUP($B899,$D:$K,7,0),)),0)*$G899,2)</f>
        <v>0</v>
      </c>
      <c r="K899" s="514">
        <f>I899+J899</f>
        <v>0.04</v>
      </c>
      <c r="L899" s="517"/>
      <c r="M899" s="471"/>
      <c r="N899" s="516"/>
      <c r="Q899" s="472"/>
      <c r="R899" s="472"/>
      <c r="S899" s="472"/>
      <c r="T899" s="472"/>
      <c r="U899" s="472"/>
      <c r="V899" s="472"/>
      <c r="W899" s="472"/>
      <c r="X899" s="472"/>
      <c r="Y899" s="472"/>
    </row>
    <row r="900" spans="1:25" x14ac:dyDescent="0.25">
      <c r="A900" s="463"/>
      <c r="B900" s="498"/>
      <c r="C900" s="498"/>
      <c r="D900" s="499" t="s">
        <v>12223</v>
      </c>
      <c r="E900" s="555" t="s">
        <v>13095</v>
      </c>
      <c r="F900" s="501" t="s">
        <v>585</v>
      </c>
      <c r="G900" s="502"/>
      <c r="H900" s="503"/>
      <c r="I900" s="504">
        <f>ROUND(SUM(I901:I904),2)</f>
        <v>7.81</v>
      </c>
      <c r="J900" s="504">
        <f>ROUND(SUM(J901:J904),2)</f>
        <v>1.97</v>
      </c>
      <c r="K900" s="504">
        <f>+J900+I900</f>
        <v>9.7799999999999994</v>
      </c>
      <c r="L900" s="523" t="s">
        <v>13096</v>
      </c>
      <c r="M900" s="471"/>
      <c r="N900" s="505"/>
      <c r="Q900" s="472"/>
      <c r="R900" s="472"/>
      <c r="S900" s="472"/>
      <c r="T900" s="472"/>
      <c r="U900" s="472"/>
      <c r="V900" s="472"/>
      <c r="W900" s="472"/>
      <c r="X900" s="472"/>
      <c r="Y900" s="472"/>
    </row>
    <row r="901" spans="1:25" x14ac:dyDescent="0.25">
      <c r="A901" s="463"/>
      <c r="B901" s="506">
        <v>88264</v>
      </c>
      <c r="C901" s="507"/>
      <c r="D901" s="508"/>
      <c r="E901" s="509" t="str">
        <f>IF($C901="",IFERROR(VLOOKUP($B901,SERVIÇOS!$B:$G,2,0),IFERROR(VLOOKUP($B901,$D:$K,2,0),"")),IFERROR(VLOOKUP($C901,INSUMOS!$A:$D,2,0),IFERROR(VLOOKUP($C901,COTAÇÕES!$B:$I,2,0),(VLOOKUP($C901,'INSUMO SINAPI - SP'!$C:$F,2,0)))))</f>
        <v>ELETRICISTA COM ENCARGOS COMPLEMENTARES</v>
      </c>
      <c r="F901" s="510" t="str">
        <f>IF($C901="",IFERROR(VLOOKUP($B901,SERVIÇOS!$B:$G,3,0),IFERROR(VLOOKUP($B901,$D:$K,3,0),"")),IFERROR(VLOOKUP($C901,INSUMOS!$A:$D,3,0),IFERROR(VLOOKUP($C901,COTAÇÕES!$B:$I,3,0),(VLOOKUP($C901,'INSUMO SINAPI - SP'!$C:$F,3,0)))))</f>
        <v>H</v>
      </c>
      <c r="G901" s="511">
        <v>0.04</v>
      </c>
      <c r="H901" s="512">
        <f>IF($C901="",IFERROR(VLOOKUP($B901,SERVIÇOS!$B:$G,6,0),IFERROR(VLOOKUP($B901,$D:$K,8,0),"")),IFERROR(VLOOKUP($C901,INSUMOS!$A:$D,4,0),IFERROR(VLOOKUP($C901,COTAÇÕES!$B:$I,7,0),(VLOOKUP($C901,'INSUMO SINAPI - SP'!$C:$F,4,0)))))</f>
        <v>37.369999999999997</v>
      </c>
      <c r="I901" s="513">
        <f>TRUNC(IF($C901="",IFERROR(VLOOKUP($B901,SERVIÇOS!$B:$G,4,0),IFERROR(VLOOKUP($B901,$D:$K,6,0),)),IFERROR(VLOOKUP($C901,INSUMOS!$A:$D,4,0),IFERROR(VLOOKUP($C901,COTAÇÕES!$B:$I,7,0),(VLOOKUP($C901,'INSUMO SINAPI - SP'!$C:$F,4,0)))))*$G901,2)</f>
        <v>0.37</v>
      </c>
      <c r="J901" s="513">
        <f>TRUNC(IF($C901="",IFERROR(VLOOKUP($B901,SERVIÇOS!$B:$G,5,0),IFERROR(VLOOKUP($B901,$D:$K,7,0),)),0)*$G901,2)</f>
        <v>1.1200000000000001</v>
      </c>
      <c r="K901" s="514">
        <f>I901+J901</f>
        <v>1.4900000000000002</v>
      </c>
      <c r="L901" s="515"/>
      <c r="M901" s="471"/>
      <c r="N901" s="516"/>
      <c r="Q901" s="472"/>
      <c r="R901" s="472"/>
      <c r="S901" s="472"/>
      <c r="T901" s="472"/>
      <c r="U901" s="472"/>
      <c r="V901" s="472"/>
      <c r="W901" s="472"/>
      <c r="X901" s="472"/>
      <c r="Y901" s="472"/>
    </row>
    <row r="902" spans="1:25" x14ac:dyDescent="0.25">
      <c r="A902" s="463"/>
      <c r="B902" s="506">
        <v>88247</v>
      </c>
      <c r="C902" s="507"/>
      <c r="D902" s="508"/>
      <c r="E902" s="509" t="str">
        <f>IF($C902="",IFERROR(VLOOKUP($B902,SERVIÇOS!$B:$G,2,0),IFERROR(VLOOKUP($B902,$D:$K,2,0),"")),IFERROR(VLOOKUP($C902,INSUMOS!$A:$D,2,0),IFERROR(VLOOKUP($C902,COTAÇÕES!$B:$I,2,0),(VLOOKUP($C902,'INSUMO SINAPI - SP'!$C:$F,2,0)))))</f>
        <v>AUXILIAR DE ELETRICISTA COM ENCARGOS COMPLEMENTARES</v>
      </c>
      <c r="F902" s="510" t="str">
        <f>IF($C902="",IFERROR(VLOOKUP($B902,SERVIÇOS!$B:$G,3,0),IFERROR(VLOOKUP($B902,$D:$K,3,0),"")),IFERROR(VLOOKUP($C902,INSUMOS!$A:$D,3,0),IFERROR(VLOOKUP($C902,COTAÇÕES!$B:$I,3,0),(VLOOKUP($C902,'INSUMO SINAPI - SP'!$C:$F,3,0)))))</f>
        <v>H</v>
      </c>
      <c r="G902" s="511">
        <v>0.04</v>
      </c>
      <c r="H902" s="512">
        <f>IF($C902="",IFERROR(VLOOKUP($B902,SERVIÇOS!$B:$G,6,0),IFERROR(VLOOKUP($B902,$D:$K,8,0),"")),IFERROR(VLOOKUP($C902,INSUMOS!$A:$D,4,0),IFERROR(VLOOKUP($C902,COTAÇÕES!$B:$I,7,0),(VLOOKUP($C902,'INSUMO SINAPI - SP'!$C:$F,4,0)))))</f>
        <v>30.8</v>
      </c>
      <c r="I902" s="513">
        <f>TRUNC(IF($C902="",IFERROR(VLOOKUP($B902,SERVIÇOS!$B:$G,4,0),IFERROR(VLOOKUP($B902,$D:$K,6,0),)),IFERROR(VLOOKUP($C902,INSUMOS!$A:$D,4,0),IFERROR(VLOOKUP($C902,COTAÇÕES!$B:$I,7,0),(VLOOKUP($C902,'INSUMO SINAPI - SP'!$C:$F,4,0)))))*$G902,2)</f>
        <v>0.37</v>
      </c>
      <c r="J902" s="513">
        <f>TRUNC(IF($C902="",IFERROR(VLOOKUP($B902,SERVIÇOS!$B:$G,5,0),IFERROR(VLOOKUP($B902,$D:$K,7,0),)),0)*$G902,2)</f>
        <v>0.85</v>
      </c>
      <c r="K902" s="514">
        <f>I902+J902</f>
        <v>1.22</v>
      </c>
      <c r="L902" s="515"/>
      <c r="M902" s="471"/>
      <c r="N902" s="516"/>
      <c r="Q902" s="472"/>
      <c r="R902" s="472"/>
      <c r="S902" s="472"/>
      <c r="T902" s="472"/>
      <c r="U902" s="472"/>
      <c r="V902" s="472"/>
      <c r="W902" s="472"/>
      <c r="X902" s="472"/>
      <c r="Y902" s="472"/>
    </row>
    <row r="903" spans="1:25" ht="24" x14ac:dyDescent="0.25">
      <c r="A903" s="463"/>
      <c r="B903" s="506"/>
      <c r="C903" s="507">
        <v>994</v>
      </c>
      <c r="D903" s="508"/>
      <c r="E903" s="509" t="str">
        <f>IF($C903="",IFERROR(VLOOKUP($B903,SERVIÇOS!$B:$G,2,0),IFERROR(VLOOKUP($B903,$D:$K,2,0),"")),IFERROR(VLOOKUP($C903,INSUMOS!$A:$D,2,0),IFERROR(VLOOKUP($C903,COTAÇÕES!$B:$I,2,0),(VLOOKUP($C903,'INSUMO SINAPI - SP'!$C:$F,2,0)))))</f>
        <v>CABO DE COBRE, FLEXIVEL, CLASSE 4 OU 5, ISOLACAO EM PVC/A, ANTICHAMA BWF-B, COBERTURA PVC-ST1, ANTICHAMA BWF-B, 1 CONDUTOR, 0,6/1 KV, SECAO NOMINAL 6 MM2</v>
      </c>
      <c r="F903" s="510" t="str">
        <f>IF($C903="",IFERROR(VLOOKUP($B903,SERVIÇOS!$B:$G,3,0),IFERROR(VLOOKUP($B903,$D:$K,3,0),"")),IFERROR(VLOOKUP($C903,INSUMOS!$A:$D,3,0),IFERROR(VLOOKUP($C903,COTAÇÕES!$B:$I,3,0),(VLOOKUP($C903,'INSUMO SINAPI - SP'!$C:$F,3,0)))))</f>
        <v>M</v>
      </c>
      <c r="G903" s="511">
        <v>1.19</v>
      </c>
      <c r="H903" s="512">
        <f>IF($C903="",IFERROR(VLOOKUP($B903,SERVIÇOS!$B:$G,6,0),IFERROR(VLOOKUP($B903,$D:$K,8,0),"")),IFERROR(VLOOKUP($C903,INSUMOS!$A:$D,4,0),IFERROR(VLOOKUP($C903,COTAÇÕES!$B:$I,7,0),(VLOOKUP($C903,'INSUMO SINAPI - SP'!$C:$F,4,0)))))</f>
        <v>5.91</v>
      </c>
      <c r="I903" s="513">
        <f>TRUNC(IF($C903="",IFERROR(VLOOKUP($B903,SERVIÇOS!$B:$G,4,0),IFERROR(VLOOKUP($B903,$D:$K,6,0),)),IFERROR(VLOOKUP($C903,INSUMOS!$A:$D,4,0),IFERROR(VLOOKUP($C903,COTAÇÕES!$B:$I,7,0),(VLOOKUP($C903,'INSUMO SINAPI - SP'!$C:$F,4,0)))))*$G903,2)</f>
        <v>7.03</v>
      </c>
      <c r="J903" s="513">
        <f>TRUNC(IF($C903="",IFERROR(VLOOKUP($B903,SERVIÇOS!$B:$G,5,0),IFERROR(VLOOKUP($B903,$D:$K,7,0),)),0)*$G903,2)</f>
        <v>0</v>
      </c>
      <c r="K903" s="514">
        <f>I903+J903</f>
        <v>7.03</v>
      </c>
      <c r="L903" s="517"/>
      <c r="M903" s="471"/>
      <c r="N903" s="516"/>
      <c r="Q903" s="472"/>
      <c r="R903" s="472"/>
      <c r="S903" s="472"/>
      <c r="T903" s="472"/>
      <c r="U903" s="472"/>
      <c r="V903" s="472"/>
      <c r="W903" s="472"/>
      <c r="X903" s="472"/>
      <c r="Y903" s="472"/>
    </row>
    <row r="904" spans="1:25" x14ac:dyDescent="0.25">
      <c r="A904" s="463"/>
      <c r="B904" s="506"/>
      <c r="C904" s="507">
        <v>21127</v>
      </c>
      <c r="D904" s="508"/>
      <c r="E904" s="509" t="str">
        <f>IF($C904="",IFERROR(VLOOKUP($B904,SERVIÇOS!$B:$G,2,0),IFERROR(VLOOKUP($B904,$D:$K,2,0),"")),IFERROR(VLOOKUP($C904,INSUMOS!$A:$D,2,0),IFERROR(VLOOKUP($C904,COTAÇÕES!$B:$I,2,0),(VLOOKUP($C904,'INSUMO SINAPI - SP'!$C:$F,2,0)))))</f>
        <v>FITA ISOLANTE ADESIVA ANTICHAMA, USO ATE 750 V, EM ROLO DE 19 MM X 5 M</v>
      </c>
      <c r="F904" s="510" t="str">
        <f>IF($C904="",IFERROR(VLOOKUP($B904,SERVIÇOS!$B:$G,3,0),IFERROR(VLOOKUP($B904,$D:$K,3,0),"")),IFERROR(VLOOKUP($C904,INSUMOS!$A:$D,3,0),IFERROR(VLOOKUP($C904,COTAÇÕES!$B:$I,3,0),(VLOOKUP($C904,'INSUMO SINAPI - SP'!$C:$F,3,0)))))</f>
        <v>UN</v>
      </c>
      <c r="G904" s="511">
        <v>8.9999999999999993E-3</v>
      </c>
      <c r="H904" s="512">
        <f>IF($C904="",IFERROR(VLOOKUP($B904,SERVIÇOS!$B:$G,6,0),IFERROR(VLOOKUP($B904,$D:$K,8,0),"")),IFERROR(VLOOKUP($C904,INSUMOS!$A:$D,4,0),IFERROR(VLOOKUP($C904,COTAÇÕES!$B:$I,7,0),(VLOOKUP($C904,'INSUMO SINAPI - SP'!$C:$F,4,0)))))</f>
        <v>5.27</v>
      </c>
      <c r="I904" s="513">
        <f>TRUNC(IF($C904="",IFERROR(VLOOKUP($B904,SERVIÇOS!$B:$G,4,0),IFERROR(VLOOKUP($B904,$D:$K,6,0),)),IFERROR(VLOOKUP($C904,INSUMOS!$A:$D,4,0),IFERROR(VLOOKUP($C904,COTAÇÕES!$B:$I,7,0),(VLOOKUP($C904,'INSUMO SINAPI - SP'!$C:$F,4,0)))))*$G904,2)</f>
        <v>0.04</v>
      </c>
      <c r="J904" s="513">
        <f>TRUNC(IF($C904="",IFERROR(VLOOKUP($B904,SERVIÇOS!$B:$G,5,0),IFERROR(VLOOKUP($B904,$D:$K,7,0),)),0)*$G904,2)</f>
        <v>0</v>
      </c>
      <c r="K904" s="514">
        <f>I904+J904</f>
        <v>0.04</v>
      </c>
      <c r="L904" s="517"/>
      <c r="M904" s="471"/>
      <c r="N904" s="516"/>
      <c r="Q904" s="472"/>
      <c r="R904" s="472"/>
      <c r="S904" s="472"/>
      <c r="T904" s="472"/>
      <c r="U904" s="472"/>
      <c r="V904" s="472"/>
      <c r="W904" s="472"/>
      <c r="X904" s="472"/>
      <c r="Y904" s="472"/>
    </row>
    <row r="905" spans="1:25" x14ac:dyDescent="0.25">
      <c r="A905" s="463"/>
      <c r="B905" s="498"/>
      <c r="C905" s="498"/>
      <c r="D905" s="499" t="s">
        <v>12183</v>
      </c>
      <c r="E905" s="555" t="s">
        <v>13097</v>
      </c>
      <c r="F905" s="501" t="s">
        <v>580</v>
      </c>
      <c r="G905" s="502"/>
      <c r="H905" s="503"/>
      <c r="I905" s="504">
        <f>ROUND(SUM(I906:I908),2)</f>
        <v>446.75</v>
      </c>
      <c r="J905" s="504">
        <f>ROUND(SUM(J906:J908),2)</f>
        <v>44.58</v>
      </c>
      <c r="K905" s="504">
        <f>+J905+I905</f>
        <v>491.33</v>
      </c>
      <c r="L905" s="523" t="s">
        <v>13098</v>
      </c>
      <c r="M905" s="471"/>
      <c r="N905" s="505"/>
      <c r="Q905" s="472"/>
      <c r="R905" s="472"/>
      <c r="S905" s="472"/>
      <c r="T905" s="472"/>
      <c r="U905" s="472"/>
      <c r="V905" s="472"/>
      <c r="W905" s="472"/>
      <c r="X905" s="472"/>
      <c r="Y905" s="472"/>
    </row>
    <row r="906" spans="1:25" x14ac:dyDescent="0.25">
      <c r="A906" s="463"/>
      <c r="B906" s="506"/>
      <c r="C906" s="507" t="s">
        <v>13099</v>
      </c>
      <c r="D906" s="508"/>
      <c r="E906" s="518" t="s">
        <v>13100</v>
      </c>
      <c r="F906" s="519" t="s">
        <v>580</v>
      </c>
      <c r="G906" s="511">
        <v>1</v>
      </c>
      <c r="H906" s="520">
        <v>430</v>
      </c>
      <c r="I906" s="520">
        <f>TRUNC(H906*G906,2)</f>
        <v>430</v>
      </c>
      <c r="J906" s="521"/>
      <c r="K906" s="522">
        <f>I906+J906</f>
        <v>430</v>
      </c>
      <c r="L906" s="517" t="s">
        <v>12668</v>
      </c>
      <c r="M906" s="471"/>
      <c r="N906" s="516"/>
      <c r="Q906" s="472"/>
      <c r="R906" s="472"/>
      <c r="S906" s="472"/>
      <c r="T906" s="472"/>
      <c r="U906" s="472"/>
      <c r="V906" s="472"/>
      <c r="W906" s="472"/>
      <c r="X906" s="472"/>
      <c r="Y906" s="472"/>
    </row>
    <row r="907" spans="1:25" x14ac:dyDescent="0.25">
      <c r="A907" s="463"/>
      <c r="B907" s="506">
        <v>88264</v>
      </c>
      <c r="C907" s="507"/>
      <c r="D907" s="508"/>
      <c r="E907" s="509" t="str">
        <f>IF($C907="",IFERROR(VLOOKUP($B907,SERVIÇOS!$B:$G,2,0),IFERROR(VLOOKUP($B907,$D:$K,2,0),"")),IFERROR(VLOOKUP($C907,INSUMOS!$A:$D,2,0),IFERROR(VLOOKUP($C907,COTAÇÕES!$B:$I,2,0),(VLOOKUP($C907,'INSUMO SINAPI - SP'!$C:$F,2,0)))))</f>
        <v>ELETRICISTA COM ENCARGOS COMPLEMENTARES</v>
      </c>
      <c r="F907" s="510" t="str">
        <f>IF($C907="",IFERROR(VLOOKUP($B907,SERVIÇOS!$B:$G,3,0),IFERROR(VLOOKUP($B907,$D:$K,3,0),"")),IFERROR(VLOOKUP($C907,INSUMOS!$A:$D,3,0),IFERROR(VLOOKUP($C907,COTAÇÕES!$B:$I,3,0),(VLOOKUP($C907,'INSUMO SINAPI - SP'!$C:$F,3,0)))))</f>
        <v>H</v>
      </c>
      <c r="G907" s="511">
        <v>0.9</v>
      </c>
      <c r="H907" s="512">
        <f>IF($C907="",IFERROR(VLOOKUP($B907,SERVIÇOS!$B:$G,6,0),IFERROR(VLOOKUP($B907,$D:$K,8,0),"")),IFERROR(VLOOKUP($C907,INSUMOS!$A:$D,4,0),IFERROR(VLOOKUP($C907,COTAÇÕES!$B:$I,7,0),(VLOOKUP($C907,'INSUMO SINAPI - SP'!$C:$F,4,0)))))</f>
        <v>37.369999999999997</v>
      </c>
      <c r="I907" s="513">
        <f>TRUNC(IF($C907="",IFERROR(VLOOKUP($B907,SERVIÇOS!$B:$G,4,0),IFERROR(VLOOKUP($B907,$D:$K,6,0),)),IFERROR(VLOOKUP($C907,INSUMOS!$A:$D,4,0),IFERROR(VLOOKUP($C907,COTAÇÕES!$B:$I,7,0),(VLOOKUP($C907,'INSUMO SINAPI - SP'!$C:$F,4,0)))))*$G907,2)</f>
        <v>8.3699999999999992</v>
      </c>
      <c r="J907" s="513">
        <f>TRUNC(IF($C907="",IFERROR(VLOOKUP($B907,SERVIÇOS!$B:$G,5,0),IFERROR(VLOOKUP($B907,$D:$K,7,0),)),0)*$G907,2)</f>
        <v>25.25</v>
      </c>
      <c r="K907" s="514">
        <f>I907+J907</f>
        <v>33.619999999999997</v>
      </c>
      <c r="L907" s="515"/>
      <c r="M907" s="471"/>
      <c r="N907" s="516"/>
      <c r="Q907" s="472"/>
      <c r="R907" s="472"/>
      <c r="S907" s="472"/>
      <c r="T907" s="472"/>
      <c r="U907" s="472"/>
      <c r="V907" s="472"/>
      <c r="W907" s="472"/>
      <c r="X907" s="472"/>
      <c r="Y907" s="472"/>
    </row>
    <row r="908" spans="1:25" x14ac:dyDescent="0.25">
      <c r="A908" s="463"/>
      <c r="B908" s="506">
        <v>88247</v>
      </c>
      <c r="C908" s="507"/>
      <c r="D908" s="508"/>
      <c r="E908" s="509" t="str">
        <f>IF($C908="",IFERROR(VLOOKUP($B908,SERVIÇOS!$B:$G,2,0),IFERROR(VLOOKUP($B908,$D:$K,2,0),"")),IFERROR(VLOOKUP($C908,INSUMOS!$A:$D,2,0),IFERROR(VLOOKUP($C908,COTAÇÕES!$B:$I,2,0),(VLOOKUP($C908,'INSUMO SINAPI - SP'!$C:$F,2,0)))))</f>
        <v>AUXILIAR DE ELETRICISTA COM ENCARGOS COMPLEMENTARES</v>
      </c>
      <c r="F908" s="510" t="str">
        <f>IF($C908="",IFERROR(VLOOKUP($B908,SERVIÇOS!$B:$G,3,0),IFERROR(VLOOKUP($B908,$D:$K,3,0),"")),IFERROR(VLOOKUP($C908,INSUMOS!$A:$D,3,0),IFERROR(VLOOKUP($C908,COTAÇÕES!$B:$I,3,0),(VLOOKUP($C908,'INSUMO SINAPI - SP'!$C:$F,3,0)))))</f>
        <v>H</v>
      </c>
      <c r="G908" s="511">
        <v>0.9</v>
      </c>
      <c r="H908" s="512">
        <f>IF($C908="",IFERROR(VLOOKUP($B908,SERVIÇOS!$B:$G,6,0),IFERROR(VLOOKUP($B908,$D:$K,8,0),"")),IFERROR(VLOOKUP($C908,INSUMOS!$A:$D,4,0),IFERROR(VLOOKUP($C908,COTAÇÕES!$B:$I,7,0),(VLOOKUP($C908,'INSUMO SINAPI - SP'!$C:$F,4,0)))))</f>
        <v>30.8</v>
      </c>
      <c r="I908" s="513">
        <f>TRUNC(IF($C908="",IFERROR(VLOOKUP($B908,SERVIÇOS!$B:$G,4,0),IFERROR(VLOOKUP($B908,$D:$K,6,0),)),IFERROR(VLOOKUP($C908,INSUMOS!$A:$D,4,0),IFERROR(VLOOKUP($C908,COTAÇÕES!$B:$I,7,0),(VLOOKUP($C908,'INSUMO SINAPI - SP'!$C:$F,4,0)))))*$G908,2)</f>
        <v>8.3800000000000008</v>
      </c>
      <c r="J908" s="513">
        <f>TRUNC(IF($C908="",IFERROR(VLOOKUP($B908,SERVIÇOS!$B:$G,5,0),IFERROR(VLOOKUP($B908,$D:$K,7,0),)),0)*$G908,2)</f>
        <v>19.329999999999998</v>
      </c>
      <c r="K908" s="514">
        <f>I908+J908</f>
        <v>27.71</v>
      </c>
      <c r="L908" s="515"/>
      <c r="M908" s="471"/>
      <c r="N908" s="516"/>
      <c r="Q908" s="472"/>
      <c r="R908" s="472"/>
      <c r="S908" s="472"/>
      <c r="T908" s="472"/>
      <c r="U908" s="472"/>
      <c r="V908" s="472"/>
      <c r="W908" s="472"/>
      <c r="X908" s="472"/>
      <c r="Y908" s="472"/>
    </row>
    <row r="909" spans="1:25" ht="24" x14ac:dyDescent="0.25">
      <c r="A909" s="463"/>
      <c r="B909" s="498"/>
      <c r="C909" s="498"/>
      <c r="D909" s="499" t="s">
        <v>12283</v>
      </c>
      <c r="E909" s="555" t="s">
        <v>13101</v>
      </c>
      <c r="F909" s="501" t="s">
        <v>585</v>
      </c>
      <c r="G909" s="502"/>
      <c r="H909" s="503"/>
      <c r="I909" s="504">
        <f>ROUND(SUM(I910:I912),2)</f>
        <v>115.88</v>
      </c>
      <c r="J909" s="504">
        <f>ROUND(SUM(J910:J912),2)</f>
        <v>14.85</v>
      </c>
      <c r="K909" s="504">
        <f>+J909+I909</f>
        <v>130.72999999999999</v>
      </c>
      <c r="L909" s="523" t="s">
        <v>13102</v>
      </c>
      <c r="M909" s="471"/>
      <c r="N909" s="505"/>
      <c r="Q909" s="472"/>
      <c r="R909" s="472"/>
      <c r="S909" s="472"/>
      <c r="T909" s="472"/>
      <c r="U909" s="472"/>
      <c r="V909" s="472"/>
      <c r="W909" s="472"/>
      <c r="X909" s="472"/>
      <c r="Y909" s="472"/>
    </row>
    <row r="910" spans="1:25" x14ac:dyDescent="0.25">
      <c r="A910" s="463"/>
      <c r="B910" s="506">
        <v>88247</v>
      </c>
      <c r="C910" s="507"/>
      <c r="D910" s="508"/>
      <c r="E910" s="509" t="str">
        <f>IF($C910="",IFERROR(VLOOKUP($B910,SERVIÇOS!$B:$G,2,0),IFERROR(VLOOKUP($B910,$D:$K,2,0),"")),IFERROR(VLOOKUP($C910,INSUMOS!$A:$D,2,0),IFERROR(VLOOKUP($C910,COTAÇÕES!$B:$I,2,0),(VLOOKUP($C910,'INSUMO SINAPI - SP'!$C:$F,2,0)))))</f>
        <v>AUXILIAR DE ELETRICISTA COM ENCARGOS COMPLEMENTARES</v>
      </c>
      <c r="F910" s="510" t="str">
        <f>IF($C910="",IFERROR(VLOOKUP($B910,SERVIÇOS!$B:$G,3,0),IFERROR(VLOOKUP($B910,$D:$K,3,0),"")),IFERROR(VLOOKUP($C910,INSUMOS!$A:$D,3,0),IFERROR(VLOOKUP($C910,COTAÇÕES!$B:$I,3,0),(VLOOKUP($C910,'INSUMO SINAPI - SP'!$C:$F,3,0)))))</f>
        <v>H</v>
      </c>
      <c r="G910" s="511">
        <v>0.3</v>
      </c>
      <c r="H910" s="512">
        <f>IF($C910="",IFERROR(VLOOKUP($B910,SERVIÇOS!$B:$G,6,0),IFERROR(VLOOKUP($B910,$D:$K,8,0),"")),IFERROR(VLOOKUP($C910,INSUMOS!$A:$D,4,0),IFERROR(VLOOKUP($C910,COTAÇÕES!$B:$I,7,0),(VLOOKUP($C910,'INSUMO SINAPI - SP'!$C:$F,4,0)))))</f>
        <v>30.8</v>
      </c>
      <c r="I910" s="513">
        <f>TRUNC(IF($C910="",IFERROR(VLOOKUP($B910,SERVIÇOS!$B:$G,4,0),IFERROR(VLOOKUP($B910,$D:$K,6,0),)),IFERROR(VLOOKUP($C910,INSUMOS!$A:$D,4,0),IFERROR(VLOOKUP($C910,COTAÇÕES!$B:$I,7,0),(VLOOKUP($C910,'INSUMO SINAPI - SP'!$C:$F,4,0)))))*$G910,2)</f>
        <v>2.79</v>
      </c>
      <c r="J910" s="513">
        <f>TRUNC(IF($C910="",IFERROR(VLOOKUP($B910,SERVIÇOS!$B:$G,5,0),IFERROR(VLOOKUP($B910,$D:$K,7,0),)),0)*$G910,2)</f>
        <v>6.44</v>
      </c>
      <c r="K910" s="514">
        <f>I910+J910</f>
        <v>9.23</v>
      </c>
      <c r="L910" s="515"/>
      <c r="M910" s="471"/>
      <c r="N910" s="516"/>
      <c r="Q910" s="472"/>
      <c r="R910" s="472"/>
      <c r="S910" s="472"/>
      <c r="T910" s="472"/>
      <c r="U910" s="472"/>
      <c r="V910" s="472"/>
      <c r="W910" s="472"/>
      <c r="X910" s="472"/>
      <c r="Y910" s="472"/>
    </row>
    <row r="911" spans="1:25" x14ac:dyDescent="0.25">
      <c r="A911" s="463"/>
      <c r="B911" s="506">
        <v>88264</v>
      </c>
      <c r="C911" s="507"/>
      <c r="D911" s="508"/>
      <c r="E911" s="509" t="str">
        <f>IF($C911="",IFERROR(VLOOKUP($B911,SERVIÇOS!$B:$G,2,0),IFERROR(VLOOKUP($B911,$D:$K,2,0),"")),IFERROR(VLOOKUP($C911,INSUMOS!$A:$D,2,0),IFERROR(VLOOKUP($C911,COTAÇÕES!$B:$I,2,0),(VLOOKUP($C911,'INSUMO SINAPI - SP'!$C:$F,2,0)))))</f>
        <v>ELETRICISTA COM ENCARGOS COMPLEMENTARES</v>
      </c>
      <c r="F911" s="510" t="str">
        <f>IF($C911="",IFERROR(VLOOKUP($B911,SERVIÇOS!$B:$G,3,0),IFERROR(VLOOKUP($B911,$D:$K,3,0),"")),IFERROR(VLOOKUP($C911,INSUMOS!$A:$D,3,0),IFERROR(VLOOKUP($C911,COTAÇÕES!$B:$I,3,0),(VLOOKUP($C911,'INSUMO SINAPI - SP'!$C:$F,3,0)))))</f>
        <v>H</v>
      </c>
      <c r="G911" s="511">
        <v>0.3</v>
      </c>
      <c r="H911" s="512">
        <f>IF($C911="",IFERROR(VLOOKUP($B911,SERVIÇOS!$B:$G,6,0),IFERROR(VLOOKUP($B911,$D:$K,8,0),"")),IFERROR(VLOOKUP($C911,INSUMOS!$A:$D,4,0),IFERROR(VLOOKUP($C911,COTAÇÕES!$B:$I,7,0),(VLOOKUP($C911,'INSUMO SINAPI - SP'!$C:$F,4,0)))))</f>
        <v>37.369999999999997</v>
      </c>
      <c r="I911" s="513">
        <f>TRUNC(IF($C911="",IFERROR(VLOOKUP($B911,SERVIÇOS!$B:$G,4,0),IFERROR(VLOOKUP($B911,$D:$K,6,0),)),IFERROR(VLOOKUP($C911,INSUMOS!$A:$D,4,0),IFERROR(VLOOKUP($C911,COTAÇÕES!$B:$I,7,0),(VLOOKUP($C911,'INSUMO SINAPI - SP'!$C:$F,4,0)))))*$G911,2)</f>
        <v>2.79</v>
      </c>
      <c r="J911" s="513">
        <f>TRUNC(IF($C911="",IFERROR(VLOOKUP($B911,SERVIÇOS!$B:$G,5,0),IFERROR(VLOOKUP($B911,$D:$K,7,0),)),0)*$G911,2)</f>
        <v>8.41</v>
      </c>
      <c r="K911" s="514">
        <f>I911+J911</f>
        <v>11.2</v>
      </c>
      <c r="L911" s="515"/>
      <c r="M911" s="471"/>
      <c r="N911" s="516"/>
      <c r="Q911" s="472"/>
      <c r="R911" s="472"/>
      <c r="S911" s="472"/>
      <c r="T911" s="472"/>
      <c r="U911" s="472"/>
      <c r="V911" s="472"/>
      <c r="W911" s="472"/>
      <c r="X911" s="472"/>
      <c r="Y911" s="472"/>
    </row>
    <row r="912" spans="1:25" ht="24" x14ac:dyDescent="0.25">
      <c r="A912" s="463"/>
      <c r="B912" s="506"/>
      <c r="C912" s="507" t="s">
        <v>13103</v>
      </c>
      <c r="D912" s="508"/>
      <c r="E912" s="518" t="s">
        <v>13101</v>
      </c>
      <c r="F912" s="519" t="s">
        <v>585</v>
      </c>
      <c r="G912" s="511">
        <v>1.25</v>
      </c>
      <c r="H912" s="520">
        <v>88.24</v>
      </c>
      <c r="I912" s="520">
        <f>TRUNC(H912*G912,2)</f>
        <v>110.3</v>
      </c>
      <c r="J912" s="521"/>
      <c r="K912" s="522">
        <f>I912+J912</f>
        <v>110.3</v>
      </c>
      <c r="L912" s="517" t="s">
        <v>12944</v>
      </c>
      <c r="M912" s="471"/>
      <c r="N912" s="516"/>
      <c r="Q912" s="472"/>
      <c r="R912" s="472"/>
      <c r="S912" s="472"/>
      <c r="T912" s="472"/>
      <c r="U912" s="472"/>
      <c r="V912" s="472"/>
      <c r="W912" s="472"/>
      <c r="X912" s="472"/>
      <c r="Y912" s="472"/>
    </row>
    <row r="913" spans="1:25" x14ac:dyDescent="0.25">
      <c r="A913" s="463"/>
      <c r="B913" s="498"/>
      <c r="C913" s="498"/>
      <c r="D913" s="499" t="s">
        <v>12247</v>
      </c>
      <c r="E913" s="555" t="s">
        <v>13104</v>
      </c>
      <c r="F913" s="501" t="s">
        <v>580</v>
      </c>
      <c r="G913" s="502"/>
      <c r="H913" s="503"/>
      <c r="I913" s="504">
        <f>ROUND(SUM(I914),2)</f>
        <v>12.1</v>
      </c>
      <c r="J913" s="504">
        <f>ROUND(SUM(J914),2)</f>
        <v>7.41</v>
      </c>
      <c r="K913" s="504">
        <f>+J913+I913</f>
        <v>19.509999999999998</v>
      </c>
      <c r="L913" s="523" t="s">
        <v>13105</v>
      </c>
      <c r="M913" s="471"/>
      <c r="N913" s="505"/>
      <c r="Q913" s="472"/>
      <c r="R913" s="472"/>
      <c r="S913" s="472"/>
      <c r="T913" s="472"/>
      <c r="U913" s="472"/>
      <c r="V913" s="472"/>
      <c r="W913" s="472"/>
      <c r="X913" s="472"/>
      <c r="Y913" s="472"/>
    </row>
    <row r="914" spans="1:25" ht="24" x14ac:dyDescent="0.25">
      <c r="A914" s="463"/>
      <c r="B914" s="506">
        <v>91950</v>
      </c>
      <c r="C914" s="507"/>
      <c r="D914" s="508"/>
      <c r="E914" s="509" t="str">
        <f>IF($C914="",IFERROR(VLOOKUP($B914,SERVIÇOS!$B:$G,2,0),IFERROR(VLOOKUP($B914,$D:$K,2,0),"")),IFERROR(VLOOKUP($C914,INSUMOS!$A:$D,2,0),IFERROR(VLOOKUP($C914,COTAÇÕES!$B:$I,2,0),(VLOOKUP($C914,'INSUMO SINAPI - SP'!$C:$F,2,0)))))</f>
        <v>SUPORTE PARAFUSADO COM PLACA DE ENCAIXE 4" X 4" MÉDIO (1,30 M DO PISO) PARA PONTO ELÉTRICO - FORNECIMENTO E INSTALAÇÃO. AF_03/2023</v>
      </c>
      <c r="F914" s="510" t="str">
        <f>IF($C914="",IFERROR(VLOOKUP($B914,SERVIÇOS!$B:$G,3,0),IFERROR(VLOOKUP($B914,$D:$K,3,0),"")),IFERROR(VLOOKUP($C914,INSUMOS!$A:$D,3,0),IFERROR(VLOOKUP($C914,COTAÇÕES!$B:$I,3,0),(VLOOKUP($C914,'INSUMO SINAPI - SP'!$C:$F,3,0)))))</f>
        <v>UN</v>
      </c>
      <c r="G914" s="511">
        <v>1</v>
      </c>
      <c r="H914" s="512">
        <f>IF($C914="",IFERROR(VLOOKUP($B914,SERVIÇOS!$B:$G,6,0),IFERROR(VLOOKUP($B914,$D:$K,8,0),"")),IFERROR(VLOOKUP($C914,INSUMOS!$A:$D,4,0),IFERROR(VLOOKUP($C914,COTAÇÕES!$B:$I,7,0),(VLOOKUP($C914,'INSUMO SINAPI - SP'!$C:$F,4,0)))))</f>
        <v>19.510000000000002</v>
      </c>
      <c r="I914" s="513">
        <f>TRUNC(IF($C914="",IFERROR(VLOOKUP($B914,SERVIÇOS!$B:$G,4,0),IFERROR(VLOOKUP($B914,$D:$K,6,0),)),IFERROR(VLOOKUP($C914,INSUMOS!$A:$D,4,0),IFERROR(VLOOKUP($C914,COTAÇÕES!$B:$I,7,0),(VLOOKUP($C914,'INSUMO SINAPI - SP'!$C:$F,4,0)))))*$G914,2)</f>
        <v>12.1</v>
      </c>
      <c r="J914" s="513">
        <f>TRUNC(IF($C914="",IFERROR(VLOOKUP($B914,SERVIÇOS!$B:$G,5,0),IFERROR(VLOOKUP($B914,$D:$K,7,0),)),0)*$G914,2)</f>
        <v>7.41</v>
      </c>
      <c r="K914" s="514">
        <f>I914+J914</f>
        <v>19.509999999999998</v>
      </c>
      <c r="L914" s="515"/>
      <c r="M914" s="471"/>
      <c r="N914" s="516"/>
      <c r="Q914" s="472"/>
      <c r="R914" s="472"/>
      <c r="S914" s="472"/>
      <c r="T914" s="472"/>
      <c r="U914" s="472"/>
      <c r="V914" s="472"/>
      <c r="W914" s="472"/>
      <c r="X914" s="472"/>
      <c r="Y914" s="472"/>
    </row>
    <row r="915" spans="1:25" ht="48" x14ac:dyDescent="0.25">
      <c r="A915" s="463"/>
      <c r="B915" s="498"/>
      <c r="C915" s="498"/>
      <c r="D915" s="499" t="s">
        <v>12368</v>
      </c>
      <c r="E915" s="500" t="s">
        <v>13106</v>
      </c>
      <c r="F915" s="501" t="s">
        <v>580</v>
      </c>
      <c r="G915" s="502"/>
      <c r="H915" s="503"/>
      <c r="I915" s="504">
        <f>ROUND(SUM(I916:I918),2)</f>
        <v>73.650000000000006</v>
      </c>
      <c r="J915" s="504">
        <f>ROUND(SUM(J916:J918),2)</f>
        <v>24.3</v>
      </c>
      <c r="K915" s="504">
        <f>+J915+I915</f>
        <v>97.95</v>
      </c>
      <c r="L915" s="523"/>
      <c r="M915" s="471"/>
      <c r="N915" s="505"/>
      <c r="Q915" s="472"/>
      <c r="R915" s="472"/>
      <c r="S915" s="472"/>
      <c r="T915" s="472"/>
      <c r="U915" s="472"/>
      <c r="V915" s="472"/>
      <c r="W915" s="472"/>
      <c r="X915" s="472"/>
      <c r="Y915" s="472"/>
    </row>
    <row r="916" spans="1:25" ht="48" x14ac:dyDescent="0.25">
      <c r="A916" s="463"/>
      <c r="B916" s="506"/>
      <c r="C916" s="507" t="s">
        <v>13107</v>
      </c>
      <c r="D916" s="508"/>
      <c r="E916" s="518" t="s">
        <v>13106</v>
      </c>
      <c r="F916" s="519" t="s">
        <v>580</v>
      </c>
      <c r="G916" s="511">
        <v>1</v>
      </c>
      <c r="H916" s="520">
        <v>65.010000000000005</v>
      </c>
      <c r="I916" s="520">
        <f>TRUNC(H916*G916,2)</f>
        <v>65.010000000000005</v>
      </c>
      <c r="J916" s="521"/>
      <c r="K916" s="522">
        <f>I916+J916</f>
        <v>65.010000000000005</v>
      </c>
      <c r="L916" s="517" t="s">
        <v>12668</v>
      </c>
      <c r="M916" s="471"/>
      <c r="N916" s="516"/>
      <c r="Q916" s="472"/>
      <c r="R916" s="472"/>
      <c r="S916" s="472"/>
      <c r="T916" s="472"/>
      <c r="U916" s="472"/>
      <c r="V916" s="472"/>
      <c r="W916" s="472"/>
      <c r="X916" s="472"/>
      <c r="Y916" s="472"/>
    </row>
    <row r="917" spans="1:25" x14ac:dyDescent="0.25">
      <c r="A917" s="463"/>
      <c r="B917" s="506">
        <v>88267</v>
      </c>
      <c r="C917" s="507"/>
      <c r="D917" s="508"/>
      <c r="E917" s="509" t="str">
        <f>IF($C917="",IFERROR(VLOOKUP($B917,SERVIÇOS!$B:$G,2,0),IFERROR(VLOOKUP($B917,$D:$K,2,0),"")),IFERROR(VLOOKUP($C917,INSUMOS!$A:$D,2,0),IFERROR(VLOOKUP($C917,COTAÇÕES!$B:$I,2,0),(VLOOKUP($C917,'INSUMO SINAPI - SP'!$C:$F,2,0)))))</f>
        <v>ENCANADOR OU BOMBEIRO HIDRÁULICO COM ENCARGOS COMPLEMENTARES</v>
      </c>
      <c r="F917" s="510" t="str">
        <f>IF($C917="",IFERROR(VLOOKUP($B917,SERVIÇOS!$B:$G,3,0),IFERROR(VLOOKUP($B917,$D:$K,3,0),"")),IFERROR(VLOOKUP($C917,INSUMOS!$A:$D,3,0),IFERROR(VLOOKUP($C917,COTAÇÕES!$B:$I,3,0),(VLOOKUP($C917,'INSUMO SINAPI - SP'!$C:$F,3,0)))))</f>
        <v>H</v>
      </c>
      <c r="G917" s="511">
        <v>0.5</v>
      </c>
      <c r="H917" s="512">
        <f>IF($C917="",IFERROR(VLOOKUP($B917,SERVIÇOS!$B:$G,6,0),IFERROR(VLOOKUP($B917,$D:$K,8,0),"")),IFERROR(VLOOKUP($C917,INSUMOS!$A:$D,4,0),IFERROR(VLOOKUP($C917,COTAÇÕES!$B:$I,7,0),(VLOOKUP($C917,'INSUMO SINAPI - SP'!$C:$F,4,0)))))</f>
        <v>36.17</v>
      </c>
      <c r="I917" s="513">
        <f>TRUNC(IF($C917="",IFERROR(VLOOKUP($B917,SERVIÇOS!$B:$G,4,0),IFERROR(VLOOKUP($B917,$D:$K,6,0),)),IFERROR(VLOOKUP($C917,INSUMOS!$A:$D,4,0),IFERROR(VLOOKUP($C917,COTAÇÕES!$B:$I,7,0),(VLOOKUP($C917,'INSUMO SINAPI - SP'!$C:$F,4,0)))))*$G917,2)</f>
        <v>4.32</v>
      </c>
      <c r="J917" s="513">
        <f>TRUNC(IF($C917="",IFERROR(VLOOKUP($B917,SERVIÇOS!$B:$G,5,0),IFERROR(VLOOKUP($B917,$D:$K,7,0),)),0)*$G917,2)</f>
        <v>13.76</v>
      </c>
      <c r="K917" s="514">
        <f>I917+J917</f>
        <v>18.079999999999998</v>
      </c>
      <c r="L917" s="515"/>
      <c r="M917" s="471"/>
      <c r="N917" s="516"/>
      <c r="Q917" s="472"/>
      <c r="R917" s="472"/>
      <c r="S917" s="472"/>
      <c r="T917" s="472"/>
      <c r="U917" s="472"/>
      <c r="V917" s="472"/>
      <c r="W917" s="472"/>
      <c r="X917" s="472"/>
      <c r="Y917" s="472"/>
    </row>
    <row r="918" spans="1:25" x14ac:dyDescent="0.25">
      <c r="A918" s="463"/>
      <c r="B918" s="506">
        <v>88248</v>
      </c>
      <c r="C918" s="507"/>
      <c r="D918" s="508"/>
      <c r="E918" s="509" t="str">
        <f>IF($C918="",IFERROR(VLOOKUP($B918,SERVIÇOS!$B:$G,2,0),IFERROR(VLOOKUP($B918,$D:$K,2,0),"")),IFERROR(VLOOKUP($C918,INSUMOS!$A:$D,2,0),IFERROR(VLOOKUP($C918,COTAÇÕES!$B:$I,2,0),(VLOOKUP($C918,'INSUMO SINAPI - SP'!$C:$F,2,0)))))</f>
        <v>AUXILIAR DE ENCANADOR OU BOMBEIRO HIDRÁULICO COM ENCARGOS COMPLEMENTARES</v>
      </c>
      <c r="F918" s="510" t="str">
        <f>IF($C918="",IFERROR(VLOOKUP($B918,SERVIÇOS!$B:$G,3,0),IFERROR(VLOOKUP($B918,$D:$K,3,0),"")),IFERROR(VLOOKUP($C918,INSUMOS!$A:$D,3,0),IFERROR(VLOOKUP($C918,COTAÇÕES!$B:$I,3,0),(VLOOKUP($C918,'INSUMO SINAPI - SP'!$C:$F,3,0)))))</f>
        <v>H</v>
      </c>
      <c r="G918" s="511">
        <v>0.5</v>
      </c>
      <c r="H918" s="512">
        <f>IF($C918="",IFERROR(VLOOKUP($B918,SERVIÇOS!$B:$G,6,0),IFERROR(VLOOKUP($B918,$D:$K,8,0),"")),IFERROR(VLOOKUP($C918,INSUMOS!$A:$D,4,0),IFERROR(VLOOKUP($C918,COTAÇÕES!$B:$I,7,0),(VLOOKUP($C918,'INSUMO SINAPI - SP'!$C:$F,4,0)))))</f>
        <v>29.72</v>
      </c>
      <c r="I918" s="513">
        <f>TRUNC(IF($C918="",IFERROR(VLOOKUP($B918,SERVIÇOS!$B:$G,4,0),IFERROR(VLOOKUP($B918,$D:$K,6,0),)),IFERROR(VLOOKUP($C918,INSUMOS!$A:$D,4,0),IFERROR(VLOOKUP($C918,COTAÇÕES!$B:$I,7,0),(VLOOKUP($C918,'INSUMO SINAPI - SP'!$C:$F,4,0)))))*$G918,2)</f>
        <v>4.32</v>
      </c>
      <c r="J918" s="513">
        <f>TRUNC(IF($C918="",IFERROR(VLOOKUP($B918,SERVIÇOS!$B:$G,5,0),IFERROR(VLOOKUP($B918,$D:$K,7,0),)),0)*$G918,2)</f>
        <v>10.54</v>
      </c>
      <c r="K918" s="514">
        <f>I918+J918</f>
        <v>14.86</v>
      </c>
      <c r="L918" s="515"/>
      <c r="M918" s="471"/>
      <c r="N918" s="516"/>
      <c r="Q918" s="472"/>
      <c r="R918" s="472"/>
      <c r="S918" s="472"/>
      <c r="T918" s="472"/>
      <c r="U918" s="472"/>
      <c r="V918" s="472"/>
      <c r="W918" s="472"/>
      <c r="X918" s="472"/>
      <c r="Y918" s="472"/>
    </row>
    <row r="919" spans="1:25" ht="48" x14ac:dyDescent="0.25">
      <c r="A919" s="463"/>
      <c r="B919" s="498"/>
      <c r="C919" s="498"/>
      <c r="D919" s="499" t="s">
        <v>12369</v>
      </c>
      <c r="E919" s="500" t="s">
        <v>13108</v>
      </c>
      <c r="F919" s="501" t="s">
        <v>580</v>
      </c>
      <c r="G919" s="502"/>
      <c r="H919" s="503"/>
      <c r="I919" s="504">
        <f>ROUND(SUM(I920:I922),2)</f>
        <v>73.650000000000006</v>
      </c>
      <c r="J919" s="504">
        <f>ROUND(SUM(J920:J922),2)</f>
        <v>24.3</v>
      </c>
      <c r="K919" s="504">
        <f>+J919+I919</f>
        <v>97.95</v>
      </c>
      <c r="L919" s="523"/>
      <c r="M919" s="471"/>
      <c r="N919" s="505"/>
      <c r="Q919" s="472"/>
      <c r="R919" s="472"/>
      <c r="S919" s="472"/>
      <c r="T919" s="472"/>
      <c r="U919" s="472"/>
      <c r="V919" s="472"/>
      <c r="W919" s="472"/>
      <c r="X919" s="472"/>
      <c r="Y919" s="472"/>
    </row>
    <row r="920" spans="1:25" ht="48" x14ac:dyDescent="0.25">
      <c r="A920" s="463"/>
      <c r="B920" s="506"/>
      <c r="C920" s="507" t="s">
        <v>13109</v>
      </c>
      <c r="D920" s="508"/>
      <c r="E920" s="518" t="s">
        <v>13108</v>
      </c>
      <c r="F920" s="519" t="s">
        <v>580</v>
      </c>
      <c r="G920" s="511">
        <v>1</v>
      </c>
      <c r="H920" s="520">
        <v>65.010000000000005</v>
      </c>
      <c r="I920" s="520">
        <f>TRUNC(H920*G920,2)</f>
        <v>65.010000000000005</v>
      </c>
      <c r="J920" s="521"/>
      <c r="K920" s="522">
        <f>I920+J920</f>
        <v>65.010000000000005</v>
      </c>
      <c r="L920" s="517" t="s">
        <v>12668</v>
      </c>
      <c r="M920" s="471"/>
      <c r="N920" s="516"/>
      <c r="Q920" s="472"/>
      <c r="R920" s="472"/>
      <c r="S920" s="472"/>
      <c r="T920" s="472"/>
      <c r="U920" s="472"/>
      <c r="V920" s="472"/>
      <c r="W920" s="472"/>
      <c r="X920" s="472"/>
      <c r="Y920" s="472"/>
    </row>
    <row r="921" spans="1:25" x14ac:dyDescent="0.25">
      <c r="A921" s="463"/>
      <c r="B921" s="506">
        <v>88267</v>
      </c>
      <c r="C921" s="507"/>
      <c r="D921" s="508"/>
      <c r="E921" s="509" t="str">
        <f>IF($C921="",IFERROR(VLOOKUP($B921,SERVIÇOS!$B:$G,2,0),IFERROR(VLOOKUP($B921,$D:$K,2,0),"")),IFERROR(VLOOKUP($C921,INSUMOS!$A:$D,2,0),IFERROR(VLOOKUP($C921,COTAÇÕES!$B:$I,2,0),(VLOOKUP($C921,'INSUMO SINAPI - SP'!$C:$F,2,0)))))</f>
        <v>ENCANADOR OU BOMBEIRO HIDRÁULICO COM ENCARGOS COMPLEMENTARES</v>
      </c>
      <c r="F921" s="510" t="str">
        <f>IF($C921="",IFERROR(VLOOKUP($B921,SERVIÇOS!$B:$G,3,0),IFERROR(VLOOKUP($B921,$D:$K,3,0),"")),IFERROR(VLOOKUP($C921,INSUMOS!$A:$D,3,0),IFERROR(VLOOKUP($C921,COTAÇÕES!$B:$I,3,0),(VLOOKUP($C921,'INSUMO SINAPI - SP'!$C:$F,3,0)))))</f>
        <v>H</v>
      </c>
      <c r="G921" s="511">
        <v>0.5</v>
      </c>
      <c r="H921" s="512">
        <f>IF($C921="",IFERROR(VLOOKUP($B921,SERVIÇOS!$B:$G,6,0),IFERROR(VLOOKUP($B921,$D:$K,8,0),"")),IFERROR(VLOOKUP($C921,INSUMOS!$A:$D,4,0),IFERROR(VLOOKUP($C921,COTAÇÕES!$B:$I,7,0),(VLOOKUP($C921,'INSUMO SINAPI - SP'!$C:$F,4,0)))))</f>
        <v>36.17</v>
      </c>
      <c r="I921" s="513">
        <f>TRUNC(IF($C921="",IFERROR(VLOOKUP($B921,SERVIÇOS!$B:$G,4,0),IFERROR(VLOOKUP($B921,$D:$K,6,0),)),IFERROR(VLOOKUP($C921,INSUMOS!$A:$D,4,0),IFERROR(VLOOKUP($C921,COTAÇÕES!$B:$I,7,0),(VLOOKUP($C921,'INSUMO SINAPI - SP'!$C:$F,4,0)))))*$G921,2)</f>
        <v>4.32</v>
      </c>
      <c r="J921" s="513">
        <f>TRUNC(IF($C921="",IFERROR(VLOOKUP($B921,SERVIÇOS!$B:$G,5,0),IFERROR(VLOOKUP($B921,$D:$K,7,0),)),0)*$G921,2)</f>
        <v>13.76</v>
      </c>
      <c r="K921" s="514">
        <f>I921+J921</f>
        <v>18.079999999999998</v>
      </c>
      <c r="L921" s="515"/>
      <c r="M921" s="471"/>
      <c r="N921" s="516"/>
      <c r="Q921" s="472"/>
      <c r="R921" s="472"/>
      <c r="S921" s="472"/>
      <c r="T921" s="472"/>
      <c r="U921" s="472"/>
      <c r="V921" s="472"/>
      <c r="W921" s="472"/>
      <c r="X921" s="472"/>
      <c r="Y921" s="472"/>
    </row>
    <row r="922" spans="1:25" x14ac:dyDescent="0.25">
      <c r="A922" s="463"/>
      <c r="B922" s="506">
        <v>88248</v>
      </c>
      <c r="C922" s="507"/>
      <c r="D922" s="508"/>
      <c r="E922" s="509" t="str">
        <f>IF($C922="",IFERROR(VLOOKUP($B922,SERVIÇOS!$B:$G,2,0),IFERROR(VLOOKUP($B922,$D:$K,2,0),"")),IFERROR(VLOOKUP($C922,INSUMOS!$A:$D,2,0),IFERROR(VLOOKUP($C922,COTAÇÕES!$B:$I,2,0),(VLOOKUP($C922,'INSUMO SINAPI - SP'!$C:$F,2,0)))))</f>
        <v>AUXILIAR DE ENCANADOR OU BOMBEIRO HIDRÁULICO COM ENCARGOS COMPLEMENTARES</v>
      </c>
      <c r="F922" s="510" t="str">
        <f>IF($C922="",IFERROR(VLOOKUP($B922,SERVIÇOS!$B:$G,3,0),IFERROR(VLOOKUP($B922,$D:$K,3,0),"")),IFERROR(VLOOKUP($C922,INSUMOS!$A:$D,3,0),IFERROR(VLOOKUP($C922,COTAÇÕES!$B:$I,3,0),(VLOOKUP($C922,'INSUMO SINAPI - SP'!$C:$F,3,0)))))</f>
        <v>H</v>
      </c>
      <c r="G922" s="511">
        <v>0.5</v>
      </c>
      <c r="H922" s="512">
        <f>IF($C922="",IFERROR(VLOOKUP($B922,SERVIÇOS!$B:$G,6,0),IFERROR(VLOOKUP($B922,$D:$K,8,0),"")),IFERROR(VLOOKUP($C922,INSUMOS!$A:$D,4,0),IFERROR(VLOOKUP($C922,COTAÇÕES!$B:$I,7,0),(VLOOKUP($C922,'INSUMO SINAPI - SP'!$C:$F,4,0)))))</f>
        <v>29.72</v>
      </c>
      <c r="I922" s="513">
        <f>TRUNC(IF($C922="",IFERROR(VLOOKUP($B922,SERVIÇOS!$B:$G,4,0),IFERROR(VLOOKUP($B922,$D:$K,6,0),)),IFERROR(VLOOKUP($C922,INSUMOS!$A:$D,4,0),IFERROR(VLOOKUP($C922,COTAÇÕES!$B:$I,7,0),(VLOOKUP($C922,'INSUMO SINAPI - SP'!$C:$F,4,0)))))*$G922,2)</f>
        <v>4.32</v>
      </c>
      <c r="J922" s="513">
        <f>TRUNC(IF($C922="",IFERROR(VLOOKUP($B922,SERVIÇOS!$B:$G,5,0),IFERROR(VLOOKUP($B922,$D:$K,7,0),)),0)*$G922,2)</f>
        <v>10.54</v>
      </c>
      <c r="K922" s="514">
        <f>I922+J922</f>
        <v>14.86</v>
      </c>
      <c r="L922" s="515"/>
      <c r="M922" s="471"/>
      <c r="N922" s="516"/>
      <c r="Q922" s="472"/>
      <c r="R922" s="472"/>
      <c r="S922" s="472"/>
      <c r="T922" s="472"/>
      <c r="U922" s="472"/>
      <c r="V922" s="472"/>
      <c r="W922" s="472"/>
      <c r="X922" s="472"/>
      <c r="Y922" s="472"/>
    </row>
    <row r="923" spans="1:25" ht="48" x14ac:dyDescent="0.25">
      <c r="A923" s="463"/>
      <c r="B923" s="498"/>
      <c r="C923" s="498"/>
      <c r="D923" s="499" t="s">
        <v>12370</v>
      </c>
      <c r="E923" s="500" t="s">
        <v>13110</v>
      </c>
      <c r="F923" s="501" t="s">
        <v>580</v>
      </c>
      <c r="G923" s="502"/>
      <c r="H923" s="503"/>
      <c r="I923" s="504">
        <f>ROUND(SUM(I924:I926),2)</f>
        <v>73.650000000000006</v>
      </c>
      <c r="J923" s="504">
        <f>ROUND(SUM(J924:J926),2)</f>
        <v>24.3</v>
      </c>
      <c r="K923" s="504">
        <f>+J923+I923</f>
        <v>97.95</v>
      </c>
      <c r="L923" s="523"/>
      <c r="M923" s="471"/>
      <c r="N923" s="505"/>
      <c r="Q923" s="472"/>
      <c r="R923" s="472"/>
      <c r="S923" s="472"/>
      <c r="T923" s="472"/>
      <c r="U923" s="472"/>
      <c r="V923" s="472"/>
      <c r="W923" s="472"/>
      <c r="X923" s="472"/>
      <c r="Y923" s="472"/>
    </row>
    <row r="924" spans="1:25" ht="48" x14ac:dyDescent="0.25">
      <c r="A924" s="463"/>
      <c r="B924" s="506"/>
      <c r="C924" s="507" t="s">
        <v>13111</v>
      </c>
      <c r="D924" s="508"/>
      <c r="E924" s="518" t="s">
        <v>13110</v>
      </c>
      <c r="F924" s="519" t="s">
        <v>580</v>
      </c>
      <c r="G924" s="511">
        <v>1</v>
      </c>
      <c r="H924" s="520">
        <v>65.010000000000005</v>
      </c>
      <c r="I924" s="520">
        <f>TRUNC(H924*G924,2)</f>
        <v>65.010000000000005</v>
      </c>
      <c r="J924" s="521"/>
      <c r="K924" s="522">
        <f>I924+J924</f>
        <v>65.010000000000005</v>
      </c>
      <c r="L924" s="517" t="s">
        <v>12668</v>
      </c>
      <c r="M924" s="471"/>
      <c r="N924" s="516"/>
      <c r="Q924" s="472"/>
      <c r="R924" s="472"/>
      <c r="S924" s="472"/>
      <c r="T924" s="472"/>
      <c r="U924" s="472"/>
      <c r="V924" s="472"/>
      <c r="W924" s="472"/>
      <c r="X924" s="472"/>
      <c r="Y924" s="472"/>
    </row>
    <row r="925" spans="1:25" x14ac:dyDescent="0.25">
      <c r="A925" s="463"/>
      <c r="B925" s="506">
        <v>88267</v>
      </c>
      <c r="C925" s="507"/>
      <c r="D925" s="508"/>
      <c r="E925" s="509" t="str">
        <f>IF($C925="",IFERROR(VLOOKUP($B925,SERVIÇOS!$B:$G,2,0),IFERROR(VLOOKUP($B925,$D:$K,2,0),"")),IFERROR(VLOOKUP($C925,INSUMOS!$A:$D,2,0),IFERROR(VLOOKUP($C925,COTAÇÕES!$B:$I,2,0),(VLOOKUP($C925,'INSUMO SINAPI - SP'!$C:$F,2,0)))))</f>
        <v>ENCANADOR OU BOMBEIRO HIDRÁULICO COM ENCARGOS COMPLEMENTARES</v>
      </c>
      <c r="F925" s="510" t="str">
        <f>IF($C925="",IFERROR(VLOOKUP($B925,SERVIÇOS!$B:$G,3,0),IFERROR(VLOOKUP($B925,$D:$K,3,0),"")),IFERROR(VLOOKUP($C925,INSUMOS!$A:$D,3,0),IFERROR(VLOOKUP($C925,COTAÇÕES!$B:$I,3,0),(VLOOKUP($C925,'INSUMO SINAPI - SP'!$C:$F,3,0)))))</f>
        <v>H</v>
      </c>
      <c r="G925" s="511">
        <v>0.5</v>
      </c>
      <c r="H925" s="512">
        <f>IF($C925="",IFERROR(VLOOKUP($B925,SERVIÇOS!$B:$G,6,0),IFERROR(VLOOKUP($B925,$D:$K,8,0),"")),IFERROR(VLOOKUP($C925,INSUMOS!$A:$D,4,0),IFERROR(VLOOKUP($C925,COTAÇÕES!$B:$I,7,0),(VLOOKUP($C925,'INSUMO SINAPI - SP'!$C:$F,4,0)))))</f>
        <v>36.17</v>
      </c>
      <c r="I925" s="513">
        <f>TRUNC(IF($C925="",IFERROR(VLOOKUP($B925,SERVIÇOS!$B:$G,4,0),IFERROR(VLOOKUP($B925,$D:$K,6,0),)),IFERROR(VLOOKUP($C925,INSUMOS!$A:$D,4,0),IFERROR(VLOOKUP($C925,COTAÇÕES!$B:$I,7,0),(VLOOKUP($C925,'INSUMO SINAPI - SP'!$C:$F,4,0)))))*$G925,2)</f>
        <v>4.32</v>
      </c>
      <c r="J925" s="513">
        <f>TRUNC(IF($C925="",IFERROR(VLOOKUP($B925,SERVIÇOS!$B:$G,5,0),IFERROR(VLOOKUP($B925,$D:$K,7,0),)),0)*$G925,2)</f>
        <v>13.76</v>
      </c>
      <c r="K925" s="514">
        <f>I925+J925</f>
        <v>18.079999999999998</v>
      </c>
      <c r="L925" s="515"/>
      <c r="M925" s="471"/>
      <c r="N925" s="516"/>
      <c r="Q925" s="472"/>
      <c r="R925" s="472"/>
      <c r="S925" s="472"/>
      <c r="T925" s="472"/>
      <c r="U925" s="472"/>
      <c r="V925" s="472"/>
      <c r="W925" s="472"/>
      <c r="X925" s="472"/>
      <c r="Y925" s="472"/>
    </row>
    <row r="926" spans="1:25" x14ac:dyDescent="0.25">
      <c r="A926" s="463"/>
      <c r="B926" s="506">
        <v>88248</v>
      </c>
      <c r="C926" s="507"/>
      <c r="D926" s="508"/>
      <c r="E926" s="509" t="str">
        <f>IF($C926="",IFERROR(VLOOKUP($B926,SERVIÇOS!$B:$G,2,0),IFERROR(VLOOKUP($B926,$D:$K,2,0),"")),IFERROR(VLOOKUP($C926,INSUMOS!$A:$D,2,0),IFERROR(VLOOKUP($C926,COTAÇÕES!$B:$I,2,0),(VLOOKUP($C926,'INSUMO SINAPI - SP'!$C:$F,2,0)))))</f>
        <v>AUXILIAR DE ENCANADOR OU BOMBEIRO HIDRÁULICO COM ENCARGOS COMPLEMENTARES</v>
      </c>
      <c r="F926" s="510" t="str">
        <f>IF($C926="",IFERROR(VLOOKUP($B926,SERVIÇOS!$B:$G,3,0),IFERROR(VLOOKUP($B926,$D:$K,3,0),"")),IFERROR(VLOOKUP($C926,INSUMOS!$A:$D,3,0),IFERROR(VLOOKUP($C926,COTAÇÕES!$B:$I,3,0),(VLOOKUP($C926,'INSUMO SINAPI - SP'!$C:$F,3,0)))))</f>
        <v>H</v>
      </c>
      <c r="G926" s="511">
        <v>0.5</v>
      </c>
      <c r="H926" s="512">
        <f>IF($C926="",IFERROR(VLOOKUP($B926,SERVIÇOS!$B:$G,6,0),IFERROR(VLOOKUP($B926,$D:$K,8,0),"")),IFERROR(VLOOKUP($C926,INSUMOS!$A:$D,4,0),IFERROR(VLOOKUP($C926,COTAÇÕES!$B:$I,7,0),(VLOOKUP($C926,'INSUMO SINAPI - SP'!$C:$F,4,0)))))</f>
        <v>29.72</v>
      </c>
      <c r="I926" s="513">
        <f>TRUNC(IF($C926="",IFERROR(VLOOKUP($B926,SERVIÇOS!$B:$G,4,0),IFERROR(VLOOKUP($B926,$D:$K,6,0),)),IFERROR(VLOOKUP($C926,INSUMOS!$A:$D,4,0),IFERROR(VLOOKUP($C926,COTAÇÕES!$B:$I,7,0),(VLOOKUP($C926,'INSUMO SINAPI - SP'!$C:$F,4,0)))))*$G926,2)</f>
        <v>4.32</v>
      </c>
      <c r="J926" s="513">
        <f>TRUNC(IF($C926="",IFERROR(VLOOKUP($B926,SERVIÇOS!$B:$G,5,0),IFERROR(VLOOKUP($B926,$D:$K,7,0),)),0)*$G926,2)</f>
        <v>10.54</v>
      </c>
      <c r="K926" s="514">
        <f>I926+J926</f>
        <v>14.86</v>
      </c>
      <c r="L926" s="515"/>
      <c r="M926" s="471"/>
      <c r="N926" s="516"/>
      <c r="Q926" s="472"/>
      <c r="R926" s="472"/>
      <c r="S926" s="472"/>
      <c r="T926" s="472"/>
      <c r="U926" s="472"/>
      <c r="V926" s="472"/>
      <c r="W926" s="472"/>
      <c r="X926" s="472"/>
      <c r="Y926" s="472"/>
    </row>
    <row r="927" spans="1:25" ht="24" x14ac:dyDescent="0.25">
      <c r="A927" s="463"/>
      <c r="B927" s="498"/>
      <c r="C927" s="498"/>
      <c r="D927" s="499" t="s">
        <v>12342</v>
      </c>
      <c r="E927" s="555" t="s">
        <v>13112</v>
      </c>
      <c r="F927" s="501" t="s">
        <v>585</v>
      </c>
      <c r="G927" s="502"/>
      <c r="H927" s="503"/>
      <c r="I927" s="504">
        <f>ROUND(SUM(I928:I932),2)</f>
        <v>97.06</v>
      </c>
      <c r="J927" s="504">
        <f>ROUND(SUM(J928:J932),2)</f>
        <v>16.03</v>
      </c>
      <c r="K927" s="504">
        <f>+J927+I927</f>
        <v>113.09</v>
      </c>
      <c r="L927" s="523"/>
      <c r="M927" s="471"/>
      <c r="N927" s="505"/>
      <c r="Q927" s="472"/>
      <c r="R927" s="472"/>
      <c r="S927" s="472"/>
      <c r="T927" s="472"/>
      <c r="U927" s="472"/>
      <c r="V927" s="472"/>
      <c r="W927" s="472"/>
      <c r="X927" s="472"/>
      <c r="Y927" s="472"/>
    </row>
    <row r="928" spans="1:25" x14ac:dyDescent="0.25">
      <c r="A928" s="463"/>
      <c r="B928" s="506">
        <v>88248</v>
      </c>
      <c r="C928" s="507"/>
      <c r="D928" s="508"/>
      <c r="E928" s="509" t="str">
        <f>IF($C928="",IFERROR(VLOOKUP($B928,SERVIÇOS!$B:$G,2,0),IFERROR(VLOOKUP($B928,$D:$K,2,0),"")),IFERROR(VLOOKUP($C928,INSUMOS!$A:$D,2,0),IFERROR(VLOOKUP($C928,COTAÇÕES!$B:$I,2,0),(VLOOKUP($C928,'INSUMO SINAPI - SP'!$C:$F,2,0)))))</f>
        <v>AUXILIAR DE ENCANADOR OU BOMBEIRO HIDRÁULICO COM ENCARGOS COMPLEMENTARES</v>
      </c>
      <c r="F928" s="510" t="str">
        <f>IF($C928="",IFERROR(VLOOKUP($B928,SERVIÇOS!$B:$G,3,0),IFERROR(VLOOKUP($B928,$D:$K,3,0),"")),IFERROR(VLOOKUP($C928,INSUMOS!$A:$D,3,0),IFERROR(VLOOKUP($C928,COTAÇÕES!$B:$I,3,0),(VLOOKUP($C928,'INSUMO SINAPI - SP'!$C:$F,3,0)))))</f>
        <v>H</v>
      </c>
      <c r="G928" s="511">
        <v>0.33</v>
      </c>
      <c r="H928" s="512">
        <f>IF($C928="",IFERROR(VLOOKUP($B928,SERVIÇOS!$B:$G,6,0),IFERROR(VLOOKUP($B928,$D:$K,8,0),"")),IFERROR(VLOOKUP($C928,INSUMOS!$A:$D,4,0),IFERROR(VLOOKUP($C928,COTAÇÕES!$B:$I,7,0),(VLOOKUP($C928,'INSUMO SINAPI - SP'!$C:$F,4,0)))))</f>
        <v>29.72</v>
      </c>
      <c r="I928" s="513">
        <f>TRUNC(IF($C928="",IFERROR(VLOOKUP($B928,SERVIÇOS!$B:$G,4,0),IFERROR(VLOOKUP($B928,$D:$K,6,0),)),IFERROR(VLOOKUP($C928,INSUMOS!$A:$D,4,0),IFERROR(VLOOKUP($C928,COTAÇÕES!$B:$I,7,0),(VLOOKUP($C928,'INSUMO SINAPI - SP'!$C:$F,4,0)))))*$G928,2)</f>
        <v>2.85</v>
      </c>
      <c r="J928" s="513">
        <f>TRUNC(IF($C928="",IFERROR(VLOOKUP($B928,SERVIÇOS!$B:$G,5,0),IFERROR(VLOOKUP($B928,$D:$K,7,0),)),0)*$G928,2)</f>
        <v>6.95</v>
      </c>
      <c r="K928" s="514">
        <f>I928+J928</f>
        <v>9.8000000000000007</v>
      </c>
      <c r="L928" s="515"/>
      <c r="M928" s="471"/>
      <c r="N928" s="516"/>
      <c r="Q928" s="472"/>
      <c r="R928" s="472"/>
      <c r="S928" s="472"/>
      <c r="T928" s="472"/>
      <c r="U928" s="472"/>
      <c r="V928" s="472"/>
      <c r="W928" s="472"/>
      <c r="X928" s="472"/>
      <c r="Y928" s="472"/>
    </row>
    <row r="929" spans="1:25" x14ac:dyDescent="0.25">
      <c r="A929" s="463"/>
      <c r="B929" s="506">
        <v>88267</v>
      </c>
      <c r="C929" s="507"/>
      <c r="D929" s="508"/>
      <c r="E929" s="509" t="str">
        <f>IF($C929="",IFERROR(VLOOKUP($B929,SERVIÇOS!$B:$G,2,0),IFERROR(VLOOKUP($B929,$D:$K,2,0),"")),IFERROR(VLOOKUP($C929,INSUMOS!$A:$D,2,0),IFERROR(VLOOKUP($C929,COTAÇÕES!$B:$I,2,0),(VLOOKUP($C929,'INSUMO SINAPI - SP'!$C:$F,2,0)))))</f>
        <v>ENCANADOR OU BOMBEIRO HIDRÁULICO COM ENCARGOS COMPLEMENTARES</v>
      </c>
      <c r="F929" s="510" t="str">
        <f>IF($C929="",IFERROR(VLOOKUP($B929,SERVIÇOS!$B:$G,3,0),IFERROR(VLOOKUP($B929,$D:$K,3,0),"")),IFERROR(VLOOKUP($C929,INSUMOS!$A:$D,3,0),IFERROR(VLOOKUP($C929,COTAÇÕES!$B:$I,3,0),(VLOOKUP($C929,'INSUMO SINAPI - SP'!$C:$F,3,0)))))</f>
        <v>H</v>
      </c>
      <c r="G929" s="511">
        <v>0.33</v>
      </c>
      <c r="H929" s="512">
        <f>IF($C929="",IFERROR(VLOOKUP($B929,SERVIÇOS!$B:$G,6,0),IFERROR(VLOOKUP($B929,$D:$K,8,0),"")),IFERROR(VLOOKUP($C929,INSUMOS!$A:$D,4,0),IFERROR(VLOOKUP($C929,COTAÇÕES!$B:$I,7,0),(VLOOKUP($C929,'INSUMO SINAPI - SP'!$C:$F,4,0)))))</f>
        <v>36.17</v>
      </c>
      <c r="I929" s="513">
        <f>TRUNC(IF($C929="",IFERROR(VLOOKUP($B929,SERVIÇOS!$B:$G,4,0),IFERROR(VLOOKUP($B929,$D:$K,6,0),)),IFERROR(VLOOKUP($C929,INSUMOS!$A:$D,4,0),IFERROR(VLOOKUP($C929,COTAÇÕES!$B:$I,7,0),(VLOOKUP($C929,'INSUMO SINAPI - SP'!$C:$F,4,0)))))*$G929,2)</f>
        <v>2.85</v>
      </c>
      <c r="J929" s="513">
        <f>TRUNC(IF($C929="",IFERROR(VLOOKUP($B929,SERVIÇOS!$B:$G,5,0),IFERROR(VLOOKUP($B929,$D:$K,7,0),)),0)*$G929,2)</f>
        <v>9.08</v>
      </c>
      <c r="K929" s="514">
        <f>I929+J929</f>
        <v>11.93</v>
      </c>
      <c r="L929" s="515"/>
      <c r="M929" s="471"/>
      <c r="N929" s="516"/>
      <c r="Q929" s="472"/>
      <c r="R929" s="472"/>
      <c r="S929" s="472"/>
      <c r="T929" s="472"/>
      <c r="U929" s="472"/>
      <c r="V929" s="472"/>
      <c r="W929" s="472"/>
      <c r="X929" s="472"/>
      <c r="Y929" s="472"/>
    </row>
    <row r="930" spans="1:25" x14ac:dyDescent="0.25">
      <c r="A930" s="463"/>
      <c r="B930" s="506"/>
      <c r="C930" s="507" t="s">
        <v>13113</v>
      </c>
      <c r="D930" s="508"/>
      <c r="E930" s="509" t="str">
        <f>IF($C930="",IFERROR(VLOOKUP($B930,SERVIÇOS!$B:$G,2,0),IFERROR(VLOOKUP($B930,$D:$K,2,0),"")),IFERROR(VLOOKUP($C930,INSUMOS!$A:$D,2,0),IFERROR(VLOOKUP($C930,COTAÇÕES!$B:$I,2,0),(VLOOKUP($C930,'INSUMO SINAPI - SP'!$C:$F,2,0)))))</f>
        <v>PASTA PARA SOLDA DE TUBOS E CONEXOES DE COBRE (EMBALAGEM COM 250 G)</v>
      </c>
      <c r="F930" s="510" t="str">
        <f>IF($C930="",IFERROR(VLOOKUP($B930,SERVIÇOS!$B:$G,3,0),IFERROR(VLOOKUP($B930,$D:$K,3,0),"")),IFERROR(VLOOKUP($C930,INSUMOS!$A:$D,3,0),IFERROR(VLOOKUP($C930,COTAÇÕES!$B:$I,3,0),(VLOOKUP($C930,'INSUMO SINAPI - SP'!$C:$F,3,0)))))</f>
        <v>UN</v>
      </c>
      <c r="G930" s="511">
        <v>2.9999999999999997E-4</v>
      </c>
      <c r="H930" s="512">
        <f>IF($C930="",IFERROR(VLOOKUP($B930,SERVIÇOS!$B:$G,6,0),IFERROR(VLOOKUP($B930,$D:$K,8,0),"")),IFERROR(VLOOKUP($C930,INSUMOS!$A:$D,4,0),IFERROR(VLOOKUP($C930,COTAÇÕES!$B:$I,7,0),(VLOOKUP($C930,'INSUMO SINAPI - SP'!$C:$F,4,0)))))</f>
        <v>56.57</v>
      </c>
      <c r="I930" s="513">
        <f>TRUNC(IF($C930="",IFERROR(VLOOKUP($B930,SERVIÇOS!$B:$G,4,0),IFERROR(VLOOKUP($B930,$D:$K,6,0),)),IFERROR(VLOOKUP($C930,INSUMOS!$A:$D,4,0),IFERROR(VLOOKUP($C930,COTAÇÕES!$B:$I,7,0),(VLOOKUP($C930,'INSUMO SINAPI - SP'!$C:$F,4,0)))))*$G930,2)</f>
        <v>0.01</v>
      </c>
      <c r="J930" s="513"/>
      <c r="K930" s="514">
        <f>I930+J930</f>
        <v>0.01</v>
      </c>
      <c r="L930" s="515" t="s">
        <v>12685</v>
      </c>
      <c r="M930" s="471"/>
      <c r="N930" s="516"/>
      <c r="Q930" s="472"/>
      <c r="R930" s="472"/>
      <c r="S930" s="472"/>
      <c r="T930" s="472"/>
      <c r="U930" s="472"/>
      <c r="V930" s="472"/>
      <c r="W930" s="472"/>
      <c r="X930" s="472"/>
      <c r="Y930" s="472"/>
    </row>
    <row r="931" spans="1:25" x14ac:dyDescent="0.25">
      <c r="A931" s="463"/>
      <c r="B931" s="506"/>
      <c r="C931" s="507">
        <v>13388</v>
      </c>
      <c r="D931" s="508"/>
      <c r="E931" s="509" t="str">
        <f>IF($C931="",IFERROR(VLOOKUP($B931,SERVIÇOS!$B:$G,2,0),IFERROR(VLOOKUP($B931,$D:$K,2,0),"")),IFERROR(VLOOKUP($C931,INSUMOS!$A:$D,2,0),IFERROR(VLOOKUP($C931,COTAÇÕES!$B:$I,2,0),(VLOOKUP($C931,'INSUMO SINAPI - SP'!$C:$F,2,0)))))</f>
        <v>SOLDA EM BARRA DE ESTANHO-CHUMBO 50/50</v>
      </c>
      <c r="F931" s="510" t="str">
        <f>IF($C931="",IFERROR(VLOOKUP($B931,SERVIÇOS!$B:$G,3,0),IFERROR(VLOOKUP($B931,$D:$K,3,0),"")),IFERROR(VLOOKUP($C931,INSUMOS!$A:$D,3,0),IFERROR(VLOOKUP($C931,COTAÇÕES!$B:$I,3,0),(VLOOKUP($C931,'INSUMO SINAPI - SP'!$C:$F,3,0)))))</f>
        <v>KG</v>
      </c>
      <c r="G931" s="511">
        <v>2.0999999999999999E-3</v>
      </c>
      <c r="H931" s="512">
        <f>IF($C931="",IFERROR(VLOOKUP($B931,SERVIÇOS!$B:$G,6,0),IFERROR(VLOOKUP($B931,$D:$K,8,0),"")),IFERROR(VLOOKUP($C931,INSUMOS!$A:$D,4,0),IFERROR(VLOOKUP($C931,COTAÇÕES!$B:$I,7,0),(VLOOKUP($C931,'INSUMO SINAPI - SP'!$C:$F,4,0)))))</f>
        <v>193</v>
      </c>
      <c r="I931" s="513">
        <f>TRUNC(IF($C931="",IFERROR(VLOOKUP($B931,SERVIÇOS!$B:$G,4,0),IFERROR(VLOOKUP($B931,$D:$K,6,0),)),IFERROR(VLOOKUP($C931,INSUMOS!$A:$D,4,0),IFERROR(VLOOKUP($C931,COTAÇÕES!$B:$I,7,0),(VLOOKUP($C931,'INSUMO SINAPI - SP'!$C:$F,4,0)))))*$G931,2)</f>
        <v>0.4</v>
      </c>
      <c r="J931" s="513">
        <f>TRUNC(IF($C931="",IFERROR(VLOOKUP($B931,SERVIÇOS!$B:$G,5,0),IFERROR(VLOOKUP($B931,$D:$K,7,0),)),0)*$G931,2)</f>
        <v>0</v>
      </c>
      <c r="K931" s="514">
        <f>I931+J931</f>
        <v>0.4</v>
      </c>
      <c r="L931" s="517"/>
      <c r="M931" s="471"/>
      <c r="N931" s="516"/>
      <c r="Q931" s="472"/>
      <c r="R931" s="472"/>
      <c r="S931" s="472"/>
      <c r="T931" s="472"/>
      <c r="U931" s="472"/>
      <c r="V931" s="472"/>
      <c r="W931" s="472"/>
      <c r="X931" s="472"/>
      <c r="Y931" s="472"/>
    </row>
    <row r="932" spans="1:25" ht="24" x14ac:dyDescent="0.25">
      <c r="A932" s="463"/>
      <c r="B932" s="506"/>
      <c r="C932" s="507" t="s">
        <v>13114</v>
      </c>
      <c r="D932" s="508"/>
      <c r="E932" s="509" t="str">
        <f>IF($C932="",IFERROR(VLOOKUP($B932,SERVIÇOS!$B:$G,2,0),IFERROR(VLOOKUP($B932,$D:$K,2,0),"")),IFERROR(VLOOKUP($C932,INSUMOS!$A:$D,2,0),IFERROR(VLOOKUP($C932,COTAÇÕES!$B:$I,2,0),(VLOOKUP($C932,'INSUMO SINAPI - SP'!$C:$F,2,0)))))</f>
        <v>TUBO DE COBRE CLASSE "A", DN = 1/2" (15 MM), PARA INSTALACOES DE MEDIA PRESSAO PARA GASES COMBUSTIVEIS E MEDICINAIS</v>
      </c>
      <c r="F932" s="510" t="str">
        <f>IF($C932="",IFERROR(VLOOKUP($B932,SERVIÇOS!$B:$G,3,0),IFERROR(VLOOKUP($B932,$D:$K,3,0),"")),IFERROR(VLOOKUP($C932,INSUMOS!$A:$D,3,0),IFERROR(VLOOKUP($C932,COTAÇÕES!$B:$I,3,0),(VLOOKUP($C932,'INSUMO SINAPI - SP'!$C:$F,3,0)))))</f>
        <v>M</v>
      </c>
      <c r="G932" s="511">
        <v>1.8</v>
      </c>
      <c r="H932" s="512">
        <f>IF($C932="",IFERROR(VLOOKUP($B932,SERVIÇOS!$B:$G,6,0),IFERROR(VLOOKUP($B932,$D:$K,8,0),"")),IFERROR(VLOOKUP($C932,INSUMOS!$A:$D,4,0),IFERROR(VLOOKUP($C932,COTAÇÕES!$B:$I,7,0),(VLOOKUP($C932,'INSUMO SINAPI - SP'!$C:$F,4,0)))))</f>
        <v>50.53</v>
      </c>
      <c r="I932" s="513">
        <f>TRUNC(IF($C932="",IFERROR(VLOOKUP($B932,SERVIÇOS!$B:$G,4,0),IFERROR(VLOOKUP($B932,$D:$K,6,0),)),IFERROR(VLOOKUP($C932,INSUMOS!$A:$D,4,0),IFERROR(VLOOKUP($C932,COTAÇÕES!$B:$I,7,0),(VLOOKUP($C932,'INSUMO SINAPI - SP'!$C:$F,4,0)))))*$G932,2)</f>
        <v>90.95</v>
      </c>
      <c r="J932" s="513"/>
      <c r="K932" s="514">
        <f>I932+J932</f>
        <v>90.95</v>
      </c>
      <c r="L932" s="515" t="s">
        <v>12685</v>
      </c>
      <c r="M932" s="471"/>
      <c r="N932" s="516"/>
      <c r="Q932" s="472"/>
      <c r="R932" s="472"/>
      <c r="S932" s="472"/>
      <c r="T932" s="472"/>
      <c r="U932" s="472"/>
      <c r="V932" s="472"/>
      <c r="W932" s="472"/>
      <c r="X932" s="472"/>
      <c r="Y932" s="472"/>
    </row>
    <row r="933" spans="1:25" ht="24" x14ac:dyDescent="0.25">
      <c r="A933" s="463"/>
      <c r="B933" s="498"/>
      <c r="C933" s="498"/>
      <c r="D933" s="499" t="s">
        <v>12343</v>
      </c>
      <c r="E933" s="555" t="s">
        <v>13115</v>
      </c>
      <c r="F933" s="501" t="s">
        <v>585</v>
      </c>
      <c r="G933" s="502"/>
      <c r="H933" s="503"/>
      <c r="I933" s="504">
        <f>ROUND(SUM(I934:I938),2)</f>
        <v>146.01</v>
      </c>
      <c r="J933" s="504">
        <f>ROUND(SUM(J934:J938),2)</f>
        <v>17.489999999999998</v>
      </c>
      <c r="K933" s="504">
        <f>+J933+I933</f>
        <v>163.5</v>
      </c>
      <c r="L933" s="523"/>
      <c r="M933" s="471"/>
      <c r="N933" s="505"/>
      <c r="Q933" s="472"/>
      <c r="R933" s="472"/>
      <c r="S933" s="472"/>
      <c r="T933" s="472"/>
      <c r="U933" s="472"/>
      <c r="V933" s="472"/>
      <c r="W933" s="472"/>
      <c r="X933" s="472"/>
      <c r="Y933" s="472"/>
    </row>
    <row r="934" spans="1:25" x14ac:dyDescent="0.25">
      <c r="A934" s="463"/>
      <c r="B934" s="506">
        <v>88248</v>
      </c>
      <c r="C934" s="507"/>
      <c r="D934" s="508"/>
      <c r="E934" s="509" t="str">
        <f>IF($C934="",IFERROR(VLOOKUP($B934,SERVIÇOS!$B:$G,2,0),IFERROR(VLOOKUP($B934,$D:$K,2,0),"")),IFERROR(VLOOKUP($C934,INSUMOS!$A:$D,2,0),IFERROR(VLOOKUP($C934,COTAÇÕES!$B:$I,2,0),(VLOOKUP($C934,'INSUMO SINAPI - SP'!$C:$F,2,0)))))</f>
        <v>AUXILIAR DE ENCANADOR OU BOMBEIRO HIDRÁULICO COM ENCARGOS COMPLEMENTARES</v>
      </c>
      <c r="F934" s="510" t="str">
        <f>IF($C934="",IFERROR(VLOOKUP($B934,SERVIÇOS!$B:$G,3,0),IFERROR(VLOOKUP($B934,$D:$K,3,0),"")),IFERROR(VLOOKUP($C934,INSUMOS!$A:$D,3,0),IFERROR(VLOOKUP($C934,COTAÇÕES!$B:$I,3,0),(VLOOKUP($C934,'INSUMO SINAPI - SP'!$C:$F,3,0)))))</f>
        <v>H</v>
      </c>
      <c r="G934" s="511">
        <v>0.36</v>
      </c>
      <c r="H934" s="512">
        <f>IF($C934="",IFERROR(VLOOKUP($B934,SERVIÇOS!$B:$G,6,0),IFERROR(VLOOKUP($B934,$D:$K,8,0),"")),IFERROR(VLOOKUP($C934,INSUMOS!$A:$D,4,0),IFERROR(VLOOKUP($C934,COTAÇÕES!$B:$I,7,0),(VLOOKUP($C934,'INSUMO SINAPI - SP'!$C:$F,4,0)))))</f>
        <v>29.72</v>
      </c>
      <c r="I934" s="513">
        <f>TRUNC(IF($C934="",IFERROR(VLOOKUP($B934,SERVIÇOS!$B:$G,4,0),IFERROR(VLOOKUP($B934,$D:$K,6,0),)),IFERROR(VLOOKUP($C934,INSUMOS!$A:$D,4,0),IFERROR(VLOOKUP($C934,COTAÇÕES!$B:$I,7,0),(VLOOKUP($C934,'INSUMO SINAPI - SP'!$C:$F,4,0)))))*$G934,2)</f>
        <v>3.11</v>
      </c>
      <c r="J934" s="513">
        <f>TRUNC(IF($C934="",IFERROR(VLOOKUP($B934,SERVIÇOS!$B:$G,5,0),IFERROR(VLOOKUP($B934,$D:$K,7,0),)),0)*$G934,2)</f>
        <v>7.58</v>
      </c>
      <c r="K934" s="514">
        <f>I934+J934</f>
        <v>10.69</v>
      </c>
      <c r="L934" s="515"/>
      <c r="M934" s="471"/>
      <c r="N934" s="516"/>
      <c r="Q934" s="472"/>
      <c r="R934" s="472"/>
      <c r="S934" s="472"/>
      <c r="T934" s="472"/>
      <c r="U934" s="472"/>
      <c r="V934" s="472"/>
      <c r="W934" s="472"/>
      <c r="X934" s="472"/>
      <c r="Y934" s="472"/>
    </row>
    <row r="935" spans="1:25" x14ac:dyDescent="0.25">
      <c r="A935" s="463"/>
      <c r="B935" s="506">
        <v>88267</v>
      </c>
      <c r="C935" s="507"/>
      <c r="D935" s="508"/>
      <c r="E935" s="509" t="str">
        <f>IF($C935="",IFERROR(VLOOKUP($B935,SERVIÇOS!$B:$G,2,0),IFERROR(VLOOKUP($B935,$D:$K,2,0),"")),IFERROR(VLOOKUP($C935,INSUMOS!$A:$D,2,0),IFERROR(VLOOKUP($C935,COTAÇÕES!$B:$I,2,0),(VLOOKUP($C935,'INSUMO SINAPI - SP'!$C:$F,2,0)))))</f>
        <v>ENCANADOR OU BOMBEIRO HIDRÁULICO COM ENCARGOS COMPLEMENTARES</v>
      </c>
      <c r="F935" s="510" t="str">
        <f>IF($C935="",IFERROR(VLOOKUP($B935,SERVIÇOS!$B:$G,3,0),IFERROR(VLOOKUP($B935,$D:$K,3,0),"")),IFERROR(VLOOKUP($C935,INSUMOS!$A:$D,3,0),IFERROR(VLOOKUP($C935,COTAÇÕES!$B:$I,3,0),(VLOOKUP($C935,'INSUMO SINAPI - SP'!$C:$F,3,0)))))</f>
        <v>H</v>
      </c>
      <c r="G935" s="511">
        <v>0.36</v>
      </c>
      <c r="H935" s="512">
        <f>IF($C935="",IFERROR(VLOOKUP($B935,SERVIÇOS!$B:$G,6,0),IFERROR(VLOOKUP($B935,$D:$K,8,0),"")),IFERROR(VLOOKUP($C935,INSUMOS!$A:$D,4,0),IFERROR(VLOOKUP($C935,COTAÇÕES!$B:$I,7,0),(VLOOKUP($C935,'INSUMO SINAPI - SP'!$C:$F,4,0)))))</f>
        <v>36.17</v>
      </c>
      <c r="I935" s="513">
        <f>TRUNC(IF($C935="",IFERROR(VLOOKUP($B935,SERVIÇOS!$B:$G,4,0),IFERROR(VLOOKUP($B935,$D:$K,6,0),)),IFERROR(VLOOKUP($C935,INSUMOS!$A:$D,4,0),IFERROR(VLOOKUP($C935,COTAÇÕES!$B:$I,7,0),(VLOOKUP($C935,'INSUMO SINAPI - SP'!$C:$F,4,0)))))*$G935,2)</f>
        <v>3.11</v>
      </c>
      <c r="J935" s="513">
        <f>TRUNC(IF($C935="",IFERROR(VLOOKUP($B935,SERVIÇOS!$B:$G,5,0),IFERROR(VLOOKUP($B935,$D:$K,7,0),)),0)*$G935,2)</f>
        <v>9.91</v>
      </c>
      <c r="K935" s="514">
        <f>I935+J935</f>
        <v>13.02</v>
      </c>
      <c r="L935" s="515"/>
      <c r="M935" s="471"/>
      <c r="N935" s="516"/>
      <c r="Q935" s="472"/>
      <c r="R935" s="472"/>
      <c r="S935" s="472"/>
      <c r="T935" s="472"/>
      <c r="U935" s="472"/>
      <c r="V935" s="472"/>
      <c r="W935" s="472"/>
      <c r="X935" s="472"/>
      <c r="Y935" s="472"/>
    </row>
    <row r="936" spans="1:25" x14ac:dyDescent="0.25">
      <c r="A936" s="463"/>
      <c r="B936" s="506"/>
      <c r="C936" s="507" t="s">
        <v>13113</v>
      </c>
      <c r="D936" s="508"/>
      <c r="E936" s="509" t="str">
        <f>IF($C936="",IFERROR(VLOOKUP($B936,SERVIÇOS!$B:$G,2,0),IFERROR(VLOOKUP($B936,$D:$K,2,0),"")),IFERROR(VLOOKUP($C936,INSUMOS!$A:$D,2,0),IFERROR(VLOOKUP($C936,COTAÇÕES!$B:$I,2,0),(VLOOKUP($C936,'INSUMO SINAPI - SP'!$C:$F,2,0)))))</f>
        <v>PASTA PARA SOLDA DE TUBOS E CONEXOES DE COBRE (EMBALAGEM COM 250 G)</v>
      </c>
      <c r="F936" s="510" t="str">
        <f>IF($C936="",IFERROR(VLOOKUP($B936,SERVIÇOS!$B:$G,3,0),IFERROR(VLOOKUP($B936,$D:$K,3,0),"")),IFERROR(VLOOKUP($C936,INSUMOS!$A:$D,3,0),IFERROR(VLOOKUP($C936,COTAÇÕES!$B:$I,3,0),(VLOOKUP($C936,'INSUMO SINAPI - SP'!$C:$F,3,0)))))</f>
        <v>UN</v>
      </c>
      <c r="G936" s="511">
        <v>5.0000000000000001E-4</v>
      </c>
      <c r="H936" s="512">
        <f>IF($C936="",IFERROR(VLOOKUP($B936,SERVIÇOS!$B:$G,6,0),IFERROR(VLOOKUP($B936,$D:$K,8,0),"")),IFERROR(VLOOKUP($C936,INSUMOS!$A:$D,4,0),IFERROR(VLOOKUP($C936,COTAÇÕES!$B:$I,7,0),(VLOOKUP($C936,'INSUMO SINAPI - SP'!$C:$F,4,0)))))</f>
        <v>56.57</v>
      </c>
      <c r="I936" s="513">
        <f>TRUNC(IF($C936="",IFERROR(VLOOKUP($B936,SERVIÇOS!$B:$G,4,0),IFERROR(VLOOKUP($B936,$D:$K,6,0),)),IFERROR(VLOOKUP($C936,INSUMOS!$A:$D,4,0),IFERROR(VLOOKUP($C936,COTAÇÕES!$B:$I,7,0),(VLOOKUP($C936,'INSUMO SINAPI - SP'!$C:$F,4,0)))))*$G936,2)</f>
        <v>0.02</v>
      </c>
      <c r="J936" s="513"/>
      <c r="K936" s="514">
        <f>I936+J936</f>
        <v>0.02</v>
      </c>
      <c r="L936" s="515" t="s">
        <v>12685</v>
      </c>
      <c r="M936" s="471"/>
      <c r="N936" s="516"/>
      <c r="Q936" s="472"/>
      <c r="R936" s="472"/>
      <c r="S936" s="472"/>
      <c r="T936" s="472"/>
      <c r="U936" s="472"/>
      <c r="V936" s="472"/>
      <c r="W936" s="472"/>
      <c r="X936" s="472"/>
      <c r="Y936" s="472"/>
    </row>
    <row r="937" spans="1:25" x14ac:dyDescent="0.25">
      <c r="A937" s="463"/>
      <c r="B937" s="506"/>
      <c r="C937" s="507">
        <v>13388</v>
      </c>
      <c r="D937" s="508"/>
      <c r="E937" s="509" t="str">
        <f>IF($C937="",IFERROR(VLOOKUP($B937,SERVIÇOS!$B:$G,2,0),IFERROR(VLOOKUP($B937,$D:$K,2,0),"")),IFERROR(VLOOKUP($C937,INSUMOS!$A:$D,2,0),IFERROR(VLOOKUP($C937,COTAÇÕES!$B:$I,2,0),(VLOOKUP($C937,'INSUMO SINAPI - SP'!$C:$F,2,0)))))</f>
        <v>SOLDA EM BARRA DE ESTANHO-CHUMBO 50/50</v>
      </c>
      <c r="F937" s="510" t="str">
        <f>IF($C937="",IFERROR(VLOOKUP($B937,SERVIÇOS!$B:$G,3,0),IFERROR(VLOOKUP($B937,$D:$K,3,0),"")),IFERROR(VLOOKUP($C937,INSUMOS!$A:$D,3,0),IFERROR(VLOOKUP($C937,COTAÇÕES!$B:$I,3,0),(VLOOKUP($C937,'INSUMO SINAPI - SP'!$C:$F,3,0)))))</f>
        <v>KG</v>
      </c>
      <c r="G937" s="511">
        <v>4.0000000000000001E-3</v>
      </c>
      <c r="H937" s="512">
        <f>IF($C937="",IFERROR(VLOOKUP($B937,SERVIÇOS!$B:$G,6,0),IFERROR(VLOOKUP($B937,$D:$K,8,0),"")),IFERROR(VLOOKUP($C937,INSUMOS!$A:$D,4,0),IFERROR(VLOOKUP($C937,COTAÇÕES!$B:$I,7,0),(VLOOKUP($C937,'INSUMO SINAPI - SP'!$C:$F,4,0)))))</f>
        <v>193</v>
      </c>
      <c r="I937" s="513">
        <f>TRUNC(IF($C937="",IFERROR(VLOOKUP($B937,SERVIÇOS!$B:$G,4,0),IFERROR(VLOOKUP($B937,$D:$K,6,0),)),IFERROR(VLOOKUP($C937,INSUMOS!$A:$D,4,0),IFERROR(VLOOKUP($C937,COTAÇÕES!$B:$I,7,0),(VLOOKUP($C937,'INSUMO SINAPI - SP'!$C:$F,4,0)))))*$G937,2)</f>
        <v>0.77</v>
      </c>
      <c r="J937" s="513">
        <f>TRUNC(IF($C937="",IFERROR(VLOOKUP($B937,SERVIÇOS!$B:$G,5,0),IFERROR(VLOOKUP($B937,$D:$K,7,0),)),0)*$G937,2)</f>
        <v>0</v>
      </c>
      <c r="K937" s="514">
        <f>I937+J937</f>
        <v>0.77</v>
      </c>
      <c r="L937" s="517"/>
      <c r="M937" s="471"/>
      <c r="N937" s="516"/>
      <c r="Q937" s="472"/>
      <c r="R937" s="472"/>
      <c r="S937" s="472"/>
      <c r="T937" s="472"/>
      <c r="U937" s="472"/>
      <c r="V937" s="472"/>
      <c r="W937" s="472"/>
      <c r="X937" s="472"/>
      <c r="Y937" s="472"/>
    </row>
    <row r="938" spans="1:25" ht="24" x14ac:dyDescent="0.25">
      <c r="A938" s="463"/>
      <c r="B938" s="506"/>
      <c r="C938" s="507" t="s">
        <v>13116</v>
      </c>
      <c r="D938" s="508"/>
      <c r="E938" s="509" t="str">
        <f>IF($C938="",IFERROR(VLOOKUP($B938,SERVIÇOS!$B:$G,2,0),IFERROR(VLOOKUP($B938,$D:$K,2,0),"")),IFERROR(VLOOKUP($C938,INSUMOS!$A:$D,2,0),IFERROR(VLOOKUP($C938,COTAÇÕES!$B:$I,2,0),(VLOOKUP($C938,'INSUMO SINAPI - SP'!$C:$F,2,0)))))</f>
        <v>TUBO DE COBRE CLASSE "A", DN = 3/4" (22 MM), PARA INSTALACOES DE MEDIA PRESSAO PARA GASES COMBUSTIVEIS E MEDICINAIS</v>
      </c>
      <c r="F938" s="510" t="str">
        <f>IF($C938="",IFERROR(VLOOKUP($B938,SERVIÇOS!$B:$G,3,0),IFERROR(VLOOKUP($B938,$D:$K,3,0),"")),IFERROR(VLOOKUP($C938,INSUMOS!$A:$D,3,0),IFERROR(VLOOKUP($C938,COTAÇÕES!$B:$I,3,0),(VLOOKUP($C938,'INSUMO SINAPI - SP'!$C:$F,3,0)))))</f>
        <v>M</v>
      </c>
      <c r="G938" s="511">
        <v>1.7</v>
      </c>
      <c r="H938" s="512">
        <f>IF($C938="",IFERROR(VLOOKUP($B938,SERVIÇOS!$B:$G,6,0),IFERROR(VLOOKUP($B938,$D:$K,8,0),"")),IFERROR(VLOOKUP($C938,INSUMOS!$A:$D,4,0),IFERROR(VLOOKUP($C938,COTAÇÕES!$B:$I,7,0),(VLOOKUP($C938,'INSUMO SINAPI - SP'!$C:$F,4,0)))))</f>
        <v>81.77</v>
      </c>
      <c r="I938" s="513">
        <f>TRUNC(IF($C938="",IFERROR(VLOOKUP($B938,SERVIÇOS!$B:$G,4,0),IFERROR(VLOOKUP($B938,$D:$K,6,0),)),IFERROR(VLOOKUP($C938,INSUMOS!$A:$D,4,0),IFERROR(VLOOKUP($C938,COTAÇÕES!$B:$I,7,0),(VLOOKUP($C938,'INSUMO SINAPI - SP'!$C:$F,4,0)))))*$G938,2)</f>
        <v>139</v>
      </c>
      <c r="J938" s="513"/>
      <c r="K938" s="514">
        <f>I938+J938</f>
        <v>139</v>
      </c>
      <c r="L938" s="515" t="s">
        <v>12685</v>
      </c>
      <c r="M938" s="471"/>
      <c r="N938" s="516"/>
      <c r="Q938" s="472"/>
      <c r="R938" s="472"/>
      <c r="S938" s="472"/>
      <c r="T938" s="472"/>
      <c r="U938" s="472"/>
      <c r="V938" s="472"/>
      <c r="W938" s="472"/>
      <c r="X938" s="472"/>
      <c r="Y938" s="472"/>
    </row>
    <row r="939" spans="1:25" ht="24" x14ac:dyDescent="0.25">
      <c r="A939" s="463"/>
      <c r="B939" s="498"/>
      <c r="C939" s="498"/>
      <c r="D939" s="499" t="s">
        <v>12346</v>
      </c>
      <c r="E939" s="555" t="s">
        <v>13117</v>
      </c>
      <c r="F939" s="501" t="s">
        <v>585</v>
      </c>
      <c r="G939" s="502"/>
      <c r="H939" s="503"/>
      <c r="I939" s="504">
        <f>ROUND(SUM(I940:I944),2)</f>
        <v>175.18</v>
      </c>
      <c r="J939" s="504">
        <f>ROUND(SUM(J940:J944),2)</f>
        <v>21.86</v>
      </c>
      <c r="K939" s="504">
        <f>+J939+I939</f>
        <v>197.04000000000002</v>
      </c>
      <c r="L939" s="523"/>
      <c r="M939" s="471"/>
      <c r="N939" s="505"/>
      <c r="Q939" s="472"/>
      <c r="R939" s="472"/>
      <c r="S939" s="472"/>
      <c r="T939" s="472"/>
      <c r="U939" s="472"/>
      <c r="V939" s="472"/>
      <c r="W939" s="472"/>
      <c r="X939" s="472"/>
      <c r="Y939" s="472"/>
    </row>
    <row r="940" spans="1:25" x14ac:dyDescent="0.25">
      <c r="A940" s="463"/>
      <c r="B940" s="506">
        <v>88248</v>
      </c>
      <c r="C940" s="507"/>
      <c r="D940" s="508"/>
      <c r="E940" s="509" t="str">
        <f>IF($C940="",IFERROR(VLOOKUP($B940,SERVIÇOS!$B:$G,2,0),IFERROR(VLOOKUP($B940,$D:$K,2,0),"")),IFERROR(VLOOKUP($C940,INSUMOS!$A:$D,2,0),IFERROR(VLOOKUP($C940,COTAÇÕES!$B:$I,2,0),(VLOOKUP($C940,'INSUMO SINAPI - SP'!$C:$F,2,0)))))</f>
        <v>AUXILIAR DE ENCANADOR OU BOMBEIRO HIDRÁULICO COM ENCARGOS COMPLEMENTARES</v>
      </c>
      <c r="F940" s="510" t="str">
        <f>IF($C940="",IFERROR(VLOOKUP($B940,SERVIÇOS!$B:$G,3,0),IFERROR(VLOOKUP($B940,$D:$K,3,0),"")),IFERROR(VLOOKUP($C940,INSUMOS!$A:$D,3,0),IFERROR(VLOOKUP($C940,COTAÇÕES!$B:$I,3,0),(VLOOKUP($C940,'INSUMO SINAPI - SP'!$C:$F,3,0)))))</f>
        <v>H</v>
      </c>
      <c r="G940" s="511">
        <v>0.45</v>
      </c>
      <c r="H940" s="512">
        <f>IF($C940="",IFERROR(VLOOKUP($B940,SERVIÇOS!$B:$G,6,0),IFERROR(VLOOKUP($B940,$D:$K,8,0),"")),IFERROR(VLOOKUP($C940,INSUMOS!$A:$D,4,0),IFERROR(VLOOKUP($C940,COTAÇÕES!$B:$I,7,0),(VLOOKUP($C940,'INSUMO SINAPI - SP'!$C:$F,4,0)))))</f>
        <v>29.72</v>
      </c>
      <c r="I940" s="513">
        <f>TRUNC(IF($C940="",IFERROR(VLOOKUP($B940,SERVIÇOS!$B:$G,4,0),IFERROR(VLOOKUP($B940,$D:$K,6,0),)),IFERROR(VLOOKUP($C940,INSUMOS!$A:$D,4,0),IFERROR(VLOOKUP($C940,COTAÇÕES!$B:$I,7,0),(VLOOKUP($C940,'INSUMO SINAPI - SP'!$C:$F,4,0)))))*$G940,2)</f>
        <v>3.88</v>
      </c>
      <c r="J940" s="513">
        <f>TRUNC(IF($C940="",IFERROR(VLOOKUP($B940,SERVIÇOS!$B:$G,5,0),IFERROR(VLOOKUP($B940,$D:$K,7,0),)),0)*$G940,2)</f>
        <v>9.48</v>
      </c>
      <c r="K940" s="514">
        <f>I940+J940</f>
        <v>13.36</v>
      </c>
      <c r="L940" s="515"/>
      <c r="M940" s="471"/>
      <c r="N940" s="516"/>
      <c r="Q940" s="472"/>
      <c r="R940" s="472"/>
      <c r="S940" s="472"/>
      <c r="T940" s="472"/>
      <c r="U940" s="472"/>
      <c r="V940" s="472"/>
      <c r="W940" s="472"/>
      <c r="X940" s="472"/>
      <c r="Y940" s="472"/>
    </row>
    <row r="941" spans="1:25" x14ac:dyDescent="0.25">
      <c r="A941" s="463"/>
      <c r="B941" s="506">
        <v>88267</v>
      </c>
      <c r="C941" s="507"/>
      <c r="D941" s="508"/>
      <c r="E941" s="509" t="str">
        <f>IF($C941="",IFERROR(VLOOKUP($B941,SERVIÇOS!$B:$G,2,0),IFERROR(VLOOKUP($B941,$D:$K,2,0),"")),IFERROR(VLOOKUP($C941,INSUMOS!$A:$D,2,0),IFERROR(VLOOKUP($C941,COTAÇÕES!$B:$I,2,0),(VLOOKUP($C941,'INSUMO SINAPI - SP'!$C:$F,2,0)))))</f>
        <v>ENCANADOR OU BOMBEIRO HIDRÁULICO COM ENCARGOS COMPLEMENTARES</v>
      </c>
      <c r="F941" s="510" t="str">
        <f>IF($C941="",IFERROR(VLOOKUP($B941,SERVIÇOS!$B:$G,3,0),IFERROR(VLOOKUP($B941,$D:$K,3,0),"")),IFERROR(VLOOKUP($C941,INSUMOS!$A:$D,3,0),IFERROR(VLOOKUP($C941,COTAÇÕES!$B:$I,3,0),(VLOOKUP($C941,'INSUMO SINAPI - SP'!$C:$F,3,0)))))</f>
        <v>H</v>
      </c>
      <c r="G941" s="511">
        <v>0.45</v>
      </c>
      <c r="H941" s="512">
        <f>IF($C941="",IFERROR(VLOOKUP($B941,SERVIÇOS!$B:$G,6,0),IFERROR(VLOOKUP($B941,$D:$K,8,0),"")),IFERROR(VLOOKUP($C941,INSUMOS!$A:$D,4,0),IFERROR(VLOOKUP($C941,COTAÇÕES!$B:$I,7,0),(VLOOKUP($C941,'INSUMO SINAPI - SP'!$C:$F,4,0)))))</f>
        <v>36.17</v>
      </c>
      <c r="I941" s="513">
        <f>TRUNC(IF($C941="",IFERROR(VLOOKUP($B941,SERVIÇOS!$B:$G,4,0),IFERROR(VLOOKUP($B941,$D:$K,6,0),)),IFERROR(VLOOKUP($C941,INSUMOS!$A:$D,4,0),IFERROR(VLOOKUP($C941,COTAÇÕES!$B:$I,7,0),(VLOOKUP($C941,'INSUMO SINAPI - SP'!$C:$F,4,0)))))*$G941,2)</f>
        <v>3.88</v>
      </c>
      <c r="J941" s="513">
        <f>TRUNC(IF($C941="",IFERROR(VLOOKUP($B941,SERVIÇOS!$B:$G,5,0),IFERROR(VLOOKUP($B941,$D:$K,7,0),)),0)*$G941,2)</f>
        <v>12.38</v>
      </c>
      <c r="K941" s="514">
        <f>I941+J941</f>
        <v>16.260000000000002</v>
      </c>
      <c r="L941" s="515"/>
      <c r="M941" s="471"/>
      <c r="N941" s="516"/>
      <c r="Q941" s="472"/>
      <c r="R941" s="472"/>
      <c r="S941" s="472"/>
      <c r="T941" s="472"/>
      <c r="U941" s="472"/>
      <c r="V941" s="472"/>
      <c r="W941" s="472"/>
      <c r="X941" s="472"/>
      <c r="Y941" s="472"/>
    </row>
    <row r="942" spans="1:25" x14ac:dyDescent="0.25">
      <c r="A942" s="463"/>
      <c r="B942" s="506"/>
      <c r="C942" s="507" t="s">
        <v>13113</v>
      </c>
      <c r="D942" s="508"/>
      <c r="E942" s="509" t="str">
        <f>IF($C942="",IFERROR(VLOOKUP($B942,SERVIÇOS!$B:$G,2,0),IFERROR(VLOOKUP($B942,$D:$K,2,0),"")),IFERROR(VLOOKUP($C942,INSUMOS!$A:$D,2,0),IFERROR(VLOOKUP($C942,COTAÇÕES!$B:$I,2,0),(VLOOKUP($C942,'INSUMO SINAPI - SP'!$C:$F,2,0)))))</f>
        <v>PASTA PARA SOLDA DE TUBOS E CONEXOES DE COBRE (EMBALAGEM COM 250 G)</v>
      </c>
      <c r="F942" s="510" t="str">
        <f>IF($C942="",IFERROR(VLOOKUP($B942,SERVIÇOS!$B:$G,3,0),IFERROR(VLOOKUP($B942,$D:$K,3,0),"")),IFERROR(VLOOKUP($C942,INSUMOS!$A:$D,3,0),IFERROR(VLOOKUP($C942,COTAÇÕES!$B:$I,3,0),(VLOOKUP($C942,'INSUMO SINAPI - SP'!$C:$F,3,0)))))</f>
        <v>UN</v>
      </c>
      <c r="G942" s="511">
        <v>5.9999999999999995E-4</v>
      </c>
      <c r="H942" s="512">
        <f>IF($C942="",IFERROR(VLOOKUP($B942,SERVIÇOS!$B:$G,6,0),IFERROR(VLOOKUP($B942,$D:$K,8,0),"")),IFERROR(VLOOKUP($C942,INSUMOS!$A:$D,4,0),IFERROR(VLOOKUP($C942,COTAÇÕES!$B:$I,7,0),(VLOOKUP($C942,'INSUMO SINAPI - SP'!$C:$F,4,0)))))</f>
        <v>56.57</v>
      </c>
      <c r="I942" s="513">
        <f>TRUNC(IF($C942="",IFERROR(VLOOKUP($B942,SERVIÇOS!$B:$G,4,0),IFERROR(VLOOKUP($B942,$D:$K,6,0),)),IFERROR(VLOOKUP($C942,INSUMOS!$A:$D,4,0),IFERROR(VLOOKUP($C942,COTAÇÕES!$B:$I,7,0),(VLOOKUP($C942,'INSUMO SINAPI - SP'!$C:$F,4,0)))))*$G942,2)</f>
        <v>0.03</v>
      </c>
      <c r="J942" s="513"/>
      <c r="K942" s="514">
        <f>I942+J942</f>
        <v>0.03</v>
      </c>
      <c r="L942" s="515" t="s">
        <v>12685</v>
      </c>
      <c r="M942" s="471"/>
      <c r="N942" s="516"/>
      <c r="Q942" s="472"/>
      <c r="R942" s="472"/>
      <c r="S942" s="472"/>
      <c r="T942" s="472"/>
      <c r="U942" s="472"/>
      <c r="V942" s="472"/>
      <c r="W942" s="472"/>
      <c r="X942" s="472"/>
      <c r="Y942" s="472"/>
    </row>
    <row r="943" spans="1:25" x14ac:dyDescent="0.25">
      <c r="A943" s="463"/>
      <c r="B943" s="506"/>
      <c r="C943" s="507">
        <v>13388</v>
      </c>
      <c r="D943" s="508"/>
      <c r="E943" s="509" t="str">
        <f>IF($C943="",IFERROR(VLOOKUP($B943,SERVIÇOS!$B:$G,2,0),IFERROR(VLOOKUP($B943,$D:$K,2,0),"")),IFERROR(VLOOKUP($C943,INSUMOS!$A:$D,2,0),IFERROR(VLOOKUP($C943,COTAÇÕES!$B:$I,2,0),(VLOOKUP($C943,'INSUMO SINAPI - SP'!$C:$F,2,0)))))</f>
        <v>SOLDA EM BARRA DE ESTANHO-CHUMBO 50/50</v>
      </c>
      <c r="F943" s="510" t="str">
        <f>IF($C943="",IFERROR(VLOOKUP($B943,SERVIÇOS!$B:$G,3,0),IFERROR(VLOOKUP($B943,$D:$K,3,0),"")),IFERROR(VLOOKUP($C943,INSUMOS!$A:$D,3,0),IFERROR(VLOOKUP($C943,COTAÇÕES!$B:$I,3,0),(VLOOKUP($C943,'INSUMO SINAPI - SP'!$C:$F,3,0)))))</f>
        <v>KG</v>
      </c>
      <c r="G943" s="511">
        <v>5.0000000000000001E-3</v>
      </c>
      <c r="H943" s="512">
        <f>IF($C943="",IFERROR(VLOOKUP($B943,SERVIÇOS!$B:$G,6,0),IFERROR(VLOOKUP($B943,$D:$K,8,0),"")),IFERROR(VLOOKUP($C943,INSUMOS!$A:$D,4,0),IFERROR(VLOOKUP($C943,COTAÇÕES!$B:$I,7,0),(VLOOKUP($C943,'INSUMO SINAPI - SP'!$C:$F,4,0)))))</f>
        <v>193</v>
      </c>
      <c r="I943" s="513">
        <f>TRUNC(IF($C943="",IFERROR(VLOOKUP($B943,SERVIÇOS!$B:$G,4,0),IFERROR(VLOOKUP($B943,$D:$K,6,0),)),IFERROR(VLOOKUP($C943,INSUMOS!$A:$D,4,0),IFERROR(VLOOKUP($C943,COTAÇÕES!$B:$I,7,0),(VLOOKUP($C943,'INSUMO SINAPI - SP'!$C:$F,4,0)))))*$G943,2)</f>
        <v>0.96</v>
      </c>
      <c r="J943" s="513">
        <f>TRUNC(IF($C943="",IFERROR(VLOOKUP($B943,SERVIÇOS!$B:$G,5,0),IFERROR(VLOOKUP($B943,$D:$K,7,0),)),0)*$G943,2)</f>
        <v>0</v>
      </c>
      <c r="K943" s="514">
        <f>I943+J943</f>
        <v>0.96</v>
      </c>
      <c r="L943" s="517"/>
      <c r="M943" s="471"/>
      <c r="N943" s="516"/>
      <c r="Q943" s="472"/>
      <c r="R943" s="472"/>
      <c r="S943" s="472"/>
      <c r="T943" s="472"/>
      <c r="U943" s="472"/>
      <c r="V943" s="472"/>
      <c r="W943" s="472"/>
      <c r="X943" s="472"/>
      <c r="Y943" s="472"/>
    </row>
    <row r="944" spans="1:25" ht="24" x14ac:dyDescent="0.25">
      <c r="A944" s="463"/>
      <c r="B944" s="506"/>
      <c r="C944" s="507" t="s">
        <v>13118</v>
      </c>
      <c r="D944" s="508"/>
      <c r="E944" s="509" t="str">
        <f>IF($C944="",IFERROR(VLOOKUP($B944,SERVIÇOS!$B:$G,2,0),IFERROR(VLOOKUP($B944,$D:$K,2,0),"")),IFERROR(VLOOKUP($C944,INSUMOS!$A:$D,2,0),IFERROR(VLOOKUP($C944,COTAÇÕES!$B:$I,2,0),(VLOOKUP($C944,'INSUMO SINAPI - SP'!$C:$F,2,0)))))</f>
        <v>TUBO DE COBRE CLASSE "A", DN = 1" (28 MM), PARA INSTALACOES DE MEDIA PRESSAO PARA GASES COMBUSTIVEIS E MEDICINAIS</v>
      </c>
      <c r="F944" s="510" t="str">
        <f>IF($C944="",IFERROR(VLOOKUP($B944,SERVIÇOS!$B:$G,3,0),IFERROR(VLOOKUP($B944,$D:$K,3,0),"")),IFERROR(VLOOKUP($C944,INSUMOS!$A:$D,3,0),IFERROR(VLOOKUP($C944,COTAÇÕES!$B:$I,3,0),(VLOOKUP($C944,'INSUMO SINAPI - SP'!$C:$F,3,0)))))</f>
        <v>M</v>
      </c>
      <c r="G944" s="511">
        <v>1.6</v>
      </c>
      <c r="H944" s="512">
        <f>IF($C944="",IFERROR(VLOOKUP($B944,SERVIÇOS!$B:$G,6,0),IFERROR(VLOOKUP($B944,$D:$K,8,0),"")),IFERROR(VLOOKUP($C944,INSUMOS!$A:$D,4,0),IFERROR(VLOOKUP($C944,COTAÇÕES!$B:$I,7,0),(VLOOKUP($C944,'INSUMO SINAPI - SP'!$C:$F,4,0)))))</f>
        <v>104.02</v>
      </c>
      <c r="I944" s="513">
        <f>TRUNC(IF($C944="",IFERROR(VLOOKUP($B944,SERVIÇOS!$B:$G,4,0),IFERROR(VLOOKUP($B944,$D:$K,6,0),)),IFERROR(VLOOKUP($C944,INSUMOS!$A:$D,4,0),IFERROR(VLOOKUP($C944,COTAÇÕES!$B:$I,7,0),(VLOOKUP($C944,'INSUMO SINAPI - SP'!$C:$F,4,0)))))*$G944,2)</f>
        <v>166.43</v>
      </c>
      <c r="J944" s="513"/>
      <c r="K944" s="514">
        <f>I944+J944</f>
        <v>166.43</v>
      </c>
      <c r="L944" s="515" t="s">
        <v>12685</v>
      </c>
      <c r="M944" s="471"/>
      <c r="N944" s="516"/>
      <c r="Q944" s="472"/>
      <c r="R944" s="472"/>
      <c r="S944" s="472"/>
      <c r="T944" s="472"/>
      <c r="U944" s="472"/>
      <c r="V944" s="472"/>
      <c r="W944" s="472"/>
      <c r="X944" s="472"/>
      <c r="Y944" s="472"/>
    </row>
    <row r="945" spans="1:25" ht="24" x14ac:dyDescent="0.25">
      <c r="A945" s="463"/>
      <c r="B945" s="498"/>
      <c r="C945" s="498"/>
      <c r="D945" s="499" t="s">
        <v>12349</v>
      </c>
      <c r="E945" s="555" t="s">
        <v>13119</v>
      </c>
      <c r="F945" s="501" t="s">
        <v>585</v>
      </c>
      <c r="G945" s="502"/>
      <c r="H945" s="503"/>
      <c r="I945" s="504">
        <f>ROUND(SUM(I946:I948),2)</f>
        <v>2.0299999999999998</v>
      </c>
      <c r="J945" s="504">
        <f>ROUND(SUM(J946:J948),2)</f>
        <v>1.99</v>
      </c>
      <c r="K945" s="504">
        <f>+J945+I945</f>
        <v>4.0199999999999996</v>
      </c>
      <c r="L945" s="523"/>
      <c r="M945" s="471"/>
      <c r="N945" s="505"/>
      <c r="Q945" s="472"/>
      <c r="R945" s="472"/>
      <c r="S945" s="472"/>
      <c r="T945" s="472"/>
      <c r="U945" s="472"/>
      <c r="V945" s="472"/>
      <c r="W945" s="472"/>
      <c r="X945" s="472"/>
      <c r="Y945" s="472"/>
    </row>
    <row r="946" spans="1:25" x14ac:dyDescent="0.25">
      <c r="A946" s="463"/>
      <c r="B946" s="506">
        <v>88310</v>
      </c>
      <c r="C946" s="507"/>
      <c r="D946" s="508"/>
      <c r="E946" s="509" t="str">
        <f>IF($C946="",IFERROR(VLOOKUP($B946,SERVIÇOS!$B:$G,2,0),IFERROR(VLOOKUP($B946,$D:$K,2,0),"")),IFERROR(VLOOKUP($C946,INSUMOS!$A:$D,2,0),IFERROR(VLOOKUP($C946,COTAÇÕES!$B:$I,2,0),(VLOOKUP($C946,'INSUMO SINAPI - SP'!$C:$F,2,0)))))</f>
        <v>PINTOR COM ENCARGOS COMPLEMENTARES</v>
      </c>
      <c r="F946" s="510" t="str">
        <f>IF($C946="",IFERROR(VLOOKUP($B946,SERVIÇOS!$B:$G,3,0),IFERROR(VLOOKUP($B946,$D:$K,3,0),"")),IFERROR(VLOOKUP($C946,INSUMOS!$A:$D,3,0),IFERROR(VLOOKUP($C946,COTAÇÕES!$B:$I,3,0),(VLOOKUP($C946,'INSUMO SINAPI - SP'!$C:$F,3,0)))))</f>
        <v>H</v>
      </c>
      <c r="G946" s="511">
        <f>0.5266*0.022*3.1415*2</f>
        <v>7.278981159999999E-2</v>
      </c>
      <c r="H946" s="512">
        <f>IF($C946="",IFERROR(VLOOKUP($B946,SERVIÇOS!$B:$G,6,0),IFERROR(VLOOKUP($B946,$D:$K,8,0),"")),IFERROR(VLOOKUP($C946,INSUMOS!$A:$D,4,0),IFERROR(VLOOKUP($C946,COTAÇÕES!$B:$I,7,0),(VLOOKUP($C946,'INSUMO SINAPI - SP'!$C:$F,4,0)))))</f>
        <v>38.54</v>
      </c>
      <c r="I946" s="513">
        <f>TRUNC(IF($C946="",IFERROR(VLOOKUP($B946,SERVIÇOS!$B:$G,4,0),IFERROR(VLOOKUP($B946,$D:$K,6,0),)),IFERROR(VLOOKUP($C946,INSUMOS!$A:$D,4,0),IFERROR(VLOOKUP($C946,COTAÇÕES!$B:$I,7,0),(VLOOKUP($C946,'INSUMO SINAPI - SP'!$C:$F,4,0)))))*$G946,2)</f>
        <v>0.8</v>
      </c>
      <c r="J946" s="513">
        <f>TRUNC(IF($C946="",IFERROR(VLOOKUP($B946,SERVIÇOS!$B:$G,5,0),IFERROR(VLOOKUP($B946,$D:$K,7,0),)),0)*$G946,2)</f>
        <v>1.99</v>
      </c>
      <c r="K946" s="514">
        <f>I946+J946</f>
        <v>2.79</v>
      </c>
      <c r="L946" s="515"/>
      <c r="M946" s="471"/>
      <c r="N946" s="516"/>
      <c r="Q946" s="472"/>
      <c r="R946" s="472"/>
      <c r="S946" s="472"/>
      <c r="T946" s="472"/>
      <c r="U946" s="472"/>
      <c r="V946" s="472"/>
      <c r="W946" s="472"/>
      <c r="X946" s="472"/>
      <c r="Y946" s="472"/>
    </row>
    <row r="947" spans="1:25" x14ac:dyDescent="0.25">
      <c r="A947" s="463"/>
      <c r="B947" s="506"/>
      <c r="C947" s="507">
        <v>5318</v>
      </c>
      <c r="D947" s="508"/>
      <c r="E947" s="509" t="str">
        <f>IF($C947="",IFERROR(VLOOKUP($B947,SERVIÇOS!$B:$G,2,0),IFERROR(VLOOKUP($B947,$D:$K,2,0),"")),IFERROR(VLOOKUP($C947,INSUMOS!$A:$D,2,0),IFERROR(VLOOKUP($C947,COTAÇÕES!$B:$I,2,0),(VLOOKUP($C947,'INSUMO SINAPI - SP'!$C:$F,2,0)))))</f>
        <v>DILUENTE AGUARRAS</v>
      </c>
      <c r="F947" s="510" t="str">
        <f>IF($C947="",IFERROR(VLOOKUP($B947,SERVIÇOS!$B:$G,3,0),IFERROR(VLOOKUP($B947,$D:$K,3,0),"")),IFERROR(VLOOKUP($C947,INSUMOS!$A:$D,3,0),IFERROR(VLOOKUP($C947,COTAÇÕES!$B:$I,3,0),(VLOOKUP($C947,'INSUMO SINAPI - SP'!$C:$F,3,0)))))</f>
        <v>L</v>
      </c>
      <c r="G947" s="511">
        <f>0.062*2*0.022*3.1415</f>
        <v>8.5700120000000001E-3</v>
      </c>
      <c r="H947" s="512">
        <f>IF($C947="",IFERROR(VLOOKUP($B947,SERVIÇOS!$B:$G,6,0),IFERROR(VLOOKUP($B947,$D:$K,8,0),"")),IFERROR(VLOOKUP($C947,INSUMOS!$A:$D,4,0),IFERROR(VLOOKUP($C947,COTAÇÕES!$B:$I,7,0),(VLOOKUP($C947,'INSUMO SINAPI - SP'!$C:$F,4,0)))))</f>
        <v>19.399999999999999</v>
      </c>
      <c r="I947" s="513">
        <f>TRUNC(IF($C947="",IFERROR(VLOOKUP($B947,SERVIÇOS!$B:$G,4,0),IFERROR(VLOOKUP($B947,$D:$K,6,0),)),IFERROR(VLOOKUP($C947,INSUMOS!$A:$D,4,0),IFERROR(VLOOKUP($C947,COTAÇÕES!$B:$I,7,0),(VLOOKUP($C947,'INSUMO SINAPI - SP'!$C:$F,4,0)))))*$G947,2)</f>
        <v>0.16</v>
      </c>
      <c r="J947" s="513">
        <f>TRUNC(IF($C947="",IFERROR(VLOOKUP($B947,SERVIÇOS!$B:$G,5,0),IFERROR(VLOOKUP($B947,$D:$K,7,0),)),0)*$G947,2)</f>
        <v>0</v>
      </c>
      <c r="K947" s="514">
        <f>I947+J947</f>
        <v>0.16</v>
      </c>
      <c r="L947" s="517"/>
      <c r="M947" s="471"/>
      <c r="N947" s="516"/>
      <c r="Q947" s="472"/>
      <c r="R947" s="472"/>
      <c r="S947" s="472"/>
      <c r="T947" s="472"/>
      <c r="U947" s="472"/>
      <c r="V947" s="472"/>
      <c r="W947" s="472"/>
      <c r="X947" s="472"/>
      <c r="Y947" s="472"/>
    </row>
    <row r="948" spans="1:25" x14ac:dyDescent="0.25">
      <c r="A948" s="463"/>
      <c r="B948" s="506"/>
      <c r="C948" s="507">
        <v>7292</v>
      </c>
      <c r="D948" s="508"/>
      <c r="E948" s="509" t="str">
        <f>IF($C948="",IFERROR(VLOOKUP($B948,SERVIÇOS!$B:$G,2,0),IFERROR(VLOOKUP($B948,$D:$K,2,0),"")),IFERROR(VLOOKUP($C948,INSUMOS!$A:$D,2,0),IFERROR(VLOOKUP($C948,COTAÇÕES!$B:$I,2,0),(VLOOKUP($C948,'INSUMO SINAPI - SP'!$C:$F,2,0)))))</f>
        <v>TINTA ESMALTE SINTETICO PREMIUM BRILHANTE</v>
      </c>
      <c r="F948" s="510" t="str">
        <f>IF($C948="",IFERROR(VLOOKUP($B948,SERVIÇOS!$B:$G,3,0),IFERROR(VLOOKUP($B948,$D:$K,3,0),"")),IFERROR(VLOOKUP($C948,INSUMOS!$A:$D,3,0),IFERROR(VLOOKUP($C948,COTAÇÕES!$B:$I,3,0),(VLOOKUP($C948,'INSUMO SINAPI - SP'!$C:$F,3,0)))))</f>
        <v>L</v>
      </c>
      <c r="G948" s="511">
        <f>0.2067*2*0.022*3.1415</f>
        <v>2.8571314200000003E-2</v>
      </c>
      <c r="H948" s="512">
        <f>IF($C948="",IFERROR(VLOOKUP($B948,SERVIÇOS!$B:$G,6,0),IFERROR(VLOOKUP($B948,$D:$K,8,0),"")),IFERROR(VLOOKUP($C948,INSUMOS!$A:$D,4,0),IFERROR(VLOOKUP($C948,COTAÇÕES!$B:$I,7,0),(VLOOKUP($C948,'INSUMO SINAPI - SP'!$C:$F,4,0)))))</f>
        <v>37.5</v>
      </c>
      <c r="I948" s="513">
        <f>TRUNC(IF($C948="",IFERROR(VLOOKUP($B948,SERVIÇOS!$B:$G,4,0),IFERROR(VLOOKUP($B948,$D:$K,6,0),)),IFERROR(VLOOKUP($C948,INSUMOS!$A:$D,4,0),IFERROR(VLOOKUP($C948,COTAÇÕES!$B:$I,7,0),(VLOOKUP($C948,'INSUMO SINAPI - SP'!$C:$F,4,0)))))*$G948,2)</f>
        <v>1.07</v>
      </c>
      <c r="J948" s="513">
        <f>TRUNC(IF($C948="",IFERROR(VLOOKUP($B948,SERVIÇOS!$B:$G,5,0),IFERROR(VLOOKUP($B948,$D:$K,7,0),)),0)*$G948,2)</f>
        <v>0</v>
      </c>
      <c r="K948" s="514">
        <f>I948+J948</f>
        <v>1.07</v>
      </c>
      <c r="L948" s="517"/>
      <c r="M948" s="471"/>
      <c r="N948" s="516"/>
      <c r="Q948" s="472"/>
      <c r="R948" s="472"/>
      <c r="S948" s="472"/>
      <c r="T948" s="472"/>
      <c r="U948" s="472"/>
      <c r="V948" s="472"/>
      <c r="W948" s="472"/>
      <c r="X948" s="472"/>
      <c r="Y948" s="472"/>
    </row>
    <row r="949" spans="1:25" ht="24" x14ac:dyDescent="0.25">
      <c r="A949" s="463"/>
      <c r="B949" s="498"/>
      <c r="C949" s="498"/>
      <c r="D949" s="499" t="s">
        <v>12350</v>
      </c>
      <c r="E949" s="555" t="s">
        <v>13120</v>
      </c>
      <c r="F949" s="501" t="s">
        <v>585</v>
      </c>
      <c r="G949" s="502"/>
      <c r="H949" s="503"/>
      <c r="I949" s="504">
        <f>ROUND(SUM(I950:I952),2)</f>
        <v>2.0299999999999998</v>
      </c>
      <c r="J949" s="504">
        <f>ROUND(SUM(J950:J952),2)</f>
        <v>1.99</v>
      </c>
      <c r="K949" s="504">
        <f>+J949+I949</f>
        <v>4.0199999999999996</v>
      </c>
      <c r="L949" s="523"/>
      <c r="M949" s="471"/>
      <c r="N949" s="505"/>
      <c r="Q949" s="472"/>
      <c r="R949" s="472"/>
      <c r="S949" s="472"/>
      <c r="T949" s="472"/>
      <c r="U949" s="472"/>
      <c r="V949" s="472"/>
      <c r="W949" s="472"/>
      <c r="X949" s="472"/>
      <c r="Y949" s="472"/>
    </row>
    <row r="950" spans="1:25" x14ac:dyDescent="0.25">
      <c r="A950" s="463"/>
      <c r="B950" s="506">
        <v>88310</v>
      </c>
      <c r="C950" s="507"/>
      <c r="D950" s="508"/>
      <c r="E950" s="509" t="str">
        <f>IF($C950="",IFERROR(VLOOKUP($B950,SERVIÇOS!$B:$G,2,0),IFERROR(VLOOKUP($B950,$D:$K,2,0),"")),IFERROR(VLOOKUP($C950,INSUMOS!$A:$D,2,0),IFERROR(VLOOKUP($C950,COTAÇÕES!$B:$I,2,0),(VLOOKUP($C950,'INSUMO SINAPI - SP'!$C:$F,2,0)))))</f>
        <v>PINTOR COM ENCARGOS COMPLEMENTARES</v>
      </c>
      <c r="F950" s="510" t="str">
        <f>IF($C950="",IFERROR(VLOOKUP($B950,SERVIÇOS!$B:$G,3,0),IFERROR(VLOOKUP($B950,$D:$K,3,0),"")),IFERROR(VLOOKUP($C950,INSUMOS!$A:$D,3,0),IFERROR(VLOOKUP($C950,COTAÇÕES!$B:$I,3,0),(VLOOKUP($C950,'INSUMO SINAPI - SP'!$C:$F,3,0)))))</f>
        <v>H</v>
      </c>
      <c r="G950" s="511">
        <f>0.5266*0.022*3.1415*2</f>
        <v>7.278981159999999E-2</v>
      </c>
      <c r="H950" s="512">
        <f>IF($C950="",IFERROR(VLOOKUP($B950,SERVIÇOS!$B:$G,6,0),IFERROR(VLOOKUP($B950,$D:$K,8,0),"")),IFERROR(VLOOKUP($C950,INSUMOS!$A:$D,4,0),IFERROR(VLOOKUP($C950,COTAÇÕES!$B:$I,7,0),(VLOOKUP($C950,'INSUMO SINAPI - SP'!$C:$F,4,0)))))</f>
        <v>38.54</v>
      </c>
      <c r="I950" s="513">
        <f>TRUNC(IF($C950="",IFERROR(VLOOKUP($B950,SERVIÇOS!$B:$G,4,0),IFERROR(VLOOKUP($B950,$D:$K,6,0),)),IFERROR(VLOOKUP($C950,INSUMOS!$A:$D,4,0),IFERROR(VLOOKUP($C950,COTAÇÕES!$B:$I,7,0),(VLOOKUP($C950,'INSUMO SINAPI - SP'!$C:$F,4,0)))))*$G950,2)</f>
        <v>0.8</v>
      </c>
      <c r="J950" s="513">
        <f>TRUNC(IF($C950="",IFERROR(VLOOKUP($B950,SERVIÇOS!$B:$G,5,0),IFERROR(VLOOKUP($B950,$D:$K,7,0),)),0)*$G950,2)</f>
        <v>1.99</v>
      </c>
      <c r="K950" s="514">
        <f>I950+J950</f>
        <v>2.79</v>
      </c>
      <c r="L950" s="515"/>
      <c r="M950" s="471"/>
      <c r="N950" s="516"/>
      <c r="Q950" s="472"/>
      <c r="R950" s="472"/>
      <c r="S950" s="472"/>
      <c r="T950" s="472"/>
      <c r="U950" s="472"/>
      <c r="V950" s="472"/>
      <c r="W950" s="472"/>
      <c r="X950" s="472"/>
      <c r="Y950" s="472"/>
    </row>
    <row r="951" spans="1:25" x14ac:dyDescent="0.25">
      <c r="A951" s="463"/>
      <c r="B951" s="506"/>
      <c r="C951" s="507">
        <v>5318</v>
      </c>
      <c r="D951" s="508"/>
      <c r="E951" s="509" t="str">
        <f>IF($C951="",IFERROR(VLOOKUP($B951,SERVIÇOS!$B:$G,2,0),IFERROR(VLOOKUP($B951,$D:$K,2,0),"")),IFERROR(VLOOKUP($C951,INSUMOS!$A:$D,2,0),IFERROR(VLOOKUP($C951,COTAÇÕES!$B:$I,2,0),(VLOOKUP($C951,'INSUMO SINAPI - SP'!$C:$F,2,0)))))</f>
        <v>DILUENTE AGUARRAS</v>
      </c>
      <c r="F951" s="510" t="str">
        <f>IF($C951="",IFERROR(VLOOKUP($B951,SERVIÇOS!$B:$G,3,0),IFERROR(VLOOKUP($B951,$D:$K,3,0),"")),IFERROR(VLOOKUP($C951,INSUMOS!$A:$D,3,0),IFERROR(VLOOKUP($C951,COTAÇÕES!$B:$I,3,0),(VLOOKUP($C951,'INSUMO SINAPI - SP'!$C:$F,3,0)))))</f>
        <v>L</v>
      </c>
      <c r="G951" s="511">
        <f>0.062*2*0.022*3.1415</f>
        <v>8.5700120000000001E-3</v>
      </c>
      <c r="H951" s="512">
        <f>IF($C951="",IFERROR(VLOOKUP($B951,SERVIÇOS!$B:$G,6,0),IFERROR(VLOOKUP($B951,$D:$K,8,0),"")),IFERROR(VLOOKUP($C951,INSUMOS!$A:$D,4,0),IFERROR(VLOOKUP($C951,COTAÇÕES!$B:$I,7,0),(VLOOKUP($C951,'INSUMO SINAPI - SP'!$C:$F,4,0)))))</f>
        <v>19.399999999999999</v>
      </c>
      <c r="I951" s="513">
        <f>TRUNC(IF($C951="",IFERROR(VLOOKUP($B951,SERVIÇOS!$B:$G,4,0),IFERROR(VLOOKUP($B951,$D:$K,6,0),)),IFERROR(VLOOKUP($C951,INSUMOS!$A:$D,4,0),IFERROR(VLOOKUP($C951,COTAÇÕES!$B:$I,7,0),(VLOOKUP($C951,'INSUMO SINAPI - SP'!$C:$F,4,0)))))*$G951,2)</f>
        <v>0.16</v>
      </c>
      <c r="J951" s="513">
        <f>TRUNC(IF($C951="",IFERROR(VLOOKUP($B951,SERVIÇOS!$B:$G,5,0),IFERROR(VLOOKUP($B951,$D:$K,7,0),)),0)*$G951,2)</f>
        <v>0</v>
      </c>
      <c r="K951" s="514">
        <f>I951+J951</f>
        <v>0.16</v>
      </c>
      <c r="L951" s="517"/>
      <c r="M951" s="471"/>
      <c r="N951" s="516"/>
      <c r="Q951" s="472"/>
      <c r="R951" s="472"/>
      <c r="S951" s="472"/>
      <c r="T951" s="472"/>
      <c r="U951" s="472"/>
      <c r="V951" s="472"/>
      <c r="W951" s="472"/>
      <c r="X951" s="472"/>
      <c r="Y951" s="472"/>
    </row>
    <row r="952" spans="1:25" x14ac:dyDescent="0.25">
      <c r="A952" s="463"/>
      <c r="B952" s="506"/>
      <c r="C952" s="507">
        <v>7292</v>
      </c>
      <c r="D952" s="508"/>
      <c r="E952" s="509" t="str">
        <f>IF($C952="",IFERROR(VLOOKUP($B952,SERVIÇOS!$B:$G,2,0),IFERROR(VLOOKUP($B952,$D:$K,2,0),"")),IFERROR(VLOOKUP($C952,INSUMOS!$A:$D,2,0),IFERROR(VLOOKUP($C952,COTAÇÕES!$B:$I,2,0),(VLOOKUP($C952,'INSUMO SINAPI - SP'!$C:$F,2,0)))))</f>
        <v>TINTA ESMALTE SINTETICO PREMIUM BRILHANTE</v>
      </c>
      <c r="F952" s="510" t="str">
        <f>IF($C952="",IFERROR(VLOOKUP($B952,SERVIÇOS!$B:$G,3,0),IFERROR(VLOOKUP($B952,$D:$K,3,0),"")),IFERROR(VLOOKUP($C952,INSUMOS!$A:$D,3,0),IFERROR(VLOOKUP($C952,COTAÇÕES!$B:$I,3,0),(VLOOKUP($C952,'INSUMO SINAPI - SP'!$C:$F,3,0)))))</f>
        <v>L</v>
      </c>
      <c r="G952" s="511">
        <f>0.2067*2*0.022*3.1415</f>
        <v>2.8571314200000003E-2</v>
      </c>
      <c r="H952" s="512">
        <f>IF($C952="",IFERROR(VLOOKUP($B952,SERVIÇOS!$B:$G,6,0),IFERROR(VLOOKUP($B952,$D:$K,8,0),"")),IFERROR(VLOOKUP($C952,INSUMOS!$A:$D,4,0),IFERROR(VLOOKUP($C952,COTAÇÕES!$B:$I,7,0),(VLOOKUP($C952,'INSUMO SINAPI - SP'!$C:$F,4,0)))))</f>
        <v>37.5</v>
      </c>
      <c r="I952" s="513">
        <f>TRUNC(IF($C952="",IFERROR(VLOOKUP($B952,SERVIÇOS!$B:$G,4,0),IFERROR(VLOOKUP($B952,$D:$K,6,0),)),IFERROR(VLOOKUP($C952,INSUMOS!$A:$D,4,0),IFERROR(VLOOKUP($C952,COTAÇÕES!$B:$I,7,0),(VLOOKUP($C952,'INSUMO SINAPI - SP'!$C:$F,4,0)))))*$G952,2)</f>
        <v>1.07</v>
      </c>
      <c r="J952" s="513">
        <f>TRUNC(IF($C952="",IFERROR(VLOOKUP($B952,SERVIÇOS!$B:$G,5,0),IFERROR(VLOOKUP($B952,$D:$K,7,0),)),0)*$G952,2)</f>
        <v>0</v>
      </c>
      <c r="K952" s="514">
        <f>I952+J952</f>
        <v>1.07</v>
      </c>
      <c r="L952" s="517"/>
      <c r="M952" s="471"/>
      <c r="N952" s="516"/>
      <c r="Q952" s="472"/>
      <c r="R952" s="472"/>
      <c r="S952" s="472"/>
      <c r="T952" s="472"/>
      <c r="U952" s="472"/>
      <c r="V952" s="472"/>
      <c r="W952" s="472"/>
      <c r="X952" s="472"/>
      <c r="Y952" s="472"/>
    </row>
    <row r="953" spans="1:25" x14ac:dyDescent="0.25">
      <c r="A953" s="463"/>
      <c r="B953" s="498"/>
      <c r="C953" s="498"/>
      <c r="D953" s="499" t="s">
        <v>12351</v>
      </c>
      <c r="E953" s="555" t="s">
        <v>13121</v>
      </c>
      <c r="F953" s="501" t="s">
        <v>585</v>
      </c>
      <c r="G953" s="502"/>
      <c r="H953" s="503"/>
      <c r="I953" s="504">
        <f>ROUND(SUM(I954:I956),2)</f>
        <v>2.0299999999999998</v>
      </c>
      <c r="J953" s="504">
        <f>ROUND(SUM(J954:J956),2)</f>
        <v>1.99</v>
      </c>
      <c r="K953" s="504">
        <f>+J953+I953</f>
        <v>4.0199999999999996</v>
      </c>
      <c r="L953" s="523"/>
      <c r="M953" s="471"/>
      <c r="N953" s="505"/>
      <c r="Q953" s="472"/>
      <c r="R953" s="472"/>
      <c r="S953" s="472"/>
      <c r="T953" s="472"/>
      <c r="U953" s="472"/>
      <c r="V953" s="472"/>
      <c r="W953" s="472"/>
      <c r="X953" s="472"/>
      <c r="Y953" s="472"/>
    </row>
    <row r="954" spans="1:25" x14ac:dyDescent="0.25">
      <c r="A954" s="463"/>
      <c r="B954" s="506">
        <v>88310</v>
      </c>
      <c r="C954" s="507"/>
      <c r="D954" s="508"/>
      <c r="E954" s="509" t="str">
        <f>IF($C954="",IFERROR(VLOOKUP($B954,SERVIÇOS!$B:$G,2,0),IFERROR(VLOOKUP($B954,$D:$K,2,0),"")),IFERROR(VLOOKUP($C954,INSUMOS!$A:$D,2,0),IFERROR(VLOOKUP($C954,COTAÇÕES!$B:$I,2,0),(VLOOKUP($C954,'INSUMO SINAPI - SP'!$C:$F,2,0)))))</f>
        <v>PINTOR COM ENCARGOS COMPLEMENTARES</v>
      </c>
      <c r="F954" s="510" t="str">
        <f>IF($C954="",IFERROR(VLOOKUP($B954,SERVIÇOS!$B:$G,3,0),IFERROR(VLOOKUP($B954,$D:$K,3,0),"")),IFERROR(VLOOKUP($C954,INSUMOS!$A:$D,3,0),IFERROR(VLOOKUP($C954,COTAÇÕES!$B:$I,3,0),(VLOOKUP($C954,'INSUMO SINAPI - SP'!$C:$F,3,0)))))</f>
        <v>H</v>
      </c>
      <c r="G954" s="511">
        <f>0.5266*0.022*3.1415*2</f>
        <v>7.278981159999999E-2</v>
      </c>
      <c r="H954" s="512">
        <f>IF($C954="",IFERROR(VLOOKUP($B954,SERVIÇOS!$B:$G,6,0),IFERROR(VLOOKUP($B954,$D:$K,8,0),"")),IFERROR(VLOOKUP($C954,INSUMOS!$A:$D,4,0),IFERROR(VLOOKUP($C954,COTAÇÕES!$B:$I,7,0),(VLOOKUP($C954,'INSUMO SINAPI - SP'!$C:$F,4,0)))))</f>
        <v>38.54</v>
      </c>
      <c r="I954" s="513">
        <f>TRUNC(IF($C954="",IFERROR(VLOOKUP($B954,SERVIÇOS!$B:$G,4,0),IFERROR(VLOOKUP($B954,$D:$K,6,0),)),IFERROR(VLOOKUP($C954,INSUMOS!$A:$D,4,0),IFERROR(VLOOKUP($C954,COTAÇÕES!$B:$I,7,0),(VLOOKUP($C954,'INSUMO SINAPI - SP'!$C:$F,4,0)))))*$G954,2)</f>
        <v>0.8</v>
      </c>
      <c r="J954" s="513">
        <f>TRUNC(IF($C954="",IFERROR(VLOOKUP($B954,SERVIÇOS!$B:$G,5,0),IFERROR(VLOOKUP($B954,$D:$K,7,0),)),0)*$G954,2)</f>
        <v>1.99</v>
      </c>
      <c r="K954" s="514">
        <f>I954+J954</f>
        <v>2.79</v>
      </c>
      <c r="L954" s="515"/>
      <c r="M954" s="471"/>
      <c r="N954" s="516"/>
      <c r="Q954" s="472"/>
      <c r="R954" s="472"/>
      <c r="S954" s="472"/>
      <c r="T954" s="472"/>
      <c r="U954" s="472"/>
      <c r="V954" s="472"/>
      <c r="W954" s="472"/>
      <c r="X954" s="472"/>
      <c r="Y954" s="472"/>
    </row>
    <row r="955" spans="1:25" x14ac:dyDescent="0.25">
      <c r="A955" s="463"/>
      <c r="B955" s="506"/>
      <c r="C955" s="507">
        <v>5318</v>
      </c>
      <c r="D955" s="508"/>
      <c r="E955" s="509" t="str">
        <f>IF($C955="",IFERROR(VLOOKUP($B955,SERVIÇOS!$B:$G,2,0),IFERROR(VLOOKUP($B955,$D:$K,2,0),"")),IFERROR(VLOOKUP($C955,INSUMOS!$A:$D,2,0),IFERROR(VLOOKUP($C955,COTAÇÕES!$B:$I,2,0),(VLOOKUP($C955,'INSUMO SINAPI - SP'!$C:$F,2,0)))))</f>
        <v>DILUENTE AGUARRAS</v>
      </c>
      <c r="F955" s="510" t="str">
        <f>IF($C955="",IFERROR(VLOOKUP($B955,SERVIÇOS!$B:$G,3,0),IFERROR(VLOOKUP($B955,$D:$K,3,0),"")),IFERROR(VLOOKUP($C955,INSUMOS!$A:$D,3,0),IFERROR(VLOOKUP($C955,COTAÇÕES!$B:$I,3,0),(VLOOKUP($C955,'INSUMO SINAPI - SP'!$C:$F,3,0)))))</f>
        <v>L</v>
      </c>
      <c r="G955" s="511">
        <f>0.062*2*0.022*3.1415</f>
        <v>8.5700120000000001E-3</v>
      </c>
      <c r="H955" s="512">
        <f>IF($C955="",IFERROR(VLOOKUP($B955,SERVIÇOS!$B:$G,6,0),IFERROR(VLOOKUP($B955,$D:$K,8,0),"")),IFERROR(VLOOKUP($C955,INSUMOS!$A:$D,4,0),IFERROR(VLOOKUP($C955,COTAÇÕES!$B:$I,7,0),(VLOOKUP($C955,'INSUMO SINAPI - SP'!$C:$F,4,0)))))</f>
        <v>19.399999999999999</v>
      </c>
      <c r="I955" s="513">
        <f>TRUNC(IF($C955="",IFERROR(VLOOKUP($B955,SERVIÇOS!$B:$G,4,0),IFERROR(VLOOKUP($B955,$D:$K,6,0),)),IFERROR(VLOOKUP($C955,INSUMOS!$A:$D,4,0),IFERROR(VLOOKUP($C955,COTAÇÕES!$B:$I,7,0),(VLOOKUP($C955,'INSUMO SINAPI - SP'!$C:$F,4,0)))))*$G955,2)</f>
        <v>0.16</v>
      </c>
      <c r="J955" s="513">
        <f>TRUNC(IF($C955="",IFERROR(VLOOKUP($B955,SERVIÇOS!$B:$G,5,0),IFERROR(VLOOKUP($B955,$D:$K,7,0),)),0)*$G955,2)</f>
        <v>0</v>
      </c>
      <c r="K955" s="514">
        <f>I955+J955</f>
        <v>0.16</v>
      </c>
      <c r="L955" s="517"/>
      <c r="M955" s="471"/>
      <c r="N955" s="516"/>
      <c r="Q955" s="472"/>
      <c r="R955" s="472"/>
      <c r="S955" s="472"/>
      <c r="T955" s="472"/>
      <c r="U955" s="472"/>
      <c r="V955" s="472"/>
      <c r="W955" s="472"/>
      <c r="X955" s="472"/>
      <c r="Y955" s="472"/>
    </row>
    <row r="956" spans="1:25" x14ac:dyDescent="0.25">
      <c r="A956" s="463"/>
      <c r="B956" s="506"/>
      <c r="C956" s="507">
        <v>7292</v>
      </c>
      <c r="D956" s="508"/>
      <c r="E956" s="509" t="str">
        <f>IF($C956="",IFERROR(VLOOKUP($B956,SERVIÇOS!$B:$G,2,0),IFERROR(VLOOKUP($B956,$D:$K,2,0),"")),IFERROR(VLOOKUP($C956,INSUMOS!$A:$D,2,0),IFERROR(VLOOKUP($C956,COTAÇÕES!$B:$I,2,0),(VLOOKUP($C956,'INSUMO SINAPI - SP'!$C:$F,2,0)))))</f>
        <v>TINTA ESMALTE SINTETICO PREMIUM BRILHANTE</v>
      </c>
      <c r="F956" s="510" t="str">
        <f>IF($C956="",IFERROR(VLOOKUP($B956,SERVIÇOS!$B:$G,3,0),IFERROR(VLOOKUP($B956,$D:$K,3,0),"")),IFERROR(VLOOKUP($C956,INSUMOS!$A:$D,3,0),IFERROR(VLOOKUP($C956,COTAÇÕES!$B:$I,3,0),(VLOOKUP($C956,'INSUMO SINAPI - SP'!$C:$F,3,0)))))</f>
        <v>L</v>
      </c>
      <c r="G956" s="511">
        <f>0.2067*2*0.022*3.1415</f>
        <v>2.8571314200000003E-2</v>
      </c>
      <c r="H956" s="512">
        <f>IF($C956="",IFERROR(VLOOKUP($B956,SERVIÇOS!$B:$G,6,0),IFERROR(VLOOKUP($B956,$D:$K,8,0),"")),IFERROR(VLOOKUP($C956,INSUMOS!$A:$D,4,0),IFERROR(VLOOKUP($C956,COTAÇÕES!$B:$I,7,0),(VLOOKUP($C956,'INSUMO SINAPI - SP'!$C:$F,4,0)))))</f>
        <v>37.5</v>
      </c>
      <c r="I956" s="513">
        <f>TRUNC(IF($C956="",IFERROR(VLOOKUP($B956,SERVIÇOS!$B:$G,4,0),IFERROR(VLOOKUP($B956,$D:$K,6,0),)),IFERROR(VLOOKUP($C956,INSUMOS!$A:$D,4,0),IFERROR(VLOOKUP($C956,COTAÇÕES!$B:$I,7,0),(VLOOKUP($C956,'INSUMO SINAPI - SP'!$C:$F,4,0)))))*$G956,2)</f>
        <v>1.07</v>
      </c>
      <c r="J956" s="513">
        <f>TRUNC(IF($C956="",IFERROR(VLOOKUP($B956,SERVIÇOS!$B:$G,5,0),IFERROR(VLOOKUP($B956,$D:$K,7,0),)),0)*$G956,2)</f>
        <v>0</v>
      </c>
      <c r="K956" s="514">
        <f>I956+J956</f>
        <v>1.07</v>
      </c>
      <c r="L956" s="517"/>
      <c r="M956" s="471"/>
      <c r="N956" s="516"/>
      <c r="Q956" s="472"/>
      <c r="R956" s="472"/>
      <c r="S956" s="472"/>
      <c r="T956" s="472"/>
      <c r="U956" s="472"/>
      <c r="V956" s="472"/>
      <c r="W956" s="472"/>
      <c r="X956" s="472"/>
      <c r="Y956" s="472"/>
    </row>
    <row r="957" spans="1:25" ht="24" x14ac:dyDescent="0.25">
      <c r="A957" s="463"/>
      <c r="B957" s="498"/>
      <c r="C957" s="498"/>
      <c r="D957" s="499" t="s">
        <v>12352</v>
      </c>
      <c r="E957" s="555" t="s">
        <v>13122</v>
      </c>
      <c r="F957" s="501" t="s">
        <v>585</v>
      </c>
      <c r="G957" s="502"/>
      <c r="H957" s="503"/>
      <c r="I957" s="504">
        <f>ROUND(SUM(I958:I960),2)</f>
        <v>2.0299999999999998</v>
      </c>
      <c r="J957" s="504">
        <f>ROUND(SUM(J958:J960),2)</f>
        <v>1.99</v>
      </c>
      <c r="K957" s="504">
        <f>+J957+I957</f>
        <v>4.0199999999999996</v>
      </c>
      <c r="L957" s="523"/>
      <c r="M957" s="471"/>
      <c r="N957" s="505"/>
      <c r="Q957" s="472"/>
      <c r="R957" s="472"/>
      <c r="S957" s="472"/>
      <c r="T957" s="472"/>
      <c r="U957" s="472"/>
      <c r="V957" s="472"/>
      <c r="W957" s="472"/>
      <c r="X957" s="472"/>
      <c r="Y957" s="472"/>
    </row>
    <row r="958" spans="1:25" x14ac:dyDescent="0.25">
      <c r="A958" s="463"/>
      <c r="B958" s="506">
        <v>88310</v>
      </c>
      <c r="C958" s="507"/>
      <c r="D958" s="508"/>
      <c r="E958" s="509" t="str">
        <f>IF($C958="",IFERROR(VLOOKUP($B958,SERVIÇOS!$B:$G,2,0),IFERROR(VLOOKUP($B958,$D:$K,2,0),"")),IFERROR(VLOOKUP($C958,INSUMOS!$A:$D,2,0),IFERROR(VLOOKUP($C958,COTAÇÕES!$B:$I,2,0),(VLOOKUP($C958,'INSUMO SINAPI - SP'!$C:$F,2,0)))))</f>
        <v>PINTOR COM ENCARGOS COMPLEMENTARES</v>
      </c>
      <c r="F958" s="510" t="str">
        <f>IF($C958="",IFERROR(VLOOKUP($B958,SERVIÇOS!$B:$G,3,0),IFERROR(VLOOKUP($B958,$D:$K,3,0),"")),IFERROR(VLOOKUP($C958,INSUMOS!$A:$D,3,0),IFERROR(VLOOKUP($C958,COTAÇÕES!$B:$I,3,0),(VLOOKUP($C958,'INSUMO SINAPI - SP'!$C:$F,3,0)))))</f>
        <v>H</v>
      </c>
      <c r="G958" s="511">
        <f>0.5266*0.022*3.1415*2</f>
        <v>7.278981159999999E-2</v>
      </c>
      <c r="H958" s="512">
        <f>IF($C958="",IFERROR(VLOOKUP($B958,SERVIÇOS!$B:$G,6,0),IFERROR(VLOOKUP($B958,$D:$K,8,0),"")),IFERROR(VLOOKUP($C958,INSUMOS!$A:$D,4,0),IFERROR(VLOOKUP($C958,COTAÇÕES!$B:$I,7,0),(VLOOKUP($C958,'INSUMO SINAPI - SP'!$C:$F,4,0)))))</f>
        <v>38.54</v>
      </c>
      <c r="I958" s="513">
        <f>TRUNC(IF($C958="",IFERROR(VLOOKUP($B958,SERVIÇOS!$B:$G,4,0),IFERROR(VLOOKUP($B958,$D:$K,6,0),)),IFERROR(VLOOKUP($C958,INSUMOS!$A:$D,4,0),IFERROR(VLOOKUP($C958,COTAÇÕES!$B:$I,7,0),(VLOOKUP($C958,'INSUMO SINAPI - SP'!$C:$F,4,0)))))*$G958,2)</f>
        <v>0.8</v>
      </c>
      <c r="J958" s="513">
        <f>TRUNC(IF($C958="",IFERROR(VLOOKUP($B958,SERVIÇOS!$B:$G,5,0),IFERROR(VLOOKUP($B958,$D:$K,7,0),)),0)*$G958,2)</f>
        <v>1.99</v>
      </c>
      <c r="K958" s="514">
        <f>I958+J958</f>
        <v>2.79</v>
      </c>
      <c r="L958" s="515"/>
      <c r="M958" s="471"/>
      <c r="N958" s="516"/>
      <c r="Q958" s="472"/>
      <c r="R958" s="472"/>
      <c r="S958" s="472"/>
      <c r="T958" s="472"/>
      <c r="U958" s="472"/>
      <c r="V958" s="472"/>
      <c r="W958" s="472"/>
      <c r="X958" s="472"/>
      <c r="Y958" s="472"/>
    </row>
    <row r="959" spans="1:25" x14ac:dyDescent="0.25">
      <c r="A959" s="463"/>
      <c r="B959" s="506"/>
      <c r="C959" s="507">
        <v>5318</v>
      </c>
      <c r="D959" s="508"/>
      <c r="E959" s="509" t="str">
        <f>IF($C959="",IFERROR(VLOOKUP($B959,SERVIÇOS!$B:$G,2,0),IFERROR(VLOOKUP($B959,$D:$K,2,0),"")),IFERROR(VLOOKUP($C959,INSUMOS!$A:$D,2,0),IFERROR(VLOOKUP($C959,COTAÇÕES!$B:$I,2,0),(VLOOKUP($C959,'INSUMO SINAPI - SP'!$C:$F,2,0)))))</f>
        <v>DILUENTE AGUARRAS</v>
      </c>
      <c r="F959" s="510" t="str">
        <f>IF($C959="",IFERROR(VLOOKUP($B959,SERVIÇOS!$B:$G,3,0),IFERROR(VLOOKUP($B959,$D:$K,3,0),"")),IFERROR(VLOOKUP($C959,INSUMOS!$A:$D,3,0),IFERROR(VLOOKUP($C959,COTAÇÕES!$B:$I,3,0),(VLOOKUP($C959,'INSUMO SINAPI - SP'!$C:$F,3,0)))))</f>
        <v>L</v>
      </c>
      <c r="G959" s="511">
        <f>0.062*2*0.022*3.1415</f>
        <v>8.5700120000000001E-3</v>
      </c>
      <c r="H959" s="512">
        <f>IF($C959="",IFERROR(VLOOKUP($B959,SERVIÇOS!$B:$G,6,0),IFERROR(VLOOKUP($B959,$D:$K,8,0),"")),IFERROR(VLOOKUP($C959,INSUMOS!$A:$D,4,0),IFERROR(VLOOKUP($C959,COTAÇÕES!$B:$I,7,0),(VLOOKUP($C959,'INSUMO SINAPI - SP'!$C:$F,4,0)))))</f>
        <v>19.399999999999999</v>
      </c>
      <c r="I959" s="513">
        <f>TRUNC(IF($C959="",IFERROR(VLOOKUP($B959,SERVIÇOS!$B:$G,4,0),IFERROR(VLOOKUP($B959,$D:$K,6,0),)),IFERROR(VLOOKUP($C959,INSUMOS!$A:$D,4,0),IFERROR(VLOOKUP($C959,COTAÇÕES!$B:$I,7,0),(VLOOKUP($C959,'INSUMO SINAPI - SP'!$C:$F,4,0)))))*$G959,2)</f>
        <v>0.16</v>
      </c>
      <c r="J959" s="513">
        <f>TRUNC(IF($C959="",IFERROR(VLOOKUP($B959,SERVIÇOS!$B:$G,5,0),IFERROR(VLOOKUP($B959,$D:$K,7,0),)),0)*$G959,2)</f>
        <v>0</v>
      </c>
      <c r="K959" s="514">
        <f>I959+J959</f>
        <v>0.16</v>
      </c>
      <c r="L959" s="517"/>
      <c r="M959" s="471"/>
      <c r="N959" s="516"/>
      <c r="Q959" s="472"/>
      <c r="R959" s="472"/>
      <c r="S959" s="472"/>
      <c r="T959" s="472"/>
      <c r="U959" s="472"/>
      <c r="V959" s="472"/>
      <c r="W959" s="472"/>
      <c r="X959" s="472"/>
      <c r="Y959" s="472"/>
    </row>
    <row r="960" spans="1:25" x14ac:dyDescent="0.25">
      <c r="A960" s="463"/>
      <c r="B960" s="506"/>
      <c r="C960" s="507">
        <v>7292</v>
      </c>
      <c r="D960" s="508"/>
      <c r="E960" s="509" t="str">
        <f>IF($C960="",IFERROR(VLOOKUP($B960,SERVIÇOS!$B:$G,2,0),IFERROR(VLOOKUP($B960,$D:$K,2,0),"")),IFERROR(VLOOKUP($C960,INSUMOS!$A:$D,2,0),IFERROR(VLOOKUP($C960,COTAÇÕES!$B:$I,2,0),(VLOOKUP($C960,'INSUMO SINAPI - SP'!$C:$F,2,0)))))</f>
        <v>TINTA ESMALTE SINTETICO PREMIUM BRILHANTE</v>
      </c>
      <c r="F960" s="510" t="str">
        <f>IF($C960="",IFERROR(VLOOKUP($B960,SERVIÇOS!$B:$G,3,0),IFERROR(VLOOKUP($B960,$D:$K,3,0),"")),IFERROR(VLOOKUP($C960,INSUMOS!$A:$D,3,0),IFERROR(VLOOKUP($C960,COTAÇÕES!$B:$I,3,0),(VLOOKUP($C960,'INSUMO SINAPI - SP'!$C:$F,3,0)))))</f>
        <v>L</v>
      </c>
      <c r="G960" s="511">
        <f>0.2067*2*0.022*3.1415</f>
        <v>2.8571314200000003E-2</v>
      </c>
      <c r="H960" s="512">
        <f>IF($C960="",IFERROR(VLOOKUP($B960,SERVIÇOS!$B:$G,6,0),IFERROR(VLOOKUP($B960,$D:$K,8,0),"")),IFERROR(VLOOKUP($C960,INSUMOS!$A:$D,4,0),IFERROR(VLOOKUP($C960,COTAÇÕES!$B:$I,7,0),(VLOOKUP($C960,'INSUMO SINAPI - SP'!$C:$F,4,0)))))</f>
        <v>37.5</v>
      </c>
      <c r="I960" s="513">
        <f>TRUNC(IF($C960="",IFERROR(VLOOKUP($B960,SERVIÇOS!$B:$G,4,0),IFERROR(VLOOKUP($B960,$D:$K,6,0),)),IFERROR(VLOOKUP($C960,INSUMOS!$A:$D,4,0),IFERROR(VLOOKUP($C960,COTAÇÕES!$B:$I,7,0),(VLOOKUP($C960,'INSUMO SINAPI - SP'!$C:$F,4,0)))))*$G960,2)</f>
        <v>1.07</v>
      </c>
      <c r="J960" s="513">
        <f>TRUNC(IF($C960="",IFERROR(VLOOKUP($B960,SERVIÇOS!$B:$G,5,0),IFERROR(VLOOKUP($B960,$D:$K,7,0),)),0)*$G960,2)</f>
        <v>0</v>
      </c>
      <c r="K960" s="514">
        <f>I960+J960</f>
        <v>1.07</v>
      </c>
      <c r="L960" s="517"/>
      <c r="M960" s="471"/>
      <c r="N960" s="516"/>
      <c r="Q960" s="472"/>
      <c r="R960" s="472"/>
      <c r="S960" s="472"/>
      <c r="T960" s="472"/>
      <c r="U960" s="472"/>
      <c r="V960" s="472"/>
      <c r="W960" s="472"/>
      <c r="X960" s="472"/>
      <c r="Y960" s="472"/>
    </row>
    <row r="961" spans="1:25" x14ac:dyDescent="0.25">
      <c r="A961" s="463"/>
      <c r="B961" s="498"/>
      <c r="C961" s="498"/>
      <c r="D961" s="499" t="s">
        <v>12355</v>
      </c>
      <c r="E961" s="555" t="s">
        <v>13123</v>
      </c>
      <c r="F961" s="501" t="s">
        <v>585</v>
      </c>
      <c r="G961" s="502"/>
      <c r="H961" s="503"/>
      <c r="I961" s="504">
        <f>ROUND(SUM(I962:I966),2)</f>
        <v>128.72999999999999</v>
      </c>
      <c r="J961" s="504">
        <f>ROUND(SUM(J962:J966),2)</f>
        <v>138.62</v>
      </c>
      <c r="K961" s="504">
        <f>+J961+I961</f>
        <v>267.35000000000002</v>
      </c>
      <c r="L961" s="523"/>
      <c r="M961" s="471"/>
      <c r="N961" s="505"/>
      <c r="Q961" s="472"/>
      <c r="R961" s="472"/>
      <c r="S961" s="472"/>
      <c r="T961" s="472"/>
      <c r="U961" s="472"/>
      <c r="V961" s="472"/>
      <c r="W961" s="472"/>
      <c r="X961" s="472"/>
      <c r="Y961" s="472"/>
    </row>
    <row r="962" spans="1:25" x14ac:dyDescent="0.25">
      <c r="A962" s="463"/>
      <c r="B962" s="506">
        <v>93358</v>
      </c>
      <c r="C962" s="507"/>
      <c r="D962" s="508"/>
      <c r="E962" s="509" t="str">
        <f>IF($C962="",IFERROR(VLOOKUP($B962,SERVIÇOS!$B:$G,2,0),IFERROR(VLOOKUP($B962,$D:$K,2,0),"")),IFERROR(VLOOKUP($C962,INSUMOS!$A:$D,2,0),IFERROR(VLOOKUP($C962,COTAÇÕES!$B:$I,2,0),(VLOOKUP($C962,'INSUMO SINAPI - SP'!$C:$F,2,0)))))</f>
        <v>ESCAVAÇÃO MANUAL DE VALA. AF_09/2024</v>
      </c>
      <c r="F962" s="510" t="str">
        <f>IF($C962="",IFERROR(VLOOKUP($B962,SERVIÇOS!$B:$G,3,0),IFERROR(VLOOKUP($B962,$D:$K,3,0),"")),IFERROR(VLOOKUP($C962,INSUMOS!$A:$D,3,0),IFERROR(VLOOKUP($C962,COTAÇÕES!$B:$I,3,0),(VLOOKUP($C962,'INSUMO SINAPI - SP'!$C:$F,3,0)))))</f>
        <v>M3</v>
      </c>
      <c r="G962" s="511">
        <v>0.26800000000000002</v>
      </c>
      <c r="H962" s="512">
        <f>IF($C962="",IFERROR(VLOOKUP($B962,SERVIÇOS!$B:$G,6,0),IFERROR(VLOOKUP($B962,$D:$K,8,0),"")),IFERROR(VLOOKUP($C962,INSUMOS!$A:$D,4,0),IFERROR(VLOOKUP($C962,COTAÇÕES!$B:$I,7,0),(VLOOKUP($C962,'INSUMO SINAPI - SP'!$C:$F,4,0)))))</f>
        <v>113.57</v>
      </c>
      <c r="I962" s="513">
        <f>TRUNC(IF($C962="",IFERROR(VLOOKUP($B962,SERVIÇOS!$B:$G,4,0),IFERROR(VLOOKUP($B962,$D:$K,6,0),)),IFERROR(VLOOKUP($C962,INSUMOS!$A:$D,4,0),IFERROR(VLOOKUP($C962,COTAÇÕES!$B:$I,7,0),(VLOOKUP($C962,'INSUMO SINAPI - SP'!$C:$F,4,0)))))*$G962,2)</f>
        <v>9.74</v>
      </c>
      <c r="J962" s="513">
        <f>TRUNC(IF($C962="",IFERROR(VLOOKUP($B962,SERVIÇOS!$B:$G,5,0),IFERROR(VLOOKUP($B962,$D:$K,7,0),)),0)*$G962,2)</f>
        <v>20.68</v>
      </c>
      <c r="K962" s="514">
        <f>I962+J962</f>
        <v>30.42</v>
      </c>
      <c r="L962" s="515"/>
      <c r="M962" s="471"/>
      <c r="N962" s="516"/>
      <c r="Q962" s="472"/>
      <c r="R962" s="472"/>
      <c r="S962" s="472"/>
      <c r="T962" s="472"/>
      <c r="U962" s="472"/>
      <c r="V962" s="472"/>
      <c r="W962" s="472"/>
      <c r="X962" s="472"/>
      <c r="Y962" s="472"/>
    </row>
    <row r="963" spans="1:25" x14ac:dyDescent="0.25">
      <c r="A963" s="463"/>
      <c r="B963" s="506">
        <v>96620</v>
      </c>
      <c r="C963" s="507"/>
      <c r="D963" s="508"/>
      <c r="E963" s="509" t="str">
        <f>IF($C963="",IFERROR(VLOOKUP($B963,SERVIÇOS!$B:$G,2,0),IFERROR(VLOOKUP($B963,$D:$K,2,0),"")),IFERROR(VLOOKUP($C963,INSUMOS!$A:$D,2,0),IFERROR(VLOOKUP($C963,COTAÇÕES!$B:$I,2,0),(VLOOKUP($C963,'INSUMO SINAPI - SP'!$C:$F,2,0)))))</f>
        <v>LASTRO DE CONCRETO MAGRO, APLICADO EM PISOS, LAJES SOBRE SOLO OU RADIERS. AF_01/2024</v>
      </c>
      <c r="F963" s="510" t="str">
        <f>IF($C963="",IFERROR(VLOOKUP($B963,SERVIÇOS!$B:$G,3,0),IFERROR(VLOOKUP($B963,$D:$K,3,0),"")),IFERROR(VLOOKUP($C963,INSUMOS!$A:$D,3,0),IFERROR(VLOOKUP($C963,COTAÇÕES!$B:$I,3,0),(VLOOKUP($C963,'INSUMO SINAPI - SP'!$C:$F,3,0)))))</f>
        <v>M3</v>
      </c>
      <c r="G963" s="511">
        <v>0.01</v>
      </c>
      <c r="H963" s="512">
        <f>IF($C963="",IFERROR(VLOOKUP($B963,SERVIÇOS!$B:$G,6,0),IFERROR(VLOOKUP($B963,$D:$K,8,0),"")),IFERROR(VLOOKUP($C963,INSUMOS!$A:$D,4,0),IFERROR(VLOOKUP($C963,COTAÇÕES!$B:$I,7,0),(VLOOKUP($C963,'INSUMO SINAPI - SP'!$C:$F,4,0)))))</f>
        <v>778.52</v>
      </c>
      <c r="I963" s="513">
        <f>TRUNC(IF($C963="",IFERROR(VLOOKUP($B963,SERVIÇOS!$B:$G,4,0),IFERROR(VLOOKUP($B963,$D:$K,6,0),)),IFERROR(VLOOKUP($C963,INSUMOS!$A:$D,4,0),IFERROR(VLOOKUP($C963,COTAÇÕES!$B:$I,7,0),(VLOOKUP($C963,'INSUMO SINAPI - SP'!$C:$F,4,0)))))*$G963,2)</f>
        <v>4.99</v>
      </c>
      <c r="J963" s="513">
        <f>TRUNC(IF($C963="",IFERROR(VLOOKUP($B963,SERVIÇOS!$B:$G,5,0),IFERROR(VLOOKUP($B963,$D:$K,7,0),)),0)*$G963,2)</f>
        <v>2.78</v>
      </c>
      <c r="K963" s="514">
        <f>I963+J963</f>
        <v>7.77</v>
      </c>
      <c r="L963" s="515"/>
      <c r="M963" s="471"/>
      <c r="N963" s="516"/>
      <c r="Q963" s="472"/>
      <c r="R963" s="472"/>
      <c r="S963" s="472"/>
      <c r="T963" s="472"/>
      <c r="U963" s="472"/>
      <c r="V963" s="472"/>
      <c r="W963" s="472"/>
      <c r="X963" s="472"/>
      <c r="Y963" s="472"/>
    </row>
    <row r="964" spans="1:25" ht="24" x14ac:dyDescent="0.25">
      <c r="A964" s="463"/>
      <c r="B964" s="506">
        <v>94963</v>
      </c>
      <c r="C964" s="507"/>
      <c r="D964" s="508"/>
      <c r="E964" s="509" t="str">
        <f>IF($C964="",IFERROR(VLOOKUP($B964,SERVIÇOS!$B:$G,2,0),IFERROR(VLOOKUP($B964,$D:$K,2,0),"")),IFERROR(VLOOKUP($C964,INSUMOS!$A:$D,2,0),IFERROR(VLOOKUP($C964,COTAÇÕES!$B:$I,2,0),(VLOOKUP($C964,'INSUMO SINAPI - SP'!$C:$F,2,0)))))</f>
        <v>CONCRETO FCK = 15MPA, TRAÇO 1:3,4:3,5 (EM MASSA SECA DE CIMENTO/ AREIA MÉDIA/ BRITA 1) - PREPARO MECÂNICO COM BETONEIRA 400 L. AF_05/2021</v>
      </c>
      <c r="F964" s="510" t="str">
        <f>IF($C964="",IFERROR(VLOOKUP($B964,SERVIÇOS!$B:$G,3,0),IFERROR(VLOOKUP($B964,$D:$K,3,0),"")),IFERROR(VLOOKUP($C964,INSUMOS!$A:$D,3,0),IFERROR(VLOOKUP($C964,COTAÇÕES!$B:$I,3,0),(VLOOKUP($C964,'INSUMO SINAPI - SP'!$C:$F,3,0)))))</f>
        <v>M3</v>
      </c>
      <c r="G964" s="511">
        <v>0.10100000000000001</v>
      </c>
      <c r="H964" s="512">
        <f>IF($C964="",IFERROR(VLOOKUP($B964,SERVIÇOS!$B:$G,6,0),IFERROR(VLOOKUP($B964,$D:$K,8,0),"")),IFERROR(VLOOKUP($C964,INSUMOS!$A:$D,4,0),IFERROR(VLOOKUP($C964,COTAÇÕES!$B:$I,7,0),(VLOOKUP($C964,'INSUMO SINAPI - SP'!$C:$F,4,0)))))</f>
        <v>435.24</v>
      </c>
      <c r="I964" s="513">
        <f>TRUNC(IF($C964="",IFERROR(VLOOKUP($B964,SERVIÇOS!$B:$G,4,0),IFERROR(VLOOKUP($B964,$D:$K,6,0),)),IFERROR(VLOOKUP($C964,INSUMOS!$A:$D,4,0),IFERROR(VLOOKUP($C964,COTAÇÕES!$B:$I,7,0),(VLOOKUP($C964,'INSUMO SINAPI - SP'!$C:$F,4,0)))))*$G964,2)</f>
        <v>35.659999999999997</v>
      </c>
      <c r="J964" s="513">
        <f>TRUNC(IF($C964="",IFERROR(VLOOKUP($B964,SERVIÇOS!$B:$G,5,0),IFERROR(VLOOKUP($B964,$D:$K,7,0),)),0)*$G964,2)</f>
        <v>8.2899999999999991</v>
      </c>
      <c r="K964" s="514">
        <f>I964+J964</f>
        <v>43.949999999999996</v>
      </c>
      <c r="L964" s="515"/>
      <c r="M964" s="471"/>
      <c r="N964" s="516"/>
      <c r="Q964" s="472"/>
      <c r="R964" s="472"/>
      <c r="S964" s="472"/>
      <c r="T964" s="472"/>
      <c r="U964" s="472"/>
      <c r="V964" s="472"/>
      <c r="W964" s="472"/>
      <c r="X964" s="472"/>
      <c r="Y964" s="472"/>
    </row>
    <row r="965" spans="1:25" x14ac:dyDescent="0.25">
      <c r="A965" s="463"/>
      <c r="B965" s="506">
        <v>93382</v>
      </c>
      <c r="C965" s="507"/>
      <c r="D965" s="508"/>
      <c r="E965" s="509" t="str">
        <f>IF($C965="",IFERROR(VLOOKUP($B965,SERVIÇOS!$B:$G,2,0),IFERROR(VLOOKUP($B965,$D:$K,2,0),"")),IFERROR(VLOOKUP($C965,INSUMOS!$A:$D,2,0),IFERROR(VLOOKUP($C965,COTAÇÕES!$B:$I,2,0),(VLOOKUP($C965,'INSUMO SINAPI - SP'!$C:$F,2,0)))))</f>
        <v>REATERRO MANUAL DE VALAS, COM COMPACTADOR DE SOLOS DE PERCUSSÃO. AF_08/2023</v>
      </c>
      <c r="F965" s="510" t="str">
        <f>IF($C965="",IFERROR(VLOOKUP($B965,SERVIÇOS!$B:$G,3,0),IFERROR(VLOOKUP($B965,$D:$K,3,0),"")),IFERROR(VLOOKUP($C965,INSUMOS!$A:$D,3,0),IFERROR(VLOOKUP($C965,COTAÇÕES!$B:$I,3,0),(VLOOKUP($C965,'INSUMO SINAPI - SP'!$C:$F,3,0)))))</f>
        <v>M3</v>
      </c>
      <c r="G965" s="511">
        <v>6.7000000000000004E-2</v>
      </c>
      <c r="H965" s="512">
        <f>IF($C965="",IFERROR(VLOOKUP($B965,SERVIÇOS!$B:$G,6,0),IFERROR(VLOOKUP($B965,$D:$K,8,0),"")),IFERROR(VLOOKUP($C965,INSUMOS!$A:$D,4,0),IFERROR(VLOOKUP($C965,COTAÇÕES!$B:$I,7,0),(VLOOKUP($C965,'INSUMO SINAPI - SP'!$C:$F,4,0)))))</f>
        <v>33.07</v>
      </c>
      <c r="I965" s="513">
        <f>TRUNC(IF($C965="",IFERROR(VLOOKUP($B965,SERVIÇOS!$B:$G,4,0),IFERROR(VLOOKUP($B965,$D:$K,6,0),)),IFERROR(VLOOKUP($C965,INSUMOS!$A:$D,4,0),IFERROR(VLOOKUP($C965,COTAÇÕES!$B:$I,7,0),(VLOOKUP($C965,'INSUMO SINAPI - SP'!$C:$F,4,0)))))*$G965,2)</f>
        <v>0.82</v>
      </c>
      <c r="J965" s="513">
        <f>TRUNC(IF($C965="",IFERROR(VLOOKUP($B965,SERVIÇOS!$B:$G,5,0),IFERROR(VLOOKUP($B965,$D:$K,7,0),)),0)*$G965,2)</f>
        <v>1.39</v>
      </c>
      <c r="K965" s="514">
        <f>I965+J965</f>
        <v>2.21</v>
      </c>
      <c r="L965" s="515"/>
      <c r="M965" s="471"/>
      <c r="N965" s="516"/>
      <c r="Q965" s="472"/>
      <c r="R965" s="472"/>
      <c r="S965" s="472"/>
      <c r="T965" s="472"/>
      <c r="U965" s="472"/>
      <c r="V965" s="472"/>
      <c r="W965" s="472"/>
      <c r="X965" s="472"/>
      <c r="Y965" s="472"/>
    </row>
    <row r="966" spans="1:25" ht="24" x14ac:dyDescent="0.25">
      <c r="A966" s="463"/>
      <c r="B966" s="506">
        <v>97086</v>
      </c>
      <c r="C966" s="507"/>
      <c r="D966" s="508"/>
      <c r="E966" s="509" t="str">
        <f>IF($C966="",IFERROR(VLOOKUP($B966,SERVIÇOS!$B:$G,2,0),IFERROR(VLOOKUP($B966,$D:$K,2,0),"")),IFERROR(VLOOKUP($C966,INSUMOS!$A:$D,2,0),IFERROR(VLOOKUP($C966,COTAÇÕES!$B:$I,2,0),(VLOOKUP($C966,'INSUMO SINAPI - SP'!$C:$F,2,0)))))</f>
        <v>FABRICAÇÃO, MONTAGEM E DESMONTAGEM DE FORMA PARA RADIER, PISO DE CONCRETO OU LAJE SOBRE SOLO, EM MADEIRA SERRADA, 4 UTILIZAÇÕES. AF_09/2021</v>
      </c>
      <c r="F966" s="510" t="str">
        <f>IF($C966="",IFERROR(VLOOKUP($B966,SERVIÇOS!$B:$G,3,0),IFERROR(VLOOKUP($B966,$D:$K,3,0),"")),IFERROR(VLOOKUP($C966,INSUMOS!$A:$D,3,0),IFERROR(VLOOKUP($C966,COTAÇÕES!$B:$I,3,0),(VLOOKUP($C966,'INSUMO SINAPI - SP'!$C:$F,3,0)))))</f>
        <v>M2</v>
      </c>
      <c r="G966" s="511">
        <v>1.1120000000000001</v>
      </c>
      <c r="H966" s="512">
        <f>IF($C966="",IFERROR(VLOOKUP($B966,SERVIÇOS!$B:$G,6,0),IFERROR(VLOOKUP($B966,$D:$K,8,0),"")),IFERROR(VLOOKUP($C966,INSUMOS!$A:$D,4,0),IFERROR(VLOOKUP($C966,COTAÇÕES!$B:$I,7,0),(VLOOKUP($C966,'INSUMO SINAPI - SP'!$C:$F,4,0)))))</f>
        <v>164.58</v>
      </c>
      <c r="I966" s="513">
        <f>TRUNC(IF($C966="",IFERROR(VLOOKUP($B966,SERVIÇOS!$B:$G,4,0),IFERROR(VLOOKUP($B966,$D:$K,6,0),)),IFERROR(VLOOKUP($C966,INSUMOS!$A:$D,4,0),IFERROR(VLOOKUP($C966,COTAÇÕES!$B:$I,7,0),(VLOOKUP($C966,'INSUMO SINAPI - SP'!$C:$F,4,0)))))*$G966,2)</f>
        <v>77.52</v>
      </c>
      <c r="J966" s="513">
        <f>TRUNC(IF($C966="",IFERROR(VLOOKUP($B966,SERVIÇOS!$B:$G,5,0),IFERROR(VLOOKUP($B966,$D:$K,7,0),)),0)*$G966,2)</f>
        <v>105.48</v>
      </c>
      <c r="K966" s="514">
        <f>I966+J966</f>
        <v>183</v>
      </c>
      <c r="L966" s="515"/>
      <c r="M966" s="471"/>
      <c r="N966" s="516"/>
      <c r="Q966" s="472"/>
      <c r="R966" s="472"/>
      <c r="S966" s="472"/>
      <c r="T966" s="472"/>
      <c r="U966" s="472"/>
      <c r="V966" s="472"/>
      <c r="W966" s="472"/>
      <c r="X966" s="472"/>
      <c r="Y966" s="472"/>
    </row>
    <row r="967" spans="1:25" ht="60" x14ac:dyDescent="0.25">
      <c r="A967" s="463"/>
      <c r="B967" s="498"/>
      <c r="C967" s="498"/>
      <c r="D967" s="499" t="s">
        <v>12373</v>
      </c>
      <c r="E967" s="555" t="s">
        <v>13124</v>
      </c>
      <c r="F967" s="501" t="s">
        <v>580</v>
      </c>
      <c r="G967" s="502"/>
      <c r="H967" s="503"/>
      <c r="I967" s="504">
        <f>ROUND(SUM(I968:I970),2)</f>
        <v>495.95</v>
      </c>
      <c r="J967" s="504">
        <f>ROUND(SUM(J968:J970),2)</f>
        <v>12.15</v>
      </c>
      <c r="K967" s="504">
        <f>+J967+I967</f>
        <v>508.09999999999997</v>
      </c>
      <c r="L967" s="523"/>
      <c r="M967" s="471"/>
      <c r="N967" s="505"/>
      <c r="Q967" s="472"/>
      <c r="R967" s="472"/>
      <c r="S967" s="472"/>
      <c r="T967" s="472"/>
      <c r="U967" s="472"/>
      <c r="V967" s="472"/>
      <c r="W967" s="472"/>
      <c r="X967" s="472"/>
      <c r="Y967" s="472"/>
    </row>
    <row r="968" spans="1:25" x14ac:dyDescent="0.25">
      <c r="A968" s="463"/>
      <c r="B968" s="506">
        <v>88248</v>
      </c>
      <c r="C968" s="507"/>
      <c r="D968" s="508"/>
      <c r="E968" s="509" t="str">
        <f>IF($C968="",IFERROR(VLOOKUP($B968,SERVIÇOS!$B:$G,2,0),IFERROR(VLOOKUP($B968,$D:$K,2,0),"")),IFERROR(VLOOKUP($C968,INSUMOS!$A:$D,2,0),IFERROR(VLOOKUP($C968,COTAÇÕES!$B:$I,2,0),(VLOOKUP($C968,'INSUMO SINAPI - SP'!$C:$F,2,0)))))</f>
        <v>AUXILIAR DE ENCANADOR OU BOMBEIRO HIDRÁULICO COM ENCARGOS COMPLEMENTARES</v>
      </c>
      <c r="F968" s="510" t="str">
        <f>IF($C968="",IFERROR(VLOOKUP($B968,SERVIÇOS!$B:$G,3,0),IFERROR(VLOOKUP($B968,$D:$K,3,0),"")),IFERROR(VLOOKUP($C968,INSUMOS!$A:$D,3,0),IFERROR(VLOOKUP($C968,COTAÇÕES!$B:$I,3,0),(VLOOKUP($C968,'INSUMO SINAPI - SP'!$C:$F,3,0)))))</f>
        <v>H</v>
      </c>
      <c r="G968" s="511">
        <v>0.25</v>
      </c>
      <c r="H968" s="512">
        <f>IF($C968="",IFERROR(VLOOKUP($B968,SERVIÇOS!$B:$G,6,0),IFERROR(VLOOKUP($B968,$D:$K,8,0),"")),IFERROR(VLOOKUP($C968,INSUMOS!$A:$D,4,0),IFERROR(VLOOKUP($C968,COTAÇÕES!$B:$I,7,0),(VLOOKUP($C968,'INSUMO SINAPI - SP'!$C:$F,4,0)))))</f>
        <v>29.72</v>
      </c>
      <c r="I968" s="513">
        <f>TRUNC(IF($C968="",IFERROR(VLOOKUP($B968,SERVIÇOS!$B:$G,4,0),IFERROR(VLOOKUP($B968,$D:$K,6,0),)),IFERROR(VLOOKUP($C968,INSUMOS!$A:$D,4,0),IFERROR(VLOOKUP($C968,COTAÇÕES!$B:$I,7,0),(VLOOKUP($C968,'INSUMO SINAPI - SP'!$C:$F,4,0)))))*$G968,2)</f>
        <v>2.16</v>
      </c>
      <c r="J968" s="513">
        <f>TRUNC(IF($C968="",IFERROR(VLOOKUP($B968,SERVIÇOS!$B:$G,5,0),IFERROR(VLOOKUP($B968,$D:$K,7,0),)),0)*$G968,2)</f>
        <v>5.27</v>
      </c>
      <c r="K968" s="514">
        <f>I968+J968</f>
        <v>7.43</v>
      </c>
      <c r="L968" s="515"/>
      <c r="M968" s="471"/>
      <c r="N968" s="516"/>
      <c r="Q968" s="472"/>
      <c r="R968" s="472"/>
      <c r="S968" s="472"/>
      <c r="T968" s="472"/>
      <c r="U968" s="472"/>
      <c r="V968" s="472"/>
      <c r="W968" s="472"/>
      <c r="X968" s="472"/>
      <c r="Y968" s="472"/>
    </row>
    <row r="969" spans="1:25" x14ac:dyDescent="0.25">
      <c r="A969" s="463"/>
      <c r="B969" s="506">
        <v>88267</v>
      </c>
      <c r="C969" s="507"/>
      <c r="D969" s="508"/>
      <c r="E969" s="509" t="str">
        <f>IF($C969="",IFERROR(VLOOKUP($B969,SERVIÇOS!$B:$G,2,0),IFERROR(VLOOKUP($B969,$D:$K,2,0),"")),IFERROR(VLOOKUP($C969,INSUMOS!$A:$D,2,0),IFERROR(VLOOKUP($C969,COTAÇÕES!$B:$I,2,0),(VLOOKUP($C969,'INSUMO SINAPI - SP'!$C:$F,2,0)))))</f>
        <v>ENCANADOR OU BOMBEIRO HIDRÁULICO COM ENCARGOS COMPLEMENTARES</v>
      </c>
      <c r="F969" s="510" t="str">
        <f>IF($C969="",IFERROR(VLOOKUP($B969,SERVIÇOS!$B:$G,3,0),IFERROR(VLOOKUP($B969,$D:$K,3,0),"")),IFERROR(VLOOKUP($C969,INSUMOS!$A:$D,3,0),IFERROR(VLOOKUP($C969,COTAÇÕES!$B:$I,3,0),(VLOOKUP($C969,'INSUMO SINAPI - SP'!$C:$F,3,0)))))</f>
        <v>H</v>
      </c>
      <c r="G969" s="511">
        <v>0.25</v>
      </c>
      <c r="H969" s="512">
        <f>IF($C969="",IFERROR(VLOOKUP($B969,SERVIÇOS!$B:$G,6,0),IFERROR(VLOOKUP($B969,$D:$K,8,0),"")),IFERROR(VLOOKUP($C969,INSUMOS!$A:$D,4,0),IFERROR(VLOOKUP($C969,COTAÇÕES!$B:$I,7,0),(VLOOKUP($C969,'INSUMO SINAPI - SP'!$C:$F,4,0)))))</f>
        <v>36.17</v>
      </c>
      <c r="I969" s="513">
        <f>TRUNC(IF($C969="",IFERROR(VLOOKUP($B969,SERVIÇOS!$B:$G,4,0),IFERROR(VLOOKUP($B969,$D:$K,6,0),)),IFERROR(VLOOKUP($C969,INSUMOS!$A:$D,4,0),IFERROR(VLOOKUP($C969,COTAÇÕES!$B:$I,7,0),(VLOOKUP($C969,'INSUMO SINAPI - SP'!$C:$F,4,0)))))*$G969,2)</f>
        <v>2.16</v>
      </c>
      <c r="J969" s="513">
        <f>TRUNC(IF($C969="",IFERROR(VLOOKUP($B969,SERVIÇOS!$B:$G,5,0),IFERROR(VLOOKUP($B969,$D:$K,7,0),)),0)*$G969,2)</f>
        <v>6.88</v>
      </c>
      <c r="K969" s="514">
        <f>I969+J969</f>
        <v>9.0399999999999991</v>
      </c>
      <c r="L969" s="515"/>
      <c r="M969" s="471"/>
      <c r="N969" s="516"/>
      <c r="Q969" s="472"/>
      <c r="R969" s="472"/>
      <c r="S969" s="472"/>
      <c r="T969" s="472"/>
      <c r="U969" s="472"/>
      <c r="V969" s="472"/>
      <c r="W969" s="472"/>
      <c r="X969" s="472"/>
      <c r="Y969" s="472"/>
    </row>
    <row r="970" spans="1:25" x14ac:dyDescent="0.25">
      <c r="A970" s="463"/>
      <c r="B970" s="506"/>
      <c r="C970" s="507" t="s">
        <v>13125</v>
      </c>
      <c r="D970" s="508"/>
      <c r="E970" s="518" t="s">
        <v>13126</v>
      </c>
      <c r="F970" s="519" t="s">
        <v>580</v>
      </c>
      <c r="G970" s="511">
        <v>1</v>
      </c>
      <c r="H970" s="520">
        <v>491.63</v>
      </c>
      <c r="I970" s="520">
        <f>TRUNC(H970*G970,2)</f>
        <v>491.63</v>
      </c>
      <c r="J970" s="521"/>
      <c r="K970" s="522">
        <f>I970+J970</f>
        <v>491.63</v>
      </c>
      <c r="L970" s="517" t="s">
        <v>12668</v>
      </c>
      <c r="M970" s="471"/>
      <c r="N970" s="516"/>
      <c r="Q970" s="472"/>
      <c r="R970" s="472"/>
      <c r="S970" s="472"/>
      <c r="T970" s="472"/>
      <c r="U970" s="472"/>
      <c r="V970" s="472"/>
      <c r="W970" s="472"/>
      <c r="X970" s="472"/>
      <c r="Y970" s="472"/>
    </row>
    <row r="971" spans="1:25" ht="60" x14ac:dyDescent="0.25">
      <c r="A971" s="463"/>
      <c r="B971" s="498"/>
      <c r="C971" s="498"/>
      <c r="D971" s="499" t="s">
        <v>12374</v>
      </c>
      <c r="E971" s="555" t="s">
        <v>13127</v>
      </c>
      <c r="F971" s="501" t="s">
        <v>580</v>
      </c>
      <c r="G971" s="502"/>
      <c r="H971" s="503"/>
      <c r="I971" s="504">
        <f>ROUND(SUM(I972:I974),2)</f>
        <v>495.95</v>
      </c>
      <c r="J971" s="504">
        <f>ROUND(SUM(J972:J974),2)</f>
        <v>12.15</v>
      </c>
      <c r="K971" s="504">
        <f>+J971+I971</f>
        <v>508.09999999999997</v>
      </c>
      <c r="L971" s="523"/>
      <c r="M971" s="471"/>
      <c r="N971" s="505"/>
      <c r="Q971" s="472"/>
      <c r="R971" s="472"/>
      <c r="S971" s="472"/>
      <c r="T971" s="472"/>
      <c r="U971" s="472"/>
      <c r="V971" s="472"/>
      <c r="W971" s="472"/>
      <c r="X971" s="472"/>
      <c r="Y971" s="472"/>
    </row>
    <row r="972" spans="1:25" x14ac:dyDescent="0.25">
      <c r="A972" s="463"/>
      <c r="B972" s="506">
        <v>88248</v>
      </c>
      <c r="C972" s="507"/>
      <c r="D972" s="508"/>
      <c r="E972" s="509" t="str">
        <f>IF($C972="",IFERROR(VLOOKUP($B972,SERVIÇOS!$B:$G,2,0),IFERROR(VLOOKUP($B972,$D:$K,2,0),"")),IFERROR(VLOOKUP($C972,INSUMOS!$A:$D,2,0),IFERROR(VLOOKUP($C972,COTAÇÕES!$B:$I,2,0),(VLOOKUP($C972,'INSUMO SINAPI - SP'!$C:$F,2,0)))))</f>
        <v>AUXILIAR DE ENCANADOR OU BOMBEIRO HIDRÁULICO COM ENCARGOS COMPLEMENTARES</v>
      </c>
      <c r="F972" s="510" t="str">
        <f>IF($C972="",IFERROR(VLOOKUP($B972,SERVIÇOS!$B:$G,3,0),IFERROR(VLOOKUP($B972,$D:$K,3,0),"")),IFERROR(VLOOKUP($C972,INSUMOS!$A:$D,3,0),IFERROR(VLOOKUP($C972,COTAÇÕES!$B:$I,3,0),(VLOOKUP($C972,'INSUMO SINAPI - SP'!$C:$F,3,0)))))</f>
        <v>H</v>
      </c>
      <c r="G972" s="511">
        <v>0.25</v>
      </c>
      <c r="H972" s="512">
        <f>IF($C972="",IFERROR(VLOOKUP($B972,SERVIÇOS!$B:$G,6,0),IFERROR(VLOOKUP($B972,$D:$K,8,0),"")),IFERROR(VLOOKUP($C972,INSUMOS!$A:$D,4,0),IFERROR(VLOOKUP($C972,COTAÇÕES!$B:$I,7,0),(VLOOKUP($C972,'INSUMO SINAPI - SP'!$C:$F,4,0)))))</f>
        <v>29.72</v>
      </c>
      <c r="I972" s="513">
        <f>TRUNC(IF($C972="",IFERROR(VLOOKUP($B972,SERVIÇOS!$B:$G,4,0),IFERROR(VLOOKUP($B972,$D:$K,6,0),)),IFERROR(VLOOKUP($C972,INSUMOS!$A:$D,4,0),IFERROR(VLOOKUP($C972,COTAÇÕES!$B:$I,7,0),(VLOOKUP($C972,'INSUMO SINAPI - SP'!$C:$F,4,0)))))*$G972,2)</f>
        <v>2.16</v>
      </c>
      <c r="J972" s="513">
        <f>TRUNC(IF($C972="",IFERROR(VLOOKUP($B972,SERVIÇOS!$B:$G,5,0),IFERROR(VLOOKUP($B972,$D:$K,7,0),)),0)*$G972,2)</f>
        <v>5.27</v>
      </c>
      <c r="K972" s="514">
        <f>I972+J972</f>
        <v>7.43</v>
      </c>
      <c r="L972" s="515"/>
      <c r="M972" s="471"/>
      <c r="N972" s="516"/>
      <c r="Q972" s="472"/>
      <c r="R972" s="472"/>
      <c r="S972" s="472"/>
      <c r="T972" s="472"/>
      <c r="U972" s="472"/>
      <c r="V972" s="472"/>
      <c r="W972" s="472"/>
      <c r="X972" s="472"/>
      <c r="Y972" s="472"/>
    </row>
    <row r="973" spans="1:25" x14ac:dyDescent="0.25">
      <c r="A973" s="463"/>
      <c r="B973" s="506">
        <v>88267</v>
      </c>
      <c r="C973" s="507"/>
      <c r="D973" s="508"/>
      <c r="E973" s="509" t="str">
        <f>IF($C973="",IFERROR(VLOOKUP($B973,SERVIÇOS!$B:$G,2,0),IFERROR(VLOOKUP($B973,$D:$K,2,0),"")),IFERROR(VLOOKUP($C973,INSUMOS!$A:$D,2,0),IFERROR(VLOOKUP($C973,COTAÇÕES!$B:$I,2,0),(VLOOKUP($C973,'INSUMO SINAPI - SP'!$C:$F,2,0)))))</f>
        <v>ENCANADOR OU BOMBEIRO HIDRÁULICO COM ENCARGOS COMPLEMENTARES</v>
      </c>
      <c r="F973" s="510" t="str">
        <f>IF($C973="",IFERROR(VLOOKUP($B973,SERVIÇOS!$B:$G,3,0),IFERROR(VLOOKUP($B973,$D:$K,3,0),"")),IFERROR(VLOOKUP($C973,INSUMOS!$A:$D,3,0),IFERROR(VLOOKUP($C973,COTAÇÕES!$B:$I,3,0),(VLOOKUP($C973,'INSUMO SINAPI - SP'!$C:$F,3,0)))))</f>
        <v>H</v>
      </c>
      <c r="G973" s="511">
        <v>0.25</v>
      </c>
      <c r="H973" s="512">
        <f>IF($C973="",IFERROR(VLOOKUP($B973,SERVIÇOS!$B:$G,6,0),IFERROR(VLOOKUP($B973,$D:$K,8,0),"")),IFERROR(VLOOKUP($C973,INSUMOS!$A:$D,4,0),IFERROR(VLOOKUP($C973,COTAÇÕES!$B:$I,7,0),(VLOOKUP($C973,'INSUMO SINAPI - SP'!$C:$F,4,0)))))</f>
        <v>36.17</v>
      </c>
      <c r="I973" s="513">
        <f>TRUNC(IF($C973="",IFERROR(VLOOKUP($B973,SERVIÇOS!$B:$G,4,0),IFERROR(VLOOKUP($B973,$D:$K,6,0),)),IFERROR(VLOOKUP($C973,INSUMOS!$A:$D,4,0),IFERROR(VLOOKUP($C973,COTAÇÕES!$B:$I,7,0),(VLOOKUP($C973,'INSUMO SINAPI - SP'!$C:$F,4,0)))))*$G973,2)</f>
        <v>2.16</v>
      </c>
      <c r="J973" s="513">
        <f>TRUNC(IF($C973="",IFERROR(VLOOKUP($B973,SERVIÇOS!$B:$G,5,0),IFERROR(VLOOKUP($B973,$D:$K,7,0),)),0)*$G973,2)</f>
        <v>6.88</v>
      </c>
      <c r="K973" s="514">
        <f>I973+J973</f>
        <v>9.0399999999999991</v>
      </c>
      <c r="L973" s="515"/>
      <c r="M973" s="471"/>
      <c r="N973" s="516"/>
      <c r="Q973" s="472"/>
      <c r="R973" s="472"/>
      <c r="S973" s="472"/>
      <c r="T973" s="472"/>
      <c r="U973" s="472"/>
      <c r="V973" s="472"/>
      <c r="W973" s="472"/>
      <c r="X973" s="472"/>
      <c r="Y973" s="472"/>
    </row>
    <row r="974" spans="1:25" x14ac:dyDescent="0.25">
      <c r="A974" s="463"/>
      <c r="B974" s="506"/>
      <c r="C974" s="507" t="s">
        <v>13128</v>
      </c>
      <c r="D974" s="508"/>
      <c r="E974" s="518" t="s">
        <v>13129</v>
      </c>
      <c r="F974" s="519" t="s">
        <v>580</v>
      </c>
      <c r="G974" s="511">
        <v>1</v>
      </c>
      <c r="H974" s="520">
        <v>491.63</v>
      </c>
      <c r="I974" s="520">
        <f>TRUNC(H974*G974,2)</f>
        <v>491.63</v>
      </c>
      <c r="J974" s="521"/>
      <c r="K974" s="522">
        <f>I974+J974</f>
        <v>491.63</v>
      </c>
      <c r="L974" s="517" t="s">
        <v>12668</v>
      </c>
      <c r="M974" s="471"/>
      <c r="N974" s="516"/>
      <c r="Q974" s="472"/>
      <c r="R974" s="472"/>
      <c r="S974" s="472"/>
      <c r="T974" s="472"/>
      <c r="U974" s="472"/>
      <c r="V974" s="472"/>
      <c r="W974" s="472"/>
      <c r="X974" s="472"/>
      <c r="Y974" s="472"/>
    </row>
    <row r="975" spans="1:25" ht="60" x14ac:dyDescent="0.25">
      <c r="A975" s="463"/>
      <c r="B975" s="498"/>
      <c r="C975" s="498"/>
      <c r="D975" s="499" t="s">
        <v>12375</v>
      </c>
      <c r="E975" s="555" t="s">
        <v>13130</v>
      </c>
      <c r="F975" s="501" t="s">
        <v>580</v>
      </c>
      <c r="G975" s="502"/>
      <c r="H975" s="503"/>
      <c r="I975" s="504">
        <f>ROUND(SUM(I976:I978),2)</f>
        <v>495.95</v>
      </c>
      <c r="J975" s="504">
        <f>ROUND(SUM(J976:J978),2)</f>
        <v>12.15</v>
      </c>
      <c r="K975" s="504">
        <f>+J975+I975</f>
        <v>508.09999999999997</v>
      </c>
      <c r="L975" s="523"/>
      <c r="M975" s="471"/>
      <c r="N975" s="505"/>
      <c r="Q975" s="472"/>
      <c r="R975" s="472"/>
      <c r="S975" s="472"/>
      <c r="T975" s="472"/>
      <c r="U975" s="472"/>
      <c r="V975" s="472"/>
      <c r="W975" s="472"/>
      <c r="X975" s="472"/>
      <c r="Y975" s="472"/>
    </row>
    <row r="976" spans="1:25" x14ac:dyDescent="0.25">
      <c r="A976" s="463"/>
      <c r="B976" s="506">
        <v>88248</v>
      </c>
      <c r="C976" s="507"/>
      <c r="D976" s="508"/>
      <c r="E976" s="509" t="str">
        <f>IF($C976="",IFERROR(VLOOKUP($B976,SERVIÇOS!$B:$G,2,0),IFERROR(VLOOKUP($B976,$D:$K,2,0),"")),IFERROR(VLOOKUP($C976,INSUMOS!$A:$D,2,0),IFERROR(VLOOKUP($C976,COTAÇÕES!$B:$I,2,0),(VLOOKUP($C976,'INSUMO SINAPI - SP'!$C:$F,2,0)))))</f>
        <v>AUXILIAR DE ENCANADOR OU BOMBEIRO HIDRÁULICO COM ENCARGOS COMPLEMENTARES</v>
      </c>
      <c r="F976" s="510" t="str">
        <f>IF($C976="",IFERROR(VLOOKUP($B976,SERVIÇOS!$B:$G,3,0),IFERROR(VLOOKUP($B976,$D:$K,3,0),"")),IFERROR(VLOOKUP($C976,INSUMOS!$A:$D,3,0),IFERROR(VLOOKUP($C976,COTAÇÕES!$B:$I,3,0),(VLOOKUP($C976,'INSUMO SINAPI - SP'!$C:$F,3,0)))))</f>
        <v>H</v>
      </c>
      <c r="G976" s="511">
        <v>0.25</v>
      </c>
      <c r="H976" s="512">
        <f>IF($C976="",IFERROR(VLOOKUP($B976,SERVIÇOS!$B:$G,6,0),IFERROR(VLOOKUP($B976,$D:$K,8,0),"")),IFERROR(VLOOKUP($C976,INSUMOS!$A:$D,4,0),IFERROR(VLOOKUP($C976,COTAÇÕES!$B:$I,7,0),(VLOOKUP($C976,'INSUMO SINAPI - SP'!$C:$F,4,0)))))</f>
        <v>29.72</v>
      </c>
      <c r="I976" s="513">
        <f>TRUNC(IF($C976="",IFERROR(VLOOKUP($B976,SERVIÇOS!$B:$G,4,0),IFERROR(VLOOKUP($B976,$D:$K,6,0),)),IFERROR(VLOOKUP($C976,INSUMOS!$A:$D,4,0),IFERROR(VLOOKUP($C976,COTAÇÕES!$B:$I,7,0),(VLOOKUP($C976,'INSUMO SINAPI - SP'!$C:$F,4,0)))))*$G976,2)</f>
        <v>2.16</v>
      </c>
      <c r="J976" s="513">
        <f>TRUNC(IF($C976="",IFERROR(VLOOKUP($B976,SERVIÇOS!$B:$G,5,0),IFERROR(VLOOKUP($B976,$D:$K,7,0),)),0)*$G976,2)</f>
        <v>5.27</v>
      </c>
      <c r="K976" s="514">
        <f>I976+J976</f>
        <v>7.43</v>
      </c>
      <c r="L976" s="515"/>
      <c r="M976" s="471"/>
      <c r="N976" s="516"/>
      <c r="Q976" s="472"/>
      <c r="R976" s="472"/>
      <c r="S976" s="472"/>
      <c r="T976" s="472"/>
      <c r="U976" s="472"/>
      <c r="V976" s="472"/>
      <c r="W976" s="472"/>
      <c r="X976" s="472"/>
      <c r="Y976" s="472"/>
    </row>
    <row r="977" spans="1:25" x14ac:dyDescent="0.25">
      <c r="A977" s="463"/>
      <c r="B977" s="506">
        <v>88267</v>
      </c>
      <c r="C977" s="507"/>
      <c r="D977" s="508"/>
      <c r="E977" s="509" t="str">
        <f>IF($C977="",IFERROR(VLOOKUP($B977,SERVIÇOS!$B:$G,2,0),IFERROR(VLOOKUP($B977,$D:$K,2,0),"")),IFERROR(VLOOKUP($C977,INSUMOS!$A:$D,2,0),IFERROR(VLOOKUP($C977,COTAÇÕES!$B:$I,2,0),(VLOOKUP($C977,'INSUMO SINAPI - SP'!$C:$F,2,0)))))</f>
        <v>ENCANADOR OU BOMBEIRO HIDRÁULICO COM ENCARGOS COMPLEMENTARES</v>
      </c>
      <c r="F977" s="510" t="str">
        <f>IF($C977="",IFERROR(VLOOKUP($B977,SERVIÇOS!$B:$G,3,0),IFERROR(VLOOKUP($B977,$D:$K,3,0),"")),IFERROR(VLOOKUP($C977,INSUMOS!$A:$D,3,0),IFERROR(VLOOKUP($C977,COTAÇÕES!$B:$I,3,0),(VLOOKUP($C977,'INSUMO SINAPI - SP'!$C:$F,3,0)))))</f>
        <v>H</v>
      </c>
      <c r="G977" s="511">
        <v>0.25</v>
      </c>
      <c r="H977" s="512">
        <f>IF($C977="",IFERROR(VLOOKUP($B977,SERVIÇOS!$B:$G,6,0),IFERROR(VLOOKUP($B977,$D:$K,8,0),"")),IFERROR(VLOOKUP($C977,INSUMOS!$A:$D,4,0),IFERROR(VLOOKUP($C977,COTAÇÕES!$B:$I,7,0),(VLOOKUP($C977,'INSUMO SINAPI - SP'!$C:$F,4,0)))))</f>
        <v>36.17</v>
      </c>
      <c r="I977" s="513">
        <f>TRUNC(IF($C977="",IFERROR(VLOOKUP($B977,SERVIÇOS!$B:$G,4,0),IFERROR(VLOOKUP($B977,$D:$K,6,0),)),IFERROR(VLOOKUP($C977,INSUMOS!$A:$D,4,0),IFERROR(VLOOKUP($C977,COTAÇÕES!$B:$I,7,0),(VLOOKUP($C977,'INSUMO SINAPI - SP'!$C:$F,4,0)))))*$G977,2)</f>
        <v>2.16</v>
      </c>
      <c r="J977" s="513">
        <f>TRUNC(IF($C977="",IFERROR(VLOOKUP($B977,SERVIÇOS!$B:$G,5,0),IFERROR(VLOOKUP($B977,$D:$K,7,0),)),0)*$G977,2)</f>
        <v>6.88</v>
      </c>
      <c r="K977" s="514">
        <f>I977+J977</f>
        <v>9.0399999999999991</v>
      </c>
      <c r="L977" s="515"/>
      <c r="M977" s="471"/>
      <c r="N977" s="516"/>
      <c r="Q977" s="472"/>
      <c r="R977" s="472"/>
      <c r="S977" s="472"/>
      <c r="T977" s="472"/>
      <c r="U977" s="472"/>
      <c r="V977" s="472"/>
      <c r="W977" s="472"/>
      <c r="X977" s="472"/>
      <c r="Y977" s="472"/>
    </row>
    <row r="978" spans="1:25" x14ac:dyDescent="0.25">
      <c r="A978" s="463"/>
      <c r="B978" s="506"/>
      <c r="C978" s="507" t="s">
        <v>13131</v>
      </c>
      <c r="D978" s="508"/>
      <c r="E978" s="518" t="s">
        <v>13132</v>
      </c>
      <c r="F978" s="519" t="s">
        <v>580</v>
      </c>
      <c r="G978" s="511">
        <v>1</v>
      </c>
      <c r="H978" s="520">
        <v>491.63</v>
      </c>
      <c r="I978" s="520">
        <f>TRUNC(H978*G978,2)</f>
        <v>491.63</v>
      </c>
      <c r="J978" s="521"/>
      <c r="K978" s="522">
        <f>I978+J978</f>
        <v>491.63</v>
      </c>
      <c r="L978" s="517" t="s">
        <v>12668</v>
      </c>
      <c r="M978" s="471"/>
      <c r="N978" s="516"/>
      <c r="Q978" s="472"/>
      <c r="R978" s="472"/>
      <c r="S978" s="472"/>
      <c r="T978" s="472"/>
      <c r="U978" s="472"/>
      <c r="V978" s="472"/>
      <c r="W978" s="472"/>
      <c r="X978" s="472"/>
      <c r="Y978" s="472"/>
    </row>
    <row r="979" spans="1:25" x14ac:dyDescent="0.25">
      <c r="A979" s="463"/>
      <c r="B979" s="498"/>
      <c r="C979" s="498"/>
      <c r="D979" s="499" t="s">
        <v>12378</v>
      </c>
      <c r="E979" s="555" t="s">
        <v>13133</v>
      </c>
      <c r="F979" s="501" t="s">
        <v>580</v>
      </c>
      <c r="G979" s="502"/>
      <c r="H979" s="503"/>
      <c r="I979" s="504">
        <f>ROUND(SUM(I980:I982),2)</f>
        <v>23.62</v>
      </c>
      <c r="J979" s="504">
        <f>ROUND(SUM(J980:J982),2)</f>
        <v>2.42</v>
      </c>
      <c r="K979" s="504">
        <f>+J979+I979</f>
        <v>26.04</v>
      </c>
      <c r="L979" s="523"/>
      <c r="M979" s="471"/>
      <c r="N979" s="505"/>
      <c r="Q979" s="472"/>
      <c r="R979" s="472"/>
      <c r="S979" s="472"/>
      <c r="T979" s="472"/>
      <c r="U979" s="472"/>
      <c r="V979" s="472"/>
      <c r="W979" s="472"/>
      <c r="X979" s="472"/>
      <c r="Y979" s="472"/>
    </row>
    <row r="980" spans="1:25" x14ac:dyDescent="0.25">
      <c r="A980" s="463"/>
      <c r="B980" s="506"/>
      <c r="C980" s="507" t="s">
        <v>13134</v>
      </c>
      <c r="D980" s="508"/>
      <c r="E980" s="509" t="str">
        <f>IF($C980="",IFERROR(VLOOKUP($B980,SERVIÇOS!$B:$G,2,0),IFERROR(VLOOKUP($B980,$D:$K,2,0),"")),IFERROR(VLOOKUP($C980,INSUMOS!$A:$D,2,0),IFERROR(VLOOKUP($C980,COTAÇÕES!$B:$I,2,0),(VLOOKUP($C980,'INSUMO SINAPI - SP'!$C:$F,2,0)))))</f>
        <v>PONTO PARA PISTOLA DE AR COMPRIMIDO PARA LIMPEZA</v>
      </c>
      <c r="F980" s="510" t="str">
        <f>IF($C980="",IFERROR(VLOOKUP($B980,SERVIÇOS!$B:$G,3,0),IFERROR(VLOOKUP($B980,$D:$K,3,0),"")),IFERROR(VLOOKUP($C980,INSUMOS!$A:$D,3,0),IFERROR(VLOOKUP($C980,COTAÇÕES!$B:$I,3,0),(VLOOKUP($C980,'INSUMO SINAPI - SP'!$C:$F,3,0)))))</f>
        <v>UN</v>
      </c>
      <c r="G980" s="511">
        <v>1</v>
      </c>
      <c r="H980" s="512">
        <f>IF($C980="",IFERROR(VLOOKUP($B980,SERVIÇOS!$B:$G,6,0),IFERROR(VLOOKUP($B980,$D:$K,8,0),"")),IFERROR(VLOOKUP($C980,INSUMOS!$A:$D,4,0),IFERROR(VLOOKUP($C980,COTAÇÕES!$B:$I,8,0),(VLOOKUP($C980,'INSUMO SINAPI - SP'!$C:$F,4,0)))))</f>
        <v>22.76</v>
      </c>
      <c r="I980" s="513">
        <f>TRUNC(IF($C980="",IFERROR(VLOOKUP($B980,SERVIÇOS!$B:$G,4,0),IFERROR(VLOOKUP($B980,$D:$K,6,0),)),IFERROR(VLOOKUP($C980,INSUMOS!$A:$D,4,0),IFERROR(VLOOKUP($C980,COTAÇÕES!$B:$I,8,0),(VLOOKUP($C980,'INSUMO SINAPI - SP'!$C:$F,4,0)))))*$G980,2)</f>
        <v>22.76</v>
      </c>
      <c r="J980" s="513"/>
      <c r="K980" s="514">
        <f>I980+J980</f>
        <v>22.76</v>
      </c>
      <c r="L980" s="517" t="s">
        <v>12878</v>
      </c>
      <c r="M980" s="471"/>
      <c r="N980" s="516"/>
      <c r="Q980" s="472"/>
      <c r="R980" s="472"/>
      <c r="S980" s="472"/>
      <c r="T980" s="472"/>
      <c r="U980" s="472"/>
      <c r="V980" s="472"/>
      <c r="W980" s="472"/>
      <c r="X980" s="472"/>
      <c r="Y980" s="472"/>
    </row>
    <row r="981" spans="1:25" x14ac:dyDescent="0.25">
      <c r="A981" s="463"/>
      <c r="B981" s="506">
        <v>88248</v>
      </c>
      <c r="C981" s="507"/>
      <c r="D981" s="508"/>
      <c r="E981" s="509" t="str">
        <f>IF($C981="",IFERROR(VLOOKUP($B981,SERVIÇOS!$B:$G,2,0),IFERROR(VLOOKUP($B981,$D:$K,2,0),"")),IFERROR(VLOOKUP($C981,INSUMOS!$A:$D,2,0),IFERROR(VLOOKUP($C981,COTAÇÕES!$B:$I,2,0),(VLOOKUP($C981,'INSUMO SINAPI - SP'!$C:$F,2,0)))))</f>
        <v>AUXILIAR DE ENCANADOR OU BOMBEIRO HIDRÁULICO COM ENCARGOS COMPLEMENTARES</v>
      </c>
      <c r="F981" s="510" t="str">
        <f>IF($C981="",IFERROR(VLOOKUP($B981,SERVIÇOS!$B:$G,3,0),IFERROR(VLOOKUP($B981,$D:$K,3,0),"")),IFERROR(VLOOKUP($C981,INSUMOS!$A:$D,3,0),IFERROR(VLOOKUP($C981,COTAÇÕES!$B:$I,3,0),(VLOOKUP($C981,'INSUMO SINAPI - SP'!$C:$F,3,0)))))</f>
        <v>H</v>
      </c>
      <c r="G981" s="511">
        <v>0.05</v>
      </c>
      <c r="H981" s="512">
        <f>IF($C981="",IFERROR(VLOOKUP($B981,SERVIÇOS!$B:$G,6,0),IFERROR(VLOOKUP($B981,$D:$K,8,0),"")),IFERROR(VLOOKUP($C981,INSUMOS!$A:$D,4,0),IFERROR(VLOOKUP($C981,COTAÇÕES!$B:$I,7,0),(VLOOKUP($C981,'INSUMO SINAPI - SP'!$C:$F,4,0)))))</f>
        <v>29.72</v>
      </c>
      <c r="I981" s="513">
        <f>TRUNC(IF($C981="",IFERROR(VLOOKUP($B981,SERVIÇOS!$B:$G,4,0),IFERROR(VLOOKUP($B981,$D:$K,6,0),)),IFERROR(VLOOKUP($C981,INSUMOS!$A:$D,4,0),IFERROR(VLOOKUP($C981,COTAÇÕES!$B:$I,7,0),(VLOOKUP($C981,'INSUMO SINAPI - SP'!$C:$F,4,0)))))*$G981,2)</f>
        <v>0.43</v>
      </c>
      <c r="J981" s="513">
        <f>TRUNC(IF($C981="",IFERROR(VLOOKUP($B981,SERVIÇOS!$B:$G,5,0),IFERROR(VLOOKUP($B981,$D:$K,7,0),)),0)*$G981,2)</f>
        <v>1.05</v>
      </c>
      <c r="K981" s="514">
        <f>I981+J981</f>
        <v>1.48</v>
      </c>
      <c r="L981" s="515"/>
      <c r="M981" s="471"/>
      <c r="N981" s="516"/>
      <c r="Q981" s="472"/>
      <c r="R981" s="472"/>
      <c r="S981" s="472"/>
      <c r="T981" s="472"/>
      <c r="U981" s="472"/>
      <c r="V981" s="472"/>
      <c r="W981" s="472"/>
      <c r="X981" s="472"/>
      <c r="Y981" s="472"/>
    </row>
    <row r="982" spans="1:25" x14ac:dyDescent="0.25">
      <c r="A982" s="463"/>
      <c r="B982" s="506">
        <v>88267</v>
      </c>
      <c r="C982" s="507"/>
      <c r="D982" s="508"/>
      <c r="E982" s="509" t="str">
        <f>IF($C982="",IFERROR(VLOOKUP($B982,SERVIÇOS!$B:$G,2,0),IFERROR(VLOOKUP($B982,$D:$K,2,0),"")),IFERROR(VLOOKUP($C982,INSUMOS!$A:$D,2,0),IFERROR(VLOOKUP($C982,COTAÇÕES!$B:$I,2,0),(VLOOKUP($C982,'INSUMO SINAPI - SP'!$C:$F,2,0)))))</f>
        <v>ENCANADOR OU BOMBEIRO HIDRÁULICO COM ENCARGOS COMPLEMENTARES</v>
      </c>
      <c r="F982" s="510" t="str">
        <f>IF($C982="",IFERROR(VLOOKUP($B982,SERVIÇOS!$B:$G,3,0),IFERROR(VLOOKUP($B982,$D:$K,3,0),"")),IFERROR(VLOOKUP($C982,INSUMOS!$A:$D,3,0),IFERROR(VLOOKUP($C982,COTAÇÕES!$B:$I,3,0),(VLOOKUP($C982,'INSUMO SINAPI - SP'!$C:$F,3,0)))))</f>
        <v>H</v>
      </c>
      <c r="G982" s="511">
        <v>0.05</v>
      </c>
      <c r="H982" s="512">
        <f>IF($C982="",IFERROR(VLOOKUP($B982,SERVIÇOS!$B:$G,6,0),IFERROR(VLOOKUP($B982,$D:$K,8,0),"")),IFERROR(VLOOKUP($C982,INSUMOS!$A:$D,4,0),IFERROR(VLOOKUP($C982,COTAÇÕES!$B:$I,7,0),(VLOOKUP($C982,'INSUMO SINAPI - SP'!$C:$F,4,0)))))</f>
        <v>36.17</v>
      </c>
      <c r="I982" s="513">
        <f>TRUNC(IF($C982="",IFERROR(VLOOKUP($B982,SERVIÇOS!$B:$G,4,0),IFERROR(VLOOKUP($B982,$D:$K,6,0),)),IFERROR(VLOOKUP($C982,INSUMOS!$A:$D,4,0),IFERROR(VLOOKUP($C982,COTAÇÕES!$B:$I,7,0),(VLOOKUP($C982,'INSUMO SINAPI - SP'!$C:$F,4,0)))))*$G982,2)</f>
        <v>0.43</v>
      </c>
      <c r="J982" s="513">
        <f>TRUNC(IF($C982="",IFERROR(VLOOKUP($B982,SERVIÇOS!$B:$G,5,0),IFERROR(VLOOKUP($B982,$D:$K,7,0),)),0)*$G982,2)</f>
        <v>1.37</v>
      </c>
      <c r="K982" s="514">
        <f>I982+J982</f>
        <v>1.8</v>
      </c>
      <c r="L982" s="515"/>
      <c r="M982" s="471"/>
      <c r="N982" s="516"/>
      <c r="Q982" s="472"/>
      <c r="R982" s="472"/>
      <c r="S982" s="472"/>
      <c r="T982" s="472"/>
      <c r="U982" s="472"/>
      <c r="V982" s="472"/>
      <c r="W982" s="472"/>
      <c r="X982" s="472"/>
      <c r="Y982" s="472"/>
    </row>
    <row r="983" spans="1:25" x14ac:dyDescent="0.25">
      <c r="A983" s="463"/>
      <c r="B983" s="498"/>
      <c r="C983" s="498"/>
      <c r="D983" s="499" t="s">
        <v>12381</v>
      </c>
      <c r="E983" s="555" t="s">
        <v>13135</v>
      </c>
      <c r="F983" s="501" t="s">
        <v>580</v>
      </c>
      <c r="G983" s="502"/>
      <c r="H983" s="503"/>
      <c r="I983" s="504">
        <f>ROUND(SUM(I984:I986),2)</f>
        <v>66.08</v>
      </c>
      <c r="J983" s="504">
        <f>ROUND(SUM(J984:J986),2)</f>
        <v>21.86</v>
      </c>
      <c r="K983" s="504">
        <f>+J983+I983</f>
        <v>87.94</v>
      </c>
      <c r="L983" s="523"/>
      <c r="M983" s="471"/>
      <c r="N983" s="505"/>
      <c r="Q983" s="472"/>
      <c r="R983" s="472"/>
      <c r="S983" s="472"/>
      <c r="T983" s="472"/>
      <c r="U983" s="472"/>
      <c r="V983" s="472"/>
      <c r="W983" s="472"/>
      <c r="X983" s="472"/>
      <c r="Y983" s="472"/>
    </row>
    <row r="984" spans="1:25" x14ac:dyDescent="0.25">
      <c r="A984" s="463"/>
      <c r="B984" s="506"/>
      <c r="C984" s="507" t="s">
        <v>13136</v>
      </c>
      <c r="D984" s="508"/>
      <c r="E984" s="518" t="s">
        <v>13137</v>
      </c>
      <c r="F984" s="519" t="s">
        <v>585</v>
      </c>
      <c r="G984" s="511">
        <v>3</v>
      </c>
      <c r="H984" s="520">
        <v>19.440000000000001</v>
      </c>
      <c r="I984" s="520">
        <f>TRUNC(H984*G984,2)</f>
        <v>58.32</v>
      </c>
      <c r="J984" s="521"/>
      <c r="K984" s="522">
        <f>I984+J984</f>
        <v>58.32</v>
      </c>
      <c r="L984" s="517" t="s">
        <v>12668</v>
      </c>
      <c r="M984" s="471"/>
      <c r="N984" s="516"/>
      <c r="Q984" s="472"/>
      <c r="R984" s="472"/>
      <c r="S984" s="472"/>
      <c r="T984" s="472"/>
      <c r="U984" s="472"/>
      <c r="V984" s="472"/>
      <c r="W984" s="472"/>
      <c r="X984" s="472"/>
      <c r="Y984" s="472"/>
    </row>
    <row r="985" spans="1:25" x14ac:dyDescent="0.25">
      <c r="A985" s="463"/>
      <c r="B985" s="506">
        <v>88248</v>
      </c>
      <c r="C985" s="507"/>
      <c r="D985" s="508"/>
      <c r="E985" s="509" t="str">
        <f>IF($C985="",IFERROR(VLOOKUP($B985,SERVIÇOS!$B:$G,2,0),IFERROR(VLOOKUP($B985,$D:$K,2,0),"")),IFERROR(VLOOKUP($C985,INSUMOS!$A:$D,2,0),IFERROR(VLOOKUP($C985,COTAÇÕES!$B:$I,2,0),(VLOOKUP($C985,'INSUMO SINAPI - SP'!$C:$F,2,0)))))</f>
        <v>AUXILIAR DE ENCANADOR OU BOMBEIRO HIDRÁULICO COM ENCARGOS COMPLEMENTARES</v>
      </c>
      <c r="F985" s="510" t="str">
        <f>IF($C985="",IFERROR(VLOOKUP($B985,SERVIÇOS!$B:$G,3,0),IFERROR(VLOOKUP($B985,$D:$K,3,0),"")),IFERROR(VLOOKUP($C985,INSUMOS!$A:$D,3,0),IFERROR(VLOOKUP($C985,COTAÇÕES!$B:$I,3,0),(VLOOKUP($C985,'INSUMO SINAPI - SP'!$C:$F,3,0)))))</f>
        <v>H</v>
      </c>
      <c r="G985" s="511">
        <f>0.15*3</f>
        <v>0.44999999999999996</v>
      </c>
      <c r="H985" s="512">
        <f>IF($C985="",IFERROR(VLOOKUP($B985,SERVIÇOS!$B:$G,6,0),IFERROR(VLOOKUP($B985,$D:$K,8,0),"")),IFERROR(VLOOKUP($C985,INSUMOS!$A:$D,4,0),IFERROR(VLOOKUP($C985,COTAÇÕES!$B:$I,7,0),(VLOOKUP($C985,'INSUMO SINAPI - SP'!$C:$F,4,0)))))</f>
        <v>29.72</v>
      </c>
      <c r="I985" s="513">
        <f>TRUNC(IF($C985="",IFERROR(VLOOKUP($B985,SERVIÇOS!$B:$G,4,0),IFERROR(VLOOKUP($B985,$D:$K,6,0),)),IFERROR(VLOOKUP($C985,INSUMOS!$A:$D,4,0),IFERROR(VLOOKUP($C985,COTAÇÕES!$B:$I,7,0),(VLOOKUP($C985,'INSUMO SINAPI - SP'!$C:$F,4,0)))))*$G985,2)</f>
        <v>3.88</v>
      </c>
      <c r="J985" s="513">
        <f>TRUNC(IF($C985="",IFERROR(VLOOKUP($B985,SERVIÇOS!$B:$G,5,0),IFERROR(VLOOKUP($B985,$D:$K,7,0),)),0)*$G985,2)</f>
        <v>9.48</v>
      </c>
      <c r="K985" s="514">
        <f>I985+J985</f>
        <v>13.36</v>
      </c>
      <c r="L985" s="515"/>
      <c r="M985" s="471"/>
      <c r="N985" s="516"/>
      <c r="Q985" s="472"/>
      <c r="R985" s="472"/>
      <c r="S985" s="472"/>
      <c r="T985" s="472"/>
      <c r="U985" s="472"/>
      <c r="V985" s="472"/>
      <c r="W985" s="472"/>
      <c r="X985" s="472"/>
      <c r="Y985" s="472"/>
    </row>
    <row r="986" spans="1:25" x14ac:dyDescent="0.25">
      <c r="A986" s="463"/>
      <c r="B986" s="506">
        <v>88267</v>
      </c>
      <c r="C986" s="507"/>
      <c r="D986" s="508"/>
      <c r="E986" s="509" t="str">
        <f>IF($C986="",IFERROR(VLOOKUP($B986,SERVIÇOS!$B:$G,2,0),IFERROR(VLOOKUP($B986,$D:$K,2,0),"")),IFERROR(VLOOKUP($C986,INSUMOS!$A:$D,2,0),IFERROR(VLOOKUP($C986,COTAÇÕES!$B:$I,2,0),(VLOOKUP($C986,'INSUMO SINAPI - SP'!$C:$F,2,0)))))</f>
        <v>ENCANADOR OU BOMBEIRO HIDRÁULICO COM ENCARGOS COMPLEMENTARES</v>
      </c>
      <c r="F986" s="510" t="str">
        <f>IF($C986="",IFERROR(VLOOKUP($B986,SERVIÇOS!$B:$G,3,0),IFERROR(VLOOKUP($B986,$D:$K,3,0),"")),IFERROR(VLOOKUP($C986,INSUMOS!$A:$D,3,0),IFERROR(VLOOKUP($C986,COTAÇÕES!$B:$I,3,0),(VLOOKUP($C986,'INSUMO SINAPI - SP'!$C:$F,3,0)))))</f>
        <v>H</v>
      </c>
      <c r="G986" s="511">
        <f>0.15*3</f>
        <v>0.44999999999999996</v>
      </c>
      <c r="H986" s="512">
        <f>IF($C986="",IFERROR(VLOOKUP($B986,SERVIÇOS!$B:$G,6,0),IFERROR(VLOOKUP($B986,$D:$K,8,0),"")),IFERROR(VLOOKUP($C986,INSUMOS!$A:$D,4,0),IFERROR(VLOOKUP($C986,COTAÇÕES!$B:$I,7,0),(VLOOKUP($C986,'INSUMO SINAPI - SP'!$C:$F,4,0)))))</f>
        <v>36.17</v>
      </c>
      <c r="I986" s="513">
        <f>TRUNC(IF($C986="",IFERROR(VLOOKUP($B986,SERVIÇOS!$B:$G,4,0),IFERROR(VLOOKUP($B986,$D:$K,6,0),)),IFERROR(VLOOKUP($C986,INSUMOS!$A:$D,4,0),IFERROR(VLOOKUP($C986,COTAÇÕES!$B:$I,7,0),(VLOOKUP($C986,'INSUMO SINAPI - SP'!$C:$F,4,0)))))*$G986,2)</f>
        <v>3.88</v>
      </c>
      <c r="J986" s="513">
        <f>TRUNC(IF($C986="",IFERROR(VLOOKUP($B986,SERVIÇOS!$B:$G,5,0),IFERROR(VLOOKUP($B986,$D:$K,7,0),)),0)*$G986,2)</f>
        <v>12.38</v>
      </c>
      <c r="K986" s="514">
        <f>I986+J986</f>
        <v>16.260000000000002</v>
      </c>
      <c r="L986" s="515"/>
      <c r="M986" s="471"/>
      <c r="N986" s="516"/>
      <c r="Q986" s="472"/>
      <c r="R986" s="472"/>
      <c r="S986" s="472"/>
      <c r="T986" s="472"/>
      <c r="U986" s="472"/>
      <c r="V986" s="472"/>
      <c r="W986" s="472"/>
      <c r="X986" s="472"/>
      <c r="Y986" s="472"/>
    </row>
    <row r="987" spans="1:25" ht="36" x14ac:dyDescent="0.25">
      <c r="A987" s="463"/>
      <c r="B987" s="498"/>
      <c r="C987" s="498"/>
      <c r="D987" s="499" t="s">
        <v>12358</v>
      </c>
      <c r="E987" s="555" t="s">
        <v>13138</v>
      </c>
      <c r="F987" s="501" t="s">
        <v>580</v>
      </c>
      <c r="G987" s="502"/>
      <c r="H987" s="503"/>
      <c r="I987" s="504">
        <f>ROUND(SUM(I988:I990),2)</f>
        <v>200.93</v>
      </c>
      <c r="J987" s="504">
        <f>ROUND(SUM(J988:J990),2)</f>
        <v>24.3</v>
      </c>
      <c r="K987" s="504">
        <f>+J987+I987</f>
        <v>225.23000000000002</v>
      </c>
      <c r="L987" s="523"/>
      <c r="M987" s="471"/>
      <c r="N987" s="505"/>
      <c r="Q987" s="472"/>
      <c r="R987" s="472"/>
      <c r="S987" s="472"/>
      <c r="T987" s="472"/>
      <c r="U987" s="472"/>
      <c r="V987" s="472"/>
      <c r="W987" s="472"/>
      <c r="X987" s="472"/>
      <c r="Y987" s="472"/>
    </row>
    <row r="988" spans="1:25" x14ac:dyDescent="0.25">
      <c r="A988" s="463"/>
      <c r="B988" s="506"/>
      <c r="C988" s="507" t="s">
        <v>13139</v>
      </c>
      <c r="D988" s="508"/>
      <c r="E988" s="518" t="s">
        <v>13140</v>
      </c>
      <c r="F988" s="519" t="s">
        <v>578</v>
      </c>
      <c r="G988" s="511">
        <f>0.365*0.235</f>
        <v>8.577499999999999E-2</v>
      </c>
      <c r="H988" s="520">
        <v>2241.88</v>
      </c>
      <c r="I988" s="520">
        <f>TRUNC(H988*G988,2)</f>
        <v>192.29</v>
      </c>
      <c r="J988" s="521"/>
      <c r="K988" s="522">
        <f>I988+J988</f>
        <v>192.29</v>
      </c>
      <c r="L988" s="517" t="s">
        <v>12789</v>
      </c>
      <c r="M988" s="471"/>
      <c r="N988" s="516"/>
      <c r="Q988" s="472"/>
      <c r="R988" s="472"/>
      <c r="S988" s="472"/>
      <c r="T988" s="472"/>
      <c r="U988" s="472"/>
      <c r="V988" s="472"/>
      <c r="W988" s="472"/>
      <c r="X988" s="472"/>
      <c r="Y988" s="472"/>
    </row>
    <row r="989" spans="1:25" x14ac:dyDescent="0.25">
      <c r="A989" s="463"/>
      <c r="B989" s="506">
        <v>88248</v>
      </c>
      <c r="C989" s="507"/>
      <c r="D989" s="508"/>
      <c r="E989" s="509" t="str">
        <f>IF($C989="",IFERROR(VLOOKUP($B989,SERVIÇOS!$B:$G,2,0),IFERROR(VLOOKUP($B989,$D:$K,2,0),"")),IFERROR(VLOOKUP($C989,INSUMOS!$A:$D,2,0),IFERROR(VLOOKUP($C989,COTAÇÕES!$B:$I,2,0),(VLOOKUP($C989,'INSUMO SINAPI - SP'!$C:$F,2,0)))))</f>
        <v>AUXILIAR DE ENCANADOR OU BOMBEIRO HIDRÁULICO COM ENCARGOS COMPLEMENTARES</v>
      </c>
      <c r="F989" s="510" t="str">
        <f>IF($C989="",IFERROR(VLOOKUP($B989,SERVIÇOS!$B:$G,3,0),IFERROR(VLOOKUP($B989,$D:$K,3,0),"")),IFERROR(VLOOKUP($C989,INSUMOS!$A:$D,3,0),IFERROR(VLOOKUP($C989,COTAÇÕES!$B:$I,3,0),(VLOOKUP($C989,'INSUMO SINAPI - SP'!$C:$F,3,0)))))</f>
        <v>H</v>
      </c>
      <c r="G989" s="511">
        <v>0.5</v>
      </c>
      <c r="H989" s="512">
        <f>IF($C989="",IFERROR(VLOOKUP($B989,SERVIÇOS!$B:$G,6,0),IFERROR(VLOOKUP($B989,$D:$K,8,0),"")),IFERROR(VLOOKUP($C989,INSUMOS!$A:$D,4,0),IFERROR(VLOOKUP($C989,COTAÇÕES!$B:$I,7,0),(VLOOKUP($C989,'INSUMO SINAPI - SP'!$C:$F,4,0)))))</f>
        <v>29.72</v>
      </c>
      <c r="I989" s="513">
        <f>TRUNC(IF($C989="",IFERROR(VLOOKUP($B989,SERVIÇOS!$B:$G,4,0),IFERROR(VLOOKUP($B989,$D:$K,6,0),)),IFERROR(VLOOKUP($C989,INSUMOS!$A:$D,4,0),IFERROR(VLOOKUP($C989,COTAÇÕES!$B:$I,7,0),(VLOOKUP($C989,'INSUMO SINAPI - SP'!$C:$F,4,0)))))*$G989,2)</f>
        <v>4.32</v>
      </c>
      <c r="J989" s="513">
        <f>TRUNC(IF($C989="",IFERROR(VLOOKUP($B989,SERVIÇOS!$B:$G,5,0),IFERROR(VLOOKUP($B989,$D:$K,7,0),)),0)*$G989,2)</f>
        <v>10.54</v>
      </c>
      <c r="K989" s="514">
        <f>I989+J989</f>
        <v>14.86</v>
      </c>
      <c r="L989" s="515"/>
      <c r="M989" s="471"/>
      <c r="N989" s="516"/>
      <c r="Q989" s="472"/>
      <c r="R989" s="472"/>
      <c r="S989" s="472"/>
      <c r="T989" s="472"/>
      <c r="U989" s="472"/>
      <c r="V989" s="472"/>
      <c r="W989" s="472"/>
      <c r="X989" s="472"/>
      <c r="Y989" s="472"/>
    </row>
    <row r="990" spans="1:25" x14ac:dyDescent="0.25">
      <c r="A990" s="463"/>
      <c r="B990" s="506">
        <v>88267</v>
      </c>
      <c r="C990" s="507"/>
      <c r="D990" s="508"/>
      <c r="E990" s="509" t="str">
        <f>IF($C990="",IFERROR(VLOOKUP($B990,SERVIÇOS!$B:$G,2,0),IFERROR(VLOOKUP($B990,$D:$K,2,0),"")),IFERROR(VLOOKUP($C990,INSUMOS!$A:$D,2,0),IFERROR(VLOOKUP($C990,COTAÇÕES!$B:$I,2,0),(VLOOKUP($C990,'INSUMO SINAPI - SP'!$C:$F,2,0)))))</f>
        <v>ENCANADOR OU BOMBEIRO HIDRÁULICO COM ENCARGOS COMPLEMENTARES</v>
      </c>
      <c r="F990" s="510" t="str">
        <f>IF($C990="",IFERROR(VLOOKUP($B990,SERVIÇOS!$B:$G,3,0),IFERROR(VLOOKUP($B990,$D:$K,3,0),"")),IFERROR(VLOOKUP($C990,INSUMOS!$A:$D,3,0),IFERROR(VLOOKUP($C990,COTAÇÕES!$B:$I,3,0),(VLOOKUP($C990,'INSUMO SINAPI - SP'!$C:$F,3,0)))))</f>
        <v>H</v>
      </c>
      <c r="G990" s="511">
        <v>0.5</v>
      </c>
      <c r="H990" s="512">
        <f>IF($C990="",IFERROR(VLOOKUP($B990,SERVIÇOS!$B:$G,6,0),IFERROR(VLOOKUP($B990,$D:$K,8,0),"")),IFERROR(VLOOKUP($C990,INSUMOS!$A:$D,4,0),IFERROR(VLOOKUP($C990,COTAÇÕES!$B:$I,7,0),(VLOOKUP($C990,'INSUMO SINAPI - SP'!$C:$F,4,0)))))</f>
        <v>36.17</v>
      </c>
      <c r="I990" s="513">
        <f>TRUNC(IF($C990="",IFERROR(VLOOKUP($B990,SERVIÇOS!$B:$G,4,0),IFERROR(VLOOKUP($B990,$D:$K,6,0),)),IFERROR(VLOOKUP($C990,INSUMOS!$A:$D,4,0),IFERROR(VLOOKUP($C990,COTAÇÕES!$B:$I,7,0),(VLOOKUP($C990,'INSUMO SINAPI - SP'!$C:$F,4,0)))))*$G990,2)</f>
        <v>4.32</v>
      </c>
      <c r="J990" s="513">
        <f>TRUNC(IF($C990="",IFERROR(VLOOKUP($B990,SERVIÇOS!$B:$G,5,0),IFERROR(VLOOKUP($B990,$D:$K,7,0),)),0)*$G990,2)</f>
        <v>13.76</v>
      </c>
      <c r="K990" s="514">
        <f>I990+J990</f>
        <v>18.079999999999998</v>
      </c>
      <c r="L990" s="515"/>
      <c r="M990" s="471"/>
      <c r="N990" s="516"/>
      <c r="Q990" s="472"/>
      <c r="R990" s="472"/>
      <c r="S990" s="472"/>
      <c r="T990" s="472"/>
      <c r="U990" s="472"/>
      <c r="V990" s="472"/>
      <c r="W990" s="472"/>
      <c r="X990" s="472"/>
      <c r="Y990" s="472"/>
    </row>
    <row r="991" spans="1:25" ht="36" x14ac:dyDescent="0.25">
      <c r="A991" s="463"/>
      <c r="B991" s="498"/>
      <c r="C991" s="498"/>
      <c r="D991" s="499" t="s">
        <v>12359</v>
      </c>
      <c r="E991" s="555" t="s">
        <v>13141</v>
      </c>
      <c r="F991" s="501" t="s">
        <v>580</v>
      </c>
      <c r="G991" s="502"/>
      <c r="H991" s="503"/>
      <c r="I991" s="504">
        <f>ROUND(SUM(I992:I994),2)</f>
        <v>323.68</v>
      </c>
      <c r="J991" s="504">
        <f>ROUND(SUM(J992:J994),2)</f>
        <v>24.3</v>
      </c>
      <c r="K991" s="504">
        <f>+J991+I991</f>
        <v>347.98</v>
      </c>
      <c r="L991" s="523"/>
      <c r="M991" s="471"/>
      <c r="N991" s="505"/>
      <c r="Q991" s="472"/>
      <c r="R991" s="472"/>
      <c r="S991" s="472"/>
      <c r="T991" s="472"/>
      <c r="U991" s="472"/>
      <c r="V991" s="472"/>
      <c r="W991" s="472"/>
      <c r="X991" s="472"/>
      <c r="Y991" s="472"/>
    </row>
    <row r="992" spans="1:25" x14ac:dyDescent="0.25">
      <c r="A992" s="463"/>
      <c r="B992" s="506"/>
      <c r="C992" s="507" t="s">
        <v>13139</v>
      </c>
      <c r="D992" s="508"/>
      <c r="E992" s="518" t="s">
        <v>13140</v>
      </c>
      <c r="F992" s="519" t="s">
        <v>578</v>
      </c>
      <c r="G992" s="511">
        <f>0.365*0.385</f>
        <v>0.14052500000000001</v>
      </c>
      <c r="H992" s="520">
        <v>2241.88</v>
      </c>
      <c r="I992" s="520">
        <f>TRUNC(H992*G992,2)</f>
        <v>315.04000000000002</v>
      </c>
      <c r="J992" s="521"/>
      <c r="K992" s="522">
        <f>I992+J992</f>
        <v>315.04000000000002</v>
      </c>
      <c r="L992" s="517" t="s">
        <v>12789</v>
      </c>
      <c r="M992" s="471"/>
      <c r="N992" s="516"/>
      <c r="Q992" s="472"/>
      <c r="R992" s="472"/>
      <c r="S992" s="472"/>
      <c r="T992" s="472"/>
      <c r="U992" s="472"/>
      <c r="V992" s="472"/>
      <c r="W992" s="472"/>
      <c r="X992" s="472"/>
      <c r="Y992" s="472"/>
    </row>
    <row r="993" spans="1:25" x14ac:dyDescent="0.25">
      <c r="A993" s="463"/>
      <c r="B993" s="506">
        <v>88248</v>
      </c>
      <c r="C993" s="507"/>
      <c r="D993" s="508"/>
      <c r="E993" s="509" t="str">
        <f>IF($C993="",IFERROR(VLOOKUP($B993,SERVIÇOS!$B:$G,2,0),IFERROR(VLOOKUP($B993,$D:$K,2,0),"")),IFERROR(VLOOKUP($C993,INSUMOS!$A:$D,2,0),IFERROR(VLOOKUP($C993,COTAÇÕES!$B:$I,2,0),(VLOOKUP($C993,'INSUMO SINAPI - SP'!$C:$F,2,0)))))</f>
        <v>AUXILIAR DE ENCANADOR OU BOMBEIRO HIDRÁULICO COM ENCARGOS COMPLEMENTARES</v>
      </c>
      <c r="F993" s="510" t="str">
        <f>IF($C993="",IFERROR(VLOOKUP($B993,SERVIÇOS!$B:$G,3,0),IFERROR(VLOOKUP($B993,$D:$K,3,0),"")),IFERROR(VLOOKUP($C993,INSUMOS!$A:$D,3,0),IFERROR(VLOOKUP($C993,COTAÇÕES!$B:$I,3,0),(VLOOKUP($C993,'INSUMO SINAPI - SP'!$C:$F,3,0)))))</f>
        <v>H</v>
      </c>
      <c r="G993" s="511">
        <v>0.5</v>
      </c>
      <c r="H993" s="512">
        <f>IF($C993="",IFERROR(VLOOKUP($B993,SERVIÇOS!$B:$G,6,0),IFERROR(VLOOKUP($B993,$D:$K,8,0),"")),IFERROR(VLOOKUP($C993,INSUMOS!$A:$D,4,0),IFERROR(VLOOKUP($C993,COTAÇÕES!$B:$I,7,0),(VLOOKUP($C993,'INSUMO SINAPI - SP'!$C:$F,4,0)))))</f>
        <v>29.72</v>
      </c>
      <c r="I993" s="513">
        <f>TRUNC(IF($C993="",IFERROR(VLOOKUP($B993,SERVIÇOS!$B:$G,4,0),IFERROR(VLOOKUP($B993,$D:$K,6,0),)),IFERROR(VLOOKUP($C993,INSUMOS!$A:$D,4,0),IFERROR(VLOOKUP($C993,COTAÇÕES!$B:$I,7,0),(VLOOKUP($C993,'INSUMO SINAPI - SP'!$C:$F,4,0)))))*$G993,2)</f>
        <v>4.32</v>
      </c>
      <c r="J993" s="513">
        <f>TRUNC(IF($C993="",IFERROR(VLOOKUP($B993,SERVIÇOS!$B:$G,5,0),IFERROR(VLOOKUP($B993,$D:$K,7,0),)),0)*$G993,2)</f>
        <v>10.54</v>
      </c>
      <c r="K993" s="514">
        <f>I993+J993</f>
        <v>14.86</v>
      </c>
      <c r="L993" s="515"/>
      <c r="M993" s="471"/>
      <c r="N993" s="516"/>
      <c r="Q993" s="472"/>
      <c r="R993" s="472"/>
      <c r="S993" s="472"/>
      <c r="T993" s="472"/>
      <c r="U993" s="472"/>
      <c r="V993" s="472"/>
      <c r="W993" s="472"/>
      <c r="X993" s="472"/>
      <c r="Y993" s="472"/>
    </row>
    <row r="994" spans="1:25" x14ac:dyDescent="0.25">
      <c r="A994" s="463"/>
      <c r="B994" s="506">
        <v>88267</v>
      </c>
      <c r="C994" s="507"/>
      <c r="D994" s="508"/>
      <c r="E994" s="509" t="str">
        <f>IF($C994="",IFERROR(VLOOKUP($B994,SERVIÇOS!$B:$G,2,0),IFERROR(VLOOKUP($B994,$D:$K,2,0),"")),IFERROR(VLOOKUP($C994,INSUMOS!$A:$D,2,0),IFERROR(VLOOKUP($C994,COTAÇÕES!$B:$I,2,0),(VLOOKUP($C994,'INSUMO SINAPI - SP'!$C:$F,2,0)))))</f>
        <v>ENCANADOR OU BOMBEIRO HIDRÁULICO COM ENCARGOS COMPLEMENTARES</v>
      </c>
      <c r="F994" s="510" t="str">
        <f>IF($C994="",IFERROR(VLOOKUP($B994,SERVIÇOS!$B:$G,3,0),IFERROR(VLOOKUP($B994,$D:$K,3,0),"")),IFERROR(VLOOKUP($C994,INSUMOS!$A:$D,3,0),IFERROR(VLOOKUP($C994,COTAÇÕES!$B:$I,3,0),(VLOOKUP($C994,'INSUMO SINAPI - SP'!$C:$F,3,0)))))</f>
        <v>H</v>
      </c>
      <c r="G994" s="511">
        <v>0.5</v>
      </c>
      <c r="H994" s="512">
        <f>IF($C994="",IFERROR(VLOOKUP($B994,SERVIÇOS!$B:$G,6,0),IFERROR(VLOOKUP($B994,$D:$K,8,0),"")),IFERROR(VLOOKUP($C994,INSUMOS!$A:$D,4,0),IFERROR(VLOOKUP($C994,COTAÇÕES!$B:$I,7,0),(VLOOKUP($C994,'INSUMO SINAPI - SP'!$C:$F,4,0)))))</f>
        <v>36.17</v>
      </c>
      <c r="I994" s="513">
        <f>TRUNC(IF($C994="",IFERROR(VLOOKUP($B994,SERVIÇOS!$B:$G,4,0),IFERROR(VLOOKUP($B994,$D:$K,6,0),)),IFERROR(VLOOKUP($C994,INSUMOS!$A:$D,4,0),IFERROR(VLOOKUP($C994,COTAÇÕES!$B:$I,7,0),(VLOOKUP($C994,'INSUMO SINAPI - SP'!$C:$F,4,0)))))*$G994,2)</f>
        <v>4.32</v>
      </c>
      <c r="J994" s="513">
        <f>TRUNC(IF($C994="",IFERROR(VLOOKUP($B994,SERVIÇOS!$B:$G,5,0),IFERROR(VLOOKUP($B994,$D:$K,7,0),)),0)*$G994,2)</f>
        <v>13.76</v>
      </c>
      <c r="K994" s="514">
        <f>I994+J994</f>
        <v>18.079999999999998</v>
      </c>
      <c r="L994" s="515"/>
      <c r="M994" s="471"/>
      <c r="N994" s="516"/>
      <c r="Q994" s="472"/>
      <c r="R994" s="472"/>
      <c r="S994" s="472"/>
      <c r="T994" s="472"/>
      <c r="U994" s="472"/>
      <c r="V994" s="472"/>
      <c r="W994" s="472"/>
      <c r="X994" s="472"/>
      <c r="Y994" s="472"/>
    </row>
    <row r="995" spans="1:25" ht="36" x14ac:dyDescent="0.25">
      <c r="A995" s="463"/>
      <c r="B995" s="498"/>
      <c r="C995" s="498"/>
      <c r="D995" s="499" t="s">
        <v>12360</v>
      </c>
      <c r="E995" s="555" t="s">
        <v>13142</v>
      </c>
      <c r="F995" s="501" t="s">
        <v>580</v>
      </c>
      <c r="G995" s="502"/>
      <c r="H995" s="503"/>
      <c r="I995" s="504">
        <f>ROUND(SUM(I996:I998),2)</f>
        <v>446.42</v>
      </c>
      <c r="J995" s="504">
        <f>ROUND(SUM(J996:J998),2)</f>
        <v>24.3</v>
      </c>
      <c r="K995" s="504">
        <f>+J995+I995</f>
        <v>470.72</v>
      </c>
      <c r="L995" s="523"/>
      <c r="M995" s="471"/>
      <c r="N995" s="505"/>
      <c r="Q995" s="472"/>
      <c r="R995" s="472"/>
      <c r="S995" s="472"/>
      <c r="T995" s="472"/>
      <c r="U995" s="472"/>
      <c r="V995" s="472"/>
      <c r="W995" s="472"/>
      <c r="X995" s="472"/>
      <c r="Y995" s="472"/>
    </row>
    <row r="996" spans="1:25" x14ac:dyDescent="0.25">
      <c r="A996" s="463"/>
      <c r="B996" s="506"/>
      <c r="C996" s="507" t="s">
        <v>13139</v>
      </c>
      <c r="D996" s="508"/>
      <c r="E996" s="518" t="s">
        <v>13140</v>
      </c>
      <c r="F996" s="519" t="s">
        <v>578</v>
      </c>
      <c r="G996" s="511">
        <f>0.365*0.535</f>
        <v>0.195275</v>
      </c>
      <c r="H996" s="520">
        <v>2241.88</v>
      </c>
      <c r="I996" s="520">
        <f>TRUNC(H996*G996,2)</f>
        <v>437.78</v>
      </c>
      <c r="J996" s="521"/>
      <c r="K996" s="522">
        <f>I996+J996</f>
        <v>437.78</v>
      </c>
      <c r="L996" s="517" t="s">
        <v>12789</v>
      </c>
      <c r="M996" s="471"/>
      <c r="N996" s="516"/>
      <c r="Q996" s="472"/>
      <c r="R996" s="472"/>
      <c r="S996" s="472"/>
      <c r="T996" s="472"/>
      <c r="U996" s="472"/>
      <c r="V996" s="472"/>
      <c r="W996" s="472"/>
      <c r="X996" s="472"/>
      <c r="Y996" s="472"/>
    </row>
    <row r="997" spans="1:25" x14ac:dyDescent="0.25">
      <c r="A997" s="463"/>
      <c r="B997" s="506">
        <v>88248</v>
      </c>
      <c r="C997" s="507"/>
      <c r="D997" s="508"/>
      <c r="E997" s="509" t="str">
        <f>IF($C997="",IFERROR(VLOOKUP($B997,SERVIÇOS!$B:$G,2,0),IFERROR(VLOOKUP($B997,$D:$K,2,0),"")),IFERROR(VLOOKUP($C997,INSUMOS!$A:$D,2,0),IFERROR(VLOOKUP($C997,COTAÇÕES!$B:$I,2,0),(VLOOKUP($C997,'INSUMO SINAPI - SP'!$C:$F,2,0)))))</f>
        <v>AUXILIAR DE ENCANADOR OU BOMBEIRO HIDRÁULICO COM ENCARGOS COMPLEMENTARES</v>
      </c>
      <c r="F997" s="510" t="str">
        <f>IF($C997="",IFERROR(VLOOKUP($B997,SERVIÇOS!$B:$G,3,0),IFERROR(VLOOKUP($B997,$D:$K,3,0),"")),IFERROR(VLOOKUP($C997,INSUMOS!$A:$D,3,0),IFERROR(VLOOKUP($C997,COTAÇÕES!$B:$I,3,0),(VLOOKUP($C997,'INSUMO SINAPI - SP'!$C:$F,3,0)))))</f>
        <v>H</v>
      </c>
      <c r="G997" s="511">
        <v>0.5</v>
      </c>
      <c r="H997" s="512">
        <f>IF($C997="",IFERROR(VLOOKUP($B997,SERVIÇOS!$B:$G,6,0),IFERROR(VLOOKUP($B997,$D:$K,8,0),"")),IFERROR(VLOOKUP($C997,INSUMOS!$A:$D,4,0),IFERROR(VLOOKUP($C997,COTAÇÕES!$B:$I,7,0),(VLOOKUP($C997,'INSUMO SINAPI - SP'!$C:$F,4,0)))))</f>
        <v>29.72</v>
      </c>
      <c r="I997" s="513">
        <f>TRUNC(IF($C997="",IFERROR(VLOOKUP($B997,SERVIÇOS!$B:$G,4,0),IFERROR(VLOOKUP($B997,$D:$K,6,0),)),IFERROR(VLOOKUP($C997,INSUMOS!$A:$D,4,0),IFERROR(VLOOKUP($C997,COTAÇÕES!$B:$I,7,0),(VLOOKUP($C997,'INSUMO SINAPI - SP'!$C:$F,4,0)))))*$G997,2)</f>
        <v>4.32</v>
      </c>
      <c r="J997" s="513">
        <f>TRUNC(IF($C997="",IFERROR(VLOOKUP($B997,SERVIÇOS!$B:$G,5,0),IFERROR(VLOOKUP($B997,$D:$K,7,0),)),0)*$G997,2)</f>
        <v>10.54</v>
      </c>
      <c r="K997" s="514">
        <f>I997+J997</f>
        <v>14.86</v>
      </c>
      <c r="L997" s="515"/>
      <c r="M997" s="471"/>
      <c r="N997" s="516"/>
      <c r="Q997" s="472"/>
      <c r="R997" s="472"/>
      <c r="S997" s="472"/>
      <c r="T997" s="472"/>
      <c r="U997" s="472"/>
      <c r="V997" s="472"/>
      <c r="W997" s="472"/>
      <c r="X997" s="472"/>
      <c r="Y997" s="472"/>
    </row>
    <row r="998" spans="1:25" x14ac:dyDescent="0.25">
      <c r="A998" s="463"/>
      <c r="B998" s="506">
        <v>88267</v>
      </c>
      <c r="C998" s="507"/>
      <c r="D998" s="508"/>
      <c r="E998" s="509" t="str">
        <f>IF($C998="",IFERROR(VLOOKUP($B998,SERVIÇOS!$B:$G,2,0),IFERROR(VLOOKUP($B998,$D:$K,2,0),"")),IFERROR(VLOOKUP($C998,INSUMOS!$A:$D,2,0),IFERROR(VLOOKUP($C998,COTAÇÕES!$B:$I,2,0),(VLOOKUP($C998,'INSUMO SINAPI - SP'!$C:$F,2,0)))))</f>
        <v>ENCANADOR OU BOMBEIRO HIDRÁULICO COM ENCARGOS COMPLEMENTARES</v>
      </c>
      <c r="F998" s="510" t="str">
        <f>IF($C998="",IFERROR(VLOOKUP($B998,SERVIÇOS!$B:$G,3,0),IFERROR(VLOOKUP($B998,$D:$K,3,0),"")),IFERROR(VLOOKUP($C998,INSUMOS!$A:$D,3,0),IFERROR(VLOOKUP($C998,COTAÇÕES!$B:$I,3,0),(VLOOKUP($C998,'INSUMO SINAPI - SP'!$C:$F,3,0)))))</f>
        <v>H</v>
      </c>
      <c r="G998" s="511">
        <v>0.5</v>
      </c>
      <c r="H998" s="512">
        <f>IF($C998="",IFERROR(VLOOKUP($B998,SERVIÇOS!$B:$G,6,0),IFERROR(VLOOKUP($B998,$D:$K,8,0),"")),IFERROR(VLOOKUP($C998,INSUMOS!$A:$D,4,0),IFERROR(VLOOKUP($C998,COTAÇÕES!$B:$I,7,0),(VLOOKUP($C998,'INSUMO SINAPI - SP'!$C:$F,4,0)))))</f>
        <v>36.17</v>
      </c>
      <c r="I998" s="513">
        <f>TRUNC(IF($C998="",IFERROR(VLOOKUP($B998,SERVIÇOS!$B:$G,4,0),IFERROR(VLOOKUP($B998,$D:$K,6,0),)),IFERROR(VLOOKUP($C998,INSUMOS!$A:$D,4,0),IFERROR(VLOOKUP($C998,COTAÇÕES!$B:$I,7,0),(VLOOKUP($C998,'INSUMO SINAPI - SP'!$C:$F,4,0)))))*$G998,2)</f>
        <v>4.32</v>
      </c>
      <c r="J998" s="513">
        <f>TRUNC(IF($C998="",IFERROR(VLOOKUP($B998,SERVIÇOS!$B:$G,5,0),IFERROR(VLOOKUP($B998,$D:$K,7,0),)),0)*$G998,2)</f>
        <v>13.76</v>
      </c>
      <c r="K998" s="514">
        <f>I998+J998</f>
        <v>18.079999999999998</v>
      </c>
      <c r="L998" s="515"/>
      <c r="M998" s="471"/>
      <c r="N998" s="516"/>
      <c r="Q998" s="472"/>
      <c r="R998" s="472"/>
      <c r="S998" s="472"/>
      <c r="T998" s="472"/>
      <c r="U998" s="472"/>
      <c r="V998" s="472"/>
      <c r="W998" s="472"/>
      <c r="X998" s="472"/>
      <c r="Y998" s="472"/>
    </row>
    <row r="999" spans="1:25" ht="48" x14ac:dyDescent="0.25">
      <c r="A999" s="463"/>
      <c r="B999" s="498"/>
      <c r="C999" s="498"/>
      <c r="D999" s="499" t="s">
        <v>12363</v>
      </c>
      <c r="E999" s="555" t="s">
        <v>13143</v>
      </c>
      <c r="F999" s="501" t="s">
        <v>580</v>
      </c>
      <c r="G999" s="502"/>
      <c r="H999" s="503"/>
      <c r="I999" s="504">
        <f>ROUND(SUM(I1000:I1002),2)</f>
        <v>98.26</v>
      </c>
      <c r="J999" s="504">
        <f>ROUND(SUM(J1000:J1002),2)</f>
        <v>21.86</v>
      </c>
      <c r="K999" s="504">
        <f>+J999+I999</f>
        <v>120.12</v>
      </c>
      <c r="L999" s="523"/>
      <c r="M999" s="471"/>
      <c r="N999" s="505"/>
      <c r="Q999" s="472"/>
      <c r="R999" s="472"/>
      <c r="S999" s="472"/>
      <c r="T999" s="472"/>
      <c r="U999" s="472"/>
      <c r="V999" s="472"/>
      <c r="W999" s="472"/>
      <c r="X999" s="472"/>
      <c r="Y999" s="472"/>
    </row>
    <row r="1000" spans="1:25" ht="48" x14ac:dyDescent="0.25">
      <c r="A1000" s="463"/>
      <c r="B1000" s="506"/>
      <c r="C1000" s="507" t="s">
        <v>13144</v>
      </c>
      <c r="D1000" s="508"/>
      <c r="E1000" s="518" t="s">
        <v>13143</v>
      </c>
      <c r="F1000" s="519" t="s">
        <v>580</v>
      </c>
      <c r="G1000" s="511">
        <v>1</v>
      </c>
      <c r="H1000" s="520">
        <v>90.5</v>
      </c>
      <c r="I1000" s="520">
        <f>TRUNC(H1000*G1000,2)</f>
        <v>90.5</v>
      </c>
      <c r="J1000" s="521"/>
      <c r="K1000" s="522">
        <f>I1000+J1000</f>
        <v>90.5</v>
      </c>
      <c r="L1000" s="517" t="s">
        <v>12901</v>
      </c>
      <c r="M1000" s="471"/>
      <c r="N1000" s="516"/>
      <c r="Q1000" s="472"/>
      <c r="R1000" s="472"/>
      <c r="S1000" s="472"/>
      <c r="T1000" s="472"/>
      <c r="U1000" s="472"/>
      <c r="V1000" s="472"/>
      <c r="W1000" s="472"/>
      <c r="X1000" s="472"/>
      <c r="Y1000" s="472"/>
    </row>
    <row r="1001" spans="1:25" x14ac:dyDescent="0.25">
      <c r="A1001" s="463"/>
      <c r="B1001" s="506">
        <v>88248</v>
      </c>
      <c r="C1001" s="507"/>
      <c r="D1001" s="508"/>
      <c r="E1001" s="509" t="str">
        <f>IF($C1001="",IFERROR(VLOOKUP($B1001,SERVIÇOS!$B:$G,2,0),IFERROR(VLOOKUP($B1001,$D:$K,2,0),"")),IFERROR(VLOOKUP($C1001,INSUMOS!$A:$D,2,0),IFERROR(VLOOKUP($C1001,COTAÇÕES!$B:$I,2,0),(VLOOKUP($C1001,'INSUMO SINAPI - SP'!$C:$F,2,0)))))</f>
        <v>AUXILIAR DE ENCANADOR OU BOMBEIRO HIDRÁULICO COM ENCARGOS COMPLEMENTARES</v>
      </c>
      <c r="F1001" s="510" t="str">
        <f>IF($C1001="",IFERROR(VLOOKUP($B1001,SERVIÇOS!$B:$G,3,0),IFERROR(VLOOKUP($B1001,$D:$K,3,0),"")),IFERROR(VLOOKUP($C1001,INSUMOS!$A:$D,3,0),IFERROR(VLOOKUP($C1001,COTAÇÕES!$B:$I,3,0),(VLOOKUP($C1001,'INSUMO SINAPI - SP'!$C:$F,3,0)))))</f>
        <v>H</v>
      </c>
      <c r="G1001" s="511">
        <v>0.45</v>
      </c>
      <c r="H1001" s="512">
        <f>IF($C1001="",IFERROR(VLOOKUP($B1001,SERVIÇOS!$B:$G,6,0),IFERROR(VLOOKUP($B1001,$D:$K,8,0),"")),IFERROR(VLOOKUP($C1001,INSUMOS!$A:$D,4,0),IFERROR(VLOOKUP($C1001,COTAÇÕES!$B:$I,7,0),(VLOOKUP($C1001,'INSUMO SINAPI - SP'!$C:$F,4,0)))))</f>
        <v>29.72</v>
      </c>
      <c r="I1001" s="513">
        <f>TRUNC(IF($C1001="",IFERROR(VLOOKUP($B1001,SERVIÇOS!$B:$G,4,0),IFERROR(VLOOKUP($B1001,$D:$K,6,0),)),IFERROR(VLOOKUP($C1001,INSUMOS!$A:$D,4,0),IFERROR(VLOOKUP($C1001,COTAÇÕES!$B:$I,7,0),(VLOOKUP($C1001,'INSUMO SINAPI - SP'!$C:$F,4,0)))))*$G1001,2)</f>
        <v>3.88</v>
      </c>
      <c r="J1001" s="513">
        <f>TRUNC(IF($C1001="",IFERROR(VLOOKUP($B1001,SERVIÇOS!$B:$G,5,0),IFERROR(VLOOKUP($B1001,$D:$K,7,0),)),0)*$G1001,2)</f>
        <v>9.48</v>
      </c>
      <c r="K1001" s="514">
        <f>I1001+J1001</f>
        <v>13.36</v>
      </c>
      <c r="L1001" s="515"/>
      <c r="M1001" s="471"/>
      <c r="N1001" s="516"/>
      <c r="Q1001" s="472"/>
      <c r="R1001" s="472"/>
      <c r="S1001" s="472"/>
      <c r="T1001" s="472"/>
      <c r="U1001" s="472"/>
      <c r="V1001" s="472"/>
      <c r="W1001" s="472"/>
      <c r="X1001" s="472"/>
      <c r="Y1001" s="472"/>
    </row>
    <row r="1002" spans="1:25" x14ac:dyDescent="0.25">
      <c r="A1002" s="463"/>
      <c r="B1002" s="506">
        <v>88267</v>
      </c>
      <c r="C1002" s="507"/>
      <c r="D1002" s="508"/>
      <c r="E1002" s="509" t="str">
        <f>IF($C1002="",IFERROR(VLOOKUP($B1002,SERVIÇOS!$B:$G,2,0),IFERROR(VLOOKUP($B1002,$D:$K,2,0),"")),IFERROR(VLOOKUP($C1002,INSUMOS!$A:$D,2,0),IFERROR(VLOOKUP($C1002,COTAÇÕES!$B:$I,2,0),(VLOOKUP($C1002,'INSUMO SINAPI - SP'!$C:$F,2,0)))))</f>
        <v>ENCANADOR OU BOMBEIRO HIDRÁULICO COM ENCARGOS COMPLEMENTARES</v>
      </c>
      <c r="F1002" s="510" t="str">
        <f>IF($C1002="",IFERROR(VLOOKUP($B1002,SERVIÇOS!$B:$G,3,0),IFERROR(VLOOKUP($B1002,$D:$K,3,0),"")),IFERROR(VLOOKUP($C1002,INSUMOS!$A:$D,3,0),IFERROR(VLOOKUP($C1002,COTAÇÕES!$B:$I,3,0),(VLOOKUP($C1002,'INSUMO SINAPI - SP'!$C:$F,3,0)))))</f>
        <v>H</v>
      </c>
      <c r="G1002" s="511">
        <v>0.45</v>
      </c>
      <c r="H1002" s="512">
        <f>IF($C1002="",IFERROR(VLOOKUP($B1002,SERVIÇOS!$B:$G,6,0),IFERROR(VLOOKUP($B1002,$D:$K,8,0),"")),IFERROR(VLOOKUP($C1002,INSUMOS!$A:$D,4,0),IFERROR(VLOOKUP($C1002,COTAÇÕES!$B:$I,7,0),(VLOOKUP($C1002,'INSUMO SINAPI - SP'!$C:$F,4,0)))))</f>
        <v>36.17</v>
      </c>
      <c r="I1002" s="513">
        <f>TRUNC(IF($C1002="",IFERROR(VLOOKUP($B1002,SERVIÇOS!$B:$G,4,0),IFERROR(VLOOKUP($B1002,$D:$K,6,0),)),IFERROR(VLOOKUP($C1002,INSUMOS!$A:$D,4,0),IFERROR(VLOOKUP($C1002,COTAÇÕES!$B:$I,7,0),(VLOOKUP($C1002,'INSUMO SINAPI - SP'!$C:$F,4,0)))))*$G1002,2)</f>
        <v>3.88</v>
      </c>
      <c r="J1002" s="513">
        <f>TRUNC(IF($C1002="",IFERROR(VLOOKUP($B1002,SERVIÇOS!$B:$G,5,0),IFERROR(VLOOKUP($B1002,$D:$K,7,0),)),0)*$G1002,2)</f>
        <v>12.38</v>
      </c>
      <c r="K1002" s="514">
        <f>I1002+J1002</f>
        <v>16.260000000000002</v>
      </c>
      <c r="L1002" s="515"/>
      <c r="M1002" s="471"/>
      <c r="N1002" s="516"/>
      <c r="Q1002" s="472"/>
      <c r="R1002" s="472"/>
      <c r="S1002" s="472"/>
      <c r="T1002" s="472"/>
      <c r="U1002" s="472"/>
      <c r="V1002" s="472"/>
      <c r="W1002" s="472"/>
      <c r="X1002" s="472"/>
      <c r="Y1002" s="472"/>
    </row>
    <row r="1003" spans="1:25" ht="48" x14ac:dyDescent="0.25">
      <c r="A1003" s="463"/>
      <c r="B1003" s="498"/>
      <c r="C1003" s="498"/>
      <c r="D1003" s="499" t="s">
        <v>12364</v>
      </c>
      <c r="E1003" s="555" t="s">
        <v>13145</v>
      </c>
      <c r="F1003" s="501" t="s">
        <v>580</v>
      </c>
      <c r="G1003" s="502"/>
      <c r="H1003" s="503"/>
      <c r="I1003" s="504">
        <f>ROUND(SUM(I1004:I1006),2)</f>
        <v>127.41</v>
      </c>
      <c r="J1003" s="504">
        <f>ROUND(SUM(J1004:J1006),2)</f>
        <v>21.86</v>
      </c>
      <c r="K1003" s="504">
        <f>+J1003+I1003</f>
        <v>149.26999999999998</v>
      </c>
      <c r="L1003" s="523"/>
      <c r="M1003" s="471"/>
      <c r="N1003" s="505"/>
      <c r="Q1003" s="472"/>
      <c r="R1003" s="472"/>
      <c r="S1003" s="472"/>
      <c r="T1003" s="472"/>
      <c r="U1003" s="472"/>
      <c r="V1003" s="472"/>
      <c r="W1003" s="472"/>
      <c r="X1003" s="472"/>
      <c r="Y1003" s="472"/>
    </row>
    <row r="1004" spans="1:25" ht="48" x14ac:dyDescent="0.25">
      <c r="A1004" s="463"/>
      <c r="B1004" s="506"/>
      <c r="C1004" s="507" t="s">
        <v>13146</v>
      </c>
      <c r="D1004" s="508"/>
      <c r="E1004" s="518" t="s">
        <v>13145</v>
      </c>
      <c r="F1004" s="519" t="s">
        <v>580</v>
      </c>
      <c r="G1004" s="511">
        <v>1</v>
      </c>
      <c r="H1004" s="520">
        <v>119.65</v>
      </c>
      <c r="I1004" s="520">
        <f>TRUNC(H1004*G1004,2)</f>
        <v>119.65</v>
      </c>
      <c r="J1004" s="521"/>
      <c r="K1004" s="522">
        <f>I1004+J1004</f>
        <v>119.65</v>
      </c>
      <c r="L1004" s="517" t="s">
        <v>12901</v>
      </c>
      <c r="M1004" s="471"/>
      <c r="N1004" s="516"/>
      <c r="Q1004" s="472"/>
      <c r="R1004" s="472"/>
      <c r="S1004" s="472"/>
      <c r="T1004" s="472"/>
      <c r="U1004" s="472"/>
      <c r="V1004" s="472"/>
      <c r="W1004" s="472"/>
      <c r="X1004" s="472"/>
      <c r="Y1004" s="472"/>
    </row>
    <row r="1005" spans="1:25" x14ac:dyDescent="0.25">
      <c r="A1005" s="463"/>
      <c r="B1005" s="506">
        <v>88248</v>
      </c>
      <c r="C1005" s="507"/>
      <c r="D1005" s="508"/>
      <c r="E1005" s="509" t="str">
        <f>IF($C1005="",IFERROR(VLOOKUP($B1005,SERVIÇOS!$B:$G,2,0),IFERROR(VLOOKUP($B1005,$D:$K,2,0),"")),IFERROR(VLOOKUP($C1005,INSUMOS!$A:$D,2,0),IFERROR(VLOOKUP($C1005,COTAÇÕES!$B:$I,2,0),(VLOOKUP($C1005,'INSUMO SINAPI - SP'!$C:$F,2,0)))))</f>
        <v>AUXILIAR DE ENCANADOR OU BOMBEIRO HIDRÁULICO COM ENCARGOS COMPLEMENTARES</v>
      </c>
      <c r="F1005" s="510" t="str">
        <f>IF($C1005="",IFERROR(VLOOKUP($B1005,SERVIÇOS!$B:$G,3,0),IFERROR(VLOOKUP($B1005,$D:$K,3,0),"")),IFERROR(VLOOKUP($C1005,INSUMOS!$A:$D,3,0),IFERROR(VLOOKUP($C1005,COTAÇÕES!$B:$I,3,0),(VLOOKUP($C1005,'INSUMO SINAPI - SP'!$C:$F,3,0)))))</f>
        <v>H</v>
      </c>
      <c r="G1005" s="511">
        <v>0.45</v>
      </c>
      <c r="H1005" s="512">
        <f>IF($C1005="",IFERROR(VLOOKUP($B1005,SERVIÇOS!$B:$G,6,0),IFERROR(VLOOKUP($B1005,$D:$K,8,0),"")),IFERROR(VLOOKUP($C1005,INSUMOS!$A:$D,4,0),IFERROR(VLOOKUP($C1005,COTAÇÕES!$B:$I,7,0),(VLOOKUP($C1005,'INSUMO SINAPI - SP'!$C:$F,4,0)))))</f>
        <v>29.72</v>
      </c>
      <c r="I1005" s="513">
        <f>TRUNC(IF($C1005="",IFERROR(VLOOKUP($B1005,SERVIÇOS!$B:$G,4,0),IFERROR(VLOOKUP($B1005,$D:$K,6,0),)),IFERROR(VLOOKUP($C1005,INSUMOS!$A:$D,4,0),IFERROR(VLOOKUP($C1005,COTAÇÕES!$B:$I,7,0),(VLOOKUP($C1005,'INSUMO SINAPI - SP'!$C:$F,4,0)))))*$G1005,2)</f>
        <v>3.88</v>
      </c>
      <c r="J1005" s="513">
        <f>TRUNC(IF($C1005="",IFERROR(VLOOKUP($B1005,SERVIÇOS!$B:$G,5,0),IFERROR(VLOOKUP($B1005,$D:$K,7,0),)),0)*$G1005,2)</f>
        <v>9.48</v>
      </c>
      <c r="K1005" s="514">
        <f>I1005+J1005</f>
        <v>13.36</v>
      </c>
      <c r="L1005" s="515"/>
      <c r="M1005" s="471"/>
      <c r="N1005" s="516"/>
      <c r="Q1005" s="472"/>
      <c r="R1005" s="472"/>
      <c r="S1005" s="472"/>
      <c r="T1005" s="472"/>
      <c r="U1005" s="472"/>
      <c r="V1005" s="472"/>
      <c r="W1005" s="472"/>
      <c r="X1005" s="472"/>
      <c r="Y1005" s="472"/>
    </row>
    <row r="1006" spans="1:25" x14ac:dyDescent="0.25">
      <c r="A1006" s="463"/>
      <c r="B1006" s="506">
        <v>88267</v>
      </c>
      <c r="C1006" s="507"/>
      <c r="D1006" s="508"/>
      <c r="E1006" s="509" t="str">
        <f>IF($C1006="",IFERROR(VLOOKUP($B1006,SERVIÇOS!$B:$G,2,0),IFERROR(VLOOKUP($B1006,$D:$K,2,0),"")),IFERROR(VLOOKUP($C1006,INSUMOS!$A:$D,2,0),IFERROR(VLOOKUP($C1006,COTAÇÕES!$B:$I,2,0),(VLOOKUP($C1006,'INSUMO SINAPI - SP'!$C:$F,2,0)))))</f>
        <v>ENCANADOR OU BOMBEIRO HIDRÁULICO COM ENCARGOS COMPLEMENTARES</v>
      </c>
      <c r="F1006" s="510" t="str">
        <f>IF($C1006="",IFERROR(VLOOKUP($B1006,SERVIÇOS!$B:$G,3,0),IFERROR(VLOOKUP($B1006,$D:$K,3,0),"")),IFERROR(VLOOKUP($C1006,INSUMOS!$A:$D,3,0),IFERROR(VLOOKUP($C1006,COTAÇÕES!$B:$I,3,0),(VLOOKUP($C1006,'INSUMO SINAPI - SP'!$C:$F,3,0)))))</f>
        <v>H</v>
      </c>
      <c r="G1006" s="511">
        <v>0.45</v>
      </c>
      <c r="H1006" s="512">
        <f>IF($C1006="",IFERROR(VLOOKUP($B1006,SERVIÇOS!$B:$G,6,0),IFERROR(VLOOKUP($B1006,$D:$K,8,0),"")),IFERROR(VLOOKUP($C1006,INSUMOS!$A:$D,4,0),IFERROR(VLOOKUP($C1006,COTAÇÕES!$B:$I,7,0),(VLOOKUP($C1006,'INSUMO SINAPI - SP'!$C:$F,4,0)))))</f>
        <v>36.17</v>
      </c>
      <c r="I1006" s="513">
        <f>TRUNC(IF($C1006="",IFERROR(VLOOKUP($B1006,SERVIÇOS!$B:$G,4,0),IFERROR(VLOOKUP($B1006,$D:$K,6,0),)),IFERROR(VLOOKUP($C1006,INSUMOS!$A:$D,4,0),IFERROR(VLOOKUP($C1006,COTAÇÕES!$B:$I,7,0),(VLOOKUP($C1006,'INSUMO SINAPI - SP'!$C:$F,4,0)))))*$G1006,2)</f>
        <v>3.88</v>
      </c>
      <c r="J1006" s="513">
        <f>TRUNC(IF($C1006="",IFERROR(VLOOKUP($B1006,SERVIÇOS!$B:$G,5,0),IFERROR(VLOOKUP($B1006,$D:$K,7,0),)),0)*$G1006,2)</f>
        <v>12.38</v>
      </c>
      <c r="K1006" s="514">
        <f>I1006+J1006</f>
        <v>16.260000000000002</v>
      </c>
      <c r="L1006" s="515"/>
      <c r="M1006" s="471"/>
      <c r="N1006" s="516"/>
      <c r="Q1006" s="472"/>
      <c r="R1006" s="472"/>
      <c r="S1006" s="472"/>
      <c r="T1006" s="472"/>
      <c r="U1006" s="472"/>
      <c r="V1006" s="472"/>
      <c r="W1006" s="472"/>
      <c r="X1006" s="472"/>
      <c r="Y1006" s="472"/>
    </row>
    <row r="1007" spans="1:25" ht="48" x14ac:dyDescent="0.25">
      <c r="A1007" s="463"/>
      <c r="B1007" s="498"/>
      <c r="C1007" s="498"/>
      <c r="D1007" s="499" t="s">
        <v>12365</v>
      </c>
      <c r="E1007" s="555" t="s">
        <v>13147</v>
      </c>
      <c r="F1007" s="501" t="s">
        <v>580</v>
      </c>
      <c r="G1007" s="502"/>
      <c r="H1007" s="503"/>
      <c r="I1007" s="504">
        <f>ROUND(SUM(I1008:I1010),2)</f>
        <v>181.22</v>
      </c>
      <c r="J1007" s="504">
        <f>ROUND(SUM(J1008:J1010),2)</f>
        <v>21.86</v>
      </c>
      <c r="K1007" s="504">
        <f>+J1007+I1007</f>
        <v>203.07999999999998</v>
      </c>
      <c r="L1007" s="523"/>
      <c r="M1007" s="471"/>
      <c r="N1007" s="505"/>
      <c r="Q1007" s="472"/>
      <c r="R1007" s="472"/>
      <c r="S1007" s="472"/>
      <c r="T1007" s="472"/>
      <c r="U1007" s="472"/>
      <c r="V1007" s="472"/>
      <c r="W1007" s="472"/>
      <c r="X1007" s="472"/>
      <c r="Y1007" s="472"/>
    </row>
    <row r="1008" spans="1:25" ht="48" x14ac:dyDescent="0.25">
      <c r="A1008" s="463"/>
      <c r="B1008" s="506"/>
      <c r="C1008" s="507" t="s">
        <v>13148</v>
      </c>
      <c r="D1008" s="508"/>
      <c r="E1008" s="518" t="s">
        <v>13147</v>
      </c>
      <c r="F1008" s="519" t="s">
        <v>580</v>
      </c>
      <c r="G1008" s="511">
        <v>1</v>
      </c>
      <c r="H1008" s="520">
        <v>173.46</v>
      </c>
      <c r="I1008" s="520">
        <f>TRUNC(H1008*G1008,2)</f>
        <v>173.46</v>
      </c>
      <c r="J1008" s="521"/>
      <c r="K1008" s="522">
        <f>I1008+J1008</f>
        <v>173.46</v>
      </c>
      <c r="L1008" s="517" t="s">
        <v>12901</v>
      </c>
      <c r="M1008" s="471"/>
      <c r="N1008" s="516"/>
      <c r="Q1008" s="472"/>
      <c r="R1008" s="472"/>
      <c r="S1008" s="472"/>
      <c r="T1008" s="472"/>
      <c r="U1008" s="472"/>
      <c r="V1008" s="472"/>
      <c r="W1008" s="472"/>
      <c r="X1008" s="472"/>
      <c r="Y1008" s="472"/>
    </row>
    <row r="1009" spans="1:25" x14ac:dyDescent="0.25">
      <c r="A1009" s="463"/>
      <c r="B1009" s="506">
        <v>88248</v>
      </c>
      <c r="C1009" s="507"/>
      <c r="D1009" s="508"/>
      <c r="E1009" s="509" t="str">
        <f>IF($C1009="",IFERROR(VLOOKUP($B1009,SERVIÇOS!$B:$G,2,0),IFERROR(VLOOKUP($B1009,$D:$K,2,0),"")),IFERROR(VLOOKUP($C1009,INSUMOS!$A:$D,2,0),IFERROR(VLOOKUP($C1009,COTAÇÕES!$B:$I,2,0),(VLOOKUP($C1009,'INSUMO SINAPI - SP'!$C:$F,2,0)))))</f>
        <v>AUXILIAR DE ENCANADOR OU BOMBEIRO HIDRÁULICO COM ENCARGOS COMPLEMENTARES</v>
      </c>
      <c r="F1009" s="510" t="str">
        <f>IF($C1009="",IFERROR(VLOOKUP($B1009,SERVIÇOS!$B:$G,3,0),IFERROR(VLOOKUP($B1009,$D:$K,3,0),"")),IFERROR(VLOOKUP($C1009,INSUMOS!$A:$D,3,0),IFERROR(VLOOKUP($C1009,COTAÇÕES!$B:$I,3,0),(VLOOKUP($C1009,'INSUMO SINAPI - SP'!$C:$F,3,0)))))</f>
        <v>H</v>
      </c>
      <c r="G1009" s="511">
        <v>0.45</v>
      </c>
      <c r="H1009" s="512">
        <f>IF($C1009="",IFERROR(VLOOKUP($B1009,SERVIÇOS!$B:$G,6,0),IFERROR(VLOOKUP($B1009,$D:$K,8,0),"")),IFERROR(VLOOKUP($C1009,INSUMOS!$A:$D,4,0),IFERROR(VLOOKUP($C1009,COTAÇÕES!$B:$I,7,0),(VLOOKUP($C1009,'INSUMO SINAPI - SP'!$C:$F,4,0)))))</f>
        <v>29.72</v>
      </c>
      <c r="I1009" s="513">
        <f>TRUNC(IF($C1009="",IFERROR(VLOOKUP($B1009,SERVIÇOS!$B:$G,4,0),IFERROR(VLOOKUP($B1009,$D:$K,6,0),)),IFERROR(VLOOKUP($C1009,INSUMOS!$A:$D,4,0),IFERROR(VLOOKUP($C1009,COTAÇÕES!$B:$I,7,0),(VLOOKUP($C1009,'INSUMO SINAPI - SP'!$C:$F,4,0)))))*$G1009,2)</f>
        <v>3.88</v>
      </c>
      <c r="J1009" s="513">
        <f>TRUNC(IF($C1009="",IFERROR(VLOOKUP($B1009,SERVIÇOS!$B:$G,5,0),IFERROR(VLOOKUP($B1009,$D:$K,7,0),)),0)*$G1009,2)</f>
        <v>9.48</v>
      </c>
      <c r="K1009" s="514">
        <f>I1009+J1009</f>
        <v>13.36</v>
      </c>
      <c r="L1009" s="515"/>
      <c r="M1009" s="471"/>
      <c r="N1009" s="516"/>
      <c r="Q1009" s="472"/>
      <c r="R1009" s="472"/>
      <c r="S1009" s="472"/>
      <c r="T1009" s="472"/>
      <c r="U1009" s="472"/>
      <c r="V1009" s="472"/>
      <c r="W1009" s="472"/>
      <c r="X1009" s="472"/>
      <c r="Y1009" s="472"/>
    </row>
    <row r="1010" spans="1:25" x14ac:dyDescent="0.25">
      <c r="A1010" s="463"/>
      <c r="B1010" s="506">
        <v>88267</v>
      </c>
      <c r="C1010" s="507"/>
      <c r="D1010" s="508"/>
      <c r="E1010" s="509" t="str">
        <f>IF($C1010="",IFERROR(VLOOKUP($B1010,SERVIÇOS!$B:$G,2,0),IFERROR(VLOOKUP($B1010,$D:$K,2,0),"")),IFERROR(VLOOKUP($C1010,INSUMOS!$A:$D,2,0),IFERROR(VLOOKUP($C1010,COTAÇÕES!$B:$I,2,0),(VLOOKUP($C1010,'INSUMO SINAPI - SP'!$C:$F,2,0)))))</f>
        <v>ENCANADOR OU BOMBEIRO HIDRÁULICO COM ENCARGOS COMPLEMENTARES</v>
      </c>
      <c r="F1010" s="510" t="str">
        <f>IF($C1010="",IFERROR(VLOOKUP($B1010,SERVIÇOS!$B:$G,3,0),IFERROR(VLOOKUP($B1010,$D:$K,3,0),"")),IFERROR(VLOOKUP($C1010,INSUMOS!$A:$D,3,0),IFERROR(VLOOKUP($C1010,COTAÇÕES!$B:$I,3,0),(VLOOKUP($C1010,'INSUMO SINAPI - SP'!$C:$F,3,0)))))</f>
        <v>H</v>
      </c>
      <c r="G1010" s="511">
        <v>0.45</v>
      </c>
      <c r="H1010" s="512">
        <f>IF($C1010="",IFERROR(VLOOKUP($B1010,SERVIÇOS!$B:$G,6,0),IFERROR(VLOOKUP($B1010,$D:$K,8,0),"")),IFERROR(VLOOKUP($C1010,INSUMOS!$A:$D,4,0),IFERROR(VLOOKUP($C1010,COTAÇÕES!$B:$I,7,0),(VLOOKUP($C1010,'INSUMO SINAPI - SP'!$C:$F,4,0)))))</f>
        <v>36.17</v>
      </c>
      <c r="I1010" s="513">
        <f>TRUNC(IF($C1010="",IFERROR(VLOOKUP($B1010,SERVIÇOS!$B:$G,4,0),IFERROR(VLOOKUP($B1010,$D:$K,6,0),)),IFERROR(VLOOKUP($C1010,INSUMOS!$A:$D,4,0),IFERROR(VLOOKUP($C1010,COTAÇÕES!$B:$I,7,0),(VLOOKUP($C1010,'INSUMO SINAPI - SP'!$C:$F,4,0)))))*$G1010,2)</f>
        <v>3.88</v>
      </c>
      <c r="J1010" s="513">
        <f>TRUNC(IF($C1010="",IFERROR(VLOOKUP($B1010,SERVIÇOS!$B:$G,5,0),IFERROR(VLOOKUP($B1010,$D:$K,7,0),)),0)*$G1010,2)</f>
        <v>12.38</v>
      </c>
      <c r="K1010" s="514">
        <f>I1010+J1010</f>
        <v>16.260000000000002</v>
      </c>
      <c r="L1010" s="515"/>
      <c r="M1010" s="471"/>
      <c r="N1010" s="516"/>
      <c r="Q1010" s="472"/>
      <c r="R1010" s="472"/>
      <c r="S1010" s="472"/>
      <c r="T1010" s="472"/>
      <c r="U1010" s="472"/>
      <c r="V1010" s="472"/>
      <c r="W1010" s="472"/>
      <c r="X1010" s="472"/>
      <c r="Y1010" s="472"/>
    </row>
    <row r="1011" spans="1:25" ht="84" x14ac:dyDescent="0.25">
      <c r="A1011" s="463"/>
      <c r="B1011" s="498"/>
      <c r="C1011" s="498"/>
      <c r="D1011" s="499" t="s">
        <v>12605</v>
      </c>
      <c r="E1011" s="500" t="s">
        <v>13149</v>
      </c>
      <c r="F1011" s="501" t="s">
        <v>580</v>
      </c>
      <c r="G1011" s="502"/>
      <c r="H1011" s="503"/>
      <c r="I1011" s="504">
        <f>SUM(I1012)</f>
        <v>56900</v>
      </c>
      <c r="J1011" s="504">
        <f>SUM(J1012)</f>
        <v>0</v>
      </c>
      <c r="K1011" s="504">
        <f>+J1011+I1011</f>
        <v>56900</v>
      </c>
      <c r="L1011" s="523"/>
      <c r="M1011" s="471"/>
      <c r="N1011" s="505"/>
      <c r="Q1011" s="472"/>
      <c r="R1011" s="472"/>
      <c r="S1011" s="472"/>
      <c r="T1011" s="472"/>
      <c r="U1011" s="472"/>
      <c r="V1011" s="472"/>
      <c r="W1011" s="472"/>
      <c r="X1011" s="472"/>
      <c r="Y1011" s="472"/>
    </row>
    <row r="1012" spans="1:25" ht="144" x14ac:dyDescent="0.25">
      <c r="A1012" s="463"/>
      <c r="B1012" s="506"/>
      <c r="C1012" s="554" t="s">
        <v>13150</v>
      </c>
      <c r="D1012" s="508"/>
      <c r="E1012" s="509" t="str">
        <f>IF($C1012="",IFERROR(VLOOKUP($B1012,SERVIÇOS!$B:$G,2,0),IFERROR(VLOOKUP($B1012,$D:$K,2,0),"")),IFERROR(VLOOKUP($C1012,INSUMOS!$A:$D,2,0),IFERROR(VLOOKUP($C1012,COTAÇÕES!$B:$I,2,0),(VLOOKUP($C1012,'INSUMO SINAPI - SP'!$C:$F,2,0)))))</f>
        <v>SISTEMA CENTRAL DE AR COMPRIMIDO MEDICINAL, DE CAPACIDADE MÍNIMA DE OPERAÇÃO DE 12M³/H, CONTENDO: 
- FILTRO DE ASPIRAÇÃO;
 - COMPRESSORES DE AR (OPERAÇÃO E BACKUP) DO TIPO PISTÃO ISENTOS DE ÓLEO COM VAZÃO DE OPERAÇÃO;
 - CONJUNTO DE FILTRAGEM; 
- SECADOR POR ADSORÇÃO; 
- RESERVATÓRIO DE AR COMPRIMIDO; 
- SISTEMA DE REGULAGEM DE PRESSÃO;
 - PAINEL DE ALARME OPERACIONAL COM TRANSMISSOR DE PRESSÃO DADOS TÉCNICOS:  1810KG - MONOFÁSICA - 4,6KW  - 220V - 60HZ DIMENSÃO: 2100x2000x2800MM (A x L x P). REF: VALMIG AIRMED-STD-12D OU EQUIVALENTE TÉCNICO</v>
      </c>
      <c r="F1012" s="510" t="str">
        <f>IF($C1012="",IFERROR(VLOOKUP($B1012,SERVIÇOS!$B:$G,3,0),IFERROR(VLOOKUP($B1012,$D:$K,3,0),"")),IFERROR(VLOOKUP($C1012,INSUMOS!$A:$D,3,0),IFERROR(VLOOKUP($C1012,COTAÇÕES!$B:$I,3,0),(VLOOKUP($C1012,'INSUMO SINAPI - SP'!$C:$F,3,0)))))</f>
        <v>UN</v>
      </c>
      <c r="G1012" s="511">
        <v>1</v>
      </c>
      <c r="H1012" s="512">
        <f>IF($C1012="",IFERROR(VLOOKUP($B1012,SERVIÇOS!$B:$G,6,0),IFERROR(VLOOKUP($B1012,$D:$K,8,0),"")),IFERROR(VLOOKUP($C1012,INSUMOS!$A:$D,4,0),IFERROR(VLOOKUP($C1012,COTAÇÕES!$B:$I,8,0),(VLOOKUP($C1012,'INSUMO SINAPI - SP'!$C:$F,4,0)))))</f>
        <v>56900</v>
      </c>
      <c r="I1012" s="513">
        <f>TRUNC(IF($C1012="",IFERROR(VLOOKUP($B1012,SERVIÇOS!$B:$G,4,0),IFERROR(VLOOKUP($B1012,$D:$K,6,0),)),IFERROR(VLOOKUP($C1012,INSUMOS!$A:$D,4,0),IFERROR(VLOOKUP($C1012,COTAÇÕES!$B:$I,8,0),(VLOOKUP($C1012,'INSUMO SINAPI - SP'!$C:$F,4,0)))))*$G1012,2)</f>
        <v>56900</v>
      </c>
      <c r="J1012" s="513"/>
      <c r="K1012" s="514">
        <f>I1012+J1012</f>
        <v>56900</v>
      </c>
      <c r="L1012" s="517" t="s">
        <v>12878</v>
      </c>
      <c r="M1012" s="471"/>
      <c r="N1012" s="516"/>
      <c r="Q1012" s="472"/>
      <c r="R1012" s="472"/>
      <c r="S1012" s="472"/>
      <c r="T1012" s="472"/>
      <c r="U1012" s="472"/>
      <c r="V1012" s="472"/>
      <c r="W1012" s="472"/>
      <c r="X1012" s="472"/>
      <c r="Y1012" s="472"/>
    </row>
    <row r="1013" spans="1:25" ht="72" x14ac:dyDescent="0.25">
      <c r="A1013" s="463"/>
      <c r="B1013" s="498"/>
      <c r="C1013" s="498"/>
      <c r="D1013" s="499" t="s">
        <v>12606</v>
      </c>
      <c r="E1013" s="500" t="s">
        <v>13151</v>
      </c>
      <c r="F1013" s="501" t="s">
        <v>580</v>
      </c>
      <c r="G1013" s="502"/>
      <c r="H1013" s="503"/>
      <c r="I1013" s="504">
        <f>SUM(I1014:I1019)</f>
        <v>70282.5</v>
      </c>
      <c r="J1013" s="504">
        <f>SUM(J1014:J1019)</f>
        <v>1545.56</v>
      </c>
      <c r="K1013" s="504">
        <f>+J1013+I1013</f>
        <v>71828.06</v>
      </c>
      <c r="L1013" s="523"/>
      <c r="M1013" s="471"/>
      <c r="N1013" s="505"/>
      <c r="Q1013" s="472"/>
      <c r="R1013" s="472"/>
      <c r="S1013" s="472"/>
      <c r="T1013" s="472"/>
      <c r="U1013" s="472"/>
      <c r="V1013" s="472"/>
      <c r="W1013" s="472"/>
      <c r="X1013" s="472"/>
      <c r="Y1013" s="472"/>
    </row>
    <row r="1014" spans="1:25" ht="72" x14ac:dyDescent="0.25">
      <c r="A1014" s="463"/>
      <c r="B1014" s="506"/>
      <c r="C1014" s="507">
        <v>7632</v>
      </c>
      <c r="D1014" s="508"/>
      <c r="E1014" s="518" t="s">
        <v>13151</v>
      </c>
      <c r="F1014" s="519" t="s">
        <v>580</v>
      </c>
      <c r="G1014" s="511">
        <v>1</v>
      </c>
      <c r="H1014" s="520">
        <v>69000</v>
      </c>
      <c r="I1014" s="520">
        <f>TRUNC(H1014*G1014,2)</f>
        <v>69000</v>
      </c>
      <c r="J1014" s="521"/>
      <c r="K1014" s="522">
        <f t="shared" ref="K1014:K1019" si="29">I1014+J1014</f>
        <v>69000</v>
      </c>
      <c r="L1014" s="517" t="s">
        <v>13152</v>
      </c>
      <c r="M1014" s="471"/>
      <c r="N1014" s="516"/>
      <c r="Q1014" s="472"/>
      <c r="R1014" s="472"/>
      <c r="S1014" s="472"/>
      <c r="T1014" s="472"/>
      <c r="U1014" s="472"/>
      <c r="V1014" s="472"/>
      <c r="W1014" s="472"/>
      <c r="X1014" s="472"/>
      <c r="Y1014" s="472"/>
    </row>
    <row r="1015" spans="1:25" x14ac:dyDescent="0.25">
      <c r="A1015" s="463"/>
      <c r="B1015" s="507">
        <v>88264</v>
      </c>
      <c r="C1015" s="507"/>
      <c r="D1015" s="508"/>
      <c r="E1015" s="509" t="str">
        <f>IF($C1015="",IFERROR(VLOOKUP($B1015,SERVIÇOS!$B:$G,2,0),IFERROR(VLOOKUP($B1015,$D:$K,2,0),"")),IFERROR(VLOOKUP($C1015,INSUMOS!$A:$D,2,0),IFERROR(VLOOKUP($C1015,COTAÇÕES!$B:$I,2,0),(VLOOKUP($C1015,'INSUMO SINAPI - SP'!$C:$F,2,0)))))</f>
        <v>ELETRICISTA COM ENCARGOS COMPLEMENTARES</v>
      </c>
      <c r="F1015" s="510" t="str">
        <f>IF($C1015="",IFERROR(VLOOKUP($B1015,SERVIÇOS!$B:$G,3,0),IFERROR(VLOOKUP($B1015,$D:$K,3,0),"")),IFERROR(VLOOKUP($C1015,INSUMOS!$A:$D,3,0),IFERROR(VLOOKUP($C1015,COTAÇÕES!$B:$I,3,0),(VLOOKUP($C1015,'INSUMO SINAPI - SP'!$C:$F,3,0)))))</f>
        <v>H</v>
      </c>
      <c r="G1015" s="511">
        <v>9</v>
      </c>
      <c r="H1015" s="512">
        <f>IF($C1015="",IFERROR(VLOOKUP($B1015,SERVIÇOS!$B:$G,6,0),IFERROR(VLOOKUP($B1015,$D:$K,8,0),"")),IFERROR(VLOOKUP($C1015,INSUMOS!$A:$D,4,0),IFERROR(VLOOKUP($C1015,COTAÇÕES!$B:$I,7,0),(VLOOKUP($C1015,'INSUMO SINAPI - SP'!$C:$F,4,0)))))</f>
        <v>37.369999999999997</v>
      </c>
      <c r="I1015" s="513">
        <f>TRUNC(IF($C1015="",IFERROR(VLOOKUP($B1015,SERVIÇOS!$B:$G,4,0),IFERROR(VLOOKUP($B1015,$D:$K,6,0),)),IFERROR(VLOOKUP($C1015,INSUMOS!$A:$D,4,0),IFERROR(VLOOKUP($C1015,COTAÇÕES!$B:$I,7,0),(VLOOKUP($C1015,'INSUMO SINAPI - SP'!$C:$F,4,0)))))*$G1015,2)</f>
        <v>83.79</v>
      </c>
      <c r="J1015" s="513">
        <f>TRUNC(IF($C1015="",IFERROR(VLOOKUP($B1015,SERVIÇOS!$B:$G,5,0),IFERROR(VLOOKUP($B1015,$D:$K,7,0),)),0)*$G1015,2)</f>
        <v>252.54</v>
      </c>
      <c r="K1015" s="514">
        <f t="shared" si="29"/>
        <v>336.33</v>
      </c>
      <c r="L1015" s="515"/>
      <c r="M1015" s="471"/>
      <c r="N1015" s="516"/>
      <c r="Q1015" s="472"/>
      <c r="R1015" s="472"/>
      <c r="S1015" s="472"/>
      <c r="T1015" s="472"/>
      <c r="U1015" s="472"/>
      <c r="V1015" s="472"/>
      <c r="W1015" s="472"/>
      <c r="X1015" s="472"/>
      <c r="Y1015" s="472"/>
    </row>
    <row r="1016" spans="1:25" x14ac:dyDescent="0.25">
      <c r="A1016" s="463"/>
      <c r="B1016" s="507">
        <v>88267</v>
      </c>
      <c r="C1016" s="507"/>
      <c r="D1016" s="508"/>
      <c r="E1016" s="509" t="str">
        <f>IF($C1016="",IFERROR(VLOOKUP($B1016,SERVIÇOS!$B:$G,2,0),IFERROR(VLOOKUP($B1016,$D:$K,2,0),"")),IFERROR(VLOOKUP($C1016,INSUMOS!$A:$D,2,0),IFERROR(VLOOKUP($C1016,COTAÇÕES!$B:$I,2,0),(VLOOKUP($C1016,'INSUMO SINAPI - SP'!$C:$F,2,0)))))</f>
        <v>ENCANADOR OU BOMBEIRO HIDRÁULICO COM ENCARGOS COMPLEMENTARES</v>
      </c>
      <c r="F1016" s="510" t="str">
        <f>IF($C1016="",IFERROR(VLOOKUP($B1016,SERVIÇOS!$B:$G,3,0),IFERROR(VLOOKUP($B1016,$D:$K,3,0),"")),IFERROR(VLOOKUP($C1016,INSUMOS!$A:$D,3,0),IFERROR(VLOOKUP($C1016,COTAÇÕES!$B:$I,3,0),(VLOOKUP($C1016,'INSUMO SINAPI - SP'!$C:$F,3,0)))))</f>
        <v>H</v>
      </c>
      <c r="G1016" s="511">
        <v>18</v>
      </c>
      <c r="H1016" s="512">
        <f>IF($C1016="",IFERROR(VLOOKUP($B1016,SERVIÇOS!$B:$G,6,0),IFERROR(VLOOKUP($B1016,$D:$K,8,0),"")),IFERROR(VLOOKUP($C1016,INSUMOS!$A:$D,4,0),IFERROR(VLOOKUP($C1016,COTAÇÕES!$B:$I,7,0),(VLOOKUP($C1016,'INSUMO SINAPI - SP'!$C:$F,4,0)))))</f>
        <v>36.17</v>
      </c>
      <c r="I1016" s="513">
        <f>TRUNC(IF($C1016="",IFERROR(VLOOKUP($B1016,SERVIÇOS!$B:$G,4,0),IFERROR(VLOOKUP($B1016,$D:$K,6,0),)),IFERROR(VLOOKUP($C1016,INSUMOS!$A:$D,4,0),IFERROR(VLOOKUP($C1016,COTAÇÕES!$B:$I,7,0),(VLOOKUP($C1016,'INSUMO SINAPI - SP'!$C:$F,4,0)))))*$G1016,2)</f>
        <v>155.52000000000001</v>
      </c>
      <c r="J1016" s="513">
        <f>TRUNC(IF($C1016="",IFERROR(VLOOKUP($B1016,SERVIÇOS!$B:$G,5,0),IFERROR(VLOOKUP($B1016,$D:$K,7,0),)),0)*$G1016,2)</f>
        <v>495.54</v>
      </c>
      <c r="K1016" s="514">
        <f t="shared" si="29"/>
        <v>651.06000000000006</v>
      </c>
      <c r="L1016" s="515"/>
      <c r="M1016" s="471"/>
      <c r="N1016" s="516"/>
      <c r="Q1016" s="472"/>
      <c r="R1016" s="472"/>
      <c r="S1016" s="472"/>
      <c r="T1016" s="472"/>
      <c r="U1016" s="472"/>
      <c r="V1016" s="472"/>
      <c r="W1016" s="472"/>
      <c r="X1016" s="472"/>
      <c r="Y1016" s="472"/>
    </row>
    <row r="1017" spans="1:25" x14ac:dyDescent="0.25">
      <c r="A1017" s="463"/>
      <c r="B1017" s="507">
        <v>88316</v>
      </c>
      <c r="C1017" s="507"/>
      <c r="D1017" s="508"/>
      <c r="E1017" s="509" t="str">
        <f>IF($C1017="",IFERROR(VLOOKUP($B1017,SERVIÇOS!$B:$G,2,0),IFERROR(VLOOKUP($B1017,$D:$K,2,0),"")),IFERROR(VLOOKUP($C1017,INSUMOS!$A:$D,2,0),IFERROR(VLOOKUP($C1017,COTAÇÕES!$B:$I,2,0),(VLOOKUP($C1017,'INSUMO SINAPI - SP'!$C:$F,2,0)))))</f>
        <v>SERVENTE COM ENCARGOS COMPLEMENTARES</v>
      </c>
      <c r="F1017" s="510" t="str">
        <f>IF($C1017="",IFERROR(VLOOKUP($B1017,SERVIÇOS!$B:$G,3,0),IFERROR(VLOOKUP($B1017,$D:$K,3,0),"")),IFERROR(VLOOKUP($C1017,INSUMOS!$A:$D,3,0),IFERROR(VLOOKUP($C1017,COTAÇÕES!$B:$I,3,0),(VLOOKUP($C1017,'INSUMO SINAPI - SP'!$C:$F,3,0)))))</f>
        <v>H</v>
      </c>
      <c r="G1017" s="511">
        <v>36</v>
      </c>
      <c r="H1017" s="512">
        <f>IF($C1017="",IFERROR(VLOOKUP($B1017,SERVIÇOS!$B:$G,6,0),IFERROR(VLOOKUP($B1017,$D:$K,8,0),"")),IFERROR(VLOOKUP($C1017,INSUMOS!$A:$D,4,0),IFERROR(VLOOKUP($C1017,COTAÇÕES!$B:$I,7,0),(VLOOKUP($C1017,'INSUMO SINAPI - SP'!$C:$F,4,0)))))</f>
        <v>28.71</v>
      </c>
      <c r="I1017" s="513">
        <f>TRUNC(IF($C1017="",IFERROR(VLOOKUP($B1017,SERVIÇOS!$B:$G,4,0),IFERROR(VLOOKUP($B1017,$D:$K,6,0),)),IFERROR(VLOOKUP($C1017,INSUMOS!$A:$D,4,0),IFERROR(VLOOKUP($C1017,COTAÇÕES!$B:$I,7,0),(VLOOKUP($C1017,'INSUMO SINAPI - SP'!$C:$F,4,0)))))*$G1017,2)</f>
        <v>331.2</v>
      </c>
      <c r="J1017" s="513">
        <f>TRUNC(IF($C1017="",IFERROR(VLOOKUP($B1017,SERVIÇOS!$B:$G,5,0),IFERROR(VLOOKUP($B1017,$D:$K,7,0),)),0)*$G1017,2)</f>
        <v>702.36</v>
      </c>
      <c r="K1017" s="514">
        <f t="shared" si="29"/>
        <v>1033.56</v>
      </c>
      <c r="L1017" s="515"/>
      <c r="M1017" s="471"/>
      <c r="N1017" s="516"/>
      <c r="Q1017" s="472"/>
      <c r="R1017" s="472"/>
      <c r="S1017" s="472"/>
      <c r="T1017" s="472"/>
      <c r="U1017" s="472"/>
      <c r="V1017" s="472"/>
      <c r="W1017" s="472"/>
      <c r="X1017" s="472"/>
      <c r="Y1017" s="472"/>
    </row>
    <row r="1018" spans="1:25" ht="36" x14ac:dyDescent="0.25">
      <c r="A1018" s="463"/>
      <c r="B1018" s="507">
        <v>93403</v>
      </c>
      <c r="C1018" s="507"/>
      <c r="D1018" s="508"/>
      <c r="E1018" s="509" t="str">
        <f>IF($C1018="",IFERROR(VLOOKUP($B1018,SERVIÇOS!$B:$G,2,0),IFERROR(VLOOKUP($B1018,$D:$K,2,0),"")),IFERROR(VLOOKUP($C1018,INSUMOS!$A:$D,2,0),IFERROR(VLOOKUP($C1018,COTAÇÕES!$B:$I,2,0),(VLOOKUP($C1018,'INSUMO SINAPI - SP'!$C:$F,2,0)))))</f>
        <v>GUINDAUTO HIDRÁULICO, CAPACIDADE MÁXIMA DE CARGA 3300 KG, MOMENTO MÁXIMO DE CARGA 5,8 TM, ALCANCE MÁXIMO HORIZONTAL 7,60 M, INCLUSIVE CAMINHÃO TOCO PBT 16.000 KG, POTÊNCIA DE 189 CV - CHI DIURNO. AF_03/2016</v>
      </c>
      <c r="F1018" s="510" t="str">
        <f>IF($C1018="",IFERROR(VLOOKUP($B1018,SERVIÇOS!$B:$G,3,0),IFERROR(VLOOKUP($B1018,$D:$K,3,0),"")),IFERROR(VLOOKUP($C1018,INSUMOS!$A:$D,3,0),IFERROR(VLOOKUP($C1018,COTAÇÕES!$B:$I,3,0),(VLOOKUP($C1018,'INSUMO SINAPI - SP'!$C:$F,3,0)))))</f>
        <v>CHI</v>
      </c>
      <c r="G1018" s="511">
        <v>0.3</v>
      </c>
      <c r="H1018" s="512">
        <f>IF($C1018="",IFERROR(VLOOKUP($B1018,SERVIÇOS!$B:$G,6,0),IFERROR(VLOOKUP($B1018,$D:$K,8,0),"")),IFERROR(VLOOKUP($C1018,INSUMOS!$A:$D,4,0),IFERROR(VLOOKUP($C1018,COTAÇÕES!$B:$I,7,0),(VLOOKUP($C1018,'INSUMO SINAPI - SP'!$C:$F,4,0)))))</f>
        <v>78.709999999999994</v>
      </c>
      <c r="I1018" s="513">
        <f>TRUNC(IF($C1018="",IFERROR(VLOOKUP($B1018,SERVIÇOS!$B:$G,4,0),IFERROR(VLOOKUP($B1018,$D:$K,6,0),)),IFERROR(VLOOKUP($C1018,INSUMOS!$A:$D,4,0),IFERROR(VLOOKUP($C1018,COTAÇÕES!$B:$I,7,0),(VLOOKUP($C1018,'INSUMO SINAPI - SP'!$C:$F,4,0)))))*$G1018,2)</f>
        <v>14.1</v>
      </c>
      <c r="J1018" s="513">
        <f>TRUNC(IF($C1018="",IFERROR(VLOOKUP($B1018,SERVIÇOS!$B:$G,5,0),IFERROR(VLOOKUP($B1018,$D:$K,7,0),)),0)*$G1018,2)</f>
        <v>9.51</v>
      </c>
      <c r="K1018" s="514">
        <f t="shared" si="29"/>
        <v>23.61</v>
      </c>
      <c r="L1018" s="515"/>
      <c r="M1018" s="471"/>
      <c r="N1018" s="516"/>
      <c r="Q1018" s="472"/>
      <c r="R1018" s="472"/>
      <c r="S1018" s="472"/>
      <c r="T1018" s="472"/>
      <c r="U1018" s="472"/>
      <c r="V1018" s="472"/>
      <c r="W1018" s="472"/>
      <c r="X1018" s="472"/>
      <c r="Y1018" s="472"/>
    </row>
    <row r="1019" spans="1:25" ht="36" x14ac:dyDescent="0.25">
      <c r="A1019" s="463"/>
      <c r="B1019" s="507">
        <v>93402</v>
      </c>
      <c r="C1019" s="507"/>
      <c r="D1019" s="508"/>
      <c r="E1019" s="509" t="str">
        <f>IF($C1019="",IFERROR(VLOOKUP($B1019,SERVIÇOS!$B:$G,2,0),IFERROR(VLOOKUP($B1019,$D:$K,2,0),"")),IFERROR(VLOOKUP($C1019,INSUMOS!$A:$D,2,0),IFERROR(VLOOKUP($C1019,COTAÇÕES!$B:$I,2,0),(VLOOKUP($C1019,'INSUMO SINAPI - SP'!$C:$F,2,0)))))</f>
        <v>GUINDAUTO HIDRÁULICO, CAPACIDADE MÁXIMA DE CARGA 3300 KG, MOMENTO MÁXIMO DE CARGA 5,8 TM, ALCANCE MÁXIMO HORIZONTAL 7,60 M, INCLUSIVE CAMINHÃO TOCO PBT 16.000 KG, POTÊNCIA DE 189 CV - CHP DIURNO. AF_03/2016</v>
      </c>
      <c r="F1019" s="510" t="str">
        <f>IF($C1019="",IFERROR(VLOOKUP($B1019,SERVIÇOS!$B:$G,3,0),IFERROR(VLOOKUP($B1019,$D:$K,3,0),"")),IFERROR(VLOOKUP($C1019,INSUMOS!$A:$D,3,0),IFERROR(VLOOKUP($C1019,COTAÇÕES!$B:$I,3,0),(VLOOKUP($C1019,'INSUMO SINAPI - SP'!$C:$F,3,0)))))</f>
        <v>CHP</v>
      </c>
      <c r="G1019" s="511">
        <v>2.7</v>
      </c>
      <c r="H1019" s="512">
        <f>IF($C1019="",IFERROR(VLOOKUP($B1019,SERVIÇOS!$B:$G,6,0),IFERROR(VLOOKUP($B1019,$D:$K,8,0),"")),IFERROR(VLOOKUP($C1019,INSUMOS!$A:$D,4,0),IFERROR(VLOOKUP($C1019,COTAÇÕES!$B:$I,7,0),(VLOOKUP($C1019,'INSUMO SINAPI - SP'!$C:$F,4,0)))))</f>
        <v>290.19</v>
      </c>
      <c r="I1019" s="513">
        <f>TRUNC(IF($C1019="",IFERROR(VLOOKUP($B1019,SERVIÇOS!$B:$G,4,0),IFERROR(VLOOKUP($B1019,$D:$K,6,0),)),IFERROR(VLOOKUP($C1019,INSUMOS!$A:$D,4,0),IFERROR(VLOOKUP($C1019,COTAÇÕES!$B:$I,7,0),(VLOOKUP($C1019,'INSUMO SINAPI - SP'!$C:$F,4,0)))))*$G1019,2)</f>
        <v>697.89</v>
      </c>
      <c r="J1019" s="513">
        <f>TRUNC(IF($C1019="",IFERROR(VLOOKUP($B1019,SERVIÇOS!$B:$G,5,0),IFERROR(VLOOKUP($B1019,$D:$K,7,0),)),0)*$G1019,2)</f>
        <v>85.61</v>
      </c>
      <c r="K1019" s="514">
        <f t="shared" si="29"/>
        <v>783.5</v>
      </c>
      <c r="L1019" s="515"/>
      <c r="M1019" s="471"/>
      <c r="N1019" s="516"/>
      <c r="Q1019" s="472"/>
      <c r="R1019" s="472"/>
      <c r="S1019" s="472"/>
      <c r="T1019" s="472"/>
      <c r="U1019" s="472"/>
      <c r="V1019" s="472"/>
      <c r="W1019" s="472"/>
      <c r="X1019" s="472"/>
      <c r="Y1019" s="472"/>
    </row>
    <row r="1020" spans="1:25" x14ac:dyDescent="0.25">
      <c r="A1020" s="463"/>
      <c r="B1020" s="498"/>
      <c r="C1020" s="498"/>
      <c r="D1020" s="499" t="s">
        <v>11936</v>
      </c>
      <c r="E1020" s="555" t="s">
        <v>13153</v>
      </c>
      <c r="F1020" s="501" t="s">
        <v>823</v>
      </c>
      <c r="G1020" s="502"/>
      <c r="H1020" s="503"/>
      <c r="I1020" s="504">
        <f>ROUND(SUM(I1021:I1025),2)</f>
        <v>11.93</v>
      </c>
      <c r="J1020" s="504">
        <f>ROUND(SUM(J1021:J1025),2)</f>
        <v>1.18</v>
      </c>
      <c r="K1020" s="504">
        <f>+J1020+I1020</f>
        <v>13.11</v>
      </c>
      <c r="L1020" s="523" t="s">
        <v>13154</v>
      </c>
      <c r="M1020" s="471"/>
      <c r="N1020" s="505"/>
      <c r="Q1020" s="472"/>
      <c r="R1020" s="472"/>
      <c r="S1020" s="472"/>
      <c r="T1020" s="472"/>
      <c r="U1020" s="472"/>
      <c r="V1020" s="472"/>
      <c r="W1020" s="472"/>
      <c r="X1020" s="472"/>
      <c r="Y1020" s="472"/>
    </row>
    <row r="1021" spans="1:25" x14ac:dyDescent="0.25">
      <c r="A1021" s="463"/>
      <c r="B1021" s="506"/>
      <c r="C1021" s="507">
        <v>43132</v>
      </c>
      <c r="D1021" s="508"/>
      <c r="E1021" s="509" t="str">
        <f>IF($C1021="",IFERROR(VLOOKUP($B1021,SERVIÇOS!$B:$G,2,0),IFERROR(VLOOKUP($B1021,$D:$K,2,0),"")),IFERROR(VLOOKUP($C1021,INSUMOS!$A:$D,2,0),IFERROR(VLOOKUP($C1021,COTAÇÕES!$B:$I,2,0),(VLOOKUP($C1021,'INSUMO SINAPI - SP'!$C:$F,2,0)))))</f>
        <v>ARAME RECOZIDO 16 BWG, D = 1,65 MM (0,016 KG/M) OU 18 BWG, D = 1,25 MM (0,01 KG/M)</v>
      </c>
      <c r="F1021" s="510" t="str">
        <f>IF($C1021="",IFERROR(VLOOKUP($B1021,SERVIÇOS!$B:$G,3,0),IFERROR(VLOOKUP($B1021,$D:$K,3,0),"")),IFERROR(VLOOKUP($C1021,INSUMOS!$A:$D,3,0),IFERROR(VLOOKUP($C1021,COTAÇÕES!$B:$I,3,0),(VLOOKUP($C1021,'INSUMO SINAPI - SP'!$C:$F,3,0)))))</f>
        <v>KG</v>
      </c>
      <c r="G1021" s="511">
        <v>4.8204999999999998E-2</v>
      </c>
      <c r="H1021" s="512">
        <f>IF($C1021="",IFERROR(VLOOKUP($B1021,SERVIÇOS!$B:$G,6,0),IFERROR(VLOOKUP($B1021,$D:$K,8,0),"")),IFERROR(VLOOKUP($C1021,INSUMOS!$A:$D,4,0),IFERROR(VLOOKUP($C1021,COTAÇÕES!$B:$I,7,0),(VLOOKUP($C1021,'INSUMO SINAPI - SP'!$C:$F,4,0)))))</f>
        <v>26.45</v>
      </c>
      <c r="I1021" s="513">
        <f>TRUNC(IF($C1021="",IFERROR(VLOOKUP($B1021,SERVIÇOS!$B:$G,4,0),IFERROR(VLOOKUP($B1021,$D:$K,6,0),)),IFERROR(VLOOKUP($C1021,INSUMOS!$A:$D,4,0),IFERROR(VLOOKUP($C1021,COTAÇÕES!$B:$I,7,0),(VLOOKUP($C1021,'INSUMO SINAPI - SP'!$C:$F,4,0)))))*$G1021,2)</f>
        <v>1.27</v>
      </c>
      <c r="J1021" s="513">
        <f>TRUNC(IF($C1021="",IFERROR(VLOOKUP($B1021,SERVIÇOS!$B:$G,5,0),IFERROR(VLOOKUP($B1021,$D:$K,7,0),)),0)*$G1021,2)</f>
        <v>0</v>
      </c>
      <c r="K1021" s="514">
        <f>I1021+J1021</f>
        <v>1.27</v>
      </c>
      <c r="L1021" s="517"/>
      <c r="M1021" s="471"/>
      <c r="N1021" s="516"/>
      <c r="Q1021" s="472"/>
      <c r="R1021" s="472"/>
      <c r="S1021" s="472"/>
      <c r="T1021" s="472"/>
      <c r="U1021" s="472"/>
      <c r="V1021" s="472"/>
      <c r="W1021" s="472"/>
      <c r="X1021" s="472"/>
      <c r="Y1021" s="472"/>
    </row>
    <row r="1022" spans="1:25" ht="24" x14ac:dyDescent="0.25">
      <c r="A1022" s="463"/>
      <c r="B1022" s="506"/>
      <c r="C1022" s="507">
        <v>7156</v>
      </c>
      <c r="D1022" s="508"/>
      <c r="E1022" s="509" t="str">
        <f>IF($C1022="",IFERROR(VLOOKUP($B1022,SERVIÇOS!$B:$G,2,0),IFERROR(VLOOKUP($B1022,$D:$K,2,0),"")),IFERROR(VLOOKUP($C1022,INSUMOS!$A:$D,2,0),IFERROR(VLOOKUP($C1022,COTAÇÕES!$B:$I,2,0),(VLOOKUP($C1022,'INSUMO SINAPI - SP'!$C:$F,2,0)))))</f>
        <v>TELA DE ACO SOLDADA NERVURADA, CA-60, Q-196, (3,11 KG/M2), DIAMETRO DO FIO = 5,0 MM, LARGURA = 2,45 M, ESPACAMENTO DA MALHA = 10 X 10 CM</v>
      </c>
      <c r="F1022" s="510" t="str">
        <f>IF($C1022="",IFERROR(VLOOKUP($B1022,SERVIÇOS!$B:$G,3,0),IFERROR(VLOOKUP($B1022,$D:$K,3,0),"")),IFERROR(VLOOKUP($C1022,INSUMOS!$A:$D,3,0),IFERROR(VLOOKUP($C1022,COTAÇÕES!$B:$I,3,0),(VLOOKUP($C1022,'INSUMO SINAPI - SP'!$C:$F,3,0)))))</f>
        <v>M2</v>
      </c>
      <c r="G1022" s="511">
        <v>0.33762057877813501</v>
      </c>
      <c r="H1022" s="512">
        <f>IF($C1022="",IFERROR(VLOOKUP($B1022,SERVIÇOS!$B:$G,6,0),IFERROR(VLOOKUP($B1022,$D:$K,8,0),"")),IFERROR(VLOOKUP($C1022,INSUMOS!$A:$D,4,0),IFERROR(VLOOKUP($C1022,COTAÇÕES!$B:$I,7,0),(VLOOKUP($C1022,'INSUMO SINAPI - SP'!$C:$F,4,0)))))</f>
        <v>29.96</v>
      </c>
      <c r="I1022" s="513">
        <f>TRUNC(IF($C1022="",IFERROR(VLOOKUP($B1022,SERVIÇOS!$B:$G,4,0),IFERROR(VLOOKUP($B1022,$D:$K,6,0),)),IFERROR(VLOOKUP($C1022,INSUMOS!$A:$D,4,0),IFERROR(VLOOKUP($C1022,COTAÇÕES!$B:$I,7,0),(VLOOKUP($C1022,'INSUMO SINAPI - SP'!$C:$F,4,0)))))*$G1022,2)</f>
        <v>10.11</v>
      </c>
      <c r="J1022" s="513">
        <f>TRUNC(IF($C1022="",IFERROR(VLOOKUP($B1022,SERVIÇOS!$B:$G,5,0),IFERROR(VLOOKUP($B1022,$D:$K,7,0),)),0)*$G1022,2)</f>
        <v>0</v>
      </c>
      <c r="K1022" s="514">
        <f>I1022+J1022</f>
        <v>10.11</v>
      </c>
      <c r="L1022" s="517"/>
      <c r="M1022" s="471"/>
      <c r="N1022" s="516"/>
      <c r="Q1022" s="472"/>
      <c r="R1022" s="472"/>
      <c r="S1022" s="472"/>
      <c r="T1022" s="472"/>
      <c r="U1022" s="472"/>
      <c r="V1022" s="472"/>
      <c r="W1022" s="472"/>
      <c r="X1022" s="472"/>
      <c r="Y1022" s="472"/>
    </row>
    <row r="1023" spans="1:25" ht="24" x14ac:dyDescent="0.25">
      <c r="A1023" s="463"/>
      <c r="B1023" s="506"/>
      <c r="C1023" s="507" t="s">
        <v>13155</v>
      </c>
      <c r="D1023" s="508"/>
      <c r="E1023" s="509" t="str">
        <f>IF($C1023="",IFERROR(VLOOKUP($B1023,SERVIÇOS!$B:$G,2,0),IFERROR(VLOOKUP($B1023,$D:$K,2,0),"")),IFERROR(VLOOKUP($C1023,INSUMOS!$A:$D,2,0),IFERROR(VLOOKUP($C1023,COTAÇÕES!$B:$I,2,0),(VLOOKUP($C1023,'INSUMO SINAPI - SP'!$C:$F,2,0)))))</f>
        <v>ESPACADOR / DISTANCIADOR CIRCULAR COM ENTRADA LATERAL, EM PLASTICO, PARA VERGALHAO *4,2 A 12,5* MM, COBRIMENTO 20 MM</v>
      </c>
      <c r="F1023" s="510" t="str">
        <f>IF($C1023="",IFERROR(VLOOKUP($B1023,SERVIÇOS!$B:$G,3,0),IFERROR(VLOOKUP($B1023,$D:$K,3,0),"")),IFERROR(VLOOKUP($C1023,INSUMOS!$A:$D,3,0),IFERROR(VLOOKUP($C1023,COTAÇÕES!$B:$I,3,0),(VLOOKUP($C1023,'INSUMO SINAPI - SP'!$C:$F,3,0)))))</f>
        <v>UN</v>
      </c>
      <c r="G1023" s="511">
        <v>0.65594855305466204</v>
      </c>
      <c r="H1023" s="512">
        <f>IF($C1023="",IFERROR(VLOOKUP($B1023,SERVIÇOS!$B:$G,6,0),IFERROR(VLOOKUP($B1023,$D:$K,8,0),"")),IFERROR(VLOOKUP($C1023,INSUMOS!$A:$D,4,0),IFERROR(VLOOKUP($C1023,COTAÇÕES!$B:$I,7,0),(VLOOKUP($C1023,'INSUMO SINAPI - SP'!$C:$F,4,0)))))</f>
        <v>0.22</v>
      </c>
      <c r="I1023" s="513">
        <f>TRUNC(IF($C1023="",IFERROR(VLOOKUP($B1023,SERVIÇOS!$B:$G,4,0),IFERROR(VLOOKUP($B1023,$D:$K,6,0),)),IFERROR(VLOOKUP($C1023,INSUMOS!$A:$D,4,0),IFERROR(VLOOKUP($C1023,COTAÇÕES!$B:$I,7,0),(VLOOKUP($C1023,'INSUMO SINAPI - SP'!$C:$F,4,0)))))*$G1023,2)</f>
        <v>0.14000000000000001</v>
      </c>
      <c r="J1023" s="513"/>
      <c r="K1023" s="514">
        <f>I1023+J1023</f>
        <v>0.14000000000000001</v>
      </c>
      <c r="L1023" s="515" t="s">
        <v>12685</v>
      </c>
      <c r="M1023" s="471"/>
      <c r="N1023" s="516"/>
      <c r="Q1023" s="472"/>
      <c r="R1023" s="472"/>
      <c r="S1023" s="472"/>
      <c r="T1023" s="472"/>
      <c r="U1023" s="472"/>
      <c r="V1023" s="472"/>
      <c r="W1023" s="472"/>
      <c r="X1023" s="472"/>
      <c r="Y1023" s="472"/>
    </row>
    <row r="1024" spans="1:25" x14ac:dyDescent="0.25">
      <c r="A1024" s="463"/>
      <c r="B1024" s="506">
        <v>88238</v>
      </c>
      <c r="C1024" s="507"/>
      <c r="D1024" s="508"/>
      <c r="E1024" s="509" t="str">
        <f>IF($C1024="",IFERROR(VLOOKUP($B1024,SERVIÇOS!$B:$G,2,0),IFERROR(VLOOKUP($B1024,$D:$K,2,0),"")),IFERROR(VLOOKUP($C1024,INSUMOS!$A:$D,2,0),IFERROR(VLOOKUP($C1024,COTAÇÕES!$B:$I,2,0),(VLOOKUP($C1024,'INSUMO SINAPI - SP'!$C:$F,2,0)))))</f>
        <v>AJUDANTE DE ARMADOR COM ENCARGOS COMPLEMENTARES</v>
      </c>
      <c r="F1024" s="510" t="str">
        <f>IF($C1024="",IFERROR(VLOOKUP($B1024,SERVIÇOS!$B:$G,3,0),IFERROR(VLOOKUP($B1024,$D:$K,3,0),"")),IFERROR(VLOOKUP($C1024,INSUMOS!$A:$D,3,0),IFERROR(VLOOKUP($C1024,COTAÇÕES!$B:$I,3,0),(VLOOKUP($C1024,'INSUMO SINAPI - SP'!$C:$F,3,0)))))</f>
        <v>H</v>
      </c>
      <c r="G1024" s="511">
        <v>6.0128617363344097E-3</v>
      </c>
      <c r="H1024" s="512">
        <f>IF($C1024="",IFERROR(VLOOKUP($B1024,SERVIÇOS!$B:$G,6,0),IFERROR(VLOOKUP($B1024,$D:$K,8,0),"")),IFERROR(VLOOKUP($C1024,INSUMOS!$A:$D,4,0),IFERROR(VLOOKUP($C1024,COTAÇÕES!$B:$I,7,0),(VLOOKUP($C1024,'INSUMO SINAPI - SP'!$C:$F,4,0)))))</f>
        <v>30.23</v>
      </c>
      <c r="I1024" s="513">
        <f>TRUNC(IF($C1024="",IFERROR(VLOOKUP($B1024,SERVIÇOS!$B:$G,4,0),IFERROR(VLOOKUP($B1024,$D:$K,6,0),)),IFERROR(VLOOKUP($C1024,INSUMOS!$A:$D,4,0),IFERROR(VLOOKUP($C1024,COTAÇÕES!$B:$I,7,0),(VLOOKUP($C1024,'INSUMO SINAPI - SP'!$C:$F,4,0)))))*$G1024,2)</f>
        <v>0.05</v>
      </c>
      <c r="J1024" s="513">
        <f>TRUNC(IF($C1024="",IFERROR(VLOOKUP($B1024,SERVIÇOS!$B:$G,5,0),IFERROR(VLOOKUP($B1024,$D:$K,7,0),)),0)*$G1024,2)</f>
        <v>0.12</v>
      </c>
      <c r="K1024" s="514">
        <f>I1024+J1024</f>
        <v>0.16999999999999998</v>
      </c>
      <c r="L1024" s="515"/>
      <c r="M1024" s="471"/>
      <c r="N1024" s="516"/>
      <c r="Q1024" s="472"/>
      <c r="R1024" s="472"/>
      <c r="S1024" s="472"/>
      <c r="T1024" s="472"/>
      <c r="U1024" s="472"/>
      <c r="V1024" s="472"/>
      <c r="W1024" s="472"/>
      <c r="X1024" s="472"/>
      <c r="Y1024" s="472"/>
    </row>
    <row r="1025" spans="1:25" x14ac:dyDescent="0.25">
      <c r="A1025" s="463"/>
      <c r="B1025" s="506">
        <v>88245</v>
      </c>
      <c r="C1025" s="507"/>
      <c r="D1025" s="508"/>
      <c r="E1025" s="509" t="str">
        <f>IF($C1025="",IFERROR(VLOOKUP($B1025,SERVIÇOS!$B:$G,2,0),IFERROR(VLOOKUP($B1025,$D:$K,2,0),"")),IFERROR(VLOOKUP($C1025,INSUMOS!$A:$D,2,0),IFERROR(VLOOKUP($C1025,COTAÇÕES!$B:$I,2,0),(VLOOKUP($C1025,'INSUMO SINAPI - SP'!$C:$F,2,0)))))</f>
        <v>ARMADOR COM ENCARGOS COMPLEMENTARES</v>
      </c>
      <c r="F1025" s="510" t="str">
        <f>IF($C1025="",IFERROR(VLOOKUP($B1025,SERVIÇOS!$B:$G,3,0),IFERROR(VLOOKUP($B1025,$D:$K,3,0),"")),IFERROR(VLOOKUP($C1025,INSUMOS!$A:$D,3,0),IFERROR(VLOOKUP($C1025,COTAÇÕES!$B:$I,3,0),(VLOOKUP($C1025,'INSUMO SINAPI - SP'!$C:$F,3,0)))))</f>
        <v>H</v>
      </c>
      <c r="G1025" s="511">
        <v>3.8906752411575603E-2</v>
      </c>
      <c r="H1025" s="512">
        <f>IF($C1025="",IFERROR(VLOOKUP($B1025,SERVIÇOS!$B:$G,6,0),IFERROR(VLOOKUP($B1025,$D:$K,8,0),"")),IFERROR(VLOOKUP($C1025,INSUMOS!$A:$D,4,0),IFERROR(VLOOKUP($C1025,COTAÇÕES!$B:$I,7,0),(VLOOKUP($C1025,'INSUMO SINAPI - SP'!$C:$F,4,0)))))</f>
        <v>36.65</v>
      </c>
      <c r="I1025" s="513">
        <f>TRUNC(IF($C1025="",IFERROR(VLOOKUP($B1025,SERVIÇOS!$B:$G,4,0),IFERROR(VLOOKUP($B1025,$D:$K,6,0),)),IFERROR(VLOOKUP($C1025,INSUMOS!$A:$D,4,0),IFERROR(VLOOKUP($C1025,COTAÇÕES!$B:$I,7,0),(VLOOKUP($C1025,'INSUMO SINAPI - SP'!$C:$F,4,0)))))*$G1025,2)</f>
        <v>0.36</v>
      </c>
      <c r="J1025" s="513">
        <f>TRUNC(IF($C1025="",IFERROR(VLOOKUP($B1025,SERVIÇOS!$B:$G,5,0),IFERROR(VLOOKUP($B1025,$D:$K,7,0),)),0)*$G1025,2)</f>
        <v>1.06</v>
      </c>
      <c r="K1025" s="514">
        <f>I1025+J1025</f>
        <v>1.42</v>
      </c>
      <c r="L1025" s="515"/>
      <c r="M1025" s="471"/>
      <c r="N1025" s="516"/>
      <c r="Q1025" s="472"/>
      <c r="R1025" s="472"/>
      <c r="S1025" s="472"/>
      <c r="T1025" s="472"/>
      <c r="U1025" s="472"/>
      <c r="V1025" s="472"/>
      <c r="W1025" s="472"/>
      <c r="X1025" s="472"/>
      <c r="Y1025" s="472"/>
    </row>
    <row r="1026" spans="1:25" x14ac:dyDescent="0.25">
      <c r="A1026" s="463"/>
      <c r="B1026" s="498"/>
      <c r="C1026" s="498"/>
      <c r="D1026" s="499" t="s">
        <v>11931</v>
      </c>
      <c r="E1026" s="555" t="s">
        <v>13156</v>
      </c>
      <c r="F1026" s="501" t="s">
        <v>578</v>
      </c>
      <c r="G1026" s="502"/>
      <c r="H1026" s="503"/>
      <c r="I1026" s="504">
        <f>ROUND(SUM(I1027:I1033),2)</f>
        <v>40.69</v>
      </c>
      <c r="J1026" s="504">
        <f>ROUND(SUM(J1027:J1033),2)</f>
        <v>29.34</v>
      </c>
      <c r="K1026" s="504">
        <f>+J1026+I1026</f>
        <v>70.03</v>
      </c>
      <c r="L1026" s="523" t="s">
        <v>13157</v>
      </c>
      <c r="M1026" s="471"/>
      <c r="N1026" s="505"/>
      <c r="Q1026" s="472"/>
      <c r="R1026" s="472"/>
      <c r="S1026" s="472"/>
      <c r="T1026" s="472"/>
      <c r="U1026" s="472"/>
      <c r="V1026" s="472"/>
      <c r="W1026" s="472"/>
      <c r="X1026" s="472"/>
      <c r="Y1026" s="472"/>
    </row>
    <row r="1027" spans="1:25" x14ac:dyDescent="0.25">
      <c r="A1027" s="463"/>
      <c r="B1027" s="506">
        <v>88239</v>
      </c>
      <c r="C1027" s="507"/>
      <c r="D1027" s="508"/>
      <c r="E1027" s="509" t="str">
        <f>IF($C1027="",IFERROR(VLOOKUP($B1027,SERVIÇOS!$B:$G,2,0),IFERROR(VLOOKUP($B1027,$D:$K,2,0),"")),IFERROR(VLOOKUP($C1027,INSUMOS!$A:$D,2,0),IFERROR(VLOOKUP($C1027,COTAÇÕES!$B:$I,2,0),(VLOOKUP($C1027,'INSUMO SINAPI - SP'!$C:$F,2,0)))))</f>
        <v>AJUDANTE DE CARPINTEIRO COM ENCARGOS COMPLEMENTARES</v>
      </c>
      <c r="F1027" s="510" t="str">
        <f>IF($C1027="",IFERROR(VLOOKUP($B1027,SERVIÇOS!$B:$G,3,0),IFERROR(VLOOKUP($B1027,$D:$K,3,0),"")),IFERROR(VLOOKUP($C1027,INSUMOS!$A:$D,3,0),IFERROR(VLOOKUP($C1027,COTAÇÕES!$B:$I,3,0),(VLOOKUP($C1027,'INSUMO SINAPI - SP'!$C:$F,3,0)))))</f>
        <v>H</v>
      </c>
      <c r="G1027" s="511">
        <v>0.22500000000000001</v>
      </c>
      <c r="H1027" s="512">
        <f>IF($C1027="",IFERROR(VLOOKUP($B1027,SERVIÇOS!$B:$G,6,0),IFERROR(VLOOKUP($B1027,$D:$K,8,0),"")),IFERROR(VLOOKUP($C1027,INSUMOS!$A:$D,4,0),IFERROR(VLOOKUP($C1027,COTAÇÕES!$B:$I,7,0),(VLOOKUP($C1027,'INSUMO SINAPI - SP'!$C:$F,4,0)))))</f>
        <v>30.08</v>
      </c>
      <c r="I1027" s="513">
        <f>TRUNC(IF($C1027="",IFERROR(VLOOKUP($B1027,SERVIÇOS!$B:$G,4,0),IFERROR(VLOOKUP($B1027,$D:$K,6,0),)),IFERROR(VLOOKUP($C1027,INSUMOS!$A:$D,4,0),IFERROR(VLOOKUP($C1027,COTAÇÕES!$B:$I,7,0),(VLOOKUP($C1027,'INSUMO SINAPI - SP'!$C:$F,4,0)))))*$G1027,2)</f>
        <v>2.04</v>
      </c>
      <c r="J1027" s="513">
        <f>TRUNC(IF($C1027="",IFERROR(VLOOKUP($B1027,SERVIÇOS!$B:$G,5,0),IFERROR(VLOOKUP($B1027,$D:$K,7,0),)),0)*$G1027,2)</f>
        <v>4.72</v>
      </c>
      <c r="K1027" s="514">
        <f t="shared" ref="K1027:K1033" si="30">I1027+J1027</f>
        <v>6.76</v>
      </c>
      <c r="L1027" s="515"/>
      <c r="M1027" s="471"/>
      <c r="N1027" s="516"/>
      <c r="Q1027" s="472"/>
      <c r="R1027" s="472"/>
      <c r="S1027" s="472"/>
      <c r="T1027" s="472"/>
      <c r="U1027" s="472"/>
      <c r="V1027" s="472"/>
      <c r="W1027" s="472"/>
      <c r="X1027" s="472"/>
      <c r="Y1027" s="472"/>
    </row>
    <row r="1028" spans="1:25" x14ac:dyDescent="0.25">
      <c r="A1028" s="463"/>
      <c r="B1028" s="506">
        <v>88262</v>
      </c>
      <c r="C1028" s="507"/>
      <c r="D1028" s="508"/>
      <c r="E1028" s="509" t="str">
        <f>IF($C1028="",IFERROR(VLOOKUP($B1028,SERVIÇOS!$B:$G,2,0),IFERROR(VLOOKUP($B1028,$D:$K,2,0),"")),IFERROR(VLOOKUP($C1028,INSUMOS!$A:$D,2,0),IFERROR(VLOOKUP($C1028,COTAÇÕES!$B:$I,2,0),(VLOOKUP($C1028,'INSUMO SINAPI - SP'!$C:$F,2,0)))))</f>
        <v>CARPINTEIRO DE FORMAS COM ENCARGOS COMPLEMENTARES</v>
      </c>
      <c r="F1028" s="510" t="str">
        <f>IF($C1028="",IFERROR(VLOOKUP($B1028,SERVIÇOS!$B:$G,3,0),IFERROR(VLOOKUP($B1028,$D:$K,3,0),"")),IFERROR(VLOOKUP($C1028,INSUMOS!$A:$D,3,0),IFERROR(VLOOKUP($C1028,COTAÇÕES!$B:$I,3,0),(VLOOKUP($C1028,'INSUMO SINAPI - SP'!$C:$F,3,0)))))</f>
        <v>H</v>
      </c>
      <c r="G1028" s="511">
        <v>0.9</v>
      </c>
      <c r="H1028" s="512">
        <f>IF($C1028="",IFERROR(VLOOKUP($B1028,SERVIÇOS!$B:$G,6,0),IFERROR(VLOOKUP($B1028,$D:$K,8,0),"")),IFERROR(VLOOKUP($C1028,INSUMOS!$A:$D,4,0),IFERROR(VLOOKUP($C1028,COTAÇÕES!$B:$I,7,0),(VLOOKUP($C1028,'INSUMO SINAPI - SP'!$C:$F,4,0)))))</f>
        <v>36.43</v>
      </c>
      <c r="I1028" s="513">
        <f>TRUNC(IF($C1028="",IFERROR(VLOOKUP($B1028,SERVIÇOS!$B:$G,4,0),IFERROR(VLOOKUP($B1028,$D:$K,6,0),)),IFERROR(VLOOKUP($C1028,INSUMOS!$A:$D,4,0),IFERROR(VLOOKUP($C1028,COTAÇÕES!$B:$I,7,0),(VLOOKUP($C1028,'INSUMO SINAPI - SP'!$C:$F,4,0)))))*$G1028,2)</f>
        <v>8.16</v>
      </c>
      <c r="J1028" s="513">
        <f>TRUNC(IF($C1028="",IFERROR(VLOOKUP($B1028,SERVIÇOS!$B:$G,5,0),IFERROR(VLOOKUP($B1028,$D:$K,7,0),)),0)*$G1028,2)</f>
        <v>24.62</v>
      </c>
      <c r="K1028" s="514">
        <f t="shared" si="30"/>
        <v>32.78</v>
      </c>
      <c r="L1028" s="515"/>
      <c r="M1028" s="471"/>
      <c r="N1028" s="516"/>
      <c r="Q1028" s="472"/>
      <c r="R1028" s="472"/>
      <c r="S1028" s="472"/>
      <c r="T1028" s="472"/>
      <c r="U1028" s="472"/>
      <c r="V1028" s="472"/>
      <c r="W1028" s="472"/>
      <c r="X1028" s="472"/>
      <c r="Y1028" s="472"/>
    </row>
    <row r="1029" spans="1:25" x14ac:dyDescent="0.25">
      <c r="A1029" s="463"/>
      <c r="B1029" s="506"/>
      <c r="C1029" s="507">
        <v>2692</v>
      </c>
      <c r="D1029" s="508"/>
      <c r="E1029" s="509" t="str">
        <f>IF($C1029="",IFERROR(VLOOKUP($B1029,SERVIÇOS!$B:$G,2,0),IFERROR(VLOOKUP($B1029,$D:$K,2,0),"")),IFERROR(VLOOKUP($C1029,INSUMOS!$A:$D,2,0),IFERROR(VLOOKUP($C1029,COTAÇÕES!$B:$I,2,0),(VLOOKUP($C1029,'INSUMO SINAPI - SP'!$C:$F,2,0)))))</f>
        <v>DESMOLDANTE PROTETOR PARA FORMAS DE MADEIRA, DE BASE OLEOSA EMULSIONADA EM AGUA</v>
      </c>
      <c r="F1029" s="510" t="str">
        <f>IF($C1029="",IFERROR(VLOOKUP($B1029,SERVIÇOS!$B:$G,3,0),IFERROR(VLOOKUP($B1029,$D:$K,3,0),"")),IFERROR(VLOOKUP($C1029,INSUMOS!$A:$D,3,0),IFERROR(VLOOKUP($C1029,COTAÇÕES!$B:$I,3,0),(VLOOKUP($C1029,'INSUMO SINAPI - SP'!$C:$F,3,0)))))</f>
        <v>L</v>
      </c>
      <c r="G1029" s="511">
        <v>0.1</v>
      </c>
      <c r="H1029" s="512">
        <f>IF($C1029="",IFERROR(VLOOKUP($B1029,SERVIÇOS!$B:$G,6,0),IFERROR(VLOOKUP($B1029,$D:$K,8,0),"")),IFERROR(VLOOKUP($C1029,INSUMOS!$A:$D,4,0),IFERROR(VLOOKUP($C1029,COTAÇÕES!$B:$I,7,0),(VLOOKUP($C1029,'INSUMO SINAPI - SP'!$C:$F,4,0)))))</f>
        <v>6.74</v>
      </c>
      <c r="I1029" s="513">
        <f>TRUNC(IF($C1029="",IFERROR(VLOOKUP($B1029,SERVIÇOS!$B:$G,4,0),IFERROR(VLOOKUP($B1029,$D:$K,6,0),)),IFERROR(VLOOKUP($C1029,INSUMOS!$A:$D,4,0),IFERROR(VLOOKUP($C1029,COTAÇÕES!$B:$I,7,0),(VLOOKUP($C1029,'INSUMO SINAPI - SP'!$C:$F,4,0)))))*$G1029,2)</f>
        <v>0.67</v>
      </c>
      <c r="J1029" s="513">
        <f>TRUNC(IF($C1029="",IFERROR(VLOOKUP($B1029,SERVIÇOS!$B:$G,5,0),IFERROR(VLOOKUP($B1029,$D:$K,7,0),)),0)*$G1029,2)</f>
        <v>0</v>
      </c>
      <c r="K1029" s="514">
        <f t="shared" si="30"/>
        <v>0.67</v>
      </c>
      <c r="L1029" s="517"/>
      <c r="M1029" s="471"/>
      <c r="N1029" s="516"/>
      <c r="Q1029" s="472"/>
      <c r="R1029" s="472"/>
      <c r="S1029" s="472"/>
      <c r="T1029" s="472"/>
      <c r="U1029" s="472"/>
      <c r="V1029" s="472"/>
      <c r="W1029" s="472"/>
      <c r="X1029" s="472"/>
      <c r="Y1029" s="472"/>
    </row>
    <row r="1030" spans="1:25" x14ac:dyDescent="0.25">
      <c r="A1030" s="463"/>
      <c r="B1030" s="506"/>
      <c r="C1030" s="507">
        <v>4491</v>
      </c>
      <c r="D1030" s="508"/>
      <c r="E1030" s="509" t="str">
        <f>IF($C1030="",IFERROR(VLOOKUP($B1030,SERVIÇOS!$B:$G,2,0),IFERROR(VLOOKUP($B1030,$D:$K,2,0),"")),IFERROR(VLOOKUP($C1030,INSUMOS!$A:$D,2,0),IFERROR(VLOOKUP($C1030,COTAÇÕES!$B:$I,2,0),(VLOOKUP($C1030,'INSUMO SINAPI - SP'!$C:$F,2,0)))))</f>
        <v>PONTALETE *7,5 X 7,5* CM EM PINUS, MISTA OU EQUIVALENTE DA REGIAO - BRUTA</v>
      </c>
      <c r="F1030" s="510" t="str">
        <f>IF($C1030="",IFERROR(VLOOKUP($B1030,SERVIÇOS!$B:$G,3,0),IFERROR(VLOOKUP($B1030,$D:$K,3,0),"")),IFERROR(VLOOKUP($C1030,INSUMOS!$A:$D,3,0),IFERROR(VLOOKUP($C1030,COTAÇÕES!$B:$I,3,0),(VLOOKUP($C1030,'INSUMO SINAPI - SP'!$C:$F,3,0)))))</f>
        <v>M</v>
      </c>
      <c r="G1030" s="511">
        <v>0.27500000000000002</v>
      </c>
      <c r="H1030" s="512">
        <f>IF($C1030="",IFERROR(VLOOKUP($B1030,SERVIÇOS!$B:$G,6,0),IFERROR(VLOOKUP($B1030,$D:$K,8,0),"")),IFERROR(VLOOKUP($C1030,INSUMOS!$A:$D,4,0),IFERROR(VLOOKUP($C1030,COTAÇÕES!$B:$I,7,0),(VLOOKUP($C1030,'INSUMO SINAPI - SP'!$C:$F,4,0)))))</f>
        <v>6.99</v>
      </c>
      <c r="I1030" s="513">
        <f>TRUNC(IF($C1030="",IFERROR(VLOOKUP($B1030,SERVIÇOS!$B:$G,4,0),IFERROR(VLOOKUP($B1030,$D:$K,6,0),)),IFERROR(VLOOKUP($C1030,INSUMOS!$A:$D,4,0),IFERROR(VLOOKUP($C1030,COTAÇÕES!$B:$I,7,0),(VLOOKUP($C1030,'INSUMO SINAPI - SP'!$C:$F,4,0)))))*$G1030,2)</f>
        <v>1.92</v>
      </c>
      <c r="J1030" s="513">
        <f>TRUNC(IF($C1030="",IFERROR(VLOOKUP($B1030,SERVIÇOS!$B:$G,5,0),IFERROR(VLOOKUP($B1030,$D:$K,7,0),)),0)*$G1030,2)</f>
        <v>0</v>
      </c>
      <c r="K1030" s="514">
        <f t="shared" si="30"/>
        <v>1.92</v>
      </c>
      <c r="L1030" s="517"/>
      <c r="M1030" s="471"/>
      <c r="N1030" s="516"/>
      <c r="Q1030" s="472"/>
      <c r="R1030" s="472"/>
      <c r="S1030" s="472"/>
      <c r="T1030" s="472"/>
      <c r="U1030" s="472"/>
      <c r="V1030" s="472"/>
      <c r="W1030" s="472"/>
      <c r="X1030" s="472"/>
      <c r="Y1030" s="472"/>
    </row>
    <row r="1031" spans="1:25" x14ac:dyDescent="0.25">
      <c r="A1031" s="463"/>
      <c r="B1031" s="506"/>
      <c r="C1031" s="507">
        <v>4512</v>
      </c>
      <c r="D1031" s="508"/>
      <c r="E1031" s="509" t="str">
        <f>IF($C1031="",IFERROR(VLOOKUP($B1031,SERVIÇOS!$B:$G,2,0),IFERROR(VLOOKUP($B1031,$D:$K,2,0),"")),IFERROR(VLOOKUP($C1031,INSUMOS!$A:$D,2,0),IFERROR(VLOOKUP($C1031,COTAÇÕES!$B:$I,2,0),(VLOOKUP($C1031,'INSUMO SINAPI - SP'!$C:$F,2,0)))))</f>
        <v>SARRAFO *2,5 X 5* CM EM PINUS, MISTA OU EQUIVALENTE DA REGIAO - BRUTA</v>
      </c>
      <c r="F1031" s="510" t="str">
        <f>IF($C1031="",IFERROR(VLOOKUP($B1031,SERVIÇOS!$B:$G,3,0),IFERROR(VLOOKUP($B1031,$D:$K,3,0),"")),IFERROR(VLOOKUP($C1031,INSUMOS!$A:$D,3,0),IFERROR(VLOOKUP($C1031,COTAÇÕES!$B:$I,3,0),(VLOOKUP($C1031,'INSUMO SINAPI - SP'!$C:$F,3,0)))))</f>
        <v>M</v>
      </c>
      <c r="G1031" s="511">
        <v>0.24</v>
      </c>
      <c r="H1031" s="512">
        <f>IF($C1031="",IFERROR(VLOOKUP($B1031,SERVIÇOS!$B:$G,6,0),IFERROR(VLOOKUP($B1031,$D:$K,8,0),"")),IFERROR(VLOOKUP($C1031,INSUMOS!$A:$D,4,0),IFERROR(VLOOKUP($C1031,COTAÇÕES!$B:$I,7,0),(VLOOKUP($C1031,'INSUMO SINAPI - SP'!$C:$F,4,0)))))</f>
        <v>1.69</v>
      </c>
      <c r="I1031" s="513">
        <f>TRUNC(IF($C1031="",IFERROR(VLOOKUP($B1031,SERVIÇOS!$B:$G,4,0),IFERROR(VLOOKUP($B1031,$D:$K,6,0),)),IFERROR(VLOOKUP($C1031,INSUMOS!$A:$D,4,0),IFERROR(VLOOKUP($C1031,COTAÇÕES!$B:$I,7,0),(VLOOKUP($C1031,'INSUMO SINAPI - SP'!$C:$F,4,0)))))*$G1031,2)</f>
        <v>0.4</v>
      </c>
      <c r="J1031" s="513">
        <f>TRUNC(IF($C1031="",IFERROR(VLOOKUP($B1031,SERVIÇOS!$B:$G,5,0),IFERROR(VLOOKUP($B1031,$D:$K,7,0),)),0)*$G1031,2)</f>
        <v>0</v>
      </c>
      <c r="K1031" s="514">
        <f t="shared" si="30"/>
        <v>0.4</v>
      </c>
      <c r="L1031" s="517"/>
      <c r="M1031" s="471"/>
      <c r="N1031" s="516"/>
      <c r="Q1031" s="472"/>
      <c r="R1031" s="472"/>
      <c r="S1031" s="472"/>
      <c r="T1031" s="472"/>
      <c r="U1031" s="472"/>
      <c r="V1031" s="472"/>
      <c r="W1031" s="472"/>
      <c r="X1031" s="472"/>
      <c r="Y1031" s="472"/>
    </row>
    <row r="1032" spans="1:25" x14ac:dyDescent="0.25">
      <c r="A1032" s="463"/>
      <c r="B1032" s="506"/>
      <c r="C1032" s="507">
        <v>5061</v>
      </c>
      <c r="D1032" s="508"/>
      <c r="E1032" s="509" t="str">
        <f>IF($C1032="",IFERROR(VLOOKUP($B1032,SERVIÇOS!$B:$G,2,0),IFERROR(VLOOKUP($B1032,$D:$K,2,0),"")),IFERROR(VLOOKUP($C1032,INSUMOS!$A:$D,2,0),IFERROR(VLOOKUP($C1032,COTAÇÕES!$B:$I,2,0),(VLOOKUP($C1032,'INSUMO SINAPI - SP'!$C:$F,2,0)))))</f>
        <v>PREGO DE ACO POLIDO COM CABECA 18 X 27 (2 1/2 X 10)</v>
      </c>
      <c r="F1032" s="510" t="str">
        <f>IF($C1032="",IFERROR(VLOOKUP($B1032,SERVIÇOS!$B:$G,3,0),IFERROR(VLOOKUP($B1032,$D:$K,3,0),"")),IFERROR(VLOOKUP($C1032,INSUMOS!$A:$D,3,0),IFERROR(VLOOKUP($C1032,COTAÇÕES!$B:$I,3,0),(VLOOKUP($C1032,'INSUMO SINAPI - SP'!$C:$F,3,0)))))</f>
        <v>KG</v>
      </c>
      <c r="G1032" s="511">
        <v>0.15</v>
      </c>
      <c r="H1032" s="512">
        <f>IF($C1032="",IFERROR(VLOOKUP($B1032,SERVIÇOS!$B:$G,6,0),IFERROR(VLOOKUP($B1032,$D:$K,8,0),"")),IFERROR(VLOOKUP($C1032,INSUMOS!$A:$D,4,0),IFERROR(VLOOKUP($C1032,COTAÇÕES!$B:$I,7,0),(VLOOKUP($C1032,'INSUMO SINAPI - SP'!$C:$F,4,0)))))</f>
        <v>15.8</v>
      </c>
      <c r="I1032" s="513">
        <f>TRUNC(IF($C1032="",IFERROR(VLOOKUP($B1032,SERVIÇOS!$B:$G,4,0),IFERROR(VLOOKUP($B1032,$D:$K,6,0),)),IFERROR(VLOOKUP($C1032,INSUMOS!$A:$D,4,0),IFERROR(VLOOKUP($C1032,COTAÇÕES!$B:$I,7,0),(VLOOKUP($C1032,'INSUMO SINAPI - SP'!$C:$F,4,0)))))*$G1032,2)</f>
        <v>2.37</v>
      </c>
      <c r="J1032" s="513">
        <f>TRUNC(IF($C1032="",IFERROR(VLOOKUP($B1032,SERVIÇOS!$B:$G,5,0),IFERROR(VLOOKUP($B1032,$D:$K,7,0),)),0)*$G1032,2)</f>
        <v>0</v>
      </c>
      <c r="K1032" s="514">
        <f t="shared" si="30"/>
        <v>2.37</v>
      </c>
      <c r="L1032" s="517"/>
      <c r="M1032" s="471"/>
      <c r="N1032" s="516"/>
      <c r="Q1032" s="472"/>
      <c r="R1032" s="472"/>
      <c r="S1032" s="472"/>
      <c r="T1032" s="472"/>
      <c r="U1032" s="472"/>
      <c r="V1032" s="472"/>
      <c r="W1032" s="472"/>
      <c r="X1032" s="472"/>
      <c r="Y1032" s="472"/>
    </row>
    <row r="1033" spans="1:25" ht="24" x14ac:dyDescent="0.25">
      <c r="A1033" s="463"/>
      <c r="B1033" s="506"/>
      <c r="C1033" s="507">
        <v>6189</v>
      </c>
      <c r="D1033" s="508"/>
      <c r="E1033" s="509" t="str">
        <f>IF($C1033="",IFERROR(VLOOKUP($B1033,SERVIÇOS!$B:$G,2,0),IFERROR(VLOOKUP($B1033,$D:$K,2,0),"")),IFERROR(VLOOKUP($C1033,INSUMOS!$A:$D,2,0),IFERROR(VLOOKUP($C1033,COTAÇÕES!$B:$I,2,0),(VLOOKUP($C1033,'INSUMO SINAPI - SP'!$C:$F,2,0)))))</f>
        <v>TABUA NAO APARELHADA *2,5 X 30* CM, EM MACARANDUBA/MASSARANDUBA, ANGELIM OU EQUIVALENTE DA REGIAO - BRUTA</v>
      </c>
      <c r="F1033" s="510" t="str">
        <f>IF($C1033="",IFERROR(VLOOKUP($B1033,SERVIÇOS!$B:$G,3,0),IFERROR(VLOOKUP($B1033,$D:$K,3,0),"")),IFERROR(VLOOKUP($C1033,INSUMOS!$A:$D,3,0),IFERROR(VLOOKUP($C1033,COTAÇÕES!$B:$I,3,0),(VLOOKUP($C1033,'INSUMO SINAPI - SP'!$C:$F,3,0)))))</f>
        <v>M</v>
      </c>
      <c r="G1033" s="511">
        <v>0.79200000000000004</v>
      </c>
      <c r="H1033" s="512">
        <f>IF($C1033="",IFERROR(VLOOKUP($B1033,SERVIÇOS!$B:$G,6,0),IFERROR(VLOOKUP($B1033,$D:$K,8,0),"")),IFERROR(VLOOKUP($C1033,INSUMOS!$A:$D,4,0),IFERROR(VLOOKUP($C1033,COTAÇÕES!$B:$I,7,0),(VLOOKUP($C1033,'INSUMO SINAPI - SP'!$C:$F,4,0)))))</f>
        <v>31.74</v>
      </c>
      <c r="I1033" s="513">
        <f>TRUNC(IF($C1033="",IFERROR(VLOOKUP($B1033,SERVIÇOS!$B:$G,4,0),IFERROR(VLOOKUP($B1033,$D:$K,6,0),)),IFERROR(VLOOKUP($C1033,INSUMOS!$A:$D,4,0),IFERROR(VLOOKUP($C1033,COTAÇÕES!$B:$I,7,0),(VLOOKUP($C1033,'INSUMO SINAPI - SP'!$C:$F,4,0)))))*$G1033,2)</f>
        <v>25.13</v>
      </c>
      <c r="J1033" s="513">
        <f>TRUNC(IF($C1033="",IFERROR(VLOOKUP($B1033,SERVIÇOS!$B:$G,5,0),IFERROR(VLOOKUP($B1033,$D:$K,7,0),)),0)*$G1033,2)</f>
        <v>0</v>
      </c>
      <c r="K1033" s="514">
        <f t="shared" si="30"/>
        <v>25.13</v>
      </c>
      <c r="L1033" s="517"/>
      <c r="M1033" s="471"/>
      <c r="N1033" s="516"/>
      <c r="Q1033" s="472"/>
      <c r="R1033" s="472"/>
      <c r="S1033" s="472"/>
      <c r="T1033" s="472"/>
      <c r="U1033" s="472"/>
      <c r="V1033" s="472"/>
      <c r="W1033" s="472"/>
      <c r="X1033" s="472"/>
      <c r="Y1033" s="472"/>
    </row>
    <row r="1034" spans="1:25" ht="24" x14ac:dyDescent="0.25">
      <c r="A1034" s="463"/>
      <c r="B1034" s="498"/>
      <c r="C1034" s="498"/>
      <c r="D1034" s="499" t="s">
        <v>11940</v>
      </c>
      <c r="E1034" s="555" t="s">
        <v>13158</v>
      </c>
      <c r="F1034" s="501" t="s">
        <v>664</v>
      </c>
      <c r="G1034" s="502"/>
      <c r="H1034" s="503"/>
      <c r="I1034" s="504">
        <f>ROUND(SUM(I1035:I1036),2)</f>
        <v>534.25</v>
      </c>
      <c r="J1034" s="504">
        <f>ROUND(SUM(J1035:J1036),2)</f>
        <v>38.56</v>
      </c>
      <c r="K1034" s="504">
        <f>+J1034+I1034</f>
        <v>572.80999999999995</v>
      </c>
      <c r="L1034" s="523" t="s">
        <v>13159</v>
      </c>
      <c r="M1034" s="471"/>
      <c r="N1034" s="505"/>
      <c r="Q1034" s="472"/>
      <c r="R1034" s="472"/>
      <c r="S1034" s="472"/>
      <c r="T1034" s="472"/>
      <c r="U1034" s="472"/>
      <c r="V1034" s="472"/>
      <c r="W1034" s="472"/>
      <c r="X1034" s="472"/>
      <c r="Y1034" s="472"/>
    </row>
    <row r="1035" spans="1:25" ht="24" x14ac:dyDescent="0.25">
      <c r="A1035" s="463"/>
      <c r="B1035" s="506"/>
      <c r="C1035" s="507">
        <v>1525</v>
      </c>
      <c r="D1035" s="508"/>
      <c r="E1035" s="509" t="str">
        <f>IF($C1035="",IFERROR(VLOOKUP($B1035,SERVIÇOS!$B:$G,2,0),IFERROR(VLOOKUP($B1035,$D:$K,2,0),"")),IFERROR(VLOOKUP($C1035,INSUMOS!$A:$D,2,0),IFERROR(VLOOKUP($C1035,COTAÇÕES!$B:$I,2,0),(VLOOKUP($C1035,'INSUMO SINAPI - SP'!$C:$F,2,0)))))</f>
        <v>CONCRETO USINADO BOMBEAVEL, CLASSE DE RESISTENCIA C30, BRITA 0 E 1, SLUMP = 100 +/- 20 MM, COM BOMBEAMENTO (DISPONIBILIZACAO DE BOMBA), SEM O LANCAMENTO (NBR 8953)</v>
      </c>
      <c r="F1035" s="510" t="str">
        <f>IF($C1035="",IFERROR(VLOOKUP($B1035,SERVIÇOS!$B:$G,3,0),IFERROR(VLOOKUP($B1035,$D:$K,3,0),"")),IFERROR(VLOOKUP($C1035,INSUMOS!$A:$D,3,0),IFERROR(VLOOKUP($C1035,COTAÇÕES!$B:$I,3,0),(VLOOKUP($C1035,'INSUMO SINAPI - SP'!$C:$F,3,0)))))</f>
        <v>M3</v>
      </c>
      <c r="G1035" s="511">
        <v>1</v>
      </c>
      <c r="H1035" s="512">
        <f>IF($C1035="",IFERROR(VLOOKUP($B1035,SERVIÇOS!$B:$G,6,0),IFERROR(VLOOKUP($B1035,$D:$K,8,0),"")),IFERROR(VLOOKUP($C1035,INSUMOS!$A:$D,4,0),IFERROR(VLOOKUP($C1035,COTAÇÕES!$B:$I,7,0),(VLOOKUP($C1035,'INSUMO SINAPI - SP'!$C:$F,4,0)))))</f>
        <v>517.61</v>
      </c>
      <c r="I1035" s="513">
        <f>TRUNC(IF($C1035="",IFERROR(VLOOKUP($B1035,SERVIÇOS!$B:$G,4,0),IFERROR(VLOOKUP($B1035,$D:$K,6,0),)),IFERROR(VLOOKUP($C1035,INSUMOS!$A:$D,4,0),IFERROR(VLOOKUP($C1035,COTAÇÕES!$B:$I,7,0),(VLOOKUP($C1035,'INSUMO SINAPI - SP'!$C:$F,4,0)))))*$G1035,2)</f>
        <v>517.61</v>
      </c>
      <c r="J1035" s="513">
        <f>TRUNC(IF($C1035="",IFERROR(VLOOKUP($B1035,SERVIÇOS!$B:$G,5,0),IFERROR(VLOOKUP($B1035,$D:$K,7,0),)),0)*$G1035,2)</f>
        <v>0</v>
      </c>
      <c r="K1035" s="514">
        <f>I1035+J1035</f>
        <v>517.61</v>
      </c>
      <c r="L1035" s="517"/>
      <c r="M1035" s="471"/>
      <c r="N1035" s="516"/>
      <c r="Q1035" s="472"/>
      <c r="R1035" s="472"/>
      <c r="S1035" s="472"/>
      <c r="T1035" s="472"/>
      <c r="U1035" s="472"/>
      <c r="V1035" s="472"/>
      <c r="W1035" s="472"/>
      <c r="X1035" s="472"/>
      <c r="Y1035" s="472"/>
    </row>
    <row r="1036" spans="1:25" ht="24" x14ac:dyDescent="0.25">
      <c r="A1036" s="463"/>
      <c r="B1036" s="506">
        <v>103673</v>
      </c>
      <c r="C1036" s="507"/>
      <c r="D1036" s="508"/>
      <c r="E1036" s="509" t="str">
        <f>IF($C1036="",IFERROR(VLOOKUP($B1036,SERVIÇOS!$B:$G,2,0),IFERROR(VLOOKUP($B1036,$D:$K,2,0),"")),IFERROR(VLOOKUP($C1036,INSUMOS!$A:$D,2,0),IFERROR(VLOOKUP($C1036,COTAÇÕES!$B:$I,2,0),(VLOOKUP($C1036,'INSUMO SINAPI - SP'!$C:$F,2,0)))))</f>
        <v>LANÇAMENTO COM USO DE BOMBA, ADENSAMENTO E ACABAMENTO DE CONCRETO EM ESTRUTURAS. AF_02/2022</v>
      </c>
      <c r="F1036" s="510" t="str">
        <f>IF($C1036="",IFERROR(VLOOKUP($B1036,SERVIÇOS!$B:$G,3,0),IFERROR(VLOOKUP($B1036,$D:$K,3,0),"")),IFERROR(VLOOKUP($C1036,INSUMOS!$A:$D,3,0),IFERROR(VLOOKUP($C1036,COTAÇÕES!$B:$I,3,0),(VLOOKUP($C1036,'INSUMO SINAPI - SP'!$C:$F,3,0)))))</f>
        <v>M3</v>
      </c>
      <c r="G1036" s="511">
        <v>1</v>
      </c>
      <c r="H1036" s="512">
        <f>IF($C1036="",IFERROR(VLOOKUP($B1036,SERVIÇOS!$B:$G,6,0),IFERROR(VLOOKUP($B1036,$D:$K,8,0),"")),IFERROR(VLOOKUP($C1036,INSUMOS!$A:$D,4,0),IFERROR(VLOOKUP($C1036,COTAÇÕES!$B:$I,7,0),(VLOOKUP($C1036,'INSUMO SINAPI - SP'!$C:$F,4,0)))))</f>
        <v>55.2</v>
      </c>
      <c r="I1036" s="513">
        <f>TRUNC(IF($C1036="",IFERROR(VLOOKUP($B1036,SERVIÇOS!$B:$G,4,0),IFERROR(VLOOKUP($B1036,$D:$K,6,0),)),IFERROR(VLOOKUP($C1036,INSUMOS!$A:$D,4,0),IFERROR(VLOOKUP($C1036,COTAÇÕES!$B:$I,7,0),(VLOOKUP($C1036,'INSUMO SINAPI - SP'!$C:$F,4,0)))))*$G1036,2)</f>
        <v>16.64</v>
      </c>
      <c r="J1036" s="513">
        <f>TRUNC(IF($C1036="",IFERROR(VLOOKUP($B1036,SERVIÇOS!$B:$G,5,0),IFERROR(VLOOKUP($B1036,$D:$K,7,0),)),0)*$G1036,2)</f>
        <v>38.56</v>
      </c>
      <c r="K1036" s="514">
        <f>I1036+J1036</f>
        <v>55.2</v>
      </c>
      <c r="L1036" s="515"/>
      <c r="M1036" s="471"/>
      <c r="N1036" s="516"/>
      <c r="Q1036" s="472"/>
      <c r="R1036" s="472"/>
      <c r="S1036" s="472"/>
      <c r="T1036" s="472"/>
      <c r="U1036" s="472"/>
      <c r="V1036" s="472"/>
      <c r="W1036" s="472"/>
      <c r="X1036" s="472"/>
      <c r="Y1036" s="472"/>
    </row>
    <row r="1037" spans="1:25" x14ac:dyDescent="0.25">
      <c r="A1037" s="463"/>
      <c r="B1037" s="498"/>
      <c r="C1037" s="498"/>
      <c r="D1037" s="499" t="s">
        <v>11927</v>
      </c>
      <c r="E1037" s="555" t="s">
        <v>13160</v>
      </c>
      <c r="F1037" s="501" t="s">
        <v>664</v>
      </c>
      <c r="G1037" s="502"/>
      <c r="H1037" s="503"/>
      <c r="I1037" s="504">
        <f>ROUND(SUM(I1038),2)</f>
        <v>559.38</v>
      </c>
      <c r="J1037" s="504">
        <f>ROUND(SUM(J1038),2)</f>
        <v>0</v>
      </c>
      <c r="K1037" s="504">
        <f>+J1037+I1037</f>
        <v>559.38</v>
      </c>
      <c r="L1037" s="523" t="s">
        <v>13161</v>
      </c>
      <c r="M1037" s="471"/>
      <c r="N1037" s="505"/>
      <c r="Q1037" s="472"/>
      <c r="R1037" s="472"/>
      <c r="S1037" s="472"/>
      <c r="T1037" s="472"/>
      <c r="U1037" s="472"/>
      <c r="V1037" s="472"/>
      <c r="W1037" s="472"/>
      <c r="X1037" s="472"/>
      <c r="Y1037" s="472"/>
    </row>
    <row r="1038" spans="1:25" ht="24" x14ac:dyDescent="0.25">
      <c r="A1038" s="463"/>
      <c r="B1038" s="506"/>
      <c r="C1038" s="507">
        <v>43360</v>
      </c>
      <c r="D1038" s="508"/>
      <c r="E1038" s="509" t="str">
        <f>IF($C1038="",IFERROR(VLOOKUP($B1038,SERVIÇOS!$B:$G,2,0),IFERROR(VLOOKUP($B1038,$D:$K,2,0),"")),IFERROR(VLOOKUP($C1038,INSUMOS!$A:$D,2,0),IFERROR(VLOOKUP($C1038,COTAÇÕES!$B:$I,2,0),(VLOOKUP($C1038,'INSUMO SINAPI - SP'!$C:$F,2,0)))))</f>
        <v>CONCRETO USINADO BOMBEAVEL, CLASSE DE RESISTENCIA C30, COM BRITA 0 E 1, SLUMP = 220 +/- 30 MM, EXCLUI SERVICO DE BOMBEAMENTO (NBR 8953)</v>
      </c>
      <c r="F1038" s="510" t="str">
        <f>IF($C1038="",IFERROR(VLOOKUP($B1038,SERVIÇOS!$B:$G,3,0),IFERROR(VLOOKUP($B1038,$D:$K,3,0),"")),IFERROR(VLOOKUP($C1038,INSUMOS!$A:$D,3,0),IFERROR(VLOOKUP($C1038,COTAÇÕES!$B:$I,3,0),(VLOOKUP($C1038,'INSUMO SINAPI - SP'!$C:$F,3,0)))))</f>
        <v>M3</v>
      </c>
      <c r="G1038" s="511">
        <v>1</v>
      </c>
      <c r="H1038" s="512">
        <f>IF($C1038="",IFERROR(VLOOKUP($B1038,SERVIÇOS!$B:$G,6,0),IFERROR(VLOOKUP($B1038,$D:$K,8,0),"")),IFERROR(VLOOKUP($C1038,INSUMOS!$A:$D,4,0),IFERROR(VLOOKUP($C1038,COTAÇÕES!$B:$I,7,0),(VLOOKUP($C1038,'INSUMO SINAPI - SP'!$C:$F,4,0)))))</f>
        <v>559.38</v>
      </c>
      <c r="I1038" s="513">
        <f>TRUNC(IF($C1038="",IFERROR(VLOOKUP($B1038,SERVIÇOS!$B:$G,4,0),IFERROR(VLOOKUP($B1038,$D:$K,6,0),)),IFERROR(VLOOKUP($C1038,INSUMOS!$A:$D,4,0),IFERROR(VLOOKUP($C1038,COTAÇÕES!$B:$I,7,0),(VLOOKUP($C1038,'INSUMO SINAPI - SP'!$C:$F,4,0)))))*$G1038,2)</f>
        <v>559.38</v>
      </c>
      <c r="J1038" s="513">
        <f>TRUNC(IF($C1038="",IFERROR(VLOOKUP($B1038,SERVIÇOS!$B:$G,5,0),IFERROR(VLOOKUP($B1038,$D:$K,7,0),)),0)*$G1038,2)</f>
        <v>0</v>
      </c>
      <c r="K1038" s="514">
        <f>I1038+J1038</f>
        <v>559.38</v>
      </c>
      <c r="L1038" s="517"/>
      <c r="M1038" s="471"/>
      <c r="N1038" s="516"/>
      <c r="Q1038" s="472"/>
      <c r="R1038" s="472"/>
      <c r="S1038" s="472"/>
      <c r="T1038" s="472"/>
      <c r="U1038" s="472"/>
      <c r="V1038" s="472"/>
      <c r="W1038" s="472"/>
      <c r="X1038" s="472"/>
      <c r="Y1038" s="472"/>
    </row>
    <row r="1039" spans="1:25" ht="24" x14ac:dyDescent="0.25">
      <c r="A1039" s="463"/>
      <c r="B1039" s="498"/>
      <c r="C1039" s="498"/>
      <c r="D1039" s="499" t="s">
        <v>11932</v>
      </c>
      <c r="E1039" s="555" t="s">
        <v>13162</v>
      </c>
      <c r="F1039" s="501" t="s">
        <v>664</v>
      </c>
      <c r="G1039" s="502"/>
      <c r="H1039" s="503"/>
      <c r="I1039" s="504">
        <f>ROUND(SUM(I1040:I1041),2)</f>
        <v>534.25</v>
      </c>
      <c r="J1039" s="504">
        <f>ROUND(SUM(J1040:J1041),2)</f>
        <v>38.56</v>
      </c>
      <c r="K1039" s="504">
        <f>+J1039+I1039</f>
        <v>572.80999999999995</v>
      </c>
      <c r="L1039" s="523" t="s">
        <v>13159</v>
      </c>
      <c r="M1039" s="471"/>
      <c r="N1039" s="505"/>
      <c r="Q1039" s="472"/>
      <c r="R1039" s="472"/>
      <c r="S1039" s="472"/>
      <c r="T1039" s="472"/>
      <c r="U1039" s="472"/>
      <c r="V1039" s="472"/>
      <c r="W1039" s="472"/>
      <c r="X1039" s="472"/>
      <c r="Y1039" s="472"/>
    </row>
    <row r="1040" spans="1:25" ht="24" x14ac:dyDescent="0.25">
      <c r="A1040" s="463"/>
      <c r="B1040" s="506"/>
      <c r="C1040" s="507">
        <v>1525</v>
      </c>
      <c r="D1040" s="508"/>
      <c r="E1040" s="509" t="str">
        <f>IF($C1040="",IFERROR(VLOOKUP($B1040,SERVIÇOS!$B:$G,2,0),IFERROR(VLOOKUP($B1040,$D:$K,2,0),"")),IFERROR(VLOOKUP($C1040,INSUMOS!$A:$D,2,0),IFERROR(VLOOKUP($C1040,COTAÇÕES!$B:$I,2,0),(VLOOKUP($C1040,'INSUMO SINAPI - SP'!$C:$F,2,0)))))</f>
        <v>CONCRETO USINADO BOMBEAVEL, CLASSE DE RESISTENCIA C30, BRITA 0 E 1, SLUMP = 100 +/- 20 MM, COM BOMBEAMENTO (DISPONIBILIZACAO DE BOMBA), SEM O LANCAMENTO (NBR 8953)</v>
      </c>
      <c r="F1040" s="510" t="str">
        <f>IF($C1040="",IFERROR(VLOOKUP($B1040,SERVIÇOS!$B:$G,3,0),IFERROR(VLOOKUP($B1040,$D:$K,3,0),"")),IFERROR(VLOOKUP($C1040,INSUMOS!$A:$D,3,0),IFERROR(VLOOKUP($C1040,COTAÇÕES!$B:$I,3,0),(VLOOKUP($C1040,'INSUMO SINAPI - SP'!$C:$F,3,0)))))</f>
        <v>M3</v>
      </c>
      <c r="G1040" s="511">
        <v>1</v>
      </c>
      <c r="H1040" s="512">
        <f>IF($C1040="",IFERROR(VLOOKUP($B1040,SERVIÇOS!$B:$G,6,0),IFERROR(VLOOKUP($B1040,$D:$K,8,0),"")),IFERROR(VLOOKUP($C1040,INSUMOS!$A:$D,4,0),IFERROR(VLOOKUP($C1040,COTAÇÕES!$B:$I,7,0),(VLOOKUP($C1040,'INSUMO SINAPI - SP'!$C:$F,4,0)))))</f>
        <v>517.61</v>
      </c>
      <c r="I1040" s="513">
        <f>TRUNC(IF($C1040="",IFERROR(VLOOKUP($B1040,SERVIÇOS!$B:$G,4,0),IFERROR(VLOOKUP($B1040,$D:$K,6,0),)),IFERROR(VLOOKUP($C1040,INSUMOS!$A:$D,4,0),IFERROR(VLOOKUP($C1040,COTAÇÕES!$B:$I,7,0),(VLOOKUP($C1040,'INSUMO SINAPI - SP'!$C:$F,4,0)))))*$G1040,2)</f>
        <v>517.61</v>
      </c>
      <c r="J1040" s="513">
        <f>TRUNC(IF($C1040="",IFERROR(VLOOKUP($B1040,SERVIÇOS!$B:$G,5,0),IFERROR(VLOOKUP($B1040,$D:$K,7,0),)),0)*$G1040,2)</f>
        <v>0</v>
      </c>
      <c r="K1040" s="514">
        <f>I1040+J1040</f>
        <v>517.61</v>
      </c>
      <c r="L1040" s="517"/>
      <c r="M1040" s="471"/>
      <c r="N1040" s="516"/>
      <c r="Q1040" s="472"/>
      <c r="R1040" s="472"/>
      <c r="S1040" s="472"/>
      <c r="T1040" s="472"/>
      <c r="U1040" s="472"/>
      <c r="V1040" s="472"/>
      <c r="W1040" s="472"/>
      <c r="X1040" s="472"/>
      <c r="Y1040" s="472"/>
    </row>
    <row r="1041" spans="1:25" ht="24" x14ac:dyDescent="0.25">
      <c r="A1041" s="463"/>
      <c r="B1041" s="506">
        <v>103673</v>
      </c>
      <c r="C1041" s="507"/>
      <c r="D1041" s="508"/>
      <c r="E1041" s="509" t="str">
        <f>IF($C1041="",IFERROR(VLOOKUP($B1041,SERVIÇOS!$B:$G,2,0),IFERROR(VLOOKUP($B1041,$D:$K,2,0),"")),IFERROR(VLOOKUP($C1041,INSUMOS!$A:$D,2,0),IFERROR(VLOOKUP($C1041,COTAÇÕES!$B:$I,2,0),(VLOOKUP($C1041,'INSUMO SINAPI - SP'!$C:$F,2,0)))))</f>
        <v>LANÇAMENTO COM USO DE BOMBA, ADENSAMENTO E ACABAMENTO DE CONCRETO EM ESTRUTURAS. AF_02/2022</v>
      </c>
      <c r="F1041" s="510" t="str">
        <f>IF($C1041="",IFERROR(VLOOKUP($B1041,SERVIÇOS!$B:$G,3,0),IFERROR(VLOOKUP($B1041,$D:$K,3,0),"")),IFERROR(VLOOKUP($C1041,INSUMOS!$A:$D,3,0),IFERROR(VLOOKUP($C1041,COTAÇÕES!$B:$I,3,0),(VLOOKUP($C1041,'INSUMO SINAPI - SP'!$C:$F,3,0)))))</f>
        <v>M3</v>
      </c>
      <c r="G1041" s="511">
        <v>1</v>
      </c>
      <c r="H1041" s="512">
        <f>IF($C1041="",IFERROR(VLOOKUP($B1041,SERVIÇOS!$B:$G,6,0),IFERROR(VLOOKUP($B1041,$D:$K,8,0),"")),IFERROR(VLOOKUP($C1041,INSUMOS!$A:$D,4,0),IFERROR(VLOOKUP($C1041,COTAÇÕES!$B:$I,7,0),(VLOOKUP($C1041,'INSUMO SINAPI - SP'!$C:$F,4,0)))))</f>
        <v>55.2</v>
      </c>
      <c r="I1041" s="513">
        <f>TRUNC(IF($C1041="",IFERROR(VLOOKUP($B1041,SERVIÇOS!$B:$G,4,0),IFERROR(VLOOKUP($B1041,$D:$K,6,0),)),IFERROR(VLOOKUP($C1041,INSUMOS!$A:$D,4,0),IFERROR(VLOOKUP($C1041,COTAÇÕES!$B:$I,7,0),(VLOOKUP($C1041,'INSUMO SINAPI - SP'!$C:$F,4,0)))))*$G1041,2)</f>
        <v>16.64</v>
      </c>
      <c r="J1041" s="513">
        <f>TRUNC(IF($C1041="",IFERROR(VLOOKUP($B1041,SERVIÇOS!$B:$G,5,0),IFERROR(VLOOKUP($B1041,$D:$K,7,0),)),0)*$G1041,2)</f>
        <v>38.56</v>
      </c>
      <c r="K1041" s="514">
        <f>I1041+J1041</f>
        <v>55.2</v>
      </c>
      <c r="L1041" s="515"/>
      <c r="M1041" s="471"/>
      <c r="N1041" s="516"/>
      <c r="Q1041" s="472"/>
      <c r="R1041" s="472"/>
      <c r="S1041" s="472"/>
      <c r="T1041" s="472"/>
      <c r="U1041" s="472"/>
      <c r="V1041" s="472"/>
      <c r="W1041" s="472"/>
      <c r="X1041" s="472"/>
      <c r="Y1041" s="472"/>
    </row>
    <row r="1042" spans="1:25" ht="24" x14ac:dyDescent="0.25">
      <c r="A1042" s="463"/>
      <c r="B1042" s="498"/>
      <c r="C1042" s="498"/>
      <c r="D1042" s="499" t="s">
        <v>11937</v>
      </c>
      <c r="E1042" s="555" t="s">
        <v>13163</v>
      </c>
      <c r="F1042" s="501" t="s">
        <v>664</v>
      </c>
      <c r="G1042" s="502"/>
      <c r="H1042" s="503"/>
      <c r="I1042" s="504">
        <f>ROUND(SUM(I1043:I1044),2)</f>
        <v>518.79999999999995</v>
      </c>
      <c r="J1042" s="504">
        <f>ROUND(SUM(J1043:J1044),2)</f>
        <v>38.56</v>
      </c>
      <c r="K1042" s="504">
        <f>+J1042+I1042</f>
        <v>557.3599999999999</v>
      </c>
      <c r="L1042" s="523" t="s">
        <v>13159</v>
      </c>
      <c r="M1042" s="471"/>
      <c r="N1042" s="505"/>
      <c r="Q1042" s="472"/>
      <c r="R1042" s="472"/>
      <c r="S1042" s="472"/>
      <c r="T1042" s="472"/>
      <c r="U1042" s="472"/>
      <c r="V1042" s="472"/>
      <c r="W1042" s="472"/>
      <c r="X1042" s="472"/>
      <c r="Y1042" s="472"/>
    </row>
    <row r="1043" spans="1:25" ht="24" x14ac:dyDescent="0.25">
      <c r="A1043" s="463"/>
      <c r="B1043" s="506"/>
      <c r="C1043" s="507">
        <v>1527</v>
      </c>
      <c r="D1043" s="508"/>
      <c r="E1043" s="509" t="str">
        <f>IF($C1043="",IFERROR(VLOOKUP($B1043,SERVIÇOS!$B:$G,2,0),IFERROR(VLOOKUP($B1043,$D:$K,2,0),"")),IFERROR(VLOOKUP($C1043,INSUMOS!$A:$D,2,0),IFERROR(VLOOKUP($C1043,COTAÇÕES!$B:$I,2,0),(VLOOKUP($C1043,'INSUMO SINAPI - SP'!$C:$F,2,0)))))</f>
        <v>CONCRETO USINADO BOMBEAVEL, CLASSE DE RESISTENCIA C25, BRITA 0 E 1, SLUMP = 100 +/- 20 MM, COM BOMBEAMENTO (DISPONIBILIZACAO DE BOMBA), SEM O LANCAMENTO (NBR 8953)</v>
      </c>
      <c r="F1043" s="510" t="str">
        <f>IF($C1043="",IFERROR(VLOOKUP($B1043,SERVIÇOS!$B:$G,3,0),IFERROR(VLOOKUP($B1043,$D:$K,3,0),"")),IFERROR(VLOOKUP($C1043,INSUMOS!$A:$D,3,0),IFERROR(VLOOKUP($C1043,COTAÇÕES!$B:$I,3,0),(VLOOKUP($C1043,'INSUMO SINAPI - SP'!$C:$F,3,0)))))</f>
        <v>M3</v>
      </c>
      <c r="G1043" s="511">
        <v>1</v>
      </c>
      <c r="H1043" s="512">
        <f>IF($C1043="",IFERROR(VLOOKUP($B1043,SERVIÇOS!$B:$G,6,0),IFERROR(VLOOKUP($B1043,$D:$K,8,0),"")),IFERROR(VLOOKUP($C1043,INSUMOS!$A:$D,4,0),IFERROR(VLOOKUP($C1043,COTAÇÕES!$B:$I,7,0),(VLOOKUP($C1043,'INSUMO SINAPI - SP'!$C:$F,4,0)))))</f>
        <v>502.16</v>
      </c>
      <c r="I1043" s="513">
        <f>TRUNC(IF($C1043="",IFERROR(VLOOKUP($B1043,SERVIÇOS!$B:$G,4,0),IFERROR(VLOOKUP($B1043,$D:$K,6,0),)),IFERROR(VLOOKUP($C1043,INSUMOS!$A:$D,4,0),IFERROR(VLOOKUP($C1043,COTAÇÕES!$B:$I,7,0),(VLOOKUP($C1043,'INSUMO SINAPI - SP'!$C:$F,4,0)))))*$G1043,2)</f>
        <v>502.16</v>
      </c>
      <c r="J1043" s="513">
        <f>TRUNC(IF($C1043="",IFERROR(VLOOKUP($B1043,SERVIÇOS!$B:$G,5,0),IFERROR(VLOOKUP($B1043,$D:$K,7,0),)),0)*$G1043,2)</f>
        <v>0</v>
      </c>
      <c r="K1043" s="514">
        <f>I1043+J1043</f>
        <v>502.16</v>
      </c>
      <c r="L1043" s="517"/>
      <c r="M1043" s="471"/>
      <c r="N1043" s="516"/>
      <c r="Q1043" s="472"/>
      <c r="R1043" s="472"/>
      <c r="S1043" s="472"/>
      <c r="T1043" s="472"/>
      <c r="U1043" s="472"/>
      <c r="V1043" s="472"/>
      <c r="W1043" s="472"/>
      <c r="X1043" s="472"/>
      <c r="Y1043" s="472"/>
    </row>
    <row r="1044" spans="1:25" ht="24" x14ac:dyDescent="0.25">
      <c r="A1044" s="463"/>
      <c r="B1044" s="506">
        <v>103673</v>
      </c>
      <c r="C1044" s="507"/>
      <c r="D1044" s="508"/>
      <c r="E1044" s="509" t="str">
        <f>IF($C1044="",IFERROR(VLOOKUP($B1044,SERVIÇOS!$B:$G,2,0),IFERROR(VLOOKUP($B1044,$D:$K,2,0),"")),IFERROR(VLOOKUP($C1044,INSUMOS!$A:$D,2,0),IFERROR(VLOOKUP($C1044,COTAÇÕES!$B:$I,2,0),(VLOOKUP($C1044,'INSUMO SINAPI - SP'!$C:$F,2,0)))))</f>
        <v>LANÇAMENTO COM USO DE BOMBA, ADENSAMENTO E ACABAMENTO DE CONCRETO EM ESTRUTURAS. AF_02/2022</v>
      </c>
      <c r="F1044" s="510" t="str">
        <f>IF($C1044="",IFERROR(VLOOKUP($B1044,SERVIÇOS!$B:$G,3,0),IFERROR(VLOOKUP($B1044,$D:$K,3,0),"")),IFERROR(VLOOKUP($C1044,INSUMOS!$A:$D,3,0),IFERROR(VLOOKUP($C1044,COTAÇÕES!$B:$I,3,0),(VLOOKUP($C1044,'INSUMO SINAPI - SP'!$C:$F,3,0)))))</f>
        <v>M3</v>
      </c>
      <c r="G1044" s="511">
        <v>1</v>
      </c>
      <c r="H1044" s="512">
        <f>IF($C1044="",IFERROR(VLOOKUP($B1044,SERVIÇOS!$B:$G,6,0),IFERROR(VLOOKUP($B1044,$D:$K,8,0),"")),IFERROR(VLOOKUP($C1044,INSUMOS!$A:$D,4,0),IFERROR(VLOOKUP($C1044,COTAÇÕES!$B:$I,7,0),(VLOOKUP($C1044,'INSUMO SINAPI - SP'!$C:$F,4,0)))))</f>
        <v>55.2</v>
      </c>
      <c r="I1044" s="513">
        <f>TRUNC(IF($C1044="",IFERROR(VLOOKUP($B1044,SERVIÇOS!$B:$G,4,0),IFERROR(VLOOKUP($B1044,$D:$K,6,0),)),IFERROR(VLOOKUP($C1044,INSUMOS!$A:$D,4,0),IFERROR(VLOOKUP($C1044,COTAÇÕES!$B:$I,7,0),(VLOOKUP($C1044,'INSUMO SINAPI - SP'!$C:$F,4,0)))))*$G1044,2)</f>
        <v>16.64</v>
      </c>
      <c r="J1044" s="513">
        <f>TRUNC(IF($C1044="",IFERROR(VLOOKUP($B1044,SERVIÇOS!$B:$G,5,0),IFERROR(VLOOKUP($B1044,$D:$K,7,0),)),0)*$G1044,2)</f>
        <v>38.56</v>
      </c>
      <c r="K1044" s="514">
        <f>I1044+J1044</f>
        <v>55.2</v>
      </c>
      <c r="L1044" s="515"/>
      <c r="M1044" s="471"/>
      <c r="N1044" s="516"/>
      <c r="Q1044" s="472"/>
      <c r="R1044" s="472"/>
      <c r="S1044" s="472"/>
      <c r="T1044" s="472"/>
      <c r="U1044" s="472"/>
      <c r="V1044" s="472"/>
      <c r="W1044" s="472"/>
      <c r="X1044" s="472"/>
      <c r="Y1044" s="472"/>
    </row>
    <row r="1045" spans="1:25" x14ac:dyDescent="0.25">
      <c r="A1045" s="463"/>
      <c r="B1045" s="498"/>
      <c r="C1045" s="498"/>
      <c r="D1045" s="499" t="s">
        <v>11928</v>
      </c>
      <c r="E1045" s="555" t="s">
        <v>13164</v>
      </c>
      <c r="F1045" s="501" t="s">
        <v>580</v>
      </c>
      <c r="G1045" s="502"/>
      <c r="H1045" s="503"/>
      <c r="I1045" s="504">
        <f>ROUND(SUM(I1046),2)</f>
        <v>14</v>
      </c>
      <c r="J1045" s="504">
        <f>ROUND(SUM(J1046),2)</f>
        <v>0</v>
      </c>
      <c r="K1045" s="504">
        <f>+J1045+I1045</f>
        <v>14</v>
      </c>
      <c r="L1045" s="523" t="s">
        <v>13165</v>
      </c>
      <c r="M1045" s="471"/>
      <c r="N1045" s="505"/>
      <c r="Q1045" s="472"/>
      <c r="R1045" s="472"/>
      <c r="S1045" s="472"/>
      <c r="T1045" s="472"/>
      <c r="U1045" s="472"/>
      <c r="V1045" s="472"/>
      <c r="W1045" s="472"/>
      <c r="X1045" s="472"/>
      <c r="Y1045" s="472"/>
    </row>
    <row r="1046" spans="1:25" x14ac:dyDescent="0.25">
      <c r="A1046" s="463"/>
      <c r="B1046" s="506"/>
      <c r="C1046" s="507" t="s">
        <v>13166</v>
      </c>
      <c r="D1046" s="508"/>
      <c r="E1046" s="518" t="s">
        <v>13164</v>
      </c>
      <c r="F1046" s="519" t="s">
        <v>580</v>
      </c>
      <c r="G1046" s="511">
        <v>1</v>
      </c>
      <c r="H1046" s="520">
        <v>14</v>
      </c>
      <c r="I1046" s="520">
        <f>TRUNC(H1046*G1046,2)</f>
        <v>14</v>
      </c>
      <c r="J1046" s="521"/>
      <c r="K1046" s="522">
        <f>I1046+J1046</f>
        <v>14</v>
      </c>
      <c r="L1046" s="517" t="s">
        <v>12668</v>
      </c>
      <c r="M1046" s="471"/>
      <c r="N1046" s="516"/>
      <c r="Q1046" s="472"/>
      <c r="R1046" s="472"/>
      <c r="S1046" s="472"/>
      <c r="T1046" s="472"/>
      <c r="U1046" s="472"/>
      <c r="V1046" s="472"/>
      <c r="W1046" s="472"/>
      <c r="X1046" s="472"/>
      <c r="Y1046" s="472"/>
    </row>
    <row r="1047" spans="1:25" x14ac:dyDescent="0.25">
      <c r="A1047" s="463"/>
      <c r="B1047" s="498"/>
      <c r="C1047" s="498"/>
      <c r="D1047" s="499" t="s">
        <v>11947</v>
      </c>
      <c r="E1047" s="500" t="s">
        <v>13167</v>
      </c>
      <c r="F1047" s="501" t="s">
        <v>13168</v>
      </c>
      <c r="G1047" s="502"/>
      <c r="H1047" s="503"/>
      <c r="I1047" s="504">
        <f>ROUND(SUM(I1048:I1052),2)</f>
        <v>11.05</v>
      </c>
      <c r="J1047" s="504">
        <f>ROUND(SUM(J1048:J1052),2)</f>
        <v>1.49</v>
      </c>
      <c r="K1047" s="504">
        <f>+J1047+I1047</f>
        <v>12.540000000000001</v>
      </c>
      <c r="L1047" s="523" t="s">
        <v>13154</v>
      </c>
      <c r="M1047" s="471"/>
      <c r="N1047" s="505"/>
      <c r="Q1047" s="472"/>
      <c r="R1047" s="472"/>
      <c r="S1047" s="472"/>
      <c r="T1047" s="472"/>
      <c r="U1047" s="472"/>
      <c r="V1047" s="472"/>
      <c r="W1047" s="472"/>
      <c r="X1047" s="472"/>
      <c r="Y1047" s="472"/>
    </row>
    <row r="1048" spans="1:25" x14ac:dyDescent="0.25">
      <c r="A1048" s="463"/>
      <c r="B1048" s="506">
        <v>88238</v>
      </c>
      <c r="C1048" s="507"/>
      <c r="D1048" s="508"/>
      <c r="E1048" s="509" t="str">
        <f>IF($C1048="",IFERROR(VLOOKUP($B1048,SERVIÇOS!$B:$G,2,0),IFERROR(VLOOKUP($B1048,$D:$K,2,0),"")),IFERROR(VLOOKUP($C1048,INSUMOS!$A:$D,2,0),IFERROR(VLOOKUP($C1048,COTAÇÕES!$B:$I,2,0),(VLOOKUP($C1048,'INSUMO SINAPI - SP'!$C:$F,2,0)))))</f>
        <v>AJUDANTE DE ARMADOR COM ENCARGOS COMPLEMENTARES</v>
      </c>
      <c r="F1048" s="510" t="str">
        <f>IF($C1048="",IFERROR(VLOOKUP($B1048,SERVIÇOS!$B:$G,3,0),IFERROR(VLOOKUP($B1048,$D:$K,3,0),"")),IFERROR(VLOOKUP($C1048,INSUMOS!$A:$D,3,0),IFERROR(VLOOKUP($C1048,COTAÇÕES!$B:$I,3,0),(VLOOKUP($C1048,'INSUMO SINAPI - SP'!$C:$F,3,0)))))</f>
        <v>H</v>
      </c>
      <c r="G1048" s="511">
        <v>1.7999999999999999E-2</v>
      </c>
      <c r="H1048" s="512">
        <f>IF($C1048="",IFERROR(VLOOKUP($B1048,SERVIÇOS!$B:$G,6,0),IFERROR(VLOOKUP($B1048,$D:$K,8,0),"")),IFERROR(VLOOKUP($C1048,INSUMOS!$A:$D,4,0),IFERROR(VLOOKUP($C1048,COTAÇÕES!$B:$I,7,0),(VLOOKUP($C1048,'INSUMO SINAPI - SP'!$C:$F,4,0)))))</f>
        <v>30.23</v>
      </c>
      <c r="I1048" s="513">
        <f>TRUNC(IF($C1048="",IFERROR(VLOOKUP($B1048,SERVIÇOS!$B:$G,4,0),IFERROR(VLOOKUP($B1048,$D:$K,6,0),)),IFERROR(VLOOKUP($C1048,INSUMOS!$A:$D,4,0),IFERROR(VLOOKUP($C1048,COTAÇÕES!$B:$I,7,0),(VLOOKUP($C1048,'INSUMO SINAPI - SP'!$C:$F,4,0)))))*$G1048,2)</f>
        <v>0.16</v>
      </c>
      <c r="J1048" s="513">
        <f>TRUNC(IF($C1048="",IFERROR(VLOOKUP($B1048,SERVIÇOS!$B:$G,5,0),IFERROR(VLOOKUP($B1048,$D:$K,7,0),)),0)*$G1048,2)</f>
        <v>0.37</v>
      </c>
      <c r="K1048" s="514">
        <f>I1048+J1048</f>
        <v>0.53</v>
      </c>
      <c r="L1048" s="515"/>
      <c r="M1048" s="471"/>
      <c r="N1048" s="516"/>
      <c r="Q1048" s="472"/>
      <c r="R1048" s="472"/>
      <c r="S1048" s="472"/>
      <c r="T1048" s="472"/>
      <c r="U1048" s="472"/>
      <c r="V1048" s="472"/>
      <c r="W1048" s="472"/>
      <c r="X1048" s="472"/>
      <c r="Y1048" s="472"/>
    </row>
    <row r="1049" spans="1:25" x14ac:dyDescent="0.25">
      <c r="A1049" s="463"/>
      <c r="B1049" s="506">
        <v>88245</v>
      </c>
      <c r="C1049" s="507"/>
      <c r="D1049" s="508"/>
      <c r="E1049" s="509" t="str">
        <f>IF($C1049="",IFERROR(VLOOKUP($B1049,SERVIÇOS!$B:$G,2,0),IFERROR(VLOOKUP($B1049,$D:$K,2,0),"")),IFERROR(VLOOKUP($C1049,INSUMOS!$A:$D,2,0),IFERROR(VLOOKUP($C1049,COTAÇÕES!$B:$I,2,0),(VLOOKUP($C1049,'INSUMO SINAPI - SP'!$C:$F,2,0)))))</f>
        <v>ARMADOR COM ENCARGOS COMPLEMENTARES</v>
      </c>
      <c r="F1049" s="510" t="str">
        <f>IF($C1049="",IFERROR(VLOOKUP($B1049,SERVIÇOS!$B:$G,3,0),IFERROR(VLOOKUP($B1049,$D:$K,3,0),"")),IFERROR(VLOOKUP($C1049,INSUMOS!$A:$D,3,0),IFERROR(VLOOKUP($C1049,COTAÇÕES!$B:$I,3,0),(VLOOKUP($C1049,'INSUMO SINAPI - SP'!$C:$F,3,0)))))</f>
        <v>H</v>
      </c>
      <c r="G1049" s="511">
        <v>4.1000000000000002E-2</v>
      </c>
      <c r="H1049" s="512">
        <f>IF($C1049="",IFERROR(VLOOKUP($B1049,SERVIÇOS!$B:$G,6,0),IFERROR(VLOOKUP($B1049,$D:$K,8,0),"")),IFERROR(VLOOKUP($C1049,INSUMOS!$A:$D,4,0),IFERROR(VLOOKUP($C1049,COTAÇÕES!$B:$I,7,0),(VLOOKUP($C1049,'INSUMO SINAPI - SP'!$C:$F,4,0)))))</f>
        <v>36.65</v>
      </c>
      <c r="I1049" s="513">
        <f>TRUNC(IF($C1049="",IFERROR(VLOOKUP($B1049,SERVIÇOS!$B:$G,4,0),IFERROR(VLOOKUP($B1049,$D:$K,6,0),)),IFERROR(VLOOKUP($C1049,INSUMOS!$A:$D,4,0),IFERROR(VLOOKUP($C1049,COTAÇÕES!$B:$I,7,0),(VLOOKUP($C1049,'INSUMO SINAPI - SP'!$C:$F,4,0)))))*$G1049,2)</f>
        <v>0.38</v>
      </c>
      <c r="J1049" s="513">
        <f>TRUNC(IF($C1049="",IFERROR(VLOOKUP($B1049,SERVIÇOS!$B:$G,5,0),IFERROR(VLOOKUP($B1049,$D:$K,7,0),)),0)*$G1049,2)</f>
        <v>1.1200000000000001</v>
      </c>
      <c r="K1049" s="514">
        <f>I1049+J1049</f>
        <v>1.5</v>
      </c>
      <c r="L1049" s="515"/>
      <c r="M1049" s="471"/>
      <c r="N1049" s="516"/>
      <c r="Q1049" s="472"/>
      <c r="R1049" s="472"/>
      <c r="S1049" s="472"/>
      <c r="T1049" s="472"/>
      <c r="U1049" s="472"/>
      <c r="V1049" s="472"/>
      <c r="W1049" s="472"/>
      <c r="X1049" s="472"/>
      <c r="Y1049" s="472"/>
    </row>
    <row r="1050" spans="1:25" ht="24" x14ac:dyDescent="0.25">
      <c r="A1050" s="463"/>
      <c r="B1050" s="506"/>
      <c r="C1050" s="507" t="s">
        <v>13155</v>
      </c>
      <c r="D1050" s="508"/>
      <c r="E1050" s="509" t="str">
        <f>IF($C1050="",IFERROR(VLOOKUP($B1050,SERVIÇOS!$B:$G,2,0),IFERROR(VLOOKUP($B1050,$D:$K,2,0),"")),IFERROR(VLOOKUP($C1050,INSUMOS!$A:$D,2,0),IFERROR(VLOOKUP($C1050,COTAÇÕES!$B:$I,2,0),(VLOOKUP($C1050,'INSUMO SINAPI - SP'!$C:$F,2,0)))))</f>
        <v>ESPACADOR / DISTANCIADOR CIRCULAR COM ENTRADA LATERAL, EM PLASTICO, PARA VERGALHAO *4,2 A 12,5* MM, COBRIMENTO 20 MM</v>
      </c>
      <c r="F1050" s="510" t="str">
        <f>IF($C1050="",IFERROR(VLOOKUP($B1050,SERVIÇOS!$B:$G,3,0),IFERROR(VLOOKUP($B1050,$D:$K,3,0),"")),IFERROR(VLOOKUP($C1050,INSUMOS!$A:$D,3,0),IFERROR(VLOOKUP($C1050,COTAÇÕES!$B:$I,3,0),(VLOOKUP($C1050,'INSUMO SINAPI - SP'!$C:$F,3,0)))))</f>
        <v>UN</v>
      </c>
      <c r="G1050" s="511">
        <v>1.3819999999999999</v>
      </c>
      <c r="H1050" s="512">
        <f>IF($C1050="",IFERROR(VLOOKUP($B1050,SERVIÇOS!$B:$G,6,0),IFERROR(VLOOKUP($B1050,$D:$K,8,0),"")),IFERROR(VLOOKUP($C1050,INSUMOS!$A:$D,4,0),IFERROR(VLOOKUP($C1050,COTAÇÕES!$B:$I,7,0),(VLOOKUP($C1050,'INSUMO SINAPI - SP'!$C:$F,4,0)))))</f>
        <v>0.22</v>
      </c>
      <c r="I1050" s="513">
        <f>TRUNC(IF($C1050="",IFERROR(VLOOKUP($B1050,SERVIÇOS!$B:$G,4,0),IFERROR(VLOOKUP($B1050,$D:$K,6,0),)),IFERROR(VLOOKUP($C1050,INSUMOS!$A:$D,4,0),IFERROR(VLOOKUP($C1050,COTAÇÕES!$B:$I,7,0),(VLOOKUP($C1050,'INSUMO SINAPI - SP'!$C:$F,4,0)))))*$G1050,2)</f>
        <v>0.3</v>
      </c>
      <c r="J1050" s="513"/>
      <c r="K1050" s="514">
        <f>I1050+J1050</f>
        <v>0.3</v>
      </c>
      <c r="L1050" s="515" t="s">
        <v>12685</v>
      </c>
      <c r="M1050" s="471"/>
      <c r="N1050" s="516"/>
      <c r="Q1050" s="472"/>
      <c r="R1050" s="472"/>
      <c r="S1050" s="472"/>
      <c r="T1050" s="472"/>
      <c r="U1050" s="472"/>
      <c r="V1050" s="472"/>
      <c r="W1050" s="472"/>
      <c r="X1050" s="472"/>
      <c r="Y1050" s="472"/>
    </row>
    <row r="1051" spans="1:25" x14ac:dyDescent="0.25">
      <c r="A1051" s="463"/>
      <c r="B1051" s="506"/>
      <c r="C1051" s="507">
        <v>43132</v>
      </c>
      <c r="D1051" s="508"/>
      <c r="E1051" s="509" t="str">
        <f>IF($C1051="",IFERROR(VLOOKUP($B1051,SERVIÇOS!$B:$G,2,0),IFERROR(VLOOKUP($B1051,$D:$K,2,0),"")),IFERROR(VLOOKUP($C1051,INSUMOS!$A:$D,2,0),IFERROR(VLOOKUP($C1051,COTAÇÕES!$B:$I,2,0),(VLOOKUP($C1051,'INSUMO SINAPI - SP'!$C:$F,2,0)))))</f>
        <v>ARAME RECOZIDO 16 BWG, D = 1,65 MM (0,016 KG/M) OU 18 BWG, D = 1,25 MM (0,01 KG/M)</v>
      </c>
      <c r="F1051" s="510" t="str">
        <f>IF($C1051="",IFERROR(VLOOKUP($B1051,SERVIÇOS!$B:$G,3,0),IFERROR(VLOOKUP($B1051,$D:$K,3,0),"")),IFERROR(VLOOKUP($C1051,INSUMOS!$A:$D,3,0),IFERROR(VLOOKUP($C1051,COTAÇÕES!$B:$I,3,0),(VLOOKUP($C1051,'INSUMO SINAPI - SP'!$C:$F,3,0)))))</f>
        <v>KG</v>
      </c>
      <c r="G1051" s="511">
        <v>1.0500000000000001E-2</v>
      </c>
      <c r="H1051" s="512">
        <f>IF($C1051="",IFERROR(VLOOKUP($B1051,SERVIÇOS!$B:$G,6,0),IFERROR(VLOOKUP($B1051,$D:$K,8,0),"")),IFERROR(VLOOKUP($C1051,INSUMOS!$A:$D,4,0),IFERROR(VLOOKUP($C1051,COTAÇÕES!$B:$I,7,0),(VLOOKUP($C1051,'INSUMO SINAPI - SP'!$C:$F,4,0)))))</f>
        <v>26.45</v>
      </c>
      <c r="I1051" s="513">
        <f>TRUNC(IF($C1051="",IFERROR(VLOOKUP($B1051,SERVIÇOS!$B:$G,4,0),IFERROR(VLOOKUP($B1051,$D:$K,6,0),)),IFERROR(VLOOKUP($C1051,INSUMOS!$A:$D,4,0),IFERROR(VLOOKUP($C1051,COTAÇÕES!$B:$I,7,0),(VLOOKUP($C1051,'INSUMO SINAPI - SP'!$C:$F,4,0)))))*$G1051,2)</f>
        <v>0.27</v>
      </c>
      <c r="J1051" s="513">
        <f>TRUNC(IF($C1051="",IFERROR(VLOOKUP($B1051,SERVIÇOS!$B:$G,5,0),IFERROR(VLOOKUP($B1051,$D:$K,7,0),)),0)*$G1051,2)</f>
        <v>0</v>
      </c>
      <c r="K1051" s="514">
        <f>I1051+J1051</f>
        <v>0.27</v>
      </c>
      <c r="L1051" s="517"/>
      <c r="M1051" s="471"/>
      <c r="N1051" s="516"/>
      <c r="Q1051" s="472"/>
      <c r="R1051" s="472"/>
      <c r="S1051" s="472"/>
      <c r="T1051" s="472"/>
      <c r="U1051" s="472"/>
      <c r="V1051" s="472"/>
      <c r="W1051" s="472"/>
      <c r="X1051" s="472"/>
      <c r="Y1051" s="472"/>
    </row>
    <row r="1052" spans="1:25" ht="24" x14ac:dyDescent="0.25">
      <c r="A1052" s="463"/>
      <c r="B1052" s="506"/>
      <c r="C1052" s="507">
        <v>21141</v>
      </c>
      <c r="D1052" s="508"/>
      <c r="E1052" s="509" t="str">
        <f>IF($C1052="",IFERROR(VLOOKUP($B1052,SERVIÇOS!$B:$G,2,0),IFERROR(VLOOKUP($B1052,$D:$K,2,0),"")),IFERROR(VLOOKUP($C1052,INSUMOS!$A:$D,2,0),IFERROR(VLOOKUP($C1052,COTAÇÕES!$B:$I,2,0),(VLOOKUP($C1052,'INSUMO SINAPI - SP'!$C:$F,2,0)))))</f>
        <v>TELA DE ACO SOLDADA NERVURADA, CA-60, Q-92, (1,48 KG/M2), DIAMETRO DO FIO = 4,2 MM, LARGURA = 2,45 X 60 M DE COMPRIMENTO, ESPACAMENTO DA MALHA = 15 X 15 CM</v>
      </c>
      <c r="F1052" s="510" t="str">
        <f>IF($C1052="",IFERROR(VLOOKUP($B1052,SERVIÇOS!$B:$G,3,0),IFERROR(VLOOKUP($B1052,$D:$K,3,0),"")),IFERROR(VLOOKUP($C1052,INSUMOS!$A:$D,3,0),IFERROR(VLOOKUP($C1052,COTAÇÕES!$B:$I,3,0),(VLOOKUP($C1052,'INSUMO SINAPI - SP'!$C:$F,3,0)))))</f>
        <v>M2</v>
      </c>
      <c r="G1052" s="511">
        <v>0.70950000000000002</v>
      </c>
      <c r="H1052" s="512">
        <f>IF($C1052="",IFERROR(VLOOKUP($B1052,SERVIÇOS!$B:$G,6,0),IFERROR(VLOOKUP($B1052,$D:$K,8,0),"")),IFERROR(VLOOKUP($C1052,INSUMOS!$A:$D,4,0),IFERROR(VLOOKUP($C1052,COTAÇÕES!$B:$I,7,0),(VLOOKUP($C1052,'INSUMO SINAPI - SP'!$C:$F,4,0)))))</f>
        <v>14.01</v>
      </c>
      <c r="I1052" s="513">
        <f>TRUNC(IF($C1052="",IFERROR(VLOOKUP($B1052,SERVIÇOS!$B:$G,4,0),IFERROR(VLOOKUP($B1052,$D:$K,6,0),)),IFERROR(VLOOKUP($C1052,INSUMOS!$A:$D,4,0),IFERROR(VLOOKUP($C1052,COTAÇÕES!$B:$I,7,0),(VLOOKUP($C1052,'INSUMO SINAPI - SP'!$C:$F,4,0)))))*$G1052,2)</f>
        <v>9.94</v>
      </c>
      <c r="J1052" s="513">
        <f>TRUNC(IF($C1052="",IFERROR(VLOOKUP($B1052,SERVIÇOS!$B:$G,5,0),IFERROR(VLOOKUP($B1052,$D:$K,7,0),)),0)*$G1052,2)</f>
        <v>0</v>
      </c>
      <c r="K1052" s="514">
        <f>I1052+J1052</f>
        <v>9.94</v>
      </c>
      <c r="L1052" s="517"/>
      <c r="M1052" s="471"/>
      <c r="N1052" s="516"/>
      <c r="Q1052" s="472"/>
      <c r="R1052" s="472"/>
      <c r="S1052" s="472"/>
      <c r="T1052" s="472"/>
      <c r="U1052" s="472"/>
      <c r="V1052" s="472"/>
      <c r="W1052" s="472"/>
      <c r="X1052" s="472"/>
      <c r="Y1052" s="472"/>
    </row>
    <row r="1053" spans="1:25" ht="24" x14ac:dyDescent="0.25">
      <c r="A1053" s="463"/>
      <c r="B1053" s="498"/>
      <c r="C1053" s="498"/>
      <c r="D1053" s="499" t="s">
        <v>11926</v>
      </c>
      <c r="E1053" s="500" t="s">
        <v>13169</v>
      </c>
      <c r="F1053" s="501" t="s">
        <v>585</v>
      </c>
      <c r="G1053" s="502"/>
      <c r="H1053" s="503"/>
      <c r="I1053" s="504">
        <f>SUM(I1054:I1061)</f>
        <v>59.72</v>
      </c>
      <c r="J1053" s="504">
        <f>SUM(J1054:J1061)</f>
        <v>8.67</v>
      </c>
      <c r="K1053" s="504">
        <f>+J1053+I1053</f>
        <v>68.39</v>
      </c>
      <c r="L1053" s="523" t="s">
        <v>13170</v>
      </c>
      <c r="M1053" s="471"/>
      <c r="N1053" s="505"/>
      <c r="Q1053" s="472"/>
      <c r="R1053" s="472"/>
      <c r="S1053" s="472"/>
      <c r="T1053" s="472"/>
      <c r="U1053" s="472"/>
      <c r="V1053" s="472"/>
      <c r="W1053" s="472"/>
      <c r="X1053" s="472"/>
      <c r="Y1053" s="472"/>
    </row>
    <row r="1054" spans="1:25" ht="36" x14ac:dyDescent="0.25">
      <c r="A1054" s="463"/>
      <c r="B1054" s="506">
        <v>90681</v>
      </c>
      <c r="C1054" s="507"/>
      <c r="D1054" s="508"/>
      <c r="E1054" s="509" t="str">
        <f>IF($C1054="",IFERROR(VLOOKUP($B1054,SERVIÇOS!$B:$G,2,0),IFERROR(VLOOKUP($B1054,$D:$K,2,0),"")),IFERROR(VLOOKUP($C1054,INSUMOS!$A:$D,2,0),IFERROR(VLOOKUP($C1054,COTAÇÕES!$B:$I,2,0),(VLOOKUP($C1054,'INSUMO SINAPI - SP'!$C:$F,2,0)))))</f>
        <v>PERFURATRIZ HIDRÁULICA SOBRE CAMINHÃO COM TRADO CURTO ACOPLADO, PROFUNDIDADE MÁXIMA DE 20 M, DIÂMETRO MÁXIMO DE 1500 MM, POTÊNCIA INSTALADA DE 137 HP, MESA ROTATIVA COM TORQUE MÁXIMO DE 30 KNM - CHI DIURNO. AF_06/2015</v>
      </c>
      <c r="F1054" s="510" t="str">
        <f>IF($C1054="",IFERROR(VLOOKUP($B1054,SERVIÇOS!$B:$G,3,0),IFERROR(VLOOKUP($B1054,$D:$K,3,0),"")),IFERROR(VLOOKUP($C1054,INSUMOS!$A:$D,3,0),IFERROR(VLOOKUP($C1054,COTAÇÕES!$B:$I,3,0),(VLOOKUP($C1054,'INSUMO SINAPI - SP'!$C:$F,3,0)))))</f>
        <v>CHI</v>
      </c>
      <c r="G1054" s="511">
        <v>5.5100000000000003E-2</v>
      </c>
      <c r="H1054" s="512">
        <f>IF($C1054="",IFERROR(VLOOKUP($B1054,SERVIÇOS!$B:$G,6,0),IFERROR(VLOOKUP($B1054,$D:$K,8,0),"")),IFERROR(VLOOKUP($C1054,INSUMOS!$A:$D,4,0),IFERROR(VLOOKUP($C1054,COTAÇÕES!$B:$I,7,0),(VLOOKUP($C1054,'INSUMO SINAPI - SP'!$C:$F,4,0)))))</f>
        <v>183.76</v>
      </c>
      <c r="I1054" s="513">
        <f>TRUNC(IF($C1054="",IFERROR(VLOOKUP($B1054,SERVIÇOS!$B:$G,4,0),IFERROR(VLOOKUP($B1054,$D:$K,6,0),)),IFERROR(VLOOKUP($C1054,INSUMOS!$A:$D,4,0),IFERROR(VLOOKUP($C1054,COTAÇÕES!$B:$I,7,0),(VLOOKUP($C1054,'INSUMO SINAPI - SP'!$C:$F,4,0)))))*$G1054,2)</f>
        <v>8.64</v>
      </c>
      <c r="J1054" s="513">
        <f>TRUNC(IF($C1054="",IFERROR(VLOOKUP($B1054,SERVIÇOS!$B:$G,5,0),IFERROR(VLOOKUP($B1054,$D:$K,7,0),)),0)*$G1054,2)</f>
        <v>1.48</v>
      </c>
      <c r="K1054" s="514">
        <f t="shared" ref="K1054:K1061" si="31">I1054+J1054</f>
        <v>10.120000000000001</v>
      </c>
      <c r="L1054" s="515"/>
      <c r="M1054" s="471"/>
      <c r="N1054" s="516"/>
      <c r="Q1054" s="472"/>
      <c r="R1054" s="472"/>
      <c r="S1054" s="472"/>
      <c r="T1054" s="472"/>
      <c r="U1054" s="472"/>
      <c r="V1054" s="472"/>
      <c r="W1054" s="472"/>
      <c r="X1054" s="472"/>
      <c r="Y1054" s="472"/>
    </row>
    <row r="1055" spans="1:25" ht="36" x14ac:dyDescent="0.25">
      <c r="A1055" s="463"/>
      <c r="B1055" s="506">
        <v>90680</v>
      </c>
      <c r="C1055" s="507"/>
      <c r="D1055" s="508"/>
      <c r="E1055" s="509" t="str">
        <f>IF($C1055="",IFERROR(VLOOKUP($B1055,SERVIÇOS!$B:$G,2,0),IFERROR(VLOOKUP($B1055,$D:$K,2,0),"")),IFERROR(VLOOKUP($C1055,INSUMOS!$A:$D,2,0),IFERROR(VLOOKUP($C1055,COTAÇÕES!$B:$I,2,0),(VLOOKUP($C1055,'INSUMO SINAPI - SP'!$C:$F,2,0)))))</f>
        <v>PERFURATRIZ HIDRÁULICA SOBRE CAMINHÃO COM TRADO CURTO ACOPLADO, PROFUNDIDADE MÁXIMA DE 20 M, DIÂMETRO MÁXIMO DE 1500 MM, POTÊNCIA INSTALADA DE 137 HP, MESA ROTATIVA COM TORQUE MÁXIMO DE 30 KNM - CHP DIURNO. AF_06/2015</v>
      </c>
      <c r="F1055" s="510" t="str">
        <f>IF($C1055="",IFERROR(VLOOKUP($B1055,SERVIÇOS!$B:$G,3,0),IFERROR(VLOOKUP($B1055,$D:$K,3,0),"")),IFERROR(VLOOKUP($C1055,INSUMOS!$A:$D,3,0),IFERROR(VLOOKUP($C1055,COTAÇÕES!$B:$I,3,0),(VLOOKUP($C1055,'INSUMO SINAPI - SP'!$C:$F,3,0)))))</f>
        <v>CHP</v>
      </c>
      <c r="G1055" s="511">
        <v>2.945E-2</v>
      </c>
      <c r="H1055" s="512">
        <f>IF($C1055="",IFERROR(VLOOKUP($B1055,SERVIÇOS!$B:$G,6,0),IFERROR(VLOOKUP($B1055,$D:$K,8,0),"")),IFERROR(VLOOKUP($C1055,INSUMOS!$A:$D,4,0),IFERROR(VLOOKUP($C1055,COTAÇÕES!$B:$I,7,0),(VLOOKUP($C1055,'INSUMO SINAPI - SP'!$C:$F,4,0)))))</f>
        <v>426.45</v>
      </c>
      <c r="I1055" s="513">
        <f>TRUNC(IF($C1055="",IFERROR(VLOOKUP($B1055,SERVIÇOS!$B:$G,4,0),IFERROR(VLOOKUP($B1055,$D:$K,6,0),)),IFERROR(VLOOKUP($C1055,INSUMOS!$A:$D,4,0),IFERROR(VLOOKUP($C1055,COTAÇÕES!$B:$I,7,0),(VLOOKUP($C1055,'INSUMO SINAPI - SP'!$C:$F,4,0)))))*$G1055,2)</f>
        <v>11.76</v>
      </c>
      <c r="J1055" s="513">
        <f>TRUNC(IF($C1055="",IFERROR(VLOOKUP($B1055,SERVIÇOS!$B:$G,5,0),IFERROR(VLOOKUP($B1055,$D:$K,7,0),)),0)*$G1055,2)</f>
        <v>0.79</v>
      </c>
      <c r="K1055" s="514">
        <f t="shared" si="31"/>
        <v>12.55</v>
      </c>
      <c r="L1055" s="515"/>
      <c r="M1055" s="471"/>
      <c r="N1055" s="516"/>
      <c r="Q1055" s="472"/>
      <c r="R1055" s="472"/>
      <c r="S1055" s="472"/>
      <c r="T1055" s="472"/>
      <c r="U1055" s="472"/>
      <c r="V1055" s="472"/>
      <c r="W1055" s="472"/>
      <c r="X1055" s="472"/>
      <c r="Y1055" s="472"/>
    </row>
    <row r="1056" spans="1:25" x14ac:dyDescent="0.25">
      <c r="A1056" s="463"/>
      <c r="B1056" s="506">
        <v>90778</v>
      </c>
      <c r="C1056" s="507"/>
      <c r="D1056" s="508"/>
      <c r="E1056" s="509" t="str">
        <f>IF($C1056="",IFERROR(VLOOKUP($B1056,SERVIÇOS!$B:$G,2,0),IFERROR(VLOOKUP($B1056,$D:$K,2,0),"")),IFERROR(VLOOKUP($C1056,INSUMOS!$A:$D,2,0),IFERROR(VLOOKUP($C1056,COTAÇÕES!$B:$I,2,0),(VLOOKUP($C1056,'INSUMO SINAPI - SP'!$C:$F,2,0)))))</f>
        <v>ENGENHEIRO CIVIL DE OBRA PLENO COM ENCARGOS COMPLEMENTARES</v>
      </c>
      <c r="F1056" s="510" t="str">
        <f>IF($C1056="",IFERROR(VLOOKUP($B1056,SERVIÇOS!$B:$G,3,0),IFERROR(VLOOKUP($B1056,$D:$K,3,0),"")),IFERROR(VLOOKUP($C1056,INSUMOS!$A:$D,3,0),IFERROR(VLOOKUP($C1056,COTAÇÕES!$B:$I,3,0),(VLOOKUP($C1056,'INSUMO SINAPI - SP'!$C:$F,3,0)))))</f>
        <v>H</v>
      </c>
      <c r="G1056" s="511">
        <v>5.7499999999999999E-3</v>
      </c>
      <c r="H1056" s="512">
        <f>IF($C1056="",IFERROR(VLOOKUP($B1056,SERVIÇOS!$B:$G,6,0),IFERROR(VLOOKUP($B1056,$D:$K,8,0),"")),IFERROR(VLOOKUP($C1056,INSUMOS!$A:$D,4,0),IFERROR(VLOOKUP($C1056,COTAÇÕES!$B:$I,7,0),(VLOOKUP($C1056,'INSUMO SINAPI - SP'!$C:$F,4,0)))))</f>
        <v>145.94</v>
      </c>
      <c r="I1056" s="513">
        <f>TRUNC(IF($C1056="",IFERROR(VLOOKUP($B1056,SERVIÇOS!$B:$G,4,0),IFERROR(VLOOKUP($B1056,$D:$K,6,0),)),IFERROR(VLOOKUP($C1056,INSUMOS!$A:$D,4,0),IFERROR(VLOOKUP($C1056,COTAÇÕES!$B:$I,7,0),(VLOOKUP($C1056,'INSUMO SINAPI - SP'!$C:$F,4,0)))))*$G1056,2)</f>
        <v>0.01</v>
      </c>
      <c r="J1056" s="513">
        <f>TRUNC(IF($C1056="",IFERROR(VLOOKUP($B1056,SERVIÇOS!$B:$G,5,0),IFERROR(VLOOKUP($B1056,$D:$K,7,0),)),0)*$G1056,2)</f>
        <v>0.82</v>
      </c>
      <c r="K1056" s="514">
        <f t="shared" si="31"/>
        <v>0.83</v>
      </c>
      <c r="L1056" s="515"/>
      <c r="M1056" s="471"/>
      <c r="N1056" s="516"/>
      <c r="Q1056" s="472"/>
      <c r="R1056" s="472"/>
      <c r="S1056" s="472"/>
      <c r="T1056" s="472"/>
      <c r="U1056" s="472"/>
      <c r="V1056" s="472"/>
      <c r="W1056" s="472"/>
      <c r="X1056" s="472"/>
      <c r="Y1056" s="472"/>
    </row>
    <row r="1057" spans="1:25" x14ac:dyDescent="0.25">
      <c r="A1057" s="463"/>
      <c r="B1057" s="506">
        <v>88316</v>
      </c>
      <c r="C1057" s="507"/>
      <c r="D1057" s="508"/>
      <c r="E1057" s="509" t="str">
        <f>IF($C1057="",IFERROR(VLOOKUP($B1057,SERVIÇOS!$B:$G,2,0),IFERROR(VLOOKUP($B1057,$D:$K,2,0),"")),IFERROR(VLOOKUP($C1057,INSUMOS!$A:$D,2,0),IFERROR(VLOOKUP($C1057,COTAÇÕES!$B:$I,2,0),(VLOOKUP($C1057,'INSUMO SINAPI - SP'!$C:$F,2,0)))))</f>
        <v>SERVENTE COM ENCARGOS COMPLEMENTARES</v>
      </c>
      <c r="F1057" s="510" t="str">
        <f>IF($C1057="",IFERROR(VLOOKUP($B1057,SERVIÇOS!$B:$G,3,0),IFERROR(VLOOKUP($B1057,$D:$K,3,0),"")),IFERROR(VLOOKUP($C1057,INSUMOS!$A:$D,3,0),IFERROR(VLOOKUP($C1057,COTAÇÕES!$B:$I,3,0),(VLOOKUP($C1057,'INSUMO SINAPI - SP'!$C:$F,3,0)))))</f>
        <v>H</v>
      </c>
      <c r="G1057" s="511">
        <v>0.25290000000000001</v>
      </c>
      <c r="H1057" s="512">
        <f>IF($C1057="",IFERROR(VLOOKUP($B1057,SERVIÇOS!$B:$G,6,0),IFERROR(VLOOKUP($B1057,$D:$K,8,0),"")),IFERROR(VLOOKUP($C1057,INSUMOS!$A:$D,4,0),IFERROR(VLOOKUP($C1057,COTAÇÕES!$B:$I,7,0),(VLOOKUP($C1057,'INSUMO SINAPI - SP'!$C:$F,4,0)))))</f>
        <v>28.71</v>
      </c>
      <c r="I1057" s="513">
        <f>TRUNC(IF($C1057="",IFERROR(VLOOKUP($B1057,SERVIÇOS!$B:$G,4,0),IFERROR(VLOOKUP($B1057,$D:$K,6,0),)),IFERROR(VLOOKUP($C1057,INSUMOS!$A:$D,4,0),IFERROR(VLOOKUP($C1057,COTAÇÕES!$B:$I,7,0),(VLOOKUP($C1057,'INSUMO SINAPI - SP'!$C:$F,4,0)))))*$G1057,2)</f>
        <v>2.3199999999999998</v>
      </c>
      <c r="J1057" s="513">
        <f>TRUNC(IF($C1057="",IFERROR(VLOOKUP($B1057,SERVIÇOS!$B:$G,5,0),IFERROR(VLOOKUP($B1057,$D:$K,7,0),)),0)*$G1057,2)</f>
        <v>4.93</v>
      </c>
      <c r="K1057" s="514">
        <f t="shared" si="31"/>
        <v>7.25</v>
      </c>
      <c r="L1057" s="515"/>
      <c r="M1057" s="471"/>
      <c r="N1057" s="516"/>
      <c r="Q1057" s="472"/>
      <c r="R1057" s="472"/>
      <c r="S1057" s="472"/>
      <c r="T1057" s="472"/>
      <c r="U1057" s="472"/>
      <c r="V1057" s="472"/>
      <c r="W1057" s="472"/>
      <c r="X1057" s="472"/>
      <c r="Y1057" s="472"/>
    </row>
    <row r="1058" spans="1:25" ht="36" x14ac:dyDescent="0.25">
      <c r="A1058" s="463"/>
      <c r="B1058" s="506">
        <v>100973</v>
      </c>
      <c r="C1058" s="507"/>
      <c r="D1058" s="508"/>
      <c r="E1058" s="509" t="str">
        <f>IF($C1058="",IFERROR(VLOOKUP($B1058,SERVIÇOS!$B:$G,2,0),IFERROR(VLOOKUP($B1058,$D:$K,2,0),"")),IFERROR(VLOOKUP($C1058,INSUMOS!$A:$D,2,0),IFERROR(VLOOKUP($C1058,COTAÇÕES!$B:$I,2,0),(VLOOKUP($C1058,'INSUMO SINAPI - SP'!$C:$F,2,0)))))</f>
        <v>CARGA, MANOBRA E DESCARGA DE SOLOS E MATERIAIS GRANULARES EM CAMINHÃO BASCULANTE 6 M³ - CARGA COM PÁ CARREGADEIRA (CAÇAMBA DE 1,7 A 2,8 M³ / 128 HP) E DESCARGA LIVRE (UNIDADE: M3). AF_07/2020</v>
      </c>
      <c r="F1058" s="510" t="str">
        <f>IF($C1058="",IFERROR(VLOOKUP($B1058,SERVIÇOS!$B:$G,3,0),IFERROR(VLOOKUP($B1058,$D:$K,3,0),"")),IFERROR(VLOOKUP($C1058,INSUMOS!$A:$D,3,0),IFERROR(VLOOKUP($C1058,COTAÇÕES!$B:$I,3,0),(VLOOKUP($C1058,'INSUMO SINAPI - SP'!$C:$F,3,0)))))</f>
        <v>M3</v>
      </c>
      <c r="G1058" s="511">
        <v>0.10925</v>
      </c>
      <c r="H1058" s="512">
        <f>IF($C1058="",IFERROR(VLOOKUP($B1058,SERVIÇOS!$B:$G,6,0),IFERROR(VLOOKUP($B1058,$D:$K,8,0),"")),IFERROR(VLOOKUP($C1058,INSUMOS!$A:$D,4,0),IFERROR(VLOOKUP($C1058,COTAÇÕES!$B:$I,7,0),(VLOOKUP($C1058,'INSUMO SINAPI - SP'!$C:$F,4,0)))))</f>
        <v>9.86</v>
      </c>
      <c r="I1058" s="513">
        <f>TRUNC(IF($C1058="",IFERROR(VLOOKUP($B1058,SERVIÇOS!$B:$G,4,0),IFERROR(VLOOKUP($B1058,$D:$K,6,0),)),IFERROR(VLOOKUP($C1058,INSUMOS!$A:$D,4,0),IFERROR(VLOOKUP($C1058,COTAÇÕES!$B:$I,7,0),(VLOOKUP($C1058,'INSUMO SINAPI - SP'!$C:$F,4,0)))))*$G1058,2)</f>
        <v>0.86</v>
      </c>
      <c r="J1058" s="513">
        <f>TRUNC(IF($C1058="",IFERROR(VLOOKUP($B1058,SERVIÇOS!$B:$G,5,0),IFERROR(VLOOKUP($B1058,$D:$K,7,0),)),0)*$G1058,2)</f>
        <v>0.21</v>
      </c>
      <c r="K1058" s="514">
        <f t="shared" si="31"/>
        <v>1.07</v>
      </c>
      <c r="L1058" s="515"/>
      <c r="M1058" s="471"/>
      <c r="N1058" s="516"/>
      <c r="Q1058" s="472"/>
      <c r="R1058" s="472"/>
      <c r="S1058" s="472"/>
      <c r="T1058" s="472"/>
      <c r="U1058" s="472"/>
      <c r="V1058" s="472"/>
      <c r="W1058" s="472"/>
      <c r="X1058" s="472"/>
      <c r="Y1058" s="472"/>
    </row>
    <row r="1059" spans="1:25" x14ac:dyDescent="0.25">
      <c r="A1059" s="463"/>
      <c r="B1059" s="506">
        <v>95579</v>
      </c>
      <c r="C1059" s="507"/>
      <c r="D1059" s="508"/>
      <c r="E1059" s="509" t="str">
        <f>IF($C1059="",IFERROR(VLOOKUP($B1059,SERVIÇOS!$B:$G,2,0),IFERROR(VLOOKUP($B1059,$D:$K,2,0),"")),IFERROR(VLOOKUP($C1059,INSUMOS!$A:$D,2,0),IFERROR(VLOOKUP($C1059,COTAÇÕES!$B:$I,2,0),(VLOOKUP($C1059,'INSUMO SINAPI - SP'!$C:$F,2,0)))))</f>
        <v>MONTAGEM DE ARMADURA DE ESTACAS, DIÂMETRO = 16,0 MM. AF_09/2021_PS</v>
      </c>
      <c r="F1059" s="510" t="str">
        <f>IF($C1059="",IFERROR(VLOOKUP($B1059,SERVIÇOS!$B:$G,3,0),IFERROR(VLOOKUP($B1059,$D:$K,3,0),"")),IFERROR(VLOOKUP($C1059,INSUMOS!$A:$D,3,0),IFERROR(VLOOKUP($C1059,COTAÇÕES!$B:$I,3,0),(VLOOKUP($C1059,'INSUMO SINAPI - SP'!$C:$F,3,0)))))</f>
        <v>KG</v>
      </c>
      <c r="G1059" s="511">
        <v>1.1202000000000001</v>
      </c>
      <c r="H1059" s="512">
        <f>IF($C1059="",IFERROR(VLOOKUP($B1059,SERVIÇOS!$B:$G,6,0),IFERROR(VLOOKUP($B1059,$D:$K,8,0),"")),IFERROR(VLOOKUP($C1059,INSUMOS!$A:$D,4,0),IFERROR(VLOOKUP($C1059,COTAÇÕES!$B:$I,7,0),(VLOOKUP($C1059,'INSUMO SINAPI - SP'!$C:$F,4,0)))))</f>
        <v>8.51</v>
      </c>
      <c r="I1059" s="513">
        <f>TRUNC(IF($C1059="",IFERROR(VLOOKUP($B1059,SERVIÇOS!$B:$G,4,0),IFERROR(VLOOKUP($B1059,$D:$K,6,0),)),IFERROR(VLOOKUP($C1059,INSUMOS!$A:$D,4,0),IFERROR(VLOOKUP($C1059,COTAÇÕES!$B:$I,7,0),(VLOOKUP($C1059,'INSUMO SINAPI - SP'!$C:$F,4,0)))))*$G1059,2)</f>
        <v>9.1</v>
      </c>
      <c r="J1059" s="513">
        <f>TRUNC(IF($C1059="",IFERROR(VLOOKUP($B1059,SERVIÇOS!$B:$G,5,0),IFERROR(VLOOKUP($B1059,$D:$K,7,0),)),0)*$G1059,2)</f>
        <v>0.42</v>
      </c>
      <c r="K1059" s="514">
        <f t="shared" si="31"/>
        <v>9.52</v>
      </c>
      <c r="L1059" s="515"/>
      <c r="M1059" s="471"/>
      <c r="N1059" s="516"/>
      <c r="Q1059" s="472"/>
      <c r="R1059" s="472"/>
      <c r="S1059" s="472"/>
      <c r="T1059" s="472"/>
      <c r="U1059" s="472"/>
      <c r="V1059" s="472"/>
      <c r="W1059" s="472"/>
      <c r="X1059" s="472"/>
      <c r="Y1059" s="472"/>
    </row>
    <row r="1060" spans="1:25" ht="24" x14ac:dyDescent="0.25">
      <c r="A1060" s="463"/>
      <c r="B1060" s="506">
        <v>97913</v>
      </c>
      <c r="C1060" s="507"/>
      <c r="D1060" s="508"/>
      <c r="E1060" s="509" t="str">
        <f>IF($C1060="",IFERROR(VLOOKUP($B1060,SERVIÇOS!$B:$G,2,0),IFERROR(VLOOKUP($B1060,$D:$K,2,0),"")),IFERROR(VLOOKUP($C1060,INSUMOS!$A:$D,2,0),IFERROR(VLOOKUP($C1060,COTAÇÕES!$B:$I,2,0),(VLOOKUP($C1060,'INSUMO SINAPI - SP'!$C:$F,2,0)))))</f>
        <v>TRANSPORTE COM CAMINHÃO BASCULANTE DE 6 M³, EM VIA URBANA EM REVESTIMENTO PRIMÁRIO (UNIDADE: M3XKM). AF_07/2020</v>
      </c>
      <c r="F1060" s="510" t="str">
        <f>IF($C1060="",IFERROR(VLOOKUP($B1060,SERVIÇOS!$B:$G,3,0),IFERROR(VLOOKUP($B1060,$D:$K,3,0),"")),IFERROR(VLOOKUP($C1060,INSUMOS!$A:$D,3,0),IFERROR(VLOOKUP($C1060,COTAÇÕES!$B:$I,3,0),(VLOOKUP($C1060,'INSUMO SINAPI - SP'!$C:$F,3,0)))))</f>
        <v>M3XKM</v>
      </c>
      <c r="G1060" s="511">
        <v>3.6450000000000003E-2</v>
      </c>
      <c r="H1060" s="512">
        <f>IF($C1060="",IFERROR(VLOOKUP($B1060,SERVIÇOS!$B:$G,6,0),IFERROR(VLOOKUP($B1060,$D:$K,8,0),"")),IFERROR(VLOOKUP($C1060,INSUMOS!$A:$D,4,0),IFERROR(VLOOKUP($C1060,COTAÇÕES!$B:$I,7,0),(VLOOKUP($C1060,'INSUMO SINAPI - SP'!$C:$F,4,0)))))</f>
        <v>3.52</v>
      </c>
      <c r="I1060" s="513">
        <f>TRUNC(IF($C1060="",IFERROR(VLOOKUP($B1060,SERVIÇOS!$B:$G,4,0),IFERROR(VLOOKUP($B1060,$D:$K,6,0),)),IFERROR(VLOOKUP($C1060,INSUMOS!$A:$D,4,0),IFERROR(VLOOKUP($C1060,COTAÇÕES!$B:$I,7,0),(VLOOKUP($C1060,'INSUMO SINAPI - SP'!$C:$F,4,0)))))*$G1060,2)</f>
        <v>0.1</v>
      </c>
      <c r="J1060" s="513">
        <f>TRUNC(IF($C1060="",IFERROR(VLOOKUP($B1060,SERVIÇOS!$B:$G,5,0),IFERROR(VLOOKUP($B1060,$D:$K,7,0),)),0)*$G1060,2)</f>
        <v>0.02</v>
      </c>
      <c r="K1060" s="514">
        <f t="shared" si="31"/>
        <v>0.12000000000000001</v>
      </c>
      <c r="L1060" s="515"/>
      <c r="M1060" s="471"/>
      <c r="N1060" s="516"/>
      <c r="Q1060" s="472"/>
      <c r="R1060" s="472"/>
      <c r="S1060" s="472"/>
      <c r="T1060" s="472"/>
      <c r="U1060" s="472"/>
      <c r="V1060" s="472"/>
      <c r="W1060" s="472"/>
      <c r="X1060" s="472"/>
      <c r="Y1060" s="472"/>
    </row>
    <row r="1061" spans="1:25" x14ac:dyDescent="0.25">
      <c r="A1061" s="463"/>
      <c r="B1061" s="506"/>
      <c r="C1061" s="507" t="s">
        <v>13171</v>
      </c>
      <c r="D1061" s="508"/>
      <c r="E1061" s="518" t="s">
        <v>13172</v>
      </c>
      <c r="F1061" s="519" t="s">
        <v>580</v>
      </c>
      <c r="G1061" s="511">
        <f>1/1082.5</f>
        <v>9.2378752886836026E-4</v>
      </c>
      <c r="H1061" s="520">
        <v>29152.54</v>
      </c>
      <c r="I1061" s="520">
        <f>TRUNC(H1061*G1061,2)</f>
        <v>26.93</v>
      </c>
      <c r="J1061" s="521"/>
      <c r="K1061" s="522">
        <f t="shared" si="31"/>
        <v>26.93</v>
      </c>
      <c r="L1061" s="517" t="s">
        <v>12901</v>
      </c>
      <c r="M1061" s="471"/>
      <c r="N1061" s="516"/>
      <c r="Q1061" s="472"/>
      <c r="R1061" s="472"/>
      <c r="S1061" s="472"/>
      <c r="T1061" s="472"/>
      <c r="U1061" s="472"/>
      <c r="V1061" s="472"/>
      <c r="W1061" s="472"/>
      <c r="X1061" s="472"/>
      <c r="Y1061" s="472"/>
    </row>
    <row r="1062" spans="1:25" x14ac:dyDescent="0.25">
      <c r="A1062" s="463"/>
      <c r="B1062" s="498"/>
      <c r="C1062" s="498"/>
      <c r="D1062" s="499" t="s">
        <v>11955</v>
      </c>
      <c r="E1062" s="555" t="s">
        <v>13173</v>
      </c>
      <c r="F1062" s="501" t="s">
        <v>585</v>
      </c>
      <c r="G1062" s="502"/>
      <c r="H1062" s="503"/>
      <c r="I1062" s="504">
        <f>ROUND(SUM(I1063:I1070),2)</f>
        <v>142.01</v>
      </c>
      <c r="J1062" s="504">
        <f>ROUND(SUM(J1063:J1070),2)</f>
        <v>43.9</v>
      </c>
      <c r="K1062" s="504">
        <f>+J1062+I1062</f>
        <v>185.91</v>
      </c>
      <c r="L1062" s="523" t="s">
        <v>13174</v>
      </c>
      <c r="M1062" s="471"/>
      <c r="N1062" s="505"/>
      <c r="Q1062" s="472"/>
      <c r="R1062" s="472"/>
      <c r="S1062" s="472"/>
      <c r="T1062" s="472"/>
      <c r="U1062" s="472"/>
      <c r="V1062" s="472"/>
      <c r="W1062" s="472"/>
      <c r="X1062" s="472"/>
      <c r="Y1062" s="472"/>
    </row>
    <row r="1063" spans="1:25" x14ac:dyDescent="0.25">
      <c r="A1063" s="463"/>
      <c r="B1063" s="506">
        <v>88309</v>
      </c>
      <c r="C1063" s="507"/>
      <c r="D1063" s="508"/>
      <c r="E1063" s="509" t="str">
        <f>IF($C1063="",IFERROR(VLOOKUP($B1063,SERVIÇOS!$B:$G,2,0),IFERROR(VLOOKUP($B1063,$D:$K,2,0),"")),IFERROR(VLOOKUP($C1063,INSUMOS!$A:$D,2,0),IFERROR(VLOOKUP($C1063,COTAÇÕES!$B:$I,2,0),(VLOOKUP($C1063,'INSUMO SINAPI - SP'!$C:$F,2,0)))))</f>
        <v>PEDREIRO COM ENCARGOS COMPLEMENTARES</v>
      </c>
      <c r="F1063" s="510" t="str">
        <f>IF($C1063="",IFERROR(VLOOKUP($B1063,SERVIÇOS!$B:$G,3,0),IFERROR(VLOOKUP($B1063,$D:$K,3,0),"")),IFERROR(VLOOKUP($C1063,INSUMOS!$A:$D,3,0),IFERROR(VLOOKUP($C1063,COTAÇÕES!$B:$I,3,0),(VLOOKUP($C1063,'INSUMO SINAPI - SP'!$C:$F,3,0)))))</f>
        <v>H</v>
      </c>
      <c r="G1063" s="511">
        <v>0.501</v>
      </c>
      <c r="H1063" s="512">
        <f>IF($C1063="",IFERROR(VLOOKUP($B1063,SERVIÇOS!$B:$G,6,0),IFERROR(VLOOKUP($B1063,$D:$K,8,0),"")),IFERROR(VLOOKUP($C1063,INSUMOS!$A:$D,4,0),IFERROR(VLOOKUP($C1063,COTAÇÕES!$B:$I,7,0),(VLOOKUP($C1063,'INSUMO SINAPI - SP'!$C:$F,4,0)))))</f>
        <v>36.909999999999997</v>
      </c>
      <c r="I1063" s="513">
        <f>TRUNC(IF($C1063="",IFERROR(VLOOKUP($B1063,SERVIÇOS!$B:$G,4,0),IFERROR(VLOOKUP($B1063,$D:$K,6,0),)),IFERROR(VLOOKUP($C1063,INSUMOS!$A:$D,4,0),IFERROR(VLOOKUP($C1063,COTAÇÕES!$B:$I,7,0),(VLOOKUP($C1063,'INSUMO SINAPI - SP'!$C:$F,4,0)))))*$G1063,2)</f>
        <v>4.6399999999999997</v>
      </c>
      <c r="J1063" s="513">
        <f>TRUNC(IF($C1063="",IFERROR(VLOOKUP($B1063,SERVIÇOS!$B:$G,5,0),IFERROR(VLOOKUP($B1063,$D:$K,7,0),)),0)*$G1063,2)</f>
        <v>13.84</v>
      </c>
      <c r="K1063" s="514">
        <f t="shared" ref="K1063:K1070" si="32">I1063+J1063</f>
        <v>18.48</v>
      </c>
      <c r="L1063" s="515"/>
      <c r="M1063" s="471"/>
      <c r="N1063" s="516"/>
      <c r="Q1063" s="472"/>
      <c r="R1063" s="472"/>
      <c r="S1063" s="472"/>
      <c r="T1063" s="472"/>
      <c r="U1063" s="472"/>
      <c r="V1063" s="472"/>
      <c r="W1063" s="472"/>
      <c r="X1063" s="472"/>
      <c r="Y1063" s="472"/>
    </row>
    <row r="1064" spans="1:25" x14ac:dyDescent="0.25">
      <c r="A1064" s="463"/>
      <c r="B1064" s="506">
        <v>88316</v>
      </c>
      <c r="C1064" s="507"/>
      <c r="D1064" s="508"/>
      <c r="E1064" s="509" t="str">
        <f>IF($C1064="",IFERROR(VLOOKUP($B1064,SERVIÇOS!$B:$G,2,0),IFERROR(VLOOKUP($B1064,$D:$K,2,0),"")),IFERROR(VLOOKUP($C1064,INSUMOS!$A:$D,2,0),IFERROR(VLOOKUP($C1064,COTAÇÕES!$B:$I,2,0),(VLOOKUP($C1064,'INSUMO SINAPI - SP'!$C:$F,2,0)))))</f>
        <v>SERVENTE COM ENCARGOS COMPLEMENTARES</v>
      </c>
      <c r="F1064" s="510" t="str">
        <f>IF($C1064="",IFERROR(VLOOKUP($B1064,SERVIÇOS!$B:$G,3,0),IFERROR(VLOOKUP($B1064,$D:$K,3,0),"")),IFERROR(VLOOKUP($C1064,INSUMOS!$A:$D,3,0),IFERROR(VLOOKUP($C1064,COTAÇÕES!$B:$I,3,0),(VLOOKUP($C1064,'INSUMO SINAPI - SP'!$C:$F,3,0)))))</f>
        <v>H</v>
      </c>
      <c r="G1064" s="511">
        <v>0.251</v>
      </c>
      <c r="H1064" s="512">
        <f>IF($C1064="",IFERROR(VLOOKUP($B1064,SERVIÇOS!$B:$G,6,0),IFERROR(VLOOKUP($B1064,$D:$K,8,0),"")),IFERROR(VLOOKUP($C1064,INSUMOS!$A:$D,4,0),IFERROR(VLOOKUP($C1064,COTAÇÕES!$B:$I,7,0),(VLOOKUP($C1064,'INSUMO SINAPI - SP'!$C:$F,4,0)))))</f>
        <v>28.71</v>
      </c>
      <c r="I1064" s="513">
        <f>TRUNC(IF($C1064="",IFERROR(VLOOKUP($B1064,SERVIÇOS!$B:$G,4,0),IFERROR(VLOOKUP($B1064,$D:$K,6,0),)),IFERROR(VLOOKUP($C1064,INSUMOS!$A:$D,4,0),IFERROR(VLOOKUP($C1064,COTAÇÕES!$B:$I,7,0),(VLOOKUP($C1064,'INSUMO SINAPI - SP'!$C:$F,4,0)))))*$G1064,2)</f>
        <v>2.2999999999999998</v>
      </c>
      <c r="J1064" s="513">
        <f>TRUNC(IF($C1064="",IFERROR(VLOOKUP($B1064,SERVIÇOS!$B:$G,5,0),IFERROR(VLOOKUP($B1064,$D:$K,7,0),)),0)*$G1064,2)</f>
        <v>4.8899999999999997</v>
      </c>
      <c r="K1064" s="514">
        <f t="shared" si="32"/>
        <v>7.1899999999999995</v>
      </c>
      <c r="L1064" s="515"/>
      <c r="M1064" s="471"/>
      <c r="N1064" s="516"/>
      <c r="Q1064" s="472"/>
      <c r="R1064" s="472"/>
      <c r="S1064" s="472"/>
      <c r="T1064" s="472"/>
      <c r="U1064" s="472"/>
      <c r="V1064" s="472"/>
      <c r="W1064" s="472"/>
      <c r="X1064" s="472"/>
      <c r="Y1064" s="472"/>
    </row>
    <row r="1065" spans="1:25" ht="24" x14ac:dyDescent="0.25">
      <c r="A1065" s="463"/>
      <c r="B1065" s="506">
        <v>94966</v>
      </c>
      <c r="C1065" s="507"/>
      <c r="D1065" s="508"/>
      <c r="E1065" s="509" t="str">
        <f>IF($C1065="",IFERROR(VLOOKUP($B1065,SERVIÇOS!$B:$G,2,0),IFERROR(VLOOKUP($B1065,$D:$K,2,0),"")),IFERROR(VLOOKUP($C1065,INSUMOS!$A:$D,2,0),IFERROR(VLOOKUP($C1065,COTAÇÕES!$B:$I,2,0),(VLOOKUP($C1065,'INSUMO SINAPI - SP'!$C:$F,2,0)))))</f>
        <v>CONCRETO FCK = 30MPA, TRAÇO 1:2,1:2,5 (EM MASSA SECA DE CIMENTO/ AREIA MÉDIA/ BRITA 1) - PREPARO MECÂNICO COM BETONEIRA 400 L. AF_05/2021</v>
      </c>
      <c r="F1065" s="510" t="str">
        <f>IF($C1065="",IFERROR(VLOOKUP($B1065,SERVIÇOS!$B:$G,3,0),IFERROR(VLOOKUP($B1065,$D:$K,3,0),"")),IFERROR(VLOOKUP($C1065,INSUMOS!$A:$D,3,0),IFERROR(VLOOKUP($C1065,COTAÇÕES!$B:$I,3,0),(VLOOKUP($C1065,'INSUMO SINAPI - SP'!$C:$F,3,0)))))</f>
        <v>M3</v>
      </c>
      <c r="G1065" s="511">
        <v>3.2000000000000001E-2</v>
      </c>
      <c r="H1065" s="512">
        <f>IF($C1065="",IFERROR(VLOOKUP($B1065,SERVIÇOS!$B:$G,6,0),IFERROR(VLOOKUP($B1065,$D:$K,8,0),"")),IFERROR(VLOOKUP($C1065,INSUMOS!$A:$D,4,0),IFERROR(VLOOKUP($C1065,COTAÇÕES!$B:$I,7,0),(VLOOKUP($C1065,'INSUMO SINAPI - SP'!$C:$F,4,0)))))</f>
        <v>501.49</v>
      </c>
      <c r="I1065" s="513">
        <f>TRUNC(IF($C1065="",IFERROR(VLOOKUP($B1065,SERVIÇOS!$B:$G,4,0),IFERROR(VLOOKUP($B1065,$D:$K,6,0),)),IFERROR(VLOOKUP($C1065,INSUMOS!$A:$D,4,0),IFERROR(VLOOKUP($C1065,COTAÇÕES!$B:$I,7,0),(VLOOKUP($C1065,'INSUMO SINAPI - SP'!$C:$F,4,0)))))*$G1065,2)</f>
        <v>13.45</v>
      </c>
      <c r="J1065" s="513">
        <f>TRUNC(IF($C1065="",IFERROR(VLOOKUP($B1065,SERVIÇOS!$B:$G,5,0),IFERROR(VLOOKUP($B1065,$D:$K,7,0),)),0)*$G1065,2)</f>
        <v>2.59</v>
      </c>
      <c r="K1065" s="514">
        <f t="shared" si="32"/>
        <v>16.04</v>
      </c>
      <c r="L1065" s="515"/>
      <c r="M1065" s="471"/>
      <c r="N1065" s="516"/>
      <c r="Q1065" s="472"/>
      <c r="R1065" s="472"/>
      <c r="S1065" s="472"/>
      <c r="T1065" s="472"/>
      <c r="U1065" s="472"/>
      <c r="V1065" s="472"/>
      <c r="W1065" s="472"/>
      <c r="X1065" s="472"/>
      <c r="Y1065" s="472"/>
    </row>
    <row r="1066" spans="1:25" x14ac:dyDescent="0.25">
      <c r="A1066" s="463"/>
      <c r="B1066" s="506">
        <v>92803</v>
      </c>
      <c r="C1066" s="507"/>
      <c r="D1066" s="508"/>
      <c r="E1066" s="509" t="str">
        <f>IF($C1066="",IFERROR(VLOOKUP($B1066,SERVIÇOS!$B:$G,2,0),IFERROR(VLOOKUP($B1066,$D:$K,2,0),"")),IFERROR(VLOOKUP($C1066,INSUMOS!$A:$D,2,0),IFERROR(VLOOKUP($C1066,COTAÇÕES!$B:$I,2,0),(VLOOKUP($C1066,'INSUMO SINAPI - SP'!$C:$F,2,0)))))</f>
        <v>CORTE E DOBRA DE AÇO CA-50, DIÂMETRO DE 10,0 MM. AF_06/2022</v>
      </c>
      <c r="F1066" s="510" t="str">
        <f>IF($C1066="",IFERROR(VLOOKUP($B1066,SERVIÇOS!$B:$G,3,0),IFERROR(VLOOKUP($B1066,$D:$K,3,0),"")),IFERROR(VLOOKUP($C1066,INSUMOS!$A:$D,3,0),IFERROR(VLOOKUP($C1066,COTAÇÕES!$B:$I,3,0),(VLOOKUP($C1066,'INSUMO SINAPI - SP'!$C:$F,3,0)))))</f>
        <v>KG</v>
      </c>
      <c r="G1066" s="511">
        <v>0.79</v>
      </c>
      <c r="H1066" s="512">
        <f>IF($C1066="",IFERROR(VLOOKUP($B1066,SERVIÇOS!$B:$G,6,0),IFERROR(VLOOKUP($B1066,$D:$K,8,0),"")),IFERROR(VLOOKUP($C1066,INSUMOS!$A:$D,4,0),IFERROR(VLOOKUP($C1066,COTAÇÕES!$B:$I,7,0),(VLOOKUP($C1066,'INSUMO SINAPI - SP'!$C:$F,4,0)))))</f>
        <v>8.92</v>
      </c>
      <c r="I1066" s="513">
        <f>TRUNC(IF($C1066="",IFERROR(VLOOKUP($B1066,SERVIÇOS!$B:$G,4,0),IFERROR(VLOOKUP($B1066,$D:$K,6,0),)),IFERROR(VLOOKUP($C1066,INSUMOS!$A:$D,4,0),IFERROR(VLOOKUP($C1066,COTAÇÕES!$B:$I,7,0),(VLOOKUP($C1066,'INSUMO SINAPI - SP'!$C:$F,4,0)))))*$G1066,2)</f>
        <v>6.84</v>
      </c>
      <c r="J1066" s="513">
        <f>TRUNC(IF($C1066="",IFERROR(VLOOKUP($B1066,SERVIÇOS!$B:$G,5,0),IFERROR(VLOOKUP($B1066,$D:$K,7,0),)),0)*$G1066,2)</f>
        <v>0.19</v>
      </c>
      <c r="K1066" s="514">
        <f t="shared" si="32"/>
        <v>7.03</v>
      </c>
      <c r="L1066" s="515"/>
      <c r="M1066" s="471"/>
      <c r="N1066" s="516"/>
      <c r="Q1066" s="472"/>
      <c r="R1066" s="472"/>
      <c r="S1066" s="472"/>
      <c r="T1066" s="472"/>
      <c r="U1066" s="472"/>
      <c r="V1066" s="472"/>
      <c r="W1066" s="472"/>
      <c r="X1066" s="472"/>
      <c r="Y1066" s="472"/>
    </row>
    <row r="1067" spans="1:25" x14ac:dyDescent="0.25">
      <c r="A1067" s="463"/>
      <c r="B1067" s="506">
        <v>92270</v>
      </c>
      <c r="C1067" s="507"/>
      <c r="D1067" s="508"/>
      <c r="E1067" s="509" t="str">
        <f>IF($C1067="",IFERROR(VLOOKUP($B1067,SERVIÇOS!$B:$G,2,0),IFERROR(VLOOKUP($B1067,$D:$K,2,0),"")),IFERROR(VLOOKUP($C1067,INSUMOS!$A:$D,2,0),IFERROR(VLOOKUP($C1067,COTAÇÕES!$B:$I,2,0),(VLOOKUP($C1067,'INSUMO SINAPI - SP'!$C:$F,2,0)))))</f>
        <v>FABRICAÇÃO DE FÔRMA PARA VIGAS, COM MADEIRA SERRADA, E = 25 MM. AF_09/2020</v>
      </c>
      <c r="F1067" s="510" t="str">
        <f>IF($C1067="",IFERROR(VLOOKUP($B1067,SERVIÇOS!$B:$G,3,0),IFERROR(VLOOKUP($B1067,$D:$K,3,0),"")),IFERROR(VLOOKUP($C1067,INSUMOS!$A:$D,3,0),IFERROR(VLOOKUP($C1067,COTAÇÕES!$B:$I,3,0),(VLOOKUP($C1067,'INSUMO SINAPI - SP'!$C:$F,3,0)))))</f>
        <v>M2</v>
      </c>
      <c r="G1067" s="511">
        <f>0.14+0.14+0.2+0.2</f>
        <v>0.68</v>
      </c>
      <c r="H1067" s="512">
        <f>IF($C1067="",IFERROR(VLOOKUP($B1067,SERVIÇOS!$B:$G,6,0),IFERROR(VLOOKUP($B1067,$D:$K,8,0),"")),IFERROR(VLOOKUP($C1067,INSUMOS!$A:$D,4,0),IFERROR(VLOOKUP($C1067,COTAÇÕES!$B:$I,7,0),(VLOOKUP($C1067,'INSUMO SINAPI - SP'!$C:$F,4,0)))))</f>
        <v>197.64</v>
      </c>
      <c r="I1067" s="513">
        <f>TRUNC(IF($C1067="",IFERROR(VLOOKUP($B1067,SERVIÇOS!$B:$G,4,0),IFERROR(VLOOKUP($B1067,$D:$K,6,0),)),IFERROR(VLOOKUP($C1067,INSUMOS!$A:$D,4,0),IFERROR(VLOOKUP($C1067,COTAÇÕES!$B:$I,7,0),(VLOOKUP($C1067,'INSUMO SINAPI - SP'!$C:$F,4,0)))))*$G1067,2)</f>
        <v>111.99</v>
      </c>
      <c r="J1067" s="513">
        <f>TRUNC(IF($C1067="",IFERROR(VLOOKUP($B1067,SERVIÇOS!$B:$G,5,0),IFERROR(VLOOKUP($B1067,$D:$K,7,0),)),0)*$G1067,2)</f>
        <v>22.39</v>
      </c>
      <c r="K1067" s="514">
        <f t="shared" si="32"/>
        <v>134.38</v>
      </c>
      <c r="L1067" s="515"/>
      <c r="M1067" s="471"/>
      <c r="N1067" s="516"/>
      <c r="Q1067" s="472"/>
      <c r="R1067" s="472"/>
      <c r="S1067" s="472"/>
      <c r="T1067" s="472"/>
      <c r="U1067" s="472"/>
      <c r="V1067" s="472"/>
      <c r="W1067" s="472"/>
      <c r="X1067" s="472"/>
      <c r="Y1067" s="472"/>
    </row>
    <row r="1068" spans="1:25" x14ac:dyDescent="0.25">
      <c r="A1068" s="463"/>
      <c r="B1068" s="506"/>
      <c r="C1068" s="507">
        <v>2692</v>
      </c>
      <c r="D1068" s="508"/>
      <c r="E1068" s="509" t="str">
        <f>IF($C1068="",IFERROR(VLOOKUP($B1068,SERVIÇOS!$B:$G,2,0),IFERROR(VLOOKUP($B1068,$D:$K,2,0),"")),IFERROR(VLOOKUP($C1068,INSUMOS!$A:$D,2,0),IFERROR(VLOOKUP($C1068,COTAÇÕES!$B:$I,2,0),(VLOOKUP($C1068,'INSUMO SINAPI - SP'!$C:$F,2,0)))))</f>
        <v>DESMOLDANTE PROTETOR PARA FORMAS DE MADEIRA, DE BASE OLEOSA EMULSIONADA EM AGUA</v>
      </c>
      <c r="F1068" s="510" t="str">
        <f>IF($C1068="",IFERROR(VLOOKUP($B1068,SERVIÇOS!$B:$G,3,0),IFERROR(VLOOKUP($B1068,$D:$K,3,0),"")),IFERROR(VLOOKUP($C1068,INSUMOS!$A:$D,3,0),IFERROR(VLOOKUP($C1068,COTAÇÕES!$B:$I,3,0),(VLOOKUP($C1068,'INSUMO SINAPI - SP'!$C:$F,3,0)))))</f>
        <v>L</v>
      </c>
      <c r="G1068" s="511">
        <v>8.9999999999999993E-3</v>
      </c>
      <c r="H1068" s="512">
        <f>IF($C1068="",IFERROR(VLOOKUP($B1068,SERVIÇOS!$B:$G,6,0),IFERROR(VLOOKUP($B1068,$D:$K,8,0),"")),IFERROR(VLOOKUP($C1068,INSUMOS!$A:$D,4,0),IFERROR(VLOOKUP($C1068,COTAÇÕES!$B:$I,7,0),(VLOOKUP($C1068,'INSUMO SINAPI - SP'!$C:$F,4,0)))))</f>
        <v>6.74</v>
      </c>
      <c r="I1068" s="513">
        <f>TRUNC(IF($C1068="",IFERROR(VLOOKUP($B1068,SERVIÇOS!$B:$G,4,0),IFERROR(VLOOKUP($B1068,$D:$K,6,0),)),IFERROR(VLOOKUP($C1068,INSUMOS!$A:$D,4,0),IFERROR(VLOOKUP($C1068,COTAÇÕES!$B:$I,7,0),(VLOOKUP($C1068,'INSUMO SINAPI - SP'!$C:$F,4,0)))))*$G1068,2)</f>
        <v>0.06</v>
      </c>
      <c r="J1068" s="513">
        <f>TRUNC(IF($C1068="",IFERROR(VLOOKUP($B1068,SERVIÇOS!$B:$G,5,0),IFERROR(VLOOKUP($B1068,$D:$K,7,0),)),0)*$G1068,2)</f>
        <v>0</v>
      </c>
      <c r="K1068" s="514">
        <f t="shared" si="32"/>
        <v>0.06</v>
      </c>
      <c r="L1068" s="517"/>
      <c r="M1068" s="471"/>
      <c r="N1068" s="516"/>
      <c r="Q1068" s="472"/>
      <c r="R1068" s="472"/>
      <c r="S1068" s="472"/>
      <c r="T1068" s="472"/>
      <c r="U1068" s="472"/>
      <c r="V1068" s="472"/>
      <c r="W1068" s="472"/>
      <c r="X1068" s="472"/>
      <c r="Y1068" s="472"/>
    </row>
    <row r="1069" spans="1:25" ht="24" x14ac:dyDescent="0.25">
      <c r="A1069" s="463"/>
      <c r="B1069" s="506"/>
      <c r="C1069" s="507" t="s">
        <v>13155</v>
      </c>
      <c r="D1069" s="508"/>
      <c r="E1069" s="509" t="str">
        <f>IF($C1069="",IFERROR(VLOOKUP($B1069,SERVIÇOS!$B:$G,2,0),IFERROR(VLOOKUP($B1069,$D:$K,2,0),"")),IFERROR(VLOOKUP($C1069,INSUMOS!$A:$D,2,0),IFERROR(VLOOKUP($C1069,COTAÇÕES!$B:$I,2,0),(VLOOKUP($C1069,'INSUMO SINAPI - SP'!$C:$F,2,0)))))</f>
        <v>ESPACADOR / DISTANCIADOR CIRCULAR COM ENTRADA LATERAL, EM PLASTICO, PARA VERGALHAO *4,2 A 12,5* MM, COBRIMENTO 20 MM</v>
      </c>
      <c r="F1069" s="510" t="str">
        <f>IF($C1069="",IFERROR(VLOOKUP($B1069,SERVIÇOS!$B:$G,3,0),IFERROR(VLOOKUP($B1069,$D:$K,3,0),"")),IFERROR(VLOOKUP($C1069,INSUMOS!$A:$D,3,0),IFERROR(VLOOKUP($C1069,COTAÇÕES!$B:$I,3,0),(VLOOKUP($C1069,'INSUMO SINAPI - SP'!$C:$F,3,0)))))</f>
        <v>UN</v>
      </c>
      <c r="G1069" s="511">
        <v>6</v>
      </c>
      <c r="H1069" s="512">
        <f>IF($C1069="",IFERROR(VLOOKUP($B1069,SERVIÇOS!$B:$G,6,0),IFERROR(VLOOKUP($B1069,$D:$K,8,0),"")),IFERROR(VLOOKUP($C1069,INSUMOS!$A:$D,4,0),IFERROR(VLOOKUP($C1069,COTAÇÕES!$B:$I,7,0),(VLOOKUP($C1069,'INSUMO SINAPI - SP'!$C:$F,4,0)))))</f>
        <v>0.22</v>
      </c>
      <c r="I1069" s="513">
        <f>TRUNC(IF($C1069="",IFERROR(VLOOKUP($B1069,SERVIÇOS!$B:$G,4,0),IFERROR(VLOOKUP($B1069,$D:$K,6,0),)),IFERROR(VLOOKUP($C1069,INSUMOS!$A:$D,4,0),IFERROR(VLOOKUP($C1069,COTAÇÕES!$B:$I,7,0),(VLOOKUP($C1069,'INSUMO SINAPI - SP'!$C:$F,4,0)))))*$G1069,2)</f>
        <v>1.32</v>
      </c>
      <c r="J1069" s="513"/>
      <c r="K1069" s="514">
        <f t="shared" si="32"/>
        <v>1.32</v>
      </c>
      <c r="L1069" s="515" t="s">
        <v>12685</v>
      </c>
      <c r="M1069" s="471"/>
      <c r="N1069" s="516"/>
      <c r="Q1069" s="472"/>
      <c r="R1069" s="472"/>
      <c r="S1069" s="472"/>
      <c r="T1069" s="472"/>
      <c r="U1069" s="472"/>
      <c r="V1069" s="472"/>
      <c r="W1069" s="472"/>
      <c r="X1069" s="472"/>
      <c r="Y1069" s="472"/>
    </row>
    <row r="1070" spans="1:25" x14ac:dyDescent="0.25">
      <c r="A1070" s="463"/>
      <c r="B1070" s="506"/>
      <c r="C1070" s="507">
        <v>4491</v>
      </c>
      <c r="D1070" s="508"/>
      <c r="E1070" s="509" t="str">
        <f>IF($C1070="",IFERROR(VLOOKUP($B1070,SERVIÇOS!$B:$G,2,0),IFERROR(VLOOKUP($B1070,$D:$K,2,0),"")),IFERROR(VLOOKUP($C1070,INSUMOS!$A:$D,2,0),IFERROR(VLOOKUP($C1070,COTAÇÕES!$B:$I,2,0),(VLOOKUP($C1070,'INSUMO SINAPI - SP'!$C:$F,2,0)))))</f>
        <v>PONTALETE *7,5 X 7,5* CM EM PINUS, MISTA OU EQUIVALENTE DA REGIAO - BRUTA</v>
      </c>
      <c r="F1070" s="510" t="str">
        <f>IF($C1070="",IFERROR(VLOOKUP($B1070,SERVIÇOS!$B:$G,3,0),IFERROR(VLOOKUP($B1070,$D:$K,3,0),"")),IFERROR(VLOOKUP($C1070,INSUMOS!$A:$D,3,0),IFERROR(VLOOKUP($C1070,COTAÇÕES!$B:$I,3,0),(VLOOKUP($C1070,'INSUMO SINAPI - SP'!$C:$F,3,0)))))</f>
        <v>M</v>
      </c>
      <c r="G1070" s="511">
        <v>0.20300000000000001</v>
      </c>
      <c r="H1070" s="512">
        <f>IF($C1070="",IFERROR(VLOOKUP($B1070,SERVIÇOS!$B:$G,6,0),IFERROR(VLOOKUP($B1070,$D:$K,8,0),"")),IFERROR(VLOOKUP($C1070,INSUMOS!$A:$D,4,0),IFERROR(VLOOKUP($C1070,COTAÇÕES!$B:$I,7,0),(VLOOKUP($C1070,'INSUMO SINAPI - SP'!$C:$F,4,0)))))</f>
        <v>6.99</v>
      </c>
      <c r="I1070" s="513">
        <f>TRUNC(IF($C1070="",IFERROR(VLOOKUP($B1070,SERVIÇOS!$B:$G,4,0),IFERROR(VLOOKUP($B1070,$D:$K,6,0),)),IFERROR(VLOOKUP($C1070,INSUMOS!$A:$D,4,0),IFERROR(VLOOKUP($C1070,COTAÇÕES!$B:$I,7,0),(VLOOKUP($C1070,'INSUMO SINAPI - SP'!$C:$F,4,0)))))*$G1070,2)</f>
        <v>1.41</v>
      </c>
      <c r="J1070" s="513">
        <f>TRUNC(IF($C1070="",IFERROR(VLOOKUP($B1070,SERVIÇOS!$B:$G,5,0),IFERROR(VLOOKUP($B1070,$D:$K,7,0),)),0)*$G1070,2)</f>
        <v>0</v>
      </c>
      <c r="K1070" s="514">
        <f t="shared" si="32"/>
        <v>1.41</v>
      </c>
      <c r="L1070" s="517"/>
      <c r="M1070" s="471"/>
      <c r="N1070" s="516"/>
      <c r="Q1070" s="472"/>
      <c r="R1070" s="472"/>
      <c r="S1070" s="472"/>
      <c r="T1070" s="472"/>
      <c r="U1070" s="472"/>
      <c r="V1070" s="472"/>
      <c r="W1070" s="472"/>
      <c r="X1070" s="472"/>
      <c r="Y1070" s="472"/>
    </row>
    <row r="1071" spans="1:25" ht="24" x14ac:dyDescent="0.25">
      <c r="A1071" s="463"/>
      <c r="B1071" s="498"/>
      <c r="C1071" s="498"/>
      <c r="D1071" s="499" t="s">
        <v>12416</v>
      </c>
      <c r="E1071" s="555" t="s">
        <v>13175</v>
      </c>
      <c r="F1071" s="501" t="s">
        <v>585</v>
      </c>
      <c r="G1071" s="502"/>
      <c r="H1071" s="503"/>
      <c r="I1071" s="504">
        <f>ROUND(SUM(I1072:I1075),2)</f>
        <v>50.33</v>
      </c>
      <c r="J1071" s="504">
        <f>ROUND(SUM(J1072:J1075),2)</f>
        <v>35.700000000000003</v>
      </c>
      <c r="K1071" s="504">
        <f>+J1071+I1071</f>
        <v>86.03</v>
      </c>
      <c r="L1071" s="523"/>
      <c r="M1071" s="471"/>
      <c r="N1071" s="505"/>
      <c r="Q1071" s="472"/>
      <c r="R1071" s="472"/>
      <c r="S1071" s="472"/>
      <c r="T1071" s="472"/>
      <c r="U1071" s="472"/>
      <c r="V1071" s="472"/>
      <c r="W1071" s="472"/>
      <c r="X1071" s="472"/>
      <c r="Y1071" s="472"/>
    </row>
    <row r="1072" spans="1:25" ht="24" x14ac:dyDescent="0.25">
      <c r="A1072" s="463"/>
      <c r="B1072" s="506">
        <v>92915</v>
      </c>
      <c r="C1072" s="507"/>
      <c r="D1072" s="508"/>
      <c r="E1072" s="509" t="str">
        <f>IF($C1072="",IFERROR(VLOOKUP($B1072,SERVIÇOS!$B:$G,2,0),IFERROR(VLOOKUP($B1072,$D:$K,2,0),"")),IFERROR(VLOOKUP($C1072,INSUMOS!$A:$D,2,0),IFERROR(VLOOKUP($C1072,COTAÇÕES!$B:$I,2,0),(VLOOKUP($C1072,'INSUMO SINAPI - SP'!$C:$F,2,0)))))</f>
        <v>ARMAÇÃO DE ESTRUTURAS DIVERSAS DE CONCRETO ARMADO, EXCETO VIGAS, PILARES, LAJES E FUNDAÇÕES, UTILIZANDO AÇO CA-60 DE 5,0 MM - MONTAGEM. AF_06/2022</v>
      </c>
      <c r="F1072" s="510" t="str">
        <f>IF($C1072="",IFERROR(VLOOKUP($B1072,SERVIÇOS!$B:$G,3,0),IFERROR(VLOOKUP($B1072,$D:$K,3,0),"")),IFERROR(VLOOKUP($C1072,INSUMOS!$A:$D,3,0),IFERROR(VLOOKUP($C1072,COTAÇÕES!$B:$I,3,0),(VLOOKUP($C1072,'INSUMO SINAPI - SP'!$C:$F,3,0)))))</f>
        <v>KG</v>
      </c>
      <c r="G1072" s="511">
        <v>0.66666666666666696</v>
      </c>
      <c r="H1072" s="512">
        <f>IF($C1072="",IFERROR(VLOOKUP($B1072,SERVIÇOS!$B:$G,6,0),IFERROR(VLOOKUP($B1072,$D:$K,8,0),"")),IFERROR(VLOOKUP($C1072,INSUMOS!$A:$D,4,0),IFERROR(VLOOKUP($C1072,COTAÇÕES!$B:$I,7,0),(VLOOKUP($C1072,'INSUMO SINAPI - SP'!$C:$F,4,0)))))</f>
        <v>19.170000000000002</v>
      </c>
      <c r="I1072" s="513">
        <f>TRUNC(IF($C1072="",IFERROR(VLOOKUP($B1072,SERVIÇOS!$B:$G,4,0),IFERROR(VLOOKUP($B1072,$D:$K,6,0),)),IFERROR(VLOOKUP($C1072,INSUMOS!$A:$D,4,0),IFERROR(VLOOKUP($C1072,COTAÇÕES!$B:$I,7,0),(VLOOKUP($C1072,'INSUMO SINAPI - SP'!$C:$F,4,0)))))*$G1072,2)</f>
        <v>7.63</v>
      </c>
      <c r="J1072" s="513">
        <f>TRUNC(IF($C1072="",IFERROR(VLOOKUP($B1072,SERVIÇOS!$B:$G,5,0),IFERROR(VLOOKUP($B1072,$D:$K,7,0),)),0)*$G1072,2)</f>
        <v>5.14</v>
      </c>
      <c r="K1072" s="514">
        <f>I1072+J1072</f>
        <v>12.77</v>
      </c>
      <c r="L1072" s="515"/>
      <c r="M1072" s="471"/>
      <c r="N1072" s="516"/>
      <c r="Q1072" s="472"/>
      <c r="R1072" s="472"/>
      <c r="S1072" s="472"/>
      <c r="T1072" s="472"/>
      <c r="U1072" s="472"/>
      <c r="V1072" s="472"/>
      <c r="W1072" s="472"/>
      <c r="X1072" s="472"/>
      <c r="Y1072" s="472"/>
    </row>
    <row r="1073" spans="1:25" ht="24" x14ac:dyDescent="0.25">
      <c r="A1073" s="463"/>
      <c r="B1073" s="506">
        <v>92917</v>
      </c>
      <c r="C1073" s="507"/>
      <c r="D1073" s="508"/>
      <c r="E1073" s="509" t="str">
        <f>IF($C1073="",IFERROR(VLOOKUP($B1073,SERVIÇOS!$B:$G,2,0),IFERROR(VLOOKUP($B1073,$D:$K,2,0),"")),IFERROR(VLOOKUP($C1073,INSUMOS!$A:$D,2,0),IFERROR(VLOOKUP($C1073,COTAÇÕES!$B:$I,2,0),(VLOOKUP($C1073,'INSUMO SINAPI - SP'!$C:$F,2,0)))))</f>
        <v>ARMAÇÃO DE ESTRUTURAS DIVERSAS DE CONCRETO ARMADO, EXCETO VIGAS, PILARES, LAJES E FUNDAÇÕES, UTILIZANDO AÇO CA-50 DE 8,0 MM - MONTAGEM. AF_06/2022</v>
      </c>
      <c r="F1073" s="510" t="str">
        <f>IF($C1073="",IFERROR(VLOOKUP($B1073,SERVIÇOS!$B:$G,3,0),IFERROR(VLOOKUP($B1073,$D:$K,3,0),"")),IFERROR(VLOOKUP($C1073,INSUMOS!$A:$D,3,0),IFERROR(VLOOKUP($C1073,COTAÇÕES!$B:$I,3,0),(VLOOKUP($C1073,'INSUMO SINAPI - SP'!$C:$F,3,0)))))</f>
        <v>KG</v>
      </c>
      <c r="G1073" s="511">
        <v>1.3333333333333299</v>
      </c>
      <c r="H1073" s="512">
        <f>IF($C1073="",IFERROR(VLOOKUP($B1073,SERVIÇOS!$B:$G,6,0),IFERROR(VLOOKUP($B1073,$D:$K,8,0),"")),IFERROR(VLOOKUP($C1073,INSUMOS!$A:$D,4,0),IFERROR(VLOOKUP($C1073,COTAÇÕES!$B:$I,7,0),(VLOOKUP($C1073,'INSUMO SINAPI - SP'!$C:$F,4,0)))))</f>
        <v>14.78</v>
      </c>
      <c r="I1073" s="513">
        <f>TRUNC(IF($C1073="",IFERROR(VLOOKUP($B1073,SERVIÇOS!$B:$G,4,0),IFERROR(VLOOKUP($B1073,$D:$K,6,0),)),IFERROR(VLOOKUP($C1073,INSUMOS!$A:$D,4,0),IFERROR(VLOOKUP($C1073,COTAÇÕES!$B:$I,7,0),(VLOOKUP($C1073,'INSUMO SINAPI - SP'!$C:$F,4,0)))))*$G1073,2)</f>
        <v>14.9</v>
      </c>
      <c r="J1073" s="513">
        <f>TRUNC(IF($C1073="",IFERROR(VLOOKUP($B1073,SERVIÇOS!$B:$G,5,0),IFERROR(VLOOKUP($B1073,$D:$K,7,0),)),0)*$G1073,2)</f>
        <v>4.79</v>
      </c>
      <c r="K1073" s="514">
        <f>I1073+J1073</f>
        <v>19.690000000000001</v>
      </c>
      <c r="L1073" s="515"/>
      <c r="M1073" s="471"/>
      <c r="N1073" s="516"/>
      <c r="Q1073" s="472"/>
      <c r="R1073" s="472"/>
      <c r="S1073" s="472"/>
      <c r="T1073" s="472"/>
      <c r="U1073" s="472"/>
      <c r="V1073" s="472"/>
      <c r="W1073" s="472"/>
      <c r="X1073" s="472"/>
      <c r="Y1073" s="472"/>
    </row>
    <row r="1074" spans="1:25" ht="24" x14ac:dyDescent="0.25">
      <c r="A1074" s="463"/>
      <c r="B1074" s="506">
        <v>96542</v>
      </c>
      <c r="C1074" s="507"/>
      <c r="D1074" s="508"/>
      <c r="E1074" s="509" t="str">
        <f>IF($C1074="",IFERROR(VLOOKUP($B1074,SERVIÇOS!$B:$G,2,0),IFERROR(VLOOKUP($B1074,$D:$K,2,0),"")),IFERROR(VLOOKUP($C1074,INSUMOS!$A:$D,2,0),IFERROR(VLOOKUP($C1074,COTAÇÕES!$B:$I,2,0),(VLOOKUP($C1074,'INSUMO SINAPI - SP'!$C:$F,2,0)))))</f>
        <v>FABRICAÇÃO, MONTAGEM E DESMONTAGEM DE FÔRMA PARA VIGA BALDRAME, EM CHAPA DE MADEIRA COMPENSADA RESINADA, E=17 MM, 4 UTILIZAÇÕES. AF_01/2024</v>
      </c>
      <c r="F1074" s="510" t="str">
        <f>IF($C1074="",IFERROR(VLOOKUP($B1074,SERVIÇOS!$B:$G,3,0),IFERROR(VLOOKUP($B1074,$D:$K,3,0),"")),IFERROR(VLOOKUP($C1074,INSUMOS!$A:$D,3,0),IFERROR(VLOOKUP($C1074,COTAÇÕES!$B:$I,3,0),(VLOOKUP($C1074,'INSUMO SINAPI - SP'!$C:$F,3,0)))))</f>
        <v>M2</v>
      </c>
      <c r="G1074" s="511">
        <v>0.33</v>
      </c>
      <c r="H1074" s="512">
        <f>IF($C1074="",IFERROR(VLOOKUP($B1074,SERVIÇOS!$B:$G,6,0),IFERROR(VLOOKUP($B1074,$D:$K,8,0),"")),IFERROR(VLOOKUP($C1074,INSUMOS!$A:$D,4,0),IFERROR(VLOOKUP($C1074,COTAÇÕES!$B:$I,7,0),(VLOOKUP($C1074,'INSUMO SINAPI - SP'!$C:$F,4,0)))))</f>
        <v>111.87</v>
      </c>
      <c r="I1074" s="513">
        <f>TRUNC(IF($C1074="",IFERROR(VLOOKUP($B1074,SERVIÇOS!$B:$G,4,0),IFERROR(VLOOKUP($B1074,$D:$K,6,0),)),IFERROR(VLOOKUP($C1074,INSUMOS!$A:$D,4,0),IFERROR(VLOOKUP($C1074,COTAÇÕES!$B:$I,7,0),(VLOOKUP($C1074,'INSUMO SINAPI - SP'!$C:$F,4,0)))))*$G1074,2)</f>
        <v>15.71</v>
      </c>
      <c r="J1074" s="513">
        <f>TRUNC(IF($C1074="",IFERROR(VLOOKUP($B1074,SERVIÇOS!$B:$G,5,0),IFERROR(VLOOKUP($B1074,$D:$K,7,0),)),0)*$G1074,2)</f>
        <v>21.19</v>
      </c>
      <c r="K1074" s="514">
        <f>I1074+J1074</f>
        <v>36.900000000000006</v>
      </c>
      <c r="L1074" s="515"/>
      <c r="M1074" s="471"/>
      <c r="N1074" s="516"/>
      <c r="Q1074" s="472"/>
      <c r="R1074" s="472"/>
      <c r="S1074" s="472"/>
      <c r="T1074" s="472"/>
      <c r="U1074" s="472"/>
      <c r="V1074" s="472"/>
      <c r="W1074" s="472"/>
      <c r="X1074" s="472"/>
      <c r="Y1074" s="472"/>
    </row>
    <row r="1075" spans="1:25" ht="24" x14ac:dyDescent="0.25">
      <c r="A1075" s="463"/>
      <c r="B1075" s="506">
        <v>96555</v>
      </c>
      <c r="C1075" s="507"/>
      <c r="D1075" s="508"/>
      <c r="E1075" s="509" t="str">
        <f>IF($C1075="",IFERROR(VLOOKUP($B1075,SERVIÇOS!$B:$G,2,0),IFERROR(VLOOKUP($B1075,$D:$K,2,0),"")),IFERROR(VLOOKUP($C1075,INSUMOS!$A:$D,2,0),IFERROR(VLOOKUP($C1075,COTAÇÕES!$B:$I,2,0),(VLOOKUP($C1075,'INSUMO SINAPI - SP'!$C:$F,2,0)))))</f>
        <v>CONCRETAGEM DE BLOCO DE COROAMENTO OU VIGA BALDRAME, FCK 30 MPA, COM USO DE JERICA - LANÇAMENTO, ADENSAMENTO E ACABAMENTO. AF_01/2024</v>
      </c>
      <c r="F1075" s="510" t="str">
        <f>IF($C1075="",IFERROR(VLOOKUP($B1075,SERVIÇOS!$B:$G,3,0),IFERROR(VLOOKUP($B1075,$D:$K,3,0),"")),IFERROR(VLOOKUP($C1075,INSUMOS!$A:$D,3,0),IFERROR(VLOOKUP($C1075,COTAÇÕES!$B:$I,3,0),(VLOOKUP($C1075,'INSUMO SINAPI - SP'!$C:$F,3,0)))))</f>
        <v>M3</v>
      </c>
      <c r="G1075" s="511">
        <v>2.2499999999999999E-2</v>
      </c>
      <c r="H1075" s="512">
        <f>IF($C1075="",IFERROR(VLOOKUP($B1075,SERVIÇOS!$B:$G,6,0),IFERROR(VLOOKUP($B1075,$D:$K,8,0),"")),IFERROR(VLOOKUP($C1075,INSUMOS!$A:$D,4,0),IFERROR(VLOOKUP($C1075,COTAÇÕES!$B:$I,7,0),(VLOOKUP($C1075,'INSUMO SINAPI - SP'!$C:$F,4,0)))))</f>
        <v>741.32</v>
      </c>
      <c r="I1075" s="513">
        <f>TRUNC(IF($C1075="",IFERROR(VLOOKUP($B1075,SERVIÇOS!$B:$G,4,0),IFERROR(VLOOKUP($B1075,$D:$K,6,0),)),IFERROR(VLOOKUP($C1075,INSUMOS!$A:$D,4,0),IFERROR(VLOOKUP($C1075,COTAÇÕES!$B:$I,7,0),(VLOOKUP($C1075,'INSUMO SINAPI - SP'!$C:$F,4,0)))))*$G1075,2)</f>
        <v>12.09</v>
      </c>
      <c r="J1075" s="513">
        <f>TRUNC(IF($C1075="",IFERROR(VLOOKUP($B1075,SERVIÇOS!$B:$G,5,0),IFERROR(VLOOKUP($B1075,$D:$K,7,0),)),0)*$G1075,2)</f>
        <v>4.58</v>
      </c>
      <c r="K1075" s="514">
        <f>I1075+J1075</f>
        <v>16.670000000000002</v>
      </c>
      <c r="L1075" s="515"/>
      <c r="M1075" s="471"/>
      <c r="N1075" s="516"/>
      <c r="Q1075" s="472"/>
      <c r="R1075" s="472"/>
      <c r="S1075" s="472"/>
      <c r="T1075" s="472"/>
      <c r="U1075" s="472"/>
      <c r="V1075" s="472"/>
      <c r="W1075" s="472"/>
      <c r="X1075" s="472"/>
      <c r="Y1075" s="472"/>
    </row>
    <row r="1076" spans="1:25" ht="24" x14ac:dyDescent="0.25">
      <c r="A1076" s="463"/>
      <c r="B1076" s="498"/>
      <c r="C1076" s="498"/>
      <c r="D1076" s="499" t="s">
        <v>11945</v>
      </c>
      <c r="E1076" s="500" t="s">
        <v>13176</v>
      </c>
      <c r="F1076" s="501" t="s">
        <v>578</v>
      </c>
      <c r="G1076" s="502"/>
      <c r="H1076" s="503"/>
      <c r="I1076" s="504">
        <f>ROUND(SUM(I1077:I1086),2)</f>
        <v>112.65</v>
      </c>
      <c r="J1076" s="504">
        <f>ROUND(SUM(J1077:J1086),2)</f>
        <v>35.64</v>
      </c>
      <c r="K1076" s="504">
        <f>+J1076+I1076</f>
        <v>148.29000000000002</v>
      </c>
      <c r="L1076" s="523" t="s">
        <v>13177</v>
      </c>
      <c r="M1076" s="471"/>
      <c r="N1076" s="505"/>
      <c r="Q1076" s="472"/>
      <c r="R1076" s="472"/>
      <c r="S1076" s="472"/>
      <c r="T1076" s="472"/>
      <c r="U1076" s="472"/>
      <c r="V1076" s="472"/>
      <c r="W1076" s="472"/>
      <c r="X1076" s="472"/>
      <c r="Y1076" s="472"/>
    </row>
    <row r="1077" spans="1:25" x14ac:dyDescent="0.25">
      <c r="A1077" s="463"/>
      <c r="B1077" s="506">
        <v>88262</v>
      </c>
      <c r="C1077" s="507"/>
      <c r="D1077" s="508"/>
      <c r="E1077" s="509" t="str">
        <f>IF($C1077="",IFERROR(VLOOKUP($B1077,SERVIÇOS!$B:$G,2,0),IFERROR(VLOOKUP($B1077,$D:$K,2,0),"")),IFERROR(VLOOKUP($C1077,INSUMOS!$A:$D,2,0),IFERROR(VLOOKUP($C1077,COTAÇÕES!$B:$I,2,0),(VLOOKUP($C1077,'INSUMO SINAPI - SP'!$C:$F,2,0)))))</f>
        <v>CARPINTEIRO DE FORMAS COM ENCARGOS COMPLEMENTARES</v>
      </c>
      <c r="F1077" s="510" t="str">
        <f>IF($C1077="",IFERROR(VLOOKUP($B1077,SERVIÇOS!$B:$G,3,0),IFERROR(VLOOKUP($B1077,$D:$K,3,0),"")),IFERROR(VLOOKUP($C1077,INSUMOS!$A:$D,3,0),IFERROR(VLOOKUP($C1077,COTAÇÕES!$B:$I,3,0),(VLOOKUP($C1077,'INSUMO SINAPI - SP'!$C:$F,3,0)))))</f>
        <v>H</v>
      </c>
      <c r="G1077" s="511">
        <v>0.22</v>
      </c>
      <c r="H1077" s="512">
        <f>IF($C1077="",IFERROR(VLOOKUP($B1077,SERVIÇOS!$B:$G,6,0),IFERROR(VLOOKUP($B1077,$D:$K,8,0),"")),IFERROR(VLOOKUP($C1077,INSUMOS!$A:$D,4,0),IFERROR(VLOOKUP($C1077,COTAÇÕES!$B:$I,7,0),(VLOOKUP($C1077,'INSUMO SINAPI - SP'!$C:$F,4,0)))))</f>
        <v>36.43</v>
      </c>
      <c r="I1077" s="513">
        <f>TRUNC(IF($C1077="",IFERROR(VLOOKUP($B1077,SERVIÇOS!$B:$G,4,0),IFERROR(VLOOKUP($B1077,$D:$K,6,0),)),IFERROR(VLOOKUP($C1077,INSUMOS!$A:$D,4,0),IFERROR(VLOOKUP($C1077,COTAÇÕES!$B:$I,7,0),(VLOOKUP($C1077,'INSUMO SINAPI - SP'!$C:$F,4,0)))))*$G1077,2)</f>
        <v>1.99</v>
      </c>
      <c r="J1077" s="513">
        <f>TRUNC(IF($C1077="",IFERROR(VLOOKUP($B1077,SERVIÇOS!$B:$G,5,0),IFERROR(VLOOKUP($B1077,$D:$K,7,0),)),0)*$G1077,2)</f>
        <v>6.01</v>
      </c>
      <c r="K1077" s="514">
        <f t="shared" ref="K1077:K1086" si="33">I1077+J1077</f>
        <v>8</v>
      </c>
      <c r="L1077" s="515"/>
      <c r="M1077" s="471"/>
      <c r="N1077" s="516"/>
      <c r="Q1077" s="472"/>
      <c r="R1077" s="472"/>
      <c r="S1077" s="472"/>
      <c r="T1077" s="472"/>
      <c r="U1077" s="472"/>
      <c r="V1077" s="472"/>
      <c r="W1077" s="472"/>
      <c r="X1077" s="472"/>
      <c r="Y1077" s="472"/>
    </row>
    <row r="1078" spans="1:25" x14ac:dyDescent="0.25">
      <c r="A1078" s="463"/>
      <c r="B1078" s="506">
        <v>88239</v>
      </c>
      <c r="C1078" s="507"/>
      <c r="D1078" s="508"/>
      <c r="E1078" s="509" t="str">
        <f>IF($C1078="",IFERROR(VLOOKUP($B1078,SERVIÇOS!$B:$G,2,0),IFERROR(VLOOKUP($B1078,$D:$K,2,0),"")),IFERROR(VLOOKUP($C1078,INSUMOS!$A:$D,2,0),IFERROR(VLOOKUP($C1078,COTAÇÕES!$B:$I,2,0),(VLOOKUP($C1078,'INSUMO SINAPI - SP'!$C:$F,2,0)))))</f>
        <v>AJUDANTE DE CARPINTEIRO COM ENCARGOS COMPLEMENTARES</v>
      </c>
      <c r="F1078" s="510" t="str">
        <f>IF($C1078="",IFERROR(VLOOKUP($B1078,SERVIÇOS!$B:$G,3,0),IFERROR(VLOOKUP($B1078,$D:$K,3,0),"")),IFERROR(VLOOKUP($C1078,INSUMOS!$A:$D,3,0),IFERROR(VLOOKUP($C1078,COTAÇÕES!$B:$I,3,0),(VLOOKUP($C1078,'INSUMO SINAPI - SP'!$C:$F,3,0)))))</f>
        <v>H</v>
      </c>
      <c r="G1078" s="511">
        <v>0.22</v>
      </c>
      <c r="H1078" s="512">
        <f>IF($C1078="",IFERROR(VLOOKUP($B1078,SERVIÇOS!$B:$G,6,0),IFERROR(VLOOKUP($B1078,$D:$K,8,0),"")),IFERROR(VLOOKUP($C1078,INSUMOS!$A:$D,4,0),IFERROR(VLOOKUP($C1078,COTAÇÕES!$B:$I,7,0),(VLOOKUP($C1078,'INSUMO SINAPI - SP'!$C:$F,4,0)))))</f>
        <v>30.08</v>
      </c>
      <c r="I1078" s="513">
        <f>TRUNC(IF($C1078="",IFERROR(VLOOKUP($B1078,SERVIÇOS!$B:$G,4,0),IFERROR(VLOOKUP($B1078,$D:$K,6,0),)),IFERROR(VLOOKUP($C1078,INSUMOS!$A:$D,4,0),IFERROR(VLOOKUP($C1078,COTAÇÕES!$B:$I,7,0),(VLOOKUP($C1078,'INSUMO SINAPI - SP'!$C:$F,4,0)))))*$G1078,2)</f>
        <v>1.99</v>
      </c>
      <c r="J1078" s="513">
        <f>TRUNC(IF($C1078="",IFERROR(VLOOKUP($B1078,SERVIÇOS!$B:$G,5,0),IFERROR(VLOOKUP($B1078,$D:$K,7,0),)),0)*$G1078,2)</f>
        <v>4.62</v>
      </c>
      <c r="K1078" s="514">
        <f t="shared" si="33"/>
        <v>6.61</v>
      </c>
      <c r="L1078" s="515"/>
      <c r="M1078" s="471"/>
      <c r="N1078" s="516"/>
      <c r="Q1078" s="472"/>
      <c r="R1078" s="472"/>
      <c r="S1078" s="472"/>
      <c r="T1078" s="472"/>
      <c r="U1078" s="472"/>
      <c r="V1078" s="472"/>
      <c r="W1078" s="472"/>
      <c r="X1078" s="472"/>
      <c r="Y1078" s="472"/>
    </row>
    <row r="1079" spans="1:25" x14ac:dyDescent="0.25">
      <c r="A1079" s="463"/>
      <c r="B1079" s="506">
        <v>88309</v>
      </c>
      <c r="C1079" s="507"/>
      <c r="D1079" s="508"/>
      <c r="E1079" s="509" t="str">
        <f>IF($C1079="",IFERROR(VLOOKUP($B1079,SERVIÇOS!$B:$G,2,0),IFERROR(VLOOKUP($B1079,$D:$K,2,0),"")),IFERROR(VLOOKUP($C1079,INSUMOS!$A:$D,2,0),IFERROR(VLOOKUP($C1079,COTAÇÕES!$B:$I,2,0),(VLOOKUP($C1079,'INSUMO SINAPI - SP'!$C:$F,2,0)))))</f>
        <v>PEDREIRO COM ENCARGOS COMPLEMENTARES</v>
      </c>
      <c r="F1079" s="510" t="str">
        <f>IF($C1079="",IFERROR(VLOOKUP($B1079,SERVIÇOS!$B:$G,3,0),IFERROR(VLOOKUP($B1079,$D:$K,3,0),"")),IFERROR(VLOOKUP($C1079,INSUMOS!$A:$D,3,0),IFERROR(VLOOKUP($C1079,COTAÇÕES!$B:$I,3,0),(VLOOKUP($C1079,'INSUMO SINAPI - SP'!$C:$F,3,0)))))</f>
        <v>H</v>
      </c>
      <c r="G1079" s="511">
        <v>0.35</v>
      </c>
      <c r="H1079" s="512">
        <f>IF($C1079="",IFERROR(VLOOKUP($B1079,SERVIÇOS!$B:$G,6,0),IFERROR(VLOOKUP($B1079,$D:$K,8,0),"")),IFERROR(VLOOKUP($C1079,INSUMOS!$A:$D,4,0),IFERROR(VLOOKUP($C1079,COTAÇÕES!$B:$I,7,0),(VLOOKUP($C1079,'INSUMO SINAPI - SP'!$C:$F,4,0)))))</f>
        <v>36.909999999999997</v>
      </c>
      <c r="I1079" s="513">
        <f>TRUNC(IF($C1079="",IFERROR(VLOOKUP($B1079,SERVIÇOS!$B:$G,4,0),IFERROR(VLOOKUP($B1079,$D:$K,6,0),)),IFERROR(VLOOKUP($C1079,INSUMOS!$A:$D,4,0),IFERROR(VLOOKUP($C1079,COTAÇÕES!$B:$I,7,0),(VLOOKUP($C1079,'INSUMO SINAPI - SP'!$C:$F,4,0)))))*$G1079,2)</f>
        <v>3.24</v>
      </c>
      <c r="J1079" s="513">
        <f>TRUNC(IF($C1079="",IFERROR(VLOOKUP($B1079,SERVIÇOS!$B:$G,5,0),IFERROR(VLOOKUP($B1079,$D:$K,7,0),)),0)*$G1079,2)</f>
        <v>9.67</v>
      </c>
      <c r="K1079" s="514">
        <f t="shared" si="33"/>
        <v>12.91</v>
      </c>
      <c r="L1079" s="515"/>
      <c r="M1079" s="471"/>
      <c r="N1079" s="516"/>
      <c r="Q1079" s="472"/>
      <c r="R1079" s="472"/>
      <c r="S1079" s="472"/>
      <c r="T1079" s="472"/>
      <c r="U1079" s="472"/>
      <c r="V1079" s="472"/>
      <c r="W1079" s="472"/>
      <c r="X1079" s="472"/>
      <c r="Y1079" s="472"/>
    </row>
    <row r="1080" spans="1:25" x14ac:dyDescent="0.25">
      <c r="A1080" s="463"/>
      <c r="B1080" s="506">
        <v>88316</v>
      </c>
      <c r="C1080" s="507"/>
      <c r="D1080" s="508"/>
      <c r="E1080" s="509" t="str">
        <f>IF($C1080="",IFERROR(VLOOKUP($B1080,SERVIÇOS!$B:$G,2,0),IFERROR(VLOOKUP($B1080,$D:$K,2,0),"")),IFERROR(VLOOKUP($C1080,INSUMOS!$A:$D,2,0),IFERROR(VLOOKUP($C1080,COTAÇÕES!$B:$I,2,0),(VLOOKUP($C1080,'INSUMO SINAPI - SP'!$C:$F,2,0)))))</f>
        <v>SERVENTE COM ENCARGOS COMPLEMENTARES</v>
      </c>
      <c r="F1080" s="510" t="str">
        <f>IF($C1080="",IFERROR(VLOOKUP($B1080,SERVIÇOS!$B:$G,3,0),IFERROR(VLOOKUP($B1080,$D:$K,3,0),"")),IFERROR(VLOOKUP($C1080,INSUMOS!$A:$D,3,0),IFERROR(VLOOKUP($C1080,COTAÇÕES!$B:$I,3,0),(VLOOKUP($C1080,'INSUMO SINAPI - SP'!$C:$F,3,0)))))</f>
        <v>H</v>
      </c>
      <c r="G1080" s="511">
        <v>0.7</v>
      </c>
      <c r="H1080" s="512">
        <f>IF($C1080="",IFERROR(VLOOKUP($B1080,SERVIÇOS!$B:$G,6,0),IFERROR(VLOOKUP($B1080,$D:$K,8,0),"")),IFERROR(VLOOKUP($C1080,INSUMOS!$A:$D,4,0),IFERROR(VLOOKUP($C1080,COTAÇÕES!$B:$I,7,0),(VLOOKUP($C1080,'INSUMO SINAPI - SP'!$C:$F,4,0)))))</f>
        <v>28.71</v>
      </c>
      <c r="I1080" s="513">
        <f>TRUNC(IF($C1080="",IFERROR(VLOOKUP($B1080,SERVIÇOS!$B:$G,4,0),IFERROR(VLOOKUP($B1080,$D:$K,6,0),)),IFERROR(VLOOKUP($C1080,INSUMOS!$A:$D,4,0),IFERROR(VLOOKUP($C1080,COTAÇÕES!$B:$I,7,0),(VLOOKUP($C1080,'INSUMO SINAPI - SP'!$C:$F,4,0)))))*$G1080,2)</f>
        <v>6.44</v>
      </c>
      <c r="J1080" s="513">
        <f>TRUNC(IF($C1080="",IFERROR(VLOOKUP($B1080,SERVIÇOS!$B:$G,5,0),IFERROR(VLOOKUP($B1080,$D:$K,7,0),)),0)*$G1080,2)</f>
        <v>13.65</v>
      </c>
      <c r="K1080" s="514">
        <f t="shared" si="33"/>
        <v>20.09</v>
      </c>
      <c r="L1080" s="515"/>
      <c r="M1080" s="471"/>
      <c r="N1080" s="516"/>
      <c r="Q1080" s="472"/>
      <c r="R1080" s="472"/>
      <c r="S1080" s="472"/>
      <c r="T1080" s="472"/>
      <c r="U1080" s="472"/>
      <c r="V1080" s="472"/>
      <c r="W1080" s="472"/>
      <c r="X1080" s="472"/>
      <c r="Y1080" s="472"/>
    </row>
    <row r="1081" spans="1:25" ht="24" x14ac:dyDescent="0.25">
      <c r="A1081" s="463"/>
      <c r="B1081" s="506" t="s">
        <v>11940</v>
      </c>
      <c r="C1081" s="507"/>
      <c r="D1081" s="508"/>
      <c r="E1081" s="509" t="str">
        <f>IF($C1081="",IFERROR(VLOOKUP($B1081,SERVIÇOS!$B:$G,2,0),IFERROR(VLOOKUP($B1081,$D:$K,2,0),"")),IFERROR(VLOOKUP($C1081,INSUMOS!$A:$D,2,0),IFERROR(VLOOKUP($C1081,COTAÇÕES!$B:$I,2,0),(VLOOKUP($C1081,'INSUMO SINAPI - SP'!$C:$F,2,0)))))</f>
        <v>CONCRETO USINADO BOMBEADO FCK=30MPA, BOMBEADO, LANÇADO E ADENSADO EM SUPERESTRUTURA</v>
      </c>
      <c r="F1081" s="510" t="str">
        <f>IF($C1081="",IFERROR(VLOOKUP($B1081,SERVIÇOS!$B:$G,3,0),IFERROR(VLOOKUP($B1081,$D:$K,3,0),"")),IFERROR(VLOOKUP($C1081,INSUMOS!$A:$D,3,0),IFERROR(VLOOKUP($C1081,COTAÇÕES!$B:$I,3,0),(VLOOKUP($C1081,'INSUMO SINAPI - SP'!$C:$F,3,0)))))</f>
        <v>M3</v>
      </c>
      <c r="G1081" s="511">
        <v>4.3999999999999997E-2</v>
      </c>
      <c r="H1081" s="512">
        <f>IF($C1081="",IFERROR(VLOOKUP($B1081,SERVIÇOS!$B:$G,6,0),IFERROR(VLOOKUP($B1081,$D:$K,8,0),"")),IFERROR(VLOOKUP($C1081,INSUMOS!$A:$D,4,0),IFERROR(VLOOKUP($C1081,COTAÇÕES!$B:$I,7,0),(VLOOKUP($C1081,'INSUMO SINAPI - SP'!$C:$F,4,0)))))</f>
        <v>572.80999999999995</v>
      </c>
      <c r="I1081" s="513">
        <f>TRUNC(IF($C1081="",IFERROR(VLOOKUP($B1081,SERVIÇOS!$B:$G,4,0),IFERROR(VLOOKUP($B1081,$D:$K,6,0),)),IFERROR(VLOOKUP($C1081,INSUMOS!$A:$D,4,0),IFERROR(VLOOKUP($C1081,COTAÇÕES!$B:$I,7,0),(VLOOKUP($C1081,'INSUMO SINAPI - SP'!$C:$F,4,0)))))*$G1081,2)</f>
        <v>23.5</v>
      </c>
      <c r="J1081" s="513">
        <f>TRUNC(IF($C1081="",IFERROR(VLOOKUP($B1081,SERVIÇOS!$B:$G,5,0),IFERROR(VLOOKUP($B1081,$D:$K,7,0),)),0)*$G1081,2)</f>
        <v>1.69</v>
      </c>
      <c r="K1081" s="514">
        <f t="shared" si="33"/>
        <v>25.19</v>
      </c>
      <c r="L1081" s="515"/>
      <c r="M1081" s="471"/>
      <c r="N1081" s="516"/>
      <c r="Q1081" s="472"/>
      <c r="R1081" s="472"/>
      <c r="S1081" s="472"/>
      <c r="T1081" s="472"/>
      <c r="U1081" s="472"/>
      <c r="V1081" s="472"/>
      <c r="W1081" s="472"/>
      <c r="X1081" s="472"/>
      <c r="Y1081" s="472"/>
    </row>
    <row r="1082" spans="1:25" x14ac:dyDescent="0.25">
      <c r="A1082" s="463"/>
      <c r="B1082" s="506"/>
      <c r="C1082" s="507" t="s">
        <v>13178</v>
      </c>
      <c r="D1082" s="508"/>
      <c r="E1082" s="518" t="s">
        <v>13179</v>
      </c>
      <c r="F1082" s="519" t="s">
        <v>578</v>
      </c>
      <c r="G1082" s="511">
        <v>1</v>
      </c>
      <c r="H1082" s="520">
        <v>63.43</v>
      </c>
      <c r="I1082" s="520">
        <f>TRUNC(H1082*G1082,2)</f>
        <v>63.43</v>
      </c>
      <c r="J1082" s="521"/>
      <c r="K1082" s="522">
        <f t="shared" si="33"/>
        <v>63.43</v>
      </c>
      <c r="L1082" s="517" t="s">
        <v>12901</v>
      </c>
      <c r="M1082" s="471"/>
      <c r="N1082" s="516"/>
      <c r="Q1082" s="472"/>
      <c r="R1082" s="472"/>
      <c r="S1082" s="472"/>
      <c r="T1082" s="472"/>
      <c r="U1082" s="472"/>
      <c r="V1082" s="472"/>
      <c r="W1082" s="472"/>
      <c r="X1082" s="472"/>
      <c r="Y1082" s="472"/>
    </row>
    <row r="1083" spans="1:25" x14ac:dyDescent="0.25">
      <c r="A1083" s="463"/>
      <c r="B1083" s="506"/>
      <c r="C1083" s="507">
        <v>4491</v>
      </c>
      <c r="D1083" s="508"/>
      <c r="E1083" s="509" t="str">
        <f>IF($C1083="",IFERROR(VLOOKUP($B1083,SERVIÇOS!$B:$G,2,0),IFERROR(VLOOKUP($B1083,$D:$K,2,0),"")),IFERROR(VLOOKUP($C1083,INSUMOS!$A:$D,2,0),IFERROR(VLOOKUP($C1083,COTAÇÕES!$B:$I,2,0),(VLOOKUP($C1083,'INSUMO SINAPI - SP'!$C:$F,2,0)))))</f>
        <v>PONTALETE *7,5 X 7,5* CM EM PINUS, MISTA OU EQUIVALENTE DA REGIAO - BRUTA</v>
      </c>
      <c r="F1083" s="510" t="str">
        <f>IF($C1083="",IFERROR(VLOOKUP($B1083,SERVIÇOS!$B:$G,3,0),IFERROR(VLOOKUP($B1083,$D:$K,3,0),"")),IFERROR(VLOOKUP($C1083,INSUMOS!$A:$D,3,0),IFERROR(VLOOKUP($C1083,COTAÇÕES!$B:$I,3,0),(VLOOKUP($C1083,'INSUMO SINAPI - SP'!$C:$F,3,0)))))</f>
        <v>M</v>
      </c>
      <c r="G1083" s="511">
        <v>1.01</v>
      </c>
      <c r="H1083" s="512">
        <f>IF($C1083="",IFERROR(VLOOKUP($B1083,SERVIÇOS!$B:$G,6,0),IFERROR(VLOOKUP($B1083,$D:$K,8,0),"")),IFERROR(VLOOKUP($C1083,INSUMOS!$A:$D,4,0),IFERROR(VLOOKUP($C1083,COTAÇÕES!$B:$I,7,0),(VLOOKUP($C1083,'INSUMO SINAPI - SP'!$C:$F,4,0)))))</f>
        <v>6.99</v>
      </c>
      <c r="I1083" s="513">
        <f>TRUNC(IF($C1083="",IFERROR(VLOOKUP($B1083,SERVIÇOS!$B:$G,4,0),IFERROR(VLOOKUP($B1083,$D:$K,6,0),)),IFERROR(VLOOKUP($C1083,INSUMOS!$A:$D,4,0),IFERROR(VLOOKUP($C1083,COTAÇÕES!$B:$I,7,0),(VLOOKUP($C1083,'INSUMO SINAPI - SP'!$C:$F,4,0)))))*$G1083,2)</f>
        <v>7.05</v>
      </c>
      <c r="J1083" s="513">
        <f>TRUNC(IF($C1083="",IFERROR(VLOOKUP($B1083,SERVIÇOS!$B:$G,5,0),IFERROR(VLOOKUP($B1083,$D:$K,7,0),)),0)*$G1083,2)</f>
        <v>0</v>
      </c>
      <c r="K1083" s="514">
        <f t="shared" si="33"/>
        <v>7.05</v>
      </c>
      <c r="L1083" s="517"/>
      <c r="M1083" s="471"/>
      <c r="N1083" s="516"/>
      <c r="Q1083" s="472"/>
      <c r="R1083" s="472"/>
      <c r="S1083" s="472"/>
      <c r="T1083" s="472"/>
      <c r="U1083" s="472"/>
      <c r="V1083" s="472"/>
      <c r="W1083" s="472"/>
      <c r="X1083" s="472"/>
      <c r="Y1083" s="472"/>
    </row>
    <row r="1084" spans="1:25" x14ac:dyDescent="0.25">
      <c r="A1084" s="463"/>
      <c r="B1084" s="506"/>
      <c r="C1084" s="507">
        <v>4509</v>
      </c>
      <c r="D1084" s="508"/>
      <c r="E1084" s="509" t="str">
        <f>IF($C1084="",IFERROR(VLOOKUP($B1084,SERVIÇOS!$B:$G,2,0),IFERROR(VLOOKUP($B1084,$D:$K,2,0),"")),IFERROR(VLOOKUP($C1084,INSUMOS!$A:$D,2,0),IFERROR(VLOOKUP($C1084,COTAÇÕES!$B:$I,2,0),(VLOOKUP($C1084,'INSUMO SINAPI - SP'!$C:$F,2,0)))))</f>
        <v>SARRAFO *2,5 X 10* CM EM PINUS, MISTA OU EQUIVALENTE DA REGIAO - BRUTA</v>
      </c>
      <c r="F1084" s="510" t="str">
        <f>IF($C1084="",IFERROR(VLOOKUP($B1084,SERVIÇOS!$B:$G,3,0),IFERROR(VLOOKUP($B1084,$D:$K,3,0),"")),IFERROR(VLOOKUP($C1084,INSUMOS!$A:$D,3,0),IFERROR(VLOOKUP($C1084,COTAÇÕES!$B:$I,3,0),(VLOOKUP($C1084,'INSUMO SINAPI - SP'!$C:$F,3,0)))))</f>
        <v>M</v>
      </c>
      <c r="G1084" s="511">
        <v>0.74</v>
      </c>
      <c r="H1084" s="512">
        <f>IF($C1084="",IFERROR(VLOOKUP($B1084,SERVIÇOS!$B:$G,6,0),IFERROR(VLOOKUP($B1084,$D:$K,8,0),"")),IFERROR(VLOOKUP($C1084,INSUMOS!$A:$D,4,0),IFERROR(VLOOKUP($C1084,COTAÇÕES!$B:$I,7,0),(VLOOKUP($C1084,'INSUMO SINAPI - SP'!$C:$F,4,0)))))</f>
        <v>3.55</v>
      </c>
      <c r="I1084" s="513">
        <f>TRUNC(IF($C1084="",IFERROR(VLOOKUP($B1084,SERVIÇOS!$B:$G,4,0),IFERROR(VLOOKUP($B1084,$D:$K,6,0),)),IFERROR(VLOOKUP($C1084,INSUMOS!$A:$D,4,0),IFERROR(VLOOKUP($C1084,COTAÇÕES!$B:$I,7,0),(VLOOKUP($C1084,'INSUMO SINAPI - SP'!$C:$F,4,0)))))*$G1084,2)</f>
        <v>2.62</v>
      </c>
      <c r="J1084" s="513">
        <f>TRUNC(IF($C1084="",IFERROR(VLOOKUP($B1084,SERVIÇOS!$B:$G,5,0),IFERROR(VLOOKUP($B1084,$D:$K,7,0),)),0)*$G1084,2)</f>
        <v>0</v>
      </c>
      <c r="K1084" s="514">
        <f t="shared" si="33"/>
        <v>2.62</v>
      </c>
      <c r="L1084" s="517"/>
      <c r="M1084" s="471"/>
      <c r="N1084" s="516"/>
      <c r="Q1084" s="472"/>
      <c r="R1084" s="472"/>
      <c r="S1084" s="472"/>
      <c r="T1084" s="472"/>
      <c r="U1084" s="472"/>
      <c r="V1084" s="472"/>
      <c r="W1084" s="472"/>
      <c r="X1084" s="472"/>
      <c r="Y1084" s="472"/>
    </row>
    <row r="1085" spans="1:25" x14ac:dyDescent="0.25">
      <c r="A1085" s="463"/>
      <c r="B1085" s="506"/>
      <c r="C1085" s="507">
        <v>6212</v>
      </c>
      <c r="D1085" s="508"/>
      <c r="E1085" s="509" t="str">
        <f>IF($C1085="",IFERROR(VLOOKUP($B1085,SERVIÇOS!$B:$G,2,0),IFERROR(VLOOKUP($B1085,$D:$K,2,0),"")),IFERROR(VLOOKUP($C1085,INSUMOS!$A:$D,2,0),IFERROR(VLOOKUP($C1085,COTAÇÕES!$B:$I,2,0),(VLOOKUP($C1085,'INSUMO SINAPI - SP'!$C:$F,2,0)))))</f>
        <v>TABUA *2,5 X 30 CM EM PINUS, MISTA OU EQUIVALENTE DA REGIAO - BRUTA</v>
      </c>
      <c r="F1085" s="510" t="str">
        <f>IF($C1085="",IFERROR(VLOOKUP($B1085,SERVIÇOS!$B:$G,3,0),IFERROR(VLOOKUP($B1085,$D:$K,3,0),"")),IFERROR(VLOOKUP($C1085,INSUMOS!$A:$D,3,0),IFERROR(VLOOKUP($C1085,COTAÇÕES!$B:$I,3,0),(VLOOKUP($C1085,'INSUMO SINAPI - SP'!$C:$F,3,0)))))</f>
        <v>M</v>
      </c>
      <c r="G1085" s="511">
        <v>0.18</v>
      </c>
      <c r="H1085" s="512">
        <f>IF($C1085="",IFERROR(VLOOKUP($B1085,SERVIÇOS!$B:$G,6,0),IFERROR(VLOOKUP($B1085,$D:$K,8,0),"")),IFERROR(VLOOKUP($C1085,INSUMOS!$A:$D,4,0),IFERROR(VLOOKUP($C1085,COTAÇÕES!$B:$I,7,0),(VLOOKUP($C1085,'INSUMO SINAPI - SP'!$C:$F,4,0)))))</f>
        <v>11.6</v>
      </c>
      <c r="I1085" s="513">
        <f>TRUNC(IF($C1085="",IFERROR(VLOOKUP($B1085,SERVIÇOS!$B:$G,4,0),IFERROR(VLOOKUP($B1085,$D:$K,6,0),)),IFERROR(VLOOKUP($C1085,INSUMOS!$A:$D,4,0),IFERROR(VLOOKUP($C1085,COTAÇÕES!$B:$I,7,0),(VLOOKUP($C1085,'INSUMO SINAPI - SP'!$C:$F,4,0)))))*$G1085,2)</f>
        <v>2.08</v>
      </c>
      <c r="J1085" s="513">
        <f>TRUNC(IF($C1085="",IFERROR(VLOOKUP($B1085,SERVIÇOS!$B:$G,5,0),IFERROR(VLOOKUP($B1085,$D:$K,7,0),)),0)*$G1085,2)</f>
        <v>0</v>
      </c>
      <c r="K1085" s="514">
        <f t="shared" si="33"/>
        <v>2.08</v>
      </c>
      <c r="L1085" s="517"/>
      <c r="M1085" s="471"/>
      <c r="N1085" s="516"/>
      <c r="Q1085" s="472"/>
      <c r="R1085" s="472"/>
      <c r="S1085" s="472"/>
      <c r="T1085" s="472"/>
      <c r="U1085" s="472"/>
      <c r="V1085" s="472"/>
      <c r="W1085" s="472"/>
      <c r="X1085" s="472"/>
      <c r="Y1085" s="472"/>
    </row>
    <row r="1086" spans="1:25" x14ac:dyDescent="0.25">
      <c r="A1086" s="463"/>
      <c r="B1086" s="506"/>
      <c r="C1086" s="507">
        <v>5061</v>
      </c>
      <c r="D1086" s="508"/>
      <c r="E1086" s="509" t="str">
        <f>IF($C1086="",IFERROR(VLOOKUP($B1086,SERVIÇOS!$B:$G,2,0),IFERROR(VLOOKUP($B1086,$D:$K,2,0),"")),IFERROR(VLOOKUP($C1086,INSUMOS!$A:$D,2,0),IFERROR(VLOOKUP($C1086,COTAÇÕES!$B:$I,2,0),(VLOOKUP($C1086,'INSUMO SINAPI - SP'!$C:$F,2,0)))))</f>
        <v>PREGO DE ACO POLIDO COM CABECA 18 X 27 (2 1/2 X 10)</v>
      </c>
      <c r="F1086" s="510" t="str">
        <f>IF($C1086="",IFERROR(VLOOKUP($B1086,SERVIÇOS!$B:$G,3,0),IFERROR(VLOOKUP($B1086,$D:$K,3,0),"")),IFERROR(VLOOKUP($C1086,INSUMOS!$A:$D,3,0),IFERROR(VLOOKUP($C1086,COTAÇÕES!$B:$I,3,0),(VLOOKUP($C1086,'INSUMO SINAPI - SP'!$C:$F,3,0)))))</f>
        <v>KG</v>
      </c>
      <c r="G1086" s="511">
        <v>0.02</v>
      </c>
      <c r="H1086" s="512">
        <f>IF($C1086="",IFERROR(VLOOKUP($B1086,SERVIÇOS!$B:$G,6,0),IFERROR(VLOOKUP($B1086,$D:$K,8,0),"")),IFERROR(VLOOKUP($C1086,INSUMOS!$A:$D,4,0),IFERROR(VLOOKUP($C1086,COTAÇÕES!$B:$I,7,0),(VLOOKUP($C1086,'INSUMO SINAPI - SP'!$C:$F,4,0)))))</f>
        <v>15.8</v>
      </c>
      <c r="I1086" s="513">
        <f>TRUNC(IF($C1086="",IFERROR(VLOOKUP($B1086,SERVIÇOS!$B:$G,4,0),IFERROR(VLOOKUP($B1086,$D:$K,6,0),)),IFERROR(VLOOKUP($C1086,INSUMOS!$A:$D,4,0),IFERROR(VLOOKUP($C1086,COTAÇÕES!$B:$I,7,0),(VLOOKUP($C1086,'INSUMO SINAPI - SP'!$C:$F,4,0)))))*$G1086,2)</f>
        <v>0.31</v>
      </c>
      <c r="J1086" s="513">
        <f>TRUNC(IF($C1086="",IFERROR(VLOOKUP($B1086,SERVIÇOS!$B:$G,5,0),IFERROR(VLOOKUP($B1086,$D:$K,7,0),)),0)*$G1086,2)</f>
        <v>0</v>
      </c>
      <c r="K1086" s="514">
        <f t="shared" si="33"/>
        <v>0.31</v>
      </c>
      <c r="L1086" s="517"/>
      <c r="M1086" s="471"/>
      <c r="N1086" s="516"/>
      <c r="Q1086" s="472"/>
      <c r="R1086" s="472"/>
      <c r="S1086" s="472"/>
      <c r="T1086" s="472"/>
      <c r="U1086" s="472"/>
      <c r="V1086" s="472"/>
      <c r="W1086" s="472"/>
      <c r="X1086" s="472"/>
      <c r="Y1086" s="472"/>
    </row>
    <row r="1087" spans="1:25" ht="24" x14ac:dyDescent="0.25">
      <c r="A1087" s="463"/>
      <c r="B1087" s="498"/>
      <c r="C1087" s="498"/>
      <c r="D1087" s="499" t="s">
        <v>11946</v>
      </c>
      <c r="E1087" s="500" t="s">
        <v>13180</v>
      </c>
      <c r="F1087" s="501" t="s">
        <v>578</v>
      </c>
      <c r="G1087" s="502"/>
      <c r="H1087" s="503"/>
      <c r="I1087" s="504">
        <f>ROUND(SUM(I1088:I1097),2)</f>
        <v>113.57</v>
      </c>
      <c r="J1087" s="504">
        <f>ROUND(SUM(J1088:J1097),2)</f>
        <v>37.590000000000003</v>
      </c>
      <c r="K1087" s="504">
        <f>+J1087+I1087</f>
        <v>151.16</v>
      </c>
      <c r="L1087" s="523" t="s">
        <v>13181</v>
      </c>
      <c r="M1087" s="471"/>
      <c r="N1087" s="505"/>
      <c r="Q1087" s="472"/>
      <c r="R1087" s="472"/>
      <c r="S1087" s="472"/>
      <c r="T1087" s="472"/>
      <c r="U1087" s="472"/>
      <c r="V1087" s="472"/>
      <c r="W1087" s="472"/>
      <c r="X1087" s="472"/>
      <c r="Y1087" s="472"/>
    </row>
    <row r="1088" spans="1:25" x14ac:dyDescent="0.25">
      <c r="A1088" s="463"/>
      <c r="B1088" s="506">
        <v>88262</v>
      </c>
      <c r="C1088" s="507"/>
      <c r="D1088" s="508"/>
      <c r="E1088" s="509" t="str">
        <f>IF($C1088="",IFERROR(VLOOKUP($B1088,SERVIÇOS!$B:$G,2,0),IFERROR(VLOOKUP($B1088,$D:$K,2,0),"")),IFERROR(VLOOKUP($C1088,INSUMOS!$A:$D,2,0),IFERROR(VLOOKUP($C1088,COTAÇÕES!$B:$I,2,0),(VLOOKUP($C1088,'INSUMO SINAPI - SP'!$C:$F,2,0)))))</f>
        <v>CARPINTEIRO DE FORMAS COM ENCARGOS COMPLEMENTARES</v>
      </c>
      <c r="F1088" s="510" t="str">
        <f>IF($C1088="",IFERROR(VLOOKUP($B1088,SERVIÇOS!$B:$G,3,0),IFERROR(VLOOKUP($B1088,$D:$K,3,0),"")),IFERROR(VLOOKUP($C1088,INSUMOS!$A:$D,3,0),IFERROR(VLOOKUP($C1088,COTAÇÕES!$B:$I,3,0),(VLOOKUP($C1088,'INSUMO SINAPI - SP'!$C:$F,3,0)))))</f>
        <v>H</v>
      </c>
      <c r="G1088" s="511">
        <v>0.22</v>
      </c>
      <c r="H1088" s="512">
        <f>IF($C1088="",IFERROR(VLOOKUP($B1088,SERVIÇOS!$B:$G,6,0),IFERROR(VLOOKUP($B1088,$D:$K,8,0),"")),IFERROR(VLOOKUP($C1088,INSUMOS!$A:$D,4,0),IFERROR(VLOOKUP($C1088,COTAÇÕES!$B:$I,7,0),(VLOOKUP($C1088,'INSUMO SINAPI - SP'!$C:$F,4,0)))))</f>
        <v>36.43</v>
      </c>
      <c r="I1088" s="513">
        <f>TRUNC(IF($C1088="",IFERROR(VLOOKUP($B1088,SERVIÇOS!$B:$G,4,0),IFERROR(VLOOKUP($B1088,$D:$K,6,0),)),IFERROR(VLOOKUP($C1088,INSUMOS!$A:$D,4,0),IFERROR(VLOOKUP($C1088,COTAÇÕES!$B:$I,7,0),(VLOOKUP($C1088,'INSUMO SINAPI - SP'!$C:$F,4,0)))))*$G1088,2)</f>
        <v>1.99</v>
      </c>
      <c r="J1088" s="513">
        <f>TRUNC(IF($C1088="",IFERROR(VLOOKUP($B1088,SERVIÇOS!$B:$G,5,0),IFERROR(VLOOKUP($B1088,$D:$K,7,0),)),0)*$G1088,2)</f>
        <v>6.01</v>
      </c>
      <c r="K1088" s="514">
        <f t="shared" ref="K1088:K1097" si="34">I1088+J1088</f>
        <v>8</v>
      </c>
      <c r="L1088" s="515"/>
      <c r="M1088" s="471"/>
      <c r="N1088" s="516"/>
      <c r="Q1088" s="472"/>
      <c r="R1088" s="472"/>
      <c r="S1088" s="472"/>
      <c r="T1088" s="472"/>
      <c r="U1088" s="472"/>
      <c r="V1088" s="472"/>
      <c r="W1088" s="472"/>
      <c r="X1088" s="472"/>
      <c r="Y1088" s="472"/>
    </row>
    <row r="1089" spans="1:25" x14ac:dyDescent="0.25">
      <c r="A1089" s="463"/>
      <c r="B1089" s="506">
        <v>88239</v>
      </c>
      <c r="C1089" s="507"/>
      <c r="D1089" s="508"/>
      <c r="E1089" s="509" t="str">
        <f>IF($C1089="",IFERROR(VLOOKUP($B1089,SERVIÇOS!$B:$G,2,0),IFERROR(VLOOKUP($B1089,$D:$K,2,0),"")),IFERROR(VLOOKUP($C1089,INSUMOS!$A:$D,2,0),IFERROR(VLOOKUP($C1089,COTAÇÕES!$B:$I,2,0),(VLOOKUP($C1089,'INSUMO SINAPI - SP'!$C:$F,2,0)))))</f>
        <v>AJUDANTE DE CARPINTEIRO COM ENCARGOS COMPLEMENTARES</v>
      </c>
      <c r="F1089" s="510" t="str">
        <f>IF($C1089="",IFERROR(VLOOKUP($B1089,SERVIÇOS!$B:$G,3,0),IFERROR(VLOOKUP($B1089,$D:$K,3,0),"")),IFERROR(VLOOKUP($C1089,INSUMOS!$A:$D,3,0),IFERROR(VLOOKUP($C1089,COTAÇÕES!$B:$I,3,0),(VLOOKUP($C1089,'INSUMO SINAPI - SP'!$C:$F,3,0)))))</f>
        <v>H</v>
      </c>
      <c r="G1089" s="511">
        <v>0.22</v>
      </c>
      <c r="H1089" s="512">
        <f>IF($C1089="",IFERROR(VLOOKUP($B1089,SERVIÇOS!$B:$G,6,0),IFERROR(VLOOKUP($B1089,$D:$K,8,0),"")),IFERROR(VLOOKUP($C1089,INSUMOS!$A:$D,4,0),IFERROR(VLOOKUP($C1089,COTAÇÕES!$B:$I,7,0),(VLOOKUP($C1089,'INSUMO SINAPI - SP'!$C:$F,4,0)))))</f>
        <v>30.08</v>
      </c>
      <c r="I1089" s="513">
        <f>TRUNC(IF($C1089="",IFERROR(VLOOKUP($B1089,SERVIÇOS!$B:$G,4,0),IFERROR(VLOOKUP($B1089,$D:$K,6,0),)),IFERROR(VLOOKUP($C1089,INSUMOS!$A:$D,4,0),IFERROR(VLOOKUP($C1089,COTAÇÕES!$B:$I,7,0),(VLOOKUP($C1089,'INSUMO SINAPI - SP'!$C:$F,4,0)))))*$G1089,2)</f>
        <v>1.99</v>
      </c>
      <c r="J1089" s="513">
        <f>TRUNC(IF($C1089="",IFERROR(VLOOKUP($B1089,SERVIÇOS!$B:$G,5,0),IFERROR(VLOOKUP($B1089,$D:$K,7,0),)),0)*$G1089,2)</f>
        <v>4.62</v>
      </c>
      <c r="K1089" s="514">
        <f t="shared" si="34"/>
        <v>6.61</v>
      </c>
      <c r="L1089" s="515"/>
      <c r="M1089" s="471"/>
      <c r="N1089" s="516"/>
      <c r="Q1089" s="472"/>
      <c r="R1089" s="472"/>
      <c r="S1089" s="472"/>
      <c r="T1089" s="472"/>
      <c r="U1089" s="472"/>
      <c r="V1089" s="472"/>
      <c r="W1089" s="472"/>
      <c r="X1089" s="472"/>
      <c r="Y1089" s="472"/>
    </row>
    <row r="1090" spans="1:25" x14ac:dyDescent="0.25">
      <c r="A1090" s="463"/>
      <c r="B1090" s="506">
        <v>88309</v>
      </c>
      <c r="C1090" s="507"/>
      <c r="D1090" s="508"/>
      <c r="E1090" s="509" t="str">
        <f>IF($C1090="",IFERROR(VLOOKUP($B1090,SERVIÇOS!$B:$G,2,0),IFERROR(VLOOKUP($B1090,$D:$K,2,0),"")),IFERROR(VLOOKUP($C1090,INSUMOS!$A:$D,2,0),IFERROR(VLOOKUP($C1090,COTAÇÕES!$B:$I,2,0),(VLOOKUP($C1090,'INSUMO SINAPI - SP'!$C:$F,2,0)))))</f>
        <v>PEDREIRO COM ENCARGOS COMPLEMENTARES</v>
      </c>
      <c r="F1090" s="510" t="str">
        <f>IF($C1090="",IFERROR(VLOOKUP($B1090,SERVIÇOS!$B:$G,3,0),IFERROR(VLOOKUP($B1090,$D:$K,3,0),"")),IFERROR(VLOOKUP($C1090,INSUMOS!$A:$D,3,0),IFERROR(VLOOKUP($C1090,COTAÇÕES!$B:$I,3,0),(VLOOKUP($C1090,'INSUMO SINAPI - SP'!$C:$F,3,0)))))</f>
        <v>H</v>
      </c>
      <c r="G1090" s="511">
        <v>0.35</v>
      </c>
      <c r="H1090" s="512">
        <f>IF($C1090="",IFERROR(VLOOKUP($B1090,SERVIÇOS!$B:$G,6,0),IFERROR(VLOOKUP($B1090,$D:$K,8,0),"")),IFERROR(VLOOKUP($C1090,INSUMOS!$A:$D,4,0),IFERROR(VLOOKUP($C1090,COTAÇÕES!$B:$I,7,0),(VLOOKUP($C1090,'INSUMO SINAPI - SP'!$C:$F,4,0)))))</f>
        <v>36.909999999999997</v>
      </c>
      <c r="I1090" s="513">
        <f>TRUNC(IF($C1090="",IFERROR(VLOOKUP($B1090,SERVIÇOS!$B:$G,4,0),IFERROR(VLOOKUP($B1090,$D:$K,6,0),)),IFERROR(VLOOKUP($C1090,INSUMOS!$A:$D,4,0),IFERROR(VLOOKUP($C1090,COTAÇÕES!$B:$I,7,0),(VLOOKUP($C1090,'INSUMO SINAPI - SP'!$C:$F,4,0)))))*$G1090,2)</f>
        <v>3.24</v>
      </c>
      <c r="J1090" s="513">
        <f>TRUNC(IF($C1090="",IFERROR(VLOOKUP($B1090,SERVIÇOS!$B:$G,5,0),IFERROR(VLOOKUP($B1090,$D:$K,7,0),)),0)*$G1090,2)</f>
        <v>9.67</v>
      </c>
      <c r="K1090" s="514">
        <f t="shared" si="34"/>
        <v>12.91</v>
      </c>
      <c r="L1090" s="515"/>
      <c r="M1090" s="471"/>
      <c r="N1090" s="516"/>
      <c r="Q1090" s="472"/>
      <c r="R1090" s="472"/>
      <c r="S1090" s="472"/>
      <c r="T1090" s="472"/>
      <c r="U1090" s="472"/>
      <c r="V1090" s="472"/>
      <c r="W1090" s="472"/>
      <c r="X1090" s="472"/>
      <c r="Y1090" s="472"/>
    </row>
    <row r="1091" spans="1:25" x14ac:dyDescent="0.25">
      <c r="A1091" s="463"/>
      <c r="B1091" s="506">
        <v>88316</v>
      </c>
      <c r="C1091" s="507"/>
      <c r="D1091" s="508"/>
      <c r="E1091" s="509" t="str">
        <f>IF($C1091="",IFERROR(VLOOKUP($B1091,SERVIÇOS!$B:$G,2,0),IFERROR(VLOOKUP($B1091,$D:$K,2,0),"")),IFERROR(VLOOKUP($C1091,INSUMOS!$A:$D,2,0),IFERROR(VLOOKUP($C1091,COTAÇÕES!$B:$I,2,0),(VLOOKUP($C1091,'INSUMO SINAPI - SP'!$C:$F,2,0)))))</f>
        <v>SERVENTE COM ENCARGOS COMPLEMENTARES</v>
      </c>
      <c r="F1091" s="510" t="str">
        <f>IF($C1091="",IFERROR(VLOOKUP($B1091,SERVIÇOS!$B:$G,3,0),IFERROR(VLOOKUP($B1091,$D:$K,3,0),"")),IFERROR(VLOOKUP($C1091,INSUMOS!$A:$D,3,0),IFERROR(VLOOKUP($C1091,COTAÇÕES!$B:$I,3,0),(VLOOKUP($C1091,'INSUMO SINAPI - SP'!$C:$F,3,0)))))</f>
        <v>H</v>
      </c>
      <c r="G1091" s="511">
        <v>0.8</v>
      </c>
      <c r="H1091" s="512">
        <f>IF($C1091="",IFERROR(VLOOKUP($B1091,SERVIÇOS!$B:$G,6,0),IFERROR(VLOOKUP($B1091,$D:$K,8,0),"")),IFERROR(VLOOKUP($C1091,INSUMOS!$A:$D,4,0),IFERROR(VLOOKUP($C1091,COTAÇÕES!$B:$I,7,0),(VLOOKUP($C1091,'INSUMO SINAPI - SP'!$C:$F,4,0)))))</f>
        <v>28.71</v>
      </c>
      <c r="I1091" s="513">
        <f>TRUNC(IF($C1091="",IFERROR(VLOOKUP($B1091,SERVIÇOS!$B:$G,4,0),IFERROR(VLOOKUP($B1091,$D:$K,6,0),)),IFERROR(VLOOKUP($C1091,INSUMOS!$A:$D,4,0),IFERROR(VLOOKUP($C1091,COTAÇÕES!$B:$I,7,0),(VLOOKUP($C1091,'INSUMO SINAPI - SP'!$C:$F,4,0)))))*$G1091,2)</f>
        <v>7.36</v>
      </c>
      <c r="J1091" s="513">
        <f>TRUNC(IF($C1091="",IFERROR(VLOOKUP($B1091,SERVIÇOS!$B:$G,5,0),IFERROR(VLOOKUP($B1091,$D:$K,7,0),)),0)*$G1091,2)</f>
        <v>15.6</v>
      </c>
      <c r="K1091" s="514">
        <f t="shared" si="34"/>
        <v>22.96</v>
      </c>
      <c r="L1091" s="515"/>
      <c r="M1091" s="471"/>
      <c r="N1091" s="516"/>
      <c r="Q1091" s="472"/>
      <c r="R1091" s="472"/>
      <c r="S1091" s="472"/>
      <c r="T1091" s="472"/>
      <c r="U1091" s="472"/>
      <c r="V1091" s="472"/>
      <c r="W1091" s="472"/>
      <c r="X1091" s="472"/>
      <c r="Y1091" s="472"/>
    </row>
    <row r="1092" spans="1:25" ht="24" x14ac:dyDescent="0.25">
      <c r="A1092" s="463"/>
      <c r="B1092" s="506" t="s">
        <v>11940</v>
      </c>
      <c r="C1092" s="507"/>
      <c r="D1092" s="508"/>
      <c r="E1092" s="509" t="str">
        <f>IF($C1092="",IFERROR(VLOOKUP($B1092,SERVIÇOS!$B:$G,2,0),IFERROR(VLOOKUP($B1092,$D:$K,2,0),"")),IFERROR(VLOOKUP($C1092,INSUMOS!$A:$D,2,0),IFERROR(VLOOKUP($C1092,COTAÇÕES!$B:$I,2,0),(VLOOKUP($C1092,'INSUMO SINAPI - SP'!$C:$F,2,0)))))</f>
        <v>CONCRETO USINADO BOMBEADO FCK=30MPA, BOMBEADO, LANÇADO E ADENSADO EM SUPERESTRUTURA</v>
      </c>
      <c r="F1092" s="510" t="str">
        <f>IF($C1092="",IFERROR(VLOOKUP($B1092,SERVIÇOS!$B:$G,3,0),IFERROR(VLOOKUP($B1092,$D:$K,3,0),"")),IFERROR(VLOOKUP($C1092,INSUMOS!$A:$D,3,0),IFERROR(VLOOKUP($C1092,COTAÇÕES!$B:$I,3,0),(VLOOKUP($C1092,'INSUMO SINAPI - SP'!$C:$F,3,0)))))</f>
        <v>M3</v>
      </c>
      <c r="G1092" s="511">
        <v>4.3999999999999997E-2</v>
      </c>
      <c r="H1092" s="512">
        <f>IF($C1092="",IFERROR(VLOOKUP($B1092,SERVIÇOS!$B:$G,6,0),IFERROR(VLOOKUP($B1092,$D:$K,8,0),"")),IFERROR(VLOOKUP($C1092,INSUMOS!$A:$D,4,0),IFERROR(VLOOKUP($C1092,COTAÇÕES!$B:$I,7,0),(VLOOKUP($C1092,'INSUMO SINAPI - SP'!$C:$F,4,0)))))</f>
        <v>572.80999999999995</v>
      </c>
      <c r="I1092" s="513">
        <f>TRUNC(IF($C1092="",IFERROR(VLOOKUP($B1092,SERVIÇOS!$B:$G,4,0),IFERROR(VLOOKUP($B1092,$D:$K,6,0),)),IFERROR(VLOOKUP($C1092,INSUMOS!$A:$D,4,0),IFERROR(VLOOKUP($C1092,COTAÇÕES!$B:$I,7,0),(VLOOKUP($C1092,'INSUMO SINAPI - SP'!$C:$F,4,0)))))*$G1092,2)</f>
        <v>23.5</v>
      </c>
      <c r="J1092" s="513">
        <f>TRUNC(IF($C1092="",IFERROR(VLOOKUP($B1092,SERVIÇOS!$B:$G,5,0),IFERROR(VLOOKUP($B1092,$D:$K,7,0),)),0)*$G1092,2)</f>
        <v>1.69</v>
      </c>
      <c r="K1092" s="514">
        <f t="shared" si="34"/>
        <v>25.19</v>
      </c>
      <c r="L1092" s="515"/>
      <c r="M1092" s="471"/>
      <c r="N1092" s="516"/>
      <c r="Q1092" s="472"/>
      <c r="R1092" s="472"/>
      <c r="S1092" s="472"/>
      <c r="T1092" s="472"/>
      <c r="U1092" s="472"/>
      <c r="V1092" s="472"/>
      <c r="W1092" s="472"/>
      <c r="X1092" s="472"/>
      <c r="Y1092" s="472"/>
    </row>
    <row r="1093" spans="1:25" x14ac:dyDescent="0.25">
      <c r="A1093" s="463"/>
      <c r="B1093" s="506"/>
      <c r="C1093" s="507" t="s">
        <v>13178</v>
      </c>
      <c r="D1093" s="508"/>
      <c r="E1093" s="518" t="s">
        <v>13179</v>
      </c>
      <c r="F1093" s="519" t="s">
        <v>578</v>
      </c>
      <c r="G1093" s="511">
        <v>1</v>
      </c>
      <c r="H1093" s="520">
        <v>63.43</v>
      </c>
      <c r="I1093" s="520">
        <f>TRUNC(H1093*G1093,2)</f>
        <v>63.43</v>
      </c>
      <c r="J1093" s="521"/>
      <c r="K1093" s="522">
        <f t="shared" si="34"/>
        <v>63.43</v>
      </c>
      <c r="L1093" s="517" t="s">
        <v>12901</v>
      </c>
      <c r="M1093" s="471"/>
      <c r="N1093" s="516"/>
      <c r="Q1093" s="472"/>
      <c r="R1093" s="472"/>
      <c r="S1093" s="472"/>
      <c r="T1093" s="472"/>
      <c r="U1093" s="472"/>
      <c r="V1093" s="472"/>
      <c r="W1093" s="472"/>
      <c r="X1093" s="472"/>
      <c r="Y1093" s="472"/>
    </row>
    <row r="1094" spans="1:25" x14ac:dyDescent="0.25">
      <c r="A1094" s="463"/>
      <c r="B1094" s="506"/>
      <c r="C1094" s="507">
        <v>4491</v>
      </c>
      <c r="D1094" s="508"/>
      <c r="E1094" s="509" t="str">
        <f>IF($C1094="",IFERROR(VLOOKUP($B1094,SERVIÇOS!$B:$G,2,0),IFERROR(VLOOKUP($B1094,$D:$K,2,0),"")),IFERROR(VLOOKUP($C1094,INSUMOS!$A:$D,2,0),IFERROR(VLOOKUP($C1094,COTAÇÕES!$B:$I,2,0),(VLOOKUP($C1094,'INSUMO SINAPI - SP'!$C:$F,2,0)))))</f>
        <v>PONTALETE *7,5 X 7,5* CM EM PINUS, MISTA OU EQUIVALENTE DA REGIAO - BRUTA</v>
      </c>
      <c r="F1094" s="510" t="str">
        <f>IF($C1094="",IFERROR(VLOOKUP($B1094,SERVIÇOS!$B:$G,3,0),IFERROR(VLOOKUP($B1094,$D:$K,3,0),"")),IFERROR(VLOOKUP($C1094,INSUMOS!$A:$D,3,0),IFERROR(VLOOKUP($C1094,COTAÇÕES!$B:$I,3,0),(VLOOKUP($C1094,'INSUMO SINAPI - SP'!$C:$F,3,0)))))</f>
        <v>M</v>
      </c>
      <c r="G1094" s="511">
        <v>1.01</v>
      </c>
      <c r="H1094" s="512">
        <f>IF($C1094="",IFERROR(VLOOKUP($B1094,SERVIÇOS!$B:$G,6,0),IFERROR(VLOOKUP($B1094,$D:$K,8,0),"")),IFERROR(VLOOKUP($C1094,INSUMOS!$A:$D,4,0),IFERROR(VLOOKUP($C1094,COTAÇÕES!$B:$I,7,0),(VLOOKUP($C1094,'INSUMO SINAPI - SP'!$C:$F,4,0)))))</f>
        <v>6.99</v>
      </c>
      <c r="I1094" s="513">
        <f>TRUNC(IF($C1094="",IFERROR(VLOOKUP($B1094,SERVIÇOS!$B:$G,4,0),IFERROR(VLOOKUP($B1094,$D:$K,6,0),)),IFERROR(VLOOKUP($C1094,INSUMOS!$A:$D,4,0),IFERROR(VLOOKUP($C1094,COTAÇÕES!$B:$I,7,0),(VLOOKUP($C1094,'INSUMO SINAPI - SP'!$C:$F,4,0)))))*$G1094,2)</f>
        <v>7.05</v>
      </c>
      <c r="J1094" s="513">
        <f>TRUNC(IF($C1094="",IFERROR(VLOOKUP($B1094,SERVIÇOS!$B:$G,5,0),IFERROR(VLOOKUP($B1094,$D:$K,7,0),)),0)*$G1094,2)</f>
        <v>0</v>
      </c>
      <c r="K1094" s="514">
        <f t="shared" si="34"/>
        <v>7.05</v>
      </c>
      <c r="L1094" s="517"/>
      <c r="M1094" s="471"/>
      <c r="N1094" s="516"/>
      <c r="Q1094" s="472"/>
      <c r="R1094" s="472"/>
      <c r="S1094" s="472"/>
      <c r="T1094" s="472"/>
      <c r="U1094" s="472"/>
      <c r="V1094" s="472"/>
      <c r="W1094" s="472"/>
      <c r="X1094" s="472"/>
      <c r="Y1094" s="472"/>
    </row>
    <row r="1095" spans="1:25" x14ac:dyDescent="0.25">
      <c r="A1095" s="463"/>
      <c r="B1095" s="506"/>
      <c r="C1095" s="507">
        <v>4509</v>
      </c>
      <c r="D1095" s="508"/>
      <c r="E1095" s="509" t="str">
        <f>IF($C1095="",IFERROR(VLOOKUP($B1095,SERVIÇOS!$B:$G,2,0),IFERROR(VLOOKUP($B1095,$D:$K,2,0),"")),IFERROR(VLOOKUP($C1095,INSUMOS!$A:$D,2,0),IFERROR(VLOOKUP($C1095,COTAÇÕES!$B:$I,2,0),(VLOOKUP($C1095,'INSUMO SINAPI - SP'!$C:$F,2,0)))))</f>
        <v>SARRAFO *2,5 X 10* CM EM PINUS, MISTA OU EQUIVALENTE DA REGIAO - BRUTA</v>
      </c>
      <c r="F1095" s="510" t="str">
        <f>IF($C1095="",IFERROR(VLOOKUP($B1095,SERVIÇOS!$B:$G,3,0),IFERROR(VLOOKUP($B1095,$D:$K,3,0),"")),IFERROR(VLOOKUP($C1095,INSUMOS!$A:$D,3,0),IFERROR(VLOOKUP($C1095,COTAÇÕES!$B:$I,3,0),(VLOOKUP($C1095,'INSUMO SINAPI - SP'!$C:$F,3,0)))))</f>
        <v>M</v>
      </c>
      <c r="G1095" s="511">
        <v>0.74</v>
      </c>
      <c r="H1095" s="512">
        <f>IF($C1095="",IFERROR(VLOOKUP($B1095,SERVIÇOS!$B:$G,6,0),IFERROR(VLOOKUP($B1095,$D:$K,8,0),"")),IFERROR(VLOOKUP($C1095,INSUMOS!$A:$D,4,0),IFERROR(VLOOKUP($C1095,COTAÇÕES!$B:$I,7,0),(VLOOKUP($C1095,'INSUMO SINAPI - SP'!$C:$F,4,0)))))</f>
        <v>3.55</v>
      </c>
      <c r="I1095" s="513">
        <f>TRUNC(IF($C1095="",IFERROR(VLOOKUP($B1095,SERVIÇOS!$B:$G,4,0),IFERROR(VLOOKUP($B1095,$D:$K,6,0),)),IFERROR(VLOOKUP($C1095,INSUMOS!$A:$D,4,0),IFERROR(VLOOKUP($C1095,COTAÇÕES!$B:$I,7,0),(VLOOKUP($C1095,'INSUMO SINAPI - SP'!$C:$F,4,0)))))*$G1095,2)</f>
        <v>2.62</v>
      </c>
      <c r="J1095" s="513">
        <f>TRUNC(IF($C1095="",IFERROR(VLOOKUP($B1095,SERVIÇOS!$B:$G,5,0),IFERROR(VLOOKUP($B1095,$D:$K,7,0),)),0)*$G1095,2)</f>
        <v>0</v>
      </c>
      <c r="K1095" s="514">
        <f t="shared" si="34"/>
        <v>2.62</v>
      </c>
      <c r="L1095" s="517"/>
      <c r="M1095" s="471"/>
      <c r="N1095" s="516"/>
      <c r="Q1095" s="472"/>
      <c r="R1095" s="472"/>
      <c r="S1095" s="472"/>
      <c r="T1095" s="472"/>
      <c r="U1095" s="472"/>
      <c r="V1095" s="472"/>
      <c r="W1095" s="472"/>
      <c r="X1095" s="472"/>
      <c r="Y1095" s="472"/>
    </row>
    <row r="1096" spans="1:25" x14ac:dyDescent="0.25">
      <c r="A1096" s="463"/>
      <c r="B1096" s="506"/>
      <c r="C1096" s="507">
        <v>6212</v>
      </c>
      <c r="D1096" s="508"/>
      <c r="E1096" s="509" t="str">
        <f>IF($C1096="",IFERROR(VLOOKUP($B1096,SERVIÇOS!$B:$G,2,0),IFERROR(VLOOKUP($B1096,$D:$K,2,0),"")),IFERROR(VLOOKUP($C1096,INSUMOS!$A:$D,2,0),IFERROR(VLOOKUP($C1096,COTAÇÕES!$B:$I,2,0),(VLOOKUP($C1096,'INSUMO SINAPI - SP'!$C:$F,2,0)))))</f>
        <v>TABUA *2,5 X 30 CM EM PINUS, MISTA OU EQUIVALENTE DA REGIAO - BRUTA</v>
      </c>
      <c r="F1096" s="510" t="str">
        <f>IF($C1096="",IFERROR(VLOOKUP($B1096,SERVIÇOS!$B:$G,3,0),IFERROR(VLOOKUP($B1096,$D:$K,3,0),"")),IFERROR(VLOOKUP($C1096,INSUMOS!$A:$D,3,0),IFERROR(VLOOKUP($C1096,COTAÇÕES!$B:$I,3,0),(VLOOKUP($C1096,'INSUMO SINAPI - SP'!$C:$F,3,0)))))</f>
        <v>M</v>
      </c>
      <c r="G1096" s="511">
        <v>0.18</v>
      </c>
      <c r="H1096" s="512">
        <f>IF($C1096="",IFERROR(VLOOKUP($B1096,SERVIÇOS!$B:$G,6,0),IFERROR(VLOOKUP($B1096,$D:$K,8,0),"")),IFERROR(VLOOKUP($C1096,INSUMOS!$A:$D,4,0),IFERROR(VLOOKUP($C1096,COTAÇÕES!$B:$I,7,0),(VLOOKUP($C1096,'INSUMO SINAPI - SP'!$C:$F,4,0)))))</f>
        <v>11.6</v>
      </c>
      <c r="I1096" s="513">
        <f>TRUNC(IF($C1096="",IFERROR(VLOOKUP($B1096,SERVIÇOS!$B:$G,4,0),IFERROR(VLOOKUP($B1096,$D:$K,6,0),)),IFERROR(VLOOKUP($C1096,INSUMOS!$A:$D,4,0),IFERROR(VLOOKUP($C1096,COTAÇÕES!$B:$I,7,0),(VLOOKUP($C1096,'INSUMO SINAPI - SP'!$C:$F,4,0)))))*$G1096,2)</f>
        <v>2.08</v>
      </c>
      <c r="J1096" s="513">
        <f>TRUNC(IF($C1096="",IFERROR(VLOOKUP($B1096,SERVIÇOS!$B:$G,5,0),IFERROR(VLOOKUP($B1096,$D:$K,7,0),)),0)*$G1096,2)</f>
        <v>0</v>
      </c>
      <c r="K1096" s="514">
        <f t="shared" si="34"/>
        <v>2.08</v>
      </c>
      <c r="L1096" s="517"/>
      <c r="M1096" s="471"/>
      <c r="N1096" s="516"/>
      <c r="Q1096" s="472"/>
      <c r="R1096" s="472"/>
      <c r="S1096" s="472"/>
      <c r="T1096" s="472"/>
      <c r="U1096" s="472"/>
      <c r="V1096" s="472"/>
      <c r="W1096" s="472"/>
      <c r="X1096" s="472"/>
      <c r="Y1096" s="472"/>
    </row>
    <row r="1097" spans="1:25" x14ac:dyDescent="0.25">
      <c r="A1097" s="463"/>
      <c r="B1097" s="506"/>
      <c r="C1097" s="507">
        <v>5061</v>
      </c>
      <c r="D1097" s="508"/>
      <c r="E1097" s="509" t="str">
        <f>IF($C1097="",IFERROR(VLOOKUP($B1097,SERVIÇOS!$B:$G,2,0),IFERROR(VLOOKUP($B1097,$D:$K,2,0),"")),IFERROR(VLOOKUP($C1097,INSUMOS!$A:$D,2,0),IFERROR(VLOOKUP($C1097,COTAÇÕES!$B:$I,2,0),(VLOOKUP($C1097,'INSUMO SINAPI - SP'!$C:$F,2,0)))))</f>
        <v>PREGO DE ACO POLIDO COM CABECA 18 X 27 (2 1/2 X 10)</v>
      </c>
      <c r="F1097" s="510" t="str">
        <f>IF($C1097="",IFERROR(VLOOKUP($B1097,SERVIÇOS!$B:$G,3,0),IFERROR(VLOOKUP($B1097,$D:$K,3,0),"")),IFERROR(VLOOKUP($C1097,INSUMOS!$A:$D,3,0),IFERROR(VLOOKUP($C1097,COTAÇÕES!$B:$I,3,0),(VLOOKUP($C1097,'INSUMO SINAPI - SP'!$C:$F,3,0)))))</f>
        <v>KG</v>
      </c>
      <c r="G1097" s="511">
        <v>0.02</v>
      </c>
      <c r="H1097" s="512">
        <f>IF($C1097="",IFERROR(VLOOKUP($B1097,SERVIÇOS!$B:$G,6,0),IFERROR(VLOOKUP($B1097,$D:$K,8,0),"")),IFERROR(VLOOKUP($C1097,INSUMOS!$A:$D,4,0),IFERROR(VLOOKUP($C1097,COTAÇÕES!$B:$I,7,0),(VLOOKUP($C1097,'INSUMO SINAPI - SP'!$C:$F,4,0)))))</f>
        <v>15.8</v>
      </c>
      <c r="I1097" s="513">
        <f>TRUNC(IF($C1097="",IFERROR(VLOOKUP($B1097,SERVIÇOS!$B:$G,4,0),IFERROR(VLOOKUP($B1097,$D:$K,6,0),)),IFERROR(VLOOKUP($C1097,INSUMOS!$A:$D,4,0),IFERROR(VLOOKUP($C1097,COTAÇÕES!$B:$I,7,0),(VLOOKUP($C1097,'INSUMO SINAPI - SP'!$C:$F,4,0)))))*$G1097,2)</f>
        <v>0.31</v>
      </c>
      <c r="J1097" s="513">
        <f>TRUNC(IF($C1097="",IFERROR(VLOOKUP($B1097,SERVIÇOS!$B:$G,5,0),IFERROR(VLOOKUP($B1097,$D:$K,7,0),)),0)*$G1097,2)</f>
        <v>0</v>
      </c>
      <c r="K1097" s="514">
        <f t="shared" si="34"/>
        <v>0.31</v>
      </c>
      <c r="L1097" s="517"/>
      <c r="M1097" s="471"/>
      <c r="N1097" s="516"/>
      <c r="Q1097" s="472"/>
      <c r="R1097" s="472"/>
      <c r="S1097" s="472"/>
      <c r="T1097" s="472"/>
      <c r="U1097" s="472"/>
      <c r="V1097" s="472"/>
      <c r="W1097" s="472"/>
      <c r="X1097" s="472"/>
      <c r="Y1097" s="472"/>
    </row>
    <row r="1098" spans="1:25" ht="24" x14ac:dyDescent="0.25">
      <c r="A1098" s="463"/>
      <c r="B1098" s="526"/>
      <c r="C1098" s="527"/>
      <c r="D1098" s="499" t="s">
        <v>12043</v>
      </c>
      <c r="E1098" s="500" t="s">
        <v>13182</v>
      </c>
      <c r="F1098" s="501" t="s">
        <v>578</v>
      </c>
      <c r="G1098" s="528"/>
      <c r="H1098" s="503"/>
      <c r="I1098" s="504">
        <f>ROUND(SUM(I1099:I1103),2)</f>
        <v>818.66</v>
      </c>
      <c r="J1098" s="504">
        <f>ROUND(SUM(J1099:J1103),2)</f>
        <v>66.650000000000006</v>
      </c>
      <c r="K1098" s="504">
        <f>+J1098+I1098</f>
        <v>885.31</v>
      </c>
      <c r="L1098" s="499" t="s">
        <v>13183</v>
      </c>
      <c r="M1098" s="471"/>
      <c r="N1098" s="505"/>
      <c r="Q1098" s="472"/>
      <c r="R1098" s="472"/>
      <c r="S1098" s="472"/>
      <c r="T1098" s="472"/>
      <c r="U1098" s="472"/>
      <c r="V1098" s="472"/>
      <c r="W1098" s="472"/>
      <c r="X1098" s="472"/>
      <c r="Y1098" s="472"/>
    </row>
    <row r="1099" spans="1:25" x14ac:dyDescent="0.25">
      <c r="A1099" s="463"/>
      <c r="B1099" s="506">
        <v>88309</v>
      </c>
      <c r="C1099" s="507"/>
      <c r="D1099" s="508"/>
      <c r="E1099" s="509" t="str">
        <f>IF($C1099="",IFERROR(VLOOKUP($B1099,SERVIÇOS!$B:$G,2,0),IFERROR(VLOOKUP($B1099,$D:$K,2,0),"")),IFERROR(VLOOKUP($C1099,INSUMOS!$A:$D,2,0),IFERROR(VLOOKUP($C1099,COTAÇÕES!$B:$I,2,0),(VLOOKUP($C1099,'INSUMO SINAPI - SP'!$C:$F,2,0)))))</f>
        <v>PEDREIRO COM ENCARGOS COMPLEMENTARES</v>
      </c>
      <c r="F1099" s="510" t="str">
        <f>IF($C1099="",IFERROR(VLOOKUP($B1099,SERVIÇOS!$B:$G,3,0),IFERROR(VLOOKUP($B1099,$D:$K,3,0),"")),IFERROR(VLOOKUP($C1099,INSUMOS!$A:$D,3,0),IFERROR(VLOOKUP($C1099,COTAÇÕES!$B:$I,3,0),(VLOOKUP($C1099,'INSUMO SINAPI - SP'!$C:$F,3,0)))))</f>
        <v>H</v>
      </c>
      <c r="G1099" s="511">
        <v>1</v>
      </c>
      <c r="H1099" s="512">
        <f>IF($C1099="",IFERROR(VLOOKUP($B1099,SERVIÇOS!$B:$G,6,0),IFERROR(VLOOKUP($B1099,$D:$K,8,0),"")),IFERROR(VLOOKUP($C1099,INSUMOS!$A:$D,4,0),IFERROR(VLOOKUP($C1099,COTAÇÕES!$B:$I,7,0),(VLOOKUP($C1099,'INSUMO SINAPI - SP'!$C:$F,4,0)))))</f>
        <v>36.909999999999997</v>
      </c>
      <c r="I1099" s="513">
        <f>TRUNC(IF($C1099="",IFERROR(VLOOKUP($B1099,SERVIÇOS!$B:$G,4,0),IFERROR(VLOOKUP($B1099,$D:$K,6,0),)),IFERROR(VLOOKUP($C1099,INSUMOS!$A:$D,4,0),IFERROR(VLOOKUP($C1099,COTAÇÕES!$B:$I,7,0),(VLOOKUP($C1099,'INSUMO SINAPI - SP'!$C:$F,4,0)))))*$G1099,2)</f>
        <v>9.2799999999999994</v>
      </c>
      <c r="J1099" s="513">
        <f>TRUNC(IF($C1099="",IFERROR(VLOOKUP($B1099,SERVIÇOS!$B:$G,5,0),IFERROR(VLOOKUP($B1099,$D:$K,7,0),)),0)*$G1099,2)</f>
        <v>27.63</v>
      </c>
      <c r="K1099" s="514">
        <f>I1099+J1099</f>
        <v>36.909999999999997</v>
      </c>
      <c r="L1099" s="515"/>
      <c r="M1099" s="471"/>
      <c r="N1099" s="516"/>
      <c r="Q1099" s="472"/>
      <c r="R1099" s="472"/>
      <c r="S1099" s="472"/>
      <c r="T1099" s="472"/>
      <c r="U1099" s="472"/>
      <c r="V1099" s="472"/>
      <c r="W1099" s="472"/>
      <c r="X1099" s="472"/>
      <c r="Y1099" s="472"/>
    </row>
    <row r="1100" spans="1:25" x14ac:dyDescent="0.25">
      <c r="A1100" s="463"/>
      <c r="B1100" s="506">
        <v>88316</v>
      </c>
      <c r="C1100" s="507"/>
      <c r="D1100" s="508"/>
      <c r="E1100" s="509" t="str">
        <f>IF($C1100="",IFERROR(VLOOKUP($B1100,SERVIÇOS!$B:$G,2,0),IFERROR(VLOOKUP($B1100,$D:$K,2,0),"")),IFERROR(VLOOKUP($C1100,INSUMOS!$A:$D,2,0),IFERROR(VLOOKUP($C1100,COTAÇÕES!$B:$I,2,0),(VLOOKUP($C1100,'INSUMO SINAPI - SP'!$C:$F,2,0)))))</f>
        <v>SERVENTE COM ENCARGOS COMPLEMENTARES</v>
      </c>
      <c r="F1100" s="510" t="str">
        <f>IF($C1100="",IFERROR(VLOOKUP($B1100,SERVIÇOS!$B:$G,3,0),IFERROR(VLOOKUP($B1100,$D:$K,3,0),"")),IFERROR(VLOOKUP($C1100,INSUMOS!$A:$D,3,0),IFERROR(VLOOKUP($C1100,COTAÇÕES!$B:$I,3,0),(VLOOKUP($C1100,'INSUMO SINAPI - SP'!$C:$F,3,0)))))</f>
        <v>H</v>
      </c>
      <c r="G1100" s="511">
        <v>2</v>
      </c>
      <c r="H1100" s="512">
        <f>IF($C1100="",IFERROR(VLOOKUP($B1100,SERVIÇOS!$B:$G,6,0),IFERROR(VLOOKUP($B1100,$D:$K,8,0),"")),IFERROR(VLOOKUP($C1100,INSUMOS!$A:$D,4,0),IFERROR(VLOOKUP($C1100,COTAÇÕES!$B:$I,7,0),(VLOOKUP($C1100,'INSUMO SINAPI - SP'!$C:$F,4,0)))))</f>
        <v>28.71</v>
      </c>
      <c r="I1100" s="513">
        <f>TRUNC(IF($C1100="",IFERROR(VLOOKUP($B1100,SERVIÇOS!$B:$G,4,0),IFERROR(VLOOKUP($B1100,$D:$K,6,0),)),IFERROR(VLOOKUP($C1100,INSUMOS!$A:$D,4,0),IFERROR(VLOOKUP($C1100,COTAÇÕES!$B:$I,7,0),(VLOOKUP($C1100,'INSUMO SINAPI - SP'!$C:$F,4,0)))))*$G1100,2)</f>
        <v>18.399999999999999</v>
      </c>
      <c r="J1100" s="513">
        <f>TRUNC(IF($C1100="",IFERROR(VLOOKUP($B1100,SERVIÇOS!$B:$G,5,0),IFERROR(VLOOKUP($B1100,$D:$K,7,0),)),0)*$G1100,2)</f>
        <v>39.020000000000003</v>
      </c>
      <c r="K1100" s="514">
        <f>I1100+J1100</f>
        <v>57.42</v>
      </c>
      <c r="L1100" s="515"/>
      <c r="M1100" s="471"/>
      <c r="N1100" s="516"/>
      <c r="Q1100" s="472"/>
      <c r="R1100" s="472"/>
      <c r="S1100" s="472"/>
      <c r="T1100" s="472"/>
      <c r="U1100" s="472"/>
      <c r="V1100" s="472"/>
      <c r="W1100" s="472"/>
      <c r="X1100" s="472"/>
      <c r="Y1100" s="472"/>
    </row>
    <row r="1101" spans="1:25" x14ac:dyDescent="0.25">
      <c r="A1101" s="463"/>
      <c r="B1101" s="506"/>
      <c r="C1101" s="507">
        <v>370</v>
      </c>
      <c r="D1101" s="508"/>
      <c r="E1101" s="509" t="str">
        <f>IF($C1101="",IFERROR(VLOOKUP($B1101,SERVIÇOS!$B:$G,2,0),IFERROR(VLOOKUP($B1101,$D:$K,2,0),"")),IFERROR(VLOOKUP($C1101,INSUMOS!$A:$D,2,0),IFERROR(VLOOKUP($C1101,COTAÇÕES!$B:$I,2,0),(VLOOKUP($C1101,'INSUMO SINAPI - SP'!$C:$F,2,0)))))</f>
        <v>AREIA MEDIA - POSTO JAZIDA/FORNECEDOR (RETIRADO NA JAZIDA, SEM TRANSPORTE)</v>
      </c>
      <c r="F1101" s="510" t="str">
        <f>IF($C1101="",IFERROR(VLOOKUP($B1101,SERVIÇOS!$B:$G,3,0),IFERROR(VLOOKUP($B1101,$D:$K,3,0),"")),IFERROR(VLOOKUP($C1101,INSUMOS!$A:$D,3,0),IFERROR(VLOOKUP($C1101,COTAÇÕES!$B:$I,3,0),(VLOOKUP($C1101,'INSUMO SINAPI - SP'!$C:$F,3,0)))))</f>
        <v>M3</v>
      </c>
      <c r="G1101" s="511">
        <v>0.01</v>
      </c>
      <c r="H1101" s="512">
        <f>IF($C1101="",IFERROR(VLOOKUP($B1101,SERVIÇOS!$B:$G,6,0),IFERROR(VLOOKUP($B1101,$D:$K,8,0),"")),IFERROR(VLOOKUP($C1101,INSUMOS!$A:$D,4,0),IFERROR(VLOOKUP($C1101,COTAÇÕES!$B:$I,7,0),(VLOOKUP($C1101,'INSUMO SINAPI - SP'!$C:$F,4,0)))))</f>
        <v>119.08</v>
      </c>
      <c r="I1101" s="513">
        <f>TRUNC(IF($C1101="",IFERROR(VLOOKUP($B1101,SERVIÇOS!$B:$G,4,0),IFERROR(VLOOKUP($B1101,$D:$K,6,0),)),IFERROR(VLOOKUP($C1101,INSUMOS!$A:$D,4,0),IFERROR(VLOOKUP($C1101,COTAÇÕES!$B:$I,7,0),(VLOOKUP($C1101,'INSUMO SINAPI - SP'!$C:$F,4,0)))))*$G1101,2)</f>
        <v>1.19</v>
      </c>
      <c r="J1101" s="513">
        <f>TRUNC(IF($C1101="",IFERROR(VLOOKUP($B1101,SERVIÇOS!$B:$G,5,0),IFERROR(VLOOKUP($B1101,$D:$K,7,0),)),0)*$G1101,2)</f>
        <v>0</v>
      </c>
      <c r="K1101" s="514">
        <f>I1101+J1101</f>
        <v>1.19</v>
      </c>
      <c r="L1101" s="517"/>
      <c r="M1101" s="471"/>
      <c r="N1101" s="516"/>
      <c r="Q1101" s="472"/>
      <c r="R1101" s="472"/>
      <c r="S1101" s="472"/>
      <c r="T1101" s="472"/>
      <c r="U1101" s="472"/>
      <c r="V1101" s="472"/>
      <c r="W1101" s="472"/>
      <c r="X1101" s="472"/>
      <c r="Y1101" s="472"/>
    </row>
    <row r="1102" spans="1:25" x14ac:dyDescent="0.25">
      <c r="A1102" s="463"/>
      <c r="B1102" s="506"/>
      <c r="C1102" s="507">
        <v>1379</v>
      </c>
      <c r="D1102" s="508"/>
      <c r="E1102" s="509" t="str">
        <f>IF($C1102="",IFERROR(VLOOKUP($B1102,SERVIÇOS!$B:$G,2,0),IFERROR(VLOOKUP($B1102,$D:$K,2,0),"")),IFERROR(VLOOKUP($C1102,INSUMOS!$A:$D,2,0),IFERROR(VLOOKUP($C1102,COTAÇÕES!$B:$I,2,0),(VLOOKUP($C1102,'INSUMO SINAPI - SP'!$C:$F,2,0)))))</f>
        <v>CIMENTO PORTLAND COMPOSTO CP II-32</v>
      </c>
      <c r="F1102" s="510" t="str">
        <f>IF($C1102="",IFERROR(VLOOKUP($B1102,SERVIÇOS!$B:$G,3,0),IFERROR(VLOOKUP($B1102,$D:$K,3,0),"")),IFERROR(VLOOKUP($C1102,INSUMOS!$A:$D,3,0),IFERROR(VLOOKUP($C1102,COTAÇÕES!$B:$I,3,0),(VLOOKUP($C1102,'INSUMO SINAPI - SP'!$C:$F,3,0)))))</f>
        <v>KG</v>
      </c>
      <c r="G1102" s="511">
        <v>2.0299999999999998</v>
      </c>
      <c r="H1102" s="512">
        <f>IF($C1102="",IFERROR(VLOOKUP($B1102,SERVIÇOS!$B:$G,6,0),IFERROR(VLOOKUP($B1102,$D:$K,8,0),"")),IFERROR(VLOOKUP($C1102,INSUMOS!$A:$D,4,0),IFERROR(VLOOKUP($C1102,COTAÇÕES!$B:$I,7,0),(VLOOKUP($C1102,'INSUMO SINAPI - SP'!$C:$F,4,0)))))</f>
        <v>0.68</v>
      </c>
      <c r="I1102" s="513">
        <f>TRUNC(IF($C1102="",IFERROR(VLOOKUP($B1102,SERVIÇOS!$B:$G,4,0),IFERROR(VLOOKUP($B1102,$D:$K,6,0),)),IFERROR(VLOOKUP($C1102,INSUMOS!$A:$D,4,0),IFERROR(VLOOKUP($C1102,COTAÇÕES!$B:$I,7,0),(VLOOKUP($C1102,'INSUMO SINAPI - SP'!$C:$F,4,0)))))*$G1102,2)</f>
        <v>1.38</v>
      </c>
      <c r="J1102" s="513">
        <f>TRUNC(IF($C1102="",IFERROR(VLOOKUP($B1102,SERVIÇOS!$B:$G,5,0),IFERROR(VLOOKUP($B1102,$D:$K,7,0),)),0)*$G1102,2)</f>
        <v>0</v>
      </c>
      <c r="K1102" s="514">
        <f>I1102+J1102</f>
        <v>1.38</v>
      </c>
      <c r="L1102" s="517"/>
      <c r="M1102" s="471"/>
      <c r="N1102" s="516"/>
      <c r="Q1102" s="472"/>
      <c r="R1102" s="472"/>
      <c r="S1102" s="472"/>
      <c r="T1102" s="472"/>
      <c r="U1102" s="472"/>
      <c r="V1102" s="472"/>
      <c r="W1102" s="472"/>
      <c r="X1102" s="472"/>
      <c r="Y1102" s="472"/>
    </row>
    <row r="1103" spans="1:25" x14ac:dyDescent="0.25">
      <c r="A1103" s="463"/>
      <c r="B1103" s="506"/>
      <c r="C1103" s="507" t="s">
        <v>13184</v>
      </c>
      <c r="D1103" s="508"/>
      <c r="E1103" s="518" t="s">
        <v>13185</v>
      </c>
      <c r="F1103" s="519" t="s">
        <v>13186</v>
      </c>
      <c r="G1103" s="511">
        <v>1</v>
      </c>
      <c r="H1103" s="520">
        <v>788.41</v>
      </c>
      <c r="I1103" s="520">
        <f>TRUNC(H1103*G1103,2)</f>
        <v>788.41</v>
      </c>
      <c r="J1103" s="521"/>
      <c r="K1103" s="522">
        <f>I1103+J1103</f>
        <v>788.41</v>
      </c>
      <c r="L1103" s="517" t="s">
        <v>12901</v>
      </c>
      <c r="M1103" s="471"/>
      <c r="N1103" s="516"/>
      <c r="Q1103" s="472"/>
      <c r="R1103" s="472"/>
      <c r="S1103" s="472"/>
      <c r="T1103" s="472"/>
      <c r="U1103" s="472"/>
      <c r="V1103" s="472"/>
      <c r="W1103" s="472"/>
      <c r="X1103" s="472"/>
      <c r="Y1103" s="472"/>
    </row>
    <row r="1104" spans="1:25" ht="24" x14ac:dyDescent="0.25">
      <c r="A1104" s="463"/>
      <c r="B1104" s="526"/>
      <c r="C1104" s="527"/>
      <c r="D1104" s="499" t="s">
        <v>12044</v>
      </c>
      <c r="E1104" s="500" t="s">
        <v>13187</v>
      </c>
      <c r="F1104" s="501" t="s">
        <v>578</v>
      </c>
      <c r="G1104" s="528"/>
      <c r="H1104" s="503"/>
      <c r="I1104" s="504">
        <f>ROUND(SUM(I1105:I1110),2)</f>
        <v>989.27</v>
      </c>
      <c r="J1104" s="504">
        <f>ROUND(SUM(J1105:J1110),2)</f>
        <v>104.35</v>
      </c>
      <c r="K1104" s="504">
        <f>+J1104+I1104</f>
        <v>1093.6199999999999</v>
      </c>
      <c r="L1104" s="499" t="s">
        <v>13188</v>
      </c>
      <c r="M1104" s="471"/>
      <c r="N1104" s="505"/>
      <c r="Q1104" s="472"/>
      <c r="R1104" s="472"/>
      <c r="S1104" s="472"/>
      <c r="T1104" s="472"/>
      <c r="U1104" s="472"/>
      <c r="V1104" s="472"/>
      <c r="W1104" s="472"/>
      <c r="X1104" s="472"/>
      <c r="Y1104" s="472"/>
    </row>
    <row r="1105" spans="1:25" x14ac:dyDescent="0.25">
      <c r="A1105" s="463"/>
      <c r="B1105" s="506">
        <v>88309</v>
      </c>
      <c r="C1105" s="507"/>
      <c r="D1105" s="508"/>
      <c r="E1105" s="509" t="str">
        <f>IF($C1105="",IFERROR(VLOOKUP($B1105,SERVIÇOS!$B:$G,2,0),IFERROR(VLOOKUP($B1105,$D:$K,2,0),"")),IFERROR(VLOOKUP($C1105,INSUMOS!$A:$D,2,0),IFERROR(VLOOKUP($C1105,COTAÇÕES!$B:$I,2,0),(VLOOKUP($C1105,'INSUMO SINAPI - SP'!$C:$F,2,0)))))</f>
        <v>PEDREIRO COM ENCARGOS COMPLEMENTARES</v>
      </c>
      <c r="F1105" s="510" t="str">
        <f>IF($C1105="",IFERROR(VLOOKUP($B1105,SERVIÇOS!$B:$G,3,0),IFERROR(VLOOKUP($B1105,$D:$K,3,0),"")),IFERROR(VLOOKUP($C1105,INSUMOS!$A:$D,3,0),IFERROR(VLOOKUP($C1105,COTAÇÕES!$B:$I,3,0),(VLOOKUP($C1105,'INSUMO SINAPI - SP'!$C:$F,3,0)))))</f>
        <v>H</v>
      </c>
      <c r="G1105" s="511">
        <f>1+0.8</f>
        <v>1.8</v>
      </c>
      <c r="H1105" s="512">
        <f>IF($C1105="",IFERROR(VLOOKUP($B1105,SERVIÇOS!$B:$G,6,0),IFERROR(VLOOKUP($B1105,$D:$K,8,0),"")),IFERROR(VLOOKUP($C1105,INSUMOS!$A:$D,4,0),IFERROR(VLOOKUP($C1105,COTAÇÕES!$B:$I,7,0),(VLOOKUP($C1105,'INSUMO SINAPI - SP'!$C:$F,4,0)))))</f>
        <v>36.909999999999997</v>
      </c>
      <c r="I1105" s="513">
        <f>TRUNC(IF($C1105="",IFERROR(VLOOKUP($B1105,SERVIÇOS!$B:$G,4,0),IFERROR(VLOOKUP($B1105,$D:$K,6,0),)),IFERROR(VLOOKUP($C1105,INSUMOS!$A:$D,4,0),IFERROR(VLOOKUP($C1105,COTAÇÕES!$B:$I,7,0),(VLOOKUP($C1105,'INSUMO SINAPI - SP'!$C:$F,4,0)))))*$G1105,2)</f>
        <v>16.7</v>
      </c>
      <c r="J1105" s="513">
        <f>TRUNC(IF($C1105="",IFERROR(VLOOKUP($B1105,SERVIÇOS!$B:$G,5,0),IFERROR(VLOOKUP($B1105,$D:$K,7,0),)),0)*$G1105,2)</f>
        <v>49.73</v>
      </c>
      <c r="K1105" s="514">
        <f t="shared" ref="K1105:K1110" si="35">I1105+J1105</f>
        <v>66.429999999999993</v>
      </c>
      <c r="L1105" s="515"/>
      <c r="M1105" s="471"/>
      <c r="N1105" s="516"/>
      <c r="Q1105" s="472"/>
      <c r="R1105" s="472"/>
      <c r="S1105" s="472"/>
      <c r="T1105" s="472"/>
      <c r="U1105" s="472"/>
      <c r="V1105" s="472"/>
      <c r="W1105" s="472"/>
      <c r="X1105" s="472"/>
      <c r="Y1105" s="472"/>
    </row>
    <row r="1106" spans="1:25" x14ac:dyDescent="0.25">
      <c r="A1106" s="463"/>
      <c r="B1106" s="506">
        <v>88316</v>
      </c>
      <c r="C1106" s="507"/>
      <c r="D1106" s="508"/>
      <c r="E1106" s="509" t="str">
        <f>IF($C1106="",IFERROR(VLOOKUP($B1106,SERVIÇOS!$B:$G,2,0),IFERROR(VLOOKUP($B1106,$D:$K,2,0),"")),IFERROR(VLOOKUP($C1106,INSUMOS!$A:$D,2,0),IFERROR(VLOOKUP($C1106,COTAÇÕES!$B:$I,2,0),(VLOOKUP($C1106,'INSUMO SINAPI - SP'!$C:$F,2,0)))))</f>
        <v>SERVENTE COM ENCARGOS COMPLEMENTARES</v>
      </c>
      <c r="F1106" s="510" t="str">
        <f>IF($C1106="",IFERROR(VLOOKUP($B1106,SERVIÇOS!$B:$G,3,0),IFERROR(VLOOKUP($B1106,$D:$K,3,0),"")),IFERROR(VLOOKUP($C1106,INSUMOS!$A:$D,3,0),IFERROR(VLOOKUP($C1106,COTAÇÕES!$B:$I,3,0),(VLOOKUP($C1106,'INSUMO SINAPI - SP'!$C:$F,3,0)))))</f>
        <v>H</v>
      </c>
      <c r="G1106" s="511">
        <f>2+0.8</f>
        <v>2.8</v>
      </c>
      <c r="H1106" s="512">
        <f>IF($C1106="",IFERROR(VLOOKUP($B1106,SERVIÇOS!$B:$G,6,0),IFERROR(VLOOKUP($B1106,$D:$K,8,0),"")),IFERROR(VLOOKUP($C1106,INSUMOS!$A:$D,4,0),IFERROR(VLOOKUP($C1106,COTAÇÕES!$B:$I,7,0),(VLOOKUP($C1106,'INSUMO SINAPI - SP'!$C:$F,4,0)))))</f>
        <v>28.71</v>
      </c>
      <c r="I1106" s="513">
        <f>TRUNC(IF($C1106="",IFERROR(VLOOKUP($B1106,SERVIÇOS!$B:$G,4,0),IFERROR(VLOOKUP($B1106,$D:$K,6,0),)),IFERROR(VLOOKUP($C1106,INSUMOS!$A:$D,4,0),IFERROR(VLOOKUP($C1106,COTAÇÕES!$B:$I,7,0),(VLOOKUP($C1106,'INSUMO SINAPI - SP'!$C:$F,4,0)))))*$G1106,2)</f>
        <v>25.76</v>
      </c>
      <c r="J1106" s="513">
        <f>TRUNC(IF($C1106="",IFERROR(VLOOKUP($B1106,SERVIÇOS!$B:$G,5,0),IFERROR(VLOOKUP($B1106,$D:$K,7,0),)),0)*$G1106,2)</f>
        <v>54.62</v>
      </c>
      <c r="K1106" s="514">
        <f t="shared" si="35"/>
        <v>80.38</v>
      </c>
      <c r="L1106" s="515"/>
      <c r="M1106" s="471"/>
      <c r="N1106" s="516"/>
      <c r="Q1106" s="472"/>
      <c r="R1106" s="472"/>
      <c r="S1106" s="472"/>
      <c r="T1106" s="472"/>
      <c r="U1106" s="472"/>
      <c r="V1106" s="472"/>
      <c r="W1106" s="472"/>
      <c r="X1106" s="472"/>
      <c r="Y1106" s="472"/>
    </row>
    <row r="1107" spans="1:25" x14ac:dyDescent="0.25">
      <c r="A1107" s="463"/>
      <c r="B1107" s="506"/>
      <c r="C1107" s="507">
        <v>370</v>
      </c>
      <c r="D1107" s="508"/>
      <c r="E1107" s="509" t="str">
        <f>IF($C1107="",IFERROR(VLOOKUP($B1107,SERVIÇOS!$B:$G,2,0),IFERROR(VLOOKUP($B1107,$D:$K,2,0),"")),IFERROR(VLOOKUP($C1107,INSUMOS!$A:$D,2,0),IFERROR(VLOOKUP($C1107,COTAÇÕES!$B:$I,2,0),(VLOOKUP($C1107,'INSUMO SINAPI - SP'!$C:$F,2,0)))))</f>
        <v>AREIA MEDIA - POSTO JAZIDA/FORNECEDOR (RETIRADO NA JAZIDA, SEM TRANSPORTE)</v>
      </c>
      <c r="F1107" s="510" t="str">
        <f>IF($C1107="",IFERROR(VLOOKUP($B1107,SERVIÇOS!$B:$G,3,0),IFERROR(VLOOKUP($B1107,$D:$K,3,0),"")),IFERROR(VLOOKUP($C1107,INSUMOS!$A:$D,3,0),IFERROR(VLOOKUP($C1107,COTAÇÕES!$B:$I,3,0),(VLOOKUP($C1107,'INSUMO SINAPI - SP'!$C:$F,3,0)))))</f>
        <v>M3</v>
      </c>
      <c r="G1107" s="511">
        <v>0.01</v>
      </c>
      <c r="H1107" s="512">
        <f>IF($C1107="",IFERROR(VLOOKUP($B1107,SERVIÇOS!$B:$G,6,0),IFERROR(VLOOKUP($B1107,$D:$K,8,0),"")),IFERROR(VLOOKUP($C1107,INSUMOS!$A:$D,4,0),IFERROR(VLOOKUP($C1107,COTAÇÕES!$B:$I,7,0),(VLOOKUP($C1107,'INSUMO SINAPI - SP'!$C:$F,4,0)))))</f>
        <v>119.08</v>
      </c>
      <c r="I1107" s="513">
        <f>TRUNC(IF($C1107="",IFERROR(VLOOKUP($B1107,SERVIÇOS!$B:$G,4,0),IFERROR(VLOOKUP($B1107,$D:$K,6,0),)),IFERROR(VLOOKUP($C1107,INSUMOS!$A:$D,4,0),IFERROR(VLOOKUP($C1107,COTAÇÕES!$B:$I,7,0),(VLOOKUP($C1107,'INSUMO SINAPI - SP'!$C:$F,4,0)))))*$G1107,2)</f>
        <v>1.19</v>
      </c>
      <c r="J1107" s="513">
        <f>TRUNC(IF($C1107="",IFERROR(VLOOKUP($B1107,SERVIÇOS!$B:$G,5,0),IFERROR(VLOOKUP($B1107,$D:$K,7,0),)),0)*$G1107,2)</f>
        <v>0</v>
      </c>
      <c r="K1107" s="514">
        <f t="shared" si="35"/>
        <v>1.19</v>
      </c>
      <c r="L1107" s="517"/>
      <c r="M1107" s="471"/>
      <c r="N1107" s="516"/>
      <c r="Q1107" s="472"/>
      <c r="R1107" s="472"/>
      <c r="S1107" s="472"/>
      <c r="T1107" s="472"/>
      <c r="U1107" s="472"/>
      <c r="V1107" s="472"/>
      <c r="W1107" s="472"/>
      <c r="X1107" s="472"/>
      <c r="Y1107" s="472"/>
    </row>
    <row r="1108" spans="1:25" x14ac:dyDescent="0.25">
      <c r="A1108" s="463"/>
      <c r="B1108" s="506"/>
      <c r="C1108" s="507">
        <v>1379</v>
      </c>
      <c r="D1108" s="508"/>
      <c r="E1108" s="509" t="str">
        <f>IF($C1108="",IFERROR(VLOOKUP($B1108,SERVIÇOS!$B:$G,2,0),IFERROR(VLOOKUP($B1108,$D:$K,2,0),"")),IFERROR(VLOOKUP($C1108,INSUMOS!$A:$D,2,0),IFERROR(VLOOKUP($C1108,COTAÇÕES!$B:$I,2,0),(VLOOKUP($C1108,'INSUMO SINAPI - SP'!$C:$F,2,0)))))</f>
        <v>CIMENTO PORTLAND COMPOSTO CP II-32</v>
      </c>
      <c r="F1108" s="510" t="str">
        <f>IF($C1108="",IFERROR(VLOOKUP($B1108,SERVIÇOS!$B:$G,3,0),IFERROR(VLOOKUP($B1108,$D:$K,3,0),"")),IFERROR(VLOOKUP($C1108,INSUMOS!$A:$D,3,0),IFERROR(VLOOKUP($C1108,COTAÇÕES!$B:$I,3,0),(VLOOKUP($C1108,'INSUMO SINAPI - SP'!$C:$F,3,0)))))</f>
        <v>KG</v>
      </c>
      <c r="G1108" s="511">
        <v>2.0299999999999998</v>
      </c>
      <c r="H1108" s="512">
        <f>IF($C1108="",IFERROR(VLOOKUP($B1108,SERVIÇOS!$B:$G,6,0),IFERROR(VLOOKUP($B1108,$D:$K,8,0),"")),IFERROR(VLOOKUP($C1108,INSUMOS!$A:$D,4,0),IFERROR(VLOOKUP($C1108,COTAÇÕES!$B:$I,7,0),(VLOOKUP($C1108,'INSUMO SINAPI - SP'!$C:$F,4,0)))))</f>
        <v>0.68</v>
      </c>
      <c r="I1108" s="513">
        <f>TRUNC(IF($C1108="",IFERROR(VLOOKUP($B1108,SERVIÇOS!$B:$G,4,0),IFERROR(VLOOKUP($B1108,$D:$K,6,0),)),IFERROR(VLOOKUP($C1108,INSUMOS!$A:$D,4,0),IFERROR(VLOOKUP($C1108,COTAÇÕES!$B:$I,7,0),(VLOOKUP($C1108,'INSUMO SINAPI - SP'!$C:$F,4,0)))))*$G1108,2)</f>
        <v>1.38</v>
      </c>
      <c r="J1108" s="513">
        <f>TRUNC(IF($C1108="",IFERROR(VLOOKUP($B1108,SERVIÇOS!$B:$G,5,0),IFERROR(VLOOKUP($B1108,$D:$K,7,0),)),0)*$G1108,2)</f>
        <v>0</v>
      </c>
      <c r="K1108" s="514">
        <f t="shared" si="35"/>
        <v>1.38</v>
      </c>
      <c r="L1108" s="517"/>
      <c r="M1108" s="471"/>
      <c r="N1108" s="516"/>
      <c r="Q1108" s="472"/>
      <c r="R1108" s="472"/>
      <c r="S1108" s="472"/>
      <c r="T1108" s="472"/>
      <c r="U1108" s="472"/>
      <c r="V1108" s="472"/>
      <c r="W1108" s="472"/>
      <c r="X1108" s="472"/>
      <c r="Y1108" s="472"/>
    </row>
    <row r="1109" spans="1:25" x14ac:dyDescent="0.25">
      <c r="A1109" s="463"/>
      <c r="B1109" s="506"/>
      <c r="C1109" s="507" t="s">
        <v>13184</v>
      </c>
      <c r="D1109" s="508"/>
      <c r="E1109" s="518" t="s">
        <v>13185</v>
      </c>
      <c r="F1109" s="519" t="s">
        <v>13186</v>
      </c>
      <c r="G1109" s="511">
        <v>1</v>
      </c>
      <c r="H1109" s="520">
        <v>788.41</v>
      </c>
      <c r="I1109" s="520">
        <f>TRUNC(H1109*G1109,2)</f>
        <v>788.41</v>
      </c>
      <c r="J1109" s="521"/>
      <c r="K1109" s="522">
        <f t="shared" si="35"/>
        <v>788.41</v>
      </c>
      <c r="L1109" s="517" t="s">
        <v>12901</v>
      </c>
      <c r="M1109" s="471"/>
      <c r="N1109" s="516"/>
      <c r="Q1109" s="472"/>
      <c r="R1109" s="472"/>
      <c r="S1109" s="472"/>
      <c r="T1109" s="472"/>
      <c r="U1109" s="472"/>
      <c r="V1109" s="472"/>
      <c r="W1109" s="472"/>
      <c r="X1109" s="472"/>
      <c r="Y1109" s="472"/>
    </row>
    <row r="1110" spans="1:25" x14ac:dyDescent="0.25">
      <c r="A1110" s="463"/>
      <c r="B1110" s="506"/>
      <c r="C1110" s="507" t="s">
        <v>13189</v>
      </c>
      <c r="D1110" s="508"/>
      <c r="E1110" s="518" t="s">
        <v>13190</v>
      </c>
      <c r="F1110" s="519" t="s">
        <v>13186</v>
      </c>
      <c r="G1110" s="511">
        <v>1.05</v>
      </c>
      <c r="H1110" s="520">
        <v>148.41</v>
      </c>
      <c r="I1110" s="520">
        <f>TRUNC(H1110*G1110,2)</f>
        <v>155.83000000000001</v>
      </c>
      <c r="J1110" s="521"/>
      <c r="K1110" s="522">
        <f t="shared" si="35"/>
        <v>155.83000000000001</v>
      </c>
      <c r="L1110" s="517" t="s">
        <v>12668</v>
      </c>
      <c r="M1110" s="471"/>
      <c r="N1110" s="516"/>
      <c r="Q1110" s="472"/>
      <c r="R1110" s="472"/>
      <c r="S1110" s="472"/>
      <c r="T1110" s="472"/>
      <c r="U1110" s="472"/>
      <c r="V1110" s="472"/>
      <c r="W1110" s="472"/>
      <c r="X1110" s="472"/>
      <c r="Y1110" s="472"/>
    </row>
    <row r="1111" spans="1:25" ht="36" x14ac:dyDescent="0.25">
      <c r="A1111" s="463"/>
      <c r="B1111" s="526"/>
      <c r="C1111" s="527"/>
      <c r="D1111" s="499" t="s">
        <v>12519</v>
      </c>
      <c r="E1111" s="500" t="s">
        <v>13191</v>
      </c>
      <c r="F1111" s="501" t="s">
        <v>578</v>
      </c>
      <c r="G1111" s="528"/>
      <c r="H1111" s="503"/>
      <c r="I1111" s="504">
        <f>ROUND(SUM(I1112:I1116),2)</f>
        <v>617.6</v>
      </c>
      <c r="J1111" s="504">
        <f>ROUND(SUM(J1112:J1116),2)</f>
        <v>69.25</v>
      </c>
      <c r="K1111" s="504">
        <f>+J1111+I1111</f>
        <v>686.85</v>
      </c>
      <c r="L1111" s="499" t="s">
        <v>13183</v>
      </c>
      <c r="M1111" s="471"/>
      <c r="N1111" s="505"/>
      <c r="Q1111" s="472"/>
      <c r="R1111" s="472"/>
      <c r="S1111" s="472"/>
      <c r="T1111" s="472"/>
      <c r="U1111" s="472"/>
      <c r="V1111" s="472"/>
      <c r="W1111" s="472"/>
      <c r="X1111" s="472"/>
      <c r="Y1111" s="472"/>
    </row>
    <row r="1112" spans="1:25" x14ac:dyDescent="0.25">
      <c r="A1112" s="463"/>
      <c r="B1112" s="506">
        <v>88315</v>
      </c>
      <c r="C1112" s="507"/>
      <c r="D1112" s="508"/>
      <c r="E1112" s="509" t="str">
        <f>IF($C1112="",IFERROR(VLOOKUP($B1112,SERVIÇOS!$B:$G,2,0),IFERROR(VLOOKUP($B1112,$D:$K,2,0),"")),IFERROR(VLOOKUP($C1112,INSUMOS!$A:$D,2,0),IFERROR(VLOOKUP($C1112,COTAÇÕES!$B:$I,2,0),(VLOOKUP($C1112,'INSUMO SINAPI - SP'!$C:$F,2,0)))))</f>
        <v>SERRALHEIRO COM ENCARGOS COMPLEMENTARES</v>
      </c>
      <c r="F1112" s="510" t="str">
        <f>IF($C1112="",IFERROR(VLOOKUP($B1112,SERVIÇOS!$B:$G,3,0),IFERROR(VLOOKUP($B1112,$D:$K,3,0),"")),IFERROR(VLOOKUP($C1112,INSUMOS!$A:$D,3,0),IFERROR(VLOOKUP($C1112,COTAÇÕES!$B:$I,3,0),(VLOOKUP($C1112,'INSUMO SINAPI - SP'!$C:$F,3,0)))))</f>
        <v>H</v>
      </c>
      <c r="G1112" s="511">
        <v>1</v>
      </c>
      <c r="H1112" s="512">
        <f>IF($C1112="",IFERROR(VLOOKUP($B1112,SERVIÇOS!$B:$G,6,0),IFERROR(VLOOKUP($B1112,$D:$K,8,0),"")),IFERROR(VLOOKUP($C1112,INSUMOS!$A:$D,4,0),IFERROR(VLOOKUP($C1112,COTAÇÕES!$B:$I,7,0),(VLOOKUP($C1112,'INSUMO SINAPI - SP'!$C:$F,4,0)))))</f>
        <v>36.65</v>
      </c>
      <c r="I1112" s="513">
        <f>TRUNC(IF($C1112="",IFERROR(VLOOKUP($B1112,SERVIÇOS!$B:$G,4,0),IFERROR(VLOOKUP($B1112,$D:$K,6,0),)),IFERROR(VLOOKUP($C1112,INSUMOS!$A:$D,4,0),IFERROR(VLOOKUP($C1112,COTAÇÕES!$B:$I,7,0),(VLOOKUP($C1112,'INSUMO SINAPI - SP'!$C:$F,4,0)))))*$G1112,2)</f>
        <v>9.2799999999999994</v>
      </c>
      <c r="J1112" s="513">
        <f>TRUNC(IF($C1112="",IFERROR(VLOOKUP($B1112,SERVIÇOS!$B:$G,5,0),IFERROR(VLOOKUP($B1112,$D:$K,7,0),)),0)*$G1112,2)</f>
        <v>27.37</v>
      </c>
      <c r="K1112" s="514">
        <f>I1112+J1112</f>
        <v>36.65</v>
      </c>
      <c r="L1112" s="515"/>
      <c r="M1112" s="471"/>
      <c r="N1112" s="516"/>
      <c r="Q1112" s="472"/>
      <c r="R1112" s="472"/>
      <c r="S1112" s="472"/>
      <c r="T1112" s="472"/>
      <c r="U1112" s="472"/>
      <c r="V1112" s="472"/>
      <c r="W1112" s="472"/>
      <c r="X1112" s="472"/>
      <c r="Y1112" s="472"/>
    </row>
    <row r="1113" spans="1:25" x14ac:dyDescent="0.25">
      <c r="A1113" s="463"/>
      <c r="B1113" s="506">
        <v>88251</v>
      </c>
      <c r="C1113" s="507"/>
      <c r="D1113" s="508"/>
      <c r="E1113" s="509" t="str">
        <f>IF($C1113="",IFERROR(VLOOKUP($B1113,SERVIÇOS!$B:$G,2,0),IFERROR(VLOOKUP($B1113,$D:$K,2,0),"")),IFERROR(VLOOKUP($C1113,INSUMOS!$A:$D,2,0),IFERROR(VLOOKUP($C1113,COTAÇÕES!$B:$I,2,0),(VLOOKUP($C1113,'INSUMO SINAPI - SP'!$C:$F,2,0)))))</f>
        <v>AUXILIAR DE SERRALHEIRO COM ENCARGOS COMPLEMENTARES</v>
      </c>
      <c r="F1113" s="510" t="str">
        <f>IF($C1113="",IFERROR(VLOOKUP($B1113,SERVIÇOS!$B:$G,3,0),IFERROR(VLOOKUP($B1113,$D:$K,3,0),"")),IFERROR(VLOOKUP($C1113,INSUMOS!$A:$D,3,0),IFERROR(VLOOKUP($C1113,COTAÇÕES!$B:$I,3,0),(VLOOKUP($C1113,'INSUMO SINAPI - SP'!$C:$F,3,0)))))</f>
        <v>H</v>
      </c>
      <c r="G1113" s="511">
        <v>2</v>
      </c>
      <c r="H1113" s="512">
        <f>IF($C1113="",IFERROR(VLOOKUP($B1113,SERVIÇOS!$B:$G,6,0),IFERROR(VLOOKUP($B1113,$D:$K,8,0),"")),IFERROR(VLOOKUP($C1113,INSUMOS!$A:$D,4,0),IFERROR(VLOOKUP($C1113,COTAÇÕES!$B:$I,7,0),(VLOOKUP($C1113,'INSUMO SINAPI - SP'!$C:$F,4,0)))))</f>
        <v>30.23</v>
      </c>
      <c r="I1113" s="513">
        <f>TRUNC(IF($C1113="",IFERROR(VLOOKUP($B1113,SERVIÇOS!$B:$G,4,0),IFERROR(VLOOKUP($B1113,$D:$K,6,0),)),IFERROR(VLOOKUP($C1113,INSUMOS!$A:$D,4,0),IFERROR(VLOOKUP($C1113,COTAÇÕES!$B:$I,7,0),(VLOOKUP($C1113,'INSUMO SINAPI - SP'!$C:$F,4,0)))))*$G1113,2)</f>
        <v>18.579999999999998</v>
      </c>
      <c r="J1113" s="513">
        <f>TRUNC(IF($C1113="",IFERROR(VLOOKUP($B1113,SERVIÇOS!$B:$G,5,0),IFERROR(VLOOKUP($B1113,$D:$K,7,0),)),0)*$G1113,2)</f>
        <v>41.88</v>
      </c>
      <c r="K1113" s="514">
        <f>I1113+J1113</f>
        <v>60.46</v>
      </c>
      <c r="L1113" s="515"/>
      <c r="M1113" s="471"/>
      <c r="N1113" s="516"/>
      <c r="Q1113" s="472"/>
      <c r="R1113" s="472"/>
      <c r="S1113" s="472"/>
      <c r="T1113" s="472"/>
      <c r="U1113" s="472"/>
      <c r="V1113" s="472"/>
      <c r="W1113" s="472"/>
      <c r="X1113" s="472"/>
      <c r="Y1113" s="472"/>
    </row>
    <row r="1114" spans="1:25" x14ac:dyDescent="0.25">
      <c r="A1114" s="463"/>
      <c r="B1114" s="506"/>
      <c r="C1114" s="507">
        <v>370</v>
      </c>
      <c r="D1114" s="508"/>
      <c r="E1114" s="509" t="str">
        <f>IF($C1114="",IFERROR(VLOOKUP($B1114,SERVIÇOS!$B:$G,2,0),IFERROR(VLOOKUP($B1114,$D:$K,2,0),"")),IFERROR(VLOOKUP($C1114,INSUMOS!$A:$D,2,0),IFERROR(VLOOKUP($C1114,COTAÇÕES!$B:$I,2,0),(VLOOKUP($C1114,'INSUMO SINAPI - SP'!$C:$F,2,0)))))</f>
        <v>AREIA MEDIA - POSTO JAZIDA/FORNECEDOR (RETIRADO NA JAZIDA, SEM TRANSPORTE)</v>
      </c>
      <c r="F1114" s="510" t="str">
        <f>IF($C1114="",IFERROR(VLOOKUP($B1114,SERVIÇOS!$B:$G,3,0),IFERROR(VLOOKUP($B1114,$D:$K,3,0),"")),IFERROR(VLOOKUP($C1114,INSUMOS!$A:$D,3,0),IFERROR(VLOOKUP($C1114,COTAÇÕES!$B:$I,3,0),(VLOOKUP($C1114,'INSUMO SINAPI - SP'!$C:$F,3,0)))))</f>
        <v>M3</v>
      </c>
      <c r="G1114" s="511">
        <v>0.01</v>
      </c>
      <c r="H1114" s="512">
        <f>IF($C1114="",IFERROR(VLOOKUP($B1114,SERVIÇOS!$B:$G,6,0),IFERROR(VLOOKUP($B1114,$D:$K,8,0),"")),IFERROR(VLOOKUP($C1114,INSUMOS!$A:$D,4,0),IFERROR(VLOOKUP($C1114,COTAÇÕES!$B:$I,7,0),(VLOOKUP($C1114,'INSUMO SINAPI - SP'!$C:$F,4,0)))))</f>
        <v>119.08</v>
      </c>
      <c r="I1114" s="513">
        <f>TRUNC(IF($C1114="",IFERROR(VLOOKUP($B1114,SERVIÇOS!$B:$G,4,0),IFERROR(VLOOKUP($B1114,$D:$K,6,0),)),IFERROR(VLOOKUP($C1114,INSUMOS!$A:$D,4,0),IFERROR(VLOOKUP($C1114,COTAÇÕES!$B:$I,7,0),(VLOOKUP($C1114,'INSUMO SINAPI - SP'!$C:$F,4,0)))))*$G1114,2)</f>
        <v>1.19</v>
      </c>
      <c r="J1114" s="513">
        <f>TRUNC(IF($C1114="",IFERROR(VLOOKUP($B1114,SERVIÇOS!$B:$G,5,0),IFERROR(VLOOKUP($B1114,$D:$K,7,0),)),0)*$G1114,2)</f>
        <v>0</v>
      </c>
      <c r="K1114" s="514">
        <f>I1114+J1114</f>
        <v>1.19</v>
      </c>
      <c r="L1114" s="517"/>
      <c r="M1114" s="471"/>
      <c r="N1114" s="516"/>
      <c r="Q1114" s="472"/>
      <c r="R1114" s="472"/>
      <c r="S1114" s="472"/>
      <c r="T1114" s="472"/>
      <c r="U1114" s="472"/>
      <c r="V1114" s="472"/>
      <c r="W1114" s="472"/>
      <c r="X1114" s="472"/>
      <c r="Y1114" s="472"/>
    </row>
    <row r="1115" spans="1:25" x14ac:dyDescent="0.25">
      <c r="A1115" s="463"/>
      <c r="B1115" s="506"/>
      <c r="C1115" s="507">
        <v>1379</v>
      </c>
      <c r="D1115" s="508"/>
      <c r="E1115" s="509" t="str">
        <f>IF($C1115="",IFERROR(VLOOKUP($B1115,SERVIÇOS!$B:$G,2,0),IFERROR(VLOOKUP($B1115,$D:$K,2,0),"")),IFERROR(VLOOKUP($C1115,INSUMOS!$A:$D,2,0),IFERROR(VLOOKUP($C1115,COTAÇÕES!$B:$I,2,0),(VLOOKUP($C1115,'INSUMO SINAPI - SP'!$C:$F,2,0)))))</f>
        <v>CIMENTO PORTLAND COMPOSTO CP II-32</v>
      </c>
      <c r="F1115" s="510" t="str">
        <f>IF($C1115="",IFERROR(VLOOKUP($B1115,SERVIÇOS!$B:$G,3,0),IFERROR(VLOOKUP($B1115,$D:$K,3,0),"")),IFERROR(VLOOKUP($C1115,INSUMOS!$A:$D,3,0),IFERROR(VLOOKUP($C1115,COTAÇÕES!$B:$I,3,0),(VLOOKUP($C1115,'INSUMO SINAPI - SP'!$C:$F,3,0)))))</f>
        <v>KG</v>
      </c>
      <c r="G1115" s="511">
        <v>2.0299999999999998</v>
      </c>
      <c r="H1115" s="512">
        <f>IF($C1115="",IFERROR(VLOOKUP($B1115,SERVIÇOS!$B:$G,6,0),IFERROR(VLOOKUP($B1115,$D:$K,8,0),"")),IFERROR(VLOOKUP($C1115,INSUMOS!$A:$D,4,0),IFERROR(VLOOKUP($C1115,COTAÇÕES!$B:$I,7,0),(VLOOKUP($C1115,'INSUMO SINAPI - SP'!$C:$F,4,0)))))</f>
        <v>0.68</v>
      </c>
      <c r="I1115" s="513">
        <f>TRUNC(IF($C1115="",IFERROR(VLOOKUP($B1115,SERVIÇOS!$B:$G,4,0),IFERROR(VLOOKUP($B1115,$D:$K,6,0),)),IFERROR(VLOOKUP($C1115,INSUMOS!$A:$D,4,0),IFERROR(VLOOKUP($C1115,COTAÇÕES!$B:$I,7,0),(VLOOKUP($C1115,'INSUMO SINAPI - SP'!$C:$F,4,0)))))*$G1115,2)</f>
        <v>1.38</v>
      </c>
      <c r="J1115" s="513">
        <f>TRUNC(IF($C1115="",IFERROR(VLOOKUP($B1115,SERVIÇOS!$B:$G,5,0),IFERROR(VLOOKUP($B1115,$D:$K,7,0),)),0)*$G1115,2)</f>
        <v>0</v>
      </c>
      <c r="K1115" s="514">
        <f>I1115+J1115</f>
        <v>1.38</v>
      </c>
      <c r="L1115" s="517"/>
      <c r="M1115" s="471"/>
      <c r="N1115" s="516"/>
      <c r="Q1115" s="472"/>
      <c r="R1115" s="472"/>
      <c r="S1115" s="472"/>
      <c r="T1115" s="472"/>
      <c r="U1115" s="472"/>
      <c r="V1115" s="472"/>
      <c r="W1115" s="472"/>
      <c r="X1115" s="472"/>
      <c r="Y1115" s="472"/>
    </row>
    <row r="1116" spans="1:25" ht="24" x14ac:dyDescent="0.25">
      <c r="A1116" s="463"/>
      <c r="B1116" s="506"/>
      <c r="C1116" s="507" t="s">
        <v>13192</v>
      </c>
      <c r="D1116" s="508"/>
      <c r="E1116" s="518" t="s">
        <v>13193</v>
      </c>
      <c r="F1116" s="519" t="s">
        <v>13186</v>
      </c>
      <c r="G1116" s="511">
        <v>1</v>
      </c>
      <c r="H1116" s="520">
        <v>587.16999999999996</v>
      </c>
      <c r="I1116" s="520">
        <f>TRUNC(H1116*G1116,2)</f>
        <v>587.16999999999996</v>
      </c>
      <c r="J1116" s="521"/>
      <c r="K1116" s="522">
        <f>I1116+J1116</f>
        <v>587.16999999999996</v>
      </c>
      <c r="L1116" s="517" t="s">
        <v>12668</v>
      </c>
      <c r="M1116" s="471"/>
      <c r="N1116" s="516"/>
      <c r="Q1116" s="472"/>
      <c r="R1116" s="472"/>
      <c r="S1116" s="472"/>
      <c r="T1116" s="472"/>
      <c r="U1116" s="472"/>
      <c r="V1116" s="472"/>
      <c r="W1116" s="472"/>
      <c r="X1116" s="472"/>
      <c r="Y1116" s="472"/>
    </row>
    <row r="1117" spans="1:25" x14ac:dyDescent="0.25">
      <c r="A1117" s="463"/>
      <c r="B1117" s="498"/>
      <c r="C1117" s="498"/>
      <c r="D1117" s="499" t="s">
        <v>12548</v>
      </c>
      <c r="E1117" s="500" t="s">
        <v>13194</v>
      </c>
      <c r="F1117" s="501" t="s">
        <v>578</v>
      </c>
      <c r="G1117" s="524"/>
      <c r="H1117" s="503"/>
      <c r="I1117" s="504">
        <f>ROUND(SUM(I1118:I1120),2)</f>
        <v>11.29</v>
      </c>
      <c r="J1117" s="504">
        <f>ROUND(SUM(J1118:J1120),2)</f>
        <v>3.85</v>
      </c>
      <c r="K1117" s="504">
        <f>+J1117+I1117</f>
        <v>15.139999999999999</v>
      </c>
      <c r="L1117" s="499" t="s">
        <v>13195</v>
      </c>
      <c r="M1117" s="471"/>
      <c r="N1117" s="505"/>
      <c r="Q1117" s="472"/>
      <c r="R1117" s="472"/>
      <c r="S1117" s="472"/>
      <c r="T1117" s="472"/>
      <c r="U1117" s="472"/>
      <c r="V1117" s="472"/>
      <c r="W1117" s="472"/>
      <c r="X1117" s="472"/>
      <c r="Y1117" s="472"/>
    </row>
    <row r="1118" spans="1:25" x14ac:dyDescent="0.25">
      <c r="A1118" s="463"/>
      <c r="B1118" s="506"/>
      <c r="C1118" s="507">
        <v>3322</v>
      </c>
      <c r="D1118" s="508"/>
      <c r="E1118" s="509" t="str">
        <f>IF($C1118="",IFERROR(VLOOKUP($B1118,SERVIÇOS!$B:$G,2,0),IFERROR(VLOOKUP($B1118,$D:$K,2,0),"")),IFERROR(VLOOKUP($C1118,INSUMOS!$A:$D,2,0),IFERROR(VLOOKUP($C1118,COTAÇÕES!$B:$I,2,0),(VLOOKUP($C1118,'INSUMO SINAPI - SP'!$C:$F,2,0)))))</f>
        <v>GRAMA ESMERALDA OU SAO CARLOS OU CURITIBANA, EM PLACAS, SEM PLANTIO</v>
      </c>
      <c r="F1118" s="510" t="str">
        <f>IF($C1118="",IFERROR(VLOOKUP($B1118,SERVIÇOS!$B:$G,3,0),IFERROR(VLOOKUP($B1118,$D:$K,3,0),"")),IFERROR(VLOOKUP($C1118,INSUMOS!$A:$D,3,0),IFERROR(VLOOKUP($C1118,COTAÇÕES!$B:$I,3,0),(VLOOKUP($C1118,'INSUMO SINAPI - SP'!$C:$F,3,0)))))</f>
        <v>M2</v>
      </c>
      <c r="G1118" s="511">
        <v>1</v>
      </c>
      <c r="H1118" s="512">
        <f>IF($C1118="",IFERROR(VLOOKUP($B1118,SERVIÇOS!$B:$G,6,0),IFERROR(VLOOKUP($B1118,$D:$K,8,0),"")),IFERROR(VLOOKUP($C1118,INSUMOS!$A:$D,4,0),IFERROR(VLOOKUP($C1118,COTAÇÕES!$B:$I,7,0),(VLOOKUP($C1118,'INSUMO SINAPI - SP'!$C:$F,4,0)))))</f>
        <v>9.5</v>
      </c>
      <c r="I1118" s="513">
        <f>TRUNC(IF($C1118="",IFERROR(VLOOKUP($B1118,SERVIÇOS!$B:$G,4,0),IFERROR(VLOOKUP($B1118,$D:$K,6,0),)),IFERROR(VLOOKUP($C1118,INSUMOS!$A:$D,4,0),IFERROR(VLOOKUP($C1118,COTAÇÕES!$B:$I,7,0),(VLOOKUP($C1118,'INSUMO SINAPI - SP'!$C:$F,4,0)))))*$G1118,2)</f>
        <v>9.5</v>
      </c>
      <c r="J1118" s="513">
        <f>TRUNC(IF($C1118="",IFERROR(VLOOKUP($B1118,SERVIÇOS!$B:$G,5,0),IFERROR(VLOOKUP($B1118,$D:$K,7,0),)),0)*$G1118,2)</f>
        <v>0</v>
      </c>
      <c r="K1118" s="514">
        <f>I1118+J1118</f>
        <v>9.5</v>
      </c>
      <c r="L1118" s="517"/>
      <c r="M1118" s="471"/>
      <c r="N1118" s="516"/>
      <c r="Q1118" s="472"/>
      <c r="R1118" s="472"/>
      <c r="S1118" s="472"/>
      <c r="T1118" s="472"/>
      <c r="U1118" s="472"/>
      <c r="V1118" s="472"/>
      <c r="W1118" s="472"/>
      <c r="X1118" s="472"/>
      <c r="Y1118" s="472"/>
    </row>
    <row r="1119" spans="1:25" x14ac:dyDescent="0.25">
      <c r="A1119" s="463"/>
      <c r="B1119" s="506">
        <v>88316</v>
      </c>
      <c r="C1119" s="507"/>
      <c r="D1119" s="508"/>
      <c r="E1119" s="509" t="str">
        <f>IF($C1119="",IFERROR(VLOOKUP($B1119,SERVIÇOS!$B:$G,2,0),IFERROR(VLOOKUP($B1119,$D:$K,2,0),"")),IFERROR(VLOOKUP($C1119,INSUMOS!$A:$D,2,0),IFERROR(VLOOKUP($C1119,COTAÇÕES!$B:$I,2,0),(VLOOKUP($C1119,'INSUMO SINAPI - SP'!$C:$F,2,0)))))</f>
        <v>SERVENTE COM ENCARGOS COMPLEMENTARES</v>
      </c>
      <c r="F1119" s="510" t="str">
        <f>IF($C1119="",IFERROR(VLOOKUP($B1119,SERVIÇOS!$B:$G,3,0),IFERROR(VLOOKUP($B1119,$D:$K,3,0),"")),IFERROR(VLOOKUP($C1119,INSUMOS!$A:$D,3,0),IFERROR(VLOOKUP($C1119,COTAÇÕES!$B:$I,3,0),(VLOOKUP($C1119,'INSUMO SINAPI - SP'!$C:$F,3,0)))))</f>
        <v>H</v>
      </c>
      <c r="G1119" s="511">
        <v>0.15640000000000001</v>
      </c>
      <c r="H1119" s="512">
        <f>IF($C1119="",IFERROR(VLOOKUP($B1119,SERVIÇOS!$B:$G,6,0),IFERROR(VLOOKUP($B1119,$D:$K,8,0),"")),IFERROR(VLOOKUP($C1119,INSUMOS!$A:$D,4,0),IFERROR(VLOOKUP($C1119,COTAÇÕES!$B:$I,7,0),(VLOOKUP($C1119,'INSUMO SINAPI - SP'!$C:$F,4,0)))))</f>
        <v>28.71</v>
      </c>
      <c r="I1119" s="513">
        <f>TRUNC(IF($C1119="",IFERROR(VLOOKUP($B1119,SERVIÇOS!$B:$G,4,0),IFERROR(VLOOKUP($B1119,$D:$K,6,0),)),IFERROR(VLOOKUP($C1119,INSUMOS!$A:$D,4,0),IFERROR(VLOOKUP($C1119,COTAÇÕES!$B:$I,7,0),(VLOOKUP($C1119,'INSUMO SINAPI - SP'!$C:$F,4,0)))))*$G1119,2)</f>
        <v>1.43</v>
      </c>
      <c r="J1119" s="513">
        <f>TRUNC(IF($C1119="",IFERROR(VLOOKUP($B1119,SERVIÇOS!$B:$G,5,0),IFERROR(VLOOKUP($B1119,$D:$K,7,0),)),0)*$G1119,2)</f>
        <v>3.05</v>
      </c>
      <c r="K1119" s="514">
        <f>I1119+J1119</f>
        <v>4.4799999999999995</v>
      </c>
      <c r="L1119" s="515"/>
      <c r="M1119" s="471"/>
      <c r="N1119" s="516"/>
      <c r="Q1119" s="472"/>
      <c r="R1119" s="472"/>
      <c r="S1119" s="472"/>
      <c r="T1119" s="472"/>
      <c r="U1119" s="472"/>
      <c r="V1119" s="472"/>
      <c r="W1119" s="472"/>
      <c r="X1119" s="472"/>
      <c r="Y1119" s="472"/>
    </row>
    <row r="1120" spans="1:25" x14ac:dyDescent="0.25">
      <c r="A1120" s="463"/>
      <c r="B1120" s="507">
        <v>88441</v>
      </c>
      <c r="C1120" s="507"/>
      <c r="D1120" s="508"/>
      <c r="E1120" s="509" t="str">
        <f>IF($C1120="",IFERROR(VLOOKUP($B1120,SERVIÇOS!$B:$G,2,0),IFERROR(VLOOKUP($B1120,$D:$K,2,0),"")),IFERROR(VLOOKUP($C1120,INSUMOS!$A:$D,2,0),IFERROR(VLOOKUP($C1120,COTAÇÕES!$B:$I,2,0),(VLOOKUP($C1120,'INSUMO SINAPI - SP'!$C:$F,2,0)))))</f>
        <v>JARDINEIRO COM ENCARGOS COMPLEMENTARES</v>
      </c>
      <c r="F1120" s="510" t="str">
        <f>IF($C1120="",IFERROR(VLOOKUP($B1120,SERVIÇOS!$B:$G,3,0),IFERROR(VLOOKUP($B1120,$D:$K,3,0),"")),IFERROR(VLOOKUP($C1120,INSUMOS!$A:$D,3,0),IFERROR(VLOOKUP($C1120,COTAÇÕES!$B:$I,3,0),(VLOOKUP($C1120,'INSUMO SINAPI - SP'!$C:$F,3,0)))))</f>
        <v>H</v>
      </c>
      <c r="G1120" s="511">
        <v>3.9100000000000003E-2</v>
      </c>
      <c r="H1120" s="512">
        <f>IF($C1120="",IFERROR(VLOOKUP($B1120,SERVIÇOS!$B:$G,6,0),IFERROR(VLOOKUP($B1120,$D:$K,8,0),"")),IFERROR(VLOOKUP($C1120,INSUMOS!$A:$D,4,0),IFERROR(VLOOKUP($C1120,COTAÇÕES!$B:$I,7,0),(VLOOKUP($C1120,'INSUMO SINAPI - SP'!$C:$F,4,0)))))</f>
        <v>29.87</v>
      </c>
      <c r="I1120" s="513">
        <f>TRUNC(IF($C1120="",IFERROR(VLOOKUP($B1120,SERVIÇOS!$B:$G,4,0),IFERROR(VLOOKUP($B1120,$D:$K,6,0),)),IFERROR(VLOOKUP($C1120,INSUMOS!$A:$D,4,0),IFERROR(VLOOKUP($C1120,COTAÇÕES!$B:$I,7,0),(VLOOKUP($C1120,'INSUMO SINAPI - SP'!$C:$F,4,0)))))*$G1120,2)</f>
        <v>0.36</v>
      </c>
      <c r="J1120" s="513">
        <f>TRUNC(IF($C1120="",IFERROR(VLOOKUP($B1120,SERVIÇOS!$B:$G,5,0),IFERROR(VLOOKUP($B1120,$D:$K,7,0),)),0)*$G1120,2)</f>
        <v>0.8</v>
      </c>
      <c r="K1120" s="514">
        <f>I1120+J1120</f>
        <v>1.1600000000000001</v>
      </c>
      <c r="L1120" s="515"/>
      <c r="M1120" s="471"/>
      <c r="N1120" s="516"/>
      <c r="Q1120" s="472"/>
      <c r="R1120" s="472"/>
      <c r="S1120" s="472"/>
      <c r="T1120" s="472"/>
      <c r="U1120" s="472"/>
      <c r="V1120" s="472"/>
      <c r="W1120" s="472"/>
      <c r="X1120" s="472"/>
      <c r="Y1120" s="472"/>
    </row>
    <row r="1121" spans="1:25" x14ac:dyDescent="0.25">
      <c r="A1121" s="463"/>
      <c r="B1121" s="526"/>
      <c r="C1121" s="527"/>
      <c r="D1121" s="499" t="s">
        <v>12012</v>
      </c>
      <c r="E1121" s="500" t="s">
        <v>13196</v>
      </c>
      <c r="F1121" s="501" t="s">
        <v>585</v>
      </c>
      <c r="G1121" s="528"/>
      <c r="H1121" s="503"/>
      <c r="I1121" s="504">
        <f>ROUND(SUM(I1122:I1124),2)</f>
        <v>25.08</v>
      </c>
      <c r="J1121" s="504">
        <f>ROUND(SUM(J1122:J1124),2)</f>
        <v>27.87</v>
      </c>
      <c r="K1121" s="504">
        <f>+J1121+I1121</f>
        <v>52.95</v>
      </c>
      <c r="L1121" s="499" t="s">
        <v>13197</v>
      </c>
      <c r="M1121" s="471"/>
      <c r="N1121" s="505"/>
      <c r="Q1121" s="472"/>
      <c r="R1121" s="472"/>
      <c r="S1121" s="472"/>
      <c r="T1121" s="472"/>
      <c r="U1121" s="472"/>
      <c r="V1121" s="472"/>
      <c r="W1121" s="472"/>
      <c r="X1121" s="472"/>
      <c r="Y1121" s="472"/>
    </row>
    <row r="1122" spans="1:25" x14ac:dyDescent="0.25">
      <c r="A1122" s="463"/>
      <c r="B1122" s="506">
        <v>88315</v>
      </c>
      <c r="C1122" s="507"/>
      <c r="D1122" s="508"/>
      <c r="E1122" s="509" t="str">
        <f>IF($C1122="",IFERROR(VLOOKUP($B1122,SERVIÇOS!$B:$G,2,0),IFERROR(VLOOKUP($B1122,$D:$K,2,0),"")),IFERROR(VLOOKUP($C1122,INSUMOS!$A:$D,2,0),IFERROR(VLOOKUP($C1122,COTAÇÕES!$B:$I,2,0),(VLOOKUP($C1122,'INSUMO SINAPI - SP'!$C:$F,2,0)))))</f>
        <v>SERRALHEIRO COM ENCARGOS COMPLEMENTARES</v>
      </c>
      <c r="F1122" s="510" t="str">
        <f>IF($C1122="",IFERROR(VLOOKUP($B1122,SERVIÇOS!$B:$G,3,0),IFERROR(VLOOKUP($B1122,$D:$K,3,0),"")),IFERROR(VLOOKUP($C1122,INSUMOS!$A:$D,3,0),IFERROR(VLOOKUP($C1122,COTAÇÕES!$B:$I,3,0),(VLOOKUP($C1122,'INSUMO SINAPI - SP'!$C:$F,3,0)))))</f>
        <v>H</v>
      </c>
      <c r="G1122" s="511">
        <v>0.57699999999999996</v>
      </c>
      <c r="H1122" s="512">
        <f>IF($C1122="",IFERROR(VLOOKUP($B1122,SERVIÇOS!$B:$G,6,0),IFERROR(VLOOKUP($B1122,$D:$K,8,0),"")),IFERROR(VLOOKUP($C1122,INSUMOS!$A:$D,4,0),IFERROR(VLOOKUP($C1122,COTAÇÕES!$B:$I,7,0),(VLOOKUP($C1122,'INSUMO SINAPI - SP'!$C:$F,4,0)))))</f>
        <v>36.65</v>
      </c>
      <c r="I1122" s="513">
        <f>TRUNC(IF($C1122="",IFERROR(VLOOKUP($B1122,SERVIÇOS!$B:$G,4,0),IFERROR(VLOOKUP($B1122,$D:$K,6,0),)),IFERROR(VLOOKUP($C1122,INSUMOS!$A:$D,4,0),IFERROR(VLOOKUP($C1122,COTAÇÕES!$B:$I,7,0),(VLOOKUP($C1122,'INSUMO SINAPI - SP'!$C:$F,4,0)))))*$G1122,2)</f>
        <v>5.35</v>
      </c>
      <c r="J1122" s="513">
        <f>TRUNC(IF($C1122="",IFERROR(VLOOKUP($B1122,SERVIÇOS!$B:$G,5,0),IFERROR(VLOOKUP($B1122,$D:$K,7,0),)),0)*$G1122,2)</f>
        <v>15.79</v>
      </c>
      <c r="K1122" s="514">
        <f>I1122+J1122</f>
        <v>21.14</v>
      </c>
      <c r="L1122" s="515"/>
      <c r="M1122" s="471"/>
      <c r="N1122" s="516"/>
      <c r="Q1122" s="472"/>
      <c r="R1122" s="472"/>
      <c r="S1122" s="472"/>
      <c r="T1122" s="472"/>
      <c r="U1122" s="472"/>
      <c r="V1122" s="472"/>
      <c r="W1122" s="472"/>
      <c r="X1122" s="472"/>
      <c r="Y1122" s="472"/>
    </row>
    <row r="1123" spans="1:25" x14ac:dyDescent="0.25">
      <c r="A1123" s="463"/>
      <c r="B1123" s="506">
        <v>88251</v>
      </c>
      <c r="C1123" s="507"/>
      <c r="D1123" s="508"/>
      <c r="E1123" s="509" t="str">
        <f>IF($C1123="",IFERROR(VLOOKUP($B1123,SERVIÇOS!$B:$G,2,0),IFERROR(VLOOKUP($B1123,$D:$K,2,0),"")),IFERROR(VLOOKUP($C1123,INSUMOS!$A:$D,2,0),IFERROR(VLOOKUP($C1123,COTAÇÕES!$B:$I,2,0),(VLOOKUP($C1123,'INSUMO SINAPI - SP'!$C:$F,2,0)))))</f>
        <v>AUXILIAR DE SERRALHEIRO COM ENCARGOS COMPLEMENTARES</v>
      </c>
      <c r="F1123" s="510" t="str">
        <f>IF($C1123="",IFERROR(VLOOKUP($B1123,SERVIÇOS!$B:$G,3,0),IFERROR(VLOOKUP($B1123,$D:$K,3,0),"")),IFERROR(VLOOKUP($C1123,INSUMOS!$A:$D,3,0),IFERROR(VLOOKUP($C1123,COTAÇÕES!$B:$I,3,0),(VLOOKUP($C1123,'INSUMO SINAPI - SP'!$C:$F,3,0)))))</f>
        <v>H</v>
      </c>
      <c r="G1123" s="511">
        <v>0.57699999999999996</v>
      </c>
      <c r="H1123" s="512">
        <f>IF($C1123="",IFERROR(VLOOKUP($B1123,SERVIÇOS!$B:$G,6,0),IFERROR(VLOOKUP($B1123,$D:$K,8,0),"")),IFERROR(VLOOKUP($C1123,INSUMOS!$A:$D,4,0),IFERROR(VLOOKUP($C1123,COTAÇÕES!$B:$I,7,0),(VLOOKUP($C1123,'INSUMO SINAPI - SP'!$C:$F,4,0)))))</f>
        <v>30.23</v>
      </c>
      <c r="I1123" s="513">
        <f>TRUNC(IF($C1123="",IFERROR(VLOOKUP($B1123,SERVIÇOS!$B:$G,4,0),IFERROR(VLOOKUP($B1123,$D:$K,6,0),)),IFERROR(VLOOKUP($C1123,INSUMOS!$A:$D,4,0),IFERROR(VLOOKUP($C1123,COTAÇÕES!$B:$I,7,0),(VLOOKUP($C1123,'INSUMO SINAPI - SP'!$C:$F,4,0)))))*$G1123,2)</f>
        <v>5.36</v>
      </c>
      <c r="J1123" s="513">
        <f>TRUNC(IF($C1123="",IFERROR(VLOOKUP($B1123,SERVIÇOS!$B:$G,5,0),IFERROR(VLOOKUP($B1123,$D:$K,7,0),)),0)*$G1123,2)</f>
        <v>12.08</v>
      </c>
      <c r="K1123" s="514">
        <f>I1123+J1123</f>
        <v>17.440000000000001</v>
      </c>
      <c r="L1123" s="515"/>
      <c r="M1123" s="471"/>
      <c r="N1123" s="516"/>
      <c r="Q1123" s="472"/>
      <c r="R1123" s="472"/>
      <c r="S1123" s="472"/>
      <c r="T1123" s="472"/>
      <c r="U1123" s="472"/>
      <c r="V1123" s="472"/>
      <c r="W1123" s="472"/>
      <c r="X1123" s="472"/>
      <c r="Y1123" s="472"/>
    </row>
    <row r="1124" spans="1:25" ht="24" x14ac:dyDescent="0.25">
      <c r="A1124" s="463"/>
      <c r="B1124" s="506"/>
      <c r="C1124" s="507">
        <v>43657</v>
      </c>
      <c r="D1124" s="508"/>
      <c r="E1124" s="509" t="str">
        <f>IF($C1124="",IFERROR(VLOOKUP($B1124,SERVIÇOS!$B:$G,2,0),IFERROR(VLOOKUP($B1124,$D:$K,2,0),"")),IFERROR(VLOOKUP($C1124,INSUMOS!$A:$D,2,0),IFERROR(VLOOKUP($C1124,COTAÇÕES!$B:$I,2,0),(VLOOKUP($C1124,'INSUMO SINAPI - SP'!$C:$F,2,0)))))</f>
        <v>CONTRAMARCO DE ALUMINIO (PERFIL 25) PARA ESQUADRIAS, TIPO CONVENCIONAL / CADEIRINHA, 60 MM (CM-060), INCLUSO CONEXOES, GRAPAS E TRAVAMENTOS</v>
      </c>
      <c r="F1124" s="510" t="str">
        <f>IF($C1124="",IFERROR(VLOOKUP($B1124,SERVIÇOS!$B:$G,3,0),IFERROR(VLOOKUP($B1124,$D:$K,3,0),"")),IFERROR(VLOOKUP($C1124,INSUMOS!$A:$D,3,0),IFERROR(VLOOKUP($C1124,COTAÇÕES!$B:$I,3,0),(VLOOKUP($C1124,'INSUMO SINAPI - SP'!$C:$F,3,0)))))</f>
        <v>M</v>
      </c>
      <c r="G1124" s="511">
        <v>1</v>
      </c>
      <c r="H1124" s="512">
        <f>IF($C1124="",IFERROR(VLOOKUP($B1124,SERVIÇOS!$B:$G,6,0),IFERROR(VLOOKUP($B1124,$D:$K,8,0),"")),IFERROR(VLOOKUP($C1124,INSUMOS!$A:$D,4,0),IFERROR(VLOOKUP($C1124,COTAÇÕES!$B:$I,7,0),(VLOOKUP($C1124,'INSUMO SINAPI - SP'!$C:$F,4,0)))))</f>
        <v>14.37</v>
      </c>
      <c r="I1124" s="513">
        <f>TRUNC(IF($C1124="",IFERROR(VLOOKUP($B1124,SERVIÇOS!$B:$G,4,0),IFERROR(VLOOKUP($B1124,$D:$K,6,0),)),IFERROR(VLOOKUP($C1124,INSUMOS!$A:$D,4,0),IFERROR(VLOOKUP($C1124,COTAÇÕES!$B:$I,7,0),(VLOOKUP($C1124,'INSUMO SINAPI - SP'!$C:$F,4,0)))))*$G1124,2)</f>
        <v>14.37</v>
      </c>
      <c r="J1124" s="513">
        <f>TRUNC(IF($C1124="",IFERROR(VLOOKUP($B1124,SERVIÇOS!$B:$G,5,0),IFERROR(VLOOKUP($B1124,$D:$K,7,0),)),0)*$G1124,2)</f>
        <v>0</v>
      </c>
      <c r="K1124" s="514">
        <f>I1124+J1124</f>
        <v>14.37</v>
      </c>
      <c r="L1124" s="517"/>
      <c r="M1124" s="471"/>
      <c r="N1124" s="516"/>
      <c r="Q1124" s="472"/>
      <c r="R1124" s="472"/>
      <c r="S1124" s="472"/>
      <c r="T1124" s="472"/>
      <c r="U1124" s="472"/>
      <c r="V1124" s="472"/>
      <c r="W1124" s="472"/>
      <c r="X1124" s="472"/>
      <c r="Y1124" s="472"/>
    </row>
    <row r="1125" spans="1:25" ht="24" x14ac:dyDescent="0.25">
      <c r="A1125" s="463"/>
      <c r="B1125" s="498"/>
      <c r="C1125" s="498"/>
      <c r="D1125" s="499" t="s">
        <v>12000</v>
      </c>
      <c r="E1125" s="500" t="s">
        <v>13198</v>
      </c>
      <c r="F1125" s="501" t="s">
        <v>578</v>
      </c>
      <c r="G1125" s="502"/>
      <c r="H1125" s="503"/>
      <c r="I1125" s="504">
        <f>ROUND(SUM(I1126:I1128),2)</f>
        <v>17.88</v>
      </c>
      <c r="J1125" s="504">
        <f>ROUND(SUM(J1126:J1128),2)</f>
        <v>29.95</v>
      </c>
      <c r="K1125" s="504">
        <f>+J1125+I1125</f>
        <v>47.83</v>
      </c>
      <c r="L1125" s="523" t="s">
        <v>13199</v>
      </c>
      <c r="M1125" s="471"/>
      <c r="N1125" s="505"/>
      <c r="Q1125" s="472"/>
      <c r="R1125" s="472"/>
      <c r="S1125" s="472"/>
      <c r="T1125" s="472"/>
      <c r="U1125" s="472"/>
      <c r="V1125" s="472"/>
      <c r="W1125" s="472"/>
      <c r="X1125" s="472"/>
      <c r="Y1125" s="472"/>
    </row>
    <row r="1126" spans="1:25" x14ac:dyDescent="0.25">
      <c r="A1126" s="463"/>
      <c r="B1126" s="506">
        <v>88309</v>
      </c>
      <c r="C1126" s="507"/>
      <c r="D1126" s="508"/>
      <c r="E1126" s="509" t="str">
        <f>IF($C1126="",IFERROR(VLOOKUP($B1126,SERVIÇOS!$B:$G,2,0),IFERROR(VLOOKUP($B1126,$D:$K,2,0),"")),IFERROR(VLOOKUP($C1126,INSUMOS!$A:$D,2,0),IFERROR(VLOOKUP($C1126,COTAÇÕES!$B:$I,2,0),(VLOOKUP($C1126,'INSUMO SINAPI - SP'!$C:$F,2,0)))))</f>
        <v>PEDREIRO COM ENCARGOS COMPLEMENTARES</v>
      </c>
      <c r="F1126" s="510" t="str">
        <f>IF($C1126="",IFERROR(VLOOKUP($B1126,SERVIÇOS!$B:$G,3,0),IFERROR(VLOOKUP($B1126,$D:$K,3,0),"")),IFERROR(VLOOKUP($C1126,INSUMOS!$A:$D,3,0),IFERROR(VLOOKUP($C1126,COTAÇÕES!$B:$I,3,0),(VLOOKUP($C1126,'INSUMO SINAPI - SP'!$C:$F,3,0)))))</f>
        <v>H</v>
      </c>
      <c r="G1126" s="511">
        <v>0.6</v>
      </c>
      <c r="H1126" s="512">
        <f>IF($C1126="",IFERROR(VLOOKUP($B1126,SERVIÇOS!$B:$G,6,0),IFERROR(VLOOKUP($B1126,$D:$K,8,0),"")),IFERROR(VLOOKUP($C1126,INSUMOS!$A:$D,4,0),IFERROR(VLOOKUP($C1126,COTAÇÕES!$B:$I,7,0),(VLOOKUP($C1126,'INSUMO SINAPI - SP'!$C:$F,4,0)))))</f>
        <v>36.909999999999997</v>
      </c>
      <c r="I1126" s="513">
        <f>TRUNC(IF($C1126="",IFERROR(VLOOKUP($B1126,SERVIÇOS!$B:$G,4,0),IFERROR(VLOOKUP($B1126,$D:$K,6,0),)),IFERROR(VLOOKUP($C1126,INSUMOS!$A:$D,4,0),IFERROR(VLOOKUP($C1126,COTAÇÕES!$B:$I,7,0),(VLOOKUP($C1126,'INSUMO SINAPI - SP'!$C:$F,4,0)))))*$G1126,2)</f>
        <v>5.56</v>
      </c>
      <c r="J1126" s="513">
        <f>TRUNC(IF($C1126="",IFERROR(VLOOKUP($B1126,SERVIÇOS!$B:$G,5,0),IFERROR(VLOOKUP($B1126,$D:$K,7,0),)),0)*$G1126,2)</f>
        <v>16.57</v>
      </c>
      <c r="K1126" s="514">
        <f>I1126+J1126</f>
        <v>22.13</v>
      </c>
      <c r="L1126" s="515"/>
      <c r="M1126" s="471"/>
      <c r="N1126" s="516"/>
      <c r="Q1126" s="472"/>
      <c r="R1126" s="472"/>
      <c r="S1126" s="472"/>
      <c r="T1126" s="472"/>
      <c r="U1126" s="472"/>
      <c r="V1126" s="472"/>
      <c r="W1126" s="472"/>
      <c r="X1126" s="472"/>
      <c r="Y1126" s="472"/>
    </row>
    <row r="1127" spans="1:25" x14ac:dyDescent="0.25">
      <c r="A1127" s="463"/>
      <c r="B1127" s="506">
        <v>88316</v>
      </c>
      <c r="C1127" s="507"/>
      <c r="D1127" s="508"/>
      <c r="E1127" s="509" t="str">
        <f>IF($C1127="",IFERROR(VLOOKUP($B1127,SERVIÇOS!$B:$G,2,0),IFERROR(VLOOKUP($B1127,$D:$K,2,0),"")),IFERROR(VLOOKUP($C1127,INSUMOS!$A:$D,2,0),IFERROR(VLOOKUP($C1127,COTAÇÕES!$B:$I,2,0),(VLOOKUP($C1127,'INSUMO SINAPI - SP'!$C:$F,2,0)))))</f>
        <v>SERVENTE COM ENCARGOS COMPLEMENTARES</v>
      </c>
      <c r="F1127" s="510" t="str">
        <f>IF($C1127="",IFERROR(VLOOKUP($B1127,SERVIÇOS!$B:$G,3,0),IFERROR(VLOOKUP($B1127,$D:$K,3,0),"")),IFERROR(VLOOKUP($C1127,INSUMOS!$A:$D,3,0),IFERROR(VLOOKUP($C1127,COTAÇÕES!$B:$I,3,0),(VLOOKUP($C1127,'INSUMO SINAPI - SP'!$C:$F,3,0)))))</f>
        <v>H</v>
      </c>
      <c r="G1127" s="511">
        <v>0.6</v>
      </c>
      <c r="H1127" s="512">
        <f>IF($C1127="",IFERROR(VLOOKUP($B1127,SERVIÇOS!$B:$G,6,0),IFERROR(VLOOKUP($B1127,$D:$K,8,0),"")),IFERROR(VLOOKUP($C1127,INSUMOS!$A:$D,4,0),IFERROR(VLOOKUP($C1127,COTAÇÕES!$B:$I,7,0),(VLOOKUP($C1127,'INSUMO SINAPI - SP'!$C:$F,4,0)))))</f>
        <v>28.71</v>
      </c>
      <c r="I1127" s="513">
        <f>TRUNC(IF($C1127="",IFERROR(VLOOKUP($B1127,SERVIÇOS!$B:$G,4,0),IFERROR(VLOOKUP($B1127,$D:$K,6,0),)),IFERROR(VLOOKUP($C1127,INSUMOS!$A:$D,4,0),IFERROR(VLOOKUP($C1127,COTAÇÕES!$B:$I,7,0),(VLOOKUP($C1127,'INSUMO SINAPI - SP'!$C:$F,4,0)))))*$G1127,2)</f>
        <v>5.52</v>
      </c>
      <c r="J1127" s="513">
        <f>TRUNC(IF($C1127="",IFERROR(VLOOKUP($B1127,SERVIÇOS!$B:$G,5,0),IFERROR(VLOOKUP($B1127,$D:$K,7,0),)),0)*$G1127,2)</f>
        <v>11.7</v>
      </c>
      <c r="K1127" s="514">
        <f>I1127+J1127</f>
        <v>17.22</v>
      </c>
      <c r="L1127" s="515"/>
      <c r="M1127" s="471"/>
      <c r="N1127" s="516"/>
      <c r="Q1127" s="472"/>
      <c r="R1127" s="472"/>
      <c r="S1127" s="472"/>
      <c r="T1127" s="472"/>
      <c r="U1127" s="472"/>
      <c r="V1127" s="472"/>
      <c r="W1127" s="472"/>
      <c r="X1127" s="472"/>
      <c r="Y1127" s="472"/>
    </row>
    <row r="1128" spans="1:25" ht="36" x14ac:dyDescent="0.25">
      <c r="A1128" s="463"/>
      <c r="B1128" s="506">
        <v>87292</v>
      </c>
      <c r="C1128" s="507"/>
      <c r="D1128" s="508"/>
      <c r="E1128" s="509" t="str">
        <f>IF($C1128="",IFERROR(VLOOKUP($B1128,SERVIÇOS!$B:$G,2,0),IFERROR(VLOOKUP($B1128,$D:$K,2,0),"")),IFERROR(VLOOKUP($C1128,INSUMOS!$A:$D,2,0),IFERROR(VLOOKUP($C1128,COTAÇÕES!$B:$I,2,0),(VLOOKUP($C1128,'INSUMO SINAPI - SP'!$C:$F,2,0)))))</f>
        <v>ARGAMASSA TRAÇO 1:2:8 (EM VOLUME DE CIMENTO, CAL E AREIA MÉDIA ÚMIDA) PARA EMBOÇO/MASSA ÚNICA/ASSENTAMENTO DE ALVENARIA DE VEDAÇÃO, PREPARO MECÂNICO COM BETONEIRA 400 L. AF_08/2019</v>
      </c>
      <c r="F1128" s="510" t="str">
        <f>IF($C1128="",IFERROR(VLOOKUP($B1128,SERVIÇOS!$B:$G,3,0),IFERROR(VLOOKUP($B1128,$D:$K,3,0),"")),IFERROR(VLOOKUP($C1128,INSUMOS!$A:$D,3,0),IFERROR(VLOOKUP($C1128,COTAÇÕES!$B:$I,3,0),(VLOOKUP($C1128,'INSUMO SINAPI - SP'!$C:$F,3,0)))))</f>
        <v>M3</v>
      </c>
      <c r="G1128" s="511">
        <v>1.4999999999999999E-2</v>
      </c>
      <c r="H1128" s="512">
        <f>IF($C1128="",IFERROR(VLOOKUP($B1128,SERVIÇOS!$B:$G,6,0),IFERROR(VLOOKUP($B1128,$D:$K,8,0),"")),IFERROR(VLOOKUP($C1128,INSUMOS!$A:$D,4,0),IFERROR(VLOOKUP($C1128,COTAÇÕES!$B:$I,7,0),(VLOOKUP($C1128,'INSUMO SINAPI - SP'!$C:$F,4,0)))))</f>
        <v>565.76</v>
      </c>
      <c r="I1128" s="513">
        <f>TRUNC(IF($C1128="",IFERROR(VLOOKUP($B1128,SERVIÇOS!$B:$G,4,0),IFERROR(VLOOKUP($B1128,$D:$K,6,0),)),IFERROR(VLOOKUP($C1128,INSUMOS!$A:$D,4,0),IFERROR(VLOOKUP($C1128,COTAÇÕES!$B:$I,7,0),(VLOOKUP($C1128,'INSUMO SINAPI - SP'!$C:$F,4,0)))))*$G1128,2)</f>
        <v>6.8</v>
      </c>
      <c r="J1128" s="513">
        <f>TRUNC(IF($C1128="",IFERROR(VLOOKUP($B1128,SERVIÇOS!$B:$G,5,0),IFERROR(VLOOKUP($B1128,$D:$K,7,0),)),0)*$G1128,2)</f>
        <v>1.68</v>
      </c>
      <c r="K1128" s="514">
        <f>I1128+J1128</f>
        <v>8.48</v>
      </c>
      <c r="L1128" s="515"/>
      <c r="M1128" s="471"/>
      <c r="N1128" s="516"/>
      <c r="Q1128" s="472"/>
      <c r="R1128" s="472"/>
      <c r="S1128" s="472"/>
      <c r="T1128" s="472"/>
      <c r="U1128" s="472"/>
      <c r="V1128" s="472"/>
      <c r="W1128" s="472"/>
      <c r="X1128" s="472"/>
      <c r="Y1128" s="472"/>
    </row>
    <row r="1129" spans="1:25" ht="36" x14ac:dyDescent="0.25">
      <c r="A1129" s="463"/>
      <c r="B1129" s="498"/>
      <c r="C1129" s="498"/>
      <c r="D1129" s="499" t="s">
        <v>12515</v>
      </c>
      <c r="E1129" s="500" t="s">
        <v>13200</v>
      </c>
      <c r="F1129" s="501" t="s">
        <v>580</v>
      </c>
      <c r="G1129" s="502"/>
      <c r="H1129" s="503"/>
      <c r="I1129" s="504">
        <f>ROUND(SUM(I1130),2)</f>
        <v>119.21</v>
      </c>
      <c r="J1129" s="504">
        <f>ROUND(SUM(J1130),2)</f>
        <v>110.64</v>
      </c>
      <c r="K1129" s="504">
        <f>+J1129+I1129</f>
        <v>229.85</v>
      </c>
      <c r="L1129" s="523"/>
      <c r="M1129" s="471"/>
      <c r="N1129" s="505"/>
      <c r="Q1129" s="472"/>
      <c r="R1129" s="472"/>
      <c r="S1129" s="472"/>
      <c r="T1129" s="472"/>
      <c r="U1129" s="472"/>
      <c r="V1129" s="472"/>
      <c r="W1129" s="472"/>
      <c r="X1129" s="472"/>
      <c r="Y1129" s="472"/>
    </row>
    <row r="1130" spans="1:25" ht="24" x14ac:dyDescent="0.25">
      <c r="A1130" s="463"/>
      <c r="B1130" s="506">
        <v>105005</v>
      </c>
      <c r="C1130" s="507"/>
      <c r="D1130" s="508"/>
      <c r="E1130" s="509" t="str">
        <f>IF($C1130="",IFERROR(VLOOKUP($B1130,SERVIÇOS!$B:$G,2,0),IFERROR(VLOOKUP($B1130,$D:$K,2,0),"")),IFERROR(VLOOKUP($C1130,INSUMOS!$A:$D,2,0),IFERROR(VLOOKUP($C1130,COTAÇÕES!$B:$I,2,0),(VLOOKUP($C1130,'INSUMO SINAPI - SP'!$C:$F,2,0)))))</f>
        <v>RAMPA DE ACESSIBILIDADE EM CONCRETO MOLDADO IN LOCO, EM CALÇADA PRÉ EXISTENTE COM LARGURA MENOR À 3,00 M, FCK 25MPA, COM PISO PODOTÁTIL. AF_03/2024</v>
      </c>
      <c r="F1130" s="510" t="str">
        <f>IF($C1130="",IFERROR(VLOOKUP($B1130,SERVIÇOS!$B:$G,3,0),IFERROR(VLOOKUP($B1130,$D:$K,3,0),"")),IFERROR(VLOOKUP($C1130,INSUMOS!$A:$D,3,0),IFERROR(VLOOKUP($C1130,COTAÇÕES!$B:$I,3,0),(VLOOKUP($C1130,'INSUMO SINAPI - SP'!$C:$F,3,0)))))</f>
        <v>M2</v>
      </c>
      <c r="G1130" s="556">
        <v>1</v>
      </c>
      <c r="H1130" s="512">
        <f>IF($C1130="",IFERROR(VLOOKUP($B1130,SERVIÇOS!$B:$G,6,0),IFERROR(VLOOKUP($B1130,$D:$K,8,0),"")),IFERROR(VLOOKUP($C1130,INSUMOS!$A:$D,4,0),IFERROR(VLOOKUP($C1130,COTAÇÕES!$B:$I,7,0),(VLOOKUP($C1130,'INSUMO SINAPI - SP'!$C:$F,4,0)))))</f>
        <v>229.85</v>
      </c>
      <c r="I1130" s="513">
        <f>TRUNC(IF($C1130="",IFERROR(VLOOKUP($B1130,SERVIÇOS!$B:$G,4,0),IFERROR(VLOOKUP($B1130,$D:$K,6,0),)),IFERROR(VLOOKUP($C1130,INSUMOS!$A:$D,4,0),IFERROR(VLOOKUP($C1130,COTAÇÕES!$B:$I,7,0),(VLOOKUP($C1130,'INSUMO SINAPI - SP'!$C:$F,4,0)))))*$G1130,2)</f>
        <v>119.21</v>
      </c>
      <c r="J1130" s="513">
        <f>TRUNC(IF($C1130="",IFERROR(VLOOKUP($B1130,SERVIÇOS!$B:$G,5,0),IFERROR(VLOOKUP($B1130,$D:$K,7,0),)),0)*$G1130,2)</f>
        <v>110.64</v>
      </c>
      <c r="K1130" s="514">
        <f>I1130+J1130</f>
        <v>229.85</v>
      </c>
      <c r="L1130" s="515"/>
      <c r="M1130" s="471"/>
      <c r="N1130" s="516"/>
      <c r="Q1130" s="472"/>
      <c r="R1130" s="472"/>
      <c r="S1130" s="472"/>
      <c r="T1130" s="472"/>
      <c r="U1130" s="472"/>
      <c r="V1130" s="472"/>
      <c r="W1130" s="472"/>
      <c r="X1130" s="472"/>
      <c r="Y1130" s="472"/>
    </row>
    <row r="1131" spans="1:25" ht="36" x14ac:dyDescent="0.25">
      <c r="A1131" s="463"/>
      <c r="B1131" s="498"/>
      <c r="C1131" s="498"/>
      <c r="D1131" s="499" t="s">
        <v>11960</v>
      </c>
      <c r="E1131" s="555" t="s">
        <v>13201</v>
      </c>
      <c r="F1131" s="501" t="s">
        <v>578</v>
      </c>
      <c r="G1131" s="502"/>
      <c r="H1131" s="503"/>
      <c r="I1131" s="504">
        <f>ROUND(SUM(I1132:I1144),2)</f>
        <v>304.51</v>
      </c>
      <c r="J1131" s="504">
        <f>ROUND(SUM(J1132:J1144),2)</f>
        <v>25.57</v>
      </c>
      <c r="K1131" s="504">
        <f>+J1131+I1131</f>
        <v>330.08</v>
      </c>
      <c r="L1131" s="523" t="s">
        <v>13202</v>
      </c>
      <c r="M1131" s="471"/>
      <c r="N1131" s="505"/>
      <c r="Q1131" s="472"/>
      <c r="R1131" s="472"/>
      <c r="S1131" s="472"/>
      <c r="T1131" s="472"/>
      <c r="U1131" s="472"/>
      <c r="V1131" s="472"/>
      <c r="W1131" s="472"/>
      <c r="X1131" s="472"/>
      <c r="Y1131" s="472"/>
    </row>
    <row r="1132" spans="1:25" x14ac:dyDescent="0.25">
      <c r="A1132" s="463"/>
      <c r="B1132" s="506">
        <v>88278</v>
      </c>
      <c r="C1132" s="507"/>
      <c r="D1132" s="508"/>
      <c r="E1132" s="509" t="str">
        <f>IF($C1132="",IFERROR(VLOOKUP($B1132,SERVIÇOS!$B:$G,2,0),IFERROR(VLOOKUP($B1132,$D:$K,2,0),"")),IFERROR(VLOOKUP($C1132,INSUMOS!$A:$D,2,0),IFERROR(VLOOKUP($C1132,COTAÇÕES!$B:$I,2,0),(VLOOKUP($C1132,'INSUMO SINAPI - SP'!$C:$F,2,0)))))</f>
        <v>MONTADOR DE ESTRUTURA METÁLICA COM ENCARGOS COMPLEMENTARES</v>
      </c>
      <c r="F1132" s="510" t="str">
        <f>IF($C1132="",IFERROR(VLOOKUP($B1132,SERVIÇOS!$B:$G,3,0),IFERROR(VLOOKUP($B1132,$D:$K,3,0),"")),IFERROR(VLOOKUP($C1132,INSUMOS!$A:$D,3,0),IFERROR(VLOOKUP($C1132,COTAÇÕES!$B:$I,3,0),(VLOOKUP($C1132,'INSUMO SINAPI - SP'!$C:$F,3,0)))))</f>
        <v>H</v>
      </c>
      <c r="G1132" s="511">
        <v>0.88200000000000001</v>
      </c>
      <c r="H1132" s="512">
        <f>IF($C1132="",IFERROR(VLOOKUP($B1132,SERVIÇOS!$B:$G,6,0),IFERROR(VLOOKUP($B1132,$D:$K,8,0),"")),IFERROR(VLOOKUP($C1132,INSUMOS!$A:$D,4,0),IFERROR(VLOOKUP($C1132,COTAÇÕES!$B:$I,7,0),(VLOOKUP($C1132,'INSUMO SINAPI - SP'!$C:$F,4,0)))))</f>
        <v>32.22</v>
      </c>
      <c r="I1132" s="513">
        <f>TRUNC(IF($C1132="",IFERROR(VLOOKUP($B1132,SERVIÇOS!$B:$G,4,0),IFERROR(VLOOKUP($B1132,$D:$K,6,0),)),IFERROR(VLOOKUP($C1132,INSUMOS!$A:$D,4,0),IFERROR(VLOOKUP($C1132,COTAÇÕES!$B:$I,7,0),(VLOOKUP($C1132,'INSUMO SINAPI - SP'!$C:$F,4,0)))))*$G1132,2)</f>
        <v>7.14</v>
      </c>
      <c r="J1132" s="513">
        <f>TRUNC(IF($C1132="",IFERROR(VLOOKUP($B1132,SERVIÇOS!$B:$G,5,0),IFERROR(VLOOKUP($B1132,$D:$K,7,0),)),0)*$G1132,2)</f>
        <v>21.27</v>
      </c>
      <c r="K1132" s="514">
        <f t="shared" ref="K1132:K1144" si="36">I1132+J1132</f>
        <v>28.41</v>
      </c>
      <c r="L1132" s="515"/>
      <c r="M1132" s="471"/>
      <c r="N1132" s="516"/>
      <c r="Q1132" s="472"/>
      <c r="R1132" s="472"/>
      <c r="S1132" s="472"/>
      <c r="T1132" s="472"/>
      <c r="U1132" s="472"/>
      <c r="V1132" s="472"/>
      <c r="W1132" s="472"/>
      <c r="X1132" s="472"/>
      <c r="Y1132" s="472"/>
    </row>
    <row r="1133" spans="1:25" x14ac:dyDescent="0.25">
      <c r="A1133" s="463"/>
      <c r="B1133" s="506">
        <v>88316</v>
      </c>
      <c r="C1133" s="507"/>
      <c r="D1133" s="508"/>
      <c r="E1133" s="509" t="str">
        <f>IF($C1133="",IFERROR(VLOOKUP($B1133,SERVIÇOS!$B:$G,2,0),IFERROR(VLOOKUP($B1133,$D:$K,2,0),"")),IFERROR(VLOOKUP($C1133,INSUMOS!$A:$D,2,0),IFERROR(VLOOKUP($C1133,COTAÇÕES!$B:$I,2,0),(VLOOKUP($C1133,'INSUMO SINAPI - SP'!$C:$F,2,0)))))</f>
        <v>SERVENTE COM ENCARGOS COMPLEMENTARES</v>
      </c>
      <c r="F1133" s="510" t="str">
        <f>IF($C1133="",IFERROR(VLOOKUP($B1133,SERVIÇOS!$B:$G,3,0),IFERROR(VLOOKUP($B1133,$D:$K,3,0),"")),IFERROR(VLOOKUP($C1133,INSUMOS!$A:$D,3,0),IFERROR(VLOOKUP($C1133,COTAÇÕES!$B:$I,3,0),(VLOOKUP($C1133,'INSUMO SINAPI - SP'!$C:$F,3,0)))))</f>
        <v>H</v>
      </c>
      <c r="G1133" s="511">
        <v>0.2205</v>
      </c>
      <c r="H1133" s="512">
        <f>IF($C1133="",IFERROR(VLOOKUP($B1133,SERVIÇOS!$B:$G,6,0),IFERROR(VLOOKUP($B1133,$D:$K,8,0),"")),IFERROR(VLOOKUP($C1133,INSUMOS!$A:$D,4,0),IFERROR(VLOOKUP($C1133,COTAÇÕES!$B:$I,7,0),(VLOOKUP($C1133,'INSUMO SINAPI - SP'!$C:$F,4,0)))))</f>
        <v>28.71</v>
      </c>
      <c r="I1133" s="513">
        <f>TRUNC(IF($C1133="",IFERROR(VLOOKUP($B1133,SERVIÇOS!$B:$G,4,0),IFERROR(VLOOKUP($B1133,$D:$K,6,0),)),IFERROR(VLOOKUP($C1133,INSUMOS!$A:$D,4,0),IFERROR(VLOOKUP($C1133,COTAÇÕES!$B:$I,7,0),(VLOOKUP($C1133,'INSUMO SINAPI - SP'!$C:$F,4,0)))))*$G1133,2)</f>
        <v>2.02</v>
      </c>
      <c r="J1133" s="513">
        <f>TRUNC(IF($C1133="",IFERROR(VLOOKUP($B1133,SERVIÇOS!$B:$G,5,0),IFERROR(VLOOKUP($B1133,$D:$K,7,0),)),0)*$G1133,2)</f>
        <v>4.3</v>
      </c>
      <c r="K1133" s="514">
        <f t="shared" si="36"/>
        <v>6.32</v>
      </c>
      <c r="L1133" s="515"/>
      <c r="M1133" s="471"/>
      <c r="N1133" s="516"/>
      <c r="Q1133" s="472"/>
      <c r="R1133" s="472"/>
      <c r="S1133" s="472"/>
      <c r="T1133" s="472"/>
      <c r="U1133" s="472"/>
      <c r="V1133" s="472"/>
      <c r="W1133" s="472"/>
      <c r="X1133" s="472"/>
      <c r="Y1133" s="472"/>
    </row>
    <row r="1134" spans="1:25" ht="24" x14ac:dyDescent="0.25">
      <c r="A1134" s="463"/>
      <c r="B1134" s="506"/>
      <c r="C1134" s="507">
        <v>39420</v>
      </c>
      <c r="D1134" s="508"/>
      <c r="E1134" s="509" t="str">
        <f>IF($C1134="",IFERROR(VLOOKUP($B1134,SERVIÇOS!$B:$G,2,0),IFERROR(VLOOKUP($B1134,$D:$K,2,0),"")),IFERROR(VLOOKUP($C1134,INSUMOS!$A:$D,2,0),IFERROR(VLOOKUP($C1134,COTAÇÕES!$B:$I,2,0),(VLOOKUP($C1134,'INSUMO SINAPI - SP'!$C:$F,2,0)))))</f>
        <v>PERFIL GUIA, FORMATO U, EM ACO ZINCADO, PARA ESTRUTURA PAREDE DRYWALL, E = 0,5 MM, 90 X 3000 MM (L X C)</v>
      </c>
      <c r="F1134" s="510" t="str">
        <f>IF($C1134="",IFERROR(VLOOKUP($B1134,SERVIÇOS!$B:$G,3,0),IFERROR(VLOOKUP($B1134,$D:$K,3,0),"")),IFERROR(VLOOKUP($C1134,INSUMOS!$A:$D,3,0),IFERROR(VLOOKUP($C1134,COTAÇÕES!$B:$I,3,0),(VLOOKUP($C1134,'INSUMO SINAPI - SP'!$C:$F,3,0)))))</f>
        <v>M</v>
      </c>
      <c r="G1134" s="511">
        <v>1.5208999999999999</v>
      </c>
      <c r="H1134" s="512">
        <f>IF($C1134="",IFERROR(VLOOKUP($B1134,SERVIÇOS!$B:$G,6,0),IFERROR(VLOOKUP($B1134,$D:$K,8,0),"")),IFERROR(VLOOKUP($C1134,INSUMOS!$A:$D,4,0),IFERROR(VLOOKUP($C1134,COTAÇÕES!$B:$I,7,0),(VLOOKUP($C1134,'INSUMO SINAPI - SP'!$C:$F,4,0)))))</f>
        <v>7.89</v>
      </c>
      <c r="I1134" s="513">
        <f>TRUNC(IF($C1134="",IFERROR(VLOOKUP($B1134,SERVIÇOS!$B:$G,4,0),IFERROR(VLOOKUP($B1134,$D:$K,6,0),)),IFERROR(VLOOKUP($C1134,INSUMOS!$A:$D,4,0),IFERROR(VLOOKUP($C1134,COTAÇÕES!$B:$I,7,0),(VLOOKUP($C1134,'INSUMO SINAPI - SP'!$C:$F,4,0)))))*$G1134,2)</f>
        <v>11.99</v>
      </c>
      <c r="J1134" s="513">
        <f>TRUNC(IF($C1134="",IFERROR(VLOOKUP($B1134,SERVIÇOS!$B:$G,5,0),IFERROR(VLOOKUP($B1134,$D:$K,7,0),)),0)*$G1134,2)</f>
        <v>0</v>
      </c>
      <c r="K1134" s="514">
        <f t="shared" si="36"/>
        <v>11.99</v>
      </c>
      <c r="L1134" s="517"/>
      <c r="M1134" s="471"/>
      <c r="N1134" s="516"/>
      <c r="Q1134" s="472"/>
      <c r="R1134" s="472"/>
      <c r="S1134" s="472"/>
      <c r="T1134" s="472"/>
      <c r="U1134" s="472"/>
      <c r="V1134" s="472"/>
      <c r="W1134" s="472"/>
      <c r="X1134" s="472"/>
      <c r="Y1134" s="472"/>
    </row>
    <row r="1135" spans="1:25" ht="24" x14ac:dyDescent="0.25">
      <c r="A1135" s="463"/>
      <c r="B1135" s="506"/>
      <c r="C1135" s="507">
        <v>39423</v>
      </c>
      <c r="D1135" s="508"/>
      <c r="E1135" s="509" t="str">
        <f>IF($C1135="",IFERROR(VLOOKUP($B1135,SERVIÇOS!$B:$G,2,0),IFERROR(VLOOKUP($B1135,$D:$K,2,0),"")),IFERROR(VLOOKUP($C1135,INSUMOS!$A:$D,2,0),IFERROR(VLOOKUP($C1135,COTAÇÕES!$B:$I,2,0),(VLOOKUP($C1135,'INSUMO SINAPI - SP'!$C:$F,2,0)))))</f>
        <v>PERFIL MONTANTE, FORMATO C, EM ACO ZINCADO, PARA ESTRUTURA PAREDE DRYWALL, E = 0,5 MM, 90 X 3000 MM (L X C)</v>
      </c>
      <c r="F1135" s="510" t="str">
        <f>IF($C1135="",IFERROR(VLOOKUP($B1135,SERVIÇOS!$B:$G,3,0),IFERROR(VLOOKUP($B1135,$D:$K,3,0),"")),IFERROR(VLOOKUP($C1135,INSUMOS!$A:$D,3,0),IFERROR(VLOOKUP($C1135,COTAÇÕES!$B:$I,3,0),(VLOOKUP($C1135,'INSUMO SINAPI - SP'!$C:$F,3,0)))))</f>
        <v>M</v>
      </c>
      <c r="G1135" s="511">
        <v>3.9819</v>
      </c>
      <c r="H1135" s="512">
        <f>IF($C1135="",IFERROR(VLOOKUP($B1135,SERVIÇOS!$B:$G,6,0),IFERROR(VLOOKUP($B1135,$D:$K,8,0),"")),IFERROR(VLOOKUP($C1135,INSUMOS!$A:$D,4,0),IFERROR(VLOOKUP($C1135,COTAÇÕES!$B:$I,7,0),(VLOOKUP($C1135,'INSUMO SINAPI - SP'!$C:$F,4,0)))))</f>
        <v>9.41</v>
      </c>
      <c r="I1135" s="513">
        <f>TRUNC(IF($C1135="",IFERROR(VLOOKUP($B1135,SERVIÇOS!$B:$G,4,0),IFERROR(VLOOKUP($B1135,$D:$K,6,0),)),IFERROR(VLOOKUP($C1135,INSUMOS!$A:$D,4,0),IFERROR(VLOOKUP($C1135,COTAÇÕES!$B:$I,7,0),(VLOOKUP($C1135,'INSUMO SINAPI - SP'!$C:$F,4,0)))))*$G1135,2)</f>
        <v>37.46</v>
      </c>
      <c r="J1135" s="513">
        <f>TRUNC(IF($C1135="",IFERROR(VLOOKUP($B1135,SERVIÇOS!$B:$G,5,0),IFERROR(VLOOKUP($B1135,$D:$K,7,0),)),0)*$G1135,2)</f>
        <v>0</v>
      </c>
      <c r="K1135" s="514">
        <f t="shared" si="36"/>
        <v>37.46</v>
      </c>
      <c r="L1135" s="517"/>
      <c r="M1135" s="471"/>
      <c r="N1135" s="516"/>
      <c r="Q1135" s="472"/>
      <c r="R1135" s="472"/>
      <c r="S1135" s="472"/>
      <c r="T1135" s="472"/>
      <c r="U1135" s="472"/>
      <c r="V1135" s="472"/>
      <c r="W1135" s="472"/>
      <c r="X1135" s="472"/>
      <c r="Y1135" s="472"/>
    </row>
    <row r="1136" spans="1:25" ht="24" x14ac:dyDescent="0.25">
      <c r="A1136" s="463"/>
      <c r="B1136" s="506"/>
      <c r="C1136" s="507">
        <v>39443</v>
      </c>
      <c r="D1136" s="508"/>
      <c r="E1136" s="509" t="str">
        <f>IF($C1136="",IFERROR(VLOOKUP($B1136,SERVIÇOS!$B:$G,2,0),IFERROR(VLOOKUP($B1136,$D:$K,2,0),"")),IFERROR(VLOOKUP($C1136,INSUMOS!$A:$D,2,0),IFERROR(VLOOKUP($C1136,COTAÇÕES!$B:$I,2,0),(VLOOKUP($C1136,'INSUMO SINAPI - SP'!$C:$F,2,0)))))</f>
        <v>PARAFUSO DRY WALL, EM ACO ZINCADO, CABECA LENTILHA E PONTA BROCA (LB), LARGURA 4,2 MM, COMPRIMENTO 13 MM</v>
      </c>
      <c r="F1136" s="510" t="str">
        <f>IF($C1136="",IFERROR(VLOOKUP($B1136,SERVIÇOS!$B:$G,3,0),IFERROR(VLOOKUP($B1136,$D:$K,3,0),"")),IFERROR(VLOOKUP($C1136,INSUMOS!$A:$D,3,0),IFERROR(VLOOKUP($C1136,COTAÇÕES!$B:$I,3,0),(VLOOKUP($C1136,'INSUMO SINAPI - SP'!$C:$F,3,0)))))</f>
        <v>UN</v>
      </c>
      <c r="G1136" s="511">
        <v>0.80759999999999998</v>
      </c>
      <c r="H1136" s="512">
        <f>IF($C1136="",IFERROR(VLOOKUP($B1136,SERVIÇOS!$B:$G,6,0),IFERROR(VLOOKUP($B1136,$D:$K,8,0),"")),IFERROR(VLOOKUP($C1136,INSUMOS!$A:$D,4,0),IFERROR(VLOOKUP($C1136,COTAÇÕES!$B:$I,7,0),(VLOOKUP($C1136,'INSUMO SINAPI - SP'!$C:$F,4,0)))))</f>
        <v>0.21</v>
      </c>
      <c r="I1136" s="513">
        <f>TRUNC(IF($C1136="",IFERROR(VLOOKUP($B1136,SERVIÇOS!$B:$G,4,0),IFERROR(VLOOKUP($B1136,$D:$K,6,0),)),IFERROR(VLOOKUP($C1136,INSUMOS!$A:$D,4,0),IFERROR(VLOOKUP($C1136,COTAÇÕES!$B:$I,7,0),(VLOOKUP($C1136,'INSUMO SINAPI - SP'!$C:$F,4,0)))))*$G1136,2)</f>
        <v>0.16</v>
      </c>
      <c r="J1136" s="513">
        <f>TRUNC(IF($C1136="",IFERROR(VLOOKUP($B1136,SERVIÇOS!$B:$G,5,0),IFERROR(VLOOKUP($B1136,$D:$K,7,0),)),0)*$G1136,2)</f>
        <v>0</v>
      </c>
      <c r="K1136" s="514">
        <f t="shared" si="36"/>
        <v>0.16</v>
      </c>
      <c r="L1136" s="517"/>
      <c r="M1136" s="471"/>
      <c r="N1136" s="516"/>
      <c r="Q1136" s="472"/>
      <c r="R1136" s="472"/>
      <c r="S1136" s="472"/>
      <c r="T1136" s="472"/>
      <c r="U1136" s="472"/>
      <c r="V1136" s="472"/>
      <c r="W1136" s="472"/>
      <c r="X1136" s="472"/>
      <c r="Y1136" s="472"/>
    </row>
    <row r="1137" spans="1:25" ht="24" x14ac:dyDescent="0.25">
      <c r="A1137" s="463"/>
      <c r="B1137" s="506"/>
      <c r="C1137" s="507">
        <v>39431</v>
      </c>
      <c r="D1137" s="508"/>
      <c r="E1137" s="509" t="str">
        <f>IF($C1137="",IFERROR(VLOOKUP($B1137,SERVIÇOS!$B:$G,2,0),IFERROR(VLOOKUP($B1137,$D:$K,2,0),"")),IFERROR(VLOOKUP($C1137,INSUMOS!$A:$D,2,0),IFERROR(VLOOKUP($C1137,COTAÇÕES!$B:$I,2,0),(VLOOKUP($C1137,'INSUMO SINAPI - SP'!$C:$F,2,0)))))</f>
        <v>FITA DE PAPEL MICROPERFURADO, 50 X 150 MM, PARA TRATAMENTO DE JUNTAS DE CHAPA DE GESSO PARA DRYWALL</v>
      </c>
      <c r="F1137" s="510" t="str">
        <f>IF($C1137="",IFERROR(VLOOKUP($B1137,SERVIÇOS!$B:$G,3,0),IFERROR(VLOOKUP($B1137,$D:$K,3,0),"")),IFERROR(VLOOKUP($C1137,INSUMOS!$A:$D,3,0),IFERROR(VLOOKUP($C1137,COTAÇÕES!$B:$I,3,0),(VLOOKUP($C1137,'INSUMO SINAPI - SP'!$C:$F,3,0)))))</f>
        <v>M</v>
      </c>
      <c r="G1137" s="511">
        <v>2.5026999999999999</v>
      </c>
      <c r="H1137" s="512">
        <f>IF($C1137="",IFERROR(VLOOKUP($B1137,SERVIÇOS!$B:$G,6,0),IFERROR(VLOOKUP($B1137,$D:$K,8,0),"")),IFERROR(VLOOKUP($C1137,INSUMOS!$A:$D,4,0),IFERROR(VLOOKUP($C1137,COTAÇÕES!$B:$I,7,0),(VLOOKUP($C1137,'INSUMO SINAPI - SP'!$C:$F,4,0)))))</f>
        <v>0.33</v>
      </c>
      <c r="I1137" s="513">
        <f>TRUNC(IF($C1137="",IFERROR(VLOOKUP($B1137,SERVIÇOS!$B:$G,4,0),IFERROR(VLOOKUP($B1137,$D:$K,6,0),)),IFERROR(VLOOKUP($C1137,INSUMOS!$A:$D,4,0),IFERROR(VLOOKUP($C1137,COTAÇÕES!$B:$I,7,0),(VLOOKUP($C1137,'INSUMO SINAPI - SP'!$C:$F,4,0)))))*$G1137,2)</f>
        <v>0.82</v>
      </c>
      <c r="J1137" s="513">
        <f>TRUNC(IF($C1137="",IFERROR(VLOOKUP($B1137,SERVIÇOS!$B:$G,5,0),IFERROR(VLOOKUP($B1137,$D:$K,7,0),)),0)*$G1137,2)</f>
        <v>0</v>
      </c>
      <c r="K1137" s="514">
        <f t="shared" si="36"/>
        <v>0.82</v>
      </c>
      <c r="L1137" s="517"/>
      <c r="M1137" s="471"/>
      <c r="N1137" s="516"/>
      <c r="Q1137" s="472"/>
      <c r="R1137" s="472"/>
      <c r="S1137" s="472"/>
      <c r="T1137" s="472"/>
      <c r="U1137" s="472"/>
      <c r="V1137" s="472"/>
      <c r="W1137" s="472"/>
      <c r="X1137" s="472"/>
      <c r="Y1137" s="472"/>
    </row>
    <row r="1138" spans="1:25" ht="24" x14ac:dyDescent="0.25">
      <c r="A1138" s="463"/>
      <c r="B1138" s="506"/>
      <c r="C1138" s="507">
        <v>39432</v>
      </c>
      <c r="D1138" s="508"/>
      <c r="E1138" s="509" t="str">
        <f>IF($C1138="",IFERROR(VLOOKUP($B1138,SERVIÇOS!$B:$G,2,0),IFERROR(VLOOKUP($B1138,$D:$K,2,0),"")),IFERROR(VLOOKUP($C1138,INSUMOS!$A:$D,2,0),IFERROR(VLOOKUP($C1138,COTAÇÕES!$B:$I,2,0),(VLOOKUP($C1138,'INSUMO SINAPI - SP'!$C:$F,2,0)))))</f>
        <v>FITA DE PAPEL REFORCADA COM LAMINA DE METAL PARA REFORCO DE CANTOS DE CHAPA DE GESSO PARA DRYWALL</v>
      </c>
      <c r="F1138" s="510" t="str">
        <f>IF($C1138="",IFERROR(VLOOKUP($B1138,SERVIÇOS!$B:$G,3,0),IFERROR(VLOOKUP($B1138,$D:$K,3,0),"")),IFERROR(VLOOKUP($C1138,INSUMOS!$A:$D,3,0),IFERROR(VLOOKUP($C1138,COTAÇÕES!$B:$I,3,0),(VLOOKUP($C1138,'INSUMO SINAPI - SP'!$C:$F,3,0)))))</f>
        <v>M</v>
      </c>
      <c r="G1138" s="511">
        <v>1.4815</v>
      </c>
      <c r="H1138" s="512">
        <f>IF($C1138="",IFERROR(VLOOKUP($B1138,SERVIÇOS!$B:$G,6,0),IFERROR(VLOOKUP($B1138,$D:$K,8,0),"")),IFERROR(VLOOKUP($C1138,INSUMOS!$A:$D,4,0),IFERROR(VLOOKUP($C1138,COTAÇÕES!$B:$I,7,0),(VLOOKUP($C1138,'INSUMO SINAPI - SP'!$C:$F,4,0)))))</f>
        <v>2.97</v>
      </c>
      <c r="I1138" s="513">
        <f>TRUNC(IF($C1138="",IFERROR(VLOOKUP($B1138,SERVIÇOS!$B:$G,4,0),IFERROR(VLOOKUP($B1138,$D:$K,6,0),)),IFERROR(VLOOKUP($C1138,INSUMOS!$A:$D,4,0),IFERROR(VLOOKUP($C1138,COTAÇÕES!$B:$I,7,0),(VLOOKUP($C1138,'INSUMO SINAPI - SP'!$C:$F,4,0)))))*$G1138,2)</f>
        <v>4.4000000000000004</v>
      </c>
      <c r="J1138" s="513">
        <f>TRUNC(IF($C1138="",IFERROR(VLOOKUP($B1138,SERVIÇOS!$B:$G,5,0),IFERROR(VLOOKUP($B1138,$D:$K,7,0),)),0)*$G1138,2)</f>
        <v>0</v>
      </c>
      <c r="K1138" s="514">
        <f t="shared" si="36"/>
        <v>4.4000000000000004</v>
      </c>
      <c r="L1138" s="517"/>
      <c r="M1138" s="471"/>
      <c r="N1138" s="516"/>
      <c r="Q1138" s="472"/>
      <c r="R1138" s="472"/>
      <c r="S1138" s="472"/>
      <c r="T1138" s="472"/>
      <c r="U1138" s="472"/>
      <c r="V1138" s="472"/>
      <c r="W1138" s="472"/>
      <c r="X1138" s="472"/>
      <c r="Y1138" s="472"/>
    </row>
    <row r="1139" spans="1:25" ht="24" x14ac:dyDescent="0.25">
      <c r="A1139" s="463"/>
      <c r="B1139" s="506"/>
      <c r="C1139" s="507">
        <v>39434</v>
      </c>
      <c r="D1139" s="508"/>
      <c r="E1139" s="509" t="str">
        <f>IF($C1139="",IFERROR(VLOOKUP($B1139,SERVIÇOS!$B:$G,2,0),IFERROR(VLOOKUP($B1139,$D:$K,2,0),"")),IFERROR(VLOOKUP($C1139,INSUMOS!$A:$D,2,0),IFERROR(VLOOKUP($C1139,COTAÇÕES!$B:$I,2,0),(VLOOKUP($C1139,'INSUMO SINAPI - SP'!$C:$F,2,0)))))</f>
        <v>MASSA DE REJUNTE EM PO PARA DRYWALL, A BASE DE GESSO, SECAGEM RAPIDA, PARA TRATAMENTO DE JUNTAS DE CHAPA DE GESSO (NECESSITA ADICAO DE AGUA)</v>
      </c>
      <c r="F1139" s="510" t="str">
        <f>IF($C1139="",IFERROR(VLOOKUP($B1139,SERVIÇOS!$B:$G,3,0),IFERROR(VLOOKUP($B1139,$D:$K,3,0),"")),IFERROR(VLOOKUP($C1139,INSUMOS!$A:$D,3,0),IFERROR(VLOOKUP($C1139,COTAÇÕES!$B:$I,3,0),(VLOOKUP($C1139,'INSUMO SINAPI - SP'!$C:$F,3,0)))))</f>
        <v>KG</v>
      </c>
      <c r="G1139" s="511">
        <v>1.0327</v>
      </c>
      <c r="H1139" s="512">
        <f>IF($C1139="",IFERROR(VLOOKUP($B1139,SERVIÇOS!$B:$G,6,0),IFERROR(VLOOKUP($B1139,$D:$K,8,0),"")),IFERROR(VLOOKUP($C1139,INSUMOS!$A:$D,4,0),IFERROR(VLOOKUP($C1139,COTAÇÕES!$B:$I,7,0),(VLOOKUP($C1139,'INSUMO SINAPI - SP'!$C:$F,4,0)))))</f>
        <v>3.72</v>
      </c>
      <c r="I1139" s="513">
        <f>TRUNC(IF($C1139="",IFERROR(VLOOKUP($B1139,SERVIÇOS!$B:$G,4,0),IFERROR(VLOOKUP($B1139,$D:$K,6,0),)),IFERROR(VLOOKUP($C1139,INSUMOS!$A:$D,4,0),IFERROR(VLOOKUP($C1139,COTAÇÕES!$B:$I,7,0),(VLOOKUP($C1139,'INSUMO SINAPI - SP'!$C:$F,4,0)))))*$G1139,2)</f>
        <v>3.84</v>
      </c>
      <c r="J1139" s="513">
        <f>TRUNC(IF($C1139="",IFERROR(VLOOKUP($B1139,SERVIÇOS!$B:$G,5,0),IFERROR(VLOOKUP($B1139,$D:$K,7,0),)),0)*$G1139,2)</f>
        <v>0</v>
      </c>
      <c r="K1139" s="514">
        <f t="shared" si="36"/>
        <v>3.84</v>
      </c>
      <c r="L1139" s="517"/>
      <c r="M1139" s="471"/>
      <c r="N1139" s="516"/>
      <c r="Q1139" s="472"/>
      <c r="R1139" s="472"/>
      <c r="S1139" s="472"/>
      <c r="T1139" s="472"/>
      <c r="U1139" s="472"/>
      <c r="V1139" s="472"/>
      <c r="W1139" s="472"/>
      <c r="X1139" s="472"/>
      <c r="Y1139" s="472"/>
    </row>
    <row r="1140" spans="1:25" ht="24" x14ac:dyDescent="0.25">
      <c r="A1140" s="463"/>
      <c r="B1140" s="506"/>
      <c r="C1140" s="507" t="s">
        <v>13203</v>
      </c>
      <c r="D1140" s="508"/>
      <c r="E1140" s="509" t="str">
        <f>IF($C1140="",IFERROR(VLOOKUP($B1140,SERVIÇOS!$B:$G,2,0),IFERROR(VLOOKUP($B1140,$D:$K,2,0),"")),IFERROR(VLOOKUP($C1140,INSUMOS!$A:$D,2,0),IFERROR(VLOOKUP($C1140,COTAÇÕES!$B:$I,2,0),(VLOOKUP($C1140,'INSUMO SINAPI - SP'!$C:$F,2,0)))))</f>
        <v>PINO DE ACO COM ARRUELA CONICA, DIAMETRO ARRUELA = *23* MM E COMP HASTE = *27* MM (ACAO INDIRETA)</v>
      </c>
      <c r="F1140" s="510" t="str">
        <f>IF($C1140="",IFERROR(VLOOKUP($B1140,SERVIÇOS!$B:$G,3,0),IFERROR(VLOOKUP($B1140,$D:$K,3,0),"")),IFERROR(VLOOKUP($C1140,INSUMOS!$A:$D,3,0),IFERROR(VLOOKUP($C1140,COTAÇÕES!$B:$I,3,0),(VLOOKUP($C1140,'INSUMO SINAPI - SP'!$C:$F,3,0)))))</f>
        <v>CENTO</v>
      </c>
      <c r="G1140" s="511">
        <v>4.8599999999999997E-2</v>
      </c>
      <c r="H1140" s="512">
        <f>IF($C1140="",IFERROR(VLOOKUP($B1140,SERVIÇOS!$B:$G,6,0),IFERROR(VLOOKUP($B1140,$D:$K,8,0),"")),IFERROR(VLOOKUP($C1140,INSUMOS!$A:$D,4,0),IFERROR(VLOOKUP($C1140,COTAÇÕES!$B:$I,7,0),(VLOOKUP($C1140,'INSUMO SINAPI - SP'!$C:$F,4,0)))))</f>
        <v>52.15</v>
      </c>
      <c r="I1140" s="513">
        <f>TRUNC(IF($C1140="",IFERROR(VLOOKUP($B1140,SERVIÇOS!$B:$G,4,0),IFERROR(VLOOKUP($B1140,$D:$K,6,0),)),IFERROR(VLOOKUP($C1140,INSUMOS!$A:$D,4,0),IFERROR(VLOOKUP($C1140,COTAÇÕES!$B:$I,7,0),(VLOOKUP($C1140,'INSUMO SINAPI - SP'!$C:$F,4,0)))))*$G1140,2)</f>
        <v>2.5299999999999998</v>
      </c>
      <c r="J1140" s="513"/>
      <c r="K1140" s="514">
        <f t="shared" si="36"/>
        <v>2.5299999999999998</v>
      </c>
      <c r="L1140" s="515" t="s">
        <v>12685</v>
      </c>
      <c r="M1140" s="471"/>
      <c r="N1140" s="516"/>
      <c r="Q1140" s="472"/>
      <c r="R1140" s="472"/>
      <c r="S1140" s="472"/>
      <c r="T1140" s="472"/>
      <c r="U1140" s="472"/>
      <c r="V1140" s="472"/>
      <c r="W1140" s="472"/>
      <c r="X1140" s="472"/>
      <c r="Y1140" s="472"/>
    </row>
    <row r="1141" spans="1:25" ht="24" x14ac:dyDescent="0.25">
      <c r="A1141" s="463"/>
      <c r="B1141" s="506"/>
      <c r="C1141" s="507">
        <v>39417</v>
      </c>
      <c r="D1141" s="508"/>
      <c r="E1141" s="509" t="str">
        <f>IF($C1141="",IFERROR(VLOOKUP($B1141,SERVIÇOS!$B:$G,2,0),IFERROR(VLOOKUP($B1141,$D:$K,2,0),"")),IFERROR(VLOOKUP($C1141,INSUMOS!$A:$D,2,0),IFERROR(VLOOKUP($C1141,COTAÇÕES!$B:$I,2,0),(VLOOKUP($C1141,'INSUMO SINAPI - SP'!$C:$F,2,0)))))</f>
        <v>PLACA / CHAPA DE GESSO ACARTONADO, RESISTENTE A UMIDADE (RU), COR VERDE, E = 12,5 MM, 1200 X 2400 MM (L X C)</v>
      </c>
      <c r="F1141" s="510" t="str">
        <f>IF($C1141="",IFERROR(VLOOKUP($B1141,SERVIÇOS!$B:$G,3,0),IFERROR(VLOOKUP($B1141,$D:$K,3,0),"")),IFERROR(VLOOKUP($C1141,INSUMOS!$A:$D,3,0),IFERROR(VLOOKUP($C1141,COTAÇÕES!$B:$I,3,0),(VLOOKUP($C1141,'INSUMO SINAPI - SP'!$C:$F,3,0)))))</f>
        <v>M2</v>
      </c>
      <c r="G1141" s="511">
        <v>2.1059999999999999</v>
      </c>
      <c r="H1141" s="512">
        <f>IF($C1141="",IFERROR(VLOOKUP($B1141,SERVIÇOS!$B:$G,6,0),IFERROR(VLOOKUP($B1141,$D:$K,8,0),"")),IFERROR(VLOOKUP($C1141,INSUMOS!$A:$D,4,0),IFERROR(VLOOKUP($C1141,COTAÇÕES!$B:$I,7,0),(VLOOKUP($C1141,'INSUMO SINAPI - SP'!$C:$F,4,0)))))</f>
        <v>28.33</v>
      </c>
      <c r="I1141" s="513">
        <f>TRUNC(IF($C1141="",IFERROR(VLOOKUP($B1141,SERVIÇOS!$B:$G,4,0),IFERROR(VLOOKUP($B1141,$D:$K,6,0),)),IFERROR(VLOOKUP($C1141,INSUMOS!$A:$D,4,0),IFERROR(VLOOKUP($C1141,COTAÇÕES!$B:$I,7,0),(VLOOKUP($C1141,'INSUMO SINAPI - SP'!$C:$F,4,0)))))*$G1141,2)</f>
        <v>59.66</v>
      </c>
      <c r="J1141" s="513">
        <f>TRUNC(IF($C1141="",IFERROR(VLOOKUP($B1141,SERVIÇOS!$B:$G,5,0),IFERROR(VLOOKUP($B1141,$D:$K,7,0),)),0)*$G1141,2)</f>
        <v>0</v>
      </c>
      <c r="K1141" s="514">
        <f t="shared" si="36"/>
        <v>59.66</v>
      </c>
      <c r="L1141" s="517"/>
      <c r="M1141" s="471"/>
      <c r="N1141" s="516"/>
      <c r="Q1141" s="472"/>
      <c r="R1141" s="472"/>
      <c r="S1141" s="472"/>
      <c r="T1141" s="472"/>
      <c r="U1141" s="472"/>
      <c r="V1141" s="472"/>
      <c r="W1141" s="472"/>
      <c r="X1141" s="472"/>
      <c r="Y1141" s="472"/>
    </row>
    <row r="1142" spans="1:25" ht="24" x14ac:dyDescent="0.25">
      <c r="A1142" s="463"/>
      <c r="B1142" s="506"/>
      <c r="C1142" s="507">
        <v>39435</v>
      </c>
      <c r="D1142" s="508"/>
      <c r="E1142" s="509" t="str">
        <f>IF($C1142="",IFERROR(VLOOKUP($B1142,SERVIÇOS!$B:$G,2,0),IFERROR(VLOOKUP($B1142,$D:$K,2,0),"")),IFERROR(VLOOKUP($C1142,INSUMOS!$A:$D,2,0),IFERROR(VLOOKUP($C1142,COTAÇÕES!$B:$I,2,0),(VLOOKUP($C1142,'INSUMO SINAPI - SP'!$C:$F,2,0)))))</f>
        <v>PARAFUSO DRY WALL, EM ACO FOSFATIZADO, CABECA TROMBETA E PONTA AGULHA (TA), COMPRIMENTO 25 MM</v>
      </c>
      <c r="F1142" s="510" t="str">
        <f>IF($C1142="",IFERROR(VLOOKUP($B1142,SERVIÇOS!$B:$G,3,0),IFERROR(VLOOKUP($B1142,$D:$K,3,0),"")),IFERROR(VLOOKUP($C1142,INSUMOS!$A:$D,3,0),IFERROR(VLOOKUP($C1142,COTAÇÕES!$B:$I,3,0),(VLOOKUP($C1142,'INSUMO SINAPI - SP'!$C:$F,3,0)))))</f>
        <v>UN</v>
      </c>
      <c r="G1142" s="511">
        <v>20.0077</v>
      </c>
      <c r="H1142" s="512">
        <f>IF($C1142="",IFERROR(VLOOKUP($B1142,SERVIÇOS!$B:$G,6,0),IFERROR(VLOOKUP($B1142,$D:$K,8,0),"")),IFERROR(VLOOKUP($C1142,INSUMOS!$A:$D,4,0),IFERROR(VLOOKUP($C1142,COTAÇÕES!$B:$I,7,0),(VLOOKUP($C1142,'INSUMO SINAPI - SP'!$C:$F,4,0)))))</f>
        <v>0.09</v>
      </c>
      <c r="I1142" s="513">
        <f>TRUNC(IF($C1142="",IFERROR(VLOOKUP($B1142,SERVIÇOS!$B:$G,4,0),IFERROR(VLOOKUP($B1142,$D:$K,6,0),)),IFERROR(VLOOKUP($C1142,INSUMOS!$A:$D,4,0),IFERROR(VLOOKUP($C1142,COTAÇÕES!$B:$I,7,0),(VLOOKUP($C1142,'INSUMO SINAPI - SP'!$C:$F,4,0)))))*$G1142,2)</f>
        <v>1.8</v>
      </c>
      <c r="J1142" s="513">
        <f>TRUNC(IF($C1142="",IFERROR(VLOOKUP($B1142,SERVIÇOS!$B:$G,5,0),IFERROR(VLOOKUP($B1142,$D:$K,7,0),)),0)*$G1142,2)</f>
        <v>0</v>
      </c>
      <c r="K1142" s="514">
        <f t="shared" si="36"/>
        <v>1.8</v>
      </c>
      <c r="L1142" s="517"/>
      <c r="M1142" s="471"/>
      <c r="N1142" s="516"/>
      <c r="Q1142" s="472"/>
      <c r="R1142" s="472"/>
      <c r="S1142" s="472"/>
      <c r="T1142" s="472"/>
      <c r="U1142" s="472"/>
      <c r="V1142" s="472"/>
      <c r="W1142" s="472"/>
      <c r="X1142" s="472"/>
      <c r="Y1142" s="472"/>
    </row>
    <row r="1143" spans="1:25" ht="24" x14ac:dyDescent="0.25">
      <c r="A1143" s="463"/>
      <c r="B1143" s="506"/>
      <c r="C1143" s="507">
        <v>39437</v>
      </c>
      <c r="D1143" s="508"/>
      <c r="E1143" s="509" t="str">
        <f>IF($C1143="",IFERROR(VLOOKUP($B1143,SERVIÇOS!$B:$G,2,0),IFERROR(VLOOKUP($B1143,$D:$K,2,0),"")),IFERROR(VLOOKUP($C1143,INSUMOS!$A:$D,2,0),IFERROR(VLOOKUP($C1143,COTAÇÕES!$B:$I,2,0),(VLOOKUP($C1143,'INSUMO SINAPI - SP'!$C:$F,2,0)))))</f>
        <v>PARAFUSO DRY WALL, EM ACO FOSFATIZADO, CABECA TROMBETA E PONTA AGULHA (TA), COMPRIMENTO 45 MM</v>
      </c>
      <c r="F1143" s="510" t="str">
        <f>IF($C1143="",IFERROR(VLOOKUP($B1143,SERVIÇOS!$B:$G,3,0),IFERROR(VLOOKUP($B1143,$D:$K,3,0),"")),IFERROR(VLOOKUP($C1143,INSUMOS!$A:$D,3,0),IFERROR(VLOOKUP($C1143,COTAÇÕES!$B:$I,3,0),(VLOOKUP($C1143,'INSUMO SINAPI - SP'!$C:$F,3,0)))))</f>
        <v>UN</v>
      </c>
      <c r="G1143" s="511">
        <v>20.0077</v>
      </c>
      <c r="H1143" s="512">
        <f>IF($C1143="",IFERROR(VLOOKUP($B1143,SERVIÇOS!$B:$G,6,0),IFERROR(VLOOKUP($B1143,$D:$K,8,0),"")),IFERROR(VLOOKUP($C1143,INSUMOS!$A:$D,4,0),IFERROR(VLOOKUP($C1143,COTAÇÕES!$B:$I,7,0),(VLOOKUP($C1143,'INSUMO SINAPI - SP'!$C:$F,4,0)))))</f>
        <v>0.2</v>
      </c>
      <c r="I1143" s="513">
        <f>TRUNC(IF($C1143="",IFERROR(VLOOKUP($B1143,SERVIÇOS!$B:$G,4,0),IFERROR(VLOOKUP($B1143,$D:$K,6,0),)),IFERROR(VLOOKUP($C1143,INSUMOS!$A:$D,4,0),IFERROR(VLOOKUP($C1143,COTAÇÕES!$B:$I,7,0),(VLOOKUP($C1143,'INSUMO SINAPI - SP'!$C:$F,4,0)))))*$G1143,2)</f>
        <v>4</v>
      </c>
      <c r="J1143" s="513">
        <f>TRUNC(IF($C1143="",IFERROR(VLOOKUP($B1143,SERVIÇOS!$B:$G,5,0),IFERROR(VLOOKUP($B1143,$D:$K,7,0),)),0)*$G1143,2)</f>
        <v>0</v>
      </c>
      <c r="K1143" s="514">
        <f t="shared" si="36"/>
        <v>4</v>
      </c>
      <c r="L1143" s="517"/>
      <c r="M1143" s="471"/>
      <c r="N1143" s="516"/>
      <c r="Q1143" s="472"/>
      <c r="R1143" s="472"/>
      <c r="S1143" s="472"/>
      <c r="T1143" s="472"/>
      <c r="U1143" s="472"/>
      <c r="V1143" s="472"/>
      <c r="W1143" s="472"/>
      <c r="X1143" s="472"/>
      <c r="Y1143" s="472"/>
    </row>
    <row r="1144" spans="1:25" x14ac:dyDescent="0.25">
      <c r="A1144" s="463"/>
      <c r="B1144" s="506"/>
      <c r="C1144" s="507" t="s">
        <v>13204</v>
      </c>
      <c r="D1144" s="508"/>
      <c r="E1144" s="509" t="str">
        <f>IF($C1144="",IFERROR(VLOOKUP($B1144,SERVIÇOS!$B:$G,2,0),IFERROR(VLOOKUP($B1144,$D:$K,2,0),"")),IFERROR(VLOOKUP($C1144,INSUMOS!$A:$D,2,0),IFERROR(VLOOKUP($C1144,COTAÇÕES!$B:$I,2,0),(VLOOKUP($C1144,'INSUMO SINAPI - SP'!$C:$F,2,0)))))</f>
        <v>CHAPA DE MDF CRU, E = 25 MM, DE *2,75 X 1,85* M</v>
      </c>
      <c r="F1144" s="510" t="str">
        <f>IF($C1144="",IFERROR(VLOOKUP($B1144,SERVIÇOS!$B:$G,3,0),IFERROR(VLOOKUP($B1144,$D:$K,3,0),"")),IFERROR(VLOOKUP($C1144,INSUMOS!$A:$D,3,0),IFERROR(VLOOKUP($C1144,COTAÇÕES!$B:$I,3,0),(VLOOKUP($C1144,'INSUMO SINAPI - SP'!$C:$F,3,0)))))</f>
        <v>M2</v>
      </c>
      <c r="G1144" s="511">
        <v>2.1059999999999999</v>
      </c>
      <c r="H1144" s="512">
        <f>IF($C1144="",IFERROR(VLOOKUP($B1144,SERVIÇOS!$B:$G,6,0),IFERROR(VLOOKUP($B1144,$D:$K,8,0),"")),IFERROR(VLOOKUP($C1144,INSUMOS!$A:$D,4,0),IFERROR(VLOOKUP($C1144,COTAÇÕES!$B:$I,7,0),(VLOOKUP($C1144,'INSUMO SINAPI - SP'!$C:$F,4,0)))))</f>
        <v>80.099999999999994</v>
      </c>
      <c r="I1144" s="513">
        <f>TRUNC(IF($C1144="",IFERROR(VLOOKUP($B1144,SERVIÇOS!$B:$G,4,0),IFERROR(VLOOKUP($B1144,$D:$K,6,0),)),IFERROR(VLOOKUP($C1144,INSUMOS!$A:$D,4,0),IFERROR(VLOOKUP($C1144,COTAÇÕES!$B:$I,7,0),(VLOOKUP($C1144,'INSUMO SINAPI - SP'!$C:$F,4,0)))))*$G1144,2)</f>
        <v>168.69</v>
      </c>
      <c r="J1144" s="513"/>
      <c r="K1144" s="514">
        <f t="shared" si="36"/>
        <v>168.69</v>
      </c>
      <c r="L1144" s="515" t="s">
        <v>12685</v>
      </c>
      <c r="M1144" s="471"/>
      <c r="N1144" s="516"/>
      <c r="Q1144" s="472"/>
      <c r="R1144" s="472"/>
      <c r="S1144" s="472"/>
      <c r="T1144" s="472"/>
      <c r="U1144" s="472"/>
      <c r="V1144" s="472"/>
      <c r="W1144" s="472"/>
      <c r="X1144" s="472"/>
      <c r="Y1144" s="472"/>
    </row>
    <row r="1145" spans="1:25" ht="24" x14ac:dyDescent="0.25">
      <c r="A1145" s="463"/>
      <c r="B1145" s="526"/>
      <c r="C1145" s="527"/>
      <c r="D1145" s="499" t="s">
        <v>12042</v>
      </c>
      <c r="E1145" s="500" t="s">
        <v>13205</v>
      </c>
      <c r="F1145" s="501" t="s">
        <v>578</v>
      </c>
      <c r="G1145" s="528"/>
      <c r="H1145" s="503"/>
      <c r="I1145" s="504">
        <f>ROUND(SUM(I1146:I1150),2)</f>
        <v>202.72</v>
      </c>
      <c r="J1145" s="504">
        <f>ROUND(SUM(J1146:J1150),2)</f>
        <v>47.64</v>
      </c>
      <c r="K1145" s="504">
        <f>+J1145+I1145</f>
        <v>250.36</v>
      </c>
      <c r="L1145" s="499" t="s">
        <v>13206</v>
      </c>
      <c r="M1145" s="471"/>
      <c r="N1145" s="505"/>
      <c r="Q1145" s="472"/>
      <c r="R1145" s="472"/>
      <c r="S1145" s="472"/>
      <c r="T1145" s="472"/>
      <c r="U1145" s="472"/>
      <c r="V1145" s="472"/>
      <c r="W1145" s="472"/>
      <c r="X1145" s="472"/>
      <c r="Y1145" s="472"/>
    </row>
    <row r="1146" spans="1:25" x14ac:dyDescent="0.25">
      <c r="A1146" s="463"/>
      <c r="B1146" s="506"/>
      <c r="C1146" s="507" t="s">
        <v>13207</v>
      </c>
      <c r="D1146" s="508"/>
      <c r="E1146" s="518" t="s">
        <v>13208</v>
      </c>
      <c r="F1146" s="519" t="s">
        <v>578</v>
      </c>
      <c r="G1146" s="511">
        <v>1</v>
      </c>
      <c r="H1146" s="520">
        <v>172.34</v>
      </c>
      <c r="I1146" s="520">
        <f>TRUNC(H1146*G1146,2)</f>
        <v>172.34</v>
      </c>
      <c r="J1146" s="521"/>
      <c r="K1146" s="522">
        <f>I1146+J1146</f>
        <v>172.34</v>
      </c>
      <c r="L1146" s="517" t="s">
        <v>12668</v>
      </c>
      <c r="M1146" s="471"/>
      <c r="N1146" s="516"/>
      <c r="Q1146" s="472"/>
      <c r="R1146" s="472"/>
      <c r="S1146" s="472"/>
      <c r="T1146" s="472"/>
      <c r="U1146" s="472"/>
      <c r="V1146" s="472"/>
      <c r="W1146" s="472"/>
      <c r="X1146" s="472"/>
      <c r="Y1146" s="472"/>
    </row>
    <row r="1147" spans="1:25" x14ac:dyDescent="0.25">
      <c r="A1147" s="463"/>
      <c r="B1147" s="506"/>
      <c r="C1147" s="507" t="s">
        <v>13189</v>
      </c>
      <c r="D1147" s="508"/>
      <c r="E1147" s="518" t="s">
        <v>13209</v>
      </c>
      <c r="F1147" s="519" t="s">
        <v>578</v>
      </c>
      <c r="G1147" s="511">
        <v>8.1632653061224497E-2</v>
      </c>
      <c r="H1147" s="520">
        <v>126.23</v>
      </c>
      <c r="I1147" s="520">
        <f>TRUNC(H1147*G1147,2)</f>
        <v>10.3</v>
      </c>
      <c r="J1147" s="521"/>
      <c r="K1147" s="522">
        <f>I1147+J1147</f>
        <v>10.3</v>
      </c>
      <c r="L1147" s="517" t="s">
        <v>12668</v>
      </c>
      <c r="M1147" s="471"/>
      <c r="N1147" s="516"/>
      <c r="Q1147" s="472"/>
      <c r="R1147" s="472"/>
      <c r="S1147" s="472"/>
      <c r="T1147" s="472"/>
      <c r="U1147" s="472"/>
      <c r="V1147" s="472"/>
      <c r="W1147" s="472"/>
      <c r="X1147" s="472"/>
      <c r="Y1147" s="472"/>
    </row>
    <row r="1148" spans="1:25" x14ac:dyDescent="0.25">
      <c r="A1148" s="463"/>
      <c r="B1148" s="506">
        <v>88309</v>
      </c>
      <c r="C1148" s="507"/>
      <c r="D1148" s="508"/>
      <c r="E1148" s="509" t="str">
        <f>IF($C1148="",IFERROR(VLOOKUP($B1148,SERVIÇOS!$B:$G,2,0),IFERROR(VLOOKUP($B1148,$D:$K,2,0),"")),IFERROR(VLOOKUP($C1148,INSUMOS!$A:$D,2,0),IFERROR(VLOOKUP($C1148,COTAÇÕES!$B:$I,2,0),(VLOOKUP($C1148,'INSUMO SINAPI - SP'!$C:$F,2,0)))))</f>
        <v>PEDREIRO COM ENCARGOS COMPLEMENTARES</v>
      </c>
      <c r="F1148" s="510" t="str">
        <f>IF($C1148="",IFERROR(VLOOKUP($B1148,SERVIÇOS!$B:$G,3,0),IFERROR(VLOOKUP($B1148,$D:$K,3,0),"")),IFERROR(VLOOKUP($C1148,INSUMOS!$A:$D,3,0),IFERROR(VLOOKUP($C1148,COTAÇÕES!$B:$I,3,0),(VLOOKUP($C1148,'INSUMO SINAPI - SP'!$C:$F,3,0)))))</f>
        <v>H</v>
      </c>
      <c r="G1148" s="511">
        <v>1</v>
      </c>
      <c r="H1148" s="512">
        <f>IF($C1148="",IFERROR(VLOOKUP($B1148,SERVIÇOS!$B:$G,6,0),IFERROR(VLOOKUP($B1148,$D:$K,8,0),"")),IFERROR(VLOOKUP($C1148,INSUMOS!$A:$D,4,0),IFERROR(VLOOKUP($C1148,COTAÇÕES!$B:$I,7,0),(VLOOKUP($C1148,'INSUMO SINAPI - SP'!$C:$F,4,0)))))</f>
        <v>36.909999999999997</v>
      </c>
      <c r="I1148" s="513">
        <f>TRUNC(IF($C1148="",IFERROR(VLOOKUP($B1148,SERVIÇOS!$B:$G,4,0),IFERROR(VLOOKUP($B1148,$D:$K,6,0),)),IFERROR(VLOOKUP($C1148,INSUMOS!$A:$D,4,0),IFERROR(VLOOKUP($C1148,COTAÇÕES!$B:$I,7,0),(VLOOKUP($C1148,'INSUMO SINAPI - SP'!$C:$F,4,0)))))*$G1148,2)</f>
        <v>9.2799999999999994</v>
      </c>
      <c r="J1148" s="513">
        <f>TRUNC(IF($C1148="",IFERROR(VLOOKUP($B1148,SERVIÇOS!$B:$G,5,0),IFERROR(VLOOKUP($B1148,$D:$K,7,0),)),0)*$G1148,2)</f>
        <v>27.63</v>
      </c>
      <c r="K1148" s="514">
        <f>I1148+J1148</f>
        <v>36.909999999999997</v>
      </c>
      <c r="L1148" s="515"/>
      <c r="M1148" s="471"/>
      <c r="N1148" s="516"/>
      <c r="Q1148" s="472"/>
      <c r="R1148" s="472"/>
      <c r="S1148" s="472"/>
      <c r="T1148" s="472"/>
      <c r="U1148" s="472"/>
      <c r="V1148" s="472"/>
      <c r="W1148" s="472"/>
      <c r="X1148" s="472"/>
      <c r="Y1148" s="472"/>
    </row>
    <row r="1149" spans="1:25" x14ac:dyDescent="0.25">
      <c r="A1149" s="463"/>
      <c r="B1149" s="506">
        <v>88316</v>
      </c>
      <c r="C1149" s="507"/>
      <c r="D1149" s="508"/>
      <c r="E1149" s="509" t="str">
        <f>IF($C1149="",IFERROR(VLOOKUP($B1149,SERVIÇOS!$B:$G,2,0),IFERROR(VLOOKUP($B1149,$D:$K,2,0),"")),IFERROR(VLOOKUP($C1149,INSUMOS!$A:$D,2,0),IFERROR(VLOOKUP($C1149,COTAÇÕES!$B:$I,2,0),(VLOOKUP($C1149,'INSUMO SINAPI - SP'!$C:$F,2,0)))))</f>
        <v>SERVENTE COM ENCARGOS COMPLEMENTARES</v>
      </c>
      <c r="F1149" s="510" t="str">
        <f>IF($C1149="",IFERROR(VLOOKUP($B1149,SERVIÇOS!$B:$G,3,0),IFERROR(VLOOKUP($B1149,$D:$K,3,0),"")),IFERROR(VLOOKUP($C1149,INSUMOS!$A:$D,3,0),IFERROR(VLOOKUP($C1149,COTAÇÕES!$B:$I,3,0),(VLOOKUP($C1149,'INSUMO SINAPI - SP'!$C:$F,3,0)))))</f>
        <v>H</v>
      </c>
      <c r="G1149" s="511">
        <v>1</v>
      </c>
      <c r="H1149" s="512">
        <f>IF($C1149="",IFERROR(VLOOKUP($B1149,SERVIÇOS!$B:$G,6,0),IFERROR(VLOOKUP($B1149,$D:$K,8,0),"")),IFERROR(VLOOKUP($C1149,INSUMOS!$A:$D,4,0),IFERROR(VLOOKUP($C1149,COTAÇÕES!$B:$I,7,0),(VLOOKUP($C1149,'INSUMO SINAPI - SP'!$C:$F,4,0)))))</f>
        <v>28.71</v>
      </c>
      <c r="I1149" s="513">
        <f>TRUNC(IF($C1149="",IFERROR(VLOOKUP($B1149,SERVIÇOS!$B:$G,4,0),IFERROR(VLOOKUP($B1149,$D:$K,6,0),)),IFERROR(VLOOKUP($C1149,INSUMOS!$A:$D,4,0),IFERROR(VLOOKUP($C1149,COTAÇÕES!$B:$I,7,0),(VLOOKUP($C1149,'INSUMO SINAPI - SP'!$C:$F,4,0)))))*$G1149,2)</f>
        <v>9.1999999999999993</v>
      </c>
      <c r="J1149" s="513">
        <f>TRUNC(IF($C1149="",IFERROR(VLOOKUP($B1149,SERVIÇOS!$B:$G,5,0),IFERROR(VLOOKUP($B1149,$D:$K,7,0),)),0)*$G1149,2)</f>
        <v>19.510000000000002</v>
      </c>
      <c r="K1149" s="514">
        <f>I1149+J1149</f>
        <v>28.71</v>
      </c>
      <c r="L1149" s="515"/>
      <c r="M1149" s="471"/>
      <c r="N1149" s="516"/>
      <c r="Q1149" s="472"/>
      <c r="R1149" s="472"/>
      <c r="S1149" s="472"/>
      <c r="T1149" s="472"/>
      <c r="U1149" s="472"/>
      <c r="V1149" s="472"/>
      <c r="W1149" s="472"/>
      <c r="X1149" s="472"/>
      <c r="Y1149" s="472"/>
    </row>
    <row r="1150" spans="1:25" ht="24" x14ac:dyDescent="0.25">
      <c r="A1150" s="463"/>
      <c r="B1150" s="506">
        <v>88629</v>
      </c>
      <c r="C1150" s="507"/>
      <c r="D1150" s="508"/>
      <c r="E1150" s="509" t="str">
        <f>IF($C1150="",IFERROR(VLOOKUP($B1150,SERVIÇOS!$B:$G,2,0),IFERROR(VLOOKUP($B1150,$D:$K,2,0),"")),IFERROR(VLOOKUP($C1150,INSUMOS!$A:$D,2,0),IFERROR(VLOOKUP($C1150,COTAÇÕES!$B:$I,2,0),(VLOOKUP($C1150,'INSUMO SINAPI - SP'!$C:$F,2,0)))))</f>
        <v>ARGAMASSA TRAÇO 1:3 (EM VOLUME DE CIMENTO E AREIA MÉDIA ÚMIDA), PREPARO MANUAL. AF_08/2019</v>
      </c>
      <c r="F1150" s="510" t="str">
        <f>IF($C1150="",IFERROR(VLOOKUP($B1150,SERVIÇOS!$B:$G,3,0),IFERROR(VLOOKUP($B1150,$D:$K,3,0),"")),IFERROR(VLOOKUP($C1150,INSUMOS!$A:$D,3,0),IFERROR(VLOOKUP($C1150,COTAÇÕES!$B:$I,3,0),(VLOOKUP($C1150,'INSUMO SINAPI - SP'!$C:$F,3,0)))))</f>
        <v>M3</v>
      </c>
      <c r="G1150" s="511">
        <v>3.0000000000000001E-3</v>
      </c>
      <c r="H1150" s="512">
        <f>IF($C1150="",IFERROR(VLOOKUP($B1150,SERVIÇOS!$B:$G,6,0),IFERROR(VLOOKUP($B1150,$D:$K,8,0),"")),IFERROR(VLOOKUP($C1150,INSUMOS!$A:$D,4,0),IFERROR(VLOOKUP($C1150,COTAÇÕES!$B:$I,7,0),(VLOOKUP($C1150,'INSUMO SINAPI - SP'!$C:$F,4,0)))))</f>
        <v>701.86</v>
      </c>
      <c r="I1150" s="513">
        <f>TRUNC(IF($C1150="",IFERROR(VLOOKUP($B1150,SERVIÇOS!$B:$G,4,0),IFERROR(VLOOKUP($B1150,$D:$K,6,0),)),IFERROR(VLOOKUP($C1150,INSUMOS!$A:$D,4,0),IFERROR(VLOOKUP($C1150,COTAÇÕES!$B:$I,7,0),(VLOOKUP($C1150,'INSUMO SINAPI - SP'!$C:$F,4,0)))))*$G1150,2)</f>
        <v>1.6</v>
      </c>
      <c r="J1150" s="513">
        <f>TRUNC(IF($C1150="",IFERROR(VLOOKUP($B1150,SERVIÇOS!$B:$G,5,0),IFERROR(VLOOKUP($B1150,$D:$K,7,0),)),0)*$G1150,2)</f>
        <v>0.5</v>
      </c>
      <c r="K1150" s="514">
        <f>I1150+J1150</f>
        <v>2.1</v>
      </c>
      <c r="L1150" s="515"/>
      <c r="M1150" s="471"/>
      <c r="N1150" s="516"/>
      <c r="Q1150" s="472"/>
      <c r="R1150" s="472"/>
      <c r="S1150" s="472"/>
      <c r="T1150" s="472"/>
      <c r="U1150" s="472"/>
      <c r="V1150" s="472"/>
      <c r="W1150" s="472"/>
      <c r="X1150" s="472"/>
      <c r="Y1150" s="472"/>
    </row>
    <row r="1151" spans="1:25" ht="24" x14ac:dyDescent="0.25">
      <c r="A1151" s="463"/>
      <c r="B1151" s="526"/>
      <c r="C1151" s="527"/>
      <c r="D1151" s="499" t="s">
        <v>12076</v>
      </c>
      <c r="E1151" s="500" t="s">
        <v>13210</v>
      </c>
      <c r="F1151" s="501" t="s">
        <v>585</v>
      </c>
      <c r="G1151" s="528"/>
      <c r="H1151" s="503"/>
      <c r="I1151" s="504">
        <f>ROUND(SUM(I1152:I1154),2)</f>
        <v>201.26</v>
      </c>
      <c r="J1151" s="504">
        <f>ROUND(SUM(J1152:J1154),2)</f>
        <v>76.55</v>
      </c>
      <c r="K1151" s="504">
        <f>+J1151+I1151</f>
        <v>277.81</v>
      </c>
      <c r="L1151" s="499" t="s">
        <v>13211</v>
      </c>
      <c r="M1151" s="471"/>
      <c r="N1151" s="505"/>
      <c r="Q1151" s="472"/>
      <c r="R1151" s="472"/>
      <c r="S1151" s="472"/>
      <c r="T1151" s="472"/>
      <c r="U1151" s="472"/>
      <c r="V1151" s="472"/>
      <c r="W1151" s="472"/>
      <c r="X1151" s="472"/>
      <c r="Y1151" s="472"/>
    </row>
    <row r="1152" spans="1:25" x14ac:dyDescent="0.25">
      <c r="A1152" s="463"/>
      <c r="B1152" s="506">
        <v>88316</v>
      </c>
      <c r="C1152" s="507"/>
      <c r="D1152" s="508"/>
      <c r="E1152" s="509" t="str">
        <f>IF($C1152="",IFERROR(VLOOKUP($B1152,SERVIÇOS!$B:$G,2,0),IFERROR(VLOOKUP($B1152,$D:$K,2,0),"")),IFERROR(VLOOKUP($C1152,INSUMOS!$A:$D,2,0),IFERROR(VLOOKUP($C1152,COTAÇÕES!$B:$I,2,0),(VLOOKUP($C1152,'INSUMO SINAPI - SP'!$C:$F,2,0)))))</f>
        <v>SERVENTE COM ENCARGOS COMPLEMENTARES</v>
      </c>
      <c r="F1152" s="510" t="str">
        <f>IF($C1152="",IFERROR(VLOOKUP($B1152,SERVIÇOS!$B:$G,3,0),IFERROR(VLOOKUP($B1152,$D:$K,3,0),"")),IFERROR(VLOOKUP($C1152,INSUMOS!$A:$D,3,0),IFERROR(VLOOKUP($C1152,COTAÇÕES!$B:$I,3,0),(VLOOKUP($C1152,'INSUMO SINAPI - SP'!$C:$F,3,0)))))</f>
        <v>H</v>
      </c>
      <c r="G1152" s="511">
        <v>1.8</v>
      </c>
      <c r="H1152" s="512">
        <f>IF($C1152="",IFERROR(VLOOKUP($B1152,SERVIÇOS!$B:$G,6,0),IFERROR(VLOOKUP($B1152,$D:$K,8,0),"")),IFERROR(VLOOKUP($C1152,INSUMOS!$A:$D,4,0),IFERROR(VLOOKUP($C1152,COTAÇÕES!$B:$I,7,0),(VLOOKUP($C1152,'INSUMO SINAPI - SP'!$C:$F,4,0)))))</f>
        <v>28.71</v>
      </c>
      <c r="I1152" s="513">
        <f>TRUNC(IF($C1152="",IFERROR(VLOOKUP($B1152,SERVIÇOS!$B:$G,4,0),IFERROR(VLOOKUP($B1152,$D:$K,6,0),)),IFERROR(VLOOKUP($C1152,INSUMOS!$A:$D,4,0),IFERROR(VLOOKUP($C1152,COTAÇÕES!$B:$I,7,0),(VLOOKUP($C1152,'INSUMO SINAPI - SP'!$C:$F,4,0)))))*$G1152,2)</f>
        <v>16.559999999999999</v>
      </c>
      <c r="J1152" s="513">
        <f>TRUNC(IF($C1152="",IFERROR(VLOOKUP($B1152,SERVIÇOS!$B:$G,5,0),IFERROR(VLOOKUP($B1152,$D:$K,7,0),)),0)*$G1152,2)</f>
        <v>35.11</v>
      </c>
      <c r="K1152" s="514">
        <f>I1152+J1152</f>
        <v>51.67</v>
      </c>
      <c r="L1152" s="515"/>
      <c r="M1152" s="471"/>
      <c r="N1152" s="516"/>
      <c r="Q1152" s="472"/>
      <c r="R1152" s="472"/>
      <c r="S1152" s="472"/>
      <c r="T1152" s="472"/>
      <c r="U1152" s="472"/>
      <c r="V1152" s="472"/>
      <c r="W1152" s="472"/>
      <c r="X1152" s="472"/>
      <c r="Y1152" s="472"/>
    </row>
    <row r="1153" spans="1:25" x14ac:dyDescent="0.25">
      <c r="A1153" s="463"/>
      <c r="B1153" s="506">
        <v>88309</v>
      </c>
      <c r="C1153" s="507"/>
      <c r="D1153" s="508"/>
      <c r="E1153" s="509" t="str">
        <f>IF($C1153="",IFERROR(VLOOKUP($B1153,SERVIÇOS!$B:$G,2,0),IFERROR(VLOOKUP($B1153,$D:$K,2,0),"")),IFERROR(VLOOKUP($C1153,INSUMOS!$A:$D,2,0),IFERROR(VLOOKUP($C1153,COTAÇÕES!$B:$I,2,0),(VLOOKUP($C1153,'INSUMO SINAPI - SP'!$C:$F,2,0)))))</f>
        <v>PEDREIRO COM ENCARGOS COMPLEMENTARES</v>
      </c>
      <c r="F1153" s="510" t="str">
        <f>IF($C1153="",IFERROR(VLOOKUP($B1153,SERVIÇOS!$B:$G,3,0),IFERROR(VLOOKUP($B1153,$D:$K,3,0),"")),IFERROR(VLOOKUP($C1153,INSUMOS!$A:$D,3,0),IFERROR(VLOOKUP($C1153,COTAÇÕES!$B:$I,3,0),(VLOOKUP($C1153,'INSUMO SINAPI - SP'!$C:$F,3,0)))))</f>
        <v>H</v>
      </c>
      <c r="G1153" s="511">
        <v>1.5</v>
      </c>
      <c r="H1153" s="512">
        <f>IF($C1153="",IFERROR(VLOOKUP($B1153,SERVIÇOS!$B:$G,6,0),IFERROR(VLOOKUP($B1153,$D:$K,8,0),"")),IFERROR(VLOOKUP($C1153,INSUMOS!$A:$D,4,0),IFERROR(VLOOKUP($C1153,COTAÇÕES!$B:$I,7,0),(VLOOKUP($C1153,'INSUMO SINAPI - SP'!$C:$F,4,0)))))</f>
        <v>36.909999999999997</v>
      </c>
      <c r="I1153" s="513">
        <f>TRUNC(IF($C1153="",IFERROR(VLOOKUP($B1153,SERVIÇOS!$B:$G,4,0),IFERROR(VLOOKUP($B1153,$D:$K,6,0),)),IFERROR(VLOOKUP($C1153,INSUMOS!$A:$D,4,0),IFERROR(VLOOKUP($C1153,COTAÇÕES!$B:$I,7,0),(VLOOKUP($C1153,'INSUMO SINAPI - SP'!$C:$F,4,0)))))*$G1153,2)</f>
        <v>13.92</v>
      </c>
      <c r="J1153" s="513">
        <f>TRUNC(IF($C1153="",IFERROR(VLOOKUP($B1153,SERVIÇOS!$B:$G,5,0),IFERROR(VLOOKUP($B1153,$D:$K,7,0),)),0)*$G1153,2)</f>
        <v>41.44</v>
      </c>
      <c r="K1153" s="514">
        <f>I1153+J1153</f>
        <v>55.36</v>
      </c>
      <c r="L1153" s="515"/>
      <c r="M1153" s="471"/>
      <c r="N1153" s="516"/>
      <c r="Q1153" s="472"/>
      <c r="R1153" s="472"/>
      <c r="S1153" s="472"/>
      <c r="T1153" s="472"/>
      <c r="U1153" s="472"/>
      <c r="V1153" s="472"/>
      <c r="W1153" s="472"/>
      <c r="X1153" s="472"/>
      <c r="Y1153" s="472"/>
    </row>
    <row r="1154" spans="1:25" ht="24" x14ac:dyDescent="0.25">
      <c r="A1154" s="463"/>
      <c r="B1154" s="506"/>
      <c r="C1154" s="507" t="s">
        <v>13212</v>
      </c>
      <c r="D1154" s="508"/>
      <c r="E1154" s="518" t="s">
        <v>13213</v>
      </c>
      <c r="F1154" s="519" t="s">
        <v>585</v>
      </c>
      <c r="G1154" s="511">
        <v>1</v>
      </c>
      <c r="H1154" s="520">
        <v>170.78</v>
      </c>
      <c r="I1154" s="520">
        <f>TRUNC(H1154*G1154,2)</f>
        <v>170.78</v>
      </c>
      <c r="J1154" s="521"/>
      <c r="K1154" s="522">
        <f>I1154+J1154</f>
        <v>170.78</v>
      </c>
      <c r="L1154" s="517" t="s">
        <v>12901</v>
      </c>
      <c r="M1154" s="471"/>
      <c r="N1154" s="516"/>
      <c r="Q1154" s="472"/>
      <c r="R1154" s="472"/>
      <c r="S1154" s="472"/>
      <c r="T1154" s="472"/>
      <c r="U1154" s="472"/>
      <c r="V1154" s="472"/>
      <c r="W1154" s="472"/>
      <c r="X1154" s="472"/>
      <c r="Y1154" s="472"/>
    </row>
    <row r="1155" spans="1:25" ht="48" x14ac:dyDescent="0.25">
      <c r="A1155" s="463"/>
      <c r="B1155" s="526"/>
      <c r="C1155" s="527"/>
      <c r="D1155" s="499" t="s">
        <v>12068</v>
      </c>
      <c r="E1155" s="500" t="s">
        <v>13214</v>
      </c>
      <c r="F1155" s="501" t="s">
        <v>585</v>
      </c>
      <c r="G1155" s="528"/>
      <c r="H1155" s="503"/>
      <c r="I1155" s="504">
        <f>ROUND(SUM(I1156:I1163),2)</f>
        <v>2086.08</v>
      </c>
      <c r="J1155" s="504">
        <f>ROUND(SUM(J1156:J1163),2)</f>
        <v>106.66</v>
      </c>
      <c r="K1155" s="504">
        <f>+J1155+I1155</f>
        <v>2192.7399999999998</v>
      </c>
      <c r="L1155" s="499" t="s">
        <v>12711</v>
      </c>
      <c r="M1155" s="471"/>
      <c r="N1155" s="505"/>
      <c r="Q1155" s="472"/>
      <c r="R1155" s="472"/>
      <c r="S1155" s="472"/>
      <c r="T1155" s="472"/>
      <c r="U1155" s="472"/>
      <c r="V1155" s="472"/>
      <c r="W1155" s="472"/>
      <c r="X1155" s="472"/>
      <c r="Y1155" s="472"/>
    </row>
    <row r="1156" spans="1:25" x14ac:dyDescent="0.25">
      <c r="A1156" s="463"/>
      <c r="B1156" s="506">
        <v>88316</v>
      </c>
      <c r="C1156" s="507"/>
      <c r="D1156" s="508"/>
      <c r="E1156" s="509" t="str">
        <f>IF($C1156="",IFERROR(VLOOKUP($B1156,SERVIÇOS!$B:$G,2,0),IFERROR(VLOOKUP($B1156,$D:$K,2,0),"")),IFERROR(VLOOKUP($C1156,INSUMOS!$A:$D,2,0),IFERROR(VLOOKUP($C1156,COTAÇÕES!$B:$I,2,0),(VLOOKUP($C1156,'INSUMO SINAPI - SP'!$C:$F,2,0)))))</f>
        <v>SERVENTE COM ENCARGOS COMPLEMENTARES</v>
      </c>
      <c r="F1156" s="510" t="str">
        <f>IF($C1156="",IFERROR(VLOOKUP($B1156,SERVIÇOS!$B:$G,3,0),IFERROR(VLOOKUP($B1156,$D:$K,3,0),"")),IFERROR(VLOOKUP($C1156,INSUMOS!$A:$D,3,0),IFERROR(VLOOKUP($C1156,COTAÇÕES!$B:$I,3,0),(VLOOKUP($C1156,'INSUMO SINAPI - SP'!$C:$F,3,0)))))</f>
        <v>H</v>
      </c>
      <c r="G1156" s="511">
        <v>2</v>
      </c>
      <c r="H1156" s="512">
        <f>IF($C1156="",IFERROR(VLOOKUP($B1156,SERVIÇOS!$B:$G,6,0),IFERROR(VLOOKUP($B1156,$D:$K,8,0),"")),IFERROR(VLOOKUP($C1156,INSUMOS!$A:$D,4,0),IFERROR(VLOOKUP($C1156,COTAÇÕES!$B:$I,7,0),(VLOOKUP($C1156,'INSUMO SINAPI - SP'!$C:$F,4,0)))))</f>
        <v>28.71</v>
      </c>
      <c r="I1156" s="513">
        <f>TRUNC(IF($C1156="",IFERROR(VLOOKUP($B1156,SERVIÇOS!$B:$G,4,0),IFERROR(VLOOKUP($B1156,$D:$K,6,0),)),IFERROR(VLOOKUP($C1156,INSUMOS!$A:$D,4,0),IFERROR(VLOOKUP($C1156,COTAÇÕES!$B:$I,7,0),(VLOOKUP($C1156,'INSUMO SINAPI - SP'!$C:$F,4,0)))))*$G1156,2)</f>
        <v>18.399999999999999</v>
      </c>
      <c r="J1156" s="513">
        <f>TRUNC(IF($C1156="",IFERROR(VLOOKUP($B1156,SERVIÇOS!$B:$G,5,0),IFERROR(VLOOKUP($B1156,$D:$K,7,0),)),0)*$G1156,2)</f>
        <v>39.020000000000003</v>
      </c>
      <c r="K1156" s="514">
        <f t="shared" ref="K1156:K1163" si="37">I1156+J1156</f>
        <v>57.42</v>
      </c>
      <c r="L1156" s="515"/>
      <c r="M1156" s="471"/>
      <c r="N1156" s="516"/>
      <c r="Q1156" s="472"/>
      <c r="R1156" s="472"/>
      <c r="S1156" s="472"/>
      <c r="T1156" s="472"/>
      <c r="U1156" s="472"/>
      <c r="V1156" s="472"/>
      <c r="W1156" s="472"/>
      <c r="X1156" s="472"/>
      <c r="Y1156" s="472"/>
    </row>
    <row r="1157" spans="1:25" x14ac:dyDescent="0.25">
      <c r="A1157" s="463"/>
      <c r="B1157" s="506">
        <v>88309</v>
      </c>
      <c r="C1157" s="507"/>
      <c r="D1157" s="508"/>
      <c r="E1157" s="509" t="str">
        <f>IF($C1157="",IFERROR(VLOOKUP($B1157,SERVIÇOS!$B:$G,2,0),IFERROR(VLOOKUP($B1157,$D:$K,2,0),"")),IFERROR(VLOOKUP($C1157,INSUMOS!$A:$D,2,0),IFERROR(VLOOKUP($C1157,COTAÇÕES!$B:$I,2,0),(VLOOKUP($C1157,'INSUMO SINAPI - SP'!$C:$F,2,0)))))</f>
        <v>PEDREIRO COM ENCARGOS COMPLEMENTARES</v>
      </c>
      <c r="F1157" s="510" t="str">
        <f>IF($C1157="",IFERROR(VLOOKUP($B1157,SERVIÇOS!$B:$G,3,0),IFERROR(VLOOKUP($B1157,$D:$K,3,0),"")),IFERROR(VLOOKUP($C1157,INSUMOS!$A:$D,3,0),IFERROR(VLOOKUP($C1157,COTAÇÕES!$B:$I,3,0),(VLOOKUP($C1157,'INSUMO SINAPI - SP'!$C:$F,3,0)))))</f>
        <v>H</v>
      </c>
      <c r="G1157" s="511">
        <v>2</v>
      </c>
      <c r="H1157" s="512">
        <f>IF($C1157="",IFERROR(VLOOKUP($B1157,SERVIÇOS!$B:$G,6,0),IFERROR(VLOOKUP($B1157,$D:$K,8,0),"")),IFERROR(VLOOKUP($C1157,INSUMOS!$A:$D,4,0),IFERROR(VLOOKUP($C1157,COTAÇÕES!$B:$I,7,0),(VLOOKUP($C1157,'INSUMO SINAPI - SP'!$C:$F,4,0)))))</f>
        <v>36.909999999999997</v>
      </c>
      <c r="I1157" s="513">
        <f>TRUNC(IF($C1157="",IFERROR(VLOOKUP($B1157,SERVIÇOS!$B:$G,4,0),IFERROR(VLOOKUP($B1157,$D:$K,6,0),)),IFERROR(VLOOKUP($C1157,INSUMOS!$A:$D,4,0),IFERROR(VLOOKUP($C1157,COTAÇÕES!$B:$I,7,0),(VLOOKUP($C1157,'INSUMO SINAPI - SP'!$C:$F,4,0)))))*$G1157,2)</f>
        <v>18.559999999999999</v>
      </c>
      <c r="J1157" s="513">
        <f>TRUNC(IF($C1157="",IFERROR(VLOOKUP($B1157,SERVIÇOS!$B:$G,5,0),IFERROR(VLOOKUP($B1157,$D:$K,7,0),)),0)*$G1157,2)</f>
        <v>55.26</v>
      </c>
      <c r="K1157" s="514">
        <f t="shared" si="37"/>
        <v>73.819999999999993</v>
      </c>
      <c r="L1157" s="515"/>
      <c r="M1157" s="471"/>
      <c r="N1157" s="516"/>
      <c r="Q1157" s="472"/>
      <c r="R1157" s="472"/>
      <c r="S1157" s="472"/>
      <c r="T1157" s="472"/>
      <c r="U1157" s="472"/>
      <c r="V1157" s="472"/>
      <c r="W1157" s="472"/>
      <c r="X1157" s="472"/>
      <c r="Y1157" s="472"/>
    </row>
    <row r="1158" spans="1:25" ht="24" x14ac:dyDescent="0.25">
      <c r="A1158" s="463"/>
      <c r="B1158" s="506">
        <v>87299</v>
      </c>
      <c r="C1158" s="507"/>
      <c r="D1158" s="508"/>
      <c r="E1158" s="509" t="str">
        <f>IF($C1158="",IFERROR(VLOOKUP($B1158,SERVIÇOS!$B:$G,2,0),IFERROR(VLOOKUP($B1158,$D:$K,2,0),"")),IFERROR(VLOOKUP($C1158,INSUMOS!$A:$D,2,0),IFERROR(VLOOKUP($C1158,COTAÇÕES!$B:$I,2,0),(VLOOKUP($C1158,'INSUMO SINAPI - SP'!$C:$F,2,0)))))</f>
        <v>ARGAMASSA TRAÇO 1:3 (EM VOLUME DE CIMENTO E AREIA MÉDIA ÚMIDA) PARA CONTRAPISO, PREPARO MECÂNICO COM BETONEIRA 600 L. AF_08/2019</v>
      </c>
      <c r="F1158" s="510" t="str">
        <f>IF($C1158="",IFERROR(VLOOKUP($B1158,SERVIÇOS!$B:$G,3,0),IFERROR(VLOOKUP($B1158,$D:$K,3,0),"")),IFERROR(VLOOKUP($C1158,INSUMOS!$A:$D,3,0),IFERROR(VLOOKUP($C1158,COTAÇÕES!$B:$I,3,0),(VLOOKUP($C1158,'INSUMO SINAPI - SP'!$C:$F,3,0)))))</f>
        <v>M3</v>
      </c>
      <c r="G1158" s="511">
        <v>4.4999999999999997E-3</v>
      </c>
      <c r="H1158" s="512">
        <f>IF($C1158="",IFERROR(VLOOKUP($B1158,SERVIÇOS!$B:$G,6,0),IFERROR(VLOOKUP($B1158,$D:$K,8,0),"")),IFERROR(VLOOKUP($C1158,INSUMOS!$A:$D,4,0),IFERROR(VLOOKUP($C1158,COTAÇÕES!$B:$I,7,0),(VLOOKUP($C1158,'INSUMO SINAPI - SP'!$C:$F,4,0)))))</f>
        <v>476.35</v>
      </c>
      <c r="I1158" s="513">
        <f>TRUNC(IF($C1158="",IFERROR(VLOOKUP($B1158,SERVIÇOS!$B:$G,4,0),IFERROR(VLOOKUP($B1158,$D:$K,6,0),)),IFERROR(VLOOKUP($C1158,INSUMOS!$A:$D,4,0),IFERROR(VLOOKUP($C1158,COTAÇÕES!$B:$I,7,0),(VLOOKUP($C1158,'INSUMO SINAPI - SP'!$C:$F,4,0)))))*$G1158,2)</f>
        <v>1.7</v>
      </c>
      <c r="J1158" s="513">
        <f>TRUNC(IF($C1158="",IFERROR(VLOOKUP($B1158,SERVIÇOS!$B:$G,5,0),IFERROR(VLOOKUP($B1158,$D:$K,7,0),)),0)*$G1158,2)</f>
        <v>0.44</v>
      </c>
      <c r="K1158" s="514">
        <f t="shared" si="37"/>
        <v>2.14</v>
      </c>
      <c r="L1158" s="515"/>
      <c r="M1158" s="471"/>
      <c r="N1158" s="516"/>
      <c r="Q1158" s="472"/>
      <c r="R1158" s="472"/>
      <c r="S1158" s="472"/>
      <c r="T1158" s="472"/>
      <c r="U1158" s="472"/>
      <c r="V1158" s="472"/>
      <c r="W1158" s="472"/>
      <c r="X1158" s="472"/>
      <c r="Y1158" s="472"/>
    </row>
    <row r="1159" spans="1:25" ht="24" x14ac:dyDescent="0.25">
      <c r="A1159" s="463"/>
      <c r="B1159" s="506"/>
      <c r="C1159" s="507">
        <v>11687</v>
      </c>
      <c r="D1159" s="508"/>
      <c r="E1159" s="509" t="str">
        <f>IF($C1159="",IFERROR(VLOOKUP($B1159,SERVIÇOS!$B:$G,2,0),IFERROR(VLOOKUP($B1159,$D:$K,2,0),"")),IFERROR(VLOOKUP($C1159,INSUMOS!$A:$D,2,0),IFERROR(VLOOKUP($C1159,COTAÇÕES!$B:$I,2,0),(VLOOKUP($C1159,'INSUMO SINAPI - SP'!$C:$F,2,0)))))</f>
        <v>BANCADA/TAMPO ACO INOX (AISI 304), LARGURA 60 CM, COM RODABANCA (NAO INCLUI PES DE APOIO)</v>
      </c>
      <c r="F1159" s="510" t="str">
        <f>IF($C1159="",IFERROR(VLOOKUP($B1159,SERVIÇOS!$B:$G,3,0),IFERROR(VLOOKUP($B1159,$D:$K,3,0),"")),IFERROR(VLOOKUP($C1159,INSUMOS!$A:$D,3,0),IFERROR(VLOOKUP($C1159,COTAÇÕES!$B:$I,3,0),(VLOOKUP($C1159,'INSUMO SINAPI - SP'!$C:$F,3,0)))))</f>
        <v>M</v>
      </c>
      <c r="G1159" s="511">
        <v>1</v>
      </c>
      <c r="H1159" s="512">
        <f>IF($C1159="",IFERROR(VLOOKUP($B1159,SERVIÇOS!$B:$G,6,0),IFERROR(VLOOKUP($B1159,$D:$K,8,0),"")),IFERROR(VLOOKUP($C1159,INSUMOS!$A:$D,4,0),IFERROR(VLOOKUP($C1159,COTAÇÕES!$B:$I,7,0),(VLOOKUP($C1159,'INSUMO SINAPI - SP'!$C:$F,4,0)))))</f>
        <v>1257.5999999999999</v>
      </c>
      <c r="I1159" s="513">
        <f>TRUNC(IF($C1159="",IFERROR(VLOOKUP($B1159,SERVIÇOS!$B:$G,4,0),IFERROR(VLOOKUP($B1159,$D:$K,6,0),)),IFERROR(VLOOKUP($C1159,INSUMOS!$A:$D,4,0),IFERROR(VLOOKUP($C1159,COTAÇÕES!$B:$I,7,0),(VLOOKUP($C1159,'INSUMO SINAPI - SP'!$C:$F,4,0)))))*$G1159,2)</f>
        <v>1257.5999999999999</v>
      </c>
      <c r="J1159" s="513">
        <f>TRUNC(IF($C1159="",IFERROR(VLOOKUP($B1159,SERVIÇOS!$B:$G,5,0),IFERROR(VLOOKUP($B1159,$D:$K,7,0),)),0)*$G1159,2)</f>
        <v>0</v>
      </c>
      <c r="K1159" s="514">
        <f t="shared" si="37"/>
        <v>1257.5999999999999</v>
      </c>
      <c r="L1159" s="517"/>
      <c r="M1159" s="471"/>
      <c r="N1159" s="516"/>
      <c r="Q1159" s="472"/>
      <c r="R1159" s="472"/>
      <c r="S1159" s="472"/>
      <c r="T1159" s="472"/>
      <c r="U1159" s="472"/>
      <c r="V1159" s="472"/>
      <c r="W1159" s="472"/>
      <c r="X1159" s="472"/>
      <c r="Y1159" s="472"/>
    </row>
    <row r="1160" spans="1:25" x14ac:dyDescent="0.25">
      <c r="A1160" s="463"/>
      <c r="B1160" s="506"/>
      <c r="C1160" s="507" t="s">
        <v>13215</v>
      </c>
      <c r="D1160" s="508"/>
      <c r="E1160" s="518" t="s">
        <v>13216</v>
      </c>
      <c r="F1160" s="519" t="s">
        <v>580</v>
      </c>
      <c r="G1160" s="511">
        <v>0.48899755501222503</v>
      </c>
      <c r="H1160" s="520">
        <v>1571</v>
      </c>
      <c r="I1160" s="520">
        <f>TRUNC(H1160*G1160,2)</f>
        <v>768.21</v>
      </c>
      <c r="J1160" s="521"/>
      <c r="K1160" s="522">
        <f t="shared" si="37"/>
        <v>768.21</v>
      </c>
      <c r="L1160" s="517" t="s">
        <v>12901</v>
      </c>
      <c r="M1160" s="471"/>
      <c r="N1160" s="516"/>
      <c r="Q1160" s="472"/>
      <c r="R1160" s="472"/>
      <c r="S1160" s="472"/>
      <c r="T1160" s="472"/>
      <c r="U1160" s="472"/>
      <c r="V1160" s="472"/>
      <c r="W1160" s="472"/>
      <c r="X1160" s="472"/>
      <c r="Y1160" s="472"/>
    </row>
    <row r="1161" spans="1:25" ht="24" x14ac:dyDescent="0.25">
      <c r="A1161" s="463"/>
      <c r="B1161" s="506">
        <v>94963</v>
      </c>
      <c r="C1161" s="507"/>
      <c r="D1161" s="508"/>
      <c r="E1161" s="509" t="str">
        <f>IF($C1161="",IFERROR(VLOOKUP($B1161,SERVIÇOS!$B:$G,2,0),IFERROR(VLOOKUP($B1161,$D:$K,2,0),"")),IFERROR(VLOOKUP($C1161,INSUMOS!$A:$D,2,0),IFERROR(VLOOKUP($C1161,COTAÇÕES!$B:$I,2,0),(VLOOKUP($C1161,'INSUMO SINAPI - SP'!$C:$F,2,0)))))</f>
        <v>CONCRETO FCK = 15MPA, TRAÇO 1:3,4:3,5 (EM MASSA SECA DE CIMENTO/ AREIA MÉDIA/ BRITA 1) - PREPARO MECÂNICO COM BETONEIRA 400 L. AF_05/2021</v>
      </c>
      <c r="F1161" s="510" t="str">
        <f>IF($C1161="",IFERROR(VLOOKUP($B1161,SERVIÇOS!$B:$G,3,0),IFERROR(VLOOKUP($B1161,$D:$K,3,0),"")),IFERROR(VLOOKUP($C1161,INSUMOS!$A:$D,3,0),IFERROR(VLOOKUP($C1161,COTAÇÕES!$B:$I,3,0),(VLOOKUP($C1161,'INSUMO SINAPI - SP'!$C:$F,3,0)))))</f>
        <v>M3</v>
      </c>
      <c r="G1161" s="511">
        <v>1.7999999999999999E-2</v>
      </c>
      <c r="H1161" s="512">
        <f>IF($C1161="",IFERROR(VLOOKUP($B1161,SERVIÇOS!$B:$G,6,0),IFERROR(VLOOKUP($B1161,$D:$K,8,0),"")),IFERROR(VLOOKUP($C1161,INSUMOS!$A:$D,4,0),IFERROR(VLOOKUP($C1161,COTAÇÕES!$B:$I,7,0),(VLOOKUP($C1161,'INSUMO SINAPI - SP'!$C:$F,4,0)))))</f>
        <v>435.24</v>
      </c>
      <c r="I1161" s="513">
        <f>TRUNC(IF($C1161="",IFERROR(VLOOKUP($B1161,SERVIÇOS!$B:$G,4,0),IFERROR(VLOOKUP($B1161,$D:$K,6,0),)),IFERROR(VLOOKUP($C1161,INSUMOS!$A:$D,4,0),IFERROR(VLOOKUP($C1161,COTAÇÕES!$B:$I,7,0),(VLOOKUP($C1161,'INSUMO SINAPI - SP'!$C:$F,4,0)))))*$G1161,2)</f>
        <v>6.35</v>
      </c>
      <c r="J1161" s="513">
        <f>TRUNC(IF($C1161="",IFERROR(VLOOKUP($B1161,SERVIÇOS!$B:$G,5,0),IFERROR(VLOOKUP($B1161,$D:$K,7,0),)),0)*$G1161,2)</f>
        <v>1.47</v>
      </c>
      <c r="K1161" s="514">
        <f t="shared" si="37"/>
        <v>7.8199999999999994</v>
      </c>
      <c r="L1161" s="515"/>
      <c r="M1161" s="471"/>
      <c r="N1161" s="516"/>
      <c r="Q1161" s="472"/>
      <c r="R1161" s="472"/>
      <c r="S1161" s="472"/>
      <c r="T1161" s="472"/>
      <c r="U1161" s="472"/>
      <c r="V1161" s="472"/>
      <c r="W1161" s="472"/>
      <c r="X1161" s="472"/>
      <c r="Y1161" s="472"/>
    </row>
    <row r="1162" spans="1:25" ht="24" x14ac:dyDescent="0.25">
      <c r="A1162" s="463"/>
      <c r="B1162" s="506">
        <v>103670</v>
      </c>
      <c r="C1162" s="507"/>
      <c r="D1162" s="508"/>
      <c r="E1162" s="509" t="str">
        <f>IF($C1162="",IFERROR(VLOOKUP($B1162,SERVIÇOS!$B:$G,2,0),IFERROR(VLOOKUP($B1162,$D:$K,2,0),"")),IFERROR(VLOOKUP($C1162,INSUMOS!$A:$D,2,0),IFERROR(VLOOKUP($C1162,COTAÇÕES!$B:$I,2,0),(VLOOKUP($C1162,'INSUMO SINAPI - SP'!$C:$F,2,0)))))</f>
        <v>LANÇAMENTO COM USO DE BALDES, ADENSAMENTO E ACABAMENTO DE CONCRETO EM ESTRUTURAS. AF_02/2022</v>
      </c>
      <c r="F1162" s="510" t="str">
        <f>IF($C1162="",IFERROR(VLOOKUP($B1162,SERVIÇOS!$B:$G,3,0),IFERROR(VLOOKUP($B1162,$D:$K,3,0),"")),IFERROR(VLOOKUP($C1162,INSUMOS!$A:$D,3,0),IFERROR(VLOOKUP($C1162,COTAÇÕES!$B:$I,3,0),(VLOOKUP($C1162,'INSUMO SINAPI - SP'!$C:$F,3,0)))))</f>
        <v>M3</v>
      </c>
      <c r="G1162" s="511">
        <v>1.7999999999999999E-2</v>
      </c>
      <c r="H1162" s="512">
        <f>IF($C1162="",IFERROR(VLOOKUP($B1162,SERVIÇOS!$B:$G,6,0),IFERROR(VLOOKUP($B1162,$D:$K,8,0),"")),IFERROR(VLOOKUP($C1162,INSUMOS!$A:$D,4,0),IFERROR(VLOOKUP($C1162,COTAÇÕES!$B:$I,7,0),(VLOOKUP($C1162,'INSUMO SINAPI - SP'!$C:$F,4,0)))))</f>
        <v>394.15</v>
      </c>
      <c r="I1162" s="513">
        <f>TRUNC(IF($C1162="",IFERROR(VLOOKUP($B1162,SERVIÇOS!$B:$G,4,0),IFERROR(VLOOKUP($B1162,$D:$K,6,0),)),IFERROR(VLOOKUP($C1162,INSUMOS!$A:$D,4,0),IFERROR(VLOOKUP($C1162,COTAÇÕES!$B:$I,7,0),(VLOOKUP($C1162,'INSUMO SINAPI - SP'!$C:$F,4,0)))))*$G1162,2)</f>
        <v>2.06</v>
      </c>
      <c r="J1162" s="513">
        <f>TRUNC(IF($C1162="",IFERROR(VLOOKUP($B1162,SERVIÇOS!$B:$G,5,0),IFERROR(VLOOKUP($B1162,$D:$K,7,0),)),0)*$G1162,2)</f>
        <v>5.0199999999999996</v>
      </c>
      <c r="K1162" s="514">
        <f t="shared" si="37"/>
        <v>7.08</v>
      </c>
      <c r="L1162" s="515"/>
      <c r="M1162" s="471"/>
      <c r="N1162" s="516"/>
      <c r="Q1162" s="472"/>
      <c r="R1162" s="472"/>
      <c r="S1162" s="472"/>
      <c r="T1162" s="472"/>
      <c r="U1162" s="472"/>
      <c r="V1162" s="472"/>
      <c r="W1162" s="472"/>
      <c r="X1162" s="472"/>
      <c r="Y1162" s="472"/>
    </row>
    <row r="1163" spans="1:25" ht="24" x14ac:dyDescent="0.25">
      <c r="A1163" s="463"/>
      <c r="B1163" s="506">
        <v>92768</v>
      </c>
      <c r="C1163" s="507"/>
      <c r="D1163" s="508"/>
      <c r="E1163" s="509" t="str">
        <f>IF($C1163="",IFERROR(VLOOKUP($B1163,SERVIÇOS!$B:$G,2,0),IFERROR(VLOOKUP($B1163,$D:$K,2,0),"")),IFERROR(VLOOKUP($C1163,INSUMOS!$A:$D,2,0),IFERROR(VLOOKUP($C1163,COTAÇÕES!$B:$I,2,0),(VLOOKUP($C1163,'INSUMO SINAPI - SP'!$C:$F,2,0)))))</f>
        <v>ARMAÇÃO DE LAJE DE ESTRUTURA CONVENCIONAL DE CONCRETO ARMADO UTILIZANDO AÇO CA-60 DE 5,0 MM - MONTAGEM. AF_06/2022</v>
      </c>
      <c r="F1163" s="510" t="str">
        <f>IF($C1163="",IFERROR(VLOOKUP($B1163,SERVIÇOS!$B:$G,3,0),IFERROR(VLOOKUP($B1163,$D:$K,3,0),"")),IFERROR(VLOOKUP($C1163,INSUMOS!$A:$D,3,0),IFERROR(VLOOKUP($C1163,COTAÇÕES!$B:$I,3,0),(VLOOKUP($C1163,'INSUMO SINAPI - SP'!$C:$F,3,0)))))</f>
        <v>KG</v>
      </c>
      <c r="G1163" s="511">
        <v>1.26</v>
      </c>
      <c r="H1163" s="512">
        <f>IF($C1163="",IFERROR(VLOOKUP($B1163,SERVIÇOS!$B:$G,6,0),IFERROR(VLOOKUP($B1163,$D:$K,8,0),"")),IFERROR(VLOOKUP($C1163,INSUMOS!$A:$D,4,0),IFERROR(VLOOKUP($C1163,COTAÇÕES!$B:$I,7,0),(VLOOKUP($C1163,'INSUMO SINAPI - SP'!$C:$F,4,0)))))</f>
        <v>14.81</v>
      </c>
      <c r="I1163" s="513">
        <f>TRUNC(IF($C1163="",IFERROR(VLOOKUP($B1163,SERVIÇOS!$B:$G,4,0),IFERROR(VLOOKUP($B1163,$D:$K,6,0),)),IFERROR(VLOOKUP($C1163,INSUMOS!$A:$D,4,0),IFERROR(VLOOKUP($C1163,COTAÇÕES!$B:$I,7,0),(VLOOKUP($C1163,'INSUMO SINAPI - SP'!$C:$F,4,0)))))*$G1163,2)</f>
        <v>13.2</v>
      </c>
      <c r="J1163" s="513">
        <f>TRUNC(IF($C1163="",IFERROR(VLOOKUP($B1163,SERVIÇOS!$B:$G,5,0),IFERROR(VLOOKUP($B1163,$D:$K,7,0),)),0)*$G1163,2)</f>
        <v>5.45</v>
      </c>
      <c r="K1163" s="514">
        <f t="shared" si="37"/>
        <v>18.649999999999999</v>
      </c>
      <c r="L1163" s="515"/>
      <c r="M1163" s="471"/>
      <c r="N1163" s="516"/>
      <c r="Q1163" s="472"/>
      <c r="R1163" s="472"/>
      <c r="S1163" s="472"/>
      <c r="T1163" s="472"/>
      <c r="U1163" s="472"/>
      <c r="V1163" s="472"/>
      <c r="W1163" s="472"/>
      <c r="X1163" s="472"/>
      <c r="Y1163" s="472"/>
    </row>
    <row r="1164" spans="1:25" x14ac:dyDescent="0.25">
      <c r="A1164" s="463"/>
      <c r="B1164" s="526"/>
      <c r="C1164" s="527"/>
      <c r="D1164" s="499" t="s">
        <v>12006</v>
      </c>
      <c r="E1164" s="500" t="s">
        <v>13217</v>
      </c>
      <c r="F1164" s="501" t="s">
        <v>578</v>
      </c>
      <c r="G1164" s="528"/>
      <c r="H1164" s="503"/>
      <c r="I1164" s="504">
        <f>ROUND(SUM(I1165:I1167),2)</f>
        <v>26.63</v>
      </c>
      <c r="J1164" s="504">
        <f>ROUND(SUM(J1165:J1167),2)</f>
        <v>1.97</v>
      </c>
      <c r="K1164" s="504">
        <f>+J1164+I1164</f>
        <v>28.599999999999998</v>
      </c>
      <c r="L1164" s="499" t="s">
        <v>13218</v>
      </c>
      <c r="M1164" s="471"/>
      <c r="N1164" s="505"/>
      <c r="Q1164" s="472"/>
      <c r="R1164" s="472"/>
      <c r="S1164" s="472"/>
      <c r="T1164" s="472"/>
      <c r="U1164" s="472"/>
      <c r="V1164" s="472"/>
      <c r="W1164" s="472"/>
      <c r="X1164" s="472"/>
      <c r="Y1164" s="472"/>
    </row>
    <row r="1165" spans="1:25" x14ac:dyDescent="0.25">
      <c r="A1165" s="463"/>
      <c r="B1165" s="506">
        <v>88278</v>
      </c>
      <c r="C1165" s="507"/>
      <c r="D1165" s="508"/>
      <c r="E1165" s="509" t="str">
        <f>IF($C1165="",IFERROR(VLOOKUP($B1165,SERVIÇOS!$B:$G,2,0),IFERROR(VLOOKUP($B1165,$D:$K,2,0),"")),IFERROR(VLOOKUP($C1165,INSUMOS!$A:$D,2,0),IFERROR(VLOOKUP($C1165,COTAÇÕES!$B:$I,2,0),(VLOOKUP($C1165,'INSUMO SINAPI - SP'!$C:$F,2,0)))))</f>
        <v>MONTADOR DE ESTRUTURA METÁLICA COM ENCARGOS COMPLEMENTARES</v>
      </c>
      <c r="F1165" s="510" t="str">
        <f>IF($C1165="",IFERROR(VLOOKUP($B1165,SERVIÇOS!$B:$G,3,0),IFERROR(VLOOKUP($B1165,$D:$K,3,0),"")),IFERROR(VLOOKUP($C1165,INSUMOS!$A:$D,3,0),IFERROR(VLOOKUP($C1165,COTAÇÕES!$B:$I,3,0),(VLOOKUP($C1165,'INSUMO SINAPI - SP'!$C:$F,3,0)))))</f>
        <v>H</v>
      </c>
      <c r="G1165" s="511">
        <v>6.8000000000000005E-2</v>
      </c>
      <c r="H1165" s="512">
        <f>IF($C1165="",IFERROR(VLOOKUP($B1165,SERVIÇOS!$B:$G,6,0),IFERROR(VLOOKUP($B1165,$D:$K,8,0),"")),IFERROR(VLOOKUP($C1165,INSUMOS!$A:$D,4,0),IFERROR(VLOOKUP($C1165,COTAÇÕES!$B:$I,7,0),(VLOOKUP($C1165,'INSUMO SINAPI - SP'!$C:$F,4,0)))))</f>
        <v>32.22</v>
      </c>
      <c r="I1165" s="513">
        <f>TRUNC(IF($C1165="",IFERROR(VLOOKUP($B1165,SERVIÇOS!$B:$G,4,0),IFERROR(VLOOKUP($B1165,$D:$K,6,0),)),IFERROR(VLOOKUP($C1165,INSUMOS!$A:$D,4,0),IFERROR(VLOOKUP($C1165,COTAÇÕES!$B:$I,7,0),(VLOOKUP($C1165,'INSUMO SINAPI - SP'!$C:$F,4,0)))))*$G1165,2)</f>
        <v>0.55000000000000004</v>
      </c>
      <c r="J1165" s="513">
        <f>TRUNC(IF($C1165="",IFERROR(VLOOKUP($B1165,SERVIÇOS!$B:$G,5,0),IFERROR(VLOOKUP($B1165,$D:$K,7,0),)),0)*$G1165,2)</f>
        <v>1.64</v>
      </c>
      <c r="K1165" s="514">
        <f>I1165+J1165</f>
        <v>2.19</v>
      </c>
      <c r="L1165" s="515"/>
      <c r="M1165" s="471"/>
      <c r="N1165" s="516"/>
      <c r="Q1165" s="472"/>
      <c r="R1165" s="472"/>
      <c r="S1165" s="472"/>
      <c r="T1165" s="472"/>
      <c r="U1165" s="472"/>
      <c r="V1165" s="472"/>
      <c r="W1165" s="472"/>
      <c r="X1165" s="472"/>
      <c r="Y1165" s="472"/>
    </row>
    <row r="1166" spans="1:25" x14ac:dyDescent="0.25">
      <c r="A1166" s="463"/>
      <c r="B1166" s="506">
        <v>88316</v>
      </c>
      <c r="C1166" s="507"/>
      <c r="D1166" s="508"/>
      <c r="E1166" s="509" t="str">
        <f>IF($C1166="",IFERROR(VLOOKUP($B1166,SERVIÇOS!$B:$G,2,0),IFERROR(VLOOKUP($B1166,$D:$K,2,0),"")),IFERROR(VLOOKUP($C1166,INSUMOS!$A:$D,2,0),IFERROR(VLOOKUP($C1166,COTAÇÕES!$B:$I,2,0),(VLOOKUP($C1166,'INSUMO SINAPI - SP'!$C:$F,2,0)))))</f>
        <v>SERVENTE COM ENCARGOS COMPLEMENTARES</v>
      </c>
      <c r="F1166" s="510" t="str">
        <f>IF($C1166="",IFERROR(VLOOKUP($B1166,SERVIÇOS!$B:$G,3,0),IFERROR(VLOOKUP($B1166,$D:$K,3,0),"")),IFERROR(VLOOKUP($C1166,INSUMOS!$A:$D,3,0),IFERROR(VLOOKUP($C1166,COTAÇÕES!$B:$I,3,0),(VLOOKUP($C1166,'INSUMO SINAPI - SP'!$C:$F,3,0)))))</f>
        <v>H</v>
      </c>
      <c r="G1166" s="511">
        <v>1.7000000000000001E-2</v>
      </c>
      <c r="H1166" s="512">
        <f>IF($C1166="",IFERROR(VLOOKUP($B1166,SERVIÇOS!$B:$G,6,0),IFERROR(VLOOKUP($B1166,$D:$K,8,0),"")),IFERROR(VLOOKUP($C1166,INSUMOS!$A:$D,4,0),IFERROR(VLOOKUP($C1166,COTAÇÕES!$B:$I,7,0),(VLOOKUP($C1166,'INSUMO SINAPI - SP'!$C:$F,4,0)))))</f>
        <v>28.71</v>
      </c>
      <c r="I1166" s="513">
        <f>TRUNC(IF($C1166="",IFERROR(VLOOKUP($B1166,SERVIÇOS!$B:$G,4,0),IFERROR(VLOOKUP($B1166,$D:$K,6,0),)),IFERROR(VLOOKUP($C1166,INSUMOS!$A:$D,4,0),IFERROR(VLOOKUP($C1166,COTAÇÕES!$B:$I,7,0),(VLOOKUP($C1166,'INSUMO SINAPI - SP'!$C:$F,4,0)))))*$G1166,2)</f>
        <v>0.15</v>
      </c>
      <c r="J1166" s="513">
        <f>TRUNC(IF($C1166="",IFERROR(VLOOKUP($B1166,SERVIÇOS!$B:$G,5,0),IFERROR(VLOOKUP($B1166,$D:$K,7,0),)),0)*$G1166,2)</f>
        <v>0.33</v>
      </c>
      <c r="K1166" s="514">
        <f>I1166+J1166</f>
        <v>0.48</v>
      </c>
      <c r="L1166" s="515"/>
      <c r="M1166" s="471"/>
      <c r="N1166" s="516"/>
      <c r="Q1166" s="472"/>
      <c r="R1166" s="472"/>
      <c r="S1166" s="472"/>
      <c r="T1166" s="472"/>
      <c r="U1166" s="472"/>
      <c r="V1166" s="472"/>
      <c r="W1166" s="472"/>
      <c r="X1166" s="472"/>
      <c r="Y1166" s="472"/>
    </row>
    <row r="1167" spans="1:25" x14ac:dyDescent="0.25">
      <c r="A1167" s="463"/>
      <c r="B1167" s="506"/>
      <c r="C1167" s="507">
        <v>88255</v>
      </c>
      <c r="D1167" s="508"/>
      <c r="E1167" s="518" t="s">
        <v>13219</v>
      </c>
      <c r="F1167" s="519" t="s">
        <v>578</v>
      </c>
      <c r="G1167" s="511">
        <v>1</v>
      </c>
      <c r="H1167" s="520">
        <v>25.93</v>
      </c>
      <c r="I1167" s="520">
        <f>TRUNC(H1167*G1167,2)</f>
        <v>25.93</v>
      </c>
      <c r="J1167" s="521"/>
      <c r="K1167" s="522">
        <f>I1167+J1167</f>
        <v>25.93</v>
      </c>
      <c r="L1167" s="517" t="s">
        <v>13220</v>
      </c>
      <c r="M1167" s="471"/>
      <c r="N1167" s="516"/>
      <c r="Q1167" s="472"/>
      <c r="R1167" s="472"/>
      <c r="S1167" s="472"/>
      <c r="T1167" s="472"/>
      <c r="U1167" s="472"/>
      <c r="V1167" s="472"/>
      <c r="W1167" s="472"/>
      <c r="X1167" s="472"/>
      <c r="Y1167" s="472"/>
    </row>
    <row r="1168" spans="1:25" ht="24" x14ac:dyDescent="0.25">
      <c r="A1168" s="463"/>
      <c r="B1168" s="498"/>
      <c r="C1168" s="498"/>
      <c r="D1168" s="499" t="s">
        <v>12056</v>
      </c>
      <c r="E1168" s="500" t="s">
        <v>13221</v>
      </c>
      <c r="F1168" s="501" t="s">
        <v>580</v>
      </c>
      <c r="G1168" s="524"/>
      <c r="H1168" s="503"/>
      <c r="I1168" s="504">
        <f>ROUND(SUM(I1169:I1172),2)</f>
        <v>144.01</v>
      </c>
      <c r="J1168" s="504">
        <f>ROUND(SUM(J1169:J1172),2)</f>
        <v>23.51</v>
      </c>
      <c r="K1168" s="504">
        <f>+J1168+I1168</f>
        <v>167.51999999999998</v>
      </c>
      <c r="L1168" s="499" t="s">
        <v>13222</v>
      </c>
      <c r="M1168" s="471"/>
      <c r="N1168" s="505"/>
      <c r="Q1168" s="472"/>
      <c r="R1168" s="472"/>
      <c r="S1168" s="472"/>
      <c r="T1168" s="472"/>
      <c r="U1168" s="472"/>
      <c r="V1168" s="472"/>
      <c r="W1168" s="472"/>
      <c r="X1168" s="472"/>
      <c r="Y1168" s="472"/>
    </row>
    <row r="1169" spans="1:25" x14ac:dyDescent="0.25">
      <c r="A1169" s="463"/>
      <c r="B1169" s="506"/>
      <c r="C1169" s="507">
        <v>3146</v>
      </c>
      <c r="D1169" s="508"/>
      <c r="E1169" s="509" t="str">
        <f>IF($C1169="",IFERROR(VLOOKUP($B1169,SERVIÇOS!$B:$G,2,0),IFERROR(VLOOKUP($B1169,$D:$K,2,0),"")),IFERROR(VLOOKUP($C1169,INSUMOS!$A:$D,2,0),IFERROR(VLOOKUP($C1169,COTAÇÕES!$B:$I,2,0),(VLOOKUP($C1169,'INSUMO SINAPI - SP'!$C:$F,2,0)))))</f>
        <v>FITA VEDA ROSCA, EM PTFE, ROLO DE 18 MM X 10 M (L X C)</v>
      </c>
      <c r="F1169" s="510" t="str">
        <f>IF($C1169="",IFERROR(VLOOKUP($B1169,SERVIÇOS!$B:$G,3,0),IFERROR(VLOOKUP($B1169,$D:$K,3,0),"")),IFERROR(VLOOKUP($C1169,INSUMOS!$A:$D,3,0),IFERROR(VLOOKUP($C1169,COTAÇÕES!$B:$I,3,0),(VLOOKUP($C1169,'INSUMO SINAPI - SP'!$C:$F,3,0)))))</f>
        <v>UN</v>
      </c>
      <c r="G1169" s="511">
        <v>0.05</v>
      </c>
      <c r="H1169" s="512">
        <f>IF($C1169="",IFERROR(VLOOKUP($B1169,SERVIÇOS!$B:$G,6,0),IFERROR(VLOOKUP($B1169,$D:$K,8,0),"")),IFERROR(VLOOKUP($C1169,INSUMOS!$A:$D,4,0),IFERROR(VLOOKUP($C1169,COTAÇÕES!$B:$I,7,0),(VLOOKUP($C1169,'INSUMO SINAPI - SP'!$C:$F,4,0)))))</f>
        <v>5.25</v>
      </c>
      <c r="I1169" s="513">
        <f>TRUNC(IF($C1169="",IFERROR(VLOOKUP($B1169,SERVIÇOS!$B:$G,4,0),IFERROR(VLOOKUP($B1169,$D:$K,6,0),)),IFERROR(VLOOKUP($C1169,INSUMOS!$A:$D,4,0),IFERROR(VLOOKUP($C1169,COTAÇÕES!$B:$I,7,0),(VLOOKUP($C1169,'INSUMO SINAPI - SP'!$C:$F,4,0)))))*$G1169,2)</f>
        <v>0.26</v>
      </c>
      <c r="J1169" s="513">
        <f>TRUNC(IF($C1169="",IFERROR(VLOOKUP($B1169,SERVIÇOS!$B:$G,5,0),IFERROR(VLOOKUP($B1169,$D:$K,7,0),)),0)*$G1169,2)</f>
        <v>0</v>
      </c>
      <c r="K1169" s="514">
        <f>I1169+J1169</f>
        <v>0.26</v>
      </c>
      <c r="L1169" s="517"/>
      <c r="M1169" s="471"/>
      <c r="N1169" s="516"/>
      <c r="Q1169" s="472"/>
      <c r="R1169" s="472"/>
      <c r="S1169" s="472"/>
      <c r="T1169" s="472"/>
      <c r="U1169" s="472"/>
      <c r="V1169" s="472"/>
      <c r="W1169" s="472"/>
      <c r="X1169" s="472"/>
      <c r="Y1169" s="472"/>
    </row>
    <row r="1170" spans="1:25" ht="24" x14ac:dyDescent="0.25">
      <c r="A1170" s="463"/>
      <c r="B1170" s="506"/>
      <c r="C1170" s="507">
        <v>36796</v>
      </c>
      <c r="D1170" s="508"/>
      <c r="E1170" s="509" t="str">
        <f>IF($C1170="",IFERROR(VLOOKUP($B1170,SERVIÇOS!$B:$G,2,0),IFERROR(VLOOKUP($B1170,$D:$K,2,0),"")),IFERROR(VLOOKUP($C1170,INSUMOS!$A:$D,2,0),IFERROR(VLOOKUP($C1170,COTAÇÕES!$B:$I,2,0),(VLOOKUP($C1170,'INSUMO SINAPI - SP'!$C:$F,2,0)))))</f>
        <v>TORNEIRA METALICA CROMADA DE MESA, PARA LAVATORIO, TEMPORIZADA PRESSAO FECHAMENTO AUTOMATICO, BICA BAIXA</v>
      </c>
      <c r="F1170" s="510" t="str">
        <f>IF($C1170="",IFERROR(VLOOKUP($B1170,SERVIÇOS!$B:$G,3,0),IFERROR(VLOOKUP($B1170,$D:$K,3,0),"")),IFERROR(VLOOKUP($C1170,INSUMOS!$A:$D,3,0),IFERROR(VLOOKUP($C1170,COTAÇÕES!$B:$I,3,0),(VLOOKUP($C1170,'INSUMO SINAPI - SP'!$C:$F,3,0)))))</f>
        <v>UN</v>
      </c>
      <c r="G1170" s="511">
        <v>1</v>
      </c>
      <c r="H1170" s="512">
        <f>IF($C1170="",IFERROR(VLOOKUP($B1170,SERVIÇOS!$B:$G,6,0),IFERROR(VLOOKUP($B1170,$D:$K,8,0),"")),IFERROR(VLOOKUP($C1170,INSUMOS!$A:$D,4,0),IFERROR(VLOOKUP($C1170,COTAÇÕES!$B:$I,7,0),(VLOOKUP($C1170,'INSUMO SINAPI - SP'!$C:$F,4,0)))))</f>
        <v>134.83000000000001</v>
      </c>
      <c r="I1170" s="513">
        <f>TRUNC(IF($C1170="",IFERROR(VLOOKUP($B1170,SERVIÇOS!$B:$G,4,0),IFERROR(VLOOKUP($B1170,$D:$K,6,0),)),IFERROR(VLOOKUP($C1170,INSUMOS!$A:$D,4,0),IFERROR(VLOOKUP($C1170,COTAÇÕES!$B:$I,7,0),(VLOOKUP($C1170,'INSUMO SINAPI - SP'!$C:$F,4,0)))))*$G1170,2)</f>
        <v>134.83000000000001</v>
      </c>
      <c r="J1170" s="513">
        <f>TRUNC(IF($C1170="",IFERROR(VLOOKUP($B1170,SERVIÇOS!$B:$G,5,0),IFERROR(VLOOKUP($B1170,$D:$K,7,0),)),0)*$G1170,2)</f>
        <v>0</v>
      </c>
      <c r="K1170" s="514">
        <f>I1170+J1170</f>
        <v>134.83000000000001</v>
      </c>
      <c r="L1170" s="517"/>
      <c r="M1170" s="471"/>
      <c r="N1170" s="516"/>
      <c r="Q1170" s="472"/>
      <c r="R1170" s="472"/>
      <c r="S1170" s="472"/>
      <c r="T1170" s="472"/>
      <c r="U1170" s="472"/>
      <c r="V1170" s="472"/>
      <c r="W1170" s="472"/>
      <c r="X1170" s="472"/>
      <c r="Y1170" s="472"/>
    </row>
    <row r="1171" spans="1:25" x14ac:dyDescent="0.25">
      <c r="A1171" s="463"/>
      <c r="B1171" s="506">
        <v>88267</v>
      </c>
      <c r="C1171" s="507"/>
      <c r="D1171" s="508"/>
      <c r="E1171" s="509" t="str">
        <f>IF($C1171="",IFERROR(VLOOKUP($B1171,SERVIÇOS!$B:$G,2,0),IFERROR(VLOOKUP($B1171,$D:$K,2,0),"")),IFERROR(VLOOKUP($C1171,INSUMOS!$A:$D,2,0),IFERROR(VLOOKUP($C1171,COTAÇÕES!$B:$I,2,0),(VLOOKUP($C1171,'INSUMO SINAPI - SP'!$C:$F,2,0)))))</f>
        <v>ENCANADOR OU BOMBEIRO HIDRÁULICO COM ENCARGOS COMPLEMENTARES</v>
      </c>
      <c r="F1171" s="510" t="str">
        <f>IF($C1171="",IFERROR(VLOOKUP($B1171,SERVIÇOS!$B:$G,3,0),IFERROR(VLOOKUP($B1171,$D:$K,3,0),"")),IFERROR(VLOOKUP($C1171,INSUMOS!$A:$D,3,0),IFERROR(VLOOKUP($C1171,COTAÇÕES!$B:$I,3,0),(VLOOKUP($C1171,'INSUMO SINAPI - SP'!$C:$F,3,0)))))</f>
        <v>H</v>
      </c>
      <c r="G1171" s="511">
        <v>0.5</v>
      </c>
      <c r="H1171" s="512">
        <f>IF($C1171="",IFERROR(VLOOKUP($B1171,SERVIÇOS!$B:$G,6,0),IFERROR(VLOOKUP($B1171,$D:$K,8,0),"")),IFERROR(VLOOKUP($C1171,INSUMOS!$A:$D,4,0),IFERROR(VLOOKUP($C1171,COTAÇÕES!$B:$I,7,0),(VLOOKUP($C1171,'INSUMO SINAPI - SP'!$C:$F,4,0)))))</f>
        <v>36.17</v>
      </c>
      <c r="I1171" s="513">
        <f>TRUNC(IF($C1171="",IFERROR(VLOOKUP($B1171,SERVIÇOS!$B:$G,4,0),IFERROR(VLOOKUP($B1171,$D:$K,6,0),)),IFERROR(VLOOKUP($C1171,INSUMOS!$A:$D,4,0),IFERROR(VLOOKUP($C1171,COTAÇÕES!$B:$I,7,0),(VLOOKUP($C1171,'INSUMO SINAPI - SP'!$C:$F,4,0)))))*$G1171,2)</f>
        <v>4.32</v>
      </c>
      <c r="J1171" s="513">
        <f>TRUNC(IF($C1171="",IFERROR(VLOOKUP($B1171,SERVIÇOS!$B:$G,5,0),IFERROR(VLOOKUP($B1171,$D:$K,7,0),)),0)*$G1171,2)</f>
        <v>13.76</v>
      </c>
      <c r="K1171" s="514">
        <f>I1171+J1171</f>
        <v>18.079999999999998</v>
      </c>
      <c r="L1171" s="515"/>
      <c r="M1171" s="471"/>
      <c r="N1171" s="516"/>
      <c r="Q1171" s="472"/>
      <c r="R1171" s="472"/>
      <c r="S1171" s="472"/>
      <c r="T1171" s="472"/>
      <c r="U1171" s="472"/>
      <c r="V1171" s="472"/>
      <c r="W1171" s="472"/>
      <c r="X1171" s="472"/>
      <c r="Y1171" s="472"/>
    </row>
    <row r="1172" spans="1:25" x14ac:dyDescent="0.25">
      <c r="A1172" s="463"/>
      <c r="B1172" s="506">
        <v>88316</v>
      </c>
      <c r="C1172" s="507"/>
      <c r="D1172" s="508"/>
      <c r="E1172" s="509" t="str">
        <f>IF($C1172="",IFERROR(VLOOKUP($B1172,SERVIÇOS!$B:$G,2,0),IFERROR(VLOOKUP($B1172,$D:$K,2,0),"")),IFERROR(VLOOKUP($C1172,INSUMOS!$A:$D,2,0),IFERROR(VLOOKUP($C1172,COTAÇÕES!$B:$I,2,0),(VLOOKUP($C1172,'INSUMO SINAPI - SP'!$C:$F,2,0)))))</f>
        <v>SERVENTE COM ENCARGOS COMPLEMENTARES</v>
      </c>
      <c r="F1172" s="510" t="str">
        <f>IF($C1172="",IFERROR(VLOOKUP($B1172,SERVIÇOS!$B:$G,3,0),IFERROR(VLOOKUP($B1172,$D:$K,3,0),"")),IFERROR(VLOOKUP($C1172,INSUMOS!$A:$D,3,0),IFERROR(VLOOKUP($C1172,COTAÇÕES!$B:$I,3,0),(VLOOKUP($C1172,'INSUMO SINAPI - SP'!$C:$F,3,0)))))</f>
        <v>H</v>
      </c>
      <c r="G1172" s="511">
        <v>0.5</v>
      </c>
      <c r="H1172" s="512">
        <f>IF($C1172="",IFERROR(VLOOKUP($B1172,SERVIÇOS!$B:$G,6,0),IFERROR(VLOOKUP($B1172,$D:$K,8,0),"")),IFERROR(VLOOKUP($C1172,INSUMOS!$A:$D,4,0),IFERROR(VLOOKUP($C1172,COTAÇÕES!$B:$I,7,0),(VLOOKUP($C1172,'INSUMO SINAPI - SP'!$C:$F,4,0)))))</f>
        <v>28.71</v>
      </c>
      <c r="I1172" s="513">
        <f>TRUNC(IF($C1172="",IFERROR(VLOOKUP($B1172,SERVIÇOS!$B:$G,4,0),IFERROR(VLOOKUP($B1172,$D:$K,6,0),)),IFERROR(VLOOKUP($C1172,INSUMOS!$A:$D,4,0),IFERROR(VLOOKUP($C1172,COTAÇÕES!$B:$I,7,0),(VLOOKUP($C1172,'INSUMO SINAPI - SP'!$C:$F,4,0)))))*$G1172,2)</f>
        <v>4.5999999999999996</v>
      </c>
      <c r="J1172" s="513">
        <f>TRUNC(IF($C1172="",IFERROR(VLOOKUP($B1172,SERVIÇOS!$B:$G,5,0),IFERROR(VLOOKUP($B1172,$D:$K,7,0),)),0)*$G1172,2)</f>
        <v>9.75</v>
      </c>
      <c r="K1172" s="514">
        <f>I1172+J1172</f>
        <v>14.35</v>
      </c>
      <c r="L1172" s="515"/>
      <c r="M1172" s="471"/>
      <c r="N1172" s="516"/>
      <c r="Q1172" s="472"/>
      <c r="R1172" s="472"/>
      <c r="S1172" s="472"/>
      <c r="T1172" s="472"/>
      <c r="U1172" s="472"/>
      <c r="V1172" s="472"/>
      <c r="W1172" s="472"/>
      <c r="X1172" s="472"/>
      <c r="Y1172" s="472"/>
    </row>
    <row r="1173" spans="1:25" ht="24" x14ac:dyDescent="0.25">
      <c r="A1173" s="463"/>
      <c r="B1173" s="498"/>
      <c r="C1173" s="498"/>
      <c r="D1173" s="499" t="s">
        <v>11961</v>
      </c>
      <c r="E1173" s="555" t="s">
        <v>13223</v>
      </c>
      <c r="F1173" s="501" t="s">
        <v>578</v>
      </c>
      <c r="G1173" s="502"/>
      <c r="H1173" s="503"/>
      <c r="I1173" s="504">
        <f>ROUND(SUM(I1174:I1184),2)</f>
        <v>164.4</v>
      </c>
      <c r="J1173" s="504">
        <f>ROUND(SUM(J1174:J1184),2)</f>
        <v>3.85</v>
      </c>
      <c r="K1173" s="504">
        <f>+J1173+I1173</f>
        <v>168.25</v>
      </c>
      <c r="L1173" s="523" t="s">
        <v>13224</v>
      </c>
      <c r="M1173" s="471"/>
      <c r="N1173" s="505"/>
      <c r="Q1173" s="472"/>
      <c r="R1173" s="472"/>
      <c r="S1173" s="472"/>
      <c r="T1173" s="472"/>
      <c r="U1173" s="472"/>
      <c r="V1173" s="472"/>
      <c r="W1173" s="472"/>
      <c r="X1173" s="472"/>
      <c r="Y1173" s="472"/>
    </row>
    <row r="1174" spans="1:25" x14ac:dyDescent="0.25">
      <c r="A1174" s="463"/>
      <c r="B1174" s="506">
        <v>88278</v>
      </c>
      <c r="C1174" s="507"/>
      <c r="D1174" s="508"/>
      <c r="E1174" s="509" t="str">
        <f>IF($C1174="",IFERROR(VLOOKUP($B1174,SERVIÇOS!$B:$G,2,0),IFERROR(VLOOKUP($B1174,$D:$K,2,0),"")),IFERROR(VLOOKUP($C1174,INSUMOS!$A:$D,2,0),IFERROR(VLOOKUP($C1174,COTAÇÕES!$B:$I,2,0),(VLOOKUP($C1174,'INSUMO SINAPI - SP'!$C:$F,2,0)))))</f>
        <v>MONTADOR DE ESTRUTURA METÁLICA COM ENCARGOS COMPLEMENTARES</v>
      </c>
      <c r="F1174" s="510" t="str">
        <f>IF($C1174="",IFERROR(VLOOKUP($B1174,SERVIÇOS!$B:$G,3,0),IFERROR(VLOOKUP($B1174,$D:$K,3,0),"")),IFERROR(VLOOKUP($C1174,INSUMOS!$A:$D,3,0),IFERROR(VLOOKUP($C1174,COTAÇÕES!$B:$I,3,0),(VLOOKUP($C1174,'INSUMO SINAPI - SP'!$C:$F,3,0)))))</f>
        <v>H</v>
      </c>
      <c r="G1174" s="511">
        <v>0.16</v>
      </c>
      <c r="H1174" s="512">
        <f>IF($C1174="",IFERROR(VLOOKUP($B1174,SERVIÇOS!$B:$G,6,0),IFERROR(VLOOKUP($B1174,$D:$K,8,0),"")),IFERROR(VLOOKUP($C1174,INSUMOS!$A:$D,4,0),IFERROR(VLOOKUP($C1174,COTAÇÕES!$B:$I,7,0),(VLOOKUP($C1174,'INSUMO SINAPI - SP'!$C:$F,4,0)))))</f>
        <v>32.22</v>
      </c>
      <c r="I1174" s="513">
        <f>TRUNC(IF($C1174="",IFERROR(VLOOKUP($B1174,SERVIÇOS!$B:$G,4,0),IFERROR(VLOOKUP($B1174,$D:$K,6,0),)),IFERROR(VLOOKUP($C1174,INSUMOS!$A:$D,4,0),IFERROR(VLOOKUP($C1174,COTAÇÕES!$B:$I,7,0),(VLOOKUP($C1174,'INSUMO SINAPI - SP'!$C:$F,4,0)))))*$G1174,2)</f>
        <v>1.29</v>
      </c>
      <c r="J1174" s="513">
        <f>TRUNC(IF($C1174="",IFERROR(VLOOKUP($B1174,SERVIÇOS!$B:$G,5,0),IFERROR(VLOOKUP($B1174,$D:$K,7,0),)),0)*$G1174,2)</f>
        <v>3.85</v>
      </c>
      <c r="K1174" s="514">
        <f t="shared" ref="K1174:K1184" si="38">I1174+J1174</f>
        <v>5.1400000000000006</v>
      </c>
      <c r="L1174" s="515"/>
      <c r="M1174" s="471"/>
      <c r="N1174" s="516"/>
      <c r="Q1174" s="472"/>
      <c r="R1174" s="472"/>
      <c r="S1174" s="472"/>
      <c r="T1174" s="472"/>
      <c r="U1174" s="472"/>
      <c r="V1174" s="472"/>
      <c r="W1174" s="472"/>
      <c r="X1174" s="472"/>
      <c r="Y1174" s="472"/>
    </row>
    <row r="1175" spans="1:25" ht="24" x14ac:dyDescent="0.25">
      <c r="A1175" s="463"/>
      <c r="B1175" s="506"/>
      <c r="C1175" s="507">
        <v>39420</v>
      </c>
      <c r="D1175" s="508"/>
      <c r="E1175" s="509" t="str">
        <f>IF($C1175="",IFERROR(VLOOKUP($B1175,SERVIÇOS!$B:$G,2,0),IFERROR(VLOOKUP($B1175,$D:$K,2,0),"")),IFERROR(VLOOKUP($C1175,INSUMOS!$A:$D,2,0),IFERROR(VLOOKUP($C1175,COTAÇÕES!$B:$I,2,0),(VLOOKUP($C1175,'INSUMO SINAPI - SP'!$C:$F,2,0)))))</f>
        <v>PERFIL GUIA, FORMATO U, EM ACO ZINCADO, PARA ESTRUTURA PAREDE DRYWALL, E = 0,5 MM, 90 X 3000 MM (L X C)</v>
      </c>
      <c r="F1175" s="510" t="str">
        <f>IF($C1175="",IFERROR(VLOOKUP($B1175,SERVIÇOS!$B:$G,3,0),IFERROR(VLOOKUP($B1175,$D:$K,3,0),"")),IFERROR(VLOOKUP($C1175,INSUMOS!$A:$D,3,0),IFERROR(VLOOKUP($C1175,COTAÇÕES!$B:$I,3,0),(VLOOKUP($C1175,'INSUMO SINAPI - SP'!$C:$F,3,0)))))</f>
        <v>M</v>
      </c>
      <c r="G1175" s="511">
        <v>0.9</v>
      </c>
      <c r="H1175" s="512">
        <f>IF($C1175="",IFERROR(VLOOKUP($B1175,SERVIÇOS!$B:$G,6,0),IFERROR(VLOOKUP($B1175,$D:$K,8,0),"")),IFERROR(VLOOKUP($C1175,INSUMOS!$A:$D,4,0),IFERROR(VLOOKUP($C1175,COTAÇÕES!$B:$I,7,0),(VLOOKUP($C1175,'INSUMO SINAPI - SP'!$C:$F,4,0)))))</f>
        <v>7.89</v>
      </c>
      <c r="I1175" s="513">
        <f>TRUNC(IF($C1175="",IFERROR(VLOOKUP($B1175,SERVIÇOS!$B:$G,4,0),IFERROR(VLOOKUP($B1175,$D:$K,6,0),)),IFERROR(VLOOKUP($C1175,INSUMOS!$A:$D,4,0),IFERROR(VLOOKUP($C1175,COTAÇÕES!$B:$I,7,0),(VLOOKUP($C1175,'INSUMO SINAPI - SP'!$C:$F,4,0)))))*$G1175,2)</f>
        <v>7.1</v>
      </c>
      <c r="J1175" s="513">
        <f>TRUNC(IF($C1175="",IFERROR(VLOOKUP($B1175,SERVIÇOS!$B:$G,5,0),IFERROR(VLOOKUP($B1175,$D:$K,7,0),)),0)*$G1175,2)</f>
        <v>0</v>
      </c>
      <c r="K1175" s="514">
        <f t="shared" si="38"/>
        <v>7.1</v>
      </c>
      <c r="L1175" s="517"/>
      <c r="M1175" s="471"/>
      <c r="N1175" s="516"/>
      <c r="Q1175" s="472"/>
      <c r="R1175" s="472"/>
      <c r="S1175" s="472"/>
      <c r="T1175" s="472"/>
      <c r="U1175" s="472"/>
      <c r="V1175" s="472"/>
      <c r="W1175" s="472"/>
      <c r="X1175" s="472"/>
      <c r="Y1175" s="472"/>
    </row>
    <row r="1176" spans="1:25" ht="24" x14ac:dyDescent="0.25">
      <c r="A1176" s="463"/>
      <c r="B1176" s="506"/>
      <c r="C1176" s="507">
        <v>39423</v>
      </c>
      <c r="D1176" s="508"/>
      <c r="E1176" s="509" t="str">
        <f>IF($C1176="",IFERROR(VLOOKUP($B1176,SERVIÇOS!$B:$G,2,0),IFERROR(VLOOKUP($B1176,$D:$K,2,0),"")),IFERROR(VLOOKUP($C1176,INSUMOS!$A:$D,2,0),IFERROR(VLOOKUP($C1176,COTAÇÕES!$B:$I,2,0),(VLOOKUP($C1176,'INSUMO SINAPI - SP'!$C:$F,2,0)))))</f>
        <v>PERFIL MONTANTE, FORMATO C, EM ACO ZINCADO, PARA ESTRUTURA PAREDE DRYWALL, E = 0,5 MM, 90 X 3000 MM (L X C)</v>
      </c>
      <c r="F1176" s="510" t="str">
        <f>IF($C1176="",IFERROR(VLOOKUP($B1176,SERVIÇOS!$B:$G,3,0),IFERROR(VLOOKUP($B1176,$D:$K,3,0),"")),IFERROR(VLOOKUP($C1176,INSUMOS!$A:$D,3,0),IFERROR(VLOOKUP($C1176,COTAÇÕES!$B:$I,3,0),(VLOOKUP($C1176,'INSUMO SINAPI - SP'!$C:$F,3,0)))))</f>
        <v>M</v>
      </c>
      <c r="G1176" s="511">
        <v>2.1</v>
      </c>
      <c r="H1176" s="512">
        <f>IF($C1176="",IFERROR(VLOOKUP($B1176,SERVIÇOS!$B:$G,6,0),IFERROR(VLOOKUP($B1176,$D:$K,8,0),"")),IFERROR(VLOOKUP($C1176,INSUMOS!$A:$D,4,0),IFERROR(VLOOKUP($C1176,COTAÇÕES!$B:$I,7,0),(VLOOKUP($C1176,'INSUMO SINAPI - SP'!$C:$F,4,0)))))</f>
        <v>9.41</v>
      </c>
      <c r="I1176" s="513">
        <f>TRUNC(IF($C1176="",IFERROR(VLOOKUP($B1176,SERVIÇOS!$B:$G,4,0),IFERROR(VLOOKUP($B1176,$D:$K,6,0),)),IFERROR(VLOOKUP($C1176,INSUMOS!$A:$D,4,0),IFERROR(VLOOKUP($C1176,COTAÇÕES!$B:$I,7,0),(VLOOKUP($C1176,'INSUMO SINAPI - SP'!$C:$F,4,0)))))*$G1176,2)</f>
        <v>19.760000000000002</v>
      </c>
      <c r="J1176" s="513">
        <f>TRUNC(IF($C1176="",IFERROR(VLOOKUP($B1176,SERVIÇOS!$B:$G,5,0),IFERROR(VLOOKUP($B1176,$D:$K,7,0),)),0)*$G1176,2)</f>
        <v>0</v>
      </c>
      <c r="K1176" s="514">
        <f t="shared" si="38"/>
        <v>19.760000000000002</v>
      </c>
      <c r="L1176" s="517"/>
      <c r="M1176" s="471"/>
      <c r="N1176" s="516"/>
      <c r="Q1176" s="472"/>
      <c r="R1176" s="472"/>
      <c r="S1176" s="472"/>
      <c r="T1176" s="472"/>
      <c r="U1176" s="472"/>
      <c r="V1176" s="472"/>
      <c r="W1176" s="472"/>
      <c r="X1176" s="472"/>
      <c r="Y1176" s="472"/>
    </row>
    <row r="1177" spans="1:25" ht="24" x14ac:dyDescent="0.25">
      <c r="A1177" s="463"/>
      <c r="B1177" s="506"/>
      <c r="C1177" s="507">
        <v>39443</v>
      </c>
      <c r="D1177" s="508"/>
      <c r="E1177" s="509" t="str">
        <f>IF($C1177="",IFERROR(VLOOKUP($B1177,SERVIÇOS!$B:$G,2,0),IFERROR(VLOOKUP($B1177,$D:$K,2,0),"")),IFERROR(VLOOKUP($C1177,INSUMOS!$A:$D,2,0),IFERROR(VLOOKUP($C1177,COTAÇÕES!$B:$I,2,0),(VLOOKUP($C1177,'INSUMO SINAPI - SP'!$C:$F,2,0)))))</f>
        <v>PARAFUSO DRY WALL, EM ACO ZINCADO, CABECA LENTILHA E PONTA BROCA (LB), LARGURA 4,2 MM, COMPRIMENTO 13 MM</v>
      </c>
      <c r="F1177" s="510" t="str">
        <f>IF($C1177="",IFERROR(VLOOKUP($B1177,SERVIÇOS!$B:$G,3,0),IFERROR(VLOOKUP($B1177,$D:$K,3,0),"")),IFERROR(VLOOKUP($C1177,INSUMOS!$A:$D,3,0),IFERROR(VLOOKUP($C1177,COTAÇÕES!$B:$I,3,0),(VLOOKUP($C1177,'INSUMO SINAPI - SP'!$C:$F,3,0)))))</f>
        <v>UN</v>
      </c>
      <c r="G1177" s="511">
        <v>26</v>
      </c>
      <c r="H1177" s="512">
        <f>IF($C1177="",IFERROR(VLOOKUP($B1177,SERVIÇOS!$B:$G,6,0),IFERROR(VLOOKUP($B1177,$D:$K,8,0),"")),IFERROR(VLOOKUP($C1177,INSUMOS!$A:$D,4,0),IFERROR(VLOOKUP($C1177,COTAÇÕES!$B:$I,7,0),(VLOOKUP($C1177,'INSUMO SINAPI - SP'!$C:$F,4,0)))))</f>
        <v>0.21</v>
      </c>
      <c r="I1177" s="513">
        <f>TRUNC(IF($C1177="",IFERROR(VLOOKUP($B1177,SERVIÇOS!$B:$G,4,0),IFERROR(VLOOKUP($B1177,$D:$K,6,0),)),IFERROR(VLOOKUP($C1177,INSUMOS!$A:$D,4,0),IFERROR(VLOOKUP($C1177,COTAÇÕES!$B:$I,7,0),(VLOOKUP($C1177,'INSUMO SINAPI - SP'!$C:$F,4,0)))))*$G1177,2)</f>
        <v>5.46</v>
      </c>
      <c r="J1177" s="513">
        <f>TRUNC(IF($C1177="",IFERROR(VLOOKUP($B1177,SERVIÇOS!$B:$G,5,0),IFERROR(VLOOKUP($B1177,$D:$K,7,0),)),0)*$G1177,2)</f>
        <v>0</v>
      </c>
      <c r="K1177" s="514">
        <f t="shared" si="38"/>
        <v>5.46</v>
      </c>
      <c r="L1177" s="517"/>
      <c r="M1177" s="471"/>
      <c r="N1177" s="516"/>
      <c r="Q1177" s="472"/>
      <c r="R1177" s="472"/>
      <c r="S1177" s="472"/>
      <c r="T1177" s="472"/>
      <c r="U1177" s="472"/>
      <c r="V1177" s="472"/>
      <c r="W1177" s="472"/>
      <c r="X1177" s="472"/>
      <c r="Y1177" s="472"/>
    </row>
    <row r="1178" spans="1:25" ht="24" x14ac:dyDescent="0.25">
      <c r="A1178" s="463"/>
      <c r="B1178" s="506"/>
      <c r="C1178" s="507">
        <v>39431</v>
      </c>
      <c r="D1178" s="508"/>
      <c r="E1178" s="509" t="str">
        <f>IF($C1178="",IFERROR(VLOOKUP($B1178,SERVIÇOS!$B:$G,2,0),IFERROR(VLOOKUP($B1178,$D:$K,2,0),"")),IFERROR(VLOOKUP($C1178,INSUMOS!$A:$D,2,0),IFERROR(VLOOKUP($C1178,COTAÇÕES!$B:$I,2,0),(VLOOKUP($C1178,'INSUMO SINAPI - SP'!$C:$F,2,0)))))</f>
        <v>FITA DE PAPEL MICROPERFURADO, 50 X 150 MM, PARA TRATAMENTO DE JUNTAS DE CHAPA DE GESSO PARA DRYWALL</v>
      </c>
      <c r="F1178" s="510" t="str">
        <f>IF($C1178="",IFERROR(VLOOKUP($B1178,SERVIÇOS!$B:$G,3,0),IFERROR(VLOOKUP($B1178,$D:$K,3,0),"")),IFERROR(VLOOKUP($C1178,INSUMOS!$A:$D,3,0),IFERROR(VLOOKUP($C1178,COTAÇÕES!$B:$I,3,0),(VLOOKUP($C1178,'INSUMO SINAPI - SP'!$C:$F,3,0)))))</f>
        <v>M</v>
      </c>
      <c r="G1178" s="511">
        <v>3.08</v>
      </c>
      <c r="H1178" s="512">
        <f>IF($C1178="",IFERROR(VLOOKUP($B1178,SERVIÇOS!$B:$G,6,0),IFERROR(VLOOKUP($B1178,$D:$K,8,0),"")),IFERROR(VLOOKUP($C1178,INSUMOS!$A:$D,4,0),IFERROR(VLOOKUP($C1178,COTAÇÕES!$B:$I,7,0),(VLOOKUP($C1178,'INSUMO SINAPI - SP'!$C:$F,4,0)))))</f>
        <v>0.33</v>
      </c>
      <c r="I1178" s="513">
        <f>TRUNC(IF($C1178="",IFERROR(VLOOKUP($B1178,SERVIÇOS!$B:$G,4,0),IFERROR(VLOOKUP($B1178,$D:$K,6,0),)),IFERROR(VLOOKUP($C1178,INSUMOS!$A:$D,4,0),IFERROR(VLOOKUP($C1178,COTAÇÕES!$B:$I,7,0),(VLOOKUP($C1178,'INSUMO SINAPI - SP'!$C:$F,4,0)))))*$G1178,2)</f>
        <v>1.01</v>
      </c>
      <c r="J1178" s="513">
        <f>TRUNC(IF($C1178="",IFERROR(VLOOKUP($B1178,SERVIÇOS!$B:$G,5,0),IFERROR(VLOOKUP($B1178,$D:$K,7,0),)),0)*$G1178,2)</f>
        <v>0</v>
      </c>
      <c r="K1178" s="514">
        <f t="shared" si="38"/>
        <v>1.01</v>
      </c>
      <c r="L1178" s="517"/>
      <c r="M1178" s="471"/>
      <c r="N1178" s="516"/>
      <c r="Q1178" s="472"/>
      <c r="R1178" s="472"/>
      <c r="S1178" s="472"/>
      <c r="T1178" s="472"/>
      <c r="U1178" s="472"/>
      <c r="V1178" s="472"/>
      <c r="W1178" s="472"/>
      <c r="X1178" s="472"/>
      <c r="Y1178" s="472"/>
    </row>
    <row r="1179" spans="1:25" ht="24" x14ac:dyDescent="0.25">
      <c r="A1179" s="463"/>
      <c r="B1179" s="506"/>
      <c r="C1179" s="507">
        <v>39432</v>
      </c>
      <c r="D1179" s="508"/>
      <c r="E1179" s="509" t="str">
        <f>IF($C1179="",IFERROR(VLOOKUP($B1179,SERVIÇOS!$B:$G,2,0),IFERROR(VLOOKUP($B1179,$D:$K,2,0),"")),IFERROR(VLOOKUP($C1179,INSUMOS!$A:$D,2,0),IFERROR(VLOOKUP($C1179,COTAÇÕES!$B:$I,2,0),(VLOOKUP($C1179,'INSUMO SINAPI - SP'!$C:$F,2,0)))))</f>
        <v>FITA DE PAPEL REFORCADA COM LAMINA DE METAL PARA REFORCO DE CANTOS DE CHAPA DE GESSO PARA DRYWALL</v>
      </c>
      <c r="F1179" s="510" t="str">
        <f>IF($C1179="",IFERROR(VLOOKUP($B1179,SERVIÇOS!$B:$G,3,0),IFERROR(VLOOKUP($B1179,$D:$K,3,0),"")),IFERROR(VLOOKUP($C1179,INSUMOS!$A:$D,3,0),IFERROR(VLOOKUP($C1179,COTAÇÕES!$B:$I,3,0),(VLOOKUP($C1179,'INSUMO SINAPI - SP'!$C:$F,3,0)))))</f>
        <v>M</v>
      </c>
      <c r="G1179" s="511">
        <v>0.8</v>
      </c>
      <c r="H1179" s="512">
        <f>IF($C1179="",IFERROR(VLOOKUP($B1179,SERVIÇOS!$B:$G,6,0),IFERROR(VLOOKUP($B1179,$D:$K,8,0),"")),IFERROR(VLOOKUP($C1179,INSUMOS!$A:$D,4,0),IFERROR(VLOOKUP($C1179,COTAÇÕES!$B:$I,7,0),(VLOOKUP($C1179,'INSUMO SINAPI - SP'!$C:$F,4,0)))))</f>
        <v>2.97</v>
      </c>
      <c r="I1179" s="513">
        <f>TRUNC(IF($C1179="",IFERROR(VLOOKUP($B1179,SERVIÇOS!$B:$G,4,0),IFERROR(VLOOKUP($B1179,$D:$K,6,0),)),IFERROR(VLOOKUP($C1179,INSUMOS!$A:$D,4,0),IFERROR(VLOOKUP($C1179,COTAÇÕES!$B:$I,7,0),(VLOOKUP($C1179,'INSUMO SINAPI - SP'!$C:$F,4,0)))))*$G1179,2)</f>
        <v>2.37</v>
      </c>
      <c r="J1179" s="513">
        <f>TRUNC(IF($C1179="",IFERROR(VLOOKUP($B1179,SERVIÇOS!$B:$G,5,0),IFERROR(VLOOKUP($B1179,$D:$K,7,0),)),0)*$G1179,2)</f>
        <v>0</v>
      </c>
      <c r="K1179" s="514">
        <f t="shared" si="38"/>
        <v>2.37</v>
      </c>
      <c r="L1179" s="517"/>
      <c r="M1179" s="471"/>
      <c r="N1179" s="516"/>
      <c r="Q1179" s="472"/>
      <c r="R1179" s="472"/>
      <c r="S1179" s="472"/>
      <c r="T1179" s="472"/>
      <c r="U1179" s="472"/>
      <c r="V1179" s="472"/>
      <c r="W1179" s="472"/>
      <c r="X1179" s="472"/>
      <c r="Y1179" s="472"/>
    </row>
    <row r="1180" spans="1:25" ht="24" x14ac:dyDescent="0.25">
      <c r="A1180" s="463"/>
      <c r="B1180" s="506"/>
      <c r="C1180" s="507">
        <v>39434</v>
      </c>
      <c r="D1180" s="508"/>
      <c r="E1180" s="509" t="str">
        <f>IF($C1180="",IFERROR(VLOOKUP($B1180,SERVIÇOS!$B:$G,2,0),IFERROR(VLOOKUP($B1180,$D:$K,2,0),"")),IFERROR(VLOOKUP($C1180,INSUMOS!$A:$D,2,0),IFERROR(VLOOKUP($C1180,COTAÇÕES!$B:$I,2,0),(VLOOKUP($C1180,'INSUMO SINAPI - SP'!$C:$F,2,0)))))</f>
        <v>MASSA DE REJUNTE EM PO PARA DRYWALL, A BASE DE GESSO, SECAGEM RAPIDA, PARA TRATAMENTO DE JUNTAS DE CHAPA DE GESSO (NECESSITA ADICAO DE AGUA)</v>
      </c>
      <c r="F1180" s="510" t="str">
        <f>IF($C1180="",IFERROR(VLOOKUP($B1180,SERVIÇOS!$B:$G,3,0),IFERROR(VLOOKUP($B1180,$D:$K,3,0),"")),IFERROR(VLOOKUP($C1180,INSUMOS!$A:$D,3,0),IFERROR(VLOOKUP($C1180,COTAÇÕES!$B:$I,3,0),(VLOOKUP($C1180,'INSUMO SINAPI - SP'!$C:$F,3,0)))))</f>
        <v>KG</v>
      </c>
      <c r="G1180" s="511">
        <v>0.99</v>
      </c>
      <c r="H1180" s="512">
        <f>IF($C1180="",IFERROR(VLOOKUP($B1180,SERVIÇOS!$B:$G,6,0),IFERROR(VLOOKUP($B1180,$D:$K,8,0),"")),IFERROR(VLOOKUP($C1180,INSUMOS!$A:$D,4,0),IFERROR(VLOOKUP($C1180,COTAÇÕES!$B:$I,7,0),(VLOOKUP($C1180,'INSUMO SINAPI - SP'!$C:$F,4,0)))))</f>
        <v>3.72</v>
      </c>
      <c r="I1180" s="513">
        <f>TRUNC(IF($C1180="",IFERROR(VLOOKUP($B1180,SERVIÇOS!$B:$G,4,0),IFERROR(VLOOKUP($B1180,$D:$K,6,0),)),IFERROR(VLOOKUP($C1180,INSUMOS!$A:$D,4,0),IFERROR(VLOOKUP($C1180,COTAÇÕES!$B:$I,7,0),(VLOOKUP($C1180,'INSUMO SINAPI - SP'!$C:$F,4,0)))))*$G1180,2)</f>
        <v>3.68</v>
      </c>
      <c r="J1180" s="513">
        <f>TRUNC(IF($C1180="",IFERROR(VLOOKUP($B1180,SERVIÇOS!$B:$G,5,0),IFERROR(VLOOKUP($B1180,$D:$K,7,0),)),0)*$G1180,2)</f>
        <v>0</v>
      </c>
      <c r="K1180" s="514">
        <f t="shared" si="38"/>
        <v>3.68</v>
      </c>
      <c r="L1180" s="517"/>
      <c r="M1180" s="471"/>
      <c r="N1180" s="516"/>
      <c r="Q1180" s="472"/>
      <c r="R1180" s="472"/>
      <c r="S1180" s="472"/>
      <c r="T1180" s="472"/>
      <c r="U1180" s="472"/>
      <c r="V1180" s="472"/>
      <c r="W1180" s="472"/>
      <c r="X1180" s="472"/>
      <c r="Y1180" s="472"/>
    </row>
    <row r="1181" spans="1:25" ht="24" x14ac:dyDescent="0.25">
      <c r="A1181" s="463"/>
      <c r="B1181" s="506"/>
      <c r="C1181" s="507" t="s">
        <v>13203</v>
      </c>
      <c r="D1181" s="508"/>
      <c r="E1181" s="509" t="str">
        <f>IF($C1181="",IFERROR(VLOOKUP($B1181,SERVIÇOS!$B:$G,2,0),IFERROR(VLOOKUP($B1181,$D:$K,2,0),"")),IFERROR(VLOOKUP($C1181,INSUMOS!$A:$D,2,0),IFERROR(VLOOKUP($C1181,COTAÇÕES!$B:$I,2,0),(VLOOKUP($C1181,'INSUMO SINAPI - SP'!$C:$F,2,0)))))</f>
        <v>PINO DE ACO COM ARRUELA CONICA, DIAMETRO ARRUELA = *23* MM E COMP HASTE = *27* MM (ACAO INDIRETA)</v>
      </c>
      <c r="F1181" s="510" t="str">
        <f>IF($C1181="",IFERROR(VLOOKUP($B1181,SERVIÇOS!$B:$G,3,0),IFERROR(VLOOKUP($B1181,$D:$K,3,0),"")),IFERROR(VLOOKUP($C1181,INSUMOS!$A:$D,3,0),IFERROR(VLOOKUP($C1181,COTAÇÕES!$B:$I,3,0),(VLOOKUP($C1181,'INSUMO SINAPI - SP'!$C:$F,3,0)))))</f>
        <v>CENTO</v>
      </c>
      <c r="G1181" s="511">
        <v>1.5</v>
      </c>
      <c r="H1181" s="512">
        <f>IF($C1181="",IFERROR(VLOOKUP($B1181,SERVIÇOS!$B:$G,6,0),IFERROR(VLOOKUP($B1181,$D:$K,8,0),"")),IFERROR(VLOOKUP($C1181,INSUMOS!$A:$D,4,0),IFERROR(VLOOKUP($C1181,COTAÇÕES!$B:$I,7,0),(VLOOKUP($C1181,'INSUMO SINAPI - SP'!$C:$F,4,0)))))</f>
        <v>52.15</v>
      </c>
      <c r="I1181" s="513">
        <f>TRUNC(IF($C1181="",IFERROR(VLOOKUP($B1181,SERVIÇOS!$B:$G,4,0),IFERROR(VLOOKUP($B1181,$D:$K,6,0),)),IFERROR(VLOOKUP($C1181,INSUMOS!$A:$D,4,0),IFERROR(VLOOKUP($C1181,COTAÇÕES!$B:$I,7,0),(VLOOKUP($C1181,'INSUMO SINAPI - SP'!$C:$F,4,0)))))*$G1181,2)</f>
        <v>78.22</v>
      </c>
      <c r="J1181" s="513"/>
      <c r="K1181" s="514">
        <f t="shared" si="38"/>
        <v>78.22</v>
      </c>
      <c r="L1181" s="515" t="s">
        <v>12685</v>
      </c>
      <c r="M1181" s="471"/>
      <c r="N1181" s="516"/>
      <c r="Q1181" s="472"/>
      <c r="R1181" s="472"/>
      <c r="S1181" s="472"/>
      <c r="T1181" s="472"/>
      <c r="U1181" s="472"/>
      <c r="V1181" s="472"/>
      <c r="W1181" s="472"/>
      <c r="X1181" s="472"/>
      <c r="Y1181" s="472"/>
    </row>
    <row r="1182" spans="1:25" ht="24" x14ac:dyDescent="0.25">
      <c r="A1182" s="463"/>
      <c r="B1182" s="506"/>
      <c r="C1182" s="507">
        <v>39413</v>
      </c>
      <c r="D1182" s="508"/>
      <c r="E1182" s="509" t="str">
        <f>IF($C1182="",IFERROR(VLOOKUP($B1182,SERVIÇOS!$B:$G,2,0),IFERROR(VLOOKUP($B1182,$D:$K,2,0),"")),IFERROR(VLOOKUP($C1182,INSUMOS!$A:$D,2,0),IFERROR(VLOOKUP($C1182,COTAÇÕES!$B:$I,2,0),(VLOOKUP($C1182,'INSUMO SINAPI - SP'!$C:$F,2,0)))))</f>
        <v>PLACA / CHAPA DE GESSO ACARTONADO, STANDARD (ST), COR BRANCA, E = 12,5 MM, 1200 X 2400 MM (L X C)</v>
      </c>
      <c r="F1182" s="510" t="str">
        <f>IF($C1182="",IFERROR(VLOOKUP($B1182,SERVIÇOS!$B:$G,3,0),IFERROR(VLOOKUP($B1182,$D:$K,3,0),"")),IFERROR(VLOOKUP($C1182,INSUMOS!$A:$D,3,0),IFERROR(VLOOKUP($C1182,COTAÇÕES!$B:$I,3,0),(VLOOKUP($C1182,'INSUMO SINAPI - SP'!$C:$F,3,0)))))</f>
        <v>M2</v>
      </c>
      <c r="G1182" s="511">
        <v>2.1</v>
      </c>
      <c r="H1182" s="512">
        <f>IF($C1182="",IFERROR(VLOOKUP($B1182,SERVIÇOS!$B:$G,6,0),IFERROR(VLOOKUP($B1182,$D:$K,8,0),"")),IFERROR(VLOOKUP($C1182,INSUMOS!$A:$D,4,0),IFERROR(VLOOKUP($C1182,COTAÇÕES!$B:$I,7,0),(VLOOKUP($C1182,'INSUMO SINAPI - SP'!$C:$F,4,0)))))</f>
        <v>21.47</v>
      </c>
      <c r="I1182" s="513">
        <f>TRUNC(IF($C1182="",IFERROR(VLOOKUP($B1182,SERVIÇOS!$B:$G,4,0),IFERROR(VLOOKUP($B1182,$D:$K,6,0),)),IFERROR(VLOOKUP($C1182,INSUMOS!$A:$D,4,0),IFERROR(VLOOKUP($C1182,COTAÇÕES!$B:$I,7,0),(VLOOKUP($C1182,'INSUMO SINAPI - SP'!$C:$F,4,0)))))*$G1182,2)</f>
        <v>45.08</v>
      </c>
      <c r="J1182" s="513">
        <f>TRUNC(IF($C1182="",IFERROR(VLOOKUP($B1182,SERVIÇOS!$B:$G,5,0),IFERROR(VLOOKUP($B1182,$D:$K,7,0),)),0)*$G1182,2)</f>
        <v>0</v>
      </c>
      <c r="K1182" s="514">
        <f t="shared" si="38"/>
        <v>45.08</v>
      </c>
      <c r="L1182" s="517"/>
      <c r="M1182" s="471"/>
      <c r="N1182" s="516"/>
      <c r="Q1182" s="472"/>
      <c r="R1182" s="472"/>
      <c r="S1182" s="472"/>
      <c r="T1182" s="472"/>
      <c r="U1182" s="472"/>
      <c r="V1182" s="472"/>
      <c r="W1182" s="472"/>
      <c r="X1182" s="472"/>
      <c r="Y1182" s="472"/>
    </row>
    <row r="1183" spans="1:25" ht="24" x14ac:dyDescent="0.25">
      <c r="A1183" s="463"/>
      <c r="B1183" s="506"/>
      <c r="C1183" s="507">
        <v>39435</v>
      </c>
      <c r="D1183" s="508"/>
      <c r="E1183" s="509" t="str">
        <f>IF($C1183="",IFERROR(VLOOKUP($B1183,SERVIÇOS!$B:$G,2,0),IFERROR(VLOOKUP($B1183,$D:$K,2,0),"")),IFERROR(VLOOKUP($C1183,INSUMOS!$A:$D,2,0),IFERROR(VLOOKUP($C1183,COTAÇÕES!$B:$I,2,0),(VLOOKUP($C1183,'INSUMO SINAPI - SP'!$C:$F,2,0)))))</f>
        <v>PARAFUSO DRY WALL, EM ACO FOSFATIZADO, CABECA TROMBETA E PONTA AGULHA (TA), COMPRIMENTO 25 MM</v>
      </c>
      <c r="F1183" s="510" t="str">
        <f>IF($C1183="",IFERROR(VLOOKUP($B1183,SERVIÇOS!$B:$G,3,0),IFERROR(VLOOKUP($B1183,$D:$K,3,0),"")),IFERROR(VLOOKUP($C1183,INSUMOS!$A:$D,3,0),IFERROR(VLOOKUP($C1183,COTAÇÕES!$B:$I,3,0),(VLOOKUP($C1183,'INSUMO SINAPI - SP'!$C:$F,3,0)))))</f>
        <v>UN</v>
      </c>
      <c r="G1183" s="511">
        <v>1.5</v>
      </c>
      <c r="H1183" s="512">
        <f>IF($C1183="",IFERROR(VLOOKUP($B1183,SERVIÇOS!$B:$G,6,0),IFERROR(VLOOKUP($B1183,$D:$K,8,0),"")),IFERROR(VLOOKUP($C1183,INSUMOS!$A:$D,4,0),IFERROR(VLOOKUP($C1183,COTAÇÕES!$B:$I,7,0),(VLOOKUP($C1183,'INSUMO SINAPI - SP'!$C:$F,4,0)))))</f>
        <v>0.09</v>
      </c>
      <c r="I1183" s="513">
        <f>TRUNC(IF($C1183="",IFERROR(VLOOKUP($B1183,SERVIÇOS!$B:$G,4,0),IFERROR(VLOOKUP($B1183,$D:$K,6,0),)),IFERROR(VLOOKUP($C1183,INSUMOS!$A:$D,4,0),IFERROR(VLOOKUP($C1183,COTAÇÕES!$B:$I,7,0),(VLOOKUP($C1183,'INSUMO SINAPI - SP'!$C:$F,4,0)))))*$G1183,2)</f>
        <v>0.13</v>
      </c>
      <c r="J1183" s="513">
        <f>TRUNC(IF($C1183="",IFERROR(VLOOKUP($B1183,SERVIÇOS!$B:$G,5,0),IFERROR(VLOOKUP($B1183,$D:$K,7,0),)),0)*$G1183,2)</f>
        <v>0</v>
      </c>
      <c r="K1183" s="514">
        <f t="shared" si="38"/>
        <v>0.13</v>
      </c>
      <c r="L1183" s="517"/>
      <c r="M1183" s="471"/>
      <c r="N1183" s="516"/>
      <c r="Q1183" s="472"/>
      <c r="R1183" s="472"/>
      <c r="S1183" s="472"/>
      <c r="T1183" s="472"/>
      <c r="U1183" s="472"/>
      <c r="V1183" s="472"/>
      <c r="W1183" s="472"/>
      <c r="X1183" s="472"/>
      <c r="Y1183" s="472"/>
    </row>
    <row r="1184" spans="1:25" ht="24" x14ac:dyDescent="0.25">
      <c r="A1184" s="463"/>
      <c r="B1184" s="506"/>
      <c r="C1184" s="507">
        <v>39437</v>
      </c>
      <c r="D1184" s="508"/>
      <c r="E1184" s="509" t="str">
        <f>IF($C1184="",IFERROR(VLOOKUP($B1184,SERVIÇOS!$B:$G,2,0),IFERROR(VLOOKUP($B1184,$D:$K,2,0),"")),IFERROR(VLOOKUP($C1184,INSUMOS!$A:$D,2,0),IFERROR(VLOOKUP($C1184,COTAÇÕES!$B:$I,2,0),(VLOOKUP($C1184,'INSUMO SINAPI - SP'!$C:$F,2,0)))))</f>
        <v>PARAFUSO DRY WALL, EM ACO FOSFATIZADO, CABECA TROMBETA E PONTA AGULHA (TA), COMPRIMENTO 45 MM</v>
      </c>
      <c r="F1184" s="510" t="str">
        <f>IF($C1184="",IFERROR(VLOOKUP($B1184,SERVIÇOS!$B:$G,3,0),IFERROR(VLOOKUP($B1184,$D:$K,3,0),"")),IFERROR(VLOOKUP($C1184,INSUMOS!$A:$D,3,0),IFERROR(VLOOKUP($C1184,COTAÇÕES!$B:$I,3,0),(VLOOKUP($C1184,'INSUMO SINAPI - SP'!$C:$F,3,0)))))</f>
        <v>UN</v>
      </c>
      <c r="G1184" s="511">
        <v>1.5</v>
      </c>
      <c r="H1184" s="512">
        <f>IF($C1184="",IFERROR(VLOOKUP($B1184,SERVIÇOS!$B:$G,6,0),IFERROR(VLOOKUP($B1184,$D:$K,8,0),"")),IFERROR(VLOOKUP($C1184,INSUMOS!$A:$D,4,0),IFERROR(VLOOKUP($C1184,COTAÇÕES!$B:$I,7,0),(VLOOKUP($C1184,'INSUMO SINAPI - SP'!$C:$F,4,0)))))</f>
        <v>0.2</v>
      </c>
      <c r="I1184" s="513">
        <f>TRUNC(IF($C1184="",IFERROR(VLOOKUP($B1184,SERVIÇOS!$B:$G,4,0),IFERROR(VLOOKUP($B1184,$D:$K,6,0),)),IFERROR(VLOOKUP($C1184,INSUMOS!$A:$D,4,0),IFERROR(VLOOKUP($C1184,COTAÇÕES!$B:$I,7,0),(VLOOKUP($C1184,'INSUMO SINAPI - SP'!$C:$F,4,0)))))*$G1184,2)</f>
        <v>0.3</v>
      </c>
      <c r="J1184" s="513">
        <f>TRUNC(IF($C1184="",IFERROR(VLOOKUP($B1184,SERVIÇOS!$B:$G,5,0),IFERROR(VLOOKUP($B1184,$D:$K,7,0),)),0)*$G1184,2)</f>
        <v>0</v>
      </c>
      <c r="K1184" s="514">
        <f t="shared" si="38"/>
        <v>0.3</v>
      </c>
      <c r="L1184" s="517"/>
      <c r="M1184" s="471"/>
      <c r="N1184" s="516"/>
      <c r="Q1184" s="472"/>
      <c r="R1184" s="472"/>
      <c r="S1184" s="472"/>
      <c r="T1184" s="472"/>
      <c r="U1184" s="472"/>
      <c r="V1184" s="472"/>
      <c r="W1184" s="472"/>
      <c r="X1184" s="472"/>
      <c r="Y1184" s="472"/>
    </row>
    <row r="1185" spans="1:25" ht="36" x14ac:dyDescent="0.25">
      <c r="A1185" s="463"/>
      <c r="B1185" s="498"/>
      <c r="C1185" s="498"/>
      <c r="D1185" s="499" t="s">
        <v>11962</v>
      </c>
      <c r="E1185" s="555" t="s">
        <v>13225</v>
      </c>
      <c r="F1185" s="501" t="s">
        <v>578</v>
      </c>
      <c r="G1185" s="502"/>
      <c r="H1185" s="503"/>
      <c r="I1185" s="504">
        <f>ROUND(SUM(I1186:I1197),2)</f>
        <v>171.6</v>
      </c>
      <c r="J1185" s="504">
        <f>ROUND(SUM(J1186:J1197),2)</f>
        <v>3.85</v>
      </c>
      <c r="K1185" s="504">
        <f>+J1185+I1185</f>
        <v>175.45</v>
      </c>
      <c r="L1185" s="523" t="s">
        <v>13224</v>
      </c>
      <c r="M1185" s="471"/>
      <c r="N1185" s="505"/>
      <c r="Q1185" s="472"/>
      <c r="R1185" s="472"/>
      <c r="S1185" s="472"/>
      <c r="T1185" s="472"/>
      <c r="U1185" s="472"/>
      <c r="V1185" s="472"/>
      <c r="W1185" s="472"/>
      <c r="X1185" s="472"/>
      <c r="Y1185" s="472"/>
    </row>
    <row r="1186" spans="1:25" x14ac:dyDescent="0.25">
      <c r="A1186" s="463"/>
      <c r="B1186" s="506">
        <v>88278</v>
      </c>
      <c r="C1186" s="507"/>
      <c r="D1186" s="508"/>
      <c r="E1186" s="509" t="str">
        <f>IF($C1186="",IFERROR(VLOOKUP($B1186,SERVIÇOS!$B:$G,2,0),IFERROR(VLOOKUP($B1186,$D:$K,2,0),"")),IFERROR(VLOOKUP($C1186,INSUMOS!$A:$D,2,0),IFERROR(VLOOKUP($C1186,COTAÇÕES!$B:$I,2,0),(VLOOKUP($C1186,'INSUMO SINAPI - SP'!$C:$F,2,0)))))</f>
        <v>MONTADOR DE ESTRUTURA METÁLICA COM ENCARGOS COMPLEMENTARES</v>
      </c>
      <c r="F1186" s="510" t="str">
        <f>IF($C1186="",IFERROR(VLOOKUP($B1186,SERVIÇOS!$B:$G,3,0),IFERROR(VLOOKUP($B1186,$D:$K,3,0),"")),IFERROR(VLOOKUP($C1186,INSUMOS!$A:$D,3,0),IFERROR(VLOOKUP($C1186,COTAÇÕES!$B:$I,3,0),(VLOOKUP($C1186,'INSUMO SINAPI - SP'!$C:$F,3,0)))))</f>
        <v>H</v>
      </c>
      <c r="G1186" s="511">
        <v>0.16</v>
      </c>
      <c r="H1186" s="512">
        <f>IF($C1186="",IFERROR(VLOOKUP($B1186,SERVIÇOS!$B:$G,6,0),IFERROR(VLOOKUP($B1186,$D:$K,8,0),"")),IFERROR(VLOOKUP($C1186,INSUMOS!$A:$D,4,0),IFERROR(VLOOKUP($C1186,COTAÇÕES!$B:$I,7,0),(VLOOKUP($C1186,'INSUMO SINAPI - SP'!$C:$F,4,0)))))</f>
        <v>32.22</v>
      </c>
      <c r="I1186" s="513">
        <f>TRUNC(IF($C1186="",IFERROR(VLOOKUP($B1186,SERVIÇOS!$B:$G,4,0),IFERROR(VLOOKUP($B1186,$D:$K,6,0),)),IFERROR(VLOOKUP($C1186,INSUMOS!$A:$D,4,0),IFERROR(VLOOKUP($C1186,COTAÇÕES!$B:$I,7,0),(VLOOKUP($C1186,'INSUMO SINAPI - SP'!$C:$F,4,0)))))*$G1186,2)</f>
        <v>1.29</v>
      </c>
      <c r="J1186" s="513">
        <f>TRUNC(IF($C1186="",IFERROR(VLOOKUP($B1186,SERVIÇOS!$B:$G,5,0),IFERROR(VLOOKUP($B1186,$D:$K,7,0),)),0)*$G1186,2)</f>
        <v>3.85</v>
      </c>
      <c r="K1186" s="514">
        <f t="shared" ref="K1186:K1197" si="39">I1186+J1186</f>
        <v>5.1400000000000006</v>
      </c>
      <c r="L1186" s="515"/>
      <c r="M1186" s="471"/>
      <c r="N1186" s="516"/>
      <c r="Q1186" s="472"/>
      <c r="R1186" s="472"/>
      <c r="S1186" s="472"/>
      <c r="T1186" s="472"/>
      <c r="U1186" s="472"/>
      <c r="V1186" s="472"/>
      <c r="W1186" s="472"/>
      <c r="X1186" s="472"/>
      <c r="Y1186" s="472"/>
    </row>
    <row r="1187" spans="1:25" ht="24" x14ac:dyDescent="0.25">
      <c r="A1187" s="463"/>
      <c r="B1187" s="506"/>
      <c r="C1187" s="507">
        <v>39420</v>
      </c>
      <c r="D1187" s="508"/>
      <c r="E1187" s="509" t="str">
        <f>IF($C1187="",IFERROR(VLOOKUP($B1187,SERVIÇOS!$B:$G,2,0),IFERROR(VLOOKUP($B1187,$D:$K,2,0),"")),IFERROR(VLOOKUP($C1187,INSUMOS!$A:$D,2,0),IFERROR(VLOOKUP($C1187,COTAÇÕES!$B:$I,2,0),(VLOOKUP($C1187,'INSUMO SINAPI - SP'!$C:$F,2,0)))))</f>
        <v>PERFIL GUIA, FORMATO U, EM ACO ZINCADO, PARA ESTRUTURA PAREDE DRYWALL, E = 0,5 MM, 90 X 3000 MM (L X C)</v>
      </c>
      <c r="F1187" s="510" t="str">
        <f>IF($C1187="",IFERROR(VLOOKUP($B1187,SERVIÇOS!$B:$G,3,0),IFERROR(VLOOKUP($B1187,$D:$K,3,0),"")),IFERROR(VLOOKUP($C1187,INSUMOS!$A:$D,3,0),IFERROR(VLOOKUP($C1187,COTAÇÕES!$B:$I,3,0),(VLOOKUP($C1187,'INSUMO SINAPI - SP'!$C:$F,3,0)))))</f>
        <v>M</v>
      </c>
      <c r="G1187" s="511">
        <v>0.9</v>
      </c>
      <c r="H1187" s="512">
        <f>IF($C1187="",IFERROR(VLOOKUP($B1187,SERVIÇOS!$B:$G,6,0),IFERROR(VLOOKUP($B1187,$D:$K,8,0),"")),IFERROR(VLOOKUP($C1187,INSUMOS!$A:$D,4,0),IFERROR(VLOOKUP($C1187,COTAÇÕES!$B:$I,7,0),(VLOOKUP($C1187,'INSUMO SINAPI - SP'!$C:$F,4,0)))))</f>
        <v>7.89</v>
      </c>
      <c r="I1187" s="513">
        <f>TRUNC(IF($C1187="",IFERROR(VLOOKUP($B1187,SERVIÇOS!$B:$G,4,0),IFERROR(VLOOKUP($B1187,$D:$K,6,0),)),IFERROR(VLOOKUP($C1187,INSUMOS!$A:$D,4,0),IFERROR(VLOOKUP($C1187,COTAÇÕES!$B:$I,7,0),(VLOOKUP($C1187,'INSUMO SINAPI - SP'!$C:$F,4,0)))))*$G1187,2)</f>
        <v>7.1</v>
      </c>
      <c r="J1187" s="513">
        <f>TRUNC(IF($C1187="",IFERROR(VLOOKUP($B1187,SERVIÇOS!$B:$G,5,0),IFERROR(VLOOKUP($B1187,$D:$K,7,0),)),0)*$G1187,2)</f>
        <v>0</v>
      </c>
      <c r="K1187" s="514">
        <f t="shared" si="39"/>
        <v>7.1</v>
      </c>
      <c r="L1187" s="517"/>
      <c r="M1187" s="471"/>
      <c r="N1187" s="516"/>
      <c r="Q1187" s="472"/>
      <c r="R1187" s="472"/>
      <c r="S1187" s="472"/>
      <c r="T1187" s="472"/>
      <c r="U1187" s="472"/>
      <c r="V1187" s="472"/>
      <c r="W1187" s="472"/>
      <c r="X1187" s="472"/>
      <c r="Y1187" s="472"/>
    </row>
    <row r="1188" spans="1:25" ht="24" x14ac:dyDescent="0.25">
      <c r="A1188" s="463"/>
      <c r="B1188" s="506"/>
      <c r="C1188" s="507">
        <v>39423</v>
      </c>
      <c r="D1188" s="508"/>
      <c r="E1188" s="509" t="str">
        <f>IF($C1188="",IFERROR(VLOOKUP($B1188,SERVIÇOS!$B:$G,2,0),IFERROR(VLOOKUP($B1188,$D:$K,2,0),"")),IFERROR(VLOOKUP($C1188,INSUMOS!$A:$D,2,0),IFERROR(VLOOKUP($C1188,COTAÇÕES!$B:$I,2,0),(VLOOKUP($C1188,'INSUMO SINAPI - SP'!$C:$F,2,0)))))</f>
        <v>PERFIL MONTANTE, FORMATO C, EM ACO ZINCADO, PARA ESTRUTURA PAREDE DRYWALL, E = 0,5 MM, 90 X 3000 MM (L X C)</v>
      </c>
      <c r="F1188" s="510" t="str">
        <f>IF($C1188="",IFERROR(VLOOKUP($B1188,SERVIÇOS!$B:$G,3,0),IFERROR(VLOOKUP($B1188,$D:$K,3,0),"")),IFERROR(VLOOKUP($C1188,INSUMOS!$A:$D,3,0),IFERROR(VLOOKUP($C1188,COTAÇÕES!$B:$I,3,0),(VLOOKUP($C1188,'INSUMO SINAPI - SP'!$C:$F,3,0)))))</f>
        <v>M</v>
      </c>
      <c r="G1188" s="511">
        <v>2.1</v>
      </c>
      <c r="H1188" s="512">
        <f>IF($C1188="",IFERROR(VLOOKUP($B1188,SERVIÇOS!$B:$G,6,0),IFERROR(VLOOKUP($B1188,$D:$K,8,0),"")),IFERROR(VLOOKUP($C1188,INSUMOS!$A:$D,4,0),IFERROR(VLOOKUP($C1188,COTAÇÕES!$B:$I,7,0),(VLOOKUP($C1188,'INSUMO SINAPI - SP'!$C:$F,4,0)))))</f>
        <v>9.41</v>
      </c>
      <c r="I1188" s="513">
        <f>TRUNC(IF($C1188="",IFERROR(VLOOKUP($B1188,SERVIÇOS!$B:$G,4,0),IFERROR(VLOOKUP($B1188,$D:$K,6,0),)),IFERROR(VLOOKUP($C1188,INSUMOS!$A:$D,4,0),IFERROR(VLOOKUP($C1188,COTAÇÕES!$B:$I,7,0),(VLOOKUP($C1188,'INSUMO SINAPI - SP'!$C:$F,4,0)))))*$G1188,2)</f>
        <v>19.760000000000002</v>
      </c>
      <c r="J1188" s="513">
        <f>TRUNC(IF($C1188="",IFERROR(VLOOKUP($B1188,SERVIÇOS!$B:$G,5,0),IFERROR(VLOOKUP($B1188,$D:$K,7,0),)),0)*$G1188,2)</f>
        <v>0</v>
      </c>
      <c r="K1188" s="514">
        <f t="shared" si="39"/>
        <v>19.760000000000002</v>
      </c>
      <c r="L1188" s="517"/>
      <c r="M1188" s="471"/>
      <c r="N1188" s="516"/>
      <c r="Q1188" s="472"/>
      <c r="R1188" s="472"/>
      <c r="S1188" s="472"/>
      <c r="T1188" s="472"/>
      <c r="U1188" s="472"/>
      <c r="V1188" s="472"/>
      <c r="W1188" s="472"/>
      <c r="X1188" s="472"/>
      <c r="Y1188" s="472"/>
    </row>
    <row r="1189" spans="1:25" ht="24" x14ac:dyDescent="0.25">
      <c r="A1189" s="463"/>
      <c r="B1189" s="506"/>
      <c r="C1189" s="507">
        <v>39443</v>
      </c>
      <c r="D1189" s="508"/>
      <c r="E1189" s="509" t="str">
        <f>IF($C1189="",IFERROR(VLOOKUP($B1189,SERVIÇOS!$B:$G,2,0),IFERROR(VLOOKUP($B1189,$D:$K,2,0),"")),IFERROR(VLOOKUP($C1189,INSUMOS!$A:$D,2,0),IFERROR(VLOOKUP($C1189,COTAÇÕES!$B:$I,2,0),(VLOOKUP($C1189,'INSUMO SINAPI - SP'!$C:$F,2,0)))))</f>
        <v>PARAFUSO DRY WALL, EM ACO ZINCADO, CABECA LENTILHA E PONTA BROCA (LB), LARGURA 4,2 MM, COMPRIMENTO 13 MM</v>
      </c>
      <c r="F1189" s="510" t="str">
        <f>IF($C1189="",IFERROR(VLOOKUP($B1189,SERVIÇOS!$B:$G,3,0),IFERROR(VLOOKUP($B1189,$D:$K,3,0),"")),IFERROR(VLOOKUP($C1189,INSUMOS!$A:$D,3,0),IFERROR(VLOOKUP($C1189,COTAÇÕES!$B:$I,3,0),(VLOOKUP($C1189,'INSUMO SINAPI - SP'!$C:$F,3,0)))))</f>
        <v>UN</v>
      </c>
      <c r="G1189" s="511">
        <v>26</v>
      </c>
      <c r="H1189" s="512">
        <f>IF($C1189="",IFERROR(VLOOKUP($B1189,SERVIÇOS!$B:$G,6,0),IFERROR(VLOOKUP($B1189,$D:$K,8,0),"")),IFERROR(VLOOKUP($C1189,INSUMOS!$A:$D,4,0),IFERROR(VLOOKUP($C1189,COTAÇÕES!$B:$I,7,0),(VLOOKUP($C1189,'INSUMO SINAPI - SP'!$C:$F,4,0)))))</f>
        <v>0.21</v>
      </c>
      <c r="I1189" s="513">
        <f>TRUNC(IF($C1189="",IFERROR(VLOOKUP($B1189,SERVIÇOS!$B:$G,4,0),IFERROR(VLOOKUP($B1189,$D:$K,6,0),)),IFERROR(VLOOKUP($C1189,INSUMOS!$A:$D,4,0),IFERROR(VLOOKUP($C1189,COTAÇÕES!$B:$I,7,0),(VLOOKUP($C1189,'INSUMO SINAPI - SP'!$C:$F,4,0)))))*$G1189,2)</f>
        <v>5.46</v>
      </c>
      <c r="J1189" s="513">
        <f>TRUNC(IF($C1189="",IFERROR(VLOOKUP($B1189,SERVIÇOS!$B:$G,5,0),IFERROR(VLOOKUP($B1189,$D:$K,7,0),)),0)*$G1189,2)</f>
        <v>0</v>
      </c>
      <c r="K1189" s="514">
        <f t="shared" si="39"/>
        <v>5.46</v>
      </c>
      <c r="L1189" s="517"/>
      <c r="M1189" s="471"/>
      <c r="N1189" s="516"/>
      <c r="Q1189" s="472"/>
      <c r="R1189" s="472"/>
      <c r="S1189" s="472"/>
      <c r="T1189" s="472"/>
      <c r="U1189" s="472"/>
      <c r="V1189" s="472"/>
      <c r="W1189" s="472"/>
      <c r="X1189" s="472"/>
      <c r="Y1189" s="472"/>
    </row>
    <row r="1190" spans="1:25" ht="24" x14ac:dyDescent="0.25">
      <c r="A1190" s="463"/>
      <c r="B1190" s="506"/>
      <c r="C1190" s="507">
        <v>39431</v>
      </c>
      <c r="D1190" s="508"/>
      <c r="E1190" s="509" t="str">
        <f>IF($C1190="",IFERROR(VLOOKUP($B1190,SERVIÇOS!$B:$G,2,0),IFERROR(VLOOKUP($B1190,$D:$K,2,0),"")),IFERROR(VLOOKUP($C1190,INSUMOS!$A:$D,2,0),IFERROR(VLOOKUP($C1190,COTAÇÕES!$B:$I,2,0),(VLOOKUP($C1190,'INSUMO SINAPI - SP'!$C:$F,2,0)))))</f>
        <v>FITA DE PAPEL MICROPERFURADO, 50 X 150 MM, PARA TRATAMENTO DE JUNTAS DE CHAPA DE GESSO PARA DRYWALL</v>
      </c>
      <c r="F1190" s="510" t="str">
        <f>IF($C1190="",IFERROR(VLOOKUP($B1190,SERVIÇOS!$B:$G,3,0),IFERROR(VLOOKUP($B1190,$D:$K,3,0),"")),IFERROR(VLOOKUP($C1190,INSUMOS!$A:$D,3,0),IFERROR(VLOOKUP($C1190,COTAÇÕES!$B:$I,3,0),(VLOOKUP($C1190,'INSUMO SINAPI - SP'!$C:$F,3,0)))))</f>
        <v>M</v>
      </c>
      <c r="G1190" s="511">
        <v>3.08</v>
      </c>
      <c r="H1190" s="512">
        <f>IF($C1190="",IFERROR(VLOOKUP($B1190,SERVIÇOS!$B:$G,6,0),IFERROR(VLOOKUP($B1190,$D:$K,8,0),"")),IFERROR(VLOOKUP($C1190,INSUMOS!$A:$D,4,0),IFERROR(VLOOKUP($C1190,COTAÇÕES!$B:$I,7,0),(VLOOKUP($C1190,'INSUMO SINAPI - SP'!$C:$F,4,0)))))</f>
        <v>0.33</v>
      </c>
      <c r="I1190" s="513">
        <f>TRUNC(IF($C1190="",IFERROR(VLOOKUP($B1190,SERVIÇOS!$B:$G,4,0),IFERROR(VLOOKUP($B1190,$D:$K,6,0),)),IFERROR(VLOOKUP($C1190,INSUMOS!$A:$D,4,0),IFERROR(VLOOKUP($C1190,COTAÇÕES!$B:$I,7,0),(VLOOKUP($C1190,'INSUMO SINAPI - SP'!$C:$F,4,0)))))*$G1190,2)</f>
        <v>1.01</v>
      </c>
      <c r="J1190" s="513">
        <f>TRUNC(IF($C1190="",IFERROR(VLOOKUP($B1190,SERVIÇOS!$B:$G,5,0),IFERROR(VLOOKUP($B1190,$D:$K,7,0),)),0)*$G1190,2)</f>
        <v>0</v>
      </c>
      <c r="K1190" s="514">
        <f t="shared" si="39"/>
        <v>1.01</v>
      </c>
      <c r="L1190" s="517"/>
      <c r="M1190" s="471"/>
      <c r="N1190" s="516"/>
      <c r="Q1190" s="472"/>
      <c r="R1190" s="472"/>
      <c r="S1190" s="472"/>
      <c r="T1190" s="472"/>
      <c r="U1190" s="472"/>
      <c r="V1190" s="472"/>
      <c r="W1190" s="472"/>
      <c r="X1190" s="472"/>
      <c r="Y1190" s="472"/>
    </row>
    <row r="1191" spans="1:25" ht="24" x14ac:dyDescent="0.25">
      <c r="A1191" s="463"/>
      <c r="B1191" s="506"/>
      <c r="C1191" s="507">
        <v>39432</v>
      </c>
      <c r="D1191" s="508"/>
      <c r="E1191" s="509" t="str">
        <f>IF($C1191="",IFERROR(VLOOKUP($B1191,SERVIÇOS!$B:$G,2,0),IFERROR(VLOOKUP($B1191,$D:$K,2,0),"")),IFERROR(VLOOKUP($C1191,INSUMOS!$A:$D,2,0),IFERROR(VLOOKUP($C1191,COTAÇÕES!$B:$I,2,0),(VLOOKUP($C1191,'INSUMO SINAPI - SP'!$C:$F,2,0)))))</f>
        <v>FITA DE PAPEL REFORCADA COM LAMINA DE METAL PARA REFORCO DE CANTOS DE CHAPA DE GESSO PARA DRYWALL</v>
      </c>
      <c r="F1191" s="510" t="str">
        <f>IF($C1191="",IFERROR(VLOOKUP($B1191,SERVIÇOS!$B:$G,3,0),IFERROR(VLOOKUP($B1191,$D:$K,3,0),"")),IFERROR(VLOOKUP($C1191,INSUMOS!$A:$D,3,0),IFERROR(VLOOKUP($C1191,COTAÇÕES!$B:$I,3,0),(VLOOKUP($C1191,'INSUMO SINAPI - SP'!$C:$F,3,0)))))</f>
        <v>M</v>
      </c>
      <c r="G1191" s="511">
        <v>0.8</v>
      </c>
      <c r="H1191" s="512">
        <f>IF($C1191="",IFERROR(VLOOKUP($B1191,SERVIÇOS!$B:$G,6,0),IFERROR(VLOOKUP($B1191,$D:$K,8,0),"")),IFERROR(VLOOKUP($C1191,INSUMOS!$A:$D,4,0),IFERROR(VLOOKUP($C1191,COTAÇÕES!$B:$I,7,0),(VLOOKUP($C1191,'INSUMO SINAPI - SP'!$C:$F,4,0)))))</f>
        <v>2.97</v>
      </c>
      <c r="I1191" s="513">
        <f>TRUNC(IF($C1191="",IFERROR(VLOOKUP($B1191,SERVIÇOS!$B:$G,4,0),IFERROR(VLOOKUP($B1191,$D:$K,6,0),)),IFERROR(VLOOKUP($C1191,INSUMOS!$A:$D,4,0),IFERROR(VLOOKUP($C1191,COTAÇÕES!$B:$I,7,0),(VLOOKUP($C1191,'INSUMO SINAPI - SP'!$C:$F,4,0)))))*$G1191,2)</f>
        <v>2.37</v>
      </c>
      <c r="J1191" s="513">
        <f>TRUNC(IF($C1191="",IFERROR(VLOOKUP($B1191,SERVIÇOS!$B:$G,5,0),IFERROR(VLOOKUP($B1191,$D:$K,7,0),)),0)*$G1191,2)</f>
        <v>0</v>
      </c>
      <c r="K1191" s="514">
        <f t="shared" si="39"/>
        <v>2.37</v>
      </c>
      <c r="L1191" s="517"/>
      <c r="M1191" s="471"/>
      <c r="N1191" s="516"/>
      <c r="Q1191" s="472"/>
      <c r="R1191" s="472"/>
      <c r="S1191" s="472"/>
      <c r="T1191" s="472"/>
      <c r="U1191" s="472"/>
      <c r="V1191" s="472"/>
      <c r="W1191" s="472"/>
      <c r="X1191" s="472"/>
      <c r="Y1191" s="472"/>
    </row>
    <row r="1192" spans="1:25" ht="24" x14ac:dyDescent="0.25">
      <c r="A1192" s="463"/>
      <c r="B1192" s="506"/>
      <c r="C1192" s="507">
        <v>39434</v>
      </c>
      <c r="D1192" s="508"/>
      <c r="E1192" s="509" t="str">
        <f>IF($C1192="",IFERROR(VLOOKUP($B1192,SERVIÇOS!$B:$G,2,0),IFERROR(VLOOKUP($B1192,$D:$K,2,0),"")),IFERROR(VLOOKUP($C1192,INSUMOS!$A:$D,2,0),IFERROR(VLOOKUP($C1192,COTAÇÕES!$B:$I,2,0),(VLOOKUP($C1192,'INSUMO SINAPI - SP'!$C:$F,2,0)))))</f>
        <v>MASSA DE REJUNTE EM PO PARA DRYWALL, A BASE DE GESSO, SECAGEM RAPIDA, PARA TRATAMENTO DE JUNTAS DE CHAPA DE GESSO (NECESSITA ADICAO DE AGUA)</v>
      </c>
      <c r="F1192" s="510" t="str">
        <f>IF($C1192="",IFERROR(VLOOKUP($B1192,SERVIÇOS!$B:$G,3,0),IFERROR(VLOOKUP($B1192,$D:$K,3,0),"")),IFERROR(VLOOKUP($C1192,INSUMOS!$A:$D,3,0),IFERROR(VLOOKUP($C1192,COTAÇÕES!$B:$I,3,0),(VLOOKUP($C1192,'INSUMO SINAPI - SP'!$C:$F,3,0)))))</f>
        <v>KG</v>
      </c>
      <c r="G1192" s="511">
        <v>0.99</v>
      </c>
      <c r="H1192" s="512">
        <f>IF($C1192="",IFERROR(VLOOKUP($B1192,SERVIÇOS!$B:$G,6,0),IFERROR(VLOOKUP($B1192,$D:$K,8,0),"")),IFERROR(VLOOKUP($C1192,INSUMOS!$A:$D,4,0),IFERROR(VLOOKUP($C1192,COTAÇÕES!$B:$I,7,0),(VLOOKUP($C1192,'INSUMO SINAPI - SP'!$C:$F,4,0)))))</f>
        <v>3.72</v>
      </c>
      <c r="I1192" s="513">
        <f>TRUNC(IF($C1192="",IFERROR(VLOOKUP($B1192,SERVIÇOS!$B:$G,4,0),IFERROR(VLOOKUP($B1192,$D:$K,6,0),)),IFERROR(VLOOKUP($C1192,INSUMOS!$A:$D,4,0),IFERROR(VLOOKUP($C1192,COTAÇÕES!$B:$I,7,0),(VLOOKUP($C1192,'INSUMO SINAPI - SP'!$C:$F,4,0)))))*$G1192,2)</f>
        <v>3.68</v>
      </c>
      <c r="J1192" s="513">
        <f>TRUNC(IF($C1192="",IFERROR(VLOOKUP($B1192,SERVIÇOS!$B:$G,5,0),IFERROR(VLOOKUP($B1192,$D:$K,7,0),)),0)*$G1192,2)</f>
        <v>0</v>
      </c>
      <c r="K1192" s="514">
        <f t="shared" si="39"/>
        <v>3.68</v>
      </c>
      <c r="L1192" s="517"/>
      <c r="M1192" s="471"/>
      <c r="N1192" s="516"/>
      <c r="Q1192" s="472"/>
      <c r="R1192" s="472"/>
      <c r="S1192" s="472"/>
      <c r="T1192" s="472"/>
      <c r="U1192" s="472"/>
      <c r="V1192" s="472"/>
      <c r="W1192" s="472"/>
      <c r="X1192" s="472"/>
      <c r="Y1192" s="472"/>
    </row>
    <row r="1193" spans="1:25" ht="24" x14ac:dyDescent="0.25">
      <c r="A1193" s="463"/>
      <c r="B1193" s="506"/>
      <c r="C1193" s="507" t="s">
        <v>13203</v>
      </c>
      <c r="D1193" s="508"/>
      <c r="E1193" s="509" t="str">
        <f>IF($C1193="",IFERROR(VLOOKUP($B1193,SERVIÇOS!$B:$G,2,0),IFERROR(VLOOKUP($B1193,$D:$K,2,0),"")),IFERROR(VLOOKUP($C1193,INSUMOS!$A:$D,2,0),IFERROR(VLOOKUP($C1193,COTAÇÕES!$B:$I,2,0),(VLOOKUP($C1193,'INSUMO SINAPI - SP'!$C:$F,2,0)))))</f>
        <v>PINO DE ACO COM ARRUELA CONICA, DIAMETRO ARRUELA = *23* MM E COMP HASTE = *27* MM (ACAO INDIRETA)</v>
      </c>
      <c r="F1193" s="510" t="str">
        <f>IF($C1193="",IFERROR(VLOOKUP($B1193,SERVIÇOS!$B:$G,3,0),IFERROR(VLOOKUP($B1193,$D:$K,3,0),"")),IFERROR(VLOOKUP($C1193,INSUMOS!$A:$D,3,0),IFERROR(VLOOKUP($C1193,COTAÇÕES!$B:$I,3,0),(VLOOKUP($C1193,'INSUMO SINAPI - SP'!$C:$F,3,0)))))</f>
        <v>CENTO</v>
      </c>
      <c r="G1193" s="511">
        <v>1.5</v>
      </c>
      <c r="H1193" s="512">
        <f>IF($C1193="",IFERROR(VLOOKUP($B1193,SERVIÇOS!$B:$G,6,0),IFERROR(VLOOKUP($B1193,$D:$K,8,0),"")),IFERROR(VLOOKUP($C1193,INSUMOS!$A:$D,4,0),IFERROR(VLOOKUP($C1193,COTAÇÕES!$B:$I,7,0),(VLOOKUP($C1193,'INSUMO SINAPI - SP'!$C:$F,4,0)))))</f>
        <v>52.15</v>
      </c>
      <c r="I1193" s="513">
        <f>TRUNC(IF($C1193="",IFERROR(VLOOKUP($B1193,SERVIÇOS!$B:$G,4,0),IFERROR(VLOOKUP($B1193,$D:$K,6,0),)),IFERROR(VLOOKUP($C1193,INSUMOS!$A:$D,4,0),IFERROR(VLOOKUP($C1193,COTAÇÕES!$B:$I,7,0),(VLOOKUP($C1193,'INSUMO SINAPI - SP'!$C:$F,4,0)))))*$G1193,2)</f>
        <v>78.22</v>
      </c>
      <c r="J1193" s="513"/>
      <c r="K1193" s="514">
        <f t="shared" si="39"/>
        <v>78.22</v>
      </c>
      <c r="L1193" s="515" t="s">
        <v>12685</v>
      </c>
      <c r="M1193" s="471"/>
      <c r="N1193" s="516"/>
      <c r="Q1193" s="472"/>
      <c r="R1193" s="472"/>
      <c r="S1193" s="472"/>
      <c r="T1193" s="472"/>
      <c r="U1193" s="472"/>
      <c r="V1193" s="472"/>
      <c r="W1193" s="472"/>
      <c r="X1193" s="472"/>
      <c r="Y1193" s="472"/>
    </row>
    <row r="1194" spans="1:25" ht="24" x14ac:dyDescent="0.25">
      <c r="A1194" s="463"/>
      <c r="B1194" s="506"/>
      <c r="C1194" s="507">
        <v>39417</v>
      </c>
      <c r="D1194" s="508"/>
      <c r="E1194" s="509" t="str">
        <f>IF($C1194="",IFERROR(VLOOKUP($B1194,SERVIÇOS!$B:$G,2,0),IFERROR(VLOOKUP($B1194,$D:$K,2,0),"")),IFERROR(VLOOKUP($C1194,INSUMOS!$A:$D,2,0),IFERROR(VLOOKUP($C1194,COTAÇÕES!$B:$I,2,0),(VLOOKUP($C1194,'INSUMO SINAPI - SP'!$C:$F,2,0)))))</f>
        <v>PLACA / CHAPA DE GESSO ACARTONADO, RESISTENTE A UMIDADE (RU), COR VERDE, E = 12,5 MM, 1200 X 2400 MM (L X C)</v>
      </c>
      <c r="F1194" s="510" t="str">
        <f>IF($C1194="",IFERROR(VLOOKUP($B1194,SERVIÇOS!$B:$G,3,0),IFERROR(VLOOKUP($B1194,$D:$K,3,0),"")),IFERROR(VLOOKUP($C1194,INSUMOS!$A:$D,3,0),IFERROR(VLOOKUP($C1194,COTAÇÕES!$B:$I,3,0),(VLOOKUP($C1194,'INSUMO SINAPI - SP'!$C:$F,3,0)))))</f>
        <v>M2</v>
      </c>
      <c r="G1194" s="511">
        <v>1.05</v>
      </c>
      <c r="H1194" s="512">
        <f>IF($C1194="",IFERROR(VLOOKUP($B1194,SERVIÇOS!$B:$G,6,0),IFERROR(VLOOKUP($B1194,$D:$K,8,0),"")),IFERROR(VLOOKUP($C1194,INSUMOS!$A:$D,4,0),IFERROR(VLOOKUP($C1194,COTAÇÕES!$B:$I,7,0),(VLOOKUP($C1194,'INSUMO SINAPI - SP'!$C:$F,4,0)))))</f>
        <v>28.33</v>
      </c>
      <c r="I1194" s="513">
        <f>TRUNC(IF($C1194="",IFERROR(VLOOKUP($B1194,SERVIÇOS!$B:$G,4,0),IFERROR(VLOOKUP($B1194,$D:$K,6,0),)),IFERROR(VLOOKUP($C1194,INSUMOS!$A:$D,4,0),IFERROR(VLOOKUP($C1194,COTAÇÕES!$B:$I,7,0),(VLOOKUP($C1194,'INSUMO SINAPI - SP'!$C:$F,4,0)))))*$G1194,2)</f>
        <v>29.74</v>
      </c>
      <c r="J1194" s="513">
        <f>TRUNC(IF($C1194="",IFERROR(VLOOKUP($B1194,SERVIÇOS!$B:$G,5,0),IFERROR(VLOOKUP($B1194,$D:$K,7,0),)),0)*$G1194,2)</f>
        <v>0</v>
      </c>
      <c r="K1194" s="514">
        <f t="shared" si="39"/>
        <v>29.74</v>
      </c>
      <c r="L1194" s="517"/>
      <c r="M1194" s="471"/>
      <c r="N1194" s="516"/>
      <c r="Q1194" s="472"/>
      <c r="R1194" s="472"/>
      <c r="S1194" s="472"/>
      <c r="T1194" s="472"/>
      <c r="U1194" s="472"/>
      <c r="V1194" s="472"/>
      <c r="W1194" s="472"/>
      <c r="X1194" s="472"/>
      <c r="Y1194" s="472"/>
    </row>
    <row r="1195" spans="1:25" ht="24" x14ac:dyDescent="0.25">
      <c r="A1195" s="463"/>
      <c r="B1195" s="506"/>
      <c r="C1195" s="507">
        <v>39413</v>
      </c>
      <c r="D1195" s="508"/>
      <c r="E1195" s="509" t="str">
        <f>IF($C1195="",IFERROR(VLOOKUP($B1195,SERVIÇOS!$B:$G,2,0),IFERROR(VLOOKUP($B1195,$D:$K,2,0),"")),IFERROR(VLOOKUP($C1195,INSUMOS!$A:$D,2,0),IFERROR(VLOOKUP($C1195,COTAÇÕES!$B:$I,2,0),(VLOOKUP($C1195,'INSUMO SINAPI - SP'!$C:$F,2,0)))))</f>
        <v>PLACA / CHAPA DE GESSO ACARTONADO, STANDARD (ST), COR BRANCA, E = 12,5 MM, 1200 X 2400 MM (L X C)</v>
      </c>
      <c r="F1195" s="510" t="str">
        <f>IF($C1195="",IFERROR(VLOOKUP($B1195,SERVIÇOS!$B:$G,3,0),IFERROR(VLOOKUP($B1195,$D:$K,3,0),"")),IFERROR(VLOOKUP($C1195,INSUMOS!$A:$D,3,0),IFERROR(VLOOKUP($C1195,COTAÇÕES!$B:$I,3,0),(VLOOKUP($C1195,'INSUMO SINAPI - SP'!$C:$F,3,0)))))</f>
        <v>M2</v>
      </c>
      <c r="G1195" s="511">
        <v>1.05</v>
      </c>
      <c r="H1195" s="512">
        <f>IF($C1195="",IFERROR(VLOOKUP($B1195,SERVIÇOS!$B:$G,6,0),IFERROR(VLOOKUP($B1195,$D:$K,8,0),"")),IFERROR(VLOOKUP($C1195,INSUMOS!$A:$D,4,0),IFERROR(VLOOKUP($C1195,COTAÇÕES!$B:$I,7,0),(VLOOKUP($C1195,'INSUMO SINAPI - SP'!$C:$F,4,0)))))</f>
        <v>21.47</v>
      </c>
      <c r="I1195" s="513">
        <f>TRUNC(IF($C1195="",IFERROR(VLOOKUP($B1195,SERVIÇOS!$B:$G,4,0),IFERROR(VLOOKUP($B1195,$D:$K,6,0),)),IFERROR(VLOOKUP($C1195,INSUMOS!$A:$D,4,0),IFERROR(VLOOKUP($C1195,COTAÇÕES!$B:$I,7,0),(VLOOKUP($C1195,'INSUMO SINAPI - SP'!$C:$F,4,0)))))*$G1195,2)</f>
        <v>22.54</v>
      </c>
      <c r="J1195" s="513">
        <f>TRUNC(IF($C1195="",IFERROR(VLOOKUP($B1195,SERVIÇOS!$B:$G,5,0),IFERROR(VLOOKUP($B1195,$D:$K,7,0),)),0)*$G1195,2)</f>
        <v>0</v>
      </c>
      <c r="K1195" s="514">
        <f t="shared" si="39"/>
        <v>22.54</v>
      </c>
      <c r="L1195" s="517"/>
      <c r="M1195" s="471"/>
      <c r="N1195" s="516"/>
      <c r="Q1195" s="472"/>
      <c r="R1195" s="472"/>
      <c r="S1195" s="472"/>
      <c r="T1195" s="472"/>
      <c r="U1195" s="472"/>
      <c r="V1195" s="472"/>
      <c r="W1195" s="472"/>
      <c r="X1195" s="472"/>
      <c r="Y1195" s="472"/>
    </row>
    <row r="1196" spans="1:25" ht="24" x14ac:dyDescent="0.25">
      <c r="A1196" s="463"/>
      <c r="B1196" s="506"/>
      <c r="C1196" s="507">
        <v>39435</v>
      </c>
      <c r="D1196" s="508"/>
      <c r="E1196" s="509" t="str">
        <f>IF($C1196="",IFERROR(VLOOKUP($B1196,SERVIÇOS!$B:$G,2,0),IFERROR(VLOOKUP($B1196,$D:$K,2,0),"")),IFERROR(VLOOKUP($C1196,INSUMOS!$A:$D,2,0),IFERROR(VLOOKUP($C1196,COTAÇÕES!$B:$I,2,0),(VLOOKUP($C1196,'INSUMO SINAPI - SP'!$C:$F,2,0)))))</f>
        <v>PARAFUSO DRY WALL, EM ACO FOSFATIZADO, CABECA TROMBETA E PONTA AGULHA (TA), COMPRIMENTO 25 MM</v>
      </c>
      <c r="F1196" s="510" t="str">
        <f>IF($C1196="",IFERROR(VLOOKUP($B1196,SERVIÇOS!$B:$G,3,0),IFERROR(VLOOKUP($B1196,$D:$K,3,0),"")),IFERROR(VLOOKUP($C1196,INSUMOS!$A:$D,3,0),IFERROR(VLOOKUP($C1196,COTAÇÕES!$B:$I,3,0),(VLOOKUP($C1196,'INSUMO SINAPI - SP'!$C:$F,3,0)))))</f>
        <v>UN</v>
      </c>
      <c r="G1196" s="511">
        <v>1.5</v>
      </c>
      <c r="H1196" s="512">
        <f>IF($C1196="",IFERROR(VLOOKUP($B1196,SERVIÇOS!$B:$G,6,0),IFERROR(VLOOKUP($B1196,$D:$K,8,0),"")),IFERROR(VLOOKUP($C1196,INSUMOS!$A:$D,4,0),IFERROR(VLOOKUP($C1196,COTAÇÕES!$B:$I,7,0),(VLOOKUP($C1196,'INSUMO SINAPI - SP'!$C:$F,4,0)))))</f>
        <v>0.09</v>
      </c>
      <c r="I1196" s="513">
        <f>TRUNC(IF($C1196="",IFERROR(VLOOKUP($B1196,SERVIÇOS!$B:$G,4,0),IFERROR(VLOOKUP($B1196,$D:$K,6,0),)),IFERROR(VLOOKUP($C1196,INSUMOS!$A:$D,4,0),IFERROR(VLOOKUP($C1196,COTAÇÕES!$B:$I,7,0),(VLOOKUP($C1196,'INSUMO SINAPI - SP'!$C:$F,4,0)))))*$G1196,2)</f>
        <v>0.13</v>
      </c>
      <c r="J1196" s="513">
        <f>TRUNC(IF($C1196="",IFERROR(VLOOKUP($B1196,SERVIÇOS!$B:$G,5,0),IFERROR(VLOOKUP($B1196,$D:$K,7,0),)),0)*$G1196,2)</f>
        <v>0</v>
      </c>
      <c r="K1196" s="514">
        <f t="shared" si="39"/>
        <v>0.13</v>
      </c>
      <c r="L1196" s="517"/>
      <c r="M1196" s="471"/>
      <c r="N1196" s="516"/>
      <c r="Q1196" s="472"/>
      <c r="R1196" s="472"/>
      <c r="S1196" s="472"/>
      <c r="T1196" s="472"/>
      <c r="U1196" s="472"/>
      <c r="V1196" s="472"/>
      <c r="W1196" s="472"/>
      <c r="X1196" s="472"/>
      <c r="Y1196" s="472"/>
    </row>
    <row r="1197" spans="1:25" ht="24" x14ac:dyDescent="0.25">
      <c r="A1197" s="463"/>
      <c r="B1197" s="506"/>
      <c r="C1197" s="507">
        <v>39437</v>
      </c>
      <c r="D1197" s="508"/>
      <c r="E1197" s="509" t="str">
        <f>IF($C1197="",IFERROR(VLOOKUP($B1197,SERVIÇOS!$B:$G,2,0),IFERROR(VLOOKUP($B1197,$D:$K,2,0),"")),IFERROR(VLOOKUP($C1197,INSUMOS!$A:$D,2,0),IFERROR(VLOOKUP($C1197,COTAÇÕES!$B:$I,2,0),(VLOOKUP($C1197,'INSUMO SINAPI - SP'!$C:$F,2,0)))))</f>
        <v>PARAFUSO DRY WALL, EM ACO FOSFATIZADO, CABECA TROMBETA E PONTA AGULHA (TA), COMPRIMENTO 45 MM</v>
      </c>
      <c r="F1197" s="510" t="str">
        <f>IF($C1197="",IFERROR(VLOOKUP($B1197,SERVIÇOS!$B:$G,3,0),IFERROR(VLOOKUP($B1197,$D:$K,3,0),"")),IFERROR(VLOOKUP($C1197,INSUMOS!$A:$D,3,0),IFERROR(VLOOKUP($C1197,COTAÇÕES!$B:$I,3,0),(VLOOKUP($C1197,'INSUMO SINAPI - SP'!$C:$F,3,0)))))</f>
        <v>UN</v>
      </c>
      <c r="G1197" s="511">
        <v>1.5</v>
      </c>
      <c r="H1197" s="512">
        <f>IF($C1197="",IFERROR(VLOOKUP($B1197,SERVIÇOS!$B:$G,6,0),IFERROR(VLOOKUP($B1197,$D:$K,8,0),"")),IFERROR(VLOOKUP($C1197,INSUMOS!$A:$D,4,0),IFERROR(VLOOKUP($C1197,COTAÇÕES!$B:$I,7,0),(VLOOKUP($C1197,'INSUMO SINAPI - SP'!$C:$F,4,0)))))</f>
        <v>0.2</v>
      </c>
      <c r="I1197" s="513">
        <f>TRUNC(IF($C1197="",IFERROR(VLOOKUP($B1197,SERVIÇOS!$B:$G,4,0),IFERROR(VLOOKUP($B1197,$D:$K,6,0),)),IFERROR(VLOOKUP($C1197,INSUMOS!$A:$D,4,0),IFERROR(VLOOKUP($C1197,COTAÇÕES!$B:$I,7,0),(VLOOKUP($C1197,'INSUMO SINAPI - SP'!$C:$F,4,0)))))*$G1197,2)</f>
        <v>0.3</v>
      </c>
      <c r="J1197" s="513">
        <f>TRUNC(IF($C1197="",IFERROR(VLOOKUP($B1197,SERVIÇOS!$B:$G,5,0),IFERROR(VLOOKUP($B1197,$D:$K,7,0),)),0)*$G1197,2)</f>
        <v>0</v>
      </c>
      <c r="K1197" s="514">
        <f t="shared" si="39"/>
        <v>0.3</v>
      </c>
      <c r="L1197" s="517"/>
      <c r="M1197" s="471"/>
      <c r="N1197" s="516"/>
      <c r="Q1197" s="472"/>
      <c r="R1197" s="472"/>
      <c r="S1197" s="472"/>
      <c r="T1197" s="472"/>
      <c r="U1197" s="472"/>
      <c r="V1197" s="472"/>
      <c r="W1197" s="472"/>
      <c r="X1197" s="472"/>
      <c r="Y1197" s="472"/>
    </row>
    <row r="1198" spans="1:25" ht="24" x14ac:dyDescent="0.25">
      <c r="A1198" s="463"/>
      <c r="B1198" s="498"/>
      <c r="C1198" s="498"/>
      <c r="D1198" s="499" t="s">
        <v>11959</v>
      </c>
      <c r="E1198" s="555" t="s">
        <v>13226</v>
      </c>
      <c r="F1198" s="501" t="s">
        <v>578</v>
      </c>
      <c r="G1198" s="502"/>
      <c r="H1198" s="503"/>
      <c r="I1198" s="504">
        <f>ROUND(SUM(I1199:I1209),2)</f>
        <v>178.81</v>
      </c>
      <c r="J1198" s="504">
        <f>ROUND(SUM(J1199:J1209),2)</f>
        <v>3.85</v>
      </c>
      <c r="K1198" s="504">
        <f>+J1198+I1198</f>
        <v>182.66</v>
      </c>
      <c r="L1198" s="523" t="s">
        <v>13224</v>
      </c>
      <c r="M1198" s="471"/>
      <c r="N1198" s="505"/>
      <c r="Q1198" s="472"/>
      <c r="R1198" s="472"/>
      <c r="S1198" s="472"/>
      <c r="T1198" s="472"/>
      <c r="U1198" s="472"/>
      <c r="V1198" s="472"/>
      <c r="W1198" s="472"/>
      <c r="X1198" s="472"/>
      <c r="Y1198" s="472"/>
    </row>
    <row r="1199" spans="1:25" x14ac:dyDescent="0.25">
      <c r="A1199" s="463"/>
      <c r="B1199" s="506">
        <v>88278</v>
      </c>
      <c r="C1199" s="507"/>
      <c r="D1199" s="508"/>
      <c r="E1199" s="509" t="str">
        <f>IF($C1199="",IFERROR(VLOOKUP($B1199,SERVIÇOS!$B:$G,2,0),IFERROR(VLOOKUP($B1199,$D:$K,2,0),"")),IFERROR(VLOOKUP($C1199,INSUMOS!$A:$D,2,0),IFERROR(VLOOKUP($C1199,COTAÇÕES!$B:$I,2,0),(VLOOKUP($C1199,'INSUMO SINAPI - SP'!$C:$F,2,0)))))</f>
        <v>MONTADOR DE ESTRUTURA METÁLICA COM ENCARGOS COMPLEMENTARES</v>
      </c>
      <c r="F1199" s="510" t="str">
        <f>IF($C1199="",IFERROR(VLOOKUP($B1199,SERVIÇOS!$B:$G,3,0),IFERROR(VLOOKUP($B1199,$D:$K,3,0),"")),IFERROR(VLOOKUP($C1199,INSUMOS!$A:$D,3,0),IFERROR(VLOOKUP($C1199,COTAÇÕES!$B:$I,3,0),(VLOOKUP($C1199,'INSUMO SINAPI - SP'!$C:$F,3,0)))))</f>
        <v>H</v>
      </c>
      <c r="G1199" s="511">
        <v>0.16</v>
      </c>
      <c r="H1199" s="512">
        <f>IF($C1199="",IFERROR(VLOOKUP($B1199,SERVIÇOS!$B:$G,6,0),IFERROR(VLOOKUP($B1199,$D:$K,8,0),"")),IFERROR(VLOOKUP($C1199,INSUMOS!$A:$D,4,0),IFERROR(VLOOKUP($C1199,COTAÇÕES!$B:$I,7,0),(VLOOKUP($C1199,'INSUMO SINAPI - SP'!$C:$F,4,0)))))</f>
        <v>32.22</v>
      </c>
      <c r="I1199" s="513">
        <f>TRUNC(IF($C1199="",IFERROR(VLOOKUP($B1199,SERVIÇOS!$B:$G,4,0),IFERROR(VLOOKUP($B1199,$D:$K,6,0),)),IFERROR(VLOOKUP($C1199,INSUMOS!$A:$D,4,0),IFERROR(VLOOKUP($C1199,COTAÇÕES!$B:$I,7,0),(VLOOKUP($C1199,'INSUMO SINAPI - SP'!$C:$F,4,0)))))*$G1199,2)</f>
        <v>1.29</v>
      </c>
      <c r="J1199" s="513">
        <f>TRUNC(IF($C1199="",IFERROR(VLOOKUP($B1199,SERVIÇOS!$B:$G,5,0),IFERROR(VLOOKUP($B1199,$D:$K,7,0),)),0)*$G1199,2)</f>
        <v>3.85</v>
      </c>
      <c r="K1199" s="514">
        <f t="shared" ref="K1199:K1209" si="40">I1199+J1199</f>
        <v>5.1400000000000006</v>
      </c>
      <c r="L1199" s="515"/>
      <c r="M1199" s="471"/>
      <c r="N1199" s="516"/>
      <c r="Q1199" s="472"/>
      <c r="R1199" s="472"/>
      <c r="S1199" s="472"/>
      <c r="T1199" s="472"/>
      <c r="U1199" s="472"/>
      <c r="V1199" s="472"/>
      <c r="W1199" s="472"/>
      <c r="X1199" s="472"/>
      <c r="Y1199" s="472"/>
    </row>
    <row r="1200" spans="1:25" ht="24" x14ac:dyDescent="0.25">
      <c r="A1200" s="463"/>
      <c r="B1200" s="506"/>
      <c r="C1200" s="507">
        <v>39420</v>
      </c>
      <c r="D1200" s="508"/>
      <c r="E1200" s="509" t="str">
        <f>IF($C1200="",IFERROR(VLOOKUP($B1200,SERVIÇOS!$B:$G,2,0),IFERROR(VLOOKUP($B1200,$D:$K,2,0),"")),IFERROR(VLOOKUP($C1200,INSUMOS!$A:$D,2,0),IFERROR(VLOOKUP($C1200,COTAÇÕES!$B:$I,2,0),(VLOOKUP($C1200,'INSUMO SINAPI - SP'!$C:$F,2,0)))))</f>
        <v>PERFIL GUIA, FORMATO U, EM ACO ZINCADO, PARA ESTRUTURA PAREDE DRYWALL, E = 0,5 MM, 90 X 3000 MM (L X C)</v>
      </c>
      <c r="F1200" s="510" t="str">
        <f>IF($C1200="",IFERROR(VLOOKUP($B1200,SERVIÇOS!$B:$G,3,0),IFERROR(VLOOKUP($B1200,$D:$K,3,0),"")),IFERROR(VLOOKUP($C1200,INSUMOS!$A:$D,3,0),IFERROR(VLOOKUP($C1200,COTAÇÕES!$B:$I,3,0),(VLOOKUP($C1200,'INSUMO SINAPI - SP'!$C:$F,3,0)))))</f>
        <v>M</v>
      </c>
      <c r="G1200" s="511">
        <v>0.9</v>
      </c>
      <c r="H1200" s="512">
        <f>IF($C1200="",IFERROR(VLOOKUP($B1200,SERVIÇOS!$B:$G,6,0),IFERROR(VLOOKUP($B1200,$D:$K,8,0),"")),IFERROR(VLOOKUP($C1200,INSUMOS!$A:$D,4,0),IFERROR(VLOOKUP($C1200,COTAÇÕES!$B:$I,7,0),(VLOOKUP($C1200,'INSUMO SINAPI - SP'!$C:$F,4,0)))))</f>
        <v>7.89</v>
      </c>
      <c r="I1200" s="513">
        <f>TRUNC(IF($C1200="",IFERROR(VLOOKUP($B1200,SERVIÇOS!$B:$G,4,0),IFERROR(VLOOKUP($B1200,$D:$K,6,0),)),IFERROR(VLOOKUP($C1200,INSUMOS!$A:$D,4,0),IFERROR(VLOOKUP($C1200,COTAÇÕES!$B:$I,7,0),(VLOOKUP($C1200,'INSUMO SINAPI - SP'!$C:$F,4,0)))))*$G1200,2)</f>
        <v>7.1</v>
      </c>
      <c r="J1200" s="513">
        <f>TRUNC(IF($C1200="",IFERROR(VLOOKUP($B1200,SERVIÇOS!$B:$G,5,0),IFERROR(VLOOKUP($B1200,$D:$K,7,0),)),0)*$G1200,2)</f>
        <v>0</v>
      </c>
      <c r="K1200" s="514">
        <f t="shared" si="40"/>
        <v>7.1</v>
      </c>
      <c r="L1200" s="517"/>
      <c r="M1200" s="471"/>
      <c r="N1200" s="516"/>
      <c r="Q1200" s="472"/>
      <c r="R1200" s="472"/>
      <c r="S1200" s="472"/>
      <c r="T1200" s="472"/>
      <c r="U1200" s="472"/>
      <c r="V1200" s="472"/>
      <c r="W1200" s="472"/>
      <c r="X1200" s="472"/>
      <c r="Y1200" s="472"/>
    </row>
    <row r="1201" spans="1:25" ht="24" x14ac:dyDescent="0.25">
      <c r="A1201" s="463"/>
      <c r="B1201" s="506"/>
      <c r="C1201" s="507">
        <v>39423</v>
      </c>
      <c r="D1201" s="508"/>
      <c r="E1201" s="509" t="str">
        <f>IF($C1201="",IFERROR(VLOOKUP($B1201,SERVIÇOS!$B:$G,2,0),IFERROR(VLOOKUP($B1201,$D:$K,2,0),"")),IFERROR(VLOOKUP($C1201,INSUMOS!$A:$D,2,0),IFERROR(VLOOKUP($C1201,COTAÇÕES!$B:$I,2,0),(VLOOKUP($C1201,'INSUMO SINAPI - SP'!$C:$F,2,0)))))</f>
        <v>PERFIL MONTANTE, FORMATO C, EM ACO ZINCADO, PARA ESTRUTURA PAREDE DRYWALL, E = 0,5 MM, 90 X 3000 MM (L X C)</v>
      </c>
      <c r="F1201" s="510" t="str">
        <f>IF($C1201="",IFERROR(VLOOKUP($B1201,SERVIÇOS!$B:$G,3,0),IFERROR(VLOOKUP($B1201,$D:$K,3,0),"")),IFERROR(VLOOKUP($C1201,INSUMOS!$A:$D,3,0),IFERROR(VLOOKUP($C1201,COTAÇÕES!$B:$I,3,0),(VLOOKUP($C1201,'INSUMO SINAPI - SP'!$C:$F,3,0)))))</f>
        <v>M</v>
      </c>
      <c r="G1201" s="511">
        <v>2.1</v>
      </c>
      <c r="H1201" s="512">
        <f>IF($C1201="",IFERROR(VLOOKUP($B1201,SERVIÇOS!$B:$G,6,0),IFERROR(VLOOKUP($B1201,$D:$K,8,0),"")),IFERROR(VLOOKUP($C1201,INSUMOS!$A:$D,4,0),IFERROR(VLOOKUP($C1201,COTAÇÕES!$B:$I,7,0),(VLOOKUP($C1201,'INSUMO SINAPI - SP'!$C:$F,4,0)))))</f>
        <v>9.41</v>
      </c>
      <c r="I1201" s="513">
        <f>TRUNC(IF($C1201="",IFERROR(VLOOKUP($B1201,SERVIÇOS!$B:$G,4,0),IFERROR(VLOOKUP($B1201,$D:$K,6,0),)),IFERROR(VLOOKUP($C1201,INSUMOS!$A:$D,4,0),IFERROR(VLOOKUP($C1201,COTAÇÕES!$B:$I,7,0),(VLOOKUP($C1201,'INSUMO SINAPI - SP'!$C:$F,4,0)))))*$G1201,2)</f>
        <v>19.760000000000002</v>
      </c>
      <c r="J1201" s="513">
        <f>TRUNC(IF($C1201="",IFERROR(VLOOKUP($B1201,SERVIÇOS!$B:$G,5,0),IFERROR(VLOOKUP($B1201,$D:$K,7,0),)),0)*$G1201,2)</f>
        <v>0</v>
      </c>
      <c r="K1201" s="514">
        <f t="shared" si="40"/>
        <v>19.760000000000002</v>
      </c>
      <c r="L1201" s="517"/>
      <c r="M1201" s="471"/>
      <c r="N1201" s="516"/>
      <c r="Q1201" s="472"/>
      <c r="R1201" s="472"/>
      <c r="S1201" s="472"/>
      <c r="T1201" s="472"/>
      <c r="U1201" s="472"/>
      <c r="V1201" s="472"/>
      <c r="W1201" s="472"/>
      <c r="X1201" s="472"/>
      <c r="Y1201" s="472"/>
    </row>
    <row r="1202" spans="1:25" ht="24" x14ac:dyDescent="0.25">
      <c r="A1202" s="463"/>
      <c r="B1202" s="506"/>
      <c r="C1202" s="507">
        <v>39443</v>
      </c>
      <c r="D1202" s="508"/>
      <c r="E1202" s="509" t="str">
        <f>IF($C1202="",IFERROR(VLOOKUP($B1202,SERVIÇOS!$B:$G,2,0),IFERROR(VLOOKUP($B1202,$D:$K,2,0),"")),IFERROR(VLOOKUP($C1202,INSUMOS!$A:$D,2,0),IFERROR(VLOOKUP($C1202,COTAÇÕES!$B:$I,2,0),(VLOOKUP($C1202,'INSUMO SINAPI - SP'!$C:$F,2,0)))))</f>
        <v>PARAFUSO DRY WALL, EM ACO ZINCADO, CABECA LENTILHA E PONTA BROCA (LB), LARGURA 4,2 MM, COMPRIMENTO 13 MM</v>
      </c>
      <c r="F1202" s="510" t="str">
        <f>IF($C1202="",IFERROR(VLOOKUP($B1202,SERVIÇOS!$B:$G,3,0),IFERROR(VLOOKUP($B1202,$D:$K,3,0),"")),IFERROR(VLOOKUP($C1202,INSUMOS!$A:$D,3,0),IFERROR(VLOOKUP($C1202,COTAÇÕES!$B:$I,3,0),(VLOOKUP($C1202,'INSUMO SINAPI - SP'!$C:$F,3,0)))))</f>
        <v>UN</v>
      </c>
      <c r="G1202" s="511">
        <v>26</v>
      </c>
      <c r="H1202" s="512">
        <f>IF($C1202="",IFERROR(VLOOKUP($B1202,SERVIÇOS!$B:$G,6,0),IFERROR(VLOOKUP($B1202,$D:$K,8,0),"")),IFERROR(VLOOKUP($C1202,INSUMOS!$A:$D,4,0),IFERROR(VLOOKUP($C1202,COTAÇÕES!$B:$I,7,0),(VLOOKUP($C1202,'INSUMO SINAPI - SP'!$C:$F,4,0)))))</f>
        <v>0.21</v>
      </c>
      <c r="I1202" s="513">
        <f>TRUNC(IF($C1202="",IFERROR(VLOOKUP($B1202,SERVIÇOS!$B:$G,4,0),IFERROR(VLOOKUP($B1202,$D:$K,6,0),)),IFERROR(VLOOKUP($C1202,INSUMOS!$A:$D,4,0),IFERROR(VLOOKUP($C1202,COTAÇÕES!$B:$I,7,0),(VLOOKUP($C1202,'INSUMO SINAPI - SP'!$C:$F,4,0)))))*$G1202,2)</f>
        <v>5.46</v>
      </c>
      <c r="J1202" s="513">
        <f>TRUNC(IF($C1202="",IFERROR(VLOOKUP($B1202,SERVIÇOS!$B:$G,5,0),IFERROR(VLOOKUP($B1202,$D:$K,7,0),)),0)*$G1202,2)</f>
        <v>0</v>
      </c>
      <c r="K1202" s="514">
        <f t="shared" si="40"/>
        <v>5.46</v>
      </c>
      <c r="L1202" s="517"/>
      <c r="M1202" s="471"/>
      <c r="N1202" s="516"/>
      <c r="Q1202" s="472"/>
      <c r="R1202" s="472"/>
      <c r="S1202" s="472"/>
      <c r="T1202" s="472"/>
      <c r="U1202" s="472"/>
      <c r="V1202" s="472"/>
      <c r="W1202" s="472"/>
      <c r="X1202" s="472"/>
      <c r="Y1202" s="472"/>
    </row>
    <row r="1203" spans="1:25" ht="24" x14ac:dyDescent="0.25">
      <c r="A1203" s="463"/>
      <c r="B1203" s="506"/>
      <c r="C1203" s="507">
        <v>39431</v>
      </c>
      <c r="D1203" s="508"/>
      <c r="E1203" s="509" t="str">
        <f>IF($C1203="",IFERROR(VLOOKUP($B1203,SERVIÇOS!$B:$G,2,0),IFERROR(VLOOKUP($B1203,$D:$K,2,0),"")),IFERROR(VLOOKUP($C1203,INSUMOS!$A:$D,2,0),IFERROR(VLOOKUP($C1203,COTAÇÕES!$B:$I,2,0),(VLOOKUP($C1203,'INSUMO SINAPI - SP'!$C:$F,2,0)))))</f>
        <v>FITA DE PAPEL MICROPERFURADO, 50 X 150 MM, PARA TRATAMENTO DE JUNTAS DE CHAPA DE GESSO PARA DRYWALL</v>
      </c>
      <c r="F1203" s="510" t="str">
        <f>IF($C1203="",IFERROR(VLOOKUP($B1203,SERVIÇOS!$B:$G,3,0),IFERROR(VLOOKUP($B1203,$D:$K,3,0),"")),IFERROR(VLOOKUP($C1203,INSUMOS!$A:$D,3,0),IFERROR(VLOOKUP($C1203,COTAÇÕES!$B:$I,3,0),(VLOOKUP($C1203,'INSUMO SINAPI - SP'!$C:$F,3,0)))))</f>
        <v>M</v>
      </c>
      <c r="G1203" s="511">
        <v>3.08</v>
      </c>
      <c r="H1203" s="512">
        <f>IF($C1203="",IFERROR(VLOOKUP($B1203,SERVIÇOS!$B:$G,6,0),IFERROR(VLOOKUP($B1203,$D:$K,8,0),"")),IFERROR(VLOOKUP($C1203,INSUMOS!$A:$D,4,0),IFERROR(VLOOKUP($C1203,COTAÇÕES!$B:$I,7,0),(VLOOKUP($C1203,'INSUMO SINAPI - SP'!$C:$F,4,0)))))</f>
        <v>0.33</v>
      </c>
      <c r="I1203" s="513">
        <f>TRUNC(IF($C1203="",IFERROR(VLOOKUP($B1203,SERVIÇOS!$B:$G,4,0),IFERROR(VLOOKUP($B1203,$D:$K,6,0),)),IFERROR(VLOOKUP($C1203,INSUMOS!$A:$D,4,0),IFERROR(VLOOKUP($C1203,COTAÇÕES!$B:$I,7,0),(VLOOKUP($C1203,'INSUMO SINAPI - SP'!$C:$F,4,0)))))*$G1203,2)</f>
        <v>1.01</v>
      </c>
      <c r="J1203" s="513">
        <f>TRUNC(IF($C1203="",IFERROR(VLOOKUP($B1203,SERVIÇOS!$B:$G,5,0),IFERROR(VLOOKUP($B1203,$D:$K,7,0),)),0)*$G1203,2)</f>
        <v>0</v>
      </c>
      <c r="K1203" s="514">
        <f t="shared" si="40"/>
        <v>1.01</v>
      </c>
      <c r="L1203" s="517"/>
      <c r="M1203" s="471"/>
      <c r="N1203" s="516"/>
      <c r="Q1203" s="472"/>
      <c r="R1203" s="472"/>
      <c r="S1203" s="472"/>
      <c r="T1203" s="472"/>
      <c r="U1203" s="472"/>
      <c r="V1203" s="472"/>
      <c r="W1203" s="472"/>
      <c r="X1203" s="472"/>
      <c r="Y1203" s="472"/>
    </row>
    <row r="1204" spans="1:25" ht="24" x14ac:dyDescent="0.25">
      <c r="A1204" s="463"/>
      <c r="B1204" s="506"/>
      <c r="C1204" s="507">
        <v>39432</v>
      </c>
      <c r="D1204" s="508"/>
      <c r="E1204" s="509" t="str">
        <f>IF($C1204="",IFERROR(VLOOKUP($B1204,SERVIÇOS!$B:$G,2,0),IFERROR(VLOOKUP($B1204,$D:$K,2,0),"")),IFERROR(VLOOKUP($C1204,INSUMOS!$A:$D,2,0),IFERROR(VLOOKUP($C1204,COTAÇÕES!$B:$I,2,0),(VLOOKUP($C1204,'INSUMO SINAPI - SP'!$C:$F,2,0)))))</f>
        <v>FITA DE PAPEL REFORCADA COM LAMINA DE METAL PARA REFORCO DE CANTOS DE CHAPA DE GESSO PARA DRYWALL</v>
      </c>
      <c r="F1204" s="510" t="str">
        <f>IF($C1204="",IFERROR(VLOOKUP($B1204,SERVIÇOS!$B:$G,3,0),IFERROR(VLOOKUP($B1204,$D:$K,3,0),"")),IFERROR(VLOOKUP($C1204,INSUMOS!$A:$D,3,0),IFERROR(VLOOKUP($C1204,COTAÇÕES!$B:$I,3,0),(VLOOKUP($C1204,'INSUMO SINAPI - SP'!$C:$F,3,0)))))</f>
        <v>M</v>
      </c>
      <c r="G1204" s="511">
        <v>0.8</v>
      </c>
      <c r="H1204" s="512">
        <f>IF($C1204="",IFERROR(VLOOKUP($B1204,SERVIÇOS!$B:$G,6,0),IFERROR(VLOOKUP($B1204,$D:$K,8,0),"")),IFERROR(VLOOKUP($C1204,INSUMOS!$A:$D,4,0),IFERROR(VLOOKUP($C1204,COTAÇÕES!$B:$I,7,0),(VLOOKUP($C1204,'INSUMO SINAPI - SP'!$C:$F,4,0)))))</f>
        <v>2.97</v>
      </c>
      <c r="I1204" s="513">
        <f>TRUNC(IF($C1204="",IFERROR(VLOOKUP($B1204,SERVIÇOS!$B:$G,4,0),IFERROR(VLOOKUP($B1204,$D:$K,6,0),)),IFERROR(VLOOKUP($C1204,INSUMOS!$A:$D,4,0),IFERROR(VLOOKUP($C1204,COTAÇÕES!$B:$I,7,0),(VLOOKUP($C1204,'INSUMO SINAPI - SP'!$C:$F,4,0)))))*$G1204,2)</f>
        <v>2.37</v>
      </c>
      <c r="J1204" s="513">
        <f>TRUNC(IF($C1204="",IFERROR(VLOOKUP($B1204,SERVIÇOS!$B:$G,5,0),IFERROR(VLOOKUP($B1204,$D:$K,7,0),)),0)*$G1204,2)</f>
        <v>0</v>
      </c>
      <c r="K1204" s="514">
        <f t="shared" si="40"/>
        <v>2.37</v>
      </c>
      <c r="L1204" s="517"/>
      <c r="M1204" s="471"/>
      <c r="N1204" s="516"/>
      <c r="Q1204" s="472"/>
      <c r="R1204" s="472"/>
      <c r="S1204" s="472"/>
      <c r="T1204" s="472"/>
      <c r="U1204" s="472"/>
      <c r="V1204" s="472"/>
      <c r="W1204" s="472"/>
      <c r="X1204" s="472"/>
      <c r="Y1204" s="472"/>
    </row>
    <row r="1205" spans="1:25" ht="24" x14ac:dyDescent="0.25">
      <c r="A1205" s="463"/>
      <c r="B1205" s="506"/>
      <c r="C1205" s="507">
        <v>39434</v>
      </c>
      <c r="D1205" s="508"/>
      <c r="E1205" s="509" t="str">
        <f>IF($C1205="",IFERROR(VLOOKUP($B1205,SERVIÇOS!$B:$G,2,0),IFERROR(VLOOKUP($B1205,$D:$K,2,0),"")),IFERROR(VLOOKUP($C1205,INSUMOS!$A:$D,2,0),IFERROR(VLOOKUP($C1205,COTAÇÕES!$B:$I,2,0),(VLOOKUP($C1205,'INSUMO SINAPI - SP'!$C:$F,2,0)))))</f>
        <v>MASSA DE REJUNTE EM PO PARA DRYWALL, A BASE DE GESSO, SECAGEM RAPIDA, PARA TRATAMENTO DE JUNTAS DE CHAPA DE GESSO (NECESSITA ADICAO DE AGUA)</v>
      </c>
      <c r="F1205" s="510" t="str">
        <f>IF($C1205="",IFERROR(VLOOKUP($B1205,SERVIÇOS!$B:$G,3,0),IFERROR(VLOOKUP($B1205,$D:$K,3,0),"")),IFERROR(VLOOKUP($C1205,INSUMOS!$A:$D,3,0),IFERROR(VLOOKUP($C1205,COTAÇÕES!$B:$I,3,0),(VLOOKUP($C1205,'INSUMO SINAPI - SP'!$C:$F,3,0)))))</f>
        <v>KG</v>
      </c>
      <c r="G1205" s="511">
        <v>0.99</v>
      </c>
      <c r="H1205" s="512">
        <f>IF($C1205="",IFERROR(VLOOKUP($B1205,SERVIÇOS!$B:$G,6,0),IFERROR(VLOOKUP($B1205,$D:$K,8,0),"")),IFERROR(VLOOKUP($C1205,INSUMOS!$A:$D,4,0),IFERROR(VLOOKUP($C1205,COTAÇÕES!$B:$I,7,0),(VLOOKUP($C1205,'INSUMO SINAPI - SP'!$C:$F,4,0)))))</f>
        <v>3.72</v>
      </c>
      <c r="I1205" s="513">
        <f>TRUNC(IF($C1205="",IFERROR(VLOOKUP($B1205,SERVIÇOS!$B:$G,4,0),IFERROR(VLOOKUP($B1205,$D:$K,6,0),)),IFERROR(VLOOKUP($C1205,INSUMOS!$A:$D,4,0),IFERROR(VLOOKUP($C1205,COTAÇÕES!$B:$I,7,0),(VLOOKUP($C1205,'INSUMO SINAPI - SP'!$C:$F,4,0)))))*$G1205,2)</f>
        <v>3.68</v>
      </c>
      <c r="J1205" s="513">
        <f>TRUNC(IF($C1205="",IFERROR(VLOOKUP($B1205,SERVIÇOS!$B:$G,5,0),IFERROR(VLOOKUP($B1205,$D:$K,7,0),)),0)*$G1205,2)</f>
        <v>0</v>
      </c>
      <c r="K1205" s="514">
        <f t="shared" si="40"/>
        <v>3.68</v>
      </c>
      <c r="L1205" s="517"/>
      <c r="M1205" s="471"/>
      <c r="N1205" s="516"/>
      <c r="Q1205" s="472"/>
      <c r="R1205" s="472"/>
      <c r="S1205" s="472"/>
      <c r="T1205" s="472"/>
      <c r="U1205" s="472"/>
      <c r="V1205" s="472"/>
      <c r="W1205" s="472"/>
      <c r="X1205" s="472"/>
      <c r="Y1205" s="472"/>
    </row>
    <row r="1206" spans="1:25" ht="24" x14ac:dyDescent="0.25">
      <c r="A1206" s="463"/>
      <c r="B1206" s="506"/>
      <c r="C1206" s="507" t="s">
        <v>13203</v>
      </c>
      <c r="D1206" s="508"/>
      <c r="E1206" s="509" t="str">
        <f>IF($C1206="",IFERROR(VLOOKUP($B1206,SERVIÇOS!$B:$G,2,0),IFERROR(VLOOKUP($B1206,$D:$K,2,0),"")),IFERROR(VLOOKUP($C1206,INSUMOS!$A:$D,2,0),IFERROR(VLOOKUP($C1206,COTAÇÕES!$B:$I,2,0),(VLOOKUP($C1206,'INSUMO SINAPI - SP'!$C:$F,2,0)))))</f>
        <v>PINO DE ACO COM ARRUELA CONICA, DIAMETRO ARRUELA = *23* MM E COMP HASTE = *27* MM (ACAO INDIRETA)</v>
      </c>
      <c r="F1206" s="510" t="str">
        <f>IF($C1206="",IFERROR(VLOOKUP($B1206,SERVIÇOS!$B:$G,3,0),IFERROR(VLOOKUP($B1206,$D:$K,3,0),"")),IFERROR(VLOOKUP($C1206,INSUMOS!$A:$D,3,0),IFERROR(VLOOKUP($C1206,COTAÇÕES!$B:$I,3,0),(VLOOKUP($C1206,'INSUMO SINAPI - SP'!$C:$F,3,0)))))</f>
        <v>CENTO</v>
      </c>
      <c r="G1206" s="511">
        <v>1.5</v>
      </c>
      <c r="H1206" s="512">
        <f>IF($C1206="",IFERROR(VLOOKUP($B1206,SERVIÇOS!$B:$G,6,0),IFERROR(VLOOKUP($B1206,$D:$K,8,0),"")),IFERROR(VLOOKUP($C1206,INSUMOS!$A:$D,4,0),IFERROR(VLOOKUP($C1206,COTAÇÕES!$B:$I,7,0),(VLOOKUP($C1206,'INSUMO SINAPI - SP'!$C:$F,4,0)))))</f>
        <v>52.15</v>
      </c>
      <c r="I1206" s="513">
        <f>TRUNC(IF($C1206="",IFERROR(VLOOKUP($B1206,SERVIÇOS!$B:$G,4,0),IFERROR(VLOOKUP($B1206,$D:$K,6,0),)),IFERROR(VLOOKUP($C1206,INSUMOS!$A:$D,4,0),IFERROR(VLOOKUP($C1206,COTAÇÕES!$B:$I,7,0),(VLOOKUP($C1206,'INSUMO SINAPI - SP'!$C:$F,4,0)))))*$G1206,2)</f>
        <v>78.22</v>
      </c>
      <c r="J1206" s="513"/>
      <c r="K1206" s="514">
        <f t="shared" si="40"/>
        <v>78.22</v>
      </c>
      <c r="L1206" s="515" t="s">
        <v>12685</v>
      </c>
      <c r="M1206" s="471"/>
      <c r="N1206" s="516"/>
      <c r="Q1206" s="472"/>
      <c r="R1206" s="472"/>
      <c r="S1206" s="472"/>
      <c r="T1206" s="472"/>
      <c r="U1206" s="472"/>
      <c r="V1206" s="472"/>
      <c r="W1206" s="472"/>
      <c r="X1206" s="472"/>
      <c r="Y1206" s="472"/>
    </row>
    <row r="1207" spans="1:25" ht="24" x14ac:dyDescent="0.25">
      <c r="A1207" s="463"/>
      <c r="B1207" s="506"/>
      <c r="C1207" s="507">
        <v>39417</v>
      </c>
      <c r="D1207" s="508"/>
      <c r="E1207" s="509" t="str">
        <f>IF($C1207="",IFERROR(VLOOKUP($B1207,SERVIÇOS!$B:$G,2,0),IFERROR(VLOOKUP($B1207,$D:$K,2,0),"")),IFERROR(VLOOKUP($C1207,INSUMOS!$A:$D,2,0),IFERROR(VLOOKUP($C1207,COTAÇÕES!$B:$I,2,0),(VLOOKUP($C1207,'INSUMO SINAPI - SP'!$C:$F,2,0)))))</f>
        <v>PLACA / CHAPA DE GESSO ACARTONADO, RESISTENTE A UMIDADE (RU), COR VERDE, E = 12,5 MM, 1200 X 2400 MM (L X C)</v>
      </c>
      <c r="F1207" s="510" t="str">
        <f>IF($C1207="",IFERROR(VLOOKUP($B1207,SERVIÇOS!$B:$G,3,0),IFERROR(VLOOKUP($B1207,$D:$K,3,0),"")),IFERROR(VLOOKUP($C1207,INSUMOS!$A:$D,3,0),IFERROR(VLOOKUP($C1207,COTAÇÕES!$B:$I,3,0),(VLOOKUP($C1207,'INSUMO SINAPI - SP'!$C:$F,3,0)))))</f>
        <v>M2</v>
      </c>
      <c r="G1207" s="511">
        <v>2.1</v>
      </c>
      <c r="H1207" s="512">
        <f>IF($C1207="",IFERROR(VLOOKUP($B1207,SERVIÇOS!$B:$G,6,0),IFERROR(VLOOKUP($B1207,$D:$K,8,0),"")),IFERROR(VLOOKUP($C1207,INSUMOS!$A:$D,4,0),IFERROR(VLOOKUP($C1207,COTAÇÕES!$B:$I,7,0),(VLOOKUP($C1207,'INSUMO SINAPI - SP'!$C:$F,4,0)))))</f>
        <v>28.33</v>
      </c>
      <c r="I1207" s="513">
        <f>TRUNC(IF($C1207="",IFERROR(VLOOKUP($B1207,SERVIÇOS!$B:$G,4,0),IFERROR(VLOOKUP($B1207,$D:$K,6,0),)),IFERROR(VLOOKUP($C1207,INSUMOS!$A:$D,4,0),IFERROR(VLOOKUP($C1207,COTAÇÕES!$B:$I,7,0),(VLOOKUP($C1207,'INSUMO SINAPI - SP'!$C:$F,4,0)))))*$G1207,2)</f>
        <v>59.49</v>
      </c>
      <c r="J1207" s="513">
        <f>TRUNC(IF($C1207="",IFERROR(VLOOKUP($B1207,SERVIÇOS!$B:$G,5,0),IFERROR(VLOOKUP($B1207,$D:$K,7,0),)),0)*$G1207,2)</f>
        <v>0</v>
      </c>
      <c r="K1207" s="514">
        <f t="shared" si="40"/>
        <v>59.49</v>
      </c>
      <c r="L1207" s="517"/>
      <c r="M1207" s="471"/>
      <c r="N1207" s="516"/>
      <c r="Q1207" s="472"/>
      <c r="R1207" s="472"/>
      <c r="S1207" s="472"/>
      <c r="T1207" s="472"/>
      <c r="U1207" s="472"/>
      <c r="V1207" s="472"/>
      <c r="W1207" s="472"/>
      <c r="X1207" s="472"/>
      <c r="Y1207" s="472"/>
    </row>
    <row r="1208" spans="1:25" ht="24" x14ac:dyDescent="0.25">
      <c r="A1208" s="463"/>
      <c r="B1208" s="506"/>
      <c r="C1208" s="507">
        <v>39435</v>
      </c>
      <c r="D1208" s="508"/>
      <c r="E1208" s="509" t="str">
        <f>IF($C1208="",IFERROR(VLOOKUP($B1208,SERVIÇOS!$B:$G,2,0),IFERROR(VLOOKUP($B1208,$D:$K,2,0),"")),IFERROR(VLOOKUP($C1208,INSUMOS!$A:$D,2,0),IFERROR(VLOOKUP($C1208,COTAÇÕES!$B:$I,2,0),(VLOOKUP($C1208,'INSUMO SINAPI - SP'!$C:$F,2,0)))))</f>
        <v>PARAFUSO DRY WALL, EM ACO FOSFATIZADO, CABECA TROMBETA E PONTA AGULHA (TA), COMPRIMENTO 25 MM</v>
      </c>
      <c r="F1208" s="510" t="str">
        <f>IF($C1208="",IFERROR(VLOOKUP($B1208,SERVIÇOS!$B:$G,3,0),IFERROR(VLOOKUP($B1208,$D:$K,3,0),"")),IFERROR(VLOOKUP($C1208,INSUMOS!$A:$D,3,0),IFERROR(VLOOKUP($C1208,COTAÇÕES!$B:$I,3,0),(VLOOKUP($C1208,'INSUMO SINAPI - SP'!$C:$F,3,0)))))</f>
        <v>UN</v>
      </c>
      <c r="G1208" s="511">
        <v>1.5</v>
      </c>
      <c r="H1208" s="512">
        <f>IF($C1208="",IFERROR(VLOOKUP($B1208,SERVIÇOS!$B:$G,6,0),IFERROR(VLOOKUP($B1208,$D:$K,8,0),"")),IFERROR(VLOOKUP($C1208,INSUMOS!$A:$D,4,0),IFERROR(VLOOKUP($C1208,COTAÇÕES!$B:$I,7,0),(VLOOKUP($C1208,'INSUMO SINAPI - SP'!$C:$F,4,0)))))</f>
        <v>0.09</v>
      </c>
      <c r="I1208" s="513">
        <f>TRUNC(IF($C1208="",IFERROR(VLOOKUP($B1208,SERVIÇOS!$B:$G,4,0),IFERROR(VLOOKUP($B1208,$D:$K,6,0),)),IFERROR(VLOOKUP($C1208,INSUMOS!$A:$D,4,0),IFERROR(VLOOKUP($C1208,COTAÇÕES!$B:$I,7,0),(VLOOKUP($C1208,'INSUMO SINAPI - SP'!$C:$F,4,0)))))*$G1208,2)</f>
        <v>0.13</v>
      </c>
      <c r="J1208" s="513">
        <f>TRUNC(IF($C1208="",IFERROR(VLOOKUP($B1208,SERVIÇOS!$B:$G,5,0),IFERROR(VLOOKUP($B1208,$D:$K,7,0),)),0)*$G1208,2)</f>
        <v>0</v>
      </c>
      <c r="K1208" s="514">
        <f t="shared" si="40"/>
        <v>0.13</v>
      </c>
      <c r="L1208" s="517"/>
      <c r="M1208" s="471"/>
      <c r="N1208" s="516"/>
      <c r="Q1208" s="472"/>
      <c r="R1208" s="472"/>
      <c r="S1208" s="472"/>
      <c r="T1208" s="472"/>
      <c r="U1208" s="472"/>
      <c r="V1208" s="472"/>
      <c r="W1208" s="472"/>
      <c r="X1208" s="472"/>
      <c r="Y1208" s="472"/>
    </row>
    <row r="1209" spans="1:25" ht="24" x14ac:dyDescent="0.25">
      <c r="A1209" s="463"/>
      <c r="B1209" s="506"/>
      <c r="C1209" s="507">
        <v>39437</v>
      </c>
      <c r="D1209" s="508"/>
      <c r="E1209" s="509" t="str">
        <f>IF($C1209="",IFERROR(VLOOKUP($B1209,SERVIÇOS!$B:$G,2,0),IFERROR(VLOOKUP($B1209,$D:$K,2,0),"")),IFERROR(VLOOKUP($C1209,INSUMOS!$A:$D,2,0),IFERROR(VLOOKUP($C1209,COTAÇÕES!$B:$I,2,0),(VLOOKUP($C1209,'INSUMO SINAPI - SP'!$C:$F,2,0)))))</f>
        <v>PARAFUSO DRY WALL, EM ACO FOSFATIZADO, CABECA TROMBETA E PONTA AGULHA (TA), COMPRIMENTO 45 MM</v>
      </c>
      <c r="F1209" s="510" t="str">
        <f>IF($C1209="",IFERROR(VLOOKUP($B1209,SERVIÇOS!$B:$G,3,0),IFERROR(VLOOKUP($B1209,$D:$K,3,0),"")),IFERROR(VLOOKUP($C1209,INSUMOS!$A:$D,3,0),IFERROR(VLOOKUP($C1209,COTAÇÕES!$B:$I,3,0),(VLOOKUP($C1209,'INSUMO SINAPI - SP'!$C:$F,3,0)))))</f>
        <v>UN</v>
      </c>
      <c r="G1209" s="511">
        <v>1.5</v>
      </c>
      <c r="H1209" s="512">
        <f>IF($C1209="",IFERROR(VLOOKUP($B1209,SERVIÇOS!$B:$G,6,0),IFERROR(VLOOKUP($B1209,$D:$K,8,0),"")),IFERROR(VLOOKUP($C1209,INSUMOS!$A:$D,4,0),IFERROR(VLOOKUP($C1209,COTAÇÕES!$B:$I,7,0),(VLOOKUP($C1209,'INSUMO SINAPI - SP'!$C:$F,4,0)))))</f>
        <v>0.2</v>
      </c>
      <c r="I1209" s="513">
        <f>TRUNC(IF($C1209="",IFERROR(VLOOKUP($B1209,SERVIÇOS!$B:$G,4,0),IFERROR(VLOOKUP($B1209,$D:$K,6,0),)),IFERROR(VLOOKUP($C1209,INSUMOS!$A:$D,4,0),IFERROR(VLOOKUP($C1209,COTAÇÕES!$B:$I,7,0),(VLOOKUP($C1209,'INSUMO SINAPI - SP'!$C:$F,4,0)))))*$G1209,2)</f>
        <v>0.3</v>
      </c>
      <c r="J1209" s="513">
        <f>TRUNC(IF($C1209="",IFERROR(VLOOKUP($B1209,SERVIÇOS!$B:$G,5,0),IFERROR(VLOOKUP($B1209,$D:$K,7,0),)),0)*$G1209,2)</f>
        <v>0</v>
      </c>
      <c r="K1209" s="514">
        <f t="shared" si="40"/>
        <v>0.3</v>
      </c>
      <c r="L1209" s="517"/>
      <c r="M1209" s="471"/>
      <c r="N1209" s="516"/>
      <c r="Q1209" s="472"/>
      <c r="R1209" s="472"/>
      <c r="S1209" s="472"/>
      <c r="T1209" s="472"/>
      <c r="U1209" s="472"/>
      <c r="V1209" s="472"/>
      <c r="W1209" s="472"/>
      <c r="X1209" s="472"/>
      <c r="Y1209" s="472"/>
    </row>
    <row r="1210" spans="1:25" ht="24" x14ac:dyDescent="0.25">
      <c r="A1210" s="463"/>
      <c r="B1210" s="498"/>
      <c r="C1210" s="498"/>
      <c r="D1210" s="499" t="s">
        <v>11963</v>
      </c>
      <c r="E1210" s="555" t="s">
        <v>13227</v>
      </c>
      <c r="F1210" s="501" t="s">
        <v>578</v>
      </c>
      <c r="G1210" s="502"/>
      <c r="H1210" s="503"/>
      <c r="I1210" s="504">
        <f>ROUND(SUM(I1211:I1221),2)</f>
        <v>58.7</v>
      </c>
      <c r="J1210" s="504">
        <f>ROUND(SUM(J1211:J1221),2)</f>
        <v>10.54</v>
      </c>
      <c r="K1210" s="504">
        <f>+J1210+I1210</f>
        <v>69.240000000000009</v>
      </c>
      <c r="L1210" s="523" t="s">
        <v>13228</v>
      </c>
      <c r="M1210" s="471"/>
      <c r="N1210" s="505"/>
      <c r="Q1210" s="472"/>
      <c r="R1210" s="472"/>
      <c r="S1210" s="472"/>
      <c r="T1210" s="472"/>
      <c r="U1210" s="472"/>
      <c r="V1210" s="472"/>
      <c r="W1210" s="472"/>
      <c r="X1210" s="472"/>
      <c r="Y1210" s="472"/>
    </row>
    <row r="1211" spans="1:25" x14ac:dyDescent="0.25">
      <c r="A1211" s="463"/>
      <c r="B1211" s="506">
        <v>88278</v>
      </c>
      <c r="C1211" s="507"/>
      <c r="D1211" s="508"/>
      <c r="E1211" s="509" t="str">
        <f>IF($C1211="",IFERROR(VLOOKUP($B1211,SERVIÇOS!$B:$G,2,0),IFERROR(VLOOKUP($B1211,$D:$K,2,0),"")),IFERROR(VLOOKUP($C1211,INSUMOS!$A:$D,2,0),IFERROR(VLOOKUP($C1211,COTAÇÕES!$B:$I,2,0),(VLOOKUP($C1211,'INSUMO SINAPI - SP'!$C:$F,2,0)))))</f>
        <v>MONTADOR DE ESTRUTURA METÁLICA COM ENCARGOS COMPLEMENTARES</v>
      </c>
      <c r="F1211" s="510" t="str">
        <f>IF($C1211="",IFERROR(VLOOKUP($B1211,SERVIÇOS!$B:$G,3,0),IFERROR(VLOOKUP($B1211,$D:$K,3,0),"")),IFERROR(VLOOKUP($C1211,INSUMOS!$A:$D,3,0),IFERROR(VLOOKUP($C1211,COTAÇÕES!$B:$I,3,0),(VLOOKUP($C1211,'INSUMO SINAPI - SP'!$C:$F,3,0)))))</f>
        <v>H</v>
      </c>
      <c r="G1211" s="511">
        <v>0.36359999999999998</v>
      </c>
      <c r="H1211" s="512">
        <f>IF($C1211="",IFERROR(VLOOKUP($B1211,SERVIÇOS!$B:$G,6,0),IFERROR(VLOOKUP($B1211,$D:$K,8,0),"")),IFERROR(VLOOKUP($C1211,INSUMOS!$A:$D,4,0),IFERROR(VLOOKUP($C1211,COTAÇÕES!$B:$I,7,0),(VLOOKUP($C1211,'INSUMO SINAPI - SP'!$C:$F,4,0)))))</f>
        <v>32.22</v>
      </c>
      <c r="I1211" s="513">
        <f>TRUNC(IF($C1211="",IFERROR(VLOOKUP($B1211,SERVIÇOS!$B:$G,4,0),IFERROR(VLOOKUP($B1211,$D:$K,6,0),)),IFERROR(VLOOKUP($C1211,INSUMOS!$A:$D,4,0),IFERROR(VLOOKUP($C1211,COTAÇÕES!$B:$I,7,0),(VLOOKUP($C1211,'INSUMO SINAPI - SP'!$C:$F,4,0)))))*$G1211,2)</f>
        <v>2.94</v>
      </c>
      <c r="J1211" s="513">
        <f>TRUNC(IF($C1211="",IFERROR(VLOOKUP($B1211,SERVIÇOS!$B:$G,5,0),IFERROR(VLOOKUP($B1211,$D:$K,7,0),)),0)*$G1211,2)</f>
        <v>8.77</v>
      </c>
      <c r="K1211" s="514">
        <f t="shared" ref="K1211:K1221" si="41">I1211+J1211</f>
        <v>11.709999999999999</v>
      </c>
      <c r="L1211" s="515"/>
      <c r="M1211" s="471"/>
      <c r="N1211" s="516"/>
      <c r="Q1211" s="472"/>
      <c r="R1211" s="472"/>
      <c r="S1211" s="472"/>
      <c r="T1211" s="472"/>
      <c r="U1211" s="472"/>
      <c r="V1211" s="472"/>
      <c r="W1211" s="472"/>
      <c r="X1211" s="472"/>
      <c r="Y1211" s="472"/>
    </row>
    <row r="1212" spans="1:25" x14ac:dyDescent="0.25">
      <c r="A1212" s="463"/>
      <c r="B1212" s="506">
        <v>88316</v>
      </c>
      <c r="C1212" s="507"/>
      <c r="D1212" s="508"/>
      <c r="E1212" s="509" t="str">
        <f>IF($C1212="",IFERROR(VLOOKUP($B1212,SERVIÇOS!$B:$G,2,0),IFERROR(VLOOKUP($B1212,$D:$K,2,0),"")),IFERROR(VLOOKUP($C1212,INSUMOS!$A:$D,2,0),IFERROR(VLOOKUP($C1212,COTAÇÕES!$B:$I,2,0),(VLOOKUP($C1212,'INSUMO SINAPI - SP'!$C:$F,2,0)))))</f>
        <v>SERVENTE COM ENCARGOS COMPLEMENTARES</v>
      </c>
      <c r="F1212" s="510" t="str">
        <f>IF($C1212="",IFERROR(VLOOKUP($B1212,SERVIÇOS!$B:$G,3,0),IFERROR(VLOOKUP($B1212,$D:$K,3,0),"")),IFERROR(VLOOKUP($C1212,INSUMOS!$A:$D,3,0),IFERROR(VLOOKUP($C1212,COTAÇÕES!$B:$I,3,0),(VLOOKUP($C1212,'INSUMO SINAPI - SP'!$C:$F,3,0)))))</f>
        <v>H</v>
      </c>
      <c r="G1212" s="511">
        <v>9.0899999999999995E-2</v>
      </c>
      <c r="H1212" s="512">
        <f>IF($C1212="",IFERROR(VLOOKUP($B1212,SERVIÇOS!$B:$G,6,0),IFERROR(VLOOKUP($B1212,$D:$K,8,0),"")),IFERROR(VLOOKUP($C1212,INSUMOS!$A:$D,4,0),IFERROR(VLOOKUP($C1212,COTAÇÕES!$B:$I,7,0),(VLOOKUP($C1212,'INSUMO SINAPI - SP'!$C:$F,4,0)))))</f>
        <v>28.71</v>
      </c>
      <c r="I1212" s="513">
        <f>TRUNC(IF($C1212="",IFERROR(VLOOKUP($B1212,SERVIÇOS!$B:$G,4,0),IFERROR(VLOOKUP($B1212,$D:$K,6,0),)),IFERROR(VLOOKUP($C1212,INSUMOS!$A:$D,4,0),IFERROR(VLOOKUP($C1212,COTAÇÕES!$B:$I,7,0),(VLOOKUP($C1212,'INSUMO SINAPI - SP'!$C:$F,4,0)))))*$G1212,2)</f>
        <v>0.83</v>
      </c>
      <c r="J1212" s="513">
        <f>TRUNC(IF($C1212="",IFERROR(VLOOKUP($B1212,SERVIÇOS!$B:$G,5,0),IFERROR(VLOOKUP($B1212,$D:$K,7,0),)),0)*$G1212,2)</f>
        <v>1.77</v>
      </c>
      <c r="K1212" s="514">
        <f t="shared" si="41"/>
        <v>2.6</v>
      </c>
      <c r="L1212" s="515"/>
      <c r="M1212" s="471"/>
      <c r="N1212" s="516"/>
      <c r="Q1212" s="472"/>
      <c r="R1212" s="472"/>
      <c r="S1212" s="472"/>
      <c r="T1212" s="472"/>
      <c r="U1212" s="472"/>
      <c r="V1212" s="472"/>
      <c r="W1212" s="472"/>
      <c r="X1212" s="472"/>
      <c r="Y1212" s="472"/>
    </row>
    <row r="1213" spans="1:25" ht="24" x14ac:dyDescent="0.25">
      <c r="A1213" s="463"/>
      <c r="B1213" s="506"/>
      <c r="C1213" s="507">
        <v>39418</v>
      </c>
      <c r="D1213" s="508"/>
      <c r="E1213" s="509" t="str">
        <f>IF($C1213="",IFERROR(VLOOKUP($B1213,SERVIÇOS!$B:$G,2,0),IFERROR(VLOOKUP($B1213,$D:$K,2,0),"")),IFERROR(VLOOKUP($C1213,INSUMOS!$A:$D,2,0),IFERROR(VLOOKUP($C1213,COTAÇÕES!$B:$I,2,0),(VLOOKUP($C1213,'INSUMO SINAPI - SP'!$C:$F,2,0)))))</f>
        <v>PERFIL GUIA, FORMATO U, EM ACO ZINCADO, PARA ESTRUTURA PAREDE DRYWALL, E = 0,5 MM, 48 X 3000 MM (L X C)</v>
      </c>
      <c r="F1213" s="510" t="str">
        <f>IF($C1213="",IFERROR(VLOOKUP($B1213,SERVIÇOS!$B:$G,3,0),IFERROR(VLOOKUP($B1213,$D:$K,3,0),"")),IFERROR(VLOOKUP($C1213,INSUMOS!$A:$D,3,0),IFERROR(VLOOKUP($C1213,COTAÇÕES!$B:$I,3,0),(VLOOKUP($C1213,'INSUMO SINAPI - SP'!$C:$F,3,0)))))</f>
        <v>M</v>
      </c>
      <c r="G1213" s="511">
        <v>0.76039999999999996</v>
      </c>
      <c r="H1213" s="512">
        <f>IF($C1213="",IFERROR(VLOOKUP($B1213,SERVIÇOS!$B:$G,6,0),IFERROR(VLOOKUP($B1213,$D:$K,8,0),"")),IFERROR(VLOOKUP($C1213,INSUMOS!$A:$D,4,0),IFERROR(VLOOKUP($C1213,COTAÇÕES!$B:$I,7,0),(VLOOKUP($C1213,'INSUMO SINAPI - SP'!$C:$F,4,0)))))</f>
        <v>5.86</v>
      </c>
      <c r="I1213" s="513">
        <f>TRUNC(IF($C1213="",IFERROR(VLOOKUP($B1213,SERVIÇOS!$B:$G,4,0),IFERROR(VLOOKUP($B1213,$D:$K,6,0),)),IFERROR(VLOOKUP($C1213,INSUMOS!$A:$D,4,0),IFERROR(VLOOKUP($C1213,COTAÇÕES!$B:$I,7,0),(VLOOKUP($C1213,'INSUMO SINAPI - SP'!$C:$F,4,0)))))*$G1213,2)</f>
        <v>4.45</v>
      </c>
      <c r="J1213" s="513">
        <f>TRUNC(IF($C1213="",IFERROR(VLOOKUP($B1213,SERVIÇOS!$B:$G,5,0),IFERROR(VLOOKUP($B1213,$D:$K,7,0),)),0)*$G1213,2)</f>
        <v>0</v>
      </c>
      <c r="K1213" s="514">
        <f t="shared" si="41"/>
        <v>4.45</v>
      </c>
      <c r="L1213" s="517"/>
      <c r="M1213" s="471"/>
      <c r="N1213" s="516"/>
      <c r="Q1213" s="472"/>
      <c r="R1213" s="472"/>
      <c r="S1213" s="472"/>
      <c r="T1213" s="472"/>
      <c r="U1213" s="472"/>
      <c r="V1213" s="472"/>
      <c r="W1213" s="472"/>
      <c r="X1213" s="472"/>
      <c r="Y1213" s="472"/>
    </row>
    <row r="1214" spans="1:25" ht="24" x14ac:dyDescent="0.25">
      <c r="A1214" s="463"/>
      <c r="B1214" s="506"/>
      <c r="C1214" s="507">
        <v>39421</v>
      </c>
      <c r="D1214" s="508"/>
      <c r="E1214" s="509" t="str">
        <f>IF($C1214="",IFERROR(VLOOKUP($B1214,SERVIÇOS!$B:$G,2,0),IFERROR(VLOOKUP($B1214,$D:$K,2,0),"")),IFERROR(VLOOKUP($C1214,INSUMOS!$A:$D,2,0),IFERROR(VLOOKUP($C1214,COTAÇÕES!$B:$I,2,0),(VLOOKUP($C1214,'INSUMO SINAPI - SP'!$C:$F,2,0)))))</f>
        <v>PERFIL MONTANTE, FORMATO C, EM ACO ZINCADO, PARA ESTRUTURA PAREDE DRYWALL, E = 0,5 MM, 48 X 3000 MM (L X C)</v>
      </c>
      <c r="F1214" s="510" t="str">
        <f>IF($C1214="",IFERROR(VLOOKUP($B1214,SERVIÇOS!$B:$G,3,0),IFERROR(VLOOKUP($B1214,$D:$K,3,0),"")),IFERROR(VLOOKUP($C1214,INSUMOS!$A:$D,3,0),IFERROR(VLOOKUP($C1214,COTAÇÕES!$B:$I,3,0),(VLOOKUP($C1214,'INSUMO SINAPI - SP'!$C:$F,3,0)))))</f>
        <v>M</v>
      </c>
      <c r="G1214" s="511">
        <v>1.9910000000000001</v>
      </c>
      <c r="H1214" s="512">
        <f>IF($C1214="",IFERROR(VLOOKUP($B1214,SERVIÇOS!$B:$G,6,0),IFERROR(VLOOKUP($B1214,$D:$K,8,0),"")),IFERROR(VLOOKUP($C1214,INSUMOS!$A:$D,4,0),IFERROR(VLOOKUP($C1214,COTAÇÕES!$B:$I,7,0),(VLOOKUP($C1214,'INSUMO SINAPI - SP'!$C:$F,4,0)))))</f>
        <v>6.94</v>
      </c>
      <c r="I1214" s="513">
        <f>TRUNC(IF($C1214="",IFERROR(VLOOKUP($B1214,SERVIÇOS!$B:$G,4,0),IFERROR(VLOOKUP($B1214,$D:$K,6,0),)),IFERROR(VLOOKUP($C1214,INSUMOS!$A:$D,4,0),IFERROR(VLOOKUP($C1214,COTAÇÕES!$B:$I,7,0),(VLOOKUP($C1214,'INSUMO SINAPI - SP'!$C:$F,4,0)))))*$G1214,2)</f>
        <v>13.81</v>
      </c>
      <c r="J1214" s="513">
        <f>TRUNC(IF($C1214="",IFERROR(VLOOKUP($B1214,SERVIÇOS!$B:$G,5,0),IFERROR(VLOOKUP($B1214,$D:$K,7,0),)),0)*$G1214,2)</f>
        <v>0</v>
      </c>
      <c r="K1214" s="514">
        <f t="shared" si="41"/>
        <v>13.81</v>
      </c>
      <c r="L1214" s="517"/>
      <c r="M1214" s="471"/>
      <c r="N1214" s="516"/>
      <c r="Q1214" s="472"/>
      <c r="R1214" s="472"/>
      <c r="S1214" s="472"/>
      <c r="T1214" s="472"/>
      <c r="U1214" s="472"/>
      <c r="V1214" s="472"/>
      <c r="W1214" s="472"/>
      <c r="X1214" s="472"/>
      <c r="Y1214" s="472"/>
    </row>
    <row r="1215" spans="1:25" ht="24" x14ac:dyDescent="0.25">
      <c r="A1215" s="463"/>
      <c r="B1215" s="506"/>
      <c r="C1215" s="507">
        <v>39431</v>
      </c>
      <c r="D1215" s="508"/>
      <c r="E1215" s="509" t="str">
        <f>IF($C1215="",IFERROR(VLOOKUP($B1215,SERVIÇOS!$B:$G,2,0),IFERROR(VLOOKUP($B1215,$D:$K,2,0),"")),IFERROR(VLOOKUP($C1215,INSUMOS!$A:$D,2,0),IFERROR(VLOOKUP($C1215,COTAÇÕES!$B:$I,2,0),(VLOOKUP($C1215,'INSUMO SINAPI - SP'!$C:$F,2,0)))))</f>
        <v>FITA DE PAPEL MICROPERFURADO, 50 X 150 MM, PARA TRATAMENTO DE JUNTAS DE CHAPA DE GESSO PARA DRYWALL</v>
      </c>
      <c r="F1215" s="510" t="str">
        <f>IF($C1215="",IFERROR(VLOOKUP($B1215,SERVIÇOS!$B:$G,3,0),IFERROR(VLOOKUP($B1215,$D:$K,3,0),"")),IFERROR(VLOOKUP($C1215,INSUMOS!$A:$D,3,0),IFERROR(VLOOKUP($C1215,COTAÇÕES!$B:$I,3,0),(VLOOKUP($C1215,'INSUMO SINAPI - SP'!$C:$F,3,0)))))</f>
        <v>M</v>
      </c>
      <c r="G1215" s="511">
        <v>1.2513000000000001</v>
      </c>
      <c r="H1215" s="512">
        <f>IF($C1215="",IFERROR(VLOOKUP($B1215,SERVIÇOS!$B:$G,6,0),IFERROR(VLOOKUP($B1215,$D:$K,8,0),"")),IFERROR(VLOOKUP($C1215,INSUMOS!$A:$D,4,0),IFERROR(VLOOKUP($C1215,COTAÇÕES!$B:$I,7,0),(VLOOKUP($C1215,'INSUMO SINAPI - SP'!$C:$F,4,0)))))</f>
        <v>0.33</v>
      </c>
      <c r="I1215" s="513">
        <f>TRUNC(IF($C1215="",IFERROR(VLOOKUP($B1215,SERVIÇOS!$B:$G,4,0),IFERROR(VLOOKUP($B1215,$D:$K,6,0),)),IFERROR(VLOOKUP($C1215,INSUMOS!$A:$D,4,0),IFERROR(VLOOKUP($C1215,COTAÇÕES!$B:$I,7,0),(VLOOKUP($C1215,'INSUMO SINAPI - SP'!$C:$F,4,0)))))*$G1215,2)</f>
        <v>0.41</v>
      </c>
      <c r="J1215" s="513">
        <f>TRUNC(IF($C1215="",IFERROR(VLOOKUP($B1215,SERVIÇOS!$B:$G,5,0),IFERROR(VLOOKUP($B1215,$D:$K,7,0),)),0)*$G1215,2)</f>
        <v>0</v>
      </c>
      <c r="K1215" s="514">
        <f t="shared" si="41"/>
        <v>0.41</v>
      </c>
      <c r="L1215" s="517"/>
      <c r="M1215" s="471"/>
      <c r="N1215" s="516"/>
      <c r="Q1215" s="472"/>
      <c r="R1215" s="472"/>
      <c r="S1215" s="472"/>
      <c r="T1215" s="472"/>
      <c r="U1215" s="472"/>
      <c r="V1215" s="472"/>
      <c r="W1215" s="472"/>
      <c r="X1215" s="472"/>
      <c r="Y1215" s="472"/>
    </row>
    <row r="1216" spans="1:25" ht="24" x14ac:dyDescent="0.25">
      <c r="A1216" s="463"/>
      <c r="B1216" s="506"/>
      <c r="C1216" s="507">
        <v>39432</v>
      </c>
      <c r="D1216" s="508"/>
      <c r="E1216" s="509" t="str">
        <f>IF($C1216="",IFERROR(VLOOKUP($B1216,SERVIÇOS!$B:$G,2,0),IFERROR(VLOOKUP($B1216,$D:$K,2,0),"")),IFERROR(VLOOKUP($C1216,INSUMOS!$A:$D,2,0),IFERROR(VLOOKUP($C1216,COTAÇÕES!$B:$I,2,0),(VLOOKUP($C1216,'INSUMO SINAPI - SP'!$C:$F,2,0)))))</f>
        <v>FITA DE PAPEL REFORCADA COM LAMINA DE METAL PARA REFORCO DE CANTOS DE CHAPA DE GESSO PARA DRYWALL</v>
      </c>
      <c r="F1216" s="510" t="str">
        <f>IF($C1216="",IFERROR(VLOOKUP($B1216,SERVIÇOS!$B:$G,3,0),IFERROR(VLOOKUP($B1216,$D:$K,3,0),"")),IFERROR(VLOOKUP($C1216,INSUMOS!$A:$D,3,0),IFERROR(VLOOKUP($C1216,COTAÇÕES!$B:$I,3,0),(VLOOKUP($C1216,'INSUMO SINAPI - SP'!$C:$F,3,0)))))</f>
        <v>M</v>
      </c>
      <c r="G1216" s="511">
        <v>0.74070000000000003</v>
      </c>
      <c r="H1216" s="512">
        <f>IF($C1216="",IFERROR(VLOOKUP($B1216,SERVIÇOS!$B:$G,6,0),IFERROR(VLOOKUP($B1216,$D:$K,8,0),"")),IFERROR(VLOOKUP($C1216,INSUMOS!$A:$D,4,0),IFERROR(VLOOKUP($C1216,COTAÇÕES!$B:$I,7,0),(VLOOKUP($C1216,'INSUMO SINAPI - SP'!$C:$F,4,0)))))</f>
        <v>2.97</v>
      </c>
      <c r="I1216" s="513">
        <f>TRUNC(IF($C1216="",IFERROR(VLOOKUP($B1216,SERVIÇOS!$B:$G,4,0),IFERROR(VLOOKUP($B1216,$D:$K,6,0),)),IFERROR(VLOOKUP($C1216,INSUMOS!$A:$D,4,0),IFERROR(VLOOKUP($C1216,COTAÇÕES!$B:$I,7,0),(VLOOKUP($C1216,'INSUMO SINAPI - SP'!$C:$F,4,0)))))*$G1216,2)</f>
        <v>2.19</v>
      </c>
      <c r="J1216" s="513">
        <f>TRUNC(IF($C1216="",IFERROR(VLOOKUP($B1216,SERVIÇOS!$B:$G,5,0),IFERROR(VLOOKUP($B1216,$D:$K,7,0),)),0)*$G1216,2)</f>
        <v>0</v>
      </c>
      <c r="K1216" s="514">
        <f t="shared" si="41"/>
        <v>2.19</v>
      </c>
      <c r="L1216" s="517"/>
      <c r="M1216" s="471"/>
      <c r="N1216" s="516"/>
      <c r="Q1216" s="472"/>
      <c r="R1216" s="472"/>
      <c r="S1216" s="472"/>
      <c r="T1216" s="472"/>
      <c r="U1216" s="472"/>
      <c r="V1216" s="472"/>
      <c r="W1216" s="472"/>
      <c r="X1216" s="472"/>
      <c r="Y1216" s="472"/>
    </row>
    <row r="1217" spans="1:25" ht="24" x14ac:dyDescent="0.25">
      <c r="A1217" s="463"/>
      <c r="B1217" s="506"/>
      <c r="C1217" s="507">
        <v>39434</v>
      </c>
      <c r="D1217" s="508"/>
      <c r="E1217" s="509" t="str">
        <f>IF($C1217="",IFERROR(VLOOKUP($B1217,SERVIÇOS!$B:$G,2,0),IFERROR(VLOOKUP($B1217,$D:$K,2,0),"")),IFERROR(VLOOKUP($C1217,INSUMOS!$A:$D,2,0),IFERROR(VLOOKUP($C1217,COTAÇÕES!$B:$I,2,0),(VLOOKUP($C1217,'INSUMO SINAPI - SP'!$C:$F,2,0)))))</f>
        <v>MASSA DE REJUNTE EM PO PARA DRYWALL, A BASE DE GESSO, SECAGEM RAPIDA, PARA TRATAMENTO DE JUNTAS DE CHAPA DE GESSO (NECESSITA ADICAO DE AGUA)</v>
      </c>
      <c r="F1217" s="510" t="str">
        <f>IF($C1217="",IFERROR(VLOOKUP($B1217,SERVIÇOS!$B:$G,3,0),IFERROR(VLOOKUP($B1217,$D:$K,3,0),"")),IFERROR(VLOOKUP($C1217,INSUMOS!$A:$D,3,0),IFERROR(VLOOKUP($C1217,COTAÇÕES!$B:$I,3,0),(VLOOKUP($C1217,'INSUMO SINAPI - SP'!$C:$F,3,0)))))</f>
        <v>KG</v>
      </c>
      <c r="G1217" s="511">
        <v>0.51639999999999997</v>
      </c>
      <c r="H1217" s="512">
        <f>IF($C1217="",IFERROR(VLOOKUP($B1217,SERVIÇOS!$B:$G,6,0),IFERROR(VLOOKUP($B1217,$D:$K,8,0),"")),IFERROR(VLOOKUP($C1217,INSUMOS!$A:$D,4,0),IFERROR(VLOOKUP($C1217,COTAÇÕES!$B:$I,7,0),(VLOOKUP($C1217,'INSUMO SINAPI - SP'!$C:$F,4,0)))))</f>
        <v>3.72</v>
      </c>
      <c r="I1217" s="513">
        <f>TRUNC(IF($C1217="",IFERROR(VLOOKUP($B1217,SERVIÇOS!$B:$G,4,0),IFERROR(VLOOKUP($B1217,$D:$K,6,0),)),IFERROR(VLOOKUP($C1217,INSUMOS!$A:$D,4,0),IFERROR(VLOOKUP($C1217,COTAÇÕES!$B:$I,7,0),(VLOOKUP($C1217,'INSUMO SINAPI - SP'!$C:$F,4,0)))))*$G1217,2)</f>
        <v>1.92</v>
      </c>
      <c r="J1217" s="513">
        <f>TRUNC(IF($C1217="",IFERROR(VLOOKUP($B1217,SERVIÇOS!$B:$G,5,0),IFERROR(VLOOKUP($B1217,$D:$K,7,0),)),0)*$G1217,2)</f>
        <v>0</v>
      </c>
      <c r="K1217" s="514">
        <f t="shared" si="41"/>
        <v>1.92</v>
      </c>
      <c r="L1217" s="517"/>
      <c r="M1217" s="471"/>
      <c r="N1217" s="516"/>
      <c r="Q1217" s="472"/>
      <c r="R1217" s="472"/>
      <c r="S1217" s="472"/>
      <c r="T1217" s="472"/>
      <c r="U1217" s="472"/>
      <c r="V1217" s="472"/>
      <c r="W1217" s="472"/>
      <c r="X1217" s="472"/>
      <c r="Y1217" s="472"/>
    </row>
    <row r="1218" spans="1:25" ht="24" x14ac:dyDescent="0.25">
      <c r="A1218" s="463"/>
      <c r="B1218" s="506"/>
      <c r="C1218" s="507">
        <v>39443</v>
      </c>
      <c r="D1218" s="508"/>
      <c r="E1218" s="509" t="str">
        <f>IF($C1218="",IFERROR(VLOOKUP($B1218,SERVIÇOS!$B:$G,2,0),IFERROR(VLOOKUP($B1218,$D:$K,2,0),"")),IFERROR(VLOOKUP($C1218,INSUMOS!$A:$D,2,0),IFERROR(VLOOKUP($C1218,COTAÇÕES!$B:$I,2,0),(VLOOKUP($C1218,'INSUMO SINAPI - SP'!$C:$F,2,0)))))</f>
        <v>PARAFUSO DRY WALL, EM ACO ZINCADO, CABECA LENTILHA E PONTA BROCA (LB), LARGURA 4,2 MM, COMPRIMENTO 13 MM</v>
      </c>
      <c r="F1218" s="510" t="str">
        <f>IF($C1218="",IFERROR(VLOOKUP($B1218,SERVIÇOS!$B:$G,3,0),IFERROR(VLOOKUP($B1218,$D:$K,3,0),"")),IFERROR(VLOOKUP($C1218,INSUMOS!$A:$D,3,0),IFERROR(VLOOKUP($C1218,COTAÇÕES!$B:$I,3,0),(VLOOKUP($C1218,'INSUMO SINAPI - SP'!$C:$F,3,0)))))</f>
        <v>UN</v>
      </c>
      <c r="G1218" s="511">
        <v>0.80759999999999998</v>
      </c>
      <c r="H1218" s="512">
        <f>IF($C1218="",IFERROR(VLOOKUP($B1218,SERVIÇOS!$B:$G,6,0),IFERROR(VLOOKUP($B1218,$D:$K,8,0),"")),IFERROR(VLOOKUP($C1218,INSUMOS!$A:$D,4,0),IFERROR(VLOOKUP($C1218,COTAÇÕES!$B:$I,7,0),(VLOOKUP($C1218,'INSUMO SINAPI - SP'!$C:$F,4,0)))))</f>
        <v>0.21</v>
      </c>
      <c r="I1218" s="513">
        <f>TRUNC(IF($C1218="",IFERROR(VLOOKUP($B1218,SERVIÇOS!$B:$G,4,0),IFERROR(VLOOKUP($B1218,$D:$K,6,0),)),IFERROR(VLOOKUP($C1218,INSUMOS!$A:$D,4,0),IFERROR(VLOOKUP($C1218,COTAÇÕES!$B:$I,7,0),(VLOOKUP($C1218,'INSUMO SINAPI - SP'!$C:$F,4,0)))))*$G1218,2)</f>
        <v>0.16</v>
      </c>
      <c r="J1218" s="513">
        <f>TRUNC(IF($C1218="",IFERROR(VLOOKUP($B1218,SERVIÇOS!$B:$G,5,0),IFERROR(VLOOKUP($B1218,$D:$K,7,0),)),0)*$G1218,2)</f>
        <v>0</v>
      </c>
      <c r="K1218" s="514">
        <f t="shared" si="41"/>
        <v>0.16</v>
      </c>
      <c r="L1218" s="517"/>
      <c r="M1218" s="471"/>
      <c r="N1218" s="516"/>
      <c r="Q1218" s="472"/>
      <c r="R1218" s="472"/>
      <c r="S1218" s="472"/>
      <c r="T1218" s="472"/>
      <c r="U1218" s="472"/>
      <c r="V1218" s="472"/>
      <c r="W1218" s="472"/>
      <c r="X1218" s="472"/>
      <c r="Y1218" s="472"/>
    </row>
    <row r="1219" spans="1:25" ht="24" x14ac:dyDescent="0.25">
      <c r="A1219" s="463"/>
      <c r="B1219" s="506"/>
      <c r="C1219" s="507" t="s">
        <v>13203</v>
      </c>
      <c r="D1219" s="508"/>
      <c r="E1219" s="509" t="str">
        <f>IF($C1219="",IFERROR(VLOOKUP($B1219,SERVIÇOS!$B:$G,2,0),IFERROR(VLOOKUP($B1219,$D:$K,2,0),"")),IFERROR(VLOOKUP($C1219,INSUMOS!$A:$D,2,0),IFERROR(VLOOKUP($C1219,COTAÇÕES!$B:$I,2,0),(VLOOKUP($C1219,'INSUMO SINAPI - SP'!$C:$F,2,0)))))</f>
        <v>PINO DE ACO COM ARRUELA CONICA, DIAMETRO ARRUELA = *23* MM E COMP HASTE = *27* MM (ACAO INDIRETA)</v>
      </c>
      <c r="F1219" s="510" t="str">
        <f>IF($C1219="",IFERROR(VLOOKUP($B1219,SERVIÇOS!$B:$G,3,0),IFERROR(VLOOKUP($B1219,$D:$K,3,0),"")),IFERROR(VLOOKUP($C1219,INSUMOS!$A:$D,3,0),IFERROR(VLOOKUP($C1219,COTAÇÕES!$B:$I,3,0),(VLOOKUP($C1219,'INSUMO SINAPI - SP'!$C:$F,3,0)))))</f>
        <v>CENTO</v>
      </c>
      <c r="G1219" s="511">
        <v>2.4299999999999999E-2</v>
      </c>
      <c r="H1219" s="512">
        <f>IF($C1219="",IFERROR(VLOOKUP($B1219,SERVIÇOS!$B:$G,6,0),IFERROR(VLOOKUP($B1219,$D:$K,8,0),"")),IFERROR(VLOOKUP($C1219,INSUMOS!$A:$D,4,0),IFERROR(VLOOKUP($C1219,COTAÇÕES!$B:$I,7,0),(VLOOKUP($C1219,'INSUMO SINAPI - SP'!$C:$F,4,0)))))</f>
        <v>52.15</v>
      </c>
      <c r="I1219" s="513">
        <f>TRUNC(IF($C1219="",IFERROR(VLOOKUP($B1219,SERVIÇOS!$B:$G,4,0),IFERROR(VLOOKUP($B1219,$D:$K,6,0),)),IFERROR(VLOOKUP($C1219,INSUMOS!$A:$D,4,0),IFERROR(VLOOKUP($C1219,COTAÇÕES!$B:$I,7,0),(VLOOKUP($C1219,'INSUMO SINAPI - SP'!$C:$F,4,0)))))*$G1219,2)</f>
        <v>1.26</v>
      </c>
      <c r="J1219" s="513"/>
      <c r="K1219" s="514">
        <f t="shared" si="41"/>
        <v>1.26</v>
      </c>
      <c r="L1219" s="515" t="s">
        <v>12685</v>
      </c>
      <c r="M1219" s="471"/>
      <c r="N1219" s="516"/>
      <c r="Q1219" s="472"/>
      <c r="R1219" s="472"/>
      <c r="S1219" s="472"/>
      <c r="T1219" s="472"/>
      <c r="U1219" s="472"/>
      <c r="V1219" s="472"/>
      <c r="W1219" s="472"/>
      <c r="X1219" s="472"/>
      <c r="Y1219" s="472"/>
    </row>
    <row r="1220" spans="1:25" ht="24" x14ac:dyDescent="0.25">
      <c r="A1220" s="463"/>
      <c r="B1220" s="506"/>
      <c r="C1220" s="507">
        <v>39417</v>
      </c>
      <c r="D1220" s="508"/>
      <c r="E1220" s="509" t="str">
        <f>IF($C1220="",IFERROR(VLOOKUP($B1220,SERVIÇOS!$B:$G,2,0),IFERROR(VLOOKUP($B1220,$D:$K,2,0),"")),IFERROR(VLOOKUP($C1220,INSUMOS!$A:$D,2,0),IFERROR(VLOOKUP($C1220,COTAÇÕES!$B:$I,2,0),(VLOOKUP($C1220,'INSUMO SINAPI - SP'!$C:$F,2,0)))))</f>
        <v>PLACA / CHAPA DE GESSO ACARTONADO, RESISTENTE A UMIDADE (RU), COR VERDE, E = 12,5 MM, 1200 X 2400 MM (L X C)</v>
      </c>
      <c r="F1220" s="510" t="str">
        <f>IF($C1220="",IFERROR(VLOOKUP($B1220,SERVIÇOS!$B:$G,3,0),IFERROR(VLOOKUP($B1220,$D:$K,3,0),"")),IFERROR(VLOOKUP($C1220,INSUMOS!$A:$D,3,0),IFERROR(VLOOKUP($C1220,COTAÇÕES!$B:$I,3,0),(VLOOKUP($C1220,'INSUMO SINAPI - SP'!$C:$F,3,0)))))</f>
        <v>M2</v>
      </c>
      <c r="G1220" s="511">
        <v>1.0529999999999999</v>
      </c>
      <c r="H1220" s="512">
        <f>IF($C1220="",IFERROR(VLOOKUP($B1220,SERVIÇOS!$B:$G,6,0),IFERROR(VLOOKUP($B1220,$D:$K,8,0),"")),IFERROR(VLOOKUP($C1220,INSUMOS!$A:$D,4,0),IFERROR(VLOOKUP($C1220,COTAÇÕES!$B:$I,7,0),(VLOOKUP($C1220,'INSUMO SINAPI - SP'!$C:$F,4,0)))))</f>
        <v>28.33</v>
      </c>
      <c r="I1220" s="513">
        <f>TRUNC(IF($C1220="",IFERROR(VLOOKUP($B1220,SERVIÇOS!$B:$G,4,0),IFERROR(VLOOKUP($B1220,$D:$K,6,0),)),IFERROR(VLOOKUP($C1220,INSUMOS!$A:$D,4,0),IFERROR(VLOOKUP($C1220,COTAÇÕES!$B:$I,7,0),(VLOOKUP($C1220,'INSUMO SINAPI - SP'!$C:$F,4,0)))))*$G1220,2)</f>
        <v>29.83</v>
      </c>
      <c r="J1220" s="513">
        <f>TRUNC(IF($C1220="",IFERROR(VLOOKUP($B1220,SERVIÇOS!$B:$G,5,0),IFERROR(VLOOKUP($B1220,$D:$K,7,0),)),0)*$G1220,2)</f>
        <v>0</v>
      </c>
      <c r="K1220" s="514">
        <f t="shared" si="41"/>
        <v>29.83</v>
      </c>
      <c r="L1220" s="517"/>
      <c r="M1220" s="471"/>
      <c r="N1220" s="516"/>
      <c r="Q1220" s="472"/>
      <c r="R1220" s="472"/>
      <c r="S1220" s="472"/>
      <c r="T1220" s="472"/>
      <c r="U1220" s="472"/>
      <c r="V1220" s="472"/>
      <c r="W1220" s="472"/>
      <c r="X1220" s="472"/>
      <c r="Y1220" s="472"/>
    </row>
    <row r="1221" spans="1:25" ht="24" x14ac:dyDescent="0.25">
      <c r="A1221" s="463"/>
      <c r="B1221" s="506"/>
      <c r="C1221" s="507">
        <v>39435</v>
      </c>
      <c r="D1221" s="508"/>
      <c r="E1221" s="509" t="str">
        <f>IF($C1221="",IFERROR(VLOOKUP($B1221,SERVIÇOS!$B:$G,2,0),IFERROR(VLOOKUP($B1221,$D:$K,2,0),"")),IFERROR(VLOOKUP($C1221,INSUMOS!$A:$D,2,0),IFERROR(VLOOKUP($C1221,COTAÇÕES!$B:$I,2,0),(VLOOKUP($C1221,'INSUMO SINAPI - SP'!$C:$F,2,0)))))</f>
        <v>PARAFUSO DRY WALL, EM ACO FOSFATIZADO, CABECA TROMBETA E PONTA AGULHA (TA), COMPRIMENTO 25 MM</v>
      </c>
      <c r="F1221" s="510" t="str">
        <f>IF($C1221="",IFERROR(VLOOKUP($B1221,SERVIÇOS!$B:$G,3,0),IFERROR(VLOOKUP($B1221,$D:$K,3,0),"")),IFERROR(VLOOKUP($C1221,INSUMOS!$A:$D,3,0),IFERROR(VLOOKUP($C1221,COTAÇÕES!$B:$I,3,0),(VLOOKUP($C1221,'INSUMO SINAPI - SP'!$C:$F,3,0)))))</f>
        <v>UN</v>
      </c>
      <c r="G1221" s="511">
        <v>10.0039</v>
      </c>
      <c r="H1221" s="512">
        <f>IF($C1221="",IFERROR(VLOOKUP($B1221,SERVIÇOS!$B:$G,6,0),IFERROR(VLOOKUP($B1221,$D:$K,8,0),"")),IFERROR(VLOOKUP($C1221,INSUMOS!$A:$D,4,0),IFERROR(VLOOKUP($C1221,COTAÇÕES!$B:$I,7,0),(VLOOKUP($C1221,'INSUMO SINAPI - SP'!$C:$F,4,0)))))</f>
        <v>0.09</v>
      </c>
      <c r="I1221" s="513">
        <f>TRUNC(IF($C1221="",IFERROR(VLOOKUP($B1221,SERVIÇOS!$B:$G,4,0),IFERROR(VLOOKUP($B1221,$D:$K,6,0),)),IFERROR(VLOOKUP($C1221,INSUMOS!$A:$D,4,0),IFERROR(VLOOKUP($C1221,COTAÇÕES!$B:$I,7,0),(VLOOKUP($C1221,'INSUMO SINAPI - SP'!$C:$F,4,0)))))*$G1221,2)</f>
        <v>0.9</v>
      </c>
      <c r="J1221" s="513">
        <f>TRUNC(IF($C1221="",IFERROR(VLOOKUP($B1221,SERVIÇOS!$B:$G,5,0),IFERROR(VLOOKUP($B1221,$D:$K,7,0),)),0)*$G1221,2)</f>
        <v>0</v>
      </c>
      <c r="K1221" s="514">
        <f t="shared" si="41"/>
        <v>0.9</v>
      </c>
      <c r="L1221" s="517"/>
      <c r="M1221" s="471"/>
      <c r="N1221" s="516"/>
      <c r="Q1221" s="472"/>
      <c r="R1221" s="472"/>
      <c r="S1221" s="472"/>
      <c r="T1221" s="472"/>
      <c r="U1221" s="472"/>
      <c r="V1221" s="472"/>
      <c r="W1221" s="472"/>
      <c r="X1221" s="472"/>
      <c r="Y1221" s="472"/>
    </row>
    <row r="1222" spans="1:25" ht="36" x14ac:dyDescent="0.25">
      <c r="A1222" s="463"/>
      <c r="B1222" s="498"/>
      <c r="C1222" s="498"/>
      <c r="D1222" s="499" t="s">
        <v>11988</v>
      </c>
      <c r="E1222" s="529" t="s">
        <v>13229</v>
      </c>
      <c r="F1222" s="501" t="s">
        <v>578</v>
      </c>
      <c r="G1222" s="502"/>
      <c r="H1222" s="503"/>
      <c r="I1222" s="504">
        <f>ROUND(SUM(I1223:I1225),2)</f>
        <v>27.57</v>
      </c>
      <c r="J1222" s="504">
        <f>ROUND(SUM(J1223:J1225),2)</f>
        <v>30.72</v>
      </c>
      <c r="K1222" s="504">
        <f>+J1222+I1222</f>
        <v>58.29</v>
      </c>
      <c r="L1222" s="523" t="s">
        <v>13230</v>
      </c>
      <c r="M1222" s="471"/>
      <c r="N1222" s="505"/>
      <c r="Q1222" s="472"/>
      <c r="R1222" s="472"/>
      <c r="S1222" s="472"/>
      <c r="T1222" s="472"/>
      <c r="U1222" s="472"/>
      <c r="V1222" s="472"/>
      <c r="W1222" s="472"/>
      <c r="X1222" s="472"/>
      <c r="Y1222" s="472"/>
    </row>
    <row r="1223" spans="1:25" ht="24" x14ac:dyDescent="0.25">
      <c r="A1223" s="463"/>
      <c r="B1223" s="506">
        <v>100475</v>
      </c>
      <c r="C1223" s="507"/>
      <c r="D1223" s="508"/>
      <c r="E1223" s="509" t="str">
        <f>IF($C1223="",IFERROR(VLOOKUP($B1223,SERVIÇOS!$B:$G,2,0),IFERROR(VLOOKUP($B1223,$D:$K,2,0),"")),IFERROR(VLOOKUP($C1223,INSUMOS!$A:$D,2,0),IFERROR(VLOOKUP($C1223,COTAÇÕES!$B:$I,2,0),(VLOOKUP($C1223,'INSUMO SINAPI - SP'!$C:$F,2,0)))))</f>
        <v>ARGAMASSA TRAÇO 1:3 (EM VOLUME DE CIMENTO E AREIA MÉDIA ÚMIDA) COM ADIÇÃO DE IMPERMEABILIZANTE, PREPARO MECÂNICO COM BETONEIRA 400 L. AF_08/2019</v>
      </c>
      <c r="F1223" s="510" t="str">
        <f>IF($C1223="",IFERROR(VLOOKUP($B1223,SERVIÇOS!$B:$G,3,0),IFERROR(VLOOKUP($B1223,$D:$K,3,0),"")),IFERROR(VLOOKUP($C1223,INSUMOS!$A:$D,3,0),IFERROR(VLOOKUP($C1223,COTAÇÕES!$B:$I,3,0),(VLOOKUP($C1223,'INSUMO SINAPI - SP'!$C:$F,3,0)))))</f>
        <v>M3</v>
      </c>
      <c r="G1223" s="511">
        <v>2.6249999999999999E-2</v>
      </c>
      <c r="H1223" s="512">
        <f>IF($C1223="",IFERROR(VLOOKUP($B1223,SERVIÇOS!$B:$G,6,0),IFERROR(VLOOKUP($B1223,$D:$K,8,0),"")),IFERROR(VLOOKUP($C1223,INSUMOS!$A:$D,4,0),IFERROR(VLOOKUP($C1223,COTAÇÕES!$B:$I,7,0),(VLOOKUP($C1223,'INSUMO SINAPI - SP'!$C:$F,4,0)))))</f>
        <v>721.94</v>
      </c>
      <c r="I1223" s="513">
        <f>TRUNC(IF($C1223="",IFERROR(VLOOKUP($B1223,SERVIÇOS!$B:$G,4,0),IFERROR(VLOOKUP($B1223,$D:$K,6,0),)),IFERROR(VLOOKUP($C1223,INSUMOS!$A:$D,4,0),IFERROR(VLOOKUP($C1223,COTAÇÕES!$B:$I,7,0),(VLOOKUP($C1223,'INSUMO SINAPI - SP'!$C:$F,4,0)))))*$G1223,2)</f>
        <v>16.489999999999998</v>
      </c>
      <c r="J1223" s="513">
        <f>TRUNC(IF($C1223="",IFERROR(VLOOKUP($B1223,SERVIÇOS!$B:$G,5,0),IFERROR(VLOOKUP($B1223,$D:$K,7,0),)),0)*$G1223,2)</f>
        <v>2.4500000000000002</v>
      </c>
      <c r="K1223" s="514">
        <f>I1223+J1223</f>
        <v>18.939999999999998</v>
      </c>
      <c r="L1223" s="515"/>
      <c r="M1223" s="471"/>
      <c r="N1223" s="516"/>
      <c r="Q1223" s="472"/>
      <c r="R1223" s="472"/>
      <c r="S1223" s="472"/>
      <c r="T1223" s="472"/>
      <c r="U1223" s="472"/>
      <c r="V1223" s="472"/>
      <c r="W1223" s="472"/>
      <c r="X1223" s="472"/>
      <c r="Y1223" s="472"/>
    </row>
    <row r="1224" spans="1:25" x14ac:dyDescent="0.25">
      <c r="A1224" s="463"/>
      <c r="B1224" s="506">
        <v>88309</v>
      </c>
      <c r="C1224" s="507"/>
      <c r="D1224" s="508"/>
      <c r="E1224" s="509" t="str">
        <f>IF($C1224="",IFERROR(VLOOKUP($B1224,SERVIÇOS!$B:$G,2,0),IFERROR(VLOOKUP($B1224,$D:$K,2,0),"")),IFERROR(VLOOKUP($C1224,INSUMOS!$A:$D,2,0),IFERROR(VLOOKUP($C1224,COTAÇÕES!$B:$I,2,0),(VLOOKUP($C1224,'INSUMO SINAPI - SP'!$C:$F,2,0)))))</f>
        <v>PEDREIRO COM ENCARGOS COMPLEMENTARES</v>
      </c>
      <c r="F1224" s="510" t="str">
        <f>IF($C1224="",IFERROR(VLOOKUP($B1224,SERVIÇOS!$B:$G,3,0),IFERROR(VLOOKUP($B1224,$D:$K,3,0),"")),IFERROR(VLOOKUP($C1224,INSUMOS!$A:$D,3,0),IFERROR(VLOOKUP($C1224,COTAÇÕES!$B:$I,3,0),(VLOOKUP($C1224,'INSUMO SINAPI - SP'!$C:$F,3,0)))))</f>
        <v>H</v>
      </c>
      <c r="G1224" s="511">
        <v>0.6</v>
      </c>
      <c r="H1224" s="512">
        <f>IF($C1224="",IFERROR(VLOOKUP($B1224,SERVIÇOS!$B:$G,6,0),IFERROR(VLOOKUP($B1224,$D:$K,8,0),"")),IFERROR(VLOOKUP($C1224,INSUMOS!$A:$D,4,0),IFERROR(VLOOKUP($C1224,COTAÇÕES!$B:$I,7,0),(VLOOKUP($C1224,'INSUMO SINAPI - SP'!$C:$F,4,0)))))</f>
        <v>36.909999999999997</v>
      </c>
      <c r="I1224" s="513">
        <f>TRUNC(IF($C1224="",IFERROR(VLOOKUP($B1224,SERVIÇOS!$B:$G,4,0),IFERROR(VLOOKUP($B1224,$D:$K,6,0),)),IFERROR(VLOOKUP($C1224,INSUMOS!$A:$D,4,0),IFERROR(VLOOKUP($C1224,COTAÇÕES!$B:$I,7,0),(VLOOKUP($C1224,'INSUMO SINAPI - SP'!$C:$F,4,0)))))*$G1224,2)</f>
        <v>5.56</v>
      </c>
      <c r="J1224" s="513">
        <f>TRUNC(IF($C1224="",IFERROR(VLOOKUP($B1224,SERVIÇOS!$B:$G,5,0),IFERROR(VLOOKUP($B1224,$D:$K,7,0),)),0)*$G1224,2)</f>
        <v>16.57</v>
      </c>
      <c r="K1224" s="514">
        <f>I1224+J1224</f>
        <v>22.13</v>
      </c>
      <c r="L1224" s="515"/>
      <c r="M1224" s="471"/>
      <c r="N1224" s="516"/>
      <c r="Q1224" s="472"/>
      <c r="R1224" s="472"/>
      <c r="S1224" s="472"/>
      <c r="T1224" s="472"/>
      <c r="U1224" s="472"/>
      <c r="V1224" s="472"/>
      <c r="W1224" s="472"/>
      <c r="X1224" s="472"/>
      <c r="Y1224" s="472"/>
    </row>
    <row r="1225" spans="1:25" x14ac:dyDescent="0.25">
      <c r="A1225" s="463"/>
      <c r="B1225" s="506">
        <v>88316</v>
      </c>
      <c r="C1225" s="507"/>
      <c r="D1225" s="508"/>
      <c r="E1225" s="509" t="str">
        <f>IF($C1225="",IFERROR(VLOOKUP($B1225,SERVIÇOS!$B:$G,2,0),IFERROR(VLOOKUP($B1225,$D:$K,2,0),"")),IFERROR(VLOOKUP($C1225,INSUMOS!$A:$D,2,0),IFERROR(VLOOKUP($C1225,COTAÇÕES!$B:$I,2,0),(VLOOKUP($C1225,'INSUMO SINAPI - SP'!$C:$F,2,0)))))</f>
        <v>SERVENTE COM ENCARGOS COMPLEMENTARES</v>
      </c>
      <c r="F1225" s="510" t="str">
        <f>IF($C1225="",IFERROR(VLOOKUP($B1225,SERVIÇOS!$B:$G,3,0),IFERROR(VLOOKUP($B1225,$D:$K,3,0),"")),IFERROR(VLOOKUP($C1225,INSUMOS!$A:$D,3,0),IFERROR(VLOOKUP($C1225,COTAÇÕES!$B:$I,3,0),(VLOOKUP($C1225,'INSUMO SINAPI - SP'!$C:$F,3,0)))))</f>
        <v>H</v>
      </c>
      <c r="G1225" s="511">
        <v>0.6</v>
      </c>
      <c r="H1225" s="512">
        <f>IF($C1225="",IFERROR(VLOOKUP($B1225,SERVIÇOS!$B:$G,6,0),IFERROR(VLOOKUP($B1225,$D:$K,8,0),"")),IFERROR(VLOOKUP($C1225,INSUMOS!$A:$D,4,0),IFERROR(VLOOKUP($C1225,COTAÇÕES!$B:$I,7,0),(VLOOKUP($C1225,'INSUMO SINAPI - SP'!$C:$F,4,0)))))</f>
        <v>28.71</v>
      </c>
      <c r="I1225" s="513">
        <f>TRUNC(IF($C1225="",IFERROR(VLOOKUP($B1225,SERVIÇOS!$B:$G,4,0),IFERROR(VLOOKUP($B1225,$D:$K,6,0),)),IFERROR(VLOOKUP($C1225,INSUMOS!$A:$D,4,0),IFERROR(VLOOKUP($C1225,COTAÇÕES!$B:$I,7,0),(VLOOKUP($C1225,'INSUMO SINAPI - SP'!$C:$F,4,0)))))*$G1225,2)</f>
        <v>5.52</v>
      </c>
      <c r="J1225" s="513">
        <f>TRUNC(IF($C1225="",IFERROR(VLOOKUP($B1225,SERVIÇOS!$B:$G,5,0),IFERROR(VLOOKUP($B1225,$D:$K,7,0),)),0)*$G1225,2)</f>
        <v>11.7</v>
      </c>
      <c r="K1225" s="514">
        <f>I1225+J1225</f>
        <v>17.22</v>
      </c>
      <c r="L1225" s="515"/>
      <c r="M1225" s="471"/>
      <c r="N1225" s="516"/>
      <c r="Q1225" s="472"/>
      <c r="R1225" s="472"/>
      <c r="S1225" s="472"/>
      <c r="T1225" s="472"/>
      <c r="U1225" s="472"/>
      <c r="V1225" s="472"/>
      <c r="W1225" s="472"/>
      <c r="X1225" s="472"/>
      <c r="Y1225" s="472"/>
    </row>
    <row r="1226" spans="1:25" x14ac:dyDescent="0.25">
      <c r="A1226" s="463"/>
      <c r="B1226" s="498"/>
      <c r="C1226" s="498"/>
      <c r="D1226" s="499" t="s">
        <v>12512</v>
      </c>
      <c r="E1226" s="555" t="s">
        <v>13231</v>
      </c>
      <c r="F1226" s="501" t="s">
        <v>578</v>
      </c>
      <c r="G1226" s="502"/>
      <c r="H1226" s="503"/>
      <c r="I1226" s="504">
        <f>ROUND(SUM(I1227:I1228),2)</f>
        <v>8.09</v>
      </c>
      <c r="J1226" s="504">
        <f>ROUND(SUM(J1227:J1228),2)</f>
        <v>7.8</v>
      </c>
      <c r="K1226" s="504">
        <f>+J1226+I1226</f>
        <v>15.89</v>
      </c>
      <c r="L1226" s="523" t="s">
        <v>13232</v>
      </c>
      <c r="M1226" s="471"/>
      <c r="N1226" s="505"/>
      <c r="Q1226" s="472"/>
      <c r="R1226" s="472"/>
      <c r="S1226" s="472"/>
      <c r="T1226" s="472"/>
      <c r="U1226" s="472"/>
      <c r="V1226" s="472"/>
      <c r="W1226" s="472"/>
      <c r="X1226" s="472"/>
      <c r="Y1226" s="472"/>
    </row>
    <row r="1227" spans="1:25" x14ac:dyDescent="0.25">
      <c r="A1227" s="463"/>
      <c r="B1227" s="506">
        <v>88316</v>
      </c>
      <c r="C1227" s="507"/>
      <c r="D1227" s="508"/>
      <c r="E1227" s="509" t="str">
        <f>IF($C1227="",IFERROR(VLOOKUP($B1227,SERVIÇOS!$B:$G,2,0),IFERROR(VLOOKUP($B1227,$D:$K,2,0),"")),IFERROR(VLOOKUP($C1227,INSUMOS!$A:$D,2,0),IFERROR(VLOOKUP($C1227,COTAÇÕES!$B:$I,2,0),(VLOOKUP($C1227,'INSUMO SINAPI - SP'!$C:$F,2,0)))))</f>
        <v>SERVENTE COM ENCARGOS COMPLEMENTARES</v>
      </c>
      <c r="F1227" s="510" t="str">
        <f>IF($C1227="",IFERROR(VLOOKUP($B1227,SERVIÇOS!$B:$G,3,0),IFERROR(VLOOKUP($B1227,$D:$K,3,0),"")),IFERROR(VLOOKUP($C1227,INSUMOS!$A:$D,3,0),IFERROR(VLOOKUP($C1227,COTAÇÕES!$B:$I,3,0),(VLOOKUP($C1227,'INSUMO SINAPI - SP'!$C:$F,3,0)))))</f>
        <v>H</v>
      </c>
      <c r="G1227" s="511">
        <v>0.4</v>
      </c>
      <c r="H1227" s="512">
        <f>IF($C1227="",IFERROR(VLOOKUP($B1227,SERVIÇOS!$B:$G,6,0),IFERROR(VLOOKUP($B1227,$D:$K,8,0),"")),IFERROR(VLOOKUP($C1227,INSUMOS!$A:$D,4,0),IFERROR(VLOOKUP($C1227,COTAÇÕES!$B:$I,7,0),(VLOOKUP($C1227,'INSUMO SINAPI - SP'!$C:$F,4,0)))))</f>
        <v>28.71</v>
      </c>
      <c r="I1227" s="513">
        <f>TRUNC(IF($C1227="",IFERROR(VLOOKUP($B1227,SERVIÇOS!$B:$G,4,0),IFERROR(VLOOKUP($B1227,$D:$K,6,0),)),IFERROR(VLOOKUP($C1227,INSUMOS!$A:$D,4,0),IFERROR(VLOOKUP($C1227,COTAÇÕES!$B:$I,7,0),(VLOOKUP($C1227,'INSUMO SINAPI - SP'!$C:$F,4,0)))))*$G1227,2)</f>
        <v>3.68</v>
      </c>
      <c r="J1227" s="513">
        <f>TRUNC(IF($C1227="",IFERROR(VLOOKUP($B1227,SERVIÇOS!$B:$G,5,0),IFERROR(VLOOKUP($B1227,$D:$K,7,0),)),0)*$G1227,2)</f>
        <v>7.8</v>
      </c>
      <c r="K1227" s="514">
        <f>I1227+J1227</f>
        <v>11.48</v>
      </c>
      <c r="L1227" s="515"/>
      <c r="M1227" s="471"/>
      <c r="N1227" s="516"/>
      <c r="Q1227" s="472"/>
      <c r="R1227" s="472"/>
      <c r="S1227" s="472"/>
      <c r="T1227" s="472"/>
      <c r="U1227" s="472"/>
      <c r="V1227" s="472"/>
      <c r="W1227" s="472"/>
      <c r="X1227" s="472"/>
      <c r="Y1227" s="472"/>
    </row>
    <row r="1228" spans="1:25" x14ac:dyDescent="0.25">
      <c r="A1228" s="463"/>
      <c r="B1228" s="506"/>
      <c r="C1228" s="507">
        <v>4720</v>
      </c>
      <c r="D1228" s="508"/>
      <c r="E1228" s="509" t="str">
        <f>IF($C1228="",IFERROR(VLOOKUP($B1228,SERVIÇOS!$B:$G,2,0),IFERROR(VLOOKUP($B1228,$D:$K,2,0),"")),IFERROR(VLOOKUP($C1228,INSUMOS!$A:$D,2,0),IFERROR(VLOOKUP($C1228,COTAÇÕES!$B:$I,2,0),(VLOOKUP($C1228,'INSUMO SINAPI - SP'!$C:$F,2,0)))))</f>
        <v>PEDRA BRITADA N. 0, OU PEDRISCO (4,8 A 9,5 MM) POSTO PEDREIRA/FORNECEDOR, SEM FRETE</v>
      </c>
      <c r="F1228" s="510" t="str">
        <f>IF($C1228="",IFERROR(VLOOKUP($B1228,SERVIÇOS!$B:$G,3,0),IFERROR(VLOOKUP($B1228,$D:$K,3,0),"")),IFERROR(VLOOKUP($C1228,INSUMOS!$A:$D,3,0),IFERROR(VLOOKUP($C1228,COTAÇÕES!$B:$I,3,0),(VLOOKUP($C1228,'INSUMO SINAPI - SP'!$C:$F,3,0)))))</f>
        <v>M3</v>
      </c>
      <c r="G1228" s="511">
        <v>0.06</v>
      </c>
      <c r="H1228" s="512">
        <f>IF($C1228="",IFERROR(VLOOKUP($B1228,SERVIÇOS!$B:$G,6,0),IFERROR(VLOOKUP($B1228,$D:$K,8,0),"")),IFERROR(VLOOKUP($C1228,INSUMOS!$A:$D,4,0),IFERROR(VLOOKUP($C1228,COTAÇÕES!$B:$I,7,0),(VLOOKUP($C1228,'INSUMO SINAPI - SP'!$C:$F,4,0)))))</f>
        <v>73.56</v>
      </c>
      <c r="I1228" s="513">
        <f>TRUNC(IF($C1228="",IFERROR(VLOOKUP($B1228,SERVIÇOS!$B:$G,4,0),IFERROR(VLOOKUP($B1228,$D:$K,6,0),)),IFERROR(VLOOKUP($C1228,INSUMOS!$A:$D,4,0),IFERROR(VLOOKUP($C1228,COTAÇÕES!$B:$I,7,0),(VLOOKUP($C1228,'INSUMO SINAPI - SP'!$C:$F,4,0)))))*$G1228,2)</f>
        <v>4.41</v>
      </c>
      <c r="J1228" s="513">
        <f>TRUNC(IF($C1228="",IFERROR(VLOOKUP($B1228,SERVIÇOS!$B:$G,5,0),IFERROR(VLOOKUP($B1228,$D:$K,7,0),)),0)*$G1228,2)</f>
        <v>0</v>
      </c>
      <c r="K1228" s="514">
        <f>I1228+J1228</f>
        <v>4.41</v>
      </c>
      <c r="L1228" s="517"/>
      <c r="M1228" s="471"/>
      <c r="N1228" s="516"/>
      <c r="Q1228" s="472"/>
      <c r="R1228" s="472"/>
      <c r="S1228" s="472"/>
      <c r="T1228" s="472"/>
      <c r="U1228" s="472"/>
      <c r="V1228" s="472"/>
      <c r="W1228" s="472"/>
      <c r="X1228" s="472"/>
      <c r="Y1228" s="472"/>
    </row>
    <row r="1229" spans="1:25" x14ac:dyDescent="0.25">
      <c r="A1229" s="463"/>
      <c r="B1229" s="498"/>
      <c r="C1229" s="498"/>
      <c r="D1229" s="499" t="s">
        <v>12553</v>
      </c>
      <c r="E1229" s="500" t="s">
        <v>13233</v>
      </c>
      <c r="F1229" s="501" t="s">
        <v>585</v>
      </c>
      <c r="G1229" s="524"/>
      <c r="H1229" s="503"/>
      <c r="I1229" s="504">
        <f>ROUND(SUM(I1230),2)</f>
        <v>166.04</v>
      </c>
      <c r="J1229" s="504">
        <f>ROUND(SUM(J1230),2)</f>
        <v>48.2</v>
      </c>
      <c r="K1229" s="504">
        <f>+J1229+I1229</f>
        <v>214.24</v>
      </c>
      <c r="L1229" s="499" t="s">
        <v>13234</v>
      </c>
      <c r="M1229" s="471"/>
      <c r="N1229" s="505"/>
      <c r="Q1229" s="472"/>
      <c r="R1229" s="472"/>
      <c r="S1229" s="472"/>
      <c r="T1229" s="472"/>
      <c r="U1229" s="472"/>
      <c r="V1229" s="472"/>
      <c r="W1229" s="472"/>
      <c r="X1229" s="472"/>
      <c r="Y1229" s="472"/>
    </row>
    <row r="1230" spans="1:25" ht="24" x14ac:dyDescent="0.25">
      <c r="A1230" s="463"/>
      <c r="B1230" s="506" t="s">
        <v>13235</v>
      </c>
      <c r="C1230" s="507"/>
      <c r="D1230" s="508"/>
      <c r="E1230" s="509" t="str">
        <f>IF($C1230="",IFERROR(VLOOKUP($B1230,SERVIÇOS!$B:$G,2,0),IFERROR(VLOOKUP($B1230,$D:$K,2,0),"")),IFERROR(VLOOKUP($C1230,INSUMOS!$A:$D,2,0),IFERROR(VLOOKUP($C1230,COTAÇÕES!$B:$I,2,0),(VLOOKUP($C1230,'INSUMO SINAPI - SP'!$C:$F,2,0)))))</f>
        <v>COMPOSIÇÃO PARAMÉTRICA PARA EXECUÇÃO DE ESTRUTURAS DE CONCRETO ARMADO, PARA EDIFICAÇÃO INSTITUCIONAL TÉRREA, FCK = 25 MPA. AF_11/2022</v>
      </c>
      <c r="F1230" s="510" t="str">
        <f>IF($C1230="",IFERROR(VLOOKUP($B1230,SERVIÇOS!$B:$G,3,0),IFERROR(VLOOKUP($B1230,$D:$K,3,0),"")),IFERROR(VLOOKUP($C1230,INSUMOS!$A:$D,3,0),IFERROR(VLOOKUP($C1230,COTAÇÕES!$B:$I,3,0),(VLOOKUP($C1230,'INSUMO SINAPI - SP'!$C:$F,3,0)))))</f>
        <v>M3</v>
      </c>
      <c r="G1230" s="511">
        <v>8.4000000000000005E-2</v>
      </c>
      <c r="H1230" s="512">
        <f>IF($C1230="",IFERROR(VLOOKUP($B1230,SERVIÇOS!$B:$G,6,0),IFERROR(VLOOKUP($B1230,$D:$K,8,0),"")),IFERROR(VLOOKUP($C1230,INSUMOS!$A:$D,4,0),IFERROR(VLOOKUP($C1230,COTAÇÕES!$B:$I,7,0),(VLOOKUP($C1230,'INSUMO SINAPI - SP'!$C:$F,4,0)))))</f>
        <v>2550.5500000000006</v>
      </c>
      <c r="I1230" s="513">
        <f>TRUNC(IF($C1230="",IFERROR(VLOOKUP($B1230,SERVIÇOS!$B:$G,4,0),IFERROR(VLOOKUP($B1230,$D:$K,6,0),)),IFERROR(VLOOKUP($C1230,INSUMOS!$A:$D,4,0),IFERROR(VLOOKUP($C1230,COTAÇÕES!$B:$I,7,0),(VLOOKUP($C1230,'INSUMO SINAPI - SP'!$C:$F,4,0)))))*$G1230,2)</f>
        <v>166.04</v>
      </c>
      <c r="J1230" s="513">
        <f>TRUNC(IF($C1230="",IFERROR(VLOOKUP($B1230,SERVIÇOS!$B:$G,5,0),IFERROR(VLOOKUP($B1230,$D:$K,7,0),)),0)*$G1230,2)</f>
        <v>48.2</v>
      </c>
      <c r="K1230" s="514">
        <f>I1230+J1230</f>
        <v>214.24</v>
      </c>
      <c r="L1230" s="515"/>
      <c r="M1230" s="471"/>
      <c r="N1230" s="516"/>
      <c r="Q1230" s="472"/>
      <c r="R1230" s="472"/>
      <c r="S1230" s="472"/>
      <c r="T1230" s="472"/>
      <c r="U1230" s="472"/>
      <c r="V1230" s="472"/>
      <c r="W1230" s="472"/>
      <c r="X1230" s="472"/>
      <c r="Y1230" s="472"/>
    </row>
    <row r="1231" spans="1:25" x14ac:dyDescent="0.25">
      <c r="A1231" s="463"/>
      <c r="B1231" s="498"/>
      <c r="C1231" s="498"/>
      <c r="D1231" s="499" t="s">
        <v>12180</v>
      </c>
      <c r="E1231" s="555" t="s">
        <v>13236</v>
      </c>
      <c r="F1231" s="501" t="s">
        <v>580</v>
      </c>
      <c r="G1231" s="502"/>
      <c r="H1231" s="503"/>
      <c r="I1231" s="504">
        <f>ROUND(SUM(I1232:I1234),2)</f>
        <v>1030.56</v>
      </c>
      <c r="J1231" s="504">
        <f>ROUND(SUM(J1232:J1234),2)</f>
        <v>19.809999999999999</v>
      </c>
      <c r="K1231" s="504">
        <f>+J1231+I1231</f>
        <v>1050.3699999999999</v>
      </c>
      <c r="L1231" s="523" t="s">
        <v>13237</v>
      </c>
      <c r="M1231" s="471"/>
      <c r="N1231" s="505"/>
      <c r="Q1231" s="472"/>
      <c r="R1231" s="472"/>
      <c r="S1231" s="472"/>
      <c r="T1231" s="472"/>
      <c r="U1231" s="472"/>
      <c r="V1231" s="472"/>
      <c r="W1231" s="472"/>
      <c r="X1231" s="472"/>
      <c r="Y1231" s="472"/>
    </row>
    <row r="1232" spans="1:25" x14ac:dyDescent="0.25">
      <c r="A1232" s="463"/>
      <c r="B1232" s="506">
        <v>88264</v>
      </c>
      <c r="C1232" s="507"/>
      <c r="D1232" s="508"/>
      <c r="E1232" s="509" t="str">
        <f>IF($C1232="",IFERROR(VLOOKUP($B1232,SERVIÇOS!$B:$G,2,0),IFERROR(VLOOKUP($B1232,$D:$K,2,0),"")),IFERROR(VLOOKUP($C1232,INSUMOS!$A:$D,2,0),IFERROR(VLOOKUP($C1232,COTAÇÕES!$B:$I,2,0),(VLOOKUP($C1232,'INSUMO SINAPI - SP'!$C:$F,2,0)))))</f>
        <v>ELETRICISTA COM ENCARGOS COMPLEMENTARES</v>
      </c>
      <c r="F1232" s="510" t="str">
        <f>IF($C1232="",IFERROR(VLOOKUP($B1232,SERVIÇOS!$B:$G,3,0),IFERROR(VLOOKUP($B1232,$D:$K,3,0),"")),IFERROR(VLOOKUP($C1232,INSUMOS!$A:$D,3,0),IFERROR(VLOOKUP($C1232,COTAÇÕES!$B:$I,3,0),(VLOOKUP($C1232,'INSUMO SINAPI - SP'!$C:$F,3,0)))))</f>
        <v>H</v>
      </c>
      <c r="G1232" s="511">
        <v>0.4</v>
      </c>
      <c r="H1232" s="512">
        <f>IF($C1232="",IFERROR(VLOOKUP($B1232,SERVIÇOS!$B:$G,6,0),IFERROR(VLOOKUP($B1232,$D:$K,8,0),"")),IFERROR(VLOOKUP($C1232,INSUMOS!$A:$D,4,0),IFERROR(VLOOKUP($C1232,COTAÇÕES!$B:$I,7,0),(VLOOKUP($C1232,'INSUMO SINAPI - SP'!$C:$F,4,0)))))</f>
        <v>37.369999999999997</v>
      </c>
      <c r="I1232" s="513">
        <f>TRUNC(IF($C1232="",IFERROR(VLOOKUP($B1232,SERVIÇOS!$B:$G,4,0),IFERROR(VLOOKUP($B1232,$D:$K,6,0),)),IFERROR(VLOOKUP($C1232,INSUMOS!$A:$D,4,0),IFERROR(VLOOKUP($C1232,COTAÇÕES!$B:$I,7,0),(VLOOKUP($C1232,'INSUMO SINAPI - SP'!$C:$F,4,0)))))*$G1232,2)</f>
        <v>3.72</v>
      </c>
      <c r="J1232" s="513">
        <f>TRUNC(IF($C1232="",IFERROR(VLOOKUP($B1232,SERVIÇOS!$B:$G,5,0),IFERROR(VLOOKUP($B1232,$D:$K,7,0),)),0)*$G1232,2)</f>
        <v>11.22</v>
      </c>
      <c r="K1232" s="514">
        <f>I1232+J1232</f>
        <v>14.940000000000001</v>
      </c>
      <c r="L1232" s="515"/>
      <c r="M1232" s="471"/>
      <c r="N1232" s="516"/>
      <c r="Q1232" s="472"/>
      <c r="R1232" s="472"/>
      <c r="S1232" s="472"/>
      <c r="T1232" s="472"/>
      <c r="U1232" s="472"/>
      <c r="V1232" s="472"/>
      <c r="W1232" s="472"/>
      <c r="X1232" s="472"/>
      <c r="Y1232" s="472"/>
    </row>
    <row r="1233" spans="1:25" x14ac:dyDescent="0.25">
      <c r="A1233" s="463"/>
      <c r="B1233" s="506">
        <v>88247</v>
      </c>
      <c r="C1233" s="507"/>
      <c r="D1233" s="508"/>
      <c r="E1233" s="509" t="str">
        <f>IF($C1233="",IFERROR(VLOOKUP($B1233,SERVIÇOS!$B:$G,2,0),IFERROR(VLOOKUP($B1233,$D:$K,2,0),"")),IFERROR(VLOOKUP($C1233,INSUMOS!$A:$D,2,0),IFERROR(VLOOKUP($C1233,COTAÇÕES!$B:$I,2,0),(VLOOKUP($C1233,'INSUMO SINAPI - SP'!$C:$F,2,0)))))</f>
        <v>AUXILIAR DE ELETRICISTA COM ENCARGOS COMPLEMENTARES</v>
      </c>
      <c r="F1233" s="510" t="str">
        <f>IF($C1233="",IFERROR(VLOOKUP($B1233,SERVIÇOS!$B:$G,3,0),IFERROR(VLOOKUP($B1233,$D:$K,3,0),"")),IFERROR(VLOOKUP($C1233,INSUMOS!$A:$D,3,0),IFERROR(VLOOKUP($C1233,COTAÇÕES!$B:$I,3,0),(VLOOKUP($C1233,'INSUMO SINAPI - SP'!$C:$F,3,0)))))</f>
        <v>H</v>
      </c>
      <c r="G1233" s="511">
        <v>0.4</v>
      </c>
      <c r="H1233" s="512">
        <f>IF($C1233="",IFERROR(VLOOKUP($B1233,SERVIÇOS!$B:$G,6,0),IFERROR(VLOOKUP($B1233,$D:$K,8,0),"")),IFERROR(VLOOKUP($C1233,INSUMOS!$A:$D,4,0),IFERROR(VLOOKUP($C1233,COTAÇÕES!$B:$I,7,0),(VLOOKUP($C1233,'INSUMO SINAPI - SP'!$C:$F,4,0)))))</f>
        <v>30.8</v>
      </c>
      <c r="I1233" s="513">
        <f>TRUNC(IF($C1233="",IFERROR(VLOOKUP($B1233,SERVIÇOS!$B:$G,4,0),IFERROR(VLOOKUP($B1233,$D:$K,6,0),)),IFERROR(VLOOKUP($C1233,INSUMOS!$A:$D,4,0),IFERROR(VLOOKUP($C1233,COTAÇÕES!$B:$I,7,0),(VLOOKUP($C1233,'INSUMO SINAPI - SP'!$C:$F,4,0)))))*$G1233,2)</f>
        <v>3.72</v>
      </c>
      <c r="J1233" s="513">
        <f>TRUNC(IF($C1233="",IFERROR(VLOOKUP($B1233,SERVIÇOS!$B:$G,5,0),IFERROR(VLOOKUP($B1233,$D:$K,7,0),)),0)*$G1233,2)</f>
        <v>8.59</v>
      </c>
      <c r="K1233" s="514">
        <f>I1233+J1233</f>
        <v>12.31</v>
      </c>
      <c r="L1233" s="515"/>
      <c r="M1233" s="471"/>
      <c r="N1233" s="516"/>
      <c r="Q1233" s="472"/>
      <c r="R1233" s="472"/>
      <c r="S1233" s="472"/>
      <c r="T1233" s="472"/>
      <c r="U1233" s="472"/>
      <c r="V1233" s="472"/>
      <c r="W1233" s="472"/>
      <c r="X1233" s="472"/>
      <c r="Y1233" s="472"/>
    </row>
    <row r="1234" spans="1:25" x14ac:dyDescent="0.25">
      <c r="A1234" s="463"/>
      <c r="B1234" s="506"/>
      <c r="C1234" s="507" t="s">
        <v>13238</v>
      </c>
      <c r="D1234" s="508"/>
      <c r="E1234" s="518" t="s">
        <v>13236</v>
      </c>
      <c r="F1234" s="519" t="s">
        <v>580</v>
      </c>
      <c r="G1234" s="511">
        <v>1</v>
      </c>
      <c r="H1234" s="520">
        <v>1023.12</v>
      </c>
      <c r="I1234" s="520">
        <f>TRUNC(H1234*G1234,2)</f>
        <v>1023.12</v>
      </c>
      <c r="J1234" s="521"/>
      <c r="K1234" s="522">
        <f>I1234+J1234</f>
        <v>1023.12</v>
      </c>
      <c r="L1234" s="517" t="s">
        <v>13239</v>
      </c>
      <c r="M1234" s="471"/>
      <c r="N1234" s="516"/>
      <c r="Q1234" s="472"/>
      <c r="R1234" s="472"/>
      <c r="S1234" s="472"/>
      <c r="T1234" s="472"/>
      <c r="U1234" s="472"/>
      <c r="V1234" s="472"/>
      <c r="W1234" s="472"/>
      <c r="X1234" s="472"/>
      <c r="Y1234" s="472"/>
    </row>
    <row r="1235" spans="1:25" ht="24" x14ac:dyDescent="0.25">
      <c r="A1235" s="463"/>
      <c r="B1235" s="498"/>
      <c r="C1235" s="498"/>
      <c r="D1235" s="499" t="s">
        <v>12285</v>
      </c>
      <c r="E1235" s="555" t="s">
        <v>13240</v>
      </c>
      <c r="F1235" s="501" t="s">
        <v>585</v>
      </c>
      <c r="G1235" s="502"/>
      <c r="H1235" s="503"/>
      <c r="I1235" s="504">
        <f>ROUND(SUM(I1236:I1238),2)</f>
        <v>171.96</v>
      </c>
      <c r="J1235" s="504">
        <f>ROUND(SUM(J1236:J1238),2)</f>
        <v>31.55</v>
      </c>
      <c r="K1235" s="504">
        <f>+J1235+I1235</f>
        <v>203.51000000000002</v>
      </c>
      <c r="L1235" s="523" t="s">
        <v>13241</v>
      </c>
      <c r="M1235" s="471"/>
      <c r="N1235" s="505"/>
      <c r="Q1235" s="472"/>
      <c r="R1235" s="472"/>
      <c r="S1235" s="472"/>
      <c r="T1235" s="472"/>
      <c r="U1235" s="472"/>
      <c r="V1235" s="472"/>
      <c r="W1235" s="472"/>
      <c r="X1235" s="472"/>
      <c r="Y1235" s="472"/>
    </row>
    <row r="1236" spans="1:25" x14ac:dyDescent="0.25">
      <c r="A1236" s="463"/>
      <c r="B1236" s="506">
        <v>88264</v>
      </c>
      <c r="C1236" s="507"/>
      <c r="D1236" s="508"/>
      <c r="E1236" s="509" t="str">
        <f>IF($C1236="",IFERROR(VLOOKUP($B1236,SERVIÇOS!$B:$G,2,0),IFERROR(VLOOKUP($B1236,$D:$K,2,0),"")),IFERROR(VLOOKUP($C1236,INSUMOS!$A:$D,2,0),IFERROR(VLOOKUP($C1236,COTAÇÕES!$B:$I,2,0),(VLOOKUP($C1236,'INSUMO SINAPI - SP'!$C:$F,2,0)))))</f>
        <v>ELETRICISTA COM ENCARGOS COMPLEMENTARES</v>
      </c>
      <c r="F1236" s="510" t="str">
        <f>IF($C1236="",IFERROR(VLOOKUP($B1236,SERVIÇOS!$B:$G,3,0),IFERROR(VLOOKUP($B1236,$D:$K,3,0),"")),IFERROR(VLOOKUP($C1236,INSUMOS!$A:$D,3,0),IFERROR(VLOOKUP($C1236,COTAÇÕES!$B:$I,3,0),(VLOOKUP($C1236,'INSUMO SINAPI - SP'!$C:$F,3,0)))))</f>
        <v>H</v>
      </c>
      <c r="G1236" s="511">
        <v>0.63700000000000001</v>
      </c>
      <c r="H1236" s="512">
        <f>IF($C1236="",IFERROR(VLOOKUP($B1236,SERVIÇOS!$B:$G,6,0),IFERROR(VLOOKUP($B1236,$D:$K,8,0),"")),IFERROR(VLOOKUP($C1236,INSUMOS!$A:$D,4,0),IFERROR(VLOOKUP($C1236,COTAÇÕES!$B:$I,7,0),(VLOOKUP($C1236,'INSUMO SINAPI - SP'!$C:$F,4,0)))))</f>
        <v>37.369999999999997</v>
      </c>
      <c r="I1236" s="513">
        <f>TRUNC(IF($C1236="",IFERROR(VLOOKUP($B1236,SERVIÇOS!$B:$G,4,0),IFERROR(VLOOKUP($B1236,$D:$K,6,0),)),IFERROR(VLOOKUP($C1236,INSUMOS!$A:$D,4,0),IFERROR(VLOOKUP($C1236,COTAÇÕES!$B:$I,7,0),(VLOOKUP($C1236,'INSUMO SINAPI - SP'!$C:$F,4,0)))))*$G1236,2)</f>
        <v>5.93</v>
      </c>
      <c r="J1236" s="513">
        <f>TRUNC(IF($C1236="",IFERROR(VLOOKUP($B1236,SERVIÇOS!$B:$G,5,0),IFERROR(VLOOKUP($B1236,$D:$K,7,0),)),0)*$G1236,2)</f>
        <v>17.87</v>
      </c>
      <c r="K1236" s="514">
        <f>I1236+J1236</f>
        <v>23.8</v>
      </c>
      <c r="L1236" s="515"/>
      <c r="M1236" s="471"/>
      <c r="N1236" s="516"/>
      <c r="Q1236" s="472"/>
      <c r="R1236" s="472"/>
      <c r="S1236" s="472"/>
      <c r="T1236" s="472"/>
      <c r="U1236" s="472"/>
      <c r="V1236" s="472"/>
      <c r="W1236" s="472"/>
      <c r="X1236" s="472"/>
      <c r="Y1236" s="472"/>
    </row>
    <row r="1237" spans="1:25" x14ac:dyDescent="0.25">
      <c r="A1237" s="463"/>
      <c r="B1237" s="506">
        <v>88247</v>
      </c>
      <c r="C1237" s="507"/>
      <c r="D1237" s="508"/>
      <c r="E1237" s="509" t="str">
        <f>IF($C1237="",IFERROR(VLOOKUP($B1237,SERVIÇOS!$B:$G,2,0),IFERROR(VLOOKUP($B1237,$D:$K,2,0),"")),IFERROR(VLOOKUP($C1237,INSUMOS!$A:$D,2,0),IFERROR(VLOOKUP($C1237,COTAÇÕES!$B:$I,2,0),(VLOOKUP($C1237,'INSUMO SINAPI - SP'!$C:$F,2,0)))))</f>
        <v>AUXILIAR DE ELETRICISTA COM ENCARGOS COMPLEMENTARES</v>
      </c>
      <c r="F1237" s="510" t="str">
        <f>IF($C1237="",IFERROR(VLOOKUP($B1237,SERVIÇOS!$B:$G,3,0),IFERROR(VLOOKUP($B1237,$D:$K,3,0),"")),IFERROR(VLOOKUP($C1237,INSUMOS!$A:$D,3,0),IFERROR(VLOOKUP($C1237,COTAÇÕES!$B:$I,3,0),(VLOOKUP($C1237,'INSUMO SINAPI - SP'!$C:$F,3,0)))))</f>
        <v>H</v>
      </c>
      <c r="G1237" s="511">
        <v>0.63700000000000001</v>
      </c>
      <c r="H1237" s="512">
        <f>IF($C1237="",IFERROR(VLOOKUP($B1237,SERVIÇOS!$B:$G,6,0),IFERROR(VLOOKUP($B1237,$D:$K,8,0),"")),IFERROR(VLOOKUP($C1237,INSUMOS!$A:$D,4,0),IFERROR(VLOOKUP($C1237,COTAÇÕES!$B:$I,7,0),(VLOOKUP($C1237,'INSUMO SINAPI - SP'!$C:$F,4,0)))))</f>
        <v>30.8</v>
      </c>
      <c r="I1237" s="513">
        <f>TRUNC(IF($C1237="",IFERROR(VLOOKUP($B1237,SERVIÇOS!$B:$G,4,0),IFERROR(VLOOKUP($B1237,$D:$K,6,0),)),IFERROR(VLOOKUP($C1237,INSUMOS!$A:$D,4,0),IFERROR(VLOOKUP($C1237,COTAÇÕES!$B:$I,7,0),(VLOOKUP($C1237,'INSUMO SINAPI - SP'!$C:$F,4,0)))))*$G1237,2)</f>
        <v>5.93</v>
      </c>
      <c r="J1237" s="513">
        <f>TRUNC(IF($C1237="",IFERROR(VLOOKUP($B1237,SERVIÇOS!$B:$G,5,0),IFERROR(VLOOKUP($B1237,$D:$K,7,0),)),0)*$G1237,2)</f>
        <v>13.68</v>
      </c>
      <c r="K1237" s="514">
        <f>I1237+J1237</f>
        <v>19.61</v>
      </c>
      <c r="L1237" s="515"/>
      <c r="M1237" s="471"/>
      <c r="N1237" s="516"/>
      <c r="Q1237" s="472"/>
      <c r="R1237" s="472"/>
      <c r="S1237" s="472"/>
      <c r="T1237" s="472"/>
      <c r="U1237" s="472"/>
      <c r="V1237" s="472"/>
      <c r="W1237" s="472"/>
      <c r="X1237" s="472"/>
      <c r="Y1237" s="472"/>
    </row>
    <row r="1238" spans="1:25" x14ac:dyDescent="0.25">
      <c r="A1238" s="463"/>
      <c r="B1238" s="506"/>
      <c r="C1238" s="507" t="s">
        <v>13242</v>
      </c>
      <c r="D1238" s="508"/>
      <c r="E1238" s="518" t="s">
        <v>13243</v>
      </c>
      <c r="F1238" s="519" t="s">
        <v>585</v>
      </c>
      <c r="G1238" s="511">
        <v>1.81439602868174</v>
      </c>
      <c r="H1238" s="520">
        <v>88.24</v>
      </c>
      <c r="I1238" s="520">
        <f>TRUNC(H1238*G1238,2)</f>
        <v>160.1</v>
      </c>
      <c r="J1238" s="521"/>
      <c r="K1238" s="522">
        <f>I1238+J1238</f>
        <v>160.1</v>
      </c>
      <c r="L1238" s="517" t="s">
        <v>12944</v>
      </c>
      <c r="M1238" s="471"/>
      <c r="N1238" s="516"/>
      <c r="Q1238" s="472"/>
      <c r="R1238" s="472"/>
      <c r="S1238" s="472"/>
      <c r="T1238" s="472"/>
      <c r="U1238" s="472"/>
      <c r="V1238" s="472"/>
      <c r="W1238" s="472"/>
      <c r="X1238" s="472"/>
      <c r="Y1238" s="472"/>
    </row>
    <row r="1239" spans="1:25" ht="36" x14ac:dyDescent="0.25">
      <c r="A1239" s="463"/>
      <c r="B1239" s="498"/>
      <c r="C1239" s="498"/>
      <c r="D1239" s="499" t="s">
        <v>12282</v>
      </c>
      <c r="E1239" s="555" t="s">
        <v>13244</v>
      </c>
      <c r="F1239" s="501" t="s">
        <v>585</v>
      </c>
      <c r="G1239" s="502"/>
      <c r="H1239" s="503"/>
      <c r="I1239" s="504">
        <f>ROUND(SUM(I1240:I1243),2)</f>
        <v>300.02</v>
      </c>
      <c r="J1239" s="504">
        <f>ROUND(SUM(J1240:J1243),2)</f>
        <v>14.85</v>
      </c>
      <c r="K1239" s="504">
        <f>+J1239+I1239</f>
        <v>314.87</v>
      </c>
      <c r="L1239" s="523" t="s">
        <v>13102</v>
      </c>
      <c r="M1239" s="471"/>
      <c r="N1239" s="505"/>
      <c r="Q1239" s="472"/>
      <c r="R1239" s="472"/>
      <c r="S1239" s="472"/>
      <c r="T1239" s="472"/>
      <c r="U1239" s="472"/>
      <c r="V1239" s="472"/>
      <c r="W1239" s="472"/>
      <c r="X1239" s="472"/>
      <c r="Y1239" s="472"/>
    </row>
    <row r="1240" spans="1:25" x14ac:dyDescent="0.25">
      <c r="A1240" s="463"/>
      <c r="B1240" s="506">
        <v>88247</v>
      </c>
      <c r="C1240" s="507"/>
      <c r="D1240" s="508"/>
      <c r="E1240" s="509" t="str">
        <f>IF($C1240="",IFERROR(VLOOKUP($B1240,SERVIÇOS!$B:$G,2,0),IFERROR(VLOOKUP($B1240,$D:$K,2,0),"")),IFERROR(VLOOKUP($C1240,INSUMOS!$A:$D,2,0),IFERROR(VLOOKUP($C1240,COTAÇÕES!$B:$I,2,0),(VLOOKUP($C1240,'INSUMO SINAPI - SP'!$C:$F,2,0)))))</f>
        <v>AUXILIAR DE ELETRICISTA COM ENCARGOS COMPLEMENTARES</v>
      </c>
      <c r="F1240" s="510" t="str">
        <f>IF($C1240="",IFERROR(VLOOKUP($B1240,SERVIÇOS!$B:$G,3,0),IFERROR(VLOOKUP($B1240,$D:$K,3,0),"")),IFERROR(VLOOKUP($C1240,INSUMOS!$A:$D,3,0),IFERROR(VLOOKUP($C1240,COTAÇÕES!$B:$I,3,0),(VLOOKUP($C1240,'INSUMO SINAPI - SP'!$C:$F,3,0)))))</f>
        <v>H</v>
      </c>
      <c r="G1240" s="511">
        <v>0.3</v>
      </c>
      <c r="H1240" s="512">
        <f>IF($C1240="",IFERROR(VLOOKUP($B1240,SERVIÇOS!$B:$G,6,0),IFERROR(VLOOKUP($B1240,$D:$K,8,0),"")),IFERROR(VLOOKUP($C1240,INSUMOS!$A:$D,4,0),IFERROR(VLOOKUP($C1240,COTAÇÕES!$B:$I,7,0),(VLOOKUP($C1240,'INSUMO SINAPI - SP'!$C:$F,4,0)))))</f>
        <v>30.8</v>
      </c>
      <c r="I1240" s="513">
        <f>TRUNC(IF($C1240="",IFERROR(VLOOKUP($B1240,SERVIÇOS!$B:$G,4,0),IFERROR(VLOOKUP($B1240,$D:$K,6,0),)),IFERROR(VLOOKUP($C1240,INSUMOS!$A:$D,4,0),IFERROR(VLOOKUP($C1240,COTAÇÕES!$B:$I,7,0),(VLOOKUP($C1240,'INSUMO SINAPI - SP'!$C:$F,4,0)))))*$G1240,2)</f>
        <v>2.79</v>
      </c>
      <c r="J1240" s="513">
        <f>TRUNC(IF($C1240="",IFERROR(VLOOKUP($B1240,SERVIÇOS!$B:$G,5,0),IFERROR(VLOOKUP($B1240,$D:$K,7,0),)),0)*$G1240,2)</f>
        <v>6.44</v>
      </c>
      <c r="K1240" s="514">
        <f>I1240+J1240</f>
        <v>9.23</v>
      </c>
      <c r="L1240" s="515"/>
      <c r="M1240" s="471"/>
      <c r="N1240" s="516"/>
      <c r="Q1240" s="472"/>
      <c r="R1240" s="472"/>
      <c r="S1240" s="472"/>
      <c r="T1240" s="472"/>
      <c r="U1240" s="472"/>
      <c r="V1240" s="472"/>
      <c r="W1240" s="472"/>
      <c r="X1240" s="472"/>
      <c r="Y1240" s="472"/>
    </row>
    <row r="1241" spans="1:25" x14ac:dyDescent="0.25">
      <c r="A1241" s="463"/>
      <c r="B1241" s="506">
        <v>88264</v>
      </c>
      <c r="C1241" s="507"/>
      <c r="D1241" s="508"/>
      <c r="E1241" s="509" t="str">
        <f>IF($C1241="",IFERROR(VLOOKUP($B1241,SERVIÇOS!$B:$G,2,0),IFERROR(VLOOKUP($B1241,$D:$K,2,0),"")),IFERROR(VLOOKUP($C1241,INSUMOS!$A:$D,2,0),IFERROR(VLOOKUP($C1241,COTAÇÕES!$B:$I,2,0),(VLOOKUP($C1241,'INSUMO SINAPI - SP'!$C:$F,2,0)))))</f>
        <v>ELETRICISTA COM ENCARGOS COMPLEMENTARES</v>
      </c>
      <c r="F1241" s="510" t="str">
        <f>IF($C1241="",IFERROR(VLOOKUP($B1241,SERVIÇOS!$B:$G,3,0),IFERROR(VLOOKUP($B1241,$D:$K,3,0),"")),IFERROR(VLOOKUP($C1241,INSUMOS!$A:$D,3,0),IFERROR(VLOOKUP($C1241,COTAÇÕES!$B:$I,3,0),(VLOOKUP($C1241,'INSUMO SINAPI - SP'!$C:$F,3,0)))))</f>
        <v>H</v>
      </c>
      <c r="G1241" s="511">
        <v>0.3</v>
      </c>
      <c r="H1241" s="512">
        <f>IF($C1241="",IFERROR(VLOOKUP($B1241,SERVIÇOS!$B:$G,6,0),IFERROR(VLOOKUP($B1241,$D:$K,8,0),"")),IFERROR(VLOOKUP($C1241,INSUMOS!$A:$D,4,0),IFERROR(VLOOKUP($C1241,COTAÇÕES!$B:$I,7,0),(VLOOKUP($C1241,'INSUMO SINAPI - SP'!$C:$F,4,0)))))</f>
        <v>37.369999999999997</v>
      </c>
      <c r="I1241" s="513">
        <f>TRUNC(IF($C1241="",IFERROR(VLOOKUP($B1241,SERVIÇOS!$B:$G,4,0),IFERROR(VLOOKUP($B1241,$D:$K,6,0),)),IFERROR(VLOOKUP($C1241,INSUMOS!$A:$D,4,0),IFERROR(VLOOKUP($C1241,COTAÇÕES!$B:$I,7,0),(VLOOKUP($C1241,'INSUMO SINAPI - SP'!$C:$F,4,0)))))*$G1241,2)</f>
        <v>2.79</v>
      </c>
      <c r="J1241" s="513">
        <f>TRUNC(IF($C1241="",IFERROR(VLOOKUP($B1241,SERVIÇOS!$B:$G,5,0),IFERROR(VLOOKUP($B1241,$D:$K,7,0),)),0)*$G1241,2)</f>
        <v>8.41</v>
      </c>
      <c r="K1241" s="514">
        <f>I1241+J1241</f>
        <v>11.2</v>
      </c>
      <c r="L1241" s="515"/>
      <c r="M1241" s="471"/>
      <c r="N1241" s="516"/>
      <c r="Q1241" s="472"/>
      <c r="R1241" s="472"/>
      <c r="S1241" s="472"/>
      <c r="T1241" s="472"/>
      <c r="U1241" s="472"/>
      <c r="V1241" s="472"/>
      <c r="W1241" s="472"/>
      <c r="X1241" s="472"/>
      <c r="Y1241" s="472"/>
    </row>
    <row r="1242" spans="1:25" ht="24" x14ac:dyDescent="0.25">
      <c r="A1242" s="463"/>
      <c r="B1242" s="506"/>
      <c r="C1242" s="507" t="s">
        <v>13245</v>
      </c>
      <c r="D1242" s="508"/>
      <c r="E1242" s="518" t="s">
        <v>13246</v>
      </c>
      <c r="F1242" s="519" t="s">
        <v>585</v>
      </c>
      <c r="G1242" s="511">
        <v>1.25</v>
      </c>
      <c r="H1242" s="520">
        <v>225.21</v>
      </c>
      <c r="I1242" s="520">
        <f>TRUNC(H1242*G1242,2)</f>
        <v>281.51</v>
      </c>
      <c r="J1242" s="521"/>
      <c r="K1242" s="522">
        <f>I1242+J1242</f>
        <v>281.51</v>
      </c>
      <c r="L1242" s="517" t="s">
        <v>12901</v>
      </c>
      <c r="M1242" s="471"/>
      <c r="N1242" s="516"/>
      <c r="Q1242" s="472"/>
      <c r="R1242" s="472"/>
      <c r="S1242" s="472"/>
      <c r="T1242" s="472"/>
      <c r="U1242" s="472"/>
      <c r="V1242" s="472"/>
      <c r="W1242" s="472"/>
      <c r="X1242" s="472"/>
      <c r="Y1242" s="472"/>
    </row>
    <row r="1243" spans="1:25" x14ac:dyDescent="0.25">
      <c r="A1243" s="463"/>
      <c r="B1243" s="506"/>
      <c r="C1243" s="507" t="s">
        <v>13247</v>
      </c>
      <c r="D1243" s="508"/>
      <c r="E1243" s="518" t="s">
        <v>13248</v>
      </c>
      <c r="F1243" s="519" t="s">
        <v>585</v>
      </c>
      <c r="G1243" s="511">
        <v>1</v>
      </c>
      <c r="H1243" s="520">
        <v>12.93</v>
      </c>
      <c r="I1243" s="520">
        <f>TRUNC(H1243*G1243,2)</f>
        <v>12.93</v>
      </c>
      <c r="J1243" s="521"/>
      <c r="K1243" s="522">
        <f>I1243+J1243</f>
        <v>12.93</v>
      </c>
      <c r="L1243" s="517" t="s">
        <v>12668</v>
      </c>
      <c r="M1243" s="471"/>
      <c r="N1243" s="516"/>
      <c r="Q1243" s="472"/>
      <c r="R1243" s="472"/>
      <c r="S1243" s="472"/>
      <c r="T1243" s="472"/>
      <c r="U1243" s="472"/>
      <c r="V1243" s="472"/>
      <c r="W1243" s="472"/>
      <c r="X1243" s="472"/>
      <c r="Y1243" s="472"/>
    </row>
    <row r="1244" spans="1:25" ht="24" x14ac:dyDescent="0.25">
      <c r="A1244" s="463"/>
      <c r="B1244" s="498"/>
      <c r="C1244" s="498"/>
      <c r="D1244" s="499" t="s">
        <v>12242</v>
      </c>
      <c r="E1244" s="555" t="s">
        <v>13249</v>
      </c>
      <c r="F1244" s="501" t="s">
        <v>580</v>
      </c>
      <c r="G1244" s="502"/>
      <c r="H1244" s="503"/>
      <c r="I1244" s="504">
        <f>ROUND(SUM(I1245:I1248),2)</f>
        <v>197.34</v>
      </c>
      <c r="J1244" s="504">
        <f>ROUND(SUM(J1245:J1248),2)</f>
        <v>47.65</v>
      </c>
      <c r="K1244" s="504">
        <f>+J1244+I1244</f>
        <v>244.99</v>
      </c>
      <c r="L1244" s="523" t="s">
        <v>13250</v>
      </c>
      <c r="M1244" s="471"/>
      <c r="N1244" s="505"/>
      <c r="Q1244" s="472"/>
      <c r="R1244" s="472"/>
      <c r="S1244" s="472"/>
      <c r="T1244" s="472"/>
      <c r="U1244" s="472"/>
      <c r="V1244" s="472"/>
      <c r="W1244" s="472"/>
      <c r="X1244" s="472"/>
      <c r="Y1244" s="472"/>
    </row>
    <row r="1245" spans="1:25" x14ac:dyDescent="0.25">
      <c r="A1245" s="463"/>
      <c r="B1245" s="506">
        <v>88247</v>
      </c>
      <c r="C1245" s="507"/>
      <c r="D1245" s="508"/>
      <c r="E1245" s="509" t="str">
        <f>IF($C1245="",IFERROR(VLOOKUP($B1245,SERVIÇOS!$B:$G,2,0),IFERROR(VLOOKUP($B1245,$D:$K,2,0),"")),IFERROR(VLOOKUP($C1245,INSUMOS!$A:$D,2,0),IFERROR(VLOOKUP($C1245,COTAÇÕES!$B:$I,2,0),(VLOOKUP($C1245,'INSUMO SINAPI - SP'!$C:$F,2,0)))))</f>
        <v>AUXILIAR DE ELETRICISTA COM ENCARGOS COMPLEMENTARES</v>
      </c>
      <c r="F1245" s="510" t="str">
        <f>IF($C1245="",IFERROR(VLOOKUP($B1245,SERVIÇOS!$B:$G,3,0),IFERROR(VLOOKUP($B1245,$D:$K,3,0),"")),IFERROR(VLOOKUP($C1245,INSUMOS!$A:$D,3,0),IFERROR(VLOOKUP($C1245,COTAÇÕES!$B:$I,3,0),(VLOOKUP($C1245,'INSUMO SINAPI - SP'!$C:$F,3,0)))))</f>
        <v>H</v>
      </c>
      <c r="G1245" s="511">
        <v>0.96199999999999997</v>
      </c>
      <c r="H1245" s="512">
        <f>IF($C1245="",IFERROR(VLOOKUP($B1245,SERVIÇOS!$B:$G,6,0),IFERROR(VLOOKUP($B1245,$D:$K,8,0),"")),IFERROR(VLOOKUP($C1245,INSUMOS!$A:$D,4,0),IFERROR(VLOOKUP($C1245,COTAÇÕES!$B:$I,7,0),(VLOOKUP($C1245,'INSUMO SINAPI - SP'!$C:$F,4,0)))))</f>
        <v>30.8</v>
      </c>
      <c r="I1245" s="513">
        <f>TRUNC(IF($C1245="",IFERROR(VLOOKUP($B1245,SERVIÇOS!$B:$G,4,0),IFERROR(VLOOKUP($B1245,$D:$K,6,0),)),IFERROR(VLOOKUP($C1245,INSUMOS!$A:$D,4,0),IFERROR(VLOOKUP($C1245,COTAÇÕES!$B:$I,7,0),(VLOOKUP($C1245,'INSUMO SINAPI - SP'!$C:$F,4,0)))))*$G1245,2)</f>
        <v>8.9600000000000009</v>
      </c>
      <c r="J1245" s="513">
        <f>TRUNC(IF($C1245="",IFERROR(VLOOKUP($B1245,SERVIÇOS!$B:$G,5,0),IFERROR(VLOOKUP($B1245,$D:$K,7,0),)),0)*$G1245,2)</f>
        <v>20.66</v>
      </c>
      <c r="K1245" s="514">
        <f>I1245+J1245</f>
        <v>29.62</v>
      </c>
      <c r="L1245" s="515"/>
      <c r="M1245" s="471"/>
      <c r="N1245" s="516"/>
      <c r="Q1245" s="472"/>
      <c r="R1245" s="472"/>
      <c r="S1245" s="472"/>
      <c r="T1245" s="472"/>
      <c r="U1245" s="472"/>
      <c r="V1245" s="472"/>
      <c r="W1245" s="472"/>
      <c r="X1245" s="472"/>
      <c r="Y1245" s="472"/>
    </row>
    <row r="1246" spans="1:25" x14ac:dyDescent="0.25">
      <c r="A1246" s="463"/>
      <c r="B1246" s="506">
        <v>88264</v>
      </c>
      <c r="C1246" s="507"/>
      <c r="D1246" s="508"/>
      <c r="E1246" s="509" t="str">
        <f>IF($C1246="",IFERROR(VLOOKUP($B1246,SERVIÇOS!$B:$G,2,0),IFERROR(VLOOKUP($B1246,$D:$K,2,0),"")),IFERROR(VLOOKUP($C1246,INSUMOS!$A:$D,2,0),IFERROR(VLOOKUP($C1246,COTAÇÕES!$B:$I,2,0),(VLOOKUP($C1246,'INSUMO SINAPI - SP'!$C:$F,2,0)))))</f>
        <v>ELETRICISTA COM ENCARGOS COMPLEMENTARES</v>
      </c>
      <c r="F1246" s="510" t="str">
        <f>IF($C1246="",IFERROR(VLOOKUP($B1246,SERVIÇOS!$B:$G,3,0),IFERROR(VLOOKUP($B1246,$D:$K,3,0),"")),IFERROR(VLOOKUP($C1246,INSUMOS!$A:$D,3,0),IFERROR(VLOOKUP($C1246,COTAÇÕES!$B:$I,3,0),(VLOOKUP($C1246,'INSUMO SINAPI - SP'!$C:$F,3,0)))))</f>
        <v>H</v>
      </c>
      <c r="G1246" s="511">
        <v>0.96199999999999997</v>
      </c>
      <c r="H1246" s="512">
        <f>IF($C1246="",IFERROR(VLOOKUP($B1246,SERVIÇOS!$B:$G,6,0),IFERROR(VLOOKUP($B1246,$D:$K,8,0),"")),IFERROR(VLOOKUP($C1246,INSUMOS!$A:$D,4,0),IFERROR(VLOOKUP($C1246,COTAÇÕES!$B:$I,7,0),(VLOOKUP($C1246,'INSUMO SINAPI - SP'!$C:$F,4,0)))))</f>
        <v>37.369999999999997</v>
      </c>
      <c r="I1246" s="513">
        <f>TRUNC(IF($C1246="",IFERROR(VLOOKUP($B1246,SERVIÇOS!$B:$G,4,0),IFERROR(VLOOKUP($B1246,$D:$K,6,0),)),IFERROR(VLOOKUP($C1246,INSUMOS!$A:$D,4,0),IFERROR(VLOOKUP($C1246,COTAÇÕES!$B:$I,7,0),(VLOOKUP($C1246,'INSUMO SINAPI - SP'!$C:$F,4,0)))))*$G1246,2)</f>
        <v>8.9499999999999993</v>
      </c>
      <c r="J1246" s="513">
        <f>TRUNC(IF($C1246="",IFERROR(VLOOKUP($B1246,SERVIÇOS!$B:$G,5,0),IFERROR(VLOOKUP($B1246,$D:$K,7,0),)),0)*$G1246,2)</f>
        <v>26.99</v>
      </c>
      <c r="K1246" s="514">
        <f>I1246+J1246</f>
        <v>35.94</v>
      </c>
      <c r="L1246" s="515"/>
      <c r="M1246" s="471"/>
      <c r="N1246" s="516"/>
      <c r="Q1246" s="472"/>
      <c r="R1246" s="472"/>
      <c r="S1246" s="472"/>
      <c r="T1246" s="472"/>
      <c r="U1246" s="472"/>
      <c r="V1246" s="472"/>
      <c r="W1246" s="472"/>
      <c r="X1246" s="472"/>
      <c r="Y1246" s="472"/>
    </row>
    <row r="1247" spans="1:25" ht="24" x14ac:dyDescent="0.25">
      <c r="A1247" s="463"/>
      <c r="B1247" s="506"/>
      <c r="C1247" s="507" t="s">
        <v>13251</v>
      </c>
      <c r="D1247" s="508"/>
      <c r="E1247" s="518" t="s">
        <v>13252</v>
      </c>
      <c r="F1247" s="519" t="s">
        <v>580</v>
      </c>
      <c r="G1247" s="511">
        <v>1</v>
      </c>
      <c r="H1247" s="520">
        <v>124.71</v>
      </c>
      <c r="I1247" s="520">
        <f>TRUNC(H1247*G1247,2)</f>
        <v>124.71</v>
      </c>
      <c r="J1247" s="521"/>
      <c r="K1247" s="522">
        <f>I1247+J1247</f>
        <v>124.71</v>
      </c>
      <c r="L1247" s="517" t="s">
        <v>12668</v>
      </c>
      <c r="M1247" s="471"/>
      <c r="N1247" s="516"/>
      <c r="Q1247" s="472"/>
      <c r="R1247" s="472"/>
      <c r="S1247" s="472"/>
      <c r="T1247" s="472"/>
      <c r="U1247" s="472"/>
      <c r="V1247" s="472"/>
      <c r="W1247" s="472"/>
      <c r="X1247" s="472"/>
      <c r="Y1247" s="472"/>
    </row>
    <row r="1248" spans="1:25" x14ac:dyDescent="0.25">
      <c r="A1248" s="463"/>
      <c r="B1248" s="506"/>
      <c r="C1248" s="507" t="s">
        <v>13253</v>
      </c>
      <c r="D1248" s="508"/>
      <c r="E1248" s="518" t="s">
        <v>13254</v>
      </c>
      <c r="F1248" s="519" t="s">
        <v>580</v>
      </c>
      <c r="G1248" s="511">
        <v>2</v>
      </c>
      <c r="H1248" s="520">
        <v>27.36</v>
      </c>
      <c r="I1248" s="520">
        <f>TRUNC(H1248*G1248,2)</f>
        <v>54.72</v>
      </c>
      <c r="J1248" s="521"/>
      <c r="K1248" s="522">
        <f>I1248+J1248</f>
        <v>54.72</v>
      </c>
      <c r="L1248" s="517" t="s">
        <v>12901</v>
      </c>
      <c r="M1248" s="471"/>
      <c r="N1248" s="516"/>
      <c r="Q1248" s="472"/>
      <c r="R1248" s="472"/>
      <c r="S1248" s="472"/>
      <c r="T1248" s="472"/>
      <c r="U1248" s="472"/>
      <c r="V1248" s="472"/>
      <c r="W1248" s="472"/>
      <c r="X1248" s="472"/>
      <c r="Y1248" s="472"/>
    </row>
    <row r="1249" spans="1:25" x14ac:dyDescent="0.25">
      <c r="A1249" s="463"/>
      <c r="B1249" s="498"/>
      <c r="C1249" s="498"/>
      <c r="D1249" s="499" t="s">
        <v>12230</v>
      </c>
      <c r="E1249" s="555" t="s">
        <v>13255</v>
      </c>
      <c r="F1249" s="501" t="s">
        <v>580</v>
      </c>
      <c r="G1249" s="502"/>
      <c r="H1249" s="503"/>
      <c r="I1249" s="504">
        <f>ROUND(SUM(I1250:I1251),2)</f>
        <v>70.11</v>
      </c>
      <c r="J1249" s="504">
        <f>ROUND(SUM(J1250:J1251),2)</f>
        <v>60.6</v>
      </c>
      <c r="K1249" s="504">
        <f>+J1249+I1249</f>
        <v>130.71</v>
      </c>
      <c r="L1249" s="523"/>
      <c r="M1249" s="471"/>
      <c r="N1249" s="505"/>
      <c r="Q1249" s="472"/>
      <c r="R1249" s="472"/>
      <c r="S1249" s="472"/>
      <c r="T1249" s="472"/>
      <c r="U1249" s="472"/>
      <c r="V1249" s="472"/>
      <c r="W1249" s="472"/>
      <c r="X1249" s="472"/>
      <c r="Y1249" s="472"/>
    </row>
    <row r="1250" spans="1:25" ht="24" x14ac:dyDescent="0.25">
      <c r="A1250" s="463"/>
      <c r="B1250" s="506">
        <v>92003</v>
      </c>
      <c r="C1250" s="507"/>
      <c r="D1250" s="508"/>
      <c r="E1250" s="509" t="str">
        <f>IF($C1250="",IFERROR(VLOOKUP($B1250,SERVIÇOS!$B:$G,2,0),IFERROR(VLOOKUP($B1250,$D:$K,2,0),"")),IFERROR(VLOOKUP($C1250,INSUMOS!$A:$D,2,0),IFERROR(VLOOKUP($C1250,COTAÇÕES!$B:$I,2,0),(VLOOKUP($C1250,'INSUMO SINAPI - SP'!$C:$F,2,0)))))</f>
        <v>TOMADA MÉDIA DE EMBUTIR (2 MÓDULOS), 2P+T 20 A, SEM SUPORTE E SEM PLACA - FORNECIMENTO E INSTALAÇÃO. AF_03/2023</v>
      </c>
      <c r="F1250" s="510" t="str">
        <f>IF($C1250="",IFERROR(VLOOKUP($B1250,SERVIÇOS!$B:$G,3,0),IFERROR(VLOOKUP($B1250,$D:$K,3,0),"")),IFERROR(VLOOKUP($C1250,INSUMOS!$A:$D,3,0),IFERROR(VLOOKUP($C1250,COTAÇÕES!$B:$I,3,0),(VLOOKUP($C1250,'INSUMO SINAPI - SP'!$C:$F,3,0)))))</f>
        <v>UN</v>
      </c>
      <c r="G1250" s="511">
        <v>0.96199999999999997</v>
      </c>
      <c r="H1250" s="512">
        <f>IF($C1250="",IFERROR(VLOOKUP($B1250,SERVIÇOS!$B:$G,6,0),IFERROR(VLOOKUP($B1250,$D:$K,8,0),"")),IFERROR(VLOOKUP($C1250,INSUMOS!$A:$D,4,0),IFERROR(VLOOKUP($C1250,COTAÇÕES!$B:$I,7,0),(VLOOKUP($C1250,'INSUMO SINAPI - SP'!$C:$F,4,0)))))</f>
        <v>61.14</v>
      </c>
      <c r="I1250" s="513">
        <f>TRUNC(IF($C1250="",IFERROR(VLOOKUP($B1250,SERVIÇOS!$B:$G,4,0),IFERROR(VLOOKUP($B1250,$D:$K,6,0),)),IFERROR(VLOOKUP($C1250,INSUMOS!$A:$D,4,0),IFERROR(VLOOKUP($C1250,COTAÇÕES!$B:$I,7,0),(VLOOKUP($C1250,'INSUMO SINAPI - SP'!$C:$F,4,0)))))*$G1250,2)</f>
        <v>31.56</v>
      </c>
      <c r="J1250" s="513">
        <f>TRUNC(IF($C1250="",IFERROR(VLOOKUP($B1250,SERVIÇOS!$B:$G,5,0),IFERROR(VLOOKUP($B1250,$D:$K,7,0),)),0)*$G1250,2)</f>
        <v>27.25</v>
      </c>
      <c r="K1250" s="514">
        <f>I1250+J1250</f>
        <v>58.81</v>
      </c>
      <c r="L1250" s="515"/>
      <c r="M1250" s="471"/>
      <c r="N1250" s="516"/>
      <c r="Q1250" s="472"/>
      <c r="R1250" s="472"/>
      <c r="S1250" s="472"/>
      <c r="T1250" s="472"/>
      <c r="U1250" s="472"/>
      <c r="V1250" s="472"/>
      <c r="W1250" s="472"/>
      <c r="X1250" s="472"/>
      <c r="Y1250" s="472"/>
    </row>
    <row r="1251" spans="1:25" ht="24" x14ac:dyDescent="0.25">
      <c r="A1251" s="463"/>
      <c r="B1251" s="506">
        <v>92005</v>
      </c>
      <c r="C1251" s="507"/>
      <c r="D1251" s="508"/>
      <c r="E1251" s="509" t="str">
        <f>IF($C1251="",IFERROR(VLOOKUP($B1251,SERVIÇOS!$B:$G,2,0),IFERROR(VLOOKUP($B1251,$D:$K,2,0),"")),IFERROR(VLOOKUP($C1251,INSUMOS!$A:$D,2,0),IFERROR(VLOOKUP($C1251,COTAÇÕES!$B:$I,2,0),(VLOOKUP($C1251,'INSUMO SINAPI - SP'!$C:$F,2,0)))))</f>
        <v>TOMADA MÉDIA DE EMBUTIR (2 MÓDULOS), 2P+T 20 A, INCLUINDO SUPORTE E PLACA - FORNECIMENTO E INSTALAÇÃO. AF_03/2023</v>
      </c>
      <c r="F1251" s="510" t="str">
        <f>IF($C1251="",IFERROR(VLOOKUP($B1251,SERVIÇOS!$B:$G,3,0),IFERROR(VLOOKUP($B1251,$D:$K,3,0),"")),IFERROR(VLOOKUP($C1251,INSUMOS!$A:$D,3,0),IFERROR(VLOOKUP($C1251,COTAÇÕES!$B:$I,3,0),(VLOOKUP($C1251,'INSUMO SINAPI - SP'!$C:$F,3,0)))))</f>
        <v>UN</v>
      </c>
      <c r="G1251" s="511">
        <v>0.96199999999999997</v>
      </c>
      <c r="H1251" s="512">
        <f>IF($C1251="",IFERROR(VLOOKUP($B1251,SERVIÇOS!$B:$G,6,0),IFERROR(VLOOKUP($B1251,$D:$K,8,0),"")),IFERROR(VLOOKUP($C1251,INSUMOS!$A:$D,4,0),IFERROR(VLOOKUP($C1251,COTAÇÕES!$B:$I,7,0),(VLOOKUP($C1251,'INSUMO SINAPI - SP'!$C:$F,4,0)))))</f>
        <v>74.75</v>
      </c>
      <c r="I1251" s="513">
        <f>TRUNC(IF($C1251="",IFERROR(VLOOKUP($B1251,SERVIÇOS!$B:$G,4,0),IFERROR(VLOOKUP($B1251,$D:$K,6,0),)),IFERROR(VLOOKUP($C1251,INSUMOS!$A:$D,4,0),IFERROR(VLOOKUP($C1251,COTAÇÕES!$B:$I,7,0),(VLOOKUP($C1251,'INSUMO SINAPI - SP'!$C:$F,4,0)))))*$G1251,2)</f>
        <v>38.549999999999997</v>
      </c>
      <c r="J1251" s="513">
        <f>TRUNC(IF($C1251="",IFERROR(VLOOKUP($B1251,SERVIÇOS!$B:$G,5,0),IFERROR(VLOOKUP($B1251,$D:$K,7,0),)),0)*$G1251,2)</f>
        <v>33.35</v>
      </c>
      <c r="K1251" s="514">
        <f>I1251+J1251</f>
        <v>71.900000000000006</v>
      </c>
      <c r="L1251" s="515"/>
      <c r="M1251" s="471"/>
      <c r="N1251" s="516"/>
      <c r="Q1251" s="472"/>
      <c r="R1251" s="472"/>
      <c r="S1251" s="472"/>
      <c r="T1251" s="472"/>
      <c r="U1251" s="472"/>
      <c r="V1251" s="472"/>
      <c r="W1251" s="472"/>
      <c r="X1251" s="472"/>
      <c r="Y1251" s="472"/>
    </row>
    <row r="1252" spans="1:25" ht="48" x14ac:dyDescent="0.25">
      <c r="A1252" s="463"/>
      <c r="B1252" s="498"/>
      <c r="C1252" s="498"/>
      <c r="D1252" s="499" t="s">
        <v>12179</v>
      </c>
      <c r="E1252" s="555" t="s">
        <v>13256</v>
      </c>
      <c r="F1252" s="501" t="s">
        <v>580</v>
      </c>
      <c r="G1252" s="502"/>
      <c r="H1252" s="503"/>
      <c r="I1252" s="504">
        <f>ROUND(SUM(I1253:I1257),2)</f>
        <v>6272.44</v>
      </c>
      <c r="J1252" s="504">
        <f>ROUND(SUM(J1253:J1257),2)</f>
        <v>348.09</v>
      </c>
      <c r="K1252" s="504">
        <f>+J1252+I1252</f>
        <v>6620.53</v>
      </c>
      <c r="L1252" s="523" t="s">
        <v>13102</v>
      </c>
      <c r="M1252" s="471"/>
      <c r="N1252" s="505"/>
      <c r="Q1252" s="472"/>
      <c r="R1252" s="472"/>
      <c r="S1252" s="472"/>
      <c r="T1252" s="472"/>
      <c r="U1252" s="472"/>
      <c r="V1252" s="472"/>
      <c r="W1252" s="472"/>
      <c r="X1252" s="472"/>
      <c r="Y1252" s="472"/>
    </row>
    <row r="1253" spans="1:25" x14ac:dyDescent="0.25">
      <c r="A1253" s="463"/>
      <c r="B1253" s="506">
        <v>88247</v>
      </c>
      <c r="C1253" s="507"/>
      <c r="D1253" s="508"/>
      <c r="E1253" s="509" t="str">
        <f>IF($C1253="",IFERROR(VLOOKUP($B1253,SERVIÇOS!$B:$G,2,0),IFERROR(VLOOKUP($B1253,$D:$K,2,0),"")),IFERROR(VLOOKUP($C1253,INSUMOS!$A:$D,2,0),IFERROR(VLOOKUP($C1253,COTAÇÕES!$B:$I,2,0),(VLOOKUP($C1253,'INSUMO SINAPI - SP'!$C:$F,2,0)))))</f>
        <v>AUXILIAR DE ELETRICISTA COM ENCARGOS COMPLEMENTARES</v>
      </c>
      <c r="F1253" s="510" t="str">
        <f>IF($C1253="",IFERROR(VLOOKUP($B1253,SERVIÇOS!$B:$G,3,0),IFERROR(VLOOKUP($B1253,$D:$K,3,0),"")),IFERROR(VLOOKUP($C1253,INSUMOS!$A:$D,3,0),IFERROR(VLOOKUP($C1253,COTAÇÕES!$B:$I,3,0),(VLOOKUP($C1253,'INSUMO SINAPI - SP'!$C:$F,3,0)))))</f>
        <v>H</v>
      </c>
      <c r="G1253" s="511">
        <v>5</v>
      </c>
      <c r="H1253" s="512">
        <f>IF($C1253="",IFERROR(VLOOKUP($B1253,SERVIÇOS!$B:$G,6,0),IFERROR(VLOOKUP($B1253,$D:$K,8,0),"")),IFERROR(VLOOKUP($C1253,INSUMOS!$A:$D,4,0),IFERROR(VLOOKUP($C1253,COTAÇÕES!$B:$I,7,0),(VLOOKUP($C1253,'INSUMO SINAPI - SP'!$C:$F,4,0)))))</f>
        <v>30.8</v>
      </c>
      <c r="I1253" s="513">
        <f>TRUNC(IF($C1253="",IFERROR(VLOOKUP($B1253,SERVIÇOS!$B:$G,4,0),IFERROR(VLOOKUP($B1253,$D:$K,6,0),)),IFERROR(VLOOKUP($C1253,INSUMOS!$A:$D,4,0),IFERROR(VLOOKUP($C1253,COTAÇÕES!$B:$I,7,0),(VLOOKUP($C1253,'INSUMO SINAPI - SP'!$C:$F,4,0)))))*$G1253,2)</f>
        <v>46.6</v>
      </c>
      <c r="J1253" s="513">
        <f>TRUNC(IF($C1253="",IFERROR(VLOOKUP($B1253,SERVIÇOS!$B:$G,5,0),IFERROR(VLOOKUP($B1253,$D:$K,7,0),)),0)*$G1253,2)</f>
        <v>107.4</v>
      </c>
      <c r="K1253" s="514">
        <f>I1253+J1253</f>
        <v>154</v>
      </c>
      <c r="L1253" s="515"/>
      <c r="M1253" s="471"/>
      <c r="N1253" s="516"/>
      <c r="Q1253" s="472"/>
      <c r="R1253" s="472"/>
      <c r="S1253" s="472"/>
      <c r="T1253" s="472"/>
      <c r="U1253" s="472"/>
      <c r="V1253" s="472"/>
      <c r="W1253" s="472"/>
      <c r="X1253" s="472"/>
      <c r="Y1253" s="472"/>
    </row>
    <row r="1254" spans="1:25" x14ac:dyDescent="0.25">
      <c r="A1254" s="463"/>
      <c r="B1254" s="506">
        <v>88264</v>
      </c>
      <c r="C1254" s="507"/>
      <c r="D1254" s="508"/>
      <c r="E1254" s="509" t="str">
        <f>IF($C1254="",IFERROR(VLOOKUP($B1254,SERVIÇOS!$B:$G,2,0),IFERROR(VLOOKUP($B1254,$D:$K,2,0),"")),IFERROR(VLOOKUP($C1254,INSUMOS!$A:$D,2,0),IFERROR(VLOOKUP($C1254,COTAÇÕES!$B:$I,2,0),(VLOOKUP($C1254,'INSUMO SINAPI - SP'!$C:$F,2,0)))))</f>
        <v>ELETRICISTA COM ENCARGOS COMPLEMENTARES</v>
      </c>
      <c r="F1254" s="510" t="str">
        <f>IF($C1254="",IFERROR(VLOOKUP($B1254,SERVIÇOS!$B:$G,3,0),IFERROR(VLOOKUP($B1254,$D:$K,3,0),"")),IFERROR(VLOOKUP($C1254,INSUMOS!$A:$D,3,0),IFERROR(VLOOKUP($C1254,COTAÇÕES!$B:$I,3,0),(VLOOKUP($C1254,'INSUMO SINAPI - SP'!$C:$F,3,0)))))</f>
        <v>H</v>
      </c>
      <c r="G1254" s="511">
        <v>5</v>
      </c>
      <c r="H1254" s="512">
        <f>IF($C1254="",IFERROR(VLOOKUP($B1254,SERVIÇOS!$B:$G,6,0),IFERROR(VLOOKUP($B1254,$D:$K,8,0),"")),IFERROR(VLOOKUP($C1254,INSUMOS!$A:$D,4,0),IFERROR(VLOOKUP($C1254,COTAÇÕES!$B:$I,7,0),(VLOOKUP($C1254,'INSUMO SINAPI - SP'!$C:$F,4,0)))))</f>
        <v>37.369999999999997</v>
      </c>
      <c r="I1254" s="513">
        <f>TRUNC(IF($C1254="",IFERROR(VLOOKUP($B1254,SERVIÇOS!$B:$G,4,0),IFERROR(VLOOKUP($B1254,$D:$K,6,0),)),IFERROR(VLOOKUP($C1254,INSUMOS!$A:$D,4,0),IFERROR(VLOOKUP($C1254,COTAÇÕES!$B:$I,7,0),(VLOOKUP($C1254,'INSUMO SINAPI - SP'!$C:$F,4,0)))))*$G1254,2)</f>
        <v>46.55</v>
      </c>
      <c r="J1254" s="513">
        <f>TRUNC(IF($C1254="",IFERROR(VLOOKUP($B1254,SERVIÇOS!$B:$G,5,0),IFERROR(VLOOKUP($B1254,$D:$K,7,0),)),0)*$G1254,2)</f>
        <v>140.30000000000001</v>
      </c>
      <c r="K1254" s="514">
        <f>I1254+J1254</f>
        <v>186.85000000000002</v>
      </c>
      <c r="L1254" s="515"/>
      <c r="M1254" s="471"/>
      <c r="N1254" s="516"/>
      <c r="Q1254" s="472"/>
      <c r="R1254" s="472"/>
      <c r="S1254" s="472"/>
      <c r="T1254" s="472"/>
      <c r="U1254" s="472"/>
      <c r="V1254" s="472"/>
      <c r="W1254" s="472"/>
      <c r="X1254" s="472"/>
      <c r="Y1254" s="472"/>
    </row>
    <row r="1255" spans="1:25" x14ac:dyDescent="0.25">
      <c r="A1255" s="463"/>
      <c r="B1255" s="506">
        <v>88309</v>
      </c>
      <c r="C1255" s="507"/>
      <c r="D1255" s="508"/>
      <c r="E1255" s="509" t="str">
        <f>IF($C1255="",IFERROR(VLOOKUP($B1255,SERVIÇOS!$B:$G,2,0),IFERROR(VLOOKUP($B1255,$D:$K,2,0),"")),IFERROR(VLOOKUP($C1255,INSUMOS!$A:$D,2,0),IFERROR(VLOOKUP($C1255,COTAÇÕES!$B:$I,2,0),(VLOOKUP($C1255,'INSUMO SINAPI - SP'!$C:$F,2,0)))))</f>
        <v>PEDREIRO COM ENCARGOS COMPLEMENTARES</v>
      </c>
      <c r="F1255" s="510" t="str">
        <f>IF($C1255="",IFERROR(VLOOKUP($B1255,SERVIÇOS!$B:$G,3,0),IFERROR(VLOOKUP($B1255,$D:$K,3,0),"")),IFERROR(VLOOKUP($C1255,INSUMOS!$A:$D,3,0),IFERROR(VLOOKUP($C1255,COTAÇÕES!$B:$I,3,0),(VLOOKUP($C1255,'INSUMO SINAPI - SP'!$C:$F,3,0)))))</f>
        <v>H</v>
      </c>
      <c r="G1255" s="511">
        <v>1</v>
      </c>
      <c r="H1255" s="512">
        <f>IF($C1255="",IFERROR(VLOOKUP($B1255,SERVIÇOS!$B:$G,6,0),IFERROR(VLOOKUP($B1255,$D:$K,8,0),"")),IFERROR(VLOOKUP($C1255,INSUMOS!$A:$D,4,0),IFERROR(VLOOKUP($C1255,COTAÇÕES!$B:$I,7,0),(VLOOKUP($C1255,'INSUMO SINAPI - SP'!$C:$F,4,0)))))</f>
        <v>36.909999999999997</v>
      </c>
      <c r="I1255" s="513">
        <f>TRUNC(IF($C1255="",IFERROR(VLOOKUP($B1255,SERVIÇOS!$B:$G,4,0),IFERROR(VLOOKUP($B1255,$D:$K,6,0),)),IFERROR(VLOOKUP($C1255,INSUMOS!$A:$D,4,0),IFERROR(VLOOKUP($C1255,COTAÇÕES!$B:$I,7,0),(VLOOKUP($C1255,'INSUMO SINAPI - SP'!$C:$F,4,0)))))*$G1255,2)</f>
        <v>9.2799999999999994</v>
      </c>
      <c r="J1255" s="513">
        <f>TRUNC(IF($C1255="",IFERROR(VLOOKUP($B1255,SERVIÇOS!$B:$G,5,0),IFERROR(VLOOKUP($B1255,$D:$K,7,0),)),0)*$G1255,2)</f>
        <v>27.63</v>
      </c>
      <c r="K1255" s="514">
        <f>I1255+J1255</f>
        <v>36.909999999999997</v>
      </c>
      <c r="L1255" s="515"/>
      <c r="M1255" s="471"/>
      <c r="N1255" s="516"/>
      <c r="Q1255" s="472"/>
      <c r="R1255" s="472"/>
      <c r="S1255" s="472"/>
      <c r="T1255" s="472"/>
      <c r="U1255" s="472"/>
      <c r="V1255" s="472"/>
      <c r="W1255" s="472"/>
      <c r="X1255" s="472"/>
      <c r="Y1255" s="472"/>
    </row>
    <row r="1256" spans="1:25" ht="24" x14ac:dyDescent="0.25">
      <c r="A1256" s="463"/>
      <c r="B1256" s="506">
        <v>87372</v>
      </c>
      <c r="C1256" s="507"/>
      <c r="D1256" s="508"/>
      <c r="E1256" s="509" t="str">
        <f>IF($C1256="",IFERROR(VLOOKUP($B1256,SERVIÇOS!$B:$G,2,0),IFERROR(VLOOKUP($B1256,$D:$K,2,0),"")),IFERROR(VLOOKUP($C1256,INSUMOS!$A:$D,2,0),IFERROR(VLOOKUP($C1256,COTAÇÕES!$B:$I,2,0),(VLOOKUP($C1256,'INSUMO SINAPI - SP'!$C:$F,2,0)))))</f>
        <v>ARGAMASSA TRAÇO 1:3 (EM VOLUME DE CIMENTO E AREIA MÉDIA ÚMIDA) PARA CONTRAPISO, PREPARO MANUAL. AF_08/2019</v>
      </c>
      <c r="F1256" s="510" t="str">
        <f>IF($C1256="",IFERROR(VLOOKUP($B1256,SERVIÇOS!$B:$G,3,0),IFERROR(VLOOKUP($B1256,$D:$K,3,0),"")),IFERROR(VLOOKUP($C1256,INSUMOS!$A:$D,3,0),IFERROR(VLOOKUP($C1256,COTAÇÕES!$B:$I,3,0),(VLOOKUP($C1256,'INSUMO SINAPI - SP'!$C:$F,3,0)))))</f>
        <v>M3</v>
      </c>
      <c r="G1256" s="511">
        <v>0.32</v>
      </c>
      <c r="H1256" s="512">
        <f>IF($C1256="",IFERROR(VLOOKUP($B1256,SERVIÇOS!$B:$G,6,0),IFERROR(VLOOKUP($B1256,$D:$K,8,0),"")),IFERROR(VLOOKUP($C1256,INSUMOS!$A:$D,4,0),IFERROR(VLOOKUP($C1256,COTAÇÕES!$B:$I,7,0),(VLOOKUP($C1256,'INSUMO SINAPI - SP'!$C:$F,4,0)))))</f>
        <v>866.56</v>
      </c>
      <c r="I1256" s="513">
        <f>TRUNC(IF($C1256="",IFERROR(VLOOKUP($B1256,SERVIÇOS!$B:$G,4,0),IFERROR(VLOOKUP($B1256,$D:$K,6,0),)),IFERROR(VLOOKUP($C1256,INSUMOS!$A:$D,4,0),IFERROR(VLOOKUP($C1256,COTAÇÕES!$B:$I,7,0),(VLOOKUP($C1256,'INSUMO SINAPI - SP'!$C:$F,4,0)))))*$G1256,2)</f>
        <v>204.53</v>
      </c>
      <c r="J1256" s="513">
        <f>TRUNC(IF($C1256="",IFERROR(VLOOKUP($B1256,SERVIÇOS!$B:$G,5,0),IFERROR(VLOOKUP($B1256,$D:$K,7,0),)),0)*$G1256,2)</f>
        <v>72.760000000000005</v>
      </c>
      <c r="K1256" s="514">
        <f>I1256+J1256</f>
        <v>277.29000000000002</v>
      </c>
      <c r="L1256" s="515"/>
      <c r="M1256" s="471"/>
      <c r="N1256" s="516"/>
      <c r="Q1256" s="472"/>
      <c r="R1256" s="472"/>
      <c r="S1256" s="472"/>
      <c r="T1256" s="472"/>
      <c r="U1256" s="472"/>
      <c r="V1256" s="472"/>
      <c r="W1256" s="472"/>
      <c r="X1256" s="472"/>
      <c r="Y1256" s="472"/>
    </row>
    <row r="1257" spans="1:25" ht="36" x14ac:dyDescent="0.25">
      <c r="A1257" s="463"/>
      <c r="B1257" s="506"/>
      <c r="C1257" s="507" t="s">
        <v>13257</v>
      </c>
      <c r="D1257" s="508"/>
      <c r="E1257" s="518" t="s">
        <v>13258</v>
      </c>
      <c r="F1257" s="519" t="s">
        <v>580</v>
      </c>
      <c r="G1257" s="511">
        <v>1</v>
      </c>
      <c r="H1257" s="520">
        <v>5965.48</v>
      </c>
      <c r="I1257" s="520">
        <f>TRUNC(H1257*G1257,2)</f>
        <v>5965.48</v>
      </c>
      <c r="J1257" s="521"/>
      <c r="K1257" s="522">
        <f>I1257+J1257</f>
        <v>5965.48</v>
      </c>
      <c r="L1257" s="517" t="s">
        <v>12668</v>
      </c>
      <c r="M1257" s="471"/>
      <c r="N1257" s="516"/>
      <c r="Q1257" s="472"/>
      <c r="R1257" s="472"/>
      <c r="S1257" s="472"/>
      <c r="T1257" s="472"/>
      <c r="U1257" s="472"/>
      <c r="V1257" s="472"/>
      <c r="W1257" s="472"/>
      <c r="X1257" s="472"/>
      <c r="Y1257" s="472"/>
    </row>
    <row r="1258" spans="1:25" ht="48" x14ac:dyDescent="0.25">
      <c r="A1258" s="463"/>
      <c r="B1258" s="498"/>
      <c r="C1258" s="498"/>
      <c r="D1258" s="499" t="s">
        <v>12197</v>
      </c>
      <c r="E1258" s="555" t="s">
        <v>13259</v>
      </c>
      <c r="F1258" s="501" t="s">
        <v>580</v>
      </c>
      <c r="G1258" s="502"/>
      <c r="H1258" s="503"/>
      <c r="I1258" s="504">
        <f>ROUND(SUM(I1259:I1263),2)</f>
        <v>3411.58</v>
      </c>
      <c r="J1258" s="504">
        <f>ROUND(SUM(J1259:J1263),2)</f>
        <v>348.09</v>
      </c>
      <c r="K1258" s="504">
        <f>+J1258+I1258</f>
        <v>3759.67</v>
      </c>
      <c r="L1258" s="523" t="s">
        <v>13102</v>
      </c>
      <c r="M1258" s="471"/>
      <c r="N1258" s="505"/>
      <c r="Q1258" s="472"/>
      <c r="R1258" s="472"/>
      <c r="S1258" s="472"/>
      <c r="T1258" s="472"/>
      <c r="U1258" s="472"/>
      <c r="V1258" s="472"/>
      <c r="W1258" s="472"/>
      <c r="X1258" s="472"/>
      <c r="Y1258" s="472"/>
    </row>
    <row r="1259" spans="1:25" x14ac:dyDescent="0.25">
      <c r="A1259" s="463"/>
      <c r="B1259" s="506">
        <v>88247</v>
      </c>
      <c r="C1259" s="507"/>
      <c r="D1259" s="508"/>
      <c r="E1259" s="509" t="str">
        <f>IF($C1259="",IFERROR(VLOOKUP($B1259,SERVIÇOS!$B:$G,2,0),IFERROR(VLOOKUP($B1259,$D:$K,2,0),"")),IFERROR(VLOOKUP($C1259,INSUMOS!$A:$D,2,0),IFERROR(VLOOKUP($C1259,COTAÇÕES!$B:$I,2,0),(VLOOKUP($C1259,'INSUMO SINAPI - SP'!$C:$F,2,0)))))</f>
        <v>AUXILIAR DE ELETRICISTA COM ENCARGOS COMPLEMENTARES</v>
      </c>
      <c r="F1259" s="510" t="str">
        <f>IF($C1259="",IFERROR(VLOOKUP($B1259,SERVIÇOS!$B:$G,3,0),IFERROR(VLOOKUP($B1259,$D:$K,3,0),"")),IFERROR(VLOOKUP($C1259,INSUMOS!$A:$D,3,0),IFERROR(VLOOKUP($C1259,COTAÇÕES!$B:$I,3,0),(VLOOKUP($C1259,'INSUMO SINAPI - SP'!$C:$F,3,0)))))</f>
        <v>H</v>
      </c>
      <c r="G1259" s="511">
        <v>5</v>
      </c>
      <c r="H1259" s="512">
        <f>IF($C1259="",IFERROR(VLOOKUP($B1259,SERVIÇOS!$B:$G,6,0),IFERROR(VLOOKUP($B1259,$D:$K,8,0),"")),IFERROR(VLOOKUP($C1259,INSUMOS!$A:$D,4,0),IFERROR(VLOOKUP($C1259,COTAÇÕES!$B:$I,7,0),(VLOOKUP($C1259,'INSUMO SINAPI - SP'!$C:$F,4,0)))))</f>
        <v>30.8</v>
      </c>
      <c r="I1259" s="513">
        <f>TRUNC(IF($C1259="",IFERROR(VLOOKUP($B1259,SERVIÇOS!$B:$G,4,0),IFERROR(VLOOKUP($B1259,$D:$K,6,0),)),IFERROR(VLOOKUP($C1259,INSUMOS!$A:$D,4,0),IFERROR(VLOOKUP($C1259,COTAÇÕES!$B:$I,7,0),(VLOOKUP($C1259,'INSUMO SINAPI - SP'!$C:$F,4,0)))))*$G1259,2)</f>
        <v>46.6</v>
      </c>
      <c r="J1259" s="513">
        <f>TRUNC(IF($C1259="",IFERROR(VLOOKUP($B1259,SERVIÇOS!$B:$G,5,0),IFERROR(VLOOKUP($B1259,$D:$K,7,0),)),0)*$G1259,2)</f>
        <v>107.4</v>
      </c>
      <c r="K1259" s="514">
        <f>I1259+J1259</f>
        <v>154</v>
      </c>
      <c r="L1259" s="515"/>
      <c r="M1259" s="471"/>
      <c r="N1259" s="516"/>
      <c r="Q1259" s="472"/>
      <c r="R1259" s="472"/>
      <c r="S1259" s="472"/>
      <c r="T1259" s="472"/>
      <c r="U1259" s="472"/>
      <c r="V1259" s="472"/>
      <c r="W1259" s="472"/>
      <c r="X1259" s="472"/>
      <c r="Y1259" s="472"/>
    </row>
    <row r="1260" spans="1:25" x14ac:dyDescent="0.25">
      <c r="A1260" s="463"/>
      <c r="B1260" s="506">
        <v>88264</v>
      </c>
      <c r="C1260" s="507"/>
      <c r="D1260" s="508"/>
      <c r="E1260" s="509" t="str">
        <f>IF($C1260="",IFERROR(VLOOKUP($B1260,SERVIÇOS!$B:$G,2,0),IFERROR(VLOOKUP($B1260,$D:$K,2,0),"")),IFERROR(VLOOKUP($C1260,INSUMOS!$A:$D,2,0),IFERROR(VLOOKUP($C1260,COTAÇÕES!$B:$I,2,0),(VLOOKUP($C1260,'INSUMO SINAPI - SP'!$C:$F,2,0)))))</f>
        <v>ELETRICISTA COM ENCARGOS COMPLEMENTARES</v>
      </c>
      <c r="F1260" s="510" t="str">
        <f>IF($C1260="",IFERROR(VLOOKUP($B1260,SERVIÇOS!$B:$G,3,0),IFERROR(VLOOKUP($B1260,$D:$K,3,0),"")),IFERROR(VLOOKUP($C1260,INSUMOS!$A:$D,3,0),IFERROR(VLOOKUP($C1260,COTAÇÕES!$B:$I,3,0),(VLOOKUP($C1260,'INSUMO SINAPI - SP'!$C:$F,3,0)))))</f>
        <v>H</v>
      </c>
      <c r="G1260" s="511">
        <v>5</v>
      </c>
      <c r="H1260" s="512">
        <f>IF($C1260="",IFERROR(VLOOKUP($B1260,SERVIÇOS!$B:$G,6,0),IFERROR(VLOOKUP($B1260,$D:$K,8,0),"")),IFERROR(VLOOKUP($C1260,INSUMOS!$A:$D,4,0),IFERROR(VLOOKUP($C1260,COTAÇÕES!$B:$I,7,0),(VLOOKUP($C1260,'INSUMO SINAPI - SP'!$C:$F,4,0)))))</f>
        <v>37.369999999999997</v>
      </c>
      <c r="I1260" s="513">
        <f>TRUNC(IF($C1260="",IFERROR(VLOOKUP($B1260,SERVIÇOS!$B:$G,4,0),IFERROR(VLOOKUP($B1260,$D:$K,6,0),)),IFERROR(VLOOKUP($C1260,INSUMOS!$A:$D,4,0),IFERROR(VLOOKUP($C1260,COTAÇÕES!$B:$I,7,0),(VLOOKUP($C1260,'INSUMO SINAPI - SP'!$C:$F,4,0)))))*$G1260,2)</f>
        <v>46.55</v>
      </c>
      <c r="J1260" s="513">
        <f>TRUNC(IF($C1260="",IFERROR(VLOOKUP($B1260,SERVIÇOS!$B:$G,5,0),IFERROR(VLOOKUP($B1260,$D:$K,7,0),)),0)*$G1260,2)</f>
        <v>140.30000000000001</v>
      </c>
      <c r="K1260" s="514">
        <f>I1260+J1260</f>
        <v>186.85000000000002</v>
      </c>
      <c r="L1260" s="515"/>
      <c r="M1260" s="471"/>
      <c r="N1260" s="516"/>
      <c r="Q1260" s="472"/>
      <c r="R1260" s="472"/>
      <c r="S1260" s="472"/>
      <c r="T1260" s="472"/>
      <c r="U1260" s="472"/>
      <c r="V1260" s="472"/>
      <c r="W1260" s="472"/>
      <c r="X1260" s="472"/>
      <c r="Y1260" s="472"/>
    </row>
    <row r="1261" spans="1:25" x14ac:dyDescent="0.25">
      <c r="A1261" s="463"/>
      <c r="B1261" s="506">
        <v>88309</v>
      </c>
      <c r="C1261" s="507"/>
      <c r="D1261" s="508"/>
      <c r="E1261" s="509" t="str">
        <f>IF($C1261="",IFERROR(VLOOKUP($B1261,SERVIÇOS!$B:$G,2,0),IFERROR(VLOOKUP($B1261,$D:$K,2,0),"")),IFERROR(VLOOKUP($C1261,INSUMOS!$A:$D,2,0),IFERROR(VLOOKUP($C1261,COTAÇÕES!$B:$I,2,0),(VLOOKUP($C1261,'INSUMO SINAPI - SP'!$C:$F,2,0)))))</f>
        <v>PEDREIRO COM ENCARGOS COMPLEMENTARES</v>
      </c>
      <c r="F1261" s="510" t="str">
        <f>IF($C1261="",IFERROR(VLOOKUP($B1261,SERVIÇOS!$B:$G,3,0),IFERROR(VLOOKUP($B1261,$D:$K,3,0),"")),IFERROR(VLOOKUP($C1261,INSUMOS!$A:$D,3,0),IFERROR(VLOOKUP($C1261,COTAÇÕES!$B:$I,3,0),(VLOOKUP($C1261,'INSUMO SINAPI - SP'!$C:$F,3,0)))))</f>
        <v>H</v>
      </c>
      <c r="G1261" s="511">
        <v>1</v>
      </c>
      <c r="H1261" s="512">
        <f>IF($C1261="",IFERROR(VLOOKUP($B1261,SERVIÇOS!$B:$G,6,0),IFERROR(VLOOKUP($B1261,$D:$K,8,0),"")),IFERROR(VLOOKUP($C1261,INSUMOS!$A:$D,4,0),IFERROR(VLOOKUP($C1261,COTAÇÕES!$B:$I,7,0),(VLOOKUP($C1261,'INSUMO SINAPI - SP'!$C:$F,4,0)))))</f>
        <v>36.909999999999997</v>
      </c>
      <c r="I1261" s="513">
        <f>TRUNC(IF($C1261="",IFERROR(VLOOKUP($B1261,SERVIÇOS!$B:$G,4,0),IFERROR(VLOOKUP($B1261,$D:$K,6,0),)),IFERROR(VLOOKUP($C1261,INSUMOS!$A:$D,4,0),IFERROR(VLOOKUP($C1261,COTAÇÕES!$B:$I,7,0),(VLOOKUP($C1261,'INSUMO SINAPI - SP'!$C:$F,4,0)))))*$G1261,2)</f>
        <v>9.2799999999999994</v>
      </c>
      <c r="J1261" s="513">
        <f>TRUNC(IF($C1261="",IFERROR(VLOOKUP($B1261,SERVIÇOS!$B:$G,5,0),IFERROR(VLOOKUP($B1261,$D:$K,7,0),)),0)*$G1261,2)</f>
        <v>27.63</v>
      </c>
      <c r="K1261" s="514">
        <f>I1261+J1261</f>
        <v>36.909999999999997</v>
      </c>
      <c r="L1261" s="515"/>
      <c r="M1261" s="471"/>
      <c r="N1261" s="516"/>
      <c r="Q1261" s="472"/>
      <c r="R1261" s="472"/>
      <c r="S1261" s="472"/>
      <c r="T1261" s="472"/>
      <c r="U1261" s="472"/>
      <c r="V1261" s="472"/>
      <c r="W1261" s="472"/>
      <c r="X1261" s="472"/>
      <c r="Y1261" s="472"/>
    </row>
    <row r="1262" spans="1:25" ht="24" x14ac:dyDescent="0.25">
      <c r="A1262" s="463"/>
      <c r="B1262" s="506">
        <v>87372</v>
      </c>
      <c r="C1262" s="507"/>
      <c r="D1262" s="508"/>
      <c r="E1262" s="509" t="str">
        <f>IF($C1262="",IFERROR(VLOOKUP($B1262,SERVIÇOS!$B:$G,2,0),IFERROR(VLOOKUP($B1262,$D:$K,2,0),"")),IFERROR(VLOOKUP($C1262,INSUMOS!$A:$D,2,0),IFERROR(VLOOKUP($C1262,COTAÇÕES!$B:$I,2,0),(VLOOKUP($C1262,'INSUMO SINAPI - SP'!$C:$F,2,0)))))</f>
        <v>ARGAMASSA TRAÇO 1:3 (EM VOLUME DE CIMENTO E AREIA MÉDIA ÚMIDA) PARA CONTRAPISO, PREPARO MANUAL. AF_08/2019</v>
      </c>
      <c r="F1262" s="510" t="str">
        <f>IF($C1262="",IFERROR(VLOOKUP($B1262,SERVIÇOS!$B:$G,3,0),IFERROR(VLOOKUP($B1262,$D:$K,3,0),"")),IFERROR(VLOOKUP($C1262,INSUMOS!$A:$D,3,0),IFERROR(VLOOKUP($C1262,COTAÇÕES!$B:$I,3,0),(VLOOKUP($C1262,'INSUMO SINAPI - SP'!$C:$F,3,0)))))</f>
        <v>M3</v>
      </c>
      <c r="G1262" s="511">
        <v>0.32</v>
      </c>
      <c r="H1262" s="512">
        <f>IF($C1262="",IFERROR(VLOOKUP($B1262,SERVIÇOS!$B:$G,6,0),IFERROR(VLOOKUP($B1262,$D:$K,8,0),"")),IFERROR(VLOOKUP($C1262,INSUMOS!$A:$D,4,0),IFERROR(VLOOKUP($C1262,COTAÇÕES!$B:$I,7,0),(VLOOKUP($C1262,'INSUMO SINAPI - SP'!$C:$F,4,0)))))</f>
        <v>866.56</v>
      </c>
      <c r="I1262" s="513">
        <f>TRUNC(IF($C1262="",IFERROR(VLOOKUP($B1262,SERVIÇOS!$B:$G,4,0),IFERROR(VLOOKUP($B1262,$D:$K,6,0),)),IFERROR(VLOOKUP($C1262,INSUMOS!$A:$D,4,0),IFERROR(VLOOKUP($C1262,COTAÇÕES!$B:$I,7,0),(VLOOKUP($C1262,'INSUMO SINAPI - SP'!$C:$F,4,0)))))*$G1262,2)</f>
        <v>204.53</v>
      </c>
      <c r="J1262" s="513">
        <f>TRUNC(IF($C1262="",IFERROR(VLOOKUP($B1262,SERVIÇOS!$B:$G,5,0),IFERROR(VLOOKUP($B1262,$D:$K,7,0),)),0)*$G1262,2)</f>
        <v>72.760000000000005</v>
      </c>
      <c r="K1262" s="514">
        <f>I1262+J1262</f>
        <v>277.29000000000002</v>
      </c>
      <c r="L1262" s="515"/>
      <c r="M1262" s="471"/>
      <c r="N1262" s="516"/>
      <c r="Q1262" s="472"/>
      <c r="R1262" s="472"/>
      <c r="S1262" s="472"/>
      <c r="T1262" s="472"/>
      <c r="U1262" s="472"/>
      <c r="V1262" s="472"/>
      <c r="W1262" s="472"/>
      <c r="X1262" s="472"/>
      <c r="Y1262" s="472"/>
    </row>
    <row r="1263" spans="1:25" ht="36" x14ac:dyDescent="0.25">
      <c r="A1263" s="463"/>
      <c r="B1263" s="506"/>
      <c r="C1263" s="507">
        <v>51241</v>
      </c>
      <c r="D1263" s="508"/>
      <c r="E1263" s="518" t="s">
        <v>13258</v>
      </c>
      <c r="F1263" s="519" t="s">
        <v>13260</v>
      </c>
      <c r="G1263" s="511">
        <v>1</v>
      </c>
      <c r="H1263" s="520">
        <v>3104.62</v>
      </c>
      <c r="I1263" s="520">
        <f>TRUNC(H1263*G1263,2)</f>
        <v>3104.62</v>
      </c>
      <c r="J1263" s="521"/>
      <c r="K1263" s="522">
        <f>I1263+J1263</f>
        <v>3104.62</v>
      </c>
      <c r="L1263" s="517" t="s">
        <v>13220</v>
      </c>
      <c r="M1263" s="471"/>
      <c r="N1263" s="516"/>
      <c r="Q1263" s="472"/>
      <c r="R1263" s="472"/>
      <c r="S1263" s="472"/>
      <c r="T1263" s="472"/>
      <c r="U1263" s="472"/>
      <c r="V1263" s="472"/>
      <c r="W1263" s="472"/>
      <c r="X1263" s="472"/>
      <c r="Y1263" s="472"/>
    </row>
    <row r="1264" spans="1:25" ht="48" x14ac:dyDescent="0.25">
      <c r="A1264" s="463"/>
      <c r="B1264" s="498"/>
      <c r="C1264" s="498"/>
      <c r="D1264" s="499" t="s">
        <v>12226</v>
      </c>
      <c r="E1264" s="555" t="s">
        <v>13261</v>
      </c>
      <c r="F1264" s="501" t="s">
        <v>580</v>
      </c>
      <c r="G1264" s="502"/>
      <c r="H1264" s="503"/>
      <c r="I1264" s="504">
        <f>ROUND(SUM(I1265:I1269),2)</f>
        <v>3411.58</v>
      </c>
      <c r="J1264" s="504">
        <f>ROUND(SUM(J1265:J1269),2)</f>
        <v>348.09</v>
      </c>
      <c r="K1264" s="504">
        <f>+J1264+I1264</f>
        <v>3759.67</v>
      </c>
      <c r="L1264" s="523" t="s">
        <v>13102</v>
      </c>
      <c r="M1264" s="471"/>
      <c r="N1264" s="505"/>
      <c r="Q1264" s="472"/>
      <c r="R1264" s="472"/>
      <c r="S1264" s="472"/>
      <c r="T1264" s="472"/>
      <c r="U1264" s="472"/>
      <c r="V1264" s="472"/>
      <c r="W1264" s="472"/>
      <c r="X1264" s="472"/>
      <c r="Y1264" s="472"/>
    </row>
    <row r="1265" spans="1:25" x14ac:dyDescent="0.25">
      <c r="A1265" s="463"/>
      <c r="B1265" s="506">
        <v>88247</v>
      </c>
      <c r="C1265" s="507"/>
      <c r="D1265" s="508"/>
      <c r="E1265" s="509" t="str">
        <f>IF($C1265="",IFERROR(VLOOKUP($B1265,SERVIÇOS!$B:$G,2,0),IFERROR(VLOOKUP($B1265,$D:$K,2,0),"")),IFERROR(VLOOKUP($C1265,INSUMOS!$A:$D,2,0),IFERROR(VLOOKUP($C1265,COTAÇÕES!$B:$I,2,0),(VLOOKUP($C1265,'INSUMO SINAPI - SP'!$C:$F,2,0)))))</f>
        <v>AUXILIAR DE ELETRICISTA COM ENCARGOS COMPLEMENTARES</v>
      </c>
      <c r="F1265" s="510" t="str">
        <f>IF($C1265="",IFERROR(VLOOKUP($B1265,SERVIÇOS!$B:$G,3,0),IFERROR(VLOOKUP($B1265,$D:$K,3,0),"")),IFERROR(VLOOKUP($C1265,INSUMOS!$A:$D,3,0),IFERROR(VLOOKUP($C1265,COTAÇÕES!$B:$I,3,0),(VLOOKUP($C1265,'INSUMO SINAPI - SP'!$C:$F,3,0)))))</f>
        <v>H</v>
      </c>
      <c r="G1265" s="511">
        <v>5</v>
      </c>
      <c r="H1265" s="512">
        <f>IF($C1265="",IFERROR(VLOOKUP($B1265,SERVIÇOS!$B:$G,6,0),IFERROR(VLOOKUP($B1265,$D:$K,8,0),"")),IFERROR(VLOOKUP($C1265,INSUMOS!$A:$D,4,0),IFERROR(VLOOKUP($C1265,COTAÇÕES!$B:$I,7,0),(VLOOKUP($C1265,'INSUMO SINAPI - SP'!$C:$F,4,0)))))</f>
        <v>30.8</v>
      </c>
      <c r="I1265" s="513">
        <f>TRUNC(IF($C1265="",IFERROR(VLOOKUP($B1265,SERVIÇOS!$B:$G,4,0),IFERROR(VLOOKUP($B1265,$D:$K,6,0),)),IFERROR(VLOOKUP($C1265,INSUMOS!$A:$D,4,0),IFERROR(VLOOKUP($C1265,COTAÇÕES!$B:$I,7,0),(VLOOKUP($C1265,'INSUMO SINAPI - SP'!$C:$F,4,0)))))*$G1265,2)</f>
        <v>46.6</v>
      </c>
      <c r="J1265" s="513">
        <f>TRUNC(IF($C1265="",IFERROR(VLOOKUP($B1265,SERVIÇOS!$B:$G,5,0),IFERROR(VLOOKUP($B1265,$D:$K,7,0),)),0)*$G1265,2)</f>
        <v>107.4</v>
      </c>
      <c r="K1265" s="514">
        <f>I1265+J1265</f>
        <v>154</v>
      </c>
      <c r="L1265" s="515"/>
      <c r="M1265" s="471"/>
      <c r="N1265" s="516"/>
      <c r="Q1265" s="472"/>
      <c r="R1265" s="472"/>
      <c r="S1265" s="472"/>
      <c r="T1265" s="472"/>
      <c r="U1265" s="472"/>
      <c r="V1265" s="472"/>
      <c r="W1265" s="472"/>
      <c r="X1265" s="472"/>
      <c r="Y1265" s="472"/>
    </row>
    <row r="1266" spans="1:25" x14ac:dyDescent="0.25">
      <c r="A1266" s="463"/>
      <c r="B1266" s="506">
        <v>88264</v>
      </c>
      <c r="C1266" s="507"/>
      <c r="D1266" s="508"/>
      <c r="E1266" s="509" t="str">
        <f>IF($C1266="",IFERROR(VLOOKUP($B1266,SERVIÇOS!$B:$G,2,0),IFERROR(VLOOKUP($B1266,$D:$K,2,0),"")),IFERROR(VLOOKUP($C1266,INSUMOS!$A:$D,2,0),IFERROR(VLOOKUP($C1266,COTAÇÕES!$B:$I,2,0),(VLOOKUP($C1266,'INSUMO SINAPI - SP'!$C:$F,2,0)))))</f>
        <v>ELETRICISTA COM ENCARGOS COMPLEMENTARES</v>
      </c>
      <c r="F1266" s="510" t="str">
        <f>IF($C1266="",IFERROR(VLOOKUP($B1266,SERVIÇOS!$B:$G,3,0),IFERROR(VLOOKUP($B1266,$D:$K,3,0),"")),IFERROR(VLOOKUP($C1266,INSUMOS!$A:$D,3,0),IFERROR(VLOOKUP($C1266,COTAÇÕES!$B:$I,3,0),(VLOOKUP($C1266,'INSUMO SINAPI - SP'!$C:$F,3,0)))))</f>
        <v>H</v>
      </c>
      <c r="G1266" s="511">
        <v>5</v>
      </c>
      <c r="H1266" s="512">
        <f>IF($C1266="",IFERROR(VLOOKUP($B1266,SERVIÇOS!$B:$G,6,0),IFERROR(VLOOKUP($B1266,$D:$K,8,0),"")),IFERROR(VLOOKUP($C1266,INSUMOS!$A:$D,4,0),IFERROR(VLOOKUP($C1266,COTAÇÕES!$B:$I,7,0),(VLOOKUP($C1266,'INSUMO SINAPI - SP'!$C:$F,4,0)))))</f>
        <v>37.369999999999997</v>
      </c>
      <c r="I1266" s="513">
        <f>TRUNC(IF($C1266="",IFERROR(VLOOKUP($B1266,SERVIÇOS!$B:$G,4,0),IFERROR(VLOOKUP($B1266,$D:$K,6,0),)),IFERROR(VLOOKUP($C1266,INSUMOS!$A:$D,4,0),IFERROR(VLOOKUP($C1266,COTAÇÕES!$B:$I,7,0),(VLOOKUP($C1266,'INSUMO SINAPI - SP'!$C:$F,4,0)))))*$G1266,2)</f>
        <v>46.55</v>
      </c>
      <c r="J1266" s="513">
        <f>TRUNC(IF($C1266="",IFERROR(VLOOKUP($B1266,SERVIÇOS!$B:$G,5,0),IFERROR(VLOOKUP($B1266,$D:$K,7,0),)),0)*$G1266,2)</f>
        <v>140.30000000000001</v>
      </c>
      <c r="K1266" s="514">
        <f>I1266+J1266</f>
        <v>186.85000000000002</v>
      </c>
      <c r="L1266" s="515"/>
      <c r="M1266" s="471"/>
      <c r="N1266" s="516"/>
      <c r="Q1266" s="472"/>
      <c r="R1266" s="472"/>
      <c r="S1266" s="472"/>
      <c r="T1266" s="472"/>
      <c r="U1266" s="472"/>
      <c r="V1266" s="472"/>
      <c r="W1266" s="472"/>
      <c r="X1266" s="472"/>
      <c r="Y1266" s="472"/>
    </row>
    <row r="1267" spans="1:25" x14ac:dyDescent="0.25">
      <c r="A1267" s="463"/>
      <c r="B1267" s="506">
        <v>88309</v>
      </c>
      <c r="C1267" s="507"/>
      <c r="D1267" s="508"/>
      <c r="E1267" s="509" t="str">
        <f>IF($C1267="",IFERROR(VLOOKUP($B1267,SERVIÇOS!$B:$G,2,0),IFERROR(VLOOKUP($B1267,$D:$K,2,0),"")),IFERROR(VLOOKUP($C1267,INSUMOS!$A:$D,2,0),IFERROR(VLOOKUP($C1267,COTAÇÕES!$B:$I,2,0),(VLOOKUP($C1267,'INSUMO SINAPI - SP'!$C:$F,2,0)))))</f>
        <v>PEDREIRO COM ENCARGOS COMPLEMENTARES</v>
      </c>
      <c r="F1267" s="510" t="str">
        <f>IF($C1267="",IFERROR(VLOOKUP($B1267,SERVIÇOS!$B:$G,3,0),IFERROR(VLOOKUP($B1267,$D:$K,3,0),"")),IFERROR(VLOOKUP($C1267,INSUMOS!$A:$D,3,0),IFERROR(VLOOKUP($C1267,COTAÇÕES!$B:$I,3,0),(VLOOKUP($C1267,'INSUMO SINAPI - SP'!$C:$F,3,0)))))</f>
        <v>H</v>
      </c>
      <c r="G1267" s="511">
        <v>1</v>
      </c>
      <c r="H1267" s="512">
        <f>IF($C1267="",IFERROR(VLOOKUP($B1267,SERVIÇOS!$B:$G,6,0),IFERROR(VLOOKUP($B1267,$D:$K,8,0),"")),IFERROR(VLOOKUP($C1267,INSUMOS!$A:$D,4,0),IFERROR(VLOOKUP($C1267,COTAÇÕES!$B:$I,7,0),(VLOOKUP($C1267,'INSUMO SINAPI - SP'!$C:$F,4,0)))))</f>
        <v>36.909999999999997</v>
      </c>
      <c r="I1267" s="513">
        <f>TRUNC(IF($C1267="",IFERROR(VLOOKUP($B1267,SERVIÇOS!$B:$G,4,0),IFERROR(VLOOKUP($B1267,$D:$K,6,0),)),IFERROR(VLOOKUP($C1267,INSUMOS!$A:$D,4,0),IFERROR(VLOOKUP($C1267,COTAÇÕES!$B:$I,7,0),(VLOOKUP($C1267,'INSUMO SINAPI - SP'!$C:$F,4,0)))))*$G1267,2)</f>
        <v>9.2799999999999994</v>
      </c>
      <c r="J1267" s="513">
        <f>TRUNC(IF($C1267="",IFERROR(VLOOKUP($B1267,SERVIÇOS!$B:$G,5,0),IFERROR(VLOOKUP($B1267,$D:$K,7,0),)),0)*$G1267,2)</f>
        <v>27.63</v>
      </c>
      <c r="K1267" s="514">
        <f>I1267+J1267</f>
        <v>36.909999999999997</v>
      </c>
      <c r="L1267" s="515"/>
      <c r="M1267" s="471"/>
      <c r="N1267" s="516"/>
      <c r="Q1267" s="472"/>
      <c r="R1267" s="472"/>
      <c r="S1267" s="472"/>
      <c r="T1267" s="472"/>
      <c r="U1267" s="472"/>
      <c r="V1267" s="472"/>
      <c r="W1267" s="472"/>
      <c r="X1267" s="472"/>
      <c r="Y1267" s="472"/>
    </row>
    <row r="1268" spans="1:25" ht="24" x14ac:dyDescent="0.25">
      <c r="A1268" s="463"/>
      <c r="B1268" s="506">
        <v>87372</v>
      </c>
      <c r="C1268" s="507"/>
      <c r="D1268" s="508"/>
      <c r="E1268" s="509" t="str">
        <f>IF($C1268="",IFERROR(VLOOKUP($B1268,SERVIÇOS!$B:$G,2,0),IFERROR(VLOOKUP($B1268,$D:$K,2,0),"")),IFERROR(VLOOKUP($C1268,INSUMOS!$A:$D,2,0),IFERROR(VLOOKUP($C1268,COTAÇÕES!$B:$I,2,0),(VLOOKUP($C1268,'INSUMO SINAPI - SP'!$C:$F,2,0)))))</f>
        <v>ARGAMASSA TRAÇO 1:3 (EM VOLUME DE CIMENTO E AREIA MÉDIA ÚMIDA) PARA CONTRAPISO, PREPARO MANUAL. AF_08/2019</v>
      </c>
      <c r="F1268" s="510" t="str">
        <f>IF($C1268="",IFERROR(VLOOKUP($B1268,SERVIÇOS!$B:$G,3,0),IFERROR(VLOOKUP($B1268,$D:$K,3,0),"")),IFERROR(VLOOKUP($C1268,INSUMOS!$A:$D,3,0),IFERROR(VLOOKUP($C1268,COTAÇÕES!$B:$I,3,0),(VLOOKUP($C1268,'INSUMO SINAPI - SP'!$C:$F,3,0)))))</f>
        <v>M3</v>
      </c>
      <c r="G1268" s="511">
        <v>0.32</v>
      </c>
      <c r="H1268" s="512">
        <f>IF($C1268="",IFERROR(VLOOKUP($B1268,SERVIÇOS!$B:$G,6,0),IFERROR(VLOOKUP($B1268,$D:$K,8,0),"")),IFERROR(VLOOKUP($C1268,INSUMOS!$A:$D,4,0),IFERROR(VLOOKUP($C1268,COTAÇÕES!$B:$I,7,0),(VLOOKUP($C1268,'INSUMO SINAPI - SP'!$C:$F,4,0)))))</f>
        <v>866.56</v>
      </c>
      <c r="I1268" s="513">
        <f>TRUNC(IF($C1268="",IFERROR(VLOOKUP($B1268,SERVIÇOS!$B:$G,4,0),IFERROR(VLOOKUP($B1268,$D:$K,6,0),)),IFERROR(VLOOKUP($C1268,INSUMOS!$A:$D,4,0),IFERROR(VLOOKUP($C1268,COTAÇÕES!$B:$I,7,0),(VLOOKUP($C1268,'INSUMO SINAPI - SP'!$C:$F,4,0)))))*$G1268,2)</f>
        <v>204.53</v>
      </c>
      <c r="J1268" s="513">
        <f>TRUNC(IF($C1268="",IFERROR(VLOOKUP($B1268,SERVIÇOS!$B:$G,5,0),IFERROR(VLOOKUP($B1268,$D:$K,7,0),)),0)*$G1268,2)</f>
        <v>72.760000000000005</v>
      </c>
      <c r="K1268" s="514">
        <f>I1268+J1268</f>
        <v>277.29000000000002</v>
      </c>
      <c r="L1268" s="515"/>
      <c r="M1268" s="471"/>
      <c r="N1268" s="516"/>
      <c r="Q1268" s="472"/>
      <c r="R1268" s="472"/>
      <c r="S1268" s="472"/>
      <c r="T1268" s="472"/>
      <c r="U1268" s="472"/>
      <c r="V1268" s="472"/>
      <c r="W1268" s="472"/>
      <c r="X1268" s="472"/>
      <c r="Y1268" s="472"/>
    </row>
    <row r="1269" spans="1:25" ht="36" x14ac:dyDescent="0.25">
      <c r="A1269" s="463"/>
      <c r="B1269" s="506"/>
      <c r="C1269" s="507">
        <v>51241</v>
      </c>
      <c r="D1269" s="508"/>
      <c r="E1269" s="518" t="s">
        <v>13258</v>
      </c>
      <c r="F1269" s="519" t="s">
        <v>13260</v>
      </c>
      <c r="G1269" s="511">
        <v>1</v>
      </c>
      <c r="H1269" s="520">
        <v>3104.62</v>
      </c>
      <c r="I1269" s="520">
        <f>TRUNC(H1269*G1269,2)</f>
        <v>3104.62</v>
      </c>
      <c r="J1269" s="521"/>
      <c r="K1269" s="522">
        <f>I1269+J1269</f>
        <v>3104.62</v>
      </c>
      <c r="L1269" s="517" t="s">
        <v>13220</v>
      </c>
      <c r="M1269" s="471"/>
      <c r="N1269" s="516"/>
      <c r="Q1269" s="472"/>
      <c r="R1269" s="472"/>
      <c r="S1269" s="472"/>
      <c r="T1269" s="472"/>
      <c r="U1269" s="472"/>
      <c r="V1269" s="472"/>
      <c r="W1269" s="472"/>
      <c r="X1269" s="472"/>
      <c r="Y1269" s="472"/>
    </row>
    <row r="1270" spans="1:25" ht="48" x14ac:dyDescent="0.25">
      <c r="A1270" s="463"/>
      <c r="B1270" s="498"/>
      <c r="C1270" s="498"/>
      <c r="D1270" s="499" t="s">
        <v>12237</v>
      </c>
      <c r="E1270" s="555" t="s">
        <v>13262</v>
      </c>
      <c r="F1270" s="501" t="s">
        <v>580</v>
      </c>
      <c r="G1270" s="502"/>
      <c r="H1270" s="503"/>
      <c r="I1270" s="504">
        <f>ROUND(SUM(I1271:I1275),2)</f>
        <v>3411.58</v>
      </c>
      <c r="J1270" s="504">
        <f>ROUND(SUM(J1271:J1275),2)</f>
        <v>348.09</v>
      </c>
      <c r="K1270" s="504">
        <f>+J1270+I1270</f>
        <v>3759.67</v>
      </c>
      <c r="L1270" s="523" t="s">
        <v>13102</v>
      </c>
      <c r="M1270" s="471"/>
      <c r="N1270" s="505"/>
      <c r="Q1270" s="472"/>
      <c r="R1270" s="472"/>
      <c r="S1270" s="472"/>
      <c r="T1270" s="472"/>
      <c r="U1270" s="472"/>
      <c r="V1270" s="472"/>
      <c r="W1270" s="472"/>
      <c r="X1270" s="472"/>
      <c r="Y1270" s="472"/>
    </row>
    <row r="1271" spans="1:25" x14ac:dyDescent="0.25">
      <c r="A1271" s="463"/>
      <c r="B1271" s="506">
        <v>88247</v>
      </c>
      <c r="C1271" s="507"/>
      <c r="D1271" s="508"/>
      <c r="E1271" s="509" t="str">
        <f>IF($C1271="",IFERROR(VLOOKUP($B1271,SERVIÇOS!$B:$G,2,0),IFERROR(VLOOKUP($B1271,$D:$K,2,0),"")),IFERROR(VLOOKUP($C1271,INSUMOS!$A:$D,2,0),IFERROR(VLOOKUP($C1271,COTAÇÕES!$B:$I,2,0),(VLOOKUP($C1271,'INSUMO SINAPI - SP'!$C:$F,2,0)))))</f>
        <v>AUXILIAR DE ELETRICISTA COM ENCARGOS COMPLEMENTARES</v>
      </c>
      <c r="F1271" s="510" t="str">
        <f>IF($C1271="",IFERROR(VLOOKUP($B1271,SERVIÇOS!$B:$G,3,0),IFERROR(VLOOKUP($B1271,$D:$K,3,0),"")),IFERROR(VLOOKUP($C1271,INSUMOS!$A:$D,3,0),IFERROR(VLOOKUP($C1271,COTAÇÕES!$B:$I,3,0),(VLOOKUP($C1271,'INSUMO SINAPI - SP'!$C:$F,3,0)))))</f>
        <v>H</v>
      </c>
      <c r="G1271" s="511">
        <v>5</v>
      </c>
      <c r="H1271" s="512">
        <f>IF($C1271="",IFERROR(VLOOKUP($B1271,SERVIÇOS!$B:$G,6,0),IFERROR(VLOOKUP($B1271,$D:$K,8,0),"")),IFERROR(VLOOKUP($C1271,INSUMOS!$A:$D,4,0),IFERROR(VLOOKUP($C1271,COTAÇÕES!$B:$I,7,0),(VLOOKUP($C1271,'INSUMO SINAPI - SP'!$C:$F,4,0)))))</f>
        <v>30.8</v>
      </c>
      <c r="I1271" s="513">
        <f>TRUNC(IF($C1271="",IFERROR(VLOOKUP($B1271,SERVIÇOS!$B:$G,4,0),IFERROR(VLOOKUP($B1271,$D:$K,6,0),)),IFERROR(VLOOKUP($C1271,INSUMOS!$A:$D,4,0),IFERROR(VLOOKUP($C1271,COTAÇÕES!$B:$I,7,0),(VLOOKUP($C1271,'INSUMO SINAPI - SP'!$C:$F,4,0)))))*$G1271,2)</f>
        <v>46.6</v>
      </c>
      <c r="J1271" s="513">
        <f>TRUNC(IF($C1271="",IFERROR(VLOOKUP($B1271,SERVIÇOS!$B:$G,5,0),IFERROR(VLOOKUP($B1271,$D:$K,7,0),)),0)*$G1271,2)</f>
        <v>107.4</v>
      </c>
      <c r="K1271" s="514">
        <f>I1271+J1271</f>
        <v>154</v>
      </c>
      <c r="L1271" s="515"/>
      <c r="M1271" s="471"/>
      <c r="N1271" s="516"/>
      <c r="Q1271" s="472"/>
      <c r="R1271" s="472"/>
      <c r="S1271" s="472"/>
      <c r="T1271" s="472"/>
      <c r="U1271" s="472"/>
      <c r="V1271" s="472"/>
      <c r="W1271" s="472"/>
      <c r="X1271" s="472"/>
      <c r="Y1271" s="472"/>
    </row>
    <row r="1272" spans="1:25" x14ac:dyDescent="0.25">
      <c r="A1272" s="463"/>
      <c r="B1272" s="506">
        <v>88264</v>
      </c>
      <c r="C1272" s="507"/>
      <c r="D1272" s="508"/>
      <c r="E1272" s="509" t="str">
        <f>IF($C1272="",IFERROR(VLOOKUP($B1272,SERVIÇOS!$B:$G,2,0),IFERROR(VLOOKUP($B1272,$D:$K,2,0),"")),IFERROR(VLOOKUP($C1272,INSUMOS!$A:$D,2,0),IFERROR(VLOOKUP($C1272,COTAÇÕES!$B:$I,2,0),(VLOOKUP($C1272,'INSUMO SINAPI - SP'!$C:$F,2,0)))))</f>
        <v>ELETRICISTA COM ENCARGOS COMPLEMENTARES</v>
      </c>
      <c r="F1272" s="510" t="str">
        <f>IF($C1272="",IFERROR(VLOOKUP($B1272,SERVIÇOS!$B:$G,3,0),IFERROR(VLOOKUP($B1272,$D:$K,3,0),"")),IFERROR(VLOOKUP($C1272,INSUMOS!$A:$D,3,0),IFERROR(VLOOKUP($C1272,COTAÇÕES!$B:$I,3,0),(VLOOKUP($C1272,'INSUMO SINAPI - SP'!$C:$F,3,0)))))</f>
        <v>H</v>
      </c>
      <c r="G1272" s="511">
        <v>5</v>
      </c>
      <c r="H1272" s="512">
        <f>IF($C1272="",IFERROR(VLOOKUP($B1272,SERVIÇOS!$B:$G,6,0),IFERROR(VLOOKUP($B1272,$D:$K,8,0),"")),IFERROR(VLOOKUP($C1272,INSUMOS!$A:$D,4,0),IFERROR(VLOOKUP($C1272,COTAÇÕES!$B:$I,7,0),(VLOOKUP($C1272,'INSUMO SINAPI - SP'!$C:$F,4,0)))))</f>
        <v>37.369999999999997</v>
      </c>
      <c r="I1272" s="513">
        <f>TRUNC(IF($C1272="",IFERROR(VLOOKUP($B1272,SERVIÇOS!$B:$G,4,0),IFERROR(VLOOKUP($B1272,$D:$K,6,0),)),IFERROR(VLOOKUP($C1272,INSUMOS!$A:$D,4,0),IFERROR(VLOOKUP($C1272,COTAÇÕES!$B:$I,7,0),(VLOOKUP($C1272,'INSUMO SINAPI - SP'!$C:$F,4,0)))))*$G1272,2)</f>
        <v>46.55</v>
      </c>
      <c r="J1272" s="513">
        <f>TRUNC(IF($C1272="",IFERROR(VLOOKUP($B1272,SERVIÇOS!$B:$G,5,0),IFERROR(VLOOKUP($B1272,$D:$K,7,0),)),0)*$G1272,2)</f>
        <v>140.30000000000001</v>
      </c>
      <c r="K1272" s="514">
        <f>I1272+J1272</f>
        <v>186.85000000000002</v>
      </c>
      <c r="L1272" s="515"/>
      <c r="M1272" s="471"/>
      <c r="N1272" s="516"/>
      <c r="Q1272" s="472"/>
      <c r="R1272" s="472"/>
      <c r="S1272" s="472"/>
      <c r="T1272" s="472"/>
      <c r="U1272" s="472"/>
      <c r="V1272" s="472"/>
      <c r="W1272" s="472"/>
      <c r="X1272" s="472"/>
      <c r="Y1272" s="472"/>
    </row>
    <row r="1273" spans="1:25" x14ac:dyDescent="0.25">
      <c r="A1273" s="463"/>
      <c r="B1273" s="506">
        <v>88309</v>
      </c>
      <c r="C1273" s="507"/>
      <c r="D1273" s="508"/>
      <c r="E1273" s="509" t="str">
        <f>IF($C1273="",IFERROR(VLOOKUP($B1273,SERVIÇOS!$B:$G,2,0),IFERROR(VLOOKUP($B1273,$D:$K,2,0),"")),IFERROR(VLOOKUP($C1273,INSUMOS!$A:$D,2,0),IFERROR(VLOOKUP($C1273,COTAÇÕES!$B:$I,2,0),(VLOOKUP($C1273,'INSUMO SINAPI - SP'!$C:$F,2,0)))))</f>
        <v>PEDREIRO COM ENCARGOS COMPLEMENTARES</v>
      </c>
      <c r="F1273" s="510" t="str">
        <f>IF($C1273="",IFERROR(VLOOKUP($B1273,SERVIÇOS!$B:$G,3,0),IFERROR(VLOOKUP($B1273,$D:$K,3,0),"")),IFERROR(VLOOKUP($C1273,INSUMOS!$A:$D,3,0),IFERROR(VLOOKUP($C1273,COTAÇÕES!$B:$I,3,0),(VLOOKUP($C1273,'INSUMO SINAPI - SP'!$C:$F,3,0)))))</f>
        <v>H</v>
      </c>
      <c r="G1273" s="511">
        <v>1</v>
      </c>
      <c r="H1273" s="512">
        <f>IF($C1273="",IFERROR(VLOOKUP($B1273,SERVIÇOS!$B:$G,6,0),IFERROR(VLOOKUP($B1273,$D:$K,8,0),"")),IFERROR(VLOOKUP($C1273,INSUMOS!$A:$D,4,0),IFERROR(VLOOKUP($C1273,COTAÇÕES!$B:$I,7,0),(VLOOKUP($C1273,'INSUMO SINAPI - SP'!$C:$F,4,0)))))</f>
        <v>36.909999999999997</v>
      </c>
      <c r="I1273" s="513">
        <f>TRUNC(IF($C1273="",IFERROR(VLOOKUP($B1273,SERVIÇOS!$B:$G,4,0),IFERROR(VLOOKUP($B1273,$D:$K,6,0),)),IFERROR(VLOOKUP($C1273,INSUMOS!$A:$D,4,0),IFERROR(VLOOKUP($C1273,COTAÇÕES!$B:$I,7,0),(VLOOKUP($C1273,'INSUMO SINAPI - SP'!$C:$F,4,0)))))*$G1273,2)</f>
        <v>9.2799999999999994</v>
      </c>
      <c r="J1273" s="513">
        <f>TRUNC(IF($C1273="",IFERROR(VLOOKUP($B1273,SERVIÇOS!$B:$G,5,0),IFERROR(VLOOKUP($B1273,$D:$K,7,0),)),0)*$G1273,2)</f>
        <v>27.63</v>
      </c>
      <c r="K1273" s="514">
        <f>I1273+J1273</f>
        <v>36.909999999999997</v>
      </c>
      <c r="L1273" s="515"/>
      <c r="M1273" s="471"/>
      <c r="N1273" s="516"/>
      <c r="Q1273" s="472"/>
      <c r="R1273" s="472"/>
      <c r="S1273" s="472"/>
      <c r="T1273" s="472"/>
      <c r="U1273" s="472"/>
      <c r="V1273" s="472"/>
      <c r="W1273" s="472"/>
      <c r="X1273" s="472"/>
      <c r="Y1273" s="472"/>
    </row>
    <row r="1274" spans="1:25" ht="24" x14ac:dyDescent="0.25">
      <c r="A1274" s="463"/>
      <c r="B1274" s="506">
        <v>87372</v>
      </c>
      <c r="C1274" s="507"/>
      <c r="D1274" s="508"/>
      <c r="E1274" s="509" t="str">
        <f>IF($C1274="",IFERROR(VLOOKUP($B1274,SERVIÇOS!$B:$G,2,0),IFERROR(VLOOKUP($B1274,$D:$K,2,0),"")),IFERROR(VLOOKUP($C1274,INSUMOS!$A:$D,2,0),IFERROR(VLOOKUP($C1274,COTAÇÕES!$B:$I,2,0),(VLOOKUP($C1274,'INSUMO SINAPI - SP'!$C:$F,2,0)))))</f>
        <v>ARGAMASSA TRAÇO 1:3 (EM VOLUME DE CIMENTO E AREIA MÉDIA ÚMIDA) PARA CONTRAPISO, PREPARO MANUAL. AF_08/2019</v>
      </c>
      <c r="F1274" s="510" t="str">
        <f>IF($C1274="",IFERROR(VLOOKUP($B1274,SERVIÇOS!$B:$G,3,0),IFERROR(VLOOKUP($B1274,$D:$K,3,0),"")),IFERROR(VLOOKUP($C1274,INSUMOS!$A:$D,3,0),IFERROR(VLOOKUP($C1274,COTAÇÕES!$B:$I,3,0),(VLOOKUP($C1274,'INSUMO SINAPI - SP'!$C:$F,3,0)))))</f>
        <v>M3</v>
      </c>
      <c r="G1274" s="511">
        <v>0.32</v>
      </c>
      <c r="H1274" s="512">
        <f>IF($C1274="",IFERROR(VLOOKUP($B1274,SERVIÇOS!$B:$G,6,0),IFERROR(VLOOKUP($B1274,$D:$K,8,0),"")),IFERROR(VLOOKUP($C1274,INSUMOS!$A:$D,4,0),IFERROR(VLOOKUP($C1274,COTAÇÕES!$B:$I,7,0),(VLOOKUP($C1274,'INSUMO SINAPI - SP'!$C:$F,4,0)))))</f>
        <v>866.56</v>
      </c>
      <c r="I1274" s="513">
        <f>TRUNC(IF($C1274="",IFERROR(VLOOKUP($B1274,SERVIÇOS!$B:$G,4,0),IFERROR(VLOOKUP($B1274,$D:$K,6,0),)),IFERROR(VLOOKUP($C1274,INSUMOS!$A:$D,4,0),IFERROR(VLOOKUP($C1274,COTAÇÕES!$B:$I,7,0),(VLOOKUP($C1274,'INSUMO SINAPI - SP'!$C:$F,4,0)))))*$G1274,2)</f>
        <v>204.53</v>
      </c>
      <c r="J1274" s="513">
        <f>TRUNC(IF($C1274="",IFERROR(VLOOKUP($B1274,SERVIÇOS!$B:$G,5,0),IFERROR(VLOOKUP($B1274,$D:$K,7,0),)),0)*$G1274,2)</f>
        <v>72.760000000000005</v>
      </c>
      <c r="K1274" s="514">
        <f>I1274+J1274</f>
        <v>277.29000000000002</v>
      </c>
      <c r="L1274" s="515"/>
      <c r="M1274" s="471"/>
      <c r="N1274" s="516"/>
      <c r="Q1274" s="472"/>
      <c r="R1274" s="472"/>
      <c r="S1274" s="472"/>
      <c r="T1274" s="472"/>
      <c r="U1274" s="472"/>
      <c r="V1274" s="472"/>
      <c r="W1274" s="472"/>
      <c r="X1274" s="472"/>
      <c r="Y1274" s="472"/>
    </row>
    <row r="1275" spans="1:25" ht="36" x14ac:dyDescent="0.25">
      <c r="A1275" s="463"/>
      <c r="B1275" s="506"/>
      <c r="C1275" s="507">
        <v>51241</v>
      </c>
      <c r="D1275" s="508"/>
      <c r="E1275" s="518" t="s">
        <v>13258</v>
      </c>
      <c r="F1275" s="519" t="s">
        <v>13260</v>
      </c>
      <c r="G1275" s="511">
        <v>1</v>
      </c>
      <c r="H1275" s="520">
        <v>3104.62</v>
      </c>
      <c r="I1275" s="520">
        <f>TRUNC(H1275*G1275,2)</f>
        <v>3104.62</v>
      </c>
      <c r="J1275" s="521"/>
      <c r="K1275" s="522">
        <f>I1275+J1275</f>
        <v>3104.62</v>
      </c>
      <c r="L1275" s="517" t="s">
        <v>13220</v>
      </c>
      <c r="M1275" s="471"/>
      <c r="N1275" s="516"/>
      <c r="Q1275" s="472"/>
      <c r="R1275" s="472"/>
      <c r="S1275" s="472"/>
      <c r="T1275" s="472"/>
      <c r="U1275" s="472"/>
      <c r="V1275" s="472"/>
      <c r="W1275" s="472"/>
      <c r="X1275" s="472"/>
      <c r="Y1275" s="472"/>
    </row>
    <row r="1276" spans="1:25" x14ac:dyDescent="0.25">
      <c r="A1276" s="463"/>
      <c r="B1276" s="498"/>
      <c r="C1276" s="498"/>
      <c r="D1276" s="499" t="s">
        <v>12255</v>
      </c>
      <c r="E1276" s="555" t="s">
        <v>13263</v>
      </c>
      <c r="F1276" s="501" t="s">
        <v>580</v>
      </c>
      <c r="G1276" s="502"/>
      <c r="H1276" s="503"/>
      <c r="I1276" s="504">
        <f>ROUND(SUM(I1277),2)</f>
        <v>552.09</v>
      </c>
      <c r="J1276" s="504">
        <f>ROUND(SUM(J1277),2)</f>
        <v>35.61</v>
      </c>
      <c r="K1276" s="504">
        <f>+J1276+I1276</f>
        <v>587.70000000000005</v>
      </c>
      <c r="L1276" s="523"/>
      <c r="M1276" s="471"/>
      <c r="N1276" s="505"/>
      <c r="Q1276" s="472"/>
      <c r="R1276" s="472"/>
      <c r="S1276" s="472"/>
      <c r="T1276" s="472"/>
      <c r="U1276" s="472"/>
      <c r="V1276" s="472"/>
      <c r="W1276" s="472"/>
      <c r="X1276" s="472"/>
      <c r="Y1276" s="472"/>
    </row>
    <row r="1277" spans="1:25" ht="36" x14ac:dyDescent="0.25">
      <c r="A1277" s="463"/>
      <c r="B1277" s="506">
        <v>101880</v>
      </c>
      <c r="C1277" s="507"/>
      <c r="D1277" s="508"/>
      <c r="E1277" s="509" t="str">
        <f>IF($C1277="",IFERROR(VLOOKUP($B1277,SERVIÇOS!$B:$G,2,0),IFERROR(VLOOKUP($B1277,$D:$K,2,0),"")),IFERROR(VLOOKUP($C1277,INSUMOS!$A:$D,2,0),IFERROR(VLOOKUP($C1277,COTAÇÕES!$B:$I,2,0),(VLOOKUP($C1277,'INSUMO SINAPI - SP'!$C:$F,2,0)))))</f>
        <v>QUADRO DE DISTRIBUIÇÃO DE ENERGIA EM CHAPA DE AÇO GALVANIZADO, DE EMBUTIR, COM BARRAMENTO TRIFÁSICO, PARA 30 DISJUNTORES DIN 150A - FORNECIMENTO E INSTALAÇÃO. AF_10/2020</v>
      </c>
      <c r="F1277" s="510" t="str">
        <f>IF($C1277="",IFERROR(VLOOKUP($B1277,SERVIÇOS!$B:$G,3,0),IFERROR(VLOOKUP($B1277,$D:$K,3,0),"")),IFERROR(VLOOKUP($C1277,INSUMOS!$A:$D,3,0),IFERROR(VLOOKUP($C1277,COTAÇÕES!$B:$I,3,0),(VLOOKUP($C1277,'INSUMO SINAPI - SP'!$C:$F,3,0)))))</f>
        <v>UN</v>
      </c>
      <c r="G1277" s="511">
        <v>1</v>
      </c>
      <c r="H1277" s="512">
        <f>IF($C1277="",IFERROR(VLOOKUP($B1277,SERVIÇOS!$B:$G,6,0),IFERROR(VLOOKUP($B1277,$D:$K,8,0),"")),IFERROR(VLOOKUP($C1277,INSUMOS!$A:$D,4,0),IFERROR(VLOOKUP($C1277,COTAÇÕES!$B:$I,7,0),(VLOOKUP($C1277,'INSUMO SINAPI - SP'!$C:$F,4,0)))))</f>
        <v>587.70000000000005</v>
      </c>
      <c r="I1277" s="513">
        <f>TRUNC(IF($C1277="",IFERROR(VLOOKUP($B1277,SERVIÇOS!$B:$G,4,0),IFERROR(VLOOKUP($B1277,$D:$K,6,0),)),IFERROR(VLOOKUP($C1277,INSUMOS!$A:$D,4,0),IFERROR(VLOOKUP($C1277,COTAÇÕES!$B:$I,7,0),(VLOOKUP($C1277,'INSUMO SINAPI - SP'!$C:$F,4,0)))))*$G1277,2)</f>
        <v>552.09</v>
      </c>
      <c r="J1277" s="513">
        <f>TRUNC(IF($C1277="",IFERROR(VLOOKUP($B1277,SERVIÇOS!$B:$G,5,0),IFERROR(VLOOKUP($B1277,$D:$K,7,0),)),0)*$G1277,2)</f>
        <v>35.61</v>
      </c>
      <c r="K1277" s="514">
        <f>I1277+J1277</f>
        <v>587.70000000000005</v>
      </c>
      <c r="L1277" s="515"/>
      <c r="M1277" s="471"/>
      <c r="N1277" s="516"/>
      <c r="Q1277" s="472"/>
      <c r="R1277" s="472"/>
      <c r="S1277" s="472"/>
      <c r="T1277" s="472"/>
      <c r="U1277" s="472"/>
      <c r="V1277" s="472"/>
      <c r="W1277" s="472"/>
      <c r="X1277" s="472"/>
      <c r="Y1277" s="472"/>
    </row>
    <row r="1278" spans="1:25" ht="24" x14ac:dyDescent="0.25">
      <c r="A1278" s="463"/>
      <c r="B1278" s="498"/>
      <c r="C1278" s="498"/>
      <c r="D1278" s="499" t="s">
        <v>12261</v>
      </c>
      <c r="E1278" s="555" t="s">
        <v>13264</v>
      </c>
      <c r="F1278" s="501" t="s">
        <v>580</v>
      </c>
      <c r="G1278" s="502"/>
      <c r="H1278" s="503"/>
      <c r="I1278" s="504">
        <f>ROUND(SUM(I1279),2)</f>
        <v>479.87</v>
      </c>
      <c r="J1278" s="504">
        <f>ROUND(SUM(J1279),2)</f>
        <v>29.65</v>
      </c>
      <c r="K1278" s="504">
        <f>+J1278+I1278</f>
        <v>509.52</v>
      </c>
      <c r="L1278" s="523"/>
      <c r="M1278" s="471"/>
      <c r="N1278" s="505"/>
      <c r="Q1278" s="472"/>
      <c r="R1278" s="472"/>
      <c r="S1278" s="472"/>
      <c r="T1278" s="472"/>
      <c r="U1278" s="472"/>
      <c r="V1278" s="472"/>
      <c r="W1278" s="472"/>
      <c r="X1278" s="472"/>
      <c r="Y1278" s="472"/>
    </row>
    <row r="1279" spans="1:25" ht="36" x14ac:dyDescent="0.25">
      <c r="A1279" s="463"/>
      <c r="B1279" s="506">
        <v>101879</v>
      </c>
      <c r="C1279" s="507"/>
      <c r="D1279" s="508"/>
      <c r="E1279" s="509" t="str">
        <f>IF($C1279="",IFERROR(VLOOKUP($B1279,SERVIÇOS!$B:$G,2,0),IFERROR(VLOOKUP($B1279,$D:$K,2,0),"")),IFERROR(VLOOKUP($C1279,INSUMOS!$A:$D,2,0),IFERROR(VLOOKUP($C1279,COTAÇÕES!$B:$I,2,0),(VLOOKUP($C1279,'INSUMO SINAPI - SP'!$C:$F,2,0)))))</f>
        <v>QUADRO DE DISTRIBUIÇÃO DE ENERGIA EM CHAPA DE AÇO GALVANIZADO, DE EMBUTIR, COM BARRAMENTO TRIFÁSICO, PARA 24 DISJUNTORES DIN 100A - FORNECIMENTO E INSTALAÇÃO. AF_10/2020</v>
      </c>
      <c r="F1279" s="510" t="str">
        <f>IF($C1279="",IFERROR(VLOOKUP($B1279,SERVIÇOS!$B:$G,3,0),IFERROR(VLOOKUP($B1279,$D:$K,3,0),"")),IFERROR(VLOOKUP($C1279,INSUMOS!$A:$D,3,0),IFERROR(VLOOKUP($C1279,COTAÇÕES!$B:$I,3,0),(VLOOKUP($C1279,'INSUMO SINAPI - SP'!$C:$F,3,0)))))</f>
        <v>UN</v>
      </c>
      <c r="G1279" s="511">
        <v>1</v>
      </c>
      <c r="H1279" s="512">
        <f>IF($C1279="",IFERROR(VLOOKUP($B1279,SERVIÇOS!$B:$G,6,0),IFERROR(VLOOKUP($B1279,$D:$K,8,0),"")),IFERROR(VLOOKUP($C1279,INSUMOS!$A:$D,4,0),IFERROR(VLOOKUP($C1279,COTAÇÕES!$B:$I,7,0),(VLOOKUP($C1279,'INSUMO SINAPI - SP'!$C:$F,4,0)))))</f>
        <v>509.52</v>
      </c>
      <c r="I1279" s="513">
        <f>TRUNC(IF($C1279="",IFERROR(VLOOKUP($B1279,SERVIÇOS!$B:$G,4,0),IFERROR(VLOOKUP($B1279,$D:$K,6,0),)),IFERROR(VLOOKUP($C1279,INSUMOS!$A:$D,4,0),IFERROR(VLOOKUP($C1279,COTAÇÕES!$B:$I,7,0),(VLOOKUP($C1279,'INSUMO SINAPI - SP'!$C:$F,4,0)))))*$G1279,2)</f>
        <v>479.87</v>
      </c>
      <c r="J1279" s="513">
        <f>TRUNC(IF($C1279="",IFERROR(VLOOKUP($B1279,SERVIÇOS!$B:$G,5,0),IFERROR(VLOOKUP($B1279,$D:$K,7,0),)),0)*$G1279,2)</f>
        <v>29.65</v>
      </c>
      <c r="K1279" s="514">
        <f>I1279+J1279</f>
        <v>509.52</v>
      </c>
      <c r="L1279" s="515"/>
      <c r="M1279" s="471"/>
      <c r="N1279" s="516"/>
      <c r="Q1279" s="472"/>
      <c r="R1279" s="472"/>
      <c r="S1279" s="472"/>
      <c r="T1279" s="472"/>
      <c r="U1279" s="472"/>
      <c r="V1279" s="472"/>
      <c r="W1279" s="472"/>
      <c r="X1279" s="472"/>
      <c r="Y1279" s="472"/>
    </row>
    <row r="1280" spans="1:25" ht="48" x14ac:dyDescent="0.25">
      <c r="A1280" s="463"/>
      <c r="B1280" s="498"/>
      <c r="C1280" s="498"/>
      <c r="D1280" s="499" t="s">
        <v>12265</v>
      </c>
      <c r="E1280" s="555" t="s">
        <v>13265</v>
      </c>
      <c r="F1280" s="501" t="s">
        <v>580</v>
      </c>
      <c r="G1280" s="502"/>
      <c r="H1280" s="503"/>
      <c r="I1280" s="504">
        <f>ROUND(SUM(I1281:I1283),2)</f>
        <v>3384.17</v>
      </c>
      <c r="J1280" s="504">
        <f>ROUND(SUM(J1281:J1283),2)</f>
        <v>396.32</v>
      </c>
      <c r="K1280" s="504">
        <f>+J1280+I1280</f>
        <v>3780.4900000000002</v>
      </c>
      <c r="L1280" s="523" t="s">
        <v>13266</v>
      </c>
      <c r="M1280" s="471"/>
      <c r="N1280" s="505"/>
      <c r="Q1280" s="472"/>
      <c r="R1280" s="472"/>
      <c r="S1280" s="472"/>
      <c r="T1280" s="472"/>
      <c r="U1280" s="472"/>
      <c r="V1280" s="472"/>
      <c r="W1280" s="472"/>
      <c r="X1280" s="472"/>
      <c r="Y1280" s="472"/>
    </row>
    <row r="1281" spans="1:25" x14ac:dyDescent="0.25">
      <c r="A1281" s="463"/>
      <c r="B1281" s="506">
        <v>88247</v>
      </c>
      <c r="C1281" s="507"/>
      <c r="D1281" s="508"/>
      <c r="E1281" s="509" t="str">
        <f>IF($C1281="",IFERROR(VLOOKUP($B1281,SERVIÇOS!$B:$G,2,0),IFERROR(VLOOKUP($B1281,$D:$K,2,0),"")),IFERROR(VLOOKUP($C1281,INSUMOS!$A:$D,2,0),IFERROR(VLOOKUP($C1281,COTAÇÕES!$B:$I,2,0),(VLOOKUP($C1281,'INSUMO SINAPI - SP'!$C:$F,2,0)))))</f>
        <v>AUXILIAR DE ELETRICISTA COM ENCARGOS COMPLEMENTARES</v>
      </c>
      <c r="F1281" s="510" t="str">
        <f>IF($C1281="",IFERROR(VLOOKUP($B1281,SERVIÇOS!$B:$G,3,0),IFERROR(VLOOKUP($B1281,$D:$K,3,0),"")),IFERROR(VLOOKUP($C1281,INSUMOS!$A:$D,3,0),IFERROR(VLOOKUP($C1281,COTAÇÕES!$B:$I,3,0),(VLOOKUP($C1281,'INSUMO SINAPI - SP'!$C:$F,3,0)))))</f>
        <v>H</v>
      </c>
      <c r="G1281" s="511">
        <v>8</v>
      </c>
      <c r="H1281" s="512">
        <f>IF($C1281="",IFERROR(VLOOKUP($B1281,SERVIÇOS!$B:$G,6,0),IFERROR(VLOOKUP($B1281,$D:$K,8,0),"")),IFERROR(VLOOKUP($C1281,INSUMOS!$A:$D,4,0),IFERROR(VLOOKUP($C1281,COTAÇÕES!$B:$I,7,0),(VLOOKUP($C1281,'INSUMO SINAPI - SP'!$C:$F,4,0)))))</f>
        <v>30.8</v>
      </c>
      <c r="I1281" s="513">
        <f>TRUNC(IF($C1281="",IFERROR(VLOOKUP($B1281,SERVIÇOS!$B:$G,4,0),IFERROR(VLOOKUP($B1281,$D:$K,6,0),)),IFERROR(VLOOKUP($C1281,INSUMOS!$A:$D,4,0),IFERROR(VLOOKUP($C1281,COTAÇÕES!$B:$I,7,0),(VLOOKUP($C1281,'INSUMO SINAPI - SP'!$C:$F,4,0)))))*$G1281,2)</f>
        <v>74.56</v>
      </c>
      <c r="J1281" s="513">
        <f>TRUNC(IF($C1281="",IFERROR(VLOOKUP($B1281,SERVIÇOS!$B:$G,5,0),IFERROR(VLOOKUP($B1281,$D:$K,7,0),)),0)*$G1281,2)</f>
        <v>171.84</v>
      </c>
      <c r="K1281" s="514">
        <f>I1281+J1281</f>
        <v>246.4</v>
      </c>
      <c r="L1281" s="515"/>
      <c r="M1281" s="471"/>
      <c r="N1281" s="516"/>
      <c r="Q1281" s="472"/>
      <c r="R1281" s="472"/>
      <c r="S1281" s="472"/>
      <c r="T1281" s="472"/>
      <c r="U1281" s="472"/>
      <c r="V1281" s="472"/>
      <c r="W1281" s="472"/>
      <c r="X1281" s="472"/>
      <c r="Y1281" s="472"/>
    </row>
    <row r="1282" spans="1:25" x14ac:dyDescent="0.25">
      <c r="A1282" s="463"/>
      <c r="B1282" s="506">
        <v>88264</v>
      </c>
      <c r="C1282" s="507"/>
      <c r="D1282" s="508"/>
      <c r="E1282" s="509" t="str">
        <f>IF($C1282="",IFERROR(VLOOKUP($B1282,SERVIÇOS!$B:$G,2,0),IFERROR(VLOOKUP($B1282,$D:$K,2,0),"")),IFERROR(VLOOKUP($C1282,INSUMOS!$A:$D,2,0),IFERROR(VLOOKUP($C1282,COTAÇÕES!$B:$I,2,0),(VLOOKUP($C1282,'INSUMO SINAPI - SP'!$C:$F,2,0)))))</f>
        <v>ELETRICISTA COM ENCARGOS COMPLEMENTARES</v>
      </c>
      <c r="F1282" s="510" t="str">
        <f>IF($C1282="",IFERROR(VLOOKUP($B1282,SERVIÇOS!$B:$G,3,0),IFERROR(VLOOKUP($B1282,$D:$K,3,0),"")),IFERROR(VLOOKUP($C1282,INSUMOS!$A:$D,3,0),IFERROR(VLOOKUP($C1282,COTAÇÕES!$B:$I,3,0),(VLOOKUP($C1282,'INSUMO SINAPI - SP'!$C:$F,3,0)))))</f>
        <v>H</v>
      </c>
      <c r="G1282" s="511">
        <v>8</v>
      </c>
      <c r="H1282" s="512">
        <f>IF($C1282="",IFERROR(VLOOKUP($B1282,SERVIÇOS!$B:$G,6,0),IFERROR(VLOOKUP($B1282,$D:$K,8,0),"")),IFERROR(VLOOKUP($C1282,INSUMOS!$A:$D,4,0),IFERROR(VLOOKUP($C1282,COTAÇÕES!$B:$I,7,0),(VLOOKUP($C1282,'INSUMO SINAPI - SP'!$C:$F,4,0)))))</f>
        <v>37.369999999999997</v>
      </c>
      <c r="I1282" s="513">
        <f>TRUNC(IF($C1282="",IFERROR(VLOOKUP($B1282,SERVIÇOS!$B:$G,4,0),IFERROR(VLOOKUP($B1282,$D:$K,6,0),)),IFERROR(VLOOKUP($C1282,INSUMOS!$A:$D,4,0),IFERROR(VLOOKUP($C1282,COTAÇÕES!$B:$I,7,0),(VLOOKUP($C1282,'INSUMO SINAPI - SP'!$C:$F,4,0)))))*$G1282,2)</f>
        <v>74.48</v>
      </c>
      <c r="J1282" s="513">
        <f>TRUNC(IF($C1282="",IFERROR(VLOOKUP($B1282,SERVIÇOS!$B:$G,5,0),IFERROR(VLOOKUP($B1282,$D:$K,7,0),)),0)*$G1282,2)</f>
        <v>224.48</v>
      </c>
      <c r="K1282" s="514">
        <f>I1282+J1282</f>
        <v>298.95999999999998</v>
      </c>
      <c r="L1282" s="515"/>
      <c r="M1282" s="471"/>
      <c r="N1282" s="516"/>
      <c r="Q1282" s="472"/>
      <c r="R1282" s="472"/>
      <c r="S1282" s="472"/>
      <c r="T1282" s="472"/>
      <c r="U1282" s="472"/>
      <c r="V1282" s="472"/>
      <c r="W1282" s="472"/>
      <c r="X1282" s="472"/>
      <c r="Y1282" s="472"/>
    </row>
    <row r="1283" spans="1:25" ht="36" x14ac:dyDescent="0.25">
      <c r="A1283" s="463"/>
      <c r="B1283" s="506"/>
      <c r="C1283" s="507" t="s">
        <v>13267</v>
      </c>
      <c r="D1283" s="508"/>
      <c r="E1283" s="518" t="s">
        <v>13258</v>
      </c>
      <c r="F1283" s="519" t="s">
        <v>580</v>
      </c>
      <c r="G1283" s="511">
        <v>1</v>
      </c>
      <c r="H1283" s="520">
        <v>3235.13</v>
      </c>
      <c r="I1283" s="520">
        <f>TRUNC(H1283*G1283,2)</f>
        <v>3235.13</v>
      </c>
      <c r="J1283" s="521"/>
      <c r="K1283" s="522">
        <f>I1283+J1283</f>
        <v>3235.13</v>
      </c>
      <c r="L1283" s="517" t="s">
        <v>12668</v>
      </c>
      <c r="M1283" s="471"/>
      <c r="N1283" s="516"/>
      <c r="Q1283" s="472"/>
      <c r="R1283" s="472"/>
      <c r="S1283" s="472"/>
      <c r="T1283" s="472"/>
      <c r="U1283" s="472"/>
      <c r="V1283" s="472"/>
      <c r="W1283" s="472"/>
      <c r="X1283" s="472"/>
      <c r="Y1283" s="472"/>
    </row>
    <row r="1284" spans="1:25" ht="48" x14ac:dyDescent="0.25">
      <c r="A1284" s="463"/>
      <c r="B1284" s="498"/>
      <c r="C1284" s="498"/>
      <c r="D1284" s="499" t="s">
        <v>12274</v>
      </c>
      <c r="E1284" s="555" t="s">
        <v>13268</v>
      </c>
      <c r="F1284" s="501" t="s">
        <v>580</v>
      </c>
      <c r="G1284" s="502"/>
      <c r="H1284" s="503"/>
      <c r="I1284" s="504">
        <f>ROUND(SUM(I1285:I1289),2)</f>
        <v>3411.58</v>
      </c>
      <c r="J1284" s="504">
        <f>ROUND(SUM(J1285:J1289),2)</f>
        <v>348.09</v>
      </c>
      <c r="K1284" s="504">
        <f>+J1284+I1284</f>
        <v>3759.67</v>
      </c>
      <c r="L1284" s="523" t="s">
        <v>13102</v>
      </c>
      <c r="M1284" s="471"/>
      <c r="N1284" s="505"/>
      <c r="Q1284" s="472"/>
      <c r="R1284" s="472"/>
      <c r="S1284" s="472"/>
      <c r="T1284" s="472"/>
      <c r="U1284" s="472"/>
      <c r="V1284" s="472"/>
      <c r="W1284" s="472"/>
      <c r="X1284" s="472"/>
      <c r="Y1284" s="472"/>
    </row>
    <row r="1285" spans="1:25" x14ac:dyDescent="0.25">
      <c r="A1285" s="463"/>
      <c r="B1285" s="506">
        <v>88247</v>
      </c>
      <c r="C1285" s="507"/>
      <c r="D1285" s="508"/>
      <c r="E1285" s="509" t="str">
        <f>IF($C1285="",IFERROR(VLOOKUP($B1285,SERVIÇOS!$B:$G,2,0),IFERROR(VLOOKUP($B1285,$D:$K,2,0),"")),IFERROR(VLOOKUP($C1285,INSUMOS!$A:$D,2,0),IFERROR(VLOOKUP($C1285,COTAÇÕES!$B:$I,2,0),(VLOOKUP($C1285,'INSUMO SINAPI - SP'!$C:$F,2,0)))))</f>
        <v>AUXILIAR DE ELETRICISTA COM ENCARGOS COMPLEMENTARES</v>
      </c>
      <c r="F1285" s="510" t="str">
        <f>IF($C1285="",IFERROR(VLOOKUP($B1285,SERVIÇOS!$B:$G,3,0),IFERROR(VLOOKUP($B1285,$D:$K,3,0),"")),IFERROR(VLOOKUP($C1285,INSUMOS!$A:$D,3,0),IFERROR(VLOOKUP($C1285,COTAÇÕES!$B:$I,3,0),(VLOOKUP($C1285,'INSUMO SINAPI - SP'!$C:$F,3,0)))))</f>
        <v>H</v>
      </c>
      <c r="G1285" s="511">
        <v>5</v>
      </c>
      <c r="H1285" s="512">
        <f>IF($C1285="",IFERROR(VLOOKUP($B1285,SERVIÇOS!$B:$G,6,0),IFERROR(VLOOKUP($B1285,$D:$K,8,0),"")),IFERROR(VLOOKUP($C1285,INSUMOS!$A:$D,4,0),IFERROR(VLOOKUP($C1285,COTAÇÕES!$B:$I,7,0),(VLOOKUP($C1285,'INSUMO SINAPI - SP'!$C:$F,4,0)))))</f>
        <v>30.8</v>
      </c>
      <c r="I1285" s="513">
        <f>TRUNC(IF($C1285="",IFERROR(VLOOKUP($B1285,SERVIÇOS!$B:$G,4,0),IFERROR(VLOOKUP($B1285,$D:$K,6,0),)),IFERROR(VLOOKUP($C1285,INSUMOS!$A:$D,4,0),IFERROR(VLOOKUP($C1285,COTAÇÕES!$B:$I,7,0),(VLOOKUP($C1285,'INSUMO SINAPI - SP'!$C:$F,4,0)))))*$G1285,2)</f>
        <v>46.6</v>
      </c>
      <c r="J1285" s="513">
        <f>TRUNC(IF($C1285="",IFERROR(VLOOKUP($B1285,SERVIÇOS!$B:$G,5,0),IFERROR(VLOOKUP($B1285,$D:$K,7,0),)),0)*$G1285,2)</f>
        <v>107.4</v>
      </c>
      <c r="K1285" s="514">
        <f>I1285+J1285</f>
        <v>154</v>
      </c>
      <c r="L1285" s="515"/>
      <c r="M1285" s="471"/>
      <c r="N1285" s="516"/>
      <c r="Q1285" s="472"/>
      <c r="R1285" s="472"/>
      <c r="S1285" s="472"/>
      <c r="T1285" s="472"/>
      <c r="U1285" s="472"/>
      <c r="V1285" s="472"/>
      <c r="W1285" s="472"/>
      <c r="X1285" s="472"/>
      <c r="Y1285" s="472"/>
    </row>
    <row r="1286" spans="1:25" x14ac:dyDescent="0.25">
      <c r="A1286" s="463"/>
      <c r="B1286" s="506">
        <v>88264</v>
      </c>
      <c r="C1286" s="507"/>
      <c r="D1286" s="508"/>
      <c r="E1286" s="509" t="str">
        <f>IF($C1286="",IFERROR(VLOOKUP($B1286,SERVIÇOS!$B:$G,2,0),IFERROR(VLOOKUP($B1286,$D:$K,2,0),"")),IFERROR(VLOOKUP($C1286,INSUMOS!$A:$D,2,0),IFERROR(VLOOKUP($C1286,COTAÇÕES!$B:$I,2,0),(VLOOKUP($C1286,'INSUMO SINAPI - SP'!$C:$F,2,0)))))</f>
        <v>ELETRICISTA COM ENCARGOS COMPLEMENTARES</v>
      </c>
      <c r="F1286" s="510" t="str">
        <f>IF($C1286="",IFERROR(VLOOKUP($B1286,SERVIÇOS!$B:$G,3,0),IFERROR(VLOOKUP($B1286,$D:$K,3,0),"")),IFERROR(VLOOKUP($C1286,INSUMOS!$A:$D,3,0),IFERROR(VLOOKUP($C1286,COTAÇÕES!$B:$I,3,0),(VLOOKUP($C1286,'INSUMO SINAPI - SP'!$C:$F,3,0)))))</f>
        <v>H</v>
      </c>
      <c r="G1286" s="511">
        <v>5</v>
      </c>
      <c r="H1286" s="512">
        <f>IF($C1286="",IFERROR(VLOOKUP($B1286,SERVIÇOS!$B:$G,6,0),IFERROR(VLOOKUP($B1286,$D:$K,8,0),"")),IFERROR(VLOOKUP($C1286,INSUMOS!$A:$D,4,0),IFERROR(VLOOKUP($C1286,COTAÇÕES!$B:$I,7,0),(VLOOKUP($C1286,'INSUMO SINAPI - SP'!$C:$F,4,0)))))</f>
        <v>37.369999999999997</v>
      </c>
      <c r="I1286" s="513">
        <f>TRUNC(IF($C1286="",IFERROR(VLOOKUP($B1286,SERVIÇOS!$B:$G,4,0),IFERROR(VLOOKUP($B1286,$D:$K,6,0),)),IFERROR(VLOOKUP($C1286,INSUMOS!$A:$D,4,0),IFERROR(VLOOKUP($C1286,COTAÇÕES!$B:$I,7,0),(VLOOKUP($C1286,'INSUMO SINAPI - SP'!$C:$F,4,0)))))*$G1286,2)</f>
        <v>46.55</v>
      </c>
      <c r="J1286" s="513">
        <f>TRUNC(IF($C1286="",IFERROR(VLOOKUP($B1286,SERVIÇOS!$B:$G,5,0),IFERROR(VLOOKUP($B1286,$D:$K,7,0),)),0)*$G1286,2)</f>
        <v>140.30000000000001</v>
      </c>
      <c r="K1286" s="514">
        <f>I1286+J1286</f>
        <v>186.85000000000002</v>
      </c>
      <c r="L1286" s="515"/>
      <c r="M1286" s="471"/>
      <c r="N1286" s="516"/>
      <c r="Q1286" s="472"/>
      <c r="R1286" s="472"/>
      <c r="S1286" s="472"/>
      <c r="T1286" s="472"/>
      <c r="U1286" s="472"/>
      <c r="V1286" s="472"/>
      <c r="W1286" s="472"/>
      <c r="X1286" s="472"/>
      <c r="Y1286" s="472"/>
    </row>
    <row r="1287" spans="1:25" x14ac:dyDescent="0.25">
      <c r="A1287" s="463"/>
      <c r="B1287" s="506">
        <v>88309</v>
      </c>
      <c r="C1287" s="507"/>
      <c r="D1287" s="508"/>
      <c r="E1287" s="509" t="str">
        <f>IF($C1287="",IFERROR(VLOOKUP($B1287,SERVIÇOS!$B:$G,2,0),IFERROR(VLOOKUP($B1287,$D:$K,2,0),"")),IFERROR(VLOOKUP($C1287,INSUMOS!$A:$D,2,0),IFERROR(VLOOKUP($C1287,COTAÇÕES!$B:$I,2,0),(VLOOKUP($C1287,'INSUMO SINAPI - SP'!$C:$F,2,0)))))</f>
        <v>PEDREIRO COM ENCARGOS COMPLEMENTARES</v>
      </c>
      <c r="F1287" s="510" t="str">
        <f>IF($C1287="",IFERROR(VLOOKUP($B1287,SERVIÇOS!$B:$G,3,0),IFERROR(VLOOKUP($B1287,$D:$K,3,0),"")),IFERROR(VLOOKUP($C1287,INSUMOS!$A:$D,3,0),IFERROR(VLOOKUP($C1287,COTAÇÕES!$B:$I,3,0),(VLOOKUP($C1287,'INSUMO SINAPI - SP'!$C:$F,3,0)))))</f>
        <v>H</v>
      </c>
      <c r="G1287" s="511">
        <v>1</v>
      </c>
      <c r="H1287" s="512">
        <f>IF($C1287="",IFERROR(VLOOKUP($B1287,SERVIÇOS!$B:$G,6,0),IFERROR(VLOOKUP($B1287,$D:$K,8,0),"")),IFERROR(VLOOKUP($C1287,INSUMOS!$A:$D,4,0),IFERROR(VLOOKUP($C1287,COTAÇÕES!$B:$I,7,0),(VLOOKUP($C1287,'INSUMO SINAPI - SP'!$C:$F,4,0)))))</f>
        <v>36.909999999999997</v>
      </c>
      <c r="I1287" s="513">
        <f>TRUNC(IF($C1287="",IFERROR(VLOOKUP($B1287,SERVIÇOS!$B:$G,4,0),IFERROR(VLOOKUP($B1287,$D:$K,6,0),)),IFERROR(VLOOKUP($C1287,INSUMOS!$A:$D,4,0),IFERROR(VLOOKUP($C1287,COTAÇÕES!$B:$I,7,0),(VLOOKUP($C1287,'INSUMO SINAPI - SP'!$C:$F,4,0)))))*$G1287,2)</f>
        <v>9.2799999999999994</v>
      </c>
      <c r="J1287" s="513">
        <f>TRUNC(IF($C1287="",IFERROR(VLOOKUP($B1287,SERVIÇOS!$B:$G,5,0),IFERROR(VLOOKUP($B1287,$D:$K,7,0),)),0)*$G1287,2)</f>
        <v>27.63</v>
      </c>
      <c r="K1287" s="514">
        <f>I1287+J1287</f>
        <v>36.909999999999997</v>
      </c>
      <c r="L1287" s="515"/>
      <c r="M1287" s="471"/>
      <c r="N1287" s="516"/>
      <c r="Q1287" s="472"/>
      <c r="R1287" s="472"/>
      <c r="S1287" s="472"/>
      <c r="T1287" s="472"/>
      <c r="U1287" s="472"/>
      <c r="V1287" s="472"/>
      <c r="W1287" s="472"/>
      <c r="X1287" s="472"/>
      <c r="Y1287" s="472"/>
    </row>
    <row r="1288" spans="1:25" ht="24" x14ac:dyDescent="0.25">
      <c r="A1288" s="463"/>
      <c r="B1288" s="506">
        <v>87372</v>
      </c>
      <c r="C1288" s="507"/>
      <c r="D1288" s="508"/>
      <c r="E1288" s="509" t="str">
        <f>IF($C1288="",IFERROR(VLOOKUP($B1288,SERVIÇOS!$B:$G,2,0),IFERROR(VLOOKUP($B1288,$D:$K,2,0),"")),IFERROR(VLOOKUP($C1288,INSUMOS!$A:$D,2,0),IFERROR(VLOOKUP($C1288,COTAÇÕES!$B:$I,2,0),(VLOOKUP($C1288,'INSUMO SINAPI - SP'!$C:$F,2,0)))))</f>
        <v>ARGAMASSA TRAÇO 1:3 (EM VOLUME DE CIMENTO E AREIA MÉDIA ÚMIDA) PARA CONTRAPISO, PREPARO MANUAL. AF_08/2019</v>
      </c>
      <c r="F1288" s="510" t="str">
        <f>IF($C1288="",IFERROR(VLOOKUP($B1288,SERVIÇOS!$B:$G,3,0),IFERROR(VLOOKUP($B1288,$D:$K,3,0),"")),IFERROR(VLOOKUP($C1288,INSUMOS!$A:$D,3,0),IFERROR(VLOOKUP($C1288,COTAÇÕES!$B:$I,3,0),(VLOOKUP($C1288,'INSUMO SINAPI - SP'!$C:$F,3,0)))))</f>
        <v>M3</v>
      </c>
      <c r="G1288" s="511">
        <v>0.32</v>
      </c>
      <c r="H1288" s="512">
        <f>IF($C1288="",IFERROR(VLOOKUP($B1288,SERVIÇOS!$B:$G,6,0),IFERROR(VLOOKUP($B1288,$D:$K,8,0),"")),IFERROR(VLOOKUP($C1288,INSUMOS!$A:$D,4,0),IFERROR(VLOOKUP($C1288,COTAÇÕES!$B:$I,7,0),(VLOOKUP($C1288,'INSUMO SINAPI - SP'!$C:$F,4,0)))))</f>
        <v>866.56</v>
      </c>
      <c r="I1288" s="513">
        <f>TRUNC(IF($C1288="",IFERROR(VLOOKUP($B1288,SERVIÇOS!$B:$G,4,0),IFERROR(VLOOKUP($B1288,$D:$K,6,0),)),IFERROR(VLOOKUP($C1288,INSUMOS!$A:$D,4,0),IFERROR(VLOOKUP($C1288,COTAÇÕES!$B:$I,7,0),(VLOOKUP($C1288,'INSUMO SINAPI - SP'!$C:$F,4,0)))))*$G1288,2)</f>
        <v>204.53</v>
      </c>
      <c r="J1288" s="513">
        <f>TRUNC(IF($C1288="",IFERROR(VLOOKUP($B1288,SERVIÇOS!$B:$G,5,0),IFERROR(VLOOKUP($B1288,$D:$K,7,0),)),0)*$G1288,2)</f>
        <v>72.760000000000005</v>
      </c>
      <c r="K1288" s="514">
        <f>I1288+J1288</f>
        <v>277.29000000000002</v>
      </c>
      <c r="L1288" s="515"/>
      <c r="M1288" s="471"/>
      <c r="N1288" s="516"/>
      <c r="Q1288" s="472"/>
      <c r="R1288" s="472"/>
      <c r="S1288" s="472"/>
      <c r="T1288" s="472"/>
      <c r="U1288" s="472"/>
      <c r="V1288" s="472"/>
      <c r="W1288" s="472"/>
      <c r="X1288" s="472"/>
      <c r="Y1288" s="472"/>
    </row>
    <row r="1289" spans="1:25" ht="36" x14ac:dyDescent="0.25">
      <c r="A1289" s="463"/>
      <c r="B1289" s="506"/>
      <c r="C1289" s="507">
        <v>51241</v>
      </c>
      <c r="D1289" s="508"/>
      <c r="E1289" s="518" t="s">
        <v>13258</v>
      </c>
      <c r="F1289" s="519" t="s">
        <v>13260</v>
      </c>
      <c r="G1289" s="511">
        <v>1</v>
      </c>
      <c r="H1289" s="520">
        <v>3104.62</v>
      </c>
      <c r="I1289" s="520">
        <f>TRUNC(H1289*G1289,2)</f>
        <v>3104.62</v>
      </c>
      <c r="J1289" s="521"/>
      <c r="K1289" s="522">
        <f>I1289+J1289</f>
        <v>3104.62</v>
      </c>
      <c r="L1289" s="517" t="s">
        <v>13220</v>
      </c>
      <c r="M1289" s="471"/>
      <c r="N1289" s="516"/>
      <c r="Q1289" s="472"/>
      <c r="R1289" s="472"/>
      <c r="S1289" s="472"/>
      <c r="T1289" s="472"/>
      <c r="U1289" s="472"/>
      <c r="V1289" s="472"/>
      <c r="W1289" s="472"/>
      <c r="X1289" s="472"/>
      <c r="Y1289" s="472"/>
    </row>
    <row r="1290" spans="1:25" ht="48" x14ac:dyDescent="0.25">
      <c r="A1290" s="463"/>
      <c r="B1290" s="498"/>
      <c r="C1290" s="498"/>
      <c r="D1290" s="499" t="s">
        <v>12293</v>
      </c>
      <c r="E1290" s="555" t="s">
        <v>13269</v>
      </c>
      <c r="F1290" s="501" t="s">
        <v>580</v>
      </c>
      <c r="G1290" s="502"/>
      <c r="H1290" s="503"/>
      <c r="I1290" s="504">
        <f>ROUND(SUM(I1291:I1293),2)</f>
        <v>3384.17</v>
      </c>
      <c r="J1290" s="504">
        <f>ROUND(SUM(J1291:J1293),2)</f>
        <v>396.32</v>
      </c>
      <c r="K1290" s="504">
        <f>+J1290+I1290</f>
        <v>3780.4900000000002</v>
      </c>
      <c r="L1290" s="523" t="s">
        <v>13266</v>
      </c>
      <c r="M1290" s="471"/>
      <c r="N1290" s="505"/>
      <c r="Q1290" s="472"/>
      <c r="R1290" s="472"/>
      <c r="S1290" s="472"/>
      <c r="T1290" s="472"/>
      <c r="U1290" s="472"/>
      <c r="V1290" s="472"/>
      <c r="W1290" s="472"/>
      <c r="X1290" s="472"/>
      <c r="Y1290" s="472"/>
    </row>
    <row r="1291" spans="1:25" x14ac:dyDescent="0.25">
      <c r="A1291" s="463"/>
      <c r="B1291" s="506">
        <v>88247</v>
      </c>
      <c r="C1291" s="507"/>
      <c r="D1291" s="508"/>
      <c r="E1291" s="509" t="str">
        <f>IF($C1291="",IFERROR(VLOOKUP($B1291,SERVIÇOS!$B:$G,2,0),IFERROR(VLOOKUP($B1291,$D:$K,2,0),"")),IFERROR(VLOOKUP($C1291,INSUMOS!$A:$D,2,0),IFERROR(VLOOKUP($C1291,COTAÇÕES!$B:$I,2,0),(VLOOKUP($C1291,'INSUMO SINAPI - SP'!$C:$F,2,0)))))</f>
        <v>AUXILIAR DE ELETRICISTA COM ENCARGOS COMPLEMENTARES</v>
      </c>
      <c r="F1291" s="510" t="str">
        <f>IF($C1291="",IFERROR(VLOOKUP($B1291,SERVIÇOS!$B:$G,3,0),IFERROR(VLOOKUP($B1291,$D:$K,3,0),"")),IFERROR(VLOOKUP($C1291,INSUMOS!$A:$D,3,0),IFERROR(VLOOKUP($C1291,COTAÇÕES!$B:$I,3,0),(VLOOKUP($C1291,'INSUMO SINAPI - SP'!$C:$F,3,0)))))</f>
        <v>H</v>
      </c>
      <c r="G1291" s="511">
        <v>8</v>
      </c>
      <c r="H1291" s="512">
        <f>IF($C1291="",IFERROR(VLOOKUP($B1291,SERVIÇOS!$B:$G,6,0),IFERROR(VLOOKUP($B1291,$D:$K,8,0),"")),IFERROR(VLOOKUP($C1291,INSUMOS!$A:$D,4,0),IFERROR(VLOOKUP($C1291,COTAÇÕES!$B:$I,7,0),(VLOOKUP($C1291,'INSUMO SINAPI - SP'!$C:$F,4,0)))))</f>
        <v>30.8</v>
      </c>
      <c r="I1291" s="513">
        <f>TRUNC(IF($C1291="",IFERROR(VLOOKUP($B1291,SERVIÇOS!$B:$G,4,0),IFERROR(VLOOKUP($B1291,$D:$K,6,0),)),IFERROR(VLOOKUP($C1291,INSUMOS!$A:$D,4,0),IFERROR(VLOOKUP($C1291,COTAÇÕES!$B:$I,7,0),(VLOOKUP($C1291,'INSUMO SINAPI - SP'!$C:$F,4,0)))))*$G1291,2)</f>
        <v>74.56</v>
      </c>
      <c r="J1291" s="513">
        <f>TRUNC(IF($C1291="",IFERROR(VLOOKUP($B1291,SERVIÇOS!$B:$G,5,0),IFERROR(VLOOKUP($B1291,$D:$K,7,0),)),0)*$G1291,2)</f>
        <v>171.84</v>
      </c>
      <c r="K1291" s="514">
        <f>I1291+J1291</f>
        <v>246.4</v>
      </c>
      <c r="L1291" s="515"/>
      <c r="M1291" s="471"/>
      <c r="N1291" s="516"/>
      <c r="Q1291" s="472"/>
      <c r="R1291" s="472"/>
      <c r="S1291" s="472"/>
      <c r="T1291" s="472"/>
      <c r="U1291" s="472"/>
      <c r="V1291" s="472"/>
      <c r="W1291" s="472"/>
      <c r="X1291" s="472"/>
      <c r="Y1291" s="472"/>
    </row>
    <row r="1292" spans="1:25" x14ac:dyDescent="0.25">
      <c r="A1292" s="463"/>
      <c r="B1292" s="506">
        <v>88264</v>
      </c>
      <c r="C1292" s="507"/>
      <c r="D1292" s="508"/>
      <c r="E1292" s="509" t="str">
        <f>IF($C1292="",IFERROR(VLOOKUP($B1292,SERVIÇOS!$B:$G,2,0),IFERROR(VLOOKUP($B1292,$D:$K,2,0),"")),IFERROR(VLOOKUP($C1292,INSUMOS!$A:$D,2,0),IFERROR(VLOOKUP($C1292,COTAÇÕES!$B:$I,2,0),(VLOOKUP($C1292,'INSUMO SINAPI - SP'!$C:$F,2,0)))))</f>
        <v>ELETRICISTA COM ENCARGOS COMPLEMENTARES</v>
      </c>
      <c r="F1292" s="510" t="str">
        <f>IF($C1292="",IFERROR(VLOOKUP($B1292,SERVIÇOS!$B:$G,3,0),IFERROR(VLOOKUP($B1292,$D:$K,3,0),"")),IFERROR(VLOOKUP($C1292,INSUMOS!$A:$D,3,0),IFERROR(VLOOKUP($C1292,COTAÇÕES!$B:$I,3,0),(VLOOKUP($C1292,'INSUMO SINAPI - SP'!$C:$F,3,0)))))</f>
        <v>H</v>
      </c>
      <c r="G1292" s="511">
        <v>8</v>
      </c>
      <c r="H1292" s="512">
        <f>IF($C1292="",IFERROR(VLOOKUP($B1292,SERVIÇOS!$B:$G,6,0),IFERROR(VLOOKUP($B1292,$D:$K,8,0),"")),IFERROR(VLOOKUP($C1292,INSUMOS!$A:$D,4,0),IFERROR(VLOOKUP($C1292,COTAÇÕES!$B:$I,7,0),(VLOOKUP($C1292,'INSUMO SINAPI - SP'!$C:$F,4,0)))))</f>
        <v>37.369999999999997</v>
      </c>
      <c r="I1292" s="513">
        <f>TRUNC(IF($C1292="",IFERROR(VLOOKUP($B1292,SERVIÇOS!$B:$G,4,0),IFERROR(VLOOKUP($B1292,$D:$K,6,0),)),IFERROR(VLOOKUP($C1292,INSUMOS!$A:$D,4,0),IFERROR(VLOOKUP($C1292,COTAÇÕES!$B:$I,7,0),(VLOOKUP($C1292,'INSUMO SINAPI - SP'!$C:$F,4,0)))))*$G1292,2)</f>
        <v>74.48</v>
      </c>
      <c r="J1292" s="513">
        <f>TRUNC(IF($C1292="",IFERROR(VLOOKUP($B1292,SERVIÇOS!$B:$G,5,0),IFERROR(VLOOKUP($B1292,$D:$K,7,0),)),0)*$G1292,2)</f>
        <v>224.48</v>
      </c>
      <c r="K1292" s="514">
        <f>I1292+J1292</f>
        <v>298.95999999999998</v>
      </c>
      <c r="L1292" s="515"/>
      <c r="M1292" s="471"/>
      <c r="N1292" s="516"/>
      <c r="Q1292" s="472"/>
      <c r="R1292" s="472"/>
      <c r="S1292" s="472"/>
      <c r="T1292" s="472"/>
      <c r="U1292" s="472"/>
      <c r="V1292" s="472"/>
      <c r="W1292" s="472"/>
      <c r="X1292" s="472"/>
      <c r="Y1292" s="472"/>
    </row>
    <row r="1293" spans="1:25" ht="36" x14ac:dyDescent="0.25">
      <c r="A1293" s="463"/>
      <c r="B1293" s="506"/>
      <c r="C1293" s="507" t="s">
        <v>13267</v>
      </c>
      <c r="D1293" s="508"/>
      <c r="E1293" s="518" t="s">
        <v>13258</v>
      </c>
      <c r="F1293" s="519" t="s">
        <v>580</v>
      </c>
      <c r="G1293" s="511">
        <v>1</v>
      </c>
      <c r="H1293" s="520">
        <v>3235.13</v>
      </c>
      <c r="I1293" s="520">
        <f>TRUNC(H1293*G1293,2)</f>
        <v>3235.13</v>
      </c>
      <c r="J1293" s="521"/>
      <c r="K1293" s="522">
        <f>I1293+J1293</f>
        <v>3235.13</v>
      </c>
      <c r="L1293" s="517" t="s">
        <v>12668</v>
      </c>
      <c r="M1293" s="471"/>
      <c r="N1293" s="516"/>
      <c r="Q1293" s="472"/>
      <c r="R1293" s="472"/>
      <c r="S1293" s="472"/>
      <c r="T1293" s="472"/>
      <c r="U1293" s="472"/>
      <c r="V1293" s="472"/>
      <c r="W1293" s="472"/>
      <c r="X1293" s="472"/>
      <c r="Y1293" s="472"/>
    </row>
    <row r="1294" spans="1:25" x14ac:dyDescent="0.25">
      <c r="A1294" s="463"/>
      <c r="B1294" s="498"/>
      <c r="C1294" s="498"/>
      <c r="D1294" s="499" t="s">
        <v>12299</v>
      </c>
      <c r="E1294" s="555" t="s">
        <v>13270</v>
      </c>
      <c r="F1294" s="501" t="s">
        <v>580</v>
      </c>
      <c r="G1294" s="502"/>
      <c r="H1294" s="503"/>
      <c r="I1294" s="504">
        <f>ROUND(SUM(I1295),2)</f>
        <v>552.09</v>
      </c>
      <c r="J1294" s="504">
        <f>ROUND(SUM(J1295),2)</f>
        <v>35.61</v>
      </c>
      <c r="K1294" s="504">
        <f>+J1294+I1294</f>
        <v>587.70000000000005</v>
      </c>
      <c r="L1294" s="523"/>
      <c r="M1294" s="471"/>
      <c r="N1294" s="505"/>
      <c r="Q1294" s="472"/>
      <c r="R1294" s="472"/>
      <c r="S1294" s="472"/>
      <c r="T1294" s="472"/>
      <c r="U1294" s="472"/>
      <c r="V1294" s="472"/>
      <c r="W1294" s="472"/>
      <c r="X1294" s="472"/>
      <c r="Y1294" s="472"/>
    </row>
    <row r="1295" spans="1:25" ht="36" x14ac:dyDescent="0.25">
      <c r="A1295" s="463"/>
      <c r="B1295" s="506">
        <v>101880</v>
      </c>
      <c r="C1295" s="507"/>
      <c r="D1295" s="508"/>
      <c r="E1295" s="509" t="str">
        <f>IF($C1295="",IFERROR(VLOOKUP($B1295,SERVIÇOS!$B:$G,2,0),IFERROR(VLOOKUP($B1295,$D:$K,2,0),"")),IFERROR(VLOOKUP($C1295,INSUMOS!$A:$D,2,0),IFERROR(VLOOKUP($C1295,COTAÇÕES!$B:$I,2,0),(VLOOKUP($C1295,'INSUMO SINAPI - SP'!$C:$F,2,0)))))</f>
        <v>QUADRO DE DISTRIBUIÇÃO DE ENERGIA EM CHAPA DE AÇO GALVANIZADO, DE EMBUTIR, COM BARRAMENTO TRIFÁSICO, PARA 30 DISJUNTORES DIN 150A - FORNECIMENTO E INSTALAÇÃO. AF_10/2020</v>
      </c>
      <c r="F1295" s="510" t="str">
        <f>IF($C1295="",IFERROR(VLOOKUP($B1295,SERVIÇOS!$B:$G,3,0),IFERROR(VLOOKUP($B1295,$D:$K,3,0),"")),IFERROR(VLOOKUP($C1295,INSUMOS!$A:$D,3,0),IFERROR(VLOOKUP($C1295,COTAÇÕES!$B:$I,3,0),(VLOOKUP($C1295,'INSUMO SINAPI - SP'!$C:$F,3,0)))))</f>
        <v>UN</v>
      </c>
      <c r="G1295" s="511">
        <v>1</v>
      </c>
      <c r="H1295" s="512">
        <f>IF($C1295="",IFERROR(VLOOKUP($B1295,SERVIÇOS!$B:$G,6,0),IFERROR(VLOOKUP($B1295,$D:$K,8,0),"")),IFERROR(VLOOKUP($C1295,INSUMOS!$A:$D,4,0),IFERROR(VLOOKUP($C1295,COTAÇÕES!$B:$I,7,0),(VLOOKUP($C1295,'INSUMO SINAPI - SP'!$C:$F,4,0)))))</f>
        <v>587.70000000000005</v>
      </c>
      <c r="I1295" s="513">
        <f>TRUNC(IF($C1295="",IFERROR(VLOOKUP($B1295,SERVIÇOS!$B:$G,4,0),IFERROR(VLOOKUP($B1295,$D:$K,6,0),)),IFERROR(VLOOKUP($C1295,INSUMOS!$A:$D,4,0),IFERROR(VLOOKUP($C1295,COTAÇÕES!$B:$I,7,0),(VLOOKUP($C1295,'INSUMO SINAPI - SP'!$C:$F,4,0)))))*$G1295,2)</f>
        <v>552.09</v>
      </c>
      <c r="J1295" s="513">
        <f>TRUNC(IF($C1295="",IFERROR(VLOOKUP($B1295,SERVIÇOS!$B:$G,5,0),IFERROR(VLOOKUP($B1295,$D:$K,7,0),)),0)*$G1295,2)</f>
        <v>35.61</v>
      </c>
      <c r="K1295" s="514">
        <f>I1295+J1295</f>
        <v>587.70000000000005</v>
      </c>
      <c r="L1295" s="515"/>
      <c r="M1295" s="471"/>
      <c r="N1295" s="516"/>
      <c r="Q1295" s="472"/>
      <c r="R1295" s="472"/>
      <c r="S1295" s="472"/>
      <c r="T1295" s="472"/>
      <c r="U1295" s="472"/>
      <c r="V1295" s="472"/>
      <c r="W1295" s="472"/>
      <c r="X1295" s="472"/>
      <c r="Y1295" s="472"/>
    </row>
    <row r="1296" spans="1:25" ht="24" x14ac:dyDescent="0.25">
      <c r="A1296" s="463"/>
      <c r="B1296" s="498"/>
      <c r="C1296" s="498"/>
      <c r="D1296" s="499" t="s">
        <v>12573</v>
      </c>
      <c r="E1296" s="500" t="s">
        <v>13271</v>
      </c>
      <c r="F1296" s="501" t="s">
        <v>580</v>
      </c>
      <c r="G1296" s="502"/>
      <c r="H1296" s="503"/>
      <c r="I1296" s="504">
        <f>SUM(I1297:I1300)</f>
        <v>67406.219999999987</v>
      </c>
      <c r="J1296" s="504">
        <f>SUM(J1297:J1300)</f>
        <v>676.96</v>
      </c>
      <c r="K1296" s="504">
        <f>+J1296+I1296</f>
        <v>68083.179999999993</v>
      </c>
      <c r="L1296" s="523" t="s">
        <v>13272</v>
      </c>
      <c r="M1296" s="471"/>
      <c r="N1296" s="505"/>
      <c r="Q1296" s="472"/>
      <c r="R1296" s="472"/>
      <c r="S1296" s="472"/>
      <c r="T1296" s="472"/>
      <c r="U1296" s="472"/>
      <c r="V1296" s="472"/>
      <c r="W1296" s="472"/>
      <c r="X1296" s="472"/>
      <c r="Y1296" s="472"/>
    </row>
    <row r="1297" spans="1:25" x14ac:dyDescent="0.25">
      <c r="A1297" s="463"/>
      <c r="B1297" s="506"/>
      <c r="C1297" s="507" t="s">
        <v>13273</v>
      </c>
      <c r="D1297" s="508"/>
      <c r="E1297" s="518" t="s">
        <v>13274</v>
      </c>
      <c r="F1297" s="519" t="s">
        <v>580</v>
      </c>
      <c r="G1297" s="511">
        <v>1</v>
      </c>
      <c r="H1297" s="520">
        <v>67182.7</v>
      </c>
      <c r="I1297" s="520">
        <f>TRUNC(H1297*G1297,2)</f>
        <v>67182.7</v>
      </c>
      <c r="J1297" s="521"/>
      <c r="K1297" s="522">
        <f>I1297+J1297</f>
        <v>67182.7</v>
      </c>
      <c r="L1297" s="517" t="s">
        <v>12901</v>
      </c>
      <c r="M1297" s="471"/>
      <c r="N1297" s="516"/>
      <c r="Q1297" s="472"/>
      <c r="R1297" s="472"/>
      <c r="S1297" s="472"/>
      <c r="T1297" s="472"/>
      <c r="U1297" s="472"/>
      <c r="V1297" s="472"/>
      <c r="W1297" s="472"/>
      <c r="X1297" s="472"/>
      <c r="Y1297" s="472"/>
    </row>
    <row r="1298" spans="1:25" x14ac:dyDescent="0.25">
      <c r="A1298" s="463"/>
      <c r="B1298" s="506">
        <v>88264</v>
      </c>
      <c r="C1298" s="507"/>
      <c r="D1298" s="508"/>
      <c r="E1298" s="509" t="str">
        <f>IF($C1298="",IFERROR(VLOOKUP($B1298,SERVIÇOS!$B:$G,2,0),IFERROR(VLOOKUP($B1298,$D:$K,2,0),"")),IFERROR(VLOOKUP($C1298,INSUMOS!$A:$D,2,0),IFERROR(VLOOKUP($C1298,COTAÇÕES!$B:$I,2,0),(VLOOKUP($C1298,'INSUMO SINAPI - SP'!$C:$F,2,0)))))</f>
        <v>ELETRICISTA COM ENCARGOS COMPLEMENTARES</v>
      </c>
      <c r="F1298" s="510" t="str">
        <f>IF($C1298="",IFERROR(VLOOKUP($B1298,SERVIÇOS!$B:$G,3,0),IFERROR(VLOOKUP($B1298,$D:$K,3,0),"")),IFERROR(VLOOKUP($C1298,INSUMOS!$A:$D,3,0),IFERROR(VLOOKUP($C1298,COTAÇÕES!$B:$I,3,0),(VLOOKUP($C1298,'INSUMO SINAPI - SP'!$C:$F,3,0)))))</f>
        <v>H</v>
      </c>
      <c r="G1298" s="511">
        <v>8</v>
      </c>
      <c r="H1298" s="512">
        <f>IF($C1298="",IFERROR(VLOOKUP($B1298,SERVIÇOS!$B:$G,6,0),IFERROR(VLOOKUP($B1298,$D:$K,8,0),"")),IFERROR(VLOOKUP($C1298,INSUMOS!$A:$D,4,0),IFERROR(VLOOKUP($C1298,COTAÇÕES!$B:$I,7,0),(VLOOKUP($C1298,'INSUMO SINAPI - SP'!$C:$F,4,0)))))</f>
        <v>37.369999999999997</v>
      </c>
      <c r="I1298" s="513">
        <f>TRUNC(IF($C1298="",IFERROR(VLOOKUP($B1298,SERVIÇOS!$B:$G,4,0),IFERROR(VLOOKUP($B1298,$D:$K,6,0),)),IFERROR(VLOOKUP($C1298,INSUMOS!$A:$D,4,0),IFERROR(VLOOKUP($C1298,COTAÇÕES!$B:$I,7,0),(VLOOKUP($C1298,'INSUMO SINAPI - SP'!$C:$F,4,0)))))*$G1298,2)</f>
        <v>74.48</v>
      </c>
      <c r="J1298" s="513">
        <f>TRUNC(IF($C1298="",IFERROR(VLOOKUP($B1298,SERVIÇOS!$B:$G,5,0),IFERROR(VLOOKUP($B1298,$D:$K,7,0),)),0)*$G1298,2)</f>
        <v>224.48</v>
      </c>
      <c r="K1298" s="514">
        <f>I1298+J1298</f>
        <v>298.95999999999998</v>
      </c>
      <c r="L1298" s="515"/>
      <c r="M1298" s="471"/>
      <c r="N1298" s="516"/>
      <c r="Q1298" s="472"/>
      <c r="R1298" s="472"/>
      <c r="S1298" s="472"/>
      <c r="T1298" s="472"/>
      <c r="U1298" s="472"/>
      <c r="V1298" s="472"/>
      <c r="W1298" s="472"/>
      <c r="X1298" s="472"/>
      <c r="Y1298" s="472"/>
    </row>
    <row r="1299" spans="1:25" x14ac:dyDescent="0.25">
      <c r="A1299" s="463"/>
      <c r="B1299" s="506">
        <v>88247</v>
      </c>
      <c r="C1299" s="507"/>
      <c r="D1299" s="508"/>
      <c r="E1299" s="509" t="str">
        <f>IF($C1299="",IFERROR(VLOOKUP($B1299,SERVIÇOS!$B:$G,2,0),IFERROR(VLOOKUP($B1299,$D:$K,2,0),"")),IFERROR(VLOOKUP($C1299,INSUMOS!$A:$D,2,0),IFERROR(VLOOKUP($C1299,COTAÇÕES!$B:$I,2,0),(VLOOKUP($C1299,'INSUMO SINAPI - SP'!$C:$F,2,0)))))</f>
        <v>AUXILIAR DE ELETRICISTA COM ENCARGOS COMPLEMENTARES</v>
      </c>
      <c r="F1299" s="510" t="str">
        <f>IF($C1299="",IFERROR(VLOOKUP($B1299,SERVIÇOS!$B:$G,3,0),IFERROR(VLOOKUP($B1299,$D:$K,3,0),"")),IFERROR(VLOOKUP($C1299,INSUMOS!$A:$D,3,0),IFERROR(VLOOKUP($C1299,COTAÇÕES!$B:$I,3,0),(VLOOKUP($C1299,'INSUMO SINAPI - SP'!$C:$F,3,0)))))</f>
        <v>H</v>
      </c>
      <c r="G1299" s="511">
        <v>8</v>
      </c>
      <c r="H1299" s="512">
        <f>IF($C1299="",IFERROR(VLOOKUP($B1299,SERVIÇOS!$B:$G,6,0),IFERROR(VLOOKUP($B1299,$D:$K,8,0),"")),IFERROR(VLOOKUP($C1299,INSUMOS!$A:$D,4,0),IFERROR(VLOOKUP($C1299,COTAÇÕES!$B:$I,7,0),(VLOOKUP($C1299,'INSUMO SINAPI - SP'!$C:$F,4,0)))))</f>
        <v>30.8</v>
      </c>
      <c r="I1299" s="513">
        <f>TRUNC(IF($C1299="",IFERROR(VLOOKUP($B1299,SERVIÇOS!$B:$G,4,0),IFERROR(VLOOKUP($B1299,$D:$K,6,0),)),IFERROR(VLOOKUP($C1299,INSUMOS!$A:$D,4,0),IFERROR(VLOOKUP($C1299,COTAÇÕES!$B:$I,7,0),(VLOOKUP($C1299,'INSUMO SINAPI - SP'!$C:$F,4,0)))))*$G1299,2)</f>
        <v>74.56</v>
      </c>
      <c r="J1299" s="513">
        <f>TRUNC(IF($C1299="",IFERROR(VLOOKUP($B1299,SERVIÇOS!$B:$G,5,0),IFERROR(VLOOKUP($B1299,$D:$K,7,0),)),0)*$G1299,2)</f>
        <v>171.84</v>
      </c>
      <c r="K1299" s="514">
        <f>I1299+J1299</f>
        <v>246.4</v>
      </c>
      <c r="L1299" s="515"/>
      <c r="M1299" s="471"/>
      <c r="N1299" s="516"/>
      <c r="Q1299" s="472"/>
      <c r="R1299" s="472"/>
      <c r="S1299" s="472"/>
      <c r="T1299" s="472"/>
      <c r="U1299" s="472"/>
      <c r="V1299" s="472"/>
      <c r="W1299" s="472"/>
      <c r="X1299" s="472"/>
      <c r="Y1299" s="472"/>
    </row>
    <row r="1300" spans="1:25" x14ac:dyDescent="0.25">
      <c r="A1300" s="463"/>
      <c r="B1300" s="506">
        <v>88266</v>
      </c>
      <c r="C1300" s="507"/>
      <c r="D1300" s="508"/>
      <c r="E1300" s="509" t="str">
        <f>IF($C1300="",IFERROR(VLOOKUP($B1300,SERVIÇOS!$B:$G,2,0),IFERROR(VLOOKUP($B1300,$D:$K,2,0),"")),IFERROR(VLOOKUP($C1300,INSUMOS!$A:$D,2,0),IFERROR(VLOOKUP($C1300,COTAÇÕES!$B:$I,2,0),(VLOOKUP($C1300,'INSUMO SINAPI - SP'!$C:$F,2,0)))))</f>
        <v>ELETROTÉCNICO COM ENCARGOS COMPLEMENTARES</v>
      </c>
      <c r="F1300" s="510" t="str">
        <f>IF($C1300="",IFERROR(VLOOKUP($B1300,SERVIÇOS!$B:$G,3,0),IFERROR(VLOOKUP($B1300,$D:$K,3,0),"")),IFERROR(VLOOKUP($C1300,INSUMOS!$A:$D,3,0),IFERROR(VLOOKUP($C1300,COTAÇÕES!$B:$I,3,0),(VLOOKUP($C1300,'INSUMO SINAPI - SP'!$C:$F,3,0)))))</f>
        <v>H</v>
      </c>
      <c r="G1300" s="511">
        <v>8</v>
      </c>
      <c r="H1300" s="512">
        <f>IF($C1300="",IFERROR(VLOOKUP($B1300,SERVIÇOS!$B:$G,6,0),IFERROR(VLOOKUP($B1300,$D:$K,8,0),"")),IFERROR(VLOOKUP($C1300,INSUMOS!$A:$D,4,0),IFERROR(VLOOKUP($C1300,COTAÇÕES!$B:$I,7,0),(VLOOKUP($C1300,'INSUMO SINAPI - SP'!$C:$F,4,0)))))</f>
        <v>44.39</v>
      </c>
      <c r="I1300" s="513">
        <f>TRUNC(IF($C1300="",IFERROR(VLOOKUP($B1300,SERVIÇOS!$B:$G,4,0),IFERROR(VLOOKUP($B1300,$D:$K,6,0),)),IFERROR(VLOOKUP($C1300,INSUMOS!$A:$D,4,0),IFERROR(VLOOKUP($C1300,COTAÇÕES!$B:$I,7,0),(VLOOKUP($C1300,'INSUMO SINAPI - SP'!$C:$F,4,0)))))*$G1300,2)</f>
        <v>74.48</v>
      </c>
      <c r="J1300" s="513">
        <f>TRUNC(IF($C1300="",IFERROR(VLOOKUP($B1300,SERVIÇOS!$B:$G,5,0),IFERROR(VLOOKUP($B1300,$D:$K,7,0),)),0)*$G1300,2)</f>
        <v>280.64</v>
      </c>
      <c r="K1300" s="514">
        <f>I1300+J1300</f>
        <v>355.12</v>
      </c>
      <c r="L1300" s="515"/>
      <c r="M1300" s="471"/>
      <c r="N1300" s="516"/>
      <c r="Q1300" s="472"/>
      <c r="R1300" s="472"/>
      <c r="S1300" s="472"/>
      <c r="T1300" s="472"/>
      <c r="U1300" s="472"/>
      <c r="V1300" s="472"/>
      <c r="W1300" s="472"/>
      <c r="X1300" s="472"/>
      <c r="Y1300" s="472"/>
    </row>
    <row r="1301" spans="1:25" ht="36" x14ac:dyDescent="0.25">
      <c r="A1301" s="463"/>
      <c r="B1301" s="498"/>
      <c r="C1301" s="498"/>
      <c r="D1301" s="499" t="s">
        <v>12572</v>
      </c>
      <c r="E1301" s="500" t="s">
        <v>13275</v>
      </c>
      <c r="F1301" s="501" t="s">
        <v>580</v>
      </c>
      <c r="G1301" s="502"/>
      <c r="H1301" s="503"/>
      <c r="I1301" s="504">
        <f>SUM(I1302:I1305)</f>
        <v>45361.070000000007</v>
      </c>
      <c r="J1301" s="504">
        <f>SUM(J1302:J1305)</f>
        <v>676.96</v>
      </c>
      <c r="K1301" s="504">
        <f>+J1301+I1301</f>
        <v>46038.030000000006</v>
      </c>
      <c r="L1301" s="523" t="s">
        <v>13272</v>
      </c>
      <c r="M1301" s="471"/>
      <c r="N1301" s="505"/>
      <c r="Q1301" s="472"/>
      <c r="R1301" s="472"/>
      <c r="S1301" s="472"/>
      <c r="T1301" s="472"/>
      <c r="U1301" s="472"/>
      <c r="V1301" s="472"/>
      <c r="W1301" s="472"/>
      <c r="X1301" s="472"/>
      <c r="Y1301" s="472"/>
    </row>
    <row r="1302" spans="1:25" x14ac:dyDescent="0.25">
      <c r="A1302" s="463"/>
      <c r="B1302" s="506"/>
      <c r="C1302" s="507" t="s">
        <v>13276</v>
      </c>
      <c r="D1302" s="508"/>
      <c r="E1302" s="518" t="s">
        <v>13277</v>
      </c>
      <c r="F1302" s="519" t="s">
        <v>580</v>
      </c>
      <c r="G1302" s="511">
        <v>1</v>
      </c>
      <c r="H1302" s="520">
        <v>45137.55</v>
      </c>
      <c r="I1302" s="520">
        <f>TRUNC(H1302*G1302,2)</f>
        <v>45137.55</v>
      </c>
      <c r="J1302" s="521"/>
      <c r="K1302" s="522">
        <f>I1302+J1302</f>
        <v>45137.55</v>
      </c>
      <c r="L1302" s="517" t="s">
        <v>12901</v>
      </c>
      <c r="M1302" s="471"/>
      <c r="N1302" s="516"/>
      <c r="Q1302" s="472"/>
      <c r="R1302" s="472"/>
      <c r="S1302" s="472"/>
      <c r="T1302" s="472"/>
      <c r="U1302" s="472"/>
      <c r="V1302" s="472"/>
      <c r="W1302" s="472"/>
      <c r="X1302" s="472"/>
      <c r="Y1302" s="472"/>
    </row>
    <row r="1303" spans="1:25" x14ac:dyDescent="0.25">
      <c r="A1303" s="463"/>
      <c r="B1303" s="506">
        <v>88264</v>
      </c>
      <c r="C1303" s="507"/>
      <c r="D1303" s="508"/>
      <c r="E1303" s="509" t="str">
        <f>IF($C1303="",IFERROR(VLOOKUP($B1303,SERVIÇOS!$B:$G,2,0),IFERROR(VLOOKUP($B1303,$D:$K,2,0),"")),IFERROR(VLOOKUP($C1303,INSUMOS!$A:$D,2,0),IFERROR(VLOOKUP($C1303,COTAÇÕES!$B:$I,2,0),(VLOOKUP($C1303,'INSUMO SINAPI - SP'!$C:$F,2,0)))))</f>
        <v>ELETRICISTA COM ENCARGOS COMPLEMENTARES</v>
      </c>
      <c r="F1303" s="510" t="str">
        <f>IF($C1303="",IFERROR(VLOOKUP($B1303,SERVIÇOS!$B:$G,3,0),IFERROR(VLOOKUP($B1303,$D:$K,3,0),"")),IFERROR(VLOOKUP($C1303,INSUMOS!$A:$D,3,0),IFERROR(VLOOKUP($C1303,COTAÇÕES!$B:$I,3,0),(VLOOKUP($C1303,'INSUMO SINAPI - SP'!$C:$F,3,0)))))</f>
        <v>H</v>
      </c>
      <c r="G1303" s="511">
        <v>8</v>
      </c>
      <c r="H1303" s="512">
        <f>IF($C1303="",IFERROR(VLOOKUP($B1303,SERVIÇOS!$B:$G,6,0),IFERROR(VLOOKUP($B1303,$D:$K,8,0),"")),IFERROR(VLOOKUP($C1303,INSUMOS!$A:$D,4,0),IFERROR(VLOOKUP($C1303,COTAÇÕES!$B:$I,7,0),(VLOOKUP($C1303,'INSUMO SINAPI - SP'!$C:$F,4,0)))))</f>
        <v>37.369999999999997</v>
      </c>
      <c r="I1303" s="513">
        <f>TRUNC(IF($C1303="",IFERROR(VLOOKUP($B1303,SERVIÇOS!$B:$G,4,0),IFERROR(VLOOKUP($B1303,$D:$K,6,0),)),IFERROR(VLOOKUP($C1303,INSUMOS!$A:$D,4,0),IFERROR(VLOOKUP($C1303,COTAÇÕES!$B:$I,7,0),(VLOOKUP($C1303,'INSUMO SINAPI - SP'!$C:$F,4,0)))))*$G1303,2)</f>
        <v>74.48</v>
      </c>
      <c r="J1303" s="513">
        <f>TRUNC(IF($C1303="",IFERROR(VLOOKUP($B1303,SERVIÇOS!$B:$G,5,0),IFERROR(VLOOKUP($B1303,$D:$K,7,0),)),0)*$G1303,2)</f>
        <v>224.48</v>
      </c>
      <c r="K1303" s="514">
        <f>I1303+J1303</f>
        <v>298.95999999999998</v>
      </c>
      <c r="L1303" s="515"/>
      <c r="M1303" s="471"/>
      <c r="N1303" s="516"/>
      <c r="Q1303" s="472"/>
      <c r="R1303" s="472"/>
      <c r="S1303" s="472"/>
      <c r="T1303" s="472"/>
      <c r="U1303" s="472"/>
      <c r="V1303" s="472"/>
      <c r="W1303" s="472"/>
      <c r="X1303" s="472"/>
      <c r="Y1303" s="472"/>
    </row>
    <row r="1304" spans="1:25" x14ac:dyDescent="0.25">
      <c r="A1304" s="463"/>
      <c r="B1304" s="506">
        <v>88247</v>
      </c>
      <c r="C1304" s="507"/>
      <c r="D1304" s="508"/>
      <c r="E1304" s="509" t="str">
        <f>IF($C1304="",IFERROR(VLOOKUP($B1304,SERVIÇOS!$B:$G,2,0),IFERROR(VLOOKUP($B1304,$D:$K,2,0),"")),IFERROR(VLOOKUP($C1304,INSUMOS!$A:$D,2,0),IFERROR(VLOOKUP($C1304,COTAÇÕES!$B:$I,2,0),(VLOOKUP($C1304,'INSUMO SINAPI - SP'!$C:$F,2,0)))))</f>
        <v>AUXILIAR DE ELETRICISTA COM ENCARGOS COMPLEMENTARES</v>
      </c>
      <c r="F1304" s="510" t="str">
        <f>IF($C1304="",IFERROR(VLOOKUP($B1304,SERVIÇOS!$B:$G,3,0),IFERROR(VLOOKUP($B1304,$D:$K,3,0),"")),IFERROR(VLOOKUP($C1304,INSUMOS!$A:$D,3,0),IFERROR(VLOOKUP($C1304,COTAÇÕES!$B:$I,3,0),(VLOOKUP($C1304,'INSUMO SINAPI - SP'!$C:$F,3,0)))))</f>
        <v>H</v>
      </c>
      <c r="G1304" s="511">
        <v>8</v>
      </c>
      <c r="H1304" s="512">
        <f>IF($C1304="",IFERROR(VLOOKUP($B1304,SERVIÇOS!$B:$G,6,0),IFERROR(VLOOKUP($B1304,$D:$K,8,0),"")),IFERROR(VLOOKUP($C1304,INSUMOS!$A:$D,4,0),IFERROR(VLOOKUP($C1304,COTAÇÕES!$B:$I,7,0),(VLOOKUP($C1304,'INSUMO SINAPI - SP'!$C:$F,4,0)))))</f>
        <v>30.8</v>
      </c>
      <c r="I1304" s="513">
        <f>TRUNC(IF($C1304="",IFERROR(VLOOKUP($B1304,SERVIÇOS!$B:$G,4,0),IFERROR(VLOOKUP($B1304,$D:$K,6,0),)),IFERROR(VLOOKUP($C1304,INSUMOS!$A:$D,4,0),IFERROR(VLOOKUP($C1304,COTAÇÕES!$B:$I,7,0),(VLOOKUP($C1304,'INSUMO SINAPI - SP'!$C:$F,4,0)))))*$G1304,2)</f>
        <v>74.56</v>
      </c>
      <c r="J1304" s="513">
        <f>TRUNC(IF($C1304="",IFERROR(VLOOKUP($B1304,SERVIÇOS!$B:$G,5,0),IFERROR(VLOOKUP($B1304,$D:$K,7,0),)),0)*$G1304,2)</f>
        <v>171.84</v>
      </c>
      <c r="K1304" s="514">
        <f>I1304+J1304</f>
        <v>246.4</v>
      </c>
      <c r="L1304" s="515"/>
      <c r="M1304" s="471"/>
      <c r="N1304" s="516"/>
      <c r="Q1304" s="472"/>
      <c r="R1304" s="472"/>
      <c r="S1304" s="472"/>
      <c r="T1304" s="472"/>
      <c r="U1304" s="472"/>
      <c r="V1304" s="472"/>
      <c r="W1304" s="472"/>
      <c r="X1304" s="472"/>
      <c r="Y1304" s="472"/>
    </row>
    <row r="1305" spans="1:25" x14ac:dyDescent="0.25">
      <c r="A1305" s="463"/>
      <c r="B1305" s="506">
        <v>88266</v>
      </c>
      <c r="C1305" s="507"/>
      <c r="D1305" s="508"/>
      <c r="E1305" s="509" t="str">
        <f>IF($C1305="",IFERROR(VLOOKUP($B1305,SERVIÇOS!$B:$G,2,0),IFERROR(VLOOKUP($B1305,$D:$K,2,0),"")),IFERROR(VLOOKUP($C1305,INSUMOS!$A:$D,2,0),IFERROR(VLOOKUP($C1305,COTAÇÕES!$B:$I,2,0),(VLOOKUP($C1305,'INSUMO SINAPI - SP'!$C:$F,2,0)))))</f>
        <v>ELETROTÉCNICO COM ENCARGOS COMPLEMENTARES</v>
      </c>
      <c r="F1305" s="510" t="str">
        <f>IF($C1305="",IFERROR(VLOOKUP($B1305,SERVIÇOS!$B:$G,3,0),IFERROR(VLOOKUP($B1305,$D:$K,3,0),"")),IFERROR(VLOOKUP($C1305,INSUMOS!$A:$D,3,0),IFERROR(VLOOKUP($C1305,COTAÇÕES!$B:$I,3,0),(VLOOKUP($C1305,'INSUMO SINAPI - SP'!$C:$F,3,0)))))</f>
        <v>H</v>
      </c>
      <c r="G1305" s="511">
        <v>8</v>
      </c>
      <c r="H1305" s="512">
        <f>IF($C1305="",IFERROR(VLOOKUP($B1305,SERVIÇOS!$B:$G,6,0),IFERROR(VLOOKUP($B1305,$D:$K,8,0),"")),IFERROR(VLOOKUP($C1305,INSUMOS!$A:$D,4,0),IFERROR(VLOOKUP($C1305,COTAÇÕES!$B:$I,7,0),(VLOOKUP($C1305,'INSUMO SINAPI - SP'!$C:$F,4,0)))))</f>
        <v>44.39</v>
      </c>
      <c r="I1305" s="513">
        <f>TRUNC(IF($C1305="",IFERROR(VLOOKUP($B1305,SERVIÇOS!$B:$G,4,0),IFERROR(VLOOKUP($B1305,$D:$K,6,0),)),IFERROR(VLOOKUP($C1305,INSUMOS!$A:$D,4,0),IFERROR(VLOOKUP($C1305,COTAÇÕES!$B:$I,7,0),(VLOOKUP($C1305,'INSUMO SINAPI - SP'!$C:$F,4,0)))))*$G1305,2)</f>
        <v>74.48</v>
      </c>
      <c r="J1305" s="513">
        <f>TRUNC(IF($C1305="",IFERROR(VLOOKUP($B1305,SERVIÇOS!$B:$G,5,0),IFERROR(VLOOKUP($B1305,$D:$K,7,0),)),0)*$G1305,2)</f>
        <v>280.64</v>
      </c>
      <c r="K1305" s="514">
        <f>I1305+J1305</f>
        <v>355.12</v>
      </c>
      <c r="L1305" s="515"/>
      <c r="M1305" s="471"/>
      <c r="N1305" s="516"/>
      <c r="Q1305" s="472"/>
      <c r="R1305" s="472"/>
      <c r="S1305" s="472"/>
      <c r="T1305" s="472"/>
      <c r="U1305" s="472"/>
      <c r="V1305" s="472"/>
      <c r="W1305" s="472"/>
      <c r="X1305" s="472"/>
      <c r="Y1305" s="472"/>
    </row>
    <row r="1306" spans="1:25" ht="48" x14ac:dyDescent="0.25">
      <c r="A1306" s="463"/>
      <c r="B1306" s="498"/>
      <c r="C1306" s="498"/>
      <c r="D1306" s="499" t="s">
        <v>12385</v>
      </c>
      <c r="E1306" s="500" t="s">
        <v>13278</v>
      </c>
      <c r="F1306" s="501" t="s">
        <v>585</v>
      </c>
      <c r="G1306" s="502"/>
      <c r="H1306" s="503"/>
      <c r="I1306" s="504">
        <f>ROUND(SUM(I1307:I1313),2)</f>
        <v>36.26</v>
      </c>
      <c r="J1306" s="504">
        <f>ROUND(SUM(J1307:J1313),2)</f>
        <v>19.190000000000001</v>
      </c>
      <c r="K1306" s="504">
        <f>+J1306+I1306</f>
        <v>55.45</v>
      </c>
      <c r="L1306" s="523" t="s">
        <v>13279</v>
      </c>
      <c r="M1306" s="471"/>
      <c r="N1306" s="505"/>
      <c r="Q1306" s="472"/>
      <c r="R1306" s="472"/>
      <c r="S1306" s="472"/>
      <c r="T1306" s="472"/>
      <c r="U1306" s="472"/>
      <c r="V1306" s="472"/>
      <c r="W1306" s="472"/>
      <c r="X1306" s="472"/>
      <c r="Y1306" s="472"/>
    </row>
    <row r="1307" spans="1:25" x14ac:dyDescent="0.25">
      <c r="A1307" s="463"/>
      <c r="B1307" s="506">
        <v>88267</v>
      </c>
      <c r="C1307" s="507"/>
      <c r="D1307" s="508"/>
      <c r="E1307" s="509" t="str">
        <f>IF($C1307="",IFERROR(VLOOKUP($B1307,SERVIÇOS!$B:$G,2,0),IFERROR(VLOOKUP($B1307,$D:$K,2,0),"")),IFERROR(VLOOKUP($C1307,INSUMOS!$A:$D,2,0),IFERROR(VLOOKUP($C1307,COTAÇÕES!$B:$I,2,0),(VLOOKUP($C1307,'INSUMO SINAPI - SP'!$C:$F,2,0)))))</f>
        <v>ENCANADOR OU BOMBEIRO HIDRÁULICO COM ENCARGOS COMPLEMENTARES</v>
      </c>
      <c r="F1307" s="510" t="str">
        <f>IF($C1307="",IFERROR(VLOOKUP($B1307,SERVIÇOS!$B:$G,3,0),IFERROR(VLOOKUP($B1307,$D:$K,3,0),"")),IFERROR(VLOOKUP($C1307,INSUMOS!$A:$D,3,0),IFERROR(VLOOKUP($C1307,COTAÇÕES!$B:$I,3,0),(VLOOKUP($C1307,'INSUMO SINAPI - SP'!$C:$F,3,0)))))</f>
        <v>H</v>
      </c>
      <c r="G1307" s="511">
        <v>0.39500000000000002</v>
      </c>
      <c r="H1307" s="512">
        <f>IF($C1307="",IFERROR(VLOOKUP($B1307,SERVIÇOS!$B:$G,6,0),IFERROR(VLOOKUP($B1307,$D:$K,8,0),"")),IFERROR(VLOOKUP($C1307,INSUMOS!$A:$D,4,0),IFERROR(VLOOKUP($C1307,COTAÇÕES!$B:$I,7,0),(VLOOKUP($C1307,'INSUMO SINAPI - SP'!$C:$F,4,0)))))</f>
        <v>36.17</v>
      </c>
      <c r="I1307" s="513">
        <f>TRUNC(IF($C1307="",IFERROR(VLOOKUP($B1307,SERVIÇOS!$B:$G,4,0),IFERROR(VLOOKUP($B1307,$D:$K,6,0),)),IFERROR(VLOOKUP($C1307,INSUMOS!$A:$D,4,0),IFERROR(VLOOKUP($C1307,COTAÇÕES!$B:$I,7,0),(VLOOKUP($C1307,'INSUMO SINAPI - SP'!$C:$F,4,0)))))*$G1307,2)</f>
        <v>3.41</v>
      </c>
      <c r="J1307" s="513">
        <f>TRUNC(IF($C1307="",IFERROR(VLOOKUP($B1307,SERVIÇOS!$B:$G,5,0),IFERROR(VLOOKUP($B1307,$D:$K,7,0),)),0)*$G1307,2)</f>
        <v>10.87</v>
      </c>
      <c r="K1307" s="514">
        <f t="shared" ref="K1307:K1313" si="42">I1307+J1307</f>
        <v>14.28</v>
      </c>
      <c r="L1307" s="515"/>
      <c r="M1307" s="471"/>
      <c r="N1307" s="516"/>
      <c r="Q1307" s="472"/>
      <c r="R1307" s="472"/>
      <c r="S1307" s="472"/>
      <c r="T1307" s="472"/>
      <c r="U1307" s="472"/>
      <c r="V1307" s="472"/>
      <c r="W1307" s="472"/>
      <c r="X1307" s="472"/>
      <c r="Y1307" s="472"/>
    </row>
    <row r="1308" spans="1:25" x14ac:dyDescent="0.25">
      <c r="A1308" s="463"/>
      <c r="B1308" s="506">
        <v>88248</v>
      </c>
      <c r="C1308" s="507"/>
      <c r="D1308" s="508"/>
      <c r="E1308" s="509" t="str">
        <f>IF($C1308="",IFERROR(VLOOKUP($B1308,SERVIÇOS!$B:$G,2,0),IFERROR(VLOOKUP($B1308,$D:$K,2,0),"")),IFERROR(VLOOKUP($C1308,INSUMOS!$A:$D,2,0),IFERROR(VLOOKUP($C1308,COTAÇÕES!$B:$I,2,0),(VLOOKUP($C1308,'INSUMO SINAPI - SP'!$C:$F,2,0)))))</f>
        <v>AUXILIAR DE ENCANADOR OU BOMBEIRO HIDRÁULICO COM ENCARGOS COMPLEMENTARES</v>
      </c>
      <c r="F1308" s="510" t="str">
        <f>IF($C1308="",IFERROR(VLOOKUP($B1308,SERVIÇOS!$B:$G,3,0),IFERROR(VLOOKUP($B1308,$D:$K,3,0),"")),IFERROR(VLOOKUP($C1308,INSUMOS!$A:$D,3,0),IFERROR(VLOOKUP($C1308,COTAÇÕES!$B:$I,3,0),(VLOOKUP($C1308,'INSUMO SINAPI - SP'!$C:$F,3,0)))))</f>
        <v>H</v>
      </c>
      <c r="G1308" s="511">
        <v>0.39500000000000002</v>
      </c>
      <c r="H1308" s="512">
        <f>IF($C1308="",IFERROR(VLOOKUP($B1308,SERVIÇOS!$B:$G,6,0),IFERROR(VLOOKUP($B1308,$D:$K,8,0),"")),IFERROR(VLOOKUP($C1308,INSUMOS!$A:$D,4,0),IFERROR(VLOOKUP($C1308,COTAÇÕES!$B:$I,7,0),(VLOOKUP($C1308,'INSUMO SINAPI - SP'!$C:$F,4,0)))))</f>
        <v>29.72</v>
      </c>
      <c r="I1308" s="513">
        <f>TRUNC(IF($C1308="",IFERROR(VLOOKUP($B1308,SERVIÇOS!$B:$G,4,0),IFERROR(VLOOKUP($B1308,$D:$K,6,0),)),IFERROR(VLOOKUP($C1308,INSUMOS!$A:$D,4,0),IFERROR(VLOOKUP($C1308,COTAÇÕES!$B:$I,7,0),(VLOOKUP($C1308,'INSUMO SINAPI - SP'!$C:$F,4,0)))))*$G1308,2)</f>
        <v>3.41</v>
      </c>
      <c r="J1308" s="513">
        <f>TRUNC(IF($C1308="",IFERROR(VLOOKUP($B1308,SERVIÇOS!$B:$G,5,0),IFERROR(VLOOKUP($B1308,$D:$K,7,0),)),0)*$G1308,2)</f>
        <v>8.32</v>
      </c>
      <c r="K1308" s="514">
        <f t="shared" si="42"/>
        <v>11.73</v>
      </c>
      <c r="L1308" s="515"/>
      <c r="M1308" s="471"/>
      <c r="N1308" s="516"/>
      <c r="Q1308" s="472"/>
      <c r="R1308" s="472"/>
      <c r="S1308" s="472"/>
      <c r="T1308" s="472"/>
      <c r="U1308" s="472"/>
      <c r="V1308" s="472"/>
      <c r="W1308" s="472"/>
      <c r="X1308" s="472"/>
      <c r="Y1308" s="472"/>
    </row>
    <row r="1309" spans="1:25" ht="24" x14ac:dyDescent="0.25">
      <c r="A1309" s="463"/>
      <c r="B1309" s="506"/>
      <c r="C1309" s="507" t="s">
        <v>13280</v>
      </c>
      <c r="D1309" s="508"/>
      <c r="E1309" s="509" t="str">
        <f>IF($C1309="",IFERROR(VLOOKUP($B1309,SERVIÇOS!$B:$G,2,0),IFERROR(VLOOKUP($B1309,$D:$K,2,0),"")),IFERROR(VLOOKUP($C1309,INSUMOS!$A:$D,2,0),IFERROR(VLOOKUP($C1309,COTAÇÕES!$B:$I,2,0),(VLOOKUP($C1309,'INSUMO SINAPI - SP'!$C:$F,2,0)))))</f>
        <v>TUBO DE COBRE FLEXIVEL, D = 1/4 ", E = 0,79 MM, PARA AR-CONDICIONADO/ INSTALACOES GAS RESIDENCIAIS E COMERCIAIS</v>
      </c>
      <c r="F1309" s="510" t="str">
        <f>IF($C1309="",IFERROR(VLOOKUP($B1309,SERVIÇOS!$B:$G,3,0),IFERROR(VLOOKUP($B1309,$D:$K,3,0),"")),IFERROR(VLOOKUP($C1309,INSUMOS!$A:$D,3,0),IFERROR(VLOOKUP($C1309,COTAÇÕES!$B:$I,3,0),(VLOOKUP($C1309,'INSUMO SINAPI - SP'!$C:$F,3,0)))))</f>
        <v>M</v>
      </c>
      <c r="G1309" s="511">
        <v>1.1000000000000001</v>
      </c>
      <c r="H1309" s="512">
        <f>IF($C1309="",IFERROR(VLOOKUP($B1309,SERVIÇOS!$B:$G,6,0),IFERROR(VLOOKUP($B1309,$D:$K,8,0),"")),IFERROR(VLOOKUP($C1309,INSUMOS!$A:$D,4,0),IFERROR(VLOOKUP($C1309,COTAÇÕES!$B:$I,7,0),(VLOOKUP($C1309,'INSUMO SINAPI - SP'!$C:$F,4,0)))))</f>
        <v>20.61</v>
      </c>
      <c r="I1309" s="513">
        <f>TRUNC(IF($C1309="",IFERROR(VLOOKUP($B1309,SERVIÇOS!$B:$G,4,0),IFERROR(VLOOKUP($B1309,$D:$K,6,0),)),IFERROR(VLOOKUP($C1309,INSUMOS!$A:$D,4,0),IFERROR(VLOOKUP($C1309,COTAÇÕES!$B:$I,7,0),(VLOOKUP($C1309,'INSUMO SINAPI - SP'!$C:$F,4,0)))))*$G1309,2)</f>
        <v>22.67</v>
      </c>
      <c r="J1309" s="513"/>
      <c r="K1309" s="514">
        <f t="shared" si="42"/>
        <v>22.67</v>
      </c>
      <c r="L1309" s="515" t="s">
        <v>12685</v>
      </c>
      <c r="M1309" s="471"/>
      <c r="N1309" s="516"/>
      <c r="Q1309" s="472"/>
      <c r="R1309" s="472"/>
      <c r="S1309" s="472"/>
      <c r="T1309" s="472"/>
      <c r="U1309" s="472"/>
      <c r="V1309" s="472"/>
      <c r="W1309" s="472"/>
      <c r="X1309" s="472"/>
      <c r="Y1309" s="472"/>
    </row>
    <row r="1310" spans="1:25" x14ac:dyDescent="0.25">
      <c r="A1310" s="463"/>
      <c r="B1310" s="506"/>
      <c r="C1310" s="507">
        <v>13388</v>
      </c>
      <c r="D1310" s="508"/>
      <c r="E1310" s="509" t="str">
        <f>IF($C1310="",IFERROR(VLOOKUP($B1310,SERVIÇOS!$B:$G,2,0),IFERROR(VLOOKUP($B1310,$D:$K,2,0),"")),IFERROR(VLOOKUP($C1310,INSUMOS!$A:$D,2,0),IFERROR(VLOOKUP($C1310,COTAÇÕES!$B:$I,2,0),(VLOOKUP($C1310,'INSUMO SINAPI - SP'!$C:$F,2,0)))))</f>
        <v>SOLDA EM BARRA DE ESTANHO-CHUMBO 50/50</v>
      </c>
      <c r="F1310" s="510" t="str">
        <f>IF($C1310="",IFERROR(VLOOKUP($B1310,SERVIÇOS!$B:$G,3,0),IFERROR(VLOOKUP($B1310,$D:$K,3,0),"")),IFERROR(VLOOKUP($C1310,INSUMOS!$A:$D,3,0),IFERROR(VLOOKUP($C1310,COTAÇÕES!$B:$I,3,0),(VLOOKUP($C1310,'INSUMO SINAPI - SP'!$C:$F,3,0)))))</f>
        <v>KG</v>
      </c>
      <c r="G1310" s="511">
        <v>1E-4</v>
      </c>
      <c r="H1310" s="512">
        <f>IF($C1310="",IFERROR(VLOOKUP($B1310,SERVIÇOS!$B:$G,6,0),IFERROR(VLOOKUP($B1310,$D:$K,8,0),"")),IFERROR(VLOOKUP($C1310,INSUMOS!$A:$D,4,0),IFERROR(VLOOKUP($C1310,COTAÇÕES!$B:$I,7,0),(VLOOKUP($C1310,'INSUMO SINAPI - SP'!$C:$F,4,0)))))</f>
        <v>193</v>
      </c>
      <c r="I1310" s="513">
        <f>TRUNC(IF($C1310="",IFERROR(VLOOKUP($B1310,SERVIÇOS!$B:$G,4,0),IFERROR(VLOOKUP($B1310,$D:$K,6,0),)),IFERROR(VLOOKUP($C1310,INSUMOS!$A:$D,4,0),IFERROR(VLOOKUP($C1310,COTAÇÕES!$B:$I,7,0),(VLOOKUP($C1310,'INSUMO SINAPI - SP'!$C:$F,4,0)))))*$G1310,2)</f>
        <v>0.01</v>
      </c>
      <c r="J1310" s="513">
        <f>TRUNC(IF($C1310="",IFERROR(VLOOKUP($B1310,SERVIÇOS!$B:$G,5,0),IFERROR(VLOOKUP($B1310,$D:$K,7,0),)),0)*$G1310,2)</f>
        <v>0</v>
      </c>
      <c r="K1310" s="514">
        <f t="shared" si="42"/>
        <v>0.01</v>
      </c>
      <c r="L1310" s="517"/>
      <c r="M1310" s="471"/>
      <c r="N1310" s="516"/>
      <c r="Q1310" s="472"/>
      <c r="R1310" s="472"/>
      <c r="S1310" s="472"/>
      <c r="T1310" s="472"/>
      <c r="U1310" s="472"/>
      <c r="V1310" s="472"/>
      <c r="W1310" s="472"/>
      <c r="X1310" s="472"/>
      <c r="Y1310" s="472"/>
    </row>
    <row r="1311" spans="1:25" x14ac:dyDescent="0.25">
      <c r="A1311" s="463"/>
      <c r="B1311" s="506"/>
      <c r="C1311" s="507" t="s">
        <v>13113</v>
      </c>
      <c r="D1311" s="508"/>
      <c r="E1311" s="509" t="str">
        <f>IF($C1311="",IFERROR(VLOOKUP($B1311,SERVIÇOS!$B:$G,2,0),IFERROR(VLOOKUP($B1311,$D:$K,2,0),"")),IFERROR(VLOOKUP($C1311,INSUMOS!$A:$D,2,0),IFERROR(VLOOKUP($C1311,COTAÇÕES!$B:$I,2,0),(VLOOKUP($C1311,'INSUMO SINAPI - SP'!$C:$F,2,0)))))</f>
        <v>PASTA PARA SOLDA DE TUBOS E CONEXOES DE COBRE (EMBALAGEM COM 250 G)</v>
      </c>
      <c r="F1311" s="510" t="str">
        <f>IF($C1311="",IFERROR(VLOOKUP($B1311,SERVIÇOS!$B:$G,3,0),IFERROR(VLOOKUP($B1311,$D:$K,3,0),"")),IFERROR(VLOOKUP($C1311,INSUMOS!$A:$D,3,0),IFERROR(VLOOKUP($C1311,COTAÇÕES!$B:$I,3,0),(VLOOKUP($C1311,'INSUMO SINAPI - SP'!$C:$F,3,0)))))</f>
        <v>UN</v>
      </c>
      <c r="G1311" s="511">
        <v>2.0000000000000001E-4</v>
      </c>
      <c r="H1311" s="512">
        <f>IF($C1311="",IFERROR(VLOOKUP($B1311,SERVIÇOS!$B:$G,6,0),IFERROR(VLOOKUP($B1311,$D:$K,8,0),"")),IFERROR(VLOOKUP($C1311,INSUMOS!$A:$D,4,0),IFERROR(VLOOKUP($C1311,COTAÇÕES!$B:$I,7,0),(VLOOKUP($C1311,'INSUMO SINAPI - SP'!$C:$F,4,0)))))</f>
        <v>56.57</v>
      </c>
      <c r="I1311" s="513">
        <f>TRUNC(IF($C1311="",IFERROR(VLOOKUP($B1311,SERVIÇOS!$B:$G,4,0),IFERROR(VLOOKUP($B1311,$D:$K,6,0),)),IFERROR(VLOOKUP($C1311,INSUMOS!$A:$D,4,0),IFERROR(VLOOKUP($C1311,COTAÇÕES!$B:$I,7,0),(VLOOKUP($C1311,'INSUMO SINAPI - SP'!$C:$F,4,0)))))*$G1311,2)</f>
        <v>0.01</v>
      </c>
      <c r="J1311" s="513"/>
      <c r="K1311" s="514">
        <f t="shared" si="42"/>
        <v>0.01</v>
      </c>
      <c r="L1311" s="515" t="s">
        <v>12685</v>
      </c>
      <c r="M1311" s="471"/>
      <c r="N1311" s="516"/>
      <c r="Q1311" s="472"/>
      <c r="R1311" s="472"/>
      <c r="S1311" s="472"/>
      <c r="T1311" s="472"/>
      <c r="U1311" s="472"/>
      <c r="V1311" s="472"/>
      <c r="W1311" s="472"/>
      <c r="X1311" s="472"/>
      <c r="Y1311" s="472"/>
    </row>
    <row r="1312" spans="1:25" ht="24" x14ac:dyDescent="0.25">
      <c r="A1312" s="463"/>
      <c r="B1312" s="506"/>
      <c r="C1312" s="507" t="s">
        <v>13281</v>
      </c>
      <c r="D1312" s="508"/>
      <c r="E1312" s="518" t="s">
        <v>13282</v>
      </c>
      <c r="F1312" s="519" t="s">
        <v>585</v>
      </c>
      <c r="G1312" s="511">
        <v>1.02</v>
      </c>
      <c r="H1312" s="520">
        <v>4.13</v>
      </c>
      <c r="I1312" s="520">
        <f>TRUNC(H1312*G1312,2)</f>
        <v>4.21</v>
      </c>
      <c r="J1312" s="521"/>
      <c r="K1312" s="522">
        <f t="shared" si="42"/>
        <v>4.21</v>
      </c>
      <c r="L1312" s="517" t="s">
        <v>12901</v>
      </c>
      <c r="M1312" s="471"/>
      <c r="N1312" s="516"/>
      <c r="Q1312" s="472"/>
      <c r="R1312" s="472"/>
      <c r="S1312" s="472"/>
      <c r="T1312" s="472"/>
      <c r="U1312" s="472"/>
      <c r="V1312" s="472"/>
      <c r="W1312" s="472"/>
      <c r="X1312" s="472"/>
      <c r="Y1312" s="472"/>
    </row>
    <row r="1313" spans="1:25" ht="24" x14ac:dyDescent="0.25">
      <c r="A1313" s="463"/>
      <c r="B1313" s="506"/>
      <c r="C1313" s="507" t="s">
        <v>13283</v>
      </c>
      <c r="D1313" s="508"/>
      <c r="E1313" s="518" t="s">
        <v>13284</v>
      </c>
      <c r="F1313" s="519" t="s">
        <v>517</v>
      </c>
      <c r="G1313" s="511">
        <v>0.02</v>
      </c>
      <c r="H1313" s="520">
        <v>127.47</v>
      </c>
      <c r="I1313" s="520">
        <f>TRUNC(H1313*G1313,2)</f>
        <v>2.54</v>
      </c>
      <c r="J1313" s="521"/>
      <c r="K1313" s="522">
        <f t="shared" si="42"/>
        <v>2.54</v>
      </c>
      <c r="L1313" s="517" t="s">
        <v>12901</v>
      </c>
      <c r="M1313" s="471"/>
      <c r="N1313" s="516"/>
      <c r="Q1313" s="472"/>
      <c r="R1313" s="472"/>
      <c r="S1313" s="472"/>
      <c r="T1313" s="472"/>
      <c r="U1313" s="472"/>
      <c r="V1313" s="472"/>
      <c r="W1313" s="472"/>
      <c r="X1313" s="472"/>
      <c r="Y1313" s="472"/>
    </row>
    <row r="1314" spans="1:25" ht="60" x14ac:dyDescent="0.25">
      <c r="A1314" s="463"/>
      <c r="B1314" s="498"/>
      <c r="C1314" s="498"/>
      <c r="D1314" s="499" t="s">
        <v>12386</v>
      </c>
      <c r="E1314" s="500" t="s">
        <v>13285</v>
      </c>
      <c r="F1314" s="501" t="s">
        <v>585</v>
      </c>
      <c r="G1314" s="502"/>
      <c r="H1314" s="503"/>
      <c r="I1314" s="504">
        <f>ROUND(SUM(I1315:I1321),2)</f>
        <v>59.76</v>
      </c>
      <c r="J1314" s="504">
        <f>ROUND(SUM(J1315:J1321),2)</f>
        <v>23.32</v>
      </c>
      <c r="K1314" s="504">
        <f>+J1314+I1314</f>
        <v>83.08</v>
      </c>
      <c r="L1314" s="523" t="s">
        <v>13286</v>
      </c>
      <c r="M1314" s="471"/>
      <c r="N1314" s="505"/>
      <c r="Q1314" s="472"/>
      <c r="R1314" s="472"/>
      <c r="S1314" s="472"/>
      <c r="T1314" s="472"/>
      <c r="U1314" s="472"/>
      <c r="V1314" s="472"/>
      <c r="W1314" s="472"/>
      <c r="X1314" s="472"/>
      <c r="Y1314" s="472"/>
    </row>
    <row r="1315" spans="1:25" x14ac:dyDescent="0.25">
      <c r="A1315" s="463"/>
      <c r="B1315" s="506">
        <v>88267</v>
      </c>
      <c r="C1315" s="507"/>
      <c r="D1315" s="508"/>
      <c r="E1315" s="509" t="str">
        <f>IF($C1315="",IFERROR(VLOOKUP($B1315,SERVIÇOS!$B:$G,2,0),IFERROR(VLOOKUP($B1315,$D:$K,2,0),"")),IFERROR(VLOOKUP($C1315,INSUMOS!$A:$D,2,0),IFERROR(VLOOKUP($C1315,COTAÇÕES!$B:$I,2,0),(VLOOKUP($C1315,'INSUMO SINAPI - SP'!$C:$F,2,0)))))</f>
        <v>ENCANADOR OU BOMBEIRO HIDRÁULICO COM ENCARGOS COMPLEMENTARES</v>
      </c>
      <c r="F1315" s="510" t="str">
        <f>IF($C1315="",IFERROR(VLOOKUP($B1315,SERVIÇOS!$B:$G,3,0),IFERROR(VLOOKUP($B1315,$D:$K,3,0),"")),IFERROR(VLOOKUP($C1315,INSUMOS!$A:$D,3,0),IFERROR(VLOOKUP($C1315,COTAÇÕES!$B:$I,3,0),(VLOOKUP($C1315,'INSUMO SINAPI - SP'!$C:$F,3,0)))))</f>
        <v>H</v>
      </c>
      <c r="G1315" s="511">
        <v>0.48</v>
      </c>
      <c r="H1315" s="512">
        <f>IF($C1315="",IFERROR(VLOOKUP($B1315,SERVIÇOS!$B:$G,6,0),IFERROR(VLOOKUP($B1315,$D:$K,8,0),"")),IFERROR(VLOOKUP($C1315,INSUMOS!$A:$D,4,0),IFERROR(VLOOKUP($C1315,COTAÇÕES!$B:$I,7,0),(VLOOKUP($C1315,'INSUMO SINAPI - SP'!$C:$F,4,0)))))</f>
        <v>36.17</v>
      </c>
      <c r="I1315" s="513">
        <f>TRUNC(IF($C1315="",IFERROR(VLOOKUP($B1315,SERVIÇOS!$B:$G,4,0),IFERROR(VLOOKUP($B1315,$D:$K,6,0),)),IFERROR(VLOOKUP($C1315,INSUMOS!$A:$D,4,0),IFERROR(VLOOKUP($C1315,COTAÇÕES!$B:$I,7,0),(VLOOKUP($C1315,'INSUMO SINAPI - SP'!$C:$F,4,0)))))*$G1315,2)</f>
        <v>4.1399999999999997</v>
      </c>
      <c r="J1315" s="513">
        <f>TRUNC(IF($C1315="",IFERROR(VLOOKUP($B1315,SERVIÇOS!$B:$G,5,0),IFERROR(VLOOKUP($B1315,$D:$K,7,0),)),0)*$G1315,2)</f>
        <v>13.21</v>
      </c>
      <c r="K1315" s="514">
        <f t="shared" ref="K1315:K1321" si="43">I1315+J1315</f>
        <v>17.350000000000001</v>
      </c>
      <c r="L1315" s="515"/>
      <c r="M1315" s="471"/>
      <c r="N1315" s="516"/>
      <c r="Q1315" s="472"/>
      <c r="R1315" s="472"/>
      <c r="S1315" s="472"/>
      <c r="T1315" s="472"/>
      <c r="U1315" s="472"/>
      <c r="V1315" s="472"/>
      <c r="W1315" s="472"/>
      <c r="X1315" s="472"/>
      <c r="Y1315" s="472"/>
    </row>
    <row r="1316" spans="1:25" x14ac:dyDescent="0.25">
      <c r="A1316" s="463"/>
      <c r="B1316" s="506">
        <v>88248</v>
      </c>
      <c r="C1316" s="507"/>
      <c r="D1316" s="508"/>
      <c r="E1316" s="509" t="str">
        <f>IF($C1316="",IFERROR(VLOOKUP($B1316,SERVIÇOS!$B:$G,2,0),IFERROR(VLOOKUP($B1316,$D:$K,2,0),"")),IFERROR(VLOOKUP($C1316,INSUMOS!$A:$D,2,0),IFERROR(VLOOKUP($C1316,COTAÇÕES!$B:$I,2,0),(VLOOKUP($C1316,'INSUMO SINAPI - SP'!$C:$F,2,0)))))</f>
        <v>AUXILIAR DE ENCANADOR OU BOMBEIRO HIDRÁULICO COM ENCARGOS COMPLEMENTARES</v>
      </c>
      <c r="F1316" s="510" t="str">
        <f>IF($C1316="",IFERROR(VLOOKUP($B1316,SERVIÇOS!$B:$G,3,0),IFERROR(VLOOKUP($B1316,$D:$K,3,0),"")),IFERROR(VLOOKUP($C1316,INSUMOS!$A:$D,3,0),IFERROR(VLOOKUP($C1316,COTAÇÕES!$B:$I,3,0),(VLOOKUP($C1316,'INSUMO SINAPI - SP'!$C:$F,3,0)))))</f>
        <v>H</v>
      </c>
      <c r="G1316" s="511">
        <v>0.48</v>
      </c>
      <c r="H1316" s="512">
        <f>IF($C1316="",IFERROR(VLOOKUP($B1316,SERVIÇOS!$B:$G,6,0),IFERROR(VLOOKUP($B1316,$D:$K,8,0),"")),IFERROR(VLOOKUP($C1316,INSUMOS!$A:$D,4,0),IFERROR(VLOOKUP($C1316,COTAÇÕES!$B:$I,7,0),(VLOOKUP($C1316,'INSUMO SINAPI - SP'!$C:$F,4,0)))))</f>
        <v>29.72</v>
      </c>
      <c r="I1316" s="513">
        <f>TRUNC(IF($C1316="",IFERROR(VLOOKUP($B1316,SERVIÇOS!$B:$G,4,0),IFERROR(VLOOKUP($B1316,$D:$K,6,0),)),IFERROR(VLOOKUP($C1316,INSUMOS!$A:$D,4,0),IFERROR(VLOOKUP($C1316,COTAÇÕES!$B:$I,7,0),(VLOOKUP($C1316,'INSUMO SINAPI - SP'!$C:$F,4,0)))))*$G1316,2)</f>
        <v>4.1399999999999997</v>
      </c>
      <c r="J1316" s="513">
        <f>TRUNC(IF($C1316="",IFERROR(VLOOKUP($B1316,SERVIÇOS!$B:$G,5,0),IFERROR(VLOOKUP($B1316,$D:$K,7,0),)),0)*$G1316,2)</f>
        <v>10.11</v>
      </c>
      <c r="K1316" s="514">
        <f t="shared" si="43"/>
        <v>14.25</v>
      </c>
      <c r="L1316" s="515"/>
      <c r="M1316" s="471"/>
      <c r="N1316" s="516"/>
      <c r="Q1316" s="472"/>
      <c r="R1316" s="472"/>
      <c r="S1316" s="472"/>
      <c r="T1316" s="472"/>
      <c r="U1316" s="472"/>
      <c r="V1316" s="472"/>
      <c r="W1316" s="472"/>
      <c r="X1316" s="472"/>
      <c r="Y1316" s="472"/>
    </row>
    <row r="1317" spans="1:25" ht="24" x14ac:dyDescent="0.25">
      <c r="A1317" s="463"/>
      <c r="B1317" s="506"/>
      <c r="C1317" s="507" t="s">
        <v>13287</v>
      </c>
      <c r="D1317" s="508"/>
      <c r="E1317" s="509" t="str">
        <f>IF($C1317="",IFERROR(VLOOKUP($B1317,SERVIÇOS!$B:$G,2,0),IFERROR(VLOOKUP($B1317,$D:$K,2,0),"")),IFERROR(VLOOKUP($C1317,INSUMOS!$A:$D,2,0),IFERROR(VLOOKUP($C1317,COTAÇÕES!$B:$I,2,0),(VLOOKUP($C1317,'INSUMO SINAPI - SP'!$C:$F,2,0)))))</f>
        <v>TUBO DE COBRE FLEXIVEL, D = 3/8 ", E = 0,79 MM, PARA AR-CONDICIONADO/ INSTALACOES GAS RESIDENCIAIS E COMERCIAIS</v>
      </c>
      <c r="F1317" s="510" t="str">
        <f>IF($C1317="",IFERROR(VLOOKUP($B1317,SERVIÇOS!$B:$G,3,0),IFERROR(VLOOKUP($B1317,$D:$K,3,0),"")),IFERROR(VLOOKUP($C1317,INSUMOS!$A:$D,3,0),IFERROR(VLOOKUP($C1317,COTAÇÕES!$B:$I,3,0),(VLOOKUP($C1317,'INSUMO SINAPI - SP'!$C:$F,3,0)))))</f>
        <v>M</v>
      </c>
      <c r="G1317" s="511">
        <v>1.1000000000000001</v>
      </c>
      <c r="H1317" s="512">
        <f>IF($C1317="",IFERROR(VLOOKUP($B1317,SERVIÇOS!$B:$G,6,0),IFERROR(VLOOKUP($B1317,$D:$K,8,0),"")),IFERROR(VLOOKUP($C1317,INSUMOS!$A:$D,4,0),IFERROR(VLOOKUP($C1317,COTAÇÕES!$B:$I,7,0),(VLOOKUP($C1317,'INSUMO SINAPI - SP'!$C:$F,4,0)))))</f>
        <v>31.7</v>
      </c>
      <c r="I1317" s="513">
        <f>TRUNC(IF($C1317="",IFERROR(VLOOKUP($B1317,SERVIÇOS!$B:$G,4,0),IFERROR(VLOOKUP($B1317,$D:$K,6,0),)),IFERROR(VLOOKUP($C1317,INSUMOS!$A:$D,4,0),IFERROR(VLOOKUP($C1317,COTAÇÕES!$B:$I,7,0),(VLOOKUP($C1317,'INSUMO SINAPI - SP'!$C:$F,4,0)))))*$G1317,2)</f>
        <v>34.869999999999997</v>
      </c>
      <c r="J1317" s="513"/>
      <c r="K1317" s="514">
        <f t="shared" si="43"/>
        <v>34.869999999999997</v>
      </c>
      <c r="L1317" s="515" t="s">
        <v>12685</v>
      </c>
      <c r="M1317" s="471"/>
      <c r="N1317" s="516"/>
      <c r="Q1317" s="472"/>
      <c r="R1317" s="472"/>
      <c r="S1317" s="472"/>
      <c r="T1317" s="472"/>
      <c r="U1317" s="472"/>
      <c r="V1317" s="472"/>
      <c r="W1317" s="472"/>
      <c r="X1317" s="472"/>
      <c r="Y1317" s="472"/>
    </row>
    <row r="1318" spans="1:25" x14ac:dyDescent="0.25">
      <c r="A1318" s="463"/>
      <c r="B1318" s="506"/>
      <c r="C1318" s="507">
        <v>13388</v>
      </c>
      <c r="D1318" s="508"/>
      <c r="E1318" s="509" t="str">
        <f>IF($C1318="",IFERROR(VLOOKUP($B1318,SERVIÇOS!$B:$G,2,0),IFERROR(VLOOKUP($B1318,$D:$K,2,0),"")),IFERROR(VLOOKUP($C1318,INSUMOS!$A:$D,2,0),IFERROR(VLOOKUP($C1318,COTAÇÕES!$B:$I,2,0),(VLOOKUP($C1318,'INSUMO SINAPI - SP'!$C:$F,2,0)))))</f>
        <v>SOLDA EM BARRA DE ESTANHO-CHUMBO 50/50</v>
      </c>
      <c r="F1318" s="510" t="str">
        <f>IF($C1318="",IFERROR(VLOOKUP($B1318,SERVIÇOS!$B:$G,3,0),IFERROR(VLOOKUP($B1318,$D:$K,3,0),"")),IFERROR(VLOOKUP($C1318,INSUMOS!$A:$D,3,0),IFERROR(VLOOKUP($C1318,COTAÇÕES!$B:$I,3,0),(VLOOKUP($C1318,'INSUMO SINAPI - SP'!$C:$F,3,0)))))</f>
        <v>KG</v>
      </c>
      <c r="G1318" s="511">
        <v>1E-4</v>
      </c>
      <c r="H1318" s="512">
        <f>IF($C1318="",IFERROR(VLOOKUP($B1318,SERVIÇOS!$B:$G,6,0),IFERROR(VLOOKUP($B1318,$D:$K,8,0),"")),IFERROR(VLOOKUP($C1318,INSUMOS!$A:$D,4,0),IFERROR(VLOOKUP($C1318,COTAÇÕES!$B:$I,7,0),(VLOOKUP($C1318,'INSUMO SINAPI - SP'!$C:$F,4,0)))))</f>
        <v>193</v>
      </c>
      <c r="I1318" s="513">
        <f>TRUNC(IF($C1318="",IFERROR(VLOOKUP($B1318,SERVIÇOS!$B:$G,4,0),IFERROR(VLOOKUP($B1318,$D:$K,6,0),)),IFERROR(VLOOKUP($C1318,INSUMOS!$A:$D,4,0),IFERROR(VLOOKUP($C1318,COTAÇÕES!$B:$I,7,0),(VLOOKUP($C1318,'INSUMO SINAPI - SP'!$C:$F,4,0)))))*$G1318,2)</f>
        <v>0.01</v>
      </c>
      <c r="J1318" s="513">
        <f>TRUNC(IF($C1318="",IFERROR(VLOOKUP($B1318,SERVIÇOS!$B:$G,5,0),IFERROR(VLOOKUP($B1318,$D:$K,7,0),)),0)*$G1318,2)</f>
        <v>0</v>
      </c>
      <c r="K1318" s="514">
        <f t="shared" si="43"/>
        <v>0.01</v>
      </c>
      <c r="L1318" s="517"/>
      <c r="M1318" s="471"/>
      <c r="N1318" s="516"/>
      <c r="Q1318" s="472"/>
      <c r="R1318" s="472"/>
      <c r="S1318" s="472"/>
      <c r="T1318" s="472"/>
      <c r="U1318" s="472"/>
      <c r="V1318" s="472"/>
      <c r="W1318" s="472"/>
      <c r="X1318" s="472"/>
      <c r="Y1318" s="472"/>
    </row>
    <row r="1319" spans="1:25" x14ac:dyDescent="0.25">
      <c r="A1319" s="463"/>
      <c r="B1319" s="506"/>
      <c r="C1319" s="507" t="s">
        <v>13113</v>
      </c>
      <c r="D1319" s="508"/>
      <c r="E1319" s="509" t="str">
        <f>IF($C1319="",IFERROR(VLOOKUP($B1319,SERVIÇOS!$B:$G,2,0),IFERROR(VLOOKUP($B1319,$D:$K,2,0),"")),IFERROR(VLOOKUP($C1319,INSUMOS!$A:$D,2,0),IFERROR(VLOOKUP($C1319,COTAÇÕES!$B:$I,2,0),(VLOOKUP($C1319,'INSUMO SINAPI - SP'!$C:$F,2,0)))))</f>
        <v>PASTA PARA SOLDA DE TUBOS E CONEXOES DE COBRE (EMBALAGEM COM 250 G)</v>
      </c>
      <c r="F1319" s="510" t="str">
        <f>IF($C1319="",IFERROR(VLOOKUP($B1319,SERVIÇOS!$B:$G,3,0),IFERROR(VLOOKUP($B1319,$D:$K,3,0),"")),IFERROR(VLOOKUP($C1319,INSUMOS!$A:$D,3,0),IFERROR(VLOOKUP($C1319,COTAÇÕES!$B:$I,3,0),(VLOOKUP($C1319,'INSUMO SINAPI - SP'!$C:$F,3,0)))))</f>
        <v>UN</v>
      </c>
      <c r="G1319" s="511">
        <v>2.0000000000000001E-4</v>
      </c>
      <c r="H1319" s="512">
        <f>IF($C1319="",IFERROR(VLOOKUP($B1319,SERVIÇOS!$B:$G,6,0),IFERROR(VLOOKUP($B1319,$D:$K,8,0),"")),IFERROR(VLOOKUP($C1319,INSUMOS!$A:$D,4,0),IFERROR(VLOOKUP($C1319,COTAÇÕES!$B:$I,7,0),(VLOOKUP($C1319,'INSUMO SINAPI - SP'!$C:$F,4,0)))))</f>
        <v>56.57</v>
      </c>
      <c r="I1319" s="513">
        <f>TRUNC(IF($C1319="",IFERROR(VLOOKUP($B1319,SERVIÇOS!$B:$G,4,0),IFERROR(VLOOKUP($B1319,$D:$K,6,0),)),IFERROR(VLOOKUP($C1319,INSUMOS!$A:$D,4,0),IFERROR(VLOOKUP($C1319,COTAÇÕES!$B:$I,7,0),(VLOOKUP($C1319,'INSUMO SINAPI - SP'!$C:$F,4,0)))))*$G1319,2)</f>
        <v>0.01</v>
      </c>
      <c r="J1319" s="513"/>
      <c r="K1319" s="514">
        <f t="shared" si="43"/>
        <v>0.01</v>
      </c>
      <c r="L1319" s="515" t="s">
        <v>12685</v>
      </c>
      <c r="M1319" s="471"/>
      <c r="N1319" s="516"/>
      <c r="Q1319" s="472"/>
      <c r="R1319" s="472"/>
      <c r="S1319" s="472"/>
      <c r="T1319" s="472"/>
      <c r="U1319" s="472"/>
      <c r="V1319" s="472"/>
      <c r="W1319" s="472"/>
      <c r="X1319" s="472"/>
      <c r="Y1319" s="472"/>
    </row>
    <row r="1320" spans="1:25" ht="24" x14ac:dyDescent="0.25">
      <c r="A1320" s="463"/>
      <c r="B1320" s="506"/>
      <c r="C1320" s="507" t="s">
        <v>13288</v>
      </c>
      <c r="D1320" s="508"/>
      <c r="E1320" s="518" t="s">
        <v>13289</v>
      </c>
      <c r="F1320" s="519" t="s">
        <v>585</v>
      </c>
      <c r="G1320" s="511">
        <v>1.02</v>
      </c>
      <c r="H1320" s="520">
        <v>13.78</v>
      </c>
      <c r="I1320" s="520">
        <f>TRUNC(H1320*G1320,2)</f>
        <v>14.05</v>
      </c>
      <c r="J1320" s="521"/>
      <c r="K1320" s="522">
        <f t="shared" si="43"/>
        <v>14.05</v>
      </c>
      <c r="L1320" s="517" t="s">
        <v>12901</v>
      </c>
      <c r="M1320" s="471"/>
      <c r="N1320" s="516"/>
      <c r="Q1320" s="472"/>
      <c r="R1320" s="472"/>
      <c r="S1320" s="472"/>
      <c r="T1320" s="472"/>
      <c r="U1320" s="472"/>
      <c r="V1320" s="472"/>
      <c r="W1320" s="472"/>
      <c r="X1320" s="472"/>
      <c r="Y1320" s="472"/>
    </row>
    <row r="1321" spans="1:25" ht="24" x14ac:dyDescent="0.25">
      <c r="A1321" s="463"/>
      <c r="B1321" s="506"/>
      <c r="C1321" s="507" t="s">
        <v>13283</v>
      </c>
      <c r="D1321" s="508"/>
      <c r="E1321" s="518" t="s">
        <v>13284</v>
      </c>
      <c r="F1321" s="519" t="s">
        <v>517</v>
      </c>
      <c r="G1321" s="511">
        <v>0.02</v>
      </c>
      <c r="H1321" s="520">
        <v>127.47</v>
      </c>
      <c r="I1321" s="520">
        <f>TRUNC(H1321*G1321,2)</f>
        <v>2.54</v>
      </c>
      <c r="J1321" s="521"/>
      <c r="K1321" s="522">
        <f t="shared" si="43"/>
        <v>2.54</v>
      </c>
      <c r="L1321" s="517" t="s">
        <v>12901</v>
      </c>
      <c r="M1321" s="471"/>
      <c r="N1321" s="516"/>
      <c r="Q1321" s="472"/>
      <c r="R1321" s="472"/>
      <c r="S1321" s="472"/>
      <c r="T1321" s="472"/>
      <c r="U1321" s="472"/>
      <c r="V1321" s="472"/>
      <c r="W1321" s="472"/>
      <c r="X1321" s="472"/>
      <c r="Y1321" s="472"/>
    </row>
    <row r="1322" spans="1:25" ht="60" x14ac:dyDescent="0.25">
      <c r="A1322" s="463"/>
      <c r="B1322" s="498"/>
      <c r="C1322" s="498"/>
      <c r="D1322" s="499" t="s">
        <v>12387</v>
      </c>
      <c r="E1322" s="500" t="s">
        <v>13290</v>
      </c>
      <c r="F1322" s="501" t="s">
        <v>585</v>
      </c>
      <c r="G1322" s="502"/>
      <c r="H1322" s="503"/>
      <c r="I1322" s="504">
        <f>SUM(I1323:I1329)</f>
        <v>62.459999999999994</v>
      </c>
      <c r="J1322" s="504">
        <f>SUM(J1323:J1329)</f>
        <v>23.32</v>
      </c>
      <c r="K1322" s="504">
        <f>+J1322+I1322</f>
        <v>85.78</v>
      </c>
      <c r="L1322" s="523" t="s">
        <v>13291</v>
      </c>
      <c r="M1322" s="471"/>
      <c r="N1322" s="505"/>
      <c r="Q1322" s="472"/>
      <c r="R1322" s="472"/>
      <c r="S1322" s="472"/>
      <c r="T1322" s="472"/>
      <c r="U1322" s="472"/>
      <c r="V1322" s="472"/>
      <c r="W1322" s="472"/>
      <c r="X1322" s="472"/>
      <c r="Y1322" s="472"/>
    </row>
    <row r="1323" spans="1:25" x14ac:dyDescent="0.25">
      <c r="A1323" s="463"/>
      <c r="B1323" s="506">
        <v>88267</v>
      </c>
      <c r="C1323" s="507"/>
      <c r="D1323" s="508"/>
      <c r="E1323" s="509" t="str">
        <f>IF($C1323="",IFERROR(VLOOKUP($B1323,SERVIÇOS!$B:$G,2,0),IFERROR(VLOOKUP($B1323,$D:$K,2,0),"")),IFERROR(VLOOKUP($C1323,INSUMOS!$A:$D,2,0),IFERROR(VLOOKUP($C1323,COTAÇÕES!$B:$I,2,0),(VLOOKUP($C1323,'INSUMO SINAPI - SP'!$C:$F,2,0)))))</f>
        <v>ENCANADOR OU BOMBEIRO HIDRÁULICO COM ENCARGOS COMPLEMENTARES</v>
      </c>
      <c r="F1323" s="510" t="str">
        <f>IF($C1323="",IFERROR(VLOOKUP($B1323,SERVIÇOS!$B:$G,3,0),IFERROR(VLOOKUP($B1323,$D:$K,3,0),"")),IFERROR(VLOOKUP($C1323,INSUMOS!$A:$D,3,0),IFERROR(VLOOKUP($C1323,COTAÇÕES!$B:$I,3,0),(VLOOKUP($C1323,'INSUMO SINAPI - SP'!$C:$F,3,0)))))</f>
        <v>H</v>
      </c>
      <c r="G1323" s="511">
        <v>0.48</v>
      </c>
      <c r="H1323" s="512">
        <f>IF($C1323="",IFERROR(VLOOKUP($B1323,SERVIÇOS!$B:$G,6,0),IFERROR(VLOOKUP($B1323,$D:$K,8,0),"")),IFERROR(VLOOKUP($C1323,INSUMOS!$A:$D,4,0),IFERROR(VLOOKUP($C1323,COTAÇÕES!$B:$I,7,0),(VLOOKUP($C1323,'INSUMO SINAPI - SP'!$C:$F,4,0)))))</f>
        <v>36.17</v>
      </c>
      <c r="I1323" s="513">
        <f>TRUNC(IF($C1323="",IFERROR(VLOOKUP($B1323,SERVIÇOS!$B:$G,4,0),IFERROR(VLOOKUP($B1323,$D:$K,6,0),)),IFERROR(VLOOKUP($C1323,INSUMOS!$A:$D,4,0),IFERROR(VLOOKUP($C1323,COTAÇÕES!$B:$I,7,0),(VLOOKUP($C1323,'INSUMO SINAPI - SP'!$C:$F,4,0)))))*$G1323,2)</f>
        <v>4.1399999999999997</v>
      </c>
      <c r="J1323" s="513">
        <f>TRUNC(IF($C1323="",IFERROR(VLOOKUP($B1323,SERVIÇOS!$B:$G,5,0),IFERROR(VLOOKUP($B1323,$D:$K,7,0),)),0)*$G1323,2)</f>
        <v>13.21</v>
      </c>
      <c r="K1323" s="514">
        <f t="shared" ref="K1323:K1329" si="44">I1323+J1323</f>
        <v>17.350000000000001</v>
      </c>
      <c r="L1323" s="515"/>
      <c r="M1323" s="471"/>
      <c r="N1323" s="516"/>
      <c r="Q1323" s="472"/>
      <c r="R1323" s="472"/>
      <c r="S1323" s="472"/>
      <c r="T1323" s="472"/>
      <c r="U1323" s="472"/>
      <c r="V1323" s="472"/>
      <c r="W1323" s="472"/>
      <c r="X1323" s="472"/>
      <c r="Y1323" s="472"/>
    </row>
    <row r="1324" spans="1:25" x14ac:dyDescent="0.25">
      <c r="A1324" s="463"/>
      <c r="B1324" s="506">
        <v>88248</v>
      </c>
      <c r="C1324" s="507"/>
      <c r="D1324" s="508"/>
      <c r="E1324" s="509" t="str">
        <f>IF($C1324="",IFERROR(VLOOKUP($B1324,SERVIÇOS!$B:$G,2,0),IFERROR(VLOOKUP($B1324,$D:$K,2,0),"")),IFERROR(VLOOKUP($C1324,INSUMOS!$A:$D,2,0),IFERROR(VLOOKUP($C1324,COTAÇÕES!$B:$I,2,0),(VLOOKUP($C1324,'INSUMO SINAPI - SP'!$C:$F,2,0)))))</f>
        <v>AUXILIAR DE ENCANADOR OU BOMBEIRO HIDRÁULICO COM ENCARGOS COMPLEMENTARES</v>
      </c>
      <c r="F1324" s="510" t="str">
        <f>IF($C1324="",IFERROR(VLOOKUP($B1324,SERVIÇOS!$B:$G,3,0),IFERROR(VLOOKUP($B1324,$D:$K,3,0),"")),IFERROR(VLOOKUP($C1324,INSUMOS!$A:$D,3,0),IFERROR(VLOOKUP($C1324,COTAÇÕES!$B:$I,3,0),(VLOOKUP($C1324,'INSUMO SINAPI - SP'!$C:$F,3,0)))))</f>
        <v>H</v>
      </c>
      <c r="G1324" s="511">
        <v>0.48</v>
      </c>
      <c r="H1324" s="512">
        <f>IF($C1324="",IFERROR(VLOOKUP($B1324,SERVIÇOS!$B:$G,6,0),IFERROR(VLOOKUP($B1324,$D:$K,8,0),"")),IFERROR(VLOOKUP($C1324,INSUMOS!$A:$D,4,0),IFERROR(VLOOKUP($C1324,COTAÇÕES!$B:$I,7,0),(VLOOKUP($C1324,'INSUMO SINAPI - SP'!$C:$F,4,0)))))</f>
        <v>29.72</v>
      </c>
      <c r="I1324" s="513">
        <f>TRUNC(IF($C1324="",IFERROR(VLOOKUP($B1324,SERVIÇOS!$B:$G,4,0),IFERROR(VLOOKUP($B1324,$D:$K,6,0),)),IFERROR(VLOOKUP($C1324,INSUMOS!$A:$D,4,0),IFERROR(VLOOKUP($C1324,COTAÇÕES!$B:$I,7,0),(VLOOKUP($C1324,'INSUMO SINAPI - SP'!$C:$F,4,0)))))*$G1324,2)</f>
        <v>4.1399999999999997</v>
      </c>
      <c r="J1324" s="513">
        <f>TRUNC(IF($C1324="",IFERROR(VLOOKUP($B1324,SERVIÇOS!$B:$G,5,0),IFERROR(VLOOKUP($B1324,$D:$K,7,0),)),0)*$G1324,2)</f>
        <v>10.11</v>
      </c>
      <c r="K1324" s="514">
        <f t="shared" si="44"/>
        <v>14.25</v>
      </c>
      <c r="L1324" s="515"/>
      <c r="M1324" s="471"/>
      <c r="N1324" s="516"/>
      <c r="Q1324" s="472"/>
      <c r="R1324" s="472"/>
      <c r="S1324" s="472"/>
      <c r="T1324" s="472"/>
      <c r="U1324" s="472"/>
      <c r="V1324" s="472"/>
      <c r="W1324" s="472"/>
      <c r="X1324" s="472"/>
      <c r="Y1324" s="472"/>
    </row>
    <row r="1325" spans="1:25" ht="24" x14ac:dyDescent="0.25">
      <c r="A1325" s="463"/>
      <c r="B1325" s="506"/>
      <c r="C1325" s="507" t="s">
        <v>13292</v>
      </c>
      <c r="D1325" s="508"/>
      <c r="E1325" s="509" t="str">
        <f>IF($C1325="",IFERROR(VLOOKUP($B1325,SERVIÇOS!$B:$G,2,0),IFERROR(VLOOKUP($B1325,$D:$K,2,0),"")),IFERROR(VLOOKUP($C1325,INSUMOS!$A:$D,2,0),IFERROR(VLOOKUP($C1325,COTAÇÕES!$B:$I,2,0),(VLOOKUP($C1325,'INSUMO SINAPI - SP'!$C:$F,2,0)))))</f>
        <v>TUBO DE COBRE FLEXIVEL, D = 1/2 ", E = 0,79 MM, PARA AR-CONDICIONADO/ INSTALACOES GAS RESIDENCIAIS E COMERCIAIS</v>
      </c>
      <c r="F1325" s="510" t="str">
        <f>IF($C1325="",IFERROR(VLOOKUP($B1325,SERVIÇOS!$B:$G,3,0),IFERROR(VLOOKUP($B1325,$D:$K,3,0),"")),IFERROR(VLOOKUP($C1325,INSUMOS!$A:$D,3,0),IFERROR(VLOOKUP($C1325,COTAÇÕES!$B:$I,3,0),(VLOOKUP($C1325,'INSUMO SINAPI - SP'!$C:$F,3,0)))))</f>
        <v>M</v>
      </c>
      <c r="G1325" s="511">
        <v>1.1000000000000001</v>
      </c>
      <c r="H1325" s="512">
        <f>IF($C1325="",IFERROR(VLOOKUP($B1325,SERVIÇOS!$B:$G,6,0),IFERROR(VLOOKUP($B1325,$D:$K,8,0),"")),IFERROR(VLOOKUP($C1325,INSUMOS!$A:$D,4,0),IFERROR(VLOOKUP($C1325,COTAÇÕES!$B:$I,7,0),(VLOOKUP($C1325,'INSUMO SINAPI - SP'!$C:$F,4,0)))))</f>
        <v>43</v>
      </c>
      <c r="I1325" s="513">
        <f>TRUNC(IF($C1325="",IFERROR(VLOOKUP($B1325,SERVIÇOS!$B:$G,4,0),IFERROR(VLOOKUP($B1325,$D:$K,6,0),)),IFERROR(VLOOKUP($C1325,INSUMOS!$A:$D,4,0),IFERROR(VLOOKUP($C1325,COTAÇÕES!$B:$I,7,0),(VLOOKUP($C1325,'INSUMO SINAPI - SP'!$C:$F,4,0)))))*$G1325,2)</f>
        <v>47.3</v>
      </c>
      <c r="J1325" s="513"/>
      <c r="K1325" s="514">
        <f t="shared" si="44"/>
        <v>47.3</v>
      </c>
      <c r="L1325" s="515" t="s">
        <v>12685</v>
      </c>
      <c r="M1325" s="471"/>
      <c r="N1325" s="516"/>
      <c r="Q1325" s="472"/>
      <c r="R1325" s="472"/>
      <c r="S1325" s="472"/>
      <c r="T1325" s="472"/>
      <c r="U1325" s="472"/>
      <c r="V1325" s="472"/>
      <c r="W1325" s="472"/>
      <c r="X1325" s="472"/>
      <c r="Y1325" s="472"/>
    </row>
    <row r="1326" spans="1:25" x14ac:dyDescent="0.25">
      <c r="A1326" s="463"/>
      <c r="B1326" s="506"/>
      <c r="C1326" s="507">
        <v>13388</v>
      </c>
      <c r="D1326" s="508"/>
      <c r="E1326" s="509" t="str">
        <f>IF($C1326="",IFERROR(VLOOKUP($B1326,SERVIÇOS!$B:$G,2,0),IFERROR(VLOOKUP($B1326,$D:$K,2,0),"")),IFERROR(VLOOKUP($C1326,INSUMOS!$A:$D,2,0),IFERROR(VLOOKUP($C1326,COTAÇÕES!$B:$I,2,0),(VLOOKUP($C1326,'INSUMO SINAPI - SP'!$C:$F,2,0)))))</f>
        <v>SOLDA EM BARRA DE ESTANHO-CHUMBO 50/50</v>
      </c>
      <c r="F1326" s="510" t="str">
        <f>IF($C1326="",IFERROR(VLOOKUP($B1326,SERVIÇOS!$B:$G,3,0),IFERROR(VLOOKUP($B1326,$D:$K,3,0),"")),IFERROR(VLOOKUP($C1326,INSUMOS!$A:$D,3,0),IFERROR(VLOOKUP($C1326,COTAÇÕES!$B:$I,3,0),(VLOOKUP($C1326,'INSUMO SINAPI - SP'!$C:$F,3,0)))))</f>
        <v>KG</v>
      </c>
      <c r="G1326" s="511">
        <v>1E-4</v>
      </c>
      <c r="H1326" s="512">
        <f>IF($C1326="",IFERROR(VLOOKUP($B1326,SERVIÇOS!$B:$G,6,0),IFERROR(VLOOKUP($B1326,$D:$K,8,0),"")),IFERROR(VLOOKUP($C1326,INSUMOS!$A:$D,4,0),IFERROR(VLOOKUP($C1326,COTAÇÕES!$B:$I,7,0),(VLOOKUP($C1326,'INSUMO SINAPI - SP'!$C:$F,4,0)))))</f>
        <v>193</v>
      </c>
      <c r="I1326" s="513">
        <f>TRUNC(IF($C1326="",IFERROR(VLOOKUP($B1326,SERVIÇOS!$B:$G,4,0),IFERROR(VLOOKUP($B1326,$D:$K,6,0),)),IFERROR(VLOOKUP($C1326,INSUMOS!$A:$D,4,0),IFERROR(VLOOKUP($C1326,COTAÇÕES!$B:$I,7,0),(VLOOKUP($C1326,'INSUMO SINAPI - SP'!$C:$F,4,0)))))*$G1326,2)</f>
        <v>0.01</v>
      </c>
      <c r="J1326" s="513">
        <f>TRUNC(IF($C1326="",IFERROR(VLOOKUP($B1326,SERVIÇOS!$B:$G,5,0),IFERROR(VLOOKUP($B1326,$D:$K,7,0),)),0)*$G1326,2)</f>
        <v>0</v>
      </c>
      <c r="K1326" s="514">
        <f t="shared" si="44"/>
        <v>0.01</v>
      </c>
      <c r="L1326" s="517"/>
      <c r="M1326" s="471"/>
      <c r="N1326" s="516"/>
      <c r="Q1326" s="472"/>
      <c r="R1326" s="472"/>
      <c r="S1326" s="472"/>
      <c r="T1326" s="472"/>
      <c r="U1326" s="472"/>
      <c r="V1326" s="472"/>
      <c r="W1326" s="472"/>
      <c r="X1326" s="472"/>
      <c r="Y1326" s="472"/>
    </row>
    <row r="1327" spans="1:25" x14ac:dyDescent="0.25">
      <c r="A1327" s="463"/>
      <c r="B1327" s="506"/>
      <c r="C1327" s="507" t="s">
        <v>13113</v>
      </c>
      <c r="D1327" s="508"/>
      <c r="E1327" s="509" t="str">
        <f>IF($C1327="",IFERROR(VLOOKUP($B1327,SERVIÇOS!$B:$G,2,0),IFERROR(VLOOKUP($B1327,$D:$K,2,0),"")),IFERROR(VLOOKUP($C1327,INSUMOS!$A:$D,2,0),IFERROR(VLOOKUP($C1327,COTAÇÕES!$B:$I,2,0),(VLOOKUP($C1327,'INSUMO SINAPI - SP'!$C:$F,2,0)))))</f>
        <v>PASTA PARA SOLDA DE TUBOS E CONEXOES DE COBRE (EMBALAGEM COM 250 G)</v>
      </c>
      <c r="F1327" s="510" t="str">
        <f>IF($C1327="",IFERROR(VLOOKUP($B1327,SERVIÇOS!$B:$G,3,0),IFERROR(VLOOKUP($B1327,$D:$K,3,0),"")),IFERROR(VLOOKUP($C1327,INSUMOS!$A:$D,3,0),IFERROR(VLOOKUP($C1327,COTAÇÕES!$B:$I,3,0),(VLOOKUP($C1327,'INSUMO SINAPI - SP'!$C:$F,3,0)))))</f>
        <v>UN</v>
      </c>
      <c r="G1327" s="511">
        <v>2.0000000000000001E-4</v>
      </c>
      <c r="H1327" s="512">
        <f>IF($C1327="",IFERROR(VLOOKUP($B1327,SERVIÇOS!$B:$G,6,0),IFERROR(VLOOKUP($B1327,$D:$K,8,0),"")),IFERROR(VLOOKUP($C1327,INSUMOS!$A:$D,4,0),IFERROR(VLOOKUP($C1327,COTAÇÕES!$B:$I,7,0),(VLOOKUP($C1327,'INSUMO SINAPI - SP'!$C:$F,4,0)))))</f>
        <v>56.57</v>
      </c>
      <c r="I1327" s="513">
        <f>TRUNC(IF($C1327="",IFERROR(VLOOKUP($B1327,SERVIÇOS!$B:$G,4,0),IFERROR(VLOOKUP($B1327,$D:$K,6,0),)),IFERROR(VLOOKUP($C1327,INSUMOS!$A:$D,4,0),IFERROR(VLOOKUP($C1327,COTAÇÕES!$B:$I,7,0),(VLOOKUP($C1327,'INSUMO SINAPI - SP'!$C:$F,4,0)))))*$G1327,2)</f>
        <v>0.01</v>
      </c>
      <c r="J1327" s="513"/>
      <c r="K1327" s="514">
        <f t="shared" si="44"/>
        <v>0.01</v>
      </c>
      <c r="L1327" s="515" t="s">
        <v>12685</v>
      </c>
      <c r="M1327" s="471"/>
      <c r="N1327" s="516"/>
      <c r="Q1327" s="472"/>
      <c r="R1327" s="472"/>
      <c r="S1327" s="472"/>
      <c r="T1327" s="472"/>
      <c r="U1327" s="472"/>
      <c r="V1327" s="472"/>
      <c r="W1327" s="472"/>
      <c r="X1327" s="472"/>
      <c r="Y1327" s="472"/>
    </row>
    <row r="1328" spans="1:25" ht="24" x14ac:dyDescent="0.25">
      <c r="A1328" s="463"/>
      <c r="B1328" s="506"/>
      <c r="C1328" s="507" t="s">
        <v>13293</v>
      </c>
      <c r="D1328" s="557"/>
      <c r="E1328" s="518" t="s">
        <v>13294</v>
      </c>
      <c r="F1328" s="519" t="s">
        <v>585</v>
      </c>
      <c r="G1328" s="511">
        <v>1.02</v>
      </c>
      <c r="H1328" s="520">
        <v>4.24</v>
      </c>
      <c r="I1328" s="520">
        <f>TRUNC(H1328*G1328,2)</f>
        <v>4.32</v>
      </c>
      <c r="J1328" s="521"/>
      <c r="K1328" s="522">
        <f t="shared" si="44"/>
        <v>4.32</v>
      </c>
      <c r="L1328" s="517" t="s">
        <v>12901</v>
      </c>
      <c r="M1328" s="471"/>
      <c r="N1328" s="516"/>
      <c r="Q1328" s="472"/>
      <c r="R1328" s="472"/>
      <c r="S1328" s="472"/>
      <c r="T1328" s="472"/>
      <c r="U1328" s="472"/>
      <c r="V1328" s="472"/>
      <c r="W1328" s="472"/>
      <c r="X1328" s="472"/>
      <c r="Y1328" s="472"/>
    </row>
    <row r="1329" spans="1:25" ht="24" x14ac:dyDescent="0.25">
      <c r="A1329" s="463"/>
      <c r="B1329" s="506"/>
      <c r="C1329" s="507" t="s">
        <v>13283</v>
      </c>
      <c r="D1329" s="508"/>
      <c r="E1329" s="518" t="s">
        <v>13284</v>
      </c>
      <c r="F1329" s="519" t="s">
        <v>517</v>
      </c>
      <c r="G1329" s="511">
        <v>0.02</v>
      </c>
      <c r="H1329" s="520">
        <v>127.47</v>
      </c>
      <c r="I1329" s="520">
        <f>TRUNC(H1329*G1329,2)</f>
        <v>2.54</v>
      </c>
      <c r="J1329" s="521"/>
      <c r="K1329" s="522">
        <f t="shared" si="44"/>
        <v>2.54</v>
      </c>
      <c r="L1329" s="517" t="s">
        <v>12901</v>
      </c>
      <c r="M1329" s="471"/>
      <c r="N1329" s="516"/>
      <c r="Q1329" s="472"/>
      <c r="R1329" s="472"/>
      <c r="S1329" s="472"/>
      <c r="T1329" s="472"/>
      <c r="U1329" s="472"/>
      <c r="V1329" s="472"/>
      <c r="W1329" s="472"/>
      <c r="X1329" s="472"/>
      <c r="Y1329" s="472"/>
    </row>
    <row r="1330" spans="1:25" ht="60" x14ac:dyDescent="0.25">
      <c r="A1330" s="463"/>
      <c r="B1330" s="498"/>
      <c r="C1330" s="498"/>
      <c r="D1330" s="499" t="s">
        <v>12388</v>
      </c>
      <c r="E1330" s="500" t="s">
        <v>13295</v>
      </c>
      <c r="F1330" s="501" t="s">
        <v>585</v>
      </c>
      <c r="G1330" s="502"/>
      <c r="H1330" s="503"/>
      <c r="I1330" s="504">
        <f>ROUND(SUM(I1331:I1337),2)</f>
        <v>75.45</v>
      </c>
      <c r="J1330" s="504">
        <f>ROUND(SUM(J1331:J1337),2)</f>
        <v>23.32</v>
      </c>
      <c r="K1330" s="504">
        <f>+J1330+I1330</f>
        <v>98.77000000000001</v>
      </c>
      <c r="L1330" s="523" t="s">
        <v>13296</v>
      </c>
      <c r="M1330" s="471"/>
      <c r="N1330" s="505"/>
      <c r="Q1330" s="472"/>
      <c r="R1330" s="472"/>
      <c r="S1330" s="472"/>
      <c r="T1330" s="472"/>
      <c r="U1330" s="472"/>
      <c r="V1330" s="472"/>
      <c r="W1330" s="472"/>
      <c r="X1330" s="472"/>
      <c r="Y1330" s="472"/>
    </row>
    <row r="1331" spans="1:25" x14ac:dyDescent="0.25">
      <c r="A1331" s="463"/>
      <c r="B1331" s="506">
        <v>88267</v>
      </c>
      <c r="C1331" s="507"/>
      <c r="D1331" s="508"/>
      <c r="E1331" s="509" t="str">
        <f>IF($C1331="",IFERROR(VLOOKUP($B1331,SERVIÇOS!$B:$G,2,0),IFERROR(VLOOKUP($B1331,$D:$K,2,0),"")),IFERROR(VLOOKUP($C1331,INSUMOS!$A:$D,2,0),IFERROR(VLOOKUP($C1331,COTAÇÕES!$B:$I,2,0),(VLOOKUP($C1331,'INSUMO SINAPI - SP'!$C:$F,2,0)))))</f>
        <v>ENCANADOR OU BOMBEIRO HIDRÁULICO COM ENCARGOS COMPLEMENTARES</v>
      </c>
      <c r="F1331" s="510" t="str">
        <f>IF($C1331="",IFERROR(VLOOKUP($B1331,SERVIÇOS!$B:$G,3,0),IFERROR(VLOOKUP($B1331,$D:$K,3,0),"")),IFERROR(VLOOKUP($C1331,INSUMOS!$A:$D,3,0),IFERROR(VLOOKUP($C1331,COTAÇÕES!$B:$I,3,0),(VLOOKUP($C1331,'INSUMO SINAPI - SP'!$C:$F,3,0)))))</f>
        <v>H</v>
      </c>
      <c r="G1331" s="511">
        <v>0.48</v>
      </c>
      <c r="H1331" s="512">
        <f>IF($C1331="",IFERROR(VLOOKUP($B1331,SERVIÇOS!$B:$G,6,0),IFERROR(VLOOKUP($B1331,$D:$K,8,0),"")),IFERROR(VLOOKUP($C1331,INSUMOS!$A:$D,4,0),IFERROR(VLOOKUP($C1331,COTAÇÕES!$B:$I,7,0),(VLOOKUP($C1331,'INSUMO SINAPI - SP'!$C:$F,4,0)))))</f>
        <v>36.17</v>
      </c>
      <c r="I1331" s="513">
        <f>TRUNC(IF($C1331="",IFERROR(VLOOKUP($B1331,SERVIÇOS!$B:$G,4,0),IFERROR(VLOOKUP($B1331,$D:$K,6,0),)),IFERROR(VLOOKUP($C1331,INSUMOS!$A:$D,4,0),IFERROR(VLOOKUP($C1331,COTAÇÕES!$B:$I,7,0),(VLOOKUP($C1331,'INSUMO SINAPI - SP'!$C:$F,4,0)))))*$G1331,2)</f>
        <v>4.1399999999999997</v>
      </c>
      <c r="J1331" s="513">
        <f>TRUNC(IF($C1331="",IFERROR(VLOOKUP($B1331,SERVIÇOS!$B:$G,5,0),IFERROR(VLOOKUP($B1331,$D:$K,7,0),)),0)*$G1331,2)</f>
        <v>13.21</v>
      </c>
      <c r="K1331" s="514">
        <f t="shared" ref="K1331:K1337" si="45">I1331+J1331</f>
        <v>17.350000000000001</v>
      </c>
      <c r="L1331" s="515"/>
      <c r="M1331" s="471"/>
      <c r="N1331" s="516"/>
      <c r="Q1331" s="472"/>
      <c r="R1331" s="472"/>
      <c r="S1331" s="472"/>
      <c r="T1331" s="472"/>
      <c r="U1331" s="472"/>
      <c r="V1331" s="472"/>
      <c r="W1331" s="472"/>
      <c r="X1331" s="472"/>
      <c r="Y1331" s="472"/>
    </row>
    <row r="1332" spans="1:25" x14ac:dyDescent="0.25">
      <c r="A1332" s="463"/>
      <c r="B1332" s="506">
        <v>88248</v>
      </c>
      <c r="C1332" s="507"/>
      <c r="D1332" s="508"/>
      <c r="E1332" s="509" t="str">
        <f>IF($C1332="",IFERROR(VLOOKUP($B1332,SERVIÇOS!$B:$G,2,0),IFERROR(VLOOKUP($B1332,$D:$K,2,0),"")),IFERROR(VLOOKUP($C1332,INSUMOS!$A:$D,2,0),IFERROR(VLOOKUP($C1332,COTAÇÕES!$B:$I,2,0),(VLOOKUP($C1332,'INSUMO SINAPI - SP'!$C:$F,2,0)))))</f>
        <v>AUXILIAR DE ENCANADOR OU BOMBEIRO HIDRÁULICO COM ENCARGOS COMPLEMENTARES</v>
      </c>
      <c r="F1332" s="510" t="str">
        <f>IF($C1332="",IFERROR(VLOOKUP($B1332,SERVIÇOS!$B:$G,3,0),IFERROR(VLOOKUP($B1332,$D:$K,3,0),"")),IFERROR(VLOOKUP($C1332,INSUMOS!$A:$D,3,0),IFERROR(VLOOKUP($C1332,COTAÇÕES!$B:$I,3,0),(VLOOKUP($C1332,'INSUMO SINAPI - SP'!$C:$F,3,0)))))</f>
        <v>H</v>
      </c>
      <c r="G1332" s="511">
        <v>0.48</v>
      </c>
      <c r="H1332" s="512">
        <f>IF($C1332="",IFERROR(VLOOKUP($B1332,SERVIÇOS!$B:$G,6,0),IFERROR(VLOOKUP($B1332,$D:$K,8,0),"")),IFERROR(VLOOKUP($C1332,INSUMOS!$A:$D,4,0),IFERROR(VLOOKUP($C1332,COTAÇÕES!$B:$I,7,0),(VLOOKUP($C1332,'INSUMO SINAPI - SP'!$C:$F,4,0)))))</f>
        <v>29.72</v>
      </c>
      <c r="I1332" s="513">
        <f>TRUNC(IF($C1332="",IFERROR(VLOOKUP($B1332,SERVIÇOS!$B:$G,4,0),IFERROR(VLOOKUP($B1332,$D:$K,6,0),)),IFERROR(VLOOKUP($C1332,INSUMOS!$A:$D,4,0),IFERROR(VLOOKUP($C1332,COTAÇÕES!$B:$I,7,0),(VLOOKUP($C1332,'INSUMO SINAPI - SP'!$C:$F,4,0)))))*$G1332,2)</f>
        <v>4.1399999999999997</v>
      </c>
      <c r="J1332" s="513">
        <f>TRUNC(IF($C1332="",IFERROR(VLOOKUP($B1332,SERVIÇOS!$B:$G,5,0),IFERROR(VLOOKUP($B1332,$D:$K,7,0),)),0)*$G1332,2)</f>
        <v>10.11</v>
      </c>
      <c r="K1332" s="514">
        <f t="shared" si="45"/>
        <v>14.25</v>
      </c>
      <c r="L1332" s="515"/>
      <c r="M1332" s="471"/>
      <c r="N1332" s="516"/>
      <c r="Q1332" s="472"/>
      <c r="R1332" s="472"/>
      <c r="S1332" s="472"/>
      <c r="T1332" s="472"/>
      <c r="U1332" s="472"/>
      <c r="V1332" s="472"/>
      <c r="W1332" s="472"/>
      <c r="X1332" s="472"/>
      <c r="Y1332" s="472"/>
    </row>
    <row r="1333" spans="1:25" ht="24" x14ac:dyDescent="0.25">
      <c r="A1333" s="463"/>
      <c r="B1333" s="506"/>
      <c r="C1333" s="507" t="s">
        <v>13297</v>
      </c>
      <c r="D1333" s="508"/>
      <c r="E1333" s="509" t="str">
        <f>IF($C1333="",IFERROR(VLOOKUP($B1333,SERVIÇOS!$B:$G,2,0),IFERROR(VLOOKUP($B1333,$D:$K,2,0),"")),IFERROR(VLOOKUP($C1333,INSUMOS!$A:$D,2,0),IFERROR(VLOOKUP($C1333,COTAÇÕES!$B:$I,2,0),(VLOOKUP($C1333,'INSUMO SINAPI - SP'!$C:$F,2,0)))))</f>
        <v>TUBO DE COBRE FLEXIVEL, D = 5/8 ", E = 0,79 MM, PARA AR-CONDICIONADO/ INSTALACOES GAS RESIDENCIAIS E COMERCIAIS</v>
      </c>
      <c r="F1333" s="510" t="str">
        <f>IF($C1333="",IFERROR(VLOOKUP($B1333,SERVIÇOS!$B:$G,3,0),IFERROR(VLOOKUP($B1333,$D:$K,3,0),"")),IFERROR(VLOOKUP($C1333,INSUMOS!$A:$D,3,0),IFERROR(VLOOKUP($C1333,COTAÇÕES!$B:$I,3,0),(VLOOKUP($C1333,'INSUMO SINAPI - SP'!$C:$F,3,0)))))</f>
        <v>M</v>
      </c>
      <c r="G1333" s="511">
        <v>1.1000000000000001</v>
      </c>
      <c r="H1333" s="512">
        <f>IF($C1333="",IFERROR(VLOOKUP($B1333,SERVIÇOS!$B:$G,6,0),IFERROR(VLOOKUP($B1333,$D:$K,8,0),"")),IFERROR(VLOOKUP($C1333,INSUMOS!$A:$D,4,0),IFERROR(VLOOKUP($C1333,COTAÇÕES!$B:$I,7,0),(VLOOKUP($C1333,'INSUMO SINAPI - SP'!$C:$F,4,0)))))</f>
        <v>53.49</v>
      </c>
      <c r="I1333" s="513">
        <f>TRUNC(IF($C1333="",IFERROR(VLOOKUP($B1333,SERVIÇOS!$B:$G,4,0),IFERROR(VLOOKUP($B1333,$D:$K,6,0),)),IFERROR(VLOOKUP($C1333,INSUMOS!$A:$D,4,0),IFERROR(VLOOKUP($C1333,COTAÇÕES!$B:$I,7,0),(VLOOKUP($C1333,'INSUMO SINAPI - SP'!$C:$F,4,0)))))*$G1333,2)</f>
        <v>58.83</v>
      </c>
      <c r="J1333" s="513"/>
      <c r="K1333" s="514">
        <f t="shared" si="45"/>
        <v>58.83</v>
      </c>
      <c r="L1333" s="515" t="s">
        <v>12685</v>
      </c>
      <c r="M1333" s="471"/>
      <c r="N1333" s="516"/>
      <c r="Q1333" s="472"/>
      <c r="R1333" s="472"/>
      <c r="S1333" s="472"/>
      <c r="T1333" s="472"/>
      <c r="U1333" s="472"/>
      <c r="V1333" s="472"/>
      <c r="W1333" s="472"/>
      <c r="X1333" s="472"/>
      <c r="Y1333" s="472"/>
    </row>
    <row r="1334" spans="1:25" x14ac:dyDescent="0.25">
      <c r="A1334" s="463"/>
      <c r="B1334" s="506"/>
      <c r="C1334" s="507">
        <v>13388</v>
      </c>
      <c r="D1334" s="508"/>
      <c r="E1334" s="509" t="str">
        <f>IF($C1334="",IFERROR(VLOOKUP($B1334,SERVIÇOS!$B:$G,2,0),IFERROR(VLOOKUP($B1334,$D:$K,2,0),"")),IFERROR(VLOOKUP($C1334,INSUMOS!$A:$D,2,0),IFERROR(VLOOKUP($C1334,COTAÇÕES!$B:$I,2,0),(VLOOKUP($C1334,'INSUMO SINAPI - SP'!$C:$F,2,0)))))</f>
        <v>SOLDA EM BARRA DE ESTANHO-CHUMBO 50/50</v>
      </c>
      <c r="F1334" s="510" t="str">
        <f>IF($C1334="",IFERROR(VLOOKUP($B1334,SERVIÇOS!$B:$G,3,0),IFERROR(VLOOKUP($B1334,$D:$K,3,0),"")),IFERROR(VLOOKUP($C1334,INSUMOS!$A:$D,3,0),IFERROR(VLOOKUP($C1334,COTAÇÕES!$B:$I,3,0),(VLOOKUP($C1334,'INSUMO SINAPI - SP'!$C:$F,3,0)))))</f>
        <v>KG</v>
      </c>
      <c r="G1334" s="511">
        <v>1E-4</v>
      </c>
      <c r="H1334" s="512">
        <f>IF($C1334="",IFERROR(VLOOKUP($B1334,SERVIÇOS!$B:$G,6,0),IFERROR(VLOOKUP($B1334,$D:$K,8,0),"")),IFERROR(VLOOKUP($C1334,INSUMOS!$A:$D,4,0),IFERROR(VLOOKUP($C1334,COTAÇÕES!$B:$I,7,0),(VLOOKUP($C1334,'INSUMO SINAPI - SP'!$C:$F,4,0)))))</f>
        <v>193</v>
      </c>
      <c r="I1334" s="513">
        <f>TRUNC(IF($C1334="",IFERROR(VLOOKUP($B1334,SERVIÇOS!$B:$G,4,0),IFERROR(VLOOKUP($B1334,$D:$K,6,0),)),IFERROR(VLOOKUP($C1334,INSUMOS!$A:$D,4,0),IFERROR(VLOOKUP($C1334,COTAÇÕES!$B:$I,7,0),(VLOOKUP($C1334,'INSUMO SINAPI - SP'!$C:$F,4,0)))))*$G1334,2)</f>
        <v>0.01</v>
      </c>
      <c r="J1334" s="513">
        <f>TRUNC(IF($C1334="",IFERROR(VLOOKUP($B1334,SERVIÇOS!$B:$G,5,0),IFERROR(VLOOKUP($B1334,$D:$K,7,0),)),0)*$G1334,2)</f>
        <v>0</v>
      </c>
      <c r="K1334" s="514">
        <f t="shared" si="45"/>
        <v>0.01</v>
      </c>
      <c r="L1334" s="517"/>
      <c r="M1334" s="471"/>
      <c r="N1334" s="516"/>
      <c r="Q1334" s="472"/>
      <c r="R1334" s="472"/>
      <c r="S1334" s="472"/>
      <c r="T1334" s="472"/>
      <c r="U1334" s="472"/>
      <c r="V1334" s="472"/>
      <c r="W1334" s="472"/>
      <c r="X1334" s="472"/>
      <c r="Y1334" s="472"/>
    </row>
    <row r="1335" spans="1:25" x14ac:dyDescent="0.25">
      <c r="A1335" s="463"/>
      <c r="B1335" s="506"/>
      <c r="C1335" s="507" t="s">
        <v>13113</v>
      </c>
      <c r="D1335" s="508"/>
      <c r="E1335" s="509" t="str">
        <f>IF($C1335="",IFERROR(VLOOKUP($B1335,SERVIÇOS!$B:$G,2,0),IFERROR(VLOOKUP($B1335,$D:$K,2,0),"")),IFERROR(VLOOKUP($C1335,INSUMOS!$A:$D,2,0),IFERROR(VLOOKUP($C1335,COTAÇÕES!$B:$I,2,0),(VLOOKUP($C1335,'INSUMO SINAPI - SP'!$C:$F,2,0)))))</f>
        <v>PASTA PARA SOLDA DE TUBOS E CONEXOES DE COBRE (EMBALAGEM COM 250 G)</v>
      </c>
      <c r="F1335" s="510" t="str">
        <f>IF($C1335="",IFERROR(VLOOKUP($B1335,SERVIÇOS!$B:$G,3,0),IFERROR(VLOOKUP($B1335,$D:$K,3,0),"")),IFERROR(VLOOKUP($C1335,INSUMOS!$A:$D,3,0),IFERROR(VLOOKUP($C1335,COTAÇÕES!$B:$I,3,0),(VLOOKUP($C1335,'INSUMO SINAPI - SP'!$C:$F,3,0)))))</f>
        <v>UN</v>
      </c>
      <c r="G1335" s="511">
        <v>2.0000000000000001E-4</v>
      </c>
      <c r="H1335" s="512">
        <f>IF($C1335="",IFERROR(VLOOKUP($B1335,SERVIÇOS!$B:$G,6,0),IFERROR(VLOOKUP($B1335,$D:$K,8,0),"")),IFERROR(VLOOKUP($C1335,INSUMOS!$A:$D,4,0),IFERROR(VLOOKUP($C1335,COTAÇÕES!$B:$I,7,0),(VLOOKUP($C1335,'INSUMO SINAPI - SP'!$C:$F,4,0)))))</f>
        <v>56.57</v>
      </c>
      <c r="I1335" s="513">
        <f>TRUNC(IF($C1335="",IFERROR(VLOOKUP($B1335,SERVIÇOS!$B:$G,4,0),IFERROR(VLOOKUP($B1335,$D:$K,6,0),)),IFERROR(VLOOKUP($C1335,INSUMOS!$A:$D,4,0),IFERROR(VLOOKUP($C1335,COTAÇÕES!$B:$I,7,0),(VLOOKUP($C1335,'INSUMO SINAPI - SP'!$C:$F,4,0)))))*$G1335,2)</f>
        <v>0.01</v>
      </c>
      <c r="J1335" s="513"/>
      <c r="K1335" s="514">
        <f t="shared" si="45"/>
        <v>0.01</v>
      </c>
      <c r="L1335" s="515" t="s">
        <v>12685</v>
      </c>
      <c r="M1335" s="471"/>
      <c r="N1335" s="516"/>
      <c r="Q1335" s="472"/>
      <c r="R1335" s="472"/>
      <c r="S1335" s="472"/>
      <c r="T1335" s="472"/>
      <c r="U1335" s="472"/>
      <c r="V1335" s="472"/>
      <c r="W1335" s="472"/>
      <c r="X1335" s="472"/>
      <c r="Y1335" s="472"/>
    </row>
    <row r="1336" spans="1:25" ht="24" x14ac:dyDescent="0.25">
      <c r="A1336" s="463"/>
      <c r="B1336" s="506"/>
      <c r="C1336" s="507" t="s">
        <v>13298</v>
      </c>
      <c r="D1336" s="508"/>
      <c r="E1336" s="518" t="s">
        <v>13299</v>
      </c>
      <c r="F1336" s="519" t="s">
        <v>585</v>
      </c>
      <c r="G1336" s="511">
        <v>1.02</v>
      </c>
      <c r="H1336" s="520">
        <v>5.67</v>
      </c>
      <c r="I1336" s="520">
        <f>TRUNC(H1336*G1336,2)</f>
        <v>5.78</v>
      </c>
      <c r="J1336" s="521"/>
      <c r="K1336" s="522">
        <f t="shared" si="45"/>
        <v>5.78</v>
      </c>
      <c r="L1336" s="517" t="s">
        <v>12901</v>
      </c>
      <c r="M1336" s="471"/>
      <c r="N1336" s="516"/>
      <c r="Q1336" s="472"/>
      <c r="R1336" s="472"/>
      <c r="S1336" s="472"/>
      <c r="T1336" s="472"/>
      <c r="U1336" s="472"/>
      <c r="V1336" s="472"/>
      <c r="W1336" s="472"/>
      <c r="X1336" s="472"/>
      <c r="Y1336" s="472"/>
    </row>
    <row r="1337" spans="1:25" ht="24" x14ac:dyDescent="0.25">
      <c r="A1337" s="463"/>
      <c r="B1337" s="506"/>
      <c r="C1337" s="507" t="s">
        <v>13283</v>
      </c>
      <c r="D1337" s="508"/>
      <c r="E1337" s="518" t="s">
        <v>13284</v>
      </c>
      <c r="F1337" s="519" t="s">
        <v>517</v>
      </c>
      <c r="G1337" s="511">
        <v>0.02</v>
      </c>
      <c r="H1337" s="520">
        <v>127.47</v>
      </c>
      <c r="I1337" s="520">
        <f>TRUNC(H1337*G1337,2)</f>
        <v>2.54</v>
      </c>
      <c r="J1337" s="521"/>
      <c r="K1337" s="522">
        <f t="shared" si="45"/>
        <v>2.54</v>
      </c>
      <c r="L1337" s="517" t="s">
        <v>12901</v>
      </c>
      <c r="M1337" s="471"/>
      <c r="N1337" s="516"/>
      <c r="Q1337" s="472"/>
      <c r="R1337" s="472"/>
      <c r="S1337" s="472"/>
      <c r="T1337" s="472"/>
      <c r="U1337" s="472"/>
      <c r="V1337" s="472"/>
      <c r="W1337" s="472"/>
      <c r="X1337" s="472"/>
      <c r="Y1337" s="472"/>
    </row>
    <row r="1338" spans="1:25" ht="60" x14ac:dyDescent="0.25">
      <c r="A1338" s="463"/>
      <c r="B1338" s="498"/>
      <c r="C1338" s="498"/>
      <c r="D1338" s="499" t="s">
        <v>12389</v>
      </c>
      <c r="E1338" s="500" t="s">
        <v>13300</v>
      </c>
      <c r="F1338" s="501" t="s">
        <v>585</v>
      </c>
      <c r="G1338" s="502"/>
      <c r="H1338" s="503"/>
      <c r="I1338" s="504">
        <f>ROUND(SUM(I1339:I1345),2)</f>
        <v>98.79</v>
      </c>
      <c r="J1338" s="504">
        <f>ROUND(SUM(J1339:J1345),2)</f>
        <v>23.32</v>
      </c>
      <c r="K1338" s="504">
        <f>+J1338+I1338</f>
        <v>122.11000000000001</v>
      </c>
      <c r="L1338" s="523" t="s">
        <v>13301</v>
      </c>
      <c r="M1338" s="471"/>
      <c r="N1338" s="505"/>
      <c r="Q1338" s="472"/>
      <c r="R1338" s="472"/>
      <c r="S1338" s="472"/>
      <c r="T1338" s="472"/>
      <c r="U1338" s="472"/>
      <c r="V1338" s="472"/>
      <c r="W1338" s="472"/>
      <c r="X1338" s="472"/>
      <c r="Y1338" s="472"/>
    </row>
    <row r="1339" spans="1:25" x14ac:dyDescent="0.25">
      <c r="A1339" s="463"/>
      <c r="B1339" s="506">
        <v>88267</v>
      </c>
      <c r="C1339" s="507"/>
      <c r="D1339" s="508"/>
      <c r="E1339" s="509" t="str">
        <f>IF($C1339="",IFERROR(VLOOKUP($B1339,SERVIÇOS!$B:$G,2,0),IFERROR(VLOOKUP($B1339,$D:$K,2,0),"")),IFERROR(VLOOKUP($C1339,INSUMOS!$A:$D,2,0),IFERROR(VLOOKUP($C1339,COTAÇÕES!$B:$I,2,0),(VLOOKUP($C1339,'INSUMO SINAPI - SP'!$C:$F,2,0)))))</f>
        <v>ENCANADOR OU BOMBEIRO HIDRÁULICO COM ENCARGOS COMPLEMENTARES</v>
      </c>
      <c r="F1339" s="510" t="str">
        <f>IF($C1339="",IFERROR(VLOOKUP($B1339,SERVIÇOS!$B:$G,3,0),IFERROR(VLOOKUP($B1339,$D:$K,3,0),"")),IFERROR(VLOOKUP($C1339,INSUMOS!$A:$D,3,0),IFERROR(VLOOKUP($C1339,COTAÇÕES!$B:$I,3,0),(VLOOKUP($C1339,'INSUMO SINAPI - SP'!$C:$F,3,0)))))</f>
        <v>H</v>
      </c>
      <c r="G1339" s="511">
        <v>0.48</v>
      </c>
      <c r="H1339" s="512">
        <f>IF($C1339="",IFERROR(VLOOKUP($B1339,SERVIÇOS!$B:$G,6,0),IFERROR(VLOOKUP($B1339,$D:$K,8,0),"")),IFERROR(VLOOKUP($C1339,INSUMOS!$A:$D,4,0),IFERROR(VLOOKUP($C1339,COTAÇÕES!$B:$I,7,0),(VLOOKUP($C1339,'INSUMO SINAPI - SP'!$C:$F,4,0)))))</f>
        <v>36.17</v>
      </c>
      <c r="I1339" s="513">
        <f>TRUNC(IF($C1339="",IFERROR(VLOOKUP($B1339,SERVIÇOS!$B:$G,4,0),IFERROR(VLOOKUP($B1339,$D:$K,6,0),)),IFERROR(VLOOKUP($C1339,INSUMOS!$A:$D,4,0),IFERROR(VLOOKUP($C1339,COTAÇÕES!$B:$I,7,0),(VLOOKUP($C1339,'INSUMO SINAPI - SP'!$C:$F,4,0)))))*$G1339,2)</f>
        <v>4.1399999999999997</v>
      </c>
      <c r="J1339" s="513">
        <f>TRUNC(IF($C1339="",IFERROR(VLOOKUP($B1339,SERVIÇOS!$B:$G,5,0),IFERROR(VLOOKUP($B1339,$D:$K,7,0),)),0)*$G1339,2)</f>
        <v>13.21</v>
      </c>
      <c r="K1339" s="514">
        <f t="shared" ref="K1339:K1345" si="46">I1339+J1339</f>
        <v>17.350000000000001</v>
      </c>
      <c r="L1339" s="515"/>
      <c r="M1339" s="471"/>
      <c r="N1339" s="516"/>
      <c r="Q1339" s="472"/>
      <c r="R1339" s="472"/>
      <c r="S1339" s="472"/>
      <c r="T1339" s="472"/>
      <c r="U1339" s="472"/>
      <c r="V1339" s="472"/>
      <c r="W1339" s="472"/>
      <c r="X1339" s="472"/>
      <c r="Y1339" s="472"/>
    </row>
    <row r="1340" spans="1:25" x14ac:dyDescent="0.25">
      <c r="A1340" s="463"/>
      <c r="B1340" s="506">
        <v>88248</v>
      </c>
      <c r="C1340" s="507"/>
      <c r="D1340" s="508"/>
      <c r="E1340" s="509" t="str">
        <f>IF($C1340="",IFERROR(VLOOKUP($B1340,SERVIÇOS!$B:$G,2,0),IFERROR(VLOOKUP($B1340,$D:$K,2,0),"")),IFERROR(VLOOKUP($C1340,INSUMOS!$A:$D,2,0),IFERROR(VLOOKUP($C1340,COTAÇÕES!$B:$I,2,0),(VLOOKUP($C1340,'INSUMO SINAPI - SP'!$C:$F,2,0)))))</f>
        <v>AUXILIAR DE ENCANADOR OU BOMBEIRO HIDRÁULICO COM ENCARGOS COMPLEMENTARES</v>
      </c>
      <c r="F1340" s="510" t="str">
        <f>IF($C1340="",IFERROR(VLOOKUP($B1340,SERVIÇOS!$B:$G,3,0),IFERROR(VLOOKUP($B1340,$D:$K,3,0),"")),IFERROR(VLOOKUP($C1340,INSUMOS!$A:$D,3,0),IFERROR(VLOOKUP($C1340,COTAÇÕES!$B:$I,3,0),(VLOOKUP($C1340,'INSUMO SINAPI - SP'!$C:$F,3,0)))))</f>
        <v>H</v>
      </c>
      <c r="G1340" s="511">
        <v>0.48</v>
      </c>
      <c r="H1340" s="512">
        <f>IF($C1340="",IFERROR(VLOOKUP($B1340,SERVIÇOS!$B:$G,6,0),IFERROR(VLOOKUP($B1340,$D:$K,8,0),"")),IFERROR(VLOOKUP($C1340,INSUMOS!$A:$D,4,0),IFERROR(VLOOKUP($C1340,COTAÇÕES!$B:$I,7,0),(VLOOKUP($C1340,'INSUMO SINAPI - SP'!$C:$F,4,0)))))</f>
        <v>29.72</v>
      </c>
      <c r="I1340" s="513">
        <f>TRUNC(IF($C1340="",IFERROR(VLOOKUP($B1340,SERVIÇOS!$B:$G,4,0),IFERROR(VLOOKUP($B1340,$D:$K,6,0),)),IFERROR(VLOOKUP($C1340,INSUMOS!$A:$D,4,0),IFERROR(VLOOKUP($C1340,COTAÇÕES!$B:$I,7,0),(VLOOKUP($C1340,'INSUMO SINAPI - SP'!$C:$F,4,0)))))*$G1340,2)</f>
        <v>4.1399999999999997</v>
      </c>
      <c r="J1340" s="513">
        <f>TRUNC(IF($C1340="",IFERROR(VLOOKUP($B1340,SERVIÇOS!$B:$G,5,0),IFERROR(VLOOKUP($B1340,$D:$K,7,0),)),0)*$G1340,2)</f>
        <v>10.11</v>
      </c>
      <c r="K1340" s="514">
        <f t="shared" si="46"/>
        <v>14.25</v>
      </c>
      <c r="L1340" s="515"/>
      <c r="M1340" s="471"/>
      <c r="N1340" s="516"/>
      <c r="Q1340" s="472"/>
      <c r="R1340" s="472"/>
      <c r="S1340" s="472"/>
      <c r="T1340" s="472"/>
      <c r="U1340" s="472"/>
      <c r="V1340" s="472"/>
      <c r="W1340" s="472"/>
      <c r="X1340" s="472"/>
      <c r="Y1340" s="472"/>
    </row>
    <row r="1341" spans="1:25" ht="24" x14ac:dyDescent="0.25">
      <c r="A1341" s="463"/>
      <c r="B1341" s="506"/>
      <c r="C1341" s="507" t="s">
        <v>13302</v>
      </c>
      <c r="D1341" s="508"/>
      <c r="E1341" s="509" t="str">
        <f>IF($C1341="",IFERROR(VLOOKUP($B1341,SERVIÇOS!$B:$G,2,0),IFERROR(VLOOKUP($B1341,$D:$K,2,0),"")),IFERROR(VLOOKUP($C1341,INSUMOS!$A:$D,2,0),IFERROR(VLOOKUP($C1341,COTAÇÕES!$B:$I,2,0),(VLOOKUP($C1341,'INSUMO SINAPI - SP'!$C:$F,2,0)))))</f>
        <v>TUBO DE COBRE FLEXIVEL, D = 3/4 ", E = 0,79 MM, PARA AR-CONDICIONADO/ INSTALACOES GAS RESIDENCIAIS E COMERCIAIS</v>
      </c>
      <c r="F1341" s="510" t="str">
        <f>IF($C1341="",IFERROR(VLOOKUP($B1341,SERVIÇOS!$B:$G,3,0),IFERROR(VLOOKUP($B1341,$D:$K,3,0),"")),IFERROR(VLOOKUP($C1341,INSUMOS!$A:$D,3,0),IFERROR(VLOOKUP($C1341,COTAÇÕES!$B:$I,3,0),(VLOOKUP($C1341,'INSUMO SINAPI - SP'!$C:$F,3,0)))))</f>
        <v>M</v>
      </c>
      <c r="G1341" s="511">
        <v>1.1000000000000001</v>
      </c>
      <c r="H1341" s="512">
        <f>IF($C1341="",IFERROR(VLOOKUP($B1341,SERVIÇOS!$B:$G,6,0),IFERROR(VLOOKUP($B1341,$D:$K,8,0),"")),IFERROR(VLOOKUP($C1341,INSUMOS!$A:$D,4,0),IFERROR(VLOOKUP($C1341,COTAÇÕES!$B:$I,7,0),(VLOOKUP($C1341,'INSUMO SINAPI - SP'!$C:$F,4,0)))))</f>
        <v>64.69</v>
      </c>
      <c r="I1341" s="513">
        <f>TRUNC(IF($C1341="",IFERROR(VLOOKUP($B1341,SERVIÇOS!$B:$G,4,0),IFERROR(VLOOKUP($B1341,$D:$K,6,0),)),IFERROR(VLOOKUP($C1341,INSUMOS!$A:$D,4,0),IFERROR(VLOOKUP($C1341,COTAÇÕES!$B:$I,7,0),(VLOOKUP($C1341,'INSUMO SINAPI - SP'!$C:$F,4,0)))))*$G1341,2)</f>
        <v>71.150000000000006</v>
      </c>
      <c r="J1341" s="513"/>
      <c r="K1341" s="514">
        <f t="shared" si="46"/>
        <v>71.150000000000006</v>
      </c>
      <c r="L1341" s="515" t="s">
        <v>12685</v>
      </c>
      <c r="M1341" s="471"/>
      <c r="N1341" s="516"/>
      <c r="Q1341" s="472"/>
      <c r="R1341" s="472"/>
      <c r="S1341" s="472"/>
      <c r="T1341" s="472"/>
      <c r="U1341" s="472"/>
      <c r="V1341" s="472"/>
      <c r="W1341" s="472"/>
      <c r="X1341" s="472"/>
      <c r="Y1341" s="472"/>
    </row>
    <row r="1342" spans="1:25" x14ac:dyDescent="0.25">
      <c r="A1342" s="463"/>
      <c r="B1342" s="506"/>
      <c r="C1342" s="507">
        <v>13388</v>
      </c>
      <c r="D1342" s="508"/>
      <c r="E1342" s="509" t="str">
        <f>IF($C1342="",IFERROR(VLOOKUP($B1342,SERVIÇOS!$B:$G,2,0),IFERROR(VLOOKUP($B1342,$D:$K,2,0),"")),IFERROR(VLOOKUP($C1342,INSUMOS!$A:$D,2,0),IFERROR(VLOOKUP($C1342,COTAÇÕES!$B:$I,2,0),(VLOOKUP($C1342,'INSUMO SINAPI - SP'!$C:$F,2,0)))))</f>
        <v>SOLDA EM BARRA DE ESTANHO-CHUMBO 50/50</v>
      </c>
      <c r="F1342" s="510" t="str">
        <f>IF($C1342="",IFERROR(VLOOKUP($B1342,SERVIÇOS!$B:$G,3,0),IFERROR(VLOOKUP($B1342,$D:$K,3,0),"")),IFERROR(VLOOKUP($C1342,INSUMOS!$A:$D,3,0),IFERROR(VLOOKUP($C1342,COTAÇÕES!$B:$I,3,0),(VLOOKUP($C1342,'INSUMO SINAPI - SP'!$C:$F,3,0)))))</f>
        <v>KG</v>
      </c>
      <c r="G1342" s="511">
        <v>1E-4</v>
      </c>
      <c r="H1342" s="512">
        <f>IF($C1342="",IFERROR(VLOOKUP($B1342,SERVIÇOS!$B:$G,6,0),IFERROR(VLOOKUP($B1342,$D:$K,8,0),"")),IFERROR(VLOOKUP($C1342,INSUMOS!$A:$D,4,0),IFERROR(VLOOKUP($C1342,COTAÇÕES!$B:$I,7,0),(VLOOKUP($C1342,'INSUMO SINAPI - SP'!$C:$F,4,0)))))</f>
        <v>193</v>
      </c>
      <c r="I1342" s="513">
        <f>TRUNC(IF($C1342="",IFERROR(VLOOKUP($B1342,SERVIÇOS!$B:$G,4,0),IFERROR(VLOOKUP($B1342,$D:$K,6,0),)),IFERROR(VLOOKUP($C1342,INSUMOS!$A:$D,4,0),IFERROR(VLOOKUP($C1342,COTAÇÕES!$B:$I,7,0),(VLOOKUP($C1342,'INSUMO SINAPI - SP'!$C:$F,4,0)))))*$G1342,2)</f>
        <v>0.01</v>
      </c>
      <c r="J1342" s="513">
        <f>TRUNC(IF($C1342="",IFERROR(VLOOKUP($B1342,SERVIÇOS!$B:$G,5,0),IFERROR(VLOOKUP($B1342,$D:$K,7,0),)),0)*$G1342,2)</f>
        <v>0</v>
      </c>
      <c r="K1342" s="514">
        <f t="shared" si="46"/>
        <v>0.01</v>
      </c>
      <c r="L1342" s="517"/>
      <c r="M1342" s="471"/>
      <c r="N1342" s="516"/>
      <c r="Q1342" s="472"/>
      <c r="R1342" s="472"/>
      <c r="S1342" s="472"/>
      <c r="T1342" s="472"/>
      <c r="U1342" s="472"/>
      <c r="V1342" s="472"/>
      <c r="W1342" s="472"/>
      <c r="X1342" s="472"/>
      <c r="Y1342" s="472"/>
    </row>
    <row r="1343" spans="1:25" x14ac:dyDescent="0.25">
      <c r="A1343" s="463"/>
      <c r="B1343" s="506"/>
      <c r="C1343" s="507" t="s">
        <v>13113</v>
      </c>
      <c r="D1343" s="508"/>
      <c r="E1343" s="509" t="str">
        <f>IF($C1343="",IFERROR(VLOOKUP($B1343,SERVIÇOS!$B:$G,2,0),IFERROR(VLOOKUP($B1343,$D:$K,2,0),"")),IFERROR(VLOOKUP($C1343,INSUMOS!$A:$D,2,0),IFERROR(VLOOKUP($C1343,COTAÇÕES!$B:$I,2,0),(VLOOKUP($C1343,'INSUMO SINAPI - SP'!$C:$F,2,0)))))</f>
        <v>PASTA PARA SOLDA DE TUBOS E CONEXOES DE COBRE (EMBALAGEM COM 250 G)</v>
      </c>
      <c r="F1343" s="510" t="str">
        <f>IF($C1343="",IFERROR(VLOOKUP($B1343,SERVIÇOS!$B:$G,3,0),IFERROR(VLOOKUP($B1343,$D:$K,3,0),"")),IFERROR(VLOOKUP($C1343,INSUMOS!$A:$D,3,0),IFERROR(VLOOKUP($C1343,COTAÇÕES!$B:$I,3,0),(VLOOKUP($C1343,'INSUMO SINAPI - SP'!$C:$F,3,0)))))</f>
        <v>UN</v>
      </c>
      <c r="G1343" s="511">
        <v>2.0000000000000001E-4</v>
      </c>
      <c r="H1343" s="512">
        <f>IF($C1343="",IFERROR(VLOOKUP($B1343,SERVIÇOS!$B:$G,6,0),IFERROR(VLOOKUP($B1343,$D:$K,8,0),"")),IFERROR(VLOOKUP($C1343,INSUMOS!$A:$D,4,0),IFERROR(VLOOKUP($C1343,COTAÇÕES!$B:$I,7,0),(VLOOKUP($C1343,'INSUMO SINAPI - SP'!$C:$F,4,0)))))</f>
        <v>56.57</v>
      </c>
      <c r="I1343" s="513">
        <f>TRUNC(IF($C1343="",IFERROR(VLOOKUP($B1343,SERVIÇOS!$B:$G,4,0),IFERROR(VLOOKUP($B1343,$D:$K,6,0),)),IFERROR(VLOOKUP($C1343,INSUMOS!$A:$D,4,0),IFERROR(VLOOKUP($C1343,COTAÇÕES!$B:$I,7,0),(VLOOKUP($C1343,'INSUMO SINAPI - SP'!$C:$F,4,0)))))*$G1343,2)</f>
        <v>0.01</v>
      </c>
      <c r="J1343" s="513"/>
      <c r="K1343" s="514">
        <f t="shared" si="46"/>
        <v>0.01</v>
      </c>
      <c r="L1343" s="515" t="s">
        <v>12685</v>
      </c>
      <c r="M1343" s="471"/>
      <c r="N1343" s="516"/>
      <c r="Q1343" s="472"/>
      <c r="R1343" s="472"/>
      <c r="S1343" s="472"/>
      <c r="T1343" s="472"/>
      <c r="U1343" s="472"/>
      <c r="V1343" s="472"/>
      <c r="W1343" s="472"/>
      <c r="X1343" s="472"/>
      <c r="Y1343" s="472"/>
    </row>
    <row r="1344" spans="1:25" ht="24" x14ac:dyDescent="0.25">
      <c r="A1344" s="463"/>
      <c r="B1344" s="506"/>
      <c r="C1344" s="507" t="s">
        <v>13303</v>
      </c>
      <c r="D1344" s="508"/>
      <c r="E1344" s="518" t="s">
        <v>13304</v>
      </c>
      <c r="F1344" s="519" t="s">
        <v>585</v>
      </c>
      <c r="G1344" s="511">
        <v>1.02</v>
      </c>
      <c r="H1344" s="520">
        <v>16.48</v>
      </c>
      <c r="I1344" s="520">
        <f>TRUNC(H1344*G1344,2)</f>
        <v>16.8</v>
      </c>
      <c r="J1344" s="521"/>
      <c r="K1344" s="522">
        <f t="shared" si="46"/>
        <v>16.8</v>
      </c>
      <c r="L1344" s="517" t="s">
        <v>12901</v>
      </c>
      <c r="M1344" s="471"/>
      <c r="N1344" s="516"/>
      <c r="Q1344" s="472"/>
      <c r="R1344" s="472"/>
      <c r="S1344" s="472"/>
      <c r="T1344" s="472"/>
      <c r="U1344" s="472"/>
      <c r="V1344" s="472"/>
      <c r="W1344" s="472"/>
      <c r="X1344" s="472"/>
      <c r="Y1344" s="472"/>
    </row>
    <row r="1345" spans="1:25" ht="24" x14ac:dyDescent="0.25">
      <c r="A1345" s="463"/>
      <c r="B1345" s="506"/>
      <c r="C1345" s="507" t="s">
        <v>13283</v>
      </c>
      <c r="D1345" s="508"/>
      <c r="E1345" s="518" t="s">
        <v>13284</v>
      </c>
      <c r="F1345" s="519" t="s">
        <v>517</v>
      </c>
      <c r="G1345" s="511">
        <v>0.02</v>
      </c>
      <c r="H1345" s="520">
        <v>127.47</v>
      </c>
      <c r="I1345" s="520">
        <f>TRUNC(H1345*G1345,2)</f>
        <v>2.54</v>
      </c>
      <c r="J1345" s="521"/>
      <c r="K1345" s="522">
        <f t="shared" si="46"/>
        <v>2.54</v>
      </c>
      <c r="L1345" s="517" t="s">
        <v>12901</v>
      </c>
      <c r="M1345" s="471"/>
      <c r="N1345" s="516"/>
      <c r="Q1345" s="472"/>
      <c r="R1345" s="472"/>
      <c r="S1345" s="472"/>
      <c r="T1345" s="472"/>
      <c r="U1345" s="472"/>
      <c r="V1345" s="472"/>
      <c r="W1345" s="472"/>
      <c r="X1345" s="472"/>
      <c r="Y1345" s="472"/>
    </row>
    <row r="1346" spans="1:25" ht="24" x14ac:dyDescent="0.25">
      <c r="A1346" s="463"/>
      <c r="B1346" s="498"/>
      <c r="C1346" s="498"/>
      <c r="D1346" s="499" t="s">
        <v>12402</v>
      </c>
      <c r="E1346" s="500" t="s">
        <v>13305</v>
      </c>
      <c r="F1346" s="501" t="s">
        <v>580</v>
      </c>
      <c r="G1346" s="502"/>
      <c r="H1346" s="503"/>
      <c r="I1346" s="504">
        <f>ROUND(SUM(I1347:I1352),2)</f>
        <v>367.35</v>
      </c>
      <c r="J1346" s="504">
        <f>ROUND(SUM(J1347:J1352),2)</f>
        <v>6.21</v>
      </c>
      <c r="K1346" s="504">
        <f>+J1346+I1346</f>
        <v>373.56</v>
      </c>
      <c r="L1346" s="523" t="s">
        <v>13306</v>
      </c>
      <c r="M1346" s="471"/>
      <c r="N1346" s="505"/>
      <c r="Q1346" s="472"/>
      <c r="R1346" s="472"/>
      <c r="S1346" s="472"/>
      <c r="T1346" s="472"/>
      <c r="U1346" s="472"/>
      <c r="V1346" s="472"/>
      <c r="W1346" s="472"/>
      <c r="X1346" s="472"/>
      <c r="Y1346" s="472"/>
    </row>
    <row r="1347" spans="1:25" x14ac:dyDescent="0.25">
      <c r="A1347" s="463"/>
      <c r="B1347" s="506"/>
      <c r="C1347" s="507" t="s">
        <v>13307</v>
      </c>
      <c r="D1347" s="508"/>
      <c r="E1347" s="509" t="str">
        <f>IF($C1347="",IFERROR(VLOOKUP($B1347,SERVIÇOS!$B:$G,2,0),IFERROR(VLOOKUP($B1347,$D:$K,2,0),"")),IFERROR(VLOOKUP($C1347,INSUMOS!$A:$D,2,0),IFERROR(VLOOKUP($C1347,COTAÇÕES!$B:$I,2,0),(VLOOKUP($C1347,'INSUMO SINAPI - SP'!$C:$F,2,0)))))</f>
        <v>SOLDA ESTANHO/COBRE PARA CONEXOES DE COBRE, FIO 2,5 MM, CARRETEL 500 GR (SEM CHUMBO)</v>
      </c>
      <c r="F1347" s="510" t="str">
        <f>IF($C1347="",IFERROR(VLOOKUP($B1347,SERVIÇOS!$B:$G,3,0),IFERROR(VLOOKUP($B1347,$D:$K,3,0),"")),IFERROR(VLOOKUP($C1347,INSUMOS!$A:$D,3,0),IFERROR(VLOOKUP($C1347,COTAÇÕES!$B:$I,3,0),(VLOOKUP($C1347,'INSUMO SINAPI - SP'!$C:$F,3,0)))))</f>
        <v>UN</v>
      </c>
      <c r="G1347" s="511">
        <v>7.1999999999999998E-3</v>
      </c>
      <c r="H1347" s="512">
        <f>IF($C1347="",IFERROR(VLOOKUP($B1347,SERVIÇOS!$B:$G,6,0),IFERROR(VLOOKUP($B1347,$D:$K,8,0),"")),IFERROR(VLOOKUP($C1347,INSUMOS!$A:$D,4,0),IFERROR(VLOOKUP($C1347,COTAÇÕES!$B:$I,7,0),(VLOOKUP($C1347,'INSUMO SINAPI - SP'!$C:$F,4,0)))))</f>
        <v>308.60000000000002</v>
      </c>
      <c r="I1347" s="513">
        <f>TRUNC(IF($C1347="",IFERROR(VLOOKUP($B1347,SERVIÇOS!$B:$G,4,0),IFERROR(VLOOKUP($B1347,$D:$K,6,0),)),IFERROR(VLOOKUP($C1347,INSUMOS!$A:$D,4,0),IFERROR(VLOOKUP($C1347,COTAÇÕES!$B:$I,7,0),(VLOOKUP($C1347,'INSUMO SINAPI - SP'!$C:$F,4,0)))))*$G1347,2)</f>
        <v>2.2200000000000002</v>
      </c>
      <c r="J1347" s="513"/>
      <c r="K1347" s="514">
        <f t="shared" ref="K1347:K1352" si="47">I1347+J1347</f>
        <v>2.2200000000000002</v>
      </c>
      <c r="L1347" s="515" t="s">
        <v>12685</v>
      </c>
      <c r="M1347" s="471"/>
      <c r="N1347" s="516"/>
      <c r="Q1347" s="472"/>
      <c r="R1347" s="472"/>
      <c r="S1347" s="472"/>
      <c r="T1347" s="472"/>
      <c r="U1347" s="472"/>
      <c r="V1347" s="472"/>
      <c r="W1347" s="472"/>
      <c r="X1347" s="472"/>
      <c r="Y1347" s="472"/>
    </row>
    <row r="1348" spans="1:25" ht="24" x14ac:dyDescent="0.25">
      <c r="A1348" s="463"/>
      <c r="B1348" s="506"/>
      <c r="C1348" s="507" t="s">
        <v>13308</v>
      </c>
      <c r="D1348" s="508"/>
      <c r="E1348" s="509" t="str">
        <f>IF($C1348="",IFERROR(VLOOKUP($B1348,SERVIÇOS!$B:$G,2,0),IFERROR(VLOOKUP($B1348,$D:$K,2,0),"")),IFERROR(VLOOKUP($C1348,INSUMOS!$A:$D,2,0),IFERROR(VLOOKUP($C1348,COTAÇÕES!$B:$I,2,0),(VLOOKUP($C1348,'INSUMO SINAPI - SP'!$C:$F,2,0)))))</f>
        <v>KIT REFINET PARA CONEXÃO DE UNIDADES INTERNAS MARCA DAIKIN  (OU EQUIVALENTE TÉCNICO) MODELO KHRP26A22T</v>
      </c>
      <c r="F1348" s="510" t="str">
        <f>IF($C1348="",IFERROR(VLOOKUP($B1348,SERVIÇOS!$B:$G,3,0),IFERROR(VLOOKUP($B1348,$D:$K,3,0),"")),IFERROR(VLOOKUP($C1348,INSUMOS!$A:$D,3,0),IFERROR(VLOOKUP($C1348,COTAÇÕES!$B:$I,3,0),(VLOOKUP($C1348,'INSUMO SINAPI - SP'!$C:$F,3,0)))))</f>
        <v>UN</v>
      </c>
      <c r="G1348" s="511">
        <v>1</v>
      </c>
      <c r="H1348" s="512">
        <f>IF($C1348="",IFERROR(VLOOKUP($B1348,SERVIÇOS!$B:$G,6,0),IFERROR(VLOOKUP($B1348,$D:$K,8,0),"")),IFERROR(VLOOKUP($C1348,INSUMOS!$A:$D,4,0),IFERROR(VLOOKUP($C1348,COTAÇÕES!$B:$I,8,0),(VLOOKUP($C1348,'INSUMO SINAPI - SP'!$C:$F,4,0)))))</f>
        <v>362.28</v>
      </c>
      <c r="I1348" s="513">
        <f>TRUNC(IF($C1348="",IFERROR(VLOOKUP($B1348,SERVIÇOS!$B:$G,4,0),IFERROR(VLOOKUP($B1348,$D:$K,6,0),)),IFERROR(VLOOKUP($C1348,INSUMOS!$A:$D,4,0),IFERROR(VLOOKUP($C1348,COTAÇÕES!$B:$I,8,0),(VLOOKUP($C1348,'INSUMO SINAPI - SP'!$C:$F,4,0)))))*$G1348,2)</f>
        <v>362.28</v>
      </c>
      <c r="J1348" s="513"/>
      <c r="K1348" s="514">
        <f t="shared" si="47"/>
        <v>362.28</v>
      </c>
      <c r="L1348" s="517" t="s">
        <v>12878</v>
      </c>
      <c r="M1348" s="471"/>
      <c r="N1348" s="516"/>
      <c r="Q1348" s="472"/>
      <c r="R1348" s="472"/>
      <c r="S1348" s="472"/>
      <c r="T1348" s="472"/>
      <c r="U1348" s="472"/>
      <c r="V1348" s="472"/>
      <c r="W1348" s="472"/>
      <c r="X1348" s="472"/>
      <c r="Y1348" s="472"/>
    </row>
    <row r="1349" spans="1:25" x14ac:dyDescent="0.25">
      <c r="A1349" s="463"/>
      <c r="B1349" s="506"/>
      <c r="C1349" s="507">
        <v>38383</v>
      </c>
      <c r="D1349" s="508"/>
      <c r="E1349" s="509" t="str">
        <f>IF($C1349="",IFERROR(VLOOKUP($B1349,SERVIÇOS!$B:$G,2,0),IFERROR(VLOOKUP($B1349,$D:$K,2,0),"")),IFERROR(VLOOKUP($C1349,INSUMOS!$A:$D,2,0),IFERROR(VLOOKUP($C1349,COTAÇÕES!$B:$I,2,0),(VLOOKUP($C1349,'INSUMO SINAPI - SP'!$C:$F,2,0)))))</f>
        <v>LIXA D'AGUA EM FOLHA, COR PRETA, GRAO 100</v>
      </c>
      <c r="F1349" s="510" t="str">
        <f>IF($C1349="",IFERROR(VLOOKUP($B1349,SERVIÇOS!$B:$G,3,0),IFERROR(VLOOKUP($B1349,$D:$K,3,0),"")),IFERROR(VLOOKUP($C1349,INSUMOS!$A:$D,3,0),IFERROR(VLOOKUP($C1349,COTAÇÕES!$B:$I,3,0),(VLOOKUP($C1349,'INSUMO SINAPI - SP'!$C:$F,3,0)))))</f>
        <v>UN</v>
      </c>
      <c r="G1349" s="511">
        <v>6.4799999999999996E-2</v>
      </c>
      <c r="H1349" s="512">
        <f>IF($C1349="",IFERROR(VLOOKUP($B1349,SERVIÇOS!$B:$G,6,0),IFERROR(VLOOKUP($B1349,$D:$K,8,0),"")),IFERROR(VLOOKUP($C1349,INSUMOS!$A:$D,4,0),IFERROR(VLOOKUP($C1349,COTAÇÕES!$B:$I,7,0),(VLOOKUP($C1349,'INSUMO SINAPI - SP'!$C:$F,4,0)))))</f>
        <v>1.99</v>
      </c>
      <c r="I1349" s="513">
        <f>TRUNC(IF($C1349="",IFERROR(VLOOKUP($B1349,SERVIÇOS!$B:$G,4,0),IFERROR(VLOOKUP($B1349,$D:$K,6,0),)),IFERROR(VLOOKUP($C1349,INSUMOS!$A:$D,4,0),IFERROR(VLOOKUP($C1349,COTAÇÕES!$B:$I,7,0),(VLOOKUP($C1349,'INSUMO SINAPI - SP'!$C:$F,4,0)))))*$G1349,2)</f>
        <v>0.12</v>
      </c>
      <c r="J1349" s="513">
        <f>TRUNC(IF($C1349="",IFERROR(VLOOKUP($B1349,SERVIÇOS!$B:$G,5,0),IFERROR(VLOOKUP($B1349,$D:$K,7,0),)),0)*$G1349,2)</f>
        <v>0</v>
      </c>
      <c r="K1349" s="514">
        <f t="shared" si="47"/>
        <v>0.12</v>
      </c>
      <c r="L1349" s="517"/>
      <c r="M1349" s="471"/>
      <c r="N1349" s="516"/>
      <c r="Q1349" s="472"/>
      <c r="R1349" s="472"/>
      <c r="S1349" s="472"/>
      <c r="T1349" s="472"/>
      <c r="U1349" s="472"/>
      <c r="V1349" s="472"/>
      <c r="W1349" s="472"/>
      <c r="X1349" s="472"/>
      <c r="Y1349" s="472"/>
    </row>
    <row r="1350" spans="1:25" x14ac:dyDescent="0.25">
      <c r="A1350" s="463"/>
      <c r="B1350" s="506"/>
      <c r="C1350" s="507" t="s">
        <v>13113</v>
      </c>
      <c r="D1350" s="508"/>
      <c r="E1350" s="509" t="str">
        <f>IF($C1350="",IFERROR(VLOOKUP($B1350,SERVIÇOS!$B:$G,2,0),IFERROR(VLOOKUP($B1350,$D:$K,2,0),"")),IFERROR(VLOOKUP($C1350,INSUMOS!$A:$D,2,0),IFERROR(VLOOKUP($C1350,COTAÇÕES!$B:$I,2,0),(VLOOKUP($C1350,'INSUMO SINAPI - SP'!$C:$F,2,0)))))</f>
        <v>PASTA PARA SOLDA DE TUBOS E CONEXOES DE COBRE (EMBALAGEM COM 250 G)</v>
      </c>
      <c r="F1350" s="510" t="str">
        <f>IF($C1350="",IFERROR(VLOOKUP($B1350,SERVIÇOS!$B:$G,3,0),IFERROR(VLOOKUP($B1350,$D:$K,3,0),"")),IFERROR(VLOOKUP($C1350,INSUMOS!$A:$D,3,0),IFERROR(VLOOKUP($C1350,COTAÇÕES!$B:$I,3,0),(VLOOKUP($C1350,'INSUMO SINAPI - SP'!$C:$F,3,0)))))</f>
        <v>UN</v>
      </c>
      <c r="G1350" s="511">
        <v>9.4000000000000004E-3</v>
      </c>
      <c r="H1350" s="512">
        <f>IF($C1350="",IFERROR(VLOOKUP($B1350,SERVIÇOS!$B:$G,6,0),IFERROR(VLOOKUP($B1350,$D:$K,8,0),"")),IFERROR(VLOOKUP($C1350,INSUMOS!$A:$D,4,0),IFERROR(VLOOKUP($C1350,COTAÇÕES!$B:$I,7,0),(VLOOKUP($C1350,'INSUMO SINAPI - SP'!$C:$F,4,0)))))</f>
        <v>56.57</v>
      </c>
      <c r="I1350" s="513">
        <f>TRUNC(IF($C1350="",IFERROR(VLOOKUP($B1350,SERVIÇOS!$B:$G,4,0),IFERROR(VLOOKUP($B1350,$D:$K,6,0),)),IFERROR(VLOOKUP($C1350,INSUMOS!$A:$D,4,0),IFERROR(VLOOKUP($C1350,COTAÇÕES!$B:$I,7,0),(VLOOKUP($C1350,'INSUMO SINAPI - SP'!$C:$F,4,0)))))*$G1350,2)</f>
        <v>0.53</v>
      </c>
      <c r="J1350" s="513"/>
      <c r="K1350" s="514">
        <f t="shared" si="47"/>
        <v>0.53</v>
      </c>
      <c r="L1350" s="515" t="s">
        <v>12685</v>
      </c>
      <c r="M1350" s="471"/>
      <c r="N1350" s="516"/>
      <c r="Q1350" s="472"/>
      <c r="R1350" s="472"/>
      <c r="S1350" s="472"/>
      <c r="T1350" s="472"/>
      <c r="U1350" s="472"/>
      <c r="V1350" s="472"/>
      <c r="W1350" s="472"/>
      <c r="X1350" s="472"/>
      <c r="Y1350" s="472"/>
    </row>
    <row r="1351" spans="1:25" x14ac:dyDescent="0.25">
      <c r="A1351" s="463"/>
      <c r="B1351" s="506">
        <v>88248</v>
      </c>
      <c r="C1351" s="507"/>
      <c r="D1351" s="508"/>
      <c r="E1351" s="509" t="str">
        <f>IF($C1351="",IFERROR(VLOOKUP($B1351,SERVIÇOS!$B:$G,2,0),IFERROR(VLOOKUP($B1351,$D:$K,2,0),"")),IFERROR(VLOOKUP($C1351,INSUMOS!$A:$D,2,0),IFERROR(VLOOKUP($C1351,COTAÇÕES!$B:$I,2,0),(VLOOKUP($C1351,'INSUMO SINAPI - SP'!$C:$F,2,0)))))</f>
        <v>AUXILIAR DE ENCANADOR OU BOMBEIRO HIDRÁULICO COM ENCARGOS COMPLEMENTARES</v>
      </c>
      <c r="F1351" s="510" t="str">
        <f>IF($C1351="",IFERROR(VLOOKUP($B1351,SERVIÇOS!$B:$G,3,0),IFERROR(VLOOKUP($B1351,$D:$K,3,0),"")),IFERROR(VLOOKUP($C1351,INSUMOS!$A:$D,3,0),IFERROR(VLOOKUP($C1351,COTAÇÕES!$B:$I,3,0),(VLOOKUP($C1351,'INSUMO SINAPI - SP'!$C:$F,3,0)))))</f>
        <v>H</v>
      </c>
      <c r="G1351" s="511">
        <v>0.128</v>
      </c>
      <c r="H1351" s="512">
        <f>IF($C1351="",IFERROR(VLOOKUP($B1351,SERVIÇOS!$B:$G,6,0),IFERROR(VLOOKUP($B1351,$D:$K,8,0),"")),IFERROR(VLOOKUP($C1351,INSUMOS!$A:$D,4,0),IFERROR(VLOOKUP($C1351,COTAÇÕES!$B:$I,7,0),(VLOOKUP($C1351,'INSUMO SINAPI - SP'!$C:$F,4,0)))))</f>
        <v>29.72</v>
      </c>
      <c r="I1351" s="513">
        <f>TRUNC(IF($C1351="",IFERROR(VLOOKUP($B1351,SERVIÇOS!$B:$G,4,0),IFERROR(VLOOKUP($B1351,$D:$K,6,0),)),IFERROR(VLOOKUP($C1351,INSUMOS!$A:$D,4,0),IFERROR(VLOOKUP($C1351,COTAÇÕES!$B:$I,7,0),(VLOOKUP($C1351,'INSUMO SINAPI - SP'!$C:$F,4,0)))))*$G1351,2)</f>
        <v>1.1000000000000001</v>
      </c>
      <c r="J1351" s="513">
        <f>TRUNC(IF($C1351="",IFERROR(VLOOKUP($B1351,SERVIÇOS!$B:$G,5,0),IFERROR(VLOOKUP($B1351,$D:$K,7,0),)),0)*$G1351,2)</f>
        <v>2.69</v>
      </c>
      <c r="K1351" s="514">
        <f t="shared" si="47"/>
        <v>3.79</v>
      </c>
      <c r="L1351" s="515"/>
      <c r="M1351" s="471"/>
      <c r="N1351" s="516"/>
      <c r="Q1351" s="472"/>
      <c r="R1351" s="472"/>
      <c r="S1351" s="472"/>
      <c r="T1351" s="472"/>
      <c r="U1351" s="472"/>
      <c r="V1351" s="472"/>
      <c r="W1351" s="472"/>
      <c r="X1351" s="472"/>
      <c r="Y1351" s="472"/>
    </row>
    <row r="1352" spans="1:25" x14ac:dyDescent="0.25">
      <c r="A1352" s="463"/>
      <c r="B1352" s="506">
        <v>88267</v>
      </c>
      <c r="C1352" s="507"/>
      <c r="D1352" s="508"/>
      <c r="E1352" s="509" t="str">
        <f>IF($C1352="",IFERROR(VLOOKUP($B1352,SERVIÇOS!$B:$G,2,0),IFERROR(VLOOKUP($B1352,$D:$K,2,0),"")),IFERROR(VLOOKUP($C1352,INSUMOS!$A:$D,2,0),IFERROR(VLOOKUP($C1352,COTAÇÕES!$B:$I,2,0),(VLOOKUP($C1352,'INSUMO SINAPI - SP'!$C:$F,2,0)))))</f>
        <v>ENCANADOR OU BOMBEIRO HIDRÁULICO COM ENCARGOS COMPLEMENTARES</v>
      </c>
      <c r="F1352" s="510" t="str">
        <f>IF($C1352="",IFERROR(VLOOKUP($B1352,SERVIÇOS!$B:$G,3,0),IFERROR(VLOOKUP($B1352,$D:$K,3,0),"")),IFERROR(VLOOKUP($C1352,INSUMOS!$A:$D,3,0),IFERROR(VLOOKUP($C1352,COTAÇÕES!$B:$I,3,0),(VLOOKUP($C1352,'INSUMO SINAPI - SP'!$C:$F,3,0)))))</f>
        <v>H</v>
      </c>
      <c r="G1352" s="511">
        <v>0.128</v>
      </c>
      <c r="H1352" s="512">
        <f>IF($C1352="",IFERROR(VLOOKUP($B1352,SERVIÇOS!$B:$G,6,0),IFERROR(VLOOKUP($B1352,$D:$K,8,0),"")),IFERROR(VLOOKUP($C1352,INSUMOS!$A:$D,4,0),IFERROR(VLOOKUP($C1352,COTAÇÕES!$B:$I,7,0),(VLOOKUP($C1352,'INSUMO SINAPI - SP'!$C:$F,4,0)))))</f>
        <v>36.17</v>
      </c>
      <c r="I1352" s="513">
        <f>TRUNC(IF($C1352="",IFERROR(VLOOKUP($B1352,SERVIÇOS!$B:$G,4,0),IFERROR(VLOOKUP($B1352,$D:$K,6,0),)),IFERROR(VLOOKUP($C1352,INSUMOS!$A:$D,4,0),IFERROR(VLOOKUP($C1352,COTAÇÕES!$B:$I,7,0),(VLOOKUP($C1352,'INSUMO SINAPI - SP'!$C:$F,4,0)))))*$G1352,2)</f>
        <v>1.1000000000000001</v>
      </c>
      <c r="J1352" s="513">
        <f>TRUNC(IF($C1352="",IFERROR(VLOOKUP($B1352,SERVIÇOS!$B:$G,5,0),IFERROR(VLOOKUP($B1352,$D:$K,7,0),)),0)*$G1352,2)</f>
        <v>3.52</v>
      </c>
      <c r="K1352" s="514">
        <f t="shared" si="47"/>
        <v>4.62</v>
      </c>
      <c r="L1352" s="515"/>
      <c r="M1352" s="471"/>
      <c r="N1352" s="516"/>
      <c r="Q1352" s="472"/>
      <c r="R1352" s="472"/>
      <c r="S1352" s="472"/>
      <c r="T1352" s="472"/>
      <c r="U1352" s="472"/>
      <c r="V1352" s="472"/>
      <c r="W1352" s="472"/>
      <c r="X1352" s="472"/>
      <c r="Y1352" s="472"/>
    </row>
    <row r="1353" spans="1:25" ht="24" x14ac:dyDescent="0.25">
      <c r="A1353" s="463"/>
      <c r="B1353" s="498"/>
      <c r="C1353" s="498"/>
      <c r="D1353" s="499" t="s">
        <v>12403</v>
      </c>
      <c r="E1353" s="500" t="s">
        <v>13309</v>
      </c>
      <c r="F1353" s="501" t="s">
        <v>580</v>
      </c>
      <c r="G1353" s="502"/>
      <c r="H1353" s="503"/>
      <c r="I1353" s="504">
        <f>ROUND(SUM(I1354:I1359),2)</f>
        <v>382.65</v>
      </c>
      <c r="J1353" s="504">
        <f>ROUND(SUM(J1354:J1359),2)</f>
        <v>7.38</v>
      </c>
      <c r="K1353" s="504">
        <f>+J1353+I1353</f>
        <v>390.03</v>
      </c>
      <c r="L1353" s="523" t="s">
        <v>13310</v>
      </c>
      <c r="M1353" s="471"/>
      <c r="N1353" s="505"/>
      <c r="Q1353" s="472"/>
      <c r="R1353" s="472"/>
      <c r="S1353" s="472"/>
      <c r="T1353" s="472"/>
      <c r="U1353" s="472"/>
      <c r="V1353" s="472"/>
      <c r="W1353" s="472"/>
      <c r="X1353" s="472"/>
      <c r="Y1353" s="472"/>
    </row>
    <row r="1354" spans="1:25" x14ac:dyDescent="0.25">
      <c r="A1354" s="463"/>
      <c r="B1354" s="506"/>
      <c r="C1354" s="507" t="s">
        <v>13307</v>
      </c>
      <c r="D1354" s="508"/>
      <c r="E1354" s="509" t="str">
        <f>IF($C1354="",IFERROR(VLOOKUP($B1354,SERVIÇOS!$B:$G,2,0),IFERROR(VLOOKUP($B1354,$D:$K,2,0),"")),IFERROR(VLOOKUP($C1354,INSUMOS!$A:$D,2,0),IFERROR(VLOOKUP($C1354,COTAÇÕES!$B:$I,2,0),(VLOOKUP($C1354,'INSUMO SINAPI - SP'!$C:$F,2,0)))))</f>
        <v>SOLDA ESTANHO/COBRE PARA CONEXOES DE COBRE, FIO 2,5 MM, CARRETEL 500 GR (SEM CHUMBO)</v>
      </c>
      <c r="F1354" s="510" t="str">
        <f>IF($C1354="",IFERROR(VLOOKUP($B1354,SERVIÇOS!$B:$G,3,0),IFERROR(VLOOKUP($B1354,$D:$K,3,0),"")),IFERROR(VLOOKUP($C1354,INSUMOS!$A:$D,3,0),IFERROR(VLOOKUP($C1354,COTAÇÕES!$B:$I,3,0),(VLOOKUP($C1354,'INSUMO SINAPI - SP'!$C:$F,3,0)))))</f>
        <v>UN</v>
      </c>
      <c r="G1354" s="511">
        <v>9.5999999999999992E-3</v>
      </c>
      <c r="H1354" s="512">
        <f>IF($C1354="",IFERROR(VLOOKUP($B1354,SERVIÇOS!$B:$G,6,0),IFERROR(VLOOKUP($B1354,$D:$K,8,0),"")),IFERROR(VLOOKUP($C1354,INSUMOS!$A:$D,4,0),IFERROR(VLOOKUP($C1354,COTAÇÕES!$B:$I,7,0),(VLOOKUP($C1354,'INSUMO SINAPI - SP'!$C:$F,4,0)))))</f>
        <v>308.60000000000002</v>
      </c>
      <c r="I1354" s="513">
        <f>TRUNC(IF($C1354="",IFERROR(VLOOKUP($B1354,SERVIÇOS!$B:$G,4,0),IFERROR(VLOOKUP($B1354,$D:$K,6,0),)),IFERROR(VLOOKUP($C1354,INSUMOS!$A:$D,4,0),IFERROR(VLOOKUP($C1354,COTAÇÕES!$B:$I,7,0),(VLOOKUP($C1354,'INSUMO SINAPI - SP'!$C:$F,4,0)))))*$G1354,2)</f>
        <v>2.96</v>
      </c>
      <c r="J1354" s="513"/>
      <c r="K1354" s="514">
        <f t="shared" ref="K1354:K1359" si="48">I1354+J1354</f>
        <v>2.96</v>
      </c>
      <c r="L1354" s="515" t="s">
        <v>12685</v>
      </c>
      <c r="M1354" s="471"/>
      <c r="N1354" s="516"/>
      <c r="Q1354" s="472"/>
      <c r="R1354" s="472"/>
      <c r="S1354" s="472"/>
      <c r="T1354" s="472"/>
      <c r="U1354" s="472"/>
      <c r="V1354" s="472"/>
      <c r="W1354" s="472"/>
      <c r="X1354" s="472"/>
      <c r="Y1354" s="472"/>
    </row>
    <row r="1355" spans="1:25" ht="24" x14ac:dyDescent="0.25">
      <c r="A1355" s="463"/>
      <c r="B1355" s="506"/>
      <c r="C1355" s="507" t="s">
        <v>13311</v>
      </c>
      <c r="D1355" s="508"/>
      <c r="E1355" s="509" t="str">
        <f>IF($C1355="",IFERROR(VLOOKUP($B1355,SERVIÇOS!$B:$G,2,0),IFERROR(VLOOKUP($B1355,$D:$K,2,0),"")),IFERROR(VLOOKUP($C1355,INSUMOS!$A:$D,2,0),IFERROR(VLOOKUP($C1355,COTAÇÕES!$B:$I,2,0),(VLOOKUP($C1355,'INSUMO SINAPI - SP'!$C:$F,2,0)))))</f>
        <v>KIT REFINET PARA CONEXÃO DE UNIDADES INTERNAS MARCA DAIKIN  (OU EQUIVALENTE TÉCNICO) MODELO KHRP26A33T</v>
      </c>
      <c r="F1355" s="510" t="str">
        <f>IF($C1355="",IFERROR(VLOOKUP($B1355,SERVIÇOS!$B:$G,3,0),IFERROR(VLOOKUP($B1355,$D:$K,3,0),"")),IFERROR(VLOOKUP($C1355,INSUMOS!$A:$D,3,0),IFERROR(VLOOKUP($C1355,COTAÇÕES!$B:$I,3,0),(VLOOKUP($C1355,'INSUMO SINAPI - SP'!$C:$F,3,0)))))</f>
        <v>UN</v>
      </c>
      <c r="G1355" s="511">
        <v>1</v>
      </c>
      <c r="H1355" s="512">
        <f>IF($C1355="",IFERROR(VLOOKUP($B1355,SERVIÇOS!$B:$G,6,0),IFERROR(VLOOKUP($B1355,$D:$K,8,0),"")),IFERROR(VLOOKUP($C1355,INSUMOS!$A:$D,4,0),IFERROR(VLOOKUP($C1355,COTAÇÕES!$B:$I,8,0),(VLOOKUP($C1355,'INSUMO SINAPI - SP'!$C:$F,4,0)))))</f>
        <v>376.22</v>
      </c>
      <c r="I1355" s="513">
        <f>TRUNC(IF($C1355="",IFERROR(VLOOKUP($B1355,SERVIÇOS!$B:$G,4,0),IFERROR(VLOOKUP($B1355,$D:$K,6,0),)),IFERROR(VLOOKUP($C1355,INSUMOS!$A:$D,4,0),IFERROR(VLOOKUP($C1355,COTAÇÕES!$B:$I,8,0),(VLOOKUP($C1355,'INSUMO SINAPI - SP'!$C:$F,4,0)))))*$G1355,2)</f>
        <v>376.22</v>
      </c>
      <c r="J1355" s="513"/>
      <c r="K1355" s="514">
        <f t="shared" si="48"/>
        <v>376.22</v>
      </c>
      <c r="L1355" s="517" t="s">
        <v>12878</v>
      </c>
      <c r="M1355" s="471"/>
      <c r="N1355" s="516"/>
      <c r="Q1355" s="472"/>
      <c r="R1355" s="472"/>
      <c r="S1355" s="472"/>
      <c r="T1355" s="472"/>
      <c r="U1355" s="472"/>
      <c r="V1355" s="472"/>
      <c r="W1355" s="472"/>
      <c r="X1355" s="472"/>
      <c r="Y1355" s="472"/>
    </row>
    <row r="1356" spans="1:25" x14ac:dyDescent="0.25">
      <c r="A1356" s="463"/>
      <c r="B1356" s="506"/>
      <c r="C1356" s="507">
        <v>38383</v>
      </c>
      <c r="D1356" s="508"/>
      <c r="E1356" s="509" t="str">
        <f>IF($C1356="",IFERROR(VLOOKUP($B1356,SERVIÇOS!$B:$G,2,0),IFERROR(VLOOKUP($B1356,$D:$K,2,0),"")),IFERROR(VLOOKUP($C1356,INSUMOS!$A:$D,2,0),IFERROR(VLOOKUP($C1356,COTAÇÕES!$B:$I,2,0),(VLOOKUP($C1356,'INSUMO SINAPI - SP'!$C:$F,2,0)))))</f>
        <v>LIXA D'AGUA EM FOLHA, COR PRETA, GRAO 100</v>
      </c>
      <c r="F1356" s="510" t="str">
        <f>IF($C1356="",IFERROR(VLOOKUP($B1356,SERVIÇOS!$B:$G,3,0),IFERROR(VLOOKUP($B1356,$D:$K,3,0),"")),IFERROR(VLOOKUP($C1356,INSUMOS!$A:$D,3,0),IFERROR(VLOOKUP($C1356,COTAÇÕES!$B:$I,3,0),(VLOOKUP($C1356,'INSUMO SINAPI - SP'!$C:$F,3,0)))))</f>
        <v>UN</v>
      </c>
      <c r="G1356" s="511">
        <v>7.5600000000000001E-2</v>
      </c>
      <c r="H1356" s="512">
        <f>IF($C1356="",IFERROR(VLOOKUP($B1356,SERVIÇOS!$B:$G,6,0),IFERROR(VLOOKUP($B1356,$D:$K,8,0),"")),IFERROR(VLOOKUP($C1356,INSUMOS!$A:$D,4,0),IFERROR(VLOOKUP($C1356,COTAÇÕES!$B:$I,7,0),(VLOOKUP($C1356,'INSUMO SINAPI - SP'!$C:$F,4,0)))))</f>
        <v>1.99</v>
      </c>
      <c r="I1356" s="513">
        <f>TRUNC(IF($C1356="",IFERROR(VLOOKUP($B1356,SERVIÇOS!$B:$G,4,0),IFERROR(VLOOKUP($B1356,$D:$K,6,0),)),IFERROR(VLOOKUP($C1356,INSUMOS!$A:$D,4,0),IFERROR(VLOOKUP($C1356,COTAÇÕES!$B:$I,7,0),(VLOOKUP($C1356,'INSUMO SINAPI - SP'!$C:$F,4,0)))))*$G1356,2)</f>
        <v>0.15</v>
      </c>
      <c r="J1356" s="513">
        <f>TRUNC(IF($C1356="",IFERROR(VLOOKUP($B1356,SERVIÇOS!$B:$G,5,0),IFERROR(VLOOKUP($B1356,$D:$K,7,0),)),0)*$G1356,2)</f>
        <v>0</v>
      </c>
      <c r="K1356" s="514">
        <f t="shared" si="48"/>
        <v>0.15</v>
      </c>
      <c r="L1356" s="517"/>
      <c r="M1356" s="471"/>
      <c r="N1356" s="516"/>
      <c r="Q1356" s="472"/>
      <c r="R1356" s="472"/>
      <c r="S1356" s="472"/>
      <c r="T1356" s="472"/>
      <c r="U1356" s="472"/>
      <c r="V1356" s="472"/>
      <c r="W1356" s="472"/>
      <c r="X1356" s="472"/>
      <c r="Y1356" s="472"/>
    </row>
    <row r="1357" spans="1:25" x14ac:dyDescent="0.25">
      <c r="A1357" s="463"/>
      <c r="B1357" s="506"/>
      <c r="C1357" s="507" t="s">
        <v>13113</v>
      </c>
      <c r="D1357" s="508"/>
      <c r="E1357" s="509" t="str">
        <f>IF($C1357="",IFERROR(VLOOKUP($B1357,SERVIÇOS!$B:$G,2,0),IFERROR(VLOOKUP($B1357,$D:$K,2,0),"")),IFERROR(VLOOKUP($C1357,INSUMOS!$A:$D,2,0),IFERROR(VLOOKUP($C1357,COTAÇÕES!$B:$I,2,0),(VLOOKUP($C1357,'INSUMO SINAPI - SP'!$C:$F,2,0)))))</f>
        <v>PASTA PARA SOLDA DE TUBOS E CONEXOES DE COBRE (EMBALAGEM COM 250 G)</v>
      </c>
      <c r="F1357" s="510" t="str">
        <f>IF($C1357="",IFERROR(VLOOKUP($B1357,SERVIÇOS!$B:$G,3,0),IFERROR(VLOOKUP($B1357,$D:$K,3,0),"")),IFERROR(VLOOKUP($C1357,INSUMOS!$A:$D,3,0),IFERROR(VLOOKUP($C1357,COTAÇÕES!$B:$I,3,0),(VLOOKUP($C1357,'INSUMO SINAPI - SP'!$C:$F,3,0)))))</f>
        <v>UN</v>
      </c>
      <c r="G1357" s="511">
        <v>1.2500000000000001E-2</v>
      </c>
      <c r="H1357" s="512">
        <f>IF($C1357="",IFERROR(VLOOKUP($B1357,SERVIÇOS!$B:$G,6,0),IFERROR(VLOOKUP($B1357,$D:$K,8,0),"")),IFERROR(VLOOKUP($C1357,INSUMOS!$A:$D,4,0),IFERROR(VLOOKUP($C1357,COTAÇÕES!$B:$I,7,0),(VLOOKUP($C1357,'INSUMO SINAPI - SP'!$C:$F,4,0)))))</f>
        <v>56.57</v>
      </c>
      <c r="I1357" s="513">
        <f>TRUNC(IF($C1357="",IFERROR(VLOOKUP($B1357,SERVIÇOS!$B:$G,4,0),IFERROR(VLOOKUP($B1357,$D:$K,6,0),)),IFERROR(VLOOKUP($C1357,INSUMOS!$A:$D,4,0),IFERROR(VLOOKUP($C1357,COTAÇÕES!$B:$I,7,0),(VLOOKUP($C1357,'INSUMO SINAPI - SP'!$C:$F,4,0)))))*$G1357,2)</f>
        <v>0.7</v>
      </c>
      <c r="J1357" s="513"/>
      <c r="K1357" s="514">
        <f t="shared" si="48"/>
        <v>0.7</v>
      </c>
      <c r="L1357" s="515" t="s">
        <v>12685</v>
      </c>
      <c r="M1357" s="471"/>
      <c r="N1357" s="516"/>
      <c r="Q1357" s="472"/>
      <c r="R1357" s="472"/>
      <c r="S1357" s="472"/>
      <c r="T1357" s="472"/>
      <c r="U1357" s="472"/>
      <c r="V1357" s="472"/>
      <c r="W1357" s="472"/>
      <c r="X1357" s="472"/>
      <c r="Y1357" s="472"/>
    </row>
    <row r="1358" spans="1:25" x14ac:dyDescent="0.25">
      <c r="A1358" s="463"/>
      <c r="B1358" s="506">
        <v>88248</v>
      </c>
      <c r="C1358" s="507"/>
      <c r="D1358" s="508"/>
      <c r="E1358" s="509" t="str">
        <f>IF($C1358="",IFERROR(VLOOKUP($B1358,SERVIÇOS!$B:$G,2,0),IFERROR(VLOOKUP($B1358,$D:$K,2,0),"")),IFERROR(VLOOKUP($C1358,INSUMOS!$A:$D,2,0),IFERROR(VLOOKUP($C1358,COTAÇÕES!$B:$I,2,0),(VLOOKUP($C1358,'INSUMO SINAPI - SP'!$C:$F,2,0)))))</f>
        <v>AUXILIAR DE ENCANADOR OU BOMBEIRO HIDRÁULICO COM ENCARGOS COMPLEMENTARES</v>
      </c>
      <c r="F1358" s="510" t="str">
        <f>IF($C1358="",IFERROR(VLOOKUP($B1358,SERVIÇOS!$B:$G,3,0),IFERROR(VLOOKUP($B1358,$D:$K,3,0),"")),IFERROR(VLOOKUP($C1358,INSUMOS!$A:$D,3,0),IFERROR(VLOOKUP($C1358,COTAÇÕES!$B:$I,3,0),(VLOOKUP($C1358,'INSUMO SINAPI - SP'!$C:$F,3,0)))))</f>
        <v>H</v>
      </c>
      <c r="G1358" s="511">
        <v>0.152</v>
      </c>
      <c r="H1358" s="512">
        <f>IF($C1358="",IFERROR(VLOOKUP($B1358,SERVIÇOS!$B:$G,6,0),IFERROR(VLOOKUP($B1358,$D:$K,8,0),"")),IFERROR(VLOOKUP($C1358,INSUMOS!$A:$D,4,0),IFERROR(VLOOKUP($C1358,COTAÇÕES!$B:$I,7,0),(VLOOKUP($C1358,'INSUMO SINAPI - SP'!$C:$F,4,0)))))</f>
        <v>29.72</v>
      </c>
      <c r="I1358" s="513">
        <f>TRUNC(IF($C1358="",IFERROR(VLOOKUP($B1358,SERVIÇOS!$B:$G,4,0),IFERROR(VLOOKUP($B1358,$D:$K,6,0),)),IFERROR(VLOOKUP($C1358,INSUMOS!$A:$D,4,0),IFERROR(VLOOKUP($C1358,COTAÇÕES!$B:$I,7,0),(VLOOKUP($C1358,'INSUMO SINAPI - SP'!$C:$F,4,0)))))*$G1358,2)</f>
        <v>1.31</v>
      </c>
      <c r="J1358" s="513">
        <f>TRUNC(IF($C1358="",IFERROR(VLOOKUP($B1358,SERVIÇOS!$B:$G,5,0),IFERROR(VLOOKUP($B1358,$D:$K,7,0),)),0)*$G1358,2)</f>
        <v>3.2</v>
      </c>
      <c r="K1358" s="514">
        <f t="shared" si="48"/>
        <v>4.51</v>
      </c>
      <c r="L1358" s="515"/>
      <c r="M1358" s="471"/>
      <c r="N1358" s="516"/>
      <c r="Q1358" s="472"/>
      <c r="R1358" s="472"/>
      <c r="S1358" s="472"/>
      <c r="T1358" s="472"/>
      <c r="U1358" s="472"/>
      <c r="V1358" s="472"/>
      <c r="W1358" s="472"/>
      <c r="X1358" s="472"/>
      <c r="Y1358" s="472"/>
    </row>
    <row r="1359" spans="1:25" x14ac:dyDescent="0.25">
      <c r="A1359" s="463"/>
      <c r="B1359" s="506">
        <v>88267</v>
      </c>
      <c r="C1359" s="507"/>
      <c r="D1359" s="508"/>
      <c r="E1359" s="509" t="str">
        <f>IF($C1359="",IFERROR(VLOOKUP($B1359,SERVIÇOS!$B:$G,2,0),IFERROR(VLOOKUP($B1359,$D:$K,2,0),"")),IFERROR(VLOOKUP($C1359,INSUMOS!$A:$D,2,0),IFERROR(VLOOKUP($C1359,COTAÇÕES!$B:$I,2,0),(VLOOKUP($C1359,'INSUMO SINAPI - SP'!$C:$F,2,0)))))</f>
        <v>ENCANADOR OU BOMBEIRO HIDRÁULICO COM ENCARGOS COMPLEMENTARES</v>
      </c>
      <c r="F1359" s="510" t="str">
        <f>IF($C1359="",IFERROR(VLOOKUP($B1359,SERVIÇOS!$B:$G,3,0),IFERROR(VLOOKUP($B1359,$D:$K,3,0),"")),IFERROR(VLOOKUP($C1359,INSUMOS!$A:$D,3,0),IFERROR(VLOOKUP($C1359,COTAÇÕES!$B:$I,3,0),(VLOOKUP($C1359,'INSUMO SINAPI - SP'!$C:$F,3,0)))))</f>
        <v>H</v>
      </c>
      <c r="G1359" s="511">
        <v>0.152</v>
      </c>
      <c r="H1359" s="512">
        <f>IF($C1359="",IFERROR(VLOOKUP($B1359,SERVIÇOS!$B:$G,6,0),IFERROR(VLOOKUP($B1359,$D:$K,8,0),"")),IFERROR(VLOOKUP($C1359,INSUMOS!$A:$D,4,0),IFERROR(VLOOKUP($C1359,COTAÇÕES!$B:$I,7,0),(VLOOKUP($C1359,'INSUMO SINAPI - SP'!$C:$F,4,0)))))</f>
        <v>36.17</v>
      </c>
      <c r="I1359" s="513">
        <f>TRUNC(IF($C1359="",IFERROR(VLOOKUP($B1359,SERVIÇOS!$B:$G,4,0),IFERROR(VLOOKUP($B1359,$D:$K,6,0),)),IFERROR(VLOOKUP($C1359,INSUMOS!$A:$D,4,0),IFERROR(VLOOKUP($C1359,COTAÇÕES!$B:$I,7,0),(VLOOKUP($C1359,'INSUMO SINAPI - SP'!$C:$F,4,0)))))*$G1359,2)</f>
        <v>1.31</v>
      </c>
      <c r="J1359" s="513">
        <f>TRUNC(IF($C1359="",IFERROR(VLOOKUP($B1359,SERVIÇOS!$B:$G,5,0),IFERROR(VLOOKUP($B1359,$D:$K,7,0),)),0)*$G1359,2)</f>
        <v>4.18</v>
      </c>
      <c r="K1359" s="514">
        <f t="shared" si="48"/>
        <v>5.49</v>
      </c>
      <c r="L1359" s="515"/>
      <c r="M1359" s="471"/>
      <c r="N1359" s="516"/>
      <c r="Q1359" s="472"/>
      <c r="R1359" s="472"/>
      <c r="S1359" s="472"/>
      <c r="T1359" s="472"/>
      <c r="U1359" s="472"/>
      <c r="V1359" s="472"/>
      <c r="W1359" s="472"/>
      <c r="X1359" s="472"/>
      <c r="Y1359" s="472"/>
    </row>
    <row r="1360" spans="1:25" ht="24" x14ac:dyDescent="0.25">
      <c r="A1360" s="463"/>
      <c r="B1360" s="498"/>
      <c r="C1360" s="498"/>
      <c r="D1360" s="499" t="s">
        <v>12404</v>
      </c>
      <c r="E1360" s="500" t="s">
        <v>13312</v>
      </c>
      <c r="F1360" s="501" t="s">
        <v>580</v>
      </c>
      <c r="G1360" s="502"/>
      <c r="H1360" s="503"/>
      <c r="I1360" s="504">
        <f>ROUND(SUM(I1361:I1366),2)</f>
        <v>586.42999999999995</v>
      </c>
      <c r="J1360" s="504">
        <f>ROUND(SUM(J1361:J1366),2)</f>
        <v>7.38</v>
      </c>
      <c r="K1360" s="504">
        <f>+J1360+I1360</f>
        <v>593.80999999999995</v>
      </c>
      <c r="L1360" s="523" t="s">
        <v>13310</v>
      </c>
      <c r="M1360" s="471"/>
      <c r="N1360" s="505"/>
      <c r="Q1360" s="472"/>
      <c r="R1360" s="472"/>
      <c r="S1360" s="472"/>
      <c r="T1360" s="472"/>
      <c r="U1360" s="472"/>
      <c r="V1360" s="472"/>
      <c r="W1360" s="472"/>
      <c r="X1360" s="472"/>
      <c r="Y1360" s="472"/>
    </row>
    <row r="1361" spans="1:25" x14ac:dyDescent="0.25">
      <c r="A1361" s="463"/>
      <c r="B1361" s="506"/>
      <c r="C1361" s="507" t="s">
        <v>13307</v>
      </c>
      <c r="D1361" s="508"/>
      <c r="E1361" s="509" t="str">
        <f>IF($C1361="",IFERROR(VLOOKUP($B1361,SERVIÇOS!$B:$G,2,0),IFERROR(VLOOKUP($B1361,$D:$K,2,0),"")),IFERROR(VLOOKUP($C1361,INSUMOS!$A:$D,2,0),IFERROR(VLOOKUP($C1361,COTAÇÕES!$B:$I,2,0),(VLOOKUP($C1361,'INSUMO SINAPI - SP'!$C:$F,2,0)))))</f>
        <v>SOLDA ESTANHO/COBRE PARA CONEXOES DE COBRE, FIO 2,5 MM, CARRETEL 500 GR (SEM CHUMBO)</v>
      </c>
      <c r="F1361" s="510" t="str">
        <f>IF($C1361="",IFERROR(VLOOKUP($B1361,SERVIÇOS!$B:$G,3,0),IFERROR(VLOOKUP($B1361,$D:$K,3,0),"")),IFERROR(VLOOKUP($C1361,INSUMOS!$A:$D,3,0),IFERROR(VLOOKUP($C1361,COTAÇÕES!$B:$I,3,0),(VLOOKUP($C1361,'INSUMO SINAPI - SP'!$C:$F,3,0)))))</f>
        <v>UN</v>
      </c>
      <c r="G1361" s="511">
        <v>9.5999999999999992E-3</v>
      </c>
      <c r="H1361" s="512">
        <f>IF($C1361="",IFERROR(VLOOKUP($B1361,SERVIÇOS!$B:$G,6,0),IFERROR(VLOOKUP($B1361,$D:$K,8,0),"")),IFERROR(VLOOKUP($C1361,INSUMOS!$A:$D,4,0),IFERROR(VLOOKUP($C1361,COTAÇÕES!$B:$I,7,0),(VLOOKUP($C1361,'INSUMO SINAPI - SP'!$C:$F,4,0)))))</f>
        <v>308.60000000000002</v>
      </c>
      <c r="I1361" s="513">
        <f>TRUNC(IF($C1361="",IFERROR(VLOOKUP($B1361,SERVIÇOS!$B:$G,4,0),IFERROR(VLOOKUP($B1361,$D:$K,6,0),)),IFERROR(VLOOKUP($C1361,INSUMOS!$A:$D,4,0),IFERROR(VLOOKUP($C1361,COTAÇÕES!$B:$I,7,0),(VLOOKUP($C1361,'INSUMO SINAPI - SP'!$C:$F,4,0)))))*$G1361,2)</f>
        <v>2.96</v>
      </c>
      <c r="J1361" s="513"/>
      <c r="K1361" s="514">
        <f t="shared" ref="K1361:K1366" si="49">I1361+J1361</f>
        <v>2.96</v>
      </c>
      <c r="L1361" s="515" t="s">
        <v>12685</v>
      </c>
      <c r="M1361" s="471"/>
      <c r="N1361" s="516"/>
      <c r="Q1361" s="472"/>
      <c r="R1361" s="472"/>
      <c r="S1361" s="472"/>
      <c r="T1361" s="472"/>
      <c r="U1361" s="472"/>
      <c r="V1361" s="472"/>
      <c r="W1361" s="472"/>
      <c r="X1361" s="472"/>
      <c r="Y1361" s="472"/>
    </row>
    <row r="1362" spans="1:25" ht="24" x14ac:dyDescent="0.25">
      <c r="A1362" s="463"/>
      <c r="B1362" s="506"/>
      <c r="C1362" s="507" t="s">
        <v>13313</v>
      </c>
      <c r="D1362" s="508"/>
      <c r="E1362" s="509" t="str">
        <f>IF($C1362="",IFERROR(VLOOKUP($B1362,SERVIÇOS!$B:$G,2,0),IFERROR(VLOOKUP($B1362,$D:$K,2,0),"")),IFERROR(VLOOKUP($C1362,INSUMOS!$A:$D,2,0),IFERROR(VLOOKUP($C1362,COTAÇÕES!$B:$I,2,0),(VLOOKUP($C1362,'INSUMO SINAPI - SP'!$C:$F,2,0)))))</f>
        <v>KIT REFINET PARA CONEXÃO DE UNIDADES INTERNAS MARCA DAIKIN (OU EQUIVALENTE TÉCNICO) MODELO KHRP26A72T</v>
      </c>
      <c r="F1362" s="510" t="str">
        <f>IF($C1362="",IFERROR(VLOOKUP($B1362,SERVIÇOS!$B:$G,3,0),IFERROR(VLOOKUP($B1362,$D:$K,3,0),"")),IFERROR(VLOOKUP($C1362,INSUMOS!$A:$D,3,0),IFERROR(VLOOKUP($C1362,COTAÇÕES!$B:$I,3,0),(VLOOKUP($C1362,'INSUMO SINAPI - SP'!$C:$F,3,0)))))</f>
        <v>UN</v>
      </c>
      <c r="G1362" s="511">
        <v>1</v>
      </c>
      <c r="H1362" s="512">
        <f>IF($C1362="",IFERROR(VLOOKUP($B1362,SERVIÇOS!$B:$G,6,0),IFERROR(VLOOKUP($B1362,$D:$K,8,0),"")),IFERROR(VLOOKUP($C1362,INSUMOS!$A:$D,4,0),IFERROR(VLOOKUP($C1362,COTAÇÕES!$B:$I,8,0),(VLOOKUP($C1362,'INSUMO SINAPI - SP'!$C:$F,4,0)))))</f>
        <v>580</v>
      </c>
      <c r="I1362" s="513">
        <f>TRUNC(IF($C1362="",IFERROR(VLOOKUP($B1362,SERVIÇOS!$B:$G,4,0),IFERROR(VLOOKUP($B1362,$D:$K,6,0),)),IFERROR(VLOOKUP($C1362,INSUMOS!$A:$D,4,0),IFERROR(VLOOKUP($C1362,COTAÇÕES!$B:$I,8,0),(VLOOKUP($C1362,'INSUMO SINAPI - SP'!$C:$F,4,0)))))*$G1362,2)</f>
        <v>580</v>
      </c>
      <c r="J1362" s="513"/>
      <c r="K1362" s="514">
        <f t="shared" si="49"/>
        <v>580</v>
      </c>
      <c r="L1362" s="517" t="s">
        <v>12878</v>
      </c>
      <c r="M1362" s="471"/>
      <c r="N1362" s="516"/>
      <c r="Q1362" s="472"/>
      <c r="R1362" s="472"/>
      <c r="S1362" s="472"/>
      <c r="T1362" s="472"/>
      <c r="U1362" s="472"/>
      <c r="V1362" s="472"/>
      <c r="W1362" s="472"/>
      <c r="X1362" s="472"/>
      <c r="Y1362" s="472"/>
    </row>
    <row r="1363" spans="1:25" x14ac:dyDescent="0.25">
      <c r="A1363" s="463"/>
      <c r="B1363" s="506"/>
      <c r="C1363" s="507">
        <v>38383</v>
      </c>
      <c r="D1363" s="508"/>
      <c r="E1363" s="509" t="str">
        <f>IF($C1363="",IFERROR(VLOOKUP($B1363,SERVIÇOS!$B:$G,2,0),IFERROR(VLOOKUP($B1363,$D:$K,2,0),"")),IFERROR(VLOOKUP($C1363,INSUMOS!$A:$D,2,0),IFERROR(VLOOKUP($C1363,COTAÇÕES!$B:$I,2,0),(VLOOKUP($C1363,'INSUMO SINAPI - SP'!$C:$F,2,0)))))</f>
        <v>LIXA D'AGUA EM FOLHA, COR PRETA, GRAO 100</v>
      </c>
      <c r="F1363" s="510" t="str">
        <f>IF($C1363="",IFERROR(VLOOKUP($B1363,SERVIÇOS!$B:$G,3,0),IFERROR(VLOOKUP($B1363,$D:$K,3,0),"")),IFERROR(VLOOKUP($C1363,INSUMOS!$A:$D,3,0),IFERROR(VLOOKUP($C1363,COTAÇÕES!$B:$I,3,0),(VLOOKUP($C1363,'INSUMO SINAPI - SP'!$C:$F,3,0)))))</f>
        <v>UN</v>
      </c>
      <c r="G1363" s="511">
        <v>7.5600000000000001E-2</v>
      </c>
      <c r="H1363" s="512">
        <f>IF($C1363="",IFERROR(VLOOKUP($B1363,SERVIÇOS!$B:$G,6,0),IFERROR(VLOOKUP($B1363,$D:$K,8,0),"")),IFERROR(VLOOKUP($C1363,INSUMOS!$A:$D,4,0),IFERROR(VLOOKUP($C1363,COTAÇÕES!$B:$I,7,0),(VLOOKUP($C1363,'INSUMO SINAPI - SP'!$C:$F,4,0)))))</f>
        <v>1.99</v>
      </c>
      <c r="I1363" s="513">
        <f>TRUNC(IF($C1363="",IFERROR(VLOOKUP($B1363,SERVIÇOS!$B:$G,4,0),IFERROR(VLOOKUP($B1363,$D:$K,6,0),)),IFERROR(VLOOKUP($C1363,INSUMOS!$A:$D,4,0),IFERROR(VLOOKUP($C1363,COTAÇÕES!$B:$I,7,0),(VLOOKUP($C1363,'INSUMO SINAPI - SP'!$C:$F,4,0)))))*$G1363,2)</f>
        <v>0.15</v>
      </c>
      <c r="J1363" s="513">
        <f>TRUNC(IF($C1363="",IFERROR(VLOOKUP($B1363,SERVIÇOS!$B:$G,5,0),IFERROR(VLOOKUP($B1363,$D:$K,7,0),)),0)*$G1363,2)</f>
        <v>0</v>
      </c>
      <c r="K1363" s="514">
        <f t="shared" si="49"/>
        <v>0.15</v>
      </c>
      <c r="L1363" s="517"/>
      <c r="M1363" s="471"/>
      <c r="N1363" s="516"/>
      <c r="Q1363" s="472"/>
      <c r="R1363" s="472"/>
      <c r="S1363" s="472"/>
      <c r="T1363" s="472"/>
      <c r="U1363" s="472"/>
      <c r="V1363" s="472"/>
      <c r="W1363" s="472"/>
      <c r="X1363" s="472"/>
      <c r="Y1363" s="472"/>
    </row>
    <row r="1364" spans="1:25" x14ac:dyDescent="0.25">
      <c r="A1364" s="463"/>
      <c r="B1364" s="506"/>
      <c r="C1364" s="507" t="s">
        <v>13113</v>
      </c>
      <c r="D1364" s="508"/>
      <c r="E1364" s="509" t="str">
        <f>IF($C1364="",IFERROR(VLOOKUP($B1364,SERVIÇOS!$B:$G,2,0),IFERROR(VLOOKUP($B1364,$D:$K,2,0),"")),IFERROR(VLOOKUP($C1364,INSUMOS!$A:$D,2,0),IFERROR(VLOOKUP($C1364,COTAÇÕES!$B:$I,2,0),(VLOOKUP($C1364,'INSUMO SINAPI - SP'!$C:$F,2,0)))))</f>
        <v>PASTA PARA SOLDA DE TUBOS E CONEXOES DE COBRE (EMBALAGEM COM 250 G)</v>
      </c>
      <c r="F1364" s="510" t="str">
        <f>IF($C1364="",IFERROR(VLOOKUP($B1364,SERVIÇOS!$B:$G,3,0),IFERROR(VLOOKUP($B1364,$D:$K,3,0),"")),IFERROR(VLOOKUP($C1364,INSUMOS!$A:$D,3,0),IFERROR(VLOOKUP($C1364,COTAÇÕES!$B:$I,3,0),(VLOOKUP($C1364,'INSUMO SINAPI - SP'!$C:$F,3,0)))))</f>
        <v>UN</v>
      </c>
      <c r="G1364" s="511">
        <v>1.2500000000000001E-2</v>
      </c>
      <c r="H1364" s="512">
        <f>IF($C1364="",IFERROR(VLOOKUP($B1364,SERVIÇOS!$B:$G,6,0),IFERROR(VLOOKUP($B1364,$D:$K,8,0),"")),IFERROR(VLOOKUP($C1364,INSUMOS!$A:$D,4,0),IFERROR(VLOOKUP($C1364,COTAÇÕES!$B:$I,7,0),(VLOOKUP($C1364,'INSUMO SINAPI - SP'!$C:$F,4,0)))))</f>
        <v>56.57</v>
      </c>
      <c r="I1364" s="513">
        <f>TRUNC(IF($C1364="",IFERROR(VLOOKUP($B1364,SERVIÇOS!$B:$G,4,0),IFERROR(VLOOKUP($B1364,$D:$K,6,0),)),IFERROR(VLOOKUP($C1364,INSUMOS!$A:$D,4,0),IFERROR(VLOOKUP($C1364,COTAÇÕES!$B:$I,7,0),(VLOOKUP($C1364,'INSUMO SINAPI - SP'!$C:$F,4,0)))))*$G1364,2)</f>
        <v>0.7</v>
      </c>
      <c r="J1364" s="513"/>
      <c r="K1364" s="514">
        <f t="shared" si="49"/>
        <v>0.7</v>
      </c>
      <c r="L1364" s="515" t="s">
        <v>12685</v>
      </c>
      <c r="M1364" s="471"/>
      <c r="N1364" s="516"/>
      <c r="Q1364" s="472"/>
      <c r="R1364" s="472"/>
      <c r="S1364" s="472"/>
      <c r="T1364" s="472"/>
      <c r="U1364" s="472"/>
      <c r="V1364" s="472"/>
      <c r="W1364" s="472"/>
      <c r="X1364" s="472"/>
      <c r="Y1364" s="472"/>
    </row>
    <row r="1365" spans="1:25" x14ac:dyDescent="0.25">
      <c r="A1365" s="463"/>
      <c r="B1365" s="506">
        <v>88248</v>
      </c>
      <c r="C1365" s="507"/>
      <c r="D1365" s="508"/>
      <c r="E1365" s="509" t="str">
        <f>IF($C1365="",IFERROR(VLOOKUP($B1365,SERVIÇOS!$B:$G,2,0),IFERROR(VLOOKUP($B1365,$D:$K,2,0),"")),IFERROR(VLOOKUP($C1365,INSUMOS!$A:$D,2,0),IFERROR(VLOOKUP($C1365,COTAÇÕES!$B:$I,2,0),(VLOOKUP($C1365,'INSUMO SINAPI - SP'!$C:$F,2,0)))))</f>
        <v>AUXILIAR DE ENCANADOR OU BOMBEIRO HIDRÁULICO COM ENCARGOS COMPLEMENTARES</v>
      </c>
      <c r="F1365" s="510" t="str">
        <f>IF($C1365="",IFERROR(VLOOKUP($B1365,SERVIÇOS!$B:$G,3,0),IFERROR(VLOOKUP($B1365,$D:$K,3,0),"")),IFERROR(VLOOKUP($C1365,INSUMOS!$A:$D,3,0),IFERROR(VLOOKUP($C1365,COTAÇÕES!$B:$I,3,0),(VLOOKUP($C1365,'INSUMO SINAPI - SP'!$C:$F,3,0)))))</f>
        <v>H</v>
      </c>
      <c r="G1365" s="511">
        <v>0.152</v>
      </c>
      <c r="H1365" s="512">
        <f>IF($C1365="",IFERROR(VLOOKUP($B1365,SERVIÇOS!$B:$G,6,0),IFERROR(VLOOKUP($B1365,$D:$K,8,0),"")),IFERROR(VLOOKUP($C1365,INSUMOS!$A:$D,4,0),IFERROR(VLOOKUP($C1365,COTAÇÕES!$B:$I,7,0),(VLOOKUP($C1365,'INSUMO SINAPI - SP'!$C:$F,4,0)))))</f>
        <v>29.72</v>
      </c>
      <c r="I1365" s="513">
        <f>TRUNC(IF($C1365="",IFERROR(VLOOKUP($B1365,SERVIÇOS!$B:$G,4,0),IFERROR(VLOOKUP($B1365,$D:$K,6,0),)),IFERROR(VLOOKUP($C1365,INSUMOS!$A:$D,4,0),IFERROR(VLOOKUP($C1365,COTAÇÕES!$B:$I,7,0),(VLOOKUP($C1365,'INSUMO SINAPI - SP'!$C:$F,4,0)))))*$G1365,2)</f>
        <v>1.31</v>
      </c>
      <c r="J1365" s="513">
        <f>TRUNC(IF($C1365="",IFERROR(VLOOKUP($B1365,SERVIÇOS!$B:$G,5,0),IFERROR(VLOOKUP($B1365,$D:$K,7,0),)),0)*$G1365,2)</f>
        <v>3.2</v>
      </c>
      <c r="K1365" s="514">
        <f t="shared" si="49"/>
        <v>4.51</v>
      </c>
      <c r="L1365" s="515"/>
      <c r="M1365" s="471"/>
      <c r="N1365" s="516"/>
      <c r="Q1365" s="472"/>
      <c r="R1365" s="472"/>
      <c r="S1365" s="472"/>
      <c r="T1365" s="472"/>
      <c r="U1365" s="472"/>
      <c r="V1365" s="472"/>
      <c r="W1365" s="472"/>
      <c r="X1365" s="472"/>
      <c r="Y1365" s="472"/>
    </row>
    <row r="1366" spans="1:25" x14ac:dyDescent="0.25">
      <c r="A1366" s="463"/>
      <c r="B1366" s="506">
        <v>88267</v>
      </c>
      <c r="C1366" s="507"/>
      <c r="D1366" s="508"/>
      <c r="E1366" s="509" t="str">
        <f>IF($C1366="",IFERROR(VLOOKUP($B1366,SERVIÇOS!$B:$G,2,0),IFERROR(VLOOKUP($B1366,$D:$K,2,0),"")),IFERROR(VLOOKUP($C1366,INSUMOS!$A:$D,2,0),IFERROR(VLOOKUP($C1366,COTAÇÕES!$B:$I,2,0),(VLOOKUP($C1366,'INSUMO SINAPI - SP'!$C:$F,2,0)))))</f>
        <v>ENCANADOR OU BOMBEIRO HIDRÁULICO COM ENCARGOS COMPLEMENTARES</v>
      </c>
      <c r="F1366" s="510" t="str">
        <f>IF($C1366="",IFERROR(VLOOKUP($B1366,SERVIÇOS!$B:$G,3,0),IFERROR(VLOOKUP($B1366,$D:$K,3,0),"")),IFERROR(VLOOKUP($C1366,INSUMOS!$A:$D,3,0),IFERROR(VLOOKUP($C1366,COTAÇÕES!$B:$I,3,0),(VLOOKUP($C1366,'INSUMO SINAPI - SP'!$C:$F,3,0)))))</f>
        <v>H</v>
      </c>
      <c r="G1366" s="511">
        <v>0.152</v>
      </c>
      <c r="H1366" s="512">
        <f>IF($C1366="",IFERROR(VLOOKUP($B1366,SERVIÇOS!$B:$G,6,0),IFERROR(VLOOKUP($B1366,$D:$K,8,0),"")),IFERROR(VLOOKUP($C1366,INSUMOS!$A:$D,4,0),IFERROR(VLOOKUP($C1366,COTAÇÕES!$B:$I,7,0),(VLOOKUP($C1366,'INSUMO SINAPI - SP'!$C:$F,4,0)))))</f>
        <v>36.17</v>
      </c>
      <c r="I1366" s="513">
        <f>TRUNC(IF($C1366="",IFERROR(VLOOKUP($B1366,SERVIÇOS!$B:$G,4,0),IFERROR(VLOOKUP($B1366,$D:$K,6,0),)),IFERROR(VLOOKUP($C1366,INSUMOS!$A:$D,4,0),IFERROR(VLOOKUP($C1366,COTAÇÕES!$B:$I,7,0),(VLOOKUP($C1366,'INSUMO SINAPI - SP'!$C:$F,4,0)))))*$G1366,2)</f>
        <v>1.31</v>
      </c>
      <c r="J1366" s="513">
        <f>TRUNC(IF($C1366="",IFERROR(VLOOKUP($B1366,SERVIÇOS!$B:$G,5,0),IFERROR(VLOOKUP($B1366,$D:$K,7,0),)),0)*$G1366,2)</f>
        <v>4.18</v>
      </c>
      <c r="K1366" s="514">
        <f t="shared" si="49"/>
        <v>5.49</v>
      </c>
      <c r="L1366" s="515"/>
      <c r="M1366" s="471"/>
      <c r="N1366" s="516"/>
      <c r="Q1366" s="472"/>
      <c r="R1366" s="472"/>
      <c r="S1366" s="472"/>
      <c r="T1366" s="472"/>
      <c r="U1366" s="472"/>
      <c r="V1366" s="472"/>
      <c r="W1366" s="472"/>
      <c r="X1366" s="472"/>
      <c r="Y1366" s="472"/>
    </row>
    <row r="1367" spans="1:25" ht="24" x14ac:dyDescent="0.25">
      <c r="A1367" s="463"/>
      <c r="B1367" s="498"/>
      <c r="C1367" s="498"/>
      <c r="D1367" s="499" t="s">
        <v>12405</v>
      </c>
      <c r="E1367" s="500" t="s">
        <v>13314</v>
      </c>
      <c r="F1367" s="501" t="s">
        <v>580</v>
      </c>
      <c r="G1367" s="502"/>
      <c r="H1367" s="503"/>
      <c r="I1367" s="504">
        <f>ROUND(SUM(I1368:I1377),2)</f>
        <v>439.81</v>
      </c>
      <c r="J1367" s="504">
        <f>ROUND(SUM(J1368:J1377),2)</f>
        <v>145.83000000000001</v>
      </c>
      <c r="K1367" s="504">
        <f>+J1367+I1367</f>
        <v>585.64</v>
      </c>
      <c r="L1367" s="523" t="s">
        <v>13310</v>
      </c>
      <c r="M1367" s="471"/>
      <c r="N1367" s="505"/>
      <c r="Q1367" s="472"/>
      <c r="R1367" s="472"/>
      <c r="S1367" s="472"/>
      <c r="T1367" s="472"/>
      <c r="U1367" s="472"/>
      <c r="V1367" s="472"/>
      <c r="W1367" s="472"/>
      <c r="X1367" s="472"/>
      <c r="Y1367" s="472"/>
    </row>
    <row r="1368" spans="1:25" x14ac:dyDescent="0.25">
      <c r="A1368" s="463"/>
      <c r="B1368" s="506"/>
      <c r="C1368" s="507" t="s">
        <v>13307</v>
      </c>
      <c r="D1368" s="508"/>
      <c r="E1368" s="509" t="str">
        <f>IF($C1368="",IFERROR(VLOOKUP($B1368,SERVIÇOS!$B:$G,2,0),IFERROR(VLOOKUP($B1368,$D:$K,2,0),"")),IFERROR(VLOOKUP($C1368,INSUMOS!$A:$D,2,0),IFERROR(VLOOKUP($C1368,COTAÇÕES!$B:$I,2,0),(VLOOKUP($C1368,'INSUMO SINAPI - SP'!$C:$F,2,0)))))</f>
        <v>SOLDA ESTANHO/COBRE PARA CONEXOES DE COBRE, FIO 2,5 MM, CARRETEL 500 GR (SEM CHUMBO)</v>
      </c>
      <c r="F1368" s="510" t="str">
        <f>IF($C1368="",IFERROR(VLOOKUP($B1368,SERVIÇOS!$B:$G,3,0),IFERROR(VLOOKUP($B1368,$D:$K,3,0),"")),IFERROR(VLOOKUP($C1368,INSUMOS!$A:$D,3,0),IFERROR(VLOOKUP($C1368,COTAÇÕES!$B:$I,3,0),(VLOOKUP($C1368,'INSUMO SINAPI - SP'!$C:$F,3,0)))))</f>
        <v>UN</v>
      </c>
      <c r="G1368" s="511">
        <f>0.0096*12</f>
        <v>0.1152</v>
      </c>
      <c r="H1368" s="512">
        <f>IF($C1368="",IFERROR(VLOOKUP($B1368,SERVIÇOS!$B:$G,6,0),IFERROR(VLOOKUP($B1368,$D:$K,8,0),"")),IFERROR(VLOOKUP($C1368,INSUMOS!$A:$D,4,0),IFERROR(VLOOKUP($C1368,COTAÇÕES!$B:$I,7,0),(VLOOKUP($C1368,'INSUMO SINAPI - SP'!$C:$F,4,0)))))</f>
        <v>308.60000000000002</v>
      </c>
      <c r="I1368" s="513">
        <f>TRUNC(IF($C1368="",IFERROR(VLOOKUP($B1368,SERVIÇOS!$B:$G,4,0),IFERROR(VLOOKUP($B1368,$D:$K,6,0),)),IFERROR(VLOOKUP($C1368,INSUMOS!$A:$D,4,0),IFERROR(VLOOKUP($C1368,COTAÇÕES!$B:$I,7,0),(VLOOKUP($C1368,'INSUMO SINAPI - SP'!$C:$F,4,0)))))*$G1368,2)</f>
        <v>35.549999999999997</v>
      </c>
      <c r="J1368" s="513"/>
      <c r="K1368" s="514">
        <f t="shared" ref="K1368:K1377" si="50">I1368+J1368</f>
        <v>35.549999999999997</v>
      </c>
      <c r="L1368" s="515" t="s">
        <v>12685</v>
      </c>
      <c r="M1368" s="471"/>
      <c r="N1368" s="516"/>
      <c r="Q1368" s="472"/>
      <c r="R1368" s="472"/>
      <c r="S1368" s="472"/>
      <c r="T1368" s="472"/>
      <c r="U1368" s="472"/>
      <c r="V1368" s="472"/>
      <c r="W1368" s="472"/>
      <c r="X1368" s="472"/>
      <c r="Y1368" s="472"/>
    </row>
    <row r="1369" spans="1:25" ht="24" x14ac:dyDescent="0.25">
      <c r="A1369" s="463"/>
      <c r="B1369" s="506"/>
      <c r="C1369" s="507" t="s">
        <v>13116</v>
      </c>
      <c r="D1369" s="508"/>
      <c r="E1369" s="509" t="str">
        <f>IF($C1369="",IFERROR(VLOOKUP($B1369,SERVIÇOS!$B:$G,2,0),IFERROR(VLOOKUP($B1369,$D:$K,2,0),"")),IFERROR(VLOOKUP($C1369,INSUMOS!$A:$D,2,0),IFERROR(VLOOKUP($C1369,COTAÇÕES!$B:$I,2,0),(VLOOKUP($C1369,'INSUMO SINAPI - SP'!$C:$F,2,0)))))</f>
        <v>TUBO DE COBRE CLASSE "A", DN = 3/4" (22 MM), PARA INSTALACOES DE MEDIA PRESSAO PARA GASES COMBUSTIVEIS E MEDICINAIS</v>
      </c>
      <c r="F1369" s="510" t="str">
        <f>IF($C1369="",IFERROR(VLOOKUP($B1369,SERVIÇOS!$B:$G,3,0),IFERROR(VLOOKUP($B1369,$D:$K,3,0),"")),IFERROR(VLOOKUP($C1369,INSUMOS!$A:$D,3,0),IFERROR(VLOOKUP($C1369,COTAÇÕES!$B:$I,3,0),(VLOOKUP($C1369,'INSUMO SINAPI - SP'!$C:$F,3,0)))))</f>
        <v>M</v>
      </c>
      <c r="G1369" s="511">
        <v>1</v>
      </c>
      <c r="H1369" s="512">
        <f>IF($C1369="",IFERROR(VLOOKUP($B1369,SERVIÇOS!$B:$G,6,0),IFERROR(VLOOKUP($B1369,$D:$K,8,0),"")),IFERROR(VLOOKUP($C1369,INSUMOS!$A:$D,4,0),IFERROR(VLOOKUP($C1369,COTAÇÕES!$B:$I,7,0),(VLOOKUP($C1369,'INSUMO SINAPI - SP'!$C:$F,4,0)))))</f>
        <v>81.77</v>
      </c>
      <c r="I1369" s="513">
        <f>TRUNC(IF($C1369="",IFERROR(VLOOKUP($B1369,SERVIÇOS!$B:$G,4,0),IFERROR(VLOOKUP($B1369,$D:$K,6,0),)),IFERROR(VLOOKUP($C1369,INSUMOS!$A:$D,4,0),IFERROR(VLOOKUP($C1369,COTAÇÕES!$B:$I,7,0),(VLOOKUP($C1369,'INSUMO SINAPI - SP'!$C:$F,4,0)))))*$G1369,2)</f>
        <v>81.77</v>
      </c>
      <c r="J1369" s="513"/>
      <c r="K1369" s="514">
        <f t="shared" si="50"/>
        <v>81.77</v>
      </c>
      <c r="L1369" s="515" t="s">
        <v>12685</v>
      </c>
      <c r="M1369" s="471"/>
      <c r="N1369" s="516"/>
      <c r="Q1369" s="472"/>
      <c r="R1369" s="472"/>
      <c r="S1369" s="472"/>
      <c r="T1369" s="472"/>
      <c r="U1369" s="472"/>
      <c r="V1369" s="472"/>
      <c r="W1369" s="472"/>
      <c r="X1369" s="472"/>
      <c r="Y1369" s="472"/>
    </row>
    <row r="1370" spans="1:25" ht="24" x14ac:dyDescent="0.25">
      <c r="A1370" s="463"/>
      <c r="B1370" s="506"/>
      <c r="C1370" s="507" t="s">
        <v>13118</v>
      </c>
      <c r="D1370" s="508"/>
      <c r="E1370" s="509" t="str">
        <f>IF($C1370="",IFERROR(VLOOKUP($B1370,SERVIÇOS!$B:$G,2,0),IFERROR(VLOOKUP($B1370,$D:$K,2,0),"")),IFERROR(VLOOKUP($C1370,INSUMOS!$A:$D,2,0),IFERROR(VLOOKUP($C1370,COTAÇÕES!$B:$I,2,0),(VLOOKUP($C1370,'INSUMO SINAPI - SP'!$C:$F,2,0)))))</f>
        <v>TUBO DE COBRE CLASSE "A", DN = 1" (28 MM), PARA INSTALACOES DE MEDIA PRESSAO PARA GASES COMBUSTIVEIS E MEDICINAIS</v>
      </c>
      <c r="F1370" s="510" t="str">
        <f>IF($C1370="",IFERROR(VLOOKUP($B1370,SERVIÇOS!$B:$G,3,0),IFERROR(VLOOKUP($B1370,$D:$K,3,0),"")),IFERROR(VLOOKUP($C1370,INSUMOS!$A:$D,3,0),IFERROR(VLOOKUP($C1370,COTAÇÕES!$B:$I,3,0),(VLOOKUP($C1370,'INSUMO SINAPI - SP'!$C:$F,3,0)))))</f>
        <v>M</v>
      </c>
      <c r="G1370" s="511">
        <v>1</v>
      </c>
      <c r="H1370" s="512">
        <f>IF($C1370="",IFERROR(VLOOKUP($B1370,SERVIÇOS!$B:$G,6,0),IFERROR(VLOOKUP($B1370,$D:$K,8,0),"")),IFERROR(VLOOKUP($C1370,INSUMOS!$A:$D,4,0),IFERROR(VLOOKUP($C1370,COTAÇÕES!$B:$I,7,0),(VLOOKUP($C1370,'INSUMO SINAPI - SP'!$C:$F,4,0)))))</f>
        <v>104.02</v>
      </c>
      <c r="I1370" s="513">
        <f>TRUNC(IF($C1370="",IFERROR(VLOOKUP($B1370,SERVIÇOS!$B:$G,4,0),IFERROR(VLOOKUP($B1370,$D:$K,6,0),)),IFERROR(VLOOKUP($C1370,INSUMOS!$A:$D,4,0),IFERROR(VLOOKUP($C1370,COTAÇÕES!$B:$I,7,0),(VLOOKUP($C1370,'INSUMO SINAPI - SP'!$C:$F,4,0)))))*$G1370,2)</f>
        <v>104.02</v>
      </c>
      <c r="J1370" s="513"/>
      <c r="K1370" s="514">
        <f t="shared" si="50"/>
        <v>104.02</v>
      </c>
      <c r="L1370" s="515" t="s">
        <v>12685</v>
      </c>
      <c r="M1370" s="471"/>
      <c r="N1370" s="516"/>
      <c r="Q1370" s="472"/>
      <c r="R1370" s="472"/>
      <c r="S1370" s="472"/>
      <c r="T1370" s="472"/>
      <c r="U1370" s="472"/>
      <c r="V1370" s="472"/>
      <c r="W1370" s="472"/>
      <c r="X1370" s="472"/>
      <c r="Y1370" s="472"/>
    </row>
    <row r="1371" spans="1:25" x14ac:dyDescent="0.25">
      <c r="A1371" s="463"/>
      <c r="B1371" s="506"/>
      <c r="C1371" s="507" t="s">
        <v>13315</v>
      </c>
      <c r="D1371" s="508"/>
      <c r="E1371" s="509" t="str">
        <f>IF($C1371="",IFERROR(VLOOKUP($B1371,SERVIÇOS!$B:$G,2,0),IFERROR(VLOOKUP($B1371,$D:$K,2,0),"")),IFERROR(VLOOKUP($C1371,INSUMOS!$A:$D,2,0),IFERROR(VLOOKUP($C1371,COTAÇÕES!$B:$I,2,0),(VLOOKUP($C1371,'INSUMO SINAPI - SP'!$C:$F,2,0)))))</f>
        <v>LUVA DE COBRE SEM ANEL DE SOLDA, BOLSA X BOLSA, 22 MM</v>
      </c>
      <c r="F1371" s="510" t="str">
        <f>IF($C1371="",IFERROR(VLOOKUP($B1371,SERVIÇOS!$B:$G,3,0),IFERROR(VLOOKUP($B1371,$D:$K,3,0),"")),IFERROR(VLOOKUP($C1371,INSUMOS!$A:$D,3,0),IFERROR(VLOOKUP($C1371,COTAÇÕES!$B:$I,3,0),(VLOOKUP($C1371,'INSUMO SINAPI - SP'!$C:$F,3,0)))))</f>
        <v>UN</v>
      </c>
      <c r="G1371" s="511">
        <v>6</v>
      </c>
      <c r="H1371" s="512">
        <f>IF($C1371="",IFERROR(VLOOKUP($B1371,SERVIÇOS!$B:$G,6,0),IFERROR(VLOOKUP($B1371,$D:$K,8,0),"")),IFERROR(VLOOKUP($C1371,INSUMOS!$A:$D,4,0),IFERROR(VLOOKUP($C1371,COTAÇÕES!$B:$I,7,0),(VLOOKUP($C1371,'INSUMO SINAPI - SP'!$C:$F,4,0)))))</f>
        <v>5.86</v>
      </c>
      <c r="I1371" s="513">
        <f>TRUNC(IF($C1371="",IFERROR(VLOOKUP($B1371,SERVIÇOS!$B:$G,4,0),IFERROR(VLOOKUP($B1371,$D:$K,6,0),)),IFERROR(VLOOKUP($C1371,INSUMOS!$A:$D,4,0),IFERROR(VLOOKUP($C1371,COTAÇÕES!$B:$I,7,0),(VLOOKUP($C1371,'INSUMO SINAPI - SP'!$C:$F,4,0)))))*$G1371,2)</f>
        <v>35.159999999999997</v>
      </c>
      <c r="J1371" s="513"/>
      <c r="K1371" s="514">
        <f t="shared" si="50"/>
        <v>35.159999999999997</v>
      </c>
      <c r="L1371" s="515" t="s">
        <v>12685</v>
      </c>
      <c r="M1371" s="471"/>
      <c r="N1371" s="516"/>
      <c r="Q1371" s="472"/>
      <c r="R1371" s="472"/>
      <c r="S1371" s="472"/>
      <c r="T1371" s="472"/>
      <c r="U1371" s="472"/>
      <c r="V1371" s="472"/>
      <c r="W1371" s="472"/>
      <c r="X1371" s="472"/>
      <c r="Y1371" s="472"/>
    </row>
    <row r="1372" spans="1:25" x14ac:dyDescent="0.25">
      <c r="A1372" s="463"/>
      <c r="B1372" s="506"/>
      <c r="C1372" s="507" t="s">
        <v>13316</v>
      </c>
      <c r="D1372" s="508"/>
      <c r="E1372" s="509" t="str">
        <f>IF($C1372="",IFERROR(VLOOKUP($B1372,SERVIÇOS!$B:$G,2,0),IFERROR(VLOOKUP($B1372,$D:$K,2,0),"")),IFERROR(VLOOKUP($C1372,INSUMOS!$A:$D,2,0),IFERROR(VLOOKUP($C1372,COTAÇÕES!$B:$I,2,0),(VLOOKUP($C1372,'INSUMO SINAPI - SP'!$C:$F,2,0)))))</f>
        <v>LUVA DE COBRE SEM ANEL DE SOLDA, BOLSA X BOLSA, 28 MM</v>
      </c>
      <c r="F1372" s="510" t="str">
        <f>IF($C1372="",IFERROR(VLOOKUP($B1372,SERVIÇOS!$B:$G,3,0),IFERROR(VLOOKUP($B1372,$D:$K,3,0),"")),IFERROR(VLOOKUP($C1372,INSUMOS!$A:$D,3,0),IFERROR(VLOOKUP($C1372,COTAÇÕES!$B:$I,3,0),(VLOOKUP($C1372,'INSUMO SINAPI - SP'!$C:$F,3,0)))))</f>
        <v>UN</v>
      </c>
      <c r="G1372" s="511">
        <v>6</v>
      </c>
      <c r="H1372" s="512">
        <f>IF($C1372="",IFERROR(VLOOKUP($B1372,SERVIÇOS!$B:$G,6,0),IFERROR(VLOOKUP($B1372,$D:$K,8,0),"")),IFERROR(VLOOKUP($C1372,INSUMOS!$A:$D,4,0),IFERROR(VLOOKUP($C1372,COTAÇÕES!$B:$I,7,0),(VLOOKUP($C1372,'INSUMO SINAPI - SP'!$C:$F,4,0)))))</f>
        <v>11.76</v>
      </c>
      <c r="I1372" s="513">
        <f>TRUNC(IF($C1372="",IFERROR(VLOOKUP($B1372,SERVIÇOS!$B:$G,4,0),IFERROR(VLOOKUP($B1372,$D:$K,6,0),)),IFERROR(VLOOKUP($C1372,INSUMOS!$A:$D,4,0),IFERROR(VLOOKUP($C1372,COTAÇÕES!$B:$I,7,0),(VLOOKUP($C1372,'INSUMO SINAPI - SP'!$C:$F,4,0)))))*$G1372,2)</f>
        <v>70.56</v>
      </c>
      <c r="J1372" s="513"/>
      <c r="K1372" s="514">
        <f t="shared" si="50"/>
        <v>70.56</v>
      </c>
      <c r="L1372" s="515" t="s">
        <v>12685</v>
      </c>
      <c r="M1372" s="471"/>
      <c r="N1372" s="516"/>
      <c r="Q1372" s="472"/>
      <c r="R1372" s="472"/>
      <c r="S1372" s="472"/>
      <c r="T1372" s="472"/>
      <c r="U1372" s="472"/>
      <c r="V1372" s="472"/>
      <c r="W1372" s="472"/>
      <c r="X1372" s="472"/>
      <c r="Y1372" s="472"/>
    </row>
    <row r="1373" spans="1:25" x14ac:dyDescent="0.25">
      <c r="A1373" s="463"/>
      <c r="B1373" s="506"/>
      <c r="C1373" s="507" t="s">
        <v>13317</v>
      </c>
      <c r="D1373" s="508"/>
      <c r="E1373" s="509" t="str">
        <f>IF($C1373="",IFERROR(VLOOKUP($B1373,SERVIÇOS!$B:$G,2,0),IFERROR(VLOOKUP($B1373,$D:$K,2,0),"")),IFERROR(VLOOKUP($C1373,INSUMOS!$A:$D,2,0),IFERROR(VLOOKUP($C1373,COTAÇÕES!$B:$I,2,0),(VLOOKUP($C1373,'INSUMO SINAPI - SP'!$C:$F,2,0)))))</f>
        <v>TE DE COBRE SEM ANEL DE SOLDA, BOLSA X BOLSA X BOLSA, 28 MM</v>
      </c>
      <c r="F1373" s="510" t="str">
        <f>IF($C1373="",IFERROR(VLOOKUP($B1373,SERVIÇOS!$B:$G,3,0),IFERROR(VLOOKUP($B1373,$D:$K,3,0),"")),IFERROR(VLOOKUP($C1373,INSUMOS!$A:$D,3,0),IFERROR(VLOOKUP($C1373,COTAÇÕES!$B:$I,3,0),(VLOOKUP($C1373,'INSUMO SINAPI - SP'!$C:$F,3,0)))))</f>
        <v>UN</v>
      </c>
      <c r="G1373" s="511">
        <v>2</v>
      </c>
      <c r="H1373" s="512">
        <f>IF($C1373="",IFERROR(VLOOKUP($B1373,SERVIÇOS!$B:$G,6,0),IFERROR(VLOOKUP($B1373,$D:$K,8,0),"")),IFERROR(VLOOKUP($C1373,INSUMOS!$A:$D,4,0),IFERROR(VLOOKUP($C1373,COTAÇÕES!$B:$I,7,0),(VLOOKUP($C1373,'INSUMO SINAPI - SP'!$C:$F,4,0)))))</f>
        <v>26.14</v>
      </c>
      <c r="I1373" s="513">
        <f>TRUNC(IF($C1373="",IFERROR(VLOOKUP($B1373,SERVIÇOS!$B:$G,4,0),IFERROR(VLOOKUP($B1373,$D:$K,6,0),)),IFERROR(VLOOKUP($C1373,INSUMOS!$A:$D,4,0),IFERROR(VLOOKUP($C1373,COTAÇÕES!$B:$I,7,0),(VLOOKUP($C1373,'INSUMO SINAPI - SP'!$C:$F,4,0)))))*$G1373,2)</f>
        <v>52.28</v>
      </c>
      <c r="J1373" s="513"/>
      <c r="K1373" s="514">
        <f t="shared" si="50"/>
        <v>52.28</v>
      </c>
      <c r="L1373" s="515" t="s">
        <v>12685</v>
      </c>
      <c r="M1373" s="471"/>
      <c r="N1373" s="516"/>
      <c r="Q1373" s="472"/>
      <c r="R1373" s="472"/>
      <c r="S1373" s="472"/>
      <c r="T1373" s="472"/>
      <c r="U1373" s="472"/>
      <c r="V1373" s="472"/>
      <c r="W1373" s="472"/>
      <c r="X1373" s="472"/>
      <c r="Y1373" s="472"/>
    </row>
    <row r="1374" spans="1:25" x14ac:dyDescent="0.25">
      <c r="A1374" s="463"/>
      <c r="B1374" s="506"/>
      <c r="C1374" s="507">
        <v>38383</v>
      </c>
      <c r="D1374" s="508"/>
      <c r="E1374" s="509" t="str">
        <f>IF($C1374="",IFERROR(VLOOKUP($B1374,SERVIÇOS!$B:$G,2,0),IFERROR(VLOOKUP($B1374,$D:$K,2,0),"")),IFERROR(VLOOKUP($C1374,INSUMOS!$A:$D,2,0),IFERROR(VLOOKUP($C1374,COTAÇÕES!$B:$I,2,0),(VLOOKUP($C1374,'INSUMO SINAPI - SP'!$C:$F,2,0)))))</f>
        <v>LIXA D'AGUA EM FOLHA, COR PRETA, GRAO 100</v>
      </c>
      <c r="F1374" s="510" t="str">
        <f>IF($C1374="",IFERROR(VLOOKUP($B1374,SERVIÇOS!$B:$G,3,0),IFERROR(VLOOKUP($B1374,$D:$K,3,0),"")),IFERROR(VLOOKUP($C1374,INSUMOS!$A:$D,3,0),IFERROR(VLOOKUP($C1374,COTAÇÕES!$B:$I,3,0),(VLOOKUP($C1374,'INSUMO SINAPI - SP'!$C:$F,3,0)))))</f>
        <v>UN</v>
      </c>
      <c r="G1374" s="511">
        <v>7.5600000000000001E-2</v>
      </c>
      <c r="H1374" s="512">
        <f>IF($C1374="",IFERROR(VLOOKUP($B1374,SERVIÇOS!$B:$G,6,0),IFERROR(VLOOKUP($B1374,$D:$K,8,0),"")),IFERROR(VLOOKUP($C1374,INSUMOS!$A:$D,4,0),IFERROR(VLOOKUP($C1374,COTAÇÕES!$B:$I,7,0),(VLOOKUP($C1374,'INSUMO SINAPI - SP'!$C:$F,4,0)))))</f>
        <v>1.99</v>
      </c>
      <c r="I1374" s="513">
        <f>TRUNC(IF($C1374="",IFERROR(VLOOKUP($B1374,SERVIÇOS!$B:$G,4,0),IFERROR(VLOOKUP($B1374,$D:$K,6,0),)),IFERROR(VLOOKUP($C1374,INSUMOS!$A:$D,4,0),IFERROR(VLOOKUP($C1374,COTAÇÕES!$B:$I,7,0),(VLOOKUP($C1374,'INSUMO SINAPI - SP'!$C:$F,4,0)))))*$G1374,2)</f>
        <v>0.15</v>
      </c>
      <c r="J1374" s="513">
        <f>TRUNC(IF($C1374="",IFERROR(VLOOKUP($B1374,SERVIÇOS!$B:$G,5,0),IFERROR(VLOOKUP($B1374,$D:$K,7,0),)),0)*$G1374,2)</f>
        <v>0</v>
      </c>
      <c r="K1374" s="514">
        <f t="shared" si="50"/>
        <v>0.15</v>
      </c>
      <c r="L1374" s="517"/>
      <c r="M1374" s="471"/>
      <c r="N1374" s="516"/>
      <c r="Q1374" s="472"/>
      <c r="R1374" s="472"/>
      <c r="S1374" s="472"/>
      <c r="T1374" s="472"/>
      <c r="U1374" s="472"/>
      <c r="V1374" s="472"/>
      <c r="W1374" s="472"/>
      <c r="X1374" s="472"/>
      <c r="Y1374" s="472"/>
    </row>
    <row r="1375" spans="1:25" x14ac:dyDescent="0.25">
      <c r="A1375" s="463"/>
      <c r="B1375" s="506"/>
      <c r="C1375" s="507" t="s">
        <v>13113</v>
      </c>
      <c r="D1375" s="508"/>
      <c r="E1375" s="509" t="str">
        <f>IF($C1375="",IFERROR(VLOOKUP($B1375,SERVIÇOS!$B:$G,2,0),IFERROR(VLOOKUP($B1375,$D:$K,2,0),"")),IFERROR(VLOOKUP($C1375,INSUMOS!$A:$D,2,0),IFERROR(VLOOKUP($C1375,COTAÇÕES!$B:$I,2,0),(VLOOKUP($C1375,'INSUMO SINAPI - SP'!$C:$F,2,0)))))</f>
        <v>PASTA PARA SOLDA DE TUBOS E CONEXOES DE COBRE (EMBALAGEM COM 250 G)</v>
      </c>
      <c r="F1375" s="510" t="str">
        <f>IF($C1375="",IFERROR(VLOOKUP($B1375,SERVIÇOS!$B:$G,3,0),IFERROR(VLOOKUP($B1375,$D:$K,3,0),"")),IFERROR(VLOOKUP($C1375,INSUMOS!$A:$D,3,0),IFERROR(VLOOKUP($C1375,COTAÇÕES!$B:$I,3,0),(VLOOKUP($C1375,'INSUMO SINAPI - SP'!$C:$F,3,0)))))</f>
        <v>UN</v>
      </c>
      <c r="G1375" s="511">
        <f>0.0125*12</f>
        <v>0.15000000000000002</v>
      </c>
      <c r="H1375" s="512">
        <f>IF($C1375="",IFERROR(VLOOKUP($B1375,SERVIÇOS!$B:$G,6,0),IFERROR(VLOOKUP($B1375,$D:$K,8,0),"")),IFERROR(VLOOKUP($C1375,INSUMOS!$A:$D,4,0),IFERROR(VLOOKUP($C1375,COTAÇÕES!$B:$I,7,0),(VLOOKUP($C1375,'INSUMO SINAPI - SP'!$C:$F,4,0)))))</f>
        <v>56.57</v>
      </c>
      <c r="I1375" s="513">
        <f>TRUNC(IF($C1375="",IFERROR(VLOOKUP($B1375,SERVIÇOS!$B:$G,4,0),IFERROR(VLOOKUP($B1375,$D:$K,6,0),)),IFERROR(VLOOKUP($C1375,INSUMOS!$A:$D,4,0),IFERROR(VLOOKUP($C1375,COTAÇÕES!$B:$I,7,0),(VLOOKUP($C1375,'INSUMO SINAPI - SP'!$C:$F,4,0)))))*$G1375,2)</f>
        <v>8.48</v>
      </c>
      <c r="J1375" s="513"/>
      <c r="K1375" s="514">
        <f t="shared" si="50"/>
        <v>8.48</v>
      </c>
      <c r="L1375" s="515" t="s">
        <v>12685</v>
      </c>
      <c r="M1375" s="471"/>
      <c r="N1375" s="516"/>
      <c r="Q1375" s="472"/>
      <c r="R1375" s="472"/>
      <c r="S1375" s="472"/>
      <c r="T1375" s="472"/>
      <c r="U1375" s="472"/>
      <c r="V1375" s="472"/>
      <c r="W1375" s="472"/>
      <c r="X1375" s="472"/>
      <c r="Y1375" s="472"/>
    </row>
    <row r="1376" spans="1:25" x14ac:dyDescent="0.25">
      <c r="A1376" s="463"/>
      <c r="B1376" s="506">
        <v>88248</v>
      </c>
      <c r="C1376" s="507"/>
      <c r="D1376" s="508"/>
      <c r="E1376" s="509" t="str">
        <f>IF($C1376="",IFERROR(VLOOKUP($B1376,SERVIÇOS!$B:$G,2,0),IFERROR(VLOOKUP($B1376,$D:$K,2,0),"")),IFERROR(VLOOKUP($C1376,INSUMOS!$A:$D,2,0),IFERROR(VLOOKUP($C1376,COTAÇÕES!$B:$I,2,0),(VLOOKUP($C1376,'INSUMO SINAPI - SP'!$C:$F,2,0)))))</f>
        <v>AUXILIAR DE ENCANADOR OU BOMBEIRO HIDRÁULICO COM ENCARGOS COMPLEMENTARES</v>
      </c>
      <c r="F1376" s="510" t="str">
        <f>IF($C1376="",IFERROR(VLOOKUP($B1376,SERVIÇOS!$B:$G,3,0),IFERROR(VLOOKUP($B1376,$D:$K,3,0),"")),IFERROR(VLOOKUP($C1376,INSUMOS!$A:$D,3,0),IFERROR(VLOOKUP($C1376,COTAÇÕES!$B:$I,3,0),(VLOOKUP($C1376,'INSUMO SINAPI - SP'!$C:$F,3,0)))))</f>
        <v>H</v>
      </c>
      <c r="G1376" s="511">
        <v>3</v>
      </c>
      <c r="H1376" s="512">
        <f>IF($C1376="",IFERROR(VLOOKUP($B1376,SERVIÇOS!$B:$G,6,0),IFERROR(VLOOKUP($B1376,$D:$K,8,0),"")),IFERROR(VLOOKUP($C1376,INSUMOS!$A:$D,4,0),IFERROR(VLOOKUP($C1376,COTAÇÕES!$B:$I,7,0),(VLOOKUP($C1376,'INSUMO SINAPI - SP'!$C:$F,4,0)))))</f>
        <v>29.72</v>
      </c>
      <c r="I1376" s="513">
        <f>TRUNC(IF($C1376="",IFERROR(VLOOKUP($B1376,SERVIÇOS!$B:$G,4,0),IFERROR(VLOOKUP($B1376,$D:$K,6,0),)),IFERROR(VLOOKUP($C1376,INSUMOS!$A:$D,4,0),IFERROR(VLOOKUP($C1376,COTAÇÕES!$B:$I,7,0),(VLOOKUP($C1376,'INSUMO SINAPI - SP'!$C:$F,4,0)))))*$G1376,2)</f>
        <v>25.92</v>
      </c>
      <c r="J1376" s="513">
        <f>TRUNC(IF($C1376="",IFERROR(VLOOKUP($B1376,SERVIÇOS!$B:$G,5,0),IFERROR(VLOOKUP($B1376,$D:$K,7,0),)),0)*$G1376,2)</f>
        <v>63.24</v>
      </c>
      <c r="K1376" s="514">
        <f t="shared" si="50"/>
        <v>89.16</v>
      </c>
      <c r="L1376" s="515"/>
      <c r="M1376" s="471"/>
      <c r="N1376" s="516"/>
      <c r="Q1376" s="472"/>
      <c r="R1376" s="472"/>
      <c r="S1376" s="472"/>
      <c r="T1376" s="472"/>
      <c r="U1376" s="472"/>
      <c r="V1376" s="472"/>
      <c r="W1376" s="472"/>
      <c r="X1376" s="472"/>
      <c r="Y1376" s="472"/>
    </row>
    <row r="1377" spans="1:25" x14ac:dyDescent="0.25">
      <c r="A1377" s="463"/>
      <c r="B1377" s="506">
        <v>88267</v>
      </c>
      <c r="C1377" s="507"/>
      <c r="D1377" s="508"/>
      <c r="E1377" s="509" t="str">
        <f>IF($C1377="",IFERROR(VLOOKUP($B1377,SERVIÇOS!$B:$G,2,0),IFERROR(VLOOKUP($B1377,$D:$K,2,0),"")),IFERROR(VLOOKUP($C1377,INSUMOS!$A:$D,2,0),IFERROR(VLOOKUP($C1377,COTAÇÕES!$B:$I,2,0),(VLOOKUP($C1377,'INSUMO SINAPI - SP'!$C:$F,2,0)))))</f>
        <v>ENCANADOR OU BOMBEIRO HIDRÁULICO COM ENCARGOS COMPLEMENTARES</v>
      </c>
      <c r="F1377" s="510" t="str">
        <f>IF($C1377="",IFERROR(VLOOKUP($B1377,SERVIÇOS!$B:$G,3,0),IFERROR(VLOOKUP($B1377,$D:$K,3,0),"")),IFERROR(VLOOKUP($C1377,INSUMOS!$A:$D,3,0),IFERROR(VLOOKUP($C1377,COTAÇÕES!$B:$I,3,0),(VLOOKUP($C1377,'INSUMO SINAPI - SP'!$C:$F,3,0)))))</f>
        <v>H</v>
      </c>
      <c r="G1377" s="511">
        <v>3</v>
      </c>
      <c r="H1377" s="512">
        <f>IF($C1377="",IFERROR(VLOOKUP($B1377,SERVIÇOS!$B:$G,6,0),IFERROR(VLOOKUP($B1377,$D:$K,8,0),"")),IFERROR(VLOOKUP($C1377,INSUMOS!$A:$D,4,0),IFERROR(VLOOKUP($C1377,COTAÇÕES!$B:$I,7,0),(VLOOKUP($C1377,'INSUMO SINAPI - SP'!$C:$F,4,0)))))</f>
        <v>36.17</v>
      </c>
      <c r="I1377" s="513">
        <f>TRUNC(IF($C1377="",IFERROR(VLOOKUP($B1377,SERVIÇOS!$B:$G,4,0),IFERROR(VLOOKUP($B1377,$D:$K,6,0),)),IFERROR(VLOOKUP($C1377,INSUMOS!$A:$D,4,0),IFERROR(VLOOKUP($C1377,COTAÇÕES!$B:$I,7,0),(VLOOKUP($C1377,'INSUMO SINAPI - SP'!$C:$F,4,0)))))*$G1377,2)</f>
        <v>25.92</v>
      </c>
      <c r="J1377" s="513">
        <f>TRUNC(IF($C1377="",IFERROR(VLOOKUP($B1377,SERVIÇOS!$B:$G,5,0),IFERROR(VLOOKUP($B1377,$D:$K,7,0),)),0)*$G1377,2)</f>
        <v>82.59</v>
      </c>
      <c r="K1377" s="514">
        <f t="shared" si="50"/>
        <v>108.51</v>
      </c>
      <c r="L1377" s="515"/>
      <c r="M1377" s="471"/>
      <c r="N1377" s="516"/>
      <c r="Q1377" s="472"/>
      <c r="R1377" s="472"/>
      <c r="S1377" s="472"/>
      <c r="T1377" s="472"/>
      <c r="U1377" s="472"/>
      <c r="V1377" s="472"/>
      <c r="W1377" s="472"/>
      <c r="X1377" s="472"/>
      <c r="Y1377" s="472"/>
    </row>
    <row r="1378" spans="1:25" x14ac:dyDescent="0.25">
      <c r="A1378" s="463"/>
      <c r="B1378" s="498"/>
      <c r="C1378" s="498"/>
      <c r="D1378" s="499" t="s">
        <v>12412</v>
      </c>
      <c r="E1378" s="500" t="s">
        <v>13318</v>
      </c>
      <c r="F1378" s="501" t="s">
        <v>580</v>
      </c>
      <c r="G1378" s="502"/>
      <c r="H1378" s="503"/>
      <c r="I1378" s="504">
        <f>ROUND(SUM(I1379:I1381),2)</f>
        <v>19076.02</v>
      </c>
      <c r="J1378" s="504">
        <f>ROUND(SUM(J1379:J1381),2)</f>
        <v>452.48</v>
      </c>
      <c r="K1378" s="504">
        <f>+J1378+I1378</f>
        <v>19528.5</v>
      </c>
      <c r="L1378" s="523" t="s">
        <v>13319</v>
      </c>
      <c r="M1378" s="471"/>
      <c r="N1378" s="505"/>
      <c r="Q1378" s="472"/>
      <c r="R1378" s="472"/>
      <c r="S1378" s="472"/>
      <c r="T1378" s="472"/>
      <c r="U1378" s="472"/>
      <c r="V1378" s="472"/>
      <c r="W1378" s="472"/>
      <c r="X1378" s="472"/>
      <c r="Y1378" s="472"/>
    </row>
    <row r="1379" spans="1:25" x14ac:dyDescent="0.25">
      <c r="A1379" s="463"/>
      <c r="B1379" s="506"/>
      <c r="C1379" s="507" t="s">
        <v>13320</v>
      </c>
      <c r="D1379" s="508"/>
      <c r="E1379" s="509" t="str">
        <f>IF($C1379="",IFERROR(VLOOKUP($B1379,SERVIÇOS!$B:$G,2,0),IFERROR(VLOOKUP($B1379,$D:$K,2,0),"")),IFERROR(VLOOKUP($C1379,INSUMOS!$A:$D,2,0),IFERROR(VLOOKUP($C1379,COTAÇÕES!$B:$I,2,0),(VLOOKUP($C1379,'INSUMO SINAPI - SP'!$C:$F,2,0)))))</f>
        <v>CONTROLE CENTRALIZADO - INTELLIGENT TOUCH MANAGER. REFERÊNCIA: DAIKIN DCM601A51</v>
      </c>
      <c r="F1379" s="510" t="str">
        <f>IF($C1379="",IFERROR(VLOOKUP($B1379,SERVIÇOS!$B:$G,3,0),IFERROR(VLOOKUP($B1379,$D:$K,3,0),"")),IFERROR(VLOOKUP($C1379,INSUMOS!$A:$D,3,0),IFERROR(VLOOKUP($C1379,COTAÇÕES!$B:$I,3,0),(VLOOKUP($C1379,'INSUMO SINAPI - SP'!$C:$F,3,0)))))</f>
        <v>UN</v>
      </c>
      <c r="G1379" s="511">
        <v>1</v>
      </c>
      <c r="H1379" s="512">
        <f>IF($C1379="",IFERROR(VLOOKUP($B1379,SERVIÇOS!$B:$G,6,0),IFERROR(VLOOKUP($B1379,$D:$K,8,0),"")),IFERROR(VLOOKUP($C1379,INSUMOS!$A:$D,4,0),IFERROR(VLOOKUP($C1379,COTAÇÕES!$B:$I,8,0),(VLOOKUP($C1379,'INSUMO SINAPI - SP'!$C:$F,4,0)))))</f>
        <v>18926.98</v>
      </c>
      <c r="I1379" s="513">
        <f>TRUNC(IF($C1379="",IFERROR(VLOOKUP($B1379,SERVIÇOS!$B:$G,4,0),IFERROR(VLOOKUP($B1379,$D:$K,6,0),)),IFERROR(VLOOKUP($C1379,INSUMOS!$A:$D,4,0),IFERROR(VLOOKUP($C1379,COTAÇÕES!$B:$I,8,0),(VLOOKUP($C1379,'INSUMO SINAPI - SP'!$C:$F,4,0)))))*$G1379,2)</f>
        <v>18926.98</v>
      </c>
      <c r="J1379" s="513"/>
      <c r="K1379" s="514">
        <f>I1379+J1379</f>
        <v>18926.98</v>
      </c>
      <c r="L1379" s="517" t="s">
        <v>12878</v>
      </c>
      <c r="M1379" s="471"/>
      <c r="N1379" s="516"/>
      <c r="Q1379" s="472"/>
      <c r="R1379" s="472"/>
      <c r="S1379" s="472"/>
      <c r="T1379" s="472"/>
      <c r="U1379" s="472"/>
      <c r="V1379" s="472"/>
      <c r="W1379" s="472"/>
      <c r="X1379" s="472"/>
      <c r="Y1379" s="472"/>
    </row>
    <row r="1380" spans="1:25" x14ac:dyDescent="0.25">
      <c r="A1380" s="463"/>
      <c r="B1380" s="506">
        <v>88266</v>
      </c>
      <c r="C1380" s="507"/>
      <c r="D1380" s="508"/>
      <c r="E1380" s="509" t="str">
        <f>IF($C1380="",IFERROR(VLOOKUP($B1380,SERVIÇOS!$B:$G,2,0),IFERROR(VLOOKUP($B1380,$D:$K,2,0),"")),IFERROR(VLOOKUP($C1380,INSUMOS!$A:$D,2,0),IFERROR(VLOOKUP($C1380,COTAÇÕES!$B:$I,2,0),(VLOOKUP($C1380,'INSUMO SINAPI - SP'!$C:$F,2,0)))))</f>
        <v>ELETROTÉCNICO COM ENCARGOS COMPLEMENTARES</v>
      </c>
      <c r="F1380" s="510" t="str">
        <f>IF($C1380="",IFERROR(VLOOKUP($B1380,SERVIÇOS!$B:$G,3,0),IFERROR(VLOOKUP($B1380,$D:$K,3,0),"")),IFERROR(VLOOKUP($C1380,INSUMOS!$A:$D,3,0),IFERROR(VLOOKUP($C1380,COTAÇÕES!$B:$I,3,0),(VLOOKUP($C1380,'INSUMO SINAPI - SP'!$C:$F,3,0)))))</f>
        <v>H</v>
      </c>
      <c r="G1380" s="511">
        <v>8</v>
      </c>
      <c r="H1380" s="512">
        <f>IF($C1380="",IFERROR(VLOOKUP($B1380,SERVIÇOS!$B:$G,6,0),IFERROR(VLOOKUP($B1380,$D:$K,8,0),"")),IFERROR(VLOOKUP($C1380,INSUMOS!$A:$D,4,0),IFERROR(VLOOKUP($C1380,COTAÇÕES!$B:$I,7,0),(VLOOKUP($C1380,'INSUMO SINAPI - SP'!$C:$F,4,0)))))</f>
        <v>44.39</v>
      </c>
      <c r="I1380" s="513">
        <f>TRUNC(IF($C1380="",IFERROR(VLOOKUP($B1380,SERVIÇOS!$B:$G,4,0),IFERROR(VLOOKUP($B1380,$D:$K,6,0),)),IFERROR(VLOOKUP($C1380,INSUMOS!$A:$D,4,0),IFERROR(VLOOKUP($C1380,COTAÇÕES!$B:$I,7,0),(VLOOKUP($C1380,'INSUMO SINAPI - SP'!$C:$F,4,0)))))*$G1380,2)</f>
        <v>74.48</v>
      </c>
      <c r="J1380" s="513">
        <f>TRUNC(IF($C1380="",IFERROR(VLOOKUP($B1380,SERVIÇOS!$B:$G,5,0),IFERROR(VLOOKUP($B1380,$D:$K,7,0),)),0)*$G1380,2)</f>
        <v>280.64</v>
      </c>
      <c r="K1380" s="514">
        <f>I1380+J1380</f>
        <v>355.12</v>
      </c>
      <c r="L1380" s="515"/>
      <c r="M1380" s="471"/>
      <c r="N1380" s="516"/>
      <c r="Q1380" s="472"/>
      <c r="R1380" s="472"/>
      <c r="S1380" s="472"/>
      <c r="T1380" s="472"/>
      <c r="U1380" s="472"/>
      <c r="V1380" s="472"/>
      <c r="W1380" s="472"/>
      <c r="X1380" s="472"/>
      <c r="Y1380" s="472"/>
    </row>
    <row r="1381" spans="1:25" x14ac:dyDescent="0.25">
      <c r="A1381" s="463"/>
      <c r="B1381" s="506">
        <v>88247</v>
      </c>
      <c r="C1381" s="507"/>
      <c r="D1381" s="508"/>
      <c r="E1381" s="509" t="str">
        <f>IF($C1381="",IFERROR(VLOOKUP($B1381,SERVIÇOS!$B:$G,2,0),IFERROR(VLOOKUP($B1381,$D:$K,2,0),"")),IFERROR(VLOOKUP($C1381,INSUMOS!$A:$D,2,0),IFERROR(VLOOKUP($C1381,COTAÇÕES!$B:$I,2,0),(VLOOKUP($C1381,'INSUMO SINAPI - SP'!$C:$F,2,0)))))</f>
        <v>AUXILIAR DE ELETRICISTA COM ENCARGOS COMPLEMENTARES</v>
      </c>
      <c r="F1381" s="510" t="str">
        <f>IF($C1381="",IFERROR(VLOOKUP($B1381,SERVIÇOS!$B:$G,3,0),IFERROR(VLOOKUP($B1381,$D:$K,3,0),"")),IFERROR(VLOOKUP($C1381,INSUMOS!$A:$D,3,0),IFERROR(VLOOKUP($C1381,COTAÇÕES!$B:$I,3,0),(VLOOKUP($C1381,'INSUMO SINAPI - SP'!$C:$F,3,0)))))</f>
        <v>H</v>
      </c>
      <c r="G1381" s="511">
        <v>8</v>
      </c>
      <c r="H1381" s="512">
        <f>IF($C1381="",IFERROR(VLOOKUP($B1381,SERVIÇOS!$B:$G,6,0),IFERROR(VLOOKUP($B1381,$D:$K,8,0),"")),IFERROR(VLOOKUP($C1381,INSUMOS!$A:$D,4,0),IFERROR(VLOOKUP($C1381,COTAÇÕES!$B:$I,7,0),(VLOOKUP($C1381,'INSUMO SINAPI - SP'!$C:$F,4,0)))))</f>
        <v>30.8</v>
      </c>
      <c r="I1381" s="513">
        <f>TRUNC(IF($C1381="",IFERROR(VLOOKUP($B1381,SERVIÇOS!$B:$G,4,0),IFERROR(VLOOKUP($B1381,$D:$K,6,0),)),IFERROR(VLOOKUP($C1381,INSUMOS!$A:$D,4,0),IFERROR(VLOOKUP($C1381,COTAÇÕES!$B:$I,7,0),(VLOOKUP($C1381,'INSUMO SINAPI - SP'!$C:$F,4,0)))))*$G1381,2)</f>
        <v>74.56</v>
      </c>
      <c r="J1381" s="513">
        <f>TRUNC(IF($C1381="",IFERROR(VLOOKUP($B1381,SERVIÇOS!$B:$G,5,0),IFERROR(VLOOKUP($B1381,$D:$K,7,0),)),0)*$G1381,2)</f>
        <v>171.84</v>
      </c>
      <c r="K1381" s="514">
        <f>I1381+J1381</f>
        <v>246.4</v>
      </c>
      <c r="L1381" s="515"/>
      <c r="M1381" s="471"/>
      <c r="N1381" s="516"/>
      <c r="Q1381" s="472"/>
      <c r="R1381" s="472"/>
      <c r="S1381" s="472"/>
      <c r="T1381" s="472"/>
      <c r="U1381" s="472"/>
      <c r="V1381" s="472"/>
      <c r="W1381" s="472"/>
      <c r="X1381" s="472"/>
      <c r="Y1381" s="472"/>
    </row>
    <row r="1382" spans="1:25" ht="36" x14ac:dyDescent="0.25">
      <c r="A1382" s="463"/>
      <c r="B1382" s="498"/>
      <c r="C1382" s="498"/>
      <c r="D1382" s="499" t="s">
        <v>12396</v>
      </c>
      <c r="E1382" s="500" t="s">
        <v>13321</v>
      </c>
      <c r="F1382" s="501" t="s">
        <v>580</v>
      </c>
      <c r="G1382" s="502"/>
      <c r="H1382" s="503"/>
      <c r="I1382" s="504">
        <f>SUM(I1383:I1387)</f>
        <v>130.88</v>
      </c>
      <c r="J1382" s="504">
        <f>SUM(J1383:J1387)</f>
        <v>8.74</v>
      </c>
      <c r="K1382" s="504">
        <f>+J1382+I1382</f>
        <v>139.62</v>
      </c>
      <c r="L1382" s="523" t="s">
        <v>12842</v>
      </c>
      <c r="M1382" s="471"/>
      <c r="N1382" s="505"/>
      <c r="Q1382" s="472"/>
      <c r="R1382" s="472"/>
      <c r="S1382" s="472"/>
      <c r="T1382" s="472"/>
      <c r="U1382" s="472"/>
      <c r="V1382" s="472"/>
      <c r="W1382" s="472"/>
      <c r="X1382" s="472"/>
      <c r="Y1382" s="472"/>
    </row>
    <row r="1383" spans="1:25" x14ac:dyDescent="0.25">
      <c r="A1383" s="463"/>
      <c r="B1383" s="506">
        <v>88267</v>
      </c>
      <c r="C1383" s="507"/>
      <c r="D1383" s="508"/>
      <c r="E1383" s="509" t="str">
        <f>IF($C1383="",IFERROR(VLOOKUP($B1383,SERVIÇOS!$B:$G,2,0),IFERROR(VLOOKUP($B1383,$D:$K,2,0),"")),IFERROR(VLOOKUP($C1383,INSUMOS!$A:$D,2,0),IFERROR(VLOOKUP($C1383,COTAÇÕES!$B:$I,2,0),(VLOOKUP($C1383,'INSUMO SINAPI - SP'!$C:$F,2,0)))))</f>
        <v>ENCANADOR OU BOMBEIRO HIDRÁULICO COM ENCARGOS COMPLEMENTARES</v>
      </c>
      <c r="F1383" s="510" t="str">
        <f>IF($C1383="",IFERROR(VLOOKUP($B1383,SERVIÇOS!$B:$G,3,0),IFERROR(VLOOKUP($B1383,$D:$K,3,0),"")),IFERROR(VLOOKUP($C1383,INSUMOS!$A:$D,3,0),IFERROR(VLOOKUP($C1383,COTAÇÕES!$B:$I,3,0),(VLOOKUP($C1383,'INSUMO SINAPI - SP'!$C:$F,3,0)))))</f>
        <v>H</v>
      </c>
      <c r="G1383" s="511">
        <v>0.18</v>
      </c>
      <c r="H1383" s="512">
        <f>IF($C1383="",IFERROR(VLOOKUP($B1383,SERVIÇOS!$B:$G,6,0),IFERROR(VLOOKUP($B1383,$D:$K,8,0),"")),IFERROR(VLOOKUP($C1383,INSUMOS!$A:$D,4,0),IFERROR(VLOOKUP($C1383,COTAÇÕES!$B:$I,7,0),(VLOOKUP($C1383,'INSUMO SINAPI - SP'!$C:$F,4,0)))))</f>
        <v>36.17</v>
      </c>
      <c r="I1383" s="513">
        <f>TRUNC(IF($C1383="",IFERROR(VLOOKUP($B1383,SERVIÇOS!$B:$G,4,0),IFERROR(VLOOKUP($B1383,$D:$K,6,0),)),IFERROR(VLOOKUP($C1383,INSUMOS!$A:$D,4,0),IFERROR(VLOOKUP($C1383,COTAÇÕES!$B:$I,7,0),(VLOOKUP($C1383,'INSUMO SINAPI - SP'!$C:$F,4,0)))))*$G1383,2)</f>
        <v>1.55</v>
      </c>
      <c r="J1383" s="513">
        <f>TRUNC(IF($C1383="",IFERROR(VLOOKUP($B1383,SERVIÇOS!$B:$G,5,0),IFERROR(VLOOKUP($B1383,$D:$K,7,0),)),0)*$G1383,2)</f>
        <v>4.95</v>
      </c>
      <c r="K1383" s="514">
        <f>I1383+J1383</f>
        <v>6.5</v>
      </c>
      <c r="L1383" s="515"/>
      <c r="M1383" s="471"/>
      <c r="N1383" s="516"/>
      <c r="Q1383" s="472"/>
      <c r="R1383" s="472"/>
      <c r="S1383" s="472"/>
      <c r="T1383" s="472"/>
      <c r="U1383" s="472"/>
      <c r="V1383" s="472"/>
      <c r="W1383" s="472"/>
      <c r="X1383" s="472"/>
      <c r="Y1383" s="472"/>
    </row>
    <row r="1384" spans="1:25" x14ac:dyDescent="0.25">
      <c r="A1384" s="463"/>
      <c r="B1384" s="506">
        <v>88248</v>
      </c>
      <c r="C1384" s="507"/>
      <c r="D1384" s="508"/>
      <c r="E1384" s="509" t="str">
        <f>IF($C1384="",IFERROR(VLOOKUP($B1384,SERVIÇOS!$B:$G,2,0),IFERROR(VLOOKUP($B1384,$D:$K,2,0),"")),IFERROR(VLOOKUP($C1384,INSUMOS!$A:$D,2,0),IFERROR(VLOOKUP($C1384,COTAÇÕES!$B:$I,2,0),(VLOOKUP($C1384,'INSUMO SINAPI - SP'!$C:$F,2,0)))))</f>
        <v>AUXILIAR DE ENCANADOR OU BOMBEIRO HIDRÁULICO COM ENCARGOS COMPLEMENTARES</v>
      </c>
      <c r="F1384" s="510" t="str">
        <f>IF($C1384="",IFERROR(VLOOKUP($B1384,SERVIÇOS!$B:$G,3,0),IFERROR(VLOOKUP($B1384,$D:$K,3,0),"")),IFERROR(VLOOKUP($C1384,INSUMOS!$A:$D,3,0),IFERROR(VLOOKUP($C1384,COTAÇÕES!$B:$I,3,0),(VLOOKUP($C1384,'INSUMO SINAPI - SP'!$C:$F,3,0)))))</f>
        <v>H</v>
      </c>
      <c r="G1384" s="511">
        <v>0.18</v>
      </c>
      <c r="H1384" s="512">
        <f>IF($C1384="",IFERROR(VLOOKUP($B1384,SERVIÇOS!$B:$G,6,0),IFERROR(VLOOKUP($B1384,$D:$K,8,0),"")),IFERROR(VLOOKUP($C1384,INSUMOS!$A:$D,4,0),IFERROR(VLOOKUP($C1384,COTAÇÕES!$B:$I,7,0),(VLOOKUP($C1384,'INSUMO SINAPI - SP'!$C:$F,4,0)))))</f>
        <v>29.72</v>
      </c>
      <c r="I1384" s="513">
        <f>TRUNC(IF($C1384="",IFERROR(VLOOKUP($B1384,SERVIÇOS!$B:$G,4,0),IFERROR(VLOOKUP($B1384,$D:$K,6,0),)),IFERROR(VLOOKUP($C1384,INSUMOS!$A:$D,4,0),IFERROR(VLOOKUP($C1384,COTAÇÕES!$B:$I,7,0),(VLOOKUP($C1384,'INSUMO SINAPI - SP'!$C:$F,4,0)))))*$G1384,2)</f>
        <v>1.55</v>
      </c>
      <c r="J1384" s="513">
        <f>TRUNC(IF($C1384="",IFERROR(VLOOKUP($B1384,SERVIÇOS!$B:$G,5,0),IFERROR(VLOOKUP($B1384,$D:$K,7,0),)),0)*$G1384,2)</f>
        <v>3.79</v>
      </c>
      <c r="K1384" s="514">
        <f>I1384+J1384</f>
        <v>5.34</v>
      </c>
      <c r="L1384" s="515"/>
      <c r="M1384" s="471"/>
      <c r="N1384" s="516"/>
      <c r="Q1384" s="472"/>
      <c r="R1384" s="472"/>
      <c r="S1384" s="472"/>
      <c r="T1384" s="472"/>
      <c r="U1384" s="472"/>
      <c r="V1384" s="472"/>
      <c r="W1384" s="472"/>
      <c r="X1384" s="472"/>
      <c r="Y1384" s="472"/>
    </row>
    <row r="1385" spans="1:25" x14ac:dyDescent="0.25">
      <c r="A1385" s="463"/>
      <c r="B1385" s="506"/>
      <c r="C1385" s="507">
        <v>13388</v>
      </c>
      <c r="D1385" s="508"/>
      <c r="E1385" s="509" t="str">
        <f>IF($C1385="",IFERROR(VLOOKUP($B1385,SERVIÇOS!$B:$G,2,0),IFERROR(VLOOKUP($B1385,$D:$K,2,0),"")),IFERROR(VLOOKUP($C1385,INSUMOS!$A:$D,2,0),IFERROR(VLOOKUP($C1385,COTAÇÕES!$B:$I,2,0),(VLOOKUP($C1385,'INSUMO SINAPI - SP'!$C:$F,2,0)))))</f>
        <v>SOLDA EM BARRA DE ESTANHO-CHUMBO 50/50</v>
      </c>
      <c r="F1385" s="510" t="str">
        <f>IF($C1385="",IFERROR(VLOOKUP($B1385,SERVIÇOS!$B:$G,3,0),IFERROR(VLOOKUP($B1385,$D:$K,3,0),"")),IFERROR(VLOOKUP($C1385,INSUMOS!$A:$D,3,0),IFERROR(VLOOKUP($C1385,COTAÇÕES!$B:$I,3,0),(VLOOKUP($C1385,'INSUMO SINAPI - SP'!$C:$F,3,0)))))</f>
        <v>KG</v>
      </c>
      <c r="G1385" s="511">
        <v>1E-3</v>
      </c>
      <c r="H1385" s="512">
        <f>IF($C1385="",IFERROR(VLOOKUP($B1385,SERVIÇOS!$B:$G,6,0),IFERROR(VLOOKUP($B1385,$D:$K,8,0),"")),IFERROR(VLOOKUP($C1385,INSUMOS!$A:$D,4,0),IFERROR(VLOOKUP($C1385,COTAÇÕES!$B:$I,7,0),(VLOOKUP($C1385,'INSUMO SINAPI - SP'!$C:$F,4,0)))))</f>
        <v>193</v>
      </c>
      <c r="I1385" s="513">
        <f>TRUNC(IF($C1385="",IFERROR(VLOOKUP($B1385,SERVIÇOS!$B:$G,4,0),IFERROR(VLOOKUP($B1385,$D:$K,6,0),)),IFERROR(VLOOKUP($C1385,INSUMOS!$A:$D,4,0),IFERROR(VLOOKUP($C1385,COTAÇÕES!$B:$I,7,0),(VLOOKUP($C1385,'INSUMO SINAPI - SP'!$C:$F,4,0)))))*$G1385,2)</f>
        <v>0.19</v>
      </c>
      <c r="J1385" s="513">
        <f>TRUNC(IF($C1385="",IFERROR(VLOOKUP($B1385,SERVIÇOS!$B:$G,5,0),IFERROR(VLOOKUP($B1385,$D:$K,7,0),)),0)*$G1385,2)</f>
        <v>0</v>
      </c>
      <c r="K1385" s="514">
        <f>I1385+J1385</f>
        <v>0.19</v>
      </c>
      <c r="L1385" s="517"/>
      <c r="M1385" s="471"/>
      <c r="N1385" s="516"/>
      <c r="Q1385" s="472"/>
      <c r="R1385" s="472"/>
      <c r="S1385" s="472"/>
      <c r="T1385" s="472"/>
      <c r="U1385" s="472"/>
      <c r="V1385" s="472"/>
      <c r="W1385" s="472"/>
      <c r="X1385" s="472"/>
      <c r="Y1385" s="472"/>
    </row>
    <row r="1386" spans="1:25" x14ac:dyDescent="0.25">
      <c r="A1386" s="463"/>
      <c r="B1386" s="506"/>
      <c r="C1386" s="507" t="s">
        <v>13113</v>
      </c>
      <c r="D1386" s="508"/>
      <c r="E1386" s="509" t="str">
        <f>IF($C1386="",IFERROR(VLOOKUP($B1386,SERVIÇOS!$B:$G,2,0),IFERROR(VLOOKUP($B1386,$D:$K,2,0),"")),IFERROR(VLOOKUP($C1386,INSUMOS!$A:$D,2,0),IFERROR(VLOOKUP($C1386,COTAÇÕES!$B:$I,2,0),(VLOOKUP($C1386,'INSUMO SINAPI - SP'!$C:$F,2,0)))))</f>
        <v>PASTA PARA SOLDA DE TUBOS E CONEXOES DE COBRE (EMBALAGEM COM 250 G)</v>
      </c>
      <c r="F1386" s="510" t="str">
        <f>IF($C1386="",IFERROR(VLOOKUP($B1386,SERVIÇOS!$B:$G,3,0),IFERROR(VLOOKUP($B1386,$D:$K,3,0),"")),IFERROR(VLOOKUP($C1386,INSUMOS!$A:$D,3,0),IFERROR(VLOOKUP($C1386,COTAÇÕES!$B:$I,3,0),(VLOOKUP($C1386,'INSUMO SINAPI - SP'!$C:$F,3,0)))))</f>
        <v>UN</v>
      </c>
      <c r="G1386" s="511">
        <v>1.6E-2</v>
      </c>
      <c r="H1386" s="512">
        <f>IF($C1386="",IFERROR(VLOOKUP($B1386,SERVIÇOS!$B:$G,6,0),IFERROR(VLOOKUP($B1386,$D:$K,8,0),"")),IFERROR(VLOOKUP($C1386,INSUMOS!$A:$D,4,0),IFERROR(VLOOKUP($C1386,COTAÇÕES!$B:$I,7,0),(VLOOKUP($C1386,'INSUMO SINAPI - SP'!$C:$F,4,0)))))</f>
        <v>56.57</v>
      </c>
      <c r="I1386" s="513">
        <f>TRUNC(IF($C1386="",IFERROR(VLOOKUP($B1386,SERVIÇOS!$B:$G,4,0),IFERROR(VLOOKUP($B1386,$D:$K,6,0),)),IFERROR(VLOOKUP($C1386,INSUMOS!$A:$D,4,0),IFERROR(VLOOKUP($C1386,COTAÇÕES!$B:$I,7,0),(VLOOKUP($C1386,'INSUMO SINAPI - SP'!$C:$F,4,0)))))*$G1386,2)</f>
        <v>0.9</v>
      </c>
      <c r="J1386" s="513"/>
      <c r="K1386" s="514">
        <f>I1386+J1386</f>
        <v>0.9</v>
      </c>
      <c r="L1386" s="515" t="s">
        <v>12685</v>
      </c>
      <c r="M1386" s="471"/>
      <c r="N1386" s="516"/>
      <c r="Q1386" s="472"/>
      <c r="R1386" s="472"/>
      <c r="S1386" s="472"/>
      <c r="T1386" s="472"/>
      <c r="U1386" s="472"/>
      <c r="V1386" s="472"/>
      <c r="W1386" s="472"/>
      <c r="X1386" s="472"/>
      <c r="Y1386" s="472"/>
    </row>
    <row r="1387" spans="1:25" ht="36" x14ac:dyDescent="0.25">
      <c r="A1387" s="463"/>
      <c r="B1387" s="506"/>
      <c r="C1387" s="507" t="s">
        <v>13322</v>
      </c>
      <c r="D1387" s="508"/>
      <c r="E1387" s="509" t="str">
        <f>IF($C1387="",IFERROR(VLOOKUP($B1387,SERVIÇOS!$B:$G,2,0),IFERROR(VLOOKUP($B1387,$D:$K,2,0),"")),IFERROR(VLOOKUP($C1387,INSUMOS!$A:$D,2,0),IFERROR(VLOOKUP($C1387,COTAÇÕES!$B:$I,2,0),(VLOOKUP($C1387,'INSUMO SINAPI - SP'!$C:$F,2,0)))))</f>
        <v>VÁLVULA DE ESFERA Ø1/4" PARA TUBULAÇÃO DE COBRE EM REDES FRIGORÍGENAS COM CORPO E ACENTO DE ESTRUTURA SOLDADA, TEMPERATURA DE TRABALHO DE -40°C A +120°C, PRESSÃO MÁXIMA 45 BAR. REFERÊNCIA: SANHUA SBV02-019, DANFOSS GBC OU EQUIVALENTE</v>
      </c>
      <c r="F1387" s="510" t="str">
        <f>IF($C1387="",IFERROR(VLOOKUP($B1387,SERVIÇOS!$B:$G,3,0),IFERROR(VLOOKUP($B1387,$D:$K,3,0),"")),IFERROR(VLOOKUP($C1387,INSUMOS!$A:$D,3,0),IFERROR(VLOOKUP($C1387,COTAÇÕES!$B:$I,3,0),(VLOOKUP($C1387,'INSUMO SINAPI - SP'!$C:$F,3,0)))))</f>
        <v>UN</v>
      </c>
      <c r="G1387" s="511">
        <v>1</v>
      </c>
      <c r="H1387" s="512">
        <f>IF($C1387="",IFERROR(VLOOKUP($B1387,SERVIÇOS!$B:$G,6,0),IFERROR(VLOOKUP($B1387,$D:$K,8,0),"")),IFERROR(VLOOKUP($C1387,INSUMOS!$A:$D,4,0),IFERROR(VLOOKUP($C1387,COTAÇÕES!$B:$I,8,0),(VLOOKUP($C1387,'INSUMO SINAPI - SP'!$C:$F,4,0)))))</f>
        <v>126.69</v>
      </c>
      <c r="I1387" s="513">
        <f>TRUNC(IF($C1387="",IFERROR(VLOOKUP($B1387,SERVIÇOS!$B:$G,4,0),IFERROR(VLOOKUP($B1387,$D:$K,6,0),)),IFERROR(VLOOKUP($C1387,INSUMOS!$A:$D,4,0),IFERROR(VLOOKUP($C1387,COTAÇÕES!$B:$I,8,0),(VLOOKUP($C1387,'INSUMO SINAPI - SP'!$C:$F,4,0)))))*$G1387,2)</f>
        <v>126.69</v>
      </c>
      <c r="J1387" s="513"/>
      <c r="K1387" s="514">
        <f>I1387+J1387</f>
        <v>126.69</v>
      </c>
      <c r="L1387" s="517" t="s">
        <v>12878</v>
      </c>
      <c r="M1387" s="471"/>
      <c r="N1387" s="516"/>
      <c r="Q1387" s="472"/>
      <c r="R1387" s="472"/>
      <c r="S1387" s="472"/>
      <c r="T1387" s="472"/>
      <c r="U1387" s="472"/>
      <c r="V1387" s="472"/>
      <c r="W1387" s="472"/>
      <c r="X1387" s="472"/>
      <c r="Y1387" s="472"/>
    </row>
    <row r="1388" spans="1:25" ht="36" x14ac:dyDescent="0.25">
      <c r="A1388" s="463"/>
      <c r="B1388" s="498"/>
      <c r="C1388" s="498"/>
      <c r="D1388" s="499" t="s">
        <v>12397</v>
      </c>
      <c r="E1388" s="500" t="s">
        <v>13323</v>
      </c>
      <c r="F1388" s="501" t="s">
        <v>580</v>
      </c>
      <c r="G1388" s="502"/>
      <c r="H1388" s="503"/>
      <c r="I1388" s="504">
        <f>ROUND(SUM(I1389:I1393),2)</f>
        <v>147.16999999999999</v>
      </c>
      <c r="J1388" s="504">
        <f>ROUND(SUM(J1389:J1393),2)</f>
        <v>8.74</v>
      </c>
      <c r="K1388" s="504">
        <f>+J1388+I1388</f>
        <v>155.91</v>
      </c>
      <c r="L1388" s="523" t="s">
        <v>12842</v>
      </c>
      <c r="M1388" s="471"/>
      <c r="N1388" s="505"/>
      <c r="Q1388" s="472"/>
      <c r="R1388" s="472"/>
      <c r="S1388" s="472"/>
      <c r="T1388" s="472"/>
      <c r="U1388" s="472"/>
      <c r="V1388" s="472"/>
      <c r="W1388" s="472"/>
      <c r="X1388" s="472"/>
      <c r="Y1388" s="472"/>
    </row>
    <row r="1389" spans="1:25" x14ac:dyDescent="0.25">
      <c r="A1389" s="463"/>
      <c r="B1389" s="506">
        <v>88267</v>
      </c>
      <c r="C1389" s="507"/>
      <c r="D1389" s="508"/>
      <c r="E1389" s="509" t="str">
        <f>IF($C1389="",IFERROR(VLOOKUP($B1389,SERVIÇOS!$B:$G,2,0),IFERROR(VLOOKUP($B1389,$D:$K,2,0),"")),IFERROR(VLOOKUP($C1389,INSUMOS!$A:$D,2,0),IFERROR(VLOOKUP($C1389,COTAÇÕES!$B:$I,2,0),(VLOOKUP($C1389,'INSUMO SINAPI - SP'!$C:$F,2,0)))))</f>
        <v>ENCANADOR OU BOMBEIRO HIDRÁULICO COM ENCARGOS COMPLEMENTARES</v>
      </c>
      <c r="F1389" s="510" t="str">
        <f>IF($C1389="",IFERROR(VLOOKUP($B1389,SERVIÇOS!$B:$G,3,0),IFERROR(VLOOKUP($B1389,$D:$K,3,0),"")),IFERROR(VLOOKUP($C1389,INSUMOS!$A:$D,3,0),IFERROR(VLOOKUP($C1389,COTAÇÕES!$B:$I,3,0),(VLOOKUP($C1389,'INSUMO SINAPI - SP'!$C:$F,3,0)))))</f>
        <v>H</v>
      </c>
      <c r="G1389" s="511">
        <v>0.18</v>
      </c>
      <c r="H1389" s="512">
        <f>IF($C1389="",IFERROR(VLOOKUP($B1389,SERVIÇOS!$B:$G,6,0),IFERROR(VLOOKUP($B1389,$D:$K,8,0),"")),IFERROR(VLOOKUP($C1389,INSUMOS!$A:$D,4,0),IFERROR(VLOOKUP($C1389,COTAÇÕES!$B:$I,7,0),(VLOOKUP($C1389,'INSUMO SINAPI - SP'!$C:$F,4,0)))))</f>
        <v>36.17</v>
      </c>
      <c r="I1389" s="513">
        <f>TRUNC(IF($C1389="",IFERROR(VLOOKUP($B1389,SERVIÇOS!$B:$G,4,0),IFERROR(VLOOKUP($B1389,$D:$K,6,0),)),IFERROR(VLOOKUP($C1389,INSUMOS!$A:$D,4,0),IFERROR(VLOOKUP($C1389,COTAÇÕES!$B:$I,7,0),(VLOOKUP($C1389,'INSUMO SINAPI - SP'!$C:$F,4,0)))))*$G1389,2)</f>
        <v>1.55</v>
      </c>
      <c r="J1389" s="513">
        <f>TRUNC(IF($C1389="",IFERROR(VLOOKUP($B1389,SERVIÇOS!$B:$G,5,0),IFERROR(VLOOKUP($B1389,$D:$K,7,0),)),0)*$G1389,2)</f>
        <v>4.95</v>
      </c>
      <c r="K1389" s="514">
        <f>I1389+J1389</f>
        <v>6.5</v>
      </c>
      <c r="L1389" s="515"/>
      <c r="M1389" s="471"/>
      <c r="N1389" s="516"/>
      <c r="Q1389" s="472"/>
      <c r="R1389" s="472"/>
      <c r="S1389" s="472"/>
      <c r="T1389" s="472"/>
      <c r="U1389" s="472"/>
      <c r="V1389" s="472"/>
      <c r="W1389" s="472"/>
      <c r="X1389" s="472"/>
      <c r="Y1389" s="472"/>
    </row>
    <row r="1390" spans="1:25" x14ac:dyDescent="0.25">
      <c r="A1390" s="463"/>
      <c r="B1390" s="506">
        <v>88248</v>
      </c>
      <c r="C1390" s="507"/>
      <c r="D1390" s="508"/>
      <c r="E1390" s="509" t="str">
        <f>IF($C1390="",IFERROR(VLOOKUP($B1390,SERVIÇOS!$B:$G,2,0),IFERROR(VLOOKUP($B1390,$D:$K,2,0),"")),IFERROR(VLOOKUP($C1390,INSUMOS!$A:$D,2,0),IFERROR(VLOOKUP($C1390,COTAÇÕES!$B:$I,2,0),(VLOOKUP($C1390,'INSUMO SINAPI - SP'!$C:$F,2,0)))))</f>
        <v>AUXILIAR DE ENCANADOR OU BOMBEIRO HIDRÁULICO COM ENCARGOS COMPLEMENTARES</v>
      </c>
      <c r="F1390" s="510" t="str">
        <f>IF($C1390="",IFERROR(VLOOKUP($B1390,SERVIÇOS!$B:$G,3,0),IFERROR(VLOOKUP($B1390,$D:$K,3,0),"")),IFERROR(VLOOKUP($C1390,INSUMOS!$A:$D,3,0),IFERROR(VLOOKUP($C1390,COTAÇÕES!$B:$I,3,0),(VLOOKUP($C1390,'INSUMO SINAPI - SP'!$C:$F,3,0)))))</f>
        <v>H</v>
      </c>
      <c r="G1390" s="511">
        <v>0.18</v>
      </c>
      <c r="H1390" s="512">
        <f>IF($C1390="",IFERROR(VLOOKUP($B1390,SERVIÇOS!$B:$G,6,0),IFERROR(VLOOKUP($B1390,$D:$K,8,0),"")),IFERROR(VLOOKUP($C1390,INSUMOS!$A:$D,4,0),IFERROR(VLOOKUP($C1390,COTAÇÕES!$B:$I,7,0),(VLOOKUP($C1390,'INSUMO SINAPI - SP'!$C:$F,4,0)))))</f>
        <v>29.72</v>
      </c>
      <c r="I1390" s="513">
        <f>TRUNC(IF($C1390="",IFERROR(VLOOKUP($B1390,SERVIÇOS!$B:$G,4,0),IFERROR(VLOOKUP($B1390,$D:$K,6,0),)),IFERROR(VLOOKUP($C1390,INSUMOS!$A:$D,4,0),IFERROR(VLOOKUP($C1390,COTAÇÕES!$B:$I,7,0),(VLOOKUP($C1390,'INSUMO SINAPI - SP'!$C:$F,4,0)))))*$G1390,2)</f>
        <v>1.55</v>
      </c>
      <c r="J1390" s="513">
        <f>TRUNC(IF($C1390="",IFERROR(VLOOKUP($B1390,SERVIÇOS!$B:$G,5,0),IFERROR(VLOOKUP($B1390,$D:$K,7,0),)),0)*$G1390,2)</f>
        <v>3.79</v>
      </c>
      <c r="K1390" s="514">
        <f>I1390+J1390</f>
        <v>5.34</v>
      </c>
      <c r="L1390" s="515"/>
      <c r="M1390" s="471"/>
      <c r="N1390" s="516"/>
      <c r="Q1390" s="472"/>
      <c r="R1390" s="472"/>
      <c r="S1390" s="472"/>
      <c r="T1390" s="472"/>
      <c r="U1390" s="472"/>
      <c r="V1390" s="472"/>
      <c r="W1390" s="472"/>
      <c r="X1390" s="472"/>
      <c r="Y1390" s="472"/>
    </row>
    <row r="1391" spans="1:25" x14ac:dyDescent="0.25">
      <c r="A1391" s="463"/>
      <c r="B1391" s="506"/>
      <c r="C1391" s="507">
        <v>13388</v>
      </c>
      <c r="D1391" s="508"/>
      <c r="E1391" s="509" t="str">
        <f>IF($C1391="",IFERROR(VLOOKUP($B1391,SERVIÇOS!$B:$G,2,0),IFERROR(VLOOKUP($B1391,$D:$K,2,0),"")),IFERROR(VLOOKUP($C1391,INSUMOS!$A:$D,2,0),IFERROR(VLOOKUP($C1391,COTAÇÕES!$B:$I,2,0),(VLOOKUP($C1391,'INSUMO SINAPI - SP'!$C:$F,2,0)))))</f>
        <v>SOLDA EM BARRA DE ESTANHO-CHUMBO 50/50</v>
      </c>
      <c r="F1391" s="510" t="str">
        <f>IF($C1391="",IFERROR(VLOOKUP($B1391,SERVIÇOS!$B:$G,3,0),IFERROR(VLOOKUP($B1391,$D:$K,3,0),"")),IFERROR(VLOOKUP($C1391,INSUMOS!$A:$D,3,0),IFERROR(VLOOKUP($C1391,COTAÇÕES!$B:$I,3,0),(VLOOKUP($C1391,'INSUMO SINAPI - SP'!$C:$F,3,0)))))</f>
        <v>KG</v>
      </c>
      <c r="G1391" s="511">
        <v>1E-3</v>
      </c>
      <c r="H1391" s="512">
        <f>IF($C1391="",IFERROR(VLOOKUP($B1391,SERVIÇOS!$B:$G,6,0),IFERROR(VLOOKUP($B1391,$D:$K,8,0),"")),IFERROR(VLOOKUP($C1391,INSUMOS!$A:$D,4,0),IFERROR(VLOOKUP($C1391,COTAÇÕES!$B:$I,7,0),(VLOOKUP($C1391,'INSUMO SINAPI - SP'!$C:$F,4,0)))))</f>
        <v>193</v>
      </c>
      <c r="I1391" s="513">
        <f>TRUNC(IF($C1391="",IFERROR(VLOOKUP($B1391,SERVIÇOS!$B:$G,4,0),IFERROR(VLOOKUP($B1391,$D:$K,6,0),)),IFERROR(VLOOKUP($C1391,INSUMOS!$A:$D,4,0),IFERROR(VLOOKUP($C1391,COTAÇÕES!$B:$I,7,0),(VLOOKUP($C1391,'INSUMO SINAPI - SP'!$C:$F,4,0)))))*$G1391,2)</f>
        <v>0.19</v>
      </c>
      <c r="J1391" s="513">
        <f>TRUNC(IF($C1391="",IFERROR(VLOOKUP($B1391,SERVIÇOS!$B:$G,5,0),IFERROR(VLOOKUP($B1391,$D:$K,7,0),)),0)*$G1391,2)</f>
        <v>0</v>
      </c>
      <c r="K1391" s="514">
        <f>I1391+J1391</f>
        <v>0.19</v>
      </c>
      <c r="L1391" s="517"/>
      <c r="M1391" s="471"/>
      <c r="N1391" s="516"/>
      <c r="Q1391" s="472"/>
      <c r="R1391" s="472"/>
      <c r="S1391" s="472"/>
      <c r="T1391" s="472"/>
      <c r="U1391" s="472"/>
      <c r="V1391" s="472"/>
      <c r="W1391" s="472"/>
      <c r="X1391" s="472"/>
      <c r="Y1391" s="472"/>
    </row>
    <row r="1392" spans="1:25" x14ac:dyDescent="0.25">
      <c r="A1392" s="463"/>
      <c r="B1392" s="506"/>
      <c r="C1392" s="507" t="s">
        <v>13113</v>
      </c>
      <c r="D1392" s="508"/>
      <c r="E1392" s="509" t="str">
        <f>IF($C1392="",IFERROR(VLOOKUP($B1392,SERVIÇOS!$B:$G,2,0),IFERROR(VLOOKUP($B1392,$D:$K,2,0),"")),IFERROR(VLOOKUP($C1392,INSUMOS!$A:$D,2,0),IFERROR(VLOOKUP($C1392,COTAÇÕES!$B:$I,2,0),(VLOOKUP($C1392,'INSUMO SINAPI - SP'!$C:$F,2,0)))))</f>
        <v>PASTA PARA SOLDA DE TUBOS E CONEXOES DE COBRE (EMBALAGEM COM 250 G)</v>
      </c>
      <c r="F1392" s="510" t="str">
        <f>IF($C1392="",IFERROR(VLOOKUP($B1392,SERVIÇOS!$B:$G,3,0),IFERROR(VLOOKUP($B1392,$D:$K,3,0),"")),IFERROR(VLOOKUP($C1392,INSUMOS!$A:$D,3,0),IFERROR(VLOOKUP($C1392,COTAÇÕES!$B:$I,3,0),(VLOOKUP($C1392,'INSUMO SINAPI - SP'!$C:$F,3,0)))))</f>
        <v>UN</v>
      </c>
      <c r="G1392" s="511">
        <v>1.6E-2</v>
      </c>
      <c r="H1392" s="512">
        <f>IF($C1392="",IFERROR(VLOOKUP($B1392,SERVIÇOS!$B:$G,6,0),IFERROR(VLOOKUP($B1392,$D:$K,8,0),"")),IFERROR(VLOOKUP($C1392,INSUMOS!$A:$D,4,0),IFERROR(VLOOKUP($C1392,COTAÇÕES!$B:$I,7,0),(VLOOKUP($C1392,'INSUMO SINAPI - SP'!$C:$F,4,0)))))</f>
        <v>56.57</v>
      </c>
      <c r="I1392" s="513">
        <f>TRUNC(IF($C1392="",IFERROR(VLOOKUP($B1392,SERVIÇOS!$B:$G,4,0),IFERROR(VLOOKUP($B1392,$D:$K,6,0),)),IFERROR(VLOOKUP($C1392,INSUMOS!$A:$D,4,0),IFERROR(VLOOKUP($C1392,COTAÇÕES!$B:$I,7,0),(VLOOKUP($C1392,'INSUMO SINAPI - SP'!$C:$F,4,0)))))*$G1392,2)</f>
        <v>0.9</v>
      </c>
      <c r="J1392" s="513"/>
      <c r="K1392" s="514">
        <f>I1392+J1392</f>
        <v>0.9</v>
      </c>
      <c r="L1392" s="515" t="s">
        <v>12685</v>
      </c>
      <c r="M1392" s="471"/>
      <c r="N1392" s="516"/>
      <c r="Q1392" s="472"/>
      <c r="R1392" s="472"/>
      <c r="S1392" s="472"/>
      <c r="T1392" s="472"/>
      <c r="U1392" s="472"/>
      <c r="V1392" s="472"/>
      <c r="W1392" s="472"/>
      <c r="X1392" s="472"/>
      <c r="Y1392" s="472"/>
    </row>
    <row r="1393" spans="1:25" ht="36" x14ac:dyDescent="0.25">
      <c r="A1393" s="463"/>
      <c r="B1393" s="506"/>
      <c r="C1393" s="507" t="s">
        <v>13324</v>
      </c>
      <c r="D1393" s="508"/>
      <c r="E1393" s="509" t="str">
        <f>IF($C1393="",IFERROR(VLOOKUP($B1393,SERVIÇOS!$B:$G,2,0),IFERROR(VLOOKUP($B1393,$D:$K,2,0),"")),IFERROR(VLOOKUP($C1393,INSUMOS!$A:$D,2,0),IFERROR(VLOOKUP($C1393,COTAÇÕES!$B:$I,2,0),(VLOOKUP($C1393,'INSUMO SINAPI - SP'!$C:$F,2,0)))))</f>
        <v>VÁLVULA DE ESFERA Ø3/8" PARA TUBULAÇÃO DE COBRE EM REDES FRIGORÍGENAS COM CORPO E ACENTO DE ESTRUTURA SOLDADA, TEMPERATURA DE TRABALHO DE -40°C A +120°C, PRESSÃO MÁXIMA 45 BAR. REFERÊNCIA: SANHUA SBV03-019, DANFOSS GBC OU EQUIVALENTE</v>
      </c>
      <c r="F1393" s="510" t="str">
        <f>IF($C1393="",IFERROR(VLOOKUP($B1393,SERVIÇOS!$B:$G,3,0),IFERROR(VLOOKUP($B1393,$D:$K,3,0),"")),IFERROR(VLOOKUP($C1393,INSUMOS!$A:$D,3,0),IFERROR(VLOOKUP($C1393,COTAÇÕES!$B:$I,3,0),(VLOOKUP($C1393,'INSUMO SINAPI - SP'!$C:$F,3,0)))))</f>
        <v>UN</v>
      </c>
      <c r="G1393" s="511">
        <v>1</v>
      </c>
      <c r="H1393" s="512">
        <f>IF($C1393="",IFERROR(VLOOKUP($B1393,SERVIÇOS!$B:$G,6,0),IFERROR(VLOOKUP($B1393,$D:$K,8,0),"")),IFERROR(VLOOKUP($C1393,INSUMOS!$A:$D,4,0),IFERROR(VLOOKUP($C1393,COTAÇÕES!$B:$I,8,0),(VLOOKUP($C1393,'INSUMO SINAPI - SP'!$C:$F,4,0)))))</f>
        <v>142.97999999999999</v>
      </c>
      <c r="I1393" s="513">
        <f>TRUNC(IF($C1393="",IFERROR(VLOOKUP($B1393,SERVIÇOS!$B:$G,4,0),IFERROR(VLOOKUP($B1393,$D:$K,6,0),)),IFERROR(VLOOKUP($C1393,INSUMOS!$A:$D,4,0),IFERROR(VLOOKUP($C1393,COTAÇÕES!$B:$I,8,0),(VLOOKUP($C1393,'INSUMO SINAPI - SP'!$C:$F,4,0)))))*$G1393,2)</f>
        <v>142.97999999999999</v>
      </c>
      <c r="J1393" s="513"/>
      <c r="K1393" s="514">
        <f>I1393+J1393</f>
        <v>142.97999999999999</v>
      </c>
      <c r="L1393" s="517" t="s">
        <v>12878</v>
      </c>
      <c r="M1393" s="471"/>
      <c r="N1393" s="516"/>
      <c r="Q1393" s="472"/>
      <c r="R1393" s="472"/>
      <c r="S1393" s="472"/>
      <c r="T1393" s="472"/>
      <c r="U1393" s="472"/>
      <c r="V1393" s="472"/>
      <c r="W1393" s="472"/>
      <c r="X1393" s="472"/>
      <c r="Y1393" s="472"/>
    </row>
    <row r="1394" spans="1:25" ht="36" x14ac:dyDescent="0.25">
      <c r="A1394" s="463"/>
      <c r="B1394" s="498"/>
      <c r="C1394" s="498"/>
      <c r="D1394" s="499" t="s">
        <v>12399</v>
      </c>
      <c r="E1394" s="500" t="s">
        <v>13325</v>
      </c>
      <c r="F1394" s="501" t="s">
        <v>580</v>
      </c>
      <c r="G1394" s="502"/>
      <c r="H1394" s="503"/>
      <c r="I1394" s="504">
        <f>ROUND(SUM(I1395:I1399),2)</f>
        <v>241.31</v>
      </c>
      <c r="J1394" s="504">
        <f>ROUND(SUM(J1395:J1399),2)</f>
        <v>8.74</v>
      </c>
      <c r="K1394" s="504">
        <f>+J1394+I1394</f>
        <v>250.05</v>
      </c>
      <c r="L1394" s="523" t="s">
        <v>12842</v>
      </c>
      <c r="M1394" s="471"/>
      <c r="N1394" s="505"/>
      <c r="Q1394" s="472"/>
      <c r="R1394" s="472"/>
      <c r="S1394" s="472"/>
      <c r="T1394" s="472"/>
      <c r="U1394" s="472"/>
      <c r="V1394" s="472"/>
      <c r="W1394" s="472"/>
      <c r="X1394" s="472"/>
      <c r="Y1394" s="472"/>
    </row>
    <row r="1395" spans="1:25" x14ac:dyDescent="0.25">
      <c r="A1395" s="463"/>
      <c r="B1395" s="506">
        <v>88267</v>
      </c>
      <c r="C1395" s="507"/>
      <c r="D1395" s="508"/>
      <c r="E1395" s="509" t="str">
        <f>IF($C1395="",IFERROR(VLOOKUP($B1395,SERVIÇOS!$B:$G,2,0),IFERROR(VLOOKUP($B1395,$D:$K,2,0),"")),IFERROR(VLOOKUP($C1395,INSUMOS!$A:$D,2,0),IFERROR(VLOOKUP($C1395,COTAÇÕES!$B:$I,2,0),(VLOOKUP($C1395,'INSUMO SINAPI - SP'!$C:$F,2,0)))))</f>
        <v>ENCANADOR OU BOMBEIRO HIDRÁULICO COM ENCARGOS COMPLEMENTARES</v>
      </c>
      <c r="F1395" s="510" t="str">
        <f>IF($C1395="",IFERROR(VLOOKUP($B1395,SERVIÇOS!$B:$G,3,0),IFERROR(VLOOKUP($B1395,$D:$K,3,0),"")),IFERROR(VLOOKUP($C1395,INSUMOS!$A:$D,3,0),IFERROR(VLOOKUP($C1395,COTAÇÕES!$B:$I,3,0),(VLOOKUP($C1395,'INSUMO SINAPI - SP'!$C:$F,3,0)))))</f>
        <v>H</v>
      </c>
      <c r="G1395" s="511">
        <v>0.18</v>
      </c>
      <c r="H1395" s="512">
        <f>IF($C1395="",IFERROR(VLOOKUP($B1395,SERVIÇOS!$B:$G,6,0),IFERROR(VLOOKUP($B1395,$D:$K,8,0),"")),IFERROR(VLOOKUP($C1395,INSUMOS!$A:$D,4,0),IFERROR(VLOOKUP($C1395,COTAÇÕES!$B:$I,7,0),(VLOOKUP($C1395,'INSUMO SINAPI - SP'!$C:$F,4,0)))))</f>
        <v>36.17</v>
      </c>
      <c r="I1395" s="513">
        <f>TRUNC(IF($C1395="",IFERROR(VLOOKUP($B1395,SERVIÇOS!$B:$G,4,0),IFERROR(VLOOKUP($B1395,$D:$K,6,0),)),IFERROR(VLOOKUP($C1395,INSUMOS!$A:$D,4,0),IFERROR(VLOOKUP($C1395,COTAÇÕES!$B:$I,7,0),(VLOOKUP($C1395,'INSUMO SINAPI - SP'!$C:$F,4,0)))))*$G1395,2)</f>
        <v>1.55</v>
      </c>
      <c r="J1395" s="513">
        <f>TRUNC(IF($C1395="",IFERROR(VLOOKUP($B1395,SERVIÇOS!$B:$G,5,0),IFERROR(VLOOKUP($B1395,$D:$K,7,0),)),0)*$G1395,2)</f>
        <v>4.95</v>
      </c>
      <c r="K1395" s="514">
        <f>I1395+J1395</f>
        <v>6.5</v>
      </c>
      <c r="L1395" s="515"/>
      <c r="M1395" s="471"/>
      <c r="N1395" s="516"/>
      <c r="Q1395" s="472"/>
      <c r="R1395" s="472"/>
      <c r="S1395" s="472"/>
      <c r="T1395" s="472"/>
      <c r="U1395" s="472"/>
      <c r="V1395" s="472"/>
      <c r="W1395" s="472"/>
      <c r="X1395" s="472"/>
      <c r="Y1395" s="472"/>
    </row>
    <row r="1396" spans="1:25" x14ac:dyDescent="0.25">
      <c r="A1396" s="463"/>
      <c r="B1396" s="506">
        <v>88248</v>
      </c>
      <c r="C1396" s="507"/>
      <c r="D1396" s="508"/>
      <c r="E1396" s="509" t="str">
        <f>IF($C1396="",IFERROR(VLOOKUP($B1396,SERVIÇOS!$B:$G,2,0),IFERROR(VLOOKUP($B1396,$D:$K,2,0),"")),IFERROR(VLOOKUP($C1396,INSUMOS!$A:$D,2,0),IFERROR(VLOOKUP($C1396,COTAÇÕES!$B:$I,2,0),(VLOOKUP($C1396,'INSUMO SINAPI - SP'!$C:$F,2,0)))))</f>
        <v>AUXILIAR DE ENCANADOR OU BOMBEIRO HIDRÁULICO COM ENCARGOS COMPLEMENTARES</v>
      </c>
      <c r="F1396" s="510" t="str">
        <f>IF($C1396="",IFERROR(VLOOKUP($B1396,SERVIÇOS!$B:$G,3,0),IFERROR(VLOOKUP($B1396,$D:$K,3,0),"")),IFERROR(VLOOKUP($C1396,INSUMOS!$A:$D,3,0),IFERROR(VLOOKUP($C1396,COTAÇÕES!$B:$I,3,0),(VLOOKUP($C1396,'INSUMO SINAPI - SP'!$C:$F,3,0)))))</f>
        <v>H</v>
      </c>
      <c r="G1396" s="511">
        <v>0.18</v>
      </c>
      <c r="H1396" s="512">
        <f>IF($C1396="",IFERROR(VLOOKUP($B1396,SERVIÇOS!$B:$G,6,0),IFERROR(VLOOKUP($B1396,$D:$K,8,0),"")),IFERROR(VLOOKUP($C1396,INSUMOS!$A:$D,4,0),IFERROR(VLOOKUP($C1396,COTAÇÕES!$B:$I,7,0),(VLOOKUP($C1396,'INSUMO SINAPI - SP'!$C:$F,4,0)))))</f>
        <v>29.72</v>
      </c>
      <c r="I1396" s="513">
        <f>TRUNC(IF($C1396="",IFERROR(VLOOKUP($B1396,SERVIÇOS!$B:$G,4,0),IFERROR(VLOOKUP($B1396,$D:$K,6,0),)),IFERROR(VLOOKUP($C1396,INSUMOS!$A:$D,4,0),IFERROR(VLOOKUP($C1396,COTAÇÕES!$B:$I,7,0),(VLOOKUP($C1396,'INSUMO SINAPI - SP'!$C:$F,4,0)))))*$G1396,2)</f>
        <v>1.55</v>
      </c>
      <c r="J1396" s="513">
        <f>TRUNC(IF($C1396="",IFERROR(VLOOKUP($B1396,SERVIÇOS!$B:$G,5,0),IFERROR(VLOOKUP($B1396,$D:$K,7,0),)),0)*$G1396,2)</f>
        <v>3.79</v>
      </c>
      <c r="K1396" s="514">
        <f>I1396+J1396</f>
        <v>5.34</v>
      </c>
      <c r="L1396" s="515"/>
      <c r="M1396" s="471"/>
      <c r="N1396" s="516"/>
      <c r="Q1396" s="472"/>
      <c r="R1396" s="472"/>
      <c r="S1396" s="472"/>
      <c r="T1396" s="472"/>
      <c r="U1396" s="472"/>
      <c r="V1396" s="472"/>
      <c r="W1396" s="472"/>
      <c r="X1396" s="472"/>
      <c r="Y1396" s="472"/>
    </row>
    <row r="1397" spans="1:25" x14ac:dyDescent="0.25">
      <c r="A1397" s="463"/>
      <c r="B1397" s="506"/>
      <c r="C1397" s="507">
        <v>13388</v>
      </c>
      <c r="D1397" s="508"/>
      <c r="E1397" s="509" t="str">
        <f>IF($C1397="",IFERROR(VLOOKUP($B1397,SERVIÇOS!$B:$G,2,0),IFERROR(VLOOKUP($B1397,$D:$K,2,0),"")),IFERROR(VLOOKUP($C1397,INSUMOS!$A:$D,2,0),IFERROR(VLOOKUP($C1397,COTAÇÕES!$B:$I,2,0),(VLOOKUP($C1397,'INSUMO SINAPI - SP'!$C:$F,2,0)))))</f>
        <v>SOLDA EM BARRA DE ESTANHO-CHUMBO 50/50</v>
      </c>
      <c r="F1397" s="510" t="str">
        <f>IF($C1397="",IFERROR(VLOOKUP($B1397,SERVIÇOS!$B:$G,3,0),IFERROR(VLOOKUP($B1397,$D:$K,3,0),"")),IFERROR(VLOOKUP($C1397,INSUMOS!$A:$D,3,0),IFERROR(VLOOKUP($C1397,COTAÇÕES!$B:$I,3,0),(VLOOKUP($C1397,'INSUMO SINAPI - SP'!$C:$F,3,0)))))</f>
        <v>KG</v>
      </c>
      <c r="G1397" s="511">
        <v>1E-3</v>
      </c>
      <c r="H1397" s="512">
        <f>IF($C1397="",IFERROR(VLOOKUP($B1397,SERVIÇOS!$B:$G,6,0),IFERROR(VLOOKUP($B1397,$D:$K,8,0),"")),IFERROR(VLOOKUP($C1397,INSUMOS!$A:$D,4,0),IFERROR(VLOOKUP($C1397,COTAÇÕES!$B:$I,7,0),(VLOOKUP($C1397,'INSUMO SINAPI - SP'!$C:$F,4,0)))))</f>
        <v>193</v>
      </c>
      <c r="I1397" s="513">
        <f>TRUNC(IF($C1397="",IFERROR(VLOOKUP($B1397,SERVIÇOS!$B:$G,4,0),IFERROR(VLOOKUP($B1397,$D:$K,6,0),)),IFERROR(VLOOKUP($C1397,INSUMOS!$A:$D,4,0),IFERROR(VLOOKUP($C1397,COTAÇÕES!$B:$I,7,0),(VLOOKUP($C1397,'INSUMO SINAPI - SP'!$C:$F,4,0)))))*$G1397,2)</f>
        <v>0.19</v>
      </c>
      <c r="J1397" s="513">
        <f>TRUNC(IF($C1397="",IFERROR(VLOOKUP($B1397,SERVIÇOS!$B:$G,5,0),IFERROR(VLOOKUP($B1397,$D:$K,7,0),)),0)*$G1397,2)</f>
        <v>0</v>
      </c>
      <c r="K1397" s="514">
        <f>I1397+J1397</f>
        <v>0.19</v>
      </c>
      <c r="L1397" s="517"/>
      <c r="M1397" s="471"/>
      <c r="N1397" s="516"/>
      <c r="Q1397" s="472"/>
      <c r="R1397" s="472"/>
      <c r="S1397" s="472"/>
      <c r="T1397" s="472"/>
      <c r="U1397" s="472"/>
      <c r="V1397" s="472"/>
      <c r="W1397" s="472"/>
      <c r="X1397" s="472"/>
      <c r="Y1397" s="472"/>
    </row>
    <row r="1398" spans="1:25" x14ac:dyDescent="0.25">
      <c r="A1398" s="463"/>
      <c r="B1398" s="506"/>
      <c r="C1398" s="507" t="s">
        <v>13113</v>
      </c>
      <c r="D1398" s="508"/>
      <c r="E1398" s="509" t="str">
        <f>IF($C1398="",IFERROR(VLOOKUP($B1398,SERVIÇOS!$B:$G,2,0),IFERROR(VLOOKUP($B1398,$D:$K,2,0),"")),IFERROR(VLOOKUP($C1398,INSUMOS!$A:$D,2,0),IFERROR(VLOOKUP($C1398,COTAÇÕES!$B:$I,2,0),(VLOOKUP($C1398,'INSUMO SINAPI - SP'!$C:$F,2,0)))))</f>
        <v>PASTA PARA SOLDA DE TUBOS E CONEXOES DE COBRE (EMBALAGEM COM 250 G)</v>
      </c>
      <c r="F1398" s="510" t="str">
        <f>IF($C1398="",IFERROR(VLOOKUP($B1398,SERVIÇOS!$B:$G,3,0),IFERROR(VLOOKUP($B1398,$D:$K,3,0),"")),IFERROR(VLOOKUP($C1398,INSUMOS!$A:$D,3,0),IFERROR(VLOOKUP($C1398,COTAÇÕES!$B:$I,3,0),(VLOOKUP($C1398,'INSUMO SINAPI - SP'!$C:$F,3,0)))))</f>
        <v>UN</v>
      </c>
      <c r="G1398" s="511">
        <v>1.6E-2</v>
      </c>
      <c r="H1398" s="512">
        <f>IF($C1398="",IFERROR(VLOOKUP($B1398,SERVIÇOS!$B:$G,6,0),IFERROR(VLOOKUP($B1398,$D:$K,8,0),"")),IFERROR(VLOOKUP($C1398,INSUMOS!$A:$D,4,0),IFERROR(VLOOKUP($C1398,COTAÇÕES!$B:$I,7,0),(VLOOKUP($C1398,'INSUMO SINAPI - SP'!$C:$F,4,0)))))</f>
        <v>56.57</v>
      </c>
      <c r="I1398" s="513">
        <f>TRUNC(IF($C1398="",IFERROR(VLOOKUP($B1398,SERVIÇOS!$B:$G,4,0),IFERROR(VLOOKUP($B1398,$D:$K,6,0),)),IFERROR(VLOOKUP($C1398,INSUMOS!$A:$D,4,0),IFERROR(VLOOKUP($C1398,COTAÇÕES!$B:$I,7,0),(VLOOKUP($C1398,'INSUMO SINAPI - SP'!$C:$F,4,0)))))*$G1398,2)</f>
        <v>0.9</v>
      </c>
      <c r="J1398" s="513"/>
      <c r="K1398" s="514">
        <f>I1398+J1398</f>
        <v>0.9</v>
      </c>
      <c r="L1398" s="515" t="s">
        <v>12685</v>
      </c>
      <c r="M1398" s="471"/>
      <c r="N1398" s="516"/>
      <c r="Q1398" s="472"/>
      <c r="R1398" s="472"/>
      <c r="S1398" s="472"/>
      <c r="T1398" s="472"/>
      <c r="U1398" s="472"/>
      <c r="V1398" s="472"/>
      <c r="W1398" s="472"/>
      <c r="X1398" s="472"/>
      <c r="Y1398" s="472"/>
    </row>
    <row r="1399" spans="1:25" ht="36" x14ac:dyDescent="0.25">
      <c r="A1399" s="463"/>
      <c r="B1399" s="506"/>
      <c r="C1399" s="507" t="s">
        <v>13326</v>
      </c>
      <c r="D1399" s="508"/>
      <c r="E1399" s="509" t="str">
        <f>IF($C1399="",IFERROR(VLOOKUP($B1399,SERVIÇOS!$B:$G,2,0),IFERROR(VLOOKUP($B1399,$D:$K,2,0),"")),IFERROR(VLOOKUP($C1399,INSUMOS!$A:$D,2,0),IFERROR(VLOOKUP($C1399,COTAÇÕES!$B:$I,2,0),(VLOOKUP($C1399,'INSUMO SINAPI - SP'!$C:$F,2,0)))))</f>
        <v>VÁLVULA DE ESFERA Ø3/4" PARA TUBULAÇÃO DE COBRE EM REDES FRIGORÍGENAS COM CORPO E ACENTO DE ESTRUTURA SOLDADA, TEMPERATURA DE TRABALHO DE -40°C A +120°C, PRESSÃO MÁXIMA 45 BAR. REFERÊNCIA: SANHUA SBV(M)-A6YHSY-1-S, DANFOSS GBC OU EQUIVALENTE</v>
      </c>
      <c r="F1399" s="510" t="str">
        <f>IF($C1399="",IFERROR(VLOOKUP($B1399,SERVIÇOS!$B:$G,3,0),IFERROR(VLOOKUP($B1399,$D:$K,3,0),"")),IFERROR(VLOOKUP($C1399,INSUMOS!$A:$D,3,0),IFERROR(VLOOKUP($C1399,COTAÇÕES!$B:$I,3,0),(VLOOKUP($C1399,'INSUMO SINAPI - SP'!$C:$F,3,0)))))</f>
        <v xml:space="preserve">UN </v>
      </c>
      <c r="G1399" s="511">
        <v>1</v>
      </c>
      <c r="H1399" s="512">
        <f>IF($C1399="",IFERROR(VLOOKUP($B1399,SERVIÇOS!$B:$G,6,0),IFERROR(VLOOKUP($B1399,$D:$K,8,0),"")),IFERROR(VLOOKUP($C1399,INSUMOS!$A:$D,4,0),IFERROR(VLOOKUP($C1399,COTAÇÕES!$B:$I,8,0),(VLOOKUP($C1399,'INSUMO SINAPI - SP'!$C:$F,4,0)))))</f>
        <v>237.12</v>
      </c>
      <c r="I1399" s="513">
        <f>TRUNC(IF($C1399="",IFERROR(VLOOKUP($B1399,SERVIÇOS!$B:$G,4,0),IFERROR(VLOOKUP($B1399,$D:$K,6,0),)),IFERROR(VLOOKUP($C1399,INSUMOS!$A:$D,4,0),IFERROR(VLOOKUP($C1399,COTAÇÕES!$B:$I,8,0),(VLOOKUP($C1399,'INSUMO SINAPI - SP'!$C:$F,4,0)))))*$G1399,2)</f>
        <v>237.12</v>
      </c>
      <c r="J1399" s="513"/>
      <c r="K1399" s="514">
        <f>I1399+J1399</f>
        <v>237.12</v>
      </c>
      <c r="L1399" s="517" t="s">
        <v>12878</v>
      </c>
      <c r="M1399" s="471"/>
      <c r="N1399" s="516"/>
      <c r="Q1399" s="472"/>
      <c r="R1399" s="472"/>
      <c r="S1399" s="472"/>
      <c r="T1399" s="472"/>
      <c r="U1399" s="472"/>
      <c r="V1399" s="472"/>
      <c r="W1399" s="472"/>
      <c r="X1399" s="472"/>
      <c r="Y1399" s="472"/>
    </row>
    <row r="1400" spans="1:25" ht="36" x14ac:dyDescent="0.25">
      <c r="A1400" s="463"/>
      <c r="B1400" s="498"/>
      <c r="C1400" s="498"/>
      <c r="D1400" s="499" t="s">
        <v>12398</v>
      </c>
      <c r="E1400" s="500" t="s">
        <v>13327</v>
      </c>
      <c r="F1400" s="501" t="s">
        <v>580</v>
      </c>
      <c r="G1400" s="502"/>
      <c r="H1400" s="503"/>
      <c r="I1400" s="504">
        <f>SUM(I1401:I1405)</f>
        <v>241.31</v>
      </c>
      <c r="J1400" s="504">
        <f>SUM(J1401:J1405)</f>
        <v>8.74</v>
      </c>
      <c r="K1400" s="504">
        <f>+J1400+I1400</f>
        <v>250.05</v>
      </c>
      <c r="L1400" s="523" t="s">
        <v>12842</v>
      </c>
      <c r="M1400" s="471"/>
      <c r="N1400" s="505"/>
      <c r="Q1400" s="472"/>
      <c r="R1400" s="472"/>
      <c r="S1400" s="472"/>
      <c r="T1400" s="472"/>
      <c r="U1400" s="472"/>
      <c r="V1400" s="472"/>
      <c r="W1400" s="472"/>
      <c r="X1400" s="472"/>
      <c r="Y1400" s="472"/>
    </row>
    <row r="1401" spans="1:25" x14ac:dyDescent="0.25">
      <c r="A1401" s="463"/>
      <c r="B1401" s="506">
        <v>88267</v>
      </c>
      <c r="C1401" s="507"/>
      <c r="D1401" s="508"/>
      <c r="E1401" s="509" t="str">
        <f>IF($C1401="",IFERROR(VLOOKUP($B1401,SERVIÇOS!$B:$G,2,0),IFERROR(VLOOKUP($B1401,$D:$K,2,0),"")),IFERROR(VLOOKUP($C1401,INSUMOS!$A:$D,2,0),IFERROR(VLOOKUP($C1401,COTAÇÕES!$B:$I,2,0),(VLOOKUP($C1401,'INSUMO SINAPI - SP'!$C:$F,2,0)))))</f>
        <v>ENCANADOR OU BOMBEIRO HIDRÁULICO COM ENCARGOS COMPLEMENTARES</v>
      </c>
      <c r="F1401" s="510" t="str">
        <f>IF($C1401="",IFERROR(VLOOKUP($B1401,SERVIÇOS!$B:$G,3,0),IFERROR(VLOOKUP($B1401,$D:$K,3,0),"")),IFERROR(VLOOKUP($C1401,INSUMOS!$A:$D,3,0),IFERROR(VLOOKUP($C1401,COTAÇÕES!$B:$I,3,0),(VLOOKUP($C1401,'INSUMO SINAPI - SP'!$C:$F,3,0)))))</f>
        <v>H</v>
      </c>
      <c r="G1401" s="511">
        <v>0.18</v>
      </c>
      <c r="H1401" s="512">
        <f>IF($C1401="",IFERROR(VLOOKUP($B1401,SERVIÇOS!$B:$G,6,0),IFERROR(VLOOKUP($B1401,$D:$K,8,0),"")),IFERROR(VLOOKUP($C1401,INSUMOS!$A:$D,4,0),IFERROR(VLOOKUP($C1401,COTAÇÕES!$B:$I,7,0),(VLOOKUP($C1401,'INSUMO SINAPI - SP'!$C:$F,4,0)))))</f>
        <v>36.17</v>
      </c>
      <c r="I1401" s="513">
        <f>TRUNC(IF($C1401="",IFERROR(VLOOKUP($B1401,SERVIÇOS!$B:$G,4,0),IFERROR(VLOOKUP($B1401,$D:$K,6,0),)),IFERROR(VLOOKUP($C1401,INSUMOS!$A:$D,4,0),IFERROR(VLOOKUP($C1401,COTAÇÕES!$B:$I,7,0),(VLOOKUP($C1401,'INSUMO SINAPI - SP'!$C:$F,4,0)))))*$G1401,2)</f>
        <v>1.55</v>
      </c>
      <c r="J1401" s="513">
        <f>TRUNC(IF($C1401="",IFERROR(VLOOKUP($B1401,SERVIÇOS!$B:$G,5,0),IFERROR(VLOOKUP($B1401,$D:$K,7,0),)),0)*$G1401,2)</f>
        <v>4.95</v>
      </c>
      <c r="K1401" s="514">
        <f>I1401+J1401</f>
        <v>6.5</v>
      </c>
      <c r="L1401" s="515"/>
      <c r="M1401" s="471"/>
      <c r="N1401" s="516"/>
      <c r="Q1401" s="472"/>
      <c r="R1401" s="472"/>
      <c r="S1401" s="472"/>
      <c r="T1401" s="472"/>
      <c r="U1401" s="472"/>
      <c r="V1401" s="472"/>
      <c r="W1401" s="472"/>
      <c r="X1401" s="472"/>
      <c r="Y1401" s="472"/>
    </row>
    <row r="1402" spans="1:25" x14ac:dyDescent="0.25">
      <c r="A1402" s="463"/>
      <c r="B1402" s="506">
        <v>88248</v>
      </c>
      <c r="C1402" s="507"/>
      <c r="D1402" s="508"/>
      <c r="E1402" s="509" t="str">
        <f>IF($C1402="",IFERROR(VLOOKUP($B1402,SERVIÇOS!$B:$G,2,0),IFERROR(VLOOKUP($B1402,$D:$K,2,0),"")),IFERROR(VLOOKUP($C1402,INSUMOS!$A:$D,2,0),IFERROR(VLOOKUP($C1402,COTAÇÕES!$B:$I,2,0),(VLOOKUP($C1402,'INSUMO SINAPI - SP'!$C:$F,2,0)))))</f>
        <v>AUXILIAR DE ENCANADOR OU BOMBEIRO HIDRÁULICO COM ENCARGOS COMPLEMENTARES</v>
      </c>
      <c r="F1402" s="510" t="str">
        <f>IF($C1402="",IFERROR(VLOOKUP($B1402,SERVIÇOS!$B:$G,3,0),IFERROR(VLOOKUP($B1402,$D:$K,3,0),"")),IFERROR(VLOOKUP($C1402,INSUMOS!$A:$D,3,0),IFERROR(VLOOKUP($C1402,COTAÇÕES!$B:$I,3,0),(VLOOKUP($C1402,'INSUMO SINAPI - SP'!$C:$F,3,0)))))</f>
        <v>H</v>
      </c>
      <c r="G1402" s="511">
        <v>0.18</v>
      </c>
      <c r="H1402" s="512">
        <f>IF($C1402="",IFERROR(VLOOKUP($B1402,SERVIÇOS!$B:$G,6,0),IFERROR(VLOOKUP($B1402,$D:$K,8,0),"")),IFERROR(VLOOKUP($C1402,INSUMOS!$A:$D,4,0),IFERROR(VLOOKUP($C1402,COTAÇÕES!$B:$I,7,0),(VLOOKUP($C1402,'INSUMO SINAPI - SP'!$C:$F,4,0)))))</f>
        <v>29.72</v>
      </c>
      <c r="I1402" s="513">
        <f>TRUNC(IF($C1402="",IFERROR(VLOOKUP($B1402,SERVIÇOS!$B:$G,4,0),IFERROR(VLOOKUP($B1402,$D:$K,6,0),)),IFERROR(VLOOKUP($C1402,INSUMOS!$A:$D,4,0),IFERROR(VLOOKUP($C1402,COTAÇÕES!$B:$I,7,0),(VLOOKUP($C1402,'INSUMO SINAPI - SP'!$C:$F,4,0)))))*$G1402,2)</f>
        <v>1.55</v>
      </c>
      <c r="J1402" s="513">
        <f>TRUNC(IF($C1402="",IFERROR(VLOOKUP($B1402,SERVIÇOS!$B:$G,5,0),IFERROR(VLOOKUP($B1402,$D:$K,7,0),)),0)*$G1402,2)</f>
        <v>3.79</v>
      </c>
      <c r="K1402" s="514">
        <f>I1402+J1402</f>
        <v>5.34</v>
      </c>
      <c r="L1402" s="515"/>
      <c r="M1402" s="471"/>
      <c r="N1402" s="516"/>
      <c r="Q1402" s="472"/>
      <c r="R1402" s="472"/>
      <c r="S1402" s="472"/>
      <c r="T1402" s="472"/>
      <c r="U1402" s="472"/>
      <c r="V1402" s="472"/>
      <c r="W1402" s="472"/>
      <c r="X1402" s="472"/>
      <c r="Y1402" s="472"/>
    </row>
    <row r="1403" spans="1:25" x14ac:dyDescent="0.25">
      <c r="A1403" s="463"/>
      <c r="B1403" s="506"/>
      <c r="C1403" s="507">
        <v>13388</v>
      </c>
      <c r="D1403" s="508"/>
      <c r="E1403" s="509" t="str">
        <f>IF($C1403="",IFERROR(VLOOKUP($B1403,SERVIÇOS!$B:$G,2,0),IFERROR(VLOOKUP($B1403,$D:$K,2,0),"")),IFERROR(VLOOKUP($C1403,INSUMOS!$A:$D,2,0),IFERROR(VLOOKUP($C1403,COTAÇÕES!$B:$I,2,0),(VLOOKUP($C1403,'INSUMO SINAPI - SP'!$C:$F,2,0)))))</f>
        <v>SOLDA EM BARRA DE ESTANHO-CHUMBO 50/50</v>
      </c>
      <c r="F1403" s="510" t="str">
        <f>IF($C1403="",IFERROR(VLOOKUP($B1403,SERVIÇOS!$B:$G,3,0),IFERROR(VLOOKUP($B1403,$D:$K,3,0),"")),IFERROR(VLOOKUP($C1403,INSUMOS!$A:$D,3,0),IFERROR(VLOOKUP($C1403,COTAÇÕES!$B:$I,3,0),(VLOOKUP($C1403,'INSUMO SINAPI - SP'!$C:$F,3,0)))))</f>
        <v>KG</v>
      </c>
      <c r="G1403" s="511">
        <v>1E-3</v>
      </c>
      <c r="H1403" s="512">
        <f>IF($C1403="",IFERROR(VLOOKUP($B1403,SERVIÇOS!$B:$G,6,0),IFERROR(VLOOKUP($B1403,$D:$K,8,0),"")),IFERROR(VLOOKUP($C1403,INSUMOS!$A:$D,4,0),IFERROR(VLOOKUP($C1403,COTAÇÕES!$B:$I,7,0),(VLOOKUP($C1403,'INSUMO SINAPI - SP'!$C:$F,4,0)))))</f>
        <v>193</v>
      </c>
      <c r="I1403" s="513">
        <f>TRUNC(IF($C1403="",IFERROR(VLOOKUP($B1403,SERVIÇOS!$B:$G,4,0),IFERROR(VLOOKUP($B1403,$D:$K,6,0),)),IFERROR(VLOOKUP($C1403,INSUMOS!$A:$D,4,0),IFERROR(VLOOKUP($C1403,COTAÇÕES!$B:$I,7,0),(VLOOKUP($C1403,'INSUMO SINAPI - SP'!$C:$F,4,0)))))*$G1403,2)</f>
        <v>0.19</v>
      </c>
      <c r="J1403" s="513">
        <f>TRUNC(IF($C1403="",IFERROR(VLOOKUP($B1403,SERVIÇOS!$B:$G,5,0),IFERROR(VLOOKUP($B1403,$D:$K,7,0),)),0)*$G1403,2)</f>
        <v>0</v>
      </c>
      <c r="K1403" s="514">
        <f>I1403+J1403</f>
        <v>0.19</v>
      </c>
      <c r="L1403" s="517"/>
      <c r="M1403" s="471"/>
      <c r="N1403" s="516"/>
      <c r="Q1403" s="472"/>
      <c r="R1403" s="472"/>
      <c r="S1403" s="472"/>
      <c r="T1403" s="472"/>
      <c r="U1403" s="472"/>
      <c r="V1403" s="472"/>
      <c r="W1403" s="472"/>
      <c r="X1403" s="472"/>
      <c r="Y1403" s="472"/>
    </row>
    <row r="1404" spans="1:25" x14ac:dyDescent="0.25">
      <c r="A1404" s="463"/>
      <c r="B1404" s="506"/>
      <c r="C1404" s="507" t="s">
        <v>13113</v>
      </c>
      <c r="D1404" s="508"/>
      <c r="E1404" s="509" t="str">
        <f>IF($C1404="",IFERROR(VLOOKUP($B1404,SERVIÇOS!$B:$G,2,0),IFERROR(VLOOKUP($B1404,$D:$K,2,0),"")),IFERROR(VLOOKUP($C1404,INSUMOS!$A:$D,2,0),IFERROR(VLOOKUP($C1404,COTAÇÕES!$B:$I,2,0),(VLOOKUP($C1404,'INSUMO SINAPI - SP'!$C:$F,2,0)))))</f>
        <v>PASTA PARA SOLDA DE TUBOS E CONEXOES DE COBRE (EMBALAGEM COM 250 G)</v>
      </c>
      <c r="F1404" s="510" t="str">
        <f>IF($C1404="",IFERROR(VLOOKUP($B1404,SERVIÇOS!$B:$G,3,0),IFERROR(VLOOKUP($B1404,$D:$K,3,0),"")),IFERROR(VLOOKUP($C1404,INSUMOS!$A:$D,3,0),IFERROR(VLOOKUP($C1404,COTAÇÕES!$B:$I,3,0),(VLOOKUP($C1404,'INSUMO SINAPI - SP'!$C:$F,3,0)))))</f>
        <v>UN</v>
      </c>
      <c r="G1404" s="511">
        <v>1.6E-2</v>
      </c>
      <c r="H1404" s="512">
        <f>IF($C1404="",IFERROR(VLOOKUP($B1404,SERVIÇOS!$B:$G,6,0),IFERROR(VLOOKUP($B1404,$D:$K,8,0),"")),IFERROR(VLOOKUP($C1404,INSUMOS!$A:$D,4,0),IFERROR(VLOOKUP($C1404,COTAÇÕES!$B:$I,7,0),(VLOOKUP($C1404,'INSUMO SINAPI - SP'!$C:$F,4,0)))))</f>
        <v>56.57</v>
      </c>
      <c r="I1404" s="513">
        <f>TRUNC(IF($C1404="",IFERROR(VLOOKUP($B1404,SERVIÇOS!$B:$G,4,0),IFERROR(VLOOKUP($B1404,$D:$K,6,0),)),IFERROR(VLOOKUP($C1404,INSUMOS!$A:$D,4,0),IFERROR(VLOOKUP($C1404,COTAÇÕES!$B:$I,7,0),(VLOOKUP($C1404,'INSUMO SINAPI - SP'!$C:$F,4,0)))))*$G1404,2)</f>
        <v>0.9</v>
      </c>
      <c r="J1404" s="513"/>
      <c r="K1404" s="514">
        <f>I1404+J1404</f>
        <v>0.9</v>
      </c>
      <c r="L1404" s="515" t="s">
        <v>12685</v>
      </c>
      <c r="M1404" s="471"/>
      <c r="N1404" s="516"/>
      <c r="Q1404" s="472"/>
      <c r="R1404" s="472"/>
      <c r="S1404" s="472"/>
      <c r="T1404" s="472"/>
      <c r="U1404" s="472"/>
      <c r="V1404" s="472"/>
      <c r="W1404" s="472"/>
      <c r="X1404" s="472"/>
      <c r="Y1404" s="472"/>
    </row>
    <row r="1405" spans="1:25" ht="36" x14ac:dyDescent="0.25">
      <c r="A1405" s="463"/>
      <c r="B1405" s="506"/>
      <c r="C1405" s="507" t="s">
        <v>13326</v>
      </c>
      <c r="D1405" s="508"/>
      <c r="E1405" s="509" t="str">
        <f>IF($C1405="",IFERROR(VLOOKUP($B1405,SERVIÇOS!$B:$G,2,0),IFERROR(VLOOKUP($B1405,$D:$K,2,0),"")),IFERROR(VLOOKUP($C1405,INSUMOS!$A:$D,2,0),IFERROR(VLOOKUP($C1405,COTAÇÕES!$B:$I,2,0),(VLOOKUP($C1405,'INSUMO SINAPI - SP'!$C:$F,2,0)))))</f>
        <v>VÁLVULA DE ESFERA Ø3/4" PARA TUBULAÇÃO DE COBRE EM REDES FRIGORÍGENAS COM CORPO E ACENTO DE ESTRUTURA SOLDADA, TEMPERATURA DE TRABALHO DE -40°C A +120°C, PRESSÃO MÁXIMA 45 BAR. REFERÊNCIA: SANHUA SBV(M)-A6YHSY-1-S, DANFOSS GBC OU EQUIVALENTE</v>
      </c>
      <c r="F1405" s="510" t="str">
        <f>IF($C1405="",IFERROR(VLOOKUP($B1405,SERVIÇOS!$B:$G,3,0),IFERROR(VLOOKUP($B1405,$D:$K,3,0),"")),IFERROR(VLOOKUP($C1405,INSUMOS!$A:$D,3,0),IFERROR(VLOOKUP($C1405,COTAÇÕES!$B:$I,3,0),(VLOOKUP($C1405,'INSUMO SINAPI - SP'!$C:$F,3,0)))))</f>
        <v xml:space="preserve">UN </v>
      </c>
      <c r="G1405" s="511">
        <v>1</v>
      </c>
      <c r="H1405" s="512">
        <f>IF($C1405="",IFERROR(VLOOKUP($B1405,SERVIÇOS!$B:$G,6,0),IFERROR(VLOOKUP($B1405,$D:$K,8,0),"")),IFERROR(VLOOKUP($C1405,INSUMOS!$A:$D,4,0),IFERROR(VLOOKUP($C1405,COTAÇÕES!$B:$I,8,0),(VLOOKUP($C1405,'INSUMO SINAPI - SP'!$C:$F,4,0)))))</f>
        <v>237.12</v>
      </c>
      <c r="I1405" s="513">
        <f>TRUNC(IF($C1405="",IFERROR(VLOOKUP($B1405,SERVIÇOS!$B:$G,4,0),IFERROR(VLOOKUP($B1405,$D:$K,6,0),)),IFERROR(VLOOKUP($C1405,INSUMOS!$A:$D,4,0),IFERROR(VLOOKUP($C1405,COTAÇÕES!$B:$I,8,0),(VLOOKUP($C1405,'INSUMO SINAPI - SP'!$C:$F,4,0)))))*$G1405,2)</f>
        <v>237.12</v>
      </c>
      <c r="J1405" s="513"/>
      <c r="K1405" s="514">
        <f>I1405+J1405</f>
        <v>237.12</v>
      </c>
      <c r="L1405" s="517" t="s">
        <v>12878</v>
      </c>
      <c r="M1405" s="471"/>
      <c r="N1405" s="516"/>
      <c r="Q1405" s="472"/>
      <c r="R1405" s="472"/>
      <c r="S1405" s="472"/>
      <c r="T1405" s="472"/>
      <c r="U1405" s="472"/>
      <c r="V1405" s="472"/>
      <c r="W1405" s="472"/>
      <c r="X1405" s="472"/>
      <c r="Y1405" s="472"/>
    </row>
    <row r="1406" spans="1:25" x14ac:dyDescent="0.25">
      <c r="A1406" s="463"/>
      <c r="B1406" s="498"/>
      <c r="C1406" s="498"/>
      <c r="D1406" s="499" t="s">
        <v>12417</v>
      </c>
      <c r="E1406" s="500" t="s">
        <v>13328</v>
      </c>
      <c r="F1406" s="501" t="s">
        <v>580</v>
      </c>
      <c r="G1406" s="502"/>
      <c r="H1406" s="503"/>
      <c r="I1406" s="504">
        <f>SUM(I1407:I1409)</f>
        <v>59.08</v>
      </c>
      <c r="J1406" s="504">
        <f>SUM(J1407:J1409)</f>
        <v>4.8499999999999996</v>
      </c>
      <c r="K1406" s="504">
        <f>+J1406+I1406</f>
        <v>63.93</v>
      </c>
      <c r="L1406" s="523" t="s">
        <v>12842</v>
      </c>
      <c r="M1406" s="471"/>
      <c r="N1406" s="505"/>
      <c r="Q1406" s="472"/>
      <c r="R1406" s="472"/>
      <c r="S1406" s="472"/>
      <c r="T1406" s="472"/>
      <c r="U1406" s="472"/>
      <c r="V1406" s="472"/>
      <c r="W1406" s="472"/>
      <c r="X1406" s="472"/>
      <c r="Y1406" s="472"/>
    </row>
    <row r="1407" spans="1:25" x14ac:dyDescent="0.25">
      <c r="A1407" s="463"/>
      <c r="B1407" s="506">
        <v>88267</v>
      </c>
      <c r="C1407" s="507"/>
      <c r="D1407" s="508"/>
      <c r="E1407" s="509" t="str">
        <f>IF($C1407="",IFERROR(VLOOKUP($B1407,SERVIÇOS!$B:$G,2,0),IFERROR(VLOOKUP($B1407,$D:$K,2,0),"")),IFERROR(VLOOKUP($C1407,INSUMOS!$A:$D,2,0),IFERROR(VLOOKUP($C1407,COTAÇÕES!$B:$I,2,0),(VLOOKUP($C1407,'INSUMO SINAPI - SP'!$C:$F,2,0)))))</f>
        <v>ENCANADOR OU BOMBEIRO HIDRÁULICO COM ENCARGOS COMPLEMENTARES</v>
      </c>
      <c r="F1407" s="510" t="str">
        <f>IF($C1407="",IFERROR(VLOOKUP($B1407,SERVIÇOS!$B:$G,3,0),IFERROR(VLOOKUP($B1407,$D:$K,3,0),"")),IFERROR(VLOOKUP($C1407,INSUMOS!$A:$D,3,0),IFERROR(VLOOKUP($C1407,COTAÇÕES!$B:$I,3,0),(VLOOKUP($C1407,'INSUMO SINAPI - SP'!$C:$F,3,0)))))</f>
        <v>H</v>
      </c>
      <c r="G1407" s="511">
        <v>0.1</v>
      </c>
      <c r="H1407" s="512">
        <f>IF($C1407="",IFERROR(VLOOKUP($B1407,SERVIÇOS!$B:$G,6,0),IFERROR(VLOOKUP($B1407,$D:$K,8,0),"")),IFERROR(VLOOKUP($C1407,INSUMOS!$A:$D,4,0),IFERROR(VLOOKUP($C1407,COTAÇÕES!$B:$I,7,0),(VLOOKUP($C1407,'INSUMO SINAPI - SP'!$C:$F,4,0)))))</f>
        <v>36.17</v>
      </c>
      <c r="I1407" s="513">
        <f>TRUNC(IF($C1407="",IFERROR(VLOOKUP($B1407,SERVIÇOS!$B:$G,4,0),IFERROR(VLOOKUP($B1407,$D:$K,6,0),)),IFERROR(VLOOKUP($C1407,INSUMOS!$A:$D,4,0),IFERROR(VLOOKUP($C1407,COTAÇÕES!$B:$I,7,0),(VLOOKUP($C1407,'INSUMO SINAPI - SP'!$C:$F,4,0)))))*$G1407,2)</f>
        <v>0.86</v>
      </c>
      <c r="J1407" s="513">
        <f>TRUNC(IF($C1407="",IFERROR(VLOOKUP($B1407,SERVIÇOS!$B:$G,5,0),IFERROR(VLOOKUP($B1407,$D:$K,7,0),)),0)*$G1407,2)</f>
        <v>2.75</v>
      </c>
      <c r="K1407" s="514">
        <f>I1407+J1407</f>
        <v>3.61</v>
      </c>
      <c r="L1407" s="515"/>
      <c r="M1407" s="471"/>
      <c r="N1407" s="516"/>
      <c r="Q1407" s="472"/>
      <c r="R1407" s="472"/>
      <c r="S1407" s="472"/>
      <c r="T1407" s="472"/>
      <c r="U1407" s="472"/>
      <c r="V1407" s="472"/>
      <c r="W1407" s="472"/>
      <c r="X1407" s="472"/>
      <c r="Y1407" s="472"/>
    </row>
    <row r="1408" spans="1:25" x14ac:dyDescent="0.25">
      <c r="A1408" s="463"/>
      <c r="B1408" s="506">
        <v>88248</v>
      </c>
      <c r="C1408" s="507"/>
      <c r="D1408" s="508"/>
      <c r="E1408" s="509" t="str">
        <f>IF($C1408="",IFERROR(VLOOKUP($B1408,SERVIÇOS!$B:$G,2,0),IFERROR(VLOOKUP($B1408,$D:$K,2,0),"")),IFERROR(VLOOKUP($C1408,INSUMOS!$A:$D,2,0),IFERROR(VLOOKUP($C1408,COTAÇÕES!$B:$I,2,0),(VLOOKUP($C1408,'INSUMO SINAPI - SP'!$C:$F,2,0)))))</f>
        <v>AUXILIAR DE ENCANADOR OU BOMBEIRO HIDRÁULICO COM ENCARGOS COMPLEMENTARES</v>
      </c>
      <c r="F1408" s="510" t="str">
        <f>IF($C1408="",IFERROR(VLOOKUP($B1408,SERVIÇOS!$B:$G,3,0),IFERROR(VLOOKUP($B1408,$D:$K,3,0),"")),IFERROR(VLOOKUP($C1408,INSUMOS!$A:$D,3,0),IFERROR(VLOOKUP($C1408,COTAÇÕES!$B:$I,3,0),(VLOOKUP($C1408,'INSUMO SINAPI - SP'!$C:$F,3,0)))))</f>
        <v>H</v>
      </c>
      <c r="G1408" s="511">
        <v>0.1</v>
      </c>
      <c r="H1408" s="512">
        <f>IF($C1408="",IFERROR(VLOOKUP($B1408,SERVIÇOS!$B:$G,6,0),IFERROR(VLOOKUP($B1408,$D:$K,8,0),"")),IFERROR(VLOOKUP($C1408,INSUMOS!$A:$D,4,0),IFERROR(VLOOKUP($C1408,COTAÇÕES!$B:$I,7,0),(VLOOKUP($C1408,'INSUMO SINAPI - SP'!$C:$F,4,0)))))</f>
        <v>29.72</v>
      </c>
      <c r="I1408" s="513">
        <f>TRUNC(IF($C1408="",IFERROR(VLOOKUP($B1408,SERVIÇOS!$B:$G,4,0),IFERROR(VLOOKUP($B1408,$D:$K,6,0),)),IFERROR(VLOOKUP($C1408,INSUMOS!$A:$D,4,0),IFERROR(VLOOKUP($C1408,COTAÇÕES!$B:$I,7,0),(VLOOKUP($C1408,'INSUMO SINAPI - SP'!$C:$F,4,0)))))*$G1408,2)</f>
        <v>0.86</v>
      </c>
      <c r="J1408" s="513">
        <f>TRUNC(IF($C1408="",IFERROR(VLOOKUP($B1408,SERVIÇOS!$B:$G,5,0),IFERROR(VLOOKUP($B1408,$D:$K,7,0),)),0)*$G1408,2)</f>
        <v>2.1</v>
      </c>
      <c r="K1408" s="514">
        <f>I1408+J1408</f>
        <v>2.96</v>
      </c>
      <c r="L1408" s="515"/>
      <c r="M1408" s="471"/>
      <c r="N1408" s="516"/>
      <c r="Q1408" s="472"/>
      <c r="R1408" s="472"/>
      <c r="S1408" s="472"/>
      <c r="T1408" s="472"/>
      <c r="U1408" s="472"/>
      <c r="V1408" s="472"/>
      <c r="W1408" s="472"/>
      <c r="X1408" s="472"/>
      <c r="Y1408" s="472"/>
    </row>
    <row r="1409" spans="1:25" x14ac:dyDescent="0.25">
      <c r="A1409" s="463"/>
      <c r="B1409" s="506"/>
      <c r="C1409" s="507" t="s">
        <v>13329</v>
      </c>
      <c r="D1409" s="557"/>
      <c r="E1409" s="518" t="s">
        <v>13330</v>
      </c>
      <c r="F1409" s="519" t="s">
        <v>580</v>
      </c>
      <c r="G1409" s="511">
        <v>1</v>
      </c>
      <c r="H1409" s="520">
        <v>57.36</v>
      </c>
      <c r="I1409" s="520">
        <f>TRUNC(H1409*G1409,2)</f>
        <v>57.36</v>
      </c>
      <c r="J1409" s="521"/>
      <c r="K1409" s="522">
        <f>I1409+J1409</f>
        <v>57.36</v>
      </c>
      <c r="L1409" s="517" t="s">
        <v>12668</v>
      </c>
      <c r="M1409" s="471"/>
      <c r="N1409" s="516"/>
      <c r="Q1409" s="472"/>
      <c r="R1409" s="472"/>
      <c r="S1409" s="472"/>
      <c r="T1409" s="472"/>
      <c r="U1409" s="472"/>
      <c r="V1409" s="472"/>
      <c r="W1409" s="472"/>
      <c r="X1409" s="472"/>
      <c r="Y1409" s="472"/>
    </row>
    <row r="1410" spans="1:25" ht="264" x14ac:dyDescent="0.25">
      <c r="A1410" s="463"/>
      <c r="B1410" s="498"/>
      <c r="C1410" s="498"/>
      <c r="D1410" s="499" t="s">
        <v>12591</v>
      </c>
      <c r="E1410" s="500" t="s">
        <v>13331</v>
      </c>
      <c r="F1410" s="501" t="s">
        <v>580</v>
      </c>
      <c r="G1410" s="502"/>
      <c r="H1410" s="503"/>
      <c r="I1410" s="504">
        <f>SUM(I1411:I1413)</f>
        <v>4552.4800000000005</v>
      </c>
      <c r="J1410" s="504">
        <f>SUM(J1411:J1413)</f>
        <v>291.84000000000003</v>
      </c>
      <c r="K1410" s="504">
        <f>+J1410+I1410</f>
        <v>4844.3200000000006</v>
      </c>
      <c r="L1410" s="523" t="s">
        <v>12842</v>
      </c>
      <c r="M1410" s="471"/>
      <c r="N1410" s="505"/>
      <c r="Q1410" s="472"/>
      <c r="R1410" s="472"/>
      <c r="S1410" s="472"/>
      <c r="T1410" s="472"/>
      <c r="U1410" s="472"/>
      <c r="V1410" s="472"/>
      <c r="W1410" s="472"/>
      <c r="X1410" s="472"/>
      <c r="Y1410" s="472"/>
    </row>
    <row r="1411" spans="1:25" x14ac:dyDescent="0.25">
      <c r="A1411" s="463"/>
      <c r="B1411" s="506">
        <v>88243</v>
      </c>
      <c r="C1411" s="507"/>
      <c r="D1411" s="508"/>
      <c r="E1411" s="509" t="str">
        <f>IF($C1411="",IFERROR(VLOOKUP($B1411,SERVIÇOS!$B:$G,2,0),IFERROR(VLOOKUP($B1411,$D:$K,2,0),"")),IFERROR(VLOOKUP($C1411,INSUMOS!$A:$D,2,0),IFERROR(VLOOKUP($C1411,COTAÇÕES!$B:$I,2,0),(VLOOKUP($C1411,'INSUMO SINAPI - SP'!$C:$F,2,0)))))</f>
        <v>AJUDANTE ESPECIALIZADO COM ENCARGOS COMPLEMENTARES</v>
      </c>
      <c r="F1411" s="510" t="str">
        <f>IF($C1411="",IFERROR(VLOOKUP($B1411,SERVIÇOS!$B:$G,3,0),IFERROR(VLOOKUP($B1411,$D:$K,3,0),"")),IFERROR(VLOOKUP($C1411,INSUMOS!$A:$D,3,0),IFERROR(VLOOKUP($C1411,COTAÇÕES!$B:$I,3,0),(VLOOKUP($C1411,'INSUMO SINAPI - SP'!$C:$F,3,0)))))</f>
        <v>H</v>
      </c>
      <c r="G1411" s="511">
        <v>6</v>
      </c>
      <c r="H1411" s="512">
        <f>IF($C1411="",IFERROR(VLOOKUP($B1411,SERVIÇOS!$B:$G,6,0),IFERROR(VLOOKUP($B1411,$D:$K,8,0),"")),IFERROR(VLOOKUP($C1411,INSUMOS!$A:$D,4,0),IFERROR(VLOOKUP($C1411,COTAÇÕES!$B:$I,7,0),(VLOOKUP($C1411,'INSUMO SINAPI - SP'!$C:$F,4,0)))))</f>
        <v>29.78</v>
      </c>
      <c r="I1411" s="513">
        <f>TRUNC(IF($C1411="",IFERROR(VLOOKUP($B1411,SERVIÇOS!$B:$G,4,0),IFERROR(VLOOKUP($B1411,$D:$K,6,0),)),IFERROR(VLOOKUP($C1411,INSUMOS!$A:$D,4,0),IFERROR(VLOOKUP($C1411,COTAÇÕES!$B:$I,7,0),(VLOOKUP($C1411,'INSUMO SINAPI - SP'!$C:$F,4,0)))))*$G1411,2)</f>
        <v>55.2</v>
      </c>
      <c r="J1411" s="513">
        <f>TRUNC(IF($C1411="",IFERROR(VLOOKUP($B1411,SERVIÇOS!$B:$G,5,0),IFERROR(VLOOKUP($B1411,$D:$K,7,0),)),0)*$G1411,2)</f>
        <v>123.48</v>
      </c>
      <c r="K1411" s="514">
        <f>I1411+J1411</f>
        <v>178.68</v>
      </c>
      <c r="L1411" s="515"/>
      <c r="M1411" s="471"/>
      <c r="N1411" s="516"/>
      <c r="Q1411" s="472"/>
      <c r="R1411" s="472"/>
      <c r="S1411" s="472"/>
      <c r="T1411" s="472"/>
      <c r="U1411" s="472"/>
      <c r="V1411" s="472"/>
      <c r="W1411" s="472"/>
      <c r="X1411" s="472"/>
      <c r="Y1411" s="472"/>
    </row>
    <row r="1412" spans="1:25" x14ac:dyDescent="0.25">
      <c r="A1412" s="463"/>
      <c r="B1412" s="506">
        <v>88264</v>
      </c>
      <c r="C1412" s="507"/>
      <c r="D1412" s="508"/>
      <c r="E1412" s="509" t="str">
        <f>IF($C1412="",IFERROR(VLOOKUP($B1412,SERVIÇOS!$B:$G,2,0),IFERROR(VLOOKUP($B1412,$D:$K,2,0),"")),IFERROR(VLOOKUP($C1412,INSUMOS!$A:$D,2,0),IFERROR(VLOOKUP($C1412,COTAÇÕES!$B:$I,2,0),(VLOOKUP($C1412,'INSUMO SINAPI - SP'!$C:$F,2,0)))))</f>
        <v>ELETRICISTA COM ENCARGOS COMPLEMENTARES</v>
      </c>
      <c r="F1412" s="510" t="str">
        <f>IF($C1412="",IFERROR(VLOOKUP($B1412,SERVIÇOS!$B:$G,3,0),IFERROR(VLOOKUP($B1412,$D:$K,3,0),"")),IFERROR(VLOOKUP($C1412,INSUMOS!$A:$D,3,0),IFERROR(VLOOKUP($C1412,COTAÇÕES!$B:$I,3,0),(VLOOKUP($C1412,'INSUMO SINAPI - SP'!$C:$F,3,0)))))</f>
        <v>H</v>
      </c>
      <c r="G1412" s="511">
        <v>6</v>
      </c>
      <c r="H1412" s="512">
        <f>IF($C1412="",IFERROR(VLOOKUP($B1412,SERVIÇOS!$B:$G,6,0),IFERROR(VLOOKUP($B1412,$D:$K,8,0),"")),IFERROR(VLOOKUP($C1412,INSUMOS!$A:$D,4,0),IFERROR(VLOOKUP($C1412,COTAÇÕES!$B:$I,7,0),(VLOOKUP($C1412,'INSUMO SINAPI - SP'!$C:$F,4,0)))))</f>
        <v>37.369999999999997</v>
      </c>
      <c r="I1412" s="513">
        <f>TRUNC(IF($C1412="",IFERROR(VLOOKUP($B1412,SERVIÇOS!$B:$G,4,0),IFERROR(VLOOKUP($B1412,$D:$K,6,0),)),IFERROR(VLOOKUP($C1412,INSUMOS!$A:$D,4,0),IFERROR(VLOOKUP($C1412,COTAÇÕES!$B:$I,7,0),(VLOOKUP($C1412,'INSUMO SINAPI - SP'!$C:$F,4,0)))))*$G1412,2)</f>
        <v>55.86</v>
      </c>
      <c r="J1412" s="513">
        <f>TRUNC(IF($C1412="",IFERROR(VLOOKUP($B1412,SERVIÇOS!$B:$G,5,0),IFERROR(VLOOKUP($B1412,$D:$K,7,0),)),0)*$G1412,2)</f>
        <v>168.36</v>
      </c>
      <c r="K1412" s="514">
        <f>I1412+J1412</f>
        <v>224.22000000000003</v>
      </c>
      <c r="L1412" s="515"/>
      <c r="M1412" s="471"/>
      <c r="N1412" s="516"/>
      <c r="Q1412" s="472"/>
      <c r="R1412" s="472"/>
      <c r="S1412" s="472"/>
      <c r="T1412" s="472"/>
      <c r="U1412" s="472"/>
      <c r="V1412" s="472"/>
      <c r="W1412" s="472"/>
      <c r="X1412" s="472"/>
      <c r="Y1412" s="472"/>
    </row>
    <row r="1413" spans="1:25" ht="276" x14ac:dyDescent="0.25">
      <c r="A1413" s="463"/>
      <c r="B1413" s="506"/>
      <c r="C1413" s="507" t="s">
        <v>13332</v>
      </c>
      <c r="D1413" s="508"/>
      <c r="E1413" s="509" t="str">
        <f>IF($C1413="",IFERROR(VLOOKUP($B1413,SERVIÇOS!$B:$G,2,0),IFERROR(VLOOKUP($B1413,$D:$K,2,0),"")),IFERROR(VLOOKUP($C1413,INSUMOS!$A:$D,2,0),IFERROR(VLOOKUP($C1413,COTAÇÕES!$B:$I,2,0),(VLOOKUP($C1413,'INSUMO SINAPI - SP'!$C:$F,2,0)))))</f>
        <v>GABINETES DE VENTILAÇÃO DE AR EXTERNO
AMBIENTES ATENDIDOS: DIVERSOS
LOCALIZAÇÃO: ENTREFORRO
GABINETE: SIM
VAZÃO DE AR EXTERNO (m³/h): 480
CAIXA DE FILTRAGEM: SIM
FILTRAGEM DE 1° ESTÁGIO: G4
FILTRAGEM DE 2° ESTÁGIO: F8
PRESSÃO ESTÁTICA DISPONÍVEL PARA DUTOS (mmCA): 20
PRESSÃO ESTÁTICA INTERNA CONSIDERADA (mmCA): 30*
PRESSÃO ESTÁTICA TOTAL CONSIDERADA: 50*
TIPO DE ROTOR: LIMIT LOAD
TIPO DE ACOPLAMENTO DO MOTOR: DIRETO
TENSÃO ELÉTRICA MOTOR: 220/3F
POTÊNCIA DO MOTOR (kW): 0,18
VARIADOR DE FREQUÊNCIA: SIM
COXINS/CALÇOS DE BORRACHA: SIM
JUNTAS FLEXÍVEIS: EM TODAS AS CONEXÕES DE ENTRADA DO EQUIPAMENTO
PORTA DE INSPEÇÃO: SIM
QUADRO COMANDO: INCLUSO PARA ACIONAMENTO, CONTROLE DE DE VELOCIDADE COM SATURAÇÃO DE FILTROS
*DADOS PODEM VARIAR DE ACORDO COM FABRICANTE E FORNECEDORES DE FILTROS E ACESSÓRIOS</v>
      </c>
      <c r="F1413" s="510" t="str">
        <f>IF($C1413="",IFERROR(VLOOKUP($B1413,SERVIÇOS!$B:$G,3,0),IFERROR(VLOOKUP($B1413,$D:$K,3,0),"")),IFERROR(VLOOKUP($C1413,INSUMOS!$A:$D,3,0),IFERROR(VLOOKUP($C1413,COTAÇÕES!$B:$I,3,0),(VLOOKUP($C1413,'INSUMO SINAPI - SP'!$C:$F,3,0)))))</f>
        <v>UN</v>
      </c>
      <c r="G1413" s="511">
        <v>1</v>
      </c>
      <c r="H1413" s="512">
        <f>IF($C1413="",IFERROR(VLOOKUP($B1413,SERVIÇOS!$B:$G,6,0),IFERROR(VLOOKUP($B1413,$D:$K,8,0),"")),IFERROR(VLOOKUP($C1413,INSUMOS!$A:$D,4,0),IFERROR(VLOOKUP($C1413,COTAÇÕES!$B:$I,8,0),(VLOOKUP($C1413,'INSUMO SINAPI - SP'!$C:$F,4,0)))))</f>
        <v>4441.42</v>
      </c>
      <c r="I1413" s="513">
        <f>TRUNC(IF($C1413="",IFERROR(VLOOKUP($B1413,SERVIÇOS!$B:$G,4,0),IFERROR(VLOOKUP($B1413,$D:$K,6,0),)),IFERROR(VLOOKUP($C1413,INSUMOS!$A:$D,4,0),IFERROR(VLOOKUP($C1413,COTAÇÕES!$B:$I,8,0),(VLOOKUP($C1413,'INSUMO SINAPI - SP'!$C:$F,4,0)))))*$G1413,2)</f>
        <v>4441.42</v>
      </c>
      <c r="J1413" s="513"/>
      <c r="K1413" s="514">
        <f>I1413+J1413</f>
        <v>4441.42</v>
      </c>
      <c r="L1413" s="517" t="s">
        <v>12878</v>
      </c>
      <c r="M1413" s="471"/>
      <c r="N1413" s="516"/>
      <c r="Q1413" s="472"/>
      <c r="R1413" s="472"/>
      <c r="S1413" s="472"/>
      <c r="T1413" s="472"/>
      <c r="U1413" s="472"/>
      <c r="V1413" s="472"/>
      <c r="W1413" s="472"/>
      <c r="X1413" s="472"/>
      <c r="Y1413" s="472"/>
    </row>
    <row r="1414" spans="1:25" ht="252" x14ac:dyDescent="0.25">
      <c r="A1414" s="463"/>
      <c r="B1414" s="498"/>
      <c r="C1414" s="498"/>
      <c r="D1414" s="499" t="s">
        <v>12594</v>
      </c>
      <c r="E1414" s="500" t="s">
        <v>13333</v>
      </c>
      <c r="F1414" s="501" t="s">
        <v>580</v>
      </c>
      <c r="G1414" s="502"/>
      <c r="H1414" s="503"/>
      <c r="I1414" s="504">
        <f>SUM(I1415:I1417)</f>
        <v>4358.0600000000004</v>
      </c>
      <c r="J1414" s="504">
        <f>SUM(J1415:J1417)</f>
        <v>291.84000000000003</v>
      </c>
      <c r="K1414" s="504">
        <f>+J1414+I1414</f>
        <v>4649.9000000000005</v>
      </c>
      <c r="L1414" s="523" t="s">
        <v>12842</v>
      </c>
      <c r="M1414" s="471"/>
      <c r="N1414" s="505"/>
      <c r="Q1414" s="472"/>
      <c r="R1414" s="472"/>
      <c r="S1414" s="472"/>
      <c r="T1414" s="472"/>
      <c r="U1414" s="472"/>
      <c r="V1414" s="472"/>
      <c r="W1414" s="472"/>
      <c r="X1414" s="472"/>
      <c r="Y1414" s="472"/>
    </row>
    <row r="1415" spans="1:25" x14ac:dyDescent="0.25">
      <c r="A1415" s="463"/>
      <c r="B1415" s="506">
        <v>88243</v>
      </c>
      <c r="C1415" s="507"/>
      <c r="D1415" s="508"/>
      <c r="E1415" s="509" t="str">
        <f>IF($C1415="",IFERROR(VLOOKUP($B1415,SERVIÇOS!$B:$G,2,0),IFERROR(VLOOKUP($B1415,$D:$K,2,0),"")),IFERROR(VLOOKUP($C1415,INSUMOS!$A:$D,2,0),IFERROR(VLOOKUP($C1415,COTAÇÕES!$B:$I,2,0),(VLOOKUP($C1415,'INSUMO SINAPI - SP'!$C:$F,2,0)))))</f>
        <v>AJUDANTE ESPECIALIZADO COM ENCARGOS COMPLEMENTARES</v>
      </c>
      <c r="F1415" s="510" t="str">
        <f>IF($C1415="",IFERROR(VLOOKUP($B1415,SERVIÇOS!$B:$G,3,0),IFERROR(VLOOKUP($B1415,$D:$K,3,0),"")),IFERROR(VLOOKUP($C1415,INSUMOS!$A:$D,3,0),IFERROR(VLOOKUP($C1415,COTAÇÕES!$B:$I,3,0),(VLOOKUP($C1415,'INSUMO SINAPI - SP'!$C:$F,3,0)))))</f>
        <v>H</v>
      </c>
      <c r="G1415" s="511">
        <v>6</v>
      </c>
      <c r="H1415" s="512">
        <f>IF($C1415="",IFERROR(VLOOKUP($B1415,SERVIÇOS!$B:$G,6,0),IFERROR(VLOOKUP($B1415,$D:$K,8,0),"")),IFERROR(VLOOKUP($C1415,INSUMOS!$A:$D,4,0),IFERROR(VLOOKUP($C1415,COTAÇÕES!$B:$I,7,0),(VLOOKUP($C1415,'INSUMO SINAPI - SP'!$C:$F,4,0)))))</f>
        <v>29.78</v>
      </c>
      <c r="I1415" s="513">
        <f>TRUNC(IF($C1415="",IFERROR(VLOOKUP($B1415,SERVIÇOS!$B:$G,4,0),IFERROR(VLOOKUP($B1415,$D:$K,6,0),)),IFERROR(VLOOKUP($C1415,INSUMOS!$A:$D,4,0),IFERROR(VLOOKUP($C1415,COTAÇÕES!$B:$I,7,0),(VLOOKUP($C1415,'INSUMO SINAPI - SP'!$C:$F,4,0)))))*$G1415,2)</f>
        <v>55.2</v>
      </c>
      <c r="J1415" s="513">
        <f>TRUNC(IF($C1415="",IFERROR(VLOOKUP($B1415,SERVIÇOS!$B:$G,5,0),IFERROR(VLOOKUP($B1415,$D:$K,7,0),)),0)*$G1415,2)</f>
        <v>123.48</v>
      </c>
      <c r="K1415" s="514">
        <f>I1415+J1415</f>
        <v>178.68</v>
      </c>
      <c r="L1415" s="515"/>
      <c r="M1415" s="471"/>
      <c r="N1415" s="516"/>
      <c r="Q1415" s="472"/>
      <c r="R1415" s="472"/>
      <c r="S1415" s="472"/>
      <c r="T1415" s="472"/>
      <c r="U1415" s="472"/>
      <c r="V1415" s="472"/>
      <c r="W1415" s="472"/>
      <c r="X1415" s="472"/>
      <c r="Y1415" s="472"/>
    </row>
    <row r="1416" spans="1:25" x14ac:dyDescent="0.25">
      <c r="A1416" s="463"/>
      <c r="B1416" s="506">
        <v>88264</v>
      </c>
      <c r="C1416" s="507"/>
      <c r="D1416" s="508"/>
      <c r="E1416" s="509" t="str">
        <f>IF($C1416="",IFERROR(VLOOKUP($B1416,SERVIÇOS!$B:$G,2,0),IFERROR(VLOOKUP($B1416,$D:$K,2,0),"")),IFERROR(VLOOKUP($C1416,INSUMOS!$A:$D,2,0),IFERROR(VLOOKUP($C1416,COTAÇÕES!$B:$I,2,0),(VLOOKUP($C1416,'INSUMO SINAPI - SP'!$C:$F,2,0)))))</f>
        <v>ELETRICISTA COM ENCARGOS COMPLEMENTARES</v>
      </c>
      <c r="F1416" s="510" t="str">
        <f>IF($C1416="",IFERROR(VLOOKUP($B1416,SERVIÇOS!$B:$G,3,0),IFERROR(VLOOKUP($B1416,$D:$K,3,0),"")),IFERROR(VLOOKUP($C1416,INSUMOS!$A:$D,3,0),IFERROR(VLOOKUP($C1416,COTAÇÕES!$B:$I,3,0),(VLOOKUP($C1416,'INSUMO SINAPI - SP'!$C:$F,3,0)))))</f>
        <v>H</v>
      </c>
      <c r="G1416" s="511">
        <v>6</v>
      </c>
      <c r="H1416" s="512">
        <f>IF($C1416="",IFERROR(VLOOKUP($B1416,SERVIÇOS!$B:$G,6,0),IFERROR(VLOOKUP($B1416,$D:$K,8,0),"")),IFERROR(VLOOKUP($C1416,INSUMOS!$A:$D,4,0),IFERROR(VLOOKUP($C1416,COTAÇÕES!$B:$I,7,0),(VLOOKUP($C1416,'INSUMO SINAPI - SP'!$C:$F,4,0)))))</f>
        <v>37.369999999999997</v>
      </c>
      <c r="I1416" s="513">
        <f>TRUNC(IF($C1416="",IFERROR(VLOOKUP($B1416,SERVIÇOS!$B:$G,4,0),IFERROR(VLOOKUP($B1416,$D:$K,6,0),)),IFERROR(VLOOKUP($C1416,INSUMOS!$A:$D,4,0),IFERROR(VLOOKUP($C1416,COTAÇÕES!$B:$I,7,0),(VLOOKUP($C1416,'INSUMO SINAPI - SP'!$C:$F,4,0)))))*$G1416,2)</f>
        <v>55.86</v>
      </c>
      <c r="J1416" s="513">
        <f>TRUNC(IF($C1416="",IFERROR(VLOOKUP($B1416,SERVIÇOS!$B:$G,5,0),IFERROR(VLOOKUP($B1416,$D:$K,7,0),)),0)*$G1416,2)</f>
        <v>168.36</v>
      </c>
      <c r="K1416" s="514">
        <f>I1416+J1416</f>
        <v>224.22000000000003</v>
      </c>
      <c r="L1416" s="515"/>
      <c r="M1416" s="471"/>
      <c r="N1416" s="516"/>
      <c r="Q1416" s="472"/>
      <c r="R1416" s="472"/>
      <c r="S1416" s="472"/>
      <c r="T1416" s="472"/>
      <c r="U1416" s="472"/>
      <c r="V1416" s="472"/>
      <c r="W1416" s="472"/>
      <c r="X1416" s="472"/>
      <c r="Y1416" s="472"/>
    </row>
    <row r="1417" spans="1:25" ht="264" x14ac:dyDescent="0.25">
      <c r="A1417" s="463"/>
      <c r="B1417" s="506"/>
      <c r="C1417" s="507" t="s">
        <v>13334</v>
      </c>
      <c r="D1417" s="508"/>
      <c r="E1417" s="509" t="str">
        <f>IF($C1417="",IFERROR(VLOOKUP($B1417,SERVIÇOS!$B:$G,2,0),IFERROR(VLOOKUP($B1417,$D:$K,2,0),"")),IFERROR(VLOOKUP($C1417,INSUMOS!$A:$D,2,0),IFERROR(VLOOKUP($C1417,COTAÇÕES!$B:$I,2,0),(VLOOKUP($C1417,'INSUMO SINAPI - SP'!$C:$F,2,0)))))</f>
        <v>GABINETES DE VENTILAÇÃO DE EXAUSTÃO DE AR
AMBIENTES ATENDIDOS: DIVERSOS
LOCALIZAÇÃO: SANITÁRIOS E DML
GABINETE: SIM
VAZÃO DE EXAUSTÃO (m³/h): 1.500
CAIXA DE FILTRAGEM: NÃO
FILTRAGEM DE 1° ESTÁGIO: N/A
FILTRAGEM DE 2° ESTÁGIO: N/A
PRESSÃO ESTÁTICA DISPONÍVEL PARA DUTOS (mmCA): 20
PRESSÃO ESTÁTICA INTERNA CONSIDERADA (mmCA): 30* - PARA BIBO INSTALADA
PRESSÃO ESTÁTICA TOTAL CONSIDERADA: 50*
TIPO DE ROTOR: SIROCCO
TIPO DE ACOPLAMENTO DO MOTOR: DIRETO
TENSÃO ELÉTRICA MOTOR: 220/3F
POTÊNCIA DO MOTOR (kW): 2,00
VARIADOR DE FREQUÊNCIA: NÃO
COXINS/CALÇOS DE BORRACHA: SIM
JUNTAS FLEXÍVEIS: EM TODAS AS CONEXÕES DE ENTRADA DO EQUIPAMENTO
PORTA DE INSPEÇÃO: SIM
QUADRO COMANDO: INCLUSO PARA ACIONAMENTO
*DADOS PODEM VARIAR DE ACORDO COM FABRICANTE E FORNECEDORES DE FILTROS E ACESSÓRIOS</v>
      </c>
      <c r="F1417" s="510" t="str">
        <f>IF($C1417="",IFERROR(VLOOKUP($B1417,SERVIÇOS!$B:$G,3,0),IFERROR(VLOOKUP($B1417,$D:$K,3,0),"")),IFERROR(VLOOKUP($C1417,INSUMOS!$A:$D,3,0),IFERROR(VLOOKUP($C1417,COTAÇÕES!$B:$I,3,0),(VLOOKUP($C1417,'INSUMO SINAPI - SP'!$C:$F,3,0)))))</f>
        <v>UN</v>
      </c>
      <c r="G1417" s="511">
        <v>1</v>
      </c>
      <c r="H1417" s="512">
        <f>IF($C1417="",IFERROR(VLOOKUP($B1417,SERVIÇOS!$B:$G,6,0),IFERROR(VLOOKUP($B1417,$D:$K,8,0),"")),IFERROR(VLOOKUP($C1417,INSUMOS!$A:$D,4,0),IFERROR(VLOOKUP($C1417,COTAÇÕES!$B:$I,8,0),(VLOOKUP($C1417,'INSUMO SINAPI - SP'!$C:$F,4,0)))))</f>
        <v>4247</v>
      </c>
      <c r="I1417" s="513">
        <f>TRUNC(IF($C1417="",IFERROR(VLOOKUP($B1417,SERVIÇOS!$B:$G,4,0),IFERROR(VLOOKUP($B1417,$D:$K,6,0),)),IFERROR(VLOOKUP($C1417,INSUMOS!$A:$D,4,0),IFERROR(VLOOKUP($C1417,COTAÇÕES!$B:$I,8,0),(VLOOKUP($C1417,'INSUMO SINAPI - SP'!$C:$F,4,0)))))*$G1417,2)</f>
        <v>4247</v>
      </c>
      <c r="J1417" s="513"/>
      <c r="K1417" s="514">
        <f>I1417+J1417</f>
        <v>4247</v>
      </c>
      <c r="L1417" s="517" t="s">
        <v>12878</v>
      </c>
      <c r="M1417" s="471"/>
      <c r="N1417" s="516"/>
      <c r="Q1417" s="472"/>
      <c r="R1417" s="472"/>
      <c r="S1417" s="472"/>
      <c r="T1417" s="472"/>
      <c r="U1417" s="472"/>
      <c r="V1417" s="472"/>
      <c r="W1417" s="472"/>
      <c r="X1417" s="472"/>
      <c r="Y1417" s="472"/>
    </row>
    <row r="1418" spans="1:25" ht="24" x14ac:dyDescent="0.25">
      <c r="A1418" s="463"/>
      <c r="B1418" s="498"/>
      <c r="C1418" s="498"/>
      <c r="D1418" s="499" t="s">
        <v>12599</v>
      </c>
      <c r="E1418" s="500" t="s">
        <v>13335</v>
      </c>
      <c r="F1418" s="501" t="s">
        <v>580</v>
      </c>
      <c r="G1418" s="502"/>
      <c r="H1418" s="503"/>
      <c r="I1418" s="504">
        <f>SUM(I1419:I1421)</f>
        <v>13917.06</v>
      </c>
      <c r="J1418" s="504">
        <f>SUM(J1419:J1421)</f>
        <v>291.84000000000003</v>
      </c>
      <c r="K1418" s="504">
        <f>+J1418+I1418</f>
        <v>14208.9</v>
      </c>
      <c r="L1418" s="523" t="s">
        <v>12842</v>
      </c>
      <c r="M1418" s="471"/>
      <c r="N1418" s="505"/>
      <c r="Q1418" s="472"/>
      <c r="R1418" s="472"/>
      <c r="S1418" s="472"/>
      <c r="T1418" s="472"/>
      <c r="U1418" s="472"/>
      <c r="V1418" s="472"/>
      <c r="W1418" s="472"/>
      <c r="X1418" s="472"/>
      <c r="Y1418" s="472"/>
    </row>
    <row r="1419" spans="1:25" x14ac:dyDescent="0.25">
      <c r="A1419" s="463"/>
      <c r="B1419" s="506">
        <v>88243</v>
      </c>
      <c r="C1419" s="507"/>
      <c r="D1419" s="508"/>
      <c r="E1419" s="509" t="str">
        <f>IF($C1419="",IFERROR(VLOOKUP($B1419,SERVIÇOS!$B:$G,2,0),IFERROR(VLOOKUP($B1419,$D:$K,2,0),"")),IFERROR(VLOOKUP($C1419,INSUMOS!$A:$D,2,0),IFERROR(VLOOKUP($C1419,COTAÇÕES!$B:$I,2,0),(VLOOKUP($C1419,'INSUMO SINAPI - SP'!$C:$F,2,0)))))</f>
        <v>AJUDANTE ESPECIALIZADO COM ENCARGOS COMPLEMENTARES</v>
      </c>
      <c r="F1419" s="510" t="str">
        <f>IF($C1419="",IFERROR(VLOOKUP($B1419,SERVIÇOS!$B:$G,3,0),IFERROR(VLOOKUP($B1419,$D:$K,3,0),"")),IFERROR(VLOOKUP($C1419,INSUMOS!$A:$D,3,0),IFERROR(VLOOKUP($C1419,COTAÇÕES!$B:$I,3,0),(VLOOKUP($C1419,'INSUMO SINAPI - SP'!$C:$F,3,0)))))</f>
        <v>H</v>
      </c>
      <c r="G1419" s="511">
        <v>6</v>
      </c>
      <c r="H1419" s="512">
        <f>IF($C1419="",IFERROR(VLOOKUP($B1419,SERVIÇOS!$B:$G,6,0),IFERROR(VLOOKUP($B1419,$D:$K,8,0),"")),IFERROR(VLOOKUP($C1419,INSUMOS!$A:$D,4,0),IFERROR(VLOOKUP($C1419,COTAÇÕES!$B:$I,7,0),(VLOOKUP($C1419,'INSUMO SINAPI - SP'!$C:$F,4,0)))))</f>
        <v>29.78</v>
      </c>
      <c r="I1419" s="513">
        <f>TRUNC(IF($C1419="",IFERROR(VLOOKUP($B1419,SERVIÇOS!$B:$G,4,0),IFERROR(VLOOKUP($B1419,$D:$K,6,0),)),IFERROR(VLOOKUP($C1419,INSUMOS!$A:$D,4,0),IFERROR(VLOOKUP($C1419,COTAÇÕES!$B:$I,7,0),(VLOOKUP($C1419,'INSUMO SINAPI - SP'!$C:$F,4,0)))))*$G1419,2)</f>
        <v>55.2</v>
      </c>
      <c r="J1419" s="513">
        <f>TRUNC(IF($C1419="",IFERROR(VLOOKUP($B1419,SERVIÇOS!$B:$G,5,0),IFERROR(VLOOKUP($B1419,$D:$K,7,0),)),0)*$G1419,2)</f>
        <v>123.48</v>
      </c>
      <c r="K1419" s="514">
        <f>I1419+J1419</f>
        <v>178.68</v>
      </c>
      <c r="L1419" s="515"/>
      <c r="M1419" s="471"/>
      <c r="N1419" s="516"/>
      <c r="Q1419" s="472"/>
      <c r="R1419" s="472"/>
      <c r="S1419" s="472"/>
      <c r="T1419" s="472"/>
      <c r="U1419" s="472"/>
      <c r="V1419" s="472"/>
      <c r="W1419" s="472"/>
      <c r="X1419" s="472"/>
      <c r="Y1419" s="472"/>
    </row>
    <row r="1420" spans="1:25" x14ac:dyDescent="0.25">
      <c r="A1420" s="463"/>
      <c r="B1420" s="506">
        <v>88264</v>
      </c>
      <c r="C1420" s="507"/>
      <c r="D1420" s="508"/>
      <c r="E1420" s="509" t="str">
        <f>IF($C1420="",IFERROR(VLOOKUP($B1420,SERVIÇOS!$B:$G,2,0),IFERROR(VLOOKUP($B1420,$D:$K,2,0),"")),IFERROR(VLOOKUP($C1420,INSUMOS!$A:$D,2,0),IFERROR(VLOOKUP($C1420,COTAÇÕES!$B:$I,2,0),(VLOOKUP($C1420,'INSUMO SINAPI - SP'!$C:$F,2,0)))))</f>
        <v>ELETRICISTA COM ENCARGOS COMPLEMENTARES</v>
      </c>
      <c r="F1420" s="510" t="str">
        <f>IF($C1420="",IFERROR(VLOOKUP($B1420,SERVIÇOS!$B:$G,3,0),IFERROR(VLOOKUP($B1420,$D:$K,3,0),"")),IFERROR(VLOOKUP($C1420,INSUMOS!$A:$D,3,0),IFERROR(VLOOKUP($C1420,COTAÇÕES!$B:$I,3,0),(VLOOKUP($C1420,'INSUMO SINAPI - SP'!$C:$F,3,0)))))</f>
        <v>H</v>
      </c>
      <c r="G1420" s="511">
        <v>6</v>
      </c>
      <c r="H1420" s="512">
        <f>IF($C1420="",IFERROR(VLOOKUP($B1420,SERVIÇOS!$B:$G,6,0),IFERROR(VLOOKUP($B1420,$D:$K,8,0),"")),IFERROR(VLOOKUP($C1420,INSUMOS!$A:$D,4,0),IFERROR(VLOOKUP($C1420,COTAÇÕES!$B:$I,7,0),(VLOOKUP($C1420,'INSUMO SINAPI - SP'!$C:$F,4,0)))))</f>
        <v>37.369999999999997</v>
      </c>
      <c r="I1420" s="513">
        <f>TRUNC(IF($C1420="",IFERROR(VLOOKUP($B1420,SERVIÇOS!$B:$G,4,0),IFERROR(VLOOKUP($B1420,$D:$K,6,0),)),IFERROR(VLOOKUP($C1420,INSUMOS!$A:$D,4,0),IFERROR(VLOOKUP($C1420,COTAÇÕES!$B:$I,7,0),(VLOOKUP($C1420,'INSUMO SINAPI - SP'!$C:$F,4,0)))))*$G1420,2)</f>
        <v>55.86</v>
      </c>
      <c r="J1420" s="513">
        <f>TRUNC(IF($C1420="",IFERROR(VLOOKUP($B1420,SERVIÇOS!$B:$G,5,0),IFERROR(VLOOKUP($B1420,$D:$K,7,0),)),0)*$G1420,2)</f>
        <v>168.36</v>
      </c>
      <c r="K1420" s="514">
        <f>I1420+J1420</f>
        <v>224.22000000000003</v>
      </c>
      <c r="L1420" s="515"/>
      <c r="M1420" s="471"/>
      <c r="N1420" s="516"/>
      <c r="Q1420" s="472"/>
      <c r="R1420" s="472"/>
      <c r="S1420" s="472"/>
      <c r="T1420" s="472"/>
      <c r="U1420" s="472"/>
      <c r="V1420" s="472"/>
      <c r="W1420" s="472"/>
      <c r="X1420" s="472"/>
      <c r="Y1420" s="472"/>
    </row>
    <row r="1421" spans="1:25" ht="24" x14ac:dyDescent="0.25">
      <c r="A1421" s="463"/>
      <c r="B1421" s="506"/>
      <c r="C1421" s="507" t="s">
        <v>13336</v>
      </c>
      <c r="D1421" s="508"/>
      <c r="E1421" s="509" t="str">
        <f>IF($C1421="",IFERROR(VLOOKUP($B1421,SERVIÇOS!$B:$G,2,0),IFERROR(VLOOKUP($B1421,$D:$K,2,0),"")),IFERROR(VLOOKUP($C1421,INSUMOS!$A:$D,2,0),IFERROR(VLOOKUP($C1421,COTAÇÕES!$B:$I,2,0),(VLOOKUP($C1421,'INSUMO SINAPI - SP'!$C:$F,2,0)))))</f>
        <v>CAIXA DE FILTRAGEM TIPO BAG-IN BAG-OUT COM TROCA SEGURO, COM MOLDURA EM AÇO GALVANIZADO, FILTRAGEM HEPA H14</v>
      </c>
      <c r="F1421" s="510" t="str">
        <f>IF($C1421="",IFERROR(VLOOKUP($B1421,SERVIÇOS!$B:$G,3,0),IFERROR(VLOOKUP($B1421,$D:$K,3,0),"")),IFERROR(VLOOKUP($C1421,INSUMOS!$A:$D,3,0),IFERROR(VLOOKUP($C1421,COTAÇÕES!$B:$I,3,0),(VLOOKUP($C1421,'INSUMO SINAPI - SP'!$C:$F,3,0)))))</f>
        <v>UN</v>
      </c>
      <c r="G1421" s="511">
        <v>1</v>
      </c>
      <c r="H1421" s="512">
        <f>IF($C1421="",IFERROR(VLOOKUP($B1421,SERVIÇOS!$B:$G,6,0),IFERROR(VLOOKUP($B1421,$D:$K,8,0),"")),IFERROR(VLOOKUP($C1421,INSUMOS!$A:$D,4,0),IFERROR(VLOOKUP($C1421,COTAÇÕES!$B:$I,8,0),(VLOOKUP($C1421,'INSUMO SINAPI - SP'!$C:$F,4,0)))))</f>
        <v>13806</v>
      </c>
      <c r="I1421" s="513">
        <f>TRUNC(IF($C1421="",IFERROR(VLOOKUP($B1421,SERVIÇOS!$B:$G,4,0),IFERROR(VLOOKUP($B1421,$D:$K,6,0),)),IFERROR(VLOOKUP($C1421,INSUMOS!$A:$D,4,0),IFERROR(VLOOKUP($C1421,COTAÇÕES!$B:$I,8,0),(VLOOKUP($C1421,'INSUMO SINAPI - SP'!$C:$F,4,0)))))*$G1421,2)</f>
        <v>13806</v>
      </c>
      <c r="J1421" s="513"/>
      <c r="K1421" s="514">
        <f>I1421+J1421</f>
        <v>13806</v>
      </c>
      <c r="L1421" s="517" t="s">
        <v>12878</v>
      </c>
      <c r="M1421" s="471"/>
      <c r="N1421" s="516"/>
      <c r="Q1421" s="472"/>
      <c r="R1421" s="472"/>
      <c r="S1421" s="472"/>
      <c r="T1421" s="472"/>
      <c r="U1421" s="472"/>
      <c r="V1421" s="472"/>
      <c r="W1421" s="472"/>
      <c r="X1421" s="472"/>
      <c r="Y1421" s="472"/>
    </row>
    <row r="1422" spans="1:25" ht="409.5" x14ac:dyDescent="0.25">
      <c r="A1422" s="463"/>
      <c r="B1422" s="498"/>
      <c r="C1422" s="498"/>
      <c r="D1422" s="499" t="s">
        <v>12578</v>
      </c>
      <c r="E1422" s="500" t="s">
        <v>13337</v>
      </c>
      <c r="F1422" s="501" t="s">
        <v>580</v>
      </c>
      <c r="G1422" s="502"/>
      <c r="H1422" s="503"/>
      <c r="I1422" s="504">
        <f>SUM(I1423:I1429)</f>
        <v>35456.339999999997</v>
      </c>
      <c r="J1422" s="504">
        <f>SUM(J1423:J1429)</f>
        <v>2841.19</v>
      </c>
      <c r="K1422" s="504">
        <f>+J1422+I1422</f>
        <v>38297.53</v>
      </c>
      <c r="L1422" s="523" t="s">
        <v>12842</v>
      </c>
      <c r="M1422" s="471"/>
      <c r="N1422" s="505"/>
      <c r="Q1422" s="472"/>
      <c r="R1422" s="472"/>
      <c r="S1422" s="472"/>
      <c r="T1422" s="472"/>
      <c r="U1422" s="472"/>
      <c r="V1422" s="472"/>
      <c r="W1422" s="472"/>
      <c r="X1422" s="472"/>
      <c r="Y1422" s="472"/>
    </row>
    <row r="1423" spans="1:25" x14ac:dyDescent="0.25">
      <c r="A1423" s="463"/>
      <c r="B1423" s="506">
        <v>88243</v>
      </c>
      <c r="C1423" s="507"/>
      <c r="D1423" s="508"/>
      <c r="E1423" s="509" t="str">
        <f>IF($C1423="",IFERROR(VLOOKUP($B1423,SERVIÇOS!$B:$G,2,0),IFERROR(VLOOKUP($B1423,$D:$K,2,0),"")),IFERROR(VLOOKUP($C1423,INSUMOS!$A:$D,2,0),IFERROR(VLOOKUP($C1423,COTAÇÕES!$B:$I,2,0),(VLOOKUP($C1423,'INSUMO SINAPI - SP'!$C:$F,2,0)))))</f>
        <v>AJUDANTE ESPECIALIZADO COM ENCARGOS COMPLEMENTARES</v>
      </c>
      <c r="F1423" s="510" t="str">
        <f>IF($C1423="",IFERROR(VLOOKUP($B1423,SERVIÇOS!$B:$G,3,0),IFERROR(VLOOKUP($B1423,$D:$K,3,0),"")),IFERROR(VLOOKUP($C1423,INSUMOS!$A:$D,3,0),IFERROR(VLOOKUP($C1423,COTAÇÕES!$B:$I,3,0),(VLOOKUP($C1423,'INSUMO SINAPI - SP'!$C:$F,3,0)))))</f>
        <v>H</v>
      </c>
      <c r="G1423" s="511">
        <v>82.5</v>
      </c>
      <c r="H1423" s="512">
        <f>IF($C1423="",IFERROR(VLOOKUP($B1423,SERVIÇOS!$B:$G,6,0),IFERROR(VLOOKUP($B1423,$D:$K,8,0),"")),IFERROR(VLOOKUP($C1423,INSUMOS!$A:$D,4,0),IFERROR(VLOOKUP($C1423,COTAÇÕES!$B:$I,7,0),(VLOOKUP($C1423,'INSUMO SINAPI - SP'!$C:$F,4,0)))))</f>
        <v>29.78</v>
      </c>
      <c r="I1423" s="513">
        <f>TRUNC(IF($C1423="",IFERROR(VLOOKUP($B1423,SERVIÇOS!$B:$G,4,0),IFERROR(VLOOKUP($B1423,$D:$K,6,0),)),IFERROR(VLOOKUP($C1423,INSUMOS!$A:$D,4,0),IFERROR(VLOOKUP($C1423,COTAÇÕES!$B:$I,7,0),(VLOOKUP($C1423,'INSUMO SINAPI - SP'!$C:$F,4,0)))))*$G1423,2)</f>
        <v>759</v>
      </c>
      <c r="J1423" s="513">
        <f>TRUNC(IF($C1423="",IFERROR(VLOOKUP($B1423,SERVIÇOS!$B:$G,5,0),IFERROR(VLOOKUP($B1423,$D:$K,7,0),)),0)*$G1423,2)</f>
        <v>1697.85</v>
      </c>
      <c r="K1423" s="514">
        <f t="shared" ref="K1423:K1429" si="51">I1423+J1423</f>
        <v>2456.85</v>
      </c>
      <c r="L1423" s="515"/>
      <c r="M1423" s="471"/>
      <c r="N1423" s="516"/>
      <c r="Q1423" s="472"/>
      <c r="R1423" s="472"/>
      <c r="S1423" s="472"/>
      <c r="T1423" s="472"/>
      <c r="U1423" s="472"/>
      <c r="V1423" s="472"/>
      <c r="W1423" s="472"/>
      <c r="X1423" s="472"/>
      <c r="Y1423" s="472"/>
    </row>
    <row r="1424" spans="1:25" x14ac:dyDescent="0.25">
      <c r="A1424" s="463"/>
      <c r="B1424" s="506">
        <v>88264</v>
      </c>
      <c r="C1424" s="507"/>
      <c r="D1424" s="508"/>
      <c r="E1424" s="509" t="str">
        <f>IF($C1424="",IFERROR(VLOOKUP($B1424,SERVIÇOS!$B:$G,2,0),IFERROR(VLOOKUP($B1424,$D:$K,2,0),"")),IFERROR(VLOOKUP($C1424,INSUMOS!$A:$D,2,0),IFERROR(VLOOKUP($C1424,COTAÇÕES!$B:$I,2,0),(VLOOKUP($C1424,'INSUMO SINAPI - SP'!$C:$F,2,0)))))</f>
        <v>ELETRICISTA COM ENCARGOS COMPLEMENTARES</v>
      </c>
      <c r="F1424" s="510" t="str">
        <f>IF($C1424="",IFERROR(VLOOKUP($B1424,SERVIÇOS!$B:$G,3,0),IFERROR(VLOOKUP($B1424,$D:$K,3,0),"")),IFERROR(VLOOKUP($C1424,INSUMOS!$A:$D,3,0),IFERROR(VLOOKUP($C1424,COTAÇÕES!$B:$I,3,0),(VLOOKUP($C1424,'INSUMO SINAPI - SP'!$C:$F,3,0)))))</f>
        <v>H</v>
      </c>
      <c r="G1424" s="511">
        <v>5.2</v>
      </c>
      <c r="H1424" s="512">
        <f>IF($C1424="",IFERROR(VLOOKUP($B1424,SERVIÇOS!$B:$G,6,0),IFERROR(VLOOKUP($B1424,$D:$K,8,0),"")),IFERROR(VLOOKUP($C1424,INSUMOS!$A:$D,4,0),IFERROR(VLOOKUP($C1424,COTAÇÕES!$B:$I,7,0),(VLOOKUP($C1424,'INSUMO SINAPI - SP'!$C:$F,4,0)))))</f>
        <v>37.369999999999997</v>
      </c>
      <c r="I1424" s="513">
        <f>TRUNC(IF($C1424="",IFERROR(VLOOKUP($B1424,SERVIÇOS!$B:$G,4,0),IFERROR(VLOOKUP($B1424,$D:$K,6,0),)),IFERROR(VLOOKUP($C1424,INSUMOS!$A:$D,4,0),IFERROR(VLOOKUP($C1424,COTAÇÕES!$B:$I,7,0),(VLOOKUP($C1424,'INSUMO SINAPI - SP'!$C:$F,4,0)))))*$G1424,2)</f>
        <v>48.41</v>
      </c>
      <c r="J1424" s="513">
        <f>TRUNC(IF($C1424="",IFERROR(VLOOKUP($B1424,SERVIÇOS!$B:$G,5,0),IFERROR(VLOOKUP($B1424,$D:$K,7,0),)),0)*$G1424,2)</f>
        <v>145.91</v>
      </c>
      <c r="K1424" s="514">
        <f t="shared" si="51"/>
        <v>194.32</v>
      </c>
      <c r="L1424" s="515"/>
      <c r="M1424" s="471"/>
      <c r="N1424" s="516"/>
      <c r="Q1424" s="472"/>
      <c r="R1424" s="472"/>
      <c r="S1424" s="472"/>
      <c r="T1424" s="472"/>
      <c r="U1424" s="472"/>
      <c r="V1424" s="472"/>
      <c r="W1424" s="472"/>
      <c r="X1424" s="472"/>
      <c r="Y1424" s="472"/>
    </row>
    <row r="1425" spans="1:25" x14ac:dyDescent="0.25">
      <c r="A1425" s="463"/>
      <c r="B1425" s="506">
        <v>88247</v>
      </c>
      <c r="C1425" s="507"/>
      <c r="D1425" s="508"/>
      <c r="E1425" s="509" t="str">
        <f>IF($C1425="",IFERROR(VLOOKUP($B1425,SERVIÇOS!$B:$G,2,0),IFERROR(VLOOKUP($B1425,$D:$K,2,0),"")),IFERROR(VLOOKUP($C1425,INSUMOS!$A:$D,2,0),IFERROR(VLOOKUP($C1425,COTAÇÕES!$B:$I,2,0),(VLOOKUP($C1425,'INSUMO SINAPI - SP'!$C:$F,2,0)))))</f>
        <v>AUXILIAR DE ELETRICISTA COM ENCARGOS COMPLEMENTARES</v>
      </c>
      <c r="F1425" s="510" t="str">
        <f>IF($C1425="",IFERROR(VLOOKUP($B1425,SERVIÇOS!$B:$G,3,0),IFERROR(VLOOKUP($B1425,$D:$K,3,0),"")),IFERROR(VLOOKUP($C1425,INSUMOS!$A:$D,3,0),IFERROR(VLOOKUP($C1425,COTAÇÕES!$B:$I,3,0),(VLOOKUP($C1425,'INSUMO SINAPI - SP'!$C:$F,3,0)))))</f>
        <v>H</v>
      </c>
      <c r="G1425" s="511">
        <v>5.2</v>
      </c>
      <c r="H1425" s="512">
        <f>IF($C1425="",IFERROR(VLOOKUP($B1425,SERVIÇOS!$B:$G,6,0),IFERROR(VLOOKUP($B1425,$D:$K,8,0),"")),IFERROR(VLOOKUP($C1425,INSUMOS!$A:$D,4,0),IFERROR(VLOOKUP($C1425,COTAÇÕES!$B:$I,7,0),(VLOOKUP($C1425,'INSUMO SINAPI - SP'!$C:$F,4,0)))))</f>
        <v>30.8</v>
      </c>
      <c r="I1425" s="513">
        <f>TRUNC(IF($C1425="",IFERROR(VLOOKUP($B1425,SERVIÇOS!$B:$G,4,0),IFERROR(VLOOKUP($B1425,$D:$K,6,0),)),IFERROR(VLOOKUP($C1425,INSUMOS!$A:$D,4,0),IFERROR(VLOOKUP($C1425,COTAÇÕES!$B:$I,7,0),(VLOOKUP($C1425,'INSUMO SINAPI - SP'!$C:$F,4,0)))))*$G1425,2)</f>
        <v>48.46</v>
      </c>
      <c r="J1425" s="513">
        <f>TRUNC(IF($C1425="",IFERROR(VLOOKUP($B1425,SERVIÇOS!$B:$G,5,0),IFERROR(VLOOKUP($B1425,$D:$K,7,0),)),0)*$G1425,2)</f>
        <v>111.69</v>
      </c>
      <c r="K1425" s="514">
        <f t="shared" si="51"/>
        <v>160.15</v>
      </c>
      <c r="L1425" s="515"/>
      <c r="M1425" s="471"/>
      <c r="N1425" s="516"/>
      <c r="Q1425" s="472"/>
      <c r="R1425" s="472"/>
      <c r="S1425" s="472"/>
      <c r="T1425" s="472"/>
      <c r="U1425" s="472"/>
      <c r="V1425" s="472"/>
      <c r="W1425" s="472"/>
      <c r="X1425" s="472"/>
      <c r="Y1425" s="472"/>
    </row>
    <row r="1426" spans="1:25" x14ac:dyDescent="0.25">
      <c r="A1426" s="463"/>
      <c r="B1426" s="506">
        <v>88277</v>
      </c>
      <c r="C1426" s="507"/>
      <c r="D1426" s="508"/>
      <c r="E1426" s="509" t="str">
        <f>IF($C1426="",IFERROR(VLOOKUP($B1426,SERVIÇOS!$B:$G,2,0),IFERROR(VLOOKUP($B1426,$D:$K,2,0),"")),IFERROR(VLOOKUP($C1426,INSUMOS!$A:$D,2,0),IFERROR(VLOOKUP($C1426,COTAÇÕES!$B:$I,2,0),(VLOOKUP($C1426,'INSUMO SINAPI - SP'!$C:$F,2,0)))))</f>
        <v>MONTADOR (TUBO AÇO/EQUIPAMENTOS) COM ENCARGOS COMPLEMENTARES</v>
      </c>
      <c r="F1426" s="510" t="str">
        <f>IF($C1426="",IFERROR(VLOOKUP($B1426,SERVIÇOS!$B:$G,3,0),IFERROR(VLOOKUP($B1426,$D:$K,3,0),"")),IFERROR(VLOOKUP($C1426,INSUMOS!$A:$D,3,0),IFERROR(VLOOKUP($C1426,COTAÇÕES!$B:$I,3,0),(VLOOKUP($C1426,'INSUMO SINAPI - SP'!$C:$F,3,0)))))</f>
        <v>H</v>
      </c>
      <c r="G1426" s="511">
        <v>27.5</v>
      </c>
      <c r="H1426" s="512">
        <f>IF($C1426="",IFERROR(VLOOKUP($B1426,SERVIÇOS!$B:$G,6,0),IFERROR(VLOOKUP($B1426,$D:$K,8,0),"")),IFERROR(VLOOKUP($C1426,INSUMOS!$A:$D,4,0),IFERROR(VLOOKUP($C1426,COTAÇÕES!$B:$I,7,0),(VLOOKUP($C1426,'INSUMO SINAPI - SP'!$C:$F,4,0)))))</f>
        <v>37.33</v>
      </c>
      <c r="I1426" s="513">
        <f>TRUNC(IF($C1426="",IFERROR(VLOOKUP($B1426,SERVIÇOS!$B:$G,4,0),IFERROR(VLOOKUP($B1426,$D:$K,6,0),)),IFERROR(VLOOKUP($C1426,INSUMOS!$A:$D,4,0),IFERROR(VLOOKUP($C1426,COTAÇÕES!$B:$I,7,0),(VLOOKUP($C1426,'INSUMO SINAPI - SP'!$C:$F,4,0)))))*$G1426,2)</f>
        <v>222.47</v>
      </c>
      <c r="J1426" s="513">
        <f>TRUNC(IF($C1426="",IFERROR(VLOOKUP($B1426,SERVIÇOS!$B:$G,5,0),IFERROR(VLOOKUP($B1426,$D:$K,7,0),)),0)*$G1426,2)</f>
        <v>804.1</v>
      </c>
      <c r="K1426" s="514">
        <f t="shared" si="51"/>
        <v>1026.57</v>
      </c>
      <c r="L1426" s="515"/>
      <c r="M1426" s="471"/>
      <c r="N1426" s="516"/>
      <c r="Q1426" s="472"/>
      <c r="R1426" s="472"/>
      <c r="S1426" s="472"/>
      <c r="T1426" s="472"/>
      <c r="U1426" s="472"/>
      <c r="V1426" s="472"/>
      <c r="W1426" s="472"/>
      <c r="X1426" s="472"/>
      <c r="Y1426" s="472"/>
    </row>
    <row r="1427" spans="1:25" x14ac:dyDescent="0.25">
      <c r="A1427" s="463"/>
      <c r="B1427" s="506">
        <v>88279</v>
      </c>
      <c r="C1427" s="507"/>
      <c r="D1427" s="508"/>
      <c r="E1427" s="509" t="str">
        <f>IF($C1427="",IFERROR(VLOOKUP($B1427,SERVIÇOS!$B:$G,2,0),IFERROR(VLOOKUP($B1427,$D:$K,2,0),"")),IFERROR(VLOOKUP($C1427,INSUMOS!$A:$D,2,0),IFERROR(VLOOKUP($C1427,COTAÇÕES!$B:$I,2,0),(VLOOKUP($C1427,'INSUMO SINAPI - SP'!$C:$F,2,0)))))</f>
        <v>MONTADOR ELETROMECÃNICO COM ENCARGOS COMPLEMENTARES</v>
      </c>
      <c r="F1427" s="510" t="str">
        <f>IF($C1427="",IFERROR(VLOOKUP($B1427,SERVIÇOS!$B:$G,3,0),IFERROR(VLOOKUP($B1427,$D:$K,3,0),"")),IFERROR(VLOOKUP($C1427,INSUMOS!$A:$D,3,0),IFERROR(VLOOKUP($C1427,COTAÇÕES!$B:$I,3,0),(VLOOKUP($C1427,'INSUMO SINAPI - SP'!$C:$F,3,0)))))</f>
        <v>H</v>
      </c>
      <c r="G1427" s="511">
        <v>2.75</v>
      </c>
      <c r="H1427" s="512">
        <f>IF($C1427="",IFERROR(VLOOKUP($B1427,SERVIÇOS!$B:$G,6,0),IFERROR(VLOOKUP($B1427,$D:$K,8,0),"")),IFERROR(VLOOKUP($C1427,INSUMOS!$A:$D,4,0),IFERROR(VLOOKUP($C1427,COTAÇÕES!$B:$I,7,0),(VLOOKUP($C1427,'INSUMO SINAPI - SP'!$C:$F,4,0)))))</f>
        <v>39.01</v>
      </c>
      <c r="I1427" s="513">
        <f>TRUNC(IF($C1427="",IFERROR(VLOOKUP($B1427,SERVIÇOS!$B:$G,4,0),IFERROR(VLOOKUP($B1427,$D:$K,6,0),)),IFERROR(VLOOKUP($C1427,INSUMOS!$A:$D,4,0),IFERROR(VLOOKUP($C1427,COTAÇÕES!$B:$I,7,0),(VLOOKUP($C1427,'INSUMO SINAPI - SP'!$C:$F,4,0)))))*$G1427,2)</f>
        <v>25.63</v>
      </c>
      <c r="J1427" s="513">
        <f>TRUNC(IF($C1427="",IFERROR(VLOOKUP($B1427,SERVIÇOS!$B:$G,5,0),IFERROR(VLOOKUP($B1427,$D:$K,7,0),)),0)*$G1427,2)</f>
        <v>81.64</v>
      </c>
      <c r="K1427" s="514">
        <f t="shared" si="51"/>
        <v>107.27</v>
      </c>
      <c r="L1427" s="515"/>
      <c r="M1427" s="471"/>
      <c r="N1427" s="516"/>
      <c r="Q1427" s="472"/>
      <c r="R1427" s="472"/>
      <c r="S1427" s="472"/>
      <c r="T1427" s="472"/>
      <c r="U1427" s="472"/>
      <c r="V1427" s="472"/>
      <c r="W1427" s="472"/>
      <c r="X1427" s="472"/>
      <c r="Y1427" s="472"/>
    </row>
    <row r="1428" spans="1:25" ht="36" x14ac:dyDescent="0.25">
      <c r="A1428" s="463"/>
      <c r="B1428" s="506">
        <v>89259</v>
      </c>
      <c r="C1428" s="507"/>
      <c r="D1428" s="508"/>
      <c r="E1428" s="509" t="str">
        <f>IF($C1428="",IFERROR(VLOOKUP($B1428,SERVIÇOS!$B:$G,2,0),IFERROR(VLOOKUP($B1428,$D:$K,2,0),"")),IFERROR(VLOOKUP($C1428,INSUMOS!$A:$D,2,0),IFERROR(VLOOKUP($C1428,COTAÇÕES!$B:$I,2,0),(VLOOKUP($C1428,'INSUMO SINAPI - SP'!$C:$F,2,0)))))</f>
        <v>GUINDAUTO HIDRÁULICO, CAPACIDADE MÁXIMA DE CARGA 6200 KG, MOMENTO MÁXIMO DE CARGA 11,7 TM, ALCANCE MÁXIMO HORIZONTAL 9,70 M, INCLUSIVE CAMINHÃO TOCO PBT 16.000 KG, POTÊNCIA DE 189 CV - DEPRECIAÇÃO. AF_06/2014</v>
      </c>
      <c r="F1428" s="510" t="str">
        <f>IF($C1428="",IFERROR(VLOOKUP($B1428,SERVIÇOS!$B:$G,3,0),IFERROR(VLOOKUP($B1428,$D:$K,3,0),"")),IFERROR(VLOOKUP($C1428,INSUMOS!$A:$D,3,0),IFERROR(VLOOKUP($C1428,COTAÇÕES!$B:$I,3,0),(VLOOKUP($C1428,'INSUMO SINAPI - SP'!$C:$F,3,0)))))</f>
        <v>H</v>
      </c>
      <c r="G1428" s="511">
        <v>3</v>
      </c>
      <c r="H1428" s="512">
        <f>IF($C1428="",IFERROR(VLOOKUP($B1428,SERVIÇOS!$B:$G,6,0),IFERROR(VLOOKUP($B1428,$D:$K,8,0),"")),IFERROR(VLOOKUP($C1428,INSUMOS!$A:$D,4,0),IFERROR(VLOOKUP($C1428,COTAÇÕES!$B:$I,7,0),(VLOOKUP($C1428,'INSUMO SINAPI - SP'!$C:$F,4,0)))))</f>
        <v>27.72</v>
      </c>
      <c r="I1428" s="513">
        <f>TRUNC(IF($C1428="",IFERROR(VLOOKUP($B1428,SERVIÇOS!$B:$G,4,0),IFERROR(VLOOKUP($B1428,$D:$K,6,0),)),IFERROR(VLOOKUP($C1428,INSUMOS!$A:$D,4,0),IFERROR(VLOOKUP($C1428,COTAÇÕES!$B:$I,7,0),(VLOOKUP($C1428,'INSUMO SINAPI - SP'!$C:$F,4,0)))))*$G1428,2)</f>
        <v>83.16</v>
      </c>
      <c r="J1428" s="513">
        <f>TRUNC(IF($C1428="",IFERROR(VLOOKUP($B1428,SERVIÇOS!$B:$G,5,0),IFERROR(VLOOKUP($B1428,$D:$K,7,0),)),0)*$G1428,2)</f>
        <v>0</v>
      </c>
      <c r="K1428" s="514">
        <f t="shared" si="51"/>
        <v>83.16</v>
      </c>
      <c r="L1428" s="515"/>
      <c r="M1428" s="471"/>
      <c r="N1428" s="516"/>
      <c r="Q1428" s="472"/>
      <c r="R1428" s="472"/>
      <c r="S1428" s="472"/>
      <c r="T1428" s="472"/>
      <c r="U1428" s="472"/>
      <c r="V1428" s="472"/>
      <c r="W1428" s="472"/>
      <c r="X1428" s="472"/>
      <c r="Y1428" s="472"/>
    </row>
    <row r="1429" spans="1:25" ht="409.5" x14ac:dyDescent="0.25">
      <c r="A1429" s="463"/>
      <c r="B1429" s="506"/>
      <c r="C1429" s="507" t="s">
        <v>13338</v>
      </c>
      <c r="D1429" s="508"/>
      <c r="E1429" s="509" t="str">
        <f>IF($C1429="",IFERROR(VLOOKUP($B1429,SERVIÇOS!$B:$G,2,0),IFERROR(VLOOKUP($B1429,$D:$K,2,0),"")),IFERROR(VLOOKUP($C1429,INSUMOS!$A:$D,2,0),IFERROR(VLOOKUP($C1429,COTAÇÕES!$B:$I,2,0),(VLOOKUP($C1429,'INSUMO SINAPI - SP'!$C:$F,2,0)))))</f>
        <v>UNIDADES DE TRATAMENTO DE AR MODULAR DE MONTAGEM HORIZONTAL
AMBIENTES ATENDIDOS: CME ESTERILIZAÇÃO QUÍMICA
LOCALIZAÇÃO: LAJE EXPOSTA AO TEMPO
TIPO DE SISTEMA DE CLIMATIZAÇÃO: EXPANSÃO DIRETA, FLUIDO R410A (OBS: DEVE ACOMPANHAR VÁLVULA DE EXPANSÃO ELETRÔNICA CONFORME SELEÇÃO DO FABRICANTE)
CARGA TÉRMICA TOTAL DA SERPENTINA: 1,69kW
CARGA TÉRMICA SENSÍVEL DA SERPENTINA: 1,20kW
VAZÃO DE INSUFLAMENTO: 700m³/h
VAZÃO DE AR EXTERNO: 40m³/h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1429" s="510" t="str">
        <f>IF($C1429="",IFERROR(VLOOKUP($B1429,SERVIÇOS!$B:$G,3,0),IFERROR(VLOOKUP($B1429,$D:$K,3,0),"")),IFERROR(VLOOKUP($C1429,INSUMOS!$A:$D,3,0),IFERROR(VLOOKUP($C1429,COTAÇÕES!$B:$I,3,0),(VLOOKUP($C1429,'INSUMO SINAPI - SP'!$C:$F,3,0)))))</f>
        <v>UN</v>
      </c>
      <c r="G1429" s="511">
        <v>1</v>
      </c>
      <c r="H1429" s="512">
        <f>IF($C1429="",IFERROR(VLOOKUP($B1429,SERVIÇOS!$B:$G,6,0),IFERROR(VLOOKUP($B1429,$D:$K,8,0),"")),IFERROR(VLOOKUP($C1429,INSUMOS!$A:$D,4,0),IFERROR(VLOOKUP($C1429,COTAÇÕES!$B:$I,8,0),(VLOOKUP($C1429,'INSUMO SINAPI - SP'!$C:$F,4,0)))))</f>
        <v>34269.21</v>
      </c>
      <c r="I1429" s="513">
        <f>TRUNC(IF($C1429="",IFERROR(VLOOKUP($B1429,SERVIÇOS!$B:$G,4,0),IFERROR(VLOOKUP($B1429,$D:$K,6,0),)),IFERROR(VLOOKUP($C1429,INSUMOS!$A:$D,4,0),IFERROR(VLOOKUP($C1429,COTAÇÕES!$B:$I,8,0),(VLOOKUP($C1429,'INSUMO SINAPI - SP'!$C:$F,4,0)))))*$G1429,2)</f>
        <v>34269.21</v>
      </c>
      <c r="J1429" s="513"/>
      <c r="K1429" s="514">
        <f t="shared" si="51"/>
        <v>34269.21</v>
      </c>
      <c r="L1429" s="517" t="s">
        <v>12878</v>
      </c>
      <c r="M1429" s="471"/>
      <c r="N1429" s="516"/>
      <c r="Q1429" s="472"/>
      <c r="R1429" s="472"/>
      <c r="S1429" s="472"/>
      <c r="T1429" s="472"/>
      <c r="U1429" s="472"/>
      <c r="V1429" s="472"/>
      <c r="W1429" s="472"/>
      <c r="X1429" s="472"/>
      <c r="Y1429" s="472"/>
    </row>
    <row r="1430" spans="1:25" ht="409.5" x14ac:dyDescent="0.25">
      <c r="A1430" s="463"/>
      <c r="B1430" s="498"/>
      <c r="C1430" s="498"/>
      <c r="D1430" s="499" t="s">
        <v>12576</v>
      </c>
      <c r="E1430" s="500" t="s">
        <v>13339</v>
      </c>
      <c r="F1430" s="501" t="s">
        <v>580</v>
      </c>
      <c r="G1430" s="502"/>
      <c r="H1430" s="503"/>
      <c r="I1430" s="504">
        <f>SUM(I1431:I1437)</f>
        <v>35456.339999999997</v>
      </c>
      <c r="J1430" s="504">
        <f>SUM(J1431:J1437)</f>
        <v>2841.19</v>
      </c>
      <c r="K1430" s="504">
        <f>+J1430+I1430</f>
        <v>38297.53</v>
      </c>
      <c r="L1430" s="523" t="s">
        <v>12842</v>
      </c>
      <c r="M1430" s="471"/>
      <c r="N1430" s="505"/>
      <c r="Q1430" s="472"/>
      <c r="R1430" s="472"/>
      <c r="S1430" s="472"/>
      <c r="T1430" s="472"/>
      <c r="U1430" s="472"/>
      <c r="V1430" s="472"/>
      <c r="W1430" s="472"/>
      <c r="X1430" s="472"/>
      <c r="Y1430" s="472"/>
    </row>
    <row r="1431" spans="1:25" x14ac:dyDescent="0.25">
      <c r="A1431" s="463"/>
      <c r="B1431" s="506">
        <v>88243</v>
      </c>
      <c r="C1431" s="507"/>
      <c r="D1431" s="508"/>
      <c r="E1431" s="509" t="str">
        <f>IF($C1431="",IFERROR(VLOOKUP($B1431,SERVIÇOS!$B:$G,2,0),IFERROR(VLOOKUP($B1431,$D:$K,2,0),"")),IFERROR(VLOOKUP($C1431,INSUMOS!$A:$D,2,0),IFERROR(VLOOKUP($C1431,COTAÇÕES!$B:$I,2,0),(VLOOKUP($C1431,'INSUMO SINAPI - SP'!$C:$F,2,0)))))</f>
        <v>AJUDANTE ESPECIALIZADO COM ENCARGOS COMPLEMENTARES</v>
      </c>
      <c r="F1431" s="510" t="str">
        <f>IF($C1431="",IFERROR(VLOOKUP($B1431,SERVIÇOS!$B:$G,3,0),IFERROR(VLOOKUP($B1431,$D:$K,3,0),"")),IFERROR(VLOOKUP($C1431,INSUMOS!$A:$D,3,0),IFERROR(VLOOKUP($C1431,COTAÇÕES!$B:$I,3,0),(VLOOKUP($C1431,'INSUMO SINAPI - SP'!$C:$F,3,0)))))</f>
        <v>H</v>
      </c>
      <c r="G1431" s="511">
        <v>82.5</v>
      </c>
      <c r="H1431" s="512">
        <f>IF($C1431="",IFERROR(VLOOKUP($B1431,SERVIÇOS!$B:$G,6,0),IFERROR(VLOOKUP($B1431,$D:$K,8,0),"")),IFERROR(VLOOKUP($C1431,INSUMOS!$A:$D,4,0),IFERROR(VLOOKUP($C1431,COTAÇÕES!$B:$I,7,0),(VLOOKUP($C1431,'INSUMO SINAPI - SP'!$C:$F,4,0)))))</f>
        <v>29.78</v>
      </c>
      <c r="I1431" s="513">
        <f>TRUNC(IF($C1431="",IFERROR(VLOOKUP($B1431,SERVIÇOS!$B:$G,4,0),IFERROR(VLOOKUP($B1431,$D:$K,6,0),)),IFERROR(VLOOKUP($C1431,INSUMOS!$A:$D,4,0),IFERROR(VLOOKUP($C1431,COTAÇÕES!$B:$I,7,0),(VLOOKUP($C1431,'INSUMO SINAPI - SP'!$C:$F,4,0)))))*$G1431,2)</f>
        <v>759</v>
      </c>
      <c r="J1431" s="513">
        <f>TRUNC(IF($C1431="",IFERROR(VLOOKUP($B1431,SERVIÇOS!$B:$G,5,0),IFERROR(VLOOKUP($B1431,$D:$K,7,0),)),0)*$G1431,2)</f>
        <v>1697.85</v>
      </c>
      <c r="K1431" s="514">
        <f t="shared" ref="K1431:K1437" si="52">I1431+J1431</f>
        <v>2456.85</v>
      </c>
      <c r="L1431" s="515"/>
      <c r="M1431" s="471"/>
      <c r="N1431" s="516"/>
      <c r="Q1431" s="472"/>
      <c r="R1431" s="472"/>
      <c r="S1431" s="472"/>
      <c r="T1431" s="472"/>
      <c r="U1431" s="472"/>
      <c r="V1431" s="472"/>
      <c r="W1431" s="472"/>
      <c r="X1431" s="472"/>
      <c r="Y1431" s="472"/>
    </row>
    <row r="1432" spans="1:25" x14ac:dyDescent="0.25">
      <c r="A1432" s="463"/>
      <c r="B1432" s="506">
        <v>88264</v>
      </c>
      <c r="C1432" s="507"/>
      <c r="D1432" s="508"/>
      <c r="E1432" s="509" t="str">
        <f>IF($C1432="",IFERROR(VLOOKUP($B1432,SERVIÇOS!$B:$G,2,0),IFERROR(VLOOKUP($B1432,$D:$K,2,0),"")),IFERROR(VLOOKUP($C1432,INSUMOS!$A:$D,2,0),IFERROR(VLOOKUP($C1432,COTAÇÕES!$B:$I,2,0),(VLOOKUP($C1432,'INSUMO SINAPI - SP'!$C:$F,2,0)))))</f>
        <v>ELETRICISTA COM ENCARGOS COMPLEMENTARES</v>
      </c>
      <c r="F1432" s="510" t="str">
        <f>IF($C1432="",IFERROR(VLOOKUP($B1432,SERVIÇOS!$B:$G,3,0),IFERROR(VLOOKUP($B1432,$D:$K,3,0),"")),IFERROR(VLOOKUP($C1432,INSUMOS!$A:$D,3,0),IFERROR(VLOOKUP($C1432,COTAÇÕES!$B:$I,3,0),(VLOOKUP($C1432,'INSUMO SINAPI - SP'!$C:$F,3,0)))))</f>
        <v>H</v>
      </c>
      <c r="G1432" s="511">
        <v>5.2</v>
      </c>
      <c r="H1432" s="512">
        <f>IF($C1432="",IFERROR(VLOOKUP($B1432,SERVIÇOS!$B:$G,6,0),IFERROR(VLOOKUP($B1432,$D:$K,8,0),"")),IFERROR(VLOOKUP($C1432,INSUMOS!$A:$D,4,0),IFERROR(VLOOKUP($C1432,COTAÇÕES!$B:$I,7,0),(VLOOKUP($C1432,'INSUMO SINAPI - SP'!$C:$F,4,0)))))</f>
        <v>37.369999999999997</v>
      </c>
      <c r="I1432" s="513">
        <f>TRUNC(IF($C1432="",IFERROR(VLOOKUP($B1432,SERVIÇOS!$B:$G,4,0),IFERROR(VLOOKUP($B1432,$D:$K,6,0),)),IFERROR(VLOOKUP($C1432,INSUMOS!$A:$D,4,0),IFERROR(VLOOKUP($C1432,COTAÇÕES!$B:$I,7,0),(VLOOKUP($C1432,'INSUMO SINAPI - SP'!$C:$F,4,0)))))*$G1432,2)</f>
        <v>48.41</v>
      </c>
      <c r="J1432" s="513">
        <f>TRUNC(IF($C1432="",IFERROR(VLOOKUP($B1432,SERVIÇOS!$B:$G,5,0),IFERROR(VLOOKUP($B1432,$D:$K,7,0),)),0)*$G1432,2)</f>
        <v>145.91</v>
      </c>
      <c r="K1432" s="514">
        <f t="shared" si="52"/>
        <v>194.32</v>
      </c>
      <c r="L1432" s="515"/>
      <c r="M1432" s="471"/>
      <c r="N1432" s="516"/>
      <c r="Q1432" s="472"/>
      <c r="R1432" s="472"/>
      <c r="S1432" s="472"/>
      <c r="T1432" s="472"/>
      <c r="U1432" s="472"/>
      <c r="V1432" s="472"/>
      <c r="W1432" s="472"/>
      <c r="X1432" s="472"/>
      <c r="Y1432" s="472"/>
    </row>
    <row r="1433" spans="1:25" x14ac:dyDescent="0.25">
      <c r="A1433" s="463"/>
      <c r="B1433" s="506">
        <v>88247</v>
      </c>
      <c r="C1433" s="507"/>
      <c r="D1433" s="508"/>
      <c r="E1433" s="509" t="str">
        <f>IF($C1433="",IFERROR(VLOOKUP($B1433,SERVIÇOS!$B:$G,2,0),IFERROR(VLOOKUP($B1433,$D:$K,2,0),"")),IFERROR(VLOOKUP($C1433,INSUMOS!$A:$D,2,0),IFERROR(VLOOKUP($C1433,COTAÇÕES!$B:$I,2,0),(VLOOKUP($C1433,'INSUMO SINAPI - SP'!$C:$F,2,0)))))</f>
        <v>AUXILIAR DE ELETRICISTA COM ENCARGOS COMPLEMENTARES</v>
      </c>
      <c r="F1433" s="510" t="str">
        <f>IF($C1433="",IFERROR(VLOOKUP($B1433,SERVIÇOS!$B:$G,3,0),IFERROR(VLOOKUP($B1433,$D:$K,3,0),"")),IFERROR(VLOOKUP($C1433,INSUMOS!$A:$D,3,0),IFERROR(VLOOKUP($C1433,COTAÇÕES!$B:$I,3,0),(VLOOKUP($C1433,'INSUMO SINAPI - SP'!$C:$F,3,0)))))</f>
        <v>H</v>
      </c>
      <c r="G1433" s="511">
        <v>5.2</v>
      </c>
      <c r="H1433" s="512">
        <f>IF($C1433="",IFERROR(VLOOKUP($B1433,SERVIÇOS!$B:$G,6,0),IFERROR(VLOOKUP($B1433,$D:$K,8,0),"")),IFERROR(VLOOKUP($C1433,INSUMOS!$A:$D,4,0),IFERROR(VLOOKUP($C1433,COTAÇÕES!$B:$I,7,0),(VLOOKUP($C1433,'INSUMO SINAPI - SP'!$C:$F,4,0)))))</f>
        <v>30.8</v>
      </c>
      <c r="I1433" s="513">
        <f>TRUNC(IF($C1433="",IFERROR(VLOOKUP($B1433,SERVIÇOS!$B:$G,4,0),IFERROR(VLOOKUP($B1433,$D:$K,6,0),)),IFERROR(VLOOKUP($C1433,INSUMOS!$A:$D,4,0),IFERROR(VLOOKUP($C1433,COTAÇÕES!$B:$I,7,0),(VLOOKUP($C1433,'INSUMO SINAPI - SP'!$C:$F,4,0)))))*$G1433,2)</f>
        <v>48.46</v>
      </c>
      <c r="J1433" s="513">
        <f>TRUNC(IF($C1433="",IFERROR(VLOOKUP($B1433,SERVIÇOS!$B:$G,5,0),IFERROR(VLOOKUP($B1433,$D:$K,7,0),)),0)*$G1433,2)</f>
        <v>111.69</v>
      </c>
      <c r="K1433" s="514">
        <f t="shared" si="52"/>
        <v>160.15</v>
      </c>
      <c r="L1433" s="515"/>
      <c r="M1433" s="471"/>
      <c r="N1433" s="516"/>
      <c r="Q1433" s="472"/>
      <c r="R1433" s="472"/>
      <c r="S1433" s="472"/>
      <c r="T1433" s="472"/>
      <c r="U1433" s="472"/>
      <c r="V1433" s="472"/>
      <c r="W1433" s="472"/>
      <c r="X1433" s="472"/>
      <c r="Y1433" s="472"/>
    </row>
    <row r="1434" spans="1:25" x14ac:dyDescent="0.25">
      <c r="A1434" s="463"/>
      <c r="B1434" s="506">
        <v>88277</v>
      </c>
      <c r="C1434" s="507"/>
      <c r="D1434" s="508"/>
      <c r="E1434" s="509" t="str">
        <f>IF($C1434="",IFERROR(VLOOKUP($B1434,SERVIÇOS!$B:$G,2,0),IFERROR(VLOOKUP($B1434,$D:$K,2,0),"")),IFERROR(VLOOKUP($C1434,INSUMOS!$A:$D,2,0),IFERROR(VLOOKUP($C1434,COTAÇÕES!$B:$I,2,0),(VLOOKUP($C1434,'INSUMO SINAPI - SP'!$C:$F,2,0)))))</f>
        <v>MONTADOR (TUBO AÇO/EQUIPAMENTOS) COM ENCARGOS COMPLEMENTARES</v>
      </c>
      <c r="F1434" s="510" t="str">
        <f>IF($C1434="",IFERROR(VLOOKUP($B1434,SERVIÇOS!$B:$G,3,0),IFERROR(VLOOKUP($B1434,$D:$K,3,0),"")),IFERROR(VLOOKUP($C1434,INSUMOS!$A:$D,3,0),IFERROR(VLOOKUP($C1434,COTAÇÕES!$B:$I,3,0),(VLOOKUP($C1434,'INSUMO SINAPI - SP'!$C:$F,3,0)))))</f>
        <v>H</v>
      </c>
      <c r="G1434" s="511">
        <v>27.5</v>
      </c>
      <c r="H1434" s="512">
        <f>IF($C1434="",IFERROR(VLOOKUP($B1434,SERVIÇOS!$B:$G,6,0),IFERROR(VLOOKUP($B1434,$D:$K,8,0),"")),IFERROR(VLOOKUP($C1434,INSUMOS!$A:$D,4,0),IFERROR(VLOOKUP($C1434,COTAÇÕES!$B:$I,7,0),(VLOOKUP($C1434,'INSUMO SINAPI - SP'!$C:$F,4,0)))))</f>
        <v>37.33</v>
      </c>
      <c r="I1434" s="513">
        <f>TRUNC(IF($C1434="",IFERROR(VLOOKUP($B1434,SERVIÇOS!$B:$G,4,0),IFERROR(VLOOKUP($B1434,$D:$K,6,0),)),IFERROR(VLOOKUP($C1434,INSUMOS!$A:$D,4,0),IFERROR(VLOOKUP($C1434,COTAÇÕES!$B:$I,7,0),(VLOOKUP($C1434,'INSUMO SINAPI - SP'!$C:$F,4,0)))))*$G1434,2)</f>
        <v>222.47</v>
      </c>
      <c r="J1434" s="513">
        <f>TRUNC(IF($C1434="",IFERROR(VLOOKUP($B1434,SERVIÇOS!$B:$G,5,0),IFERROR(VLOOKUP($B1434,$D:$K,7,0),)),0)*$G1434,2)</f>
        <v>804.1</v>
      </c>
      <c r="K1434" s="514">
        <f t="shared" si="52"/>
        <v>1026.57</v>
      </c>
      <c r="L1434" s="515"/>
      <c r="M1434" s="471"/>
      <c r="N1434" s="516"/>
      <c r="Q1434" s="472"/>
      <c r="R1434" s="472"/>
      <c r="S1434" s="472"/>
      <c r="T1434" s="472"/>
      <c r="U1434" s="472"/>
      <c r="V1434" s="472"/>
      <c r="W1434" s="472"/>
      <c r="X1434" s="472"/>
      <c r="Y1434" s="472"/>
    </row>
    <row r="1435" spans="1:25" x14ac:dyDescent="0.25">
      <c r="A1435" s="463"/>
      <c r="B1435" s="506">
        <v>88279</v>
      </c>
      <c r="C1435" s="507"/>
      <c r="D1435" s="508"/>
      <c r="E1435" s="509" t="str">
        <f>IF($C1435="",IFERROR(VLOOKUP($B1435,SERVIÇOS!$B:$G,2,0),IFERROR(VLOOKUP($B1435,$D:$K,2,0),"")),IFERROR(VLOOKUP($C1435,INSUMOS!$A:$D,2,0),IFERROR(VLOOKUP($C1435,COTAÇÕES!$B:$I,2,0),(VLOOKUP($C1435,'INSUMO SINAPI - SP'!$C:$F,2,0)))))</f>
        <v>MONTADOR ELETROMECÃNICO COM ENCARGOS COMPLEMENTARES</v>
      </c>
      <c r="F1435" s="510" t="str">
        <f>IF($C1435="",IFERROR(VLOOKUP($B1435,SERVIÇOS!$B:$G,3,0),IFERROR(VLOOKUP($B1435,$D:$K,3,0),"")),IFERROR(VLOOKUP($C1435,INSUMOS!$A:$D,3,0),IFERROR(VLOOKUP($C1435,COTAÇÕES!$B:$I,3,0),(VLOOKUP($C1435,'INSUMO SINAPI - SP'!$C:$F,3,0)))))</f>
        <v>H</v>
      </c>
      <c r="G1435" s="511">
        <v>2.75</v>
      </c>
      <c r="H1435" s="512">
        <f>IF($C1435="",IFERROR(VLOOKUP($B1435,SERVIÇOS!$B:$G,6,0),IFERROR(VLOOKUP($B1435,$D:$K,8,0),"")),IFERROR(VLOOKUP($C1435,INSUMOS!$A:$D,4,0),IFERROR(VLOOKUP($C1435,COTAÇÕES!$B:$I,7,0),(VLOOKUP($C1435,'INSUMO SINAPI - SP'!$C:$F,4,0)))))</f>
        <v>39.01</v>
      </c>
      <c r="I1435" s="513">
        <f>TRUNC(IF($C1435="",IFERROR(VLOOKUP($B1435,SERVIÇOS!$B:$G,4,0),IFERROR(VLOOKUP($B1435,$D:$K,6,0),)),IFERROR(VLOOKUP($C1435,INSUMOS!$A:$D,4,0),IFERROR(VLOOKUP($C1435,COTAÇÕES!$B:$I,7,0),(VLOOKUP($C1435,'INSUMO SINAPI - SP'!$C:$F,4,0)))))*$G1435,2)</f>
        <v>25.63</v>
      </c>
      <c r="J1435" s="513">
        <f>TRUNC(IF($C1435="",IFERROR(VLOOKUP($B1435,SERVIÇOS!$B:$G,5,0),IFERROR(VLOOKUP($B1435,$D:$K,7,0),)),0)*$G1435,2)</f>
        <v>81.64</v>
      </c>
      <c r="K1435" s="514">
        <f t="shared" si="52"/>
        <v>107.27</v>
      </c>
      <c r="L1435" s="515"/>
      <c r="M1435" s="471"/>
      <c r="N1435" s="516"/>
      <c r="Q1435" s="472"/>
      <c r="R1435" s="472"/>
      <c r="S1435" s="472"/>
      <c r="T1435" s="472"/>
      <c r="U1435" s="472"/>
      <c r="V1435" s="472"/>
      <c r="W1435" s="472"/>
      <c r="X1435" s="472"/>
      <c r="Y1435" s="472"/>
    </row>
    <row r="1436" spans="1:25" ht="36" x14ac:dyDescent="0.25">
      <c r="A1436" s="463"/>
      <c r="B1436" s="506">
        <v>89259</v>
      </c>
      <c r="C1436" s="507"/>
      <c r="D1436" s="508"/>
      <c r="E1436" s="509" t="str">
        <f>IF($C1436="",IFERROR(VLOOKUP($B1436,SERVIÇOS!$B:$G,2,0),IFERROR(VLOOKUP($B1436,$D:$K,2,0),"")),IFERROR(VLOOKUP($C1436,INSUMOS!$A:$D,2,0),IFERROR(VLOOKUP($C1436,COTAÇÕES!$B:$I,2,0),(VLOOKUP($C1436,'INSUMO SINAPI - SP'!$C:$F,2,0)))))</f>
        <v>GUINDAUTO HIDRÁULICO, CAPACIDADE MÁXIMA DE CARGA 6200 KG, MOMENTO MÁXIMO DE CARGA 11,7 TM, ALCANCE MÁXIMO HORIZONTAL 9,70 M, INCLUSIVE CAMINHÃO TOCO PBT 16.000 KG, POTÊNCIA DE 189 CV - DEPRECIAÇÃO. AF_06/2014</v>
      </c>
      <c r="F1436" s="510" t="str">
        <f>IF($C1436="",IFERROR(VLOOKUP($B1436,SERVIÇOS!$B:$G,3,0),IFERROR(VLOOKUP($B1436,$D:$K,3,0),"")),IFERROR(VLOOKUP($C1436,INSUMOS!$A:$D,3,0),IFERROR(VLOOKUP($C1436,COTAÇÕES!$B:$I,3,0),(VLOOKUP($C1436,'INSUMO SINAPI - SP'!$C:$F,3,0)))))</f>
        <v>H</v>
      </c>
      <c r="G1436" s="511">
        <v>3</v>
      </c>
      <c r="H1436" s="512">
        <f>IF($C1436="",IFERROR(VLOOKUP($B1436,SERVIÇOS!$B:$G,6,0),IFERROR(VLOOKUP($B1436,$D:$K,8,0),"")),IFERROR(VLOOKUP($C1436,INSUMOS!$A:$D,4,0),IFERROR(VLOOKUP($C1436,COTAÇÕES!$B:$I,7,0),(VLOOKUP($C1436,'INSUMO SINAPI - SP'!$C:$F,4,0)))))</f>
        <v>27.72</v>
      </c>
      <c r="I1436" s="513">
        <f>TRUNC(IF($C1436="",IFERROR(VLOOKUP($B1436,SERVIÇOS!$B:$G,4,0),IFERROR(VLOOKUP($B1436,$D:$K,6,0),)),IFERROR(VLOOKUP($C1436,INSUMOS!$A:$D,4,0),IFERROR(VLOOKUP($C1436,COTAÇÕES!$B:$I,7,0),(VLOOKUP($C1436,'INSUMO SINAPI - SP'!$C:$F,4,0)))))*$G1436,2)</f>
        <v>83.16</v>
      </c>
      <c r="J1436" s="513">
        <f>TRUNC(IF($C1436="",IFERROR(VLOOKUP($B1436,SERVIÇOS!$B:$G,5,0),IFERROR(VLOOKUP($B1436,$D:$K,7,0),)),0)*$G1436,2)</f>
        <v>0</v>
      </c>
      <c r="K1436" s="514">
        <f t="shared" si="52"/>
        <v>83.16</v>
      </c>
      <c r="L1436" s="515"/>
      <c r="M1436" s="471"/>
      <c r="N1436" s="516"/>
      <c r="Q1436" s="472"/>
      <c r="R1436" s="472"/>
      <c r="S1436" s="472"/>
      <c r="T1436" s="472"/>
      <c r="U1436" s="472"/>
      <c r="V1436" s="472"/>
      <c r="W1436" s="472"/>
      <c r="X1436" s="472"/>
      <c r="Y1436" s="472"/>
    </row>
    <row r="1437" spans="1:25" ht="409.5" x14ac:dyDescent="0.25">
      <c r="A1437" s="463"/>
      <c r="B1437" s="506"/>
      <c r="C1437" s="507" t="s">
        <v>13340</v>
      </c>
      <c r="D1437" s="508"/>
      <c r="E1437" s="509" t="str">
        <f>IF($C1437="",IFERROR(VLOOKUP($B1437,SERVIÇOS!$B:$G,2,0),IFERROR(VLOOKUP($B1437,$D:$K,2,0),"")),IFERROR(VLOOKUP($C1437,INSUMOS!$A:$D,2,0),IFERROR(VLOOKUP($C1437,COTAÇÕES!$B:$I,2,0),(VLOOKUP($C1437,'INSUMO SINAPI - SP'!$C:$F,2,0)))))</f>
        <v>UNIDADES DE TRATAMENTO DE AR MODULAR DE MONTAGEM HORIZONTAL
AMBIENTES ATENDIDOS: CME LAVAGEM
LOCALIZAÇÃO: LAJE EXPOSTA AO TEMPO
TIPO DE SISTEMA DE CLIMATIZAÇÃO: EXPANSÃO DIRETA, FLUIDO R410A (OBS: DEVE ACOMPANHAR VÁLVULA DE EXPANSÃO ELETRÔNICA CONFORME SELEÇÃO DO FABRICANTE)
CARGA TÉRMICA TOTAL DA SERPENTINA: 1,82kW
CARGA TÉRMICA SENSÍVEL DA SERPENTINA: 1,25kW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0,50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1437" s="510" t="str">
        <f>IF($C1437="",IFERROR(VLOOKUP($B1437,SERVIÇOS!$B:$G,3,0),IFERROR(VLOOKUP($B1437,$D:$K,3,0),"")),IFERROR(VLOOKUP($C1437,INSUMOS!$A:$D,3,0),IFERROR(VLOOKUP($C1437,COTAÇÕES!$B:$I,3,0),(VLOOKUP($C1437,'INSUMO SINAPI - SP'!$C:$F,3,0)))))</f>
        <v>UN</v>
      </c>
      <c r="G1437" s="511">
        <v>1</v>
      </c>
      <c r="H1437" s="512">
        <f>IF($C1437="",IFERROR(VLOOKUP($B1437,SERVIÇOS!$B:$G,6,0),IFERROR(VLOOKUP($B1437,$D:$K,8,0),"")),IFERROR(VLOOKUP($C1437,INSUMOS!$A:$D,4,0),IFERROR(VLOOKUP($C1437,COTAÇÕES!$B:$I,8,0),(VLOOKUP($C1437,'INSUMO SINAPI - SP'!$C:$F,4,0)))))</f>
        <v>34269.21</v>
      </c>
      <c r="I1437" s="513">
        <f>TRUNC(IF($C1437="",IFERROR(VLOOKUP($B1437,SERVIÇOS!$B:$G,4,0),IFERROR(VLOOKUP($B1437,$D:$K,6,0),)),IFERROR(VLOOKUP($C1437,INSUMOS!$A:$D,4,0),IFERROR(VLOOKUP($C1437,COTAÇÕES!$B:$I,8,0),(VLOOKUP($C1437,'INSUMO SINAPI - SP'!$C:$F,4,0)))))*$G1437,2)</f>
        <v>34269.21</v>
      </c>
      <c r="J1437" s="513"/>
      <c r="K1437" s="514">
        <f t="shared" si="52"/>
        <v>34269.21</v>
      </c>
      <c r="L1437" s="517" t="s">
        <v>12878</v>
      </c>
      <c r="M1437" s="471"/>
      <c r="N1437" s="516"/>
      <c r="Q1437" s="472"/>
      <c r="R1437" s="472"/>
      <c r="S1437" s="472"/>
      <c r="T1437" s="472"/>
      <c r="U1437" s="472"/>
      <c r="V1437" s="472"/>
      <c r="W1437" s="472"/>
      <c r="X1437" s="472"/>
      <c r="Y1437" s="472"/>
    </row>
    <row r="1438" spans="1:25" ht="409.5" x14ac:dyDescent="0.25">
      <c r="A1438" s="463"/>
      <c r="B1438" s="498"/>
      <c r="C1438" s="498"/>
      <c r="D1438" s="499" t="s">
        <v>12579</v>
      </c>
      <c r="E1438" s="500" t="s">
        <v>13341</v>
      </c>
      <c r="F1438" s="501" t="s">
        <v>580</v>
      </c>
      <c r="G1438" s="502"/>
      <c r="H1438" s="503"/>
      <c r="I1438" s="504">
        <f>SUM(I1439:I1445)</f>
        <v>35456.339999999997</v>
      </c>
      <c r="J1438" s="504">
        <f>SUM(J1439:J1445)</f>
        <v>2841.19</v>
      </c>
      <c r="K1438" s="504">
        <f>+J1438+I1438</f>
        <v>38297.53</v>
      </c>
      <c r="L1438" s="523" t="s">
        <v>12842</v>
      </c>
      <c r="M1438" s="471"/>
      <c r="N1438" s="505"/>
      <c r="Q1438" s="472"/>
      <c r="R1438" s="472"/>
      <c r="S1438" s="472"/>
      <c r="T1438" s="472"/>
      <c r="U1438" s="472"/>
      <c r="V1438" s="472"/>
      <c r="W1438" s="472"/>
      <c r="X1438" s="472"/>
      <c r="Y1438" s="472"/>
    </row>
    <row r="1439" spans="1:25" x14ac:dyDescent="0.25">
      <c r="A1439" s="463"/>
      <c r="B1439" s="506">
        <v>88243</v>
      </c>
      <c r="C1439" s="507"/>
      <c r="D1439" s="508"/>
      <c r="E1439" s="509" t="str">
        <f>IF($C1439="",IFERROR(VLOOKUP($B1439,SERVIÇOS!$B:$G,2,0),IFERROR(VLOOKUP($B1439,$D:$K,2,0),"")),IFERROR(VLOOKUP($C1439,INSUMOS!$A:$D,2,0),IFERROR(VLOOKUP($C1439,COTAÇÕES!$B:$I,2,0),(VLOOKUP($C1439,'INSUMO SINAPI - SP'!$C:$F,2,0)))))</f>
        <v>AJUDANTE ESPECIALIZADO COM ENCARGOS COMPLEMENTARES</v>
      </c>
      <c r="F1439" s="510" t="str">
        <f>IF($C1439="",IFERROR(VLOOKUP($B1439,SERVIÇOS!$B:$G,3,0),IFERROR(VLOOKUP($B1439,$D:$K,3,0),"")),IFERROR(VLOOKUP($C1439,INSUMOS!$A:$D,3,0),IFERROR(VLOOKUP($C1439,COTAÇÕES!$B:$I,3,0),(VLOOKUP($C1439,'INSUMO SINAPI - SP'!$C:$F,3,0)))))</f>
        <v>H</v>
      </c>
      <c r="G1439" s="511">
        <v>82.5</v>
      </c>
      <c r="H1439" s="512">
        <f>IF($C1439="",IFERROR(VLOOKUP($B1439,SERVIÇOS!$B:$G,6,0),IFERROR(VLOOKUP($B1439,$D:$K,8,0),"")),IFERROR(VLOOKUP($C1439,INSUMOS!$A:$D,4,0),IFERROR(VLOOKUP($C1439,COTAÇÕES!$B:$I,7,0),(VLOOKUP($C1439,'INSUMO SINAPI - SP'!$C:$F,4,0)))))</f>
        <v>29.78</v>
      </c>
      <c r="I1439" s="513">
        <f>TRUNC(IF($C1439="",IFERROR(VLOOKUP($B1439,SERVIÇOS!$B:$G,4,0),IFERROR(VLOOKUP($B1439,$D:$K,6,0),)),IFERROR(VLOOKUP($C1439,INSUMOS!$A:$D,4,0),IFERROR(VLOOKUP($C1439,COTAÇÕES!$B:$I,7,0),(VLOOKUP($C1439,'INSUMO SINAPI - SP'!$C:$F,4,0)))))*$G1439,2)</f>
        <v>759</v>
      </c>
      <c r="J1439" s="513">
        <f>TRUNC(IF($C1439="",IFERROR(VLOOKUP($B1439,SERVIÇOS!$B:$G,5,0),IFERROR(VLOOKUP($B1439,$D:$K,7,0),)),0)*$G1439,2)</f>
        <v>1697.85</v>
      </c>
      <c r="K1439" s="514">
        <f t="shared" ref="K1439:K1445" si="53">I1439+J1439</f>
        <v>2456.85</v>
      </c>
      <c r="L1439" s="515"/>
      <c r="M1439" s="471"/>
      <c r="N1439" s="516"/>
      <c r="Q1439" s="472"/>
      <c r="R1439" s="472"/>
      <c r="S1439" s="472"/>
      <c r="T1439" s="472"/>
      <c r="U1439" s="472"/>
      <c r="V1439" s="472"/>
      <c r="W1439" s="472"/>
      <c r="X1439" s="472"/>
      <c r="Y1439" s="472"/>
    </row>
    <row r="1440" spans="1:25" x14ac:dyDescent="0.25">
      <c r="A1440" s="463"/>
      <c r="B1440" s="506">
        <v>88264</v>
      </c>
      <c r="C1440" s="507"/>
      <c r="D1440" s="508"/>
      <c r="E1440" s="509" t="str">
        <f>IF($C1440="",IFERROR(VLOOKUP($B1440,SERVIÇOS!$B:$G,2,0),IFERROR(VLOOKUP($B1440,$D:$K,2,0),"")),IFERROR(VLOOKUP($C1440,INSUMOS!$A:$D,2,0),IFERROR(VLOOKUP($C1440,COTAÇÕES!$B:$I,2,0),(VLOOKUP($C1440,'INSUMO SINAPI - SP'!$C:$F,2,0)))))</f>
        <v>ELETRICISTA COM ENCARGOS COMPLEMENTARES</v>
      </c>
      <c r="F1440" s="510" t="str">
        <f>IF($C1440="",IFERROR(VLOOKUP($B1440,SERVIÇOS!$B:$G,3,0),IFERROR(VLOOKUP($B1440,$D:$K,3,0),"")),IFERROR(VLOOKUP($C1440,INSUMOS!$A:$D,3,0),IFERROR(VLOOKUP($C1440,COTAÇÕES!$B:$I,3,0),(VLOOKUP($C1440,'INSUMO SINAPI - SP'!$C:$F,3,0)))))</f>
        <v>H</v>
      </c>
      <c r="G1440" s="511">
        <v>5.2</v>
      </c>
      <c r="H1440" s="512">
        <f>IF($C1440="",IFERROR(VLOOKUP($B1440,SERVIÇOS!$B:$G,6,0),IFERROR(VLOOKUP($B1440,$D:$K,8,0),"")),IFERROR(VLOOKUP($C1440,INSUMOS!$A:$D,4,0),IFERROR(VLOOKUP($C1440,COTAÇÕES!$B:$I,7,0),(VLOOKUP($C1440,'INSUMO SINAPI - SP'!$C:$F,4,0)))))</f>
        <v>37.369999999999997</v>
      </c>
      <c r="I1440" s="513">
        <f>TRUNC(IF($C1440="",IFERROR(VLOOKUP($B1440,SERVIÇOS!$B:$G,4,0),IFERROR(VLOOKUP($B1440,$D:$K,6,0),)),IFERROR(VLOOKUP($C1440,INSUMOS!$A:$D,4,0),IFERROR(VLOOKUP($C1440,COTAÇÕES!$B:$I,7,0),(VLOOKUP($C1440,'INSUMO SINAPI - SP'!$C:$F,4,0)))))*$G1440,2)</f>
        <v>48.41</v>
      </c>
      <c r="J1440" s="513">
        <f>TRUNC(IF($C1440="",IFERROR(VLOOKUP($B1440,SERVIÇOS!$B:$G,5,0),IFERROR(VLOOKUP($B1440,$D:$K,7,0),)),0)*$G1440,2)</f>
        <v>145.91</v>
      </c>
      <c r="K1440" s="514">
        <f t="shared" si="53"/>
        <v>194.32</v>
      </c>
      <c r="L1440" s="515"/>
      <c r="M1440" s="471"/>
      <c r="N1440" s="516"/>
      <c r="Q1440" s="472"/>
      <c r="R1440" s="472"/>
      <c r="S1440" s="472"/>
      <c r="T1440" s="472"/>
      <c r="U1440" s="472"/>
      <c r="V1440" s="472"/>
      <c r="W1440" s="472"/>
      <c r="X1440" s="472"/>
      <c r="Y1440" s="472"/>
    </row>
    <row r="1441" spans="1:25" x14ac:dyDescent="0.25">
      <c r="A1441" s="463"/>
      <c r="B1441" s="506">
        <v>88247</v>
      </c>
      <c r="C1441" s="507"/>
      <c r="D1441" s="508"/>
      <c r="E1441" s="509" t="str">
        <f>IF($C1441="",IFERROR(VLOOKUP($B1441,SERVIÇOS!$B:$G,2,0),IFERROR(VLOOKUP($B1441,$D:$K,2,0),"")),IFERROR(VLOOKUP($C1441,INSUMOS!$A:$D,2,0),IFERROR(VLOOKUP($C1441,COTAÇÕES!$B:$I,2,0),(VLOOKUP($C1441,'INSUMO SINAPI - SP'!$C:$F,2,0)))))</f>
        <v>AUXILIAR DE ELETRICISTA COM ENCARGOS COMPLEMENTARES</v>
      </c>
      <c r="F1441" s="510" t="str">
        <f>IF($C1441="",IFERROR(VLOOKUP($B1441,SERVIÇOS!$B:$G,3,0),IFERROR(VLOOKUP($B1441,$D:$K,3,0),"")),IFERROR(VLOOKUP($C1441,INSUMOS!$A:$D,3,0),IFERROR(VLOOKUP($C1441,COTAÇÕES!$B:$I,3,0),(VLOOKUP($C1441,'INSUMO SINAPI - SP'!$C:$F,3,0)))))</f>
        <v>H</v>
      </c>
      <c r="G1441" s="511">
        <v>5.2</v>
      </c>
      <c r="H1441" s="512">
        <f>IF($C1441="",IFERROR(VLOOKUP($B1441,SERVIÇOS!$B:$G,6,0),IFERROR(VLOOKUP($B1441,$D:$K,8,0),"")),IFERROR(VLOOKUP($C1441,INSUMOS!$A:$D,4,0),IFERROR(VLOOKUP($C1441,COTAÇÕES!$B:$I,7,0),(VLOOKUP($C1441,'INSUMO SINAPI - SP'!$C:$F,4,0)))))</f>
        <v>30.8</v>
      </c>
      <c r="I1441" s="513">
        <f>TRUNC(IF($C1441="",IFERROR(VLOOKUP($B1441,SERVIÇOS!$B:$G,4,0),IFERROR(VLOOKUP($B1441,$D:$K,6,0),)),IFERROR(VLOOKUP($C1441,INSUMOS!$A:$D,4,0),IFERROR(VLOOKUP($C1441,COTAÇÕES!$B:$I,7,0),(VLOOKUP($C1441,'INSUMO SINAPI - SP'!$C:$F,4,0)))))*$G1441,2)</f>
        <v>48.46</v>
      </c>
      <c r="J1441" s="513">
        <f>TRUNC(IF($C1441="",IFERROR(VLOOKUP($B1441,SERVIÇOS!$B:$G,5,0),IFERROR(VLOOKUP($B1441,$D:$K,7,0),)),0)*$G1441,2)</f>
        <v>111.69</v>
      </c>
      <c r="K1441" s="514">
        <f t="shared" si="53"/>
        <v>160.15</v>
      </c>
      <c r="L1441" s="515"/>
      <c r="M1441" s="471"/>
      <c r="N1441" s="516"/>
      <c r="Q1441" s="472"/>
      <c r="R1441" s="472"/>
      <c r="S1441" s="472"/>
      <c r="T1441" s="472"/>
      <c r="U1441" s="472"/>
      <c r="V1441" s="472"/>
      <c r="W1441" s="472"/>
      <c r="X1441" s="472"/>
      <c r="Y1441" s="472"/>
    </row>
    <row r="1442" spans="1:25" x14ac:dyDescent="0.25">
      <c r="A1442" s="463"/>
      <c r="B1442" s="506">
        <v>88277</v>
      </c>
      <c r="C1442" s="507"/>
      <c r="D1442" s="508"/>
      <c r="E1442" s="509" t="str">
        <f>IF($C1442="",IFERROR(VLOOKUP($B1442,SERVIÇOS!$B:$G,2,0),IFERROR(VLOOKUP($B1442,$D:$K,2,0),"")),IFERROR(VLOOKUP($C1442,INSUMOS!$A:$D,2,0),IFERROR(VLOOKUP($C1442,COTAÇÕES!$B:$I,2,0),(VLOOKUP($C1442,'INSUMO SINAPI - SP'!$C:$F,2,0)))))</f>
        <v>MONTADOR (TUBO AÇO/EQUIPAMENTOS) COM ENCARGOS COMPLEMENTARES</v>
      </c>
      <c r="F1442" s="510" t="str">
        <f>IF($C1442="",IFERROR(VLOOKUP($B1442,SERVIÇOS!$B:$G,3,0),IFERROR(VLOOKUP($B1442,$D:$K,3,0),"")),IFERROR(VLOOKUP($C1442,INSUMOS!$A:$D,3,0),IFERROR(VLOOKUP($C1442,COTAÇÕES!$B:$I,3,0),(VLOOKUP($C1442,'INSUMO SINAPI - SP'!$C:$F,3,0)))))</f>
        <v>H</v>
      </c>
      <c r="G1442" s="511">
        <v>27.5</v>
      </c>
      <c r="H1442" s="512">
        <f>IF($C1442="",IFERROR(VLOOKUP($B1442,SERVIÇOS!$B:$G,6,0),IFERROR(VLOOKUP($B1442,$D:$K,8,0),"")),IFERROR(VLOOKUP($C1442,INSUMOS!$A:$D,4,0),IFERROR(VLOOKUP($C1442,COTAÇÕES!$B:$I,7,0),(VLOOKUP($C1442,'INSUMO SINAPI - SP'!$C:$F,4,0)))))</f>
        <v>37.33</v>
      </c>
      <c r="I1442" s="513">
        <f>TRUNC(IF($C1442="",IFERROR(VLOOKUP($B1442,SERVIÇOS!$B:$G,4,0),IFERROR(VLOOKUP($B1442,$D:$K,6,0),)),IFERROR(VLOOKUP($C1442,INSUMOS!$A:$D,4,0),IFERROR(VLOOKUP($C1442,COTAÇÕES!$B:$I,7,0),(VLOOKUP($C1442,'INSUMO SINAPI - SP'!$C:$F,4,0)))))*$G1442,2)</f>
        <v>222.47</v>
      </c>
      <c r="J1442" s="513">
        <f>TRUNC(IF($C1442="",IFERROR(VLOOKUP($B1442,SERVIÇOS!$B:$G,5,0),IFERROR(VLOOKUP($B1442,$D:$K,7,0),)),0)*$G1442,2)</f>
        <v>804.1</v>
      </c>
      <c r="K1442" s="514">
        <f t="shared" si="53"/>
        <v>1026.57</v>
      </c>
      <c r="L1442" s="515"/>
      <c r="M1442" s="471"/>
      <c r="N1442" s="516"/>
      <c r="Q1442" s="472"/>
      <c r="R1442" s="472"/>
      <c r="S1442" s="472"/>
      <c r="T1442" s="472"/>
      <c r="U1442" s="472"/>
      <c r="V1442" s="472"/>
      <c r="W1442" s="472"/>
      <c r="X1442" s="472"/>
      <c r="Y1442" s="472"/>
    </row>
    <row r="1443" spans="1:25" x14ac:dyDescent="0.25">
      <c r="A1443" s="463"/>
      <c r="B1443" s="506">
        <v>88279</v>
      </c>
      <c r="C1443" s="507"/>
      <c r="D1443" s="508"/>
      <c r="E1443" s="509" t="str">
        <f>IF($C1443="",IFERROR(VLOOKUP($B1443,SERVIÇOS!$B:$G,2,0),IFERROR(VLOOKUP($B1443,$D:$K,2,0),"")),IFERROR(VLOOKUP($C1443,INSUMOS!$A:$D,2,0),IFERROR(VLOOKUP($C1443,COTAÇÕES!$B:$I,2,0),(VLOOKUP($C1443,'INSUMO SINAPI - SP'!$C:$F,2,0)))))</f>
        <v>MONTADOR ELETROMECÃNICO COM ENCARGOS COMPLEMENTARES</v>
      </c>
      <c r="F1443" s="510" t="str">
        <f>IF($C1443="",IFERROR(VLOOKUP($B1443,SERVIÇOS!$B:$G,3,0),IFERROR(VLOOKUP($B1443,$D:$K,3,0),"")),IFERROR(VLOOKUP($C1443,INSUMOS!$A:$D,3,0),IFERROR(VLOOKUP($C1443,COTAÇÕES!$B:$I,3,0),(VLOOKUP($C1443,'INSUMO SINAPI - SP'!$C:$F,3,0)))))</f>
        <v>H</v>
      </c>
      <c r="G1443" s="511">
        <v>2.75</v>
      </c>
      <c r="H1443" s="512">
        <f>IF($C1443="",IFERROR(VLOOKUP($B1443,SERVIÇOS!$B:$G,6,0),IFERROR(VLOOKUP($B1443,$D:$K,8,0),"")),IFERROR(VLOOKUP($C1443,INSUMOS!$A:$D,4,0),IFERROR(VLOOKUP($C1443,COTAÇÕES!$B:$I,7,0),(VLOOKUP($C1443,'INSUMO SINAPI - SP'!$C:$F,4,0)))))</f>
        <v>39.01</v>
      </c>
      <c r="I1443" s="513">
        <f>TRUNC(IF($C1443="",IFERROR(VLOOKUP($B1443,SERVIÇOS!$B:$G,4,0),IFERROR(VLOOKUP($B1443,$D:$K,6,0),)),IFERROR(VLOOKUP($C1443,INSUMOS!$A:$D,4,0),IFERROR(VLOOKUP($C1443,COTAÇÕES!$B:$I,7,0),(VLOOKUP($C1443,'INSUMO SINAPI - SP'!$C:$F,4,0)))))*$G1443,2)</f>
        <v>25.63</v>
      </c>
      <c r="J1443" s="513">
        <f>TRUNC(IF($C1443="",IFERROR(VLOOKUP($B1443,SERVIÇOS!$B:$G,5,0),IFERROR(VLOOKUP($B1443,$D:$K,7,0),)),0)*$G1443,2)</f>
        <v>81.64</v>
      </c>
      <c r="K1443" s="514">
        <f t="shared" si="53"/>
        <v>107.27</v>
      </c>
      <c r="L1443" s="515"/>
      <c r="M1443" s="471"/>
      <c r="N1443" s="516"/>
      <c r="Q1443" s="472"/>
      <c r="R1443" s="472"/>
      <c r="S1443" s="472"/>
      <c r="T1443" s="472"/>
      <c r="U1443" s="472"/>
      <c r="V1443" s="472"/>
      <c r="W1443" s="472"/>
      <c r="X1443" s="472"/>
      <c r="Y1443" s="472"/>
    </row>
    <row r="1444" spans="1:25" ht="36" x14ac:dyDescent="0.25">
      <c r="A1444" s="463"/>
      <c r="B1444" s="506">
        <v>89259</v>
      </c>
      <c r="C1444" s="507"/>
      <c r="D1444" s="508"/>
      <c r="E1444" s="509" t="str">
        <f>IF($C1444="",IFERROR(VLOOKUP($B1444,SERVIÇOS!$B:$G,2,0),IFERROR(VLOOKUP($B1444,$D:$K,2,0),"")),IFERROR(VLOOKUP($C1444,INSUMOS!$A:$D,2,0),IFERROR(VLOOKUP($C1444,COTAÇÕES!$B:$I,2,0),(VLOOKUP($C1444,'INSUMO SINAPI - SP'!$C:$F,2,0)))))</f>
        <v>GUINDAUTO HIDRÁULICO, CAPACIDADE MÁXIMA DE CARGA 6200 KG, MOMENTO MÁXIMO DE CARGA 11,7 TM, ALCANCE MÁXIMO HORIZONTAL 9,70 M, INCLUSIVE CAMINHÃO TOCO PBT 16.000 KG, POTÊNCIA DE 189 CV - DEPRECIAÇÃO. AF_06/2014</v>
      </c>
      <c r="F1444" s="510" t="str">
        <f>IF($C1444="",IFERROR(VLOOKUP($B1444,SERVIÇOS!$B:$G,3,0),IFERROR(VLOOKUP($B1444,$D:$K,3,0),"")),IFERROR(VLOOKUP($C1444,INSUMOS!$A:$D,3,0),IFERROR(VLOOKUP($C1444,COTAÇÕES!$B:$I,3,0),(VLOOKUP($C1444,'INSUMO SINAPI - SP'!$C:$F,3,0)))))</f>
        <v>H</v>
      </c>
      <c r="G1444" s="511">
        <v>3</v>
      </c>
      <c r="H1444" s="512">
        <f>IF($C1444="",IFERROR(VLOOKUP($B1444,SERVIÇOS!$B:$G,6,0),IFERROR(VLOOKUP($B1444,$D:$K,8,0),"")),IFERROR(VLOOKUP($C1444,INSUMOS!$A:$D,4,0),IFERROR(VLOOKUP($C1444,COTAÇÕES!$B:$I,7,0),(VLOOKUP($C1444,'INSUMO SINAPI - SP'!$C:$F,4,0)))))</f>
        <v>27.72</v>
      </c>
      <c r="I1444" s="513">
        <f>TRUNC(IF($C1444="",IFERROR(VLOOKUP($B1444,SERVIÇOS!$B:$G,4,0),IFERROR(VLOOKUP($B1444,$D:$K,6,0),)),IFERROR(VLOOKUP($C1444,INSUMOS!$A:$D,4,0),IFERROR(VLOOKUP($C1444,COTAÇÕES!$B:$I,7,0),(VLOOKUP($C1444,'INSUMO SINAPI - SP'!$C:$F,4,0)))))*$G1444,2)</f>
        <v>83.16</v>
      </c>
      <c r="J1444" s="513">
        <f>TRUNC(IF($C1444="",IFERROR(VLOOKUP($B1444,SERVIÇOS!$B:$G,5,0),IFERROR(VLOOKUP($B1444,$D:$K,7,0),)),0)*$G1444,2)</f>
        <v>0</v>
      </c>
      <c r="K1444" s="514">
        <f t="shared" si="53"/>
        <v>83.16</v>
      </c>
      <c r="L1444" s="515"/>
      <c r="M1444" s="471"/>
      <c r="N1444" s="516"/>
      <c r="Q1444" s="472"/>
      <c r="R1444" s="472"/>
      <c r="S1444" s="472"/>
      <c r="T1444" s="472"/>
      <c r="U1444" s="472"/>
      <c r="V1444" s="472"/>
      <c r="W1444" s="472"/>
      <c r="X1444" s="472"/>
      <c r="Y1444" s="472"/>
    </row>
    <row r="1445" spans="1:25" ht="409.5" x14ac:dyDescent="0.25">
      <c r="A1445" s="463"/>
      <c r="B1445" s="506"/>
      <c r="C1445" s="507" t="s">
        <v>13342</v>
      </c>
      <c r="D1445" s="508"/>
      <c r="E1445" s="509" t="str">
        <f>IF($C1445="",IFERROR(VLOOKUP($B1445,SERVIÇOS!$B:$G,2,0),IFERROR(VLOOKUP($B1445,$D:$K,2,0),"")),IFERROR(VLOOKUP($C1445,INSUMOS!$A:$D,2,0),IFERROR(VLOOKUP($C1445,COTAÇÕES!$B:$I,2,0),(VLOOKUP($C1445,'INSUMO SINAPI - SP'!$C:$F,2,0)))))</f>
        <v>UNIDADES DE TRATAMENTO DE AR MODULAR DE MONTAGEM HORIZONTAL
AMBIENTES ATENDIDOS: CME GUARDA DE MATERIAIS
LOCALIZAÇÃO: LAJE EXPOSTA AO TEMPO
TIPO DE SISTEMA DE CLIMATIZAÇÃO: EXPANSÃO DIRETA, FLUIDO R410A (OBS: DEVE ACOMPANHAR VÁLVULA DE EXPANSÃO ELETRÔNICA CONFORME SELEÇÃO DO FABRICANTE)
CARGA TÉRMICA TOTAL DA SERPENTINA: 2,44kW
CARGA TÉRMICA SENSÍVEL DA SERPENTINA: 1,76kW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0,75
VARIADOR DE FREQUÊNCIA: SIM
TENSÃO ELÉTRICA RESISTÊNCIA: 220/2F
POTÊNCIA DA RESISTÊNCIA ELÉTRICA - DESUMIDIFICAÇÃO (kW): 0,75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1445" s="510" t="str">
        <f>IF($C1445="",IFERROR(VLOOKUP($B1445,SERVIÇOS!$B:$G,3,0),IFERROR(VLOOKUP($B1445,$D:$K,3,0),"")),IFERROR(VLOOKUP($C1445,INSUMOS!$A:$D,3,0),IFERROR(VLOOKUP($C1445,COTAÇÕES!$B:$I,3,0),(VLOOKUP($C1445,'INSUMO SINAPI - SP'!$C:$F,3,0)))))</f>
        <v>UN</v>
      </c>
      <c r="G1445" s="511">
        <v>1</v>
      </c>
      <c r="H1445" s="512">
        <f>IF($C1445="",IFERROR(VLOOKUP($B1445,SERVIÇOS!$B:$G,6,0),IFERROR(VLOOKUP($B1445,$D:$K,8,0),"")),IFERROR(VLOOKUP($C1445,INSUMOS!$A:$D,4,0),IFERROR(VLOOKUP($C1445,COTAÇÕES!$B:$I,8,0),(VLOOKUP($C1445,'INSUMO SINAPI - SP'!$C:$F,4,0)))))</f>
        <v>34269.21</v>
      </c>
      <c r="I1445" s="513">
        <f>TRUNC(IF($C1445="",IFERROR(VLOOKUP($B1445,SERVIÇOS!$B:$G,4,0),IFERROR(VLOOKUP($B1445,$D:$K,6,0),)),IFERROR(VLOOKUP($C1445,INSUMOS!$A:$D,4,0),IFERROR(VLOOKUP($C1445,COTAÇÕES!$B:$I,8,0),(VLOOKUP($C1445,'INSUMO SINAPI - SP'!$C:$F,4,0)))))*$G1445,2)</f>
        <v>34269.21</v>
      </c>
      <c r="J1445" s="513"/>
      <c r="K1445" s="514">
        <f t="shared" si="53"/>
        <v>34269.21</v>
      </c>
      <c r="L1445" s="517" t="s">
        <v>12878</v>
      </c>
      <c r="M1445" s="471"/>
      <c r="N1445" s="516"/>
      <c r="Q1445" s="472"/>
      <c r="R1445" s="472"/>
      <c r="S1445" s="472"/>
      <c r="T1445" s="472"/>
      <c r="U1445" s="472"/>
      <c r="V1445" s="472"/>
      <c r="W1445" s="472"/>
      <c r="X1445" s="472"/>
      <c r="Y1445" s="472"/>
    </row>
    <row r="1446" spans="1:25" ht="409.5" x14ac:dyDescent="0.25">
      <c r="A1446" s="463"/>
      <c r="B1446" s="498"/>
      <c r="C1446" s="498"/>
      <c r="D1446" s="499" t="s">
        <v>12577</v>
      </c>
      <c r="E1446" s="500" t="s">
        <v>13343</v>
      </c>
      <c r="F1446" s="501" t="s">
        <v>580</v>
      </c>
      <c r="G1446" s="502"/>
      <c r="H1446" s="503"/>
      <c r="I1446" s="504">
        <f>SUM(I1447:I1453)</f>
        <v>35456.339999999997</v>
      </c>
      <c r="J1446" s="504">
        <f>SUM(J1447:J1453)</f>
        <v>2841.19</v>
      </c>
      <c r="K1446" s="504">
        <f>+J1446+I1446</f>
        <v>38297.53</v>
      </c>
      <c r="L1446" s="523" t="s">
        <v>12842</v>
      </c>
      <c r="M1446" s="471"/>
      <c r="N1446" s="505"/>
      <c r="Q1446" s="472"/>
      <c r="R1446" s="472"/>
      <c r="S1446" s="472"/>
      <c r="T1446" s="472"/>
      <c r="U1446" s="472"/>
      <c r="V1446" s="472"/>
      <c r="W1446" s="472"/>
      <c r="X1446" s="472"/>
      <c r="Y1446" s="472"/>
    </row>
    <row r="1447" spans="1:25" x14ac:dyDescent="0.25">
      <c r="A1447" s="463"/>
      <c r="B1447" s="506">
        <v>88243</v>
      </c>
      <c r="C1447" s="507"/>
      <c r="D1447" s="508"/>
      <c r="E1447" s="509" t="str">
        <f>IF($C1447="",IFERROR(VLOOKUP($B1447,SERVIÇOS!$B:$G,2,0),IFERROR(VLOOKUP($B1447,$D:$K,2,0),"")),IFERROR(VLOOKUP($C1447,INSUMOS!$A:$D,2,0),IFERROR(VLOOKUP($C1447,COTAÇÕES!$B:$I,2,0),(VLOOKUP($C1447,'INSUMO SINAPI - SP'!$C:$F,2,0)))))</f>
        <v>AJUDANTE ESPECIALIZADO COM ENCARGOS COMPLEMENTARES</v>
      </c>
      <c r="F1447" s="510" t="str">
        <f>IF($C1447="",IFERROR(VLOOKUP($B1447,SERVIÇOS!$B:$G,3,0),IFERROR(VLOOKUP($B1447,$D:$K,3,0),"")),IFERROR(VLOOKUP($C1447,INSUMOS!$A:$D,3,0),IFERROR(VLOOKUP($C1447,COTAÇÕES!$B:$I,3,0),(VLOOKUP($C1447,'INSUMO SINAPI - SP'!$C:$F,3,0)))))</f>
        <v>H</v>
      </c>
      <c r="G1447" s="511">
        <v>82.5</v>
      </c>
      <c r="H1447" s="512">
        <f>IF($C1447="",IFERROR(VLOOKUP($B1447,SERVIÇOS!$B:$G,6,0),IFERROR(VLOOKUP($B1447,$D:$K,8,0),"")),IFERROR(VLOOKUP($C1447,INSUMOS!$A:$D,4,0),IFERROR(VLOOKUP($C1447,COTAÇÕES!$B:$I,7,0),(VLOOKUP($C1447,'INSUMO SINAPI - SP'!$C:$F,4,0)))))</f>
        <v>29.78</v>
      </c>
      <c r="I1447" s="513">
        <f>TRUNC(IF($C1447="",IFERROR(VLOOKUP($B1447,SERVIÇOS!$B:$G,4,0),IFERROR(VLOOKUP($B1447,$D:$K,6,0),)),IFERROR(VLOOKUP($C1447,INSUMOS!$A:$D,4,0),IFERROR(VLOOKUP($C1447,COTAÇÕES!$B:$I,7,0),(VLOOKUP($C1447,'INSUMO SINAPI - SP'!$C:$F,4,0)))))*$G1447,2)</f>
        <v>759</v>
      </c>
      <c r="J1447" s="513">
        <f>TRUNC(IF($C1447="",IFERROR(VLOOKUP($B1447,SERVIÇOS!$B:$G,5,0),IFERROR(VLOOKUP($B1447,$D:$K,7,0),)),0)*$G1447,2)</f>
        <v>1697.85</v>
      </c>
      <c r="K1447" s="514">
        <f t="shared" ref="K1447:K1453" si="54">I1447+J1447</f>
        <v>2456.85</v>
      </c>
      <c r="L1447" s="515"/>
      <c r="M1447" s="471"/>
      <c r="N1447" s="516"/>
      <c r="Q1447" s="472"/>
      <c r="R1447" s="472"/>
      <c r="S1447" s="472"/>
      <c r="T1447" s="472"/>
      <c r="U1447" s="472"/>
      <c r="V1447" s="472"/>
      <c r="W1447" s="472"/>
      <c r="X1447" s="472"/>
      <c r="Y1447" s="472"/>
    </row>
    <row r="1448" spans="1:25" x14ac:dyDescent="0.25">
      <c r="A1448" s="463"/>
      <c r="B1448" s="506">
        <v>88264</v>
      </c>
      <c r="C1448" s="507"/>
      <c r="D1448" s="508"/>
      <c r="E1448" s="509" t="str">
        <f>IF($C1448="",IFERROR(VLOOKUP($B1448,SERVIÇOS!$B:$G,2,0),IFERROR(VLOOKUP($B1448,$D:$K,2,0),"")),IFERROR(VLOOKUP($C1448,INSUMOS!$A:$D,2,0),IFERROR(VLOOKUP($C1448,COTAÇÕES!$B:$I,2,0),(VLOOKUP($C1448,'INSUMO SINAPI - SP'!$C:$F,2,0)))))</f>
        <v>ELETRICISTA COM ENCARGOS COMPLEMENTARES</v>
      </c>
      <c r="F1448" s="510" t="str">
        <f>IF($C1448="",IFERROR(VLOOKUP($B1448,SERVIÇOS!$B:$G,3,0),IFERROR(VLOOKUP($B1448,$D:$K,3,0),"")),IFERROR(VLOOKUP($C1448,INSUMOS!$A:$D,3,0),IFERROR(VLOOKUP($C1448,COTAÇÕES!$B:$I,3,0),(VLOOKUP($C1448,'INSUMO SINAPI - SP'!$C:$F,3,0)))))</f>
        <v>H</v>
      </c>
      <c r="G1448" s="511">
        <v>5.2</v>
      </c>
      <c r="H1448" s="512">
        <f>IF($C1448="",IFERROR(VLOOKUP($B1448,SERVIÇOS!$B:$G,6,0),IFERROR(VLOOKUP($B1448,$D:$K,8,0),"")),IFERROR(VLOOKUP($C1448,INSUMOS!$A:$D,4,0),IFERROR(VLOOKUP($C1448,COTAÇÕES!$B:$I,7,0),(VLOOKUP($C1448,'INSUMO SINAPI - SP'!$C:$F,4,0)))))</f>
        <v>37.369999999999997</v>
      </c>
      <c r="I1448" s="513">
        <f>TRUNC(IF($C1448="",IFERROR(VLOOKUP($B1448,SERVIÇOS!$B:$G,4,0),IFERROR(VLOOKUP($B1448,$D:$K,6,0),)),IFERROR(VLOOKUP($C1448,INSUMOS!$A:$D,4,0),IFERROR(VLOOKUP($C1448,COTAÇÕES!$B:$I,7,0),(VLOOKUP($C1448,'INSUMO SINAPI - SP'!$C:$F,4,0)))))*$G1448,2)</f>
        <v>48.41</v>
      </c>
      <c r="J1448" s="513">
        <f>TRUNC(IF($C1448="",IFERROR(VLOOKUP($B1448,SERVIÇOS!$B:$G,5,0),IFERROR(VLOOKUP($B1448,$D:$K,7,0),)),0)*$G1448,2)</f>
        <v>145.91</v>
      </c>
      <c r="K1448" s="514">
        <f t="shared" si="54"/>
        <v>194.32</v>
      </c>
      <c r="L1448" s="515"/>
      <c r="M1448" s="471"/>
      <c r="N1448" s="516"/>
      <c r="Q1448" s="472"/>
      <c r="R1448" s="472"/>
      <c r="S1448" s="472"/>
      <c r="T1448" s="472"/>
      <c r="U1448" s="472"/>
      <c r="V1448" s="472"/>
      <c r="W1448" s="472"/>
      <c r="X1448" s="472"/>
      <c r="Y1448" s="472"/>
    </row>
    <row r="1449" spans="1:25" x14ac:dyDescent="0.25">
      <c r="A1449" s="463"/>
      <c r="B1449" s="506">
        <v>88247</v>
      </c>
      <c r="C1449" s="507"/>
      <c r="D1449" s="508"/>
      <c r="E1449" s="509" t="str">
        <f>IF($C1449="",IFERROR(VLOOKUP($B1449,SERVIÇOS!$B:$G,2,0),IFERROR(VLOOKUP($B1449,$D:$K,2,0),"")),IFERROR(VLOOKUP($C1449,INSUMOS!$A:$D,2,0),IFERROR(VLOOKUP($C1449,COTAÇÕES!$B:$I,2,0),(VLOOKUP($C1449,'INSUMO SINAPI - SP'!$C:$F,2,0)))))</f>
        <v>AUXILIAR DE ELETRICISTA COM ENCARGOS COMPLEMENTARES</v>
      </c>
      <c r="F1449" s="510" t="str">
        <f>IF($C1449="",IFERROR(VLOOKUP($B1449,SERVIÇOS!$B:$G,3,0),IFERROR(VLOOKUP($B1449,$D:$K,3,0),"")),IFERROR(VLOOKUP($C1449,INSUMOS!$A:$D,3,0),IFERROR(VLOOKUP($C1449,COTAÇÕES!$B:$I,3,0),(VLOOKUP($C1449,'INSUMO SINAPI - SP'!$C:$F,3,0)))))</f>
        <v>H</v>
      </c>
      <c r="G1449" s="511">
        <v>5.2</v>
      </c>
      <c r="H1449" s="512">
        <f>IF($C1449="",IFERROR(VLOOKUP($B1449,SERVIÇOS!$B:$G,6,0),IFERROR(VLOOKUP($B1449,$D:$K,8,0),"")),IFERROR(VLOOKUP($C1449,INSUMOS!$A:$D,4,0),IFERROR(VLOOKUP($C1449,COTAÇÕES!$B:$I,7,0),(VLOOKUP($C1449,'INSUMO SINAPI - SP'!$C:$F,4,0)))))</f>
        <v>30.8</v>
      </c>
      <c r="I1449" s="513">
        <f>TRUNC(IF($C1449="",IFERROR(VLOOKUP($B1449,SERVIÇOS!$B:$G,4,0),IFERROR(VLOOKUP($B1449,$D:$K,6,0),)),IFERROR(VLOOKUP($C1449,INSUMOS!$A:$D,4,0),IFERROR(VLOOKUP($C1449,COTAÇÕES!$B:$I,7,0),(VLOOKUP($C1449,'INSUMO SINAPI - SP'!$C:$F,4,0)))))*$G1449,2)</f>
        <v>48.46</v>
      </c>
      <c r="J1449" s="513">
        <f>TRUNC(IF($C1449="",IFERROR(VLOOKUP($B1449,SERVIÇOS!$B:$G,5,0),IFERROR(VLOOKUP($B1449,$D:$K,7,0),)),0)*$G1449,2)</f>
        <v>111.69</v>
      </c>
      <c r="K1449" s="514">
        <f t="shared" si="54"/>
        <v>160.15</v>
      </c>
      <c r="L1449" s="515"/>
      <c r="M1449" s="471"/>
      <c r="N1449" s="516"/>
      <c r="Q1449" s="472"/>
      <c r="R1449" s="472"/>
      <c r="S1449" s="472"/>
      <c r="T1449" s="472"/>
      <c r="U1449" s="472"/>
      <c r="V1449" s="472"/>
      <c r="W1449" s="472"/>
      <c r="X1449" s="472"/>
      <c r="Y1449" s="472"/>
    </row>
    <row r="1450" spans="1:25" x14ac:dyDescent="0.25">
      <c r="A1450" s="463"/>
      <c r="B1450" s="506">
        <v>88277</v>
      </c>
      <c r="C1450" s="507"/>
      <c r="D1450" s="508"/>
      <c r="E1450" s="509" t="str">
        <f>IF($C1450="",IFERROR(VLOOKUP($B1450,SERVIÇOS!$B:$G,2,0),IFERROR(VLOOKUP($B1450,$D:$K,2,0),"")),IFERROR(VLOOKUP($C1450,INSUMOS!$A:$D,2,0),IFERROR(VLOOKUP($C1450,COTAÇÕES!$B:$I,2,0),(VLOOKUP($C1450,'INSUMO SINAPI - SP'!$C:$F,2,0)))))</f>
        <v>MONTADOR (TUBO AÇO/EQUIPAMENTOS) COM ENCARGOS COMPLEMENTARES</v>
      </c>
      <c r="F1450" s="510" t="str">
        <f>IF($C1450="",IFERROR(VLOOKUP($B1450,SERVIÇOS!$B:$G,3,0),IFERROR(VLOOKUP($B1450,$D:$K,3,0),"")),IFERROR(VLOOKUP($C1450,INSUMOS!$A:$D,3,0),IFERROR(VLOOKUP($C1450,COTAÇÕES!$B:$I,3,0),(VLOOKUP($C1450,'INSUMO SINAPI - SP'!$C:$F,3,0)))))</f>
        <v>H</v>
      </c>
      <c r="G1450" s="511">
        <v>27.5</v>
      </c>
      <c r="H1450" s="512">
        <f>IF($C1450="",IFERROR(VLOOKUP($B1450,SERVIÇOS!$B:$G,6,0),IFERROR(VLOOKUP($B1450,$D:$K,8,0),"")),IFERROR(VLOOKUP($C1450,INSUMOS!$A:$D,4,0),IFERROR(VLOOKUP($C1450,COTAÇÕES!$B:$I,7,0),(VLOOKUP($C1450,'INSUMO SINAPI - SP'!$C:$F,4,0)))))</f>
        <v>37.33</v>
      </c>
      <c r="I1450" s="513">
        <f>TRUNC(IF($C1450="",IFERROR(VLOOKUP($B1450,SERVIÇOS!$B:$G,4,0),IFERROR(VLOOKUP($B1450,$D:$K,6,0),)),IFERROR(VLOOKUP($C1450,INSUMOS!$A:$D,4,0),IFERROR(VLOOKUP($C1450,COTAÇÕES!$B:$I,7,0),(VLOOKUP($C1450,'INSUMO SINAPI - SP'!$C:$F,4,0)))))*$G1450,2)</f>
        <v>222.47</v>
      </c>
      <c r="J1450" s="513">
        <f>TRUNC(IF($C1450="",IFERROR(VLOOKUP($B1450,SERVIÇOS!$B:$G,5,0),IFERROR(VLOOKUP($B1450,$D:$K,7,0),)),0)*$G1450,2)</f>
        <v>804.1</v>
      </c>
      <c r="K1450" s="514">
        <f t="shared" si="54"/>
        <v>1026.57</v>
      </c>
      <c r="L1450" s="515"/>
      <c r="M1450" s="471"/>
      <c r="N1450" s="516"/>
      <c r="Q1450" s="472"/>
      <c r="R1450" s="472"/>
      <c r="S1450" s="472"/>
      <c r="T1450" s="472"/>
      <c r="U1450" s="472"/>
      <c r="V1450" s="472"/>
      <c r="W1450" s="472"/>
      <c r="X1450" s="472"/>
      <c r="Y1450" s="472"/>
    </row>
    <row r="1451" spans="1:25" x14ac:dyDescent="0.25">
      <c r="A1451" s="463"/>
      <c r="B1451" s="506">
        <v>88279</v>
      </c>
      <c r="C1451" s="507"/>
      <c r="D1451" s="508"/>
      <c r="E1451" s="509" t="str">
        <f>IF($C1451="",IFERROR(VLOOKUP($B1451,SERVIÇOS!$B:$G,2,0),IFERROR(VLOOKUP($B1451,$D:$K,2,0),"")),IFERROR(VLOOKUP($C1451,INSUMOS!$A:$D,2,0),IFERROR(VLOOKUP($C1451,COTAÇÕES!$B:$I,2,0),(VLOOKUP($C1451,'INSUMO SINAPI - SP'!$C:$F,2,0)))))</f>
        <v>MONTADOR ELETROMECÃNICO COM ENCARGOS COMPLEMENTARES</v>
      </c>
      <c r="F1451" s="510" t="str">
        <f>IF($C1451="",IFERROR(VLOOKUP($B1451,SERVIÇOS!$B:$G,3,0),IFERROR(VLOOKUP($B1451,$D:$K,3,0),"")),IFERROR(VLOOKUP($C1451,INSUMOS!$A:$D,3,0),IFERROR(VLOOKUP($C1451,COTAÇÕES!$B:$I,3,0),(VLOOKUP($C1451,'INSUMO SINAPI - SP'!$C:$F,3,0)))))</f>
        <v>H</v>
      </c>
      <c r="G1451" s="511">
        <v>2.75</v>
      </c>
      <c r="H1451" s="512">
        <f>IF($C1451="",IFERROR(VLOOKUP($B1451,SERVIÇOS!$B:$G,6,0),IFERROR(VLOOKUP($B1451,$D:$K,8,0),"")),IFERROR(VLOOKUP($C1451,INSUMOS!$A:$D,4,0),IFERROR(VLOOKUP($C1451,COTAÇÕES!$B:$I,7,0),(VLOOKUP($C1451,'INSUMO SINAPI - SP'!$C:$F,4,0)))))</f>
        <v>39.01</v>
      </c>
      <c r="I1451" s="513">
        <f>TRUNC(IF($C1451="",IFERROR(VLOOKUP($B1451,SERVIÇOS!$B:$G,4,0),IFERROR(VLOOKUP($B1451,$D:$K,6,0),)),IFERROR(VLOOKUP($C1451,INSUMOS!$A:$D,4,0),IFERROR(VLOOKUP($C1451,COTAÇÕES!$B:$I,7,0),(VLOOKUP($C1451,'INSUMO SINAPI - SP'!$C:$F,4,0)))))*$G1451,2)</f>
        <v>25.63</v>
      </c>
      <c r="J1451" s="513">
        <f>TRUNC(IF($C1451="",IFERROR(VLOOKUP($B1451,SERVIÇOS!$B:$G,5,0),IFERROR(VLOOKUP($B1451,$D:$K,7,0),)),0)*$G1451,2)</f>
        <v>81.64</v>
      </c>
      <c r="K1451" s="514">
        <f t="shared" si="54"/>
        <v>107.27</v>
      </c>
      <c r="L1451" s="515"/>
      <c r="M1451" s="471"/>
      <c r="N1451" s="516"/>
      <c r="Q1451" s="472"/>
      <c r="R1451" s="472"/>
      <c r="S1451" s="472"/>
      <c r="T1451" s="472"/>
      <c r="U1451" s="472"/>
      <c r="V1451" s="472"/>
      <c r="W1451" s="472"/>
      <c r="X1451" s="472"/>
      <c r="Y1451" s="472"/>
    </row>
    <row r="1452" spans="1:25" ht="36" x14ac:dyDescent="0.25">
      <c r="A1452" s="463"/>
      <c r="B1452" s="506">
        <v>89259</v>
      </c>
      <c r="C1452" s="507"/>
      <c r="D1452" s="508"/>
      <c r="E1452" s="509" t="str">
        <f>IF($C1452="",IFERROR(VLOOKUP($B1452,SERVIÇOS!$B:$G,2,0),IFERROR(VLOOKUP($B1452,$D:$K,2,0),"")),IFERROR(VLOOKUP($C1452,INSUMOS!$A:$D,2,0),IFERROR(VLOOKUP($C1452,COTAÇÕES!$B:$I,2,0),(VLOOKUP($C1452,'INSUMO SINAPI - SP'!$C:$F,2,0)))))</f>
        <v>GUINDAUTO HIDRÁULICO, CAPACIDADE MÁXIMA DE CARGA 6200 KG, MOMENTO MÁXIMO DE CARGA 11,7 TM, ALCANCE MÁXIMO HORIZONTAL 9,70 M, INCLUSIVE CAMINHÃO TOCO PBT 16.000 KG, POTÊNCIA DE 189 CV - DEPRECIAÇÃO. AF_06/2014</v>
      </c>
      <c r="F1452" s="510" t="str">
        <f>IF($C1452="",IFERROR(VLOOKUP($B1452,SERVIÇOS!$B:$G,3,0),IFERROR(VLOOKUP($B1452,$D:$K,3,0),"")),IFERROR(VLOOKUP($C1452,INSUMOS!$A:$D,3,0),IFERROR(VLOOKUP($C1452,COTAÇÕES!$B:$I,3,0),(VLOOKUP($C1452,'INSUMO SINAPI - SP'!$C:$F,3,0)))))</f>
        <v>H</v>
      </c>
      <c r="G1452" s="511">
        <v>3</v>
      </c>
      <c r="H1452" s="512">
        <f>IF($C1452="",IFERROR(VLOOKUP($B1452,SERVIÇOS!$B:$G,6,0),IFERROR(VLOOKUP($B1452,$D:$K,8,0),"")),IFERROR(VLOOKUP($C1452,INSUMOS!$A:$D,4,0),IFERROR(VLOOKUP($C1452,COTAÇÕES!$B:$I,7,0),(VLOOKUP($C1452,'INSUMO SINAPI - SP'!$C:$F,4,0)))))</f>
        <v>27.72</v>
      </c>
      <c r="I1452" s="513">
        <f>TRUNC(IF($C1452="",IFERROR(VLOOKUP($B1452,SERVIÇOS!$B:$G,4,0),IFERROR(VLOOKUP($B1452,$D:$K,6,0),)),IFERROR(VLOOKUP($C1452,INSUMOS!$A:$D,4,0),IFERROR(VLOOKUP($C1452,COTAÇÕES!$B:$I,7,0),(VLOOKUP($C1452,'INSUMO SINAPI - SP'!$C:$F,4,0)))))*$G1452,2)</f>
        <v>83.16</v>
      </c>
      <c r="J1452" s="513">
        <f>TRUNC(IF($C1452="",IFERROR(VLOOKUP($B1452,SERVIÇOS!$B:$G,5,0),IFERROR(VLOOKUP($B1452,$D:$K,7,0),)),0)*$G1452,2)</f>
        <v>0</v>
      </c>
      <c r="K1452" s="514">
        <f t="shared" si="54"/>
        <v>83.16</v>
      </c>
      <c r="L1452" s="515"/>
      <c r="M1452" s="471"/>
      <c r="N1452" s="516"/>
      <c r="Q1452" s="472"/>
      <c r="R1452" s="472"/>
      <c r="S1452" s="472"/>
      <c r="T1452" s="472"/>
      <c r="U1452" s="472"/>
      <c r="V1452" s="472"/>
      <c r="W1452" s="472"/>
      <c r="X1452" s="472"/>
      <c r="Y1452" s="472"/>
    </row>
    <row r="1453" spans="1:25" ht="409.5" x14ac:dyDescent="0.25">
      <c r="A1453" s="463"/>
      <c r="B1453" s="506"/>
      <c r="C1453" s="507" t="s">
        <v>13344</v>
      </c>
      <c r="D1453" s="508"/>
      <c r="E1453" s="509" t="str">
        <f>IF($C1453="",IFERROR(VLOOKUP($B1453,SERVIÇOS!$B:$G,2,0),IFERROR(VLOOKUP($B1453,$D:$K,2,0),"")),IFERROR(VLOOKUP($C1453,INSUMOS!$A:$D,2,0),IFERROR(VLOOKUP($C1453,COTAÇÕES!$B:$I,2,0),(VLOOKUP($C1453,'INSUMO SINAPI - SP'!$C:$F,2,0)))))</f>
        <v>UNIDADES DE TRATAMENTO DE AR MODULAR DE MONTAGEM HORIZONTAL
AMBIENTES ATENDIDOS: CME ESTERILIZAÇÃO FÍSICA
LOCALIZAÇÃO: LAJE EXPOSTA AO TEMPO
TIPO DE SISTEMA DE CLIMATIZAÇÃO: EXPANSÃO DIRETA, FLUIDO R410A (OBS: DEVE ACOMPANHAR VÁLVULA DE EXPANSÃO ELETRÔNICA CONFORME SELEÇÃO DO FABRICANTE)
CARGA TÉRMICA TOTAL DA SERPENTINA: 3,59kW
CARGA TÉRMICA SENSÍVEL DA SERPENTINA: 2,69kW
VAZÃO DE INSUFLAMENTO: 700m³/h
VAZÃO DE AR EXTERNO: 60m³/h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0,55
VARIADOR DE FREQUÊNCIA: SIM
TENSÃO ELÉTRICA RESISTÊNCIA: 220/2F
POTÊNCIA DA RESISTÊNCIA ELÉTRICA - DESUMIDIFICAÇÃO (kW): 1,00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1453" s="510" t="str">
        <f>IF($C1453="",IFERROR(VLOOKUP($B1453,SERVIÇOS!$B:$G,3,0),IFERROR(VLOOKUP($B1453,$D:$K,3,0),"")),IFERROR(VLOOKUP($C1453,INSUMOS!$A:$D,3,0),IFERROR(VLOOKUP($C1453,COTAÇÕES!$B:$I,3,0),(VLOOKUP($C1453,'INSUMO SINAPI - SP'!$C:$F,3,0)))))</f>
        <v>UN</v>
      </c>
      <c r="G1453" s="511">
        <v>1</v>
      </c>
      <c r="H1453" s="512">
        <f>IF($C1453="",IFERROR(VLOOKUP($B1453,SERVIÇOS!$B:$G,6,0),IFERROR(VLOOKUP($B1453,$D:$K,8,0),"")),IFERROR(VLOOKUP($C1453,INSUMOS!$A:$D,4,0),IFERROR(VLOOKUP($C1453,COTAÇÕES!$B:$I,8,0),(VLOOKUP($C1453,'INSUMO SINAPI - SP'!$C:$F,4,0)))))</f>
        <v>34269.21</v>
      </c>
      <c r="I1453" s="513">
        <f>TRUNC(IF($C1453="",IFERROR(VLOOKUP($B1453,SERVIÇOS!$B:$G,4,0),IFERROR(VLOOKUP($B1453,$D:$K,6,0),)),IFERROR(VLOOKUP($C1453,INSUMOS!$A:$D,4,0),IFERROR(VLOOKUP($C1453,COTAÇÕES!$B:$I,8,0),(VLOOKUP($C1453,'INSUMO SINAPI - SP'!$C:$F,4,0)))))*$G1453,2)</f>
        <v>34269.21</v>
      </c>
      <c r="J1453" s="513"/>
      <c r="K1453" s="514">
        <f t="shared" si="54"/>
        <v>34269.21</v>
      </c>
      <c r="L1453" s="517" t="s">
        <v>12878</v>
      </c>
      <c r="M1453" s="471"/>
      <c r="N1453" s="516"/>
      <c r="Q1453" s="472"/>
      <c r="R1453" s="472"/>
      <c r="S1453" s="472"/>
      <c r="T1453" s="472"/>
      <c r="U1453" s="472"/>
      <c r="V1453" s="472"/>
      <c r="W1453" s="472"/>
      <c r="X1453" s="472"/>
      <c r="Y1453" s="472"/>
    </row>
    <row r="1454" spans="1:25" ht="409.5" x14ac:dyDescent="0.25">
      <c r="A1454" s="463"/>
      <c r="B1454" s="498"/>
      <c r="C1454" s="498"/>
      <c r="D1454" s="499" t="s">
        <v>12580</v>
      </c>
      <c r="E1454" s="500" t="s">
        <v>13345</v>
      </c>
      <c r="F1454" s="501" t="s">
        <v>580</v>
      </c>
      <c r="G1454" s="502"/>
      <c r="H1454" s="503"/>
      <c r="I1454" s="504">
        <f>SUM(I1455:I1461)</f>
        <v>46384.979999999996</v>
      </c>
      <c r="J1454" s="504">
        <f>SUM(J1455:J1461)</f>
        <v>2841.19</v>
      </c>
      <c r="K1454" s="504">
        <f>+J1454+I1454</f>
        <v>49226.17</v>
      </c>
      <c r="L1454" s="523" t="s">
        <v>12842</v>
      </c>
      <c r="M1454" s="471"/>
      <c r="N1454" s="505"/>
      <c r="Q1454" s="472"/>
      <c r="R1454" s="472"/>
      <c r="S1454" s="472"/>
      <c r="T1454" s="472"/>
      <c r="U1454" s="472"/>
      <c r="V1454" s="472"/>
      <c r="W1454" s="472"/>
      <c r="X1454" s="472"/>
      <c r="Y1454" s="472"/>
    </row>
    <row r="1455" spans="1:25" x14ac:dyDescent="0.25">
      <c r="A1455" s="463"/>
      <c r="B1455" s="506">
        <v>88243</v>
      </c>
      <c r="C1455" s="507"/>
      <c r="D1455" s="508"/>
      <c r="E1455" s="509" t="str">
        <f>IF($C1455="",IFERROR(VLOOKUP($B1455,SERVIÇOS!$B:$G,2,0),IFERROR(VLOOKUP($B1455,$D:$K,2,0),"")),IFERROR(VLOOKUP($C1455,INSUMOS!$A:$D,2,0),IFERROR(VLOOKUP($C1455,COTAÇÕES!$B:$I,2,0),(VLOOKUP($C1455,'INSUMO SINAPI - SP'!$C:$F,2,0)))))</f>
        <v>AJUDANTE ESPECIALIZADO COM ENCARGOS COMPLEMENTARES</v>
      </c>
      <c r="F1455" s="510" t="str">
        <f>IF($C1455="",IFERROR(VLOOKUP($B1455,SERVIÇOS!$B:$G,3,0),IFERROR(VLOOKUP($B1455,$D:$K,3,0),"")),IFERROR(VLOOKUP($C1455,INSUMOS!$A:$D,3,0),IFERROR(VLOOKUP($C1455,COTAÇÕES!$B:$I,3,0),(VLOOKUP($C1455,'INSUMO SINAPI - SP'!$C:$F,3,0)))))</f>
        <v>H</v>
      </c>
      <c r="G1455" s="511">
        <v>82.5</v>
      </c>
      <c r="H1455" s="512">
        <f>IF($C1455="",IFERROR(VLOOKUP($B1455,SERVIÇOS!$B:$G,6,0),IFERROR(VLOOKUP($B1455,$D:$K,8,0),"")),IFERROR(VLOOKUP($C1455,INSUMOS!$A:$D,4,0),IFERROR(VLOOKUP($C1455,COTAÇÕES!$B:$I,7,0),(VLOOKUP($C1455,'INSUMO SINAPI - SP'!$C:$F,4,0)))))</f>
        <v>29.78</v>
      </c>
      <c r="I1455" s="513">
        <f>TRUNC(IF($C1455="",IFERROR(VLOOKUP($B1455,SERVIÇOS!$B:$G,4,0),IFERROR(VLOOKUP($B1455,$D:$K,6,0),)),IFERROR(VLOOKUP($C1455,INSUMOS!$A:$D,4,0),IFERROR(VLOOKUP($C1455,COTAÇÕES!$B:$I,7,0),(VLOOKUP($C1455,'INSUMO SINAPI - SP'!$C:$F,4,0)))))*$G1455,2)</f>
        <v>759</v>
      </c>
      <c r="J1455" s="513">
        <f>TRUNC(IF($C1455="",IFERROR(VLOOKUP($B1455,SERVIÇOS!$B:$G,5,0),IFERROR(VLOOKUP($B1455,$D:$K,7,0),)),0)*$G1455,2)</f>
        <v>1697.85</v>
      </c>
      <c r="K1455" s="514">
        <f t="shared" ref="K1455:K1461" si="55">I1455+J1455</f>
        <v>2456.85</v>
      </c>
      <c r="L1455" s="515"/>
      <c r="M1455" s="471"/>
      <c r="N1455" s="516"/>
      <c r="Q1455" s="472"/>
      <c r="R1455" s="472"/>
      <c r="S1455" s="472"/>
      <c r="T1455" s="472"/>
      <c r="U1455" s="472"/>
      <c r="V1455" s="472"/>
      <c r="W1455" s="472"/>
      <c r="X1455" s="472"/>
      <c r="Y1455" s="472"/>
    </row>
    <row r="1456" spans="1:25" x14ac:dyDescent="0.25">
      <c r="A1456" s="463"/>
      <c r="B1456" s="506">
        <v>88264</v>
      </c>
      <c r="C1456" s="507"/>
      <c r="D1456" s="508"/>
      <c r="E1456" s="509" t="str">
        <f>IF($C1456="",IFERROR(VLOOKUP($B1456,SERVIÇOS!$B:$G,2,0),IFERROR(VLOOKUP($B1456,$D:$K,2,0),"")),IFERROR(VLOOKUP($C1456,INSUMOS!$A:$D,2,0),IFERROR(VLOOKUP($C1456,COTAÇÕES!$B:$I,2,0),(VLOOKUP($C1456,'INSUMO SINAPI - SP'!$C:$F,2,0)))))</f>
        <v>ELETRICISTA COM ENCARGOS COMPLEMENTARES</v>
      </c>
      <c r="F1456" s="510" t="str">
        <f>IF($C1456="",IFERROR(VLOOKUP($B1456,SERVIÇOS!$B:$G,3,0),IFERROR(VLOOKUP($B1456,$D:$K,3,0),"")),IFERROR(VLOOKUP($C1456,INSUMOS!$A:$D,3,0),IFERROR(VLOOKUP($C1456,COTAÇÕES!$B:$I,3,0),(VLOOKUP($C1456,'INSUMO SINAPI - SP'!$C:$F,3,0)))))</f>
        <v>H</v>
      </c>
      <c r="G1456" s="511">
        <v>5.2</v>
      </c>
      <c r="H1456" s="512">
        <f>IF($C1456="",IFERROR(VLOOKUP($B1456,SERVIÇOS!$B:$G,6,0),IFERROR(VLOOKUP($B1456,$D:$K,8,0),"")),IFERROR(VLOOKUP($C1456,INSUMOS!$A:$D,4,0),IFERROR(VLOOKUP($C1456,COTAÇÕES!$B:$I,7,0),(VLOOKUP($C1456,'INSUMO SINAPI - SP'!$C:$F,4,0)))))</f>
        <v>37.369999999999997</v>
      </c>
      <c r="I1456" s="513">
        <f>TRUNC(IF($C1456="",IFERROR(VLOOKUP($B1456,SERVIÇOS!$B:$G,4,0),IFERROR(VLOOKUP($B1456,$D:$K,6,0),)),IFERROR(VLOOKUP($C1456,INSUMOS!$A:$D,4,0),IFERROR(VLOOKUP($C1456,COTAÇÕES!$B:$I,7,0),(VLOOKUP($C1456,'INSUMO SINAPI - SP'!$C:$F,4,0)))))*$G1456,2)</f>
        <v>48.41</v>
      </c>
      <c r="J1456" s="513">
        <f>TRUNC(IF($C1456="",IFERROR(VLOOKUP($B1456,SERVIÇOS!$B:$G,5,0),IFERROR(VLOOKUP($B1456,$D:$K,7,0),)),0)*$G1456,2)</f>
        <v>145.91</v>
      </c>
      <c r="K1456" s="514">
        <f t="shared" si="55"/>
        <v>194.32</v>
      </c>
      <c r="L1456" s="515"/>
      <c r="M1456" s="471"/>
      <c r="N1456" s="516"/>
      <c r="Q1456" s="472"/>
      <c r="R1456" s="472"/>
      <c r="S1456" s="472"/>
      <c r="T1456" s="472"/>
      <c r="U1456" s="472"/>
      <c r="V1456" s="472"/>
      <c r="W1456" s="472"/>
      <c r="X1456" s="472"/>
      <c r="Y1456" s="472"/>
    </row>
    <row r="1457" spans="1:25" x14ac:dyDescent="0.25">
      <c r="A1457" s="463"/>
      <c r="B1457" s="506">
        <v>88247</v>
      </c>
      <c r="C1457" s="507"/>
      <c r="D1457" s="508"/>
      <c r="E1457" s="509" t="str">
        <f>IF($C1457="",IFERROR(VLOOKUP($B1457,SERVIÇOS!$B:$G,2,0),IFERROR(VLOOKUP($B1457,$D:$K,2,0),"")),IFERROR(VLOOKUP($C1457,INSUMOS!$A:$D,2,0),IFERROR(VLOOKUP($C1457,COTAÇÕES!$B:$I,2,0),(VLOOKUP($C1457,'INSUMO SINAPI - SP'!$C:$F,2,0)))))</f>
        <v>AUXILIAR DE ELETRICISTA COM ENCARGOS COMPLEMENTARES</v>
      </c>
      <c r="F1457" s="510" t="str">
        <f>IF($C1457="",IFERROR(VLOOKUP($B1457,SERVIÇOS!$B:$G,3,0),IFERROR(VLOOKUP($B1457,$D:$K,3,0),"")),IFERROR(VLOOKUP($C1457,INSUMOS!$A:$D,3,0),IFERROR(VLOOKUP($C1457,COTAÇÕES!$B:$I,3,0),(VLOOKUP($C1457,'INSUMO SINAPI - SP'!$C:$F,3,0)))))</f>
        <v>H</v>
      </c>
      <c r="G1457" s="511">
        <v>5.2</v>
      </c>
      <c r="H1457" s="512">
        <f>IF($C1457="",IFERROR(VLOOKUP($B1457,SERVIÇOS!$B:$G,6,0),IFERROR(VLOOKUP($B1457,$D:$K,8,0),"")),IFERROR(VLOOKUP($C1457,INSUMOS!$A:$D,4,0),IFERROR(VLOOKUP($C1457,COTAÇÕES!$B:$I,7,0),(VLOOKUP($C1457,'INSUMO SINAPI - SP'!$C:$F,4,0)))))</f>
        <v>30.8</v>
      </c>
      <c r="I1457" s="513">
        <f>TRUNC(IF($C1457="",IFERROR(VLOOKUP($B1457,SERVIÇOS!$B:$G,4,0),IFERROR(VLOOKUP($B1457,$D:$K,6,0),)),IFERROR(VLOOKUP($C1457,INSUMOS!$A:$D,4,0),IFERROR(VLOOKUP($C1457,COTAÇÕES!$B:$I,7,0),(VLOOKUP($C1457,'INSUMO SINAPI - SP'!$C:$F,4,0)))))*$G1457,2)</f>
        <v>48.46</v>
      </c>
      <c r="J1457" s="513">
        <f>TRUNC(IF($C1457="",IFERROR(VLOOKUP($B1457,SERVIÇOS!$B:$G,5,0),IFERROR(VLOOKUP($B1457,$D:$K,7,0),)),0)*$G1457,2)</f>
        <v>111.69</v>
      </c>
      <c r="K1457" s="514">
        <f t="shared" si="55"/>
        <v>160.15</v>
      </c>
      <c r="L1457" s="515"/>
      <c r="M1457" s="471"/>
      <c r="N1457" s="516"/>
      <c r="Q1457" s="472"/>
      <c r="R1457" s="472"/>
      <c r="S1457" s="472"/>
      <c r="T1457" s="472"/>
      <c r="U1457" s="472"/>
      <c r="V1457" s="472"/>
      <c r="W1457" s="472"/>
      <c r="X1457" s="472"/>
      <c r="Y1457" s="472"/>
    </row>
    <row r="1458" spans="1:25" x14ac:dyDescent="0.25">
      <c r="A1458" s="463"/>
      <c r="B1458" s="506">
        <v>88277</v>
      </c>
      <c r="C1458" s="507"/>
      <c r="D1458" s="508"/>
      <c r="E1458" s="509" t="str">
        <f>IF($C1458="",IFERROR(VLOOKUP($B1458,SERVIÇOS!$B:$G,2,0),IFERROR(VLOOKUP($B1458,$D:$K,2,0),"")),IFERROR(VLOOKUP($C1458,INSUMOS!$A:$D,2,0),IFERROR(VLOOKUP($C1458,COTAÇÕES!$B:$I,2,0),(VLOOKUP($C1458,'INSUMO SINAPI - SP'!$C:$F,2,0)))))</f>
        <v>MONTADOR (TUBO AÇO/EQUIPAMENTOS) COM ENCARGOS COMPLEMENTARES</v>
      </c>
      <c r="F1458" s="510" t="str">
        <f>IF($C1458="",IFERROR(VLOOKUP($B1458,SERVIÇOS!$B:$G,3,0),IFERROR(VLOOKUP($B1458,$D:$K,3,0),"")),IFERROR(VLOOKUP($C1458,INSUMOS!$A:$D,3,0),IFERROR(VLOOKUP($C1458,COTAÇÕES!$B:$I,3,0),(VLOOKUP($C1458,'INSUMO SINAPI - SP'!$C:$F,3,0)))))</f>
        <v>H</v>
      </c>
      <c r="G1458" s="511">
        <v>27.5</v>
      </c>
      <c r="H1458" s="512">
        <f>IF($C1458="",IFERROR(VLOOKUP($B1458,SERVIÇOS!$B:$G,6,0),IFERROR(VLOOKUP($B1458,$D:$K,8,0),"")),IFERROR(VLOOKUP($C1458,INSUMOS!$A:$D,4,0),IFERROR(VLOOKUP($C1458,COTAÇÕES!$B:$I,7,0),(VLOOKUP($C1458,'INSUMO SINAPI - SP'!$C:$F,4,0)))))</f>
        <v>37.33</v>
      </c>
      <c r="I1458" s="513">
        <f>TRUNC(IF($C1458="",IFERROR(VLOOKUP($B1458,SERVIÇOS!$B:$G,4,0),IFERROR(VLOOKUP($B1458,$D:$K,6,0),)),IFERROR(VLOOKUP($C1458,INSUMOS!$A:$D,4,0),IFERROR(VLOOKUP($C1458,COTAÇÕES!$B:$I,7,0),(VLOOKUP($C1458,'INSUMO SINAPI - SP'!$C:$F,4,0)))))*$G1458,2)</f>
        <v>222.47</v>
      </c>
      <c r="J1458" s="513">
        <f>TRUNC(IF($C1458="",IFERROR(VLOOKUP($B1458,SERVIÇOS!$B:$G,5,0),IFERROR(VLOOKUP($B1458,$D:$K,7,0),)),0)*$G1458,2)</f>
        <v>804.1</v>
      </c>
      <c r="K1458" s="514">
        <f t="shared" si="55"/>
        <v>1026.57</v>
      </c>
      <c r="L1458" s="515"/>
      <c r="M1458" s="471"/>
      <c r="N1458" s="516"/>
      <c r="Q1458" s="472"/>
      <c r="R1458" s="472"/>
      <c r="S1458" s="472"/>
      <c r="T1458" s="472"/>
      <c r="U1458" s="472"/>
      <c r="V1458" s="472"/>
      <c r="W1458" s="472"/>
      <c r="X1458" s="472"/>
      <c r="Y1458" s="472"/>
    </row>
    <row r="1459" spans="1:25" x14ac:dyDescent="0.25">
      <c r="A1459" s="463"/>
      <c r="B1459" s="506">
        <v>88279</v>
      </c>
      <c r="C1459" s="507"/>
      <c r="D1459" s="508"/>
      <c r="E1459" s="509" t="str">
        <f>IF($C1459="",IFERROR(VLOOKUP($B1459,SERVIÇOS!$B:$G,2,0),IFERROR(VLOOKUP($B1459,$D:$K,2,0),"")),IFERROR(VLOOKUP($C1459,INSUMOS!$A:$D,2,0),IFERROR(VLOOKUP($C1459,COTAÇÕES!$B:$I,2,0),(VLOOKUP($C1459,'INSUMO SINAPI - SP'!$C:$F,2,0)))))</f>
        <v>MONTADOR ELETROMECÃNICO COM ENCARGOS COMPLEMENTARES</v>
      </c>
      <c r="F1459" s="510" t="str">
        <f>IF($C1459="",IFERROR(VLOOKUP($B1459,SERVIÇOS!$B:$G,3,0),IFERROR(VLOOKUP($B1459,$D:$K,3,0),"")),IFERROR(VLOOKUP($C1459,INSUMOS!$A:$D,3,0),IFERROR(VLOOKUP($C1459,COTAÇÕES!$B:$I,3,0),(VLOOKUP($C1459,'INSUMO SINAPI - SP'!$C:$F,3,0)))))</f>
        <v>H</v>
      </c>
      <c r="G1459" s="511">
        <v>2.75</v>
      </c>
      <c r="H1459" s="512">
        <f>IF($C1459="",IFERROR(VLOOKUP($B1459,SERVIÇOS!$B:$G,6,0),IFERROR(VLOOKUP($B1459,$D:$K,8,0),"")),IFERROR(VLOOKUP($C1459,INSUMOS!$A:$D,4,0),IFERROR(VLOOKUP($C1459,COTAÇÕES!$B:$I,7,0),(VLOOKUP($C1459,'INSUMO SINAPI - SP'!$C:$F,4,0)))))</f>
        <v>39.01</v>
      </c>
      <c r="I1459" s="513">
        <f>TRUNC(IF($C1459="",IFERROR(VLOOKUP($B1459,SERVIÇOS!$B:$G,4,0),IFERROR(VLOOKUP($B1459,$D:$K,6,0),)),IFERROR(VLOOKUP($C1459,INSUMOS!$A:$D,4,0),IFERROR(VLOOKUP($C1459,COTAÇÕES!$B:$I,7,0),(VLOOKUP($C1459,'INSUMO SINAPI - SP'!$C:$F,4,0)))))*$G1459,2)</f>
        <v>25.63</v>
      </c>
      <c r="J1459" s="513">
        <f>TRUNC(IF($C1459="",IFERROR(VLOOKUP($B1459,SERVIÇOS!$B:$G,5,0),IFERROR(VLOOKUP($B1459,$D:$K,7,0),)),0)*$G1459,2)</f>
        <v>81.64</v>
      </c>
      <c r="K1459" s="514">
        <f t="shared" si="55"/>
        <v>107.27</v>
      </c>
      <c r="L1459" s="515"/>
      <c r="M1459" s="471"/>
      <c r="N1459" s="516"/>
      <c r="Q1459" s="472"/>
      <c r="R1459" s="472"/>
      <c r="S1459" s="472"/>
      <c r="T1459" s="472"/>
      <c r="U1459" s="472"/>
      <c r="V1459" s="472"/>
      <c r="W1459" s="472"/>
      <c r="X1459" s="472"/>
      <c r="Y1459" s="472"/>
    </row>
    <row r="1460" spans="1:25" ht="36" x14ac:dyDescent="0.25">
      <c r="A1460" s="463"/>
      <c r="B1460" s="506">
        <v>89259</v>
      </c>
      <c r="C1460" s="507"/>
      <c r="D1460" s="508"/>
      <c r="E1460" s="509" t="str">
        <f>IF($C1460="",IFERROR(VLOOKUP($B1460,SERVIÇOS!$B:$G,2,0),IFERROR(VLOOKUP($B1460,$D:$K,2,0),"")),IFERROR(VLOOKUP($C1460,INSUMOS!$A:$D,2,0),IFERROR(VLOOKUP($C1460,COTAÇÕES!$B:$I,2,0),(VLOOKUP($C1460,'INSUMO SINAPI - SP'!$C:$F,2,0)))))</f>
        <v>GUINDAUTO HIDRÁULICO, CAPACIDADE MÁXIMA DE CARGA 6200 KG, MOMENTO MÁXIMO DE CARGA 11,7 TM, ALCANCE MÁXIMO HORIZONTAL 9,70 M, INCLUSIVE CAMINHÃO TOCO PBT 16.000 KG, POTÊNCIA DE 189 CV - DEPRECIAÇÃO. AF_06/2014</v>
      </c>
      <c r="F1460" s="510" t="str">
        <f>IF($C1460="",IFERROR(VLOOKUP($B1460,SERVIÇOS!$B:$G,3,0),IFERROR(VLOOKUP($B1460,$D:$K,3,0),"")),IFERROR(VLOOKUP($C1460,INSUMOS!$A:$D,3,0),IFERROR(VLOOKUP($C1460,COTAÇÕES!$B:$I,3,0),(VLOOKUP($C1460,'INSUMO SINAPI - SP'!$C:$F,3,0)))))</f>
        <v>H</v>
      </c>
      <c r="G1460" s="511">
        <v>3</v>
      </c>
      <c r="H1460" s="512">
        <f>IF($C1460="",IFERROR(VLOOKUP($B1460,SERVIÇOS!$B:$G,6,0),IFERROR(VLOOKUP($B1460,$D:$K,8,0),"")),IFERROR(VLOOKUP($C1460,INSUMOS!$A:$D,4,0),IFERROR(VLOOKUP($C1460,COTAÇÕES!$B:$I,7,0),(VLOOKUP($C1460,'INSUMO SINAPI - SP'!$C:$F,4,0)))))</f>
        <v>27.72</v>
      </c>
      <c r="I1460" s="513">
        <f>TRUNC(IF($C1460="",IFERROR(VLOOKUP($B1460,SERVIÇOS!$B:$G,4,0),IFERROR(VLOOKUP($B1460,$D:$K,6,0),)),IFERROR(VLOOKUP($C1460,INSUMOS!$A:$D,4,0),IFERROR(VLOOKUP($C1460,COTAÇÕES!$B:$I,7,0),(VLOOKUP($C1460,'INSUMO SINAPI - SP'!$C:$F,4,0)))))*$G1460,2)</f>
        <v>83.16</v>
      </c>
      <c r="J1460" s="513">
        <f>TRUNC(IF($C1460="",IFERROR(VLOOKUP($B1460,SERVIÇOS!$B:$G,5,0),IFERROR(VLOOKUP($B1460,$D:$K,7,0),)),0)*$G1460,2)</f>
        <v>0</v>
      </c>
      <c r="K1460" s="514">
        <f t="shared" si="55"/>
        <v>83.16</v>
      </c>
      <c r="L1460" s="515"/>
      <c r="M1460" s="471"/>
      <c r="N1460" s="516"/>
      <c r="Q1460" s="472"/>
      <c r="R1460" s="472"/>
      <c r="S1460" s="472"/>
      <c r="T1460" s="472"/>
      <c r="U1460" s="472"/>
      <c r="V1460" s="472"/>
      <c r="W1460" s="472"/>
      <c r="X1460" s="472"/>
      <c r="Y1460" s="472"/>
    </row>
    <row r="1461" spans="1:25" ht="409.5" x14ac:dyDescent="0.25">
      <c r="A1461" s="463"/>
      <c r="B1461" s="506"/>
      <c r="C1461" s="507" t="s">
        <v>13346</v>
      </c>
      <c r="D1461" s="508"/>
      <c r="E1461" s="509" t="str">
        <f>IF($C1461="",IFERROR(VLOOKUP($B1461,SERVIÇOS!$B:$G,2,0),IFERROR(VLOOKUP($B1461,$D:$K,2,0),"")),IFERROR(VLOOKUP($C1461,INSUMOS!$A:$D,2,0),IFERROR(VLOOKUP($C1461,COTAÇÕES!$B:$I,2,0),(VLOOKUP($C1461,'INSUMO SINAPI - SP'!$C:$F,2,0)))))</f>
        <v>UNIDADES DE TRATAMENTO DE AR MODULAR DE MONTAGEM HORIZONTAL
AMBIENTES ATENDIDOS: QUARTO DE ISOLAMENTO
LOCALIZAÇÃO: LAJE EXPOSTA AO TEMPO
TIPO DE SISTEMA DE CLIMATIZAÇÃO: EXPANSÃO DIRETA, FLUIDO R410A (OBS: DEVE ACOMPANHAR VÁLVULA DE EXPANSÃO ELETRÔNICA CONFORME SELEÇÃO DO FABRICANTE)
CARGA TÉRMICA TOTAL DA SERPENTINA: 10,30kW
CARGA TÉRMICA SENSÍVEL DA SERPENTINA: 5,67kW
VAZÃO DE INSUFLAMENTO: 880m³/h
VAZÃO DE AR EXTERNO: 880m³/h (100% AR EXTERNO)
VAZÃO DE ÁGUA GELADA: NÃO APLICÁVEL
CONDIÇÕES DO AR EXTERNO TBS/TBUc (°C): 34 / 21,7
CONDIÇÕES DA SAÍDA DA SERPENTINA TBS/TBUc: 13,5 / 12,9
FILTRAGEM DE 1° ESTÁGIO: G4 
FILTRAGEM DE 2° ESTÁGIO: F8 
FILTRAGEM DE 3° ESTÁGIO: NÃO APLICÁVEL
PRESSÃO ESTÁTICA DISPONÍVEL PARA DUTOS (mmCA): 20
PRESSÃO ESTÁTICA INTERNA CONSIDERADA (mmCA): 90*
PRESSÃO ESTÁTICA TOTAL CONSIDERADA: 110*
TIPO DE ROTOR: PLENUM FAN E.C OU PLENUM FAN A.C
TIPO DE ACOPLAMENTO DO MOTOR: DIRETO
TENSÃO ELÉTRICA MOTOR: 220/3F
POTÊNCIA DO MOTOR (kW): 0,75
VARIADOR DE FREQUÊNCIA: SIM
TENSÃO ELÉTRICA RESISTÊNCIA: 220/3F
POTÊNCIA DA RESISTÊNCIA ELÉTRICA - DESUMIDIFICAÇÃO (kW): 2,00
TENSÃO ELÉTRICA UMIDIFICADOR: N/A
CAPACIDADE DO UMIDIFICADOR (kg/h): N/A
POTÊNCIA DO UMIDIFICADOR (kW): N/A
MÓDULO ATENUADOR DE RUÍDO: NÃO
ILUMINAÇÃO INTERNA DOS MÓDULOS: SIM
LÂMPADA UVC NA SERPENTINA: SIM
QUADRO COMANDO: INCLUSO PARA ACIONAMENTO, CONTROLE DE TEMPERATURA E UMIDADE E CONTROLE DE VELOCIDADE COM SATURAÇÃO DE FILTROS
DAMPERS DE REGULAGEM: EM TODAS AS CONEXÕES DE ENTRADA DE AR DO EQUIPAMENTO
JUNTAS FLEXÍVEIS: EM TODAS AS CONEXÕES DE ENTRADA DO EQUIPAMENTO
COXINS/CALÇOS DE BORRACHA: SIM
*DADOS PODEM VARIAR DE ACORDO COM FABRICANTE E FORNECEDORES DE FILTROS E ACESSÓRIOS</v>
      </c>
      <c r="F1461" s="510" t="str">
        <f>IF($C1461="",IFERROR(VLOOKUP($B1461,SERVIÇOS!$B:$G,3,0),IFERROR(VLOOKUP($B1461,$D:$K,3,0),"")),IFERROR(VLOOKUP($C1461,INSUMOS!$A:$D,3,0),IFERROR(VLOOKUP($C1461,COTAÇÕES!$B:$I,3,0),(VLOOKUP($C1461,'INSUMO SINAPI - SP'!$C:$F,3,0)))))</f>
        <v>UN</v>
      </c>
      <c r="G1461" s="511">
        <v>1</v>
      </c>
      <c r="H1461" s="512">
        <f>IF($C1461="",IFERROR(VLOOKUP($B1461,SERVIÇOS!$B:$G,6,0),IFERROR(VLOOKUP($B1461,$D:$K,8,0),"")),IFERROR(VLOOKUP($C1461,INSUMOS!$A:$D,4,0),IFERROR(VLOOKUP($C1461,COTAÇÕES!$B:$I,8,0),(VLOOKUP($C1461,'INSUMO SINAPI - SP'!$C:$F,4,0)))))</f>
        <v>45197.85</v>
      </c>
      <c r="I1461" s="513">
        <f>TRUNC(IF($C1461="",IFERROR(VLOOKUP($B1461,SERVIÇOS!$B:$G,4,0),IFERROR(VLOOKUP($B1461,$D:$K,6,0),)),IFERROR(VLOOKUP($C1461,INSUMOS!$A:$D,4,0),IFERROR(VLOOKUP($C1461,COTAÇÕES!$B:$I,8,0),(VLOOKUP($C1461,'INSUMO SINAPI - SP'!$C:$F,4,0)))))*$G1461,2)</f>
        <v>45197.85</v>
      </c>
      <c r="J1461" s="513"/>
      <c r="K1461" s="514">
        <f t="shared" si="55"/>
        <v>45197.85</v>
      </c>
      <c r="L1461" s="517" t="s">
        <v>12878</v>
      </c>
      <c r="M1461" s="471"/>
      <c r="N1461" s="516"/>
      <c r="Q1461" s="472"/>
      <c r="R1461" s="472"/>
      <c r="S1461" s="472"/>
      <c r="T1461" s="472"/>
      <c r="U1461" s="472"/>
      <c r="V1461" s="472"/>
      <c r="W1461" s="472"/>
      <c r="X1461" s="472"/>
      <c r="Y1461" s="472"/>
    </row>
    <row r="1462" spans="1:25" x14ac:dyDescent="0.25">
      <c r="A1462" s="463"/>
      <c r="B1462" s="498"/>
      <c r="C1462" s="498"/>
      <c r="D1462" s="499" t="s">
        <v>12597</v>
      </c>
      <c r="E1462" s="500" t="s">
        <v>12596</v>
      </c>
      <c r="F1462" s="501" t="s">
        <v>9561</v>
      </c>
      <c r="G1462" s="502"/>
      <c r="H1462" s="503"/>
      <c r="I1462" s="504">
        <f>SUM(I1463:I1468)</f>
        <v>462.59</v>
      </c>
      <c r="J1462" s="504">
        <f>SUM(J1463:J1468)</f>
        <v>77.81</v>
      </c>
      <c r="K1462" s="504">
        <f>+J1462+I1462</f>
        <v>540.4</v>
      </c>
      <c r="L1462" s="523" t="s">
        <v>12842</v>
      </c>
      <c r="M1462" s="471"/>
      <c r="N1462" s="505"/>
      <c r="Q1462" s="472"/>
      <c r="R1462" s="472"/>
      <c r="S1462" s="472"/>
      <c r="T1462" s="472"/>
      <c r="U1462" s="472"/>
      <c r="V1462" s="472"/>
      <c r="W1462" s="472"/>
      <c r="X1462" s="472"/>
      <c r="Y1462" s="472"/>
    </row>
    <row r="1463" spans="1:25" x14ac:dyDescent="0.25">
      <c r="A1463" s="463"/>
      <c r="B1463" s="507">
        <v>88264</v>
      </c>
      <c r="C1463" s="507"/>
      <c r="D1463" s="557"/>
      <c r="E1463" s="509" t="str">
        <f>IF($C1463="",IFERROR(VLOOKUP($B1463,SERVIÇOS!$B:$G,2,0),IFERROR(VLOOKUP($B1463,$D:$K,2,0),"")),IFERROR(VLOOKUP($C1463,INSUMOS!$A:$D,2,0),IFERROR(VLOOKUP($C1463,COTAÇÕES!$B:$I,2,0),(VLOOKUP($C1463,'INSUMO SINAPI - SP'!$C:$F,2,0)))))</f>
        <v>ELETRICISTA COM ENCARGOS COMPLEMENTARES</v>
      </c>
      <c r="F1463" s="510" t="str">
        <f>IF($C1463="",IFERROR(VLOOKUP($B1463,SERVIÇOS!$B:$G,3,0),IFERROR(VLOOKUP($B1463,$D:$K,3,0),"")),IFERROR(VLOOKUP($C1463,INSUMOS!$A:$D,3,0),IFERROR(VLOOKUP($C1463,COTAÇÕES!$B:$I,3,0),(VLOOKUP($C1463,'INSUMO SINAPI - SP'!$C:$F,3,0)))))</f>
        <v>H</v>
      </c>
      <c r="G1463" s="511">
        <f>0.2*8</f>
        <v>1.6</v>
      </c>
      <c r="H1463" s="512">
        <f>IF($C1463="",IFERROR(VLOOKUP($B1463,SERVIÇOS!$B:$G,6,0),IFERROR(VLOOKUP($B1463,$D:$K,8,0),"")),IFERROR(VLOOKUP($C1463,INSUMOS!$A:$D,4,0),IFERROR(VLOOKUP($C1463,COTAÇÕES!$B:$I,7,0),(VLOOKUP($C1463,'INSUMO SINAPI - SP'!$C:$F,4,0)))))</f>
        <v>37.369999999999997</v>
      </c>
      <c r="I1463" s="513">
        <f>TRUNC(IF($C1463="",IFERROR(VLOOKUP($B1463,SERVIÇOS!$B:$G,4,0),IFERROR(VLOOKUP($B1463,$D:$K,6,0),)),IFERROR(VLOOKUP($C1463,INSUMOS!$A:$D,4,0),IFERROR(VLOOKUP($C1463,COTAÇÕES!$B:$I,7,0),(VLOOKUP($C1463,'INSUMO SINAPI - SP'!$C:$F,4,0)))))*$G1463,2)</f>
        <v>14.89</v>
      </c>
      <c r="J1463" s="513">
        <f>TRUNC(IF($C1463="",IFERROR(VLOOKUP($B1463,SERVIÇOS!$B:$G,5,0),IFERROR(VLOOKUP($B1463,$D:$K,7,0),)),0)*$G1463,2)</f>
        <v>44.89</v>
      </c>
      <c r="K1463" s="514">
        <f t="shared" ref="K1463:K1468" si="56">I1463+J1463</f>
        <v>59.78</v>
      </c>
      <c r="L1463" s="515"/>
      <c r="M1463" s="471"/>
      <c r="N1463" s="516"/>
      <c r="Q1463" s="472"/>
      <c r="R1463" s="472"/>
      <c r="S1463" s="472"/>
      <c r="T1463" s="472"/>
      <c r="U1463" s="472"/>
      <c r="V1463" s="472"/>
      <c r="W1463" s="472"/>
      <c r="X1463" s="472"/>
      <c r="Y1463" s="472"/>
    </row>
    <row r="1464" spans="1:25" x14ac:dyDescent="0.25">
      <c r="A1464" s="463"/>
      <c r="B1464" s="507">
        <v>88241</v>
      </c>
      <c r="C1464" s="507"/>
      <c r="D1464" s="557"/>
      <c r="E1464" s="509" t="str">
        <f>IF($C1464="",IFERROR(VLOOKUP($B1464,SERVIÇOS!$B:$G,2,0),IFERROR(VLOOKUP($B1464,$D:$K,2,0),"")),IFERROR(VLOOKUP($C1464,INSUMOS!$A:$D,2,0),IFERROR(VLOOKUP($C1464,COTAÇÕES!$B:$I,2,0),(VLOOKUP($C1464,'INSUMO SINAPI - SP'!$C:$F,2,0)))))</f>
        <v>AJUDANTE DE OPERAÇÃO EM GERAL COM ENCARGOS COMPLEMENTARES</v>
      </c>
      <c r="F1464" s="510" t="str">
        <f>IF($C1464="",IFERROR(VLOOKUP($B1464,SERVIÇOS!$B:$G,3,0),IFERROR(VLOOKUP($B1464,$D:$K,3,0),"")),IFERROR(VLOOKUP($C1464,INSUMOS!$A:$D,3,0),IFERROR(VLOOKUP($C1464,COTAÇÕES!$B:$I,3,0),(VLOOKUP($C1464,'INSUMO SINAPI - SP'!$C:$F,3,0)))))</f>
        <v>H</v>
      </c>
      <c r="G1464" s="511">
        <f>0.2*8</f>
        <v>1.6</v>
      </c>
      <c r="H1464" s="512">
        <f>IF($C1464="",IFERROR(VLOOKUP($B1464,SERVIÇOS!$B:$G,6,0),IFERROR(VLOOKUP($B1464,$D:$K,8,0),"")),IFERROR(VLOOKUP($C1464,INSUMOS!$A:$D,4,0),IFERROR(VLOOKUP($C1464,COTAÇÕES!$B:$I,7,0),(VLOOKUP($C1464,'INSUMO SINAPI - SP'!$C:$F,4,0)))))</f>
        <v>29.87</v>
      </c>
      <c r="I1464" s="513">
        <f>TRUNC(IF($C1464="",IFERROR(VLOOKUP($B1464,SERVIÇOS!$B:$G,4,0),IFERROR(VLOOKUP($B1464,$D:$K,6,0),)),IFERROR(VLOOKUP($C1464,INSUMOS!$A:$D,4,0),IFERROR(VLOOKUP($C1464,COTAÇÕES!$B:$I,7,0),(VLOOKUP($C1464,'INSUMO SINAPI - SP'!$C:$F,4,0)))))*$G1464,2)</f>
        <v>14.86</v>
      </c>
      <c r="J1464" s="513">
        <f>TRUNC(IF($C1464="",IFERROR(VLOOKUP($B1464,SERVIÇOS!$B:$G,5,0),IFERROR(VLOOKUP($B1464,$D:$K,7,0),)),0)*$G1464,2)</f>
        <v>32.92</v>
      </c>
      <c r="K1464" s="514">
        <f t="shared" si="56"/>
        <v>47.78</v>
      </c>
      <c r="L1464" s="515"/>
      <c r="M1464" s="471"/>
      <c r="N1464" s="516"/>
      <c r="Q1464" s="472"/>
      <c r="R1464" s="472"/>
      <c r="S1464" s="472"/>
      <c r="T1464" s="472"/>
      <c r="U1464" s="472"/>
      <c r="V1464" s="472"/>
      <c r="W1464" s="472"/>
      <c r="X1464" s="472"/>
      <c r="Y1464" s="472"/>
    </row>
    <row r="1465" spans="1:25" x14ac:dyDescent="0.25">
      <c r="A1465" s="463"/>
      <c r="B1465" s="507"/>
      <c r="C1465" s="507" t="s">
        <v>13347</v>
      </c>
      <c r="D1465" s="557"/>
      <c r="E1465" s="518" t="s">
        <v>13348</v>
      </c>
      <c r="F1465" s="519" t="s">
        <v>580</v>
      </c>
      <c r="G1465" s="511">
        <v>16</v>
      </c>
      <c r="H1465" s="520">
        <v>23.89</v>
      </c>
      <c r="I1465" s="520">
        <f>TRUNC(H1465*G1465,2)</f>
        <v>382.24</v>
      </c>
      <c r="J1465" s="521"/>
      <c r="K1465" s="522">
        <f t="shared" si="56"/>
        <v>382.24</v>
      </c>
      <c r="L1465" s="517" t="s">
        <v>12668</v>
      </c>
      <c r="M1465" s="471"/>
      <c r="N1465" s="516"/>
      <c r="Q1465" s="472"/>
      <c r="R1465" s="472"/>
      <c r="S1465" s="472"/>
      <c r="T1465" s="472"/>
      <c r="U1465" s="472"/>
      <c r="V1465" s="472"/>
      <c r="W1465" s="472"/>
      <c r="X1465" s="472"/>
      <c r="Y1465" s="472"/>
    </row>
    <row r="1466" spans="1:25" x14ac:dyDescent="0.25">
      <c r="A1466" s="463"/>
      <c r="B1466" s="507"/>
      <c r="C1466" s="507" t="s">
        <v>13349</v>
      </c>
      <c r="D1466" s="557"/>
      <c r="E1466" s="518" t="s">
        <v>13350</v>
      </c>
      <c r="F1466" s="519" t="s">
        <v>580</v>
      </c>
      <c r="G1466" s="511">
        <v>2</v>
      </c>
      <c r="H1466" s="520">
        <v>14.5</v>
      </c>
      <c r="I1466" s="520">
        <f>TRUNC(H1466*G1466,2)</f>
        <v>29</v>
      </c>
      <c r="J1466" s="521"/>
      <c r="K1466" s="522">
        <f t="shared" si="56"/>
        <v>29</v>
      </c>
      <c r="L1466" s="517" t="s">
        <v>13351</v>
      </c>
      <c r="M1466" s="471"/>
      <c r="N1466" s="516"/>
      <c r="Q1466" s="472"/>
      <c r="R1466" s="472"/>
      <c r="S1466" s="472"/>
      <c r="T1466" s="472"/>
      <c r="U1466" s="472"/>
      <c r="V1466" s="472"/>
      <c r="W1466" s="472"/>
      <c r="X1466" s="472"/>
      <c r="Y1466" s="472"/>
    </row>
    <row r="1467" spans="1:25" x14ac:dyDescent="0.25">
      <c r="A1467" s="463"/>
      <c r="B1467" s="507"/>
      <c r="C1467" s="507" t="s">
        <v>13352</v>
      </c>
      <c r="D1467" s="557"/>
      <c r="E1467" s="518" t="s">
        <v>13353</v>
      </c>
      <c r="F1467" s="519" t="s">
        <v>580</v>
      </c>
      <c r="G1467" s="511">
        <v>16</v>
      </c>
      <c r="H1467" s="520">
        <v>0.15</v>
      </c>
      <c r="I1467" s="520">
        <f>TRUNC(H1467*G1467,2)</f>
        <v>2.4</v>
      </c>
      <c r="J1467" s="521"/>
      <c r="K1467" s="522">
        <f t="shared" si="56"/>
        <v>2.4</v>
      </c>
      <c r="L1467" s="517" t="s">
        <v>12668</v>
      </c>
      <c r="M1467" s="471"/>
      <c r="N1467" s="516"/>
      <c r="Q1467" s="472"/>
      <c r="R1467" s="472"/>
      <c r="S1467" s="472"/>
      <c r="T1467" s="472"/>
      <c r="U1467" s="472"/>
      <c r="V1467" s="472"/>
      <c r="W1467" s="472"/>
      <c r="X1467" s="472"/>
      <c r="Y1467" s="472"/>
    </row>
    <row r="1468" spans="1:25" x14ac:dyDescent="0.25">
      <c r="A1468" s="463"/>
      <c r="B1468" s="507"/>
      <c r="C1468" s="507" t="s">
        <v>13354</v>
      </c>
      <c r="D1468" s="557"/>
      <c r="E1468" s="518" t="s">
        <v>13355</v>
      </c>
      <c r="F1468" s="519" t="s">
        <v>580</v>
      </c>
      <c r="G1468" s="511">
        <v>16</v>
      </c>
      <c r="H1468" s="520">
        <v>1.2</v>
      </c>
      <c r="I1468" s="520">
        <f>TRUNC(H1468*G1468,2)</f>
        <v>19.2</v>
      </c>
      <c r="J1468" s="521"/>
      <c r="K1468" s="522">
        <f t="shared" si="56"/>
        <v>19.2</v>
      </c>
      <c r="L1468" s="517" t="s">
        <v>12668</v>
      </c>
      <c r="M1468" s="471"/>
      <c r="N1468" s="516"/>
      <c r="Q1468" s="472"/>
      <c r="R1468" s="472"/>
      <c r="S1468" s="472"/>
      <c r="T1468" s="472"/>
      <c r="U1468" s="472"/>
      <c r="V1468" s="472"/>
      <c r="W1468" s="472"/>
      <c r="X1468" s="472"/>
      <c r="Y1468" s="472"/>
    </row>
    <row r="1469" spans="1:25" ht="36" x14ac:dyDescent="0.25">
      <c r="A1469" s="463"/>
      <c r="B1469" s="498"/>
      <c r="C1469" s="498"/>
      <c r="D1469" s="499" t="s">
        <v>12601</v>
      </c>
      <c r="E1469" s="500" t="s">
        <v>13356</v>
      </c>
      <c r="F1469" s="501" t="s">
        <v>580</v>
      </c>
      <c r="G1469" s="502"/>
      <c r="H1469" s="503"/>
      <c r="I1469" s="504">
        <f>SUM(I1470:I1472)</f>
        <v>210.08999999999997</v>
      </c>
      <c r="J1469" s="504">
        <f>SUM(J1470:J1472)</f>
        <v>291.84000000000003</v>
      </c>
      <c r="K1469" s="504">
        <f>+J1469+I1469</f>
        <v>501.93</v>
      </c>
      <c r="L1469" s="523" t="s">
        <v>13357</v>
      </c>
      <c r="M1469" s="471"/>
      <c r="N1469" s="505"/>
      <c r="Q1469" s="472"/>
      <c r="R1469" s="472"/>
      <c r="S1469" s="472"/>
      <c r="T1469" s="472"/>
      <c r="U1469" s="472"/>
      <c r="V1469" s="472"/>
      <c r="W1469" s="472"/>
      <c r="X1469" s="472"/>
      <c r="Y1469" s="472"/>
    </row>
    <row r="1470" spans="1:25" x14ac:dyDescent="0.25">
      <c r="A1470" s="463"/>
      <c r="B1470" s="506">
        <v>88264</v>
      </c>
      <c r="C1470" s="507"/>
      <c r="D1470" s="508"/>
      <c r="E1470" s="509" t="str">
        <f>IF($C1470="",IFERROR(VLOOKUP($B1470,SERVIÇOS!$B:$G,2,0),IFERROR(VLOOKUP($B1470,$D:$K,2,0),"")),IFERROR(VLOOKUP($C1470,INSUMOS!$A:$D,2,0),IFERROR(VLOOKUP($C1470,COTAÇÕES!$B:$I,2,0),(VLOOKUP($C1470,'INSUMO SINAPI - SP'!$C:$F,2,0)))))</f>
        <v>ELETRICISTA COM ENCARGOS COMPLEMENTARES</v>
      </c>
      <c r="F1470" s="510" t="str">
        <f>IF($C1470="",IFERROR(VLOOKUP($B1470,SERVIÇOS!$B:$G,3,0),IFERROR(VLOOKUP($B1470,$D:$K,3,0),"")),IFERROR(VLOOKUP($C1470,INSUMOS!$A:$D,3,0),IFERROR(VLOOKUP($C1470,COTAÇÕES!$B:$I,3,0),(VLOOKUP($C1470,'INSUMO SINAPI - SP'!$C:$F,3,0)))))</f>
        <v>H</v>
      </c>
      <c r="G1470" s="511">
        <v>6</v>
      </c>
      <c r="H1470" s="512">
        <f>IF($C1470="",IFERROR(VLOOKUP($B1470,SERVIÇOS!$B:$G,6,0),IFERROR(VLOOKUP($B1470,$D:$K,8,0),"")),IFERROR(VLOOKUP($C1470,INSUMOS!$A:$D,4,0),IFERROR(VLOOKUP($C1470,COTAÇÕES!$B:$I,7,0),(VLOOKUP($C1470,'INSUMO SINAPI - SP'!$C:$F,4,0)))))</f>
        <v>37.369999999999997</v>
      </c>
      <c r="I1470" s="513">
        <f>TRUNC(IF($C1470="",IFERROR(VLOOKUP($B1470,SERVIÇOS!$B:$G,4,0),IFERROR(VLOOKUP($B1470,$D:$K,6,0),)),IFERROR(VLOOKUP($C1470,INSUMOS!$A:$D,4,0),IFERROR(VLOOKUP($C1470,COTAÇÕES!$B:$I,7,0),(VLOOKUP($C1470,'INSUMO SINAPI - SP'!$C:$F,4,0)))))*$G1470,2)</f>
        <v>55.86</v>
      </c>
      <c r="J1470" s="513">
        <f>TRUNC(IF($C1470="",IFERROR(VLOOKUP($B1470,SERVIÇOS!$B:$G,5,0),IFERROR(VLOOKUP($B1470,$D:$K,7,0),)),0)*$G1470,2)</f>
        <v>168.36</v>
      </c>
      <c r="K1470" s="514">
        <f>I1470+J1470</f>
        <v>224.22000000000003</v>
      </c>
      <c r="L1470" s="515"/>
      <c r="M1470" s="471"/>
      <c r="N1470" s="516"/>
      <c r="Q1470" s="472"/>
      <c r="R1470" s="472"/>
      <c r="S1470" s="472"/>
      <c r="T1470" s="472"/>
      <c r="U1470" s="472"/>
      <c r="V1470" s="472"/>
      <c r="W1470" s="472"/>
      <c r="X1470" s="472"/>
      <c r="Y1470" s="472"/>
    </row>
    <row r="1471" spans="1:25" x14ac:dyDescent="0.25">
      <c r="A1471" s="463"/>
      <c r="B1471" s="506">
        <v>88241</v>
      </c>
      <c r="C1471" s="507"/>
      <c r="D1471" s="508"/>
      <c r="E1471" s="509" t="str">
        <f>IF($C1471="",IFERROR(VLOOKUP($B1471,SERVIÇOS!$B:$G,2,0),IFERROR(VLOOKUP($B1471,$D:$K,2,0),"")),IFERROR(VLOOKUP($C1471,INSUMOS!$A:$D,2,0),IFERROR(VLOOKUP($C1471,COTAÇÕES!$B:$I,2,0),(VLOOKUP($C1471,'INSUMO SINAPI - SP'!$C:$F,2,0)))))</f>
        <v>AJUDANTE DE OPERAÇÃO EM GERAL COM ENCARGOS COMPLEMENTARES</v>
      </c>
      <c r="F1471" s="510" t="str">
        <f>IF($C1471="",IFERROR(VLOOKUP($B1471,SERVIÇOS!$B:$G,3,0),IFERROR(VLOOKUP($B1471,$D:$K,3,0),"")),IFERROR(VLOOKUP($C1471,INSUMOS!$A:$D,3,0),IFERROR(VLOOKUP($C1471,COTAÇÕES!$B:$I,3,0),(VLOOKUP($C1471,'INSUMO SINAPI - SP'!$C:$F,3,0)))))</f>
        <v>H</v>
      </c>
      <c r="G1471" s="511">
        <v>6</v>
      </c>
      <c r="H1471" s="512">
        <f>IF($C1471="",IFERROR(VLOOKUP($B1471,SERVIÇOS!$B:$G,6,0),IFERROR(VLOOKUP($B1471,$D:$K,8,0),"")),IFERROR(VLOOKUP($C1471,INSUMOS!$A:$D,4,0),IFERROR(VLOOKUP($C1471,COTAÇÕES!$B:$I,7,0),(VLOOKUP($C1471,'INSUMO SINAPI - SP'!$C:$F,4,0)))))</f>
        <v>29.87</v>
      </c>
      <c r="I1471" s="513">
        <f>TRUNC(IF($C1471="",IFERROR(VLOOKUP($B1471,SERVIÇOS!$B:$G,4,0),IFERROR(VLOOKUP($B1471,$D:$K,6,0),)),IFERROR(VLOOKUP($C1471,INSUMOS!$A:$D,4,0),IFERROR(VLOOKUP($C1471,COTAÇÕES!$B:$I,7,0),(VLOOKUP($C1471,'INSUMO SINAPI - SP'!$C:$F,4,0)))))*$G1471,2)</f>
        <v>55.74</v>
      </c>
      <c r="J1471" s="513">
        <f>TRUNC(IF($C1471="",IFERROR(VLOOKUP($B1471,SERVIÇOS!$B:$G,5,0),IFERROR(VLOOKUP($B1471,$D:$K,7,0),)),0)*$G1471,2)</f>
        <v>123.48</v>
      </c>
      <c r="K1471" s="514">
        <f>I1471+J1471</f>
        <v>179.22</v>
      </c>
      <c r="L1471" s="515"/>
      <c r="M1471" s="471"/>
      <c r="N1471" s="516"/>
      <c r="Q1471" s="472"/>
      <c r="R1471" s="472"/>
      <c r="S1471" s="472"/>
      <c r="T1471" s="472"/>
      <c r="U1471" s="472"/>
      <c r="V1471" s="472"/>
      <c r="W1471" s="472"/>
      <c r="X1471" s="472"/>
      <c r="Y1471" s="472"/>
    </row>
    <row r="1472" spans="1:25" ht="24" x14ac:dyDescent="0.25">
      <c r="A1472" s="463"/>
      <c r="B1472" s="506"/>
      <c r="C1472" s="507" t="s">
        <v>13358</v>
      </c>
      <c r="D1472" s="508"/>
      <c r="E1472" s="509" t="str">
        <f>IF($C1472="",IFERROR(VLOOKUP($B1472,SERVIÇOS!$B:$G,2,0),IFERROR(VLOOKUP($B1472,$D:$K,2,0),"")),IFERROR(VLOOKUP($C1472,INSUMOS!$A:$D,2,0),IFERROR(VLOOKUP($C1472,COTAÇÕES!$B:$I,2,0),(VLOOKUP($C1472,'INSUMO SINAPI - SP'!$C:$F,2,0)))))</f>
        <v>VENTILADOR COMPACTO AXIAL PARA INSTALAÇÃO EM FORRO - VAZÃO 95M3/H - 220V - 18W - 60HZ. REFERÊNCIA: SICFLUX MEGA 10 OU OUTRO EQUIVALENTE (MULTIVAC)</v>
      </c>
      <c r="F1472" s="510" t="str">
        <f>IF($C1472="",IFERROR(VLOOKUP($B1472,SERVIÇOS!$B:$G,3,0),IFERROR(VLOOKUP($B1472,$D:$K,3,0),"")),IFERROR(VLOOKUP($C1472,INSUMOS!$A:$D,3,0),IFERROR(VLOOKUP($C1472,COTAÇÕES!$B:$I,3,0),(VLOOKUP($C1472,'INSUMO SINAPI - SP'!$C:$F,3,0)))))</f>
        <v>UN</v>
      </c>
      <c r="G1472" s="511">
        <v>1</v>
      </c>
      <c r="H1472" s="512">
        <f>IF($C1472="",IFERROR(VLOOKUP($B1472,SERVIÇOS!$B:$G,6,0),IFERROR(VLOOKUP($B1472,$D:$K,8,0),"")),IFERROR(VLOOKUP($C1472,INSUMOS!$A:$D,4,0),IFERROR(VLOOKUP($C1472,COTAÇÕES!$B:$I,8,0),(VLOOKUP($C1472,'INSUMO SINAPI - SP'!$C:$F,4,0)))))</f>
        <v>98.49</v>
      </c>
      <c r="I1472" s="513">
        <f>TRUNC(IF($C1472="",IFERROR(VLOOKUP($B1472,SERVIÇOS!$B:$G,4,0),IFERROR(VLOOKUP($B1472,$D:$K,6,0),)),IFERROR(VLOOKUP($C1472,INSUMOS!$A:$D,4,0),IFERROR(VLOOKUP($C1472,COTAÇÕES!$B:$I,8,0),(VLOOKUP($C1472,'INSUMO SINAPI - SP'!$C:$F,4,0)))))*$G1472,2)</f>
        <v>98.49</v>
      </c>
      <c r="J1472" s="513"/>
      <c r="K1472" s="514">
        <f>I1472+J1472</f>
        <v>98.49</v>
      </c>
      <c r="L1472" s="517" t="s">
        <v>12878</v>
      </c>
      <c r="M1472" s="471"/>
      <c r="N1472" s="516"/>
      <c r="Q1472" s="472"/>
      <c r="R1472" s="472"/>
      <c r="S1472" s="472"/>
      <c r="T1472" s="472"/>
      <c r="U1472" s="472"/>
      <c r="V1472" s="472"/>
      <c r="W1472" s="472"/>
      <c r="X1472" s="472"/>
      <c r="Y1472" s="472"/>
    </row>
    <row r="1473" spans="1:25" ht="36" x14ac:dyDescent="0.25">
      <c r="A1473" s="463"/>
      <c r="B1473" s="498"/>
      <c r="C1473" s="498"/>
      <c r="D1473" s="499" t="s">
        <v>12602</v>
      </c>
      <c r="E1473" s="500" t="s">
        <v>13359</v>
      </c>
      <c r="F1473" s="501" t="s">
        <v>580</v>
      </c>
      <c r="G1473" s="502"/>
      <c r="H1473" s="503"/>
      <c r="I1473" s="504">
        <f>SUM(I1474:I1476)</f>
        <v>208.64999999999998</v>
      </c>
      <c r="J1473" s="504">
        <f>SUM(J1474:J1476)</f>
        <v>291.84000000000003</v>
      </c>
      <c r="K1473" s="504">
        <f>+J1473+I1473</f>
        <v>500.49</v>
      </c>
      <c r="L1473" s="523" t="s">
        <v>13357</v>
      </c>
      <c r="M1473" s="471"/>
      <c r="N1473" s="505"/>
      <c r="Q1473" s="472"/>
      <c r="R1473" s="472"/>
      <c r="S1473" s="472"/>
      <c r="T1473" s="472"/>
      <c r="U1473" s="472"/>
      <c r="V1473" s="472"/>
      <c r="W1473" s="472"/>
      <c r="X1473" s="472"/>
      <c r="Y1473" s="472"/>
    </row>
    <row r="1474" spans="1:25" x14ac:dyDescent="0.25">
      <c r="A1474" s="463"/>
      <c r="B1474" s="506">
        <v>88264</v>
      </c>
      <c r="C1474" s="507"/>
      <c r="D1474" s="508"/>
      <c r="E1474" s="509" t="str">
        <f>IF($C1474="",IFERROR(VLOOKUP($B1474,SERVIÇOS!$B:$G,2,0),IFERROR(VLOOKUP($B1474,$D:$K,2,0),"")),IFERROR(VLOOKUP($C1474,INSUMOS!$A:$D,2,0),IFERROR(VLOOKUP($C1474,COTAÇÕES!$B:$I,2,0),(VLOOKUP($C1474,'INSUMO SINAPI - SP'!$C:$F,2,0)))))</f>
        <v>ELETRICISTA COM ENCARGOS COMPLEMENTARES</v>
      </c>
      <c r="F1474" s="510" t="str">
        <f>IF($C1474="",IFERROR(VLOOKUP($B1474,SERVIÇOS!$B:$G,3,0),IFERROR(VLOOKUP($B1474,$D:$K,3,0),"")),IFERROR(VLOOKUP($C1474,INSUMOS!$A:$D,3,0),IFERROR(VLOOKUP($C1474,COTAÇÕES!$B:$I,3,0),(VLOOKUP($C1474,'INSUMO SINAPI - SP'!$C:$F,3,0)))))</f>
        <v>H</v>
      </c>
      <c r="G1474" s="511">
        <v>6</v>
      </c>
      <c r="H1474" s="512">
        <f>IF($C1474="",IFERROR(VLOOKUP($B1474,SERVIÇOS!$B:$G,6,0),IFERROR(VLOOKUP($B1474,$D:$K,8,0),"")),IFERROR(VLOOKUP($C1474,INSUMOS!$A:$D,4,0),IFERROR(VLOOKUP($C1474,COTAÇÕES!$B:$I,7,0),(VLOOKUP($C1474,'INSUMO SINAPI - SP'!$C:$F,4,0)))))</f>
        <v>37.369999999999997</v>
      </c>
      <c r="I1474" s="513">
        <f>TRUNC(IF($C1474="",IFERROR(VLOOKUP($B1474,SERVIÇOS!$B:$G,4,0),IFERROR(VLOOKUP($B1474,$D:$K,6,0),)),IFERROR(VLOOKUP($C1474,INSUMOS!$A:$D,4,0),IFERROR(VLOOKUP($C1474,COTAÇÕES!$B:$I,7,0),(VLOOKUP($C1474,'INSUMO SINAPI - SP'!$C:$F,4,0)))))*$G1474,2)</f>
        <v>55.86</v>
      </c>
      <c r="J1474" s="513">
        <f>TRUNC(IF($C1474="",IFERROR(VLOOKUP($B1474,SERVIÇOS!$B:$G,5,0),IFERROR(VLOOKUP($B1474,$D:$K,7,0),)),0)*$G1474,2)</f>
        <v>168.36</v>
      </c>
      <c r="K1474" s="514">
        <f>I1474+J1474</f>
        <v>224.22000000000003</v>
      </c>
      <c r="L1474" s="515"/>
      <c r="M1474" s="471"/>
      <c r="N1474" s="516"/>
      <c r="Q1474" s="472"/>
      <c r="R1474" s="472"/>
      <c r="S1474" s="472"/>
      <c r="T1474" s="472"/>
      <c r="U1474" s="472"/>
      <c r="V1474" s="472"/>
      <c r="W1474" s="472"/>
      <c r="X1474" s="472"/>
      <c r="Y1474" s="472"/>
    </row>
    <row r="1475" spans="1:25" x14ac:dyDescent="0.25">
      <c r="A1475" s="463"/>
      <c r="B1475" s="506">
        <v>88241</v>
      </c>
      <c r="C1475" s="507"/>
      <c r="D1475" s="508"/>
      <c r="E1475" s="509" t="str">
        <f>IF($C1475="",IFERROR(VLOOKUP($B1475,SERVIÇOS!$B:$G,2,0),IFERROR(VLOOKUP($B1475,$D:$K,2,0),"")),IFERROR(VLOOKUP($C1475,INSUMOS!$A:$D,2,0),IFERROR(VLOOKUP($C1475,COTAÇÕES!$B:$I,2,0),(VLOOKUP($C1475,'INSUMO SINAPI - SP'!$C:$F,2,0)))))</f>
        <v>AJUDANTE DE OPERAÇÃO EM GERAL COM ENCARGOS COMPLEMENTARES</v>
      </c>
      <c r="F1475" s="510" t="str">
        <f>IF($C1475="",IFERROR(VLOOKUP($B1475,SERVIÇOS!$B:$G,3,0),IFERROR(VLOOKUP($B1475,$D:$K,3,0),"")),IFERROR(VLOOKUP($C1475,INSUMOS!$A:$D,3,0),IFERROR(VLOOKUP($C1475,COTAÇÕES!$B:$I,3,0),(VLOOKUP($C1475,'INSUMO SINAPI - SP'!$C:$F,3,0)))))</f>
        <v>H</v>
      </c>
      <c r="G1475" s="511">
        <v>6</v>
      </c>
      <c r="H1475" s="512">
        <f>IF($C1475="",IFERROR(VLOOKUP($B1475,SERVIÇOS!$B:$G,6,0),IFERROR(VLOOKUP($B1475,$D:$K,8,0),"")),IFERROR(VLOOKUP($C1475,INSUMOS!$A:$D,4,0),IFERROR(VLOOKUP($C1475,COTAÇÕES!$B:$I,7,0),(VLOOKUP($C1475,'INSUMO SINAPI - SP'!$C:$F,4,0)))))</f>
        <v>29.87</v>
      </c>
      <c r="I1475" s="513">
        <f>TRUNC(IF($C1475="",IFERROR(VLOOKUP($B1475,SERVIÇOS!$B:$G,4,0),IFERROR(VLOOKUP($B1475,$D:$K,6,0),)),IFERROR(VLOOKUP($C1475,INSUMOS!$A:$D,4,0),IFERROR(VLOOKUP($C1475,COTAÇÕES!$B:$I,7,0),(VLOOKUP($C1475,'INSUMO SINAPI - SP'!$C:$F,4,0)))))*$G1475,2)</f>
        <v>55.74</v>
      </c>
      <c r="J1475" s="513">
        <f>TRUNC(IF($C1475="",IFERROR(VLOOKUP($B1475,SERVIÇOS!$B:$G,5,0),IFERROR(VLOOKUP($B1475,$D:$K,7,0),)),0)*$G1475,2)</f>
        <v>123.48</v>
      </c>
      <c r="K1475" s="514">
        <f>I1475+J1475</f>
        <v>179.22</v>
      </c>
      <c r="L1475" s="515"/>
      <c r="M1475" s="471"/>
      <c r="N1475" s="516"/>
      <c r="Q1475" s="472"/>
      <c r="R1475" s="472"/>
      <c r="S1475" s="472"/>
      <c r="T1475" s="472"/>
      <c r="U1475" s="472"/>
      <c r="V1475" s="472"/>
      <c r="W1475" s="472"/>
      <c r="X1475" s="472"/>
      <c r="Y1475" s="472"/>
    </row>
    <row r="1476" spans="1:25" ht="24" x14ac:dyDescent="0.25">
      <c r="A1476" s="463"/>
      <c r="B1476" s="506"/>
      <c r="C1476" s="507" t="s">
        <v>13360</v>
      </c>
      <c r="D1476" s="508"/>
      <c r="E1476" s="518" t="s">
        <v>13361</v>
      </c>
      <c r="F1476" s="519" t="s">
        <v>580</v>
      </c>
      <c r="G1476" s="511">
        <v>1</v>
      </c>
      <c r="H1476" s="520">
        <v>97.05</v>
      </c>
      <c r="I1476" s="520">
        <f>TRUNC(H1476*G1476,2)</f>
        <v>97.05</v>
      </c>
      <c r="J1476" s="521"/>
      <c r="K1476" s="522">
        <f>I1476+J1476</f>
        <v>97.05</v>
      </c>
      <c r="L1476" s="517" t="s">
        <v>12668</v>
      </c>
      <c r="M1476" s="471"/>
      <c r="N1476" s="516"/>
      <c r="Q1476" s="472"/>
      <c r="R1476" s="472"/>
      <c r="S1476" s="472"/>
      <c r="T1476" s="472"/>
      <c r="U1476" s="472"/>
      <c r="V1476" s="472"/>
      <c r="W1476" s="472"/>
      <c r="X1476" s="472"/>
      <c r="Y1476" s="472"/>
    </row>
    <row r="1477" spans="1:25" ht="36" x14ac:dyDescent="0.25">
      <c r="A1477" s="463"/>
      <c r="B1477" s="498"/>
      <c r="C1477" s="498"/>
      <c r="D1477" s="499" t="s">
        <v>12603</v>
      </c>
      <c r="E1477" s="500" t="s">
        <v>13362</v>
      </c>
      <c r="F1477" s="501" t="s">
        <v>580</v>
      </c>
      <c r="G1477" s="502"/>
      <c r="H1477" s="503"/>
      <c r="I1477" s="504">
        <f>SUM(I1478:I1480)</f>
        <v>266.09000000000003</v>
      </c>
      <c r="J1477" s="504">
        <f>SUM(J1478:J1480)</f>
        <v>291.84000000000003</v>
      </c>
      <c r="K1477" s="504">
        <f>+J1477+I1477</f>
        <v>557.93000000000006</v>
      </c>
      <c r="L1477" s="523" t="s">
        <v>13357</v>
      </c>
      <c r="M1477" s="471"/>
      <c r="N1477" s="505"/>
      <c r="Q1477" s="472"/>
      <c r="R1477" s="472"/>
      <c r="S1477" s="472"/>
      <c r="T1477" s="472"/>
      <c r="U1477" s="472"/>
      <c r="V1477" s="472"/>
      <c r="W1477" s="472"/>
      <c r="X1477" s="472"/>
      <c r="Y1477" s="472"/>
    </row>
    <row r="1478" spans="1:25" x14ac:dyDescent="0.25">
      <c r="A1478" s="463"/>
      <c r="B1478" s="506">
        <v>88264</v>
      </c>
      <c r="C1478" s="507"/>
      <c r="D1478" s="508"/>
      <c r="E1478" s="509" t="str">
        <f>IF($C1478="",IFERROR(VLOOKUP($B1478,SERVIÇOS!$B:$G,2,0),IFERROR(VLOOKUP($B1478,$D:$K,2,0),"")),IFERROR(VLOOKUP($C1478,INSUMOS!$A:$D,2,0),IFERROR(VLOOKUP($C1478,COTAÇÕES!$B:$I,2,0),(VLOOKUP($C1478,'INSUMO SINAPI - SP'!$C:$F,2,0)))))</f>
        <v>ELETRICISTA COM ENCARGOS COMPLEMENTARES</v>
      </c>
      <c r="F1478" s="510" t="str">
        <f>IF($C1478="",IFERROR(VLOOKUP($B1478,SERVIÇOS!$B:$G,3,0),IFERROR(VLOOKUP($B1478,$D:$K,3,0),"")),IFERROR(VLOOKUP($C1478,INSUMOS!$A:$D,3,0),IFERROR(VLOOKUP($C1478,COTAÇÕES!$B:$I,3,0),(VLOOKUP($C1478,'INSUMO SINAPI - SP'!$C:$F,3,0)))))</f>
        <v>H</v>
      </c>
      <c r="G1478" s="511">
        <v>6</v>
      </c>
      <c r="H1478" s="512">
        <f>IF($C1478="",IFERROR(VLOOKUP($B1478,SERVIÇOS!$B:$G,6,0),IFERROR(VLOOKUP($B1478,$D:$K,8,0),"")),IFERROR(VLOOKUP($C1478,INSUMOS!$A:$D,4,0),IFERROR(VLOOKUP($C1478,COTAÇÕES!$B:$I,7,0),(VLOOKUP($C1478,'INSUMO SINAPI - SP'!$C:$F,4,0)))))</f>
        <v>37.369999999999997</v>
      </c>
      <c r="I1478" s="513">
        <f>TRUNC(IF($C1478="",IFERROR(VLOOKUP($B1478,SERVIÇOS!$B:$G,4,0),IFERROR(VLOOKUP($B1478,$D:$K,6,0),)),IFERROR(VLOOKUP($C1478,INSUMOS!$A:$D,4,0),IFERROR(VLOOKUP($C1478,COTAÇÕES!$B:$I,7,0),(VLOOKUP($C1478,'INSUMO SINAPI - SP'!$C:$F,4,0)))))*$G1478,2)</f>
        <v>55.86</v>
      </c>
      <c r="J1478" s="513">
        <f>TRUNC(IF($C1478="",IFERROR(VLOOKUP($B1478,SERVIÇOS!$B:$G,5,0),IFERROR(VLOOKUP($B1478,$D:$K,7,0),)),0)*$G1478,2)</f>
        <v>168.36</v>
      </c>
      <c r="K1478" s="514">
        <f>I1478+J1478</f>
        <v>224.22000000000003</v>
      </c>
      <c r="L1478" s="515"/>
      <c r="M1478" s="471"/>
      <c r="N1478" s="516"/>
      <c r="Q1478" s="472"/>
      <c r="R1478" s="472"/>
      <c r="S1478" s="472"/>
      <c r="T1478" s="472"/>
      <c r="U1478" s="472"/>
      <c r="V1478" s="472"/>
      <c r="W1478" s="472"/>
      <c r="X1478" s="472"/>
      <c r="Y1478" s="472"/>
    </row>
    <row r="1479" spans="1:25" x14ac:dyDescent="0.25">
      <c r="A1479" s="463"/>
      <c r="B1479" s="506">
        <v>88241</v>
      </c>
      <c r="C1479" s="507"/>
      <c r="D1479" s="508"/>
      <c r="E1479" s="509" t="str">
        <f>IF($C1479="",IFERROR(VLOOKUP($B1479,SERVIÇOS!$B:$G,2,0),IFERROR(VLOOKUP($B1479,$D:$K,2,0),"")),IFERROR(VLOOKUP($C1479,INSUMOS!$A:$D,2,0),IFERROR(VLOOKUP($C1479,COTAÇÕES!$B:$I,2,0),(VLOOKUP($C1479,'INSUMO SINAPI - SP'!$C:$F,2,0)))))</f>
        <v>AJUDANTE DE OPERAÇÃO EM GERAL COM ENCARGOS COMPLEMENTARES</v>
      </c>
      <c r="F1479" s="510" t="str">
        <f>IF($C1479="",IFERROR(VLOOKUP($B1479,SERVIÇOS!$B:$G,3,0),IFERROR(VLOOKUP($B1479,$D:$K,3,0),"")),IFERROR(VLOOKUP($C1479,INSUMOS!$A:$D,3,0),IFERROR(VLOOKUP($C1479,COTAÇÕES!$B:$I,3,0),(VLOOKUP($C1479,'INSUMO SINAPI - SP'!$C:$F,3,0)))))</f>
        <v>H</v>
      </c>
      <c r="G1479" s="511">
        <v>6</v>
      </c>
      <c r="H1479" s="512">
        <f>IF($C1479="",IFERROR(VLOOKUP($B1479,SERVIÇOS!$B:$G,6,0),IFERROR(VLOOKUP($B1479,$D:$K,8,0),"")),IFERROR(VLOOKUP($C1479,INSUMOS!$A:$D,4,0),IFERROR(VLOOKUP($C1479,COTAÇÕES!$B:$I,7,0),(VLOOKUP($C1479,'INSUMO SINAPI - SP'!$C:$F,4,0)))))</f>
        <v>29.87</v>
      </c>
      <c r="I1479" s="513">
        <f>TRUNC(IF($C1479="",IFERROR(VLOOKUP($B1479,SERVIÇOS!$B:$G,4,0),IFERROR(VLOOKUP($B1479,$D:$K,6,0),)),IFERROR(VLOOKUP($C1479,INSUMOS!$A:$D,4,0),IFERROR(VLOOKUP($C1479,COTAÇÕES!$B:$I,7,0),(VLOOKUP($C1479,'INSUMO SINAPI - SP'!$C:$F,4,0)))))*$G1479,2)</f>
        <v>55.74</v>
      </c>
      <c r="J1479" s="513">
        <f>TRUNC(IF($C1479="",IFERROR(VLOOKUP($B1479,SERVIÇOS!$B:$G,5,0),IFERROR(VLOOKUP($B1479,$D:$K,7,0),)),0)*$G1479,2)</f>
        <v>123.48</v>
      </c>
      <c r="K1479" s="514">
        <f>I1479+J1479</f>
        <v>179.22</v>
      </c>
      <c r="L1479" s="515"/>
      <c r="M1479" s="471"/>
      <c r="N1479" s="516"/>
      <c r="Q1479" s="472"/>
      <c r="R1479" s="472"/>
      <c r="S1479" s="472"/>
      <c r="T1479" s="472"/>
      <c r="U1479" s="472"/>
      <c r="V1479" s="472"/>
      <c r="W1479" s="472"/>
      <c r="X1479" s="472"/>
      <c r="Y1479" s="472"/>
    </row>
    <row r="1480" spans="1:25" ht="24" x14ac:dyDescent="0.25">
      <c r="A1480" s="463"/>
      <c r="B1480" s="506"/>
      <c r="C1480" s="507" t="s">
        <v>13363</v>
      </c>
      <c r="D1480" s="508"/>
      <c r="E1480" s="518" t="s">
        <v>13364</v>
      </c>
      <c r="F1480" s="519" t="s">
        <v>580</v>
      </c>
      <c r="G1480" s="511">
        <v>1</v>
      </c>
      <c r="H1480" s="520">
        <v>154.49</v>
      </c>
      <c r="I1480" s="520">
        <f>TRUNC(H1480*G1480,2)</f>
        <v>154.49</v>
      </c>
      <c r="J1480" s="521"/>
      <c r="K1480" s="522">
        <f>I1480+J1480</f>
        <v>154.49</v>
      </c>
      <c r="L1480" s="517" t="s">
        <v>12668</v>
      </c>
      <c r="M1480" s="471"/>
      <c r="N1480" s="516"/>
      <c r="Q1480" s="472"/>
      <c r="R1480" s="472"/>
      <c r="S1480" s="472"/>
      <c r="T1480" s="472"/>
      <c r="U1480" s="472"/>
      <c r="V1480" s="472"/>
      <c r="W1480" s="472"/>
      <c r="X1480" s="472"/>
      <c r="Y1480" s="472"/>
    </row>
    <row r="1481" spans="1:25" ht="60" x14ac:dyDescent="0.25">
      <c r="A1481" s="463"/>
      <c r="B1481" s="498"/>
      <c r="C1481" s="498"/>
      <c r="D1481" s="499" t="s">
        <v>12392</v>
      </c>
      <c r="E1481" s="500" t="s">
        <v>13365</v>
      </c>
      <c r="F1481" s="501" t="s">
        <v>585</v>
      </c>
      <c r="G1481" s="502"/>
      <c r="H1481" s="503"/>
      <c r="I1481" s="504">
        <f>ROUND(SUM(I1482:I1487),2)</f>
        <v>140.75</v>
      </c>
      <c r="J1481" s="504">
        <f>ROUND(SUM(J1482:J1487),2)</f>
        <v>23.32</v>
      </c>
      <c r="K1481" s="504">
        <f>+J1481+I1481</f>
        <v>164.07</v>
      </c>
      <c r="L1481" s="523" t="s">
        <v>13296</v>
      </c>
      <c r="M1481" s="471"/>
      <c r="N1481" s="505"/>
      <c r="Q1481" s="472"/>
      <c r="R1481" s="472"/>
      <c r="S1481" s="472"/>
      <c r="T1481" s="472"/>
      <c r="U1481" s="472"/>
      <c r="V1481" s="472"/>
      <c r="W1481" s="472"/>
      <c r="X1481" s="472"/>
      <c r="Y1481" s="472"/>
    </row>
    <row r="1482" spans="1:25" x14ac:dyDescent="0.25">
      <c r="A1482" s="463"/>
      <c r="B1482" s="506">
        <v>88267</v>
      </c>
      <c r="C1482" s="507"/>
      <c r="D1482" s="508"/>
      <c r="E1482" s="509" t="str">
        <f>IF($C1482="",IFERROR(VLOOKUP($B1482,SERVIÇOS!$B:$G,2,0),IFERROR(VLOOKUP($B1482,$D:$K,2,0),"")),IFERROR(VLOOKUP($C1482,INSUMOS!$A:$D,2,0),IFERROR(VLOOKUP($C1482,COTAÇÕES!$B:$I,2,0),(VLOOKUP($C1482,'INSUMO SINAPI - SP'!$C:$F,2,0)))))</f>
        <v>ENCANADOR OU BOMBEIRO HIDRÁULICO COM ENCARGOS COMPLEMENTARES</v>
      </c>
      <c r="F1482" s="510" t="str">
        <f>IF($C1482="",IFERROR(VLOOKUP($B1482,SERVIÇOS!$B:$G,3,0),IFERROR(VLOOKUP($B1482,$D:$K,3,0),"")),IFERROR(VLOOKUP($C1482,INSUMOS!$A:$D,3,0),IFERROR(VLOOKUP($C1482,COTAÇÕES!$B:$I,3,0),(VLOOKUP($C1482,'INSUMO SINAPI - SP'!$C:$F,3,0)))))</f>
        <v>H</v>
      </c>
      <c r="G1482" s="511">
        <v>0.48</v>
      </c>
      <c r="H1482" s="512">
        <f>IF($C1482="",IFERROR(VLOOKUP($B1482,SERVIÇOS!$B:$G,6,0),IFERROR(VLOOKUP($B1482,$D:$K,8,0),"")),IFERROR(VLOOKUP($C1482,INSUMOS!$A:$D,4,0),IFERROR(VLOOKUP($C1482,COTAÇÕES!$B:$I,7,0),(VLOOKUP($C1482,'INSUMO SINAPI - SP'!$C:$F,4,0)))))</f>
        <v>36.17</v>
      </c>
      <c r="I1482" s="513">
        <f>TRUNC(IF($C1482="",IFERROR(VLOOKUP($B1482,SERVIÇOS!$B:$G,4,0),IFERROR(VLOOKUP($B1482,$D:$K,6,0),)),IFERROR(VLOOKUP($C1482,INSUMOS!$A:$D,4,0),IFERROR(VLOOKUP($C1482,COTAÇÕES!$B:$I,7,0),(VLOOKUP($C1482,'INSUMO SINAPI - SP'!$C:$F,4,0)))))*$G1482,2)</f>
        <v>4.1399999999999997</v>
      </c>
      <c r="J1482" s="513">
        <f>TRUNC(IF($C1482="",IFERROR(VLOOKUP($B1482,SERVIÇOS!$B:$G,5,0),IFERROR(VLOOKUP($B1482,$D:$K,7,0),)),0)*$G1482,2)</f>
        <v>13.21</v>
      </c>
      <c r="K1482" s="514">
        <f t="shared" ref="K1482:K1487" si="57">I1482+J1482</f>
        <v>17.350000000000001</v>
      </c>
      <c r="L1482" s="515"/>
      <c r="M1482" s="471"/>
      <c r="N1482" s="516"/>
      <c r="Q1482" s="472"/>
      <c r="R1482" s="472"/>
      <c r="S1482" s="472"/>
      <c r="T1482" s="472"/>
      <c r="U1482" s="472"/>
      <c r="V1482" s="472"/>
      <c r="W1482" s="472"/>
      <c r="X1482" s="472"/>
      <c r="Y1482" s="472"/>
    </row>
    <row r="1483" spans="1:25" x14ac:dyDescent="0.25">
      <c r="A1483" s="463"/>
      <c r="B1483" s="506">
        <v>88248</v>
      </c>
      <c r="C1483" s="507"/>
      <c r="D1483" s="508"/>
      <c r="E1483" s="509" t="str">
        <f>IF($C1483="",IFERROR(VLOOKUP($B1483,SERVIÇOS!$B:$G,2,0),IFERROR(VLOOKUP($B1483,$D:$K,2,0),"")),IFERROR(VLOOKUP($C1483,INSUMOS!$A:$D,2,0),IFERROR(VLOOKUP($C1483,COTAÇÕES!$B:$I,2,0),(VLOOKUP($C1483,'INSUMO SINAPI - SP'!$C:$F,2,0)))))</f>
        <v>AUXILIAR DE ENCANADOR OU BOMBEIRO HIDRÁULICO COM ENCARGOS COMPLEMENTARES</v>
      </c>
      <c r="F1483" s="510" t="str">
        <f>IF($C1483="",IFERROR(VLOOKUP($B1483,SERVIÇOS!$B:$G,3,0),IFERROR(VLOOKUP($B1483,$D:$K,3,0),"")),IFERROR(VLOOKUP($C1483,INSUMOS!$A:$D,3,0),IFERROR(VLOOKUP($C1483,COTAÇÕES!$B:$I,3,0),(VLOOKUP($C1483,'INSUMO SINAPI - SP'!$C:$F,3,0)))))</f>
        <v>H</v>
      </c>
      <c r="G1483" s="511">
        <v>0.48</v>
      </c>
      <c r="H1483" s="512">
        <f>IF($C1483="",IFERROR(VLOOKUP($B1483,SERVIÇOS!$B:$G,6,0),IFERROR(VLOOKUP($B1483,$D:$K,8,0),"")),IFERROR(VLOOKUP($C1483,INSUMOS!$A:$D,4,0),IFERROR(VLOOKUP($C1483,COTAÇÕES!$B:$I,7,0),(VLOOKUP($C1483,'INSUMO SINAPI - SP'!$C:$F,4,0)))))</f>
        <v>29.72</v>
      </c>
      <c r="I1483" s="513">
        <f>TRUNC(IF($C1483="",IFERROR(VLOOKUP($B1483,SERVIÇOS!$B:$G,4,0),IFERROR(VLOOKUP($B1483,$D:$K,6,0),)),IFERROR(VLOOKUP($C1483,INSUMOS!$A:$D,4,0),IFERROR(VLOOKUP($C1483,COTAÇÕES!$B:$I,7,0),(VLOOKUP($C1483,'INSUMO SINAPI - SP'!$C:$F,4,0)))))*$G1483,2)</f>
        <v>4.1399999999999997</v>
      </c>
      <c r="J1483" s="513">
        <f>TRUNC(IF($C1483="",IFERROR(VLOOKUP($B1483,SERVIÇOS!$B:$G,5,0),IFERROR(VLOOKUP($B1483,$D:$K,7,0),)),0)*$G1483,2)</f>
        <v>10.11</v>
      </c>
      <c r="K1483" s="514">
        <f t="shared" si="57"/>
        <v>14.25</v>
      </c>
      <c r="L1483" s="515"/>
      <c r="M1483" s="471"/>
      <c r="N1483" s="516"/>
      <c r="Q1483" s="472"/>
      <c r="R1483" s="472"/>
      <c r="S1483" s="472"/>
      <c r="T1483" s="472"/>
      <c r="U1483" s="472"/>
      <c r="V1483" s="472"/>
      <c r="W1483" s="472"/>
      <c r="X1483" s="472"/>
      <c r="Y1483" s="472"/>
    </row>
    <row r="1484" spans="1:25" x14ac:dyDescent="0.25">
      <c r="A1484" s="463"/>
      <c r="B1484" s="506"/>
      <c r="C1484" s="507" t="s">
        <v>13366</v>
      </c>
      <c r="D1484" s="508"/>
      <c r="E1484" s="518" t="s">
        <v>13367</v>
      </c>
      <c r="F1484" s="519" t="s">
        <v>585</v>
      </c>
      <c r="G1484" s="511">
        <v>1.1000000000000001</v>
      </c>
      <c r="H1484" s="520">
        <v>82.37</v>
      </c>
      <c r="I1484" s="520">
        <f>TRUNC(H1484*G1484,2)</f>
        <v>90.6</v>
      </c>
      <c r="J1484" s="521"/>
      <c r="K1484" s="522">
        <f t="shared" si="57"/>
        <v>90.6</v>
      </c>
      <c r="L1484" s="517" t="s">
        <v>12668</v>
      </c>
      <c r="M1484" s="471"/>
      <c r="N1484" s="516"/>
      <c r="Q1484" s="472"/>
      <c r="R1484" s="472"/>
      <c r="S1484" s="472"/>
      <c r="T1484" s="472"/>
      <c r="U1484" s="472"/>
      <c r="V1484" s="472"/>
      <c r="W1484" s="472"/>
      <c r="X1484" s="472"/>
      <c r="Y1484" s="472"/>
    </row>
    <row r="1485" spans="1:25" x14ac:dyDescent="0.25">
      <c r="A1485" s="463"/>
      <c r="B1485" s="506"/>
      <c r="C1485" s="507">
        <v>13388</v>
      </c>
      <c r="D1485" s="508"/>
      <c r="E1485" s="509" t="str">
        <f>IF($C1485="",IFERROR(VLOOKUP($B1485,SERVIÇOS!$B:$G,2,0),IFERROR(VLOOKUP($B1485,$D:$K,2,0),"")),IFERROR(VLOOKUP($C1485,INSUMOS!$A:$D,2,0),IFERROR(VLOOKUP($C1485,COTAÇÕES!$B:$I,2,0),(VLOOKUP($C1485,'INSUMO SINAPI - SP'!$C:$F,2,0)))))</f>
        <v>SOLDA EM BARRA DE ESTANHO-CHUMBO 50/50</v>
      </c>
      <c r="F1485" s="510" t="str">
        <f>IF($C1485="",IFERROR(VLOOKUP($B1485,SERVIÇOS!$B:$G,3,0),IFERROR(VLOOKUP($B1485,$D:$K,3,0),"")),IFERROR(VLOOKUP($C1485,INSUMOS!$A:$D,3,0),IFERROR(VLOOKUP($C1485,COTAÇÕES!$B:$I,3,0),(VLOOKUP($C1485,'INSUMO SINAPI - SP'!$C:$F,3,0)))))</f>
        <v>KG</v>
      </c>
      <c r="G1485" s="511">
        <v>1E-4</v>
      </c>
      <c r="H1485" s="512">
        <f>IF($C1485="",IFERROR(VLOOKUP($B1485,SERVIÇOS!$B:$G,6,0),IFERROR(VLOOKUP($B1485,$D:$K,8,0),"")),IFERROR(VLOOKUP($C1485,INSUMOS!$A:$D,4,0),IFERROR(VLOOKUP($C1485,COTAÇÕES!$B:$I,7,0),(VLOOKUP($C1485,'INSUMO SINAPI - SP'!$C:$F,4,0)))))</f>
        <v>193</v>
      </c>
      <c r="I1485" s="513">
        <f>TRUNC(IF($C1485="",IFERROR(VLOOKUP($B1485,SERVIÇOS!$B:$G,4,0),IFERROR(VLOOKUP($B1485,$D:$K,6,0),)),IFERROR(VLOOKUP($C1485,INSUMOS!$A:$D,4,0),IFERROR(VLOOKUP($C1485,COTAÇÕES!$B:$I,7,0),(VLOOKUP($C1485,'INSUMO SINAPI - SP'!$C:$F,4,0)))))*$G1485,2)</f>
        <v>0.01</v>
      </c>
      <c r="J1485" s="513">
        <f>TRUNC(IF($C1485="",IFERROR(VLOOKUP($B1485,SERVIÇOS!$B:$G,5,0),IFERROR(VLOOKUP($B1485,$D:$K,7,0),)),0)*$G1485,2)</f>
        <v>0</v>
      </c>
      <c r="K1485" s="514">
        <f t="shared" si="57"/>
        <v>0.01</v>
      </c>
      <c r="L1485" s="517"/>
      <c r="M1485" s="471"/>
      <c r="N1485" s="516"/>
      <c r="Q1485" s="472"/>
      <c r="R1485" s="472"/>
      <c r="S1485" s="472"/>
      <c r="T1485" s="472"/>
      <c r="U1485" s="472"/>
      <c r="V1485" s="472"/>
      <c r="W1485" s="472"/>
      <c r="X1485" s="472"/>
      <c r="Y1485" s="472"/>
    </row>
    <row r="1486" spans="1:25" x14ac:dyDescent="0.25">
      <c r="A1486" s="463"/>
      <c r="B1486" s="506"/>
      <c r="C1486" s="507" t="s">
        <v>13113</v>
      </c>
      <c r="D1486" s="508"/>
      <c r="E1486" s="509" t="str">
        <f>IF($C1486="",IFERROR(VLOOKUP($B1486,SERVIÇOS!$B:$G,2,0),IFERROR(VLOOKUP($B1486,$D:$K,2,0),"")),IFERROR(VLOOKUP($C1486,INSUMOS!$A:$D,2,0),IFERROR(VLOOKUP($C1486,COTAÇÕES!$B:$I,2,0),(VLOOKUP($C1486,'INSUMO SINAPI - SP'!$C:$F,2,0)))))</f>
        <v>PASTA PARA SOLDA DE TUBOS E CONEXOES DE COBRE (EMBALAGEM COM 250 G)</v>
      </c>
      <c r="F1486" s="510" t="str">
        <f>IF($C1486="",IFERROR(VLOOKUP($B1486,SERVIÇOS!$B:$G,3,0),IFERROR(VLOOKUP($B1486,$D:$K,3,0),"")),IFERROR(VLOOKUP($C1486,INSUMOS!$A:$D,3,0),IFERROR(VLOOKUP($C1486,COTAÇÕES!$B:$I,3,0),(VLOOKUP($C1486,'INSUMO SINAPI - SP'!$C:$F,3,0)))))</f>
        <v>UN</v>
      </c>
      <c r="G1486" s="511">
        <v>2.0000000000000001E-4</v>
      </c>
      <c r="H1486" s="512">
        <f>IF($C1486="",IFERROR(VLOOKUP($B1486,SERVIÇOS!$B:$G,6,0),IFERROR(VLOOKUP($B1486,$D:$K,8,0),"")),IFERROR(VLOOKUP($C1486,INSUMOS!$A:$D,4,0),IFERROR(VLOOKUP($C1486,COTAÇÕES!$B:$I,7,0),(VLOOKUP($C1486,'INSUMO SINAPI - SP'!$C:$F,4,0)))))</f>
        <v>56.57</v>
      </c>
      <c r="I1486" s="513">
        <f>TRUNC(IF($C1486="",IFERROR(VLOOKUP($B1486,SERVIÇOS!$B:$G,4,0),IFERROR(VLOOKUP($B1486,$D:$K,6,0),)),IFERROR(VLOOKUP($C1486,INSUMOS!$A:$D,4,0),IFERROR(VLOOKUP($C1486,COTAÇÕES!$B:$I,7,0),(VLOOKUP($C1486,'INSUMO SINAPI - SP'!$C:$F,4,0)))))*$G1486,2)</f>
        <v>0.01</v>
      </c>
      <c r="J1486" s="513"/>
      <c r="K1486" s="514">
        <f t="shared" si="57"/>
        <v>0.01</v>
      </c>
      <c r="L1486" s="515" t="s">
        <v>12685</v>
      </c>
      <c r="M1486" s="471"/>
      <c r="N1486" s="516"/>
      <c r="Q1486" s="472"/>
      <c r="R1486" s="472"/>
      <c r="S1486" s="472"/>
      <c r="T1486" s="472"/>
      <c r="U1486" s="472"/>
      <c r="V1486" s="472"/>
      <c r="W1486" s="472"/>
      <c r="X1486" s="472"/>
      <c r="Y1486" s="472"/>
    </row>
    <row r="1487" spans="1:25" ht="36" x14ac:dyDescent="0.25">
      <c r="A1487" s="463"/>
      <c r="B1487" s="506"/>
      <c r="C1487" s="507">
        <v>39742</v>
      </c>
      <c r="D1487" s="508"/>
      <c r="E1487" s="509" t="str">
        <f>IF($C1487="",IFERROR(VLOOKUP($B1487,SERVIÇOS!$B:$G,2,0),IFERROR(VLOOKUP($B1487,$D:$K,2,0),"")),IFERROR(VLOOKUP($C1487,INSUMOS!$A:$D,2,0),IFERROR(VLOOKUP($C1487,COTAÇÕES!$B:$I,2,0),(VLOOKUP($C1487,'INSUMO SINAPI - SP'!$C:$F,2,0)))))</f>
        <v>TUBO DE BORRACHA ELASTOMERICA FLEXIVEL, PRETA, PARA ISOLAMENTO TERMICO DE TUBULACAO, DN 7/8" (22 MM), E= 32 MM, COEFICIENTE DE CONDUTIVIDADE TERMICA 0,036W/MK, VAPOR DE AGUA MAIOR OU IGUAL A 10.000</v>
      </c>
      <c r="F1487" s="510" t="str">
        <f>IF($C1487="",IFERROR(VLOOKUP($B1487,SERVIÇOS!$B:$G,3,0),IFERROR(VLOOKUP($B1487,$D:$K,3,0),"")),IFERROR(VLOOKUP($C1487,INSUMOS!$A:$D,3,0),IFERROR(VLOOKUP($C1487,COTAÇÕES!$B:$I,3,0),(VLOOKUP($C1487,'INSUMO SINAPI - SP'!$C:$F,3,0)))))</f>
        <v>M</v>
      </c>
      <c r="G1487" s="511">
        <v>1.02</v>
      </c>
      <c r="H1487" s="512">
        <f>IF($C1487="",IFERROR(VLOOKUP($B1487,SERVIÇOS!$B:$G,6,0),IFERROR(VLOOKUP($B1487,$D:$K,8,0),"")),IFERROR(VLOOKUP($C1487,INSUMOS!$A:$D,4,0),IFERROR(VLOOKUP($C1487,COTAÇÕES!$B:$I,7,0),(VLOOKUP($C1487,'INSUMO SINAPI - SP'!$C:$F,4,0)))))</f>
        <v>41.03</v>
      </c>
      <c r="I1487" s="513">
        <f>TRUNC(IF($C1487="",IFERROR(VLOOKUP($B1487,SERVIÇOS!$B:$G,4,0),IFERROR(VLOOKUP($B1487,$D:$K,6,0),)),IFERROR(VLOOKUP($C1487,INSUMOS!$A:$D,4,0),IFERROR(VLOOKUP($C1487,COTAÇÕES!$B:$I,7,0),(VLOOKUP($C1487,'INSUMO SINAPI - SP'!$C:$F,4,0)))))*$G1487,2)</f>
        <v>41.85</v>
      </c>
      <c r="J1487" s="513">
        <f>TRUNC(IF($C1487="",IFERROR(VLOOKUP($B1487,SERVIÇOS!$B:$G,5,0),IFERROR(VLOOKUP($B1487,$D:$K,7,0),)),0)*$G1487,2)</f>
        <v>0</v>
      </c>
      <c r="K1487" s="514">
        <f t="shared" si="57"/>
        <v>41.85</v>
      </c>
      <c r="L1487" s="517"/>
      <c r="M1487" s="471"/>
      <c r="N1487" s="516"/>
      <c r="Q1487" s="472"/>
      <c r="R1487" s="472"/>
      <c r="S1487" s="472"/>
      <c r="T1487" s="472"/>
      <c r="U1487" s="472"/>
      <c r="V1487" s="472"/>
      <c r="W1487" s="472"/>
      <c r="X1487" s="472"/>
      <c r="Y1487" s="472"/>
    </row>
    <row r="1488" spans="1:25" ht="60" x14ac:dyDescent="0.25">
      <c r="A1488" s="463"/>
      <c r="B1488" s="498"/>
      <c r="C1488" s="498"/>
      <c r="D1488" s="499" t="s">
        <v>12393</v>
      </c>
      <c r="E1488" s="500" t="s">
        <v>13368</v>
      </c>
      <c r="F1488" s="501" t="s">
        <v>585</v>
      </c>
      <c r="G1488" s="502"/>
      <c r="H1488" s="503"/>
      <c r="I1488" s="504">
        <f>ROUND(SUM(I1489:I1494),2)</f>
        <v>147.86000000000001</v>
      </c>
      <c r="J1488" s="504">
        <f>ROUND(SUM(J1489:J1494),2)</f>
        <v>23.32</v>
      </c>
      <c r="K1488" s="504">
        <f>+J1488+I1488</f>
        <v>171.18</v>
      </c>
      <c r="L1488" s="523" t="s">
        <v>13296</v>
      </c>
      <c r="M1488" s="471"/>
      <c r="N1488" s="505"/>
      <c r="Q1488" s="472"/>
      <c r="R1488" s="472"/>
      <c r="S1488" s="472"/>
      <c r="T1488" s="472"/>
      <c r="U1488" s="472"/>
      <c r="V1488" s="472"/>
      <c r="W1488" s="472"/>
      <c r="X1488" s="472"/>
      <c r="Y1488" s="472"/>
    </row>
    <row r="1489" spans="1:25" x14ac:dyDescent="0.25">
      <c r="A1489" s="463"/>
      <c r="B1489" s="506">
        <v>88267</v>
      </c>
      <c r="C1489" s="507"/>
      <c r="D1489" s="508"/>
      <c r="E1489" s="509" t="str">
        <f>IF($C1489="",IFERROR(VLOOKUP($B1489,SERVIÇOS!$B:$G,2,0),IFERROR(VLOOKUP($B1489,$D:$K,2,0),"")),IFERROR(VLOOKUP($C1489,INSUMOS!$A:$D,2,0),IFERROR(VLOOKUP($C1489,COTAÇÕES!$B:$I,2,0),(VLOOKUP($C1489,'INSUMO SINAPI - SP'!$C:$F,2,0)))))</f>
        <v>ENCANADOR OU BOMBEIRO HIDRÁULICO COM ENCARGOS COMPLEMENTARES</v>
      </c>
      <c r="F1489" s="510" t="str">
        <f>IF($C1489="",IFERROR(VLOOKUP($B1489,SERVIÇOS!$B:$G,3,0),IFERROR(VLOOKUP($B1489,$D:$K,3,0),"")),IFERROR(VLOOKUP($C1489,INSUMOS!$A:$D,3,0),IFERROR(VLOOKUP($C1489,COTAÇÕES!$B:$I,3,0),(VLOOKUP($C1489,'INSUMO SINAPI - SP'!$C:$F,3,0)))))</f>
        <v>H</v>
      </c>
      <c r="G1489" s="511">
        <v>0.48</v>
      </c>
      <c r="H1489" s="512">
        <f>IF($C1489="",IFERROR(VLOOKUP($B1489,SERVIÇOS!$B:$G,6,0),IFERROR(VLOOKUP($B1489,$D:$K,8,0),"")),IFERROR(VLOOKUP($C1489,INSUMOS!$A:$D,4,0),IFERROR(VLOOKUP($C1489,COTAÇÕES!$B:$I,7,0),(VLOOKUP($C1489,'INSUMO SINAPI - SP'!$C:$F,4,0)))))</f>
        <v>36.17</v>
      </c>
      <c r="I1489" s="513">
        <f>TRUNC(IF($C1489="",IFERROR(VLOOKUP($B1489,SERVIÇOS!$B:$G,4,0),IFERROR(VLOOKUP($B1489,$D:$K,6,0),)),IFERROR(VLOOKUP($C1489,INSUMOS!$A:$D,4,0),IFERROR(VLOOKUP($C1489,COTAÇÕES!$B:$I,7,0),(VLOOKUP($C1489,'INSUMO SINAPI - SP'!$C:$F,4,0)))))*$G1489,2)</f>
        <v>4.1399999999999997</v>
      </c>
      <c r="J1489" s="513">
        <f>TRUNC(IF($C1489="",IFERROR(VLOOKUP($B1489,SERVIÇOS!$B:$G,5,0),IFERROR(VLOOKUP($B1489,$D:$K,7,0),)),0)*$G1489,2)</f>
        <v>13.21</v>
      </c>
      <c r="K1489" s="514">
        <f t="shared" ref="K1489:K1494" si="58">I1489+J1489</f>
        <v>17.350000000000001</v>
      </c>
      <c r="L1489" s="515"/>
      <c r="M1489" s="471"/>
      <c r="N1489" s="516"/>
      <c r="Q1489" s="472"/>
      <c r="R1489" s="472"/>
      <c r="S1489" s="472"/>
      <c r="T1489" s="472"/>
      <c r="U1489" s="472"/>
      <c r="V1489" s="472"/>
      <c r="W1489" s="472"/>
      <c r="X1489" s="472"/>
      <c r="Y1489" s="472"/>
    </row>
    <row r="1490" spans="1:25" x14ac:dyDescent="0.25">
      <c r="A1490" s="463"/>
      <c r="B1490" s="506">
        <v>88248</v>
      </c>
      <c r="C1490" s="507"/>
      <c r="D1490" s="508"/>
      <c r="E1490" s="509" t="str">
        <f>IF($C1490="",IFERROR(VLOOKUP($B1490,SERVIÇOS!$B:$G,2,0),IFERROR(VLOOKUP($B1490,$D:$K,2,0),"")),IFERROR(VLOOKUP($C1490,INSUMOS!$A:$D,2,0),IFERROR(VLOOKUP($C1490,COTAÇÕES!$B:$I,2,0),(VLOOKUP($C1490,'INSUMO SINAPI - SP'!$C:$F,2,0)))))</f>
        <v>AUXILIAR DE ENCANADOR OU BOMBEIRO HIDRÁULICO COM ENCARGOS COMPLEMENTARES</v>
      </c>
      <c r="F1490" s="510" t="str">
        <f>IF($C1490="",IFERROR(VLOOKUP($B1490,SERVIÇOS!$B:$G,3,0),IFERROR(VLOOKUP($B1490,$D:$K,3,0),"")),IFERROR(VLOOKUP($C1490,INSUMOS!$A:$D,3,0),IFERROR(VLOOKUP($C1490,COTAÇÕES!$B:$I,3,0),(VLOOKUP($C1490,'INSUMO SINAPI - SP'!$C:$F,3,0)))))</f>
        <v>H</v>
      </c>
      <c r="G1490" s="511">
        <v>0.48</v>
      </c>
      <c r="H1490" s="512">
        <f>IF($C1490="",IFERROR(VLOOKUP($B1490,SERVIÇOS!$B:$G,6,0),IFERROR(VLOOKUP($B1490,$D:$K,8,0),"")),IFERROR(VLOOKUP($C1490,INSUMOS!$A:$D,4,0),IFERROR(VLOOKUP($C1490,COTAÇÕES!$B:$I,7,0),(VLOOKUP($C1490,'INSUMO SINAPI - SP'!$C:$F,4,0)))))</f>
        <v>29.72</v>
      </c>
      <c r="I1490" s="513">
        <f>TRUNC(IF($C1490="",IFERROR(VLOOKUP($B1490,SERVIÇOS!$B:$G,4,0),IFERROR(VLOOKUP($B1490,$D:$K,6,0),)),IFERROR(VLOOKUP($C1490,INSUMOS!$A:$D,4,0),IFERROR(VLOOKUP($C1490,COTAÇÕES!$B:$I,7,0),(VLOOKUP($C1490,'INSUMO SINAPI - SP'!$C:$F,4,0)))))*$G1490,2)</f>
        <v>4.1399999999999997</v>
      </c>
      <c r="J1490" s="513">
        <f>TRUNC(IF($C1490="",IFERROR(VLOOKUP($B1490,SERVIÇOS!$B:$G,5,0),IFERROR(VLOOKUP($B1490,$D:$K,7,0),)),0)*$G1490,2)</f>
        <v>10.11</v>
      </c>
      <c r="K1490" s="514">
        <f t="shared" si="58"/>
        <v>14.25</v>
      </c>
      <c r="L1490" s="515"/>
      <c r="M1490" s="471"/>
      <c r="N1490" s="516"/>
      <c r="Q1490" s="472"/>
      <c r="R1490" s="472"/>
      <c r="S1490" s="472"/>
      <c r="T1490" s="472"/>
      <c r="U1490" s="472"/>
      <c r="V1490" s="472"/>
      <c r="W1490" s="472"/>
      <c r="X1490" s="472"/>
      <c r="Y1490" s="472"/>
    </row>
    <row r="1491" spans="1:25" x14ac:dyDescent="0.25">
      <c r="A1491" s="463"/>
      <c r="B1491" s="506"/>
      <c r="C1491" s="507" t="s">
        <v>13369</v>
      </c>
      <c r="D1491" s="508"/>
      <c r="E1491" s="518" t="s">
        <v>13370</v>
      </c>
      <c r="F1491" s="519" t="s">
        <v>13035</v>
      </c>
      <c r="G1491" s="511">
        <v>1.1000000000000001</v>
      </c>
      <c r="H1491" s="520">
        <v>74.22</v>
      </c>
      <c r="I1491" s="520">
        <f>TRUNC(H1491*G1491,2)</f>
        <v>81.64</v>
      </c>
      <c r="J1491" s="521"/>
      <c r="K1491" s="522">
        <f t="shared" si="58"/>
        <v>81.64</v>
      </c>
      <c r="L1491" s="517" t="s">
        <v>12668</v>
      </c>
      <c r="M1491" s="471"/>
      <c r="N1491" s="516"/>
      <c r="Q1491" s="472"/>
      <c r="R1491" s="472"/>
      <c r="S1491" s="472"/>
      <c r="T1491" s="472"/>
      <c r="U1491" s="472"/>
      <c r="V1491" s="472"/>
      <c r="W1491" s="472"/>
      <c r="X1491" s="472"/>
      <c r="Y1491" s="472"/>
    </row>
    <row r="1492" spans="1:25" x14ac:dyDescent="0.25">
      <c r="A1492" s="463"/>
      <c r="B1492" s="506"/>
      <c r="C1492" s="507">
        <v>13388</v>
      </c>
      <c r="D1492" s="508"/>
      <c r="E1492" s="509" t="str">
        <f>IF($C1492="",IFERROR(VLOOKUP($B1492,SERVIÇOS!$B:$G,2,0),IFERROR(VLOOKUP($B1492,$D:$K,2,0),"")),IFERROR(VLOOKUP($C1492,INSUMOS!$A:$D,2,0),IFERROR(VLOOKUP($C1492,COTAÇÕES!$B:$I,2,0),(VLOOKUP($C1492,'INSUMO SINAPI - SP'!$C:$F,2,0)))))</f>
        <v>SOLDA EM BARRA DE ESTANHO-CHUMBO 50/50</v>
      </c>
      <c r="F1492" s="510" t="str">
        <f>IF($C1492="",IFERROR(VLOOKUP($B1492,SERVIÇOS!$B:$G,3,0),IFERROR(VLOOKUP($B1492,$D:$K,3,0),"")),IFERROR(VLOOKUP($C1492,INSUMOS!$A:$D,3,0),IFERROR(VLOOKUP($C1492,COTAÇÕES!$B:$I,3,0),(VLOOKUP($C1492,'INSUMO SINAPI - SP'!$C:$F,3,0)))))</f>
        <v>KG</v>
      </c>
      <c r="G1492" s="511">
        <v>1E-4</v>
      </c>
      <c r="H1492" s="512">
        <f>IF($C1492="",IFERROR(VLOOKUP($B1492,SERVIÇOS!$B:$G,6,0),IFERROR(VLOOKUP($B1492,$D:$K,8,0),"")),IFERROR(VLOOKUP($C1492,INSUMOS!$A:$D,4,0),IFERROR(VLOOKUP($C1492,COTAÇÕES!$B:$I,7,0),(VLOOKUP($C1492,'INSUMO SINAPI - SP'!$C:$F,4,0)))))</f>
        <v>193</v>
      </c>
      <c r="I1492" s="513">
        <f>TRUNC(IF($C1492="",IFERROR(VLOOKUP($B1492,SERVIÇOS!$B:$G,4,0),IFERROR(VLOOKUP($B1492,$D:$K,6,0),)),IFERROR(VLOOKUP($C1492,INSUMOS!$A:$D,4,0),IFERROR(VLOOKUP($C1492,COTAÇÕES!$B:$I,7,0),(VLOOKUP($C1492,'INSUMO SINAPI - SP'!$C:$F,4,0)))))*$G1492,2)</f>
        <v>0.01</v>
      </c>
      <c r="J1492" s="513">
        <f>TRUNC(IF($C1492="",IFERROR(VLOOKUP($B1492,SERVIÇOS!$B:$G,5,0),IFERROR(VLOOKUP($B1492,$D:$K,7,0),)),0)*$G1492,2)</f>
        <v>0</v>
      </c>
      <c r="K1492" s="514">
        <f t="shared" si="58"/>
        <v>0.01</v>
      </c>
      <c r="L1492" s="517"/>
      <c r="M1492" s="471"/>
      <c r="N1492" s="516"/>
      <c r="Q1492" s="472"/>
      <c r="R1492" s="472"/>
      <c r="S1492" s="472"/>
      <c r="T1492" s="472"/>
      <c r="U1492" s="472"/>
      <c r="V1492" s="472"/>
      <c r="W1492" s="472"/>
      <c r="X1492" s="472"/>
      <c r="Y1492" s="472"/>
    </row>
    <row r="1493" spans="1:25" x14ac:dyDescent="0.25">
      <c r="A1493" s="463"/>
      <c r="B1493" s="506"/>
      <c r="C1493" s="507" t="s">
        <v>13113</v>
      </c>
      <c r="D1493" s="508"/>
      <c r="E1493" s="509" t="str">
        <f>IF($C1493="",IFERROR(VLOOKUP($B1493,SERVIÇOS!$B:$G,2,0),IFERROR(VLOOKUP($B1493,$D:$K,2,0),"")),IFERROR(VLOOKUP($C1493,INSUMOS!$A:$D,2,0),IFERROR(VLOOKUP($C1493,COTAÇÕES!$B:$I,2,0),(VLOOKUP($C1493,'INSUMO SINAPI - SP'!$C:$F,2,0)))))</f>
        <v>PASTA PARA SOLDA DE TUBOS E CONEXOES DE COBRE (EMBALAGEM COM 250 G)</v>
      </c>
      <c r="F1493" s="510" t="str">
        <f>IF($C1493="",IFERROR(VLOOKUP($B1493,SERVIÇOS!$B:$G,3,0),IFERROR(VLOOKUP($B1493,$D:$K,3,0),"")),IFERROR(VLOOKUP($C1493,INSUMOS!$A:$D,3,0),IFERROR(VLOOKUP($C1493,COTAÇÕES!$B:$I,3,0),(VLOOKUP($C1493,'INSUMO SINAPI - SP'!$C:$F,3,0)))))</f>
        <v>UN</v>
      </c>
      <c r="G1493" s="511">
        <v>2.0000000000000001E-4</v>
      </c>
      <c r="H1493" s="512">
        <f>IF($C1493="",IFERROR(VLOOKUP($B1493,SERVIÇOS!$B:$G,6,0),IFERROR(VLOOKUP($B1493,$D:$K,8,0),"")),IFERROR(VLOOKUP($C1493,INSUMOS!$A:$D,4,0),IFERROR(VLOOKUP($C1493,COTAÇÕES!$B:$I,7,0),(VLOOKUP($C1493,'INSUMO SINAPI - SP'!$C:$F,4,0)))))</f>
        <v>56.57</v>
      </c>
      <c r="I1493" s="513">
        <f>TRUNC(IF($C1493="",IFERROR(VLOOKUP($B1493,SERVIÇOS!$B:$G,4,0),IFERROR(VLOOKUP($B1493,$D:$K,6,0),)),IFERROR(VLOOKUP($C1493,INSUMOS!$A:$D,4,0),IFERROR(VLOOKUP($C1493,COTAÇÕES!$B:$I,7,0),(VLOOKUP($C1493,'INSUMO SINAPI - SP'!$C:$F,4,0)))))*$G1493,2)</f>
        <v>0.01</v>
      </c>
      <c r="J1493" s="513"/>
      <c r="K1493" s="514">
        <f t="shared" si="58"/>
        <v>0.01</v>
      </c>
      <c r="L1493" s="515" t="s">
        <v>12685</v>
      </c>
      <c r="M1493" s="471"/>
      <c r="N1493" s="516"/>
      <c r="Q1493" s="472"/>
      <c r="R1493" s="472"/>
      <c r="S1493" s="472"/>
      <c r="T1493" s="472"/>
      <c r="U1493" s="472"/>
      <c r="V1493" s="472"/>
      <c r="W1493" s="472"/>
      <c r="X1493" s="472"/>
      <c r="Y1493" s="472"/>
    </row>
    <row r="1494" spans="1:25" ht="36" x14ac:dyDescent="0.25">
      <c r="A1494" s="463"/>
      <c r="B1494" s="506"/>
      <c r="C1494" s="507">
        <v>39735</v>
      </c>
      <c r="D1494" s="508"/>
      <c r="E1494" s="509" t="str">
        <f>IF($C1494="",IFERROR(VLOOKUP($B1494,SERVIÇOS!$B:$G,2,0),IFERROR(VLOOKUP($B1494,$D:$K,2,0),"")),IFERROR(VLOOKUP($C1494,INSUMOS!$A:$D,2,0),IFERROR(VLOOKUP($C1494,COTAÇÕES!$B:$I,2,0),(VLOOKUP($C1494,'INSUMO SINAPI - SP'!$C:$F,2,0)))))</f>
        <v>TUBO DE BORRACHA ELASTOMERICA FLEXIVEL, PRETA, PARA ISOLAMENTO TERMICO DE TUBULACAO, DN 1 1/8" (28 MM), E= 32 MM, COEFICIENTE DE CONDUTIVIDADE TERMICA 0,036W/MK, VAPOR DE AGUA MAIOR OU IGUAL A 10.000</v>
      </c>
      <c r="F1494" s="510" t="str">
        <f>IF($C1494="",IFERROR(VLOOKUP($B1494,SERVIÇOS!$B:$G,3,0),IFERROR(VLOOKUP($B1494,$D:$K,3,0),"")),IFERROR(VLOOKUP($C1494,INSUMOS!$A:$D,3,0),IFERROR(VLOOKUP($C1494,COTAÇÕES!$B:$I,3,0),(VLOOKUP($C1494,'INSUMO SINAPI - SP'!$C:$F,3,0)))))</f>
        <v>M</v>
      </c>
      <c r="G1494" s="511">
        <v>1.02</v>
      </c>
      <c r="H1494" s="512">
        <f>IF($C1494="",IFERROR(VLOOKUP($B1494,SERVIÇOS!$B:$G,6,0),IFERROR(VLOOKUP($B1494,$D:$K,8,0),"")),IFERROR(VLOOKUP($C1494,INSUMOS!$A:$D,4,0),IFERROR(VLOOKUP($C1494,COTAÇÕES!$B:$I,7,0),(VLOOKUP($C1494,'INSUMO SINAPI - SP'!$C:$F,4,0)))))</f>
        <v>56.79</v>
      </c>
      <c r="I1494" s="513">
        <f>TRUNC(IF($C1494="",IFERROR(VLOOKUP($B1494,SERVIÇOS!$B:$G,4,0),IFERROR(VLOOKUP($B1494,$D:$K,6,0),)),IFERROR(VLOOKUP($C1494,INSUMOS!$A:$D,4,0),IFERROR(VLOOKUP($C1494,COTAÇÕES!$B:$I,7,0),(VLOOKUP($C1494,'INSUMO SINAPI - SP'!$C:$F,4,0)))))*$G1494,2)</f>
        <v>57.92</v>
      </c>
      <c r="J1494" s="513">
        <f>TRUNC(IF($C1494="",IFERROR(VLOOKUP($B1494,SERVIÇOS!$B:$G,5,0),IFERROR(VLOOKUP($B1494,$D:$K,7,0),)),0)*$G1494,2)</f>
        <v>0</v>
      </c>
      <c r="K1494" s="514">
        <f t="shared" si="58"/>
        <v>57.92</v>
      </c>
      <c r="L1494" s="517"/>
      <c r="M1494" s="471"/>
      <c r="N1494" s="516"/>
      <c r="Q1494" s="472"/>
      <c r="R1494" s="472"/>
      <c r="S1494" s="472"/>
      <c r="T1494" s="472"/>
      <c r="U1494" s="472"/>
      <c r="V1494" s="472"/>
      <c r="W1494" s="472"/>
      <c r="X1494" s="472"/>
      <c r="Y1494" s="472"/>
    </row>
    <row r="1495" spans="1:25" ht="36" x14ac:dyDescent="0.25">
      <c r="A1495" s="463"/>
      <c r="B1495" s="498"/>
      <c r="C1495" s="498"/>
      <c r="D1495" s="499" t="s">
        <v>12450</v>
      </c>
      <c r="E1495" s="500" t="s">
        <v>13371</v>
      </c>
      <c r="F1495" s="501" t="s">
        <v>580</v>
      </c>
      <c r="G1495" s="502"/>
      <c r="H1495" s="503"/>
      <c r="I1495" s="504">
        <f>SUM(I1496:I1498)</f>
        <v>52.06</v>
      </c>
      <c r="J1495" s="504">
        <f>SUM(J1496:J1498)</f>
        <v>15.07</v>
      </c>
      <c r="K1495" s="504">
        <f>+J1495+I1495</f>
        <v>67.13</v>
      </c>
      <c r="L1495" s="523"/>
      <c r="M1495" s="471"/>
      <c r="N1495" s="505"/>
      <c r="Q1495" s="472"/>
      <c r="R1495" s="472"/>
      <c r="S1495" s="472"/>
      <c r="T1495" s="472"/>
      <c r="U1495" s="472"/>
      <c r="V1495" s="472"/>
      <c r="W1495" s="472"/>
      <c r="X1495" s="472"/>
      <c r="Y1495" s="472"/>
    </row>
    <row r="1496" spans="1:25" x14ac:dyDescent="0.25">
      <c r="A1496" s="463"/>
      <c r="B1496" s="507">
        <v>88279</v>
      </c>
      <c r="C1496" s="507"/>
      <c r="D1496" s="557"/>
      <c r="E1496" s="509" t="str">
        <f>IF($C1496="",IFERROR(VLOOKUP($B1496,SERVIÇOS!$B:$G,2,0),IFERROR(VLOOKUP($B1496,$D:$K,2,0),"")),IFERROR(VLOOKUP($C1496,INSUMOS!$A:$D,2,0),IFERROR(VLOOKUP($C1496,COTAÇÕES!$B:$I,2,0),(VLOOKUP($C1496,'INSUMO SINAPI - SP'!$C:$F,2,0)))))</f>
        <v>MONTADOR ELETROMECÃNICO COM ENCARGOS COMPLEMENTARES</v>
      </c>
      <c r="F1496" s="510" t="str">
        <f>IF($C1496="",IFERROR(VLOOKUP($B1496,SERVIÇOS!$B:$G,3,0),IFERROR(VLOOKUP($B1496,$D:$K,3,0),"")),IFERROR(VLOOKUP($C1496,INSUMOS!$A:$D,3,0),IFERROR(VLOOKUP($C1496,COTAÇÕES!$B:$I,3,0),(VLOOKUP($C1496,'INSUMO SINAPI - SP'!$C:$F,3,0)))))</f>
        <v>H</v>
      </c>
      <c r="G1496" s="511">
        <v>0.3</v>
      </c>
      <c r="H1496" s="512">
        <f>IF($C1496="",IFERROR(VLOOKUP($B1496,SERVIÇOS!$B:$G,6,0),IFERROR(VLOOKUP($B1496,$D:$K,8,0),"")),IFERROR(VLOOKUP($C1496,INSUMOS!$A:$D,4,0),IFERROR(VLOOKUP($C1496,COTAÇÕES!$B:$I,7,0),(VLOOKUP($C1496,'INSUMO SINAPI - SP'!$C:$F,4,0)))))</f>
        <v>39.01</v>
      </c>
      <c r="I1496" s="513">
        <f>TRUNC(IF($C1496="",IFERROR(VLOOKUP($B1496,SERVIÇOS!$B:$G,4,0),IFERROR(VLOOKUP($B1496,$D:$K,6,0),)),IFERROR(VLOOKUP($C1496,INSUMOS!$A:$D,4,0),IFERROR(VLOOKUP($C1496,COTAÇÕES!$B:$I,7,0),(VLOOKUP($C1496,'INSUMO SINAPI - SP'!$C:$F,4,0)))))*$G1496,2)</f>
        <v>2.79</v>
      </c>
      <c r="J1496" s="513">
        <f>TRUNC(IF($C1496="",IFERROR(VLOOKUP($B1496,SERVIÇOS!$B:$G,5,0),IFERROR(VLOOKUP($B1496,$D:$K,7,0),)),0)*$G1496,2)</f>
        <v>8.9</v>
      </c>
      <c r="K1496" s="514">
        <f>I1496+J1496</f>
        <v>11.690000000000001</v>
      </c>
      <c r="L1496" s="515"/>
      <c r="M1496" s="471"/>
      <c r="N1496" s="516"/>
      <c r="Q1496" s="472"/>
      <c r="R1496" s="472"/>
      <c r="S1496" s="472"/>
      <c r="T1496" s="472"/>
      <c r="U1496" s="472"/>
      <c r="V1496" s="472"/>
      <c r="W1496" s="472"/>
      <c r="X1496" s="472"/>
      <c r="Y1496" s="472"/>
    </row>
    <row r="1497" spans="1:25" x14ac:dyDescent="0.25">
      <c r="A1497" s="463"/>
      <c r="B1497" s="507">
        <v>88241</v>
      </c>
      <c r="C1497" s="507"/>
      <c r="D1497" s="557"/>
      <c r="E1497" s="509" t="str">
        <f>IF($C1497="",IFERROR(VLOOKUP($B1497,SERVIÇOS!$B:$G,2,0),IFERROR(VLOOKUP($B1497,$D:$K,2,0),"")),IFERROR(VLOOKUP($C1497,INSUMOS!$A:$D,2,0),IFERROR(VLOOKUP($C1497,COTAÇÕES!$B:$I,2,0),(VLOOKUP($C1497,'INSUMO SINAPI - SP'!$C:$F,2,0)))))</f>
        <v>AJUDANTE DE OPERAÇÃO EM GERAL COM ENCARGOS COMPLEMENTARES</v>
      </c>
      <c r="F1497" s="510" t="str">
        <f>IF($C1497="",IFERROR(VLOOKUP($B1497,SERVIÇOS!$B:$G,3,0),IFERROR(VLOOKUP($B1497,$D:$K,3,0),"")),IFERROR(VLOOKUP($C1497,INSUMOS!$A:$D,3,0),IFERROR(VLOOKUP($C1497,COTAÇÕES!$B:$I,3,0),(VLOOKUP($C1497,'INSUMO SINAPI - SP'!$C:$F,3,0)))))</f>
        <v>H</v>
      </c>
      <c r="G1497" s="511">
        <v>0.3</v>
      </c>
      <c r="H1497" s="512">
        <f>IF($C1497="",IFERROR(VLOOKUP($B1497,SERVIÇOS!$B:$G,6,0),IFERROR(VLOOKUP($B1497,$D:$K,8,0),"")),IFERROR(VLOOKUP($C1497,INSUMOS!$A:$D,4,0),IFERROR(VLOOKUP($C1497,COTAÇÕES!$B:$I,7,0),(VLOOKUP($C1497,'INSUMO SINAPI - SP'!$C:$F,4,0)))))</f>
        <v>29.87</v>
      </c>
      <c r="I1497" s="513">
        <f>TRUNC(IF($C1497="",IFERROR(VLOOKUP($B1497,SERVIÇOS!$B:$G,4,0),IFERROR(VLOOKUP($B1497,$D:$K,6,0),)),IFERROR(VLOOKUP($C1497,INSUMOS!$A:$D,4,0),IFERROR(VLOOKUP($C1497,COTAÇÕES!$B:$I,7,0),(VLOOKUP($C1497,'INSUMO SINAPI - SP'!$C:$F,4,0)))))*$G1497,2)</f>
        <v>2.78</v>
      </c>
      <c r="J1497" s="513">
        <f>TRUNC(IF($C1497="",IFERROR(VLOOKUP($B1497,SERVIÇOS!$B:$G,5,0),IFERROR(VLOOKUP($B1497,$D:$K,7,0),)),0)*$G1497,2)</f>
        <v>6.17</v>
      </c>
      <c r="K1497" s="514">
        <f>I1497+J1497</f>
        <v>8.9499999999999993</v>
      </c>
      <c r="L1497" s="515"/>
      <c r="M1497" s="471"/>
      <c r="N1497" s="516"/>
      <c r="Q1497" s="472"/>
      <c r="R1497" s="472"/>
      <c r="S1497" s="472"/>
      <c r="T1497" s="472"/>
      <c r="U1497" s="472"/>
      <c r="V1497" s="472"/>
      <c r="W1497" s="472"/>
      <c r="X1497" s="472"/>
      <c r="Y1497" s="472"/>
    </row>
    <row r="1498" spans="1:25" ht="36" x14ac:dyDescent="0.25">
      <c r="A1498" s="463"/>
      <c r="B1498" s="507"/>
      <c r="C1498" s="507" t="s">
        <v>13372</v>
      </c>
      <c r="D1498" s="508"/>
      <c r="E1498" s="509" t="str">
        <f>IF($C1498="",IFERROR(VLOOKUP($B1498,SERVIÇOS!$B:$G,2,0),IFERROR(VLOOKUP($B1498,$D:$K,2,0),"")),IFERROR(VLOOKUP($C1498,INSUMOS!$A:$D,2,0),IFERROR(VLOOKUP($C1498,COTAÇÕES!$B:$I,2,0),(VLOOKUP($C1498,'INSUMO SINAPI - SP'!$C:$F,2,0)))))</f>
        <v>REGULADOR DE VAZÃO DE AR PARA INSTALAÇÃO EM TETO, EM PLÁSTICO ABS, DIÂMETRO NOMINAL Ø100. REFERÊNCIA: SICFLUX RVA100 OU EQUIVALENTE TÉCNICO (MULTIVAC DVK-100, OTAM BOC-100 OU OUTRO)</v>
      </c>
      <c r="F1498" s="510" t="str">
        <f>IF($C1498="",IFERROR(VLOOKUP($B1498,SERVIÇOS!$B:$G,3,0),IFERROR(VLOOKUP($B1498,$D:$K,3,0),"")),IFERROR(VLOOKUP($C1498,INSUMOS!$A:$D,3,0),IFERROR(VLOOKUP($C1498,COTAÇÕES!$B:$I,3,0),(VLOOKUP($C1498,'INSUMO SINAPI - SP'!$C:$F,3,0)))))</f>
        <v>UN</v>
      </c>
      <c r="G1498" s="511">
        <v>1</v>
      </c>
      <c r="H1498" s="512">
        <f>IF($C1498="",IFERROR(VLOOKUP($B1498,SERVIÇOS!$B:$G,6,0),IFERROR(VLOOKUP($B1498,$D:$K,8,0),"")),IFERROR(VLOOKUP($C1498,INSUMOS!$A:$D,4,0),IFERROR(VLOOKUP($C1498,COTAÇÕES!$B:$I,8,0),(VLOOKUP($C1498,'INSUMO SINAPI - SP'!$C:$F,4,0)))))</f>
        <v>46.49</v>
      </c>
      <c r="I1498" s="513">
        <f>TRUNC(IF($C1498="",IFERROR(VLOOKUP($B1498,SERVIÇOS!$B:$G,4,0),IFERROR(VLOOKUP($B1498,$D:$K,6,0),)),IFERROR(VLOOKUP($C1498,INSUMOS!$A:$D,4,0),IFERROR(VLOOKUP($C1498,COTAÇÕES!$B:$I,8,0),(VLOOKUP($C1498,'INSUMO SINAPI - SP'!$C:$F,4,0)))))*$G1498,2)</f>
        <v>46.49</v>
      </c>
      <c r="J1498" s="513"/>
      <c r="K1498" s="514">
        <f>I1498+J1498</f>
        <v>46.49</v>
      </c>
      <c r="L1498" s="517" t="s">
        <v>12878</v>
      </c>
      <c r="M1498" s="471"/>
      <c r="N1498" s="516"/>
      <c r="Q1498" s="472"/>
      <c r="R1498" s="472"/>
      <c r="S1498" s="472"/>
      <c r="T1498" s="472"/>
      <c r="U1498" s="472"/>
      <c r="V1498" s="472"/>
      <c r="W1498" s="472"/>
      <c r="X1498" s="472"/>
      <c r="Y1498" s="472"/>
    </row>
    <row r="1499" spans="1:25" ht="24" x14ac:dyDescent="0.25">
      <c r="A1499" s="463"/>
      <c r="B1499" s="498"/>
      <c r="C1499" s="498"/>
      <c r="D1499" s="499" t="s">
        <v>12453</v>
      </c>
      <c r="E1499" s="500" t="s">
        <v>13373</v>
      </c>
      <c r="F1499" s="501" t="s">
        <v>580</v>
      </c>
      <c r="G1499" s="502"/>
      <c r="H1499" s="503"/>
      <c r="I1499" s="504">
        <f>ROUND(SUM(I1500:I1502),2)</f>
        <v>25.51</v>
      </c>
      <c r="J1499" s="504">
        <f>ROUND(SUM(J1500:J1502),2)</f>
        <v>11.05</v>
      </c>
      <c r="K1499" s="504">
        <f>+J1499+I1499</f>
        <v>36.56</v>
      </c>
      <c r="L1499" s="523" t="s">
        <v>13374</v>
      </c>
      <c r="M1499" s="471"/>
      <c r="N1499" s="505"/>
      <c r="Q1499" s="472"/>
      <c r="R1499" s="472"/>
      <c r="S1499" s="472"/>
      <c r="T1499" s="472"/>
      <c r="U1499" s="472"/>
      <c r="V1499" s="472"/>
      <c r="W1499" s="472"/>
      <c r="X1499" s="472"/>
      <c r="Y1499" s="472"/>
    </row>
    <row r="1500" spans="1:25" x14ac:dyDescent="0.25">
      <c r="A1500" s="463"/>
      <c r="B1500" s="506">
        <v>88279</v>
      </c>
      <c r="C1500" s="507"/>
      <c r="D1500" s="508"/>
      <c r="E1500" s="509" t="str">
        <f>IF($C1500="",IFERROR(VLOOKUP($B1500,SERVIÇOS!$B:$G,2,0),IFERROR(VLOOKUP($B1500,$D:$K,2,0),"")),IFERROR(VLOOKUP($C1500,INSUMOS!$A:$D,2,0),IFERROR(VLOOKUP($C1500,COTAÇÕES!$B:$I,2,0),(VLOOKUP($C1500,'INSUMO SINAPI - SP'!$C:$F,2,0)))))</f>
        <v>MONTADOR ELETROMECÃNICO COM ENCARGOS COMPLEMENTARES</v>
      </c>
      <c r="F1500" s="510" t="str">
        <f>IF($C1500="",IFERROR(VLOOKUP($B1500,SERVIÇOS!$B:$G,3,0),IFERROR(VLOOKUP($B1500,$D:$K,3,0),"")),IFERROR(VLOOKUP($C1500,INSUMOS!$A:$D,3,0),IFERROR(VLOOKUP($C1500,COTAÇÕES!$B:$I,3,0),(VLOOKUP($C1500,'INSUMO SINAPI - SP'!$C:$F,3,0)))))</f>
        <v>H</v>
      </c>
      <c r="G1500" s="511">
        <v>0.22</v>
      </c>
      <c r="H1500" s="512">
        <f>IF($C1500="",IFERROR(VLOOKUP($B1500,SERVIÇOS!$B:$G,6,0),IFERROR(VLOOKUP($B1500,$D:$K,8,0),"")),IFERROR(VLOOKUP($C1500,INSUMOS!$A:$D,4,0),IFERROR(VLOOKUP($C1500,COTAÇÕES!$B:$I,7,0),(VLOOKUP($C1500,'INSUMO SINAPI - SP'!$C:$F,4,0)))))</f>
        <v>39.01</v>
      </c>
      <c r="I1500" s="513">
        <f>TRUNC(IF($C1500="",IFERROR(VLOOKUP($B1500,SERVIÇOS!$B:$G,4,0),IFERROR(VLOOKUP($B1500,$D:$K,6,0),)),IFERROR(VLOOKUP($C1500,INSUMOS!$A:$D,4,0),IFERROR(VLOOKUP($C1500,COTAÇÕES!$B:$I,7,0),(VLOOKUP($C1500,'INSUMO SINAPI - SP'!$C:$F,4,0)))))*$G1500,2)</f>
        <v>2.0499999999999998</v>
      </c>
      <c r="J1500" s="513">
        <f>TRUNC(IF($C1500="",IFERROR(VLOOKUP($B1500,SERVIÇOS!$B:$G,5,0),IFERROR(VLOOKUP($B1500,$D:$K,7,0),)),0)*$G1500,2)</f>
        <v>6.53</v>
      </c>
      <c r="K1500" s="514">
        <f>I1500+J1500</f>
        <v>8.58</v>
      </c>
      <c r="L1500" s="515"/>
      <c r="M1500" s="471"/>
      <c r="N1500" s="516"/>
      <c r="Q1500" s="472"/>
      <c r="R1500" s="472"/>
      <c r="S1500" s="472"/>
      <c r="T1500" s="472"/>
      <c r="U1500" s="472"/>
      <c r="V1500" s="472"/>
      <c r="W1500" s="472"/>
      <c r="X1500" s="472"/>
      <c r="Y1500" s="472"/>
    </row>
    <row r="1501" spans="1:25" x14ac:dyDescent="0.25">
      <c r="A1501" s="463"/>
      <c r="B1501" s="506">
        <v>88241</v>
      </c>
      <c r="C1501" s="507"/>
      <c r="D1501" s="508"/>
      <c r="E1501" s="509" t="str">
        <f>IF($C1501="",IFERROR(VLOOKUP($B1501,SERVIÇOS!$B:$G,2,0),IFERROR(VLOOKUP($B1501,$D:$K,2,0),"")),IFERROR(VLOOKUP($C1501,INSUMOS!$A:$D,2,0),IFERROR(VLOOKUP($C1501,COTAÇÕES!$B:$I,2,0),(VLOOKUP($C1501,'INSUMO SINAPI - SP'!$C:$F,2,0)))))</f>
        <v>AJUDANTE DE OPERAÇÃO EM GERAL COM ENCARGOS COMPLEMENTARES</v>
      </c>
      <c r="F1501" s="510" t="str">
        <f>IF($C1501="",IFERROR(VLOOKUP($B1501,SERVIÇOS!$B:$G,3,0),IFERROR(VLOOKUP($B1501,$D:$K,3,0),"")),IFERROR(VLOOKUP($C1501,INSUMOS!$A:$D,3,0),IFERROR(VLOOKUP($C1501,COTAÇÕES!$B:$I,3,0),(VLOOKUP($C1501,'INSUMO SINAPI - SP'!$C:$F,3,0)))))</f>
        <v>H</v>
      </c>
      <c r="G1501" s="511">
        <v>0.22</v>
      </c>
      <c r="H1501" s="512">
        <f>IF($C1501="",IFERROR(VLOOKUP($B1501,SERVIÇOS!$B:$G,6,0),IFERROR(VLOOKUP($B1501,$D:$K,8,0),"")),IFERROR(VLOOKUP($C1501,INSUMOS!$A:$D,4,0),IFERROR(VLOOKUP($C1501,COTAÇÕES!$B:$I,7,0),(VLOOKUP($C1501,'INSUMO SINAPI - SP'!$C:$F,4,0)))))</f>
        <v>29.87</v>
      </c>
      <c r="I1501" s="513">
        <f>TRUNC(IF($C1501="",IFERROR(VLOOKUP($B1501,SERVIÇOS!$B:$G,4,0),IFERROR(VLOOKUP($B1501,$D:$K,6,0),)),IFERROR(VLOOKUP($C1501,INSUMOS!$A:$D,4,0),IFERROR(VLOOKUP($C1501,COTAÇÕES!$B:$I,7,0),(VLOOKUP($C1501,'INSUMO SINAPI - SP'!$C:$F,4,0)))))*$G1501,2)</f>
        <v>2.04</v>
      </c>
      <c r="J1501" s="513">
        <f>TRUNC(IF($C1501="",IFERROR(VLOOKUP($B1501,SERVIÇOS!$B:$G,5,0),IFERROR(VLOOKUP($B1501,$D:$K,7,0),)),0)*$G1501,2)</f>
        <v>4.5199999999999996</v>
      </c>
      <c r="K1501" s="514">
        <f>I1501+J1501</f>
        <v>6.56</v>
      </c>
      <c r="L1501" s="515"/>
      <c r="M1501" s="471"/>
      <c r="N1501" s="516"/>
      <c r="Q1501" s="472"/>
      <c r="R1501" s="472"/>
      <c r="S1501" s="472"/>
      <c r="T1501" s="472"/>
      <c r="U1501" s="472"/>
      <c r="V1501" s="472"/>
      <c r="W1501" s="472"/>
      <c r="X1501" s="472"/>
      <c r="Y1501" s="472"/>
    </row>
    <row r="1502" spans="1:25" ht="24" x14ac:dyDescent="0.25">
      <c r="A1502" s="463"/>
      <c r="B1502" s="506"/>
      <c r="C1502" s="507" t="s">
        <v>13375</v>
      </c>
      <c r="D1502" s="508"/>
      <c r="E1502" s="518" t="s">
        <v>13373</v>
      </c>
      <c r="F1502" s="519" t="s">
        <v>578</v>
      </c>
      <c r="G1502" s="511">
        <v>0.01</v>
      </c>
      <c r="H1502" s="520">
        <v>2142.64</v>
      </c>
      <c r="I1502" s="520">
        <f>TRUNC(H1502*G1502,2)</f>
        <v>21.42</v>
      </c>
      <c r="J1502" s="521"/>
      <c r="K1502" s="522">
        <f>I1502+J1502</f>
        <v>21.42</v>
      </c>
      <c r="L1502" s="517" t="s">
        <v>12901</v>
      </c>
      <c r="M1502" s="471"/>
      <c r="N1502" s="516"/>
      <c r="Q1502" s="472"/>
      <c r="R1502" s="472"/>
      <c r="S1502" s="472"/>
      <c r="T1502" s="472"/>
      <c r="U1502" s="472"/>
      <c r="V1502" s="472"/>
      <c r="W1502" s="472"/>
      <c r="X1502" s="472"/>
      <c r="Y1502" s="472"/>
    </row>
    <row r="1503" spans="1:25" ht="24" x14ac:dyDescent="0.25">
      <c r="A1503" s="463"/>
      <c r="B1503" s="498"/>
      <c r="C1503" s="498"/>
      <c r="D1503" s="499" t="s">
        <v>12454</v>
      </c>
      <c r="E1503" s="500" t="s">
        <v>13376</v>
      </c>
      <c r="F1503" s="501" t="s">
        <v>580</v>
      </c>
      <c r="G1503" s="502"/>
      <c r="H1503" s="503"/>
      <c r="I1503" s="504">
        <f>ROUND(SUM(I1504:I1506),2)</f>
        <v>36.22</v>
      </c>
      <c r="J1503" s="504">
        <f>ROUND(SUM(J1504:J1506),2)</f>
        <v>11.05</v>
      </c>
      <c r="K1503" s="504">
        <f>+J1503+I1503</f>
        <v>47.269999999999996</v>
      </c>
      <c r="L1503" s="523" t="s">
        <v>13374</v>
      </c>
      <c r="M1503" s="471"/>
      <c r="N1503" s="505"/>
      <c r="Q1503" s="472"/>
      <c r="R1503" s="472"/>
      <c r="S1503" s="472"/>
      <c r="T1503" s="472"/>
      <c r="U1503" s="472"/>
      <c r="V1503" s="472"/>
      <c r="W1503" s="472"/>
      <c r="X1503" s="472"/>
      <c r="Y1503" s="472"/>
    </row>
    <row r="1504" spans="1:25" x14ac:dyDescent="0.25">
      <c r="A1504" s="463"/>
      <c r="B1504" s="506">
        <v>88279</v>
      </c>
      <c r="C1504" s="507"/>
      <c r="D1504" s="508"/>
      <c r="E1504" s="509" t="str">
        <f>IF($C1504="",IFERROR(VLOOKUP($B1504,SERVIÇOS!$B:$G,2,0),IFERROR(VLOOKUP($B1504,$D:$K,2,0),"")),IFERROR(VLOOKUP($C1504,INSUMOS!$A:$D,2,0),IFERROR(VLOOKUP($C1504,COTAÇÕES!$B:$I,2,0),(VLOOKUP($C1504,'INSUMO SINAPI - SP'!$C:$F,2,0)))))</f>
        <v>MONTADOR ELETROMECÃNICO COM ENCARGOS COMPLEMENTARES</v>
      </c>
      <c r="F1504" s="510" t="str">
        <f>IF($C1504="",IFERROR(VLOOKUP($B1504,SERVIÇOS!$B:$G,3,0),IFERROR(VLOOKUP($B1504,$D:$K,3,0),"")),IFERROR(VLOOKUP($C1504,INSUMOS!$A:$D,3,0),IFERROR(VLOOKUP($C1504,COTAÇÕES!$B:$I,3,0),(VLOOKUP($C1504,'INSUMO SINAPI - SP'!$C:$F,3,0)))))</f>
        <v>H</v>
      </c>
      <c r="G1504" s="511">
        <v>0.22</v>
      </c>
      <c r="H1504" s="512">
        <f>IF($C1504="",IFERROR(VLOOKUP($B1504,SERVIÇOS!$B:$G,6,0),IFERROR(VLOOKUP($B1504,$D:$K,8,0),"")),IFERROR(VLOOKUP($C1504,INSUMOS!$A:$D,4,0),IFERROR(VLOOKUP($C1504,COTAÇÕES!$B:$I,7,0),(VLOOKUP($C1504,'INSUMO SINAPI - SP'!$C:$F,4,0)))))</f>
        <v>39.01</v>
      </c>
      <c r="I1504" s="513">
        <f>TRUNC(IF($C1504="",IFERROR(VLOOKUP($B1504,SERVIÇOS!$B:$G,4,0),IFERROR(VLOOKUP($B1504,$D:$K,6,0),)),IFERROR(VLOOKUP($C1504,INSUMOS!$A:$D,4,0),IFERROR(VLOOKUP($C1504,COTAÇÕES!$B:$I,7,0),(VLOOKUP($C1504,'INSUMO SINAPI - SP'!$C:$F,4,0)))))*$G1504,2)</f>
        <v>2.0499999999999998</v>
      </c>
      <c r="J1504" s="513">
        <f>TRUNC(IF($C1504="",IFERROR(VLOOKUP($B1504,SERVIÇOS!$B:$G,5,0),IFERROR(VLOOKUP($B1504,$D:$K,7,0),)),0)*$G1504,2)</f>
        <v>6.53</v>
      </c>
      <c r="K1504" s="514">
        <f>I1504+J1504</f>
        <v>8.58</v>
      </c>
      <c r="L1504" s="515"/>
      <c r="M1504" s="471"/>
      <c r="N1504" s="516"/>
      <c r="Q1504" s="472"/>
      <c r="R1504" s="472"/>
      <c r="S1504" s="472"/>
      <c r="T1504" s="472"/>
      <c r="U1504" s="472"/>
      <c r="V1504" s="472"/>
      <c r="W1504" s="472"/>
      <c r="X1504" s="472"/>
      <c r="Y1504" s="472"/>
    </row>
    <row r="1505" spans="1:25" x14ac:dyDescent="0.25">
      <c r="A1505" s="463"/>
      <c r="B1505" s="506">
        <v>88241</v>
      </c>
      <c r="C1505" s="507"/>
      <c r="D1505" s="508"/>
      <c r="E1505" s="509" t="str">
        <f>IF($C1505="",IFERROR(VLOOKUP($B1505,SERVIÇOS!$B:$G,2,0),IFERROR(VLOOKUP($B1505,$D:$K,2,0),"")),IFERROR(VLOOKUP($C1505,INSUMOS!$A:$D,2,0),IFERROR(VLOOKUP($C1505,COTAÇÕES!$B:$I,2,0),(VLOOKUP($C1505,'INSUMO SINAPI - SP'!$C:$F,2,0)))))</f>
        <v>AJUDANTE DE OPERAÇÃO EM GERAL COM ENCARGOS COMPLEMENTARES</v>
      </c>
      <c r="F1505" s="510" t="str">
        <f>IF($C1505="",IFERROR(VLOOKUP($B1505,SERVIÇOS!$B:$G,3,0),IFERROR(VLOOKUP($B1505,$D:$K,3,0),"")),IFERROR(VLOOKUP($C1505,INSUMOS!$A:$D,3,0),IFERROR(VLOOKUP($C1505,COTAÇÕES!$B:$I,3,0),(VLOOKUP($C1505,'INSUMO SINAPI - SP'!$C:$F,3,0)))))</f>
        <v>H</v>
      </c>
      <c r="G1505" s="511">
        <v>0.22</v>
      </c>
      <c r="H1505" s="512">
        <f>IF($C1505="",IFERROR(VLOOKUP($B1505,SERVIÇOS!$B:$G,6,0),IFERROR(VLOOKUP($B1505,$D:$K,8,0),"")),IFERROR(VLOOKUP($C1505,INSUMOS!$A:$D,4,0),IFERROR(VLOOKUP($C1505,COTAÇÕES!$B:$I,7,0),(VLOOKUP($C1505,'INSUMO SINAPI - SP'!$C:$F,4,0)))))</f>
        <v>29.87</v>
      </c>
      <c r="I1505" s="513">
        <f>TRUNC(IF($C1505="",IFERROR(VLOOKUP($B1505,SERVIÇOS!$B:$G,4,0),IFERROR(VLOOKUP($B1505,$D:$K,6,0),)),IFERROR(VLOOKUP($C1505,INSUMOS!$A:$D,4,0),IFERROR(VLOOKUP($C1505,COTAÇÕES!$B:$I,7,0),(VLOOKUP($C1505,'INSUMO SINAPI - SP'!$C:$F,4,0)))))*$G1505,2)</f>
        <v>2.04</v>
      </c>
      <c r="J1505" s="513">
        <f>TRUNC(IF($C1505="",IFERROR(VLOOKUP($B1505,SERVIÇOS!$B:$G,5,0),IFERROR(VLOOKUP($B1505,$D:$K,7,0),)),0)*$G1505,2)</f>
        <v>4.5199999999999996</v>
      </c>
      <c r="K1505" s="514">
        <f>I1505+J1505</f>
        <v>6.56</v>
      </c>
      <c r="L1505" s="515"/>
      <c r="M1505" s="471"/>
      <c r="N1505" s="516"/>
      <c r="Q1505" s="472"/>
      <c r="R1505" s="472"/>
      <c r="S1505" s="472"/>
      <c r="T1505" s="472"/>
      <c r="U1505" s="472"/>
      <c r="V1505" s="472"/>
      <c r="W1505" s="472"/>
      <c r="X1505" s="472"/>
      <c r="Y1505" s="472"/>
    </row>
    <row r="1506" spans="1:25" ht="24" x14ac:dyDescent="0.25">
      <c r="A1506" s="463"/>
      <c r="B1506" s="506"/>
      <c r="C1506" s="507" t="s">
        <v>13375</v>
      </c>
      <c r="D1506" s="508"/>
      <c r="E1506" s="518" t="s">
        <v>13376</v>
      </c>
      <c r="F1506" s="519" t="s">
        <v>578</v>
      </c>
      <c r="G1506" s="511">
        <v>1.4999999999999999E-2</v>
      </c>
      <c r="H1506" s="520">
        <v>2142.64</v>
      </c>
      <c r="I1506" s="520">
        <f>TRUNC(H1506*G1506,2)</f>
        <v>32.130000000000003</v>
      </c>
      <c r="J1506" s="521"/>
      <c r="K1506" s="522">
        <f>I1506+J1506</f>
        <v>32.130000000000003</v>
      </c>
      <c r="L1506" s="517" t="s">
        <v>12901</v>
      </c>
      <c r="M1506" s="471"/>
      <c r="N1506" s="516"/>
      <c r="Q1506" s="472"/>
      <c r="R1506" s="472"/>
      <c r="S1506" s="472"/>
      <c r="T1506" s="472"/>
      <c r="U1506" s="472"/>
      <c r="V1506" s="472"/>
      <c r="W1506" s="472"/>
      <c r="X1506" s="472"/>
      <c r="Y1506" s="472"/>
    </row>
    <row r="1507" spans="1:25" ht="24" x14ac:dyDescent="0.25">
      <c r="A1507" s="463"/>
      <c r="B1507" s="498"/>
      <c r="C1507" s="498"/>
      <c r="D1507" s="499" t="s">
        <v>12455</v>
      </c>
      <c r="E1507" s="500" t="s">
        <v>13377</v>
      </c>
      <c r="F1507" s="501" t="s">
        <v>580</v>
      </c>
      <c r="G1507" s="502"/>
      <c r="H1507" s="503"/>
      <c r="I1507" s="504">
        <f>SUM(I1508:I1510)</f>
        <v>52.290000000000006</v>
      </c>
      <c r="J1507" s="504">
        <f>SUM(J1508:J1510)</f>
        <v>11.05</v>
      </c>
      <c r="K1507" s="504">
        <f>+J1507+I1507</f>
        <v>63.34</v>
      </c>
      <c r="L1507" s="523" t="s">
        <v>13374</v>
      </c>
      <c r="M1507" s="471"/>
      <c r="N1507" s="505"/>
      <c r="Q1507" s="472"/>
      <c r="R1507" s="472"/>
      <c r="S1507" s="472"/>
      <c r="T1507" s="472"/>
      <c r="U1507" s="472"/>
      <c r="V1507" s="472"/>
      <c r="W1507" s="472"/>
      <c r="X1507" s="472"/>
      <c r="Y1507" s="472"/>
    </row>
    <row r="1508" spans="1:25" x14ac:dyDescent="0.25">
      <c r="A1508" s="463"/>
      <c r="B1508" s="506">
        <v>88279</v>
      </c>
      <c r="C1508" s="507"/>
      <c r="D1508" s="508"/>
      <c r="E1508" s="509" t="str">
        <f>IF($C1508="",IFERROR(VLOOKUP($B1508,SERVIÇOS!$B:$G,2,0),IFERROR(VLOOKUP($B1508,$D:$K,2,0),"")),IFERROR(VLOOKUP($C1508,INSUMOS!$A:$D,2,0),IFERROR(VLOOKUP($C1508,COTAÇÕES!$B:$I,2,0),(VLOOKUP($C1508,'INSUMO SINAPI - SP'!$C:$F,2,0)))))</f>
        <v>MONTADOR ELETROMECÃNICO COM ENCARGOS COMPLEMENTARES</v>
      </c>
      <c r="F1508" s="510" t="str">
        <f>IF($C1508="",IFERROR(VLOOKUP($B1508,SERVIÇOS!$B:$G,3,0),IFERROR(VLOOKUP($B1508,$D:$K,3,0),"")),IFERROR(VLOOKUP($C1508,INSUMOS!$A:$D,3,0),IFERROR(VLOOKUP($C1508,COTAÇÕES!$B:$I,3,0),(VLOOKUP($C1508,'INSUMO SINAPI - SP'!$C:$F,3,0)))))</f>
        <v>H</v>
      </c>
      <c r="G1508" s="511">
        <v>0.22</v>
      </c>
      <c r="H1508" s="512">
        <f>IF($C1508="",IFERROR(VLOOKUP($B1508,SERVIÇOS!$B:$G,6,0),IFERROR(VLOOKUP($B1508,$D:$K,8,0),"")),IFERROR(VLOOKUP($C1508,INSUMOS!$A:$D,4,0),IFERROR(VLOOKUP($C1508,COTAÇÕES!$B:$I,7,0),(VLOOKUP($C1508,'INSUMO SINAPI - SP'!$C:$F,4,0)))))</f>
        <v>39.01</v>
      </c>
      <c r="I1508" s="513">
        <f>TRUNC(IF($C1508="",IFERROR(VLOOKUP($B1508,SERVIÇOS!$B:$G,4,0),IFERROR(VLOOKUP($B1508,$D:$K,6,0),)),IFERROR(VLOOKUP($C1508,INSUMOS!$A:$D,4,0),IFERROR(VLOOKUP($C1508,COTAÇÕES!$B:$I,7,0),(VLOOKUP($C1508,'INSUMO SINAPI - SP'!$C:$F,4,0)))))*$G1508,2)</f>
        <v>2.0499999999999998</v>
      </c>
      <c r="J1508" s="513">
        <f>TRUNC(IF($C1508="",IFERROR(VLOOKUP($B1508,SERVIÇOS!$B:$G,5,0),IFERROR(VLOOKUP($B1508,$D:$K,7,0),)),0)*$G1508,2)</f>
        <v>6.53</v>
      </c>
      <c r="K1508" s="514">
        <f>I1508+J1508</f>
        <v>8.58</v>
      </c>
      <c r="L1508" s="515"/>
      <c r="M1508" s="471"/>
      <c r="N1508" s="516"/>
      <c r="Q1508" s="472"/>
      <c r="R1508" s="472"/>
      <c r="S1508" s="472"/>
      <c r="T1508" s="472"/>
      <c r="U1508" s="472"/>
      <c r="V1508" s="472"/>
      <c r="W1508" s="472"/>
      <c r="X1508" s="472"/>
      <c r="Y1508" s="472"/>
    </row>
    <row r="1509" spans="1:25" x14ac:dyDescent="0.25">
      <c r="A1509" s="463"/>
      <c r="B1509" s="506">
        <v>88241</v>
      </c>
      <c r="C1509" s="507"/>
      <c r="D1509" s="508"/>
      <c r="E1509" s="509" t="str">
        <f>IF($C1509="",IFERROR(VLOOKUP($B1509,SERVIÇOS!$B:$G,2,0),IFERROR(VLOOKUP($B1509,$D:$K,2,0),"")),IFERROR(VLOOKUP($C1509,INSUMOS!$A:$D,2,0),IFERROR(VLOOKUP($C1509,COTAÇÕES!$B:$I,2,0),(VLOOKUP($C1509,'INSUMO SINAPI - SP'!$C:$F,2,0)))))</f>
        <v>AJUDANTE DE OPERAÇÃO EM GERAL COM ENCARGOS COMPLEMENTARES</v>
      </c>
      <c r="F1509" s="510" t="str">
        <f>IF($C1509="",IFERROR(VLOOKUP($B1509,SERVIÇOS!$B:$G,3,0),IFERROR(VLOOKUP($B1509,$D:$K,3,0),"")),IFERROR(VLOOKUP($C1509,INSUMOS!$A:$D,3,0),IFERROR(VLOOKUP($C1509,COTAÇÕES!$B:$I,3,0),(VLOOKUP($C1509,'INSUMO SINAPI - SP'!$C:$F,3,0)))))</f>
        <v>H</v>
      </c>
      <c r="G1509" s="511">
        <v>0.22</v>
      </c>
      <c r="H1509" s="512">
        <f>IF($C1509="",IFERROR(VLOOKUP($B1509,SERVIÇOS!$B:$G,6,0),IFERROR(VLOOKUP($B1509,$D:$K,8,0),"")),IFERROR(VLOOKUP($C1509,INSUMOS!$A:$D,4,0),IFERROR(VLOOKUP($C1509,COTAÇÕES!$B:$I,7,0),(VLOOKUP($C1509,'INSUMO SINAPI - SP'!$C:$F,4,0)))))</f>
        <v>29.87</v>
      </c>
      <c r="I1509" s="513">
        <f>TRUNC(IF($C1509="",IFERROR(VLOOKUP($B1509,SERVIÇOS!$B:$G,4,0),IFERROR(VLOOKUP($B1509,$D:$K,6,0),)),IFERROR(VLOOKUP($C1509,INSUMOS!$A:$D,4,0),IFERROR(VLOOKUP($C1509,COTAÇÕES!$B:$I,7,0),(VLOOKUP($C1509,'INSUMO SINAPI - SP'!$C:$F,4,0)))))*$G1509,2)</f>
        <v>2.04</v>
      </c>
      <c r="J1509" s="513">
        <f>TRUNC(IF($C1509="",IFERROR(VLOOKUP($B1509,SERVIÇOS!$B:$G,5,0),IFERROR(VLOOKUP($B1509,$D:$K,7,0),)),0)*$G1509,2)</f>
        <v>4.5199999999999996</v>
      </c>
      <c r="K1509" s="514">
        <f>I1509+J1509</f>
        <v>6.56</v>
      </c>
      <c r="L1509" s="515"/>
      <c r="M1509" s="471"/>
      <c r="N1509" s="516"/>
      <c r="Q1509" s="472"/>
      <c r="R1509" s="472"/>
      <c r="S1509" s="472"/>
      <c r="T1509" s="472"/>
      <c r="U1509" s="472"/>
      <c r="V1509" s="472"/>
      <c r="W1509" s="472"/>
      <c r="X1509" s="472"/>
      <c r="Y1509" s="472"/>
    </row>
    <row r="1510" spans="1:25" ht="24" x14ac:dyDescent="0.25">
      <c r="A1510" s="463"/>
      <c r="B1510" s="506"/>
      <c r="C1510" s="507" t="s">
        <v>13375</v>
      </c>
      <c r="D1510" s="508"/>
      <c r="E1510" s="518" t="s">
        <v>13377</v>
      </c>
      <c r="F1510" s="519" t="s">
        <v>578</v>
      </c>
      <c r="G1510" s="511">
        <v>2.2499999999999999E-2</v>
      </c>
      <c r="H1510" s="520">
        <v>2142.64</v>
      </c>
      <c r="I1510" s="520">
        <f>TRUNC(H1510*G1510,2)</f>
        <v>48.2</v>
      </c>
      <c r="J1510" s="521"/>
      <c r="K1510" s="522">
        <f>I1510+J1510</f>
        <v>48.2</v>
      </c>
      <c r="L1510" s="517" t="s">
        <v>12901</v>
      </c>
      <c r="M1510" s="471"/>
      <c r="N1510" s="516"/>
      <c r="Q1510" s="472"/>
      <c r="R1510" s="472"/>
      <c r="S1510" s="472"/>
      <c r="T1510" s="472"/>
      <c r="U1510" s="472"/>
      <c r="V1510" s="472"/>
      <c r="W1510" s="472"/>
      <c r="X1510" s="472"/>
      <c r="Y1510" s="472"/>
    </row>
    <row r="1511" spans="1:25" ht="24" x14ac:dyDescent="0.25">
      <c r="A1511" s="463"/>
      <c r="B1511" s="498"/>
      <c r="C1511" s="498"/>
      <c r="D1511" s="499" t="s">
        <v>12456</v>
      </c>
      <c r="E1511" s="500" t="s">
        <v>13378</v>
      </c>
      <c r="F1511" s="501" t="s">
        <v>580</v>
      </c>
      <c r="G1511" s="502"/>
      <c r="H1511" s="503"/>
      <c r="I1511" s="504">
        <f>ROUND(SUM(I1512:I1514),2)</f>
        <v>46.94</v>
      </c>
      <c r="J1511" s="504">
        <f>ROUND(SUM(J1512:J1514),2)</f>
        <v>11.05</v>
      </c>
      <c r="K1511" s="504">
        <f>+J1511+I1511</f>
        <v>57.989999999999995</v>
      </c>
      <c r="L1511" s="523" t="s">
        <v>13374</v>
      </c>
      <c r="M1511" s="471"/>
      <c r="N1511" s="505"/>
      <c r="Q1511" s="472"/>
      <c r="R1511" s="472"/>
      <c r="S1511" s="472"/>
      <c r="T1511" s="472"/>
      <c r="U1511" s="472"/>
      <c r="V1511" s="472"/>
      <c r="W1511" s="472"/>
      <c r="X1511" s="472"/>
      <c r="Y1511" s="472"/>
    </row>
    <row r="1512" spans="1:25" x14ac:dyDescent="0.25">
      <c r="A1512" s="463"/>
      <c r="B1512" s="506">
        <v>88279</v>
      </c>
      <c r="C1512" s="507"/>
      <c r="D1512" s="508"/>
      <c r="E1512" s="509" t="str">
        <f>IF($C1512="",IFERROR(VLOOKUP($B1512,SERVIÇOS!$B:$G,2,0),IFERROR(VLOOKUP($B1512,$D:$K,2,0),"")),IFERROR(VLOOKUP($C1512,INSUMOS!$A:$D,2,0),IFERROR(VLOOKUP($C1512,COTAÇÕES!$B:$I,2,0),(VLOOKUP($C1512,'INSUMO SINAPI - SP'!$C:$F,2,0)))))</f>
        <v>MONTADOR ELETROMECÃNICO COM ENCARGOS COMPLEMENTARES</v>
      </c>
      <c r="F1512" s="510" t="str">
        <f>IF($C1512="",IFERROR(VLOOKUP($B1512,SERVIÇOS!$B:$G,3,0),IFERROR(VLOOKUP($B1512,$D:$K,3,0),"")),IFERROR(VLOOKUP($C1512,INSUMOS!$A:$D,3,0),IFERROR(VLOOKUP($C1512,COTAÇÕES!$B:$I,3,0),(VLOOKUP($C1512,'INSUMO SINAPI - SP'!$C:$F,3,0)))))</f>
        <v>H</v>
      </c>
      <c r="G1512" s="511">
        <v>0.22</v>
      </c>
      <c r="H1512" s="512">
        <f>IF($C1512="",IFERROR(VLOOKUP($B1512,SERVIÇOS!$B:$G,6,0),IFERROR(VLOOKUP($B1512,$D:$K,8,0),"")),IFERROR(VLOOKUP($C1512,INSUMOS!$A:$D,4,0),IFERROR(VLOOKUP($C1512,COTAÇÕES!$B:$I,7,0),(VLOOKUP($C1512,'INSUMO SINAPI - SP'!$C:$F,4,0)))))</f>
        <v>39.01</v>
      </c>
      <c r="I1512" s="513">
        <f>TRUNC(IF($C1512="",IFERROR(VLOOKUP($B1512,SERVIÇOS!$B:$G,4,0),IFERROR(VLOOKUP($B1512,$D:$K,6,0),)),IFERROR(VLOOKUP($C1512,INSUMOS!$A:$D,4,0),IFERROR(VLOOKUP($C1512,COTAÇÕES!$B:$I,7,0),(VLOOKUP($C1512,'INSUMO SINAPI - SP'!$C:$F,4,0)))))*$G1512,2)</f>
        <v>2.0499999999999998</v>
      </c>
      <c r="J1512" s="513">
        <f>TRUNC(IF($C1512="",IFERROR(VLOOKUP($B1512,SERVIÇOS!$B:$G,5,0),IFERROR(VLOOKUP($B1512,$D:$K,7,0),)),0)*$G1512,2)</f>
        <v>6.53</v>
      </c>
      <c r="K1512" s="514">
        <f>I1512+J1512</f>
        <v>8.58</v>
      </c>
      <c r="L1512" s="515"/>
      <c r="M1512" s="471"/>
      <c r="N1512" s="516"/>
      <c r="Q1512" s="472"/>
      <c r="R1512" s="472"/>
      <c r="S1512" s="472"/>
      <c r="T1512" s="472"/>
      <c r="U1512" s="472"/>
      <c r="V1512" s="472"/>
      <c r="W1512" s="472"/>
      <c r="X1512" s="472"/>
      <c r="Y1512" s="472"/>
    </row>
    <row r="1513" spans="1:25" x14ac:dyDescent="0.25">
      <c r="A1513" s="463"/>
      <c r="B1513" s="506">
        <v>88241</v>
      </c>
      <c r="C1513" s="507"/>
      <c r="D1513" s="508"/>
      <c r="E1513" s="509" t="str">
        <f>IF($C1513="",IFERROR(VLOOKUP($B1513,SERVIÇOS!$B:$G,2,0),IFERROR(VLOOKUP($B1513,$D:$K,2,0),"")),IFERROR(VLOOKUP($C1513,INSUMOS!$A:$D,2,0),IFERROR(VLOOKUP($C1513,COTAÇÕES!$B:$I,2,0),(VLOOKUP($C1513,'INSUMO SINAPI - SP'!$C:$F,2,0)))))</f>
        <v>AJUDANTE DE OPERAÇÃO EM GERAL COM ENCARGOS COMPLEMENTARES</v>
      </c>
      <c r="F1513" s="510" t="str">
        <f>IF($C1513="",IFERROR(VLOOKUP($B1513,SERVIÇOS!$B:$G,3,0),IFERROR(VLOOKUP($B1513,$D:$K,3,0),"")),IFERROR(VLOOKUP($C1513,INSUMOS!$A:$D,3,0),IFERROR(VLOOKUP($C1513,COTAÇÕES!$B:$I,3,0),(VLOOKUP($C1513,'INSUMO SINAPI - SP'!$C:$F,3,0)))))</f>
        <v>H</v>
      </c>
      <c r="G1513" s="511">
        <v>0.22</v>
      </c>
      <c r="H1513" s="512">
        <f>IF($C1513="",IFERROR(VLOOKUP($B1513,SERVIÇOS!$B:$G,6,0),IFERROR(VLOOKUP($B1513,$D:$K,8,0),"")),IFERROR(VLOOKUP($C1513,INSUMOS!$A:$D,4,0),IFERROR(VLOOKUP($C1513,COTAÇÕES!$B:$I,7,0),(VLOOKUP($C1513,'INSUMO SINAPI - SP'!$C:$F,4,0)))))</f>
        <v>29.87</v>
      </c>
      <c r="I1513" s="513">
        <f>TRUNC(IF($C1513="",IFERROR(VLOOKUP($B1513,SERVIÇOS!$B:$G,4,0),IFERROR(VLOOKUP($B1513,$D:$K,6,0),)),IFERROR(VLOOKUP($C1513,INSUMOS!$A:$D,4,0),IFERROR(VLOOKUP($C1513,COTAÇÕES!$B:$I,7,0),(VLOOKUP($C1513,'INSUMO SINAPI - SP'!$C:$F,4,0)))))*$G1513,2)</f>
        <v>2.04</v>
      </c>
      <c r="J1513" s="513">
        <f>TRUNC(IF($C1513="",IFERROR(VLOOKUP($B1513,SERVIÇOS!$B:$G,5,0),IFERROR(VLOOKUP($B1513,$D:$K,7,0),)),0)*$G1513,2)</f>
        <v>4.5199999999999996</v>
      </c>
      <c r="K1513" s="514">
        <f>I1513+J1513</f>
        <v>6.56</v>
      </c>
      <c r="L1513" s="515"/>
      <c r="M1513" s="471"/>
      <c r="N1513" s="516"/>
      <c r="Q1513" s="472"/>
      <c r="R1513" s="472"/>
      <c r="S1513" s="472"/>
      <c r="T1513" s="472"/>
      <c r="U1513" s="472"/>
      <c r="V1513" s="472"/>
      <c r="W1513" s="472"/>
      <c r="X1513" s="472"/>
      <c r="Y1513" s="472"/>
    </row>
    <row r="1514" spans="1:25" ht="24" x14ac:dyDescent="0.25">
      <c r="A1514" s="463"/>
      <c r="B1514" s="506"/>
      <c r="C1514" s="507" t="s">
        <v>13375</v>
      </c>
      <c r="D1514" s="508"/>
      <c r="E1514" s="518" t="s">
        <v>13378</v>
      </c>
      <c r="F1514" s="519" t="s">
        <v>578</v>
      </c>
      <c r="G1514" s="511">
        <v>0.02</v>
      </c>
      <c r="H1514" s="520">
        <v>2142.64</v>
      </c>
      <c r="I1514" s="520">
        <f>TRUNC(H1514*G1514,2)</f>
        <v>42.85</v>
      </c>
      <c r="J1514" s="521"/>
      <c r="K1514" s="522">
        <f>I1514+J1514</f>
        <v>42.85</v>
      </c>
      <c r="L1514" s="517" t="s">
        <v>12901</v>
      </c>
      <c r="M1514" s="471"/>
      <c r="N1514" s="516"/>
      <c r="Q1514" s="472"/>
      <c r="R1514" s="472"/>
      <c r="S1514" s="472"/>
      <c r="T1514" s="472"/>
      <c r="U1514" s="472"/>
      <c r="V1514" s="472"/>
      <c r="W1514" s="472"/>
      <c r="X1514" s="472"/>
      <c r="Y1514" s="472"/>
    </row>
    <row r="1515" spans="1:25" ht="24" x14ac:dyDescent="0.25">
      <c r="A1515" s="463"/>
      <c r="B1515" s="498"/>
      <c r="C1515" s="498"/>
      <c r="D1515" s="499" t="s">
        <v>12457</v>
      </c>
      <c r="E1515" s="500" t="s">
        <v>13379</v>
      </c>
      <c r="F1515" s="501" t="s">
        <v>580</v>
      </c>
      <c r="G1515" s="502"/>
      <c r="H1515" s="503"/>
      <c r="I1515" s="504">
        <f>ROUND(SUM(I1516:I1518),2)</f>
        <v>68.36</v>
      </c>
      <c r="J1515" s="504">
        <f>ROUND(SUM(J1516:J1518),2)</f>
        <v>11.05</v>
      </c>
      <c r="K1515" s="504">
        <f>+J1515+I1515</f>
        <v>79.41</v>
      </c>
      <c r="L1515" s="523" t="s">
        <v>13374</v>
      </c>
      <c r="M1515" s="471"/>
      <c r="N1515" s="505"/>
      <c r="Q1515" s="472"/>
      <c r="R1515" s="472"/>
      <c r="S1515" s="472"/>
      <c r="T1515" s="472"/>
      <c r="U1515" s="472"/>
      <c r="V1515" s="472"/>
      <c r="W1515" s="472"/>
      <c r="X1515" s="472"/>
      <c r="Y1515" s="472"/>
    </row>
    <row r="1516" spans="1:25" x14ac:dyDescent="0.25">
      <c r="A1516" s="463"/>
      <c r="B1516" s="506">
        <v>88279</v>
      </c>
      <c r="C1516" s="507"/>
      <c r="D1516" s="508"/>
      <c r="E1516" s="509" t="str">
        <f>IF($C1516="",IFERROR(VLOOKUP($B1516,SERVIÇOS!$B:$G,2,0),IFERROR(VLOOKUP($B1516,$D:$K,2,0),"")),IFERROR(VLOOKUP($C1516,INSUMOS!$A:$D,2,0),IFERROR(VLOOKUP($C1516,COTAÇÕES!$B:$I,2,0),(VLOOKUP($C1516,'INSUMO SINAPI - SP'!$C:$F,2,0)))))</f>
        <v>MONTADOR ELETROMECÃNICO COM ENCARGOS COMPLEMENTARES</v>
      </c>
      <c r="F1516" s="510" t="str">
        <f>IF($C1516="",IFERROR(VLOOKUP($B1516,SERVIÇOS!$B:$G,3,0),IFERROR(VLOOKUP($B1516,$D:$K,3,0),"")),IFERROR(VLOOKUP($C1516,INSUMOS!$A:$D,3,0),IFERROR(VLOOKUP($C1516,COTAÇÕES!$B:$I,3,0),(VLOOKUP($C1516,'INSUMO SINAPI - SP'!$C:$F,3,0)))))</f>
        <v>H</v>
      </c>
      <c r="G1516" s="511">
        <v>0.22</v>
      </c>
      <c r="H1516" s="512">
        <f>IF($C1516="",IFERROR(VLOOKUP($B1516,SERVIÇOS!$B:$G,6,0),IFERROR(VLOOKUP($B1516,$D:$K,8,0),"")),IFERROR(VLOOKUP($C1516,INSUMOS!$A:$D,4,0),IFERROR(VLOOKUP($C1516,COTAÇÕES!$B:$I,7,0),(VLOOKUP($C1516,'INSUMO SINAPI - SP'!$C:$F,4,0)))))</f>
        <v>39.01</v>
      </c>
      <c r="I1516" s="513">
        <f>TRUNC(IF($C1516="",IFERROR(VLOOKUP($B1516,SERVIÇOS!$B:$G,4,0),IFERROR(VLOOKUP($B1516,$D:$K,6,0),)),IFERROR(VLOOKUP($C1516,INSUMOS!$A:$D,4,0),IFERROR(VLOOKUP($C1516,COTAÇÕES!$B:$I,7,0),(VLOOKUP($C1516,'INSUMO SINAPI - SP'!$C:$F,4,0)))))*$G1516,2)</f>
        <v>2.0499999999999998</v>
      </c>
      <c r="J1516" s="513">
        <f>TRUNC(IF($C1516="",IFERROR(VLOOKUP($B1516,SERVIÇOS!$B:$G,5,0),IFERROR(VLOOKUP($B1516,$D:$K,7,0),)),0)*$G1516,2)</f>
        <v>6.53</v>
      </c>
      <c r="K1516" s="514">
        <f>I1516+J1516</f>
        <v>8.58</v>
      </c>
      <c r="L1516" s="515"/>
      <c r="M1516" s="471"/>
      <c r="N1516" s="516"/>
      <c r="Q1516" s="472"/>
      <c r="R1516" s="472"/>
      <c r="S1516" s="472"/>
      <c r="T1516" s="472"/>
      <c r="U1516" s="472"/>
      <c r="V1516" s="472"/>
      <c r="W1516" s="472"/>
      <c r="X1516" s="472"/>
      <c r="Y1516" s="472"/>
    </row>
    <row r="1517" spans="1:25" x14ac:dyDescent="0.25">
      <c r="A1517" s="463"/>
      <c r="B1517" s="506">
        <v>88241</v>
      </c>
      <c r="C1517" s="507"/>
      <c r="D1517" s="508"/>
      <c r="E1517" s="509" t="str">
        <f>IF($C1517="",IFERROR(VLOOKUP($B1517,SERVIÇOS!$B:$G,2,0),IFERROR(VLOOKUP($B1517,$D:$K,2,0),"")),IFERROR(VLOOKUP($C1517,INSUMOS!$A:$D,2,0),IFERROR(VLOOKUP($C1517,COTAÇÕES!$B:$I,2,0),(VLOOKUP($C1517,'INSUMO SINAPI - SP'!$C:$F,2,0)))))</f>
        <v>AJUDANTE DE OPERAÇÃO EM GERAL COM ENCARGOS COMPLEMENTARES</v>
      </c>
      <c r="F1517" s="510" t="str">
        <f>IF($C1517="",IFERROR(VLOOKUP($B1517,SERVIÇOS!$B:$G,3,0),IFERROR(VLOOKUP($B1517,$D:$K,3,0),"")),IFERROR(VLOOKUP($C1517,INSUMOS!$A:$D,3,0),IFERROR(VLOOKUP($C1517,COTAÇÕES!$B:$I,3,0),(VLOOKUP($C1517,'INSUMO SINAPI - SP'!$C:$F,3,0)))))</f>
        <v>H</v>
      </c>
      <c r="G1517" s="511">
        <v>0.22</v>
      </c>
      <c r="H1517" s="512">
        <f>IF($C1517="",IFERROR(VLOOKUP($B1517,SERVIÇOS!$B:$G,6,0),IFERROR(VLOOKUP($B1517,$D:$K,8,0),"")),IFERROR(VLOOKUP($C1517,INSUMOS!$A:$D,4,0),IFERROR(VLOOKUP($C1517,COTAÇÕES!$B:$I,7,0),(VLOOKUP($C1517,'INSUMO SINAPI - SP'!$C:$F,4,0)))))</f>
        <v>29.87</v>
      </c>
      <c r="I1517" s="513">
        <f>TRUNC(IF($C1517="",IFERROR(VLOOKUP($B1517,SERVIÇOS!$B:$G,4,0),IFERROR(VLOOKUP($B1517,$D:$K,6,0),)),IFERROR(VLOOKUP($C1517,INSUMOS!$A:$D,4,0),IFERROR(VLOOKUP($C1517,COTAÇÕES!$B:$I,7,0),(VLOOKUP($C1517,'INSUMO SINAPI - SP'!$C:$F,4,0)))))*$G1517,2)</f>
        <v>2.04</v>
      </c>
      <c r="J1517" s="513">
        <f>TRUNC(IF($C1517="",IFERROR(VLOOKUP($B1517,SERVIÇOS!$B:$G,5,0),IFERROR(VLOOKUP($B1517,$D:$K,7,0),)),0)*$G1517,2)</f>
        <v>4.5199999999999996</v>
      </c>
      <c r="K1517" s="514">
        <f>I1517+J1517</f>
        <v>6.56</v>
      </c>
      <c r="L1517" s="515"/>
      <c r="M1517" s="471"/>
      <c r="N1517" s="516"/>
      <c r="Q1517" s="472"/>
      <c r="R1517" s="472"/>
      <c r="S1517" s="472"/>
      <c r="T1517" s="472"/>
      <c r="U1517" s="472"/>
      <c r="V1517" s="472"/>
      <c r="W1517" s="472"/>
      <c r="X1517" s="472"/>
      <c r="Y1517" s="472"/>
    </row>
    <row r="1518" spans="1:25" ht="24" x14ac:dyDescent="0.25">
      <c r="A1518" s="463"/>
      <c r="B1518" s="506"/>
      <c r="C1518" s="507" t="s">
        <v>13375</v>
      </c>
      <c r="D1518" s="508"/>
      <c r="E1518" s="518" t="s">
        <v>13379</v>
      </c>
      <c r="F1518" s="519" t="s">
        <v>578</v>
      </c>
      <c r="G1518" s="511">
        <f>0.2*0.15</f>
        <v>0.03</v>
      </c>
      <c r="H1518" s="520">
        <v>2142.64</v>
      </c>
      <c r="I1518" s="520">
        <f>TRUNC(H1518*G1518,2)</f>
        <v>64.27</v>
      </c>
      <c r="J1518" s="521"/>
      <c r="K1518" s="522">
        <f>I1518+J1518</f>
        <v>64.27</v>
      </c>
      <c r="L1518" s="517" t="s">
        <v>12901</v>
      </c>
      <c r="M1518" s="471"/>
      <c r="N1518" s="516"/>
      <c r="Q1518" s="472"/>
      <c r="R1518" s="472"/>
      <c r="S1518" s="472"/>
      <c r="T1518" s="472"/>
      <c r="U1518" s="472"/>
      <c r="V1518" s="472"/>
      <c r="W1518" s="472"/>
      <c r="X1518" s="472"/>
      <c r="Y1518" s="472"/>
    </row>
    <row r="1519" spans="1:25" ht="24" x14ac:dyDescent="0.25">
      <c r="A1519" s="463"/>
      <c r="B1519" s="498"/>
      <c r="C1519" s="498"/>
      <c r="D1519" s="499" t="s">
        <v>12458</v>
      </c>
      <c r="E1519" s="500" t="s">
        <v>13380</v>
      </c>
      <c r="F1519" s="501" t="s">
        <v>580</v>
      </c>
      <c r="G1519" s="502"/>
      <c r="H1519" s="503"/>
      <c r="I1519" s="504">
        <f>ROUND(SUM(I1520:I1522),2)</f>
        <v>57.65</v>
      </c>
      <c r="J1519" s="504">
        <f>ROUND(SUM(J1520:J1522),2)</f>
        <v>11.05</v>
      </c>
      <c r="K1519" s="504">
        <f>+J1519+I1519</f>
        <v>68.7</v>
      </c>
      <c r="L1519" s="523" t="s">
        <v>13374</v>
      </c>
      <c r="M1519" s="471"/>
      <c r="N1519" s="505"/>
      <c r="Q1519" s="472"/>
      <c r="R1519" s="472"/>
      <c r="S1519" s="472"/>
      <c r="T1519" s="472"/>
      <c r="U1519" s="472"/>
      <c r="V1519" s="472"/>
      <c r="W1519" s="472"/>
      <c r="X1519" s="472"/>
      <c r="Y1519" s="472"/>
    </row>
    <row r="1520" spans="1:25" x14ac:dyDescent="0.25">
      <c r="A1520" s="463"/>
      <c r="B1520" s="506">
        <v>88279</v>
      </c>
      <c r="C1520" s="507"/>
      <c r="D1520" s="508"/>
      <c r="E1520" s="509" t="str">
        <f>IF($C1520="",IFERROR(VLOOKUP($B1520,SERVIÇOS!$B:$G,2,0),IFERROR(VLOOKUP($B1520,$D:$K,2,0),"")),IFERROR(VLOOKUP($C1520,INSUMOS!$A:$D,2,0),IFERROR(VLOOKUP($C1520,COTAÇÕES!$B:$I,2,0),(VLOOKUP($C1520,'INSUMO SINAPI - SP'!$C:$F,2,0)))))</f>
        <v>MONTADOR ELETROMECÃNICO COM ENCARGOS COMPLEMENTARES</v>
      </c>
      <c r="F1520" s="510" t="str">
        <f>IF($C1520="",IFERROR(VLOOKUP($B1520,SERVIÇOS!$B:$G,3,0),IFERROR(VLOOKUP($B1520,$D:$K,3,0),"")),IFERROR(VLOOKUP($C1520,INSUMOS!$A:$D,3,0),IFERROR(VLOOKUP($C1520,COTAÇÕES!$B:$I,3,0),(VLOOKUP($C1520,'INSUMO SINAPI - SP'!$C:$F,3,0)))))</f>
        <v>H</v>
      </c>
      <c r="G1520" s="511">
        <v>0.22</v>
      </c>
      <c r="H1520" s="512">
        <f>IF($C1520="",IFERROR(VLOOKUP($B1520,SERVIÇOS!$B:$G,6,0),IFERROR(VLOOKUP($B1520,$D:$K,8,0),"")),IFERROR(VLOOKUP($C1520,INSUMOS!$A:$D,4,0),IFERROR(VLOOKUP($C1520,COTAÇÕES!$B:$I,7,0),(VLOOKUP($C1520,'INSUMO SINAPI - SP'!$C:$F,4,0)))))</f>
        <v>39.01</v>
      </c>
      <c r="I1520" s="513">
        <f>TRUNC(IF($C1520="",IFERROR(VLOOKUP($B1520,SERVIÇOS!$B:$G,4,0),IFERROR(VLOOKUP($B1520,$D:$K,6,0),)),IFERROR(VLOOKUP($C1520,INSUMOS!$A:$D,4,0),IFERROR(VLOOKUP($C1520,COTAÇÕES!$B:$I,7,0),(VLOOKUP($C1520,'INSUMO SINAPI - SP'!$C:$F,4,0)))))*$G1520,2)</f>
        <v>2.0499999999999998</v>
      </c>
      <c r="J1520" s="513">
        <f>TRUNC(IF($C1520="",IFERROR(VLOOKUP($B1520,SERVIÇOS!$B:$G,5,0),IFERROR(VLOOKUP($B1520,$D:$K,7,0),)),0)*$G1520,2)</f>
        <v>6.53</v>
      </c>
      <c r="K1520" s="514">
        <f>I1520+J1520</f>
        <v>8.58</v>
      </c>
      <c r="L1520" s="515"/>
      <c r="M1520" s="471"/>
      <c r="N1520" s="516"/>
      <c r="Q1520" s="472"/>
      <c r="R1520" s="472"/>
      <c r="S1520" s="472"/>
      <c r="T1520" s="472"/>
      <c r="U1520" s="472"/>
      <c r="V1520" s="472"/>
      <c r="W1520" s="472"/>
      <c r="X1520" s="472"/>
      <c r="Y1520" s="472"/>
    </row>
    <row r="1521" spans="1:25" x14ac:dyDescent="0.25">
      <c r="A1521" s="463"/>
      <c r="B1521" s="506">
        <v>88241</v>
      </c>
      <c r="C1521" s="507"/>
      <c r="D1521" s="508"/>
      <c r="E1521" s="509" t="str">
        <f>IF($C1521="",IFERROR(VLOOKUP($B1521,SERVIÇOS!$B:$G,2,0),IFERROR(VLOOKUP($B1521,$D:$K,2,0),"")),IFERROR(VLOOKUP($C1521,INSUMOS!$A:$D,2,0),IFERROR(VLOOKUP($C1521,COTAÇÕES!$B:$I,2,0),(VLOOKUP($C1521,'INSUMO SINAPI - SP'!$C:$F,2,0)))))</f>
        <v>AJUDANTE DE OPERAÇÃO EM GERAL COM ENCARGOS COMPLEMENTARES</v>
      </c>
      <c r="F1521" s="510" t="str">
        <f>IF($C1521="",IFERROR(VLOOKUP($B1521,SERVIÇOS!$B:$G,3,0),IFERROR(VLOOKUP($B1521,$D:$K,3,0),"")),IFERROR(VLOOKUP($C1521,INSUMOS!$A:$D,3,0),IFERROR(VLOOKUP($C1521,COTAÇÕES!$B:$I,3,0),(VLOOKUP($C1521,'INSUMO SINAPI - SP'!$C:$F,3,0)))))</f>
        <v>H</v>
      </c>
      <c r="G1521" s="511">
        <v>0.22</v>
      </c>
      <c r="H1521" s="512">
        <f>IF($C1521="",IFERROR(VLOOKUP($B1521,SERVIÇOS!$B:$G,6,0),IFERROR(VLOOKUP($B1521,$D:$K,8,0),"")),IFERROR(VLOOKUP($C1521,INSUMOS!$A:$D,4,0),IFERROR(VLOOKUP($C1521,COTAÇÕES!$B:$I,7,0),(VLOOKUP($C1521,'INSUMO SINAPI - SP'!$C:$F,4,0)))))</f>
        <v>29.87</v>
      </c>
      <c r="I1521" s="513">
        <f>TRUNC(IF($C1521="",IFERROR(VLOOKUP($B1521,SERVIÇOS!$B:$G,4,0),IFERROR(VLOOKUP($B1521,$D:$K,6,0),)),IFERROR(VLOOKUP($C1521,INSUMOS!$A:$D,4,0),IFERROR(VLOOKUP($C1521,COTAÇÕES!$B:$I,7,0),(VLOOKUP($C1521,'INSUMO SINAPI - SP'!$C:$F,4,0)))))*$G1521,2)</f>
        <v>2.04</v>
      </c>
      <c r="J1521" s="513">
        <f>TRUNC(IF($C1521="",IFERROR(VLOOKUP($B1521,SERVIÇOS!$B:$G,5,0),IFERROR(VLOOKUP($B1521,$D:$K,7,0),)),0)*$G1521,2)</f>
        <v>4.5199999999999996</v>
      </c>
      <c r="K1521" s="514">
        <f>I1521+J1521</f>
        <v>6.56</v>
      </c>
      <c r="L1521" s="515"/>
      <c r="M1521" s="471"/>
      <c r="N1521" s="516"/>
      <c r="Q1521" s="472"/>
      <c r="R1521" s="472"/>
      <c r="S1521" s="472"/>
      <c r="T1521" s="472"/>
      <c r="U1521" s="472"/>
      <c r="V1521" s="472"/>
      <c r="W1521" s="472"/>
      <c r="X1521" s="472"/>
      <c r="Y1521" s="472"/>
    </row>
    <row r="1522" spans="1:25" ht="24" x14ac:dyDescent="0.25">
      <c r="A1522" s="463"/>
      <c r="B1522" s="506"/>
      <c r="C1522" s="507" t="s">
        <v>13375</v>
      </c>
      <c r="D1522" s="508"/>
      <c r="E1522" s="518" t="s">
        <v>13380</v>
      </c>
      <c r="F1522" s="519" t="s">
        <v>578</v>
      </c>
      <c r="G1522" s="511">
        <v>2.5000000000000001E-2</v>
      </c>
      <c r="H1522" s="520">
        <v>2142.64</v>
      </c>
      <c r="I1522" s="520">
        <f>TRUNC(H1522*G1522,2)</f>
        <v>53.56</v>
      </c>
      <c r="J1522" s="521"/>
      <c r="K1522" s="522">
        <f>I1522+J1522</f>
        <v>53.56</v>
      </c>
      <c r="L1522" s="517" t="s">
        <v>12901</v>
      </c>
      <c r="M1522" s="471"/>
      <c r="N1522" s="516"/>
      <c r="Q1522" s="472"/>
      <c r="R1522" s="472"/>
      <c r="S1522" s="472"/>
      <c r="T1522" s="472"/>
      <c r="U1522" s="472"/>
      <c r="V1522" s="472"/>
      <c r="W1522" s="472"/>
      <c r="X1522" s="472"/>
      <c r="Y1522" s="472"/>
    </row>
    <row r="1523" spans="1:25" ht="24" x14ac:dyDescent="0.25">
      <c r="A1523" s="463"/>
      <c r="B1523" s="498"/>
      <c r="C1523" s="498"/>
      <c r="D1523" s="499" t="s">
        <v>12459</v>
      </c>
      <c r="E1523" s="500" t="s">
        <v>13381</v>
      </c>
      <c r="F1523" s="501" t="s">
        <v>580</v>
      </c>
      <c r="G1523" s="502"/>
      <c r="H1523" s="503"/>
      <c r="I1523" s="504">
        <f>ROUND(SUM(I1524:I1526),2)</f>
        <v>111.22</v>
      </c>
      <c r="J1523" s="504">
        <f>ROUND(SUM(J1524:J1526),2)</f>
        <v>11.05</v>
      </c>
      <c r="K1523" s="504">
        <f>+J1523+I1523</f>
        <v>122.27</v>
      </c>
      <c r="L1523" s="523" t="s">
        <v>13374</v>
      </c>
      <c r="M1523" s="471"/>
      <c r="N1523" s="505"/>
      <c r="Q1523" s="472"/>
      <c r="R1523" s="472"/>
      <c r="S1523" s="472"/>
      <c r="T1523" s="472"/>
      <c r="U1523" s="472"/>
      <c r="V1523" s="472"/>
      <c r="W1523" s="472"/>
      <c r="X1523" s="472"/>
      <c r="Y1523" s="472"/>
    </row>
    <row r="1524" spans="1:25" x14ac:dyDescent="0.25">
      <c r="A1524" s="463"/>
      <c r="B1524" s="506">
        <v>88279</v>
      </c>
      <c r="C1524" s="507"/>
      <c r="D1524" s="508"/>
      <c r="E1524" s="509" t="str">
        <f>IF($C1524="",IFERROR(VLOOKUP($B1524,SERVIÇOS!$B:$G,2,0),IFERROR(VLOOKUP($B1524,$D:$K,2,0),"")),IFERROR(VLOOKUP($C1524,INSUMOS!$A:$D,2,0),IFERROR(VLOOKUP($C1524,COTAÇÕES!$B:$I,2,0),(VLOOKUP($C1524,'INSUMO SINAPI - SP'!$C:$F,2,0)))))</f>
        <v>MONTADOR ELETROMECÃNICO COM ENCARGOS COMPLEMENTARES</v>
      </c>
      <c r="F1524" s="510" t="str">
        <f>IF($C1524="",IFERROR(VLOOKUP($B1524,SERVIÇOS!$B:$G,3,0),IFERROR(VLOOKUP($B1524,$D:$K,3,0),"")),IFERROR(VLOOKUP($C1524,INSUMOS!$A:$D,3,0),IFERROR(VLOOKUP($C1524,COTAÇÕES!$B:$I,3,0),(VLOOKUP($C1524,'INSUMO SINAPI - SP'!$C:$F,3,0)))))</f>
        <v>H</v>
      </c>
      <c r="G1524" s="511">
        <v>0.22</v>
      </c>
      <c r="H1524" s="512">
        <f>IF($C1524="",IFERROR(VLOOKUP($B1524,SERVIÇOS!$B:$G,6,0),IFERROR(VLOOKUP($B1524,$D:$K,8,0),"")),IFERROR(VLOOKUP($C1524,INSUMOS!$A:$D,4,0),IFERROR(VLOOKUP($C1524,COTAÇÕES!$B:$I,7,0),(VLOOKUP($C1524,'INSUMO SINAPI - SP'!$C:$F,4,0)))))</f>
        <v>39.01</v>
      </c>
      <c r="I1524" s="513">
        <f>TRUNC(IF($C1524="",IFERROR(VLOOKUP($B1524,SERVIÇOS!$B:$G,4,0),IFERROR(VLOOKUP($B1524,$D:$K,6,0),)),IFERROR(VLOOKUP($C1524,INSUMOS!$A:$D,4,0),IFERROR(VLOOKUP($C1524,COTAÇÕES!$B:$I,7,0),(VLOOKUP($C1524,'INSUMO SINAPI - SP'!$C:$F,4,0)))))*$G1524,2)</f>
        <v>2.0499999999999998</v>
      </c>
      <c r="J1524" s="513">
        <f>TRUNC(IF($C1524="",IFERROR(VLOOKUP($B1524,SERVIÇOS!$B:$G,5,0),IFERROR(VLOOKUP($B1524,$D:$K,7,0),)),0)*$G1524,2)</f>
        <v>6.53</v>
      </c>
      <c r="K1524" s="514">
        <f>I1524+J1524</f>
        <v>8.58</v>
      </c>
      <c r="L1524" s="515"/>
      <c r="M1524" s="471"/>
      <c r="N1524" s="516"/>
      <c r="Q1524" s="472"/>
      <c r="R1524" s="472"/>
      <c r="S1524" s="472"/>
      <c r="T1524" s="472"/>
      <c r="U1524" s="472"/>
      <c r="V1524" s="472"/>
      <c r="W1524" s="472"/>
      <c r="X1524" s="472"/>
      <c r="Y1524" s="472"/>
    </row>
    <row r="1525" spans="1:25" x14ac:dyDescent="0.25">
      <c r="A1525" s="463"/>
      <c r="B1525" s="506">
        <v>88241</v>
      </c>
      <c r="C1525" s="507"/>
      <c r="D1525" s="508"/>
      <c r="E1525" s="509" t="str">
        <f>IF($C1525="",IFERROR(VLOOKUP($B1525,SERVIÇOS!$B:$G,2,0),IFERROR(VLOOKUP($B1525,$D:$K,2,0),"")),IFERROR(VLOOKUP($C1525,INSUMOS!$A:$D,2,0),IFERROR(VLOOKUP($C1525,COTAÇÕES!$B:$I,2,0),(VLOOKUP($C1525,'INSUMO SINAPI - SP'!$C:$F,2,0)))))</f>
        <v>AJUDANTE DE OPERAÇÃO EM GERAL COM ENCARGOS COMPLEMENTARES</v>
      </c>
      <c r="F1525" s="510" t="str">
        <f>IF($C1525="",IFERROR(VLOOKUP($B1525,SERVIÇOS!$B:$G,3,0),IFERROR(VLOOKUP($B1525,$D:$K,3,0),"")),IFERROR(VLOOKUP($C1525,INSUMOS!$A:$D,3,0),IFERROR(VLOOKUP($C1525,COTAÇÕES!$B:$I,3,0),(VLOOKUP($C1525,'INSUMO SINAPI - SP'!$C:$F,3,0)))))</f>
        <v>H</v>
      </c>
      <c r="G1525" s="511">
        <v>0.22</v>
      </c>
      <c r="H1525" s="512">
        <f>IF($C1525="",IFERROR(VLOOKUP($B1525,SERVIÇOS!$B:$G,6,0),IFERROR(VLOOKUP($B1525,$D:$K,8,0),"")),IFERROR(VLOOKUP($C1525,INSUMOS!$A:$D,4,0),IFERROR(VLOOKUP($C1525,COTAÇÕES!$B:$I,7,0),(VLOOKUP($C1525,'INSUMO SINAPI - SP'!$C:$F,4,0)))))</f>
        <v>29.87</v>
      </c>
      <c r="I1525" s="513">
        <f>TRUNC(IF($C1525="",IFERROR(VLOOKUP($B1525,SERVIÇOS!$B:$G,4,0),IFERROR(VLOOKUP($B1525,$D:$K,6,0),)),IFERROR(VLOOKUP($C1525,INSUMOS!$A:$D,4,0),IFERROR(VLOOKUP($C1525,COTAÇÕES!$B:$I,7,0),(VLOOKUP($C1525,'INSUMO SINAPI - SP'!$C:$F,4,0)))))*$G1525,2)</f>
        <v>2.04</v>
      </c>
      <c r="J1525" s="513">
        <f>TRUNC(IF($C1525="",IFERROR(VLOOKUP($B1525,SERVIÇOS!$B:$G,5,0),IFERROR(VLOOKUP($B1525,$D:$K,7,0),)),0)*$G1525,2)</f>
        <v>4.5199999999999996</v>
      </c>
      <c r="K1525" s="514">
        <f>I1525+J1525</f>
        <v>6.56</v>
      </c>
      <c r="L1525" s="515"/>
      <c r="M1525" s="471"/>
      <c r="N1525" s="516"/>
      <c r="Q1525" s="472"/>
      <c r="R1525" s="472"/>
      <c r="S1525" s="472"/>
      <c r="T1525" s="472"/>
      <c r="U1525" s="472"/>
      <c r="V1525" s="472"/>
      <c r="W1525" s="472"/>
      <c r="X1525" s="472"/>
      <c r="Y1525" s="472"/>
    </row>
    <row r="1526" spans="1:25" ht="24" x14ac:dyDescent="0.25">
      <c r="A1526" s="463"/>
      <c r="B1526" s="506"/>
      <c r="C1526" s="507" t="s">
        <v>13375</v>
      </c>
      <c r="D1526" s="508"/>
      <c r="E1526" s="518" t="s">
        <v>13381</v>
      </c>
      <c r="F1526" s="519" t="s">
        <v>578</v>
      </c>
      <c r="G1526" s="511">
        <f>0.25*0.2</f>
        <v>0.05</v>
      </c>
      <c r="H1526" s="520">
        <v>2142.64</v>
      </c>
      <c r="I1526" s="520">
        <f>TRUNC(H1526*G1526,2)</f>
        <v>107.13</v>
      </c>
      <c r="J1526" s="521"/>
      <c r="K1526" s="522">
        <f>I1526+J1526</f>
        <v>107.13</v>
      </c>
      <c r="L1526" s="517" t="s">
        <v>12901</v>
      </c>
      <c r="M1526" s="471"/>
      <c r="N1526" s="516"/>
      <c r="Q1526" s="472"/>
      <c r="R1526" s="472"/>
      <c r="S1526" s="472"/>
      <c r="T1526" s="472"/>
      <c r="U1526" s="472"/>
      <c r="V1526" s="472"/>
      <c r="W1526" s="472"/>
      <c r="X1526" s="472"/>
      <c r="Y1526" s="472"/>
    </row>
    <row r="1527" spans="1:25" ht="24" x14ac:dyDescent="0.25">
      <c r="A1527" s="463"/>
      <c r="B1527" s="498"/>
      <c r="C1527" s="498"/>
      <c r="D1527" s="499" t="s">
        <v>12461</v>
      </c>
      <c r="E1527" s="500" t="s">
        <v>13382</v>
      </c>
      <c r="F1527" s="501" t="s">
        <v>580</v>
      </c>
      <c r="G1527" s="502"/>
      <c r="H1527" s="503"/>
      <c r="I1527" s="504">
        <f>ROUND(SUM(I1528:I1530),2)</f>
        <v>68.36</v>
      </c>
      <c r="J1527" s="504">
        <f>ROUND(SUM(J1528:J1530),2)</f>
        <v>11.05</v>
      </c>
      <c r="K1527" s="504">
        <f>+J1527+I1527</f>
        <v>79.41</v>
      </c>
      <c r="L1527" s="523" t="s">
        <v>13374</v>
      </c>
      <c r="M1527" s="471"/>
      <c r="N1527" s="505"/>
      <c r="Q1527" s="472"/>
      <c r="R1527" s="472"/>
      <c r="S1527" s="472"/>
      <c r="T1527" s="472"/>
      <c r="U1527" s="472"/>
      <c r="V1527" s="472"/>
      <c r="W1527" s="472"/>
      <c r="X1527" s="472"/>
      <c r="Y1527" s="472"/>
    </row>
    <row r="1528" spans="1:25" x14ac:dyDescent="0.25">
      <c r="A1528" s="463"/>
      <c r="B1528" s="506">
        <v>88279</v>
      </c>
      <c r="C1528" s="507"/>
      <c r="D1528" s="508"/>
      <c r="E1528" s="509" t="str">
        <f>IF($C1528="",IFERROR(VLOOKUP($B1528,SERVIÇOS!$B:$G,2,0),IFERROR(VLOOKUP($B1528,$D:$K,2,0),"")),IFERROR(VLOOKUP($C1528,INSUMOS!$A:$D,2,0),IFERROR(VLOOKUP($C1528,COTAÇÕES!$B:$I,2,0),(VLOOKUP($C1528,'INSUMO SINAPI - SP'!$C:$F,2,0)))))</f>
        <v>MONTADOR ELETROMECÃNICO COM ENCARGOS COMPLEMENTARES</v>
      </c>
      <c r="F1528" s="510" t="str">
        <f>IF($C1528="",IFERROR(VLOOKUP($B1528,SERVIÇOS!$B:$G,3,0),IFERROR(VLOOKUP($B1528,$D:$K,3,0),"")),IFERROR(VLOOKUP($C1528,INSUMOS!$A:$D,3,0),IFERROR(VLOOKUP($C1528,COTAÇÕES!$B:$I,3,0),(VLOOKUP($C1528,'INSUMO SINAPI - SP'!$C:$F,3,0)))))</f>
        <v>H</v>
      </c>
      <c r="G1528" s="511">
        <v>0.22</v>
      </c>
      <c r="H1528" s="512">
        <f>IF($C1528="",IFERROR(VLOOKUP($B1528,SERVIÇOS!$B:$G,6,0),IFERROR(VLOOKUP($B1528,$D:$K,8,0),"")),IFERROR(VLOOKUP($C1528,INSUMOS!$A:$D,4,0),IFERROR(VLOOKUP($C1528,COTAÇÕES!$B:$I,7,0),(VLOOKUP($C1528,'INSUMO SINAPI - SP'!$C:$F,4,0)))))</f>
        <v>39.01</v>
      </c>
      <c r="I1528" s="513">
        <f>TRUNC(IF($C1528="",IFERROR(VLOOKUP($B1528,SERVIÇOS!$B:$G,4,0),IFERROR(VLOOKUP($B1528,$D:$K,6,0),)),IFERROR(VLOOKUP($C1528,INSUMOS!$A:$D,4,0),IFERROR(VLOOKUP($C1528,COTAÇÕES!$B:$I,7,0),(VLOOKUP($C1528,'INSUMO SINAPI - SP'!$C:$F,4,0)))))*$G1528,2)</f>
        <v>2.0499999999999998</v>
      </c>
      <c r="J1528" s="513">
        <f>TRUNC(IF($C1528="",IFERROR(VLOOKUP($B1528,SERVIÇOS!$B:$G,5,0),IFERROR(VLOOKUP($B1528,$D:$K,7,0),)),0)*$G1528,2)</f>
        <v>6.53</v>
      </c>
      <c r="K1528" s="514">
        <f>I1528+J1528</f>
        <v>8.58</v>
      </c>
      <c r="L1528" s="515"/>
      <c r="M1528" s="471"/>
      <c r="N1528" s="516"/>
      <c r="Q1528" s="472"/>
      <c r="R1528" s="472"/>
      <c r="S1528" s="472"/>
      <c r="T1528" s="472"/>
      <c r="U1528" s="472"/>
      <c r="V1528" s="472"/>
      <c r="W1528" s="472"/>
      <c r="X1528" s="472"/>
      <c r="Y1528" s="472"/>
    </row>
    <row r="1529" spans="1:25" x14ac:dyDescent="0.25">
      <c r="A1529" s="463"/>
      <c r="B1529" s="506">
        <v>88241</v>
      </c>
      <c r="C1529" s="507"/>
      <c r="D1529" s="508"/>
      <c r="E1529" s="509" t="str">
        <f>IF($C1529="",IFERROR(VLOOKUP($B1529,SERVIÇOS!$B:$G,2,0),IFERROR(VLOOKUP($B1529,$D:$K,2,0),"")),IFERROR(VLOOKUP($C1529,INSUMOS!$A:$D,2,0),IFERROR(VLOOKUP($C1529,COTAÇÕES!$B:$I,2,0),(VLOOKUP($C1529,'INSUMO SINAPI - SP'!$C:$F,2,0)))))</f>
        <v>AJUDANTE DE OPERAÇÃO EM GERAL COM ENCARGOS COMPLEMENTARES</v>
      </c>
      <c r="F1529" s="510" t="str">
        <f>IF($C1529="",IFERROR(VLOOKUP($B1529,SERVIÇOS!$B:$G,3,0),IFERROR(VLOOKUP($B1529,$D:$K,3,0),"")),IFERROR(VLOOKUP($C1529,INSUMOS!$A:$D,3,0),IFERROR(VLOOKUP($C1529,COTAÇÕES!$B:$I,3,0),(VLOOKUP($C1529,'INSUMO SINAPI - SP'!$C:$F,3,0)))))</f>
        <v>H</v>
      </c>
      <c r="G1529" s="511">
        <v>0.22</v>
      </c>
      <c r="H1529" s="512">
        <f>IF($C1529="",IFERROR(VLOOKUP($B1529,SERVIÇOS!$B:$G,6,0),IFERROR(VLOOKUP($B1529,$D:$K,8,0),"")),IFERROR(VLOOKUP($C1529,INSUMOS!$A:$D,4,0),IFERROR(VLOOKUP($C1529,COTAÇÕES!$B:$I,7,0),(VLOOKUP($C1529,'INSUMO SINAPI - SP'!$C:$F,4,0)))))</f>
        <v>29.87</v>
      </c>
      <c r="I1529" s="513">
        <f>TRUNC(IF($C1529="",IFERROR(VLOOKUP($B1529,SERVIÇOS!$B:$G,4,0),IFERROR(VLOOKUP($B1529,$D:$K,6,0),)),IFERROR(VLOOKUP($C1529,INSUMOS!$A:$D,4,0),IFERROR(VLOOKUP($C1529,COTAÇÕES!$B:$I,7,0),(VLOOKUP($C1529,'INSUMO SINAPI - SP'!$C:$F,4,0)))))*$G1529,2)</f>
        <v>2.04</v>
      </c>
      <c r="J1529" s="513">
        <f>TRUNC(IF($C1529="",IFERROR(VLOOKUP($B1529,SERVIÇOS!$B:$G,5,0),IFERROR(VLOOKUP($B1529,$D:$K,7,0),)),0)*$G1529,2)</f>
        <v>4.5199999999999996</v>
      </c>
      <c r="K1529" s="514">
        <f>I1529+J1529</f>
        <v>6.56</v>
      </c>
      <c r="L1529" s="515"/>
      <c r="M1529" s="471"/>
      <c r="N1529" s="516"/>
      <c r="Q1529" s="472"/>
      <c r="R1529" s="472"/>
      <c r="S1529" s="472"/>
      <c r="T1529" s="472"/>
      <c r="U1529" s="472"/>
      <c r="V1529" s="472"/>
      <c r="W1529" s="472"/>
      <c r="X1529" s="472"/>
      <c r="Y1529" s="472"/>
    </row>
    <row r="1530" spans="1:25" ht="24" x14ac:dyDescent="0.25">
      <c r="A1530" s="463"/>
      <c r="B1530" s="506"/>
      <c r="C1530" s="507" t="s">
        <v>13375</v>
      </c>
      <c r="D1530" s="508"/>
      <c r="E1530" s="518" t="s">
        <v>13382</v>
      </c>
      <c r="F1530" s="519" t="s">
        <v>578</v>
      </c>
      <c r="G1530" s="511">
        <v>0.03</v>
      </c>
      <c r="H1530" s="520">
        <v>2142.64</v>
      </c>
      <c r="I1530" s="520">
        <f>TRUNC(H1530*G1530,2)</f>
        <v>64.27</v>
      </c>
      <c r="J1530" s="521"/>
      <c r="K1530" s="522">
        <f>I1530+J1530</f>
        <v>64.27</v>
      </c>
      <c r="L1530" s="517" t="s">
        <v>12901</v>
      </c>
      <c r="M1530" s="471"/>
      <c r="N1530" s="516"/>
      <c r="Q1530" s="472"/>
      <c r="R1530" s="472"/>
      <c r="S1530" s="472"/>
      <c r="T1530" s="472"/>
      <c r="U1530" s="472"/>
      <c r="V1530" s="472"/>
      <c r="W1530" s="472"/>
      <c r="X1530" s="472"/>
      <c r="Y1530" s="472"/>
    </row>
    <row r="1531" spans="1:25" ht="24" x14ac:dyDescent="0.25">
      <c r="A1531" s="463"/>
      <c r="B1531" s="498"/>
      <c r="C1531" s="498"/>
      <c r="D1531" s="499" t="s">
        <v>12462</v>
      </c>
      <c r="E1531" s="500" t="s">
        <v>13383</v>
      </c>
      <c r="F1531" s="501" t="s">
        <v>580</v>
      </c>
      <c r="G1531" s="502"/>
      <c r="H1531" s="503"/>
      <c r="I1531" s="504">
        <f>ROUND(SUM(I1532:I1534),2)</f>
        <v>100.5</v>
      </c>
      <c r="J1531" s="504">
        <f>ROUND(SUM(J1532:J1534),2)</f>
        <v>11.05</v>
      </c>
      <c r="K1531" s="504">
        <f>+J1531+I1531</f>
        <v>111.55</v>
      </c>
      <c r="L1531" s="523" t="s">
        <v>13374</v>
      </c>
      <c r="M1531" s="471"/>
      <c r="N1531" s="505"/>
      <c r="Q1531" s="472"/>
      <c r="R1531" s="472"/>
      <c r="S1531" s="472"/>
      <c r="T1531" s="472"/>
      <c r="U1531" s="472"/>
      <c r="V1531" s="472"/>
      <c r="W1531" s="472"/>
      <c r="X1531" s="472"/>
      <c r="Y1531" s="472"/>
    </row>
    <row r="1532" spans="1:25" x14ac:dyDescent="0.25">
      <c r="A1532" s="463"/>
      <c r="B1532" s="506">
        <v>88279</v>
      </c>
      <c r="C1532" s="507"/>
      <c r="D1532" s="508"/>
      <c r="E1532" s="509" t="str">
        <f>IF($C1532="",IFERROR(VLOOKUP($B1532,SERVIÇOS!$B:$G,2,0),IFERROR(VLOOKUP($B1532,$D:$K,2,0),"")),IFERROR(VLOOKUP($C1532,INSUMOS!$A:$D,2,0),IFERROR(VLOOKUP($C1532,COTAÇÕES!$B:$I,2,0),(VLOOKUP($C1532,'INSUMO SINAPI - SP'!$C:$F,2,0)))))</f>
        <v>MONTADOR ELETROMECÃNICO COM ENCARGOS COMPLEMENTARES</v>
      </c>
      <c r="F1532" s="510" t="str">
        <f>IF($C1532="",IFERROR(VLOOKUP($B1532,SERVIÇOS!$B:$G,3,0),IFERROR(VLOOKUP($B1532,$D:$K,3,0),"")),IFERROR(VLOOKUP($C1532,INSUMOS!$A:$D,3,0),IFERROR(VLOOKUP($C1532,COTAÇÕES!$B:$I,3,0),(VLOOKUP($C1532,'INSUMO SINAPI - SP'!$C:$F,3,0)))))</f>
        <v>H</v>
      </c>
      <c r="G1532" s="511">
        <v>0.22</v>
      </c>
      <c r="H1532" s="512">
        <f>IF($C1532="",IFERROR(VLOOKUP($B1532,SERVIÇOS!$B:$G,6,0),IFERROR(VLOOKUP($B1532,$D:$K,8,0),"")),IFERROR(VLOOKUP($C1532,INSUMOS!$A:$D,4,0),IFERROR(VLOOKUP($C1532,COTAÇÕES!$B:$I,7,0),(VLOOKUP($C1532,'INSUMO SINAPI - SP'!$C:$F,4,0)))))</f>
        <v>39.01</v>
      </c>
      <c r="I1532" s="513">
        <f>TRUNC(IF($C1532="",IFERROR(VLOOKUP($B1532,SERVIÇOS!$B:$G,4,0),IFERROR(VLOOKUP($B1532,$D:$K,6,0),)),IFERROR(VLOOKUP($C1532,INSUMOS!$A:$D,4,0),IFERROR(VLOOKUP($C1532,COTAÇÕES!$B:$I,7,0),(VLOOKUP($C1532,'INSUMO SINAPI - SP'!$C:$F,4,0)))))*$G1532,2)</f>
        <v>2.0499999999999998</v>
      </c>
      <c r="J1532" s="513">
        <f>TRUNC(IF($C1532="",IFERROR(VLOOKUP($B1532,SERVIÇOS!$B:$G,5,0),IFERROR(VLOOKUP($B1532,$D:$K,7,0),)),0)*$G1532,2)</f>
        <v>6.53</v>
      </c>
      <c r="K1532" s="514">
        <f>I1532+J1532</f>
        <v>8.58</v>
      </c>
      <c r="L1532" s="515"/>
      <c r="M1532" s="471"/>
      <c r="N1532" s="516"/>
      <c r="Q1532" s="472"/>
      <c r="R1532" s="472"/>
      <c r="S1532" s="472"/>
      <c r="T1532" s="472"/>
      <c r="U1532" s="472"/>
      <c r="V1532" s="472"/>
      <c r="W1532" s="472"/>
      <c r="X1532" s="472"/>
      <c r="Y1532" s="472"/>
    </row>
    <row r="1533" spans="1:25" x14ac:dyDescent="0.25">
      <c r="A1533" s="463"/>
      <c r="B1533" s="506">
        <v>88241</v>
      </c>
      <c r="C1533" s="507"/>
      <c r="D1533" s="508"/>
      <c r="E1533" s="509" t="str">
        <f>IF($C1533="",IFERROR(VLOOKUP($B1533,SERVIÇOS!$B:$G,2,0),IFERROR(VLOOKUP($B1533,$D:$K,2,0),"")),IFERROR(VLOOKUP($C1533,INSUMOS!$A:$D,2,0),IFERROR(VLOOKUP($C1533,COTAÇÕES!$B:$I,2,0),(VLOOKUP($C1533,'INSUMO SINAPI - SP'!$C:$F,2,0)))))</f>
        <v>AJUDANTE DE OPERAÇÃO EM GERAL COM ENCARGOS COMPLEMENTARES</v>
      </c>
      <c r="F1533" s="510" t="str">
        <f>IF($C1533="",IFERROR(VLOOKUP($B1533,SERVIÇOS!$B:$G,3,0),IFERROR(VLOOKUP($B1533,$D:$K,3,0),"")),IFERROR(VLOOKUP($C1533,INSUMOS!$A:$D,3,0),IFERROR(VLOOKUP($C1533,COTAÇÕES!$B:$I,3,0),(VLOOKUP($C1533,'INSUMO SINAPI - SP'!$C:$F,3,0)))))</f>
        <v>H</v>
      </c>
      <c r="G1533" s="511">
        <v>0.22</v>
      </c>
      <c r="H1533" s="512">
        <f>IF($C1533="",IFERROR(VLOOKUP($B1533,SERVIÇOS!$B:$G,6,0),IFERROR(VLOOKUP($B1533,$D:$K,8,0),"")),IFERROR(VLOOKUP($C1533,INSUMOS!$A:$D,4,0),IFERROR(VLOOKUP($C1533,COTAÇÕES!$B:$I,7,0),(VLOOKUP($C1533,'INSUMO SINAPI - SP'!$C:$F,4,0)))))</f>
        <v>29.87</v>
      </c>
      <c r="I1533" s="513">
        <f>TRUNC(IF($C1533="",IFERROR(VLOOKUP($B1533,SERVIÇOS!$B:$G,4,0),IFERROR(VLOOKUP($B1533,$D:$K,6,0),)),IFERROR(VLOOKUP($C1533,INSUMOS!$A:$D,4,0),IFERROR(VLOOKUP($C1533,COTAÇÕES!$B:$I,7,0),(VLOOKUP($C1533,'INSUMO SINAPI - SP'!$C:$F,4,0)))))*$G1533,2)</f>
        <v>2.04</v>
      </c>
      <c r="J1533" s="513">
        <f>TRUNC(IF($C1533="",IFERROR(VLOOKUP($B1533,SERVIÇOS!$B:$G,5,0),IFERROR(VLOOKUP($B1533,$D:$K,7,0),)),0)*$G1533,2)</f>
        <v>4.5199999999999996</v>
      </c>
      <c r="K1533" s="514">
        <f>I1533+J1533</f>
        <v>6.56</v>
      </c>
      <c r="L1533" s="515"/>
      <c r="M1533" s="471"/>
      <c r="N1533" s="516"/>
      <c r="Q1533" s="472"/>
      <c r="R1533" s="472"/>
      <c r="S1533" s="472"/>
      <c r="T1533" s="472"/>
      <c r="U1533" s="472"/>
      <c r="V1533" s="472"/>
      <c r="W1533" s="472"/>
      <c r="X1533" s="472"/>
      <c r="Y1533" s="472"/>
    </row>
    <row r="1534" spans="1:25" ht="24" x14ac:dyDescent="0.25">
      <c r="A1534" s="463"/>
      <c r="B1534" s="506"/>
      <c r="C1534" s="507" t="s">
        <v>13375</v>
      </c>
      <c r="D1534" s="508"/>
      <c r="E1534" s="518" t="s">
        <v>13383</v>
      </c>
      <c r="F1534" s="519" t="s">
        <v>578</v>
      </c>
      <c r="G1534" s="511">
        <v>4.4999999999999998E-2</v>
      </c>
      <c r="H1534" s="520">
        <v>2142.64</v>
      </c>
      <c r="I1534" s="520">
        <f>TRUNC(H1534*G1534,2)</f>
        <v>96.41</v>
      </c>
      <c r="J1534" s="521"/>
      <c r="K1534" s="522">
        <f>I1534+J1534</f>
        <v>96.41</v>
      </c>
      <c r="L1534" s="517" t="s">
        <v>12901</v>
      </c>
      <c r="M1534" s="471"/>
      <c r="N1534" s="516"/>
      <c r="Q1534" s="472"/>
      <c r="R1534" s="472"/>
      <c r="S1534" s="472"/>
      <c r="T1534" s="472"/>
      <c r="U1534" s="472"/>
      <c r="V1534" s="472"/>
      <c r="W1534" s="472"/>
      <c r="X1534" s="472"/>
      <c r="Y1534" s="472"/>
    </row>
    <row r="1535" spans="1:25" ht="24" x14ac:dyDescent="0.25">
      <c r="A1535" s="463"/>
      <c r="B1535" s="498"/>
      <c r="C1535" s="498"/>
      <c r="D1535" s="499" t="s">
        <v>12465</v>
      </c>
      <c r="E1535" s="500" t="s">
        <v>13384</v>
      </c>
      <c r="F1535" s="501" t="s">
        <v>580</v>
      </c>
      <c r="G1535" s="502"/>
      <c r="H1535" s="503"/>
      <c r="I1535" s="504">
        <f>ROUND(SUM(I1536:I1538),2)</f>
        <v>116.57</v>
      </c>
      <c r="J1535" s="504">
        <f>ROUND(SUM(J1536:J1538),2)</f>
        <v>11.05</v>
      </c>
      <c r="K1535" s="504">
        <f>+J1535+I1535</f>
        <v>127.61999999999999</v>
      </c>
      <c r="L1535" s="523" t="s">
        <v>13374</v>
      </c>
      <c r="M1535" s="471"/>
      <c r="N1535" s="505"/>
      <c r="Q1535" s="472"/>
      <c r="R1535" s="472"/>
      <c r="S1535" s="472"/>
      <c r="T1535" s="472"/>
      <c r="U1535" s="472"/>
      <c r="V1535" s="472"/>
      <c r="W1535" s="472"/>
      <c r="X1535" s="472"/>
      <c r="Y1535" s="472"/>
    </row>
    <row r="1536" spans="1:25" x14ac:dyDescent="0.25">
      <c r="A1536" s="463"/>
      <c r="B1536" s="506">
        <v>88279</v>
      </c>
      <c r="C1536" s="507"/>
      <c r="D1536" s="508"/>
      <c r="E1536" s="509" t="str">
        <f>IF($C1536="",IFERROR(VLOOKUP($B1536,SERVIÇOS!$B:$G,2,0),IFERROR(VLOOKUP($B1536,$D:$K,2,0),"")),IFERROR(VLOOKUP($C1536,INSUMOS!$A:$D,2,0),IFERROR(VLOOKUP($C1536,COTAÇÕES!$B:$I,2,0),(VLOOKUP($C1536,'INSUMO SINAPI - SP'!$C:$F,2,0)))))</f>
        <v>MONTADOR ELETROMECÃNICO COM ENCARGOS COMPLEMENTARES</v>
      </c>
      <c r="F1536" s="510" t="str">
        <f>IF($C1536="",IFERROR(VLOOKUP($B1536,SERVIÇOS!$B:$G,3,0),IFERROR(VLOOKUP($B1536,$D:$K,3,0),"")),IFERROR(VLOOKUP($C1536,INSUMOS!$A:$D,3,0),IFERROR(VLOOKUP($C1536,COTAÇÕES!$B:$I,3,0),(VLOOKUP($C1536,'INSUMO SINAPI - SP'!$C:$F,3,0)))))</f>
        <v>H</v>
      </c>
      <c r="G1536" s="511">
        <v>0.22</v>
      </c>
      <c r="H1536" s="512">
        <f>IF($C1536="",IFERROR(VLOOKUP($B1536,SERVIÇOS!$B:$G,6,0),IFERROR(VLOOKUP($B1536,$D:$K,8,0),"")),IFERROR(VLOOKUP($C1536,INSUMOS!$A:$D,4,0),IFERROR(VLOOKUP($C1536,COTAÇÕES!$B:$I,7,0),(VLOOKUP($C1536,'INSUMO SINAPI - SP'!$C:$F,4,0)))))</f>
        <v>39.01</v>
      </c>
      <c r="I1536" s="513">
        <f>TRUNC(IF($C1536="",IFERROR(VLOOKUP($B1536,SERVIÇOS!$B:$G,4,0),IFERROR(VLOOKUP($B1536,$D:$K,6,0),)),IFERROR(VLOOKUP($C1536,INSUMOS!$A:$D,4,0),IFERROR(VLOOKUP($C1536,COTAÇÕES!$B:$I,7,0),(VLOOKUP($C1536,'INSUMO SINAPI - SP'!$C:$F,4,0)))))*$G1536,2)</f>
        <v>2.0499999999999998</v>
      </c>
      <c r="J1536" s="513">
        <f>TRUNC(IF($C1536="",IFERROR(VLOOKUP($B1536,SERVIÇOS!$B:$G,5,0),IFERROR(VLOOKUP($B1536,$D:$K,7,0),)),0)*$G1536,2)</f>
        <v>6.53</v>
      </c>
      <c r="K1536" s="514">
        <f>I1536+J1536</f>
        <v>8.58</v>
      </c>
      <c r="L1536" s="515"/>
      <c r="M1536" s="471"/>
      <c r="N1536" s="516"/>
      <c r="Q1536" s="472"/>
      <c r="R1536" s="472"/>
      <c r="S1536" s="472"/>
      <c r="T1536" s="472"/>
      <c r="U1536" s="472"/>
      <c r="V1536" s="472"/>
      <c r="W1536" s="472"/>
      <c r="X1536" s="472"/>
      <c r="Y1536" s="472"/>
    </row>
    <row r="1537" spans="1:25" x14ac:dyDescent="0.25">
      <c r="A1537" s="463"/>
      <c r="B1537" s="506">
        <v>88241</v>
      </c>
      <c r="C1537" s="507"/>
      <c r="D1537" s="508"/>
      <c r="E1537" s="509" t="str">
        <f>IF($C1537="",IFERROR(VLOOKUP($B1537,SERVIÇOS!$B:$G,2,0),IFERROR(VLOOKUP($B1537,$D:$K,2,0),"")),IFERROR(VLOOKUP($C1537,INSUMOS!$A:$D,2,0),IFERROR(VLOOKUP($C1537,COTAÇÕES!$B:$I,2,0),(VLOOKUP($C1537,'INSUMO SINAPI - SP'!$C:$F,2,0)))))</f>
        <v>AJUDANTE DE OPERAÇÃO EM GERAL COM ENCARGOS COMPLEMENTARES</v>
      </c>
      <c r="F1537" s="510" t="str">
        <f>IF($C1537="",IFERROR(VLOOKUP($B1537,SERVIÇOS!$B:$G,3,0),IFERROR(VLOOKUP($B1537,$D:$K,3,0),"")),IFERROR(VLOOKUP($C1537,INSUMOS!$A:$D,3,0),IFERROR(VLOOKUP($C1537,COTAÇÕES!$B:$I,3,0),(VLOOKUP($C1537,'INSUMO SINAPI - SP'!$C:$F,3,0)))))</f>
        <v>H</v>
      </c>
      <c r="G1537" s="511">
        <v>0.22</v>
      </c>
      <c r="H1537" s="512">
        <f>IF($C1537="",IFERROR(VLOOKUP($B1537,SERVIÇOS!$B:$G,6,0),IFERROR(VLOOKUP($B1537,$D:$K,8,0),"")),IFERROR(VLOOKUP($C1537,INSUMOS!$A:$D,4,0),IFERROR(VLOOKUP($C1537,COTAÇÕES!$B:$I,7,0),(VLOOKUP($C1537,'INSUMO SINAPI - SP'!$C:$F,4,0)))))</f>
        <v>29.87</v>
      </c>
      <c r="I1537" s="513">
        <f>TRUNC(IF($C1537="",IFERROR(VLOOKUP($B1537,SERVIÇOS!$B:$G,4,0),IFERROR(VLOOKUP($B1537,$D:$K,6,0),)),IFERROR(VLOOKUP($C1537,INSUMOS!$A:$D,4,0),IFERROR(VLOOKUP($C1537,COTAÇÕES!$B:$I,7,0),(VLOOKUP($C1537,'INSUMO SINAPI - SP'!$C:$F,4,0)))))*$G1537,2)</f>
        <v>2.04</v>
      </c>
      <c r="J1537" s="513">
        <f>TRUNC(IF($C1537="",IFERROR(VLOOKUP($B1537,SERVIÇOS!$B:$G,5,0),IFERROR(VLOOKUP($B1537,$D:$K,7,0),)),0)*$G1537,2)</f>
        <v>4.5199999999999996</v>
      </c>
      <c r="K1537" s="514">
        <f>I1537+J1537</f>
        <v>6.56</v>
      </c>
      <c r="L1537" s="515"/>
      <c r="M1537" s="471"/>
      <c r="N1537" s="516"/>
      <c r="Q1537" s="472"/>
      <c r="R1537" s="472"/>
      <c r="S1537" s="472"/>
      <c r="T1537" s="472"/>
      <c r="U1537" s="472"/>
      <c r="V1537" s="472"/>
      <c r="W1537" s="472"/>
      <c r="X1537" s="472"/>
      <c r="Y1537" s="472"/>
    </row>
    <row r="1538" spans="1:25" ht="24" x14ac:dyDescent="0.25">
      <c r="A1538" s="463"/>
      <c r="B1538" s="506"/>
      <c r="C1538" s="507" t="s">
        <v>13375</v>
      </c>
      <c r="D1538" s="508"/>
      <c r="E1538" s="518" t="s">
        <v>13384</v>
      </c>
      <c r="F1538" s="519" t="s">
        <v>578</v>
      </c>
      <c r="G1538" s="511">
        <f>0.35*0.15</f>
        <v>5.2499999999999998E-2</v>
      </c>
      <c r="H1538" s="520">
        <v>2142.64</v>
      </c>
      <c r="I1538" s="520">
        <f>TRUNC(H1538*G1538,2)</f>
        <v>112.48</v>
      </c>
      <c r="J1538" s="521"/>
      <c r="K1538" s="522">
        <f>I1538+J1538</f>
        <v>112.48</v>
      </c>
      <c r="L1538" s="517" t="s">
        <v>12901</v>
      </c>
      <c r="M1538" s="471"/>
      <c r="N1538" s="516"/>
      <c r="Q1538" s="472"/>
      <c r="R1538" s="472"/>
      <c r="S1538" s="472"/>
      <c r="T1538" s="472"/>
      <c r="U1538" s="472"/>
      <c r="V1538" s="472"/>
      <c r="W1538" s="472"/>
      <c r="X1538" s="472"/>
      <c r="Y1538" s="472"/>
    </row>
    <row r="1539" spans="1:25" ht="24" x14ac:dyDescent="0.25">
      <c r="A1539" s="463"/>
      <c r="B1539" s="498"/>
      <c r="C1539" s="498"/>
      <c r="D1539" s="499" t="s">
        <v>12463</v>
      </c>
      <c r="E1539" s="500" t="s">
        <v>13385</v>
      </c>
      <c r="F1539" s="501" t="s">
        <v>580</v>
      </c>
      <c r="G1539" s="502"/>
      <c r="H1539" s="503"/>
      <c r="I1539" s="504">
        <f>ROUND(SUM(I1540:I1542),2)</f>
        <v>164.78</v>
      </c>
      <c r="J1539" s="504">
        <f>ROUND(SUM(J1540:J1542),2)</f>
        <v>11.05</v>
      </c>
      <c r="K1539" s="504">
        <f>+J1539+I1539</f>
        <v>175.83</v>
      </c>
      <c r="L1539" s="523" t="s">
        <v>13374</v>
      </c>
      <c r="M1539" s="471"/>
      <c r="N1539" s="505"/>
      <c r="Q1539" s="472"/>
      <c r="R1539" s="472"/>
      <c r="S1539" s="472"/>
      <c r="T1539" s="472"/>
      <c r="U1539" s="472"/>
      <c r="V1539" s="472"/>
      <c r="W1539" s="472"/>
      <c r="X1539" s="472"/>
      <c r="Y1539" s="472"/>
    </row>
    <row r="1540" spans="1:25" x14ac:dyDescent="0.25">
      <c r="A1540" s="463"/>
      <c r="B1540" s="506">
        <v>88279</v>
      </c>
      <c r="C1540" s="507"/>
      <c r="D1540" s="508"/>
      <c r="E1540" s="509" t="str">
        <f>IF($C1540="",IFERROR(VLOOKUP($B1540,SERVIÇOS!$B:$G,2,0),IFERROR(VLOOKUP($B1540,$D:$K,2,0),"")),IFERROR(VLOOKUP($C1540,INSUMOS!$A:$D,2,0),IFERROR(VLOOKUP($C1540,COTAÇÕES!$B:$I,2,0),(VLOOKUP($C1540,'INSUMO SINAPI - SP'!$C:$F,2,0)))))</f>
        <v>MONTADOR ELETROMECÃNICO COM ENCARGOS COMPLEMENTARES</v>
      </c>
      <c r="F1540" s="510" t="str">
        <f>IF($C1540="",IFERROR(VLOOKUP($B1540,SERVIÇOS!$B:$G,3,0),IFERROR(VLOOKUP($B1540,$D:$K,3,0),"")),IFERROR(VLOOKUP($C1540,INSUMOS!$A:$D,3,0),IFERROR(VLOOKUP($C1540,COTAÇÕES!$B:$I,3,0),(VLOOKUP($C1540,'INSUMO SINAPI - SP'!$C:$F,3,0)))))</f>
        <v>H</v>
      </c>
      <c r="G1540" s="511">
        <v>0.22</v>
      </c>
      <c r="H1540" s="512">
        <f>IF($C1540="",IFERROR(VLOOKUP($B1540,SERVIÇOS!$B:$G,6,0),IFERROR(VLOOKUP($B1540,$D:$K,8,0),"")),IFERROR(VLOOKUP($C1540,INSUMOS!$A:$D,4,0),IFERROR(VLOOKUP($C1540,COTAÇÕES!$B:$I,7,0),(VLOOKUP($C1540,'INSUMO SINAPI - SP'!$C:$F,4,0)))))</f>
        <v>39.01</v>
      </c>
      <c r="I1540" s="513">
        <f>TRUNC(IF($C1540="",IFERROR(VLOOKUP($B1540,SERVIÇOS!$B:$G,4,0),IFERROR(VLOOKUP($B1540,$D:$K,6,0),)),IFERROR(VLOOKUP($C1540,INSUMOS!$A:$D,4,0),IFERROR(VLOOKUP($C1540,COTAÇÕES!$B:$I,7,0),(VLOOKUP($C1540,'INSUMO SINAPI - SP'!$C:$F,4,0)))))*$G1540,2)</f>
        <v>2.0499999999999998</v>
      </c>
      <c r="J1540" s="513">
        <f>TRUNC(IF($C1540="",IFERROR(VLOOKUP($B1540,SERVIÇOS!$B:$G,5,0),IFERROR(VLOOKUP($B1540,$D:$K,7,0),)),0)*$G1540,2)</f>
        <v>6.53</v>
      </c>
      <c r="K1540" s="514">
        <f>I1540+J1540</f>
        <v>8.58</v>
      </c>
      <c r="L1540" s="515"/>
      <c r="M1540" s="471"/>
      <c r="N1540" s="516"/>
      <c r="Q1540" s="472"/>
      <c r="R1540" s="472"/>
      <c r="S1540" s="472"/>
      <c r="T1540" s="472"/>
      <c r="U1540" s="472"/>
      <c r="V1540" s="472"/>
      <c r="W1540" s="472"/>
      <c r="X1540" s="472"/>
      <c r="Y1540" s="472"/>
    </row>
    <row r="1541" spans="1:25" x14ac:dyDescent="0.25">
      <c r="A1541" s="463"/>
      <c r="B1541" s="506">
        <v>88241</v>
      </c>
      <c r="C1541" s="507"/>
      <c r="D1541" s="508"/>
      <c r="E1541" s="509" t="str">
        <f>IF($C1541="",IFERROR(VLOOKUP($B1541,SERVIÇOS!$B:$G,2,0),IFERROR(VLOOKUP($B1541,$D:$K,2,0),"")),IFERROR(VLOOKUP($C1541,INSUMOS!$A:$D,2,0),IFERROR(VLOOKUP($C1541,COTAÇÕES!$B:$I,2,0),(VLOOKUP($C1541,'INSUMO SINAPI - SP'!$C:$F,2,0)))))</f>
        <v>AJUDANTE DE OPERAÇÃO EM GERAL COM ENCARGOS COMPLEMENTARES</v>
      </c>
      <c r="F1541" s="510" t="str">
        <f>IF($C1541="",IFERROR(VLOOKUP($B1541,SERVIÇOS!$B:$G,3,0),IFERROR(VLOOKUP($B1541,$D:$K,3,0),"")),IFERROR(VLOOKUP($C1541,INSUMOS!$A:$D,3,0),IFERROR(VLOOKUP($C1541,COTAÇÕES!$B:$I,3,0),(VLOOKUP($C1541,'INSUMO SINAPI - SP'!$C:$F,3,0)))))</f>
        <v>H</v>
      </c>
      <c r="G1541" s="511">
        <v>0.22</v>
      </c>
      <c r="H1541" s="512">
        <f>IF($C1541="",IFERROR(VLOOKUP($B1541,SERVIÇOS!$B:$G,6,0),IFERROR(VLOOKUP($B1541,$D:$K,8,0),"")),IFERROR(VLOOKUP($C1541,INSUMOS!$A:$D,4,0),IFERROR(VLOOKUP($C1541,COTAÇÕES!$B:$I,7,0),(VLOOKUP($C1541,'INSUMO SINAPI - SP'!$C:$F,4,0)))))</f>
        <v>29.87</v>
      </c>
      <c r="I1541" s="513">
        <f>TRUNC(IF($C1541="",IFERROR(VLOOKUP($B1541,SERVIÇOS!$B:$G,4,0),IFERROR(VLOOKUP($B1541,$D:$K,6,0),)),IFERROR(VLOOKUP($C1541,INSUMOS!$A:$D,4,0),IFERROR(VLOOKUP($C1541,COTAÇÕES!$B:$I,7,0),(VLOOKUP($C1541,'INSUMO SINAPI - SP'!$C:$F,4,0)))))*$G1541,2)</f>
        <v>2.04</v>
      </c>
      <c r="J1541" s="513">
        <f>TRUNC(IF($C1541="",IFERROR(VLOOKUP($B1541,SERVIÇOS!$B:$G,5,0),IFERROR(VLOOKUP($B1541,$D:$K,7,0),)),0)*$G1541,2)</f>
        <v>4.5199999999999996</v>
      </c>
      <c r="K1541" s="514">
        <f>I1541+J1541</f>
        <v>6.56</v>
      </c>
      <c r="L1541" s="515"/>
      <c r="M1541" s="471"/>
      <c r="N1541" s="516"/>
      <c r="Q1541" s="472"/>
      <c r="R1541" s="472"/>
      <c r="S1541" s="472"/>
      <c r="T1541" s="472"/>
      <c r="U1541" s="472"/>
      <c r="V1541" s="472"/>
      <c r="W1541" s="472"/>
      <c r="X1541" s="472"/>
      <c r="Y1541" s="472"/>
    </row>
    <row r="1542" spans="1:25" ht="24" x14ac:dyDescent="0.25">
      <c r="A1542" s="463"/>
      <c r="B1542" s="506"/>
      <c r="C1542" s="507" t="s">
        <v>13375</v>
      </c>
      <c r="D1542" s="508"/>
      <c r="E1542" s="518" t="s">
        <v>13385</v>
      </c>
      <c r="F1542" s="519" t="s">
        <v>578</v>
      </c>
      <c r="G1542" s="511">
        <f>0.3*0.25</f>
        <v>7.4999999999999997E-2</v>
      </c>
      <c r="H1542" s="520">
        <v>2142.64</v>
      </c>
      <c r="I1542" s="520">
        <f>TRUNC(H1542*G1542,2)</f>
        <v>160.69</v>
      </c>
      <c r="J1542" s="521"/>
      <c r="K1542" s="522">
        <f>I1542+J1542</f>
        <v>160.69</v>
      </c>
      <c r="L1542" s="517" t="s">
        <v>12901</v>
      </c>
      <c r="M1542" s="471"/>
      <c r="N1542" s="516"/>
      <c r="Q1542" s="472"/>
      <c r="R1542" s="472"/>
      <c r="S1542" s="472"/>
      <c r="T1542" s="472"/>
      <c r="U1542" s="472"/>
      <c r="V1542" s="472"/>
      <c r="W1542" s="472"/>
      <c r="X1542" s="472"/>
      <c r="Y1542" s="472"/>
    </row>
    <row r="1543" spans="1:25" ht="24" x14ac:dyDescent="0.25">
      <c r="A1543" s="463"/>
      <c r="B1543" s="498"/>
      <c r="C1543" s="498"/>
      <c r="D1543" s="499" t="s">
        <v>12467</v>
      </c>
      <c r="E1543" s="500" t="s">
        <v>13386</v>
      </c>
      <c r="F1543" s="501" t="s">
        <v>580</v>
      </c>
      <c r="G1543" s="502"/>
      <c r="H1543" s="503"/>
      <c r="I1543" s="504">
        <f>ROUND(SUM(I1544:I1546),2)</f>
        <v>89.79</v>
      </c>
      <c r="J1543" s="504">
        <f>ROUND(SUM(J1544:J1546),2)</f>
        <v>11.05</v>
      </c>
      <c r="K1543" s="504">
        <f>+J1543+I1543</f>
        <v>100.84</v>
      </c>
      <c r="L1543" s="523" t="s">
        <v>13374</v>
      </c>
      <c r="M1543" s="471"/>
      <c r="N1543" s="505"/>
      <c r="Q1543" s="472"/>
      <c r="R1543" s="472"/>
      <c r="S1543" s="472"/>
      <c r="T1543" s="472"/>
      <c r="U1543" s="472"/>
      <c r="V1543" s="472"/>
      <c r="W1543" s="472"/>
      <c r="X1543" s="472"/>
      <c r="Y1543" s="472"/>
    </row>
    <row r="1544" spans="1:25" x14ac:dyDescent="0.25">
      <c r="A1544" s="463"/>
      <c r="B1544" s="506">
        <v>88279</v>
      </c>
      <c r="C1544" s="507"/>
      <c r="D1544" s="508"/>
      <c r="E1544" s="509" t="str">
        <f>IF($C1544="",IFERROR(VLOOKUP($B1544,SERVIÇOS!$B:$G,2,0),IFERROR(VLOOKUP($B1544,$D:$K,2,0),"")),IFERROR(VLOOKUP($C1544,INSUMOS!$A:$D,2,0),IFERROR(VLOOKUP($C1544,COTAÇÕES!$B:$I,2,0),(VLOOKUP($C1544,'INSUMO SINAPI - SP'!$C:$F,2,0)))))</f>
        <v>MONTADOR ELETROMECÃNICO COM ENCARGOS COMPLEMENTARES</v>
      </c>
      <c r="F1544" s="510" t="str">
        <f>IF($C1544="",IFERROR(VLOOKUP($B1544,SERVIÇOS!$B:$G,3,0),IFERROR(VLOOKUP($B1544,$D:$K,3,0),"")),IFERROR(VLOOKUP($C1544,INSUMOS!$A:$D,3,0),IFERROR(VLOOKUP($C1544,COTAÇÕES!$B:$I,3,0),(VLOOKUP($C1544,'INSUMO SINAPI - SP'!$C:$F,3,0)))))</f>
        <v>H</v>
      </c>
      <c r="G1544" s="511">
        <v>0.22</v>
      </c>
      <c r="H1544" s="512">
        <f>IF($C1544="",IFERROR(VLOOKUP($B1544,SERVIÇOS!$B:$G,6,0),IFERROR(VLOOKUP($B1544,$D:$K,8,0),"")),IFERROR(VLOOKUP($C1544,INSUMOS!$A:$D,4,0),IFERROR(VLOOKUP($C1544,COTAÇÕES!$B:$I,7,0),(VLOOKUP($C1544,'INSUMO SINAPI - SP'!$C:$F,4,0)))))</f>
        <v>39.01</v>
      </c>
      <c r="I1544" s="513">
        <f>TRUNC(IF($C1544="",IFERROR(VLOOKUP($B1544,SERVIÇOS!$B:$G,4,0),IFERROR(VLOOKUP($B1544,$D:$K,6,0),)),IFERROR(VLOOKUP($C1544,INSUMOS!$A:$D,4,0),IFERROR(VLOOKUP($C1544,COTAÇÕES!$B:$I,7,0),(VLOOKUP($C1544,'INSUMO SINAPI - SP'!$C:$F,4,0)))))*$G1544,2)</f>
        <v>2.0499999999999998</v>
      </c>
      <c r="J1544" s="513">
        <f>TRUNC(IF($C1544="",IFERROR(VLOOKUP($B1544,SERVIÇOS!$B:$G,5,0),IFERROR(VLOOKUP($B1544,$D:$K,7,0),)),0)*$G1544,2)</f>
        <v>6.53</v>
      </c>
      <c r="K1544" s="514">
        <f>I1544+J1544</f>
        <v>8.58</v>
      </c>
      <c r="L1544" s="515"/>
      <c r="M1544" s="471"/>
      <c r="N1544" s="516"/>
      <c r="Q1544" s="472"/>
      <c r="R1544" s="472"/>
      <c r="S1544" s="472"/>
      <c r="T1544" s="472"/>
      <c r="U1544" s="472"/>
      <c r="V1544" s="472"/>
      <c r="W1544" s="472"/>
      <c r="X1544" s="472"/>
      <c r="Y1544" s="472"/>
    </row>
    <row r="1545" spans="1:25" x14ac:dyDescent="0.25">
      <c r="A1545" s="463"/>
      <c r="B1545" s="506">
        <v>88241</v>
      </c>
      <c r="C1545" s="507"/>
      <c r="D1545" s="508"/>
      <c r="E1545" s="509" t="str">
        <f>IF($C1545="",IFERROR(VLOOKUP($B1545,SERVIÇOS!$B:$G,2,0),IFERROR(VLOOKUP($B1545,$D:$K,2,0),"")),IFERROR(VLOOKUP($C1545,INSUMOS!$A:$D,2,0),IFERROR(VLOOKUP($C1545,COTAÇÕES!$B:$I,2,0),(VLOOKUP($C1545,'INSUMO SINAPI - SP'!$C:$F,2,0)))))</f>
        <v>AJUDANTE DE OPERAÇÃO EM GERAL COM ENCARGOS COMPLEMENTARES</v>
      </c>
      <c r="F1545" s="510" t="str">
        <f>IF($C1545="",IFERROR(VLOOKUP($B1545,SERVIÇOS!$B:$G,3,0),IFERROR(VLOOKUP($B1545,$D:$K,3,0),"")),IFERROR(VLOOKUP($C1545,INSUMOS!$A:$D,3,0),IFERROR(VLOOKUP($C1545,COTAÇÕES!$B:$I,3,0),(VLOOKUP($C1545,'INSUMO SINAPI - SP'!$C:$F,3,0)))))</f>
        <v>H</v>
      </c>
      <c r="G1545" s="511">
        <v>0.22</v>
      </c>
      <c r="H1545" s="512">
        <f>IF($C1545="",IFERROR(VLOOKUP($B1545,SERVIÇOS!$B:$G,6,0),IFERROR(VLOOKUP($B1545,$D:$K,8,0),"")),IFERROR(VLOOKUP($C1545,INSUMOS!$A:$D,4,0),IFERROR(VLOOKUP($C1545,COTAÇÕES!$B:$I,7,0),(VLOOKUP($C1545,'INSUMO SINAPI - SP'!$C:$F,4,0)))))</f>
        <v>29.87</v>
      </c>
      <c r="I1545" s="513">
        <f>TRUNC(IF($C1545="",IFERROR(VLOOKUP($B1545,SERVIÇOS!$B:$G,4,0),IFERROR(VLOOKUP($B1545,$D:$K,6,0),)),IFERROR(VLOOKUP($C1545,INSUMOS!$A:$D,4,0),IFERROR(VLOOKUP($C1545,COTAÇÕES!$B:$I,7,0),(VLOOKUP($C1545,'INSUMO SINAPI - SP'!$C:$F,4,0)))))*$G1545,2)</f>
        <v>2.04</v>
      </c>
      <c r="J1545" s="513">
        <f>TRUNC(IF($C1545="",IFERROR(VLOOKUP($B1545,SERVIÇOS!$B:$G,5,0),IFERROR(VLOOKUP($B1545,$D:$K,7,0),)),0)*$G1545,2)</f>
        <v>4.5199999999999996</v>
      </c>
      <c r="K1545" s="514">
        <f>I1545+J1545</f>
        <v>6.56</v>
      </c>
      <c r="L1545" s="515"/>
      <c r="M1545" s="471"/>
      <c r="N1545" s="516"/>
      <c r="Q1545" s="472"/>
      <c r="R1545" s="472"/>
      <c r="S1545" s="472"/>
      <c r="T1545" s="472"/>
      <c r="U1545" s="472"/>
      <c r="V1545" s="472"/>
      <c r="W1545" s="472"/>
      <c r="X1545" s="472"/>
      <c r="Y1545" s="472"/>
    </row>
    <row r="1546" spans="1:25" ht="24" x14ac:dyDescent="0.25">
      <c r="A1546" s="463"/>
      <c r="B1546" s="506"/>
      <c r="C1546" s="507" t="s">
        <v>13375</v>
      </c>
      <c r="D1546" s="508"/>
      <c r="E1546" s="518" t="s">
        <v>13386</v>
      </c>
      <c r="F1546" s="519" t="s">
        <v>578</v>
      </c>
      <c r="G1546" s="511">
        <v>0.04</v>
      </c>
      <c r="H1546" s="520">
        <v>2142.64</v>
      </c>
      <c r="I1546" s="520">
        <f>TRUNC(H1546*G1546,2)</f>
        <v>85.7</v>
      </c>
      <c r="J1546" s="521"/>
      <c r="K1546" s="522">
        <f>I1546+J1546</f>
        <v>85.7</v>
      </c>
      <c r="L1546" s="517" t="s">
        <v>12901</v>
      </c>
      <c r="M1546" s="471"/>
      <c r="N1546" s="516"/>
      <c r="Q1546" s="472"/>
      <c r="R1546" s="472"/>
      <c r="S1546" s="472"/>
      <c r="T1546" s="472"/>
      <c r="U1546" s="472"/>
      <c r="V1546" s="472"/>
      <c r="W1546" s="472"/>
      <c r="X1546" s="472"/>
      <c r="Y1546" s="472"/>
    </row>
    <row r="1547" spans="1:25" ht="24" x14ac:dyDescent="0.25">
      <c r="A1547" s="463"/>
      <c r="B1547" s="498"/>
      <c r="C1547" s="498"/>
      <c r="D1547" s="499" t="s">
        <v>12469</v>
      </c>
      <c r="E1547" s="500" t="s">
        <v>13387</v>
      </c>
      <c r="F1547" s="501" t="s">
        <v>580</v>
      </c>
      <c r="G1547" s="502"/>
      <c r="H1547" s="503"/>
      <c r="I1547" s="504">
        <f>ROUND(SUM(I1548:I1550),2)</f>
        <v>148.71</v>
      </c>
      <c r="J1547" s="504">
        <f>ROUND(SUM(J1548:J1550),2)</f>
        <v>11.05</v>
      </c>
      <c r="K1547" s="504">
        <f>+J1547+I1547</f>
        <v>159.76000000000002</v>
      </c>
      <c r="L1547" s="523" t="s">
        <v>13374</v>
      </c>
      <c r="M1547" s="471"/>
      <c r="N1547" s="505"/>
      <c r="Q1547" s="472"/>
      <c r="R1547" s="472"/>
      <c r="S1547" s="472"/>
      <c r="T1547" s="472"/>
      <c r="U1547" s="472"/>
      <c r="V1547" s="472"/>
      <c r="W1547" s="472"/>
      <c r="X1547" s="472"/>
      <c r="Y1547" s="472"/>
    </row>
    <row r="1548" spans="1:25" x14ac:dyDescent="0.25">
      <c r="A1548" s="463"/>
      <c r="B1548" s="506">
        <v>88279</v>
      </c>
      <c r="C1548" s="507"/>
      <c r="D1548" s="508"/>
      <c r="E1548" s="509" t="str">
        <f>IF($C1548="",IFERROR(VLOOKUP($B1548,SERVIÇOS!$B:$G,2,0),IFERROR(VLOOKUP($B1548,$D:$K,2,0),"")),IFERROR(VLOOKUP($C1548,INSUMOS!$A:$D,2,0),IFERROR(VLOOKUP($C1548,COTAÇÕES!$B:$I,2,0),(VLOOKUP($C1548,'INSUMO SINAPI - SP'!$C:$F,2,0)))))</f>
        <v>MONTADOR ELETROMECÃNICO COM ENCARGOS COMPLEMENTARES</v>
      </c>
      <c r="F1548" s="510" t="str">
        <f>IF($C1548="",IFERROR(VLOOKUP($B1548,SERVIÇOS!$B:$G,3,0),IFERROR(VLOOKUP($B1548,$D:$K,3,0),"")),IFERROR(VLOOKUP($C1548,INSUMOS!$A:$D,3,0),IFERROR(VLOOKUP($C1548,COTAÇÕES!$B:$I,3,0),(VLOOKUP($C1548,'INSUMO SINAPI - SP'!$C:$F,3,0)))))</f>
        <v>H</v>
      </c>
      <c r="G1548" s="511">
        <v>0.22</v>
      </c>
      <c r="H1548" s="512">
        <f>IF($C1548="",IFERROR(VLOOKUP($B1548,SERVIÇOS!$B:$G,6,0),IFERROR(VLOOKUP($B1548,$D:$K,8,0),"")),IFERROR(VLOOKUP($C1548,INSUMOS!$A:$D,4,0),IFERROR(VLOOKUP($C1548,COTAÇÕES!$B:$I,7,0),(VLOOKUP($C1548,'INSUMO SINAPI - SP'!$C:$F,4,0)))))</f>
        <v>39.01</v>
      </c>
      <c r="I1548" s="513">
        <f>TRUNC(IF($C1548="",IFERROR(VLOOKUP($B1548,SERVIÇOS!$B:$G,4,0),IFERROR(VLOOKUP($B1548,$D:$K,6,0),)),IFERROR(VLOOKUP($C1548,INSUMOS!$A:$D,4,0),IFERROR(VLOOKUP($C1548,COTAÇÕES!$B:$I,7,0),(VLOOKUP($C1548,'INSUMO SINAPI - SP'!$C:$F,4,0)))))*$G1548,2)</f>
        <v>2.0499999999999998</v>
      </c>
      <c r="J1548" s="513">
        <f>TRUNC(IF($C1548="",IFERROR(VLOOKUP($B1548,SERVIÇOS!$B:$G,5,0),IFERROR(VLOOKUP($B1548,$D:$K,7,0),)),0)*$G1548,2)</f>
        <v>6.53</v>
      </c>
      <c r="K1548" s="514">
        <f>I1548+J1548</f>
        <v>8.58</v>
      </c>
      <c r="L1548" s="515"/>
      <c r="M1548" s="471"/>
      <c r="N1548" s="516"/>
      <c r="Q1548" s="472"/>
      <c r="R1548" s="472"/>
      <c r="S1548" s="472"/>
      <c r="T1548" s="472"/>
      <c r="U1548" s="472"/>
      <c r="V1548" s="472"/>
      <c r="W1548" s="472"/>
      <c r="X1548" s="472"/>
      <c r="Y1548" s="472"/>
    </row>
    <row r="1549" spans="1:25" x14ac:dyDescent="0.25">
      <c r="A1549" s="463"/>
      <c r="B1549" s="506">
        <v>88241</v>
      </c>
      <c r="C1549" s="507"/>
      <c r="D1549" s="508"/>
      <c r="E1549" s="509" t="str">
        <f>IF($C1549="",IFERROR(VLOOKUP($B1549,SERVIÇOS!$B:$G,2,0),IFERROR(VLOOKUP($B1549,$D:$K,2,0),"")),IFERROR(VLOOKUP($C1549,INSUMOS!$A:$D,2,0),IFERROR(VLOOKUP($C1549,COTAÇÕES!$B:$I,2,0),(VLOOKUP($C1549,'INSUMO SINAPI - SP'!$C:$F,2,0)))))</f>
        <v>AJUDANTE DE OPERAÇÃO EM GERAL COM ENCARGOS COMPLEMENTARES</v>
      </c>
      <c r="F1549" s="510" t="str">
        <f>IF($C1549="",IFERROR(VLOOKUP($B1549,SERVIÇOS!$B:$G,3,0),IFERROR(VLOOKUP($B1549,$D:$K,3,0),"")),IFERROR(VLOOKUP($C1549,INSUMOS!$A:$D,3,0),IFERROR(VLOOKUP($C1549,COTAÇÕES!$B:$I,3,0),(VLOOKUP($C1549,'INSUMO SINAPI - SP'!$C:$F,3,0)))))</f>
        <v>H</v>
      </c>
      <c r="G1549" s="511">
        <v>0.22</v>
      </c>
      <c r="H1549" s="512">
        <f>IF($C1549="",IFERROR(VLOOKUP($B1549,SERVIÇOS!$B:$G,6,0),IFERROR(VLOOKUP($B1549,$D:$K,8,0),"")),IFERROR(VLOOKUP($C1549,INSUMOS!$A:$D,4,0),IFERROR(VLOOKUP($C1549,COTAÇÕES!$B:$I,7,0),(VLOOKUP($C1549,'INSUMO SINAPI - SP'!$C:$F,4,0)))))</f>
        <v>29.87</v>
      </c>
      <c r="I1549" s="513">
        <f>TRUNC(IF($C1549="",IFERROR(VLOOKUP($B1549,SERVIÇOS!$B:$G,4,0),IFERROR(VLOOKUP($B1549,$D:$K,6,0),)),IFERROR(VLOOKUP($C1549,INSUMOS!$A:$D,4,0),IFERROR(VLOOKUP($C1549,COTAÇÕES!$B:$I,7,0),(VLOOKUP($C1549,'INSUMO SINAPI - SP'!$C:$F,4,0)))))*$G1549,2)</f>
        <v>2.04</v>
      </c>
      <c r="J1549" s="513">
        <f>TRUNC(IF($C1549="",IFERROR(VLOOKUP($B1549,SERVIÇOS!$B:$G,5,0),IFERROR(VLOOKUP($B1549,$D:$K,7,0),)),0)*$G1549,2)</f>
        <v>4.5199999999999996</v>
      </c>
      <c r="K1549" s="514">
        <f>I1549+J1549</f>
        <v>6.56</v>
      </c>
      <c r="L1549" s="515"/>
      <c r="M1549" s="471"/>
      <c r="N1549" s="516"/>
      <c r="Q1549" s="472"/>
      <c r="R1549" s="472"/>
      <c r="S1549" s="472"/>
      <c r="T1549" s="472"/>
      <c r="U1549" s="472"/>
      <c r="V1549" s="472"/>
      <c r="W1549" s="472"/>
      <c r="X1549" s="472"/>
      <c r="Y1549" s="472"/>
    </row>
    <row r="1550" spans="1:25" ht="24" x14ac:dyDescent="0.25">
      <c r="A1550" s="463"/>
      <c r="B1550" s="506"/>
      <c r="C1550" s="507" t="s">
        <v>13375</v>
      </c>
      <c r="D1550" s="508"/>
      <c r="E1550" s="518" t="s">
        <v>13387</v>
      </c>
      <c r="F1550" s="519" t="s">
        <v>578</v>
      </c>
      <c r="G1550" s="511">
        <v>6.7500000000000004E-2</v>
      </c>
      <c r="H1550" s="520">
        <v>2142.64</v>
      </c>
      <c r="I1550" s="520">
        <f>TRUNC(H1550*G1550,2)</f>
        <v>144.62</v>
      </c>
      <c r="J1550" s="521"/>
      <c r="K1550" s="522">
        <f>I1550+J1550</f>
        <v>144.62</v>
      </c>
      <c r="L1550" s="517" t="s">
        <v>12901</v>
      </c>
      <c r="M1550" s="471"/>
      <c r="N1550" s="516"/>
      <c r="Q1550" s="472"/>
      <c r="R1550" s="472"/>
      <c r="S1550" s="472"/>
      <c r="T1550" s="472"/>
      <c r="U1550" s="472"/>
      <c r="V1550" s="472"/>
      <c r="W1550" s="472"/>
      <c r="X1550" s="472"/>
      <c r="Y1550" s="472"/>
    </row>
    <row r="1551" spans="1:25" ht="24" x14ac:dyDescent="0.25">
      <c r="A1551" s="463"/>
      <c r="B1551" s="498"/>
      <c r="C1551" s="498"/>
      <c r="D1551" s="499" t="s">
        <v>12460</v>
      </c>
      <c r="E1551" s="500" t="s">
        <v>13388</v>
      </c>
      <c r="F1551" s="501" t="s">
        <v>580</v>
      </c>
      <c r="G1551" s="502"/>
      <c r="H1551" s="503"/>
      <c r="I1551" s="504">
        <f>ROUND(SUM(I1552:I1554),2)</f>
        <v>138</v>
      </c>
      <c r="J1551" s="504">
        <f>ROUND(SUM(J1552:J1554),2)</f>
        <v>11.05</v>
      </c>
      <c r="K1551" s="504">
        <f>+J1551+I1551</f>
        <v>149.05000000000001</v>
      </c>
      <c r="L1551" s="523" t="s">
        <v>13374</v>
      </c>
      <c r="M1551" s="471"/>
      <c r="N1551" s="505"/>
      <c r="Q1551" s="472"/>
      <c r="R1551" s="472"/>
      <c r="S1551" s="472"/>
      <c r="T1551" s="472"/>
      <c r="U1551" s="472"/>
      <c r="V1551" s="472"/>
      <c r="W1551" s="472"/>
      <c r="X1551" s="472"/>
      <c r="Y1551" s="472"/>
    </row>
    <row r="1552" spans="1:25" x14ac:dyDescent="0.25">
      <c r="A1552" s="463"/>
      <c r="B1552" s="506">
        <v>88279</v>
      </c>
      <c r="C1552" s="507"/>
      <c r="D1552" s="508"/>
      <c r="E1552" s="509" t="str">
        <f>IF($C1552="",IFERROR(VLOOKUP($B1552,SERVIÇOS!$B:$G,2,0),IFERROR(VLOOKUP($B1552,$D:$K,2,0),"")),IFERROR(VLOOKUP($C1552,INSUMOS!$A:$D,2,0),IFERROR(VLOOKUP($C1552,COTAÇÕES!$B:$I,2,0),(VLOOKUP($C1552,'INSUMO SINAPI - SP'!$C:$F,2,0)))))</f>
        <v>MONTADOR ELETROMECÃNICO COM ENCARGOS COMPLEMENTARES</v>
      </c>
      <c r="F1552" s="510" t="str">
        <f>IF($C1552="",IFERROR(VLOOKUP($B1552,SERVIÇOS!$B:$G,3,0),IFERROR(VLOOKUP($B1552,$D:$K,3,0),"")),IFERROR(VLOOKUP($C1552,INSUMOS!$A:$D,3,0),IFERROR(VLOOKUP($C1552,COTAÇÕES!$B:$I,3,0),(VLOOKUP($C1552,'INSUMO SINAPI - SP'!$C:$F,3,0)))))</f>
        <v>H</v>
      </c>
      <c r="G1552" s="511">
        <v>0.22</v>
      </c>
      <c r="H1552" s="512">
        <f>IF($C1552="",IFERROR(VLOOKUP($B1552,SERVIÇOS!$B:$G,6,0),IFERROR(VLOOKUP($B1552,$D:$K,8,0),"")),IFERROR(VLOOKUP($C1552,INSUMOS!$A:$D,4,0),IFERROR(VLOOKUP($C1552,COTAÇÕES!$B:$I,7,0),(VLOOKUP($C1552,'INSUMO SINAPI - SP'!$C:$F,4,0)))))</f>
        <v>39.01</v>
      </c>
      <c r="I1552" s="513">
        <f>TRUNC(IF($C1552="",IFERROR(VLOOKUP($B1552,SERVIÇOS!$B:$G,4,0),IFERROR(VLOOKUP($B1552,$D:$K,6,0),)),IFERROR(VLOOKUP($C1552,INSUMOS!$A:$D,4,0),IFERROR(VLOOKUP($C1552,COTAÇÕES!$B:$I,7,0),(VLOOKUP($C1552,'INSUMO SINAPI - SP'!$C:$F,4,0)))))*$G1552,2)</f>
        <v>2.0499999999999998</v>
      </c>
      <c r="J1552" s="513">
        <f>TRUNC(IF($C1552="",IFERROR(VLOOKUP($B1552,SERVIÇOS!$B:$G,5,0),IFERROR(VLOOKUP($B1552,$D:$K,7,0),)),0)*$G1552,2)</f>
        <v>6.53</v>
      </c>
      <c r="K1552" s="514">
        <f>I1552+J1552</f>
        <v>8.58</v>
      </c>
      <c r="L1552" s="515"/>
      <c r="M1552" s="471"/>
      <c r="N1552" s="516"/>
      <c r="Q1552" s="472"/>
      <c r="R1552" s="472"/>
      <c r="S1552" s="472"/>
      <c r="T1552" s="472"/>
      <c r="U1552" s="472"/>
      <c r="V1552" s="472"/>
      <c r="W1552" s="472"/>
      <c r="X1552" s="472"/>
      <c r="Y1552" s="472"/>
    </row>
    <row r="1553" spans="1:25" x14ac:dyDescent="0.25">
      <c r="A1553" s="463"/>
      <c r="B1553" s="506">
        <v>88241</v>
      </c>
      <c r="C1553" s="507"/>
      <c r="D1553" s="508"/>
      <c r="E1553" s="509" t="str">
        <f>IF($C1553="",IFERROR(VLOOKUP($B1553,SERVIÇOS!$B:$G,2,0),IFERROR(VLOOKUP($B1553,$D:$K,2,0),"")),IFERROR(VLOOKUP($C1553,INSUMOS!$A:$D,2,0),IFERROR(VLOOKUP($C1553,COTAÇÕES!$B:$I,2,0),(VLOOKUP($C1553,'INSUMO SINAPI - SP'!$C:$F,2,0)))))</f>
        <v>AJUDANTE DE OPERAÇÃO EM GERAL COM ENCARGOS COMPLEMENTARES</v>
      </c>
      <c r="F1553" s="510" t="str">
        <f>IF($C1553="",IFERROR(VLOOKUP($B1553,SERVIÇOS!$B:$G,3,0),IFERROR(VLOOKUP($B1553,$D:$K,3,0),"")),IFERROR(VLOOKUP($C1553,INSUMOS!$A:$D,3,0),IFERROR(VLOOKUP($C1553,COTAÇÕES!$B:$I,3,0),(VLOOKUP($C1553,'INSUMO SINAPI - SP'!$C:$F,3,0)))))</f>
        <v>H</v>
      </c>
      <c r="G1553" s="511">
        <v>0.22</v>
      </c>
      <c r="H1553" s="512">
        <f>IF($C1553="",IFERROR(VLOOKUP($B1553,SERVIÇOS!$B:$G,6,0),IFERROR(VLOOKUP($B1553,$D:$K,8,0),"")),IFERROR(VLOOKUP($C1553,INSUMOS!$A:$D,4,0),IFERROR(VLOOKUP($C1553,COTAÇÕES!$B:$I,7,0),(VLOOKUP($C1553,'INSUMO SINAPI - SP'!$C:$F,4,0)))))</f>
        <v>29.87</v>
      </c>
      <c r="I1553" s="513">
        <f>TRUNC(IF($C1553="",IFERROR(VLOOKUP($B1553,SERVIÇOS!$B:$G,4,0),IFERROR(VLOOKUP($B1553,$D:$K,6,0),)),IFERROR(VLOOKUP($C1553,INSUMOS!$A:$D,4,0),IFERROR(VLOOKUP($C1553,COTAÇÕES!$B:$I,7,0),(VLOOKUP($C1553,'INSUMO SINAPI - SP'!$C:$F,4,0)))))*$G1553,2)</f>
        <v>2.04</v>
      </c>
      <c r="J1553" s="513">
        <f>TRUNC(IF($C1553="",IFERROR(VLOOKUP($B1553,SERVIÇOS!$B:$G,5,0),IFERROR(VLOOKUP($B1553,$D:$K,7,0),)),0)*$G1553,2)</f>
        <v>4.5199999999999996</v>
      </c>
      <c r="K1553" s="514">
        <f>I1553+J1553</f>
        <v>6.56</v>
      </c>
      <c r="L1553" s="515"/>
      <c r="M1553" s="471"/>
      <c r="N1553" s="516"/>
      <c r="Q1553" s="472"/>
      <c r="R1553" s="472"/>
      <c r="S1553" s="472"/>
      <c r="T1553" s="472"/>
      <c r="U1553" s="472"/>
      <c r="V1553" s="472"/>
      <c r="W1553" s="472"/>
      <c r="X1553" s="472"/>
      <c r="Y1553" s="472"/>
    </row>
    <row r="1554" spans="1:25" ht="24" x14ac:dyDescent="0.25">
      <c r="A1554" s="463"/>
      <c r="B1554" s="506"/>
      <c r="C1554" s="507" t="s">
        <v>13375</v>
      </c>
      <c r="D1554" s="508"/>
      <c r="E1554" s="518" t="s">
        <v>13388</v>
      </c>
      <c r="F1554" s="519" t="s">
        <v>578</v>
      </c>
      <c r="G1554" s="511">
        <f>0.25*0.25</f>
        <v>6.25E-2</v>
      </c>
      <c r="H1554" s="520">
        <v>2142.64</v>
      </c>
      <c r="I1554" s="520">
        <f>TRUNC(H1554*G1554,2)</f>
        <v>133.91</v>
      </c>
      <c r="J1554" s="521"/>
      <c r="K1554" s="522">
        <f>I1554+J1554</f>
        <v>133.91</v>
      </c>
      <c r="L1554" s="517" t="s">
        <v>12901</v>
      </c>
      <c r="M1554" s="471"/>
      <c r="N1554" s="516"/>
      <c r="Q1554" s="472"/>
      <c r="R1554" s="472"/>
      <c r="S1554" s="472"/>
      <c r="T1554" s="472"/>
      <c r="U1554" s="472"/>
      <c r="V1554" s="472"/>
      <c r="W1554" s="472"/>
      <c r="X1554" s="472"/>
      <c r="Y1554" s="472"/>
    </row>
    <row r="1555" spans="1:25" ht="24" x14ac:dyDescent="0.25">
      <c r="A1555" s="463"/>
      <c r="B1555" s="498"/>
      <c r="C1555" s="498"/>
      <c r="D1555" s="499" t="s">
        <v>12464</v>
      </c>
      <c r="E1555" s="500" t="s">
        <v>13389</v>
      </c>
      <c r="F1555" s="501" t="s">
        <v>580</v>
      </c>
      <c r="G1555" s="502"/>
      <c r="H1555" s="503"/>
      <c r="I1555" s="504">
        <f>ROUND(SUM(I1556:I1558),2)</f>
        <v>79.08</v>
      </c>
      <c r="J1555" s="504">
        <f>ROUND(SUM(J1556:J1558),2)</f>
        <v>11.05</v>
      </c>
      <c r="K1555" s="504">
        <f>+J1555+I1555</f>
        <v>90.13</v>
      </c>
      <c r="L1555" s="523" t="s">
        <v>13374</v>
      </c>
      <c r="M1555" s="471"/>
      <c r="N1555" s="505"/>
      <c r="Q1555" s="472"/>
      <c r="R1555" s="472"/>
      <c r="S1555" s="472"/>
      <c r="T1555" s="472"/>
      <c r="U1555" s="472"/>
      <c r="V1555" s="472"/>
      <c r="W1555" s="472"/>
      <c r="X1555" s="472"/>
      <c r="Y1555" s="472"/>
    </row>
    <row r="1556" spans="1:25" x14ac:dyDescent="0.25">
      <c r="A1556" s="463"/>
      <c r="B1556" s="506">
        <v>88279</v>
      </c>
      <c r="C1556" s="507"/>
      <c r="D1556" s="508"/>
      <c r="E1556" s="509" t="str">
        <f>IF($C1556="",IFERROR(VLOOKUP($B1556,SERVIÇOS!$B:$G,2,0),IFERROR(VLOOKUP($B1556,$D:$K,2,0),"")),IFERROR(VLOOKUP($C1556,INSUMOS!$A:$D,2,0),IFERROR(VLOOKUP($C1556,COTAÇÕES!$B:$I,2,0),(VLOOKUP($C1556,'INSUMO SINAPI - SP'!$C:$F,2,0)))))</f>
        <v>MONTADOR ELETROMECÃNICO COM ENCARGOS COMPLEMENTARES</v>
      </c>
      <c r="F1556" s="510" t="str">
        <f>IF($C1556="",IFERROR(VLOOKUP($B1556,SERVIÇOS!$B:$G,3,0),IFERROR(VLOOKUP($B1556,$D:$K,3,0),"")),IFERROR(VLOOKUP($C1556,INSUMOS!$A:$D,3,0),IFERROR(VLOOKUP($C1556,COTAÇÕES!$B:$I,3,0),(VLOOKUP($C1556,'INSUMO SINAPI - SP'!$C:$F,3,0)))))</f>
        <v>H</v>
      </c>
      <c r="G1556" s="511">
        <v>0.22</v>
      </c>
      <c r="H1556" s="512">
        <f>IF($C1556="",IFERROR(VLOOKUP($B1556,SERVIÇOS!$B:$G,6,0),IFERROR(VLOOKUP($B1556,$D:$K,8,0),"")),IFERROR(VLOOKUP($C1556,INSUMOS!$A:$D,4,0),IFERROR(VLOOKUP($C1556,COTAÇÕES!$B:$I,7,0),(VLOOKUP($C1556,'INSUMO SINAPI - SP'!$C:$F,4,0)))))</f>
        <v>39.01</v>
      </c>
      <c r="I1556" s="513">
        <f>TRUNC(IF($C1556="",IFERROR(VLOOKUP($B1556,SERVIÇOS!$B:$G,4,0),IFERROR(VLOOKUP($B1556,$D:$K,6,0),)),IFERROR(VLOOKUP($C1556,INSUMOS!$A:$D,4,0),IFERROR(VLOOKUP($C1556,COTAÇÕES!$B:$I,7,0),(VLOOKUP($C1556,'INSUMO SINAPI - SP'!$C:$F,4,0)))))*$G1556,2)</f>
        <v>2.0499999999999998</v>
      </c>
      <c r="J1556" s="513">
        <f>TRUNC(IF($C1556="",IFERROR(VLOOKUP($B1556,SERVIÇOS!$B:$G,5,0),IFERROR(VLOOKUP($B1556,$D:$K,7,0),)),0)*$G1556,2)</f>
        <v>6.53</v>
      </c>
      <c r="K1556" s="514">
        <f>I1556+J1556</f>
        <v>8.58</v>
      </c>
      <c r="L1556" s="515"/>
      <c r="M1556" s="471"/>
      <c r="N1556" s="516"/>
      <c r="Q1556" s="472"/>
      <c r="R1556" s="472"/>
      <c r="S1556" s="472"/>
      <c r="T1556" s="472"/>
      <c r="U1556" s="472"/>
      <c r="V1556" s="472"/>
      <c r="W1556" s="472"/>
      <c r="X1556" s="472"/>
      <c r="Y1556" s="472"/>
    </row>
    <row r="1557" spans="1:25" x14ac:dyDescent="0.25">
      <c r="A1557" s="463"/>
      <c r="B1557" s="506">
        <v>88241</v>
      </c>
      <c r="C1557" s="507"/>
      <c r="D1557" s="508"/>
      <c r="E1557" s="509" t="str">
        <f>IF($C1557="",IFERROR(VLOOKUP($B1557,SERVIÇOS!$B:$G,2,0),IFERROR(VLOOKUP($B1557,$D:$K,2,0),"")),IFERROR(VLOOKUP($C1557,INSUMOS!$A:$D,2,0),IFERROR(VLOOKUP($C1557,COTAÇÕES!$B:$I,2,0),(VLOOKUP($C1557,'INSUMO SINAPI - SP'!$C:$F,2,0)))))</f>
        <v>AJUDANTE DE OPERAÇÃO EM GERAL COM ENCARGOS COMPLEMENTARES</v>
      </c>
      <c r="F1557" s="510" t="str">
        <f>IF($C1557="",IFERROR(VLOOKUP($B1557,SERVIÇOS!$B:$G,3,0),IFERROR(VLOOKUP($B1557,$D:$K,3,0),"")),IFERROR(VLOOKUP($C1557,INSUMOS!$A:$D,3,0),IFERROR(VLOOKUP($C1557,COTAÇÕES!$B:$I,3,0),(VLOOKUP($C1557,'INSUMO SINAPI - SP'!$C:$F,3,0)))))</f>
        <v>H</v>
      </c>
      <c r="G1557" s="511">
        <v>0.22</v>
      </c>
      <c r="H1557" s="512">
        <f>IF($C1557="",IFERROR(VLOOKUP($B1557,SERVIÇOS!$B:$G,6,0),IFERROR(VLOOKUP($B1557,$D:$K,8,0),"")),IFERROR(VLOOKUP($C1557,INSUMOS!$A:$D,4,0),IFERROR(VLOOKUP($C1557,COTAÇÕES!$B:$I,7,0),(VLOOKUP($C1557,'INSUMO SINAPI - SP'!$C:$F,4,0)))))</f>
        <v>29.87</v>
      </c>
      <c r="I1557" s="513">
        <f>TRUNC(IF($C1557="",IFERROR(VLOOKUP($B1557,SERVIÇOS!$B:$G,4,0),IFERROR(VLOOKUP($B1557,$D:$K,6,0),)),IFERROR(VLOOKUP($C1557,INSUMOS!$A:$D,4,0),IFERROR(VLOOKUP($C1557,COTAÇÕES!$B:$I,7,0),(VLOOKUP($C1557,'INSUMO SINAPI - SP'!$C:$F,4,0)))))*$G1557,2)</f>
        <v>2.04</v>
      </c>
      <c r="J1557" s="513">
        <f>TRUNC(IF($C1557="",IFERROR(VLOOKUP($B1557,SERVIÇOS!$B:$G,5,0),IFERROR(VLOOKUP($B1557,$D:$K,7,0),)),0)*$G1557,2)</f>
        <v>4.5199999999999996</v>
      </c>
      <c r="K1557" s="514">
        <f>I1557+J1557</f>
        <v>6.56</v>
      </c>
      <c r="L1557" s="515"/>
      <c r="M1557" s="471"/>
      <c r="N1557" s="516"/>
      <c r="Q1557" s="472"/>
      <c r="R1557" s="472"/>
      <c r="S1557" s="472"/>
      <c r="T1557" s="472"/>
      <c r="U1557" s="472"/>
      <c r="V1557" s="472"/>
      <c r="W1557" s="472"/>
      <c r="X1557" s="472"/>
      <c r="Y1557" s="472"/>
    </row>
    <row r="1558" spans="1:25" ht="24" x14ac:dyDescent="0.25">
      <c r="A1558" s="463"/>
      <c r="B1558" s="506"/>
      <c r="C1558" s="507" t="s">
        <v>13375</v>
      </c>
      <c r="D1558" s="508"/>
      <c r="E1558" s="518" t="s">
        <v>13388</v>
      </c>
      <c r="F1558" s="519" t="s">
        <v>578</v>
      </c>
      <c r="G1558" s="511">
        <f>0.35*0.1</f>
        <v>3.4999999999999996E-2</v>
      </c>
      <c r="H1558" s="520">
        <v>2142.64</v>
      </c>
      <c r="I1558" s="520">
        <f>TRUNC(H1558*G1558,2)</f>
        <v>74.989999999999995</v>
      </c>
      <c r="J1558" s="521"/>
      <c r="K1558" s="522">
        <f>I1558+J1558</f>
        <v>74.989999999999995</v>
      </c>
      <c r="L1558" s="517" t="s">
        <v>12901</v>
      </c>
      <c r="M1558" s="471"/>
      <c r="N1558" s="516"/>
      <c r="Q1558" s="472"/>
      <c r="R1558" s="472"/>
      <c r="S1558" s="472"/>
      <c r="T1558" s="472"/>
      <c r="U1558" s="472"/>
      <c r="V1558" s="472"/>
      <c r="W1558" s="472"/>
      <c r="X1558" s="472"/>
      <c r="Y1558" s="472"/>
    </row>
    <row r="1559" spans="1:25" ht="24" x14ac:dyDescent="0.25">
      <c r="A1559" s="463"/>
      <c r="B1559" s="498"/>
      <c r="C1559" s="498"/>
      <c r="D1559" s="499" t="s">
        <v>12466</v>
      </c>
      <c r="E1559" s="500" t="s">
        <v>13390</v>
      </c>
      <c r="F1559" s="501" t="s">
        <v>580</v>
      </c>
      <c r="G1559" s="502"/>
      <c r="H1559" s="503"/>
      <c r="I1559" s="504">
        <f>ROUND(SUM(I1560:I1562),2)</f>
        <v>229.06</v>
      </c>
      <c r="J1559" s="504">
        <f>ROUND(SUM(J1560:J1562),2)</f>
        <v>11.05</v>
      </c>
      <c r="K1559" s="504">
        <f>+J1559+I1559</f>
        <v>240.11</v>
      </c>
      <c r="L1559" s="523" t="s">
        <v>13374</v>
      </c>
      <c r="M1559" s="471"/>
      <c r="N1559" s="505"/>
      <c r="Q1559" s="472"/>
      <c r="R1559" s="472"/>
      <c r="S1559" s="472"/>
      <c r="T1559" s="472"/>
      <c r="U1559" s="472"/>
      <c r="V1559" s="472"/>
      <c r="W1559" s="472"/>
      <c r="X1559" s="472"/>
      <c r="Y1559" s="472"/>
    </row>
    <row r="1560" spans="1:25" x14ac:dyDescent="0.25">
      <c r="A1560" s="463"/>
      <c r="B1560" s="506">
        <v>88279</v>
      </c>
      <c r="C1560" s="507"/>
      <c r="D1560" s="508"/>
      <c r="E1560" s="509" t="str">
        <f>IF($C1560="",IFERROR(VLOOKUP($B1560,SERVIÇOS!$B:$G,2,0),IFERROR(VLOOKUP($B1560,$D:$K,2,0),"")),IFERROR(VLOOKUP($C1560,INSUMOS!$A:$D,2,0),IFERROR(VLOOKUP($C1560,COTAÇÕES!$B:$I,2,0),(VLOOKUP($C1560,'INSUMO SINAPI - SP'!$C:$F,2,0)))))</f>
        <v>MONTADOR ELETROMECÃNICO COM ENCARGOS COMPLEMENTARES</v>
      </c>
      <c r="F1560" s="510" t="str">
        <f>IF($C1560="",IFERROR(VLOOKUP($B1560,SERVIÇOS!$B:$G,3,0),IFERROR(VLOOKUP($B1560,$D:$K,3,0),"")),IFERROR(VLOOKUP($C1560,INSUMOS!$A:$D,3,0),IFERROR(VLOOKUP($C1560,COTAÇÕES!$B:$I,3,0),(VLOOKUP($C1560,'INSUMO SINAPI - SP'!$C:$F,3,0)))))</f>
        <v>H</v>
      </c>
      <c r="G1560" s="511">
        <v>0.22</v>
      </c>
      <c r="H1560" s="512">
        <f>IF($C1560="",IFERROR(VLOOKUP($B1560,SERVIÇOS!$B:$G,6,0),IFERROR(VLOOKUP($B1560,$D:$K,8,0),"")),IFERROR(VLOOKUP($C1560,INSUMOS!$A:$D,4,0),IFERROR(VLOOKUP($C1560,COTAÇÕES!$B:$I,7,0),(VLOOKUP($C1560,'INSUMO SINAPI - SP'!$C:$F,4,0)))))</f>
        <v>39.01</v>
      </c>
      <c r="I1560" s="513">
        <f>TRUNC(IF($C1560="",IFERROR(VLOOKUP($B1560,SERVIÇOS!$B:$G,4,0),IFERROR(VLOOKUP($B1560,$D:$K,6,0),)),IFERROR(VLOOKUP($C1560,INSUMOS!$A:$D,4,0),IFERROR(VLOOKUP($C1560,COTAÇÕES!$B:$I,7,0),(VLOOKUP($C1560,'INSUMO SINAPI - SP'!$C:$F,4,0)))))*$G1560,2)</f>
        <v>2.0499999999999998</v>
      </c>
      <c r="J1560" s="513">
        <f>TRUNC(IF($C1560="",IFERROR(VLOOKUP($B1560,SERVIÇOS!$B:$G,5,0),IFERROR(VLOOKUP($B1560,$D:$K,7,0),)),0)*$G1560,2)</f>
        <v>6.53</v>
      </c>
      <c r="K1560" s="514">
        <f>I1560+J1560</f>
        <v>8.58</v>
      </c>
      <c r="L1560" s="515"/>
      <c r="M1560" s="471"/>
      <c r="N1560" s="516"/>
      <c r="Q1560" s="472"/>
      <c r="R1560" s="472"/>
      <c r="S1560" s="472"/>
      <c r="T1560" s="472"/>
      <c r="U1560" s="472"/>
      <c r="V1560" s="472"/>
      <c r="W1560" s="472"/>
      <c r="X1560" s="472"/>
      <c r="Y1560" s="472"/>
    </row>
    <row r="1561" spans="1:25" x14ac:dyDescent="0.25">
      <c r="A1561" s="463"/>
      <c r="B1561" s="506">
        <v>88241</v>
      </c>
      <c r="C1561" s="507"/>
      <c r="D1561" s="508"/>
      <c r="E1561" s="509" t="str">
        <f>IF($C1561="",IFERROR(VLOOKUP($B1561,SERVIÇOS!$B:$G,2,0),IFERROR(VLOOKUP($B1561,$D:$K,2,0),"")),IFERROR(VLOOKUP($C1561,INSUMOS!$A:$D,2,0),IFERROR(VLOOKUP($C1561,COTAÇÕES!$B:$I,2,0),(VLOOKUP($C1561,'INSUMO SINAPI - SP'!$C:$F,2,0)))))</f>
        <v>AJUDANTE DE OPERAÇÃO EM GERAL COM ENCARGOS COMPLEMENTARES</v>
      </c>
      <c r="F1561" s="510" t="str">
        <f>IF($C1561="",IFERROR(VLOOKUP($B1561,SERVIÇOS!$B:$G,3,0),IFERROR(VLOOKUP($B1561,$D:$K,3,0),"")),IFERROR(VLOOKUP($C1561,INSUMOS!$A:$D,3,0),IFERROR(VLOOKUP($C1561,COTAÇÕES!$B:$I,3,0),(VLOOKUP($C1561,'INSUMO SINAPI - SP'!$C:$F,3,0)))))</f>
        <v>H</v>
      </c>
      <c r="G1561" s="511">
        <v>0.22</v>
      </c>
      <c r="H1561" s="512">
        <f>IF($C1561="",IFERROR(VLOOKUP($B1561,SERVIÇOS!$B:$G,6,0),IFERROR(VLOOKUP($B1561,$D:$K,8,0),"")),IFERROR(VLOOKUP($C1561,INSUMOS!$A:$D,4,0),IFERROR(VLOOKUP($C1561,COTAÇÕES!$B:$I,7,0),(VLOOKUP($C1561,'INSUMO SINAPI - SP'!$C:$F,4,0)))))</f>
        <v>29.87</v>
      </c>
      <c r="I1561" s="513">
        <f>TRUNC(IF($C1561="",IFERROR(VLOOKUP($B1561,SERVIÇOS!$B:$G,4,0),IFERROR(VLOOKUP($B1561,$D:$K,6,0),)),IFERROR(VLOOKUP($C1561,INSUMOS!$A:$D,4,0),IFERROR(VLOOKUP($C1561,COTAÇÕES!$B:$I,7,0),(VLOOKUP($C1561,'INSUMO SINAPI - SP'!$C:$F,4,0)))))*$G1561,2)</f>
        <v>2.04</v>
      </c>
      <c r="J1561" s="513">
        <f>TRUNC(IF($C1561="",IFERROR(VLOOKUP($B1561,SERVIÇOS!$B:$G,5,0),IFERROR(VLOOKUP($B1561,$D:$K,7,0),)),0)*$G1561,2)</f>
        <v>4.5199999999999996</v>
      </c>
      <c r="K1561" s="514">
        <f>I1561+J1561</f>
        <v>6.56</v>
      </c>
      <c r="L1561" s="515"/>
      <c r="M1561" s="471"/>
      <c r="N1561" s="516"/>
      <c r="Q1561" s="472"/>
      <c r="R1561" s="472"/>
      <c r="S1561" s="472"/>
      <c r="T1561" s="472"/>
      <c r="U1561" s="472"/>
      <c r="V1561" s="472"/>
      <c r="W1561" s="472"/>
      <c r="X1561" s="472"/>
      <c r="Y1561" s="472"/>
    </row>
    <row r="1562" spans="1:25" ht="24" x14ac:dyDescent="0.25">
      <c r="A1562" s="463"/>
      <c r="B1562" s="506"/>
      <c r="C1562" s="507" t="s">
        <v>13375</v>
      </c>
      <c r="D1562" s="508"/>
      <c r="E1562" s="518" t="s">
        <v>13390</v>
      </c>
      <c r="F1562" s="519" t="s">
        <v>578</v>
      </c>
      <c r="G1562" s="511">
        <f>0.35*0.3</f>
        <v>0.105</v>
      </c>
      <c r="H1562" s="520">
        <v>2142.64</v>
      </c>
      <c r="I1562" s="520">
        <f>TRUNC(H1562*G1562,2)</f>
        <v>224.97</v>
      </c>
      <c r="J1562" s="521"/>
      <c r="K1562" s="522">
        <f>I1562+J1562</f>
        <v>224.97</v>
      </c>
      <c r="L1562" s="517" t="s">
        <v>12901</v>
      </c>
      <c r="M1562" s="471"/>
      <c r="N1562" s="516"/>
      <c r="Q1562" s="472"/>
      <c r="R1562" s="472"/>
      <c r="S1562" s="472"/>
      <c r="T1562" s="472"/>
      <c r="U1562" s="472"/>
      <c r="V1562" s="472"/>
      <c r="W1562" s="472"/>
      <c r="X1562" s="472"/>
      <c r="Y1562" s="472"/>
    </row>
    <row r="1563" spans="1:25" ht="24" x14ac:dyDescent="0.25">
      <c r="A1563" s="463"/>
      <c r="B1563" s="498"/>
      <c r="C1563" s="498"/>
      <c r="D1563" s="499" t="s">
        <v>12468</v>
      </c>
      <c r="E1563" s="500" t="s">
        <v>13391</v>
      </c>
      <c r="F1563" s="501" t="s">
        <v>580</v>
      </c>
      <c r="G1563" s="502"/>
      <c r="H1563" s="503"/>
      <c r="I1563" s="504">
        <f>ROUND(SUM(I1564:I1566),2)</f>
        <v>175.5</v>
      </c>
      <c r="J1563" s="504">
        <f>ROUND(SUM(J1564:J1566),2)</f>
        <v>11.05</v>
      </c>
      <c r="K1563" s="504">
        <f>+J1563+I1563</f>
        <v>186.55</v>
      </c>
      <c r="L1563" s="523" t="s">
        <v>13374</v>
      </c>
      <c r="M1563" s="471"/>
      <c r="N1563" s="505"/>
      <c r="Q1563" s="472"/>
      <c r="R1563" s="472"/>
      <c r="S1563" s="472"/>
      <c r="T1563" s="472"/>
      <c r="U1563" s="472"/>
      <c r="V1563" s="472"/>
      <c r="W1563" s="472"/>
      <c r="X1563" s="472"/>
      <c r="Y1563" s="472"/>
    </row>
    <row r="1564" spans="1:25" x14ac:dyDescent="0.25">
      <c r="A1564" s="463"/>
      <c r="B1564" s="506">
        <v>88279</v>
      </c>
      <c r="C1564" s="507"/>
      <c r="D1564" s="508"/>
      <c r="E1564" s="509" t="str">
        <f>IF($C1564="",IFERROR(VLOOKUP($B1564,SERVIÇOS!$B:$G,2,0),IFERROR(VLOOKUP($B1564,$D:$K,2,0),"")),IFERROR(VLOOKUP($C1564,INSUMOS!$A:$D,2,0),IFERROR(VLOOKUP($C1564,COTAÇÕES!$B:$I,2,0),(VLOOKUP($C1564,'INSUMO SINAPI - SP'!$C:$F,2,0)))))</f>
        <v>MONTADOR ELETROMECÃNICO COM ENCARGOS COMPLEMENTARES</v>
      </c>
      <c r="F1564" s="510" t="str">
        <f>IF($C1564="",IFERROR(VLOOKUP($B1564,SERVIÇOS!$B:$G,3,0),IFERROR(VLOOKUP($B1564,$D:$K,3,0),"")),IFERROR(VLOOKUP($C1564,INSUMOS!$A:$D,3,0),IFERROR(VLOOKUP($C1564,COTAÇÕES!$B:$I,3,0),(VLOOKUP($C1564,'INSUMO SINAPI - SP'!$C:$F,3,0)))))</f>
        <v>H</v>
      </c>
      <c r="G1564" s="511">
        <v>0.22</v>
      </c>
      <c r="H1564" s="512">
        <f>IF($C1564="",IFERROR(VLOOKUP($B1564,SERVIÇOS!$B:$G,6,0),IFERROR(VLOOKUP($B1564,$D:$K,8,0),"")),IFERROR(VLOOKUP($C1564,INSUMOS!$A:$D,4,0),IFERROR(VLOOKUP($C1564,COTAÇÕES!$B:$I,7,0),(VLOOKUP($C1564,'INSUMO SINAPI - SP'!$C:$F,4,0)))))</f>
        <v>39.01</v>
      </c>
      <c r="I1564" s="513">
        <f>TRUNC(IF($C1564="",IFERROR(VLOOKUP($B1564,SERVIÇOS!$B:$G,4,0),IFERROR(VLOOKUP($B1564,$D:$K,6,0),)),IFERROR(VLOOKUP($C1564,INSUMOS!$A:$D,4,0),IFERROR(VLOOKUP($C1564,COTAÇÕES!$B:$I,7,0),(VLOOKUP($C1564,'INSUMO SINAPI - SP'!$C:$F,4,0)))))*$G1564,2)</f>
        <v>2.0499999999999998</v>
      </c>
      <c r="J1564" s="513">
        <f>TRUNC(IF($C1564="",IFERROR(VLOOKUP($B1564,SERVIÇOS!$B:$G,5,0),IFERROR(VLOOKUP($B1564,$D:$K,7,0),)),0)*$G1564,2)</f>
        <v>6.53</v>
      </c>
      <c r="K1564" s="514">
        <f>I1564+J1564</f>
        <v>8.58</v>
      </c>
      <c r="L1564" s="515"/>
      <c r="M1564" s="471"/>
      <c r="N1564" s="516"/>
      <c r="Q1564" s="472"/>
      <c r="R1564" s="472"/>
      <c r="S1564" s="472"/>
      <c r="T1564" s="472"/>
      <c r="U1564" s="472"/>
      <c r="V1564" s="472"/>
      <c r="W1564" s="472"/>
      <c r="X1564" s="472"/>
      <c r="Y1564" s="472"/>
    </row>
    <row r="1565" spans="1:25" x14ac:dyDescent="0.25">
      <c r="A1565" s="463"/>
      <c r="B1565" s="506">
        <v>88241</v>
      </c>
      <c r="C1565" s="507"/>
      <c r="D1565" s="508"/>
      <c r="E1565" s="509" t="str">
        <f>IF($C1565="",IFERROR(VLOOKUP($B1565,SERVIÇOS!$B:$G,2,0),IFERROR(VLOOKUP($B1565,$D:$K,2,0),"")),IFERROR(VLOOKUP($C1565,INSUMOS!$A:$D,2,0),IFERROR(VLOOKUP($C1565,COTAÇÕES!$B:$I,2,0),(VLOOKUP($C1565,'INSUMO SINAPI - SP'!$C:$F,2,0)))))</f>
        <v>AJUDANTE DE OPERAÇÃO EM GERAL COM ENCARGOS COMPLEMENTARES</v>
      </c>
      <c r="F1565" s="510" t="str">
        <f>IF($C1565="",IFERROR(VLOOKUP($B1565,SERVIÇOS!$B:$G,3,0),IFERROR(VLOOKUP($B1565,$D:$K,3,0),"")),IFERROR(VLOOKUP($C1565,INSUMOS!$A:$D,3,0),IFERROR(VLOOKUP($C1565,COTAÇÕES!$B:$I,3,0),(VLOOKUP($C1565,'INSUMO SINAPI - SP'!$C:$F,3,0)))))</f>
        <v>H</v>
      </c>
      <c r="G1565" s="511">
        <v>0.22</v>
      </c>
      <c r="H1565" s="512">
        <f>IF($C1565="",IFERROR(VLOOKUP($B1565,SERVIÇOS!$B:$G,6,0),IFERROR(VLOOKUP($B1565,$D:$K,8,0),"")),IFERROR(VLOOKUP($C1565,INSUMOS!$A:$D,4,0),IFERROR(VLOOKUP($C1565,COTAÇÕES!$B:$I,7,0),(VLOOKUP($C1565,'INSUMO SINAPI - SP'!$C:$F,4,0)))))</f>
        <v>29.87</v>
      </c>
      <c r="I1565" s="513">
        <f>TRUNC(IF($C1565="",IFERROR(VLOOKUP($B1565,SERVIÇOS!$B:$G,4,0),IFERROR(VLOOKUP($B1565,$D:$K,6,0),)),IFERROR(VLOOKUP($C1565,INSUMOS!$A:$D,4,0),IFERROR(VLOOKUP($C1565,COTAÇÕES!$B:$I,7,0),(VLOOKUP($C1565,'INSUMO SINAPI - SP'!$C:$F,4,0)))))*$G1565,2)</f>
        <v>2.04</v>
      </c>
      <c r="J1565" s="513">
        <f>TRUNC(IF($C1565="",IFERROR(VLOOKUP($B1565,SERVIÇOS!$B:$G,5,0),IFERROR(VLOOKUP($B1565,$D:$K,7,0),)),0)*$G1565,2)</f>
        <v>4.5199999999999996</v>
      </c>
      <c r="K1565" s="514">
        <f>I1565+J1565</f>
        <v>6.56</v>
      </c>
      <c r="L1565" s="515"/>
      <c r="M1565" s="471"/>
      <c r="N1565" s="516"/>
      <c r="Q1565" s="472"/>
      <c r="R1565" s="472"/>
      <c r="S1565" s="472"/>
      <c r="T1565" s="472"/>
      <c r="U1565" s="472"/>
      <c r="V1565" s="472"/>
      <c r="W1565" s="472"/>
      <c r="X1565" s="472"/>
      <c r="Y1565" s="472"/>
    </row>
    <row r="1566" spans="1:25" ht="24" x14ac:dyDescent="0.25">
      <c r="A1566" s="463"/>
      <c r="B1566" s="506"/>
      <c r="C1566" s="507" t="s">
        <v>13375</v>
      </c>
      <c r="D1566" s="508"/>
      <c r="E1566" s="518" t="s">
        <v>13391</v>
      </c>
      <c r="F1566" s="519" t="s">
        <v>578</v>
      </c>
      <c r="G1566" s="511">
        <f>0.4*0.2</f>
        <v>8.0000000000000016E-2</v>
      </c>
      <c r="H1566" s="520">
        <v>2142.64</v>
      </c>
      <c r="I1566" s="520">
        <f>TRUNC(H1566*G1566,2)</f>
        <v>171.41</v>
      </c>
      <c r="J1566" s="521"/>
      <c r="K1566" s="522">
        <f>I1566+J1566</f>
        <v>171.41</v>
      </c>
      <c r="L1566" s="517" t="s">
        <v>12901</v>
      </c>
      <c r="M1566" s="471"/>
      <c r="N1566" s="516"/>
      <c r="Q1566" s="472"/>
      <c r="R1566" s="472"/>
      <c r="S1566" s="472"/>
      <c r="T1566" s="472"/>
      <c r="U1566" s="472"/>
      <c r="V1566" s="472"/>
      <c r="W1566" s="472"/>
      <c r="X1566" s="472"/>
      <c r="Y1566" s="472"/>
    </row>
    <row r="1567" spans="1:25" ht="24" x14ac:dyDescent="0.25">
      <c r="A1567" s="463"/>
      <c r="B1567" s="498"/>
      <c r="C1567" s="498"/>
      <c r="D1567" s="499" t="s">
        <v>12470</v>
      </c>
      <c r="E1567" s="500" t="s">
        <v>13392</v>
      </c>
      <c r="F1567" s="501" t="s">
        <v>580</v>
      </c>
      <c r="G1567" s="502"/>
      <c r="H1567" s="503"/>
      <c r="I1567" s="504">
        <f>ROUND(SUM(I1568:I1570),2)</f>
        <v>245.13</v>
      </c>
      <c r="J1567" s="504">
        <f>ROUND(SUM(J1568:J1570),2)</f>
        <v>11.05</v>
      </c>
      <c r="K1567" s="504">
        <f>+J1567+I1567</f>
        <v>256.18</v>
      </c>
      <c r="L1567" s="523" t="s">
        <v>13374</v>
      </c>
      <c r="M1567" s="471"/>
      <c r="N1567" s="505"/>
      <c r="Q1567" s="472"/>
      <c r="R1567" s="472"/>
      <c r="S1567" s="472"/>
      <c r="T1567" s="472"/>
      <c r="U1567" s="472"/>
      <c r="V1567" s="472"/>
      <c r="W1567" s="472"/>
      <c r="X1567" s="472"/>
      <c r="Y1567" s="472"/>
    </row>
    <row r="1568" spans="1:25" x14ac:dyDescent="0.25">
      <c r="A1568" s="463"/>
      <c r="B1568" s="506">
        <v>88279</v>
      </c>
      <c r="C1568" s="507"/>
      <c r="D1568" s="508"/>
      <c r="E1568" s="509" t="str">
        <f>IF($C1568="",IFERROR(VLOOKUP($B1568,SERVIÇOS!$B:$G,2,0),IFERROR(VLOOKUP($B1568,$D:$K,2,0),"")),IFERROR(VLOOKUP($C1568,INSUMOS!$A:$D,2,0),IFERROR(VLOOKUP($C1568,COTAÇÕES!$B:$I,2,0),(VLOOKUP($C1568,'INSUMO SINAPI - SP'!$C:$F,2,0)))))</f>
        <v>MONTADOR ELETROMECÃNICO COM ENCARGOS COMPLEMENTARES</v>
      </c>
      <c r="F1568" s="510" t="str">
        <f>IF($C1568="",IFERROR(VLOOKUP($B1568,SERVIÇOS!$B:$G,3,0),IFERROR(VLOOKUP($B1568,$D:$K,3,0),"")),IFERROR(VLOOKUP($C1568,INSUMOS!$A:$D,3,0),IFERROR(VLOOKUP($C1568,COTAÇÕES!$B:$I,3,0),(VLOOKUP($C1568,'INSUMO SINAPI - SP'!$C:$F,3,0)))))</f>
        <v>H</v>
      </c>
      <c r="G1568" s="511">
        <v>0.22</v>
      </c>
      <c r="H1568" s="512">
        <f>IF($C1568="",IFERROR(VLOOKUP($B1568,SERVIÇOS!$B:$G,6,0),IFERROR(VLOOKUP($B1568,$D:$K,8,0),"")),IFERROR(VLOOKUP($C1568,INSUMOS!$A:$D,4,0),IFERROR(VLOOKUP($C1568,COTAÇÕES!$B:$I,7,0),(VLOOKUP($C1568,'INSUMO SINAPI - SP'!$C:$F,4,0)))))</f>
        <v>39.01</v>
      </c>
      <c r="I1568" s="513">
        <f>TRUNC(IF($C1568="",IFERROR(VLOOKUP($B1568,SERVIÇOS!$B:$G,4,0),IFERROR(VLOOKUP($B1568,$D:$K,6,0),)),IFERROR(VLOOKUP($C1568,INSUMOS!$A:$D,4,0),IFERROR(VLOOKUP($C1568,COTAÇÕES!$B:$I,7,0),(VLOOKUP($C1568,'INSUMO SINAPI - SP'!$C:$F,4,0)))))*$G1568,2)</f>
        <v>2.0499999999999998</v>
      </c>
      <c r="J1568" s="513">
        <f>TRUNC(IF($C1568="",IFERROR(VLOOKUP($B1568,SERVIÇOS!$B:$G,5,0),IFERROR(VLOOKUP($B1568,$D:$K,7,0),)),0)*$G1568,2)</f>
        <v>6.53</v>
      </c>
      <c r="K1568" s="514">
        <f>I1568+J1568</f>
        <v>8.58</v>
      </c>
      <c r="L1568" s="515"/>
      <c r="M1568" s="471"/>
      <c r="N1568" s="516"/>
      <c r="Q1568" s="472"/>
      <c r="R1568" s="472"/>
      <c r="S1568" s="472"/>
      <c r="T1568" s="472"/>
      <c r="U1568" s="472"/>
      <c r="V1568" s="472"/>
      <c r="W1568" s="472"/>
      <c r="X1568" s="472"/>
      <c r="Y1568" s="472"/>
    </row>
    <row r="1569" spans="1:25" x14ac:dyDescent="0.25">
      <c r="A1569" s="463"/>
      <c r="B1569" s="506">
        <v>88241</v>
      </c>
      <c r="C1569" s="507"/>
      <c r="D1569" s="508"/>
      <c r="E1569" s="509" t="str">
        <f>IF($C1569="",IFERROR(VLOOKUP($B1569,SERVIÇOS!$B:$G,2,0),IFERROR(VLOOKUP($B1569,$D:$K,2,0),"")),IFERROR(VLOOKUP($C1569,INSUMOS!$A:$D,2,0),IFERROR(VLOOKUP($C1569,COTAÇÕES!$B:$I,2,0),(VLOOKUP($C1569,'INSUMO SINAPI - SP'!$C:$F,2,0)))))</f>
        <v>AJUDANTE DE OPERAÇÃO EM GERAL COM ENCARGOS COMPLEMENTARES</v>
      </c>
      <c r="F1569" s="510" t="str">
        <f>IF($C1569="",IFERROR(VLOOKUP($B1569,SERVIÇOS!$B:$G,3,0),IFERROR(VLOOKUP($B1569,$D:$K,3,0),"")),IFERROR(VLOOKUP($C1569,INSUMOS!$A:$D,3,0),IFERROR(VLOOKUP($C1569,COTAÇÕES!$B:$I,3,0),(VLOOKUP($C1569,'INSUMO SINAPI - SP'!$C:$F,3,0)))))</f>
        <v>H</v>
      </c>
      <c r="G1569" s="511">
        <v>0.22</v>
      </c>
      <c r="H1569" s="512">
        <f>IF($C1569="",IFERROR(VLOOKUP($B1569,SERVIÇOS!$B:$G,6,0),IFERROR(VLOOKUP($B1569,$D:$K,8,0),"")),IFERROR(VLOOKUP($C1569,INSUMOS!$A:$D,4,0),IFERROR(VLOOKUP($C1569,COTAÇÕES!$B:$I,7,0),(VLOOKUP($C1569,'INSUMO SINAPI - SP'!$C:$F,4,0)))))</f>
        <v>29.87</v>
      </c>
      <c r="I1569" s="513">
        <f>TRUNC(IF($C1569="",IFERROR(VLOOKUP($B1569,SERVIÇOS!$B:$G,4,0),IFERROR(VLOOKUP($B1569,$D:$K,6,0),)),IFERROR(VLOOKUP($C1569,INSUMOS!$A:$D,4,0),IFERROR(VLOOKUP($C1569,COTAÇÕES!$B:$I,7,0),(VLOOKUP($C1569,'INSUMO SINAPI - SP'!$C:$F,4,0)))))*$G1569,2)</f>
        <v>2.04</v>
      </c>
      <c r="J1569" s="513">
        <f>TRUNC(IF($C1569="",IFERROR(VLOOKUP($B1569,SERVIÇOS!$B:$G,5,0),IFERROR(VLOOKUP($B1569,$D:$K,7,0),)),0)*$G1569,2)</f>
        <v>4.5199999999999996</v>
      </c>
      <c r="K1569" s="514">
        <f>I1569+J1569</f>
        <v>6.56</v>
      </c>
      <c r="L1569" s="515"/>
      <c r="M1569" s="471"/>
      <c r="N1569" s="516"/>
      <c r="Q1569" s="472"/>
      <c r="R1569" s="472"/>
      <c r="S1569" s="472"/>
      <c r="T1569" s="472"/>
      <c r="U1569" s="472"/>
      <c r="V1569" s="472"/>
      <c r="W1569" s="472"/>
      <c r="X1569" s="472"/>
      <c r="Y1569" s="472"/>
    </row>
    <row r="1570" spans="1:25" ht="24" x14ac:dyDescent="0.25">
      <c r="A1570" s="463"/>
      <c r="B1570" s="506"/>
      <c r="C1570" s="507" t="s">
        <v>13375</v>
      </c>
      <c r="D1570" s="508"/>
      <c r="E1570" s="518" t="s">
        <v>13392</v>
      </c>
      <c r="F1570" s="519" t="s">
        <v>578</v>
      </c>
      <c r="G1570" s="511">
        <f>0.45*0.25</f>
        <v>0.1125</v>
      </c>
      <c r="H1570" s="520">
        <v>2142.64</v>
      </c>
      <c r="I1570" s="520">
        <f>TRUNC(H1570*G1570,2)</f>
        <v>241.04</v>
      </c>
      <c r="J1570" s="521"/>
      <c r="K1570" s="522">
        <f>I1570+J1570</f>
        <v>241.04</v>
      </c>
      <c r="L1570" s="517" t="s">
        <v>12901</v>
      </c>
      <c r="M1570" s="471"/>
      <c r="N1570" s="516"/>
      <c r="Q1570" s="472"/>
      <c r="R1570" s="472"/>
      <c r="S1570" s="472"/>
      <c r="T1570" s="472"/>
      <c r="U1570" s="472"/>
      <c r="V1570" s="472"/>
      <c r="W1570" s="472"/>
      <c r="X1570" s="472"/>
      <c r="Y1570" s="472"/>
    </row>
    <row r="1571" spans="1:25" ht="24" x14ac:dyDescent="0.25">
      <c r="A1571" s="463"/>
      <c r="B1571" s="498"/>
      <c r="C1571" s="498"/>
      <c r="D1571" s="499" t="s">
        <v>12471</v>
      </c>
      <c r="E1571" s="500" t="s">
        <v>13393</v>
      </c>
      <c r="F1571" s="501" t="s">
        <v>580</v>
      </c>
      <c r="G1571" s="502"/>
      <c r="H1571" s="503"/>
      <c r="I1571" s="504">
        <f>ROUND(SUM(I1572:I1574),2)</f>
        <v>164.78</v>
      </c>
      <c r="J1571" s="504">
        <f>ROUND(SUM(J1572:J1574),2)</f>
        <v>11.05</v>
      </c>
      <c r="K1571" s="504">
        <f>+J1571+I1571</f>
        <v>175.83</v>
      </c>
      <c r="L1571" s="523" t="s">
        <v>13374</v>
      </c>
      <c r="M1571" s="471"/>
      <c r="N1571" s="505"/>
      <c r="Q1571" s="472"/>
      <c r="R1571" s="472"/>
      <c r="S1571" s="472"/>
      <c r="T1571" s="472"/>
      <c r="U1571" s="472"/>
      <c r="V1571" s="472"/>
      <c r="W1571" s="472"/>
      <c r="X1571" s="472"/>
      <c r="Y1571" s="472"/>
    </row>
    <row r="1572" spans="1:25" x14ac:dyDescent="0.25">
      <c r="A1572" s="463"/>
      <c r="B1572" s="506">
        <v>88279</v>
      </c>
      <c r="C1572" s="507"/>
      <c r="D1572" s="508"/>
      <c r="E1572" s="509" t="str">
        <f>IF($C1572="",IFERROR(VLOOKUP($B1572,SERVIÇOS!$B:$G,2,0),IFERROR(VLOOKUP($B1572,$D:$K,2,0),"")),IFERROR(VLOOKUP($C1572,INSUMOS!$A:$D,2,0),IFERROR(VLOOKUP($C1572,COTAÇÕES!$B:$I,2,0),(VLOOKUP($C1572,'INSUMO SINAPI - SP'!$C:$F,2,0)))))</f>
        <v>MONTADOR ELETROMECÃNICO COM ENCARGOS COMPLEMENTARES</v>
      </c>
      <c r="F1572" s="510" t="str">
        <f>IF($C1572="",IFERROR(VLOOKUP($B1572,SERVIÇOS!$B:$G,3,0),IFERROR(VLOOKUP($B1572,$D:$K,3,0),"")),IFERROR(VLOOKUP($C1572,INSUMOS!$A:$D,3,0),IFERROR(VLOOKUP($C1572,COTAÇÕES!$B:$I,3,0),(VLOOKUP($C1572,'INSUMO SINAPI - SP'!$C:$F,3,0)))))</f>
        <v>H</v>
      </c>
      <c r="G1572" s="511">
        <v>0.22</v>
      </c>
      <c r="H1572" s="512">
        <f>IF($C1572="",IFERROR(VLOOKUP($B1572,SERVIÇOS!$B:$G,6,0),IFERROR(VLOOKUP($B1572,$D:$K,8,0),"")),IFERROR(VLOOKUP($C1572,INSUMOS!$A:$D,4,0),IFERROR(VLOOKUP($C1572,COTAÇÕES!$B:$I,7,0),(VLOOKUP($C1572,'INSUMO SINAPI - SP'!$C:$F,4,0)))))</f>
        <v>39.01</v>
      </c>
      <c r="I1572" s="513">
        <f>TRUNC(IF($C1572="",IFERROR(VLOOKUP($B1572,SERVIÇOS!$B:$G,4,0),IFERROR(VLOOKUP($B1572,$D:$K,6,0),)),IFERROR(VLOOKUP($C1572,INSUMOS!$A:$D,4,0),IFERROR(VLOOKUP($C1572,COTAÇÕES!$B:$I,7,0),(VLOOKUP($C1572,'INSUMO SINAPI - SP'!$C:$F,4,0)))))*$G1572,2)</f>
        <v>2.0499999999999998</v>
      </c>
      <c r="J1572" s="513">
        <f>TRUNC(IF($C1572="",IFERROR(VLOOKUP($B1572,SERVIÇOS!$B:$G,5,0),IFERROR(VLOOKUP($B1572,$D:$K,7,0),)),0)*$G1572,2)</f>
        <v>6.53</v>
      </c>
      <c r="K1572" s="514">
        <f>I1572+J1572</f>
        <v>8.58</v>
      </c>
      <c r="L1572" s="515"/>
      <c r="M1572" s="471"/>
      <c r="N1572" s="516"/>
      <c r="Q1572" s="472"/>
      <c r="R1572" s="472"/>
      <c r="S1572" s="472"/>
      <c r="T1572" s="472"/>
      <c r="U1572" s="472"/>
      <c r="V1572" s="472"/>
      <c r="W1572" s="472"/>
      <c r="X1572" s="472"/>
      <c r="Y1572" s="472"/>
    </row>
    <row r="1573" spans="1:25" x14ac:dyDescent="0.25">
      <c r="A1573" s="463"/>
      <c r="B1573" s="506">
        <v>88241</v>
      </c>
      <c r="C1573" s="507"/>
      <c r="D1573" s="508"/>
      <c r="E1573" s="509" t="str">
        <f>IF($C1573="",IFERROR(VLOOKUP($B1573,SERVIÇOS!$B:$G,2,0),IFERROR(VLOOKUP($B1573,$D:$K,2,0),"")),IFERROR(VLOOKUP($C1573,INSUMOS!$A:$D,2,0),IFERROR(VLOOKUP($C1573,COTAÇÕES!$B:$I,2,0),(VLOOKUP($C1573,'INSUMO SINAPI - SP'!$C:$F,2,0)))))</f>
        <v>AJUDANTE DE OPERAÇÃO EM GERAL COM ENCARGOS COMPLEMENTARES</v>
      </c>
      <c r="F1573" s="510" t="str">
        <f>IF($C1573="",IFERROR(VLOOKUP($B1573,SERVIÇOS!$B:$G,3,0),IFERROR(VLOOKUP($B1573,$D:$K,3,0),"")),IFERROR(VLOOKUP($C1573,INSUMOS!$A:$D,3,0),IFERROR(VLOOKUP($C1573,COTAÇÕES!$B:$I,3,0),(VLOOKUP($C1573,'INSUMO SINAPI - SP'!$C:$F,3,0)))))</f>
        <v>H</v>
      </c>
      <c r="G1573" s="511">
        <v>0.22</v>
      </c>
      <c r="H1573" s="512">
        <f>IF($C1573="",IFERROR(VLOOKUP($B1573,SERVIÇOS!$B:$G,6,0),IFERROR(VLOOKUP($B1573,$D:$K,8,0),"")),IFERROR(VLOOKUP($C1573,INSUMOS!$A:$D,4,0),IFERROR(VLOOKUP($C1573,COTAÇÕES!$B:$I,7,0),(VLOOKUP($C1573,'INSUMO SINAPI - SP'!$C:$F,4,0)))))</f>
        <v>29.87</v>
      </c>
      <c r="I1573" s="513">
        <f>TRUNC(IF($C1573="",IFERROR(VLOOKUP($B1573,SERVIÇOS!$B:$G,4,0),IFERROR(VLOOKUP($B1573,$D:$K,6,0),)),IFERROR(VLOOKUP($C1573,INSUMOS!$A:$D,4,0),IFERROR(VLOOKUP($C1573,COTAÇÕES!$B:$I,7,0),(VLOOKUP($C1573,'INSUMO SINAPI - SP'!$C:$F,4,0)))))*$G1573,2)</f>
        <v>2.04</v>
      </c>
      <c r="J1573" s="513">
        <f>TRUNC(IF($C1573="",IFERROR(VLOOKUP($B1573,SERVIÇOS!$B:$G,5,0),IFERROR(VLOOKUP($B1573,$D:$K,7,0),)),0)*$G1573,2)</f>
        <v>4.5199999999999996</v>
      </c>
      <c r="K1573" s="514">
        <f>I1573+J1573</f>
        <v>6.56</v>
      </c>
      <c r="L1573" s="515"/>
      <c r="M1573" s="471"/>
      <c r="N1573" s="516"/>
      <c r="Q1573" s="472"/>
      <c r="R1573" s="472"/>
      <c r="S1573" s="472"/>
      <c r="T1573" s="472"/>
      <c r="U1573" s="472"/>
      <c r="V1573" s="472"/>
      <c r="W1573" s="472"/>
      <c r="X1573" s="472"/>
      <c r="Y1573" s="472"/>
    </row>
    <row r="1574" spans="1:25" ht="24" x14ac:dyDescent="0.25">
      <c r="A1574" s="463"/>
      <c r="B1574" s="506"/>
      <c r="C1574" s="507" t="s">
        <v>13375</v>
      </c>
      <c r="D1574" s="508"/>
      <c r="E1574" s="518" t="s">
        <v>13393</v>
      </c>
      <c r="F1574" s="519" t="s">
        <v>578</v>
      </c>
      <c r="G1574" s="511">
        <f>0.5*0.15</f>
        <v>7.4999999999999997E-2</v>
      </c>
      <c r="H1574" s="520">
        <v>2142.64</v>
      </c>
      <c r="I1574" s="520">
        <f>TRUNC(H1574*G1574,2)</f>
        <v>160.69</v>
      </c>
      <c r="J1574" s="521"/>
      <c r="K1574" s="522">
        <f>I1574+J1574</f>
        <v>160.69</v>
      </c>
      <c r="L1574" s="517" t="s">
        <v>12901</v>
      </c>
      <c r="M1574" s="471"/>
      <c r="N1574" s="516"/>
      <c r="Q1574" s="472"/>
      <c r="R1574" s="472"/>
      <c r="S1574" s="472"/>
      <c r="T1574" s="472"/>
      <c r="U1574" s="472"/>
      <c r="V1574" s="472"/>
      <c r="W1574" s="472"/>
      <c r="X1574" s="472"/>
      <c r="Y1574" s="472"/>
    </row>
    <row r="1575" spans="1:25" ht="48" x14ac:dyDescent="0.25">
      <c r="A1575" s="463"/>
      <c r="B1575" s="498"/>
      <c r="C1575" s="498"/>
      <c r="D1575" s="499" t="s">
        <v>12475</v>
      </c>
      <c r="E1575" s="500" t="s">
        <v>13394</v>
      </c>
      <c r="F1575" s="501" t="s">
        <v>580</v>
      </c>
      <c r="G1575" s="502"/>
      <c r="H1575" s="503"/>
      <c r="I1575" s="504">
        <f>ROUND(SUM(I1576:I1578),2)</f>
        <v>279.57</v>
      </c>
      <c r="J1575" s="504">
        <f>ROUND(SUM(J1576:J1578),2)</f>
        <v>11.05</v>
      </c>
      <c r="K1575" s="504">
        <f>+J1575+I1575</f>
        <v>290.62</v>
      </c>
      <c r="L1575" s="523" t="s">
        <v>13395</v>
      </c>
      <c r="M1575" s="471"/>
      <c r="N1575" s="505"/>
      <c r="Q1575" s="472"/>
      <c r="R1575" s="472"/>
      <c r="S1575" s="472"/>
      <c r="T1575" s="472"/>
      <c r="U1575" s="472"/>
      <c r="V1575" s="472"/>
      <c r="W1575" s="472"/>
      <c r="X1575" s="472"/>
      <c r="Y1575" s="472"/>
    </row>
    <row r="1576" spans="1:25" x14ac:dyDescent="0.25">
      <c r="A1576" s="463"/>
      <c r="B1576" s="506">
        <v>88279</v>
      </c>
      <c r="C1576" s="507"/>
      <c r="D1576" s="508"/>
      <c r="E1576" s="509" t="str">
        <f>IF($C1576="",IFERROR(VLOOKUP($B1576,SERVIÇOS!$B:$G,2,0),IFERROR(VLOOKUP($B1576,$D:$K,2,0),"")),IFERROR(VLOOKUP($C1576,INSUMOS!$A:$D,2,0),IFERROR(VLOOKUP($C1576,COTAÇÕES!$B:$I,2,0),(VLOOKUP($C1576,'INSUMO SINAPI - SP'!$C:$F,2,0)))))</f>
        <v>MONTADOR ELETROMECÃNICO COM ENCARGOS COMPLEMENTARES</v>
      </c>
      <c r="F1576" s="510" t="str">
        <f>IF($C1576="",IFERROR(VLOOKUP($B1576,SERVIÇOS!$B:$G,3,0),IFERROR(VLOOKUP($B1576,$D:$K,3,0),"")),IFERROR(VLOOKUP($C1576,INSUMOS!$A:$D,3,0),IFERROR(VLOOKUP($C1576,COTAÇÕES!$B:$I,3,0),(VLOOKUP($C1576,'INSUMO SINAPI - SP'!$C:$F,3,0)))))</f>
        <v>H</v>
      </c>
      <c r="G1576" s="511">
        <v>0.22</v>
      </c>
      <c r="H1576" s="512">
        <f>IF($C1576="",IFERROR(VLOOKUP($B1576,SERVIÇOS!$B:$G,6,0),IFERROR(VLOOKUP($B1576,$D:$K,8,0),"")),IFERROR(VLOOKUP($C1576,INSUMOS!$A:$D,4,0),IFERROR(VLOOKUP($C1576,COTAÇÕES!$B:$I,7,0),(VLOOKUP($C1576,'INSUMO SINAPI - SP'!$C:$F,4,0)))))</f>
        <v>39.01</v>
      </c>
      <c r="I1576" s="513">
        <f>TRUNC(IF($C1576="",IFERROR(VLOOKUP($B1576,SERVIÇOS!$B:$G,4,0),IFERROR(VLOOKUP($B1576,$D:$K,6,0),)),IFERROR(VLOOKUP($C1576,INSUMOS!$A:$D,4,0),IFERROR(VLOOKUP($C1576,COTAÇÕES!$B:$I,7,0),(VLOOKUP($C1576,'INSUMO SINAPI - SP'!$C:$F,4,0)))))*$G1576,2)</f>
        <v>2.0499999999999998</v>
      </c>
      <c r="J1576" s="513">
        <f>TRUNC(IF($C1576="",IFERROR(VLOOKUP($B1576,SERVIÇOS!$B:$G,5,0),IFERROR(VLOOKUP($B1576,$D:$K,7,0),)),0)*$G1576,2)</f>
        <v>6.53</v>
      </c>
      <c r="K1576" s="514">
        <f>I1576+J1576</f>
        <v>8.58</v>
      </c>
      <c r="L1576" s="515"/>
      <c r="M1576" s="471"/>
      <c r="N1576" s="516"/>
      <c r="Q1576" s="472"/>
      <c r="R1576" s="472"/>
      <c r="S1576" s="472"/>
      <c r="T1576" s="472"/>
      <c r="U1576" s="472"/>
      <c r="V1576" s="472"/>
      <c r="W1576" s="472"/>
      <c r="X1576" s="472"/>
      <c r="Y1576" s="472"/>
    </row>
    <row r="1577" spans="1:25" x14ac:dyDescent="0.25">
      <c r="A1577" s="463"/>
      <c r="B1577" s="506">
        <v>88241</v>
      </c>
      <c r="C1577" s="507"/>
      <c r="D1577" s="508"/>
      <c r="E1577" s="509" t="str">
        <f>IF($C1577="",IFERROR(VLOOKUP($B1577,SERVIÇOS!$B:$G,2,0),IFERROR(VLOOKUP($B1577,$D:$K,2,0),"")),IFERROR(VLOOKUP($C1577,INSUMOS!$A:$D,2,0),IFERROR(VLOOKUP($C1577,COTAÇÕES!$B:$I,2,0),(VLOOKUP($C1577,'INSUMO SINAPI - SP'!$C:$F,2,0)))))</f>
        <v>AJUDANTE DE OPERAÇÃO EM GERAL COM ENCARGOS COMPLEMENTARES</v>
      </c>
      <c r="F1577" s="510" t="str">
        <f>IF($C1577="",IFERROR(VLOOKUP($B1577,SERVIÇOS!$B:$G,3,0),IFERROR(VLOOKUP($B1577,$D:$K,3,0),"")),IFERROR(VLOOKUP($C1577,INSUMOS!$A:$D,3,0),IFERROR(VLOOKUP($C1577,COTAÇÕES!$B:$I,3,0),(VLOOKUP($C1577,'INSUMO SINAPI - SP'!$C:$F,3,0)))))</f>
        <v>H</v>
      </c>
      <c r="G1577" s="511">
        <v>0.22</v>
      </c>
      <c r="H1577" s="512">
        <f>IF($C1577="",IFERROR(VLOOKUP($B1577,SERVIÇOS!$B:$G,6,0),IFERROR(VLOOKUP($B1577,$D:$K,8,0),"")),IFERROR(VLOOKUP($C1577,INSUMOS!$A:$D,4,0),IFERROR(VLOOKUP($C1577,COTAÇÕES!$B:$I,7,0),(VLOOKUP($C1577,'INSUMO SINAPI - SP'!$C:$F,4,0)))))</f>
        <v>29.87</v>
      </c>
      <c r="I1577" s="513">
        <f>TRUNC(IF($C1577="",IFERROR(VLOOKUP($B1577,SERVIÇOS!$B:$G,4,0),IFERROR(VLOOKUP($B1577,$D:$K,6,0),)),IFERROR(VLOOKUP($C1577,INSUMOS!$A:$D,4,0),IFERROR(VLOOKUP($C1577,COTAÇÕES!$B:$I,7,0),(VLOOKUP($C1577,'INSUMO SINAPI - SP'!$C:$F,4,0)))))*$G1577,2)</f>
        <v>2.04</v>
      </c>
      <c r="J1577" s="513">
        <f>TRUNC(IF($C1577="",IFERROR(VLOOKUP($B1577,SERVIÇOS!$B:$G,5,0),IFERROR(VLOOKUP($B1577,$D:$K,7,0),)),0)*$G1577,2)</f>
        <v>4.5199999999999996</v>
      </c>
      <c r="K1577" s="514">
        <f>I1577+J1577</f>
        <v>6.56</v>
      </c>
      <c r="L1577" s="515"/>
      <c r="M1577" s="471"/>
      <c r="N1577" s="516"/>
      <c r="Q1577" s="472"/>
      <c r="R1577" s="472"/>
      <c r="S1577" s="472"/>
      <c r="T1577" s="472"/>
      <c r="U1577" s="472"/>
      <c r="V1577" s="472"/>
      <c r="W1577" s="472"/>
      <c r="X1577" s="472"/>
      <c r="Y1577" s="472"/>
    </row>
    <row r="1578" spans="1:25" ht="48" x14ac:dyDescent="0.25">
      <c r="A1578" s="463"/>
      <c r="B1578" s="506"/>
      <c r="C1578" s="507" t="s">
        <v>13396</v>
      </c>
      <c r="D1578" s="508"/>
      <c r="E1578" s="518" t="s">
        <v>13394</v>
      </c>
      <c r="F1578" s="519" t="s">
        <v>578</v>
      </c>
      <c r="G1578" s="511">
        <v>4.4999999999999998E-2</v>
      </c>
      <c r="H1578" s="520">
        <v>6121.81</v>
      </c>
      <c r="I1578" s="520">
        <f>TRUNC(H1578*G1578,2)</f>
        <v>275.48</v>
      </c>
      <c r="J1578" s="521"/>
      <c r="K1578" s="522">
        <f>I1578+J1578</f>
        <v>275.48</v>
      </c>
      <c r="L1578" s="517" t="s">
        <v>12901</v>
      </c>
      <c r="M1578" s="471"/>
      <c r="N1578" s="516"/>
      <c r="Q1578" s="472"/>
      <c r="R1578" s="472"/>
      <c r="S1578" s="472"/>
      <c r="T1578" s="472"/>
      <c r="U1578" s="472"/>
      <c r="V1578" s="472"/>
      <c r="W1578" s="472"/>
      <c r="X1578" s="472"/>
      <c r="Y1578" s="472"/>
    </row>
    <row r="1579" spans="1:25" ht="48" x14ac:dyDescent="0.25">
      <c r="A1579" s="463"/>
      <c r="B1579" s="498"/>
      <c r="C1579" s="498"/>
      <c r="D1579" s="499" t="s">
        <v>12474</v>
      </c>
      <c r="E1579" s="500" t="s">
        <v>13397</v>
      </c>
      <c r="F1579" s="501" t="s">
        <v>580</v>
      </c>
      <c r="G1579" s="502"/>
      <c r="H1579" s="503"/>
      <c r="I1579" s="504">
        <f>ROUND(SUM(I1580:I1582),2)</f>
        <v>1383.67</v>
      </c>
      <c r="J1579" s="504">
        <f>ROUND(SUM(J1580:J1582),2)</f>
        <v>16.96</v>
      </c>
      <c r="K1579" s="504">
        <f>+J1579+I1579</f>
        <v>1400.63</v>
      </c>
      <c r="L1579" s="523" t="s">
        <v>13395</v>
      </c>
      <c r="M1579" s="471"/>
      <c r="N1579" s="505"/>
      <c r="Q1579" s="472"/>
      <c r="R1579" s="472"/>
      <c r="S1579" s="472"/>
      <c r="T1579" s="472"/>
      <c r="U1579" s="472"/>
      <c r="V1579" s="472"/>
      <c r="W1579" s="472"/>
      <c r="X1579" s="472"/>
      <c r="Y1579" s="472"/>
    </row>
    <row r="1580" spans="1:25" x14ac:dyDescent="0.25">
      <c r="A1580" s="463"/>
      <c r="B1580" s="506">
        <v>88279</v>
      </c>
      <c r="C1580" s="507"/>
      <c r="D1580" s="508"/>
      <c r="E1580" s="509" t="str">
        <f>IF($C1580="",IFERROR(VLOOKUP($B1580,SERVIÇOS!$B:$G,2,0),IFERROR(VLOOKUP($B1580,$D:$K,2,0),"")),IFERROR(VLOOKUP($C1580,INSUMOS!$A:$D,2,0),IFERROR(VLOOKUP($C1580,COTAÇÕES!$B:$I,2,0),(VLOOKUP($C1580,'INSUMO SINAPI - SP'!$C:$F,2,0)))))</f>
        <v>MONTADOR ELETROMECÃNICO COM ENCARGOS COMPLEMENTARES</v>
      </c>
      <c r="F1580" s="510" t="str">
        <f>IF($C1580="",IFERROR(VLOOKUP($B1580,SERVIÇOS!$B:$G,3,0),IFERROR(VLOOKUP($B1580,$D:$K,3,0),"")),IFERROR(VLOOKUP($C1580,INSUMOS!$A:$D,3,0),IFERROR(VLOOKUP($C1580,COTAÇÕES!$B:$I,3,0),(VLOOKUP($C1580,'INSUMO SINAPI - SP'!$C:$F,3,0)))))</f>
        <v>H</v>
      </c>
      <c r="G1580" s="511">
        <f>1.5*0.225</f>
        <v>0.33750000000000002</v>
      </c>
      <c r="H1580" s="512">
        <f>IF($C1580="",IFERROR(VLOOKUP($B1580,SERVIÇOS!$B:$G,6,0),IFERROR(VLOOKUP($B1580,$D:$K,8,0),"")),IFERROR(VLOOKUP($C1580,INSUMOS!$A:$D,4,0),IFERROR(VLOOKUP($C1580,COTAÇÕES!$B:$I,7,0),(VLOOKUP($C1580,'INSUMO SINAPI - SP'!$C:$F,4,0)))))</f>
        <v>39.01</v>
      </c>
      <c r="I1580" s="513">
        <f>TRUNC(IF($C1580="",IFERROR(VLOOKUP($B1580,SERVIÇOS!$B:$G,4,0),IFERROR(VLOOKUP($B1580,$D:$K,6,0),)),IFERROR(VLOOKUP($C1580,INSUMOS!$A:$D,4,0),IFERROR(VLOOKUP($C1580,COTAÇÕES!$B:$I,7,0),(VLOOKUP($C1580,'INSUMO SINAPI - SP'!$C:$F,4,0)))))*$G1580,2)</f>
        <v>3.14</v>
      </c>
      <c r="J1580" s="513">
        <f>TRUNC(IF($C1580="",IFERROR(VLOOKUP($B1580,SERVIÇOS!$B:$G,5,0),IFERROR(VLOOKUP($B1580,$D:$K,7,0),)),0)*$G1580,2)</f>
        <v>10.02</v>
      </c>
      <c r="K1580" s="514">
        <f>I1580+J1580</f>
        <v>13.16</v>
      </c>
      <c r="L1580" s="515"/>
      <c r="M1580" s="471"/>
      <c r="N1580" s="516"/>
      <c r="Q1580" s="472"/>
      <c r="R1580" s="472"/>
      <c r="S1580" s="472"/>
      <c r="T1580" s="472"/>
      <c r="U1580" s="472"/>
      <c r="V1580" s="472"/>
      <c r="W1580" s="472"/>
      <c r="X1580" s="472"/>
      <c r="Y1580" s="472"/>
    </row>
    <row r="1581" spans="1:25" x14ac:dyDescent="0.25">
      <c r="A1581" s="463"/>
      <c r="B1581" s="506">
        <v>88241</v>
      </c>
      <c r="C1581" s="507"/>
      <c r="D1581" s="508"/>
      <c r="E1581" s="509" t="str">
        <f>IF($C1581="",IFERROR(VLOOKUP($B1581,SERVIÇOS!$B:$G,2,0),IFERROR(VLOOKUP($B1581,$D:$K,2,0),"")),IFERROR(VLOOKUP($C1581,INSUMOS!$A:$D,2,0),IFERROR(VLOOKUP($C1581,COTAÇÕES!$B:$I,2,0),(VLOOKUP($C1581,'INSUMO SINAPI - SP'!$C:$F,2,0)))))</f>
        <v>AJUDANTE DE OPERAÇÃO EM GERAL COM ENCARGOS COMPLEMENTARES</v>
      </c>
      <c r="F1581" s="510" t="str">
        <f>IF($C1581="",IFERROR(VLOOKUP($B1581,SERVIÇOS!$B:$G,3,0),IFERROR(VLOOKUP($B1581,$D:$K,3,0),"")),IFERROR(VLOOKUP($C1581,INSUMOS!$A:$D,3,0),IFERROR(VLOOKUP($C1581,COTAÇÕES!$B:$I,3,0),(VLOOKUP($C1581,'INSUMO SINAPI - SP'!$C:$F,3,0)))))</f>
        <v>H</v>
      </c>
      <c r="G1581" s="511">
        <f>+G1580</f>
        <v>0.33750000000000002</v>
      </c>
      <c r="H1581" s="512">
        <f>IF($C1581="",IFERROR(VLOOKUP($B1581,SERVIÇOS!$B:$G,6,0),IFERROR(VLOOKUP($B1581,$D:$K,8,0),"")),IFERROR(VLOOKUP($C1581,INSUMOS!$A:$D,4,0),IFERROR(VLOOKUP($C1581,COTAÇÕES!$B:$I,7,0),(VLOOKUP($C1581,'INSUMO SINAPI - SP'!$C:$F,4,0)))))</f>
        <v>29.87</v>
      </c>
      <c r="I1581" s="513">
        <f>TRUNC(IF($C1581="",IFERROR(VLOOKUP($B1581,SERVIÇOS!$B:$G,4,0),IFERROR(VLOOKUP($B1581,$D:$K,6,0),)),IFERROR(VLOOKUP($C1581,INSUMOS!$A:$D,4,0),IFERROR(VLOOKUP($C1581,COTAÇÕES!$B:$I,7,0),(VLOOKUP($C1581,'INSUMO SINAPI - SP'!$C:$F,4,0)))))*$G1581,2)</f>
        <v>3.13</v>
      </c>
      <c r="J1581" s="513">
        <f>TRUNC(IF($C1581="",IFERROR(VLOOKUP($B1581,SERVIÇOS!$B:$G,5,0),IFERROR(VLOOKUP($B1581,$D:$K,7,0),)),0)*$G1581,2)</f>
        <v>6.94</v>
      </c>
      <c r="K1581" s="514">
        <f>I1581+J1581</f>
        <v>10.07</v>
      </c>
      <c r="L1581" s="515"/>
      <c r="M1581" s="471"/>
      <c r="N1581" s="516"/>
      <c r="Q1581" s="472"/>
      <c r="R1581" s="472"/>
      <c r="S1581" s="472"/>
      <c r="T1581" s="472"/>
      <c r="U1581" s="472"/>
      <c r="V1581" s="472"/>
      <c r="W1581" s="472"/>
      <c r="X1581" s="472"/>
      <c r="Y1581" s="472"/>
    </row>
    <row r="1582" spans="1:25" ht="36" x14ac:dyDescent="0.25">
      <c r="A1582" s="463"/>
      <c r="B1582" s="506"/>
      <c r="C1582" s="507" t="s">
        <v>13396</v>
      </c>
      <c r="D1582" s="508"/>
      <c r="E1582" s="518" t="s">
        <v>13398</v>
      </c>
      <c r="F1582" s="519" t="s">
        <v>578</v>
      </c>
      <c r="G1582" s="511">
        <f>0.75*0.3</f>
        <v>0.22499999999999998</v>
      </c>
      <c r="H1582" s="520">
        <v>6121.81</v>
      </c>
      <c r="I1582" s="520">
        <f>TRUNC(H1582*G1582,2)</f>
        <v>1377.4</v>
      </c>
      <c r="J1582" s="521"/>
      <c r="K1582" s="522">
        <f>I1582+J1582</f>
        <v>1377.4</v>
      </c>
      <c r="L1582" s="517" t="s">
        <v>12901</v>
      </c>
      <c r="M1582" s="471"/>
      <c r="N1582" s="516"/>
      <c r="Q1582" s="472"/>
      <c r="R1582" s="472"/>
      <c r="S1582" s="472"/>
      <c r="T1582" s="472"/>
      <c r="U1582" s="472"/>
      <c r="V1582" s="472"/>
      <c r="W1582" s="472"/>
      <c r="X1582" s="472"/>
      <c r="Y1582" s="472"/>
    </row>
    <row r="1583" spans="1:25" ht="48" x14ac:dyDescent="0.25">
      <c r="A1583" s="463"/>
      <c r="B1583" s="498"/>
      <c r="C1583" s="498"/>
      <c r="D1583" s="499" t="s">
        <v>12476</v>
      </c>
      <c r="E1583" s="500" t="s">
        <v>13399</v>
      </c>
      <c r="F1583" s="501" t="s">
        <v>580</v>
      </c>
      <c r="G1583" s="502"/>
      <c r="H1583" s="503"/>
      <c r="I1583" s="504">
        <f>ROUND(SUM(I1584:I1586),2)</f>
        <v>464.24</v>
      </c>
      <c r="J1583" s="504">
        <f>ROUND(SUM(J1584:J1586),2)</f>
        <v>13.81</v>
      </c>
      <c r="K1583" s="504">
        <f>+J1583+I1583</f>
        <v>478.05</v>
      </c>
      <c r="L1583" s="523" t="s">
        <v>13395</v>
      </c>
      <c r="M1583" s="471"/>
      <c r="N1583" s="505"/>
      <c r="Q1583" s="472"/>
      <c r="R1583" s="472"/>
      <c r="S1583" s="472"/>
      <c r="T1583" s="472"/>
      <c r="U1583" s="472"/>
      <c r="V1583" s="472"/>
      <c r="W1583" s="472"/>
      <c r="X1583" s="472"/>
      <c r="Y1583" s="472"/>
    </row>
    <row r="1584" spans="1:25" x14ac:dyDescent="0.25">
      <c r="A1584" s="463"/>
      <c r="B1584" s="506">
        <v>88279</v>
      </c>
      <c r="C1584" s="507"/>
      <c r="D1584" s="508"/>
      <c r="E1584" s="509" t="str">
        <f>IF($C1584="",IFERROR(VLOOKUP($B1584,SERVIÇOS!$B:$G,2,0),IFERROR(VLOOKUP($B1584,$D:$K,2,0),"")),IFERROR(VLOOKUP($C1584,INSUMOS!$A:$D,2,0),IFERROR(VLOOKUP($C1584,COTAÇÕES!$B:$I,2,0),(VLOOKUP($C1584,'INSUMO SINAPI - SP'!$C:$F,2,0)))))</f>
        <v>MONTADOR ELETROMECÃNICO COM ENCARGOS COMPLEMENTARES</v>
      </c>
      <c r="F1584" s="510" t="str">
        <f>IF($C1584="",IFERROR(VLOOKUP($B1584,SERVIÇOS!$B:$G,3,0),IFERROR(VLOOKUP($B1584,$D:$K,3,0),"")),IFERROR(VLOOKUP($C1584,INSUMOS!$A:$D,3,0),IFERROR(VLOOKUP($C1584,COTAÇÕES!$B:$I,3,0),(VLOOKUP($C1584,'INSUMO SINAPI - SP'!$C:$F,3,0)))))</f>
        <v>H</v>
      </c>
      <c r="G1584" s="511">
        <v>0.27500000000000002</v>
      </c>
      <c r="H1584" s="512">
        <f>IF($C1584="",IFERROR(VLOOKUP($B1584,SERVIÇOS!$B:$G,6,0),IFERROR(VLOOKUP($B1584,$D:$K,8,0),"")),IFERROR(VLOOKUP($C1584,INSUMOS!$A:$D,4,0),IFERROR(VLOOKUP($C1584,COTAÇÕES!$B:$I,7,0),(VLOOKUP($C1584,'INSUMO SINAPI - SP'!$C:$F,4,0)))))</f>
        <v>39.01</v>
      </c>
      <c r="I1584" s="513">
        <f>TRUNC(IF($C1584="",IFERROR(VLOOKUP($B1584,SERVIÇOS!$B:$G,4,0),IFERROR(VLOOKUP($B1584,$D:$K,6,0),)),IFERROR(VLOOKUP($C1584,INSUMOS!$A:$D,4,0),IFERROR(VLOOKUP($C1584,COTAÇÕES!$B:$I,7,0),(VLOOKUP($C1584,'INSUMO SINAPI - SP'!$C:$F,4,0)))))*$G1584,2)</f>
        <v>2.56</v>
      </c>
      <c r="J1584" s="513">
        <f>TRUNC(IF($C1584="",IFERROR(VLOOKUP($B1584,SERVIÇOS!$B:$G,5,0),IFERROR(VLOOKUP($B1584,$D:$K,7,0),)),0)*$G1584,2)</f>
        <v>8.16</v>
      </c>
      <c r="K1584" s="514">
        <f>I1584+J1584</f>
        <v>10.72</v>
      </c>
      <c r="L1584" s="515"/>
      <c r="M1584" s="471"/>
      <c r="N1584" s="516"/>
      <c r="Q1584" s="472"/>
      <c r="R1584" s="472"/>
      <c r="S1584" s="472"/>
      <c r="T1584" s="472"/>
      <c r="U1584" s="472"/>
      <c r="V1584" s="472"/>
      <c r="W1584" s="472"/>
      <c r="X1584" s="472"/>
      <c r="Y1584" s="472"/>
    </row>
    <row r="1585" spans="1:25" x14ac:dyDescent="0.25">
      <c r="A1585" s="463"/>
      <c r="B1585" s="506">
        <v>88241</v>
      </c>
      <c r="C1585" s="507"/>
      <c r="D1585" s="508"/>
      <c r="E1585" s="509" t="str">
        <f>IF($C1585="",IFERROR(VLOOKUP($B1585,SERVIÇOS!$B:$G,2,0),IFERROR(VLOOKUP($B1585,$D:$K,2,0),"")),IFERROR(VLOOKUP($C1585,INSUMOS!$A:$D,2,0),IFERROR(VLOOKUP($C1585,COTAÇÕES!$B:$I,2,0),(VLOOKUP($C1585,'INSUMO SINAPI - SP'!$C:$F,2,0)))))</f>
        <v>AJUDANTE DE OPERAÇÃO EM GERAL COM ENCARGOS COMPLEMENTARES</v>
      </c>
      <c r="F1585" s="510" t="str">
        <f>IF($C1585="",IFERROR(VLOOKUP($B1585,SERVIÇOS!$B:$G,3,0),IFERROR(VLOOKUP($B1585,$D:$K,3,0),"")),IFERROR(VLOOKUP($C1585,INSUMOS!$A:$D,3,0),IFERROR(VLOOKUP($C1585,COTAÇÕES!$B:$I,3,0),(VLOOKUP($C1585,'INSUMO SINAPI - SP'!$C:$F,3,0)))))</f>
        <v>H</v>
      </c>
      <c r="G1585" s="511">
        <v>0.27500000000000002</v>
      </c>
      <c r="H1585" s="512">
        <f>IF($C1585="",IFERROR(VLOOKUP($B1585,SERVIÇOS!$B:$G,6,0),IFERROR(VLOOKUP($B1585,$D:$K,8,0),"")),IFERROR(VLOOKUP($C1585,INSUMOS!$A:$D,4,0),IFERROR(VLOOKUP($C1585,COTAÇÕES!$B:$I,7,0),(VLOOKUP($C1585,'INSUMO SINAPI - SP'!$C:$F,4,0)))))</f>
        <v>29.87</v>
      </c>
      <c r="I1585" s="513">
        <f>TRUNC(IF($C1585="",IFERROR(VLOOKUP($B1585,SERVIÇOS!$B:$G,4,0),IFERROR(VLOOKUP($B1585,$D:$K,6,0),)),IFERROR(VLOOKUP($C1585,INSUMOS!$A:$D,4,0),IFERROR(VLOOKUP($C1585,COTAÇÕES!$B:$I,7,0),(VLOOKUP($C1585,'INSUMO SINAPI - SP'!$C:$F,4,0)))))*$G1585,2)</f>
        <v>2.5499999999999998</v>
      </c>
      <c r="J1585" s="513">
        <f>TRUNC(IF($C1585="",IFERROR(VLOOKUP($B1585,SERVIÇOS!$B:$G,5,0),IFERROR(VLOOKUP($B1585,$D:$K,7,0),)),0)*$G1585,2)</f>
        <v>5.65</v>
      </c>
      <c r="K1585" s="514">
        <f>I1585+J1585</f>
        <v>8.1999999999999993</v>
      </c>
      <c r="L1585" s="515"/>
      <c r="M1585" s="471"/>
      <c r="N1585" s="516"/>
      <c r="Q1585" s="472"/>
      <c r="R1585" s="472"/>
      <c r="S1585" s="472"/>
      <c r="T1585" s="472"/>
      <c r="U1585" s="472"/>
      <c r="V1585" s="472"/>
      <c r="W1585" s="472"/>
      <c r="X1585" s="472"/>
      <c r="Y1585" s="472"/>
    </row>
    <row r="1586" spans="1:25" ht="48" x14ac:dyDescent="0.25">
      <c r="A1586" s="463"/>
      <c r="B1586" s="506"/>
      <c r="C1586" s="507" t="s">
        <v>13396</v>
      </c>
      <c r="D1586" s="508"/>
      <c r="E1586" s="518" t="s">
        <v>13399</v>
      </c>
      <c r="F1586" s="519" t="s">
        <v>578</v>
      </c>
      <c r="G1586" s="511">
        <v>7.4999999999999997E-2</v>
      </c>
      <c r="H1586" s="520">
        <v>6121.81</v>
      </c>
      <c r="I1586" s="520">
        <f>TRUNC(H1586*G1586,2)</f>
        <v>459.13</v>
      </c>
      <c r="J1586" s="521"/>
      <c r="K1586" s="522">
        <f>I1586+J1586</f>
        <v>459.13</v>
      </c>
      <c r="L1586" s="517" t="s">
        <v>12901</v>
      </c>
      <c r="M1586" s="471"/>
      <c r="N1586" s="516"/>
      <c r="Q1586" s="472"/>
      <c r="R1586" s="472"/>
      <c r="S1586" s="472"/>
      <c r="T1586" s="472"/>
      <c r="U1586" s="472"/>
      <c r="V1586" s="472"/>
      <c r="W1586" s="472"/>
      <c r="X1586" s="472"/>
      <c r="Y1586" s="472"/>
    </row>
    <row r="1587" spans="1:25" ht="48" x14ac:dyDescent="0.25">
      <c r="A1587" s="463"/>
      <c r="B1587" s="498"/>
      <c r="C1587" s="498"/>
      <c r="D1587" s="499" t="s">
        <v>12477</v>
      </c>
      <c r="E1587" s="500" t="s">
        <v>13400</v>
      </c>
      <c r="F1587" s="501" t="s">
        <v>580</v>
      </c>
      <c r="G1587" s="502"/>
      <c r="H1587" s="503"/>
      <c r="I1587" s="504">
        <f>ROUND(SUM(I1588:I1590),2)</f>
        <v>693.61</v>
      </c>
      <c r="J1587" s="504">
        <f>ROUND(SUM(J1588:J1590),2)</f>
        <v>13.26</v>
      </c>
      <c r="K1587" s="504">
        <f>+J1587+I1587</f>
        <v>706.87</v>
      </c>
      <c r="L1587" s="523" t="s">
        <v>13395</v>
      </c>
      <c r="M1587" s="471"/>
      <c r="N1587" s="505"/>
      <c r="Q1587" s="472"/>
      <c r="R1587" s="472"/>
      <c r="S1587" s="472"/>
      <c r="T1587" s="472"/>
      <c r="U1587" s="472"/>
      <c r="V1587" s="472"/>
      <c r="W1587" s="472"/>
      <c r="X1587" s="472"/>
      <c r="Y1587" s="472"/>
    </row>
    <row r="1588" spans="1:25" x14ac:dyDescent="0.25">
      <c r="A1588" s="463"/>
      <c r="B1588" s="506">
        <v>88279</v>
      </c>
      <c r="C1588" s="507"/>
      <c r="D1588" s="508"/>
      <c r="E1588" s="509" t="str">
        <f>IF($C1588="",IFERROR(VLOOKUP($B1588,SERVIÇOS!$B:$G,2,0),IFERROR(VLOOKUP($B1588,$D:$K,2,0),"")),IFERROR(VLOOKUP($C1588,INSUMOS!$A:$D,2,0),IFERROR(VLOOKUP($C1588,COTAÇÕES!$B:$I,2,0),(VLOOKUP($C1588,'INSUMO SINAPI - SP'!$C:$F,2,0)))))</f>
        <v>MONTADOR ELETROMECÃNICO COM ENCARGOS COMPLEMENTARES</v>
      </c>
      <c r="F1588" s="510" t="str">
        <f>IF($C1588="",IFERROR(VLOOKUP($B1588,SERVIÇOS!$B:$G,3,0),IFERROR(VLOOKUP($B1588,$D:$K,3,0),"")),IFERROR(VLOOKUP($C1588,INSUMOS!$A:$D,3,0),IFERROR(VLOOKUP($C1588,COTAÇÕES!$B:$I,3,0),(VLOOKUP($C1588,'INSUMO SINAPI - SP'!$C:$F,3,0)))))</f>
        <v>H</v>
      </c>
      <c r="G1588" s="511">
        <v>0.26400000000000001</v>
      </c>
      <c r="H1588" s="512">
        <f>IF($C1588="",IFERROR(VLOOKUP($B1588,SERVIÇOS!$B:$G,6,0),IFERROR(VLOOKUP($B1588,$D:$K,8,0),"")),IFERROR(VLOOKUP($C1588,INSUMOS!$A:$D,4,0),IFERROR(VLOOKUP($C1588,COTAÇÕES!$B:$I,7,0),(VLOOKUP($C1588,'INSUMO SINAPI - SP'!$C:$F,4,0)))))</f>
        <v>39.01</v>
      </c>
      <c r="I1588" s="513">
        <f>TRUNC(IF($C1588="",IFERROR(VLOOKUP($B1588,SERVIÇOS!$B:$G,4,0),IFERROR(VLOOKUP($B1588,$D:$K,6,0),)),IFERROR(VLOOKUP($C1588,INSUMOS!$A:$D,4,0),IFERROR(VLOOKUP($C1588,COTAÇÕES!$B:$I,7,0),(VLOOKUP($C1588,'INSUMO SINAPI - SP'!$C:$F,4,0)))))*$G1588,2)</f>
        <v>2.46</v>
      </c>
      <c r="J1588" s="513">
        <f>TRUNC(IF($C1588="",IFERROR(VLOOKUP($B1588,SERVIÇOS!$B:$G,5,0),IFERROR(VLOOKUP($B1588,$D:$K,7,0),)),0)*$G1588,2)</f>
        <v>7.83</v>
      </c>
      <c r="K1588" s="514">
        <f>I1588+J1588</f>
        <v>10.29</v>
      </c>
      <c r="L1588" s="515"/>
      <c r="M1588" s="471"/>
      <c r="N1588" s="516"/>
      <c r="Q1588" s="472"/>
      <c r="R1588" s="472"/>
      <c r="S1588" s="472"/>
      <c r="T1588" s="472"/>
      <c r="U1588" s="472"/>
      <c r="V1588" s="472"/>
      <c r="W1588" s="472"/>
      <c r="X1588" s="472"/>
      <c r="Y1588" s="472"/>
    </row>
    <row r="1589" spans="1:25" x14ac:dyDescent="0.25">
      <c r="A1589" s="463"/>
      <c r="B1589" s="506">
        <v>88241</v>
      </c>
      <c r="C1589" s="507"/>
      <c r="D1589" s="508"/>
      <c r="E1589" s="509" t="str">
        <f>IF($C1589="",IFERROR(VLOOKUP($B1589,SERVIÇOS!$B:$G,2,0),IFERROR(VLOOKUP($B1589,$D:$K,2,0),"")),IFERROR(VLOOKUP($C1589,INSUMOS!$A:$D,2,0),IFERROR(VLOOKUP($C1589,COTAÇÕES!$B:$I,2,0),(VLOOKUP($C1589,'INSUMO SINAPI - SP'!$C:$F,2,0)))))</f>
        <v>AJUDANTE DE OPERAÇÃO EM GERAL COM ENCARGOS COMPLEMENTARES</v>
      </c>
      <c r="F1589" s="510" t="str">
        <f>IF($C1589="",IFERROR(VLOOKUP($B1589,SERVIÇOS!$B:$G,3,0),IFERROR(VLOOKUP($B1589,$D:$K,3,0),"")),IFERROR(VLOOKUP($C1589,INSUMOS!$A:$D,3,0),IFERROR(VLOOKUP($C1589,COTAÇÕES!$B:$I,3,0),(VLOOKUP($C1589,'INSUMO SINAPI - SP'!$C:$F,3,0)))))</f>
        <v>H</v>
      </c>
      <c r="G1589" s="511">
        <v>0.26400000000000001</v>
      </c>
      <c r="H1589" s="512">
        <f>IF($C1589="",IFERROR(VLOOKUP($B1589,SERVIÇOS!$B:$G,6,0),IFERROR(VLOOKUP($B1589,$D:$K,8,0),"")),IFERROR(VLOOKUP($C1589,INSUMOS!$A:$D,4,0),IFERROR(VLOOKUP($C1589,COTAÇÕES!$B:$I,7,0),(VLOOKUP($C1589,'INSUMO SINAPI - SP'!$C:$F,4,0)))))</f>
        <v>29.87</v>
      </c>
      <c r="I1589" s="513">
        <f>TRUNC(IF($C1589="",IFERROR(VLOOKUP($B1589,SERVIÇOS!$B:$G,4,0),IFERROR(VLOOKUP($B1589,$D:$K,6,0),)),IFERROR(VLOOKUP($C1589,INSUMOS!$A:$D,4,0),IFERROR(VLOOKUP($C1589,COTAÇÕES!$B:$I,7,0),(VLOOKUP($C1589,'INSUMO SINAPI - SP'!$C:$F,4,0)))))*$G1589,2)</f>
        <v>2.4500000000000002</v>
      </c>
      <c r="J1589" s="513">
        <f>TRUNC(IF($C1589="",IFERROR(VLOOKUP($B1589,SERVIÇOS!$B:$G,5,0),IFERROR(VLOOKUP($B1589,$D:$K,7,0),)),0)*$G1589,2)</f>
        <v>5.43</v>
      </c>
      <c r="K1589" s="514">
        <f>I1589+J1589</f>
        <v>7.88</v>
      </c>
      <c r="L1589" s="515"/>
      <c r="M1589" s="471"/>
      <c r="N1589" s="516"/>
      <c r="Q1589" s="472"/>
      <c r="R1589" s="472"/>
      <c r="S1589" s="472"/>
      <c r="T1589" s="472"/>
      <c r="U1589" s="472"/>
      <c r="V1589" s="472"/>
      <c r="W1589" s="472"/>
      <c r="X1589" s="472"/>
      <c r="Y1589" s="472"/>
    </row>
    <row r="1590" spans="1:25" ht="48" x14ac:dyDescent="0.25">
      <c r="A1590" s="463"/>
      <c r="B1590" s="506"/>
      <c r="C1590" s="507" t="s">
        <v>13396</v>
      </c>
      <c r="D1590" s="508"/>
      <c r="E1590" s="518" t="s">
        <v>13400</v>
      </c>
      <c r="F1590" s="519" t="s">
        <v>578</v>
      </c>
      <c r="G1590" s="511">
        <v>0.1125</v>
      </c>
      <c r="H1590" s="520">
        <v>6121.81</v>
      </c>
      <c r="I1590" s="520">
        <f>TRUNC(H1590*G1590,2)</f>
        <v>688.7</v>
      </c>
      <c r="J1590" s="521"/>
      <c r="K1590" s="522">
        <f>I1590+J1590</f>
        <v>688.7</v>
      </c>
      <c r="L1590" s="517" t="s">
        <v>12901</v>
      </c>
      <c r="M1590" s="471"/>
      <c r="N1590" s="516"/>
      <c r="Q1590" s="472"/>
      <c r="R1590" s="472"/>
      <c r="S1590" s="472"/>
      <c r="T1590" s="472"/>
      <c r="U1590" s="472"/>
      <c r="V1590" s="472"/>
      <c r="W1590" s="472"/>
      <c r="X1590" s="472"/>
      <c r="Y1590" s="472"/>
    </row>
    <row r="1591" spans="1:25" ht="36" x14ac:dyDescent="0.25">
      <c r="A1591" s="463"/>
      <c r="B1591" s="498"/>
      <c r="C1591" s="498"/>
      <c r="D1591" s="499" t="s">
        <v>12427</v>
      </c>
      <c r="E1591" s="500" t="s">
        <v>13401</v>
      </c>
      <c r="F1591" s="501" t="s">
        <v>580</v>
      </c>
      <c r="G1591" s="502"/>
      <c r="H1591" s="503"/>
      <c r="I1591" s="504">
        <f>ROUND(SUM(I1592:I1594),2)</f>
        <v>74.2</v>
      </c>
      <c r="J1591" s="504">
        <f>ROUND(SUM(J1592:J1594),2)</f>
        <v>3.16</v>
      </c>
      <c r="K1591" s="504">
        <f>+J1591+I1591</f>
        <v>77.36</v>
      </c>
      <c r="L1591" s="523" t="s">
        <v>13402</v>
      </c>
      <c r="M1591" s="471"/>
      <c r="N1591" s="505"/>
      <c r="Q1591" s="472"/>
      <c r="R1591" s="472"/>
      <c r="S1591" s="472"/>
      <c r="T1591" s="472"/>
      <c r="U1591" s="472"/>
      <c r="V1591" s="472"/>
      <c r="W1591" s="472"/>
      <c r="X1591" s="472"/>
      <c r="Y1591" s="472"/>
    </row>
    <row r="1592" spans="1:25" x14ac:dyDescent="0.25">
      <c r="A1592" s="463"/>
      <c r="B1592" s="506">
        <v>88279</v>
      </c>
      <c r="C1592" s="507"/>
      <c r="D1592" s="508"/>
      <c r="E1592" s="509" t="str">
        <f>IF($C1592="",IFERROR(VLOOKUP($B1592,SERVIÇOS!$B:$G,2,0),IFERROR(VLOOKUP($B1592,$D:$K,2,0),"")),IFERROR(VLOOKUP($C1592,INSUMOS!$A:$D,2,0),IFERROR(VLOOKUP($C1592,COTAÇÕES!$B:$I,2,0),(VLOOKUP($C1592,'INSUMO SINAPI - SP'!$C:$F,2,0)))))</f>
        <v>MONTADOR ELETROMECÃNICO COM ENCARGOS COMPLEMENTARES</v>
      </c>
      <c r="F1592" s="510" t="str">
        <f>IF($C1592="",IFERROR(VLOOKUP($B1592,SERVIÇOS!$B:$G,3,0),IFERROR(VLOOKUP($B1592,$D:$K,3,0),"")),IFERROR(VLOOKUP($C1592,INSUMOS!$A:$D,3,0),IFERROR(VLOOKUP($C1592,COTAÇÕES!$B:$I,3,0),(VLOOKUP($C1592,'INSUMO SINAPI - SP'!$C:$F,3,0)))))</f>
        <v>H</v>
      </c>
      <c r="G1592" s="511">
        <v>6.3E-2</v>
      </c>
      <c r="H1592" s="512">
        <f>IF($C1592="",IFERROR(VLOOKUP($B1592,SERVIÇOS!$B:$G,6,0),IFERROR(VLOOKUP($B1592,$D:$K,8,0),"")),IFERROR(VLOOKUP($C1592,INSUMOS!$A:$D,4,0),IFERROR(VLOOKUP($C1592,COTAÇÕES!$B:$I,7,0),(VLOOKUP($C1592,'INSUMO SINAPI - SP'!$C:$F,4,0)))))</f>
        <v>39.01</v>
      </c>
      <c r="I1592" s="513">
        <f>TRUNC(IF($C1592="",IFERROR(VLOOKUP($B1592,SERVIÇOS!$B:$G,4,0),IFERROR(VLOOKUP($B1592,$D:$K,6,0),)),IFERROR(VLOOKUP($C1592,INSUMOS!$A:$D,4,0),IFERROR(VLOOKUP($C1592,COTAÇÕES!$B:$I,7,0),(VLOOKUP($C1592,'INSUMO SINAPI - SP'!$C:$F,4,0)))))*$G1592,2)</f>
        <v>0.57999999999999996</v>
      </c>
      <c r="J1592" s="513">
        <f>TRUNC(IF($C1592="",IFERROR(VLOOKUP($B1592,SERVIÇOS!$B:$G,5,0),IFERROR(VLOOKUP($B1592,$D:$K,7,0),)),0)*$G1592,2)</f>
        <v>1.87</v>
      </c>
      <c r="K1592" s="514">
        <f>I1592+J1592</f>
        <v>2.4500000000000002</v>
      </c>
      <c r="L1592" s="515"/>
      <c r="M1592" s="471"/>
      <c r="N1592" s="516"/>
      <c r="Q1592" s="472"/>
      <c r="R1592" s="472"/>
      <c r="S1592" s="472"/>
      <c r="T1592" s="472"/>
      <c r="U1592" s="472"/>
      <c r="V1592" s="472"/>
      <c r="W1592" s="472"/>
      <c r="X1592" s="472"/>
      <c r="Y1592" s="472"/>
    </row>
    <row r="1593" spans="1:25" x14ac:dyDescent="0.25">
      <c r="A1593" s="463"/>
      <c r="B1593" s="506">
        <v>88241</v>
      </c>
      <c r="C1593" s="507"/>
      <c r="D1593" s="508"/>
      <c r="E1593" s="509" t="str">
        <f>IF($C1593="",IFERROR(VLOOKUP($B1593,SERVIÇOS!$B:$G,2,0),IFERROR(VLOOKUP($B1593,$D:$K,2,0),"")),IFERROR(VLOOKUP($C1593,INSUMOS!$A:$D,2,0),IFERROR(VLOOKUP($C1593,COTAÇÕES!$B:$I,2,0),(VLOOKUP($C1593,'INSUMO SINAPI - SP'!$C:$F,2,0)))))</f>
        <v>AJUDANTE DE OPERAÇÃO EM GERAL COM ENCARGOS COMPLEMENTARES</v>
      </c>
      <c r="F1593" s="510" t="str">
        <f>IF($C1593="",IFERROR(VLOOKUP($B1593,SERVIÇOS!$B:$G,3,0),IFERROR(VLOOKUP($B1593,$D:$K,3,0),"")),IFERROR(VLOOKUP($C1593,INSUMOS!$A:$D,3,0),IFERROR(VLOOKUP($C1593,COTAÇÕES!$B:$I,3,0),(VLOOKUP($C1593,'INSUMO SINAPI - SP'!$C:$F,3,0)))))</f>
        <v>H</v>
      </c>
      <c r="G1593" s="511">
        <v>6.3E-2</v>
      </c>
      <c r="H1593" s="512">
        <f>IF($C1593="",IFERROR(VLOOKUP($B1593,SERVIÇOS!$B:$G,6,0),IFERROR(VLOOKUP($B1593,$D:$K,8,0),"")),IFERROR(VLOOKUP($C1593,INSUMOS!$A:$D,4,0),IFERROR(VLOOKUP($C1593,COTAÇÕES!$B:$I,7,0),(VLOOKUP($C1593,'INSUMO SINAPI - SP'!$C:$F,4,0)))))</f>
        <v>29.87</v>
      </c>
      <c r="I1593" s="513">
        <f>TRUNC(IF($C1593="",IFERROR(VLOOKUP($B1593,SERVIÇOS!$B:$G,4,0),IFERROR(VLOOKUP($B1593,$D:$K,6,0),)),IFERROR(VLOOKUP($C1593,INSUMOS!$A:$D,4,0),IFERROR(VLOOKUP($C1593,COTAÇÕES!$B:$I,7,0),(VLOOKUP($C1593,'INSUMO SINAPI - SP'!$C:$F,4,0)))))*$G1593,2)</f>
        <v>0.57999999999999996</v>
      </c>
      <c r="J1593" s="513">
        <f>TRUNC(IF($C1593="",IFERROR(VLOOKUP($B1593,SERVIÇOS!$B:$G,5,0),IFERROR(VLOOKUP($B1593,$D:$K,7,0),)),0)*$G1593,2)</f>
        <v>1.29</v>
      </c>
      <c r="K1593" s="514">
        <f>I1593+J1593</f>
        <v>1.87</v>
      </c>
      <c r="L1593" s="515"/>
      <c r="M1593" s="471"/>
      <c r="N1593" s="516"/>
      <c r="Q1593" s="472"/>
      <c r="R1593" s="472"/>
      <c r="S1593" s="472"/>
      <c r="T1593" s="472"/>
      <c r="U1593" s="472"/>
      <c r="V1593" s="472"/>
      <c r="W1593" s="472"/>
      <c r="X1593" s="472"/>
      <c r="Y1593" s="472"/>
    </row>
    <row r="1594" spans="1:25" ht="36" x14ac:dyDescent="0.25">
      <c r="A1594" s="463"/>
      <c r="B1594" s="506"/>
      <c r="C1594" s="507" t="s">
        <v>13403</v>
      </c>
      <c r="D1594" s="508"/>
      <c r="E1594" s="518" t="s">
        <v>13401</v>
      </c>
      <c r="F1594" s="519" t="s">
        <v>578</v>
      </c>
      <c r="G1594" s="511">
        <v>1.7999999999999999E-2</v>
      </c>
      <c r="H1594" s="520">
        <v>4058.1</v>
      </c>
      <c r="I1594" s="520">
        <f>TRUNC(H1594*G1594,2)</f>
        <v>73.040000000000006</v>
      </c>
      <c r="J1594" s="521"/>
      <c r="K1594" s="522">
        <f>I1594+J1594</f>
        <v>73.040000000000006</v>
      </c>
      <c r="L1594" s="517" t="s">
        <v>12901</v>
      </c>
      <c r="M1594" s="471"/>
      <c r="N1594" s="516"/>
      <c r="Q1594" s="472"/>
      <c r="R1594" s="472"/>
      <c r="S1594" s="472"/>
      <c r="T1594" s="472"/>
      <c r="U1594" s="472"/>
      <c r="V1594" s="472"/>
      <c r="W1594" s="472"/>
      <c r="X1594" s="472"/>
      <c r="Y1594" s="472"/>
    </row>
    <row r="1595" spans="1:25" ht="36" x14ac:dyDescent="0.25">
      <c r="A1595" s="463"/>
      <c r="B1595" s="498"/>
      <c r="C1595" s="498"/>
      <c r="D1595" s="499" t="s">
        <v>12422</v>
      </c>
      <c r="E1595" s="500" t="s">
        <v>13404</v>
      </c>
      <c r="F1595" s="501" t="s">
        <v>580</v>
      </c>
      <c r="G1595" s="502"/>
      <c r="H1595" s="503"/>
      <c r="I1595" s="504">
        <f>ROUND(SUM(I1596:I1598),2)</f>
        <v>74.2</v>
      </c>
      <c r="J1595" s="504">
        <f>ROUND(SUM(J1596:J1598),2)</f>
        <v>3.16</v>
      </c>
      <c r="K1595" s="504">
        <f>+J1595+I1595</f>
        <v>77.36</v>
      </c>
      <c r="L1595" s="523" t="s">
        <v>13402</v>
      </c>
      <c r="M1595" s="471"/>
      <c r="N1595" s="505"/>
      <c r="Q1595" s="472"/>
      <c r="R1595" s="472"/>
      <c r="S1595" s="472"/>
      <c r="T1595" s="472"/>
      <c r="U1595" s="472"/>
      <c r="V1595" s="472"/>
      <c r="W1595" s="472"/>
      <c r="X1595" s="472"/>
      <c r="Y1595" s="472"/>
    </row>
    <row r="1596" spans="1:25" x14ac:dyDescent="0.25">
      <c r="A1596" s="463"/>
      <c r="B1596" s="506">
        <v>88279</v>
      </c>
      <c r="C1596" s="507"/>
      <c r="D1596" s="508"/>
      <c r="E1596" s="509" t="str">
        <f>IF($C1596="",IFERROR(VLOOKUP($B1596,SERVIÇOS!$B:$G,2,0),IFERROR(VLOOKUP($B1596,$D:$K,2,0),"")),IFERROR(VLOOKUP($C1596,INSUMOS!$A:$D,2,0),IFERROR(VLOOKUP($C1596,COTAÇÕES!$B:$I,2,0),(VLOOKUP($C1596,'INSUMO SINAPI - SP'!$C:$F,2,0)))))</f>
        <v>MONTADOR ELETROMECÃNICO COM ENCARGOS COMPLEMENTARES</v>
      </c>
      <c r="F1596" s="510" t="str">
        <f>IF($C1596="",IFERROR(VLOOKUP($B1596,SERVIÇOS!$B:$G,3,0),IFERROR(VLOOKUP($B1596,$D:$K,3,0),"")),IFERROR(VLOOKUP($C1596,INSUMOS!$A:$D,3,0),IFERROR(VLOOKUP($C1596,COTAÇÕES!$B:$I,3,0),(VLOOKUP($C1596,'INSUMO SINAPI - SP'!$C:$F,3,0)))))</f>
        <v>H</v>
      </c>
      <c r="G1596" s="511">
        <v>6.3E-2</v>
      </c>
      <c r="H1596" s="512">
        <f>IF($C1596="",IFERROR(VLOOKUP($B1596,SERVIÇOS!$B:$G,6,0),IFERROR(VLOOKUP($B1596,$D:$K,8,0),"")),IFERROR(VLOOKUP($C1596,INSUMOS!$A:$D,4,0),IFERROR(VLOOKUP($C1596,COTAÇÕES!$B:$I,7,0),(VLOOKUP($C1596,'INSUMO SINAPI - SP'!$C:$F,4,0)))))</f>
        <v>39.01</v>
      </c>
      <c r="I1596" s="513">
        <f>TRUNC(IF($C1596="",IFERROR(VLOOKUP($B1596,SERVIÇOS!$B:$G,4,0),IFERROR(VLOOKUP($B1596,$D:$K,6,0),)),IFERROR(VLOOKUP($C1596,INSUMOS!$A:$D,4,0),IFERROR(VLOOKUP($C1596,COTAÇÕES!$B:$I,7,0),(VLOOKUP($C1596,'INSUMO SINAPI - SP'!$C:$F,4,0)))))*$G1596,2)</f>
        <v>0.57999999999999996</v>
      </c>
      <c r="J1596" s="513">
        <f>TRUNC(IF($C1596="",IFERROR(VLOOKUP($B1596,SERVIÇOS!$B:$G,5,0),IFERROR(VLOOKUP($B1596,$D:$K,7,0),)),0)*$G1596,2)</f>
        <v>1.87</v>
      </c>
      <c r="K1596" s="514">
        <f>I1596+J1596</f>
        <v>2.4500000000000002</v>
      </c>
      <c r="L1596" s="515"/>
      <c r="M1596" s="471"/>
      <c r="N1596" s="516"/>
      <c r="Q1596" s="472"/>
      <c r="R1596" s="472"/>
      <c r="S1596" s="472"/>
      <c r="T1596" s="472"/>
      <c r="U1596" s="472"/>
      <c r="V1596" s="472"/>
      <c r="W1596" s="472"/>
      <c r="X1596" s="472"/>
      <c r="Y1596" s="472"/>
    </row>
    <row r="1597" spans="1:25" x14ac:dyDescent="0.25">
      <c r="A1597" s="463"/>
      <c r="B1597" s="506">
        <v>88241</v>
      </c>
      <c r="C1597" s="507"/>
      <c r="D1597" s="508"/>
      <c r="E1597" s="509" t="str">
        <f>IF($C1597="",IFERROR(VLOOKUP($B1597,SERVIÇOS!$B:$G,2,0),IFERROR(VLOOKUP($B1597,$D:$K,2,0),"")),IFERROR(VLOOKUP($C1597,INSUMOS!$A:$D,2,0),IFERROR(VLOOKUP($C1597,COTAÇÕES!$B:$I,2,0),(VLOOKUP($C1597,'INSUMO SINAPI - SP'!$C:$F,2,0)))))</f>
        <v>AJUDANTE DE OPERAÇÃO EM GERAL COM ENCARGOS COMPLEMENTARES</v>
      </c>
      <c r="F1597" s="510" t="str">
        <f>IF($C1597="",IFERROR(VLOOKUP($B1597,SERVIÇOS!$B:$G,3,0),IFERROR(VLOOKUP($B1597,$D:$K,3,0),"")),IFERROR(VLOOKUP($C1597,INSUMOS!$A:$D,3,0),IFERROR(VLOOKUP($C1597,COTAÇÕES!$B:$I,3,0),(VLOOKUP($C1597,'INSUMO SINAPI - SP'!$C:$F,3,0)))))</f>
        <v>H</v>
      </c>
      <c r="G1597" s="511">
        <v>6.3E-2</v>
      </c>
      <c r="H1597" s="512">
        <f>IF($C1597="",IFERROR(VLOOKUP($B1597,SERVIÇOS!$B:$G,6,0),IFERROR(VLOOKUP($B1597,$D:$K,8,0),"")),IFERROR(VLOOKUP($C1597,INSUMOS!$A:$D,4,0),IFERROR(VLOOKUP($C1597,COTAÇÕES!$B:$I,7,0),(VLOOKUP($C1597,'INSUMO SINAPI - SP'!$C:$F,4,0)))))</f>
        <v>29.87</v>
      </c>
      <c r="I1597" s="513">
        <f>TRUNC(IF($C1597="",IFERROR(VLOOKUP($B1597,SERVIÇOS!$B:$G,4,0),IFERROR(VLOOKUP($B1597,$D:$K,6,0),)),IFERROR(VLOOKUP($C1597,INSUMOS!$A:$D,4,0),IFERROR(VLOOKUP($C1597,COTAÇÕES!$B:$I,7,0),(VLOOKUP($C1597,'INSUMO SINAPI - SP'!$C:$F,4,0)))))*$G1597,2)</f>
        <v>0.57999999999999996</v>
      </c>
      <c r="J1597" s="513">
        <f>TRUNC(IF($C1597="",IFERROR(VLOOKUP($B1597,SERVIÇOS!$B:$G,5,0),IFERROR(VLOOKUP($B1597,$D:$K,7,0),)),0)*$G1597,2)</f>
        <v>1.29</v>
      </c>
      <c r="K1597" s="514">
        <f>I1597+J1597</f>
        <v>1.87</v>
      </c>
      <c r="L1597" s="515"/>
      <c r="M1597" s="471"/>
      <c r="N1597" s="516"/>
      <c r="Q1597" s="472"/>
      <c r="R1597" s="472"/>
      <c r="S1597" s="472"/>
      <c r="T1597" s="472"/>
      <c r="U1597" s="472"/>
      <c r="V1597" s="472"/>
      <c r="W1597" s="472"/>
      <c r="X1597" s="472"/>
      <c r="Y1597" s="472"/>
    </row>
    <row r="1598" spans="1:25" ht="36" x14ac:dyDescent="0.25">
      <c r="A1598" s="463"/>
      <c r="B1598" s="506"/>
      <c r="C1598" s="507" t="s">
        <v>13403</v>
      </c>
      <c r="D1598" s="508"/>
      <c r="E1598" s="518" t="s">
        <v>13404</v>
      </c>
      <c r="F1598" s="519" t="s">
        <v>578</v>
      </c>
      <c r="G1598" s="511">
        <v>1.7999999999999999E-2</v>
      </c>
      <c r="H1598" s="520">
        <v>4058.1</v>
      </c>
      <c r="I1598" s="520">
        <f>TRUNC(H1598*G1598,2)</f>
        <v>73.040000000000006</v>
      </c>
      <c r="J1598" s="521"/>
      <c r="K1598" s="522">
        <f>I1598+J1598</f>
        <v>73.040000000000006</v>
      </c>
      <c r="L1598" s="517" t="s">
        <v>12901</v>
      </c>
      <c r="M1598" s="471"/>
      <c r="N1598" s="516"/>
      <c r="Q1598" s="472"/>
      <c r="R1598" s="472"/>
      <c r="S1598" s="472"/>
      <c r="T1598" s="472"/>
      <c r="U1598" s="472"/>
      <c r="V1598" s="472"/>
      <c r="W1598" s="472"/>
      <c r="X1598" s="472"/>
      <c r="Y1598" s="472"/>
    </row>
    <row r="1599" spans="1:25" ht="36" x14ac:dyDescent="0.25">
      <c r="A1599" s="463"/>
      <c r="B1599" s="498"/>
      <c r="C1599" s="498"/>
      <c r="D1599" s="499" t="s">
        <v>12423</v>
      </c>
      <c r="E1599" s="500" t="s">
        <v>13405</v>
      </c>
      <c r="F1599" s="501" t="s">
        <v>580</v>
      </c>
      <c r="G1599" s="502"/>
      <c r="H1599" s="503"/>
      <c r="I1599" s="504">
        <f>ROUND(SUM(I1600:I1602),2)</f>
        <v>375.19</v>
      </c>
      <c r="J1599" s="504">
        <f>ROUND(SUM(J1600:J1602),2)</f>
        <v>16</v>
      </c>
      <c r="K1599" s="504">
        <f>+J1599+I1599</f>
        <v>391.19</v>
      </c>
      <c r="L1599" s="523" t="s">
        <v>13402</v>
      </c>
      <c r="M1599" s="471"/>
      <c r="N1599" s="505"/>
      <c r="Q1599" s="472"/>
      <c r="R1599" s="472"/>
      <c r="S1599" s="472"/>
      <c r="T1599" s="472"/>
      <c r="U1599" s="472"/>
      <c r="V1599" s="472"/>
      <c r="W1599" s="472"/>
      <c r="X1599" s="472"/>
      <c r="Y1599" s="472"/>
    </row>
    <row r="1600" spans="1:25" x14ac:dyDescent="0.25">
      <c r="A1600" s="463"/>
      <c r="B1600" s="506">
        <v>88279</v>
      </c>
      <c r="C1600" s="507"/>
      <c r="D1600" s="508"/>
      <c r="E1600" s="509" t="str">
        <f>IF($C1600="",IFERROR(VLOOKUP($B1600,SERVIÇOS!$B:$G,2,0),IFERROR(VLOOKUP($B1600,$D:$K,2,0),"")),IFERROR(VLOOKUP($C1600,INSUMOS!$A:$D,2,0),IFERROR(VLOOKUP($C1600,COTAÇÕES!$B:$I,2,0),(VLOOKUP($C1600,'INSUMO SINAPI - SP'!$C:$F,2,0)))))</f>
        <v>MONTADOR ELETROMECÃNICO COM ENCARGOS COMPLEMENTARES</v>
      </c>
      <c r="F1600" s="510" t="str">
        <f>IF($C1600="",IFERROR(VLOOKUP($B1600,SERVIÇOS!$B:$G,3,0),IFERROR(VLOOKUP($B1600,$D:$K,3,0),"")),IFERROR(VLOOKUP($C1600,INSUMOS!$A:$D,3,0),IFERROR(VLOOKUP($C1600,COTAÇÕES!$B:$I,3,0),(VLOOKUP($C1600,'INSUMO SINAPI - SP'!$C:$F,3,0)))))</f>
        <v>H</v>
      </c>
      <c r="G1600" s="511">
        <v>0.31850000000000001</v>
      </c>
      <c r="H1600" s="512">
        <f>IF($C1600="",IFERROR(VLOOKUP($B1600,SERVIÇOS!$B:$G,6,0),IFERROR(VLOOKUP($B1600,$D:$K,8,0),"")),IFERROR(VLOOKUP($C1600,INSUMOS!$A:$D,4,0),IFERROR(VLOOKUP($C1600,COTAÇÕES!$B:$I,7,0),(VLOOKUP($C1600,'INSUMO SINAPI - SP'!$C:$F,4,0)))))</f>
        <v>39.01</v>
      </c>
      <c r="I1600" s="513">
        <f>TRUNC(IF($C1600="",IFERROR(VLOOKUP($B1600,SERVIÇOS!$B:$G,4,0),IFERROR(VLOOKUP($B1600,$D:$K,6,0),)),IFERROR(VLOOKUP($C1600,INSUMOS!$A:$D,4,0),IFERROR(VLOOKUP($C1600,COTAÇÕES!$B:$I,7,0),(VLOOKUP($C1600,'INSUMO SINAPI - SP'!$C:$F,4,0)))))*$G1600,2)</f>
        <v>2.96</v>
      </c>
      <c r="J1600" s="513">
        <f>TRUNC(IF($C1600="",IFERROR(VLOOKUP($B1600,SERVIÇOS!$B:$G,5,0),IFERROR(VLOOKUP($B1600,$D:$K,7,0),)),0)*$G1600,2)</f>
        <v>9.4499999999999993</v>
      </c>
      <c r="K1600" s="514">
        <f>I1600+J1600</f>
        <v>12.41</v>
      </c>
      <c r="L1600" s="515"/>
      <c r="M1600" s="471"/>
      <c r="N1600" s="516"/>
      <c r="Q1600" s="472"/>
      <c r="R1600" s="472"/>
      <c r="S1600" s="472"/>
      <c r="T1600" s="472"/>
      <c r="U1600" s="472"/>
      <c r="V1600" s="472"/>
      <c r="W1600" s="472"/>
      <c r="X1600" s="472"/>
      <c r="Y1600" s="472"/>
    </row>
    <row r="1601" spans="1:25" x14ac:dyDescent="0.25">
      <c r="A1601" s="463"/>
      <c r="B1601" s="506">
        <v>88241</v>
      </c>
      <c r="C1601" s="507"/>
      <c r="D1601" s="508"/>
      <c r="E1601" s="509" t="str">
        <f>IF($C1601="",IFERROR(VLOOKUP($B1601,SERVIÇOS!$B:$G,2,0),IFERROR(VLOOKUP($B1601,$D:$K,2,0),"")),IFERROR(VLOOKUP($C1601,INSUMOS!$A:$D,2,0),IFERROR(VLOOKUP($C1601,COTAÇÕES!$B:$I,2,0),(VLOOKUP($C1601,'INSUMO SINAPI - SP'!$C:$F,2,0)))))</f>
        <v>AJUDANTE DE OPERAÇÃO EM GERAL COM ENCARGOS COMPLEMENTARES</v>
      </c>
      <c r="F1601" s="510" t="str">
        <f>IF($C1601="",IFERROR(VLOOKUP($B1601,SERVIÇOS!$B:$G,3,0),IFERROR(VLOOKUP($B1601,$D:$K,3,0),"")),IFERROR(VLOOKUP($C1601,INSUMOS!$A:$D,3,0),IFERROR(VLOOKUP($C1601,COTAÇÕES!$B:$I,3,0),(VLOOKUP($C1601,'INSUMO SINAPI - SP'!$C:$F,3,0)))))</f>
        <v>H</v>
      </c>
      <c r="G1601" s="511">
        <v>0.31850000000000001</v>
      </c>
      <c r="H1601" s="512">
        <f>IF($C1601="",IFERROR(VLOOKUP($B1601,SERVIÇOS!$B:$G,6,0),IFERROR(VLOOKUP($B1601,$D:$K,8,0),"")),IFERROR(VLOOKUP($C1601,INSUMOS!$A:$D,4,0),IFERROR(VLOOKUP($C1601,COTAÇÕES!$B:$I,7,0),(VLOOKUP($C1601,'INSUMO SINAPI - SP'!$C:$F,4,0)))))</f>
        <v>29.87</v>
      </c>
      <c r="I1601" s="513">
        <f>TRUNC(IF($C1601="",IFERROR(VLOOKUP($B1601,SERVIÇOS!$B:$G,4,0),IFERROR(VLOOKUP($B1601,$D:$K,6,0),)),IFERROR(VLOOKUP($C1601,INSUMOS!$A:$D,4,0),IFERROR(VLOOKUP($C1601,COTAÇÕES!$B:$I,7,0),(VLOOKUP($C1601,'INSUMO SINAPI - SP'!$C:$F,4,0)))))*$G1601,2)</f>
        <v>2.95</v>
      </c>
      <c r="J1601" s="513">
        <f>TRUNC(IF($C1601="",IFERROR(VLOOKUP($B1601,SERVIÇOS!$B:$G,5,0),IFERROR(VLOOKUP($B1601,$D:$K,7,0),)),0)*$G1601,2)</f>
        <v>6.55</v>
      </c>
      <c r="K1601" s="514">
        <f>I1601+J1601</f>
        <v>9.5</v>
      </c>
      <c r="L1601" s="515"/>
      <c r="M1601" s="471"/>
      <c r="N1601" s="516"/>
      <c r="Q1601" s="472"/>
      <c r="R1601" s="472"/>
      <c r="S1601" s="472"/>
      <c r="T1601" s="472"/>
      <c r="U1601" s="472"/>
      <c r="V1601" s="472"/>
      <c r="W1601" s="472"/>
      <c r="X1601" s="472"/>
      <c r="Y1601" s="472"/>
    </row>
    <row r="1602" spans="1:25" ht="36" x14ac:dyDescent="0.25">
      <c r="A1602" s="463"/>
      <c r="B1602" s="506"/>
      <c r="C1602" s="507" t="s">
        <v>13403</v>
      </c>
      <c r="D1602" s="508"/>
      <c r="E1602" s="518" t="s">
        <v>13405</v>
      </c>
      <c r="F1602" s="519" t="s">
        <v>578</v>
      </c>
      <c r="G1602" s="511">
        <v>9.0999999999999998E-2</v>
      </c>
      <c r="H1602" s="520">
        <v>4058.1</v>
      </c>
      <c r="I1602" s="520">
        <f>TRUNC(H1602*G1602,2)</f>
        <v>369.28</v>
      </c>
      <c r="J1602" s="521"/>
      <c r="K1602" s="522">
        <f>I1602+J1602</f>
        <v>369.28</v>
      </c>
      <c r="L1602" s="517" t="s">
        <v>12901</v>
      </c>
      <c r="M1602" s="471"/>
      <c r="N1602" s="516"/>
      <c r="Q1602" s="472"/>
      <c r="R1602" s="472"/>
      <c r="S1602" s="472"/>
      <c r="T1602" s="472"/>
      <c r="U1602" s="472"/>
      <c r="V1602" s="472"/>
      <c r="W1602" s="472"/>
      <c r="X1602" s="472"/>
      <c r="Y1602" s="472"/>
    </row>
    <row r="1603" spans="1:25" ht="36" x14ac:dyDescent="0.25">
      <c r="A1603" s="463"/>
      <c r="B1603" s="498"/>
      <c r="C1603" s="498"/>
      <c r="D1603" s="499" t="s">
        <v>12424</v>
      </c>
      <c r="E1603" s="500" t="s">
        <v>13406</v>
      </c>
      <c r="F1603" s="501" t="s">
        <v>580</v>
      </c>
      <c r="G1603" s="502"/>
      <c r="H1603" s="503"/>
      <c r="I1603" s="504">
        <f>ROUND(SUM(I1604:I1606),2)</f>
        <v>148.43</v>
      </c>
      <c r="J1603" s="504">
        <f>ROUND(SUM(J1604:J1606),2)</f>
        <v>6.33</v>
      </c>
      <c r="K1603" s="504">
        <f>+J1603+I1603</f>
        <v>154.76000000000002</v>
      </c>
      <c r="L1603" s="523" t="s">
        <v>13402</v>
      </c>
      <c r="M1603" s="471"/>
      <c r="N1603" s="505"/>
      <c r="Q1603" s="472"/>
      <c r="R1603" s="472"/>
      <c r="S1603" s="472"/>
      <c r="T1603" s="472"/>
      <c r="U1603" s="472"/>
      <c r="V1603" s="472"/>
      <c r="W1603" s="472"/>
      <c r="X1603" s="472"/>
      <c r="Y1603" s="472"/>
    </row>
    <row r="1604" spans="1:25" x14ac:dyDescent="0.25">
      <c r="A1604" s="463"/>
      <c r="B1604" s="506">
        <v>88279</v>
      </c>
      <c r="C1604" s="507"/>
      <c r="D1604" s="508"/>
      <c r="E1604" s="509" t="str">
        <f>IF($C1604="",IFERROR(VLOOKUP($B1604,SERVIÇOS!$B:$G,2,0),IFERROR(VLOOKUP($B1604,$D:$K,2,0),"")),IFERROR(VLOOKUP($C1604,INSUMOS!$A:$D,2,0),IFERROR(VLOOKUP($C1604,COTAÇÕES!$B:$I,2,0),(VLOOKUP($C1604,'INSUMO SINAPI - SP'!$C:$F,2,0)))))</f>
        <v>MONTADOR ELETROMECÃNICO COM ENCARGOS COMPLEMENTARES</v>
      </c>
      <c r="F1604" s="510" t="str">
        <f>IF($C1604="",IFERROR(VLOOKUP($B1604,SERVIÇOS!$B:$G,3,0),IFERROR(VLOOKUP($B1604,$D:$K,3,0),"")),IFERROR(VLOOKUP($C1604,INSUMOS!$A:$D,3,0),IFERROR(VLOOKUP($C1604,COTAÇÕES!$B:$I,3,0),(VLOOKUP($C1604,'INSUMO SINAPI - SP'!$C:$F,3,0)))))</f>
        <v>H</v>
      </c>
      <c r="G1604" s="511">
        <v>0.126</v>
      </c>
      <c r="H1604" s="512">
        <f>IF($C1604="",IFERROR(VLOOKUP($B1604,SERVIÇOS!$B:$G,6,0),IFERROR(VLOOKUP($B1604,$D:$K,8,0),"")),IFERROR(VLOOKUP($C1604,INSUMOS!$A:$D,4,0),IFERROR(VLOOKUP($C1604,COTAÇÕES!$B:$I,7,0),(VLOOKUP($C1604,'INSUMO SINAPI - SP'!$C:$F,4,0)))))</f>
        <v>39.01</v>
      </c>
      <c r="I1604" s="513">
        <f>TRUNC(IF($C1604="",IFERROR(VLOOKUP($B1604,SERVIÇOS!$B:$G,4,0),IFERROR(VLOOKUP($B1604,$D:$K,6,0),)),IFERROR(VLOOKUP($C1604,INSUMOS!$A:$D,4,0),IFERROR(VLOOKUP($C1604,COTAÇÕES!$B:$I,7,0),(VLOOKUP($C1604,'INSUMO SINAPI - SP'!$C:$F,4,0)))))*$G1604,2)</f>
        <v>1.17</v>
      </c>
      <c r="J1604" s="513">
        <f>TRUNC(IF($C1604="",IFERROR(VLOOKUP($B1604,SERVIÇOS!$B:$G,5,0),IFERROR(VLOOKUP($B1604,$D:$K,7,0),)),0)*$G1604,2)</f>
        <v>3.74</v>
      </c>
      <c r="K1604" s="514">
        <f>I1604+J1604</f>
        <v>4.91</v>
      </c>
      <c r="L1604" s="515"/>
      <c r="M1604" s="471"/>
      <c r="N1604" s="516"/>
      <c r="Q1604" s="472"/>
      <c r="R1604" s="472"/>
      <c r="S1604" s="472"/>
      <c r="T1604" s="472"/>
      <c r="U1604" s="472"/>
      <c r="V1604" s="472"/>
      <c r="W1604" s="472"/>
      <c r="X1604" s="472"/>
      <c r="Y1604" s="472"/>
    </row>
    <row r="1605" spans="1:25" x14ac:dyDescent="0.25">
      <c r="A1605" s="463"/>
      <c r="B1605" s="506">
        <v>88241</v>
      </c>
      <c r="C1605" s="507"/>
      <c r="D1605" s="508"/>
      <c r="E1605" s="509" t="str">
        <f>IF($C1605="",IFERROR(VLOOKUP($B1605,SERVIÇOS!$B:$G,2,0),IFERROR(VLOOKUP($B1605,$D:$K,2,0),"")),IFERROR(VLOOKUP($C1605,INSUMOS!$A:$D,2,0),IFERROR(VLOOKUP($C1605,COTAÇÕES!$B:$I,2,0),(VLOOKUP($C1605,'INSUMO SINAPI - SP'!$C:$F,2,0)))))</f>
        <v>AJUDANTE DE OPERAÇÃO EM GERAL COM ENCARGOS COMPLEMENTARES</v>
      </c>
      <c r="F1605" s="510" t="str">
        <f>IF($C1605="",IFERROR(VLOOKUP($B1605,SERVIÇOS!$B:$G,3,0),IFERROR(VLOOKUP($B1605,$D:$K,3,0),"")),IFERROR(VLOOKUP($C1605,INSUMOS!$A:$D,3,0),IFERROR(VLOOKUP($C1605,COTAÇÕES!$B:$I,3,0),(VLOOKUP($C1605,'INSUMO SINAPI - SP'!$C:$F,3,0)))))</f>
        <v>H</v>
      </c>
      <c r="G1605" s="511">
        <v>0.126</v>
      </c>
      <c r="H1605" s="512">
        <f>IF($C1605="",IFERROR(VLOOKUP($B1605,SERVIÇOS!$B:$G,6,0),IFERROR(VLOOKUP($B1605,$D:$K,8,0),"")),IFERROR(VLOOKUP($C1605,INSUMOS!$A:$D,4,0),IFERROR(VLOOKUP($C1605,COTAÇÕES!$B:$I,7,0),(VLOOKUP($C1605,'INSUMO SINAPI - SP'!$C:$F,4,0)))))</f>
        <v>29.87</v>
      </c>
      <c r="I1605" s="513">
        <f>TRUNC(IF($C1605="",IFERROR(VLOOKUP($B1605,SERVIÇOS!$B:$G,4,0),IFERROR(VLOOKUP($B1605,$D:$K,6,0),)),IFERROR(VLOOKUP($C1605,INSUMOS!$A:$D,4,0),IFERROR(VLOOKUP($C1605,COTAÇÕES!$B:$I,7,0),(VLOOKUP($C1605,'INSUMO SINAPI - SP'!$C:$F,4,0)))))*$G1605,2)</f>
        <v>1.17</v>
      </c>
      <c r="J1605" s="513">
        <f>TRUNC(IF($C1605="",IFERROR(VLOOKUP($B1605,SERVIÇOS!$B:$G,5,0),IFERROR(VLOOKUP($B1605,$D:$K,7,0),)),0)*$G1605,2)</f>
        <v>2.59</v>
      </c>
      <c r="K1605" s="514">
        <f>I1605+J1605</f>
        <v>3.76</v>
      </c>
      <c r="L1605" s="515"/>
      <c r="M1605" s="471"/>
      <c r="N1605" s="516"/>
      <c r="Q1605" s="472"/>
      <c r="R1605" s="472"/>
      <c r="S1605" s="472"/>
      <c r="T1605" s="472"/>
      <c r="U1605" s="472"/>
      <c r="V1605" s="472"/>
      <c r="W1605" s="472"/>
      <c r="X1605" s="472"/>
      <c r="Y1605" s="472"/>
    </row>
    <row r="1606" spans="1:25" ht="36" x14ac:dyDescent="0.25">
      <c r="A1606" s="463"/>
      <c r="B1606" s="506"/>
      <c r="C1606" s="507" t="s">
        <v>13403</v>
      </c>
      <c r="D1606" s="508"/>
      <c r="E1606" s="518" t="s">
        <v>13406</v>
      </c>
      <c r="F1606" s="519" t="s">
        <v>578</v>
      </c>
      <c r="G1606" s="511">
        <v>3.5999999999999997E-2</v>
      </c>
      <c r="H1606" s="520">
        <v>4058.1</v>
      </c>
      <c r="I1606" s="520">
        <f>TRUNC(H1606*G1606,2)</f>
        <v>146.09</v>
      </c>
      <c r="J1606" s="521"/>
      <c r="K1606" s="522">
        <f>I1606+J1606</f>
        <v>146.09</v>
      </c>
      <c r="L1606" s="517" t="s">
        <v>12901</v>
      </c>
      <c r="M1606" s="471"/>
      <c r="N1606" s="516"/>
      <c r="Q1606" s="472"/>
      <c r="R1606" s="472"/>
      <c r="S1606" s="472"/>
      <c r="T1606" s="472"/>
      <c r="U1606" s="472"/>
      <c r="V1606" s="472"/>
      <c r="W1606" s="472"/>
      <c r="X1606" s="472"/>
      <c r="Y1606" s="472"/>
    </row>
    <row r="1607" spans="1:25" ht="36" x14ac:dyDescent="0.25">
      <c r="A1607" s="463"/>
      <c r="B1607" s="498"/>
      <c r="C1607" s="498"/>
      <c r="D1607" s="499" t="s">
        <v>12425</v>
      </c>
      <c r="E1607" s="500" t="s">
        <v>13407</v>
      </c>
      <c r="F1607" s="501" t="s">
        <v>580</v>
      </c>
      <c r="G1607" s="502"/>
      <c r="H1607" s="503"/>
      <c r="I1607" s="504">
        <f>ROUND(SUM(I1608:I1610),2)</f>
        <v>251.5</v>
      </c>
      <c r="J1607" s="504">
        <f>ROUND(SUM(J1608:J1610),2)</f>
        <v>10.72</v>
      </c>
      <c r="K1607" s="504">
        <f>+J1607+I1607</f>
        <v>262.22000000000003</v>
      </c>
      <c r="L1607" s="523" t="s">
        <v>13402</v>
      </c>
      <c r="M1607" s="471"/>
      <c r="N1607" s="505"/>
      <c r="Q1607" s="472"/>
      <c r="R1607" s="472"/>
      <c r="S1607" s="472"/>
      <c r="T1607" s="472"/>
      <c r="U1607" s="472"/>
      <c r="V1607" s="472"/>
      <c r="W1607" s="472"/>
      <c r="X1607" s="472"/>
      <c r="Y1607" s="472"/>
    </row>
    <row r="1608" spans="1:25" x14ac:dyDescent="0.25">
      <c r="A1608" s="463"/>
      <c r="B1608" s="506">
        <v>88279</v>
      </c>
      <c r="C1608" s="507"/>
      <c r="D1608" s="508"/>
      <c r="E1608" s="509" t="str">
        <f>IF($C1608="",IFERROR(VLOOKUP($B1608,SERVIÇOS!$B:$G,2,0),IFERROR(VLOOKUP($B1608,$D:$K,2,0),"")),IFERROR(VLOOKUP($C1608,INSUMOS!$A:$D,2,0),IFERROR(VLOOKUP($C1608,COTAÇÕES!$B:$I,2,0),(VLOOKUP($C1608,'INSUMO SINAPI - SP'!$C:$F,2,0)))))</f>
        <v>MONTADOR ELETROMECÃNICO COM ENCARGOS COMPLEMENTARES</v>
      </c>
      <c r="F1608" s="510" t="str">
        <f>IF($C1608="",IFERROR(VLOOKUP($B1608,SERVIÇOS!$B:$G,3,0),IFERROR(VLOOKUP($B1608,$D:$K,3,0),"")),IFERROR(VLOOKUP($C1608,INSUMOS!$A:$D,3,0),IFERROR(VLOOKUP($C1608,COTAÇÕES!$B:$I,3,0),(VLOOKUP($C1608,'INSUMO SINAPI - SP'!$C:$F,3,0)))))</f>
        <v>H</v>
      </c>
      <c r="G1608" s="511">
        <v>0.2135</v>
      </c>
      <c r="H1608" s="512">
        <f>IF($C1608="",IFERROR(VLOOKUP($B1608,SERVIÇOS!$B:$G,6,0),IFERROR(VLOOKUP($B1608,$D:$K,8,0),"")),IFERROR(VLOOKUP($C1608,INSUMOS!$A:$D,4,0),IFERROR(VLOOKUP($C1608,COTAÇÕES!$B:$I,7,0),(VLOOKUP($C1608,'INSUMO SINAPI - SP'!$C:$F,4,0)))))</f>
        <v>39.01</v>
      </c>
      <c r="I1608" s="513">
        <f>TRUNC(IF($C1608="",IFERROR(VLOOKUP($B1608,SERVIÇOS!$B:$G,4,0),IFERROR(VLOOKUP($B1608,$D:$K,6,0),)),IFERROR(VLOOKUP($C1608,INSUMOS!$A:$D,4,0),IFERROR(VLOOKUP($C1608,COTAÇÕES!$B:$I,7,0),(VLOOKUP($C1608,'INSUMO SINAPI - SP'!$C:$F,4,0)))))*$G1608,2)</f>
        <v>1.98</v>
      </c>
      <c r="J1608" s="513">
        <f>TRUNC(IF($C1608="",IFERROR(VLOOKUP($B1608,SERVIÇOS!$B:$G,5,0),IFERROR(VLOOKUP($B1608,$D:$K,7,0),)),0)*$G1608,2)</f>
        <v>6.33</v>
      </c>
      <c r="K1608" s="514">
        <f>I1608+J1608</f>
        <v>8.31</v>
      </c>
      <c r="L1608" s="515"/>
      <c r="M1608" s="471"/>
      <c r="N1608" s="516"/>
      <c r="Q1608" s="472"/>
      <c r="R1608" s="472"/>
      <c r="S1608" s="472"/>
      <c r="T1608" s="472"/>
      <c r="U1608" s="472"/>
      <c r="V1608" s="472"/>
      <c r="W1608" s="472"/>
      <c r="X1608" s="472"/>
      <c r="Y1608" s="472"/>
    </row>
    <row r="1609" spans="1:25" x14ac:dyDescent="0.25">
      <c r="A1609" s="463"/>
      <c r="B1609" s="506">
        <v>88241</v>
      </c>
      <c r="C1609" s="507"/>
      <c r="D1609" s="508"/>
      <c r="E1609" s="509" t="str">
        <f>IF($C1609="",IFERROR(VLOOKUP($B1609,SERVIÇOS!$B:$G,2,0),IFERROR(VLOOKUP($B1609,$D:$K,2,0),"")),IFERROR(VLOOKUP($C1609,INSUMOS!$A:$D,2,0),IFERROR(VLOOKUP($C1609,COTAÇÕES!$B:$I,2,0),(VLOOKUP($C1609,'INSUMO SINAPI - SP'!$C:$F,2,0)))))</f>
        <v>AJUDANTE DE OPERAÇÃO EM GERAL COM ENCARGOS COMPLEMENTARES</v>
      </c>
      <c r="F1609" s="510" t="str">
        <f>IF($C1609="",IFERROR(VLOOKUP($B1609,SERVIÇOS!$B:$G,3,0),IFERROR(VLOOKUP($B1609,$D:$K,3,0),"")),IFERROR(VLOOKUP($C1609,INSUMOS!$A:$D,3,0),IFERROR(VLOOKUP($C1609,COTAÇÕES!$B:$I,3,0),(VLOOKUP($C1609,'INSUMO SINAPI - SP'!$C:$F,3,0)))))</f>
        <v>H</v>
      </c>
      <c r="G1609" s="511">
        <v>0.2135</v>
      </c>
      <c r="H1609" s="512">
        <f>IF($C1609="",IFERROR(VLOOKUP($B1609,SERVIÇOS!$B:$G,6,0),IFERROR(VLOOKUP($B1609,$D:$K,8,0),"")),IFERROR(VLOOKUP($C1609,INSUMOS!$A:$D,4,0),IFERROR(VLOOKUP($C1609,COTAÇÕES!$B:$I,7,0),(VLOOKUP($C1609,'INSUMO SINAPI - SP'!$C:$F,4,0)))))</f>
        <v>29.87</v>
      </c>
      <c r="I1609" s="513">
        <f>TRUNC(IF($C1609="",IFERROR(VLOOKUP($B1609,SERVIÇOS!$B:$G,4,0),IFERROR(VLOOKUP($B1609,$D:$K,6,0),)),IFERROR(VLOOKUP($C1609,INSUMOS!$A:$D,4,0),IFERROR(VLOOKUP($C1609,COTAÇÕES!$B:$I,7,0),(VLOOKUP($C1609,'INSUMO SINAPI - SP'!$C:$F,4,0)))))*$G1609,2)</f>
        <v>1.98</v>
      </c>
      <c r="J1609" s="513">
        <f>TRUNC(IF($C1609="",IFERROR(VLOOKUP($B1609,SERVIÇOS!$B:$G,5,0),IFERROR(VLOOKUP($B1609,$D:$K,7,0),)),0)*$G1609,2)</f>
        <v>4.3899999999999997</v>
      </c>
      <c r="K1609" s="514">
        <f>I1609+J1609</f>
        <v>6.3699999999999992</v>
      </c>
      <c r="L1609" s="515"/>
      <c r="M1609" s="471"/>
      <c r="N1609" s="516"/>
      <c r="Q1609" s="472"/>
      <c r="R1609" s="472"/>
      <c r="S1609" s="472"/>
      <c r="T1609" s="472"/>
      <c r="U1609" s="472"/>
      <c r="V1609" s="472"/>
      <c r="W1609" s="472"/>
      <c r="X1609" s="472"/>
      <c r="Y1609" s="472"/>
    </row>
    <row r="1610" spans="1:25" ht="36" x14ac:dyDescent="0.25">
      <c r="A1610" s="463"/>
      <c r="B1610" s="506"/>
      <c r="C1610" s="507" t="s">
        <v>13403</v>
      </c>
      <c r="D1610" s="508"/>
      <c r="E1610" s="518" t="s">
        <v>13407</v>
      </c>
      <c r="F1610" s="519" t="s">
        <v>578</v>
      </c>
      <c r="G1610" s="511">
        <v>6.0999999999999999E-2</v>
      </c>
      <c r="H1610" s="520">
        <v>4058.1</v>
      </c>
      <c r="I1610" s="520">
        <f>TRUNC(H1610*G1610,2)</f>
        <v>247.54</v>
      </c>
      <c r="J1610" s="521"/>
      <c r="K1610" s="522">
        <f>I1610+J1610</f>
        <v>247.54</v>
      </c>
      <c r="L1610" s="517" t="s">
        <v>12901</v>
      </c>
      <c r="M1610" s="471"/>
      <c r="N1610" s="516"/>
      <c r="Q1610" s="472"/>
      <c r="R1610" s="472"/>
      <c r="S1610" s="472"/>
      <c r="T1610" s="472"/>
      <c r="U1610" s="472"/>
      <c r="V1610" s="472"/>
      <c r="W1610" s="472"/>
      <c r="X1610" s="472"/>
      <c r="Y1610" s="472"/>
    </row>
    <row r="1611" spans="1:25" ht="36" x14ac:dyDescent="0.25">
      <c r="A1611" s="463"/>
      <c r="B1611" s="498"/>
      <c r="C1611" s="498"/>
      <c r="D1611" s="499" t="s">
        <v>12426</v>
      </c>
      <c r="E1611" s="500" t="s">
        <v>13408</v>
      </c>
      <c r="F1611" s="501" t="s">
        <v>580</v>
      </c>
      <c r="G1611" s="502"/>
      <c r="H1611" s="503"/>
      <c r="I1611" s="504">
        <f>ROUND(SUM(I1612:I1614),2)</f>
        <v>375.19</v>
      </c>
      <c r="J1611" s="504">
        <f>ROUND(SUM(J1612:J1614),2)</f>
        <v>16</v>
      </c>
      <c r="K1611" s="504">
        <f>+J1611+I1611</f>
        <v>391.19</v>
      </c>
      <c r="L1611" s="523" t="s">
        <v>13402</v>
      </c>
      <c r="M1611" s="471"/>
      <c r="N1611" s="505"/>
      <c r="Q1611" s="472"/>
      <c r="R1611" s="472"/>
      <c r="S1611" s="472"/>
      <c r="T1611" s="472"/>
      <c r="U1611" s="472"/>
      <c r="V1611" s="472"/>
      <c r="W1611" s="472"/>
      <c r="X1611" s="472"/>
      <c r="Y1611" s="472"/>
    </row>
    <row r="1612" spans="1:25" x14ac:dyDescent="0.25">
      <c r="A1612" s="463"/>
      <c r="B1612" s="506">
        <v>88279</v>
      </c>
      <c r="C1612" s="507"/>
      <c r="D1612" s="508"/>
      <c r="E1612" s="509" t="str">
        <f>IF($C1612="",IFERROR(VLOOKUP($B1612,SERVIÇOS!$B:$G,2,0),IFERROR(VLOOKUP($B1612,$D:$K,2,0),"")),IFERROR(VLOOKUP($C1612,INSUMOS!$A:$D,2,0),IFERROR(VLOOKUP($C1612,COTAÇÕES!$B:$I,2,0),(VLOOKUP($C1612,'INSUMO SINAPI - SP'!$C:$F,2,0)))))</f>
        <v>MONTADOR ELETROMECÃNICO COM ENCARGOS COMPLEMENTARES</v>
      </c>
      <c r="F1612" s="510" t="str">
        <f>IF($C1612="",IFERROR(VLOOKUP($B1612,SERVIÇOS!$B:$G,3,0),IFERROR(VLOOKUP($B1612,$D:$K,3,0),"")),IFERROR(VLOOKUP($C1612,INSUMOS!$A:$D,3,0),IFERROR(VLOOKUP($C1612,COTAÇÕES!$B:$I,3,0),(VLOOKUP($C1612,'INSUMO SINAPI - SP'!$C:$F,3,0)))))</f>
        <v>H</v>
      </c>
      <c r="G1612" s="511">
        <v>0.31850000000000001</v>
      </c>
      <c r="H1612" s="512">
        <f>IF($C1612="",IFERROR(VLOOKUP($B1612,SERVIÇOS!$B:$G,6,0),IFERROR(VLOOKUP($B1612,$D:$K,8,0),"")),IFERROR(VLOOKUP($C1612,INSUMOS!$A:$D,4,0),IFERROR(VLOOKUP($C1612,COTAÇÕES!$B:$I,7,0),(VLOOKUP($C1612,'INSUMO SINAPI - SP'!$C:$F,4,0)))))</f>
        <v>39.01</v>
      </c>
      <c r="I1612" s="513">
        <f>TRUNC(IF($C1612="",IFERROR(VLOOKUP($B1612,SERVIÇOS!$B:$G,4,0),IFERROR(VLOOKUP($B1612,$D:$K,6,0),)),IFERROR(VLOOKUP($C1612,INSUMOS!$A:$D,4,0),IFERROR(VLOOKUP($C1612,COTAÇÕES!$B:$I,7,0),(VLOOKUP($C1612,'INSUMO SINAPI - SP'!$C:$F,4,0)))))*$G1612,2)</f>
        <v>2.96</v>
      </c>
      <c r="J1612" s="513">
        <f>TRUNC(IF($C1612="",IFERROR(VLOOKUP($B1612,SERVIÇOS!$B:$G,5,0),IFERROR(VLOOKUP($B1612,$D:$K,7,0),)),0)*$G1612,2)</f>
        <v>9.4499999999999993</v>
      </c>
      <c r="K1612" s="514">
        <f>I1612+J1612</f>
        <v>12.41</v>
      </c>
      <c r="L1612" s="515"/>
      <c r="M1612" s="471"/>
      <c r="N1612" s="516"/>
      <c r="Q1612" s="472"/>
      <c r="R1612" s="472"/>
      <c r="S1612" s="472"/>
      <c r="T1612" s="472"/>
      <c r="U1612" s="472"/>
      <c r="V1612" s="472"/>
      <c r="W1612" s="472"/>
      <c r="X1612" s="472"/>
      <c r="Y1612" s="472"/>
    </row>
    <row r="1613" spans="1:25" x14ac:dyDescent="0.25">
      <c r="A1613" s="463"/>
      <c r="B1613" s="506">
        <v>88241</v>
      </c>
      <c r="C1613" s="507"/>
      <c r="D1613" s="508"/>
      <c r="E1613" s="509" t="str">
        <f>IF($C1613="",IFERROR(VLOOKUP($B1613,SERVIÇOS!$B:$G,2,0),IFERROR(VLOOKUP($B1613,$D:$K,2,0),"")),IFERROR(VLOOKUP($C1613,INSUMOS!$A:$D,2,0),IFERROR(VLOOKUP($C1613,COTAÇÕES!$B:$I,2,0),(VLOOKUP($C1613,'INSUMO SINAPI - SP'!$C:$F,2,0)))))</f>
        <v>AJUDANTE DE OPERAÇÃO EM GERAL COM ENCARGOS COMPLEMENTARES</v>
      </c>
      <c r="F1613" s="510" t="str">
        <f>IF($C1613="",IFERROR(VLOOKUP($B1613,SERVIÇOS!$B:$G,3,0),IFERROR(VLOOKUP($B1613,$D:$K,3,0),"")),IFERROR(VLOOKUP($C1613,INSUMOS!$A:$D,3,0),IFERROR(VLOOKUP($C1613,COTAÇÕES!$B:$I,3,0),(VLOOKUP($C1613,'INSUMO SINAPI - SP'!$C:$F,3,0)))))</f>
        <v>H</v>
      </c>
      <c r="G1613" s="511">
        <v>0.31850000000000001</v>
      </c>
      <c r="H1613" s="512">
        <f>IF($C1613="",IFERROR(VLOOKUP($B1613,SERVIÇOS!$B:$G,6,0),IFERROR(VLOOKUP($B1613,$D:$K,8,0),"")),IFERROR(VLOOKUP($C1613,INSUMOS!$A:$D,4,0),IFERROR(VLOOKUP($C1613,COTAÇÕES!$B:$I,7,0),(VLOOKUP($C1613,'INSUMO SINAPI - SP'!$C:$F,4,0)))))</f>
        <v>29.87</v>
      </c>
      <c r="I1613" s="513">
        <f>TRUNC(IF($C1613="",IFERROR(VLOOKUP($B1613,SERVIÇOS!$B:$G,4,0),IFERROR(VLOOKUP($B1613,$D:$K,6,0),)),IFERROR(VLOOKUP($C1613,INSUMOS!$A:$D,4,0),IFERROR(VLOOKUP($C1613,COTAÇÕES!$B:$I,7,0),(VLOOKUP($C1613,'INSUMO SINAPI - SP'!$C:$F,4,0)))))*$G1613,2)</f>
        <v>2.95</v>
      </c>
      <c r="J1613" s="513">
        <f>TRUNC(IF($C1613="",IFERROR(VLOOKUP($B1613,SERVIÇOS!$B:$G,5,0),IFERROR(VLOOKUP($B1613,$D:$K,7,0),)),0)*$G1613,2)</f>
        <v>6.55</v>
      </c>
      <c r="K1613" s="514">
        <f>I1613+J1613</f>
        <v>9.5</v>
      </c>
      <c r="L1613" s="515"/>
      <c r="M1613" s="471"/>
      <c r="N1613" s="516"/>
      <c r="Q1613" s="472"/>
      <c r="R1613" s="472"/>
      <c r="S1613" s="472"/>
      <c r="T1613" s="472"/>
      <c r="U1613" s="472"/>
      <c r="V1613" s="472"/>
      <c r="W1613" s="472"/>
      <c r="X1613" s="472"/>
      <c r="Y1613" s="472"/>
    </row>
    <row r="1614" spans="1:25" ht="36" x14ac:dyDescent="0.25">
      <c r="A1614" s="463"/>
      <c r="B1614" s="506"/>
      <c r="C1614" s="507" t="s">
        <v>13403</v>
      </c>
      <c r="D1614" s="508"/>
      <c r="E1614" s="518" t="s">
        <v>13408</v>
      </c>
      <c r="F1614" s="519" t="s">
        <v>578</v>
      </c>
      <c r="G1614" s="511">
        <v>9.0999999999999998E-2</v>
      </c>
      <c r="H1614" s="520">
        <v>4058.1</v>
      </c>
      <c r="I1614" s="520">
        <f>TRUNC(H1614*G1614,2)</f>
        <v>369.28</v>
      </c>
      <c r="J1614" s="521"/>
      <c r="K1614" s="522">
        <f>I1614+J1614</f>
        <v>369.28</v>
      </c>
      <c r="L1614" s="517" t="s">
        <v>12901</v>
      </c>
      <c r="M1614" s="471"/>
      <c r="N1614" s="516"/>
      <c r="Q1614" s="472"/>
      <c r="R1614" s="472"/>
      <c r="S1614" s="472"/>
      <c r="T1614" s="472"/>
      <c r="U1614" s="472"/>
      <c r="V1614" s="472"/>
      <c r="W1614" s="472"/>
      <c r="X1614" s="472"/>
      <c r="Y1614" s="472"/>
    </row>
    <row r="1615" spans="1:25" ht="36" x14ac:dyDescent="0.25">
      <c r="A1615" s="463"/>
      <c r="B1615" s="498"/>
      <c r="C1615" s="498"/>
      <c r="D1615" s="499" t="s">
        <v>12430</v>
      </c>
      <c r="E1615" s="500" t="s">
        <v>13409</v>
      </c>
      <c r="F1615" s="501" t="s">
        <v>580</v>
      </c>
      <c r="G1615" s="502"/>
      <c r="H1615" s="503"/>
      <c r="I1615" s="504">
        <f>SUM(I1616:I1618)</f>
        <v>57.21</v>
      </c>
      <c r="J1615" s="504">
        <f>SUM(J1616:J1618)</f>
        <v>9.84</v>
      </c>
      <c r="K1615" s="504">
        <f>+J1615+I1615</f>
        <v>67.05</v>
      </c>
      <c r="L1615" s="523" t="s">
        <v>13410</v>
      </c>
      <c r="M1615" s="471"/>
      <c r="N1615" s="505"/>
      <c r="Q1615" s="472"/>
      <c r="R1615" s="472"/>
      <c r="S1615" s="472"/>
      <c r="T1615" s="472"/>
      <c r="U1615" s="472"/>
      <c r="V1615" s="472"/>
      <c r="W1615" s="472"/>
      <c r="X1615" s="472"/>
      <c r="Y1615" s="472"/>
    </row>
    <row r="1616" spans="1:25" x14ac:dyDescent="0.25">
      <c r="A1616" s="463"/>
      <c r="B1616" s="507">
        <v>88279</v>
      </c>
      <c r="C1616" s="507"/>
      <c r="D1616" s="557"/>
      <c r="E1616" s="509" t="str">
        <f>IF($C1616="",IFERROR(VLOOKUP($B1616,SERVIÇOS!$B:$G,2,0),IFERROR(VLOOKUP($B1616,$D:$K,2,0),"")),IFERROR(VLOOKUP($C1616,INSUMOS!$A:$D,2,0),IFERROR(VLOOKUP($C1616,COTAÇÕES!$B:$I,2,0),(VLOOKUP($C1616,'INSUMO SINAPI - SP'!$C:$F,2,0)))))</f>
        <v>MONTADOR ELETROMECÃNICO COM ENCARGOS COMPLEMENTARES</v>
      </c>
      <c r="F1616" s="510" t="str">
        <f>IF($C1616="",IFERROR(VLOOKUP($B1616,SERVIÇOS!$B:$G,3,0),IFERROR(VLOOKUP($B1616,$D:$K,3,0),"")),IFERROR(VLOOKUP($C1616,INSUMOS!$A:$D,3,0),IFERROR(VLOOKUP($C1616,COTAÇÕES!$B:$I,3,0),(VLOOKUP($C1616,'INSUMO SINAPI - SP'!$C:$F,3,0)))))</f>
        <v>H</v>
      </c>
      <c r="G1616" s="511">
        <v>0.19600000000000001</v>
      </c>
      <c r="H1616" s="512">
        <f>IF($C1616="",IFERROR(VLOOKUP($B1616,SERVIÇOS!$B:$G,6,0),IFERROR(VLOOKUP($B1616,$D:$K,8,0),"")),IFERROR(VLOOKUP($C1616,INSUMOS!$A:$D,4,0),IFERROR(VLOOKUP($C1616,COTAÇÕES!$B:$I,7,0),(VLOOKUP($C1616,'INSUMO SINAPI - SP'!$C:$F,4,0)))))</f>
        <v>39.01</v>
      </c>
      <c r="I1616" s="513">
        <f>TRUNC(IF($C1616="",IFERROR(VLOOKUP($B1616,SERVIÇOS!$B:$G,4,0),IFERROR(VLOOKUP($B1616,$D:$K,6,0),)),IFERROR(VLOOKUP($C1616,INSUMOS!$A:$D,4,0),IFERROR(VLOOKUP($C1616,COTAÇÕES!$B:$I,7,0),(VLOOKUP($C1616,'INSUMO SINAPI - SP'!$C:$F,4,0)))))*$G1616,2)</f>
        <v>1.82</v>
      </c>
      <c r="J1616" s="513">
        <f>TRUNC(IF($C1616="",IFERROR(VLOOKUP($B1616,SERVIÇOS!$B:$G,5,0),IFERROR(VLOOKUP($B1616,$D:$K,7,0),)),0)*$G1616,2)</f>
        <v>5.81</v>
      </c>
      <c r="K1616" s="514">
        <f>I1616+J1616</f>
        <v>7.63</v>
      </c>
      <c r="L1616" s="515"/>
      <c r="M1616" s="471"/>
      <c r="N1616" s="516"/>
      <c r="Q1616" s="472"/>
      <c r="R1616" s="472"/>
      <c r="S1616" s="472"/>
      <c r="T1616" s="472"/>
      <c r="U1616" s="472"/>
      <c r="V1616" s="472"/>
      <c r="W1616" s="472"/>
      <c r="X1616" s="472"/>
      <c r="Y1616" s="472"/>
    </row>
    <row r="1617" spans="1:25" x14ac:dyDescent="0.25">
      <c r="A1617" s="463"/>
      <c r="B1617" s="507">
        <v>88241</v>
      </c>
      <c r="C1617" s="507"/>
      <c r="D1617" s="557"/>
      <c r="E1617" s="509" t="str">
        <f>IF($C1617="",IFERROR(VLOOKUP($B1617,SERVIÇOS!$B:$G,2,0),IFERROR(VLOOKUP($B1617,$D:$K,2,0),"")),IFERROR(VLOOKUP($C1617,INSUMOS!$A:$D,2,0),IFERROR(VLOOKUP($C1617,COTAÇÕES!$B:$I,2,0),(VLOOKUP($C1617,'INSUMO SINAPI - SP'!$C:$F,2,0)))))</f>
        <v>AJUDANTE DE OPERAÇÃO EM GERAL COM ENCARGOS COMPLEMENTARES</v>
      </c>
      <c r="F1617" s="510" t="str">
        <f>IF($C1617="",IFERROR(VLOOKUP($B1617,SERVIÇOS!$B:$G,3,0),IFERROR(VLOOKUP($B1617,$D:$K,3,0),"")),IFERROR(VLOOKUP($C1617,INSUMOS!$A:$D,3,0),IFERROR(VLOOKUP($C1617,COTAÇÕES!$B:$I,3,0),(VLOOKUP($C1617,'INSUMO SINAPI - SP'!$C:$F,3,0)))))</f>
        <v>H</v>
      </c>
      <c r="G1617" s="511">
        <v>0.19600000000000001</v>
      </c>
      <c r="H1617" s="512">
        <f>IF($C1617="",IFERROR(VLOOKUP($B1617,SERVIÇOS!$B:$G,6,0),IFERROR(VLOOKUP($B1617,$D:$K,8,0),"")),IFERROR(VLOOKUP($C1617,INSUMOS!$A:$D,4,0),IFERROR(VLOOKUP($C1617,COTAÇÕES!$B:$I,7,0),(VLOOKUP($C1617,'INSUMO SINAPI - SP'!$C:$F,4,0)))))</f>
        <v>29.87</v>
      </c>
      <c r="I1617" s="513">
        <f>TRUNC(IF($C1617="",IFERROR(VLOOKUP($B1617,SERVIÇOS!$B:$G,4,0),IFERROR(VLOOKUP($B1617,$D:$K,6,0),)),IFERROR(VLOOKUP($C1617,INSUMOS!$A:$D,4,0),IFERROR(VLOOKUP($C1617,COTAÇÕES!$B:$I,7,0),(VLOOKUP($C1617,'INSUMO SINAPI - SP'!$C:$F,4,0)))))*$G1617,2)</f>
        <v>1.82</v>
      </c>
      <c r="J1617" s="513">
        <f>TRUNC(IF($C1617="",IFERROR(VLOOKUP($B1617,SERVIÇOS!$B:$G,5,0),IFERROR(VLOOKUP($B1617,$D:$K,7,0),)),0)*$G1617,2)</f>
        <v>4.03</v>
      </c>
      <c r="K1617" s="514">
        <f>I1617+J1617</f>
        <v>5.8500000000000005</v>
      </c>
      <c r="L1617" s="515"/>
      <c r="M1617" s="471"/>
      <c r="N1617" s="516"/>
      <c r="Q1617" s="472"/>
      <c r="R1617" s="472"/>
      <c r="S1617" s="472"/>
      <c r="T1617" s="472"/>
      <c r="U1617" s="472"/>
      <c r="V1617" s="472"/>
      <c r="W1617" s="472"/>
      <c r="X1617" s="472"/>
      <c r="Y1617" s="472"/>
    </row>
    <row r="1618" spans="1:25" ht="36" x14ac:dyDescent="0.25">
      <c r="A1618" s="463"/>
      <c r="B1618" s="507"/>
      <c r="C1618" s="507" t="s">
        <v>13411</v>
      </c>
      <c r="D1618" s="557"/>
      <c r="E1618" s="518" t="s">
        <v>13412</v>
      </c>
      <c r="F1618" s="519" t="s">
        <v>578</v>
      </c>
      <c r="G1618" s="511">
        <v>0.02</v>
      </c>
      <c r="H1618" s="520">
        <v>2678.92</v>
      </c>
      <c r="I1618" s="520">
        <f>TRUNC(H1618*G1618,2)</f>
        <v>53.57</v>
      </c>
      <c r="J1618" s="521"/>
      <c r="K1618" s="522">
        <f>I1618+J1618</f>
        <v>53.57</v>
      </c>
      <c r="L1618" s="517" t="s">
        <v>12901</v>
      </c>
      <c r="M1618" s="471"/>
      <c r="N1618" s="516"/>
      <c r="Q1618" s="472"/>
      <c r="R1618" s="472"/>
      <c r="S1618" s="472"/>
      <c r="T1618" s="472"/>
      <c r="U1618" s="472"/>
      <c r="V1618" s="472"/>
      <c r="W1618" s="472"/>
      <c r="X1618" s="472"/>
      <c r="Y1618" s="472"/>
    </row>
    <row r="1619" spans="1:25" ht="24" x14ac:dyDescent="0.25">
      <c r="A1619" s="463"/>
      <c r="B1619" s="498"/>
      <c r="C1619" s="498"/>
      <c r="D1619" s="499" t="s">
        <v>12433</v>
      </c>
      <c r="E1619" s="500" t="s">
        <v>13413</v>
      </c>
      <c r="F1619" s="501" t="s">
        <v>580</v>
      </c>
      <c r="G1619" s="502"/>
      <c r="H1619" s="503"/>
      <c r="I1619" s="504">
        <f>ROUND(SUM(I1620:I1622),2)</f>
        <v>58.32</v>
      </c>
      <c r="J1619" s="504">
        <f>ROUND(SUM(J1620:J1622),2)</f>
        <v>9.84</v>
      </c>
      <c r="K1619" s="504">
        <f>+J1619+I1619</f>
        <v>68.16</v>
      </c>
      <c r="L1619" s="523" t="s">
        <v>13410</v>
      </c>
      <c r="M1619" s="471"/>
      <c r="N1619" s="505"/>
      <c r="Q1619" s="472"/>
      <c r="R1619" s="472"/>
      <c r="S1619" s="472"/>
      <c r="T1619" s="472"/>
      <c r="U1619" s="472"/>
      <c r="V1619" s="472"/>
      <c r="W1619" s="472"/>
      <c r="X1619" s="472"/>
      <c r="Y1619" s="472"/>
    </row>
    <row r="1620" spans="1:25" x14ac:dyDescent="0.25">
      <c r="A1620" s="463"/>
      <c r="B1620" s="506">
        <v>88279</v>
      </c>
      <c r="C1620" s="507"/>
      <c r="D1620" s="508"/>
      <c r="E1620" s="509" t="str">
        <f>IF($C1620="",IFERROR(VLOOKUP($B1620,SERVIÇOS!$B:$G,2,0),IFERROR(VLOOKUP($B1620,$D:$K,2,0),"")),IFERROR(VLOOKUP($C1620,INSUMOS!$A:$D,2,0),IFERROR(VLOOKUP($C1620,COTAÇÕES!$B:$I,2,0),(VLOOKUP($C1620,'INSUMO SINAPI - SP'!$C:$F,2,0)))))</f>
        <v>MONTADOR ELETROMECÃNICO COM ENCARGOS COMPLEMENTARES</v>
      </c>
      <c r="F1620" s="510" t="str">
        <f>IF($C1620="",IFERROR(VLOOKUP($B1620,SERVIÇOS!$B:$G,3,0),IFERROR(VLOOKUP($B1620,$D:$K,3,0),"")),IFERROR(VLOOKUP($C1620,INSUMOS!$A:$D,3,0),IFERROR(VLOOKUP($C1620,COTAÇÕES!$B:$I,3,0),(VLOOKUP($C1620,'INSUMO SINAPI - SP'!$C:$F,3,0)))))</f>
        <v>H</v>
      </c>
      <c r="G1620" s="511">
        <v>0.19600000000000001</v>
      </c>
      <c r="H1620" s="512">
        <f>IF($C1620="",IFERROR(VLOOKUP($B1620,SERVIÇOS!$B:$G,6,0),IFERROR(VLOOKUP($B1620,$D:$K,8,0),"")),IFERROR(VLOOKUP($C1620,INSUMOS!$A:$D,4,0),IFERROR(VLOOKUP($C1620,COTAÇÕES!$B:$I,7,0),(VLOOKUP($C1620,'INSUMO SINAPI - SP'!$C:$F,4,0)))))</f>
        <v>39.01</v>
      </c>
      <c r="I1620" s="513">
        <f>TRUNC(IF($C1620="",IFERROR(VLOOKUP($B1620,SERVIÇOS!$B:$G,4,0),IFERROR(VLOOKUP($B1620,$D:$K,6,0),)),IFERROR(VLOOKUP($C1620,INSUMOS!$A:$D,4,0),IFERROR(VLOOKUP($C1620,COTAÇÕES!$B:$I,7,0),(VLOOKUP($C1620,'INSUMO SINAPI - SP'!$C:$F,4,0)))))*$G1620,2)</f>
        <v>1.82</v>
      </c>
      <c r="J1620" s="513">
        <f>TRUNC(IF($C1620="",IFERROR(VLOOKUP($B1620,SERVIÇOS!$B:$G,5,0),IFERROR(VLOOKUP($B1620,$D:$K,7,0),)),0)*$G1620,2)</f>
        <v>5.81</v>
      </c>
      <c r="K1620" s="514">
        <f>I1620+J1620</f>
        <v>7.63</v>
      </c>
      <c r="L1620" s="515"/>
      <c r="M1620" s="471"/>
      <c r="N1620" s="516"/>
      <c r="Q1620" s="472"/>
      <c r="R1620" s="472"/>
      <c r="S1620" s="472"/>
      <c r="T1620" s="472"/>
      <c r="U1620" s="472"/>
      <c r="V1620" s="472"/>
      <c r="W1620" s="472"/>
      <c r="X1620" s="472"/>
      <c r="Y1620" s="472"/>
    </row>
    <row r="1621" spans="1:25" x14ac:dyDescent="0.25">
      <c r="A1621" s="463"/>
      <c r="B1621" s="506">
        <v>88241</v>
      </c>
      <c r="C1621" s="507"/>
      <c r="D1621" s="508"/>
      <c r="E1621" s="509" t="str">
        <f>IF($C1621="",IFERROR(VLOOKUP($B1621,SERVIÇOS!$B:$G,2,0),IFERROR(VLOOKUP($B1621,$D:$K,2,0),"")),IFERROR(VLOOKUP($C1621,INSUMOS!$A:$D,2,0),IFERROR(VLOOKUP($C1621,COTAÇÕES!$B:$I,2,0),(VLOOKUP($C1621,'INSUMO SINAPI - SP'!$C:$F,2,0)))))</f>
        <v>AJUDANTE DE OPERAÇÃO EM GERAL COM ENCARGOS COMPLEMENTARES</v>
      </c>
      <c r="F1621" s="510" t="str">
        <f>IF($C1621="",IFERROR(VLOOKUP($B1621,SERVIÇOS!$B:$G,3,0),IFERROR(VLOOKUP($B1621,$D:$K,3,0),"")),IFERROR(VLOOKUP($C1621,INSUMOS!$A:$D,3,0),IFERROR(VLOOKUP($C1621,COTAÇÕES!$B:$I,3,0),(VLOOKUP($C1621,'INSUMO SINAPI - SP'!$C:$F,3,0)))))</f>
        <v>H</v>
      </c>
      <c r="G1621" s="511">
        <v>0.19600000000000001</v>
      </c>
      <c r="H1621" s="512">
        <f>IF($C1621="",IFERROR(VLOOKUP($B1621,SERVIÇOS!$B:$G,6,0),IFERROR(VLOOKUP($B1621,$D:$K,8,0),"")),IFERROR(VLOOKUP($C1621,INSUMOS!$A:$D,4,0),IFERROR(VLOOKUP($C1621,COTAÇÕES!$B:$I,7,0),(VLOOKUP($C1621,'INSUMO SINAPI - SP'!$C:$F,4,0)))))</f>
        <v>29.87</v>
      </c>
      <c r="I1621" s="513">
        <f>TRUNC(IF($C1621="",IFERROR(VLOOKUP($B1621,SERVIÇOS!$B:$G,4,0),IFERROR(VLOOKUP($B1621,$D:$K,6,0),)),IFERROR(VLOOKUP($C1621,INSUMOS!$A:$D,4,0),IFERROR(VLOOKUP($C1621,COTAÇÕES!$B:$I,7,0),(VLOOKUP($C1621,'INSUMO SINAPI - SP'!$C:$F,4,0)))))*$G1621,2)</f>
        <v>1.82</v>
      </c>
      <c r="J1621" s="513">
        <f>TRUNC(IF($C1621="",IFERROR(VLOOKUP($B1621,SERVIÇOS!$B:$G,5,0),IFERROR(VLOOKUP($B1621,$D:$K,7,0),)),0)*$G1621,2)</f>
        <v>4.03</v>
      </c>
      <c r="K1621" s="514">
        <f>I1621+J1621</f>
        <v>5.8500000000000005</v>
      </c>
      <c r="L1621" s="515"/>
      <c r="M1621" s="471"/>
      <c r="N1621" s="516"/>
      <c r="Q1621" s="472"/>
      <c r="R1621" s="472"/>
      <c r="S1621" s="472"/>
      <c r="T1621" s="472"/>
      <c r="U1621" s="472"/>
      <c r="V1621" s="472"/>
      <c r="W1621" s="472"/>
      <c r="X1621" s="472"/>
      <c r="Y1621" s="472"/>
    </row>
    <row r="1622" spans="1:25" ht="24" x14ac:dyDescent="0.25">
      <c r="A1622" s="463"/>
      <c r="B1622" s="506"/>
      <c r="C1622" s="507" t="s">
        <v>13411</v>
      </c>
      <c r="D1622" s="508"/>
      <c r="E1622" s="518" t="s">
        <v>13413</v>
      </c>
      <c r="F1622" s="519" t="s">
        <v>578</v>
      </c>
      <c r="G1622" s="511">
        <v>0.02</v>
      </c>
      <c r="H1622" s="520">
        <v>2734.17</v>
      </c>
      <c r="I1622" s="520">
        <f>TRUNC(H1622*G1622,2)</f>
        <v>54.68</v>
      </c>
      <c r="J1622" s="521"/>
      <c r="K1622" s="522">
        <f>I1622+J1622</f>
        <v>54.68</v>
      </c>
      <c r="L1622" s="517" t="s">
        <v>12901</v>
      </c>
      <c r="M1622" s="471"/>
      <c r="N1622" s="516"/>
      <c r="Q1622" s="472"/>
      <c r="R1622" s="472"/>
      <c r="S1622" s="472"/>
      <c r="T1622" s="472"/>
      <c r="U1622" s="472"/>
      <c r="V1622" s="472"/>
      <c r="W1622" s="472"/>
      <c r="X1622" s="472"/>
      <c r="Y1622" s="472"/>
    </row>
    <row r="1623" spans="1:25" ht="24" x14ac:dyDescent="0.25">
      <c r="A1623" s="463"/>
      <c r="B1623" s="498"/>
      <c r="C1623" s="498"/>
      <c r="D1623" s="499" t="s">
        <v>12434</v>
      </c>
      <c r="E1623" s="500" t="s">
        <v>13414</v>
      </c>
      <c r="F1623" s="501" t="s">
        <v>580</v>
      </c>
      <c r="G1623" s="502"/>
      <c r="H1623" s="503"/>
      <c r="I1623" s="504">
        <f>ROUND(SUM(I1624:I1626),2)</f>
        <v>169.52</v>
      </c>
      <c r="J1623" s="504">
        <f>ROUND(SUM(J1624:J1626),2)</f>
        <v>14.77</v>
      </c>
      <c r="K1623" s="504">
        <f>+J1623+I1623</f>
        <v>184.29000000000002</v>
      </c>
      <c r="L1623" s="523" t="s">
        <v>13410</v>
      </c>
      <c r="M1623" s="471"/>
      <c r="N1623" s="505"/>
      <c r="Q1623" s="472"/>
      <c r="R1623" s="472"/>
      <c r="S1623" s="472"/>
      <c r="T1623" s="472"/>
      <c r="U1623" s="472"/>
      <c r="V1623" s="472"/>
      <c r="W1623" s="472"/>
      <c r="X1623" s="472"/>
      <c r="Y1623" s="472"/>
    </row>
    <row r="1624" spans="1:25" x14ac:dyDescent="0.25">
      <c r="A1624" s="463"/>
      <c r="B1624" s="506">
        <v>88279</v>
      </c>
      <c r="C1624" s="507"/>
      <c r="D1624" s="508"/>
      <c r="E1624" s="509" t="str">
        <f>IF($C1624="",IFERROR(VLOOKUP($B1624,SERVIÇOS!$B:$G,2,0),IFERROR(VLOOKUP($B1624,$D:$K,2,0),"")),IFERROR(VLOOKUP($C1624,INSUMOS!$A:$D,2,0),IFERROR(VLOOKUP($C1624,COTAÇÕES!$B:$I,2,0),(VLOOKUP($C1624,'INSUMO SINAPI - SP'!$C:$F,2,0)))))</f>
        <v>MONTADOR ELETROMECÃNICO COM ENCARGOS COMPLEMENTARES</v>
      </c>
      <c r="F1624" s="510" t="str">
        <f>IF($C1624="",IFERROR(VLOOKUP($B1624,SERVIÇOS!$B:$G,3,0),IFERROR(VLOOKUP($B1624,$D:$K,3,0),"")),IFERROR(VLOOKUP($C1624,INSUMOS!$A:$D,3,0),IFERROR(VLOOKUP($C1624,COTAÇÕES!$B:$I,3,0),(VLOOKUP($C1624,'INSUMO SINAPI - SP'!$C:$F,3,0)))))</f>
        <v>H</v>
      </c>
      <c r="G1624" s="511">
        <v>0.29399999999999998</v>
      </c>
      <c r="H1624" s="512">
        <f>IF($C1624="",IFERROR(VLOOKUP($B1624,SERVIÇOS!$B:$G,6,0),IFERROR(VLOOKUP($B1624,$D:$K,8,0),"")),IFERROR(VLOOKUP($C1624,INSUMOS!$A:$D,4,0),IFERROR(VLOOKUP($C1624,COTAÇÕES!$B:$I,7,0),(VLOOKUP($C1624,'INSUMO SINAPI - SP'!$C:$F,4,0)))))</f>
        <v>39.01</v>
      </c>
      <c r="I1624" s="513">
        <f>TRUNC(IF($C1624="",IFERROR(VLOOKUP($B1624,SERVIÇOS!$B:$G,4,0),IFERROR(VLOOKUP($B1624,$D:$K,6,0),)),IFERROR(VLOOKUP($C1624,INSUMOS!$A:$D,4,0),IFERROR(VLOOKUP($C1624,COTAÇÕES!$B:$I,7,0),(VLOOKUP($C1624,'INSUMO SINAPI - SP'!$C:$F,4,0)))))*$G1624,2)</f>
        <v>2.74</v>
      </c>
      <c r="J1624" s="513">
        <f>TRUNC(IF($C1624="",IFERROR(VLOOKUP($B1624,SERVIÇOS!$B:$G,5,0),IFERROR(VLOOKUP($B1624,$D:$K,7,0),)),0)*$G1624,2)</f>
        <v>8.7200000000000006</v>
      </c>
      <c r="K1624" s="514">
        <f>I1624+J1624</f>
        <v>11.46</v>
      </c>
      <c r="L1624" s="515"/>
      <c r="M1624" s="471"/>
      <c r="N1624" s="516"/>
      <c r="Q1624" s="472"/>
      <c r="R1624" s="472"/>
      <c r="S1624" s="472"/>
      <c r="T1624" s="472"/>
      <c r="U1624" s="472"/>
      <c r="V1624" s="472"/>
      <c r="W1624" s="472"/>
      <c r="X1624" s="472"/>
      <c r="Y1624" s="472"/>
    </row>
    <row r="1625" spans="1:25" x14ac:dyDescent="0.25">
      <c r="A1625" s="463"/>
      <c r="B1625" s="506">
        <v>88241</v>
      </c>
      <c r="C1625" s="507"/>
      <c r="D1625" s="508"/>
      <c r="E1625" s="509" t="str">
        <f>IF($C1625="",IFERROR(VLOOKUP($B1625,SERVIÇOS!$B:$G,2,0),IFERROR(VLOOKUP($B1625,$D:$K,2,0),"")),IFERROR(VLOOKUP($C1625,INSUMOS!$A:$D,2,0),IFERROR(VLOOKUP($C1625,COTAÇÕES!$B:$I,2,0),(VLOOKUP($C1625,'INSUMO SINAPI - SP'!$C:$F,2,0)))))</f>
        <v>AJUDANTE DE OPERAÇÃO EM GERAL COM ENCARGOS COMPLEMENTARES</v>
      </c>
      <c r="F1625" s="510" t="str">
        <f>IF($C1625="",IFERROR(VLOOKUP($B1625,SERVIÇOS!$B:$G,3,0),IFERROR(VLOOKUP($B1625,$D:$K,3,0),"")),IFERROR(VLOOKUP($C1625,INSUMOS!$A:$D,3,0),IFERROR(VLOOKUP($C1625,COTAÇÕES!$B:$I,3,0),(VLOOKUP($C1625,'INSUMO SINAPI - SP'!$C:$F,3,0)))))</f>
        <v>H</v>
      </c>
      <c r="G1625" s="511">
        <v>0.29399999999999998</v>
      </c>
      <c r="H1625" s="512">
        <f>IF($C1625="",IFERROR(VLOOKUP($B1625,SERVIÇOS!$B:$G,6,0),IFERROR(VLOOKUP($B1625,$D:$K,8,0),"")),IFERROR(VLOOKUP($C1625,INSUMOS!$A:$D,4,0),IFERROR(VLOOKUP($C1625,COTAÇÕES!$B:$I,7,0),(VLOOKUP($C1625,'INSUMO SINAPI - SP'!$C:$F,4,0)))))</f>
        <v>29.87</v>
      </c>
      <c r="I1625" s="513">
        <f>TRUNC(IF($C1625="",IFERROR(VLOOKUP($B1625,SERVIÇOS!$B:$G,4,0),IFERROR(VLOOKUP($B1625,$D:$K,6,0),)),IFERROR(VLOOKUP($C1625,INSUMOS!$A:$D,4,0),IFERROR(VLOOKUP($C1625,COTAÇÕES!$B:$I,7,0),(VLOOKUP($C1625,'INSUMO SINAPI - SP'!$C:$F,4,0)))))*$G1625,2)</f>
        <v>2.73</v>
      </c>
      <c r="J1625" s="513">
        <f>TRUNC(IF($C1625="",IFERROR(VLOOKUP($B1625,SERVIÇOS!$B:$G,5,0),IFERROR(VLOOKUP($B1625,$D:$K,7,0),)),0)*$G1625,2)</f>
        <v>6.05</v>
      </c>
      <c r="K1625" s="514">
        <f>I1625+J1625</f>
        <v>8.7799999999999994</v>
      </c>
      <c r="L1625" s="515"/>
      <c r="M1625" s="471"/>
      <c r="N1625" s="516"/>
      <c r="Q1625" s="472"/>
      <c r="R1625" s="472"/>
      <c r="S1625" s="472"/>
      <c r="T1625" s="472"/>
      <c r="U1625" s="472"/>
      <c r="V1625" s="472"/>
      <c r="W1625" s="472"/>
      <c r="X1625" s="472"/>
      <c r="Y1625" s="472"/>
    </row>
    <row r="1626" spans="1:25" ht="24" x14ac:dyDescent="0.25">
      <c r="A1626" s="463"/>
      <c r="B1626" s="506"/>
      <c r="C1626" s="507" t="s">
        <v>13411</v>
      </c>
      <c r="D1626" s="508"/>
      <c r="E1626" s="518" t="s">
        <v>13414</v>
      </c>
      <c r="F1626" s="519" t="s">
        <v>578</v>
      </c>
      <c r="G1626" s="511">
        <v>0.06</v>
      </c>
      <c r="H1626" s="520">
        <v>2734.17</v>
      </c>
      <c r="I1626" s="520">
        <f>TRUNC(H1626*G1626,2)</f>
        <v>164.05</v>
      </c>
      <c r="J1626" s="521"/>
      <c r="K1626" s="522">
        <f>I1626+J1626</f>
        <v>164.05</v>
      </c>
      <c r="L1626" s="517" t="s">
        <v>12901</v>
      </c>
      <c r="M1626" s="471"/>
      <c r="N1626" s="516"/>
      <c r="Q1626" s="472"/>
      <c r="R1626" s="472"/>
      <c r="S1626" s="472"/>
      <c r="T1626" s="472"/>
      <c r="U1626" s="472"/>
      <c r="V1626" s="472"/>
      <c r="W1626" s="472"/>
      <c r="X1626" s="472"/>
      <c r="Y1626" s="472"/>
    </row>
    <row r="1627" spans="1:25" ht="24" x14ac:dyDescent="0.25">
      <c r="A1627" s="463"/>
      <c r="B1627" s="498"/>
      <c r="C1627" s="498"/>
      <c r="D1627" s="499" t="s">
        <v>12436</v>
      </c>
      <c r="E1627" s="500" t="s">
        <v>13415</v>
      </c>
      <c r="F1627" s="501" t="s">
        <v>580</v>
      </c>
      <c r="G1627" s="502"/>
      <c r="H1627" s="503"/>
      <c r="I1627" s="504">
        <f>ROUND(SUM(I1628:I1630),2)</f>
        <v>226.02</v>
      </c>
      <c r="J1627" s="504">
        <f>ROUND(SUM(J1628:J1630),2)</f>
        <v>19.690000000000001</v>
      </c>
      <c r="K1627" s="504">
        <f>+J1627+I1627</f>
        <v>245.71</v>
      </c>
      <c r="L1627" s="523" t="s">
        <v>13410</v>
      </c>
      <c r="M1627" s="471"/>
      <c r="N1627" s="505"/>
      <c r="Q1627" s="472"/>
      <c r="R1627" s="472"/>
      <c r="S1627" s="472"/>
      <c r="T1627" s="472"/>
      <c r="U1627" s="472"/>
      <c r="V1627" s="472"/>
      <c r="W1627" s="472"/>
      <c r="X1627" s="472"/>
      <c r="Y1627" s="472"/>
    </row>
    <row r="1628" spans="1:25" x14ac:dyDescent="0.25">
      <c r="A1628" s="463"/>
      <c r="B1628" s="506">
        <v>88279</v>
      </c>
      <c r="C1628" s="507"/>
      <c r="D1628" s="508"/>
      <c r="E1628" s="509" t="str">
        <f>IF($C1628="",IFERROR(VLOOKUP($B1628,SERVIÇOS!$B:$G,2,0),IFERROR(VLOOKUP($B1628,$D:$K,2,0),"")),IFERROR(VLOOKUP($C1628,INSUMOS!$A:$D,2,0),IFERROR(VLOOKUP($C1628,COTAÇÕES!$B:$I,2,0),(VLOOKUP($C1628,'INSUMO SINAPI - SP'!$C:$F,2,0)))))</f>
        <v>MONTADOR ELETROMECÃNICO COM ENCARGOS COMPLEMENTARES</v>
      </c>
      <c r="F1628" s="510" t="str">
        <f>IF($C1628="",IFERROR(VLOOKUP($B1628,SERVIÇOS!$B:$G,3,0),IFERROR(VLOOKUP($B1628,$D:$K,3,0),"")),IFERROR(VLOOKUP($C1628,INSUMOS!$A:$D,3,0),IFERROR(VLOOKUP($C1628,COTAÇÕES!$B:$I,3,0),(VLOOKUP($C1628,'INSUMO SINAPI - SP'!$C:$F,3,0)))))</f>
        <v>H</v>
      </c>
      <c r="G1628" s="511">
        <v>0.39200000000000002</v>
      </c>
      <c r="H1628" s="512">
        <f>IF($C1628="",IFERROR(VLOOKUP($B1628,SERVIÇOS!$B:$G,6,0),IFERROR(VLOOKUP($B1628,$D:$K,8,0),"")),IFERROR(VLOOKUP($C1628,INSUMOS!$A:$D,4,0),IFERROR(VLOOKUP($C1628,COTAÇÕES!$B:$I,7,0),(VLOOKUP($C1628,'INSUMO SINAPI - SP'!$C:$F,4,0)))))</f>
        <v>39.01</v>
      </c>
      <c r="I1628" s="513">
        <f>TRUNC(IF($C1628="",IFERROR(VLOOKUP($B1628,SERVIÇOS!$B:$G,4,0),IFERROR(VLOOKUP($B1628,$D:$K,6,0),)),IFERROR(VLOOKUP($C1628,INSUMOS!$A:$D,4,0),IFERROR(VLOOKUP($C1628,COTAÇÕES!$B:$I,7,0),(VLOOKUP($C1628,'INSUMO SINAPI - SP'!$C:$F,4,0)))))*$G1628,2)</f>
        <v>3.65</v>
      </c>
      <c r="J1628" s="513">
        <f>TRUNC(IF($C1628="",IFERROR(VLOOKUP($B1628,SERVIÇOS!$B:$G,5,0),IFERROR(VLOOKUP($B1628,$D:$K,7,0),)),0)*$G1628,2)</f>
        <v>11.63</v>
      </c>
      <c r="K1628" s="514">
        <f>I1628+J1628</f>
        <v>15.280000000000001</v>
      </c>
      <c r="L1628" s="515"/>
      <c r="M1628" s="471"/>
      <c r="N1628" s="516"/>
      <c r="Q1628" s="472"/>
      <c r="R1628" s="472"/>
      <c r="S1628" s="472"/>
      <c r="T1628" s="472"/>
      <c r="U1628" s="472"/>
      <c r="V1628" s="472"/>
      <c r="W1628" s="472"/>
      <c r="X1628" s="472"/>
      <c r="Y1628" s="472"/>
    </row>
    <row r="1629" spans="1:25" x14ac:dyDescent="0.25">
      <c r="A1629" s="463"/>
      <c r="B1629" s="506">
        <v>88241</v>
      </c>
      <c r="C1629" s="507"/>
      <c r="D1629" s="508"/>
      <c r="E1629" s="509" t="str">
        <f>IF($C1629="",IFERROR(VLOOKUP($B1629,SERVIÇOS!$B:$G,2,0),IFERROR(VLOOKUP($B1629,$D:$K,2,0),"")),IFERROR(VLOOKUP($C1629,INSUMOS!$A:$D,2,0),IFERROR(VLOOKUP($C1629,COTAÇÕES!$B:$I,2,0),(VLOOKUP($C1629,'INSUMO SINAPI - SP'!$C:$F,2,0)))))</f>
        <v>AJUDANTE DE OPERAÇÃO EM GERAL COM ENCARGOS COMPLEMENTARES</v>
      </c>
      <c r="F1629" s="510" t="str">
        <f>IF($C1629="",IFERROR(VLOOKUP($B1629,SERVIÇOS!$B:$G,3,0),IFERROR(VLOOKUP($B1629,$D:$K,3,0),"")),IFERROR(VLOOKUP($C1629,INSUMOS!$A:$D,3,0),IFERROR(VLOOKUP($C1629,COTAÇÕES!$B:$I,3,0),(VLOOKUP($C1629,'INSUMO SINAPI - SP'!$C:$F,3,0)))))</f>
        <v>H</v>
      </c>
      <c r="G1629" s="511">
        <v>0.39200000000000002</v>
      </c>
      <c r="H1629" s="512">
        <f>IF($C1629="",IFERROR(VLOOKUP($B1629,SERVIÇOS!$B:$G,6,0),IFERROR(VLOOKUP($B1629,$D:$K,8,0),"")),IFERROR(VLOOKUP($C1629,INSUMOS!$A:$D,4,0),IFERROR(VLOOKUP($C1629,COTAÇÕES!$B:$I,7,0),(VLOOKUP($C1629,'INSUMO SINAPI - SP'!$C:$F,4,0)))))</f>
        <v>29.87</v>
      </c>
      <c r="I1629" s="513">
        <f>TRUNC(IF($C1629="",IFERROR(VLOOKUP($B1629,SERVIÇOS!$B:$G,4,0),IFERROR(VLOOKUP($B1629,$D:$K,6,0),)),IFERROR(VLOOKUP($C1629,INSUMOS!$A:$D,4,0),IFERROR(VLOOKUP($C1629,COTAÇÕES!$B:$I,7,0),(VLOOKUP($C1629,'INSUMO SINAPI - SP'!$C:$F,4,0)))))*$G1629,2)</f>
        <v>3.64</v>
      </c>
      <c r="J1629" s="513">
        <f>TRUNC(IF($C1629="",IFERROR(VLOOKUP($B1629,SERVIÇOS!$B:$G,5,0),IFERROR(VLOOKUP($B1629,$D:$K,7,0),)),0)*$G1629,2)</f>
        <v>8.06</v>
      </c>
      <c r="K1629" s="514">
        <f>I1629+J1629</f>
        <v>11.700000000000001</v>
      </c>
      <c r="L1629" s="515"/>
      <c r="M1629" s="471"/>
      <c r="N1629" s="516"/>
      <c r="Q1629" s="472"/>
      <c r="R1629" s="472"/>
      <c r="S1629" s="472"/>
      <c r="T1629" s="472"/>
      <c r="U1629" s="472"/>
      <c r="V1629" s="472"/>
      <c r="W1629" s="472"/>
      <c r="X1629" s="472"/>
      <c r="Y1629" s="472"/>
    </row>
    <row r="1630" spans="1:25" ht="24" x14ac:dyDescent="0.25">
      <c r="A1630" s="463"/>
      <c r="B1630" s="506"/>
      <c r="C1630" s="507" t="s">
        <v>13411</v>
      </c>
      <c r="D1630" s="508"/>
      <c r="E1630" s="518" t="s">
        <v>13415</v>
      </c>
      <c r="F1630" s="519" t="s">
        <v>578</v>
      </c>
      <c r="G1630" s="511">
        <v>0.08</v>
      </c>
      <c r="H1630" s="520">
        <v>2734.17</v>
      </c>
      <c r="I1630" s="520">
        <f>TRUNC(H1630*G1630,2)</f>
        <v>218.73</v>
      </c>
      <c r="J1630" s="521"/>
      <c r="K1630" s="522">
        <f>I1630+J1630</f>
        <v>218.73</v>
      </c>
      <c r="L1630" s="517" t="s">
        <v>12901</v>
      </c>
      <c r="M1630" s="471"/>
      <c r="N1630" s="516"/>
      <c r="Q1630" s="472"/>
      <c r="R1630" s="472"/>
      <c r="S1630" s="472"/>
      <c r="T1630" s="472"/>
      <c r="U1630" s="472"/>
      <c r="V1630" s="472"/>
      <c r="W1630" s="472"/>
      <c r="X1630" s="472"/>
      <c r="Y1630" s="472"/>
    </row>
    <row r="1631" spans="1:25" ht="24" x14ac:dyDescent="0.25">
      <c r="A1631" s="463"/>
      <c r="B1631" s="498"/>
      <c r="C1631" s="498"/>
      <c r="D1631" s="499" t="s">
        <v>12437</v>
      </c>
      <c r="E1631" s="500" t="s">
        <v>13416</v>
      </c>
      <c r="F1631" s="501" t="s">
        <v>580</v>
      </c>
      <c r="G1631" s="502"/>
      <c r="H1631" s="503"/>
      <c r="I1631" s="504">
        <f>ROUND(SUM(I1632:I1634),2)</f>
        <v>248.28</v>
      </c>
      <c r="J1631" s="504">
        <f>ROUND(SUM(J1632:J1634),2)</f>
        <v>12.05</v>
      </c>
      <c r="K1631" s="504">
        <f>+J1631+I1631</f>
        <v>260.33</v>
      </c>
      <c r="L1631" s="523" t="s">
        <v>13417</v>
      </c>
      <c r="M1631" s="471"/>
      <c r="N1631" s="505"/>
      <c r="Q1631" s="472"/>
      <c r="R1631" s="472"/>
      <c r="S1631" s="472"/>
      <c r="T1631" s="472"/>
      <c r="U1631" s="472"/>
      <c r="V1631" s="472"/>
      <c r="W1631" s="472"/>
      <c r="X1631" s="472"/>
      <c r="Y1631" s="472"/>
    </row>
    <row r="1632" spans="1:25" x14ac:dyDescent="0.25">
      <c r="A1632" s="463"/>
      <c r="B1632" s="506">
        <v>88279</v>
      </c>
      <c r="C1632" s="507"/>
      <c r="D1632" s="508"/>
      <c r="E1632" s="509" t="str">
        <f>IF($C1632="",IFERROR(VLOOKUP($B1632,SERVIÇOS!$B:$G,2,0),IFERROR(VLOOKUP($B1632,$D:$K,2,0),"")),IFERROR(VLOOKUP($C1632,INSUMOS!$A:$D,2,0),IFERROR(VLOOKUP($C1632,COTAÇÕES!$B:$I,2,0),(VLOOKUP($C1632,'INSUMO SINAPI - SP'!$C:$F,2,0)))))</f>
        <v>MONTADOR ELETROMECÃNICO COM ENCARGOS COMPLEMENTARES</v>
      </c>
      <c r="F1632" s="510" t="str">
        <f>IF($C1632="",IFERROR(VLOOKUP($B1632,SERVIÇOS!$B:$G,3,0),IFERROR(VLOOKUP($B1632,$D:$K,3,0),"")),IFERROR(VLOOKUP($C1632,INSUMOS!$A:$D,3,0),IFERROR(VLOOKUP($C1632,COTAÇÕES!$B:$I,3,0),(VLOOKUP($C1632,'INSUMO SINAPI - SP'!$C:$F,3,0)))))</f>
        <v>H</v>
      </c>
      <c r="G1632" s="511">
        <v>0.24</v>
      </c>
      <c r="H1632" s="512">
        <f>IF($C1632="",IFERROR(VLOOKUP($B1632,SERVIÇOS!$B:$G,6,0),IFERROR(VLOOKUP($B1632,$D:$K,8,0),"")),IFERROR(VLOOKUP($C1632,INSUMOS!$A:$D,4,0),IFERROR(VLOOKUP($C1632,COTAÇÕES!$B:$I,7,0),(VLOOKUP($C1632,'INSUMO SINAPI - SP'!$C:$F,4,0)))))</f>
        <v>39.01</v>
      </c>
      <c r="I1632" s="513">
        <f>TRUNC(IF($C1632="",IFERROR(VLOOKUP($B1632,SERVIÇOS!$B:$G,4,0),IFERROR(VLOOKUP($B1632,$D:$K,6,0),)),IFERROR(VLOOKUP($C1632,INSUMOS!$A:$D,4,0),IFERROR(VLOOKUP($C1632,COTAÇÕES!$B:$I,7,0),(VLOOKUP($C1632,'INSUMO SINAPI - SP'!$C:$F,4,0)))))*$G1632,2)</f>
        <v>2.23</v>
      </c>
      <c r="J1632" s="513">
        <f>TRUNC(IF($C1632="",IFERROR(VLOOKUP($B1632,SERVIÇOS!$B:$G,5,0),IFERROR(VLOOKUP($B1632,$D:$K,7,0),)),0)*$G1632,2)</f>
        <v>7.12</v>
      </c>
      <c r="K1632" s="514">
        <f>I1632+J1632</f>
        <v>9.35</v>
      </c>
      <c r="L1632" s="515"/>
      <c r="M1632" s="471"/>
      <c r="N1632" s="516"/>
      <c r="Q1632" s="472"/>
      <c r="R1632" s="472"/>
      <c r="S1632" s="472"/>
      <c r="T1632" s="472"/>
      <c r="U1632" s="472"/>
      <c r="V1632" s="472"/>
      <c r="W1632" s="472"/>
      <c r="X1632" s="472"/>
      <c r="Y1632" s="472"/>
    </row>
    <row r="1633" spans="1:25" x14ac:dyDescent="0.25">
      <c r="A1633" s="463"/>
      <c r="B1633" s="506">
        <v>88241</v>
      </c>
      <c r="C1633" s="507"/>
      <c r="D1633" s="508"/>
      <c r="E1633" s="509" t="str">
        <f>IF($C1633="",IFERROR(VLOOKUP($B1633,SERVIÇOS!$B:$G,2,0),IFERROR(VLOOKUP($B1633,$D:$K,2,0),"")),IFERROR(VLOOKUP($C1633,INSUMOS!$A:$D,2,0),IFERROR(VLOOKUP($C1633,COTAÇÕES!$B:$I,2,0),(VLOOKUP($C1633,'INSUMO SINAPI - SP'!$C:$F,2,0)))))</f>
        <v>AJUDANTE DE OPERAÇÃO EM GERAL COM ENCARGOS COMPLEMENTARES</v>
      </c>
      <c r="F1633" s="510" t="str">
        <f>IF($C1633="",IFERROR(VLOOKUP($B1633,SERVIÇOS!$B:$G,3,0),IFERROR(VLOOKUP($B1633,$D:$K,3,0),"")),IFERROR(VLOOKUP($C1633,INSUMOS!$A:$D,3,0),IFERROR(VLOOKUP($C1633,COTAÇÕES!$B:$I,3,0),(VLOOKUP($C1633,'INSUMO SINAPI - SP'!$C:$F,3,0)))))</f>
        <v>H</v>
      </c>
      <c r="G1633" s="511">
        <v>0.24</v>
      </c>
      <c r="H1633" s="512">
        <f>IF($C1633="",IFERROR(VLOOKUP($B1633,SERVIÇOS!$B:$G,6,0),IFERROR(VLOOKUP($B1633,$D:$K,8,0),"")),IFERROR(VLOOKUP($C1633,INSUMOS!$A:$D,4,0),IFERROR(VLOOKUP($C1633,COTAÇÕES!$B:$I,7,0),(VLOOKUP($C1633,'INSUMO SINAPI - SP'!$C:$F,4,0)))))</f>
        <v>29.87</v>
      </c>
      <c r="I1633" s="513">
        <f>TRUNC(IF($C1633="",IFERROR(VLOOKUP($B1633,SERVIÇOS!$B:$G,4,0),IFERROR(VLOOKUP($B1633,$D:$K,6,0),)),IFERROR(VLOOKUP($C1633,INSUMOS!$A:$D,4,0),IFERROR(VLOOKUP($C1633,COTAÇÕES!$B:$I,7,0),(VLOOKUP($C1633,'INSUMO SINAPI - SP'!$C:$F,4,0)))))*$G1633,2)</f>
        <v>2.2200000000000002</v>
      </c>
      <c r="J1633" s="513">
        <f>TRUNC(IF($C1633="",IFERROR(VLOOKUP($B1633,SERVIÇOS!$B:$G,5,0),IFERROR(VLOOKUP($B1633,$D:$K,7,0),)),0)*$G1633,2)</f>
        <v>4.93</v>
      </c>
      <c r="K1633" s="514">
        <f>I1633+J1633</f>
        <v>7.15</v>
      </c>
      <c r="L1633" s="515"/>
      <c r="M1633" s="471"/>
      <c r="N1633" s="516"/>
      <c r="Q1633" s="472"/>
      <c r="R1633" s="472"/>
      <c r="S1633" s="472"/>
      <c r="T1633" s="472"/>
      <c r="U1633" s="472"/>
      <c r="V1633" s="472"/>
      <c r="W1633" s="472"/>
      <c r="X1633" s="472"/>
      <c r="Y1633" s="472"/>
    </row>
    <row r="1634" spans="1:25" ht="24" x14ac:dyDescent="0.25">
      <c r="A1634" s="463"/>
      <c r="B1634" s="506"/>
      <c r="C1634" s="507" t="s">
        <v>13418</v>
      </c>
      <c r="D1634" s="508"/>
      <c r="E1634" s="518" t="s">
        <v>13416</v>
      </c>
      <c r="F1634" s="519" t="s">
        <v>578</v>
      </c>
      <c r="G1634" s="511">
        <v>0.12</v>
      </c>
      <c r="H1634" s="520">
        <v>2031.97</v>
      </c>
      <c r="I1634" s="520">
        <f>TRUNC(H1634*G1634,2)</f>
        <v>243.83</v>
      </c>
      <c r="J1634" s="521"/>
      <c r="K1634" s="522">
        <f>I1634+J1634</f>
        <v>243.83</v>
      </c>
      <c r="L1634" s="517" t="s">
        <v>12901</v>
      </c>
      <c r="M1634" s="471"/>
      <c r="N1634" s="516"/>
      <c r="Q1634" s="472"/>
      <c r="R1634" s="472"/>
      <c r="S1634" s="472"/>
      <c r="T1634" s="472"/>
      <c r="U1634" s="472"/>
      <c r="V1634" s="472"/>
      <c r="W1634" s="472"/>
      <c r="X1634" s="472"/>
      <c r="Y1634" s="472"/>
    </row>
    <row r="1635" spans="1:25" ht="24" x14ac:dyDescent="0.25">
      <c r="A1635" s="463"/>
      <c r="B1635" s="498"/>
      <c r="C1635" s="498"/>
      <c r="D1635" s="499" t="s">
        <v>12435</v>
      </c>
      <c r="E1635" s="500" t="s">
        <v>13419</v>
      </c>
      <c r="F1635" s="501" t="s">
        <v>580</v>
      </c>
      <c r="G1635" s="502"/>
      <c r="H1635" s="503"/>
      <c r="I1635" s="504">
        <f>ROUND(SUM(I1636:I1638),2)</f>
        <v>337.21</v>
      </c>
      <c r="J1635" s="504">
        <f>ROUND(SUM(J1636:J1638),2)</f>
        <v>24.62</v>
      </c>
      <c r="K1635" s="504">
        <f>+J1635+I1635</f>
        <v>361.83</v>
      </c>
      <c r="L1635" s="523" t="s">
        <v>13410</v>
      </c>
      <c r="M1635" s="471"/>
      <c r="N1635" s="505"/>
      <c r="Q1635" s="472"/>
      <c r="R1635" s="472"/>
      <c r="S1635" s="472"/>
      <c r="T1635" s="472"/>
      <c r="U1635" s="472"/>
      <c r="V1635" s="472"/>
      <c r="W1635" s="472"/>
      <c r="X1635" s="472"/>
      <c r="Y1635" s="472"/>
    </row>
    <row r="1636" spans="1:25" x14ac:dyDescent="0.25">
      <c r="A1636" s="463"/>
      <c r="B1636" s="506">
        <v>88279</v>
      </c>
      <c r="C1636" s="507"/>
      <c r="D1636" s="508"/>
      <c r="E1636" s="509" t="str">
        <f>IF($C1636="",IFERROR(VLOOKUP($B1636,SERVIÇOS!$B:$G,2,0),IFERROR(VLOOKUP($B1636,$D:$K,2,0),"")),IFERROR(VLOOKUP($C1636,INSUMOS!$A:$D,2,0),IFERROR(VLOOKUP($C1636,COTAÇÕES!$B:$I,2,0),(VLOOKUP($C1636,'INSUMO SINAPI - SP'!$C:$F,2,0)))))</f>
        <v>MONTADOR ELETROMECÃNICO COM ENCARGOS COMPLEMENTARES</v>
      </c>
      <c r="F1636" s="510" t="str">
        <f>IF($C1636="",IFERROR(VLOOKUP($B1636,SERVIÇOS!$B:$G,3,0),IFERROR(VLOOKUP($B1636,$D:$K,3,0),"")),IFERROR(VLOOKUP($C1636,INSUMOS!$A:$D,3,0),IFERROR(VLOOKUP($C1636,COTAÇÕES!$B:$I,3,0),(VLOOKUP($C1636,'INSUMO SINAPI - SP'!$C:$F,3,0)))))</f>
        <v>H</v>
      </c>
      <c r="G1636" s="511">
        <v>0.49</v>
      </c>
      <c r="H1636" s="512">
        <f>IF($C1636="",IFERROR(VLOOKUP($B1636,SERVIÇOS!$B:$G,6,0),IFERROR(VLOOKUP($B1636,$D:$K,8,0),"")),IFERROR(VLOOKUP($C1636,INSUMOS!$A:$D,4,0),IFERROR(VLOOKUP($C1636,COTAÇÕES!$B:$I,7,0),(VLOOKUP($C1636,'INSUMO SINAPI - SP'!$C:$F,4,0)))))</f>
        <v>39.01</v>
      </c>
      <c r="I1636" s="513">
        <f>TRUNC(IF($C1636="",IFERROR(VLOOKUP($B1636,SERVIÇOS!$B:$G,4,0),IFERROR(VLOOKUP($B1636,$D:$K,6,0),)),IFERROR(VLOOKUP($C1636,INSUMOS!$A:$D,4,0),IFERROR(VLOOKUP($C1636,COTAÇÕES!$B:$I,7,0),(VLOOKUP($C1636,'INSUMO SINAPI - SP'!$C:$F,4,0)))))*$G1636,2)</f>
        <v>4.5599999999999996</v>
      </c>
      <c r="J1636" s="513">
        <f>TRUNC(IF($C1636="",IFERROR(VLOOKUP($B1636,SERVIÇOS!$B:$G,5,0),IFERROR(VLOOKUP($B1636,$D:$K,7,0),)),0)*$G1636,2)</f>
        <v>14.54</v>
      </c>
      <c r="K1636" s="514">
        <f>I1636+J1636</f>
        <v>19.099999999999998</v>
      </c>
      <c r="L1636" s="515"/>
      <c r="M1636" s="471"/>
      <c r="N1636" s="516"/>
      <c r="Q1636" s="472"/>
      <c r="R1636" s="472"/>
      <c r="S1636" s="472"/>
      <c r="T1636" s="472"/>
      <c r="U1636" s="472"/>
      <c r="V1636" s="472"/>
      <c r="W1636" s="472"/>
      <c r="X1636" s="472"/>
      <c r="Y1636" s="472"/>
    </row>
    <row r="1637" spans="1:25" x14ac:dyDescent="0.25">
      <c r="A1637" s="463"/>
      <c r="B1637" s="506">
        <v>88241</v>
      </c>
      <c r="C1637" s="507"/>
      <c r="D1637" s="508"/>
      <c r="E1637" s="509" t="str">
        <f>IF($C1637="",IFERROR(VLOOKUP($B1637,SERVIÇOS!$B:$G,2,0),IFERROR(VLOOKUP($B1637,$D:$K,2,0),"")),IFERROR(VLOOKUP($C1637,INSUMOS!$A:$D,2,0),IFERROR(VLOOKUP($C1637,COTAÇÕES!$B:$I,2,0),(VLOOKUP($C1637,'INSUMO SINAPI - SP'!$C:$F,2,0)))))</f>
        <v>AJUDANTE DE OPERAÇÃO EM GERAL COM ENCARGOS COMPLEMENTARES</v>
      </c>
      <c r="F1637" s="510" t="str">
        <f>IF($C1637="",IFERROR(VLOOKUP($B1637,SERVIÇOS!$B:$G,3,0),IFERROR(VLOOKUP($B1637,$D:$K,3,0),"")),IFERROR(VLOOKUP($C1637,INSUMOS!$A:$D,3,0),IFERROR(VLOOKUP($C1637,COTAÇÕES!$B:$I,3,0),(VLOOKUP($C1637,'INSUMO SINAPI - SP'!$C:$F,3,0)))))</f>
        <v>H</v>
      </c>
      <c r="G1637" s="511">
        <v>0.49</v>
      </c>
      <c r="H1637" s="512">
        <f>IF($C1637="",IFERROR(VLOOKUP($B1637,SERVIÇOS!$B:$G,6,0),IFERROR(VLOOKUP($B1637,$D:$K,8,0),"")),IFERROR(VLOOKUP($C1637,INSUMOS!$A:$D,4,0),IFERROR(VLOOKUP($C1637,COTAÇÕES!$B:$I,7,0),(VLOOKUP($C1637,'INSUMO SINAPI - SP'!$C:$F,4,0)))))</f>
        <v>29.87</v>
      </c>
      <c r="I1637" s="513">
        <f>TRUNC(IF($C1637="",IFERROR(VLOOKUP($B1637,SERVIÇOS!$B:$G,4,0),IFERROR(VLOOKUP($B1637,$D:$K,6,0),)),IFERROR(VLOOKUP($C1637,INSUMOS!$A:$D,4,0),IFERROR(VLOOKUP($C1637,COTAÇÕES!$B:$I,7,0),(VLOOKUP($C1637,'INSUMO SINAPI - SP'!$C:$F,4,0)))))*$G1637,2)</f>
        <v>4.55</v>
      </c>
      <c r="J1637" s="513">
        <f>TRUNC(IF($C1637="",IFERROR(VLOOKUP($B1637,SERVIÇOS!$B:$G,5,0),IFERROR(VLOOKUP($B1637,$D:$K,7,0),)),0)*$G1637,2)</f>
        <v>10.08</v>
      </c>
      <c r="K1637" s="514">
        <f>I1637+J1637</f>
        <v>14.629999999999999</v>
      </c>
      <c r="L1637" s="515"/>
      <c r="M1637" s="471"/>
      <c r="N1637" s="516"/>
      <c r="Q1637" s="472"/>
      <c r="R1637" s="472"/>
      <c r="S1637" s="472"/>
      <c r="T1637" s="472"/>
      <c r="U1637" s="472"/>
      <c r="V1637" s="472"/>
      <c r="W1637" s="472"/>
      <c r="X1637" s="472"/>
      <c r="Y1637" s="472"/>
    </row>
    <row r="1638" spans="1:25" ht="24" x14ac:dyDescent="0.25">
      <c r="A1638" s="463"/>
      <c r="B1638" s="506"/>
      <c r="C1638" s="507" t="s">
        <v>13411</v>
      </c>
      <c r="D1638" s="508"/>
      <c r="E1638" s="518" t="s">
        <v>13419</v>
      </c>
      <c r="F1638" s="519" t="s">
        <v>578</v>
      </c>
      <c r="G1638" s="511">
        <v>0.12</v>
      </c>
      <c r="H1638" s="520">
        <v>2734.17</v>
      </c>
      <c r="I1638" s="520">
        <f>TRUNC(H1638*G1638,2)</f>
        <v>328.1</v>
      </c>
      <c r="J1638" s="521"/>
      <c r="K1638" s="522">
        <f>I1638+J1638</f>
        <v>328.1</v>
      </c>
      <c r="L1638" s="517" t="s">
        <v>12901</v>
      </c>
      <c r="M1638" s="471"/>
      <c r="N1638" s="516"/>
      <c r="Q1638" s="472"/>
      <c r="R1638" s="472"/>
      <c r="S1638" s="472"/>
      <c r="T1638" s="472"/>
      <c r="U1638" s="472"/>
      <c r="V1638" s="472"/>
      <c r="W1638" s="472"/>
      <c r="X1638" s="472"/>
      <c r="Y1638" s="472"/>
    </row>
    <row r="1639" spans="1:25" ht="24" x14ac:dyDescent="0.25">
      <c r="A1639" s="463"/>
      <c r="B1639" s="498"/>
      <c r="C1639" s="498"/>
      <c r="D1639" s="499" t="s">
        <v>12438</v>
      </c>
      <c r="E1639" s="500" t="s">
        <v>13420</v>
      </c>
      <c r="F1639" s="501" t="s">
        <v>580</v>
      </c>
      <c r="G1639" s="502"/>
      <c r="H1639" s="503"/>
      <c r="I1639" s="504">
        <f>ROUND(SUM(I1640:I1642),2)</f>
        <v>310.36</v>
      </c>
      <c r="J1639" s="504">
        <f>ROUND(SUM(J1640:J1642),2)</f>
        <v>15.07</v>
      </c>
      <c r="K1639" s="504">
        <f>+J1639+I1639</f>
        <v>325.43</v>
      </c>
      <c r="L1639" s="523" t="s">
        <v>13417</v>
      </c>
      <c r="M1639" s="471"/>
      <c r="N1639" s="505"/>
      <c r="Q1639" s="472"/>
      <c r="R1639" s="472"/>
      <c r="S1639" s="472"/>
      <c r="T1639" s="472"/>
      <c r="U1639" s="472"/>
      <c r="V1639" s="472"/>
      <c r="W1639" s="472"/>
      <c r="X1639" s="472"/>
      <c r="Y1639" s="472"/>
    </row>
    <row r="1640" spans="1:25" x14ac:dyDescent="0.25">
      <c r="A1640" s="463"/>
      <c r="B1640" s="506">
        <v>88279</v>
      </c>
      <c r="C1640" s="507"/>
      <c r="D1640" s="508"/>
      <c r="E1640" s="509" t="str">
        <f>IF($C1640="",IFERROR(VLOOKUP($B1640,SERVIÇOS!$B:$G,2,0),IFERROR(VLOOKUP($B1640,$D:$K,2,0),"")),IFERROR(VLOOKUP($C1640,INSUMOS!$A:$D,2,0),IFERROR(VLOOKUP($C1640,COTAÇÕES!$B:$I,2,0),(VLOOKUP($C1640,'INSUMO SINAPI - SP'!$C:$F,2,0)))))</f>
        <v>MONTADOR ELETROMECÃNICO COM ENCARGOS COMPLEMENTARES</v>
      </c>
      <c r="F1640" s="510" t="str">
        <f>IF($C1640="",IFERROR(VLOOKUP($B1640,SERVIÇOS!$B:$G,3,0),IFERROR(VLOOKUP($B1640,$D:$K,3,0),"")),IFERROR(VLOOKUP($C1640,INSUMOS!$A:$D,3,0),IFERROR(VLOOKUP($C1640,COTAÇÕES!$B:$I,3,0),(VLOOKUP($C1640,'INSUMO SINAPI - SP'!$C:$F,3,0)))))</f>
        <v>H</v>
      </c>
      <c r="G1640" s="511">
        <v>0.3</v>
      </c>
      <c r="H1640" s="512">
        <f>IF($C1640="",IFERROR(VLOOKUP($B1640,SERVIÇOS!$B:$G,6,0),IFERROR(VLOOKUP($B1640,$D:$K,8,0),"")),IFERROR(VLOOKUP($C1640,INSUMOS!$A:$D,4,0),IFERROR(VLOOKUP($C1640,COTAÇÕES!$B:$I,7,0),(VLOOKUP($C1640,'INSUMO SINAPI - SP'!$C:$F,4,0)))))</f>
        <v>39.01</v>
      </c>
      <c r="I1640" s="513">
        <f>TRUNC(IF($C1640="",IFERROR(VLOOKUP($B1640,SERVIÇOS!$B:$G,4,0),IFERROR(VLOOKUP($B1640,$D:$K,6,0),)),IFERROR(VLOOKUP($C1640,INSUMOS!$A:$D,4,0),IFERROR(VLOOKUP($C1640,COTAÇÕES!$B:$I,7,0),(VLOOKUP($C1640,'INSUMO SINAPI - SP'!$C:$F,4,0)))))*$G1640,2)</f>
        <v>2.79</v>
      </c>
      <c r="J1640" s="513">
        <f>TRUNC(IF($C1640="",IFERROR(VLOOKUP($B1640,SERVIÇOS!$B:$G,5,0),IFERROR(VLOOKUP($B1640,$D:$K,7,0),)),0)*$G1640,2)</f>
        <v>8.9</v>
      </c>
      <c r="K1640" s="514">
        <f>I1640+J1640</f>
        <v>11.690000000000001</v>
      </c>
      <c r="L1640" s="515"/>
      <c r="M1640" s="471"/>
      <c r="N1640" s="516"/>
      <c r="Q1640" s="472"/>
      <c r="R1640" s="472"/>
      <c r="S1640" s="472"/>
      <c r="T1640" s="472"/>
      <c r="U1640" s="472"/>
      <c r="V1640" s="472"/>
      <c r="W1640" s="472"/>
      <c r="X1640" s="472"/>
      <c r="Y1640" s="472"/>
    </row>
    <row r="1641" spans="1:25" x14ac:dyDescent="0.25">
      <c r="A1641" s="463"/>
      <c r="B1641" s="506">
        <v>88241</v>
      </c>
      <c r="C1641" s="507"/>
      <c r="D1641" s="508"/>
      <c r="E1641" s="509" t="str">
        <f>IF($C1641="",IFERROR(VLOOKUP($B1641,SERVIÇOS!$B:$G,2,0),IFERROR(VLOOKUP($B1641,$D:$K,2,0),"")),IFERROR(VLOOKUP($C1641,INSUMOS!$A:$D,2,0),IFERROR(VLOOKUP($C1641,COTAÇÕES!$B:$I,2,0),(VLOOKUP($C1641,'INSUMO SINAPI - SP'!$C:$F,2,0)))))</f>
        <v>AJUDANTE DE OPERAÇÃO EM GERAL COM ENCARGOS COMPLEMENTARES</v>
      </c>
      <c r="F1641" s="510" t="str">
        <f>IF($C1641="",IFERROR(VLOOKUP($B1641,SERVIÇOS!$B:$G,3,0),IFERROR(VLOOKUP($B1641,$D:$K,3,0),"")),IFERROR(VLOOKUP($C1641,INSUMOS!$A:$D,3,0),IFERROR(VLOOKUP($C1641,COTAÇÕES!$B:$I,3,0),(VLOOKUP($C1641,'INSUMO SINAPI - SP'!$C:$F,3,0)))))</f>
        <v>H</v>
      </c>
      <c r="G1641" s="511">
        <v>0.3</v>
      </c>
      <c r="H1641" s="512">
        <f>IF($C1641="",IFERROR(VLOOKUP($B1641,SERVIÇOS!$B:$G,6,0),IFERROR(VLOOKUP($B1641,$D:$K,8,0),"")),IFERROR(VLOOKUP($C1641,INSUMOS!$A:$D,4,0),IFERROR(VLOOKUP($C1641,COTAÇÕES!$B:$I,7,0),(VLOOKUP($C1641,'INSUMO SINAPI - SP'!$C:$F,4,0)))))</f>
        <v>29.87</v>
      </c>
      <c r="I1641" s="513">
        <f>TRUNC(IF($C1641="",IFERROR(VLOOKUP($B1641,SERVIÇOS!$B:$G,4,0),IFERROR(VLOOKUP($B1641,$D:$K,6,0),)),IFERROR(VLOOKUP($C1641,INSUMOS!$A:$D,4,0),IFERROR(VLOOKUP($C1641,COTAÇÕES!$B:$I,7,0),(VLOOKUP($C1641,'INSUMO SINAPI - SP'!$C:$F,4,0)))))*$G1641,2)</f>
        <v>2.78</v>
      </c>
      <c r="J1641" s="513">
        <f>TRUNC(IF($C1641="",IFERROR(VLOOKUP($B1641,SERVIÇOS!$B:$G,5,0),IFERROR(VLOOKUP($B1641,$D:$K,7,0),)),0)*$G1641,2)</f>
        <v>6.17</v>
      </c>
      <c r="K1641" s="514">
        <f>I1641+J1641</f>
        <v>8.9499999999999993</v>
      </c>
      <c r="L1641" s="515"/>
      <c r="M1641" s="471"/>
      <c r="N1641" s="516"/>
      <c r="Q1641" s="472"/>
      <c r="R1641" s="472"/>
      <c r="S1641" s="472"/>
      <c r="T1641" s="472"/>
      <c r="U1641" s="472"/>
      <c r="V1641" s="472"/>
      <c r="W1641" s="472"/>
      <c r="X1641" s="472"/>
      <c r="Y1641" s="472"/>
    </row>
    <row r="1642" spans="1:25" ht="24" x14ac:dyDescent="0.25">
      <c r="A1642" s="463"/>
      <c r="B1642" s="506"/>
      <c r="C1642" s="507" t="s">
        <v>13418</v>
      </c>
      <c r="D1642" s="508"/>
      <c r="E1642" s="518" t="s">
        <v>13420</v>
      </c>
      <c r="F1642" s="519" t="s">
        <v>578</v>
      </c>
      <c r="G1642" s="511">
        <v>0.15</v>
      </c>
      <c r="H1642" s="520">
        <v>2031.97</v>
      </c>
      <c r="I1642" s="520">
        <f>TRUNC(H1642*G1642,2)</f>
        <v>304.79000000000002</v>
      </c>
      <c r="J1642" s="521"/>
      <c r="K1642" s="522">
        <f>I1642+J1642</f>
        <v>304.79000000000002</v>
      </c>
      <c r="L1642" s="517" t="s">
        <v>12901</v>
      </c>
      <c r="M1642" s="471"/>
      <c r="N1642" s="516"/>
      <c r="Q1642" s="472"/>
      <c r="R1642" s="472"/>
      <c r="S1642" s="472"/>
      <c r="T1642" s="472"/>
      <c r="U1642" s="472"/>
      <c r="V1642" s="472"/>
      <c r="W1642" s="472"/>
      <c r="X1642" s="472"/>
      <c r="Y1642" s="472"/>
    </row>
    <row r="1643" spans="1:25" ht="24" x14ac:dyDescent="0.25">
      <c r="A1643" s="463"/>
      <c r="B1643" s="498"/>
      <c r="C1643" s="498"/>
      <c r="D1643" s="499" t="s">
        <v>12439</v>
      </c>
      <c r="E1643" s="500" t="s">
        <v>13421</v>
      </c>
      <c r="F1643" s="501" t="s">
        <v>580</v>
      </c>
      <c r="G1643" s="502"/>
      <c r="H1643" s="503"/>
      <c r="I1643" s="504">
        <f>SUM(I1644:I1646)</f>
        <v>365.35</v>
      </c>
      <c r="J1643" s="504">
        <f>SUM(J1644:J1646)</f>
        <v>18.079999999999998</v>
      </c>
      <c r="K1643" s="504">
        <f>+J1643+I1643</f>
        <v>383.43</v>
      </c>
      <c r="L1643" s="523" t="s">
        <v>13417</v>
      </c>
      <c r="M1643" s="471"/>
      <c r="N1643" s="505"/>
      <c r="Q1643" s="472"/>
      <c r="R1643" s="472"/>
      <c r="S1643" s="472"/>
      <c r="T1643" s="472"/>
      <c r="U1643" s="472"/>
      <c r="V1643" s="472"/>
      <c r="W1643" s="472"/>
      <c r="X1643" s="472"/>
      <c r="Y1643" s="472"/>
    </row>
    <row r="1644" spans="1:25" x14ac:dyDescent="0.25">
      <c r="A1644" s="463"/>
      <c r="B1644" s="507">
        <v>88279</v>
      </c>
      <c r="C1644" s="507"/>
      <c r="D1644" s="557"/>
      <c r="E1644" s="509" t="str">
        <f>IF($C1644="",IFERROR(VLOOKUP($B1644,SERVIÇOS!$B:$G,2,0),IFERROR(VLOOKUP($B1644,$D:$K,2,0),"")),IFERROR(VLOOKUP($C1644,INSUMOS!$A:$D,2,0),IFERROR(VLOOKUP($C1644,COTAÇÕES!$B:$I,2,0),(VLOOKUP($C1644,'INSUMO SINAPI - SP'!$C:$F,2,0)))))</f>
        <v>MONTADOR ELETROMECÃNICO COM ENCARGOS COMPLEMENTARES</v>
      </c>
      <c r="F1644" s="510" t="str">
        <f>IF($C1644="",IFERROR(VLOOKUP($B1644,SERVIÇOS!$B:$G,3,0),IFERROR(VLOOKUP($B1644,$D:$K,3,0),"")),IFERROR(VLOOKUP($C1644,INSUMOS!$A:$D,3,0),IFERROR(VLOOKUP($C1644,COTAÇÕES!$B:$I,3,0),(VLOOKUP($C1644,'INSUMO SINAPI - SP'!$C:$F,3,0)))))</f>
        <v>H</v>
      </c>
      <c r="G1644" s="511">
        <v>0.36</v>
      </c>
      <c r="H1644" s="512">
        <f>IF($C1644="",IFERROR(VLOOKUP($B1644,SERVIÇOS!$B:$G,6,0),IFERROR(VLOOKUP($B1644,$D:$K,8,0),"")),IFERROR(VLOOKUP($C1644,INSUMOS!$A:$D,4,0),IFERROR(VLOOKUP($C1644,COTAÇÕES!$B:$I,7,0),(VLOOKUP($C1644,'INSUMO SINAPI - SP'!$C:$F,4,0)))))</f>
        <v>39.01</v>
      </c>
      <c r="I1644" s="513">
        <f>TRUNC(IF($C1644="",IFERROR(VLOOKUP($B1644,SERVIÇOS!$B:$G,4,0),IFERROR(VLOOKUP($B1644,$D:$K,6,0),)),IFERROR(VLOOKUP($C1644,INSUMOS!$A:$D,4,0),IFERROR(VLOOKUP($C1644,COTAÇÕES!$B:$I,7,0),(VLOOKUP($C1644,'INSUMO SINAPI - SP'!$C:$F,4,0)))))*$G1644,2)</f>
        <v>3.35</v>
      </c>
      <c r="J1644" s="513">
        <f>TRUNC(IF($C1644="",IFERROR(VLOOKUP($B1644,SERVIÇOS!$B:$G,5,0),IFERROR(VLOOKUP($B1644,$D:$K,7,0),)),0)*$G1644,2)</f>
        <v>10.68</v>
      </c>
      <c r="K1644" s="514">
        <f>I1644+J1644</f>
        <v>14.03</v>
      </c>
      <c r="L1644" s="515"/>
      <c r="M1644" s="471"/>
      <c r="N1644" s="516"/>
      <c r="Q1644" s="472"/>
      <c r="R1644" s="472"/>
      <c r="S1644" s="472"/>
      <c r="T1644" s="472"/>
      <c r="U1644" s="472"/>
      <c r="V1644" s="472"/>
      <c r="W1644" s="472"/>
      <c r="X1644" s="472"/>
      <c r="Y1644" s="472"/>
    </row>
    <row r="1645" spans="1:25" x14ac:dyDescent="0.25">
      <c r="A1645" s="463"/>
      <c r="B1645" s="507">
        <v>88241</v>
      </c>
      <c r="C1645" s="507"/>
      <c r="D1645" s="557"/>
      <c r="E1645" s="509" t="str">
        <f>IF($C1645="",IFERROR(VLOOKUP($B1645,SERVIÇOS!$B:$G,2,0),IFERROR(VLOOKUP($B1645,$D:$K,2,0),"")),IFERROR(VLOOKUP($C1645,INSUMOS!$A:$D,2,0),IFERROR(VLOOKUP($C1645,COTAÇÕES!$B:$I,2,0),(VLOOKUP($C1645,'INSUMO SINAPI - SP'!$C:$F,2,0)))))</f>
        <v>AJUDANTE DE OPERAÇÃO EM GERAL COM ENCARGOS COMPLEMENTARES</v>
      </c>
      <c r="F1645" s="510" t="str">
        <f>IF($C1645="",IFERROR(VLOOKUP($B1645,SERVIÇOS!$B:$G,3,0),IFERROR(VLOOKUP($B1645,$D:$K,3,0),"")),IFERROR(VLOOKUP($C1645,INSUMOS!$A:$D,3,0),IFERROR(VLOOKUP($C1645,COTAÇÕES!$B:$I,3,0),(VLOOKUP($C1645,'INSUMO SINAPI - SP'!$C:$F,3,0)))))</f>
        <v>H</v>
      </c>
      <c r="G1645" s="511">
        <v>0.36</v>
      </c>
      <c r="H1645" s="512">
        <f>IF($C1645="",IFERROR(VLOOKUP($B1645,SERVIÇOS!$B:$G,6,0),IFERROR(VLOOKUP($B1645,$D:$K,8,0),"")),IFERROR(VLOOKUP($C1645,INSUMOS!$A:$D,4,0),IFERROR(VLOOKUP($C1645,COTAÇÕES!$B:$I,7,0),(VLOOKUP($C1645,'INSUMO SINAPI - SP'!$C:$F,4,0)))))</f>
        <v>29.87</v>
      </c>
      <c r="I1645" s="513">
        <f>TRUNC(IF($C1645="",IFERROR(VLOOKUP($B1645,SERVIÇOS!$B:$G,4,0),IFERROR(VLOOKUP($B1645,$D:$K,6,0),)),IFERROR(VLOOKUP($C1645,INSUMOS!$A:$D,4,0),IFERROR(VLOOKUP($C1645,COTAÇÕES!$B:$I,7,0),(VLOOKUP($C1645,'INSUMO SINAPI - SP'!$C:$F,4,0)))))*$G1645,2)</f>
        <v>3.34</v>
      </c>
      <c r="J1645" s="513">
        <f>TRUNC(IF($C1645="",IFERROR(VLOOKUP($B1645,SERVIÇOS!$B:$G,5,0),IFERROR(VLOOKUP($B1645,$D:$K,7,0),)),0)*$G1645,2)</f>
        <v>7.4</v>
      </c>
      <c r="K1645" s="514">
        <f>I1645+J1645</f>
        <v>10.74</v>
      </c>
      <c r="L1645" s="515"/>
      <c r="M1645" s="471"/>
      <c r="N1645" s="516"/>
      <c r="Q1645" s="472"/>
      <c r="R1645" s="472"/>
      <c r="S1645" s="472"/>
      <c r="T1645" s="472"/>
      <c r="U1645" s="472"/>
      <c r="V1645" s="472"/>
      <c r="W1645" s="472"/>
      <c r="X1645" s="472"/>
      <c r="Y1645" s="472"/>
    </row>
    <row r="1646" spans="1:25" ht="36" x14ac:dyDescent="0.25">
      <c r="A1646" s="463"/>
      <c r="B1646" s="507"/>
      <c r="C1646" s="507" t="s">
        <v>13418</v>
      </c>
      <c r="D1646" s="557"/>
      <c r="E1646" s="518" t="s">
        <v>13422</v>
      </c>
      <c r="F1646" s="519" t="s">
        <v>578</v>
      </c>
      <c r="G1646" s="511">
        <v>0.18</v>
      </c>
      <c r="H1646" s="520">
        <v>1992.57</v>
      </c>
      <c r="I1646" s="520">
        <f>TRUNC(H1646*G1646,2)</f>
        <v>358.66</v>
      </c>
      <c r="J1646" s="521"/>
      <c r="K1646" s="522">
        <f>I1646+J1646</f>
        <v>358.66</v>
      </c>
      <c r="L1646" s="517" t="s">
        <v>12901</v>
      </c>
      <c r="M1646" s="471"/>
      <c r="N1646" s="516"/>
      <c r="Q1646" s="472"/>
      <c r="R1646" s="472"/>
      <c r="S1646" s="472"/>
      <c r="T1646" s="472"/>
      <c r="U1646" s="472"/>
      <c r="V1646" s="472"/>
      <c r="W1646" s="472"/>
      <c r="X1646" s="472"/>
      <c r="Y1646" s="472"/>
    </row>
    <row r="1647" spans="1:25" ht="36" x14ac:dyDescent="0.25">
      <c r="A1647" s="463"/>
      <c r="B1647" s="498"/>
      <c r="C1647" s="498"/>
      <c r="D1647" s="499" t="s">
        <v>12480</v>
      </c>
      <c r="E1647" s="500" t="s">
        <v>13423</v>
      </c>
      <c r="F1647" s="501" t="s">
        <v>823</v>
      </c>
      <c r="G1647" s="502"/>
      <c r="H1647" s="503"/>
      <c r="I1647" s="504">
        <f>ROUND(SUM(I1648:I1653),2)</f>
        <v>35.700000000000003</v>
      </c>
      <c r="J1647" s="504">
        <f>ROUND(SUM(J1648:J1653),2)</f>
        <v>30.51</v>
      </c>
      <c r="K1647" s="504">
        <f>+J1647+I1647</f>
        <v>66.210000000000008</v>
      </c>
      <c r="L1647" s="523" t="s">
        <v>12842</v>
      </c>
      <c r="M1647" s="471"/>
      <c r="N1647" s="505"/>
      <c r="Q1647" s="472"/>
      <c r="R1647" s="472"/>
      <c r="S1647" s="472"/>
      <c r="T1647" s="472"/>
      <c r="U1647" s="472"/>
      <c r="V1647" s="472"/>
      <c r="W1647" s="472"/>
      <c r="X1647" s="472"/>
      <c r="Y1647" s="472"/>
    </row>
    <row r="1648" spans="1:25" x14ac:dyDescent="0.25">
      <c r="A1648" s="463"/>
      <c r="B1648" s="506"/>
      <c r="C1648" s="507" t="s">
        <v>13424</v>
      </c>
      <c r="D1648" s="508"/>
      <c r="E1648" s="518" t="s">
        <v>13425</v>
      </c>
      <c r="F1648" s="519" t="s">
        <v>823</v>
      </c>
      <c r="G1648" s="511">
        <v>1.1499999999999999</v>
      </c>
      <c r="H1648" s="520">
        <v>12.26</v>
      </c>
      <c r="I1648" s="520">
        <f>TRUNC(H1648*G1648,2)</f>
        <v>14.09</v>
      </c>
      <c r="J1648" s="521"/>
      <c r="K1648" s="522">
        <f t="shared" ref="K1648:K1653" si="59">I1648+J1648</f>
        <v>14.09</v>
      </c>
      <c r="L1648" s="517" t="s">
        <v>12901</v>
      </c>
      <c r="M1648" s="471"/>
      <c r="N1648" s="516"/>
      <c r="Q1648" s="472"/>
      <c r="R1648" s="472"/>
      <c r="S1648" s="472"/>
      <c r="T1648" s="472"/>
      <c r="U1648" s="472"/>
      <c r="V1648" s="472"/>
      <c r="W1648" s="472"/>
      <c r="X1648" s="472"/>
      <c r="Y1648" s="472"/>
    </row>
    <row r="1649" spans="1:25" x14ac:dyDescent="0.25">
      <c r="A1649" s="463"/>
      <c r="B1649" s="506"/>
      <c r="C1649" s="507">
        <v>39028</v>
      </c>
      <c r="D1649" s="508"/>
      <c r="E1649" s="509" t="str">
        <f>IF($C1649="",IFERROR(VLOOKUP($B1649,SERVIÇOS!$B:$G,2,0),IFERROR(VLOOKUP($B1649,$D:$K,2,0),"")),IFERROR(VLOOKUP($C1649,INSUMOS!$A:$D,2,0),IFERROR(VLOOKUP($C1649,COTAÇÕES!$B:$I,2,0),(VLOOKUP($C1649,'INSUMO SINAPI - SP'!$C:$F,2,0)))))</f>
        <v>PERFILADO PERFURADO SIMPLES 38 X 38 MM, CHAPA 22</v>
      </c>
      <c r="F1649" s="510" t="str">
        <f>IF($C1649="",IFERROR(VLOOKUP($B1649,SERVIÇOS!$B:$G,3,0),IFERROR(VLOOKUP($B1649,$D:$K,3,0),"")),IFERROR(VLOOKUP($C1649,INSUMOS!$A:$D,3,0),IFERROR(VLOOKUP($C1649,COTAÇÕES!$B:$I,3,0),(VLOOKUP($C1649,'INSUMO SINAPI - SP'!$C:$F,3,0)))))</f>
        <v>M</v>
      </c>
      <c r="G1649" s="511">
        <v>7.2700000000000001E-2</v>
      </c>
      <c r="H1649" s="512">
        <f>IF($C1649="",IFERROR(VLOOKUP($B1649,SERVIÇOS!$B:$G,6,0),IFERROR(VLOOKUP($B1649,$D:$K,8,0),"")),IFERROR(VLOOKUP($C1649,INSUMOS!$A:$D,4,0),IFERROR(VLOOKUP($C1649,COTAÇÕES!$B:$I,7,0),(VLOOKUP($C1649,'INSUMO SINAPI - SP'!$C:$F,4,0)))))</f>
        <v>8.6999999999999993</v>
      </c>
      <c r="I1649" s="513">
        <f>TRUNC(IF($C1649="",IFERROR(VLOOKUP($B1649,SERVIÇOS!$B:$G,4,0),IFERROR(VLOOKUP($B1649,$D:$K,6,0),)),IFERROR(VLOOKUP($C1649,INSUMOS!$A:$D,4,0),IFERROR(VLOOKUP($C1649,COTAÇÕES!$B:$I,7,0),(VLOOKUP($C1649,'INSUMO SINAPI - SP'!$C:$F,4,0)))))*$G1649,2)</f>
        <v>0.63</v>
      </c>
      <c r="J1649" s="513">
        <f>TRUNC(IF($C1649="",IFERROR(VLOOKUP($B1649,SERVIÇOS!$B:$G,5,0),IFERROR(VLOOKUP($B1649,$D:$K,7,0),)),0)*$G1649,2)</f>
        <v>0</v>
      </c>
      <c r="K1649" s="514">
        <f t="shared" si="59"/>
        <v>0.63</v>
      </c>
      <c r="L1649" s="517"/>
      <c r="M1649" s="471"/>
      <c r="N1649" s="516"/>
      <c r="Q1649" s="472"/>
      <c r="R1649" s="472"/>
      <c r="S1649" s="472"/>
      <c r="T1649" s="472"/>
      <c r="U1649" s="472"/>
      <c r="V1649" s="472"/>
      <c r="W1649" s="472"/>
      <c r="X1649" s="472"/>
      <c r="Y1649" s="472"/>
    </row>
    <row r="1650" spans="1:25" x14ac:dyDescent="0.25">
      <c r="A1650" s="463"/>
      <c r="B1650" s="506"/>
      <c r="C1650" s="507">
        <v>39996</v>
      </c>
      <c r="D1650" s="508"/>
      <c r="E1650" s="509" t="str">
        <f>IF($C1650="",IFERROR(VLOOKUP($B1650,SERVIÇOS!$B:$G,2,0),IFERROR(VLOOKUP($B1650,$D:$K,2,0),"")),IFERROR(VLOOKUP($C1650,INSUMOS!$A:$D,2,0),IFERROR(VLOOKUP($C1650,COTAÇÕES!$B:$I,2,0),(VLOOKUP($C1650,'INSUMO SINAPI - SP'!$C:$F,2,0)))))</f>
        <v>VERGALHAO ZINCADO ROSCA TOTAL, 1/4" (6,3 MM)</v>
      </c>
      <c r="F1650" s="510" t="str">
        <f>IF($C1650="",IFERROR(VLOOKUP($B1650,SERVIÇOS!$B:$G,3,0),IFERROR(VLOOKUP($B1650,$D:$K,3,0),"")),IFERROR(VLOOKUP($C1650,INSUMOS!$A:$D,3,0),IFERROR(VLOOKUP($C1650,COTAÇÕES!$B:$I,3,0),(VLOOKUP($C1650,'INSUMO SINAPI - SP'!$C:$F,3,0)))))</f>
        <v>M</v>
      </c>
      <c r="G1650" s="511">
        <v>0.67410000000000003</v>
      </c>
      <c r="H1650" s="512">
        <f>IF($C1650="",IFERROR(VLOOKUP($B1650,SERVIÇOS!$B:$G,6,0),IFERROR(VLOOKUP($B1650,$D:$K,8,0),"")),IFERROR(VLOOKUP($C1650,INSUMOS!$A:$D,4,0),IFERROR(VLOOKUP($C1650,COTAÇÕES!$B:$I,7,0),(VLOOKUP($C1650,'INSUMO SINAPI - SP'!$C:$F,4,0)))))</f>
        <v>3.34</v>
      </c>
      <c r="I1650" s="513">
        <f>TRUNC(IF($C1650="",IFERROR(VLOOKUP($B1650,SERVIÇOS!$B:$G,4,0),IFERROR(VLOOKUP($B1650,$D:$K,6,0),)),IFERROR(VLOOKUP($C1650,INSUMOS!$A:$D,4,0),IFERROR(VLOOKUP($C1650,COTAÇÕES!$B:$I,7,0),(VLOOKUP($C1650,'INSUMO SINAPI - SP'!$C:$F,4,0)))))*$G1650,2)</f>
        <v>2.25</v>
      </c>
      <c r="J1650" s="513">
        <f>TRUNC(IF($C1650="",IFERROR(VLOOKUP($B1650,SERVIÇOS!$B:$G,5,0),IFERROR(VLOOKUP($B1650,$D:$K,7,0),)),0)*$G1650,2)</f>
        <v>0</v>
      </c>
      <c r="K1650" s="514">
        <f t="shared" si="59"/>
        <v>2.25</v>
      </c>
      <c r="L1650" s="517"/>
      <c r="M1650" s="471"/>
      <c r="N1650" s="516"/>
      <c r="Q1650" s="472"/>
      <c r="R1650" s="472"/>
      <c r="S1650" s="472"/>
      <c r="T1650" s="472"/>
      <c r="U1650" s="472"/>
      <c r="V1650" s="472"/>
      <c r="W1650" s="472"/>
      <c r="X1650" s="472"/>
      <c r="Y1650" s="472"/>
    </row>
    <row r="1651" spans="1:25" x14ac:dyDescent="0.25">
      <c r="A1651" s="463"/>
      <c r="B1651" s="506"/>
      <c r="C1651" s="507">
        <v>88255</v>
      </c>
      <c r="D1651" s="508"/>
      <c r="E1651" s="518" t="s">
        <v>13219</v>
      </c>
      <c r="F1651" s="519" t="s">
        <v>578</v>
      </c>
      <c r="G1651" s="511">
        <v>0.28749999999999998</v>
      </c>
      <c r="H1651" s="520">
        <v>25.93</v>
      </c>
      <c r="I1651" s="520">
        <f>TRUNC(H1651*G1651,2)</f>
        <v>7.45</v>
      </c>
      <c r="J1651" s="521"/>
      <c r="K1651" s="522">
        <f t="shared" si="59"/>
        <v>7.45</v>
      </c>
      <c r="L1651" s="517"/>
      <c r="M1651" s="471"/>
      <c r="N1651" s="516"/>
      <c r="Q1651" s="472"/>
      <c r="R1651" s="472"/>
      <c r="S1651" s="472"/>
      <c r="T1651" s="472"/>
      <c r="U1651" s="472"/>
      <c r="V1651" s="472"/>
      <c r="W1651" s="472"/>
      <c r="X1651" s="472"/>
      <c r="Y1651" s="472"/>
    </row>
    <row r="1652" spans="1:25" x14ac:dyDescent="0.25">
      <c r="A1652" s="463"/>
      <c r="B1652" s="506">
        <v>88279</v>
      </c>
      <c r="C1652" s="507"/>
      <c r="D1652" s="508"/>
      <c r="E1652" s="509" t="str">
        <f>IF($C1652="",IFERROR(VLOOKUP($B1652,SERVIÇOS!$B:$G,2,0),IFERROR(VLOOKUP($B1652,$D:$K,2,0),"")),IFERROR(VLOOKUP($C1652,INSUMOS!$A:$D,2,0),IFERROR(VLOOKUP($C1652,COTAÇÕES!$B:$I,2,0),(VLOOKUP($C1652,'INSUMO SINAPI - SP'!$C:$F,2,0)))))</f>
        <v>MONTADOR ELETROMECÃNICO COM ENCARGOS COMPLEMENTARES</v>
      </c>
      <c r="F1652" s="510" t="str">
        <f>IF($C1652="",IFERROR(VLOOKUP($B1652,SERVIÇOS!$B:$G,3,0),IFERROR(VLOOKUP($B1652,$D:$K,3,0),"")),IFERROR(VLOOKUP($C1652,INSUMOS!$A:$D,3,0),IFERROR(VLOOKUP($C1652,COTAÇÕES!$B:$I,3,0),(VLOOKUP($C1652,'INSUMO SINAPI - SP'!$C:$F,3,0)))))</f>
        <v>H</v>
      </c>
      <c r="G1652" s="511">
        <v>0.60699999999999998</v>
      </c>
      <c r="H1652" s="512">
        <f>IF($C1652="",IFERROR(VLOOKUP($B1652,SERVIÇOS!$B:$G,6,0),IFERROR(VLOOKUP($B1652,$D:$K,8,0),"")),IFERROR(VLOOKUP($C1652,INSUMOS!$A:$D,4,0),IFERROR(VLOOKUP($C1652,COTAÇÕES!$B:$I,7,0),(VLOOKUP($C1652,'INSUMO SINAPI - SP'!$C:$F,4,0)))))</f>
        <v>39.01</v>
      </c>
      <c r="I1652" s="513">
        <f>TRUNC(IF($C1652="",IFERROR(VLOOKUP($B1652,SERVIÇOS!$B:$G,4,0),IFERROR(VLOOKUP($B1652,$D:$K,6,0),)),IFERROR(VLOOKUP($C1652,INSUMOS!$A:$D,4,0),IFERROR(VLOOKUP($C1652,COTAÇÕES!$B:$I,7,0),(VLOOKUP($C1652,'INSUMO SINAPI - SP'!$C:$F,4,0)))))*$G1652,2)</f>
        <v>5.65</v>
      </c>
      <c r="J1652" s="513">
        <f>TRUNC(IF($C1652="",IFERROR(VLOOKUP($B1652,SERVIÇOS!$B:$G,5,0),IFERROR(VLOOKUP($B1652,$D:$K,7,0),)),0)*$G1652,2)</f>
        <v>18.02</v>
      </c>
      <c r="K1652" s="514">
        <f t="shared" si="59"/>
        <v>23.67</v>
      </c>
      <c r="L1652" s="515"/>
      <c r="M1652" s="471"/>
      <c r="N1652" s="516"/>
      <c r="Q1652" s="472"/>
      <c r="R1652" s="472"/>
      <c r="S1652" s="472"/>
      <c r="T1652" s="472"/>
      <c r="U1652" s="472"/>
      <c r="V1652" s="472"/>
      <c r="W1652" s="472"/>
      <c r="X1652" s="472"/>
      <c r="Y1652" s="472"/>
    </row>
    <row r="1653" spans="1:25" x14ac:dyDescent="0.25">
      <c r="A1653" s="463"/>
      <c r="B1653" s="506">
        <v>88241</v>
      </c>
      <c r="C1653" s="507"/>
      <c r="D1653" s="508"/>
      <c r="E1653" s="509" t="str">
        <f>IF($C1653="",IFERROR(VLOOKUP($B1653,SERVIÇOS!$B:$G,2,0),IFERROR(VLOOKUP($B1653,$D:$K,2,0),"")),IFERROR(VLOOKUP($C1653,INSUMOS!$A:$D,2,0),IFERROR(VLOOKUP($C1653,COTAÇÕES!$B:$I,2,0),(VLOOKUP($C1653,'INSUMO SINAPI - SP'!$C:$F,2,0)))))</f>
        <v>AJUDANTE DE OPERAÇÃO EM GERAL COM ENCARGOS COMPLEMENTARES</v>
      </c>
      <c r="F1653" s="510" t="str">
        <f>IF($C1653="",IFERROR(VLOOKUP($B1653,SERVIÇOS!$B:$G,3,0),IFERROR(VLOOKUP($B1653,$D:$K,3,0),"")),IFERROR(VLOOKUP($C1653,INSUMOS!$A:$D,3,0),IFERROR(VLOOKUP($C1653,COTAÇÕES!$B:$I,3,0),(VLOOKUP($C1653,'INSUMO SINAPI - SP'!$C:$F,3,0)))))</f>
        <v>H</v>
      </c>
      <c r="G1653" s="511">
        <v>0.60699999999999998</v>
      </c>
      <c r="H1653" s="512">
        <f>IF($C1653="",IFERROR(VLOOKUP($B1653,SERVIÇOS!$B:$G,6,0),IFERROR(VLOOKUP($B1653,$D:$K,8,0),"")),IFERROR(VLOOKUP($C1653,INSUMOS!$A:$D,4,0),IFERROR(VLOOKUP($C1653,COTAÇÕES!$B:$I,7,0),(VLOOKUP($C1653,'INSUMO SINAPI - SP'!$C:$F,4,0)))))</f>
        <v>29.87</v>
      </c>
      <c r="I1653" s="513">
        <f>TRUNC(IF($C1653="",IFERROR(VLOOKUP($B1653,SERVIÇOS!$B:$G,4,0),IFERROR(VLOOKUP($B1653,$D:$K,6,0),)),IFERROR(VLOOKUP($C1653,INSUMOS!$A:$D,4,0),IFERROR(VLOOKUP($C1653,COTAÇÕES!$B:$I,7,0),(VLOOKUP($C1653,'INSUMO SINAPI - SP'!$C:$F,4,0)))))*$G1653,2)</f>
        <v>5.63</v>
      </c>
      <c r="J1653" s="513">
        <f>TRUNC(IF($C1653="",IFERROR(VLOOKUP($B1653,SERVIÇOS!$B:$G,5,0),IFERROR(VLOOKUP($B1653,$D:$K,7,0),)),0)*$G1653,2)</f>
        <v>12.49</v>
      </c>
      <c r="K1653" s="514">
        <f t="shared" si="59"/>
        <v>18.12</v>
      </c>
      <c r="L1653" s="515"/>
      <c r="M1653" s="471"/>
      <c r="N1653" s="516"/>
      <c r="Q1653" s="472"/>
      <c r="R1653" s="472"/>
      <c r="S1653" s="472"/>
      <c r="T1653" s="472"/>
      <c r="U1653" s="472"/>
      <c r="V1653" s="472"/>
      <c r="W1653" s="472"/>
      <c r="X1653" s="472"/>
      <c r="Y1653" s="472"/>
    </row>
    <row r="1654" spans="1:25" ht="36" x14ac:dyDescent="0.25">
      <c r="A1654" s="463"/>
      <c r="B1654" s="498"/>
      <c r="C1654" s="498"/>
      <c r="D1654" s="499" t="s">
        <v>12481</v>
      </c>
      <c r="E1654" s="500" t="s">
        <v>13426</v>
      </c>
      <c r="F1654" s="501" t="s">
        <v>823</v>
      </c>
      <c r="G1654" s="502"/>
      <c r="H1654" s="503"/>
      <c r="I1654" s="504">
        <f>ROUND(SUM(I1655:I1660),2)</f>
        <v>33.979999999999997</v>
      </c>
      <c r="J1654" s="504">
        <f>ROUND(SUM(J1655:J1660),2)</f>
        <v>30.51</v>
      </c>
      <c r="K1654" s="504">
        <f>+J1654+I1654</f>
        <v>64.489999999999995</v>
      </c>
      <c r="L1654" s="523" t="s">
        <v>12842</v>
      </c>
      <c r="M1654" s="471"/>
      <c r="N1654" s="505"/>
      <c r="Q1654" s="472"/>
      <c r="R1654" s="472"/>
      <c r="S1654" s="472"/>
      <c r="T1654" s="472"/>
      <c r="U1654" s="472"/>
      <c r="V1654" s="472"/>
      <c r="W1654" s="472"/>
      <c r="X1654" s="472"/>
      <c r="Y1654" s="472"/>
    </row>
    <row r="1655" spans="1:25" x14ac:dyDescent="0.25">
      <c r="A1655" s="463"/>
      <c r="B1655" s="506"/>
      <c r="C1655" s="507" t="s">
        <v>13424</v>
      </c>
      <c r="D1655" s="508"/>
      <c r="E1655" s="518" t="s">
        <v>13425</v>
      </c>
      <c r="F1655" s="519" t="s">
        <v>823</v>
      </c>
      <c r="G1655" s="511">
        <v>1.1499999999999999</v>
      </c>
      <c r="H1655" s="520">
        <v>12.26</v>
      </c>
      <c r="I1655" s="520">
        <f>TRUNC(H1655*G1655,2)</f>
        <v>14.09</v>
      </c>
      <c r="J1655" s="521"/>
      <c r="K1655" s="522">
        <f t="shared" ref="K1655:K1660" si="60">I1655+J1655</f>
        <v>14.09</v>
      </c>
      <c r="L1655" s="517" t="s">
        <v>12901</v>
      </c>
      <c r="M1655" s="471"/>
      <c r="N1655" s="516"/>
      <c r="Q1655" s="472"/>
      <c r="R1655" s="472"/>
      <c r="S1655" s="472"/>
      <c r="T1655" s="472"/>
      <c r="U1655" s="472"/>
      <c r="V1655" s="472"/>
      <c r="W1655" s="472"/>
      <c r="X1655" s="472"/>
      <c r="Y1655" s="472"/>
    </row>
    <row r="1656" spans="1:25" x14ac:dyDescent="0.25">
      <c r="A1656" s="463"/>
      <c r="B1656" s="506"/>
      <c r="C1656" s="507">
        <v>39028</v>
      </c>
      <c r="D1656" s="508"/>
      <c r="E1656" s="509" t="str">
        <f>IF($C1656="",IFERROR(VLOOKUP($B1656,SERVIÇOS!$B:$G,2,0),IFERROR(VLOOKUP($B1656,$D:$K,2,0),"")),IFERROR(VLOOKUP($C1656,INSUMOS!$A:$D,2,0),IFERROR(VLOOKUP($C1656,COTAÇÕES!$B:$I,2,0),(VLOOKUP($C1656,'INSUMO SINAPI - SP'!$C:$F,2,0)))))</f>
        <v>PERFILADO PERFURADO SIMPLES 38 X 38 MM, CHAPA 22</v>
      </c>
      <c r="F1656" s="510" t="str">
        <f>IF($C1656="",IFERROR(VLOOKUP($B1656,SERVIÇOS!$B:$G,3,0),IFERROR(VLOOKUP($B1656,$D:$K,3,0),"")),IFERROR(VLOOKUP($C1656,INSUMOS!$A:$D,3,0),IFERROR(VLOOKUP($C1656,COTAÇÕES!$B:$I,3,0),(VLOOKUP($C1656,'INSUMO SINAPI - SP'!$C:$F,3,0)))))</f>
        <v>M</v>
      </c>
      <c r="G1656" s="511">
        <v>7.2700000000000001E-2</v>
      </c>
      <c r="H1656" s="512">
        <f>IF($C1656="",IFERROR(VLOOKUP($B1656,SERVIÇOS!$B:$G,6,0),IFERROR(VLOOKUP($B1656,$D:$K,8,0),"")),IFERROR(VLOOKUP($C1656,INSUMOS!$A:$D,4,0),IFERROR(VLOOKUP($C1656,COTAÇÕES!$B:$I,7,0),(VLOOKUP($C1656,'INSUMO SINAPI - SP'!$C:$F,4,0)))))</f>
        <v>8.6999999999999993</v>
      </c>
      <c r="I1656" s="513">
        <f>TRUNC(IF($C1656="",IFERROR(VLOOKUP($B1656,SERVIÇOS!$B:$G,4,0),IFERROR(VLOOKUP($B1656,$D:$K,6,0),)),IFERROR(VLOOKUP($C1656,INSUMOS!$A:$D,4,0),IFERROR(VLOOKUP($C1656,COTAÇÕES!$B:$I,7,0),(VLOOKUP($C1656,'INSUMO SINAPI - SP'!$C:$F,4,0)))))*$G1656,2)</f>
        <v>0.63</v>
      </c>
      <c r="J1656" s="513">
        <f>TRUNC(IF($C1656="",IFERROR(VLOOKUP($B1656,SERVIÇOS!$B:$G,5,0),IFERROR(VLOOKUP($B1656,$D:$K,7,0),)),0)*$G1656,2)</f>
        <v>0</v>
      </c>
      <c r="K1656" s="514">
        <f t="shared" si="60"/>
        <v>0.63</v>
      </c>
      <c r="L1656" s="517"/>
      <c r="M1656" s="471"/>
      <c r="N1656" s="516"/>
      <c r="Q1656" s="472"/>
      <c r="R1656" s="472"/>
      <c r="S1656" s="472"/>
      <c r="T1656" s="472"/>
      <c r="U1656" s="472"/>
      <c r="V1656" s="472"/>
      <c r="W1656" s="472"/>
      <c r="X1656" s="472"/>
      <c r="Y1656" s="472"/>
    </row>
    <row r="1657" spans="1:25" x14ac:dyDescent="0.25">
      <c r="A1657" s="463"/>
      <c r="B1657" s="506"/>
      <c r="C1657" s="507">
        <v>39996</v>
      </c>
      <c r="D1657" s="508"/>
      <c r="E1657" s="509" t="str">
        <f>IF($C1657="",IFERROR(VLOOKUP($B1657,SERVIÇOS!$B:$G,2,0),IFERROR(VLOOKUP($B1657,$D:$K,2,0),"")),IFERROR(VLOOKUP($C1657,INSUMOS!$A:$D,2,0),IFERROR(VLOOKUP($C1657,COTAÇÕES!$B:$I,2,0),(VLOOKUP($C1657,'INSUMO SINAPI - SP'!$C:$F,2,0)))))</f>
        <v>VERGALHAO ZINCADO ROSCA TOTAL, 1/4" (6,3 MM)</v>
      </c>
      <c r="F1657" s="510" t="str">
        <f>IF($C1657="",IFERROR(VLOOKUP($B1657,SERVIÇOS!$B:$G,3,0),IFERROR(VLOOKUP($B1657,$D:$K,3,0),"")),IFERROR(VLOOKUP($C1657,INSUMOS!$A:$D,3,0),IFERROR(VLOOKUP($C1657,COTAÇÕES!$B:$I,3,0),(VLOOKUP($C1657,'INSUMO SINAPI - SP'!$C:$F,3,0)))))</f>
        <v>M</v>
      </c>
      <c r="G1657" s="511">
        <v>0.67410000000000003</v>
      </c>
      <c r="H1657" s="512">
        <f>IF($C1657="",IFERROR(VLOOKUP($B1657,SERVIÇOS!$B:$G,6,0),IFERROR(VLOOKUP($B1657,$D:$K,8,0),"")),IFERROR(VLOOKUP($C1657,INSUMOS!$A:$D,4,0),IFERROR(VLOOKUP($C1657,COTAÇÕES!$B:$I,7,0),(VLOOKUP($C1657,'INSUMO SINAPI - SP'!$C:$F,4,0)))))</f>
        <v>3.34</v>
      </c>
      <c r="I1657" s="513">
        <f>TRUNC(IF($C1657="",IFERROR(VLOOKUP($B1657,SERVIÇOS!$B:$G,4,0),IFERROR(VLOOKUP($B1657,$D:$K,6,0),)),IFERROR(VLOOKUP($C1657,INSUMOS!$A:$D,4,0),IFERROR(VLOOKUP($C1657,COTAÇÕES!$B:$I,7,0),(VLOOKUP($C1657,'INSUMO SINAPI - SP'!$C:$F,4,0)))))*$G1657,2)</f>
        <v>2.25</v>
      </c>
      <c r="J1657" s="513">
        <f>TRUNC(IF($C1657="",IFERROR(VLOOKUP($B1657,SERVIÇOS!$B:$G,5,0),IFERROR(VLOOKUP($B1657,$D:$K,7,0),)),0)*$G1657,2)</f>
        <v>0</v>
      </c>
      <c r="K1657" s="514">
        <f t="shared" si="60"/>
        <v>2.25</v>
      </c>
      <c r="L1657" s="517"/>
      <c r="M1657" s="471"/>
      <c r="N1657" s="516"/>
      <c r="Q1657" s="472"/>
      <c r="R1657" s="472"/>
      <c r="S1657" s="472"/>
      <c r="T1657" s="472"/>
      <c r="U1657" s="472"/>
      <c r="V1657" s="472"/>
      <c r="W1657" s="472"/>
      <c r="X1657" s="472"/>
      <c r="Y1657" s="472"/>
    </row>
    <row r="1658" spans="1:25" x14ac:dyDescent="0.25">
      <c r="A1658" s="463"/>
      <c r="B1658" s="506"/>
      <c r="C1658" s="507">
        <v>88255</v>
      </c>
      <c r="D1658" s="508"/>
      <c r="E1658" s="518" t="s">
        <v>13219</v>
      </c>
      <c r="F1658" s="519" t="s">
        <v>578</v>
      </c>
      <c r="G1658" s="511">
        <v>0.22115384615384601</v>
      </c>
      <c r="H1658" s="520">
        <v>25.93</v>
      </c>
      <c r="I1658" s="520">
        <f>TRUNC(H1658*G1658,2)</f>
        <v>5.73</v>
      </c>
      <c r="J1658" s="521"/>
      <c r="K1658" s="522">
        <f t="shared" si="60"/>
        <v>5.73</v>
      </c>
      <c r="L1658" s="517"/>
      <c r="M1658" s="471"/>
      <c r="N1658" s="516"/>
      <c r="Q1658" s="472"/>
      <c r="R1658" s="472"/>
      <c r="S1658" s="472"/>
      <c r="T1658" s="472"/>
      <c r="U1658" s="472"/>
      <c r="V1658" s="472"/>
      <c r="W1658" s="472"/>
      <c r="X1658" s="472"/>
      <c r="Y1658" s="472"/>
    </row>
    <row r="1659" spans="1:25" x14ac:dyDescent="0.25">
      <c r="A1659" s="463"/>
      <c r="B1659" s="506">
        <v>88279</v>
      </c>
      <c r="C1659" s="507"/>
      <c r="D1659" s="508"/>
      <c r="E1659" s="509" t="str">
        <f>IF($C1659="",IFERROR(VLOOKUP($B1659,SERVIÇOS!$B:$G,2,0),IFERROR(VLOOKUP($B1659,$D:$K,2,0),"")),IFERROR(VLOOKUP($C1659,INSUMOS!$A:$D,2,0),IFERROR(VLOOKUP($C1659,COTAÇÕES!$B:$I,2,0),(VLOOKUP($C1659,'INSUMO SINAPI - SP'!$C:$F,2,0)))))</f>
        <v>MONTADOR ELETROMECÃNICO COM ENCARGOS COMPLEMENTARES</v>
      </c>
      <c r="F1659" s="510" t="str">
        <f>IF($C1659="",IFERROR(VLOOKUP($B1659,SERVIÇOS!$B:$G,3,0),IFERROR(VLOOKUP($B1659,$D:$K,3,0),"")),IFERROR(VLOOKUP($C1659,INSUMOS!$A:$D,3,0),IFERROR(VLOOKUP($C1659,COTAÇÕES!$B:$I,3,0),(VLOOKUP($C1659,'INSUMO SINAPI - SP'!$C:$F,3,0)))))</f>
        <v>H</v>
      </c>
      <c r="G1659" s="511">
        <v>0.60699999999999998</v>
      </c>
      <c r="H1659" s="512">
        <f>IF($C1659="",IFERROR(VLOOKUP($B1659,SERVIÇOS!$B:$G,6,0),IFERROR(VLOOKUP($B1659,$D:$K,8,0),"")),IFERROR(VLOOKUP($C1659,INSUMOS!$A:$D,4,0),IFERROR(VLOOKUP($C1659,COTAÇÕES!$B:$I,7,0),(VLOOKUP($C1659,'INSUMO SINAPI - SP'!$C:$F,4,0)))))</f>
        <v>39.01</v>
      </c>
      <c r="I1659" s="513">
        <f>TRUNC(IF($C1659="",IFERROR(VLOOKUP($B1659,SERVIÇOS!$B:$G,4,0),IFERROR(VLOOKUP($B1659,$D:$K,6,0),)),IFERROR(VLOOKUP($C1659,INSUMOS!$A:$D,4,0),IFERROR(VLOOKUP($C1659,COTAÇÕES!$B:$I,7,0),(VLOOKUP($C1659,'INSUMO SINAPI - SP'!$C:$F,4,0)))))*$G1659,2)</f>
        <v>5.65</v>
      </c>
      <c r="J1659" s="513">
        <f>TRUNC(IF($C1659="",IFERROR(VLOOKUP($B1659,SERVIÇOS!$B:$G,5,0),IFERROR(VLOOKUP($B1659,$D:$K,7,0),)),0)*$G1659,2)</f>
        <v>18.02</v>
      </c>
      <c r="K1659" s="514">
        <f t="shared" si="60"/>
        <v>23.67</v>
      </c>
      <c r="L1659" s="515"/>
      <c r="M1659" s="471"/>
      <c r="N1659" s="516"/>
      <c r="Q1659" s="472"/>
      <c r="R1659" s="472"/>
      <c r="S1659" s="472"/>
      <c r="T1659" s="472"/>
      <c r="U1659" s="472"/>
      <c r="V1659" s="472"/>
      <c r="W1659" s="472"/>
      <c r="X1659" s="472"/>
      <c r="Y1659" s="472"/>
    </row>
    <row r="1660" spans="1:25" x14ac:dyDescent="0.25">
      <c r="A1660" s="463"/>
      <c r="B1660" s="506">
        <v>88241</v>
      </c>
      <c r="C1660" s="507"/>
      <c r="D1660" s="508"/>
      <c r="E1660" s="509" t="str">
        <f>IF($C1660="",IFERROR(VLOOKUP($B1660,SERVIÇOS!$B:$G,2,0),IFERROR(VLOOKUP($B1660,$D:$K,2,0),"")),IFERROR(VLOOKUP($C1660,INSUMOS!$A:$D,2,0),IFERROR(VLOOKUP($C1660,COTAÇÕES!$B:$I,2,0),(VLOOKUP($C1660,'INSUMO SINAPI - SP'!$C:$F,2,0)))))</f>
        <v>AJUDANTE DE OPERAÇÃO EM GERAL COM ENCARGOS COMPLEMENTARES</v>
      </c>
      <c r="F1660" s="510" t="str">
        <f>IF($C1660="",IFERROR(VLOOKUP($B1660,SERVIÇOS!$B:$G,3,0),IFERROR(VLOOKUP($B1660,$D:$K,3,0),"")),IFERROR(VLOOKUP($C1660,INSUMOS!$A:$D,3,0),IFERROR(VLOOKUP($C1660,COTAÇÕES!$B:$I,3,0),(VLOOKUP($C1660,'INSUMO SINAPI - SP'!$C:$F,3,0)))))</f>
        <v>H</v>
      </c>
      <c r="G1660" s="511">
        <v>0.60699999999999998</v>
      </c>
      <c r="H1660" s="512">
        <f>IF($C1660="",IFERROR(VLOOKUP($B1660,SERVIÇOS!$B:$G,6,0),IFERROR(VLOOKUP($B1660,$D:$K,8,0),"")),IFERROR(VLOOKUP($C1660,INSUMOS!$A:$D,4,0),IFERROR(VLOOKUP($C1660,COTAÇÕES!$B:$I,7,0),(VLOOKUP($C1660,'INSUMO SINAPI - SP'!$C:$F,4,0)))))</f>
        <v>29.87</v>
      </c>
      <c r="I1660" s="513">
        <f>TRUNC(IF($C1660="",IFERROR(VLOOKUP($B1660,SERVIÇOS!$B:$G,4,0),IFERROR(VLOOKUP($B1660,$D:$K,6,0),)),IFERROR(VLOOKUP($C1660,INSUMOS!$A:$D,4,0),IFERROR(VLOOKUP($C1660,COTAÇÕES!$B:$I,7,0),(VLOOKUP($C1660,'INSUMO SINAPI - SP'!$C:$F,4,0)))))*$G1660,2)</f>
        <v>5.63</v>
      </c>
      <c r="J1660" s="513">
        <f>TRUNC(IF($C1660="",IFERROR(VLOOKUP($B1660,SERVIÇOS!$B:$G,5,0),IFERROR(VLOOKUP($B1660,$D:$K,7,0),)),0)*$G1660,2)</f>
        <v>12.49</v>
      </c>
      <c r="K1660" s="514">
        <f t="shared" si="60"/>
        <v>18.12</v>
      </c>
      <c r="L1660" s="515"/>
      <c r="M1660" s="471"/>
      <c r="N1660" s="516"/>
      <c r="Q1660" s="472"/>
      <c r="R1660" s="472"/>
      <c r="S1660" s="472"/>
      <c r="T1660" s="472"/>
      <c r="U1660" s="472"/>
      <c r="V1660" s="472"/>
      <c r="W1660" s="472"/>
      <c r="X1660" s="472"/>
      <c r="Y1660" s="472"/>
    </row>
    <row r="1661" spans="1:25" ht="36" x14ac:dyDescent="0.25">
      <c r="A1661" s="463"/>
      <c r="B1661" s="498"/>
      <c r="C1661" s="498"/>
      <c r="D1661" s="499" t="s">
        <v>12482</v>
      </c>
      <c r="E1661" s="500" t="s">
        <v>13427</v>
      </c>
      <c r="F1661" s="501" t="s">
        <v>823</v>
      </c>
      <c r="G1661" s="502"/>
      <c r="H1661" s="503"/>
      <c r="I1661" s="504">
        <f>ROUND(SUM(I1662:I1667),2)</f>
        <v>32.9</v>
      </c>
      <c r="J1661" s="504">
        <f>ROUND(SUM(J1662:J1667),2)</f>
        <v>30.51</v>
      </c>
      <c r="K1661" s="504">
        <f>+J1661+I1661</f>
        <v>63.41</v>
      </c>
      <c r="L1661" s="523" t="s">
        <v>12842</v>
      </c>
      <c r="M1661" s="471"/>
      <c r="N1661" s="505"/>
      <c r="Q1661" s="472"/>
      <c r="R1661" s="472"/>
      <c r="S1661" s="472"/>
      <c r="T1661" s="472"/>
      <c r="U1661" s="472"/>
      <c r="V1661" s="472"/>
      <c r="W1661" s="472"/>
      <c r="X1661" s="472"/>
      <c r="Y1661" s="472"/>
    </row>
    <row r="1662" spans="1:25" x14ac:dyDescent="0.25">
      <c r="A1662" s="463"/>
      <c r="B1662" s="506"/>
      <c r="C1662" s="507" t="s">
        <v>13424</v>
      </c>
      <c r="D1662" s="508"/>
      <c r="E1662" s="518" t="s">
        <v>13425</v>
      </c>
      <c r="F1662" s="519" t="s">
        <v>823</v>
      </c>
      <c r="G1662" s="511">
        <v>1.1499999999999999</v>
      </c>
      <c r="H1662" s="520">
        <v>12.26</v>
      </c>
      <c r="I1662" s="520">
        <f>TRUNC(H1662*G1662,2)</f>
        <v>14.09</v>
      </c>
      <c r="J1662" s="521"/>
      <c r="K1662" s="522">
        <f t="shared" ref="K1662:K1667" si="61">I1662+J1662</f>
        <v>14.09</v>
      </c>
      <c r="L1662" s="517" t="s">
        <v>12901</v>
      </c>
      <c r="M1662" s="471"/>
      <c r="N1662" s="516"/>
      <c r="Q1662" s="472"/>
      <c r="R1662" s="472"/>
      <c r="S1662" s="472"/>
      <c r="T1662" s="472"/>
      <c r="U1662" s="472"/>
      <c r="V1662" s="472"/>
      <c r="W1662" s="472"/>
      <c r="X1662" s="472"/>
      <c r="Y1662" s="472"/>
    </row>
    <row r="1663" spans="1:25" x14ac:dyDescent="0.25">
      <c r="A1663" s="463"/>
      <c r="B1663" s="506"/>
      <c r="C1663" s="507">
        <v>39028</v>
      </c>
      <c r="D1663" s="508"/>
      <c r="E1663" s="509" t="str">
        <f>IF($C1663="",IFERROR(VLOOKUP($B1663,SERVIÇOS!$B:$G,2,0),IFERROR(VLOOKUP($B1663,$D:$K,2,0),"")),IFERROR(VLOOKUP($C1663,INSUMOS!$A:$D,2,0),IFERROR(VLOOKUP($C1663,COTAÇÕES!$B:$I,2,0),(VLOOKUP($C1663,'INSUMO SINAPI - SP'!$C:$F,2,0)))))</f>
        <v>PERFILADO PERFURADO SIMPLES 38 X 38 MM, CHAPA 22</v>
      </c>
      <c r="F1663" s="510" t="str">
        <f>IF($C1663="",IFERROR(VLOOKUP($B1663,SERVIÇOS!$B:$G,3,0),IFERROR(VLOOKUP($B1663,$D:$K,3,0),"")),IFERROR(VLOOKUP($C1663,INSUMOS!$A:$D,3,0),IFERROR(VLOOKUP($C1663,COTAÇÕES!$B:$I,3,0),(VLOOKUP($C1663,'INSUMO SINAPI - SP'!$C:$F,3,0)))))</f>
        <v>M</v>
      </c>
      <c r="G1663" s="511">
        <v>7.2700000000000001E-2</v>
      </c>
      <c r="H1663" s="512">
        <f>IF($C1663="",IFERROR(VLOOKUP($B1663,SERVIÇOS!$B:$G,6,0),IFERROR(VLOOKUP($B1663,$D:$K,8,0),"")),IFERROR(VLOOKUP($C1663,INSUMOS!$A:$D,4,0),IFERROR(VLOOKUP($C1663,COTAÇÕES!$B:$I,7,0),(VLOOKUP($C1663,'INSUMO SINAPI - SP'!$C:$F,4,0)))))</f>
        <v>8.6999999999999993</v>
      </c>
      <c r="I1663" s="513">
        <f>TRUNC(IF($C1663="",IFERROR(VLOOKUP($B1663,SERVIÇOS!$B:$G,4,0),IFERROR(VLOOKUP($B1663,$D:$K,6,0),)),IFERROR(VLOOKUP($C1663,INSUMOS!$A:$D,4,0),IFERROR(VLOOKUP($C1663,COTAÇÕES!$B:$I,7,0),(VLOOKUP($C1663,'INSUMO SINAPI - SP'!$C:$F,4,0)))))*$G1663,2)</f>
        <v>0.63</v>
      </c>
      <c r="J1663" s="513">
        <f>TRUNC(IF($C1663="",IFERROR(VLOOKUP($B1663,SERVIÇOS!$B:$G,5,0),IFERROR(VLOOKUP($B1663,$D:$K,7,0),)),0)*$G1663,2)</f>
        <v>0</v>
      </c>
      <c r="K1663" s="514">
        <f t="shared" si="61"/>
        <v>0.63</v>
      </c>
      <c r="L1663" s="517"/>
      <c r="M1663" s="471"/>
      <c r="N1663" s="516"/>
      <c r="Q1663" s="472"/>
      <c r="R1663" s="472"/>
      <c r="S1663" s="472"/>
      <c r="T1663" s="472"/>
      <c r="U1663" s="472"/>
      <c r="V1663" s="472"/>
      <c r="W1663" s="472"/>
      <c r="X1663" s="472"/>
      <c r="Y1663" s="472"/>
    </row>
    <row r="1664" spans="1:25" x14ac:dyDescent="0.25">
      <c r="A1664" s="463"/>
      <c r="B1664" s="506"/>
      <c r="C1664" s="507">
        <v>39996</v>
      </c>
      <c r="D1664" s="508"/>
      <c r="E1664" s="509" t="str">
        <f>IF($C1664="",IFERROR(VLOOKUP($B1664,SERVIÇOS!$B:$G,2,0),IFERROR(VLOOKUP($B1664,$D:$K,2,0),"")),IFERROR(VLOOKUP($C1664,INSUMOS!$A:$D,2,0),IFERROR(VLOOKUP($C1664,COTAÇÕES!$B:$I,2,0),(VLOOKUP($C1664,'INSUMO SINAPI - SP'!$C:$F,2,0)))))</f>
        <v>VERGALHAO ZINCADO ROSCA TOTAL, 1/4" (6,3 MM)</v>
      </c>
      <c r="F1664" s="510" t="str">
        <f>IF($C1664="",IFERROR(VLOOKUP($B1664,SERVIÇOS!$B:$G,3,0),IFERROR(VLOOKUP($B1664,$D:$K,3,0),"")),IFERROR(VLOOKUP($C1664,INSUMOS!$A:$D,3,0),IFERROR(VLOOKUP($C1664,COTAÇÕES!$B:$I,3,0),(VLOOKUP($C1664,'INSUMO SINAPI - SP'!$C:$F,3,0)))))</f>
        <v>M</v>
      </c>
      <c r="G1664" s="511">
        <v>0.67410000000000003</v>
      </c>
      <c r="H1664" s="512">
        <f>IF($C1664="",IFERROR(VLOOKUP($B1664,SERVIÇOS!$B:$G,6,0),IFERROR(VLOOKUP($B1664,$D:$K,8,0),"")),IFERROR(VLOOKUP($C1664,INSUMOS!$A:$D,4,0),IFERROR(VLOOKUP($C1664,COTAÇÕES!$B:$I,7,0),(VLOOKUP($C1664,'INSUMO SINAPI - SP'!$C:$F,4,0)))))</f>
        <v>3.34</v>
      </c>
      <c r="I1664" s="513">
        <f>TRUNC(IF($C1664="",IFERROR(VLOOKUP($B1664,SERVIÇOS!$B:$G,4,0),IFERROR(VLOOKUP($B1664,$D:$K,6,0),)),IFERROR(VLOOKUP($C1664,INSUMOS!$A:$D,4,0),IFERROR(VLOOKUP($C1664,COTAÇÕES!$B:$I,7,0),(VLOOKUP($C1664,'INSUMO SINAPI - SP'!$C:$F,4,0)))))*$G1664,2)</f>
        <v>2.25</v>
      </c>
      <c r="J1664" s="513">
        <f>TRUNC(IF($C1664="",IFERROR(VLOOKUP($B1664,SERVIÇOS!$B:$G,5,0),IFERROR(VLOOKUP($B1664,$D:$K,7,0),)),0)*$G1664,2)</f>
        <v>0</v>
      </c>
      <c r="K1664" s="514">
        <f t="shared" si="61"/>
        <v>2.25</v>
      </c>
      <c r="L1664" s="517"/>
      <c r="M1664" s="471"/>
      <c r="N1664" s="516"/>
      <c r="Q1664" s="472"/>
      <c r="R1664" s="472"/>
      <c r="S1664" s="472"/>
      <c r="T1664" s="472"/>
      <c r="U1664" s="472"/>
      <c r="V1664" s="472"/>
      <c r="W1664" s="472"/>
      <c r="X1664" s="472"/>
      <c r="Y1664" s="472"/>
    </row>
    <row r="1665" spans="1:25" x14ac:dyDescent="0.25">
      <c r="A1665" s="463"/>
      <c r="B1665" s="506"/>
      <c r="C1665" s="507">
        <v>88255</v>
      </c>
      <c r="D1665" s="508"/>
      <c r="E1665" s="518" t="s">
        <v>13219</v>
      </c>
      <c r="F1665" s="519" t="s">
        <v>578</v>
      </c>
      <c r="G1665" s="511">
        <v>0.1796875</v>
      </c>
      <c r="H1665" s="520">
        <v>25.93</v>
      </c>
      <c r="I1665" s="520">
        <f>TRUNC(H1665*G1665,2)</f>
        <v>4.6500000000000004</v>
      </c>
      <c r="J1665" s="521"/>
      <c r="K1665" s="522">
        <f t="shared" si="61"/>
        <v>4.6500000000000004</v>
      </c>
      <c r="L1665" s="517"/>
      <c r="M1665" s="471"/>
      <c r="N1665" s="516"/>
      <c r="Q1665" s="472"/>
      <c r="R1665" s="472"/>
      <c r="S1665" s="472"/>
      <c r="T1665" s="472"/>
      <c r="U1665" s="472"/>
      <c r="V1665" s="472"/>
      <c r="W1665" s="472"/>
      <c r="X1665" s="472"/>
      <c r="Y1665" s="472"/>
    </row>
    <row r="1666" spans="1:25" x14ac:dyDescent="0.25">
      <c r="A1666" s="463"/>
      <c r="B1666" s="506">
        <v>88279</v>
      </c>
      <c r="C1666" s="507"/>
      <c r="D1666" s="508"/>
      <c r="E1666" s="509" t="str">
        <f>IF($C1666="",IFERROR(VLOOKUP($B1666,SERVIÇOS!$B:$G,2,0),IFERROR(VLOOKUP($B1666,$D:$K,2,0),"")),IFERROR(VLOOKUP($C1666,INSUMOS!$A:$D,2,0),IFERROR(VLOOKUP($C1666,COTAÇÕES!$B:$I,2,0),(VLOOKUP($C1666,'INSUMO SINAPI - SP'!$C:$F,2,0)))))</f>
        <v>MONTADOR ELETROMECÃNICO COM ENCARGOS COMPLEMENTARES</v>
      </c>
      <c r="F1666" s="510" t="str">
        <f>IF($C1666="",IFERROR(VLOOKUP($B1666,SERVIÇOS!$B:$G,3,0),IFERROR(VLOOKUP($B1666,$D:$K,3,0),"")),IFERROR(VLOOKUP($C1666,INSUMOS!$A:$D,3,0),IFERROR(VLOOKUP($C1666,COTAÇÕES!$B:$I,3,0),(VLOOKUP($C1666,'INSUMO SINAPI - SP'!$C:$F,3,0)))))</f>
        <v>H</v>
      </c>
      <c r="G1666" s="511">
        <v>0.60699999999999998</v>
      </c>
      <c r="H1666" s="512">
        <f>IF($C1666="",IFERROR(VLOOKUP($B1666,SERVIÇOS!$B:$G,6,0),IFERROR(VLOOKUP($B1666,$D:$K,8,0),"")),IFERROR(VLOOKUP($C1666,INSUMOS!$A:$D,4,0),IFERROR(VLOOKUP($C1666,COTAÇÕES!$B:$I,7,0),(VLOOKUP($C1666,'INSUMO SINAPI - SP'!$C:$F,4,0)))))</f>
        <v>39.01</v>
      </c>
      <c r="I1666" s="513">
        <f>TRUNC(IF($C1666="",IFERROR(VLOOKUP($B1666,SERVIÇOS!$B:$G,4,0),IFERROR(VLOOKUP($B1666,$D:$K,6,0),)),IFERROR(VLOOKUP($C1666,INSUMOS!$A:$D,4,0),IFERROR(VLOOKUP($C1666,COTAÇÕES!$B:$I,7,0),(VLOOKUP($C1666,'INSUMO SINAPI - SP'!$C:$F,4,0)))))*$G1666,2)</f>
        <v>5.65</v>
      </c>
      <c r="J1666" s="513">
        <f>TRUNC(IF($C1666="",IFERROR(VLOOKUP($B1666,SERVIÇOS!$B:$G,5,0),IFERROR(VLOOKUP($B1666,$D:$K,7,0),)),0)*$G1666,2)</f>
        <v>18.02</v>
      </c>
      <c r="K1666" s="514">
        <f t="shared" si="61"/>
        <v>23.67</v>
      </c>
      <c r="L1666" s="515"/>
      <c r="M1666" s="471"/>
      <c r="N1666" s="516"/>
      <c r="Q1666" s="472"/>
      <c r="R1666" s="472"/>
      <c r="S1666" s="472"/>
      <c r="T1666" s="472"/>
      <c r="U1666" s="472"/>
      <c r="V1666" s="472"/>
      <c r="W1666" s="472"/>
      <c r="X1666" s="472"/>
      <c r="Y1666" s="472"/>
    </row>
    <row r="1667" spans="1:25" x14ac:dyDescent="0.25">
      <c r="A1667" s="463"/>
      <c r="B1667" s="506">
        <v>88241</v>
      </c>
      <c r="C1667" s="507"/>
      <c r="D1667" s="508"/>
      <c r="E1667" s="509" t="str">
        <f>IF($C1667="",IFERROR(VLOOKUP($B1667,SERVIÇOS!$B:$G,2,0),IFERROR(VLOOKUP($B1667,$D:$K,2,0),"")),IFERROR(VLOOKUP($C1667,INSUMOS!$A:$D,2,0),IFERROR(VLOOKUP($C1667,COTAÇÕES!$B:$I,2,0),(VLOOKUP($C1667,'INSUMO SINAPI - SP'!$C:$F,2,0)))))</f>
        <v>AJUDANTE DE OPERAÇÃO EM GERAL COM ENCARGOS COMPLEMENTARES</v>
      </c>
      <c r="F1667" s="510" t="str">
        <f>IF($C1667="",IFERROR(VLOOKUP($B1667,SERVIÇOS!$B:$G,3,0),IFERROR(VLOOKUP($B1667,$D:$K,3,0),"")),IFERROR(VLOOKUP($C1667,INSUMOS!$A:$D,3,0),IFERROR(VLOOKUP($C1667,COTAÇÕES!$B:$I,3,0),(VLOOKUP($C1667,'INSUMO SINAPI - SP'!$C:$F,3,0)))))</f>
        <v>H</v>
      </c>
      <c r="G1667" s="511">
        <v>0.60699999999999998</v>
      </c>
      <c r="H1667" s="512">
        <f>IF($C1667="",IFERROR(VLOOKUP($B1667,SERVIÇOS!$B:$G,6,0),IFERROR(VLOOKUP($B1667,$D:$K,8,0),"")),IFERROR(VLOOKUP($C1667,INSUMOS!$A:$D,4,0),IFERROR(VLOOKUP($C1667,COTAÇÕES!$B:$I,7,0),(VLOOKUP($C1667,'INSUMO SINAPI - SP'!$C:$F,4,0)))))</f>
        <v>29.87</v>
      </c>
      <c r="I1667" s="513">
        <f>TRUNC(IF($C1667="",IFERROR(VLOOKUP($B1667,SERVIÇOS!$B:$G,4,0),IFERROR(VLOOKUP($B1667,$D:$K,6,0),)),IFERROR(VLOOKUP($C1667,INSUMOS!$A:$D,4,0),IFERROR(VLOOKUP($C1667,COTAÇÕES!$B:$I,7,0),(VLOOKUP($C1667,'INSUMO SINAPI - SP'!$C:$F,4,0)))))*$G1667,2)</f>
        <v>5.63</v>
      </c>
      <c r="J1667" s="513">
        <f>TRUNC(IF($C1667="",IFERROR(VLOOKUP($B1667,SERVIÇOS!$B:$G,5,0),IFERROR(VLOOKUP($B1667,$D:$K,7,0),)),0)*$G1667,2)</f>
        <v>12.49</v>
      </c>
      <c r="K1667" s="514">
        <f t="shared" si="61"/>
        <v>18.12</v>
      </c>
      <c r="L1667" s="515"/>
      <c r="M1667" s="471"/>
      <c r="N1667" s="516"/>
      <c r="Q1667" s="472"/>
      <c r="R1667" s="472"/>
      <c r="S1667" s="472"/>
      <c r="T1667" s="472"/>
      <c r="U1667" s="472"/>
      <c r="V1667" s="472"/>
      <c r="W1667" s="472"/>
      <c r="X1667" s="472"/>
      <c r="Y1667" s="472"/>
    </row>
    <row r="1668" spans="1:25" ht="36" x14ac:dyDescent="0.25">
      <c r="A1668" s="463"/>
      <c r="B1668" s="498"/>
      <c r="C1668" s="498"/>
      <c r="D1668" s="499" t="s">
        <v>12485</v>
      </c>
      <c r="E1668" s="500" t="s">
        <v>13428</v>
      </c>
      <c r="F1668" s="501" t="s">
        <v>823</v>
      </c>
      <c r="G1668" s="502"/>
      <c r="H1668" s="503"/>
      <c r="I1668" s="504">
        <f>ROUND(SUM(I1669:I1673),2)</f>
        <v>27.17</v>
      </c>
      <c r="J1668" s="504">
        <f>ROUND(SUM(J1669:J1673),2)</f>
        <v>26.56</v>
      </c>
      <c r="K1668" s="504">
        <f>+J1668+I1668</f>
        <v>53.730000000000004</v>
      </c>
      <c r="L1668" s="523" t="s">
        <v>13429</v>
      </c>
      <c r="M1668" s="471"/>
      <c r="N1668" s="505"/>
      <c r="Q1668" s="472"/>
      <c r="R1668" s="472"/>
      <c r="S1668" s="472"/>
      <c r="T1668" s="472"/>
      <c r="U1668" s="472"/>
      <c r="V1668" s="472"/>
      <c r="W1668" s="472"/>
      <c r="X1668" s="472"/>
      <c r="Y1668" s="472"/>
    </row>
    <row r="1669" spans="1:25" x14ac:dyDescent="0.25">
      <c r="A1669" s="463"/>
      <c r="B1669" s="506">
        <v>88315</v>
      </c>
      <c r="C1669" s="507"/>
      <c r="D1669" s="508"/>
      <c r="E1669" s="509" t="str">
        <f>IF($C1669="",IFERROR(VLOOKUP($B1669,SERVIÇOS!$B:$G,2,0),IFERROR(VLOOKUP($B1669,$D:$K,2,0),"")),IFERROR(VLOOKUP($C1669,INSUMOS!$A:$D,2,0),IFERROR(VLOOKUP($C1669,COTAÇÕES!$B:$I,2,0),(VLOOKUP($C1669,'INSUMO SINAPI - SP'!$C:$F,2,0)))))</f>
        <v>SERRALHEIRO COM ENCARGOS COMPLEMENTARES</v>
      </c>
      <c r="F1669" s="510" t="str">
        <f>IF($C1669="",IFERROR(VLOOKUP($B1669,SERVIÇOS!$B:$G,3,0),IFERROR(VLOOKUP($B1669,$D:$K,3,0),"")),IFERROR(VLOOKUP($C1669,INSUMOS!$A:$D,3,0),IFERROR(VLOOKUP($C1669,COTAÇÕES!$B:$I,3,0),(VLOOKUP($C1669,'INSUMO SINAPI - SP'!$C:$F,3,0)))))</f>
        <v>H</v>
      </c>
      <c r="G1669" s="511">
        <v>0.55000000000000004</v>
      </c>
      <c r="H1669" s="512">
        <f>IF($C1669="",IFERROR(VLOOKUP($B1669,SERVIÇOS!$B:$G,6,0),IFERROR(VLOOKUP($B1669,$D:$K,8,0),"")),IFERROR(VLOOKUP($C1669,INSUMOS!$A:$D,4,0),IFERROR(VLOOKUP($C1669,COTAÇÕES!$B:$I,7,0),(VLOOKUP($C1669,'INSUMO SINAPI - SP'!$C:$F,4,0)))))</f>
        <v>36.65</v>
      </c>
      <c r="I1669" s="513">
        <f>TRUNC(IF($C1669="",IFERROR(VLOOKUP($B1669,SERVIÇOS!$B:$G,4,0),IFERROR(VLOOKUP($B1669,$D:$K,6,0),)),IFERROR(VLOOKUP($C1669,INSUMOS!$A:$D,4,0),IFERROR(VLOOKUP($C1669,COTAÇÕES!$B:$I,7,0),(VLOOKUP($C1669,'INSUMO SINAPI - SP'!$C:$F,4,0)))))*$G1669,2)</f>
        <v>5.0999999999999996</v>
      </c>
      <c r="J1669" s="513">
        <f>TRUNC(IF($C1669="",IFERROR(VLOOKUP($B1669,SERVIÇOS!$B:$G,5,0),IFERROR(VLOOKUP($B1669,$D:$K,7,0),)),0)*$G1669,2)</f>
        <v>15.05</v>
      </c>
      <c r="K1669" s="514">
        <f>I1669+J1669</f>
        <v>20.149999999999999</v>
      </c>
      <c r="L1669" s="515"/>
      <c r="M1669" s="471"/>
      <c r="N1669" s="516"/>
      <c r="Q1669" s="472"/>
      <c r="R1669" s="472"/>
      <c r="S1669" s="472"/>
      <c r="T1669" s="472"/>
      <c r="U1669" s="472"/>
      <c r="V1669" s="472"/>
      <c r="W1669" s="472"/>
      <c r="X1669" s="472"/>
      <c r="Y1669" s="472"/>
    </row>
    <row r="1670" spans="1:25" x14ac:dyDescent="0.25">
      <c r="A1670" s="463"/>
      <c r="B1670" s="506">
        <v>88251</v>
      </c>
      <c r="C1670" s="507"/>
      <c r="D1670" s="508"/>
      <c r="E1670" s="509" t="str">
        <f>IF($C1670="",IFERROR(VLOOKUP($B1670,SERVIÇOS!$B:$G,2,0),IFERROR(VLOOKUP($B1670,$D:$K,2,0),"")),IFERROR(VLOOKUP($C1670,INSUMOS!$A:$D,2,0),IFERROR(VLOOKUP($C1670,COTAÇÕES!$B:$I,2,0),(VLOOKUP($C1670,'INSUMO SINAPI - SP'!$C:$F,2,0)))))</f>
        <v>AUXILIAR DE SERRALHEIRO COM ENCARGOS COMPLEMENTARES</v>
      </c>
      <c r="F1670" s="510" t="str">
        <f>IF($C1670="",IFERROR(VLOOKUP($B1670,SERVIÇOS!$B:$G,3,0),IFERROR(VLOOKUP($B1670,$D:$K,3,0),"")),IFERROR(VLOOKUP($C1670,INSUMOS!$A:$D,3,0),IFERROR(VLOOKUP($C1670,COTAÇÕES!$B:$I,3,0),(VLOOKUP($C1670,'INSUMO SINAPI - SP'!$C:$F,3,0)))))</f>
        <v>H</v>
      </c>
      <c r="G1670" s="511">
        <v>0.55000000000000004</v>
      </c>
      <c r="H1670" s="512">
        <f>IF($C1670="",IFERROR(VLOOKUP($B1670,SERVIÇOS!$B:$G,6,0),IFERROR(VLOOKUP($B1670,$D:$K,8,0),"")),IFERROR(VLOOKUP($C1670,INSUMOS!$A:$D,4,0),IFERROR(VLOOKUP($C1670,COTAÇÕES!$B:$I,7,0),(VLOOKUP($C1670,'INSUMO SINAPI - SP'!$C:$F,4,0)))))</f>
        <v>30.23</v>
      </c>
      <c r="I1670" s="513">
        <f>TRUNC(IF($C1670="",IFERROR(VLOOKUP($B1670,SERVIÇOS!$B:$G,4,0),IFERROR(VLOOKUP($B1670,$D:$K,6,0),)),IFERROR(VLOOKUP($C1670,INSUMOS!$A:$D,4,0),IFERROR(VLOOKUP($C1670,COTAÇÕES!$B:$I,7,0),(VLOOKUP($C1670,'INSUMO SINAPI - SP'!$C:$F,4,0)))))*$G1670,2)</f>
        <v>5.0999999999999996</v>
      </c>
      <c r="J1670" s="513">
        <f>TRUNC(IF($C1670="",IFERROR(VLOOKUP($B1670,SERVIÇOS!$B:$G,5,0),IFERROR(VLOOKUP($B1670,$D:$K,7,0),)),0)*$G1670,2)</f>
        <v>11.51</v>
      </c>
      <c r="K1670" s="514">
        <f>I1670+J1670</f>
        <v>16.61</v>
      </c>
      <c r="L1670" s="515"/>
      <c r="M1670" s="471"/>
      <c r="N1670" s="516"/>
      <c r="Q1670" s="472"/>
      <c r="R1670" s="472"/>
      <c r="S1670" s="472"/>
      <c r="T1670" s="472"/>
      <c r="U1670" s="472"/>
      <c r="V1670" s="472"/>
      <c r="W1670" s="472"/>
      <c r="X1670" s="472"/>
      <c r="Y1670" s="472"/>
    </row>
    <row r="1671" spans="1:25" x14ac:dyDescent="0.25">
      <c r="A1671" s="463"/>
      <c r="B1671" s="506"/>
      <c r="C1671" s="507" t="s">
        <v>13424</v>
      </c>
      <c r="D1671" s="508"/>
      <c r="E1671" s="518" t="s">
        <v>13425</v>
      </c>
      <c r="F1671" s="519" t="s">
        <v>823</v>
      </c>
      <c r="G1671" s="511">
        <v>1.1499999999999999</v>
      </c>
      <c r="H1671" s="520">
        <v>12.26</v>
      </c>
      <c r="I1671" s="520">
        <f>TRUNC(H1671*G1671,2)</f>
        <v>14.09</v>
      </c>
      <c r="J1671" s="521"/>
      <c r="K1671" s="522">
        <f>I1671+J1671</f>
        <v>14.09</v>
      </c>
      <c r="L1671" s="517" t="s">
        <v>12901</v>
      </c>
      <c r="M1671" s="471"/>
      <c r="N1671" s="516"/>
      <c r="Q1671" s="472"/>
      <c r="R1671" s="472"/>
      <c r="S1671" s="472"/>
      <c r="T1671" s="472"/>
      <c r="U1671" s="472"/>
      <c r="V1671" s="472"/>
      <c r="W1671" s="472"/>
      <c r="X1671" s="472"/>
      <c r="Y1671" s="472"/>
    </row>
    <row r="1672" spans="1:25" x14ac:dyDescent="0.25">
      <c r="A1672" s="463"/>
      <c r="B1672" s="506"/>
      <c r="C1672" s="507">
        <v>39028</v>
      </c>
      <c r="D1672" s="508"/>
      <c r="E1672" s="509" t="str">
        <f>IF($C1672="",IFERROR(VLOOKUP($B1672,SERVIÇOS!$B:$G,2,0),IFERROR(VLOOKUP($B1672,$D:$K,2,0),"")),IFERROR(VLOOKUP($C1672,INSUMOS!$A:$D,2,0),IFERROR(VLOOKUP($C1672,COTAÇÕES!$B:$I,2,0),(VLOOKUP($C1672,'INSUMO SINAPI - SP'!$C:$F,2,0)))))</f>
        <v>PERFILADO PERFURADO SIMPLES 38 X 38 MM, CHAPA 22</v>
      </c>
      <c r="F1672" s="510" t="str">
        <f>IF($C1672="",IFERROR(VLOOKUP($B1672,SERVIÇOS!$B:$G,3,0),IFERROR(VLOOKUP($B1672,$D:$K,3,0),"")),IFERROR(VLOOKUP($C1672,INSUMOS!$A:$D,3,0),IFERROR(VLOOKUP($C1672,COTAÇÕES!$B:$I,3,0),(VLOOKUP($C1672,'INSUMO SINAPI - SP'!$C:$F,3,0)))))</f>
        <v>M</v>
      </c>
      <c r="G1672" s="511">
        <v>7.2700000000000001E-2</v>
      </c>
      <c r="H1672" s="512">
        <f>IF($C1672="",IFERROR(VLOOKUP($B1672,SERVIÇOS!$B:$G,6,0),IFERROR(VLOOKUP($B1672,$D:$K,8,0),"")),IFERROR(VLOOKUP($C1672,INSUMOS!$A:$D,4,0),IFERROR(VLOOKUP($C1672,COTAÇÕES!$B:$I,7,0),(VLOOKUP($C1672,'INSUMO SINAPI - SP'!$C:$F,4,0)))))</f>
        <v>8.6999999999999993</v>
      </c>
      <c r="I1672" s="513">
        <f>TRUNC(IF($C1672="",IFERROR(VLOOKUP($B1672,SERVIÇOS!$B:$G,4,0),IFERROR(VLOOKUP($B1672,$D:$K,6,0),)),IFERROR(VLOOKUP($C1672,INSUMOS!$A:$D,4,0),IFERROR(VLOOKUP($C1672,COTAÇÕES!$B:$I,7,0),(VLOOKUP($C1672,'INSUMO SINAPI - SP'!$C:$F,4,0)))))*$G1672,2)</f>
        <v>0.63</v>
      </c>
      <c r="J1672" s="513">
        <f>TRUNC(IF($C1672="",IFERROR(VLOOKUP($B1672,SERVIÇOS!$B:$G,5,0),IFERROR(VLOOKUP($B1672,$D:$K,7,0),)),0)*$G1672,2)</f>
        <v>0</v>
      </c>
      <c r="K1672" s="514">
        <f>I1672+J1672</f>
        <v>0.63</v>
      </c>
      <c r="L1672" s="517"/>
      <c r="M1672" s="471"/>
      <c r="N1672" s="516"/>
      <c r="Q1672" s="472"/>
      <c r="R1672" s="472"/>
      <c r="S1672" s="472"/>
      <c r="T1672" s="472"/>
      <c r="U1672" s="472"/>
      <c r="V1672" s="472"/>
      <c r="W1672" s="472"/>
      <c r="X1672" s="472"/>
      <c r="Y1672" s="472"/>
    </row>
    <row r="1673" spans="1:25" x14ac:dyDescent="0.25">
      <c r="A1673" s="463"/>
      <c r="B1673" s="506"/>
      <c r="C1673" s="507">
        <v>39996</v>
      </c>
      <c r="D1673" s="508"/>
      <c r="E1673" s="509" t="str">
        <f>IF($C1673="",IFERROR(VLOOKUP($B1673,SERVIÇOS!$B:$G,2,0),IFERROR(VLOOKUP($B1673,$D:$K,2,0),"")),IFERROR(VLOOKUP($C1673,INSUMOS!$A:$D,2,0),IFERROR(VLOOKUP($C1673,COTAÇÕES!$B:$I,2,0),(VLOOKUP($C1673,'INSUMO SINAPI - SP'!$C:$F,2,0)))))</f>
        <v>VERGALHAO ZINCADO ROSCA TOTAL, 1/4" (6,3 MM)</v>
      </c>
      <c r="F1673" s="510" t="str">
        <f>IF($C1673="",IFERROR(VLOOKUP($B1673,SERVIÇOS!$B:$G,3,0),IFERROR(VLOOKUP($B1673,$D:$K,3,0),"")),IFERROR(VLOOKUP($C1673,INSUMOS!$A:$D,3,0),IFERROR(VLOOKUP($C1673,COTAÇÕES!$B:$I,3,0),(VLOOKUP($C1673,'INSUMO SINAPI - SP'!$C:$F,3,0)))))</f>
        <v>M</v>
      </c>
      <c r="G1673" s="511">
        <v>0.67410000000000003</v>
      </c>
      <c r="H1673" s="512">
        <f>IF($C1673="",IFERROR(VLOOKUP($B1673,SERVIÇOS!$B:$G,6,0),IFERROR(VLOOKUP($B1673,$D:$K,8,0),"")),IFERROR(VLOOKUP($C1673,INSUMOS!$A:$D,4,0),IFERROR(VLOOKUP($C1673,COTAÇÕES!$B:$I,7,0),(VLOOKUP($C1673,'INSUMO SINAPI - SP'!$C:$F,4,0)))))</f>
        <v>3.34</v>
      </c>
      <c r="I1673" s="513">
        <f>TRUNC(IF($C1673="",IFERROR(VLOOKUP($B1673,SERVIÇOS!$B:$G,4,0),IFERROR(VLOOKUP($B1673,$D:$K,6,0),)),IFERROR(VLOOKUP($C1673,INSUMOS!$A:$D,4,0),IFERROR(VLOOKUP($C1673,COTAÇÕES!$B:$I,7,0),(VLOOKUP($C1673,'INSUMO SINAPI - SP'!$C:$F,4,0)))))*$G1673,2)</f>
        <v>2.25</v>
      </c>
      <c r="J1673" s="513">
        <f>TRUNC(IF($C1673="",IFERROR(VLOOKUP($B1673,SERVIÇOS!$B:$G,5,0),IFERROR(VLOOKUP($B1673,$D:$K,7,0),)),0)*$G1673,2)</f>
        <v>0</v>
      </c>
      <c r="K1673" s="514">
        <f>I1673+J1673</f>
        <v>2.25</v>
      </c>
      <c r="L1673" s="517"/>
      <c r="M1673" s="471"/>
      <c r="N1673" s="516"/>
      <c r="Q1673" s="472"/>
      <c r="R1673" s="472"/>
      <c r="S1673" s="472"/>
      <c r="T1673" s="472"/>
      <c r="U1673" s="472"/>
      <c r="V1673" s="472"/>
      <c r="W1673" s="472"/>
      <c r="X1673" s="472"/>
      <c r="Y1673" s="472"/>
    </row>
    <row r="1674" spans="1:25" ht="36" x14ac:dyDescent="0.25">
      <c r="A1674" s="463"/>
      <c r="B1674" s="498"/>
      <c r="C1674" s="498"/>
      <c r="D1674" s="499" t="s">
        <v>12486</v>
      </c>
      <c r="E1674" s="500" t="s">
        <v>13430</v>
      </c>
      <c r="F1674" s="501" t="s">
        <v>823</v>
      </c>
      <c r="G1674" s="502"/>
      <c r="H1674" s="503"/>
      <c r="I1674" s="504">
        <f>ROUND(SUM(I1675:I1679),2)</f>
        <v>27.17</v>
      </c>
      <c r="J1674" s="504">
        <f>ROUND(SUM(J1675:J1679),2)</f>
        <v>26.56</v>
      </c>
      <c r="K1674" s="504">
        <f>+J1674+I1674</f>
        <v>53.730000000000004</v>
      </c>
      <c r="L1674" s="523" t="s">
        <v>13429</v>
      </c>
      <c r="M1674" s="471"/>
      <c r="N1674" s="505"/>
      <c r="Q1674" s="472"/>
      <c r="R1674" s="472"/>
      <c r="S1674" s="472"/>
      <c r="T1674" s="472"/>
      <c r="U1674" s="472"/>
      <c r="V1674" s="472"/>
      <c r="W1674" s="472"/>
      <c r="X1674" s="472"/>
      <c r="Y1674" s="472"/>
    </row>
    <row r="1675" spans="1:25" x14ac:dyDescent="0.25">
      <c r="A1675" s="463"/>
      <c r="B1675" s="506">
        <v>88315</v>
      </c>
      <c r="C1675" s="507"/>
      <c r="D1675" s="508"/>
      <c r="E1675" s="509" t="str">
        <f>IF($C1675="",IFERROR(VLOOKUP($B1675,SERVIÇOS!$B:$G,2,0),IFERROR(VLOOKUP($B1675,$D:$K,2,0),"")),IFERROR(VLOOKUP($C1675,INSUMOS!$A:$D,2,0),IFERROR(VLOOKUP($C1675,COTAÇÕES!$B:$I,2,0),(VLOOKUP($C1675,'INSUMO SINAPI - SP'!$C:$F,2,0)))))</f>
        <v>SERRALHEIRO COM ENCARGOS COMPLEMENTARES</v>
      </c>
      <c r="F1675" s="510" t="str">
        <f>IF($C1675="",IFERROR(VLOOKUP($B1675,SERVIÇOS!$B:$G,3,0),IFERROR(VLOOKUP($B1675,$D:$K,3,0),"")),IFERROR(VLOOKUP($C1675,INSUMOS!$A:$D,3,0),IFERROR(VLOOKUP($C1675,COTAÇÕES!$B:$I,3,0),(VLOOKUP($C1675,'INSUMO SINAPI - SP'!$C:$F,3,0)))))</f>
        <v>H</v>
      </c>
      <c r="G1675" s="511">
        <v>0.55000000000000004</v>
      </c>
      <c r="H1675" s="512">
        <f>IF($C1675="",IFERROR(VLOOKUP($B1675,SERVIÇOS!$B:$G,6,0),IFERROR(VLOOKUP($B1675,$D:$K,8,0),"")),IFERROR(VLOOKUP($C1675,INSUMOS!$A:$D,4,0),IFERROR(VLOOKUP($C1675,COTAÇÕES!$B:$I,7,0),(VLOOKUP($C1675,'INSUMO SINAPI - SP'!$C:$F,4,0)))))</f>
        <v>36.65</v>
      </c>
      <c r="I1675" s="513">
        <f>TRUNC(IF($C1675="",IFERROR(VLOOKUP($B1675,SERVIÇOS!$B:$G,4,0),IFERROR(VLOOKUP($B1675,$D:$K,6,0),)),IFERROR(VLOOKUP($C1675,INSUMOS!$A:$D,4,0),IFERROR(VLOOKUP($C1675,COTAÇÕES!$B:$I,7,0),(VLOOKUP($C1675,'INSUMO SINAPI - SP'!$C:$F,4,0)))))*$G1675,2)</f>
        <v>5.0999999999999996</v>
      </c>
      <c r="J1675" s="513">
        <f>TRUNC(IF($C1675="",IFERROR(VLOOKUP($B1675,SERVIÇOS!$B:$G,5,0),IFERROR(VLOOKUP($B1675,$D:$K,7,0),)),0)*$G1675,2)</f>
        <v>15.05</v>
      </c>
      <c r="K1675" s="514">
        <f>I1675+J1675</f>
        <v>20.149999999999999</v>
      </c>
      <c r="L1675" s="515"/>
      <c r="M1675" s="471"/>
      <c r="N1675" s="516"/>
      <c r="Q1675" s="472"/>
      <c r="R1675" s="472"/>
      <c r="S1675" s="472"/>
      <c r="T1675" s="472"/>
      <c r="U1675" s="472"/>
      <c r="V1675" s="472"/>
      <c r="W1675" s="472"/>
      <c r="X1675" s="472"/>
      <c r="Y1675" s="472"/>
    </row>
    <row r="1676" spans="1:25" x14ac:dyDescent="0.25">
      <c r="A1676" s="463"/>
      <c r="B1676" s="506">
        <v>88251</v>
      </c>
      <c r="C1676" s="507"/>
      <c r="D1676" s="508"/>
      <c r="E1676" s="509" t="str">
        <f>IF($C1676="",IFERROR(VLOOKUP($B1676,SERVIÇOS!$B:$G,2,0),IFERROR(VLOOKUP($B1676,$D:$K,2,0),"")),IFERROR(VLOOKUP($C1676,INSUMOS!$A:$D,2,0),IFERROR(VLOOKUP($C1676,COTAÇÕES!$B:$I,2,0),(VLOOKUP($C1676,'INSUMO SINAPI - SP'!$C:$F,2,0)))))</f>
        <v>AUXILIAR DE SERRALHEIRO COM ENCARGOS COMPLEMENTARES</v>
      </c>
      <c r="F1676" s="510" t="str">
        <f>IF($C1676="",IFERROR(VLOOKUP($B1676,SERVIÇOS!$B:$G,3,0),IFERROR(VLOOKUP($B1676,$D:$K,3,0),"")),IFERROR(VLOOKUP($C1676,INSUMOS!$A:$D,3,0),IFERROR(VLOOKUP($C1676,COTAÇÕES!$B:$I,3,0),(VLOOKUP($C1676,'INSUMO SINAPI - SP'!$C:$F,3,0)))))</f>
        <v>H</v>
      </c>
      <c r="G1676" s="511">
        <v>0.55000000000000004</v>
      </c>
      <c r="H1676" s="512">
        <f>IF($C1676="",IFERROR(VLOOKUP($B1676,SERVIÇOS!$B:$G,6,0),IFERROR(VLOOKUP($B1676,$D:$K,8,0),"")),IFERROR(VLOOKUP($C1676,INSUMOS!$A:$D,4,0),IFERROR(VLOOKUP($C1676,COTAÇÕES!$B:$I,7,0),(VLOOKUP($C1676,'INSUMO SINAPI - SP'!$C:$F,4,0)))))</f>
        <v>30.23</v>
      </c>
      <c r="I1676" s="513">
        <f>TRUNC(IF($C1676="",IFERROR(VLOOKUP($B1676,SERVIÇOS!$B:$G,4,0),IFERROR(VLOOKUP($B1676,$D:$K,6,0),)),IFERROR(VLOOKUP($C1676,INSUMOS!$A:$D,4,0),IFERROR(VLOOKUP($C1676,COTAÇÕES!$B:$I,7,0),(VLOOKUP($C1676,'INSUMO SINAPI - SP'!$C:$F,4,0)))))*$G1676,2)</f>
        <v>5.0999999999999996</v>
      </c>
      <c r="J1676" s="513">
        <f>TRUNC(IF($C1676="",IFERROR(VLOOKUP($B1676,SERVIÇOS!$B:$G,5,0),IFERROR(VLOOKUP($B1676,$D:$K,7,0),)),0)*$G1676,2)</f>
        <v>11.51</v>
      </c>
      <c r="K1676" s="514">
        <f>I1676+J1676</f>
        <v>16.61</v>
      </c>
      <c r="L1676" s="515"/>
      <c r="M1676" s="471"/>
      <c r="N1676" s="516"/>
      <c r="Q1676" s="472"/>
      <c r="R1676" s="472"/>
      <c r="S1676" s="472"/>
      <c r="T1676" s="472"/>
      <c r="U1676" s="472"/>
      <c r="V1676" s="472"/>
      <c r="W1676" s="472"/>
      <c r="X1676" s="472"/>
      <c r="Y1676" s="472"/>
    </row>
    <row r="1677" spans="1:25" x14ac:dyDescent="0.25">
      <c r="A1677" s="463"/>
      <c r="B1677" s="506"/>
      <c r="C1677" s="507" t="s">
        <v>13424</v>
      </c>
      <c r="D1677" s="508"/>
      <c r="E1677" s="518" t="s">
        <v>13425</v>
      </c>
      <c r="F1677" s="519" t="s">
        <v>823</v>
      </c>
      <c r="G1677" s="511">
        <v>1.1499999999999999</v>
      </c>
      <c r="H1677" s="520">
        <v>12.26</v>
      </c>
      <c r="I1677" s="520">
        <f>TRUNC(H1677*G1677,2)</f>
        <v>14.09</v>
      </c>
      <c r="J1677" s="521"/>
      <c r="K1677" s="522">
        <f>I1677+J1677</f>
        <v>14.09</v>
      </c>
      <c r="L1677" s="517" t="s">
        <v>12901</v>
      </c>
      <c r="M1677" s="471"/>
      <c r="N1677" s="516"/>
      <c r="Q1677" s="472"/>
      <c r="R1677" s="472"/>
      <c r="S1677" s="472"/>
      <c r="T1677" s="472"/>
      <c r="U1677" s="472"/>
      <c r="V1677" s="472"/>
      <c r="W1677" s="472"/>
      <c r="X1677" s="472"/>
      <c r="Y1677" s="472"/>
    </row>
    <row r="1678" spans="1:25" x14ac:dyDescent="0.25">
      <c r="A1678" s="463"/>
      <c r="B1678" s="506"/>
      <c r="C1678" s="507">
        <v>39028</v>
      </c>
      <c r="D1678" s="508"/>
      <c r="E1678" s="509" t="str">
        <f>IF($C1678="",IFERROR(VLOOKUP($B1678,SERVIÇOS!$B:$G,2,0),IFERROR(VLOOKUP($B1678,$D:$K,2,0),"")),IFERROR(VLOOKUP($C1678,INSUMOS!$A:$D,2,0),IFERROR(VLOOKUP($C1678,COTAÇÕES!$B:$I,2,0),(VLOOKUP($C1678,'INSUMO SINAPI - SP'!$C:$F,2,0)))))</f>
        <v>PERFILADO PERFURADO SIMPLES 38 X 38 MM, CHAPA 22</v>
      </c>
      <c r="F1678" s="510" t="str">
        <f>IF($C1678="",IFERROR(VLOOKUP($B1678,SERVIÇOS!$B:$G,3,0),IFERROR(VLOOKUP($B1678,$D:$K,3,0),"")),IFERROR(VLOOKUP($C1678,INSUMOS!$A:$D,3,0),IFERROR(VLOOKUP($C1678,COTAÇÕES!$B:$I,3,0),(VLOOKUP($C1678,'INSUMO SINAPI - SP'!$C:$F,3,0)))))</f>
        <v>M</v>
      </c>
      <c r="G1678" s="511">
        <v>7.2700000000000001E-2</v>
      </c>
      <c r="H1678" s="512">
        <f>IF($C1678="",IFERROR(VLOOKUP($B1678,SERVIÇOS!$B:$G,6,0),IFERROR(VLOOKUP($B1678,$D:$K,8,0),"")),IFERROR(VLOOKUP($C1678,INSUMOS!$A:$D,4,0),IFERROR(VLOOKUP($C1678,COTAÇÕES!$B:$I,7,0),(VLOOKUP($C1678,'INSUMO SINAPI - SP'!$C:$F,4,0)))))</f>
        <v>8.6999999999999993</v>
      </c>
      <c r="I1678" s="513">
        <f>TRUNC(IF($C1678="",IFERROR(VLOOKUP($B1678,SERVIÇOS!$B:$G,4,0),IFERROR(VLOOKUP($B1678,$D:$K,6,0),)),IFERROR(VLOOKUP($C1678,INSUMOS!$A:$D,4,0),IFERROR(VLOOKUP($C1678,COTAÇÕES!$B:$I,7,0),(VLOOKUP($C1678,'INSUMO SINAPI - SP'!$C:$F,4,0)))))*$G1678,2)</f>
        <v>0.63</v>
      </c>
      <c r="J1678" s="513">
        <f>TRUNC(IF($C1678="",IFERROR(VLOOKUP($B1678,SERVIÇOS!$B:$G,5,0),IFERROR(VLOOKUP($B1678,$D:$K,7,0),)),0)*$G1678,2)</f>
        <v>0</v>
      </c>
      <c r="K1678" s="514">
        <f>I1678+J1678</f>
        <v>0.63</v>
      </c>
      <c r="L1678" s="517"/>
      <c r="M1678" s="471"/>
      <c r="N1678" s="516"/>
      <c r="Q1678" s="472"/>
      <c r="R1678" s="472"/>
      <c r="S1678" s="472"/>
      <c r="T1678" s="472"/>
      <c r="U1678" s="472"/>
      <c r="V1678" s="472"/>
      <c r="W1678" s="472"/>
      <c r="X1678" s="472"/>
      <c r="Y1678" s="472"/>
    </row>
    <row r="1679" spans="1:25" x14ac:dyDescent="0.25">
      <c r="A1679" s="463"/>
      <c r="B1679" s="506"/>
      <c r="C1679" s="507">
        <v>39996</v>
      </c>
      <c r="D1679" s="508"/>
      <c r="E1679" s="509" t="str">
        <f>IF($C1679="",IFERROR(VLOOKUP($B1679,SERVIÇOS!$B:$G,2,0),IFERROR(VLOOKUP($B1679,$D:$K,2,0),"")),IFERROR(VLOOKUP($C1679,INSUMOS!$A:$D,2,0),IFERROR(VLOOKUP($C1679,COTAÇÕES!$B:$I,2,0),(VLOOKUP($C1679,'INSUMO SINAPI - SP'!$C:$F,2,0)))))</f>
        <v>VERGALHAO ZINCADO ROSCA TOTAL, 1/4" (6,3 MM)</v>
      </c>
      <c r="F1679" s="510" t="str">
        <f>IF($C1679="",IFERROR(VLOOKUP($B1679,SERVIÇOS!$B:$G,3,0),IFERROR(VLOOKUP($B1679,$D:$K,3,0),"")),IFERROR(VLOOKUP($C1679,INSUMOS!$A:$D,3,0),IFERROR(VLOOKUP($C1679,COTAÇÕES!$B:$I,3,0),(VLOOKUP($C1679,'INSUMO SINAPI - SP'!$C:$F,3,0)))))</f>
        <v>M</v>
      </c>
      <c r="G1679" s="511">
        <v>0.67410000000000003</v>
      </c>
      <c r="H1679" s="512">
        <f>IF($C1679="",IFERROR(VLOOKUP($B1679,SERVIÇOS!$B:$G,6,0),IFERROR(VLOOKUP($B1679,$D:$K,8,0),"")),IFERROR(VLOOKUP($C1679,INSUMOS!$A:$D,4,0),IFERROR(VLOOKUP($C1679,COTAÇÕES!$B:$I,7,0),(VLOOKUP($C1679,'INSUMO SINAPI - SP'!$C:$F,4,0)))))</f>
        <v>3.34</v>
      </c>
      <c r="I1679" s="513">
        <f>TRUNC(IF($C1679="",IFERROR(VLOOKUP($B1679,SERVIÇOS!$B:$G,4,0),IFERROR(VLOOKUP($B1679,$D:$K,6,0),)),IFERROR(VLOOKUP($C1679,INSUMOS!$A:$D,4,0),IFERROR(VLOOKUP($C1679,COTAÇÕES!$B:$I,7,0),(VLOOKUP($C1679,'INSUMO SINAPI - SP'!$C:$F,4,0)))))*$G1679,2)</f>
        <v>2.25</v>
      </c>
      <c r="J1679" s="513">
        <f>TRUNC(IF($C1679="",IFERROR(VLOOKUP($B1679,SERVIÇOS!$B:$G,5,0),IFERROR(VLOOKUP($B1679,$D:$K,7,0),)),0)*$G1679,2)</f>
        <v>0</v>
      </c>
      <c r="K1679" s="514">
        <f>I1679+J1679</f>
        <v>2.25</v>
      </c>
      <c r="L1679" s="517"/>
      <c r="M1679" s="471"/>
      <c r="N1679" s="516"/>
      <c r="Q1679" s="472"/>
      <c r="R1679" s="472"/>
      <c r="S1679" s="472"/>
      <c r="T1679" s="472"/>
      <c r="U1679" s="472"/>
      <c r="V1679" s="472"/>
      <c r="W1679" s="472"/>
      <c r="X1679" s="472"/>
      <c r="Y1679" s="472"/>
    </row>
    <row r="1680" spans="1:25" ht="60" x14ac:dyDescent="0.25">
      <c r="A1680" s="463"/>
      <c r="B1680" s="498"/>
      <c r="C1680" s="498"/>
      <c r="D1680" s="499" t="s">
        <v>12494</v>
      </c>
      <c r="E1680" s="529" t="s">
        <v>13431</v>
      </c>
      <c r="F1680" s="501" t="s">
        <v>580</v>
      </c>
      <c r="G1680" s="502"/>
      <c r="H1680" s="503"/>
      <c r="I1680" s="504">
        <f>ROUND(SUM(I1681:I1683),2)</f>
        <v>6493.21</v>
      </c>
      <c r="J1680" s="504">
        <f>ROUND(SUM(J1681:J1683),2)</f>
        <v>24.15</v>
      </c>
      <c r="K1680" s="504">
        <f>+J1680+I1680</f>
        <v>6517.36</v>
      </c>
      <c r="L1680" s="523" t="s">
        <v>12842</v>
      </c>
      <c r="M1680" s="471"/>
      <c r="N1680" s="505"/>
      <c r="Q1680" s="472"/>
      <c r="R1680" s="472"/>
      <c r="S1680" s="472"/>
      <c r="T1680" s="472"/>
      <c r="U1680" s="472"/>
      <c r="V1680" s="472"/>
      <c r="W1680" s="472"/>
      <c r="X1680" s="472"/>
      <c r="Y1680" s="472"/>
    </row>
    <row r="1681" spans="1:25" x14ac:dyDescent="0.25">
      <c r="A1681" s="463"/>
      <c r="B1681" s="506">
        <v>88315</v>
      </c>
      <c r="C1681" s="507"/>
      <c r="D1681" s="508"/>
      <c r="E1681" s="509" t="str">
        <f>IF($C1681="",IFERROR(VLOOKUP($B1681,SERVIÇOS!$B:$G,2,0),IFERROR(VLOOKUP($B1681,$D:$K,2,0),"")),IFERROR(VLOOKUP($C1681,INSUMOS!$A:$D,2,0),IFERROR(VLOOKUP($C1681,COTAÇÕES!$B:$I,2,0),(VLOOKUP($C1681,'INSUMO SINAPI - SP'!$C:$F,2,0)))))</f>
        <v>SERRALHEIRO COM ENCARGOS COMPLEMENTARES</v>
      </c>
      <c r="F1681" s="510" t="str">
        <f>IF($C1681="",IFERROR(VLOOKUP($B1681,SERVIÇOS!$B:$G,3,0),IFERROR(VLOOKUP($B1681,$D:$K,3,0),"")),IFERROR(VLOOKUP($C1681,INSUMOS!$A:$D,3,0),IFERROR(VLOOKUP($C1681,COTAÇÕES!$B:$I,3,0),(VLOOKUP($C1681,'INSUMO SINAPI - SP'!$C:$F,3,0)))))</f>
        <v>H</v>
      </c>
      <c r="G1681" s="511">
        <v>0.5</v>
      </c>
      <c r="H1681" s="512">
        <f>IF($C1681="",IFERROR(VLOOKUP($B1681,SERVIÇOS!$B:$G,6,0),IFERROR(VLOOKUP($B1681,$D:$K,8,0),"")),IFERROR(VLOOKUP($C1681,INSUMOS!$A:$D,4,0),IFERROR(VLOOKUP($C1681,COTAÇÕES!$B:$I,7,0),(VLOOKUP($C1681,'INSUMO SINAPI - SP'!$C:$F,4,0)))))</f>
        <v>36.65</v>
      </c>
      <c r="I1681" s="513">
        <f>TRUNC(IF($C1681="",IFERROR(VLOOKUP($B1681,SERVIÇOS!$B:$G,4,0),IFERROR(VLOOKUP($B1681,$D:$K,6,0),)),IFERROR(VLOOKUP($C1681,INSUMOS!$A:$D,4,0),IFERROR(VLOOKUP($C1681,COTAÇÕES!$B:$I,7,0),(VLOOKUP($C1681,'INSUMO SINAPI - SP'!$C:$F,4,0)))))*$G1681,2)</f>
        <v>4.6399999999999997</v>
      </c>
      <c r="J1681" s="513">
        <f>TRUNC(IF($C1681="",IFERROR(VLOOKUP($B1681,SERVIÇOS!$B:$G,5,0),IFERROR(VLOOKUP($B1681,$D:$K,7,0),)),0)*$G1681,2)</f>
        <v>13.68</v>
      </c>
      <c r="K1681" s="514">
        <f>I1681+J1681</f>
        <v>18.32</v>
      </c>
      <c r="L1681" s="515"/>
      <c r="M1681" s="471"/>
      <c r="N1681" s="516"/>
      <c r="Q1681" s="472"/>
      <c r="R1681" s="472"/>
      <c r="S1681" s="472"/>
      <c r="T1681" s="472"/>
      <c r="U1681" s="472"/>
      <c r="V1681" s="472"/>
      <c r="W1681" s="472"/>
      <c r="X1681" s="472"/>
      <c r="Y1681" s="472"/>
    </row>
    <row r="1682" spans="1:25" x14ac:dyDescent="0.25">
      <c r="A1682" s="463"/>
      <c r="B1682" s="506">
        <v>88251</v>
      </c>
      <c r="C1682" s="507"/>
      <c r="D1682" s="508"/>
      <c r="E1682" s="509" t="str">
        <f>IF($C1682="",IFERROR(VLOOKUP($B1682,SERVIÇOS!$B:$G,2,0),IFERROR(VLOOKUP($B1682,$D:$K,2,0),"")),IFERROR(VLOOKUP($C1682,INSUMOS!$A:$D,2,0),IFERROR(VLOOKUP($C1682,COTAÇÕES!$B:$I,2,0),(VLOOKUP($C1682,'INSUMO SINAPI - SP'!$C:$F,2,0)))))</f>
        <v>AUXILIAR DE SERRALHEIRO COM ENCARGOS COMPLEMENTARES</v>
      </c>
      <c r="F1682" s="510" t="str">
        <f>IF($C1682="",IFERROR(VLOOKUP($B1682,SERVIÇOS!$B:$G,3,0),IFERROR(VLOOKUP($B1682,$D:$K,3,0),"")),IFERROR(VLOOKUP($C1682,INSUMOS!$A:$D,3,0),IFERROR(VLOOKUP($C1682,COTAÇÕES!$B:$I,3,0),(VLOOKUP($C1682,'INSUMO SINAPI - SP'!$C:$F,3,0)))))</f>
        <v>H</v>
      </c>
      <c r="G1682" s="511">
        <v>0.5</v>
      </c>
      <c r="H1682" s="512">
        <f>IF($C1682="",IFERROR(VLOOKUP($B1682,SERVIÇOS!$B:$G,6,0),IFERROR(VLOOKUP($B1682,$D:$K,8,0),"")),IFERROR(VLOOKUP($C1682,INSUMOS!$A:$D,4,0),IFERROR(VLOOKUP($C1682,COTAÇÕES!$B:$I,7,0),(VLOOKUP($C1682,'INSUMO SINAPI - SP'!$C:$F,4,0)))))</f>
        <v>30.23</v>
      </c>
      <c r="I1682" s="513">
        <f>TRUNC(IF($C1682="",IFERROR(VLOOKUP($B1682,SERVIÇOS!$B:$G,4,0),IFERROR(VLOOKUP($B1682,$D:$K,6,0),)),IFERROR(VLOOKUP($C1682,INSUMOS!$A:$D,4,0),IFERROR(VLOOKUP($C1682,COTAÇÕES!$B:$I,7,0),(VLOOKUP($C1682,'INSUMO SINAPI - SP'!$C:$F,4,0)))))*$G1682,2)</f>
        <v>4.6399999999999997</v>
      </c>
      <c r="J1682" s="513">
        <f>TRUNC(IF($C1682="",IFERROR(VLOOKUP($B1682,SERVIÇOS!$B:$G,5,0),IFERROR(VLOOKUP($B1682,$D:$K,7,0),)),0)*$G1682,2)</f>
        <v>10.47</v>
      </c>
      <c r="K1682" s="514">
        <f>I1682+J1682</f>
        <v>15.11</v>
      </c>
      <c r="L1682" s="515"/>
      <c r="M1682" s="471"/>
      <c r="N1682" s="516"/>
      <c r="Q1682" s="472"/>
      <c r="R1682" s="472"/>
      <c r="S1682" s="472"/>
      <c r="T1682" s="472"/>
      <c r="U1682" s="472"/>
      <c r="V1682" s="472"/>
      <c r="W1682" s="472"/>
      <c r="X1682" s="472"/>
      <c r="Y1682" s="472"/>
    </row>
    <row r="1683" spans="1:25" ht="60" x14ac:dyDescent="0.25">
      <c r="A1683" s="463"/>
      <c r="B1683" s="506"/>
      <c r="C1683" s="507" t="s">
        <v>13432</v>
      </c>
      <c r="D1683" s="557"/>
      <c r="E1683" s="509" t="str">
        <f>IF($C1683="",IFERROR(VLOOKUP($B1683,SERVIÇOS!$B:$G,2,0),IFERROR(VLOOKUP($B1683,$D:$K,2,0),"")),IFERROR(VLOOKUP($C1683,INSUMOS!$A:$D,2,0),IFERROR(VLOOKUP($C1683,COTAÇÕES!$B:$I,2,0),(VLOOKUP($C1683,'INSUMO SINAPI - SP'!$C:$F,2,0)))))</f>
        <v>TRANSDUTOR DE TEMPERATURA E UMIDADE PARA MONTAGEM EM DUTOS IP65. CERTIFICADO DE CALIBRAÇÃO. O OUTPUT DEVE CONTER NO MÍNIMO O TBS E A UR. A PRECISÃO DEVE SER DE ±2 % NA MEDIÇÃO DE UR E DE ±0.2 °C NA MEDIÇÃO DE TEMPERATURA. SAÍDAS MODBUS E ANALÓGICA 4-20 MA.
REF. VAISALA HMD110 OU EQUIVALENTE TÉCNICO DWYER, IMI, BELIMO, AERIS</v>
      </c>
      <c r="F1683" s="510" t="str">
        <f>IF($C1683="",IFERROR(VLOOKUP($B1683,SERVIÇOS!$B:$G,3,0),IFERROR(VLOOKUP($B1683,$D:$K,3,0),"")),IFERROR(VLOOKUP($C1683,INSUMOS!$A:$D,3,0),IFERROR(VLOOKUP($C1683,COTAÇÕES!$B:$I,3,0),(VLOOKUP($C1683,'INSUMO SINAPI - SP'!$C:$F,3,0)))))</f>
        <v>UN</v>
      </c>
      <c r="G1683" s="511">
        <v>1</v>
      </c>
      <c r="H1683" s="512">
        <f>IF($C1683="",IFERROR(VLOOKUP($B1683,SERVIÇOS!$B:$G,6,0),IFERROR(VLOOKUP($B1683,$D:$K,8,0),"")),IFERROR(VLOOKUP($C1683,INSUMOS!$A:$D,4,0),IFERROR(VLOOKUP($C1683,COTAÇÕES!$B:$I,8,0),(VLOOKUP($C1683,'INSUMO SINAPI - SP'!$C:$F,4,0)))))</f>
        <v>6483.9312249999994</v>
      </c>
      <c r="I1683" s="513">
        <f>TRUNC(IF($C1683="",IFERROR(VLOOKUP($B1683,SERVIÇOS!$B:$G,4,0),IFERROR(VLOOKUP($B1683,$D:$K,6,0),)),IFERROR(VLOOKUP($C1683,INSUMOS!$A:$D,4,0),IFERROR(VLOOKUP($C1683,COTAÇÕES!$B:$I,8,0),(VLOOKUP($C1683,'INSUMO SINAPI - SP'!$C:$F,4,0)))))*$G1683,2)</f>
        <v>6483.93</v>
      </c>
      <c r="J1683" s="513"/>
      <c r="K1683" s="514">
        <f>I1683+J1683</f>
        <v>6483.93</v>
      </c>
      <c r="L1683" s="517" t="s">
        <v>12878</v>
      </c>
      <c r="M1683" s="471"/>
      <c r="N1683" s="516"/>
      <c r="Q1683" s="472"/>
      <c r="R1683" s="472"/>
      <c r="S1683" s="472"/>
      <c r="T1683" s="472"/>
      <c r="U1683" s="472"/>
      <c r="V1683" s="472"/>
      <c r="W1683" s="472"/>
      <c r="X1683" s="472"/>
      <c r="Y1683" s="472"/>
    </row>
    <row r="1684" spans="1:25" ht="60" x14ac:dyDescent="0.25">
      <c r="A1684" s="463"/>
      <c r="B1684" s="498"/>
      <c r="C1684" s="498"/>
      <c r="D1684" s="499" t="s">
        <v>12495</v>
      </c>
      <c r="E1684" s="529" t="s">
        <v>13433</v>
      </c>
      <c r="F1684" s="501" t="s">
        <v>580</v>
      </c>
      <c r="G1684" s="502"/>
      <c r="H1684" s="503"/>
      <c r="I1684" s="504">
        <f>ROUND(SUM(I1685:I1687),2)</f>
        <v>1531.7</v>
      </c>
      <c r="J1684" s="504">
        <f>ROUND(SUM(J1685:J1687),2)</f>
        <v>24.15</v>
      </c>
      <c r="K1684" s="504">
        <f>+J1684+I1684</f>
        <v>1555.8500000000001</v>
      </c>
      <c r="L1684" s="523" t="s">
        <v>12842</v>
      </c>
      <c r="M1684" s="471"/>
      <c r="N1684" s="505"/>
      <c r="Q1684" s="472"/>
      <c r="R1684" s="472"/>
      <c r="S1684" s="472"/>
      <c r="T1684" s="472"/>
      <c r="U1684" s="472"/>
      <c r="V1684" s="472"/>
      <c r="W1684" s="472"/>
      <c r="X1684" s="472"/>
      <c r="Y1684" s="472"/>
    </row>
    <row r="1685" spans="1:25" x14ac:dyDescent="0.25">
      <c r="A1685" s="463"/>
      <c r="B1685" s="506">
        <v>88315</v>
      </c>
      <c r="C1685" s="507"/>
      <c r="D1685" s="508"/>
      <c r="E1685" s="509" t="str">
        <f>IF($C1685="",IFERROR(VLOOKUP($B1685,SERVIÇOS!$B:$G,2,0),IFERROR(VLOOKUP($B1685,$D:$K,2,0),"")),IFERROR(VLOOKUP($C1685,INSUMOS!$A:$D,2,0),IFERROR(VLOOKUP($C1685,COTAÇÕES!$B:$I,2,0),(VLOOKUP($C1685,'INSUMO SINAPI - SP'!$C:$F,2,0)))))</f>
        <v>SERRALHEIRO COM ENCARGOS COMPLEMENTARES</v>
      </c>
      <c r="F1685" s="510" t="str">
        <f>IF($C1685="",IFERROR(VLOOKUP($B1685,SERVIÇOS!$B:$G,3,0),IFERROR(VLOOKUP($B1685,$D:$K,3,0),"")),IFERROR(VLOOKUP($C1685,INSUMOS!$A:$D,3,0),IFERROR(VLOOKUP($C1685,COTAÇÕES!$B:$I,3,0),(VLOOKUP($C1685,'INSUMO SINAPI - SP'!$C:$F,3,0)))))</f>
        <v>H</v>
      </c>
      <c r="G1685" s="511">
        <v>0.5</v>
      </c>
      <c r="H1685" s="512">
        <f>IF($C1685="",IFERROR(VLOOKUP($B1685,SERVIÇOS!$B:$G,6,0),IFERROR(VLOOKUP($B1685,$D:$K,8,0),"")),IFERROR(VLOOKUP($C1685,INSUMOS!$A:$D,4,0),IFERROR(VLOOKUP($C1685,COTAÇÕES!$B:$I,7,0),(VLOOKUP($C1685,'INSUMO SINAPI - SP'!$C:$F,4,0)))))</f>
        <v>36.65</v>
      </c>
      <c r="I1685" s="513">
        <f>TRUNC(IF($C1685="",IFERROR(VLOOKUP($B1685,SERVIÇOS!$B:$G,4,0),IFERROR(VLOOKUP($B1685,$D:$K,6,0),)),IFERROR(VLOOKUP($C1685,INSUMOS!$A:$D,4,0),IFERROR(VLOOKUP($C1685,COTAÇÕES!$B:$I,7,0),(VLOOKUP($C1685,'INSUMO SINAPI - SP'!$C:$F,4,0)))))*$G1685,2)</f>
        <v>4.6399999999999997</v>
      </c>
      <c r="J1685" s="513">
        <f>TRUNC(IF($C1685="",IFERROR(VLOOKUP($B1685,SERVIÇOS!$B:$G,5,0),IFERROR(VLOOKUP($B1685,$D:$K,7,0),)),0)*$G1685,2)</f>
        <v>13.68</v>
      </c>
      <c r="K1685" s="514">
        <f>I1685+J1685</f>
        <v>18.32</v>
      </c>
      <c r="L1685" s="515"/>
      <c r="M1685" s="471"/>
      <c r="N1685" s="516"/>
      <c r="Q1685" s="472"/>
      <c r="R1685" s="472"/>
      <c r="S1685" s="472"/>
      <c r="T1685" s="472"/>
      <c r="U1685" s="472"/>
      <c r="V1685" s="472"/>
      <c r="W1685" s="472"/>
      <c r="X1685" s="472"/>
      <c r="Y1685" s="472"/>
    </row>
    <row r="1686" spans="1:25" x14ac:dyDescent="0.25">
      <c r="A1686" s="463"/>
      <c r="B1686" s="506">
        <v>88251</v>
      </c>
      <c r="C1686" s="507"/>
      <c r="D1686" s="508"/>
      <c r="E1686" s="509" t="str">
        <f>IF($C1686="",IFERROR(VLOOKUP($B1686,SERVIÇOS!$B:$G,2,0),IFERROR(VLOOKUP($B1686,$D:$K,2,0),"")),IFERROR(VLOOKUP($C1686,INSUMOS!$A:$D,2,0),IFERROR(VLOOKUP($C1686,COTAÇÕES!$B:$I,2,0),(VLOOKUP($C1686,'INSUMO SINAPI - SP'!$C:$F,2,0)))))</f>
        <v>AUXILIAR DE SERRALHEIRO COM ENCARGOS COMPLEMENTARES</v>
      </c>
      <c r="F1686" s="510" t="str">
        <f>IF($C1686="",IFERROR(VLOOKUP($B1686,SERVIÇOS!$B:$G,3,0),IFERROR(VLOOKUP($B1686,$D:$K,3,0),"")),IFERROR(VLOOKUP($C1686,INSUMOS!$A:$D,3,0),IFERROR(VLOOKUP($C1686,COTAÇÕES!$B:$I,3,0),(VLOOKUP($C1686,'INSUMO SINAPI - SP'!$C:$F,3,0)))))</f>
        <v>H</v>
      </c>
      <c r="G1686" s="511">
        <v>0.5</v>
      </c>
      <c r="H1686" s="512">
        <f>IF($C1686="",IFERROR(VLOOKUP($B1686,SERVIÇOS!$B:$G,6,0),IFERROR(VLOOKUP($B1686,$D:$K,8,0),"")),IFERROR(VLOOKUP($C1686,INSUMOS!$A:$D,4,0),IFERROR(VLOOKUP($C1686,COTAÇÕES!$B:$I,7,0),(VLOOKUP($C1686,'INSUMO SINAPI - SP'!$C:$F,4,0)))))</f>
        <v>30.23</v>
      </c>
      <c r="I1686" s="513">
        <f>TRUNC(IF($C1686="",IFERROR(VLOOKUP($B1686,SERVIÇOS!$B:$G,4,0),IFERROR(VLOOKUP($B1686,$D:$K,6,0),)),IFERROR(VLOOKUP($C1686,INSUMOS!$A:$D,4,0),IFERROR(VLOOKUP($C1686,COTAÇÕES!$B:$I,7,0),(VLOOKUP($C1686,'INSUMO SINAPI - SP'!$C:$F,4,0)))))*$G1686,2)</f>
        <v>4.6399999999999997</v>
      </c>
      <c r="J1686" s="513">
        <f>TRUNC(IF($C1686="",IFERROR(VLOOKUP($B1686,SERVIÇOS!$B:$G,5,0),IFERROR(VLOOKUP($B1686,$D:$K,7,0),)),0)*$G1686,2)</f>
        <v>10.47</v>
      </c>
      <c r="K1686" s="514">
        <f>I1686+J1686</f>
        <v>15.11</v>
      </c>
      <c r="L1686" s="515"/>
      <c r="M1686" s="471"/>
      <c r="N1686" s="516"/>
      <c r="Q1686" s="472"/>
      <c r="R1686" s="472"/>
      <c r="S1686" s="472"/>
      <c r="T1686" s="472"/>
      <c r="U1686" s="472"/>
      <c r="V1686" s="472"/>
      <c r="W1686" s="472"/>
      <c r="X1686" s="472"/>
      <c r="Y1686" s="472"/>
    </row>
    <row r="1687" spans="1:25" ht="60" x14ac:dyDescent="0.25">
      <c r="A1687" s="463"/>
      <c r="B1687" s="506"/>
      <c r="C1687" s="507" t="s">
        <v>13434</v>
      </c>
      <c r="D1687" s="557"/>
      <c r="E1687" s="509" t="str">
        <f>IF($C1687="",IFERROR(VLOOKUP($B1687,SERVIÇOS!$B:$G,2,0),IFERROR(VLOOKUP($B1687,$D:$K,2,0),"")),IFERROR(VLOOKUP($C1687,INSUMOS!$A:$D,2,0),IFERROR(VLOOKUP($C1687,COTAÇÕES!$B:$I,2,0),(VLOOKUP($C1687,'INSUMO SINAPI - SP'!$C:$F,2,0)))))</f>
        <v>TRANSDUTOR DE TEMPERATURA E UMIDADE PARA MONTAGEM NA PAREDE DO AMBIENTE (IP65). CERTIFICADO DE CALIBRAÇÃO. O OUTPUT DEVE CONTER NO MÍNIMO O TBS E A UR. A PRECISÃO DEVE SER DE ±1,7% NA MEDIÇÃO DE UR E DE ±0.2 °C NA MEDIÇÃO DE TEMPERATURA. SAÍDAS MODBUS E ANALÓGICA (4-20 MA). REF. VAISALA HMW90 UR+T OU EQUIVALENTE TÉCNICO (DWYER, IMI, BELIMO, AERIS...).</v>
      </c>
      <c r="F1687" s="510" t="str">
        <f>IF($C1687="",IFERROR(VLOOKUP($B1687,SERVIÇOS!$B:$G,3,0),IFERROR(VLOOKUP($B1687,$D:$K,3,0),"")),IFERROR(VLOOKUP($C1687,INSUMOS!$A:$D,3,0),IFERROR(VLOOKUP($C1687,COTAÇÕES!$B:$I,3,0),(VLOOKUP($C1687,'INSUMO SINAPI - SP'!$C:$F,3,0)))))</f>
        <v>UN</v>
      </c>
      <c r="G1687" s="511">
        <v>1</v>
      </c>
      <c r="H1687" s="512">
        <f>IF($C1687="",IFERROR(VLOOKUP($B1687,SERVIÇOS!$B:$G,6,0),IFERROR(VLOOKUP($B1687,$D:$K,8,0),"")),IFERROR(VLOOKUP($C1687,INSUMOS!$A:$D,4,0),IFERROR(VLOOKUP($C1687,COTAÇÕES!$B:$I,8,0),(VLOOKUP($C1687,'INSUMO SINAPI - SP'!$C:$F,4,0)))))</f>
        <v>1522.4269999999999</v>
      </c>
      <c r="I1687" s="513">
        <f>TRUNC(IF($C1687="",IFERROR(VLOOKUP($B1687,SERVIÇOS!$B:$G,4,0),IFERROR(VLOOKUP($B1687,$D:$K,6,0),)),IFERROR(VLOOKUP($C1687,INSUMOS!$A:$D,4,0),IFERROR(VLOOKUP($C1687,COTAÇÕES!$B:$I,8,0),(VLOOKUP($C1687,'INSUMO SINAPI - SP'!$C:$F,4,0)))))*$G1687,2)</f>
        <v>1522.42</v>
      </c>
      <c r="J1687" s="513"/>
      <c r="K1687" s="514">
        <f>I1687+J1687</f>
        <v>1522.42</v>
      </c>
      <c r="L1687" s="517" t="s">
        <v>12878</v>
      </c>
      <c r="M1687" s="471"/>
      <c r="N1687" s="516"/>
      <c r="Q1687" s="472"/>
      <c r="R1687" s="472"/>
      <c r="S1687" s="472"/>
      <c r="T1687" s="472"/>
      <c r="U1687" s="472"/>
      <c r="V1687" s="472"/>
      <c r="W1687" s="472"/>
      <c r="X1687" s="472"/>
      <c r="Y1687" s="472"/>
    </row>
    <row r="1688" spans="1:25" ht="60" x14ac:dyDescent="0.25">
      <c r="A1688" s="463"/>
      <c r="B1688" s="498"/>
      <c r="C1688" s="498"/>
      <c r="D1688" s="499" t="s">
        <v>12498</v>
      </c>
      <c r="E1688" s="529" t="s">
        <v>13435</v>
      </c>
      <c r="F1688" s="501" t="s">
        <v>580</v>
      </c>
      <c r="G1688" s="502"/>
      <c r="H1688" s="503"/>
      <c r="I1688" s="504">
        <f>ROUND(SUM(I1689:I1691),2)</f>
        <v>1472.2</v>
      </c>
      <c r="J1688" s="504">
        <f>ROUND(SUM(J1689:J1691),2)</f>
        <v>24.15</v>
      </c>
      <c r="K1688" s="504">
        <f>+J1688+I1688</f>
        <v>1496.3500000000001</v>
      </c>
      <c r="L1688" s="523" t="s">
        <v>12842</v>
      </c>
      <c r="M1688" s="471"/>
      <c r="N1688" s="505"/>
      <c r="Q1688" s="472"/>
      <c r="R1688" s="472"/>
      <c r="S1688" s="472"/>
      <c r="T1688" s="472"/>
      <c r="U1688" s="472"/>
      <c r="V1688" s="472"/>
      <c r="W1688" s="472"/>
      <c r="X1688" s="472"/>
      <c r="Y1688" s="472"/>
    </row>
    <row r="1689" spans="1:25" x14ac:dyDescent="0.25">
      <c r="A1689" s="463"/>
      <c r="B1689" s="506">
        <v>88315</v>
      </c>
      <c r="C1689" s="507"/>
      <c r="D1689" s="508"/>
      <c r="E1689" s="509" t="str">
        <f>IF($C1689="",IFERROR(VLOOKUP($B1689,SERVIÇOS!$B:$G,2,0),IFERROR(VLOOKUP($B1689,$D:$K,2,0),"")),IFERROR(VLOOKUP($C1689,INSUMOS!$A:$D,2,0),IFERROR(VLOOKUP($C1689,COTAÇÕES!$B:$I,2,0),(VLOOKUP($C1689,'INSUMO SINAPI - SP'!$C:$F,2,0)))))</f>
        <v>SERRALHEIRO COM ENCARGOS COMPLEMENTARES</v>
      </c>
      <c r="F1689" s="510" t="str">
        <f>IF($C1689="",IFERROR(VLOOKUP($B1689,SERVIÇOS!$B:$G,3,0),IFERROR(VLOOKUP($B1689,$D:$K,3,0),"")),IFERROR(VLOOKUP($C1689,INSUMOS!$A:$D,3,0),IFERROR(VLOOKUP($C1689,COTAÇÕES!$B:$I,3,0),(VLOOKUP($C1689,'INSUMO SINAPI - SP'!$C:$F,3,0)))))</f>
        <v>H</v>
      </c>
      <c r="G1689" s="511">
        <v>0.5</v>
      </c>
      <c r="H1689" s="512">
        <f>IF($C1689="",IFERROR(VLOOKUP($B1689,SERVIÇOS!$B:$G,6,0),IFERROR(VLOOKUP($B1689,$D:$K,8,0),"")),IFERROR(VLOOKUP($C1689,INSUMOS!$A:$D,4,0),IFERROR(VLOOKUP($C1689,COTAÇÕES!$B:$I,7,0),(VLOOKUP($C1689,'INSUMO SINAPI - SP'!$C:$F,4,0)))))</f>
        <v>36.65</v>
      </c>
      <c r="I1689" s="513">
        <f>TRUNC(IF($C1689="",IFERROR(VLOOKUP($B1689,SERVIÇOS!$B:$G,4,0),IFERROR(VLOOKUP($B1689,$D:$K,6,0),)),IFERROR(VLOOKUP($C1689,INSUMOS!$A:$D,4,0),IFERROR(VLOOKUP($C1689,COTAÇÕES!$B:$I,7,0),(VLOOKUP($C1689,'INSUMO SINAPI - SP'!$C:$F,4,0)))))*$G1689,2)</f>
        <v>4.6399999999999997</v>
      </c>
      <c r="J1689" s="513">
        <f>TRUNC(IF($C1689="",IFERROR(VLOOKUP($B1689,SERVIÇOS!$B:$G,5,0),IFERROR(VLOOKUP($B1689,$D:$K,7,0),)),0)*$G1689,2)</f>
        <v>13.68</v>
      </c>
      <c r="K1689" s="514">
        <f>I1689+J1689</f>
        <v>18.32</v>
      </c>
      <c r="L1689" s="515"/>
      <c r="M1689" s="471"/>
      <c r="N1689" s="516"/>
      <c r="Q1689" s="472"/>
      <c r="R1689" s="472"/>
      <c r="S1689" s="472"/>
      <c r="T1689" s="472"/>
      <c r="U1689" s="472"/>
      <c r="V1689" s="472"/>
      <c r="W1689" s="472"/>
      <c r="X1689" s="472"/>
      <c r="Y1689" s="472"/>
    </row>
    <row r="1690" spans="1:25" x14ac:dyDescent="0.25">
      <c r="A1690" s="463"/>
      <c r="B1690" s="506">
        <v>88251</v>
      </c>
      <c r="C1690" s="507"/>
      <c r="D1690" s="508"/>
      <c r="E1690" s="509" t="str">
        <f>IF($C1690="",IFERROR(VLOOKUP($B1690,SERVIÇOS!$B:$G,2,0),IFERROR(VLOOKUP($B1690,$D:$K,2,0),"")),IFERROR(VLOOKUP($C1690,INSUMOS!$A:$D,2,0),IFERROR(VLOOKUP($C1690,COTAÇÕES!$B:$I,2,0),(VLOOKUP($C1690,'INSUMO SINAPI - SP'!$C:$F,2,0)))))</f>
        <v>AUXILIAR DE SERRALHEIRO COM ENCARGOS COMPLEMENTARES</v>
      </c>
      <c r="F1690" s="510" t="str">
        <f>IF($C1690="",IFERROR(VLOOKUP($B1690,SERVIÇOS!$B:$G,3,0),IFERROR(VLOOKUP($B1690,$D:$K,3,0),"")),IFERROR(VLOOKUP($C1690,INSUMOS!$A:$D,3,0),IFERROR(VLOOKUP($C1690,COTAÇÕES!$B:$I,3,0),(VLOOKUP($C1690,'INSUMO SINAPI - SP'!$C:$F,3,0)))))</f>
        <v>H</v>
      </c>
      <c r="G1690" s="511">
        <v>0.5</v>
      </c>
      <c r="H1690" s="512">
        <f>IF($C1690="",IFERROR(VLOOKUP($B1690,SERVIÇOS!$B:$G,6,0),IFERROR(VLOOKUP($B1690,$D:$K,8,0),"")),IFERROR(VLOOKUP($C1690,INSUMOS!$A:$D,4,0),IFERROR(VLOOKUP($C1690,COTAÇÕES!$B:$I,7,0),(VLOOKUP($C1690,'INSUMO SINAPI - SP'!$C:$F,4,0)))))</f>
        <v>30.23</v>
      </c>
      <c r="I1690" s="513">
        <f>TRUNC(IF($C1690="",IFERROR(VLOOKUP($B1690,SERVIÇOS!$B:$G,4,0),IFERROR(VLOOKUP($B1690,$D:$K,6,0),)),IFERROR(VLOOKUP($C1690,INSUMOS!$A:$D,4,0),IFERROR(VLOOKUP($C1690,COTAÇÕES!$B:$I,7,0),(VLOOKUP($C1690,'INSUMO SINAPI - SP'!$C:$F,4,0)))))*$G1690,2)</f>
        <v>4.6399999999999997</v>
      </c>
      <c r="J1690" s="513">
        <f>TRUNC(IF($C1690="",IFERROR(VLOOKUP($B1690,SERVIÇOS!$B:$G,5,0),IFERROR(VLOOKUP($B1690,$D:$K,7,0),)),0)*$G1690,2)</f>
        <v>10.47</v>
      </c>
      <c r="K1690" s="514">
        <f>I1690+J1690</f>
        <v>15.11</v>
      </c>
      <c r="L1690" s="515"/>
      <c r="M1690" s="471"/>
      <c r="N1690" s="516"/>
      <c r="Q1690" s="472"/>
      <c r="R1690" s="472"/>
      <c r="S1690" s="472"/>
      <c r="T1690" s="472"/>
      <c r="U1690" s="472"/>
      <c r="V1690" s="472"/>
      <c r="W1690" s="472"/>
      <c r="X1690" s="472"/>
      <c r="Y1690" s="472"/>
    </row>
    <row r="1691" spans="1:25" ht="60" x14ac:dyDescent="0.25">
      <c r="A1691" s="463"/>
      <c r="B1691" s="506"/>
      <c r="C1691" s="507" t="s">
        <v>13436</v>
      </c>
      <c r="D1691" s="557"/>
      <c r="E1691" s="509" t="str">
        <f>IF($C1691="",IFERROR(VLOOKUP($B1691,SERVIÇOS!$B:$G,2,0),IFERROR(VLOOKUP($B1691,$D:$K,2,0),"")),IFERROR(VLOOKUP($C1691,INSUMOS!$A:$D,2,0),IFERROR(VLOOKUP($C1691,COTAÇÕES!$B:$I,2,0),(VLOOKUP($C1691,'INSUMO SINAPI - SP'!$C:$F,2,0)))))</f>
        <v>MONITOR/TRANSDUTOR PRESSÃO RELATIVA COM DISPLAY DIGITAL PARA MONTAGEM EM PAREDE (IP20). DEVE POSSUIR UMA INTERFACE GRÁFICA AO USUÁRIO QUE PERMITA O ACESSO A CONFIGURAÇÕES DE PRESSÃO, SEGURANÇA, CALIBRAÇÃO E ALARMES. A PRECISÃO DEVE SER DE ±12,5PA NA MEDIÇÃO DE PRESSÃO RELATIVA. DEVE OPERAR EM 24VAC. REF. DWYER RSM OU EQUIVALENTE TÉCNICO (VAISALA, IMI, BELIMO, AERIS...).</v>
      </c>
      <c r="F1691" s="510" t="str">
        <f>IF($C1691="",IFERROR(VLOOKUP($B1691,SERVIÇOS!$B:$G,3,0),IFERROR(VLOOKUP($B1691,$D:$K,3,0),"")),IFERROR(VLOOKUP($C1691,INSUMOS!$A:$D,3,0),IFERROR(VLOOKUP($C1691,COTAÇÕES!$B:$I,3,0),(VLOOKUP($C1691,'INSUMO SINAPI - SP'!$C:$F,3,0)))))</f>
        <v>UN</v>
      </c>
      <c r="G1691" s="511">
        <v>1</v>
      </c>
      <c r="H1691" s="512">
        <f>IF($C1691="",IFERROR(VLOOKUP($B1691,SERVIÇOS!$B:$G,6,0),IFERROR(VLOOKUP($B1691,$D:$K,8,0),"")),IFERROR(VLOOKUP($C1691,INSUMOS!$A:$D,4,0),IFERROR(VLOOKUP($C1691,COTAÇÕES!$B:$I,8,0),(VLOOKUP($C1691,'INSUMO SINAPI - SP'!$C:$F,4,0)))))</f>
        <v>1462.9208000000001</v>
      </c>
      <c r="I1691" s="513">
        <f>TRUNC(IF($C1691="",IFERROR(VLOOKUP($B1691,SERVIÇOS!$B:$G,4,0),IFERROR(VLOOKUP($B1691,$D:$K,6,0),)),IFERROR(VLOOKUP($C1691,INSUMOS!$A:$D,4,0),IFERROR(VLOOKUP($C1691,COTAÇÕES!$B:$I,8,0),(VLOOKUP($C1691,'INSUMO SINAPI - SP'!$C:$F,4,0)))))*$G1691,2)</f>
        <v>1462.92</v>
      </c>
      <c r="J1691" s="513"/>
      <c r="K1691" s="514">
        <f>I1691+J1691</f>
        <v>1462.92</v>
      </c>
      <c r="L1691" s="517" t="s">
        <v>12878</v>
      </c>
      <c r="M1691" s="471"/>
      <c r="N1691" s="516"/>
      <c r="Q1691" s="472"/>
      <c r="R1691" s="472"/>
      <c r="S1691" s="472"/>
      <c r="T1691" s="472"/>
      <c r="U1691" s="472"/>
      <c r="V1691" s="472"/>
      <c r="W1691" s="472"/>
      <c r="X1691" s="472"/>
      <c r="Y1691" s="472"/>
    </row>
    <row r="1692" spans="1:25" ht="24" x14ac:dyDescent="0.25">
      <c r="A1692" s="463"/>
      <c r="B1692" s="498"/>
      <c r="C1692" s="498"/>
      <c r="D1692" s="499" t="s">
        <v>12411</v>
      </c>
      <c r="E1692" s="500" t="s">
        <v>13437</v>
      </c>
      <c r="F1692" s="501" t="s">
        <v>580</v>
      </c>
      <c r="G1692" s="502"/>
      <c r="H1692" s="503"/>
      <c r="I1692" s="504">
        <f>ROUND(SUM(I1693:I1695),2)</f>
        <v>25257.040000000001</v>
      </c>
      <c r="J1692" s="504">
        <f>ROUND(SUM(J1693:J1695),2)</f>
        <v>452.48</v>
      </c>
      <c r="K1692" s="504">
        <f>+J1692+I1692</f>
        <v>25709.52</v>
      </c>
      <c r="L1692" s="523" t="s">
        <v>13319</v>
      </c>
      <c r="M1692" s="471"/>
      <c r="N1692" s="505"/>
      <c r="Q1692" s="472"/>
      <c r="R1692" s="472"/>
      <c r="S1692" s="472"/>
      <c r="T1692" s="472"/>
      <c r="U1692" s="472"/>
      <c r="V1692" s="472"/>
      <c r="W1692" s="472"/>
      <c r="X1692" s="472"/>
      <c r="Y1692" s="472"/>
    </row>
    <row r="1693" spans="1:25" ht="24" x14ac:dyDescent="0.25">
      <c r="A1693" s="463"/>
      <c r="B1693" s="506"/>
      <c r="C1693" s="507" t="s">
        <v>13438</v>
      </c>
      <c r="D1693" s="508"/>
      <c r="E1693" s="509" t="str">
        <f>IF($C1693="",IFERROR(VLOOKUP($B1693,SERVIÇOS!$B:$G,2,0),IFERROR(VLOOKUP($B1693,$D:$K,2,0),"")),IFERROR(VLOOKUP($C1693,INSUMOS!$A:$D,2,0),IFERROR(VLOOKUP($C1693,COTAÇÕES!$B:$I,2,0),(VLOOKUP($C1693,'INSUMO SINAPI - SP'!$C:$F,2,0)))))</f>
        <v>CONTROLE CENTRALIZADO - BACNET INTERFACE-INTEGRATED CONTROL SYSTEM CONENECTING VRV SYSTEM WITH BMS SYSTEM. REFERÊNCIA: DAIKIN DMS502B51</v>
      </c>
      <c r="F1693" s="510" t="str">
        <f>IF($C1693="",IFERROR(VLOOKUP($B1693,SERVIÇOS!$B:$G,3,0),IFERROR(VLOOKUP($B1693,$D:$K,3,0),"")),IFERROR(VLOOKUP($C1693,INSUMOS!$A:$D,3,0),IFERROR(VLOOKUP($C1693,COTAÇÕES!$B:$I,3,0),(VLOOKUP($C1693,'INSUMO SINAPI - SP'!$C:$F,3,0)))))</f>
        <v>UN</v>
      </c>
      <c r="G1693" s="511">
        <v>1</v>
      </c>
      <c r="H1693" s="512">
        <f>IF($C1693="",IFERROR(VLOOKUP($B1693,SERVIÇOS!$B:$G,6,0),IFERROR(VLOOKUP($B1693,$D:$K,8,0),"")),IFERROR(VLOOKUP($C1693,INSUMOS!$A:$D,4,0),IFERROR(VLOOKUP($C1693,COTAÇÕES!$B:$I,8,0),(VLOOKUP($C1693,'INSUMO SINAPI - SP'!$C:$F,4,0)))))</f>
        <v>25108</v>
      </c>
      <c r="I1693" s="513">
        <f>TRUNC(IF($C1693="",IFERROR(VLOOKUP($B1693,SERVIÇOS!$B:$G,4,0),IFERROR(VLOOKUP($B1693,$D:$K,6,0),)),IFERROR(VLOOKUP($C1693,INSUMOS!$A:$D,4,0),IFERROR(VLOOKUP($C1693,COTAÇÕES!$B:$I,8,0),(VLOOKUP($C1693,'INSUMO SINAPI - SP'!$C:$F,4,0)))))*$G1693,2)</f>
        <v>25108</v>
      </c>
      <c r="J1693" s="513"/>
      <c r="K1693" s="514">
        <f>I1693+J1693</f>
        <v>25108</v>
      </c>
      <c r="L1693" s="517" t="s">
        <v>12878</v>
      </c>
      <c r="M1693" s="471"/>
      <c r="N1693" s="516"/>
      <c r="Q1693" s="472"/>
      <c r="R1693" s="472"/>
      <c r="S1693" s="472"/>
      <c r="T1693" s="472"/>
      <c r="U1693" s="472"/>
      <c r="V1693" s="472"/>
      <c r="W1693" s="472"/>
      <c r="X1693" s="472"/>
      <c r="Y1693" s="472"/>
    </row>
    <row r="1694" spans="1:25" x14ac:dyDescent="0.25">
      <c r="A1694" s="463"/>
      <c r="B1694" s="506">
        <v>88266</v>
      </c>
      <c r="C1694" s="507"/>
      <c r="D1694" s="508"/>
      <c r="E1694" s="509" t="str">
        <f>IF($C1694="",IFERROR(VLOOKUP($B1694,SERVIÇOS!$B:$G,2,0),IFERROR(VLOOKUP($B1694,$D:$K,2,0),"")),IFERROR(VLOOKUP($C1694,INSUMOS!$A:$D,2,0),IFERROR(VLOOKUP($C1694,COTAÇÕES!$B:$I,2,0),(VLOOKUP($C1694,'INSUMO SINAPI - SP'!$C:$F,2,0)))))</f>
        <v>ELETROTÉCNICO COM ENCARGOS COMPLEMENTARES</v>
      </c>
      <c r="F1694" s="510" t="str">
        <f>IF($C1694="",IFERROR(VLOOKUP($B1694,SERVIÇOS!$B:$G,3,0),IFERROR(VLOOKUP($B1694,$D:$K,3,0),"")),IFERROR(VLOOKUP($C1694,INSUMOS!$A:$D,3,0),IFERROR(VLOOKUP($C1694,COTAÇÕES!$B:$I,3,0),(VLOOKUP($C1694,'INSUMO SINAPI - SP'!$C:$F,3,0)))))</f>
        <v>H</v>
      </c>
      <c r="G1694" s="511">
        <v>8</v>
      </c>
      <c r="H1694" s="512">
        <f>IF($C1694="",IFERROR(VLOOKUP($B1694,SERVIÇOS!$B:$G,6,0),IFERROR(VLOOKUP($B1694,$D:$K,8,0),"")),IFERROR(VLOOKUP($C1694,INSUMOS!$A:$D,4,0),IFERROR(VLOOKUP($C1694,COTAÇÕES!$B:$I,7,0),(VLOOKUP($C1694,'INSUMO SINAPI - SP'!$C:$F,4,0)))))</f>
        <v>44.39</v>
      </c>
      <c r="I1694" s="513">
        <f>TRUNC(IF($C1694="",IFERROR(VLOOKUP($B1694,SERVIÇOS!$B:$G,4,0),IFERROR(VLOOKUP($B1694,$D:$K,6,0),)),IFERROR(VLOOKUP($C1694,INSUMOS!$A:$D,4,0),IFERROR(VLOOKUP($C1694,COTAÇÕES!$B:$I,7,0),(VLOOKUP($C1694,'INSUMO SINAPI - SP'!$C:$F,4,0)))))*$G1694,2)</f>
        <v>74.48</v>
      </c>
      <c r="J1694" s="513">
        <f>TRUNC(IF($C1694="",IFERROR(VLOOKUP($B1694,SERVIÇOS!$B:$G,5,0),IFERROR(VLOOKUP($B1694,$D:$K,7,0),)),0)*$G1694,2)</f>
        <v>280.64</v>
      </c>
      <c r="K1694" s="514">
        <f>I1694+J1694</f>
        <v>355.12</v>
      </c>
      <c r="L1694" s="515"/>
      <c r="M1694" s="471"/>
      <c r="N1694" s="516"/>
      <c r="Q1694" s="472"/>
      <c r="R1694" s="472"/>
      <c r="S1694" s="472"/>
      <c r="T1694" s="472"/>
      <c r="U1694" s="472"/>
      <c r="V1694" s="472"/>
      <c r="W1694" s="472"/>
      <c r="X1694" s="472"/>
      <c r="Y1694" s="472"/>
    </row>
    <row r="1695" spans="1:25" x14ac:dyDescent="0.25">
      <c r="A1695" s="463"/>
      <c r="B1695" s="506">
        <v>88247</v>
      </c>
      <c r="C1695" s="507"/>
      <c r="D1695" s="508"/>
      <c r="E1695" s="509" t="str">
        <f>IF($C1695="",IFERROR(VLOOKUP($B1695,SERVIÇOS!$B:$G,2,0),IFERROR(VLOOKUP($B1695,$D:$K,2,0),"")),IFERROR(VLOOKUP($C1695,INSUMOS!$A:$D,2,0),IFERROR(VLOOKUP($C1695,COTAÇÕES!$B:$I,2,0),(VLOOKUP($C1695,'INSUMO SINAPI - SP'!$C:$F,2,0)))))</f>
        <v>AUXILIAR DE ELETRICISTA COM ENCARGOS COMPLEMENTARES</v>
      </c>
      <c r="F1695" s="510" t="str">
        <f>IF($C1695="",IFERROR(VLOOKUP($B1695,SERVIÇOS!$B:$G,3,0),IFERROR(VLOOKUP($B1695,$D:$K,3,0),"")),IFERROR(VLOOKUP($C1695,INSUMOS!$A:$D,3,0),IFERROR(VLOOKUP($C1695,COTAÇÕES!$B:$I,3,0),(VLOOKUP($C1695,'INSUMO SINAPI - SP'!$C:$F,3,0)))))</f>
        <v>H</v>
      </c>
      <c r="G1695" s="511">
        <v>8</v>
      </c>
      <c r="H1695" s="512">
        <f>IF($C1695="",IFERROR(VLOOKUP($B1695,SERVIÇOS!$B:$G,6,0),IFERROR(VLOOKUP($B1695,$D:$K,8,0),"")),IFERROR(VLOOKUP($C1695,INSUMOS!$A:$D,4,0),IFERROR(VLOOKUP($C1695,COTAÇÕES!$B:$I,7,0),(VLOOKUP($C1695,'INSUMO SINAPI - SP'!$C:$F,4,0)))))</f>
        <v>30.8</v>
      </c>
      <c r="I1695" s="513">
        <f>TRUNC(IF($C1695="",IFERROR(VLOOKUP($B1695,SERVIÇOS!$B:$G,4,0),IFERROR(VLOOKUP($B1695,$D:$K,6,0),)),IFERROR(VLOOKUP($C1695,INSUMOS!$A:$D,4,0),IFERROR(VLOOKUP($C1695,COTAÇÕES!$B:$I,7,0),(VLOOKUP($C1695,'INSUMO SINAPI - SP'!$C:$F,4,0)))))*$G1695,2)</f>
        <v>74.56</v>
      </c>
      <c r="J1695" s="513">
        <f>TRUNC(IF($C1695="",IFERROR(VLOOKUP($B1695,SERVIÇOS!$B:$G,5,0),IFERROR(VLOOKUP($B1695,$D:$K,7,0),)),0)*$G1695,2)</f>
        <v>171.84</v>
      </c>
      <c r="K1695" s="514">
        <f>I1695+J1695</f>
        <v>246.4</v>
      </c>
      <c r="L1695" s="515"/>
      <c r="M1695" s="471"/>
      <c r="N1695" s="516"/>
      <c r="Q1695" s="472"/>
      <c r="R1695" s="472"/>
      <c r="S1695" s="472"/>
      <c r="T1695" s="472"/>
      <c r="U1695" s="472"/>
      <c r="V1695" s="472"/>
      <c r="W1695" s="472"/>
      <c r="X1695" s="472"/>
      <c r="Y1695" s="472"/>
    </row>
    <row r="1696" spans="1:25" x14ac:dyDescent="0.25">
      <c r="A1696" s="463"/>
      <c r="B1696" s="498"/>
      <c r="C1696" s="498"/>
      <c r="D1696" s="499" t="s">
        <v>12408</v>
      </c>
      <c r="E1696" s="500" t="s">
        <v>13439</v>
      </c>
      <c r="F1696" s="501" t="s">
        <v>823</v>
      </c>
      <c r="G1696" s="502"/>
      <c r="H1696" s="503"/>
      <c r="I1696" s="504">
        <f>ROUND(SUM(I1697:I1699),2)</f>
        <v>132.83000000000001</v>
      </c>
      <c r="J1696" s="504">
        <f>ROUND(SUM(J1697:J1699),2)</f>
        <v>237.78</v>
      </c>
      <c r="K1696" s="504">
        <f>+J1696+I1696</f>
        <v>370.61</v>
      </c>
      <c r="L1696" s="523"/>
      <c r="M1696" s="471"/>
      <c r="N1696" s="505"/>
      <c r="Q1696" s="472"/>
      <c r="R1696" s="472"/>
      <c r="S1696" s="472"/>
      <c r="T1696" s="472"/>
      <c r="U1696" s="472"/>
      <c r="V1696" s="472"/>
      <c r="W1696" s="472"/>
      <c r="X1696" s="472"/>
      <c r="Y1696" s="472"/>
    </row>
    <row r="1697" spans="1:25" x14ac:dyDescent="0.25">
      <c r="A1697" s="463"/>
      <c r="B1697" s="506"/>
      <c r="C1697" s="507" t="s">
        <v>13440</v>
      </c>
      <c r="D1697" s="508"/>
      <c r="E1697" s="518" t="s">
        <v>13439</v>
      </c>
      <c r="F1697" s="519" t="s">
        <v>13441</v>
      </c>
      <c r="G1697" s="511">
        <v>1</v>
      </c>
      <c r="H1697" s="520">
        <v>43.42</v>
      </c>
      <c r="I1697" s="520">
        <f>TRUNC(H1697*G1697,2)</f>
        <v>43.42</v>
      </c>
      <c r="J1697" s="521"/>
      <c r="K1697" s="522">
        <f>I1697+J1697</f>
        <v>43.42</v>
      </c>
      <c r="L1697" s="517" t="s">
        <v>12668</v>
      </c>
      <c r="M1697" s="471"/>
      <c r="N1697" s="516"/>
      <c r="Q1697" s="472"/>
      <c r="R1697" s="472"/>
      <c r="S1697" s="472"/>
      <c r="T1697" s="472"/>
      <c r="U1697" s="472"/>
      <c r="V1697" s="472"/>
      <c r="W1697" s="472"/>
      <c r="X1697" s="472"/>
      <c r="Y1697" s="472"/>
    </row>
    <row r="1698" spans="1:25" x14ac:dyDescent="0.25">
      <c r="A1698" s="463"/>
      <c r="B1698" s="506">
        <v>88264</v>
      </c>
      <c r="C1698" s="507"/>
      <c r="D1698" s="508"/>
      <c r="E1698" s="509" t="str">
        <f>IF($C1698="",IFERROR(VLOOKUP($B1698,SERVIÇOS!$B:$G,2,0),IFERROR(VLOOKUP($B1698,$D:$K,2,0),"")),IFERROR(VLOOKUP($C1698,INSUMOS!$A:$D,2,0),IFERROR(VLOOKUP($C1698,COTAÇÕES!$B:$I,2,0),(VLOOKUP($C1698,'INSUMO SINAPI - SP'!$C:$F,2,0)))))</f>
        <v>ELETRICISTA COM ENCARGOS COMPLEMENTARES</v>
      </c>
      <c r="F1698" s="510" t="str">
        <f>IF($C1698="",IFERROR(VLOOKUP($B1698,SERVIÇOS!$B:$G,3,0),IFERROR(VLOOKUP($B1698,$D:$K,3,0),"")),IFERROR(VLOOKUP($C1698,INSUMOS!$A:$D,3,0),IFERROR(VLOOKUP($C1698,COTAÇÕES!$B:$I,3,0),(VLOOKUP($C1698,'INSUMO SINAPI - SP'!$C:$F,3,0)))))</f>
        <v>H</v>
      </c>
      <c r="G1698" s="511">
        <v>4.8</v>
      </c>
      <c r="H1698" s="512">
        <f>IF($C1698="",IFERROR(VLOOKUP($B1698,SERVIÇOS!$B:$G,6,0),IFERROR(VLOOKUP($B1698,$D:$K,8,0),"")),IFERROR(VLOOKUP($C1698,INSUMOS!$A:$D,4,0),IFERROR(VLOOKUP($C1698,COTAÇÕES!$B:$I,7,0),(VLOOKUP($C1698,'INSUMO SINAPI - SP'!$C:$F,4,0)))))</f>
        <v>37.369999999999997</v>
      </c>
      <c r="I1698" s="513">
        <f>TRUNC(IF($C1698="",IFERROR(VLOOKUP($B1698,SERVIÇOS!$B:$G,4,0),IFERROR(VLOOKUP($B1698,$D:$K,6,0),)),IFERROR(VLOOKUP($C1698,INSUMOS!$A:$D,4,0),IFERROR(VLOOKUP($C1698,COTAÇÕES!$B:$I,7,0),(VLOOKUP($C1698,'INSUMO SINAPI - SP'!$C:$F,4,0)))))*$G1698,2)</f>
        <v>44.68</v>
      </c>
      <c r="J1698" s="513">
        <f>TRUNC(IF($C1698="",IFERROR(VLOOKUP($B1698,SERVIÇOS!$B:$G,5,0),IFERROR(VLOOKUP($B1698,$D:$K,7,0),)),0)*$G1698,2)</f>
        <v>134.68</v>
      </c>
      <c r="K1698" s="514">
        <f>I1698+J1698</f>
        <v>179.36</v>
      </c>
      <c r="L1698" s="515"/>
      <c r="M1698" s="471"/>
      <c r="N1698" s="516"/>
      <c r="Q1698" s="472"/>
      <c r="R1698" s="472"/>
      <c r="S1698" s="472"/>
      <c r="T1698" s="472"/>
      <c r="U1698" s="472"/>
      <c r="V1698" s="472"/>
      <c r="W1698" s="472"/>
      <c r="X1698" s="472"/>
      <c r="Y1698" s="472"/>
    </row>
    <row r="1699" spans="1:25" x14ac:dyDescent="0.25">
      <c r="A1699" s="463"/>
      <c r="B1699" s="506">
        <v>88247</v>
      </c>
      <c r="C1699" s="507"/>
      <c r="D1699" s="508"/>
      <c r="E1699" s="509" t="str">
        <f>IF($C1699="",IFERROR(VLOOKUP($B1699,SERVIÇOS!$B:$G,2,0),IFERROR(VLOOKUP($B1699,$D:$K,2,0),"")),IFERROR(VLOOKUP($C1699,INSUMOS!$A:$D,2,0),IFERROR(VLOOKUP($C1699,COTAÇÕES!$B:$I,2,0),(VLOOKUP($C1699,'INSUMO SINAPI - SP'!$C:$F,2,0)))))</f>
        <v>AUXILIAR DE ELETRICISTA COM ENCARGOS COMPLEMENTARES</v>
      </c>
      <c r="F1699" s="510" t="str">
        <f>IF($C1699="",IFERROR(VLOOKUP($B1699,SERVIÇOS!$B:$G,3,0),IFERROR(VLOOKUP($B1699,$D:$K,3,0),"")),IFERROR(VLOOKUP($C1699,INSUMOS!$A:$D,3,0),IFERROR(VLOOKUP($C1699,COTAÇÕES!$B:$I,3,0),(VLOOKUP($C1699,'INSUMO SINAPI - SP'!$C:$F,3,0)))))</f>
        <v>H</v>
      </c>
      <c r="G1699" s="511">
        <v>4.8</v>
      </c>
      <c r="H1699" s="512">
        <f>IF($C1699="",IFERROR(VLOOKUP($B1699,SERVIÇOS!$B:$G,6,0),IFERROR(VLOOKUP($B1699,$D:$K,8,0),"")),IFERROR(VLOOKUP($C1699,INSUMOS!$A:$D,4,0),IFERROR(VLOOKUP($C1699,COTAÇÕES!$B:$I,7,0),(VLOOKUP($C1699,'INSUMO SINAPI - SP'!$C:$F,4,0)))))</f>
        <v>30.8</v>
      </c>
      <c r="I1699" s="513">
        <f>TRUNC(IF($C1699="",IFERROR(VLOOKUP($B1699,SERVIÇOS!$B:$G,4,0),IFERROR(VLOOKUP($B1699,$D:$K,6,0),)),IFERROR(VLOOKUP($C1699,INSUMOS!$A:$D,4,0),IFERROR(VLOOKUP($C1699,COTAÇÕES!$B:$I,7,0),(VLOOKUP($C1699,'INSUMO SINAPI - SP'!$C:$F,4,0)))))*$G1699,2)</f>
        <v>44.73</v>
      </c>
      <c r="J1699" s="513">
        <f>TRUNC(IF($C1699="",IFERROR(VLOOKUP($B1699,SERVIÇOS!$B:$G,5,0),IFERROR(VLOOKUP($B1699,$D:$K,7,0),)),0)*$G1699,2)</f>
        <v>103.1</v>
      </c>
      <c r="K1699" s="514">
        <f>I1699+J1699</f>
        <v>147.82999999999998</v>
      </c>
      <c r="L1699" s="515"/>
      <c r="M1699" s="471"/>
      <c r="N1699" s="516"/>
      <c r="Q1699" s="472"/>
      <c r="R1699" s="472"/>
      <c r="S1699" s="472"/>
      <c r="T1699" s="472"/>
      <c r="U1699" s="472"/>
      <c r="V1699" s="472"/>
      <c r="W1699" s="472"/>
      <c r="X1699" s="472"/>
      <c r="Y1699" s="472"/>
    </row>
    <row r="1700" spans="1:25" x14ac:dyDescent="0.25">
      <c r="A1700" s="463"/>
      <c r="B1700" s="498"/>
      <c r="C1700" s="498"/>
      <c r="D1700" s="499" t="s">
        <v>12413</v>
      </c>
      <c r="E1700" s="500" t="s">
        <v>13442</v>
      </c>
      <c r="F1700" s="501" t="s">
        <v>585</v>
      </c>
      <c r="G1700" s="502"/>
      <c r="H1700" s="503"/>
      <c r="I1700" s="504">
        <f>SUM(I1701:I1703)</f>
        <v>6.9399999999999995</v>
      </c>
      <c r="J1700" s="504">
        <f>SUM(J1701:J1703)</f>
        <v>4.9399999999999995</v>
      </c>
      <c r="K1700" s="504">
        <f>+J1700+I1700</f>
        <v>11.879999999999999</v>
      </c>
      <c r="L1700" s="523" t="s">
        <v>13443</v>
      </c>
      <c r="M1700" s="471"/>
      <c r="N1700" s="505"/>
      <c r="Q1700" s="472"/>
      <c r="R1700" s="472"/>
      <c r="S1700" s="472"/>
      <c r="T1700" s="472"/>
      <c r="U1700" s="472"/>
      <c r="V1700" s="472"/>
      <c r="W1700" s="472"/>
      <c r="X1700" s="472"/>
      <c r="Y1700" s="472"/>
    </row>
    <row r="1701" spans="1:25" x14ac:dyDescent="0.25">
      <c r="A1701" s="463"/>
      <c r="B1701" s="506"/>
      <c r="C1701" s="507">
        <v>5154</v>
      </c>
      <c r="D1701" s="508"/>
      <c r="E1701" s="518" t="s">
        <v>13444</v>
      </c>
      <c r="F1701" s="519" t="s">
        <v>585</v>
      </c>
      <c r="G1701" s="511">
        <v>1.02</v>
      </c>
      <c r="H1701" s="512">
        <v>4.99</v>
      </c>
      <c r="I1701" s="520">
        <f>TRUNC(H1701*G1701,2)</f>
        <v>5.08</v>
      </c>
      <c r="J1701" s="521"/>
      <c r="K1701" s="522">
        <f>I1701+J1701</f>
        <v>5.08</v>
      </c>
      <c r="L1701" s="517" t="s">
        <v>13445</v>
      </c>
      <c r="M1701" s="471"/>
      <c r="N1701" s="516"/>
      <c r="Q1701" s="472"/>
      <c r="R1701" s="472"/>
      <c r="S1701" s="472"/>
      <c r="T1701" s="472"/>
      <c r="U1701" s="472"/>
      <c r="V1701" s="472"/>
      <c r="W1701" s="472"/>
      <c r="X1701" s="472"/>
      <c r="Y1701" s="472"/>
    </row>
    <row r="1702" spans="1:25" x14ac:dyDescent="0.25">
      <c r="A1702" s="463"/>
      <c r="B1702" s="506">
        <v>88264</v>
      </c>
      <c r="C1702" s="507"/>
      <c r="D1702" s="508"/>
      <c r="E1702" s="509" t="str">
        <f>IF($C1702="",IFERROR(VLOOKUP($B1702,SERVIÇOS!$B:$G,2,0),IFERROR(VLOOKUP($B1702,$D:$K,2,0),"")),IFERROR(VLOOKUP($C1702,INSUMOS!$A:$D,2,0),IFERROR(VLOOKUP($C1702,COTAÇÕES!$B:$I,2,0),(VLOOKUP($C1702,'INSUMO SINAPI - SP'!$C:$F,2,0)))))</f>
        <v>ELETRICISTA COM ENCARGOS COMPLEMENTARES</v>
      </c>
      <c r="F1702" s="510" t="str">
        <f>IF($C1702="",IFERROR(VLOOKUP($B1702,SERVIÇOS!$B:$G,3,0),IFERROR(VLOOKUP($B1702,$D:$K,3,0),"")),IFERROR(VLOOKUP($C1702,INSUMOS!$A:$D,3,0),IFERROR(VLOOKUP($C1702,COTAÇÕES!$B:$I,3,0),(VLOOKUP($C1702,'INSUMO SINAPI - SP'!$C:$F,3,0)))))</f>
        <v>H</v>
      </c>
      <c r="G1702" s="511">
        <v>0.1</v>
      </c>
      <c r="H1702" s="512">
        <f>IF($C1702="",IFERROR(VLOOKUP($B1702,SERVIÇOS!$B:$G,6,0),IFERROR(VLOOKUP($B1702,$D:$K,8,0),"")),IFERROR(VLOOKUP($C1702,INSUMOS!$A:$D,4,0),IFERROR(VLOOKUP($C1702,COTAÇÕES!$B:$I,7,0),(VLOOKUP($C1702,'INSUMO SINAPI - SP'!$C:$F,4,0)))))</f>
        <v>37.369999999999997</v>
      </c>
      <c r="I1702" s="513">
        <f>TRUNC(IF($C1702="",IFERROR(VLOOKUP($B1702,SERVIÇOS!$B:$G,4,0),IFERROR(VLOOKUP($B1702,$D:$K,6,0),)),IFERROR(VLOOKUP($C1702,INSUMOS!$A:$D,4,0),IFERROR(VLOOKUP($C1702,COTAÇÕES!$B:$I,7,0),(VLOOKUP($C1702,'INSUMO SINAPI - SP'!$C:$F,4,0)))))*$G1702,2)</f>
        <v>0.93</v>
      </c>
      <c r="J1702" s="513">
        <f>TRUNC(IF($C1702="",IFERROR(VLOOKUP($B1702,SERVIÇOS!$B:$G,5,0),IFERROR(VLOOKUP($B1702,$D:$K,7,0),)),0)*$G1702,2)</f>
        <v>2.8</v>
      </c>
      <c r="K1702" s="514">
        <f>I1702+J1702</f>
        <v>3.73</v>
      </c>
      <c r="L1702" s="515"/>
      <c r="M1702" s="471"/>
      <c r="N1702" s="516"/>
      <c r="Q1702" s="472"/>
      <c r="R1702" s="472"/>
      <c r="S1702" s="472"/>
      <c r="T1702" s="472"/>
      <c r="U1702" s="472"/>
      <c r="V1702" s="472"/>
      <c r="W1702" s="472"/>
      <c r="X1702" s="472"/>
      <c r="Y1702" s="472"/>
    </row>
    <row r="1703" spans="1:25" x14ac:dyDescent="0.25">
      <c r="A1703" s="463"/>
      <c r="B1703" s="506">
        <v>88247</v>
      </c>
      <c r="C1703" s="507"/>
      <c r="D1703" s="508"/>
      <c r="E1703" s="509" t="str">
        <f>IF($C1703="",IFERROR(VLOOKUP($B1703,SERVIÇOS!$B:$G,2,0),IFERROR(VLOOKUP($B1703,$D:$K,2,0),"")),IFERROR(VLOOKUP($C1703,INSUMOS!$A:$D,2,0),IFERROR(VLOOKUP($C1703,COTAÇÕES!$B:$I,2,0),(VLOOKUP($C1703,'INSUMO SINAPI - SP'!$C:$F,2,0)))))</f>
        <v>AUXILIAR DE ELETRICISTA COM ENCARGOS COMPLEMENTARES</v>
      </c>
      <c r="F1703" s="510" t="str">
        <f>IF($C1703="",IFERROR(VLOOKUP($B1703,SERVIÇOS!$B:$G,3,0),IFERROR(VLOOKUP($B1703,$D:$K,3,0),"")),IFERROR(VLOOKUP($C1703,INSUMOS!$A:$D,3,0),IFERROR(VLOOKUP($C1703,COTAÇÕES!$B:$I,3,0),(VLOOKUP($C1703,'INSUMO SINAPI - SP'!$C:$F,3,0)))))</f>
        <v>H</v>
      </c>
      <c r="G1703" s="511">
        <v>0.1</v>
      </c>
      <c r="H1703" s="512">
        <f>IF($C1703="",IFERROR(VLOOKUP($B1703,SERVIÇOS!$B:$G,6,0),IFERROR(VLOOKUP($B1703,$D:$K,8,0),"")),IFERROR(VLOOKUP($C1703,INSUMOS!$A:$D,4,0),IFERROR(VLOOKUP($C1703,COTAÇÕES!$B:$I,7,0),(VLOOKUP($C1703,'INSUMO SINAPI - SP'!$C:$F,4,0)))))</f>
        <v>30.8</v>
      </c>
      <c r="I1703" s="513">
        <f>TRUNC(IF($C1703="",IFERROR(VLOOKUP($B1703,SERVIÇOS!$B:$G,4,0),IFERROR(VLOOKUP($B1703,$D:$K,6,0),)),IFERROR(VLOOKUP($C1703,INSUMOS!$A:$D,4,0),IFERROR(VLOOKUP($C1703,COTAÇÕES!$B:$I,7,0),(VLOOKUP($C1703,'INSUMO SINAPI - SP'!$C:$F,4,0)))))*$G1703,2)</f>
        <v>0.93</v>
      </c>
      <c r="J1703" s="513">
        <f>TRUNC(IF($C1703="",IFERROR(VLOOKUP($B1703,SERVIÇOS!$B:$G,5,0),IFERROR(VLOOKUP($B1703,$D:$K,7,0),)),0)*$G1703,2)</f>
        <v>2.14</v>
      </c>
      <c r="K1703" s="514">
        <f>I1703+J1703</f>
        <v>3.0700000000000003</v>
      </c>
      <c r="L1703" s="515"/>
      <c r="M1703" s="471"/>
      <c r="N1703" s="516"/>
      <c r="Q1703" s="472"/>
      <c r="R1703" s="472"/>
      <c r="S1703" s="472"/>
      <c r="T1703" s="472"/>
      <c r="U1703" s="472"/>
      <c r="V1703" s="472"/>
      <c r="W1703" s="472"/>
      <c r="X1703" s="472"/>
      <c r="Y1703" s="472"/>
    </row>
    <row r="1704" spans="1:25" x14ac:dyDescent="0.25">
      <c r="A1704" s="463"/>
      <c r="B1704" s="498"/>
      <c r="C1704" s="498"/>
      <c r="D1704" s="499" t="s">
        <v>12234</v>
      </c>
      <c r="E1704" s="555" t="s">
        <v>13446</v>
      </c>
      <c r="F1704" s="501" t="s">
        <v>585</v>
      </c>
      <c r="G1704" s="502"/>
      <c r="H1704" s="503"/>
      <c r="I1704" s="504">
        <f>ROUND(SUM(I1705:I1707),2)</f>
        <v>129.66999999999999</v>
      </c>
      <c r="J1704" s="504">
        <f>ROUND(SUM(J1705:J1707),2)</f>
        <v>37.15</v>
      </c>
      <c r="K1704" s="504">
        <f>+J1704+I1704</f>
        <v>166.82</v>
      </c>
      <c r="L1704" s="523" t="s">
        <v>13447</v>
      </c>
      <c r="M1704" s="471"/>
      <c r="N1704" s="505"/>
      <c r="Q1704" s="472"/>
      <c r="R1704" s="472"/>
      <c r="S1704" s="472"/>
      <c r="T1704" s="472"/>
      <c r="U1704" s="472"/>
      <c r="V1704" s="472"/>
      <c r="W1704" s="472"/>
      <c r="X1704" s="472"/>
      <c r="Y1704" s="472"/>
    </row>
    <row r="1705" spans="1:25" x14ac:dyDescent="0.25">
      <c r="A1705" s="463"/>
      <c r="B1705" s="506">
        <v>88264</v>
      </c>
      <c r="C1705" s="507"/>
      <c r="D1705" s="508"/>
      <c r="E1705" s="509" t="str">
        <f>IF($C1705="",IFERROR(VLOOKUP($B1705,SERVIÇOS!$B:$G,2,0),IFERROR(VLOOKUP($B1705,$D:$K,2,0),"")),IFERROR(VLOOKUP($C1705,INSUMOS!$A:$D,2,0),IFERROR(VLOOKUP($C1705,COTAÇÕES!$B:$I,2,0),(VLOOKUP($C1705,'INSUMO SINAPI - SP'!$C:$F,2,0)))))</f>
        <v>ELETRICISTA COM ENCARGOS COMPLEMENTARES</v>
      </c>
      <c r="F1705" s="510" t="str">
        <f>IF($C1705="",IFERROR(VLOOKUP($B1705,SERVIÇOS!$B:$G,3,0),IFERROR(VLOOKUP($B1705,$D:$K,3,0),"")),IFERROR(VLOOKUP($C1705,INSUMOS!$A:$D,3,0),IFERROR(VLOOKUP($C1705,COTAÇÕES!$B:$I,3,0),(VLOOKUP($C1705,'INSUMO SINAPI - SP'!$C:$F,3,0)))))</f>
        <v>H</v>
      </c>
      <c r="G1705" s="511">
        <v>0.75</v>
      </c>
      <c r="H1705" s="512">
        <f>IF($C1705="",IFERROR(VLOOKUP($B1705,SERVIÇOS!$B:$G,6,0),IFERROR(VLOOKUP($B1705,$D:$K,8,0),"")),IFERROR(VLOOKUP($C1705,INSUMOS!$A:$D,4,0),IFERROR(VLOOKUP($C1705,COTAÇÕES!$B:$I,7,0),(VLOOKUP($C1705,'INSUMO SINAPI - SP'!$C:$F,4,0)))))</f>
        <v>37.369999999999997</v>
      </c>
      <c r="I1705" s="513">
        <f>TRUNC(IF($C1705="",IFERROR(VLOOKUP($B1705,SERVIÇOS!$B:$G,4,0),IFERROR(VLOOKUP($B1705,$D:$K,6,0),)),IFERROR(VLOOKUP($C1705,INSUMOS!$A:$D,4,0),IFERROR(VLOOKUP($C1705,COTAÇÕES!$B:$I,7,0),(VLOOKUP($C1705,'INSUMO SINAPI - SP'!$C:$F,4,0)))))*$G1705,2)</f>
        <v>6.98</v>
      </c>
      <c r="J1705" s="513">
        <f>TRUNC(IF($C1705="",IFERROR(VLOOKUP($B1705,SERVIÇOS!$B:$G,5,0),IFERROR(VLOOKUP($B1705,$D:$K,7,0),)),0)*$G1705,2)</f>
        <v>21.04</v>
      </c>
      <c r="K1705" s="514">
        <f>I1705+J1705</f>
        <v>28.02</v>
      </c>
      <c r="L1705" s="515"/>
      <c r="M1705" s="471"/>
      <c r="N1705" s="516"/>
      <c r="Q1705" s="472"/>
      <c r="R1705" s="472"/>
      <c r="S1705" s="472"/>
      <c r="T1705" s="472"/>
      <c r="U1705" s="472"/>
      <c r="V1705" s="472"/>
      <c r="W1705" s="472"/>
      <c r="X1705" s="472"/>
      <c r="Y1705" s="472"/>
    </row>
    <row r="1706" spans="1:25" x14ac:dyDescent="0.25">
      <c r="A1706" s="463"/>
      <c r="B1706" s="506">
        <v>88247</v>
      </c>
      <c r="C1706" s="507"/>
      <c r="D1706" s="508"/>
      <c r="E1706" s="509" t="str">
        <f>IF($C1706="",IFERROR(VLOOKUP($B1706,SERVIÇOS!$B:$G,2,0),IFERROR(VLOOKUP($B1706,$D:$K,2,0),"")),IFERROR(VLOOKUP($C1706,INSUMOS!$A:$D,2,0),IFERROR(VLOOKUP($C1706,COTAÇÕES!$B:$I,2,0),(VLOOKUP($C1706,'INSUMO SINAPI - SP'!$C:$F,2,0)))))</f>
        <v>AUXILIAR DE ELETRICISTA COM ENCARGOS COMPLEMENTARES</v>
      </c>
      <c r="F1706" s="510" t="str">
        <f>IF($C1706="",IFERROR(VLOOKUP($B1706,SERVIÇOS!$B:$G,3,0),IFERROR(VLOOKUP($B1706,$D:$K,3,0),"")),IFERROR(VLOOKUP($C1706,INSUMOS!$A:$D,3,0),IFERROR(VLOOKUP($C1706,COTAÇÕES!$B:$I,3,0),(VLOOKUP($C1706,'INSUMO SINAPI - SP'!$C:$F,3,0)))))</f>
        <v>H</v>
      </c>
      <c r="G1706" s="511">
        <v>0.75</v>
      </c>
      <c r="H1706" s="512">
        <f>IF($C1706="",IFERROR(VLOOKUP($B1706,SERVIÇOS!$B:$G,6,0),IFERROR(VLOOKUP($B1706,$D:$K,8,0),"")),IFERROR(VLOOKUP($C1706,INSUMOS!$A:$D,4,0),IFERROR(VLOOKUP($C1706,COTAÇÕES!$B:$I,7,0),(VLOOKUP($C1706,'INSUMO SINAPI - SP'!$C:$F,4,0)))))</f>
        <v>30.8</v>
      </c>
      <c r="I1706" s="513">
        <f>TRUNC(IF($C1706="",IFERROR(VLOOKUP($B1706,SERVIÇOS!$B:$G,4,0),IFERROR(VLOOKUP($B1706,$D:$K,6,0),)),IFERROR(VLOOKUP($C1706,INSUMOS!$A:$D,4,0),IFERROR(VLOOKUP($C1706,COTAÇÕES!$B:$I,7,0),(VLOOKUP($C1706,'INSUMO SINAPI - SP'!$C:$F,4,0)))))*$G1706,2)</f>
        <v>6.99</v>
      </c>
      <c r="J1706" s="513">
        <f>TRUNC(IF($C1706="",IFERROR(VLOOKUP($B1706,SERVIÇOS!$B:$G,5,0),IFERROR(VLOOKUP($B1706,$D:$K,7,0),)),0)*$G1706,2)</f>
        <v>16.11</v>
      </c>
      <c r="K1706" s="514">
        <f>I1706+J1706</f>
        <v>23.1</v>
      </c>
      <c r="L1706" s="515"/>
      <c r="M1706" s="471"/>
      <c r="N1706" s="516"/>
      <c r="Q1706" s="472"/>
      <c r="R1706" s="472"/>
      <c r="S1706" s="472"/>
      <c r="T1706" s="472"/>
      <c r="U1706" s="472"/>
      <c r="V1706" s="472"/>
      <c r="W1706" s="472"/>
      <c r="X1706" s="472"/>
      <c r="Y1706" s="472"/>
    </row>
    <row r="1707" spans="1:25" x14ac:dyDescent="0.25">
      <c r="A1707" s="463"/>
      <c r="B1707" s="506"/>
      <c r="C1707" s="507" t="s">
        <v>13448</v>
      </c>
      <c r="D1707" s="508"/>
      <c r="E1707" s="518" t="s">
        <v>13449</v>
      </c>
      <c r="F1707" s="519" t="s">
        <v>585</v>
      </c>
      <c r="G1707" s="511">
        <v>1.3</v>
      </c>
      <c r="H1707" s="520">
        <v>89</v>
      </c>
      <c r="I1707" s="520">
        <f>TRUNC(H1707*G1707,2)</f>
        <v>115.7</v>
      </c>
      <c r="J1707" s="521"/>
      <c r="K1707" s="522">
        <f>I1707+J1707</f>
        <v>115.7</v>
      </c>
      <c r="L1707" s="517" t="s">
        <v>12668</v>
      </c>
      <c r="M1707" s="471"/>
      <c r="N1707" s="516"/>
      <c r="Q1707" s="472"/>
      <c r="R1707" s="472"/>
      <c r="S1707" s="472"/>
      <c r="T1707" s="472"/>
      <c r="U1707" s="472"/>
      <c r="V1707" s="472"/>
      <c r="W1707" s="472"/>
      <c r="X1707" s="472"/>
      <c r="Y1707" s="472"/>
    </row>
    <row r="1708" spans="1:25" x14ac:dyDescent="0.25">
      <c r="A1708" s="463"/>
      <c r="B1708" s="498"/>
      <c r="C1708" s="498"/>
      <c r="D1708" s="499" t="s">
        <v>12327</v>
      </c>
      <c r="E1708" s="555" t="s">
        <v>13450</v>
      </c>
      <c r="F1708" s="501" t="s">
        <v>585</v>
      </c>
      <c r="G1708" s="502"/>
      <c r="H1708" s="503"/>
      <c r="I1708" s="504">
        <f>ROUND(SUM(I1709:I1712),2)</f>
        <v>1.94</v>
      </c>
      <c r="J1708" s="504">
        <f>ROUND(SUM(J1709:J1712),2)</f>
        <v>1.48</v>
      </c>
      <c r="K1708" s="504">
        <f>+J1708+I1708</f>
        <v>3.42</v>
      </c>
      <c r="L1708" s="523" t="s">
        <v>13096</v>
      </c>
      <c r="M1708" s="471"/>
      <c r="N1708" s="505"/>
      <c r="Q1708" s="472"/>
      <c r="R1708" s="472"/>
      <c r="S1708" s="472"/>
      <c r="T1708" s="472"/>
      <c r="U1708" s="472"/>
      <c r="V1708" s="472"/>
      <c r="W1708" s="472"/>
      <c r="X1708" s="472"/>
      <c r="Y1708" s="472"/>
    </row>
    <row r="1709" spans="1:25" x14ac:dyDescent="0.25">
      <c r="A1709" s="463"/>
      <c r="B1709" s="506">
        <v>88264</v>
      </c>
      <c r="C1709" s="507"/>
      <c r="D1709" s="508"/>
      <c r="E1709" s="509" t="str">
        <f>IF($C1709="",IFERROR(VLOOKUP($B1709,SERVIÇOS!$B:$G,2,0),IFERROR(VLOOKUP($B1709,$D:$K,2,0),"")),IFERROR(VLOOKUP($C1709,INSUMOS!$A:$D,2,0),IFERROR(VLOOKUP($C1709,COTAÇÕES!$B:$I,2,0),(VLOOKUP($C1709,'INSUMO SINAPI - SP'!$C:$F,2,0)))))</f>
        <v>ELETRICISTA COM ENCARGOS COMPLEMENTARES</v>
      </c>
      <c r="F1709" s="510" t="str">
        <f>IF($C1709="",IFERROR(VLOOKUP($B1709,SERVIÇOS!$B:$G,3,0),IFERROR(VLOOKUP($B1709,$D:$K,3,0),"")),IFERROR(VLOOKUP($C1709,INSUMOS!$A:$D,3,0),IFERROR(VLOOKUP($C1709,COTAÇÕES!$B:$I,3,0),(VLOOKUP($C1709,'INSUMO SINAPI - SP'!$C:$F,3,0)))))</f>
        <v>H</v>
      </c>
      <c r="G1709" s="511">
        <v>0.03</v>
      </c>
      <c r="H1709" s="512">
        <f>IF($C1709="",IFERROR(VLOOKUP($B1709,SERVIÇOS!$B:$G,6,0),IFERROR(VLOOKUP($B1709,$D:$K,8,0),"")),IFERROR(VLOOKUP($C1709,INSUMOS!$A:$D,4,0),IFERROR(VLOOKUP($C1709,COTAÇÕES!$B:$I,7,0),(VLOOKUP($C1709,'INSUMO SINAPI - SP'!$C:$F,4,0)))))</f>
        <v>37.369999999999997</v>
      </c>
      <c r="I1709" s="513">
        <f>TRUNC(IF($C1709="",IFERROR(VLOOKUP($B1709,SERVIÇOS!$B:$G,4,0),IFERROR(VLOOKUP($B1709,$D:$K,6,0),)),IFERROR(VLOOKUP($C1709,INSUMOS!$A:$D,4,0),IFERROR(VLOOKUP($C1709,COTAÇÕES!$B:$I,7,0),(VLOOKUP($C1709,'INSUMO SINAPI - SP'!$C:$F,4,0)))))*$G1709,2)</f>
        <v>0.27</v>
      </c>
      <c r="J1709" s="513">
        <f>TRUNC(IF($C1709="",IFERROR(VLOOKUP($B1709,SERVIÇOS!$B:$G,5,0),IFERROR(VLOOKUP($B1709,$D:$K,7,0),)),0)*$G1709,2)</f>
        <v>0.84</v>
      </c>
      <c r="K1709" s="514">
        <f>I1709+J1709</f>
        <v>1.1099999999999999</v>
      </c>
      <c r="L1709" s="515"/>
      <c r="M1709" s="471"/>
      <c r="N1709" s="516"/>
      <c r="Q1709" s="472"/>
      <c r="R1709" s="472"/>
      <c r="S1709" s="472"/>
      <c r="T1709" s="472"/>
      <c r="U1709" s="472"/>
      <c r="V1709" s="472"/>
      <c r="W1709" s="472"/>
      <c r="X1709" s="472"/>
      <c r="Y1709" s="472"/>
    </row>
    <row r="1710" spans="1:25" x14ac:dyDescent="0.25">
      <c r="A1710" s="463"/>
      <c r="B1710" s="506">
        <v>88247</v>
      </c>
      <c r="C1710" s="507"/>
      <c r="D1710" s="508"/>
      <c r="E1710" s="509" t="str">
        <f>IF($C1710="",IFERROR(VLOOKUP($B1710,SERVIÇOS!$B:$G,2,0),IFERROR(VLOOKUP($B1710,$D:$K,2,0),"")),IFERROR(VLOOKUP($C1710,INSUMOS!$A:$D,2,0),IFERROR(VLOOKUP($C1710,COTAÇÕES!$B:$I,2,0),(VLOOKUP($C1710,'INSUMO SINAPI - SP'!$C:$F,2,0)))))</f>
        <v>AUXILIAR DE ELETRICISTA COM ENCARGOS COMPLEMENTARES</v>
      </c>
      <c r="F1710" s="510" t="str">
        <f>IF($C1710="",IFERROR(VLOOKUP($B1710,SERVIÇOS!$B:$G,3,0),IFERROR(VLOOKUP($B1710,$D:$K,3,0),"")),IFERROR(VLOOKUP($C1710,INSUMOS!$A:$D,3,0),IFERROR(VLOOKUP($C1710,COTAÇÕES!$B:$I,3,0),(VLOOKUP($C1710,'INSUMO SINAPI - SP'!$C:$F,3,0)))))</f>
        <v>H</v>
      </c>
      <c r="G1710" s="511">
        <v>0.03</v>
      </c>
      <c r="H1710" s="512">
        <f>IF($C1710="",IFERROR(VLOOKUP($B1710,SERVIÇOS!$B:$G,6,0),IFERROR(VLOOKUP($B1710,$D:$K,8,0),"")),IFERROR(VLOOKUP($C1710,INSUMOS!$A:$D,4,0),IFERROR(VLOOKUP($C1710,COTAÇÕES!$B:$I,7,0),(VLOOKUP($C1710,'INSUMO SINAPI - SP'!$C:$F,4,0)))))</f>
        <v>30.8</v>
      </c>
      <c r="I1710" s="513">
        <f>TRUNC(IF($C1710="",IFERROR(VLOOKUP($B1710,SERVIÇOS!$B:$G,4,0),IFERROR(VLOOKUP($B1710,$D:$K,6,0),)),IFERROR(VLOOKUP($C1710,INSUMOS!$A:$D,4,0),IFERROR(VLOOKUP($C1710,COTAÇÕES!$B:$I,7,0),(VLOOKUP($C1710,'INSUMO SINAPI - SP'!$C:$F,4,0)))))*$G1710,2)</f>
        <v>0.27</v>
      </c>
      <c r="J1710" s="513">
        <f>TRUNC(IF($C1710="",IFERROR(VLOOKUP($B1710,SERVIÇOS!$B:$G,5,0),IFERROR(VLOOKUP($B1710,$D:$K,7,0),)),0)*$G1710,2)</f>
        <v>0.64</v>
      </c>
      <c r="K1710" s="514">
        <f>I1710+J1710</f>
        <v>0.91</v>
      </c>
      <c r="L1710" s="515"/>
      <c r="M1710" s="471"/>
      <c r="N1710" s="516"/>
      <c r="Q1710" s="472"/>
      <c r="R1710" s="472"/>
      <c r="S1710" s="472"/>
      <c r="T1710" s="472"/>
      <c r="U1710" s="472"/>
      <c r="V1710" s="472"/>
      <c r="W1710" s="472"/>
      <c r="X1710" s="472"/>
      <c r="Y1710" s="472"/>
    </row>
    <row r="1711" spans="1:25" x14ac:dyDescent="0.25">
      <c r="A1711" s="463"/>
      <c r="B1711" s="506"/>
      <c r="C1711" s="507" t="s">
        <v>13451</v>
      </c>
      <c r="D1711" s="508"/>
      <c r="E1711" s="518" t="s">
        <v>13452</v>
      </c>
      <c r="F1711" s="519" t="s">
        <v>585</v>
      </c>
      <c r="G1711" s="511">
        <v>1.19</v>
      </c>
      <c r="H1711" s="520">
        <v>1.1499999999999999</v>
      </c>
      <c r="I1711" s="520">
        <f>TRUNC(H1711*G1711,2)</f>
        <v>1.36</v>
      </c>
      <c r="J1711" s="521"/>
      <c r="K1711" s="522">
        <f>I1711+J1711</f>
        <v>1.36</v>
      </c>
      <c r="L1711" s="517" t="s">
        <v>12668</v>
      </c>
      <c r="M1711" s="471"/>
      <c r="N1711" s="516"/>
      <c r="Q1711" s="472"/>
      <c r="R1711" s="472"/>
      <c r="S1711" s="472"/>
      <c r="T1711" s="472"/>
      <c r="U1711" s="472"/>
      <c r="V1711" s="472"/>
      <c r="W1711" s="472"/>
      <c r="X1711" s="472"/>
      <c r="Y1711" s="472"/>
    </row>
    <row r="1712" spans="1:25" x14ac:dyDescent="0.25">
      <c r="A1712" s="463"/>
      <c r="B1712" s="506"/>
      <c r="C1712" s="507">
        <v>21127</v>
      </c>
      <c r="D1712" s="508"/>
      <c r="E1712" s="509" t="str">
        <f>IF($C1712="",IFERROR(VLOOKUP($B1712,SERVIÇOS!$B:$G,2,0),IFERROR(VLOOKUP($B1712,$D:$K,2,0),"")),IFERROR(VLOOKUP($C1712,INSUMOS!$A:$D,2,0),IFERROR(VLOOKUP($C1712,COTAÇÕES!$B:$I,2,0),(VLOOKUP($C1712,'INSUMO SINAPI - SP'!$C:$F,2,0)))))</f>
        <v>FITA ISOLANTE ADESIVA ANTICHAMA, USO ATE 750 V, EM ROLO DE 19 MM X 5 M</v>
      </c>
      <c r="F1712" s="510" t="str">
        <f>IF($C1712="",IFERROR(VLOOKUP($B1712,SERVIÇOS!$B:$G,3,0),IFERROR(VLOOKUP($B1712,$D:$K,3,0),"")),IFERROR(VLOOKUP($C1712,INSUMOS!$A:$D,3,0),IFERROR(VLOOKUP($C1712,COTAÇÕES!$B:$I,3,0),(VLOOKUP($C1712,'INSUMO SINAPI - SP'!$C:$F,3,0)))))</f>
        <v>UN</v>
      </c>
      <c r="G1712" s="511">
        <v>8.9999999999999993E-3</v>
      </c>
      <c r="H1712" s="512">
        <f>IF($C1712="",IFERROR(VLOOKUP($B1712,SERVIÇOS!$B:$G,6,0),IFERROR(VLOOKUP($B1712,$D:$K,8,0),"")),IFERROR(VLOOKUP($C1712,INSUMOS!$A:$D,4,0),IFERROR(VLOOKUP($C1712,COTAÇÕES!$B:$I,7,0),(VLOOKUP($C1712,'INSUMO SINAPI - SP'!$C:$F,4,0)))))</f>
        <v>5.27</v>
      </c>
      <c r="I1712" s="513">
        <f>TRUNC(IF($C1712="",IFERROR(VLOOKUP($B1712,SERVIÇOS!$B:$G,4,0),IFERROR(VLOOKUP($B1712,$D:$K,6,0),)),IFERROR(VLOOKUP($C1712,INSUMOS!$A:$D,4,0),IFERROR(VLOOKUP($C1712,COTAÇÕES!$B:$I,7,0),(VLOOKUP($C1712,'INSUMO SINAPI - SP'!$C:$F,4,0)))))*$G1712,2)</f>
        <v>0.04</v>
      </c>
      <c r="J1712" s="513">
        <f>TRUNC(IF($C1712="",IFERROR(VLOOKUP($B1712,SERVIÇOS!$B:$G,5,0),IFERROR(VLOOKUP($B1712,$D:$K,7,0),)),0)*$G1712,2)</f>
        <v>0</v>
      </c>
      <c r="K1712" s="514">
        <f>I1712+J1712</f>
        <v>0.04</v>
      </c>
      <c r="L1712" s="517"/>
      <c r="M1712" s="471"/>
      <c r="N1712" s="516"/>
      <c r="Q1712" s="472"/>
      <c r="R1712" s="472"/>
      <c r="S1712" s="472"/>
      <c r="T1712" s="472"/>
      <c r="U1712" s="472"/>
      <c r="V1712" s="472"/>
      <c r="W1712" s="472"/>
      <c r="X1712" s="472"/>
      <c r="Y1712" s="472"/>
    </row>
    <row r="1713" spans="1:25" x14ac:dyDescent="0.25">
      <c r="A1713" s="463"/>
      <c r="B1713" s="498"/>
      <c r="C1713" s="498"/>
      <c r="D1713" s="499" t="s">
        <v>12185</v>
      </c>
      <c r="E1713" s="555" t="s">
        <v>13453</v>
      </c>
      <c r="F1713" s="501" t="s">
        <v>580</v>
      </c>
      <c r="G1713" s="502"/>
      <c r="H1713" s="503"/>
      <c r="I1713" s="504">
        <f>ROUND(SUM(I1714:I1716),2)</f>
        <v>116.15</v>
      </c>
      <c r="J1713" s="504">
        <f>ROUND(SUM(J1714:J1716),2)</f>
        <v>14.85</v>
      </c>
      <c r="K1713" s="504">
        <f>+J1713+I1713</f>
        <v>131</v>
      </c>
      <c r="L1713" s="523" t="s">
        <v>13454</v>
      </c>
      <c r="M1713" s="471"/>
      <c r="N1713" s="505"/>
      <c r="Q1713" s="472"/>
      <c r="R1713" s="472"/>
      <c r="S1713" s="472"/>
      <c r="T1713" s="472"/>
      <c r="U1713" s="472"/>
      <c r="V1713" s="472"/>
      <c r="W1713" s="472"/>
      <c r="X1713" s="472"/>
      <c r="Y1713" s="472"/>
    </row>
    <row r="1714" spans="1:25" x14ac:dyDescent="0.25">
      <c r="A1714" s="463"/>
      <c r="B1714" s="506">
        <v>88264</v>
      </c>
      <c r="C1714" s="507"/>
      <c r="D1714" s="508"/>
      <c r="E1714" s="509" t="str">
        <f>IF($C1714="",IFERROR(VLOOKUP($B1714,SERVIÇOS!$B:$G,2,0),IFERROR(VLOOKUP($B1714,$D:$K,2,0),"")),IFERROR(VLOOKUP($C1714,INSUMOS!$A:$D,2,0),IFERROR(VLOOKUP($C1714,COTAÇÕES!$B:$I,2,0),(VLOOKUP($C1714,'INSUMO SINAPI - SP'!$C:$F,2,0)))))</f>
        <v>ELETRICISTA COM ENCARGOS COMPLEMENTARES</v>
      </c>
      <c r="F1714" s="510" t="str">
        <f>IF($C1714="",IFERROR(VLOOKUP($B1714,SERVIÇOS!$B:$G,3,0),IFERROR(VLOOKUP($B1714,$D:$K,3,0),"")),IFERROR(VLOOKUP($C1714,INSUMOS!$A:$D,3,0),IFERROR(VLOOKUP($C1714,COTAÇÕES!$B:$I,3,0),(VLOOKUP($C1714,'INSUMO SINAPI - SP'!$C:$F,3,0)))))</f>
        <v>H</v>
      </c>
      <c r="G1714" s="511">
        <v>0.3</v>
      </c>
      <c r="H1714" s="512">
        <f>IF($C1714="",IFERROR(VLOOKUP($B1714,SERVIÇOS!$B:$G,6,0),IFERROR(VLOOKUP($B1714,$D:$K,8,0),"")),IFERROR(VLOOKUP($C1714,INSUMOS!$A:$D,4,0),IFERROR(VLOOKUP($C1714,COTAÇÕES!$B:$I,7,0),(VLOOKUP($C1714,'INSUMO SINAPI - SP'!$C:$F,4,0)))))</f>
        <v>37.369999999999997</v>
      </c>
      <c r="I1714" s="513">
        <f>TRUNC(IF($C1714="",IFERROR(VLOOKUP($B1714,SERVIÇOS!$B:$G,4,0),IFERROR(VLOOKUP($B1714,$D:$K,6,0),)),IFERROR(VLOOKUP($C1714,INSUMOS!$A:$D,4,0),IFERROR(VLOOKUP($C1714,COTAÇÕES!$B:$I,7,0),(VLOOKUP($C1714,'INSUMO SINAPI - SP'!$C:$F,4,0)))))*$G1714,2)</f>
        <v>2.79</v>
      </c>
      <c r="J1714" s="513">
        <f>TRUNC(IF($C1714="",IFERROR(VLOOKUP($B1714,SERVIÇOS!$B:$G,5,0),IFERROR(VLOOKUP($B1714,$D:$K,7,0),)),0)*$G1714,2)</f>
        <v>8.41</v>
      </c>
      <c r="K1714" s="514">
        <f>I1714+J1714</f>
        <v>11.2</v>
      </c>
      <c r="L1714" s="515"/>
      <c r="M1714" s="471"/>
      <c r="N1714" s="516"/>
      <c r="Q1714" s="472"/>
      <c r="R1714" s="472"/>
      <c r="S1714" s="472"/>
      <c r="T1714" s="472"/>
      <c r="U1714" s="472"/>
      <c r="V1714" s="472"/>
      <c r="W1714" s="472"/>
      <c r="X1714" s="472"/>
      <c r="Y1714" s="472"/>
    </row>
    <row r="1715" spans="1:25" x14ac:dyDescent="0.25">
      <c r="A1715" s="463"/>
      <c r="B1715" s="506">
        <v>88247</v>
      </c>
      <c r="C1715" s="507"/>
      <c r="D1715" s="508"/>
      <c r="E1715" s="509" t="str">
        <f>IF($C1715="",IFERROR(VLOOKUP($B1715,SERVIÇOS!$B:$G,2,0),IFERROR(VLOOKUP($B1715,$D:$K,2,0),"")),IFERROR(VLOOKUP($C1715,INSUMOS!$A:$D,2,0),IFERROR(VLOOKUP($C1715,COTAÇÕES!$B:$I,2,0),(VLOOKUP($C1715,'INSUMO SINAPI - SP'!$C:$F,2,0)))))</f>
        <v>AUXILIAR DE ELETRICISTA COM ENCARGOS COMPLEMENTARES</v>
      </c>
      <c r="F1715" s="510" t="str">
        <f>IF($C1715="",IFERROR(VLOOKUP($B1715,SERVIÇOS!$B:$G,3,0),IFERROR(VLOOKUP($B1715,$D:$K,3,0),"")),IFERROR(VLOOKUP($C1715,INSUMOS!$A:$D,3,0),IFERROR(VLOOKUP($C1715,COTAÇÕES!$B:$I,3,0),(VLOOKUP($C1715,'INSUMO SINAPI - SP'!$C:$F,3,0)))))</f>
        <v>H</v>
      </c>
      <c r="G1715" s="511">
        <v>0.3</v>
      </c>
      <c r="H1715" s="512">
        <f>IF($C1715="",IFERROR(VLOOKUP($B1715,SERVIÇOS!$B:$G,6,0),IFERROR(VLOOKUP($B1715,$D:$K,8,0),"")),IFERROR(VLOOKUP($C1715,INSUMOS!$A:$D,4,0),IFERROR(VLOOKUP($C1715,COTAÇÕES!$B:$I,7,0),(VLOOKUP($C1715,'INSUMO SINAPI - SP'!$C:$F,4,0)))))</f>
        <v>30.8</v>
      </c>
      <c r="I1715" s="513">
        <f>TRUNC(IF($C1715="",IFERROR(VLOOKUP($B1715,SERVIÇOS!$B:$G,4,0),IFERROR(VLOOKUP($B1715,$D:$K,6,0),)),IFERROR(VLOOKUP($C1715,INSUMOS!$A:$D,4,0),IFERROR(VLOOKUP($C1715,COTAÇÕES!$B:$I,7,0),(VLOOKUP($C1715,'INSUMO SINAPI - SP'!$C:$F,4,0)))))*$G1715,2)</f>
        <v>2.79</v>
      </c>
      <c r="J1715" s="513">
        <f>TRUNC(IF($C1715="",IFERROR(VLOOKUP($B1715,SERVIÇOS!$B:$G,5,0),IFERROR(VLOOKUP($B1715,$D:$K,7,0),)),0)*$G1715,2)</f>
        <v>6.44</v>
      </c>
      <c r="K1715" s="514">
        <f>I1715+J1715</f>
        <v>9.23</v>
      </c>
      <c r="L1715" s="515"/>
      <c r="M1715" s="471"/>
      <c r="N1715" s="516"/>
      <c r="Q1715" s="472"/>
      <c r="R1715" s="472"/>
      <c r="S1715" s="472"/>
      <c r="T1715" s="472"/>
      <c r="U1715" s="472"/>
      <c r="V1715" s="472"/>
      <c r="W1715" s="472"/>
      <c r="X1715" s="472"/>
      <c r="Y1715" s="472"/>
    </row>
    <row r="1716" spans="1:25" ht="24" x14ac:dyDescent="0.25">
      <c r="A1716" s="463"/>
      <c r="B1716" s="506"/>
      <c r="C1716" s="507">
        <v>39471</v>
      </c>
      <c r="D1716" s="508"/>
      <c r="E1716" s="509" t="str">
        <f>IF($C1716="",IFERROR(VLOOKUP($B1716,SERVIÇOS!$B:$G,2,0),IFERROR(VLOOKUP($B1716,$D:$K,2,0),"")),IFERROR(VLOOKUP($C1716,INSUMOS!$A:$D,2,0),IFERROR(VLOOKUP($C1716,COTAÇÕES!$B:$I,2,0),(VLOOKUP($C1716,'INSUMO SINAPI - SP'!$C:$F,2,0)))))</f>
        <v>DISPOSITIVO DPS CLASSE II, 1 POLO, TENSAO MAXIMA DE 275 V, CORRENTE MAXIMA DE *45* KA (TIPO AC)</v>
      </c>
      <c r="F1716" s="510" t="str">
        <f>IF($C1716="",IFERROR(VLOOKUP($B1716,SERVIÇOS!$B:$G,3,0),IFERROR(VLOOKUP($B1716,$D:$K,3,0),"")),IFERROR(VLOOKUP($C1716,INSUMOS!$A:$D,3,0),IFERROR(VLOOKUP($C1716,COTAÇÕES!$B:$I,3,0),(VLOOKUP($C1716,'INSUMO SINAPI - SP'!$C:$F,3,0)))))</f>
        <v>UN</v>
      </c>
      <c r="G1716" s="511">
        <v>1</v>
      </c>
      <c r="H1716" s="512">
        <f>IF($C1716="",IFERROR(VLOOKUP($B1716,SERVIÇOS!$B:$G,6,0),IFERROR(VLOOKUP($B1716,$D:$K,8,0),"")),IFERROR(VLOOKUP($C1716,INSUMOS!$A:$D,4,0),IFERROR(VLOOKUP($C1716,COTAÇÕES!$B:$I,7,0),(VLOOKUP($C1716,'INSUMO SINAPI - SP'!$C:$F,4,0)))))</f>
        <v>110.57</v>
      </c>
      <c r="I1716" s="513">
        <f>TRUNC(IF($C1716="",IFERROR(VLOOKUP($B1716,SERVIÇOS!$B:$G,4,0),IFERROR(VLOOKUP($B1716,$D:$K,6,0),)),IFERROR(VLOOKUP($C1716,INSUMOS!$A:$D,4,0),IFERROR(VLOOKUP($C1716,COTAÇÕES!$B:$I,7,0),(VLOOKUP($C1716,'INSUMO SINAPI - SP'!$C:$F,4,0)))))*$G1716,2)</f>
        <v>110.57</v>
      </c>
      <c r="J1716" s="513">
        <f>TRUNC(IF($C1716="",IFERROR(VLOOKUP($B1716,SERVIÇOS!$B:$G,5,0),IFERROR(VLOOKUP($B1716,$D:$K,7,0),)),0)*$G1716,2)</f>
        <v>0</v>
      </c>
      <c r="K1716" s="514">
        <f>I1716+J1716</f>
        <v>110.57</v>
      </c>
      <c r="L1716" s="517"/>
      <c r="M1716" s="471"/>
      <c r="N1716" s="516"/>
      <c r="Q1716" s="472"/>
      <c r="R1716" s="472"/>
      <c r="S1716" s="472"/>
      <c r="T1716" s="472"/>
      <c r="U1716" s="472"/>
      <c r="V1716" s="472"/>
      <c r="W1716" s="472"/>
      <c r="X1716" s="472"/>
      <c r="Y1716" s="472"/>
    </row>
    <row r="1717" spans="1:25" x14ac:dyDescent="0.25">
      <c r="A1717" s="463"/>
      <c r="B1717" s="498"/>
      <c r="C1717" s="498"/>
      <c r="D1717" s="499" t="s">
        <v>12198</v>
      </c>
      <c r="E1717" s="555" t="s">
        <v>13455</v>
      </c>
      <c r="F1717" s="501" t="s">
        <v>580</v>
      </c>
      <c r="G1717" s="502"/>
      <c r="H1717" s="503"/>
      <c r="I1717" s="504">
        <f>ROUND(SUM(I1718:I1720),2)</f>
        <v>116.15</v>
      </c>
      <c r="J1717" s="504">
        <f>ROUND(SUM(J1718:J1720),2)</f>
        <v>14.85</v>
      </c>
      <c r="K1717" s="504">
        <f>+J1717+I1717</f>
        <v>131</v>
      </c>
      <c r="L1717" s="523" t="s">
        <v>13454</v>
      </c>
      <c r="M1717" s="471"/>
      <c r="N1717" s="505"/>
      <c r="Q1717" s="472"/>
      <c r="R1717" s="472"/>
      <c r="S1717" s="472"/>
      <c r="T1717" s="472"/>
      <c r="U1717" s="472"/>
      <c r="V1717" s="472"/>
      <c r="W1717" s="472"/>
      <c r="X1717" s="472"/>
      <c r="Y1717" s="472"/>
    </row>
    <row r="1718" spans="1:25" x14ac:dyDescent="0.25">
      <c r="A1718" s="463"/>
      <c r="B1718" s="506">
        <v>88264</v>
      </c>
      <c r="C1718" s="507"/>
      <c r="D1718" s="508"/>
      <c r="E1718" s="509" t="str">
        <f>IF($C1718="",IFERROR(VLOOKUP($B1718,SERVIÇOS!$B:$G,2,0),IFERROR(VLOOKUP($B1718,$D:$K,2,0),"")),IFERROR(VLOOKUP($C1718,INSUMOS!$A:$D,2,0),IFERROR(VLOOKUP($C1718,COTAÇÕES!$B:$I,2,0),(VLOOKUP($C1718,'INSUMO SINAPI - SP'!$C:$F,2,0)))))</f>
        <v>ELETRICISTA COM ENCARGOS COMPLEMENTARES</v>
      </c>
      <c r="F1718" s="510" t="str">
        <f>IF($C1718="",IFERROR(VLOOKUP($B1718,SERVIÇOS!$B:$G,3,0),IFERROR(VLOOKUP($B1718,$D:$K,3,0),"")),IFERROR(VLOOKUP($C1718,INSUMOS!$A:$D,3,0),IFERROR(VLOOKUP($C1718,COTAÇÕES!$B:$I,3,0),(VLOOKUP($C1718,'INSUMO SINAPI - SP'!$C:$F,3,0)))))</f>
        <v>H</v>
      </c>
      <c r="G1718" s="511">
        <v>0.3</v>
      </c>
      <c r="H1718" s="512">
        <f>IF($C1718="",IFERROR(VLOOKUP($B1718,SERVIÇOS!$B:$G,6,0),IFERROR(VLOOKUP($B1718,$D:$K,8,0),"")),IFERROR(VLOOKUP($C1718,INSUMOS!$A:$D,4,0),IFERROR(VLOOKUP($C1718,COTAÇÕES!$B:$I,7,0),(VLOOKUP($C1718,'INSUMO SINAPI - SP'!$C:$F,4,0)))))</f>
        <v>37.369999999999997</v>
      </c>
      <c r="I1718" s="513">
        <f>TRUNC(IF($C1718="",IFERROR(VLOOKUP($B1718,SERVIÇOS!$B:$G,4,0),IFERROR(VLOOKUP($B1718,$D:$K,6,0),)),IFERROR(VLOOKUP($C1718,INSUMOS!$A:$D,4,0),IFERROR(VLOOKUP($C1718,COTAÇÕES!$B:$I,7,0),(VLOOKUP($C1718,'INSUMO SINAPI - SP'!$C:$F,4,0)))))*$G1718,2)</f>
        <v>2.79</v>
      </c>
      <c r="J1718" s="513">
        <f>TRUNC(IF($C1718="",IFERROR(VLOOKUP($B1718,SERVIÇOS!$B:$G,5,0),IFERROR(VLOOKUP($B1718,$D:$K,7,0),)),0)*$G1718,2)</f>
        <v>8.41</v>
      </c>
      <c r="K1718" s="514">
        <f>I1718+J1718</f>
        <v>11.2</v>
      </c>
      <c r="L1718" s="515"/>
      <c r="M1718" s="471"/>
      <c r="N1718" s="516"/>
      <c r="Q1718" s="472"/>
      <c r="R1718" s="472"/>
      <c r="S1718" s="472"/>
      <c r="T1718" s="472"/>
      <c r="U1718" s="472"/>
      <c r="V1718" s="472"/>
      <c r="W1718" s="472"/>
      <c r="X1718" s="472"/>
      <c r="Y1718" s="472"/>
    </row>
    <row r="1719" spans="1:25" x14ac:dyDescent="0.25">
      <c r="A1719" s="463"/>
      <c r="B1719" s="506">
        <v>88247</v>
      </c>
      <c r="C1719" s="507"/>
      <c r="D1719" s="508"/>
      <c r="E1719" s="509" t="str">
        <f>IF($C1719="",IFERROR(VLOOKUP($B1719,SERVIÇOS!$B:$G,2,0),IFERROR(VLOOKUP($B1719,$D:$K,2,0),"")),IFERROR(VLOOKUP($C1719,INSUMOS!$A:$D,2,0),IFERROR(VLOOKUP($C1719,COTAÇÕES!$B:$I,2,0),(VLOOKUP($C1719,'INSUMO SINAPI - SP'!$C:$F,2,0)))))</f>
        <v>AUXILIAR DE ELETRICISTA COM ENCARGOS COMPLEMENTARES</v>
      </c>
      <c r="F1719" s="510" t="str">
        <f>IF($C1719="",IFERROR(VLOOKUP($B1719,SERVIÇOS!$B:$G,3,0),IFERROR(VLOOKUP($B1719,$D:$K,3,0),"")),IFERROR(VLOOKUP($C1719,INSUMOS!$A:$D,3,0),IFERROR(VLOOKUP($C1719,COTAÇÕES!$B:$I,3,0),(VLOOKUP($C1719,'INSUMO SINAPI - SP'!$C:$F,3,0)))))</f>
        <v>H</v>
      </c>
      <c r="G1719" s="511">
        <v>0.3</v>
      </c>
      <c r="H1719" s="512">
        <f>IF($C1719="",IFERROR(VLOOKUP($B1719,SERVIÇOS!$B:$G,6,0),IFERROR(VLOOKUP($B1719,$D:$K,8,0),"")),IFERROR(VLOOKUP($C1719,INSUMOS!$A:$D,4,0),IFERROR(VLOOKUP($C1719,COTAÇÕES!$B:$I,7,0),(VLOOKUP($C1719,'INSUMO SINAPI - SP'!$C:$F,4,0)))))</f>
        <v>30.8</v>
      </c>
      <c r="I1719" s="513">
        <f>TRUNC(IF($C1719="",IFERROR(VLOOKUP($B1719,SERVIÇOS!$B:$G,4,0),IFERROR(VLOOKUP($B1719,$D:$K,6,0),)),IFERROR(VLOOKUP($C1719,INSUMOS!$A:$D,4,0),IFERROR(VLOOKUP($C1719,COTAÇÕES!$B:$I,7,0),(VLOOKUP($C1719,'INSUMO SINAPI - SP'!$C:$F,4,0)))))*$G1719,2)</f>
        <v>2.79</v>
      </c>
      <c r="J1719" s="513">
        <f>TRUNC(IF($C1719="",IFERROR(VLOOKUP($B1719,SERVIÇOS!$B:$G,5,0),IFERROR(VLOOKUP($B1719,$D:$K,7,0),)),0)*$G1719,2)</f>
        <v>6.44</v>
      </c>
      <c r="K1719" s="514">
        <f>I1719+J1719</f>
        <v>9.23</v>
      </c>
      <c r="L1719" s="515"/>
      <c r="M1719" s="471"/>
      <c r="N1719" s="516"/>
      <c r="Q1719" s="472"/>
      <c r="R1719" s="472"/>
      <c r="S1719" s="472"/>
      <c r="T1719" s="472"/>
      <c r="U1719" s="472"/>
      <c r="V1719" s="472"/>
      <c r="W1719" s="472"/>
      <c r="X1719" s="472"/>
      <c r="Y1719" s="472"/>
    </row>
    <row r="1720" spans="1:25" ht="24" x14ac:dyDescent="0.25">
      <c r="A1720" s="463"/>
      <c r="B1720" s="506"/>
      <c r="C1720" s="507">
        <v>39471</v>
      </c>
      <c r="D1720" s="508"/>
      <c r="E1720" s="509" t="str">
        <f>IF($C1720="",IFERROR(VLOOKUP($B1720,SERVIÇOS!$B:$G,2,0),IFERROR(VLOOKUP($B1720,$D:$K,2,0),"")),IFERROR(VLOOKUP($C1720,INSUMOS!$A:$D,2,0),IFERROR(VLOOKUP($C1720,COTAÇÕES!$B:$I,2,0),(VLOOKUP($C1720,'INSUMO SINAPI - SP'!$C:$F,2,0)))))</f>
        <v>DISPOSITIVO DPS CLASSE II, 1 POLO, TENSAO MAXIMA DE 275 V, CORRENTE MAXIMA DE *45* KA (TIPO AC)</v>
      </c>
      <c r="F1720" s="510" t="str">
        <f>IF($C1720="",IFERROR(VLOOKUP($B1720,SERVIÇOS!$B:$G,3,0),IFERROR(VLOOKUP($B1720,$D:$K,3,0),"")),IFERROR(VLOOKUP($C1720,INSUMOS!$A:$D,3,0),IFERROR(VLOOKUP($C1720,COTAÇÕES!$B:$I,3,0),(VLOOKUP($C1720,'INSUMO SINAPI - SP'!$C:$F,3,0)))))</f>
        <v>UN</v>
      </c>
      <c r="G1720" s="511">
        <v>1</v>
      </c>
      <c r="H1720" s="512">
        <f>IF($C1720="",IFERROR(VLOOKUP($B1720,SERVIÇOS!$B:$G,6,0),IFERROR(VLOOKUP($B1720,$D:$K,8,0),"")),IFERROR(VLOOKUP($C1720,INSUMOS!$A:$D,4,0),IFERROR(VLOOKUP($C1720,COTAÇÕES!$B:$I,7,0),(VLOOKUP($C1720,'INSUMO SINAPI - SP'!$C:$F,4,0)))))</f>
        <v>110.57</v>
      </c>
      <c r="I1720" s="513">
        <f>TRUNC(IF($C1720="",IFERROR(VLOOKUP($B1720,SERVIÇOS!$B:$G,4,0),IFERROR(VLOOKUP($B1720,$D:$K,6,0),)),IFERROR(VLOOKUP($C1720,INSUMOS!$A:$D,4,0),IFERROR(VLOOKUP($C1720,COTAÇÕES!$B:$I,7,0),(VLOOKUP($C1720,'INSUMO SINAPI - SP'!$C:$F,4,0)))))*$G1720,2)</f>
        <v>110.57</v>
      </c>
      <c r="J1720" s="513">
        <f>TRUNC(IF($C1720="",IFERROR(VLOOKUP($B1720,SERVIÇOS!$B:$G,5,0),IFERROR(VLOOKUP($B1720,$D:$K,7,0),)),0)*$G1720,2)</f>
        <v>0</v>
      </c>
      <c r="K1720" s="514">
        <f>I1720+J1720</f>
        <v>110.57</v>
      </c>
      <c r="L1720" s="517"/>
      <c r="M1720" s="471"/>
      <c r="N1720" s="516"/>
      <c r="Q1720" s="472"/>
      <c r="R1720" s="472"/>
      <c r="S1720" s="472"/>
      <c r="T1720" s="472"/>
      <c r="U1720" s="472"/>
      <c r="V1720" s="472"/>
      <c r="W1720" s="472"/>
      <c r="X1720" s="472"/>
      <c r="Y1720" s="472"/>
    </row>
    <row r="1721" spans="1:25" x14ac:dyDescent="0.25">
      <c r="A1721" s="463"/>
      <c r="B1721" s="498"/>
      <c r="C1721" s="498"/>
      <c r="D1721" s="499" t="s">
        <v>12257</v>
      </c>
      <c r="E1721" s="555" t="s">
        <v>13456</v>
      </c>
      <c r="F1721" s="501" t="s">
        <v>585</v>
      </c>
      <c r="G1721" s="502"/>
      <c r="H1721" s="503"/>
      <c r="I1721" s="504">
        <f>ROUND(SUM(I1722:I1724),2)</f>
        <v>6.53</v>
      </c>
      <c r="J1721" s="504">
        <f>ROUND(SUM(J1722:J1724),2)</f>
        <v>8.1199999999999992</v>
      </c>
      <c r="K1721" s="504">
        <f>+J1721+I1721</f>
        <v>14.649999999999999</v>
      </c>
      <c r="L1721" s="523" t="s">
        <v>13457</v>
      </c>
      <c r="M1721" s="471"/>
      <c r="N1721" s="505"/>
      <c r="Q1721" s="472"/>
      <c r="R1721" s="472"/>
      <c r="S1721" s="472"/>
      <c r="T1721" s="472"/>
      <c r="U1721" s="472"/>
      <c r="V1721" s="472"/>
      <c r="W1721" s="472"/>
      <c r="X1721" s="472"/>
      <c r="Y1721" s="472"/>
    </row>
    <row r="1722" spans="1:25" x14ac:dyDescent="0.25">
      <c r="A1722" s="463"/>
      <c r="B1722" s="506">
        <v>88264</v>
      </c>
      <c r="C1722" s="507"/>
      <c r="D1722" s="508"/>
      <c r="E1722" s="509" t="str">
        <f>IF($C1722="",IFERROR(VLOOKUP($B1722,SERVIÇOS!$B:$G,2,0),IFERROR(VLOOKUP($B1722,$D:$K,2,0),"")),IFERROR(VLOOKUP($C1722,INSUMOS!$A:$D,2,0),IFERROR(VLOOKUP($C1722,COTAÇÕES!$B:$I,2,0),(VLOOKUP($C1722,'INSUMO SINAPI - SP'!$C:$F,2,0)))))</f>
        <v>ELETRICISTA COM ENCARGOS COMPLEMENTARES</v>
      </c>
      <c r="F1722" s="510" t="str">
        <f>IF($C1722="",IFERROR(VLOOKUP($B1722,SERVIÇOS!$B:$G,3,0),IFERROR(VLOOKUP($B1722,$D:$K,3,0),"")),IFERROR(VLOOKUP($C1722,INSUMOS!$A:$D,3,0),IFERROR(VLOOKUP($C1722,COTAÇÕES!$B:$I,3,0),(VLOOKUP($C1722,'INSUMO SINAPI - SP'!$C:$F,3,0)))))</f>
        <v>H</v>
      </c>
      <c r="G1722" s="511">
        <v>0.16400000000000001</v>
      </c>
      <c r="H1722" s="512">
        <f>IF($C1722="",IFERROR(VLOOKUP($B1722,SERVIÇOS!$B:$G,6,0),IFERROR(VLOOKUP($B1722,$D:$K,8,0),"")),IFERROR(VLOOKUP($C1722,INSUMOS!$A:$D,4,0),IFERROR(VLOOKUP($C1722,COTAÇÕES!$B:$I,7,0),(VLOOKUP($C1722,'INSUMO SINAPI - SP'!$C:$F,4,0)))))</f>
        <v>37.369999999999997</v>
      </c>
      <c r="I1722" s="513">
        <f>TRUNC(IF($C1722="",IFERROR(VLOOKUP($B1722,SERVIÇOS!$B:$G,4,0),IFERROR(VLOOKUP($B1722,$D:$K,6,0),)),IFERROR(VLOOKUP($C1722,INSUMOS!$A:$D,4,0),IFERROR(VLOOKUP($C1722,COTAÇÕES!$B:$I,7,0),(VLOOKUP($C1722,'INSUMO SINAPI - SP'!$C:$F,4,0)))))*$G1722,2)</f>
        <v>1.52</v>
      </c>
      <c r="J1722" s="513">
        <f>TRUNC(IF($C1722="",IFERROR(VLOOKUP($B1722,SERVIÇOS!$B:$G,5,0),IFERROR(VLOOKUP($B1722,$D:$K,7,0),)),0)*$G1722,2)</f>
        <v>4.5999999999999996</v>
      </c>
      <c r="K1722" s="514">
        <f>I1722+J1722</f>
        <v>6.1199999999999992</v>
      </c>
      <c r="L1722" s="515"/>
      <c r="M1722" s="471"/>
      <c r="N1722" s="516"/>
      <c r="Q1722" s="472"/>
      <c r="R1722" s="472"/>
      <c r="S1722" s="472"/>
      <c r="T1722" s="472"/>
      <c r="U1722" s="472"/>
      <c r="V1722" s="472"/>
      <c r="W1722" s="472"/>
      <c r="X1722" s="472"/>
      <c r="Y1722" s="472"/>
    </row>
    <row r="1723" spans="1:25" x14ac:dyDescent="0.25">
      <c r="A1723" s="463"/>
      <c r="B1723" s="506">
        <v>88247</v>
      </c>
      <c r="C1723" s="507"/>
      <c r="D1723" s="508"/>
      <c r="E1723" s="509" t="str">
        <f>IF($C1723="",IFERROR(VLOOKUP($B1723,SERVIÇOS!$B:$G,2,0),IFERROR(VLOOKUP($B1723,$D:$K,2,0),"")),IFERROR(VLOOKUP($C1723,INSUMOS!$A:$D,2,0),IFERROR(VLOOKUP($C1723,COTAÇÕES!$B:$I,2,0),(VLOOKUP($C1723,'INSUMO SINAPI - SP'!$C:$F,2,0)))))</f>
        <v>AUXILIAR DE ELETRICISTA COM ENCARGOS COMPLEMENTARES</v>
      </c>
      <c r="F1723" s="510" t="str">
        <f>IF($C1723="",IFERROR(VLOOKUP($B1723,SERVIÇOS!$B:$G,3,0),IFERROR(VLOOKUP($B1723,$D:$K,3,0),"")),IFERROR(VLOOKUP($C1723,INSUMOS!$A:$D,3,0),IFERROR(VLOOKUP($C1723,COTAÇÕES!$B:$I,3,0),(VLOOKUP($C1723,'INSUMO SINAPI - SP'!$C:$F,3,0)))))</f>
        <v>H</v>
      </c>
      <c r="G1723" s="511">
        <v>0.16400000000000001</v>
      </c>
      <c r="H1723" s="512">
        <f>IF($C1723="",IFERROR(VLOOKUP($B1723,SERVIÇOS!$B:$G,6,0),IFERROR(VLOOKUP($B1723,$D:$K,8,0),"")),IFERROR(VLOOKUP($C1723,INSUMOS!$A:$D,4,0),IFERROR(VLOOKUP($C1723,COTAÇÕES!$B:$I,7,0),(VLOOKUP($C1723,'INSUMO SINAPI - SP'!$C:$F,4,0)))))</f>
        <v>30.8</v>
      </c>
      <c r="I1723" s="513">
        <f>TRUNC(IF($C1723="",IFERROR(VLOOKUP($B1723,SERVIÇOS!$B:$G,4,0),IFERROR(VLOOKUP($B1723,$D:$K,6,0),)),IFERROR(VLOOKUP($C1723,INSUMOS!$A:$D,4,0),IFERROR(VLOOKUP($C1723,COTAÇÕES!$B:$I,7,0),(VLOOKUP($C1723,'INSUMO SINAPI - SP'!$C:$F,4,0)))))*$G1723,2)</f>
        <v>1.52</v>
      </c>
      <c r="J1723" s="513">
        <f>TRUNC(IF($C1723="",IFERROR(VLOOKUP($B1723,SERVIÇOS!$B:$G,5,0),IFERROR(VLOOKUP($B1723,$D:$K,7,0),)),0)*$G1723,2)</f>
        <v>3.52</v>
      </c>
      <c r="K1723" s="514">
        <f>I1723+J1723</f>
        <v>5.04</v>
      </c>
      <c r="L1723" s="515"/>
      <c r="M1723" s="471"/>
      <c r="N1723" s="516"/>
      <c r="Q1723" s="472"/>
      <c r="R1723" s="472"/>
      <c r="S1723" s="472"/>
      <c r="T1723" s="472"/>
      <c r="U1723" s="472"/>
      <c r="V1723" s="472"/>
      <c r="W1723" s="472"/>
      <c r="X1723" s="472"/>
      <c r="Y1723" s="472"/>
    </row>
    <row r="1724" spans="1:25" x14ac:dyDescent="0.25">
      <c r="A1724" s="463"/>
      <c r="B1724" s="506"/>
      <c r="C1724" s="507">
        <v>40401</v>
      </c>
      <c r="D1724" s="508"/>
      <c r="E1724" s="509" t="str">
        <f>IF($C1724="",IFERROR(VLOOKUP($B1724,SERVIÇOS!$B:$G,2,0),IFERROR(VLOOKUP($B1724,$D:$K,2,0),"")),IFERROR(VLOOKUP($C1724,INSUMOS!$A:$D,2,0),IFERROR(VLOOKUP($C1724,COTAÇÕES!$B:$I,2,0),(VLOOKUP($C1724,'INSUMO SINAPI - SP'!$C:$F,2,0)))))</f>
        <v>ELETRODUTO FLEXIVEL PLANO EM PEAD, COR PRETA E LARANJA, DIAMETRO 32 MM</v>
      </c>
      <c r="F1724" s="510" t="str">
        <f>IF($C1724="",IFERROR(VLOOKUP($B1724,SERVIÇOS!$B:$G,3,0),IFERROR(VLOOKUP($B1724,$D:$K,3,0),"")),IFERROR(VLOOKUP($C1724,INSUMOS!$A:$D,3,0),IFERROR(VLOOKUP($C1724,COTAÇÕES!$B:$I,3,0),(VLOOKUP($C1724,'INSUMO SINAPI - SP'!$C:$F,3,0)))))</f>
        <v>M</v>
      </c>
      <c r="G1724" s="511">
        <v>1.0169999999999999</v>
      </c>
      <c r="H1724" s="512">
        <f>IF($C1724="",IFERROR(VLOOKUP($B1724,SERVIÇOS!$B:$G,6,0),IFERROR(VLOOKUP($B1724,$D:$K,8,0),"")),IFERROR(VLOOKUP($C1724,INSUMOS!$A:$D,4,0),IFERROR(VLOOKUP($C1724,COTAÇÕES!$B:$I,7,0),(VLOOKUP($C1724,'INSUMO SINAPI - SP'!$C:$F,4,0)))))</f>
        <v>3.44</v>
      </c>
      <c r="I1724" s="513">
        <f>TRUNC(IF($C1724="",IFERROR(VLOOKUP($B1724,SERVIÇOS!$B:$G,4,0),IFERROR(VLOOKUP($B1724,$D:$K,6,0),)),IFERROR(VLOOKUP($C1724,INSUMOS!$A:$D,4,0),IFERROR(VLOOKUP($C1724,COTAÇÕES!$B:$I,7,0),(VLOOKUP($C1724,'INSUMO SINAPI - SP'!$C:$F,4,0)))))*$G1724,2)</f>
        <v>3.49</v>
      </c>
      <c r="J1724" s="513">
        <f>TRUNC(IF($C1724="",IFERROR(VLOOKUP($B1724,SERVIÇOS!$B:$G,5,0),IFERROR(VLOOKUP($B1724,$D:$K,7,0),)),0)*$G1724,2)</f>
        <v>0</v>
      </c>
      <c r="K1724" s="514">
        <f>I1724+J1724</f>
        <v>3.49</v>
      </c>
      <c r="L1724" s="517"/>
      <c r="M1724" s="471"/>
      <c r="N1724" s="516"/>
      <c r="Q1724" s="472"/>
      <c r="R1724" s="472"/>
      <c r="S1724" s="472"/>
      <c r="T1724" s="472"/>
      <c r="U1724" s="472"/>
      <c r="V1724" s="472"/>
      <c r="W1724" s="472"/>
      <c r="X1724" s="472"/>
      <c r="Y1724" s="472"/>
    </row>
    <row r="1725" spans="1:25" ht="24" x14ac:dyDescent="0.25">
      <c r="A1725" s="463"/>
      <c r="B1725" s="498"/>
      <c r="C1725" s="498"/>
      <c r="D1725" s="499" t="s">
        <v>12530</v>
      </c>
      <c r="E1725" s="555" t="s">
        <v>13458</v>
      </c>
      <c r="F1725" s="501" t="s">
        <v>664</v>
      </c>
      <c r="G1725" s="502"/>
      <c r="H1725" s="503"/>
      <c r="I1725" s="504">
        <f>ROUND(SUM(I1726:I1730),2)</f>
        <v>316.29000000000002</v>
      </c>
      <c r="J1725" s="504">
        <f>ROUND(SUM(J1726:J1730),2)</f>
        <v>83.63</v>
      </c>
      <c r="K1725" s="504">
        <f>+J1725+I1725</f>
        <v>399.92</v>
      </c>
      <c r="L1725" s="523" t="s">
        <v>12920</v>
      </c>
      <c r="M1725" s="471"/>
      <c r="N1725" s="505"/>
      <c r="Q1725" s="472"/>
      <c r="R1725" s="472"/>
      <c r="S1725" s="472"/>
      <c r="T1725" s="472"/>
      <c r="U1725" s="472"/>
      <c r="V1725" s="472"/>
      <c r="W1725" s="472"/>
      <c r="X1725" s="472"/>
      <c r="Y1725" s="472"/>
    </row>
    <row r="1726" spans="1:25" x14ac:dyDescent="0.25">
      <c r="A1726" s="463"/>
      <c r="B1726" s="506">
        <v>88309</v>
      </c>
      <c r="C1726" s="507"/>
      <c r="D1726" s="508"/>
      <c r="E1726" s="509" t="str">
        <f>IF($C1726="",IFERROR(VLOOKUP($B1726,SERVIÇOS!$B:$G,2,0),IFERROR(VLOOKUP($B1726,$D:$K,2,0),"")),IFERROR(VLOOKUP($C1726,INSUMOS!$A:$D,2,0),IFERROR(VLOOKUP($C1726,COTAÇÕES!$B:$I,2,0),(VLOOKUP($C1726,'INSUMO SINAPI - SP'!$C:$F,2,0)))))</f>
        <v>PEDREIRO COM ENCARGOS COMPLEMENTARES</v>
      </c>
      <c r="F1726" s="510" t="str">
        <f>IF($C1726="",IFERROR(VLOOKUP($B1726,SERVIÇOS!$B:$G,3,0),IFERROR(VLOOKUP($B1726,$D:$K,3,0),"")),IFERROR(VLOOKUP($C1726,INSUMOS!$A:$D,3,0),IFERROR(VLOOKUP($C1726,COTAÇÕES!$B:$I,3,0),(VLOOKUP($C1726,'INSUMO SINAPI - SP'!$C:$F,3,0)))))</f>
        <v>H</v>
      </c>
      <c r="G1726" s="511">
        <v>1.1000000000000001</v>
      </c>
      <c r="H1726" s="512">
        <f>IF($C1726="",IFERROR(VLOOKUP($B1726,SERVIÇOS!$B:$G,6,0),IFERROR(VLOOKUP($B1726,$D:$K,8,0),"")),IFERROR(VLOOKUP($C1726,INSUMOS!$A:$D,4,0),IFERROR(VLOOKUP($C1726,COTAÇÕES!$B:$I,7,0),(VLOOKUP($C1726,'INSUMO SINAPI - SP'!$C:$F,4,0)))))</f>
        <v>36.909999999999997</v>
      </c>
      <c r="I1726" s="513">
        <f>TRUNC(IF($C1726="",IFERROR(VLOOKUP($B1726,SERVIÇOS!$B:$G,4,0),IFERROR(VLOOKUP($B1726,$D:$K,6,0),)),IFERROR(VLOOKUP($C1726,INSUMOS!$A:$D,4,0),IFERROR(VLOOKUP($C1726,COTAÇÕES!$B:$I,7,0),(VLOOKUP($C1726,'INSUMO SINAPI - SP'!$C:$F,4,0)))))*$G1726,2)</f>
        <v>10.199999999999999</v>
      </c>
      <c r="J1726" s="513">
        <f>TRUNC(IF($C1726="",IFERROR(VLOOKUP($B1726,SERVIÇOS!$B:$G,5,0),IFERROR(VLOOKUP($B1726,$D:$K,7,0),)),0)*$G1726,2)</f>
        <v>30.39</v>
      </c>
      <c r="K1726" s="514">
        <f>I1726+J1726</f>
        <v>40.590000000000003</v>
      </c>
      <c r="L1726" s="515"/>
      <c r="M1726" s="471"/>
      <c r="N1726" s="516"/>
      <c r="Q1726" s="472"/>
      <c r="R1726" s="472"/>
      <c r="S1726" s="472"/>
      <c r="T1726" s="472"/>
      <c r="U1726" s="472"/>
      <c r="V1726" s="472"/>
      <c r="W1726" s="472"/>
      <c r="X1726" s="472"/>
      <c r="Y1726" s="472"/>
    </row>
    <row r="1727" spans="1:25" x14ac:dyDescent="0.25">
      <c r="A1727" s="463"/>
      <c r="B1727" s="506">
        <v>88316</v>
      </c>
      <c r="C1727" s="507"/>
      <c r="D1727" s="508"/>
      <c r="E1727" s="509" t="str">
        <f>IF($C1727="",IFERROR(VLOOKUP($B1727,SERVIÇOS!$B:$G,2,0),IFERROR(VLOOKUP($B1727,$D:$K,2,0),"")),IFERROR(VLOOKUP($C1727,INSUMOS!$A:$D,2,0),IFERROR(VLOOKUP($C1727,COTAÇÕES!$B:$I,2,0),(VLOOKUP($C1727,'INSUMO SINAPI - SP'!$C:$F,2,0)))))</f>
        <v>SERVENTE COM ENCARGOS COMPLEMENTARES</v>
      </c>
      <c r="F1727" s="510" t="str">
        <f>IF($C1727="",IFERROR(VLOOKUP($B1727,SERVIÇOS!$B:$G,3,0),IFERROR(VLOOKUP($B1727,$D:$K,3,0),"")),IFERROR(VLOOKUP($C1727,INSUMOS!$A:$D,3,0),IFERROR(VLOOKUP($C1727,COTAÇÕES!$B:$I,3,0),(VLOOKUP($C1727,'INSUMO SINAPI - SP'!$C:$F,3,0)))))</f>
        <v>H</v>
      </c>
      <c r="G1727" s="511">
        <v>2.5459999999999998</v>
      </c>
      <c r="H1727" s="512">
        <f>IF($C1727="",IFERROR(VLOOKUP($B1727,SERVIÇOS!$B:$G,6,0),IFERROR(VLOOKUP($B1727,$D:$K,8,0),"")),IFERROR(VLOOKUP($C1727,INSUMOS!$A:$D,4,0),IFERROR(VLOOKUP($C1727,COTAÇÕES!$B:$I,7,0),(VLOOKUP($C1727,'INSUMO SINAPI - SP'!$C:$F,4,0)))))</f>
        <v>28.71</v>
      </c>
      <c r="I1727" s="513">
        <f>TRUNC(IF($C1727="",IFERROR(VLOOKUP($B1727,SERVIÇOS!$B:$G,4,0),IFERROR(VLOOKUP($B1727,$D:$K,6,0),)),IFERROR(VLOOKUP($C1727,INSUMOS!$A:$D,4,0),IFERROR(VLOOKUP($C1727,COTAÇÕES!$B:$I,7,0),(VLOOKUP($C1727,'INSUMO SINAPI - SP'!$C:$F,4,0)))))*$G1727,2)</f>
        <v>23.42</v>
      </c>
      <c r="J1727" s="513">
        <f>TRUNC(IF($C1727="",IFERROR(VLOOKUP($B1727,SERVIÇOS!$B:$G,5,0),IFERROR(VLOOKUP($B1727,$D:$K,7,0),)),0)*$G1727,2)</f>
        <v>49.67</v>
      </c>
      <c r="K1727" s="514">
        <f>I1727+J1727</f>
        <v>73.09</v>
      </c>
      <c r="L1727" s="515"/>
      <c r="M1727" s="471"/>
      <c r="N1727" s="516"/>
      <c r="Q1727" s="472"/>
      <c r="R1727" s="472"/>
      <c r="S1727" s="472"/>
      <c r="T1727" s="472"/>
      <c r="U1727" s="472"/>
      <c r="V1727" s="472"/>
      <c r="W1727" s="472"/>
      <c r="X1727" s="472"/>
      <c r="Y1727" s="472"/>
    </row>
    <row r="1728" spans="1:25" x14ac:dyDescent="0.25">
      <c r="A1728" s="463"/>
      <c r="B1728" s="506"/>
      <c r="C1728" s="507">
        <v>4720</v>
      </c>
      <c r="D1728" s="508"/>
      <c r="E1728" s="509" t="str">
        <f>IF($C1728="",IFERROR(VLOOKUP($B1728,SERVIÇOS!$B:$G,2,0),IFERROR(VLOOKUP($B1728,$D:$K,2,0),"")),IFERROR(VLOOKUP($C1728,INSUMOS!$A:$D,2,0),IFERROR(VLOOKUP($C1728,COTAÇÕES!$B:$I,2,0),(VLOOKUP($C1728,'INSUMO SINAPI - SP'!$C:$F,2,0)))))</f>
        <v>PEDRA BRITADA N. 0, OU PEDRISCO (4,8 A 9,5 MM) POSTO PEDREIRA/FORNECEDOR, SEM FRETE</v>
      </c>
      <c r="F1728" s="510" t="str">
        <f>IF($C1728="",IFERROR(VLOOKUP($B1728,SERVIÇOS!$B:$G,3,0),IFERROR(VLOOKUP($B1728,$D:$K,3,0),"")),IFERROR(VLOOKUP($C1728,INSUMOS!$A:$D,3,0),IFERROR(VLOOKUP($C1728,COTAÇÕES!$B:$I,3,0),(VLOOKUP($C1728,'INSUMO SINAPI - SP'!$C:$F,3,0)))))</f>
        <v>M3</v>
      </c>
      <c r="G1728" s="511">
        <v>3.819</v>
      </c>
      <c r="H1728" s="512">
        <f>IF($C1728="",IFERROR(VLOOKUP($B1728,SERVIÇOS!$B:$G,6,0),IFERROR(VLOOKUP($B1728,$D:$K,8,0),"")),IFERROR(VLOOKUP($C1728,INSUMOS!$A:$D,4,0),IFERROR(VLOOKUP($C1728,COTAÇÕES!$B:$I,7,0),(VLOOKUP($C1728,'INSUMO SINAPI - SP'!$C:$F,4,0)))))</f>
        <v>73.56</v>
      </c>
      <c r="I1728" s="513">
        <f>TRUNC(IF($C1728="",IFERROR(VLOOKUP($B1728,SERVIÇOS!$B:$G,4,0),IFERROR(VLOOKUP($B1728,$D:$K,6,0),)),IFERROR(VLOOKUP($C1728,INSUMOS!$A:$D,4,0),IFERROR(VLOOKUP($C1728,COTAÇÕES!$B:$I,7,0),(VLOOKUP($C1728,'INSUMO SINAPI - SP'!$C:$F,4,0)))))*$G1728,2)</f>
        <v>280.92</v>
      </c>
      <c r="J1728" s="513">
        <f>TRUNC(IF($C1728="",IFERROR(VLOOKUP($B1728,SERVIÇOS!$B:$G,5,0),IFERROR(VLOOKUP($B1728,$D:$K,7,0),)),0)*$G1728,2)</f>
        <v>0</v>
      </c>
      <c r="K1728" s="514">
        <f>I1728+J1728</f>
        <v>280.92</v>
      </c>
      <c r="L1728" s="517"/>
      <c r="M1728" s="471"/>
      <c r="N1728" s="516"/>
      <c r="Q1728" s="472"/>
      <c r="R1728" s="472"/>
      <c r="S1728" s="472"/>
      <c r="T1728" s="472"/>
      <c r="U1728" s="472"/>
      <c r="V1728" s="472"/>
      <c r="W1728" s="472"/>
      <c r="X1728" s="472"/>
      <c r="Y1728" s="472"/>
    </row>
    <row r="1729" spans="1:25" ht="24" x14ac:dyDescent="0.25">
      <c r="A1729" s="463"/>
      <c r="B1729" s="506">
        <v>91533</v>
      </c>
      <c r="C1729" s="507"/>
      <c r="D1729" s="508"/>
      <c r="E1729" s="509" t="str">
        <f>IF($C1729="",IFERROR(VLOOKUP($B1729,SERVIÇOS!$B:$G,2,0),IFERROR(VLOOKUP($B1729,$D:$K,2,0),"")),IFERROR(VLOOKUP($C1729,INSUMOS!$A:$D,2,0),IFERROR(VLOOKUP($C1729,COTAÇÕES!$B:$I,2,0),(VLOOKUP($C1729,'INSUMO SINAPI - SP'!$C:$F,2,0)))))</f>
        <v>COMPACTADOR DE SOLOS DE PERCUSSÃO (SOQUETE) COM MOTOR A GASOLINA 4 TEMPOS, POTÊNCIA 4 CV - CHP DIURNO. AF_08/2015</v>
      </c>
      <c r="F1729" s="510" t="str">
        <f>IF($C1729="",IFERROR(VLOOKUP($B1729,SERVIÇOS!$B:$G,3,0),IFERROR(VLOOKUP($B1729,$D:$K,3,0),"")),IFERROR(VLOOKUP($C1729,INSUMOS!$A:$D,3,0),IFERROR(VLOOKUP($C1729,COTAÇÕES!$B:$I,3,0),(VLOOKUP($C1729,'INSUMO SINAPI - SP'!$C:$F,3,0)))))</f>
        <v>CHP</v>
      </c>
      <c r="G1729" s="511">
        <v>6.9000000000000006E-2</v>
      </c>
      <c r="H1729" s="512">
        <f>IF($C1729="",IFERROR(VLOOKUP($B1729,SERVIÇOS!$B:$G,6,0),IFERROR(VLOOKUP($B1729,$D:$K,8,0),"")),IFERROR(VLOOKUP($C1729,INSUMOS!$A:$D,4,0),IFERROR(VLOOKUP($C1729,COTAÇÕES!$B:$I,7,0),(VLOOKUP($C1729,'INSUMO SINAPI - SP'!$C:$F,4,0)))))</f>
        <v>43.99</v>
      </c>
      <c r="I1729" s="513">
        <f>TRUNC(IF($C1729="",IFERROR(VLOOKUP($B1729,SERVIÇOS!$B:$G,4,0),IFERROR(VLOOKUP($B1729,$D:$K,6,0),)),IFERROR(VLOOKUP($C1729,INSUMOS!$A:$D,4,0),IFERROR(VLOOKUP($C1729,COTAÇÕES!$B:$I,7,0),(VLOOKUP($C1729,'INSUMO SINAPI - SP'!$C:$F,4,0)))))*$G1729,2)</f>
        <v>1.17</v>
      </c>
      <c r="J1729" s="513">
        <f>TRUNC(IF($C1729="",IFERROR(VLOOKUP($B1729,SERVIÇOS!$B:$G,5,0),IFERROR(VLOOKUP($B1729,$D:$K,7,0),)),0)*$G1729,2)</f>
        <v>1.85</v>
      </c>
      <c r="K1729" s="514">
        <f>I1729+J1729</f>
        <v>3.02</v>
      </c>
      <c r="L1729" s="515"/>
      <c r="M1729" s="471"/>
      <c r="N1729" s="516"/>
      <c r="Q1729" s="472"/>
      <c r="R1729" s="472"/>
      <c r="S1729" s="472"/>
      <c r="T1729" s="472"/>
      <c r="U1729" s="472"/>
      <c r="V1729" s="472"/>
      <c r="W1729" s="472"/>
      <c r="X1729" s="472"/>
      <c r="Y1729" s="472"/>
    </row>
    <row r="1730" spans="1:25" ht="24" x14ac:dyDescent="0.25">
      <c r="A1730" s="463"/>
      <c r="B1730" s="506">
        <v>91534</v>
      </c>
      <c r="C1730" s="507"/>
      <c r="D1730" s="508"/>
      <c r="E1730" s="509" t="str">
        <f>IF($C1730="",IFERROR(VLOOKUP($B1730,SERVIÇOS!$B:$G,2,0),IFERROR(VLOOKUP($B1730,$D:$K,2,0),"")),IFERROR(VLOOKUP($C1730,INSUMOS!$A:$D,2,0),IFERROR(VLOOKUP($C1730,COTAÇÕES!$B:$I,2,0),(VLOOKUP($C1730,'INSUMO SINAPI - SP'!$C:$F,2,0)))))</f>
        <v>COMPACTADOR DE SOLOS DE PERCUSSÃO (SOQUETE) COM MOTOR A GASOLINA 4 TEMPOS, POTÊNCIA 4 CV - CHI DIURNO. AF_08/2015</v>
      </c>
      <c r="F1730" s="510" t="str">
        <f>IF($C1730="",IFERROR(VLOOKUP($B1730,SERVIÇOS!$B:$G,3,0),IFERROR(VLOOKUP($B1730,$D:$K,3,0),"")),IFERROR(VLOOKUP($C1730,INSUMOS!$A:$D,3,0),IFERROR(VLOOKUP($C1730,COTAÇÕES!$B:$I,3,0),(VLOOKUP($C1730,'INSUMO SINAPI - SP'!$C:$F,3,0)))))</f>
        <v>CHI</v>
      </c>
      <c r="G1730" s="511">
        <v>6.4000000000000001E-2</v>
      </c>
      <c r="H1730" s="512">
        <f>IF($C1730="",IFERROR(VLOOKUP($B1730,SERVIÇOS!$B:$G,6,0),IFERROR(VLOOKUP($B1730,$D:$K,8,0),"")),IFERROR(VLOOKUP($C1730,INSUMOS!$A:$D,4,0),IFERROR(VLOOKUP($C1730,COTAÇÕES!$B:$I,7,0),(VLOOKUP($C1730,'INSUMO SINAPI - SP'!$C:$F,4,0)))))</f>
        <v>36.06</v>
      </c>
      <c r="I1730" s="513">
        <f>TRUNC(IF($C1730="",IFERROR(VLOOKUP($B1730,SERVIÇOS!$B:$G,4,0),IFERROR(VLOOKUP($B1730,$D:$K,6,0),)),IFERROR(VLOOKUP($C1730,INSUMOS!$A:$D,4,0),IFERROR(VLOOKUP($C1730,COTAÇÕES!$B:$I,7,0),(VLOOKUP($C1730,'INSUMO SINAPI - SP'!$C:$F,4,0)))))*$G1730,2)</f>
        <v>0.57999999999999996</v>
      </c>
      <c r="J1730" s="513">
        <f>TRUNC(IF($C1730="",IFERROR(VLOOKUP($B1730,SERVIÇOS!$B:$G,5,0),IFERROR(VLOOKUP($B1730,$D:$K,7,0),)),0)*$G1730,2)</f>
        <v>1.72</v>
      </c>
      <c r="K1730" s="514">
        <f>I1730+J1730</f>
        <v>2.2999999999999998</v>
      </c>
      <c r="L1730" s="515"/>
      <c r="M1730" s="471"/>
      <c r="N1730" s="516"/>
      <c r="Q1730" s="472"/>
      <c r="R1730" s="472"/>
      <c r="S1730" s="472"/>
      <c r="T1730" s="472"/>
      <c r="U1730" s="472"/>
      <c r="V1730" s="472"/>
      <c r="W1730" s="472"/>
      <c r="X1730" s="472"/>
      <c r="Y1730" s="472"/>
    </row>
    <row r="1731" spans="1:25" ht="24" x14ac:dyDescent="0.25">
      <c r="A1731" s="463"/>
      <c r="B1731" s="498"/>
      <c r="C1731" s="498"/>
      <c r="D1731" s="499" t="s">
        <v>12208</v>
      </c>
      <c r="E1731" s="555" t="s">
        <v>13459</v>
      </c>
      <c r="F1731" s="501" t="s">
        <v>580</v>
      </c>
      <c r="G1731" s="502"/>
      <c r="H1731" s="503"/>
      <c r="I1731" s="504">
        <f>ROUND(SUM(I1732:I1735),2)</f>
        <v>87.24</v>
      </c>
      <c r="J1731" s="504">
        <f>ROUND(SUM(J1732:J1735),2)</f>
        <v>43.89</v>
      </c>
      <c r="K1731" s="504">
        <f>+J1731+I1731</f>
        <v>131.13</v>
      </c>
      <c r="L1731" s="523" t="s">
        <v>13460</v>
      </c>
      <c r="M1731" s="471"/>
      <c r="N1731" s="505"/>
      <c r="Q1731" s="472"/>
      <c r="R1731" s="472"/>
      <c r="S1731" s="472"/>
      <c r="T1731" s="472"/>
      <c r="U1731" s="472"/>
      <c r="V1731" s="472"/>
      <c r="W1731" s="472"/>
      <c r="X1731" s="472"/>
      <c r="Y1731" s="472"/>
    </row>
    <row r="1732" spans="1:25" x14ac:dyDescent="0.25">
      <c r="A1732" s="463"/>
      <c r="B1732" s="506">
        <v>88247</v>
      </c>
      <c r="C1732" s="507"/>
      <c r="D1732" s="508"/>
      <c r="E1732" s="509" t="str">
        <f>IF($C1732="",IFERROR(VLOOKUP($B1732,SERVIÇOS!$B:$G,2,0),IFERROR(VLOOKUP($B1732,$D:$K,2,0),"")),IFERROR(VLOOKUP($C1732,INSUMOS!$A:$D,2,0),IFERROR(VLOOKUP($C1732,COTAÇÕES!$B:$I,2,0),(VLOOKUP($C1732,'INSUMO SINAPI - SP'!$C:$F,2,0)))))</f>
        <v>AUXILIAR DE ELETRICISTA COM ENCARGOS COMPLEMENTARES</v>
      </c>
      <c r="F1732" s="510" t="str">
        <f>IF($C1732="",IFERROR(VLOOKUP($B1732,SERVIÇOS!$B:$G,3,0),IFERROR(VLOOKUP($B1732,$D:$K,3,0),"")),IFERROR(VLOOKUP($C1732,INSUMOS!$A:$D,3,0),IFERROR(VLOOKUP($C1732,COTAÇÕES!$B:$I,3,0),(VLOOKUP($C1732,'INSUMO SINAPI - SP'!$C:$F,3,0)))))</f>
        <v>H</v>
      </c>
      <c r="G1732" s="511">
        <v>0.88600000000000001</v>
      </c>
      <c r="H1732" s="512">
        <f>IF($C1732="",IFERROR(VLOOKUP($B1732,SERVIÇOS!$B:$G,6,0),IFERROR(VLOOKUP($B1732,$D:$K,8,0),"")),IFERROR(VLOOKUP($C1732,INSUMOS!$A:$D,4,0),IFERROR(VLOOKUP($C1732,COTAÇÕES!$B:$I,7,0),(VLOOKUP($C1732,'INSUMO SINAPI - SP'!$C:$F,4,0)))))</f>
        <v>30.8</v>
      </c>
      <c r="I1732" s="513">
        <f>TRUNC(IF($C1732="",IFERROR(VLOOKUP($B1732,SERVIÇOS!$B:$G,4,0),IFERROR(VLOOKUP($B1732,$D:$K,6,0),)),IFERROR(VLOOKUP($C1732,INSUMOS!$A:$D,4,0),IFERROR(VLOOKUP($C1732,COTAÇÕES!$B:$I,7,0),(VLOOKUP($C1732,'INSUMO SINAPI - SP'!$C:$F,4,0)))))*$G1732,2)</f>
        <v>8.25</v>
      </c>
      <c r="J1732" s="513">
        <f>TRUNC(IF($C1732="",IFERROR(VLOOKUP($B1732,SERVIÇOS!$B:$G,5,0),IFERROR(VLOOKUP($B1732,$D:$K,7,0),)),0)*$G1732,2)</f>
        <v>19.03</v>
      </c>
      <c r="K1732" s="514">
        <f>I1732+J1732</f>
        <v>27.28</v>
      </c>
      <c r="L1732" s="515"/>
      <c r="M1732" s="471"/>
      <c r="N1732" s="516"/>
      <c r="Q1732" s="472"/>
      <c r="R1732" s="472"/>
      <c r="S1732" s="472"/>
      <c r="T1732" s="472"/>
      <c r="U1732" s="472"/>
      <c r="V1732" s="472"/>
      <c r="W1732" s="472"/>
      <c r="X1732" s="472"/>
      <c r="Y1732" s="472"/>
    </row>
    <row r="1733" spans="1:25" x14ac:dyDescent="0.25">
      <c r="A1733" s="463"/>
      <c r="B1733" s="506">
        <v>88264</v>
      </c>
      <c r="C1733" s="507"/>
      <c r="D1733" s="508"/>
      <c r="E1733" s="509" t="str">
        <f>IF($C1733="",IFERROR(VLOOKUP($B1733,SERVIÇOS!$B:$G,2,0),IFERROR(VLOOKUP($B1733,$D:$K,2,0),"")),IFERROR(VLOOKUP($C1733,INSUMOS!$A:$D,2,0),IFERROR(VLOOKUP($C1733,COTAÇÕES!$B:$I,2,0),(VLOOKUP($C1733,'INSUMO SINAPI - SP'!$C:$F,2,0)))))</f>
        <v>ELETRICISTA COM ENCARGOS COMPLEMENTARES</v>
      </c>
      <c r="F1733" s="510" t="str">
        <f>IF($C1733="",IFERROR(VLOOKUP($B1733,SERVIÇOS!$B:$G,3,0),IFERROR(VLOOKUP($B1733,$D:$K,3,0),"")),IFERROR(VLOOKUP($C1733,INSUMOS!$A:$D,3,0),IFERROR(VLOOKUP($C1733,COTAÇÕES!$B:$I,3,0),(VLOOKUP($C1733,'INSUMO SINAPI - SP'!$C:$F,3,0)))))</f>
        <v>H</v>
      </c>
      <c r="G1733" s="511">
        <v>0.88600000000000001</v>
      </c>
      <c r="H1733" s="512">
        <f>IF($C1733="",IFERROR(VLOOKUP($B1733,SERVIÇOS!$B:$G,6,0),IFERROR(VLOOKUP($B1733,$D:$K,8,0),"")),IFERROR(VLOOKUP($C1733,INSUMOS!$A:$D,4,0),IFERROR(VLOOKUP($C1733,COTAÇÕES!$B:$I,7,0),(VLOOKUP($C1733,'INSUMO SINAPI - SP'!$C:$F,4,0)))))</f>
        <v>37.369999999999997</v>
      </c>
      <c r="I1733" s="513">
        <f>TRUNC(IF($C1733="",IFERROR(VLOOKUP($B1733,SERVIÇOS!$B:$G,4,0),IFERROR(VLOOKUP($B1733,$D:$K,6,0),)),IFERROR(VLOOKUP($C1733,INSUMOS!$A:$D,4,0),IFERROR(VLOOKUP($C1733,COTAÇÕES!$B:$I,7,0),(VLOOKUP($C1733,'INSUMO SINAPI - SP'!$C:$F,4,0)))))*$G1733,2)</f>
        <v>8.24</v>
      </c>
      <c r="J1733" s="513">
        <f>TRUNC(IF($C1733="",IFERROR(VLOOKUP($B1733,SERVIÇOS!$B:$G,5,0),IFERROR(VLOOKUP($B1733,$D:$K,7,0),)),0)*$G1733,2)</f>
        <v>24.86</v>
      </c>
      <c r="K1733" s="514">
        <f>I1733+J1733</f>
        <v>33.1</v>
      </c>
      <c r="L1733" s="515"/>
      <c r="M1733" s="471"/>
      <c r="N1733" s="516"/>
      <c r="Q1733" s="472"/>
      <c r="R1733" s="472"/>
      <c r="S1733" s="472"/>
      <c r="T1733" s="472"/>
      <c r="U1733" s="472"/>
      <c r="V1733" s="472"/>
      <c r="W1733" s="472"/>
      <c r="X1733" s="472"/>
      <c r="Y1733" s="472"/>
    </row>
    <row r="1734" spans="1:25" x14ac:dyDescent="0.25">
      <c r="A1734" s="463"/>
      <c r="B1734" s="506"/>
      <c r="C1734" s="507">
        <v>20111</v>
      </c>
      <c r="D1734" s="508"/>
      <c r="E1734" s="509" t="str">
        <f>IF($C1734="",IFERROR(VLOOKUP($B1734,SERVIÇOS!$B:$G,2,0),IFERROR(VLOOKUP($B1734,$D:$K,2,0),"")),IFERROR(VLOOKUP($C1734,INSUMOS!$A:$D,2,0),IFERROR(VLOOKUP($C1734,COTAÇÕES!$B:$I,2,0),(VLOOKUP($C1734,'INSUMO SINAPI - SP'!$C:$F,2,0)))))</f>
        <v>FITA ISOLANTE ADESIVA ANTICHAMA, USO ATE 750 V, EM ROLO DE 19 MM X 20 M</v>
      </c>
      <c r="F1734" s="510" t="str">
        <f>IF($C1734="",IFERROR(VLOOKUP($B1734,SERVIÇOS!$B:$G,3,0),IFERROR(VLOOKUP($B1734,$D:$K,3,0),"")),IFERROR(VLOOKUP($C1734,INSUMOS!$A:$D,3,0),IFERROR(VLOOKUP($C1734,COTAÇÕES!$B:$I,3,0),(VLOOKUP($C1734,'INSUMO SINAPI - SP'!$C:$F,3,0)))))</f>
        <v>UN</v>
      </c>
      <c r="G1734" s="511">
        <v>7.4999999999999997E-3</v>
      </c>
      <c r="H1734" s="512">
        <f>IF($C1734="",IFERROR(VLOOKUP($B1734,SERVIÇOS!$B:$G,6,0),IFERROR(VLOOKUP($B1734,$D:$K,8,0),"")),IFERROR(VLOOKUP($C1734,INSUMOS!$A:$D,4,0),IFERROR(VLOOKUP($C1734,COTAÇÕES!$B:$I,7,0),(VLOOKUP($C1734,'INSUMO SINAPI - SP'!$C:$F,4,0)))))</f>
        <v>13.95</v>
      </c>
      <c r="I1734" s="513">
        <f>TRUNC(IF($C1734="",IFERROR(VLOOKUP($B1734,SERVIÇOS!$B:$G,4,0),IFERROR(VLOOKUP($B1734,$D:$K,6,0),)),IFERROR(VLOOKUP($C1734,INSUMOS!$A:$D,4,0),IFERROR(VLOOKUP($C1734,COTAÇÕES!$B:$I,7,0),(VLOOKUP($C1734,'INSUMO SINAPI - SP'!$C:$F,4,0)))))*$G1734,2)</f>
        <v>0.1</v>
      </c>
      <c r="J1734" s="513">
        <f>TRUNC(IF($C1734="",IFERROR(VLOOKUP($B1734,SERVIÇOS!$B:$G,5,0),IFERROR(VLOOKUP($B1734,$D:$K,7,0),)),0)*$G1734,2)</f>
        <v>0</v>
      </c>
      <c r="K1734" s="514">
        <f>I1734+J1734</f>
        <v>0.1</v>
      </c>
      <c r="L1734" s="517"/>
      <c r="M1734" s="471"/>
      <c r="N1734" s="516"/>
      <c r="Q1734" s="472"/>
      <c r="R1734" s="472"/>
      <c r="S1734" s="472"/>
      <c r="T1734" s="472"/>
      <c r="U1734" s="472"/>
      <c r="V1734" s="472"/>
      <c r="W1734" s="472"/>
      <c r="X1734" s="472"/>
      <c r="Y1734" s="472"/>
    </row>
    <row r="1735" spans="1:25" ht="24" x14ac:dyDescent="0.25">
      <c r="A1735" s="463"/>
      <c r="B1735" s="506"/>
      <c r="C1735" s="507" t="s">
        <v>13461</v>
      </c>
      <c r="D1735" s="508"/>
      <c r="E1735" s="518" t="s">
        <v>13459</v>
      </c>
      <c r="F1735" s="519" t="s">
        <v>580</v>
      </c>
      <c r="G1735" s="511">
        <v>1</v>
      </c>
      <c r="H1735" s="520">
        <v>70.650000000000006</v>
      </c>
      <c r="I1735" s="520">
        <f>TRUNC(H1735*G1735,2)</f>
        <v>70.650000000000006</v>
      </c>
      <c r="J1735" s="521"/>
      <c r="K1735" s="522">
        <f>I1735+J1735</f>
        <v>70.650000000000006</v>
      </c>
      <c r="L1735" s="517" t="s">
        <v>12668</v>
      </c>
      <c r="M1735" s="471"/>
      <c r="N1735" s="516"/>
      <c r="Q1735" s="472"/>
      <c r="R1735" s="472"/>
      <c r="S1735" s="472"/>
      <c r="T1735" s="472"/>
      <c r="U1735" s="472"/>
      <c r="V1735" s="472"/>
      <c r="W1735" s="472"/>
      <c r="X1735" s="472"/>
      <c r="Y1735" s="472"/>
    </row>
    <row r="1736" spans="1:25" ht="24" x14ac:dyDescent="0.25">
      <c r="A1736" s="463"/>
      <c r="B1736" s="498"/>
      <c r="C1736" s="498"/>
      <c r="D1736" s="499" t="s">
        <v>12243</v>
      </c>
      <c r="E1736" s="555" t="s">
        <v>13462</v>
      </c>
      <c r="F1736" s="501" t="s">
        <v>580</v>
      </c>
      <c r="G1736" s="502"/>
      <c r="H1736" s="503"/>
      <c r="I1736" s="504">
        <f>ROUND(SUM(I1737:I1740),2)</f>
        <v>87.24</v>
      </c>
      <c r="J1736" s="504">
        <f>ROUND(SUM(J1737:J1740),2)</f>
        <v>43.89</v>
      </c>
      <c r="K1736" s="504">
        <f>+J1736+I1736</f>
        <v>131.13</v>
      </c>
      <c r="L1736" s="523"/>
      <c r="M1736" s="471"/>
      <c r="N1736" s="505"/>
      <c r="Q1736" s="472"/>
      <c r="R1736" s="472"/>
      <c r="S1736" s="472"/>
      <c r="T1736" s="472"/>
      <c r="U1736" s="472"/>
      <c r="V1736" s="472"/>
      <c r="W1736" s="472"/>
      <c r="X1736" s="472"/>
      <c r="Y1736" s="472"/>
    </row>
    <row r="1737" spans="1:25" x14ac:dyDescent="0.25">
      <c r="A1737" s="463"/>
      <c r="B1737" s="506">
        <v>88247</v>
      </c>
      <c r="C1737" s="507"/>
      <c r="D1737" s="508"/>
      <c r="E1737" s="509" t="str">
        <f>IF($C1737="",IFERROR(VLOOKUP($B1737,SERVIÇOS!$B:$G,2,0),IFERROR(VLOOKUP($B1737,$D:$K,2,0),"")),IFERROR(VLOOKUP($C1737,INSUMOS!$A:$D,2,0),IFERROR(VLOOKUP($C1737,COTAÇÕES!$B:$I,2,0),(VLOOKUP($C1737,'INSUMO SINAPI - SP'!$C:$F,2,0)))))</f>
        <v>AUXILIAR DE ELETRICISTA COM ENCARGOS COMPLEMENTARES</v>
      </c>
      <c r="F1737" s="510" t="str">
        <f>IF($C1737="",IFERROR(VLOOKUP($B1737,SERVIÇOS!$B:$G,3,0),IFERROR(VLOOKUP($B1737,$D:$K,3,0),"")),IFERROR(VLOOKUP($C1737,INSUMOS!$A:$D,3,0),IFERROR(VLOOKUP($C1737,COTAÇÕES!$B:$I,3,0),(VLOOKUP($C1737,'INSUMO SINAPI - SP'!$C:$F,3,0)))))</f>
        <v>H</v>
      </c>
      <c r="G1737" s="511">
        <v>0.88600000000000001</v>
      </c>
      <c r="H1737" s="512">
        <f>IF($C1737="",IFERROR(VLOOKUP($B1737,SERVIÇOS!$B:$G,6,0),IFERROR(VLOOKUP($B1737,$D:$K,8,0),"")),IFERROR(VLOOKUP($C1737,INSUMOS!$A:$D,4,0),IFERROR(VLOOKUP($C1737,COTAÇÕES!$B:$I,7,0),(VLOOKUP($C1737,'INSUMO SINAPI - SP'!$C:$F,4,0)))))</f>
        <v>30.8</v>
      </c>
      <c r="I1737" s="513">
        <f>TRUNC(IF($C1737="",IFERROR(VLOOKUP($B1737,SERVIÇOS!$B:$G,4,0),IFERROR(VLOOKUP($B1737,$D:$K,6,0),)),IFERROR(VLOOKUP($C1737,INSUMOS!$A:$D,4,0),IFERROR(VLOOKUP($C1737,COTAÇÕES!$B:$I,7,0),(VLOOKUP($C1737,'INSUMO SINAPI - SP'!$C:$F,4,0)))))*$G1737,2)</f>
        <v>8.25</v>
      </c>
      <c r="J1737" s="513">
        <f>TRUNC(IF($C1737="",IFERROR(VLOOKUP($B1737,SERVIÇOS!$B:$G,5,0),IFERROR(VLOOKUP($B1737,$D:$K,7,0),)),0)*$G1737,2)</f>
        <v>19.03</v>
      </c>
      <c r="K1737" s="514">
        <f>I1737+J1737</f>
        <v>27.28</v>
      </c>
      <c r="L1737" s="515"/>
      <c r="M1737" s="471"/>
      <c r="N1737" s="516"/>
      <c r="Q1737" s="472"/>
      <c r="R1737" s="472"/>
      <c r="S1737" s="472"/>
      <c r="T1737" s="472"/>
      <c r="U1737" s="472"/>
      <c r="V1737" s="472"/>
      <c r="W1737" s="472"/>
      <c r="X1737" s="472"/>
      <c r="Y1737" s="472"/>
    </row>
    <row r="1738" spans="1:25" x14ac:dyDescent="0.25">
      <c r="A1738" s="463"/>
      <c r="B1738" s="506">
        <v>88264</v>
      </c>
      <c r="C1738" s="507"/>
      <c r="D1738" s="508"/>
      <c r="E1738" s="509" t="str">
        <f>IF($C1738="",IFERROR(VLOOKUP($B1738,SERVIÇOS!$B:$G,2,0),IFERROR(VLOOKUP($B1738,$D:$K,2,0),"")),IFERROR(VLOOKUP($C1738,INSUMOS!$A:$D,2,0),IFERROR(VLOOKUP($C1738,COTAÇÕES!$B:$I,2,0),(VLOOKUP($C1738,'INSUMO SINAPI - SP'!$C:$F,2,0)))))</f>
        <v>ELETRICISTA COM ENCARGOS COMPLEMENTARES</v>
      </c>
      <c r="F1738" s="510" t="str">
        <f>IF($C1738="",IFERROR(VLOOKUP($B1738,SERVIÇOS!$B:$G,3,0),IFERROR(VLOOKUP($B1738,$D:$K,3,0),"")),IFERROR(VLOOKUP($C1738,INSUMOS!$A:$D,3,0),IFERROR(VLOOKUP($C1738,COTAÇÕES!$B:$I,3,0),(VLOOKUP($C1738,'INSUMO SINAPI - SP'!$C:$F,3,0)))))</f>
        <v>H</v>
      </c>
      <c r="G1738" s="511">
        <v>0.88600000000000001</v>
      </c>
      <c r="H1738" s="512">
        <f>IF($C1738="",IFERROR(VLOOKUP($B1738,SERVIÇOS!$B:$G,6,0),IFERROR(VLOOKUP($B1738,$D:$K,8,0),"")),IFERROR(VLOOKUP($C1738,INSUMOS!$A:$D,4,0),IFERROR(VLOOKUP($C1738,COTAÇÕES!$B:$I,7,0),(VLOOKUP($C1738,'INSUMO SINAPI - SP'!$C:$F,4,0)))))</f>
        <v>37.369999999999997</v>
      </c>
      <c r="I1738" s="513">
        <f>TRUNC(IF($C1738="",IFERROR(VLOOKUP($B1738,SERVIÇOS!$B:$G,4,0),IFERROR(VLOOKUP($B1738,$D:$K,6,0),)),IFERROR(VLOOKUP($C1738,INSUMOS!$A:$D,4,0),IFERROR(VLOOKUP($C1738,COTAÇÕES!$B:$I,7,0),(VLOOKUP($C1738,'INSUMO SINAPI - SP'!$C:$F,4,0)))))*$G1738,2)</f>
        <v>8.24</v>
      </c>
      <c r="J1738" s="513">
        <f>TRUNC(IF($C1738="",IFERROR(VLOOKUP($B1738,SERVIÇOS!$B:$G,5,0),IFERROR(VLOOKUP($B1738,$D:$K,7,0),)),0)*$G1738,2)</f>
        <v>24.86</v>
      </c>
      <c r="K1738" s="514">
        <f>I1738+J1738</f>
        <v>33.1</v>
      </c>
      <c r="L1738" s="515"/>
      <c r="M1738" s="471"/>
      <c r="N1738" s="516"/>
      <c r="Q1738" s="472"/>
      <c r="R1738" s="472"/>
      <c r="S1738" s="472"/>
      <c r="T1738" s="472"/>
      <c r="U1738" s="472"/>
      <c r="V1738" s="472"/>
      <c r="W1738" s="472"/>
      <c r="X1738" s="472"/>
      <c r="Y1738" s="472"/>
    </row>
    <row r="1739" spans="1:25" x14ac:dyDescent="0.25">
      <c r="A1739" s="463"/>
      <c r="B1739" s="506"/>
      <c r="C1739" s="507">
        <v>20111</v>
      </c>
      <c r="D1739" s="508"/>
      <c r="E1739" s="509" t="str">
        <f>IF($C1739="",IFERROR(VLOOKUP($B1739,SERVIÇOS!$B:$G,2,0),IFERROR(VLOOKUP($B1739,$D:$K,2,0),"")),IFERROR(VLOOKUP($C1739,INSUMOS!$A:$D,2,0),IFERROR(VLOOKUP($C1739,COTAÇÕES!$B:$I,2,0),(VLOOKUP($C1739,'INSUMO SINAPI - SP'!$C:$F,2,0)))))</f>
        <v>FITA ISOLANTE ADESIVA ANTICHAMA, USO ATE 750 V, EM ROLO DE 19 MM X 20 M</v>
      </c>
      <c r="F1739" s="510" t="str">
        <f>IF($C1739="",IFERROR(VLOOKUP($B1739,SERVIÇOS!$B:$G,3,0),IFERROR(VLOOKUP($B1739,$D:$K,3,0),"")),IFERROR(VLOOKUP($C1739,INSUMOS!$A:$D,3,0),IFERROR(VLOOKUP($C1739,COTAÇÕES!$B:$I,3,0),(VLOOKUP($C1739,'INSUMO SINAPI - SP'!$C:$F,3,0)))))</f>
        <v>UN</v>
      </c>
      <c r="G1739" s="511">
        <v>7.4999999999999997E-3</v>
      </c>
      <c r="H1739" s="512">
        <f>IF($C1739="",IFERROR(VLOOKUP($B1739,SERVIÇOS!$B:$G,6,0),IFERROR(VLOOKUP($B1739,$D:$K,8,0),"")),IFERROR(VLOOKUP($C1739,INSUMOS!$A:$D,4,0),IFERROR(VLOOKUP($C1739,COTAÇÕES!$B:$I,7,0),(VLOOKUP($C1739,'INSUMO SINAPI - SP'!$C:$F,4,0)))))</f>
        <v>13.95</v>
      </c>
      <c r="I1739" s="513">
        <f>TRUNC(IF($C1739="",IFERROR(VLOOKUP($B1739,SERVIÇOS!$B:$G,4,0),IFERROR(VLOOKUP($B1739,$D:$K,6,0),)),IFERROR(VLOOKUP($C1739,INSUMOS!$A:$D,4,0),IFERROR(VLOOKUP($C1739,COTAÇÕES!$B:$I,7,0),(VLOOKUP($C1739,'INSUMO SINAPI - SP'!$C:$F,4,0)))))*$G1739,2)</f>
        <v>0.1</v>
      </c>
      <c r="J1739" s="513">
        <f>TRUNC(IF($C1739="",IFERROR(VLOOKUP($B1739,SERVIÇOS!$B:$G,5,0),IFERROR(VLOOKUP($B1739,$D:$K,7,0),)),0)*$G1739,2)</f>
        <v>0</v>
      </c>
      <c r="K1739" s="514">
        <f>I1739+J1739</f>
        <v>0.1</v>
      </c>
      <c r="L1739" s="517"/>
      <c r="M1739" s="471"/>
      <c r="N1739" s="516"/>
      <c r="Q1739" s="472"/>
      <c r="R1739" s="472"/>
      <c r="S1739" s="472"/>
      <c r="T1739" s="472"/>
      <c r="U1739" s="472"/>
      <c r="V1739" s="472"/>
      <c r="W1739" s="472"/>
      <c r="X1739" s="472"/>
      <c r="Y1739" s="472"/>
    </row>
    <row r="1740" spans="1:25" ht="24" x14ac:dyDescent="0.25">
      <c r="A1740" s="463"/>
      <c r="B1740" s="506"/>
      <c r="C1740" s="507" t="s">
        <v>13461</v>
      </c>
      <c r="D1740" s="508"/>
      <c r="E1740" s="518" t="s">
        <v>13462</v>
      </c>
      <c r="F1740" s="519" t="s">
        <v>580</v>
      </c>
      <c r="G1740" s="511">
        <v>1</v>
      </c>
      <c r="H1740" s="520">
        <v>70.650000000000006</v>
      </c>
      <c r="I1740" s="520">
        <f>TRUNC(H1740*G1740,2)</f>
        <v>70.650000000000006</v>
      </c>
      <c r="J1740" s="521"/>
      <c r="K1740" s="522">
        <f>I1740+J1740</f>
        <v>70.650000000000006</v>
      </c>
      <c r="L1740" s="517" t="s">
        <v>12668</v>
      </c>
      <c r="M1740" s="471"/>
      <c r="N1740" s="516"/>
      <c r="Q1740" s="472"/>
      <c r="R1740" s="472"/>
      <c r="S1740" s="472"/>
      <c r="T1740" s="472"/>
      <c r="U1740" s="472"/>
      <c r="V1740" s="472"/>
      <c r="W1740" s="472"/>
      <c r="X1740" s="472"/>
      <c r="Y1740" s="472"/>
    </row>
    <row r="1741" spans="1:25" x14ac:dyDescent="0.25">
      <c r="A1741" s="463"/>
      <c r="B1741" s="498"/>
      <c r="C1741" s="498"/>
      <c r="D1741" s="499" t="s">
        <v>12268</v>
      </c>
      <c r="E1741" s="555" t="s">
        <v>13463</v>
      </c>
      <c r="F1741" s="501" t="s">
        <v>580</v>
      </c>
      <c r="G1741" s="502"/>
      <c r="H1741" s="503"/>
      <c r="I1741" s="504">
        <f>ROUND(SUM(I1742:I1743),2)</f>
        <v>17.059999999999999</v>
      </c>
      <c r="J1741" s="504">
        <f>ROUND(SUM(J1742:J1743),2)</f>
        <v>20.89</v>
      </c>
      <c r="K1741" s="504">
        <f>+J1741+I1741</f>
        <v>37.950000000000003</v>
      </c>
      <c r="L1741" s="523" t="s">
        <v>13464</v>
      </c>
      <c r="M1741" s="471"/>
      <c r="N1741" s="505"/>
      <c r="Q1741" s="472"/>
      <c r="R1741" s="472"/>
      <c r="S1741" s="472"/>
      <c r="T1741" s="472"/>
      <c r="U1741" s="472"/>
      <c r="V1741" s="472"/>
      <c r="W1741" s="472"/>
      <c r="X1741" s="472"/>
      <c r="Y1741" s="472"/>
    </row>
    <row r="1742" spans="1:25" ht="24" x14ac:dyDescent="0.25">
      <c r="A1742" s="463"/>
      <c r="B1742" s="506">
        <v>91940</v>
      </c>
      <c r="C1742" s="507"/>
      <c r="D1742" s="508"/>
      <c r="E1742" s="509" t="str">
        <f>IF($C1742="",IFERROR(VLOOKUP($B1742,SERVIÇOS!$B:$G,2,0),IFERROR(VLOOKUP($B1742,$D:$K,2,0),"")),IFERROR(VLOOKUP($C1742,INSUMOS!$A:$D,2,0),IFERROR(VLOOKUP($C1742,COTAÇÕES!$B:$I,2,0),(VLOOKUP($C1742,'INSUMO SINAPI - SP'!$C:$F,2,0)))))</f>
        <v>CAIXA RETANGULAR 4" X 2" MÉDIA (1,30 M DO PISO), PVC, INSTALADA EM PAREDE - FORNECIMENTO E INSTALAÇÃO. AF_03/2023</v>
      </c>
      <c r="F1742" s="510" t="str">
        <f>IF($C1742="",IFERROR(VLOOKUP($B1742,SERVIÇOS!$B:$G,3,0),IFERROR(VLOOKUP($B1742,$D:$K,3,0),"")),IFERROR(VLOOKUP($C1742,INSUMOS!$A:$D,3,0),IFERROR(VLOOKUP($C1742,COTAÇÕES!$B:$I,3,0),(VLOOKUP($C1742,'INSUMO SINAPI - SP'!$C:$F,3,0)))))</f>
        <v>UN</v>
      </c>
      <c r="G1742" s="511">
        <v>1</v>
      </c>
      <c r="H1742" s="512">
        <f>IF($C1742="",IFERROR(VLOOKUP($B1742,SERVIÇOS!$B:$G,6,0),IFERROR(VLOOKUP($B1742,$D:$K,8,0),"")),IFERROR(VLOOKUP($C1742,INSUMOS!$A:$D,4,0),IFERROR(VLOOKUP($C1742,COTAÇÕES!$B:$I,7,0),(VLOOKUP($C1742,'INSUMO SINAPI - SP'!$C:$F,4,0)))))</f>
        <v>24.34</v>
      </c>
      <c r="I1742" s="513">
        <f>TRUNC(IF($C1742="",IFERROR(VLOOKUP($B1742,SERVIÇOS!$B:$G,4,0),IFERROR(VLOOKUP($B1742,$D:$K,6,0),)),IFERROR(VLOOKUP($C1742,INSUMOS!$A:$D,4,0),IFERROR(VLOOKUP($C1742,COTAÇÕES!$B:$I,7,0),(VLOOKUP($C1742,'INSUMO SINAPI - SP'!$C:$F,4,0)))))*$G1742,2)</f>
        <v>9.7799999999999994</v>
      </c>
      <c r="J1742" s="513">
        <f>TRUNC(IF($C1742="",IFERROR(VLOOKUP($B1742,SERVIÇOS!$B:$G,5,0),IFERROR(VLOOKUP($B1742,$D:$K,7,0),)),0)*$G1742,2)</f>
        <v>14.56</v>
      </c>
      <c r="K1742" s="514">
        <f>I1742+J1742</f>
        <v>24.34</v>
      </c>
      <c r="L1742" s="515"/>
      <c r="M1742" s="471"/>
      <c r="N1742" s="516"/>
      <c r="Q1742" s="472"/>
      <c r="R1742" s="472"/>
      <c r="S1742" s="472"/>
      <c r="T1742" s="472"/>
      <c r="U1742" s="472"/>
      <c r="V1742" s="472"/>
      <c r="W1742" s="472"/>
      <c r="X1742" s="472"/>
      <c r="Y1742" s="472"/>
    </row>
    <row r="1743" spans="1:25" ht="24" x14ac:dyDescent="0.25">
      <c r="A1743" s="463"/>
      <c r="B1743" s="506">
        <v>91946</v>
      </c>
      <c r="C1743" s="507"/>
      <c r="D1743" s="508"/>
      <c r="E1743" s="509" t="str">
        <f>IF($C1743="",IFERROR(VLOOKUP($B1743,SERVIÇOS!$B:$G,2,0),IFERROR(VLOOKUP($B1743,$D:$K,2,0),"")),IFERROR(VLOOKUP($C1743,INSUMOS!$A:$D,2,0),IFERROR(VLOOKUP($C1743,COTAÇÕES!$B:$I,2,0),(VLOOKUP($C1743,'INSUMO SINAPI - SP'!$C:$F,2,0)))))</f>
        <v>SUPORTE PARAFUSADO COM PLACA DE ENCAIXE 4" X 2" MÉDIO (1,30 M DO PISO) PARA PONTO ELÉTRICO - FORNECIMENTO E INSTALAÇÃO. AF_03/2023</v>
      </c>
      <c r="F1743" s="510" t="str">
        <f>IF($C1743="",IFERROR(VLOOKUP($B1743,SERVIÇOS!$B:$G,3,0),IFERROR(VLOOKUP($B1743,$D:$K,3,0),"")),IFERROR(VLOOKUP($C1743,INSUMOS!$A:$D,3,0),IFERROR(VLOOKUP($C1743,COTAÇÕES!$B:$I,3,0),(VLOOKUP($C1743,'INSUMO SINAPI - SP'!$C:$F,3,0)))))</f>
        <v>UN</v>
      </c>
      <c r="G1743" s="511">
        <v>1</v>
      </c>
      <c r="H1743" s="512">
        <f>IF($C1743="",IFERROR(VLOOKUP($B1743,SERVIÇOS!$B:$G,6,0),IFERROR(VLOOKUP($B1743,$D:$K,8,0),"")),IFERROR(VLOOKUP($C1743,INSUMOS!$A:$D,4,0),IFERROR(VLOOKUP($C1743,COTAÇÕES!$B:$I,7,0),(VLOOKUP($C1743,'INSUMO SINAPI - SP'!$C:$F,4,0)))))</f>
        <v>13.61</v>
      </c>
      <c r="I1743" s="513">
        <f>TRUNC(IF($C1743="",IFERROR(VLOOKUP($B1743,SERVIÇOS!$B:$G,4,0),IFERROR(VLOOKUP($B1743,$D:$K,6,0),)),IFERROR(VLOOKUP($C1743,INSUMOS!$A:$D,4,0),IFERROR(VLOOKUP($C1743,COTAÇÕES!$B:$I,7,0),(VLOOKUP($C1743,'INSUMO SINAPI - SP'!$C:$F,4,0)))))*$G1743,2)</f>
        <v>7.28</v>
      </c>
      <c r="J1743" s="513">
        <f>TRUNC(IF($C1743="",IFERROR(VLOOKUP($B1743,SERVIÇOS!$B:$G,5,0),IFERROR(VLOOKUP($B1743,$D:$K,7,0),)),0)*$G1743,2)</f>
        <v>6.33</v>
      </c>
      <c r="K1743" s="514">
        <f>I1743+J1743</f>
        <v>13.61</v>
      </c>
      <c r="L1743" s="515"/>
      <c r="M1743" s="471"/>
      <c r="N1743" s="516"/>
      <c r="Q1743" s="472"/>
      <c r="R1743" s="472"/>
      <c r="S1743" s="472"/>
      <c r="T1743" s="472"/>
      <c r="U1743" s="472"/>
      <c r="V1743" s="472"/>
      <c r="W1743" s="472"/>
      <c r="X1743" s="472"/>
      <c r="Y1743" s="472"/>
    </row>
    <row r="1744" spans="1:25" x14ac:dyDescent="0.25">
      <c r="A1744" s="463"/>
      <c r="B1744" s="498"/>
      <c r="C1744" s="498"/>
      <c r="D1744" s="499" t="s">
        <v>12246</v>
      </c>
      <c r="E1744" s="555" t="s">
        <v>13465</v>
      </c>
      <c r="F1744" s="501" t="s">
        <v>580</v>
      </c>
      <c r="G1744" s="502"/>
      <c r="H1744" s="503"/>
      <c r="I1744" s="504">
        <f>ROUND(SUM(I1745:I1746),2)</f>
        <v>17.059999999999999</v>
      </c>
      <c r="J1744" s="504">
        <f>ROUND(SUM(J1745:J1746),2)</f>
        <v>20.89</v>
      </c>
      <c r="K1744" s="504">
        <f>+J1744+I1744</f>
        <v>37.950000000000003</v>
      </c>
      <c r="L1744" s="523" t="s">
        <v>13464</v>
      </c>
      <c r="M1744" s="471"/>
      <c r="N1744" s="505"/>
      <c r="Q1744" s="472"/>
      <c r="R1744" s="472"/>
      <c r="S1744" s="472"/>
      <c r="T1744" s="472"/>
      <c r="U1744" s="472"/>
      <c r="V1744" s="472"/>
      <c r="W1744" s="472"/>
      <c r="X1744" s="472"/>
      <c r="Y1744" s="472"/>
    </row>
    <row r="1745" spans="1:25" ht="24" x14ac:dyDescent="0.25">
      <c r="A1745" s="463"/>
      <c r="B1745" s="506">
        <v>91940</v>
      </c>
      <c r="C1745" s="507"/>
      <c r="D1745" s="508"/>
      <c r="E1745" s="509" t="str">
        <f>IF($C1745="",IFERROR(VLOOKUP($B1745,SERVIÇOS!$B:$G,2,0),IFERROR(VLOOKUP($B1745,$D:$K,2,0),"")),IFERROR(VLOOKUP($C1745,INSUMOS!$A:$D,2,0),IFERROR(VLOOKUP($C1745,COTAÇÕES!$B:$I,2,0),(VLOOKUP($C1745,'INSUMO SINAPI - SP'!$C:$F,2,0)))))</f>
        <v>CAIXA RETANGULAR 4" X 2" MÉDIA (1,30 M DO PISO), PVC, INSTALADA EM PAREDE - FORNECIMENTO E INSTALAÇÃO. AF_03/2023</v>
      </c>
      <c r="F1745" s="510" t="str">
        <f>IF($C1745="",IFERROR(VLOOKUP($B1745,SERVIÇOS!$B:$G,3,0),IFERROR(VLOOKUP($B1745,$D:$K,3,0),"")),IFERROR(VLOOKUP($C1745,INSUMOS!$A:$D,3,0),IFERROR(VLOOKUP($C1745,COTAÇÕES!$B:$I,3,0),(VLOOKUP($C1745,'INSUMO SINAPI - SP'!$C:$F,3,0)))))</f>
        <v>UN</v>
      </c>
      <c r="G1745" s="511">
        <v>1</v>
      </c>
      <c r="H1745" s="512">
        <f>IF($C1745="",IFERROR(VLOOKUP($B1745,SERVIÇOS!$B:$G,6,0),IFERROR(VLOOKUP($B1745,$D:$K,8,0),"")),IFERROR(VLOOKUP($C1745,INSUMOS!$A:$D,4,0),IFERROR(VLOOKUP($C1745,COTAÇÕES!$B:$I,7,0),(VLOOKUP($C1745,'INSUMO SINAPI - SP'!$C:$F,4,0)))))</f>
        <v>24.34</v>
      </c>
      <c r="I1745" s="513">
        <f>TRUNC(IF($C1745="",IFERROR(VLOOKUP($B1745,SERVIÇOS!$B:$G,4,0),IFERROR(VLOOKUP($B1745,$D:$K,6,0),)),IFERROR(VLOOKUP($C1745,INSUMOS!$A:$D,4,0),IFERROR(VLOOKUP($C1745,COTAÇÕES!$B:$I,7,0),(VLOOKUP($C1745,'INSUMO SINAPI - SP'!$C:$F,4,0)))))*$G1745,2)</f>
        <v>9.7799999999999994</v>
      </c>
      <c r="J1745" s="513">
        <f>TRUNC(IF($C1745="",IFERROR(VLOOKUP($B1745,SERVIÇOS!$B:$G,5,0),IFERROR(VLOOKUP($B1745,$D:$K,7,0),)),0)*$G1745,2)</f>
        <v>14.56</v>
      </c>
      <c r="K1745" s="514">
        <f>I1745+J1745</f>
        <v>24.34</v>
      </c>
      <c r="L1745" s="515"/>
      <c r="M1745" s="471"/>
      <c r="N1745" s="516"/>
      <c r="Q1745" s="472"/>
      <c r="R1745" s="472"/>
      <c r="S1745" s="472"/>
      <c r="T1745" s="472"/>
      <c r="U1745" s="472"/>
      <c r="V1745" s="472"/>
      <c r="W1745" s="472"/>
      <c r="X1745" s="472"/>
      <c r="Y1745" s="472"/>
    </row>
    <row r="1746" spans="1:25" ht="24" x14ac:dyDescent="0.25">
      <c r="A1746" s="463"/>
      <c r="B1746" s="506">
        <v>91946</v>
      </c>
      <c r="C1746" s="507"/>
      <c r="D1746" s="508"/>
      <c r="E1746" s="509" t="str">
        <f>IF($C1746="",IFERROR(VLOOKUP($B1746,SERVIÇOS!$B:$G,2,0),IFERROR(VLOOKUP($B1746,$D:$K,2,0),"")),IFERROR(VLOOKUP($C1746,INSUMOS!$A:$D,2,0),IFERROR(VLOOKUP($C1746,COTAÇÕES!$B:$I,2,0),(VLOOKUP($C1746,'INSUMO SINAPI - SP'!$C:$F,2,0)))))</f>
        <v>SUPORTE PARAFUSADO COM PLACA DE ENCAIXE 4" X 2" MÉDIO (1,30 M DO PISO) PARA PONTO ELÉTRICO - FORNECIMENTO E INSTALAÇÃO. AF_03/2023</v>
      </c>
      <c r="F1746" s="510" t="str">
        <f>IF($C1746="",IFERROR(VLOOKUP($B1746,SERVIÇOS!$B:$G,3,0),IFERROR(VLOOKUP($B1746,$D:$K,3,0),"")),IFERROR(VLOOKUP($C1746,INSUMOS!$A:$D,3,0),IFERROR(VLOOKUP($C1746,COTAÇÕES!$B:$I,3,0),(VLOOKUP($C1746,'INSUMO SINAPI - SP'!$C:$F,3,0)))))</f>
        <v>UN</v>
      </c>
      <c r="G1746" s="511">
        <v>1</v>
      </c>
      <c r="H1746" s="512">
        <f>IF($C1746="",IFERROR(VLOOKUP($B1746,SERVIÇOS!$B:$G,6,0),IFERROR(VLOOKUP($B1746,$D:$K,8,0),"")),IFERROR(VLOOKUP($C1746,INSUMOS!$A:$D,4,0),IFERROR(VLOOKUP($C1746,COTAÇÕES!$B:$I,7,0),(VLOOKUP($C1746,'INSUMO SINAPI - SP'!$C:$F,4,0)))))</f>
        <v>13.61</v>
      </c>
      <c r="I1746" s="513">
        <f>TRUNC(IF($C1746="",IFERROR(VLOOKUP($B1746,SERVIÇOS!$B:$G,4,0),IFERROR(VLOOKUP($B1746,$D:$K,6,0),)),IFERROR(VLOOKUP($C1746,INSUMOS!$A:$D,4,0),IFERROR(VLOOKUP($C1746,COTAÇÕES!$B:$I,7,0),(VLOOKUP($C1746,'INSUMO SINAPI - SP'!$C:$F,4,0)))))*$G1746,2)</f>
        <v>7.28</v>
      </c>
      <c r="J1746" s="513">
        <f>TRUNC(IF($C1746="",IFERROR(VLOOKUP($B1746,SERVIÇOS!$B:$G,5,0),IFERROR(VLOOKUP($B1746,$D:$K,7,0),)),0)*$G1746,2)</f>
        <v>6.33</v>
      </c>
      <c r="K1746" s="514">
        <f>I1746+J1746</f>
        <v>13.61</v>
      </c>
      <c r="L1746" s="515"/>
      <c r="M1746" s="471"/>
      <c r="N1746" s="516"/>
      <c r="Q1746" s="472"/>
      <c r="R1746" s="472"/>
      <c r="S1746" s="472"/>
      <c r="T1746" s="472"/>
      <c r="U1746" s="472"/>
      <c r="V1746" s="472"/>
      <c r="W1746" s="472"/>
      <c r="X1746" s="472"/>
      <c r="Y1746" s="472"/>
    </row>
    <row r="1747" spans="1:25" ht="24" x14ac:dyDescent="0.25">
      <c r="A1747" s="463"/>
      <c r="B1747" s="498"/>
      <c r="C1747" s="498"/>
      <c r="D1747" s="499" t="s">
        <v>12209</v>
      </c>
      <c r="E1747" s="555" t="s">
        <v>13466</v>
      </c>
      <c r="F1747" s="501" t="s">
        <v>580</v>
      </c>
      <c r="G1747" s="502"/>
      <c r="H1747" s="503"/>
      <c r="I1747" s="504">
        <f>ROUND(SUM(I1748:I1751),2)</f>
        <v>157.22999999999999</v>
      </c>
      <c r="J1747" s="504">
        <f>ROUND(SUM(J1748:J1751),2)</f>
        <v>43.89</v>
      </c>
      <c r="K1747" s="504">
        <f>+J1747+I1747</f>
        <v>201.12</v>
      </c>
      <c r="L1747" s="523" t="s">
        <v>13467</v>
      </c>
      <c r="M1747" s="471"/>
      <c r="N1747" s="505"/>
      <c r="Q1747" s="472"/>
      <c r="R1747" s="472"/>
      <c r="S1747" s="472"/>
      <c r="T1747" s="472"/>
      <c r="U1747" s="472"/>
      <c r="V1747" s="472"/>
      <c r="W1747" s="472"/>
      <c r="X1747" s="472"/>
      <c r="Y1747" s="472"/>
    </row>
    <row r="1748" spans="1:25" x14ac:dyDescent="0.25">
      <c r="A1748" s="463"/>
      <c r="B1748" s="506">
        <v>88247</v>
      </c>
      <c r="C1748" s="507"/>
      <c r="D1748" s="508"/>
      <c r="E1748" s="509" t="str">
        <f>IF($C1748="",IFERROR(VLOOKUP($B1748,SERVIÇOS!$B:$G,2,0),IFERROR(VLOOKUP($B1748,$D:$K,2,0),"")),IFERROR(VLOOKUP($C1748,INSUMOS!$A:$D,2,0),IFERROR(VLOOKUP($C1748,COTAÇÕES!$B:$I,2,0),(VLOOKUP($C1748,'INSUMO SINAPI - SP'!$C:$F,2,0)))))</f>
        <v>AUXILIAR DE ELETRICISTA COM ENCARGOS COMPLEMENTARES</v>
      </c>
      <c r="F1748" s="510" t="str">
        <f>IF($C1748="",IFERROR(VLOOKUP($B1748,SERVIÇOS!$B:$G,3,0),IFERROR(VLOOKUP($B1748,$D:$K,3,0),"")),IFERROR(VLOOKUP($C1748,INSUMOS!$A:$D,3,0),IFERROR(VLOOKUP($C1748,COTAÇÕES!$B:$I,3,0),(VLOOKUP($C1748,'INSUMO SINAPI - SP'!$C:$F,3,0)))))</f>
        <v>H</v>
      </c>
      <c r="G1748" s="511">
        <v>0.88600000000000001</v>
      </c>
      <c r="H1748" s="512">
        <f>IF($C1748="",IFERROR(VLOOKUP($B1748,SERVIÇOS!$B:$G,6,0),IFERROR(VLOOKUP($B1748,$D:$K,8,0),"")),IFERROR(VLOOKUP($C1748,INSUMOS!$A:$D,4,0),IFERROR(VLOOKUP($C1748,COTAÇÕES!$B:$I,7,0),(VLOOKUP($C1748,'INSUMO SINAPI - SP'!$C:$F,4,0)))))</f>
        <v>30.8</v>
      </c>
      <c r="I1748" s="513">
        <f>TRUNC(IF($C1748="",IFERROR(VLOOKUP($B1748,SERVIÇOS!$B:$G,4,0),IFERROR(VLOOKUP($B1748,$D:$K,6,0),)),IFERROR(VLOOKUP($C1748,INSUMOS!$A:$D,4,0),IFERROR(VLOOKUP($C1748,COTAÇÕES!$B:$I,7,0),(VLOOKUP($C1748,'INSUMO SINAPI - SP'!$C:$F,4,0)))))*$G1748,2)</f>
        <v>8.25</v>
      </c>
      <c r="J1748" s="513">
        <f>TRUNC(IF($C1748="",IFERROR(VLOOKUP($B1748,SERVIÇOS!$B:$G,5,0),IFERROR(VLOOKUP($B1748,$D:$K,7,0),)),0)*$G1748,2)</f>
        <v>19.03</v>
      </c>
      <c r="K1748" s="514">
        <f>I1748+J1748</f>
        <v>27.28</v>
      </c>
      <c r="L1748" s="515"/>
      <c r="M1748" s="471"/>
      <c r="N1748" s="516"/>
      <c r="Q1748" s="472"/>
      <c r="R1748" s="472"/>
      <c r="S1748" s="472"/>
      <c r="T1748" s="472"/>
      <c r="U1748" s="472"/>
      <c r="V1748" s="472"/>
      <c r="W1748" s="472"/>
      <c r="X1748" s="472"/>
      <c r="Y1748" s="472"/>
    </row>
    <row r="1749" spans="1:25" x14ac:dyDescent="0.25">
      <c r="A1749" s="463"/>
      <c r="B1749" s="506">
        <v>88264</v>
      </c>
      <c r="C1749" s="507"/>
      <c r="D1749" s="508"/>
      <c r="E1749" s="509" t="str">
        <f>IF($C1749="",IFERROR(VLOOKUP($B1749,SERVIÇOS!$B:$G,2,0),IFERROR(VLOOKUP($B1749,$D:$K,2,0),"")),IFERROR(VLOOKUP($C1749,INSUMOS!$A:$D,2,0),IFERROR(VLOOKUP($C1749,COTAÇÕES!$B:$I,2,0),(VLOOKUP($C1749,'INSUMO SINAPI - SP'!$C:$F,2,0)))))</f>
        <v>ELETRICISTA COM ENCARGOS COMPLEMENTARES</v>
      </c>
      <c r="F1749" s="510" t="str">
        <f>IF($C1749="",IFERROR(VLOOKUP($B1749,SERVIÇOS!$B:$G,3,0),IFERROR(VLOOKUP($B1749,$D:$K,3,0),"")),IFERROR(VLOOKUP($C1749,INSUMOS!$A:$D,3,0),IFERROR(VLOOKUP($C1749,COTAÇÕES!$B:$I,3,0),(VLOOKUP($C1749,'INSUMO SINAPI - SP'!$C:$F,3,0)))))</f>
        <v>H</v>
      </c>
      <c r="G1749" s="511">
        <v>0.88600000000000001</v>
      </c>
      <c r="H1749" s="512">
        <f>IF($C1749="",IFERROR(VLOOKUP($B1749,SERVIÇOS!$B:$G,6,0),IFERROR(VLOOKUP($B1749,$D:$K,8,0),"")),IFERROR(VLOOKUP($C1749,INSUMOS!$A:$D,4,0),IFERROR(VLOOKUP($C1749,COTAÇÕES!$B:$I,7,0),(VLOOKUP($C1749,'INSUMO SINAPI - SP'!$C:$F,4,0)))))</f>
        <v>37.369999999999997</v>
      </c>
      <c r="I1749" s="513">
        <f>TRUNC(IF($C1749="",IFERROR(VLOOKUP($B1749,SERVIÇOS!$B:$G,4,0),IFERROR(VLOOKUP($B1749,$D:$K,6,0),)),IFERROR(VLOOKUP($C1749,INSUMOS!$A:$D,4,0),IFERROR(VLOOKUP($C1749,COTAÇÕES!$B:$I,7,0),(VLOOKUP($C1749,'INSUMO SINAPI - SP'!$C:$F,4,0)))))*$G1749,2)</f>
        <v>8.24</v>
      </c>
      <c r="J1749" s="513">
        <f>TRUNC(IF($C1749="",IFERROR(VLOOKUP($B1749,SERVIÇOS!$B:$G,5,0),IFERROR(VLOOKUP($B1749,$D:$K,7,0),)),0)*$G1749,2)</f>
        <v>24.86</v>
      </c>
      <c r="K1749" s="514">
        <f>I1749+J1749</f>
        <v>33.1</v>
      </c>
      <c r="L1749" s="515"/>
      <c r="M1749" s="471"/>
      <c r="N1749" s="516"/>
      <c r="Q1749" s="472"/>
      <c r="R1749" s="472"/>
      <c r="S1749" s="472"/>
      <c r="T1749" s="472"/>
      <c r="U1749" s="472"/>
      <c r="V1749" s="472"/>
      <c r="W1749" s="472"/>
      <c r="X1749" s="472"/>
      <c r="Y1749" s="472"/>
    </row>
    <row r="1750" spans="1:25" x14ac:dyDescent="0.25">
      <c r="A1750" s="463"/>
      <c r="B1750" s="506"/>
      <c r="C1750" s="507">
        <v>38194</v>
      </c>
      <c r="D1750" s="508"/>
      <c r="E1750" s="509" t="str">
        <f>IF($C1750="",IFERROR(VLOOKUP($B1750,SERVIÇOS!$B:$G,2,0),IFERROR(VLOOKUP($B1750,$D:$K,2,0),"")),IFERROR(VLOOKUP($C1750,INSUMOS!$A:$D,2,0),IFERROR(VLOOKUP($C1750,COTAÇÕES!$B:$I,2,0),(VLOOKUP($C1750,'INSUMO SINAPI - SP'!$C:$F,2,0)))))</f>
        <v>LAMPADA LED 10 W BIVOLT BRANCA, FORMATO TRADICIONAL (BASE E27)</v>
      </c>
      <c r="F1750" s="510" t="str">
        <f>IF($C1750="",IFERROR(VLOOKUP($B1750,SERVIÇOS!$B:$G,3,0),IFERROR(VLOOKUP($B1750,$D:$K,3,0),"")),IFERROR(VLOOKUP($C1750,INSUMOS!$A:$D,3,0),IFERROR(VLOOKUP($C1750,COTAÇÕES!$B:$I,3,0),(VLOOKUP($C1750,'INSUMO SINAPI - SP'!$C:$F,3,0)))))</f>
        <v>UN</v>
      </c>
      <c r="G1750" s="511">
        <v>1</v>
      </c>
      <c r="H1750" s="512">
        <f>IF($C1750="",IFERROR(VLOOKUP($B1750,SERVIÇOS!$B:$G,6,0),IFERROR(VLOOKUP($B1750,$D:$K,8,0),"")),IFERROR(VLOOKUP($C1750,INSUMOS!$A:$D,4,0),IFERROR(VLOOKUP($C1750,COTAÇÕES!$B:$I,7,0),(VLOOKUP($C1750,'INSUMO SINAPI - SP'!$C:$F,4,0)))))</f>
        <v>5.41</v>
      </c>
      <c r="I1750" s="513">
        <f>TRUNC(IF($C1750="",IFERROR(VLOOKUP($B1750,SERVIÇOS!$B:$G,4,0),IFERROR(VLOOKUP($B1750,$D:$K,6,0),)),IFERROR(VLOOKUP($C1750,INSUMOS!$A:$D,4,0),IFERROR(VLOOKUP($C1750,COTAÇÕES!$B:$I,7,0),(VLOOKUP($C1750,'INSUMO SINAPI - SP'!$C:$F,4,0)))))*$G1750,2)</f>
        <v>5.41</v>
      </c>
      <c r="J1750" s="513">
        <f>TRUNC(IF($C1750="",IFERROR(VLOOKUP($B1750,SERVIÇOS!$B:$G,5,0),IFERROR(VLOOKUP($B1750,$D:$K,7,0),)),0)*$G1750,2)</f>
        <v>0</v>
      </c>
      <c r="K1750" s="514">
        <f>I1750+J1750</f>
        <v>5.41</v>
      </c>
      <c r="L1750" s="517"/>
      <c r="M1750" s="471"/>
      <c r="N1750" s="516"/>
      <c r="Q1750" s="472"/>
      <c r="R1750" s="472"/>
      <c r="S1750" s="472"/>
      <c r="T1750" s="472"/>
      <c r="U1750" s="472"/>
      <c r="V1750" s="472"/>
      <c r="W1750" s="472"/>
      <c r="X1750" s="472"/>
      <c r="Y1750" s="472"/>
    </row>
    <row r="1751" spans="1:25" x14ac:dyDescent="0.25">
      <c r="A1751" s="463"/>
      <c r="B1751" s="506"/>
      <c r="C1751" s="507" t="s">
        <v>13468</v>
      </c>
      <c r="D1751" s="508"/>
      <c r="E1751" s="518" t="s">
        <v>13469</v>
      </c>
      <c r="F1751" s="519" t="s">
        <v>580</v>
      </c>
      <c r="G1751" s="511">
        <v>1</v>
      </c>
      <c r="H1751" s="520">
        <v>135.33000000000001</v>
      </c>
      <c r="I1751" s="520">
        <f>TRUNC(H1751*G1751,2)</f>
        <v>135.33000000000001</v>
      </c>
      <c r="J1751" s="521"/>
      <c r="K1751" s="522">
        <f>I1751+J1751</f>
        <v>135.33000000000001</v>
      </c>
      <c r="L1751" s="517" t="s">
        <v>12668</v>
      </c>
      <c r="M1751" s="471"/>
      <c r="N1751" s="516"/>
      <c r="Q1751" s="472"/>
      <c r="R1751" s="472"/>
      <c r="S1751" s="472"/>
      <c r="T1751" s="472"/>
      <c r="U1751" s="472"/>
      <c r="V1751" s="472"/>
      <c r="W1751" s="472"/>
      <c r="X1751" s="472"/>
      <c r="Y1751" s="472"/>
    </row>
    <row r="1752" spans="1:25" x14ac:dyDescent="0.25">
      <c r="A1752" s="463"/>
      <c r="B1752" s="498"/>
      <c r="C1752" s="498"/>
      <c r="D1752" s="499" t="s">
        <v>12252</v>
      </c>
      <c r="E1752" s="555" t="s">
        <v>13470</v>
      </c>
      <c r="F1752" s="501" t="s">
        <v>585</v>
      </c>
      <c r="G1752" s="502"/>
      <c r="H1752" s="503"/>
      <c r="I1752" s="504">
        <f>ROUND(SUM(I1753:I1755),2)</f>
        <v>6.98</v>
      </c>
      <c r="J1752" s="504">
        <f>ROUND(SUM(J1753:J1755),2)</f>
        <v>10.199999999999999</v>
      </c>
      <c r="K1752" s="504">
        <f>+J1752+I1752</f>
        <v>17.18</v>
      </c>
      <c r="L1752" s="523" t="s">
        <v>13471</v>
      </c>
      <c r="M1752" s="471"/>
      <c r="N1752" s="505"/>
      <c r="Q1752" s="472"/>
      <c r="R1752" s="472"/>
      <c r="S1752" s="472"/>
      <c r="T1752" s="472"/>
      <c r="U1752" s="472"/>
      <c r="V1752" s="472"/>
      <c r="W1752" s="472"/>
      <c r="X1752" s="472"/>
      <c r="Y1752" s="472"/>
    </row>
    <row r="1753" spans="1:25" x14ac:dyDescent="0.25">
      <c r="A1753" s="463"/>
      <c r="B1753" s="506">
        <v>88247</v>
      </c>
      <c r="C1753" s="507"/>
      <c r="D1753" s="508"/>
      <c r="E1753" s="509" t="str">
        <f>IF($C1753="",IFERROR(VLOOKUP($B1753,SERVIÇOS!$B:$G,2,0),IFERROR(VLOOKUP($B1753,$D:$K,2,0),"")),IFERROR(VLOOKUP($C1753,INSUMOS!$A:$D,2,0),IFERROR(VLOOKUP($C1753,COTAÇÕES!$B:$I,2,0),(VLOOKUP($C1753,'INSUMO SINAPI - SP'!$C:$F,2,0)))))</f>
        <v>AUXILIAR DE ELETRICISTA COM ENCARGOS COMPLEMENTARES</v>
      </c>
      <c r="F1753" s="510" t="str">
        <f>IF($C1753="",IFERROR(VLOOKUP($B1753,SERVIÇOS!$B:$G,3,0),IFERROR(VLOOKUP($B1753,$D:$K,3,0),"")),IFERROR(VLOOKUP($C1753,INSUMOS!$A:$D,3,0),IFERROR(VLOOKUP($C1753,COTAÇÕES!$B:$I,3,0),(VLOOKUP($C1753,'INSUMO SINAPI - SP'!$C:$F,3,0)))))</f>
        <v>H</v>
      </c>
      <c r="G1753" s="511">
        <v>0.20599999999999999</v>
      </c>
      <c r="H1753" s="512">
        <f>IF($C1753="",IFERROR(VLOOKUP($B1753,SERVIÇOS!$B:$G,6,0),IFERROR(VLOOKUP($B1753,$D:$K,8,0),"")),IFERROR(VLOOKUP($C1753,INSUMOS!$A:$D,4,0),IFERROR(VLOOKUP($C1753,COTAÇÕES!$B:$I,7,0),(VLOOKUP($C1753,'INSUMO SINAPI - SP'!$C:$F,4,0)))))</f>
        <v>30.8</v>
      </c>
      <c r="I1753" s="513">
        <f>TRUNC(IF($C1753="",IFERROR(VLOOKUP($B1753,SERVIÇOS!$B:$G,4,0),IFERROR(VLOOKUP($B1753,$D:$K,6,0),)),IFERROR(VLOOKUP($C1753,INSUMOS!$A:$D,4,0),IFERROR(VLOOKUP($C1753,COTAÇÕES!$B:$I,7,0),(VLOOKUP($C1753,'INSUMO SINAPI - SP'!$C:$F,4,0)))))*$G1753,2)</f>
        <v>1.91</v>
      </c>
      <c r="J1753" s="513">
        <f>TRUNC(IF($C1753="",IFERROR(VLOOKUP($B1753,SERVIÇOS!$B:$G,5,0),IFERROR(VLOOKUP($B1753,$D:$K,7,0),)),0)*$G1753,2)</f>
        <v>4.42</v>
      </c>
      <c r="K1753" s="514">
        <f>I1753+J1753</f>
        <v>6.33</v>
      </c>
      <c r="L1753" s="515"/>
      <c r="M1753" s="471"/>
      <c r="N1753" s="516"/>
      <c r="Q1753" s="472"/>
      <c r="R1753" s="472"/>
      <c r="S1753" s="472"/>
      <c r="T1753" s="472"/>
      <c r="U1753" s="472"/>
      <c r="V1753" s="472"/>
      <c r="W1753" s="472"/>
      <c r="X1753" s="472"/>
      <c r="Y1753" s="472"/>
    </row>
    <row r="1754" spans="1:25" x14ac:dyDescent="0.25">
      <c r="A1754" s="463"/>
      <c r="B1754" s="506">
        <v>88264</v>
      </c>
      <c r="C1754" s="507"/>
      <c r="D1754" s="508"/>
      <c r="E1754" s="509" t="str">
        <f>IF($C1754="",IFERROR(VLOOKUP($B1754,SERVIÇOS!$B:$G,2,0),IFERROR(VLOOKUP($B1754,$D:$K,2,0),"")),IFERROR(VLOOKUP($C1754,INSUMOS!$A:$D,2,0),IFERROR(VLOOKUP($C1754,COTAÇÕES!$B:$I,2,0),(VLOOKUP($C1754,'INSUMO SINAPI - SP'!$C:$F,2,0)))))</f>
        <v>ELETRICISTA COM ENCARGOS COMPLEMENTARES</v>
      </c>
      <c r="F1754" s="510" t="str">
        <f>IF($C1754="",IFERROR(VLOOKUP($B1754,SERVIÇOS!$B:$G,3,0),IFERROR(VLOOKUP($B1754,$D:$K,3,0),"")),IFERROR(VLOOKUP($C1754,INSUMOS!$A:$D,3,0),IFERROR(VLOOKUP($C1754,COTAÇÕES!$B:$I,3,0),(VLOOKUP($C1754,'INSUMO SINAPI - SP'!$C:$F,3,0)))))</f>
        <v>H</v>
      </c>
      <c r="G1754" s="511">
        <v>0.20599999999999999</v>
      </c>
      <c r="H1754" s="512">
        <f>IF($C1754="",IFERROR(VLOOKUP($B1754,SERVIÇOS!$B:$G,6,0),IFERROR(VLOOKUP($B1754,$D:$K,8,0),"")),IFERROR(VLOOKUP($C1754,INSUMOS!$A:$D,4,0),IFERROR(VLOOKUP($C1754,COTAÇÕES!$B:$I,7,0),(VLOOKUP($C1754,'INSUMO SINAPI - SP'!$C:$F,4,0)))))</f>
        <v>37.369999999999997</v>
      </c>
      <c r="I1754" s="513">
        <f>TRUNC(IF($C1754="",IFERROR(VLOOKUP($B1754,SERVIÇOS!$B:$G,4,0),IFERROR(VLOOKUP($B1754,$D:$K,6,0),)),IFERROR(VLOOKUP($C1754,INSUMOS!$A:$D,4,0),IFERROR(VLOOKUP($C1754,COTAÇÕES!$B:$I,7,0),(VLOOKUP($C1754,'INSUMO SINAPI - SP'!$C:$F,4,0)))))*$G1754,2)</f>
        <v>1.91</v>
      </c>
      <c r="J1754" s="513">
        <f>TRUNC(IF($C1754="",IFERROR(VLOOKUP($B1754,SERVIÇOS!$B:$G,5,0),IFERROR(VLOOKUP($B1754,$D:$K,7,0),)),0)*$G1754,2)</f>
        <v>5.78</v>
      </c>
      <c r="K1754" s="514">
        <f>I1754+J1754</f>
        <v>7.69</v>
      </c>
      <c r="L1754" s="515"/>
      <c r="M1754" s="471"/>
      <c r="N1754" s="516"/>
      <c r="Q1754" s="472"/>
      <c r="R1754" s="472"/>
      <c r="S1754" s="472"/>
      <c r="T1754" s="472"/>
      <c r="U1754" s="472"/>
      <c r="V1754" s="472"/>
      <c r="W1754" s="472"/>
      <c r="X1754" s="472"/>
      <c r="Y1754" s="472"/>
    </row>
    <row r="1755" spans="1:25" x14ac:dyDescent="0.25">
      <c r="A1755" s="463"/>
      <c r="B1755" s="506"/>
      <c r="C1755" s="507" t="s">
        <v>13472</v>
      </c>
      <c r="D1755" s="508"/>
      <c r="E1755" s="518" t="s">
        <v>13470</v>
      </c>
      <c r="F1755" s="519" t="s">
        <v>585</v>
      </c>
      <c r="G1755" s="511">
        <v>1.02</v>
      </c>
      <c r="H1755" s="520">
        <v>3.1</v>
      </c>
      <c r="I1755" s="520">
        <f>TRUNC(H1755*G1755,2)</f>
        <v>3.16</v>
      </c>
      <c r="J1755" s="521"/>
      <c r="K1755" s="522">
        <f>I1755+J1755</f>
        <v>3.16</v>
      </c>
      <c r="L1755" s="517" t="s">
        <v>12901</v>
      </c>
      <c r="M1755" s="471"/>
      <c r="N1755" s="516"/>
      <c r="Q1755" s="472"/>
      <c r="R1755" s="472"/>
      <c r="S1755" s="472"/>
      <c r="T1755" s="472"/>
      <c r="U1755" s="472"/>
      <c r="V1755" s="472"/>
      <c r="W1755" s="472"/>
      <c r="X1755" s="472"/>
      <c r="Y1755" s="472"/>
    </row>
    <row r="1756" spans="1:25" x14ac:dyDescent="0.25">
      <c r="A1756" s="463"/>
      <c r="B1756" s="498"/>
      <c r="C1756" s="498"/>
      <c r="D1756" s="499" t="s">
        <v>12318</v>
      </c>
      <c r="E1756" s="555" t="s">
        <v>13473</v>
      </c>
      <c r="F1756" s="501" t="s">
        <v>580</v>
      </c>
      <c r="G1756" s="502"/>
      <c r="H1756" s="503"/>
      <c r="I1756" s="504">
        <f>ROUND(SUM(I1757:I1759),2)</f>
        <v>38.299999999999997</v>
      </c>
      <c r="J1756" s="504">
        <f>ROUND(SUM(J1757:J1759),2)</f>
        <v>10.199999999999999</v>
      </c>
      <c r="K1756" s="504">
        <f>+J1756+I1756</f>
        <v>48.5</v>
      </c>
      <c r="L1756" s="523" t="s">
        <v>13474</v>
      </c>
      <c r="M1756" s="471"/>
      <c r="N1756" s="505"/>
      <c r="Q1756" s="472"/>
      <c r="R1756" s="472"/>
      <c r="S1756" s="472"/>
      <c r="T1756" s="472"/>
      <c r="U1756" s="472"/>
      <c r="V1756" s="472"/>
      <c r="W1756" s="472"/>
      <c r="X1756" s="472"/>
      <c r="Y1756" s="472"/>
    </row>
    <row r="1757" spans="1:25" x14ac:dyDescent="0.25">
      <c r="A1757" s="463"/>
      <c r="B1757" s="506"/>
      <c r="C1757" s="507" t="s">
        <v>13475</v>
      </c>
      <c r="D1757" s="508"/>
      <c r="E1757" s="518" t="s">
        <v>13476</v>
      </c>
      <c r="F1757" s="519" t="s">
        <v>580</v>
      </c>
      <c r="G1757" s="511">
        <v>1</v>
      </c>
      <c r="H1757" s="520">
        <v>34.47</v>
      </c>
      <c r="I1757" s="520">
        <f>TRUNC(H1757*G1757,2)</f>
        <v>34.47</v>
      </c>
      <c r="J1757" s="521"/>
      <c r="K1757" s="522">
        <f>I1757+J1757</f>
        <v>34.47</v>
      </c>
      <c r="L1757" s="517" t="s">
        <v>12668</v>
      </c>
      <c r="M1757" s="471"/>
      <c r="N1757" s="516"/>
      <c r="Q1757" s="472"/>
      <c r="R1757" s="472"/>
      <c r="S1757" s="472"/>
      <c r="T1757" s="472"/>
      <c r="U1757" s="472"/>
      <c r="V1757" s="472"/>
      <c r="W1757" s="472"/>
      <c r="X1757" s="472"/>
      <c r="Y1757" s="472"/>
    </row>
    <row r="1758" spans="1:25" x14ac:dyDescent="0.25">
      <c r="A1758" s="463"/>
      <c r="B1758" s="506">
        <v>88247</v>
      </c>
      <c r="C1758" s="507"/>
      <c r="D1758" s="508"/>
      <c r="E1758" s="509" t="str">
        <f>IF($C1758="",IFERROR(VLOOKUP($B1758,SERVIÇOS!$B:$G,2,0),IFERROR(VLOOKUP($B1758,$D:$K,2,0),"")),IFERROR(VLOOKUP($C1758,INSUMOS!$A:$D,2,0),IFERROR(VLOOKUP($C1758,COTAÇÕES!$B:$I,2,0),(VLOOKUP($C1758,'INSUMO SINAPI - SP'!$C:$F,2,0)))))</f>
        <v>AUXILIAR DE ELETRICISTA COM ENCARGOS COMPLEMENTARES</v>
      </c>
      <c r="F1758" s="510" t="str">
        <f>IF($C1758="",IFERROR(VLOOKUP($B1758,SERVIÇOS!$B:$G,3,0),IFERROR(VLOOKUP($B1758,$D:$K,3,0),"")),IFERROR(VLOOKUP($C1758,INSUMOS!$A:$D,3,0),IFERROR(VLOOKUP($C1758,COTAÇÕES!$B:$I,3,0),(VLOOKUP($C1758,'INSUMO SINAPI - SP'!$C:$F,3,0)))))</f>
        <v>H</v>
      </c>
      <c r="G1758" s="511">
        <v>0.20619999999999999</v>
      </c>
      <c r="H1758" s="512">
        <f>IF($C1758="",IFERROR(VLOOKUP($B1758,SERVIÇOS!$B:$G,6,0),IFERROR(VLOOKUP($B1758,$D:$K,8,0),"")),IFERROR(VLOOKUP($C1758,INSUMOS!$A:$D,4,0),IFERROR(VLOOKUP($C1758,COTAÇÕES!$B:$I,7,0),(VLOOKUP($C1758,'INSUMO SINAPI - SP'!$C:$F,4,0)))))</f>
        <v>30.8</v>
      </c>
      <c r="I1758" s="513">
        <f>TRUNC(IF($C1758="",IFERROR(VLOOKUP($B1758,SERVIÇOS!$B:$G,4,0),IFERROR(VLOOKUP($B1758,$D:$K,6,0),)),IFERROR(VLOOKUP($C1758,INSUMOS!$A:$D,4,0),IFERROR(VLOOKUP($C1758,COTAÇÕES!$B:$I,7,0),(VLOOKUP($C1758,'INSUMO SINAPI - SP'!$C:$F,4,0)))))*$G1758,2)</f>
        <v>1.92</v>
      </c>
      <c r="J1758" s="513">
        <f>TRUNC(IF($C1758="",IFERROR(VLOOKUP($B1758,SERVIÇOS!$B:$G,5,0),IFERROR(VLOOKUP($B1758,$D:$K,7,0),)),0)*$G1758,2)</f>
        <v>4.42</v>
      </c>
      <c r="K1758" s="514">
        <f>I1758+J1758</f>
        <v>6.34</v>
      </c>
      <c r="L1758" s="515"/>
      <c r="M1758" s="471"/>
      <c r="N1758" s="516"/>
      <c r="Q1758" s="472"/>
      <c r="R1758" s="472"/>
      <c r="S1758" s="472"/>
      <c r="T1758" s="472"/>
      <c r="U1758" s="472"/>
      <c r="V1758" s="472"/>
      <c r="W1758" s="472"/>
      <c r="X1758" s="472"/>
      <c r="Y1758" s="472"/>
    </row>
    <row r="1759" spans="1:25" x14ac:dyDescent="0.25">
      <c r="A1759" s="463"/>
      <c r="B1759" s="506">
        <v>88264</v>
      </c>
      <c r="C1759" s="507"/>
      <c r="D1759" s="508"/>
      <c r="E1759" s="509" t="str">
        <f>IF($C1759="",IFERROR(VLOOKUP($B1759,SERVIÇOS!$B:$G,2,0),IFERROR(VLOOKUP($B1759,$D:$K,2,0),"")),IFERROR(VLOOKUP($C1759,INSUMOS!$A:$D,2,0),IFERROR(VLOOKUP($C1759,COTAÇÕES!$B:$I,2,0),(VLOOKUP($C1759,'INSUMO SINAPI - SP'!$C:$F,2,0)))))</f>
        <v>ELETRICISTA COM ENCARGOS COMPLEMENTARES</v>
      </c>
      <c r="F1759" s="510" t="str">
        <f>IF($C1759="",IFERROR(VLOOKUP($B1759,SERVIÇOS!$B:$G,3,0),IFERROR(VLOOKUP($B1759,$D:$K,3,0),"")),IFERROR(VLOOKUP($C1759,INSUMOS!$A:$D,3,0),IFERROR(VLOOKUP($C1759,COTAÇÕES!$B:$I,3,0),(VLOOKUP($C1759,'INSUMO SINAPI - SP'!$C:$F,3,0)))))</f>
        <v>H</v>
      </c>
      <c r="G1759" s="511">
        <v>0.20619999999999999</v>
      </c>
      <c r="H1759" s="512">
        <f>IF($C1759="",IFERROR(VLOOKUP($B1759,SERVIÇOS!$B:$G,6,0),IFERROR(VLOOKUP($B1759,$D:$K,8,0),"")),IFERROR(VLOOKUP($C1759,INSUMOS!$A:$D,4,0),IFERROR(VLOOKUP($C1759,COTAÇÕES!$B:$I,7,0),(VLOOKUP($C1759,'INSUMO SINAPI - SP'!$C:$F,4,0)))))</f>
        <v>37.369999999999997</v>
      </c>
      <c r="I1759" s="513">
        <f>TRUNC(IF($C1759="",IFERROR(VLOOKUP($B1759,SERVIÇOS!$B:$G,4,0),IFERROR(VLOOKUP($B1759,$D:$K,6,0),)),IFERROR(VLOOKUP($C1759,INSUMOS!$A:$D,4,0),IFERROR(VLOOKUP($C1759,COTAÇÕES!$B:$I,7,0),(VLOOKUP($C1759,'INSUMO SINAPI - SP'!$C:$F,4,0)))))*$G1759,2)</f>
        <v>1.91</v>
      </c>
      <c r="J1759" s="513">
        <f>TRUNC(IF($C1759="",IFERROR(VLOOKUP($B1759,SERVIÇOS!$B:$G,5,0),IFERROR(VLOOKUP($B1759,$D:$K,7,0),)),0)*$G1759,2)</f>
        <v>5.78</v>
      </c>
      <c r="K1759" s="514">
        <f>I1759+J1759</f>
        <v>7.69</v>
      </c>
      <c r="L1759" s="515"/>
      <c r="M1759" s="471"/>
      <c r="N1759" s="516"/>
      <c r="Q1759" s="472"/>
      <c r="R1759" s="472"/>
      <c r="S1759" s="472"/>
      <c r="T1759" s="472"/>
      <c r="U1759" s="472"/>
      <c r="V1759" s="472"/>
      <c r="W1759" s="472"/>
      <c r="X1759" s="472"/>
      <c r="Y1759" s="472"/>
    </row>
    <row r="1760" spans="1:25" x14ac:dyDescent="0.25">
      <c r="A1760" s="463"/>
      <c r="B1760" s="498"/>
      <c r="C1760" s="498"/>
      <c r="D1760" s="499" t="s">
        <v>12317</v>
      </c>
      <c r="E1760" s="555" t="s">
        <v>13477</v>
      </c>
      <c r="F1760" s="501" t="s">
        <v>580</v>
      </c>
      <c r="G1760" s="502"/>
      <c r="H1760" s="503"/>
      <c r="I1760" s="504">
        <f>ROUND(SUM(I1761:I1764),2)</f>
        <v>97.08</v>
      </c>
      <c r="J1760" s="504">
        <f>ROUND(SUM(J1761:J1764),2)</f>
        <v>20.420000000000002</v>
      </c>
      <c r="K1760" s="504">
        <f>+J1760+I1760</f>
        <v>117.5</v>
      </c>
      <c r="L1760" s="523" t="s">
        <v>13478</v>
      </c>
      <c r="M1760" s="471"/>
      <c r="N1760" s="505"/>
      <c r="Q1760" s="472"/>
      <c r="R1760" s="472"/>
      <c r="S1760" s="472"/>
      <c r="T1760" s="472"/>
      <c r="U1760" s="472"/>
      <c r="V1760" s="472"/>
      <c r="W1760" s="472"/>
      <c r="X1760" s="472"/>
      <c r="Y1760" s="472"/>
    </row>
    <row r="1761" spans="1:25" x14ac:dyDescent="0.25">
      <c r="A1761" s="463"/>
      <c r="B1761" s="506"/>
      <c r="C1761" s="507" t="s">
        <v>13475</v>
      </c>
      <c r="D1761" s="508"/>
      <c r="E1761" s="518" t="s">
        <v>13476</v>
      </c>
      <c r="F1761" s="519" t="s">
        <v>580</v>
      </c>
      <c r="G1761" s="511">
        <v>1</v>
      </c>
      <c r="H1761" s="520">
        <v>34.47</v>
      </c>
      <c r="I1761" s="520">
        <f>TRUNC(H1761*G1761,2)</f>
        <v>34.47</v>
      </c>
      <c r="J1761" s="521"/>
      <c r="K1761" s="522">
        <f>I1761+J1761</f>
        <v>34.47</v>
      </c>
      <c r="L1761" s="517" t="s">
        <v>12668</v>
      </c>
      <c r="M1761" s="471"/>
      <c r="N1761" s="516"/>
      <c r="Q1761" s="472"/>
      <c r="R1761" s="472"/>
      <c r="S1761" s="472"/>
      <c r="T1761" s="472"/>
      <c r="U1761" s="472"/>
      <c r="V1761" s="472"/>
      <c r="W1761" s="472"/>
      <c r="X1761" s="472"/>
      <c r="Y1761" s="472"/>
    </row>
    <row r="1762" spans="1:25" x14ac:dyDescent="0.25">
      <c r="A1762" s="463"/>
      <c r="B1762" s="506">
        <v>88247</v>
      </c>
      <c r="C1762" s="507"/>
      <c r="D1762" s="508"/>
      <c r="E1762" s="509" t="str">
        <f>IF($C1762="",IFERROR(VLOOKUP($B1762,SERVIÇOS!$B:$G,2,0),IFERROR(VLOOKUP($B1762,$D:$K,2,0),"")),IFERROR(VLOOKUP($C1762,INSUMOS!$A:$D,2,0),IFERROR(VLOOKUP($C1762,COTAÇÕES!$B:$I,2,0),(VLOOKUP($C1762,'INSUMO SINAPI - SP'!$C:$F,2,0)))))</f>
        <v>AUXILIAR DE ELETRICISTA COM ENCARGOS COMPLEMENTARES</v>
      </c>
      <c r="F1762" s="510" t="str">
        <f>IF($C1762="",IFERROR(VLOOKUP($B1762,SERVIÇOS!$B:$G,3,0),IFERROR(VLOOKUP($B1762,$D:$K,3,0),"")),IFERROR(VLOOKUP($C1762,INSUMOS!$A:$D,3,0),IFERROR(VLOOKUP($C1762,COTAÇÕES!$B:$I,3,0),(VLOOKUP($C1762,'INSUMO SINAPI - SP'!$C:$F,3,0)))))</f>
        <v>H</v>
      </c>
      <c r="G1762" s="511">
        <v>0.41239999999999999</v>
      </c>
      <c r="H1762" s="512">
        <f>IF($C1762="",IFERROR(VLOOKUP($B1762,SERVIÇOS!$B:$G,6,0),IFERROR(VLOOKUP($B1762,$D:$K,8,0),"")),IFERROR(VLOOKUP($C1762,INSUMOS!$A:$D,4,0),IFERROR(VLOOKUP($C1762,COTAÇÕES!$B:$I,7,0),(VLOOKUP($C1762,'INSUMO SINAPI - SP'!$C:$F,4,0)))))</f>
        <v>30.8</v>
      </c>
      <c r="I1762" s="513">
        <f>TRUNC(IF($C1762="",IFERROR(VLOOKUP($B1762,SERVIÇOS!$B:$G,4,0),IFERROR(VLOOKUP($B1762,$D:$K,6,0),)),IFERROR(VLOOKUP($C1762,INSUMOS!$A:$D,4,0),IFERROR(VLOOKUP($C1762,COTAÇÕES!$B:$I,7,0),(VLOOKUP($C1762,'INSUMO SINAPI - SP'!$C:$F,4,0)))))*$G1762,2)</f>
        <v>3.84</v>
      </c>
      <c r="J1762" s="513">
        <f>TRUNC(IF($C1762="",IFERROR(VLOOKUP($B1762,SERVIÇOS!$B:$G,5,0),IFERROR(VLOOKUP($B1762,$D:$K,7,0),)),0)*$G1762,2)</f>
        <v>8.85</v>
      </c>
      <c r="K1762" s="514">
        <f>I1762+J1762</f>
        <v>12.69</v>
      </c>
      <c r="L1762" s="515"/>
      <c r="M1762" s="471"/>
      <c r="N1762" s="516"/>
      <c r="Q1762" s="472"/>
      <c r="R1762" s="472"/>
      <c r="S1762" s="472"/>
      <c r="T1762" s="472"/>
      <c r="U1762" s="472"/>
      <c r="V1762" s="472"/>
      <c r="W1762" s="472"/>
      <c r="X1762" s="472"/>
      <c r="Y1762" s="472"/>
    </row>
    <row r="1763" spans="1:25" x14ac:dyDescent="0.25">
      <c r="A1763" s="463"/>
      <c r="B1763" s="506">
        <v>88264</v>
      </c>
      <c r="C1763" s="507"/>
      <c r="D1763" s="508"/>
      <c r="E1763" s="509" t="str">
        <f>IF($C1763="",IFERROR(VLOOKUP($B1763,SERVIÇOS!$B:$G,2,0),IFERROR(VLOOKUP($B1763,$D:$K,2,0),"")),IFERROR(VLOOKUP($C1763,INSUMOS!$A:$D,2,0),IFERROR(VLOOKUP($C1763,COTAÇÕES!$B:$I,2,0),(VLOOKUP($C1763,'INSUMO SINAPI - SP'!$C:$F,2,0)))))</f>
        <v>ELETRICISTA COM ENCARGOS COMPLEMENTARES</v>
      </c>
      <c r="F1763" s="510" t="str">
        <f>IF($C1763="",IFERROR(VLOOKUP($B1763,SERVIÇOS!$B:$G,3,0),IFERROR(VLOOKUP($B1763,$D:$K,3,0),"")),IFERROR(VLOOKUP($C1763,INSUMOS!$A:$D,3,0),IFERROR(VLOOKUP($C1763,COTAÇÕES!$B:$I,3,0),(VLOOKUP($C1763,'INSUMO SINAPI - SP'!$C:$F,3,0)))))</f>
        <v>H</v>
      </c>
      <c r="G1763" s="511">
        <v>0.41239999999999999</v>
      </c>
      <c r="H1763" s="512">
        <f>IF($C1763="",IFERROR(VLOOKUP($B1763,SERVIÇOS!$B:$G,6,0),IFERROR(VLOOKUP($B1763,$D:$K,8,0),"")),IFERROR(VLOOKUP($C1763,INSUMOS!$A:$D,4,0),IFERROR(VLOOKUP($C1763,COTAÇÕES!$B:$I,7,0),(VLOOKUP($C1763,'INSUMO SINAPI - SP'!$C:$F,4,0)))))</f>
        <v>37.369999999999997</v>
      </c>
      <c r="I1763" s="513">
        <f>TRUNC(IF($C1763="",IFERROR(VLOOKUP($B1763,SERVIÇOS!$B:$G,4,0),IFERROR(VLOOKUP($B1763,$D:$K,6,0),)),IFERROR(VLOOKUP($C1763,INSUMOS!$A:$D,4,0),IFERROR(VLOOKUP($C1763,COTAÇÕES!$B:$I,7,0),(VLOOKUP($C1763,'INSUMO SINAPI - SP'!$C:$F,4,0)))))*$G1763,2)</f>
        <v>3.83</v>
      </c>
      <c r="J1763" s="513">
        <f>TRUNC(IF($C1763="",IFERROR(VLOOKUP($B1763,SERVIÇOS!$B:$G,5,0),IFERROR(VLOOKUP($B1763,$D:$K,7,0),)),0)*$G1763,2)</f>
        <v>11.57</v>
      </c>
      <c r="K1763" s="514">
        <f>I1763+J1763</f>
        <v>15.4</v>
      </c>
      <c r="L1763" s="515"/>
      <c r="M1763" s="471"/>
      <c r="N1763" s="516"/>
      <c r="Q1763" s="472"/>
      <c r="R1763" s="472"/>
      <c r="S1763" s="472"/>
      <c r="T1763" s="472"/>
      <c r="U1763" s="472"/>
      <c r="V1763" s="472"/>
      <c r="W1763" s="472"/>
      <c r="X1763" s="472"/>
      <c r="Y1763" s="472"/>
    </row>
    <row r="1764" spans="1:25" x14ac:dyDescent="0.25">
      <c r="A1764" s="463"/>
      <c r="B1764" s="506"/>
      <c r="C1764" s="507" t="s">
        <v>13479</v>
      </c>
      <c r="D1764" s="508"/>
      <c r="E1764" s="518" t="s">
        <v>13480</v>
      </c>
      <c r="F1764" s="519" t="s">
        <v>580</v>
      </c>
      <c r="G1764" s="511">
        <v>2</v>
      </c>
      <c r="H1764" s="520">
        <v>27.47</v>
      </c>
      <c r="I1764" s="520">
        <f>TRUNC(H1764*G1764,2)</f>
        <v>54.94</v>
      </c>
      <c r="J1764" s="521"/>
      <c r="K1764" s="522">
        <f>I1764+J1764</f>
        <v>54.94</v>
      </c>
      <c r="L1764" s="517" t="s">
        <v>12668</v>
      </c>
      <c r="M1764" s="471"/>
      <c r="N1764" s="516"/>
      <c r="Q1764" s="472"/>
      <c r="R1764" s="472"/>
      <c r="S1764" s="472"/>
      <c r="T1764" s="472"/>
      <c r="U1764" s="472"/>
      <c r="V1764" s="472"/>
      <c r="W1764" s="472"/>
      <c r="X1764" s="472"/>
      <c r="Y1764" s="472"/>
    </row>
    <row r="1765" spans="1:25" ht="24" x14ac:dyDescent="0.25">
      <c r="A1765" s="463"/>
      <c r="B1765" s="498"/>
      <c r="C1765" s="498"/>
      <c r="D1765" s="499" t="s">
        <v>12288</v>
      </c>
      <c r="E1765" s="555" t="s">
        <v>13481</v>
      </c>
      <c r="F1765" s="501" t="s">
        <v>585</v>
      </c>
      <c r="G1765" s="502"/>
      <c r="H1765" s="503"/>
      <c r="I1765" s="504">
        <f>ROUND(SUM(I1766:I1768),2)</f>
        <v>19.55</v>
      </c>
      <c r="J1765" s="504">
        <f>ROUND(SUM(J1766:J1768),2)</f>
        <v>1.87</v>
      </c>
      <c r="K1765" s="504">
        <f>+J1765+I1765</f>
        <v>21.42</v>
      </c>
      <c r="L1765" s="523" t="s">
        <v>13482</v>
      </c>
      <c r="M1765" s="471"/>
      <c r="N1765" s="505"/>
      <c r="Q1765" s="472"/>
      <c r="R1765" s="472"/>
      <c r="S1765" s="472"/>
      <c r="T1765" s="472"/>
      <c r="U1765" s="472"/>
      <c r="V1765" s="472"/>
      <c r="W1765" s="472"/>
      <c r="X1765" s="472"/>
      <c r="Y1765" s="472"/>
    </row>
    <row r="1766" spans="1:25" x14ac:dyDescent="0.25">
      <c r="A1766" s="463"/>
      <c r="B1766" s="506">
        <v>88247</v>
      </c>
      <c r="C1766" s="507"/>
      <c r="D1766" s="508"/>
      <c r="E1766" s="509" t="str">
        <f>IF($C1766="",IFERROR(VLOOKUP($B1766,SERVIÇOS!$B:$G,2,0),IFERROR(VLOOKUP($B1766,$D:$K,2,0),"")),IFERROR(VLOOKUP($C1766,INSUMOS!$A:$D,2,0),IFERROR(VLOOKUP($C1766,COTAÇÕES!$B:$I,2,0),(VLOOKUP($C1766,'INSUMO SINAPI - SP'!$C:$F,2,0)))))</f>
        <v>AUXILIAR DE ELETRICISTA COM ENCARGOS COMPLEMENTARES</v>
      </c>
      <c r="F1766" s="510" t="str">
        <f>IF($C1766="",IFERROR(VLOOKUP($B1766,SERVIÇOS!$B:$G,3,0),IFERROR(VLOOKUP($B1766,$D:$K,3,0),"")),IFERROR(VLOOKUP($C1766,INSUMOS!$A:$D,3,0),IFERROR(VLOOKUP($C1766,COTAÇÕES!$B:$I,3,0),(VLOOKUP($C1766,'INSUMO SINAPI - SP'!$C:$F,3,0)))))</f>
        <v>H</v>
      </c>
      <c r="G1766" s="511">
        <v>3.7999999999999999E-2</v>
      </c>
      <c r="H1766" s="512">
        <f>IF($C1766="",IFERROR(VLOOKUP($B1766,SERVIÇOS!$B:$G,6,0),IFERROR(VLOOKUP($B1766,$D:$K,8,0),"")),IFERROR(VLOOKUP($C1766,INSUMOS!$A:$D,4,0),IFERROR(VLOOKUP($C1766,COTAÇÕES!$B:$I,7,0),(VLOOKUP($C1766,'INSUMO SINAPI - SP'!$C:$F,4,0)))))</f>
        <v>30.8</v>
      </c>
      <c r="I1766" s="513">
        <f>TRUNC(IF($C1766="",IFERROR(VLOOKUP($B1766,SERVIÇOS!$B:$G,4,0),IFERROR(VLOOKUP($B1766,$D:$K,6,0),)),IFERROR(VLOOKUP($C1766,INSUMOS!$A:$D,4,0),IFERROR(VLOOKUP($C1766,COTAÇÕES!$B:$I,7,0),(VLOOKUP($C1766,'INSUMO SINAPI - SP'!$C:$F,4,0)))))*$G1766,2)</f>
        <v>0.35</v>
      </c>
      <c r="J1766" s="513">
        <f>TRUNC(IF($C1766="",IFERROR(VLOOKUP($B1766,SERVIÇOS!$B:$G,5,0),IFERROR(VLOOKUP($B1766,$D:$K,7,0),)),0)*$G1766,2)</f>
        <v>0.81</v>
      </c>
      <c r="K1766" s="514">
        <f>I1766+J1766</f>
        <v>1.1600000000000001</v>
      </c>
      <c r="L1766" s="515"/>
      <c r="M1766" s="471"/>
      <c r="N1766" s="516"/>
      <c r="Q1766" s="472"/>
      <c r="R1766" s="472"/>
      <c r="S1766" s="472"/>
      <c r="T1766" s="472"/>
      <c r="U1766" s="472"/>
      <c r="V1766" s="472"/>
      <c r="W1766" s="472"/>
      <c r="X1766" s="472"/>
      <c r="Y1766" s="472"/>
    </row>
    <row r="1767" spans="1:25" x14ac:dyDescent="0.25">
      <c r="A1767" s="463"/>
      <c r="B1767" s="506">
        <v>88264</v>
      </c>
      <c r="C1767" s="507"/>
      <c r="D1767" s="508"/>
      <c r="E1767" s="509" t="str">
        <f>IF($C1767="",IFERROR(VLOOKUP($B1767,SERVIÇOS!$B:$G,2,0),IFERROR(VLOOKUP($B1767,$D:$K,2,0),"")),IFERROR(VLOOKUP($C1767,INSUMOS!$A:$D,2,0),IFERROR(VLOOKUP($C1767,COTAÇÕES!$B:$I,2,0),(VLOOKUP($C1767,'INSUMO SINAPI - SP'!$C:$F,2,0)))))</f>
        <v>ELETRICISTA COM ENCARGOS COMPLEMENTARES</v>
      </c>
      <c r="F1767" s="510" t="str">
        <f>IF($C1767="",IFERROR(VLOOKUP($B1767,SERVIÇOS!$B:$G,3,0),IFERROR(VLOOKUP($B1767,$D:$K,3,0),"")),IFERROR(VLOOKUP($C1767,INSUMOS!$A:$D,3,0),IFERROR(VLOOKUP($C1767,COTAÇÕES!$B:$I,3,0),(VLOOKUP($C1767,'INSUMO SINAPI - SP'!$C:$F,3,0)))))</f>
        <v>H</v>
      </c>
      <c r="G1767" s="511">
        <v>3.7999999999999999E-2</v>
      </c>
      <c r="H1767" s="512">
        <f>IF($C1767="",IFERROR(VLOOKUP($B1767,SERVIÇOS!$B:$G,6,0),IFERROR(VLOOKUP($B1767,$D:$K,8,0),"")),IFERROR(VLOOKUP($C1767,INSUMOS!$A:$D,4,0),IFERROR(VLOOKUP($C1767,COTAÇÕES!$B:$I,7,0),(VLOOKUP($C1767,'INSUMO SINAPI - SP'!$C:$F,4,0)))))</f>
        <v>37.369999999999997</v>
      </c>
      <c r="I1767" s="513">
        <f>TRUNC(IF($C1767="",IFERROR(VLOOKUP($B1767,SERVIÇOS!$B:$G,4,0),IFERROR(VLOOKUP($B1767,$D:$K,6,0),)),IFERROR(VLOOKUP($C1767,INSUMOS!$A:$D,4,0),IFERROR(VLOOKUP($C1767,COTAÇÕES!$B:$I,7,0),(VLOOKUP($C1767,'INSUMO SINAPI - SP'!$C:$F,4,0)))))*$G1767,2)</f>
        <v>0.35</v>
      </c>
      <c r="J1767" s="513">
        <f>TRUNC(IF($C1767="",IFERROR(VLOOKUP($B1767,SERVIÇOS!$B:$G,5,0),IFERROR(VLOOKUP($B1767,$D:$K,7,0),)),0)*$G1767,2)</f>
        <v>1.06</v>
      </c>
      <c r="K1767" s="514">
        <f>I1767+J1767</f>
        <v>1.4100000000000001</v>
      </c>
      <c r="L1767" s="515"/>
      <c r="M1767" s="471"/>
      <c r="N1767" s="516"/>
      <c r="Q1767" s="472"/>
      <c r="R1767" s="472"/>
      <c r="S1767" s="472"/>
      <c r="T1767" s="472"/>
      <c r="U1767" s="472"/>
      <c r="V1767" s="472"/>
      <c r="W1767" s="472"/>
      <c r="X1767" s="472"/>
      <c r="Y1767" s="472"/>
    </row>
    <row r="1768" spans="1:25" x14ac:dyDescent="0.25">
      <c r="A1768" s="463"/>
      <c r="B1768" s="506"/>
      <c r="C1768" s="507" t="s">
        <v>13093</v>
      </c>
      <c r="D1768" s="508"/>
      <c r="E1768" s="518" t="s">
        <v>13094</v>
      </c>
      <c r="F1768" s="519" t="s">
        <v>585</v>
      </c>
      <c r="G1768" s="511">
        <f>1.05*4</f>
        <v>4.2</v>
      </c>
      <c r="H1768" s="520">
        <v>4.49</v>
      </c>
      <c r="I1768" s="520">
        <f>TRUNC(H1768*G1768,2)</f>
        <v>18.850000000000001</v>
      </c>
      <c r="J1768" s="521"/>
      <c r="K1768" s="522">
        <f>I1768+J1768</f>
        <v>18.850000000000001</v>
      </c>
      <c r="L1768" s="517" t="s">
        <v>12901</v>
      </c>
      <c r="M1768" s="471"/>
      <c r="N1768" s="516"/>
      <c r="Q1768" s="472"/>
      <c r="R1768" s="472"/>
      <c r="S1768" s="472"/>
      <c r="T1768" s="472"/>
      <c r="U1768" s="472"/>
      <c r="V1768" s="472"/>
      <c r="W1768" s="472"/>
      <c r="X1768" s="472"/>
      <c r="Y1768" s="472"/>
    </row>
    <row r="1769" spans="1:25" ht="24" x14ac:dyDescent="0.25">
      <c r="A1769" s="463"/>
      <c r="B1769" s="498"/>
      <c r="C1769" s="498"/>
      <c r="D1769" s="499" t="s">
        <v>12296</v>
      </c>
      <c r="E1769" s="555" t="s">
        <v>13483</v>
      </c>
      <c r="F1769" s="501" t="s">
        <v>585</v>
      </c>
      <c r="G1769" s="502"/>
      <c r="H1769" s="503"/>
      <c r="I1769" s="504">
        <f>ROUND(SUM(I1770:I1772),2)</f>
        <v>103.72</v>
      </c>
      <c r="J1769" s="504">
        <f>ROUND(SUM(J1770:J1772),2)</f>
        <v>9.9</v>
      </c>
      <c r="K1769" s="504">
        <f>+J1769+I1769</f>
        <v>113.62</v>
      </c>
      <c r="L1769" s="523"/>
      <c r="M1769" s="471"/>
      <c r="N1769" s="505"/>
      <c r="Q1769" s="472"/>
      <c r="R1769" s="472"/>
      <c r="S1769" s="472"/>
      <c r="T1769" s="472"/>
      <c r="U1769" s="472"/>
      <c r="V1769" s="472"/>
      <c r="W1769" s="472"/>
      <c r="X1769" s="472"/>
      <c r="Y1769" s="472"/>
    </row>
    <row r="1770" spans="1:25" x14ac:dyDescent="0.25">
      <c r="A1770" s="463"/>
      <c r="B1770" s="506">
        <v>88247</v>
      </c>
      <c r="C1770" s="507"/>
      <c r="D1770" s="508"/>
      <c r="E1770" s="509" t="str">
        <f>IF($C1770="",IFERROR(VLOOKUP($B1770,SERVIÇOS!$B:$G,2,0),IFERROR(VLOOKUP($B1770,$D:$K,2,0),"")),IFERROR(VLOOKUP($C1770,INSUMOS!$A:$D,2,0),IFERROR(VLOOKUP($C1770,COTAÇÕES!$B:$I,2,0),(VLOOKUP($C1770,'INSUMO SINAPI - SP'!$C:$F,2,0)))))</f>
        <v>AUXILIAR DE ELETRICISTA COM ENCARGOS COMPLEMENTARES</v>
      </c>
      <c r="F1770" s="510" t="str">
        <f>IF($C1770="",IFERROR(VLOOKUP($B1770,SERVIÇOS!$B:$G,3,0),IFERROR(VLOOKUP($B1770,$D:$K,3,0),"")),IFERROR(VLOOKUP($C1770,INSUMOS!$A:$D,3,0),IFERROR(VLOOKUP($C1770,COTAÇÕES!$B:$I,3,0),(VLOOKUP($C1770,'INSUMO SINAPI - SP'!$C:$F,3,0)))))</f>
        <v>H</v>
      </c>
      <c r="G1770" s="511">
        <f>0.05*4</f>
        <v>0.2</v>
      </c>
      <c r="H1770" s="512">
        <f>IF($C1770="",IFERROR(VLOOKUP($B1770,SERVIÇOS!$B:$G,6,0),IFERROR(VLOOKUP($B1770,$D:$K,8,0),"")),IFERROR(VLOOKUP($C1770,INSUMOS!$A:$D,4,0),IFERROR(VLOOKUP($C1770,COTAÇÕES!$B:$I,7,0),(VLOOKUP($C1770,'INSUMO SINAPI - SP'!$C:$F,4,0)))))</f>
        <v>30.8</v>
      </c>
      <c r="I1770" s="513">
        <f>TRUNC(IF($C1770="",IFERROR(VLOOKUP($B1770,SERVIÇOS!$B:$G,4,0),IFERROR(VLOOKUP($B1770,$D:$K,6,0),)),IFERROR(VLOOKUP($C1770,INSUMOS!$A:$D,4,0),IFERROR(VLOOKUP($C1770,COTAÇÕES!$B:$I,7,0),(VLOOKUP($C1770,'INSUMO SINAPI - SP'!$C:$F,4,0)))))*$G1770,2)</f>
        <v>1.86</v>
      </c>
      <c r="J1770" s="513">
        <f>TRUNC(IF($C1770="",IFERROR(VLOOKUP($B1770,SERVIÇOS!$B:$G,5,0),IFERROR(VLOOKUP($B1770,$D:$K,7,0),)),0)*$G1770,2)</f>
        <v>4.29</v>
      </c>
      <c r="K1770" s="514">
        <f>I1770+J1770</f>
        <v>6.15</v>
      </c>
      <c r="L1770" s="515"/>
      <c r="M1770" s="471"/>
      <c r="N1770" s="516"/>
      <c r="Q1770" s="472"/>
      <c r="R1770" s="472"/>
      <c r="S1770" s="472"/>
      <c r="T1770" s="472"/>
      <c r="U1770" s="472"/>
      <c r="V1770" s="472"/>
      <c r="W1770" s="472"/>
      <c r="X1770" s="472"/>
      <c r="Y1770" s="472"/>
    </row>
    <row r="1771" spans="1:25" x14ac:dyDescent="0.25">
      <c r="A1771" s="463"/>
      <c r="B1771" s="506">
        <v>88264</v>
      </c>
      <c r="C1771" s="507"/>
      <c r="D1771" s="508"/>
      <c r="E1771" s="509" t="str">
        <f>IF($C1771="",IFERROR(VLOOKUP($B1771,SERVIÇOS!$B:$G,2,0),IFERROR(VLOOKUP($B1771,$D:$K,2,0),"")),IFERROR(VLOOKUP($C1771,INSUMOS!$A:$D,2,0),IFERROR(VLOOKUP($C1771,COTAÇÕES!$B:$I,2,0),(VLOOKUP($C1771,'INSUMO SINAPI - SP'!$C:$F,2,0)))))</f>
        <v>ELETRICISTA COM ENCARGOS COMPLEMENTARES</v>
      </c>
      <c r="F1771" s="510" t="str">
        <f>IF($C1771="",IFERROR(VLOOKUP($B1771,SERVIÇOS!$B:$G,3,0),IFERROR(VLOOKUP($B1771,$D:$K,3,0),"")),IFERROR(VLOOKUP($C1771,INSUMOS!$A:$D,3,0),IFERROR(VLOOKUP($C1771,COTAÇÕES!$B:$I,3,0),(VLOOKUP($C1771,'INSUMO SINAPI - SP'!$C:$F,3,0)))))</f>
        <v>H</v>
      </c>
      <c r="G1771" s="511">
        <f>0.05*4</f>
        <v>0.2</v>
      </c>
      <c r="H1771" s="512">
        <f>IF($C1771="",IFERROR(VLOOKUP($B1771,SERVIÇOS!$B:$G,6,0),IFERROR(VLOOKUP($B1771,$D:$K,8,0),"")),IFERROR(VLOOKUP($C1771,INSUMOS!$A:$D,4,0),IFERROR(VLOOKUP($C1771,COTAÇÕES!$B:$I,7,0),(VLOOKUP($C1771,'INSUMO SINAPI - SP'!$C:$F,4,0)))))</f>
        <v>37.369999999999997</v>
      </c>
      <c r="I1771" s="513">
        <f>TRUNC(IF($C1771="",IFERROR(VLOOKUP($B1771,SERVIÇOS!$B:$G,4,0),IFERROR(VLOOKUP($B1771,$D:$K,6,0),)),IFERROR(VLOOKUP($C1771,INSUMOS!$A:$D,4,0),IFERROR(VLOOKUP($C1771,COTAÇÕES!$B:$I,7,0),(VLOOKUP($C1771,'INSUMO SINAPI - SP'!$C:$F,4,0)))))*$G1771,2)</f>
        <v>1.86</v>
      </c>
      <c r="J1771" s="513">
        <f>TRUNC(IF($C1771="",IFERROR(VLOOKUP($B1771,SERVIÇOS!$B:$G,5,0),IFERROR(VLOOKUP($B1771,$D:$K,7,0),)),0)*$G1771,2)</f>
        <v>5.61</v>
      </c>
      <c r="K1771" s="514">
        <f>I1771+J1771</f>
        <v>7.4700000000000006</v>
      </c>
      <c r="L1771" s="515"/>
      <c r="M1771" s="471"/>
      <c r="N1771" s="516"/>
      <c r="Q1771" s="472"/>
      <c r="R1771" s="472"/>
      <c r="S1771" s="472"/>
      <c r="T1771" s="472"/>
      <c r="U1771" s="472"/>
      <c r="V1771" s="472"/>
      <c r="W1771" s="472"/>
      <c r="X1771" s="472"/>
      <c r="Y1771" s="472"/>
    </row>
    <row r="1772" spans="1:25" x14ac:dyDescent="0.25">
      <c r="A1772" s="463"/>
      <c r="B1772" s="506"/>
      <c r="C1772" s="507" t="s">
        <v>13049</v>
      </c>
      <c r="D1772" s="508"/>
      <c r="E1772" s="518" t="s">
        <v>13047</v>
      </c>
      <c r="F1772" s="519" t="s">
        <v>585</v>
      </c>
      <c r="G1772" s="511">
        <f>1.05*4</f>
        <v>4.2</v>
      </c>
      <c r="H1772" s="520">
        <v>23.81</v>
      </c>
      <c r="I1772" s="520">
        <f>TRUNC(H1772*G1772,2)</f>
        <v>100</v>
      </c>
      <c r="J1772" s="521"/>
      <c r="K1772" s="522">
        <f>I1772+J1772</f>
        <v>100</v>
      </c>
      <c r="L1772" s="517" t="s">
        <v>12901</v>
      </c>
      <c r="M1772" s="471"/>
      <c r="N1772" s="516"/>
      <c r="Q1772" s="472"/>
      <c r="R1772" s="472"/>
      <c r="S1772" s="472"/>
      <c r="T1772" s="472"/>
      <c r="U1772" s="472"/>
      <c r="V1772" s="472"/>
      <c r="W1772" s="472"/>
      <c r="X1772" s="472"/>
      <c r="Y1772" s="472"/>
    </row>
    <row r="1773" spans="1:25" x14ac:dyDescent="0.25">
      <c r="A1773" s="463"/>
      <c r="B1773" s="498"/>
      <c r="C1773" s="498"/>
      <c r="D1773" s="499" t="s">
        <v>12307</v>
      </c>
      <c r="E1773" s="555" t="s">
        <v>13484</v>
      </c>
      <c r="F1773" s="501" t="s">
        <v>580</v>
      </c>
      <c r="G1773" s="502"/>
      <c r="H1773" s="503"/>
      <c r="I1773" s="504">
        <f>ROUND(SUM(I1774:I1776),2)</f>
        <v>407.12</v>
      </c>
      <c r="J1773" s="504">
        <f>ROUND(SUM(J1774:J1776),2)</f>
        <v>103.12</v>
      </c>
      <c r="K1773" s="504">
        <f>+J1773+I1773</f>
        <v>510.24</v>
      </c>
      <c r="L1773" s="523" t="s">
        <v>13485</v>
      </c>
      <c r="M1773" s="471"/>
      <c r="N1773" s="505"/>
      <c r="Q1773" s="472"/>
      <c r="R1773" s="472"/>
      <c r="S1773" s="472"/>
      <c r="T1773" s="472"/>
      <c r="U1773" s="472"/>
      <c r="V1773" s="472"/>
      <c r="W1773" s="472"/>
      <c r="X1773" s="472"/>
      <c r="Y1773" s="472"/>
    </row>
    <row r="1774" spans="1:25" x14ac:dyDescent="0.25">
      <c r="A1774" s="463"/>
      <c r="B1774" s="506">
        <v>88247</v>
      </c>
      <c r="C1774" s="507"/>
      <c r="D1774" s="508"/>
      <c r="E1774" s="509" t="str">
        <f>IF($C1774="",IFERROR(VLOOKUP($B1774,SERVIÇOS!$B:$G,2,0),IFERROR(VLOOKUP($B1774,$D:$K,2,0),"")),IFERROR(VLOOKUP($C1774,INSUMOS!$A:$D,2,0),IFERROR(VLOOKUP($C1774,COTAÇÕES!$B:$I,2,0),(VLOOKUP($C1774,'INSUMO SINAPI - SP'!$C:$F,2,0)))))</f>
        <v>AUXILIAR DE ELETRICISTA COM ENCARGOS COMPLEMENTARES</v>
      </c>
      <c r="F1774" s="510" t="str">
        <f>IF($C1774="",IFERROR(VLOOKUP($B1774,SERVIÇOS!$B:$G,3,0),IFERROR(VLOOKUP($B1774,$D:$K,3,0),"")),IFERROR(VLOOKUP($C1774,INSUMOS!$A:$D,3,0),IFERROR(VLOOKUP($C1774,COTAÇÕES!$B:$I,3,0),(VLOOKUP($C1774,'INSUMO SINAPI - SP'!$C:$F,3,0)))))</f>
        <v>H</v>
      </c>
      <c r="G1774" s="511">
        <v>1.329</v>
      </c>
      <c r="H1774" s="512">
        <f>IF($C1774="",IFERROR(VLOOKUP($B1774,SERVIÇOS!$B:$G,6,0),IFERROR(VLOOKUP($B1774,$D:$K,8,0),"")),IFERROR(VLOOKUP($C1774,INSUMOS!$A:$D,4,0),IFERROR(VLOOKUP($C1774,COTAÇÕES!$B:$I,7,0),(VLOOKUP($C1774,'INSUMO SINAPI - SP'!$C:$F,4,0)))))</f>
        <v>30.8</v>
      </c>
      <c r="I1774" s="513">
        <f>TRUNC(IF($C1774="",IFERROR(VLOOKUP($B1774,SERVIÇOS!$B:$G,4,0),IFERROR(VLOOKUP($B1774,$D:$K,6,0),)),IFERROR(VLOOKUP($C1774,INSUMOS!$A:$D,4,0),IFERROR(VLOOKUP($C1774,COTAÇÕES!$B:$I,7,0),(VLOOKUP($C1774,'INSUMO SINAPI - SP'!$C:$F,4,0)))))*$G1774,2)</f>
        <v>12.38</v>
      </c>
      <c r="J1774" s="513">
        <f>TRUNC(IF($C1774="",IFERROR(VLOOKUP($B1774,SERVIÇOS!$B:$G,5,0),IFERROR(VLOOKUP($B1774,$D:$K,7,0),)),0)*$G1774,2)</f>
        <v>28.54</v>
      </c>
      <c r="K1774" s="514">
        <f>I1774+J1774</f>
        <v>40.92</v>
      </c>
      <c r="L1774" s="515"/>
      <c r="M1774" s="471"/>
      <c r="N1774" s="516"/>
      <c r="Q1774" s="472"/>
      <c r="R1774" s="472"/>
      <c r="S1774" s="472"/>
      <c r="T1774" s="472"/>
      <c r="U1774" s="472"/>
      <c r="V1774" s="472"/>
      <c r="W1774" s="472"/>
      <c r="X1774" s="472"/>
      <c r="Y1774" s="472"/>
    </row>
    <row r="1775" spans="1:25" x14ac:dyDescent="0.25">
      <c r="A1775" s="463"/>
      <c r="B1775" s="506">
        <v>88264</v>
      </c>
      <c r="C1775" s="507"/>
      <c r="D1775" s="508"/>
      <c r="E1775" s="509" t="str">
        <f>IF($C1775="",IFERROR(VLOOKUP($B1775,SERVIÇOS!$B:$G,2,0),IFERROR(VLOOKUP($B1775,$D:$K,2,0),"")),IFERROR(VLOOKUP($C1775,INSUMOS!$A:$D,2,0),IFERROR(VLOOKUP($C1775,COTAÇÕES!$B:$I,2,0),(VLOOKUP($C1775,'INSUMO SINAPI - SP'!$C:$F,2,0)))))</f>
        <v>ELETRICISTA COM ENCARGOS COMPLEMENTARES</v>
      </c>
      <c r="F1775" s="510" t="str">
        <f>IF($C1775="",IFERROR(VLOOKUP($B1775,SERVIÇOS!$B:$G,3,0),IFERROR(VLOOKUP($B1775,$D:$K,3,0),"")),IFERROR(VLOOKUP($C1775,INSUMOS!$A:$D,3,0),IFERROR(VLOOKUP($C1775,COTAÇÕES!$B:$I,3,0),(VLOOKUP($C1775,'INSUMO SINAPI - SP'!$C:$F,3,0)))))</f>
        <v>H</v>
      </c>
      <c r="G1775" s="511">
        <v>2.6579999999999999</v>
      </c>
      <c r="H1775" s="512">
        <f>IF($C1775="",IFERROR(VLOOKUP($B1775,SERVIÇOS!$B:$G,6,0),IFERROR(VLOOKUP($B1775,$D:$K,8,0),"")),IFERROR(VLOOKUP($C1775,INSUMOS!$A:$D,4,0),IFERROR(VLOOKUP($C1775,COTAÇÕES!$B:$I,7,0),(VLOOKUP($C1775,'INSUMO SINAPI - SP'!$C:$F,4,0)))))</f>
        <v>37.369999999999997</v>
      </c>
      <c r="I1775" s="513">
        <f>TRUNC(IF($C1775="",IFERROR(VLOOKUP($B1775,SERVIÇOS!$B:$G,4,0),IFERROR(VLOOKUP($B1775,$D:$K,6,0),)),IFERROR(VLOOKUP($C1775,INSUMOS!$A:$D,4,0),IFERROR(VLOOKUP($C1775,COTAÇÕES!$B:$I,7,0),(VLOOKUP($C1775,'INSUMO SINAPI - SP'!$C:$F,4,0)))))*$G1775,2)</f>
        <v>24.74</v>
      </c>
      <c r="J1775" s="513">
        <f>TRUNC(IF($C1775="",IFERROR(VLOOKUP($B1775,SERVIÇOS!$B:$G,5,0),IFERROR(VLOOKUP($B1775,$D:$K,7,0),)),0)*$G1775,2)</f>
        <v>74.58</v>
      </c>
      <c r="K1775" s="514">
        <f>I1775+J1775</f>
        <v>99.32</v>
      </c>
      <c r="L1775" s="515"/>
      <c r="M1775" s="471"/>
      <c r="N1775" s="516"/>
      <c r="Q1775" s="472"/>
      <c r="R1775" s="472"/>
      <c r="S1775" s="472"/>
      <c r="T1775" s="472"/>
      <c r="U1775" s="472"/>
      <c r="V1775" s="472"/>
      <c r="W1775" s="472"/>
      <c r="X1775" s="472"/>
      <c r="Y1775" s="472"/>
    </row>
    <row r="1776" spans="1:25" x14ac:dyDescent="0.25">
      <c r="A1776" s="463"/>
      <c r="B1776" s="506"/>
      <c r="C1776" s="507" t="s">
        <v>13486</v>
      </c>
      <c r="D1776" s="508"/>
      <c r="E1776" s="518" t="s">
        <v>13487</v>
      </c>
      <c r="F1776" s="519" t="s">
        <v>580</v>
      </c>
      <c r="G1776" s="511">
        <v>1</v>
      </c>
      <c r="H1776" s="520">
        <v>370</v>
      </c>
      <c r="I1776" s="520">
        <f>TRUNC(H1776*G1776,2)</f>
        <v>370</v>
      </c>
      <c r="J1776" s="521"/>
      <c r="K1776" s="522">
        <f>I1776+J1776</f>
        <v>370</v>
      </c>
      <c r="L1776" s="517" t="s">
        <v>12668</v>
      </c>
      <c r="M1776" s="471"/>
      <c r="N1776" s="516"/>
      <c r="Q1776" s="472"/>
      <c r="R1776" s="472"/>
      <c r="S1776" s="472"/>
      <c r="T1776" s="472"/>
      <c r="U1776" s="472"/>
      <c r="V1776" s="472"/>
      <c r="W1776" s="472"/>
      <c r="X1776" s="472"/>
      <c r="Y1776" s="472"/>
    </row>
    <row r="1777" spans="1:25" x14ac:dyDescent="0.25">
      <c r="A1777" s="463"/>
      <c r="B1777" s="498"/>
      <c r="C1777" s="498"/>
      <c r="D1777" s="499" t="s">
        <v>12316</v>
      </c>
      <c r="E1777" s="555" t="s">
        <v>13488</v>
      </c>
      <c r="F1777" s="501" t="s">
        <v>580</v>
      </c>
      <c r="G1777" s="502"/>
      <c r="H1777" s="503"/>
      <c r="I1777" s="504">
        <f>ROUND(SUM(I1778:I1780),2)</f>
        <v>207.35</v>
      </c>
      <c r="J1777" s="504">
        <f>ROUND(SUM(J1778:J1780),2)</f>
        <v>34.67</v>
      </c>
      <c r="K1777" s="504">
        <f>+J1777+I1777</f>
        <v>242.01999999999998</v>
      </c>
      <c r="L1777" s="523" t="s">
        <v>13489</v>
      </c>
      <c r="M1777" s="471"/>
      <c r="N1777" s="505"/>
      <c r="Q1777" s="472"/>
      <c r="R1777" s="472"/>
      <c r="S1777" s="472"/>
      <c r="T1777" s="472"/>
      <c r="U1777" s="472"/>
      <c r="V1777" s="472"/>
      <c r="W1777" s="472"/>
      <c r="X1777" s="472"/>
      <c r="Y1777" s="472"/>
    </row>
    <row r="1778" spans="1:25" x14ac:dyDescent="0.25">
      <c r="A1778" s="463"/>
      <c r="B1778" s="506">
        <v>88247</v>
      </c>
      <c r="C1778" s="507"/>
      <c r="D1778" s="508"/>
      <c r="E1778" s="509" t="str">
        <f>IF($C1778="",IFERROR(VLOOKUP($B1778,SERVIÇOS!$B:$G,2,0),IFERROR(VLOOKUP($B1778,$D:$K,2,0),"")),IFERROR(VLOOKUP($C1778,INSUMOS!$A:$D,2,0),IFERROR(VLOOKUP($C1778,COTAÇÕES!$B:$I,2,0),(VLOOKUP($C1778,'INSUMO SINAPI - SP'!$C:$F,2,0)))))</f>
        <v>AUXILIAR DE ELETRICISTA COM ENCARGOS COMPLEMENTARES</v>
      </c>
      <c r="F1778" s="510" t="str">
        <f>IF($C1778="",IFERROR(VLOOKUP($B1778,SERVIÇOS!$B:$G,3,0),IFERROR(VLOOKUP($B1778,$D:$K,3,0),"")),IFERROR(VLOOKUP($C1778,INSUMOS!$A:$D,3,0),IFERROR(VLOOKUP($C1778,COTAÇÕES!$B:$I,3,0),(VLOOKUP($C1778,'INSUMO SINAPI - SP'!$C:$F,3,0)))))</f>
        <v>H</v>
      </c>
      <c r="G1778" s="511">
        <v>0.7</v>
      </c>
      <c r="H1778" s="512">
        <f>IF($C1778="",IFERROR(VLOOKUP($B1778,SERVIÇOS!$B:$G,6,0),IFERROR(VLOOKUP($B1778,$D:$K,8,0),"")),IFERROR(VLOOKUP($C1778,INSUMOS!$A:$D,4,0),IFERROR(VLOOKUP($C1778,COTAÇÕES!$B:$I,7,0),(VLOOKUP($C1778,'INSUMO SINAPI - SP'!$C:$F,4,0)))))</f>
        <v>30.8</v>
      </c>
      <c r="I1778" s="513">
        <f>TRUNC(IF($C1778="",IFERROR(VLOOKUP($B1778,SERVIÇOS!$B:$G,4,0),IFERROR(VLOOKUP($B1778,$D:$K,6,0),)),IFERROR(VLOOKUP($C1778,INSUMOS!$A:$D,4,0),IFERROR(VLOOKUP($C1778,COTAÇÕES!$B:$I,7,0),(VLOOKUP($C1778,'INSUMO SINAPI - SP'!$C:$F,4,0)))))*$G1778,2)</f>
        <v>6.52</v>
      </c>
      <c r="J1778" s="513">
        <f>TRUNC(IF($C1778="",IFERROR(VLOOKUP($B1778,SERVIÇOS!$B:$G,5,0),IFERROR(VLOOKUP($B1778,$D:$K,7,0),)),0)*$G1778,2)</f>
        <v>15.03</v>
      </c>
      <c r="K1778" s="514">
        <f>I1778+J1778</f>
        <v>21.549999999999997</v>
      </c>
      <c r="L1778" s="515"/>
      <c r="M1778" s="471"/>
      <c r="N1778" s="516"/>
      <c r="Q1778" s="472"/>
      <c r="R1778" s="472"/>
      <c r="S1778" s="472"/>
      <c r="T1778" s="472"/>
      <c r="U1778" s="472"/>
      <c r="V1778" s="472"/>
      <c r="W1778" s="472"/>
      <c r="X1778" s="472"/>
      <c r="Y1778" s="472"/>
    </row>
    <row r="1779" spans="1:25" x14ac:dyDescent="0.25">
      <c r="A1779" s="463"/>
      <c r="B1779" s="506">
        <v>88264</v>
      </c>
      <c r="C1779" s="507"/>
      <c r="D1779" s="508"/>
      <c r="E1779" s="509" t="str">
        <f>IF($C1779="",IFERROR(VLOOKUP($B1779,SERVIÇOS!$B:$G,2,0),IFERROR(VLOOKUP($B1779,$D:$K,2,0),"")),IFERROR(VLOOKUP($C1779,INSUMOS!$A:$D,2,0),IFERROR(VLOOKUP($C1779,COTAÇÕES!$B:$I,2,0),(VLOOKUP($C1779,'INSUMO SINAPI - SP'!$C:$F,2,0)))))</f>
        <v>ELETRICISTA COM ENCARGOS COMPLEMENTARES</v>
      </c>
      <c r="F1779" s="510" t="str">
        <f>IF($C1779="",IFERROR(VLOOKUP($B1779,SERVIÇOS!$B:$G,3,0),IFERROR(VLOOKUP($B1779,$D:$K,3,0),"")),IFERROR(VLOOKUP($C1779,INSUMOS!$A:$D,3,0),IFERROR(VLOOKUP($C1779,COTAÇÕES!$B:$I,3,0),(VLOOKUP($C1779,'INSUMO SINAPI - SP'!$C:$F,3,0)))))</f>
        <v>H</v>
      </c>
      <c r="G1779" s="511">
        <v>0.7</v>
      </c>
      <c r="H1779" s="512">
        <f>IF($C1779="",IFERROR(VLOOKUP($B1779,SERVIÇOS!$B:$G,6,0),IFERROR(VLOOKUP($B1779,$D:$K,8,0),"")),IFERROR(VLOOKUP($C1779,INSUMOS!$A:$D,4,0),IFERROR(VLOOKUP($C1779,COTAÇÕES!$B:$I,7,0),(VLOOKUP($C1779,'INSUMO SINAPI - SP'!$C:$F,4,0)))))</f>
        <v>37.369999999999997</v>
      </c>
      <c r="I1779" s="513">
        <f>TRUNC(IF($C1779="",IFERROR(VLOOKUP($B1779,SERVIÇOS!$B:$G,4,0),IFERROR(VLOOKUP($B1779,$D:$K,6,0),)),IFERROR(VLOOKUP($C1779,INSUMOS!$A:$D,4,0),IFERROR(VLOOKUP($C1779,COTAÇÕES!$B:$I,7,0),(VLOOKUP($C1779,'INSUMO SINAPI - SP'!$C:$F,4,0)))))*$G1779,2)</f>
        <v>6.51</v>
      </c>
      <c r="J1779" s="513">
        <f>TRUNC(IF($C1779="",IFERROR(VLOOKUP($B1779,SERVIÇOS!$B:$G,5,0),IFERROR(VLOOKUP($B1779,$D:$K,7,0),)),0)*$G1779,2)</f>
        <v>19.64</v>
      </c>
      <c r="K1779" s="514">
        <f>I1779+J1779</f>
        <v>26.15</v>
      </c>
      <c r="L1779" s="515"/>
      <c r="M1779" s="471"/>
      <c r="N1779" s="516"/>
      <c r="Q1779" s="472"/>
      <c r="R1779" s="472"/>
      <c r="S1779" s="472"/>
      <c r="T1779" s="472"/>
      <c r="U1779" s="472"/>
      <c r="V1779" s="472"/>
      <c r="W1779" s="472"/>
      <c r="X1779" s="472"/>
      <c r="Y1779" s="472"/>
    </row>
    <row r="1780" spans="1:25" x14ac:dyDescent="0.25">
      <c r="A1780" s="463"/>
      <c r="B1780" s="506"/>
      <c r="C1780" s="507" t="s">
        <v>13490</v>
      </c>
      <c r="D1780" s="508"/>
      <c r="E1780" s="518" t="s">
        <v>13491</v>
      </c>
      <c r="F1780" s="519" t="s">
        <v>580</v>
      </c>
      <c r="G1780" s="511">
        <v>2</v>
      </c>
      <c r="H1780" s="520">
        <v>97.16</v>
      </c>
      <c r="I1780" s="520">
        <f>TRUNC(H1780*G1780,2)</f>
        <v>194.32</v>
      </c>
      <c r="J1780" s="521"/>
      <c r="K1780" s="522">
        <f>I1780+J1780</f>
        <v>194.32</v>
      </c>
      <c r="L1780" s="517" t="s">
        <v>12668</v>
      </c>
      <c r="M1780" s="471"/>
      <c r="N1780" s="516"/>
      <c r="Q1780" s="472"/>
      <c r="R1780" s="472"/>
      <c r="S1780" s="472"/>
      <c r="T1780" s="472"/>
      <c r="U1780" s="472"/>
      <c r="V1780" s="472"/>
      <c r="W1780" s="472"/>
      <c r="X1780" s="472"/>
      <c r="Y1780" s="472"/>
    </row>
    <row r="1781" spans="1:25" ht="36" x14ac:dyDescent="0.25">
      <c r="A1781" s="463"/>
      <c r="B1781" s="498"/>
      <c r="C1781" s="498"/>
      <c r="D1781" s="499" t="s">
        <v>11970</v>
      </c>
      <c r="E1781" s="500" t="s">
        <v>13492</v>
      </c>
      <c r="F1781" s="501" t="s">
        <v>578</v>
      </c>
      <c r="G1781" s="502"/>
      <c r="H1781" s="503"/>
      <c r="I1781" s="504">
        <f>SUM(I1782:I1789)</f>
        <v>22.52</v>
      </c>
      <c r="J1781" s="504">
        <f>SUM(J1782:J1789)</f>
        <v>5.0900000000000007</v>
      </c>
      <c r="K1781" s="504">
        <f>+J1781+I1781</f>
        <v>27.61</v>
      </c>
      <c r="L1781" s="523"/>
      <c r="M1781" s="471"/>
      <c r="Q1781" s="472"/>
      <c r="R1781" s="472"/>
      <c r="S1781" s="472"/>
      <c r="T1781" s="472"/>
      <c r="U1781" s="472"/>
      <c r="V1781" s="472"/>
      <c r="W1781" s="472"/>
      <c r="X1781" s="472"/>
      <c r="Y1781" s="472"/>
    </row>
    <row r="1782" spans="1:25" x14ac:dyDescent="0.25">
      <c r="A1782" s="463"/>
      <c r="B1782" s="506">
        <v>88239</v>
      </c>
      <c r="C1782" s="507"/>
      <c r="D1782" s="508"/>
      <c r="E1782" s="509" t="str">
        <f>IF($C1782="",IFERROR(VLOOKUP($B1782,SERVIÇOS!$B:$G,2,0),IFERROR(VLOOKUP($B1782,$D:$K,2,0),"")),IFERROR(VLOOKUP($C1782,INSUMOS!$A:$D,2,0),IFERROR(VLOOKUP($C1782,COTAÇÕES!$B:$I,2,0),(VLOOKUP($C1782,'INSUMO SINAPI - SP'!$C:$F,2,0)))))</f>
        <v>AJUDANTE DE CARPINTEIRO COM ENCARGOS COMPLEMENTARES</v>
      </c>
      <c r="F1782" s="510" t="str">
        <f>IF($C1782="",IFERROR(VLOOKUP($B1782,SERVIÇOS!$B:$G,3,0),IFERROR(VLOOKUP($B1782,$D:$K,3,0),"")),IFERROR(VLOOKUP($C1782,INSUMOS!$A:$D,3,0),IFERROR(VLOOKUP($C1782,COTAÇÕES!$B:$I,3,0),(VLOOKUP($C1782,'INSUMO SINAPI - SP'!$C:$F,3,0)))))</f>
        <v>H</v>
      </c>
      <c r="G1782" s="511">
        <v>7.2999999999999995E-2</v>
      </c>
      <c r="H1782" s="512">
        <f>IF($C1782="",IFERROR(VLOOKUP($B1782,SERVIÇOS!$B:$G,6,0),IFERROR(VLOOKUP($B1782,$D:$K,8,0),"")),IFERROR(VLOOKUP($C1782,INSUMOS!$A:$D,4,0),IFERROR(VLOOKUP($C1782,COTAÇÕES!$B:$I,7,0),(VLOOKUP($C1782,'INSUMO SINAPI - SP'!$C:$F,4,0)))))</f>
        <v>30.08</v>
      </c>
      <c r="I1782" s="513">
        <f>TRUNC(IF($C1782="",IFERROR(VLOOKUP($B1782,SERVIÇOS!$B:$G,4,0),IFERROR(VLOOKUP($B1782,$D:$K,6,0),)),IFERROR(VLOOKUP($C1782,INSUMOS!$A:$D,4,0),IFERROR(VLOOKUP($C1782,COTAÇÕES!$B:$I,7,0),(VLOOKUP($C1782,'INSUMO SINAPI - SP'!$C:$F,4,0)))))*$G1782,2)</f>
        <v>0.66</v>
      </c>
      <c r="J1782" s="513">
        <f>TRUNC(IF($C1782="",IFERROR(VLOOKUP($B1782,SERVIÇOS!$B:$G,5,0),IFERROR(VLOOKUP($B1782,$D:$K,7,0),)),0)*$G1782,2)</f>
        <v>1.53</v>
      </c>
      <c r="K1782" s="514">
        <f t="shared" ref="K1782:K1789" si="62">I1782+J1782</f>
        <v>2.19</v>
      </c>
      <c r="L1782" s="515"/>
      <c r="M1782" s="471"/>
      <c r="Q1782" s="472"/>
      <c r="R1782" s="472"/>
      <c r="S1782" s="472"/>
      <c r="T1782" s="472"/>
      <c r="U1782" s="472"/>
      <c r="V1782" s="472"/>
      <c r="W1782" s="472"/>
      <c r="X1782" s="472"/>
      <c r="Y1782" s="472"/>
    </row>
    <row r="1783" spans="1:25" x14ac:dyDescent="0.25">
      <c r="A1783" s="463"/>
      <c r="B1783" s="506">
        <v>88262</v>
      </c>
      <c r="C1783" s="507"/>
      <c r="D1783" s="508"/>
      <c r="E1783" s="509" t="str">
        <f>IF($C1783="",IFERROR(VLOOKUP($B1783,SERVIÇOS!$B:$G,2,0),IFERROR(VLOOKUP($B1783,$D:$K,2,0),"")),IFERROR(VLOOKUP($C1783,INSUMOS!$A:$D,2,0),IFERROR(VLOOKUP($C1783,COTAÇÕES!$B:$I,2,0),(VLOOKUP($C1783,'INSUMO SINAPI - SP'!$C:$F,2,0)))))</f>
        <v>CARPINTEIRO DE FORMAS COM ENCARGOS COMPLEMENTARES</v>
      </c>
      <c r="F1783" s="510" t="str">
        <f>IF($C1783="",IFERROR(VLOOKUP($B1783,SERVIÇOS!$B:$G,3,0),IFERROR(VLOOKUP($B1783,$D:$K,3,0),"")),IFERROR(VLOOKUP($C1783,INSUMOS!$A:$D,3,0),IFERROR(VLOOKUP($C1783,COTAÇÕES!$B:$I,3,0),(VLOOKUP($C1783,'INSUMO SINAPI - SP'!$C:$F,3,0)))))</f>
        <v>H</v>
      </c>
      <c r="G1783" s="511">
        <v>0.11600000000000001</v>
      </c>
      <c r="H1783" s="512">
        <f>IF($C1783="",IFERROR(VLOOKUP($B1783,SERVIÇOS!$B:$G,6,0),IFERROR(VLOOKUP($B1783,$D:$K,8,0),"")),IFERROR(VLOOKUP($C1783,INSUMOS!$A:$D,4,0),IFERROR(VLOOKUP($C1783,COTAÇÕES!$B:$I,7,0),(VLOOKUP($C1783,'INSUMO SINAPI - SP'!$C:$F,4,0)))))</f>
        <v>36.43</v>
      </c>
      <c r="I1783" s="513">
        <f>TRUNC(IF($C1783="",IFERROR(VLOOKUP($B1783,SERVIÇOS!$B:$G,4,0),IFERROR(VLOOKUP($B1783,$D:$K,6,0),)),IFERROR(VLOOKUP($C1783,INSUMOS!$A:$D,4,0),IFERROR(VLOOKUP($C1783,COTAÇÕES!$B:$I,7,0),(VLOOKUP($C1783,'INSUMO SINAPI - SP'!$C:$F,4,0)))))*$G1783,2)</f>
        <v>1.05</v>
      </c>
      <c r="J1783" s="513">
        <f>TRUNC(IF($C1783="",IFERROR(VLOOKUP($B1783,SERVIÇOS!$B:$G,5,0),IFERROR(VLOOKUP($B1783,$D:$K,7,0),)),0)*$G1783,2)</f>
        <v>3.17</v>
      </c>
      <c r="K1783" s="514">
        <f t="shared" si="62"/>
        <v>4.22</v>
      </c>
      <c r="L1783" s="515"/>
      <c r="M1783" s="471"/>
      <c r="Q1783" s="472"/>
      <c r="R1783" s="472"/>
      <c r="S1783" s="472"/>
      <c r="T1783" s="472"/>
      <c r="U1783" s="472"/>
      <c r="V1783" s="472"/>
      <c r="W1783" s="472"/>
      <c r="X1783" s="472"/>
      <c r="Y1783" s="472"/>
    </row>
    <row r="1784" spans="1:25" ht="24" x14ac:dyDescent="0.25">
      <c r="A1784" s="463"/>
      <c r="B1784" s="506">
        <v>93282</v>
      </c>
      <c r="C1784" s="507"/>
      <c r="D1784" s="508"/>
      <c r="E1784" s="509" t="str">
        <f>IF($C1784="",IFERROR(VLOOKUP($B1784,SERVIÇOS!$B:$G,2,0),IFERROR(VLOOKUP($B1784,$D:$K,2,0),"")),IFERROR(VLOOKUP($C1784,INSUMOS!$A:$D,2,0),IFERROR(VLOOKUP($C1784,COTAÇÕES!$B:$I,2,0),(VLOOKUP($C1784,'INSUMO SINAPI - SP'!$C:$F,2,0)))))</f>
        <v>GUINCHO ELÉTRICO DE COLUNA, CAPACIDADE 400 KG, COM MOTO FREIO, MOTOR TRIFÁSICO DE 1,25 CV - CHI DIURNO. AF_03/2016</v>
      </c>
      <c r="F1784" s="510" t="str">
        <f>IF($C1784="",IFERROR(VLOOKUP($B1784,SERVIÇOS!$B:$G,3,0),IFERROR(VLOOKUP($B1784,$D:$K,3,0),"")),IFERROR(VLOOKUP($C1784,INSUMOS!$A:$D,3,0),IFERROR(VLOOKUP($C1784,COTAÇÕES!$B:$I,3,0),(VLOOKUP($C1784,'INSUMO SINAPI - SP'!$C:$F,3,0)))))</f>
        <v>CHI</v>
      </c>
      <c r="G1784" s="511">
        <v>9.1000000000000004E-3</v>
      </c>
      <c r="H1784" s="512">
        <f>IF($C1784="",IFERROR(VLOOKUP($B1784,SERVIÇOS!$B:$G,6,0),IFERROR(VLOOKUP($B1784,$D:$K,8,0),"")),IFERROR(VLOOKUP($C1784,INSUMOS!$A:$D,4,0),IFERROR(VLOOKUP($C1784,COTAÇÕES!$B:$I,7,0),(VLOOKUP($C1784,'INSUMO SINAPI - SP'!$C:$F,4,0)))))</f>
        <v>34.71</v>
      </c>
      <c r="I1784" s="513">
        <f>TRUNC(IF($C1784="",IFERROR(VLOOKUP($B1784,SERVIÇOS!$B:$G,4,0),IFERROR(VLOOKUP($B1784,$D:$K,6,0),)),IFERROR(VLOOKUP($C1784,INSUMOS!$A:$D,4,0),IFERROR(VLOOKUP($C1784,COTAÇÕES!$B:$I,7,0),(VLOOKUP($C1784,'INSUMO SINAPI - SP'!$C:$F,4,0)))))*$G1784,2)</f>
        <v>7.0000000000000007E-2</v>
      </c>
      <c r="J1784" s="513">
        <f>TRUNC(IF($C1784="",IFERROR(VLOOKUP($B1784,SERVIÇOS!$B:$G,5,0),IFERROR(VLOOKUP($B1784,$D:$K,7,0),)),0)*$G1784,2)</f>
        <v>0.23</v>
      </c>
      <c r="K1784" s="514">
        <f t="shared" si="62"/>
        <v>0.30000000000000004</v>
      </c>
      <c r="L1784" s="515"/>
      <c r="M1784" s="471"/>
      <c r="Q1784" s="472"/>
      <c r="R1784" s="472"/>
      <c r="S1784" s="472"/>
      <c r="T1784" s="472"/>
      <c r="U1784" s="472"/>
      <c r="V1784" s="472"/>
      <c r="W1784" s="472"/>
      <c r="X1784" s="472"/>
      <c r="Y1784" s="472"/>
    </row>
    <row r="1785" spans="1:25" ht="24" x14ac:dyDescent="0.25">
      <c r="A1785" s="463"/>
      <c r="B1785" s="506">
        <v>93281</v>
      </c>
      <c r="C1785" s="507"/>
      <c r="D1785" s="508"/>
      <c r="E1785" s="509" t="str">
        <f>IF($C1785="",IFERROR(VLOOKUP($B1785,SERVIÇOS!$B:$G,2,0),IFERROR(VLOOKUP($B1785,$D:$K,2,0),"")),IFERROR(VLOOKUP($C1785,INSUMOS!$A:$D,2,0),IFERROR(VLOOKUP($C1785,COTAÇÕES!$B:$I,2,0),(VLOOKUP($C1785,'INSUMO SINAPI - SP'!$C:$F,2,0)))))</f>
        <v>GUINCHO ELÉTRICO DE COLUNA, CAPACIDADE 400 KG, COM MOTO FREIO, MOTOR TRIFÁSICO DE 1,25 CV - CHP DIURNO. AF_03/2016</v>
      </c>
      <c r="F1785" s="510" t="str">
        <f>IF($C1785="",IFERROR(VLOOKUP($B1785,SERVIÇOS!$B:$G,3,0),IFERROR(VLOOKUP($B1785,$D:$K,3,0),"")),IFERROR(VLOOKUP($C1785,INSUMOS!$A:$D,3,0),IFERROR(VLOOKUP($C1785,COTAÇÕES!$B:$I,3,0),(VLOOKUP($C1785,'INSUMO SINAPI - SP'!$C:$F,3,0)))))</f>
        <v>CHP</v>
      </c>
      <c r="G1785" s="511">
        <v>6.1999999999999998E-3</v>
      </c>
      <c r="H1785" s="512">
        <f>IF($C1785="",IFERROR(VLOOKUP($B1785,SERVIÇOS!$B:$G,6,0),IFERROR(VLOOKUP($B1785,$D:$K,8,0),"")),IFERROR(VLOOKUP($C1785,INSUMOS!$A:$D,4,0),IFERROR(VLOOKUP($C1785,COTAÇÕES!$B:$I,7,0),(VLOOKUP($C1785,'INSUMO SINAPI - SP'!$C:$F,4,0)))))</f>
        <v>35.520000000000003</v>
      </c>
      <c r="I1785" s="513">
        <f>TRUNC(IF($C1785="",IFERROR(VLOOKUP($B1785,SERVIÇOS!$B:$G,4,0),IFERROR(VLOOKUP($B1785,$D:$K,6,0),)),IFERROR(VLOOKUP($C1785,INSUMOS!$A:$D,4,0),IFERROR(VLOOKUP($C1785,COTAÇÕES!$B:$I,7,0),(VLOOKUP($C1785,'INSUMO SINAPI - SP'!$C:$F,4,0)))))*$G1785,2)</f>
        <v>0.05</v>
      </c>
      <c r="J1785" s="513">
        <f>TRUNC(IF($C1785="",IFERROR(VLOOKUP($B1785,SERVIÇOS!$B:$G,5,0),IFERROR(VLOOKUP($B1785,$D:$K,7,0),)),0)*$G1785,2)</f>
        <v>0.16</v>
      </c>
      <c r="K1785" s="514">
        <f t="shared" si="62"/>
        <v>0.21000000000000002</v>
      </c>
      <c r="L1785" s="515"/>
      <c r="M1785" s="471"/>
      <c r="Q1785" s="472"/>
      <c r="R1785" s="472"/>
      <c r="S1785" s="472"/>
      <c r="T1785" s="472"/>
      <c r="U1785" s="472"/>
      <c r="V1785" s="472"/>
      <c r="W1785" s="472"/>
      <c r="X1785" s="472"/>
      <c r="Y1785" s="472"/>
    </row>
    <row r="1786" spans="1:25" ht="24" x14ac:dyDescent="0.25">
      <c r="A1786" s="463"/>
      <c r="B1786" s="506"/>
      <c r="C1786" s="506">
        <v>4430</v>
      </c>
      <c r="D1786" s="508"/>
      <c r="E1786" s="509" t="str">
        <f>IF($C1786="",IFERROR(VLOOKUP($B1786,SERVIÇOS!$B:$G,2,0),IFERROR(VLOOKUP($B1786,$D:$K,2,0),"")),IFERROR(VLOOKUP($C1786,INSUMOS!$A:$D,2,0),IFERROR(VLOOKUP($C1786,COTAÇÕES!$B:$I,2,0),(VLOOKUP($C1786,'INSUMO SINAPI - SP'!$C:$F,2,0)))))</f>
        <v>CAIBRO NAO APARELHADO *5 X 6* CM, EM MACARANDUBA/MASSARANDUBA, ANGELIM OU EQUIVALENTE DA REGIAO - BRUTA</v>
      </c>
      <c r="F1786" s="510" t="str">
        <f>IF($C1786="",IFERROR(VLOOKUP($B1786,SERVIÇOS!$B:$G,3,0),IFERROR(VLOOKUP($B1786,$D:$K,3,0),"")),IFERROR(VLOOKUP($C1786,INSUMOS!$A:$D,3,0),IFERROR(VLOOKUP($C1786,COTAÇÕES!$B:$I,3,0),(VLOOKUP($C1786,'INSUMO SINAPI - SP'!$C:$F,3,0)))))</f>
        <v>M</v>
      </c>
      <c r="G1786" s="511">
        <v>0.55600000000000005</v>
      </c>
      <c r="H1786" s="512">
        <f>IF($C1786="",IFERROR(VLOOKUP($B1786,SERVIÇOS!$B:$G,6,0),IFERROR(VLOOKUP($B1786,$D:$K,8,0),"")),IFERROR(VLOOKUP($C1786,INSUMOS!$A:$D,4,0),IFERROR(VLOOKUP($C1786,COTAÇÕES!$B:$I,7,0),(VLOOKUP($C1786,'INSUMO SINAPI - SP'!$C:$F,4,0)))))</f>
        <v>15.39</v>
      </c>
      <c r="I1786" s="513">
        <f>TRUNC(IF($C1786="",IFERROR(VLOOKUP($B1786,SERVIÇOS!$B:$G,4,0),IFERROR(VLOOKUP($B1786,$D:$K,6,0),)),IFERROR(VLOOKUP($C1786,INSUMOS!$A:$D,4,0),IFERROR(VLOOKUP($C1786,COTAÇÕES!$B:$I,7,0),(VLOOKUP($C1786,'INSUMO SINAPI - SP'!$C:$F,4,0)))))*$G1786,2)</f>
        <v>8.5500000000000007</v>
      </c>
      <c r="J1786" s="513">
        <f>TRUNC(IF($C1786="",IFERROR(VLOOKUP($B1786,SERVIÇOS!$B:$G,5,0),IFERROR(VLOOKUP($B1786,$D:$K,7,0),)),0)*$G1786,2)</f>
        <v>0</v>
      </c>
      <c r="K1786" s="514">
        <f t="shared" si="62"/>
        <v>8.5500000000000007</v>
      </c>
      <c r="L1786" s="517"/>
      <c r="M1786" s="471"/>
      <c r="Q1786" s="472"/>
      <c r="R1786" s="472"/>
      <c r="S1786" s="472"/>
      <c r="T1786" s="472"/>
      <c r="U1786" s="472"/>
      <c r="V1786" s="472"/>
      <c r="W1786" s="472"/>
      <c r="X1786" s="472"/>
      <c r="Y1786" s="472"/>
    </row>
    <row r="1787" spans="1:25" x14ac:dyDescent="0.25">
      <c r="A1787" s="463"/>
      <c r="B1787" s="506"/>
      <c r="C1787" s="506">
        <v>5075</v>
      </c>
      <c r="D1787" s="508"/>
      <c r="E1787" s="509" t="str">
        <f>IF($C1787="",IFERROR(VLOOKUP($B1787,SERVIÇOS!$B:$G,2,0),IFERROR(VLOOKUP($B1787,$D:$K,2,0),"")),IFERROR(VLOOKUP($C1787,INSUMOS!$A:$D,2,0),IFERROR(VLOOKUP($C1787,COTAÇÕES!$B:$I,2,0),(VLOOKUP($C1787,'INSUMO SINAPI - SP'!$C:$F,2,0)))))</f>
        <v>PREGO DE ACO POLIDO COM CABECA 18 X 30 (2 3/4 X 10)</v>
      </c>
      <c r="F1787" s="510" t="str">
        <f>IF($C1787="",IFERROR(VLOOKUP($B1787,SERVIÇOS!$B:$G,3,0),IFERROR(VLOOKUP($B1787,$D:$K,3,0),"")),IFERROR(VLOOKUP($C1787,INSUMOS!$A:$D,3,0),IFERROR(VLOOKUP($C1787,COTAÇÕES!$B:$I,3,0),(VLOOKUP($C1787,'INSUMO SINAPI - SP'!$C:$F,3,0)))))</f>
        <v>KG</v>
      </c>
      <c r="G1787" s="511">
        <v>0.12</v>
      </c>
      <c r="H1787" s="512">
        <f>IF($C1787="",IFERROR(VLOOKUP($B1787,SERVIÇOS!$B:$G,6,0),IFERROR(VLOOKUP($B1787,$D:$K,8,0),"")),IFERROR(VLOOKUP($C1787,INSUMOS!$A:$D,4,0),IFERROR(VLOOKUP($C1787,COTAÇÕES!$B:$I,7,0),(VLOOKUP($C1787,'INSUMO SINAPI - SP'!$C:$F,4,0)))))</f>
        <v>16.07</v>
      </c>
      <c r="I1787" s="513">
        <f>TRUNC(IF($C1787="",IFERROR(VLOOKUP($B1787,SERVIÇOS!$B:$G,4,0),IFERROR(VLOOKUP($B1787,$D:$K,6,0),)),IFERROR(VLOOKUP($C1787,INSUMOS!$A:$D,4,0),IFERROR(VLOOKUP($C1787,COTAÇÕES!$B:$I,7,0),(VLOOKUP($C1787,'INSUMO SINAPI - SP'!$C:$F,4,0)))))*$G1787,2)</f>
        <v>1.92</v>
      </c>
      <c r="J1787" s="513">
        <f>TRUNC(IF($C1787="",IFERROR(VLOOKUP($B1787,SERVIÇOS!$B:$G,5,0),IFERROR(VLOOKUP($B1787,$D:$K,7,0),)),0)*$G1787,2)</f>
        <v>0</v>
      </c>
      <c r="K1787" s="514">
        <f t="shared" si="62"/>
        <v>1.92</v>
      </c>
      <c r="L1787" s="517"/>
      <c r="M1787" s="471"/>
      <c r="Q1787" s="472"/>
      <c r="R1787" s="472"/>
      <c r="S1787" s="472"/>
      <c r="T1787" s="472"/>
      <c r="U1787" s="472"/>
      <c r="V1787" s="472"/>
      <c r="W1787" s="472"/>
      <c r="X1787" s="472"/>
      <c r="Y1787" s="472"/>
    </row>
    <row r="1788" spans="1:25" ht="24" x14ac:dyDescent="0.25">
      <c r="A1788" s="463"/>
      <c r="B1788" s="506"/>
      <c r="C1788" s="506">
        <v>4425</v>
      </c>
      <c r="D1788" s="508"/>
      <c r="E1788" s="509" t="str">
        <f>IF($C1788="",IFERROR(VLOOKUP($B1788,SERVIÇOS!$B:$G,2,0),IFERROR(VLOOKUP($B1788,$D:$K,2,0),"")),IFERROR(VLOOKUP($C1788,INSUMOS!$A:$D,2,0),IFERROR(VLOOKUP($C1788,COTAÇÕES!$B:$I,2,0),(VLOOKUP($C1788,'INSUMO SINAPI - SP'!$C:$F,2,0)))))</f>
        <v>VIGA NAO APARELHADA *6 X 12* CM, EM MACARANDUBA/MASSARANDUBA, ANGELIM OU EQUIVALENTE DA REGIAO - BRUTA</v>
      </c>
      <c r="F1788" s="510" t="str">
        <f>IF($C1788="",IFERROR(VLOOKUP($B1788,SERVIÇOS!$B:$G,3,0),IFERROR(VLOOKUP($B1788,$D:$K,3,0),"")),IFERROR(VLOOKUP($C1788,INSUMOS!$A:$D,3,0),IFERROR(VLOOKUP($C1788,COTAÇÕES!$B:$I,3,0),(VLOOKUP($C1788,'INSUMO SINAPI - SP'!$C:$F,3,0)))))</f>
        <v>M</v>
      </c>
      <c r="G1788" s="511">
        <v>0.222</v>
      </c>
      <c r="H1788" s="512">
        <f>IF($C1788="",IFERROR(VLOOKUP($B1788,SERVIÇOS!$B:$G,6,0),IFERROR(VLOOKUP($B1788,$D:$K,8,0),"")),IFERROR(VLOOKUP($C1788,INSUMOS!$A:$D,4,0),IFERROR(VLOOKUP($C1788,COTAÇÕES!$B:$I,7,0),(VLOOKUP($C1788,'INSUMO SINAPI - SP'!$C:$F,4,0)))))</f>
        <v>32.549999999999997</v>
      </c>
      <c r="I1788" s="513">
        <f>TRUNC(IF($C1788="",IFERROR(VLOOKUP($B1788,SERVIÇOS!$B:$G,4,0),IFERROR(VLOOKUP($B1788,$D:$K,6,0),)),IFERROR(VLOOKUP($C1788,INSUMOS!$A:$D,4,0),IFERROR(VLOOKUP($C1788,COTAÇÕES!$B:$I,7,0),(VLOOKUP($C1788,'INSUMO SINAPI - SP'!$C:$F,4,0)))))*$G1788,2)</f>
        <v>7.22</v>
      </c>
      <c r="J1788" s="513">
        <f>TRUNC(IF($C1788="",IFERROR(VLOOKUP($B1788,SERVIÇOS!$B:$G,5,0),IFERROR(VLOOKUP($B1788,$D:$K,7,0),)),0)*$G1788,2)</f>
        <v>0</v>
      </c>
      <c r="K1788" s="514">
        <f t="shared" si="62"/>
        <v>7.22</v>
      </c>
      <c r="L1788" s="517"/>
      <c r="M1788" s="471"/>
      <c r="Q1788" s="472"/>
      <c r="R1788" s="472"/>
      <c r="S1788" s="472"/>
      <c r="T1788" s="472"/>
      <c r="U1788" s="472"/>
      <c r="V1788" s="472"/>
      <c r="W1788" s="472"/>
      <c r="X1788" s="472"/>
      <c r="Y1788" s="472"/>
    </row>
    <row r="1789" spans="1:25" ht="24" x14ac:dyDescent="0.25">
      <c r="A1789" s="463"/>
      <c r="B1789" s="506"/>
      <c r="C1789" s="506">
        <v>4472</v>
      </c>
      <c r="D1789" s="508"/>
      <c r="E1789" s="509" t="str">
        <f>IF($C1789="",IFERROR(VLOOKUP($B1789,SERVIÇOS!$B:$G,2,0),IFERROR(VLOOKUP($B1789,$D:$K,2,0),"")),IFERROR(VLOOKUP($C1789,INSUMOS!$A:$D,2,0),IFERROR(VLOOKUP($C1789,COTAÇÕES!$B:$I,2,0),(VLOOKUP($C1789,'INSUMO SINAPI - SP'!$C:$F,2,0)))))</f>
        <v>VIGA NAO APARELHADA *6 X 16* CM, EM MACARANDUBA/MASSARANDUBA, ANGELIM OU EQUIVALENTE DA REGIAO - BRUTA</v>
      </c>
      <c r="F1789" s="510" t="str">
        <f>IF($C1789="",IFERROR(VLOOKUP($B1789,SERVIÇOS!$B:$G,3,0),IFERROR(VLOOKUP($B1789,$D:$K,3,0),"")),IFERROR(VLOOKUP($C1789,INSUMOS!$A:$D,3,0),IFERROR(VLOOKUP($C1789,COTAÇÕES!$B:$I,3,0),(VLOOKUP($C1789,'INSUMO SINAPI - SP'!$C:$F,3,0)))))</f>
        <v>M</v>
      </c>
      <c r="G1789" s="511">
        <v>7.3999999999999996E-2</v>
      </c>
      <c r="H1789" s="512">
        <f>IF($C1789="",IFERROR(VLOOKUP($B1789,SERVIÇOS!$B:$G,6,0),IFERROR(VLOOKUP($B1789,$D:$K,8,0),"")),IFERROR(VLOOKUP($C1789,INSUMOS!$A:$D,4,0),IFERROR(VLOOKUP($C1789,COTAÇÕES!$B:$I,7,0),(VLOOKUP($C1789,'INSUMO SINAPI - SP'!$C:$F,4,0)))))</f>
        <v>40.659999999999997</v>
      </c>
      <c r="I1789" s="513">
        <f>TRUNC(IF($C1789="",IFERROR(VLOOKUP($B1789,SERVIÇOS!$B:$G,4,0),IFERROR(VLOOKUP($B1789,$D:$K,6,0),)),IFERROR(VLOOKUP($C1789,INSUMOS!$A:$D,4,0),IFERROR(VLOOKUP($C1789,COTAÇÕES!$B:$I,7,0),(VLOOKUP($C1789,'INSUMO SINAPI - SP'!$C:$F,4,0)))))*$G1789,2)</f>
        <v>3</v>
      </c>
      <c r="J1789" s="513">
        <f>TRUNC(IF($C1789="",IFERROR(VLOOKUP($B1789,SERVIÇOS!$B:$G,5,0),IFERROR(VLOOKUP($B1789,$D:$K,7,0),)),0)*$G1789,2)</f>
        <v>0</v>
      </c>
      <c r="K1789" s="514">
        <f t="shared" si="62"/>
        <v>3</v>
      </c>
      <c r="L1789" s="517"/>
      <c r="M1789" s="471"/>
      <c r="Q1789" s="472"/>
      <c r="R1789" s="472"/>
      <c r="S1789" s="472"/>
      <c r="T1789" s="472"/>
      <c r="U1789" s="472"/>
      <c r="V1789" s="472"/>
      <c r="W1789" s="472"/>
      <c r="X1789" s="472"/>
      <c r="Y1789" s="472"/>
    </row>
    <row r="1790" spans="1:25" x14ac:dyDescent="0.25">
      <c r="A1790" s="463"/>
      <c r="B1790" s="498"/>
      <c r="C1790" s="498"/>
      <c r="D1790" s="499" t="s">
        <v>11964</v>
      </c>
      <c r="E1790" s="529" t="s">
        <v>13493</v>
      </c>
      <c r="F1790" s="501" t="s">
        <v>578</v>
      </c>
      <c r="G1790" s="502"/>
      <c r="H1790" s="503"/>
      <c r="I1790" s="504">
        <f>ROUND(SUM(I1791:I1793),2)</f>
        <v>31.89</v>
      </c>
      <c r="J1790" s="504">
        <f>ROUND(SUM(J1791:J1793),2)</f>
        <v>1.97</v>
      </c>
      <c r="K1790" s="504">
        <f>+J1790+I1790</f>
        <v>33.86</v>
      </c>
      <c r="L1790" s="523" t="s">
        <v>13494</v>
      </c>
      <c r="M1790" s="471"/>
      <c r="N1790" s="505"/>
      <c r="Q1790" s="472"/>
      <c r="R1790" s="472"/>
      <c r="S1790" s="472"/>
      <c r="T1790" s="472"/>
      <c r="U1790" s="472"/>
      <c r="V1790" s="472"/>
      <c r="W1790" s="472"/>
      <c r="X1790" s="472"/>
      <c r="Y1790" s="472"/>
    </row>
    <row r="1791" spans="1:25" x14ac:dyDescent="0.25">
      <c r="A1791" s="463"/>
      <c r="B1791" s="507"/>
      <c r="C1791" s="507" t="s">
        <v>13495</v>
      </c>
      <c r="D1791" s="557"/>
      <c r="E1791" s="518" t="s">
        <v>13496</v>
      </c>
      <c r="F1791" s="519" t="s">
        <v>578</v>
      </c>
      <c r="G1791" s="511">
        <v>1</v>
      </c>
      <c r="H1791" s="520">
        <v>31.19</v>
      </c>
      <c r="I1791" s="520">
        <f>TRUNC(H1791*G1791,2)</f>
        <v>31.19</v>
      </c>
      <c r="J1791" s="521"/>
      <c r="K1791" s="522">
        <f>I1791+J1791</f>
        <v>31.19</v>
      </c>
      <c r="L1791" s="517" t="s">
        <v>12901</v>
      </c>
      <c r="M1791" s="471"/>
      <c r="N1791" s="516"/>
      <c r="Q1791" s="472"/>
      <c r="R1791" s="472"/>
      <c r="S1791" s="472"/>
      <c r="T1791" s="472"/>
      <c r="U1791" s="472"/>
      <c r="V1791" s="472"/>
      <c r="W1791" s="472"/>
      <c r="X1791" s="472"/>
      <c r="Y1791" s="472"/>
    </row>
    <row r="1792" spans="1:25" x14ac:dyDescent="0.25">
      <c r="A1792" s="463"/>
      <c r="B1792" s="506">
        <v>88278</v>
      </c>
      <c r="C1792" s="507"/>
      <c r="D1792" s="508"/>
      <c r="E1792" s="509" t="str">
        <f>IF($C1792="",IFERROR(VLOOKUP($B1792,SERVIÇOS!$B:$G,2,0),IFERROR(VLOOKUP($B1792,$D:$K,2,0),"")),IFERROR(VLOOKUP($C1792,INSUMOS!$A:$D,2,0),IFERROR(VLOOKUP($C1792,COTAÇÕES!$B:$I,2,0),(VLOOKUP($C1792,'INSUMO SINAPI - SP'!$C:$F,2,0)))))</f>
        <v>MONTADOR DE ESTRUTURA METÁLICA COM ENCARGOS COMPLEMENTARES</v>
      </c>
      <c r="F1792" s="510" t="str">
        <f>IF($C1792="",IFERROR(VLOOKUP($B1792,SERVIÇOS!$B:$G,3,0),IFERROR(VLOOKUP($B1792,$D:$K,3,0),"")),IFERROR(VLOOKUP($C1792,INSUMOS!$A:$D,3,0),IFERROR(VLOOKUP($C1792,COTAÇÕES!$B:$I,3,0),(VLOOKUP($C1792,'INSUMO SINAPI - SP'!$C:$F,3,0)))))</f>
        <v>H</v>
      </c>
      <c r="G1792" s="511">
        <v>6.8000000000000005E-2</v>
      </c>
      <c r="H1792" s="512">
        <f>IF($C1792="",IFERROR(VLOOKUP($B1792,SERVIÇOS!$B:$G,6,0),IFERROR(VLOOKUP($B1792,$D:$K,8,0),"")),IFERROR(VLOOKUP($C1792,INSUMOS!$A:$D,4,0),IFERROR(VLOOKUP($C1792,COTAÇÕES!$B:$I,7,0),(VLOOKUP($C1792,'INSUMO SINAPI - SP'!$C:$F,4,0)))))</f>
        <v>32.22</v>
      </c>
      <c r="I1792" s="513">
        <f>TRUNC(IF($C1792="",IFERROR(VLOOKUP($B1792,SERVIÇOS!$B:$G,4,0),IFERROR(VLOOKUP($B1792,$D:$K,6,0),)),IFERROR(VLOOKUP($C1792,INSUMOS!$A:$D,4,0),IFERROR(VLOOKUP($C1792,COTAÇÕES!$B:$I,7,0),(VLOOKUP($C1792,'INSUMO SINAPI - SP'!$C:$F,4,0)))))*$G1792,2)</f>
        <v>0.55000000000000004</v>
      </c>
      <c r="J1792" s="513">
        <f>TRUNC(IF($C1792="",IFERROR(VLOOKUP($B1792,SERVIÇOS!$B:$G,5,0),IFERROR(VLOOKUP($B1792,$D:$K,7,0),)),0)*$G1792,2)</f>
        <v>1.64</v>
      </c>
      <c r="K1792" s="514">
        <f>I1792+J1792</f>
        <v>2.19</v>
      </c>
      <c r="L1792" s="515"/>
      <c r="M1792" s="471"/>
      <c r="N1792" s="516"/>
      <c r="Q1792" s="472"/>
      <c r="R1792" s="472"/>
      <c r="S1792" s="472"/>
      <c r="T1792" s="472"/>
      <c r="U1792" s="472"/>
      <c r="V1792" s="472"/>
      <c r="W1792" s="472"/>
      <c r="X1792" s="472"/>
      <c r="Y1792" s="472"/>
    </row>
    <row r="1793" spans="1:25" x14ac:dyDescent="0.25">
      <c r="A1793" s="463"/>
      <c r="B1793" s="506">
        <v>88316</v>
      </c>
      <c r="C1793" s="507"/>
      <c r="D1793" s="508"/>
      <c r="E1793" s="509" t="str">
        <f>IF($C1793="",IFERROR(VLOOKUP($B1793,SERVIÇOS!$B:$G,2,0),IFERROR(VLOOKUP($B1793,$D:$K,2,0),"")),IFERROR(VLOOKUP($C1793,INSUMOS!$A:$D,2,0),IFERROR(VLOOKUP($C1793,COTAÇÕES!$B:$I,2,0),(VLOOKUP($C1793,'INSUMO SINAPI - SP'!$C:$F,2,0)))))</f>
        <v>SERVENTE COM ENCARGOS COMPLEMENTARES</v>
      </c>
      <c r="F1793" s="510" t="str">
        <f>IF($C1793="",IFERROR(VLOOKUP($B1793,SERVIÇOS!$B:$G,3,0),IFERROR(VLOOKUP($B1793,$D:$K,3,0),"")),IFERROR(VLOOKUP($C1793,INSUMOS!$A:$D,3,0),IFERROR(VLOOKUP($C1793,COTAÇÕES!$B:$I,3,0),(VLOOKUP($C1793,'INSUMO SINAPI - SP'!$C:$F,3,0)))))</f>
        <v>H</v>
      </c>
      <c r="G1793" s="511">
        <v>1.7000000000000001E-2</v>
      </c>
      <c r="H1793" s="512">
        <f>IF($C1793="",IFERROR(VLOOKUP($B1793,SERVIÇOS!$B:$G,6,0),IFERROR(VLOOKUP($B1793,$D:$K,8,0),"")),IFERROR(VLOOKUP($C1793,INSUMOS!$A:$D,4,0),IFERROR(VLOOKUP($C1793,COTAÇÕES!$B:$I,7,0),(VLOOKUP($C1793,'INSUMO SINAPI - SP'!$C:$F,4,0)))))</f>
        <v>28.71</v>
      </c>
      <c r="I1793" s="513">
        <f>TRUNC(IF($C1793="",IFERROR(VLOOKUP($B1793,SERVIÇOS!$B:$G,4,0),IFERROR(VLOOKUP($B1793,$D:$K,6,0),)),IFERROR(VLOOKUP($C1793,INSUMOS!$A:$D,4,0),IFERROR(VLOOKUP($C1793,COTAÇÕES!$B:$I,7,0),(VLOOKUP($C1793,'INSUMO SINAPI - SP'!$C:$F,4,0)))))*$G1793,2)</f>
        <v>0.15</v>
      </c>
      <c r="J1793" s="513">
        <f>TRUNC(IF($C1793="",IFERROR(VLOOKUP($B1793,SERVIÇOS!$B:$G,5,0),IFERROR(VLOOKUP($B1793,$D:$K,7,0),)),0)*$G1793,2)</f>
        <v>0.33</v>
      </c>
      <c r="K1793" s="514">
        <f>I1793+J1793</f>
        <v>0.48</v>
      </c>
      <c r="L1793" s="515"/>
      <c r="M1793" s="471"/>
      <c r="N1793" s="516"/>
      <c r="Q1793" s="472"/>
      <c r="R1793" s="472"/>
      <c r="S1793" s="472"/>
      <c r="T1793" s="472"/>
      <c r="U1793" s="472"/>
      <c r="V1793" s="472"/>
      <c r="W1793" s="472"/>
      <c r="X1793" s="472"/>
      <c r="Y1793" s="472"/>
    </row>
    <row r="1794" spans="1:25" ht="24" x14ac:dyDescent="0.25">
      <c r="A1794" s="463"/>
      <c r="B1794" s="498"/>
      <c r="C1794" s="498"/>
      <c r="D1794" s="499" t="s">
        <v>11913</v>
      </c>
      <c r="E1794" s="500" t="s">
        <v>13497</v>
      </c>
      <c r="F1794" s="501" t="s">
        <v>578</v>
      </c>
      <c r="G1794" s="502"/>
      <c r="H1794" s="503"/>
      <c r="I1794" s="504">
        <f>ROUND(SUM(I1795:I1801),2)</f>
        <v>468.7</v>
      </c>
      <c r="J1794" s="504">
        <f>ROUND(SUM(J1795:J1801),2)</f>
        <v>67.2</v>
      </c>
      <c r="K1794" s="504">
        <f>+J1794+I1794</f>
        <v>535.9</v>
      </c>
      <c r="L1794" s="523" t="s">
        <v>13498</v>
      </c>
      <c r="M1794" s="471"/>
      <c r="N1794" s="505"/>
      <c r="Q1794" s="472"/>
      <c r="R1794" s="472"/>
      <c r="S1794" s="472"/>
      <c r="T1794" s="472"/>
      <c r="U1794" s="472"/>
      <c r="V1794" s="472"/>
      <c r="W1794" s="472"/>
      <c r="X1794" s="472"/>
      <c r="Y1794" s="472"/>
    </row>
    <row r="1795" spans="1:25" ht="24" x14ac:dyDescent="0.25">
      <c r="A1795" s="463"/>
      <c r="B1795" s="506"/>
      <c r="C1795" s="507">
        <v>4417</v>
      </c>
      <c r="D1795" s="508"/>
      <c r="E1795" s="509" t="str">
        <f>IF($C1795="",IFERROR(VLOOKUP($B1795,SERVIÇOS!$B:$G,2,0),IFERROR(VLOOKUP($B1795,$D:$K,2,0),"")),IFERROR(VLOOKUP($C1795,INSUMOS!$A:$D,2,0),IFERROR(VLOOKUP($C1795,COTAÇÕES!$B:$I,2,0),(VLOOKUP($C1795,'INSUMO SINAPI - SP'!$C:$F,2,0)))))</f>
        <v>SARRAFO NAO APARELHADO *2,5 X 7* CM, EM MACARANDUBA/MASSARANDUBA, ANGELIM, PEROBA-ROSA OU EQUIVALENTE DA REGIAO - BRUTA</v>
      </c>
      <c r="F1795" s="510" t="str">
        <f>IF($C1795="",IFERROR(VLOOKUP($B1795,SERVIÇOS!$B:$G,3,0),IFERROR(VLOOKUP($B1795,$D:$K,3,0),"")),IFERROR(VLOOKUP($C1795,INSUMOS!$A:$D,3,0),IFERROR(VLOOKUP($C1795,COTAÇÕES!$B:$I,3,0),(VLOOKUP($C1795,'INSUMO SINAPI - SP'!$C:$F,3,0)))))</f>
        <v>M</v>
      </c>
      <c r="G1795" s="511">
        <v>1</v>
      </c>
      <c r="H1795" s="512">
        <f>IF($C1795="",IFERROR(VLOOKUP($B1795,SERVIÇOS!$B:$G,6,0),IFERROR(VLOOKUP($B1795,$D:$K,8,0),"")),IFERROR(VLOOKUP($C1795,INSUMOS!$A:$D,4,0),IFERROR(VLOOKUP($C1795,COTAÇÕES!$B:$I,7,0),(VLOOKUP($C1795,'INSUMO SINAPI - SP'!$C:$F,4,0)))))</f>
        <v>8.3699999999999992</v>
      </c>
      <c r="I1795" s="513">
        <f>TRUNC(IF($C1795="",IFERROR(VLOOKUP($B1795,SERVIÇOS!$B:$G,4,0),IFERROR(VLOOKUP($B1795,$D:$K,6,0),)),IFERROR(VLOOKUP($C1795,INSUMOS!$A:$D,4,0),IFERROR(VLOOKUP($C1795,COTAÇÕES!$B:$I,7,0),(VLOOKUP($C1795,'INSUMO SINAPI - SP'!$C:$F,4,0)))))*$G1795,2)</f>
        <v>8.3699999999999992</v>
      </c>
      <c r="J1795" s="513">
        <f>TRUNC(IF($C1795="",IFERROR(VLOOKUP($B1795,SERVIÇOS!$B:$G,5,0),IFERROR(VLOOKUP($B1795,$D:$K,7,0),)),0)*$G1795,2)</f>
        <v>0</v>
      </c>
      <c r="K1795" s="514">
        <f t="shared" ref="K1795:K1801" si="63">I1795+J1795</f>
        <v>8.3699999999999992</v>
      </c>
      <c r="L1795" s="517"/>
      <c r="M1795" s="471"/>
      <c r="N1795" s="516"/>
      <c r="Q1795" s="472"/>
      <c r="R1795" s="472"/>
      <c r="S1795" s="472"/>
      <c r="T1795" s="472"/>
      <c r="U1795" s="472"/>
      <c r="V1795" s="472"/>
      <c r="W1795" s="472"/>
      <c r="X1795" s="472"/>
      <c r="Y1795" s="472"/>
    </row>
    <row r="1796" spans="1:25" x14ac:dyDescent="0.25">
      <c r="A1796" s="463"/>
      <c r="B1796" s="506"/>
      <c r="C1796" s="507">
        <v>4491</v>
      </c>
      <c r="D1796" s="508"/>
      <c r="E1796" s="509" t="str">
        <f>IF($C1796="",IFERROR(VLOOKUP($B1796,SERVIÇOS!$B:$G,2,0),IFERROR(VLOOKUP($B1796,$D:$K,2,0),"")),IFERROR(VLOOKUP($C1796,INSUMOS!$A:$D,2,0),IFERROR(VLOOKUP($C1796,COTAÇÕES!$B:$I,2,0),(VLOOKUP($C1796,'INSUMO SINAPI - SP'!$C:$F,2,0)))))</f>
        <v>PONTALETE *7,5 X 7,5* CM EM PINUS, MISTA OU EQUIVALENTE DA REGIAO - BRUTA</v>
      </c>
      <c r="F1796" s="510" t="str">
        <f>IF($C1796="",IFERROR(VLOOKUP($B1796,SERVIÇOS!$B:$G,3,0),IFERROR(VLOOKUP($B1796,$D:$K,3,0),"")),IFERROR(VLOOKUP($C1796,INSUMOS!$A:$D,3,0),IFERROR(VLOOKUP($C1796,COTAÇÕES!$B:$I,3,0),(VLOOKUP($C1796,'INSUMO SINAPI - SP'!$C:$F,3,0)))))</f>
        <v>M</v>
      </c>
      <c r="G1796" s="511">
        <v>4</v>
      </c>
      <c r="H1796" s="512">
        <f>IF($C1796="",IFERROR(VLOOKUP($B1796,SERVIÇOS!$B:$G,6,0),IFERROR(VLOOKUP($B1796,$D:$K,8,0),"")),IFERROR(VLOOKUP($C1796,INSUMOS!$A:$D,4,0),IFERROR(VLOOKUP($C1796,COTAÇÕES!$B:$I,7,0),(VLOOKUP($C1796,'INSUMO SINAPI - SP'!$C:$F,4,0)))))</f>
        <v>6.99</v>
      </c>
      <c r="I1796" s="513">
        <f>TRUNC(IF($C1796="",IFERROR(VLOOKUP($B1796,SERVIÇOS!$B:$G,4,0),IFERROR(VLOOKUP($B1796,$D:$K,6,0),)),IFERROR(VLOOKUP($C1796,INSUMOS!$A:$D,4,0),IFERROR(VLOOKUP($C1796,COTAÇÕES!$B:$I,7,0),(VLOOKUP($C1796,'INSUMO SINAPI - SP'!$C:$F,4,0)))))*$G1796,2)</f>
        <v>27.96</v>
      </c>
      <c r="J1796" s="513">
        <f>TRUNC(IF($C1796="",IFERROR(VLOOKUP($B1796,SERVIÇOS!$B:$G,5,0),IFERROR(VLOOKUP($B1796,$D:$K,7,0),)),0)*$G1796,2)</f>
        <v>0</v>
      </c>
      <c r="K1796" s="514">
        <f t="shared" si="63"/>
        <v>27.96</v>
      </c>
      <c r="L1796" s="517"/>
      <c r="M1796" s="471"/>
      <c r="N1796" s="516"/>
      <c r="Q1796" s="472"/>
      <c r="R1796" s="472"/>
      <c r="S1796" s="472"/>
      <c r="T1796" s="472"/>
      <c r="U1796" s="472"/>
      <c r="V1796" s="472"/>
      <c r="W1796" s="472"/>
      <c r="X1796" s="472"/>
      <c r="Y1796" s="472"/>
    </row>
    <row r="1797" spans="1:25" ht="24" x14ac:dyDescent="0.25">
      <c r="A1797" s="463"/>
      <c r="B1797" s="506"/>
      <c r="C1797" s="507" t="s">
        <v>13499</v>
      </c>
      <c r="D1797" s="508"/>
      <c r="E1797" s="509" t="str">
        <f>IF($C1797="",IFERROR(VLOOKUP($B1797,SERVIÇOS!$B:$G,2,0),IFERROR(VLOOKUP($B1797,$D:$K,2,0),"")),IFERROR(VLOOKUP($C1797,INSUMOS!$A:$D,2,0),IFERROR(VLOOKUP($C1797,COTAÇÕES!$B:$I,2,0),(VLOOKUP($C1797,'INSUMO SINAPI - SP'!$C:$F,2,0)))))</f>
        <v>PLACA DE OBRA (PARA CONSTRUCAO CIVIL) EM CHAPA GALVANIZADA *N. 22*, ADESIVADA, DE *2,4 X 1,2* M (SEM POSTES PARA FIXACAO)</v>
      </c>
      <c r="F1797" s="510" t="str">
        <f>IF($C1797="",IFERROR(VLOOKUP($B1797,SERVIÇOS!$B:$G,3,0),IFERROR(VLOOKUP($B1797,$D:$K,3,0),"")),IFERROR(VLOOKUP($C1797,INSUMOS!$A:$D,3,0),IFERROR(VLOOKUP($C1797,COTAÇÕES!$B:$I,3,0),(VLOOKUP($C1797,'INSUMO SINAPI - SP'!$C:$F,3,0)))))</f>
        <v>M2</v>
      </c>
      <c r="G1797" s="511">
        <v>1</v>
      </c>
      <c r="H1797" s="512">
        <f>IF($C1797="",IFERROR(VLOOKUP($B1797,SERVIÇOS!$B:$G,6,0),IFERROR(VLOOKUP($B1797,$D:$K,8,0),"")),IFERROR(VLOOKUP($C1797,INSUMOS!$A:$D,4,0),IFERROR(VLOOKUP($C1797,COTAÇÕES!$B:$I,7,0),(VLOOKUP($C1797,'INSUMO SINAPI - SP'!$C:$F,4,0)))))</f>
        <v>400</v>
      </c>
      <c r="I1797" s="513">
        <f>TRUNC(IF($C1797="",IFERROR(VLOOKUP($B1797,SERVIÇOS!$B:$G,4,0),IFERROR(VLOOKUP($B1797,$D:$K,6,0),)),IFERROR(VLOOKUP($C1797,INSUMOS!$A:$D,4,0),IFERROR(VLOOKUP($C1797,COTAÇÕES!$B:$I,7,0),(VLOOKUP($C1797,'INSUMO SINAPI - SP'!$C:$F,4,0)))))*$G1797,2)</f>
        <v>400</v>
      </c>
      <c r="J1797" s="513"/>
      <c r="K1797" s="514">
        <f t="shared" si="63"/>
        <v>400</v>
      </c>
      <c r="L1797" s="515" t="s">
        <v>12685</v>
      </c>
      <c r="M1797" s="471"/>
      <c r="N1797" s="516"/>
      <c r="Q1797" s="472"/>
      <c r="R1797" s="472"/>
      <c r="S1797" s="472"/>
      <c r="T1797" s="472"/>
      <c r="U1797" s="472"/>
      <c r="V1797" s="472"/>
      <c r="W1797" s="472"/>
      <c r="X1797" s="472"/>
      <c r="Y1797" s="472"/>
    </row>
    <row r="1798" spans="1:25" x14ac:dyDescent="0.25">
      <c r="A1798" s="463"/>
      <c r="B1798" s="506"/>
      <c r="C1798" s="507">
        <v>5075</v>
      </c>
      <c r="D1798" s="508"/>
      <c r="E1798" s="509" t="str">
        <f>IF($C1798="",IFERROR(VLOOKUP($B1798,SERVIÇOS!$B:$G,2,0),IFERROR(VLOOKUP($B1798,$D:$K,2,0),"")),IFERROR(VLOOKUP($C1798,INSUMOS!$A:$D,2,0),IFERROR(VLOOKUP($C1798,COTAÇÕES!$B:$I,2,0),(VLOOKUP($C1798,'INSUMO SINAPI - SP'!$C:$F,2,0)))))</f>
        <v>PREGO DE ACO POLIDO COM CABECA 18 X 30 (2 3/4 X 10)</v>
      </c>
      <c r="F1798" s="510" t="str">
        <f>IF($C1798="",IFERROR(VLOOKUP($B1798,SERVIÇOS!$B:$G,3,0),IFERROR(VLOOKUP($B1798,$D:$K,3,0),"")),IFERROR(VLOOKUP($C1798,INSUMOS!$A:$D,3,0),IFERROR(VLOOKUP($C1798,COTAÇÕES!$B:$I,3,0),(VLOOKUP($C1798,'INSUMO SINAPI - SP'!$C:$F,3,0)))))</f>
        <v>KG</v>
      </c>
      <c r="G1798" s="511">
        <v>0.11</v>
      </c>
      <c r="H1798" s="512">
        <f>IF($C1798="",IFERROR(VLOOKUP($B1798,SERVIÇOS!$B:$G,6,0),IFERROR(VLOOKUP($B1798,$D:$K,8,0),"")),IFERROR(VLOOKUP($C1798,INSUMOS!$A:$D,4,0),IFERROR(VLOOKUP($C1798,COTAÇÕES!$B:$I,7,0),(VLOOKUP($C1798,'INSUMO SINAPI - SP'!$C:$F,4,0)))))</f>
        <v>16.07</v>
      </c>
      <c r="I1798" s="513">
        <f>TRUNC(IF($C1798="",IFERROR(VLOOKUP($B1798,SERVIÇOS!$B:$G,4,0),IFERROR(VLOOKUP($B1798,$D:$K,6,0),)),IFERROR(VLOOKUP($C1798,INSUMOS!$A:$D,4,0),IFERROR(VLOOKUP($C1798,COTAÇÕES!$B:$I,7,0),(VLOOKUP($C1798,'INSUMO SINAPI - SP'!$C:$F,4,0)))))*$G1798,2)</f>
        <v>1.76</v>
      </c>
      <c r="J1798" s="513">
        <f>TRUNC(IF($C1798="",IFERROR(VLOOKUP($B1798,SERVIÇOS!$B:$G,5,0),IFERROR(VLOOKUP($B1798,$D:$K,7,0),)),0)*$G1798,2)</f>
        <v>0</v>
      </c>
      <c r="K1798" s="514">
        <f t="shared" si="63"/>
        <v>1.76</v>
      </c>
      <c r="L1798" s="517"/>
      <c r="M1798" s="471"/>
      <c r="N1798" s="516"/>
      <c r="Q1798" s="472"/>
      <c r="R1798" s="472"/>
      <c r="S1798" s="472"/>
      <c r="T1798" s="472"/>
      <c r="U1798" s="472"/>
      <c r="V1798" s="472"/>
      <c r="W1798" s="472"/>
      <c r="X1798" s="472"/>
      <c r="Y1798" s="472"/>
    </row>
    <row r="1799" spans="1:25" x14ac:dyDescent="0.25">
      <c r="A1799" s="463"/>
      <c r="B1799" s="506">
        <v>88262</v>
      </c>
      <c r="C1799" s="507"/>
      <c r="D1799" s="508"/>
      <c r="E1799" s="509" t="str">
        <f>IF($C1799="",IFERROR(VLOOKUP($B1799,SERVIÇOS!$B:$G,2,0),IFERROR(VLOOKUP($B1799,$D:$K,2,0),"")),IFERROR(VLOOKUP($C1799,INSUMOS!$A:$D,2,0),IFERROR(VLOOKUP($C1799,COTAÇÕES!$B:$I,2,0),(VLOOKUP($C1799,'INSUMO SINAPI - SP'!$C:$F,2,0)))))</f>
        <v>CARPINTEIRO DE FORMAS COM ENCARGOS COMPLEMENTARES</v>
      </c>
      <c r="F1799" s="510" t="str">
        <f>IF($C1799="",IFERROR(VLOOKUP($B1799,SERVIÇOS!$B:$G,3,0),IFERROR(VLOOKUP($B1799,$D:$K,3,0),"")),IFERROR(VLOOKUP($C1799,INSUMOS!$A:$D,3,0),IFERROR(VLOOKUP($C1799,COTAÇÕES!$B:$I,3,0),(VLOOKUP($C1799,'INSUMO SINAPI - SP'!$C:$F,3,0)))))</f>
        <v>H</v>
      </c>
      <c r="G1799" s="511">
        <v>1</v>
      </c>
      <c r="H1799" s="512">
        <f>IF($C1799="",IFERROR(VLOOKUP($B1799,SERVIÇOS!$B:$G,6,0),IFERROR(VLOOKUP($B1799,$D:$K,8,0),"")),IFERROR(VLOOKUP($C1799,INSUMOS!$A:$D,4,0),IFERROR(VLOOKUP($C1799,COTAÇÕES!$B:$I,7,0),(VLOOKUP($C1799,'INSUMO SINAPI - SP'!$C:$F,4,0)))))</f>
        <v>36.43</v>
      </c>
      <c r="I1799" s="513">
        <f>TRUNC(IF($C1799="",IFERROR(VLOOKUP($B1799,SERVIÇOS!$B:$G,4,0),IFERROR(VLOOKUP($B1799,$D:$K,6,0),)),IFERROR(VLOOKUP($C1799,INSUMOS!$A:$D,4,0),IFERROR(VLOOKUP($C1799,COTAÇÕES!$B:$I,7,0),(VLOOKUP($C1799,'INSUMO SINAPI - SP'!$C:$F,4,0)))))*$G1799,2)</f>
        <v>9.07</v>
      </c>
      <c r="J1799" s="513">
        <f>TRUNC(IF($C1799="",IFERROR(VLOOKUP($B1799,SERVIÇOS!$B:$G,5,0),IFERROR(VLOOKUP($B1799,$D:$K,7,0),)),0)*$G1799,2)</f>
        <v>27.36</v>
      </c>
      <c r="K1799" s="514">
        <f t="shared" si="63"/>
        <v>36.43</v>
      </c>
      <c r="L1799" s="515"/>
      <c r="M1799" s="471"/>
      <c r="N1799" s="516"/>
      <c r="Q1799" s="472"/>
      <c r="R1799" s="472"/>
      <c r="S1799" s="472"/>
      <c r="T1799" s="472"/>
      <c r="U1799" s="472"/>
      <c r="V1799" s="472"/>
      <c r="W1799" s="472"/>
      <c r="X1799" s="472"/>
      <c r="Y1799" s="472"/>
    </row>
    <row r="1800" spans="1:25" x14ac:dyDescent="0.25">
      <c r="A1800" s="463"/>
      <c r="B1800" s="506">
        <v>88316</v>
      </c>
      <c r="C1800" s="507"/>
      <c r="D1800" s="508"/>
      <c r="E1800" s="509" t="str">
        <f>IF($C1800="",IFERROR(VLOOKUP($B1800,SERVIÇOS!$B:$G,2,0),IFERROR(VLOOKUP($B1800,$D:$K,2,0),"")),IFERROR(VLOOKUP($C1800,INSUMOS!$A:$D,2,0),IFERROR(VLOOKUP($C1800,COTAÇÕES!$B:$I,2,0),(VLOOKUP($C1800,'INSUMO SINAPI - SP'!$C:$F,2,0)))))</f>
        <v>SERVENTE COM ENCARGOS COMPLEMENTARES</v>
      </c>
      <c r="F1800" s="510" t="str">
        <f>IF($C1800="",IFERROR(VLOOKUP($B1800,SERVIÇOS!$B:$G,3,0),IFERROR(VLOOKUP($B1800,$D:$K,3,0),"")),IFERROR(VLOOKUP($C1800,INSUMOS!$A:$D,3,0),IFERROR(VLOOKUP($C1800,COTAÇÕES!$B:$I,3,0),(VLOOKUP($C1800,'INSUMO SINAPI - SP'!$C:$F,3,0)))))</f>
        <v>H</v>
      </c>
      <c r="G1800" s="511">
        <v>2</v>
      </c>
      <c r="H1800" s="512">
        <f>IF($C1800="",IFERROR(VLOOKUP($B1800,SERVIÇOS!$B:$G,6,0),IFERROR(VLOOKUP($B1800,$D:$K,8,0),"")),IFERROR(VLOOKUP($C1800,INSUMOS!$A:$D,4,0),IFERROR(VLOOKUP($C1800,COTAÇÕES!$B:$I,7,0),(VLOOKUP($C1800,'INSUMO SINAPI - SP'!$C:$F,4,0)))))</f>
        <v>28.71</v>
      </c>
      <c r="I1800" s="513">
        <f>TRUNC(IF($C1800="",IFERROR(VLOOKUP($B1800,SERVIÇOS!$B:$G,4,0),IFERROR(VLOOKUP($B1800,$D:$K,6,0),)),IFERROR(VLOOKUP($C1800,INSUMOS!$A:$D,4,0),IFERROR(VLOOKUP($C1800,COTAÇÕES!$B:$I,7,0),(VLOOKUP($C1800,'INSUMO SINAPI - SP'!$C:$F,4,0)))))*$G1800,2)</f>
        <v>18.399999999999999</v>
      </c>
      <c r="J1800" s="513">
        <f>TRUNC(IF($C1800="",IFERROR(VLOOKUP($B1800,SERVIÇOS!$B:$G,5,0),IFERROR(VLOOKUP($B1800,$D:$K,7,0),)),0)*$G1800,2)</f>
        <v>39.020000000000003</v>
      </c>
      <c r="K1800" s="514">
        <f t="shared" si="63"/>
        <v>57.42</v>
      </c>
      <c r="L1800" s="515"/>
      <c r="M1800" s="471"/>
      <c r="N1800" s="516"/>
      <c r="Q1800" s="472"/>
      <c r="R1800" s="472"/>
      <c r="S1800" s="472"/>
      <c r="T1800" s="472"/>
      <c r="U1800" s="472"/>
      <c r="V1800" s="472"/>
      <c r="W1800" s="472"/>
      <c r="X1800" s="472"/>
      <c r="Y1800" s="472"/>
    </row>
    <row r="1801" spans="1:25" ht="24" x14ac:dyDescent="0.25">
      <c r="A1801" s="463"/>
      <c r="B1801" s="506">
        <v>94962</v>
      </c>
      <c r="C1801" s="507"/>
      <c r="D1801" s="508"/>
      <c r="E1801" s="509" t="str">
        <f>IF($C1801="",IFERROR(VLOOKUP($B1801,SERVIÇOS!$B:$G,2,0),IFERROR(VLOOKUP($B1801,$D:$K,2,0),"")),IFERROR(VLOOKUP($C1801,INSUMOS!$A:$D,2,0),IFERROR(VLOOKUP($C1801,COTAÇÕES!$B:$I,2,0),(VLOOKUP($C1801,'INSUMO SINAPI - SP'!$C:$F,2,0)))))</f>
        <v>CONCRETO MAGRO PARA LASTRO, TRAÇO 1:4,5:4,5 (EM MASSA SECA DE CIMENTO/ AREIA MÉDIA/ BRITA 1) - PREPARO MECÂNICO COM BETONEIRA 400 L. AF_05/2021</v>
      </c>
      <c r="F1801" s="510" t="str">
        <f>IF($C1801="",IFERROR(VLOOKUP($B1801,SERVIÇOS!$B:$G,3,0),IFERROR(VLOOKUP($B1801,$D:$K,3,0),"")),IFERROR(VLOOKUP($C1801,INSUMOS!$A:$D,3,0),IFERROR(VLOOKUP($C1801,COTAÇÕES!$B:$I,3,0),(VLOOKUP($C1801,'INSUMO SINAPI - SP'!$C:$F,3,0)))))</f>
        <v>M3</v>
      </c>
      <c r="G1801" s="511">
        <v>0.01</v>
      </c>
      <c r="H1801" s="512">
        <f>IF($C1801="",IFERROR(VLOOKUP($B1801,SERVIÇOS!$B:$G,6,0),IFERROR(VLOOKUP($B1801,$D:$K,8,0),"")),IFERROR(VLOOKUP($C1801,INSUMOS!$A:$D,4,0),IFERROR(VLOOKUP($C1801,COTAÇÕES!$B:$I,7,0),(VLOOKUP($C1801,'INSUMO SINAPI - SP'!$C:$F,4,0)))))</f>
        <v>397.15</v>
      </c>
      <c r="I1801" s="513">
        <f>TRUNC(IF($C1801="",IFERROR(VLOOKUP($B1801,SERVIÇOS!$B:$G,4,0),IFERROR(VLOOKUP($B1801,$D:$K,6,0),)),IFERROR(VLOOKUP($C1801,INSUMOS!$A:$D,4,0),IFERROR(VLOOKUP($C1801,COTAÇÕES!$B:$I,7,0),(VLOOKUP($C1801,'INSUMO SINAPI - SP'!$C:$F,4,0)))))*$G1801,2)</f>
        <v>3.14</v>
      </c>
      <c r="J1801" s="513">
        <f>TRUNC(IF($C1801="",IFERROR(VLOOKUP($B1801,SERVIÇOS!$B:$G,5,0),IFERROR(VLOOKUP($B1801,$D:$K,7,0),)),0)*$G1801,2)</f>
        <v>0.82</v>
      </c>
      <c r="K1801" s="514">
        <f t="shared" si="63"/>
        <v>3.96</v>
      </c>
      <c r="L1801" s="515"/>
      <c r="M1801" s="471"/>
      <c r="N1801" s="516"/>
      <c r="Q1801" s="472"/>
      <c r="R1801" s="472"/>
      <c r="S1801" s="472"/>
      <c r="T1801" s="472"/>
      <c r="U1801" s="472"/>
      <c r="V1801" s="472"/>
      <c r="W1801" s="472"/>
      <c r="X1801" s="472"/>
      <c r="Y1801" s="472"/>
    </row>
    <row r="1802" spans="1:25" x14ac:dyDescent="0.25">
      <c r="A1802" s="463"/>
      <c r="B1802" s="498"/>
      <c r="C1802" s="498"/>
      <c r="D1802" s="499" t="s">
        <v>11909</v>
      </c>
      <c r="E1802" s="500" t="s">
        <v>13500</v>
      </c>
      <c r="F1802" s="501" t="s">
        <v>555</v>
      </c>
      <c r="G1802" s="502"/>
      <c r="H1802" s="503"/>
      <c r="I1802" s="504">
        <f>ROUND(SUM(I1803:I1804),2)</f>
        <v>65.17</v>
      </c>
      <c r="J1802" s="504">
        <f>ROUND(SUM(J1803:J1804),2)</f>
        <v>1729.46</v>
      </c>
      <c r="K1802" s="504">
        <f>+J1802+I1802</f>
        <v>1794.63</v>
      </c>
      <c r="L1802" s="523"/>
      <c r="M1802" s="471"/>
      <c r="N1802" s="505"/>
      <c r="Q1802" s="472"/>
      <c r="R1802" s="472"/>
      <c r="S1802" s="472"/>
      <c r="T1802" s="472"/>
      <c r="U1802" s="472"/>
      <c r="V1802" s="472"/>
      <c r="W1802" s="472"/>
      <c r="X1802" s="472"/>
      <c r="Y1802" s="472"/>
    </row>
    <row r="1803" spans="1:25" x14ac:dyDescent="0.25">
      <c r="A1803" s="463"/>
      <c r="B1803" s="506">
        <v>93565</v>
      </c>
      <c r="C1803" s="507"/>
      <c r="D1803" s="508"/>
      <c r="E1803" s="509" t="str">
        <f>IF($C1803="",IFERROR(VLOOKUP($B1803,SERVIÇOS!$B:$G,2,0),IFERROR(VLOOKUP($B1803,$D:$K,2,0),"")),IFERROR(VLOOKUP($C1803,INSUMOS!$A:$D,2,0),IFERROR(VLOOKUP($C1803,COTAÇÕES!$B:$I,2,0),(VLOOKUP($C1803,'INSUMO SINAPI - SP'!$C:$F,2,0)))))</f>
        <v>ENGENHEIRO CIVIL DE OBRA JUNIOR COM ENCARGOS COMPLEMENTARES</v>
      </c>
      <c r="F1803" s="510" t="str">
        <f>IF($C1803="",IFERROR(VLOOKUP($B1803,SERVIÇOS!$B:$G,3,0),IFERROR(VLOOKUP($B1803,$D:$K,3,0),"")),IFERROR(VLOOKUP($C1803,INSUMOS!$A:$D,3,0),IFERROR(VLOOKUP($C1803,COTAÇÕES!$B:$I,3,0),(VLOOKUP($C1803,'INSUMO SINAPI - SP'!$C:$F,3,0)))))</f>
        <v>MES</v>
      </c>
      <c r="G1803" s="511">
        <v>2.5000000000000001E-2</v>
      </c>
      <c r="H1803" s="512">
        <f>IF($C1803="",IFERROR(VLOOKUP($B1803,SERVIÇOS!$B:$G,6,0),IFERROR(VLOOKUP($B1803,$D:$K,8,0),"")),IFERROR(VLOOKUP($C1803,INSUMOS!$A:$D,4,0),IFERROR(VLOOKUP($C1803,COTAÇÕES!$B:$I,7,0),(VLOOKUP($C1803,'INSUMO SINAPI - SP'!$C:$F,4,0)))))</f>
        <v>22939.49</v>
      </c>
      <c r="I1803" s="513">
        <f>TRUNC(IF($C1803="",IFERROR(VLOOKUP($B1803,SERVIÇOS!$B:$G,4,0),IFERROR(VLOOKUP($B1803,$D:$K,6,0),)),IFERROR(VLOOKUP($C1803,INSUMOS!$A:$D,4,0),IFERROR(VLOOKUP($C1803,COTAÇÕES!$B:$I,7,0),(VLOOKUP($C1803,'INSUMO SINAPI - SP'!$C:$F,4,0)))))*$G1803,2)</f>
        <v>10.83</v>
      </c>
      <c r="J1803" s="513">
        <f>TRUNC(IF($C1803="",IFERROR(VLOOKUP($B1803,SERVIÇOS!$B:$G,5,0),IFERROR(VLOOKUP($B1803,$D:$K,7,0),)),0)*$G1803,2)</f>
        <v>562.64</v>
      </c>
      <c r="K1803" s="514">
        <f>I1803+J1803</f>
        <v>573.47</v>
      </c>
      <c r="L1803" s="515"/>
      <c r="M1803" s="471"/>
      <c r="N1803" s="516"/>
      <c r="Q1803" s="472"/>
      <c r="R1803" s="472"/>
      <c r="S1803" s="472"/>
      <c r="T1803" s="472"/>
      <c r="U1803" s="472"/>
      <c r="V1803" s="472"/>
      <c r="W1803" s="472"/>
      <c r="X1803" s="472"/>
      <c r="Y1803" s="472"/>
    </row>
    <row r="1804" spans="1:25" x14ac:dyDescent="0.25">
      <c r="A1804" s="463"/>
      <c r="B1804" s="506">
        <v>94295</v>
      </c>
      <c r="C1804" s="507"/>
      <c r="D1804" s="508"/>
      <c r="E1804" s="509" t="str">
        <f>IF($C1804="",IFERROR(VLOOKUP($B1804,SERVIÇOS!$B:$G,2,0),IFERROR(VLOOKUP($B1804,$D:$K,2,0),"")),IFERROR(VLOOKUP($C1804,INSUMOS!$A:$D,2,0),IFERROR(VLOOKUP($C1804,COTAÇÕES!$B:$I,2,0),(VLOOKUP($C1804,'INSUMO SINAPI - SP'!$C:$F,2,0)))))</f>
        <v>MESTRE DE OBRAS COM ENCARGOS COMPLEMENTARES</v>
      </c>
      <c r="F1804" s="510" t="str">
        <f>IF($C1804="",IFERROR(VLOOKUP($B1804,SERVIÇOS!$B:$G,3,0),IFERROR(VLOOKUP($B1804,$D:$K,3,0),"")),IFERROR(VLOOKUP($C1804,INSUMOS!$A:$D,3,0),IFERROR(VLOOKUP($C1804,COTAÇÕES!$B:$I,3,0),(VLOOKUP($C1804,'INSUMO SINAPI - SP'!$C:$F,3,0)))))</f>
        <v>MES</v>
      </c>
      <c r="G1804" s="511">
        <v>0.1</v>
      </c>
      <c r="H1804" s="512">
        <f>IF($C1804="",IFERROR(VLOOKUP($B1804,SERVIÇOS!$B:$G,6,0),IFERROR(VLOOKUP($B1804,$D:$K,8,0),"")),IFERROR(VLOOKUP($C1804,INSUMOS!$A:$D,4,0),IFERROR(VLOOKUP($C1804,COTAÇÕES!$B:$I,7,0),(VLOOKUP($C1804,'INSUMO SINAPI - SP'!$C:$F,4,0)))))</f>
        <v>12211.69</v>
      </c>
      <c r="I1804" s="513">
        <f>TRUNC(IF($C1804="",IFERROR(VLOOKUP($B1804,SERVIÇOS!$B:$G,4,0),IFERROR(VLOOKUP($B1804,$D:$K,6,0),)),IFERROR(VLOOKUP($C1804,INSUMOS!$A:$D,4,0),IFERROR(VLOOKUP($C1804,COTAÇÕES!$B:$I,7,0),(VLOOKUP($C1804,'INSUMO SINAPI - SP'!$C:$F,4,0)))))*$G1804,2)</f>
        <v>54.34</v>
      </c>
      <c r="J1804" s="513">
        <f>TRUNC(IF($C1804="",IFERROR(VLOOKUP($B1804,SERVIÇOS!$B:$G,5,0),IFERROR(VLOOKUP($B1804,$D:$K,7,0),)),0)*$G1804,2)</f>
        <v>1166.82</v>
      </c>
      <c r="K1804" s="514">
        <f>I1804+J1804</f>
        <v>1221.1599999999999</v>
      </c>
      <c r="L1804" s="515"/>
      <c r="M1804" s="471"/>
      <c r="N1804" s="516"/>
      <c r="Q1804" s="472"/>
      <c r="R1804" s="472"/>
      <c r="S1804" s="472"/>
      <c r="T1804" s="472"/>
      <c r="U1804" s="472"/>
      <c r="V1804" s="472"/>
      <c r="W1804" s="472"/>
      <c r="X1804" s="472"/>
      <c r="Y1804" s="472"/>
    </row>
    <row r="1805" spans="1:25" ht="24" x14ac:dyDescent="0.25">
      <c r="A1805" s="463"/>
      <c r="B1805" s="498"/>
      <c r="C1805" s="498"/>
      <c r="D1805" s="499" t="s">
        <v>11914</v>
      </c>
      <c r="E1805" s="500" t="s">
        <v>13501</v>
      </c>
      <c r="F1805" s="501" t="s">
        <v>578</v>
      </c>
      <c r="G1805" s="502"/>
      <c r="H1805" s="503"/>
      <c r="I1805" s="504">
        <f>ROUND(SUM(I1806:I1811),2)</f>
        <v>6.7</v>
      </c>
      <c r="J1805" s="504">
        <f>ROUND(SUM(J1806:J1811),2)</f>
        <v>4.68</v>
      </c>
      <c r="K1805" s="504">
        <f>+J1805+I1805</f>
        <v>11.379999999999999</v>
      </c>
      <c r="L1805" s="523"/>
      <c r="M1805" s="471"/>
      <c r="N1805" s="505"/>
      <c r="Q1805" s="472"/>
      <c r="R1805" s="472"/>
      <c r="S1805" s="472"/>
      <c r="T1805" s="472"/>
      <c r="U1805" s="472"/>
      <c r="V1805" s="472"/>
      <c r="W1805" s="472"/>
      <c r="X1805" s="472"/>
      <c r="Y1805" s="472"/>
    </row>
    <row r="1806" spans="1:25" x14ac:dyDescent="0.25">
      <c r="A1806" s="463"/>
      <c r="B1806" s="506">
        <v>88262</v>
      </c>
      <c r="C1806" s="507"/>
      <c r="D1806" s="508"/>
      <c r="E1806" s="509" t="str">
        <f>IF($C1806="",IFERROR(VLOOKUP($B1806,SERVIÇOS!$B:$G,2,0),IFERROR(VLOOKUP($B1806,$D:$K,2,0),"")),IFERROR(VLOOKUP($C1806,INSUMOS!$A:$D,2,0),IFERROR(VLOOKUP($C1806,COTAÇÕES!$B:$I,2,0),(VLOOKUP($C1806,'INSUMO SINAPI - SP'!$C:$F,2,0)))))</f>
        <v>CARPINTEIRO DE FORMAS COM ENCARGOS COMPLEMENTARES</v>
      </c>
      <c r="F1806" s="510" t="str">
        <f>IF($C1806="",IFERROR(VLOOKUP($B1806,SERVIÇOS!$B:$G,3,0),IFERROR(VLOOKUP($B1806,$D:$K,3,0),"")),IFERROR(VLOOKUP($C1806,INSUMOS!$A:$D,3,0),IFERROR(VLOOKUP($C1806,COTAÇÕES!$B:$I,3,0),(VLOOKUP($C1806,'INSUMO SINAPI - SP'!$C:$F,3,0)))))</f>
        <v>H</v>
      </c>
      <c r="G1806" s="511">
        <v>0.1</v>
      </c>
      <c r="H1806" s="512">
        <f>IF($C1806="",IFERROR(VLOOKUP($B1806,SERVIÇOS!$B:$G,6,0),IFERROR(VLOOKUP($B1806,$D:$K,8,0),"")),IFERROR(VLOOKUP($C1806,INSUMOS!$A:$D,4,0),IFERROR(VLOOKUP($C1806,COTAÇÕES!$B:$I,7,0),(VLOOKUP($C1806,'INSUMO SINAPI - SP'!$C:$F,4,0)))))</f>
        <v>36.43</v>
      </c>
      <c r="I1806" s="513">
        <f>TRUNC(IF($C1806="",IFERROR(VLOOKUP($B1806,SERVIÇOS!$B:$G,4,0),IFERROR(VLOOKUP($B1806,$D:$K,6,0),)),IFERROR(VLOOKUP($C1806,INSUMOS!$A:$D,4,0),IFERROR(VLOOKUP($C1806,COTAÇÕES!$B:$I,7,0),(VLOOKUP($C1806,'INSUMO SINAPI - SP'!$C:$F,4,0)))))*$G1806,2)</f>
        <v>0.9</v>
      </c>
      <c r="J1806" s="513">
        <f>TRUNC(IF($C1806="",IFERROR(VLOOKUP($B1806,SERVIÇOS!$B:$G,5,0),IFERROR(VLOOKUP($B1806,$D:$K,7,0),)),0)*$G1806,2)</f>
        <v>2.73</v>
      </c>
      <c r="K1806" s="514">
        <f t="shared" ref="K1806:K1811" si="64">I1806+J1806</f>
        <v>3.63</v>
      </c>
      <c r="L1806" s="515"/>
      <c r="M1806" s="471"/>
      <c r="N1806" s="516"/>
      <c r="Q1806" s="472"/>
      <c r="R1806" s="472"/>
      <c r="S1806" s="472"/>
      <c r="T1806" s="472"/>
      <c r="U1806" s="472"/>
      <c r="V1806" s="472"/>
      <c r="W1806" s="472"/>
      <c r="X1806" s="472"/>
      <c r="Y1806" s="472"/>
    </row>
    <row r="1807" spans="1:25" x14ac:dyDescent="0.25">
      <c r="A1807" s="463"/>
      <c r="B1807" s="506">
        <v>88316</v>
      </c>
      <c r="C1807" s="507"/>
      <c r="D1807" s="508"/>
      <c r="E1807" s="509" t="str">
        <f>IF($C1807="",IFERROR(VLOOKUP($B1807,SERVIÇOS!$B:$G,2,0),IFERROR(VLOOKUP($B1807,$D:$K,2,0),"")),IFERROR(VLOOKUP($C1807,INSUMOS!$A:$D,2,0),IFERROR(VLOOKUP($C1807,COTAÇÕES!$B:$I,2,0),(VLOOKUP($C1807,'INSUMO SINAPI - SP'!$C:$F,2,0)))))</f>
        <v>SERVENTE COM ENCARGOS COMPLEMENTARES</v>
      </c>
      <c r="F1807" s="510" t="str">
        <f>IF($C1807="",IFERROR(VLOOKUP($B1807,SERVIÇOS!$B:$G,3,0),IFERROR(VLOOKUP($B1807,$D:$K,3,0),"")),IFERROR(VLOOKUP($C1807,INSUMOS!$A:$D,3,0),IFERROR(VLOOKUP($C1807,COTAÇÕES!$B:$I,3,0),(VLOOKUP($C1807,'INSUMO SINAPI - SP'!$C:$F,3,0)))))</f>
        <v>H</v>
      </c>
      <c r="G1807" s="511">
        <v>0.1</v>
      </c>
      <c r="H1807" s="512">
        <f>IF($C1807="",IFERROR(VLOOKUP($B1807,SERVIÇOS!$B:$G,6,0),IFERROR(VLOOKUP($B1807,$D:$K,8,0),"")),IFERROR(VLOOKUP($C1807,INSUMOS!$A:$D,4,0),IFERROR(VLOOKUP($C1807,COTAÇÕES!$B:$I,7,0),(VLOOKUP($C1807,'INSUMO SINAPI - SP'!$C:$F,4,0)))))</f>
        <v>28.71</v>
      </c>
      <c r="I1807" s="513">
        <f>TRUNC(IF($C1807="",IFERROR(VLOOKUP($B1807,SERVIÇOS!$B:$G,4,0),IFERROR(VLOOKUP($B1807,$D:$K,6,0),)),IFERROR(VLOOKUP($C1807,INSUMOS!$A:$D,4,0),IFERROR(VLOOKUP($C1807,COTAÇÕES!$B:$I,7,0),(VLOOKUP($C1807,'INSUMO SINAPI - SP'!$C:$F,4,0)))))*$G1807,2)</f>
        <v>0.92</v>
      </c>
      <c r="J1807" s="513">
        <f>TRUNC(IF($C1807="",IFERROR(VLOOKUP($B1807,SERVIÇOS!$B:$G,5,0),IFERROR(VLOOKUP($B1807,$D:$K,7,0),)),0)*$G1807,2)</f>
        <v>1.95</v>
      </c>
      <c r="K1807" s="514">
        <f t="shared" si="64"/>
        <v>2.87</v>
      </c>
      <c r="L1807" s="515"/>
      <c r="M1807" s="471"/>
      <c r="N1807" s="516"/>
      <c r="Q1807" s="472"/>
      <c r="R1807" s="472"/>
      <c r="S1807" s="472"/>
      <c r="T1807" s="472"/>
      <c r="U1807" s="472"/>
      <c r="V1807" s="472"/>
      <c r="W1807" s="472"/>
      <c r="X1807" s="472"/>
      <c r="Y1807" s="472"/>
    </row>
    <row r="1808" spans="1:25" x14ac:dyDescent="0.25">
      <c r="A1808" s="463"/>
      <c r="B1808" s="506"/>
      <c r="C1808" s="507">
        <v>5061</v>
      </c>
      <c r="D1808" s="508"/>
      <c r="E1808" s="509" t="str">
        <f>IF($C1808="",IFERROR(VLOOKUP($B1808,SERVIÇOS!$B:$G,2,0),IFERROR(VLOOKUP($B1808,$D:$K,2,0),"")),IFERROR(VLOOKUP($C1808,INSUMOS!$A:$D,2,0),IFERROR(VLOOKUP($C1808,COTAÇÕES!$B:$I,2,0),(VLOOKUP($C1808,'INSUMO SINAPI - SP'!$C:$F,2,0)))))</f>
        <v>PREGO DE ACO POLIDO COM CABECA 18 X 27 (2 1/2 X 10)</v>
      </c>
      <c r="F1808" s="510" t="str">
        <f>IF($C1808="",IFERROR(VLOOKUP($B1808,SERVIÇOS!$B:$G,3,0),IFERROR(VLOOKUP($B1808,$D:$K,3,0),"")),IFERROR(VLOOKUP($C1808,INSUMOS!$A:$D,3,0),IFERROR(VLOOKUP($C1808,COTAÇÕES!$B:$I,3,0),(VLOOKUP($C1808,'INSUMO SINAPI - SP'!$C:$F,3,0)))))</f>
        <v>KG</v>
      </c>
      <c r="G1808" s="511">
        <v>0.01</v>
      </c>
      <c r="H1808" s="512">
        <f>IF($C1808="",IFERROR(VLOOKUP($B1808,SERVIÇOS!$B:$G,6,0),IFERROR(VLOOKUP($B1808,$D:$K,8,0),"")),IFERROR(VLOOKUP($C1808,INSUMOS!$A:$D,4,0),IFERROR(VLOOKUP($C1808,COTAÇÕES!$B:$I,7,0),(VLOOKUP($C1808,'INSUMO SINAPI - SP'!$C:$F,4,0)))))</f>
        <v>15.8</v>
      </c>
      <c r="I1808" s="513">
        <f>TRUNC(IF($C1808="",IFERROR(VLOOKUP($B1808,SERVIÇOS!$B:$G,4,0),IFERROR(VLOOKUP($B1808,$D:$K,6,0),)),IFERROR(VLOOKUP($C1808,INSUMOS!$A:$D,4,0),IFERROR(VLOOKUP($C1808,COTAÇÕES!$B:$I,7,0),(VLOOKUP($C1808,'INSUMO SINAPI - SP'!$C:$F,4,0)))))*$G1808,2)</f>
        <v>0.15</v>
      </c>
      <c r="J1808" s="513">
        <f>TRUNC(IF($C1808="",IFERROR(VLOOKUP($B1808,SERVIÇOS!$B:$G,5,0),IFERROR(VLOOKUP($B1808,$D:$K,7,0),)),0)*$G1808,2)</f>
        <v>0</v>
      </c>
      <c r="K1808" s="514">
        <f t="shared" si="64"/>
        <v>0.15</v>
      </c>
      <c r="L1808" s="517"/>
      <c r="M1808" s="471"/>
      <c r="N1808" s="516"/>
      <c r="Q1808" s="472"/>
      <c r="R1808" s="472"/>
      <c r="S1808" s="472"/>
      <c r="T1808" s="472"/>
      <c r="U1808" s="472"/>
      <c r="V1808" s="472"/>
      <c r="W1808" s="472"/>
      <c r="X1808" s="472"/>
      <c r="Y1808" s="472"/>
    </row>
    <row r="1809" spans="1:25" ht="24" x14ac:dyDescent="0.25">
      <c r="A1809" s="463"/>
      <c r="B1809" s="506"/>
      <c r="C1809" s="507">
        <v>6189</v>
      </c>
      <c r="D1809" s="508"/>
      <c r="E1809" s="509" t="str">
        <f>IF($C1809="",IFERROR(VLOOKUP($B1809,SERVIÇOS!$B:$G,2,0),IFERROR(VLOOKUP($B1809,$D:$K,2,0),"")),IFERROR(VLOOKUP($C1809,INSUMOS!$A:$D,2,0),IFERROR(VLOOKUP($C1809,COTAÇÕES!$B:$I,2,0),(VLOOKUP($C1809,'INSUMO SINAPI - SP'!$C:$F,2,0)))))</f>
        <v>TABUA NAO APARELHADA *2,5 X 30* CM, EM MACARANDUBA/MASSARANDUBA, ANGELIM OU EQUIVALENTE DA REGIAO - BRUTA</v>
      </c>
      <c r="F1809" s="510" t="str">
        <f>IF($C1809="",IFERROR(VLOOKUP($B1809,SERVIÇOS!$B:$G,3,0),IFERROR(VLOOKUP($B1809,$D:$K,3,0),"")),IFERROR(VLOOKUP($C1809,INSUMOS!$A:$D,3,0),IFERROR(VLOOKUP($C1809,COTAÇÕES!$B:$I,3,0),(VLOOKUP($C1809,'INSUMO SINAPI - SP'!$C:$F,3,0)))))</f>
        <v>M</v>
      </c>
      <c r="G1809" s="511">
        <v>0.1067</v>
      </c>
      <c r="H1809" s="512">
        <f>IF($C1809="",IFERROR(VLOOKUP($B1809,SERVIÇOS!$B:$G,6,0),IFERROR(VLOOKUP($B1809,$D:$K,8,0),"")),IFERROR(VLOOKUP($C1809,INSUMOS!$A:$D,4,0),IFERROR(VLOOKUP($C1809,COTAÇÕES!$B:$I,7,0),(VLOOKUP($C1809,'INSUMO SINAPI - SP'!$C:$F,4,0)))))</f>
        <v>31.74</v>
      </c>
      <c r="I1809" s="513">
        <f>TRUNC(IF($C1809="",IFERROR(VLOOKUP($B1809,SERVIÇOS!$B:$G,4,0),IFERROR(VLOOKUP($B1809,$D:$K,6,0),)),IFERROR(VLOOKUP($C1809,INSUMOS!$A:$D,4,0),IFERROR(VLOOKUP($C1809,COTAÇÕES!$B:$I,7,0),(VLOOKUP($C1809,'INSUMO SINAPI - SP'!$C:$F,4,0)))))*$G1809,2)</f>
        <v>3.38</v>
      </c>
      <c r="J1809" s="513">
        <f>TRUNC(IF($C1809="",IFERROR(VLOOKUP($B1809,SERVIÇOS!$B:$G,5,0),IFERROR(VLOOKUP($B1809,$D:$K,7,0),)),0)*$G1809,2)</f>
        <v>0</v>
      </c>
      <c r="K1809" s="514">
        <f t="shared" si="64"/>
        <v>3.38</v>
      </c>
      <c r="L1809" s="517"/>
      <c r="M1809" s="471"/>
      <c r="N1809" s="516"/>
      <c r="Q1809" s="472"/>
      <c r="R1809" s="472"/>
      <c r="S1809" s="472"/>
      <c r="T1809" s="472"/>
      <c r="U1809" s="472"/>
      <c r="V1809" s="472"/>
      <c r="W1809" s="472"/>
      <c r="X1809" s="472"/>
      <c r="Y1809" s="472"/>
    </row>
    <row r="1810" spans="1:25" x14ac:dyDescent="0.25">
      <c r="A1810" s="463"/>
      <c r="B1810" s="506"/>
      <c r="C1810" s="507">
        <v>4491</v>
      </c>
      <c r="D1810" s="508"/>
      <c r="E1810" s="509" t="str">
        <f>IF($C1810="",IFERROR(VLOOKUP($B1810,SERVIÇOS!$B:$G,2,0),IFERROR(VLOOKUP($B1810,$D:$K,2,0),"")),IFERROR(VLOOKUP($C1810,INSUMOS!$A:$D,2,0),IFERROR(VLOOKUP($C1810,COTAÇÕES!$B:$I,2,0),(VLOOKUP($C1810,'INSUMO SINAPI - SP'!$C:$F,2,0)))))</f>
        <v>PONTALETE *7,5 X 7,5* CM EM PINUS, MISTA OU EQUIVALENTE DA REGIAO - BRUTA</v>
      </c>
      <c r="F1810" s="510" t="str">
        <f>IF($C1810="",IFERROR(VLOOKUP($B1810,SERVIÇOS!$B:$G,3,0),IFERROR(VLOOKUP($B1810,$D:$K,3,0),"")),IFERROR(VLOOKUP($C1810,INSUMOS!$A:$D,3,0),IFERROR(VLOOKUP($C1810,COTAÇÕES!$B:$I,3,0),(VLOOKUP($C1810,'INSUMO SINAPI - SP'!$C:$F,3,0)))))</f>
        <v>M</v>
      </c>
      <c r="G1810" s="511">
        <v>0.12</v>
      </c>
      <c r="H1810" s="512">
        <f>IF($C1810="",IFERROR(VLOOKUP($B1810,SERVIÇOS!$B:$G,6,0),IFERROR(VLOOKUP($B1810,$D:$K,8,0),"")),IFERROR(VLOOKUP($C1810,INSUMOS!$A:$D,4,0),IFERROR(VLOOKUP($C1810,COTAÇÕES!$B:$I,7,0),(VLOOKUP($C1810,'INSUMO SINAPI - SP'!$C:$F,4,0)))))</f>
        <v>6.99</v>
      </c>
      <c r="I1810" s="513">
        <f>TRUNC(IF($C1810="",IFERROR(VLOOKUP($B1810,SERVIÇOS!$B:$G,4,0),IFERROR(VLOOKUP($B1810,$D:$K,6,0),)),IFERROR(VLOOKUP($C1810,INSUMOS!$A:$D,4,0),IFERROR(VLOOKUP($C1810,COTAÇÕES!$B:$I,7,0),(VLOOKUP($C1810,'INSUMO SINAPI - SP'!$C:$F,4,0)))))*$G1810,2)</f>
        <v>0.83</v>
      </c>
      <c r="J1810" s="513">
        <f>TRUNC(IF($C1810="",IFERROR(VLOOKUP($B1810,SERVIÇOS!$B:$G,5,0),IFERROR(VLOOKUP($B1810,$D:$K,7,0),)),0)*$G1810,2)</f>
        <v>0</v>
      </c>
      <c r="K1810" s="514">
        <f t="shared" si="64"/>
        <v>0.83</v>
      </c>
      <c r="L1810" s="517"/>
      <c r="M1810" s="471"/>
      <c r="N1810" s="516"/>
      <c r="Q1810" s="472"/>
      <c r="R1810" s="472"/>
      <c r="S1810" s="472"/>
      <c r="T1810" s="472"/>
      <c r="U1810" s="472"/>
      <c r="V1810" s="472"/>
      <c r="W1810" s="472"/>
      <c r="X1810" s="472"/>
      <c r="Y1810" s="472"/>
    </row>
    <row r="1811" spans="1:25" x14ac:dyDescent="0.25">
      <c r="A1811" s="463"/>
      <c r="B1811" s="506"/>
      <c r="C1811" s="507">
        <v>43132</v>
      </c>
      <c r="D1811" s="508"/>
      <c r="E1811" s="509" t="str">
        <f>IF($C1811="",IFERROR(VLOOKUP($B1811,SERVIÇOS!$B:$G,2,0),IFERROR(VLOOKUP($B1811,$D:$K,2,0),"")),IFERROR(VLOOKUP($C1811,INSUMOS!$A:$D,2,0),IFERROR(VLOOKUP($C1811,COTAÇÕES!$B:$I,2,0),(VLOOKUP($C1811,'INSUMO SINAPI - SP'!$C:$F,2,0)))))</f>
        <v>ARAME RECOZIDO 16 BWG, D = 1,65 MM (0,016 KG/M) OU 18 BWG, D = 1,25 MM (0,01 KG/M)</v>
      </c>
      <c r="F1811" s="510" t="str">
        <f>IF($C1811="",IFERROR(VLOOKUP($B1811,SERVIÇOS!$B:$G,3,0),IFERROR(VLOOKUP($B1811,$D:$K,3,0),"")),IFERROR(VLOOKUP($C1811,INSUMOS!$A:$D,3,0),IFERROR(VLOOKUP($C1811,COTAÇÕES!$B:$I,3,0),(VLOOKUP($C1811,'INSUMO SINAPI - SP'!$C:$F,3,0)))))</f>
        <v>KG</v>
      </c>
      <c r="G1811" s="511">
        <v>0.02</v>
      </c>
      <c r="H1811" s="512">
        <f>IF($C1811="",IFERROR(VLOOKUP($B1811,SERVIÇOS!$B:$G,6,0),IFERROR(VLOOKUP($B1811,$D:$K,8,0),"")),IFERROR(VLOOKUP($C1811,INSUMOS!$A:$D,4,0),IFERROR(VLOOKUP($C1811,COTAÇÕES!$B:$I,7,0),(VLOOKUP($C1811,'INSUMO SINAPI - SP'!$C:$F,4,0)))))</f>
        <v>26.45</v>
      </c>
      <c r="I1811" s="513">
        <f>TRUNC(IF($C1811="",IFERROR(VLOOKUP($B1811,SERVIÇOS!$B:$G,4,0),IFERROR(VLOOKUP($B1811,$D:$K,6,0),)),IFERROR(VLOOKUP($C1811,INSUMOS!$A:$D,4,0),IFERROR(VLOOKUP($C1811,COTAÇÕES!$B:$I,7,0),(VLOOKUP($C1811,'INSUMO SINAPI - SP'!$C:$F,4,0)))))*$G1811,2)</f>
        <v>0.52</v>
      </c>
      <c r="J1811" s="513">
        <f>TRUNC(IF($C1811="",IFERROR(VLOOKUP($B1811,SERVIÇOS!$B:$G,5,0),IFERROR(VLOOKUP($B1811,$D:$K,7,0),)),0)*$G1811,2)</f>
        <v>0</v>
      </c>
      <c r="K1811" s="514">
        <f t="shared" si="64"/>
        <v>0.52</v>
      </c>
      <c r="L1811" s="517"/>
      <c r="M1811" s="471"/>
      <c r="N1811" s="516"/>
      <c r="Q1811" s="472"/>
      <c r="R1811" s="472"/>
      <c r="S1811" s="472"/>
      <c r="T1811" s="472"/>
      <c r="U1811" s="472"/>
      <c r="V1811" s="472"/>
      <c r="W1811" s="472"/>
      <c r="X1811" s="472"/>
      <c r="Y1811" s="472"/>
    </row>
    <row r="1812" spans="1:25" x14ac:dyDescent="0.25">
      <c r="A1812" s="463"/>
      <c r="B1812" s="498"/>
      <c r="C1812" s="498"/>
      <c r="D1812" s="499" t="s">
        <v>11919</v>
      </c>
      <c r="E1812" s="529" t="s">
        <v>13502</v>
      </c>
      <c r="F1812" s="501" t="s">
        <v>9561</v>
      </c>
      <c r="G1812" s="502"/>
      <c r="H1812" s="503"/>
      <c r="I1812" s="504">
        <f>ROUND(SUM(I1813:I1831),2)</f>
        <v>2358.87</v>
      </c>
      <c r="J1812" s="504">
        <f>ROUND(SUM(J1813:J1831),2)</f>
        <v>396.32</v>
      </c>
      <c r="K1812" s="504">
        <f>+J1812+I1812</f>
        <v>2755.19</v>
      </c>
      <c r="L1812" s="523" t="s">
        <v>13503</v>
      </c>
      <c r="M1812" s="471"/>
      <c r="N1812" s="505"/>
      <c r="Q1812" s="472"/>
      <c r="R1812" s="472"/>
      <c r="S1812" s="472"/>
      <c r="T1812" s="472"/>
      <c r="U1812" s="472"/>
      <c r="V1812" s="472"/>
      <c r="W1812" s="472"/>
      <c r="X1812" s="472"/>
      <c r="Y1812" s="472"/>
    </row>
    <row r="1813" spans="1:25" x14ac:dyDescent="0.25">
      <c r="A1813" s="463"/>
      <c r="B1813" s="506">
        <v>88264</v>
      </c>
      <c r="C1813" s="507"/>
      <c r="D1813" s="508"/>
      <c r="E1813" s="509" t="str">
        <f>IF($C1813="",IFERROR(VLOOKUP($B1813,SERVIÇOS!$B:$G,2,0),IFERROR(VLOOKUP($B1813,$D:$K,2,0),"")),IFERROR(VLOOKUP($C1813,INSUMOS!$A:$D,2,0),IFERROR(VLOOKUP($C1813,COTAÇÕES!$B:$I,2,0),(VLOOKUP($C1813,'INSUMO SINAPI - SP'!$C:$F,2,0)))))</f>
        <v>ELETRICISTA COM ENCARGOS COMPLEMENTARES</v>
      </c>
      <c r="F1813" s="510" t="str">
        <f>IF($C1813="",IFERROR(VLOOKUP($B1813,SERVIÇOS!$B:$G,3,0),IFERROR(VLOOKUP($B1813,$D:$K,3,0),"")),IFERROR(VLOOKUP($C1813,INSUMOS!$A:$D,3,0),IFERROR(VLOOKUP($C1813,COTAÇÕES!$B:$I,3,0),(VLOOKUP($C1813,'INSUMO SINAPI - SP'!$C:$F,3,0)))))</f>
        <v>H</v>
      </c>
      <c r="G1813" s="511">
        <v>8</v>
      </c>
      <c r="H1813" s="512">
        <f>IF($C1813="",IFERROR(VLOOKUP($B1813,SERVIÇOS!$B:$G,6,0),IFERROR(VLOOKUP($B1813,$D:$K,8,0),"")),IFERROR(VLOOKUP($C1813,INSUMOS!$A:$D,4,0),IFERROR(VLOOKUP($C1813,COTAÇÕES!$B:$I,7,0),(VLOOKUP($C1813,'INSUMO SINAPI - SP'!$C:$F,4,0)))))</f>
        <v>37.369999999999997</v>
      </c>
      <c r="I1813" s="513">
        <f>TRUNC(IF($C1813="",IFERROR(VLOOKUP($B1813,SERVIÇOS!$B:$G,4,0),IFERROR(VLOOKUP($B1813,$D:$K,6,0),)),IFERROR(VLOOKUP($C1813,INSUMOS!$A:$D,4,0),IFERROR(VLOOKUP($C1813,COTAÇÕES!$B:$I,7,0),(VLOOKUP($C1813,'INSUMO SINAPI - SP'!$C:$F,4,0)))))*$G1813,2)</f>
        <v>74.48</v>
      </c>
      <c r="J1813" s="513">
        <f>TRUNC(IF($C1813="",IFERROR(VLOOKUP($B1813,SERVIÇOS!$B:$G,5,0),IFERROR(VLOOKUP($B1813,$D:$K,7,0),)),0)*$G1813,2)</f>
        <v>224.48</v>
      </c>
      <c r="K1813" s="514">
        <f t="shared" ref="K1813:K1831" si="65">I1813+J1813</f>
        <v>298.95999999999998</v>
      </c>
      <c r="L1813" s="515"/>
      <c r="M1813" s="471"/>
      <c r="N1813" s="516"/>
      <c r="Q1813" s="472"/>
      <c r="R1813" s="472"/>
      <c r="S1813" s="472"/>
      <c r="T1813" s="472"/>
      <c r="U1813" s="472"/>
      <c r="V1813" s="472"/>
      <c r="W1813" s="472"/>
      <c r="X1813" s="472"/>
      <c r="Y1813" s="472"/>
    </row>
    <row r="1814" spans="1:25" x14ac:dyDescent="0.25">
      <c r="A1814" s="463"/>
      <c r="B1814" s="506">
        <v>88247</v>
      </c>
      <c r="C1814" s="507"/>
      <c r="D1814" s="508"/>
      <c r="E1814" s="509" t="str">
        <f>IF($C1814="",IFERROR(VLOOKUP($B1814,SERVIÇOS!$B:$G,2,0),IFERROR(VLOOKUP($B1814,$D:$K,2,0),"")),IFERROR(VLOOKUP($C1814,INSUMOS!$A:$D,2,0),IFERROR(VLOOKUP($C1814,COTAÇÕES!$B:$I,2,0),(VLOOKUP($C1814,'INSUMO SINAPI - SP'!$C:$F,2,0)))))</f>
        <v>AUXILIAR DE ELETRICISTA COM ENCARGOS COMPLEMENTARES</v>
      </c>
      <c r="F1814" s="510" t="str">
        <f>IF($C1814="",IFERROR(VLOOKUP($B1814,SERVIÇOS!$B:$G,3,0),IFERROR(VLOOKUP($B1814,$D:$K,3,0),"")),IFERROR(VLOOKUP($C1814,INSUMOS!$A:$D,3,0),IFERROR(VLOOKUP($C1814,COTAÇÕES!$B:$I,3,0),(VLOOKUP($C1814,'INSUMO SINAPI - SP'!$C:$F,3,0)))))</f>
        <v>H</v>
      </c>
      <c r="G1814" s="511">
        <v>8</v>
      </c>
      <c r="H1814" s="512">
        <f>IF($C1814="",IFERROR(VLOOKUP($B1814,SERVIÇOS!$B:$G,6,0),IFERROR(VLOOKUP($B1814,$D:$K,8,0),"")),IFERROR(VLOOKUP($C1814,INSUMOS!$A:$D,4,0),IFERROR(VLOOKUP($C1814,COTAÇÕES!$B:$I,7,0),(VLOOKUP($C1814,'INSUMO SINAPI - SP'!$C:$F,4,0)))))</f>
        <v>30.8</v>
      </c>
      <c r="I1814" s="513">
        <f>TRUNC(IF($C1814="",IFERROR(VLOOKUP($B1814,SERVIÇOS!$B:$G,4,0),IFERROR(VLOOKUP($B1814,$D:$K,6,0),)),IFERROR(VLOOKUP($C1814,INSUMOS!$A:$D,4,0),IFERROR(VLOOKUP($C1814,COTAÇÕES!$B:$I,7,0),(VLOOKUP($C1814,'INSUMO SINAPI - SP'!$C:$F,4,0)))))*$G1814,2)</f>
        <v>74.56</v>
      </c>
      <c r="J1814" s="513">
        <f>TRUNC(IF($C1814="",IFERROR(VLOOKUP($B1814,SERVIÇOS!$B:$G,5,0),IFERROR(VLOOKUP($B1814,$D:$K,7,0),)),0)*$G1814,2)</f>
        <v>171.84</v>
      </c>
      <c r="K1814" s="514">
        <f t="shared" si="65"/>
        <v>246.4</v>
      </c>
      <c r="L1814" s="515"/>
      <c r="M1814" s="471"/>
      <c r="N1814" s="516"/>
      <c r="Q1814" s="472"/>
      <c r="R1814" s="472"/>
      <c r="S1814" s="472"/>
      <c r="T1814" s="472"/>
      <c r="U1814" s="472"/>
      <c r="V1814" s="472"/>
      <c r="W1814" s="472"/>
      <c r="X1814" s="472"/>
      <c r="Y1814" s="472"/>
    </row>
    <row r="1815" spans="1:25" x14ac:dyDescent="0.25">
      <c r="A1815" s="463"/>
      <c r="B1815" s="506"/>
      <c r="C1815" s="507">
        <v>406</v>
      </c>
      <c r="D1815" s="508"/>
      <c r="E1815" s="509" t="str">
        <f>IF($C1815="",IFERROR(VLOOKUP($B1815,SERVIÇOS!$B:$G,2,0),IFERROR(VLOOKUP($B1815,$D:$K,2,0),"")),IFERROR(VLOOKUP($C1815,INSUMOS!$A:$D,2,0),IFERROR(VLOOKUP($C1815,COTAÇÕES!$B:$I,2,0),(VLOOKUP($C1815,'INSUMO SINAPI - SP'!$C:$F,2,0)))))</f>
        <v>FITA ACO INOX PARA CINTAR POSTE, L = 19 MM, E = 0,5 MM (ROLO DE 30M)</v>
      </c>
      <c r="F1815" s="510" t="str">
        <f>IF($C1815="",IFERROR(VLOOKUP($B1815,SERVIÇOS!$B:$G,3,0),IFERROR(VLOOKUP($B1815,$D:$K,3,0),"")),IFERROR(VLOOKUP($C1815,INSUMOS!$A:$D,3,0),IFERROR(VLOOKUP($C1815,COTAÇÕES!$B:$I,3,0),(VLOOKUP($C1815,'INSUMO SINAPI - SP'!$C:$F,3,0)))))</f>
        <v>UN</v>
      </c>
      <c r="G1815" s="511">
        <v>0.1333</v>
      </c>
      <c r="H1815" s="512">
        <f>IF($C1815="",IFERROR(VLOOKUP($B1815,SERVIÇOS!$B:$G,6,0),IFERROR(VLOOKUP($B1815,$D:$K,8,0),"")),IFERROR(VLOOKUP($C1815,INSUMOS!$A:$D,4,0),IFERROR(VLOOKUP($C1815,COTAÇÕES!$B:$I,7,0),(VLOOKUP($C1815,'INSUMO SINAPI - SP'!$C:$F,4,0)))))</f>
        <v>100.16</v>
      </c>
      <c r="I1815" s="513">
        <f>TRUNC(IF($C1815="",IFERROR(VLOOKUP($B1815,SERVIÇOS!$B:$G,4,0),IFERROR(VLOOKUP($B1815,$D:$K,6,0),)),IFERROR(VLOOKUP($C1815,INSUMOS!$A:$D,4,0),IFERROR(VLOOKUP($C1815,COTAÇÕES!$B:$I,7,0),(VLOOKUP($C1815,'INSUMO SINAPI - SP'!$C:$F,4,0)))))*$G1815,2)</f>
        <v>13.35</v>
      </c>
      <c r="J1815" s="513">
        <f>TRUNC(IF($C1815="",IFERROR(VLOOKUP($B1815,SERVIÇOS!$B:$G,5,0),IFERROR(VLOOKUP($B1815,$D:$K,7,0),)),0)*$G1815,2)</f>
        <v>0</v>
      </c>
      <c r="K1815" s="514">
        <f t="shared" si="65"/>
        <v>13.35</v>
      </c>
      <c r="L1815" s="517"/>
      <c r="M1815" s="471"/>
      <c r="N1815" s="516"/>
      <c r="Q1815" s="472"/>
      <c r="R1815" s="472"/>
      <c r="S1815" s="472"/>
      <c r="T1815" s="472"/>
      <c r="U1815" s="472"/>
      <c r="V1815" s="472"/>
      <c r="W1815" s="472"/>
      <c r="X1815" s="472"/>
      <c r="Y1815" s="472"/>
    </row>
    <row r="1816" spans="1:25" ht="24" x14ac:dyDescent="0.25">
      <c r="A1816" s="463"/>
      <c r="B1816" s="506"/>
      <c r="C1816" s="507">
        <v>420</v>
      </c>
      <c r="D1816" s="508"/>
      <c r="E1816" s="509" t="str">
        <f>IF($C1816="",IFERROR(VLOOKUP($B1816,SERVIÇOS!$B:$G,2,0),IFERROR(VLOOKUP($B1816,$D:$K,2,0),"")),IFERROR(VLOOKUP($C1816,INSUMOS!$A:$D,2,0),IFERROR(VLOOKUP($C1816,COTAÇÕES!$B:$I,2,0),(VLOOKUP($C1816,'INSUMO SINAPI - SP'!$C:$F,2,0)))))</f>
        <v>CINTA CIRCULAR EM ACO GALVANIZADO DE 150 MM DE DIAMETRO PARA FIXACAO DE CAIXA MEDICAO, INCLUI PARAFUSOS E PORCAS</v>
      </c>
      <c r="F1816" s="510" t="str">
        <f>IF($C1816="",IFERROR(VLOOKUP($B1816,SERVIÇOS!$B:$G,3,0),IFERROR(VLOOKUP($B1816,$D:$K,3,0),"")),IFERROR(VLOOKUP($C1816,INSUMOS!$A:$D,3,0),IFERROR(VLOOKUP($C1816,COTAÇÕES!$B:$I,3,0),(VLOOKUP($C1816,'INSUMO SINAPI - SP'!$C:$F,3,0)))))</f>
        <v>UN</v>
      </c>
      <c r="G1816" s="511">
        <v>2</v>
      </c>
      <c r="H1816" s="512">
        <f>IF($C1816="",IFERROR(VLOOKUP($B1816,SERVIÇOS!$B:$G,6,0),IFERROR(VLOOKUP($B1816,$D:$K,8,0),"")),IFERROR(VLOOKUP($C1816,INSUMOS!$A:$D,4,0),IFERROR(VLOOKUP($C1816,COTAÇÕES!$B:$I,7,0),(VLOOKUP($C1816,'INSUMO SINAPI - SP'!$C:$F,4,0)))))</f>
        <v>24.54</v>
      </c>
      <c r="I1816" s="513">
        <f>TRUNC(IF($C1816="",IFERROR(VLOOKUP($B1816,SERVIÇOS!$B:$G,4,0),IFERROR(VLOOKUP($B1816,$D:$K,6,0),)),IFERROR(VLOOKUP($C1816,INSUMOS!$A:$D,4,0),IFERROR(VLOOKUP($C1816,COTAÇÕES!$B:$I,7,0),(VLOOKUP($C1816,'INSUMO SINAPI - SP'!$C:$F,4,0)))))*$G1816,2)</f>
        <v>49.08</v>
      </c>
      <c r="J1816" s="513">
        <f>TRUNC(IF($C1816="",IFERROR(VLOOKUP($B1816,SERVIÇOS!$B:$G,5,0),IFERROR(VLOOKUP($B1816,$D:$K,7,0),)),0)*$G1816,2)</f>
        <v>0</v>
      </c>
      <c r="K1816" s="514">
        <f t="shared" si="65"/>
        <v>49.08</v>
      </c>
      <c r="L1816" s="517"/>
      <c r="M1816" s="471"/>
      <c r="N1816" s="516"/>
      <c r="Q1816" s="472"/>
      <c r="R1816" s="472"/>
      <c r="S1816" s="472"/>
      <c r="T1816" s="472"/>
      <c r="U1816" s="472"/>
      <c r="V1816" s="472"/>
      <c r="W1816" s="472"/>
      <c r="X1816" s="472"/>
      <c r="Y1816" s="472"/>
    </row>
    <row r="1817" spans="1:25" x14ac:dyDescent="0.25">
      <c r="A1817" s="463"/>
      <c r="B1817" s="506"/>
      <c r="C1817" s="507">
        <v>857</v>
      </c>
      <c r="D1817" s="508"/>
      <c r="E1817" s="509" t="str">
        <f>IF($C1817="",IFERROR(VLOOKUP($B1817,SERVIÇOS!$B:$G,2,0),IFERROR(VLOOKUP($B1817,$D:$K,2,0),"")),IFERROR(VLOOKUP($C1817,INSUMOS!$A:$D,2,0),IFERROR(VLOOKUP($C1817,COTAÇÕES!$B:$I,2,0),(VLOOKUP($C1817,'INSUMO SINAPI - SP'!$C:$F,2,0)))))</f>
        <v>CABO DE COBRE NU 16 MM2 MEIO-DURO</v>
      </c>
      <c r="F1817" s="510" t="str">
        <f>IF($C1817="",IFERROR(VLOOKUP($B1817,SERVIÇOS!$B:$G,3,0),IFERROR(VLOOKUP($B1817,$D:$K,3,0),"")),IFERROR(VLOOKUP($C1817,INSUMOS!$A:$D,3,0),IFERROR(VLOOKUP($C1817,COTAÇÕES!$B:$I,3,0),(VLOOKUP($C1817,'INSUMO SINAPI - SP'!$C:$F,3,0)))))</f>
        <v>M</v>
      </c>
      <c r="G1817" s="511">
        <v>3</v>
      </c>
      <c r="H1817" s="512">
        <f>IF($C1817="",IFERROR(VLOOKUP($B1817,SERVIÇOS!$B:$G,6,0),IFERROR(VLOOKUP($B1817,$D:$K,8,0),"")),IFERROR(VLOOKUP($C1817,INSUMOS!$A:$D,4,0),IFERROR(VLOOKUP($C1817,COTAÇÕES!$B:$I,7,0),(VLOOKUP($C1817,'INSUMO SINAPI - SP'!$C:$F,4,0)))))</f>
        <v>17.579999999999998</v>
      </c>
      <c r="I1817" s="513">
        <f>TRUNC(IF($C1817="",IFERROR(VLOOKUP($B1817,SERVIÇOS!$B:$G,4,0),IFERROR(VLOOKUP($B1817,$D:$K,6,0),)),IFERROR(VLOOKUP($C1817,INSUMOS!$A:$D,4,0),IFERROR(VLOOKUP($C1817,COTAÇÕES!$B:$I,7,0),(VLOOKUP($C1817,'INSUMO SINAPI - SP'!$C:$F,4,0)))))*$G1817,2)</f>
        <v>52.74</v>
      </c>
      <c r="J1817" s="513">
        <f>TRUNC(IF($C1817="",IFERROR(VLOOKUP($B1817,SERVIÇOS!$B:$G,5,0),IFERROR(VLOOKUP($B1817,$D:$K,7,0),)),0)*$G1817,2)</f>
        <v>0</v>
      </c>
      <c r="K1817" s="514">
        <f t="shared" si="65"/>
        <v>52.74</v>
      </c>
      <c r="L1817" s="517"/>
      <c r="M1817" s="471"/>
      <c r="N1817" s="516"/>
      <c r="Q1817" s="472"/>
      <c r="R1817" s="472"/>
      <c r="S1817" s="472"/>
      <c r="T1817" s="472"/>
      <c r="U1817" s="472"/>
      <c r="V1817" s="472"/>
      <c r="W1817" s="472"/>
      <c r="X1817" s="472"/>
      <c r="Y1817" s="472"/>
    </row>
    <row r="1818" spans="1:25" ht="24" x14ac:dyDescent="0.25">
      <c r="A1818" s="463"/>
      <c r="B1818" s="506"/>
      <c r="C1818" s="507">
        <v>937</v>
      </c>
      <c r="D1818" s="508"/>
      <c r="E1818" s="509" t="str">
        <f>IF($C1818="",IFERROR(VLOOKUP($B1818,SERVIÇOS!$B:$G,2,0),IFERROR(VLOOKUP($B1818,$D:$K,2,0),"")),IFERROR(VLOOKUP($C1818,INSUMOS!$A:$D,2,0),IFERROR(VLOOKUP($C1818,COTAÇÕES!$B:$I,2,0),(VLOOKUP($C1818,'INSUMO SINAPI - SP'!$C:$F,2,0)))))</f>
        <v>FIO DE COBRE, SOLIDO, CLASSE 1, ISOLACAO EM PVC/A, ANTICHAMA BWF-B, 450/750V, SECAO NOMINAL 10 MM2</v>
      </c>
      <c r="F1818" s="510" t="str">
        <f>IF($C1818="",IFERROR(VLOOKUP($B1818,SERVIÇOS!$B:$G,3,0),IFERROR(VLOOKUP($B1818,$D:$K,3,0),"")),IFERROR(VLOOKUP($C1818,INSUMOS!$A:$D,3,0),IFERROR(VLOOKUP($C1818,COTAÇÕES!$B:$I,3,0),(VLOOKUP($C1818,'INSUMO SINAPI - SP'!$C:$F,3,0)))))</f>
        <v>M</v>
      </c>
      <c r="G1818" s="511">
        <v>27</v>
      </c>
      <c r="H1818" s="512">
        <f>IF($C1818="",IFERROR(VLOOKUP($B1818,SERVIÇOS!$B:$G,6,0),IFERROR(VLOOKUP($B1818,$D:$K,8,0),"")),IFERROR(VLOOKUP($C1818,INSUMOS!$A:$D,4,0),IFERROR(VLOOKUP($C1818,COTAÇÕES!$B:$I,7,0),(VLOOKUP($C1818,'INSUMO SINAPI - SP'!$C:$F,4,0)))))</f>
        <v>8.98</v>
      </c>
      <c r="I1818" s="513">
        <f>TRUNC(IF($C1818="",IFERROR(VLOOKUP($B1818,SERVIÇOS!$B:$G,4,0),IFERROR(VLOOKUP($B1818,$D:$K,6,0),)),IFERROR(VLOOKUP($C1818,INSUMOS!$A:$D,4,0),IFERROR(VLOOKUP($C1818,COTAÇÕES!$B:$I,7,0),(VLOOKUP($C1818,'INSUMO SINAPI - SP'!$C:$F,4,0)))))*$G1818,2)</f>
        <v>242.46</v>
      </c>
      <c r="J1818" s="513">
        <f>TRUNC(IF($C1818="",IFERROR(VLOOKUP($B1818,SERVIÇOS!$B:$G,5,0),IFERROR(VLOOKUP($B1818,$D:$K,7,0),)),0)*$G1818,2)</f>
        <v>0</v>
      </c>
      <c r="K1818" s="514">
        <f t="shared" si="65"/>
        <v>242.46</v>
      </c>
      <c r="L1818" s="517"/>
      <c r="M1818" s="471"/>
      <c r="N1818" s="516"/>
      <c r="Q1818" s="472"/>
      <c r="R1818" s="472"/>
      <c r="S1818" s="472"/>
      <c r="T1818" s="472"/>
      <c r="U1818" s="472"/>
      <c r="V1818" s="472"/>
      <c r="W1818" s="472"/>
      <c r="X1818" s="472"/>
      <c r="Y1818" s="472"/>
    </row>
    <row r="1819" spans="1:25" ht="24" x14ac:dyDescent="0.25">
      <c r="A1819" s="463"/>
      <c r="B1819" s="506"/>
      <c r="C1819" s="507" t="s">
        <v>13504</v>
      </c>
      <c r="D1819" s="508"/>
      <c r="E1819" s="509" t="str">
        <f>IF($C1819="",IFERROR(VLOOKUP($B1819,SERVIÇOS!$B:$G,2,0),IFERROR(VLOOKUP($B1819,$D:$K,2,0),"")),IFERROR(VLOOKUP($C1819,INSUMOS!$A:$D,2,0),IFERROR(VLOOKUP($C1819,COTAÇÕES!$B:$I,2,0),(VLOOKUP($C1819,'INSUMO SINAPI - SP'!$C:$F,2,0)))))</f>
        <v>CAIXA INTERNA/EXTERNA DE MEDICAO PARA 1 MEDIDOR TRIFASICO, COM VISOR, EM CHAPA DE ACO 18 USG (PADRAO DA CONCESSIONARIA LOCAL)</v>
      </c>
      <c r="F1819" s="510" t="str">
        <f>IF($C1819="",IFERROR(VLOOKUP($B1819,SERVIÇOS!$B:$G,3,0),IFERROR(VLOOKUP($B1819,$D:$K,3,0),"")),IFERROR(VLOOKUP($C1819,INSUMOS!$A:$D,3,0),IFERROR(VLOOKUP($C1819,COTAÇÕES!$B:$I,3,0),(VLOOKUP($C1819,'INSUMO SINAPI - SP'!$C:$F,3,0)))))</f>
        <v>UN</v>
      </c>
      <c r="G1819" s="511">
        <v>1</v>
      </c>
      <c r="H1819" s="512">
        <f>IF($C1819="",IFERROR(VLOOKUP($B1819,SERVIÇOS!$B:$G,6,0),IFERROR(VLOOKUP($B1819,$D:$K,8,0),"")),IFERROR(VLOOKUP($C1819,INSUMOS!$A:$D,4,0),IFERROR(VLOOKUP($C1819,COTAÇÕES!$B:$I,7,0),(VLOOKUP($C1819,'INSUMO SINAPI - SP'!$C:$F,4,0)))))</f>
        <v>235</v>
      </c>
      <c r="I1819" s="513">
        <f>TRUNC(IF($C1819="",IFERROR(VLOOKUP($B1819,SERVIÇOS!$B:$G,4,0),IFERROR(VLOOKUP($B1819,$D:$K,6,0),)),IFERROR(VLOOKUP($C1819,INSUMOS!$A:$D,4,0),IFERROR(VLOOKUP($C1819,COTAÇÕES!$B:$I,7,0),(VLOOKUP($C1819,'INSUMO SINAPI - SP'!$C:$F,4,0)))))*$G1819,2)</f>
        <v>235</v>
      </c>
      <c r="J1819" s="513"/>
      <c r="K1819" s="514">
        <f t="shared" si="65"/>
        <v>235</v>
      </c>
      <c r="L1819" s="515" t="s">
        <v>12685</v>
      </c>
      <c r="M1819" s="471"/>
      <c r="N1819" s="516"/>
      <c r="Q1819" s="472"/>
      <c r="R1819" s="472"/>
      <c r="S1819" s="472"/>
      <c r="T1819" s="472"/>
      <c r="U1819" s="472"/>
      <c r="V1819" s="472"/>
      <c r="W1819" s="472"/>
      <c r="X1819" s="472"/>
      <c r="Y1819" s="472"/>
    </row>
    <row r="1820" spans="1:25" ht="24" x14ac:dyDescent="0.25">
      <c r="A1820" s="463"/>
      <c r="B1820" s="506"/>
      <c r="C1820" s="507">
        <v>1096</v>
      </c>
      <c r="D1820" s="508"/>
      <c r="E1820" s="509" t="str">
        <f>IF($C1820="",IFERROR(VLOOKUP($B1820,SERVIÇOS!$B:$G,2,0),IFERROR(VLOOKUP($B1820,$D:$K,2,0),"")),IFERROR(VLOOKUP($C1820,INSUMOS!$A:$D,2,0),IFERROR(VLOOKUP($C1820,COTAÇÕES!$B:$I,2,0),(VLOOKUP($C1820,'INSUMO SINAPI - SP'!$C:$F,2,0)))))</f>
        <v>ARMACAO VERTICAL COM HASTE E CONTRA-PINO, EM CHAPA DE ACO GALVANIZADO 3/16", COM 4 ESTRIBOS E 4 ISOLADORES</v>
      </c>
      <c r="F1820" s="510" t="str">
        <f>IF($C1820="",IFERROR(VLOOKUP($B1820,SERVIÇOS!$B:$G,3,0),IFERROR(VLOOKUP($B1820,$D:$K,3,0),"")),IFERROR(VLOOKUP($C1820,INSUMOS!$A:$D,3,0),IFERROR(VLOOKUP($C1820,COTAÇÕES!$B:$I,3,0),(VLOOKUP($C1820,'INSUMO SINAPI - SP'!$C:$F,3,0)))))</f>
        <v>UN</v>
      </c>
      <c r="G1820" s="511">
        <v>2</v>
      </c>
      <c r="H1820" s="512">
        <f>IF($C1820="",IFERROR(VLOOKUP($B1820,SERVIÇOS!$B:$G,6,0),IFERROR(VLOOKUP($B1820,$D:$K,8,0),"")),IFERROR(VLOOKUP($C1820,INSUMOS!$A:$D,4,0),IFERROR(VLOOKUP($C1820,COTAÇÕES!$B:$I,7,0),(VLOOKUP($C1820,'INSUMO SINAPI - SP'!$C:$F,4,0)))))</f>
        <v>81.42</v>
      </c>
      <c r="I1820" s="513">
        <f>TRUNC(IF($C1820="",IFERROR(VLOOKUP($B1820,SERVIÇOS!$B:$G,4,0),IFERROR(VLOOKUP($B1820,$D:$K,6,0),)),IFERROR(VLOOKUP($C1820,INSUMOS!$A:$D,4,0),IFERROR(VLOOKUP($C1820,COTAÇÕES!$B:$I,7,0),(VLOOKUP($C1820,'INSUMO SINAPI - SP'!$C:$F,4,0)))))*$G1820,2)</f>
        <v>162.84</v>
      </c>
      <c r="J1820" s="513">
        <f>TRUNC(IF($C1820="",IFERROR(VLOOKUP($B1820,SERVIÇOS!$B:$G,5,0),IFERROR(VLOOKUP($B1820,$D:$K,7,0),)),0)*$G1820,2)</f>
        <v>0</v>
      </c>
      <c r="K1820" s="514">
        <f t="shared" si="65"/>
        <v>162.84</v>
      </c>
      <c r="L1820" s="517"/>
      <c r="M1820" s="471"/>
      <c r="N1820" s="516"/>
      <c r="Q1820" s="472"/>
      <c r="R1820" s="472"/>
      <c r="S1820" s="472"/>
      <c r="T1820" s="472"/>
      <c r="U1820" s="472"/>
      <c r="V1820" s="472"/>
      <c r="W1820" s="472"/>
      <c r="X1820" s="472"/>
      <c r="Y1820" s="472"/>
    </row>
    <row r="1821" spans="1:25" x14ac:dyDescent="0.25">
      <c r="A1821" s="463"/>
      <c r="B1821" s="506"/>
      <c r="C1821" s="507">
        <v>1539</v>
      </c>
      <c r="D1821" s="508"/>
      <c r="E1821" s="509" t="str">
        <f>IF($C1821="",IFERROR(VLOOKUP($B1821,SERVIÇOS!$B:$G,2,0),IFERROR(VLOOKUP($B1821,$D:$K,2,0),"")),IFERROR(VLOOKUP($C1821,INSUMOS!$A:$D,2,0),IFERROR(VLOOKUP($C1821,COTAÇÕES!$B:$I,2,0),(VLOOKUP($C1821,'INSUMO SINAPI - SP'!$C:$F,2,0)))))</f>
        <v>CONECTOR METALICO TIPO PARAFUSO FENDIDO (SPLIT BOLT), PARA CABOS ATE 16 MM2</v>
      </c>
      <c r="F1821" s="510" t="str">
        <f>IF($C1821="",IFERROR(VLOOKUP($B1821,SERVIÇOS!$B:$G,3,0),IFERROR(VLOOKUP($B1821,$D:$K,3,0),"")),IFERROR(VLOOKUP($C1821,INSUMOS!$A:$D,3,0),IFERROR(VLOOKUP($C1821,COTAÇÕES!$B:$I,3,0),(VLOOKUP($C1821,'INSUMO SINAPI - SP'!$C:$F,3,0)))))</f>
        <v>UN</v>
      </c>
      <c r="G1821" s="511">
        <v>8</v>
      </c>
      <c r="H1821" s="512">
        <f>IF($C1821="",IFERROR(VLOOKUP($B1821,SERVIÇOS!$B:$G,6,0),IFERROR(VLOOKUP($B1821,$D:$K,8,0),"")),IFERROR(VLOOKUP($C1821,INSUMOS!$A:$D,4,0),IFERROR(VLOOKUP($C1821,COTAÇÕES!$B:$I,7,0),(VLOOKUP($C1821,'INSUMO SINAPI - SP'!$C:$F,4,0)))))</f>
        <v>8.64</v>
      </c>
      <c r="I1821" s="513">
        <f>TRUNC(IF($C1821="",IFERROR(VLOOKUP($B1821,SERVIÇOS!$B:$G,4,0),IFERROR(VLOOKUP($B1821,$D:$K,6,0),)),IFERROR(VLOOKUP($C1821,INSUMOS!$A:$D,4,0),IFERROR(VLOOKUP($C1821,COTAÇÕES!$B:$I,7,0),(VLOOKUP($C1821,'INSUMO SINAPI - SP'!$C:$F,4,0)))))*$G1821,2)</f>
        <v>69.12</v>
      </c>
      <c r="J1821" s="513">
        <f>TRUNC(IF($C1821="",IFERROR(VLOOKUP($B1821,SERVIÇOS!$B:$G,5,0),IFERROR(VLOOKUP($B1821,$D:$K,7,0),)),0)*$G1821,2)</f>
        <v>0</v>
      </c>
      <c r="K1821" s="514">
        <f t="shared" si="65"/>
        <v>69.12</v>
      </c>
      <c r="L1821" s="517"/>
      <c r="M1821" s="471"/>
      <c r="N1821" s="516"/>
      <c r="Q1821" s="472"/>
      <c r="R1821" s="472"/>
      <c r="S1821" s="472"/>
      <c r="T1821" s="472"/>
      <c r="U1821" s="472"/>
      <c r="V1821" s="472"/>
      <c r="W1821" s="472"/>
      <c r="X1821" s="472"/>
      <c r="Y1821" s="472"/>
    </row>
    <row r="1822" spans="1:25" x14ac:dyDescent="0.25">
      <c r="A1822" s="463"/>
      <c r="B1822" s="506"/>
      <c r="C1822" s="507">
        <v>1892</v>
      </c>
      <c r="D1822" s="508"/>
      <c r="E1822" s="509" t="str">
        <f>IF($C1822="",IFERROR(VLOOKUP($B1822,SERVIÇOS!$B:$G,2,0),IFERROR(VLOOKUP($B1822,$D:$K,2,0),"")),IFERROR(VLOOKUP($C1822,INSUMOS!$A:$D,2,0),IFERROR(VLOOKUP($C1822,COTAÇÕES!$B:$I,2,0),(VLOOKUP($C1822,'INSUMO SINAPI - SP'!$C:$F,2,0)))))</f>
        <v>LUVA EM PVC RIGIDO ROSCAVEL, DE 1", PARA ELETRODUTO</v>
      </c>
      <c r="F1822" s="510" t="str">
        <f>IF($C1822="",IFERROR(VLOOKUP($B1822,SERVIÇOS!$B:$G,3,0),IFERROR(VLOOKUP($B1822,$D:$K,3,0),"")),IFERROR(VLOOKUP($C1822,INSUMOS!$A:$D,3,0),IFERROR(VLOOKUP($C1822,COTAÇÕES!$B:$I,3,0),(VLOOKUP($C1822,'INSUMO SINAPI - SP'!$C:$F,3,0)))))</f>
        <v>UN</v>
      </c>
      <c r="G1822" s="511">
        <v>4</v>
      </c>
      <c r="H1822" s="512">
        <f>IF($C1822="",IFERROR(VLOOKUP($B1822,SERVIÇOS!$B:$G,6,0),IFERROR(VLOOKUP($B1822,$D:$K,8,0),"")),IFERROR(VLOOKUP($C1822,INSUMOS!$A:$D,4,0),IFERROR(VLOOKUP($C1822,COTAÇÕES!$B:$I,7,0),(VLOOKUP($C1822,'INSUMO SINAPI - SP'!$C:$F,4,0)))))</f>
        <v>2.72</v>
      </c>
      <c r="I1822" s="513">
        <f>TRUNC(IF($C1822="",IFERROR(VLOOKUP($B1822,SERVIÇOS!$B:$G,4,0),IFERROR(VLOOKUP($B1822,$D:$K,6,0),)),IFERROR(VLOOKUP($C1822,INSUMOS!$A:$D,4,0),IFERROR(VLOOKUP($C1822,COTAÇÕES!$B:$I,7,0),(VLOOKUP($C1822,'INSUMO SINAPI - SP'!$C:$F,4,0)))))*$G1822,2)</f>
        <v>10.88</v>
      </c>
      <c r="J1822" s="513">
        <f>TRUNC(IF($C1822="",IFERROR(VLOOKUP($B1822,SERVIÇOS!$B:$G,5,0),IFERROR(VLOOKUP($B1822,$D:$K,7,0),)),0)*$G1822,2)</f>
        <v>0</v>
      </c>
      <c r="K1822" s="514">
        <f t="shared" si="65"/>
        <v>10.88</v>
      </c>
      <c r="L1822" s="517"/>
      <c r="M1822" s="471"/>
      <c r="N1822" s="516"/>
      <c r="Q1822" s="472"/>
      <c r="R1822" s="472"/>
      <c r="S1822" s="472"/>
      <c r="T1822" s="472"/>
      <c r="U1822" s="472"/>
      <c r="V1822" s="472"/>
      <c r="W1822" s="472"/>
      <c r="X1822" s="472"/>
      <c r="Y1822" s="472"/>
    </row>
    <row r="1823" spans="1:25" x14ac:dyDescent="0.25">
      <c r="A1823" s="463"/>
      <c r="B1823" s="506"/>
      <c r="C1823" s="507">
        <v>2392</v>
      </c>
      <c r="D1823" s="508"/>
      <c r="E1823" s="509" t="str">
        <f>IF($C1823="",IFERROR(VLOOKUP($B1823,SERVIÇOS!$B:$G,2,0),IFERROR(VLOOKUP($B1823,$D:$K,2,0),"")),IFERROR(VLOOKUP($C1823,INSUMOS!$A:$D,2,0),IFERROR(VLOOKUP($C1823,COTAÇÕES!$B:$I,2,0),(VLOOKUP($C1823,'INSUMO SINAPI - SP'!$C:$F,2,0)))))</f>
        <v>DISJUNTOR TIPO NEMA, TRIPOLAR 10 ATE 50A, TENSAO MAXIMA DE 415 V</v>
      </c>
      <c r="F1823" s="510" t="str">
        <f>IF($C1823="",IFERROR(VLOOKUP($B1823,SERVIÇOS!$B:$G,3,0),IFERROR(VLOOKUP($B1823,$D:$K,3,0),"")),IFERROR(VLOOKUP($C1823,INSUMOS!$A:$D,3,0),IFERROR(VLOOKUP($C1823,COTAÇÕES!$B:$I,3,0),(VLOOKUP($C1823,'INSUMO SINAPI - SP'!$C:$F,3,0)))))</f>
        <v>UN</v>
      </c>
      <c r="G1823" s="511">
        <v>1</v>
      </c>
      <c r="H1823" s="512">
        <f>IF($C1823="",IFERROR(VLOOKUP($B1823,SERVIÇOS!$B:$G,6,0),IFERROR(VLOOKUP($B1823,$D:$K,8,0),"")),IFERROR(VLOOKUP($C1823,INSUMOS!$A:$D,4,0),IFERROR(VLOOKUP($C1823,COTAÇÕES!$B:$I,7,0),(VLOOKUP($C1823,'INSUMO SINAPI - SP'!$C:$F,4,0)))))</f>
        <v>83.51</v>
      </c>
      <c r="I1823" s="513">
        <f>TRUNC(IF($C1823="",IFERROR(VLOOKUP($B1823,SERVIÇOS!$B:$G,4,0),IFERROR(VLOOKUP($B1823,$D:$K,6,0),)),IFERROR(VLOOKUP($C1823,INSUMOS!$A:$D,4,0),IFERROR(VLOOKUP($C1823,COTAÇÕES!$B:$I,7,0),(VLOOKUP($C1823,'INSUMO SINAPI - SP'!$C:$F,4,0)))))*$G1823,2)</f>
        <v>83.51</v>
      </c>
      <c r="J1823" s="513">
        <f>TRUNC(IF($C1823="",IFERROR(VLOOKUP($B1823,SERVIÇOS!$B:$G,5,0),IFERROR(VLOOKUP($B1823,$D:$K,7,0),)),0)*$G1823,2)</f>
        <v>0</v>
      </c>
      <c r="K1823" s="514">
        <f t="shared" si="65"/>
        <v>83.51</v>
      </c>
      <c r="L1823" s="517"/>
      <c r="M1823" s="471"/>
      <c r="N1823" s="516"/>
      <c r="Q1823" s="472"/>
      <c r="R1823" s="472"/>
      <c r="S1823" s="472"/>
      <c r="T1823" s="472"/>
      <c r="U1823" s="472"/>
      <c r="V1823" s="472"/>
      <c r="W1823" s="472"/>
      <c r="X1823" s="472"/>
      <c r="Y1823" s="472"/>
    </row>
    <row r="1824" spans="1:25" x14ac:dyDescent="0.25">
      <c r="A1824" s="463"/>
      <c r="B1824" s="506"/>
      <c r="C1824" s="507">
        <v>2685</v>
      </c>
      <c r="D1824" s="508"/>
      <c r="E1824" s="509" t="str">
        <f>IF($C1824="",IFERROR(VLOOKUP($B1824,SERVIÇOS!$B:$G,2,0),IFERROR(VLOOKUP($B1824,$D:$K,2,0),"")),IFERROR(VLOOKUP($C1824,INSUMOS!$A:$D,2,0),IFERROR(VLOOKUP($C1824,COTAÇÕES!$B:$I,2,0),(VLOOKUP($C1824,'INSUMO SINAPI - SP'!$C:$F,2,0)))))</f>
        <v>ELETRODUTO DE PVC RIGIDO ROSCAVEL DE 1 ", SEM LUVA</v>
      </c>
      <c r="F1824" s="510" t="str">
        <f>IF($C1824="",IFERROR(VLOOKUP($B1824,SERVIÇOS!$B:$G,3,0),IFERROR(VLOOKUP($B1824,$D:$K,3,0),"")),IFERROR(VLOOKUP($C1824,INSUMOS!$A:$D,3,0),IFERROR(VLOOKUP($C1824,COTAÇÕES!$B:$I,3,0),(VLOOKUP($C1824,'INSUMO SINAPI - SP'!$C:$F,3,0)))))</f>
        <v>M</v>
      </c>
      <c r="G1824" s="511">
        <v>8</v>
      </c>
      <c r="H1824" s="512">
        <f>IF($C1824="",IFERROR(VLOOKUP($B1824,SERVIÇOS!$B:$G,6,0),IFERROR(VLOOKUP($B1824,$D:$K,8,0),"")),IFERROR(VLOOKUP($C1824,INSUMOS!$A:$D,4,0),IFERROR(VLOOKUP($C1824,COTAÇÕES!$B:$I,7,0),(VLOOKUP($C1824,'INSUMO SINAPI - SP'!$C:$F,4,0)))))</f>
        <v>11.66</v>
      </c>
      <c r="I1824" s="513">
        <f>TRUNC(IF($C1824="",IFERROR(VLOOKUP($B1824,SERVIÇOS!$B:$G,4,0),IFERROR(VLOOKUP($B1824,$D:$K,6,0),)),IFERROR(VLOOKUP($C1824,INSUMOS!$A:$D,4,0),IFERROR(VLOOKUP($C1824,COTAÇÕES!$B:$I,7,0),(VLOOKUP($C1824,'INSUMO SINAPI - SP'!$C:$F,4,0)))))*$G1824,2)</f>
        <v>93.28</v>
      </c>
      <c r="J1824" s="513">
        <f>TRUNC(IF($C1824="",IFERROR(VLOOKUP($B1824,SERVIÇOS!$B:$G,5,0),IFERROR(VLOOKUP($B1824,$D:$K,7,0),)),0)*$G1824,2)</f>
        <v>0</v>
      </c>
      <c r="K1824" s="514">
        <f t="shared" si="65"/>
        <v>93.28</v>
      </c>
      <c r="L1824" s="517"/>
      <c r="M1824" s="471"/>
      <c r="N1824" s="516"/>
      <c r="Q1824" s="472"/>
      <c r="R1824" s="472"/>
      <c r="S1824" s="472"/>
      <c r="T1824" s="472"/>
      <c r="U1824" s="472"/>
      <c r="V1824" s="472"/>
      <c r="W1824" s="472"/>
      <c r="X1824" s="472"/>
      <c r="Y1824" s="472"/>
    </row>
    <row r="1825" spans="1:25" ht="24" x14ac:dyDescent="0.25">
      <c r="A1825" s="463"/>
      <c r="B1825" s="506"/>
      <c r="C1825" s="507">
        <v>2731</v>
      </c>
      <c r="D1825" s="508"/>
      <c r="E1825" s="509" t="str">
        <f>IF($C1825="",IFERROR(VLOOKUP($B1825,SERVIÇOS!$B:$G,2,0),IFERROR(VLOOKUP($B1825,$D:$K,2,0),"")),IFERROR(VLOOKUP($C1825,INSUMOS!$A:$D,2,0),IFERROR(VLOOKUP($C1825,COTAÇÕES!$B:$I,2,0),(VLOOKUP($C1825,'INSUMO SINAPI - SP'!$C:$F,2,0)))))</f>
        <v>POSTE ROLICO DE MADEIRA TRATADA, D = 20 A 25 CM, H = 12,00 M, EM EUCALIPTO OU EQUIVALENTE DA REGIAO</v>
      </c>
      <c r="F1825" s="510" t="str">
        <f>IF($C1825="",IFERROR(VLOOKUP($B1825,SERVIÇOS!$B:$G,3,0),IFERROR(VLOOKUP($B1825,$D:$K,3,0),"")),IFERROR(VLOOKUP($C1825,INSUMOS!$A:$D,3,0),IFERROR(VLOOKUP($C1825,COTAÇÕES!$B:$I,3,0),(VLOOKUP($C1825,'INSUMO SINAPI - SP'!$C:$F,3,0)))))</f>
        <v>M</v>
      </c>
      <c r="G1825" s="511">
        <v>7.96</v>
      </c>
      <c r="H1825" s="512">
        <f>IF($C1825="",IFERROR(VLOOKUP($B1825,SERVIÇOS!$B:$G,6,0),IFERROR(VLOOKUP($B1825,$D:$K,8,0),"")),IFERROR(VLOOKUP($C1825,INSUMOS!$A:$D,4,0),IFERROR(VLOOKUP($C1825,COTAÇÕES!$B:$I,7,0),(VLOOKUP($C1825,'INSUMO SINAPI - SP'!$C:$F,4,0)))))</f>
        <v>138.29</v>
      </c>
      <c r="I1825" s="513">
        <f>TRUNC(IF($C1825="",IFERROR(VLOOKUP($B1825,SERVIÇOS!$B:$G,4,0),IFERROR(VLOOKUP($B1825,$D:$K,6,0),)),IFERROR(VLOOKUP($C1825,INSUMOS!$A:$D,4,0),IFERROR(VLOOKUP($C1825,COTAÇÕES!$B:$I,7,0),(VLOOKUP($C1825,'INSUMO SINAPI - SP'!$C:$F,4,0)))))*$G1825,2)</f>
        <v>1100.78</v>
      </c>
      <c r="J1825" s="513">
        <f>TRUNC(IF($C1825="",IFERROR(VLOOKUP($B1825,SERVIÇOS!$B:$G,5,0),IFERROR(VLOOKUP($B1825,$D:$K,7,0),)),0)*$G1825,2)</f>
        <v>0</v>
      </c>
      <c r="K1825" s="514">
        <f t="shared" si="65"/>
        <v>1100.78</v>
      </c>
      <c r="L1825" s="517"/>
      <c r="M1825" s="471"/>
      <c r="N1825" s="516"/>
      <c r="Q1825" s="472"/>
      <c r="R1825" s="472"/>
      <c r="S1825" s="472"/>
      <c r="T1825" s="472"/>
      <c r="U1825" s="472"/>
      <c r="V1825" s="472"/>
      <c r="W1825" s="472"/>
      <c r="X1825" s="472"/>
      <c r="Y1825" s="472"/>
    </row>
    <row r="1826" spans="1:25" ht="24" x14ac:dyDescent="0.25">
      <c r="A1826" s="463"/>
      <c r="B1826" s="506"/>
      <c r="C1826" s="507">
        <v>3379</v>
      </c>
      <c r="D1826" s="508"/>
      <c r="E1826" s="509" t="str">
        <f>IF($C1826="",IFERROR(VLOOKUP($B1826,SERVIÇOS!$B:$G,2,0),IFERROR(VLOOKUP($B1826,$D:$K,2,0),"")),IFERROR(VLOOKUP($C1826,INSUMOS!$A:$D,2,0),IFERROR(VLOOKUP($C1826,COTAÇÕES!$B:$I,2,0),(VLOOKUP($C1826,'INSUMO SINAPI - SP'!$C:$F,2,0)))))</f>
        <v>HASTE DE ATERRAMENTO EM ACO COM 3,00 M DE COMPRIMENTO E DN = 5/8", REVESTIDA COM BAIXA CAMADA DE COBRE, SEM CONECTOR</v>
      </c>
      <c r="F1826" s="510" t="str">
        <f>IF($C1826="",IFERROR(VLOOKUP($B1826,SERVIÇOS!$B:$G,3,0),IFERROR(VLOOKUP($B1826,$D:$K,3,0),"")),IFERROR(VLOOKUP($C1826,INSUMOS!$A:$D,3,0),IFERROR(VLOOKUP($C1826,COTAÇÕES!$B:$I,3,0),(VLOOKUP($C1826,'INSUMO SINAPI - SP'!$C:$F,3,0)))))</f>
        <v>UN</v>
      </c>
      <c r="G1826" s="511">
        <v>1</v>
      </c>
      <c r="H1826" s="512">
        <f>IF($C1826="",IFERROR(VLOOKUP($B1826,SERVIÇOS!$B:$G,6,0),IFERROR(VLOOKUP($B1826,$D:$K,8,0),"")),IFERROR(VLOOKUP($C1826,INSUMOS!$A:$D,4,0),IFERROR(VLOOKUP($C1826,COTAÇÕES!$B:$I,7,0),(VLOOKUP($C1826,'INSUMO SINAPI - SP'!$C:$F,4,0)))))</f>
        <v>54.97</v>
      </c>
      <c r="I1826" s="513">
        <f>TRUNC(IF($C1826="",IFERROR(VLOOKUP($B1826,SERVIÇOS!$B:$G,4,0),IFERROR(VLOOKUP($B1826,$D:$K,6,0),)),IFERROR(VLOOKUP($C1826,INSUMOS!$A:$D,4,0),IFERROR(VLOOKUP($C1826,COTAÇÕES!$B:$I,7,0),(VLOOKUP($C1826,'INSUMO SINAPI - SP'!$C:$F,4,0)))))*$G1826,2)</f>
        <v>54.97</v>
      </c>
      <c r="J1826" s="513">
        <f>TRUNC(IF($C1826="",IFERROR(VLOOKUP($B1826,SERVIÇOS!$B:$G,5,0),IFERROR(VLOOKUP($B1826,$D:$K,7,0),)),0)*$G1826,2)</f>
        <v>0</v>
      </c>
      <c r="K1826" s="514">
        <f t="shared" si="65"/>
        <v>54.97</v>
      </c>
      <c r="L1826" s="517"/>
      <c r="M1826" s="471"/>
      <c r="N1826" s="516"/>
      <c r="Q1826" s="472"/>
      <c r="R1826" s="472"/>
      <c r="S1826" s="472"/>
      <c r="T1826" s="472"/>
      <c r="U1826" s="472"/>
      <c r="V1826" s="472"/>
      <c r="W1826" s="472"/>
      <c r="X1826" s="472"/>
      <c r="Y1826" s="472"/>
    </row>
    <row r="1827" spans="1:25" ht="24" x14ac:dyDescent="0.25">
      <c r="A1827" s="463"/>
      <c r="B1827" s="506"/>
      <c r="C1827" s="507">
        <v>4346</v>
      </c>
      <c r="D1827" s="508"/>
      <c r="E1827" s="509" t="str">
        <f>IF($C1827="",IFERROR(VLOOKUP($B1827,SERVIÇOS!$B:$G,2,0),IFERROR(VLOOKUP($B1827,$D:$K,2,0),"")),IFERROR(VLOOKUP($C1827,INSUMOS!$A:$D,2,0),IFERROR(VLOOKUP($C1827,COTAÇÕES!$B:$I,2,0),(VLOOKUP($C1827,'INSUMO SINAPI - SP'!$C:$F,2,0)))))</f>
        <v>PARAFUSO DE FERRO POLIDO, SEXTAVADO, COM ROSCA PARCIAL, DIAMETRO 5/8", COMPRIMENTO 6", COM PORCA E ARRUELA DE PRESSAO MEDIA</v>
      </c>
      <c r="F1827" s="510" t="str">
        <f>IF($C1827="",IFERROR(VLOOKUP($B1827,SERVIÇOS!$B:$G,3,0),IFERROR(VLOOKUP($B1827,$D:$K,3,0),"")),IFERROR(VLOOKUP($C1827,INSUMOS!$A:$D,3,0),IFERROR(VLOOKUP($C1827,COTAÇÕES!$B:$I,3,0),(VLOOKUP($C1827,'INSUMO SINAPI - SP'!$C:$F,3,0)))))</f>
        <v>UN</v>
      </c>
      <c r="G1827" s="511">
        <v>2</v>
      </c>
      <c r="H1827" s="512">
        <f>IF($C1827="",IFERROR(VLOOKUP($B1827,SERVIÇOS!$B:$G,6,0),IFERROR(VLOOKUP($B1827,$D:$K,8,0),"")),IFERROR(VLOOKUP($C1827,INSUMOS!$A:$D,4,0),IFERROR(VLOOKUP($C1827,COTAÇÕES!$B:$I,7,0),(VLOOKUP($C1827,'INSUMO SINAPI - SP'!$C:$F,4,0)))))</f>
        <v>9.1300000000000008</v>
      </c>
      <c r="I1827" s="513">
        <f>TRUNC(IF($C1827="",IFERROR(VLOOKUP($B1827,SERVIÇOS!$B:$G,4,0),IFERROR(VLOOKUP($B1827,$D:$K,6,0),)),IFERROR(VLOOKUP($C1827,INSUMOS!$A:$D,4,0),IFERROR(VLOOKUP($C1827,COTAÇÕES!$B:$I,7,0),(VLOOKUP($C1827,'INSUMO SINAPI - SP'!$C:$F,4,0)))))*$G1827,2)</f>
        <v>18.260000000000002</v>
      </c>
      <c r="J1827" s="513">
        <f>TRUNC(IF($C1827="",IFERROR(VLOOKUP($B1827,SERVIÇOS!$B:$G,5,0),IFERROR(VLOOKUP($B1827,$D:$K,7,0),)),0)*$G1827,2)</f>
        <v>0</v>
      </c>
      <c r="K1827" s="514">
        <f t="shared" si="65"/>
        <v>18.260000000000002</v>
      </c>
      <c r="L1827" s="517"/>
      <c r="M1827" s="471"/>
      <c r="N1827" s="516"/>
      <c r="Q1827" s="472"/>
      <c r="R1827" s="472"/>
      <c r="S1827" s="472"/>
      <c r="T1827" s="472"/>
      <c r="U1827" s="472"/>
      <c r="V1827" s="472"/>
      <c r="W1827" s="472"/>
      <c r="X1827" s="472"/>
      <c r="Y1827" s="472"/>
    </row>
    <row r="1828" spans="1:25" ht="24" x14ac:dyDescent="0.25">
      <c r="A1828" s="463"/>
      <c r="B1828" s="506"/>
      <c r="C1828" s="507" t="s">
        <v>13505</v>
      </c>
      <c r="D1828" s="508"/>
      <c r="E1828" s="509" t="str">
        <f>IF($C1828="",IFERROR(VLOOKUP($B1828,SERVIÇOS!$B:$G,2,0),IFERROR(VLOOKUP($B1828,$D:$K,2,0),"")),IFERROR(VLOOKUP($C1828,INSUMOS!$A:$D,2,0),IFERROR(VLOOKUP($C1828,COTAÇÕES!$B:$I,2,0),(VLOOKUP($C1828,'INSUMO SINAPI - SP'!$C:$F,2,0)))))</f>
        <v>ARRUELA LISA, REDONDA, DE LATAO POLIDO, DIAMETRO NOMINAL 5/8", DIAMETRO EXTERNO = 34 MM, DIAMETRO DO FURO = 17 MM, ESPESSURA = *2,5* MM</v>
      </c>
      <c r="F1828" s="510" t="str">
        <f>IF($C1828="",IFERROR(VLOOKUP($B1828,SERVIÇOS!$B:$G,3,0),IFERROR(VLOOKUP($B1828,$D:$K,3,0),"")),IFERROR(VLOOKUP($C1828,INSUMOS!$A:$D,3,0),IFERROR(VLOOKUP($C1828,COTAÇÕES!$B:$I,3,0),(VLOOKUP($C1828,'INSUMO SINAPI - SP'!$C:$F,3,0)))))</f>
        <v>UN</v>
      </c>
      <c r="G1828" s="511">
        <v>2</v>
      </c>
      <c r="H1828" s="512">
        <f>IF($C1828="",IFERROR(VLOOKUP($B1828,SERVIÇOS!$B:$G,6,0),IFERROR(VLOOKUP($B1828,$D:$K,8,0),"")),IFERROR(VLOOKUP($C1828,INSUMOS!$A:$D,4,0),IFERROR(VLOOKUP($C1828,COTAÇÕES!$B:$I,7,0),(VLOOKUP($C1828,'INSUMO SINAPI - SP'!$C:$F,4,0)))))</f>
        <v>1.43</v>
      </c>
      <c r="I1828" s="513">
        <f>TRUNC(IF($C1828="",IFERROR(VLOOKUP($B1828,SERVIÇOS!$B:$G,4,0),IFERROR(VLOOKUP($B1828,$D:$K,6,0),)),IFERROR(VLOOKUP($C1828,INSUMOS!$A:$D,4,0),IFERROR(VLOOKUP($C1828,COTAÇÕES!$B:$I,7,0),(VLOOKUP($C1828,'INSUMO SINAPI - SP'!$C:$F,4,0)))))*$G1828,2)</f>
        <v>2.86</v>
      </c>
      <c r="J1828" s="513"/>
      <c r="K1828" s="514">
        <f t="shared" si="65"/>
        <v>2.86</v>
      </c>
      <c r="L1828" s="515" t="s">
        <v>12685</v>
      </c>
      <c r="M1828" s="471"/>
      <c r="N1828" s="516"/>
      <c r="Q1828" s="472"/>
      <c r="R1828" s="472"/>
      <c r="S1828" s="472"/>
      <c r="T1828" s="472"/>
      <c r="U1828" s="472"/>
      <c r="V1828" s="472"/>
      <c r="W1828" s="472"/>
      <c r="X1828" s="472"/>
      <c r="Y1828" s="472"/>
    </row>
    <row r="1829" spans="1:25" x14ac:dyDescent="0.25">
      <c r="A1829" s="463"/>
      <c r="B1829" s="506"/>
      <c r="C1829" s="507">
        <v>12034</v>
      </c>
      <c r="D1829" s="508"/>
      <c r="E1829" s="509" t="str">
        <f>IF($C1829="",IFERROR(VLOOKUP($B1829,SERVIÇOS!$B:$G,2,0),IFERROR(VLOOKUP($B1829,$D:$K,2,0),"")),IFERROR(VLOOKUP($C1829,INSUMOS!$A:$D,2,0),IFERROR(VLOOKUP($C1829,COTAÇÕES!$B:$I,2,0),(VLOOKUP($C1829,'INSUMO SINAPI - SP'!$C:$F,2,0)))))</f>
        <v>CURVA 180 GRAUS, DE PVC RIGIDO ROSCAVEL, DE 3/4", PARA ELETRODUTO</v>
      </c>
      <c r="F1829" s="510" t="str">
        <f>IF($C1829="",IFERROR(VLOOKUP($B1829,SERVIÇOS!$B:$G,3,0),IFERROR(VLOOKUP($B1829,$D:$K,3,0),"")),IFERROR(VLOOKUP($C1829,INSUMOS!$A:$D,3,0),IFERROR(VLOOKUP($C1829,COTAÇÕES!$B:$I,3,0),(VLOOKUP($C1829,'INSUMO SINAPI - SP'!$C:$F,3,0)))))</f>
        <v>UN</v>
      </c>
      <c r="G1829" s="511">
        <v>2</v>
      </c>
      <c r="H1829" s="512">
        <f>IF($C1829="",IFERROR(VLOOKUP($B1829,SERVIÇOS!$B:$G,6,0),IFERROR(VLOOKUP($B1829,$D:$K,8,0),"")),IFERROR(VLOOKUP($C1829,INSUMOS!$A:$D,4,0),IFERROR(VLOOKUP($C1829,COTAÇÕES!$B:$I,7,0),(VLOOKUP($C1829,'INSUMO SINAPI - SP'!$C:$F,4,0)))))</f>
        <v>7.72</v>
      </c>
      <c r="I1829" s="513">
        <f>TRUNC(IF($C1829="",IFERROR(VLOOKUP($B1829,SERVIÇOS!$B:$G,4,0),IFERROR(VLOOKUP($B1829,$D:$K,6,0),)),IFERROR(VLOOKUP($C1829,INSUMOS!$A:$D,4,0),IFERROR(VLOOKUP($C1829,COTAÇÕES!$B:$I,7,0),(VLOOKUP($C1829,'INSUMO SINAPI - SP'!$C:$F,4,0)))))*$G1829,2)</f>
        <v>15.44</v>
      </c>
      <c r="J1829" s="513">
        <f>TRUNC(IF($C1829="",IFERROR(VLOOKUP($B1829,SERVIÇOS!$B:$G,5,0),IFERROR(VLOOKUP($B1829,$D:$K,7,0),)),0)*$G1829,2)</f>
        <v>0</v>
      </c>
      <c r="K1829" s="514">
        <f t="shared" si="65"/>
        <v>15.44</v>
      </c>
      <c r="L1829" s="517"/>
      <c r="M1829" s="471"/>
      <c r="N1829" s="516"/>
      <c r="Q1829" s="472"/>
      <c r="R1829" s="472"/>
      <c r="S1829" s="472"/>
      <c r="T1829" s="472"/>
      <c r="U1829" s="472"/>
      <c r="V1829" s="472"/>
      <c r="W1829" s="472"/>
      <c r="X1829" s="472"/>
      <c r="Y1829" s="472"/>
    </row>
    <row r="1830" spans="1:25" x14ac:dyDescent="0.25">
      <c r="A1830" s="463"/>
      <c r="B1830" s="506"/>
      <c r="C1830" s="507">
        <v>39176</v>
      </c>
      <c r="D1830" s="508"/>
      <c r="E1830" s="509" t="str">
        <f>IF($C1830="",IFERROR(VLOOKUP($B1830,SERVIÇOS!$B:$G,2,0),IFERROR(VLOOKUP($B1830,$D:$K,2,0),"")),IFERROR(VLOOKUP($C1830,INSUMOS!$A:$D,2,0),IFERROR(VLOOKUP($C1830,COTAÇÕES!$B:$I,2,0),(VLOOKUP($C1830,'INSUMO SINAPI - SP'!$C:$F,2,0)))))</f>
        <v>BUCHA EM ALUMINIO, COM ROSCA, DE 1", PARA ELETRODUTO</v>
      </c>
      <c r="F1830" s="510" t="str">
        <f>IF($C1830="",IFERROR(VLOOKUP($B1830,SERVIÇOS!$B:$G,3,0),IFERROR(VLOOKUP($B1830,$D:$K,3,0),"")),IFERROR(VLOOKUP($C1830,INSUMOS!$A:$D,3,0),IFERROR(VLOOKUP($C1830,COTAÇÕES!$B:$I,3,0),(VLOOKUP($C1830,'INSUMO SINAPI - SP'!$C:$F,3,0)))))</f>
        <v>UN</v>
      </c>
      <c r="G1830" s="511">
        <v>2</v>
      </c>
      <c r="H1830" s="512">
        <f>IF($C1830="",IFERROR(VLOOKUP($B1830,SERVIÇOS!$B:$G,6,0),IFERROR(VLOOKUP($B1830,$D:$K,8,0),"")),IFERROR(VLOOKUP($C1830,INSUMOS!$A:$D,4,0),IFERROR(VLOOKUP($C1830,COTAÇÕES!$B:$I,7,0),(VLOOKUP($C1830,'INSUMO SINAPI - SP'!$C:$F,4,0)))))</f>
        <v>1.51</v>
      </c>
      <c r="I1830" s="513">
        <f>TRUNC(IF($C1830="",IFERROR(VLOOKUP($B1830,SERVIÇOS!$B:$G,4,0),IFERROR(VLOOKUP($B1830,$D:$K,6,0),)),IFERROR(VLOOKUP($C1830,INSUMOS!$A:$D,4,0),IFERROR(VLOOKUP($C1830,COTAÇÕES!$B:$I,7,0),(VLOOKUP($C1830,'INSUMO SINAPI - SP'!$C:$F,4,0)))))*$G1830,2)</f>
        <v>3.02</v>
      </c>
      <c r="J1830" s="513">
        <f>TRUNC(IF($C1830="",IFERROR(VLOOKUP($B1830,SERVIÇOS!$B:$G,5,0),IFERROR(VLOOKUP($B1830,$D:$K,7,0),)),0)*$G1830,2)</f>
        <v>0</v>
      </c>
      <c r="K1830" s="514">
        <f t="shared" si="65"/>
        <v>3.02</v>
      </c>
      <c r="L1830" s="517"/>
      <c r="M1830" s="471"/>
      <c r="N1830" s="516"/>
      <c r="Q1830" s="472"/>
      <c r="R1830" s="472"/>
      <c r="S1830" s="472"/>
      <c r="T1830" s="472"/>
      <c r="U1830" s="472"/>
      <c r="V1830" s="472"/>
      <c r="W1830" s="472"/>
      <c r="X1830" s="472"/>
      <c r="Y1830" s="472"/>
    </row>
    <row r="1831" spans="1:25" x14ac:dyDescent="0.25">
      <c r="A1831" s="463"/>
      <c r="B1831" s="506"/>
      <c r="C1831" s="507">
        <v>39210</v>
      </c>
      <c r="D1831" s="508"/>
      <c r="E1831" s="509" t="str">
        <f>IF($C1831="",IFERROR(VLOOKUP($B1831,SERVIÇOS!$B:$G,2,0),IFERROR(VLOOKUP($B1831,$D:$K,2,0),"")),IFERROR(VLOOKUP($C1831,INSUMOS!$A:$D,2,0),IFERROR(VLOOKUP($C1831,COTAÇÕES!$B:$I,2,0),(VLOOKUP($C1831,'INSUMO SINAPI - SP'!$C:$F,2,0)))))</f>
        <v>ARRUELA EM ALUMINIO, COM ROSCA, DE 1", PARA ELETRODUTO</v>
      </c>
      <c r="F1831" s="510" t="str">
        <f>IF($C1831="",IFERROR(VLOOKUP($B1831,SERVIÇOS!$B:$G,3,0),IFERROR(VLOOKUP($B1831,$D:$K,3,0),"")),IFERROR(VLOOKUP($C1831,INSUMOS!$A:$D,3,0),IFERROR(VLOOKUP($C1831,COTAÇÕES!$B:$I,3,0),(VLOOKUP($C1831,'INSUMO SINAPI - SP'!$C:$F,3,0)))))</f>
        <v>UN</v>
      </c>
      <c r="G1831" s="511">
        <v>2</v>
      </c>
      <c r="H1831" s="512">
        <f>IF($C1831="",IFERROR(VLOOKUP($B1831,SERVIÇOS!$B:$G,6,0),IFERROR(VLOOKUP($B1831,$D:$K,8,0),"")),IFERROR(VLOOKUP($C1831,INSUMOS!$A:$D,4,0),IFERROR(VLOOKUP($C1831,COTAÇÕES!$B:$I,7,0),(VLOOKUP($C1831,'INSUMO SINAPI - SP'!$C:$F,4,0)))))</f>
        <v>1.1200000000000001</v>
      </c>
      <c r="I1831" s="513">
        <f>TRUNC(IF($C1831="",IFERROR(VLOOKUP($B1831,SERVIÇOS!$B:$G,4,0),IFERROR(VLOOKUP($B1831,$D:$K,6,0),)),IFERROR(VLOOKUP($C1831,INSUMOS!$A:$D,4,0),IFERROR(VLOOKUP($C1831,COTAÇÕES!$B:$I,7,0),(VLOOKUP($C1831,'INSUMO SINAPI - SP'!$C:$F,4,0)))))*$G1831,2)</f>
        <v>2.2400000000000002</v>
      </c>
      <c r="J1831" s="513">
        <f>TRUNC(IF($C1831="",IFERROR(VLOOKUP($B1831,SERVIÇOS!$B:$G,5,0),IFERROR(VLOOKUP($B1831,$D:$K,7,0),)),0)*$G1831,2)</f>
        <v>0</v>
      </c>
      <c r="K1831" s="514">
        <f t="shared" si="65"/>
        <v>2.2400000000000002</v>
      </c>
      <c r="L1831" s="517"/>
      <c r="M1831" s="471"/>
      <c r="N1831" s="516"/>
      <c r="Q1831" s="472"/>
      <c r="R1831" s="472"/>
      <c r="S1831" s="472"/>
      <c r="T1831" s="472"/>
      <c r="U1831" s="472"/>
      <c r="V1831" s="472"/>
      <c r="W1831" s="472"/>
      <c r="X1831" s="472"/>
      <c r="Y1831" s="472"/>
    </row>
    <row r="1832" spans="1:25" ht="24" x14ac:dyDescent="0.25">
      <c r="A1832" s="463"/>
      <c r="B1832" s="498"/>
      <c r="C1832" s="498"/>
      <c r="D1832" s="499" t="s">
        <v>13506</v>
      </c>
      <c r="E1832" s="500" t="s">
        <v>13507</v>
      </c>
      <c r="F1832" s="501" t="s">
        <v>578</v>
      </c>
      <c r="G1832" s="502"/>
      <c r="H1832" s="503"/>
      <c r="I1832" s="504">
        <f>SUM(I1833:I1842)</f>
        <v>623.3900000000001</v>
      </c>
      <c r="J1832" s="504">
        <f>SUM(J1833:J1842)</f>
        <v>131.01999999999998</v>
      </c>
      <c r="K1832" s="504">
        <f>+J1832+I1832</f>
        <v>754.41000000000008</v>
      </c>
      <c r="L1832" s="523"/>
      <c r="M1832" s="471"/>
      <c r="Q1832" s="472"/>
      <c r="R1832" s="472"/>
      <c r="S1832" s="472"/>
      <c r="T1832" s="472"/>
      <c r="U1832" s="472"/>
      <c r="V1832" s="472"/>
      <c r="W1832" s="472"/>
      <c r="X1832" s="472"/>
      <c r="Y1832" s="472"/>
    </row>
    <row r="1833" spans="1:25" x14ac:dyDescent="0.25">
      <c r="A1833" s="463"/>
      <c r="B1833" s="507">
        <v>88239</v>
      </c>
      <c r="C1833" s="507"/>
      <c r="D1833" s="508"/>
      <c r="E1833" s="509" t="str">
        <f>IF($C1833="",IFERROR(VLOOKUP($B1833,SERVIÇOS!$B:$G,2,0),IFERROR(VLOOKUP($B1833,$D:$K,2,0),"")),IFERROR(VLOOKUP($C1833,INSUMOS!$A:$D,2,0),IFERROR(VLOOKUP($C1833,COTAÇÕES!$B:$I,2,0),(VLOOKUP($C1833,'INSUMO SINAPI - SP'!$C:$F,2,0)))))</f>
        <v>AJUDANTE DE CARPINTEIRO COM ENCARGOS COMPLEMENTARES</v>
      </c>
      <c r="F1833" s="510" t="str">
        <f>IF($C1833="",IFERROR(VLOOKUP($B1833,SERVIÇOS!$B:$G,3,0),IFERROR(VLOOKUP($B1833,$D:$K,3,0),"")),IFERROR(VLOOKUP($C1833,INSUMOS!$A:$D,3,0),IFERROR(VLOOKUP($C1833,COTAÇÕES!$B:$I,3,0),(VLOOKUP($C1833,'INSUMO SINAPI - SP'!$C:$F,3,0)))))</f>
        <v>H</v>
      </c>
      <c r="G1833" s="511">
        <v>2.6637</v>
      </c>
      <c r="H1833" s="512">
        <f>IF($C1833="",IFERROR(VLOOKUP($B1833,SERVIÇOS!$B:$G,6,0),IFERROR(VLOOKUP($B1833,$D:$K,8,0),"")),IFERROR(VLOOKUP($C1833,INSUMOS!$A:$D,4,0),IFERROR(VLOOKUP($C1833,COTAÇÕES!$B:$I,7,0),(VLOOKUP($C1833,'INSUMO SINAPI - SP'!$C:$F,4,0)))))</f>
        <v>30.08</v>
      </c>
      <c r="I1833" s="513">
        <f>TRUNC(IF($C1833="",IFERROR(VLOOKUP($B1833,SERVIÇOS!$B:$G,4,0),IFERROR(VLOOKUP($B1833,$D:$K,6,0),)),IFERROR(VLOOKUP($C1833,INSUMOS!$A:$D,4,0),IFERROR(VLOOKUP($C1833,COTAÇÕES!$B:$I,7,0),(VLOOKUP($C1833,'INSUMO SINAPI - SP'!$C:$F,4,0)))))*$G1833,2)</f>
        <v>24.15</v>
      </c>
      <c r="J1833" s="513">
        <f>TRUNC(IF($C1833="",IFERROR(VLOOKUP($B1833,SERVIÇOS!$B:$G,5,0),IFERROR(VLOOKUP($B1833,$D:$K,7,0),)),0)*$G1833,2)</f>
        <v>55.96</v>
      </c>
      <c r="K1833" s="514">
        <f t="shared" ref="K1833:K1842" si="66">I1833+J1833</f>
        <v>80.11</v>
      </c>
      <c r="L1833" s="515"/>
      <c r="M1833" s="471"/>
      <c r="Q1833" s="472"/>
      <c r="R1833" s="472"/>
      <c r="S1833" s="472"/>
      <c r="T1833" s="472"/>
      <c r="U1833" s="472"/>
      <c r="V1833" s="472"/>
      <c r="W1833" s="472"/>
      <c r="X1833" s="472"/>
      <c r="Y1833" s="472"/>
    </row>
    <row r="1834" spans="1:25" x14ac:dyDescent="0.25">
      <c r="A1834" s="463"/>
      <c r="B1834" s="507">
        <v>88262</v>
      </c>
      <c r="C1834" s="507"/>
      <c r="D1834" s="508"/>
      <c r="E1834" s="509" t="str">
        <f>IF($C1834="",IFERROR(VLOOKUP($B1834,SERVIÇOS!$B:$G,2,0),IFERROR(VLOOKUP($B1834,$D:$K,2,0),"")),IFERROR(VLOOKUP($C1834,INSUMOS!$A:$D,2,0),IFERROR(VLOOKUP($C1834,COTAÇÕES!$B:$I,2,0),(VLOOKUP($C1834,'INSUMO SINAPI - SP'!$C:$F,2,0)))))</f>
        <v>CARPINTEIRO DE FORMAS COM ENCARGOS COMPLEMENTARES</v>
      </c>
      <c r="F1834" s="510" t="str">
        <f>IF($C1834="",IFERROR(VLOOKUP($B1834,SERVIÇOS!$B:$G,3,0),IFERROR(VLOOKUP($B1834,$D:$K,3,0),"")),IFERROR(VLOOKUP($C1834,INSUMOS!$A:$D,3,0),IFERROR(VLOOKUP($C1834,COTAÇÕES!$B:$I,3,0),(VLOOKUP($C1834,'INSUMO SINAPI - SP'!$C:$F,3,0)))))</f>
        <v>H</v>
      </c>
      <c r="G1834" s="511">
        <v>0.33239999999999997</v>
      </c>
      <c r="H1834" s="512">
        <f>IF($C1834="",IFERROR(VLOOKUP($B1834,SERVIÇOS!$B:$G,6,0),IFERROR(VLOOKUP($B1834,$D:$K,8,0),"")),IFERROR(VLOOKUP($C1834,INSUMOS!$A:$D,4,0),IFERROR(VLOOKUP($C1834,COTAÇÕES!$B:$I,7,0),(VLOOKUP($C1834,'INSUMO SINAPI - SP'!$C:$F,4,0)))))</f>
        <v>36.43</v>
      </c>
      <c r="I1834" s="513">
        <f>TRUNC(IF($C1834="",IFERROR(VLOOKUP($B1834,SERVIÇOS!$B:$G,4,0),IFERROR(VLOOKUP($B1834,$D:$K,6,0),)),IFERROR(VLOOKUP($C1834,INSUMOS!$A:$D,4,0),IFERROR(VLOOKUP($C1834,COTAÇÕES!$B:$I,7,0),(VLOOKUP($C1834,'INSUMO SINAPI - SP'!$C:$F,4,0)))))*$G1834,2)</f>
        <v>3.01</v>
      </c>
      <c r="J1834" s="513">
        <f>TRUNC(IF($C1834="",IFERROR(VLOOKUP($B1834,SERVIÇOS!$B:$G,5,0),IFERROR(VLOOKUP($B1834,$D:$K,7,0),)),0)*$G1834,2)</f>
        <v>9.09</v>
      </c>
      <c r="K1834" s="514">
        <f t="shared" si="66"/>
        <v>12.1</v>
      </c>
      <c r="L1834" s="515"/>
      <c r="M1834" s="471"/>
      <c r="Q1834" s="472"/>
      <c r="R1834" s="472"/>
      <c r="S1834" s="472"/>
      <c r="T1834" s="472"/>
      <c r="U1834" s="472"/>
      <c r="V1834" s="472"/>
      <c r="W1834" s="472"/>
      <c r="X1834" s="472"/>
      <c r="Y1834" s="472"/>
    </row>
    <row r="1835" spans="1:25" ht="24" x14ac:dyDescent="0.25">
      <c r="A1835" s="463"/>
      <c r="B1835" s="507">
        <v>94974</v>
      </c>
      <c r="C1835" s="507"/>
      <c r="D1835" s="508"/>
      <c r="E1835" s="509" t="str">
        <f>IF($C1835="",IFERROR(VLOOKUP($B1835,SERVIÇOS!$B:$G,2,0),IFERROR(VLOOKUP($B1835,$D:$K,2,0),"")),IFERROR(VLOOKUP($C1835,INSUMOS!$A:$D,2,0),IFERROR(VLOOKUP($C1835,COTAÇÕES!$B:$I,2,0),(VLOOKUP($C1835,'INSUMO SINAPI - SP'!$C:$F,2,0)))))</f>
        <v>CONCRETO MAGRO PARA LASTRO, TRAÇO 1:4,5:4,5 (EM MASSA SECA DE CIMENTO/ AREIA MÉDIA/ BRITA 1) - PREPARO MANUAL. AF_05/2021</v>
      </c>
      <c r="F1835" s="510" t="str">
        <f>IF($C1835="",IFERROR(VLOOKUP($B1835,SERVIÇOS!$B:$G,3,0),IFERROR(VLOOKUP($B1835,$D:$K,3,0),"")),IFERROR(VLOOKUP($C1835,INSUMOS!$A:$D,3,0),IFERROR(VLOOKUP($C1835,COTAÇÕES!$B:$I,3,0),(VLOOKUP($C1835,'INSUMO SINAPI - SP'!$C:$F,3,0)))))</f>
        <v>M3</v>
      </c>
      <c r="G1835" s="511">
        <v>0.17530000000000001</v>
      </c>
      <c r="H1835" s="512">
        <f>IF($C1835="",IFERROR(VLOOKUP($B1835,SERVIÇOS!$B:$G,6,0),IFERROR(VLOOKUP($B1835,$D:$K,8,0),"")),IFERROR(VLOOKUP($C1835,INSUMOS!$A:$D,4,0),IFERROR(VLOOKUP($C1835,COTAÇÕES!$B:$I,7,0),(VLOOKUP($C1835,'INSUMO SINAPI - SP'!$C:$F,4,0)))))</f>
        <v>469.04</v>
      </c>
      <c r="I1835" s="513">
        <f>TRUNC(IF($C1835="",IFERROR(VLOOKUP($B1835,SERVIÇOS!$B:$G,4,0),IFERROR(VLOOKUP($B1835,$D:$K,6,0),)),IFERROR(VLOOKUP($C1835,INSUMOS!$A:$D,4,0),IFERROR(VLOOKUP($C1835,COTAÇÕES!$B:$I,7,0),(VLOOKUP($C1835,'INSUMO SINAPI - SP'!$C:$F,4,0)))))*$G1835,2)</f>
        <v>60.71</v>
      </c>
      <c r="J1835" s="513">
        <f>TRUNC(IF($C1835="",IFERROR(VLOOKUP($B1835,SERVIÇOS!$B:$G,5,0),IFERROR(VLOOKUP($B1835,$D:$K,7,0),)),0)*$G1835,2)</f>
        <v>21.5</v>
      </c>
      <c r="K1835" s="514">
        <f t="shared" si="66"/>
        <v>82.210000000000008</v>
      </c>
      <c r="L1835" s="515"/>
      <c r="M1835" s="471"/>
      <c r="Q1835" s="472"/>
      <c r="R1835" s="472"/>
      <c r="S1835" s="472"/>
      <c r="T1835" s="472"/>
      <c r="U1835" s="472"/>
      <c r="V1835" s="472"/>
      <c r="W1835" s="472"/>
      <c r="X1835" s="472"/>
      <c r="Y1835" s="472"/>
    </row>
    <row r="1836" spans="1:25" ht="24" x14ac:dyDescent="0.25">
      <c r="A1836" s="463"/>
      <c r="B1836" s="507">
        <v>91693</v>
      </c>
      <c r="C1836" s="507"/>
      <c r="D1836" s="508"/>
      <c r="E1836" s="509" t="str">
        <f>IF($C1836="",IFERROR(VLOOKUP($B1836,SERVIÇOS!$B:$G,2,0),IFERROR(VLOOKUP($B1836,$D:$K,2,0),"")),IFERROR(VLOOKUP($C1836,INSUMOS!$A:$D,2,0),IFERROR(VLOOKUP($C1836,COTAÇÕES!$B:$I,2,0),(VLOOKUP($C1836,'INSUMO SINAPI - SP'!$C:$F,2,0)))))</f>
        <v>SERRA CIRCULAR DE BANCADA COM MOTOR ELÉTRICO POTÊNCIA DE 5HP, COM COIFA PARA DISCO 10" - CHI DIURNO. AF_08/2015</v>
      </c>
      <c r="F1836" s="510" t="str">
        <f>IF($C1836="",IFERROR(VLOOKUP($B1836,SERVIÇOS!$B:$G,3,0),IFERROR(VLOOKUP($B1836,$D:$K,3,0),"")),IFERROR(VLOOKUP($C1836,INSUMOS!$A:$D,3,0),IFERROR(VLOOKUP($C1836,COTAÇÕES!$B:$I,3,0),(VLOOKUP($C1836,'INSUMO SINAPI - SP'!$C:$F,3,0)))))</f>
        <v>CHI</v>
      </c>
      <c r="G1836" s="511">
        <v>0.19270000000000001</v>
      </c>
      <c r="H1836" s="512">
        <f>IF($C1836="",IFERROR(VLOOKUP($B1836,SERVIÇOS!$B:$G,6,0),IFERROR(VLOOKUP($B1836,$D:$K,8,0),"")),IFERROR(VLOOKUP($C1836,INSUMOS!$A:$D,4,0),IFERROR(VLOOKUP($C1836,COTAÇÕES!$B:$I,7,0),(VLOOKUP($C1836,'INSUMO SINAPI - SP'!$C:$F,4,0)))))</f>
        <v>35.1</v>
      </c>
      <c r="I1836" s="513">
        <f>TRUNC(IF($C1836="",IFERROR(VLOOKUP($B1836,SERVIÇOS!$B:$G,4,0),IFERROR(VLOOKUP($B1836,$D:$K,6,0),)),IFERROR(VLOOKUP($C1836,INSUMOS!$A:$D,4,0),IFERROR(VLOOKUP($C1836,COTAÇÕES!$B:$I,7,0),(VLOOKUP($C1836,'INSUMO SINAPI - SP'!$C:$F,4,0)))))*$G1836,2)</f>
        <v>1.57</v>
      </c>
      <c r="J1836" s="513">
        <f>TRUNC(IF($C1836="",IFERROR(VLOOKUP($B1836,SERVIÇOS!$B:$G,5,0),IFERROR(VLOOKUP($B1836,$D:$K,7,0),)),0)*$G1836,2)</f>
        <v>5.18</v>
      </c>
      <c r="K1836" s="514">
        <f t="shared" si="66"/>
        <v>6.75</v>
      </c>
      <c r="L1836" s="515"/>
      <c r="M1836" s="471"/>
      <c r="Q1836" s="472"/>
      <c r="R1836" s="472"/>
      <c r="S1836" s="472"/>
      <c r="T1836" s="472"/>
      <c r="U1836" s="472"/>
      <c r="V1836" s="472"/>
      <c r="W1836" s="472"/>
      <c r="X1836" s="472"/>
      <c r="Y1836" s="472"/>
    </row>
    <row r="1837" spans="1:25" ht="24" x14ac:dyDescent="0.25">
      <c r="A1837" s="463"/>
      <c r="B1837" s="507">
        <v>91692</v>
      </c>
      <c r="C1837" s="507"/>
      <c r="D1837" s="508"/>
      <c r="E1837" s="509" t="str">
        <f>IF($C1837="",IFERROR(VLOOKUP($B1837,SERVIÇOS!$B:$G,2,0),IFERROR(VLOOKUP($B1837,$D:$K,2,0),"")),IFERROR(VLOOKUP($C1837,INSUMOS!$A:$D,2,0),IFERROR(VLOOKUP($C1837,COTAÇÕES!$B:$I,2,0),(VLOOKUP($C1837,'INSUMO SINAPI - SP'!$C:$F,2,0)))))</f>
        <v>SERRA CIRCULAR DE BANCADA COM MOTOR ELÉTRICO POTÊNCIA DE 5HP, COM COIFA PARA DISCO 10" - CHP DIURNO. AF_08/2015</v>
      </c>
      <c r="F1837" s="510" t="str">
        <f>IF($C1837="",IFERROR(VLOOKUP($B1837,SERVIÇOS!$B:$G,3,0),IFERROR(VLOOKUP($B1837,$D:$K,3,0),"")),IFERROR(VLOOKUP($C1837,INSUMOS!$A:$D,3,0),IFERROR(VLOOKUP($C1837,COTAÇÕES!$B:$I,3,0),(VLOOKUP($C1837,'INSUMO SINAPI - SP'!$C:$F,3,0)))))</f>
        <v>CHP</v>
      </c>
      <c r="G1837" s="511">
        <v>1.4605999999999999</v>
      </c>
      <c r="H1837" s="512">
        <f>IF($C1837="",IFERROR(VLOOKUP($B1837,SERVIÇOS!$B:$G,6,0),IFERROR(VLOOKUP($B1837,$D:$K,8,0),"")),IFERROR(VLOOKUP($C1837,INSUMOS!$A:$D,4,0),IFERROR(VLOOKUP($C1837,COTAÇÕES!$B:$I,7,0),(VLOOKUP($C1837,'INSUMO SINAPI - SP'!$C:$F,4,0)))))</f>
        <v>36.119999999999997</v>
      </c>
      <c r="I1837" s="513">
        <f>TRUNC(IF($C1837="",IFERROR(VLOOKUP($B1837,SERVIÇOS!$B:$G,4,0),IFERROR(VLOOKUP($B1837,$D:$K,6,0),)),IFERROR(VLOOKUP($C1837,INSUMOS!$A:$D,4,0),IFERROR(VLOOKUP($C1837,COTAÇÕES!$B:$I,7,0),(VLOOKUP($C1837,'INSUMO SINAPI - SP'!$C:$F,4,0)))))*$G1837,2)</f>
        <v>13.46</v>
      </c>
      <c r="J1837" s="513">
        <f>TRUNC(IF($C1837="",IFERROR(VLOOKUP($B1837,SERVIÇOS!$B:$G,5,0),IFERROR(VLOOKUP($B1837,$D:$K,7,0),)),0)*$G1837,2)</f>
        <v>39.29</v>
      </c>
      <c r="K1837" s="514">
        <f t="shared" si="66"/>
        <v>52.75</v>
      </c>
      <c r="L1837" s="515"/>
      <c r="M1837" s="471"/>
      <c r="Q1837" s="472"/>
      <c r="R1837" s="472"/>
      <c r="S1837" s="472"/>
      <c r="T1837" s="472"/>
      <c r="U1837" s="472"/>
      <c r="V1837" s="472"/>
      <c r="W1837" s="472"/>
      <c r="X1837" s="472"/>
      <c r="Y1837" s="472"/>
    </row>
    <row r="1838" spans="1:25" ht="24" x14ac:dyDescent="0.25">
      <c r="A1838" s="463"/>
      <c r="B1838" s="507"/>
      <c r="C1838" s="507">
        <v>43681</v>
      </c>
      <c r="D1838" s="508"/>
      <c r="E1838" s="509" t="str">
        <f>IF($C1838="",IFERROR(VLOOKUP($B1838,SERVIÇOS!$B:$G,2,0),IFERROR(VLOOKUP($B1838,$D:$K,2,0),"")),IFERROR(VLOOKUP($C1838,INSUMOS!$A:$D,2,0),IFERROR(VLOOKUP($C1838,COTAÇÕES!$B:$I,2,0),(VLOOKUP($C1838,'INSUMO SINAPI - SP'!$C:$F,2,0)))))</f>
        <v>CHAPA/PAINEL DE MADEIRA COMPENSADA RESINADA (MADEIRITE RESINADO ROSA) PARA FORMA DE CONCRETO, DE 2200 X 1100 MM, E = 8 A 12 MM</v>
      </c>
      <c r="F1838" s="510" t="str">
        <f>IF($C1838="",IFERROR(VLOOKUP($B1838,SERVIÇOS!$B:$G,3,0),IFERROR(VLOOKUP($B1838,$D:$K,3,0),"")),IFERROR(VLOOKUP($C1838,INSUMOS!$A:$D,3,0),IFERROR(VLOOKUP($C1838,COTAÇÕES!$B:$I,3,0),(VLOOKUP($C1838,'INSUMO SINAPI - SP'!$C:$F,3,0)))))</f>
        <v>M2</v>
      </c>
      <c r="G1838" s="511">
        <f>13.3167/2</f>
        <v>6.6583500000000004</v>
      </c>
      <c r="H1838" s="512">
        <f>IF($C1838="",IFERROR(VLOOKUP($B1838,SERVIÇOS!$B:$G,6,0),IFERROR(VLOOKUP($B1838,$D:$K,8,0),"")),IFERROR(VLOOKUP($C1838,INSUMOS!$A:$D,4,0),IFERROR(VLOOKUP($C1838,COTAÇÕES!$B:$I,7,0),(VLOOKUP($C1838,'INSUMO SINAPI - SP'!$C:$F,4,0)))))</f>
        <v>27.89</v>
      </c>
      <c r="I1838" s="513">
        <f>TRUNC(IF($C1838="",IFERROR(VLOOKUP($B1838,SERVIÇOS!$B:$G,4,0),IFERROR(VLOOKUP($B1838,$D:$K,6,0),)),IFERROR(VLOOKUP($C1838,INSUMOS!$A:$D,4,0),IFERROR(VLOOKUP($C1838,COTAÇÕES!$B:$I,7,0),(VLOOKUP($C1838,'INSUMO SINAPI - SP'!$C:$F,4,0)))))*$G1838,2)</f>
        <v>185.7</v>
      </c>
      <c r="J1838" s="513">
        <f>TRUNC(IF($C1838="",IFERROR(VLOOKUP($B1838,SERVIÇOS!$B:$G,5,0),IFERROR(VLOOKUP($B1838,$D:$K,7,0),)),0)*$G1838,2)</f>
        <v>0</v>
      </c>
      <c r="K1838" s="514">
        <f t="shared" si="66"/>
        <v>185.7</v>
      </c>
      <c r="L1838" s="517"/>
      <c r="M1838" s="471"/>
      <c r="Q1838" s="472"/>
      <c r="R1838" s="472"/>
      <c r="S1838" s="472"/>
      <c r="T1838" s="472"/>
      <c r="U1838" s="472"/>
      <c r="V1838" s="472"/>
      <c r="W1838" s="472"/>
      <c r="X1838" s="472"/>
      <c r="Y1838" s="472"/>
    </row>
    <row r="1839" spans="1:25" ht="24" x14ac:dyDescent="0.25">
      <c r="A1839" s="463"/>
      <c r="B1839" s="507"/>
      <c r="C1839" s="507" t="s">
        <v>13508</v>
      </c>
      <c r="D1839" s="508"/>
      <c r="E1839" s="509" t="str">
        <f>IF($C1839="",IFERROR(VLOOKUP($B1839,SERVIÇOS!$B:$G,2,0),IFERROR(VLOOKUP($B1839,$D:$K,2,0),"")),IFERROR(VLOOKUP($C1839,INSUMOS!$A:$D,2,0),IFERROR(VLOOKUP($C1839,COTAÇÕES!$B:$I,2,0),(VLOOKUP($C1839,'INSUMO SINAPI - SP'!$C:$F,2,0)))))</f>
        <v>TELHA TRAPEZOIDAL EM ACO ZINCADO, SEM PINTURA, ALTURA DE APROXIMADAMENTE 40 MM, ESPESSURA DE 0,50 MM E LARGURA UTIL DE 980 MM</v>
      </c>
      <c r="F1839" s="510" t="str">
        <f>IF($C1839="",IFERROR(VLOOKUP($B1839,SERVIÇOS!$B:$G,3,0),IFERROR(VLOOKUP($B1839,$D:$K,3,0),"")),IFERROR(VLOOKUP($C1839,INSUMOS!$A:$D,3,0),IFERROR(VLOOKUP($C1839,COTAÇÕES!$B:$I,3,0),(VLOOKUP($C1839,'INSUMO SINAPI - SP'!$C:$F,3,0)))))</f>
        <v>M2</v>
      </c>
      <c r="G1839" s="511">
        <f>13.3167/2/1.056/5</f>
        <v>1.2610511363636365</v>
      </c>
      <c r="H1839" s="512">
        <f>IF($C1839="",IFERROR(VLOOKUP($B1839,SERVIÇOS!$B:$G,6,0),IFERROR(VLOOKUP($B1839,$D:$K,8,0),"")),IFERROR(VLOOKUP($C1839,INSUMOS!$A:$D,4,0),IFERROR(VLOOKUP($C1839,COTAÇÕES!$B:$I,7,0),(VLOOKUP($C1839,'INSUMO SINAPI - SP'!$C:$F,4,0)))))</f>
        <v>50.74</v>
      </c>
      <c r="I1839" s="513">
        <f>TRUNC(IF($C1839="",IFERROR(VLOOKUP($B1839,SERVIÇOS!$B:$G,4,0),IFERROR(VLOOKUP($B1839,$D:$K,6,0),)),IFERROR(VLOOKUP($C1839,INSUMOS!$A:$D,4,0),IFERROR(VLOOKUP($C1839,COTAÇÕES!$B:$I,7,0),(VLOOKUP($C1839,'INSUMO SINAPI - SP'!$C:$F,4,0)))))*$G1839,2)</f>
        <v>63.98</v>
      </c>
      <c r="J1839" s="513"/>
      <c r="K1839" s="514">
        <f t="shared" si="66"/>
        <v>63.98</v>
      </c>
      <c r="L1839" s="515" t="s">
        <v>12685</v>
      </c>
      <c r="M1839" s="471"/>
      <c r="Q1839" s="472"/>
      <c r="R1839" s="472"/>
      <c r="S1839" s="472"/>
      <c r="T1839" s="472"/>
      <c r="U1839" s="472"/>
      <c r="V1839" s="472"/>
      <c r="W1839" s="472"/>
      <c r="X1839" s="472"/>
      <c r="Y1839" s="472"/>
    </row>
    <row r="1840" spans="1:25" x14ac:dyDescent="0.25">
      <c r="A1840" s="463"/>
      <c r="B1840" s="507"/>
      <c r="C1840" s="507">
        <v>4491</v>
      </c>
      <c r="D1840" s="508"/>
      <c r="E1840" s="509" t="str">
        <f>IF($C1840="",IFERROR(VLOOKUP($B1840,SERVIÇOS!$B:$G,2,0),IFERROR(VLOOKUP($B1840,$D:$K,2,0),"")),IFERROR(VLOOKUP($C1840,INSUMOS!$A:$D,2,0),IFERROR(VLOOKUP($C1840,COTAÇÕES!$B:$I,2,0),(VLOOKUP($C1840,'INSUMO SINAPI - SP'!$C:$F,2,0)))))</f>
        <v>PONTALETE *7,5 X 7,5* CM EM PINUS, MISTA OU EQUIVALENTE DA REGIAO - BRUTA</v>
      </c>
      <c r="F1840" s="510" t="str">
        <f>IF($C1840="",IFERROR(VLOOKUP($B1840,SERVIÇOS!$B:$G,3,0),IFERROR(VLOOKUP($B1840,$D:$K,3,0),"")),IFERROR(VLOOKUP($C1840,INSUMOS!$A:$D,3,0),IFERROR(VLOOKUP($C1840,COTAÇÕES!$B:$I,3,0),(VLOOKUP($C1840,'INSUMO SINAPI - SP'!$C:$F,3,0)))))</f>
        <v>M</v>
      </c>
      <c r="G1840" s="511">
        <v>6.7664999999999997</v>
      </c>
      <c r="H1840" s="512">
        <f>IF($C1840="",IFERROR(VLOOKUP($B1840,SERVIÇOS!$B:$G,6,0),IFERROR(VLOOKUP($B1840,$D:$K,8,0),"")),IFERROR(VLOOKUP($C1840,INSUMOS!$A:$D,4,0),IFERROR(VLOOKUP($C1840,COTAÇÕES!$B:$I,7,0),(VLOOKUP($C1840,'INSUMO SINAPI - SP'!$C:$F,4,0)))))</f>
        <v>6.99</v>
      </c>
      <c r="I1840" s="513">
        <f>TRUNC(IF($C1840="",IFERROR(VLOOKUP($B1840,SERVIÇOS!$B:$G,4,0),IFERROR(VLOOKUP($B1840,$D:$K,6,0),)),IFERROR(VLOOKUP($C1840,INSUMOS!$A:$D,4,0),IFERROR(VLOOKUP($C1840,COTAÇÕES!$B:$I,7,0),(VLOOKUP($C1840,'INSUMO SINAPI - SP'!$C:$F,4,0)))))*$G1840,2)</f>
        <v>47.29</v>
      </c>
      <c r="J1840" s="513">
        <f>TRUNC(IF($C1840="",IFERROR(VLOOKUP($B1840,SERVIÇOS!$B:$G,5,0),IFERROR(VLOOKUP($B1840,$D:$K,7,0),)),0)*$G1840,2)</f>
        <v>0</v>
      </c>
      <c r="K1840" s="514">
        <f t="shared" si="66"/>
        <v>47.29</v>
      </c>
      <c r="L1840" s="517"/>
      <c r="M1840" s="471"/>
      <c r="Q1840" s="472"/>
      <c r="R1840" s="472"/>
      <c r="S1840" s="472"/>
      <c r="T1840" s="472"/>
      <c r="U1840" s="472"/>
      <c r="V1840" s="472"/>
      <c r="W1840" s="472"/>
      <c r="X1840" s="472"/>
      <c r="Y1840" s="472"/>
    </row>
    <row r="1841" spans="1:25" x14ac:dyDescent="0.25">
      <c r="A1841" s="463"/>
      <c r="B1841" s="507"/>
      <c r="C1841" s="507">
        <v>5061</v>
      </c>
      <c r="D1841" s="508"/>
      <c r="E1841" s="509" t="str">
        <f>IF($C1841="",IFERROR(VLOOKUP($B1841,SERVIÇOS!$B:$G,2,0),IFERROR(VLOOKUP($B1841,$D:$K,2,0),"")),IFERROR(VLOOKUP($C1841,INSUMOS!$A:$D,2,0),IFERROR(VLOOKUP($C1841,COTAÇÕES!$B:$I,2,0),(VLOOKUP($C1841,'INSUMO SINAPI - SP'!$C:$F,2,0)))))</f>
        <v>PREGO DE ACO POLIDO COM CABECA 18 X 27 (2 1/2 X 10)</v>
      </c>
      <c r="F1841" s="510" t="str">
        <f>IF($C1841="",IFERROR(VLOOKUP($B1841,SERVIÇOS!$B:$G,3,0),IFERROR(VLOOKUP($B1841,$D:$K,3,0),"")),IFERROR(VLOOKUP($C1841,INSUMOS!$A:$D,3,0),IFERROR(VLOOKUP($C1841,COTAÇÕES!$B:$I,3,0),(VLOOKUP($C1841,'INSUMO SINAPI - SP'!$C:$F,3,0)))))</f>
        <v>KG</v>
      </c>
      <c r="G1841" s="511">
        <v>7.7183000000000002</v>
      </c>
      <c r="H1841" s="512">
        <f>IF($C1841="",IFERROR(VLOOKUP($B1841,SERVIÇOS!$B:$G,6,0),IFERROR(VLOOKUP($B1841,$D:$K,8,0),"")),IFERROR(VLOOKUP($C1841,INSUMOS!$A:$D,4,0),IFERROR(VLOOKUP($C1841,COTAÇÕES!$B:$I,7,0),(VLOOKUP($C1841,'INSUMO SINAPI - SP'!$C:$F,4,0)))))</f>
        <v>15.8</v>
      </c>
      <c r="I1841" s="513">
        <f>TRUNC(IF($C1841="",IFERROR(VLOOKUP($B1841,SERVIÇOS!$B:$G,4,0),IFERROR(VLOOKUP($B1841,$D:$K,6,0),)),IFERROR(VLOOKUP($C1841,INSUMOS!$A:$D,4,0),IFERROR(VLOOKUP($C1841,COTAÇÕES!$B:$I,7,0),(VLOOKUP($C1841,'INSUMO SINAPI - SP'!$C:$F,4,0)))))*$G1841,2)</f>
        <v>121.94</v>
      </c>
      <c r="J1841" s="513">
        <f>TRUNC(IF($C1841="",IFERROR(VLOOKUP($B1841,SERVIÇOS!$B:$G,5,0),IFERROR(VLOOKUP($B1841,$D:$K,7,0),)),0)*$G1841,2)</f>
        <v>0</v>
      </c>
      <c r="K1841" s="514">
        <f t="shared" si="66"/>
        <v>121.94</v>
      </c>
      <c r="L1841" s="517"/>
      <c r="M1841" s="471"/>
      <c r="Q1841" s="472"/>
      <c r="R1841" s="472"/>
      <c r="S1841" s="472"/>
      <c r="T1841" s="472"/>
      <c r="U1841" s="472"/>
      <c r="V1841" s="472"/>
      <c r="W1841" s="472"/>
      <c r="X1841" s="472"/>
      <c r="Y1841" s="472"/>
    </row>
    <row r="1842" spans="1:25" x14ac:dyDescent="0.25">
      <c r="A1842" s="463"/>
      <c r="B1842" s="507"/>
      <c r="C1842" s="507">
        <v>6194</v>
      </c>
      <c r="D1842" s="508"/>
      <c r="E1842" s="509" t="str">
        <f>IF($C1842="",IFERROR(VLOOKUP($B1842,SERVIÇOS!$B:$G,2,0),IFERROR(VLOOKUP($B1842,$D:$K,2,0),"")),IFERROR(VLOOKUP($C1842,INSUMOS!$A:$D,2,0),IFERROR(VLOOKUP($C1842,COTAÇÕES!$B:$I,2,0),(VLOOKUP($C1842,'INSUMO SINAPI - SP'!$C:$F,2,0)))))</f>
        <v>TABUA *2,5 X 15 CM EM PINUS, MISTA OU EQUIVALENTE DA REGIAO - BRUTA</v>
      </c>
      <c r="F1842" s="510" t="str">
        <f>IF($C1842="",IFERROR(VLOOKUP($B1842,SERVIÇOS!$B:$G,3,0),IFERROR(VLOOKUP($B1842,$D:$K,3,0),"")),IFERROR(VLOOKUP($C1842,INSUMOS!$A:$D,3,0),IFERROR(VLOOKUP($C1842,COTAÇÕES!$B:$I,3,0),(VLOOKUP($C1842,'INSUMO SINAPI - SP'!$C:$F,3,0)))))</f>
        <v>M</v>
      </c>
      <c r="G1842" s="511">
        <v>20.357600000000001</v>
      </c>
      <c r="H1842" s="512">
        <f>IF($C1842="",IFERROR(VLOOKUP($B1842,SERVIÇOS!$B:$G,6,0),IFERROR(VLOOKUP($B1842,$D:$K,8,0),"")),IFERROR(VLOOKUP($C1842,INSUMOS!$A:$D,4,0),IFERROR(VLOOKUP($C1842,COTAÇÕES!$B:$I,7,0),(VLOOKUP($C1842,'INSUMO SINAPI - SP'!$C:$F,4,0)))))</f>
        <v>4.99</v>
      </c>
      <c r="I1842" s="513">
        <f>TRUNC(IF($C1842="",IFERROR(VLOOKUP($B1842,SERVIÇOS!$B:$G,4,0),IFERROR(VLOOKUP($B1842,$D:$K,6,0),)),IFERROR(VLOOKUP($C1842,INSUMOS!$A:$D,4,0),IFERROR(VLOOKUP($C1842,COTAÇÕES!$B:$I,7,0),(VLOOKUP($C1842,'INSUMO SINAPI - SP'!$C:$F,4,0)))))*$G1842,2)</f>
        <v>101.58</v>
      </c>
      <c r="J1842" s="513">
        <f>TRUNC(IF($C1842="",IFERROR(VLOOKUP($B1842,SERVIÇOS!$B:$G,5,0),IFERROR(VLOOKUP($B1842,$D:$K,7,0),)),0)*$G1842,2)</f>
        <v>0</v>
      </c>
      <c r="K1842" s="514">
        <f t="shared" si="66"/>
        <v>101.58</v>
      </c>
      <c r="L1842" s="517"/>
      <c r="M1842" s="471"/>
      <c r="Q1842" s="472"/>
      <c r="R1842" s="472"/>
      <c r="S1842" s="472"/>
      <c r="T1842" s="472"/>
      <c r="U1842" s="472"/>
      <c r="V1842" s="472"/>
      <c r="W1842" s="472"/>
      <c r="X1842" s="472"/>
      <c r="Y1842" s="472"/>
    </row>
    <row r="1843" spans="1:25" ht="24" x14ac:dyDescent="0.25">
      <c r="A1843" s="463"/>
      <c r="B1843" s="498"/>
      <c r="C1843" s="498"/>
      <c r="D1843" s="499" t="s">
        <v>13509</v>
      </c>
      <c r="E1843" s="500" t="s">
        <v>13507</v>
      </c>
      <c r="F1843" s="501" t="s">
        <v>578</v>
      </c>
      <c r="G1843" s="502"/>
      <c r="H1843" s="503"/>
      <c r="I1843" s="504">
        <f>SUM(I1844:I1852)</f>
        <v>84.649999999999991</v>
      </c>
      <c r="J1843" s="504">
        <f>SUM(J1844:J1852)</f>
        <v>66.680000000000007</v>
      </c>
      <c r="K1843" s="504">
        <f>+J1843+I1843</f>
        <v>151.32999999999998</v>
      </c>
      <c r="L1843" s="523"/>
      <c r="M1843" s="471"/>
      <c r="Q1843" s="472"/>
      <c r="R1843" s="472"/>
      <c r="S1843" s="472"/>
      <c r="T1843" s="472"/>
      <c r="U1843" s="472"/>
      <c r="V1843" s="472"/>
      <c r="W1843" s="472"/>
      <c r="X1843" s="472"/>
      <c r="Y1843" s="472"/>
    </row>
    <row r="1844" spans="1:25" x14ac:dyDescent="0.25">
      <c r="A1844" s="463"/>
      <c r="B1844" s="507">
        <v>88239</v>
      </c>
      <c r="C1844" s="507"/>
      <c r="D1844" s="508"/>
      <c r="E1844" s="509" t="str">
        <f>IF($C1844="",IFERROR(VLOOKUP($B1844,SERVIÇOS!$B:$G,2,0),IFERROR(VLOOKUP($B1844,$D:$K,2,0),"")),IFERROR(VLOOKUP($C1844,INSUMOS!$A:$D,2,0),IFERROR(VLOOKUP($C1844,COTAÇÕES!$B:$I,2,0),(VLOOKUP($C1844,'INSUMO SINAPI - SP'!$C:$F,2,0)))))</f>
        <v>AJUDANTE DE CARPINTEIRO COM ENCARGOS COMPLEMENTARES</v>
      </c>
      <c r="F1844" s="510" t="str">
        <f>IF($C1844="",IFERROR(VLOOKUP($B1844,SERVIÇOS!$B:$G,3,0),IFERROR(VLOOKUP($B1844,$D:$K,3,0),"")),IFERROR(VLOOKUP($C1844,INSUMOS!$A:$D,3,0),IFERROR(VLOOKUP($C1844,COTAÇÕES!$B:$I,3,0),(VLOOKUP($C1844,'INSUMO SINAPI - SP'!$C:$F,3,0)))))</f>
        <v>H</v>
      </c>
      <c r="G1844" s="511">
        <v>0.995</v>
      </c>
      <c r="H1844" s="512">
        <f>IF($C1844="",IFERROR(VLOOKUP($B1844,SERVIÇOS!$B:$G,6,0),IFERROR(VLOOKUP($B1844,$D:$K,8,0),"")),IFERROR(VLOOKUP($C1844,INSUMOS!$A:$D,4,0),IFERROR(VLOOKUP($C1844,COTAÇÕES!$B:$I,7,0),(VLOOKUP($C1844,'INSUMO SINAPI - SP'!$C:$F,4,0)))))</f>
        <v>30.08</v>
      </c>
      <c r="I1844" s="513">
        <f>TRUNC(IF($C1844="",IFERROR(VLOOKUP($B1844,SERVIÇOS!$B:$G,4,0),IFERROR(VLOOKUP($B1844,$D:$K,6,0),)),IFERROR(VLOOKUP($C1844,INSUMOS!$A:$D,4,0),IFERROR(VLOOKUP($C1844,COTAÇÕES!$B:$I,7,0),(VLOOKUP($C1844,'INSUMO SINAPI - SP'!$C:$F,4,0)))))*$G1844,2)</f>
        <v>9.02</v>
      </c>
      <c r="J1844" s="513">
        <f>TRUNC(IF($C1844="",IFERROR(VLOOKUP($B1844,SERVIÇOS!$B:$G,5,0),IFERROR(VLOOKUP($B1844,$D:$K,7,0),)),0)*$G1844,2)</f>
        <v>20.9</v>
      </c>
      <c r="K1844" s="514">
        <f t="shared" ref="K1844:K1852" si="67">I1844+J1844</f>
        <v>29.919999999999998</v>
      </c>
      <c r="L1844" s="515"/>
      <c r="M1844" s="471"/>
      <c r="Q1844" s="472"/>
      <c r="R1844" s="472"/>
      <c r="S1844" s="472"/>
      <c r="T1844" s="472"/>
      <c r="U1844" s="472"/>
      <c r="V1844" s="472"/>
      <c r="W1844" s="472"/>
      <c r="X1844" s="472"/>
      <c r="Y1844" s="472"/>
    </row>
    <row r="1845" spans="1:25" x14ac:dyDescent="0.25">
      <c r="A1845" s="463"/>
      <c r="B1845" s="507">
        <v>88262</v>
      </c>
      <c r="C1845" s="507"/>
      <c r="D1845" s="508"/>
      <c r="E1845" s="509" t="str">
        <f>IF($C1845="",IFERROR(VLOOKUP($B1845,SERVIÇOS!$B:$G,2,0),IFERROR(VLOOKUP($B1845,$D:$K,2,0),"")),IFERROR(VLOOKUP($C1845,INSUMOS!$A:$D,2,0),IFERROR(VLOOKUP($C1845,COTAÇÕES!$B:$I,2,0),(VLOOKUP($C1845,'INSUMO SINAPI - SP'!$C:$F,2,0)))))</f>
        <v>CARPINTEIRO DE FORMAS COM ENCARGOS COMPLEMENTARES</v>
      </c>
      <c r="F1845" s="510" t="str">
        <f>IF($C1845="",IFERROR(VLOOKUP($B1845,SERVIÇOS!$B:$G,3,0),IFERROR(VLOOKUP($B1845,$D:$K,3,0),"")),IFERROR(VLOOKUP($C1845,INSUMOS!$A:$D,3,0),IFERROR(VLOOKUP($C1845,COTAÇÕES!$B:$I,3,0),(VLOOKUP($C1845,'INSUMO SINAPI - SP'!$C:$F,3,0)))))</f>
        <v>H</v>
      </c>
      <c r="G1845" s="511">
        <v>1.4750000000000001</v>
      </c>
      <c r="H1845" s="512">
        <f>IF($C1845="",IFERROR(VLOOKUP($B1845,SERVIÇOS!$B:$G,6,0),IFERROR(VLOOKUP($B1845,$D:$K,8,0),"")),IFERROR(VLOOKUP($C1845,INSUMOS!$A:$D,4,0),IFERROR(VLOOKUP($C1845,COTAÇÕES!$B:$I,7,0),(VLOOKUP($C1845,'INSUMO SINAPI - SP'!$C:$F,4,0)))))</f>
        <v>36.43</v>
      </c>
      <c r="I1845" s="513">
        <f>TRUNC(IF($C1845="",IFERROR(VLOOKUP($B1845,SERVIÇOS!$B:$G,4,0),IFERROR(VLOOKUP($B1845,$D:$K,6,0),)),IFERROR(VLOOKUP($C1845,INSUMOS!$A:$D,4,0),IFERROR(VLOOKUP($C1845,COTAÇÕES!$B:$I,7,0),(VLOOKUP($C1845,'INSUMO SINAPI - SP'!$C:$F,4,0)))))*$G1845,2)</f>
        <v>13.37</v>
      </c>
      <c r="J1845" s="513">
        <f>TRUNC(IF($C1845="",IFERROR(VLOOKUP($B1845,SERVIÇOS!$B:$G,5,0),IFERROR(VLOOKUP($B1845,$D:$K,7,0),)),0)*$G1845,2)</f>
        <v>40.35</v>
      </c>
      <c r="K1845" s="514">
        <f t="shared" si="67"/>
        <v>53.72</v>
      </c>
      <c r="L1845" s="515"/>
      <c r="M1845" s="471"/>
      <c r="Q1845" s="472"/>
      <c r="R1845" s="472"/>
      <c r="S1845" s="472"/>
      <c r="T1845" s="472"/>
      <c r="U1845" s="472"/>
      <c r="V1845" s="472"/>
      <c r="W1845" s="472"/>
      <c r="X1845" s="472"/>
      <c r="Y1845" s="472"/>
    </row>
    <row r="1846" spans="1:25" ht="24" x14ac:dyDescent="0.25">
      <c r="A1846" s="463"/>
      <c r="B1846" s="507">
        <v>94974</v>
      </c>
      <c r="C1846" s="507"/>
      <c r="D1846" s="508"/>
      <c r="E1846" s="509" t="str">
        <f>IF($C1846="",IFERROR(VLOOKUP($B1846,SERVIÇOS!$B:$G,2,0),IFERROR(VLOOKUP($B1846,$D:$K,2,0),"")),IFERROR(VLOOKUP($C1846,INSUMOS!$A:$D,2,0),IFERROR(VLOOKUP($C1846,COTAÇÕES!$B:$I,2,0),(VLOOKUP($C1846,'INSUMO SINAPI - SP'!$C:$F,2,0)))))</f>
        <v>CONCRETO MAGRO PARA LASTRO, TRAÇO 1:4,5:4,5 (EM MASSA SECA DE CIMENTO/ AREIA MÉDIA/ BRITA 1) - PREPARO MANUAL. AF_05/2021</v>
      </c>
      <c r="F1846" s="510" t="str">
        <f>IF($C1846="",IFERROR(VLOOKUP($B1846,SERVIÇOS!$B:$G,3,0),IFERROR(VLOOKUP($B1846,$D:$K,3,0),"")),IFERROR(VLOOKUP($C1846,INSUMOS!$A:$D,3,0),IFERROR(VLOOKUP($C1846,COTAÇÕES!$B:$I,3,0),(VLOOKUP($C1846,'INSUMO SINAPI - SP'!$C:$F,3,0)))))</f>
        <v>M3</v>
      </c>
      <c r="G1846" s="511">
        <v>6.1999999999999998E-3</v>
      </c>
      <c r="H1846" s="512">
        <f>IF($C1846="",IFERROR(VLOOKUP($B1846,SERVIÇOS!$B:$G,6,0),IFERROR(VLOOKUP($B1846,$D:$K,8,0),"")),IFERROR(VLOOKUP($C1846,INSUMOS!$A:$D,4,0),IFERROR(VLOOKUP($C1846,COTAÇÕES!$B:$I,7,0),(VLOOKUP($C1846,'INSUMO SINAPI - SP'!$C:$F,4,0)))))</f>
        <v>469.04</v>
      </c>
      <c r="I1846" s="513">
        <f>TRUNC(IF($C1846="",IFERROR(VLOOKUP($B1846,SERVIÇOS!$B:$G,4,0),IFERROR(VLOOKUP($B1846,$D:$K,6,0),)),IFERROR(VLOOKUP($C1846,INSUMOS!$A:$D,4,0),IFERROR(VLOOKUP($C1846,COTAÇÕES!$B:$I,7,0),(VLOOKUP($C1846,'INSUMO SINAPI - SP'!$C:$F,4,0)))))*$G1846,2)</f>
        <v>2.14</v>
      </c>
      <c r="J1846" s="513">
        <f>TRUNC(IF($C1846="",IFERROR(VLOOKUP($B1846,SERVIÇOS!$B:$G,5,0),IFERROR(VLOOKUP($B1846,$D:$K,7,0),)),0)*$G1846,2)</f>
        <v>0.76</v>
      </c>
      <c r="K1846" s="514">
        <f t="shared" si="67"/>
        <v>2.9000000000000004</v>
      </c>
      <c r="L1846" s="515"/>
      <c r="M1846" s="471"/>
      <c r="Q1846" s="472"/>
      <c r="R1846" s="472"/>
      <c r="S1846" s="472"/>
      <c r="T1846" s="472"/>
      <c r="U1846" s="472"/>
      <c r="V1846" s="472"/>
      <c r="W1846" s="472"/>
      <c r="X1846" s="472"/>
      <c r="Y1846" s="472"/>
    </row>
    <row r="1847" spans="1:25" ht="24" x14ac:dyDescent="0.25">
      <c r="A1847" s="463"/>
      <c r="B1847" s="507">
        <v>91693</v>
      </c>
      <c r="C1847" s="507"/>
      <c r="D1847" s="508"/>
      <c r="E1847" s="509" t="str">
        <f>IF($C1847="",IFERROR(VLOOKUP($B1847,SERVIÇOS!$B:$G,2,0),IFERROR(VLOOKUP($B1847,$D:$K,2,0),"")),IFERROR(VLOOKUP($C1847,INSUMOS!$A:$D,2,0),IFERROR(VLOOKUP($C1847,COTAÇÕES!$B:$I,2,0),(VLOOKUP($C1847,'INSUMO SINAPI - SP'!$C:$F,2,0)))))</f>
        <v>SERRA CIRCULAR DE BANCADA COM MOTOR ELÉTRICO POTÊNCIA DE 5HP, COM COIFA PARA DISCO 10" - CHI DIURNO. AF_08/2015</v>
      </c>
      <c r="F1847" s="510" t="str">
        <f>IF($C1847="",IFERROR(VLOOKUP($B1847,SERVIÇOS!$B:$G,3,0),IFERROR(VLOOKUP($B1847,$D:$K,3,0),"")),IFERROR(VLOOKUP($C1847,INSUMOS!$A:$D,3,0),IFERROR(VLOOKUP($C1847,COTAÇÕES!$B:$I,3,0),(VLOOKUP($C1847,'INSUMO SINAPI - SP'!$C:$F,3,0)))))</f>
        <v>CHI</v>
      </c>
      <c r="G1847" s="511">
        <v>0.1391</v>
      </c>
      <c r="H1847" s="512">
        <f>IF($C1847="",IFERROR(VLOOKUP($B1847,SERVIÇOS!$B:$G,6,0),IFERROR(VLOOKUP($B1847,$D:$K,8,0),"")),IFERROR(VLOOKUP($C1847,INSUMOS!$A:$D,4,0),IFERROR(VLOOKUP($C1847,COTAÇÕES!$B:$I,7,0),(VLOOKUP($C1847,'INSUMO SINAPI - SP'!$C:$F,4,0)))))</f>
        <v>35.1</v>
      </c>
      <c r="I1847" s="513">
        <f>TRUNC(IF($C1847="",IFERROR(VLOOKUP($B1847,SERVIÇOS!$B:$G,4,0),IFERROR(VLOOKUP($B1847,$D:$K,6,0),)),IFERROR(VLOOKUP($C1847,INSUMOS!$A:$D,4,0),IFERROR(VLOOKUP($C1847,COTAÇÕES!$B:$I,7,0),(VLOOKUP($C1847,'INSUMO SINAPI - SP'!$C:$F,4,0)))))*$G1847,2)</f>
        <v>1.1299999999999999</v>
      </c>
      <c r="J1847" s="513">
        <f>TRUNC(IF($C1847="",IFERROR(VLOOKUP($B1847,SERVIÇOS!$B:$G,5,0),IFERROR(VLOOKUP($B1847,$D:$K,7,0),)),0)*$G1847,2)</f>
        <v>3.74</v>
      </c>
      <c r="K1847" s="514">
        <f t="shared" si="67"/>
        <v>4.87</v>
      </c>
      <c r="L1847" s="515"/>
      <c r="M1847" s="471"/>
      <c r="Q1847" s="472"/>
      <c r="R1847" s="472"/>
      <c r="S1847" s="472"/>
      <c r="T1847" s="472"/>
      <c r="U1847" s="472"/>
      <c r="V1847" s="472"/>
      <c r="W1847" s="472"/>
      <c r="X1847" s="472"/>
      <c r="Y1847" s="472"/>
    </row>
    <row r="1848" spans="1:25" ht="24" x14ac:dyDescent="0.25">
      <c r="A1848" s="463"/>
      <c r="B1848" s="507">
        <v>91692</v>
      </c>
      <c r="C1848" s="507"/>
      <c r="D1848" s="508"/>
      <c r="E1848" s="509" t="str">
        <f>IF($C1848="",IFERROR(VLOOKUP($B1848,SERVIÇOS!$B:$G,2,0),IFERROR(VLOOKUP($B1848,$D:$K,2,0),"")),IFERROR(VLOOKUP($C1848,INSUMOS!$A:$D,2,0),IFERROR(VLOOKUP($C1848,COTAÇÕES!$B:$I,2,0),(VLOOKUP($C1848,'INSUMO SINAPI - SP'!$C:$F,2,0)))))</f>
        <v>SERRA CIRCULAR DE BANCADA COM MOTOR ELÉTRICO POTÊNCIA DE 5HP, COM COIFA PARA DISCO 10" - CHP DIURNO. AF_08/2015</v>
      </c>
      <c r="F1848" s="510" t="str">
        <f>IF($C1848="",IFERROR(VLOOKUP($B1848,SERVIÇOS!$B:$G,3,0),IFERROR(VLOOKUP($B1848,$D:$K,3,0),"")),IFERROR(VLOOKUP($C1848,INSUMOS!$A:$D,3,0),IFERROR(VLOOKUP($C1848,COTAÇÕES!$B:$I,3,0),(VLOOKUP($C1848,'INSUMO SINAPI - SP'!$C:$F,3,0)))))</f>
        <v>CHP</v>
      </c>
      <c r="G1848" s="511">
        <v>3.4599999999999999E-2</v>
      </c>
      <c r="H1848" s="512">
        <f>IF($C1848="",IFERROR(VLOOKUP($B1848,SERVIÇOS!$B:$G,6,0),IFERROR(VLOOKUP($B1848,$D:$K,8,0),"")),IFERROR(VLOOKUP($C1848,INSUMOS!$A:$D,4,0),IFERROR(VLOOKUP($C1848,COTAÇÕES!$B:$I,7,0),(VLOOKUP($C1848,'INSUMO SINAPI - SP'!$C:$F,4,0)))))</f>
        <v>36.119999999999997</v>
      </c>
      <c r="I1848" s="513">
        <f>TRUNC(IF($C1848="",IFERROR(VLOOKUP($B1848,SERVIÇOS!$B:$G,4,0),IFERROR(VLOOKUP($B1848,$D:$K,6,0),)),IFERROR(VLOOKUP($C1848,INSUMOS!$A:$D,4,0),IFERROR(VLOOKUP($C1848,COTAÇÕES!$B:$I,7,0),(VLOOKUP($C1848,'INSUMO SINAPI - SP'!$C:$F,4,0)))))*$G1848,2)</f>
        <v>0.31</v>
      </c>
      <c r="J1848" s="513">
        <f>TRUNC(IF($C1848="",IFERROR(VLOOKUP($B1848,SERVIÇOS!$B:$G,5,0),IFERROR(VLOOKUP($B1848,$D:$K,7,0),)),0)*$G1848,2)</f>
        <v>0.93</v>
      </c>
      <c r="K1848" s="514">
        <f t="shared" si="67"/>
        <v>1.24</v>
      </c>
      <c r="L1848" s="515"/>
      <c r="M1848" s="471"/>
      <c r="Q1848" s="472"/>
      <c r="R1848" s="472"/>
      <c r="S1848" s="472"/>
      <c r="T1848" s="472"/>
      <c r="U1848" s="472"/>
      <c r="V1848" s="472"/>
      <c r="W1848" s="472"/>
      <c r="X1848" s="472"/>
      <c r="Y1848" s="472"/>
    </row>
    <row r="1849" spans="1:25" ht="24" x14ac:dyDescent="0.25">
      <c r="A1849" s="463"/>
      <c r="B1849" s="507"/>
      <c r="C1849" s="507">
        <v>43681</v>
      </c>
      <c r="D1849" s="508"/>
      <c r="E1849" s="509" t="str">
        <f>IF($C1849="",IFERROR(VLOOKUP($B1849,SERVIÇOS!$B:$G,2,0),IFERROR(VLOOKUP($B1849,$D:$K,2,0),"")),IFERROR(VLOOKUP($C1849,INSUMOS!$A:$D,2,0),IFERROR(VLOOKUP($C1849,COTAÇÕES!$B:$I,2,0),(VLOOKUP($C1849,'INSUMO SINAPI - SP'!$C:$F,2,0)))))</f>
        <v>CHAPA/PAINEL DE MADEIRA COMPENSADA RESINADA (MADEIRITE RESINADO ROSA) PARA FORMA DE CONCRETO, DE 2200 X 1100 MM, E = 8 A 12 MM</v>
      </c>
      <c r="F1849" s="510" t="str">
        <f>IF($C1849="",IFERROR(VLOOKUP($B1849,SERVIÇOS!$B:$G,3,0),IFERROR(VLOOKUP($B1849,$D:$K,3,0),"")),IFERROR(VLOOKUP($C1849,INSUMOS!$A:$D,3,0),IFERROR(VLOOKUP($C1849,COTAÇÕES!$B:$I,3,0),(VLOOKUP($C1849,'INSUMO SINAPI - SP'!$C:$F,3,0)))))</f>
        <v>M2</v>
      </c>
      <c r="G1849" s="511">
        <v>1.050038</v>
      </c>
      <c r="H1849" s="512">
        <f>IF($C1849="",IFERROR(VLOOKUP($B1849,SERVIÇOS!$B:$G,6,0),IFERROR(VLOOKUP($B1849,$D:$K,8,0),"")),IFERROR(VLOOKUP($C1849,INSUMOS!$A:$D,4,0),IFERROR(VLOOKUP($C1849,COTAÇÕES!$B:$I,7,0),(VLOOKUP($C1849,'INSUMO SINAPI - SP'!$C:$F,4,0)))))</f>
        <v>27.89</v>
      </c>
      <c r="I1849" s="513">
        <f>TRUNC(IF($C1849="",IFERROR(VLOOKUP($B1849,SERVIÇOS!$B:$G,4,0),IFERROR(VLOOKUP($B1849,$D:$K,6,0),)),IFERROR(VLOOKUP($C1849,INSUMOS!$A:$D,4,0),IFERROR(VLOOKUP($C1849,COTAÇÕES!$B:$I,7,0),(VLOOKUP($C1849,'INSUMO SINAPI - SP'!$C:$F,4,0)))))*$G1849,2)</f>
        <v>29.28</v>
      </c>
      <c r="J1849" s="513">
        <f>TRUNC(IF($C1849="",IFERROR(VLOOKUP($B1849,SERVIÇOS!$B:$G,5,0),IFERROR(VLOOKUP($B1849,$D:$K,7,0),)),0)*$G1849,2)</f>
        <v>0</v>
      </c>
      <c r="K1849" s="514">
        <f t="shared" si="67"/>
        <v>29.28</v>
      </c>
      <c r="L1849" s="517"/>
      <c r="M1849" s="471"/>
      <c r="Q1849" s="472"/>
      <c r="R1849" s="472"/>
      <c r="S1849" s="472"/>
      <c r="T1849" s="472"/>
      <c r="U1849" s="472"/>
      <c r="V1849" s="472"/>
      <c r="W1849" s="472"/>
      <c r="X1849" s="472"/>
      <c r="Y1849" s="472"/>
    </row>
    <row r="1850" spans="1:25" x14ac:dyDescent="0.25">
      <c r="A1850" s="463"/>
      <c r="B1850" s="507"/>
      <c r="C1850" s="507">
        <v>4491</v>
      </c>
      <c r="D1850" s="508"/>
      <c r="E1850" s="509" t="str">
        <f>IF($C1850="",IFERROR(VLOOKUP($B1850,SERVIÇOS!$B:$G,2,0),IFERROR(VLOOKUP($B1850,$D:$K,2,0),"")),IFERROR(VLOOKUP($C1850,INSUMOS!$A:$D,2,0),IFERROR(VLOOKUP($C1850,COTAÇÕES!$B:$I,2,0),(VLOOKUP($C1850,'INSUMO SINAPI - SP'!$C:$F,2,0)))))</f>
        <v>PONTALETE *7,5 X 7,5* CM EM PINUS, MISTA OU EQUIVALENTE DA REGIAO - BRUTA</v>
      </c>
      <c r="F1850" s="510" t="str">
        <f>IF($C1850="",IFERROR(VLOOKUP($B1850,SERVIÇOS!$B:$G,3,0),IFERROR(VLOOKUP($B1850,$D:$K,3,0),"")),IFERROR(VLOOKUP($C1850,INSUMOS!$A:$D,3,0),IFERROR(VLOOKUP($C1850,COTAÇÕES!$B:$I,3,0),(VLOOKUP($C1850,'INSUMO SINAPI - SP'!$C:$F,3,0)))))</f>
        <v>M</v>
      </c>
      <c r="G1850" s="511">
        <v>2.6139000000000001</v>
      </c>
      <c r="H1850" s="512">
        <f>IF($C1850="",IFERROR(VLOOKUP($B1850,SERVIÇOS!$B:$G,6,0),IFERROR(VLOOKUP($B1850,$D:$K,8,0),"")),IFERROR(VLOOKUP($C1850,INSUMOS!$A:$D,4,0),IFERROR(VLOOKUP($C1850,COTAÇÕES!$B:$I,7,0),(VLOOKUP($C1850,'INSUMO SINAPI - SP'!$C:$F,4,0)))))</f>
        <v>6.99</v>
      </c>
      <c r="I1850" s="513">
        <f>TRUNC(IF($C1850="",IFERROR(VLOOKUP($B1850,SERVIÇOS!$B:$G,4,0),IFERROR(VLOOKUP($B1850,$D:$K,6,0),)),IFERROR(VLOOKUP($C1850,INSUMOS!$A:$D,4,0),IFERROR(VLOOKUP($C1850,COTAÇÕES!$B:$I,7,0),(VLOOKUP($C1850,'INSUMO SINAPI - SP'!$C:$F,4,0)))))*$G1850,2)</f>
        <v>18.27</v>
      </c>
      <c r="J1850" s="513">
        <f>TRUNC(IF($C1850="",IFERROR(VLOOKUP($B1850,SERVIÇOS!$B:$G,5,0),IFERROR(VLOOKUP($B1850,$D:$K,7,0),)),0)*$G1850,2)</f>
        <v>0</v>
      </c>
      <c r="K1850" s="514">
        <f t="shared" si="67"/>
        <v>18.27</v>
      </c>
      <c r="L1850" s="517"/>
      <c r="M1850" s="471"/>
      <c r="Q1850" s="472"/>
      <c r="R1850" s="472"/>
      <c r="S1850" s="472"/>
      <c r="T1850" s="472"/>
      <c r="U1850" s="472"/>
      <c r="V1850" s="472"/>
      <c r="W1850" s="472"/>
      <c r="X1850" s="472"/>
      <c r="Y1850" s="472"/>
    </row>
    <row r="1851" spans="1:25" x14ac:dyDescent="0.25">
      <c r="A1851" s="463"/>
      <c r="B1851" s="507"/>
      <c r="C1851" s="507">
        <v>5061</v>
      </c>
      <c r="D1851" s="508"/>
      <c r="E1851" s="509" t="str">
        <f>IF($C1851="",IFERROR(VLOOKUP($B1851,SERVIÇOS!$B:$G,2,0),IFERROR(VLOOKUP($B1851,$D:$K,2,0),"")),IFERROR(VLOOKUP($C1851,INSUMOS!$A:$D,2,0),IFERROR(VLOOKUP($C1851,COTAÇÕES!$B:$I,2,0),(VLOOKUP($C1851,'INSUMO SINAPI - SP'!$C:$F,2,0)))))</f>
        <v>PREGO DE ACO POLIDO COM CABECA 18 X 27 (2 1/2 X 10)</v>
      </c>
      <c r="F1851" s="510" t="str">
        <f>IF($C1851="",IFERROR(VLOOKUP($B1851,SERVIÇOS!$B:$G,3,0),IFERROR(VLOOKUP($B1851,$D:$K,3,0),"")),IFERROR(VLOOKUP($C1851,INSUMOS!$A:$D,3,0),IFERROR(VLOOKUP($C1851,COTAÇÕES!$B:$I,3,0),(VLOOKUP($C1851,'INSUMO SINAPI - SP'!$C:$F,3,0)))))</f>
        <v>KG</v>
      </c>
      <c r="G1851" s="511">
        <v>8.5999999999999993E-2</v>
      </c>
      <c r="H1851" s="512">
        <f>IF($C1851="",IFERROR(VLOOKUP($B1851,SERVIÇOS!$B:$G,6,0),IFERROR(VLOOKUP($B1851,$D:$K,8,0),"")),IFERROR(VLOOKUP($C1851,INSUMOS!$A:$D,4,0),IFERROR(VLOOKUP($C1851,COTAÇÕES!$B:$I,7,0),(VLOOKUP($C1851,'INSUMO SINAPI - SP'!$C:$F,4,0)))))</f>
        <v>15.8</v>
      </c>
      <c r="I1851" s="513">
        <f>TRUNC(IF($C1851="",IFERROR(VLOOKUP($B1851,SERVIÇOS!$B:$G,4,0),IFERROR(VLOOKUP($B1851,$D:$K,6,0),)),IFERROR(VLOOKUP($C1851,INSUMOS!$A:$D,4,0),IFERROR(VLOOKUP($C1851,COTAÇÕES!$B:$I,7,0),(VLOOKUP($C1851,'INSUMO SINAPI - SP'!$C:$F,4,0)))))*$G1851,2)</f>
        <v>1.35</v>
      </c>
      <c r="J1851" s="513">
        <f>TRUNC(IF($C1851="",IFERROR(VLOOKUP($B1851,SERVIÇOS!$B:$G,5,0),IFERROR(VLOOKUP($B1851,$D:$K,7,0),)),0)*$G1851,2)</f>
        <v>0</v>
      </c>
      <c r="K1851" s="514">
        <f t="shared" si="67"/>
        <v>1.35</v>
      </c>
      <c r="L1851" s="517"/>
      <c r="M1851" s="471"/>
      <c r="Q1851" s="472"/>
      <c r="R1851" s="472"/>
      <c r="S1851" s="472"/>
      <c r="T1851" s="472"/>
      <c r="U1851" s="472"/>
      <c r="V1851" s="472"/>
      <c r="W1851" s="472"/>
      <c r="X1851" s="472"/>
      <c r="Y1851" s="472"/>
    </row>
    <row r="1852" spans="1:25" x14ac:dyDescent="0.25">
      <c r="A1852" s="463"/>
      <c r="B1852" s="507"/>
      <c r="C1852" s="507">
        <v>6194</v>
      </c>
      <c r="D1852" s="508"/>
      <c r="E1852" s="509" t="str">
        <f>IF($C1852="",IFERROR(VLOOKUP($B1852,SERVIÇOS!$B:$G,2,0),IFERROR(VLOOKUP($B1852,$D:$K,2,0),"")),IFERROR(VLOOKUP($C1852,INSUMOS!$A:$D,2,0),IFERROR(VLOOKUP($C1852,COTAÇÕES!$B:$I,2,0),(VLOOKUP($C1852,'INSUMO SINAPI - SP'!$C:$F,2,0)))))</f>
        <v>TABUA *2,5 X 15 CM EM PINUS, MISTA OU EQUIVALENTE DA REGIAO - BRUTA</v>
      </c>
      <c r="F1852" s="510" t="str">
        <f>IF($C1852="",IFERROR(VLOOKUP($B1852,SERVIÇOS!$B:$G,3,0),IFERROR(VLOOKUP($B1852,$D:$K,3,0),"")),IFERROR(VLOOKUP($C1852,INSUMOS!$A:$D,3,0),IFERROR(VLOOKUP($C1852,COTAÇÕES!$B:$I,3,0),(VLOOKUP($C1852,'INSUMO SINAPI - SP'!$C:$F,3,0)))))</f>
        <v>M</v>
      </c>
      <c r="G1852" s="511">
        <v>1.9603999999999999</v>
      </c>
      <c r="H1852" s="512">
        <f>IF($C1852="",IFERROR(VLOOKUP($B1852,SERVIÇOS!$B:$G,6,0),IFERROR(VLOOKUP($B1852,$D:$K,8,0),"")),IFERROR(VLOOKUP($C1852,INSUMOS!$A:$D,4,0),IFERROR(VLOOKUP($C1852,COTAÇÕES!$B:$I,7,0),(VLOOKUP($C1852,'INSUMO SINAPI - SP'!$C:$F,4,0)))))</f>
        <v>4.99</v>
      </c>
      <c r="I1852" s="513">
        <f>TRUNC(IF($C1852="",IFERROR(VLOOKUP($B1852,SERVIÇOS!$B:$G,4,0),IFERROR(VLOOKUP($B1852,$D:$K,6,0),)),IFERROR(VLOOKUP($C1852,INSUMOS!$A:$D,4,0),IFERROR(VLOOKUP($C1852,COTAÇÕES!$B:$I,7,0),(VLOOKUP($C1852,'INSUMO SINAPI - SP'!$C:$F,4,0)))))*$G1852,2)</f>
        <v>9.7799999999999994</v>
      </c>
      <c r="J1852" s="513">
        <f>TRUNC(IF($C1852="",IFERROR(VLOOKUP($B1852,SERVIÇOS!$B:$G,5,0),IFERROR(VLOOKUP($B1852,$D:$K,7,0),)),0)*$G1852,2)</f>
        <v>0</v>
      </c>
      <c r="K1852" s="514">
        <f t="shared" si="67"/>
        <v>9.7799999999999994</v>
      </c>
      <c r="L1852" s="517"/>
      <c r="M1852" s="471"/>
      <c r="Q1852" s="472"/>
      <c r="R1852" s="472"/>
      <c r="S1852" s="472"/>
      <c r="T1852" s="472"/>
      <c r="U1852" s="472"/>
      <c r="V1852" s="472"/>
      <c r="W1852" s="472"/>
      <c r="X1852" s="472"/>
      <c r="Y1852" s="472"/>
    </row>
    <row r="1853" spans="1:25" ht="24" x14ac:dyDescent="0.25">
      <c r="A1853" s="463"/>
      <c r="B1853" s="498"/>
      <c r="C1853" s="498"/>
      <c r="D1853" s="499" t="s">
        <v>12557</v>
      </c>
      <c r="E1853" s="500" t="s">
        <v>13510</v>
      </c>
      <c r="F1853" s="501" t="s">
        <v>578</v>
      </c>
      <c r="G1853" s="502"/>
      <c r="H1853" s="503"/>
      <c r="I1853" s="504">
        <f>ROUND(SUM(I1854:I1880),2)</f>
        <v>973.67</v>
      </c>
      <c r="J1853" s="504">
        <f>ROUND(SUM(J1854:J1880),2)</f>
        <v>249.41</v>
      </c>
      <c r="K1853" s="504">
        <f>+J1853+I1853</f>
        <v>1223.08</v>
      </c>
      <c r="L1853" s="523"/>
      <c r="M1853" s="471"/>
      <c r="Q1853" s="472"/>
      <c r="R1853" s="472"/>
      <c r="S1853" s="472"/>
      <c r="T1853" s="472"/>
      <c r="U1853" s="472"/>
      <c r="V1853" s="472"/>
      <c r="W1853" s="472"/>
      <c r="X1853" s="472"/>
      <c r="Y1853" s="472"/>
    </row>
    <row r="1854" spans="1:25" ht="24" x14ac:dyDescent="0.25">
      <c r="A1854" s="463"/>
      <c r="B1854" s="506">
        <v>103316</v>
      </c>
      <c r="C1854" s="507"/>
      <c r="D1854" s="508"/>
      <c r="E1854" s="509" t="str">
        <f>IF($C1854="",IFERROR(VLOOKUP($B1854,SERVIÇOS!$B:$G,2,0),IFERROR(VLOOKUP($B1854,$D:$K,2,0),"")),IFERROR(VLOOKUP($C1854,INSUMOS!$A:$D,2,0),IFERROR(VLOOKUP($C1854,COTAÇÕES!$B:$I,2,0),(VLOOKUP($C1854,'INSUMO SINAPI - SP'!$C:$F,2,0)))))</f>
        <v>ALVENARIA DE VEDAÇÃO DE BLOCOS VAZADOS DE CONCRETO DE 9X19X39 CM (ESPESSURA 9 CM) E ARGAMASSA DE ASSENTAMENTO COM PREPARO EM BETONEIRA. AF_12/2021</v>
      </c>
      <c r="F1854" s="510" t="str">
        <f>IF($C1854="",IFERROR(VLOOKUP($B1854,SERVIÇOS!$B:$G,3,0),IFERROR(VLOOKUP($B1854,$D:$K,3,0),"")),IFERROR(VLOOKUP($C1854,INSUMOS!$A:$D,3,0),IFERROR(VLOOKUP($C1854,COTAÇÕES!$B:$I,3,0),(VLOOKUP($C1854,'INSUMO SINAPI - SP'!$C:$F,3,0)))))</f>
        <v>M2</v>
      </c>
      <c r="G1854" s="511">
        <v>1.9824267782426801</v>
      </c>
      <c r="H1854" s="512">
        <f>IF($C1854="",IFERROR(VLOOKUP($B1854,SERVIÇOS!$B:$G,6,0),IFERROR(VLOOKUP($B1854,$D:$K,8,0),"")),IFERROR(VLOOKUP($C1854,INSUMOS!$A:$D,4,0),IFERROR(VLOOKUP($C1854,COTAÇÕES!$B:$I,7,0),(VLOOKUP($C1854,'INSUMO SINAPI - SP'!$C:$F,4,0)))))</f>
        <v>79.02</v>
      </c>
      <c r="I1854" s="513">
        <f>TRUNC(IF($C1854="",IFERROR(VLOOKUP($B1854,SERVIÇOS!$B:$G,4,0),IFERROR(VLOOKUP($B1854,$D:$K,6,0),)),IFERROR(VLOOKUP($C1854,INSUMOS!$A:$D,4,0),IFERROR(VLOOKUP($C1854,COTAÇÕES!$B:$I,7,0),(VLOOKUP($C1854,'INSUMO SINAPI - SP'!$C:$F,4,0)))))*$G1854,2)</f>
        <v>100.66</v>
      </c>
      <c r="J1854" s="513">
        <f>TRUNC(IF($C1854="",IFERROR(VLOOKUP($B1854,SERVIÇOS!$B:$G,5,0),IFERROR(VLOOKUP($B1854,$D:$K,7,0),)),0)*$G1854,2)</f>
        <v>55.98</v>
      </c>
      <c r="K1854" s="514">
        <f t="shared" ref="K1854:K1880" si="68">I1854+J1854</f>
        <v>156.63999999999999</v>
      </c>
      <c r="L1854" s="515"/>
      <c r="M1854" s="471"/>
      <c r="Q1854" s="472"/>
      <c r="R1854" s="472"/>
      <c r="S1854" s="472"/>
      <c r="T1854" s="472"/>
      <c r="U1854" s="472"/>
      <c r="V1854" s="472"/>
      <c r="W1854" s="472"/>
      <c r="X1854" s="472"/>
      <c r="Y1854" s="472"/>
    </row>
    <row r="1855" spans="1:25" ht="24" x14ac:dyDescent="0.25">
      <c r="A1855" s="463"/>
      <c r="B1855" s="506" t="s">
        <v>13509</v>
      </c>
      <c r="C1855" s="506"/>
      <c r="D1855" s="508"/>
      <c r="E1855" s="509" t="str">
        <f>IF($C1855="",IFERROR(VLOOKUP($B1855,SERVIÇOS!$B:$G,2,0),IFERROR(VLOOKUP($B1855,$D:$K,2,0),"")),IFERROR(VLOOKUP($C1855,INSUMOS!$A:$D,2,0),IFERROR(VLOOKUP($C1855,COTAÇÕES!$B:$I,2,0),(VLOOKUP($C1855,'INSUMO SINAPI - SP'!$C:$F,2,0)))))</f>
        <v>PAREDE DE COM TELHA METALICA TRAPEZOIDAL, ALTURA 40MM ESPESSURA 0,5MM PARA CONSTRUÇÃO TEMPORÁRIA, COM CHAPA DE MADEIRA INTERNA</v>
      </c>
      <c r="F1855" s="510" t="str">
        <f>IF($C1855="",IFERROR(VLOOKUP($B1855,SERVIÇOS!$B:$G,3,0),IFERROR(VLOOKUP($B1855,$D:$K,3,0),"")),IFERROR(VLOOKUP($C1855,INSUMOS!$A:$D,3,0),IFERROR(VLOOKUP($C1855,COTAÇÕES!$B:$I,3,0),(VLOOKUP($C1855,'INSUMO SINAPI - SP'!$C:$F,3,0)))))</f>
        <v>M2</v>
      </c>
      <c r="G1855" s="511">
        <v>0.415557246101179</v>
      </c>
      <c r="H1855" s="512">
        <f>IF($C1855="",IFERROR(VLOOKUP($B1855,SERVIÇOS!$B:$G,6,0),IFERROR(VLOOKUP($B1855,$D:$K,8,0),"")),IFERROR(VLOOKUP($C1855,INSUMOS!$A:$D,4,0),IFERROR(VLOOKUP($C1855,COTAÇÕES!$B:$I,7,0),(VLOOKUP($C1855,'INSUMO SINAPI - SP'!$C:$F,4,0)))))</f>
        <v>151.32999999999998</v>
      </c>
      <c r="I1855" s="513">
        <f>TRUNC(IF($C1855="",IFERROR(VLOOKUP($B1855,SERVIÇOS!$B:$G,4,0),IFERROR(VLOOKUP($B1855,$D:$K,6,0),)),IFERROR(VLOOKUP($C1855,INSUMOS!$A:$D,4,0),IFERROR(VLOOKUP($C1855,COTAÇÕES!$B:$I,7,0),(VLOOKUP($C1855,'INSUMO SINAPI - SP'!$C:$F,4,0)))))*$G1855,2)</f>
        <v>35.17</v>
      </c>
      <c r="J1855" s="513">
        <f>TRUNC(IF($C1855="",IFERROR(VLOOKUP($B1855,SERVIÇOS!$B:$G,5,0),IFERROR(VLOOKUP($B1855,$D:$K,7,0),)),0)*$G1855,2)</f>
        <v>27.7</v>
      </c>
      <c r="K1855" s="514">
        <f t="shared" si="68"/>
        <v>62.870000000000005</v>
      </c>
      <c r="L1855" s="515"/>
      <c r="M1855" s="471"/>
      <c r="Q1855" s="472"/>
      <c r="R1855" s="472"/>
      <c r="S1855" s="472"/>
      <c r="T1855" s="472"/>
      <c r="U1855" s="472"/>
      <c r="V1855" s="472"/>
      <c r="W1855" s="472"/>
      <c r="X1855" s="472"/>
      <c r="Y1855" s="472"/>
    </row>
    <row r="1856" spans="1:25" ht="24" x14ac:dyDescent="0.25">
      <c r="A1856" s="463"/>
      <c r="B1856" s="506">
        <v>96622</v>
      </c>
      <c r="C1856" s="507"/>
      <c r="D1856" s="508"/>
      <c r="E1856" s="509" t="str">
        <f>IF($C1856="",IFERROR(VLOOKUP($B1856,SERVIÇOS!$B:$G,2,0),IFERROR(VLOOKUP($B1856,$D:$K,2,0),"")),IFERROR(VLOOKUP($C1856,INSUMOS!$A:$D,2,0),IFERROR(VLOOKUP($C1856,COTAÇÕES!$B:$I,2,0),(VLOOKUP($C1856,'INSUMO SINAPI - SP'!$C:$F,2,0)))))</f>
        <v>LASTRO COM MATERIAL GRANULAR, APLICADO EM PISOS OU LAJES SOBRE SOLO, ESPESSURA DE *5 CM*. AF_01/2024</v>
      </c>
      <c r="F1856" s="510" t="str">
        <f>IF($C1856="",IFERROR(VLOOKUP($B1856,SERVIÇOS!$B:$G,3,0),IFERROR(VLOOKUP($B1856,$D:$K,3,0),"")),IFERROR(VLOOKUP($C1856,INSUMOS!$A:$D,3,0),IFERROR(VLOOKUP($C1856,COTAÇÕES!$B:$I,3,0),(VLOOKUP($C1856,'INSUMO SINAPI - SP'!$C:$F,3,0)))))</f>
        <v>M3</v>
      </c>
      <c r="G1856" s="511">
        <v>0.05</v>
      </c>
      <c r="H1856" s="512">
        <f>IF($C1856="",IFERROR(VLOOKUP($B1856,SERVIÇOS!$B:$G,6,0),IFERROR(VLOOKUP($B1856,$D:$K,8,0),"")),IFERROR(VLOOKUP($C1856,INSUMOS!$A:$D,4,0),IFERROR(VLOOKUP($C1856,COTAÇÕES!$B:$I,7,0),(VLOOKUP($C1856,'INSUMO SINAPI - SP'!$C:$F,4,0)))))</f>
        <v>182.38</v>
      </c>
      <c r="I1856" s="513">
        <f>TRUNC(IF($C1856="",IFERROR(VLOOKUP($B1856,SERVIÇOS!$B:$G,4,0),IFERROR(VLOOKUP($B1856,$D:$K,6,0),)),IFERROR(VLOOKUP($C1856,INSUMOS!$A:$D,4,0),IFERROR(VLOOKUP($C1856,COTAÇÕES!$B:$I,7,0),(VLOOKUP($C1856,'INSUMO SINAPI - SP'!$C:$F,4,0)))))*$G1856,2)</f>
        <v>5.69</v>
      </c>
      <c r="J1856" s="513">
        <f>TRUNC(IF($C1856="",IFERROR(VLOOKUP($B1856,SERVIÇOS!$B:$G,5,0),IFERROR(VLOOKUP($B1856,$D:$K,7,0),)),0)*$G1856,2)</f>
        <v>3.42</v>
      </c>
      <c r="K1856" s="514">
        <f t="shared" si="68"/>
        <v>9.11</v>
      </c>
      <c r="L1856" s="515"/>
      <c r="M1856" s="471"/>
      <c r="Q1856" s="472"/>
      <c r="R1856" s="472"/>
      <c r="S1856" s="472"/>
      <c r="T1856" s="472"/>
      <c r="U1856" s="472"/>
      <c r="V1856" s="472"/>
      <c r="W1856" s="472"/>
      <c r="X1856" s="472"/>
      <c r="Y1856" s="472"/>
    </row>
    <row r="1857" spans="1:25" ht="24" x14ac:dyDescent="0.25">
      <c r="A1857" s="463"/>
      <c r="B1857" s="506">
        <v>101749</v>
      </c>
      <c r="C1857" s="507"/>
      <c r="D1857" s="508"/>
      <c r="E1857" s="509" t="str">
        <f>IF($C1857="",IFERROR(VLOOKUP($B1857,SERVIÇOS!$B:$G,2,0),IFERROR(VLOOKUP($B1857,$D:$K,2,0),"")),IFERROR(VLOOKUP($C1857,INSUMOS!$A:$D,2,0),IFERROR(VLOOKUP($C1857,COTAÇÕES!$B:$I,2,0),(VLOOKUP($C1857,'INSUMO SINAPI - SP'!$C:$F,2,0)))))</f>
        <v>PISO CIMENTADO, TRAÇO 1:3 (CIMENTO E AREIA), ACABAMENTO LISO, ESPESSURA 4,0 CM, PREPARO MECÂNICO DA ARGAMASSA. AF_09/2020</v>
      </c>
      <c r="F1857" s="510" t="str">
        <f>IF($C1857="",IFERROR(VLOOKUP($B1857,SERVIÇOS!$B:$G,3,0),IFERROR(VLOOKUP($B1857,$D:$K,3,0),"")),IFERROR(VLOOKUP($C1857,INSUMOS!$A:$D,3,0),IFERROR(VLOOKUP($C1857,COTAÇÕES!$B:$I,3,0),(VLOOKUP($C1857,'INSUMO SINAPI - SP'!$C:$F,3,0)))))</f>
        <v>M2</v>
      </c>
      <c r="G1857" s="511">
        <v>1</v>
      </c>
      <c r="H1857" s="512">
        <f>IF($C1857="",IFERROR(VLOOKUP($B1857,SERVIÇOS!$B:$G,6,0),IFERROR(VLOOKUP($B1857,$D:$K,8,0),"")),IFERROR(VLOOKUP($C1857,INSUMOS!$A:$D,4,0),IFERROR(VLOOKUP($C1857,COTAÇÕES!$B:$I,7,0),(VLOOKUP($C1857,'INSUMO SINAPI - SP'!$C:$F,4,0)))))</f>
        <v>60.56</v>
      </c>
      <c r="I1857" s="513">
        <f>TRUNC(IF($C1857="",IFERROR(VLOOKUP($B1857,SERVIÇOS!$B:$G,4,0),IFERROR(VLOOKUP($B1857,$D:$K,6,0),)),IFERROR(VLOOKUP($C1857,INSUMOS!$A:$D,4,0),IFERROR(VLOOKUP($C1857,COTAÇÕES!$B:$I,7,0),(VLOOKUP($C1857,'INSUMO SINAPI - SP'!$C:$F,4,0)))))*$G1857,2)</f>
        <v>39.11</v>
      </c>
      <c r="J1857" s="513">
        <f>TRUNC(IF($C1857="",IFERROR(VLOOKUP($B1857,SERVIÇOS!$B:$G,5,0),IFERROR(VLOOKUP($B1857,$D:$K,7,0),)),0)*$G1857,2)</f>
        <v>21.45</v>
      </c>
      <c r="K1857" s="514">
        <f t="shared" si="68"/>
        <v>60.56</v>
      </c>
      <c r="L1857" s="515"/>
      <c r="M1857" s="471"/>
      <c r="Q1857" s="472"/>
      <c r="R1857" s="472"/>
      <c r="S1857" s="472"/>
      <c r="T1857" s="472"/>
      <c r="U1857" s="472"/>
      <c r="V1857" s="472"/>
      <c r="W1857" s="472"/>
      <c r="X1857" s="472"/>
      <c r="Y1857" s="472"/>
    </row>
    <row r="1858" spans="1:25" ht="36" x14ac:dyDescent="0.25">
      <c r="A1858" s="463"/>
      <c r="B1858" s="506">
        <v>91314</v>
      </c>
      <c r="C1858" s="507"/>
      <c r="D1858" s="508"/>
      <c r="E1858" s="509" t="str">
        <f>IF($C1858="",IFERROR(VLOOKUP($B1858,SERVIÇOS!$B:$G,2,0),IFERROR(VLOOKUP($B1858,$D:$K,2,0),"")),IFERROR(VLOOKUP($C1858,INSUMOS!$A:$D,2,0),IFERROR(VLOOKUP($C1858,COTAÇÕES!$B:$I,2,0),(VLOOKUP($C1858,'INSUMO SINAPI - SP'!$C:$F,2,0)))))</f>
        <v>KIT DE PORTA DE MADEIRA PARA PINTURA, SEMI-OCA (LEVE OU MÉDIA), PADRÃO POPULAR, 80X210CM, ESPESSURA DE 3,5CM, ITENS INCLUSOS: DOBRADIÇAS, MONTAGEM E INSTALAÇÃO DO BATENTE, FECHADURA COM EXECUÇÃO DO FURO - FORNECIMENTO E INSTALAÇÃO. AF_12/2019</v>
      </c>
      <c r="F1858" s="510" t="str">
        <f>IF($C1858="",IFERROR(VLOOKUP($B1858,SERVIÇOS!$B:$G,3,0),IFERROR(VLOOKUP($B1858,$D:$K,3,0),"")),IFERROR(VLOOKUP($C1858,INSUMOS!$A:$D,3,0),IFERROR(VLOOKUP($C1858,COTAÇÕES!$B:$I,3,0),(VLOOKUP($C1858,'INSUMO SINAPI - SP'!$C:$F,3,0)))))</f>
        <v>UN</v>
      </c>
      <c r="G1858" s="511">
        <v>7.6074553062000796E-2</v>
      </c>
      <c r="H1858" s="512">
        <f>IF($C1858="",IFERROR(VLOOKUP($B1858,SERVIÇOS!$B:$G,6,0),IFERROR(VLOOKUP($B1858,$D:$K,8,0),"")),IFERROR(VLOOKUP($C1858,INSUMOS!$A:$D,4,0),IFERROR(VLOOKUP($C1858,COTAÇÕES!$B:$I,7,0),(VLOOKUP($C1858,'INSUMO SINAPI - SP'!$C:$F,4,0)))))</f>
        <v>1070.68</v>
      </c>
      <c r="I1858" s="513">
        <f>TRUNC(IF($C1858="",IFERROR(VLOOKUP($B1858,SERVIÇOS!$B:$G,4,0),IFERROR(VLOOKUP($B1858,$D:$K,6,0),)),IFERROR(VLOOKUP($C1858,INSUMOS!$A:$D,4,0),IFERROR(VLOOKUP($C1858,COTAÇÕES!$B:$I,7,0),(VLOOKUP($C1858,'INSUMO SINAPI - SP'!$C:$F,4,0)))))*$G1858,2)</f>
        <v>59.63</v>
      </c>
      <c r="J1858" s="513">
        <f>TRUNC(IF($C1858="",IFERROR(VLOOKUP($B1858,SERVIÇOS!$B:$G,5,0),IFERROR(VLOOKUP($B1858,$D:$K,7,0),)),0)*$G1858,2)</f>
        <v>21.82</v>
      </c>
      <c r="K1858" s="514">
        <f t="shared" si="68"/>
        <v>81.45</v>
      </c>
      <c r="L1858" s="515"/>
      <c r="M1858" s="471"/>
      <c r="Q1858" s="472"/>
      <c r="R1858" s="472"/>
      <c r="S1858" s="472"/>
      <c r="T1858" s="472"/>
      <c r="U1858" s="472"/>
      <c r="V1858" s="472"/>
      <c r="W1858" s="472"/>
      <c r="X1858" s="472"/>
      <c r="Y1858" s="472"/>
    </row>
    <row r="1859" spans="1:25" ht="24" x14ac:dyDescent="0.25">
      <c r="A1859" s="463"/>
      <c r="B1859" s="506">
        <v>91924</v>
      </c>
      <c r="C1859" s="507"/>
      <c r="D1859" s="508"/>
      <c r="E1859" s="509" t="str">
        <f>IF($C1859="",IFERROR(VLOOKUP($B1859,SERVIÇOS!$B:$G,2,0),IFERROR(VLOOKUP($B1859,$D:$K,2,0),"")),IFERROR(VLOOKUP($C1859,INSUMOS!$A:$D,2,0),IFERROR(VLOOKUP($C1859,COTAÇÕES!$B:$I,2,0),(VLOOKUP($C1859,'INSUMO SINAPI - SP'!$C:$F,2,0)))))</f>
        <v>CABO DE COBRE FLEXÍVEL ISOLADO, 1,5 MM², ANTI-CHAMA 450/750 V, PARA CIRCUITOS TERMINAIS - FORNECIMENTO E INSTALAÇÃO. AF_03/2023</v>
      </c>
      <c r="F1859" s="510" t="str">
        <f>IF($C1859="",IFERROR(VLOOKUP($B1859,SERVIÇOS!$B:$G,3,0),IFERROR(VLOOKUP($B1859,$D:$K,3,0),"")),IFERROR(VLOOKUP($C1859,INSUMOS!$A:$D,3,0),IFERROR(VLOOKUP($C1859,COTAÇÕES!$B:$I,3,0),(VLOOKUP($C1859,'INSUMO SINAPI - SP'!$C:$F,3,0)))))</f>
        <v>M</v>
      </c>
      <c r="G1859" s="511">
        <v>1.00418410041841</v>
      </c>
      <c r="H1859" s="512">
        <f>IF($C1859="",IFERROR(VLOOKUP($B1859,SERVIÇOS!$B:$G,6,0),IFERROR(VLOOKUP($B1859,$D:$K,8,0),"")),IFERROR(VLOOKUP($C1859,INSUMOS!$A:$D,4,0),IFERROR(VLOOKUP($C1859,COTAÇÕES!$B:$I,7,0),(VLOOKUP($C1859,'INSUMO SINAPI - SP'!$C:$F,4,0)))))</f>
        <v>3.34</v>
      </c>
      <c r="I1859" s="513">
        <f>TRUNC(IF($C1859="",IFERROR(VLOOKUP($B1859,SERVIÇOS!$B:$G,4,0),IFERROR(VLOOKUP($B1859,$D:$K,6,0),)),IFERROR(VLOOKUP($C1859,INSUMOS!$A:$D,4,0),IFERROR(VLOOKUP($C1859,COTAÇÕES!$B:$I,7,0),(VLOOKUP($C1859,'INSUMO SINAPI - SP'!$C:$F,4,0)))))*$G1859,2)</f>
        <v>2.2200000000000002</v>
      </c>
      <c r="J1859" s="513">
        <f>TRUNC(IF($C1859="",IFERROR(VLOOKUP($B1859,SERVIÇOS!$B:$G,5,0),IFERROR(VLOOKUP($B1859,$D:$K,7,0),)),0)*$G1859,2)</f>
        <v>1.1200000000000001</v>
      </c>
      <c r="K1859" s="514">
        <f t="shared" si="68"/>
        <v>3.3400000000000003</v>
      </c>
      <c r="L1859" s="515"/>
      <c r="M1859" s="471"/>
      <c r="Q1859" s="472"/>
      <c r="R1859" s="472"/>
      <c r="S1859" s="472"/>
      <c r="T1859" s="472"/>
      <c r="U1859" s="472"/>
      <c r="V1859" s="472"/>
      <c r="W1859" s="472"/>
      <c r="X1859" s="472"/>
      <c r="Y1859" s="472"/>
    </row>
    <row r="1860" spans="1:25" ht="24" x14ac:dyDescent="0.25">
      <c r="A1860" s="463"/>
      <c r="B1860" s="506">
        <v>91928</v>
      </c>
      <c r="C1860" s="507"/>
      <c r="D1860" s="508"/>
      <c r="E1860" s="509" t="str">
        <f>IF($C1860="",IFERROR(VLOOKUP($B1860,SERVIÇOS!$B:$G,2,0),IFERROR(VLOOKUP($B1860,$D:$K,2,0),"")),IFERROR(VLOOKUP($C1860,INSUMOS!$A:$D,2,0),IFERROR(VLOOKUP($C1860,COTAÇÕES!$B:$I,2,0),(VLOOKUP($C1860,'INSUMO SINAPI - SP'!$C:$F,2,0)))))</f>
        <v>CABO DE COBRE FLEXÍVEL ISOLADO, 4 MM², ANTI-CHAMA 450/750 V, PARA CIRCUITOS TERMINAIS - FORNECIMENTO E INSTALAÇÃO. AF_03/2023</v>
      </c>
      <c r="F1860" s="510" t="str">
        <f>IF($C1860="",IFERROR(VLOOKUP($B1860,SERVIÇOS!$B:$G,3,0),IFERROR(VLOOKUP($B1860,$D:$K,3,0),"")),IFERROR(VLOOKUP($C1860,INSUMOS!$A:$D,3,0),IFERROR(VLOOKUP($C1860,COTAÇÕES!$B:$I,3,0),(VLOOKUP($C1860,'INSUMO SINAPI - SP'!$C:$F,3,0)))))</f>
        <v>M</v>
      </c>
      <c r="G1860" s="511">
        <v>0.418410041841004</v>
      </c>
      <c r="H1860" s="512">
        <f>IF($C1860="",IFERROR(VLOOKUP($B1860,SERVIÇOS!$B:$G,6,0),IFERROR(VLOOKUP($B1860,$D:$K,8,0),"")),IFERROR(VLOOKUP($C1860,INSUMOS!$A:$D,4,0),IFERROR(VLOOKUP($C1860,COTAÇÕES!$B:$I,7,0),(VLOOKUP($C1860,'INSUMO SINAPI - SP'!$C:$F,4,0)))))</f>
        <v>7.29</v>
      </c>
      <c r="I1860" s="513">
        <f>TRUNC(IF($C1860="",IFERROR(VLOOKUP($B1860,SERVIÇOS!$B:$G,4,0),IFERROR(VLOOKUP($B1860,$D:$K,6,0),)),IFERROR(VLOOKUP($C1860,INSUMOS!$A:$D,4,0),IFERROR(VLOOKUP($C1860,COTAÇÕES!$B:$I,7,0),(VLOOKUP($C1860,'INSUMO SINAPI - SP'!$C:$F,4,0)))))*$G1860,2)</f>
        <v>2.2400000000000002</v>
      </c>
      <c r="J1860" s="513">
        <f>TRUNC(IF($C1860="",IFERROR(VLOOKUP($B1860,SERVIÇOS!$B:$G,5,0),IFERROR(VLOOKUP($B1860,$D:$K,7,0),)),0)*$G1860,2)</f>
        <v>0.8</v>
      </c>
      <c r="K1860" s="514">
        <f t="shared" si="68"/>
        <v>3.04</v>
      </c>
      <c r="L1860" s="515"/>
      <c r="M1860" s="471"/>
      <c r="Q1860" s="472"/>
      <c r="R1860" s="472"/>
      <c r="S1860" s="472"/>
      <c r="T1860" s="472"/>
      <c r="U1860" s="472"/>
      <c r="V1860" s="472"/>
      <c r="W1860" s="472"/>
      <c r="X1860" s="472"/>
      <c r="Y1860" s="472"/>
    </row>
    <row r="1861" spans="1:25" ht="24" x14ac:dyDescent="0.25">
      <c r="A1861" s="463"/>
      <c r="B1861" s="506">
        <v>91867</v>
      </c>
      <c r="C1861" s="507"/>
      <c r="D1861" s="508"/>
      <c r="E1861" s="509" t="str">
        <f>IF($C1861="",IFERROR(VLOOKUP($B1861,SERVIÇOS!$B:$G,2,0),IFERROR(VLOOKUP($B1861,$D:$K,2,0),"")),IFERROR(VLOOKUP($C1861,INSUMOS!$A:$D,2,0),IFERROR(VLOOKUP($C1861,COTAÇÕES!$B:$I,2,0),(VLOOKUP($C1861,'INSUMO SINAPI - SP'!$C:$F,2,0)))))</f>
        <v>ELETRODUTO RÍGIDO ROSCÁVEL, PVC, DN 25 MM (3/4"), PARA CIRCUITOS TERMINAIS, INSTALADO EM LAJE - FORNECIMENTO E INSTALAÇÃO. AF_03/2023</v>
      </c>
      <c r="F1861" s="510" t="str">
        <f>IF($C1861="",IFERROR(VLOOKUP($B1861,SERVIÇOS!$B:$G,3,0),IFERROR(VLOOKUP($B1861,$D:$K,3,0),"")),IFERROR(VLOOKUP($C1861,INSUMOS!$A:$D,3,0),IFERROR(VLOOKUP($C1861,COTAÇÕES!$B:$I,3,0),(VLOOKUP($C1861,'INSUMO SINAPI - SP'!$C:$F,3,0)))))</f>
        <v>M</v>
      </c>
      <c r="G1861" s="511">
        <v>0.71129707112970697</v>
      </c>
      <c r="H1861" s="512">
        <f>IF($C1861="",IFERROR(VLOOKUP($B1861,SERVIÇOS!$B:$G,6,0),IFERROR(VLOOKUP($B1861,$D:$K,8,0),"")),IFERROR(VLOOKUP($C1861,INSUMOS!$A:$D,4,0),IFERROR(VLOOKUP($C1861,COTAÇÕES!$B:$I,7,0),(VLOOKUP($C1861,'INSUMO SINAPI - SP'!$C:$F,4,0)))))</f>
        <v>14.02</v>
      </c>
      <c r="I1861" s="513">
        <f>TRUNC(IF($C1861="",IFERROR(VLOOKUP($B1861,SERVIÇOS!$B:$G,4,0),IFERROR(VLOOKUP($B1861,$D:$K,6,0),)),IFERROR(VLOOKUP($C1861,INSUMOS!$A:$D,4,0),IFERROR(VLOOKUP($C1861,COTAÇÕES!$B:$I,7,0),(VLOOKUP($C1861,'INSUMO SINAPI - SP'!$C:$F,4,0)))))*$G1861,2)</f>
        <v>6.66</v>
      </c>
      <c r="J1861" s="513">
        <f>TRUNC(IF($C1861="",IFERROR(VLOOKUP($B1861,SERVIÇOS!$B:$G,5,0),IFERROR(VLOOKUP($B1861,$D:$K,7,0),)),0)*$G1861,2)</f>
        <v>3.3</v>
      </c>
      <c r="K1861" s="514">
        <f t="shared" si="68"/>
        <v>9.9600000000000009</v>
      </c>
      <c r="L1861" s="515"/>
      <c r="M1861" s="471"/>
      <c r="Q1861" s="472"/>
      <c r="R1861" s="472"/>
      <c r="S1861" s="472"/>
      <c r="T1861" s="472"/>
      <c r="U1861" s="472"/>
      <c r="V1861" s="472"/>
      <c r="W1861" s="472"/>
      <c r="X1861" s="472"/>
      <c r="Y1861" s="472"/>
    </row>
    <row r="1862" spans="1:25" ht="24" x14ac:dyDescent="0.25">
      <c r="A1862" s="463"/>
      <c r="B1862" s="506">
        <v>103782</v>
      </c>
      <c r="C1862" s="507"/>
      <c r="D1862" s="508"/>
      <c r="E1862" s="509" t="str">
        <f>IF($C1862="",IFERROR(VLOOKUP($B1862,SERVIÇOS!$B:$G,2,0),IFERROR(VLOOKUP($B1862,$D:$K,2,0),"")),IFERROR(VLOOKUP($C1862,INSUMOS!$A:$D,2,0),IFERROR(VLOOKUP($C1862,COTAÇÕES!$B:$I,2,0),(VLOOKUP($C1862,'INSUMO SINAPI - SP'!$C:$F,2,0)))))</f>
        <v>LUMINÁRIA TIPO PLAFON CIRCULAR, DE SOBREPOR, COM LED DE 12/13 W - FORNECIMENTO E INSTALAÇÃO. AF_09/2024</v>
      </c>
      <c r="F1862" s="510" t="str">
        <f>IF($C1862="",IFERROR(VLOOKUP($B1862,SERVIÇOS!$B:$G,3,0),IFERROR(VLOOKUP($B1862,$D:$K,3,0),"")),IFERROR(VLOOKUP($C1862,INSUMOS!$A:$D,3,0),IFERROR(VLOOKUP($C1862,COTAÇÕES!$B:$I,3,0),(VLOOKUP($C1862,'INSUMO SINAPI - SP'!$C:$F,3,0)))))</f>
        <v>UN</v>
      </c>
      <c r="G1862" s="511">
        <v>0.30429821224800302</v>
      </c>
      <c r="H1862" s="512">
        <f>IF($C1862="",IFERROR(VLOOKUP($B1862,SERVIÇOS!$B:$G,6,0),IFERROR(VLOOKUP($B1862,$D:$K,8,0),"")),IFERROR(VLOOKUP($C1862,INSUMOS!$A:$D,4,0),IFERROR(VLOOKUP($C1862,COTAÇÕES!$B:$I,7,0),(VLOOKUP($C1862,'INSUMO SINAPI - SP'!$C:$F,4,0)))))</f>
        <v>35.11</v>
      </c>
      <c r="I1862" s="513">
        <f>TRUNC(IF($C1862="",IFERROR(VLOOKUP($B1862,SERVIÇOS!$B:$G,4,0),IFERROR(VLOOKUP($B1862,$D:$K,6,0),)),IFERROR(VLOOKUP($C1862,INSUMOS!$A:$D,4,0),IFERROR(VLOOKUP($C1862,COTAÇÕES!$B:$I,7,0),(VLOOKUP($C1862,'INSUMO SINAPI - SP'!$C:$F,4,0)))))*$G1862,2)</f>
        <v>5.57</v>
      </c>
      <c r="J1862" s="513">
        <f>TRUNC(IF($C1862="",IFERROR(VLOOKUP($B1862,SERVIÇOS!$B:$G,5,0),IFERROR(VLOOKUP($B1862,$D:$K,7,0),)),0)*$G1862,2)</f>
        <v>5.0999999999999996</v>
      </c>
      <c r="K1862" s="514">
        <f t="shared" si="68"/>
        <v>10.67</v>
      </c>
      <c r="L1862" s="515"/>
      <c r="M1862" s="471"/>
      <c r="Q1862" s="472"/>
      <c r="R1862" s="472"/>
      <c r="S1862" s="472"/>
      <c r="T1862" s="472"/>
      <c r="U1862" s="472"/>
      <c r="V1862" s="472"/>
      <c r="W1862" s="472"/>
      <c r="X1862" s="472"/>
      <c r="Y1862" s="472"/>
    </row>
    <row r="1863" spans="1:25" ht="24" x14ac:dyDescent="0.25">
      <c r="A1863" s="463"/>
      <c r="B1863" s="506">
        <v>95777</v>
      </c>
      <c r="C1863" s="507"/>
      <c r="D1863" s="508"/>
      <c r="E1863" s="509" t="str">
        <f>IF($C1863="",IFERROR(VLOOKUP($B1863,SERVIÇOS!$B:$G,2,0),IFERROR(VLOOKUP($B1863,$D:$K,2,0),"")),IFERROR(VLOOKUP($C1863,INSUMOS!$A:$D,2,0),IFERROR(VLOOKUP($C1863,COTAÇÕES!$B:$I,2,0),(VLOOKUP($C1863,'INSUMO SINAPI - SP'!$C:$F,2,0)))))</f>
        <v>CONDULETE DE ALUMÍNIO, TIPO B, PARA ELETRODUTO DE AÇO GALVANIZADO DN 20 MM (3/4''), APARENTE - FORNECIMENTO E INSTALAÇÃO. AF_10/2022</v>
      </c>
      <c r="F1863" s="510" t="str">
        <f>IF($C1863="",IFERROR(VLOOKUP($B1863,SERVIÇOS!$B:$G,3,0),IFERROR(VLOOKUP($B1863,$D:$K,3,0),"")),IFERROR(VLOOKUP($C1863,INSUMOS!$A:$D,3,0),IFERROR(VLOOKUP($C1863,COTAÇÕES!$B:$I,3,0),(VLOOKUP($C1863,'INSUMO SINAPI - SP'!$C:$F,3,0)))))</f>
        <v>UN</v>
      </c>
      <c r="G1863" s="511">
        <v>0.418410041841004</v>
      </c>
      <c r="H1863" s="512">
        <f>IF($C1863="",IFERROR(VLOOKUP($B1863,SERVIÇOS!$B:$G,6,0),IFERROR(VLOOKUP($B1863,$D:$K,8,0),"")),IFERROR(VLOOKUP($C1863,INSUMOS!$A:$D,4,0),IFERROR(VLOOKUP($C1863,COTAÇÕES!$B:$I,7,0),(VLOOKUP($C1863,'INSUMO SINAPI - SP'!$C:$F,4,0)))))</f>
        <v>31.31</v>
      </c>
      <c r="I1863" s="513">
        <f>TRUNC(IF($C1863="",IFERROR(VLOOKUP($B1863,SERVIÇOS!$B:$G,4,0),IFERROR(VLOOKUP($B1863,$D:$K,6,0),)),IFERROR(VLOOKUP($C1863,INSUMOS!$A:$D,4,0),IFERROR(VLOOKUP($C1863,COTAÇÕES!$B:$I,7,0),(VLOOKUP($C1863,'INSUMO SINAPI - SP'!$C:$F,4,0)))))*$G1863,2)</f>
        <v>8.33</v>
      </c>
      <c r="J1863" s="513">
        <f>TRUNC(IF($C1863="",IFERROR(VLOOKUP($B1863,SERVIÇOS!$B:$G,5,0),IFERROR(VLOOKUP($B1863,$D:$K,7,0),)),0)*$G1863,2)</f>
        <v>4.76</v>
      </c>
      <c r="K1863" s="514">
        <f t="shared" si="68"/>
        <v>13.09</v>
      </c>
      <c r="L1863" s="515"/>
      <c r="M1863" s="471"/>
      <c r="Q1863" s="472"/>
      <c r="R1863" s="472"/>
      <c r="S1863" s="472"/>
      <c r="T1863" s="472"/>
      <c r="U1863" s="472"/>
      <c r="V1863" s="472"/>
      <c r="W1863" s="472"/>
      <c r="X1863" s="472"/>
      <c r="Y1863" s="472"/>
    </row>
    <row r="1864" spans="1:25" ht="24" x14ac:dyDescent="0.25">
      <c r="A1864" s="463"/>
      <c r="B1864" s="506">
        <v>91952</v>
      </c>
      <c r="C1864" s="507"/>
      <c r="D1864" s="508"/>
      <c r="E1864" s="509" t="str">
        <f>IF($C1864="",IFERROR(VLOOKUP($B1864,SERVIÇOS!$B:$G,2,0),IFERROR(VLOOKUP($B1864,$D:$K,2,0),"")),IFERROR(VLOOKUP($C1864,INSUMOS!$A:$D,2,0),IFERROR(VLOOKUP($C1864,COTAÇÕES!$B:$I,2,0),(VLOOKUP($C1864,'INSUMO SINAPI - SP'!$C:$F,2,0)))))</f>
        <v>INTERRUPTOR SIMPLES (1 MÓDULO), 10A/250V, SEM SUPORTE E SEM PLACA - FORNECIMENTO E INSTALAÇÃO. AF_03/2023</v>
      </c>
      <c r="F1864" s="510" t="str">
        <f>IF($C1864="",IFERROR(VLOOKUP($B1864,SERVIÇOS!$B:$G,3,0),IFERROR(VLOOKUP($B1864,$D:$K,3,0),"")),IFERROR(VLOOKUP($C1864,INSUMOS!$A:$D,3,0),IFERROR(VLOOKUP($C1864,COTAÇÕES!$B:$I,3,0),(VLOOKUP($C1864,'INSUMO SINAPI - SP'!$C:$F,3,0)))))</f>
        <v>UN</v>
      </c>
      <c r="G1864" s="511">
        <v>7.6074553062000796E-2</v>
      </c>
      <c r="H1864" s="512">
        <f>IF($C1864="",IFERROR(VLOOKUP($B1864,SERVIÇOS!$B:$G,6,0),IFERROR(VLOOKUP($B1864,$D:$K,8,0),"")),IFERROR(VLOOKUP($C1864,INSUMOS!$A:$D,4,0),IFERROR(VLOOKUP($C1864,COTAÇÕES!$B:$I,7,0),(VLOOKUP($C1864,'INSUMO SINAPI - SP'!$C:$F,4,0)))))</f>
        <v>23.41</v>
      </c>
      <c r="I1864" s="513">
        <f>TRUNC(IF($C1864="",IFERROR(VLOOKUP($B1864,SERVIÇOS!$B:$G,4,0),IFERROR(VLOOKUP($B1864,$D:$K,6,0),)),IFERROR(VLOOKUP($C1864,INSUMOS!$A:$D,4,0),IFERROR(VLOOKUP($C1864,COTAÇÕES!$B:$I,7,0),(VLOOKUP($C1864,'INSUMO SINAPI - SP'!$C:$F,4,0)))))*$G1864,2)</f>
        <v>0.9</v>
      </c>
      <c r="J1864" s="513">
        <f>TRUNC(IF($C1864="",IFERROR(VLOOKUP($B1864,SERVIÇOS!$B:$G,5,0),IFERROR(VLOOKUP($B1864,$D:$K,7,0),)),0)*$G1864,2)</f>
        <v>0.87</v>
      </c>
      <c r="K1864" s="514">
        <f t="shared" si="68"/>
        <v>1.77</v>
      </c>
      <c r="L1864" s="515"/>
      <c r="M1864" s="471"/>
      <c r="Q1864" s="472"/>
      <c r="R1864" s="472"/>
      <c r="S1864" s="472"/>
      <c r="T1864" s="472"/>
      <c r="U1864" s="472"/>
      <c r="V1864" s="472"/>
      <c r="W1864" s="472"/>
      <c r="X1864" s="472"/>
      <c r="Y1864" s="472"/>
    </row>
    <row r="1865" spans="1:25" ht="24" x14ac:dyDescent="0.25">
      <c r="A1865" s="463"/>
      <c r="B1865" s="506">
        <v>100860</v>
      </c>
      <c r="C1865" s="507"/>
      <c r="D1865" s="508"/>
      <c r="E1865" s="509" t="str">
        <f>IF($C1865="",IFERROR(VLOOKUP($B1865,SERVIÇOS!$B:$G,2,0),IFERROR(VLOOKUP($B1865,$D:$K,2,0),"")),IFERROR(VLOOKUP($C1865,INSUMOS!$A:$D,2,0),IFERROR(VLOOKUP($C1865,COTAÇÕES!$B:$I,2,0),(VLOOKUP($C1865,'INSUMO SINAPI - SP'!$C:$F,2,0)))))</f>
        <v>CHUVEIRO ELÉTRICO COMUM CORPO PLÁSTICO, TIPO DUCHA - FORNECIMENTO E INSTALAÇÃO. AF_01/2020</v>
      </c>
      <c r="F1865" s="510" t="str">
        <f>IF($C1865="",IFERROR(VLOOKUP($B1865,SERVIÇOS!$B:$G,3,0),IFERROR(VLOOKUP($B1865,$D:$K,3,0),"")),IFERROR(VLOOKUP($C1865,INSUMOS!$A:$D,3,0),IFERROR(VLOOKUP($C1865,COTAÇÕES!$B:$I,3,0),(VLOOKUP($C1865,'INSUMO SINAPI - SP'!$C:$F,3,0)))))</f>
        <v>UN</v>
      </c>
      <c r="G1865" s="511">
        <v>0.34233548877900299</v>
      </c>
      <c r="H1865" s="512">
        <f>IF($C1865="",IFERROR(VLOOKUP($B1865,SERVIÇOS!$B:$G,6,0),IFERROR(VLOOKUP($B1865,$D:$K,8,0),"")),IFERROR(VLOOKUP($C1865,INSUMOS!$A:$D,4,0),IFERROR(VLOOKUP($C1865,COTAÇÕES!$B:$I,7,0),(VLOOKUP($C1865,'INSUMO SINAPI - SP'!$C:$F,4,0)))))</f>
        <v>117.34</v>
      </c>
      <c r="I1865" s="513">
        <f>TRUNC(IF($C1865="",IFERROR(VLOOKUP($B1865,SERVIÇOS!$B:$G,4,0),IFERROR(VLOOKUP($B1865,$D:$K,6,0),)),IFERROR(VLOOKUP($C1865,INSUMOS!$A:$D,4,0),IFERROR(VLOOKUP($C1865,COTAÇÕES!$B:$I,7,0),(VLOOKUP($C1865,'INSUMO SINAPI - SP'!$C:$F,4,0)))))*$G1865,2)</f>
        <v>35.020000000000003</v>
      </c>
      <c r="J1865" s="513">
        <f>TRUNC(IF($C1865="",IFERROR(VLOOKUP($B1865,SERVIÇOS!$B:$G,5,0),IFERROR(VLOOKUP($B1865,$D:$K,7,0),)),0)*$G1865,2)</f>
        <v>5.14</v>
      </c>
      <c r="K1865" s="514">
        <f t="shared" si="68"/>
        <v>40.160000000000004</v>
      </c>
      <c r="L1865" s="515"/>
      <c r="M1865" s="471"/>
      <c r="Q1865" s="472"/>
      <c r="R1865" s="472"/>
      <c r="S1865" s="472"/>
      <c r="T1865" s="472"/>
      <c r="U1865" s="472"/>
      <c r="V1865" s="472"/>
      <c r="W1865" s="472"/>
      <c r="X1865" s="472"/>
      <c r="Y1865" s="472"/>
    </row>
    <row r="1866" spans="1:25" ht="24" x14ac:dyDescent="0.25">
      <c r="A1866" s="463"/>
      <c r="B1866" s="506">
        <v>86932</v>
      </c>
      <c r="C1866" s="507"/>
      <c r="D1866" s="508"/>
      <c r="E1866" s="509" t="str">
        <f>IF($C1866="",IFERROR(VLOOKUP($B1866,SERVIÇOS!$B:$G,2,0),IFERROR(VLOOKUP($B1866,$D:$K,2,0),"")),IFERROR(VLOOKUP($C1866,INSUMOS!$A:$D,2,0),IFERROR(VLOOKUP($C1866,COTAÇÕES!$B:$I,2,0),(VLOOKUP($C1866,'INSUMO SINAPI - SP'!$C:$F,2,0)))))</f>
        <v>VASO SANITÁRIO SIFONADO COM CAIXA ACOPLADA LOUÇA BRANCA - PADRÃO MÉDIO, INCLUSO ENGATE FLEXÍVEL EM METAL CROMADO, 1/2  X 40CM - FORNECIMENTO E INSTALAÇÃO. AF_01/2020</v>
      </c>
      <c r="F1866" s="510" t="str">
        <f>IF($C1866="",IFERROR(VLOOKUP($B1866,SERVIÇOS!$B:$G,3,0),IFERROR(VLOOKUP($B1866,$D:$K,3,0),"")),IFERROR(VLOOKUP($C1866,INSUMOS!$A:$D,3,0),IFERROR(VLOOKUP($C1866,COTAÇÕES!$B:$I,3,0),(VLOOKUP($C1866,'INSUMO SINAPI - SP'!$C:$F,3,0)))))</f>
        <v>UN</v>
      </c>
      <c r="G1866" s="511">
        <v>0.19018638265500201</v>
      </c>
      <c r="H1866" s="512">
        <f>IF($C1866="",IFERROR(VLOOKUP($B1866,SERVIÇOS!$B:$G,6,0),IFERROR(VLOOKUP($B1866,$D:$K,8,0),"")),IFERROR(VLOOKUP($C1866,INSUMOS!$A:$D,4,0),IFERROR(VLOOKUP($C1866,COTAÇÕES!$B:$I,7,0),(VLOOKUP($C1866,'INSUMO SINAPI - SP'!$C:$F,4,0)))))</f>
        <v>639.26</v>
      </c>
      <c r="I1866" s="513">
        <f>TRUNC(IF($C1866="",IFERROR(VLOOKUP($B1866,SERVIÇOS!$B:$G,4,0),IFERROR(VLOOKUP($B1866,$D:$K,6,0),)),IFERROR(VLOOKUP($C1866,INSUMOS!$A:$D,4,0),IFERROR(VLOOKUP($C1866,COTAÇÕES!$B:$I,7,0),(VLOOKUP($C1866,'INSUMO SINAPI - SP'!$C:$F,4,0)))))*$G1866,2)</f>
        <v>114.9</v>
      </c>
      <c r="J1866" s="513">
        <f>TRUNC(IF($C1866="",IFERROR(VLOOKUP($B1866,SERVIÇOS!$B:$G,5,0),IFERROR(VLOOKUP($B1866,$D:$K,7,0),)),0)*$G1866,2)</f>
        <v>6.67</v>
      </c>
      <c r="K1866" s="514">
        <f t="shared" si="68"/>
        <v>121.57000000000001</v>
      </c>
      <c r="L1866" s="515"/>
      <c r="M1866" s="471"/>
      <c r="Q1866" s="472"/>
      <c r="R1866" s="472"/>
      <c r="S1866" s="472"/>
      <c r="T1866" s="472"/>
      <c r="U1866" s="472"/>
      <c r="V1866" s="472"/>
      <c r="W1866" s="472"/>
      <c r="X1866" s="472"/>
      <c r="Y1866" s="472"/>
    </row>
    <row r="1867" spans="1:25" ht="36" x14ac:dyDescent="0.25">
      <c r="A1867" s="463"/>
      <c r="B1867" s="506">
        <v>86939</v>
      </c>
      <c r="C1867" s="507"/>
      <c r="D1867" s="508"/>
      <c r="E1867" s="509" t="str">
        <f>IF($C1867="",IFERROR(VLOOKUP($B1867,SERVIÇOS!$B:$G,2,0),IFERROR(VLOOKUP($B1867,$D:$K,2,0),"")),IFERROR(VLOOKUP($C1867,INSUMOS!$A:$D,2,0),IFERROR(VLOOKUP($C1867,COTAÇÕES!$B:$I,2,0),(VLOOKUP($C1867,'INSUMO SINAPI - SP'!$C:$F,2,0)))))</f>
        <v>LAVATÓRIO LOUÇA BRANCA COM COLUNA, *44 X 35,5* CM, PADRÃO POPULAR, INCLUSO SIFÃO FLEXÍVEL EM PVC, VÁLVULA E ENGATE FLEXÍVEL 30CM EM PLÁSTICO E COM TORNEIRA CROMADA PADRÃO POPULAR - FORNECIMENTO E INSTALAÇÃO. AF_01/2020</v>
      </c>
      <c r="F1867" s="510" t="str">
        <f>IF($C1867="",IFERROR(VLOOKUP($B1867,SERVIÇOS!$B:$G,3,0),IFERROR(VLOOKUP($B1867,$D:$K,3,0),"")),IFERROR(VLOOKUP($C1867,INSUMOS!$A:$D,3,0),IFERROR(VLOOKUP($C1867,COTAÇÕES!$B:$I,3,0),(VLOOKUP($C1867,'INSUMO SINAPI - SP'!$C:$F,3,0)))))</f>
        <v>UN</v>
      </c>
      <c r="G1867" s="511">
        <v>0.19018638265500201</v>
      </c>
      <c r="H1867" s="512">
        <f>IF($C1867="",IFERROR(VLOOKUP($B1867,SERVIÇOS!$B:$G,6,0),IFERROR(VLOOKUP($B1867,$D:$K,8,0),"")),IFERROR(VLOOKUP($C1867,INSUMOS!$A:$D,4,0),IFERROR(VLOOKUP($C1867,COTAÇÕES!$B:$I,7,0),(VLOOKUP($C1867,'INSUMO SINAPI - SP'!$C:$F,4,0)))))</f>
        <v>441.03</v>
      </c>
      <c r="I1867" s="513">
        <f>TRUNC(IF($C1867="",IFERROR(VLOOKUP($B1867,SERVIÇOS!$B:$G,4,0),IFERROR(VLOOKUP($B1867,$D:$K,6,0),)),IFERROR(VLOOKUP($C1867,INSUMOS!$A:$D,4,0),IFERROR(VLOOKUP($C1867,COTAÇÕES!$B:$I,7,0),(VLOOKUP($C1867,'INSUMO SINAPI - SP'!$C:$F,4,0)))))*$G1867,2)</f>
        <v>74.709999999999994</v>
      </c>
      <c r="J1867" s="513">
        <f>TRUNC(IF($C1867="",IFERROR(VLOOKUP($B1867,SERVIÇOS!$B:$G,5,0),IFERROR(VLOOKUP($B1867,$D:$K,7,0),)),0)*$G1867,2)</f>
        <v>9.16</v>
      </c>
      <c r="K1867" s="514">
        <f t="shared" si="68"/>
        <v>83.86999999999999</v>
      </c>
      <c r="L1867" s="515"/>
      <c r="M1867" s="471"/>
      <c r="Q1867" s="472"/>
      <c r="R1867" s="472"/>
      <c r="S1867" s="472"/>
      <c r="T1867" s="472"/>
      <c r="U1867" s="472"/>
      <c r="V1867" s="472"/>
      <c r="W1867" s="472"/>
      <c r="X1867" s="472"/>
      <c r="Y1867" s="472"/>
    </row>
    <row r="1868" spans="1:25" ht="24" x14ac:dyDescent="0.25">
      <c r="A1868" s="463"/>
      <c r="B1868" s="506">
        <v>98443</v>
      </c>
      <c r="C1868" s="507"/>
      <c r="D1868" s="508"/>
      <c r="E1868" s="509" t="str">
        <f>IF($C1868="",IFERROR(VLOOKUP($B1868,SERVIÇOS!$B:$G,2,0),IFERROR(VLOOKUP($B1868,$D:$K,2,0),"")),IFERROR(VLOOKUP($C1868,INSUMOS!$A:$D,2,0),IFERROR(VLOOKUP($C1868,COTAÇÕES!$B:$I,2,0),(VLOOKUP($C1868,'INSUMO SINAPI - SP'!$C:$F,2,0)))))</f>
        <v>PAREDE DE MADEIRA COMPENSADA PARA CONSTRUÇÃO TEMPORÁRIA EM CHAPA SIMPLES, INTERNA, SEM VÃO. AF_03/2024</v>
      </c>
      <c r="F1868" s="510" t="str">
        <f>IF($C1868="",IFERROR(VLOOKUP($B1868,SERVIÇOS!$B:$G,3,0),IFERROR(VLOOKUP($B1868,$D:$K,3,0),"")),IFERROR(VLOOKUP($C1868,INSUMOS!$A:$D,3,0),IFERROR(VLOOKUP($C1868,COTAÇÕES!$B:$I,3,0),(VLOOKUP($C1868,'INSUMO SINAPI - SP'!$C:$F,3,0)))))</f>
        <v>M2</v>
      </c>
      <c r="G1868" s="511">
        <v>0.86116394066184898</v>
      </c>
      <c r="H1868" s="512">
        <f>IF($C1868="",IFERROR(VLOOKUP($B1868,SERVIÇOS!$B:$G,6,0),IFERROR(VLOOKUP($B1868,$D:$K,8,0),"")),IFERROR(VLOOKUP($C1868,INSUMOS!$A:$D,4,0),IFERROR(VLOOKUP($C1868,COTAÇÕES!$B:$I,7,0),(VLOOKUP($C1868,'INSUMO SINAPI - SP'!$C:$F,4,0)))))</f>
        <v>72.72</v>
      </c>
      <c r="I1868" s="513">
        <f>TRUNC(IF($C1868="",IFERROR(VLOOKUP($B1868,SERVIÇOS!$B:$G,4,0),IFERROR(VLOOKUP($B1868,$D:$K,6,0),)),IFERROR(VLOOKUP($C1868,INSUMOS!$A:$D,4,0),IFERROR(VLOOKUP($C1868,COTAÇÕES!$B:$I,7,0),(VLOOKUP($C1868,'INSUMO SINAPI - SP'!$C:$F,4,0)))))*$G1868,2)</f>
        <v>45.65</v>
      </c>
      <c r="J1868" s="513">
        <f>TRUNC(IF($C1868="",IFERROR(VLOOKUP($B1868,SERVIÇOS!$B:$G,5,0),IFERROR(VLOOKUP($B1868,$D:$K,7,0),)),0)*$G1868,2)</f>
        <v>16.96</v>
      </c>
      <c r="K1868" s="514">
        <f t="shared" si="68"/>
        <v>62.61</v>
      </c>
      <c r="L1868" s="515"/>
      <c r="M1868" s="471"/>
      <c r="Q1868" s="472"/>
      <c r="R1868" s="472"/>
      <c r="S1868" s="472"/>
      <c r="T1868" s="472"/>
      <c r="U1868" s="472"/>
      <c r="V1868" s="472"/>
      <c r="W1868" s="472"/>
      <c r="X1868" s="472"/>
      <c r="Y1868" s="472"/>
    </row>
    <row r="1869" spans="1:25" ht="24" x14ac:dyDescent="0.25">
      <c r="A1869" s="463"/>
      <c r="B1869" s="506">
        <v>91991</v>
      </c>
      <c r="C1869" s="507"/>
      <c r="D1869" s="508"/>
      <c r="E1869" s="509" t="str">
        <f>IF($C1869="",IFERROR(VLOOKUP($B1869,SERVIÇOS!$B:$G,2,0),IFERROR(VLOOKUP($B1869,$D:$K,2,0),"")),IFERROR(VLOOKUP($C1869,INSUMOS!$A:$D,2,0),IFERROR(VLOOKUP($C1869,COTAÇÕES!$B:$I,2,0),(VLOOKUP($C1869,'INSUMO SINAPI - SP'!$C:$F,2,0)))))</f>
        <v>TOMADA ALTA DE EMBUTIR (1 MÓDULO), 2P+T 20 A, SEM SUPORTE E SEM PLACA - FORNECIMENTO E INSTALAÇÃO. AF_03/2023</v>
      </c>
      <c r="F1869" s="510" t="str">
        <f>IF($C1869="",IFERROR(VLOOKUP($B1869,SERVIÇOS!$B:$G,3,0),IFERROR(VLOOKUP($B1869,$D:$K,3,0),"")),IFERROR(VLOOKUP($C1869,INSUMOS!$A:$D,3,0),IFERROR(VLOOKUP($C1869,COTAÇÕES!$B:$I,3,0),(VLOOKUP($C1869,'INSUMO SINAPI - SP'!$C:$F,3,0)))))</f>
        <v>UN</v>
      </c>
      <c r="G1869" s="511">
        <v>0.34233548877900299</v>
      </c>
      <c r="H1869" s="512">
        <f>IF($C1869="",IFERROR(VLOOKUP($B1869,SERVIÇOS!$B:$G,6,0),IFERROR(VLOOKUP($B1869,$D:$K,8,0),"")),IFERROR(VLOOKUP($C1869,INSUMOS!$A:$D,4,0),IFERROR(VLOOKUP($C1869,COTAÇÕES!$B:$I,7,0),(VLOOKUP($C1869,'INSUMO SINAPI - SP'!$C:$F,4,0)))))</f>
        <v>45.9</v>
      </c>
      <c r="I1869" s="513">
        <f>TRUNC(IF($C1869="",IFERROR(VLOOKUP($B1869,SERVIÇOS!$B:$G,4,0),IFERROR(VLOOKUP($B1869,$D:$K,6,0),)),IFERROR(VLOOKUP($C1869,INSUMOS!$A:$D,4,0),IFERROR(VLOOKUP($C1869,COTAÇÕES!$B:$I,7,0),(VLOOKUP($C1869,'INSUMO SINAPI - SP'!$C:$F,4,0)))))*$G1869,2)</f>
        <v>7.05</v>
      </c>
      <c r="J1869" s="513">
        <f>TRUNC(IF($C1869="",IFERROR(VLOOKUP($B1869,SERVIÇOS!$B:$G,5,0),IFERROR(VLOOKUP($B1869,$D:$K,7,0),)),0)*$G1869,2)</f>
        <v>8.66</v>
      </c>
      <c r="K1869" s="514">
        <f t="shared" si="68"/>
        <v>15.71</v>
      </c>
      <c r="L1869" s="515"/>
      <c r="M1869" s="471"/>
      <c r="Q1869" s="472"/>
      <c r="R1869" s="472"/>
      <c r="S1869" s="472"/>
      <c r="T1869" s="472"/>
      <c r="U1869" s="472"/>
      <c r="V1869" s="472"/>
      <c r="W1869" s="472"/>
      <c r="X1869" s="472"/>
      <c r="Y1869" s="472"/>
    </row>
    <row r="1870" spans="1:25" ht="24" x14ac:dyDescent="0.25">
      <c r="A1870" s="463"/>
      <c r="B1870" s="506">
        <v>89984</v>
      </c>
      <c r="C1870" s="507"/>
      <c r="D1870" s="508"/>
      <c r="E1870" s="509" t="str">
        <f>IF($C1870="",IFERROR(VLOOKUP($B1870,SERVIÇOS!$B:$G,2,0),IFERROR(VLOOKUP($B1870,$D:$K,2,0),"")),IFERROR(VLOOKUP($C1870,INSUMOS!$A:$D,2,0),IFERROR(VLOOKUP($C1870,COTAÇÕES!$B:$I,2,0),(VLOOKUP($C1870,'INSUMO SINAPI - SP'!$C:$F,2,0)))))</f>
        <v>REGISTRO DE PRESSÃO BRUTO, LATÃO, ROSCÁVEL, 1/2", COM ACABAMENTO E CANOPLA CROMADOS - FORNECIMENTO E INSTALAÇÃO. AF_08/2021</v>
      </c>
      <c r="F1870" s="510" t="str">
        <f>IF($C1870="",IFERROR(VLOOKUP($B1870,SERVIÇOS!$B:$G,3,0),IFERROR(VLOOKUP($B1870,$D:$K,3,0),"")),IFERROR(VLOOKUP($C1870,INSUMOS!$A:$D,3,0),IFERROR(VLOOKUP($C1870,COTAÇÕES!$B:$I,3,0),(VLOOKUP($C1870,'INSUMO SINAPI - SP'!$C:$F,3,0)))))</f>
        <v>UN</v>
      </c>
      <c r="G1870" s="511">
        <v>0.34233548877900299</v>
      </c>
      <c r="H1870" s="512">
        <f>IF($C1870="",IFERROR(VLOOKUP($B1870,SERVIÇOS!$B:$G,6,0),IFERROR(VLOOKUP($B1870,$D:$K,8,0),"")),IFERROR(VLOOKUP($C1870,INSUMOS!$A:$D,4,0),IFERROR(VLOOKUP($C1870,COTAÇÕES!$B:$I,7,0),(VLOOKUP($C1870,'INSUMO SINAPI - SP'!$C:$F,4,0)))))</f>
        <v>86.1</v>
      </c>
      <c r="I1870" s="513">
        <f>TRUNC(IF($C1870="",IFERROR(VLOOKUP($B1870,SERVIÇOS!$B:$G,4,0),IFERROR(VLOOKUP($B1870,$D:$K,6,0),)),IFERROR(VLOOKUP($C1870,INSUMOS!$A:$D,4,0),IFERROR(VLOOKUP($C1870,COTAÇÕES!$B:$I,7,0),(VLOOKUP($C1870,'INSUMO SINAPI - SP'!$C:$F,4,0)))))*$G1870,2)</f>
        <v>26.43</v>
      </c>
      <c r="J1870" s="513">
        <f>TRUNC(IF($C1870="",IFERROR(VLOOKUP($B1870,SERVIÇOS!$B:$G,5,0),IFERROR(VLOOKUP($B1870,$D:$K,7,0),)),0)*$G1870,2)</f>
        <v>3.03</v>
      </c>
      <c r="K1870" s="514">
        <f t="shared" si="68"/>
        <v>29.46</v>
      </c>
      <c r="L1870" s="515"/>
      <c r="M1870" s="471"/>
      <c r="Q1870" s="472"/>
      <c r="R1870" s="472"/>
      <c r="S1870" s="472"/>
      <c r="T1870" s="472"/>
      <c r="U1870" s="472"/>
      <c r="V1870" s="472"/>
      <c r="W1870" s="472"/>
      <c r="X1870" s="472"/>
      <c r="Y1870" s="472"/>
    </row>
    <row r="1871" spans="1:25" ht="24" x14ac:dyDescent="0.25">
      <c r="A1871" s="463"/>
      <c r="B1871" s="506">
        <v>89402</v>
      </c>
      <c r="C1871" s="507"/>
      <c r="D1871" s="508"/>
      <c r="E1871" s="509" t="str">
        <f>IF($C1871="",IFERROR(VLOOKUP($B1871,SERVIÇOS!$B:$G,2,0),IFERROR(VLOOKUP($B1871,$D:$K,2,0),"")),IFERROR(VLOOKUP($C1871,INSUMOS!$A:$D,2,0),IFERROR(VLOOKUP($C1871,COTAÇÕES!$B:$I,2,0),(VLOOKUP($C1871,'INSUMO SINAPI - SP'!$C:$F,2,0)))))</f>
        <v>TUBO, PVC, SOLDÁVEL, DE 25MM, INSTALADO EM RAMAL DE DISTRIBUIÇÃO DE ÁGUA - FORNECIMENTO E INSTALAÇÃO. AF_06/2022</v>
      </c>
      <c r="F1871" s="510" t="str">
        <f>IF($C1871="",IFERROR(VLOOKUP($B1871,SERVIÇOS!$B:$G,3,0),IFERROR(VLOOKUP($B1871,$D:$K,3,0),"")),IFERROR(VLOOKUP($C1871,INSUMOS!$A:$D,3,0),IFERROR(VLOOKUP($C1871,COTAÇÕES!$B:$I,3,0),(VLOOKUP($C1871,'INSUMO SINAPI - SP'!$C:$F,3,0)))))</f>
        <v>M</v>
      </c>
      <c r="G1871" s="511">
        <v>0.53252187143400498</v>
      </c>
      <c r="H1871" s="512">
        <f>IF($C1871="",IFERROR(VLOOKUP($B1871,SERVIÇOS!$B:$G,6,0),IFERROR(VLOOKUP($B1871,$D:$K,8,0),"")),IFERROR(VLOOKUP($C1871,INSUMOS!$A:$D,4,0),IFERROR(VLOOKUP($C1871,COTAÇÕES!$B:$I,7,0),(VLOOKUP($C1871,'INSUMO SINAPI - SP'!$C:$F,4,0)))))</f>
        <v>14.18</v>
      </c>
      <c r="I1871" s="513">
        <f>TRUNC(IF($C1871="",IFERROR(VLOOKUP($B1871,SERVIÇOS!$B:$G,4,0),IFERROR(VLOOKUP($B1871,$D:$K,6,0),)),IFERROR(VLOOKUP($C1871,INSUMOS!$A:$D,4,0),IFERROR(VLOOKUP($C1871,COTAÇÕES!$B:$I,7,0),(VLOOKUP($C1871,'INSUMO SINAPI - SP'!$C:$F,4,0)))))*$G1871,2)</f>
        <v>3.45</v>
      </c>
      <c r="J1871" s="513">
        <f>TRUNC(IF($C1871="",IFERROR(VLOOKUP($B1871,SERVIÇOS!$B:$G,5,0),IFERROR(VLOOKUP($B1871,$D:$K,7,0),)),0)*$G1871,2)</f>
        <v>4.09</v>
      </c>
      <c r="K1871" s="514">
        <f t="shared" si="68"/>
        <v>7.54</v>
      </c>
      <c r="L1871" s="515"/>
      <c r="M1871" s="471"/>
      <c r="Q1871" s="472"/>
      <c r="R1871" s="472"/>
      <c r="S1871" s="472"/>
      <c r="T1871" s="472"/>
      <c r="U1871" s="472"/>
      <c r="V1871" s="472"/>
      <c r="W1871" s="472"/>
      <c r="X1871" s="472"/>
      <c r="Y1871" s="472"/>
    </row>
    <row r="1872" spans="1:25" ht="24" x14ac:dyDescent="0.25">
      <c r="A1872" s="463"/>
      <c r="B1872" s="506">
        <v>89709</v>
      </c>
      <c r="C1872" s="507"/>
      <c r="D1872" s="508"/>
      <c r="E1872" s="509" t="str">
        <f>IF($C1872="",IFERROR(VLOOKUP($B1872,SERVIÇOS!$B:$G,2,0),IFERROR(VLOOKUP($B1872,$D:$K,2,0),"")),IFERROR(VLOOKUP($C1872,INSUMOS!$A:$D,2,0),IFERROR(VLOOKUP($C1872,COTAÇÕES!$B:$I,2,0),(VLOOKUP($C1872,'INSUMO SINAPI - SP'!$C:$F,2,0)))))</f>
        <v>RALO SIFONADO, PVC, DN 100 X 40 MM, JUNTA SOLDÁVEL, FORNECIDO E INSTALADO EM RAMAL DE DESCARGA OU EM RAMAL DE ESGOTO SANITÁRIO. AF_08/2022</v>
      </c>
      <c r="F1872" s="510" t="str">
        <f>IF($C1872="",IFERROR(VLOOKUP($B1872,SERVIÇOS!$B:$G,3,0),IFERROR(VLOOKUP($B1872,$D:$K,3,0),"")),IFERROR(VLOOKUP($C1872,INSUMOS!$A:$D,3,0),IFERROR(VLOOKUP($C1872,COTAÇÕES!$B:$I,3,0),(VLOOKUP($C1872,'INSUMO SINAPI - SP'!$C:$F,3,0)))))</f>
        <v>UN</v>
      </c>
      <c r="G1872" s="511">
        <v>0.45644731837200497</v>
      </c>
      <c r="H1872" s="512">
        <f>IF($C1872="",IFERROR(VLOOKUP($B1872,SERVIÇOS!$B:$G,6,0),IFERROR(VLOOKUP($B1872,$D:$K,8,0),"")),IFERROR(VLOOKUP($C1872,INSUMOS!$A:$D,4,0),IFERROR(VLOOKUP($C1872,COTAÇÕES!$B:$I,7,0),(VLOOKUP($C1872,'INSUMO SINAPI - SP'!$C:$F,4,0)))))</f>
        <v>23.53</v>
      </c>
      <c r="I1872" s="513">
        <f>TRUNC(IF($C1872="",IFERROR(VLOOKUP($B1872,SERVIÇOS!$B:$G,4,0),IFERROR(VLOOKUP($B1872,$D:$K,6,0),)),IFERROR(VLOOKUP($C1872,INSUMOS!$A:$D,4,0),IFERROR(VLOOKUP($C1872,COTAÇÕES!$B:$I,7,0),(VLOOKUP($C1872,'INSUMO SINAPI - SP'!$C:$F,4,0)))))*$G1872,2)</f>
        <v>7.08</v>
      </c>
      <c r="J1872" s="513">
        <f>TRUNC(IF($C1872="",IFERROR(VLOOKUP($B1872,SERVIÇOS!$B:$G,5,0),IFERROR(VLOOKUP($B1872,$D:$K,7,0),)),0)*$G1872,2)</f>
        <v>3.65</v>
      </c>
      <c r="K1872" s="514">
        <f t="shared" si="68"/>
        <v>10.73</v>
      </c>
      <c r="L1872" s="515"/>
      <c r="M1872" s="471"/>
      <c r="Q1872" s="472"/>
      <c r="R1872" s="472"/>
      <c r="S1872" s="472"/>
      <c r="T1872" s="472"/>
      <c r="U1872" s="472"/>
      <c r="V1872" s="472"/>
      <c r="W1872" s="472"/>
      <c r="X1872" s="472"/>
      <c r="Y1872" s="472"/>
    </row>
    <row r="1873" spans="1:25" ht="24" x14ac:dyDescent="0.25">
      <c r="A1873" s="463"/>
      <c r="B1873" s="506">
        <v>89711</v>
      </c>
      <c r="C1873" s="507"/>
      <c r="D1873" s="508"/>
      <c r="E1873" s="509" t="str">
        <f>IF($C1873="",IFERROR(VLOOKUP($B1873,SERVIÇOS!$B:$G,2,0),IFERROR(VLOOKUP($B1873,$D:$K,2,0),"")),IFERROR(VLOOKUP($C1873,INSUMOS!$A:$D,2,0),IFERROR(VLOOKUP($C1873,COTAÇÕES!$B:$I,2,0),(VLOOKUP($C1873,'INSUMO SINAPI - SP'!$C:$F,2,0)))))</f>
        <v>TUBO PVC, SERIE NORMAL, ESGOTO PREDIAL, DN 40 MM, FORNECIDO E INSTALADO EM RAMAL DE DESCARGA OU RAMAL DE ESGOTO SANITÁRIO. AF_08/2022</v>
      </c>
      <c r="F1873" s="510" t="str">
        <f>IF($C1873="",IFERROR(VLOOKUP($B1873,SERVIÇOS!$B:$G,3,0),IFERROR(VLOOKUP($B1873,$D:$K,3,0),"")),IFERROR(VLOOKUP($C1873,INSUMOS!$A:$D,3,0),IFERROR(VLOOKUP($C1873,COTAÇÕES!$B:$I,3,0),(VLOOKUP($C1873,'INSUMO SINAPI - SP'!$C:$F,3,0)))))</f>
        <v>M</v>
      </c>
      <c r="G1873" s="511">
        <v>0.60859642449600604</v>
      </c>
      <c r="H1873" s="512">
        <f>IF($C1873="",IFERROR(VLOOKUP($B1873,SERVIÇOS!$B:$G,6,0),IFERROR(VLOOKUP($B1873,$D:$K,8,0),"")),IFERROR(VLOOKUP($C1873,INSUMOS!$A:$D,4,0),IFERROR(VLOOKUP($C1873,COTAÇÕES!$B:$I,7,0),(VLOOKUP($C1873,'INSUMO SINAPI - SP'!$C:$F,4,0)))))</f>
        <v>25.94</v>
      </c>
      <c r="I1873" s="513">
        <f>TRUNC(IF($C1873="",IFERROR(VLOOKUP($B1873,SERVIÇOS!$B:$G,4,0),IFERROR(VLOOKUP($B1873,$D:$K,6,0),)),IFERROR(VLOOKUP($C1873,INSUMOS!$A:$D,4,0),IFERROR(VLOOKUP($C1873,COTAÇÕES!$B:$I,7,0),(VLOOKUP($C1873,'INSUMO SINAPI - SP'!$C:$F,4,0)))))*$G1873,2)</f>
        <v>7.12</v>
      </c>
      <c r="J1873" s="513">
        <f>TRUNC(IF($C1873="",IFERROR(VLOOKUP($B1873,SERVIÇOS!$B:$G,5,0),IFERROR(VLOOKUP($B1873,$D:$K,7,0),)),0)*$G1873,2)</f>
        <v>8.66</v>
      </c>
      <c r="K1873" s="514">
        <f t="shared" si="68"/>
        <v>15.780000000000001</v>
      </c>
      <c r="L1873" s="515"/>
      <c r="M1873" s="471"/>
      <c r="Q1873" s="472"/>
      <c r="R1873" s="472"/>
      <c r="S1873" s="472"/>
      <c r="T1873" s="472"/>
      <c r="U1873" s="472"/>
      <c r="V1873" s="472"/>
      <c r="W1873" s="472"/>
      <c r="X1873" s="472"/>
      <c r="Y1873" s="472"/>
    </row>
    <row r="1874" spans="1:25" ht="24" x14ac:dyDescent="0.25">
      <c r="A1874" s="463"/>
      <c r="B1874" s="506">
        <v>89714</v>
      </c>
      <c r="C1874" s="507"/>
      <c r="D1874" s="508"/>
      <c r="E1874" s="509" t="str">
        <f>IF($C1874="",IFERROR(VLOOKUP($B1874,SERVIÇOS!$B:$G,2,0),IFERROR(VLOOKUP($B1874,$D:$K,2,0),"")),IFERROR(VLOOKUP($C1874,INSUMOS!$A:$D,2,0),IFERROR(VLOOKUP($C1874,COTAÇÕES!$B:$I,2,0),(VLOOKUP($C1874,'INSUMO SINAPI - SP'!$C:$F,2,0)))))</f>
        <v>TUBO PVC, SERIE NORMAL, ESGOTO PREDIAL, DN 100 MM, FORNECIDO E INSTALADO EM RAMAL DE DESCARGA OU RAMAL DE ESGOTO SANITÁRIO. AF_08/2022</v>
      </c>
      <c r="F1874" s="510" t="str">
        <f>IF($C1874="",IFERROR(VLOOKUP($B1874,SERVIÇOS!$B:$G,3,0),IFERROR(VLOOKUP($B1874,$D:$K,3,0),"")),IFERROR(VLOOKUP($C1874,INSUMOS!$A:$D,3,0),IFERROR(VLOOKUP($C1874,COTAÇÕES!$B:$I,3,0),(VLOOKUP($C1874,'INSUMO SINAPI - SP'!$C:$F,3,0)))))</f>
        <v>M</v>
      </c>
      <c r="G1874" s="511">
        <v>0.26626093571700299</v>
      </c>
      <c r="H1874" s="512">
        <f>IF($C1874="",IFERROR(VLOOKUP($B1874,SERVIÇOS!$B:$G,6,0),IFERROR(VLOOKUP($B1874,$D:$K,8,0),"")),IFERROR(VLOOKUP($C1874,INSUMOS!$A:$D,4,0),IFERROR(VLOOKUP($C1874,COTAÇÕES!$B:$I,7,0),(VLOOKUP($C1874,'INSUMO SINAPI - SP'!$C:$F,4,0)))))</f>
        <v>44.46</v>
      </c>
      <c r="I1874" s="513">
        <f>TRUNC(IF($C1874="",IFERROR(VLOOKUP($B1874,SERVIÇOS!$B:$G,4,0),IFERROR(VLOOKUP($B1874,$D:$K,6,0),)),IFERROR(VLOOKUP($C1874,INSUMOS!$A:$D,4,0),IFERROR(VLOOKUP($C1874,COTAÇÕES!$B:$I,7,0),(VLOOKUP($C1874,'INSUMO SINAPI - SP'!$C:$F,4,0)))))*$G1874,2)</f>
        <v>6.08</v>
      </c>
      <c r="J1874" s="513">
        <f>TRUNC(IF($C1874="",IFERROR(VLOOKUP($B1874,SERVIÇOS!$B:$G,5,0),IFERROR(VLOOKUP($B1874,$D:$K,7,0),)),0)*$G1874,2)</f>
        <v>5.74</v>
      </c>
      <c r="K1874" s="514">
        <f t="shared" si="68"/>
        <v>11.82</v>
      </c>
      <c r="L1874" s="515"/>
      <c r="M1874" s="471"/>
      <c r="Q1874" s="472"/>
      <c r="R1874" s="472"/>
      <c r="S1874" s="472"/>
      <c r="T1874" s="472"/>
      <c r="U1874" s="472"/>
      <c r="V1874" s="472"/>
      <c r="W1874" s="472"/>
      <c r="X1874" s="472"/>
      <c r="Y1874" s="472"/>
    </row>
    <row r="1875" spans="1:25" ht="36" x14ac:dyDescent="0.25">
      <c r="A1875" s="463"/>
      <c r="B1875" s="506">
        <v>92543</v>
      </c>
      <c r="C1875" s="507"/>
      <c r="D1875" s="508"/>
      <c r="E1875" s="509" t="str">
        <f>IF($C1875="",IFERROR(VLOOKUP($B1875,SERVIÇOS!$B:$G,2,0),IFERROR(VLOOKUP($B1875,$D:$K,2,0),"")),IFERROR(VLOOKUP($C1875,INSUMOS!$A:$D,2,0),IFERROR(VLOOKUP($C1875,COTAÇÕES!$B:$I,2,0),(VLOOKUP($C1875,'INSUMO SINAPI - SP'!$C:$F,2,0)))))</f>
        <v>TRAMA DE MADEIRA COMPOSTA POR TERÇAS PARA TELHADOS DE ATÉ 2 ÁGUAS PARA TELHA ONDULADA DE FIBROCIMENTO, METÁLICA, PLÁSTICA OU TERMOACÚSTICA, INCLUSO TRANSPORTE VERTICAL. AF_07/2019</v>
      </c>
      <c r="F1875" s="510" t="str">
        <f>IF($C1875="",IFERROR(VLOOKUP($B1875,SERVIÇOS!$B:$G,3,0),IFERROR(VLOOKUP($B1875,$D:$K,3,0),"")),IFERROR(VLOOKUP($C1875,INSUMOS!$A:$D,3,0),IFERROR(VLOOKUP($C1875,COTAÇÕES!$B:$I,3,0),(VLOOKUP($C1875,'INSUMO SINAPI - SP'!$C:$F,3,0)))))</f>
        <v>M2</v>
      </c>
      <c r="G1875" s="511">
        <v>1.4994294408520401</v>
      </c>
      <c r="H1875" s="512">
        <f>IF($C1875="",IFERROR(VLOOKUP($B1875,SERVIÇOS!$B:$G,6,0),IFERROR(VLOOKUP($B1875,$D:$K,8,0),"")),IFERROR(VLOOKUP($C1875,INSUMOS!$A:$D,4,0),IFERROR(VLOOKUP($C1875,COTAÇÕES!$B:$I,7,0),(VLOOKUP($C1875,'INSUMO SINAPI - SP'!$C:$F,4,0)))))</f>
        <v>27.73</v>
      </c>
      <c r="I1875" s="513">
        <f>TRUNC(IF($C1875="",IFERROR(VLOOKUP($B1875,SERVIÇOS!$B:$G,4,0),IFERROR(VLOOKUP($B1875,$D:$K,6,0),)),IFERROR(VLOOKUP($C1875,INSUMOS!$A:$D,4,0),IFERROR(VLOOKUP($C1875,COTAÇÕES!$B:$I,7,0),(VLOOKUP($C1875,'INSUMO SINAPI - SP'!$C:$F,4,0)))))*$G1875,2)</f>
        <v>34.29</v>
      </c>
      <c r="J1875" s="513">
        <f>TRUNC(IF($C1875="",IFERROR(VLOOKUP($B1875,SERVIÇOS!$B:$G,5,0),IFERROR(VLOOKUP($B1875,$D:$K,7,0),)),0)*$G1875,2)</f>
        <v>7.28</v>
      </c>
      <c r="K1875" s="514">
        <f t="shared" si="68"/>
        <v>41.57</v>
      </c>
      <c r="L1875" s="515"/>
      <c r="M1875" s="471"/>
      <c r="Q1875" s="472"/>
      <c r="R1875" s="472"/>
      <c r="S1875" s="472"/>
      <c r="T1875" s="472"/>
      <c r="U1875" s="472"/>
      <c r="V1875" s="472"/>
      <c r="W1875" s="472"/>
      <c r="X1875" s="472"/>
      <c r="Y1875" s="472"/>
    </row>
    <row r="1876" spans="1:25" ht="24" x14ac:dyDescent="0.25">
      <c r="A1876" s="463"/>
      <c r="B1876" s="506">
        <v>94216</v>
      </c>
      <c r="C1876" s="507"/>
      <c r="D1876" s="508"/>
      <c r="E1876" s="509" t="str">
        <f>IF($C1876="",IFERROR(VLOOKUP($B1876,SERVIÇOS!$B:$G,2,0),IFERROR(VLOOKUP($B1876,$D:$K,2,0),"")),IFERROR(VLOOKUP($C1876,INSUMOS!$A:$D,2,0),IFERROR(VLOOKUP($C1876,COTAÇÕES!$B:$I,2,0),(VLOOKUP($C1876,'INSUMO SINAPI - SP'!$C:$F,2,0)))))</f>
        <v>TELHAMENTO COM TELHA METÁLICA TERMOACÚSTICA E = 30 MM, COM ATÉ 2 ÁGUAS, INCLUSO IÇAMENTO. AF_07/2019</v>
      </c>
      <c r="F1876" s="510" t="str">
        <f>IF($C1876="",IFERROR(VLOOKUP($B1876,SERVIÇOS!$B:$G,3,0),IFERROR(VLOOKUP($B1876,$D:$K,3,0),"")),IFERROR(VLOOKUP($C1876,INSUMOS!$A:$D,3,0),IFERROR(VLOOKUP($C1876,COTAÇÕES!$B:$I,3,0),(VLOOKUP($C1876,'INSUMO SINAPI - SP'!$C:$F,3,0)))))</f>
        <v>M2</v>
      </c>
      <c r="G1876" s="511">
        <v>1.4994294408520401</v>
      </c>
      <c r="H1876" s="512">
        <f>IF($C1876="",IFERROR(VLOOKUP($B1876,SERVIÇOS!$B:$G,6,0),IFERROR(VLOOKUP($B1876,$D:$K,8,0),"")),IFERROR(VLOOKUP($C1876,INSUMOS!$A:$D,4,0),IFERROR(VLOOKUP($C1876,COTAÇÕES!$B:$I,7,0),(VLOOKUP($C1876,'INSUMO SINAPI - SP'!$C:$F,4,0)))))</f>
        <v>204.19</v>
      </c>
      <c r="I1876" s="513">
        <f>TRUNC(IF($C1876="",IFERROR(VLOOKUP($B1876,SERVIÇOS!$B:$G,4,0),IFERROR(VLOOKUP($B1876,$D:$K,6,0),)),IFERROR(VLOOKUP($C1876,INSUMOS!$A:$D,4,0),IFERROR(VLOOKUP($C1876,COTAÇÕES!$B:$I,7,0),(VLOOKUP($C1876,'INSUMO SINAPI - SP'!$C:$F,4,0)))))*$G1876,2)</f>
        <v>302.01</v>
      </c>
      <c r="J1876" s="513">
        <f>TRUNC(IF($C1876="",IFERROR(VLOOKUP($B1876,SERVIÇOS!$B:$G,5,0),IFERROR(VLOOKUP($B1876,$D:$K,7,0),)),0)*$G1876,2)</f>
        <v>4.1500000000000004</v>
      </c>
      <c r="K1876" s="514">
        <f t="shared" si="68"/>
        <v>306.15999999999997</v>
      </c>
      <c r="L1876" s="515"/>
      <c r="M1876" s="471"/>
      <c r="Q1876" s="472"/>
      <c r="R1876" s="472"/>
      <c r="S1876" s="472"/>
      <c r="T1876" s="472"/>
      <c r="U1876" s="472"/>
      <c r="V1876" s="472"/>
      <c r="W1876" s="472"/>
      <c r="X1876" s="472"/>
      <c r="Y1876" s="472"/>
    </row>
    <row r="1877" spans="1:25" x14ac:dyDescent="0.25">
      <c r="A1877" s="463"/>
      <c r="B1877" s="506">
        <v>88489</v>
      </c>
      <c r="C1877" s="507"/>
      <c r="D1877" s="508"/>
      <c r="E1877" s="509" t="str">
        <f>IF($C1877="",IFERROR(VLOOKUP($B1877,SERVIÇOS!$B:$G,2,0),IFERROR(VLOOKUP($B1877,$D:$K,2,0),"")),IFERROR(VLOOKUP($C1877,INSUMOS!$A:$D,2,0),IFERROR(VLOOKUP($C1877,COTAÇÕES!$B:$I,2,0),(VLOOKUP($C1877,'INSUMO SINAPI - SP'!$C:$F,2,0)))))</f>
        <v>PINTURA LÁTEX ACRÍLICA PREMIUM, APLICAÇÃO MANUAL EM PAREDES, DUAS DEMÃOS. AF_04/2023</v>
      </c>
      <c r="F1877" s="510" t="str">
        <f>IF($C1877="",IFERROR(VLOOKUP($B1877,SERVIÇOS!$B:$G,3,0),IFERROR(VLOOKUP($B1877,$D:$K,3,0),"")),IFERROR(VLOOKUP($C1877,INSUMOS!$A:$D,3,0),IFERROR(VLOOKUP($C1877,COTAÇÕES!$B:$I,3,0),(VLOOKUP($C1877,'INSUMO SINAPI - SP'!$C:$F,3,0)))))</f>
        <v>M2</v>
      </c>
      <c r="G1877" s="511">
        <v>1.35222681359045</v>
      </c>
      <c r="H1877" s="512">
        <f>IF($C1877="",IFERROR(VLOOKUP($B1877,SERVIÇOS!$B:$G,6,0),IFERROR(VLOOKUP($B1877,$D:$K,8,0),"")),IFERROR(VLOOKUP($C1877,INSUMOS!$A:$D,4,0),IFERROR(VLOOKUP($C1877,COTAÇÕES!$B:$I,7,0),(VLOOKUP($C1877,'INSUMO SINAPI - SP'!$C:$F,4,0)))))</f>
        <v>14.22</v>
      </c>
      <c r="I1877" s="513">
        <f>TRUNC(IF($C1877="",IFERROR(VLOOKUP($B1877,SERVIÇOS!$B:$G,4,0),IFERROR(VLOOKUP($B1877,$D:$K,6,0),)),IFERROR(VLOOKUP($C1877,INSUMOS!$A:$D,4,0),IFERROR(VLOOKUP($C1877,COTAÇÕES!$B:$I,7,0),(VLOOKUP($C1877,'INSUMO SINAPI - SP'!$C:$F,4,0)))))*$G1877,2)</f>
        <v>11.75</v>
      </c>
      <c r="J1877" s="513">
        <f>TRUNC(IF($C1877="",IFERROR(VLOOKUP($B1877,SERVIÇOS!$B:$G,5,0),IFERROR(VLOOKUP($B1877,$D:$K,7,0),)),0)*$G1877,2)</f>
        <v>7.47</v>
      </c>
      <c r="K1877" s="514">
        <f t="shared" si="68"/>
        <v>19.22</v>
      </c>
      <c r="L1877" s="515"/>
      <c r="M1877" s="471"/>
      <c r="Q1877" s="472"/>
      <c r="R1877" s="472"/>
      <c r="S1877" s="472"/>
      <c r="T1877" s="472"/>
      <c r="U1877" s="472"/>
      <c r="V1877" s="472"/>
      <c r="W1877" s="472"/>
      <c r="X1877" s="472"/>
      <c r="Y1877" s="472"/>
    </row>
    <row r="1878" spans="1:25" ht="24" x14ac:dyDescent="0.25">
      <c r="A1878" s="463"/>
      <c r="B1878" s="506">
        <v>102218</v>
      </c>
      <c r="C1878" s="507"/>
      <c r="D1878" s="508"/>
      <c r="E1878" s="509" t="str">
        <f>IF($C1878="",IFERROR(VLOOKUP($B1878,SERVIÇOS!$B:$G,2,0),IFERROR(VLOOKUP($B1878,$D:$K,2,0),"")),IFERROR(VLOOKUP($C1878,INSUMOS!$A:$D,2,0),IFERROR(VLOOKUP($C1878,COTAÇÕES!$B:$I,2,0),(VLOOKUP($C1878,'INSUMO SINAPI - SP'!$C:$F,2,0)))))</f>
        <v>PINTURA TINTA DE ACABAMENTO (PIGMENTADA) ESMALTE SINTÉTICO FOSCO EM MADEIRA, 2 DEMÃOS. AF_01/2021</v>
      </c>
      <c r="F1878" s="510" t="str">
        <f>IF($C1878="",IFERROR(VLOOKUP($B1878,SERVIÇOS!$B:$G,3,0),IFERROR(VLOOKUP($B1878,$D:$K,3,0),"")),IFERROR(VLOOKUP($C1878,INSUMOS!$A:$D,3,0),IFERROR(VLOOKUP($C1878,COTAÇÕES!$B:$I,3,0),(VLOOKUP($C1878,'INSUMO SINAPI - SP'!$C:$F,3,0)))))</f>
        <v>M2</v>
      </c>
      <c r="G1878" s="511">
        <v>0.15214910612400201</v>
      </c>
      <c r="H1878" s="512">
        <f>IF($C1878="",IFERROR(VLOOKUP($B1878,SERVIÇOS!$B:$G,6,0),IFERROR(VLOOKUP($B1878,$D:$K,8,0),"")),IFERROR(VLOOKUP($C1878,INSUMOS!$A:$D,4,0),IFERROR(VLOOKUP($C1878,COTAÇÕES!$B:$I,7,0),(VLOOKUP($C1878,'INSUMO SINAPI - SP'!$C:$F,4,0)))))</f>
        <v>19.850000000000001</v>
      </c>
      <c r="I1878" s="513">
        <f>TRUNC(IF($C1878="",IFERROR(VLOOKUP($B1878,SERVIÇOS!$B:$G,4,0),IFERROR(VLOOKUP($B1878,$D:$K,6,0),)),IFERROR(VLOOKUP($C1878,INSUMOS!$A:$D,4,0),IFERROR(VLOOKUP($C1878,COTAÇÕES!$B:$I,7,0),(VLOOKUP($C1878,'INSUMO SINAPI - SP'!$C:$F,4,0)))))*$G1878,2)</f>
        <v>1.43</v>
      </c>
      <c r="J1878" s="513">
        <f>TRUNC(IF($C1878="",IFERROR(VLOOKUP($B1878,SERVIÇOS!$B:$G,5,0),IFERROR(VLOOKUP($B1878,$D:$K,7,0),)),0)*$G1878,2)</f>
        <v>1.58</v>
      </c>
      <c r="K1878" s="514">
        <f t="shared" si="68"/>
        <v>3.01</v>
      </c>
      <c r="L1878" s="515"/>
      <c r="M1878" s="471"/>
      <c r="Q1878" s="472"/>
      <c r="R1878" s="472"/>
      <c r="S1878" s="472"/>
      <c r="T1878" s="472"/>
      <c r="U1878" s="472"/>
      <c r="V1878" s="472"/>
      <c r="W1878" s="472"/>
      <c r="X1878" s="472"/>
      <c r="Y1878" s="472"/>
    </row>
    <row r="1879" spans="1:25" ht="48" x14ac:dyDescent="0.25">
      <c r="A1879" s="463"/>
      <c r="B1879" s="506">
        <v>94559</v>
      </c>
      <c r="C1879" s="507"/>
      <c r="D1879" s="508"/>
      <c r="E1879" s="509" t="str">
        <f>IF($C1879="",IFERROR(VLOOKUP($B1879,SERVIÇOS!$B:$G,2,0),IFERROR(VLOOKUP($B1879,$D:$K,2,0),"")),IFERROR(VLOOKUP($C1879,INSUMOS!$A:$D,2,0),IFERROR(VLOOKUP($C1879,COTAÇÕES!$B:$I,2,0),(VLOOKUP($C1879,'INSUMO SINAPI - SP'!$C:$F,2,0)))))</f>
        <v>JANELA DE AÇO TIPO BASCULANTE, PARA VIDROS (VIDROS NÃO INCLUSOS), BATENTE/ REQUADRO INCLUSO (6,5 A 14 CM), DIMENSÕES 60X60 CM, COM COM PINTURA ANTICORROSIVA, SEM ACABAMENTO, COM FERRAGENS, FIXAÇÃO COM ARGAMASSA, EXCLUSIVE CONTRAMARCO - FORNECIMENTO E INSTALAÇÃO. AF_11/2024</v>
      </c>
      <c r="F1879" s="510" t="str">
        <f>IF($C1879="",IFERROR(VLOOKUP($B1879,SERVIÇOS!$B:$G,3,0),IFERROR(VLOOKUP($B1879,$D:$K,3,0),"")),IFERROR(VLOOKUP($C1879,INSUMOS!$A:$D,3,0),IFERROR(VLOOKUP($C1879,COTAÇÕES!$B:$I,3,0),(VLOOKUP($C1879,'INSUMO SINAPI - SP'!$C:$F,3,0)))))</f>
        <v>M2</v>
      </c>
      <c r="G1879" s="511">
        <v>4.8687713959680502E-2</v>
      </c>
      <c r="H1879" s="512">
        <f>IF($C1879="",IFERROR(VLOOKUP($B1879,SERVIÇOS!$B:$G,6,0),IFERROR(VLOOKUP($B1879,$D:$K,8,0),"")),IFERROR(VLOOKUP($C1879,INSUMOS!$A:$D,4,0),IFERROR(VLOOKUP($C1879,COTAÇÕES!$B:$I,7,0),(VLOOKUP($C1879,'INSUMO SINAPI - SP'!$C:$F,4,0)))))</f>
        <v>789.79</v>
      </c>
      <c r="I1879" s="513">
        <f>TRUNC(IF($C1879="",IFERROR(VLOOKUP($B1879,SERVIÇOS!$B:$G,4,0),IFERROR(VLOOKUP($B1879,$D:$K,6,0),)),IFERROR(VLOOKUP($C1879,INSUMOS!$A:$D,4,0),IFERROR(VLOOKUP($C1879,COTAÇÕES!$B:$I,7,0),(VLOOKUP($C1879,'INSUMO SINAPI - SP'!$C:$F,4,0)))))*$G1879,2)</f>
        <v>29</v>
      </c>
      <c r="J1879" s="513">
        <f>TRUNC(IF($C1879="",IFERROR(VLOOKUP($B1879,SERVIÇOS!$B:$G,5,0),IFERROR(VLOOKUP($B1879,$D:$K,7,0),)),0)*$G1879,2)</f>
        <v>9.4499999999999993</v>
      </c>
      <c r="K1879" s="514">
        <f t="shared" si="68"/>
        <v>38.450000000000003</v>
      </c>
      <c r="L1879" s="515"/>
      <c r="M1879" s="471"/>
      <c r="Q1879" s="472"/>
      <c r="R1879" s="472"/>
      <c r="S1879" s="472"/>
      <c r="T1879" s="472"/>
      <c r="U1879" s="472"/>
      <c r="V1879" s="472"/>
      <c r="W1879" s="472"/>
      <c r="X1879" s="472"/>
      <c r="Y1879" s="472"/>
    </row>
    <row r="1880" spans="1:25" ht="36" x14ac:dyDescent="0.25">
      <c r="A1880" s="463"/>
      <c r="B1880" s="506">
        <v>100725</v>
      </c>
      <c r="C1880" s="507"/>
      <c r="D1880" s="508"/>
      <c r="E1880" s="509" t="str">
        <f>IF($C1880="",IFERROR(VLOOKUP($B1880,SERVIÇOS!$B:$G,2,0),IFERROR(VLOOKUP($B1880,$D:$K,2,0),"")),IFERROR(VLOOKUP($C1880,INSUMOS!$A:$D,2,0),IFERROR(VLOOKUP($C1880,COTAÇÕES!$B:$I,2,0),(VLOOKUP($C1880,'INSUMO SINAPI - SP'!$C:$F,2,0)))))</f>
        <v>PINTURA COM TINTA ALQUÍDICA DE FUNDO E ACABAMENTO (ESMALTE SINTÉTICO GRAFITE) PULVERIZADA SOBRE SUPERFÍCIES METÁLICAS (EXCETO PERFIL) EXECUTADO EM OBRA (POR DEMÃO). AF_01/2020_PE</v>
      </c>
      <c r="F1880" s="510" t="str">
        <f>IF($C1880="",IFERROR(VLOOKUP($B1880,SERVIÇOS!$B:$G,3,0),IFERROR(VLOOKUP($B1880,$D:$K,3,0),"")),IFERROR(VLOOKUP($C1880,INSUMOS!$A:$D,3,0),IFERROR(VLOOKUP($C1880,COTAÇÕES!$B:$I,3,0),(VLOOKUP($C1880,'INSUMO SINAPI - SP'!$C:$F,3,0)))))</f>
        <v>M2</v>
      </c>
      <c r="G1880" s="511">
        <v>9.7375427919361005E-2</v>
      </c>
      <c r="H1880" s="512">
        <f>IF($C1880="",IFERROR(VLOOKUP($B1880,SERVIÇOS!$B:$G,6,0),IFERROR(VLOOKUP($B1880,$D:$K,8,0),"")),IFERROR(VLOOKUP($C1880,INSUMOS!$A:$D,4,0),IFERROR(VLOOKUP($C1880,COTAÇÕES!$B:$I,7,0),(VLOOKUP($C1880,'INSUMO SINAPI - SP'!$C:$F,4,0)))))</f>
        <v>30.11</v>
      </c>
      <c r="I1880" s="513">
        <f>TRUNC(IF($C1880="",IFERROR(VLOOKUP($B1880,SERVIÇOS!$B:$G,4,0),IFERROR(VLOOKUP($B1880,$D:$K,6,0),)),IFERROR(VLOOKUP($C1880,INSUMOS!$A:$D,4,0),IFERROR(VLOOKUP($C1880,COTAÇÕES!$B:$I,7,0),(VLOOKUP($C1880,'INSUMO SINAPI - SP'!$C:$F,4,0)))))*$G1880,2)</f>
        <v>1.52</v>
      </c>
      <c r="J1880" s="513">
        <f>TRUNC(IF($C1880="",IFERROR(VLOOKUP($B1880,SERVIÇOS!$B:$G,5,0),IFERROR(VLOOKUP($B1880,$D:$K,7,0),)),0)*$G1880,2)</f>
        <v>1.4</v>
      </c>
      <c r="K1880" s="514">
        <f t="shared" si="68"/>
        <v>2.92</v>
      </c>
      <c r="L1880" s="515"/>
      <c r="M1880" s="471"/>
      <c r="Q1880" s="472"/>
      <c r="R1880" s="472"/>
      <c r="S1880" s="472"/>
      <c r="T1880" s="472"/>
      <c r="U1880" s="472"/>
      <c r="V1880" s="472"/>
      <c r="W1880" s="472"/>
      <c r="X1880" s="472"/>
      <c r="Y1880" s="472"/>
    </row>
    <row r="1881" spans="1:25" ht="24" x14ac:dyDescent="0.25">
      <c r="A1881" s="463"/>
      <c r="B1881" s="498"/>
      <c r="C1881" s="498"/>
      <c r="D1881" s="499" t="s">
        <v>12567</v>
      </c>
      <c r="E1881" s="500" t="s">
        <v>13511</v>
      </c>
      <c r="F1881" s="501" t="s">
        <v>578</v>
      </c>
      <c r="G1881" s="502"/>
      <c r="H1881" s="503"/>
      <c r="I1881" s="504">
        <f>ROUND(SUM(I1882:I1902),2)</f>
        <v>1438.27</v>
      </c>
      <c r="J1881" s="504">
        <f>ROUND(SUM(J1882:J1902),2)</f>
        <v>290.95999999999998</v>
      </c>
      <c r="K1881" s="504">
        <f>+J1881+I1881</f>
        <v>1729.23</v>
      </c>
      <c r="L1881" s="523"/>
      <c r="M1881" s="471"/>
      <c r="Q1881" s="472"/>
      <c r="R1881" s="472"/>
      <c r="S1881" s="472"/>
      <c r="T1881" s="472"/>
      <c r="U1881" s="472"/>
      <c r="V1881" s="472"/>
      <c r="W1881" s="472"/>
      <c r="X1881" s="472"/>
      <c r="Y1881" s="472"/>
    </row>
    <row r="1882" spans="1:25" ht="24" x14ac:dyDescent="0.25">
      <c r="A1882" s="463"/>
      <c r="B1882" s="506" t="s">
        <v>13506</v>
      </c>
      <c r="C1882" s="507"/>
      <c r="D1882" s="508"/>
      <c r="E1882" s="509" t="str">
        <f>IF($C1882="",IFERROR(VLOOKUP($B1882,SERVIÇOS!$B:$G,2,0),IFERROR(VLOOKUP($B1882,$D:$K,2,0),"")),IFERROR(VLOOKUP($C1882,INSUMOS!$A:$D,2,0),IFERROR(VLOOKUP($C1882,COTAÇÕES!$B:$I,2,0),(VLOOKUP($C1882,'INSUMO SINAPI - SP'!$C:$F,2,0)))))</f>
        <v>PAREDE DE COM TELHA METALICA TRAPEZOIDAL, ALTURA 40MM ESPESSURA 0,5MM PARA CONSTRUÇÃO TEMPORÁRIA, COM CHAPA DE MADEIRA INTERNA</v>
      </c>
      <c r="F1882" s="510" t="str">
        <f>IF($C1882="",IFERROR(VLOOKUP($B1882,SERVIÇOS!$B:$G,3,0),IFERROR(VLOOKUP($B1882,$D:$K,3,0),"")),IFERROR(VLOOKUP($C1882,INSUMOS!$A:$D,3,0),IFERROR(VLOOKUP($C1882,COTAÇÕES!$B:$I,3,0),(VLOOKUP($C1882,'INSUMO SINAPI - SP'!$C:$F,3,0)))))</f>
        <v>M2</v>
      </c>
      <c r="G1882" s="511">
        <v>1.5198675496688701</v>
      </c>
      <c r="H1882" s="512">
        <f>IF($C1882="",IFERROR(VLOOKUP($B1882,SERVIÇOS!$B:$G,6,0),IFERROR(VLOOKUP($B1882,$D:$K,8,0),"")),IFERROR(VLOOKUP($C1882,INSUMOS!$A:$D,4,0),IFERROR(VLOOKUP($C1882,COTAÇÕES!$B:$I,7,0),(VLOOKUP($C1882,'INSUMO SINAPI - SP'!$C:$F,4,0)))))</f>
        <v>754.41000000000008</v>
      </c>
      <c r="I1882" s="513">
        <f>TRUNC(IF($C1882="",IFERROR(VLOOKUP($B1882,SERVIÇOS!$B:$G,4,0),IFERROR(VLOOKUP($B1882,$D:$K,6,0),)),IFERROR(VLOOKUP($C1882,INSUMOS!$A:$D,4,0),IFERROR(VLOOKUP($C1882,COTAÇÕES!$B:$I,7,0),(VLOOKUP($C1882,'INSUMO SINAPI - SP'!$C:$F,4,0)))))*$G1882,2)</f>
        <v>947.47</v>
      </c>
      <c r="J1882" s="513">
        <f>TRUNC(IF($C1882="",IFERROR(VLOOKUP($B1882,SERVIÇOS!$B:$G,5,0),IFERROR(VLOOKUP($B1882,$D:$K,7,0),)),0)*$G1882,2)</f>
        <v>199.13</v>
      </c>
      <c r="K1882" s="514">
        <f t="shared" ref="K1882:K1902" si="69">I1882+J1882</f>
        <v>1146.5999999999999</v>
      </c>
      <c r="L1882" s="515"/>
      <c r="M1882" s="471"/>
      <c r="Q1882" s="472"/>
      <c r="R1882" s="472"/>
      <c r="S1882" s="472"/>
      <c r="T1882" s="472"/>
      <c r="U1882" s="472"/>
      <c r="V1882" s="472"/>
      <c r="W1882" s="472"/>
      <c r="X1882" s="472"/>
      <c r="Y1882" s="472"/>
    </row>
    <row r="1883" spans="1:25" ht="24" x14ac:dyDescent="0.25">
      <c r="A1883" s="463"/>
      <c r="B1883" s="506">
        <v>96622</v>
      </c>
      <c r="C1883" s="507"/>
      <c r="D1883" s="508"/>
      <c r="E1883" s="509" t="str">
        <f>IF($C1883="",IFERROR(VLOOKUP($B1883,SERVIÇOS!$B:$G,2,0),IFERROR(VLOOKUP($B1883,$D:$K,2,0),"")),IFERROR(VLOOKUP($C1883,INSUMOS!$A:$D,2,0),IFERROR(VLOOKUP($C1883,COTAÇÕES!$B:$I,2,0),(VLOOKUP($C1883,'INSUMO SINAPI - SP'!$C:$F,2,0)))))</f>
        <v>LASTRO COM MATERIAL GRANULAR, APLICADO EM PISOS OU LAJES SOBRE SOLO, ESPESSURA DE *5 CM*. AF_01/2024</v>
      </c>
      <c r="F1883" s="510" t="str">
        <f>IF($C1883="",IFERROR(VLOOKUP($B1883,SERVIÇOS!$B:$G,3,0),IFERROR(VLOOKUP($B1883,$D:$K,3,0),"")),IFERROR(VLOOKUP($C1883,INSUMOS!$A:$D,3,0),IFERROR(VLOOKUP($C1883,COTAÇÕES!$B:$I,3,0),(VLOOKUP($C1883,'INSUMO SINAPI - SP'!$C:$F,3,0)))))</f>
        <v>M3</v>
      </c>
      <c r="G1883" s="511">
        <v>0.05</v>
      </c>
      <c r="H1883" s="512">
        <f>IF($C1883="",IFERROR(VLOOKUP($B1883,SERVIÇOS!$B:$G,6,0),IFERROR(VLOOKUP($B1883,$D:$K,8,0),"")),IFERROR(VLOOKUP($C1883,INSUMOS!$A:$D,4,0),IFERROR(VLOOKUP($C1883,COTAÇÕES!$B:$I,7,0),(VLOOKUP($C1883,'INSUMO SINAPI - SP'!$C:$F,4,0)))))</f>
        <v>182.38</v>
      </c>
      <c r="I1883" s="513">
        <f>TRUNC(IF($C1883="",IFERROR(VLOOKUP($B1883,SERVIÇOS!$B:$G,4,0),IFERROR(VLOOKUP($B1883,$D:$K,6,0),)),IFERROR(VLOOKUP($C1883,INSUMOS!$A:$D,4,0),IFERROR(VLOOKUP($C1883,COTAÇÕES!$B:$I,7,0),(VLOOKUP($C1883,'INSUMO SINAPI - SP'!$C:$F,4,0)))))*$G1883,2)</f>
        <v>5.69</v>
      </c>
      <c r="J1883" s="513">
        <f>TRUNC(IF($C1883="",IFERROR(VLOOKUP($B1883,SERVIÇOS!$B:$G,5,0),IFERROR(VLOOKUP($B1883,$D:$K,7,0),)),0)*$G1883,2)</f>
        <v>3.42</v>
      </c>
      <c r="K1883" s="514">
        <f t="shared" si="69"/>
        <v>9.11</v>
      </c>
      <c r="L1883" s="515"/>
      <c r="M1883" s="471"/>
      <c r="Q1883" s="472"/>
      <c r="R1883" s="472"/>
      <c r="S1883" s="472"/>
      <c r="T1883" s="472"/>
      <c r="U1883" s="472"/>
      <c r="V1883" s="472"/>
      <c r="W1883" s="472"/>
      <c r="X1883" s="472"/>
      <c r="Y1883" s="472"/>
    </row>
    <row r="1884" spans="1:25" ht="24" x14ac:dyDescent="0.25">
      <c r="A1884" s="463"/>
      <c r="B1884" s="506">
        <v>101749</v>
      </c>
      <c r="C1884" s="507"/>
      <c r="D1884" s="508"/>
      <c r="E1884" s="509" t="str">
        <f>IF($C1884="",IFERROR(VLOOKUP($B1884,SERVIÇOS!$B:$G,2,0),IFERROR(VLOOKUP($B1884,$D:$K,2,0),"")),IFERROR(VLOOKUP($C1884,INSUMOS!$A:$D,2,0),IFERROR(VLOOKUP($C1884,COTAÇÕES!$B:$I,2,0),(VLOOKUP($C1884,'INSUMO SINAPI - SP'!$C:$F,2,0)))))</f>
        <v>PISO CIMENTADO, TRAÇO 1:3 (CIMENTO E AREIA), ACABAMENTO LISO, ESPESSURA 4,0 CM, PREPARO MECÂNICO DA ARGAMASSA. AF_09/2020</v>
      </c>
      <c r="F1884" s="510" t="str">
        <f>IF($C1884="",IFERROR(VLOOKUP($B1884,SERVIÇOS!$B:$G,3,0),IFERROR(VLOOKUP($B1884,$D:$K,3,0),"")),IFERROR(VLOOKUP($C1884,INSUMOS!$A:$D,3,0),IFERROR(VLOOKUP($C1884,COTAÇÕES!$B:$I,3,0),(VLOOKUP($C1884,'INSUMO SINAPI - SP'!$C:$F,3,0)))))</f>
        <v>M2</v>
      </c>
      <c r="G1884" s="511">
        <v>1</v>
      </c>
      <c r="H1884" s="512">
        <f>IF($C1884="",IFERROR(VLOOKUP($B1884,SERVIÇOS!$B:$G,6,0),IFERROR(VLOOKUP($B1884,$D:$K,8,0),"")),IFERROR(VLOOKUP($C1884,INSUMOS!$A:$D,4,0),IFERROR(VLOOKUP($C1884,COTAÇÕES!$B:$I,7,0),(VLOOKUP($C1884,'INSUMO SINAPI - SP'!$C:$F,4,0)))))</f>
        <v>60.56</v>
      </c>
      <c r="I1884" s="513">
        <f>TRUNC(IF($C1884="",IFERROR(VLOOKUP($B1884,SERVIÇOS!$B:$G,4,0),IFERROR(VLOOKUP($B1884,$D:$K,6,0),)),IFERROR(VLOOKUP($C1884,INSUMOS!$A:$D,4,0),IFERROR(VLOOKUP($C1884,COTAÇÕES!$B:$I,7,0),(VLOOKUP($C1884,'INSUMO SINAPI - SP'!$C:$F,4,0)))))*$G1884,2)</f>
        <v>39.11</v>
      </c>
      <c r="J1884" s="513">
        <f>TRUNC(IF($C1884="",IFERROR(VLOOKUP($B1884,SERVIÇOS!$B:$G,5,0),IFERROR(VLOOKUP($B1884,$D:$K,7,0),)),0)*$G1884,2)</f>
        <v>21.45</v>
      </c>
      <c r="K1884" s="514">
        <f t="shared" si="69"/>
        <v>60.56</v>
      </c>
      <c r="L1884" s="515"/>
      <c r="M1884" s="471"/>
      <c r="Q1884" s="472"/>
      <c r="R1884" s="472"/>
      <c r="S1884" s="472"/>
      <c r="T1884" s="472"/>
      <c r="U1884" s="472"/>
      <c r="V1884" s="472"/>
      <c r="W1884" s="472"/>
      <c r="X1884" s="472"/>
      <c r="Y1884" s="472"/>
    </row>
    <row r="1885" spans="1:25" ht="36" x14ac:dyDescent="0.25">
      <c r="A1885" s="463"/>
      <c r="B1885" s="506">
        <v>91314</v>
      </c>
      <c r="C1885" s="507"/>
      <c r="D1885" s="508"/>
      <c r="E1885" s="509" t="str">
        <f>IF($C1885="",IFERROR(VLOOKUP($B1885,SERVIÇOS!$B:$G,2,0),IFERROR(VLOOKUP($B1885,$D:$K,2,0),"")),IFERROR(VLOOKUP($C1885,INSUMOS!$A:$D,2,0),IFERROR(VLOOKUP($C1885,COTAÇÕES!$B:$I,2,0),(VLOOKUP($C1885,'INSUMO SINAPI - SP'!$C:$F,2,0)))))</f>
        <v>KIT DE PORTA DE MADEIRA PARA PINTURA, SEMI-OCA (LEVE OU MÉDIA), PADRÃO POPULAR, 80X210CM, ESPESSURA DE 3,5CM, ITENS INCLUSOS: DOBRADIÇAS, MONTAGEM E INSTALAÇÃO DO BATENTE, FECHADURA COM EXECUÇÃO DO FURO - FORNECIMENTO E INSTALAÇÃO. AF_12/2019</v>
      </c>
      <c r="F1885" s="510" t="str">
        <f>IF($C1885="",IFERROR(VLOOKUP($B1885,SERVIÇOS!$B:$G,3,0),IFERROR(VLOOKUP($B1885,$D:$K,3,0),"")),IFERROR(VLOOKUP($C1885,INSUMOS!$A:$D,3,0),IFERROR(VLOOKUP($C1885,COTAÇÕES!$B:$I,3,0),(VLOOKUP($C1885,'INSUMO SINAPI - SP'!$C:$F,3,0)))))</f>
        <v>UN</v>
      </c>
      <c r="G1885" s="511">
        <v>5.7587100489490402E-2</v>
      </c>
      <c r="H1885" s="512">
        <f>IF($C1885="",IFERROR(VLOOKUP($B1885,SERVIÇOS!$B:$G,6,0),IFERROR(VLOOKUP($B1885,$D:$K,8,0),"")),IFERROR(VLOOKUP($C1885,INSUMOS!$A:$D,4,0),IFERROR(VLOOKUP($C1885,COTAÇÕES!$B:$I,7,0),(VLOOKUP($C1885,'INSUMO SINAPI - SP'!$C:$F,4,0)))))</f>
        <v>1070.68</v>
      </c>
      <c r="I1885" s="513">
        <f>TRUNC(IF($C1885="",IFERROR(VLOOKUP($B1885,SERVIÇOS!$B:$G,4,0),IFERROR(VLOOKUP($B1885,$D:$K,6,0),)),IFERROR(VLOOKUP($C1885,INSUMOS!$A:$D,4,0),IFERROR(VLOOKUP($C1885,COTAÇÕES!$B:$I,7,0),(VLOOKUP($C1885,'INSUMO SINAPI - SP'!$C:$F,4,0)))))*$G1885,2)</f>
        <v>45.13</v>
      </c>
      <c r="J1885" s="513">
        <f>TRUNC(IF($C1885="",IFERROR(VLOOKUP($B1885,SERVIÇOS!$B:$G,5,0),IFERROR(VLOOKUP($B1885,$D:$K,7,0),)),0)*$G1885,2)</f>
        <v>16.510000000000002</v>
      </c>
      <c r="K1885" s="514">
        <f t="shared" si="69"/>
        <v>61.64</v>
      </c>
      <c r="L1885" s="515"/>
      <c r="M1885" s="471"/>
      <c r="Q1885" s="472"/>
      <c r="R1885" s="472"/>
      <c r="S1885" s="472"/>
      <c r="T1885" s="472"/>
      <c r="U1885" s="472"/>
      <c r="V1885" s="472"/>
      <c r="W1885" s="472"/>
      <c r="X1885" s="472"/>
      <c r="Y1885" s="472"/>
    </row>
    <row r="1886" spans="1:25" ht="24" x14ac:dyDescent="0.25">
      <c r="A1886" s="463"/>
      <c r="B1886" s="506">
        <v>102218</v>
      </c>
      <c r="C1886" s="507"/>
      <c r="D1886" s="508"/>
      <c r="E1886" s="509" t="str">
        <f>IF($C1886="",IFERROR(VLOOKUP($B1886,SERVIÇOS!$B:$G,2,0),IFERROR(VLOOKUP($B1886,$D:$K,2,0),"")),IFERROR(VLOOKUP($C1886,INSUMOS!$A:$D,2,0),IFERROR(VLOOKUP($C1886,COTAÇÕES!$B:$I,2,0),(VLOOKUP($C1886,'INSUMO SINAPI - SP'!$C:$F,2,0)))))</f>
        <v>PINTURA TINTA DE ACABAMENTO (PIGMENTADA) ESMALTE SINTÉTICO FOSCO EM MADEIRA, 2 DEMÃOS. AF_01/2021</v>
      </c>
      <c r="F1886" s="510" t="str">
        <f>IF($C1886="",IFERROR(VLOOKUP($B1886,SERVIÇOS!$B:$G,3,0),IFERROR(VLOOKUP($B1886,$D:$K,3,0),"")),IFERROR(VLOOKUP($C1886,INSUMOS!$A:$D,3,0),IFERROR(VLOOKUP($C1886,COTAÇÕES!$B:$I,3,0),(VLOOKUP($C1886,'INSUMO SINAPI - SP'!$C:$F,3,0)))))</f>
        <v>M2</v>
      </c>
      <c r="G1886" s="511">
        <v>0.115174200978981</v>
      </c>
      <c r="H1886" s="512">
        <f>IF($C1886="",IFERROR(VLOOKUP($B1886,SERVIÇOS!$B:$G,6,0),IFERROR(VLOOKUP($B1886,$D:$K,8,0),"")),IFERROR(VLOOKUP($C1886,INSUMOS!$A:$D,4,0),IFERROR(VLOOKUP($C1886,COTAÇÕES!$B:$I,7,0),(VLOOKUP($C1886,'INSUMO SINAPI - SP'!$C:$F,4,0)))))</f>
        <v>19.850000000000001</v>
      </c>
      <c r="I1886" s="513">
        <f>TRUNC(IF($C1886="",IFERROR(VLOOKUP($B1886,SERVIÇOS!$B:$G,4,0),IFERROR(VLOOKUP($B1886,$D:$K,6,0),)),IFERROR(VLOOKUP($C1886,INSUMOS!$A:$D,4,0),IFERROR(VLOOKUP($C1886,COTAÇÕES!$B:$I,7,0),(VLOOKUP($C1886,'INSUMO SINAPI - SP'!$C:$F,4,0)))))*$G1886,2)</f>
        <v>1.08</v>
      </c>
      <c r="J1886" s="513">
        <f>TRUNC(IF($C1886="",IFERROR(VLOOKUP($B1886,SERVIÇOS!$B:$G,5,0),IFERROR(VLOOKUP($B1886,$D:$K,7,0),)),0)*$G1886,2)</f>
        <v>1.2</v>
      </c>
      <c r="K1886" s="514">
        <f t="shared" si="69"/>
        <v>2.2800000000000002</v>
      </c>
      <c r="L1886" s="515"/>
      <c r="M1886" s="471"/>
      <c r="Q1886" s="472"/>
      <c r="R1886" s="472"/>
      <c r="S1886" s="472"/>
      <c r="T1886" s="472"/>
      <c r="U1886" s="472"/>
      <c r="V1886" s="472"/>
      <c r="W1886" s="472"/>
      <c r="X1886" s="472"/>
      <c r="Y1886" s="472"/>
    </row>
    <row r="1887" spans="1:25" ht="24" x14ac:dyDescent="0.25">
      <c r="A1887" s="463"/>
      <c r="B1887" s="506">
        <v>91924</v>
      </c>
      <c r="C1887" s="507"/>
      <c r="D1887" s="508"/>
      <c r="E1887" s="509" t="str">
        <f>IF($C1887="",IFERROR(VLOOKUP($B1887,SERVIÇOS!$B:$G,2,0),IFERROR(VLOOKUP($B1887,$D:$K,2,0),"")),IFERROR(VLOOKUP($C1887,INSUMOS!$A:$D,2,0),IFERROR(VLOOKUP($C1887,COTAÇÕES!$B:$I,2,0),(VLOOKUP($C1887,'INSUMO SINAPI - SP'!$C:$F,2,0)))))</f>
        <v>CABO DE COBRE FLEXÍVEL ISOLADO, 1,5 MM², ANTI-CHAMA 450/750 V, PARA CIRCUITOS TERMINAIS - FORNECIMENTO E INSTALAÇÃO. AF_03/2023</v>
      </c>
      <c r="F1887" s="510" t="str">
        <f>IF($C1887="",IFERROR(VLOOKUP($B1887,SERVIÇOS!$B:$G,3,0),IFERROR(VLOOKUP($B1887,$D:$K,3,0),"")),IFERROR(VLOOKUP($C1887,INSUMOS!$A:$D,3,0),IFERROR(VLOOKUP($C1887,COTAÇÕES!$B:$I,3,0),(VLOOKUP($C1887,'INSUMO SINAPI - SP'!$C:$F,3,0)))))</f>
        <v>M</v>
      </c>
      <c r="G1887" s="511">
        <v>1.75640656492946</v>
      </c>
      <c r="H1887" s="512">
        <f>IF($C1887="",IFERROR(VLOOKUP($B1887,SERVIÇOS!$B:$G,6,0),IFERROR(VLOOKUP($B1887,$D:$K,8,0),"")),IFERROR(VLOOKUP($C1887,INSUMOS!$A:$D,4,0),IFERROR(VLOOKUP($C1887,COTAÇÕES!$B:$I,7,0),(VLOOKUP($C1887,'INSUMO SINAPI - SP'!$C:$F,4,0)))))</f>
        <v>3.34</v>
      </c>
      <c r="I1887" s="513">
        <f>TRUNC(IF($C1887="",IFERROR(VLOOKUP($B1887,SERVIÇOS!$B:$G,4,0),IFERROR(VLOOKUP($B1887,$D:$K,6,0),)),IFERROR(VLOOKUP($C1887,INSUMOS!$A:$D,4,0),IFERROR(VLOOKUP($C1887,COTAÇÕES!$B:$I,7,0),(VLOOKUP($C1887,'INSUMO SINAPI - SP'!$C:$F,4,0)))))*$G1887,2)</f>
        <v>3.89</v>
      </c>
      <c r="J1887" s="513">
        <f>TRUNC(IF($C1887="",IFERROR(VLOOKUP($B1887,SERVIÇOS!$B:$G,5,0),IFERROR(VLOOKUP($B1887,$D:$K,7,0),)),0)*$G1887,2)</f>
        <v>1.96</v>
      </c>
      <c r="K1887" s="514">
        <f t="shared" si="69"/>
        <v>5.85</v>
      </c>
      <c r="L1887" s="515"/>
      <c r="M1887" s="471"/>
      <c r="Q1887" s="472"/>
      <c r="R1887" s="472"/>
      <c r="S1887" s="472"/>
      <c r="T1887" s="472"/>
      <c r="U1887" s="472"/>
      <c r="V1887" s="472"/>
      <c r="W1887" s="472"/>
      <c r="X1887" s="472"/>
      <c r="Y1887" s="472"/>
    </row>
    <row r="1888" spans="1:25" ht="24" x14ac:dyDescent="0.25">
      <c r="A1888" s="463"/>
      <c r="B1888" s="506">
        <v>91867</v>
      </c>
      <c r="C1888" s="507"/>
      <c r="D1888" s="508"/>
      <c r="E1888" s="509" t="str">
        <f>IF($C1888="",IFERROR(VLOOKUP($B1888,SERVIÇOS!$B:$G,2,0),IFERROR(VLOOKUP($B1888,$D:$K,2,0),"")),IFERROR(VLOOKUP($C1888,INSUMOS!$A:$D,2,0),IFERROR(VLOOKUP($C1888,COTAÇÕES!$B:$I,2,0),(VLOOKUP($C1888,'INSUMO SINAPI - SP'!$C:$F,2,0)))))</f>
        <v>ELETRODUTO RÍGIDO ROSCÁVEL, PVC, DN 25 MM (3/4"), PARA CIRCUITOS TERMINAIS, INSTALADO EM LAJE - FORNECIMENTO E INSTALAÇÃO. AF_03/2023</v>
      </c>
      <c r="F1888" s="510" t="str">
        <f>IF($C1888="",IFERROR(VLOOKUP($B1888,SERVIÇOS!$B:$G,3,0),IFERROR(VLOOKUP($B1888,$D:$K,3,0),"")),IFERROR(VLOOKUP($C1888,INSUMOS!$A:$D,3,0),IFERROR(VLOOKUP($C1888,COTAÇÕES!$B:$I,3,0),(VLOOKUP($C1888,'INSUMO SINAPI - SP'!$C:$F,3,0)))))</f>
        <v>M</v>
      </c>
      <c r="G1888" s="511">
        <v>0.87820328246472801</v>
      </c>
      <c r="H1888" s="512">
        <f>IF($C1888="",IFERROR(VLOOKUP($B1888,SERVIÇOS!$B:$G,6,0),IFERROR(VLOOKUP($B1888,$D:$K,8,0),"")),IFERROR(VLOOKUP($C1888,INSUMOS!$A:$D,4,0),IFERROR(VLOOKUP($C1888,COTAÇÕES!$B:$I,7,0),(VLOOKUP($C1888,'INSUMO SINAPI - SP'!$C:$F,4,0)))))</f>
        <v>14.02</v>
      </c>
      <c r="I1888" s="513">
        <f>TRUNC(IF($C1888="",IFERROR(VLOOKUP($B1888,SERVIÇOS!$B:$G,4,0),IFERROR(VLOOKUP($B1888,$D:$K,6,0),)),IFERROR(VLOOKUP($C1888,INSUMOS!$A:$D,4,0),IFERROR(VLOOKUP($C1888,COTAÇÕES!$B:$I,7,0),(VLOOKUP($C1888,'INSUMO SINAPI - SP'!$C:$F,4,0)))))*$G1888,2)</f>
        <v>8.2200000000000006</v>
      </c>
      <c r="J1888" s="513">
        <f>TRUNC(IF($C1888="",IFERROR(VLOOKUP($B1888,SERVIÇOS!$B:$G,5,0),IFERROR(VLOOKUP($B1888,$D:$K,7,0),)),0)*$G1888,2)</f>
        <v>4.08</v>
      </c>
      <c r="K1888" s="514">
        <f t="shared" si="69"/>
        <v>12.3</v>
      </c>
      <c r="L1888" s="515"/>
      <c r="M1888" s="471"/>
      <c r="Q1888" s="472"/>
      <c r="R1888" s="472"/>
      <c r="S1888" s="472"/>
      <c r="T1888" s="472"/>
      <c r="U1888" s="472"/>
      <c r="V1888" s="472"/>
      <c r="W1888" s="472"/>
      <c r="X1888" s="472"/>
      <c r="Y1888" s="472"/>
    </row>
    <row r="1889" spans="1:25" ht="24" x14ac:dyDescent="0.25">
      <c r="A1889" s="463"/>
      <c r="B1889" s="506">
        <v>103782</v>
      </c>
      <c r="C1889" s="507"/>
      <c r="D1889" s="508"/>
      <c r="E1889" s="509" t="str">
        <f>IF($C1889="",IFERROR(VLOOKUP($B1889,SERVIÇOS!$B:$G,2,0),IFERROR(VLOOKUP($B1889,$D:$K,2,0),"")),IFERROR(VLOOKUP($C1889,INSUMOS!$A:$D,2,0),IFERROR(VLOOKUP($C1889,COTAÇÕES!$B:$I,2,0),(VLOOKUP($C1889,'INSUMO SINAPI - SP'!$C:$F,2,0)))))</f>
        <v>LUMINÁRIA TIPO PLAFON CIRCULAR, DE SOBREPOR, COM LED DE 12/13 W - FORNECIMENTO E INSTALAÇÃO. AF_09/2024</v>
      </c>
      <c r="F1889" s="510" t="str">
        <f>IF($C1889="",IFERROR(VLOOKUP($B1889,SERVIÇOS!$B:$G,3,0),IFERROR(VLOOKUP($B1889,$D:$K,3,0),"")),IFERROR(VLOOKUP($C1889,INSUMOS!$A:$D,3,0),IFERROR(VLOOKUP($C1889,COTAÇÕES!$B:$I,3,0),(VLOOKUP($C1889,'INSUMO SINAPI - SP'!$C:$F,3,0)))))</f>
        <v>UN</v>
      </c>
      <c r="G1889" s="511">
        <v>0.14396775122372599</v>
      </c>
      <c r="H1889" s="512">
        <f>IF($C1889="",IFERROR(VLOOKUP($B1889,SERVIÇOS!$B:$G,6,0),IFERROR(VLOOKUP($B1889,$D:$K,8,0),"")),IFERROR(VLOOKUP($C1889,INSUMOS!$A:$D,4,0),IFERROR(VLOOKUP($C1889,COTAÇÕES!$B:$I,7,0),(VLOOKUP($C1889,'INSUMO SINAPI - SP'!$C:$F,4,0)))))</f>
        <v>35.11</v>
      </c>
      <c r="I1889" s="513">
        <f>TRUNC(IF($C1889="",IFERROR(VLOOKUP($B1889,SERVIÇOS!$B:$G,4,0),IFERROR(VLOOKUP($B1889,$D:$K,6,0),)),IFERROR(VLOOKUP($C1889,INSUMOS!$A:$D,4,0),IFERROR(VLOOKUP($C1889,COTAÇÕES!$B:$I,7,0),(VLOOKUP($C1889,'INSUMO SINAPI - SP'!$C:$F,4,0)))))*$G1889,2)</f>
        <v>2.63</v>
      </c>
      <c r="J1889" s="513">
        <f>TRUNC(IF($C1889="",IFERROR(VLOOKUP($B1889,SERVIÇOS!$B:$G,5,0),IFERROR(VLOOKUP($B1889,$D:$K,7,0),)),0)*$G1889,2)</f>
        <v>2.41</v>
      </c>
      <c r="K1889" s="514">
        <f t="shared" si="69"/>
        <v>5.04</v>
      </c>
      <c r="L1889" s="515"/>
      <c r="M1889" s="471"/>
      <c r="Q1889" s="472"/>
      <c r="R1889" s="472"/>
      <c r="S1889" s="472"/>
      <c r="T1889" s="472"/>
      <c r="U1889" s="472"/>
      <c r="V1889" s="472"/>
      <c r="W1889" s="472"/>
      <c r="X1889" s="472"/>
      <c r="Y1889" s="472"/>
    </row>
    <row r="1890" spans="1:25" ht="24" x14ac:dyDescent="0.25">
      <c r="A1890" s="463"/>
      <c r="B1890" s="506">
        <v>95777</v>
      </c>
      <c r="C1890" s="507"/>
      <c r="D1890" s="508"/>
      <c r="E1890" s="509" t="str">
        <f>IF($C1890="",IFERROR(VLOOKUP($B1890,SERVIÇOS!$B:$G,2,0),IFERROR(VLOOKUP($B1890,$D:$K,2,0),"")),IFERROR(VLOOKUP($C1890,INSUMOS!$A:$D,2,0),IFERROR(VLOOKUP($C1890,COTAÇÕES!$B:$I,2,0),(VLOOKUP($C1890,'INSUMO SINAPI - SP'!$C:$F,2,0)))))</f>
        <v>CONDULETE DE ALUMÍNIO, TIPO B, PARA ELETRODUTO DE AÇO GALVANIZADO DN 20 MM (3/4''), APARENTE - FORNECIMENTO E INSTALAÇÃO. AF_10/2022</v>
      </c>
      <c r="F1890" s="510" t="str">
        <f>IF($C1890="",IFERROR(VLOOKUP($B1890,SERVIÇOS!$B:$G,3,0),IFERROR(VLOOKUP($B1890,$D:$K,3,0),"")),IFERROR(VLOOKUP($C1890,INSUMOS!$A:$D,3,0),IFERROR(VLOOKUP($C1890,COTAÇÕES!$B:$I,3,0),(VLOOKUP($C1890,'INSUMO SINAPI - SP'!$C:$F,3,0)))))</f>
        <v>UN</v>
      </c>
      <c r="G1890" s="511">
        <v>0.230348401957961</v>
      </c>
      <c r="H1890" s="512">
        <f>IF($C1890="",IFERROR(VLOOKUP($B1890,SERVIÇOS!$B:$G,6,0),IFERROR(VLOOKUP($B1890,$D:$K,8,0),"")),IFERROR(VLOOKUP($C1890,INSUMOS!$A:$D,4,0),IFERROR(VLOOKUP($C1890,COTAÇÕES!$B:$I,7,0),(VLOOKUP($C1890,'INSUMO SINAPI - SP'!$C:$F,4,0)))))</f>
        <v>31.31</v>
      </c>
      <c r="I1890" s="513">
        <f>TRUNC(IF($C1890="",IFERROR(VLOOKUP($B1890,SERVIÇOS!$B:$G,4,0),IFERROR(VLOOKUP($B1890,$D:$K,6,0),)),IFERROR(VLOOKUP($C1890,INSUMOS!$A:$D,4,0),IFERROR(VLOOKUP($C1890,COTAÇÕES!$B:$I,7,0),(VLOOKUP($C1890,'INSUMO SINAPI - SP'!$C:$F,4,0)))))*$G1890,2)</f>
        <v>4.58</v>
      </c>
      <c r="J1890" s="513">
        <f>TRUNC(IF($C1890="",IFERROR(VLOOKUP($B1890,SERVIÇOS!$B:$G,5,0),IFERROR(VLOOKUP($B1890,$D:$K,7,0),)),0)*$G1890,2)</f>
        <v>2.62</v>
      </c>
      <c r="K1890" s="514">
        <f t="shared" si="69"/>
        <v>7.2</v>
      </c>
      <c r="L1890" s="515"/>
      <c r="M1890" s="471"/>
      <c r="Q1890" s="472"/>
      <c r="R1890" s="472"/>
      <c r="S1890" s="472"/>
      <c r="T1890" s="472"/>
      <c r="U1890" s="472"/>
      <c r="V1890" s="472"/>
      <c r="W1890" s="472"/>
      <c r="X1890" s="472"/>
      <c r="Y1890" s="472"/>
    </row>
    <row r="1891" spans="1:25" ht="24" x14ac:dyDescent="0.25">
      <c r="A1891" s="463"/>
      <c r="B1891" s="506">
        <v>91952</v>
      </c>
      <c r="C1891" s="507"/>
      <c r="D1891" s="508"/>
      <c r="E1891" s="509" t="str">
        <f>IF($C1891="",IFERROR(VLOOKUP($B1891,SERVIÇOS!$B:$G,2,0),IFERROR(VLOOKUP($B1891,$D:$K,2,0),"")),IFERROR(VLOOKUP($C1891,INSUMOS!$A:$D,2,0),IFERROR(VLOOKUP($C1891,COTAÇÕES!$B:$I,2,0),(VLOOKUP($C1891,'INSUMO SINAPI - SP'!$C:$F,2,0)))))</f>
        <v>INTERRUPTOR SIMPLES (1 MÓDULO), 10A/250V, SEM SUPORTE E SEM PLACA - FORNECIMENTO E INSTALAÇÃO. AF_03/2023</v>
      </c>
      <c r="F1891" s="510" t="str">
        <f>IF($C1891="",IFERROR(VLOOKUP($B1891,SERVIÇOS!$B:$G,3,0),IFERROR(VLOOKUP($B1891,$D:$K,3,0),"")),IFERROR(VLOOKUP($C1891,INSUMOS!$A:$D,3,0),IFERROR(VLOOKUP($C1891,COTAÇÕES!$B:$I,3,0),(VLOOKUP($C1891,'INSUMO SINAPI - SP'!$C:$F,3,0)))))</f>
        <v>UN</v>
      </c>
      <c r="G1891" s="511">
        <v>5.7587100489490402E-2</v>
      </c>
      <c r="H1891" s="512">
        <f>IF($C1891="",IFERROR(VLOOKUP($B1891,SERVIÇOS!$B:$G,6,0),IFERROR(VLOOKUP($B1891,$D:$K,8,0),"")),IFERROR(VLOOKUP($C1891,INSUMOS!$A:$D,4,0),IFERROR(VLOOKUP($C1891,COTAÇÕES!$B:$I,7,0),(VLOOKUP($C1891,'INSUMO SINAPI - SP'!$C:$F,4,0)))))</f>
        <v>23.41</v>
      </c>
      <c r="I1891" s="513">
        <f>TRUNC(IF($C1891="",IFERROR(VLOOKUP($B1891,SERVIÇOS!$B:$G,4,0),IFERROR(VLOOKUP($B1891,$D:$K,6,0),)),IFERROR(VLOOKUP($C1891,INSUMOS!$A:$D,4,0),IFERROR(VLOOKUP($C1891,COTAÇÕES!$B:$I,7,0),(VLOOKUP($C1891,'INSUMO SINAPI - SP'!$C:$F,4,0)))))*$G1891,2)</f>
        <v>0.68</v>
      </c>
      <c r="J1891" s="513">
        <f>TRUNC(IF($C1891="",IFERROR(VLOOKUP($B1891,SERVIÇOS!$B:$G,5,0),IFERROR(VLOOKUP($B1891,$D:$K,7,0),)),0)*$G1891,2)</f>
        <v>0.66</v>
      </c>
      <c r="K1891" s="514">
        <f t="shared" si="69"/>
        <v>1.34</v>
      </c>
      <c r="L1891" s="515"/>
      <c r="M1891" s="471"/>
      <c r="Q1891" s="472"/>
      <c r="R1891" s="472"/>
      <c r="S1891" s="472"/>
      <c r="T1891" s="472"/>
      <c r="U1891" s="472"/>
      <c r="V1891" s="472"/>
      <c r="W1891" s="472"/>
      <c r="X1891" s="472"/>
      <c r="Y1891" s="472"/>
    </row>
    <row r="1892" spans="1:25" ht="24" x14ac:dyDescent="0.25">
      <c r="A1892" s="463"/>
      <c r="B1892" s="506">
        <v>91996</v>
      </c>
      <c r="C1892" s="507"/>
      <c r="D1892" s="508"/>
      <c r="E1892" s="509" t="str">
        <f>IF($C1892="",IFERROR(VLOOKUP($B1892,SERVIÇOS!$B:$G,2,0),IFERROR(VLOOKUP($B1892,$D:$K,2,0),"")),IFERROR(VLOOKUP($C1892,INSUMOS!$A:$D,2,0),IFERROR(VLOOKUP($C1892,COTAÇÕES!$B:$I,2,0),(VLOOKUP($C1892,'INSUMO SINAPI - SP'!$C:$F,2,0)))))</f>
        <v>TOMADA MÉDIA DE EMBUTIR (1 MÓDULO), 2P+T 10 A, INCLUINDO SUPORTE E PLACA - FORNECIMENTO E INSTALAÇÃO. AF_03/2023</v>
      </c>
      <c r="F1892" s="510" t="str">
        <f>IF($C1892="",IFERROR(VLOOKUP($B1892,SERVIÇOS!$B:$G,3,0),IFERROR(VLOOKUP($B1892,$D:$K,3,0),"")),IFERROR(VLOOKUP($C1892,INSUMOS!$A:$D,3,0),IFERROR(VLOOKUP($C1892,COTAÇÕES!$B:$I,3,0),(VLOOKUP($C1892,'INSUMO SINAPI - SP'!$C:$F,3,0)))))</f>
        <v>UN</v>
      </c>
      <c r="G1892" s="511">
        <v>0.20155485171321599</v>
      </c>
      <c r="H1892" s="512">
        <f>IF($C1892="",IFERROR(VLOOKUP($B1892,SERVIÇOS!$B:$G,6,0),IFERROR(VLOOKUP($B1892,$D:$K,8,0),"")),IFERROR(VLOOKUP($C1892,INSUMOS!$A:$D,4,0),IFERROR(VLOOKUP($C1892,COTAÇÕES!$B:$I,7,0),(VLOOKUP($C1892,'INSUMO SINAPI - SP'!$C:$F,4,0)))))</f>
        <v>43.87</v>
      </c>
      <c r="I1892" s="513">
        <f>TRUNC(IF($C1892="",IFERROR(VLOOKUP($B1892,SERVIÇOS!$B:$G,4,0),IFERROR(VLOOKUP($B1892,$D:$K,6,0),)),IFERROR(VLOOKUP($C1892,INSUMOS!$A:$D,4,0),IFERROR(VLOOKUP($C1892,COTAÇÕES!$B:$I,7,0),(VLOOKUP($C1892,'INSUMO SINAPI - SP'!$C:$F,4,0)))))*$G1892,2)</f>
        <v>4.3899999999999997</v>
      </c>
      <c r="J1892" s="513">
        <f>TRUNC(IF($C1892="",IFERROR(VLOOKUP($B1892,SERVIÇOS!$B:$G,5,0),IFERROR(VLOOKUP($B1892,$D:$K,7,0),)),0)*$G1892,2)</f>
        <v>4.4400000000000004</v>
      </c>
      <c r="K1892" s="514">
        <f t="shared" si="69"/>
        <v>8.83</v>
      </c>
      <c r="L1892" s="515"/>
      <c r="M1892" s="471"/>
      <c r="Q1892" s="472"/>
      <c r="R1892" s="472"/>
      <c r="S1892" s="472"/>
      <c r="T1892" s="472"/>
      <c r="U1892" s="472"/>
      <c r="V1892" s="472"/>
      <c r="W1892" s="472"/>
      <c r="X1892" s="472"/>
      <c r="Y1892" s="472"/>
    </row>
    <row r="1893" spans="1:25" ht="24" x14ac:dyDescent="0.25">
      <c r="A1893" s="463"/>
      <c r="B1893" s="506">
        <v>94216</v>
      </c>
      <c r="C1893" s="507"/>
      <c r="D1893" s="508"/>
      <c r="E1893" s="509" t="str">
        <f>IF($C1893="",IFERROR(VLOOKUP($B1893,SERVIÇOS!$B:$G,2,0),IFERROR(VLOOKUP($B1893,$D:$K,2,0),"")),IFERROR(VLOOKUP($C1893,INSUMOS!$A:$D,2,0),IFERROR(VLOOKUP($C1893,COTAÇÕES!$B:$I,2,0),(VLOOKUP($C1893,'INSUMO SINAPI - SP'!$C:$F,2,0)))))</f>
        <v>TELHAMENTO COM TELHA METÁLICA TERMOACÚSTICA E = 30 MM, COM ATÉ 2 ÁGUAS, INCLUSO IÇAMENTO. AF_07/2019</v>
      </c>
      <c r="F1893" s="510" t="str">
        <f>IF($C1893="",IFERROR(VLOOKUP($B1893,SERVIÇOS!$B:$G,3,0),IFERROR(VLOOKUP($B1893,$D:$K,3,0),"")),IFERROR(VLOOKUP($C1893,INSUMOS!$A:$D,3,0),IFERROR(VLOOKUP($C1893,COTAÇÕES!$B:$I,3,0),(VLOOKUP($C1893,'INSUMO SINAPI - SP'!$C:$F,3,0)))))</f>
        <v>M2</v>
      </c>
      <c r="G1893" s="511">
        <v>1.3167290526922</v>
      </c>
      <c r="H1893" s="512">
        <f>IF($C1893="",IFERROR(VLOOKUP($B1893,SERVIÇOS!$B:$G,6,0),IFERROR(VLOOKUP($B1893,$D:$K,8,0),"")),IFERROR(VLOOKUP($C1893,INSUMOS!$A:$D,4,0),IFERROR(VLOOKUP($C1893,COTAÇÕES!$B:$I,7,0),(VLOOKUP($C1893,'INSUMO SINAPI - SP'!$C:$F,4,0)))))</f>
        <v>204.19</v>
      </c>
      <c r="I1893" s="513">
        <f>TRUNC(IF($C1893="",IFERROR(VLOOKUP($B1893,SERVIÇOS!$B:$G,4,0),IFERROR(VLOOKUP($B1893,$D:$K,6,0),)),IFERROR(VLOOKUP($C1893,INSUMOS!$A:$D,4,0),IFERROR(VLOOKUP($C1893,COTAÇÕES!$B:$I,7,0),(VLOOKUP($C1893,'INSUMO SINAPI - SP'!$C:$F,4,0)))))*$G1893,2)</f>
        <v>265.20999999999998</v>
      </c>
      <c r="J1893" s="513">
        <f>TRUNC(IF($C1893="",IFERROR(VLOOKUP($B1893,SERVIÇOS!$B:$G,5,0),IFERROR(VLOOKUP($B1893,$D:$K,7,0),)),0)*$G1893,2)</f>
        <v>3.64</v>
      </c>
      <c r="K1893" s="514">
        <f t="shared" si="69"/>
        <v>268.84999999999997</v>
      </c>
      <c r="L1893" s="515"/>
      <c r="M1893" s="471"/>
      <c r="Q1893" s="472"/>
      <c r="R1893" s="472"/>
      <c r="S1893" s="472"/>
      <c r="T1893" s="472"/>
      <c r="U1893" s="472"/>
      <c r="V1893" s="472"/>
      <c r="W1893" s="472"/>
      <c r="X1893" s="472"/>
      <c r="Y1893" s="472"/>
    </row>
    <row r="1894" spans="1:25" ht="36" x14ac:dyDescent="0.25">
      <c r="A1894" s="463"/>
      <c r="B1894" s="506">
        <v>92543</v>
      </c>
      <c r="C1894" s="507"/>
      <c r="D1894" s="508"/>
      <c r="E1894" s="509" t="str">
        <f>IF($C1894="",IFERROR(VLOOKUP($B1894,SERVIÇOS!$B:$G,2,0),IFERROR(VLOOKUP($B1894,$D:$K,2,0),"")),IFERROR(VLOOKUP($C1894,INSUMOS!$A:$D,2,0),IFERROR(VLOOKUP($C1894,COTAÇÕES!$B:$I,2,0),(VLOOKUP($C1894,'INSUMO SINAPI - SP'!$C:$F,2,0)))))</f>
        <v>TRAMA DE MADEIRA COMPOSTA POR TERÇAS PARA TELHADOS DE ATÉ 2 ÁGUAS PARA TELHA ONDULADA DE FIBROCIMENTO, METÁLICA, PLÁSTICA OU TERMOACÚSTICA, INCLUSO TRANSPORTE VERTICAL. AF_07/2019</v>
      </c>
      <c r="F1894" s="510" t="str">
        <f>IF($C1894="",IFERROR(VLOOKUP($B1894,SERVIÇOS!$B:$G,3,0),IFERROR(VLOOKUP($B1894,$D:$K,3,0),"")),IFERROR(VLOOKUP($C1894,INSUMOS!$A:$D,3,0),IFERROR(VLOOKUP($C1894,COTAÇÕES!$B:$I,3,0),(VLOOKUP($C1894,'INSUMO SINAPI - SP'!$C:$F,3,0)))))</f>
        <v>M2</v>
      </c>
      <c r="G1894" s="511">
        <v>1.3167290526922</v>
      </c>
      <c r="H1894" s="512">
        <f>IF($C1894="",IFERROR(VLOOKUP($B1894,SERVIÇOS!$B:$G,6,0),IFERROR(VLOOKUP($B1894,$D:$K,8,0),"")),IFERROR(VLOOKUP($C1894,INSUMOS!$A:$D,4,0),IFERROR(VLOOKUP($C1894,COTAÇÕES!$B:$I,7,0),(VLOOKUP($C1894,'INSUMO SINAPI - SP'!$C:$F,4,0)))))</f>
        <v>27.73</v>
      </c>
      <c r="I1894" s="513">
        <f>TRUNC(IF($C1894="",IFERROR(VLOOKUP($B1894,SERVIÇOS!$B:$G,4,0),IFERROR(VLOOKUP($B1894,$D:$K,6,0),)),IFERROR(VLOOKUP($C1894,INSUMOS!$A:$D,4,0),IFERROR(VLOOKUP($C1894,COTAÇÕES!$B:$I,7,0),(VLOOKUP($C1894,'INSUMO SINAPI - SP'!$C:$F,4,0)))))*$G1894,2)</f>
        <v>30.11</v>
      </c>
      <c r="J1894" s="513">
        <f>TRUNC(IF($C1894="",IFERROR(VLOOKUP($B1894,SERVIÇOS!$B:$G,5,0),IFERROR(VLOOKUP($B1894,$D:$K,7,0),)),0)*$G1894,2)</f>
        <v>6.39</v>
      </c>
      <c r="K1894" s="514">
        <f t="shared" si="69"/>
        <v>36.5</v>
      </c>
      <c r="L1894" s="515"/>
      <c r="M1894" s="471"/>
      <c r="Q1894" s="472"/>
      <c r="R1894" s="472"/>
      <c r="S1894" s="472"/>
      <c r="T1894" s="472"/>
      <c r="U1894" s="472"/>
      <c r="V1894" s="472"/>
      <c r="W1894" s="472"/>
      <c r="X1894" s="472"/>
      <c r="Y1894" s="472"/>
    </row>
    <row r="1895" spans="1:25" ht="36" x14ac:dyDescent="0.25">
      <c r="A1895" s="463"/>
      <c r="B1895" s="506">
        <v>86939</v>
      </c>
      <c r="C1895" s="507"/>
      <c r="D1895" s="508"/>
      <c r="E1895" s="509" t="str">
        <f>IF($C1895="",IFERROR(VLOOKUP($B1895,SERVIÇOS!$B:$G,2,0),IFERROR(VLOOKUP($B1895,$D:$K,2,0),"")),IFERROR(VLOOKUP($C1895,INSUMOS!$A:$D,2,0),IFERROR(VLOOKUP($C1895,COTAÇÕES!$B:$I,2,0),(VLOOKUP($C1895,'INSUMO SINAPI - SP'!$C:$F,2,0)))))</f>
        <v>LAVATÓRIO LOUÇA BRANCA COM COLUNA, *44 X 35,5* CM, PADRÃO POPULAR, INCLUSO SIFÃO FLEXÍVEL EM PVC, VÁLVULA E ENGATE FLEXÍVEL 30CM EM PLÁSTICO E COM TORNEIRA CROMADA PADRÃO POPULAR - FORNECIMENTO E INSTALAÇÃO. AF_01/2020</v>
      </c>
      <c r="F1895" s="510" t="str">
        <f>IF($C1895="",IFERROR(VLOOKUP($B1895,SERVIÇOS!$B:$G,3,0),IFERROR(VLOOKUP($B1895,$D:$K,3,0),"")),IFERROR(VLOOKUP($C1895,INSUMOS!$A:$D,3,0),IFERROR(VLOOKUP($C1895,COTAÇÕES!$B:$I,3,0),(VLOOKUP($C1895,'INSUMO SINAPI - SP'!$C:$F,3,0)))))</f>
        <v>UN</v>
      </c>
      <c r="G1895" s="511">
        <v>2.8793550244745201E-2</v>
      </c>
      <c r="H1895" s="512">
        <f>IF($C1895="",IFERROR(VLOOKUP($B1895,SERVIÇOS!$B:$G,6,0),IFERROR(VLOOKUP($B1895,$D:$K,8,0),"")),IFERROR(VLOOKUP($C1895,INSUMOS!$A:$D,4,0),IFERROR(VLOOKUP($C1895,COTAÇÕES!$B:$I,7,0),(VLOOKUP($C1895,'INSUMO SINAPI - SP'!$C:$F,4,0)))))</f>
        <v>441.03</v>
      </c>
      <c r="I1895" s="513">
        <f>TRUNC(IF($C1895="",IFERROR(VLOOKUP($B1895,SERVIÇOS!$B:$G,4,0),IFERROR(VLOOKUP($B1895,$D:$K,6,0),)),IFERROR(VLOOKUP($C1895,INSUMOS!$A:$D,4,0),IFERROR(VLOOKUP($C1895,COTAÇÕES!$B:$I,7,0),(VLOOKUP($C1895,'INSUMO SINAPI - SP'!$C:$F,4,0)))))*$G1895,2)</f>
        <v>11.31</v>
      </c>
      <c r="J1895" s="513">
        <f>TRUNC(IF($C1895="",IFERROR(VLOOKUP($B1895,SERVIÇOS!$B:$G,5,0),IFERROR(VLOOKUP($B1895,$D:$K,7,0),)),0)*$G1895,2)</f>
        <v>1.38</v>
      </c>
      <c r="K1895" s="514">
        <f t="shared" si="69"/>
        <v>12.690000000000001</v>
      </c>
      <c r="L1895" s="515"/>
      <c r="M1895" s="471"/>
      <c r="Q1895" s="472"/>
      <c r="R1895" s="472"/>
      <c r="S1895" s="472"/>
      <c r="T1895" s="472"/>
      <c r="U1895" s="472"/>
      <c r="V1895" s="472"/>
      <c r="W1895" s="472"/>
      <c r="X1895" s="472"/>
      <c r="Y1895" s="472"/>
    </row>
    <row r="1896" spans="1:25" ht="24" x14ac:dyDescent="0.25">
      <c r="A1896" s="463"/>
      <c r="B1896" s="506">
        <v>89402</v>
      </c>
      <c r="C1896" s="507"/>
      <c r="D1896" s="508"/>
      <c r="E1896" s="509" t="str">
        <f>IF($C1896="",IFERROR(VLOOKUP($B1896,SERVIÇOS!$B:$G,2,0),IFERROR(VLOOKUP($B1896,$D:$K,2,0),"")),IFERROR(VLOOKUP($C1896,INSUMOS!$A:$D,2,0),IFERROR(VLOOKUP($C1896,COTAÇÕES!$B:$I,2,0),(VLOOKUP($C1896,'INSUMO SINAPI - SP'!$C:$F,2,0)))))</f>
        <v>TUBO, PVC, SOLDÁVEL, DE 25MM, INSTALADO EM RAMAL DE DISTRIBUIÇÃO DE ÁGUA - FORNECIMENTO E INSTALAÇÃO. AF_06/2022</v>
      </c>
      <c r="F1896" s="510" t="str">
        <f>IF($C1896="",IFERROR(VLOOKUP($B1896,SERVIÇOS!$B:$G,3,0),IFERROR(VLOOKUP($B1896,$D:$K,3,0),"")),IFERROR(VLOOKUP($C1896,INSUMOS!$A:$D,3,0),IFERROR(VLOOKUP($C1896,COTAÇÕES!$B:$I,3,0),(VLOOKUP($C1896,'INSUMO SINAPI - SP'!$C:$F,3,0)))))</f>
        <v>M</v>
      </c>
      <c r="G1896" s="511">
        <v>2.8793550244745201E-2</v>
      </c>
      <c r="H1896" s="512">
        <f>IF($C1896="",IFERROR(VLOOKUP($B1896,SERVIÇOS!$B:$G,6,0),IFERROR(VLOOKUP($B1896,$D:$K,8,0),"")),IFERROR(VLOOKUP($C1896,INSUMOS!$A:$D,4,0),IFERROR(VLOOKUP($C1896,COTAÇÕES!$B:$I,7,0),(VLOOKUP($C1896,'INSUMO SINAPI - SP'!$C:$F,4,0)))))</f>
        <v>14.18</v>
      </c>
      <c r="I1896" s="513">
        <f>TRUNC(IF($C1896="",IFERROR(VLOOKUP($B1896,SERVIÇOS!$B:$G,4,0),IFERROR(VLOOKUP($B1896,$D:$K,6,0),)),IFERROR(VLOOKUP($C1896,INSUMOS!$A:$D,4,0),IFERROR(VLOOKUP($C1896,COTAÇÕES!$B:$I,7,0),(VLOOKUP($C1896,'INSUMO SINAPI - SP'!$C:$F,4,0)))))*$G1896,2)</f>
        <v>0.18</v>
      </c>
      <c r="J1896" s="513">
        <f>TRUNC(IF($C1896="",IFERROR(VLOOKUP($B1896,SERVIÇOS!$B:$G,5,0),IFERROR(VLOOKUP($B1896,$D:$K,7,0),)),0)*$G1896,2)</f>
        <v>0.22</v>
      </c>
      <c r="K1896" s="514">
        <f t="shared" si="69"/>
        <v>0.4</v>
      </c>
      <c r="L1896" s="515"/>
      <c r="M1896" s="471"/>
      <c r="Q1896" s="472"/>
      <c r="R1896" s="472"/>
      <c r="S1896" s="472"/>
      <c r="T1896" s="472"/>
      <c r="U1896" s="472"/>
      <c r="V1896" s="472"/>
      <c r="W1896" s="472"/>
      <c r="X1896" s="472"/>
      <c r="Y1896" s="472"/>
    </row>
    <row r="1897" spans="1:25" ht="24" x14ac:dyDescent="0.25">
      <c r="A1897" s="463"/>
      <c r="B1897" s="506">
        <v>89711</v>
      </c>
      <c r="C1897" s="507"/>
      <c r="D1897" s="508"/>
      <c r="E1897" s="509" t="str">
        <f>IF($C1897="",IFERROR(VLOOKUP($B1897,SERVIÇOS!$B:$G,2,0),IFERROR(VLOOKUP($B1897,$D:$K,2,0),"")),IFERROR(VLOOKUP($C1897,INSUMOS!$A:$D,2,0),IFERROR(VLOOKUP($C1897,COTAÇÕES!$B:$I,2,0),(VLOOKUP($C1897,'INSUMO SINAPI - SP'!$C:$F,2,0)))))</f>
        <v>TUBO PVC, SERIE NORMAL, ESGOTO PREDIAL, DN 40 MM, FORNECIDO E INSTALADO EM RAMAL DE DESCARGA OU RAMAL DE ESGOTO SANITÁRIO. AF_08/2022</v>
      </c>
      <c r="F1897" s="510" t="str">
        <f>IF($C1897="",IFERROR(VLOOKUP($B1897,SERVIÇOS!$B:$G,3,0),IFERROR(VLOOKUP($B1897,$D:$K,3,0),"")),IFERROR(VLOOKUP($C1897,INSUMOS!$A:$D,3,0),IFERROR(VLOOKUP($C1897,COTAÇÕES!$B:$I,3,0),(VLOOKUP($C1897,'INSUMO SINAPI - SP'!$C:$F,3,0)))))</f>
        <v>M</v>
      </c>
      <c r="G1897" s="511">
        <v>5.7587100489490402E-2</v>
      </c>
      <c r="H1897" s="512">
        <f>IF($C1897="",IFERROR(VLOOKUP($B1897,SERVIÇOS!$B:$G,6,0),IFERROR(VLOOKUP($B1897,$D:$K,8,0),"")),IFERROR(VLOOKUP($C1897,INSUMOS!$A:$D,4,0),IFERROR(VLOOKUP($C1897,COTAÇÕES!$B:$I,7,0),(VLOOKUP($C1897,'INSUMO SINAPI - SP'!$C:$F,4,0)))))</f>
        <v>25.94</v>
      </c>
      <c r="I1897" s="513">
        <f>TRUNC(IF($C1897="",IFERROR(VLOOKUP($B1897,SERVIÇOS!$B:$G,4,0),IFERROR(VLOOKUP($B1897,$D:$K,6,0),)),IFERROR(VLOOKUP($C1897,INSUMOS!$A:$D,4,0),IFERROR(VLOOKUP($C1897,COTAÇÕES!$B:$I,7,0),(VLOOKUP($C1897,'INSUMO SINAPI - SP'!$C:$F,4,0)))))*$G1897,2)</f>
        <v>0.67</v>
      </c>
      <c r="J1897" s="513">
        <f>TRUNC(IF($C1897="",IFERROR(VLOOKUP($B1897,SERVIÇOS!$B:$G,5,0),IFERROR(VLOOKUP($B1897,$D:$K,7,0),)),0)*$G1897,2)</f>
        <v>0.81</v>
      </c>
      <c r="K1897" s="514">
        <f t="shared" si="69"/>
        <v>1.48</v>
      </c>
      <c r="L1897" s="515"/>
      <c r="M1897" s="471"/>
      <c r="Q1897" s="472"/>
      <c r="R1897" s="472"/>
      <c r="S1897" s="472"/>
      <c r="T1897" s="472"/>
      <c r="U1897" s="472"/>
      <c r="V1897" s="472"/>
      <c r="W1897" s="472"/>
      <c r="X1897" s="472"/>
      <c r="Y1897" s="472"/>
    </row>
    <row r="1898" spans="1:25" ht="24" x14ac:dyDescent="0.25">
      <c r="A1898" s="463"/>
      <c r="B1898" s="506">
        <v>103316</v>
      </c>
      <c r="C1898" s="507"/>
      <c r="D1898" s="508"/>
      <c r="E1898" s="509" t="str">
        <f>IF($C1898="",IFERROR(VLOOKUP($B1898,SERVIÇOS!$B:$G,2,0),IFERROR(VLOOKUP($B1898,$D:$K,2,0),"")),IFERROR(VLOOKUP($C1898,INSUMOS!$A:$D,2,0),IFERROR(VLOOKUP($C1898,COTAÇÕES!$B:$I,2,0),(VLOOKUP($C1898,'INSUMO SINAPI - SP'!$C:$F,2,0)))))</f>
        <v>ALVENARIA DE VEDAÇÃO DE BLOCOS VAZADOS DE CONCRETO DE 9X19X39 CM (ESPESSURA 9 CM) E ARGAMASSA DE ASSENTAMENTO COM PREPARO EM BETONEIRA. AF_12/2021</v>
      </c>
      <c r="F1898" s="510" t="str">
        <f>IF($C1898="",IFERROR(VLOOKUP($B1898,SERVIÇOS!$B:$G,3,0),IFERROR(VLOOKUP($B1898,$D:$K,3,0),"")),IFERROR(VLOOKUP($C1898,INSUMOS!$A:$D,3,0),IFERROR(VLOOKUP($C1898,COTAÇÕES!$B:$I,3,0),(VLOOKUP($C1898,'INSUMO SINAPI - SP'!$C:$F,3,0)))))</f>
        <v>M2</v>
      </c>
      <c r="G1898" s="511">
        <v>0.11229484595450601</v>
      </c>
      <c r="H1898" s="512">
        <f>IF($C1898="",IFERROR(VLOOKUP($B1898,SERVIÇOS!$B:$G,6,0),IFERROR(VLOOKUP($B1898,$D:$K,8,0),"")),IFERROR(VLOOKUP($C1898,INSUMOS!$A:$D,4,0),IFERROR(VLOOKUP($C1898,COTAÇÕES!$B:$I,7,0),(VLOOKUP($C1898,'INSUMO SINAPI - SP'!$C:$F,4,0)))))</f>
        <v>79.02</v>
      </c>
      <c r="I1898" s="513">
        <f>TRUNC(IF($C1898="",IFERROR(VLOOKUP($B1898,SERVIÇOS!$B:$G,4,0),IFERROR(VLOOKUP($B1898,$D:$K,6,0),)),IFERROR(VLOOKUP($C1898,INSUMOS!$A:$D,4,0),IFERROR(VLOOKUP($C1898,COTAÇÕES!$B:$I,7,0),(VLOOKUP($C1898,'INSUMO SINAPI - SP'!$C:$F,4,0)))))*$G1898,2)</f>
        <v>5.7</v>
      </c>
      <c r="J1898" s="513">
        <f>TRUNC(IF($C1898="",IFERROR(VLOOKUP($B1898,SERVIÇOS!$B:$G,5,0),IFERROR(VLOOKUP($B1898,$D:$K,7,0),)),0)*$G1898,2)</f>
        <v>3.17</v>
      </c>
      <c r="K1898" s="514">
        <f t="shared" si="69"/>
        <v>8.870000000000001</v>
      </c>
      <c r="L1898" s="515"/>
      <c r="M1898" s="471"/>
      <c r="Q1898" s="472"/>
      <c r="R1898" s="472"/>
      <c r="S1898" s="472"/>
      <c r="T1898" s="472"/>
      <c r="U1898" s="472"/>
      <c r="V1898" s="472"/>
      <c r="W1898" s="472"/>
      <c r="X1898" s="472"/>
      <c r="Y1898" s="472"/>
    </row>
    <row r="1899" spans="1:25" ht="24" x14ac:dyDescent="0.25">
      <c r="A1899" s="463"/>
      <c r="B1899" s="506">
        <v>86932</v>
      </c>
      <c r="C1899" s="507"/>
      <c r="D1899" s="508"/>
      <c r="E1899" s="509" t="str">
        <f>IF($C1899="",IFERROR(VLOOKUP($B1899,SERVIÇOS!$B:$G,2,0),IFERROR(VLOOKUP($B1899,$D:$K,2,0),"")),IFERROR(VLOOKUP($C1899,INSUMOS!$A:$D,2,0),IFERROR(VLOOKUP($C1899,COTAÇÕES!$B:$I,2,0),(VLOOKUP($C1899,'INSUMO SINAPI - SP'!$C:$F,2,0)))))</f>
        <v>VASO SANITÁRIO SIFONADO COM CAIXA ACOPLADA LOUÇA BRANCA - PADRÃO MÉDIO, INCLUSO ENGATE FLEXÍVEL EM METAL CROMADO, 1/2  X 40CM - FORNECIMENTO E INSTALAÇÃO. AF_01/2020</v>
      </c>
      <c r="F1899" s="510" t="str">
        <f>IF($C1899="",IFERROR(VLOOKUP($B1899,SERVIÇOS!$B:$G,3,0),IFERROR(VLOOKUP($B1899,$D:$K,3,0),"")),IFERROR(VLOOKUP($C1899,INSUMOS!$A:$D,3,0),IFERROR(VLOOKUP($C1899,COTAÇÕES!$B:$I,3,0),(VLOOKUP($C1899,'INSUMO SINAPI - SP'!$C:$F,3,0)))))</f>
        <v>UN</v>
      </c>
      <c r="G1899" s="511">
        <v>2.8793550244745201E-2</v>
      </c>
      <c r="H1899" s="512">
        <f>IF($C1899="",IFERROR(VLOOKUP($B1899,SERVIÇOS!$B:$G,6,0),IFERROR(VLOOKUP($B1899,$D:$K,8,0),"")),IFERROR(VLOOKUP($C1899,INSUMOS!$A:$D,4,0),IFERROR(VLOOKUP($C1899,COTAÇÕES!$B:$I,7,0),(VLOOKUP($C1899,'INSUMO SINAPI - SP'!$C:$F,4,0)))))</f>
        <v>639.26</v>
      </c>
      <c r="I1899" s="513">
        <f>TRUNC(IF($C1899="",IFERROR(VLOOKUP($B1899,SERVIÇOS!$B:$G,4,0),IFERROR(VLOOKUP($B1899,$D:$K,6,0),)),IFERROR(VLOOKUP($C1899,INSUMOS!$A:$D,4,0),IFERROR(VLOOKUP($C1899,COTAÇÕES!$B:$I,7,0),(VLOOKUP($C1899,'INSUMO SINAPI - SP'!$C:$F,4,0)))))*$G1899,2)</f>
        <v>17.39</v>
      </c>
      <c r="J1899" s="513">
        <f>TRUNC(IF($C1899="",IFERROR(VLOOKUP($B1899,SERVIÇOS!$B:$G,5,0),IFERROR(VLOOKUP($B1899,$D:$K,7,0),)),0)*$G1899,2)</f>
        <v>1.01</v>
      </c>
      <c r="K1899" s="514">
        <f t="shared" si="69"/>
        <v>18.400000000000002</v>
      </c>
      <c r="L1899" s="515"/>
      <c r="M1899" s="471"/>
      <c r="Q1899" s="472"/>
      <c r="R1899" s="472"/>
      <c r="S1899" s="472"/>
      <c r="T1899" s="472"/>
      <c r="U1899" s="472"/>
      <c r="V1899" s="472"/>
      <c r="W1899" s="472"/>
      <c r="X1899" s="472"/>
      <c r="Y1899" s="472"/>
    </row>
    <row r="1900" spans="1:25" ht="24" x14ac:dyDescent="0.25">
      <c r="A1900" s="463"/>
      <c r="B1900" s="506">
        <v>89714</v>
      </c>
      <c r="C1900" s="507"/>
      <c r="D1900" s="508"/>
      <c r="E1900" s="509" t="str">
        <f>IF($C1900="",IFERROR(VLOOKUP($B1900,SERVIÇOS!$B:$G,2,0),IFERROR(VLOOKUP($B1900,$D:$K,2,0),"")),IFERROR(VLOOKUP($C1900,INSUMOS!$A:$D,2,0),IFERROR(VLOOKUP($C1900,COTAÇÕES!$B:$I,2,0),(VLOOKUP($C1900,'INSUMO SINAPI - SP'!$C:$F,2,0)))))</f>
        <v>TUBO PVC, SERIE NORMAL, ESGOTO PREDIAL, DN 100 MM, FORNECIDO E INSTALADO EM RAMAL DE DESCARGA OU RAMAL DE ESGOTO SANITÁRIO. AF_08/2022</v>
      </c>
      <c r="F1900" s="510" t="str">
        <f>IF($C1900="",IFERROR(VLOOKUP($B1900,SERVIÇOS!$B:$G,3,0),IFERROR(VLOOKUP($B1900,$D:$K,3,0),"")),IFERROR(VLOOKUP($C1900,INSUMOS!$A:$D,3,0),IFERROR(VLOOKUP($C1900,COTAÇÕES!$B:$I,3,0),(VLOOKUP($C1900,'INSUMO SINAPI - SP'!$C:$F,3,0)))))</f>
        <v>M</v>
      </c>
      <c r="G1900" s="511">
        <v>5.7587100489490402E-2</v>
      </c>
      <c r="H1900" s="512">
        <f>IF($C1900="",IFERROR(VLOOKUP($B1900,SERVIÇOS!$B:$G,6,0),IFERROR(VLOOKUP($B1900,$D:$K,8,0),"")),IFERROR(VLOOKUP($C1900,INSUMOS!$A:$D,4,0),IFERROR(VLOOKUP($C1900,COTAÇÕES!$B:$I,7,0),(VLOOKUP($C1900,'INSUMO SINAPI - SP'!$C:$F,4,0)))))</f>
        <v>44.46</v>
      </c>
      <c r="I1900" s="513">
        <f>TRUNC(IF($C1900="",IFERROR(VLOOKUP($B1900,SERVIÇOS!$B:$G,4,0),IFERROR(VLOOKUP($B1900,$D:$K,6,0),)),IFERROR(VLOOKUP($C1900,INSUMOS!$A:$D,4,0),IFERROR(VLOOKUP($C1900,COTAÇÕES!$B:$I,7,0),(VLOOKUP($C1900,'INSUMO SINAPI - SP'!$C:$F,4,0)))))*$G1900,2)</f>
        <v>1.31</v>
      </c>
      <c r="J1900" s="513">
        <f>TRUNC(IF($C1900="",IFERROR(VLOOKUP($B1900,SERVIÇOS!$B:$G,5,0),IFERROR(VLOOKUP($B1900,$D:$K,7,0),)),0)*$G1900,2)</f>
        <v>1.24</v>
      </c>
      <c r="K1900" s="514">
        <f t="shared" si="69"/>
        <v>2.5499999999999998</v>
      </c>
      <c r="L1900" s="515"/>
      <c r="M1900" s="471"/>
      <c r="Q1900" s="472"/>
      <c r="R1900" s="472"/>
      <c r="S1900" s="472"/>
      <c r="T1900" s="472"/>
      <c r="U1900" s="472"/>
      <c r="V1900" s="472"/>
      <c r="W1900" s="472"/>
      <c r="X1900" s="472"/>
      <c r="Y1900" s="472"/>
    </row>
    <row r="1901" spans="1:25" ht="48" x14ac:dyDescent="0.25">
      <c r="A1901" s="463"/>
      <c r="B1901" s="506">
        <v>94559</v>
      </c>
      <c r="C1901" s="507"/>
      <c r="D1901" s="508"/>
      <c r="E1901" s="509" t="str">
        <f>IF($C1901="",IFERROR(VLOOKUP($B1901,SERVIÇOS!$B:$G,2,0),IFERROR(VLOOKUP($B1901,$D:$K,2,0),"")),IFERROR(VLOOKUP($C1901,INSUMOS!$A:$D,2,0),IFERROR(VLOOKUP($C1901,COTAÇÕES!$B:$I,2,0),(VLOOKUP($C1901,'INSUMO SINAPI - SP'!$C:$F,2,0)))))</f>
        <v>JANELA DE AÇO TIPO BASCULANTE, PARA VIDROS (VIDROS NÃO INCLUSOS), BATENTE/ REQUADRO INCLUSO (6,5 A 14 CM), DIMENSÕES 60X60 CM, COM COM PINTURA ANTICORROSIVA, SEM ACABAMENTO, COM FERRAGENS, FIXAÇÃO COM ARGAMASSA, EXCLUSIVE CONTRAMARCO - FORNECIMENTO E INSTALAÇÃO. AF_11/2024</v>
      </c>
      <c r="F1901" s="510" t="str">
        <f>IF($C1901="",IFERROR(VLOOKUP($B1901,SERVIÇOS!$B:$G,3,0),IFERROR(VLOOKUP($B1901,$D:$K,3,0),"")),IFERROR(VLOOKUP($C1901,INSUMOS!$A:$D,3,0),IFERROR(VLOOKUP($C1901,COTAÇÕES!$B:$I,3,0),(VLOOKUP($C1901,'INSUMO SINAPI - SP'!$C:$F,3,0)))))</f>
        <v>M2</v>
      </c>
      <c r="G1901" s="511">
        <v>7.0832133602073105E-2</v>
      </c>
      <c r="H1901" s="512">
        <f>IF($C1901="",IFERROR(VLOOKUP($B1901,SERVIÇOS!$B:$G,6,0),IFERROR(VLOOKUP($B1901,$D:$K,8,0),"")),IFERROR(VLOOKUP($C1901,INSUMOS!$A:$D,4,0),IFERROR(VLOOKUP($C1901,COTAÇÕES!$B:$I,7,0),(VLOOKUP($C1901,'INSUMO SINAPI - SP'!$C:$F,4,0)))))</f>
        <v>789.79</v>
      </c>
      <c r="I1901" s="513">
        <f>TRUNC(IF($C1901="",IFERROR(VLOOKUP($B1901,SERVIÇOS!$B:$G,4,0),IFERROR(VLOOKUP($B1901,$D:$K,6,0),)),IFERROR(VLOOKUP($C1901,INSUMOS!$A:$D,4,0),IFERROR(VLOOKUP($C1901,COTAÇÕES!$B:$I,7,0),(VLOOKUP($C1901,'INSUMO SINAPI - SP'!$C:$F,4,0)))))*$G1901,2)</f>
        <v>42.19</v>
      </c>
      <c r="J1901" s="513">
        <f>TRUNC(IF($C1901="",IFERROR(VLOOKUP($B1901,SERVIÇOS!$B:$G,5,0),IFERROR(VLOOKUP($B1901,$D:$K,7,0),)),0)*$G1901,2)</f>
        <v>13.75</v>
      </c>
      <c r="K1901" s="514">
        <f t="shared" si="69"/>
        <v>55.94</v>
      </c>
      <c r="L1901" s="515"/>
      <c r="M1901" s="471"/>
      <c r="Q1901" s="472"/>
      <c r="R1901" s="472"/>
      <c r="S1901" s="472"/>
      <c r="T1901" s="472"/>
      <c r="U1901" s="472"/>
      <c r="V1901" s="472"/>
      <c r="W1901" s="472"/>
      <c r="X1901" s="472"/>
      <c r="Y1901" s="472"/>
    </row>
    <row r="1902" spans="1:25" ht="24" x14ac:dyDescent="0.25">
      <c r="A1902" s="463"/>
      <c r="B1902" s="506">
        <v>102218</v>
      </c>
      <c r="C1902" s="507"/>
      <c r="D1902" s="508"/>
      <c r="E1902" s="509" t="str">
        <f>IF($C1902="",IFERROR(VLOOKUP($B1902,SERVIÇOS!$B:$G,2,0),IFERROR(VLOOKUP($B1902,$D:$K,2,0),"")),IFERROR(VLOOKUP($C1902,INSUMOS!$A:$D,2,0),IFERROR(VLOOKUP($C1902,COTAÇÕES!$B:$I,2,0),(VLOOKUP($C1902,'INSUMO SINAPI - SP'!$C:$F,2,0)))))</f>
        <v>PINTURA TINTA DE ACABAMENTO (PIGMENTADA) ESMALTE SINTÉTICO FOSCO EM MADEIRA, 2 DEMÃOS. AF_01/2021</v>
      </c>
      <c r="F1902" s="510" t="str">
        <f>IF($C1902="",IFERROR(VLOOKUP($B1902,SERVIÇOS!$B:$G,3,0),IFERROR(VLOOKUP($B1902,$D:$K,3,0),"")),IFERROR(VLOOKUP($C1902,INSUMOS!$A:$D,3,0),IFERROR(VLOOKUP($C1902,COTAÇÕES!$B:$I,3,0),(VLOOKUP($C1902,'INSUMO SINAPI - SP'!$C:$F,3,0)))))</f>
        <v>M2</v>
      </c>
      <c r="G1902" s="511">
        <v>0.14166426720414599</v>
      </c>
      <c r="H1902" s="512">
        <f>IF($C1902="",IFERROR(VLOOKUP($B1902,SERVIÇOS!$B:$G,6,0),IFERROR(VLOOKUP($B1902,$D:$K,8,0),"")),IFERROR(VLOOKUP($C1902,INSUMOS!$A:$D,4,0),IFERROR(VLOOKUP($C1902,COTAÇÕES!$B:$I,7,0),(VLOOKUP($C1902,'INSUMO SINAPI - SP'!$C:$F,4,0)))))</f>
        <v>19.850000000000001</v>
      </c>
      <c r="I1902" s="513">
        <f>TRUNC(IF($C1902="",IFERROR(VLOOKUP($B1902,SERVIÇOS!$B:$G,4,0),IFERROR(VLOOKUP($B1902,$D:$K,6,0),)),IFERROR(VLOOKUP($C1902,INSUMOS!$A:$D,4,0),IFERROR(VLOOKUP($C1902,COTAÇÕES!$B:$I,7,0),(VLOOKUP($C1902,'INSUMO SINAPI - SP'!$C:$F,4,0)))))*$G1902,2)</f>
        <v>1.33</v>
      </c>
      <c r="J1902" s="513">
        <f>TRUNC(IF($C1902="",IFERROR(VLOOKUP($B1902,SERVIÇOS!$B:$G,5,0),IFERROR(VLOOKUP($B1902,$D:$K,7,0),)),0)*$G1902,2)</f>
        <v>1.47</v>
      </c>
      <c r="K1902" s="514">
        <f t="shared" si="69"/>
        <v>2.8</v>
      </c>
      <c r="L1902" s="515"/>
      <c r="M1902" s="471"/>
      <c r="Q1902" s="472"/>
      <c r="R1902" s="472"/>
      <c r="S1902" s="472"/>
      <c r="T1902" s="472"/>
      <c r="U1902" s="472"/>
      <c r="V1902" s="472"/>
      <c r="W1902" s="472"/>
      <c r="X1902" s="472"/>
      <c r="Y1902" s="472"/>
    </row>
    <row r="1903" spans="1:25" ht="24" x14ac:dyDescent="0.25">
      <c r="A1903" s="463"/>
      <c r="B1903" s="498"/>
      <c r="C1903" s="498"/>
      <c r="D1903" s="499" t="s">
        <v>12560</v>
      </c>
      <c r="E1903" s="500" t="s">
        <v>13512</v>
      </c>
      <c r="F1903" s="501" t="s">
        <v>578</v>
      </c>
      <c r="G1903" s="502"/>
      <c r="H1903" s="503"/>
      <c r="I1903" s="504">
        <f>ROUND(SUM(I1904:I1918),2)</f>
        <v>726.02</v>
      </c>
      <c r="J1903" s="504">
        <f>ROUND(SUM(J1904:J1918),2)</f>
        <v>131.25</v>
      </c>
      <c r="K1903" s="504">
        <f>+J1903+I1903</f>
        <v>857.27</v>
      </c>
      <c r="L1903" s="523"/>
      <c r="M1903" s="471"/>
      <c r="Q1903" s="472"/>
      <c r="R1903" s="472"/>
      <c r="S1903" s="472"/>
      <c r="T1903" s="472"/>
      <c r="U1903" s="472"/>
      <c r="V1903" s="472"/>
      <c r="W1903" s="472"/>
      <c r="X1903" s="472"/>
      <c r="Y1903" s="472"/>
    </row>
    <row r="1904" spans="1:25" ht="24" x14ac:dyDescent="0.25">
      <c r="A1904" s="463"/>
      <c r="B1904" s="506" t="s">
        <v>13506</v>
      </c>
      <c r="C1904" s="507"/>
      <c r="D1904" s="508"/>
      <c r="E1904" s="509" t="str">
        <f>IF($C1904="",IFERROR(VLOOKUP($B1904,SERVIÇOS!$B:$G,2,0),IFERROR(VLOOKUP($B1904,$D:$K,2,0),"")),IFERROR(VLOOKUP($C1904,INSUMOS!$A:$D,2,0),IFERROR(VLOOKUP($C1904,COTAÇÕES!$B:$I,2,0),(VLOOKUP($C1904,'INSUMO SINAPI - SP'!$C:$F,2,0)))))</f>
        <v>PAREDE DE COM TELHA METALICA TRAPEZOIDAL, ALTURA 40MM ESPESSURA 0,5MM PARA CONSTRUÇÃO TEMPORÁRIA, COM CHAPA DE MADEIRA INTERNA</v>
      </c>
      <c r="F1904" s="510" t="str">
        <f>IF($C1904="",IFERROR(VLOOKUP($B1904,SERVIÇOS!$B:$G,3,0),IFERROR(VLOOKUP($B1904,$D:$K,3,0),"")),IFERROR(VLOOKUP($C1904,INSUMOS!$A:$D,3,0),IFERROR(VLOOKUP($C1904,COTAÇÕES!$B:$I,3,0),(VLOOKUP($C1904,'INSUMO SINAPI - SP'!$C:$F,3,0)))))</f>
        <v>M2</v>
      </c>
      <c r="G1904" s="511">
        <v>0.60223168654173798</v>
      </c>
      <c r="H1904" s="512">
        <f>IF($C1904="",IFERROR(VLOOKUP($B1904,SERVIÇOS!$B:$G,6,0),IFERROR(VLOOKUP($B1904,$D:$K,8,0),"")),IFERROR(VLOOKUP($C1904,INSUMOS!$A:$D,4,0),IFERROR(VLOOKUP($C1904,COTAÇÕES!$B:$I,7,0),(VLOOKUP($C1904,'INSUMO SINAPI - SP'!$C:$F,4,0)))))</f>
        <v>754.41000000000008</v>
      </c>
      <c r="I1904" s="513">
        <f>TRUNC(IF($C1904="",IFERROR(VLOOKUP($B1904,SERVIÇOS!$B:$G,4,0),IFERROR(VLOOKUP($B1904,$D:$K,6,0),)),IFERROR(VLOOKUP($C1904,INSUMOS!$A:$D,4,0),IFERROR(VLOOKUP($C1904,COTAÇÕES!$B:$I,7,0),(VLOOKUP($C1904,'INSUMO SINAPI - SP'!$C:$F,4,0)))))*$G1904,2)</f>
        <v>375.42</v>
      </c>
      <c r="J1904" s="513">
        <f>TRUNC(IF($C1904="",IFERROR(VLOOKUP($B1904,SERVIÇOS!$B:$G,5,0),IFERROR(VLOOKUP($B1904,$D:$K,7,0),)),0)*$G1904,2)</f>
        <v>78.900000000000006</v>
      </c>
      <c r="K1904" s="514">
        <f t="shared" ref="K1904:K1918" si="70">I1904+J1904</f>
        <v>454.32000000000005</v>
      </c>
      <c r="L1904" s="515"/>
      <c r="M1904" s="471"/>
      <c r="Q1904" s="472"/>
      <c r="R1904" s="472"/>
      <c r="S1904" s="472"/>
      <c r="T1904" s="472"/>
      <c r="U1904" s="472"/>
      <c r="V1904" s="472"/>
      <c r="W1904" s="472"/>
      <c r="X1904" s="472"/>
      <c r="Y1904" s="472"/>
    </row>
    <row r="1905" spans="1:25" ht="24" x14ac:dyDescent="0.25">
      <c r="A1905" s="463"/>
      <c r="B1905" s="506">
        <v>98443</v>
      </c>
      <c r="C1905" s="507"/>
      <c r="D1905" s="508"/>
      <c r="E1905" s="509" t="str">
        <f>IF($C1905="",IFERROR(VLOOKUP($B1905,SERVIÇOS!$B:$G,2,0),IFERROR(VLOOKUP($B1905,$D:$K,2,0),"")),IFERROR(VLOOKUP($C1905,INSUMOS!$A:$D,2,0),IFERROR(VLOOKUP($C1905,COTAÇÕES!$B:$I,2,0),(VLOOKUP($C1905,'INSUMO SINAPI - SP'!$C:$F,2,0)))))</f>
        <v>PAREDE DE MADEIRA COMPENSADA PARA CONSTRUÇÃO TEMPORÁRIA EM CHAPA SIMPLES, INTERNA, SEM VÃO. AF_03/2024</v>
      </c>
      <c r="F1905" s="510" t="str">
        <f>IF($C1905="",IFERROR(VLOOKUP($B1905,SERVIÇOS!$B:$G,3,0),IFERROR(VLOOKUP($B1905,$D:$K,3,0),"")),IFERROR(VLOOKUP($C1905,INSUMOS!$A:$D,3,0),IFERROR(VLOOKUP($C1905,COTAÇÕES!$B:$I,3,0),(VLOOKUP($C1905,'INSUMO SINAPI - SP'!$C:$F,3,0)))))</f>
        <v>M2</v>
      </c>
      <c r="G1905" s="511">
        <v>0.25860306643952302</v>
      </c>
      <c r="H1905" s="512">
        <f>IF($C1905="",IFERROR(VLOOKUP($B1905,SERVIÇOS!$B:$G,6,0),IFERROR(VLOOKUP($B1905,$D:$K,8,0),"")),IFERROR(VLOOKUP($C1905,INSUMOS!$A:$D,4,0),IFERROR(VLOOKUP($C1905,COTAÇÕES!$B:$I,7,0),(VLOOKUP($C1905,'INSUMO SINAPI - SP'!$C:$F,4,0)))))</f>
        <v>72.72</v>
      </c>
      <c r="I1905" s="513">
        <f>TRUNC(IF($C1905="",IFERROR(VLOOKUP($B1905,SERVIÇOS!$B:$G,4,0),IFERROR(VLOOKUP($B1905,$D:$K,6,0),)),IFERROR(VLOOKUP($C1905,INSUMOS!$A:$D,4,0),IFERROR(VLOOKUP($C1905,COTAÇÕES!$B:$I,7,0),(VLOOKUP($C1905,'INSUMO SINAPI - SP'!$C:$F,4,0)))))*$G1905,2)</f>
        <v>13.71</v>
      </c>
      <c r="J1905" s="513">
        <f>TRUNC(IF($C1905="",IFERROR(VLOOKUP($B1905,SERVIÇOS!$B:$G,5,0),IFERROR(VLOOKUP($B1905,$D:$K,7,0),)),0)*$G1905,2)</f>
        <v>5.09</v>
      </c>
      <c r="K1905" s="514">
        <f t="shared" si="70"/>
        <v>18.8</v>
      </c>
      <c r="L1905" s="515"/>
      <c r="M1905" s="471"/>
      <c r="Q1905" s="472"/>
      <c r="R1905" s="472"/>
      <c r="S1905" s="472"/>
      <c r="T1905" s="472"/>
      <c r="U1905" s="472"/>
      <c r="V1905" s="472"/>
      <c r="W1905" s="472"/>
      <c r="X1905" s="472"/>
      <c r="Y1905" s="472"/>
    </row>
    <row r="1906" spans="1:25" ht="24" x14ac:dyDescent="0.25">
      <c r="A1906" s="463"/>
      <c r="B1906" s="506">
        <v>96622</v>
      </c>
      <c r="C1906" s="507"/>
      <c r="D1906" s="508"/>
      <c r="E1906" s="509" t="str">
        <f>IF($C1906="",IFERROR(VLOOKUP($B1906,SERVIÇOS!$B:$G,2,0),IFERROR(VLOOKUP($B1906,$D:$K,2,0),"")),IFERROR(VLOOKUP($C1906,INSUMOS!$A:$D,2,0),IFERROR(VLOOKUP($C1906,COTAÇÕES!$B:$I,2,0),(VLOOKUP($C1906,'INSUMO SINAPI - SP'!$C:$F,2,0)))))</f>
        <v>LASTRO COM MATERIAL GRANULAR, APLICADO EM PISOS OU LAJES SOBRE SOLO, ESPESSURA DE *5 CM*. AF_01/2024</v>
      </c>
      <c r="F1906" s="510" t="str">
        <f>IF($C1906="",IFERROR(VLOOKUP($B1906,SERVIÇOS!$B:$G,3,0),IFERROR(VLOOKUP($B1906,$D:$K,3,0),"")),IFERROR(VLOOKUP($C1906,INSUMOS!$A:$D,3,0),IFERROR(VLOOKUP($C1906,COTAÇÕES!$B:$I,3,0),(VLOOKUP($C1906,'INSUMO SINAPI - SP'!$C:$F,3,0)))))</f>
        <v>M3</v>
      </c>
      <c r="G1906" s="511">
        <v>0.05</v>
      </c>
      <c r="H1906" s="512">
        <f>IF($C1906="",IFERROR(VLOOKUP($B1906,SERVIÇOS!$B:$G,6,0),IFERROR(VLOOKUP($B1906,$D:$K,8,0),"")),IFERROR(VLOOKUP($C1906,INSUMOS!$A:$D,4,0),IFERROR(VLOOKUP($C1906,COTAÇÕES!$B:$I,7,0),(VLOOKUP($C1906,'INSUMO SINAPI - SP'!$C:$F,4,0)))))</f>
        <v>182.38</v>
      </c>
      <c r="I1906" s="513">
        <f>TRUNC(IF($C1906="",IFERROR(VLOOKUP($B1906,SERVIÇOS!$B:$G,4,0),IFERROR(VLOOKUP($B1906,$D:$K,6,0),)),IFERROR(VLOOKUP($C1906,INSUMOS!$A:$D,4,0),IFERROR(VLOOKUP($C1906,COTAÇÕES!$B:$I,7,0),(VLOOKUP($C1906,'INSUMO SINAPI - SP'!$C:$F,4,0)))))*$G1906,2)</f>
        <v>5.69</v>
      </c>
      <c r="J1906" s="513">
        <f>TRUNC(IF($C1906="",IFERROR(VLOOKUP($B1906,SERVIÇOS!$B:$G,5,0),IFERROR(VLOOKUP($B1906,$D:$K,7,0),)),0)*$G1906,2)</f>
        <v>3.42</v>
      </c>
      <c r="K1906" s="514">
        <f t="shared" si="70"/>
        <v>9.11</v>
      </c>
      <c r="L1906" s="515"/>
      <c r="M1906" s="471"/>
      <c r="Q1906" s="472"/>
      <c r="R1906" s="472"/>
      <c r="S1906" s="472"/>
      <c r="T1906" s="472"/>
      <c r="U1906" s="472"/>
      <c r="V1906" s="472"/>
      <c r="W1906" s="472"/>
      <c r="X1906" s="472"/>
      <c r="Y1906" s="472"/>
    </row>
    <row r="1907" spans="1:25" ht="24" x14ac:dyDescent="0.25">
      <c r="A1907" s="463"/>
      <c r="B1907" s="506">
        <v>101749</v>
      </c>
      <c r="C1907" s="507"/>
      <c r="D1907" s="508"/>
      <c r="E1907" s="509" t="str">
        <f>IF($C1907="",IFERROR(VLOOKUP($B1907,SERVIÇOS!$B:$G,2,0),IFERROR(VLOOKUP($B1907,$D:$K,2,0),"")),IFERROR(VLOOKUP($C1907,INSUMOS!$A:$D,2,0),IFERROR(VLOOKUP($C1907,COTAÇÕES!$B:$I,2,0),(VLOOKUP($C1907,'INSUMO SINAPI - SP'!$C:$F,2,0)))))</f>
        <v>PISO CIMENTADO, TRAÇO 1:3 (CIMENTO E AREIA), ACABAMENTO LISO, ESPESSURA 4,0 CM, PREPARO MECÂNICO DA ARGAMASSA. AF_09/2020</v>
      </c>
      <c r="F1907" s="510" t="str">
        <f>IF($C1907="",IFERROR(VLOOKUP($B1907,SERVIÇOS!$B:$G,3,0),IFERROR(VLOOKUP($B1907,$D:$K,3,0),"")),IFERROR(VLOOKUP($C1907,INSUMOS!$A:$D,3,0),IFERROR(VLOOKUP($C1907,COTAÇÕES!$B:$I,3,0),(VLOOKUP($C1907,'INSUMO SINAPI - SP'!$C:$F,3,0)))))</f>
        <v>M2</v>
      </c>
      <c r="G1907" s="511">
        <v>1</v>
      </c>
      <c r="H1907" s="512">
        <f>IF($C1907="",IFERROR(VLOOKUP($B1907,SERVIÇOS!$B:$G,6,0),IFERROR(VLOOKUP($B1907,$D:$K,8,0),"")),IFERROR(VLOOKUP($C1907,INSUMOS!$A:$D,4,0),IFERROR(VLOOKUP($C1907,COTAÇÕES!$B:$I,7,0),(VLOOKUP($C1907,'INSUMO SINAPI - SP'!$C:$F,4,0)))))</f>
        <v>60.56</v>
      </c>
      <c r="I1907" s="513">
        <f>TRUNC(IF($C1907="",IFERROR(VLOOKUP($B1907,SERVIÇOS!$B:$G,4,0),IFERROR(VLOOKUP($B1907,$D:$K,6,0),)),IFERROR(VLOOKUP($C1907,INSUMOS!$A:$D,4,0),IFERROR(VLOOKUP($C1907,COTAÇÕES!$B:$I,7,0),(VLOOKUP($C1907,'INSUMO SINAPI - SP'!$C:$F,4,0)))))*$G1907,2)</f>
        <v>39.11</v>
      </c>
      <c r="J1907" s="513">
        <f>TRUNC(IF($C1907="",IFERROR(VLOOKUP($B1907,SERVIÇOS!$B:$G,5,0),IFERROR(VLOOKUP($B1907,$D:$K,7,0),)),0)*$G1907,2)</f>
        <v>21.45</v>
      </c>
      <c r="K1907" s="514">
        <f t="shared" si="70"/>
        <v>60.56</v>
      </c>
      <c r="L1907" s="515"/>
      <c r="M1907" s="471"/>
      <c r="Q1907" s="472"/>
      <c r="R1907" s="472"/>
      <c r="S1907" s="472"/>
      <c r="T1907" s="472"/>
      <c r="U1907" s="472"/>
      <c r="V1907" s="472"/>
      <c r="W1907" s="472"/>
      <c r="X1907" s="472"/>
      <c r="Y1907" s="472"/>
    </row>
    <row r="1908" spans="1:25" ht="24" x14ac:dyDescent="0.25">
      <c r="A1908" s="463"/>
      <c r="B1908" s="506">
        <v>91924</v>
      </c>
      <c r="C1908" s="507"/>
      <c r="D1908" s="508"/>
      <c r="E1908" s="509" t="str">
        <f>IF($C1908="",IFERROR(VLOOKUP($B1908,SERVIÇOS!$B:$G,2,0),IFERROR(VLOOKUP($B1908,$D:$K,2,0),"")),IFERROR(VLOOKUP($C1908,INSUMOS!$A:$D,2,0),IFERROR(VLOOKUP($C1908,COTAÇÕES!$B:$I,2,0),(VLOOKUP($C1908,'INSUMO SINAPI - SP'!$C:$F,2,0)))))</f>
        <v>CABO DE COBRE FLEXÍVEL ISOLADO, 1,5 MM², ANTI-CHAMA 450/750 V, PARA CIRCUITOS TERMINAIS - FORNECIMENTO E INSTALAÇÃO. AF_03/2023</v>
      </c>
      <c r="F1908" s="510" t="str">
        <f>IF($C1908="",IFERROR(VLOOKUP($B1908,SERVIÇOS!$B:$G,3,0),IFERROR(VLOOKUP($B1908,$D:$K,3,0),"")),IFERROR(VLOOKUP($C1908,INSUMOS!$A:$D,3,0),IFERROR(VLOOKUP($C1908,COTAÇÕES!$B:$I,3,0),(VLOOKUP($C1908,'INSUMO SINAPI - SP'!$C:$F,3,0)))))</f>
        <v>M</v>
      </c>
      <c r="G1908" s="511">
        <v>1.10391822827939</v>
      </c>
      <c r="H1908" s="512">
        <f>IF($C1908="",IFERROR(VLOOKUP($B1908,SERVIÇOS!$B:$G,6,0),IFERROR(VLOOKUP($B1908,$D:$K,8,0),"")),IFERROR(VLOOKUP($C1908,INSUMOS!$A:$D,4,0),IFERROR(VLOOKUP($C1908,COTAÇÕES!$B:$I,7,0),(VLOOKUP($C1908,'INSUMO SINAPI - SP'!$C:$F,4,0)))))</f>
        <v>3.34</v>
      </c>
      <c r="I1908" s="513">
        <f>TRUNC(IF($C1908="",IFERROR(VLOOKUP($B1908,SERVIÇOS!$B:$G,4,0),IFERROR(VLOOKUP($B1908,$D:$K,6,0),)),IFERROR(VLOOKUP($C1908,INSUMOS!$A:$D,4,0),IFERROR(VLOOKUP($C1908,COTAÇÕES!$B:$I,7,0),(VLOOKUP($C1908,'INSUMO SINAPI - SP'!$C:$F,4,0)))))*$G1908,2)</f>
        <v>2.4500000000000002</v>
      </c>
      <c r="J1908" s="513">
        <f>TRUNC(IF($C1908="",IFERROR(VLOOKUP($B1908,SERVIÇOS!$B:$G,5,0),IFERROR(VLOOKUP($B1908,$D:$K,7,0),)),0)*$G1908,2)</f>
        <v>1.23</v>
      </c>
      <c r="K1908" s="514">
        <f t="shared" si="70"/>
        <v>3.68</v>
      </c>
      <c r="L1908" s="515"/>
      <c r="M1908" s="471"/>
      <c r="Q1908" s="472"/>
      <c r="R1908" s="472"/>
      <c r="S1908" s="472"/>
      <c r="T1908" s="472"/>
      <c r="U1908" s="472"/>
      <c r="V1908" s="472"/>
      <c r="W1908" s="472"/>
      <c r="X1908" s="472"/>
      <c r="Y1908" s="472"/>
    </row>
    <row r="1909" spans="1:25" ht="24" x14ac:dyDescent="0.25">
      <c r="A1909" s="463"/>
      <c r="B1909" s="506">
        <v>91867</v>
      </c>
      <c r="C1909" s="507"/>
      <c r="D1909" s="508"/>
      <c r="E1909" s="509" t="str">
        <f>IF($C1909="",IFERROR(VLOOKUP($B1909,SERVIÇOS!$B:$G,2,0),IFERROR(VLOOKUP($B1909,$D:$K,2,0),"")),IFERROR(VLOOKUP($C1909,INSUMOS!$A:$D,2,0),IFERROR(VLOOKUP($C1909,COTAÇÕES!$B:$I,2,0),(VLOOKUP($C1909,'INSUMO SINAPI - SP'!$C:$F,2,0)))))</f>
        <v>ELETRODUTO RÍGIDO ROSCÁVEL, PVC, DN 25 MM (3/4"), PARA CIRCUITOS TERMINAIS, INSTALADO EM LAJE - FORNECIMENTO E INSTALAÇÃO. AF_03/2023</v>
      </c>
      <c r="F1909" s="510" t="str">
        <f>IF($C1909="",IFERROR(VLOOKUP($B1909,SERVIÇOS!$B:$G,3,0),IFERROR(VLOOKUP($B1909,$D:$K,3,0),"")),IFERROR(VLOOKUP($C1909,INSUMOS!$A:$D,3,0),IFERROR(VLOOKUP($C1909,COTAÇÕES!$B:$I,3,0),(VLOOKUP($C1909,'INSUMO SINAPI - SP'!$C:$F,3,0)))))</f>
        <v>M</v>
      </c>
      <c r="G1909" s="511">
        <v>0.55195911413969301</v>
      </c>
      <c r="H1909" s="512">
        <f>IF($C1909="",IFERROR(VLOOKUP($B1909,SERVIÇOS!$B:$G,6,0),IFERROR(VLOOKUP($B1909,$D:$K,8,0),"")),IFERROR(VLOOKUP($C1909,INSUMOS!$A:$D,4,0),IFERROR(VLOOKUP($C1909,COTAÇÕES!$B:$I,7,0),(VLOOKUP($C1909,'INSUMO SINAPI - SP'!$C:$F,4,0)))))</f>
        <v>14.02</v>
      </c>
      <c r="I1909" s="513">
        <f>TRUNC(IF($C1909="",IFERROR(VLOOKUP($B1909,SERVIÇOS!$B:$G,4,0),IFERROR(VLOOKUP($B1909,$D:$K,6,0),)),IFERROR(VLOOKUP($C1909,INSUMOS!$A:$D,4,0),IFERROR(VLOOKUP($C1909,COTAÇÕES!$B:$I,7,0),(VLOOKUP($C1909,'INSUMO SINAPI - SP'!$C:$F,4,0)))))*$G1909,2)</f>
        <v>5.17</v>
      </c>
      <c r="J1909" s="513">
        <f>TRUNC(IF($C1909="",IFERROR(VLOOKUP($B1909,SERVIÇOS!$B:$G,5,0),IFERROR(VLOOKUP($B1909,$D:$K,7,0),)),0)*$G1909,2)</f>
        <v>2.56</v>
      </c>
      <c r="K1909" s="514">
        <f t="shared" si="70"/>
        <v>7.73</v>
      </c>
      <c r="L1909" s="515"/>
      <c r="M1909" s="471"/>
      <c r="Q1909" s="472"/>
      <c r="R1909" s="472"/>
      <c r="S1909" s="472"/>
      <c r="T1909" s="472"/>
      <c r="U1909" s="472"/>
      <c r="V1909" s="472"/>
      <c r="W1909" s="472"/>
      <c r="X1909" s="472"/>
      <c r="Y1909" s="472"/>
    </row>
    <row r="1910" spans="1:25" ht="24" x14ac:dyDescent="0.25">
      <c r="A1910" s="463"/>
      <c r="B1910" s="506">
        <v>103782</v>
      </c>
      <c r="C1910" s="507"/>
      <c r="D1910" s="508"/>
      <c r="E1910" s="509" t="str">
        <f>IF($C1910="",IFERROR(VLOOKUP($B1910,SERVIÇOS!$B:$G,2,0),IFERROR(VLOOKUP($B1910,$D:$K,2,0),"")),IFERROR(VLOOKUP($C1910,INSUMOS!$A:$D,2,0),IFERROR(VLOOKUP($C1910,COTAÇÕES!$B:$I,2,0),(VLOOKUP($C1910,'INSUMO SINAPI - SP'!$C:$F,2,0)))))</f>
        <v>LUMINÁRIA TIPO PLAFON CIRCULAR, DE SOBREPOR, COM LED DE 12/13 W - FORNECIMENTO E INSTALAÇÃO. AF_09/2024</v>
      </c>
      <c r="F1910" s="510" t="str">
        <f>IF($C1910="",IFERROR(VLOOKUP($B1910,SERVIÇOS!$B:$G,3,0),IFERROR(VLOOKUP($B1910,$D:$K,3,0),"")),IFERROR(VLOOKUP($C1910,INSUMOS!$A:$D,3,0),IFERROR(VLOOKUP($C1910,COTAÇÕES!$B:$I,3,0),(VLOOKUP($C1910,'INSUMO SINAPI - SP'!$C:$F,3,0)))))</f>
        <v>UN</v>
      </c>
      <c r="G1910" s="511">
        <v>0.136286201022147</v>
      </c>
      <c r="H1910" s="512">
        <f>IF($C1910="",IFERROR(VLOOKUP($B1910,SERVIÇOS!$B:$G,6,0),IFERROR(VLOOKUP($B1910,$D:$K,8,0),"")),IFERROR(VLOOKUP($C1910,INSUMOS!$A:$D,4,0),IFERROR(VLOOKUP($C1910,COTAÇÕES!$B:$I,7,0),(VLOOKUP($C1910,'INSUMO SINAPI - SP'!$C:$F,4,0)))))</f>
        <v>35.11</v>
      </c>
      <c r="I1910" s="513">
        <f>TRUNC(IF($C1910="",IFERROR(VLOOKUP($B1910,SERVIÇOS!$B:$G,4,0),IFERROR(VLOOKUP($B1910,$D:$K,6,0),)),IFERROR(VLOOKUP($C1910,INSUMOS!$A:$D,4,0),IFERROR(VLOOKUP($C1910,COTAÇÕES!$B:$I,7,0),(VLOOKUP($C1910,'INSUMO SINAPI - SP'!$C:$F,4,0)))))*$G1910,2)</f>
        <v>2.4900000000000002</v>
      </c>
      <c r="J1910" s="513">
        <f>TRUNC(IF($C1910="",IFERROR(VLOOKUP($B1910,SERVIÇOS!$B:$G,5,0),IFERROR(VLOOKUP($B1910,$D:$K,7,0),)),0)*$G1910,2)</f>
        <v>2.2799999999999998</v>
      </c>
      <c r="K1910" s="514">
        <f t="shared" si="70"/>
        <v>4.7699999999999996</v>
      </c>
      <c r="L1910" s="515"/>
      <c r="M1910" s="471"/>
      <c r="Q1910" s="472"/>
      <c r="R1910" s="472"/>
      <c r="S1910" s="472"/>
      <c r="T1910" s="472"/>
      <c r="U1910" s="472"/>
      <c r="V1910" s="472"/>
      <c r="W1910" s="472"/>
      <c r="X1910" s="472"/>
      <c r="Y1910" s="472"/>
    </row>
    <row r="1911" spans="1:25" ht="24" x14ac:dyDescent="0.25">
      <c r="A1911" s="463"/>
      <c r="B1911" s="506">
        <v>95777</v>
      </c>
      <c r="C1911" s="507"/>
      <c r="D1911" s="508"/>
      <c r="E1911" s="509" t="str">
        <f>IF($C1911="",IFERROR(VLOOKUP($B1911,SERVIÇOS!$B:$G,2,0),IFERROR(VLOOKUP($B1911,$D:$K,2,0),"")),IFERROR(VLOOKUP($C1911,INSUMOS!$A:$D,2,0),IFERROR(VLOOKUP($C1911,COTAÇÕES!$B:$I,2,0),(VLOOKUP($C1911,'INSUMO SINAPI - SP'!$C:$F,2,0)))))</f>
        <v>CONDULETE DE ALUMÍNIO, TIPO B, PARA ELETRODUTO DE AÇO GALVANIZADO DN 20 MM (3/4''), APARENTE - FORNECIMENTO E INSTALAÇÃO. AF_10/2022</v>
      </c>
      <c r="F1911" s="510" t="str">
        <f>IF($C1911="",IFERROR(VLOOKUP($B1911,SERVIÇOS!$B:$G,3,0),IFERROR(VLOOKUP($B1911,$D:$K,3,0),"")),IFERROR(VLOOKUP($C1911,INSUMOS!$A:$D,3,0),IFERROR(VLOOKUP($C1911,COTAÇÕES!$B:$I,3,0),(VLOOKUP($C1911,'INSUMO SINAPI - SP'!$C:$F,3,0)))))</f>
        <v>UN</v>
      </c>
      <c r="G1911" s="511">
        <v>0.136286201022147</v>
      </c>
      <c r="H1911" s="512">
        <f>IF($C1911="",IFERROR(VLOOKUP($B1911,SERVIÇOS!$B:$G,6,0),IFERROR(VLOOKUP($B1911,$D:$K,8,0),"")),IFERROR(VLOOKUP($C1911,INSUMOS!$A:$D,4,0),IFERROR(VLOOKUP($C1911,COTAÇÕES!$B:$I,7,0),(VLOOKUP($C1911,'INSUMO SINAPI - SP'!$C:$F,4,0)))))</f>
        <v>31.31</v>
      </c>
      <c r="I1911" s="513">
        <f>TRUNC(IF($C1911="",IFERROR(VLOOKUP($B1911,SERVIÇOS!$B:$G,4,0),IFERROR(VLOOKUP($B1911,$D:$K,6,0),)),IFERROR(VLOOKUP($C1911,INSUMOS!$A:$D,4,0),IFERROR(VLOOKUP($C1911,COTAÇÕES!$B:$I,7,0),(VLOOKUP($C1911,'INSUMO SINAPI - SP'!$C:$F,4,0)))))*$G1911,2)</f>
        <v>2.71</v>
      </c>
      <c r="J1911" s="513">
        <f>TRUNC(IF($C1911="",IFERROR(VLOOKUP($B1911,SERVIÇOS!$B:$G,5,0),IFERROR(VLOOKUP($B1911,$D:$K,7,0),)),0)*$G1911,2)</f>
        <v>1.55</v>
      </c>
      <c r="K1911" s="514">
        <f t="shared" si="70"/>
        <v>4.26</v>
      </c>
      <c r="L1911" s="515"/>
      <c r="M1911" s="471"/>
      <c r="Q1911" s="472"/>
      <c r="R1911" s="472"/>
      <c r="S1911" s="472"/>
      <c r="T1911" s="472"/>
      <c r="U1911" s="472"/>
      <c r="V1911" s="472"/>
      <c r="W1911" s="472"/>
      <c r="X1911" s="472"/>
      <c r="Y1911" s="472"/>
    </row>
    <row r="1912" spans="1:25" ht="24" x14ac:dyDescent="0.25">
      <c r="A1912" s="463"/>
      <c r="B1912" s="506">
        <v>91952</v>
      </c>
      <c r="C1912" s="507"/>
      <c r="D1912" s="508"/>
      <c r="E1912" s="509" t="str">
        <f>IF($C1912="",IFERROR(VLOOKUP($B1912,SERVIÇOS!$B:$G,2,0),IFERROR(VLOOKUP($B1912,$D:$K,2,0),"")),IFERROR(VLOOKUP($C1912,INSUMOS!$A:$D,2,0),IFERROR(VLOOKUP($C1912,COTAÇÕES!$B:$I,2,0),(VLOOKUP($C1912,'INSUMO SINAPI - SP'!$C:$F,2,0)))))</f>
        <v>INTERRUPTOR SIMPLES (1 MÓDULO), 10A/250V, SEM SUPORTE E SEM PLACA - FORNECIMENTO E INSTALAÇÃO. AF_03/2023</v>
      </c>
      <c r="F1912" s="510" t="str">
        <f>IF($C1912="",IFERROR(VLOOKUP($B1912,SERVIÇOS!$B:$G,3,0),IFERROR(VLOOKUP($B1912,$D:$K,3,0),"")),IFERROR(VLOOKUP($C1912,INSUMOS!$A:$D,3,0),IFERROR(VLOOKUP($C1912,COTAÇÕES!$B:$I,3,0),(VLOOKUP($C1912,'INSUMO SINAPI - SP'!$C:$F,3,0)))))</f>
        <v>UN</v>
      </c>
      <c r="G1912" s="511">
        <v>1.7035775127768299E-2</v>
      </c>
      <c r="H1912" s="512">
        <f>IF($C1912="",IFERROR(VLOOKUP($B1912,SERVIÇOS!$B:$G,6,0),IFERROR(VLOOKUP($B1912,$D:$K,8,0),"")),IFERROR(VLOOKUP($C1912,INSUMOS!$A:$D,4,0),IFERROR(VLOOKUP($C1912,COTAÇÕES!$B:$I,7,0),(VLOOKUP($C1912,'INSUMO SINAPI - SP'!$C:$F,4,0)))))</f>
        <v>23.41</v>
      </c>
      <c r="I1912" s="513">
        <f>TRUNC(IF($C1912="",IFERROR(VLOOKUP($B1912,SERVIÇOS!$B:$G,4,0),IFERROR(VLOOKUP($B1912,$D:$K,6,0),)),IFERROR(VLOOKUP($C1912,INSUMOS!$A:$D,4,0),IFERROR(VLOOKUP($C1912,COTAÇÕES!$B:$I,7,0),(VLOOKUP($C1912,'INSUMO SINAPI - SP'!$C:$F,4,0)))))*$G1912,2)</f>
        <v>0.2</v>
      </c>
      <c r="J1912" s="513">
        <f>TRUNC(IF($C1912="",IFERROR(VLOOKUP($B1912,SERVIÇOS!$B:$G,5,0),IFERROR(VLOOKUP($B1912,$D:$K,7,0),)),0)*$G1912,2)</f>
        <v>0.19</v>
      </c>
      <c r="K1912" s="514">
        <f t="shared" si="70"/>
        <v>0.39</v>
      </c>
      <c r="L1912" s="515"/>
      <c r="M1912" s="471"/>
      <c r="Q1912" s="472"/>
      <c r="R1912" s="472"/>
      <c r="S1912" s="472"/>
      <c r="T1912" s="472"/>
      <c r="U1912" s="472"/>
      <c r="V1912" s="472"/>
      <c r="W1912" s="472"/>
      <c r="X1912" s="472"/>
      <c r="Y1912" s="472"/>
    </row>
    <row r="1913" spans="1:25" ht="24" x14ac:dyDescent="0.25">
      <c r="A1913" s="463"/>
      <c r="B1913" s="506">
        <v>91996</v>
      </c>
      <c r="C1913" s="507"/>
      <c r="D1913" s="508"/>
      <c r="E1913" s="509" t="str">
        <f>IF($C1913="",IFERROR(VLOOKUP($B1913,SERVIÇOS!$B:$G,2,0),IFERROR(VLOOKUP($B1913,$D:$K,2,0),"")),IFERROR(VLOOKUP($C1913,INSUMOS!$A:$D,2,0),IFERROR(VLOOKUP($C1913,COTAÇÕES!$B:$I,2,0),(VLOOKUP($C1913,'INSUMO SINAPI - SP'!$C:$F,2,0)))))</f>
        <v>TOMADA MÉDIA DE EMBUTIR (1 MÓDULO), 2P+T 10 A, INCLUINDO SUPORTE E PLACA - FORNECIMENTO E INSTALAÇÃO. AF_03/2023</v>
      </c>
      <c r="F1913" s="510" t="str">
        <f>IF($C1913="",IFERROR(VLOOKUP($B1913,SERVIÇOS!$B:$G,3,0),IFERROR(VLOOKUP($B1913,$D:$K,3,0),"")),IFERROR(VLOOKUP($C1913,INSUMOS!$A:$D,3,0),IFERROR(VLOOKUP($C1913,COTAÇÕES!$B:$I,3,0),(VLOOKUP($C1913,'INSUMO SINAPI - SP'!$C:$F,3,0)))))</f>
        <v>UN</v>
      </c>
      <c r="G1913" s="511">
        <v>0.136286201022147</v>
      </c>
      <c r="H1913" s="512">
        <f>IF($C1913="",IFERROR(VLOOKUP($B1913,SERVIÇOS!$B:$G,6,0),IFERROR(VLOOKUP($B1913,$D:$K,8,0),"")),IFERROR(VLOOKUP($C1913,INSUMOS!$A:$D,4,0),IFERROR(VLOOKUP($C1913,COTAÇÕES!$B:$I,7,0),(VLOOKUP($C1913,'INSUMO SINAPI - SP'!$C:$F,4,0)))))</f>
        <v>43.87</v>
      </c>
      <c r="I1913" s="513">
        <f>TRUNC(IF($C1913="",IFERROR(VLOOKUP($B1913,SERVIÇOS!$B:$G,4,0),IFERROR(VLOOKUP($B1913,$D:$K,6,0),)),IFERROR(VLOOKUP($C1913,INSUMOS!$A:$D,4,0),IFERROR(VLOOKUP($C1913,COTAÇÕES!$B:$I,7,0),(VLOOKUP($C1913,'INSUMO SINAPI - SP'!$C:$F,4,0)))))*$G1913,2)</f>
        <v>2.97</v>
      </c>
      <c r="J1913" s="513">
        <f>TRUNC(IF($C1913="",IFERROR(VLOOKUP($B1913,SERVIÇOS!$B:$G,5,0),IFERROR(VLOOKUP($B1913,$D:$K,7,0),)),0)*$G1913,2)</f>
        <v>3</v>
      </c>
      <c r="K1913" s="514">
        <f t="shared" si="70"/>
        <v>5.9700000000000006</v>
      </c>
      <c r="L1913" s="515"/>
      <c r="M1913" s="471"/>
      <c r="Q1913" s="472"/>
      <c r="R1913" s="472"/>
      <c r="S1913" s="472"/>
      <c r="T1913" s="472"/>
      <c r="U1913" s="472"/>
      <c r="V1913" s="472"/>
      <c r="W1913" s="472"/>
      <c r="X1913" s="472"/>
      <c r="Y1913" s="472"/>
    </row>
    <row r="1914" spans="1:25" ht="24" x14ac:dyDescent="0.25">
      <c r="A1914" s="463"/>
      <c r="B1914" s="506">
        <v>94216</v>
      </c>
      <c r="C1914" s="507"/>
      <c r="D1914" s="508"/>
      <c r="E1914" s="509" t="str">
        <f>IF($C1914="",IFERROR(VLOOKUP($B1914,SERVIÇOS!$B:$G,2,0),IFERROR(VLOOKUP($B1914,$D:$K,2,0),"")),IFERROR(VLOOKUP($C1914,INSUMOS!$A:$D,2,0),IFERROR(VLOOKUP($C1914,COTAÇÕES!$B:$I,2,0),(VLOOKUP($C1914,'INSUMO SINAPI - SP'!$C:$F,2,0)))))</f>
        <v>TELHAMENTO COM TELHA METÁLICA TERMOACÚSTICA E = 30 MM, COM ATÉ 2 ÁGUAS, INCLUSO IÇAMENTO. AF_07/2019</v>
      </c>
      <c r="F1914" s="510" t="str">
        <f>IF($C1914="",IFERROR(VLOOKUP($B1914,SERVIÇOS!$B:$G,3,0),IFERROR(VLOOKUP($B1914,$D:$K,3,0),"")),IFERROR(VLOOKUP($C1914,INSUMOS!$A:$D,3,0),IFERROR(VLOOKUP($C1914,COTAÇÕES!$B:$I,3,0),(VLOOKUP($C1914,'INSUMO SINAPI - SP'!$C:$F,3,0)))))</f>
        <v>M2</v>
      </c>
      <c r="G1914" s="511">
        <v>1.1933560477001699</v>
      </c>
      <c r="H1914" s="512">
        <f>IF($C1914="",IFERROR(VLOOKUP($B1914,SERVIÇOS!$B:$G,6,0),IFERROR(VLOOKUP($B1914,$D:$K,8,0),"")),IFERROR(VLOOKUP($C1914,INSUMOS!$A:$D,4,0),IFERROR(VLOOKUP($C1914,COTAÇÕES!$B:$I,7,0),(VLOOKUP($C1914,'INSUMO SINAPI - SP'!$C:$F,4,0)))))</f>
        <v>204.19</v>
      </c>
      <c r="I1914" s="513">
        <f>TRUNC(IF($C1914="",IFERROR(VLOOKUP($B1914,SERVIÇOS!$B:$G,4,0),IFERROR(VLOOKUP($B1914,$D:$K,6,0),)),IFERROR(VLOOKUP($C1914,INSUMOS!$A:$D,4,0),IFERROR(VLOOKUP($C1914,COTAÇÕES!$B:$I,7,0),(VLOOKUP($C1914,'INSUMO SINAPI - SP'!$C:$F,4,0)))))*$G1914,2)</f>
        <v>240.36</v>
      </c>
      <c r="J1914" s="513">
        <f>TRUNC(IF($C1914="",IFERROR(VLOOKUP($B1914,SERVIÇOS!$B:$G,5,0),IFERROR(VLOOKUP($B1914,$D:$K,7,0),)),0)*$G1914,2)</f>
        <v>3.3</v>
      </c>
      <c r="K1914" s="514">
        <f t="shared" si="70"/>
        <v>243.66000000000003</v>
      </c>
      <c r="L1914" s="515"/>
      <c r="M1914" s="471"/>
      <c r="Q1914" s="472"/>
      <c r="R1914" s="472"/>
      <c r="S1914" s="472"/>
      <c r="T1914" s="472"/>
      <c r="U1914" s="472"/>
      <c r="V1914" s="472"/>
      <c r="W1914" s="472"/>
      <c r="X1914" s="472"/>
      <c r="Y1914" s="472"/>
    </row>
    <row r="1915" spans="1:25" ht="36" x14ac:dyDescent="0.25">
      <c r="A1915" s="463"/>
      <c r="B1915" s="506">
        <v>92543</v>
      </c>
      <c r="C1915" s="507"/>
      <c r="D1915" s="508"/>
      <c r="E1915" s="509" t="str">
        <f>IF($C1915="",IFERROR(VLOOKUP($B1915,SERVIÇOS!$B:$G,2,0),IFERROR(VLOOKUP($B1915,$D:$K,2,0),"")),IFERROR(VLOOKUP($C1915,INSUMOS!$A:$D,2,0),IFERROR(VLOOKUP($C1915,COTAÇÕES!$B:$I,2,0),(VLOOKUP($C1915,'INSUMO SINAPI - SP'!$C:$F,2,0)))))</f>
        <v>TRAMA DE MADEIRA COMPOSTA POR TERÇAS PARA TELHADOS DE ATÉ 2 ÁGUAS PARA TELHA ONDULADA DE FIBROCIMENTO, METÁLICA, PLÁSTICA OU TERMOACÚSTICA, INCLUSO TRANSPORTE VERTICAL. AF_07/2019</v>
      </c>
      <c r="F1915" s="510" t="str">
        <f>IF($C1915="",IFERROR(VLOOKUP($B1915,SERVIÇOS!$B:$G,3,0),IFERROR(VLOOKUP($B1915,$D:$K,3,0),"")),IFERROR(VLOOKUP($C1915,INSUMOS!$A:$D,3,0),IFERROR(VLOOKUP($C1915,COTAÇÕES!$B:$I,3,0),(VLOOKUP($C1915,'INSUMO SINAPI - SP'!$C:$F,3,0)))))</f>
        <v>M2</v>
      </c>
      <c r="G1915" s="511">
        <v>1.1933560477001699</v>
      </c>
      <c r="H1915" s="512">
        <f>IF($C1915="",IFERROR(VLOOKUP($B1915,SERVIÇOS!$B:$G,6,0),IFERROR(VLOOKUP($B1915,$D:$K,8,0),"")),IFERROR(VLOOKUP($C1915,INSUMOS!$A:$D,4,0),IFERROR(VLOOKUP($C1915,COTAÇÕES!$B:$I,7,0),(VLOOKUP($C1915,'INSUMO SINAPI - SP'!$C:$F,4,0)))))</f>
        <v>27.73</v>
      </c>
      <c r="I1915" s="513">
        <f>TRUNC(IF($C1915="",IFERROR(VLOOKUP($B1915,SERVIÇOS!$B:$G,4,0),IFERROR(VLOOKUP($B1915,$D:$K,6,0),)),IFERROR(VLOOKUP($C1915,INSUMOS!$A:$D,4,0),IFERROR(VLOOKUP($C1915,COTAÇÕES!$B:$I,7,0),(VLOOKUP($C1915,'INSUMO SINAPI - SP'!$C:$F,4,0)))))*$G1915,2)</f>
        <v>27.29</v>
      </c>
      <c r="J1915" s="513">
        <f>TRUNC(IF($C1915="",IFERROR(VLOOKUP($B1915,SERVIÇOS!$B:$G,5,0),IFERROR(VLOOKUP($B1915,$D:$K,7,0),)),0)*$G1915,2)</f>
        <v>5.79</v>
      </c>
      <c r="K1915" s="514">
        <f t="shared" si="70"/>
        <v>33.08</v>
      </c>
      <c r="L1915" s="515"/>
      <c r="M1915" s="471"/>
      <c r="Q1915" s="472"/>
      <c r="R1915" s="472"/>
      <c r="S1915" s="472"/>
      <c r="T1915" s="472"/>
      <c r="U1915" s="472"/>
      <c r="V1915" s="472"/>
      <c r="W1915" s="472"/>
      <c r="X1915" s="472"/>
      <c r="Y1915" s="472"/>
    </row>
    <row r="1916" spans="1:25" ht="24" x14ac:dyDescent="0.25">
      <c r="A1916" s="463"/>
      <c r="B1916" s="506">
        <v>89402</v>
      </c>
      <c r="C1916" s="507"/>
      <c r="D1916" s="508"/>
      <c r="E1916" s="509" t="str">
        <f>IF($C1916="",IFERROR(VLOOKUP($B1916,SERVIÇOS!$B:$G,2,0),IFERROR(VLOOKUP($B1916,$D:$K,2,0),"")),IFERROR(VLOOKUP($C1916,INSUMOS!$A:$D,2,0),IFERROR(VLOOKUP($C1916,COTAÇÕES!$B:$I,2,0),(VLOOKUP($C1916,'INSUMO SINAPI - SP'!$C:$F,2,0)))))</f>
        <v>TUBO, PVC, SOLDÁVEL, DE 25MM, INSTALADO EM RAMAL DE DISTRIBUIÇÃO DE ÁGUA - FORNECIMENTO E INSTALAÇÃO. AF_06/2022</v>
      </c>
      <c r="F1916" s="510" t="str">
        <f>IF($C1916="",IFERROR(VLOOKUP($B1916,SERVIÇOS!$B:$G,3,0),IFERROR(VLOOKUP($B1916,$D:$K,3,0),"")),IFERROR(VLOOKUP($C1916,INSUMOS!$A:$D,3,0),IFERROR(VLOOKUP($C1916,COTAÇÕES!$B:$I,3,0),(VLOOKUP($C1916,'INSUMO SINAPI - SP'!$C:$F,3,0)))))</f>
        <v>M</v>
      </c>
      <c r="G1916" s="511">
        <v>3.4071550255536598E-2</v>
      </c>
      <c r="H1916" s="512">
        <f>IF($C1916="",IFERROR(VLOOKUP($B1916,SERVIÇOS!$B:$G,6,0),IFERROR(VLOOKUP($B1916,$D:$K,8,0),"")),IFERROR(VLOOKUP($C1916,INSUMOS!$A:$D,4,0),IFERROR(VLOOKUP($C1916,COTAÇÕES!$B:$I,7,0),(VLOOKUP($C1916,'INSUMO SINAPI - SP'!$C:$F,4,0)))))</f>
        <v>14.18</v>
      </c>
      <c r="I1916" s="513">
        <f>TRUNC(IF($C1916="",IFERROR(VLOOKUP($B1916,SERVIÇOS!$B:$G,4,0),IFERROR(VLOOKUP($B1916,$D:$K,6,0),)),IFERROR(VLOOKUP($C1916,INSUMOS!$A:$D,4,0),IFERROR(VLOOKUP($C1916,COTAÇÕES!$B:$I,7,0),(VLOOKUP($C1916,'INSUMO SINAPI - SP'!$C:$F,4,0)))))*$G1916,2)</f>
        <v>0.22</v>
      </c>
      <c r="J1916" s="513">
        <f>TRUNC(IF($C1916="",IFERROR(VLOOKUP($B1916,SERVIÇOS!$B:$G,5,0),IFERROR(VLOOKUP($B1916,$D:$K,7,0),)),0)*$G1916,2)</f>
        <v>0.26</v>
      </c>
      <c r="K1916" s="514">
        <f t="shared" si="70"/>
        <v>0.48</v>
      </c>
      <c r="L1916" s="515"/>
      <c r="M1916" s="471"/>
      <c r="Q1916" s="472"/>
      <c r="R1916" s="472"/>
      <c r="S1916" s="472"/>
      <c r="T1916" s="472"/>
      <c r="U1916" s="472"/>
      <c r="V1916" s="472"/>
      <c r="W1916" s="472"/>
      <c r="X1916" s="472"/>
      <c r="Y1916" s="472"/>
    </row>
    <row r="1917" spans="1:25" ht="24" x14ac:dyDescent="0.25">
      <c r="A1917" s="463"/>
      <c r="B1917" s="506">
        <v>89711</v>
      </c>
      <c r="C1917" s="507"/>
      <c r="D1917" s="508"/>
      <c r="E1917" s="509" t="str">
        <f>IF($C1917="",IFERROR(VLOOKUP($B1917,SERVIÇOS!$B:$G,2,0),IFERROR(VLOOKUP($B1917,$D:$K,2,0),"")),IFERROR(VLOOKUP($C1917,INSUMOS!$A:$D,2,0),IFERROR(VLOOKUP($C1917,COTAÇÕES!$B:$I,2,0),(VLOOKUP($C1917,'INSUMO SINAPI - SP'!$C:$F,2,0)))))</f>
        <v>TUBO PVC, SERIE NORMAL, ESGOTO PREDIAL, DN 40 MM, FORNECIDO E INSTALADO EM RAMAL DE DESCARGA OU RAMAL DE ESGOTO SANITÁRIO. AF_08/2022</v>
      </c>
      <c r="F1917" s="510" t="str">
        <f>IF($C1917="",IFERROR(VLOOKUP($B1917,SERVIÇOS!$B:$G,3,0),IFERROR(VLOOKUP($B1917,$D:$K,3,0),"")),IFERROR(VLOOKUP($C1917,INSUMOS!$A:$D,3,0),IFERROR(VLOOKUP($C1917,COTAÇÕES!$B:$I,3,0),(VLOOKUP($C1917,'INSUMO SINAPI - SP'!$C:$F,3,0)))))</f>
        <v>M</v>
      </c>
      <c r="G1917" s="511">
        <v>0.10221465076661</v>
      </c>
      <c r="H1917" s="512">
        <f>IF($C1917="",IFERROR(VLOOKUP($B1917,SERVIÇOS!$B:$G,6,0),IFERROR(VLOOKUP($B1917,$D:$K,8,0),"")),IFERROR(VLOOKUP($C1917,INSUMOS!$A:$D,4,0),IFERROR(VLOOKUP($C1917,COTAÇÕES!$B:$I,7,0),(VLOOKUP($C1917,'INSUMO SINAPI - SP'!$C:$F,4,0)))))</f>
        <v>25.94</v>
      </c>
      <c r="I1917" s="513">
        <f>TRUNC(IF($C1917="",IFERROR(VLOOKUP($B1917,SERVIÇOS!$B:$G,4,0),IFERROR(VLOOKUP($B1917,$D:$K,6,0),)),IFERROR(VLOOKUP($C1917,INSUMOS!$A:$D,4,0),IFERROR(VLOOKUP($C1917,COTAÇÕES!$B:$I,7,0),(VLOOKUP($C1917,'INSUMO SINAPI - SP'!$C:$F,4,0)))))*$G1917,2)</f>
        <v>1.19</v>
      </c>
      <c r="J1917" s="513">
        <f>TRUNC(IF($C1917="",IFERROR(VLOOKUP($B1917,SERVIÇOS!$B:$G,5,0),IFERROR(VLOOKUP($B1917,$D:$K,7,0),)),0)*$G1917,2)</f>
        <v>1.45</v>
      </c>
      <c r="K1917" s="514">
        <f t="shared" si="70"/>
        <v>2.6399999999999997</v>
      </c>
      <c r="L1917" s="515"/>
      <c r="M1917" s="471"/>
      <c r="Q1917" s="472"/>
      <c r="R1917" s="472"/>
      <c r="S1917" s="472"/>
      <c r="T1917" s="472"/>
      <c r="U1917" s="472"/>
      <c r="V1917" s="472"/>
      <c r="W1917" s="472"/>
      <c r="X1917" s="472"/>
      <c r="Y1917" s="472"/>
    </row>
    <row r="1918" spans="1:25" ht="36" x14ac:dyDescent="0.25">
      <c r="A1918" s="463"/>
      <c r="B1918" s="506">
        <v>86934</v>
      </c>
      <c r="C1918" s="507"/>
      <c r="D1918" s="508"/>
      <c r="E1918" s="509" t="str">
        <f>IF($C1918="",IFERROR(VLOOKUP($B1918,SERVIÇOS!$B:$G,2,0),IFERROR(VLOOKUP($B1918,$D:$K,2,0),"")),IFERROR(VLOOKUP($C1918,INSUMOS!$A:$D,2,0),IFERROR(VLOOKUP($C1918,COTAÇÕES!$B:$I,2,0),(VLOOKUP($C1918,'INSUMO SINAPI - SP'!$C:$F,2,0)))))</f>
        <v>BANCADA DE MÁRMORE SINTÉTICO 120 X 60CM, COM CUBA INTEGRADA, INCLUSO SIFÃO TIPO FLEXÍVEL EM PVC, VÁLVULA EM PLÁSTICO CROMADO TIPO AMERICANA E TORNEIRA CROMADA LONGA, DE PAREDE, PADRÃO POPULAR - FORNECIMENTO E INSTALAÇÃO. AF_01/2020</v>
      </c>
      <c r="F1918" s="510" t="str">
        <f>IF($C1918="",IFERROR(VLOOKUP($B1918,SERVIÇOS!$B:$G,3,0),IFERROR(VLOOKUP($B1918,$D:$K,3,0),"")),IFERROR(VLOOKUP($C1918,INSUMOS!$A:$D,3,0),IFERROR(VLOOKUP($C1918,COTAÇÕES!$B:$I,3,0),(VLOOKUP($C1918,'INSUMO SINAPI - SP'!$C:$F,3,0)))))</f>
        <v>UN</v>
      </c>
      <c r="G1918" s="511">
        <v>1.7035775127768299E-2</v>
      </c>
      <c r="H1918" s="512">
        <f>IF($C1918="",IFERROR(VLOOKUP($B1918,SERVIÇOS!$B:$G,6,0),IFERROR(VLOOKUP($B1918,$D:$K,8,0),"")),IFERROR(VLOOKUP($C1918,INSUMOS!$A:$D,4,0),IFERROR(VLOOKUP($C1918,COTAÇÕES!$B:$I,7,0),(VLOOKUP($C1918,'INSUMO SINAPI - SP'!$C:$F,4,0)))))</f>
        <v>459.49</v>
      </c>
      <c r="I1918" s="513">
        <f>TRUNC(IF($C1918="",IFERROR(VLOOKUP($B1918,SERVIÇOS!$B:$G,4,0),IFERROR(VLOOKUP($B1918,$D:$K,6,0),)),IFERROR(VLOOKUP($C1918,INSUMOS!$A:$D,4,0),IFERROR(VLOOKUP($C1918,COTAÇÕES!$B:$I,7,0),(VLOOKUP($C1918,'INSUMO SINAPI - SP'!$C:$F,4,0)))))*$G1918,2)</f>
        <v>7.04</v>
      </c>
      <c r="J1918" s="513">
        <f>TRUNC(IF($C1918="",IFERROR(VLOOKUP($B1918,SERVIÇOS!$B:$G,5,0),IFERROR(VLOOKUP($B1918,$D:$K,7,0),)),0)*$G1918,2)</f>
        <v>0.78</v>
      </c>
      <c r="K1918" s="514">
        <f t="shared" si="70"/>
        <v>7.82</v>
      </c>
      <c r="L1918" s="515"/>
      <c r="M1918" s="471"/>
      <c r="Q1918" s="472"/>
      <c r="R1918" s="472"/>
      <c r="S1918" s="472"/>
      <c r="T1918" s="472"/>
      <c r="U1918" s="472"/>
      <c r="V1918" s="472"/>
      <c r="W1918" s="472"/>
      <c r="X1918" s="472"/>
      <c r="Y1918" s="472"/>
    </row>
    <row r="1919" spans="1:25" ht="24" x14ac:dyDescent="0.25">
      <c r="A1919" s="463"/>
      <c r="B1919" s="498"/>
      <c r="C1919" s="498"/>
      <c r="D1919" s="499" t="s">
        <v>12563</v>
      </c>
      <c r="E1919" s="500" t="s">
        <v>13513</v>
      </c>
      <c r="F1919" s="501" t="s">
        <v>578</v>
      </c>
      <c r="G1919" s="502"/>
      <c r="H1919" s="503"/>
      <c r="I1919" s="504">
        <f>ROUND(SUM(I1920:I1933),2)</f>
        <v>1104.2</v>
      </c>
      <c r="J1919" s="504">
        <f>ROUND(SUM(J1920:J1933),2)</f>
        <v>208.47</v>
      </c>
      <c r="K1919" s="504">
        <f>+J1919+I1919</f>
        <v>1312.67</v>
      </c>
      <c r="L1919" s="523"/>
      <c r="M1919" s="471"/>
      <c r="Q1919" s="472"/>
      <c r="R1919" s="472"/>
      <c r="S1919" s="472"/>
      <c r="T1919" s="472"/>
      <c r="U1919" s="472"/>
      <c r="V1919" s="472"/>
      <c r="W1919" s="472"/>
      <c r="X1919" s="472"/>
      <c r="Y1919" s="472"/>
    </row>
    <row r="1920" spans="1:25" ht="24" x14ac:dyDescent="0.25">
      <c r="A1920" s="463"/>
      <c r="B1920" s="506" t="s">
        <v>13506</v>
      </c>
      <c r="C1920" s="507"/>
      <c r="D1920" s="508"/>
      <c r="E1920" s="509" t="str">
        <f>IF($C1920="",IFERROR(VLOOKUP($B1920,SERVIÇOS!$B:$G,2,0),IFERROR(VLOOKUP($B1920,$D:$K,2,0),"")),IFERROR(VLOOKUP($C1920,INSUMOS!$A:$D,2,0),IFERROR(VLOOKUP($C1920,COTAÇÕES!$B:$I,2,0),(VLOOKUP($C1920,'INSUMO SINAPI - SP'!$C:$F,2,0)))))</f>
        <v>PAREDE DE COM TELHA METALICA TRAPEZOIDAL, ALTURA 40MM ESPESSURA 0,5MM PARA CONSTRUÇÃO TEMPORÁRIA, COM CHAPA DE MADEIRA INTERNA</v>
      </c>
      <c r="F1920" s="510" t="str">
        <f>IF($C1920="",IFERROR(VLOOKUP($B1920,SERVIÇOS!$B:$G,3,0),IFERROR(VLOOKUP($B1920,$D:$K,3,0),"")),IFERROR(VLOOKUP($C1920,INSUMOS!$A:$D,3,0),IFERROR(VLOOKUP($C1920,COTAÇÕES!$B:$I,3,0),(VLOOKUP($C1920,'INSUMO SINAPI - SP'!$C:$F,3,0)))))</f>
        <v>M2</v>
      </c>
      <c r="G1920" s="511">
        <v>1.17</v>
      </c>
      <c r="H1920" s="512">
        <f>IF($C1920="",IFERROR(VLOOKUP($B1920,SERVIÇOS!$B:$G,6,0),IFERROR(VLOOKUP($B1920,$D:$K,8,0),"")),IFERROR(VLOOKUP($C1920,INSUMOS!$A:$D,4,0),IFERROR(VLOOKUP($C1920,COTAÇÕES!$B:$I,7,0),(VLOOKUP($C1920,'INSUMO SINAPI - SP'!$C:$F,4,0)))))</f>
        <v>754.41000000000008</v>
      </c>
      <c r="I1920" s="513">
        <f>TRUNC(IF($C1920="",IFERROR(VLOOKUP($B1920,SERVIÇOS!$B:$G,4,0),IFERROR(VLOOKUP($B1920,$D:$K,6,0),)),IFERROR(VLOOKUP($C1920,INSUMOS!$A:$D,4,0),IFERROR(VLOOKUP($C1920,COTAÇÕES!$B:$I,7,0),(VLOOKUP($C1920,'INSUMO SINAPI - SP'!$C:$F,4,0)))))*$G1920,2)</f>
        <v>729.36</v>
      </c>
      <c r="J1920" s="513">
        <f>TRUNC(IF($C1920="",IFERROR(VLOOKUP($B1920,SERVIÇOS!$B:$G,5,0),IFERROR(VLOOKUP($B1920,$D:$K,7,0),)),0)*$G1920,2)</f>
        <v>153.29</v>
      </c>
      <c r="K1920" s="514">
        <f t="shared" ref="K1920:K1933" si="71">I1920+J1920</f>
        <v>882.65</v>
      </c>
      <c r="L1920" s="515"/>
      <c r="M1920" s="471"/>
      <c r="Q1920" s="472"/>
      <c r="R1920" s="472"/>
      <c r="S1920" s="472"/>
      <c r="T1920" s="472"/>
      <c r="U1920" s="472"/>
      <c r="V1920" s="472"/>
      <c r="W1920" s="472"/>
      <c r="X1920" s="472"/>
      <c r="Y1920" s="472"/>
    </row>
    <row r="1921" spans="1:25" ht="24" x14ac:dyDescent="0.25">
      <c r="A1921" s="463"/>
      <c r="B1921" s="506">
        <v>98443</v>
      </c>
      <c r="C1921" s="507"/>
      <c r="D1921" s="508"/>
      <c r="E1921" s="509" t="str">
        <f>IF($C1921="",IFERROR(VLOOKUP($B1921,SERVIÇOS!$B:$G,2,0),IFERROR(VLOOKUP($B1921,$D:$K,2,0),"")),IFERROR(VLOOKUP($C1921,INSUMOS!$A:$D,2,0),IFERROR(VLOOKUP($C1921,COTAÇÕES!$B:$I,2,0),(VLOOKUP($C1921,'INSUMO SINAPI - SP'!$C:$F,2,0)))))</f>
        <v>PAREDE DE MADEIRA COMPENSADA PARA CONSTRUÇÃO TEMPORÁRIA EM CHAPA SIMPLES, INTERNA, SEM VÃO. AF_03/2024</v>
      </c>
      <c r="F1921" s="510" t="str">
        <f>IF($C1921="",IFERROR(VLOOKUP($B1921,SERVIÇOS!$B:$G,3,0),IFERROR(VLOOKUP($B1921,$D:$K,3,0),"")),IFERROR(VLOOKUP($C1921,INSUMOS!$A:$D,3,0),IFERROR(VLOOKUP($C1921,COTAÇÕES!$B:$I,3,0),(VLOOKUP($C1921,'INSUMO SINAPI - SP'!$C:$F,3,0)))))</f>
        <v>M2</v>
      </c>
      <c r="G1921" s="511">
        <v>0.507692307692308</v>
      </c>
      <c r="H1921" s="512">
        <f>IF($C1921="",IFERROR(VLOOKUP($B1921,SERVIÇOS!$B:$G,6,0),IFERROR(VLOOKUP($B1921,$D:$K,8,0),"")),IFERROR(VLOOKUP($C1921,INSUMOS!$A:$D,4,0),IFERROR(VLOOKUP($C1921,COTAÇÕES!$B:$I,7,0),(VLOOKUP($C1921,'INSUMO SINAPI - SP'!$C:$F,4,0)))))</f>
        <v>72.72</v>
      </c>
      <c r="I1921" s="513">
        <f>TRUNC(IF($C1921="",IFERROR(VLOOKUP($B1921,SERVIÇOS!$B:$G,4,0),IFERROR(VLOOKUP($B1921,$D:$K,6,0),)),IFERROR(VLOOKUP($C1921,INSUMOS!$A:$D,4,0),IFERROR(VLOOKUP($C1921,COTAÇÕES!$B:$I,7,0),(VLOOKUP($C1921,'INSUMO SINAPI - SP'!$C:$F,4,0)))))*$G1921,2)</f>
        <v>26.91</v>
      </c>
      <c r="J1921" s="513">
        <f>TRUNC(IF($C1921="",IFERROR(VLOOKUP($B1921,SERVIÇOS!$B:$G,5,0),IFERROR(VLOOKUP($B1921,$D:$K,7,0),)),0)*$G1921,2)</f>
        <v>10</v>
      </c>
      <c r="K1921" s="514">
        <f t="shared" si="71"/>
        <v>36.909999999999997</v>
      </c>
      <c r="L1921" s="515"/>
      <c r="M1921" s="471"/>
      <c r="Q1921" s="472"/>
      <c r="R1921" s="472"/>
      <c r="S1921" s="472"/>
      <c r="T1921" s="472"/>
      <c r="U1921" s="472"/>
      <c r="V1921" s="472"/>
      <c r="W1921" s="472"/>
      <c r="X1921" s="472"/>
      <c r="Y1921" s="472"/>
    </row>
    <row r="1922" spans="1:25" ht="24" x14ac:dyDescent="0.25">
      <c r="A1922" s="463"/>
      <c r="B1922" s="506">
        <v>96622</v>
      </c>
      <c r="C1922" s="507"/>
      <c r="D1922" s="508"/>
      <c r="E1922" s="509" t="str">
        <f>IF($C1922="",IFERROR(VLOOKUP($B1922,SERVIÇOS!$B:$G,2,0),IFERROR(VLOOKUP($B1922,$D:$K,2,0),"")),IFERROR(VLOOKUP($C1922,INSUMOS!$A:$D,2,0),IFERROR(VLOOKUP($C1922,COTAÇÕES!$B:$I,2,0),(VLOOKUP($C1922,'INSUMO SINAPI - SP'!$C:$F,2,0)))))</f>
        <v>LASTRO COM MATERIAL GRANULAR, APLICADO EM PISOS OU LAJES SOBRE SOLO, ESPESSURA DE *5 CM*. AF_01/2024</v>
      </c>
      <c r="F1922" s="510" t="str">
        <f>IF($C1922="",IFERROR(VLOOKUP($B1922,SERVIÇOS!$B:$G,3,0),IFERROR(VLOOKUP($B1922,$D:$K,3,0),"")),IFERROR(VLOOKUP($C1922,INSUMOS!$A:$D,3,0),IFERROR(VLOOKUP($C1922,COTAÇÕES!$B:$I,3,0),(VLOOKUP($C1922,'INSUMO SINAPI - SP'!$C:$F,3,0)))))</f>
        <v>M3</v>
      </c>
      <c r="G1922" s="511">
        <v>0.05</v>
      </c>
      <c r="H1922" s="512">
        <f>IF($C1922="",IFERROR(VLOOKUP($B1922,SERVIÇOS!$B:$G,6,0),IFERROR(VLOOKUP($B1922,$D:$K,8,0),"")),IFERROR(VLOOKUP($C1922,INSUMOS!$A:$D,4,0),IFERROR(VLOOKUP($C1922,COTAÇÕES!$B:$I,7,0),(VLOOKUP($C1922,'INSUMO SINAPI - SP'!$C:$F,4,0)))))</f>
        <v>182.38</v>
      </c>
      <c r="I1922" s="513">
        <f>TRUNC(IF($C1922="",IFERROR(VLOOKUP($B1922,SERVIÇOS!$B:$G,4,0),IFERROR(VLOOKUP($B1922,$D:$K,6,0),)),IFERROR(VLOOKUP($C1922,INSUMOS!$A:$D,4,0),IFERROR(VLOOKUP($C1922,COTAÇÕES!$B:$I,7,0),(VLOOKUP($C1922,'INSUMO SINAPI - SP'!$C:$F,4,0)))))*$G1922,2)</f>
        <v>5.69</v>
      </c>
      <c r="J1922" s="513">
        <f>TRUNC(IF($C1922="",IFERROR(VLOOKUP($B1922,SERVIÇOS!$B:$G,5,0),IFERROR(VLOOKUP($B1922,$D:$K,7,0),)),0)*$G1922,2)</f>
        <v>3.42</v>
      </c>
      <c r="K1922" s="514">
        <f t="shared" si="71"/>
        <v>9.11</v>
      </c>
      <c r="L1922" s="515"/>
      <c r="M1922" s="471"/>
      <c r="Q1922" s="472"/>
      <c r="R1922" s="472"/>
      <c r="S1922" s="472"/>
      <c r="T1922" s="472"/>
      <c r="U1922" s="472"/>
      <c r="V1922" s="472"/>
      <c r="W1922" s="472"/>
      <c r="X1922" s="472"/>
      <c r="Y1922" s="472"/>
    </row>
    <row r="1923" spans="1:25" ht="24" x14ac:dyDescent="0.25">
      <c r="A1923" s="463"/>
      <c r="B1923" s="506">
        <v>101749</v>
      </c>
      <c r="C1923" s="507"/>
      <c r="D1923" s="508"/>
      <c r="E1923" s="509" t="str">
        <f>IF($C1923="",IFERROR(VLOOKUP($B1923,SERVIÇOS!$B:$G,2,0),IFERROR(VLOOKUP($B1923,$D:$K,2,0),"")),IFERROR(VLOOKUP($C1923,INSUMOS!$A:$D,2,0),IFERROR(VLOOKUP($C1923,COTAÇÕES!$B:$I,2,0),(VLOOKUP($C1923,'INSUMO SINAPI - SP'!$C:$F,2,0)))))</f>
        <v>PISO CIMENTADO, TRAÇO 1:3 (CIMENTO E AREIA), ACABAMENTO LISO, ESPESSURA 4,0 CM, PREPARO MECÂNICO DA ARGAMASSA. AF_09/2020</v>
      </c>
      <c r="F1923" s="510" t="str">
        <f>IF($C1923="",IFERROR(VLOOKUP($B1923,SERVIÇOS!$B:$G,3,0),IFERROR(VLOOKUP($B1923,$D:$K,3,0),"")),IFERROR(VLOOKUP($C1923,INSUMOS!$A:$D,3,0),IFERROR(VLOOKUP($C1923,COTAÇÕES!$B:$I,3,0),(VLOOKUP($C1923,'INSUMO SINAPI - SP'!$C:$F,3,0)))))</f>
        <v>M2</v>
      </c>
      <c r="G1923" s="511">
        <v>1</v>
      </c>
      <c r="H1923" s="512">
        <f>IF($C1923="",IFERROR(VLOOKUP($B1923,SERVIÇOS!$B:$G,6,0),IFERROR(VLOOKUP($B1923,$D:$K,8,0),"")),IFERROR(VLOOKUP($C1923,INSUMOS!$A:$D,4,0),IFERROR(VLOOKUP($C1923,COTAÇÕES!$B:$I,7,0),(VLOOKUP($C1923,'INSUMO SINAPI - SP'!$C:$F,4,0)))))</f>
        <v>60.56</v>
      </c>
      <c r="I1923" s="513">
        <f>TRUNC(IF($C1923="",IFERROR(VLOOKUP($B1923,SERVIÇOS!$B:$G,4,0),IFERROR(VLOOKUP($B1923,$D:$K,6,0),)),IFERROR(VLOOKUP($C1923,INSUMOS!$A:$D,4,0),IFERROR(VLOOKUP($C1923,COTAÇÕES!$B:$I,7,0),(VLOOKUP($C1923,'INSUMO SINAPI - SP'!$C:$F,4,0)))))*$G1923,2)</f>
        <v>39.11</v>
      </c>
      <c r="J1923" s="513">
        <f>TRUNC(IF($C1923="",IFERROR(VLOOKUP($B1923,SERVIÇOS!$B:$G,5,0),IFERROR(VLOOKUP($B1923,$D:$K,7,0),)),0)*$G1923,2)</f>
        <v>21.45</v>
      </c>
      <c r="K1923" s="514">
        <f t="shared" si="71"/>
        <v>60.56</v>
      </c>
      <c r="L1923" s="515"/>
      <c r="M1923" s="471"/>
      <c r="Q1923" s="472"/>
      <c r="R1923" s="472"/>
      <c r="S1923" s="472"/>
      <c r="T1923" s="472"/>
      <c r="U1923" s="472"/>
      <c r="V1923" s="472"/>
      <c r="W1923" s="472"/>
      <c r="X1923" s="472"/>
      <c r="Y1923" s="472"/>
    </row>
    <row r="1924" spans="1:25" ht="24" x14ac:dyDescent="0.25">
      <c r="A1924" s="463"/>
      <c r="B1924" s="506">
        <v>91924</v>
      </c>
      <c r="C1924" s="507"/>
      <c r="D1924" s="508"/>
      <c r="E1924" s="509" t="str">
        <f>IF($C1924="",IFERROR(VLOOKUP($B1924,SERVIÇOS!$B:$G,2,0),IFERROR(VLOOKUP($B1924,$D:$K,2,0),"")),IFERROR(VLOOKUP($C1924,INSUMOS!$A:$D,2,0),IFERROR(VLOOKUP($C1924,COTAÇÕES!$B:$I,2,0),(VLOOKUP($C1924,'INSUMO SINAPI - SP'!$C:$F,2,0)))))</f>
        <v>CABO DE COBRE FLEXÍVEL ISOLADO, 1,5 MM², ANTI-CHAMA 450/750 V, PARA CIRCUITOS TERMINAIS - FORNECIMENTO E INSTALAÇÃO. AF_03/2023</v>
      </c>
      <c r="F1924" s="510" t="str">
        <f>IF($C1924="",IFERROR(VLOOKUP($B1924,SERVIÇOS!$B:$G,3,0),IFERROR(VLOOKUP($B1924,$D:$K,3,0),"")),IFERROR(VLOOKUP($C1924,INSUMOS!$A:$D,3,0),IFERROR(VLOOKUP($C1924,COTAÇÕES!$B:$I,3,0),(VLOOKUP($C1924,'INSUMO SINAPI - SP'!$C:$F,3,0)))))</f>
        <v>M</v>
      </c>
      <c r="G1924" s="511">
        <v>0.80267558528428096</v>
      </c>
      <c r="H1924" s="512">
        <f>IF($C1924="",IFERROR(VLOOKUP($B1924,SERVIÇOS!$B:$G,6,0),IFERROR(VLOOKUP($B1924,$D:$K,8,0),"")),IFERROR(VLOOKUP($C1924,INSUMOS!$A:$D,4,0),IFERROR(VLOOKUP($C1924,COTAÇÕES!$B:$I,7,0),(VLOOKUP($C1924,'INSUMO SINAPI - SP'!$C:$F,4,0)))))</f>
        <v>3.34</v>
      </c>
      <c r="I1924" s="513">
        <f>TRUNC(IF($C1924="",IFERROR(VLOOKUP($B1924,SERVIÇOS!$B:$G,4,0),IFERROR(VLOOKUP($B1924,$D:$K,6,0),)),IFERROR(VLOOKUP($C1924,INSUMOS!$A:$D,4,0),IFERROR(VLOOKUP($C1924,COTAÇÕES!$B:$I,7,0),(VLOOKUP($C1924,'INSUMO SINAPI - SP'!$C:$F,4,0)))))*$G1924,2)</f>
        <v>1.78</v>
      </c>
      <c r="J1924" s="513">
        <f>TRUNC(IF($C1924="",IFERROR(VLOOKUP($B1924,SERVIÇOS!$B:$G,5,0),IFERROR(VLOOKUP($B1924,$D:$K,7,0),)),0)*$G1924,2)</f>
        <v>0.89</v>
      </c>
      <c r="K1924" s="514">
        <f t="shared" si="71"/>
        <v>2.67</v>
      </c>
      <c r="L1924" s="515"/>
      <c r="M1924" s="471"/>
      <c r="Q1924" s="472"/>
      <c r="R1924" s="472"/>
      <c r="S1924" s="472"/>
      <c r="T1924" s="472"/>
      <c r="U1924" s="472"/>
      <c r="V1924" s="472"/>
      <c r="W1924" s="472"/>
      <c r="X1924" s="472"/>
      <c r="Y1924" s="472"/>
    </row>
    <row r="1925" spans="1:25" ht="24" x14ac:dyDescent="0.25">
      <c r="A1925" s="463"/>
      <c r="B1925" s="506">
        <v>91867</v>
      </c>
      <c r="C1925" s="507"/>
      <c r="D1925" s="508"/>
      <c r="E1925" s="509" t="str">
        <f>IF($C1925="",IFERROR(VLOOKUP($B1925,SERVIÇOS!$B:$G,2,0),IFERROR(VLOOKUP($B1925,$D:$K,2,0),"")),IFERROR(VLOOKUP($C1925,INSUMOS!$A:$D,2,0),IFERROR(VLOOKUP($C1925,COTAÇÕES!$B:$I,2,0),(VLOOKUP($C1925,'INSUMO SINAPI - SP'!$C:$F,2,0)))))</f>
        <v>ELETRODUTO RÍGIDO ROSCÁVEL, PVC, DN 25 MM (3/4"), PARA CIRCUITOS TERMINAIS, INSTALADO EM LAJE - FORNECIMENTO E INSTALAÇÃO. AF_03/2023</v>
      </c>
      <c r="F1925" s="510" t="str">
        <f>IF($C1925="",IFERROR(VLOOKUP($B1925,SERVIÇOS!$B:$G,3,0),IFERROR(VLOOKUP($B1925,$D:$K,3,0),"")),IFERROR(VLOOKUP($C1925,INSUMOS!$A:$D,3,0),IFERROR(VLOOKUP($C1925,COTAÇÕES!$B:$I,3,0),(VLOOKUP($C1925,'INSUMO SINAPI - SP'!$C:$F,3,0)))))</f>
        <v>M</v>
      </c>
      <c r="G1925" s="511">
        <v>0.40133779264214098</v>
      </c>
      <c r="H1925" s="512">
        <f>IF($C1925="",IFERROR(VLOOKUP($B1925,SERVIÇOS!$B:$G,6,0),IFERROR(VLOOKUP($B1925,$D:$K,8,0),"")),IFERROR(VLOOKUP($C1925,INSUMOS!$A:$D,4,0),IFERROR(VLOOKUP($C1925,COTAÇÕES!$B:$I,7,0),(VLOOKUP($C1925,'INSUMO SINAPI - SP'!$C:$F,4,0)))))</f>
        <v>14.02</v>
      </c>
      <c r="I1925" s="513">
        <f>TRUNC(IF($C1925="",IFERROR(VLOOKUP($B1925,SERVIÇOS!$B:$G,4,0),IFERROR(VLOOKUP($B1925,$D:$K,6,0),)),IFERROR(VLOOKUP($C1925,INSUMOS!$A:$D,4,0),IFERROR(VLOOKUP($C1925,COTAÇÕES!$B:$I,7,0),(VLOOKUP($C1925,'INSUMO SINAPI - SP'!$C:$F,4,0)))))*$G1925,2)</f>
        <v>3.76</v>
      </c>
      <c r="J1925" s="513">
        <f>TRUNC(IF($C1925="",IFERROR(VLOOKUP($B1925,SERVIÇOS!$B:$G,5,0),IFERROR(VLOOKUP($B1925,$D:$K,7,0),)),0)*$G1925,2)</f>
        <v>1.86</v>
      </c>
      <c r="K1925" s="514">
        <f t="shared" si="71"/>
        <v>5.62</v>
      </c>
      <c r="L1925" s="515"/>
      <c r="M1925" s="471"/>
      <c r="Q1925" s="472"/>
      <c r="R1925" s="472"/>
      <c r="S1925" s="472"/>
      <c r="T1925" s="472"/>
      <c r="U1925" s="472"/>
      <c r="V1925" s="472"/>
      <c r="W1925" s="472"/>
      <c r="X1925" s="472"/>
      <c r="Y1925" s="472"/>
    </row>
    <row r="1926" spans="1:25" ht="24" x14ac:dyDescent="0.25">
      <c r="A1926" s="463"/>
      <c r="B1926" s="506">
        <v>103782</v>
      </c>
      <c r="C1926" s="507"/>
      <c r="D1926" s="508"/>
      <c r="E1926" s="509" t="str">
        <f>IF($C1926="",IFERROR(VLOOKUP($B1926,SERVIÇOS!$B:$G,2,0),IFERROR(VLOOKUP($B1926,$D:$K,2,0),"")),IFERROR(VLOOKUP($C1926,INSUMOS!$A:$D,2,0),IFERROR(VLOOKUP($C1926,COTAÇÕES!$B:$I,2,0),(VLOOKUP($C1926,'INSUMO SINAPI - SP'!$C:$F,2,0)))))</f>
        <v>LUMINÁRIA TIPO PLAFON CIRCULAR, DE SOBREPOR, COM LED DE 12/13 W - FORNECIMENTO E INSTALAÇÃO. AF_09/2024</v>
      </c>
      <c r="F1926" s="510" t="str">
        <f>IF($C1926="",IFERROR(VLOOKUP($B1926,SERVIÇOS!$B:$G,3,0),IFERROR(VLOOKUP($B1926,$D:$K,3,0),"")),IFERROR(VLOOKUP($C1926,INSUMOS!$A:$D,3,0),IFERROR(VLOOKUP($C1926,COTAÇÕES!$B:$I,3,0),(VLOOKUP($C1926,'INSUMO SINAPI - SP'!$C:$F,3,0)))))</f>
        <v>UN</v>
      </c>
      <c r="G1926" s="511">
        <v>6.6889632107023395E-2</v>
      </c>
      <c r="H1926" s="512">
        <f>IF($C1926="",IFERROR(VLOOKUP($B1926,SERVIÇOS!$B:$G,6,0),IFERROR(VLOOKUP($B1926,$D:$K,8,0),"")),IFERROR(VLOOKUP($C1926,INSUMOS!$A:$D,4,0),IFERROR(VLOOKUP($C1926,COTAÇÕES!$B:$I,7,0),(VLOOKUP($C1926,'INSUMO SINAPI - SP'!$C:$F,4,0)))))</f>
        <v>35.11</v>
      </c>
      <c r="I1926" s="513">
        <f>TRUNC(IF($C1926="",IFERROR(VLOOKUP($B1926,SERVIÇOS!$B:$G,4,0),IFERROR(VLOOKUP($B1926,$D:$K,6,0),)),IFERROR(VLOOKUP($C1926,INSUMOS!$A:$D,4,0),IFERROR(VLOOKUP($C1926,COTAÇÕES!$B:$I,7,0),(VLOOKUP($C1926,'INSUMO SINAPI - SP'!$C:$F,4,0)))))*$G1926,2)</f>
        <v>1.22</v>
      </c>
      <c r="J1926" s="513">
        <f>TRUNC(IF($C1926="",IFERROR(VLOOKUP($B1926,SERVIÇOS!$B:$G,5,0),IFERROR(VLOOKUP($B1926,$D:$K,7,0),)),0)*$G1926,2)</f>
        <v>1.1200000000000001</v>
      </c>
      <c r="K1926" s="514">
        <f t="shared" si="71"/>
        <v>2.34</v>
      </c>
      <c r="L1926" s="515"/>
      <c r="M1926" s="471"/>
      <c r="Q1926" s="472"/>
      <c r="R1926" s="472"/>
      <c r="S1926" s="472"/>
      <c r="T1926" s="472"/>
      <c r="U1926" s="472"/>
      <c r="V1926" s="472"/>
      <c r="W1926" s="472"/>
      <c r="X1926" s="472"/>
      <c r="Y1926" s="472"/>
    </row>
    <row r="1927" spans="1:25" ht="24" x14ac:dyDescent="0.25">
      <c r="A1927" s="463"/>
      <c r="B1927" s="506">
        <v>95777</v>
      </c>
      <c r="C1927" s="507"/>
      <c r="D1927" s="508"/>
      <c r="E1927" s="509" t="str">
        <f>IF($C1927="",IFERROR(VLOOKUP($B1927,SERVIÇOS!$B:$G,2,0),IFERROR(VLOOKUP($B1927,$D:$K,2,0),"")),IFERROR(VLOOKUP($C1927,INSUMOS!$A:$D,2,0),IFERROR(VLOOKUP($C1927,COTAÇÕES!$B:$I,2,0),(VLOOKUP($C1927,'INSUMO SINAPI - SP'!$C:$F,2,0)))))</f>
        <v>CONDULETE DE ALUMÍNIO, TIPO B, PARA ELETRODUTO DE AÇO GALVANIZADO DN 20 MM (3/4''), APARENTE - FORNECIMENTO E INSTALAÇÃO. AF_10/2022</v>
      </c>
      <c r="F1927" s="510" t="str">
        <f>IF($C1927="",IFERROR(VLOOKUP($B1927,SERVIÇOS!$B:$G,3,0),IFERROR(VLOOKUP($B1927,$D:$K,3,0),"")),IFERROR(VLOOKUP($C1927,INSUMOS!$A:$D,3,0),IFERROR(VLOOKUP($C1927,COTAÇÕES!$B:$I,3,0),(VLOOKUP($C1927,'INSUMO SINAPI - SP'!$C:$F,3,0)))))</f>
        <v>UN</v>
      </c>
      <c r="G1927" s="511">
        <v>6.6889632107023395E-2</v>
      </c>
      <c r="H1927" s="512">
        <f>IF($C1927="",IFERROR(VLOOKUP($B1927,SERVIÇOS!$B:$G,6,0),IFERROR(VLOOKUP($B1927,$D:$K,8,0),"")),IFERROR(VLOOKUP($C1927,INSUMOS!$A:$D,4,0),IFERROR(VLOOKUP($C1927,COTAÇÕES!$B:$I,7,0),(VLOOKUP($C1927,'INSUMO SINAPI - SP'!$C:$F,4,0)))))</f>
        <v>31.31</v>
      </c>
      <c r="I1927" s="513">
        <f>TRUNC(IF($C1927="",IFERROR(VLOOKUP($B1927,SERVIÇOS!$B:$G,4,0),IFERROR(VLOOKUP($B1927,$D:$K,6,0),)),IFERROR(VLOOKUP($C1927,INSUMOS!$A:$D,4,0),IFERROR(VLOOKUP($C1927,COTAÇÕES!$B:$I,7,0),(VLOOKUP($C1927,'INSUMO SINAPI - SP'!$C:$F,4,0)))))*$G1927,2)</f>
        <v>1.33</v>
      </c>
      <c r="J1927" s="513">
        <f>TRUNC(IF($C1927="",IFERROR(VLOOKUP($B1927,SERVIÇOS!$B:$G,5,0),IFERROR(VLOOKUP($B1927,$D:$K,7,0),)),0)*$G1927,2)</f>
        <v>0.76</v>
      </c>
      <c r="K1927" s="514">
        <f t="shared" si="71"/>
        <v>2.09</v>
      </c>
      <c r="L1927" s="515"/>
      <c r="M1927" s="471"/>
      <c r="Q1927" s="472"/>
      <c r="R1927" s="472"/>
      <c r="S1927" s="472"/>
      <c r="T1927" s="472"/>
      <c r="U1927" s="472"/>
      <c r="V1927" s="472"/>
      <c r="W1927" s="472"/>
      <c r="X1927" s="472"/>
      <c r="Y1927" s="472"/>
    </row>
    <row r="1928" spans="1:25" ht="24" x14ac:dyDescent="0.25">
      <c r="A1928" s="463"/>
      <c r="B1928" s="506">
        <v>91952</v>
      </c>
      <c r="C1928" s="507"/>
      <c r="D1928" s="508"/>
      <c r="E1928" s="509" t="str">
        <f>IF($C1928="",IFERROR(VLOOKUP($B1928,SERVIÇOS!$B:$G,2,0),IFERROR(VLOOKUP($B1928,$D:$K,2,0),"")),IFERROR(VLOOKUP($C1928,INSUMOS!$A:$D,2,0),IFERROR(VLOOKUP($C1928,COTAÇÕES!$B:$I,2,0),(VLOOKUP($C1928,'INSUMO SINAPI - SP'!$C:$F,2,0)))))</f>
        <v>INTERRUPTOR SIMPLES (1 MÓDULO), 10A/250V, SEM SUPORTE E SEM PLACA - FORNECIMENTO E INSTALAÇÃO. AF_03/2023</v>
      </c>
      <c r="F1928" s="510" t="str">
        <f>IF($C1928="",IFERROR(VLOOKUP($B1928,SERVIÇOS!$B:$G,3,0),IFERROR(VLOOKUP($B1928,$D:$K,3,0),"")),IFERROR(VLOOKUP($C1928,INSUMOS!$A:$D,3,0),IFERROR(VLOOKUP($C1928,COTAÇÕES!$B:$I,3,0),(VLOOKUP($C1928,'INSUMO SINAPI - SP'!$C:$F,3,0)))))</f>
        <v>UN</v>
      </c>
      <c r="G1928" s="511">
        <v>3.3444816053511697E-2</v>
      </c>
      <c r="H1928" s="512">
        <f>IF($C1928="",IFERROR(VLOOKUP($B1928,SERVIÇOS!$B:$G,6,0),IFERROR(VLOOKUP($B1928,$D:$K,8,0),"")),IFERROR(VLOOKUP($C1928,INSUMOS!$A:$D,4,0),IFERROR(VLOOKUP($C1928,COTAÇÕES!$B:$I,7,0),(VLOOKUP($C1928,'INSUMO SINAPI - SP'!$C:$F,4,0)))))</f>
        <v>23.41</v>
      </c>
      <c r="I1928" s="513">
        <f>TRUNC(IF($C1928="",IFERROR(VLOOKUP($B1928,SERVIÇOS!$B:$G,4,0),IFERROR(VLOOKUP($B1928,$D:$K,6,0),)),IFERROR(VLOOKUP($C1928,INSUMOS!$A:$D,4,0),IFERROR(VLOOKUP($C1928,COTAÇÕES!$B:$I,7,0),(VLOOKUP($C1928,'INSUMO SINAPI - SP'!$C:$F,4,0)))))*$G1928,2)</f>
        <v>0.39</v>
      </c>
      <c r="J1928" s="513">
        <f>TRUNC(IF($C1928="",IFERROR(VLOOKUP($B1928,SERVIÇOS!$B:$G,5,0),IFERROR(VLOOKUP($B1928,$D:$K,7,0),)),0)*$G1928,2)</f>
        <v>0.38</v>
      </c>
      <c r="K1928" s="514">
        <f t="shared" si="71"/>
        <v>0.77</v>
      </c>
      <c r="L1928" s="515"/>
      <c r="M1928" s="471"/>
      <c r="Q1928" s="472"/>
      <c r="R1928" s="472"/>
      <c r="S1928" s="472"/>
      <c r="T1928" s="472"/>
      <c r="U1928" s="472"/>
      <c r="V1928" s="472"/>
      <c r="W1928" s="472"/>
      <c r="X1928" s="472"/>
      <c r="Y1928" s="472"/>
    </row>
    <row r="1929" spans="1:25" ht="24" x14ac:dyDescent="0.25">
      <c r="A1929" s="463"/>
      <c r="B1929" s="506">
        <v>91996</v>
      </c>
      <c r="C1929" s="507"/>
      <c r="D1929" s="508"/>
      <c r="E1929" s="509" t="str">
        <f>IF($C1929="",IFERROR(VLOOKUP($B1929,SERVIÇOS!$B:$G,2,0),IFERROR(VLOOKUP($B1929,$D:$K,2,0),"")),IFERROR(VLOOKUP($C1929,INSUMOS!$A:$D,2,0),IFERROR(VLOOKUP($C1929,COTAÇÕES!$B:$I,2,0),(VLOOKUP($C1929,'INSUMO SINAPI - SP'!$C:$F,2,0)))))</f>
        <v>TOMADA MÉDIA DE EMBUTIR (1 MÓDULO), 2P+T 10 A, INCLUINDO SUPORTE E PLACA - FORNECIMENTO E INSTALAÇÃO. AF_03/2023</v>
      </c>
      <c r="F1929" s="510" t="str">
        <f>IF($C1929="",IFERROR(VLOOKUP($B1929,SERVIÇOS!$B:$G,3,0),IFERROR(VLOOKUP($B1929,$D:$K,3,0),"")),IFERROR(VLOOKUP($C1929,INSUMOS!$A:$D,3,0),IFERROR(VLOOKUP($C1929,COTAÇÕES!$B:$I,3,0),(VLOOKUP($C1929,'INSUMO SINAPI - SP'!$C:$F,3,0)))))</f>
        <v>UN</v>
      </c>
      <c r="G1929" s="511">
        <v>3.3444816053511697E-2</v>
      </c>
      <c r="H1929" s="512">
        <f>IF($C1929="",IFERROR(VLOOKUP($B1929,SERVIÇOS!$B:$G,6,0),IFERROR(VLOOKUP($B1929,$D:$K,8,0),"")),IFERROR(VLOOKUP($C1929,INSUMOS!$A:$D,4,0),IFERROR(VLOOKUP($C1929,COTAÇÕES!$B:$I,7,0),(VLOOKUP($C1929,'INSUMO SINAPI - SP'!$C:$F,4,0)))))</f>
        <v>43.87</v>
      </c>
      <c r="I1929" s="513">
        <f>TRUNC(IF($C1929="",IFERROR(VLOOKUP($B1929,SERVIÇOS!$B:$G,4,0),IFERROR(VLOOKUP($B1929,$D:$K,6,0),)),IFERROR(VLOOKUP($C1929,INSUMOS!$A:$D,4,0),IFERROR(VLOOKUP($C1929,COTAÇÕES!$B:$I,7,0),(VLOOKUP($C1929,'INSUMO SINAPI - SP'!$C:$F,4,0)))))*$G1929,2)</f>
        <v>0.73</v>
      </c>
      <c r="J1929" s="513">
        <f>TRUNC(IF($C1929="",IFERROR(VLOOKUP($B1929,SERVIÇOS!$B:$G,5,0),IFERROR(VLOOKUP($B1929,$D:$K,7,0),)),0)*$G1929,2)</f>
        <v>0.73</v>
      </c>
      <c r="K1929" s="514">
        <f t="shared" si="71"/>
        <v>1.46</v>
      </c>
      <c r="L1929" s="515"/>
      <c r="M1929" s="471"/>
      <c r="Q1929" s="472"/>
      <c r="R1929" s="472"/>
      <c r="S1929" s="472"/>
      <c r="T1929" s="472"/>
      <c r="U1929" s="472"/>
      <c r="V1929" s="472"/>
      <c r="W1929" s="472"/>
      <c r="X1929" s="472"/>
      <c r="Y1929" s="472"/>
    </row>
    <row r="1930" spans="1:25" ht="24" x14ac:dyDescent="0.25">
      <c r="A1930" s="463"/>
      <c r="B1930" s="506">
        <v>94216</v>
      </c>
      <c r="C1930" s="507"/>
      <c r="D1930" s="508"/>
      <c r="E1930" s="509" t="str">
        <f>IF($C1930="",IFERROR(VLOOKUP($B1930,SERVIÇOS!$B:$G,2,0),IFERROR(VLOOKUP($B1930,$D:$K,2,0),"")),IFERROR(VLOOKUP($C1930,INSUMOS!$A:$D,2,0),IFERROR(VLOOKUP($C1930,COTAÇÕES!$B:$I,2,0),(VLOOKUP($C1930,'INSUMO SINAPI - SP'!$C:$F,2,0)))))</f>
        <v>TELHAMENTO COM TELHA METÁLICA TERMOACÚSTICA E = 30 MM, COM ATÉ 2 ÁGUAS, INCLUSO IÇAMENTO. AF_07/2019</v>
      </c>
      <c r="F1930" s="510" t="str">
        <f>IF($C1930="",IFERROR(VLOOKUP($B1930,SERVIÇOS!$B:$G,3,0),IFERROR(VLOOKUP($B1930,$D:$K,3,0),"")),IFERROR(VLOOKUP($C1930,INSUMOS!$A:$D,3,0),IFERROR(VLOOKUP($C1930,COTAÇÕES!$B:$I,3,0),(VLOOKUP($C1930,'INSUMO SINAPI - SP'!$C:$F,3,0)))))</f>
        <v>M2</v>
      </c>
      <c r="G1930" s="511">
        <v>1.2458193979933101</v>
      </c>
      <c r="H1930" s="512">
        <f>IF($C1930="",IFERROR(VLOOKUP($B1930,SERVIÇOS!$B:$G,6,0),IFERROR(VLOOKUP($B1930,$D:$K,8,0),"")),IFERROR(VLOOKUP($C1930,INSUMOS!$A:$D,4,0),IFERROR(VLOOKUP($C1930,COTAÇÕES!$B:$I,7,0),(VLOOKUP($C1930,'INSUMO SINAPI - SP'!$C:$F,4,0)))))</f>
        <v>204.19</v>
      </c>
      <c r="I1930" s="513">
        <f>TRUNC(IF($C1930="",IFERROR(VLOOKUP($B1930,SERVIÇOS!$B:$G,4,0),IFERROR(VLOOKUP($B1930,$D:$K,6,0),)),IFERROR(VLOOKUP($C1930,INSUMOS!$A:$D,4,0),IFERROR(VLOOKUP($C1930,COTAÇÕES!$B:$I,7,0),(VLOOKUP($C1930,'INSUMO SINAPI - SP'!$C:$F,4,0)))))*$G1930,2)</f>
        <v>250.93</v>
      </c>
      <c r="J1930" s="513">
        <f>TRUNC(IF($C1930="",IFERROR(VLOOKUP($B1930,SERVIÇOS!$B:$G,5,0),IFERROR(VLOOKUP($B1930,$D:$K,7,0),)),0)*$G1930,2)</f>
        <v>3.45</v>
      </c>
      <c r="K1930" s="514">
        <f t="shared" si="71"/>
        <v>254.38</v>
      </c>
      <c r="L1930" s="515"/>
      <c r="M1930" s="471"/>
      <c r="Q1930" s="472"/>
      <c r="R1930" s="472"/>
      <c r="S1930" s="472"/>
      <c r="T1930" s="472"/>
      <c r="U1930" s="472"/>
      <c r="V1930" s="472"/>
      <c r="W1930" s="472"/>
      <c r="X1930" s="472"/>
      <c r="Y1930" s="472"/>
    </row>
    <row r="1931" spans="1:25" ht="36" x14ac:dyDescent="0.25">
      <c r="A1931" s="463"/>
      <c r="B1931" s="506">
        <v>92543</v>
      </c>
      <c r="C1931" s="507"/>
      <c r="D1931" s="508"/>
      <c r="E1931" s="509" t="str">
        <f>IF($C1931="",IFERROR(VLOOKUP($B1931,SERVIÇOS!$B:$G,2,0),IFERROR(VLOOKUP($B1931,$D:$K,2,0),"")),IFERROR(VLOOKUP($C1931,INSUMOS!$A:$D,2,0),IFERROR(VLOOKUP($C1931,COTAÇÕES!$B:$I,2,0),(VLOOKUP($C1931,'INSUMO SINAPI - SP'!$C:$F,2,0)))))</f>
        <v>TRAMA DE MADEIRA COMPOSTA POR TERÇAS PARA TELHADOS DE ATÉ 2 ÁGUAS PARA TELHA ONDULADA DE FIBROCIMENTO, METÁLICA, PLÁSTICA OU TERMOACÚSTICA, INCLUSO TRANSPORTE VERTICAL. AF_07/2019</v>
      </c>
      <c r="F1931" s="510" t="str">
        <f>IF($C1931="",IFERROR(VLOOKUP($B1931,SERVIÇOS!$B:$G,3,0),IFERROR(VLOOKUP($B1931,$D:$K,3,0),"")),IFERROR(VLOOKUP($C1931,INSUMOS!$A:$D,3,0),IFERROR(VLOOKUP($C1931,COTAÇÕES!$B:$I,3,0),(VLOOKUP($C1931,'INSUMO SINAPI - SP'!$C:$F,3,0)))))</f>
        <v>M2</v>
      </c>
      <c r="G1931" s="511">
        <v>1.2458193979933101</v>
      </c>
      <c r="H1931" s="512">
        <f>IF($C1931="",IFERROR(VLOOKUP($B1931,SERVIÇOS!$B:$G,6,0),IFERROR(VLOOKUP($B1931,$D:$K,8,0),"")),IFERROR(VLOOKUP($C1931,INSUMOS!$A:$D,4,0),IFERROR(VLOOKUP($C1931,COTAÇÕES!$B:$I,7,0),(VLOOKUP($C1931,'INSUMO SINAPI - SP'!$C:$F,4,0)))))</f>
        <v>27.73</v>
      </c>
      <c r="I1931" s="513">
        <f>TRUNC(IF($C1931="",IFERROR(VLOOKUP($B1931,SERVIÇOS!$B:$G,4,0),IFERROR(VLOOKUP($B1931,$D:$K,6,0),)),IFERROR(VLOOKUP($C1931,INSUMOS!$A:$D,4,0),IFERROR(VLOOKUP($C1931,COTAÇÕES!$B:$I,7,0),(VLOOKUP($C1931,'INSUMO SINAPI - SP'!$C:$F,4,0)))))*$G1931,2)</f>
        <v>28.49</v>
      </c>
      <c r="J1931" s="513">
        <f>TRUNC(IF($C1931="",IFERROR(VLOOKUP($B1931,SERVIÇOS!$B:$G,5,0),IFERROR(VLOOKUP($B1931,$D:$K,7,0),)),0)*$G1931,2)</f>
        <v>6.05</v>
      </c>
      <c r="K1931" s="514">
        <f t="shared" si="71"/>
        <v>34.54</v>
      </c>
      <c r="L1931" s="515"/>
      <c r="M1931" s="471"/>
      <c r="Q1931" s="472"/>
      <c r="R1931" s="472"/>
      <c r="S1931" s="472"/>
      <c r="T1931" s="472"/>
      <c r="U1931" s="472"/>
      <c r="V1931" s="472"/>
      <c r="W1931" s="472"/>
      <c r="X1931" s="472"/>
      <c r="Y1931" s="472"/>
    </row>
    <row r="1932" spans="1:25" ht="48" x14ac:dyDescent="0.25">
      <c r="A1932" s="463"/>
      <c r="B1932" s="506">
        <v>94559</v>
      </c>
      <c r="C1932" s="507"/>
      <c r="D1932" s="508"/>
      <c r="E1932" s="509" t="str">
        <f>IF($C1932="",IFERROR(VLOOKUP($B1932,SERVIÇOS!$B:$G,2,0),IFERROR(VLOOKUP($B1932,$D:$K,2,0),"")),IFERROR(VLOOKUP($C1932,INSUMOS!$A:$D,2,0),IFERROR(VLOOKUP($C1932,COTAÇÕES!$B:$I,2,0),(VLOOKUP($C1932,'INSUMO SINAPI - SP'!$C:$F,2,0)))))</f>
        <v>JANELA DE AÇO TIPO BASCULANTE, PARA VIDROS (VIDROS NÃO INCLUSOS), BATENTE/ REQUADRO INCLUSO (6,5 A 14 CM), DIMENSÕES 60X60 CM, COM COM PINTURA ANTICORROSIVA, SEM ACABAMENTO, COM FERRAGENS, FIXAÇÃO COM ARGAMASSA, EXCLUSIVE CONTRAMARCO - FORNECIMENTO E INSTALAÇÃO. AF_11/2024</v>
      </c>
      <c r="F1932" s="510" t="str">
        <f>IF($C1932="",IFERROR(VLOOKUP($B1932,SERVIÇOS!$B:$G,3,0),IFERROR(VLOOKUP($B1932,$D:$K,3,0),"")),IFERROR(VLOOKUP($C1932,INSUMOS!$A:$D,3,0),IFERROR(VLOOKUP($C1932,COTAÇÕES!$B:$I,3,0),(VLOOKUP($C1932,'INSUMO SINAPI - SP'!$C:$F,3,0)))))</f>
        <v>M2</v>
      </c>
      <c r="G1932" s="511">
        <v>2.3610711200691002E-2</v>
      </c>
      <c r="H1932" s="512">
        <f>IF($C1932="",IFERROR(VLOOKUP($B1932,SERVIÇOS!$B:$G,6,0),IFERROR(VLOOKUP($B1932,$D:$K,8,0),"")),IFERROR(VLOOKUP($C1932,INSUMOS!$A:$D,4,0),IFERROR(VLOOKUP($C1932,COTAÇÕES!$B:$I,7,0),(VLOOKUP($C1932,'INSUMO SINAPI - SP'!$C:$F,4,0)))))</f>
        <v>789.79</v>
      </c>
      <c r="I1932" s="513">
        <f>TRUNC(IF($C1932="",IFERROR(VLOOKUP($B1932,SERVIÇOS!$B:$G,4,0),IFERROR(VLOOKUP($B1932,$D:$K,6,0),)),IFERROR(VLOOKUP($C1932,INSUMOS!$A:$D,4,0),IFERROR(VLOOKUP($C1932,COTAÇÕES!$B:$I,7,0),(VLOOKUP($C1932,'INSUMO SINAPI - SP'!$C:$F,4,0)))))*$G1932,2)</f>
        <v>14.06</v>
      </c>
      <c r="J1932" s="513">
        <f>TRUNC(IF($C1932="",IFERROR(VLOOKUP($B1932,SERVIÇOS!$B:$G,5,0),IFERROR(VLOOKUP($B1932,$D:$K,7,0),)),0)*$G1932,2)</f>
        <v>4.58</v>
      </c>
      <c r="K1932" s="514">
        <f t="shared" si="71"/>
        <v>18.64</v>
      </c>
      <c r="L1932" s="515"/>
      <c r="M1932" s="471"/>
      <c r="Q1932" s="472"/>
      <c r="R1932" s="472"/>
      <c r="S1932" s="472"/>
      <c r="T1932" s="472"/>
      <c r="U1932" s="472"/>
      <c r="V1932" s="472"/>
      <c r="W1932" s="472"/>
      <c r="X1932" s="472"/>
      <c r="Y1932" s="472"/>
    </row>
    <row r="1933" spans="1:25" ht="24" x14ac:dyDescent="0.25">
      <c r="A1933" s="463"/>
      <c r="B1933" s="506">
        <v>102218</v>
      </c>
      <c r="C1933" s="507"/>
      <c r="D1933" s="508"/>
      <c r="E1933" s="509" t="str">
        <f>IF($C1933="",IFERROR(VLOOKUP($B1933,SERVIÇOS!$B:$G,2,0),IFERROR(VLOOKUP($B1933,$D:$K,2,0),"")),IFERROR(VLOOKUP($C1933,INSUMOS!$A:$D,2,0),IFERROR(VLOOKUP($C1933,COTAÇÕES!$B:$I,2,0),(VLOOKUP($C1933,'INSUMO SINAPI - SP'!$C:$F,2,0)))))</f>
        <v>PINTURA TINTA DE ACABAMENTO (PIGMENTADA) ESMALTE SINTÉTICO FOSCO EM MADEIRA, 2 DEMÃOS. AF_01/2021</v>
      </c>
      <c r="F1933" s="510" t="str">
        <f>IF($C1933="",IFERROR(VLOOKUP($B1933,SERVIÇOS!$B:$G,3,0),IFERROR(VLOOKUP($B1933,$D:$K,3,0),"")),IFERROR(VLOOKUP($C1933,INSUMOS!$A:$D,3,0),IFERROR(VLOOKUP($C1933,COTAÇÕES!$B:$I,3,0),(VLOOKUP($C1933,'INSUMO SINAPI - SP'!$C:$F,3,0)))))</f>
        <v>M2</v>
      </c>
      <c r="G1933" s="511">
        <v>4.72214224013821E-2</v>
      </c>
      <c r="H1933" s="512">
        <f>IF($C1933="",IFERROR(VLOOKUP($B1933,SERVIÇOS!$B:$G,6,0),IFERROR(VLOOKUP($B1933,$D:$K,8,0),"")),IFERROR(VLOOKUP($C1933,INSUMOS!$A:$D,4,0),IFERROR(VLOOKUP($C1933,COTAÇÕES!$B:$I,7,0),(VLOOKUP($C1933,'INSUMO SINAPI - SP'!$C:$F,4,0)))))</f>
        <v>19.850000000000001</v>
      </c>
      <c r="I1933" s="513">
        <f>TRUNC(IF($C1933="",IFERROR(VLOOKUP($B1933,SERVIÇOS!$B:$G,4,0),IFERROR(VLOOKUP($B1933,$D:$K,6,0),)),IFERROR(VLOOKUP($C1933,INSUMOS!$A:$D,4,0),IFERROR(VLOOKUP($C1933,COTAÇÕES!$B:$I,7,0),(VLOOKUP($C1933,'INSUMO SINAPI - SP'!$C:$F,4,0)))))*$G1933,2)</f>
        <v>0.44</v>
      </c>
      <c r="J1933" s="513">
        <f>TRUNC(IF($C1933="",IFERROR(VLOOKUP($B1933,SERVIÇOS!$B:$G,5,0),IFERROR(VLOOKUP($B1933,$D:$K,7,0),)),0)*$G1933,2)</f>
        <v>0.49</v>
      </c>
      <c r="K1933" s="514">
        <f t="shared" si="71"/>
        <v>0.92999999999999994</v>
      </c>
      <c r="L1933" s="515"/>
      <c r="M1933" s="471"/>
      <c r="Q1933" s="472"/>
      <c r="R1933" s="472"/>
      <c r="S1933" s="472"/>
      <c r="T1933" s="472"/>
      <c r="U1933" s="472"/>
      <c r="V1933" s="472"/>
      <c r="W1933" s="472"/>
      <c r="X1933" s="472"/>
      <c r="Y1933" s="472"/>
    </row>
    <row r="1934" spans="1:25" ht="24" x14ac:dyDescent="0.25">
      <c r="A1934" s="463"/>
      <c r="B1934" s="498"/>
      <c r="C1934" s="498"/>
      <c r="D1934" s="499" t="s">
        <v>12565</v>
      </c>
      <c r="E1934" s="500" t="s">
        <v>13514</v>
      </c>
      <c r="F1934" s="501" t="s">
        <v>578</v>
      </c>
      <c r="G1934" s="502"/>
      <c r="H1934" s="503"/>
      <c r="I1934" s="504">
        <f>ROUND(SUM(I1935:I1945),2)</f>
        <v>864.17</v>
      </c>
      <c r="J1934" s="504">
        <f>ROUND(SUM(J1935:J1945),2)</f>
        <v>155.77000000000001</v>
      </c>
      <c r="K1934" s="504">
        <f>+J1934+I1934</f>
        <v>1019.9399999999999</v>
      </c>
      <c r="L1934" s="523"/>
      <c r="M1934" s="471"/>
      <c r="N1934" s="505"/>
      <c r="Q1934" s="472"/>
      <c r="R1934" s="472"/>
      <c r="S1934" s="472"/>
      <c r="T1934" s="472"/>
      <c r="U1934" s="472"/>
      <c r="V1934" s="472"/>
      <c r="W1934" s="472"/>
      <c r="X1934" s="472"/>
      <c r="Y1934" s="472"/>
    </row>
    <row r="1935" spans="1:25" ht="24" x14ac:dyDescent="0.25">
      <c r="A1935" s="463"/>
      <c r="B1935" s="506" t="s">
        <v>13506</v>
      </c>
      <c r="C1935" s="507"/>
      <c r="D1935" s="508"/>
      <c r="E1935" s="509" t="str">
        <f>IF($C1935="",IFERROR(VLOOKUP($B1935,SERVIÇOS!$B:$G,2,0),IFERROR(VLOOKUP($B1935,$D:$K,2,0),"")),IFERROR(VLOOKUP($C1935,INSUMOS!$A:$D,2,0),IFERROR(VLOOKUP($C1935,COTAÇÕES!$B:$I,2,0),(VLOOKUP($C1935,'INSUMO SINAPI - SP'!$C:$F,2,0)))))</f>
        <v>PAREDE DE COM TELHA METALICA TRAPEZOIDAL, ALTURA 40MM ESPESSURA 0,5MM PARA CONSTRUÇÃO TEMPORÁRIA, COM CHAPA DE MADEIRA INTERNA</v>
      </c>
      <c r="F1935" s="510" t="str">
        <f>IF($C1935="",IFERROR(VLOOKUP($B1935,SERVIÇOS!$B:$G,3,0),IFERROR(VLOOKUP($B1935,$D:$K,3,0),"")),IFERROR(VLOOKUP($C1935,INSUMOS!$A:$D,3,0),IFERROR(VLOOKUP($C1935,COTAÇÕES!$B:$I,3,0),(VLOOKUP($C1935,'INSUMO SINAPI - SP'!$C:$F,3,0)))))</f>
        <v>M2</v>
      </c>
      <c r="G1935" s="511">
        <v>0.85158007498661004</v>
      </c>
      <c r="H1935" s="512">
        <f>IF($C1935="",IFERROR(VLOOKUP($B1935,SERVIÇOS!$B:$G,6,0),IFERROR(VLOOKUP($B1935,$D:$K,8,0),"")),IFERROR(VLOOKUP($C1935,INSUMOS!$A:$D,4,0),IFERROR(VLOOKUP($C1935,COTAÇÕES!$B:$I,7,0),(VLOOKUP($C1935,'INSUMO SINAPI - SP'!$C:$F,4,0)))))</f>
        <v>754.41000000000008</v>
      </c>
      <c r="I1935" s="513">
        <f>TRUNC(IF($C1935="",IFERROR(VLOOKUP($B1935,SERVIÇOS!$B:$G,4,0),IFERROR(VLOOKUP($B1935,$D:$K,6,0),)),IFERROR(VLOOKUP($C1935,INSUMOS!$A:$D,4,0),IFERROR(VLOOKUP($C1935,COTAÇÕES!$B:$I,7,0),(VLOOKUP($C1935,'INSUMO SINAPI - SP'!$C:$F,4,0)))))*$G1935,2)</f>
        <v>530.86</v>
      </c>
      <c r="J1935" s="513">
        <f>TRUNC(IF($C1935="",IFERROR(VLOOKUP($B1935,SERVIÇOS!$B:$G,5,0),IFERROR(VLOOKUP($B1935,$D:$K,7,0),)),0)*$G1935,2)</f>
        <v>111.57</v>
      </c>
      <c r="K1935" s="514">
        <f t="shared" ref="K1935:K1945" si="72">I1935+J1935</f>
        <v>642.43000000000006</v>
      </c>
      <c r="L1935" s="515"/>
      <c r="M1935" s="471"/>
      <c r="N1935" s="516"/>
      <c r="Q1935" s="472"/>
      <c r="R1935" s="472"/>
      <c r="S1935" s="472"/>
      <c r="T1935" s="472"/>
      <c r="U1935" s="472"/>
      <c r="V1935" s="472"/>
      <c r="W1935" s="472"/>
      <c r="X1935" s="472"/>
      <c r="Y1935" s="472"/>
    </row>
    <row r="1936" spans="1:25" ht="24" x14ac:dyDescent="0.25">
      <c r="A1936" s="463"/>
      <c r="B1936" s="506">
        <v>96622</v>
      </c>
      <c r="C1936" s="507"/>
      <c r="D1936" s="508"/>
      <c r="E1936" s="509" t="str">
        <f>IF($C1936="",IFERROR(VLOOKUP($B1936,SERVIÇOS!$B:$G,2,0),IFERROR(VLOOKUP($B1936,$D:$K,2,0),"")),IFERROR(VLOOKUP($C1936,INSUMOS!$A:$D,2,0),IFERROR(VLOOKUP($C1936,COTAÇÕES!$B:$I,2,0),(VLOOKUP($C1936,'INSUMO SINAPI - SP'!$C:$F,2,0)))))</f>
        <v>LASTRO COM MATERIAL GRANULAR, APLICADO EM PISOS OU LAJES SOBRE SOLO, ESPESSURA DE *5 CM*. AF_01/2024</v>
      </c>
      <c r="F1936" s="510" t="str">
        <f>IF($C1936="",IFERROR(VLOOKUP($B1936,SERVIÇOS!$B:$G,3,0),IFERROR(VLOOKUP($B1936,$D:$K,3,0),"")),IFERROR(VLOOKUP($C1936,INSUMOS!$A:$D,3,0),IFERROR(VLOOKUP($C1936,COTAÇÕES!$B:$I,3,0),(VLOOKUP($C1936,'INSUMO SINAPI - SP'!$C:$F,3,0)))))</f>
        <v>M3</v>
      </c>
      <c r="G1936" s="511">
        <v>0.05</v>
      </c>
      <c r="H1936" s="512">
        <f>IF($C1936="",IFERROR(VLOOKUP($B1936,SERVIÇOS!$B:$G,6,0),IFERROR(VLOOKUP($B1936,$D:$K,8,0),"")),IFERROR(VLOOKUP($C1936,INSUMOS!$A:$D,4,0),IFERROR(VLOOKUP($C1936,COTAÇÕES!$B:$I,7,0),(VLOOKUP($C1936,'INSUMO SINAPI - SP'!$C:$F,4,0)))))</f>
        <v>182.38</v>
      </c>
      <c r="I1936" s="513">
        <f>TRUNC(IF($C1936="",IFERROR(VLOOKUP($B1936,SERVIÇOS!$B:$G,4,0),IFERROR(VLOOKUP($B1936,$D:$K,6,0),)),IFERROR(VLOOKUP($C1936,INSUMOS!$A:$D,4,0),IFERROR(VLOOKUP($C1936,COTAÇÕES!$B:$I,7,0),(VLOOKUP($C1936,'INSUMO SINAPI - SP'!$C:$F,4,0)))))*$G1936,2)</f>
        <v>5.69</v>
      </c>
      <c r="J1936" s="513">
        <f>TRUNC(IF($C1936="",IFERROR(VLOOKUP($B1936,SERVIÇOS!$B:$G,5,0),IFERROR(VLOOKUP($B1936,$D:$K,7,0),)),0)*$G1936,2)</f>
        <v>3.42</v>
      </c>
      <c r="K1936" s="514">
        <f t="shared" si="72"/>
        <v>9.11</v>
      </c>
      <c r="L1936" s="515"/>
      <c r="M1936" s="471"/>
      <c r="N1936" s="516"/>
      <c r="Q1936" s="472"/>
      <c r="R1936" s="472"/>
      <c r="S1936" s="472"/>
      <c r="T1936" s="472"/>
      <c r="U1936" s="472"/>
      <c r="V1936" s="472"/>
      <c r="W1936" s="472"/>
      <c r="X1936" s="472"/>
      <c r="Y1936" s="472"/>
    </row>
    <row r="1937" spans="1:25" ht="24" x14ac:dyDescent="0.25">
      <c r="A1937" s="463"/>
      <c r="B1937" s="506">
        <v>101749</v>
      </c>
      <c r="C1937" s="507"/>
      <c r="D1937" s="508"/>
      <c r="E1937" s="509" t="str">
        <f>IF($C1937="",IFERROR(VLOOKUP($B1937,SERVIÇOS!$B:$G,2,0),IFERROR(VLOOKUP($B1937,$D:$K,2,0),"")),IFERROR(VLOOKUP($C1937,INSUMOS!$A:$D,2,0),IFERROR(VLOOKUP($C1937,COTAÇÕES!$B:$I,2,0),(VLOOKUP($C1937,'INSUMO SINAPI - SP'!$C:$F,2,0)))))</f>
        <v>PISO CIMENTADO, TRAÇO 1:3 (CIMENTO E AREIA), ACABAMENTO LISO, ESPESSURA 4,0 CM, PREPARO MECÂNICO DA ARGAMASSA. AF_09/2020</v>
      </c>
      <c r="F1937" s="510" t="str">
        <f>IF($C1937="",IFERROR(VLOOKUP($B1937,SERVIÇOS!$B:$G,3,0),IFERROR(VLOOKUP($B1937,$D:$K,3,0),"")),IFERROR(VLOOKUP($C1937,INSUMOS!$A:$D,3,0),IFERROR(VLOOKUP($C1937,COTAÇÕES!$B:$I,3,0),(VLOOKUP($C1937,'INSUMO SINAPI - SP'!$C:$F,3,0)))))</f>
        <v>M2</v>
      </c>
      <c r="G1937" s="511">
        <v>1</v>
      </c>
      <c r="H1937" s="512">
        <f>IF($C1937="",IFERROR(VLOOKUP($B1937,SERVIÇOS!$B:$G,6,0),IFERROR(VLOOKUP($B1937,$D:$K,8,0),"")),IFERROR(VLOOKUP($C1937,INSUMOS!$A:$D,4,0),IFERROR(VLOOKUP($C1937,COTAÇÕES!$B:$I,7,0),(VLOOKUP($C1937,'INSUMO SINAPI - SP'!$C:$F,4,0)))))</f>
        <v>60.56</v>
      </c>
      <c r="I1937" s="513">
        <f>TRUNC(IF($C1937="",IFERROR(VLOOKUP($B1937,SERVIÇOS!$B:$G,4,0),IFERROR(VLOOKUP($B1937,$D:$K,6,0),)),IFERROR(VLOOKUP($C1937,INSUMOS!$A:$D,4,0),IFERROR(VLOOKUP($C1937,COTAÇÕES!$B:$I,7,0),(VLOOKUP($C1937,'INSUMO SINAPI - SP'!$C:$F,4,0)))))*$G1937,2)</f>
        <v>39.11</v>
      </c>
      <c r="J1937" s="513">
        <f>TRUNC(IF($C1937="",IFERROR(VLOOKUP($B1937,SERVIÇOS!$B:$G,5,0),IFERROR(VLOOKUP($B1937,$D:$K,7,0),)),0)*$G1937,2)</f>
        <v>21.45</v>
      </c>
      <c r="K1937" s="514">
        <f t="shared" si="72"/>
        <v>60.56</v>
      </c>
      <c r="L1937" s="515"/>
      <c r="M1937" s="471"/>
      <c r="N1937" s="516"/>
      <c r="Q1937" s="472"/>
      <c r="R1937" s="472"/>
      <c r="S1937" s="472"/>
      <c r="T1937" s="472"/>
      <c r="U1937" s="472"/>
      <c r="V1937" s="472"/>
      <c r="W1937" s="472"/>
      <c r="X1937" s="472"/>
      <c r="Y1937" s="472"/>
    </row>
    <row r="1938" spans="1:25" ht="24" x14ac:dyDescent="0.25">
      <c r="A1938" s="463"/>
      <c r="B1938" s="506">
        <v>91924</v>
      </c>
      <c r="C1938" s="507"/>
      <c r="D1938" s="508"/>
      <c r="E1938" s="509" t="str">
        <f>IF($C1938="",IFERROR(VLOOKUP($B1938,SERVIÇOS!$B:$G,2,0),IFERROR(VLOOKUP($B1938,$D:$K,2,0),"")),IFERROR(VLOOKUP($C1938,INSUMOS!$A:$D,2,0),IFERROR(VLOOKUP($C1938,COTAÇÕES!$B:$I,2,0),(VLOOKUP($C1938,'INSUMO SINAPI - SP'!$C:$F,2,0)))))</f>
        <v>CABO DE COBRE FLEXÍVEL ISOLADO, 1,5 MM², ANTI-CHAMA 450/750 V, PARA CIRCUITOS TERMINAIS - FORNECIMENTO E INSTALAÇÃO. AF_03/2023</v>
      </c>
      <c r="F1938" s="510" t="str">
        <f>IF($C1938="",IFERROR(VLOOKUP($B1938,SERVIÇOS!$B:$G,3,0),IFERROR(VLOOKUP($B1938,$D:$K,3,0),"")),IFERROR(VLOOKUP($C1938,INSUMOS!$A:$D,3,0),IFERROR(VLOOKUP($C1938,COTAÇÕES!$B:$I,3,0),(VLOOKUP($C1938,'INSUMO SINAPI - SP'!$C:$F,3,0)))))</f>
        <v>M</v>
      </c>
      <c r="G1938" s="511">
        <v>1.1408677021960401</v>
      </c>
      <c r="H1938" s="512">
        <f>IF($C1938="",IFERROR(VLOOKUP($B1938,SERVIÇOS!$B:$G,6,0),IFERROR(VLOOKUP($B1938,$D:$K,8,0),"")),IFERROR(VLOOKUP($C1938,INSUMOS!$A:$D,4,0),IFERROR(VLOOKUP($C1938,COTAÇÕES!$B:$I,7,0),(VLOOKUP($C1938,'INSUMO SINAPI - SP'!$C:$F,4,0)))))</f>
        <v>3.34</v>
      </c>
      <c r="I1938" s="513">
        <f>TRUNC(IF($C1938="",IFERROR(VLOOKUP($B1938,SERVIÇOS!$B:$G,4,0),IFERROR(VLOOKUP($B1938,$D:$K,6,0),)),IFERROR(VLOOKUP($C1938,INSUMOS!$A:$D,4,0),IFERROR(VLOOKUP($C1938,COTAÇÕES!$B:$I,7,0),(VLOOKUP($C1938,'INSUMO SINAPI - SP'!$C:$F,4,0)))))*$G1938,2)</f>
        <v>2.5299999999999998</v>
      </c>
      <c r="J1938" s="513">
        <f>TRUNC(IF($C1938="",IFERROR(VLOOKUP($B1938,SERVIÇOS!$B:$G,5,0),IFERROR(VLOOKUP($B1938,$D:$K,7,0),)),0)*$G1938,2)</f>
        <v>1.27</v>
      </c>
      <c r="K1938" s="514">
        <f t="shared" si="72"/>
        <v>3.8</v>
      </c>
      <c r="L1938" s="515"/>
      <c r="M1938" s="471"/>
      <c r="N1938" s="516"/>
      <c r="Q1938" s="472"/>
      <c r="R1938" s="472"/>
      <c r="S1938" s="472"/>
      <c r="T1938" s="472"/>
      <c r="U1938" s="472"/>
      <c r="V1938" s="472"/>
      <c r="W1938" s="472"/>
      <c r="X1938" s="472"/>
      <c r="Y1938" s="472"/>
    </row>
    <row r="1939" spans="1:25" ht="24" x14ac:dyDescent="0.25">
      <c r="A1939" s="463"/>
      <c r="B1939" s="506">
        <v>91867</v>
      </c>
      <c r="C1939" s="507"/>
      <c r="D1939" s="508"/>
      <c r="E1939" s="509" t="str">
        <f>IF($C1939="",IFERROR(VLOOKUP($B1939,SERVIÇOS!$B:$G,2,0),IFERROR(VLOOKUP($B1939,$D:$K,2,0),"")),IFERROR(VLOOKUP($C1939,INSUMOS!$A:$D,2,0),IFERROR(VLOOKUP($C1939,COTAÇÕES!$B:$I,2,0),(VLOOKUP($C1939,'INSUMO SINAPI - SP'!$C:$F,2,0)))))</f>
        <v>ELETRODUTO RÍGIDO ROSCÁVEL, PVC, DN 25 MM (3/4"), PARA CIRCUITOS TERMINAIS, INSTALADO EM LAJE - FORNECIMENTO E INSTALAÇÃO. AF_03/2023</v>
      </c>
      <c r="F1939" s="510" t="str">
        <f>IF($C1939="",IFERROR(VLOOKUP($B1939,SERVIÇOS!$B:$G,3,0),IFERROR(VLOOKUP($B1939,$D:$K,3,0),"")),IFERROR(VLOOKUP($C1939,INSUMOS!$A:$D,3,0),IFERROR(VLOOKUP($C1939,COTAÇÕES!$B:$I,3,0),(VLOOKUP($C1939,'INSUMO SINAPI - SP'!$C:$F,3,0)))))</f>
        <v>M</v>
      </c>
      <c r="G1939" s="511">
        <v>0.57043385109801803</v>
      </c>
      <c r="H1939" s="512">
        <f>IF($C1939="",IFERROR(VLOOKUP($B1939,SERVIÇOS!$B:$G,6,0),IFERROR(VLOOKUP($B1939,$D:$K,8,0),"")),IFERROR(VLOOKUP($C1939,INSUMOS!$A:$D,4,0),IFERROR(VLOOKUP($C1939,COTAÇÕES!$B:$I,7,0),(VLOOKUP($C1939,'INSUMO SINAPI - SP'!$C:$F,4,0)))))</f>
        <v>14.02</v>
      </c>
      <c r="I1939" s="513">
        <f>TRUNC(IF($C1939="",IFERROR(VLOOKUP($B1939,SERVIÇOS!$B:$G,4,0),IFERROR(VLOOKUP($B1939,$D:$K,6,0),)),IFERROR(VLOOKUP($C1939,INSUMOS!$A:$D,4,0),IFERROR(VLOOKUP($C1939,COTAÇÕES!$B:$I,7,0),(VLOOKUP($C1939,'INSUMO SINAPI - SP'!$C:$F,4,0)))))*$G1939,2)</f>
        <v>5.34</v>
      </c>
      <c r="J1939" s="513">
        <f>TRUNC(IF($C1939="",IFERROR(VLOOKUP($B1939,SERVIÇOS!$B:$G,5,0),IFERROR(VLOOKUP($B1939,$D:$K,7,0),)),0)*$G1939,2)</f>
        <v>2.65</v>
      </c>
      <c r="K1939" s="514">
        <f t="shared" si="72"/>
        <v>7.99</v>
      </c>
      <c r="L1939" s="515"/>
      <c r="M1939" s="471"/>
      <c r="N1939" s="516"/>
      <c r="Q1939" s="472"/>
      <c r="R1939" s="472"/>
      <c r="S1939" s="472"/>
      <c r="T1939" s="472"/>
      <c r="U1939" s="472"/>
      <c r="V1939" s="472"/>
      <c r="W1939" s="472"/>
      <c r="X1939" s="472"/>
      <c r="Y1939" s="472"/>
    </row>
    <row r="1940" spans="1:25" ht="24" x14ac:dyDescent="0.25">
      <c r="A1940" s="463"/>
      <c r="B1940" s="506">
        <v>103782</v>
      </c>
      <c r="C1940" s="507"/>
      <c r="D1940" s="508"/>
      <c r="E1940" s="509" t="str">
        <f>IF($C1940="",IFERROR(VLOOKUP($B1940,SERVIÇOS!$B:$G,2,0),IFERROR(VLOOKUP($B1940,$D:$K,2,0),"")),IFERROR(VLOOKUP($C1940,INSUMOS!$A:$D,2,0),IFERROR(VLOOKUP($C1940,COTAÇÕES!$B:$I,2,0),(VLOOKUP($C1940,'INSUMO SINAPI - SP'!$C:$F,2,0)))))</f>
        <v>LUMINÁRIA TIPO PLAFON CIRCULAR, DE SOBREPOR, COM LED DE 12/13 W - FORNECIMENTO E INSTALAÇÃO. AF_09/2024</v>
      </c>
      <c r="F1940" s="510" t="str">
        <f>IF($C1940="",IFERROR(VLOOKUP($B1940,SERVIÇOS!$B:$G,3,0),IFERROR(VLOOKUP($B1940,$D:$K,3,0),"")),IFERROR(VLOOKUP($C1940,INSUMOS!$A:$D,3,0),IFERROR(VLOOKUP($C1940,COTAÇÕES!$B:$I,3,0),(VLOOKUP($C1940,'INSUMO SINAPI - SP'!$C:$F,3,0)))))</f>
        <v>UN</v>
      </c>
      <c r="G1940" s="511">
        <v>0.13390465988216399</v>
      </c>
      <c r="H1940" s="512">
        <f>IF($C1940="",IFERROR(VLOOKUP($B1940,SERVIÇOS!$B:$G,6,0),IFERROR(VLOOKUP($B1940,$D:$K,8,0),"")),IFERROR(VLOOKUP($C1940,INSUMOS!$A:$D,4,0),IFERROR(VLOOKUP($C1940,COTAÇÕES!$B:$I,7,0),(VLOOKUP($C1940,'INSUMO SINAPI - SP'!$C:$F,4,0)))))</f>
        <v>35.11</v>
      </c>
      <c r="I1940" s="513">
        <f>TRUNC(IF($C1940="",IFERROR(VLOOKUP($B1940,SERVIÇOS!$B:$G,4,0),IFERROR(VLOOKUP($B1940,$D:$K,6,0),)),IFERROR(VLOOKUP($C1940,INSUMOS!$A:$D,4,0),IFERROR(VLOOKUP($C1940,COTAÇÕES!$B:$I,7,0),(VLOOKUP($C1940,'INSUMO SINAPI - SP'!$C:$F,4,0)))))*$G1940,2)</f>
        <v>2.4500000000000002</v>
      </c>
      <c r="J1940" s="513">
        <f>TRUNC(IF($C1940="",IFERROR(VLOOKUP($B1940,SERVIÇOS!$B:$G,5,0),IFERROR(VLOOKUP($B1940,$D:$K,7,0),)),0)*$G1940,2)</f>
        <v>2.2400000000000002</v>
      </c>
      <c r="K1940" s="514">
        <f t="shared" si="72"/>
        <v>4.6900000000000004</v>
      </c>
      <c r="L1940" s="515"/>
      <c r="M1940" s="471"/>
      <c r="N1940" s="516"/>
      <c r="Q1940" s="472"/>
      <c r="R1940" s="472"/>
      <c r="S1940" s="472"/>
      <c r="T1940" s="472"/>
      <c r="U1940" s="472"/>
      <c r="V1940" s="472"/>
      <c r="W1940" s="472"/>
      <c r="X1940" s="472"/>
      <c r="Y1940" s="472"/>
    </row>
    <row r="1941" spans="1:25" ht="24" x14ac:dyDescent="0.25">
      <c r="A1941" s="463"/>
      <c r="B1941" s="506">
        <v>95777</v>
      </c>
      <c r="C1941" s="507"/>
      <c r="D1941" s="508"/>
      <c r="E1941" s="509" t="str">
        <f>IF($C1941="",IFERROR(VLOOKUP($B1941,SERVIÇOS!$B:$G,2,0),IFERROR(VLOOKUP($B1941,$D:$K,2,0),"")),IFERROR(VLOOKUP($C1941,INSUMOS!$A:$D,2,0),IFERROR(VLOOKUP($C1941,COTAÇÕES!$B:$I,2,0),(VLOOKUP($C1941,'INSUMO SINAPI - SP'!$C:$F,2,0)))))</f>
        <v>CONDULETE DE ALUMÍNIO, TIPO B, PARA ELETRODUTO DE AÇO GALVANIZADO DN 20 MM (3/4''), APARENTE - FORNECIMENTO E INSTALAÇÃO. AF_10/2022</v>
      </c>
      <c r="F1941" s="510" t="str">
        <f>IF($C1941="",IFERROR(VLOOKUP($B1941,SERVIÇOS!$B:$G,3,0),IFERROR(VLOOKUP($B1941,$D:$K,3,0),"")),IFERROR(VLOOKUP($C1941,INSUMOS!$A:$D,3,0),IFERROR(VLOOKUP($C1941,COTAÇÕES!$B:$I,3,0),(VLOOKUP($C1941,'INSUMO SINAPI - SP'!$C:$F,3,0)))))</f>
        <v>UN</v>
      </c>
      <c r="G1941" s="511">
        <v>0.10712372790573101</v>
      </c>
      <c r="H1941" s="512">
        <f>IF($C1941="",IFERROR(VLOOKUP($B1941,SERVIÇOS!$B:$G,6,0),IFERROR(VLOOKUP($B1941,$D:$K,8,0),"")),IFERROR(VLOOKUP($C1941,INSUMOS!$A:$D,4,0),IFERROR(VLOOKUP($C1941,COTAÇÕES!$B:$I,7,0),(VLOOKUP($C1941,'INSUMO SINAPI - SP'!$C:$F,4,0)))))</f>
        <v>31.31</v>
      </c>
      <c r="I1941" s="513">
        <f>TRUNC(IF($C1941="",IFERROR(VLOOKUP($B1941,SERVIÇOS!$B:$G,4,0),IFERROR(VLOOKUP($B1941,$D:$K,6,0),)),IFERROR(VLOOKUP($C1941,INSUMOS!$A:$D,4,0),IFERROR(VLOOKUP($C1941,COTAÇÕES!$B:$I,7,0),(VLOOKUP($C1941,'INSUMO SINAPI - SP'!$C:$F,4,0)))))*$G1941,2)</f>
        <v>2.13</v>
      </c>
      <c r="J1941" s="513">
        <f>TRUNC(IF($C1941="",IFERROR(VLOOKUP($B1941,SERVIÇOS!$B:$G,5,0),IFERROR(VLOOKUP($B1941,$D:$K,7,0),)),0)*$G1941,2)</f>
        <v>1.22</v>
      </c>
      <c r="K1941" s="514">
        <f t="shared" si="72"/>
        <v>3.3499999999999996</v>
      </c>
      <c r="L1941" s="515"/>
      <c r="M1941" s="471"/>
      <c r="N1941" s="516"/>
      <c r="Q1941" s="472"/>
      <c r="R1941" s="472"/>
      <c r="S1941" s="472"/>
      <c r="T1941" s="472"/>
      <c r="U1941" s="472"/>
      <c r="V1941" s="472"/>
      <c r="W1941" s="472"/>
      <c r="X1941" s="472"/>
      <c r="Y1941" s="472"/>
    </row>
    <row r="1942" spans="1:25" ht="24" x14ac:dyDescent="0.25">
      <c r="A1942" s="463"/>
      <c r="B1942" s="506">
        <v>91952</v>
      </c>
      <c r="C1942" s="507"/>
      <c r="D1942" s="508"/>
      <c r="E1942" s="509" t="str">
        <f>IF($C1942="",IFERROR(VLOOKUP($B1942,SERVIÇOS!$B:$G,2,0),IFERROR(VLOOKUP($B1942,$D:$K,2,0),"")),IFERROR(VLOOKUP($C1942,INSUMOS!$A:$D,2,0),IFERROR(VLOOKUP($C1942,COTAÇÕES!$B:$I,2,0),(VLOOKUP($C1942,'INSUMO SINAPI - SP'!$C:$F,2,0)))))</f>
        <v>INTERRUPTOR SIMPLES (1 MÓDULO), 10A/250V, SEM SUPORTE E SEM PLACA - FORNECIMENTO E INSTALAÇÃO. AF_03/2023</v>
      </c>
      <c r="F1942" s="510" t="str">
        <f>IF($C1942="",IFERROR(VLOOKUP($B1942,SERVIÇOS!$B:$G,3,0),IFERROR(VLOOKUP($B1942,$D:$K,3,0),"")),IFERROR(VLOOKUP($C1942,INSUMOS!$A:$D,3,0),IFERROR(VLOOKUP($C1942,COTAÇÕES!$B:$I,3,0),(VLOOKUP($C1942,'INSUMO SINAPI - SP'!$C:$F,3,0)))))</f>
        <v>UN</v>
      </c>
      <c r="G1942" s="511">
        <v>2.67809319764328E-2</v>
      </c>
      <c r="H1942" s="512">
        <f>IF($C1942="",IFERROR(VLOOKUP($B1942,SERVIÇOS!$B:$G,6,0),IFERROR(VLOOKUP($B1942,$D:$K,8,0),"")),IFERROR(VLOOKUP($C1942,INSUMOS!$A:$D,4,0),IFERROR(VLOOKUP($C1942,COTAÇÕES!$B:$I,7,0),(VLOOKUP($C1942,'INSUMO SINAPI - SP'!$C:$F,4,0)))))</f>
        <v>23.41</v>
      </c>
      <c r="I1942" s="513">
        <f>TRUNC(IF($C1942="",IFERROR(VLOOKUP($B1942,SERVIÇOS!$B:$G,4,0),IFERROR(VLOOKUP($B1942,$D:$K,6,0),)),IFERROR(VLOOKUP($C1942,INSUMOS!$A:$D,4,0),IFERROR(VLOOKUP($C1942,COTAÇÕES!$B:$I,7,0),(VLOOKUP($C1942,'INSUMO SINAPI - SP'!$C:$F,4,0)))))*$G1942,2)</f>
        <v>0.31</v>
      </c>
      <c r="J1942" s="513">
        <f>TRUNC(IF($C1942="",IFERROR(VLOOKUP($B1942,SERVIÇOS!$B:$G,5,0),IFERROR(VLOOKUP($B1942,$D:$K,7,0),)),0)*$G1942,2)</f>
        <v>0.3</v>
      </c>
      <c r="K1942" s="514">
        <f t="shared" si="72"/>
        <v>0.61</v>
      </c>
      <c r="L1942" s="515"/>
      <c r="M1942" s="471"/>
      <c r="N1942" s="516"/>
      <c r="Q1942" s="472"/>
      <c r="R1942" s="472"/>
      <c r="S1942" s="472"/>
      <c r="T1942" s="472"/>
      <c r="U1942" s="472"/>
      <c r="V1942" s="472"/>
      <c r="W1942" s="472"/>
      <c r="X1942" s="472"/>
      <c r="Y1942" s="472"/>
    </row>
    <row r="1943" spans="1:25" ht="24" x14ac:dyDescent="0.25">
      <c r="A1943" s="463"/>
      <c r="B1943" s="506">
        <v>91996</v>
      </c>
      <c r="C1943" s="507"/>
      <c r="D1943" s="508"/>
      <c r="E1943" s="509" t="str">
        <f>IF($C1943="",IFERROR(VLOOKUP($B1943,SERVIÇOS!$B:$G,2,0),IFERROR(VLOOKUP($B1943,$D:$K,2,0),"")),IFERROR(VLOOKUP($C1943,INSUMOS!$A:$D,2,0),IFERROR(VLOOKUP($C1943,COTAÇÕES!$B:$I,2,0),(VLOOKUP($C1943,'INSUMO SINAPI - SP'!$C:$F,2,0)))))</f>
        <v>TOMADA MÉDIA DE EMBUTIR (1 MÓDULO), 2P+T 10 A, INCLUINDO SUPORTE E PLACA - FORNECIMENTO E INSTALAÇÃO. AF_03/2023</v>
      </c>
      <c r="F1943" s="510" t="str">
        <f>IF($C1943="",IFERROR(VLOOKUP($B1943,SERVIÇOS!$B:$G,3,0),IFERROR(VLOOKUP($B1943,$D:$K,3,0),"")),IFERROR(VLOOKUP($C1943,INSUMOS!$A:$D,3,0),IFERROR(VLOOKUP($C1943,COTAÇÕES!$B:$I,3,0),(VLOOKUP($C1943,'INSUMO SINAPI - SP'!$C:$F,3,0)))))</f>
        <v>UN</v>
      </c>
      <c r="G1943" s="511">
        <v>0.10712372790573101</v>
      </c>
      <c r="H1943" s="512">
        <f>IF($C1943="",IFERROR(VLOOKUP($B1943,SERVIÇOS!$B:$G,6,0),IFERROR(VLOOKUP($B1943,$D:$K,8,0),"")),IFERROR(VLOOKUP($C1943,INSUMOS!$A:$D,4,0),IFERROR(VLOOKUP($C1943,COTAÇÕES!$B:$I,7,0),(VLOOKUP($C1943,'INSUMO SINAPI - SP'!$C:$F,4,0)))))</f>
        <v>43.87</v>
      </c>
      <c r="I1943" s="513">
        <f>TRUNC(IF($C1943="",IFERROR(VLOOKUP($B1943,SERVIÇOS!$B:$G,4,0),IFERROR(VLOOKUP($B1943,$D:$K,6,0),)),IFERROR(VLOOKUP($C1943,INSUMOS!$A:$D,4,0),IFERROR(VLOOKUP($C1943,COTAÇÕES!$B:$I,7,0),(VLOOKUP($C1943,'INSUMO SINAPI - SP'!$C:$F,4,0)))))*$G1943,2)</f>
        <v>2.33</v>
      </c>
      <c r="J1943" s="513">
        <f>TRUNC(IF($C1943="",IFERROR(VLOOKUP($B1943,SERVIÇOS!$B:$G,5,0),IFERROR(VLOOKUP($B1943,$D:$K,7,0),)),0)*$G1943,2)</f>
        <v>2.36</v>
      </c>
      <c r="K1943" s="514">
        <f t="shared" si="72"/>
        <v>4.6899999999999995</v>
      </c>
      <c r="L1943" s="515"/>
      <c r="M1943" s="471"/>
      <c r="N1943" s="516"/>
      <c r="Q1943" s="472"/>
      <c r="R1943" s="472"/>
      <c r="S1943" s="472"/>
      <c r="T1943" s="472"/>
      <c r="U1943" s="472"/>
      <c r="V1943" s="472"/>
      <c r="W1943" s="472"/>
      <c r="X1943" s="472"/>
      <c r="Y1943" s="472"/>
    </row>
    <row r="1944" spans="1:25" ht="24" x14ac:dyDescent="0.25">
      <c r="A1944" s="463"/>
      <c r="B1944" s="506">
        <v>94216</v>
      </c>
      <c r="C1944" s="507"/>
      <c r="D1944" s="508"/>
      <c r="E1944" s="509" t="str">
        <f>IF($C1944="",IFERROR(VLOOKUP($B1944,SERVIÇOS!$B:$G,2,0),IFERROR(VLOOKUP($B1944,$D:$K,2,0),"")),IFERROR(VLOOKUP($C1944,INSUMOS!$A:$D,2,0),IFERROR(VLOOKUP($C1944,COTAÇÕES!$B:$I,2,0),(VLOOKUP($C1944,'INSUMO SINAPI - SP'!$C:$F,2,0)))))</f>
        <v>TELHAMENTO COM TELHA METÁLICA TERMOACÚSTICA E = 30 MM, COM ATÉ 2 ÁGUAS, INCLUSO IÇAMENTO. AF_07/2019</v>
      </c>
      <c r="F1944" s="510" t="str">
        <f>IF($C1944="",IFERROR(VLOOKUP($B1944,SERVIÇOS!$B:$G,3,0),IFERROR(VLOOKUP($B1944,$D:$K,3,0),"")),IFERROR(VLOOKUP($C1944,INSUMOS!$A:$D,3,0),IFERROR(VLOOKUP($C1944,COTAÇÕES!$B:$I,3,0),(VLOOKUP($C1944,'INSUMO SINAPI - SP'!$C:$F,3,0)))))</f>
        <v>M2</v>
      </c>
      <c r="G1944" s="511">
        <v>1.21906802356722</v>
      </c>
      <c r="H1944" s="512">
        <f>IF($C1944="",IFERROR(VLOOKUP($B1944,SERVIÇOS!$B:$G,6,0),IFERROR(VLOOKUP($B1944,$D:$K,8,0),"")),IFERROR(VLOOKUP($C1944,INSUMOS!$A:$D,4,0),IFERROR(VLOOKUP($C1944,COTAÇÕES!$B:$I,7,0),(VLOOKUP($C1944,'INSUMO SINAPI - SP'!$C:$F,4,0)))))</f>
        <v>204.19</v>
      </c>
      <c r="I1944" s="513">
        <f>TRUNC(IF($C1944="",IFERROR(VLOOKUP($B1944,SERVIÇOS!$B:$G,4,0),IFERROR(VLOOKUP($B1944,$D:$K,6,0),)),IFERROR(VLOOKUP($C1944,INSUMOS!$A:$D,4,0),IFERROR(VLOOKUP($C1944,COTAÇÕES!$B:$I,7,0),(VLOOKUP($C1944,'INSUMO SINAPI - SP'!$C:$F,4,0)))))*$G1944,2)</f>
        <v>245.54</v>
      </c>
      <c r="J1944" s="513">
        <f>TRUNC(IF($C1944="",IFERROR(VLOOKUP($B1944,SERVIÇOS!$B:$G,5,0),IFERROR(VLOOKUP($B1944,$D:$K,7,0),)),0)*$G1944,2)</f>
        <v>3.37</v>
      </c>
      <c r="K1944" s="514">
        <f t="shared" si="72"/>
        <v>248.91</v>
      </c>
      <c r="L1944" s="515"/>
      <c r="M1944" s="471"/>
      <c r="N1944" s="516"/>
      <c r="Q1944" s="472"/>
      <c r="R1944" s="472"/>
      <c r="S1944" s="472"/>
      <c r="T1944" s="472"/>
      <c r="U1944" s="472"/>
      <c r="V1944" s="472"/>
      <c r="W1944" s="472"/>
      <c r="X1944" s="472"/>
      <c r="Y1944" s="472"/>
    </row>
    <row r="1945" spans="1:25" ht="36" x14ac:dyDescent="0.25">
      <c r="A1945" s="463"/>
      <c r="B1945" s="506">
        <v>92543</v>
      </c>
      <c r="C1945" s="507"/>
      <c r="D1945" s="508"/>
      <c r="E1945" s="509" t="str">
        <f>IF($C1945="",IFERROR(VLOOKUP($B1945,SERVIÇOS!$B:$G,2,0),IFERROR(VLOOKUP($B1945,$D:$K,2,0),"")),IFERROR(VLOOKUP($C1945,INSUMOS!$A:$D,2,0),IFERROR(VLOOKUP($C1945,COTAÇÕES!$B:$I,2,0),(VLOOKUP($C1945,'INSUMO SINAPI - SP'!$C:$F,2,0)))))</f>
        <v>TRAMA DE MADEIRA COMPOSTA POR TERÇAS PARA TELHADOS DE ATÉ 2 ÁGUAS PARA TELHA ONDULADA DE FIBROCIMENTO, METÁLICA, PLÁSTICA OU TERMOACÚSTICA, INCLUSO TRANSPORTE VERTICAL. AF_07/2019</v>
      </c>
      <c r="F1945" s="510" t="str">
        <f>IF($C1945="",IFERROR(VLOOKUP($B1945,SERVIÇOS!$B:$G,3,0),IFERROR(VLOOKUP($B1945,$D:$K,3,0),"")),IFERROR(VLOOKUP($C1945,INSUMOS!$A:$D,3,0),IFERROR(VLOOKUP($C1945,COTAÇÕES!$B:$I,3,0),(VLOOKUP($C1945,'INSUMO SINAPI - SP'!$C:$F,3,0)))))</f>
        <v>M2</v>
      </c>
      <c r="G1945" s="511">
        <v>1.21906802356722</v>
      </c>
      <c r="H1945" s="512">
        <f>IF($C1945="",IFERROR(VLOOKUP($B1945,SERVIÇOS!$B:$G,6,0),IFERROR(VLOOKUP($B1945,$D:$K,8,0),"")),IFERROR(VLOOKUP($C1945,INSUMOS!$A:$D,4,0),IFERROR(VLOOKUP($C1945,COTAÇÕES!$B:$I,7,0),(VLOOKUP($C1945,'INSUMO SINAPI - SP'!$C:$F,4,0)))))</f>
        <v>27.73</v>
      </c>
      <c r="I1945" s="513">
        <f>TRUNC(IF($C1945="",IFERROR(VLOOKUP($B1945,SERVIÇOS!$B:$G,4,0),IFERROR(VLOOKUP($B1945,$D:$K,6,0),)),IFERROR(VLOOKUP($C1945,INSUMOS!$A:$D,4,0),IFERROR(VLOOKUP($C1945,COTAÇÕES!$B:$I,7,0),(VLOOKUP($C1945,'INSUMO SINAPI - SP'!$C:$F,4,0)))))*$G1945,2)</f>
        <v>27.88</v>
      </c>
      <c r="J1945" s="513">
        <f>TRUNC(IF($C1945="",IFERROR(VLOOKUP($B1945,SERVIÇOS!$B:$G,5,0),IFERROR(VLOOKUP($B1945,$D:$K,7,0),)),0)*$G1945,2)</f>
        <v>5.92</v>
      </c>
      <c r="K1945" s="514">
        <f t="shared" si="72"/>
        <v>33.799999999999997</v>
      </c>
      <c r="L1945" s="515"/>
      <c r="M1945" s="471"/>
      <c r="N1945" s="516"/>
      <c r="Q1945" s="472"/>
      <c r="R1945" s="472"/>
      <c r="S1945" s="472"/>
      <c r="T1945" s="472"/>
      <c r="U1945" s="472"/>
      <c r="V1945" s="472"/>
      <c r="W1945" s="472"/>
      <c r="X1945" s="472"/>
      <c r="Y1945" s="472"/>
    </row>
    <row r="1946" spans="1:25" ht="36" x14ac:dyDescent="0.25">
      <c r="A1946" s="463"/>
      <c r="B1946" s="498"/>
      <c r="C1946" s="498"/>
      <c r="D1946" s="499" t="s">
        <v>11969</v>
      </c>
      <c r="E1946" s="500" t="s">
        <v>13515</v>
      </c>
      <c r="F1946" s="501" t="s">
        <v>823</v>
      </c>
      <c r="G1946" s="502"/>
      <c r="H1946" s="503"/>
      <c r="I1946" s="504">
        <f>SUM(I1947:I1957)</f>
        <v>12.14</v>
      </c>
      <c r="J1946" s="504">
        <f>SUM(J1947:J1957)</f>
        <v>0.63</v>
      </c>
      <c r="K1946" s="504">
        <f>+J1946+I1946</f>
        <v>12.770000000000001</v>
      </c>
      <c r="L1946" s="523" t="s">
        <v>13516</v>
      </c>
      <c r="M1946" s="471"/>
      <c r="Q1946" s="472"/>
      <c r="R1946" s="472"/>
      <c r="S1946" s="472"/>
      <c r="T1946" s="472"/>
      <c r="U1946" s="472"/>
      <c r="V1946" s="472"/>
      <c r="W1946" s="472"/>
      <c r="X1946" s="472"/>
      <c r="Y1946" s="472"/>
    </row>
    <row r="1947" spans="1:25" x14ac:dyDescent="0.25">
      <c r="A1947" s="463"/>
      <c r="B1947" s="507">
        <v>88240</v>
      </c>
      <c r="C1947" s="507"/>
      <c r="D1947" s="508"/>
      <c r="E1947" s="509" t="str">
        <f>IF($C1947="",IFERROR(VLOOKUP($B1947,SERVIÇOS!$B:$G,2,0),IFERROR(VLOOKUP($B1947,$D:$K,2,0),"")),IFERROR(VLOOKUP($C1947,INSUMOS!$A:$D,2,0),IFERROR(VLOOKUP($C1947,COTAÇÕES!$B:$I,2,0),(VLOOKUP($C1947,'INSUMO SINAPI - SP'!$C:$F,2,0)))))</f>
        <v>AJUDANTE DE ESTRUTURA METÁLICA COM ENCARGOS COMPLEMENTARES</v>
      </c>
      <c r="F1947" s="510" t="str">
        <f>IF($C1947="",IFERROR(VLOOKUP($B1947,SERVIÇOS!$B:$G,3,0),IFERROR(VLOOKUP($B1947,$D:$K,3,0),"")),IFERROR(VLOOKUP($C1947,INSUMOS!$A:$D,3,0),IFERROR(VLOOKUP($C1947,COTAÇÕES!$B:$I,3,0),(VLOOKUP($C1947,'INSUMO SINAPI - SP'!$C:$F,3,0)))))</f>
        <v>H</v>
      </c>
      <c r="G1947" s="511">
        <v>8.3620000000000005E-4</v>
      </c>
      <c r="H1947" s="512">
        <f>IF($C1947="",IFERROR(VLOOKUP($B1947,SERVIÇOS!$B:$G,6,0),IFERROR(VLOOKUP($B1947,$D:$K,8,0),"")),IFERROR(VLOOKUP($C1947,INSUMOS!$A:$D,4,0),IFERROR(VLOOKUP($C1947,COTAÇÕES!$B:$I,7,0),(VLOOKUP($C1947,'INSUMO SINAPI - SP'!$C:$F,4,0)))))</f>
        <v>29.04</v>
      </c>
      <c r="I1947" s="513">
        <f>TRUNC(IF($C1947="",IFERROR(VLOOKUP($B1947,SERVIÇOS!$B:$G,4,0),IFERROR(VLOOKUP($B1947,$D:$K,6,0),)),IFERROR(VLOOKUP($C1947,INSUMOS!$A:$D,4,0),IFERROR(VLOOKUP($C1947,COTAÇÕES!$B:$I,7,0),(VLOOKUP($C1947,'INSUMO SINAPI - SP'!$C:$F,4,0)))))*$G1947,2)</f>
        <v>0</v>
      </c>
      <c r="J1947" s="513">
        <f>TRUNC(IF($C1947="",IFERROR(VLOOKUP($B1947,SERVIÇOS!$B:$G,5,0),IFERROR(VLOOKUP($B1947,$D:$K,7,0),)),0)*$G1947,2)</f>
        <v>0.01</v>
      </c>
      <c r="K1947" s="514">
        <f t="shared" ref="K1947:K1957" si="73">I1947+J1947</f>
        <v>0.01</v>
      </c>
      <c r="L1947" s="515"/>
      <c r="M1947" s="471"/>
      <c r="Q1947" s="472"/>
      <c r="R1947" s="472"/>
      <c r="S1947" s="472"/>
      <c r="T1947" s="472"/>
      <c r="U1947" s="472"/>
      <c r="V1947" s="472"/>
      <c r="W1947" s="472"/>
      <c r="X1947" s="472"/>
      <c r="Y1947" s="472"/>
    </row>
    <row r="1948" spans="1:25" ht="24" x14ac:dyDescent="0.25">
      <c r="A1948" s="463"/>
      <c r="B1948" s="507">
        <v>93288</v>
      </c>
      <c r="C1948" s="507"/>
      <c r="D1948" s="508"/>
      <c r="E1948" s="509" t="str">
        <f>IF($C1948="",IFERROR(VLOOKUP($B1948,SERVIÇOS!$B:$G,2,0),IFERROR(VLOOKUP($B1948,$D:$K,2,0),"")),IFERROR(VLOOKUP($C1948,INSUMOS!$A:$D,2,0),IFERROR(VLOOKUP($C1948,COTAÇÕES!$B:$I,2,0),(VLOOKUP($C1948,'INSUMO SINAPI - SP'!$C:$F,2,0)))))</f>
        <v>GUINDASTE HIDRÁULICO AUTOPROPELIDO, COM LANÇA TELESCÓPICA 40 M, CAPACIDADE MÁXIMA 60 T, POTÊNCIA 260 KW - CHI DIURNO. AF_03/2016</v>
      </c>
      <c r="F1948" s="510" t="str">
        <f>IF($C1948="",IFERROR(VLOOKUP($B1948,SERVIÇOS!$B:$G,3,0),IFERROR(VLOOKUP($B1948,$D:$K,3,0),"")),IFERROR(VLOOKUP($C1948,INSUMOS!$A:$D,3,0),IFERROR(VLOOKUP($C1948,COTAÇÕES!$B:$I,3,0),(VLOOKUP($C1948,'INSUMO SINAPI - SP'!$C:$F,3,0)))))</f>
        <v>CHI</v>
      </c>
      <c r="G1948" s="511">
        <v>5.2070000000000003E-4</v>
      </c>
      <c r="H1948" s="512">
        <f>IF($C1948="",IFERROR(VLOOKUP($B1948,SERVIÇOS!$B:$G,6,0),IFERROR(VLOOKUP($B1948,$D:$K,8,0),"")),IFERROR(VLOOKUP($C1948,INSUMOS!$A:$D,4,0),IFERROR(VLOOKUP($C1948,COTAÇÕES!$B:$I,7,0),(VLOOKUP($C1948,'INSUMO SINAPI - SP'!$C:$F,4,0)))))</f>
        <v>193.24</v>
      </c>
      <c r="I1948" s="513">
        <f>TRUNC(IF($C1948="",IFERROR(VLOOKUP($B1948,SERVIÇOS!$B:$G,4,0),IFERROR(VLOOKUP($B1948,$D:$K,6,0),)),IFERROR(VLOOKUP($C1948,INSUMOS!$A:$D,4,0),IFERROR(VLOOKUP($C1948,COTAÇÕES!$B:$I,7,0),(VLOOKUP($C1948,'INSUMO SINAPI - SP'!$C:$F,4,0)))))*$G1948,2)</f>
        <v>0.08</v>
      </c>
      <c r="J1948" s="513">
        <f>TRUNC(IF($C1948="",IFERROR(VLOOKUP($B1948,SERVIÇOS!$B:$G,5,0),IFERROR(VLOOKUP($B1948,$D:$K,7,0),)),0)*$G1948,2)</f>
        <v>0.01</v>
      </c>
      <c r="K1948" s="514">
        <f t="shared" si="73"/>
        <v>0.09</v>
      </c>
      <c r="L1948" s="515"/>
      <c r="M1948" s="471"/>
      <c r="Q1948" s="472"/>
      <c r="R1948" s="472"/>
      <c r="S1948" s="472"/>
      <c r="T1948" s="472"/>
      <c r="U1948" s="472"/>
      <c r="V1948" s="472"/>
      <c r="W1948" s="472"/>
      <c r="X1948" s="472"/>
      <c r="Y1948" s="472"/>
    </row>
    <row r="1949" spans="1:25" ht="24" x14ac:dyDescent="0.25">
      <c r="A1949" s="463"/>
      <c r="B1949" s="507">
        <v>93287</v>
      </c>
      <c r="C1949" s="507"/>
      <c r="D1949" s="508"/>
      <c r="E1949" s="509" t="str">
        <f>IF($C1949="",IFERROR(VLOOKUP($B1949,SERVIÇOS!$B:$G,2,0),IFERROR(VLOOKUP($B1949,$D:$K,2,0),"")),IFERROR(VLOOKUP($C1949,INSUMOS!$A:$D,2,0),IFERROR(VLOOKUP($C1949,COTAÇÕES!$B:$I,2,0),(VLOOKUP($C1949,'INSUMO SINAPI - SP'!$C:$F,2,0)))))</f>
        <v>GUINDASTE HIDRÁULICO AUTOPROPELIDO, COM LANÇA TELESCÓPICA 40 M, CAPACIDADE MÁXIMA 60 T, POTÊNCIA 260 KW - CHP DIURNO. AF_03/2016</v>
      </c>
      <c r="F1949" s="510" t="str">
        <f>IF($C1949="",IFERROR(VLOOKUP($B1949,SERVIÇOS!$B:$G,3,0),IFERROR(VLOOKUP($B1949,$D:$K,3,0),"")),IFERROR(VLOOKUP($C1949,INSUMOS!$A:$D,3,0),IFERROR(VLOOKUP($C1949,COTAÇÕES!$B:$I,3,0),(VLOOKUP($C1949,'INSUMO SINAPI - SP'!$C:$F,3,0)))))</f>
        <v>CHP</v>
      </c>
      <c r="G1949" s="511">
        <v>6.6270000000000001E-4</v>
      </c>
      <c r="H1949" s="512">
        <f>IF($C1949="",IFERROR(VLOOKUP($B1949,SERVIÇOS!$B:$G,6,0),IFERROR(VLOOKUP($B1949,$D:$K,8,0),"")),IFERROR(VLOOKUP($C1949,INSUMOS!$A:$D,4,0),IFERROR(VLOOKUP($C1949,COTAÇÕES!$B:$I,7,0),(VLOOKUP($C1949,'INSUMO SINAPI - SP'!$C:$F,4,0)))))</f>
        <v>362.3</v>
      </c>
      <c r="I1949" s="513">
        <f>TRUNC(IF($C1949="",IFERROR(VLOOKUP($B1949,SERVIÇOS!$B:$G,4,0),IFERROR(VLOOKUP($B1949,$D:$K,6,0),)),IFERROR(VLOOKUP($C1949,INSUMOS!$A:$D,4,0),IFERROR(VLOOKUP($C1949,COTAÇÕES!$B:$I,7,0),(VLOOKUP($C1949,'INSUMO SINAPI - SP'!$C:$F,4,0)))))*$G1949,2)</f>
        <v>0.21</v>
      </c>
      <c r="J1949" s="513">
        <f>TRUNC(IF($C1949="",IFERROR(VLOOKUP($B1949,SERVIÇOS!$B:$G,5,0),IFERROR(VLOOKUP($B1949,$D:$K,7,0),)),0)*$G1949,2)</f>
        <v>0.02</v>
      </c>
      <c r="K1949" s="514">
        <f t="shared" si="73"/>
        <v>0.22999999999999998</v>
      </c>
      <c r="L1949" s="515"/>
      <c r="M1949" s="471"/>
      <c r="Q1949" s="472"/>
      <c r="R1949" s="472"/>
      <c r="S1949" s="472"/>
      <c r="T1949" s="472"/>
      <c r="U1949" s="472"/>
      <c r="V1949" s="472"/>
      <c r="W1949" s="472"/>
      <c r="X1949" s="472"/>
      <c r="Y1949" s="472"/>
    </row>
    <row r="1950" spans="1:25" x14ac:dyDescent="0.25">
      <c r="A1950" s="463"/>
      <c r="B1950" s="507">
        <v>100716</v>
      </c>
      <c r="C1950" s="507"/>
      <c r="D1950" s="508"/>
      <c r="E1950" s="509" t="str">
        <f>IF($C1950="",IFERROR(VLOOKUP($B1950,SERVIÇOS!$B:$G,2,0),IFERROR(VLOOKUP($B1950,$D:$K,2,0),"")),IFERROR(VLOOKUP($C1950,INSUMOS!$A:$D,2,0),IFERROR(VLOOKUP($C1950,COTAÇÕES!$B:$I,2,0),(VLOOKUP($C1950,'INSUMO SINAPI - SP'!$C:$F,2,0)))))</f>
        <v>JATEAMENTO ABRASIVO COM GRANALHA DE AÇO EM PERFIL METÁLICO EM FÁBRICA. AF_01/2020</v>
      </c>
      <c r="F1950" s="510" t="str">
        <f>IF($C1950="",IFERROR(VLOOKUP($B1950,SERVIÇOS!$B:$G,3,0),IFERROR(VLOOKUP($B1950,$D:$K,3,0),"")),IFERROR(VLOOKUP($C1950,INSUMOS!$A:$D,3,0),IFERROR(VLOOKUP($C1950,COTAÇÕES!$B:$I,3,0),(VLOOKUP($C1950,'INSUMO SINAPI - SP'!$C:$F,3,0)))))</f>
        <v>M2</v>
      </c>
      <c r="G1950" s="511">
        <v>7.8887499999999999E-2</v>
      </c>
      <c r="H1950" s="512">
        <f>IF($C1950="",IFERROR(VLOOKUP($B1950,SERVIÇOS!$B:$G,6,0),IFERROR(VLOOKUP($B1950,$D:$K,8,0),"")),IFERROR(VLOOKUP($C1950,INSUMOS!$A:$D,4,0),IFERROR(VLOOKUP($C1950,COTAÇÕES!$B:$I,7,0),(VLOOKUP($C1950,'INSUMO SINAPI - SP'!$C:$F,4,0)))))</f>
        <v>25.01</v>
      </c>
      <c r="I1950" s="513">
        <f>TRUNC(IF($C1950="",IFERROR(VLOOKUP($B1950,SERVIÇOS!$B:$G,4,0),IFERROR(VLOOKUP($B1950,$D:$K,6,0),)),IFERROR(VLOOKUP($C1950,INSUMOS!$A:$D,4,0),IFERROR(VLOOKUP($C1950,COTAÇÕES!$B:$I,7,0),(VLOOKUP($C1950,'INSUMO SINAPI - SP'!$C:$F,4,0)))))*$G1950,2)</f>
        <v>1.68</v>
      </c>
      <c r="J1950" s="513">
        <f>TRUNC(IF($C1950="",IFERROR(VLOOKUP($B1950,SERVIÇOS!$B:$G,5,0),IFERROR(VLOOKUP($B1950,$D:$K,7,0),)),0)*$G1950,2)</f>
        <v>0.28000000000000003</v>
      </c>
      <c r="K1950" s="514">
        <f t="shared" si="73"/>
        <v>1.96</v>
      </c>
      <c r="L1950" s="515"/>
      <c r="M1950" s="471"/>
      <c r="Q1950" s="472"/>
      <c r="R1950" s="472"/>
      <c r="S1950" s="472"/>
      <c r="T1950" s="472"/>
      <c r="U1950" s="472"/>
      <c r="V1950" s="472"/>
      <c r="W1950" s="472"/>
      <c r="X1950" s="472"/>
      <c r="Y1950" s="472"/>
    </row>
    <row r="1951" spans="1:25" x14ac:dyDescent="0.25">
      <c r="A1951" s="463"/>
      <c r="B1951" s="507">
        <v>88278</v>
      </c>
      <c r="C1951" s="507"/>
      <c r="D1951" s="508"/>
      <c r="E1951" s="509" t="str">
        <f>IF($C1951="",IFERROR(VLOOKUP($B1951,SERVIÇOS!$B:$G,2,0),IFERROR(VLOOKUP($B1951,$D:$K,2,0),"")),IFERROR(VLOOKUP($C1951,INSUMOS!$A:$D,2,0),IFERROR(VLOOKUP($C1951,COTAÇÕES!$B:$I,2,0),(VLOOKUP($C1951,'INSUMO SINAPI - SP'!$C:$F,2,0)))))</f>
        <v>MONTADOR DE ESTRUTURA METÁLICA COM ENCARGOS COMPLEMENTARES</v>
      </c>
      <c r="F1951" s="510" t="str">
        <f>IF($C1951="",IFERROR(VLOOKUP($B1951,SERVIÇOS!$B:$G,3,0),IFERROR(VLOOKUP($B1951,$D:$K,3,0),"")),IFERROR(VLOOKUP($C1951,INSUMOS!$A:$D,3,0),IFERROR(VLOOKUP($C1951,COTAÇÕES!$B:$I,3,0),(VLOOKUP($C1951,'INSUMO SINAPI - SP'!$C:$F,3,0)))))</f>
        <v>H</v>
      </c>
      <c r="G1951" s="511">
        <v>2.3666E-3</v>
      </c>
      <c r="H1951" s="512">
        <f>IF($C1951="",IFERROR(VLOOKUP($B1951,SERVIÇOS!$B:$G,6,0),IFERROR(VLOOKUP($B1951,$D:$K,8,0),"")),IFERROR(VLOOKUP($C1951,INSUMOS!$A:$D,4,0),IFERROR(VLOOKUP($C1951,COTAÇÕES!$B:$I,7,0),(VLOOKUP($C1951,'INSUMO SINAPI - SP'!$C:$F,4,0)))))</f>
        <v>32.22</v>
      </c>
      <c r="I1951" s="513">
        <f>TRUNC(IF($C1951="",IFERROR(VLOOKUP($B1951,SERVIÇOS!$B:$G,4,0),IFERROR(VLOOKUP($B1951,$D:$K,6,0),)),IFERROR(VLOOKUP($C1951,INSUMOS!$A:$D,4,0),IFERROR(VLOOKUP($C1951,COTAÇÕES!$B:$I,7,0),(VLOOKUP($C1951,'INSUMO SINAPI - SP'!$C:$F,4,0)))))*$G1951,2)</f>
        <v>0.01</v>
      </c>
      <c r="J1951" s="513">
        <f>TRUNC(IF($C1951="",IFERROR(VLOOKUP($B1951,SERVIÇOS!$B:$G,5,0),IFERROR(VLOOKUP($B1951,$D:$K,7,0),)),0)*$G1951,2)</f>
        <v>0.05</v>
      </c>
      <c r="K1951" s="514">
        <f t="shared" si="73"/>
        <v>6.0000000000000005E-2</v>
      </c>
      <c r="L1951" s="515"/>
      <c r="M1951" s="471"/>
      <c r="Q1951" s="472"/>
      <c r="R1951" s="472"/>
      <c r="S1951" s="472"/>
      <c r="T1951" s="472"/>
      <c r="U1951" s="472"/>
      <c r="V1951" s="472"/>
      <c r="W1951" s="472"/>
      <c r="X1951" s="472"/>
      <c r="Y1951" s="472"/>
    </row>
    <row r="1952" spans="1:25" ht="24" x14ac:dyDescent="0.25">
      <c r="A1952" s="463"/>
      <c r="B1952" s="507">
        <v>100719</v>
      </c>
      <c r="C1952" s="507"/>
      <c r="D1952" s="508"/>
      <c r="E1952" s="509" t="str">
        <f>IF($C1952="",IFERROR(VLOOKUP($B1952,SERVIÇOS!$B:$G,2,0),IFERROR(VLOOKUP($B1952,$D:$K,2,0),"")),IFERROR(VLOOKUP($C1952,INSUMOS!$A:$D,2,0),IFERROR(VLOOKUP($C1952,COTAÇÕES!$B:$I,2,0),(VLOOKUP($C1952,'INSUMO SINAPI - SP'!$C:$F,2,0)))))</f>
        <v>PINTURA COM TINTA ALQUÍDICA DE FUNDO (TIPO ZARCÃO) PULVERIZADA SOBRE PERFIL METÁLICO EXECUTADO EM FÁBRICA (POR DEMÃO). AF_01/2020_PE</v>
      </c>
      <c r="F1952" s="510" t="str">
        <f>IF($C1952="",IFERROR(VLOOKUP($B1952,SERVIÇOS!$B:$G,3,0),IFERROR(VLOOKUP($B1952,$D:$K,3,0),"")),IFERROR(VLOOKUP($C1952,INSUMOS!$A:$D,3,0),IFERROR(VLOOKUP($C1952,COTAÇÕES!$B:$I,3,0),(VLOOKUP($C1952,'INSUMO SINAPI - SP'!$C:$F,3,0)))))</f>
        <v>M2</v>
      </c>
      <c r="G1952" s="511">
        <v>7.8887499999999999E-2</v>
      </c>
      <c r="H1952" s="512">
        <f>IF($C1952="",IFERROR(VLOOKUP($B1952,SERVIÇOS!$B:$G,6,0),IFERROR(VLOOKUP($B1952,$D:$K,8,0),"")),IFERROR(VLOOKUP($C1952,INSUMOS!$A:$D,4,0),IFERROR(VLOOKUP($C1952,COTAÇÕES!$B:$I,7,0),(VLOOKUP($C1952,'INSUMO SINAPI - SP'!$C:$F,4,0)))))</f>
        <v>11.26</v>
      </c>
      <c r="I1952" s="513">
        <f>TRUNC(IF($C1952="",IFERROR(VLOOKUP($B1952,SERVIÇOS!$B:$G,4,0),IFERROR(VLOOKUP($B1952,$D:$K,6,0),)),IFERROR(VLOOKUP($C1952,INSUMOS!$A:$D,4,0),IFERROR(VLOOKUP($C1952,COTAÇÕES!$B:$I,7,0),(VLOOKUP($C1952,'INSUMO SINAPI - SP'!$C:$F,4,0)))))*$G1952,2)</f>
        <v>0.75</v>
      </c>
      <c r="J1952" s="513">
        <f>TRUNC(IF($C1952="",IFERROR(VLOOKUP($B1952,SERVIÇOS!$B:$G,5,0),IFERROR(VLOOKUP($B1952,$D:$K,7,0),)),0)*$G1952,2)</f>
        <v>0.13</v>
      </c>
      <c r="K1952" s="514">
        <f t="shared" si="73"/>
        <v>0.88</v>
      </c>
      <c r="L1952" s="515"/>
      <c r="M1952" s="471"/>
      <c r="Q1952" s="472"/>
      <c r="R1952" s="472"/>
      <c r="S1952" s="472"/>
      <c r="T1952" s="472"/>
      <c r="U1952" s="472"/>
      <c r="V1952" s="472"/>
      <c r="W1952" s="472"/>
      <c r="X1952" s="472"/>
      <c r="Y1952" s="472"/>
    </row>
    <row r="1953" spans="1:25" x14ac:dyDescent="0.25">
      <c r="A1953" s="463"/>
      <c r="B1953" s="507">
        <v>88317</v>
      </c>
      <c r="C1953" s="507"/>
      <c r="D1953" s="508"/>
      <c r="E1953" s="509" t="str">
        <f>IF($C1953="",IFERROR(VLOOKUP($B1953,SERVIÇOS!$B:$G,2,0),IFERROR(VLOOKUP($B1953,$D:$K,2,0),"")),IFERROR(VLOOKUP($C1953,INSUMOS!$A:$D,2,0),IFERROR(VLOOKUP($C1953,COTAÇÕES!$B:$I,2,0),(VLOOKUP($C1953,'INSUMO SINAPI - SP'!$C:$F,2,0)))))</f>
        <v>SOLDADOR COM ENCARGOS COMPLEMENTARES</v>
      </c>
      <c r="F1953" s="510" t="str">
        <f>IF($C1953="",IFERROR(VLOOKUP($B1953,SERVIÇOS!$B:$G,3,0),IFERROR(VLOOKUP($B1953,$D:$K,3,0),"")),IFERROR(VLOOKUP($C1953,INSUMOS!$A:$D,3,0),IFERROR(VLOOKUP($C1953,COTAÇÕES!$B:$I,3,0),(VLOOKUP($C1953,'INSUMO SINAPI - SP'!$C:$F,3,0)))))</f>
        <v>H</v>
      </c>
      <c r="G1953" s="511">
        <v>4.9857E-3</v>
      </c>
      <c r="H1953" s="512">
        <f>IF($C1953="",IFERROR(VLOOKUP($B1953,SERVIÇOS!$B:$G,6,0),IFERROR(VLOOKUP($B1953,$D:$K,8,0),"")),IFERROR(VLOOKUP($C1953,INSUMOS!$A:$D,4,0),IFERROR(VLOOKUP($C1953,COTAÇÕES!$B:$I,7,0),(VLOOKUP($C1953,'INSUMO SINAPI - SP'!$C:$F,4,0)))))</f>
        <v>37.979999999999997</v>
      </c>
      <c r="I1953" s="513">
        <f>TRUNC(IF($C1953="",IFERROR(VLOOKUP($B1953,SERVIÇOS!$B:$G,4,0),IFERROR(VLOOKUP($B1953,$D:$K,6,0),)),IFERROR(VLOOKUP($C1953,INSUMOS!$A:$D,4,0),IFERROR(VLOOKUP($C1953,COTAÇÕES!$B:$I,7,0),(VLOOKUP($C1953,'INSUMO SINAPI - SP'!$C:$F,4,0)))))*$G1953,2)</f>
        <v>0.05</v>
      </c>
      <c r="J1953" s="513">
        <f>TRUNC(IF($C1953="",IFERROR(VLOOKUP($B1953,SERVIÇOS!$B:$G,5,0),IFERROR(VLOOKUP($B1953,$D:$K,7,0),)),0)*$G1953,2)</f>
        <v>0.13</v>
      </c>
      <c r="K1953" s="514">
        <f t="shared" si="73"/>
        <v>0.18</v>
      </c>
      <c r="L1953" s="515"/>
      <c r="M1953" s="471"/>
      <c r="Q1953" s="472"/>
      <c r="R1953" s="472"/>
      <c r="S1953" s="472"/>
      <c r="T1953" s="472"/>
      <c r="U1953" s="472"/>
      <c r="V1953" s="472"/>
      <c r="W1953" s="472"/>
      <c r="X1953" s="472"/>
      <c r="Y1953" s="472"/>
    </row>
    <row r="1954" spans="1:25" x14ac:dyDescent="0.25">
      <c r="A1954" s="463"/>
      <c r="B1954" s="507"/>
      <c r="C1954" s="507" t="s">
        <v>13517</v>
      </c>
      <c r="D1954" s="508"/>
      <c r="E1954" s="509" t="str">
        <f>IF($C1954="",IFERROR(VLOOKUP($B1954,SERVIÇOS!$B:$G,2,0),IFERROR(VLOOKUP($B1954,$D:$K,2,0),"")),IFERROR(VLOOKUP($C1954,INSUMOS!$A:$D,2,0),IFERROR(VLOOKUP($C1954,COTAÇÕES!$B:$I,2,0),(VLOOKUP($C1954,'INSUMO SINAPI - SP'!$C:$F,2,0)))))</f>
        <v>CANTONEIRA ACO ABAS IGUAIS (QUALQUER BITOLA), ESPESSURA ENTRE 1/8" E 1/4"</v>
      </c>
      <c r="F1954" s="510" t="str">
        <f>IF($C1954="",IFERROR(VLOOKUP($B1954,SERVIÇOS!$B:$G,3,0),IFERROR(VLOOKUP($B1954,$D:$K,3,0),"")),IFERROR(VLOOKUP($C1954,INSUMOS!$A:$D,3,0),IFERROR(VLOOKUP($C1954,COTAÇÕES!$B:$I,3,0),(VLOOKUP($C1954,'INSUMO SINAPI - SP'!$C:$F,3,0)))))</f>
        <v>KG</v>
      </c>
      <c r="G1954" s="511">
        <v>0.51673250000000004</v>
      </c>
      <c r="H1954" s="512">
        <f>IF($C1954="",IFERROR(VLOOKUP($B1954,SERVIÇOS!$B:$G,6,0),IFERROR(VLOOKUP($B1954,$D:$K,8,0),"")),IFERROR(VLOOKUP($C1954,INSUMOS!$A:$D,4,0),IFERROR(VLOOKUP($C1954,COTAÇÕES!$B:$I,7,0),(VLOOKUP($C1954,'INSUMO SINAPI - SP'!$C:$F,4,0)))))</f>
        <v>8.02</v>
      </c>
      <c r="I1954" s="513">
        <f>TRUNC(IF($C1954="",IFERROR(VLOOKUP($B1954,SERVIÇOS!$B:$G,4,0),IFERROR(VLOOKUP($B1954,$D:$K,6,0),)),IFERROR(VLOOKUP($C1954,INSUMOS!$A:$D,4,0),IFERROR(VLOOKUP($C1954,COTAÇÕES!$B:$I,7,0),(VLOOKUP($C1954,'INSUMO SINAPI - SP'!$C:$F,4,0)))))*$G1954,2)</f>
        <v>4.1399999999999997</v>
      </c>
      <c r="J1954" s="513"/>
      <c r="K1954" s="514">
        <f t="shared" si="73"/>
        <v>4.1399999999999997</v>
      </c>
      <c r="L1954" s="515" t="s">
        <v>12685</v>
      </c>
      <c r="M1954" s="471"/>
      <c r="Q1954" s="472"/>
      <c r="R1954" s="472"/>
      <c r="S1954" s="472"/>
      <c r="T1954" s="472"/>
      <c r="U1954" s="472"/>
      <c r="V1954" s="472"/>
      <c r="W1954" s="472"/>
      <c r="X1954" s="472"/>
      <c r="Y1954" s="472"/>
    </row>
    <row r="1955" spans="1:25" x14ac:dyDescent="0.25">
      <c r="A1955" s="463"/>
      <c r="B1955" s="507"/>
      <c r="C1955" s="507" t="s">
        <v>13518</v>
      </c>
      <c r="D1955" s="508"/>
      <c r="E1955" s="509" t="str">
        <f>IF($C1955="",IFERROR(VLOOKUP($B1955,SERVIÇOS!$B:$G,2,0),IFERROR(VLOOKUP($B1955,$D:$K,2,0),"")),IFERROR(VLOOKUP($C1955,INSUMOS!$A:$D,2,0),IFERROR(VLOOKUP($C1955,COTAÇÕES!$B:$I,2,0),(VLOOKUP($C1955,'INSUMO SINAPI - SP'!$C:$F,2,0)))))</f>
        <v>CHAPA DE ACO GROSSA, ASTM A36, E = 1/2" (12,70 MM) 99,59 KG/M2</v>
      </c>
      <c r="F1955" s="510" t="str">
        <f>IF($C1955="",IFERROR(VLOOKUP($B1955,SERVIÇOS!$B:$G,3,0),IFERROR(VLOOKUP($B1955,$D:$K,3,0),"")),IFERROR(VLOOKUP($C1955,INSUMOS!$A:$D,3,0),IFERROR(VLOOKUP($C1955,COTAÇÕES!$B:$I,3,0),(VLOOKUP($C1955,'INSUMO SINAPI - SP'!$C:$F,3,0)))))</f>
        <v>KG</v>
      </c>
      <c r="G1955" s="511">
        <v>6.424E-3</v>
      </c>
      <c r="H1955" s="512">
        <f>IF($C1955="",IFERROR(VLOOKUP($B1955,SERVIÇOS!$B:$G,6,0),IFERROR(VLOOKUP($B1955,$D:$K,8,0),"")),IFERROR(VLOOKUP($C1955,INSUMOS!$A:$D,4,0),IFERROR(VLOOKUP($C1955,COTAÇÕES!$B:$I,7,0),(VLOOKUP($C1955,'INSUMO SINAPI - SP'!$C:$F,4,0)))))</f>
        <v>8.24</v>
      </c>
      <c r="I1955" s="513">
        <f>TRUNC(IF($C1955="",IFERROR(VLOOKUP($B1955,SERVIÇOS!$B:$G,4,0),IFERROR(VLOOKUP($B1955,$D:$K,6,0),)),IFERROR(VLOOKUP($C1955,INSUMOS!$A:$D,4,0),IFERROR(VLOOKUP($C1955,COTAÇÕES!$B:$I,7,0),(VLOOKUP($C1955,'INSUMO SINAPI - SP'!$C:$F,4,0)))))*$G1955,2)</f>
        <v>0.05</v>
      </c>
      <c r="J1955" s="513"/>
      <c r="K1955" s="514">
        <f t="shared" si="73"/>
        <v>0.05</v>
      </c>
      <c r="L1955" s="515" t="s">
        <v>12685</v>
      </c>
      <c r="M1955" s="471"/>
      <c r="Q1955" s="472"/>
      <c r="R1955" s="472"/>
      <c r="S1955" s="472"/>
      <c r="T1955" s="472"/>
      <c r="U1955" s="472"/>
      <c r="V1955" s="472"/>
      <c r="W1955" s="472"/>
      <c r="X1955" s="472"/>
      <c r="Y1955" s="472"/>
    </row>
    <row r="1956" spans="1:25" x14ac:dyDescent="0.25">
      <c r="A1956" s="463"/>
      <c r="B1956" s="507"/>
      <c r="C1956" s="507" t="s">
        <v>13519</v>
      </c>
      <c r="D1956" s="508"/>
      <c r="E1956" s="509" t="str">
        <f>IF($C1956="",IFERROR(VLOOKUP($B1956,SERVIÇOS!$B:$G,2,0),IFERROR(VLOOKUP($B1956,$D:$K,2,0),"")),IFERROR(VLOOKUP($C1956,INSUMOS!$A:$D,2,0),IFERROR(VLOOKUP($C1956,COTAÇÕES!$B:$I,2,0),(VLOOKUP($C1956,'INSUMO SINAPI - SP'!$C:$F,2,0)))))</f>
        <v>CHAPA DE ACO GROSSA, ASTM A36, E = 3/8" (9,53 MM) 74,69 KG/M2</v>
      </c>
      <c r="F1956" s="510" t="str">
        <f>IF($C1956="",IFERROR(VLOOKUP($B1956,SERVIÇOS!$B:$G,3,0),IFERROR(VLOOKUP($B1956,$D:$K,3,0),"")),IFERROR(VLOOKUP($C1956,INSUMOS!$A:$D,3,0),IFERROR(VLOOKUP($C1956,COTAÇÕES!$B:$I,3,0),(VLOOKUP($C1956,'INSUMO SINAPI - SP'!$C:$F,3,0)))))</f>
        <v>KG</v>
      </c>
      <c r="G1956" s="511">
        <v>1.8177E-3</v>
      </c>
      <c r="H1956" s="512">
        <f>IF($C1956="",IFERROR(VLOOKUP($B1956,SERVIÇOS!$B:$G,6,0),IFERROR(VLOOKUP($B1956,$D:$K,8,0),"")),IFERROR(VLOOKUP($C1956,INSUMOS!$A:$D,4,0),IFERROR(VLOOKUP($C1956,COTAÇÕES!$B:$I,7,0),(VLOOKUP($C1956,'INSUMO SINAPI - SP'!$C:$F,4,0)))))</f>
        <v>8.3699999999999992</v>
      </c>
      <c r="I1956" s="513">
        <f>TRUNC(IF($C1956="",IFERROR(VLOOKUP($B1956,SERVIÇOS!$B:$G,4,0),IFERROR(VLOOKUP($B1956,$D:$K,6,0),)),IFERROR(VLOOKUP($C1956,INSUMOS!$A:$D,4,0),IFERROR(VLOOKUP($C1956,COTAÇÕES!$B:$I,7,0),(VLOOKUP($C1956,'INSUMO SINAPI - SP'!$C:$F,4,0)))))*$G1956,2)</f>
        <v>0.01</v>
      </c>
      <c r="J1956" s="513"/>
      <c r="K1956" s="514">
        <f t="shared" si="73"/>
        <v>0.01</v>
      </c>
      <c r="L1956" s="515" t="s">
        <v>12685</v>
      </c>
      <c r="M1956" s="471"/>
      <c r="Q1956" s="472"/>
      <c r="R1956" s="472"/>
      <c r="S1956" s="472"/>
      <c r="T1956" s="472"/>
      <c r="U1956" s="472"/>
      <c r="V1956" s="472"/>
      <c r="W1956" s="472"/>
      <c r="X1956" s="472"/>
      <c r="Y1956" s="472"/>
    </row>
    <row r="1957" spans="1:25" ht="24" x14ac:dyDescent="0.25">
      <c r="A1957" s="463"/>
      <c r="B1957" s="507"/>
      <c r="C1957" s="507" t="s">
        <v>13520</v>
      </c>
      <c r="D1957" s="508"/>
      <c r="E1957" s="509" t="str">
        <f>IF($C1957="",IFERROR(VLOOKUP($B1957,SERVIÇOS!$B:$G,2,0),IFERROR(VLOOKUP($B1957,$D:$K,2,0),"")),IFERROR(VLOOKUP($C1957,INSUMOS!$A:$D,2,0),IFERROR(VLOOKUP($C1957,COTAÇÕES!$B:$I,2,0),(VLOOKUP($C1957,'INSUMO SINAPI - SP'!$C:$F,2,0)))))</f>
        <v>PERFIL "U" SIMPLES, EM CHAPA DOBRADA DE ACO LAMINADO, E = 8 MM, H = 150 MM, L = 75 MM (16,97 KG/M)</v>
      </c>
      <c r="F1957" s="510" t="str">
        <f>IF($C1957="",IFERROR(VLOOKUP($B1957,SERVIÇOS!$B:$G,3,0),IFERROR(VLOOKUP($B1957,$D:$K,3,0),"")),IFERROR(VLOOKUP($C1957,INSUMOS!$A:$D,3,0),IFERROR(VLOOKUP($C1957,COTAÇÕES!$B:$I,3,0),(VLOOKUP($C1957,'INSUMO SINAPI - SP'!$C:$F,3,0)))))</f>
        <v>KG</v>
      </c>
      <c r="G1957" s="511">
        <v>0.56602580000000002</v>
      </c>
      <c r="H1957" s="512">
        <f>IF($C1957="",IFERROR(VLOOKUP($B1957,SERVIÇOS!$B:$G,6,0),IFERROR(VLOOKUP($B1957,$D:$K,8,0),"")),IFERROR(VLOOKUP($C1957,INSUMOS!$A:$D,4,0),IFERROR(VLOOKUP($C1957,COTAÇÕES!$B:$I,7,0),(VLOOKUP($C1957,'INSUMO SINAPI - SP'!$C:$F,4,0)))))</f>
        <v>9.1199999999999992</v>
      </c>
      <c r="I1957" s="513">
        <f>TRUNC(IF($C1957="",IFERROR(VLOOKUP($B1957,SERVIÇOS!$B:$G,4,0),IFERROR(VLOOKUP($B1957,$D:$K,6,0),)),IFERROR(VLOOKUP($C1957,INSUMOS!$A:$D,4,0),IFERROR(VLOOKUP($C1957,COTAÇÕES!$B:$I,7,0),(VLOOKUP($C1957,'INSUMO SINAPI - SP'!$C:$F,4,0)))))*$G1957,2)</f>
        <v>5.16</v>
      </c>
      <c r="J1957" s="513"/>
      <c r="K1957" s="514">
        <f t="shared" si="73"/>
        <v>5.16</v>
      </c>
      <c r="L1957" s="515" t="s">
        <v>12685</v>
      </c>
      <c r="M1957" s="471"/>
      <c r="Q1957" s="472"/>
      <c r="R1957" s="472"/>
      <c r="S1957" s="472"/>
      <c r="T1957" s="472"/>
      <c r="U1957" s="472"/>
      <c r="V1957" s="472"/>
      <c r="W1957" s="472"/>
      <c r="X1957" s="472"/>
      <c r="Y1957" s="472"/>
    </row>
    <row r="1958" spans="1:25" ht="24" x14ac:dyDescent="0.25">
      <c r="A1958" s="463"/>
      <c r="B1958" s="498"/>
      <c r="C1958" s="498"/>
      <c r="D1958" s="499" t="s">
        <v>13235</v>
      </c>
      <c r="E1958" s="500" t="s">
        <v>13521</v>
      </c>
      <c r="F1958" s="501" t="s">
        <v>664</v>
      </c>
      <c r="G1958" s="502"/>
      <c r="H1958" s="503"/>
      <c r="I1958" s="504">
        <f>SUM(I1959:I1980)</f>
        <v>1976.6800000000005</v>
      </c>
      <c r="J1958" s="504">
        <f>SUM(J1959:J1980)</f>
        <v>573.87</v>
      </c>
      <c r="K1958" s="504">
        <f>+J1958+I1958</f>
        <v>2550.5500000000006</v>
      </c>
      <c r="L1958" s="523"/>
      <c r="M1958" s="471"/>
      <c r="Q1958" s="472"/>
      <c r="R1958" s="472"/>
      <c r="S1958" s="472"/>
      <c r="T1958" s="472"/>
      <c r="U1958" s="472"/>
      <c r="V1958" s="472"/>
      <c r="W1958" s="472"/>
      <c r="X1958" s="472"/>
      <c r="Y1958" s="472"/>
    </row>
    <row r="1959" spans="1:25" x14ac:dyDescent="0.25">
      <c r="A1959" s="463"/>
      <c r="B1959" s="507">
        <v>96546</v>
      </c>
      <c r="C1959" s="507"/>
      <c r="D1959" s="508"/>
      <c r="E1959" s="509" t="str">
        <f>IF($C1959="",IFERROR(VLOOKUP($B1959,SERVIÇOS!$B:$G,2,0),IFERROR(VLOOKUP($B1959,$D:$K,2,0),"")),IFERROR(VLOOKUP($C1959,INSUMOS!$A:$D,2,0),IFERROR(VLOOKUP($C1959,COTAÇÕES!$B:$I,2,0),(VLOOKUP($C1959,'INSUMO SINAPI - SP'!$C:$F,2,0)))))</f>
        <v>ARMAÇÃO DE BLOCO UTILIZANDO AÇO CA-50 DE 10 MM - MONTAGEM. AF_01/2024</v>
      </c>
      <c r="F1959" s="510" t="str">
        <f>IF($C1959="",IFERROR(VLOOKUP($B1959,SERVIÇOS!$B:$G,3,0),IFERROR(VLOOKUP($B1959,$D:$K,3,0),"")),IFERROR(VLOOKUP($C1959,INSUMOS!$A:$D,3,0),IFERROR(VLOOKUP($C1959,COTAÇÕES!$B:$I,3,0),(VLOOKUP($C1959,'INSUMO SINAPI - SP'!$C:$F,3,0)))))</f>
        <v>KG</v>
      </c>
      <c r="G1959" s="511">
        <v>2.6637</v>
      </c>
      <c r="H1959" s="512">
        <f>IF($C1959="",IFERROR(VLOOKUP($B1959,SERVIÇOS!$B:$G,6,0),IFERROR(VLOOKUP($B1959,$D:$K,8,0),"")),IFERROR(VLOOKUP($C1959,INSUMOS!$A:$D,4,0),IFERROR(VLOOKUP($C1959,COTAÇÕES!$B:$I,7,0),(VLOOKUP($C1959,'INSUMO SINAPI - SP'!$C:$F,4,0)))))</f>
        <v>15.26</v>
      </c>
      <c r="I1959" s="513">
        <f>TRUNC(IF($C1959="",IFERROR(VLOOKUP($B1959,SERVIÇOS!$B:$G,4,0),IFERROR(VLOOKUP($B1959,$D:$K,6,0),)),IFERROR(VLOOKUP($C1959,INSUMOS!$A:$D,4,0),IFERROR(VLOOKUP($C1959,COTAÇÕES!$B:$I,7,0),(VLOOKUP($C1959,'INSUMO SINAPI - SP'!$C:$F,4,0)))))*$G1959,2)</f>
        <v>29.06</v>
      </c>
      <c r="J1959" s="513">
        <f>TRUNC(IF($C1959="",IFERROR(VLOOKUP($B1959,SERVIÇOS!$B:$G,5,0),IFERROR(VLOOKUP($B1959,$D:$K,7,0),)),0)*$G1959,2)</f>
        <v>11.58</v>
      </c>
      <c r="K1959" s="514">
        <f t="shared" ref="K1959:K1980" si="74">I1959+J1959</f>
        <v>40.64</v>
      </c>
      <c r="L1959" s="515"/>
      <c r="M1959" s="471"/>
      <c r="Q1959" s="472"/>
      <c r="R1959" s="472"/>
      <c r="S1959" s="472"/>
      <c r="T1959" s="472"/>
      <c r="U1959" s="472"/>
      <c r="V1959" s="472"/>
      <c r="W1959" s="472"/>
      <c r="X1959" s="472"/>
      <c r="Y1959" s="472"/>
    </row>
    <row r="1960" spans="1:25" x14ac:dyDescent="0.25">
      <c r="A1960" s="463"/>
      <c r="B1960" s="507">
        <v>96544</v>
      </c>
      <c r="C1960" s="507"/>
      <c r="D1960" s="508"/>
      <c r="E1960" s="509" t="str">
        <f>IF($C1960="",IFERROR(VLOOKUP($B1960,SERVIÇOS!$B:$G,2,0),IFERROR(VLOOKUP($B1960,$D:$K,2,0),"")),IFERROR(VLOOKUP($C1960,INSUMOS!$A:$D,2,0),IFERROR(VLOOKUP($C1960,COTAÇÕES!$B:$I,2,0),(VLOOKUP($C1960,'INSUMO SINAPI - SP'!$C:$F,2,0)))))</f>
        <v>ARMAÇÃO DE BLOCO UTILIZANDO AÇO CA-50 DE 6,3 MM - MONTAGEM. AF_01/2024</v>
      </c>
      <c r="F1960" s="510" t="str">
        <f>IF($C1960="",IFERROR(VLOOKUP($B1960,SERVIÇOS!$B:$G,3,0),IFERROR(VLOOKUP($B1960,$D:$K,3,0),"")),IFERROR(VLOOKUP($C1960,INSUMOS!$A:$D,3,0),IFERROR(VLOOKUP($C1960,COTAÇÕES!$B:$I,3,0),(VLOOKUP($C1960,'INSUMO SINAPI - SP'!$C:$F,3,0)))))</f>
        <v>KG</v>
      </c>
      <c r="G1960" s="511">
        <v>0.33239999999999997</v>
      </c>
      <c r="H1960" s="512">
        <f>IF($C1960="",IFERROR(VLOOKUP($B1960,SERVIÇOS!$B:$G,6,0),IFERROR(VLOOKUP($B1960,$D:$K,8,0),"")),IFERROR(VLOOKUP($C1960,INSUMOS!$A:$D,4,0),IFERROR(VLOOKUP($C1960,COTAÇÕES!$B:$I,7,0),(VLOOKUP($C1960,'INSUMO SINAPI - SP'!$C:$F,4,0)))))</f>
        <v>20.28</v>
      </c>
      <c r="I1960" s="513">
        <f>TRUNC(IF($C1960="",IFERROR(VLOOKUP($B1960,SERVIÇOS!$B:$G,4,0),IFERROR(VLOOKUP($B1960,$D:$K,6,0),)),IFERROR(VLOOKUP($C1960,INSUMOS!$A:$D,4,0),IFERROR(VLOOKUP($C1960,COTAÇÕES!$B:$I,7,0),(VLOOKUP($C1960,'INSUMO SINAPI - SP'!$C:$F,4,0)))))*$G1960,2)</f>
        <v>4.12</v>
      </c>
      <c r="J1960" s="513">
        <f>TRUNC(IF($C1960="",IFERROR(VLOOKUP($B1960,SERVIÇOS!$B:$G,5,0),IFERROR(VLOOKUP($B1960,$D:$K,7,0),)),0)*$G1960,2)</f>
        <v>2.61</v>
      </c>
      <c r="K1960" s="514">
        <f t="shared" si="74"/>
        <v>6.73</v>
      </c>
      <c r="L1960" s="515"/>
      <c r="M1960" s="471"/>
      <c r="Q1960" s="472"/>
      <c r="R1960" s="472"/>
      <c r="S1960" s="472"/>
      <c r="T1960" s="472"/>
      <c r="U1960" s="472"/>
      <c r="V1960" s="472"/>
      <c r="W1960" s="472"/>
      <c r="X1960" s="472"/>
      <c r="Y1960" s="472"/>
    </row>
    <row r="1961" spans="1:25" x14ac:dyDescent="0.25">
      <c r="A1961" s="463"/>
      <c r="B1961" s="507">
        <v>96545</v>
      </c>
      <c r="C1961" s="507"/>
      <c r="D1961" s="508"/>
      <c r="E1961" s="509" t="str">
        <f>IF($C1961="",IFERROR(VLOOKUP($B1961,SERVIÇOS!$B:$G,2,0),IFERROR(VLOOKUP($B1961,$D:$K,2,0),"")),IFERROR(VLOOKUP($C1961,INSUMOS!$A:$D,2,0),IFERROR(VLOOKUP($C1961,COTAÇÕES!$B:$I,2,0),(VLOOKUP($C1961,'INSUMO SINAPI - SP'!$C:$F,2,0)))))</f>
        <v>ARMAÇÃO DE BLOCO UTILIZANDO AÇO CA-50 DE 8 MM - MONTAGEM. AF_01/2024</v>
      </c>
      <c r="F1961" s="510" t="str">
        <f>IF($C1961="",IFERROR(VLOOKUP($B1961,SERVIÇOS!$B:$G,3,0),IFERROR(VLOOKUP($B1961,$D:$K,3,0),"")),IFERROR(VLOOKUP($C1961,INSUMOS!$A:$D,3,0),IFERROR(VLOOKUP($C1961,COTAÇÕES!$B:$I,3,0),(VLOOKUP($C1961,'INSUMO SINAPI - SP'!$C:$F,3,0)))))</f>
        <v>KG</v>
      </c>
      <c r="G1961" s="511">
        <v>0.17530000000000001</v>
      </c>
      <c r="H1961" s="512">
        <f>IF($C1961="",IFERROR(VLOOKUP($B1961,SERVIÇOS!$B:$G,6,0),IFERROR(VLOOKUP($B1961,$D:$K,8,0),"")),IFERROR(VLOOKUP($C1961,INSUMOS!$A:$D,4,0),IFERROR(VLOOKUP($C1961,COTAÇÕES!$B:$I,7,0),(VLOOKUP($C1961,'INSUMO SINAPI - SP'!$C:$F,4,0)))))</f>
        <v>17.75</v>
      </c>
      <c r="I1961" s="513">
        <f>TRUNC(IF($C1961="",IFERROR(VLOOKUP($B1961,SERVIÇOS!$B:$G,4,0),IFERROR(VLOOKUP($B1961,$D:$K,6,0),)),IFERROR(VLOOKUP($C1961,INSUMOS!$A:$D,4,0),IFERROR(VLOOKUP($C1961,COTAÇÕES!$B:$I,7,0),(VLOOKUP($C1961,'INSUMO SINAPI - SP'!$C:$F,4,0)))))*$G1961,2)</f>
        <v>2.1</v>
      </c>
      <c r="J1961" s="513">
        <f>TRUNC(IF($C1961="",IFERROR(VLOOKUP($B1961,SERVIÇOS!$B:$G,5,0),IFERROR(VLOOKUP($B1961,$D:$K,7,0),)),0)*$G1961,2)</f>
        <v>1.01</v>
      </c>
      <c r="K1961" s="514">
        <f t="shared" si="74"/>
        <v>3.1100000000000003</v>
      </c>
      <c r="L1961" s="515"/>
      <c r="M1961" s="471"/>
      <c r="Q1961" s="472"/>
      <c r="R1961" s="472"/>
      <c r="S1961" s="472"/>
      <c r="T1961" s="472"/>
      <c r="U1961" s="472"/>
      <c r="V1961" s="472"/>
      <c r="W1961" s="472"/>
      <c r="X1961" s="472"/>
      <c r="Y1961" s="472"/>
    </row>
    <row r="1962" spans="1:25" x14ac:dyDescent="0.25">
      <c r="A1962" s="463"/>
      <c r="B1962" s="507">
        <v>96543</v>
      </c>
      <c r="C1962" s="507"/>
      <c r="D1962" s="508"/>
      <c r="E1962" s="509" t="str">
        <f>IF($C1962="",IFERROR(VLOOKUP($B1962,SERVIÇOS!$B:$G,2,0),IFERROR(VLOOKUP($B1962,$D:$K,2,0),"")),IFERROR(VLOOKUP($C1962,INSUMOS!$A:$D,2,0),IFERROR(VLOOKUP($C1962,COTAÇÕES!$B:$I,2,0),(VLOOKUP($C1962,'INSUMO SINAPI - SP'!$C:$F,2,0)))))</f>
        <v>ARMAÇÃO DE BLOCO UTILIZANDO AÇO CA-60 DE 5 MM - MONTAGEM. AF_01/2024</v>
      </c>
      <c r="F1962" s="510" t="str">
        <f>IF($C1962="",IFERROR(VLOOKUP($B1962,SERVIÇOS!$B:$G,3,0),IFERROR(VLOOKUP($B1962,$D:$K,3,0),"")),IFERROR(VLOOKUP($C1962,INSUMOS!$A:$D,3,0),IFERROR(VLOOKUP($C1962,COTAÇÕES!$B:$I,3,0),(VLOOKUP($C1962,'INSUMO SINAPI - SP'!$C:$F,3,0)))))</f>
        <v>KG</v>
      </c>
      <c r="G1962" s="511">
        <v>0.19270000000000001</v>
      </c>
      <c r="H1962" s="512">
        <f>IF($C1962="",IFERROR(VLOOKUP($B1962,SERVIÇOS!$B:$G,6,0),IFERROR(VLOOKUP($B1962,$D:$K,8,0),"")),IFERROR(VLOOKUP($C1962,INSUMOS!$A:$D,4,0),IFERROR(VLOOKUP($C1962,COTAÇÕES!$B:$I,7,0),(VLOOKUP($C1962,'INSUMO SINAPI - SP'!$C:$F,4,0)))))</f>
        <v>23.29</v>
      </c>
      <c r="I1962" s="513">
        <f>TRUNC(IF($C1962="",IFERROR(VLOOKUP($B1962,SERVIÇOS!$B:$G,4,0),IFERROR(VLOOKUP($B1962,$D:$K,6,0),)),IFERROR(VLOOKUP($C1962,INSUMOS!$A:$D,4,0),IFERROR(VLOOKUP($C1962,COTAÇÕES!$B:$I,7,0),(VLOOKUP($C1962,'INSUMO SINAPI - SP'!$C:$F,4,0)))))*$G1962,2)</f>
        <v>2.42</v>
      </c>
      <c r="J1962" s="513">
        <f>TRUNC(IF($C1962="",IFERROR(VLOOKUP($B1962,SERVIÇOS!$B:$G,5,0),IFERROR(VLOOKUP($B1962,$D:$K,7,0),)),0)*$G1962,2)</f>
        <v>2.0499999999999998</v>
      </c>
      <c r="K1962" s="514">
        <f t="shared" si="74"/>
        <v>4.47</v>
      </c>
      <c r="L1962" s="515"/>
      <c r="M1962" s="471"/>
      <c r="Q1962" s="472"/>
      <c r="R1962" s="472"/>
      <c r="S1962" s="472"/>
      <c r="T1962" s="472"/>
      <c r="U1962" s="472"/>
      <c r="V1962" s="472"/>
      <c r="W1962" s="472"/>
      <c r="X1962" s="472"/>
      <c r="Y1962" s="472"/>
    </row>
    <row r="1963" spans="1:25" ht="24" x14ac:dyDescent="0.25">
      <c r="A1963" s="463"/>
      <c r="B1963" s="507">
        <v>104920</v>
      </c>
      <c r="C1963" s="507"/>
      <c r="D1963" s="508"/>
      <c r="E1963" s="509" t="str">
        <f>IF($C1963="",IFERROR(VLOOKUP($B1963,SERVIÇOS!$B:$G,2,0),IFERROR(VLOOKUP($B1963,$D:$K,2,0),"")),IFERROR(VLOOKUP($C1963,INSUMOS!$A:$D,2,0),IFERROR(VLOOKUP($C1963,COTAÇÕES!$B:$I,2,0),(VLOOKUP($C1963,'INSUMO SINAPI - SP'!$C:$F,2,0)))))</f>
        <v>ARMAÇÃO DE BLOCO, SAPATA ISOLADA, VIGA BALDRAME E SAPATA CORRIDA UTILIZANDO AÇO CA-50 DE 12,5 MM - MONTAGEM. AF_01/2024</v>
      </c>
      <c r="F1963" s="510" t="str">
        <f>IF($C1963="",IFERROR(VLOOKUP($B1963,SERVIÇOS!$B:$G,3,0),IFERROR(VLOOKUP($B1963,$D:$K,3,0),"")),IFERROR(VLOOKUP($C1963,INSUMOS!$A:$D,3,0),IFERROR(VLOOKUP($C1963,COTAÇÕES!$B:$I,3,0),(VLOOKUP($C1963,'INSUMO SINAPI - SP'!$C:$F,3,0)))))</f>
        <v>KG</v>
      </c>
      <c r="G1963" s="511">
        <v>1.4605999999999999</v>
      </c>
      <c r="H1963" s="512">
        <f>IF($C1963="",IFERROR(VLOOKUP($B1963,SERVIÇOS!$B:$G,6,0),IFERROR(VLOOKUP($B1963,$D:$K,8,0),"")),IFERROR(VLOOKUP($C1963,INSUMOS!$A:$D,4,0),IFERROR(VLOOKUP($C1963,COTAÇÕES!$B:$I,7,0),(VLOOKUP($C1963,'INSUMO SINAPI - SP'!$C:$F,4,0)))))</f>
        <v>11.42</v>
      </c>
      <c r="I1963" s="513">
        <f>TRUNC(IF($C1963="",IFERROR(VLOOKUP($B1963,SERVIÇOS!$B:$G,4,0),IFERROR(VLOOKUP($B1963,$D:$K,6,0),)),IFERROR(VLOOKUP($C1963,INSUMOS!$A:$D,4,0),IFERROR(VLOOKUP($C1963,COTAÇÕES!$B:$I,7,0),(VLOOKUP($C1963,'INSUMO SINAPI - SP'!$C:$F,4,0)))))*$G1963,2)</f>
        <v>13.17</v>
      </c>
      <c r="J1963" s="513">
        <f>TRUNC(IF($C1963="",IFERROR(VLOOKUP($B1963,SERVIÇOS!$B:$G,5,0),IFERROR(VLOOKUP($B1963,$D:$K,7,0),)),0)*$G1963,2)</f>
        <v>3.5</v>
      </c>
      <c r="K1963" s="514">
        <f t="shared" si="74"/>
        <v>16.670000000000002</v>
      </c>
      <c r="L1963" s="515"/>
      <c r="M1963" s="471"/>
      <c r="Q1963" s="472"/>
      <c r="R1963" s="472"/>
      <c r="S1963" s="472"/>
      <c r="T1963" s="472"/>
      <c r="U1963" s="472"/>
      <c r="V1963" s="472"/>
      <c r="W1963" s="472"/>
      <c r="X1963" s="472"/>
      <c r="Y1963" s="472"/>
    </row>
    <row r="1964" spans="1:25" ht="24" x14ac:dyDescent="0.25">
      <c r="A1964" s="463"/>
      <c r="B1964" s="507">
        <v>92769</v>
      </c>
      <c r="C1964" s="507"/>
      <c r="D1964" s="508"/>
      <c r="E1964" s="509" t="str">
        <f>IF($C1964="",IFERROR(VLOOKUP($B1964,SERVIÇOS!$B:$G,2,0),IFERROR(VLOOKUP($B1964,$D:$K,2,0),"")),IFERROR(VLOOKUP($C1964,INSUMOS!$A:$D,2,0),IFERROR(VLOOKUP($C1964,COTAÇÕES!$B:$I,2,0),(VLOOKUP($C1964,'INSUMO SINAPI - SP'!$C:$F,2,0)))))</f>
        <v>ARMAÇÃO DE LAJE DE ESTRUTURA CONVENCIONAL DE CONCRETO ARMADO UTILIZANDO AÇO CA-50 DE 6,3 MM - MONTAGEM. AF_06/2022</v>
      </c>
      <c r="F1964" s="510" t="str">
        <f>IF($C1964="",IFERROR(VLOOKUP($B1964,SERVIÇOS!$B:$G,3,0),IFERROR(VLOOKUP($B1964,$D:$K,3,0),"")),IFERROR(VLOOKUP($C1964,INSUMOS!$A:$D,3,0),IFERROR(VLOOKUP($C1964,COTAÇÕES!$B:$I,3,0),(VLOOKUP($C1964,'INSUMO SINAPI - SP'!$C:$F,3,0)))))</f>
        <v>KG</v>
      </c>
      <c r="G1964" s="511">
        <v>13.316700000000001</v>
      </c>
      <c r="H1964" s="512">
        <f>IF($C1964="",IFERROR(VLOOKUP($B1964,SERVIÇOS!$B:$G,6,0),IFERROR(VLOOKUP($B1964,$D:$K,8,0),"")),IFERROR(VLOOKUP($C1964,INSUMOS!$A:$D,4,0),IFERROR(VLOOKUP($C1964,COTAÇÕES!$B:$I,7,0),(VLOOKUP($C1964,'INSUMO SINAPI - SP'!$C:$F,4,0)))))</f>
        <v>13.42</v>
      </c>
      <c r="I1964" s="513">
        <f>TRUNC(IF($C1964="",IFERROR(VLOOKUP($B1964,SERVIÇOS!$B:$G,4,0),IFERROR(VLOOKUP($B1964,$D:$K,6,0),)),IFERROR(VLOOKUP($C1964,INSUMOS!$A:$D,4,0),IFERROR(VLOOKUP($C1964,COTAÇÕES!$B:$I,7,0),(VLOOKUP($C1964,'INSUMO SINAPI - SP'!$C:$F,4,0)))))*$G1964,2)</f>
        <v>141.94999999999999</v>
      </c>
      <c r="J1964" s="513">
        <f>TRUNC(IF($C1964="",IFERROR(VLOOKUP($B1964,SERVIÇOS!$B:$G,5,0),IFERROR(VLOOKUP($B1964,$D:$K,7,0),)),0)*$G1964,2)</f>
        <v>36.75</v>
      </c>
      <c r="K1964" s="514">
        <f t="shared" si="74"/>
        <v>178.7</v>
      </c>
      <c r="L1964" s="515"/>
      <c r="M1964" s="471"/>
      <c r="Q1964" s="472"/>
      <c r="R1964" s="472"/>
      <c r="S1964" s="472"/>
      <c r="T1964" s="472"/>
      <c r="U1964" s="472"/>
      <c r="V1964" s="472"/>
      <c r="W1964" s="472"/>
      <c r="X1964" s="472"/>
      <c r="Y1964" s="472"/>
    </row>
    <row r="1965" spans="1:25" ht="24" x14ac:dyDescent="0.25">
      <c r="A1965" s="463"/>
      <c r="B1965" s="507">
        <v>92770</v>
      </c>
      <c r="C1965" s="507"/>
      <c r="D1965" s="508"/>
      <c r="E1965" s="509" t="str">
        <f>IF($C1965="",IFERROR(VLOOKUP($B1965,SERVIÇOS!$B:$G,2,0),IFERROR(VLOOKUP($B1965,$D:$K,2,0),"")),IFERROR(VLOOKUP($C1965,INSUMOS!$A:$D,2,0),IFERROR(VLOOKUP($C1965,COTAÇÕES!$B:$I,2,0),(VLOOKUP($C1965,'INSUMO SINAPI - SP'!$C:$F,2,0)))))</f>
        <v>ARMAÇÃO DE LAJE DE ESTRUTURA CONVENCIONAL DE CONCRETO ARMADO UTILIZANDO AÇO CA-50 DE 8,0 MM - MONTAGEM. AF_06/2022</v>
      </c>
      <c r="F1965" s="510" t="str">
        <f>IF($C1965="",IFERROR(VLOOKUP($B1965,SERVIÇOS!$B:$G,3,0),IFERROR(VLOOKUP($B1965,$D:$K,3,0),"")),IFERROR(VLOOKUP($C1965,INSUMOS!$A:$D,3,0),IFERROR(VLOOKUP($C1965,COTAÇÕES!$B:$I,3,0),(VLOOKUP($C1965,'INSUMO SINAPI - SP'!$C:$F,3,0)))))</f>
        <v>KG</v>
      </c>
      <c r="G1965" s="511">
        <v>6.7664999999999997</v>
      </c>
      <c r="H1965" s="512">
        <f>IF($C1965="",IFERROR(VLOOKUP($B1965,SERVIÇOS!$B:$G,6,0),IFERROR(VLOOKUP($B1965,$D:$K,8,0),"")),IFERROR(VLOOKUP($C1965,INSUMOS!$A:$D,4,0),IFERROR(VLOOKUP($C1965,COTAÇÕES!$B:$I,7,0),(VLOOKUP($C1965,'INSUMO SINAPI - SP'!$C:$F,4,0)))))</f>
        <v>12.23</v>
      </c>
      <c r="I1965" s="513">
        <f>TRUNC(IF($C1965="",IFERROR(VLOOKUP($B1965,SERVIÇOS!$B:$G,4,0),IFERROR(VLOOKUP($B1965,$D:$K,6,0),)),IFERROR(VLOOKUP($C1965,INSUMOS!$A:$D,4,0),IFERROR(VLOOKUP($C1965,COTAÇÕES!$B:$I,7,0),(VLOOKUP($C1965,'INSUMO SINAPI - SP'!$C:$F,4,0)))))*$G1965,2)</f>
        <v>71.180000000000007</v>
      </c>
      <c r="J1965" s="513">
        <f>TRUNC(IF($C1965="",IFERROR(VLOOKUP($B1965,SERVIÇOS!$B:$G,5,0),IFERROR(VLOOKUP($B1965,$D:$K,7,0),)),0)*$G1965,2)</f>
        <v>11.57</v>
      </c>
      <c r="K1965" s="514">
        <f t="shared" si="74"/>
        <v>82.75</v>
      </c>
      <c r="L1965" s="515"/>
      <c r="M1965" s="471"/>
      <c r="Q1965" s="472"/>
      <c r="R1965" s="472"/>
      <c r="S1965" s="472"/>
      <c r="T1965" s="472"/>
      <c r="U1965" s="472"/>
      <c r="V1965" s="472"/>
      <c r="W1965" s="472"/>
      <c r="X1965" s="472"/>
      <c r="Y1965" s="472"/>
    </row>
    <row r="1966" spans="1:25" ht="24" x14ac:dyDescent="0.25">
      <c r="A1966" s="463"/>
      <c r="B1966" s="507">
        <v>92768</v>
      </c>
      <c r="C1966" s="507"/>
      <c r="D1966" s="508"/>
      <c r="E1966" s="509" t="str">
        <f>IF($C1966="",IFERROR(VLOOKUP($B1966,SERVIÇOS!$B:$G,2,0),IFERROR(VLOOKUP($B1966,$D:$K,2,0),"")),IFERROR(VLOOKUP($C1966,INSUMOS!$A:$D,2,0),IFERROR(VLOOKUP($C1966,COTAÇÕES!$B:$I,2,0),(VLOOKUP($C1966,'INSUMO SINAPI - SP'!$C:$F,2,0)))))</f>
        <v>ARMAÇÃO DE LAJE DE ESTRUTURA CONVENCIONAL DE CONCRETO ARMADO UTILIZANDO AÇO CA-60 DE 5,0 MM - MONTAGEM. AF_06/2022</v>
      </c>
      <c r="F1966" s="510" t="str">
        <f>IF($C1966="",IFERROR(VLOOKUP($B1966,SERVIÇOS!$B:$G,3,0),IFERROR(VLOOKUP($B1966,$D:$K,3,0),"")),IFERROR(VLOOKUP($C1966,INSUMOS!$A:$D,3,0),IFERROR(VLOOKUP($C1966,COTAÇÕES!$B:$I,3,0),(VLOOKUP($C1966,'INSUMO SINAPI - SP'!$C:$F,3,0)))))</f>
        <v>KG</v>
      </c>
      <c r="G1966" s="511">
        <v>7.7183000000000002</v>
      </c>
      <c r="H1966" s="512">
        <f>IF($C1966="",IFERROR(VLOOKUP($B1966,SERVIÇOS!$B:$G,6,0),IFERROR(VLOOKUP($B1966,$D:$K,8,0),"")),IFERROR(VLOOKUP($C1966,INSUMOS!$A:$D,4,0),IFERROR(VLOOKUP($C1966,COTAÇÕES!$B:$I,7,0),(VLOOKUP($C1966,'INSUMO SINAPI - SP'!$C:$F,4,0)))))</f>
        <v>14.81</v>
      </c>
      <c r="I1966" s="513">
        <f>TRUNC(IF($C1966="",IFERROR(VLOOKUP($B1966,SERVIÇOS!$B:$G,4,0),IFERROR(VLOOKUP($B1966,$D:$K,6,0),)),IFERROR(VLOOKUP($C1966,INSUMOS!$A:$D,4,0),IFERROR(VLOOKUP($C1966,COTAÇÕES!$B:$I,7,0),(VLOOKUP($C1966,'INSUMO SINAPI - SP'!$C:$F,4,0)))))*$G1966,2)</f>
        <v>80.88</v>
      </c>
      <c r="J1966" s="513">
        <f>TRUNC(IF($C1966="",IFERROR(VLOOKUP($B1966,SERVIÇOS!$B:$G,5,0),IFERROR(VLOOKUP($B1966,$D:$K,7,0),)),0)*$G1966,2)</f>
        <v>33.42</v>
      </c>
      <c r="K1966" s="514">
        <f t="shared" si="74"/>
        <v>114.3</v>
      </c>
      <c r="L1966" s="515"/>
      <c r="M1966" s="471"/>
      <c r="Q1966" s="472"/>
      <c r="R1966" s="472"/>
      <c r="S1966" s="472"/>
      <c r="T1966" s="472"/>
      <c r="U1966" s="472"/>
      <c r="V1966" s="472"/>
      <c r="W1966" s="472"/>
      <c r="X1966" s="472"/>
      <c r="Y1966" s="472"/>
    </row>
    <row r="1967" spans="1:25" ht="24" x14ac:dyDescent="0.25">
      <c r="A1967" s="463"/>
      <c r="B1967" s="507">
        <v>92762</v>
      </c>
      <c r="C1967" s="507"/>
      <c r="D1967" s="508"/>
      <c r="E1967" s="509" t="str">
        <f>IF($C1967="",IFERROR(VLOOKUP($B1967,SERVIÇOS!$B:$G,2,0),IFERROR(VLOOKUP($B1967,$D:$K,2,0),"")),IFERROR(VLOOKUP($C1967,INSUMOS!$A:$D,2,0),IFERROR(VLOOKUP($C1967,COTAÇÕES!$B:$I,2,0),(VLOOKUP($C1967,'INSUMO SINAPI - SP'!$C:$F,2,0)))))</f>
        <v>ARMAÇÃO DE PILAR OU VIGA DE ESTRUTURA CONVENCIONAL DE CONCRETO ARMADO UTILIZANDO AÇO CA-50 DE 10,0 MM - MONTAGEM. AF_06/2022</v>
      </c>
      <c r="F1967" s="510" t="str">
        <f>IF($C1967="",IFERROR(VLOOKUP($B1967,SERVIÇOS!$B:$G,3,0),IFERROR(VLOOKUP($B1967,$D:$K,3,0),"")),IFERROR(VLOOKUP($C1967,INSUMOS!$A:$D,3,0),IFERROR(VLOOKUP($C1967,COTAÇÕES!$B:$I,3,0),(VLOOKUP($C1967,'INSUMO SINAPI - SP'!$C:$F,3,0)))))</f>
        <v>KG</v>
      </c>
      <c r="G1967" s="511">
        <v>20.357600000000001</v>
      </c>
      <c r="H1967" s="512">
        <f>IF($C1967="",IFERROR(VLOOKUP($B1967,SERVIÇOS!$B:$G,6,0),IFERROR(VLOOKUP($B1967,$D:$K,8,0),"")),IFERROR(VLOOKUP($C1967,INSUMOS!$A:$D,4,0),IFERROR(VLOOKUP($C1967,COTAÇÕES!$B:$I,7,0),(VLOOKUP($C1967,'INSUMO SINAPI - SP'!$C:$F,4,0)))))</f>
        <v>11.31</v>
      </c>
      <c r="I1967" s="513">
        <f>TRUNC(IF($C1967="",IFERROR(VLOOKUP($B1967,SERVIÇOS!$B:$G,4,0),IFERROR(VLOOKUP($B1967,$D:$K,6,0),)),IFERROR(VLOOKUP($C1967,INSUMOS!$A:$D,4,0),IFERROR(VLOOKUP($C1967,COTAÇÕES!$B:$I,7,0),(VLOOKUP($C1967,'INSUMO SINAPI - SP'!$C:$F,4,0)))))*$G1967,2)</f>
        <v>200.52</v>
      </c>
      <c r="J1967" s="513">
        <f>TRUNC(IF($C1967="",IFERROR(VLOOKUP($B1967,SERVIÇOS!$B:$G,5,0),IFERROR(VLOOKUP($B1967,$D:$K,7,0),)),0)*$G1967,2)</f>
        <v>29.72</v>
      </c>
      <c r="K1967" s="514">
        <f t="shared" si="74"/>
        <v>230.24</v>
      </c>
      <c r="L1967" s="515"/>
      <c r="M1967" s="471"/>
      <c r="Q1967" s="472"/>
      <c r="R1967" s="472"/>
      <c r="S1967" s="472"/>
      <c r="T1967" s="472"/>
      <c r="U1967" s="472"/>
      <c r="V1967" s="472"/>
      <c r="W1967" s="472"/>
      <c r="X1967" s="472"/>
      <c r="Y1967" s="472"/>
    </row>
    <row r="1968" spans="1:25" ht="24" x14ac:dyDescent="0.25">
      <c r="A1968" s="463"/>
      <c r="B1968" s="507">
        <v>92763</v>
      </c>
      <c r="C1968" s="507"/>
      <c r="D1968" s="508"/>
      <c r="E1968" s="509" t="str">
        <f>IF($C1968="",IFERROR(VLOOKUP($B1968,SERVIÇOS!$B:$G,2,0),IFERROR(VLOOKUP($B1968,$D:$K,2,0),"")),IFERROR(VLOOKUP($C1968,INSUMOS!$A:$D,2,0),IFERROR(VLOOKUP($C1968,COTAÇÕES!$B:$I,2,0),(VLOOKUP($C1968,'INSUMO SINAPI - SP'!$C:$F,2,0)))))</f>
        <v>ARMAÇÃO DE PILAR OU VIGA DE ESTRUTURA CONVENCIONAL DE CONCRETO ARMADO UTILIZANDO AÇO CA-50 DE 12,5 MM - MONTAGEM. AF_06/2022</v>
      </c>
      <c r="F1968" s="510" t="str">
        <f>IF($C1968="",IFERROR(VLOOKUP($B1968,SERVIÇOS!$B:$G,3,0),IFERROR(VLOOKUP($B1968,$D:$K,3,0),"")),IFERROR(VLOOKUP($C1968,INSUMOS!$A:$D,3,0),IFERROR(VLOOKUP($C1968,COTAÇÕES!$B:$I,3,0),(VLOOKUP($C1968,'INSUMO SINAPI - SP'!$C:$F,3,0)))))</f>
        <v>KG</v>
      </c>
      <c r="G1968" s="511">
        <v>7.9741999999999997</v>
      </c>
      <c r="H1968" s="512">
        <f>IF($C1968="",IFERROR(VLOOKUP($B1968,SERVIÇOS!$B:$G,6,0),IFERROR(VLOOKUP($B1968,$D:$K,8,0),"")),IFERROR(VLOOKUP($C1968,INSUMOS!$A:$D,4,0),IFERROR(VLOOKUP($C1968,COTAÇÕES!$B:$I,7,0),(VLOOKUP($C1968,'INSUMO SINAPI - SP'!$C:$F,4,0)))))</f>
        <v>9.41</v>
      </c>
      <c r="I1968" s="513">
        <f>TRUNC(IF($C1968="",IFERROR(VLOOKUP($B1968,SERVIÇOS!$B:$G,4,0),IFERROR(VLOOKUP($B1968,$D:$K,6,0),)),IFERROR(VLOOKUP($C1968,INSUMOS!$A:$D,4,0),IFERROR(VLOOKUP($C1968,COTAÇÕES!$B:$I,7,0),(VLOOKUP($C1968,'INSUMO SINAPI - SP'!$C:$F,4,0)))))*$G1968,2)</f>
        <v>67.7</v>
      </c>
      <c r="J1968" s="513">
        <f>TRUNC(IF($C1968="",IFERROR(VLOOKUP($B1968,SERVIÇOS!$B:$G,5,0),IFERROR(VLOOKUP($B1968,$D:$K,7,0),)),0)*$G1968,2)</f>
        <v>7.33</v>
      </c>
      <c r="K1968" s="514">
        <f t="shared" si="74"/>
        <v>75.03</v>
      </c>
      <c r="L1968" s="515"/>
      <c r="M1968" s="471"/>
      <c r="Q1968" s="472"/>
      <c r="R1968" s="472"/>
      <c r="S1968" s="472"/>
      <c r="T1968" s="472"/>
      <c r="U1968" s="472"/>
      <c r="V1968" s="472"/>
      <c r="W1968" s="472"/>
      <c r="X1968" s="472"/>
      <c r="Y1968" s="472"/>
    </row>
    <row r="1969" spans="1:25" ht="24" x14ac:dyDescent="0.25">
      <c r="A1969" s="463"/>
      <c r="B1969" s="507">
        <v>92764</v>
      </c>
      <c r="C1969" s="507"/>
      <c r="D1969" s="508"/>
      <c r="E1969" s="509" t="str">
        <f>IF($C1969="",IFERROR(VLOOKUP($B1969,SERVIÇOS!$B:$G,2,0),IFERROR(VLOOKUP($B1969,$D:$K,2,0),"")),IFERROR(VLOOKUP($C1969,INSUMOS!$A:$D,2,0),IFERROR(VLOOKUP($C1969,COTAÇÕES!$B:$I,2,0),(VLOOKUP($C1969,'INSUMO SINAPI - SP'!$C:$F,2,0)))))</f>
        <v>ARMAÇÃO DE PILAR OU VIGA DE ESTRUTURA CONVENCIONAL DE CONCRETO ARMADO UTILIZANDO AÇO CA-50 DE 16,0 MM - MONTAGEM. AF_06/2022</v>
      </c>
      <c r="F1969" s="510" t="str">
        <f>IF($C1969="",IFERROR(VLOOKUP($B1969,SERVIÇOS!$B:$G,3,0),IFERROR(VLOOKUP($B1969,$D:$K,3,0),"")),IFERROR(VLOOKUP($C1969,INSUMOS!$A:$D,3,0),IFERROR(VLOOKUP($C1969,COTAÇÕES!$B:$I,3,0),(VLOOKUP($C1969,'INSUMO SINAPI - SP'!$C:$F,3,0)))))</f>
        <v>KG</v>
      </c>
      <c r="G1969" s="511">
        <v>2.4283000000000001</v>
      </c>
      <c r="H1969" s="512">
        <f>IF($C1969="",IFERROR(VLOOKUP($B1969,SERVIÇOS!$B:$G,6,0),IFERROR(VLOOKUP($B1969,$D:$K,8,0),"")),IFERROR(VLOOKUP($C1969,INSUMOS!$A:$D,4,0),IFERROR(VLOOKUP($C1969,COTAÇÕES!$B:$I,7,0),(VLOOKUP($C1969,'INSUMO SINAPI - SP'!$C:$F,4,0)))))</f>
        <v>9.01</v>
      </c>
      <c r="I1969" s="513">
        <f>TRUNC(IF($C1969="",IFERROR(VLOOKUP($B1969,SERVIÇOS!$B:$G,4,0),IFERROR(VLOOKUP($B1969,$D:$K,6,0),)),IFERROR(VLOOKUP($C1969,INSUMOS!$A:$D,4,0),IFERROR(VLOOKUP($C1969,COTAÇÕES!$B:$I,7,0),(VLOOKUP($C1969,'INSUMO SINAPI - SP'!$C:$F,4,0)))))*$G1969,2)</f>
        <v>20.32</v>
      </c>
      <c r="J1969" s="513">
        <f>TRUNC(IF($C1969="",IFERROR(VLOOKUP($B1969,SERVIÇOS!$B:$G,5,0),IFERROR(VLOOKUP($B1969,$D:$K,7,0),)),0)*$G1969,2)</f>
        <v>1.55</v>
      </c>
      <c r="K1969" s="514">
        <f t="shared" si="74"/>
        <v>21.87</v>
      </c>
      <c r="L1969" s="515"/>
      <c r="M1969" s="471"/>
      <c r="Q1969" s="472"/>
      <c r="R1969" s="472"/>
      <c r="S1969" s="472"/>
      <c r="T1969" s="472"/>
      <c r="U1969" s="472"/>
      <c r="V1969" s="472"/>
      <c r="W1969" s="472"/>
      <c r="X1969" s="472"/>
      <c r="Y1969" s="472"/>
    </row>
    <row r="1970" spans="1:25" ht="24" x14ac:dyDescent="0.25">
      <c r="A1970" s="463"/>
      <c r="B1970" s="507">
        <v>92765</v>
      </c>
      <c r="C1970" s="507"/>
      <c r="D1970" s="508"/>
      <c r="E1970" s="509" t="str">
        <f>IF($C1970="",IFERROR(VLOOKUP($B1970,SERVIÇOS!$B:$G,2,0),IFERROR(VLOOKUP($B1970,$D:$K,2,0),"")),IFERROR(VLOOKUP($C1970,INSUMOS!$A:$D,2,0),IFERROR(VLOOKUP($C1970,COTAÇÕES!$B:$I,2,0),(VLOOKUP($C1970,'INSUMO SINAPI - SP'!$C:$F,2,0)))))</f>
        <v>ARMAÇÃO DE PILAR OU VIGA DE ESTRUTURA CONVENCIONAL DE CONCRETO ARMADO UTILIZANDO AÇO CA-50 DE 20,0 MM - MONTAGEM. AF_06/2022</v>
      </c>
      <c r="F1970" s="510" t="str">
        <f>IF($C1970="",IFERROR(VLOOKUP($B1970,SERVIÇOS!$B:$G,3,0),IFERROR(VLOOKUP($B1970,$D:$K,3,0),"")),IFERROR(VLOOKUP($C1970,INSUMOS!$A:$D,3,0),IFERROR(VLOOKUP($C1970,COTAÇÕES!$B:$I,3,0),(VLOOKUP($C1970,'INSUMO SINAPI - SP'!$C:$F,3,0)))))</f>
        <v>KG</v>
      </c>
      <c r="G1970" s="511">
        <v>4.2644000000000002</v>
      </c>
      <c r="H1970" s="512">
        <f>IF($C1970="",IFERROR(VLOOKUP($B1970,SERVIÇOS!$B:$G,6,0),IFERROR(VLOOKUP($B1970,$D:$K,8,0),"")),IFERROR(VLOOKUP($C1970,INSUMOS!$A:$D,4,0),IFERROR(VLOOKUP($C1970,COTAÇÕES!$B:$I,7,0),(VLOOKUP($C1970,'INSUMO SINAPI - SP'!$C:$F,4,0)))))</f>
        <v>10.119999999999999</v>
      </c>
      <c r="I1970" s="513">
        <f>TRUNC(IF($C1970="",IFERROR(VLOOKUP($B1970,SERVIÇOS!$B:$G,4,0),IFERROR(VLOOKUP($B1970,$D:$K,6,0),)),IFERROR(VLOOKUP($C1970,INSUMOS!$A:$D,4,0),IFERROR(VLOOKUP($C1970,COTAÇÕES!$B:$I,7,0),(VLOOKUP($C1970,'INSUMO SINAPI - SP'!$C:$F,4,0)))))*$G1970,2)</f>
        <v>41.1</v>
      </c>
      <c r="J1970" s="513">
        <f>TRUNC(IF($C1970="",IFERROR(VLOOKUP($B1970,SERVIÇOS!$B:$G,5,0),IFERROR(VLOOKUP($B1970,$D:$K,7,0),)),0)*$G1970,2)</f>
        <v>2.04</v>
      </c>
      <c r="K1970" s="514">
        <f t="shared" si="74"/>
        <v>43.14</v>
      </c>
      <c r="L1970" s="515"/>
      <c r="M1970" s="471"/>
      <c r="Q1970" s="472"/>
      <c r="R1970" s="472"/>
      <c r="S1970" s="472"/>
      <c r="T1970" s="472"/>
      <c r="U1970" s="472"/>
      <c r="V1970" s="472"/>
      <c r="W1970" s="472"/>
      <c r="X1970" s="472"/>
      <c r="Y1970" s="472"/>
    </row>
    <row r="1971" spans="1:25" ht="24" x14ac:dyDescent="0.25">
      <c r="A1971" s="463"/>
      <c r="B1971" s="507">
        <v>92760</v>
      </c>
      <c r="C1971" s="507"/>
      <c r="D1971" s="508"/>
      <c r="E1971" s="509" t="str">
        <f>IF($C1971="",IFERROR(VLOOKUP($B1971,SERVIÇOS!$B:$G,2,0),IFERROR(VLOOKUP($B1971,$D:$K,2,0),"")),IFERROR(VLOOKUP($C1971,INSUMOS!$A:$D,2,0),IFERROR(VLOOKUP($C1971,COTAÇÕES!$B:$I,2,0),(VLOOKUP($C1971,'INSUMO SINAPI - SP'!$C:$F,2,0)))))</f>
        <v>ARMAÇÃO DE PILAR OU VIGA DE ESTRUTURA CONVENCIONAL DE CONCRETO ARMADO UTILIZANDO AÇO CA-50 DE 6,3 MM - MONTAGEM. AF_06/2022</v>
      </c>
      <c r="F1971" s="510" t="str">
        <f>IF($C1971="",IFERROR(VLOOKUP($B1971,SERVIÇOS!$B:$G,3,0),IFERROR(VLOOKUP($B1971,$D:$K,3,0),"")),IFERROR(VLOOKUP($C1971,INSUMOS!$A:$D,3,0),IFERROR(VLOOKUP($C1971,COTAÇÕES!$B:$I,3,0),(VLOOKUP($C1971,'INSUMO SINAPI - SP'!$C:$F,3,0)))))</f>
        <v>KG</v>
      </c>
      <c r="G1971" s="511">
        <v>2.6901999999999999</v>
      </c>
      <c r="H1971" s="512">
        <f>IF($C1971="",IFERROR(VLOOKUP($B1971,SERVIÇOS!$B:$G,6,0),IFERROR(VLOOKUP($B1971,$D:$K,8,0),"")),IFERROR(VLOOKUP($C1971,INSUMOS!$A:$D,4,0),IFERROR(VLOOKUP($C1971,COTAÇÕES!$B:$I,7,0),(VLOOKUP($C1971,'INSUMO SINAPI - SP'!$C:$F,4,0)))))</f>
        <v>14.14</v>
      </c>
      <c r="I1971" s="513">
        <f>TRUNC(IF($C1971="",IFERROR(VLOOKUP($B1971,SERVIÇOS!$B:$G,4,0),IFERROR(VLOOKUP($B1971,$D:$K,6,0),)),IFERROR(VLOOKUP($C1971,INSUMOS!$A:$D,4,0),IFERROR(VLOOKUP($C1971,COTAÇÕES!$B:$I,7,0),(VLOOKUP($C1971,'INSUMO SINAPI - SP'!$C:$F,4,0)))))*$G1971,2)</f>
        <v>29</v>
      </c>
      <c r="J1971" s="513">
        <f>TRUNC(IF($C1971="",IFERROR(VLOOKUP($B1971,SERVIÇOS!$B:$G,5,0),IFERROR(VLOOKUP($B1971,$D:$K,7,0),)),0)*$G1971,2)</f>
        <v>9.0299999999999994</v>
      </c>
      <c r="K1971" s="514">
        <f t="shared" si="74"/>
        <v>38.03</v>
      </c>
      <c r="L1971" s="515"/>
      <c r="M1971" s="471"/>
      <c r="Q1971" s="472"/>
      <c r="R1971" s="472"/>
      <c r="S1971" s="472"/>
      <c r="T1971" s="472"/>
      <c r="U1971" s="472"/>
      <c r="V1971" s="472"/>
      <c r="W1971" s="472"/>
      <c r="X1971" s="472"/>
      <c r="Y1971" s="472"/>
    </row>
    <row r="1972" spans="1:25" ht="24" x14ac:dyDescent="0.25">
      <c r="A1972" s="463"/>
      <c r="B1972" s="507">
        <v>92761</v>
      </c>
      <c r="C1972" s="507"/>
      <c r="D1972" s="508"/>
      <c r="E1972" s="509" t="str">
        <f>IF($C1972="",IFERROR(VLOOKUP($B1972,SERVIÇOS!$B:$G,2,0),IFERROR(VLOOKUP($B1972,$D:$K,2,0),"")),IFERROR(VLOOKUP($C1972,INSUMOS!$A:$D,2,0),IFERROR(VLOOKUP($C1972,COTAÇÕES!$B:$I,2,0),(VLOOKUP($C1972,'INSUMO SINAPI - SP'!$C:$F,2,0)))))</f>
        <v>ARMAÇÃO DE PILAR OU VIGA DE ESTRUTURA CONVENCIONAL DE CONCRETO ARMADO UTILIZANDO AÇO CA-50 DE 8,0 MM - MONTAGEM. AF_06/2022</v>
      </c>
      <c r="F1972" s="510" t="str">
        <f>IF($C1972="",IFERROR(VLOOKUP($B1972,SERVIÇOS!$B:$G,3,0),IFERROR(VLOOKUP($B1972,$D:$K,3,0),"")),IFERROR(VLOOKUP($C1972,INSUMOS!$A:$D,3,0),IFERROR(VLOOKUP($C1972,COTAÇÕES!$B:$I,3,0),(VLOOKUP($C1972,'INSUMO SINAPI - SP'!$C:$F,3,0)))))</f>
        <v>KG</v>
      </c>
      <c r="G1972" s="511">
        <v>0.97760000000000002</v>
      </c>
      <c r="H1972" s="512">
        <f>IF($C1972="",IFERROR(VLOOKUP($B1972,SERVIÇOS!$B:$G,6,0),IFERROR(VLOOKUP($B1972,$D:$K,8,0),"")),IFERROR(VLOOKUP($C1972,INSUMOS!$A:$D,4,0),IFERROR(VLOOKUP($C1972,COTAÇÕES!$B:$I,7,0),(VLOOKUP($C1972,'INSUMO SINAPI - SP'!$C:$F,4,0)))))</f>
        <v>12.89</v>
      </c>
      <c r="I1972" s="513">
        <f>TRUNC(IF($C1972="",IFERROR(VLOOKUP($B1972,SERVIÇOS!$B:$G,4,0),IFERROR(VLOOKUP($B1972,$D:$K,6,0),)),IFERROR(VLOOKUP($C1972,INSUMOS!$A:$D,4,0),IFERROR(VLOOKUP($C1972,COTAÇÕES!$B:$I,7,0),(VLOOKUP($C1972,'INSUMO SINAPI - SP'!$C:$F,4,0)))))*$G1972,2)</f>
        <v>10.44</v>
      </c>
      <c r="J1972" s="513">
        <f>TRUNC(IF($C1972="",IFERROR(VLOOKUP($B1972,SERVIÇOS!$B:$G,5,0),IFERROR(VLOOKUP($B1972,$D:$K,7,0),)),0)*$G1972,2)</f>
        <v>2.16</v>
      </c>
      <c r="K1972" s="514">
        <f t="shared" si="74"/>
        <v>12.6</v>
      </c>
      <c r="L1972" s="515"/>
      <c r="M1972" s="471"/>
      <c r="Q1972" s="472"/>
      <c r="R1972" s="472"/>
      <c r="S1972" s="472"/>
      <c r="T1972" s="472"/>
      <c r="U1972" s="472"/>
      <c r="V1972" s="472"/>
      <c r="W1972" s="472"/>
      <c r="X1972" s="472"/>
      <c r="Y1972" s="472"/>
    </row>
    <row r="1973" spans="1:25" ht="24" x14ac:dyDescent="0.25">
      <c r="A1973" s="463"/>
      <c r="B1973" s="507">
        <v>92759</v>
      </c>
      <c r="C1973" s="507"/>
      <c r="D1973" s="508"/>
      <c r="E1973" s="509" t="str">
        <f>IF($C1973="",IFERROR(VLOOKUP($B1973,SERVIÇOS!$B:$G,2,0),IFERROR(VLOOKUP($B1973,$D:$K,2,0),"")),IFERROR(VLOOKUP($C1973,INSUMOS!$A:$D,2,0),IFERROR(VLOOKUP($C1973,COTAÇÕES!$B:$I,2,0),(VLOOKUP($C1973,'INSUMO SINAPI - SP'!$C:$F,2,0)))))</f>
        <v>ARMAÇÃO DE PILAR OU VIGA DE ESTRUTURA CONVENCIONAL DE CONCRETO ARMADO UTILIZANDO AÇO CA-60 DE 5,0 MM - MONTAGEM. AF_06/2022</v>
      </c>
      <c r="F1973" s="510" t="str">
        <f>IF($C1973="",IFERROR(VLOOKUP($B1973,SERVIÇOS!$B:$G,3,0),IFERROR(VLOOKUP($B1973,$D:$K,3,0),"")),IFERROR(VLOOKUP($C1973,INSUMOS!$A:$D,3,0),IFERROR(VLOOKUP($C1973,COTAÇÕES!$B:$I,3,0),(VLOOKUP($C1973,'INSUMO SINAPI - SP'!$C:$F,3,0)))))</f>
        <v>KG</v>
      </c>
      <c r="G1973" s="511">
        <v>2.7682000000000002</v>
      </c>
      <c r="H1973" s="512">
        <f>IF($C1973="",IFERROR(VLOOKUP($B1973,SERVIÇOS!$B:$G,6,0),IFERROR(VLOOKUP($B1973,$D:$K,8,0),"")),IFERROR(VLOOKUP($C1973,INSUMOS!$A:$D,4,0),IFERROR(VLOOKUP($C1973,COTAÇÕES!$B:$I,7,0),(VLOOKUP($C1973,'INSUMO SINAPI - SP'!$C:$F,4,0)))))</f>
        <v>15.57</v>
      </c>
      <c r="I1973" s="513">
        <f>TRUNC(IF($C1973="",IFERROR(VLOOKUP($B1973,SERVIÇOS!$B:$G,4,0),IFERROR(VLOOKUP($B1973,$D:$K,6,0),)),IFERROR(VLOOKUP($C1973,INSUMOS!$A:$D,4,0),IFERROR(VLOOKUP($C1973,COTAÇÕES!$B:$I,7,0),(VLOOKUP($C1973,'INSUMO SINAPI - SP'!$C:$F,4,0)))))*$G1973,2)</f>
        <v>29.09</v>
      </c>
      <c r="J1973" s="513">
        <f>TRUNC(IF($C1973="",IFERROR(VLOOKUP($B1973,SERVIÇOS!$B:$G,5,0),IFERROR(VLOOKUP($B1973,$D:$K,7,0),)),0)*$G1973,2)</f>
        <v>14</v>
      </c>
      <c r="K1973" s="514">
        <f t="shared" si="74"/>
        <v>43.09</v>
      </c>
      <c r="L1973" s="515"/>
      <c r="M1973" s="471"/>
      <c r="Q1973" s="472"/>
      <c r="R1973" s="472"/>
      <c r="S1973" s="472"/>
      <c r="T1973" s="472"/>
      <c r="U1973" s="472"/>
      <c r="V1973" s="472"/>
      <c r="W1973" s="472"/>
      <c r="X1973" s="472"/>
      <c r="Y1973" s="472"/>
    </row>
    <row r="1974" spans="1:25" ht="24" x14ac:dyDescent="0.25">
      <c r="A1974" s="463"/>
      <c r="B1974" s="507">
        <v>96557</v>
      </c>
      <c r="C1974" s="507"/>
      <c r="D1974" s="508"/>
      <c r="E1974" s="509" t="str">
        <f>IF($C1974="",IFERROR(VLOOKUP($B1974,SERVIÇOS!$B:$G,2,0),IFERROR(VLOOKUP($B1974,$D:$K,2,0),"")),IFERROR(VLOOKUP($C1974,INSUMOS!$A:$D,2,0),IFERROR(VLOOKUP($C1974,COTAÇÕES!$B:$I,2,0),(VLOOKUP($C1974,'INSUMO SINAPI - SP'!$C:$F,2,0)))))</f>
        <v>CONCRETAGEM DE BLOCO DE COROAMENTO OU VIGA BALDRAME, FCK 30 MPA, COM USO DE BOMBA - LANÇAMENTO, ADENSAMENTO E ACABAMENTO. AF_01/2024</v>
      </c>
      <c r="F1974" s="510" t="str">
        <f>IF($C1974="",IFERROR(VLOOKUP($B1974,SERVIÇOS!$B:$G,3,0),IFERROR(VLOOKUP($B1974,$D:$K,3,0),"")),IFERROR(VLOOKUP($C1974,INSUMOS!$A:$D,3,0),IFERROR(VLOOKUP($C1974,COTAÇÕES!$B:$I,3,0),(VLOOKUP($C1974,'INSUMO SINAPI - SP'!$C:$F,3,0)))))</f>
        <v>M3</v>
      </c>
      <c r="G1974" s="511">
        <v>4.02E-2</v>
      </c>
      <c r="H1974" s="512">
        <f>IF($C1974="",IFERROR(VLOOKUP($B1974,SERVIÇOS!$B:$G,6,0),IFERROR(VLOOKUP($B1974,$D:$K,8,0),"")),IFERROR(VLOOKUP($C1974,INSUMOS!$A:$D,4,0),IFERROR(VLOOKUP($C1974,COTAÇÕES!$B:$I,7,0),(VLOOKUP($C1974,'INSUMO SINAPI - SP'!$C:$F,4,0)))))</f>
        <v>663.5</v>
      </c>
      <c r="I1974" s="513">
        <f>TRUNC(IF($C1974="",IFERROR(VLOOKUP($B1974,SERVIÇOS!$B:$G,4,0),IFERROR(VLOOKUP($B1974,$D:$K,6,0),)),IFERROR(VLOOKUP($C1974,INSUMOS!$A:$D,4,0),IFERROR(VLOOKUP($C1974,COTAÇÕES!$B:$I,7,0),(VLOOKUP($C1974,'INSUMO SINAPI - SP'!$C:$F,4,0)))))*$G1974,2)</f>
        <v>25.91</v>
      </c>
      <c r="J1974" s="513">
        <f>TRUNC(IF($C1974="",IFERROR(VLOOKUP($B1974,SERVIÇOS!$B:$G,5,0),IFERROR(VLOOKUP($B1974,$D:$K,7,0),)),0)*$G1974,2)</f>
        <v>0.76</v>
      </c>
      <c r="K1974" s="514">
        <f t="shared" si="74"/>
        <v>26.67</v>
      </c>
      <c r="L1974" s="515"/>
      <c r="M1974" s="471"/>
      <c r="Q1974" s="472"/>
      <c r="R1974" s="472"/>
      <c r="S1974" s="472"/>
      <c r="T1974" s="472"/>
      <c r="U1974" s="472"/>
      <c r="V1974" s="472"/>
      <c r="W1974" s="472"/>
      <c r="X1974" s="472"/>
      <c r="Y1974" s="472"/>
    </row>
    <row r="1975" spans="1:25" ht="24" x14ac:dyDescent="0.25">
      <c r="A1975" s="463"/>
      <c r="B1975" s="507">
        <v>103672</v>
      </c>
      <c r="C1975" s="507"/>
      <c r="D1975" s="508"/>
      <c r="E1975" s="509" t="str">
        <f>IF($C1975="",IFERROR(VLOOKUP($B1975,SERVIÇOS!$B:$G,2,0),IFERROR(VLOOKUP($B1975,$D:$K,2,0),"")),IFERROR(VLOOKUP($C1975,INSUMOS!$A:$D,2,0),IFERROR(VLOOKUP($C1975,COTAÇÕES!$B:$I,2,0),(VLOOKUP($C1975,'INSUMO SINAPI - SP'!$C:$F,2,0)))))</f>
        <v>CONCRETAGEM DE PILARES, FCK = 25 MPA, COM USO DE BOMBA - LANÇAMENTO, ADENSAMENTO E ACABAMENTO. AF_02/2022_PS</v>
      </c>
      <c r="F1975" s="510" t="str">
        <f>IF($C1975="",IFERROR(VLOOKUP($B1975,SERVIÇOS!$B:$G,3,0),IFERROR(VLOOKUP($B1975,$D:$K,3,0),"")),IFERROR(VLOOKUP($C1975,INSUMOS!$A:$D,3,0),IFERROR(VLOOKUP($C1975,COTAÇÕES!$B:$I,3,0),(VLOOKUP($C1975,'INSUMO SINAPI - SP'!$C:$F,3,0)))))</f>
        <v>M3</v>
      </c>
      <c r="G1975" s="511">
        <v>0.1235</v>
      </c>
      <c r="H1975" s="512">
        <f>IF($C1975="",IFERROR(VLOOKUP($B1975,SERVIÇOS!$B:$G,6,0),IFERROR(VLOOKUP($B1975,$D:$K,8,0),"")),IFERROR(VLOOKUP($C1975,INSUMOS!$A:$D,4,0),IFERROR(VLOOKUP($C1975,COTAÇÕES!$B:$I,7,0),(VLOOKUP($C1975,'INSUMO SINAPI - SP'!$C:$F,4,0)))))</f>
        <v>609.08000000000004</v>
      </c>
      <c r="I1975" s="513">
        <f>TRUNC(IF($C1975="",IFERROR(VLOOKUP($B1975,SERVIÇOS!$B:$G,4,0),IFERROR(VLOOKUP($B1975,$D:$K,6,0),)),IFERROR(VLOOKUP($C1975,INSUMOS!$A:$D,4,0),IFERROR(VLOOKUP($C1975,COTAÇÕES!$B:$I,7,0),(VLOOKUP($C1975,'INSUMO SINAPI - SP'!$C:$F,4,0)))))*$G1975,2)</f>
        <v>70.459999999999994</v>
      </c>
      <c r="J1975" s="513">
        <f>TRUNC(IF($C1975="",IFERROR(VLOOKUP($B1975,SERVIÇOS!$B:$G,5,0),IFERROR(VLOOKUP($B1975,$D:$K,7,0),)),0)*$G1975,2)</f>
        <v>4.76</v>
      </c>
      <c r="K1975" s="514">
        <f t="shared" si="74"/>
        <v>75.22</v>
      </c>
      <c r="L1975" s="515"/>
      <c r="M1975" s="471"/>
      <c r="Q1975" s="472"/>
      <c r="R1975" s="472"/>
      <c r="S1975" s="472"/>
      <c r="T1975" s="472"/>
      <c r="U1975" s="472"/>
      <c r="V1975" s="472"/>
      <c r="W1975" s="472"/>
      <c r="X1975" s="472"/>
      <c r="Y1975" s="472"/>
    </row>
    <row r="1976" spans="1:25" ht="24" x14ac:dyDescent="0.25">
      <c r="A1976" s="463"/>
      <c r="B1976" s="507">
        <v>103675</v>
      </c>
      <c r="C1976" s="507"/>
      <c r="D1976" s="508"/>
      <c r="E1976" s="509" t="str">
        <f>IF($C1976="",IFERROR(VLOOKUP($B1976,SERVIÇOS!$B:$G,2,0),IFERROR(VLOOKUP($B1976,$D:$K,2,0),"")),IFERROR(VLOOKUP($C1976,INSUMOS!$A:$D,2,0),IFERROR(VLOOKUP($C1976,COTAÇÕES!$B:$I,2,0),(VLOOKUP($C1976,'INSUMO SINAPI - SP'!$C:$F,2,0)))))</f>
        <v>CONCRETAGEM DE VIGAS E LAJES, FCK=25 MPA, PARA LAJES MACIÇAS OU NERVURADAS COM USO DE BOMBA - LANÇAMENTO, ADENSAMENTO E ACABAMENTO. AF_02/2022_PS</v>
      </c>
      <c r="F1976" s="510" t="str">
        <f>IF($C1976="",IFERROR(VLOOKUP($B1976,SERVIÇOS!$B:$G,3,0),IFERROR(VLOOKUP($B1976,$D:$K,3,0),"")),IFERROR(VLOOKUP($C1976,INSUMOS!$A:$D,3,0),IFERROR(VLOOKUP($C1976,COTAÇÕES!$B:$I,3,0),(VLOOKUP($C1976,'INSUMO SINAPI - SP'!$C:$F,3,0)))))</f>
        <v>M3</v>
      </c>
      <c r="G1976" s="511">
        <v>0.83630000000000004</v>
      </c>
      <c r="H1976" s="512">
        <f>IF($C1976="",IFERROR(VLOOKUP($B1976,SERVIÇOS!$B:$G,6,0),IFERROR(VLOOKUP($B1976,$D:$K,8,0),"")),IFERROR(VLOOKUP($C1976,INSUMOS!$A:$D,4,0),IFERROR(VLOOKUP($C1976,COTAÇÕES!$B:$I,7,0),(VLOOKUP($C1976,'INSUMO SINAPI - SP'!$C:$F,4,0)))))</f>
        <v>610.13</v>
      </c>
      <c r="I1976" s="513">
        <f>TRUNC(IF($C1976="",IFERROR(VLOOKUP($B1976,SERVIÇOS!$B:$G,4,0),IFERROR(VLOOKUP($B1976,$D:$K,6,0),)),IFERROR(VLOOKUP($C1976,INSUMOS!$A:$D,4,0),IFERROR(VLOOKUP($C1976,COTAÇÕES!$B:$I,7,0),(VLOOKUP($C1976,'INSUMO SINAPI - SP'!$C:$F,4,0)))))*$G1976,2)</f>
        <v>476.53</v>
      </c>
      <c r="J1976" s="513">
        <f>TRUNC(IF($C1976="",IFERROR(VLOOKUP($B1976,SERVIÇOS!$B:$G,5,0),IFERROR(VLOOKUP($B1976,$D:$K,7,0),)),0)*$G1976,2)</f>
        <v>33.71</v>
      </c>
      <c r="K1976" s="514">
        <f t="shared" si="74"/>
        <v>510.23999999999995</v>
      </c>
      <c r="L1976" s="515"/>
      <c r="M1976" s="471"/>
      <c r="Q1976" s="472"/>
      <c r="R1976" s="472"/>
      <c r="S1976" s="472"/>
      <c r="T1976" s="472"/>
      <c r="U1976" s="472"/>
      <c r="V1976" s="472"/>
      <c r="W1976" s="472"/>
      <c r="X1976" s="472"/>
      <c r="Y1976" s="472"/>
    </row>
    <row r="1977" spans="1:25" ht="24" x14ac:dyDescent="0.25">
      <c r="A1977" s="463"/>
      <c r="B1977" s="507">
        <v>96542</v>
      </c>
      <c r="C1977" s="507"/>
      <c r="D1977" s="508"/>
      <c r="E1977" s="509" t="str">
        <f>IF($C1977="",IFERROR(VLOOKUP($B1977,SERVIÇOS!$B:$G,2,0),IFERROR(VLOOKUP($B1977,$D:$K,2,0),"")),IFERROR(VLOOKUP($C1977,INSUMOS!$A:$D,2,0),IFERROR(VLOOKUP($C1977,COTAÇÕES!$B:$I,2,0),(VLOOKUP($C1977,'INSUMO SINAPI - SP'!$C:$F,2,0)))))</f>
        <v>FABRICAÇÃO, MONTAGEM E DESMONTAGEM DE FÔRMA PARA VIGA BALDRAME, EM CHAPA DE MADEIRA COMPENSADA RESINADA, E=17 MM, 4 UTILIZAÇÕES. AF_01/2024</v>
      </c>
      <c r="F1977" s="510" t="str">
        <f>IF($C1977="",IFERROR(VLOOKUP($B1977,SERVIÇOS!$B:$G,3,0),IFERROR(VLOOKUP($B1977,$D:$K,3,0),"")),IFERROR(VLOOKUP($C1977,INSUMOS!$A:$D,3,0),IFERROR(VLOOKUP($C1977,COTAÇÕES!$B:$I,3,0),(VLOOKUP($C1977,'INSUMO SINAPI - SP'!$C:$F,3,0)))))</f>
        <v>M2</v>
      </c>
      <c r="G1977" s="511">
        <v>0.63980000000000004</v>
      </c>
      <c r="H1977" s="512">
        <f>IF($C1977="",IFERROR(VLOOKUP($B1977,SERVIÇOS!$B:$G,6,0),IFERROR(VLOOKUP($B1977,$D:$K,8,0),"")),IFERROR(VLOOKUP($C1977,INSUMOS!$A:$D,4,0),IFERROR(VLOOKUP($C1977,COTAÇÕES!$B:$I,7,0),(VLOOKUP($C1977,'INSUMO SINAPI - SP'!$C:$F,4,0)))))</f>
        <v>111.87</v>
      </c>
      <c r="I1977" s="513">
        <f>TRUNC(IF($C1977="",IFERROR(VLOOKUP($B1977,SERVIÇOS!$B:$G,4,0),IFERROR(VLOOKUP($B1977,$D:$K,6,0),)),IFERROR(VLOOKUP($C1977,INSUMOS!$A:$D,4,0),IFERROR(VLOOKUP($C1977,COTAÇÕES!$B:$I,7,0),(VLOOKUP($C1977,'INSUMO SINAPI - SP'!$C:$F,4,0)))))*$G1977,2)</f>
        <v>30.47</v>
      </c>
      <c r="J1977" s="513">
        <f>TRUNC(IF($C1977="",IFERROR(VLOOKUP($B1977,SERVIÇOS!$B:$G,5,0),IFERROR(VLOOKUP($B1977,$D:$K,7,0),)),0)*$G1977,2)</f>
        <v>41.1</v>
      </c>
      <c r="K1977" s="514">
        <f t="shared" si="74"/>
        <v>71.569999999999993</v>
      </c>
      <c r="L1977" s="515"/>
      <c r="M1977" s="471"/>
      <c r="Q1977" s="472"/>
      <c r="R1977" s="472"/>
      <c r="S1977" s="472"/>
      <c r="T1977" s="472"/>
      <c r="U1977" s="472"/>
      <c r="V1977" s="472"/>
      <c r="W1977" s="472"/>
      <c r="X1977" s="472"/>
      <c r="Y1977" s="472"/>
    </row>
    <row r="1978" spans="1:25" ht="24" x14ac:dyDescent="0.25">
      <c r="A1978" s="463"/>
      <c r="B1978" s="507">
        <v>92510</v>
      </c>
      <c r="C1978" s="507"/>
      <c r="D1978" s="508"/>
      <c r="E1978" s="509" t="str">
        <f>IF($C1978="",IFERROR(VLOOKUP($B1978,SERVIÇOS!$B:$G,2,0),IFERROR(VLOOKUP($B1978,$D:$K,2,0),"")),IFERROR(VLOOKUP($C1978,INSUMOS!$A:$D,2,0),IFERROR(VLOOKUP($C1978,COTAÇÕES!$B:$I,2,0),(VLOOKUP($C1978,'INSUMO SINAPI - SP'!$C:$F,2,0)))))</f>
        <v>MONTAGEM E DESMONTAGEM DE FÔRMA DE LAJE MACIÇA, PÉ-DIREITO SIMPLES, EM CHAPA DE MADEIRA COMPENSADA RESINADA, 2 UTILIZAÇÕES. AF_09/2020</v>
      </c>
      <c r="F1978" s="510" t="str">
        <f>IF($C1978="",IFERROR(VLOOKUP($B1978,SERVIÇOS!$B:$G,3,0),IFERROR(VLOOKUP($B1978,$D:$K,3,0),"")),IFERROR(VLOOKUP($C1978,INSUMOS!$A:$D,3,0),IFERROR(VLOOKUP($C1978,COTAÇÕES!$B:$I,3,0),(VLOOKUP($C1978,'INSUMO SINAPI - SP'!$C:$F,3,0)))))</f>
        <v>M2</v>
      </c>
      <c r="G1978" s="511">
        <v>4.6375000000000002</v>
      </c>
      <c r="H1978" s="512">
        <f>IF($C1978="",IFERROR(VLOOKUP($B1978,SERVIÇOS!$B:$G,6,0),IFERROR(VLOOKUP($B1978,$D:$K,8,0),"")),IFERROR(VLOOKUP($C1978,INSUMOS!$A:$D,4,0),IFERROR(VLOOKUP($C1978,COTAÇÕES!$B:$I,7,0),(VLOOKUP($C1978,'INSUMO SINAPI - SP'!$C:$F,4,0)))))</f>
        <v>71.06</v>
      </c>
      <c r="I1978" s="513">
        <f>TRUNC(IF($C1978="",IFERROR(VLOOKUP($B1978,SERVIÇOS!$B:$G,4,0),IFERROR(VLOOKUP($B1978,$D:$K,6,0),)),IFERROR(VLOOKUP($C1978,INSUMOS!$A:$D,4,0),IFERROR(VLOOKUP($C1978,COTAÇÕES!$B:$I,7,0),(VLOOKUP($C1978,'INSUMO SINAPI - SP'!$C:$F,4,0)))))*$G1978,2)</f>
        <v>227.65</v>
      </c>
      <c r="J1978" s="513">
        <f>TRUNC(IF($C1978="",IFERROR(VLOOKUP($B1978,SERVIÇOS!$B:$G,5,0),IFERROR(VLOOKUP($B1978,$D:$K,7,0),)),0)*$G1978,2)</f>
        <v>101.88</v>
      </c>
      <c r="K1978" s="514">
        <f t="shared" si="74"/>
        <v>329.53</v>
      </c>
      <c r="L1978" s="515"/>
      <c r="M1978" s="471"/>
      <c r="Q1978" s="472"/>
      <c r="R1978" s="472"/>
      <c r="S1978" s="472"/>
      <c r="T1978" s="472"/>
      <c r="U1978" s="472"/>
      <c r="V1978" s="472"/>
      <c r="W1978" s="472"/>
      <c r="X1978" s="472"/>
      <c r="Y1978" s="472"/>
    </row>
    <row r="1979" spans="1:25" ht="24" x14ac:dyDescent="0.25">
      <c r="A1979" s="463"/>
      <c r="B1979" s="507">
        <v>92415</v>
      </c>
      <c r="C1979" s="507"/>
      <c r="D1979" s="508"/>
      <c r="E1979" s="509" t="str">
        <f>IF($C1979="",IFERROR(VLOOKUP($B1979,SERVIÇOS!$B:$G,2,0),IFERROR(VLOOKUP($B1979,$D:$K,2,0),"")),IFERROR(VLOOKUP($C1979,INSUMOS!$A:$D,2,0),IFERROR(VLOOKUP($C1979,COTAÇÕES!$B:$I,2,0),(VLOOKUP($C1979,'INSUMO SINAPI - SP'!$C:$F,2,0)))))</f>
        <v>MONTAGEM E DESMONTAGEM DE FÔRMA DE PILARES RETANGULARES E ESTRUTURAS SIMILARES, PÉ-DIREITO SIMPLES, EM CHAPA DE MADEIRA COMPENSADA RESINADA, 2 UTILIZAÇÕES. AF_09/2020</v>
      </c>
      <c r="F1979" s="510" t="str">
        <f>IF($C1979="",IFERROR(VLOOKUP($B1979,SERVIÇOS!$B:$G,3,0),IFERROR(VLOOKUP($B1979,$D:$K,3,0),"")),IFERROR(VLOOKUP($C1979,INSUMOS!$A:$D,3,0),IFERROR(VLOOKUP($C1979,COTAÇÕES!$B:$I,3,0),(VLOOKUP($C1979,'INSUMO SINAPI - SP'!$C:$F,3,0)))))</f>
        <v>M2</v>
      </c>
      <c r="G1979" s="511">
        <v>0.77429999999999999</v>
      </c>
      <c r="H1979" s="512">
        <f>IF($C1979="",IFERROR(VLOOKUP($B1979,SERVIÇOS!$B:$G,6,0),IFERROR(VLOOKUP($B1979,$D:$K,8,0),"")),IFERROR(VLOOKUP($C1979,INSUMOS!$A:$D,4,0),IFERROR(VLOOKUP($C1979,COTAÇÕES!$B:$I,7,0),(VLOOKUP($C1979,'INSUMO SINAPI - SP'!$C:$F,4,0)))))</f>
        <v>152.56</v>
      </c>
      <c r="I1979" s="513">
        <f>TRUNC(IF($C1979="",IFERROR(VLOOKUP($B1979,SERVIÇOS!$B:$G,4,0),IFERROR(VLOOKUP($B1979,$D:$K,6,0),)),IFERROR(VLOOKUP($C1979,INSUMOS!$A:$D,4,0),IFERROR(VLOOKUP($C1979,COTAÇÕES!$B:$I,7,0),(VLOOKUP($C1979,'INSUMO SINAPI - SP'!$C:$F,4,0)))))*$G1979,2)</f>
        <v>72.2</v>
      </c>
      <c r="J1979" s="513">
        <f>TRUNC(IF($C1979="",IFERROR(VLOOKUP($B1979,SERVIÇOS!$B:$G,5,0),IFERROR(VLOOKUP($B1979,$D:$K,7,0),)),0)*$G1979,2)</f>
        <v>45.92</v>
      </c>
      <c r="K1979" s="514">
        <f t="shared" si="74"/>
        <v>118.12</v>
      </c>
      <c r="L1979" s="515"/>
      <c r="M1979" s="471"/>
      <c r="Q1979" s="472"/>
      <c r="R1979" s="472"/>
      <c r="S1979" s="472"/>
      <c r="T1979" s="472"/>
      <c r="U1979" s="472"/>
      <c r="V1979" s="472"/>
      <c r="W1979" s="472"/>
      <c r="X1979" s="472"/>
      <c r="Y1979" s="472"/>
    </row>
    <row r="1980" spans="1:25" ht="24" x14ac:dyDescent="0.25">
      <c r="A1980" s="463"/>
      <c r="B1980" s="507">
        <v>92451</v>
      </c>
      <c r="C1980" s="507"/>
      <c r="D1980" s="508"/>
      <c r="E1980" s="509" t="str">
        <f>IF($C1980="",IFERROR(VLOOKUP($B1980,SERVIÇOS!$B:$G,2,0),IFERROR(VLOOKUP($B1980,$D:$K,2,0),"")),IFERROR(VLOOKUP($C1980,INSUMOS!$A:$D,2,0),IFERROR(VLOOKUP($C1980,COTAÇÕES!$B:$I,2,0),(VLOOKUP($C1980,'INSUMO SINAPI - SP'!$C:$F,2,0)))))</f>
        <v>MONTAGEM E DESMONTAGEM DE FÔRMA DE VIGA, ESCORAMENTO COM GARFO DE MADEIRA, PÉ-DIREITO SIMPLES, EM CHAPA DE MADEIRA RESINADA, 2 UTILIZAÇÕES. AF_09/2020</v>
      </c>
      <c r="F1980" s="510" t="str">
        <f>IF($C1980="",IFERROR(VLOOKUP($B1980,SERVIÇOS!$B:$G,3,0),IFERROR(VLOOKUP($B1980,$D:$K,3,0),"")),IFERROR(VLOOKUP($C1980,INSUMOS!$A:$D,3,0),IFERROR(VLOOKUP($C1980,COTAÇÕES!$B:$I,3,0),(VLOOKUP($C1980,'INSUMO SINAPI - SP'!$C:$F,3,0)))))</f>
        <v>M2</v>
      </c>
      <c r="G1980" s="511">
        <v>2.5817999999999999</v>
      </c>
      <c r="H1980" s="512">
        <f>IF($C1980="",IFERROR(VLOOKUP($B1980,SERVIÇOS!$B:$G,6,0),IFERROR(VLOOKUP($B1980,$D:$K,8,0),"")),IFERROR(VLOOKUP($C1980,INSUMOS!$A:$D,4,0),IFERROR(VLOOKUP($C1980,COTAÇÕES!$B:$I,7,0),(VLOOKUP($C1980,'INSUMO SINAPI - SP'!$C:$F,4,0)))))</f>
        <v>196.7</v>
      </c>
      <c r="I1980" s="513">
        <f>TRUNC(IF($C1980="",IFERROR(VLOOKUP($B1980,SERVIÇOS!$B:$G,4,0),IFERROR(VLOOKUP($B1980,$D:$K,6,0),)),IFERROR(VLOOKUP($C1980,INSUMOS!$A:$D,4,0),IFERROR(VLOOKUP($C1980,COTAÇÕES!$B:$I,7,0),(VLOOKUP($C1980,'INSUMO SINAPI - SP'!$C:$F,4,0)))))*$G1980,2)</f>
        <v>330.41</v>
      </c>
      <c r="J1980" s="513">
        <f>TRUNC(IF($C1980="",IFERROR(VLOOKUP($B1980,SERVIÇOS!$B:$G,5,0),IFERROR(VLOOKUP($B1980,$D:$K,7,0),)),0)*$G1980,2)</f>
        <v>177.42</v>
      </c>
      <c r="K1980" s="514">
        <f t="shared" si="74"/>
        <v>507.83000000000004</v>
      </c>
      <c r="L1980" s="515"/>
      <c r="M1980" s="471"/>
      <c r="Q1980" s="472"/>
      <c r="R1980" s="472"/>
      <c r="S1980" s="472"/>
      <c r="T1980" s="472"/>
      <c r="U1980" s="472"/>
      <c r="V1980" s="472"/>
      <c r="W1980" s="472"/>
      <c r="X1980" s="472"/>
      <c r="Y1980" s="472"/>
    </row>
    <row r="1981" spans="1:25" ht="24" x14ac:dyDescent="0.25">
      <c r="A1981" s="463"/>
      <c r="B1981" s="498"/>
      <c r="C1981" s="498"/>
      <c r="D1981" s="499" t="s">
        <v>12289</v>
      </c>
      <c r="E1981" s="555" t="s">
        <v>13522</v>
      </c>
      <c r="F1981" s="501" t="s">
        <v>585</v>
      </c>
      <c r="G1981" s="502"/>
      <c r="H1981" s="503"/>
      <c r="I1981" s="504">
        <f>ROUND(SUM(I1982:I1984),2)</f>
        <v>44.17</v>
      </c>
      <c r="J1981" s="504">
        <f>ROUND(SUM(J1982:J1984),2)</f>
        <v>1.87</v>
      </c>
      <c r="K1981" s="504">
        <f>+J1981+I1981</f>
        <v>46.04</v>
      </c>
      <c r="L1981" s="523" t="s">
        <v>13523</v>
      </c>
      <c r="M1981" s="471"/>
      <c r="N1981" s="505"/>
      <c r="Q1981" s="472"/>
      <c r="R1981" s="472"/>
      <c r="S1981" s="472"/>
      <c r="T1981" s="472"/>
      <c r="U1981" s="472"/>
      <c r="V1981" s="472"/>
      <c r="W1981" s="472"/>
      <c r="X1981" s="472"/>
      <c r="Y1981" s="472"/>
    </row>
    <row r="1982" spans="1:25" ht="36" x14ac:dyDescent="0.25">
      <c r="A1982" s="463"/>
      <c r="B1982" s="506"/>
      <c r="C1982" s="507" t="s">
        <v>13524</v>
      </c>
      <c r="D1982" s="508"/>
      <c r="E1982" s="518" t="s">
        <v>13525</v>
      </c>
      <c r="F1982" s="519" t="s">
        <v>585</v>
      </c>
      <c r="G1982" s="511">
        <f>1.1*4</f>
        <v>4.4000000000000004</v>
      </c>
      <c r="H1982" s="520">
        <v>9.8800000000000008</v>
      </c>
      <c r="I1982" s="520">
        <f>TRUNC(H1982*G1982,2)</f>
        <v>43.47</v>
      </c>
      <c r="J1982" s="521"/>
      <c r="K1982" s="522">
        <f>I1982+J1982</f>
        <v>43.47</v>
      </c>
      <c r="L1982" s="517" t="s">
        <v>12901</v>
      </c>
      <c r="M1982" s="471"/>
      <c r="N1982" s="516"/>
      <c r="Q1982" s="472"/>
      <c r="R1982" s="472"/>
      <c r="S1982" s="472"/>
      <c r="T1982" s="472"/>
      <c r="U1982" s="472"/>
      <c r="V1982" s="472"/>
      <c r="W1982" s="472"/>
      <c r="X1982" s="472"/>
      <c r="Y1982" s="472"/>
    </row>
    <row r="1983" spans="1:25" x14ac:dyDescent="0.25">
      <c r="A1983" s="463"/>
      <c r="B1983" s="506">
        <v>88264</v>
      </c>
      <c r="C1983" s="507"/>
      <c r="D1983" s="508"/>
      <c r="E1983" s="509" t="str">
        <f>IF($C1983="",IFERROR(VLOOKUP($B1983,SERVIÇOS!$B:$G,2,0),IFERROR(VLOOKUP($B1983,$D:$K,2,0),"")),IFERROR(VLOOKUP($C1983,INSUMOS!$A:$D,2,0),IFERROR(VLOOKUP($C1983,COTAÇÕES!$B:$I,2,0),(VLOOKUP($C1983,'INSUMO SINAPI - SP'!$C:$F,2,0)))))</f>
        <v>ELETRICISTA COM ENCARGOS COMPLEMENTARES</v>
      </c>
      <c r="F1983" s="510" t="str">
        <f>IF($C1983="",IFERROR(VLOOKUP($B1983,SERVIÇOS!$B:$G,3,0),IFERROR(VLOOKUP($B1983,$D:$K,3,0),"")),IFERROR(VLOOKUP($C1983,INSUMOS!$A:$D,3,0),IFERROR(VLOOKUP($C1983,COTAÇÕES!$B:$I,3,0),(VLOOKUP($C1983,'INSUMO SINAPI - SP'!$C:$F,3,0)))))</f>
        <v>H</v>
      </c>
      <c r="G1983" s="511">
        <v>3.7999999999999999E-2</v>
      </c>
      <c r="H1983" s="512">
        <f>IF($C1983="",IFERROR(VLOOKUP($B1983,SERVIÇOS!$B:$G,6,0),IFERROR(VLOOKUP($B1983,$D:$K,8,0),"")),IFERROR(VLOOKUP($C1983,INSUMOS!$A:$D,4,0),IFERROR(VLOOKUP($C1983,COTAÇÕES!$B:$I,7,0),(VLOOKUP($C1983,'INSUMO SINAPI - SP'!$C:$F,4,0)))))</f>
        <v>37.369999999999997</v>
      </c>
      <c r="I1983" s="513">
        <f>TRUNC(IF($C1983="",IFERROR(VLOOKUP($B1983,SERVIÇOS!$B:$G,4,0),IFERROR(VLOOKUP($B1983,$D:$K,6,0),)),IFERROR(VLOOKUP($C1983,INSUMOS!$A:$D,4,0),IFERROR(VLOOKUP($C1983,COTAÇÕES!$B:$I,7,0),(VLOOKUP($C1983,'INSUMO SINAPI - SP'!$C:$F,4,0)))))*$G1983,2)</f>
        <v>0.35</v>
      </c>
      <c r="J1983" s="513">
        <f>TRUNC(IF($C1983="",IFERROR(VLOOKUP($B1983,SERVIÇOS!$B:$G,5,0),IFERROR(VLOOKUP($B1983,$D:$K,7,0),)),0)*$G1983,2)</f>
        <v>1.06</v>
      </c>
      <c r="K1983" s="514">
        <f>I1983+J1983</f>
        <v>1.4100000000000001</v>
      </c>
      <c r="L1983" s="515"/>
      <c r="M1983" s="471"/>
      <c r="N1983" s="516"/>
      <c r="Q1983" s="472"/>
      <c r="R1983" s="472"/>
      <c r="S1983" s="472"/>
      <c r="T1983" s="472"/>
      <c r="U1983" s="472"/>
      <c r="V1983" s="472"/>
      <c r="W1983" s="472"/>
      <c r="X1983" s="472"/>
      <c r="Y1983" s="472"/>
    </row>
    <row r="1984" spans="1:25" x14ac:dyDescent="0.25">
      <c r="A1984" s="463"/>
      <c r="B1984" s="506">
        <v>88247</v>
      </c>
      <c r="C1984" s="507"/>
      <c r="D1984" s="508"/>
      <c r="E1984" s="509" t="str">
        <f>IF($C1984="",IFERROR(VLOOKUP($B1984,SERVIÇOS!$B:$G,2,0),IFERROR(VLOOKUP($B1984,$D:$K,2,0),"")),IFERROR(VLOOKUP($C1984,INSUMOS!$A:$D,2,0),IFERROR(VLOOKUP($C1984,COTAÇÕES!$B:$I,2,0),(VLOOKUP($C1984,'INSUMO SINAPI - SP'!$C:$F,2,0)))))</f>
        <v>AUXILIAR DE ELETRICISTA COM ENCARGOS COMPLEMENTARES</v>
      </c>
      <c r="F1984" s="510" t="str">
        <f>IF($C1984="",IFERROR(VLOOKUP($B1984,SERVIÇOS!$B:$G,3,0),IFERROR(VLOOKUP($B1984,$D:$K,3,0),"")),IFERROR(VLOOKUP($C1984,INSUMOS!$A:$D,3,0),IFERROR(VLOOKUP($C1984,COTAÇÕES!$B:$I,3,0),(VLOOKUP($C1984,'INSUMO SINAPI - SP'!$C:$F,3,0)))))</f>
        <v>H</v>
      </c>
      <c r="G1984" s="511">
        <v>3.7999999999999999E-2</v>
      </c>
      <c r="H1984" s="512">
        <f>IF($C1984="",IFERROR(VLOOKUP($B1984,SERVIÇOS!$B:$G,6,0),IFERROR(VLOOKUP($B1984,$D:$K,8,0),"")),IFERROR(VLOOKUP($C1984,INSUMOS!$A:$D,4,0),IFERROR(VLOOKUP($C1984,COTAÇÕES!$B:$I,7,0),(VLOOKUP($C1984,'INSUMO SINAPI - SP'!$C:$F,4,0)))))</f>
        <v>30.8</v>
      </c>
      <c r="I1984" s="513">
        <f>TRUNC(IF($C1984="",IFERROR(VLOOKUP($B1984,SERVIÇOS!$B:$G,4,0),IFERROR(VLOOKUP($B1984,$D:$K,6,0),)),IFERROR(VLOOKUP($C1984,INSUMOS!$A:$D,4,0),IFERROR(VLOOKUP($C1984,COTAÇÕES!$B:$I,7,0),(VLOOKUP($C1984,'INSUMO SINAPI - SP'!$C:$F,4,0)))))*$G1984,2)</f>
        <v>0.35</v>
      </c>
      <c r="J1984" s="513">
        <f>TRUNC(IF($C1984="",IFERROR(VLOOKUP($B1984,SERVIÇOS!$B:$G,5,0),IFERROR(VLOOKUP($B1984,$D:$K,7,0),)),0)*$G1984,2)</f>
        <v>0.81</v>
      </c>
      <c r="K1984" s="514">
        <f>I1984+J1984</f>
        <v>1.1600000000000001</v>
      </c>
      <c r="L1984" s="515"/>
      <c r="M1984" s="471"/>
      <c r="N1984" s="516"/>
      <c r="Q1984" s="472"/>
      <c r="R1984" s="472"/>
      <c r="S1984" s="472"/>
      <c r="T1984" s="472"/>
      <c r="U1984" s="472"/>
      <c r="V1984" s="472"/>
      <c r="W1984" s="472"/>
      <c r="X1984" s="472"/>
      <c r="Y1984" s="472"/>
    </row>
    <row r="1985" spans="1:25" ht="24" x14ac:dyDescent="0.25">
      <c r="A1985" s="463"/>
      <c r="B1985" s="498"/>
      <c r="C1985" s="498"/>
      <c r="D1985" s="499" t="s">
        <v>12290</v>
      </c>
      <c r="E1985" s="555" t="s">
        <v>13526</v>
      </c>
      <c r="F1985" s="501" t="s">
        <v>585</v>
      </c>
      <c r="G1985" s="502"/>
      <c r="H1985" s="503"/>
      <c r="I1985" s="504">
        <f>ROUND(SUM(I1986:I1988),2)</f>
        <v>487.14</v>
      </c>
      <c r="J1985" s="504">
        <f>ROUND(SUM(J1986:J1988),2)</f>
        <v>49.58</v>
      </c>
      <c r="K1985" s="504">
        <f>+J1985+I1985</f>
        <v>536.72</v>
      </c>
      <c r="L1985" s="523" t="s">
        <v>13527</v>
      </c>
      <c r="M1985" s="471"/>
      <c r="N1985" s="505"/>
      <c r="Q1985" s="472"/>
      <c r="R1985" s="472"/>
      <c r="S1985" s="472"/>
      <c r="T1985" s="472"/>
      <c r="U1985" s="472"/>
      <c r="V1985" s="472"/>
      <c r="W1985" s="472"/>
      <c r="X1985" s="472"/>
      <c r="Y1985" s="472"/>
    </row>
    <row r="1986" spans="1:25" x14ac:dyDescent="0.25">
      <c r="A1986" s="463"/>
      <c r="B1986" s="506"/>
      <c r="C1986" s="507" t="s">
        <v>13064</v>
      </c>
      <c r="D1986" s="508"/>
      <c r="E1986" s="518" t="s">
        <v>13062</v>
      </c>
      <c r="F1986" s="519" t="s">
        <v>585</v>
      </c>
      <c r="G1986" s="511">
        <f>4*1.05</f>
        <v>4.2</v>
      </c>
      <c r="H1986" s="520">
        <v>111.55</v>
      </c>
      <c r="I1986" s="520">
        <f>TRUNC(H1986*G1986,2)</f>
        <v>468.51</v>
      </c>
      <c r="J1986" s="521"/>
      <c r="K1986" s="522">
        <f>I1986+J1986</f>
        <v>468.51</v>
      </c>
      <c r="L1986" s="517" t="s">
        <v>12901</v>
      </c>
      <c r="M1986" s="471"/>
      <c r="N1986" s="516"/>
      <c r="Q1986" s="472"/>
      <c r="R1986" s="472"/>
      <c r="S1986" s="472"/>
      <c r="T1986" s="472"/>
      <c r="U1986" s="472"/>
      <c r="V1986" s="472"/>
      <c r="W1986" s="472"/>
      <c r="X1986" s="472"/>
      <c r="Y1986" s="472"/>
    </row>
    <row r="1987" spans="1:25" x14ac:dyDescent="0.25">
      <c r="A1987" s="463"/>
      <c r="B1987" s="506">
        <v>88264</v>
      </c>
      <c r="C1987" s="507"/>
      <c r="D1987" s="508"/>
      <c r="E1987" s="509" t="str">
        <f>IF($C1987="",IFERROR(VLOOKUP($B1987,SERVIÇOS!$B:$G,2,0),IFERROR(VLOOKUP($B1987,$D:$K,2,0),"")),IFERROR(VLOOKUP($C1987,INSUMOS!$A:$D,2,0),IFERROR(VLOOKUP($C1987,COTAÇÕES!$B:$I,2,0),(VLOOKUP($C1987,'INSUMO SINAPI - SP'!$C:$F,2,0)))))</f>
        <v>ELETRICISTA COM ENCARGOS COMPLEMENTARES</v>
      </c>
      <c r="F1987" s="510" t="str">
        <f>IF($C1987="",IFERROR(VLOOKUP($B1987,SERVIÇOS!$B:$G,3,0),IFERROR(VLOOKUP($B1987,$D:$K,3,0),"")),IFERROR(VLOOKUP($C1987,INSUMOS!$A:$D,3,0),IFERROR(VLOOKUP($C1987,COTAÇÕES!$B:$I,3,0),(VLOOKUP($C1987,'INSUMO SINAPI - SP'!$C:$F,3,0)))))</f>
        <v>H</v>
      </c>
      <c r="G1987" s="511">
        <v>1.0009999999999999</v>
      </c>
      <c r="H1987" s="512">
        <f>IF($C1987="",IFERROR(VLOOKUP($B1987,SERVIÇOS!$B:$G,6,0),IFERROR(VLOOKUP($B1987,$D:$K,8,0),"")),IFERROR(VLOOKUP($C1987,INSUMOS!$A:$D,4,0),IFERROR(VLOOKUP($C1987,COTAÇÕES!$B:$I,7,0),(VLOOKUP($C1987,'INSUMO SINAPI - SP'!$C:$F,4,0)))))</f>
        <v>37.369999999999997</v>
      </c>
      <c r="I1987" s="513">
        <f>TRUNC(IF($C1987="",IFERROR(VLOOKUP($B1987,SERVIÇOS!$B:$G,4,0),IFERROR(VLOOKUP($B1987,$D:$K,6,0),)),IFERROR(VLOOKUP($C1987,INSUMOS!$A:$D,4,0),IFERROR(VLOOKUP($C1987,COTAÇÕES!$B:$I,7,0),(VLOOKUP($C1987,'INSUMO SINAPI - SP'!$C:$F,4,0)))))*$G1987,2)</f>
        <v>9.31</v>
      </c>
      <c r="J1987" s="513">
        <f>TRUNC(IF($C1987="",IFERROR(VLOOKUP($B1987,SERVIÇOS!$B:$G,5,0),IFERROR(VLOOKUP($B1987,$D:$K,7,0),)),0)*$G1987,2)</f>
        <v>28.08</v>
      </c>
      <c r="K1987" s="514">
        <f>I1987+J1987</f>
        <v>37.39</v>
      </c>
      <c r="L1987" s="515"/>
      <c r="M1987" s="471"/>
      <c r="N1987" s="516"/>
      <c r="Q1987" s="472"/>
      <c r="R1987" s="472"/>
      <c r="S1987" s="472"/>
      <c r="T1987" s="472"/>
      <c r="U1987" s="472"/>
      <c r="V1987" s="472"/>
      <c r="W1987" s="472"/>
      <c r="X1987" s="472"/>
      <c r="Y1987" s="472"/>
    </row>
    <row r="1988" spans="1:25" x14ac:dyDescent="0.25">
      <c r="A1988" s="463"/>
      <c r="B1988" s="506">
        <v>88247</v>
      </c>
      <c r="C1988" s="507"/>
      <c r="D1988" s="508"/>
      <c r="E1988" s="509" t="str">
        <f>IF($C1988="",IFERROR(VLOOKUP($B1988,SERVIÇOS!$B:$G,2,0),IFERROR(VLOOKUP($B1988,$D:$K,2,0),"")),IFERROR(VLOOKUP($C1988,INSUMOS!$A:$D,2,0),IFERROR(VLOOKUP($C1988,COTAÇÕES!$B:$I,2,0),(VLOOKUP($C1988,'INSUMO SINAPI - SP'!$C:$F,2,0)))))</f>
        <v>AUXILIAR DE ELETRICISTA COM ENCARGOS COMPLEMENTARES</v>
      </c>
      <c r="F1988" s="510" t="str">
        <f>IF($C1988="",IFERROR(VLOOKUP($B1988,SERVIÇOS!$B:$G,3,0),IFERROR(VLOOKUP($B1988,$D:$K,3,0),"")),IFERROR(VLOOKUP($C1988,INSUMOS!$A:$D,3,0),IFERROR(VLOOKUP($C1988,COTAÇÕES!$B:$I,3,0),(VLOOKUP($C1988,'INSUMO SINAPI - SP'!$C:$F,3,0)))))</f>
        <v>H</v>
      </c>
      <c r="G1988" s="511">
        <v>1.0009999999999999</v>
      </c>
      <c r="H1988" s="512">
        <f>IF($C1988="",IFERROR(VLOOKUP($B1988,SERVIÇOS!$B:$G,6,0),IFERROR(VLOOKUP($B1988,$D:$K,8,0),"")),IFERROR(VLOOKUP($C1988,INSUMOS!$A:$D,4,0),IFERROR(VLOOKUP($C1988,COTAÇÕES!$B:$I,7,0),(VLOOKUP($C1988,'INSUMO SINAPI - SP'!$C:$F,4,0)))))</f>
        <v>30.8</v>
      </c>
      <c r="I1988" s="513">
        <f>TRUNC(IF($C1988="",IFERROR(VLOOKUP($B1988,SERVIÇOS!$B:$G,4,0),IFERROR(VLOOKUP($B1988,$D:$K,6,0),)),IFERROR(VLOOKUP($C1988,INSUMOS!$A:$D,4,0),IFERROR(VLOOKUP($C1988,COTAÇÕES!$B:$I,7,0),(VLOOKUP($C1988,'INSUMO SINAPI - SP'!$C:$F,4,0)))))*$G1988,2)</f>
        <v>9.32</v>
      </c>
      <c r="J1988" s="513">
        <f>TRUNC(IF($C1988="",IFERROR(VLOOKUP($B1988,SERVIÇOS!$B:$G,5,0),IFERROR(VLOOKUP($B1988,$D:$K,7,0),)),0)*$G1988,2)</f>
        <v>21.5</v>
      </c>
      <c r="K1988" s="514">
        <f>I1988+J1988</f>
        <v>30.82</v>
      </c>
      <c r="L1988" s="515"/>
      <c r="M1988" s="471"/>
      <c r="N1988" s="516"/>
      <c r="Q1988" s="472"/>
      <c r="R1988" s="472"/>
      <c r="S1988" s="472"/>
      <c r="T1988" s="472"/>
      <c r="U1988" s="472"/>
      <c r="V1988" s="472"/>
      <c r="W1988" s="472"/>
      <c r="X1988" s="472"/>
      <c r="Y1988" s="472"/>
    </row>
    <row r="1989" spans="1:25" ht="24" x14ac:dyDescent="0.25">
      <c r="A1989" s="463"/>
      <c r="B1989" s="498"/>
      <c r="C1989" s="498"/>
      <c r="D1989" s="499" t="s">
        <v>12304</v>
      </c>
      <c r="E1989" s="555" t="s">
        <v>13528</v>
      </c>
      <c r="F1989" s="501" t="s">
        <v>580</v>
      </c>
      <c r="G1989" s="502"/>
      <c r="H1989" s="503"/>
      <c r="I1989" s="504">
        <f>ROUND(SUM(I1990:I1991),2)</f>
        <v>740.47</v>
      </c>
      <c r="J1989" s="504">
        <f>ROUND(SUM(J1990:J1991),2)</f>
        <v>309.86</v>
      </c>
      <c r="K1989" s="504">
        <f>+J1989+I1989</f>
        <v>1050.33</v>
      </c>
      <c r="L1989" s="523" t="s">
        <v>13527</v>
      </c>
      <c r="M1989" s="471"/>
      <c r="N1989" s="505"/>
      <c r="Q1989" s="472"/>
      <c r="R1989" s="472"/>
      <c r="S1989" s="472"/>
      <c r="T1989" s="472"/>
      <c r="U1989" s="472"/>
      <c r="V1989" s="472"/>
      <c r="W1989" s="472"/>
      <c r="X1989" s="472"/>
      <c r="Y1989" s="472"/>
    </row>
    <row r="1990" spans="1:25" ht="24" x14ac:dyDescent="0.25">
      <c r="A1990" s="463"/>
      <c r="B1990" s="506">
        <v>101795</v>
      </c>
      <c r="C1990" s="507"/>
      <c r="D1990" s="508"/>
      <c r="E1990" s="509" t="str">
        <f>IF($C1990="",IFERROR(VLOOKUP($B1990,SERVIÇOS!$B:$G,2,0),IFERROR(VLOOKUP($B1990,$D:$K,2,0),"")),IFERROR(VLOOKUP($C1990,INSUMOS!$A:$D,2,0),IFERROR(VLOOKUP($C1990,COTAÇÕES!$B:$I,2,0),(VLOOKUP($C1990,'INSUMO SINAPI - SP'!$C:$F,2,0)))))</f>
        <v>CAIXA ENTERRADA PARA INSTALAÇÕES TELEFÔNICAS TIPO R1, EM ALVENARIA COM BLOCOS DE CONCRETO, DIMENSÕES INTERNAS: 0,35X0,60X0,60 M, EXCLUINDO TAMPÃO. AF_12/2020</v>
      </c>
      <c r="F1990" s="510" t="str">
        <f>IF($C1990="",IFERROR(VLOOKUP($B1990,SERVIÇOS!$B:$G,3,0),IFERROR(VLOOKUP($B1990,$D:$K,3,0),"")),IFERROR(VLOOKUP($C1990,INSUMOS!$A:$D,3,0),IFERROR(VLOOKUP($C1990,COTAÇÕES!$B:$I,3,0),(VLOOKUP($C1990,'INSUMO SINAPI - SP'!$C:$F,3,0)))))</f>
        <v>UN</v>
      </c>
      <c r="G1990" s="511">
        <v>1.0009999999999999</v>
      </c>
      <c r="H1990" s="512">
        <f>IF($C1990="",IFERROR(VLOOKUP($B1990,SERVIÇOS!$B:$G,6,0),IFERROR(VLOOKUP($B1990,$D:$K,8,0),"")),IFERROR(VLOOKUP($C1990,INSUMOS!$A:$D,4,0),IFERROR(VLOOKUP($C1990,COTAÇÕES!$B:$I,7,0),(VLOOKUP($C1990,'INSUMO SINAPI - SP'!$C:$F,4,0)))))</f>
        <v>641.26</v>
      </c>
      <c r="I1990" s="513">
        <f>TRUNC(IF($C1990="",IFERROR(VLOOKUP($B1990,SERVIÇOS!$B:$G,4,0),IFERROR(VLOOKUP($B1990,$D:$K,6,0),)),IFERROR(VLOOKUP($C1990,INSUMOS!$A:$D,4,0),IFERROR(VLOOKUP($C1990,COTAÇÕES!$B:$I,7,0),(VLOOKUP($C1990,'INSUMO SINAPI - SP'!$C:$F,4,0)))))*$G1990,2)</f>
        <v>375.77</v>
      </c>
      <c r="J1990" s="513">
        <f>TRUNC(IF($C1990="",IFERROR(VLOOKUP($B1990,SERVIÇOS!$B:$G,5,0),IFERROR(VLOOKUP($B1990,$D:$K,7,0),)),0)*$G1990,2)</f>
        <v>266.12</v>
      </c>
      <c r="K1990" s="514">
        <f>I1990+J1990</f>
        <v>641.89</v>
      </c>
      <c r="L1990" s="515"/>
      <c r="M1990" s="471"/>
      <c r="N1990" s="516"/>
      <c r="Q1990" s="472"/>
      <c r="R1990" s="472"/>
      <c r="S1990" s="472"/>
      <c r="T1990" s="472"/>
      <c r="U1990" s="472"/>
      <c r="V1990" s="472"/>
      <c r="W1990" s="472"/>
      <c r="X1990" s="472"/>
      <c r="Y1990" s="472"/>
    </row>
    <row r="1991" spans="1:25" ht="24" x14ac:dyDescent="0.25">
      <c r="A1991" s="463"/>
      <c r="B1991" s="506">
        <v>101798</v>
      </c>
      <c r="C1991" s="507"/>
      <c r="D1991" s="508"/>
      <c r="E1991" s="509" t="str">
        <f>IF($C1991="",IFERROR(VLOOKUP($B1991,SERVIÇOS!$B:$G,2,0),IFERROR(VLOOKUP($B1991,$D:$K,2,0),"")),IFERROR(VLOOKUP($C1991,INSUMOS!$A:$D,2,0),IFERROR(VLOOKUP($C1991,COTAÇÕES!$B:$I,2,0),(VLOOKUP($C1991,'INSUMO SINAPI - SP'!$C:$F,2,0)))))</f>
        <v>TAMPA PARA CAIXA TIPO R1, EM FERRO FUNDIDO, DIMENSÕES INTERNAS: 0,40 X 0,60 M - FORNECIMENTO E INSTALAÇÃO. AF_12/2020</v>
      </c>
      <c r="F1991" s="510" t="str">
        <f>IF($C1991="",IFERROR(VLOOKUP($B1991,SERVIÇOS!$B:$G,3,0),IFERROR(VLOOKUP($B1991,$D:$K,3,0),"")),IFERROR(VLOOKUP($C1991,INSUMOS!$A:$D,3,0),IFERROR(VLOOKUP($C1991,COTAÇÕES!$B:$I,3,0),(VLOOKUP($C1991,'INSUMO SINAPI - SP'!$C:$F,3,0)))))</f>
        <v>UN</v>
      </c>
      <c r="G1991" s="511">
        <v>1.0009999999999999</v>
      </c>
      <c r="H1991" s="512">
        <f>IF($C1991="",IFERROR(VLOOKUP($B1991,SERVIÇOS!$B:$G,6,0),IFERROR(VLOOKUP($B1991,$D:$K,8,0),"")),IFERROR(VLOOKUP($C1991,INSUMOS!$A:$D,4,0),IFERROR(VLOOKUP($C1991,COTAÇÕES!$B:$I,7,0),(VLOOKUP($C1991,'INSUMO SINAPI - SP'!$C:$F,4,0)))))</f>
        <v>408.04</v>
      </c>
      <c r="I1991" s="513">
        <f>TRUNC(IF($C1991="",IFERROR(VLOOKUP($B1991,SERVIÇOS!$B:$G,4,0),IFERROR(VLOOKUP($B1991,$D:$K,6,0),)),IFERROR(VLOOKUP($C1991,INSUMOS!$A:$D,4,0),IFERROR(VLOOKUP($C1991,COTAÇÕES!$B:$I,7,0),(VLOOKUP($C1991,'INSUMO SINAPI - SP'!$C:$F,4,0)))))*$G1991,2)</f>
        <v>364.7</v>
      </c>
      <c r="J1991" s="513">
        <f>TRUNC(IF($C1991="",IFERROR(VLOOKUP($B1991,SERVIÇOS!$B:$G,5,0),IFERROR(VLOOKUP($B1991,$D:$K,7,0),)),0)*$G1991,2)</f>
        <v>43.74</v>
      </c>
      <c r="K1991" s="514">
        <f>I1991+J1991</f>
        <v>408.44</v>
      </c>
      <c r="L1991" s="515"/>
      <c r="M1991" s="471"/>
      <c r="N1991" s="516"/>
      <c r="Q1991" s="472"/>
      <c r="R1991" s="472"/>
      <c r="S1991" s="472"/>
      <c r="T1991" s="472"/>
      <c r="U1991" s="472"/>
      <c r="V1991" s="472"/>
      <c r="W1991" s="472"/>
      <c r="X1991" s="472"/>
      <c r="Y1991" s="472"/>
    </row>
    <row r="1992" spans="1:25" x14ac:dyDescent="0.25">
      <c r="A1992" s="463"/>
      <c r="B1992" s="498"/>
      <c r="C1992" s="498"/>
      <c r="D1992" s="499" t="s">
        <v>12308</v>
      </c>
      <c r="E1992" s="555" t="s">
        <v>13529</v>
      </c>
      <c r="F1992" s="501" t="s">
        <v>580</v>
      </c>
      <c r="G1992" s="502"/>
      <c r="H1992" s="503"/>
      <c r="I1992" s="504">
        <f>ROUND(SUM(I1993:I1995),2)</f>
        <v>77.03</v>
      </c>
      <c r="J1992" s="504">
        <f>ROUND(SUM(J1993:J1995),2)</f>
        <v>57.66</v>
      </c>
      <c r="K1992" s="504">
        <f>+J1992+I1992</f>
        <v>134.69</v>
      </c>
      <c r="L1992" s="523" t="s">
        <v>13530</v>
      </c>
      <c r="M1992" s="471"/>
      <c r="N1992" s="505"/>
      <c r="Q1992" s="472"/>
      <c r="R1992" s="472"/>
      <c r="S1992" s="472"/>
      <c r="T1992" s="472"/>
      <c r="U1992" s="472"/>
      <c r="V1992" s="472"/>
      <c r="W1992" s="472"/>
      <c r="X1992" s="472"/>
      <c r="Y1992" s="472"/>
    </row>
    <row r="1993" spans="1:25" x14ac:dyDescent="0.25">
      <c r="A1993" s="463"/>
      <c r="B1993" s="506">
        <v>88264</v>
      </c>
      <c r="C1993" s="507"/>
      <c r="D1993" s="508"/>
      <c r="E1993" s="509" t="str">
        <f>IF($C1993="",IFERROR(VLOOKUP($B1993,SERVIÇOS!$B:$G,2,0),IFERROR(VLOOKUP($B1993,$D:$K,2,0),"")),IFERROR(VLOOKUP($C1993,INSUMOS!$A:$D,2,0),IFERROR(VLOOKUP($C1993,COTAÇÕES!$B:$I,2,0),(VLOOKUP($C1993,'INSUMO SINAPI - SP'!$C:$F,2,0)))))</f>
        <v>ELETRICISTA COM ENCARGOS COMPLEMENTARES</v>
      </c>
      <c r="F1993" s="510" t="str">
        <f>IF($C1993="",IFERROR(VLOOKUP($B1993,SERVIÇOS!$B:$G,3,0),IFERROR(VLOOKUP($B1993,$D:$K,3,0),"")),IFERROR(VLOOKUP($C1993,INSUMOS!$A:$D,3,0),IFERROR(VLOOKUP($C1993,COTAÇÕES!$B:$I,3,0),(VLOOKUP($C1993,'INSUMO SINAPI - SP'!$C:$F,3,0)))))</f>
        <v>H</v>
      </c>
      <c r="G1993" s="511">
        <v>1.1639999999999999</v>
      </c>
      <c r="H1993" s="512">
        <f>IF($C1993="",IFERROR(VLOOKUP($B1993,SERVIÇOS!$B:$G,6,0),IFERROR(VLOOKUP($B1993,$D:$K,8,0),"")),IFERROR(VLOOKUP($C1993,INSUMOS!$A:$D,4,0),IFERROR(VLOOKUP($C1993,COTAÇÕES!$B:$I,7,0),(VLOOKUP($C1993,'INSUMO SINAPI - SP'!$C:$F,4,0)))))</f>
        <v>37.369999999999997</v>
      </c>
      <c r="I1993" s="513">
        <f>TRUNC(IF($C1993="",IFERROR(VLOOKUP($B1993,SERVIÇOS!$B:$G,4,0),IFERROR(VLOOKUP($B1993,$D:$K,6,0),)),IFERROR(VLOOKUP($C1993,INSUMOS!$A:$D,4,0),IFERROR(VLOOKUP($C1993,COTAÇÕES!$B:$I,7,0),(VLOOKUP($C1993,'INSUMO SINAPI - SP'!$C:$F,4,0)))))*$G1993,2)</f>
        <v>10.83</v>
      </c>
      <c r="J1993" s="513">
        <f>TRUNC(IF($C1993="",IFERROR(VLOOKUP($B1993,SERVIÇOS!$B:$G,5,0),IFERROR(VLOOKUP($B1993,$D:$K,7,0),)),0)*$G1993,2)</f>
        <v>32.659999999999997</v>
      </c>
      <c r="K1993" s="514">
        <f>I1993+J1993</f>
        <v>43.489999999999995</v>
      </c>
      <c r="L1993" s="515"/>
      <c r="M1993" s="471"/>
      <c r="N1993" s="516"/>
      <c r="Q1993" s="472"/>
      <c r="R1993" s="472"/>
      <c r="S1993" s="472"/>
      <c r="T1993" s="472"/>
      <c r="U1993" s="472"/>
      <c r="V1993" s="472"/>
      <c r="W1993" s="472"/>
      <c r="X1993" s="472"/>
      <c r="Y1993" s="472"/>
    </row>
    <row r="1994" spans="1:25" x14ac:dyDescent="0.25">
      <c r="A1994" s="463"/>
      <c r="B1994" s="506">
        <v>88247</v>
      </c>
      <c r="C1994" s="507"/>
      <c r="D1994" s="508"/>
      <c r="E1994" s="509" t="str">
        <f>IF($C1994="",IFERROR(VLOOKUP($B1994,SERVIÇOS!$B:$G,2,0),IFERROR(VLOOKUP($B1994,$D:$K,2,0),"")),IFERROR(VLOOKUP($C1994,INSUMOS!$A:$D,2,0),IFERROR(VLOOKUP($C1994,COTAÇÕES!$B:$I,2,0),(VLOOKUP($C1994,'INSUMO SINAPI - SP'!$C:$F,2,0)))))</f>
        <v>AUXILIAR DE ELETRICISTA COM ENCARGOS COMPLEMENTARES</v>
      </c>
      <c r="F1994" s="510" t="str">
        <f>IF($C1994="",IFERROR(VLOOKUP($B1994,SERVIÇOS!$B:$G,3,0),IFERROR(VLOOKUP($B1994,$D:$K,3,0),"")),IFERROR(VLOOKUP($C1994,INSUMOS!$A:$D,3,0),IFERROR(VLOOKUP($C1994,COTAÇÕES!$B:$I,3,0),(VLOOKUP($C1994,'INSUMO SINAPI - SP'!$C:$F,3,0)))))</f>
        <v>H</v>
      </c>
      <c r="G1994" s="511">
        <v>1.1639999999999999</v>
      </c>
      <c r="H1994" s="512">
        <f>IF($C1994="",IFERROR(VLOOKUP($B1994,SERVIÇOS!$B:$G,6,0),IFERROR(VLOOKUP($B1994,$D:$K,8,0),"")),IFERROR(VLOOKUP($C1994,INSUMOS!$A:$D,4,0),IFERROR(VLOOKUP($C1994,COTAÇÕES!$B:$I,7,0),(VLOOKUP($C1994,'INSUMO SINAPI - SP'!$C:$F,4,0)))))</f>
        <v>30.8</v>
      </c>
      <c r="I1994" s="513">
        <f>TRUNC(IF($C1994="",IFERROR(VLOOKUP($B1994,SERVIÇOS!$B:$G,4,0),IFERROR(VLOOKUP($B1994,$D:$K,6,0),)),IFERROR(VLOOKUP($C1994,INSUMOS!$A:$D,4,0),IFERROR(VLOOKUP($C1994,COTAÇÕES!$B:$I,7,0),(VLOOKUP($C1994,'INSUMO SINAPI - SP'!$C:$F,4,0)))))*$G1994,2)</f>
        <v>10.84</v>
      </c>
      <c r="J1994" s="513">
        <f>TRUNC(IF($C1994="",IFERROR(VLOOKUP($B1994,SERVIÇOS!$B:$G,5,0),IFERROR(VLOOKUP($B1994,$D:$K,7,0),)),0)*$G1994,2)</f>
        <v>25</v>
      </c>
      <c r="K1994" s="514">
        <f>I1994+J1994</f>
        <v>35.840000000000003</v>
      </c>
      <c r="L1994" s="515"/>
      <c r="M1994" s="471"/>
      <c r="N1994" s="516"/>
      <c r="Q1994" s="472"/>
      <c r="R1994" s="472"/>
      <c r="S1994" s="472"/>
      <c r="T1994" s="472"/>
      <c r="U1994" s="472"/>
      <c r="V1994" s="472"/>
      <c r="W1994" s="472"/>
      <c r="X1994" s="472"/>
      <c r="Y1994" s="472"/>
    </row>
    <row r="1995" spans="1:25" ht="24" x14ac:dyDescent="0.25">
      <c r="A1995" s="463"/>
      <c r="B1995" s="506"/>
      <c r="C1995" s="507" t="s">
        <v>13531</v>
      </c>
      <c r="D1995" s="508"/>
      <c r="E1995" s="509" t="str">
        <f>IF($C1995="",IFERROR(VLOOKUP($B1995,SERVIÇOS!$B:$G,2,0),IFERROR(VLOOKUP($B1995,$D:$K,2,0),"")),IFERROR(VLOOKUP($C1995,INSUMOS!$A:$D,2,0),IFERROR(VLOOKUP($C1995,COTAÇÕES!$B:$I,2,0),(VLOOKUP($C1995,'INSUMO SINAPI - SP'!$C:$F,2,0)))))</f>
        <v>CAIXA DE PASSAGEM METALICA DE SOBREPOR COM TAMPA PARAFUSADA, DIMENSOES 30 X 30 X 10 CM</v>
      </c>
      <c r="F1995" s="510" t="str">
        <f>IF($C1995="",IFERROR(VLOOKUP($B1995,SERVIÇOS!$B:$G,3,0),IFERROR(VLOOKUP($B1995,$D:$K,3,0),"")),IFERROR(VLOOKUP($C1995,INSUMOS!$A:$D,3,0),IFERROR(VLOOKUP($C1995,COTAÇÕES!$B:$I,3,0),(VLOOKUP($C1995,'INSUMO SINAPI - SP'!$C:$F,3,0)))))</f>
        <v>UN</v>
      </c>
      <c r="G1995" s="511">
        <v>1</v>
      </c>
      <c r="H1995" s="512">
        <f>IF($C1995="",IFERROR(VLOOKUP($B1995,SERVIÇOS!$B:$G,6,0),IFERROR(VLOOKUP($B1995,$D:$K,8,0),"")),IFERROR(VLOOKUP($C1995,INSUMOS!$A:$D,4,0),IFERROR(VLOOKUP($C1995,COTAÇÕES!$B:$I,7,0),(VLOOKUP($C1995,'INSUMO SINAPI - SP'!$C:$F,4,0)))))</f>
        <v>55.36</v>
      </c>
      <c r="I1995" s="513">
        <f>TRUNC(IF($C1995="",IFERROR(VLOOKUP($B1995,SERVIÇOS!$B:$G,4,0),IFERROR(VLOOKUP($B1995,$D:$K,6,0),)),IFERROR(VLOOKUP($C1995,INSUMOS!$A:$D,4,0),IFERROR(VLOOKUP($C1995,COTAÇÕES!$B:$I,7,0),(VLOOKUP($C1995,'INSUMO SINAPI - SP'!$C:$F,4,0)))))*$G1995,2)</f>
        <v>55.36</v>
      </c>
      <c r="J1995" s="513"/>
      <c r="K1995" s="514">
        <f>I1995+J1995</f>
        <v>55.36</v>
      </c>
      <c r="L1995" s="515" t="s">
        <v>12685</v>
      </c>
      <c r="M1995" s="471"/>
      <c r="N1995" s="516"/>
      <c r="Q1995" s="472"/>
      <c r="R1995" s="472"/>
      <c r="S1995" s="472"/>
      <c r="T1995" s="472"/>
      <c r="U1995" s="472"/>
      <c r="V1995" s="472"/>
      <c r="W1995" s="472"/>
      <c r="X1995" s="472"/>
      <c r="Y1995" s="472"/>
    </row>
    <row r="1996" spans="1:25" ht="36" x14ac:dyDescent="0.25">
      <c r="A1996" s="463"/>
      <c r="B1996" s="498"/>
      <c r="C1996" s="498"/>
      <c r="D1996" s="499" t="s">
        <v>12024</v>
      </c>
      <c r="E1996" s="500" t="s">
        <v>13532</v>
      </c>
      <c r="F1996" s="501" t="s">
        <v>580</v>
      </c>
      <c r="G1996" s="502"/>
      <c r="H1996" s="503"/>
      <c r="I1996" s="504">
        <f>ROUND(SUM(I1997:I1999),2)</f>
        <v>1104.43</v>
      </c>
      <c r="J1996" s="504">
        <f>ROUND(SUM(J1997:J1999),2)</f>
        <v>277.18</v>
      </c>
      <c r="K1996" s="504">
        <f>+J1996+I1996</f>
        <v>1381.6100000000001</v>
      </c>
      <c r="L1996" s="523" t="s">
        <v>13533</v>
      </c>
      <c r="M1996" s="471"/>
      <c r="N1996" s="505"/>
      <c r="Q1996" s="472"/>
      <c r="R1996" s="472"/>
      <c r="S1996" s="472"/>
      <c r="T1996" s="472"/>
      <c r="U1996" s="472"/>
      <c r="V1996" s="472"/>
      <c r="W1996" s="472"/>
      <c r="X1996" s="472"/>
      <c r="Y1996" s="472"/>
    </row>
    <row r="1997" spans="1:25" ht="24" x14ac:dyDescent="0.25">
      <c r="A1997" s="463"/>
      <c r="B1997" s="506">
        <v>90806</v>
      </c>
      <c r="C1997" s="507"/>
      <c r="D1997" s="508"/>
      <c r="E1997" s="509" t="str">
        <f>IF($C1997="",IFERROR(VLOOKUP($B1997,SERVIÇOS!$B:$G,2,0),IFERROR(VLOOKUP($B1997,$D:$K,2,0),"")),IFERROR(VLOOKUP($C1997,INSUMOS!$A:$D,2,0),IFERROR(VLOOKUP($C1997,COTAÇÕES!$B:$I,2,0),(VLOOKUP($C1997,'INSUMO SINAPI - SP'!$C:$F,2,0)))))</f>
        <v>BATENTE PARA PORTA DE MADEIRA, FIXAÇÃO COM ARGAMASSA, PADRÃO MÉDIO - FORNECIMENTO E INSTALAÇÃO. AF_12/2019</v>
      </c>
      <c r="F1997" s="510" t="str">
        <f>IF($C1997="",IFERROR(VLOOKUP($B1997,SERVIÇOS!$B:$G,3,0),IFERROR(VLOOKUP($B1997,$D:$K,3,0),"")),IFERROR(VLOOKUP($C1997,INSUMOS!$A:$D,3,0),IFERROR(VLOOKUP($C1997,COTAÇÕES!$B:$I,3,0),(VLOOKUP($C1997,'INSUMO SINAPI - SP'!$C:$F,3,0)))))</f>
        <v>UN</v>
      </c>
      <c r="G1997" s="511">
        <v>1</v>
      </c>
      <c r="H1997" s="512">
        <f>IF($C1997="",IFERROR(VLOOKUP($B1997,SERVIÇOS!$B:$G,6,0),IFERROR(VLOOKUP($B1997,$D:$K,8,0),"")),IFERROR(VLOOKUP($C1997,INSUMOS!$A:$D,4,0),IFERROR(VLOOKUP($C1997,COTAÇÕES!$B:$I,7,0),(VLOOKUP($C1997,'INSUMO SINAPI - SP'!$C:$F,4,0)))))</f>
        <v>532.98</v>
      </c>
      <c r="I1997" s="513">
        <f>TRUNC(IF($C1997="",IFERROR(VLOOKUP($B1997,SERVIÇOS!$B:$G,4,0),IFERROR(VLOOKUP($B1997,$D:$K,6,0),)),IFERROR(VLOOKUP($C1997,INSUMOS!$A:$D,4,0),IFERROR(VLOOKUP($C1997,COTAÇÕES!$B:$I,7,0),(VLOOKUP($C1997,'INSUMO SINAPI - SP'!$C:$F,4,0)))))*$G1997,2)</f>
        <v>361.37</v>
      </c>
      <c r="J1997" s="513">
        <f>TRUNC(IF($C1997="",IFERROR(VLOOKUP($B1997,SERVIÇOS!$B:$G,5,0),IFERROR(VLOOKUP($B1997,$D:$K,7,0),)),0)*$G1997,2)</f>
        <v>171.61</v>
      </c>
      <c r="K1997" s="514">
        <f>I1997+J1997</f>
        <v>532.98</v>
      </c>
      <c r="L1997" s="515"/>
      <c r="M1997" s="471"/>
      <c r="N1997" s="516"/>
      <c r="Q1997" s="472"/>
      <c r="R1997" s="472"/>
      <c r="S1997" s="472"/>
      <c r="T1997" s="472"/>
      <c r="U1997" s="472"/>
      <c r="V1997" s="472"/>
      <c r="W1997" s="472"/>
      <c r="X1997" s="472"/>
      <c r="Y1997" s="472"/>
    </row>
    <row r="1998" spans="1:25" ht="24" x14ac:dyDescent="0.25">
      <c r="A1998" s="463"/>
      <c r="B1998" s="506">
        <v>90823</v>
      </c>
      <c r="C1998" s="507"/>
      <c r="D1998" s="508"/>
      <c r="E1998" s="509" t="str">
        <f>IF($C1998="",IFERROR(VLOOKUP($B1998,SERVIÇOS!$B:$G,2,0),IFERROR(VLOOKUP($B1998,$D:$K,2,0),"")),IFERROR(VLOOKUP($C1998,INSUMOS!$A:$D,2,0),IFERROR(VLOOKUP($C1998,COTAÇÕES!$B:$I,2,0),(VLOOKUP($C1998,'INSUMO SINAPI - SP'!$C:$F,2,0)))))</f>
        <v>PORTA DE MADEIRA PARA PINTURA, SEMI-OCA (LEVE OU MÉDIA), 90X210CM, ESPESSURA DE 3,5CM, INCLUSO DOBRADIÇAS - FORNECIMENTO E INSTALAÇÃO. AF_12/2019</v>
      </c>
      <c r="F1998" s="510" t="str">
        <f>IF($C1998="",IFERROR(VLOOKUP($B1998,SERVIÇOS!$B:$G,3,0),IFERROR(VLOOKUP($B1998,$D:$K,3,0),"")),IFERROR(VLOOKUP($C1998,INSUMOS!$A:$D,3,0),IFERROR(VLOOKUP($C1998,COTAÇÕES!$B:$I,3,0),(VLOOKUP($C1998,'INSUMO SINAPI - SP'!$C:$F,3,0)))))</f>
        <v>UN</v>
      </c>
      <c r="G1998" s="511">
        <v>1.3333333333333299</v>
      </c>
      <c r="H1998" s="512">
        <f>IF($C1998="",IFERROR(VLOOKUP($B1998,SERVIÇOS!$B:$G,6,0),IFERROR(VLOOKUP($B1998,$D:$K,8,0),"")),IFERROR(VLOOKUP($C1998,INSUMOS!$A:$D,4,0),IFERROR(VLOOKUP($C1998,COTAÇÕES!$B:$I,7,0),(VLOOKUP($C1998,'INSUMO SINAPI - SP'!$C:$F,4,0)))))</f>
        <v>512.79999999999995</v>
      </c>
      <c r="I1998" s="513">
        <f>TRUNC(IF($C1998="",IFERROR(VLOOKUP($B1998,SERVIÇOS!$B:$G,4,0),IFERROR(VLOOKUP($B1998,$D:$K,6,0),)),IFERROR(VLOOKUP($C1998,INSUMOS!$A:$D,4,0),IFERROR(VLOOKUP($C1998,COTAÇÕES!$B:$I,7,0),(VLOOKUP($C1998,'INSUMO SINAPI - SP'!$C:$F,4,0)))))*$G1998,2)</f>
        <v>604.07000000000005</v>
      </c>
      <c r="J1998" s="513">
        <f>TRUNC(IF($C1998="",IFERROR(VLOOKUP($B1998,SERVIÇOS!$B:$G,5,0),IFERROR(VLOOKUP($B1998,$D:$K,7,0),)),0)*$G1998,2)</f>
        <v>79.650000000000006</v>
      </c>
      <c r="K1998" s="514">
        <f>I1998+J1998</f>
        <v>683.72</v>
      </c>
      <c r="L1998" s="515"/>
      <c r="M1998" s="471"/>
      <c r="N1998" s="516"/>
      <c r="Q1998" s="472"/>
      <c r="R1998" s="472"/>
      <c r="S1998" s="472"/>
      <c r="T1998" s="472"/>
      <c r="U1998" s="472"/>
      <c r="V1998" s="472"/>
      <c r="W1998" s="472"/>
      <c r="X1998" s="472"/>
      <c r="Y1998" s="472"/>
    </row>
    <row r="1999" spans="1:25" ht="24" x14ac:dyDescent="0.25">
      <c r="A1999" s="463"/>
      <c r="B1999" s="506">
        <v>100659</v>
      </c>
      <c r="C1999" s="507"/>
      <c r="D1999" s="508"/>
      <c r="E1999" s="509" t="str">
        <f>IF($C1999="",IFERROR(VLOOKUP($B1999,SERVIÇOS!$B:$G,2,0),IFERROR(VLOOKUP($B1999,$D:$K,2,0),"")),IFERROR(VLOOKUP($C1999,INSUMOS!$A:$D,2,0),IFERROR(VLOOKUP($C1999,COTAÇÕES!$B:$I,2,0),(VLOOKUP($C1999,'INSUMO SINAPI - SP'!$C:$F,2,0)))))</f>
        <v>ALIZAR DE 5X1,5CM PARA PORTA FIXADO COM PREGOS, PADRÃO MÉDIO - FORNECIMENTO E INSTALAÇÃO. AF_12/2019</v>
      </c>
      <c r="F1999" s="510" t="str">
        <f>IF($C1999="",IFERROR(VLOOKUP($B1999,SERVIÇOS!$B:$G,3,0),IFERROR(VLOOKUP($B1999,$D:$K,3,0),"")),IFERROR(VLOOKUP($C1999,INSUMOS!$A:$D,3,0),IFERROR(VLOOKUP($C1999,COTAÇÕES!$B:$I,3,0),(VLOOKUP($C1999,'INSUMO SINAPI - SP'!$C:$F,3,0)))))</f>
        <v>M</v>
      </c>
      <c r="G1999" s="511">
        <v>10.8</v>
      </c>
      <c r="H1999" s="512">
        <f>IF($C1999="",IFERROR(VLOOKUP($B1999,SERVIÇOS!$B:$G,6,0),IFERROR(VLOOKUP($B1999,$D:$K,8,0),"")),IFERROR(VLOOKUP($C1999,INSUMOS!$A:$D,4,0),IFERROR(VLOOKUP($C1999,COTAÇÕES!$B:$I,7,0),(VLOOKUP($C1999,'INSUMO SINAPI - SP'!$C:$F,4,0)))))</f>
        <v>15.27</v>
      </c>
      <c r="I1999" s="513">
        <f>TRUNC(IF($C1999="",IFERROR(VLOOKUP($B1999,SERVIÇOS!$B:$G,4,0),IFERROR(VLOOKUP($B1999,$D:$K,6,0),)),IFERROR(VLOOKUP($C1999,INSUMOS!$A:$D,4,0),IFERROR(VLOOKUP($C1999,COTAÇÕES!$B:$I,7,0),(VLOOKUP($C1999,'INSUMO SINAPI - SP'!$C:$F,4,0)))))*$G1999,2)</f>
        <v>138.99</v>
      </c>
      <c r="J1999" s="513">
        <f>TRUNC(IF($C1999="",IFERROR(VLOOKUP($B1999,SERVIÇOS!$B:$G,5,0),IFERROR(VLOOKUP($B1999,$D:$K,7,0),)),0)*$G1999,2)</f>
        <v>25.92</v>
      </c>
      <c r="K1999" s="514">
        <f>I1999+J1999</f>
        <v>164.91000000000003</v>
      </c>
      <c r="L1999" s="515"/>
      <c r="M1999" s="471"/>
      <c r="N1999" s="516"/>
      <c r="Q1999" s="472"/>
      <c r="R1999" s="472"/>
      <c r="S1999" s="472"/>
      <c r="T1999" s="472"/>
      <c r="U1999" s="472"/>
      <c r="V1999" s="472"/>
      <c r="W1999" s="472"/>
      <c r="X1999" s="472"/>
      <c r="Y1999" s="472"/>
    </row>
    <row r="2000" spans="1:25" ht="24" x14ac:dyDescent="0.25">
      <c r="A2000" s="463"/>
      <c r="B2000" s="498"/>
      <c r="C2000" s="498"/>
      <c r="D2000" s="499" t="s">
        <v>12021</v>
      </c>
      <c r="E2000" s="500" t="s">
        <v>13534</v>
      </c>
      <c r="F2000" s="501" t="s">
        <v>580</v>
      </c>
      <c r="G2000" s="502"/>
      <c r="H2000" s="503"/>
      <c r="I2000" s="504">
        <f>ROUND(SUM(I2001:I2014),2)</f>
        <v>1136.18</v>
      </c>
      <c r="J2000" s="504">
        <f>ROUND(SUM(J2001:J2014),2)</f>
        <v>506.27</v>
      </c>
      <c r="K2000" s="504">
        <f>+J2000+I2000</f>
        <v>1642.45</v>
      </c>
      <c r="L2000" s="523" t="s">
        <v>13535</v>
      </c>
      <c r="M2000" s="471"/>
      <c r="N2000" s="505"/>
      <c r="Q2000" s="472"/>
      <c r="R2000" s="472"/>
      <c r="S2000" s="472"/>
      <c r="T2000" s="472"/>
      <c r="U2000" s="472"/>
      <c r="V2000" s="472"/>
      <c r="W2000" s="472"/>
      <c r="X2000" s="472"/>
      <c r="Y2000" s="472"/>
    </row>
    <row r="2001" spans="1:25" ht="36" x14ac:dyDescent="0.25">
      <c r="A2001" s="463"/>
      <c r="B2001" s="506"/>
      <c r="C2001" s="507">
        <v>10555</v>
      </c>
      <c r="D2001" s="508"/>
      <c r="E2001" s="509" t="str">
        <f>IF($C2001="",IFERROR(VLOOKUP($B2001,SERVIÇOS!$B:$G,2,0),IFERROR(VLOOKUP($B2001,$D:$K,2,0),"")),IFERROR(VLOOKUP($C2001,INSUMOS!$A:$D,2,0),IFERROR(VLOOKUP($C2001,COTAÇÕES!$B:$I,2,0),(VLOOKUP($C2001,'INSUMO SINAPI - SP'!$C:$F,2,0)))))</f>
        <v>PORTA DE MADEIRA, FOLHA MEDIA (NBR 15930) DE 800 X 2100 MM, DE 35 MM A 40 MM DE ESPESSURA, NUCLEO SEMI-SOLIDO (SARRAFEADO), CAPA LISA EM HDF, ACABAMENTO EM PRIMER PARA PINTURA</v>
      </c>
      <c r="F2001" s="510" t="str">
        <f>IF($C2001="",IFERROR(VLOOKUP($B2001,SERVIÇOS!$B:$G,3,0),IFERROR(VLOOKUP($B2001,$D:$K,3,0),"")),IFERROR(VLOOKUP($C2001,INSUMOS!$A:$D,3,0),IFERROR(VLOOKUP($C2001,COTAÇÕES!$B:$I,3,0),(VLOOKUP($C2001,'INSUMO SINAPI - SP'!$C:$F,3,0)))))</f>
        <v>UN</v>
      </c>
      <c r="G2001" s="511">
        <v>1</v>
      </c>
      <c r="H2001" s="512">
        <f>IF($C2001="",IFERROR(VLOOKUP($B2001,SERVIÇOS!$B:$G,6,0),IFERROR(VLOOKUP($B2001,$D:$K,8,0),"")),IFERROR(VLOOKUP($C2001,INSUMOS!$A:$D,4,0),IFERROR(VLOOKUP($C2001,COTAÇÕES!$B:$I,7,0),(VLOOKUP($C2001,'INSUMO SINAPI - SP'!$C:$F,4,0)))))</f>
        <v>258.08</v>
      </c>
      <c r="I2001" s="513">
        <f>TRUNC(IF($C2001="",IFERROR(VLOOKUP($B2001,SERVIÇOS!$B:$G,4,0),IFERROR(VLOOKUP($B2001,$D:$K,6,0),)),IFERROR(VLOOKUP($C2001,INSUMOS!$A:$D,4,0),IFERROR(VLOOKUP($C2001,COTAÇÕES!$B:$I,7,0),(VLOOKUP($C2001,'INSUMO SINAPI - SP'!$C:$F,4,0)))))*$G2001,2)</f>
        <v>258.08</v>
      </c>
      <c r="J2001" s="513">
        <f>TRUNC(IF($C2001="",IFERROR(VLOOKUP($B2001,SERVIÇOS!$B:$G,5,0),IFERROR(VLOOKUP($B2001,$D:$K,7,0),)),0)*$G2001,2)</f>
        <v>0</v>
      </c>
      <c r="K2001" s="514">
        <f t="shared" ref="K2001:K2014" si="75">I2001+J2001</f>
        <v>258.08</v>
      </c>
      <c r="L2001" s="517"/>
      <c r="M2001" s="471"/>
      <c r="N2001" s="516"/>
      <c r="Q2001" s="472"/>
      <c r="R2001" s="472"/>
      <c r="S2001" s="472"/>
      <c r="T2001" s="472"/>
      <c r="U2001" s="472"/>
      <c r="V2001" s="472"/>
      <c r="W2001" s="472"/>
      <c r="X2001" s="472"/>
      <c r="Y2001" s="472"/>
    </row>
    <row r="2002" spans="1:25" ht="24" x14ac:dyDescent="0.25">
      <c r="A2002" s="463"/>
      <c r="B2002" s="506"/>
      <c r="C2002" s="507">
        <v>38179</v>
      </c>
      <c r="D2002" s="508"/>
      <c r="E2002" s="509" t="str">
        <f>IF($C2002="",IFERROR(VLOOKUP($B2002,SERVIÇOS!$B:$G,2,0),IFERROR(VLOOKUP($B2002,$D:$K,2,0),"")),IFERROR(VLOOKUP($C2002,INSUMOS!$A:$D,2,0),IFERROR(VLOOKUP($C2002,COTAÇÕES!$B:$I,2,0),(VLOOKUP($C2002,'INSUMO SINAPI - SP'!$C:$F,2,0)))))</f>
        <v>ROLDANA CONCAVA DUPLA, 4 RODAS, PARA PORTA DE CORRER, EM ZAMAC COM CHAPA DE ACO, ROLAMENTO INTERNO BLINDADO DE ACO REVESTIDO EM NYLON</v>
      </c>
      <c r="F2002" s="510" t="str">
        <f>IF($C2002="",IFERROR(VLOOKUP($B2002,SERVIÇOS!$B:$G,3,0),IFERROR(VLOOKUP($B2002,$D:$K,3,0),"")),IFERROR(VLOOKUP($C2002,INSUMOS!$A:$D,3,0),IFERROR(VLOOKUP($C2002,COTAÇÕES!$B:$I,3,0),(VLOOKUP($C2002,'INSUMO SINAPI - SP'!$C:$F,3,0)))))</f>
        <v>UN</v>
      </c>
      <c r="G2002" s="511">
        <v>2</v>
      </c>
      <c r="H2002" s="512">
        <f>IF($C2002="",IFERROR(VLOOKUP($B2002,SERVIÇOS!$B:$G,6,0),IFERROR(VLOOKUP($B2002,$D:$K,8,0),"")),IFERROR(VLOOKUP($C2002,INSUMOS!$A:$D,4,0),IFERROR(VLOOKUP($C2002,COTAÇÕES!$B:$I,7,0),(VLOOKUP($C2002,'INSUMO SINAPI - SP'!$C:$F,4,0)))))</f>
        <v>45.16</v>
      </c>
      <c r="I2002" s="513">
        <f>TRUNC(IF($C2002="",IFERROR(VLOOKUP($B2002,SERVIÇOS!$B:$G,4,0),IFERROR(VLOOKUP($B2002,$D:$K,6,0),)),IFERROR(VLOOKUP($C2002,INSUMOS!$A:$D,4,0),IFERROR(VLOOKUP($C2002,COTAÇÕES!$B:$I,7,0),(VLOOKUP($C2002,'INSUMO SINAPI - SP'!$C:$F,4,0)))))*$G2002,2)</f>
        <v>90.32</v>
      </c>
      <c r="J2002" s="513">
        <f>TRUNC(IF($C2002="",IFERROR(VLOOKUP($B2002,SERVIÇOS!$B:$G,5,0),IFERROR(VLOOKUP($B2002,$D:$K,7,0),)),0)*$G2002,2)</f>
        <v>0</v>
      </c>
      <c r="K2002" s="514">
        <f t="shared" si="75"/>
        <v>90.32</v>
      </c>
      <c r="L2002" s="517"/>
      <c r="M2002" s="471"/>
      <c r="N2002" s="516"/>
      <c r="Q2002" s="472"/>
      <c r="R2002" s="472"/>
      <c r="S2002" s="472"/>
      <c r="T2002" s="472"/>
      <c r="U2002" s="472"/>
      <c r="V2002" s="472"/>
      <c r="W2002" s="472"/>
      <c r="X2002" s="472"/>
      <c r="Y2002" s="472"/>
    </row>
    <row r="2003" spans="1:25" x14ac:dyDescent="0.25">
      <c r="A2003" s="463"/>
      <c r="B2003" s="506"/>
      <c r="C2003" s="507">
        <v>34360</v>
      </c>
      <c r="D2003" s="508"/>
      <c r="E2003" s="509" t="str">
        <f>IF($C2003="",IFERROR(VLOOKUP($B2003,SERVIÇOS!$B:$G,2,0),IFERROR(VLOOKUP($B2003,$D:$K,2,0),"")),IFERROR(VLOOKUP($C2003,INSUMOS!$A:$D,2,0),IFERROR(VLOOKUP($C2003,COTAÇÕES!$B:$I,2,0),(VLOOKUP($C2003,'INSUMO SINAPI - SP'!$C:$F,2,0)))))</f>
        <v>PERFIL DE ALUMINIO ANODIZADO</v>
      </c>
      <c r="F2003" s="510" t="str">
        <f>IF($C2003="",IFERROR(VLOOKUP($B2003,SERVIÇOS!$B:$G,3,0),IFERROR(VLOOKUP($B2003,$D:$K,3,0),"")),IFERROR(VLOOKUP($C2003,INSUMOS!$A:$D,3,0),IFERROR(VLOOKUP($C2003,COTAÇÕES!$B:$I,3,0),(VLOOKUP($C2003,'INSUMO SINAPI - SP'!$C:$F,3,0)))))</f>
        <v>KG</v>
      </c>
      <c r="G2003" s="511">
        <v>1.6</v>
      </c>
      <c r="H2003" s="512">
        <f>IF($C2003="",IFERROR(VLOOKUP($B2003,SERVIÇOS!$B:$G,6,0),IFERROR(VLOOKUP($B2003,$D:$K,8,0),"")),IFERROR(VLOOKUP($C2003,INSUMOS!$A:$D,4,0),IFERROR(VLOOKUP($C2003,COTAÇÕES!$B:$I,7,0),(VLOOKUP($C2003,'INSUMO SINAPI - SP'!$C:$F,4,0)))))</f>
        <v>57.62</v>
      </c>
      <c r="I2003" s="513">
        <f>TRUNC(IF($C2003="",IFERROR(VLOOKUP($B2003,SERVIÇOS!$B:$G,4,0),IFERROR(VLOOKUP($B2003,$D:$K,6,0),)),IFERROR(VLOOKUP($C2003,INSUMOS!$A:$D,4,0),IFERROR(VLOOKUP($C2003,COTAÇÕES!$B:$I,7,0),(VLOOKUP($C2003,'INSUMO SINAPI - SP'!$C:$F,4,0)))))*$G2003,2)</f>
        <v>92.19</v>
      </c>
      <c r="J2003" s="513">
        <f>TRUNC(IF($C2003="",IFERROR(VLOOKUP($B2003,SERVIÇOS!$B:$G,5,0),IFERROR(VLOOKUP($B2003,$D:$K,7,0),)),0)*$G2003,2)</f>
        <v>0</v>
      </c>
      <c r="K2003" s="514">
        <f t="shared" si="75"/>
        <v>92.19</v>
      </c>
      <c r="L2003" s="517"/>
      <c r="M2003" s="471"/>
      <c r="N2003" s="516"/>
      <c r="Q2003" s="472"/>
      <c r="R2003" s="472"/>
      <c r="S2003" s="472"/>
      <c r="T2003" s="472"/>
      <c r="U2003" s="472"/>
      <c r="V2003" s="472"/>
      <c r="W2003" s="472"/>
      <c r="X2003" s="472"/>
      <c r="Y2003" s="472"/>
    </row>
    <row r="2004" spans="1:25" x14ac:dyDescent="0.25">
      <c r="A2004" s="463"/>
      <c r="B2004" s="506"/>
      <c r="C2004" s="507">
        <v>38124</v>
      </c>
      <c r="D2004" s="508"/>
      <c r="E2004" s="509" t="str">
        <f>IF($C2004="",IFERROR(VLOOKUP($B2004,SERVIÇOS!$B:$G,2,0),IFERROR(VLOOKUP($B2004,$D:$K,2,0),"")),IFERROR(VLOOKUP($C2004,INSUMOS!$A:$D,2,0),IFERROR(VLOOKUP($C2004,COTAÇÕES!$B:$I,2,0),(VLOOKUP($C2004,'INSUMO SINAPI - SP'!$C:$F,2,0)))))</f>
        <v>ESPUMA EXPANSIVA DE POLIURETANO, APLICACAO MANUAL - 500 ML</v>
      </c>
      <c r="F2004" s="510" t="str">
        <f>IF($C2004="",IFERROR(VLOOKUP($B2004,SERVIÇOS!$B:$G,3,0),IFERROR(VLOOKUP($B2004,$D:$K,3,0),"")),IFERROR(VLOOKUP($C2004,INSUMOS!$A:$D,3,0),IFERROR(VLOOKUP($C2004,COTAÇÕES!$B:$I,3,0),(VLOOKUP($C2004,'INSUMO SINAPI - SP'!$C:$F,3,0)))))</f>
        <v>UN</v>
      </c>
      <c r="G2004" s="511">
        <v>1</v>
      </c>
      <c r="H2004" s="512">
        <f>IF($C2004="",IFERROR(VLOOKUP($B2004,SERVIÇOS!$B:$G,6,0),IFERROR(VLOOKUP($B2004,$D:$K,8,0),"")),IFERROR(VLOOKUP($C2004,INSUMOS!$A:$D,4,0),IFERROR(VLOOKUP($C2004,COTAÇÕES!$B:$I,7,0),(VLOOKUP($C2004,'INSUMO SINAPI - SP'!$C:$F,4,0)))))</f>
        <v>27.5</v>
      </c>
      <c r="I2004" s="513">
        <f>TRUNC(IF($C2004="",IFERROR(VLOOKUP($B2004,SERVIÇOS!$B:$G,4,0),IFERROR(VLOOKUP($B2004,$D:$K,6,0),)),IFERROR(VLOOKUP($C2004,INSUMOS!$A:$D,4,0),IFERROR(VLOOKUP($C2004,COTAÇÕES!$B:$I,7,0),(VLOOKUP($C2004,'INSUMO SINAPI - SP'!$C:$F,4,0)))))*$G2004,2)</f>
        <v>27.5</v>
      </c>
      <c r="J2004" s="513">
        <f>TRUNC(IF($C2004="",IFERROR(VLOOKUP($B2004,SERVIÇOS!$B:$G,5,0),IFERROR(VLOOKUP($B2004,$D:$K,7,0),)),0)*$G2004,2)</f>
        <v>0</v>
      </c>
      <c r="K2004" s="514">
        <f t="shared" si="75"/>
        <v>27.5</v>
      </c>
      <c r="L2004" s="517"/>
      <c r="M2004" s="471"/>
      <c r="N2004" s="516"/>
      <c r="Q2004" s="472"/>
      <c r="R2004" s="472"/>
      <c r="S2004" s="472"/>
      <c r="T2004" s="472"/>
      <c r="U2004" s="472"/>
      <c r="V2004" s="472"/>
      <c r="W2004" s="472"/>
      <c r="X2004" s="472"/>
      <c r="Y2004" s="472"/>
    </row>
    <row r="2005" spans="1:25" ht="24" x14ac:dyDescent="0.25">
      <c r="A2005" s="463"/>
      <c r="B2005" s="506"/>
      <c r="C2005" s="507">
        <v>38165</v>
      </c>
      <c r="D2005" s="508"/>
      <c r="E2005" s="509" t="str">
        <f>IF($C2005="",IFERROR(VLOOKUP($B2005,SERVIÇOS!$B:$G,2,0),IFERROR(VLOOKUP($B2005,$D:$K,2,0),"")),IFERROR(VLOOKUP($C2005,INSUMOS!$A:$D,2,0),IFERROR(VLOOKUP($C2005,COTAÇÕES!$B:$I,2,0),(VLOOKUP($C2005,'INSUMO SINAPI - SP'!$C:$F,2,0)))))</f>
        <v>FECHO / FECHADURA COM PUXADOR CONCHA, COM TRANCA TIPO TRAVA, PARA JANELA / PORTA DE CORRER (INCLUI TESTA, FECHADURA, PUXADOR) - COMPLETA</v>
      </c>
      <c r="F2005" s="510" t="str">
        <f>IF($C2005="",IFERROR(VLOOKUP($B2005,SERVIÇOS!$B:$G,3,0),IFERROR(VLOOKUP($B2005,$D:$K,3,0),"")),IFERROR(VLOOKUP($C2005,INSUMOS!$A:$D,3,0),IFERROR(VLOOKUP($C2005,COTAÇÕES!$B:$I,3,0),(VLOOKUP($C2005,'INSUMO SINAPI - SP'!$C:$F,3,0)))))</f>
        <v>CJ</v>
      </c>
      <c r="G2005" s="511">
        <v>1</v>
      </c>
      <c r="H2005" s="512">
        <f>IF($C2005="",IFERROR(VLOOKUP($B2005,SERVIÇOS!$B:$G,6,0),IFERROR(VLOOKUP($B2005,$D:$K,8,0),"")),IFERROR(VLOOKUP($C2005,INSUMOS!$A:$D,4,0),IFERROR(VLOOKUP($C2005,COTAÇÕES!$B:$I,7,0),(VLOOKUP($C2005,'INSUMO SINAPI - SP'!$C:$F,4,0)))))</f>
        <v>67.239999999999995</v>
      </c>
      <c r="I2005" s="513">
        <f>TRUNC(IF($C2005="",IFERROR(VLOOKUP($B2005,SERVIÇOS!$B:$G,4,0),IFERROR(VLOOKUP($B2005,$D:$K,6,0),)),IFERROR(VLOOKUP($C2005,INSUMOS!$A:$D,4,0),IFERROR(VLOOKUP($C2005,COTAÇÕES!$B:$I,7,0),(VLOOKUP($C2005,'INSUMO SINAPI - SP'!$C:$F,4,0)))))*$G2005,2)</f>
        <v>67.239999999999995</v>
      </c>
      <c r="J2005" s="513">
        <f>TRUNC(IF($C2005="",IFERROR(VLOOKUP($B2005,SERVIÇOS!$B:$G,5,0),IFERROR(VLOOKUP($B2005,$D:$K,7,0),)),0)*$G2005,2)</f>
        <v>0</v>
      </c>
      <c r="K2005" s="514">
        <f t="shared" si="75"/>
        <v>67.239999999999995</v>
      </c>
      <c r="L2005" s="517"/>
      <c r="M2005" s="471"/>
      <c r="N2005" s="516"/>
      <c r="Q2005" s="472"/>
      <c r="R2005" s="472"/>
      <c r="S2005" s="472"/>
      <c r="T2005" s="472"/>
      <c r="U2005" s="472"/>
      <c r="V2005" s="472"/>
      <c r="W2005" s="472"/>
      <c r="X2005" s="472"/>
      <c r="Y2005" s="472"/>
    </row>
    <row r="2006" spans="1:25" x14ac:dyDescent="0.25">
      <c r="A2006" s="463"/>
      <c r="B2006" s="506"/>
      <c r="C2006" s="507">
        <v>370</v>
      </c>
      <c r="D2006" s="508"/>
      <c r="E2006" s="509" t="str">
        <f>IF($C2006="",IFERROR(VLOOKUP($B2006,SERVIÇOS!$B:$G,2,0),IFERROR(VLOOKUP($B2006,$D:$K,2,0),"")),IFERROR(VLOOKUP($C2006,INSUMOS!$A:$D,2,0),IFERROR(VLOOKUP($C2006,COTAÇÕES!$B:$I,2,0),(VLOOKUP($C2006,'INSUMO SINAPI - SP'!$C:$F,2,0)))))</f>
        <v>AREIA MEDIA - POSTO JAZIDA/FORNECEDOR (RETIRADO NA JAZIDA, SEM TRANSPORTE)</v>
      </c>
      <c r="F2006" s="510" t="str">
        <f>IF($C2006="",IFERROR(VLOOKUP($B2006,SERVIÇOS!$B:$G,3,0),IFERROR(VLOOKUP($B2006,$D:$K,3,0),"")),IFERROR(VLOOKUP($C2006,INSUMOS!$A:$D,3,0),IFERROR(VLOOKUP($C2006,COTAÇÕES!$B:$I,3,0),(VLOOKUP($C2006,'INSUMO SINAPI - SP'!$C:$F,3,0)))))</f>
        <v>M3</v>
      </c>
      <c r="G2006" s="511">
        <v>2.1000000000000001E-2</v>
      </c>
      <c r="H2006" s="512">
        <f>IF($C2006="",IFERROR(VLOOKUP($B2006,SERVIÇOS!$B:$G,6,0),IFERROR(VLOOKUP($B2006,$D:$K,8,0),"")),IFERROR(VLOOKUP($C2006,INSUMOS!$A:$D,4,0),IFERROR(VLOOKUP($C2006,COTAÇÕES!$B:$I,7,0),(VLOOKUP($C2006,'INSUMO SINAPI - SP'!$C:$F,4,0)))))</f>
        <v>119.08</v>
      </c>
      <c r="I2006" s="513">
        <f>TRUNC(IF($C2006="",IFERROR(VLOOKUP($B2006,SERVIÇOS!$B:$G,4,0),IFERROR(VLOOKUP($B2006,$D:$K,6,0),)),IFERROR(VLOOKUP($C2006,INSUMOS!$A:$D,4,0),IFERROR(VLOOKUP($C2006,COTAÇÕES!$B:$I,7,0),(VLOOKUP($C2006,'INSUMO SINAPI - SP'!$C:$F,4,0)))))*$G2006,2)</f>
        <v>2.5</v>
      </c>
      <c r="J2006" s="513">
        <f>TRUNC(IF($C2006="",IFERROR(VLOOKUP($B2006,SERVIÇOS!$B:$G,5,0),IFERROR(VLOOKUP($B2006,$D:$K,7,0),)),0)*$G2006,2)</f>
        <v>0</v>
      </c>
      <c r="K2006" s="514">
        <f t="shared" si="75"/>
        <v>2.5</v>
      </c>
      <c r="L2006" s="517"/>
      <c r="M2006" s="471"/>
      <c r="N2006" s="516"/>
      <c r="Q2006" s="472"/>
      <c r="R2006" s="472"/>
      <c r="S2006" s="472"/>
      <c r="T2006" s="472"/>
      <c r="U2006" s="472"/>
      <c r="V2006" s="472"/>
      <c r="W2006" s="472"/>
      <c r="X2006" s="472"/>
      <c r="Y2006" s="472"/>
    </row>
    <row r="2007" spans="1:25" x14ac:dyDescent="0.25">
      <c r="A2007" s="463"/>
      <c r="B2007" s="506"/>
      <c r="C2007" s="507">
        <v>1379</v>
      </c>
      <c r="D2007" s="508"/>
      <c r="E2007" s="509" t="str">
        <f>IF($C2007="",IFERROR(VLOOKUP($B2007,SERVIÇOS!$B:$G,2,0),IFERROR(VLOOKUP($B2007,$D:$K,2,0),"")),IFERROR(VLOOKUP($C2007,INSUMOS!$A:$D,2,0),IFERROR(VLOOKUP($C2007,COTAÇÕES!$B:$I,2,0),(VLOOKUP($C2007,'INSUMO SINAPI - SP'!$C:$F,2,0)))))</f>
        <v>CIMENTO PORTLAND COMPOSTO CP II-32</v>
      </c>
      <c r="F2007" s="510" t="str">
        <f>IF($C2007="",IFERROR(VLOOKUP($B2007,SERVIÇOS!$B:$G,3,0),IFERROR(VLOOKUP($B2007,$D:$K,3,0),"")),IFERROR(VLOOKUP($C2007,INSUMOS!$A:$D,3,0),IFERROR(VLOOKUP($C2007,COTAÇÕES!$B:$I,3,0),(VLOOKUP($C2007,'INSUMO SINAPI - SP'!$C:$F,3,0)))))</f>
        <v>KG</v>
      </c>
      <c r="G2007" s="511">
        <v>3.3</v>
      </c>
      <c r="H2007" s="512">
        <f>IF($C2007="",IFERROR(VLOOKUP($B2007,SERVIÇOS!$B:$G,6,0),IFERROR(VLOOKUP($B2007,$D:$K,8,0),"")),IFERROR(VLOOKUP($C2007,INSUMOS!$A:$D,4,0),IFERROR(VLOOKUP($C2007,COTAÇÕES!$B:$I,7,0),(VLOOKUP($C2007,'INSUMO SINAPI - SP'!$C:$F,4,0)))))</f>
        <v>0.68</v>
      </c>
      <c r="I2007" s="513">
        <f>TRUNC(IF($C2007="",IFERROR(VLOOKUP($B2007,SERVIÇOS!$B:$G,4,0),IFERROR(VLOOKUP($B2007,$D:$K,6,0),)),IFERROR(VLOOKUP($C2007,INSUMOS!$A:$D,4,0),IFERROR(VLOOKUP($C2007,COTAÇÕES!$B:$I,7,0),(VLOOKUP($C2007,'INSUMO SINAPI - SP'!$C:$F,4,0)))))*$G2007,2)</f>
        <v>2.2400000000000002</v>
      </c>
      <c r="J2007" s="513">
        <f>TRUNC(IF($C2007="",IFERROR(VLOOKUP($B2007,SERVIÇOS!$B:$G,5,0),IFERROR(VLOOKUP($B2007,$D:$K,7,0),)),0)*$G2007,2)</f>
        <v>0</v>
      </c>
      <c r="K2007" s="514">
        <f t="shared" si="75"/>
        <v>2.2400000000000002</v>
      </c>
      <c r="L2007" s="517"/>
      <c r="M2007" s="471"/>
      <c r="N2007" s="516"/>
      <c r="Q2007" s="472"/>
      <c r="R2007" s="472"/>
      <c r="S2007" s="472"/>
      <c r="T2007" s="472"/>
      <c r="U2007" s="472"/>
      <c r="V2007" s="472"/>
      <c r="W2007" s="472"/>
      <c r="X2007" s="472"/>
      <c r="Y2007" s="472"/>
    </row>
    <row r="2008" spans="1:25" x14ac:dyDescent="0.25">
      <c r="A2008" s="463"/>
      <c r="B2008" s="506"/>
      <c r="C2008" s="507">
        <v>5075</v>
      </c>
      <c r="D2008" s="508"/>
      <c r="E2008" s="509" t="str">
        <f>IF($C2008="",IFERROR(VLOOKUP($B2008,SERVIÇOS!$B:$G,2,0),IFERROR(VLOOKUP($B2008,$D:$K,2,0),"")),IFERROR(VLOOKUP($C2008,INSUMOS!$A:$D,2,0),IFERROR(VLOOKUP($C2008,COTAÇÕES!$B:$I,2,0),(VLOOKUP($C2008,'INSUMO SINAPI - SP'!$C:$F,2,0)))))</f>
        <v>PREGO DE ACO POLIDO COM CABECA 18 X 30 (2 3/4 X 10)</v>
      </c>
      <c r="F2008" s="510" t="str">
        <f>IF($C2008="",IFERROR(VLOOKUP($B2008,SERVIÇOS!$B:$G,3,0),IFERROR(VLOOKUP($B2008,$D:$K,3,0),"")),IFERROR(VLOOKUP($C2008,INSUMOS!$A:$D,3,0),IFERROR(VLOOKUP($C2008,COTAÇÕES!$B:$I,3,0),(VLOOKUP($C2008,'INSUMO SINAPI - SP'!$C:$F,3,0)))))</f>
        <v>KG</v>
      </c>
      <c r="G2008" s="511">
        <v>0.1</v>
      </c>
      <c r="H2008" s="512">
        <f>IF($C2008="",IFERROR(VLOOKUP($B2008,SERVIÇOS!$B:$G,6,0),IFERROR(VLOOKUP($B2008,$D:$K,8,0),"")),IFERROR(VLOOKUP($C2008,INSUMOS!$A:$D,4,0),IFERROR(VLOOKUP($C2008,COTAÇÕES!$B:$I,7,0),(VLOOKUP($C2008,'INSUMO SINAPI - SP'!$C:$F,4,0)))))</f>
        <v>16.07</v>
      </c>
      <c r="I2008" s="513">
        <f>TRUNC(IF($C2008="",IFERROR(VLOOKUP($B2008,SERVIÇOS!$B:$G,4,0),IFERROR(VLOOKUP($B2008,$D:$K,6,0),)),IFERROR(VLOOKUP($C2008,INSUMOS!$A:$D,4,0),IFERROR(VLOOKUP($C2008,COTAÇÕES!$B:$I,7,0),(VLOOKUP($C2008,'INSUMO SINAPI - SP'!$C:$F,4,0)))))*$G2008,2)</f>
        <v>1.6</v>
      </c>
      <c r="J2008" s="513">
        <f>TRUNC(IF($C2008="",IFERROR(VLOOKUP($B2008,SERVIÇOS!$B:$G,5,0),IFERROR(VLOOKUP($B2008,$D:$K,7,0),)),0)*$G2008,2)</f>
        <v>0</v>
      </c>
      <c r="K2008" s="514">
        <f t="shared" si="75"/>
        <v>1.6</v>
      </c>
      <c r="L2008" s="517"/>
      <c r="M2008" s="471"/>
      <c r="N2008" s="516"/>
      <c r="Q2008" s="472"/>
      <c r="R2008" s="472"/>
      <c r="S2008" s="472"/>
      <c r="T2008" s="472"/>
      <c r="U2008" s="472"/>
      <c r="V2008" s="472"/>
      <c r="W2008" s="472"/>
      <c r="X2008" s="472"/>
      <c r="Y2008" s="472"/>
    </row>
    <row r="2009" spans="1:25" ht="24" x14ac:dyDescent="0.25">
      <c r="A2009" s="463"/>
      <c r="B2009" s="506"/>
      <c r="C2009" s="507">
        <v>11581</v>
      </c>
      <c r="D2009" s="508"/>
      <c r="E2009" s="509" t="str">
        <f>IF($C2009="",IFERROR(VLOOKUP($B2009,SERVIÇOS!$B:$G,2,0),IFERROR(VLOOKUP($B2009,$D:$K,2,0),"")),IFERROR(VLOOKUP($C2009,INSUMOS!$A:$D,2,0),IFERROR(VLOOKUP($C2009,COTAÇÕES!$B:$I,2,0),(VLOOKUP($C2009,'INSUMO SINAPI - SP'!$C:$F,2,0)))))</f>
        <v>TRILHO PANTOGRAFICO CONCAVO, TIPO U, EM ALUMINIO, COM DIMENSOES DE APROX *35 X 35* MM, PARA ROLDANA DE PORTA DE CORRER</v>
      </c>
      <c r="F2009" s="510" t="str">
        <f>IF($C2009="",IFERROR(VLOOKUP($B2009,SERVIÇOS!$B:$G,3,0),IFERROR(VLOOKUP($B2009,$D:$K,3,0),"")),IFERROR(VLOOKUP($C2009,INSUMOS!$A:$D,3,0),IFERROR(VLOOKUP($C2009,COTAÇÕES!$B:$I,3,0),(VLOOKUP($C2009,'INSUMO SINAPI - SP'!$C:$F,3,0)))))</f>
        <v>M</v>
      </c>
      <c r="G2009" s="511">
        <v>1.6</v>
      </c>
      <c r="H2009" s="512">
        <f>IF($C2009="",IFERROR(VLOOKUP($B2009,SERVIÇOS!$B:$G,6,0),IFERROR(VLOOKUP($B2009,$D:$K,8,0),"")),IFERROR(VLOOKUP($C2009,INSUMOS!$A:$D,4,0),IFERROR(VLOOKUP($C2009,COTAÇÕES!$B:$I,7,0),(VLOOKUP($C2009,'INSUMO SINAPI - SP'!$C:$F,4,0)))))</f>
        <v>20.03</v>
      </c>
      <c r="I2009" s="513">
        <f>TRUNC(IF($C2009="",IFERROR(VLOOKUP($B2009,SERVIÇOS!$B:$G,4,0),IFERROR(VLOOKUP($B2009,$D:$K,6,0),)),IFERROR(VLOOKUP($C2009,INSUMOS!$A:$D,4,0),IFERROR(VLOOKUP($C2009,COTAÇÕES!$B:$I,7,0),(VLOOKUP($C2009,'INSUMO SINAPI - SP'!$C:$F,4,0)))))*$G2009,2)</f>
        <v>32.04</v>
      </c>
      <c r="J2009" s="513">
        <f>TRUNC(IF($C2009="",IFERROR(VLOOKUP($B2009,SERVIÇOS!$B:$G,5,0),IFERROR(VLOOKUP($B2009,$D:$K,7,0),)),0)*$G2009,2)</f>
        <v>0</v>
      </c>
      <c r="K2009" s="514">
        <f t="shared" si="75"/>
        <v>32.04</v>
      </c>
      <c r="L2009" s="517"/>
      <c r="M2009" s="471"/>
      <c r="N2009" s="516"/>
      <c r="Q2009" s="472"/>
      <c r="R2009" s="472"/>
      <c r="S2009" s="472"/>
      <c r="T2009" s="472"/>
      <c r="U2009" s="472"/>
      <c r="V2009" s="472"/>
      <c r="W2009" s="472"/>
      <c r="X2009" s="472"/>
      <c r="Y2009" s="472"/>
    </row>
    <row r="2010" spans="1:25" x14ac:dyDescent="0.25">
      <c r="A2010" s="463"/>
      <c r="B2010" s="506">
        <v>88261</v>
      </c>
      <c r="C2010" s="507"/>
      <c r="D2010" s="508"/>
      <c r="E2010" s="509" t="str">
        <f>IF($C2010="",IFERROR(VLOOKUP($B2010,SERVIÇOS!$B:$G,2,0),IFERROR(VLOOKUP($B2010,$D:$K,2,0),"")),IFERROR(VLOOKUP($C2010,INSUMOS!$A:$D,2,0),IFERROR(VLOOKUP($C2010,COTAÇÕES!$B:$I,2,0),(VLOOKUP($C2010,'INSUMO SINAPI - SP'!$C:$F,2,0)))))</f>
        <v>CARPINTEIRO DE ESQUADRIA COM ENCARGOS COMPLEMENTARES</v>
      </c>
      <c r="F2010" s="510" t="str">
        <f>IF($C2010="",IFERROR(VLOOKUP($B2010,SERVIÇOS!$B:$G,3,0),IFERROR(VLOOKUP($B2010,$D:$K,3,0),"")),IFERROR(VLOOKUP($C2010,INSUMOS!$A:$D,3,0),IFERROR(VLOOKUP($C2010,COTAÇÕES!$B:$I,3,0),(VLOOKUP($C2010,'INSUMO SINAPI - SP'!$C:$F,3,0)))))</f>
        <v>H</v>
      </c>
      <c r="G2010" s="511">
        <v>5</v>
      </c>
      <c r="H2010" s="512">
        <f>IF($C2010="",IFERROR(VLOOKUP($B2010,SERVIÇOS!$B:$G,6,0),IFERROR(VLOOKUP($B2010,$D:$K,8,0),"")),IFERROR(VLOOKUP($C2010,INSUMOS!$A:$D,4,0),IFERROR(VLOOKUP($C2010,COTAÇÕES!$B:$I,7,0),(VLOOKUP($C2010,'INSUMO SINAPI - SP'!$C:$F,4,0)))))</f>
        <v>34.909999999999997</v>
      </c>
      <c r="I2010" s="513">
        <f>TRUNC(IF($C2010="",IFERROR(VLOOKUP($B2010,SERVIÇOS!$B:$G,4,0),IFERROR(VLOOKUP($B2010,$D:$K,6,0),)),IFERROR(VLOOKUP($C2010,INSUMOS!$A:$D,4,0),IFERROR(VLOOKUP($C2010,COTAÇÕES!$B:$I,7,0),(VLOOKUP($C2010,'INSUMO SINAPI - SP'!$C:$F,4,0)))))*$G2010,2)</f>
        <v>45.3</v>
      </c>
      <c r="J2010" s="513">
        <f>TRUNC(IF($C2010="",IFERROR(VLOOKUP($B2010,SERVIÇOS!$B:$G,5,0),IFERROR(VLOOKUP($B2010,$D:$K,7,0),)),0)*$G2010,2)</f>
        <v>129.25</v>
      </c>
      <c r="K2010" s="514">
        <f t="shared" si="75"/>
        <v>174.55</v>
      </c>
      <c r="L2010" s="515"/>
      <c r="M2010" s="471"/>
      <c r="N2010" s="516"/>
      <c r="Q2010" s="472"/>
      <c r="R2010" s="472"/>
      <c r="S2010" s="472"/>
      <c r="T2010" s="472"/>
      <c r="U2010" s="472"/>
      <c r="V2010" s="472"/>
      <c r="W2010" s="472"/>
      <c r="X2010" s="472"/>
      <c r="Y2010" s="472"/>
    </row>
    <row r="2011" spans="1:25" x14ac:dyDescent="0.25">
      <c r="A2011" s="463"/>
      <c r="B2011" s="506">
        <v>88309</v>
      </c>
      <c r="C2011" s="507"/>
      <c r="D2011" s="508"/>
      <c r="E2011" s="509" t="str">
        <f>IF($C2011="",IFERROR(VLOOKUP($B2011,SERVIÇOS!$B:$G,2,0),IFERROR(VLOOKUP($B2011,$D:$K,2,0),"")),IFERROR(VLOOKUP($C2011,INSUMOS!$A:$D,2,0),IFERROR(VLOOKUP($C2011,COTAÇÕES!$B:$I,2,0),(VLOOKUP($C2011,'INSUMO SINAPI - SP'!$C:$F,2,0)))))</f>
        <v>PEDREIRO COM ENCARGOS COMPLEMENTARES</v>
      </c>
      <c r="F2011" s="510" t="str">
        <f>IF($C2011="",IFERROR(VLOOKUP($B2011,SERVIÇOS!$B:$G,3,0),IFERROR(VLOOKUP($B2011,$D:$K,3,0),"")),IFERROR(VLOOKUP($C2011,INSUMOS!$A:$D,3,0),IFERROR(VLOOKUP($C2011,COTAÇÕES!$B:$I,3,0),(VLOOKUP($C2011,'INSUMO SINAPI - SP'!$C:$F,3,0)))))</f>
        <v>H</v>
      </c>
      <c r="G2011" s="511">
        <v>2</v>
      </c>
      <c r="H2011" s="512">
        <f>IF($C2011="",IFERROR(VLOOKUP($B2011,SERVIÇOS!$B:$G,6,0),IFERROR(VLOOKUP($B2011,$D:$K,8,0),"")),IFERROR(VLOOKUP($C2011,INSUMOS!$A:$D,4,0),IFERROR(VLOOKUP($C2011,COTAÇÕES!$B:$I,7,0),(VLOOKUP($C2011,'INSUMO SINAPI - SP'!$C:$F,4,0)))))</f>
        <v>36.909999999999997</v>
      </c>
      <c r="I2011" s="513">
        <f>TRUNC(IF($C2011="",IFERROR(VLOOKUP($B2011,SERVIÇOS!$B:$G,4,0),IFERROR(VLOOKUP($B2011,$D:$K,6,0),)),IFERROR(VLOOKUP($C2011,INSUMOS!$A:$D,4,0),IFERROR(VLOOKUP($C2011,COTAÇÕES!$B:$I,7,0),(VLOOKUP($C2011,'INSUMO SINAPI - SP'!$C:$F,4,0)))))*$G2011,2)</f>
        <v>18.559999999999999</v>
      </c>
      <c r="J2011" s="513">
        <f>TRUNC(IF($C2011="",IFERROR(VLOOKUP($B2011,SERVIÇOS!$B:$G,5,0),IFERROR(VLOOKUP($B2011,$D:$K,7,0),)),0)*$G2011,2)</f>
        <v>55.26</v>
      </c>
      <c r="K2011" s="514">
        <f t="shared" si="75"/>
        <v>73.819999999999993</v>
      </c>
      <c r="L2011" s="515"/>
      <c r="M2011" s="471"/>
      <c r="N2011" s="516"/>
      <c r="Q2011" s="472"/>
      <c r="R2011" s="472"/>
      <c r="S2011" s="472"/>
      <c r="T2011" s="472"/>
      <c r="U2011" s="472"/>
      <c r="V2011" s="472"/>
      <c r="W2011" s="472"/>
      <c r="X2011" s="472"/>
      <c r="Y2011" s="472"/>
    </row>
    <row r="2012" spans="1:25" x14ac:dyDescent="0.25">
      <c r="A2012" s="463"/>
      <c r="B2012" s="506">
        <v>88316</v>
      </c>
      <c r="C2012" s="507"/>
      <c r="D2012" s="508"/>
      <c r="E2012" s="509" t="str">
        <f>IF($C2012="",IFERROR(VLOOKUP($B2012,SERVIÇOS!$B:$G,2,0),IFERROR(VLOOKUP($B2012,$D:$K,2,0),"")),IFERROR(VLOOKUP($C2012,INSUMOS!$A:$D,2,0),IFERROR(VLOOKUP($C2012,COTAÇÕES!$B:$I,2,0),(VLOOKUP($C2012,'INSUMO SINAPI - SP'!$C:$F,2,0)))))</f>
        <v>SERVENTE COM ENCARGOS COMPLEMENTARES</v>
      </c>
      <c r="F2012" s="510" t="str">
        <f>IF($C2012="",IFERROR(VLOOKUP($B2012,SERVIÇOS!$B:$G,3,0),IFERROR(VLOOKUP($B2012,$D:$K,3,0),"")),IFERROR(VLOOKUP($C2012,INSUMOS!$A:$D,3,0),IFERROR(VLOOKUP($C2012,COTAÇÕES!$B:$I,3,0),(VLOOKUP($C2012,'INSUMO SINAPI - SP'!$C:$F,3,0)))))</f>
        <v>H</v>
      </c>
      <c r="G2012" s="511">
        <v>7</v>
      </c>
      <c r="H2012" s="512">
        <f>IF($C2012="",IFERROR(VLOOKUP($B2012,SERVIÇOS!$B:$G,6,0),IFERROR(VLOOKUP($B2012,$D:$K,8,0),"")),IFERROR(VLOOKUP($C2012,INSUMOS!$A:$D,4,0),IFERROR(VLOOKUP($C2012,COTAÇÕES!$B:$I,7,0),(VLOOKUP($C2012,'INSUMO SINAPI - SP'!$C:$F,4,0)))))</f>
        <v>28.71</v>
      </c>
      <c r="I2012" s="513">
        <f>TRUNC(IF($C2012="",IFERROR(VLOOKUP($B2012,SERVIÇOS!$B:$G,4,0),IFERROR(VLOOKUP($B2012,$D:$K,6,0),)),IFERROR(VLOOKUP($C2012,INSUMOS!$A:$D,4,0),IFERROR(VLOOKUP($C2012,COTAÇÕES!$B:$I,7,0),(VLOOKUP($C2012,'INSUMO SINAPI - SP'!$C:$F,4,0)))))*$G2012,2)</f>
        <v>64.400000000000006</v>
      </c>
      <c r="J2012" s="513">
        <f>TRUNC(IF($C2012="",IFERROR(VLOOKUP($B2012,SERVIÇOS!$B:$G,5,0),IFERROR(VLOOKUP($B2012,$D:$K,7,0),)),0)*$G2012,2)</f>
        <v>136.57</v>
      </c>
      <c r="K2012" s="514">
        <f t="shared" si="75"/>
        <v>200.97</v>
      </c>
      <c r="L2012" s="515"/>
      <c r="M2012" s="471"/>
      <c r="N2012" s="516"/>
      <c r="Q2012" s="472"/>
      <c r="R2012" s="472"/>
      <c r="S2012" s="472"/>
      <c r="T2012" s="472"/>
      <c r="U2012" s="472"/>
      <c r="V2012" s="472"/>
      <c r="W2012" s="472"/>
      <c r="X2012" s="472"/>
      <c r="Y2012" s="472"/>
    </row>
    <row r="2013" spans="1:25" ht="24" x14ac:dyDescent="0.25">
      <c r="A2013" s="463"/>
      <c r="B2013" s="506">
        <v>100659</v>
      </c>
      <c r="C2013" s="507"/>
      <c r="D2013" s="508"/>
      <c r="E2013" s="509" t="str">
        <f>IF($C2013="",IFERROR(VLOOKUP($B2013,SERVIÇOS!$B:$G,2,0),IFERROR(VLOOKUP($B2013,$D:$K,2,0),"")),IFERROR(VLOOKUP($C2013,INSUMOS!$A:$D,2,0),IFERROR(VLOOKUP($C2013,COTAÇÕES!$B:$I,2,0),(VLOOKUP($C2013,'INSUMO SINAPI - SP'!$C:$F,2,0)))))</f>
        <v>ALIZAR DE 5X1,5CM PARA PORTA FIXADO COM PREGOS, PADRÃO MÉDIO - FORNECIMENTO E INSTALAÇÃO. AF_12/2019</v>
      </c>
      <c r="F2013" s="510" t="str">
        <f>IF($C2013="",IFERROR(VLOOKUP($B2013,SERVIÇOS!$B:$G,3,0),IFERROR(VLOOKUP($B2013,$D:$K,3,0),"")),IFERROR(VLOOKUP($C2013,INSUMOS!$A:$D,3,0),IFERROR(VLOOKUP($C2013,COTAÇÕES!$B:$I,3,0),(VLOOKUP($C2013,'INSUMO SINAPI - SP'!$C:$F,3,0)))))</f>
        <v>M</v>
      </c>
      <c r="G2013" s="511">
        <v>5.66</v>
      </c>
      <c r="H2013" s="512">
        <f>IF($C2013="",IFERROR(VLOOKUP($B2013,SERVIÇOS!$B:$G,6,0),IFERROR(VLOOKUP($B2013,$D:$K,8,0),"")),IFERROR(VLOOKUP($C2013,INSUMOS!$A:$D,4,0),IFERROR(VLOOKUP($C2013,COTAÇÕES!$B:$I,7,0),(VLOOKUP($C2013,'INSUMO SINAPI - SP'!$C:$F,4,0)))))</f>
        <v>15.27</v>
      </c>
      <c r="I2013" s="513">
        <f>TRUNC(IF($C2013="",IFERROR(VLOOKUP($B2013,SERVIÇOS!$B:$G,4,0),IFERROR(VLOOKUP($B2013,$D:$K,6,0),)),IFERROR(VLOOKUP($C2013,INSUMOS!$A:$D,4,0),IFERROR(VLOOKUP($C2013,COTAÇÕES!$B:$I,7,0),(VLOOKUP($C2013,'INSUMO SINAPI - SP'!$C:$F,4,0)))))*$G2013,2)</f>
        <v>72.84</v>
      </c>
      <c r="J2013" s="513">
        <f>TRUNC(IF($C2013="",IFERROR(VLOOKUP($B2013,SERVIÇOS!$B:$G,5,0),IFERROR(VLOOKUP($B2013,$D:$K,7,0),)),0)*$G2013,2)</f>
        <v>13.58</v>
      </c>
      <c r="K2013" s="514">
        <f t="shared" si="75"/>
        <v>86.42</v>
      </c>
      <c r="L2013" s="515"/>
      <c r="M2013" s="471"/>
      <c r="N2013" s="516"/>
      <c r="Q2013" s="472"/>
      <c r="R2013" s="472"/>
      <c r="S2013" s="472"/>
      <c r="T2013" s="472"/>
      <c r="U2013" s="472"/>
      <c r="V2013" s="472"/>
      <c r="W2013" s="472"/>
      <c r="X2013" s="472"/>
      <c r="Y2013" s="472"/>
    </row>
    <row r="2014" spans="1:25" ht="24" x14ac:dyDescent="0.25">
      <c r="A2014" s="463"/>
      <c r="B2014" s="506">
        <v>90806</v>
      </c>
      <c r="C2014" s="507"/>
      <c r="D2014" s="508"/>
      <c r="E2014" s="509" t="str">
        <f>IF($C2014="",IFERROR(VLOOKUP($B2014,SERVIÇOS!$B:$G,2,0),IFERROR(VLOOKUP($B2014,$D:$K,2,0),"")),IFERROR(VLOOKUP($C2014,INSUMOS!$A:$D,2,0),IFERROR(VLOOKUP($C2014,COTAÇÕES!$B:$I,2,0),(VLOOKUP($C2014,'INSUMO SINAPI - SP'!$C:$F,2,0)))))</f>
        <v>BATENTE PARA PORTA DE MADEIRA, FIXAÇÃO COM ARGAMASSA, PADRÃO MÉDIO - FORNECIMENTO E INSTALAÇÃO. AF_12/2019</v>
      </c>
      <c r="F2014" s="510" t="str">
        <f>IF($C2014="",IFERROR(VLOOKUP($B2014,SERVIÇOS!$B:$G,3,0),IFERROR(VLOOKUP($B2014,$D:$K,3,0),"")),IFERROR(VLOOKUP($C2014,INSUMOS!$A:$D,3,0),IFERROR(VLOOKUP($C2014,COTAÇÕES!$B:$I,3,0),(VLOOKUP($C2014,'INSUMO SINAPI - SP'!$C:$F,3,0)))))</f>
        <v>UN</v>
      </c>
      <c r="G2014" s="511">
        <v>1</v>
      </c>
      <c r="H2014" s="512">
        <f>IF($C2014="",IFERROR(VLOOKUP($B2014,SERVIÇOS!$B:$G,6,0),IFERROR(VLOOKUP($B2014,$D:$K,8,0),"")),IFERROR(VLOOKUP($C2014,INSUMOS!$A:$D,4,0),IFERROR(VLOOKUP($C2014,COTAÇÕES!$B:$I,7,0),(VLOOKUP($C2014,'INSUMO SINAPI - SP'!$C:$F,4,0)))))</f>
        <v>532.98</v>
      </c>
      <c r="I2014" s="513">
        <f>TRUNC(IF($C2014="",IFERROR(VLOOKUP($B2014,SERVIÇOS!$B:$G,4,0),IFERROR(VLOOKUP($B2014,$D:$K,6,0),)),IFERROR(VLOOKUP($C2014,INSUMOS!$A:$D,4,0),IFERROR(VLOOKUP($C2014,COTAÇÕES!$B:$I,7,0),(VLOOKUP($C2014,'INSUMO SINAPI - SP'!$C:$F,4,0)))))*$G2014,2)</f>
        <v>361.37</v>
      </c>
      <c r="J2014" s="513">
        <f>TRUNC(IF($C2014="",IFERROR(VLOOKUP($B2014,SERVIÇOS!$B:$G,5,0),IFERROR(VLOOKUP($B2014,$D:$K,7,0),)),0)*$G2014,2)</f>
        <v>171.61</v>
      </c>
      <c r="K2014" s="514">
        <f t="shared" si="75"/>
        <v>532.98</v>
      </c>
      <c r="L2014" s="515"/>
      <c r="M2014" s="471"/>
      <c r="N2014" s="516"/>
      <c r="Q2014" s="472"/>
      <c r="R2014" s="472"/>
      <c r="S2014" s="472"/>
      <c r="T2014" s="472"/>
      <c r="U2014" s="472"/>
      <c r="V2014" s="472"/>
      <c r="W2014" s="472"/>
      <c r="X2014" s="472"/>
      <c r="Y2014" s="472"/>
    </row>
    <row r="2015" spans="1:25" ht="24" x14ac:dyDescent="0.25">
      <c r="A2015" s="463"/>
      <c r="B2015" s="498"/>
      <c r="C2015" s="498"/>
      <c r="D2015" s="499" t="s">
        <v>12022</v>
      </c>
      <c r="E2015" s="500" t="s">
        <v>13536</v>
      </c>
      <c r="F2015" s="501" t="s">
        <v>580</v>
      </c>
      <c r="G2015" s="502"/>
      <c r="H2015" s="503"/>
      <c r="I2015" s="504">
        <f>ROUND(SUM(I2016:I2029),2)</f>
        <v>1238.55</v>
      </c>
      <c r="J2015" s="504">
        <f>ROUND(SUM(J2016:J2029),2)</f>
        <v>506.75</v>
      </c>
      <c r="K2015" s="504">
        <f>+J2015+I2015</f>
        <v>1745.3</v>
      </c>
      <c r="L2015" s="523" t="s">
        <v>13535</v>
      </c>
      <c r="M2015" s="471"/>
      <c r="N2015" s="505"/>
      <c r="Q2015" s="472"/>
      <c r="R2015" s="472"/>
      <c r="S2015" s="472"/>
      <c r="T2015" s="472"/>
      <c r="U2015" s="472"/>
      <c r="V2015" s="472"/>
      <c r="W2015" s="472"/>
      <c r="X2015" s="472"/>
      <c r="Y2015" s="472"/>
    </row>
    <row r="2016" spans="1:25" ht="36" x14ac:dyDescent="0.25">
      <c r="A2016" s="463"/>
      <c r="B2016" s="506"/>
      <c r="C2016" s="507">
        <v>10556</v>
      </c>
      <c r="D2016" s="508"/>
      <c r="E2016" s="509" t="str">
        <f>IF($C2016="",IFERROR(VLOOKUP($B2016,SERVIÇOS!$B:$G,2,0),IFERROR(VLOOKUP($B2016,$D:$K,2,0),"")),IFERROR(VLOOKUP($C2016,INSUMOS!$A:$D,2,0),IFERROR(VLOOKUP($C2016,COTAÇÕES!$B:$I,2,0),(VLOOKUP($C2016,'INSUMO SINAPI - SP'!$C:$F,2,0)))))</f>
        <v>PORTA DE MADEIRA, FOLHA MEDIA (NBR 15930) DE 900 X 2100 MM, DE 35 MM A 40 MM DE ESPESSURA, NUCLEO SEMI-SOLIDO (SARRAFEADO), CAPA LISA EM HDF, ACABAMENTO EM PRIMER PARA PINTURA</v>
      </c>
      <c r="F2016" s="510" t="str">
        <f>IF($C2016="",IFERROR(VLOOKUP($B2016,SERVIÇOS!$B:$G,3,0),IFERROR(VLOOKUP($B2016,$D:$K,3,0),"")),IFERROR(VLOOKUP($C2016,INSUMOS!$A:$D,3,0),IFERROR(VLOOKUP($C2016,COTAÇÕES!$B:$I,3,0),(VLOOKUP($C2016,'INSUMO SINAPI - SP'!$C:$F,3,0)))))</f>
        <v>UN</v>
      </c>
      <c r="G2016" s="511">
        <v>1</v>
      </c>
      <c r="H2016" s="512">
        <f>IF($C2016="",IFERROR(VLOOKUP($B2016,SERVIÇOS!$B:$G,6,0),IFERROR(VLOOKUP($B2016,$D:$K,8,0),"")),IFERROR(VLOOKUP($C2016,INSUMOS!$A:$D,4,0),IFERROR(VLOOKUP($C2016,COTAÇÕES!$B:$I,7,0),(VLOOKUP($C2016,'INSUMO SINAPI - SP'!$C:$F,4,0)))))</f>
        <v>343.15</v>
      </c>
      <c r="I2016" s="513">
        <f>TRUNC(IF($C2016="",IFERROR(VLOOKUP($B2016,SERVIÇOS!$B:$G,4,0),IFERROR(VLOOKUP($B2016,$D:$K,6,0),)),IFERROR(VLOOKUP($C2016,INSUMOS!$A:$D,4,0),IFERROR(VLOOKUP($C2016,COTAÇÕES!$B:$I,7,0),(VLOOKUP($C2016,'INSUMO SINAPI - SP'!$C:$F,4,0)))))*$G2016,2)</f>
        <v>343.15</v>
      </c>
      <c r="J2016" s="513">
        <f>TRUNC(IF($C2016="",IFERROR(VLOOKUP($B2016,SERVIÇOS!$B:$G,5,0),IFERROR(VLOOKUP($B2016,$D:$K,7,0),)),0)*$G2016,2)</f>
        <v>0</v>
      </c>
      <c r="K2016" s="514">
        <f t="shared" ref="K2016:K2029" si="76">I2016+J2016</f>
        <v>343.15</v>
      </c>
      <c r="L2016" s="517"/>
      <c r="M2016" s="471"/>
      <c r="N2016" s="516"/>
      <c r="Q2016" s="472"/>
      <c r="R2016" s="472"/>
      <c r="S2016" s="472"/>
      <c r="T2016" s="472"/>
      <c r="U2016" s="472"/>
      <c r="V2016" s="472"/>
      <c r="W2016" s="472"/>
      <c r="X2016" s="472"/>
      <c r="Y2016" s="472"/>
    </row>
    <row r="2017" spans="1:25" ht="24" x14ac:dyDescent="0.25">
      <c r="A2017" s="463"/>
      <c r="B2017" s="506"/>
      <c r="C2017" s="507">
        <v>38179</v>
      </c>
      <c r="D2017" s="508"/>
      <c r="E2017" s="509" t="str">
        <f>IF($C2017="",IFERROR(VLOOKUP($B2017,SERVIÇOS!$B:$G,2,0),IFERROR(VLOOKUP($B2017,$D:$K,2,0),"")),IFERROR(VLOOKUP($C2017,INSUMOS!$A:$D,2,0),IFERROR(VLOOKUP($C2017,COTAÇÕES!$B:$I,2,0),(VLOOKUP($C2017,'INSUMO SINAPI - SP'!$C:$F,2,0)))))</f>
        <v>ROLDANA CONCAVA DUPLA, 4 RODAS, PARA PORTA DE CORRER, EM ZAMAC COM CHAPA DE ACO, ROLAMENTO INTERNO BLINDADO DE ACO REVESTIDO EM NYLON</v>
      </c>
      <c r="F2017" s="510" t="str">
        <f>IF($C2017="",IFERROR(VLOOKUP($B2017,SERVIÇOS!$B:$G,3,0),IFERROR(VLOOKUP($B2017,$D:$K,3,0),"")),IFERROR(VLOOKUP($C2017,INSUMOS!$A:$D,3,0),IFERROR(VLOOKUP($C2017,COTAÇÕES!$B:$I,3,0),(VLOOKUP($C2017,'INSUMO SINAPI - SP'!$C:$F,3,0)))))</f>
        <v>UN</v>
      </c>
      <c r="G2017" s="511">
        <v>2</v>
      </c>
      <c r="H2017" s="512">
        <f>IF($C2017="",IFERROR(VLOOKUP($B2017,SERVIÇOS!$B:$G,6,0),IFERROR(VLOOKUP($B2017,$D:$K,8,0),"")),IFERROR(VLOOKUP($C2017,INSUMOS!$A:$D,4,0),IFERROR(VLOOKUP($C2017,COTAÇÕES!$B:$I,7,0),(VLOOKUP($C2017,'INSUMO SINAPI - SP'!$C:$F,4,0)))))</f>
        <v>45.16</v>
      </c>
      <c r="I2017" s="513">
        <f>TRUNC(IF($C2017="",IFERROR(VLOOKUP($B2017,SERVIÇOS!$B:$G,4,0),IFERROR(VLOOKUP($B2017,$D:$K,6,0),)),IFERROR(VLOOKUP($C2017,INSUMOS!$A:$D,4,0),IFERROR(VLOOKUP($C2017,COTAÇÕES!$B:$I,7,0),(VLOOKUP($C2017,'INSUMO SINAPI - SP'!$C:$F,4,0)))))*$G2017,2)</f>
        <v>90.32</v>
      </c>
      <c r="J2017" s="513">
        <f>TRUNC(IF($C2017="",IFERROR(VLOOKUP($B2017,SERVIÇOS!$B:$G,5,0),IFERROR(VLOOKUP($B2017,$D:$K,7,0),)),0)*$G2017,2)</f>
        <v>0</v>
      </c>
      <c r="K2017" s="514">
        <f t="shared" si="76"/>
        <v>90.32</v>
      </c>
      <c r="L2017" s="517"/>
      <c r="M2017" s="471"/>
      <c r="N2017" s="516"/>
      <c r="Q2017" s="472"/>
      <c r="R2017" s="472"/>
      <c r="S2017" s="472"/>
      <c r="T2017" s="472"/>
      <c r="U2017" s="472"/>
      <c r="V2017" s="472"/>
      <c r="W2017" s="472"/>
      <c r="X2017" s="472"/>
      <c r="Y2017" s="472"/>
    </row>
    <row r="2018" spans="1:25" x14ac:dyDescent="0.25">
      <c r="A2018" s="463"/>
      <c r="B2018" s="506"/>
      <c r="C2018" s="507">
        <v>34360</v>
      </c>
      <c r="D2018" s="508"/>
      <c r="E2018" s="509" t="str">
        <f>IF($C2018="",IFERROR(VLOOKUP($B2018,SERVIÇOS!$B:$G,2,0),IFERROR(VLOOKUP($B2018,$D:$K,2,0),"")),IFERROR(VLOOKUP($C2018,INSUMOS!$A:$D,2,0),IFERROR(VLOOKUP($C2018,COTAÇÕES!$B:$I,2,0),(VLOOKUP($C2018,'INSUMO SINAPI - SP'!$C:$F,2,0)))))</f>
        <v>PERFIL DE ALUMINIO ANODIZADO</v>
      </c>
      <c r="F2018" s="510" t="str">
        <f>IF($C2018="",IFERROR(VLOOKUP($B2018,SERVIÇOS!$B:$G,3,0),IFERROR(VLOOKUP($B2018,$D:$K,3,0),"")),IFERROR(VLOOKUP($C2018,INSUMOS!$A:$D,3,0),IFERROR(VLOOKUP($C2018,COTAÇÕES!$B:$I,3,0),(VLOOKUP($C2018,'INSUMO SINAPI - SP'!$C:$F,3,0)))))</f>
        <v>KG</v>
      </c>
      <c r="G2018" s="511">
        <v>1.8</v>
      </c>
      <c r="H2018" s="512">
        <f>IF($C2018="",IFERROR(VLOOKUP($B2018,SERVIÇOS!$B:$G,6,0),IFERROR(VLOOKUP($B2018,$D:$K,8,0),"")),IFERROR(VLOOKUP($C2018,INSUMOS!$A:$D,4,0),IFERROR(VLOOKUP($C2018,COTAÇÕES!$B:$I,7,0),(VLOOKUP($C2018,'INSUMO SINAPI - SP'!$C:$F,4,0)))))</f>
        <v>57.62</v>
      </c>
      <c r="I2018" s="513">
        <f>TRUNC(IF($C2018="",IFERROR(VLOOKUP($B2018,SERVIÇOS!$B:$G,4,0),IFERROR(VLOOKUP($B2018,$D:$K,6,0),)),IFERROR(VLOOKUP($C2018,INSUMOS!$A:$D,4,0),IFERROR(VLOOKUP($C2018,COTAÇÕES!$B:$I,7,0),(VLOOKUP($C2018,'INSUMO SINAPI - SP'!$C:$F,4,0)))))*$G2018,2)</f>
        <v>103.71</v>
      </c>
      <c r="J2018" s="513">
        <f>TRUNC(IF($C2018="",IFERROR(VLOOKUP($B2018,SERVIÇOS!$B:$G,5,0),IFERROR(VLOOKUP($B2018,$D:$K,7,0),)),0)*$G2018,2)</f>
        <v>0</v>
      </c>
      <c r="K2018" s="514">
        <f t="shared" si="76"/>
        <v>103.71</v>
      </c>
      <c r="L2018" s="517"/>
      <c r="M2018" s="471"/>
      <c r="N2018" s="516"/>
      <c r="Q2018" s="472"/>
      <c r="R2018" s="472"/>
      <c r="S2018" s="472"/>
      <c r="T2018" s="472"/>
      <c r="U2018" s="472"/>
      <c r="V2018" s="472"/>
      <c r="W2018" s="472"/>
      <c r="X2018" s="472"/>
      <c r="Y2018" s="472"/>
    </row>
    <row r="2019" spans="1:25" x14ac:dyDescent="0.25">
      <c r="A2019" s="463"/>
      <c r="B2019" s="506"/>
      <c r="C2019" s="507">
        <v>38124</v>
      </c>
      <c r="D2019" s="508"/>
      <c r="E2019" s="509" t="str">
        <f>IF($C2019="",IFERROR(VLOOKUP($B2019,SERVIÇOS!$B:$G,2,0),IFERROR(VLOOKUP($B2019,$D:$K,2,0),"")),IFERROR(VLOOKUP($C2019,INSUMOS!$A:$D,2,0),IFERROR(VLOOKUP($C2019,COTAÇÕES!$B:$I,2,0),(VLOOKUP($C2019,'INSUMO SINAPI - SP'!$C:$F,2,0)))))</f>
        <v>ESPUMA EXPANSIVA DE POLIURETANO, APLICACAO MANUAL - 500 ML</v>
      </c>
      <c r="F2019" s="510" t="str">
        <f>IF($C2019="",IFERROR(VLOOKUP($B2019,SERVIÇOS!$B:$G,3,0),IFERROR(VLOOKUP($B2019,$D:$K,3,0),"")),IFERROR(VLOOKUP($C2019,INSUMOS!$A:$D,3,0),IFERROR(VLOOKUP($C2019,COTAÇÕES!$B:$I,3,0),(VLOOKUP($C2019,'INSUMO SINAPI - SP'!$C:$F,3,0)))))</f>
        <v>UN</v>
      </c>
      <c r="G2019" s="511">
        <v>1</v>
      </c>
      <c r="H2019" s="512">
        <f>IF($C2019="",IFERROR(VLOOKUP($B2019,SERVIÇOS!$B:$G,6,0),IFERROR(VLOOKUP($B2019,$D:$K,8,0),"")),IFERROR(VLOOKUP($C2019,INSUMOS!$A:$D,4,0),IFERROR(VLOOKUP($C2019,COTAÇÕES!$B:$I,7,0),(VLOOKUP($C2019,'INSUMO SINAPI - SP'!$C:$F,4,0)))))</f>
        <v>27.5</v>
      </c>
      <c r="I2019" s="513">
        <f>TRUNC(IF($C2019="",IFERROR(VLOOKUP($B2019,SERVIÇOS!$B:$G,4,0),IFERROR(VLOOKUP($B2019,$D:$K,6,0),)),IFERROR(VLOOKUP($C2019,INSUMOS!$A:$D,4,0),IFERROR(VLOOKUP($C2019,COTAÇÕES!$B:$I,7,0),(VLOOKUP($C2019,'INSUMO SINAPI - SP'!$C:$F,4,0)))))*$G2019,2)</f>
        <v>27.5</v>
      </c>
      <c r="J2019" s="513">
        <f>TRUNC(IF($C2019="",IFERROR(VLOOKUP($B2019,SERVIÇOS!$B:$G,5,0),IFERROR(VLOOKUP($B2019,$D:$K,7,0),)),0)*$G2019,2)</f>
        <v>0</v>
      </c>
      <c r="K2019" s="514">
        <f t="shared" si="76"/>
        <v>27.5</v>
      </c>
      <c r="L2019" s="517"/>
      <c r="M2019" s="471"/>
      <c r="N2019" s="516"/>
      <c r="Q2019" s="472"/>
      <c r="R2019" s="472"/>
      <c r="S2019" s="472"/>
      <c r="T2019" s="472"/>
      <c r="U2019" s="472"/>
      <c r="V2019" s="472"/>
      <c r="W2019" s="472"/>
      <c r="X2019" s="472"/>
      <c r="Y2019" s="472"/>
    </row>
    <row r="2020" spans="1:25" ht="24" x14ac:dyDescent="0.25">
      <c r="A2020" s="463"/>
      <c r="B2020" s="506"/>
      <c r="C2020" s="507">
        <v>38165</v>
      </c>
      <c r="D2020" s="508"/>
      <c r="E2020" s="509" t="str">
        <f>IF($C2020="",IFERROR(VLOOKUP($B2020,SERVIÇOS!$B:$G,2,0),IFERROR(VLOOKUP($B2020,$D:$K,2,0),"")),IFERROR(VLOOKUP($C2020,INSUMOS!$A:$D,2,0),IFERROR(VLOOKUP($C2020,COTAÇÕES!$B:$I,2,0),(VLOOKUP($C2020,'INSUMO SINAPI - SP'!$C:$F,2,0)))))</f>
        <v>FECHO / FECHADURA COM PUXADOR CONCHA, COM TRANCA TIPO TRAVA, PARA JANELA / PORTA DE CORRER (INCLUI TESTA, FECHADURA, PUXADOR) - COMPLETA</v>
      </c>
      <c r="F2020" s="510" t="str">
        <f>IF($C2020="",IFERROR(VLOOKUP($B2020,SERVIÇOS!$B:$G,3,0),IFERROR(VLOOKUP($B2020,$D:$K,3,0),"")),IFERROR(VLOOKUP($C2020,INSUMOS!$A:$D,3,0),IFERROR(VLOOKUP($C2020,COTAÇÕES!$B:$I,3,0),(VLOOKUP($C2020,'INSUMO SINAPI - SP'!$C:$F,3,0)))))</f>
        <v>CJ</v>
      </c>
      <c r="G2020" s="511">
        <v>1</v>
      </c>
      <c r="H2020" s="512">
        <f>IF($C2020="",IFERROR(VLOOKUP($B2020,SERVIÇOS!$B:$G,6,0),IFERROR(VLOOKUP($B2020,$D:$K,8,0),"")),IFERROR(VLOOKUP($C2020,INSUMOS!$A:$D,4,0),IFERROR(VLOOKUP($C2020,COTAÇÕES!$B:$I,7,0),(VLOOKUP($C2020,'INSUMO SINAPI - SP'!$C:$F,4,0)))))</f>
        <v>67.239999999999995</v>
      </c>
      <c r="I2020" s="513">
        <f>TRUNC(IF($C2020="",IFERROR(VLOOKUP($B2020,SERVIÇOS!$B:$G,4,0),IFERROR(VLOOKUP($B2020,$D:$K,6,0),)),IFERROR(VLOOKUP($C2020,INSUMOS!$A:$D,4,0),IFERROR(VLOOKUP($C2020,COTAÇÕES!$B:$I,7,0),(VLOOKUP($C2020,'INSUMO SINAPI - SP'!$C:$F,4,0)))))*$G2020,2)</f>
        <v>67.239999999999995</v>
      </c>
      <c r="J2020" s="513">
        <f>TRUNC(IF($C2020="",IFERROR(VLOOKUP($B2020,SERVIÇOS!$B:$G,5,0),IFERROR(VLOOKUP($B2020,$D:$K,7,0),)),0)*$G2020,2)</f>
        <v>0</v>
      </c>
      <c r="K2020" s="514">
        <f t="shared" si="76"/>
        <v>67.239999999999995</v>
      </c>
      <c r="L2020" s="517"/>
      <c r="M2020" s="471"/>
      <c r="N2020" s="516"/>
      <c r="Q2020" s="472"/>
      <c r="R2020" s="472"/>
      <c r="S2020" s="472"/>
      <c r="T2020" s="472"/>
      <c r="U2020" s="472"/>
      <c r="V2020" s="472"/>
      <c r="W2020" s="472"/>
      <c r="X2020" s="472"/>
      <c r="Y2020" s="472"/>
    </row>
    <row r="2021" spans="1:25" x14ac:dyDescent="0.25">
      <c r="A2021" s="463"/>
      <c r="B2021" s="506"/>
      <c r="C2021" s="507">
        <v>370</v>
      </c>
      <c r="D2021" s="508"/>
      <c r="E2021" s="509" t="str">
        <f>IF($C2021="",IFERROR(VLOOKUP($B2021,SERVIÇOS!$B:$G,2,0),IFERROR(VLOOKUP($B2021,$D:$K,2,0),"")),IFERROR(VLOOKUP($C2021,INSUMOS!$A:$D,2,0),IFERROR(VLOOKUP($C2021,COTAÇÕES!$B:$I,2,0),(VLOOKUP($C2021,'INSUMO SINAPI - SP'!$C:$F,2,0)))))</f>
        <v>AREIA MEDIA - POSTO JAZIDA/FORNECEDOR (RETIRADO NA JAZIDA, SEM TRANSPORTE)</v>
      </c>
      <c r="F2021" s="510" t="str">
        <f>IF($C2021="",IFERROR(VLOOKUP($B2021,SERVIÇOS!$B:$G,3,0),IFERROR(VLOOKUP($B2021,$D:$K,3,0),"")),IFERROR(VLOOKUP($C2021,INSUMOS!$A:$D,3,0),IFERROR(VLOOKUP($C2021,COTAÇÕES!$B:$I,3,0),(VLOOKUP($C2021,'INSUMO SINAPI - SP'!$C:$F,3,0)))))</f>
        <v>M3</v>
      </c>
      <c r="G2021" s="511">
        <v>2.1000000000000001E-2</v>
      </c>
      <c r="H2021" s="512">
        <f>IF($C2021="",IFERROR(VLOOKUP($B2021,SERVIÇOS!$B:$G,6,0),IFERROR(VLOOKUP($B2021,$D:$K,8,0),"")),IFERROR(VLOOKUP($C2021,INSUMOS!$A:$D,4,0),IFERROR(VLOOKUP($C2021,COTAÇÕES!$B:$I,7,0),(VLOOKUP($C2021,'INSUMO SINAPI - SP'!$C:$F,4,0)))))</f>
        <v>119.08</v>
      </c>
      <c r="I2021" s="513">
        <f>TRUNC(IF($C2021="",IFERROR(VLOOKUP($B2021,SERVIÇOS!$B:$G,4,0),IFERROR(VLOOKUP($B2021,$D:$K,6,0),)),IFERROR(VLOOKUP($C2021,INSUMOS!$A:$D,4,0),IFERROR(VLOOKUP($C2021,COTAÇÕES!$B:$I,7,0),(VLOOKUP($C2021,'INSUMO SINAPI - SP'!$C:$F,4,0)))))*$G2021,2)</f>
        <v>2.5</v>
      </c>
      <c r="J2021" s="513">
        <f>TRUNC(IF($C2021="",IFERROR(VLOOKUP($B2021,SERVIÇOS!$B:$G,5,0),IFERROR(VLOOKUP($B2021,$D:$K,7,0),)),0)*$G2021,2)</f>
        <v>0</v>
      </c>
      <c r="K2021" s="514">
        <f t="shared" si="76"/>
        <v>2.5</v>
      </c>
      <c r="L2021" s="517"/>
      <c r="M2021" s="471"/>
      <c r="N2021" s="516"/>
      <c r="Q2021" s="472"/>
      <c r="R2021" s="472"/>
      <c r="S2021" s="472"/>
      <c r="T2021" s="472"/>
      <c r="U2021" s="472"/>
      <c r="V2021" s="472"/>
      <c r="W2021" s="472"/>
      <c r="X2021" s="472"/>
      <c r="Y2021" s="472"/>
    </row>
    <row r="2022" spans="1:25" x14ac:dyDescent="0.25">
      <c r="A2022" s="463"/>
      <c r="B2022" s="506"/>
      <c r="C2022" s="507">
        <v>1379</v>
      </c>
      <c r="D2022" s="508"/>
      <c r="E2022" s="509" t="str">
        <f>IF($C2022="",IFERROR(VLOOKUP($B2022,SERVIÇOS!$B:$G,2,0),IFERROR(VLOOKUP($B2022,$D:$K,2,0),"")),IFERROR(VLOOKUP($C2022,INSUMOS!$A:$D,2,0),IFERROR(VLOOKUP($C2022,COTAÇÕES!$B:$I,2,0),(VLOOKUP($C2022,'INSUMO SINAPI - SP'!$C:$F,2,0)))))</f>
        <v>CIMENTO PORTLAND COMPOSTO CP II-32</v>
      </c>
      <c r="F2022" s="510" t="str">
        <f>IF($C2022="",IFERROR(VLOOKUP($B2022,SERVIÇOS!$B:$G,3,0),IFERROR(VLOOKUP($B2022,$D:$K,3,0),"")),IFERROR(VLOOKUP($C2022,INSUMOS!$A:$D,3,0),IFERROR(VLOOKUP($C2022,COTAÇÕES!$B:$I,3,0),(VLOOKUP($C2022,'INSUMO SINAPI - SP'!$C:$F,3,0)))))</f>
        <v>KG</v>
      </c>
      <c r="G2022" s="511">
        <v>3.3</v>
      </c>
      <c r="H2022" s="512">
        <f>IF($C2022="",IFERROR(VLOOKUP($B2022,SERVIÇOS!$B:$G,6,0),IFERROR(VLOOKUP($B2022,$D:$K,8,0),"")),IFERROR(VLOOKUP($C2022,INSUMOS!$A:$D,4,0),IFERROR(VLOOKUP($C2022,COTAÇÕES!$B:$I,7,0),(VLOOKUP($C2022,'INSUMO SINAPI - SP'!$C:$F,4,0)))))</f>
        <v>0.68</v>
      </c>
      <c r="I2022" s="513">
        <f>TRUNC(IF($C2022="",IFERROR(VLOOKUP($B2022,SERVIÇOS!$B:$G,4,0),IFERROR(VLOOKUP($B2022,$D:$K,6,0),)),IFERROR(VLOOKUP($C2022,INSUMOS!$A:$D,4,0),IFERROR(VLOOKUP($C2022,COTAÇÕES!$B:$I,7,0),(VLOOKUP($C2022,'INSUMO SINAPI - SP'!$C:$F,4,0)))))*$G2022,2)</f>
        <v>2.2400000000000002</v>
      </c>
      <c r="J2022" s="513">
        <f>TRUNC(IF($C2022="",IFERROR(VLOOKUP($B2022,SERVIÇOS!$B:$G,5,0),IFERROR(VLOOKUP($B2022,$D:$K,7,0),)),0)*$G2022,2)</f>
        <v>0</v>
      </c>
      <c r="K2022" s="514">
        <f t="shared" si="76"/>
        <v>2.2400000000000002</v>
      </c>
      <c r="L2022" s="517"/>
      <c r="M2022" s="471"/>
      <c r="N2022" s="516"/>
      <c r="Q2022" s="472"/>
      <c r="R2022" s="472"/>
      <c r="S2022" s="472"/>
      <c r="T2022" s="472"/>
      <c r="U2022" s="472"/>
      <c r="V2022" s="472"/>
      <c r="W2022" s="472"/>
      <c r="X2022" s="472"/>
      <c r="Y2022" s="472"/>
    </row>
    <row r="2023" spans="1:25" x14ac:dyDescent="0.25">
      <c r="A2023" s="463"/>
      <c r="B2023" s="506"/>
      <c r="C2023" s="507">
        <v>5075</v>
      </c>
      <c r="D2023" s="508"/>
      <c r="E2023" s="509" t="str">
        <f>IF($C2023="",IFERROR(VLOOKUP($B2023,SERVIÇOS!$B:$G,2,0),IFERROR(VLOOKUP($B2023,$D:$K,2,0),"")),IFERROR(VLOOKUP($C2023,INSUMOS!$A:$D,2,0),IFERROR(VLOOKUP($C2023,COTAÇÕES!$B:$I,2,0),(VLOOKUP($C2023,'INSUMO SINAPI - SP'!$C:$F,2,0)))))</f>
        <v>PREGO DE ACO POLIDO COM CABECA 18 X 30 (2 3/4 X 10)</v>
      </c>
      <c r="F2023" s="510" t="str">
        <f>IF($C2023="",IFERROR(VLOOKUP($B2023,SERVIÇOS!$B:$G,3,0),IFERROR(VLOOKUP($B2023,$D:$K,3,0),"")),IFERROR(VLOOKUP($C2023,INSUMOS!$A:$D,3,0),IFERROR(VLOOKUP($C2023,COTAÇÕES!$B:$I,3,0),(VLOOKUP($C2023,'INSUMO SINAPI - SP'!$C:$F,3,0)))))</f>
        <v>KG</v>
      </c>
      <c r="G2023" s="511">
        <v>0.05</v>
      </c>
      <c r="H2023" s="512">
        <f>IF($C2023="",IFERROR(VLOOKUP($B2023,SERVIÇOS!$B:$G,6,0),IFERROR(VLOOKUP($B2023,$D:$K,8,0),"")),IFERROR(VLOOKUP($C2023,INSUMOS!$A:$D,4,0),IFERROR(VLOOKUP($C2023,COTAÇÕES!$B:$I,7,0),(VLOOKUP($C2023,'INSUMO SINAPI - SP'!$C:$F,4,0)))))</f>
        <v>16.07</v>
      </c>
      <c r="I2023" s="513">
        <f>TRUNC(IF($C2023="",IFERROR(VLOOKUP($B2023,SERVIÇOS!$B:$G,4,0),IFERROR(VLOOKUP($B2023,$D:$K,6,0),)),IFERROR(VLOOKUP($C2023,INSUMOS!$A:$D,4,0),IFERROR(VLOOKUP($C2023,COTAÇÕES!$B:$I,7,0),(VLOOKUP($C2023,'INSUMO SINAPI - SP'!$C:$F,4,0)))))*$G2023,2)</f>
        <v>0.8</v>
      </c>
      <c r="J2023" s="513">
        <f>TRUNC(IF($C2023="",IFERROR(VLOOKUP($B2023,SERVIÇOS!$B:$G,5,0),IFERROR(VLOOKUP($B2023,$D:$K,7,0),)),0)*$G2023,2)</f>
        <v>0</v>
      </c>
      <c r="K2023" s="514">
        <f t="shared" si="76"/>
        <v>0.8</v>
      </c>
      <c r="L2023" s="517"/>
      <c r="M2023" s="471"/>
      <c r="N2023" s="516"/>
      <c r="Q2023" s="472"/>
      <c r="R2023" s="472"/>
      <c r="S2023" s="472"/>
      <c r="T2023" s="472"/>
      <c r="U2023" s="472"/>
      <c r="V2023" s="472"/>
      <c r="W2023" s="472"/>
      <c r="X2023" s="472"/>
      <c r="Y2023" s="472"/>
    </row>
    <row r="2024" spans="1:25" ht="24" x14ac:dyDescent="0.25">
      <c r="A2024" s="463"/>
      <c r="B2024" s="506"/>
      <c r="C2024" s="507">
        <v>11581</v>
      </c>
      <c r="D2024" s="508"/>
      <c r="E2024" s="509" t="str">
        <f>IF($C2024="",IFERROR(VLOOKUP($B2024,SERVIÇOS!$B:$G,2,0),IFERROR(VLOOKUP($B2024,$D:$K,2,0),"")),IFERROR(VLOOKUP($C2024,INSUMOS!$A:$D,2,0),IFERROR(VLOOKUP($C2024,COTAÇÕES!$B:$I,2,0),(VLOOKUP($C2024,'INSUMO SINAPI - SP'!$C:$F,2,0)))))</f>
        <v>TRILHO PANTOGRAFICO CONCAVO, TIPO U, EM ALUMINIO, COM DIMENSOES DE APROX *35 X 35* MM, PARA ROLDANA DE PORTA DE CORRER</v>
      </c>
      <c r="F2024" s="510" t="str">
        <f>IF($C2024="",IFERROR(VLOOKUP($B2024,SERVIÇOS!$B:$G,3,0),IFERROR(VLOOKUP($B2024,$D:$K,3,0),"")),IFERROR(VLOOKUP($C2024,INSUMOS!$A:$D,3,0),IFERROR(VLOOKUP($C2024,COTAÇÕES!$B:$I,3,0),(VLOOKUP($C2024,'INSUMO SINAPI - SP'!$C:$F,3,0)))))</f>
        <v>M</v>
      </c>
      <c r="G2024" s="511">
        <v>1.8</v>
      </c>
      <c r="H2024" s="512">
        <f>IF($C2024="",IFERROR(VLOOKUP($B2024,SERVIÇOS!$B:$G,6,0),IFERROR(VLOOKUP($B2024,$D:$K,8,0),"")),IFERROR(VLOOKUP($C2024,INSUMOS!$A:$D,4,0),IFERROR(VLOOKUP($C2024,COTAÇÕES!$B:$I,7,0),(VLOOKUP($C2024,'INSUMO SINAPI - SP'!$C:$F,4,0)))))</f>
        <v>20.03</v>
      </c>
      <c r="I2024" s="513">
        <f>TRUNC(IF($C2024="",IFERROR(VLOOKUP($B2024,SERVIÇOS!$B:$G,4,0),IFERROR(VLOOKUP($B2024,$D:$K,6,0),)),IFERROR(VLOOKUP($C2024,INSUMOS!$A:$D,4,0),IFERROR(VLOOKUP($C2024,COTAÇÕES!$B:$I,7,0),(VLOOKUP($C2024,'INSUMO SINAPI - SP'!$C:$F,4,0)))))*$G2024,2)</f>
        <v>36.049999999999997</v>
      </c>
      <c r="J2024" s="513">
        <f>TRUNC(IF($C2024="",IFERROR(VLOOKUP($B2024,SERVIÇOS!$B:$G,5,0),IFERROR(VLOOKUP($B2024,$D:$K,7,0),)),0)*$G2024,2)</f>
        <v>0</v>
      </c>
      <c r="K2024" s="514">
        <f t="shared" si="76"/>
        <v>36.049999999999997</v>
      </c>
      <c r="L2024" s="517"/>
      <c r="M2024" s="471"/>
      <c r="N2024" s="516"/>
      <c r="Q2024" s="472"/>
      <c r="R2024" s="472"/>
      <c r="S2024" s="472"/>
      <c r="T2024" s="472"/>
      <c r="U2024" s="472"/>
      <c r="V2024" s="472"/>
      <c r="W2024" s="472"/>
      <c r="X2024" s="472"/>
      <c r="Y2024" s="472"/>
    </row>
    <row r="2025" spans="1:25" x14ac:dyDescent="0.25">
      <c r="A2025" s="463"/>
      <c r="B2025" s="506">
        <v>88261</v>
      </c>
      <c r="C2025" s="507"/>
      <c r="D2025" s="508"/>
      <c r="E2025" s="509" t="str">
        <f>IF($C2025="",IFERROR(VLOOKUP($B2025,SERVIÇOS!$B:$G,2,0),IFERROR(VLOOKUP($B2025,$D:$K,2,0),"")),IFERROR(VLOOKUP($C2025,INSUMOS!$A:$D,2,0),IFERROR(VLOOKUP($C2025,COTAÇÕES!$B:$I,2,0),(VLOOKUP($C2025,'INSUMO SINAPI - SP'!$C:$F,2,0)))))</f>
        <v>CARPINTEIRO DE ESQUADRIA COM ENCARGOS COMPLEMENTARES</v>
      </c>
      <c r="F2025" s="510" t="str">
        <f>IF($C2025="",IFERROR(VLOOKUP($B2025,SERVIÇOS!$B:$G,3,0),IFERROR(VLOOKUP($B2025,$D:$K,3,0),"")),IFERROR(VLOOKUP($C2025,INSUMOS!$A:$D,3,0),IFERROR(VLOOKUP($C2025,COTAÇÕES!$B:$I,3,0),(VLOOKUP($C2025,'INSUMO SINAPI - SP'!$C:$F,3,0)))))</f>
        <v>H</v>
      </c>
      <c r="G2025" s="511">
        <v>5</v>
      </c>
      <c r="H2025" s="512">
        <f>IF($C2025="",IFERROR(VLOOKUP($B2025,SERVIÇOS!$B:$G,6,0),IFERROR(VLOOKUP($B2025,$D:$K,8,0),"")),IFERROR(VLOOKUP($C2025,INSUMOS!$A:$D,4,0),IFERROR(VLOOKUP($C2025,COTAÇÕES!$B:$I,7,0),(VLOOKUP($C2025,'INSUMO SINAPI - SP'!$C:$F,4,0)))))</f>
        <v>34.909999999999997</v>
      </c>
      <c r="I2025" s="513">
        <f>TRUNC(IF($C2025="",IFERROR(VLOOKUP($B2025,SERVIÇOS!$B:$G,4,0),IFERROR(VLOOKUP($B2025,$D:$K,6,0),)),IFERROR(VLOOKUP($C2025,INSUMOS!$A:$D,4,0),IFERROR(VLOOKUP($C2025,COTAÇÕES!$B:$I,7,0),(VLOOKUP($C2025,'INSUMO SINAPI - SP'!$C:$F,4,0)))))*$G2025,2)</f>
        <v>45.3</v>
      </c>
      <c r="J2025" s="513">
        <f>TRUNC(IF($C2025="",IFERROR(VLOOKUP($B2025,SERVIÇOS!$B:$G,5,0),IFERROR(VLOOKUP($B2025,$D:$K,7,0),)),0)*$G2025,2)</f>
        <v>129.25</v>
      </c>
      <c r="K2025" s="514">
        <f t="shared" si="76"/>
        <v>174.55</v>
      </c>
      <c r="L2025" s="515"/>
      <c r="M2025" s="471"/>
      <c r="N2025" s="516"/>
      <c r="Q2025" s="472"/>
      <c r="R2025" s="472"/>
      <c r="S2025" s="472"/>
      <c r="T2025" s="472"/>
      <c r="U2025" s="472"/>
      <c r="V2025" s="472"/>
      <c r="W2025" s="472"/>
      <c r="X2025" s="472"/>
      <c r="Y2025" s="472"/>
    </row>
    <row r="2026" spans="1:25" x14ac:dyDescent="0.25">
      <c r="A2026" s="463"/>
      <c r="B2026" s="506">
        <v>88309</v>
      </c>
      <c r="C2026" s="507"/>
      <c r="D2026" s="508"/>
      <c r="E2026" s="509" t="str">
        <f>IF($C2026="",IFERROR(VLOOKUP($B2026,SERVIÇOS!$B:$G,2,0),IFERROR(VLOOKUP($B2026,$D:$K,2,0),"")),IFERROR(VLOOKUP($C2026,INSUMOS!$A:$D,2,0),IFERROR(VLOOKUP($C2026,COTAÇÕES!$B:$I,2,0),(VLOOKUP($C2026,'INSUMO SINAPI - SP'!$C:$F,2,0)))))</f>
        <v>PEDREIRO COM ENCARGOS COMPLEMENTARES</v>
      </c>
      <c r="F2026" s="510" t="str">
        <f>IF($C2026="",IFERROR(VLOOKUP($B2026,SERVIÇOS!$B:$G,3,0),IFERROR(VLOOKUP($B2026,$D:$K,3,0),"")),IFERROR(VLOOKUP($C2026,INSUMOS!$A:$D,3,0),IFERROR(VLOOKUP($C2026,COTAÇÕES!$B:$I,3,0),(VLOOKUP($C2026,'INSUMO SINAPI - SP'!$C:$F,3,0)))))</f>
        <v>H</v>
      </c>
      <c r="G2026" s="511">
        <v>2</v>
      </c>
      <c r="H2026" s="512">
        <f>IF($C2026="",IFERROR(VLOOKUP($B2026,SERVIÇOS!$B:$G,6,0),IFERROR(VLOOKUP($B2026,$D:$K,8,0),"")),IFERROR(VLOOKUP($C2026,INSUMOS!$A:$D,4,0),IFERROR(VLOOKUP($C2026,COTAÇÕES!$B:$I,7,0),(VLOOKUP($C2026,'INSUMO SINAPI - SP'!$C:$F,4,0)))))</f>
        <v>36.909999999999997</v>
      </c>
      <c r="I2026" s="513">
        <f>TRUNC(IF($C2026="",IFERROR(VLOOKUP($B2026,SERVIÇOS!$B:$G,4,0),IFERROR(VLOOKUP($B2026,$D:$K,6,0),)),IFERROR(VLOOKUP($C2026,INSUMOS!$A:$D,4,0),IFERROR(VLOOKUP($C2026,COTAÇÕES!$B:$I,7,0),(VLOOKUP($C2026,'INSUMO SINAPI - SP'!$C:$F,4,0)))))*$G2026,2)</f>
        <v>18.559999999999999</v>
      </c>
      <c r="J2026" s="513">
        <f>TRUNC(IF($C2026="",IFERROR(VLOOKUP($B2026,SERVIÇOS!$B:$G,5,0),IFERROR(VLOOKUP($B2026,$D:$K,7,0),)),0)*$G2026,2)</f>
        <v>55.26</v>
      </c>
      <c r="K2026" s="514">
        <f t="shared" si="76"/>
        <v>73.819999999999993</v>
      </c>
      <c r="L2026" s="515"/>
      <c r="M2026" s="471"/>
      <c r="N2026" s="516"/>
      <c r="Q2026" s="472"/>
      <c r="R2026" s="472"/>
      <c r="S2026" s="472"/>
      <c r="T2026" s="472"/>
      <c r="U2026" s="472"/>
      <c r="V2026" s="472"/>
      <c r="W2026" s="472"/>
      <c r="X2026" s="472"/>
      <c r="Y2026" s="472"/>
    </row>
    <row r="2027" spans="1:25" x14ac:dyDescent="0.25">
      <c r="A2027" s="463"/>
      <c r="B2027" s="506">
        <v>88316</v>
      </c>
      <c r="C2027" s="507"/>
      <c r="D2027" s="508"/>
      <c r="E2027" s="509" t="str">
        <f>IF($C2027="",IFERROR(VLOOKUP($B2027,SERVIÇOS!$B:$G,2,0),IFERROR(VLOOKUP($B2027,$D:$K,2,0),"")),IFERROR(VLOOKUP($C2027,INSUMOS!$A:$D,2,0),IFERROR(VLOOKUP($C2027,COTAÇÕES!$B:$I,2,0),(VLOOKUP($C2027,'INSUMO SINAPI - SP'!$C:$F,2,0)))))</f>
        <v>SERVENTE COM ENCARGOS COMPLEMENTARES</v>
      </c>
      <c r="F2027" s="510" t="str">
        <f>IF($C2027="",IFERROR(VLOOKUP($B2027,SERVIÇOS!$B:$G,3,0),IFERROR(VLOOKUP($B2027,$D:$K,3,0),"")),IFERROR(VLOOKUP($C2027,INSUMOS!$A:$D,3,0),IFERROR(VLOOKUP($C2027,COTAÇÕES!$B:$I,3,0),(VLOOKUP($C2027,'INSUMO SINAPI - SP'!$C:$F,3,0)))))</f>
        <v>H</v>
      </c>
      <c r="G2027" s="511">
        <v>7</v>
      </c>
      <c r="H2027" s="512">
        <f>IF($C2027="",IFERROR(VLOOKUP($B2027,SERVIÇOS!$B:$G,6,0),IFERROR(VLOOKUP($B2027,$D:$K,8,0),"")),IFERROR(VLOOKUP($C2027,INSUMOS!$A:$D,4,0),IFERROR(VLOOKUP($C2027,COTAÇÕES!$B:$I,7,0),(VLOOKUP($C2027,'INSUMO SINAPI - SP'!$C:$F,4,0)))))</f>
        <v>28.71</v>
      </c>
      <c r="I2027" s="513">
        <f>TRUNC(IF($C2027="",IFERROR(VLOOKUP($B2027,SERVIÇOS!$B:$G,4,0),IFERROR(VLOOKUP($B2027,$D:$K,6,0),)),IFERROR(VLOOKUP($C2027,INSUMOS!$A:$D,4,0),IFERROR(VLOOKUP($C2027,COTAÇÕES!$B:$I,7,0),(VLOOKUP($C2027,'INSUMO SINAPI - SP'!$C:$F,4,0)))))*$G2027,2)</f>
        <v>64.400000000000006</v>
      </c>
      <c r="J2027" s="513">
        <f>TRUNC(IF($C2027="",IFERROR(VLOOKUP($B2027,SERVIÇOS!$B:$G,5,0),IFERROR(VLOOKUP($B2027,$D:$K,7,0),)),0)*$G2027,2)</f>
        <v>136.57</v>
      </c>
      <c r="K2027" s="514">
        <f t="shared" si="76"/>
        <v>200.97</v>
      </c>
      <c r="L2027" s="515"/>
      <c r="M2027" s="471"/>
      <c r="N2027" s="516"/>
      <c r="Q2027" s="472"/>
      <c r="R2027" s="472"/>
      <c r="S2027" s="472"/>
      <c r="T2027" s="472"/>
      <c r="U2027" s="472"/>
      <c r="V2027" s="472"/>
      <c r="W2027" s="472"/>
      <c r="X2027" s="472"/>
      <c r="Y2027" s="472"/>
    </row>
    <row r="2028" spans="1:25" ht="24" x14ac:dyDescent="0.25">
      <c r="A2028" s="463"/>
      <c r="B2028" s="506">
        <v>100659</v>
      </c>
      <c r="C2028" s="507"/>
      <c r="D2028" s="508"/>
      <c r="E2028" s="509" t="str">
        <f>IF($C2028="",IFERROR(VLOOKUP($B2028,SERVIÇOS!$B:$G,2,0),IFERROR(VLOOKUP($B2028,$D:$K,2,0),"")),IFERROR(VLOOKUP($C2028,INSUMOS!$A:$D,2,0),IFERROR(VLOOKUP($C2028,COTAÇÕES!$B:$I,2,0),(VLOOKUP($C2028,'INSUMO SINAPI - SP'!$C:$F,2,0)))))</f>
        <v>ALIZAR DE 5X1,5CM PARA PORTA FIXADO COM PREGOS, PADRÃO MÉDIO - FORNECIMENTO E INSTALAÇÃO. AF_12/2019</v>
      </c>
      <c r="F2028" s="510" t="str">
        <f>IF($C2028="",IFERROR(VLOOKUP($B2028,SERVIÇOS!$B:$G,3,0),IFERROR(VLOOKUP($B2028,$D:$K,3,0),"")),IFERROR(VLOOKUP($C2028,INSUMOS!$A:$D,3,0),IFERROR(VLOOKUP($C2028,COTAÇÕES!$B:$I,3,0),(VLOOKUP($C2028,'INSUMO SINAPI - SP'!$C:$F,3,0)))))</f>
        <v>M</v>
      </c>
      <c r="G2028" s="511">
        <v>5.86</v>
      </c>
      <c r="H2028" s="512">
        <f>IF($C2028="",IFERROR(VLOOKUP($B2028,SERVIÇOS!$B:$G,6,0),IFERROR(VLOOKUP($B2028,$D:$K,8,0),"")),IFERROR(VLOOKUP($C2028,INSUMOS!$A:$D,4,0),IFERROR(VLOOKUP($C2028,COTAÇÕES!$B:$I,7,0),(VLOOKUP($C2028,'INSUMO SINAPI - SP'!$C:$F,4,0)))))</f>
        <v>15.27</v>
      </c>
      <c r="I2028" s="513">
        <f>TRUNC(IF($C2028="",IFERROR(VLOOKUP($B2028,SERVIÇOS!$B:$G,4,0),IFERROR(VLOOKUP($B2028,$D:$K,6,0),)),IFERROR(VLOOKUP($C2028,INSUMOS!$A:$D,4,0),IFERROR(VLOOKUP($C2028,COTAÇÕES!$B:$I,7,0),(VLOOKUP($C2028,'INSUMO SINAPI - SP'!$C:$F,4,0)))))*$G2028,2)</f>
        <v>75.41</v>
      </c>
      <c r="J2028" s="513">
        <f>TRUNC(IF($C2028="",IFERROR(VLOOKUP($B2028,SERVIÇOS!$B:$G,5,0),IFERROR(VLOOKUP($B2028,$D:$K,7,0),)),0)*$G2028,2)</f>
        <v>14.06</v>
      </c>
      <c r="K2028" s="514">
        <f t="shared" si="76"/>
        <v>89.47</v>
      </c>
      <c r="L2028" s="515"/>
      <c r="M2028" s="471"/>
      <c r="N2028" s="516"/>
      <c r="Q2028" s="472"/>
      <c r="R2028" s="472"/>
      <c r="S2028" s="472"/>
      <c r="T2028" s="472"/>
      <c r="U2028" s="472"/>
      <c r="V2028" s="472"/>
      <c r="W2028" s="472"/>
      <c r="X2028" s="472"/>
      <c r="Y2028" s="472"/>
    </row>
    <row r="2029" spans="1:25" ht="24" x14ac:dyDescent="0.25">
      <c r="A2029" s="463"/>
      <c r="B2029" s="506">
        <v>90806</v>
      </c>
      <c r="C2029" s="507"/>
      <c r="D2029" s="508"/>
      <c r="E2029" s="509" t="str">
        <f>IF($C2029="",IFERROR(VLOOKUP($B2029,SERVIÇOS!$B:$G,2,0),IFERROR(VLOOKUP($B2029,$D:$K,2,0),"")),IFERROR(VLOOKUP($C2029,INSUMOS!$A:$D,2,0),IFERROR(VLOOKUP($C2029,COTAÇÕES!$B:$I,2,0),(VLOOKUP($C2029,'INSUMO SINAPI - SP'!$C:$F,2,0)))))</f>
        <v>BATENTE PARA PORTA DE MADEIRA, FIXAÇÃO COM ARGAMASSA, PADRÃO MÉDIO - FORNECIMENTO E INSTALAÇÃO. AF_12/2019</v>
      </c>
      <c r="F2029" s="510" t="str">
        <f>IF($C2029="",IFERROR(VLOOKUP($B2029,SERVIÇOS!$B:$G,3,0),IFERROR(VLOOKUP($B2029,$D:$K,3,0),"")),IFERROR(VLOOKUP($C2029,INSUMOS!$A:$D,3,0),IFERROR(VLOOKUP($C2029,COTAÇÕES!$B:$I,3,0),(VLOOKUP($C2029,'INSUMO SINAPI - SP'!$C:$F,3,0)))))</f>
        <v>UN</v>
      </c>
      <c r="G2029" s="511">
        <v>1</v>
      </c>
      <c r="H2029" s="512">
        <f>IF($C2029="",IFERROR(VLOOKUP($B2029,SERVIÇOS!$B:$G,6,0),IFERROR(VLOOKUP($B2029,$D:$K,8,0),"")),IFERROR(VLOOKUP($C2029,INSUMOS!$A:$D,4,0),IFERROR(VLOOKUP($C2029,COTAÇÕES!$B:$I,7,0),(VLOOKUP($C2029,'INSUMO SINAPI - SP'!$C:$F,4,0)))))</f>
        <v>532.98</v>
      </c>
      <c r="I2029" s="513">
        <f>TRUNC(IF($C2029="",IFERROR(VLOOKUP($B2029,SERVIÇOS!$B:$G,4,0),IFERROR(VLOOKUP($B2029,$D:$K,6,0),)),IFERROR(VLOOKUP($C2029,INSUMOS!$A:$D,4,0),IFERROR(VLOOKUP($C2029,COTAÇÕES!$B:$I,7,0),(VLOOKUP($C2029,'INSUMO SINAPI - SP'!$C:$F,4,0)))))*$G2029,2)</f>
        <v>361.37</v>
      </c>
      <c r="J2029" s="513">
        <f>TRUNC(IF($C2029="",IFERROR(VLOOKUP($B2029,SERVIÇOS!$B:$G,5,0),IFERROR(VLOOKUP($B2029,$D:$K,7,0),)),0)*$G2029,2)</f>
        <v>171.61</v>
      </c>
      <c r="K2029" s="514">
        <f t="shared" si="76"/>
        <v>532.98</v>
      </c>
      <c r="L2029" s="515"/>
      <c r="M2029" s="471"/>
      <c r="N2029" s="516"/>
      <c r="Q2029" s="472"/>
      <c r="R2029" s="472"/>
      <c r="S2029" s="472"/>
      <c r="T2029" s="472"/>
      <c r="U2029" s="472"/>
      <c r="V2029" s="472"/>
      <c r="W2029" s="472"/>
      <c r="X2029" s="472"/>
      <c r="Y2029" s="472"/>
    </row>
    <row r="2030" spans="1:25" ht="24" x14ac:dyDescent="0.25">
      <c r="A2030" s="463"/>
      <c r="B2030" s="498"/>
      <c r="C2030" s="498"/>
      <c r="D2030" s="499" t="s">
        <v>12023</v>
      </c>
      <c r="E2030" s="500" t="s">
        <v>13537</v>
      </c>
      <c r="F2030" s="501" t="s">
        <v>580</v>
      </c>
      <c r="G2030" s="502"/>
      <c r="H2030" s="503"/>
      <c r="I2030" s="504">
        <f>ROUND(SUM(I2031:I2044),2)</f>
        <v>1456.2</v>
      </c>
      <c r="J2030" s="504">
        <f>ROUND(SUM(J2031:J2044),2)</f>
        <v>506.75</v>
      </c>
      <c r="K2030" s="504">
        <f>+J2030+I2030</f>
        <v>1962.95</v>
      </c>
      <c r="L2030" s="523" t="s">
        <v>13535</v>
      </c>
      <c r="M2030" s="471"/>
      <c r="N2030" s="505"/>
      <c r="Q2030" s="472"/>
      <c r="R2030" s="472"/>
      <c r="S2030" s="472"/>
      <c r="T2030" s="472"/>
      <c r="U2030" s="472"/>
      <c r="V2030" s="472"/>
      <c r="W2030" s="472"/>
      <c r="X2030" s="472"/>
      <c r="Y2030" s="472"/>
    </row>
    <row r="2031" spans="1:25" ht="36" x14ac:dyDescent="0.25">
      <c r="A2031" s="463"/>
      <c r="B2031" s="506"/>
      <c r="C2031" s="507">
        <v>39503</v>
      </c>
      <c r="D2031" s="508"/>
      <c r="E2031" s="509" t="str">
        <f>IF($C2031="",IFERROR(VLOOKUP($B2031,SERVIÇOS!$B:$G,2,0),IFERROR(VLOOKUP($B2031,$D:$K,2,0),"")),IFERROR(VLOOKUP($C2031,INSUMOS!$A:$D,2,0),IFERROR(VLOOKUP($C2031,COTAÇÕES!$B:$I,2,0),(VLOOKUP($C2031,'INSUMO SINAPI - SP'!$C:$F,2,0)))))</f>
        <v>PORTA DE MADEIRA, FOLHA PESADA (NBR 15930) DE 900 X 2100 MM, DE 40 MM A 45 MM DE ESPESSURA, NUCLEO SOLIDO, CAPA LISA EM HDF, ACABAMENTO EM LAMINADO NATURAL PARA VERNIZ</v>
      </c>
      <c r="F2031" s="510" t="str">
        <f>IF($C2031="",IFERROR(VLOOKUP($B2031,SERVIÇOS!$B:$G,3,0),IFERROR(VLOOKUP($B2031,$D:$K,3,0),"")),IFERROR(VLOOKUP($C2031,INSUMOS!$A:$D,3,0),IFERROR(VLOOKUP($C2031,COTAÇÕES!$B:$I,3,0),(VLOOKUP($C2031,'INSUMO SINAPI - SP'!$C:$F,3,0)))))</f>
        <v>UN</v>
      </c>
      <c r="G2031" s="511">
        <v>1</v>
      </c>
      <c r="H2031" s="512">
        <f>IF($C2031="",IFERROR(VLOOKUP($B2031,SERVIÇOS!$B:$G,6,0),IFERROR(VLOOKUP($B2031,$D:$K,8,0),"")),IFERROR(VLOOKUP($C2031,INSUMOS!$A:$D,4,0),IFERROR(VLOOKUP($C2031,COTAÇÕES!$B:$I,7,0),(VLOOKUP($C2031,'INSUMO SINAPI - SP'!$C:$F,4,0)))))</f>
        <v>560.79999999999995</v>
      </c>
      <c r="I2031" s="513">
        <f>TRUNC(IF($C2031="",IFERROR(VLOOKUP($B2031,SERVIÇOS!$B:$G,4,0),IFERROR(VLOOKUP($B2031,$D:$K,6,0),)),IFERROR(VLOOKUP($C2031,INSUMOS!$A:$D,4,0),IFERROR(VLOOKUP($C2031,COTAÇÕES!$B:$I,7,0),(VLOOKUP($C2031,'INSUMO SINAPI - SP'!$C:$F,4,0)))))*$G2031,2)</f>
        <v>560.79999999999995</v>
      </c>
      <c r="J2031" s="513">
        <f>TRUNC(IF($C2031="",IFERROR(VLOOKUP($B2031,SERVIÇOS!$B:$G,5,0),IFERROR(VLOOKUP($B2031,$D:$K,7,0),)),0)*$G2031,2)</f>
        <v>0</v>
      </c>
      <c r="K2031" s="514">
        <f t="shared" ref="K2031:K2044" si="77">I2031+J2031</f>
        <v>560.79999999999995</v>
      </c>
      <c r="L2031" s="517"/>
      <c r="M2031" s="471"/>
      <c r="N2031" s="516"/>
      <c r="Q2031" s="472"/>
      <c r="R2031" s="472"/>
      <c r="S2031" s="472"/>
      <c r="T2031" s="472"/>
      <c r="U2031" s="472"/>
      <c r="V2031" s="472"/>
      <c r="W2031" s="472"/>
      <c r="X2031" s="472"/>
      <c r="Y2031" s="472"/>
    </row>
    <row r="2032" spans="1:25" ht="24" x14ac:dyDescent="0.25">
      <c r="A2032" s="463"/>
      <c r="B2032" s="506"/>
      <c r="C2032" s="507">
        <v>38179</v>
      </c>
      <c r="D2032" s="508"/>
      <c r="E2032" s="509" t="str">
        <f>IF($C2032="",IFERROR(VLOOKUP($B2032,SERVIÇOS!$B:$G,2,0),IFERROR(VLOOKUP($B2032,$D:$K,2,0),"")),IFERROR(VLOOKUP($C2032,INSUMOS!$A:$D,2,0),IFERROR(VLOOKUP($C2032,COTAÇÕES!$B:$I,2,0),(VLOOKUP($C2032,'INSUMO SINAPI - SP'!$C:$F,2,0)))))</f>
        <v>ROLDANA CONCAVA DUPLA, 4 RODAS, PARA PORTA DE CORRER, EM ZAMAC COM CHAPA DE ACO, ROLAMENTO INTERNO BLINDADO DE ACO REVESTIDO EM NYLON</v>
      </c>
      <c r="F2032" s="510" t="str">
        <f>IF($C2032="",IFERROR(VLOOKUP($B2032,SERVIÇOS!$B:$G,3,0),IFERROR(VLOOKUP($B2032,$D:$K,3,0),"")),IFERROR(VLOOKUP($C2032,INSUMOS!$A:$D,3,0),IFERROR(VLOOKUP($C2032,COTAÇÕES!$B:$I,3,0),(VLOOKUP($C2032,'INSUMO SINAPI - SP'!$C:$F,3,0)))))</f>
        <v>UN</v>
      </c>
      <c r="G2032" s="511">
        <v>2</v>
      </c>
      <c r="H2032" s="512">
        <f>IF($C2032="",IFERROR(VLOOKUP($B2032,SERVIÇOS!$B:$G,6,0),IFERROR(VLOOKUP($B2032,$D:$K,8,0),"")),IFERROR(VLOOKUP($C2032,INSUMOS!$A:$D,4,0),IFERROR(VLOOKUP($C2032,COTAÇÕES!$B:$I,7,0),(VLOOKUP($C2032,'INSUMO SINAPI - SP'!$C:$F,4,0)))))</f>
        <v>45.16</v>
      </c>
      <c r="I2032" s="513">
        <f>TRUNC(IF($C2032="",IFERROR(VLOOKUP($B2032,SERVIÇOS!$B:$G,4,0),IFERROR(VLOOKUP($B2032,$D:$K,6,0),)),IFERROR(VLOOKUP($C2032,INSUMOS!$A:$D,4,0),IFERROR(VLOOKUP($C2032,COTAÇÕES!$B:$I,7,0),(VLOOKUP($C2032,'INSUMO SINAPI - SP'!$C:$F,4,0)))))*$G2032,2)</f>
        <v>90.32</v>
      </c>
      <c r="J2032" s="513">
        <f>TRUNC(IF($C2032="",IFERROR(VLOOKUP($B2032,SERVIÇOS!$B:$G,5,0),IFERROR(VLOOKUP($B2032,$D:$K,7,0),)),0)*$G2032,2)</f>
        <v>0</v>
      </c>
      <c r="K2032" s="514">
        <f t="shared" si="77"/>
        <v>90.32</v>
      </c>
      <c r="L2032" s="517"/>
      <c r="M2032" s="471"/>
      <c r="N2032" s="516"/>
      <c r="Q2032" s="472"/>
      <c r="R2032" s="472"/>
      <c r="S2032" s="472"/>
      <c r="T2032" s="472"/>
      <c r="U2032" s="472"/>
      <c r="V2032" s="472"/>
      <c r="W2032" s="472"/>
      <c r="X2032" s="472"/>
      <c r="Y2032" s="472"/>
    </row>
    <row r="2033" spans="1:25" x14ac:dyDescent="0.25">
      <c r="A2033" s="463"/>
      <c r="B2033" s="506"/>
      <c r="C2033" s="507">
        <v>34360</v>
      </c>
      <c r="D2033" s="508"/>
      <c r="E2033" s="509" t="str">
        <f>IF($C2033="",IFERROR(VLOOKUP($B2033,SERVIÇOS!$B:$G,2,0),IFERROR(VLOOKUP($B2033,$D:$K,2,0),"")),IFERROR(VLOOKUP($C2033,INSUMOS!$A:$D,2,0),IFERROR(VLOOKUP($C2033,COTAÇÕES!$B:$I,2,0),(VLOOKUP($C2033,'INSUMO SINAPI - SP'!$C:$F,2,0)))))</f>
        <v>PERFIL DE ALUMINIO ANODIZADO</v>
      </c>
      <c r="F2033" s="510" t="str">
        <f>IF($C2033="",IFERROR(VLOOKUP($B2033,SERVIÇOS!$B:$G,3,0),IFERROR(VLOOKUP($B2033,$D:$K,3,0),"")),IFERROR(VLOOKUP($C2033,INSUMOS!$A:$D,3,0),IFERROR(VLOOKUP($C2033,COTAÇÕES!$B:$I,3,0),(VLOOKUP($C2033,'INSUMO SINAPI - SP'!$C:$F,3,0)))))</f>
        <v>KG</v>
      </c>
      <c r="G2033" s="511">
        <v>1.8</v>
      </c>
      <c r="H2033" s="512">
        <f>IF($C2033="",IFERROR(VLOOKUP($B2033,SERVIÇOS!$B:$G,6,0),IFERROR(VLOOKUP($B2033,$D:$K,8,0),"")),IFERROR(VLOOKUP($C2033,INSUMOS!$A:$D,4,0),IFERROR(VLOOKUP($C2033,COTAÇÕES!$B:$I,7,0),(VLOOKUP($C2033,'INSUMO SINAPI - SP'!$C:$F,4,0)))))</f>
        <v>57.62</v>
      </c>
      <c r="I2033" s="513">
        <f>TRUNC(IF($C2033="",IFERROR(VLOOKUP($B2033,SERVIÇOS!$B:$G,4,0),IFERROR(VLOOKUP($B2033,$D:$K,6,0),)),IFERROR(VLOOKUP($C2033,INSUMOS!$A:$D,4,0),IFERROR(VLOOKUP($C2033,COTAÇÕES!$B:$I,7,0),(VLOOKUP($C2033,'INSUMO SINAPI - SP'!$C:$F,4,0)))))*$G2033,2)</f>
        <v>103.71</v>
      </c>
      <c r="J2033" s="513">
        <f>TRUNC(IF($C2033="",IFERROR(VLOOKUP($B2033,SERVIÇOS!$B:$G,5,0),IFERROR(VLOOKUP($B2033,$D:$K,7,0),)),0)*$G2033,2)</f>
        <v>0</v>
      </c>
      <c r="K2033" s="514">
        <f t="shared" si="77"/>
        <v>103.71</v>
      </c>
      <c r="L2033" s="517"/>
      <c r="M2033" s="471"/>
      <c r="N2033" s="516"/>
      <c r="Q2033" s="472"/>
      <c r="R2033" s="472"/>
      <c r="S2033" s="472"/>
      <c r="T2033" s="472"/>
      <c r="U2033" s="472"/>
      <c r="V2033" s="472"/>
      <c r="W2033" s="472"/>
      <c r="X2033" s="472"/>
      <c r="Y2033" s="472"/>
    </row>
    <row r="2034" spans="1:25" x14ac:dyDescent="0.25">
      <c r="A2034" s="463"/>
      <c r="B2034" s="506"/>
      <c r="C2034" s="507">
        <v>38124</v>
      </c>
      <c r="D2034" s="508"/>
      <c r="E2034" s="509" t="str">
        <f>IF($C2034="",IFERROR(VLOOKUP($B2034,SERVIÇOS!$B:$G,2,0),IFERROR(VLOOKUP($B2034,$D:$K,2,0),"")),IFERROR(VLOOKUP($C2034,INSUMOS!$A:$D,2,0),IFERROR(VLOOKUP($C2034,COTAÇÕES!$B:$I,2,0),(VLOOKUP($C2034,'INSUMO SINAPI - SP'!$C:$F,2,0)))))</f>
        <v>ESPUMA EXPANSIVA DE POLIURETANO, APLICACAO MANUAL - 500 ML</v>
      </c>
      <c r="F2034" s="510" t="str">
        <f>IF($C2034="",IFERROR(VLOOKUP($B2034,SERVIÇOS!$B:$G,3,0),IFERROR(VLOOKUP($B2034,$D:$K,3,0),"")),IFERROR(VLOOKUP($C2034,INSUMOS!$A:$D,3,0),IFERROR(VLOOKUP($C2034,COTAÇÕES!$B:$I,3,0),(VLOOKUP($C2034,'INSUMO SINAPI - SP'!$C:$F,3,0)))))</f>
        <v>UN</v>
      </c>
      <c r="G2034" s="511">
        <v>1</v>
      </c>
      <c r="H2034" s="512">
        <f>IF($C2034="",IFERROR(VLOOKUP($B2034,SERVIÇOS!$B:$G,6,0),IFERROR(VLOOKUP($B2034,$D:$K,8,0),"")),IFERROR(VLOOKUP($C2034,INSUMOS!$A:$D,4,0),IFERROR(VLOOKUP($C2034,COTAÇÕES!$B:$I,7,0),(VLOOKUP($C2034,'INSUMO SINAPI - SP'!$C:$F,4,0)))))</f>
        <v>27.5</v>
      </c>
      <c r="I2034" s="513">
        <f>TRUNC(IF($C2034="",IFERROR(VLOOKUP($B2034,SERVIÇOS!$B:$G,4,0),IFERROR(VLOOKUP($B2034,$D:$K,6,0),)),IFERROR(VLOOKUP($C2034,INSUMOS!$A:$D,4,0),IFERROR(VLOOKUP($C2034,COTAÇÕES!$B:$I,7,0),(VLOOKUP($C2034,'INSUMO SINAPI - SP'!$C:$F,4,0)))))*$G2034,2)</f>
        <v>27.5</v>
      </c>
      <c r="J2034" s="513">
        <f>TRUNC(IF($C2034="",IFERROR(VLOOKUP($B2034,SERVIÇOS!$B:$G,5,0),IFERROR(VLOOKUP($B2034,$D:$K,7,0),)),0)*$G2034,2)</f>
        <v>0</v>
      </c>
      <c r="K2034" s="514">
        <f t="shared" si="77"/>
        <v>27.5</v>
      </c>
      <c r="L2034" s="517"/>
      <c r="M2034" s="471"/>
      <c r="N2034" s="516"/>
      <c r="Q2034" s="472"/>
      <c r="R2034" s="472"/>
      <c r="S2034" s="472"/>
      <c r="T2034" s="472"/>
      <c r="U2034" s="472"/>
      <c r="V2034" s="472"/>
      <c r="W2034" s="472"/>
      <c r="X2034" s="472"/>
      <c r="Y2034" s="472"/>
    </row>
    <row r="2035" spans="1:25" ht="24" x14ac:dyDescent="0.25">
      <c r="A2035" s="463"/>
      <c r="B2035" s="506"/>
      <c r="C2035" s="507">
        <v>38165</v>
      </c>
      <c r="D2035" s="508"/>
      <c r="E2035" s="509" t="str">
        <f>IF($C2035="",IFERROR(VLOOKUP($B2035,SERVIÇOS!$B:$G,2,0),IFERROR(VLOOKUP($B2035,$D:$K,2,0),"")),IFERROR(VLOOKUP($C2035,INSUMOS!$A:$D,2,0),IFERROR(VLOOKUP($C2035,COTAÇÕES!$B:$I,2,0),(VLOOKUP($C2035,'INSUMO SINAPI - SP'!$C:$F,2,0)))))</f>
        <v>FECHO / FECHADURA COM PUXADOR CONCHA, COM TRANCA TIPO TRAVA, PARA JANELA / PORTA DE CORRER (INCLUI TESTA, FECHADURA, PUXADOR) - COMPLETA</v>
      </c>
      <c r="F2035" s="510" t="str">
        <f>IF($C2035="",IFERROR(VLOOKUP($B2035,SERVIÇOS!$B:$G,3,0),IFERROR(VLOOKUP($B2035,$D:$K,3,0),"")),IFERROR(VLOOKUP($C2035,INSUMOS!$A:$D,3,0),IFERROR(VLOOKUP($C2035,COTAÇÕES!$B:$I,3,0),(VLOOKUP($C2035,'INSUMO SINAPI - SP'!$C:$F,3,0)))))</f>
        <v>CJ</v>
      </c>
      <c r="G2035" s="511">
        <v>1</v>
      </c>
      <c r="H2035" s="512">
        <f>IF($C2035="",IFERROR(VLOOKUP($B2035,SERVIÇOS!$B:$G,6,0),IFERROR(VLOOKUP($B2035,$D:$K,8,0),"")),IFERROR(VLOOKUP($C2035,INSUMOS!$A:$D,4,0),IFERROR(VLOOKUP($C2035,COTAÇÕES!$B:$I,7,0),(VLOOKUP($C2035,'INSUMO SINAPI - SP'!$C:$F,4,0)))))</f>
        <v>67.239999999999995</v>
      </c>
      <c r="I2035" s="513">
        <f>TRUNC(IF($C2035="",IFERROR(VLOOKUP($B2035,SERVIÇOS!$B:$G,4,0),IFERROR(VLOOKUP($B2035,$D:$K,6,0),)),IFERROR(VLOOKUP($C2035,INSUMOS!$A:$D,4,0),IFERROR(VLOOKUP($C2035,COTAÇÕES!$B:$I,7,0),(VLOOKUP($C2035,'INSUMO SINAPI - SP'!$C:$F,4,0)))))*$G2035,2)</f>
        <v>67.239999999999995</v>
      </c>
      <c r="J2035" s="513">
        <f>TRUNC(IF($C2035="",IFERROR(VLOOKUP($B2035,SERVIÇOS!$B:$G,5,0),IFERROR(VLOOKUP($B2035,$D:$K,7,0),)),0)*$G2035,2)</f>
        <v>0</v>
      </c>
      <c r="K2035" s="514">
        <f t="shared" si="77"/>
        <v>67.239999999999995</v>
      </c>
      <c r="L2035" s="517"/>
      <c r="M2035" s="471"/>
      <c r="N2035" s="516"/>
      <c r="Q2035" s="472"/>
      <c r="R2035" s="472"/>
      <c r="S2035" s="472"/>
      <c r="T2035" s="472"/>
      <c r="U2035" s="472"/>
      <c r="V2035" s="472"/>
      <c r="W2035" s="472"/>
      <c r="X2035" s="472"/>
      <c r="Y2035" s="472"/>
    </row>
    <row r="2036" spans="1:25" x14ac:dyDescent="0.25">
      <c r="A2036" s="463"/>
      <c r="B2036" s="506"/>
      <c r="C2036" s="507">
        <v>370</v>
      </c>
      <c r="D2036" s="508"/>
      <c r="E2036" s="509" t="str">
        <f>IF($C2036="",IFERROR(VLOOKUP($B2036,SERVIÇOS!$B:$G,2,0),IFERROR(VLOOKUP($B2036,$D:$K,2,0),"")),IFERROR(VLOOKUP($C2036,INSUMOS!$A:$D,2,0),IFERROR(VLOOKUP($C2036,COTAÇÕES!$B:$I,2,0),(VLOOKUP($C2036,'INSUMO SINAPI - SP'!$C:$F,2,0)))))</f>
        <v>AREIA MEDIA - POSTO JAZIDA/FORNECEDOR (RETIRADO NA JAZIDA, SEM TRANSPORTE)</v>
      </c>
      <c r="F2036" s="510" t="str">
        <f>IF($C2036="",IFERROR(VLOOKUP($B2036,SERVIÇOS!$B:$G,3,0),IFERROR(VLOOKUP($B2036,$D:$K,3,0),"")),IFERROR(VLOOKUP($C2036,INSUMOS!$A:$D,3,0),IFERROR(VLOOKUP($C2036,COTAÇÕES!$B:$I,3,0),(VLOOKUP($C2036,'INSUMO SINAPI - SP'!$C:$F,3,0)))))</f>
        <v>M3</v>
      </c>
      <c r="G2036" s="511">
        <v>2.1000000000000001E-2</v>
      </c>
      <c r="H2036" s="512">
        <f>IF($C2036="",IFERROR(VLOOKUP($B2036,SERVIÇOS!$B:$G,6,0),IFERROR(VLOOKUP($B2036,$D:$K,8,0),"")),IFERROR(VLOOKUP($C2036,INSUMOS!$A:$D,4,0),IFERROR(VLOOKUP($C2036,COTAÇÕES!$B:$I,7,0),(VLOOKUP($C2036,'INSUMO SINAPI - SP'!$C:$F,4,0)))))</f>
        <v>119.08</v>
      </c>
      <c r="I2036" s="513">
        <f>TRUNC(IF($C2036="",IFERROR(VLOOKUP($B2036,SERVIÇOS!$B:$G,4,0),IFERROR(VLOOKUP($B2036,$D:$K,6,0),)),IFERROR(VLOOKUP($C2036,INSUMOS!$A:$D,4,0),IFERROR(VLOOKUP($C2036,COTAÇÕES!$B:$I,7,0),(VLOOKUP($C2036,'INSUMO SINAPI - SP'!$C:$F,4,0)))))*$G2036,2)</f>
        <v>2.5</v>
      </c>
      <c r="J2036" s="513">
        <f>TRUNC(IF($C2036="",IFERROR(VLOOKUP($B2036,SERVIÇOS!$B:$G,5,0),IFERROR(VLOOKUP($B2036,$D:$K,7,0),)),0)*$G2036,2)</f>
        <v>0</v>
      </c>
      <c r="K2036" s="514">
        <f t="shared" si="77"/>
        <v>2.5</v>
      </c>
      <c r="L2036" s="517"/>
      <c r="M2036" s="471"/>
      <c r="N2036" s="516"/>
      <c r="Q2036" s="472"/>
      <c r="R2036" s="472"/>
      <c r="S2036" s="472"/>
      <c r="T2036" s="472"/>
      <c r="U2036" s="472"/>
      <c r="V2036" s="472"/>
      <c r="W2036" s="472"/>
      <c r="X2036" s="472"/>
      <c r="Y2036" s="472"/>
    </row>
    <row r="2037" spans="1:25" x14ac:dyDescent="0.25">
      <c r="A2037" s="463"/>
      <c r="B2037" s="506"/>
      <c r="C2037" s="507">
        <v>1379</v>
      </c>
      <c r="D2037" s="508"/>
      <c r="E2037" s="509" t="str">
        <f>IF($C2037="",IFERROR(VLOOKUP($B2037,SERVIÇOS!$B:$G,2,0),IFERROR(VLOOKUP($B2037,$D:$K,2,0),"")),IFERROR(VLOOKUP($C2037,INSUMOS!$A:$D,2,0),IFERROR(VLOOKUP($C2037,COTAÇÕES!$B:$I,2,0),(VLOOKUP($C2037,'INSUMO SINAPI - SP'!$C:$F,2,0)))))</f>
        <v>CIMENTO PORTLAND COMPOSTO CP II-32</v>
      </c>
      <c r="F2037" s="510" t="str">
        <f>IF($C2037="",IFERROR(VLOOKUP($B2037,SERVIÇOS!$B:$G,3,0),IFERROR(VLOOKUP($B2037,$D:$K,3,0),"")),IFERROR(VLOOKUP($C2037,INSUMOS!$A:$D,3,0),IFERROR(VLOOKUP($C2037,COTAÇÕES!$B:$I,3,0),(VLOOKUP($C2037,'INSUMO SINAPI - SP'!$C:$F,3,0)))))</f>
        <v>KG</v>
      </c>
      <c r="G2037" s="511">
        <v>3.3</v>
      </c>
      <c r="H2037" s="512">
        <f>IF($C2037="",IFERROR(VLOOKUP($B2037,SERVIÇOS!$B:$G,6,0),IFERROR(VLOOKUP($B2037,$D:$K,8,0),"")),IFERROR(VLOOKUP($C2037,INSUMOS!$A:$D,4,0),IFERROR(VLOOKUP($C2037,COTAÇÕES!$B:$I,7,0),(VLOOKUP($C2037,'INSUMO SINAPI - SP'!$C:$F,4,0)))))</f>
        <v>0.68</v>
      </c>
      <c r="I2037" s="513">
        <f>TRUNC(IF($C2037="",IFERROR(VLOOKUP($B2037,SERVIÇOS!$B:$G,4,0),IFERROR(VLOOKUP($B2037,$D:$K,6,0),)),IFERROR(VLOOKUP($C2037,INSUMOS!$A:$D,4,0),IFERROR(VLOOKUP($C2037,COTAÇÕES!$B:$I,7,0),(VLOOKUP($C2037,'INSUMO SINAPI - SP'!$C:$F,4,0)))))*$G2037,2)</f>
        <v>2.2400000000000002</v>
      </c>
      <c r="J2037" s="513">
        <f>TRUNC(IF($C2037="",IFERROR(VLOOKUP($B2037,SERVIÇOS!$B:$G,5,0),IFERROR(VLOOKUP($B2037,$D:$K,7,0),)),0)*$G2037,2)</f>
        <v>0</v>
      </c>
      <c r="K2037" s="514">
        <f t="shared" si="77"/>
        <v>2.2400000000000002</v>
      </c>
      <c r="L2037" s="517"/>
      <c r="M2037" s="471"/>
      <c r="N2037" s="516"/>
      <c r="Q2037" s="472"/>
      <c r="R2037" s="472"/>
      <c r="S2037" s="472"/>
      <c r="T2037" s="472"/>
      <c r="U2037" s="472"/>
      <c r="V2037" s="472"/>
      <c r="W2037" s="472"/>
      <c r="X2037" s="472"/>
      <c r="Y2037" s="472"/>
    </row>
    <row r="2038" spans="1:25" x14ac:dyDescent="0.25">
      <c r="A2038" s="463"/>
      <c r="B2038" s="506"/>
      <c r="C2038" s="507">
        <v>5075</v>
      </c>
      <c r="D2038" s="508"/>
      <c r="E2038" s="509" t="str">
        <f>IF($C2038="",IFERROR(VLOOKUP($B2038,SERVIÇOS!$B:$G,2,0),IFERROR(VLOOKUP($B2038,$D:$K,2,0),"")),IFERROR(VLOOKUP($C2038,INSUMOS!$A:$D,2,0),IFERROR(VLOOKUP($C2038,COTAÇÕES!$B:$I,2,0),(VLOOKUP($C2038,'INSUMO SINAPI - SP'!$C:$F,2,0)))))</f>
        <v>PREGO DE ACO POLIDO COM CABECA 18 X 30 (2 3/4 X 10)</v>
      </c>
      <c r="F2038" s="510" t="str">
        <f>IF($C2038="",IFERROR(VLOOKUP($B2038,SERVIÇOS!$B:$G,3,0),IFERROR(VLOOKUP($B2038,$D:$K,3,0),"")),IFERROR(VLOOKUP($C2038,INSUMOS!$A:$D,3,0),IFERROR(VLOOKUP($C2038,COTAÇÕES!$B:$I,3,0),(VLOOKUP($C2038,'INSUMO SINAPI - SP'!$C:$F,3,0)))))</f>
        <v>KG</v>
      </c>
      <c r="G2038" s="511">
        <v>0.05</v>
      </c>
      <c r="H2038" s="512">
        <f>IF($C2038="",IFERROR(VLOOKUP($B2038,SERVIÇOS!$B:$G,6,0),IFERROR(VLOOKUP($B2038,$D:$K,8,0),"")),IFERROR(VLOOKUP($C2038,INSUMOS!$A:$D,4,0),IFERROR(VLOOKUP($C2038,COTAÇÕES!$B:$I,7,0),(VLOOKUP($C2038,'INSUMO SINAPI - SP'!$C:$F,4,0)))))</f>
        <v>16.07</v>
      </c>
      <c r="I2038" s="513">
        <f>TRUNC(IF($C2038="",IFERROR(VLOOKUP($B2038,SERVIÇOS!$B:$G,4,0),IFERROR(VLOOKUP($B2038,$D:$K,6,0),)),IFERROR(VLOOKUP($C2038,INSUMOS!$A:$D,4,0),IFERROR(VLOOKUP($C2038,COTAÇÕES!$B:$I,7,0),(VLOOKUP($C2038,'INSUMO SINAPI - SP'!$C:$F,4,0)))))*$G2038,2)</f>
        <v>0.8</v>
      </c>
      <c r="J2038" s="513">
        <f>TRUNC(IF($C2038="",IFERROR(VLOOKUP($B2038,SERVIÇOS!$B:$G,5,0),IFERROR(VLOOKUP($B2038,$D:$K,7,0),)),0)*$G2038,2)</f>
        <v>0</v>
      </c>
      <c r="K2038" s="514">
        <f t="shared" si="77"/>
        <v>0.8</v>
      </c>
      <c r="L2038" s="517"/>
      <c r="M2038" s="471"/>
      <c r="N2038" s="516"/>
      <c r="Q2038" s="472"/>
      <c r="R2038" s="472"/>
      <c r="S2038" s="472"/>
      <c r="T2038" s="472"/>
      <c r="U2038" s="472"/>
      <c r="V2038" s="472"/>
      <c r="W2038" s="472"/>
      <c r="X2038" s="472"/>
      <c r="Y2038" s="472"/>
    </row>
    <row r="2039" spans="1:25" ht="24" x14ac:dyDescent="0.25">
      <c r="A2039" s="463"/>
      <c r="B2039" s="506"/>
      <c r="C2039" s="507">
        <v>11581</v>
      </c>
      <c r="D2039" s="508"/>
      <c r="E2039" s="509" t="str">
        <f>IF($C2039="",IFERROR(VLOOKUP($B2039,SERVIÇOS!$B:$G,2,0),IFERROR(VLOOKUP($B2039,$D:$K,2,0),"")),IFERROR(VLOOKUP($C2039,INSUMOS!$A:$D,2,0),IFERROR(VLOOKUP($C2039,COTAÇÕES!$B:$I,2,0),(VLOOKUP($C2039,'INSUMO SINAPI - SP'!$C:$F,2,0)))))</f>
        <v>TRILHO PANTOGRAFICO CONCAVO, TIPO U, EM ALUMINIO, COM DIMENSOES DE APROX *35 X 35* MM, PARA ROLDANA DE PORTA DE CORRER</v>
      </c>
      <c r="F2039" s="510" t="str">
        <f>IF($C2039="",IFERROR(VLOOKUP($B2039,SERVIÇOS!$B:$G,3,0),IFERROR(VLOOKUP($B2039,$D:$K,3,0),"")),IFERROR(VLOOKUP($C2039,INSUMOS!$A:$D,3,0),IFERROR(VLOOKUP($C2039,COTAÇÕES!$B:$I,3,0),(VLOOKUP($C2039,'INSUMO SINAPI - SP'!$C:$F,3,0)))))</f>
        <v>M</v>
      </c>
      <c r="G2039" s="511">
        <v>1.8</v>
      </c>
      <c r="H2039" s="512">
        <f>IF($C2039="",IFERROR(VLOOKUP($B2039,SERVIÇOS!$B:$G,6,0),IFERROR(VLOOKUP($B2039,$D:$K,8,0),"")),IFERROR(VLOOKUP($C2039,INSUMOS!$A:$D,4,0),IFERROR(VLOOKUP($C2039,COTAÇÕES!$B:$I,7,0),(VLOOKUP($C2039,'INSUMO SINAPI - SP'!$C:$F,4,0)))))</f>
        <v>20.03</v>
      </c>
      <c r="I2039" s="513">
        <f>TRUNC(IF($C2039="",IFERROR(VLOOKUP($B2039,SERVIÇOS!$B:$G,4,0),IFERROR(VLOOKUP($B2039,$D:$K,6,0),)),IFERROR(VLOOKUP($C2039,INSUMOS!$A:$D,4,0),IFERROR(VLOOKUP($C2039,COTAÇÕES!$B:$I,7,0),(VLOOKUP($C2039,'INSUMO SINAPI - SP'!$C:$F,4,0)))))*$G2039,2)</f>
        <v>36.049999999999997</v>
      </c>
      <c r="J2039" s="513">
        <f>TRUNC(IF($C2039="",IFERROR(VLOOKUP($B2039,SERVIÇOS!$B:$G,5,0),IFERROR(VLOOKUP($B2039,$D:$K,7,0),)),0)*$G2039,2)</f>
        <v>0</v>
      </c>
      <c r="K2039" s="514">
        <f t="shared" si="77"/>
        <v>36.049999999999997</v>
      </c>
      <c r="L2039" s="517"/>
      <c r="M2039" s="471"/>
      <c r="N2039" s="516"/>
      <c r="Q2039" s="472"/>
      <c r="R2039" s="472"/>
      <c r="S2039" s="472"/>
      <c r="T2039" s="472"/>
      <c r="U2039" s="472"/>
      <c r="V2039" s="472"/>
      <c r="W2039" s="472"/>
      <c r="X2039" s="472"/>
      <c r="Y2039" s="472"/>
    </row>
    <row r="2040" spans="1:25" x14ac:dyDescent="0.25">
      <c r="A2040" s="463"/>
      <c r="B2040" s="506">
        <v>88261</v>
      </c>
      <c r="C2040" s="507"/>
      <c r="D2040" s="508"/>
      <c r="E2040" s="509" t="str">
        <f>IF($C2040="",IFERROR(VLOOKUP($B2040,SERVIÇOS!$B:$G,2,0),IFERROR(VLOOKUP($B2040,$D:$K,2,0),"")),IFERROR(VLOOKUP($C2040,INSUMOS!$A:$D,2,0),IFERROR(VLOOKUP($C2040,COTAÇÕES!$B:$I,2,0),(VLOOKUP($C2040,'INSUMO SINAPI - SP'!$C:$F,2,0)))))</f>
        <v>CARPINTEIRO DE ESQUADRIA COM ENCARGOS COMPLEMENTARES</v>
      </c>
      <c r="F2040" s="510" t="str">
        <f>IF($C2040="",IFERROR(VLOOKUP($B2040,SERVIÇOS!$B:$G,3,0),IFERROR(VLOOKUP($B2040,$D:$K,3,0),"")),IFERROR(VLOOKUP($C2040,INSUMOS!$A:$D,3,0),IFERROR(VLOOKUP($C2040,COTAÇÕES!$B:$I,3,0),(VLOOKUP($C2040,'INSUMO SINAPI - SP'!$C:$F,3,0)))))</f>
        <v>H</v>
      </c>
      <c r="G2040" s="511">
        <v>5</v>
      </c>
      <c r="H2040" s="512">
        <f>IF($C2040="",IFERROR(VLOOKUP($B2040,SERVIÇOS!$B:$G,6,0),IFERROR(VLOOKUP($B2040,$D:$K,8,0),"")),IFERROR(VLOOKUP($C2040,INSUMOS!$A:$D,4,0),IFERROR(VLOOKUP($C2040,COTAÇÕES!$B:$I,7,0),(VLOOKUP($C2040,'INSUMO SINAPI - SP'!$C:$F,4,0)))))</f>
        <v>34.909999999999997</v>
      </c>
      <c r="I2040" s="513">
        <f>TRUNC(IF($C2040="",IFERROR(VLOOKUP($B2040,SERVIÇOS!$B:$G,4,0),IFERROR(VLOOKUP($B2040,$D:$K,6,0),)),IFERROR(VLOOKUP($C2040,INSUMOS!$A:$D,4,0),IFERROR(VLOOKUP($C2040,COTAÇÕES!$B:$I,7,0),(VLOOKUP($C2040,'INSUMO SINAPI - SP'!$C:$F,4,0)))))*$G2040,2)</f>
        <v>45.3</v>
      </c>
      <c r="J2040" s="513">
        <f>TRUNC(IF($C2040="",IFERROR(VLOOKUP($B2040,SERVIÇOS!$B:$G,5,0),IFERROR(VLOOKUP($B2040,$D:$K,7,0),)),0)*$G2040,2)</f>
        <v>129.25</v>
      </c>
      <c r="K2040" s="514">
        <f t="shared" si="77"/>
        <v>174.55</v>
      </c>
      <c r="L2040" s="515"/>
      <c r="M2040" s="471"/>
      <c r="N2040" s="516"/>
      <c r="Q2040" s="472"/>
      <c r="R2040" s="472"/>
      <c r="S2040" s="472"/>
      <c r="T2040" s="472"/>
      <c r="U2040" s="472"/>
      <c r="V2040" s="472"/>
      <c r="W2040" s="472"/>
      <c r="X2040" s="472"/>
      <c r="Y2040" s="472"/>
    </row>
    <row r="2041" spans="1:25" x14ac:dyDescent="0.25">
      <c r="A2041" s="463"/>
      <c r="B2041" s="506">
        <v>88309</v>
      </c>
      <c r="C2041" s="507"/>
      <c r="D2041" s="508"/>
      <c r="E2041" s="509" t="str">
        <f>IF($C2041="",IFERROR(VLOOKUP($B2041,SERVIÇOS!$B:$G,2,0),IFERROR(VLOOKUP($B2041,$D:$K,2,0),"")),IFERROR(VLOOKUP($C2041,INSUMOS!$A:$D,2,0),IFERROR(VLOOKUP($C2041,COTAÇÕES!$B:$I,2,0),(VLOOKUP($C2041,'INSUMO SINAPI - SP'!$C:$F,2,0)))))</f>
        <v>PEDREIRO COM ENCARGOS COMPLEMENTARES</v>
      </c>
      <c r="F2041" s="510" t="str">
        <f>IF($C2041="",IFERROR(VLOOKUP($B2041,SERVIÇOS!$B:$G,3,0),IFERROR(VLOOKUP($B2041,$D:$K,3,0),"")),IFERROR(VLOOKUP($C2041,INSUMOS!$A:$D,3,0),IFERROR(VLOOKUP($C2041,COTAÇÕES!$B:$I,3,0),(VLOOKUP($C2041,'INSUMO SINAPI - SP'!$C:$F,3,0)))))</f>
        <v>H</v>
      </c>
      <c r="G2041" s="511">
        <v>2</v>
      </c>
      <c r="H2041" s="512">
        <f>IF($C2041="",IFERROR(VLOOKUP($B2041,SERVIÇOS!$B:$G,6,0),IFERROR(VLOOKUP($B2041,$D:$K,8,0),"")),IFERROR(VLOOKUP($C2041,INSUMOS!$A:$D,4,0),IFERROR(VLOOKUP($C2041,COTAÇÕES!$B:$I,7,0),(VLOOKUP($C2041,'INSUMO SINAPI - SP'!$C:$F,4,0)))))</f>
        <v>36.909999999999997</v>
      </c>
      <c r="I2041" s="513">
        <f>TRUNC(IF($C2041="",IFERROR(VLOOKUP($B2041,SERVIÇOS!$B:$G,4,0),IFERROR(VLOOKUP($B2041,$D:$K,6,0),)),IFERROR(VLOOKUP($C2041,INSUMOS!$A:$D,4,0),IFERROR(VLOOKUP($C2041,COTAÇÕES!$B:$I,7,0),(VLOOKUP($C2041,'INSUMO SINAPI - SP'!$C:$F,4,0)))))*$G2041,2)</f>
        <v>18.559999999999999</v>
      </c>
      <c r="J2041" s="513">
        <f>TRUNC(IF($C2041="",IFERROR(VLOOKUP($B2041,SERVIÇOS!$B:$G,5,0),IFERROR(VLOOKUP($B2041,$D:$K,7,0),)),0)*$G2041,2)</f>
        <v>55.26</v>
      </c>
      <c r="K2041" s="514">
        <f t="shared" si="77"/>
        <v>73.819999999999993</v>
      </c>
      <c r="L2041" s="515"/>
      <c r="M2041" s="471"/>
      <c r="N2041" s="516"/>
      <c r="Q2041" s="472"/>
      <c r="R2041" s="472"/>
      <c r="S2041" s="472"/>
      <c r="T2041" s="472"/>
      <c r="U2041" s="472"/>
      <c r="V2041" s="472"/>
      <c r="W2041" s="472"/>
      <c r="X2041" s="472"/>
      <c r="Y2041" s="472"/>
    </row>
    <row r="2042" spans="1:25" x14ac:dyDescent="0.25">
      <c r="A2042" s="463"/>
      <c r="B2042" s="506">
        <v>88316</v>
      </c>
      <c r="C2042" s="507"/>
      <c r="D2042" s="508"/>
      <c r="E2042" s="509" t="str">
        <f>IF($C2042="",IFERROR(VLOOKUP($B2042,SERVIÇOS!$B:$G,2,0),IFERROR(VLOOKUP($B2042,$D:$K,2,0),"")),IFERROR(VLOOKUP($C2042,INSUMOS!$A:$D,2,0),IFERROR(VLOOKUP($C2042,COTAÇÕES!$B:$I,2,0),(VLOOKUP($C2042,'INSUMO SINAPI - SP'!$C:$F,2,0)))))</f>
        <v>SERVENTE COM ENCARGOS COMPLEMENTARES</v>
      </c>
      <c r="F2042" s="510" t="str">
        <f>IF($C2042="",IFERROR(VLOOKUP($B2042,SERVIÇOS!$B:$G,3,0),IFERROR(VLOOKUP($B2042,$D:$K,3,0),"")),IFERROR(VLOOKUP($C2042,INSUMOS!$A:$D,3,0),IFERROR(VLOOKUP($C2042,COTAÇÕES!$B:$I,3,0),(VLOOKUP($C2042,'INSUMO SINAPI - SP'!$C:$F,3,0)))))</f>
        <v>H</v>
      </c>
      <c r="G2042" s="511">
        <v>7</v>
      </c>
      <c r="H2042" s="512">
        <f>IF($C2042="",IFERROR(VLOOKUP($B2042,SERVIÇOS!$B:$G,6,0),IFERROR(VLOOKUP($B2042,$D:$K,8,0),"")),IFERROR(VLOOKUP($C2042,INSUMOS!$A:$D,4,0),IFERROR(VLOOKUP($C2042,COTAÇÕES!$B:$I,7,0),(VLOOKUP($C2042,'INSUMO SINAPI - SP'!$C:$F,4,0)))))</f>
        <v>28.71</v>
      </c>
      <c r="I2042" s="513">
        <f>TRUNC(IF($C2042="",IFERROR(VLOOKUP($B2042,SERVIÇOS!$B:$G,4,0),IFERROR(VLOOKUP($B2042,$D:$K,6,0),)),IFERROR(VLOOKUP($C2042,INSUMOS!$A:$D,4,0),IFERROR(VLOOKUP($C2042,COTAÇÕES!$B:$I,7,0),(VLOOKUP($C2042,'INSUMO SINAPI - SP'!$C:$F,4,0)))))*$G2042,2)</f>
        <v>64.400000000000006</v>
      </c>
      <c r="J2042" s="513">
        <f>TRUNC(IF($C2042="",IFERROR(VLOOKUP($B2042,SERVIÇOS!$B:$G,5,0),IFERROR(VLOOKUP($B2042,$D:$K,7,0),)),0)*$G2042,2)</f>
        <v>136.57</v>
      </c>
      <c r="K2042" s="514">
        <f t="shared" si="77"/>
        <v>200.97</v>
      </c>
      <c r="L2042" s="515"/>
      <c r="M2042" s="471"/>
      <c r="N2042" s="516"/>
      <c r="Q2042" s="472"/>
      <c r="R2042" s="472"/>
      <c r="S2042" s="472"/>
      <c r="T2042" s="472"/>
      <c r="U2042" s="472"/>
      <c r="V2042" s="472"/>
      <c r="W2042" s="472"/>
      <c r="X2042" s="472"/>
      <c r="Y2042" s="472"/>
    </row>
    <row r="2043" spans="1:25" ht="24" x14ac:dyDescent="0.25">
      <c r="A2043" s="463"/>
      <c r="B2043" s="506">
        <v>100659</v>
      </c>
      <c r="C2043" s="507"/>
      <c r="D2043" s="508"/>
      <c r="E2043" s="509" t="str">
        <f>IF($C2043="",IFERROR(VLOOKUP($B2043,SERVIÇOS!$B:$G,2,0),IFERROR(VLOOKUP($B2043,$D:$K,2,0),"")),IFERROR(VLOOKUP($C2043,INSUMOS!$A:$D,2,0),IFERROR(VLOOKUP($C2043,COTAÇÕES!$B:$I,2,0),(VLOOKUP($C2043,'INSUMO SINAPI - SP'!$C:$F,2,0)))))</f>
        <v>ALIZAR DE 5X1,5CM PARA PORTA FIXADO COM PREGOS, PADRÃO MÉDIO - FORNECIMENTO E INSTALAÇÃO. AF_12/2019</v>
      </c>
      <c r="F2043" s="510" t="str">
        <f>IF($C2043="",IFERROR(VLOOKUP($B2043,SERVIÇOS!$B:$G,3,0),IFERROR(VLOOKUP($B2043,$D:$K,3,0),"")),IFERROR(VLOOKUP($C2043,INSUMOS!$A:$D,3,0),IFERROR(VLOOKUP($C2043,COTAÇÕES!$B:$I,3,0),(VLOOKUP($C2043,'INSUMO SINAPI - SP'!$C:$F,3,0)))))</f>
        <v>M</v>
      </c>
      <c r="G2043" s="511">
        <v>5.86</v>
      </c>
      <c r="H2043" s="512">
        <f>IF($C2043="",IFERROR(VLOOKUP($B2043,SERVIÇOS!$B:$G,6,0),IFERROR(VLOOKUP($B2043,$D:$K,8,0),"")),IFERROR(VLOOKUP($C2043,INSUMOS!$A:$D,4,0),IFERROR(VLOOKUP($C2043,COTAÇÕES!$B:$I,7,0),(VLOOKUP($C2043,'INSUMO SINAPI - SP'!$C:$F,4,0)))))</f>
        <v>15.27</v>
      </c>
      <c r="I2043" s="513">
        <f>TRUNC(IF($C2043="",IFERROR(VLOOKUP($B2043,SERVIÇOS!$B:$G,4,0),IFERROR(VLOOKUP($B2043,$D:$K,6,0),)),IFERROR(VLOOKUP($C2043,INSUMOS!$A:$D,4,0),IFERROR(VLOOKUP($C2043,COTAÇÕES!$B:$I,7,0),(VLOOKUP($C2043,'INSUMO SINAPI - SP'!$C:$F,4,0)))))*$G2043,2)</f>
        <v>75.41</v>
      </c>
      <c r="J2043" s="513">
        <f>TRUNC(IF($C2043="",IFERROR(VLOOKUP($B2043,SERVIÇOS!$B:$G,5,0),IFERROR(VLOOKUP($B2043,$D:$K,7,0),)),0)*$G2043,2)</f>
        <v>14.06</v>
      </c>
      <c r="K2043" s="514">
        <f t="shared" si="77"/>
        <v>89.47</v>
      </c>
      <c r="L2043" s="515"/>
      <c r="M2043" s="471"/>
      <c r="N2043" s="516"/>
      <c r="Q2043" s="472"/>
      <c r="R2043" s="472"/>
      <c r="S2043" s="472"/>
      <c r="T2043" s="472"/>
      <c r="U2043" s="472"/>
      <c r="V2043" s="472"/>
      <c r="W2043" s="472"/>
      <c r="X2043" s="472"/>
      <c r="Y2043" s="472"/>
    </row>
    <row r="2044" spans="1:25" ht="24" x14ac:dyDescent="0.25">
      <c r="A2044" s="463"/>
      <c r="B2044" s="506">
        <v>90806</v>
      </c>
      <c r="C2044" s="507"/>
      <c r="D2044" s="508"/>
      <c r="E2044" s="509" t="str">
        <f>IF($C2044="",IFERROR(VLOOKUP($B2044,SERVIÇOS!$B:$G,2,0),IFERROR(VLOOKUP($B2044,$D:$K,2,0),"")),IFERROR(VLOOKUP($C2044,INSUMOS!$A:$D,2,0),IFERROR(VLOOKUP($C2044,COTAÇÕES!$B:$I,2,0),(VLOOKUP($C2044,'INSUMO SINAPI - SP'!$C:$F,2,0)))))</f>
        <v>BATENTE PARA PORTA DE MADEIRA, FIXAÇÃO COM ARGAMASSA, PADRÃO MÉDIO - FORNECIMENTO E INSTALAÇÃO. AF_12/2019</v>
      </c>
      <c r="F2044" s="510" t="str">
        <f>IF($C2044="",IFERROR(VLOOKUP($B2044,SERVIÇOS!$B:$G,3,0),IFERROR(VLOOKUP($B2044,$D:$K,3,0),"")),IFERROR(VLOOKUP($C2044,INSUMOS!$A:$D,3,0),IFERROR(VLOOKUP($C2044,COTAÇÕES!$B:$I,3,0),(VLOOKUP($C2044,'INSUMO SINAPI - SP'!$C:$F,3,0)))))</f>
        <v>UN</v>
      </c>
      <c r="G2044" s="511">
        <v>1</v>
      </c>
      <c r="H2044" s="512">
        <f>IF($C2044="",IFERROR(VLOOKUP($B2044,SERVIÇOS!$B:$G,6,0),IFERROR(VLOOKUP($B2044,$D:$K,8,0),"")),IFERROR(VLOOKUP($C2044,INSUMOS!$A:$D,4,0),IFERROR(VLOOKUP($C2044,COTAÇÕES!$B:$I,7,0),(VLOOKUP($C2044,'INSUMO SINAPI - SP'!$C:$F,4,0)))))</f>
        <v>532.98</v>
      </c>
      <c r="I2044" s="513">
        <f>TRUNC(IF($C2044="",IFERROR(VLOOKUP($B2044,SERVIÇOS!$B:$G,4,0),IFERROR(VLOOKUP($B2044,$D:$K,6,0),)),IFERROR(VLOOKUP($C2044,INSUMOS!$A:$D,4,0),IFERROR(VLOOKUP($C2044,COTAÇÕES!$B:$I,7,0),(VLOOKUP($C2044,'INSUMO SINAPI - SP'!$C:$F,4,0)))))*$G2044,2)</f>
        <v>361.37</v>
      </c>
      <c r="J2044" s="513">
        <f>TRUNC(IF($C2044="",IFERROR(VLOOKUP($B2044,SERVIÇOS!$B:$G,5,0),IFERROR(VLOOKUP($B2044,$D:$K,7,0),)),0)*$G2044,2)</f>
        <v>171.61</v>
      </c>
      <c r="K2044" s="514">
        <f t="shared" si="77"/>
        <v>532.98</v>
      </c>
      <c r="L2044" s="515"/>
      <c r="M2044" s="471"/>
      <c r="N2044" s="516"/>
      <c r="Q2044" s="472"/>
      <c r="R2044" s="472"/>
      <c r="S2044" s="472"/>
      <c r="T2044" s="472"/>
      <c r="U2044" s="472"/>
      <c r="V2044" s="472"/>
      <c r="W2044" s="472"/>
      <c r="X2044" s="472"/>
      <c r="Y2044" s="472"/>
    </row>
    <row r="2045" spans="1:25" ht="24" x14ac:dyDescent="0.25">
      <c r="A2045" s="463"/>
      <c r="B2045" s="498"/>
      <c r="C2045" s="498"/>
      <c r="D2045" s="499" t="s">
        <v>12025</v>
      </c>
      <c r="E2045" s="500" t="s">
        <v>13538</v>
      </c>
      <c r="F2045" s="501" t="s">
        <v>580</v>
      </c>
      <c r="G2045" s="502"/>
      <c r="H2045" s="503"/>
      <c r="I2045" s="504">
        <f>ROUND(SUM(I2046:I2048),2)</f>
        <v>4693.3999999999996</v>
      </c>
      <c r="J2045" s="504">
        <f>ROUND(SUM(J2046:J2048),2)</f>
        <v>243.3</v>
      </c>
      <c r="K2045" s="504">
        <f>+J2045+I2045</f>
        <v>4936.7</v>
      </c>
      <c r="L2045" s="523" t="s">
        <v>13539</v>
      </c>
      <c r="M2045" s="471"/>
      <c r="N2045" s="505"/>
      <c r="Q2045" s="472"/>
      <c r="R2045" s="472"/>
      <c r="S2045" s="472"/>
      <c r="T2045" s="472"/>
      <c r="U2045" s="472"/>
      <c r="V2045" s="472"/>
      <c r="W2045" s="472"/>
      <c r="X2045" s="472"/>
      <c r="Y2045" s="472"/>
    </row>
    <row r="2046" spans="1:25" x14ac:dyDescent="0.25">
      <c r="A2046" s="463"/>
      <c r="B2046" s="506">
        <v>88261</v>
      </c>
      <c r="C2046" s="507"/>
      <c r="D2046" s="508"/>
      <c r="E2046" s="509" t="str">
        <f>IF($C2046="",IFERROR(VLOOKUP($B2046,SERVIÇOS!$B:$G,2,0),IFERROR(VLOOKUP($B2046,$D:$K,2,0),"")),IFERROR(VLOOKUP($C2046,INSUMOS!$A:$D,2,0),IFERROR(VLOOKUP($C2046,COTAÇÕES!$B:$I,2,0),(VLOOKUP($C2046,'INSUMO SINAPI - SP'!$C:$F,2,0)))))</f>
        <v>CARPINTEIRO DE ESQUADRIA COM ENCARGOS COMPLEMENTARES</v>
      </c>
      <c r="F2046" s="510" t="str">
        <f>IF($C2046="",IFERROR(VLOOKUP($B2046,SERVIÇOS!$B:$G,3,0),IFERROR(VLOOKUP($B2046,$D:$K,3,0),"")),IFERROR(VLOOKUP($C2046,INSUMOS!$A:$D,3,0),IFERROR(VLOOKUP($C2046,COTAÇÕES!$B:$I,3,0),(VLOOKUP($C2046,'INSUMO SINAPI - SP'!$C:$F,3,0)))))</f>
        <v>H</v>
      </c>
      <c r="G2046" s="511">
        <v>5.2</v>
      </c>
      <c r="H2046" s="512">
        <f>IF($C2046="",IFERROR(VLOOKUP($B2046,SERVIÇOS!$B:$G,6,0),IFERROR(VLOOKUP($B2046,$D:$K,8,0),"")),IFERROR(VLOOKUP($C2046,INSUMOS!$A:$D,4,0),IFERROR(VLOOKUP($C2046,COTAÇÕES!$B:$I,7,0),(VLOOKUP($C2046,'INSUMO SINAPI - SP'!$C:$F,4,0)))))</f>
        <v>34.909999999999997</v>
      </c>
      <c r="I2046" s="513">
        <f>TRUNC(IF($C2046="",IFERROR(VLOOKUP($B2046,SERVIÇOS!$B:$G,4,0),IFERROR(VLOOKUP($B2046,$D:$K,6,0),)),IFERROR(VLOOKUP($C2046,INSUMOS!$A:$D,4,0),IFERROR(VLOOKUP($C2046,COTAÇÕES!$B:$I,7,0),(VLOOKUP($C2046,'INSUMO SINAPI - SP'!$C:$F,4,0)))))*$G2046,2)</f>
        <v>47.11</v>
      </c>
      <c r="J2046" s="513">
        <f>TRUNC(IF($C2046="",IFERROR(VLOOKUP($B2046,SERVIÇOS!$B:$G,5,0),IFERROR(VLOOKUP($B2046,$D:$K,7,0),)),0)*$G2046,2)</f>
        <v>134.41999999999999</v>
      </c>
      <c r="K2046" s="514">
        <f>I2046+J2046</f>
        <v>181.52999999999997</v>
      </c>
      <c r="L2046" s="515"/>
      <c r="M2046" s="471"/>
      <c r="N2046" s="516"/>
      <c r="Q2046" s="472"/>
      <c r="R2046" s="472"/>
      <c r="S2046" s="472"/>
      <c r="T2046" s="472"/>
      <c r="U2046" s="472"/>
      <c r="V2046" s="472"/>
      <c r="W2046" s="472"/>
      <c r="X2046" s="472"/>
      <c r="Y2046" s="472"/>
    </row>
    <row r="2047" spans="1:25" x14ac:dyDescent="0.25">
      <c r="A2047" s="463"/>
      <c r="B2047" s="506">
        <v>88251</v>
      </c>
      <c r="C2047" s="507"/>
      <c r="D2047" s="508"/>
      <c r="E2047" s="509" t="str">
        <f>IF($C2047="",IFERROR(VLOOKUP($B2047,SERVIÇOS!$B:$G,2,0),IFERROR(VLOOKUP($B2047,$D:$K,2,0),"")),IFERROR(VLOOKUP($C2047,INSUMOS!$A:$D,2,0),IFERROR(VLOOKUP($C2047,COTAÇÕES!$B:$I,2,0),(VLOOKUP($C2047,'INSUMO SINAPI - SP'!$C:$F,2,0)))))</f>
        <v>AUXILIAR DE SERRALHEIRO COM ENCARGOS COMPLEMENTARES</v>
      </c>
      <c r="F2047" s="510" t="str">
        <f>IF($C2047="",IFERROR(VLOOKUP($B2047,SERVIÇOS!$B:$G,3,0),IFERROR(VLOOKUP($B2047,$D:$K,3,0),"")),IFERROR(VLOOKUP($C2047,INSUMOS!$A:$D,3,0),IFERROR(VLOOKUP($C2047,COTAÇÕES!$B:$I,3,0),(VLOOKUP($C2047,'INSUMO SINAPI - SP'!$C:$F,3,0)))))</f>
        <v>H</v>
      </c>
      <c r="G2047" s="511">
        <v>5.2</v>
      </c>
      <c r="H2047" s="512">
        <f>IF($C2047="",IFERROR(VLOOKUP($B2047,SERVIÇOS!$B:$G,6,0),IFERROR(VLOOKUP($B2047,$D:$K,8,0),"")),IFERROR(VLOOKUP($C2047,INSUMOS!$A:$D,4,0),IFERROR(VLOOKUP($C2047,COTAÇÕES!$B:$I,7,0),(VLOOKUP($C2047,'INSUMO SINAPI - SP'!$C:$F,4,0)))))</f>
        <v>30.23</v>
      </c>
      <c r="I2047" s="513">
        <f>TRUNC(IF($C2047="",IFERROR(VLOOKUP($B2047,SERVIÇOS!$B:$G,4,0),IFERROR(VLOOKUP($B2047,$D:$K,6,0),)),IFERROR(VLOOKUP($C2047,INSUMOS!$A:$D,4,0),IFERROR(VLOOKUP($C2047,COTAÇÕES!$B:$I,7,0),(VLOOKUP($C2047,'INSUMO SINAPI - SP'!$C:$F,4,0)))))*$G2047,2)</f>
        <v>48.3</v>
      </c>
      <c r="J2047" s="513">
        <f>TRUNC(IF($C2047="",IFERROR(VLOOKUP($B2047,SERVIÇOS!$B:$G,5,0),IFERROR(VLOOKUP($B2047,$D:$K,7,0),)),0)*$G2047,2)</f>
        <v>108.88</v>
      </c>
      <c r="K2047" s="514">
        <f>I2047+J2047</f>
        <v>157.18</v>
      </c>
      <c r="L2047" s="515"/>
      <c r="M2047" s="471"/>
      <c r="N2047" s="516"/>
      <c r="Q2047" s="472"/>
      <c r="R2047" s="472"/>
      <c r="S2047" s="472"/>
      <c r="T2047" s="472"/>
      <c r="U2047" s="472"/>
      <c r="V2047" s="472"/>
      <c r="W2047" s="472"/>
      <c r="X2047" s="472"/>
      <c r="Y2047" s="472"/>
    </row>
    <row r="2048" spans="1:25" ht="24" x14ac:dyDescent="0.25">
      <c r="A2048" s="463"/>
      <c r="B2048" s="506"/>
      <c r="C2048" s="507" t="s">
        <v>13540</v>
      </c>
      <c r="D2048" s="508"/>
      <c r="E2048" s="518" t="s">
        <v>13538</v>
      </c>
      <c r="F2048" s="519" t="s">
        <v>578</v>
      </c>
      <c r="G2048" s="511">
        <f>1.2*2.1</f>
        <v>2.52</v>
      </c>
      <c r="H2048" s="520">
        <v>1824.6</v>
      </c>
      <c r="I2048" s="520">
        <f>TRUNC(H2048*G2048,2)</f>
        <v>4597.99</v>
      </c>
      <c r="J2048" s="521"/>
      <c r="K2048" s="522">
        <f>I2048+J2048</f>
        <v>4597.99</v>
      </c>
      <c r="L2048" s="517" t="s">
        <v>13239</v>
      </c>
      <c r="M2048" s="471"/>
      <c r="N2048" s="516"/>
      <c r="Q2048" s="472"/>
      <c r="R2048" s="472"/>
      <c r="S2048" s="472"/>
      <c r="T2048" s="472"/>
      <c r="U2048" s="472"/>
      <c r="V2048" s="472"/>
      <c r="W2048" s="472"/>
      <c r="X2048" s="472"/>
      <c r="Y2048" s="472"/>
    </row>
    <row r="2049" spans="1:25" ht="24" x14ac:dyDescent="0.25">
      <c r="A2049" s="463"/>
      <c r="B2049" s="498"/>
      <c r="C2049" s="498"/>
      <c r="D2049" s="499" t="s">
        <v>12026</v>
      </c>
      <c r="E2049" s="500" t="s">
        <v>13541</v>
      </c>
      <c r="F2049" s="501" t="s">
        <v>580</v>
      </c>
      <c r="G2049" s="502"/>
      <c r="H2049" s="503"/>
      <c r="I2049" s="504">
        <f>ROUND(SUM(I2050:I2052),2)</f>
        <v>3520.05</v>
      </c>
      <c r="J2049" s="504">
        <f>ROUND(SUM(J2050:J2052),2)</f>
        <v>182.47</v>
      </c>
      <c r="K2049" s="504">
        <f>+J2049+I2049</f>
        <v>3702.52</v>
      </c>
      <c r="L2049" s="523" t="s">
        <v>13539</v>
      </c>
      <c r="M2049" s="471"/>
      <c r="N2049" s="505"/>
      <c r="Q2049" s="472"/>
      <c r="R2049" s="472"/>
      <c r="S2049" s="472"/>
      <c r="T2049" s="472"/>
      <c r="U2049" s="472"/>
      <c r="V2049" s="472"/>
      <c r="W2049" s="472"/>
      <c r="X2049" s="472"/>
      <c r="Y2049" s="472"/>
    </row>
    <row r="2050" spans="1:25" x14ac:dyDescent="0.25">
      <c r="A2050" s="463"/>
      <c r="B2050" s="506">
        <v>88261</v>
      </c>
      <c r="C2050" s="507"/>
      <c r="D2050" s="508"/>
      <c r="E2050" s="509" t="str">
        <f>IF($C2050="",IFERROR(VLOOKUP($B2050,SERVIÇOS!$B:$G,2,0),IFERROR(VLOOKUP($B2050,$D:$K,2,0),"")),IFERROR(VLOOKUP($C2050,INSUMOS!$A:$D,2,0),IFERROR(VLOOKUP($C2050,COTAÇÕES!$B:$I,2,0),(VLOOKUP($C2050,'INSUMO SINAPI - SP'!$C:$F,2,0)))))</f>
        <v>CARPINTEIRO DE ESQUADRIA COM ENCARGOS COMPLEMENTARES</v>
      </c>
      <c r="F2050" s="510" t="str">
        <f>IF($C2050="",IFERROR(VLOOKUP($B2050,SERVIÇOS!$B:$G,3,0),IFERROR(VLOOKUP($B2050,$D:$K,3,0),"")),IFERROR(VLOOKUP($C2050,INSUMOS!$A:$D,3,0),IFERROR(VLOOKUP($C2050,COTAÇÕES!$B:$I,3,0),(VLOOKUP($C2050,'INSUMO SINAPI - SP'!$C:$F,3,0)))))</f>
        <v>H</v>
      </c>
      <c r="G2050" s="511">
        <v>3.9</v>
      </c>
      <c r="H2050" s="512">
        <f>IF($C2050="",IFERROR(VLOOKUP($B2050,SERVIÇOS!$B:$G,6,0),IFERROR(VLOOKUP($B2050,$D:$K,8,0),"")),IFERROR(VLOOKUP($C2050,INSUMOS!$A:$D,4,0),IFERROR(VLOOKUP($C2050,COTAÇÕES!$B:$I,7,0),(VLOOKUP($C2050,'INSUMO SINAPI - SP'!$C:$F,4,0)))))</f>
        <v>34.909999999999997</v>
      </c>
      <c r="I2050" s="513">
        <f>TRUNC(IF($C2050="",IFERROR(VLOOKUP($B2050,SERVIÇOS!$B:$G,4,0),IFERROR(VLOOKUP($B2050,$D:$K,6,0),)),IFERROR(VLOOKUP($C2050,INSUMOS!$A:$D,4,0),IFERROR(VLOOKUP($C2050,COTAÇÕES!$B:$I,7,0),(VLOOKUP($C2050,'INSUMO SINAPI - SP'!$C:$F,4,0)))))*$G2050,2)</f>
        <v>35.33</v>
      </c>
      <c r="J2050" s="513">
        <f>TRUNC(IF($C2050="",IFERROR(VLOOKUP($B2050,SERVIÇOS!$B:$G,5,0),IFERROR(VLOOKUP($B2050,$D:$K,7,0),)),0)*$G2050,2)</f>
        <v>100.81</v>
      </c>
      <c r="K2050" s="514">
        <f>I2050+J2050</f>
        <v>136.13999999999999</v>
      </c>
      <c r="L2050" s="515"/>
      <c r="M2050" s="471"/>
      <c r="N2050" s="516"/>
      <c r="Q2050" s="472"/>
      <c r="R2050" s="472"/>
      <c r="S2050" s="472"/>
      <c r="T2050" s="472"/>
      <c r="U2050" s="472"/>
      <c r="V2050" s="472"/>
      <c r="W2050" s="472"/>
      <c r="X2050" s="472"/>
      <c r="Y2050" s="472"/>
    </row>
    <row r="2051" spans="1:25" x14ac:dyDescent="0.25">
      <c r="A2051" s="463"/>
      <c r="B2051" s="506">
        <v>88251</v>
      </c>
      <c r="C2051" s="507"/>
      <c r="D2051" s="508"/>
      <c r="E2051" s="509" t="str">
        <f>IF($C2051="",IFERROR(VLOOKUP($B2051,SERVIÇOS!$B:$G,2,0),IFERROR(VLOOKUP($B2051,$D:$K,2,0),"")),IFERROR(VLOOKUP($C2051,INSUMOS!$A:$D,2,0),IFERROR(VLOOKUP($C2051,COTAÇÕES!$B:$I,2,0),(VLOOKUP($C2051,'INSUMO SINAPI - SP'!$C:$F,2,0)))))</f>
        <v>AUXILIAR DE SERRALHEIRO COM ENCARGOS COMPLEMENTARES</v>
      </c>
      <c r="F2051" s="510" t="str">
        <f>IF($C2051="",IFERROR(VLOOKUP($B2051,SERVIÇOS!$B:$G,3,0),IFERROR(VLOOKUP($B2051,$D:$K,3,0),"")),IFERROR(VLOOKUP($C2051,INSUMOS!$A:$D,3,0),IFERROR(VLOOKUP($C2051,COTAÇÕES!$B:$I,3,0),(VLOOKUP($C2051,'INSUMO SINAPI - SP'!$C:$F,3,0)))))</f>
        <v>H</v>
      </c>
      <c r="G2051" s="511">
        <v>3.9</v>
      </c>
      <c r="H2051" s="512">
        <f>IF($C2051="",IFERROR(VLOOKUP($B2051,SERVIÇOS!$B:$G,6,0),IFERROR(VLOOKUP($B2051,$D:$K,8,0),"")),IFERROR(VLOOKUP($C2051,INSUMOS!$A:$D,4,0),IFERROR(VLOOKUP($C2051,COTAÇÕES!$B:$I,7,0),(VLOOKUP($C2051,'INSUMO SINAPI - SP'!$C:$F,4,0)))))</f>
        <v>30.23</v>
      </c>
      <c r="I2051" s="513">
        <f>TRUNC(IF($C2051="",IFERROR(VLOOKUP($B2051,SERVIÇOS!$B:$G,4,0),IFERROR(VLOOKUP($B2051,$D:$K,6,0),)),IFERROR(VLOOKUP($C2051,INSUMOS!$A:$D,4,0),IFERROR(VLOOKUP($C2051,COTAÇÕES!$B:$I,7,0),(VLOOKUP($C2051,'INSUMO SINAPI - SP'!$C:$F,4,0)))))*$G2051,2)</f>
        <v>36.229999999999997</v>
      </c>
      <c r="J2051" s="513">
        <f>TRUNC(IF($C2051="",IFERROR(VLOOKUP($B2051,SERVIÇOS!$B:$G,5,0),IFERROR(VLOOKUP($B2051,$D:$K,7,0),)),0)*$G2051,2)</f>
        <v>81.66</v>
      </c>
      <c r="K2051" s="514">
        <f>I2051+J2051</f>
        <v>117.88999999999999</v>
      </c>
      <c r="L2051" s="515"/>
      <c r="M2051" s="471"/>
      <c r="N2051" s="516"/>
      <c r="Q2051" s="472"/>
      <c r="R2051" s="472"/>
      <c r="S2051" s="472"/>
      <c r="T2051" s="472"/>
      <c r="U2051" s="472"/>
      <c r="V2051" s="472"/>
      <c r="W2051" s="472"/>
      <c r="X2051" s="472"/>
      <c r="Y2051" s="472"/>
    </row>
    <row r="2052" spans="1:25" ht="24" x14ac:dyDescent="0.25">
      <c r="A2052" s="463"/>
      <c r="B2052" s="506"/>
      <c r="C2052" s="507" t="s">
        <v>13540</v>
      </c>
      <c r="D2052" s="508"/>
      <c r="E2052" s="518" t="s">
        <v>13541</v>
      </c>
      <c r="F2052" s="519" t="s">
        <v>580</v>
      </c>
      <c r="G2052" s="511">
        <f>0.9*2.1</f>
        <v>1.8900000000000001</v>
      </c>
      <c r="H2052" s="520">
        <v>1824.6</v>
      </c>
      <c r="I2052" s="520">
        <f>TRUNC(H2052*G2052,2)</f>
        <v>3448.49</v>
      </c>
      <c r="J2052" s="521"/>
      <c r="K2052" s="522">
        <f>I2052+J2052</f>
        <v>3448.49</v>
      </c>
      <c r="L2052" s="517" t="s">
        <v>13239</v>
      </c>
      <c r="M2052" s="471"/>
      <c r="N2052" s="516"/>
      <c r="Q2052" s="472"/>
      <c r="R2052" s="472"/>
      <c r="S2052" s="472"/>
      <c r="T2052" s="472"/>
      <c r="U2052" s="472"/>
      <c r="V2052" s="472"/>
      <c r="W2052" s="472"/>
      <c r="X2052" s="472"/>
      <c r="Y2052" s="472"/>
    </row>
    <row r="2053" spans="1:25" ht="24" x14ac:dyDescent="0.25">
      <c r="A2053" s="463"/>
      <c r="B2053" s="498"/>
      <c r="C2053" s="498"/>
      <c r="D2053" s="499" t="s">
        <v>12033</v>
      </c>
      <c r="E2053" s="500" t="s">
        <v>13542</v>
      </c>
      <c r="F2053" s="501" t="s">
        <v>578</v>
      </c>
      <c r="G2053" s="502"/>
      <c r="H2053" s="503"/>
      <c r="I2053" s="504">
        <f>ROUND(SUM(I2054:I2057),2)</f>
        <v>270.13</v>
      </c>
      <c r="J2053" s="504">
        <f>ROUND(SUM(J2054:J2057),2)</f>
        <v>47.64</v>
      </c>
      <c r="K2053" s="504">
        <f>+J2053+I2053</f>
        <v>317.77</v>
      </c>
      <c r="L2053" s="523" t="s">
        <v>13543</v>
      </c>
      <c r="M2053" s="471"/>
      <c r="N2053" s="505"/>
      <c r="Q2053" s="472"/>
      <c r="R2053" s="472"/>
      <c r="S2053" s="472"/>
      <c r="T2053" s="472"/>
      <c r="U2053" s="472"/>
      <c r="V2053" s="472"/>
      <c r="W2053" s="472"/>
      <c r="X2053" s="472"/>
      <c r="Y2053" s="472"/>
    </row>
    <row r="2054" spans="1:25" x14ac:dyDescent="0.25">
      <c r="A2054" s="463"/>
      <c r="B2054" s="506"/>
      <c r="C2054" s="507" t="s">
        <v>13544</v>
      </c>
      <c r="D2054" s="508"/>
      <c r="E2054" s="518" t="s">
        <v>13545</v>
      </c>
      <c r="F2054" s="519" t="s">
        <v>578</v>
      </c>
      <c r="G2054" s="511">
        <v>1</v>
      </c>
      <c r="H2054" s="520">
        <v>250</v>
      </c>
      <c r="I2054" s="520">
        <f>TRUNC(H2054*G2054,2)</f>
        <v>250</v>
      </c>
      <c r="J2054" s="521"/>
      <c r="K2054" s="522">
        <f>I2054+J2054</f>
        <v>250</v>
      </c>
      <c r="L2054" s="517" t="s">
        <v>12668</v>
      </c>
      <c r="M2054" s="471"/>
      <c r="N2054" s="516"/>
      <c r="Q2054" s="472"/>
      <c r="R2054" s="472"/>
      <c r="S2054" s="472"/>
      <c r="T2054" s="472"/>
      <c r="U2054" s="472"/>
      <c r="V2054" s="472"/>
      <c r="W2054" s="472"/>
      <c r="X2054" s="472"/>
      <c r="Y2054" s="472"/>
    </row>
    <row r="2055" spans="1:25" x14ac:dyDescent="0.25">
      <c r="A2055" s="463"/>
      <c r="B2055" s="506">
        <v>88309</v>
      </c>
      <c r="C2055" s="507"/>
      <c r="D2055" s="508"/>
      <c r="E2055" s="509" t="str">
        <f>IF($C2055="",IFERROR(VLOOKUP($B2055,SERVIÇOS!$B:$G,2,0),IFERROR(VLOOKUP($B2055,$D:$K,2,0),"")),IFERROR(VLOOKUP($C2055,INSUMOS!$A:$D,2,0),IFERROR(VLOOKUP($C2055,COTAÇÕES!$B:$I,2,0),(VLOOKUP($C2055,'INSUMO SINAPI - SP'!$C:$F,2,0)))))</f>
        <v>PEDREIRO COM ENCARGOS COMPLEMENTARES</v>
      </c>
      <c r="F2055" s="510" t="str">
        <f>IF($C2055="",IFERROR(VLOOKUP($B2055,SERVIÇOS!$B:$G,3,0),IFERROR(VLOOKUP($B2055,$D:$K,3,0),"")),IFERROR(VLOOKUP($C2055,INSUMOS!$A:$D,3,0),IFERROR(VLOOKUP($C2055,COTAÇÕES!$B:$I,3,0),(VLOOKUP($C2055,'INSUMO SINAPI - SP'!$C:$F,3,0)))))</f>
        <v>H</v>
      </c>
      <c r="G2055" s="511">
        <v>1</v>
      </c>
      <c r="H2055" s="512">
        <f>IF($C2055="",IFERROR(VLOOKUP($B2055,SERVIÇOS!$B:$G,6,0),IFERROR(VLOOKUP($B2055,$D:$K,8,0),"")),IFERROR(VLOOKUP($C2055,INSUMOS!$A:$D,4,0),IFERROR(VLOOKUP($C2055,COTAÇÕES!$B:$I,7,0),(VLOOKUP($C2055,'INSUMO SINAPI - SP'!$C:$F,4,0)))))</f>
        <v>36.909999999999997</v>
      </c>
      <c r="I2055" s="513">
        <f>TRUNC(IF($C2055="",IFERROR(VLOOKUP($B2055,SERVIÇOS!$B:$G,4,0),IFERROR(VLOOKUP($B2055,$D:$K,6,0),)),IFERROR(VLOOKUP($C2055,INSUMOS!$A:$D,4,0),IFERROR(VLOOKUP($C2055,COTAÇÕES!$B:$I,7,0),(VLOOKUP($C2055,'INSUMO SINAPI - SP'!$C:$F,4,0)))))*$G2055,2)</f>
        <v>9.2799999999999994</v>
      </c>
      <c r="J2055" s="513">
        <f>TRUNC(IF($C2055="",IFERROR(VLOOKUP($B2055,SERVIÇOS!$B:$G,5,0),IFERROR(VLOOKUP($B2055,$D:$K,7,0),)),0)*$G2055,2)</f>
        <v>27.63</v>
      </c>
      <c r="K2055" s="514">
        <f>I2055+J2055</f>
        <v>36.909999999999997</v>
      </c>
      <c r="L2055" s="515"/>
      <c r="M2055" s="471"/>
      <c r="N2055" s="516"/>
      <c r="Q2055" s="472"/>
      <c r="R2055" s="472"/>
      <c r="S2055" s="472"/>
      <c r="T2055" s="472"/>
      <c r="U2055" s="472"/>
      <c r="V2055" s="472"/>
      <c r="W2055" s="472"/>
      <c r="X2055" s="472"/>
      <c r="Y2055" s="472"/>
    </row>
    <row r="2056" spans="1:25" x14ac:dyDescent="0.25">
      <c r="A2056" s="463"/>
      <c r="B2056" s="506">
        <v>88316</v>
      </c>
      <c r="C2056" s="507"/>
      <c r="D2056" s="508"/>
      <c r="E2056" s="509" t="str">
        <f>IF($C2056="",IFERROR(VLOOKUP($B2056,SERVIÇOS!$B:$G,2,0),IFERROR(VLOOKUP($B2056,$D:$K,2,0),"")),IFERROR(VLOOKUP($C2056,INSUMOS!$A:$D,2,0),IFERROR(VLOOKUP($C2056,COTAÇÕES!$B:$I,2,0),(VLOOKUP($C2056,'INSUMO SINAPI - SP'!$C:$F,2,0)))))</f>
        <v>SERVENTE COM ENCARGOS COMPLEMENTARES</v>
      </c>
      <c r="F2056" s="510" t="str">
        <f>IF($C2056="",IFERROR(VLOOKUP($B2056,SERVIÇOS!$B:$G,3,0),IFERROR(VLOOKUP($B2056,$D:$K,3,0),"")),IFERROR(VLOOKUP($C2056,INSUMOS!$A:$D,3,0),IFERROR(VLOOKUP($C2056,COTAÇÕES!$B:$I,3,0),(VLOOKUP($C2056,'INSUMO SINAPI - SP'!$C:$F,3,0)))))</f>
        <v>H</v>
      </c>
      <c r="G2056" s="511">
        <v>1</v>
      </c>
      <c r="H2056" s="512">
        <f>IF($C2056="",IFERROR(VLOOKUP($B2056,SERVIÇOS!$B:$G,6,0),IFERROR(VLOOKUP($B2056,$D:$K,8,0),"")),IFERROR(VLOOKUP($C2056,INSUMOS!$A:$D,4,0),IFERROR(VLOOKUP($C2056,COTAÇÕES!$B:$I,7,0),(VLOOKUP($C2056,'INSUMO SINAPI - SP'!$C:$F,4,0)))))</f>
        <v>28.71</v>
      </c>
      <c r="I2056" s="513">
        <f>TRUNC(IF($C2056="",IFERROR(VLOOKUP($B2056,SERVIÇOS!$B:$G,4,0),IFERROR(VLOOKUP($B2056,$D:$K,6,0),)),IFERROR(VLOOKUP($C2056,INSUMOS!$A:$D,4,0),IFERROR(VLOOKUP($C2056,COTAÇÕES!$B:$I,7,0),(VLOOKUP($C2056,'INSUMO SINAPI - SP'!$C:$F,4,0)))))*$G2056,2)</f>
        <v>9.1999999999999993</v>
      </c>
      <c r="J2056" s="513">
        <f>TRUNC(IF($C2056="",IFERROR(VLOOKUP($B2056,SERVIÇOS!$B:$G,5,0),IFERROR(VLOOKUP($B2056,$D:$K,7,0),)),0)*$G2056,2)</f>
        <v>19.510000000000002</v>
      </c>
      <c r="K2056" s="514">
        <f>I2056+J2056</f>
        <v>28.71</v>
      </c>
      <c r="L2056" s="515"/>
      <c r="M2056" s="471"/>
      <c r="N2056" s="516"/>
      <c r="Q2056" s="472"/>
      <c r="R2056" s="472"/>
      <c r="S2056" s="472"/>
      <c r="T2056" s="472"/>
      <c r="U2056" s="472"/>
      <c r="V2056" s="472"/>
      <c r="W2056" s="472"/>
      <c r="X2056" s="472"/>
      <c r="Y2056" s="472"/>
    </row>
    <row r="2057" spans="1:25" ht="24" x14ac:dyDescent="0.25">
      <c r="A2057" s="463"/>
      <c r="B2057" s="506">
        <v>100468</v>
      </c>
      <c r="C2057" s="507"/>
      <c r="D2057" s="508"/>
      <c r="E2057" s="509" t="str">
        <f>IF($C2057="",IFERROR(VLOOKUP($B2057,SERVIÇOS!$B:$G,2,0),IFERROR(VLOOKUP($B2057,$D:$K,2,0),"")),IFERROR(VLOOKUP($C2057,INSUMOS!$A:$D,2,0),IFERROR(VLOOKUP($C2057,COTAÇÕES!$B:$I,2,0),(VLOOKUP($C2057,'INSUMO SINAPI - SP'!$C:$F,2,0)))))</f>
        <v>ARGAMASSA TRAÇO 1:3 (EM VOLUME DE CIMENTO E AREIA MÉDIA ÚMIDA), PREPARO MECÂNICO COM MISTURADOR DE EIXO HORIZONTAL DE 160 KG. AF_08/2019</v>
      </c>
      <c r="F2057" s="510" t="str">
        <f>IF($C2057="",IFERROR(VLOOKUP($B2057,SERVIÇOS!$B:$G,3,0),IFERROR(VLOOKUP($B2057,$D:$K,3,0),"")),IFERROR(VLOOKUP($C2057,INSUMOS!$A:$D,3,0),IFERROR(VLOOKUP($C2057,COTAÇÕES!$B:$I,3,0),(VLOOKUP($C2057,'INSUMO SINAPI - SP'!$C:$F,3,0)))))</f>
        <v>M3</v>
      </c>
      <c r="G2057" s="511">
        <v>3.0000000000000001E-3</v>
      </c>
      <c r="H2057" s="512">
        <f>IF($C2057="",IFERROR(VLOOKUP($B2057,SERVIÇOS!$B:$G,6,0),IFERROR(VLOOKUP($B2057,$D:$K,8,0),"")),IFERROR(VLOOKUP($C2057,INSUMOS!$A:$D,4,0),IFERROR(VLOOKUP($C2057,COTAÇÕES!$B:$I,7,0),(VLOOKUP($C2057,'INSUMO SINAPI - SP'!$C:$F,4,0)))))</f>
        <v>720.83</v>
      </c>
      <c r="I2057" s="513">
        <f>TRUNC(IF($C2057="",IFERROR(VLOOKUP($B2057,SERVIÇOS!$B:$G,4,0),IFERROR(VLOOKUP($B2057,$D:$K,6,0),)),IFERROR(VLOOKUP($C2057,INSUMOS!$A:$D,4,0),IFERROR(VLOOKUP($C2057,COTAÇÕES!$B:$I,7,0),(VLOOKUP($C2057,'INSUMO SINAPI - SP'!$C:$F,4,0)))))*$G2057,2)</f>
        <v>1.65</v>
      </c>
      <c r="J2057" s="513">
        <f>TRUNC(IF($C2057="",IFERROR(VLOOKUP($B2057,SERVIÇOS!$B:$G,5,0),IFERROR(VLOOKUP($B2057,$D:$K,7,0),)),0)*$G2057,2)</f>
        <v>0.5</v>
      </c>
      <c r="K2057" s="514">
        <f>I2057+J2057</f>
        <v>2.15</v>
      </c>
      <c r="L2057" s="515"/>
      <c r="M2057" s="471"/>
      <c r="N2057" s="516"/>
      <c r="Q2057" s="472"/>
      <c r="R2057" s="472"/>
      <c r="S2057" s="472"/>
      <c r="T2057" s="472"/>
      <c r="U2057" s="472"/>
      <c r="V2057" s="472"/>
      <c r="W2057" s="472"/>
      <c r="X2057" s="472"/>
      <c r="Y2057" s="472"/>
    </row>
    <row r="2058" spans="1:25" x14ac:dyDescent="0.25">
      <c r="A2058" s="463"/>
      <c r="B2058" s="498"/>
      <c r="C2058" s="498"/>
      <c r="D2058" s="499" t="s">
        <v>13546</v>
      </c>
      <c r="E2058" s="500" t="s">
        <v>13547</v>
      </c>
      <c r="F2058" s="501" t="s">
        <v>578</v>
      </c>
      <c r="G2058" s="502"/>
      <c r="H2058" s="503"/>
      <c r="I2058" s="504">
        <f>ROUND(SUM(I2059:I2061),2)</f>
        <v>1253.17</v>
      </c>
      <c r="J2058" s="504">
        <f>ROUND(SUM(J2059:J2061),2)</f>
        <v>41.28</v>
      </c>
      <c r="K2058" s="504">
        <f>+J2058+I2058</f>
        <v>1294.45</v>
      </c>
      <c r="L2058" s="523" t="s">
        <v>13548</v>
      </c>
      <c r="M2058" s="471"/>
      <c r="Q2058" s="472"/>
      <c r="R2058" s="472"/>
      <c r="S2058" s="472"/>
      <c r="T2058" s="472"/>
      <c r="U2058" s="472"/>
      <c r="V2058" s="472"/>
      <c r="W2058" s="472"/>
      <c r="X2058" s="472"/>
      <c r="Y2058" s="472"/>
    </row>
    <row r="2059" spans="1:25" x14ac:dyDescent="0.25">
      <c r="A2059" s="463"/>
      <c r="B2059" s="506">
        <v>88309</v>
      </c>
      <c r="C2059" s="507"/>
      <c r="D2059" s="508"/>
      <c r="E2059" s="509" t="str">
        <f>IF($C2059="",IFERROR(VLOOKUP($B2059,SERVIÇOS!$B:$G,2,0),IFERROR(VLOOKUP($B2059,$D:$K,2,0),"")),IFERROR(VLOOKUP($C2059,INSUMOS!$A:$D,2,0),IFERROR(VLOOKUP($C2059,COTAÇÕES!$B:$I,2,0),(VLOOKUP($C2059,'INSUMO SINAPI - SP'!$C:$F,2,0)))))</f>
        <v>PEDREIRO COM ENCARGOS COMPLEMENTARES</v>
      </c>
      <c r="F2059" s="510" t="str">
        <f>IF($C2059="",IFERROR(VLOOKUP($B2059,SERVIÇOS!$B:$G,3,0),IFERROR(VLOOKUP($B2059,$D:$K,3,0),"")),IFERROR(VLOOKUP($C2059,INSUMOS!$A:$D,3,0),IFERROR(VLOOKUP($C2059,COTAÇÕES!$B:$I,3,0),(VLOOKUP($C2059,'INSUMO SINAPI - SP'!$C:$F,3,0)))))</f>
        <v>H</v>
      </c>
      <c r="G2059" s="511">
        <v>1</v>
      </c>
      <c r="H2059" s="512">
        <f>IF($C2059="",IFERROR(VLOOKUP($B2059,SERVIÇOS!$B:$G,6,0),IFERROR(VLOOKUP($B2059,$D:$K,8,0),"")),IFERROR(VLOOKUP($C2059,INSUMOS!$A:$D,4,0),IFERROR(VLOOKUP($C2059,COTAÇÕES!$B:$I,7,0),(VLOOKUP($C2059,'INSUMO SINAPI - SP'!$C:$F,4,0)))))</f>
        <v>36.909999999999997</v>
      </c>
      <c r="I2059" s="513">
        <f>TRUNC(IF($C2059="",IFERROR(VLOOKUP($B2059,SERVIÇOS!$B:$G,4,0),IFERROR(VLOOKUP($B2059,$D:$K,6,0),)),IFERROR(VLOOKUP($C2059,INSUMOS!$A:$D,4,0),IFERROR(VLOOKUP($C2059,COTAÇÕES!$B:$I,7,0),(VLOOKUP($C2059,'INSUMO SINAPI - SP'!$C:$F,4,0)))))*$G2059,2)</f>
        <v>9.2799999999999994</v>
      </c>
      <c r="J2059" s="513">
        <f>TRUNC(IF($C2059="",IFERROR(VLOOKUP($B2059,SERVIÇOS!$B:$G,5,0),IFERROR(VLOOKUP($B2059,$D:$K,7,0),)),0)*$G2059,2)</f>
        <v>27.63</v>
      </c>
      <c r="K2059" s="514">
        <f>I2059+J2059</f>
        <v>36.909999999999997</v>
      </c>
      <c r="L2059" s="515"/>
      <c r="M2059" s="471"/>
      <c r="Q2059" s="472"/>
      <c r="R2059" s="472"/>
      <c r="S2059" s="472"/>
      <c r="T2059" s="472"/>
      <c r="U2059" s="472"/>
      <c r="V2059" s="472"/>
      <c r="W2059" s="472"/>
      <c r="X2059" s="472"/>
      <c r="Y2059" s="472"/>
    </row>
    <row r="2060" spans="1:25" x14ac:dyDescent="0.25">
      <c r="A2060" s="463"/>
      <c r="B2060" s="506">
        <v>88316</v>
      </c>
      <c r="C2060" s="507"/>
      <c r="D2060" s="508"/>
      <c r="E2060" s="509" t="str">
        <f>IF($C2060="",IFERROR(VLOOKUP($B2060,SERVIÇOS!$B:$G,2,0),IFERROR(VLOOKUP($B2060,$D:$K,2,0),"")),IFERROR(VLOOKUP($C2060,INSUMOS!$A:$D,2,0),IFERROR(VLOOKUP($C2060,COTAÇÕES!$B:$I,2,0),(VLOOKUP($C2060,'INSUMO SINAPI - SP'!$C:$F,2,0)))))</f>
        <v>SERVENTE COM ENCARGOS COMPLEMENTARES</v>
      </c>
      <c r="F2060" s="510" t="str">
        <f>IF($C2060="",IFERROR(VLOOKUP($B2060,SERVIÇOS!$B:$G,3,0),IFERROR(VLOOKUP($B2060,$D:$K,3,0),"")),IFERROR(VLOOKUP($C2060,INSUMOS!$A:$D,3,0),IFERROR(VLOOKUP($C2060,COTAÇÕES!$B:$I,3,0),(VLOOKUP($C2060,'INSUMO SINAPI - SP'!$C:$F,3,0)))))</f>
        <v>H</v>
      </c>
      <c r="G2060" s="511">
        <v>0.7</v>
      </c>
      <c r="H2060" s="512">
        <f>IF($C2060="",IFERROR(VLOOKUP($B2060,SERVIÇOS!$B:$G,6,0),IFERROR(VLOOKUP($B2060,$D:$K,8,0),"")),IFERROR(VLOOKUP($C2060,INSUMOS!$A:$D,4,0),IFERROR(VLOOKUP($C2060,COTAÇÕES!$B:$I,7,0),(VLOOKUP($C2060,'INSUMO SINAPI - SP'!$C:$F,4,0)))))</f>
        <v>28.71</v>
      </c>
      <c r="I2060" s="513">
        <f>TRUNC(IF($C2060="",IFERROR(VLOOKUP($B2060,SERVIÇOS!$B:$G,4,0),IFERROR(VLOOKUP($B2060,$D:$K,6,0),)),IFERROR(VLOOKUP($C2060,INSUMOS!$A:$D,4,0),IFERROR(VLOOKUP($C2060,COTAÇÕES!$B:$I,7,0),(VLOOKUP($C2060,'INSUMO SINAPI - SP'!$C:$F,4,0)))))*$G2060,2)</f>
        <v>6.44</v>
      </c>
      <c r="J2060" s="513">
        <f>TRUNC(IF($C2060="",IFERROR(VLOOKUP($B2060,SERVIÇOS!$B:$G,5,0),IFERROR(VLOOKUP($B2060,$D:$K,7,0),)),0)*$G2060,2)</f>
        <v>13.65</v>
      </c>
      <c r="K2060" s="514">
        <f>I2060+J2060</f>
        <v>20.09</v>
      </c>
      <c r="L2060" s="515"/>
      <c r="M2060" s="471"/>
      <c r="Q2060" s="472"/>
      <c r="R2060" s="472"/>
      <c r="S2060" s="472"/>
      <c r="T2060" s="472"/>
      <c r="U2060" s="472"/>
      <c r="V2060" s="472"/>
      <c r="W2060" s="472"/>
      <c r="X2060" s="472"/>
      <c r="Y2060" s="472"/>
    </row>
    <row r="2061" spans="1:25" ht="24" x14ac:dyDescent="0.25">
      <c r="A2061" s="463"/>
      <c r="B2061" s="506"/>
      <c r="C2061" s="507" t="s">
        <v>13549</v>
      </c>
      <c r="D2061" s="508"/>
      <c r="E2061" s="518" t="s">
        <v>13550</v>
      </c>
      <c r="F2061" s="519" t="s">
        <v>13186</v>
      </c>
      <c r="G2061" s="511">
        <v>1</v>
      </c>
      <c r="H2061" s="520">
        <v>1237.45</v>
      </c>
      <c r="I2061" s="520">
        <f>TRUNC(H2061*G2061,2)</f>
        <v>1237.45</v>
      </c>
      <c r="J2061" s="521"/>
      <c r="K2061" s="522">
        <f>I2061+J2061</f>
        <v>1237.45</v>
      </c>
      <c r="L2061" s="517" t="s">
        <v>12901</v>
      </c>
      <c r="M2061" s="471"/>
      <c r="Q2061" s="472"/>
      <c r="R2061" s="472"/>
      <c r="S2061" s="472"/>
      <c r="T2061" s="472"/>
      <c r="U2061" s="472"/>
      <c r="V2061" s="472"/>
      <c r="W2061" s="472"/>
      <c r="X2061" s="472"/>
      <c r="Y2061" s="472"/>
    </row>
    <row r="2062" spans="1:25" x14ac:dyDescent="0.25">
      <c r="A2062" s="463"/>
      <c r="B2062" s="498"/>
      <c r="C2062" s="498"/>
      <c r="D2062" s="499" t="s">
        <v>13551</v>
      </c>
      <c r="E2062" s="500" t="s">
        <v>13552</v>
      </c>
      <c r="F2062" s="501" t="s">
        <v>578</v>
      </c>
      <c r="G2062" s="502"/>
      <c r="H2062" s="503"/>
      <c r="I2062" s="504">
        <f>ROUND(SUM(I2063:I2065),2)</f>
        <v>833.16</v>
      </c>
      <c r="J2062" s="504">
        <f>ROUND(SUM(J2063:J2065),2)</f>
        <v>41.28</v>
      </c>
      <c r="K2062" s="504">
        <f>+J2062+I2062</f>
        <v>874.43999999999994</v>
      </c>
      <c r="L2062" s="523" t="s">
        <v>13553</v>
      </c>
      <c r="M2062" s="471"/>
      <c r="Q2062" s="472"/>
      <c r="R2062" s="472"/>
      <c r="S2062" s="472"/>
      <c r="T2062" s="472"/>
      <c r="U2062" s="472"/>
      <c r="V2062" s="472"/>
      <c r="W2062" s="472"/>
      <c r="X2062" s="472"/>
      <c r="Y2062" s="472"/>
    </row>
    <row r="2063" spans="1:25" x14ac:dyDescent="0.25">
      <c r="A2063" s="463"/>
      <c r="B2063" s="506">
        <v>88309</v>
      </c>
      <c r="C2063" s="507"/>
      <c r="D2063" s="508"/>
      <c r="E2063" s="509" t="str">
        <f>IF($C2063="",IFERROR(VLOOKUP($B2063,SERVIÇOS!$B:$G,2,0),IFERROR(VLOOKUP($B2063,$D:$K,2,0),"")),IFERROR(VLOOKUP($C2063,INSUMOS!$A:$D,2,0),IFERROR(VLOOKUP($C2063,COTAÇÕES!$B:$I,2,0),(VLOOKUP($C2063,'INSUMO SINAPI - SP'!$C:$F,2,0)))))</f>
        <v>PEDREIRO COM ENCARGOS COMPLEMENTARES</v>
      </c>
      <c r="F2063" s="510" t="str">
        <f>IF($C2063="",IFERROR(VLOOKUP($B2063,SERVIÇOS!$B:$G,3,0),IFERROR(VLOOKUP($B2063,$D:$K,3,0),"")),IFERROR(VLOOKUP($C2063,INSUMOS!$A:$D,3,0),IFERROR(VLOOKUP($C2063,COTAÇÕES!$B:$I,3,0),(VLOOKUP($C2063,'INSUMO SINAPI - SP'!$C:$F,3,0)))))</f>
        <v>H</v>
      </c>
      <c r="G2063" s="511">
        <v>1</v>
      </c>
      <c r="H2063" s="512">
        <f>IF($C2063="",IFERROR(VLOOKUP($B2063,SERVIÇOS!$B:$G,6,0),IFERROR(VLOOKUP($B2063,$D:$K,8,0),"")),IFERROR(VLOOKUP($C2063,INSUMOS!$A:$D,4,0),IFERROR(VLOOKUP($C2063,COTAÇÕES!$B:$I,7,0),(VLOOKUP($C2063,'INSUMO SINAPI - SP'!$C:$F,4,0)))))</f>
        <v>36.909999999999997</v>
      </c>
      <c r="I2063" s="513">
        <f>TRUNC(IF($C2063="",IFERROR(VLOOKUP($B2063,SERVIÇOS!$B:$G,4,0),IFERROR(VLOOKUP($B2063,$D:$K,6,0),)),IFERROR(VLOOKUP($C2063,INSUMOS!$A:$D,4,0),IFERROR(VLOOKUP($C2063,COTAÇÕES!$B:$I,7,0),(VLOOKUP($C2063,'INSUMO SINAPI - SP'!$C:$F,4,0)))))*$G2063,2)</f>
        <v>9.2799999999999994</v>
      </c>
      <c r="J2063" s="513">
        <f>TRUNC(IF($C2063="",IFERROR(VLOOKUP($B2063,SERVIÇOS!$B:$G,5,0),IFERROR(VLOOKUP($B2063,$D:$K,7,0),)),0)*$G2063,2)</f>
        <v>27.63</v>
      </c>
      <c r="K2063" s="514">
        <f>I2063+J2063</f>
        <v>36.909999999999997</v>
      </c>
      <c r="L2063" s="515"/>
      <c r="M2063" s="471"/>
      <c r="Q2063" s="472"/>
      <c r="R2063" s="472"/>
      <c r="S2063" s="472"/>
      <c r="T2063" s="472"/>
      <c r="U2063" s="472"/>
      <c r="V2063" s="472"/>
      <c r="W2063" s="472"/>
      <c r="X2063" s="472"/>
      <c r="Y2063" s="472"/>
    </row>
    <row r="2064" spans="1:25" x14ac:dyDescent="0.25">
      <c r="A2064" s="463"/>
      <c r="B2064" s="506">
        <v>88316</v>
      </c>
      <c r="C2064" s="507"/>
      <c r="D2064" s="508"/>
      <c r="E2064" s="509" t="str">
        <f>IF($C2064="",IFERROR(VLOOKUP($B2064,SERVIÇOS!$B:$G,2,0),IFERROR(VLOOKUP($B2064,$D:$K,2,0),"")),IFERROR(VLOOKUP($C2064,INSUMOS!$A:$D,2,0),IFERROR(VLOOKUP($C2064,COTAÇÕES!$B:$I,2,0),(VLOOKUP($C2064,'INSUMO SINAPI - SP'!$C:$F,2,0)))))</f>
        <v>SERVENTE COM ENCARGOS COMPLEMENTARES</v>
      </c>
      <c r="F2064" s="510" t="str">
        <f>IF($C2064="",IFERROR(VLOOKUP($B2064,SERVIÇOS!$B:$G,3,0),IFERROR(VLOOKUP($B2064,$D:$K,3,0),"")),IFERROR(VLOOKUP($C2064,INSUMOS!$A:$D,3,0),IFERROR(VLOOKUP($C2064,COTAÇÕES!$B:$I,3,0),(VLOOKUP($C2064,'INSUMO SINAPI - SP'!$C:$F,3,0)))))</f>
        <v>H</v>
      </c>
      <c r="G2064" s="511">
        <v>0.7</v>
      </c>
      <c r="H2064" s="512">
        <f>IF($C2064="",IFERROR(VLOOKUP($B2064,SERVIÇOS!$B:$G,6,0),IFERROR(VLOOKUP($B2064,$D:$K,8,0),"")),IFERROR(VLOOKUP($C2064,INSUMOS!$A:$D,4,0),IFERROR(VLOOKUP($C2064,COTAÇÕES!$B:$I,7,0),(VLOOKUP($C2064,'INSUMO SINAPI - SP'!$C:$F,4,0)))))</f>
        <v>28.71</v>
      </c>
      <c r="I2064" s="513">
        <f>TRUNC(IF($C2064="",IFERROR(VLOOKUP($B2064,SERVIÇOS!$B:$G,4,0),IFERROR(VLOOKUP($B2064,$D:$K,6,0),)),IFERROR(VLOOKUP($C2064,INSUMOS!$A:$D,4,0),IFERROR(VLOOKUP($C2064,COTAÇÕES!$B:$I,7,0),(VLOOKUP($C2064,'INSUMO SINAPI - SP'!$C:$F,4,0)))))*$G2064,2)</f>
        <v>6.44</v>
      </c>
      <c r="J2064" s="513">
        <f>TRUNC(IF($C2064="",IFERROR(VLOOKUP($B2064,SERVIÇOS!$B:$G,5,0),IFERROR(VLOOKUP($B2064,$D:$K,7,0),)),0)*$G2064,2)</f>
        <v>13.65</v>
      </c>
      <c r="K2064" s="514">
        <f>I2064+J2064</f>
        <v>20.09</v>
      </c>
      <c r="L2064" s="515"/>
      <c r="M2064" s="471"/>
      <c r="Q2064" s="472"/>
      <c r="R2064" s="472"/>
      <c r="S2064" s="472"/>
      <c r="T2064" s="472"/>
      <c r="U2064" s="472"/>
      <c r="V2064" s="472"/>
      <c r="W2064" s="472"/>
      <c r="X2064" s="472"/>
      <c r="Y2064" s="472"/>
    </row>
    <row r="2065" spans="1:25" x14ac:dyDescent="0.25">
      <c r="A2065" s="463"/>
      <c r="B2065" s="506"/>
      <c r="C2065" s="507" t="s">
        <v>13554</v>
      </c>
      <c r="D2065" s="508"/>
      <c r="E2065" s="518" t="s">
        <v>13555</v>
      </c>
      <c r="F2065" s="519" t="s">
        <v>13186</v>
      </c>
      <c r="G2065" s="511">
        <v>1</v>
      </c>
      <c r="H2065" s="520">
        <v>817.44</v>
      </c>
      <c r="I2065" s="520">
        <f>TRUNC(H2065*G2065,2)</f>
        <v>817.44</v>
      </c>
      <c r="J2065" s="521"/>
      <c r="K2065" s="522">
        <f>I2065+J2065</f>
        <v>817.44</v>
      </c>
      <c r="L2065" s="517" t="s">
        <v>12901</v>
      </c>
      <c r="M2065" s="471"/>
      <c r="Q2065" s="472"/>
      <c r="R2065" s="472"/>
      <c r="S2065" s="472"/>
      <c r="T2065" s="472"/>
      <c r="U2065" s="472"/>
      <c r="V2065" s="472"/>
      <c r="W2065" s="472"/>
      <c r="X2065" s="472"/>
      <c r="Y2065" s="472"/>
    </row>
    <row r="2066" spans="1:25" ht="24" x14ac:dyDescent="0.25">
      <c r="A2066" s="463"/>
      <c r="B2066" s="498"/>
      <c r="C2066" s="498"/>
      <c r="D2066" s="499" t="s">
        <v>13556</v>
      </c>
      <c r="E2066" s="500" t="s">
        <v>13557</v>
      </c>
      <c r="F2066" s="501" t="s">
        <v>578</v>
      </c>
      <c r="G2066" s="502"/>
      <c r="H2066" s="503"/>
      <c r="I2066" s="504">
        <f>ROUND(SUM(I2067:I2069),2)</f>
        <v>880.61</v>
      </c>
      <c r="J2066" s="504">
        <f>ROUND(SUM(J2067:J2069),2)</f>
        <v>41.28</v>
      </c>
      <c r="K2066" s="504">
        <f>+J2066+I2066</f>
        <v>921.89</v>
      </c>
      <c r="L2066" s="523" t="s">
        <v>13558</v>
      </c>
      <c r="M2066" s="471"/>
      <c r="Q2066" s="472"/>
      <c r="R2066" s="472"/>
      <c r="S2066" s="472"/>
      <c r="T2066" s="472"/>
      <c r="U2066" s="472"/>
      <c r="V2066" s="472"/>
      <c r="W2066" s="472"/>
      <c r="X2066" s="472"/>
      <c r="Y2066" s="472"/>
    </row>
    <row r="2067" spans="1:25" x14ac:dyDescent="0.25">
      <c r="A2067" s="463"/>
      <c r="B2067" s="506">
        <v>88309</v>
      </c>
      <c r="C2067" s="507"/>
      <c r="D2067" s="508"/>
      <c r="E2067" s="509" t="str">
        <f>IF($C2067="",IFERROR(VLOOKUP($B2067,SERVIÇOS!$B:$G,2,0),IFERROR(VLOOKUP($B2067,$D:$K,2,0),"")),IFERROR(VLOOKUP($C2067,INSUMOS!$A:$D,2,0),IFERROR(VLOOKUP($C2067,COTAÇÕES!$B:$I,2,0),(VLOOKUP($C2067,'INSUMO SINAPI - SP'!$C:$F,2,0)))))</f>
        <v>PEDREIRO COM ENCARGOS COMPLEMENTARES</v>
      </c>
      <c r="F2067" s="510" t="str">
        <f>IF($C2067="",IFERROR(VLOOKUP($B2067,SERVIÇOS!$B:$G,3,0),IFERROR(VLOOKUP($B2067,$D:$K,3,0),"")),IFERROR(VLOOKUP($C2067,INSUMOS!$A:$D,3,0),IFERROR(VLOOKUP($C2067,COTAÇÕES!$B:$I,3,0),(VLOOKUP($C2067,'INSUMO SINAPI - SP'!$C:$F,3,0)))))</f>
        <v>H</v>
      </c>
      <c r="G2067" s="511">
        <v>1</v>
      </c>
      <c r="H2067" s="512">
        <f>IF($C2067="",IFERROR(VLOOKUP($B2067,SERVIÇOS!$B:$G,6,0),IFERROR(VLOOKUP($B2067,$D:$K,8,0),"")),IFERROR(VLOOKUP($C2067,INSUMOS!$A:$D,4,0),IFERROR(VLOOKUP($C2067,COTAÇÕES!$B:$I,7,0),(VLOOKUP($C2067,'INSUMO SINAPI - SP'!$C:$F,4,0)))))</f>
        <v>36.909999999999997</v>
      </c>
      <c r="I2067" s="513">
        <f>TRUNC(IF($C2067="",IFERROR(VLOOKUP($B2067,SERVIÇOS!$B:$G,4,0),IFERROR(VLOOKUP($B2067,$D:$K,6,0),)),IFERROR(VLOOKUP($C2067,INSUMOS!$A:$D,4,0),IFERROR(VLOOKUP($C2067,COTAÇÕES!$B:$I,7,0),(VLOOKUP($C2067,'INSUMO SINAPI - SP'!$C:$F,4,0)))))*$G2067,2)</f>
        <v>9.2799999999999994</v>
      </c>
      <c r="J2067" s="513">
        <f>TRUNC(IF($C2067="",IFERROR(VLOOKUP($B2067,SERVIÇOS!$B:$G,5,0),IFERROR(VLOOKUP($B2067,$D:$K,7,0),)),0)*$G2067,2)</f>
        <v>27.63</v>
      </c>
      <c r="K2067" s="514">
        <f>I2067+J2067</f>
        <v>36.909999999999997</v>
      </c>
      <c r="L2067" s="515"/>
      <c r="M2067" s="471"/>
      <c r="Q2067" s="472"/>
      <c r="R2067" s="472"/>
      <c r="S2067" s="472"/>
      <c r="T2067" s="472"/>
      <c r="U2067" s="472"/>
      <c r="V2067" s="472"/>
      <c r="W2067" s="472"/>
      <c r="X2067" s="472"/>
      <c r="Y2067" s="472"/>
    </row>
    <row r="2068" spans="1:25" x14ac:dyDescent="0.25">
      <c r="A2068" s="463"/>
      <c r="B2068" s="506">
        <v>88316</v>
      </c>
      <c r="C2068" s="507"/>
      <c r="D2068" s="508"/>
      <c r="E2068" s="509" t="str">
        <f>IF($C2068="",IFERROR(VLOOKUP($B2068,SERVIÇOS!$B:$G,2,0),IFERROR(VLOOKUP($B2068,$D:$K,2,0),"")),IFERROR(VLOOKUP($C2068,INSUMOS!$A:$D,2,0),IFERROR(VLOOKUP($C2068,COTAÇÕES!$B:$I,2,0),(VLOOKUP($C2068,'INSUMO SINAPI - SP'!$C:$F,2,0)))))</f>
        <v>SERVENTE COM ENCARGOS COMPLEMENTARES</v>
      </c>
      <c r="F2068" s="510" t="str">
        <f>IF($C2068="",IFERROR(VLOOKUP($B2068,SERVIÇOS!$B:$G,3,0),IFERROR(VLOOKUP($B2068,$D:$K,3,0),"")),IFERROR(VLOOKUP($C2068,INSUMOS!$A:$D,3,0),IFERROR(VLOOKUP($C2068,COTAÇÕES!$B:$I,3,0),(VLOOKUP($C2068,'INSUMO SINAPI - SP'!$C:$F,3,0)))))</f>
        <v>H</v>
      </c>
      <c r="G2068" s="511">
        <v>0.7</v>
      </c>
      <c r="H2068" s="512">
        <f>IF($C2068="",IFERROR(VLOOKUP($B2068,SERVIÇOS!$B:$G,6,0),IFERROR(VLOOKUP($B2068,$D:$K,8,0),"")),IFERROR(VLOOKUP($C2068,INSUMOS!$A:$D,4,0),IFERROR(VLOOKUP($C2068,COTAÇÕES!$B:$I,7,0),(VLOOKUP($C2068,'INSUMO SINAPI - SP'!$C:$F,4,0)))))</f>
        <v>28.71</v>
      </c>
      <c r="I2068" s="513">
        <f>TRUNC(IF($C2068="",IFERROR(VLOOKUP($B2068,SERVIÇOS!$B:$G,4,0),IFERROR(VLOOKUP($B2068,$D:$K,6,0),)),IFERROR(VLOOKUP($C2068,INSUMOS!$A:$D,4,0),IFERROR(VLOOKUP($C2068,COTAÇÕES!$B:$I,7,0),(VLOOKUP($C2068,'INSUMO SINAPI - SP'!$C:$F,4,0)))))*$G2068,2)</f>
        <v>6.44</v>
      </c>
      <c r="J2068" s="513">
        <f>TRUNC(IF($C2068="",IFERROR(VLOOKUP($B2068,SERVIÇOS!$B:$G,5,0),IFERROR(VLOOKUP($B2068,$D:$K,7,0),)),0)*$G2068,2)</f>
        <v>13.65</v>
      </c>
      <c r="K2068" s="514">
        <f>I2068+J2068</f>
        <v>20.09</v>
      </c>
      <c r="L2068" s="515"/>
      <c r="M2068" s="471"/>
      <c r="Q2068" s="472"/>
      <c r="R2068" s="472"/>
      <c r="S2068" s="472"/>
      <c r="T2068" s="472"/>
      <c r="U2068" s="472"/>
      <c r="V2068" s="472"/>
      <c r="W2068" s="472"/>
      <c r="X2068" s="472"/>
      <c r="Y2068" s="472"/>
    </row>
    <row r="2069" spans="1:25" x14ac:dyDescent="0.25">
      <c r="A2069" s="463"/>
      <c r="B2069" s="506"/>
      <c r="C2069" s="507" t="s">
        <v>13559</v>
      </c>
      <c r="D2069" s="508"/>
      <c r="E2069" s="518" t="s">
        <v>13560</v>
      </c>
      <c r="F2069" s="519" t="s">
        <v>13186</v>
      </c>
      <c r="G2069" s="511">
        <v>1</v>
      </c>
      <c r="H2069" s="520">
        <v>864.89</v>
      </c>
      <c r="I2069" s="520">
        <f>TRUNC(H2069*G2069,2)</f>
        <v>864.89</v>
      </c>
      <c r="J2069" s="521"/>
      <c r="K2069" s="522">
        <f>I2069+J2069</f>
        <v>864.89</v>
      </c>
      <c r="L2069" s="517" t="s">
        <v>12901</v>
      </c>
      <c r="M2069" s="471"/>
      <c r="Q2069" s="472"/>
      <c r="R2069" s="472"/>
      <c r="S2069" s="472"/>
      <c r="T2069" s="472"/>
      <c r="U2069" s="472"/>
      <c r="V2069" s="472"/>
      <c r="W2069" s="472"/>
      <c r="X2069" s="472"/>
      <c r="Y2069" s="472"/>
    </row>
    <row r="2070" spans="1:25" ht="48" x14ac:dyDescent="0.25">
      <c r="A2070" s="463"/>
      <c r="B2070" s="498"/>
      <c r="C2070" s="498"/>
      <c r="D2070" s="499" t="s">
        <v>12036</v>
      </c>
      <c r="E2070" s="500" t="s">
        <v>13561</v>
      </c>
      <c r="F2070" s="501" t="s">
        <v>580</v>
      </c>
      <c r="G2070" s="502"/>
      <c r="H2070" s="503"/>
      <c r="I2070" s="504">
        <f>ROUND(SUM(I2071:I2074),2)</f>
        <v>61661.83</v>
      </c>
      <c r="J2070" s="504">
        <f>ROUND(SUM(J2071:J2074),2)</f>
        <v>4867.66</v>
      </c>
      <c r="K2070" s="504">
        <f>+J2070+I2070</f>
        <v>66529.490000000005</v>
      </c>
      <c r="L2070" s="523" t="s">
        <v>13558</v>
      </c>
      <c r="M2070" s="471"/>
      <c r="N2070" s="505"/>
      <c r="Q2070" s="472"/>
      <c r="R2070" s="472"/>
      <c r="S2070" s="472"/>
      <c r="T2070" s="472"/>
      <c r="U2070" s="472"/>
      <c r="V2070" s="472"/>
      <c r="W2070" s="472"/>
      <c r="X2070" s="472"/>
      <c r="Y2070" s="472"/>
    </row>
    <row r="2071" spans="1:25" x14ac:dyDescent="0.25">
      <c r="A2071" s="463"/>
      <c r="B2071" s="506" t="s">
        <v>13546</v>
      </c>
      <c r="C2071" s="507"/>
      <c r="D2071" s="508"/>
      <c r="E2071" s="509" t="str">
        <f>IF($C2071="",IFERROR(VLOOKUP($B2071,SERVIÇOS!$B:$G,2,0),IFERROR(VLOOKUP($B2071,$D:$K,2,0),"")),IFERROR(VLOOKUP($C2071,INSUMOS!$A:$D,2,0),IFERROR(VLOOKUP($C2071,COTAÇÕES!$B:$I,2,0),(VLOOKUP($C2071,'INSUMO SINAPI - SP'!$C:$F,2,0)))))</f>
        <v>CAIXILHO EM ALUMÍNIO PARA PELE DE VIDRO, TIPO FACHADA (STRUCTURAL GLAZING)</v>
      </c>
      <c r="F2071" s="510" t="str">
        <f>IF($C2071="",IFERROR(VLOOKUP($B2071,SERVIÇOS!$B:$G,3,0),IFERROR(VLOOKUP($B2071,$D:$K,3,0),"")),IFERROR(VLOOKUP($C2071,INSUMOS!$A:$D,3,0),IFERROR(VLOOKUP($C2071,COTAÇÕES!$B:$I,3,0),(VLOOKUP($C2071,'INSUMO SINAPI - SP'!$C:$F,3,0)))))</f>
        <v>M2</v>
      </c>
      <c r="G2071" s="511">
        <f>1.32*(16.34-0.8)+(1.28*0.72)+(0.5*0.8)</f>
        <v>21.834399999999999</v>
      </c>
      <c r="H2071" s="512">
        <f>IF($C2071="",IFERROR(VLOOKUP($B2071,SERVIÇOS!$B:$G,6,0),IFERROR(VLOOKUP($B2071,$D:$K,8,0),"")),IFERROR(VLOOKUP($C2071,INSUMOS!$A:$D,4,0),IFERROR(VLOOKUP($C2071,COTAÇÕES!$B:$I,7,0),(VLOOKUP($C2071,'INSUMO SINAPI - SP'!$C:$F,4,0)))))</f>
        <v>1294.45</v>
      </c>
      <c r="I2071" s="513">
        <f>TRUNC(IF($C2071="",IFERROR(VLOOKUP($B2071,SERVIÇOS!$B:$G,4,0),IFERROR(VLOOKUP($B2071,$D:$K,6,0),)),IFERROR(VLOOKUP($C2071,INSUMOS!$A:$D,4,0),IFERROR(VLOOKUP($C2071,COTAÇÕES!$B:$I,7,0),(VLOOKUP($C2071,'INSUMO SINAPI - SP'!$C:$F,4,0)))))*$G2071,2)</f>
        <v>27362.21</v>
      </c>
      <c r="J2071" s="513">
        <f>TRUNC(IF($C2071="",IFERROR(VLOOKUP($B2071,SERVIÇOS!$B:$G,5,0),IFERROR(VLOOKUP($B2071,$D:$K,7,0),)),0)*$G2071,2)</f>
        <v>901.32</v>
      </c>
      <c r="K2071" s="514">
        <f>I2071+J2071</f>
        <v>28263.53</v>
      </c>
      <c r="L2071" s="515"/>
      <c r="M2071" s="471"/>
      <c r="N2071" s="516"/>
      <c r="Q2071" s="472"/>
      <c r="R2071" s="472"/>
      <c r="S2071" s="472"/>
      <c r="T2071" s="472"/>
      <c r="U2071" s="472"/>
      <c r="V2071" s="472"/>
      <c r="W2071" s="472"/>
      <c r="X2071" s="472"/>
      <c r="Y2071" s="472"/>
    </row>
    <row r="2072" spans="1:25" ht="24" x14ac:dyDescent="0.25">
      <c r="A2072" s="463"/>
      <c r="B2072" s="506" t="s">
        <v>13556</v>
      </c>
      <c r="C2072" s="507"/>
      <c r="D2072" s="508"/>
      <c r="E2072" s="509" t="str">
        <f>IF($C2072="",IFERROR(VLOOKUP($B2072,SERVIÇOS!$B:$G,2,0),IFERROR(VLOOKUP($B2072,$D:$K,2,0),"")),IFERROR(VLOOKUP($C2072,INSUMOS!$A:$D,2,0),IFERROR(VLOOKUP($C2072,COTAÇÕES!$B:$I,2,0),(VLOOKUP($C2072,'INSUMO SINAPI - SP'!$C:$F,2,0)))))</f>
        <v>CAIXILHO EM ALUMÍNIO MAXIM-AR, TIPO FACHADA (STRUCTURAL GLAZING), INCLUSO VIDRO LAMINADO FLOAT COM PELÍCULA PRATA</v>
      </c>
      <c r="F2072" s="510" t="str">
        <f>IF($C2072="",IFERROR(VLOOKUP($B2072,SERVIÇOS!$B:$G,3,0),IFERROR(VLOOKUP($B2072,$D:$K,3,0),"")),IFERROR(VLOOKUP($C2072,INSUMOS!$A:$D,3,0),IFERROR(VLOOKUP($C2072,COTAÇÕES!$B:$I,3,0),(VLOOKUP($C2072,'INSUMO SINAPI - SP'!$C:$F,3,0)))))</f>
        <v>M2</v>
      </c>
      <c r="G2072" s="511">
        <f>1.28*(16.34-0.8-0.72)</f>
        <v>18.9696</v>
      </c>
      <c r="H2072" s="512">
        <f>IF($C2072="",IFERROR(VLOOKUP($B2072,SERVIÇOS!$B:$G,6,0),IFERROR(VLOOKUP($B2072,$D:$K,8,0),"")),IFERROR(VLOOKUP($C2072,INSUMOS!$A:$D,4,0),IFERROR(VLOOKUP($C2072,COTAÇÕES!$B:$I,7,0),(VLOOKUP($C2072,'INSUMO SINAPI - SP'!$C:$F,4,0)))))</f>
        <v>921.89</v>
      </c>
      <c r="I2072" s="513">
        <f>TRUNC(IF($C2072="",IFERROR(VLOOKUP($B2072,SERVIÇOS!$B:$G,4,0),IFERROR(VLOOKUP($B2072,$D:$K,6,0),)),IFERROR(VLOOKUP($C2072,INSUMOS!$A:$D,4,0),IFERROR(VLOOKUP($C2072,COTAÇÕES!$B:$I,7,0),(VLOOKUP($C2072,'INSUMO SINAPI - SP'!$C:$F,4,0)))))*$G2072,2)</f>
        <v>16704.810000000001</v>
      </c>
      <c r="J2072" s="513">
        <f>TRUNC(IF($C2072="",IFERROR(VLOOKUP($B2072,SERVIÇOS!$B:$G,5,0),IFERROR(VLOOKUP($B2072,$D:$K,7,0),)),0)*$G2072,2)</f>
        <v>783.06</v>
      </c>
      <c r="K2072" s="514">
        <f>I2072+J2072</f>
        <v>17487.870000000003</v>
      </c>
      <c r="L2072" s="515"/>
      <c r="M2072" s="471"/>
      <c r="N2072" s="516"/>
      <c r="Q2072" s="472"/>
      <c r="R2072" s="472"/>
      <c r="S2072" s="472"/>
      <c r="T2072" s="472"/>
      <c r="U2072" s="472"/>
      <c r="V2072" s="472"/>
      <c r="W2072" s="472"/>
      <c r="X2072" s="472"/>
      <c r="Y2072" s="472"/>
    </row>
    <row r="2073" spans="1:25" ht="24" x14ac:dyDescent="0.25">
      <c r="A2073" s="463"/>
      <c r="B2073" s="506">
        <v>102184</v>
      </c>
      <c r="C2073" s="507"/>
      <c r="D2073" s="508"/>
      <c r="E2073" s="509" t="str">
        <f>IF($C2073="",IFERROR(VLOOKUP($B2073,SERVIÇOS!$B:$G,2,0),IFERROR(VLOOKUP($B2073,$D:$K,2,0),"")),IFERROR(VLOOKUP($C2073,INSUMOS!$A:$D,2,0),IFERROR(VLOOKUP($C2073,COTAÇÕES!$B:$I,2,0),(VLOOKUP($C2073,'INSUMO SINAPI - SP'!$C:$F,2,0)))))</f>
        <v>PORTA DE ABRIR COM MOLA HIDRÁULICA, EM VIDRO TEMPERADO, 90X210 CM, ESPESSURA 10 MM, INCLUSIVE ACESSÓRIOS. AF_01/2021</v>
      </c>
      <c r="F2073" s="510" t="str">
        <f>IF($C2073="",IFERROR(VLOOKUP($B2073,SERVIÇOS!$B:$G,3,0),IFERROR(VLOOKUP($B2073,$D:$K,3,0),"")),IFERROR(VLOOKUP($C2073,INSUMOS!$A:$D,3,0),IFERROR(VLOOKUP($C2073,COTAÇÕES!$B:$I,3,0),(VLOOKUP($C2073,'INSUMO SINAPI - SP'!$C:$F,3,0)))))</f>
        <v>UN</v>
      </c>
      <c r="G2073" s="511">
        <v>1</v>
      </c>
      <c r="H2073" s="512">
        <f>IF($C2073="",IFERROR(VLOOKUP($B2073,SERVIÇOS!$B:$G,6,0),IFERROR(VLOOKUP($B2073,$D:$K,8,0),"")),IFERROR(VLOOKUP($C2073,INSUMOS!$A:$D,4,0),IFERROR(VLOOKUP($C2073,COTAÇÕES!$B:$I,7,0),(VLOOKUP($C2073,'INSUMO SINAPI - SP'!$C:$F,4,0)))))</f>
        <v>2182.9</v>
      </c>
      <c r="I2073" s="513">
        <f>TRUNC(IF($C2073="",IFERROR(VLOOKUP($B2073,SERVIÇOS!$B:$G,4,0),IFERROR(VLOOKUP($B2073,$D:$K,6,0),)),IFERROR(VLOOKUP($C2073,INSUMOS!$A:$D,4,0),IFERROR(VLOOKUP($C2073,COTAÇÕES!$B:$I,7,0),(VLOOKUP($C2073,'INSUMO SINAPI - SP'!$C:$F,4,0)))))*$G2073,2)</f>
        <v>2030.54</v>
      </c>
      <c r="J2073" s="513">
        <f>TRUNC(IF($C2073="",IFERROR(VLOOKUP($B2073,SERVIÇOS!$B:$G,5,0),IFERROR(VLOOKUP($B2073,$D:$K,7,0),)),0)*$G2073,2)</f>
        <v>152.36000000000001</v>
      </c>
      <c r="K2073" s="514">
        <f>I2073+J2073</f>
        <v>2182.9</v>
      </c>
      <c r="L2073" s="515"/>
      <c r="M2073" s="471"/>
      <c r="N2073" s="516"/>
      <c r="Q2073" s="472"/>
      <c r="R2073" s="472"/>
      <c r="S2073" s="472"/>
      <c r="T2073" s="472"/>
      <c r="U2073" s="472"/>
      <c r="V2073" s="472"/>
      <c r="W2073" s="472"/>
      <c r="X2073" s="472"/>
      <c r="Y2073" s="472"/>
    </row>
    <row r="2074" spans="1:25" x14ac:dyDescent="0.25">
      <c r="A2074" s="463"/>
      <c r="B2074" s="506">
        <v>102179</v>
      </c>
      <c r="C2074" s="507"/>
      <c r="D2074" s="508"/>
      <c r="E2074" s="509" t="str">
        <f>IF($C2074="",IFERROR(VLOOKUP($B2074,SERVIÇOS!$B:$G,2,0),IFERROR(VLOOKUP($B2074,$D:$K,2,0),"")),IFERROR(VLOOKUP($C2074,INSUMOS!$A:$D,2,0),IFERROR(VLOOKUP($C2074,COTAÇÕES!$B:$I,2,0),(VLOOKUP($C2074,'INSUMO SINAPI - SP'!$C:$F,2,0)))))</f>
        <v>INSTALAÇÃO DE VIDRO TEMPERADO, E = 6 MM, ENCAIXADO EM PERFIL U. AF_01/2021_PS</v>
      </c>
      <c r="F2074" s="510" t="str">
        <f>IF($C2074="",IFERROR(VLOOKUP($B2074,SERVIÇOS!$B:$G,3,0),IFERROR(VLOOKUP($B2074,$D:$K,3,0),"")),IFERROR(VLOOKUP($C2074,INSUMOS!$A:$D,3,0),IFERROR(VLOOKUP($C2074,COTAÇÕES!$B:$I,3,0),(VLOOKUP($C2074,'INSUMO SINAPI - SP'!$C:$F,3,0)))))</f>
        <v>M2</v>
      </c>
      <c r="G2074" s="511">
        <f>G2071+G2072</f>
        <v>40.804000000000002</v>
      </c>
      <c r="H2074" s="512">
        <f>IF($C2074="",IFERROR(VLOOKUP($B2074,SERVIÇOS!$B:$G,6,0),IFERROR(VLOOKUP($B2074,$D:$K,8,0),"")),IFERROR(VLOOKUP($C2074,INSUMOS!$A:$D,4,0),IFERROR(VLOOKUP($C2074,COTAÇÕES!$B:$I,7,0),(VLOOKUP($C2074,'INSUMO SINAPI - SP'!$C:$F,4,0)))))</f>
        <v>455.72</v>
      </c>
      <c r="I2074" s="513">
        <f>TRUNC(IF($C2074="",IFERROR(VLOOKUP($B2074,SERVIÇOS!$B:$G,4,0),IFERROR(VLOOKUP($B2074,$D:$K,6,0),)),IFERROR(VLOOKUP($C2074,INSUMOS!$A:$D,4,0),IFERROR(VLOOKUP($C2074,COTAÇÕES!$B:$I,7,0),(VLOOKUP($C2074,'INSUMO SINAPI - SP'!$C:$F,4,0)))))*$G2074,2)</f>
        <v>15564.27</v>
      </c>
      <c r="J2074" s="513">
        <f>TRUNC(IF($C2074="",IFERROR(VLOOKUP($B2074,SERVIÇOS!$B:$G,5,0),IFERROR(VLOOKUP($B2074,$D:$K,7,0),)),0)*$G2074,2)</f>
        <v>3030.92</v>
      </c>
      <c r="K2074" s="514">
        <f>I2074+J2074</f>
        <v>18595.190000000002</v>
      </c>
      <c r="L2074" s="515"/>
      <c r="M2074" s="471"/>
      <c r="N2074" s="516"/>
      <c r="Q2074" s="472"/>
      <c r="R2074" s="472"/>
      <c r="S2074" s="472"/>
      <c r="T2074" s="472"/>
      <c r="U2074" s="472"/>
      <c r="V2074" s="472"/>
      <c r="W2074" s="472"/>
      <c r="X2074" s="472"/>
      <c r="Y2074" s="472"/>
    </row>
    <row r="2075" spans="1:25" ht="48" x14ac:dyDescent="0.25">
      <c r="A2075" s="463"/>
      <c r="B2075" s="498"/>
      <c r="C2075" s="498"/>
      <c r="D2075" s="499" t="s">
        <v>12037</v>
      </c>
      <c r="E2075" s="500" t="s">
        <v>13562</v>
      </c>
      <c r="F2075" s="501" t="s">
        <v>580</v>
      </c>
      <c r="G2075" s="502"/>
      <c r="H2075" s="503"/>
      <c r="I2075" s="504">
        <f>ROUND(SUM(I2076:I2079),2)</f>
        <v>28112.33</v>
      </c>
      <c r="J2075" s="504">
        <f>ROUND(SUM(J2076:J2079),2)</f>
        <v>2217.1</v>
      </c>
      <c r="K2075" s="504">
        <f>+J2075+I2075</f>
        <v>30329.43</v>
      </c>
      <c r="L2075" s="523" t="s">
        <v>13558</v>
      </c>
      <c r="M2075" s="471"/>
      <c r="N2075" s="505"/>
      <c r="Q2075" s="472"/>
      <c r="R2075" s="472"/>
      <c r="S2075" s="472"/>
      <c r="T2075" s="472"/>
      <c r="U2075" s="472"/>
      <c r="V2075" s="472"/>
      <c r="W2075" s="472"/>
      <c r="X2075" s="472"/>
      <c r="Y2075" s="472"/>
    </row>
    <row r="2076" spans="1:25" x14ac:dyDescent="0.25">
      <c r="A2076" s="463"/>
      <c r="B2076" s="506" t="s">
        <v>13546</v>
      </c>
      <c r="C2076" s="507"/>
      <c r="D2076" s="508"/>
      <c r="E2076" s="509" t="str">
        <f>IF($C2076="",IFERROR(VLOOKUP($B2076,SERVIÇOS!$B:$G,2,0),IFERROR(VLOOKUP($B2076,$D:$K,2,0),"")),IFERROR(VLOOKUP($C2076,INSUMOS!$A:$D,2,0),IFERROR(VLOOKUP($C2076,COTAÇÕES!$B:$I,2,0),(VLOOKUP($C2076,'INSUMO SINAPI - SP'!$C:$F,2,0)))))</f>
        <v>CAIXILHO EM ALUMÍNIO PARA PELE DE VIDRO, TIPO FACHADA (STRUCTURAL GLAZING)</v>
      </c>
      <c r="F2076" s="510" t="str">
        <f>IF($C2076="",IFERROR(VLOOKUP($B2076,SERVIÇOS!$B:$G,3,0),IFERROR(VLOOKUP($B2076,$D:$K,3,0),"")),IFERROR(VLOOKUP($C2076,INSUMOS!$A:$D,3,0),IFERROR(VLOOKUP($C2076,COTAÇÕES!$B:$I,3,0),(VLOOKUP($C2076,'INSUMO SINAPI - SP'!$C:$F,3,0)))))</f>
        <v>M2</v>
      </c>
      <c r="G2076" s="511">
        <f>7.94*2.6-G2077-2*2.1</f>
        <v>8.8408000000000015</v>
      </c>
      <c r="H2076" s="512">
        <f>IF($C2076="",IFERROR(VLOOKUP($B2076,SERVIÇOS!$B:$G,6,0),IFERROR(VLOOKUP($B2076,$D:$K,8,0),"")),IFERROR(VLOOKUP($C2076,INSUMOS!$A:$D,4,0),IFERROR(VLOOKUP($C2076,COTAÇÕES!$B:$I,7,0),(VLOOKUP($C2076,'INSUMO SINAPI - SP'!$C:$F,4,0)))))</f>
        <v>1294.45</v>
      </c>
      <c r="I2076" s="513">
        <f>TRUNC(IF($C2076="",IFERROR(VLOOKUP($B2076,SERVIÇOS!$B:$G,4,0),IFERROR(VLOOKUP($B2076,$D:$K,6,0),)),IFERROR(VLOOKUP($C2076,INSUMOS!$A:$D,4,0),IFERROR(VLOOKUP($C2076,COTAÇÕES!$B:$I,7,0),(VLOOKUP($C2076,'INSUMO SINAPI - SP'!$C:$F,4,0)))))*$G2076,2)</f>
        <v>11079.02</v>
      </c>
      <c r="J2076" s="513">
        <f>TRUNC(IF($C2076="",IFERROR(VLOOKUP($B2076,SERVIÇOS!$B:$G,5,0),IFERROR(VLOOKUP($B2076,$D:$K,7,0),)),0)*$G2076,2)</f>
        <v>364.94</v>
      </c>
      <c r="K2076" s="514">
        <f>I2076+J2076</f>
        <v>11443.960000000001</v>
      </c>
      <c r="L2076" s="515"/>
      <c r="M2076" s="471"/>
      <c r="N2076" s="516"/>
      <c r="Q2076" s="472"/>
      <c r="R2076" s="472"/>
      <c r="S2076" s="472"/>
      <c r="T2076" s="472"/>
      <c r="U2076" s="472"/>
      <c r="V2076" s="472"/>
      <c r="W2076" s="472"/>
      <c r="X2076" s="472"/>
      <c r="Y2076" s="472"/>
    </row>
    <row r="2077" spans="1:25" ht="24" x14ac:dyDescent="0.25">
      <c r="A2077" s="463"/>
      <c r="B2077" s="506" t="s">
        <v>13556</v>
      </c>
      <c r="C2077" s="507"/>
      <c r="D2077" s="508"/>
      <c r="E2077" s="509" t="str">
        <f>IF($C2077="",IFERROR(VLOOKUP($B2077,SERVIÇOS!$B:$G,2,0),IFERROR(VLOOKUP($B2077,$D:$K,2,0),"")),IFERROR(VLOOKUP($C2077,INSUMOS!$A:$D,2,0),IFERROR(VLOOKUP($C2077,COTAÇÕES!$B:$I,2,0),(VLOOKUP($C2077,'INSUMO SINAPI - SP'!$C:$F,2,0)))))</f>
        <v>CAIXILHO EM ALUMÍNIO MAXIM-AR, TIPO FACHADA (STRUCTURAL GLAZING), INCLUSO VIDRO LAMINADO FLOAT COM PELÍCULA PRATA</v>
      </c>
      <c r="F2077" s="510" t="str">
        <f>IF($C2077="",IFERROR(VLOOKUP($B2077,SERVIÇOS!$B:$G,3,0),IFERROR(VLOOKUP($B2077,$D:$K,3,0),"")),IFERROR(VLOOKUP($C2077,INSUMOS!$A:$D,3,0),IFERROR(VLOOKUP($C2077,COTAÇÕES!$B:$I,3,0),(VLOOKUP($C2077,'INSUMO SINAPI - SP'!$C:$F,3,0)))))</f>
        <v>M2</v>
      </c>
      <c r="G2077" s="511">
        <f>1.28*(7.94-2)</f>
        <v>7.6032000000000011</v>
      </c>
      <c r="H2077" s="512">
        <f>IF($C2077="",IFERROR(VLOOKUP($B2077,SERVIÇOS!$B:$G,6,0),IFERROR(VLOOKUP($B2077,$D:$K,8,0),"")),IFERROR(VLOOKUP($C2077,INSUMOS!$A:$D,4,0),IFERROR(VLOOKUP($C2077,COTAÇÕES!$B:$I,7,0),(VLOOKUP($C2077,'INSUMO SINAPI - SP'!$C:$F,4,0)))))</f>
        <v>921.89</v>
      </c>
      <c r="I2077" s="513">
        <f>TRUNC(IF($C2077="",IFERROR(VLOOKUP($B2077,SERVIÇOS!$B:$G,4,0),IFERROR(VLOOKUP($B2077,$D:$K,6,0),)),IFERROR(VLOOKUP($C2077,INSUMOS!$A:$D,4,0),IFERROR(VLOOKUP($C2077,COTAÇÕES!$B:$I,7,0),(VLOOKUP($C2077,'INSUMO SINAPI - SP'!$C:$F,4,0)))))*$G2077,2)</f>
        <v>6695.45</v>
      </c>
      <c r="J2077" s="513">
        <f>TRUNC(IF($C2077="",IFERROR(VLOOKUP($B2077,SERVIÇOS!$B:$G,5,0),IFERROR(VLOOKUP($B2077,$D:$K,7,0),)),0)*$G2077,2)</f>
        <v>313.86</v>
      </c>
      <c r="K2077" s="514">
        <f>I2077+J2077</f>
        <v>7009.3099999999995</v>
      </c>
      <c r="L2077" s="515"/>
      <c r="M2077" s="471"/>
      <c r="N2077" s="516"/>
      <c r="Q2077" s="472"/>
      <c r="R2077" s="472"/>
      <c r="S2077" s="472"/>
      <c r="T2077" s="472"/>
      <c r="U2077" s="472"/>
      <c r="V2077" s="472"/>
      <c r="W2077" s="472"/>
      <c r="X2077" s="472"/>
      <c r="Y2077" s="472"/>
    </row>
    <row r="2078" spans="1:25" ht="24" x14ac:dyDescent="0.25">
      <c r="A2078" s="463"/>
      <c r="B2078" s="506">
        <v>102185</v>
      </c>
      <c r="C2078" s="507"/>
      <c r="D2078" s="508"/>
      <c r="E2078" s="509" t="str">
        <f>IF($C2078="",IFERROR(VLOOKUP($B2078,SERVIÇOS!$B:$G,2,0),IFERROR(VLOOKUP($B2078,$D:$K,2,0),"")),IFERROR(VLOOKUP($C2078,INSUMOS!$A:$D,2,0),IFERROR(VLOOKUP($C2078,COTAÇÕES!$B:$I,2,0),(VLOOKUP($C2078,'INSUMO SINAPI - SP'!$C:$F,2,0)))))</f>
        <v>PORTA DE ABRIR COM MOLA HIDRÁULICA, EM VIDRO TEMPERADO, 2 FOLHAS DE 90X210 CM, ESPESSURA DD 10MM, INCLUSIVE ACESSÓRIOS. AF_01/2021</v>
      </c>
      <c r="F2078" s="510" t="str">
        <f>IF($C2078="",IFERROR(VLOOKUP($B2078,SERVIÇOS!$B:$G,3,0),IFERROR(VLOOKUP($B2078,$D:$K,3,0),"")),IFERROR(VLOOKUP($C2078,INSUMOS!$A:$D,3,0),IFERROR(VLOOKUP($C2078,COTAÇÕES!$B:$I,3,0),(VLOOKUP($C2078,'INSUMO SINAPI - SP'!$C:$F,3,0)))))</f>
        <v>UN</v>
      </c>
      <c r="G2078" s="511">
        <v>1</v>
      </c>
      <c r="H2078" s="512">
        <f>IF($C2078="",IFERROR(VLOOKUP($B2078,SERVIÇOS!$B:$G,6,0),IFERROR(VLOOKUP($B2078,$D:$K,8,0),"")),IFERROR(VLOOKUP($C2078,INSUMOS!$A:$D,4,0),IFERROR(VLOOKUP($C2078,COTAÇÕES!$B:$I,7,0),(VLOOKUP($C2078,'INSUMO SINAPI - SP'!$C:$F,4,0)))))</f>
        <v>4382.3100000000004</v>
      </c>
      <c r="I2078" s="513">
        <f>TRUNC(IF($C2078="",IFERROR(VLOOKUP($B2078,SERVIÇOS!$B:$G,4,0),IFERROR(VLOOKUP($B2078,$D:$K,6,0),)),IFERROR(VLOOKUP($C2078,INSUMOS!$A:$D,4,0),IFERROR(VLOOKUP($C2078,COTAÇÕES!$B:$I,7,0),(VLOOKUP($C2078,'INSUMO SINAPI - SP'!$C:$F,4,0)))))*$G2078,2)</f>
        <v>4065.47</v>
      </c>
      <c r="J2078" s="513">
        <f>TRUNC(IF($C2078="",IFERROR(VLOOKUP($B2078,SERVIÇOS!$B:$G,5,0),IFERROR(VLOOKUP($B2078,$D:$K,7,0),)),0)*$G2078,2)</f>
        <v>316.83999999999997</v>
      </c>
      <c r="K2078" s="514">
        <f>I2078+J2078</f>
        <v>4382.3099999999995</v>
      </c>
      <c r="L2078" s="515"/>
      <c r="M2078" s="471"/>
      <c r="N2078" s="516"/>
      <c r="Q2078" s="472"/>
      <c r="R2078" s="472"/>
      <c r="S2078" s="472"/>
      <c r="T2078" s="472"/>
      <c r="U2078" s="472"/>
      <c r="V2078" s="472"/>
      <c r="W2078" s="472"/>
      <c r="X2078" s="472"/>
      <c r="Y2078" s="472"/>
    </row>
    <row r="2079" spans="1:25" x14ac:dyDescent="0.25">
      <c r="A2079" s="463"/>
      <c r="B2079" s="506">
        <v>102179</v>
      </c>
      <c r="C2079" s="507"/>
      <c r="D2079" s="508"/>
      <c r="E2079" s="509" t="str">
        <f>IF($C2079="",IFERROR(VLOOKUP($B2079,SERVIÇOS!$B:$G,2,0),IFERROR(VLOOKUP($B2079,$D:$K,2,0),"")),IFERROR(VLOOKUP($C2079,INSUMOS!$A:$D,2,0),IFERROR(VLOOKUP($C2079,COTAÇÕES!$B:$I,2,0),(VLOOKUP($C2079,'INSUMO SINAPI - SP'!$C:$F,2,0)))))</f>
        <v>INSTALAÇÃO DE VIDRO TEMPERADO, E = 6 MM, ENCAIXADO EM PERFIL U. AF_01/2021_PS</v>
      </c>
      <c r="F2079" s="510" t="str">
        <f>IF($C2079="",IFERROR(VLOOKUP($B2079,SERVIÇOS!$B:$G,3,0),IFERROR(VLOOKUP($B2079,$D:$K,3,0),"")),IFERROR(VLOOKUP($C2079,INSUMOS!$A:$D,3,0),IFERROR(VLOOKUP($C2079,COTAÇÕES!$B:$I,3,0),(VLOOKUP($C2079,'INSUMO SINAPI - SP'!$C:$F,3,0)))))</f>
        <v>M2</v>
      </c>
      <c r="G2079" s="511">
        <f>G2076+G2077</f>
        <v>16.444000000000003</v>
      </c>
      <c r="H2079" s="512">
        <f>IF($C2079="",IFERROR(VLOOKUP($B2079,SERVIÇOS!$B:$G,6,0),IFERROR(VLOOKUP($B2079,$D:$K,8,0),"")),IFERROR(VLOOKUP($C2079,INSUMOS!$A:$D,4,0),IFERROR(VLOOKUP($C2079,COTAÇÕES!$B:$I,7,0),(VLOOKUP($C2079,'INSUMO SINAPI - SP'!$C:$F,4,0)))))</f>
        <v>455.72</v>
      </c>
      <c r="I2079" s="513">
        <f>TRUNC(IF($C2079="",IFERROR(VLOOKUP($B2079,SERVIÇOS!$B:$G,4,0),IFERROR(VLOOKUP($B2079,$D:$K,6,0),)),IFERROR(VLOOKUP($C2079,INSUMOS!$A:$D,4,0),IFERROR(VLOOKUP($C2079,COTAÇÕES!$B:$I,7,0),(VLOOKUP($C2079,'INSUMO SINAPI - SP'!$C:$F,4,0)))))*$G2079,2)</f>
        <v>6272.39</v>
      </c>
      <c r="J2079" s="513">
        <f>TRUNC(IF($C2079="",IFERROR(VLOOKUP($B2079,SERVIÇOS!$B:$G,5,0),IFERROR(VLOOKUP($B2079,$D:$K,7,0),)),0)*$G2079,2)</f>
        <v>1221.46</v>
      </c>
      <c r="K2079" s="514">
        <f>I2079+J2079</f>
        <v>7493.85</v>
      </c>
      <c r="L2079" s="515"/>
      <c r="M2079" s="471"/>
      <c r="N2079" s="516"/>
      <c r="Q2079" s="472"/>
      <c r="R2079" s="472"/>
      <c r="S2079" s="472"/>
      <c r="T2079" s="472"/>
      <c r="U2079" s="472"/>
      <c r="V2079" s="472"/>
      <c r="W2079" s="472"/>
      <c r="X2079" s="472"/>
      <c r="Y2079" s="472"/>
    </row>
    <row r="2080" spans="1:25" ht="36" x14ac:dyDescent="0.25">
      <c r="A2080" s="463"/>
      <c r="B2080" s="498"/>
      <c r="C2080" s="498"/>
      <c r="D2080" s="499" t="s">
        <v>12038</v>
      </c>
      <c r="E2080" s="500" t="s">
        <v>13563</v>
      </c>
      <c r="F2080" s="501" t="s">
        <v>580</v>
      </c>
      <c r="G2080" s="502"/>
      <c r="H2080" s="503"/>
      <c r="I2080" s="504">
        <f>ROUND(SUM(I2081:I2083),2)</f>
        <v>7711.05</v>
      </c>
      <c r="J2080" s="504">
        <f>ROUND(SUM(J2081:J2083),2)</f>
        <v>592.64</v>
      </c>
      <c r="K2080" s="504">
        <f>+J2080+I2080</f>
        <v>8303.69</v>
      </c>
      <c r="L2080" s="523" t="s">
        <v>13553</v>
      </c>
      <c r="M2080" s="471"/>
      <c r="N2080" s="505"/>
      <c r="Q2080" s="472"/>
      <c r="R2080" s="472"/>
      <c r="S2080" s="472"/>
      <c r="T2080" s="472"/>
      <c r="U2080" s="472"/>
      <c r="V2080" s="472"/>
      <c r="W2080" s="472"/>
      <c r="X2080" s="472"/>
      <c r="Y2080" s="472"/>
    </row>
    <row r="2081" spans="1:25" x14ac:dyDescent="0.25">
      <c r="A2081" s="463"/>
      <c r="B2081" s="506" t="s">
        <v>13551</v>
      </c>
      <c r="C2081" s="507"/>
      <c r="D2081" s="508"/>
      <c r="E2081" s="509" t="str">
        <f>IF($C2081="",IFERROR(VLOOKUP($B2081,SERVIÇOS!$B:$G,2,0),IFERROR(VLOOKUP($B2081,$D:$K,2,0),"")),IFERROR(VLOOKUP($C2081,INSUMOS!$A:$D,2,0),IFERROR(VLOOKUP($C2081,COTAÇÕES!$B:$I,2,0),(VLOOKUP($C2081,'INSUMO SINAPI - SP'!$C:$F,2,0)))))</f>
        <v>CAIXILHO EM ALUMÍNIO FIXO, TIPO FACHADA (STRUCTURAL GLAZING)</v>
      </c>
      <c r="F2081" s="510" t="str">
        <f>IF($C2081="",IFERROR(VLOOKUP($B2081,SERVIÇOS!$B:$G,3,0),IFERROR(VLOOKUP($B2081,$D:$K,3,0),"")),IFERROR(VLOOKUP($C2081,INSUMOS!$A:$D,3,0),IFERROR(VLOOKUP($C2081,COTAÇÕES!$B:$I,3,0),(VLOOKUP($C2081,'INSUMO SINAPI - SP'!$C:$F,3,0)))))</f>
        <v>M2</v>
      </c>
      <c r="G2081" s="511">
        <f>2.3*2.6-0.9*2.1</f>
        <v>4.09</v>
      </c>
      <c r="H2081" s="512">
        <f>IF($C2081="",IFERROR(VLOOKUP($B2081,SERVIÇOS!$B:$G,6,0),IFERROR(VLOOKUP($B2081,$D:$K,8,0),"")),IFERROR(VLOOKUP($C2081,INSUMOS!$A:$D,4,0),IFERROR(VLOOKUP($C2081,COTAÇÕES!$B:$I,7,0),(VLOOKUP($C2081,'INSUMO SINAPI - SP'!$C:$F,4,0)))))</f>
        <v>874.43999999999994</v>
      </c>
      <c r="I2081" s="513">
        <f>TRUNC(IF($C2081="",IFERROR(VLOOKUP($B2081,SERVIÇOS!$B:$G,4,0),IFERROR(VLOOKUP($B2081,$D:$K,6,0),)),IFERROR(VLOOKUP($C2081,INSUMOS!$A:$D,4,0),IFERROR(VLOOKUP($C2081,COTAÇÕES!$B:$I,7,0),(VLOOKUP($C2081,'INSUMO SINAPI - SP'!$C:$F,4,0)))))*$G2081,2)</f>
        <v>3407.62</v>
      </c>
      <c r="J2081" s="513">
        <f>TRUNC(IF($C2081="",IFERROR(VLOOKUP($B2081,SERVIÇOS!$B:$G,5,0),IFERROR(VLOOKUP($B2081,$D:$K,7,0),)),0)*$G2081,2)</f>
        <v>168.83</v>
      </c>
      <c r="K2081" s="514">
        <f>I2081+J2081</f>
        <v>3576.45</v>
      </c>
      <c r="L2081" s="515"/>
      <c r="M2081" s="471"/>
      <c r="N2081" s="516"/>
      <c r="Q2081" s="472"/>
      <c r="R2081" s="472"/>
      <c r="S2081" s="472"/>
      <c r="T2081" s="472"/>
      <c r="U2081" s="472"/>
      <c r="V2081" s="472"/>
      <c r="W2081" s="472"/>
      <c r="X2081" s="472"/>
      <c r="Y2081" s="472"/>
    </row>
    <row r="2082" spans="1:25" ht="24" x14ac:dyDescent="0.25">
      <c r="A2082" s="463"/>
      <c r="B2082" s="506">
        <v>102184</v>
      </c>
      <c r="C2082" s="507"/>
      <c r="D2082" s="508"/>
      <c r="E2082" s="509" t="str">
        <f>IF($C2082="",IFERROR(VLOOKUP($B2082,SERVIÇOS!$B:$G,2,0),IFERROR(VLOOKUP($B2082,$D:$K,2,0),"")),IFERROR(VLOOKUP($C2082,INSUMOS!$A:$D,2,0),IFERROR(VLOOKUP($C2082,COTAÇÕES!$B:$I,2,0),(VLOOKUP($C2082,'INSUMO SINAPI - SP'!$C:$F,2,0)))))</f>
        <v>PORTA DE ABRIR COM MOLA HIDRÁULICA, EM VIDRO TEMPERADO, 90X210 CM, ESPESSURA 10 MM, INCLUSIVE ACESSÓRIOS. AF_01/2021</v>
      </c>
      <c r="F2082" s="510" t="str">
        <f>IF($C2082="",IFERROR(VLOOKUP($B2082,SERVIÇOS!$B:$G,3,0),IFERROR(VLOOKUP($B2082,$D:$K,3,0),"")),IFERROR(VLOOKUP($C2082,INSUMOS!$A:$D,3,0),IFERROR(VLOOKUP($C2082,COTAÇÕES!$B:$I,3,0),(VLOOKUP($C2082,'INSUMO SINAPI - SP'!$C:$F,3,0)))))</f>
        <v>UN</v>
      </c>
      <c r="G2082" s="511">
        <v>1</v>
      </c>
      <c r="H2082" s="512">
        <f>IF($C2082="",IFERROR(VLOOKUP($B2082,SERVIÇOS!$B:$G,6,0),IFERROR(VLOOKUP($B2082,$D:$K,8,0),"")),IFERROR(VLOOKUP($C2082,INSUMOS!$A:$D,4,0),IFERROR(VLOOKUP($C2082,COTAÇÕES!$B:$I,7,0),(VLOOKUP($C2082,'INSUMO SINAPI - SP'!$C:$F,4,0)))))</f>
        <v>2182.9</v>
      </c>
      <c r="I2082" s="513">
        <f>TRUNC(IF($C2082="",IFERROR(VLOOKUP($B2082,SERVIÇOS!$B:$G,4,0),IFERROR(VLOOKUP($B2082,$D:$K,6,0),)),IFERROR(VLOOKUP($C2082,INSUMOS!$A:$D,4,0),IFERROR(VLOOKUP($C2082,COTAÇÕES!$B:$I,7,0),(VLOOKUP($C2082,'INSUMO SINAPI - SP'!$C:$F,4,0)))))*$G2082,2)</f>
        <v>2030.54</v>
      </c>
      <c r="J2082" s="513">
        <f>TRUNC(IF($C2082="",IFERROR(VLOOKUP($B2082,SERVIÇOS!$B:$G,5,0),IFERROR(VLOOKUP($B2082,$D:$K,7,0),)),0)*$G2082,2)</f>
        <v>152.36000000000001</v>
      </c>
      <c r="K2082" s="514">
        <f>I2082+J2082</f>
        <v>2182.9</v>
      </c>
      <c r="L2082" s="515"/>
      <c r="M2082" s="471"/>
      <c r="N2082" s="516"/>
      <c r="Q2082" s="472"/>
      <c r="R2082" s="472"/>
      <c r="S2082" s="472"/>
      <c r="T2082" s="472"/>
      <c r="U2082" s="472"/>
      <c r="V2082" s="472"/>
      <c r="W2082" s="472"/>
      <c r="X2082" s="472"/>
      <c r="Y2082" s="472"/>
    </row>
    <row r="2083" spans="1:25" x14ac:dyDescent="0.25">
      <c r="A2083" s="463"/>
      <c r="B2083" s="506">
        <v>102181</v>
      </c>
      <c r="C2083" s="507"/>
      <c r="D2083" s="508"/>
      <c r="E2083" s="509" t="str">
        <f>IF($C2083="",IFERROR(VLOOKUP($B2083,SERVIÇOS!$B:$G,2,0),IFERROR(VLOOKUP($B2083,$D:$K,2,0),"")),IFERROR(VLOOKUP($C2083,INSUMOS!$A:$D,2,0),IFERROR(VLOOKUP($C2083,COTAÇÕES!$B:$I,2,0),(VLOOKUP($C2083,'INSUMO SINAPI - SP'!$C:$F,2,0)))))</f>
        <v>INSTALAÇÃO DE VIDRO TEMPERADO, E = 10 MM, ENCAIXADO EM PERFIL U. AF_01/2021_PS</v>
      </c>
      <c r="F2083" s="510" t="str">
        <f>IF($C2083="",IFERROR(VLOOKUP($B2083,SERVIÇOS!$B:$G,3,0),IFERROR(VLOOKUP($B2083,$D:$K,3,0),"")),IFERROR(VLOOKUP($C2083,INSUMOS!$A:$D,3,0),IFERROR(VLOOKUP($C2083,COTAÇÕES!$B:$I,3,0),(VLOOKUP($C2083,'INSUMO SINAPI - SP'!$C:$F,3,0)))))</f>
        <v>M2</v>
      </c>
      <c r="G2083" s="511">
        <f>G2081</f>
        <v>4.09</v>
      </c>
      <c r="H2083" s="512">
        <f>IF($C2083="",IFERROR(VLOOKUP($B2083,SERVIÇOS!$B:$G,6,0),IFERROR(VLOOKUP($B2083,$D:$K,8,0),"")),IFERROR(VLOOKUP($C2083,INSUMOS!$A:$D,4,0),IFERROR(VLOOKUP($C2083,COTAÇÕES!$B:$I,7,0),(VLOOKUP($C2083,'INSUMO SINAPI - SP'!$C:$F,4,0)))))</f>
        <v>622.09</v>
      </c>
      <c r="I2083" s="513">
        <f>TRUNC(IF($C2083="",IFERROR(VLOOKUP($B2083,SERVIÇOS!$B:$G,4,0),IFERROR(VLOOKUP($B2083,$D:$K,6,0),)),IFERROR(VLOOKUP($C2083,INSUMOS!$A:$D,4,0),IFERROR(VLOOKUP($C2083,COTAÇÕES!$B:$I,7,0),(VLOOKUP($C2083,'INSUMO SINAPI - SP'!$C:$F,4,0)))))*$G2083,2)</f>
        <v>2272.89</v>
      </c>
      <c r="J2083" s="513">
        <f>TRUNC(IF($C2083="",IFERROR(VLOOKUP($B2083,SERVIÇOS!$B:$G,5,0),IFERROR(VLOOKUP($B2083,$D:$K,7,0),)),0)*$G2083,2)</f>
        <v>271.45</v>
      </c>
      <c r="K2083" s="514">
        <f>I2083+J2083</f>
        <v>2544.3399999999997</v>
      </c>
      <c r="L2083" s="515"/>
      <c r="M2083" s="471"/>
      <c r="N2083" s="516"/>
      <c r="Q2083" s="472"/>
      <c r="R2083" s="472"/>
      <c r="S2083" s="472"/>
      <c r="T2083" s="472"/>
      <c r="U2083" s="472"/>
      <c r="V2083" s="472"/>
      <c r="W2083" s="472"/>
      <c r="X2083" s="472"/>
      <c r="Y2083" s="472"/>
    </row>
    <row r="2084" spans="1:25" ht="36" x14ac:dyDescent="0.25">
      <c r="A2084" s="463"/>
      <c r="B2084" s="498"/>
      <c r="C2084" s="498"/>
      <c r="D2084" s="499" t="s">
        <v>12039</v>
      </c>
      <c r="E2084" s="500" t="s">
        <v>13564</v>
      </c>
      <c r="F2084" s="501" t="s">
        <v>580</v>
      </c>
      <c r="G2084" s="502"/>
      <c r="H2084" s="503"/>
      <c r="I2084" s="504">
        <f>ROUND(SUM(I2085:I2089),2)</f>
        <v>10495.92</v>
      </c>
      <c r="J2084" s="504">
        <f>ROUND(SUM(J2085:J2089),2)</f>
        <v>616.48</v>
      </c>
      <c r="K2084" s="504">
        <f>+J2084+I2084</f>
        <v>11112.4</v>
      </c>
      <c r="L2084" s="523" t="s">
        <v>13565</v>
      </c>
      <c r="M2084" s="471"/>
      <c r="N2084" s="505"/>
      <c r="Q2084" s="472"/>
      <c r="R2084" s="472"/>
      <c r="S2084" s="472"/>
      <c r="T2084" s="472"/>
      <c r="U2084" s="472"/>
      <c r="V2084" s="472"/>
      <c r="W2084" s="472"/>
      <c r="X2084" s="472"/>
      <c r="Y2084" s="472"/>
    </row>
    <row r="2085" spans="1:25" x14ac:dyDescent="0.25">
      <c r="A2085" s="463"/>
      <c r="B2085" s="506" t="s">
        <v>13546</v>
      </c>
      <c r="C2085" s="507"/>
      <c r="D2085" s="508"/>
      <c r="E2085" s="509" t="str">
        <f>IF($C2085="",IFERROR(VLOOKUP($B2085,SERVIÇOS!$B:$G,2,0),IFERROR(VLOOKUP($B2085,$D:$K,2,0),"")),IFERROR(VLOOKUP($C2085,INSUMOS!$A:$D,2,0),IFERROR(VLOOKUP($C2085,COTAÇÕES!$B:$I,2,0),(VLOOKUP($C2085,'INSUMO SINAPI - SP'!$C:$F,2,0)))))</f>
        <v>CAIXILHO EM ALUMÍNIO PARA PELE DE VIDRO, TIPO FACHADA (STRUCTURAL GLAZING)</v>
      </c>
      <c r="F2085" s="510" t="str">
        <f>IF($C2085="",IFERROR(VLOOKUP($B2085,SERVIÇOS!$B:$G,3,0),IFERROR(VLOOKUP($B2085,$D:$K,3,0),"")),IFERROR(VLOOKUP($C2085,INSUMOS!$A:$D,3,0),IFERROR(VLOOKUP($C2085,COTAÇÕES!$B:$I,3,0),(VLOOKUP($C2085,'INSUMO SINAPI - SP'!$C:$F,3,0)))))</f>
        <v>M2</v>
      </c>
      <c r="G2085" s="511">
        <f>(3.33-0.9)*2.1</f>
        <v>5.1030000000000006</v>
      </c>
      <c r="H2085" s="512">
        <f>IF($C2085="",IFERROR(VLOOKUP($B2085,SERVIÇOS!$B:$G,6,0),IFERROR(VLOOKUP($B2085,$D:$K,8,0),"")),IFERROR(VLOOKUP($C2085,INSUMOS!$A:$D,4,0),IFERROR(VLOOKUP($C2085,COTAÇÕES!$B:$I,7,0),(VLOOKUP($C2085,'INSUMO SINAPI - SP'!$C:$F,4,0)))))</f>
        <v>1294.45</v>
      </c>
      <c r="I2085" s="513">
        <f>TRUNC(IF($C2085="",IFERROR(VLOOKUP($B2085,SERVIÇOS!$B:$G,4,0),IFERROR(VLOOKUP($B2085,$D:$K,6,0),)),IFERROR(VLOOKUP($C2085,INSUMOS!$A:$D,4,0),IFERROR(VLOOKUP($C2085,COTAÇÕES!$B:$I,7,0),(VLOOKUP($C2085,'INSUMO SINAPI - SP'!$C:$F,4,0)))))*$G2085,2)</f>
        <v>6394.92</v>
      </c>
      <c r="J2085" s="513">
        <f>TRUNC(IF($C2085="",IFERROR(VLOOKUP($B2085,SERVIÇOS!$B:$G,5,0),IFERROR(VLOOKUP($B2085,$D:$K,7,0),)),0)*$G2085,2)</f>
        <v>210.65</v>
      </c>
      <c r="K2085" s="514">
        <f>I2085+J2085</f>
        <v>6605.57</v>
      </c>
      <c r="L2085" s="515"/>
      <c r="M2085" s="471"/>
      <c r="N2085" s="516"/>
      <c r="Q2085" s="472"/>
      <c r="R2085" s="472"/>
      <c r="S2085" s="472"/>
      <c r="T2085" s="472"/>
      <c r="U2085" s="472"/>
      <c r="V2085" s="472"/>
      <c r="W2085" s="472"/>
      <c r="X2085" s="472"/>
      <c r="Y2085" s="472"/>
    </row>
    <row r="2086" spans="1:25" ht="24" x14ac:dyDescent="0.25">
      <c r="A2086" s="463"/>
      <c r="B2086" s="506"/>
      <c r="C2086" s="507" t="s">
        <v>13566</v>
      </c>
      <c r="D2086" s="508"/>
      <c r="E2086" s="518" t="s">
        <v>13567</v>
      </c>
      <c r="F2086" s="519" t="s">
        <v>578</v>
      </c>
      <c r="G2086" s="511">
        <f>1*0.9*2.1</f>
        <v>1.8900000000000001</v>
      </c>
      <c r="H2086" s="520">
        <v>930.08</v>
      </c>
      <c r="I2086" s="520">
        <f>TRUNC(H2086*G2086,2)</f>
        <v>1757.85</v>
      </c>
      <c r="J2086" s="521"/>
      <c r="K2086" s="522">
        <f>I2086+J2086</f>
        <v>1757.85</v>
      </c>
      <c r="L2086" s="517" t="s">
        <v>12668</v>
      </c>
      <c r="M2086" s="471"/>
      <c r="N2086" s="516"/>
      <c r="Q2086" s="472"/>
      <c r="R2086" s="472"/>
      <c r="S2086" s="472"/>
      <c r="T2086" s="472"/>
      <c r="U2086" s="472"/>
      <c r="V2086" s="472"/>
      <c r="W2086" s="472"/>
      <c r="X2086" s="472"/>
      <c r="Y2086" s="472"/>
    </row>
    <row r="2087" spans="1:25" x14ac:dyDescent="0.25">
      <c r="A2087" s="463"/>
      <c r="B2087" s="506">
        <v>88325</v>
      </c>
      <c r="C2087" s="507"/>
      <c r="D2087" s="508"/>
      <c r="E2087" s="509" t="str">
        <f>IF($C2087="",IFERROR(VLOOKUP($B2087,SERVIÇOS!$B:$G,2,0),IFERROR(VLOOKUP($B2087,$D:$K,2,0),"")),IFERROR(VLOOKUP($C2087,INSUMOS!$A:$D,2,0),IFERROR(VLOOKUP($C2087,COTAÇÕES!$B:$I,2,0),(VLOOKUP($C2087,'INSUMO SINAPI - SP'!$C:$F,2,0)))))</f>
        <v>VIDRACEIRO COM ENCARGOS COMPLEMENTARES</v>
      </c>
      <c r="F2087" s="510" t="str">
        <f>IF($C2087="",IFERROR(VLOOKUP($B2087,SERVIÇOS!$B:$G,3,0),IFERROR(VLOOKUP($B2087,$D:$K,3,0),"")),IFERROR(VLOOKUP($C2087,INSUMOS!$A:$D,3,0),IFERROR(VLOOKUP($C2087,COTAÇÕES!$B:$I,3,0),(VLOOKUP($C2087,'INSUMO SINAPI - SP'!$C:$F,3,0)))))</f>
        <v>H</v>
      </c>
      <c r="G2087" s="511">
        <f>0.5*G2086</f>
        <v>0.94500000000000006</v>
      </c>
      <c r="H2087" s="512">
        <f>IF($C2087="",IFERROR(VLOOKUP($B2087,SERVIÇOS!$B:$G,6,0),IFERROR(VLOOKUP($B2087,$D:$K,8,0),"")),IFERROR(VLOOKUP($C2087,INSUMOS!$A:$D,4,0),IFERROR(VLOOKUP($C2087,COTAÇÕES!$B:$I,7,0),(VLOOKUP($C2087,'INSUMO SINAPI - SP'!$C:$F,4,0)))))</f>
        <v>37.15</v>
      </c>
      <c r="I2087" s="513">
        <f>TRUNC(IF($C2087="",IFERROR(VLOOKUP($B2087,SERVIÇOS!$B:$G,4,0),IFERROR(VLOOKUP($B2087,$D:$K,6,0),)),IFERROR(VLOOKUP($C2087,INSUMOS!$A:$D,4,0),IFERROR(VLOOKUP($C2087,COTAÇÕES!$B:$I,7,0),(VLOOKUP($C2087,'INSUMO SINAPI - SP'!$C:$F,4,0)))))*$G2087,2)</f>
        <v>8.77</v>
      </c>
      <c r="J2087" s="513">
        <f>TRUNC(IF($C2087="",IFERROR(VLOOKUP($B2087,SERVIÇOS!$B:$G,5,0),IFERROR(VLOOKUP($B2087,$D:$K,7,0),)),0)*$G2087,2)</f>
        <v>26.32</v>
      </c>
      <c r="K2087" s="514">
        <f>I2087+J2087</f>
        <v>35.090000000000003</v>
      </c>
      <c r="L2087" s="515"/>
      <c r="M2087" s="471"/>
      <c r="N2087" s="516"/>
      <c r="Q2087" s="472"/>
      <c r="R2087" s="472"/>
      <c r="S2087" s="472"/>
      <c r="T2087" s="472"/>
      <c r="U2087" s="472"/>
      <c r="V2087" s="472"/>
      <c r="W2087" s="472"/>
      <c r="X2087" s="472"/>
      <c r="Y2087" s="472"/>
    </row>
    <row r="2088" spans="1:25" x14ac:dyDescent="0.25">
      <c r="A2088" s="463"/>
      <c r="B2088" s="506">
        <v>88316</v>
      </c>
      <c r="C2088" s="507"/>
      <c r="D2088" s="508"/>
      <c r="E2088" s="509" t="str">
        <f>IF($C2088="",IFERROR(VLOOKUP($B2088,SERVIÇOS!$B:$G,2,0),IFERROR(VLOOKUP($B2088,$D:$K,2,0),"")),IFERROR(VLOOKUP($C2088,INSUMOS!$A:$D,2,0),IFERROR(VLOOKUP($C2088,COTAÇÕES!$B:$I,2,0),(VLOOKUP($C2088,'INSUMO SINAPI - SP'!$C:$F,2,0)))))</f>
        <v>SERVENTE COM ENCARGOS COMPLEMENTARES</v>
      </c>
      <c r="F2088" s="510" t="str">
        <f>IF($C2088="",IFERROR(VLOOKUP($B2088,SERVIÇOS!$B:$G,3,0),IFERROR(VLOOKUP($B2088,$D:$K,3,0),"")),IFERROR(VLOOKUP($C2088,INSUMOS!$A:$D,3,0),IFERROR(VLOOKUP($C2088,COTAÇÕES!$B:$I,3,0),(VLOOKUP($C2088,'INSUMO SINAPI - SP'!$C:$F,3,0)))))</f>
        <v>H</v>
      </c>
      <c r="G2088" s="511">
        <f>0.5*G2086</f>
        <v>0.94500000000000006</v>
      </c>
      <c r="H2088" s="512">
        <f>IF($C2088="",IFERROR(VLOOKUP($B2088,SERVIÇOS!$B:$G,6,0),IFERROR(VLOOKUP($B2088,$D:$K,8,0),"")),IFERROR(VLOOKUP($C2088,INSUMOS!$A:$D,4,0),IFERROR(VLOOKUP($C2088,COTAÇÕES!$B:$I,7,0),(VLOOKUP($C2088,'INSUMO SINAPI - SP'!$C:$F,4,0)))))</f>
        <v>28.71</v>
      </c>
      <c r="I2088" s="513">
        <f>TRUNC(IF($C2088="",IFERROR(VLOOKUP($B2088,SERVIÇOS!$B:$G,4,0),IFERROR(VLOOKUP($B2088,$D:$K,6,0),)),IFERROR(VLOOKUP($C2088,INSUMOS!$A:$D,4,0),IFERROR(VLOOKUP($C2088,COTAÇÕES!$B:$I,7,0),(VLOOKUP($C2088,'INSUMO SINAPI - SP'!$C:$F,4,0)))))*$G2088,2)</f>
        <v>8.69</v>
      </c>
      <c r="J2088" s="513">
        <f>TRUNC(IF($C2088="",IFERROR(VLOOKUP($B2088,SERVIÇOS!$B:$G,5,0),IFERROR(VLOOKUP($B2088,$D:$K,7,0),)),0)*$G2088,2)</f>
        <v>18.43</v>
      </c>
      <c r="K2088" s="514">
        <f>I2088+J2088</f>
        <v>27.119999999999997</v>
      </c>
      <c r="L2088" s="515"/>
      <c r="M2088" s="471"/>
      <c r="N2088" s="516"/>
      <c r="Q2088" s="472"/>
      <c r="R2088" s="472"/>
      <c r="S2088" s="472"/>
      <c r="T2088" s="472"/>
      <c r="U2088" s="472"/>
      <c r="V2088" s="472"/>
      <c r="W2088" s="472"/>
      <c r="X2088" s="472"/>
      <c r="Y2088" s="472"/>
    </row>
    <row r="2089" spans="1:25" x14ac:dyDescent="0.25">
      <c r="A2089" s="463"/>
      <c r="B2089" s="506">
        <v>102180</v>
      </c>
      <c r="C2089" s="507"/>
      <c r="D2089" s="508"/>
      <c r="E2089" s="509" t="str">
        <f>IF($C2089="",IFERROR(VLOOKUP($B2089,SERVIÇOS!$B:$G,2,0),IFERROR(VLOOKUP($B2089,$D:$K,2,0),"")),IFERROR(VLOOKUP($C2089,INSUMOS!$A:$D,2,0),IFERROR(VLOOKUP($C2089,COTAÇÕES!$B:$I,2,0),(VLOOKUP($C2089,'INSUMO SINAPI - SP'!$C:$F,2,0)))))</f>
        <v>INSTALAÇÃO DE VIDRO TEMPERADO, E = 8 MM, ENCAIXADO EM PERFIL U. AF_01/2021_PS</v>
      </c>
      <c r="F2089" s="510" t="str">
        <f>IF($C2089="",IFERROR(VLOOKUP($B2089,SERVIÇOS!$B:$G,3,0),IFERROR(VLOOKUP($B2089,$D:$K,3,0),"")),IFERROR(VLOOKUP($C2089,INSUMOS!$A:$D,3,0),IFERROR(VLOOKUP($C2089,COTAÇÕES!$B:$I,3,0),(VLOOKUP($C2089,'INSUMO SINAPI - SP'!$C:$F,3,0)))))</f>
        <v>M2</v>
      </c>
      <c r="G2089" s="511">
        <f>G2085</f>
        <v>5.1030000000000006</v>
      </c>
      <c r="H2089" s="512">
        <f>IF($C2089="",IFERROR(VLOOKUP($B2089,SERVIÇOS!$B:$G,6,0),IFERROR(VLOOKUP($B2089,$D:$K,8,0),"")),IFERROR(VLOOKUP($C2089,INSUMOS!$A:$D,4,0),IFERROR(VLOOKUP($C2089,COTAÇÕES!$B:$I,7,0),(VLOOKUP($C2089,'INSUMO SINAPI - SP'!$C:$F,4,0)))))</f>
        <v>526.51</v>
      </c>
      <c r="I2089" s="513">
        <f>TRUNC(IF($C2089="",IFERROR(VLOOKUP($B2089,SERVIÇOS!$B:$G,4,0),IFERROR(VLOOKUP($B2089,$D:$K,6,0),)),IFERROR(VLOOKUP($C2089,INSUMOS!$A:$D,4,0),IFERROR(VLOOKUP($C2089,COTAÇÕES!$B:$I,7,0),(VLOOKUP($C2089,'INSUMO SINAPI - SP'!$C:$F,4,0)))))*$G2089,2)</f>
        <v>2325.69</v>
      </c>
      <c r="J2089" s="513">
        <f>TRUNC(IF($C2089="",IFERROR(VLOOKUP($B2089,SERVIÇOS!$B:$G,5,0),IFERROR(VLOOKUP($B2089,$D:$K,7,0),)),0)*$G2089,2)</f>
        <v>361.08</v>
      </c>
      <c r="K2089" s="514">
        <f>I2089+J2089</f>
        <v>2686.77</v>
      </c>
      <c r="L2089" s="515"/>
      <c r="M2089" s="471"/>
      <c r="N2089" s="516"/>
      <c r="Q2089" s="472"/>
      <c r="R2089" s="472"/>
      <c r="S2089" s="472"/>
      <c r="T2089" s="472"/>
      <c r="U2089" s="472"/>
      <c r="V2089" s="472"/>
      <c r="W2089" s="472"/>
      <c r="X2089" s="472"/>
      <c r="Y2089" s="472"/>
    </row>
    <row r="2090" spans="1:25" x14ac:dyDescent="0.25">
      <c r="A2090" s="463"/>
      <c r="B2090" s="498"/>
      <c r="C2090" s="498"/>
      <c r="D2090" s="499" t="s">
        <v>12015</v>
      </c>
      <c r="E2090" s="500" t="s">
        <v>13568</v>
      </c>
      <c r="F2090" s="501" t="s">
        <v>580</v>
      </c>
      <c r="G2090" s="502"/>
      <c r="H2090" s="503"/>
      <c r="I2090" s="504">
        <f>ROUND(SUM(I2091:I2094),2)</f>
        <v>1034.95</v>
      </c>
      <c r="J2090" s="504">
        <f>ROUND(SUM(J2091:J2094),2)</f>
        <v>9.1999999999999993</v>
      </c>
      <c r="K2090" s="504">
        <f>+J2090+I2090</f>
        <v>1044.1500000000001</v>
      </c>
      <c r="L2090" s="523" t="s">
        <v>13569</v>
      </c>
      <c r="M2090" s="471"/>
      <c r="N2090" s="505"/>
      <c r="Q2090" s="472"/>
      <c r="R2090" s="472"/>
      <c r="S2090" s="472"/>
      <c r="T2090" s="472"/>
      <c r="U2090" s="472"/>
      <c r="V2090" s="472"/>
      <c r="W2090" s="472"/>
      <c r="X2090" s="472"/>
      <c r="Y2090" s="472"/>
    </row>
    <row r="2091" spans="1:25" x14ac:dyDescent="0.25">
      <c r="A2091" s="463"/>
      <c r="B2091" s="506">
        <v>88309</v>
      </c>
      <c r="C2091" s="507"/>
      <c r="D2091" s="508"/>
      <c r="E2091" s="509" t="str">
        <f>IF($C2091="",IFERROR(VLOOKUP($B2091,SERVIÇOS!$B:$G,2,0),IFERROR(VLOOKUP($B2091,$D:$K,2,0),"")),IFERROR(VLOOKUP($C2091,INSUMOS!$A:$D,2,0),IFERROR(VLOOKUP($C2091,COTAÇÕES!$B:$I,2,0),(VLOOKUP($C2091,'INSUMO SINAPI - SP'!$C:$F,2,0)))))</f>
        <v>PEDREIRO COM ENCARGOS COMPLEMENTARES</v>
      </c>
      <c r="F2091" s="510" t="str">
        <f>IF($C2091="",IFERROR(VLOOKUP($B2091,SERVIÇOS!$B:$G,3,0),IFERROR(VLOOKUP($B2091,$D:$K,3,0),"")),IFERROR(VLOOKUP($C2091,INSUMOS!$A:$D,3,0),IFERROR(VLOOKUP($C2091,COTAÇÕES!$B:$I,3,0),(VLOOKUP($C2091,'INSUMO SINAPI - SP'!$C:$F,3,0)))))</f>
        <v>H</v>
      </c>
      <c r="G2091" s="511">
        <v>0.22500000000000001</v>
      </c>
      <c r="H2091" s="512">
        <f>IF($C2091="",IFERROR(VLOOKUP($B2091,SERVIÇOS!$B:$G,6,0),IFERROR(VLOOKUP($B2091,$D:$K,8,0),"")),IFERROR(VLOOKUP($C2091,INSUMOS!$A:$D,4,0),IFERROR(VLOOKUP($C2091,COTAÇÕES!$B:$I,7,0),(VLOOKUP($C2091,'INSUMO SINAPI - SP'!$C:$F,4,0)))))</f>
        <v>36.909999999999997</v>
      </c>
      <c r="I2091" s="513">
        <f>TRUNC(IF($C2091="",IFERROR(VLOOKUP($B2091,SERVIÇOS!$B:$G,4,0),IFERROR(VLOOKUP($B2091,$D:$K,6,0),)),IFERROR(VLOOKUP($C2091,INSUMOS!$A:$D,4,0),IFERROR(VLOOKUP($C2091,COTAÇÕES!$B:$I,7,0),(VLOOKUP($C2091,'INSUMO SINAPI - SP'!$C:$F,4,0)))))*$G2091,2)</f>
        <v>2.08</v>
      </c>
      <c r="J2091" s="513">
        <f>TRUNC(IF($C2091="",IFERROR(VLOOKUP($B2091,SERVIÇOS!$B:$G,5,0),IFERROR(VLOOKUP($B2091,$D:$K,7,0),)),0)*$G2091,2)</f>
        <v>6.21</v>
      </c>
      <c r="K2091" s="514">
        <f>I2091+J2091</f>
        <v>8.2899999999999991</v>
      </c>
      <c r="L2091" s="515"/>
      <c r="M2091" s="471"/>
      <c r="N2091" s="516"/>
      <c r="Q2091" s="472"/>
      <c r="R2091" s="472"/>
      <c r="S2091" s="472"/>
      <c r="T2091" s="472"/>
      <c r="U2091" s="472"/>
      <c r="V2091" s="472"/>
      <c r="W2091" s="472"/>
      <c r="X2091" s="472"/>
      <c r="Y2091" s="472"/>
    </row>
    <row r="2092" spans="1:25" x14ac:dyDescent="0.25">
      <c r="A2092" s="463"/>
      <c r="B2092" s="506">
        <v>88316</v>
      </c>
      <c r="C2092" s="507"/>
      <c r="D2092" s="508"/>
      <c r="E2092" s="509" t="str">
        <f>IF($C2092="",IFERROR(VLOOKUP($B2092,SERVIÇOS!$B:$G,2,0),IFERROR(VLOOKUP($B2092,$D:$K,2,0),"")),IFERROR(VLOOKUP($C2092,INSUMOS!$A:$D,2,0),IFERROR(VLOOKUP($C2092,COTAÇÕES!$B:$I,2,0),(VLOOKUP($C2092,'INSUMO SINAPI - SP'!$C:$F,2,0)))))</f>
        <v>SERVENTE COM ENCARGOS COMPLEMENTARES</v>
      </c>
      <c r="F2092" s="510" t="str">
        <f>IF($C2092="",IFERROR(VLOOKUP($B2092,SERVIÇOS!$B:$G,3,0),IFERROR(VLOOKUP($B2092,$D:$K,3,0),"")),IFERROR(VLOOKUP($C2092,INSUMOS!$A:$D,3,0),IFERROR(VLOOKUP($C2092,COTAÇÕES!$B:$I,3,0),(VLOOKUP($C2092,'INSUMO SINAPI - SP'!$C:$F,3,0)))))</f>
        <v>H</v>
      </c>
      <c r="G2092" s="511">
        <v>0.15</v>
      </c>
      <c r="H2092" s="512">
        <f>IF($C2092="",IFERROR(VLOOKUP($B2092,SERVIÇOS!$B:$G,6,0),IFERROR(VLOOKUP($B2092,$D:$K,8,0),"")),IFERROR(VLOOKUP($C2092,INSUMOS!$A:$D,4,0),IFERROR(VLOOKUP($C2092,COTAÇÕES!$B:$I,7,0),(VLOOKUP($C2092,'INSUMO SINAPI - SP'!$C:$F,4,0)))))</f>
        <v>28.71</v>
      </c>
      <c r="I2092" s="513">
        <f>TRUNC(IF($C2092="",IFERROR(VLOOKUP($B2092,SERVIÇOS!$B:$G,4,0),IFERROR(VLOOKUP($B2092,$D:$K,6,0),)),IFERROR(VLOOKUP($C2092,INSUMOS!$A:$D,4,0),IFERROR(VLOOKUP($C2092,COTAÇÕES!$B:$I,7,0),(VLOOKUP($C2092,'INSUMO SINAPI - SP'!$C:$F,4,0)))))*$G2092,2)</f>
        <v>1.38</v>
      </c>
      <c r="J2092" s="513">
        <f>TRUNC(IF($C2092="",IFERROR(VLOOKUP($B2092,SERVIÇOS!$B:$G,5,0),IFERROR(VLOOKUP($B2092,$D:$K,7,0),)),0)*$G2092,2)</f>
        <v>2.92</v>
      </c>
      <c r="K2092" s="514">
        <f>I2092+J2092</f>
        <v>4.3</v>
      </c>
      <c r="L2092" s="515"/>
      <c r="M2092" s="471"/>
      <c r="N2092" s="516"/>
      <c r="Q2092" s="472"/>
      <c r="R2092" s="472"/>
      <c r="S2092" s="472"/>
      <c r="T2092" s="472"/>
      <c r="U2092" s="472"/>
      <c r="V2092" s="472"/>
      <c r="W2092" s="472"/>
      <c r="X2092" s="472"/>
      <c r="Y2092" s="472"/>
    </row>
    <row r="2093" spans="1:25" ht="24" x14ac:dyDescent="0.25">
      <c r="A2093" s="463"/>
      <c r="B2093" s="506">
        <v>88629</v>
      </c>
      <c r="C2093" s="507"/>
      <c r="D2093" s="508"/>
      <c r="E2093" s="509" t="str">
        <f>IF($C2093="",IFERROR(VLOOKUP($B2093,SERVIÇOS!$B:$G,2,0),IFERROR(VLOOKUP($B2093,$D:$K,2,0),"")),IFERROR(VLOOKUP($C2093,INSUMOS!$A:$D,2,0),IFERROR(VLOOKUP($C2093,COTAÇÕES!$B:$I,2,0),(VLOOKUP($C2093,'INSUMO SINAPI - SP'!$C:$F,2,0)))))</f>
        <v>ARGAMASSA TRAÇO 1:3 (EM VOLUME DE CIMENTO E AREIA MÉDIA ÚMIDA), PREPARO MANUAL. AF_08/2019</v>
      </c>
      <c r="F2093" s="510" t="str">
        <f>IF($C2093="",IFERROR(VLOOKUP($B2093,SERVIÇOS!$B:$G,3,0),IFERROR(VLOOKUP($B2093,$D:$K,3,0),"")),IFERROR(VLOOKUP($C2093,INSUMOS!$A:$D,3,0),IFERROR(VLOOKUP($C2093,COTAÇÕES!$B:$I,3,0),(VLOOKUP($C2093,'INSUMO SINAPI - SP'!$C:$F,3,0)))))</f>
        <v>M3</v>
      </c>
      <c r="G2093" s="511">
        <v>4.4999999999999999E-4</v>
      </c>
      <c r="H2093" s="512">
        <f>IF($C2093="",IFERROR(VLOOKUP($B2093,SERVIÇOS!$B:$G,6,0),IFERROR(VLOOKUP($B2093,$D:$K,8,0),"")),IFERROR(VLOOKUP($C2093,INSUMOS!$A:$D,4,0),IFERROR(VLOOKUP($C2093,COTAÇÕES!$B:$I,7,0),(VLOOKUP($C2093,'INSUMO SINAPI - SP'!$C:$F,4,0)))))</f>
        <v>701.86</v>
      </c>
      <c r="I2093" s="513">
        <f>TRUNC(IF($C2093="",IFERROR(VLOOKUP($B2093,SERVIÇOS!$B:$G,4,0),IFERROR(VLOOKUP($B2093,$D:$K,6,0),)),IFERROR(VLOOKUP($C2093,INSUMOS!$A:$D,4,0),IFERROR(VLOOKUP($C2093,COTAÇÕES!$B:$I,7,0),(VLOOKUP($C2093,'INSUMO SINAPI - SP'!$C:$F,4,0)))))*$G2093,2)</f>
        <v>0.24</v>
      </c>
      <c r="J2093" s="513">
        <f>TRUNC(IF($C2093="",IFERROR(VLOOKUP($B2093,SERVIÇOS!$B:$G,5,0),IFERROR(VLOOKUP($B2093,$D:$K,7,0),)),0)*$G2093,2)</f>
        <v>7.0000000000000007E-2</v>
      </c>
      <c r="K2093" s="514">
        <f>I2093+J2093</f>
        <v>0.31</v>
      </c>
      <c r="L2093" s="515"/>
      <c r="M2093" s="471"/>
      <c r="N2093" s="516"/>
      <c r="Q2093" s="472"/>
      <c r="R2093" s="472"/>
      <c r="S2093" s="472"/>
      <c r="T2093" s="472"/>
      <c r="U2093" s="472"/>
      <c r="V2093" s="472"/>
      <c r="W2093" s="472"/>
      <c r="X2093" s="472"/>
      <c r="Y2093" s="472"/>
    </row>
    <row r="2094" spans="1:25" x14ac:dyDescent="0.25">
      <c r="A2094" s="463"/>
      <c r="B2094" s="506"/>
      <c r="C2094" s="507" t="s">
        <v>13570</v>
      </c>
      <c r="D2094" s="508"/>
      <c r="E2094" s="518" t="s">
        <v>13568</v>
      </c>
      <c r="F2094" s="519" t="s">
        <v>578</v>
      </c>
      <c r="G2094" s="511">
        <f>0.5*0.3</f>
        <v>0.15</v>
      </c>
      <c r="H2094" s="520">
        <v>6875</v>
      </c>
      <c r="I2094" s="520">
        <f>TRUNC(H2094*G2094,2)</f>
        <v>1031.25</v>
      </c>
      <c r="J2094" s="521"/>
      <c r="K2094" s="522">
        <f>I2094+J2094</f>
        <v>1031.25</v>
      </c>
      <c r="L2094" s="517" t="s">
        <v>12668</v>
      </c>
      <c r="M2094" s="471"/>
      <c r="N2094" s="516"/>
      <c r="Q2094" s="472"/>
      <c r="R2094" s="472"/>
      <c r="S2094" s="472"/>
      <c r="T2094" s="472"/>
      <c r="U2094" s="472"/>
      <c r="V2094" s="472"/>
      <c r="W2094" s="472"/>
      <c r="X2094" s="472"/>
      <c r="Y2094" s="472"/>
    </row>
    <row r="2095" spans="1:25" x14ac:dyDescent="0.25">
      <c r="A2095" s="463"/>
      <c r="B2095" s="498"/>
      <c r="C2095" s="498"/>
      <c r="D2095" s="499" t="s">
        <v>12018</v>
      </c>
      <c r="E2095" s="500" t="s">
        <v>13571</v>
      </c>
      <c r="F2095" s="501" t="s">
        <v>580</v>
      </c>
      <c r="G2095" s="502"/>
      <c r="H2095" s="503"/>
      <c r="I2095" s="504">
        <f>ROUND(SUM(I2096:I2099),2)</f>
        <v>1418.62</v>
      </c>
      <c r="J2095" s="504">
        <f>ROUND(SUM(J2096:J2099),2)</f>
        <v>418.22</v>
      </c>
      <c r="K2095" s="504">
        <f>+J2095+I2095</f>
        <v>1836.84</v>
      </c>
      <c r="L2095" s="523" t="s">
        <v>13572</v>
      </c>
      <c r="M2095" s="471"/>
      <c r="N2095" s="505"/>
      <c r="Q2095" s="472"/>
      <c r="R2095" s="472"/>
      <c r="S2095" s="472"/>
      <c r="T2095" s="472"/>
      <c r="U2095" s="472"/>
      <c r="V2095" s="472"/>
      <c r="W2095" s="472"/>
      <c r="X2095" s="472"/>
      <c r="Y2095" s="472"/>
    </row>
    <row r="2096" spans="1:25" x14ac:dyDescent="0.25">
      <c r="A2096" s="463"/>
      <c r="B2096" s="506">
        <v>88309</v>
      </c>
      <c r="C2096" s="507"/>
      <c r="D2096" s="508"/>
      <c r="E2096" s="509" t="str">
        <f>IF($C2096="",IFERROR(VLOOKUP($B2096,SERVIÇOS!$B:$G,2,0),IFERROR(VLOOKUP($B2096,$D:$K,2,0),"")),IFERROR(VLOOKUP($C2096,INSUMOS!$A:$D,2,0),IFERROR(VLOOKUP($C2096,COTAÇÕES!$B:$I,2,0),(VLOOKUP($C2096,'INSUMO SINAPI - SP'!$C:$F,2,0)))))</f>
        <v>PEDREIRO COM ENCARGOS COMPLEMENTARES</v>
      </c>
      <c r="F2096" s="510" t="str">
        <f>IF($C2096="",IFERROR(VLOOKUP($B2096,SERVIÇOS!$B:$G,3,0),IFERROR(VLOOKUP($B2096,$D:$K,3,0),"")),IFERROR(VLOOKUP($C2096,INSUMOS!$A:$D,3,0),IFERROR(VLOOKUP($C2096,COTAÇÕES!$B:$I,3,0),(VLOOKUP($C2096,'INSUMO SINAPI - SP'!$C:$F,3,0)))))</f>
        <v>H</v>
      </c>
      <c r="G2096" s="511">
        <v>2.5</v>
      </c>
      <c r="H2096" s="512">
        <f>IF($C2096="",IFERROR(VLOOKUP($B2096,SERVIÇOS!$B:$G,6,0),IFERROR(VLOOKUP($B2096,$D:$K,8,0),"")),IFERROR(VLOOKUP($C2096,INSUMOS!$A:$D,4,0),IFERROR(VLOOKUP($C2096,COTAÇÕES!$B:$I,7,0),(VLOOKUP($C2096,'INSUMO SINAPI - SP'!$C:$F,4,0)))))</f>
        <v>36.909999999999997</v>
      </c>
      <c r="I2096" s="513">
        <f>TRUNC(IF($C2096="",IFERROR(VLOOKUP($B2096,SERVIÇOS!$B:$G,4,0),IFERROR(VLOOKUP($B2096,$D:$K,6,0),)),IFERROR(VLOOKUP($C2096,INSUMOS!$A:$D,4,0),IFERROR(VLOOKUP($C2096,COTAÇÕES!$B:$I,7,0),(VLOOKUP($C2096,'INSUMO SINAPI - SP'!$C:$F,4,0)))))*$G2096,2)</f>
        <v>23.2</v>
      </c>
      <c r="J2096" s="513">
        <f>TRUNC(IF($C2096="",IFERROR(VLOOKUP($B2096,SERVIÇOS!$B:$G,5,0),IFERROR(VLOOKUP($B2096,$D:$K,7,0),)),0)*$G2096,2)</f>
        <v>69.069999999999993</v>
      </c>
      <c r="K2096" s="514">
        <f>I2096+J2096</f>
        <v>92.27</v>
      </c>
      <c r="L2096" s="515"/>
      <c r="M2096" s="471"/>
      <c r="N2096" s="516"/>
      <c r="Q2096" s="472"/>
      <c r="R2096" s="472"/>
      <c r="S2096" s="472"/>
      <c r="T2096" s="472"/>
      <c r="U2096" s="472"/>
      <c r="V2096" s="472"/>
      <c r="W2096" s="472"/>
      <c r="X2096" s="472"/>
      <c r="Y2096" s="472"/>
    </row>
    <row r="2097" spans="1:25" x14ac:dyDescent="0.25">
      <c r="A2097" s="463"/>
      <c r="B2097" s="506">
        <v>88316</v>
      </c>
      <c r="C2097" s="507"/>
      <c r="D2097" s="508"/>
      <c r="E2097" s="509" t="str">
        <f>IF($C2097="",IFERROR(VLOOKUP($B2097,SERVIÇOS!$B:$G,2,0),IFERROR(VLOOKUP($B2097,$D:$K,2,0),"")),IFERROR(VLOOKUP($C2097,INSUMOS!$A:$D,2,0),IFERROR(VLOOKUP($C2097,COTAÇÕES!$B:$I,2,0),(VLOOKUP($C2097,'INSUMO SINAPI - SP'!$C:$F,2,0)))))</f>
        <v>SERVENTE COM ENCARGOS COMPLEMENTARES</v>
      </c>
      <c r="F2097" s="510" t="str">
        <f>IF($C2097="",IFERROR(VLOOKUP($B2097,SERVIÇOS!$B:$G,3,0),IFERROR(VLOOKUP($B2097,$D:$K,3,0),"")),IFERROR(VLOOKUP($C2097,INSUMOS!$A:$D,3,0),IFERROR(VLOOKUP($C2097,COTAÇÕES!$B:$I,3,0),(VLOOKUP($C2097,'INSUMO SINAPI - SP'!$C:$F,3,0)))))</f>
        <v>H</v>
      </c>
      <c r="G2097" s="511">
        <v>4.18</v>
      </c>
      <c r="H2097" s="512">
        <f>IF($C2097="",IFERROR(VLOOKUP($B2097,SERVIÇOS!$B:$G,6,0),IFERROR(VLOOKUP($B2097,$D:$K,8,0),"")),IFERROR(VLOOKUP($C2097,INSUMOS!$A:$D,4,0),IFERROR(VLOOKUP($C2097,COTAÇÕES!$B:$I,7,0),(VLOOKUP($C2097,'INSUMO SINAPI - SP'!$C:$F,4,0)))))</f>
        <v>28.71</v>
      </c>
      <c r="I2097" s="513">
        <f>TRUNC(IF($C2097="",IFERROR(VLOOKUP($B2097,SERVIÇOS!$B:$G,4,0),IFERROR(VLOOKUP($B2097,$D:$K,6,0),)),IFERROR(VLOOKUP($C2097,INSUMOS!$A:$D,4,0),IFERROR(VLOOKUP($C2097,COTAÇÕES!$B:$I,7,0),(VLOOKUP($C2097,'INSUMO SINAPI - SP'!$C:$F,4,0)))))*$G2097,2)</f>
        <v>38.450000000000003</v>
      </c>
      <c r="J2097" s="513">
        <f>TRUNC(IF($C2097="",IFERROR(VLOOKUP($B2097,SERVIÇOS!$B:$G,5,0),IFERROR(VLOOKUP($B2097,$D:$K,7,0),)),0)*$G2097,2)</f>
        <v>81.55</v>
      </c>
      <c r="K2097" s="514">
        <f>I2097+J2097</f>
        <v>120</v>
      </c>
      <c r="L2097" s="515"/>
      <c r="M2097" s="471"/>
      <c r="N2097" s="516"/>
      <c r="Q2097" s="472"/>
      <c r="R2097" s="472"/>
      <c r="S2097" s="472"/>
      <c r="T2097" s="472"/>
      <c r="U2097" s="472"/>
      <c r="V2097" s="472"/>
      <c r="W2097" s="472"/>
      <c r="X2097" s="472"/>
      <c r="Y2097" s="472"/>
    </row>
    <row r="2098" spans="1:25" ht="24" x14ac:dyDescent="0.25">
      <c r="A2098" s="463"/>
      <c r="B2098" s="506">
        <v>88629</v>
      </c>
      <c r="C2098" s="507"/>
      <c r="D2098" s="508"/>
      <c r="E2098" s="509" t="str">
        <f>IF($C2098="",IFERROR(VLOOKUP($B2098,SERVIÇOS!$B:$G,2,0),IFERROR(VLOOKUP($B2098,$D:$K,2,0),"")),IFERROR(VLOOKUP($C2098,INSUMOS!$A:$D,2,0),IFERROR(VLOOKUP($C2098,COTAÇÕES!$B:$I,2,0),(VLOOKUP($C2098,'INSUMO SINAPI - SP'!$C:$F,2,0)))))</f>
        <v>ARGAMASSA TRAÇO 1:3 (EM VOLUME DE CIMENTO E AREIA MÉDIA ÚMIDA), PREPARO MANUAL. AF_08/2019</v>
      </c>
      <c r="F2098" s="510" t="str">
        <f>IF($C2098="",IFERROR(VLOOKUP($B2098,SERVIÇOS!$B:$G,3,0),IFERROR(VLOOKUP($B2098,$D:$K,3,0),"")),IFERROR(VLOOKUP($C2098,INSUMOS!$A:$D,3,0),IFERROR(VLOOKUP($C2098,COTAÇÕES!$B:$I,3,0),(VLOOKUP($C2098,'INSUMO SINAPI - SP'!$C:$F,3,0)))))</f>
        <v>M3</v>
      </c>
      <c r="G2098" s="511">
        <v>1.6</v>
      </c>
      <c r="H2098" s="512">
        <f>IF($C2098="",IFERROR(VLOOKUP($B2098,SERVIÇOS!$B:$G,6,0),IFERROR(VLOOKUP($B2098,$D:$K,8,0),"")),IFERROR(VLOOKUP($C2098,INSUMOS!$A:$D,4,0),IFERROR(VLOOKUP($C2098,COTAÇÕES!$B:$I,7,0),(VLOOKUP($C2098,'INSUMO SINAPI - SP'!$C:$F,4,0)))))</f>
        <v>701.86</v>
      </c>
      <c r="I2098" s="513">
        <f>TRUNC(IF($C2098="",IFERROR(VLOOKUP($B2098,SERVIÇOS!$B:$G,4,0),IFERROR(VLOOKUP($B2098,$D:$K,6,0),)),IFERROR(VLOOKUP($C2098,INSUMOS!$A:$D,4,0),IFERROR(VLOOKUP($C2098,COTAÇÕES!$B:$I,7,0),(VLOOKUP($C2098,'INSUMO SINAPI - SP'!$C:$F,4,0)))))*$G2098,2)</f>
        <v>855.37</v>
      </c>
      <c r="J2098" s="513">
        <f>TRUNC(IF($C2098="",IFERROR(VLOOKUP($B2098,SERVIÇOS!$B:$G,5,0),IFERROR(VLOOKUP($B2098,$D:$K,7,0),)),0)*$G2098,2)</f>
        <v>267.60000000000002</v>
      </c>
      <c r="K2098" s="514">
        <f>I2098+J2098</f>
        <v>1122.97</v>
      </c>
      <c r="L2098" s="515"/>
      <c r="M2098" s="471"/>
      <c r="N2098" s="516"/>
      <c r="Q2098" s="472"/>
      <c r="R2098" s="472"/>
      <c r="S2098" s="472"/>
      <c r="T2098" s="472"/>
      <c r="U2098" s="472"/>
      <c r="V2098" s="472"/>
      <c r="W2098" s="472"/>
      <c r="X2098" s="472"/>
      <c r="Y2098" s="472"/>
    </row>
    <row r="2099" spans="1:25" x14ac:dyDescent="0.25">
      <c r="A2099" s="463"/>
      <c r="B2099" s="506"/>
      <c r="C2099" s="507" t="s">
        <v>13573</v>
      </c>
      <c r="D2099" s="508"/>
      <c r="E2099" s="518" t="s">
        <v>13574</v>
      </c>
      <c r="F2099" s="519" t="s">
        <v>580</v>
      </c>
      <c r="G2099" s="511">
        <v>0.96</v>
      </c>
      <c r="H2099" s="520">
        <v>522.5</v>
      </c>
      <c r="I2099" s="520">
        <f>TRUNC(H2099*G2099,2)</f>
        <v>501.6</v>
      </c>
      <c r="J2099" s="521"/>
      <c r="K2099" s="522">
        <f>I2099+J2099</f>
        <v>501.6</v>
      </c>
      <c r="L2099" s="517" t="s">
        <v>13239</v>
      </c>
      <c r="M2099" s="471"/>
      <c r="N2099" s="516"/>
      <c r="Q2099" s="472"/>
      <c r="R2099" s="472"/>
      <c r="S2099" s="472"/>
      <c r="T2099" s="472"/>
      <c r="U2099" s="472"/>
      <c r="V2099" s="472"/>
      <c r="W2099" s="472"/>
      <c r="X2099" s="472"/>
      <c r="Y2099" s="472"/>
    </row>
    <row r="2100" spans="1:25" x14ac:dyDescent="0.25">
      <c r="A2100" s="463"/>
      <c r="B2100" s="498"/>
      <c r="C2100" s="498"/>
      <c r="D2100" s="499" t="s">
        <v>12518</v>
      </c>
      <c r="E2100" s="500" t="s">
        <v>13575</v>
      </c>
      <c r="F2100" s="501" t="s">
        <v>578</v>
      </c>
      <c r="G2100" s="502"/>
      <c r="H2100" s="503"/>
      <c r="I2100" s="504">
        <f>ROUND(SUM(I2101:I2105),2)</f>
        <v>638.66</v>
      </c>
      <c r="J2100" s="504">
        <f>ROUND(SUM(J2101:J2105),2)</f>
        <v>86.16</v>
      </c>
      <c r="K2100" s="504">
        <f>+J2100+I2100</f>
        <v>724.81999999999994</v>
      </c>
      <c r="L2100" s="523" t="s">
        <v>13576</v>
      </c>
      <c r="M2100" s="471"/>
      <c r="N2100" s="505"/>
      <c r="Q2100" s="472"/>
      <c r="R2100" s="472"/>
      <c r="S2100" s="472"/>
      <c r="T2100" s="472"/>
      <c r="U2100" s="472"/>
      <c r="V2100" s="472"/>
      <c r="W2100" s="472"/>
      <c r="X2100" s="472"/>
      <c r="Y2100" s="472"/>
    </row>
    <row r="2101" spans="1:25" x14ac:dyDescent="0.25">
      <c r="A2101" s="463"/>
      <c r="B2101" s="506">
        <v>88309</v>
      </c>
      <c r="C2101" s="507"/>
      <c r="D2101" s="508"/>
      <c r="E2101" s="509" t="str">
        <f>IF($C2101="",IFERROR(VLOOKUP($B2101,SERVIÇOS!$B:$G,2,0),IFERROR(VLOOKUP($B2101,$D:$K,2,0),"")),IFERROR(VLOOKUP($C2101,INSUMOS!$A:$D,2,0),IFERROR(VLOOKUP($C2101,COTAÇÕES!$B:$I,2,0),(VLOOKUP($C2101,'INSUMO SINAPI - SP'!$C:$F,2,0)))))</f>
        <v>PEDREIRO COM ENCARGOS COMPLEMENTARES</v>
      </c>
      <c r="F2101" s="510" t="str">
        <f>IF($C2101="",IFERROR(VLOOKUP($B2101,SERVIÇOS!$B:$G,3,0),IFERROR(VLOOKUP($B2101,$D:$K,3,0),"")),IFERROR(VLOOKUP($C2101,INSUMOS!$A:$D,3,0),IFERROR(VLOOKUP($C2101,COTAÇÕES!$B:$I,3,0),(VLOOKUP($C2101,'INSUMO SINAPI - SP'!$C:$F,3,0)))))</f>
        <v>H</v>
      </c>
      <c r="G2101" s="511">
        <v>1</v>
      </c>
      <c r="H2101" s="512">
        <f>IF($C2101="",IFERROR(VLOOKUP($B2101,SERVIÇOS!$B:$G,6,0),IFERROR(VLOOKUP($B2101,$D:$K,8,0),"")),IFERROR(VLOOKUP($C2101,INSUMOS!$A:$D,4,0),IFERROR(VLOOKUP($C2101,COTAÇÕES!$B:$I,7,0),(VLOOKUP($C2101,'INSUMO SINAPI - SP'!$C:$F,4,0)))))</f>
        <v>36.909999999999997</v>
      </c>
      <c r="I2101" s="513">
        <f>TRUNC(IF($C2101="",IFERROR(VLOOKUP($B2101,SERVIÇOS!$B:$G,4,0),IFERROR(VLOOKUP($B2101,$D:$K,6,0),)),IFERROR(VLOOKUP($C2101,INSUMOS!$A:$D,4,0),IFERROR(VLOOKUP($C2101,COTAÇÕES!$B:$I,7,0),(VLOOKUP($C2101,'INSUMO SINAPI - SP'!$C:$F,4,0)))))*$G2101,2)</f>
        <v>9.2799999999999994</v>
      </c>
      <c r="J2101" s="513">
        <f>TRUNC(IF($C2101="",IFERROR(VLOOKUP($B2101,SERVIÇOS!$B:$G,5,0),IFERROR(VLOOKUP($B2101,$D:$K,7,0),)),0)*$G2101,2)</f>
        <v>27.63</v>
      </c>
      <c r="K2101" s="514">
        <f>I2101+J2101</f>
        <v>36.909999999999997</v>
      </c>
      <c r="L2101" s="515"/>
      <c r="M2101" s="471"/>
      <c r="N2101" s="516"/>
      <c r="Q2101" s="472"/>
      <c r="R2101" s="472"/>
      <c r="S2101" s="472"/>
      <c r="T2101" s="472"/>
      <c r="U2101" s="472"/>
      <c r="V2101" s="472"/>
      <c r="W2101" s="472"/>
      <c r="X2101" s="472"/>
      <c r="Y2101" s="472"/>
    </row>
    <row r="2102" spans="1:25" x14ac:dyDescent="0.25">
      <c r="A2102" s="463"/>
      <c r="B2102" s="506">
        <v>88316</v>
      </c>
      <c r="C2102" s="507"/>
      <c r="D2102" s="508"/>
      <c r="E2102" s="509" t="str">
        <f>IF($C2102="",IFERROR(VLOOKUP($B2102,SERVIÇOS!$B:$G,2,0),IFERROR(VLOOKUP($B2102,$D:$K,2,0),"")),IFERROR(VLOOKUP($C2102,INSUMOS!$A:$D,2,0),IFERROR(VLOOKUP($C2102,COTAÇÕES!$B:$I,2,0),(VLOOKUP($C2102,'INSUMO SINAPI - SP'!$C:$F,2,0)))))</f>
        <v>SERVENTE COM ENCARGOS COMPLEMENTARES</v>
      </c>
      <c r="F2102" s="510" t="str">
        <f>IF($C2102="",IFERROR(VLOOKUP($B2102,SERVIÇOS!$B:$G,3,0),IFERROR(VLOOKUP($B2102,$D:$K,3,0),"")),IFERROR(VLOOKUP($C2102,INSUMOS!$A:$D,3,0),IFERROR(VLOOKUP($C2102,COTAÇÕES!$B:$I,3,0),(VLOOKUP($C2102,'INSUMO SINAPI - SP'!$C:$F,3,0)))))</f>
        <v>H</v>
      </c>
      <c r="G2102" s="511">
        <v>3</v>
      </c>
      <c r="H2102" s="512">
        <f>IF($C2102="",IFERROR(VLOOKUP($B2102,SERVIÇOS!$B:$G,6,0),IFERROR(VLOOKUP($B2102,$D:$K,8,0),"")),IFERROR(VLOOKUP($C2102,INSUMOS!$A:$D,4,0),IFERROR(VLOOKUP($C2102,COTAÇÕES!$B:$I,7,0),(VLOOKUP($C2102,'INSUMO SINAPI - SP'!$C:$F,4,0)))))</f>
        <v>28.71</v>
      </c>
      <c r="I2102" s="513">
        <f>TRUNC(IF($C2102="",IFERROR(VLOOKUP($B2102,SERVIÇOS!$B:$G,4,0),IFERROR(VLOOKUP($B2102,$D:$K,6,0),)),IFERROR(VLOOKUP($C2102,INSUMOS!$A:$D,4,0),IFERROR(VLOOKUP($C2102,COTAÇÕES!$B:$I,7,0),(VLOOKUP($C2102,'INSUMO SINAPI - SP'!$C:$F,4,0)))))*$G2102,2)</f>
        <v>27.6</v>
      </c>
      <c r="J2102" s="513">
        <f>TRUNC(IF($C2102="",IFERROR(VLOOKUP($B2102,SERVIÇOS!$B:$G,5,0),IFERROR(VLOOKUP($B2102,$D:$K,7,0),)),0)*$G2102,2)</f>
        <v>58.53</v>
      </c>
      <c r="K2102" s="514">
        <f>I2102+J2102</f>
        <v>86.13</v>
      </c>
      <c r="L2102" s="515"/>
      <c r="M2102" s="471"/>
      <c r="N2102" s="516"/>
      <c r="Q2102" s="472"/>
      <c r="R2102" s="472"/>
      <c r="S2102" s="472"/>
      <c r="T2102" s="472"/>
      <c r="U2102" s="472"/>
      <c r="V2102" s="472"/>
      <c r="W2102" s="472"/>
      <c r="X2102" s="472"/>
      <c r="Y2102" s="472"/>
    </row>
    <row r="2103" spans="1:25" x14ac:dyDescent="0.25">
      <c r="A2103" s="463"/>
      <c r="B2103" s="506"/>
      <c r="C2103" s="507">
        <v>1379</v>
      </c>
      <c r="D2103" s="508"/>
      <c r="E2103" s="509" t="str">
        <f>IF($C2103="",IFERROR(VLOOKUP($B2103,SERVIÇOS!$B:$G,2,0),IFERROR(VLOOKUP($B2103,$D:$K,2,0),"")),IFERROR(VLOOKUP($C2103,INSUMOS!$A:$D,2,0),IFERROR(VLOOKUP($C2103,COTAÇÕES!$B:$I,2,0),(VLOOKUP($C2103,'INSUMO SINAPI - SP'!$C:$F,2,0)))))</f>
        <v>CIMENTO PORTLAND COMPOSTO CP II-32</v>
      </c>
      <c r="F2103" s="510" t="str">
        <f>IF($C2103="",IFERROR(VLOOKUP($B2103,SERVIÇOS!$B:$G,3,0),IFERROR(VLOOKUP($B2103,$D:$K,3,0),"")),IFERROR(VLOOKUP($C2103,INSUMOS!$A:$D,3,0),IFERROR(VLOOKUP($C2103,COTAÇÕES!$B:$I,3,0),(VLOOKUP($C2103,'INSUMO SINAPI - SP'!$C:$F,3,0)))))</f>
        <v>KG</v>
      </c>
      <c r="G2103" s="511">
        <v>2.0299999999999998</v>
      </c>
      <c r="H2103" s="512">
        <f>IF($C2103="",IFERROR(VLOOKUP($B2103,SERVIÇOS!$B:$G,6,0),IFERROR(VLOOKUP($B2103,$D:$K,8,0),"")),IFERROR(VLOOKUP($C2103,INSUMOS!$A:$D,4,0),IFERROR(VLOOKUP($C2103,COTAÇÕES!$B:$I,7,0),(VLOOKUP($C2103,'INSUMO SINAPI - SP'!$C:$F,4,0)))))</f>
        <v>0.68</v>
      </c>
      <c r="I2103" s="513">
        <f>TRUNC(IF($C2103="",IFERROR(VLOOKUP($B2103,SERVIÇOS!$B:$G,4,0),IFERROR(VLOOKUP($B2103,$D:$K,6,0),)),IFERROR(VLOOKUP($C2103,INSUMOS!$A:$D,4,0),IFERROR(VLOOKUP($C2103,COTAÇÕES!$B:$I,7,0),(VLOOKUP($C2103,'INSUMO SINAPI - SP'!$C:$F,4,0)))))*$G2103,2)</f>
        <v>1.38</v>
      </c>
      <c r="J2103" s="513">
        <f>TRUNC(IF($C2103="",IFERROR(VLOOKUP($B2103,SERVIÇOS!$B:$G,5,0),IFERROR(VLOOKUP($B2103,$D:$K,7,0),)),0)*$G2103,2)</f>
        <v>0</v>
      </c>
      <c r="K2103" s="514">
        <f>I2103+J2103</f>
        <v>1.38</v>
      </c>
      <c r="L2103" s="517"/>
      <c r="M2103" s="471"/>
      <c r="N2103" s="516"/>
      <c r="Q2103" s="472"/>
      <c r="R2103" s="472"/>
      <c r="S2103" s="472"/>
      <c r="T2103" s="472"/>
      <c r="U2103" s="472"/>
      <c r="V2103" s="472"/>
      <c r="W2103" s="472"/>
      <c r="X2103" s="472"/>
      <c r="Y2103" s="472"/>
    </row>
    <row r="2104" spans="1:25" x14ac:dyDescent="0.25">
      <c r="A2104" s="463"/>
      <c r="B2104" s="506"/>
      <c r="C2104" s="507">
        <v>370</v>
      </c>
      <c r="D2104" s="508"/>
      <c r="E2104" s="509" t="str">
        <f>IF($C2104="",IFERROR(VLOOKUP($B2104,SERVIÇOS!$B:$G,2,0),IFERROR(VLOOKUP($B2104,$D:$K,2,0),"")),IFERROR(VLOOKUP($C2104,INSUMOS!$A:$D,2,0),IFERROR(VLOOKUP($C2104,COTAÇÕES!$B:$I,2,0),(VLOOKUP($C2104,'INSUMO SINAPI - SP'!$C:$F,2,0)))))</f>
        <v>AREIA MEDIA - POSTO JAZIDA/FORNECEDOR (RETIRADO NA JAZIDA, SEM TRANSPORTE)</v>
      </c>
      <c r="F2104" s="510" t="str">
        <f>IF($C2104="",IFERROR(VLOOKUP($B2104,SERVIÇOS!$B:$G,3,0),IFERROR(VLOOKUP($B2104,$D:$K,3,0),"")),IFERROR(VLOOKUP($C2104,INSUMOS!$A:$D,3,0),IFERROR(VLOOKUP($C2104,COTAÇÕES!$B:$I,3,0),(VLOOKUP($C2104,'INSUMO SINAPI - SP'!$C:$F,3,0)))))</f>
        <v>M3</v>
      </c>
      <c r="G2104" s="511">
        <v>0.01</v>
      </c>
      <c r="H2104" s="512">
        <f>IF($C2104="",IFERROR(VLOOKUP($B2104,SERVIÇOS!$B:$G,6,0),IFERROR(VLOOKUP($B2104,$D:$K,8,0),"")),IFERROR(VLOOKUP($C2104,INSUMOS!$A:$D,4,0),IFERROR(VLOOKUP($C2104,COTAÇÕES!$B:$I,7,0),(VLOOKUP($C2104,'INSUMO SINAPI - SP'!$C:$F,4,0)))))</f>
        <v>119.08</v>
      </c>
      <c r="I2104" s="513">
        <f>TRUNC(IF($C2104="",IFERROR(VLOOKUP($B2104,SERVIÇOS!$B:$G,4,0),IFERROR(VLOOKUP($B2104,$D:$K,6,0),)),IFERROR(VLOOKUP($C2104,INSUMOS!$A:$D,4,0),IFERROR(VLOOKUP($C2104,COTAÇÕES!$B:$I,7,0),(VLOOKUP($C2104,'INSUMO SINAPI - SP'!$C:$F,4,0)))))*$G2104,2)</f>
        <v>1.19</v>
      </c>
      <c r="J2104" s="513">
        <f>TRUNC(IF($C2104="",IFERROR(VLOOKUP($B2104,SERVIÇOS!$B:$G,5,0),IFERROR(VLOOKUP($B2104,$D:$K,7,0),)),0)*$G2104,2)</f>
        <v>0</v>
      </c>
      <c r="K2104" s="514">
        <f>I2104+J2104</f>
        <v>1.19</v>
      </c>
      <c r="L2104" s="517"/>
      <c r="M2104" s="471"/>
      <c r="N2104" s="516"/>
      <c r="Q2104" s="472"/>
      <c r="R2104" s="472"/>
      <c r="S2104" s="472"/>
      <c r="T2104" s="472"/>
      <c r="U2104" s="472"/>
      <c r="V2104" s="472"/>
      <c r="W2104" s="472"/>
      <c r="X2104" s="472"/>
      <c r="Y2104" s="472"/>
    </row>
    <row r="2105" spans="1:25" x14ac:dyDescent="0.25">
      <c r="A2105" s="463"/>
      <c r="B2105" s="506"/>
      <c r="C2105" s="507" t="s">
        <v>13577</v>
      </c>
      <c r="D2105" s="508"/>
      <c r="E2105" s="518" t="s">
        <v>13578</v>
      </c>
      <c r="F2105" s="519" t="s">
        <v>578</v>
      </c>
      <c r="G2105" s="511">
        <v>1</v>
      </c>
      <c r="H2105" s="520">
        <v>599.21</v>
      </c>
      <c r="I2105" s="520">
        <f>TRUNC(H2105*G2105,2)</f>
        <v>599.21</v>
      </c>
      <c r="J2105" s="521"/>
      <c r="K2105" s="522">
        <f>I2105+J2105</f>
        <v>599.21</v>
      </c>
      <c r="L2105" s="517" t="s">
        <v>12901</v>
      </c>
      <c r="M2105" s="471"/>
      <c r="N2105" s="516"/>
      <c r="Q2105" s="472"/>
      <c r="R2105" s="472"/>
      <c r="S2105" s="472"/>
      <c r="T2105" s="472"/>
      <c r="U2105" s="472"/>
      <c r="V2105" s="472"/>
      <c r="W2105" s="472"/>
      <c r="X2105" s="472"/>
      <c r="Y2105" s="472"/>
    </row>
    <row r="2106" spans="1:25" x14ac:dyDescent="0.25">
      <c r="A2106" s="463"/>
      <c r="B2106" s="498"/>
      <c r="C2106" s="498"/>
      <c r="D2106" s="499" t="s">
        <v>12501</v>
      </c>
      <c r="E2106" s="500" t="s">
        <v>13579</v>
      </c>
      <c r="F2106" s="501" t="s">
        <v>664</v>
      </c>
      <c r="G2106" s="502"/>
      <c r="H2106" s="503"/>
      <c r="I2106" s="504">
        <f>SUM(I2107:I2108)</f>
        <v>18.669999999999998</v>
      </c>
      <c r="J2106" s="504">
        <f>SUM(J2107:J2108)</f>
        <v>24.27</v>
      </c>
      <c r="K2106" s="504">
        <f>+J2106+I2106</f>
        <v>42.94</v>
      </c>
      <c r="L2106" s="523"/>
      <c r="M2106" s="471"/>
      <c r="N2106" s="505"/>
      <c r="Q2106" s="472"/>
      <c r="R2106" s="472"/>
      <c r="S2106" s="472"/>
      <c r="T2106" s="472"/>
      <c r="U2106" s="472"/>
      <c r="V2106" s="472"/>
      <c r="W2106" s="472"/>
      <c r="X2106" s="472"/>
      <c r="Y2106" s="472"/>
    </row>
    <row r="2107" spans="1:25" x14ac:dyDescent="0.25">
      <c r="A2107" s="463"/>
      <c r="B2107" s="507">
        <v>88316</v>
      </c>
      <c r="C2107" s="507"/>
      <c r="D2107" s="508"/>
      <c r="E2107" s="509" t="str">
        <f>IF($C2107="",IFERROR(VLOOKUP($B2107,SERVIÇOS!$B:$G,2,0),IFERROR(VLOOKUP($B2107,$D:$K,2,0),"")),IFERROR(VLOOKUP($C2107,INSUMOS!$A:$D,2,0),IFERROR(VLOOKUP($C2107,COTAÇÕES!$B:$I,2,0),(VLOOKUP($C2107,'INSUMO SINAPI - SP'!$C:$F,2,0)))))</f>
        <v>SERVENTE COM ENCARGOS COMPLEMENTARES</v>
      </c>
      <c r="F2107" s="510" t="str">
        <f>IF($C2107="",IFERROR(VLOOKUP($B2107,SERVIÇOS!$B:$G,3,0),IFERROR(VLOOKUP($B2107,$D:$K,3,0),"")),IFERROR(VLOOKUP($C2107,INSUMOS!$A:$D,3,0),IFERROR(VLOOKUP($C2107,COTAÇÕES!$B:$I,3,0),(VLOOKUP($C2107,'INSUMO SINAPI - SP'!$C:$F,3,0)))))</f>
        <v>H</v>
      </c>
      <c r="G2107" s="511">
        <v>1.2</v>
      </c>
      <c r="H2107" s="512">
        <f>IF($C2107="",IFERROR(VLOOKUP($B2107,SERVIÇOS!$B:$G,6,0),IFERROR(VLOOKUP($B2107,$D:$K,8,0),"")),IFERROR(VLOOKUP($C2107,INSUMOS!$A:$D,4,0),IFERROR(VLOOKUP($C2107,COTAÇÕES!$B:$I,7,0),(VLOOKUP($C2107,'INSUMO SINAPI - SP'!$C:$F,4,0)))))</f>
        <v>28.71</v>
      </c>
      <c r="I2107" s="513">
        <f>TRUNC(IF($C2107="",IFERROR(VLOOKUP($B2107,SERVIÇOS!$B:$G,4,0),IFERROR(VLOOKUP($B2107,$D:$K,6,0),)),IFERROR(VLOOKUP($C2107,INSUMOS!$A:$D,4,0),IFERROR(VLOOKUP($C2107,COTAÇÕES!$B:$I,7,0),(VLOOKUP($C2107,'INSUMO SINAPI - SP'!$C:$F,4,0)))))*$G2107,2)</f>
        <v>11.04</v>
      </c>
      <c r="J2107" s="513">
        <f>TRUNC(IF($C2107="",IFERROR(VLOOKUP($B2107,SERVIÇOS!$B:$G,5,0),IFERROR(VLOOKUP($B2107,$D:$K,7,0),)),0)*$G2107,2)</f>
        <v>23.41</v>
      </c>
      <c r="K2107" s="514">
        <f>I2107+J2107</f>
        <v>34.450000000000003</v>
      </c>
      <c r="L2107" s="515"/>
      <c r="M2107" s="471"/>
      <c r="N2107" s="516"/>
      <c r="Q2107" s="472"/>
      <c r="R2107" s="472"/>
      <c r="S2107" s="472"/>
      <c r="T2107" s="472"/>
      <c r="U2107" s="472"/>
      <c r="V2107" s="472"/>
      <c r="W2107" s="472"/>
      <c r="X2107" s="472"/>
      <c r="Y2107" s="472"/>
    </row>
    <row r="2108" spans="1:25" ht="36" x14ac:dyDescent="0.25">
      <c r="A2108" s="463"/>
      <c r="B2108" s="507">
        <v>91386</v>
      </c>
      <c r="C2108" s="507"/>
      <c r="D2108" s="508"/>
      <c r="E2108" s="509" t="str">
        <f>IF($C2108="",IFERROR(VLOOKUP($B2108,SERVIÇOS!$B:$G,2,0),IFERROR(VLOOKUP($B2108,$D:$K,2,0),"")),IFERROR(VLOOKUP($C2108,INSUMOS!$A:$D,2,0),IFERROR(VLOOKUP($C2108,COTAÇÕES!$B:$I,2,0),(VLOOKUP($C2108,'INSUMO SINAPI - SP'!$C:$F,2,0)))))</f>
        <v>CAMINHÃO BASCULANTE 10 M3, TRUCADO CABINE SIMPLES, PESO BRUTO TOTAL 23.000 KG, CARGA ÚTIL MÁXIMA 15.935 KG, DISTÂNCIA ENTRE EIXOS 4,80 M, POTÊNCIA 230 CV INCLUSIVE CAÇAMBA METÁLICA - CHP DIURNO. AF_06/2014</v>
      </c>
      <c r="F2108" s="510" t="str">
        <f>IF($C2108="",IFERROR(VLOOKUP($B2108,SERVIÇOS!$B:$G,3,0),IFERROR(VLOOKUP($B2108,$D:$K,3,0),"")),IFERROR(VLOOKUP($C2108,INSUMOS!$A:$D,3,0),IFERROR(VLOOKUP($C2108,COTAÇÕES!$B:$I,3,0),(VLOOKUP($C2108,'INSUMO SINAPI - SP'!$C:$F,3,0)))))</f>
        <v>CHP</v>
      </c>
      <c r="G2108" s="511">
        <v>2.981E-2</v>
      </c>
      <c r="H2108" s="512">
        <f>IF($C2108="",IFERROR(VLOOKUP($B2108,SERVIÇOS!$B:$G,6,0),IFERROR(VLOOKUP($B2108,$D:$K,8,0),"")),IFERROR(VLOOKUP($C2108,INSUMOS!$A:$D,4,0),IFERROR(VLOOKUP($C2108,COTAÇÕES!$B:$I,7,0),(VLOOKUP($C2108,'INSUMO SINAPI - SP'!$C:$F,4,0)))))</f>
        <v>285.3</v>
      </c>
      <c r="I2108" s="513">
        <f>TRUNC(IF($C2108="",IFERROR(VLOOKUP($B2108,SERVIÇOS!$B:$G,4,0),IFERROR(VLOOKUP($B2108,$D:$K,6,0),)),IFERROR(VLOOKUP($C2108,INSUMOS!$A:$D,4,0),IFERROR(VLOOKUP($C2108,COTAÇÕES!$B:$I,7,0),(VLOOKUP($C2108,'INSUMO SINAPI - SP'!$C:$F,4,0)))))*$G2108,2)</f>
        <v>7.63</v>
      </c>
      <c r="J2108" s="513">
        <f>TRUNC(IF($C2108="",IFERROR(VLOOKUP($B2108,SERVIÇOS!$B:$G,5,0),IFERROR(VLOOKUP($B2108,$D:$K,7,0),)),0)*$G2108,2)</f>
        <v>0.86</v>
      </c>
      <c r="K2108" s="514">
        <f>I2108+J2108</f>
        <v>8.49</v>
      </c>
      <c r="L2108" s="515"/>
      <c r="M2108" s="471"/>
      <c r="N2108" s="516"/>
      <c r="Q2108" s="472"/>
      <c r="R2108" s="472"/>
      <c r="S2108" s="472"/>
      <c r="T2108" s="472"/>
      <c r="U2108" s="472"/>
      <c r="V2108" s="472"/>
      <c r="W2108" s="472"/>
      <c r="X2108" s="472"/>
      <c r="Y2108" s="472"/>
    </row>
    <row r="2109" spans="1:25" x14ac:dyDescent="0.25">
      <c r="A2109" s="463"/>
      <c r="B2109" s="498"/>
      <c r="C2109" s="498"/>
      <c r="D2109" s="499" t="s">
        <v>11975</v>
      </c>
      <c r="E2109" s="500" t="s">
        <v>13580</v>
      </c>
      <c r="F2109" s="501" t="s">
        <v>585</v>
      </c>
      <c r="G2109" s="502"/>
      <c r="H2109" s="503"/>
      <c r="I2109" s="504">
        <f>SUM(I2110:I2113)</f>
        <v>82.759999999999991</v>
      </c>
      <c r="J2109" s="504">
        <f>SUM(J2110:J2113)</f>
        <v>4.71</v>
      </c>
      <c r="K2109" s="504">
        <f>+J2109+I2109</f>
        <v>87.469999999999985</v>
      </c>
      <c r="L2109" s="523"/>
      <c r="M2109" s="471"/>
      <c r="N2109" s="505"/>
      <c r="Q2109" s="472"/>
      <c r="R2109" s="472"/>
      <c r="S2109" s="472"/>
      <c r="T2109" s="472"/>
      <c r="U2109" s="472"/>
      <c r="V2109" s="472"/>
      <c r="W2109" s="472"/>
      <c r="X2109" s="472"/>
      <c r="Y2109" s="472"/>
    </row>
    <row r="2110" spans="1:25" x14ac:dyDescent="0.25">
      <c r="A2110" s="463"/>
      <c r="B2110" s="507">
        <v>88309</v>
      </c>
      <c r="C2110" s="507"/>
      <c r="D2110" s="508"/>
      <c r="E2110" s="509" t="str">
        <f>IF($C2110="",IFERROR(VLOOKUP($B2110,SERVIÇOS!$B:$G,2,0),IFERROR(VLOOKUP($B2110,$D:$K,2,0),"")),IFERROR(VLOOKUP($C2110,INSUMOS!$A:$D,2,0),IFERROR(VLOOKUP($C2110,COTAÇÕES!$B:$I,2,0),(VLOOKUP($C2110,'INSUMO SINAPI - SP'!$C:$F,2,0)))))</f>
        <v>PEDREIRO COM ENCARGOS COMPLEMENTARES</v>
      </c>
      <c r="F2110" s="510" t="str">
        <f>IF($C2110="",IFERROR(VLOOKUP($B2110,SERVIÇOS!$B:$G,3,0),IFERROR(VLOOKUP($B2110,$D:$K,3,0),"")),IFERROR(VLOOKUP($C2110,INSUMOS!$A:$D,3,0),IFERROR(VLOOKUP($C2110,COTAÇÕES!$B:$I,3,0),(VLOOKUP($C2110,'INSUMO SINAPI - SP'!$C:$F,3,0)))))</f>
        <v>H</v>
      </c>
      <c r="G2110" s="511">
        <v>0.1</v>
      </c>
      <c r="H2110" s="512">
        <f>IF($C2110="",IFERROR(VLOOKUP($B2110,SERVIÇOS!$B:$G,6,0),IFERROR(VLOOKUP($B2110,$D:$K,8,0),"")),IFERROR(VLOOKUP($C2110,INSUMOS!$A:$D,4,0),IFERROR(VLOOKUP($C2110,COTAÇÕES!$B:$I,7,0),(VLOOKUP($C2110,'INSUMO SINAPI - SP'!$C:$F,4,0)))))</f>
        <v>36.909999999999997</v>
      </c>
      <c r="I2110" s="513">
        <f>TRUNC(IF($C2110="",IFERROR(VLOOKUP($B2110,SERVIÇOS!$B:$G,4,0),IFERROR(VLOOKUP($B2110,$D:$K,6,0),)),IFERROR(VLOOKUP($C2110,INSUMOS!$A:$D,4,0),IFERROR(VLOOKUP($C2110,COTAÇÕES!$B:$I,7,0),(VLOOKUP($C2110,'INSUMO SINAPI - SP'!$C:$F,4,0)))))*$G2110,2)</f>
        <v>0.92</v>
      </c>
      <c r="J2110" s="513">
        <f>TRUNC(IF($C2110="",IFERROR(VLOOKUP($B2110,SERVIÇOS!$B:$G,5,0),IFERROR(VLOOKUP($B2110,$D:$K,7,0),)),0)*$G2110,2)</f>
        <v>2.76</v>
      </c>
      <c r="K2110" s="514">
        <f>I2110+J2110</f>
        <v>3.6799999999999997</v>
      </c>
      <c r="L2110" s="515"/>
      <c r="M2110" s="471"/>
      <c r="N2110" s="516"/>
      <c r="Q2110" s="472"/>
      <c r="R2110" s="472"/>
      <c r="S2110" s="472"/>
      <c r="T2110" s="472"/>
      <c r="U2110" s="472"/>
      <c r="V2110" s="472"/>
      <c r="W2110" s="472"/>
      <c r="X2110" s="472"/>
      <c r="Y2110" s="472"/>
    </row>
    <row r="2111" spans="1:25" x14ac:dyDescent="0.25">
      <c r="A2111" s="463"/>
      <c r="B2111" s="507">
        <v>88316</v>
      </c>
      <c r="C2111" s="507"/>
      <c r="D2111" s="508"/>
      <c r="E2111" s="509" t="str">
        <f>IF($C2111="",IFERROR(VLOOKUP($B2111,SERVIÇOS!$B:$G,2,0),IFERROR(VLOOKUP($B2111,$D:$K,2,0),"")),IFERROR(VLOOKUP($C2111,INSUMOS!$A:$D,2,0),IFERROR(VLOOKUP($C2111,COTAÇÕES!$B:$I,2,0),(VLOOKUP($C2111,'INSUMO SINAPI - SP'!$C:$F,2,0)))))</f>
        <v>SERVENTE COM ENCARGOS COMPLEMENTARES</v>
      </c>
      <c r="F2111" s="510" t="str">
        <f>IF($C2111="",IFERROR(VLOOKUP($B2111,SERVIÇOS!$B:$G,3,0),IFERROR(VLOOKUP($B2111,$D:$K,3,0),"")),IFERROR(VLOOKUP($C2111,INSUMOS!$A:$D,3,0),IFERROR(VLOOKUP($C2111,COTAÇÕES!$B:$I,3,0),(VLOOKUP($C2111,'INSUMO SINAPI - SP'!$C:$F,3,0)))))</f>
        <v>H</v>
      </c>
      <c r="G2111" s="511">
        <v>0.1</v>
      </c>
      <c r="H2111" s="512">
        <f>IF($C2111="",IFERROR(VLOOKUP($B2111,SERVIÇOS!$B:$G,6,0),IFERROR(VLOOKUP($B2111,$D:$K,8,0),"")),IFERROR(VLOOKUP($C2111,INSUMOS!$A:$D,4,0),IFERROR(VLOOKUP($C2111,COTAÇÕES!$B:$I,7,0),(VLOOKUP($C2111,'INSUMO SINAPI - SP'!$C:$F,4,0)))))</f>
        <v>28.71</v>
      </c>
      <c r="I2111" s="513">
        <f>TRUNC(IF($C2111="",IFERROR(VLOOKUP($B2111,SERVIÇOS!$B:$G,4,0),IFERROR(VLOOKUP($B2111,$D:$K,6,0),)),IFERROR(VLOOKUP($C2111,INSUMOS!$A:$D,4,0),IFERROR(VLOOKUP($C2111,COTAÇÕES!$B:$I,7,0),(VLOOKUP($C2111,'INSUMO SINAPI - SP'!$C:$F,4,0)))))*$G2111,2)</f>
        <v>0.92</v>
      </c>
      <c r="J2111" s="513">
        <f>TRUNC(IF($C2111="",IFERROR(VLOOKUP($B2111,SERVIÇOS!$B:$G,5,0),IFERROR(VLOOKUP($B2111,$D:$K,7,0),)),0)*$G2111,2)</f>
        <v>1.95</v>
      </c>
      <c r="K2111" s="514">
        <f>I2111+J2111</f>
        <v>2.87</v>
      </c>
      <c r="L2111" s="515"/>
      <c r="M2111" s="471"/>
      <c r="N2111" s="516"/>
      <c r="Q2111" s="472"/>
      <c r="R2111" s="472"/>
      <c r="S2111" s="472"/>
      <c r="T2111" s="472"/>
      <c r="U2111" s="472"/>
      <c r="V2111" s="472"/>
      <c r="W2111" s="472"/>
      <c r="X2111" s="472"/>
      <c r="Y2111" s="472"/>
    </row>
    <row r="2112" spans="1:25" x14ac:dyDescent="0.25">
      <c r="A2112" s="463"/>
      <c r="B2112" s="507"/>
      <c r="C2112" s="507">
        <v>16430</v>
      </c>
      <c r="D2112" s="508"/>
      <c r="E2112" s="518" t="s">
        <v>13581</v>
      </c>
      <c r="F2112" s="519" t="s">
        <v>585</v>
      </c>
      <c r="G2112" s="511">
        <v>1.1000000000000001</v>
      </c>
      <c r="H2112" s="520">
        <v>71</v>
      </c>
      <c r="I2112" s="520">
        <f>TRUNC(H2112*G2112,2)</f>
        <v>78.099999999999994</v>
      </c>
      <c r="J2112" s="521"/>
      <c r="K2112" s="522">
        <f>I2112+J2112</f>
        <v>78.099999999999994</v>
      </c>
      <c r="L2112" s="517" t="s">
        <v>13220</v>
      </c>
      <c r="M2112" s="471"/>
      <c r="N2112" s="516"/>
      <c r="Q2112" s="472"/>
      <c r="R2112" s="472"/>
      <c r="S2112" s="472"/>
      <c r="T2112" s="472"/>
      <c r="U2112" s="472"/>
      <c r="V2112" s="472"/>
      <c r="W2112" s="472"/>
      <c r="X2112" s="472"/>
      <c r="Y2112" s="472"/>
    </row>
    <row r="2113" spans="1:25" ht="24" x14ac:dyDescent="0.25">
      <c r="A2113" s="463"/>
      <c r="B2113" s="507"/>
      <c r="C2113" s="507">
        <v>11029</v>
      </c>
      <c r="D2113" s="508"/>
      <c r="E2113" s="509" t="str">
        <f>IF($C2113="",IFERROR(VLOOKUP($B2113,SERVIÇOS!$B:$G,2,0),IFERROR(VLOOKUP($B2113,$D:$K,2,0),"")),IFERROR(VLOOKUP($C2113,INSUMOS!$A:$D,2,0),IFERROR(VLOOKUP($C2113,COTAÇÕES!$B:$I,2,0),(VLOOKUP($C2113,'INSUMO SINAPI - SP'!$C:$F,2,0)))))</f>
        <v>HASTE RETA PARA GANCHO DE FERRO GALVANIZADO, COM ROSCA 1/4" X 30 CM PARA FIXACAO DE TELHA METALICA, INCLUI PORCA E ARRUELAS DE VEDACAO</v>
      </c>
      <c r="F2113" s="510" t="str">
        <f>IF($C2113="",IFERROR(VLOOKUP($B2113,SERVIÇOS!$B:$G,3,0),IFERROR(VLOOKUP($B2113,$D:$K,3,0),"")),IFERROR(VLOOKUP($C2113,INSUMOS!$A:$D,3,0),IFERROR(VLOOKUP($C2113,COTAÇÕES!$B:$I,3,0),(VLOOKUP($C2113,'INSUMO SINAPI - SP'!$C:$F,3,0)))))</f>
        <v>CJ</v>
      </c>
      <c r="G2113" s="511">
        <v>2</v>
      </c>
      <c r="H2113" s="512">
        <f>IF($C2113="",IFERROR(VLOOKUP($B2113,SERVIÇOS!$B:$G,6,0),IFERROR(VLOOKUP($B2113,$D:$K,8,0),"")),IFERROR(VLOOKUP($C2113,INSUMOS!$A:$D,4,0),IFERROR(VLOOKUP($C2113,COTAÇÕES!$B:$I,7,0),(VLOOKUP($C2113,'INSUMO SINAPI - SP'!$C:$F,4,0)))))</f>
        <v>1.41</v>
      </c>
      <c r="I2113" s="513">
        <f>TRUNC(IF($C2113="",IFERROR(VLOOKUP($B2113,SERVIÇOS!$B:$G,4,0),IFERROR(VLOOKUP($B2113,$D:$K,6,0),)),IFERROR(VLOOKUP($C2113,INSUMOS!$A:$D,4,0),IFERROR(VLOOKUP($C2113,COTAÇÕES!$B:$I,7,0),(VLOOKUP($C2113,'INSUMO SINAPI - SP'!$C:$F,4,0)))))*$G2113,2)</f>
        <v>2.82</v>
      </c>
      <c r="J2113" s="513">
        <f>TRUNC(IF($C2113="",IFERROR(VLOOKUP($B2113,SERVIÇOS!$B:$G,5,0),IFERROR(VLOOKUP($B2113,$D:$K,7,0),)),0)*$G2113,2)</f>
        <v>0</v>
      </c>
      <c r="K2113" s="514">
        <f>I2113+J2113</f>
        <v>2.82</v>
      </c>
      <c r="L2113" s="517"/>
      <c r="M2113" s="471"/>
      <c r="N2113" s="516"/>
      <c r="Q2113" s="472"/>
      <c r="R2113" s="472"/>
      <c r="S2113" s="472"/>
      <c r="T2113" s="472"/>
      <c r="U2113" s="472"/>
      <c r="V2113" s="472"/>
      <c r="W2113" s="472"/>
      <c r="X2113" s="472"/>
      <c r="Y2113" s="472"/>
    </row>
    <row r="2114" spans="1:25" ht="24" x14ac:dyDescent="0.25">
      <c r="A2114" s="463"/>
      <c r="B2114" s="498"/>
      <c r="C2114" s="498"/>
      <c r="D2114" s="499" t="s">
        <v>12062</v>
      </c>
      <c r="E2114" s="500" t="s">
        <v>13582</v>
      </c>
      <c r="F2114" s="501" t="s">
        <v>580</v>
      </c>
      <c r="G2114" s="502"/>
      <c r="H2114" s="503"/>
      <c r="I2114" s="504">
        <f>SUM(I2115:I2118)</f>
        <v>213.5</v>
      </c>
      <c r="J2114" s="504">
        <f>SUM(J2115:J2118)</f>
        <v>47.14</v>
      </c>
      <c r="K2114" s="504">
        <f>+J2114+I2114</f>
        <v>260.64</v>
      </c>
      <c r="L2114" s="523"/>
      <c r="M2114" s="471"/>
      <c r="N2114" s="505"/>
      <c r="Q2114" s="472"/>
      <c r="R2114" s="472"/>
      <c r="S2114" s="472"/>
      <c r="T2114" s="472"/>
      <c r="U2114" s="472"/>
      <c r="V2114" s="472"/>
      <c r="W2114" s="472"/>
      <c r="X2114" s="472"/>
      <c r="Y2114" s="472"/>
    </row>
    <row r="2115" spans="1:25" x14ac:dyDescent="0.25">
      <c r="A2115" s="463"/>
      <c r="B2115" s="507">
        <v>88309</v>
      </c>
      <c r="C2115" s="507"/>
      <c r="D2115" s="508"/>
      <c r="E2115" s="509" t="str">
        <f>IF($C2115="",IFERROR(VLOOKUP($B2115,SERVIÇOS!$B:$G,2,0),IFERROR(VLOOKUP($B2115,$D:$K,2,0),"")),IFERROR(VLOOKUP($C2115,INSUMOS!$A:$D,2,0),IFERROR(VLOOKUP($C2115,COTAÇÕES!$B:$I,2,0),(VLOOKUP($C2115,'INSUMO SINAPI - SP'!$C:$F,2,0)))))</f>
        <v>PEDREIRO COM ENCARGOS COMPLEMENTARES</v>
      </c>
      <c r="F2115" s="510" t="str">
        <f>IF($C2115="",IFERROR(VLOOKUP($B2115,SERVIÇOS!$B:$G,3,0),IFERROR(VLOOKUP($B2115,$D:$K,3,0),"")),IFERROR(VLOOKUP($C2115,INSUMOS!$A:$D,3,0),IFERROR(VLOOKUP($C2115,COTAÇÕES!$B:$I,3,0),(VLOOKUP($C2115,'INSUMO SINAPI - SP'!$C:$F,3,0)))))</f>
        <v>H</v>
      </c>
      <c r="G2115" s="511">
        <v>1</v>
      </c>
      <c r="H2115" s="512">
        <f>IF($C2115="",IFERROR(VLOOKUP($B2115,SERVIÇOS!$B:$G,6,0),IFERROR(VLOOKUP($B2115,$D:$K,8,0),"")),IFERROR(VLOOKUP($C2115,INSUMOS!$A:$D,4,0),IFERROR(VLOOKUP($C2115,COTAÇÕES!$B:$I,7,0),(VLOOKUP($C2115,'INSUMO SINAPI - SP'!$C:$F,4,0)))))</f>
        <v>36.909999999999997</v>
      </c>
      <c r="I2115" s="513">
        <f>TRUNC(IF($C2115="",IFERROR(VLOOKUP($B2115,SERVIÇOS!$B:$G,4,0),IFERROR(VLOOKUP($B2115,$D:$K,6,0),)),IFERROR(VLOOKUP($C2115,INSUMOS!$A:$D,4,0),IFERROR(VLOOKUP($C2115,COTAÇÕES!$B:$I,7,0),(VLOOKUP($C2115,'INSUMO SINAPI - SP'!$C:$F,4,0)))))*$G2115,2)</f>
        <v>9.2799999999999994</v>
      </c>
      <c r="J2115" s="513">
        <f>TRUNC(IF($C2115="",IFERROR(VLOOKUP($B2115,SERVIÇOS!$B:$G,5,0),IFERROR(VLOOKUP($B2115,$D:$K,7,0),)),0)*$G2115,2)</f>
        <v>27.63</v>
      </c>
      <c r="K2115" s="514">
        <f>I2115+J2115</f>
        <v>36.909999999999997</v>
      </c>
      <c r="L2115" s="515"/>
      <c r="M2115" s="471"/>
      <c r="N2115" s="516"/>
      <c r="Q2115" s="472"/>
      <c r="R2115" s="472"/>
      <c r="S2115" s="472"/>
      <c r="T2115" s="472"/>
      <c r="U2115" s="472"/>
      <c r="V2115" s="472"/>
      <c r="W2115" s="472"/>
      <c r="X2115" s="472"/>
      <c r="Y2115" s="472"/>
    </row>
    <row r="2116" spans="1:25" x14ac:dyDescent="0.25">
      <c r="A2116" s="463"/>
      <c r="B2116" s="507">
        <v>88316</v>
      </c>
      <c r="C2116" s="507"/>
      <c r="D2116" s="508"/>
      <c r="E2116" s="509" t="str">
        <f>IF($C2116="",IFERROR(VLOOKUP($B2116,SERVIÇOS!$B:$G,2,0),IFERROR(VLOOKUP($B2116,$D:$K,2,0),"")),IFERROR(VLOOKUP($C2116,INSUMOS!$A:$D,2,0),IFERROR(VLOOKUP($C2116,COTAÇÕES!$B:$I,2,0),(VLOOKUP($C2116,'INSUMO SINAPI - SP'!$C:$F,2,0)))))</f>
        <v>SERVENTE COM ENCARGOS COMPLEMENTARES</v>
      </c>
      <c r="F2116" s="510" t="str">
        <f>IF($C2116="",IFERROR(VLOOKUP($B2116,SERVIÇOS!$B:$G,3,0),IFERROR(VLOOKUP($B2116,$D:$K,3,0),"")),IFERROR(VLOOKUP($C2116,INSUMOS!$A:$D,3,0),IFERROR(VLOOKUP($C2116,COTAÇÕES!$B:$I,3,0),(VLOOKUP($C2116,'INSUMO SINAPI - SP'!$C:$F,3,0)))))</f>
        <v>H</v>
      </c>
      <c r="G2116" s="511">
        <v>1</v>
      </c>
      <c r="H2116" s="512">
        <f>IF($C2116="",IFERROR(VLOOKUP($B2116,SERVIÇOS!$B:$G,6,0),IFERROR(VLOOKUP($B2116,$D:$K,8,0),"")),IFERROR(VLOOKUP($C2116,INSUMOS!$A:$D,4,0),IFERROR(VLOOKUP($C2116,COTAÇÕES!$B:$I,7,0),(VLOOKUP($C2116,'INSUMO SINAPI - SP'!$C:$F,4,0)))))</f>
        <v>28.71</v>
      </c>
      <c r="I2116" s="513">
        <f>TRUNC(IF($C2116="",IFERROR(VLOOKUP($B2116,SERVIÇOS!$B:$G,4,0),IFERROR(VLOOKUP($B2116,$D:$K,6,0),)),IFERROR(VLOOKUP($C2116,INSUMOS!$A:$D,4,0),IFERROR(VLOOKUP($C2116,COTAÇÕES!$B:$I,7,0),(VLOOKUP($C2116,'INSUMO SINAPI - SP'!$C:$F,4,0)))))*$G2116,2)</f>
        <v>9.1999999999999993</v>
      </c>
      <c r="J2116" s="513">
        <f>TRUNC(IF($C2116="",IFERROR(VLOOKUP($B2116,SERVIÇOS!$B:$G,5,0),IFERROR(VLOOKUP($B2116,$D:$K,7,0),)),0)*$G2116,2)</f>
        <v>19.510000000000002</v>
      </c>
      <c r="K2116" s="514">
        <f>I2116+J2116</f>
        <v>28.71</v>
      </c>
      <c r="L2116" s="515"/>
      <c r="M2116" s="471"/>
      <c r="N2116" s="516"/>
      <c r="Q2116" s="472"/>
      <c r="R2116" s="472"/>
      <c r="S2116" s="472"/>
      <c r="T2116" s="472"/>
      <c r="U2116" s="472"/>
      <c r="V2116" s="472"/>
      <c r="W2116" s="472"/>
      <c r="X2116" s="472"/>
      <c r="Y2116" s="472"/>
    </row>
    <row r="2117" spans="1:25" ht="24" x14ac:dyDescent="0.25">
      <c r="A2117" s="463"/>
      <c r="B2117" s="507"/>
      <c r="C2117" s="507">
        <v>4351</v>
      </c>
      <c r="D2117" s="508"/>
      <c r="E2117" s="509" t="str">
        <f>IF($C2117="",IFERROR(VLOOKUP($B2117,SERVIÇOS!$B:$G,2,0),IFERROR(VLOOKUP($B2117,$D:$K,2,0),"")),IFERROR(VLOOKUP($C2117,INSUMOS!$A:$D,2,0),IFERROR(VLOOKUP($C2117,COTAÇÕES!$B:$I,2,0),(VLOOKUP($C2117,'INSUMO SINAPI - SP'!$C:$F,2,0)))))</f>
        <v>PARAFUSO NIQUELADO 3 1/2" COM ACABAMENTO CROMADO PARA FIXAR PECA SANITARIA, INCLUI PORCA CEGA, ARRUELA E BUCHA DE NYLON TAMANHO S-8</v>
      </c>
      <c r="F2117" s="510" t="str">
        <f>IF($C2117="",IFERROR(VLOOKUP($B2117,SERVIÇOS!$B:$G,3,0),IFERROR(VLOOKUP($B2117,$D:$K,3,0),"")),IFERROR(VLOOKUP($C2117,INSUMOS!$A:$D,3,0),IFERROR(VLOOKUP($C2117,COTAÇÕES!$B:$I,3,0),(VLOOKUP($C2117,'INSUMO SINAPI - SP'!$C:$F,3,0)))))</f>
        <v>UN</v>
      </c>
      <c r="G2117" s="511">
        <v>6</v>
      </c>
      <c r="H2117" s="512">
        <f>IF($C2117="",IFERROR(VLOOKUP($B2117,SERVIÇOS!$B:$G,6,0),IFERROR(VLOOKUP($B2117,$D:$K,8,0),"")),IFERROR(VLOOKUP($C2117,INSUMOS!$A:$D,4,0),IFERROR(VLOOKUP($C2117,COTAÇÕES!$B:$I,7,0),(VLOOKUP($C2117,'INSUMO SINAPI - SP'!$C:$F,4,0)))))</f>
        <v>15.02</v>
      </c>
      <c r="I2117" s="513">
        <f>TRUNC(IF($C2117="",IFERROR(VLOOKUP($B2117,SERVIÇOS!$B:$G,4,0),IFERROR(VLOOKUP($B2117,$D:$K,6,0),)),IFERROR(VLOOKUP($C2117,INSUMOS!$A:$D,4,0),IFERROR(VLOOKUP($C2117,COTAÇÕES!$B:$I,7,0),(VLOOKUP($C2117,'INSUMO SINAPI - SP'!$C:$F,4,0)))))*$G2117,2)</f>
        <v>90.12</v>
      </c>
      <c r="J2117" s="513">
        <f>TRUNC(IF($C2117="",IFERROR(VLOOKUP($B2117,SERVIÇOS!$B:$G,5,0),IFERROR(VLOOKUP($B2117,$D:$K,7,0),)),0)*$G2117,2)</f>
        <v>0</v>
      </c>
      <c r="K2117" s="514">
        <f>I2117+J2117</f>
        <v>90.12</v>
      </c>
      <c r="L2117" s="517"/>
      <c r="M2117" s="471"/>
      <c r="N2117" s="516"/>
      <c r="Q2117" s="472"/>
      <c r="R2117" s="472"/>
      <c r="S2117" s="472"/>
      <c r="T2117" s="472"/>
      <c r="U2117" s="472"/>
      <c r="V2117" s="472"/>
      <c r="W2117" s="472"/>
      <c r="X2117" s="472"/>
      <c r="Y2117" s="472"/>
    </row>
    <row r="2118" spans="1:25" x14ac:dyDescent="0.25">
      <c r="A2118" s="463"/>
      <c r="B2118" s="507"/>
      <c r="C2118" s="507" t="s">
        <v>12746</v>
      </c>
      <c r="D2118" s="508"/>
      <c r="E2118" s="518" t="s">
        <v>13583</v>
      </c>
      <c r="F2118" s="519" t="s">
        <v>580</v>
      </c>
      <c r="G2118" s="511">
        <v>1</v>
      </c>
      <c r="H2118" s="520">
        <v>104.9</v>
      </c>
      <c r="I2118" s="520">
        <f>TRUNC(H2118*G2118,2)</f>
        <v>104.9</v>
      </c>
      <c r="J2118" s="521"/>
      <c r="K2118" s="522">
        <f>I2118+J2118</f>
        <v>104.9</v>
      </c>
      <c r="L2118" s="517" t="s">
        <v>12668</v>
      </c>
      <c r="M2118" s="471"/>
      <c r="N2118" s="516"/>
      <c r="Q2118" s="472"/>
      <c r="R2118" s="472"/>
      <c r="S2118" s="472"/>
      <c r="T2118" s="472"/>
      <c r="U2118" s="472"/>
      <c r="V2118" s="472"/>
      <c r="W2118" s="472"/>
      <c r="X2118" s="472"/>
      <c r="Y2118" s="472"/>
    </row>
    <row r="2119" spans="1:25" ht="24" x14ac:dyDescent="0.25">
      <c r="A2119" s="463"/>
      <c r="B2119" s="498"/>
      <c r="C2119" s="498"/>
      <c r="D2119" s="499" t="s">
        <v>12061</v>
      </c>
      <c r="E2119" s="500" t="s">
        <v>13584</v>
      </c>
      <c r="F2119" s="501" t="s">
        <v>580</v>
      </c>
      <c r="G2119" s="502"/>
      <c r="H2119" s="503"/>
      <c r="I2119" s="504">
        <f>SUM(I2120:I2121)</f>
        <v>139.78</v>
      </c>
      <c r="J2119" s="504">
        <f>SUM(J2120:J2121)</f>
        <v>27.63</v>
      </c>
      <c r="K2119" s="504">
        <f>+J2119+I2119</f>
        <v>167.41</v>
      </c>
      <c r="L2119" s="523"/>
      <c r="M2119" s="471"/>
      <c r="N2119" s="505"/>
      <c r="Q2119" s="472"/>
      <c r="R2119" s="472"/>
      <c r="S2119" s="472"/>
      <c r="T2119" s="472"/>
      <c r="U2119" s="472"/>
      <c r="V2119" s="472"/>
      <c r="W2119" s="472"/>
      <c r="X2119" s="472"/>
      <c r="Y2119" s="472"/>
    </row>
    <row r="2120" spans="1:25" ht="24" x14ac:dyDescent="0.25">
      <c r="A2120" s="463"/>
      <c r="B2120" s="507"/>
      <c r="C2120" s="507">
        <v>14669</v>
      </c>
      <c r="D2120" s="508"/>
      <c r="E2120" s="518" t="s">
        <v>13585</v>
      </c>
      <c r="F2120" s="519" t="s">
        <v>580</v>
      </c>
      <c r="G2120" s="511">
        <v>1</v>
      </c>
      <c r="H2120" s="520">
        <v>130.5</v>
      </c>
      <c r="I2120" s="520">
        <f>TRUNC(H2120*G2120,2)</f>
        <v>130.5</v>
      </c>
      <c r="J2120" s="521"/>
      <c r="K2120" s="522">
        <f>I2120+J2120</f>
        <v>130.5</v>
      </c>
      <c r="L2120" s="517" t="s">
        <v>12891</v>
      </c>
      <c r="M2120" s="471"/>
      <c r="N2120" s="516"/>
      <c r="Q2120" s="472"/>
      <c r="R2120" s="472"/>
      <c r="S2120" s="472"/>
      <c r="T2120" s="472"/>
      <c r="U2120" s="472"/>
      <c r="V2120" s="472"/>
      <c r="W2120" s="472"/>
      <c r="X2120" s="472"/>
      <c r="Y2120" s="472"/>
    </row>
    <row r="2121" spans="1:25" x14ac:dyDescent="0.25">
      <c r="A2121" s="463"/>
      <c r="B2121" s="507">
        <v>88309</v>
      </c>
      <c r="C2121" s="507"/>
      <c r="D2121" s="508"/>
      <c r="E2121" s="509" t="str">
        <f>IF($C2121="",IFERROR(VLOOKUP($B2121,SERVIÇOS!$B:$G,2,0),IFERROR(VLOOKUP($B2121,$D:$K,2,0),"")),IFERROR(VLOOKUP($C2121,INSUMOS!$A:$D,2,0),IFERROR(VLOOKUP($C2121,COTAÇÕES!$B:$I,2,0),(VLOOKUP($C2121,'INSUMO SINAPI - SP'!$C:$F,2,0)))))</f>
        <v>PEDREIRO COM ENCARGOS COMPLEMENTARES</v>
      </c>
      <c r="F2121" s="510" t="str">
        <f>IF($C2121="",IFERROR(VLOOKUP($B2121,SERVIÇOS!$B:$G,3,0),IFERROR(VLOOKUP($B2121,$D:$K,3,0),"")),IFERROR(VLOOKUP($C2121,INSUMOS!$A:$D,3,0),IFERROR(VLOOKUP($C2121,COTAÇÕES!$B:$I,3,0),(VLOOKUP($C2121,'INSUMO SINAPI - SP'!$C:$F,3,0)))))</f>
        <v>H</v>
      </c>
      <c r="G2121" s="511">
        <v>1</v>
      </c>
      <c r="H2121" s="512">
        <f>IF($C2121="",IFERROR(VLOOKUP($B2121,SERVIÇOS!$B:$G,6,0),IFERROR(VLOOKUP($B2121,$D:$K,8,0),"")),IFERROR(VLOOKUP($C2121,INSUMOS!$A:$D,4,0),IFERROR(VLOOKUP($C2121,COTAÇÕES!$B:$I,7,0),(VLOOKUP($C2121,'INSUMO SINAPI - SP'!$C:$F,4,0)))))</f>
        <v>36.909999999999997</v>
      </c>
      <c r="I2121" s="513">
        <f>TRUNC(IF($C2121="",IFERROR(VLOOKUP($B2121,SERVIÇOS!$B:$G,4,0),IFERROR(VLOOKUP($B2121,$D:$K,6,0),)),IFERROR(VLOOKUP($C2121,INSUMOS!$A:$D,4,0),IFERROR(VLOOKUP($C2121,COTAÇÕES!$B:$I,7,0),(VLOOKUP($C2121,'INSUMO SINAPI - SP'!$C:$F,4,0)))))*$G2121,2)</f>
        <v>9.2799999999999994</v>
      </c>
      <c r="J2121" s="513">
        <f>TRUNC(IF($C2121="",IFERROR(VLOOKUP($B2121,SERVIÇOS!$B:$G,5,0),IFERROR(VLOOKUP($B2121,$D:$K,7,0),)),0)*$G2121,2)</f>
        <v>27.63</v>
      </c>
      <c r="K2121" s="514">
        <f>I2121+J2121</f>
        <v>36.909999999999997</v>
      </c>
      <c r="L2121" s="515"/>
      <c r="M2121" s="471"/>
      <c r="N2121" s="516"/>
      <c r="Q2121" s="472"/>
      <c r="R2121" s="472"/>
      <c r="S2121" s="472"/>
      <c r="T2121" s="472"/>
      <c r="U2121" s="472"/>
      <c r="V2121" s="472"/>
      <c r="W2121" s="472"/>
      <c r="X2121" s="472"/>
      <c r="Y2121" s="472"/>
    </row>
    <row r="2122" spans="1:25" ht="36" x14ac:dyDescent="0.25">
      <c r="A2122" s="463"/>
      <c r="B2122" s="498"/>
      <c r="C2122" s="498"/>
      <c r="D2122" s="499" t="s">
        <v>12011</v>
      </c>
      <c r="E2122" s="500" t="s">
        <v>13586</v>
      </c>
      <c r="F2122" s="501" t="s">
        <v>578</v>
      </c>
      <c r="G2122" s="502"/>
      <c r="H2122" s="503"/>
      <c r="I2122" s="504">
        <f>ROUND(SUM(I2123:I2127),2)</f>
        <v>811.37</v>
      </c>
      <c r="J2122" s="504">
        <f>ROUND(SUM(J2123:J2127),2)</f>
        <v>188.93</v>
      </c>
      <c r="K2122" s="504">
        <f>+J2122+I2122</f>
        <v>1000.3</v>
      </c>
      <c r="L2122" s="523" t="s">
        <v>13587</v>
      </c>
      <c r="M2122" s="471"/>
      <c r="N2122" s="505"/>
      <c r="Q2122" s="472"/>
      <c r="R2122" s="472"/>
      <c r="S2122" s="472"/>
      <c r="T2122" s="472"/>
      <c r="U2122" s="472"/>
      <c r="V2122" s="472"/>
      <c r="W2122" s="472"/>
      <c r="X2122" s="472"/>
      <c r="Y2122" s="472"/>
    </row>
    <row r="2123" spans="1:25" x14ac:dyDescent="0.25">
      <c r="A2123" s="463"/>
      <c r="B2123" s="506"/>
      <c r="C2123" s="507">
        <v>34360</v>
      </c>
      <c r="D2123" s="508"/>
      <c r="E2123" s="509" t="str">
        <f>IF($C2123="",IFERROR(VLOOKUP($B2123,SERVIÇOS!$B:$G,2,0),IFERROR(VLOOKUP($B2123,$D:$K,2,0),"")),IFERROR(VLOOKUP($C2123,INSUMOS!$A:$D,2,0),IFERROR(VLOOKUP($C2123,COTAÇÕES!$B:$I,2,0),(VLOOKUP($C2123,'INSUMO SINAPI - SP'!$C:$F,2,0)))))</f>
        <v>PERFIL DE ALUMINIO ANODIZADO</v>
      </c>
      <c r="F2123" s="510" t="str">
        <f>IF($C2123="",IFERROR(VLOOKUP($B2123,SERVIÇOS!$B:$G,3,0),IFERROR(VLOOKUP($B2123,$D:$K,3,0),"")),IFERROR(VLOOKUP($C2123,INSUMOS!$A:$D,3,0),IFERROR(VLOOKUP($C2123,COTAÇÕES!$B:$I,3,0),(VLOOKUP($C2123,'INSUMO SINAPI - SP'!$C:$F,3,0)))))</f>
        <v>KG</v>
      </c>
      <c r="G2123" s="511">
        <v>8.7899999999999991</v>
      </c>
      <c r="H2123" s="512">
        <f>IF($C2123="",IFERROR(VLOOKUP($B2123,SERVIÇOS!$B:$G,6,0),IFERROR(VLOOKUP($B2123,$D:$K,8,0),"")),IFERROR(VLOOKUP($C2123,INSUMOS!$A:$D,4,0),IFERROR(VLOOKUP($C2123,COTAÇÕES!$B:$I,7,0),(VLOOKUP($C2123,'INSUMO SINAPI - SP'!$C:$F,4,0)))))</f>
        <v>57.62</v>
      </c>
      <c r="I2123" s="513">
        <f>TRUNC(IF($C2123="",IFERROR(VLOOKUP($B2123,SERVIÇOS!$B:$G,4,0),IFERROR(VLOOKUP($B2123,$D:$K,6,0),)),IFERROR(VLOOKUP($C2123,INSUMOS!$A:$D,4,0),IFERROR(VLOOKUP($C2123,COTAÇÕES!$B:$I,7,0),(VLOOKUP($C2123,'INSUMO SINAPI - SP'!$C:$F,4,0)))))*$G2123,2)</f>
        <v>506.47</v>
      </c>
      <c r="J2123" s="513">
        <f>TRUNC(IF($C2123="",IFERROR(VLOOKUP($B2123,SERVIÇOS!$B:$G,5,0),IFERROR(VLOOKUP($B2123,$D:$K,7,0),)),0)*$G2123,2)</f>
        <v>0</v>
      </c>
      <c r="K2123" s="514">
        <f>I2123+J2123</f>
        <v>506.47</v>
      </c>
      <c r="L2123" s="517"/>
      <c r="M2123" s="471"/>
      <c r="N2123" s="516"/>
      <c r="Q2123" s="472"/>
      <c r="R2123" s="472"/>
      <c r="S2123" s="472"/>
      <c r="T2123" s="472"/>
      <c r="U2123" s="472"/>
      <c r="V2123" s="472"/>
      <c r="W2123" s="472"/>
      <c r="X2123" s="472"/>
      <c r="Y2123" s="472"/>
    </row>
    <row r="2124" spans="1:25" x14ac:dyDescent="0.25">
      <c r="A2124" s="463"/>
      <c r="B2124" s="506">
        <v>88309</v>
      </c>
      <c r="C2124" s="507"/>
      <c r="D2124" s="508"/>
      <c r="E2124" s="509" t="str">
        <f>IF($C2124="",IFERROR(VLOOKUP($B2124,SERVIÇOS!$B:$G,2,0),IFERROR(VLOOKUP($B2124,$D:$K,2,0),"")),IFERROR(VLOOKUP($C2124,INSUMOS!$A:$D,2,0),IFERROR(VLOOKUP($C2124,COTAÇÕES!$B:$I,2,0),(VLOOKUP($C2124,'INSUMO SINAPI - SP'!$C:$F,2,0)))))</f>
        <v>PEDREIRO COM ENCARGOS COMPLEMENTARES</v>
      </c>
      <c r="F2124" s="510" t="str">
        <f>IF($C2124="",IFERROR(VLOOKUP($B2124,SERVIÇOS!$B:$G,3,0),IFERROR(VLOOKUP($B2124,$D:$K,3,0),"")),IFERROR(VLOOKUP($C2124,INSUMOS!$A:$D,3,0),IFERROR(VLOOKUP($C2124,COTAÇÕES!$B:$I,3,0),(VLOOKUP($C2124,'INSUMO SINAPI - SP'!$C:$F,3,0)))))</f>
        <v>H</v>
      </c>
      <c r="G2124" s="511">
        <v>4</v>
      </c>
      <c r="H2124" s="512">
        <f>IF($C2124="",IFERROR(VLOOKUP($B2124,SERVIÇOS!$B:$G,6,0),IFERROR(VLOOKUP($B2124,$D:$K,8,0),"")),IFERROR(VLOOKUP($C2124,INSUMOS!$A:$D,4,0),IFERROR(VLOOKUP($C2124,COTAÇÕES!$B:$I,7,0),(VLOOKUP($C2124,'INSUMO SINAPI - SP'!$C:$F,4,0)))))</f>
        <v>36.909999999999997</v>
      </c>
      <c r="I2124" s="513">
        <f>TRUNC(IF($C2124="",IFERROR(VLOOKUP($B2124,SERVIÇOS!$B:$G,4,0),IFERROR(VLOOKUP($B2124,$D:$K,6,0),)),IFERROR(VLOOKUP($C2124,INSUMOS!$A:$D,4,0),IFERROR(VLOOKUP($C2124,COTAÇÕES!$B:$I,7,0),(VLOOKUP($C2124,'INSUMO SINAPI - SP'!$C:$F,4,0)))))*$G2124,2)</f>
        <v>37.119999999999997</v>
      </c>
      <c r="J2124" s="513">
        <f>TRUNC(IF($C2124="",IFERROR(VLOOKUP($B2124,SERVIÇOS!$B:$G,5,0),IFERROR(VLOOKUP($B2124,$D:$K,7,0),)),0)*$G2124,2)</f>
        <v>110.52</v>
      </c>
      <c r="K2124" s="514">
        <f>I2124+J2124</f>
        <v>147.63999999999999</v>
      </c>
      <c r="L2124" s="515"/>
      <c r="M2124" s="471"/>
      <c r="N2124" s="516"/>
      <c r="Q2124" s="472"/>
      <c r="R2124" s="472"/>
      <c r="S2124" s="472"/>
      <c r="T2124" s="472"/>
      <c r="U2124" s="472"/>
      <c r="V2124" s="472"/>
      <c r="W2124" s="472"/>
      <c r="X2124" s="472"/>
      <c r="Y2124" s="472"/>
    </row>
    <row r="2125" spans="1:25" x14ac:dyDescent="0.25">
      <c r="A2125" s="463"/>
      <c r="B2125" s="506">
        <v>88316</v>
      </c>
      <c r="C2125" s="507"/>
      <c r="D2125" s="508"/>
      <c r="E2125" s="509" t="str">
        <f>IF($C2125="",IFERROR(VLOOKUP($B2125,SERVIÇOS!$B:$G,2,0),IFERROR(VLOOKUP($B2125,$D:$K,2,0),"")),IFERROR(VLOOKUP($C2125,INSUMOS!$A:$D,2,0),IFERROR(VLOOKUP($C2125,COTAÇÕES!$B:$I,2,0),(VLOOKUP($C2125,'INSUMO SINAPI - SP'!$C:$F,2,0)))))</f>
        <v>SERVENTE COM ENCARGOS COMPLEMENTARES</v>
      </c>
      <c r="F2125" s="510" t="str">
        <f>IF($C2125="",IFERROR(VLOOKUP($B2125,SERVIÇOS!$B:$G,3,0),IFERROR(VLOOKUP($B2125,$D:$K,3,0),"")),IFERROR(VLOOKUP($C2125,INSUMOS!$A:$D,3,0),IFERROR(VLOOKUP($C2125,COTAÇÕES!$B:$I,3,0),(VLOOKUP($C2125,'INSUMO SINAPI - SP'!$C:$F,3,0)))))</f>
        <v>H</v>
      </c>
      <c r="G2125" s="511">
        <v>4</v>
      </c>
      <c r="H2125" s="512">
        <f>IF($C2125="",IFERROR(VLOOKUP($B2125,SERVIÇOS!$B:$G,6,0),IFERROR(VLOOKUP($B2125,$D:$K,8,0),"")),IFERROR(VLOOKUP($C2125,INSUMOS!$A:$D,4,0),IFERROR(VLOOKUP($C2125,COTAÇÕES!$B:$I,7,0),(VLOOKUP($C2125,'INSUMO SINAPI - SP'!$C:$F,4,0)))))</f>
        <v>28.71</v>
      </c>
      <c r="I2125" s="513">
        <f>TRUNC(IF($C2125="",IFERROR(VLOOKUP($B2125,SERVIÇOS!$B:$G,4,0),IFERROR(VLOOKUP($B2125,$D:$K,6,0),)),IFERROR(VLOOKUP($C2125,INSUMOS!$A:$D,4,0),IFERROR(VLOOKUP($C2125,COTAÇÕES!$B:$I,7,0),(VLOOKUP($C2125,'INSUMO SINAPI - SP'!$C:$F,4,0)))))*$G2125,2)</f>
        <v>36.799999999999997</v>
      </c>
      <c r="J2125" s="513">
        <f>TRUNC(IF($C2125="",IFERROR(VLOOKUP($B2125,SERVIÇOS!$B:$G,5,0),IFERROR(VLOOKUP($B2125,$D:$K,7,0),)),0)*$G2125,2)</f>
        <v>78.040000000000006</v>
      </c>
      <c r="K2125" s="514">
        <f>I2125+J2125</f>
        <v>114.84</v>
      </c>
      <c r="L2125" s="515"/>
      <c r="M2125" s="471"/>
      <c r="N2125" s="516"/>
      <c r="Q2125" s="472"/>
      <c r="R2125" s="472"/>
      <c r="S2125" s="472"/>
      <c r="T2125" s="472"/>
      <c r="U2125" s="472"/>
      <c r="V2125" s="472"/>
      <c r="W2125" s="472"/>
      <c r="X2125" s="472"/>
      <c r="Y2125" s="472"/>
    </row>
    <row r="2126" spans="1:25" ht="36" x14ac:dyDescent="0.25">
      <c r="A2126" s="463"/>
      <c r="B2126" s="506">
        <v>87296</v>
      </c>
      <c r="C2126" s="507"/>
      <c r="D2126" s="508"/>
      <c r="E2126" s="509" t="str">
        <f>IF($C2126="",IFERROR(VLOOKUP($B2126,SERVIÇOS!$B:$G,2,0),IFERROR(VLOOKUP($B2126,$D:$K,2,0),"")),IFERROR(VLOOKUP($C2126,INSUMOS!$A:$D,2,0),IFERROR(VLOOKUP($C2126,COTAÇÕES!$B:$I,2,0),(VLOOKUP($C2126,'INSUMO SINAPI - SP'!$C:$F,2,0)))))</f>
        <v>ARGAMASSA TRAÇO 1:3:12 (EM VOLUME DE CIMENTO, CAL E AREIA MÉDIA ÚMIDA) PARA EMBOÇO/MASSA ÚNICA/ASSENTAMENTO DE ALVENARIA DE VEDAÇÃO, PREPARO MECÂNICO COM BETONEIRA 600 L. AF_08/2019</v>
      </c>
      <c r="F2126" s="510" t="str">
        <f>IF($C2126="",IFERROR(VLOOKUP($B2126,SERVIÇOS!$B:$G,3,0),IFERROR(VLOOKUP($B2126,$D:$K,3,0),"")),IFERROR(VLOOKUP($C2126,INSUMOS!$A:$D,3,0),IFERROR(VLOOKUP($C2126,COTAÇÕES!$B:$I,3,0),(VLOOKUP($C2126,'INSUMO SINAPI - SP'!$C:$F,3,0)))))</f>
        <v>M3</v>
      </c>
      <c r="G2126" s="511">
        <v>4.0000000000000001E-3</v>
      </c>
      <c r="H2126" s="512">
        <f>IF($C2126="",IFERROR(VLOOKUP($B2126,SERVIÇOS!$B:$G,6,0),IFERROR(VLOOKUP($B2126,$D:$K,8,0),"")),IFERROR(VLOOKUP($C2126,INSUMOS!$A:$D,4,0),IFERROR(VLOOKUP($C2126,COTAÇÕES!$B:$I,7,0),(VLOOKUP($C2126,'INSUMO SINAPI - SP'!$C:$F,4,0)))))</f>
        <v>518.79</v>
      </c>
      <c r="I2126" s="513">
        <f>TRUNC(IF($C2126="",IFERROR(VLOOKUP($B2126,SERVIÇOS!$B:$G,4,0),IFERROR(VLOOKUP($B2126,$D:$K,6,0),)),IFERROR(VLOOKUP($C2126,INSUMOS!$A:$D,4,0),IFERROR(VLOOKUP($C2126,COTAÇÕES!$B:$I,7,0),(VLOOKUP($C2126,'INSUMO SINAPI - SP'!$C:$F,4,0)))))*$G2126,2)</f>
        <v>1.69</v>
      </c>
      <c r="J2126" s="513">
        <f>TRUNC(IF($C2126="",IFERROR(VLOOKUP($B2126,SERVIÇOS!$B:$G,5,0),IFERROR(VLOOKUP($B2126,$D:$K,7,0),)),0)*$G2126,2)</f>
        <v>0.37</v>
      </c>
      <c r="K2126" s="514">
        <f>I2126+J2126</f>
        <v>2.06</v>
      </c>
      <c r="L2126" s="515"/>
      <c r="M2126" s="471"/>
      <c r="N2126" s="516"/>
      <c r="Q2126" s="472"/>
      <c r="R2126" s="472"/>
      <c r="S2126" s="472"/>
      <c r="T2126" s="472"/>
      <c r="U2126" s="472"/>
      <c r="V2126" s="472"/>
      <c r="W2126" s="472"/>
      <c r="X2126" s="472"/>
      <c r="Y2126" s="472"/>
    </row>
    <row r="2127" spans="1:25" x14ac:dyDescent="0.25">
      <c r="A2127" s="463"/>
      <c r="B2127" s="506"/>
      <c r="C2127" s="507">
        <v>10505</v>
      </c>
      <c r="D2127" s="508"/>
      <c r="E2127" s="509" t="str">
        <f>IF($C2127="",IFERROR(VLOOKUP($B2127,SERVIÇOS!$B:$G,2,0),IFERROR(VLOOKUP($B2127,$D:$K,2,0),"")),IFERROR(VLOOKUP($C2127,INSUMOS!$A:$D,2,0),IFERROR(VLOOKUP($C2127,COTAÇÕES!$B:$I,2,0),(VLOOKUP($C2127,'INSUMO SINAPI - SP'!$C:$F,2,0)))))</f>
        <v>VIDRO TEMPERADO INCOLOR E = 6 MM, SEM COLOCACAO</v>
      </c>
      <c r="F2127" s="510" t="str">
        <f>IF($C2127="",IFERROR(VLOOKUP($B2127,SERVIÇOS!$B:$G,3,0),IFERROR(VLOOKUP($B2127,$D:$K,3,0),"")),IFERROR(VLOOKUP($C2127,INSUMOS!$A:$D,3,0),IFERROR(VLOOKUP($C2127,COTAÇÕES!$B:$I,3,0),(VLOOKUP($C2127,'INSUMO SINAPI - SP'!$C:$F,3,0)))))</f>
        <v>M2</v>
      </c>
      <c r="G2127" s="511">
        <v>0.82199999999999995</v>
      </c>
      <c r="H2127" s="512">
        <f>IF($C2127="",IFERROR(VLOOKUP($B2127,SERVIÇOS!$B:$G,6,0),IFERROR(VLOOKUP($B2127,$D:$K,8,0),"")),IFERROR(VLOOKUP($C2127,INSUMOS!$A:$D,4,0),IFERROR(VLOOKUP($C2127,COTAÇÕES!$B:$I,7,0),(VLOOKUP($C2127,'INSUMO SINAPI - SP'!$C:$F,4,0)))))</f>
        <v>278.95</v>
      </c>
      <c r="I2127" s="513">
        <f>TRUNC(IF($C2127="",IFERROR(VLOOKUP($B2127,SERVIÇOS!$B:$G,4,0),IFERROR(VLOOKUP($B2127,$D:$K,6,0),)),IFERROR(VLOOKUP($C2127,INSUMOS!$A:$D,4,0),IFERROR(VLOOKUP($C2127,COTAÇÕES!$B:$I,7,0),(VLOOKUP($C2127,'INSUMO SINAPI - SP'!$C:$F,4,0)))))*$G2127,2)</f>
        <v>229.29</v>
      </c>
      <c r="J2127" s="513">
        <f>TRUNC(IF($C2127="",IFERROR(VLOOKUP($B2127,SERVIÇOS!$B:$G,5,0),IFERROR(VLOOKUP($B2127,$D:$K,7,0),)),0)*$G2127,2)</f>
        <v>0</v>
      </c>
      <c r="K2127" s="514">
        <f>I2127+J2127</f>
        <v>229.29</v>
      </c>
      <c r="L2127" s="517"/>
      <c r="M2127" s="471"/>
      <c r="N2127" s="516"/>
      <c r="Q2127" s="472"/>
      <c r="R2127" s="472"/>
      <c r="S2127" s="472"/>
      <c r="T2127" s="472"/>
      <c r="U2127" s="472"/>
      <c r="V2127" s="472"/>
      <c r="W2127" s="472"/>
      <c r="X2127" s="472"/>
      <c r="Y2127" s="472"/>
    </row>
    <row r="2128" spans="1:25" ht="36" x14ac:dyDescent="0.25">
      <c r="A2128" s="463"/>
      <c r="B2128" s="498"/>
      <c r="C2128" s="498"/>
      <c r="D2128" s="499" t="s">
        <v>11987</v>
      </c>
      <c r="E2128" s="500" t="s">
        <v>13588</v>
      </c>
      <c r="F2128" s="501" t="s">
        <v>578</v>
      </c>
      <c r="G2128" s="502"/>
      <c r="H2128" s="503"/>
      <c r="I2128" s="504">
        <f>ROUND(SUM(I2129:I2133),2)</f>
        <v>169.08</v>
      </c>
      <c r="J2128" s="504">
        <f>ROUND(SUM(J2129:J2133),2)</f>
        <v>26.07</v>
      </c>
      <c r="K2128" s="504">
        <f>+J2128+I2128</f>
        <v>195.15</v>
      </c>
      <c r="L2128" s="523" t="s">
        <v>13589</v>
      </c>
      <c r="M2128" s="471"/>
      <c r="N2128" s="505"/>
      <c r="Q2128" s="472"/>
      <c r="R2128" s="472"/>
      <c r="S2128" s="472"/>
      <c r="T2128" s="472"/>
      <c r="U2128" s="472"/>
      <c r="V2128" s="472"/>
      <c r="W2128" s="472"/>
      <c r="X2128" s="472"/>
      <c r="Y2128" s="472"/>
    </row>
    <row r="2129" spans="1:25" x14ac:dyDescent="0.25">
      <c r="A2129" s="463"/>
      <c r="B2129" s="506">
        <v>88256</v>
      </c>
      <c r="C2129" s="507"/>
      <c r="D2129" s="508"/>
      <c r="E2129" s="509" t="str">
        <f>IF($C2129="",IFERROR(VLOOKUP($B2129,SERVIÇOS!$B:$G,2,0),IFERROR(VLOOKUP($B2129,$D:$K,2,0),"")),IFERROR(VLOOKUP($C2129,INSUMOS!$A:$D,2,0),IFERROR(VLOOKUP($C2129,COTAÇÕES!$B:$I,2,0),(VLOOKUP($C2129,'INSUMO SINAPI - SP'!$C:$F,2,0)))))</f>
        <v>AZULEJISTA OU LADRILHISTA COM ENCARGOS COMPLEMENTARES</v>
      </c>
      <c r="F2129" s="510" t="str">
        <f>IF($C2129="",IFERROR(VLOOKUP($B2129,SERVIÇOS!$B:$G,3,0),IFERROR(VLOOKUP($B2129,$D:$K,3,0),"")),IFERROR(VLOOKUP($C2129,INSUMOS!$A:$D,3,0),IFERROR(VLOOKUP($C2129,COTAÇÕES!$B:$I,3,0),(VLOOKUP($C2129,'INSUMO SINAPI - SP'!$C:$F,3,0)))))</f>
        <v>H</v>
      </c>
      <c r="G2129" s="558">
        <v>0.80379999999999996</v>
      </c>
      <c r="H2129" s="512">
        <f>IF($C2129="",IFERROR(VLOOKUP($B2129,SERVIÇOS!$B:$G,6,0),IFERROR(VLOOKUP($B2129,$D:$K,8,0),"")),IFERROR(VLOOKUP($C2129,INSUMOS!$A:$D,4,0),IFERROR(VLOOKUP($C2129,COTAÇÕES!$B:$I,7,0),(VLOOKUP($C2129,'INSUMO SINAPI - SP'!$C:$F,4,0)))))</f>
        <v>36.729999999999997</v>
      </c>
      <c r="I2129" s="513">
        <f>TRUNC(IF($C2129="",IFERROR(VLOOKUP($B2129,SERVIÇOS!$B:$G,4,0),IFERROR(VLOOKUP($B2129,$D:$K,6,0),)),IFERROR(VLOOKUP($C2129,INSUMOS!$A:$D,4,0),IFERROR(VLOOKUP($C2129,COTAÇÕES!$B:$I,7,0),(VLOOKUP($C2129,'INSUMO SINAPI - SP'!$C:$F,4,0)))))*$G2129,2)</f>
        <v>7.46</v>
      </c>
      <c r="J2129" s="513">
        <f>TRUNC(IF($C2129="",IFERROR(VLOOKUP($B2129,SERVIÇOS!$B:$G,5,0),IFERROR(VLOOKUP($B2129,$D:$K,7,0),)),0)*$G2129,2)</f>
        <v>22.05</v>
      </c>
      <c r="K2129" s="514">
        <f>I2129+J2129</f>
        <v>29.51</v>
      </c>
      <c r="L2129" s="515"/>
      <c r="M2129" s="471"/>
      <c r="N2129" s="516"/>
      <c r="Q2129" s="472"/>
      <c r="R2129" s="472"/>
      <c r="S2129" s="472"/>
      <c r="T2129" s="472"/>
      <c r="U2129" s="472"/>
      <c r="V2129" s="472"/>
      <c r="W2129" s="472"/>
      <c r="X2129" s="472"/>
      <c r="Y2129" s="472"/>
    </row>
    <row r="2130" spans="1:25" x14ac:dyDescent="0.25">
      <c r="A2130" s="463"/>
      <c r="B2130" s="506">
        <v>88316</v>
      </c>
      <c r="C2130" s="507"/>
      <c r="D2130" s="508"/>
      <c r="E2130" s="509" t="str">
        <f>IF($C2130="",IFERROR(VLOOKUP($B2130,SERVIÇOS!$B:$G,2,0),IFERROR(VLOOKUP($B2130,$D:$K,2,0),"")),IFERROR(VLOOKUP($C2130,INSUMOS!$A:$D,2,0),IFERROR(VLOOKUP($C2130,COTAÇÕES!$B:$I,2,0),(VLOOKUP($C2130,'INSUMO SINAPI - SP'!$C:$F,2,0)))))</f>
        <v>SERVENTE COM ENCARGOS COMPLEMENTARES</v>
      </c>
      <c r="F2130" s="510" t="str">
        <f>IF($C2130="",IFERROR(VLOOKUP($B2130,SERVIÇOS!$B:$G,3,0),IFERROR(VLOOKUP($B2130,$D:$K,3,0),"")),IFERROR(VLOOKUP($C2130,INSUMOS!$A:$D,3,0),IFERROR(VLOOKUP($C2130,COTAÇÕES!$B:$I,3,0),(VLOOKUP($C2130,'INSUMO SINAPI - SP'!$C:$F,3,0)))))</f>
        <v>H</v>
      </c>
      <c r="G2130" s="558">
        <v>0.2064</v>
      </c>
      <c r="H2130" s="512">
        <f>IF($C2130="",IFERROR(VLOOKUP($B2130,SERVIÇOS!$B:$G,6,0),IFERROR(VLOOKUP($B2130,$D:$K,8,0),"")),IFERROR(VLOOKUP($C2130,INSUMOS!$A:$D,4,0),IFERROR(VLOOKUP($C2130,COTAÇÕES!$B:$I,7,0),(VLOOKUP($C2130,'INSUMO SINAPI - SP'!$C:$F,4,0)))))</f>
        <v>28.71</v>
      </c>
      <c r="I2130" s="513">
        <f>TRUNC(IF($C2130="",IFERROR(VLOOKUP($B2130,SERVIÇOS!$B:$G,4,0),IFERROR(VLOOKUP($B2130,$D:$K,6,0),)),IFERROR(VLOOKUP($C2130,INSUMOS!$A:$D,4,0),IFERROR(VLOOKUP($C2130,COTAÇÕES!$B:$I,7,0),(VLOOKUP($C2130,'INSUMO SINAPI - SP'!$C:$F,4,0)))))*$G2130,2)</f>
        <v>1.89</v>
      </c>
      <c r="J2130" s="513">
        <f>TRUNC(IF($C2130="",IFERROR(VLOOKUP($B2130,SERVIÇOS!$B:$G,5,0),IFERROR(VLOOKUP($B2130,$D:$K,7,0),)),0)*$G2130,2)</f>
        <v>4.0199999999999996</v>
      </c>
      <c r="K2130" s="514">
        <f>I2130+J2130</f>
        <v>5.9099999999999993</v>
      </c>
      <c r="L2130" s="515"/>
      <c r="M2130" s="471"/>
      <c r="N2130" s="516"/>
      <c r="Q2130" s="472"/>
      <c r="R2130" s="472"/>
      <c r="S2130" s="472"/>
      <c r="T2130" s="472"/>
      <c r="U2130" s="472"/>
      <c r="V2130" s="472"/>
      <c r="W2130" s="472"/>
      <c r="X2130" s="472"/>
      <c r="Y2130" s="472"/>
    </row>
    <row r="2131" spans="1:25" x14ac:dyDescent="0.25">
      <c r="A2131" s="463"/>
      <c r="B2131" s="506"/>
      <c r="C2131" s="507">
        <v>34353</v>
      </c>
      <c r="D2131" s="508"/>
      <c r="E2131" s="509" t="str">
        <f>IF($C2131="",IFERROR(VLOOKUP($B2131,SERVIÇOS!$B:$G,2,0),IFERROR(VLOOKUP($B2131,$D:$K,2,0),"")),IFERROR(VLOOKUP($C2131,INSUMOS!$A:$D,2,0),IFERROR(VLOOKUP($C2131,COTAÇÕES!$B:$I,2,0),(VLOOKUP($C2131,'INSUMO SINAPI - SP'!$C:$F,2,0)))))</f>
        <v>ARGAMASSA COLANTE AC II</v>
      </c>
      <c r="F2131" s="510" t="str">
        <f>IF($C2131="",IFERROR(VLOOKUP($B2131,SERVIÇOS!$B:$G,3,0),IFERROR(VLOOKUP($B2131,$D:$K,3,0),"")),IFERROR(VLOOKUP($C2131,INSUMOS!$A:$D,3,0),IFERROR(VLOOKUP($C2131,COTAÇÕES!$B:$I,3,0),(VLOOKUP($C2131,'INSUMO SINAPI - SP'!$C:$F,3,0)))))</f>
        <v>KG</v>
      </c>
      <c r="G2131" s="558">
        <v>9.1300000000000008</v>
      </c>
      <c r="H2131" s="512">
        <f>IF($C2131="",IFERROR(VLOOKUP($B2131,SERVIÇOS!$B:$G,6,0),IFERROR(VLOOKUP($B2131,$D:$K,8,0),"")),IFERROR(VLOOKUP($C2131,INSUMOS!$A:$D,4,0),IFERROR(VLOOKUP($C2131,COTAÇÕES!$B:$I,7,0),(VLOOKUP($C2131,'INSUMO SINAPI - SP'!$C:$F,4,0)))))</f>
        <v>1.39</v>
      </c>
      <c r="I2131" s="513">
        <f>TRUNC(IF($C2131="",IFERROR(VLOOKUP($B2131,SERVIÇOS!$B:$G,4,0),IFERROR(VLOOKUP($B2131,$D:$K,6,0),)),IFERROR(VLOOKUP($C2131,INSUMOS!$A:$D,4,0),IFERROR(VLOOKUP($C2131,COTAÇÕES!$B:$I,7,0),(VLOOKUP($C2131,'INSUMO SINAPI - SP'!$C:$F,4,0)))))*$G2131,2)</f>
        <v>12.69</v>
      </c>
      <c r="J2131" s="513">
        <f>TRUNC(IF($C2131="",IFERROR(VLOOKUP($B2131,SERVIÇOS!$B:$G,5,0),IFERROR(VLOOKUP($B2131,$D:$K,7,0),)),0)*$G2131,2)</f>
        <v>0</v>
      </c>
      <c r="K2131" s="514">
        <f>I2131+J2131</f>
        <v>12.69</v>
      </c>
      <c r="L2131" s="517"/>
      <c r="M2131" s="471"/>
      <c r="N2131" s="516"/>
      <c r="Q2131" s="472"/>
      <c r="R2131" s="472"/>
      <c r="S2131" s="472"/>
      <c r="T2131" s="472"/>
      <c r="U2131" s="472"/>
      <c r="V2131" s="472"/>
      <c r="W2131" s="472"/>
      <c r="X2131" s="472"/>
      <c r="Y2131" s="472"/>
    </row>
    <row r="2132" spans="1:25" x14ac:dyDescent="0.25">
      <c r="A2132" s="463"/>
      <c r="B2132" s="506"/>
      <c r="C2132" s="507">
        <v>37329</v>
      </c>
      <c r="D2132" s="508"/>
      <c r="E2132" s="509" t="str">
        <f>IF($C2132="",IFERROR(VLOOKUP($B2132,SERVIÇOS!$B:$G,2,0),IFERROR(VLOOKUP($B2132,$D:$K,2,0),"")),IFERROR(VLOOKUP($C2132,INSUMOS!$A:$D,2,0),IFERROR(VLOOKUP($C2132,COTAÇÕES!$B:$I,2,0),(VLOOKUP($C2132,'INSUMO SINAPI - SP'!$C:$F,2,0)))))</f>
        <v>REJUNTE EPOXI, QUALQUER COR</v>
      </c>
      <c r="F2132" s="510" t="str">
        <f>IF($C2132="",IFERROR(VLOOKUP($B2132,SERVIÇOS!$B:$G,3,0),IFERROR(VLOOKUP($B2132,$D:$K,3,0),"")),IFERROR(VLOOKUP($C2132,INSUMOS!$A:$D,3,0),IFERROR(VLOOKUP($C2132,COTAÇÕES!$B:$I,3,0),(VLOOKUP($C2132,'INSUMO SINAPI - SP'!$C:$F,3,0)))))</f>
        <v>KG</v>
      </c>
      <c r="G2132" s="558">
        <v>0.14099999999999999</v>
      </c>
      <c r="H2132" s="512">
        <f>IF($C2132="",IFERROR(VLOOKUP($B2132,SERVIÇOS!$B:$G,6,0),IFERROR(VLOOKUP($B2132,$D:$K,8,0),"")),IFERROR(VLOOKUP($C2132,INSUMOS!$A:$D,4,0),IFERROR(VLOOKUP($C2132,COTAÇÕES!$B:$I,7,0),(VLOOKUP($C2132,'INSUMO SINAPI - SP'!$C:$F,4,0)))))</f>
        <v>92.75</v>
      </c>
      <c r="I2132" s="513">
        <f>TRUNC(IF($C2132="",IFERROR(VLOOKUP($B2132,SERVIÇOS!$B:$G,4,0),IFERROR(VLOOKUP($B2132,$D:$K,6,0),)),IFERROR(VLOOKUP($C2132,INSUMOS!$A:$D,4,0),IFERROR(VLOOKUP($C2132,COTAÇÕES!$B:$I,7,0),(VLOOKUP($C2132,'INSUMO SINAPI - SP'!$C:$F,4,0)))))*$G2132,2)</f>
        <v>13.07</v>
      </c>
      <c r="J2132" s="513">
        <f>TRUNC(IF($C2132="",IFERROR(VLOOKUP($B2132,SERVIÇOS!$B:$G,5,0),IFERROR(VLOOKUP($B2132,$D:$K,7,0),)),0)*$G2132,2)</f>
        <v>0</v>
      </c>
      <c r="K2132" s="514">
        <f>I2132+J2132</f>
        <v>13.07</v>
      </c>
      <c r="L2132" s="517"/>
      <c r="M2132" s="471"/>
      <c r="N2132" s="516"/>
      <c r="Q2132" s="472"/>
      <c r="R2132" s="472"/>
      <c r="S2132" s="472"/>
      <c r="T2132" s="472"/>
      <c r="U2132" s="472"/>
      <c r="V2132" s="472"/>
      <c r="W2132" s="472"/>
      <c r="X2132" s="472"/>
      <c r="Y2132" s="472"/>
    </row>
    <row r="2133" spans="1:25" ht="24" x14ac:dyDescent="0.25">
      <c r="A2133" s="463"/>
      <c r="B2133" s="506"/>
      <c r="C2133" s="507" t="s">
        <v>13590</v>
      </c>
      <c r="D2133" s="508"/>
      <c r="E2133" s="509" t="s">
        <v>13591</v>
      </c>
      <c r="F2133" s="510" t="s">
        <v>578</v>
      </c>
      <c r="G2133" s="558">
        <v>1.08</v>
      </c>
      <c r="H2133" s="512">
        <v>124.05</v>
      </c>
      <c r="I2133" s="520">
        <f>TRUNC(H2133*G2133,2)</f>
        <v>133.97</v>
      </c>
      <c r="J2133" s="521"/>
      <c r="K2133" s="522">
        <f>I2133+J2133</f>
        <v>133.97</v>
      </c>
      <c r="L2133" s="517" t="s">
        <v>12901</v>
      </c>
      <c r="M2133" s="471"/>
      <c r="N2133" s="516"/>
      <c r="Q2133" s="472"/>
      <c r="R2133" s="472"/>
      <c r="S2133" s="472"/>
      <c r="T2133" s="472"/>
      <c r="U2133" s="472"/>
      <c r="V2133" s="472"/>
      <c r="W2133" s="472"/>
      <c r="X2133" s="472"/>
      <c r="Y2133" s="472"/>
    </row>
    <row r="2134" spans="1:25" ht="36" x14ac:dyDescent="0.25">
      <c r="A2134" s="463"/>
      <c r="B2134" s="498"/>
      <c r="C2134" s="498"/>
      <c r="D2134" s="499" t="s">
        <v>11990</v>
      </c>
      <c r="E2134" s="500" t="s">
        <v>13592</v>
      </c>
      <c r="F2134" s="501" t="s">
        <v>585</v>
      </c>
      <c r="G2134" s="502"/>
      <c r="H2134" s="503"/>
      <c r="I2134" s="504">
        <f>ROUND(SUM(I2135:I2139),2)</f>
        <v>16.95</v>
      </c>
      <c r="J2134" s="504">
        <f>ROUND(SUM(J2135:J2139),2)</f>
        <v>2.6</v>
      </c>
      <c r="K2134" s="504">
        <f>+J2134+I2134</f>
        <v>19.55</v>
      </c>
      <c r="L2134" s="523" t="s">
        <v>13589</v>
      </c>
      <c r="M2134" s="471"/>
      <c r="N2134" s="505"/>
      <c r="Q2134" s="472"/>
      <c r="R2134" s="472"/>
      <c r="S2134" s="472"/>
      <c r="T2134" s="472"/>
      <c r="U2134" s="472"/>
      <c r="V2134" s="472"/>
      <c r="W2134" s="472"/>
      <c r="X2134" s="472"/>
      <c r="Y2134" s="472"/>
    </row>
    <row r="2135" spans="1:25" x14ac:dyDescent="0.25">
      <c r="A2135" s="463"/>
      <c r="B2135" s="559"/>
      <c r="C2135" s="560">
        <v>34353</v>
      </c>
      <c r="D2135" s="508"/>
      <c r="E2135" s="509" t="str">
        <f>IF($C2135="",IFERROR(VLOOKUP($B2135,SERVIÇOS!$B:$G,2,0),IFERROR(VLOOKUP($B2135,$D:$K,2,0),"")),IFERROR(VLOOKUP($C2135,INSUMOS!$A:$D,2,0),IFERROR(VLOOKUP($C2135,COTAÇÕES!$B:$I,2,0),(VLOOKUP($C2135,'INSUMO SINAPI - SP'!$C:$F,2,0)))))</f>
        <v>ARGAMASSA COLANTE AC II</v>
      </c>
      <c r="F2135" s="510" t="str">
        <f>IF($C2135="",IFERROR(VLOOKUP($B2135,SERVIÇOS!$B:$G,3,0),IFERROR(VLOOKUP($B2135,$D:$K,3,0),"")),IFERROR(VLOOKUP($C2135,INSUMOS!$A:$D,3,0),IFERROR(VLOOKUP($C2135,COTAÇÕES!$B:$I,3,0),(VLOOKUP($C2135,'INSUMO SINAPI - SP'!$C:$F,3,0)))))</f>
        <v>KG</v>
      </c>
      <c r="G2135" s="558">
        <v>0.91300000000000003</v>
      </c>
      <c r="H2135" s="512">
        <f>IF($C2135="",IFERROR(VLOOKUP($B2135,SERVIÇOS!$B:$G,6,0),IFERROR(VLOOKUP($B2135,$D:$K,8,0),"")),IFERROR(VLOOKUP($C2135,INSUMOS!$A:$D,4,0),IFERROR(VLOOKUP($C2135,COTAÇÕES!$B:$I,7,0),(VLOOKUP($C2135,'INSUMO SINAPI - SP'!$C:$F,4,0)))))</f>
        <v>1.39</v>
      </c>
      <c r="I2135" s="513">
        <f>TRUNC(IF($C2135="",IFERROR(VLOOKUP($B2135,SERVIÇOS!$B:$G,4,0),IFERROR(VLOOKUP($B2135,$D:$K,6,0),)),IFERROR(VLOOKUP($C2135,INSUMOS!$A:$D,4,0),IFERROR(VLOOKUP($C2135,COTAÇÕES!$B:$I,7,0),(VLOOKUP($C2135,'INSUMO SINAPI - SP'!$C:$F,4,0)))))*$G2135,2)</f>
        <v>1.26</v>
      </c>
      <c r="J2135" s="513">
        <f>TRUNC(IF($C2135="",IFERROR(VLOOKUP($B2135,SERVIÇOS!$B:$G,5,0),IFERROR(VLOOKUP($B2135,$D:$K,7,0),)),0)*$G2135,2)</f>
        <v>0</v>
      </c>
      <c r="K2135" s="514">
        <f>I2135+J2135</f>
        <v>1.26</v>
      </c>
      <c r="L2135" s="517"/>
      <c r="M2135" s="471"/>
      <c r="N2135" s="516"/>
      <c r="Q2135" s="472"/>
      <c r="R2135" s="472"/>
      <c r="S2135" s="472"/>
      <c r="T2135" s="472"/>
      <c r="U2135" s="472"/>
      <c r="V2135" s="472"/>
      <c r="W2135" s="472"/>
      <c r="X2135" s="472"/>
      <c r="Y2135" s="472"/>
    </row>
    <row r="2136" spans="1:25" x14ac:dyDescent="0.25">
      <c r="A2136" s="463"/>
      <c r="B2136" s="559"/>
      <c r="C2136" s="560">
        <v>37329</v>
      </c>
      <c r="D2136" s="508"/>
      <c r="E2136" s="509" t="str">
        <f>IF($C2136="",IFERROR(VLOOKUP($B2136,SERVIÇOS!$B:$G,2,0),IFERROR(VLOOKUP($B2136,$D:$K,2,0),"")),IFERROR(VLOOKUP($C2136,INSUMOS!$A:$D,2,0),IFERROR(VLOOKUP($C2136,COTAÇÕES!$B:$I,2,0),(VLOOKUP($C2136,'INSUMO SINAPI - SP'!$C:$F,2,0)))))</f>
        <v>REJUNTE EPOXI, QUALQUER COR</v>
      </c>
      <c r="F2136" s="510" t="str">
        <f>IF($C2136="",IFERROR(VLOOKUP($B2136,SERVIÇOS!$B:$G,3,0),IFERROR(VLOOKUP($B2136,$D:$K,3,0),"")),IFERROR(VLOOKUP($C2136,INSUMOS!$A:$D,3,0),IFERROR(VLOOKUP($C2136,COTAÇÕES!$B:$I,3,0),(VLOOKUP($C2136,'INSUMO SINAPI - SP'!$C:$F,3,0)))))</f>
        <v>KG</v>
      </c>
      <c r="G2136" s="558">
        <v>1.41E-2</v>
      </c>
      <c r="H2136" s="512">
        <f>IF($C2136="",IFERROR(VLOOKUP($B2136,SERVIÇOS!$B:$G,6,0),IFERROR(VLOOKUP($B2136,$D:$K,8,0),"")),IFERROR(VLOOKUP($C2136,INSUMOS!$A:$D,4,0),IFERROR(VLOOKUP($C2136,COTAÇÕES!$B:$I,7,0),(VLOOKUP($C2136,'INSUMO SINAPI - SP'!$C:$F,4,0)))))</f>
        <v>92.75</v>
      </c>
      <c r="I2136" s="513">
        <f>TRUNC(IF($C2136="",IFERROR(VLOOKUP($B2136,SERVIÇOS!$B:$G,4,0),IFERROR(VLOOKUP($B2136,$D:$K,6,0),)),IFERROR(VLOOKUP($C2136,INSUMOS!$A:$D,4,0),IFERROR(VLOOKUP($C2136,COTAÇÕES!$B:$I,7,0),(VLOOKUP($C2136,'INSUMO SINAPI - SP'!$C:$F,4,0)))))*$G2136,2)</f>
        <v>1.3</v>
      </c>
      <c r="J2136" s="513">
        <f>TRUNC(IF($C2136="",IFERROR(VLOOKUP($B2136,SERVIÇOS!$B:$G,5,0),IFERROR(VLOOKUP($B2136,$D:$K,7,0),)),0)*$G2136,2)</f>
        <v>0</v>
      </c>
      <c r="K2136" s="514">
        <f>I2136+J2136</f>
        <v>1.3</v>
      </c>
      <c r="L2136" s="517"/>
      <c r="M2136" s="471"/>
      <c r="N2136" s="516"/>
      <c r="Q2136" s="472"/>
      <c r="R2136" s="472"/>
      <c r="S2136" s="472"/>
      <c r="T2136" s="472"/>
      <c r="U2136" s="472"/>
      <c r="V2136" s="472"/>
      <c r="W2136" s="472"/>
      <c r="X2136" s="472"/>
      <c r="Y2136" s="472"/>
    </row>
    <row r="2137" spans="1:25" x14ac:dyDescent="0.25">
      <c r="A2137" s="463"/>
      <c r="B2137" s="559">
        <v>88256</v>
      </c>
      <c r="C2137" s="560"/>
      <c r="D2137" s="508"/>
      <c r="E2137" s="509" t="str">
        <f>IF($C2137="",IFERROR(VLOOKUP($B2137,SERVIÇOS!$B:$G,2,0),IFERROR(VLOOKUP($B2137,$D:$K,2,0),"")),IFERROR(VLOOKUP($C2137,INSUMOS!$A:$D,2,0),IFERROR(VLOOKUP($C2137,COTAÇÕES!$B:$I,2,0),(VLOOKUP($C2137,'INSUMO SINAPI - SP'!$C:$F,2,0)))))</f>
        <v>AZULEJISTA OU LADRILHISTA COM ENCARGOS COMPLEMENTARES</v>
      </c>
      <c r="F2137" s="510" t="str">
        <f>IF($C2137="",IFERROR(VLOOKUP($B2137,SERVIÇOS!$B:$G,3,0),IFERROR(VLOOKUP($B2137,$D:$K,3,0),"")),IFERROR(VLOOKUP($C2137,INSUMOS!$A:$D,3,0),IFERROR(VLOOKUP($C2137,COTAÇÕES!$B:$I,3,0),(VLOOKUP($C2137,'INSUMO SINAPI - SP'!$C:$F,3,0)))))</f>
        <v>H</v>
      </c>
      <c r="G2137" s="558">
        <v>8.0379999999999993E-2</v>
      </c>
      <c r="H2137" s="512">
        <f>IF($C2137="",IFERROR(VLOOKUP($B2137,SERVIÇOS!$B:$G,6,0),IFERROR(VLOOKUP($B2137,$D:$K,8,0),"")),IFERROR(VLOOKUP($C2137,INSUMOS!$A:$D,4,0),IFERROR(VLOOKUP($C2137,COTAÇÕES!$B:$I,7,0),(VLOOKUP($C2137,'INSUMO SINAPI - SP'!$C:$F,4,0)))))</f>
        <v>36.729999999999997</v>
      </c>
      <c r="I2137" s="513">
        <f>TRUNC(IF($C2137="",IFERROR(VLOOKUP($B2137,SERVIÇOS!$B:$G,4,0),IFERROR(VLOOKUP($B2137,$D:$K,6,0),)),IFERROR(VLOOKUP($C2137,INSUMOS!$A:$D,4,0),IFERROR(VLOOKUP($C2137,COTAÇÕES!$B:$I,7,0),(VLOOKUP($C2137,'INSUMO SINAPI - SP'!$C:$F,4,0)))))*$G2137,2)</f>
        <v>0.74</v>
      </c>
      <c r="J2137" s="513">
        <f>TRUNC(IF($C2137="",IFERROR(VLOOKUP($B2137,SERVIÇOS!$B:$G,5,0),IFERROR(VLOOKUP($B2137,$D:$K,7,0),)),0)*$G2137,2)</f>
        <v>2.2000000000000002</v>
      </c>
      <c r="K2137" s="514">
        <f>I2137+J2137</f>
        <v>2.9400000000000004</v>
      </c>
      <c r="L2137" s="515"/>
      <c r="M2137" s="471"/>
      <c r="N2137" s="516"/>
      <c r="Q2137" s="472"/>
      <c r="R2137" s="472"/>
      <c r="S2137" s="472"/>
      <c r="T2137" s="472"/>
      <c r="U2137" s="472"/>
      <c r="V2137" s="472"/>
      <c r="W2137" s="472"/>
      <c r="X2137" s="472"/>
      <c r="Y2137" s="472"/>
    </row>
    <row r="2138" spans="1:25" x14ac:dyDescent="0.25">
      <c r="A2138" s="463"/>
      <c r="B2138" s="559">
        <v>88316</v>
      </c>
      <c r="C2138" s="560"/>
      <c r="D2138" s="508"/>
      <c r="E2138" s="509" t="str">
        <f>IF($C2138="",IFERROR(VLOOKUP($B2138,SERVIÇOS!$B:$G,2,0),IFERROR(VLOOKUP($B2138,$D:$K,2,0),"")),IFERROR(VLOOKUP($C2138,INSUMOS!$A:$D,2,0),IFERROR(VLOOKUP($C2138,COTAÇÕES!$B:$I,2,0),(VLOOKUP($C2138,'INSUMO SINAPI - SP'!$C:$F,2,0)))))</f>
        <v>SERVENTE COM ENCARGOS COMPLEMENTARES</v>
      </c>
      <c r="F2138" s="510" t="str">
        <f>IF($C2138="",IFERROR(VLOOKUP($B2138,SERVIÇOS!$B:$G,3,0),IFERROR(VLOOKUP($B2138,$D:$K,3,0),"")),IFERROR(VLOOKUP($C2138,INSUMOS!$A:$D,3,0),IFERROR(VLOOKUP($C2138,COTAÇÕES!$B:$I,3,0),(VLOOKUP($C2138,'INSUMO SINAPI - SP'!$C:$F,3,0)))))</f>
        <v>H</v>
      </c>
      <c r="G2138" s="558">
        <v>2.0639999999999999E-2</v>
      </c>
      <c r="H2138" s="512">
        <f>IF($C2138="",IFERROR(VLOOKUP($B2138,SERVIÇOS!$B:$G,6,0),IFERROR(VLOOKUP($B2138,$D:$K,8,0),"")),IFERROR(VLOOKUP($C2138,INSUMOS!$A:$D,4,0),IFERROR(VLOOKUP($C2138,COTAÇÕES!$B:$I,7,0),(VLOOKUP($C2138,'INSUMO SINAPI - SP'!$C:$F,4,0)))))</f>
        <v>28.71</v>
      </c>
      <c r="I2138" s="513">
        <f>TRUNC(IF($C2138="",IFERROR(VLOOKUP($B2138,SERVIÇOS!$B:$G,4,0),IFERROR(VLOOKUP($B2138,$D:$K,6,0),)),IFERROR(VLOOKUP($C2138,INSUMOS!$A:$D,4,0),IFERROR(VLOOKUP($C2138,COTAÇÕES!$B:$I,7,0),(VLOOKUP($C2138,'INSUMO SINAPI - SP'!$C:$F,4,0)))))*$G2138,2)</f>
        <v>0.18</v>
      </c>
      <c r="J2138" s="513">
        <f>TRUNC(IF($C2138="",IFERROR(VLOOKUP($B2138,SERVIÇOS!$B:$G,5,0),IFERROR(VLOOKUP($B2138,$D:$K,7,0),)),0)*$G2138,2)</f>
        <v>0.4</v>
      </c>
      <c r="K2138" s="514">
        <f>I2138+J2138</f>
        <v>0.58000000000000007</v>
      </c>
      <c r="L2138" s="515"/>
      <c r="M2138" s="471"/>
      <c r="N2138" s="516"/>
      <c r="Q2138" s="472"/>
      <c r="R2138" s="472"/>
      <c r="S2138" s="472"/>
      <c r="T2138" s="472"/>
      <c r="U2138" s="472"/>
      <c r="V2138" s="472"/>
      <c r="W2138" s="472"/>
      <c r="X2138" s="472"/>
      <c r="Y2138" s="472"/>
    </row>
    <row r="2139" spans="1:25" ht="24" x14ac:dyDescent="0.25">
      <c r="A2139" s="463"/>
      <c r="B2139" s="559"/>
      <c r="C2139" s="560" t="s">
        <v>13590</v>
      </c>
      <c r="D2139" s="508"/>
      <c r="E2139" s="509" t="s">
        <v>13591</v>
      </c>
      <c r="F2139" s="510" t="s">
        <v>578</v>
      </c>
      <c r="G2139" s="558">
        <v>0.10864</v>
      </c>
      <c r="H2139" s="512">
        <v>124.05</v>
      </c>
      <c r="I2139" s="520">
        <f>TRUNC(H2139*G2139,2)</f>
        <v>13.47</v>
      </c>
      <c r="J2139" s="521"/>
      <c r="K2139" s="522">
        <f>I2139+J2139</f>
        <v>13.47</v>
      </c>
      <c r="L2139" s="517" t="s">
        <v>12901</v>
      </c>
      <c r="M2139" s="471"/>
      <c r="N2139" s="516"/>
      <c r="Q2139" s="472"/>
      <c r="R2139" s="472"/>
      <c r="S2139" s="472"/>
      <c r="T2139" s="472"/>
      <c r="U2139" s="472"/>
      <c r="V2139" s="472"/>
      <c r="W2139" s="472"/>
      <c r="X2139" s="472"/>
      <c r="Y2139" s="472"/>
    </row>
    <row r="2140" spans="1:25" ht="24" x14ac:dyDescent="0.25">
      <c r="A2140" s="463"/>
      <c r="B2140" s="498"/>
      <c r="C2140" s="498"/>
      <c r="D2140" s="499" t="s">
        <v>12001</v>
      </c>
      <c r="E2140" s="500" t="s">
        <v>13593</v>
      </c>
      <c r="F2140" s="501" t="s">
        <v>578</v>
      </c>
      <c r="G2140" s="502"/>
      <c r="H2140" s="503"/>
      <c r="I2140" s="504">
        <f>ROUND(SUM(I2141:I2145),2)</f>
        <v>100.29</v>
      </c>
      <c r="J2140" s="504">
        <f>ROUND(SUM(J2141:J2145),2)</f>
        <v>42.24</v>
      </c>
      <c r="K2140" s="504">
        <f>+J2140+I2140</f>
        <v>142.53</v>
      </c>
      <c r="L2140" s="523" t="s">
        <v>13594</v>
      </c>
      <c r="M2140" s="471"/>
      <c r="N2140" s="505"/>
      <c r="Q2140" s="472"/>
      <c r="R2140" s="472"/>
      <c r="S2140" s="472"/>
      <c r="T2140" s="472"/>
      <c r="U2140" s="472"/>
      <c r="V2140" s="472"/>
      <c r="W2140" s="472"/>
      <c r="X2140" s="472"/>
      <c r="Y2140" s="472"/>
    </row>
    <row r="2141" spans="1:25" x14ac:dyDescent="0.25">
      <c r="A2141" s="463"/>
      <c r="B2141" s="559">
        <v>88256</v>
      </c>
      <c r="C2141" s="560"/>
      <c r="D2141" s="508"/>
      <c r="E2141" s="509" t="str">
        <f>IF($C2141="",IFERROR(VLOOKUP($B2141,SERVIÇOS!$B:$G,2,0),IFERROR(VLOOKUP($B2141,$D:$K,2,0),"")),IFERROR(VLOOKUP($C2141,INSUMOS!$A:$D,2,0),IFERROR(VLOOKUP($C2141,COTAÇÕES!$B:$I,2,0),(VLOOKUP($C2141,'INSUMO SINAPI - SP'!$C:$F,2,0)))))</f>
        <v>AZULEJISTA OU LADRILHISTA COM ENCARGOS COMPLEMENTARES</v>
      </c>
      <c r="F2141" s="510" t="str">
        <f>IF($C2141="",IFERROR(VLOOKUP($B2141,SERVIÇOS!$B:$G,3,0),IFERROR(VLOOKUP($B2141,$D:$K,3,0),"")),IFERROR(VLOOKUP($C2141,INSUMOS!$A:$D,3,0),IFERROR(VLOOKUP($C2141,COTAÇÕES!$B:$I,3,0),(VLOOKUP($C2141,'INSUMO SINAPI - SP'!$C:$F,3,0)))))</f>
        <v>H</v>
      </c>
      <c r="G2141" s="558">
        <v>0.9</v>
      </c>
      <c r="H2141" s="512">
        <f>IF($C2141="",IFERROR(VLOOKUP($B2141,SERVIÇOS!$B:$G,6,0),IFERROR(VLOOKUP($B2141,$D:$K,8,0),"")),IFERROR(VLOOKUP($C2141,INSUMOS!$A:$D,4,0),IFERROR(VLOOKUP($C2141,COTAÇÕES!$B:$I,7,0),(VLOOKUP($C2141,'INSUMO SINAPI - SP'!$C:$F,4,0)))))</f>
        <v>36.729999999999997</v>
      </c>
      <c r="I2141" s="513">
        <f>TRUNC(IF($C2141="",IFERROR(VLOOKUP($B2141,SERVIÇOS!$B:$G,4,0),IFERROR(VLOOKUP($B2141,$D:$K,6,0),)),IFERROR(VLOOKUP($C2141,INSUMOS!$A:$D,4,0),IFERROR(VLOOKUP($C2141,COTAÇÕES!$B:$I,7,0),(VLOOKUP($C2141,'INSUMO SINAPI - SP'!$C:$F,4,0)))))*$G2141,2)</f>
        <v>8.36</v>
      </c>
      <c r="J2141" s="513">
        <f>TRUNC(IF($C2141="",IFERROR(VLOOKUP($B2141,SERVIÇOS!$B:$G,5,0),IFERROR(VLOOKUP($B2141,$D:$K,7,0),)),0)*$G2141,2)</f>
        <v>24.69</v>
      </c>
      <c r="K2141" s="514">
        <f>I2141+J2141</f>
        <v>33.049999999999997</v>
      </c>
      <c r="L2141" s="515"/>
      <c r="M2141" s="471"/>
      <c r="N2141" s="516"/>
      <c r="Q2141" s="472"/>
      <c r="R2141" s="472"/>
      <c r="S2141" s="472"/>
      <c r="T2141" s="472"/>
      <c r="U2141" s="472"/>
      <c r="V2141" s="472"/>
      <c r="W2141" s="472"/>
      <c r="X2141" s="472"/>
      <c r="Y2141" s="472"/>
    </row>
    <row r="2142" spans="1:25" x14ac:dyDescent="0.25">
      <c r="A2142" s="463"/>
      <c r="B2142" s="559">
        <v>88316</v>
      </c>
      <c r="C2142" s="560"/>
      <c r="D2142" s="508"/>
      <c r="E2142" s="509" t="str">
        <f>IF($C2142="",IFERROR(VLOOKUP($B2142,SERVIÇOS!$B:$G,2,0),IFERROR(VLOOKUP($B2142,$D:$K,2,0),"")),IFERROR(VLOOKUP($C2142,INSUMOS!$A:$D,2,0),IFERROR(VLOOKUP($C2142,COTAÇÕES!$B:$I,2,0),(VLOOKUP($C2142,'INSUMO SINAPI - SP'!$C:$F,2,0)))))</f>
        <v>SERVENTE COM ENCARGOS COMPLEMENTARES</v>
      </c>
      <c r="F2142" s="510" t="str">
        <f>IF($C2142="",IFERROR(VLOOKUP($B2142,SERVIÇOS!$B:$G,3,0),IFERROR(VLOOKUP($B2142,$D:$K,3,0),"")),IFERROR(VLOOKUP($C2142,INSUMOS!$A:$D,3,0),IFERROR(VLOOKUP($C2142,COTAÇÕES!$B:$I,3,0),(VLOOKUP($C2142,'INSUMO SINAPI - SP'!$C:$F,3,0)))))</f>
        <v>H</v>
      </c>
      <c r="G2142" s="558">
        <v>0.9</v>
      </c>
      <c r="H2142" s="512">
        <f>IF($C2142="",IFERROR(VLOOKUP($B2142,SERVIÇOS!$B:$G,6,0),IFERROR(VLOOKUP($B2142,$D:$K,8,0),"")),IFERROR(VLOOKUP($C2142,INSUMOS!$A:$D,4,0),IFERROR(VLOOKUP($C2142,COTAÇÕES!$B:$I,7,0),(VLOOKUP($C2142,'INSUMO SINAPI - SP'!$C:$F,4,0)))))</f>
        <v>28.71</v>
      </c>
      <c r="I2142" s="513">
        <f>TRUNC(IF($C2142="",IFERROR(VLOOKUP($B2142,SERVIÇOS!$B:$G,4,0),IFERROR(VLOOKUP($B2142,$D:$K,6,0),)),IFERROR(VLOOKUP($C2142,INSUMOS!$A:$D,4,0),IFERROR(VLOOKUP($C2142,COTAÇÕES!$B:$I,7,0),(VLOOKUP($C2142,'INSUMO SINAPI - SP'!$C:$F,4,0)))))*$G2142,2)</f>
        <v>8.2799999999999994</v>
      </c>
      <c r="J2142" s="513">
        <f>TRUNC(IF($C2142="",IFERROR(VLOOKUP($B2142,SERVIÇOS!$B:$G,5,0),IFERROR(VLOOKUP($B2142,$D:$K,7,0),)),0)*$G2142,2)</f>
        <v>17.55</v>
      </c>
      <c r="K2142" s="514">
        <f>I2142+J2142</f>
        <v>25.83</v>
      </c>
      <c r="L2142" s="515"/>
      <c r="M2142" s="471"/>
      <c r="N2142" s="516"/>
      <c r="Q2142" s="472"/>
      <c r="R2142" s="472"/>
      <c r="S2142" s="472"/>
      <c r="T2142" s="472"/>
      <c r="U2142" s="472"/>
      <c r="V2142" s="472"/>
      <c r="W2142" s="472"/>
      <c r="X2142" s="472"/>
      <c r="Y2142" s="472"/>
    </row>
    <row r="2143" spans="1:25" ht="24" x14ac:dyDescent="0.25">
      <c r="A2143" s="463"/>
      <c r="B2143" s="559"/>
      <c r="C2143" s="560">
        <v>7796</v>
      </c>
      <c r="D2143" s="508"/>
      <c r="E2143" s="518" t="s">
        <v>13595</v>
      </c>
      <c r="F2143" s="519" t="s">
        <v>578</v>
      </c>
      <c r="G2143" s="558">
        <v>1.1000000000000001</v>
      </c>
      <c r="H2143" s="520">
        <v>60.05</v>
      </c>
      <c r="I2143" s="520">
        <f>TRUNC(H2143*G2143,2)</f>
        <v>66.05</v>
      </c>
      <c r="J2143" s="521"/>
      <c r="K2143" s="522">
        <f>I2143+J2143</f>
        <v>66.05</v>
      </c>
      <c r="L2143" s="517" t="s">
        <v>13152</v>
      </c>
      <c r="M2143" s="471"/>
      <c r="N2143" s="516"/>
      <c r="Q2143" s="472"/>
      <c r="R2143" s="472"/>
      <c r="S2143" s="472"/>
      <c r="T2143" s="472"/>
      <c r="U2143" s="472"/>
      <c r="V2143" s="472"/>
      <c r="W2143" s="472"/>
      <c r="X2143" s="472"/>
      <c r="Y2143" s="472"/>
    </row>
    <row r="2144" spans="1:25" x14ac:dyDescent="0.25">
      <c r="A2144" s="463"/>
      <c r="B2144" s="559"/>
      <c r="C2144" s="560">
        <v>37596</v>
      </c>
      <c r="D2144" s="508"/>
      <c r="E2144" s="509" t="str">
        <f>IF($C2144="",IFERROR(VLOOKUP($B2144,SERVIÇOS!$B:$G,2,0),IFERROR(VLOOKUP($B2144,$D:$K,2,0),"")),IFERROR(VLOOKUP($C2144,INSUMOS!$A:$D,2,0),IFERROR(VLOOKUP($C2144,COTAÇÕES!$B:$I,2,0),(VLOOKUP($C2144,'INSUMO SINAPI - SP'!$C:$F,2,0)))))</f>
        <v>ARGAMASSA COLANTE TIPO AC III E</v>
      </c>
      <c r="F2144" s="510" t="str">
        <f>IF($C2144="",IFERROR(VLOOKUP($B2144,SERVIÇOS!$B:$G,3,0),IFERROR(VLOOKUP($B2144,$D:$K,3,0),"")),IFERROR(VLOOKUP($C2144,INSUMOS!$A:$D,3,0),IFERROR(VLOOKUP($C2144,COTAÇÕES!$B:$I,3,0),(VLOOKUP($C2144,'INSUMO SINAPI - SP'!$C:$F,3,0)))))</f>
        <v>KG</v>
      </c>
      <c r="G2144" s="558">
        <f>0.2*20</f>
        <v>4</v>
      </c>
      <c r="H2144" s="512">
        <f>IF($C2144="",IFERROR(VLOOKUP($B2144,SERVIÇOS!$B:$G,6,0),IFERROR(VLOOKUP($B2144,$D:$K,8,0),"")),IFERROR(VLOOKUP($C2144,INSUMOS!$A:$D,4,0),IFERROR(VLOOKUP($C2144,COTAÇÕES!$B:$I,7,0),(VLOOKUP($C2144,'INSUMO SINAPI - SP'!$C:$F,4,0)))))</f>
        <v>2.64</v>
      </c>
      <c r="I2144" s="513">
        <f>TRUNC(IF($C2144="",IFERROR(VLOOKUP($B2144,SERVIÇOS!$B:$G,4,0),IFERROR(VLOOKUP($B2144,$D:$K,6,0),)),IFERROR(VLOOKUP($C2144,INSUMOS!$A:$D,4,0),IFERROR(VLOOKUP($C2144,COTAÇÕES!$B:$I,7,0),(VLOOKUP($C2144,'INSUMO SINAPI - SP'!$C:$F,4,0)))))*$G2144,2)</f>
        <v>10.56</v>
      </c>
      <c r="J2144" s="513">
        <f>TRUNC(IF($C2144="",IFERROR(VLOOKUP($B2144,SERVIÇOS!$B:$G,5,0),IFERROR(VLOOKUP($B2144,$D:$K,7,0),)),0)*$G2144,2)</f>
        <v>0</v>
      </c>
      <c r="K2144" s="514">
        <f>I2144+J2144</f>
        <v>10.56</v>
      </c>
      <c r="L2144" s="517"/>
      <c r="M2144" s="471"/>
      <c r="N2144" s="516"/>
      <c r="Q2144" s="472"/>
      <c r="R2144" s="472"/>
      <c r="S2144" s="472"/>
      <c r="T2144" s="472"/>
      <c r="U2144" s="472"/>
      <c r="V2144" s="472"/>
      <c r="W2144" s="472"/>
      <c r="X2144" s="472"/>
      <c r="Y2144" s="472"/>
    </row>
    <row r="2145" spans="1:25" x14ac:dyDescent="0.25">
      <c r="A2145" s="463"/>
      <c r="B2145" s="559"/>
      <c r="C2145" s="560">
        <v>34357</v>
      </c>
      <c r="D2145" s="508"/>
      <c r="E2145" s="509" t="str">
        <f>IF($C2145="",IFERROR(VLOOKUP($B2145,SERVIÇOS!$B:$G,2,0),IFERROR(VLOOKUP($B2145,$D:$K,2,0),"")),IFERROR(VLOOKUP($C2145,INSUMOS!$A:$D,2,0),IFERROR(VLOOKUP($C2145,COTAÇÕES!$B:$I,2,0),(VLOOKUP($C2145,'INSUMO SINAPI - SP'!$C:$F,2,0)))))</f>
        <v>REJUNTE CIMENTICIO, QUALQUER COR</v>
      </c>
      <c r="F2145" s="510" t="str">
        <f>IF($C2145="",IFERROR(VLOOKUP($B2145,SERVIÇOS!$B:$G,3,0),IFERROR(VLOOKUP($B2145,$D:$K,3,0),"")),IFERROR(VLOOKUP($C2145,INSUMOS!$A:$D,3,0),IFERROR(VLOOKUP($C2145,COTAÇÕES!$B:$I,3,0),(VLOOKUP($C2145,'INSUMO SINAPI - SP'!$C:$F,3,0)))))</f>
        <v>KG</v>
      </c>
      <c r="G2145" s="558">
        <f>0.32*5</f>
        <v>1.6</v>
      </c>
      <c r="H2145" s="512">
        <f>IF($C2145="",IFERROR(VLOOKUP($B2145,SERVIÇOS!$B:$G,6,0),IFERROR(VLOOKUP($B2145,$D:$K,8,0),"")),IFERROR(VLOOKUP($C2145,INSUMOS!$A:$D,4,0),IFERROR(VLOOKUP($C2145,COTAÇÕES!$B:$I,7,0),(VLOOKUP($C2145,'INSUMO SINAPI - SP'!$C:$F,4,0)))))</f>
        <v>4.4000000000000004</v>
      </c>
      <c r="I2145" s="513">
        <f>TRUNC(IF($C2145="",IFERROR(VLOOKUP($B2145,SERVIÇOS!$B:$G,4,0),IFERROR(VLOOKUP($B2145,$D:$K,6,0),)),IFERROR(VLOOKUP($C2145,INSUMOS!$A:$D,4,0),IFERROR(VLOOKUP($C2145,COTAÇÕES!$B:$I,7,0),(VLOOKUP($C2145,'INSUMO SINAPI - SP'!$C:$F,4,0)))))*$G2145,2)</f>
        <v>7.04</v>
      </c>
      <c r="J2145" s="513">
        <f>TRUNC(IF($C2145="",IFERROR(VLOOKUP($B2145,SERVIÇOS!$B:$G,5,0),IFERROR(VLOOKUP($B2145,$D:$K,7,0),)),0)*$G2145,2)</f>
        <v>0</v>
      </c>
      <c r="K2145" s="514">
        <f>I2145+J2145</f>
        <v>7.04</v>
      </c>
      <c r="L2145" s="517"/>
      <c r="M2145" s="471"/>
      <c r="N2145" s="516"/>
      <c r="Q2145" s="472"/>
      <c r="R2145" s="472"/>
      <c r="S2145" s="472"/>
      <c r="T2145" s="472"/>
      <c r="U2145" s="472"/>
      <c r="V2145" s="472"/>
      <c r="W2145" s="472"/>
      <c r="X2145" s="472"/>
      <c r="Y2145" s="472"/>
    </row>
    <row r="2146" spans="1:25" x14ac:dyDescent="0.25">
      <c r="A2146" s="463"/>
      <c r="B2146" s="498"/>
      <c r="C2146" s="498"/>
      <c r="D2146" s="499" t="s">
        <v>11965</v>
      </c>
      <c r="E2146" s="500" t="s">
        <v>13596</v>
      </c>
      <c r="F2146" s="501" t="s">
        <v>585</v>
      </c>
      <c r="G2146" s="502"/>
      <c r="H2146" s="503"/>
      <c r="I2146" s="504">
        <f>ROUND(SUM(I2147:I2150),2)</f>
        <v>25.69</v>
      </c>
      <c r="J2146" s="504">
        <f>ROUND(SUM(J2147:J2150),2)</f>
        <v>2.4900000000000002</v>
      </c>
      <c r="K2146" s="504">
        <f>+J2146+I2146</f>
        <v>28.18</v>
      </c>
      <c r="L2146" s="523" t="s">
        <v>13597</v>
      </c>
      <c r="M2146" s="471"/>
      <c r="N2146" s="505"/>
      <c r="Q2146" s="472"/>
      <c r="R2146" s="472"/>
      <c r="S2146" s="472"/>
      <c r="T2146" s="472"/>
      <c r="U2146" s="472"/>
      <c r="V2146" s="472"/>
      <c r="W2146" s="472"/>
      <c r="X2146" s="472"/>
      <c r="Y2146" s="472"/>
    </row>
    <row r="2147" spans="1:25" ht="24" x14ac:dyDescent="0.25">
      <c r="A2147" s="463"/>
      <c r="B2147" s="559"/>
      <c r="C2147" s="560">
        <v>39443</v>
      </c>
      <c r="D2147" s="508"/>
      <c r="E2147" s="509" t="str">
        <f>IF($C2147="",IFERROR(VLOOKUP($B2147,SERVIÇOS!$B:$G,2,0),IFERROR(VLOOKUP($B2147,$D:$K,2,0),"")),IFERROR(VLOOKUP($C2147,INSUMOS!$A:$D,2,0),IFERROR(VLOOKUP($C2147,COTAÇÕES!$B:$I,2,0),(VLOOKUP($C2147,'INSUMO SINAPI - SP'!$C:$F,2,0)))))</f>
        <v>PARAFUSO DRY WALL, EM ACO ZINCADO, CABECA LENTILHA E PONTA BROCA (LB), LARGURA 4,2 MM, COMPRIMENTO 13 MM</v>
      </c>
      <c r="F2147" s="510" t="str">
        <f>IF($C2147="",IFERROR(VLOOKUP($B2147,SERVIÇOS!$B:$G,3,0),IFERROR(VLOOKUP($B2147,$D:$K,3,0),"")),IFERROR(VLOOKUP($C2147,INSUMOS!$A:$D,3,0),IFERROR(VLOOKUP($C2147,COTAÇÕES!$B:$I,3,0),(VLOOKUP($C2147,'INSUMO SINAPI - SP'!$C:$F,3,0)))))</f>
        <v>UN</v>
      </c>
      <c r="G2147" s="558">
        <v>7.6364000000000001</v>
      </c>
      <c r="H2147" s="512">
        <f>IF($C2147="",IFERROR(VLOOKUP($B2147,SERVIÇOS!$B:$G,6,0),IFERROR(VLOOKUP($B2147,$D:$K,8,0),"")),IFERROR(VLOOKUP($C2147,INSUMOS!$A:$D,4,0),IFERROR(VLOOKUP($C2147,COTAÇÕES!$B:$I,7,0),(VLOOKUP($C2147,'INSUMO SINAPI - SP'!$C:$F,4,0)))))</f>
        <v>0.21</v>
      </c>
      <c r="I2147" s="513">
        <f>TRUNC(IF($C2147="",IFERROR(VLOOKUP($B2147,SERVIÇOS!$B:$G,4,0),IFERROR(VLOOKUP($B2147,$D:$K,6,0),)),IFERROR(VLOOKUP($C2147,INSUMOS!$A:$D,4,0),IFERROR(VLOOKUP($C2147,COTAÇÕES!$B:$I,7,0),(VLOOKUP($C2147,'INSUMO SINAPI - SP'!$C:$F,4,0)))))*$G2147,2)</f>
        <v>1.6</v>
      </c>
      <c r="J2147" s="513">
        <f>TRUNC(IF($C2147="",IFERROR(VLOOKUP($B2147,SERVIÇOS!$B:$G,5,0),IFERROR(VLOOKUP($B2147,$D:$K,7,0),)),0)*$G2147,2)</f>
        <v>0</v>
      </c>
      <c r="K2147" s="514">
        <f>I2147+J2147</f>
        <v>1.6</v>
      </c>
      <c r="L2147" s="517"/>
      <c r="M2147" s="471"/>
      <c r="N2147" s="516"/>
      <c r="Q2147" s="472"/>
      <c r="R2147" s="472"/>
      <c r="S2147" s="472"/>
      <c r="T2147" s="472"/>
      <c r="U2147" s="472"/>
      <c r="V2147" s="472"/>
      <c r="W2147" s="472"/>
      <c r="X2147" s="472"/>
      <c r="Y2147" s="472"/>
    </row>
    <row r="2148" spans="1:25" ht="24" x14ac:dyDescent="0.25">
      <c r="A2148" s="463"/>
      <c r="B2148" s="559"/>
      <c r="C2148" s="560">
        <v>3993</v>
      </c>
      <c r="D2148" s="508"/>
      <c r="E2148" s="509" t="str">
        <f>IF($C2148="",IFERROR(VLOOKUP($B2148,SERVIÇOS!$B:$G,2,0),IFERROR(VLOOKUP($B2148,$D:$K,2,0),"")),IFERROR(VLOOKUP($C2148,INSUMOS!$A:$D,2,0),IFERROR(VLOOKUP($C2148,COTAÇÕES!$B:$I,2,0),(VLOOKUP($C2148,'INSUMO SINAPI - SP'!$C:$F,2,0)))))</f>
        <v>TABUA APARELHADA *2,5 X 15* CM, EM MACARANDUBA/MASSARANDUBA, ANGELIM OU EQUIVALENTE DA REGIAO</v>
      </c>
      <c r="F2148" s="510" t="str">
        <f>IF($C2148="",IFERROR(VLOOKUP($B2148,SERVIÇOS!$B:$G,3,0),IFERROR(VLOOKUP($B2148,$D:$K,3,0),"")),IFERROR(VLOOKUP($C2148,INSUMOS!$A:$D,3,0),IFERROR(VLOOKUP($C2148,COTAÇÕES!$B:$I,3,0),(VLOOKUP($C2148,'INSUMO SINAPI - SP'!$C:$F,3,0)))))</f>
        <v>M2</v>
      </c>
      <c r="G2148" s="558">
        <f>1.1*0.15</f>
        <v>0.16500000000000001</v>
      </c>
      <c r="H2148" s="512">
        <f>IF($C2148="",IFERROR(VLOOKUP($B2148,SERVIÇOS!$B:$G,6,0),IFERROR(VLOOKUP($B2148,$D:$K,8,0),"")),IFERROR(VLOOKUP($C2148,INSUMOS!$A:$D,4,0),IFERROR(VLOOKUP($C2148,COTAÇÕES!$B:$I,7,0),(VLOOKUP($C2148,'INSUMO SINAPI - SP'!$C:$F,4,0)))))</f>
        <v>140.57</v>
      </c>
      <c r="I2148" s="513">
        <f>TRUNC(IF($C2148="",IFERROR(VLOOKUP($B2148,SERVIÇOS!$B:$G,4,0),IFERROR(VLOOKUP($B2148,$D:$K,6,0),)),IFERROR(VLOOKUP($C2148,INSUMOS!$A:$D,4,0),IFERROR(VLOOKUP($C2148,COTAÇÕES!$B:$I,7,0),(VLOOKUP($C2148,'INSUMO SINAPI - SP'!$C:$F,4,0)))))*$G2148,2)</f>
        <v>23.19</v>
      </c>
      <c r="J2148" s="513">
        <f>TRUNC(IF($C2148="",IFERROR(VLOOKUP($B2148,SERVIÇOS!$B:$G,5,0),IFERROR(VLOOKUP($B2148,$D:$K,7,0),)),0)*$G2148,2)</f>
        <v>0</v>
      </c>
      <c r="K2148" s="514">
        <f>I2148+J2148</f>
        <v>23.19</v>
      </c>
      <c r="L2148" s="517"/>
      <c r="M2148" s="471"/>
      <c r="N2148" s="516"/>
      <c r="Q2148" s="472"/>
      <c r="R2148" s="472"/>
      <c r="S2148" s="472"/>
      <c r="T2148" s="472"/>
      <c r="U2148" s="472"/>
      <c r="V2148" s="472"/>
      <c r="W2148" s="472"/>
      <c r="X2148" s="472"/>
      <c r="Y2148" s="472"/>
    </row>
    <row r="2149" spans="1:25" x14ac:dyDescent="0.25">
      <c r="A2149" s="463"/>
      <c r="B2149" s="559">
        <v>88278</v>
      </c>
      <c r="C2149" s="560"/>
      <c r="D2149" s="508"/>
      <c r="E2149" s="509" t="str">
        <f>IF($C2149="",IFERROR(VLOOKUP($B2149,SERVIÇOS!$B:$G,2,0),IFERROR(VLOOKUP($B2149,$D:$K,2,0),"")),IFERROR(VLOOKUP($C2149,INSUMOS!$A:$D,2,0),IFERROR(VLOOKUP($C2149,COTAÇÕES!$B:$I,2,0),(VLOOKUP($C2149,'INSUMO SINAPI - SP'!$C:$F,2,0)))))</f>
        <v>MONTADOR DE ESTRUTURA METÁLICA COM ENCARGOS COMPLEMENTARES</v>
      </c>
      <c r="F2149" s="510" t="str">
        <f>IF($C2149="",IFERROR(VLOOKUP($B2149,SERVIÇOS!$B:$G,3,0),IFERROR(VLOOKUP($B2149,$D:$K,3,0),"")),IFERROR(VLOOKUP($C2149,INSUMOS!$A:$D,3,0),IFERROR(VLOOKUP($C2149,COTAÇÕES!$B:$I,3,0),(VLOOKUP($C2149,'INSUMO SINAPI - SP'!$C:$F,3,0)))))</f>
        <v>H</v>
      </c>
      <c r="G2149" s="558">
        <v>8.2000000000000003E-2</v>
      </c>
      <c r="H2149" s="512">
        <f>IF($C2149="",IFERROR(VLOOKUP($B2149,SERVIÇOS!$B:$G,6,0),IFERROR(VLOOKUP($B2149,$D:$K,8,0),"")),IFERROR(VLOOKUP($C2149,INSUMOS!$A:$D,4,0),IFERROR(VLOOKUP($C2149,COTAÇÕES!$B:$I,7,0),(VLOOKUP($C2149,'INSUMO SINAPI - SP'!$C:$F,4,0)))))</f>
        <v>32.22</v>
      </c>
      <c r="I2149" s="513">
        <f>TRUNC(IF($C2149="",IFERROR(VLOOKUP($B2149,SERVIÇOS!$B:$G,4,0),IFERROR(VLOOKUP($B2149,$D:$K,6,0),)),IFERROR(VLOOKUP($C2149,INSUMOS!$A:$D,4,0),IFERROR(VLOOKUP($C2149,COTAÇÕES!$B:$I,7,0),(VLOOKUP($C2149,'INSUMO SINAPI - SP'!$C:$F,4,0)))))*$G2149,2)</f>
        <v>0.66</v>
      </c>
      <c r="J2149" s="513">
        <f>TRUNC(IF($C2149="",IFERROR(VLOOKUP($B2149,SERVIÇOS!$B:$G,5,0),IFERROR(VLOOKUP($B2149,$D:$K,7,0),)),0)*$G2149,2)</f>
        <v>1.97</v>
      </c>
      <c r="K2149" s="514">
        <f>I2149+J2149</f>
        <v>2.63</v>
      </c>
      <c r="L2149" s="515"/>
      <c r="M2149" s="471"/>
      <c r="N2149" s="516"/>
      <c r="Q2149" s="472"/>
      <c r="R2149" s="472"/>
      <c r="S2149" s="472"/>
      <c r="T2149" s="472"/>
      <c r="U2149" s="472"/>
      <c r="V2149" s="472"/>
      <c r="W2149" s="472"/>
      <c r="X2149" s="472"/>
      <c r="Y2149" s="472"/>
    </row>
    <row r="2150" spans="1:25" x14ac:dyDescent="0.25">
      <c r="A2150" s="463"/>
      <c r="B2150" s="559">
        <v>88316</v>
      </c>
      <c r="C2150" s="560"/>
      <c r="D2150" s="508"/>
      <c r="E2150" s="509" t="str">
        <f>IF($C2150="",IFERROR(VLOOKUP($B2150,SERVIÇOS!$B:$G,2,0),IFERROR(VLOOKUP($B2150,$D:$K,2,0),"")),IFERROR(VLOOKUP($C2150,INSUMOS!$A:$D,2,0),IFERROR(VLOOKUP($C2150,COTAÇÕES!$B:$I,2,0),(VLOOKUP($C2150,'INSUMO SINAPI - SP'!$C:$F,2,0)))))</f>
        <v>SERVENTE COM ENCARGOS COMPLEMENTARES</v>
      </c>
      <c r="F2150" s="510" t="str">
        <f>IF($C2150="",IFERROR(VLOOKUP($B2150,SERVIÇOS!$B:$G,3,0),IFERROR(VLOOKUP($B2150,$D:$K,3,0),"")),IFERROR(VLOOKUP($C2150,INSUMOS!$A:$D,3,0),IFERROR(VLOOKUP($C2150,COTAÇÕES!$B:$I,3,0),(VLOOKUP($C2150,'INSUMO SINAPI - SP'!$C:$F,3,0)))))</f>
        <v>H</v>
      </c>
      <c r="G2150" s="558">
        <v>2.7E-2</v>
      </c>
      <c r="H2150" s="512">
        <f>IF($C2150="",IFERROR(VLOOKUP($B2150,SERVIÇOS!$B:$G,6,0),IFERROR(VLOOKUP($B2150,$D:$K,8,0),"")),IFERROR(VLOOKUP($C2150,INSUMOS!$A:$D,4,0),IFERROR(VLOOKUP($C2150,COTAÇÕES!$B:$I,7,0),(VLOOKUP($C2150,'INSUMO SINAPI - SP'!$C:$F,4,0)))))</f>
        <v>28.71</v>
      </c>
      <c r="I2150" s="513">
        <f>TRUNC(IF($C2150="",IFERROR(VLOOKUP($B2150,SERVIÇOS!$B:$G,4,0),IFERROR(VLOOKUP($B2150,$D:$K,6,0),)),IFERROR(VLOOKUP($C2150,INSUMOS!$A:$D,4,0),IFERROR(VLOOKUP($C2150,COTAÇÕES!$B:$I,7,0),(VLOOKUP($C2150,'INSUMO SINAPI - SP'!$C:$F,4,0)))))*$G2150,2)</f>
        <v>0.24</v>
      </c>
      <c r="J2150" s="513">
        <f>TRUNC(IF($C2150="",IFERROR(VLOOKUP($B2150,SERVIÇOS!$B:$G,5,0),IFERROR(VLOOKUP($B2150,$D:$K,7,0),)),0)*$G2150,2)</f>
        <v>0.52</v>
      </c>
      <c r="K2150" s="514">
        <f>I2150+J2150</f>
        <v>0.76</v>
      </c>
      <c r="L2150" s="515"/>
      <c r="M2150" s="471"/>
      <c r="N2150" s="516"/>
      <c r="Q2150" s="472"/>
      <c r="R2150" s="472"/>
      <c r="S2150" s="472"/>
      <c r="T2150" s="472"/>
      <c r="U2150" s="472"/>
      <c r="V2150" s="472"/>
      <c r="W2150" s="472"/>
      <c r="X2150" s="472"/>
      <c r="Y2150" s="472"/>
    </row>
    <row r="2151" spans="1:25" ht="24" x14ac:dyDescent="0.25">
      <c r="A2151" s="463"/>
      <c r="B2151" s="498"/>
      <c r="C2151" s="498"/>
      <c r="D2151" s="499" t="s">
        <v>11950</v>
      </c>
      <c r="E2151" s="500" t="s">
        <v>13598</v>
      </c>
      <c r="F2151" s="501" t="s">
        <v>585</v>
      </c>
      <c r="G2151" s="502"/>
      <c r="H2151" s="503"/>
      <c r="I2151" s="504">
        <f>ROUND(SUM(I2152:I2159),2)</f>
        <v>47.61</v>
      </c>
      <c r="J2151" s="504">
        <f>ROUND(SUM(J2152:J2159),2)</f>
        <v>25.12</v>
      </c>
      <c r="K2151" s="504">
        <f>+J2151+I2151</f>
        <v>72.73</v>
      </c>
      <c r="L2151" s="523" t="s">
        <v>13174</v>
      </c>
      <c r="M2151" s="471"/>
      <c r="N2151" s="505"/>
      <c r="Q2151" s="472"/>
      <c r="R2151" s="472"/>
      <c r="S2151" s="472"/>
      <c r="T2151" s="472"/>
      <c r="U2151" s="472"/>
      <c r="V2151" s="472"/>
      <c r="W2151" s="472"/>
      <c r="X2151" s="472"/>
      <c r="Y2151" s="472"/>
    </row>
    <row r="2152" spans="1:25" x14ac:dyDescent="0.25">
      <c r="A2152" s="463"/>
      <c r="B2152" s="559"/>
      <c r="C2152" s="560">
        <v>2692</v>
      </c>
      <c r="D2152" s="508"/>
      <c r="E2152" s="509" t="str">
        <f>IF($C2152="",IFERROR(VLOOKUP($B2152,SERVIÇOS!$B:$G,2,0),IFERROR(VLOOKUP($B2152,$D:$K,2,0),"")),IFERROR(VLOOKUP($C2152,INSUMOS!$A:$D,2,0),IFERROR(VLOOKUP($C2152,COTAÇÕES!$B:$I,2,0),(VLOOKUP($C2152,'INSUMO SINAPI - SP'!$C:$F,2,0)))))</f>
        <v>DESMOLDANTE PROTETOR PARA FORMAS DE MADEIRA, DE BASE OLEOSA EMULSIONADA EM AGUA</v>
      </c>
      <c r="F2152" s="510" t="str">
        <f>IF($C2152="",IFERROR(VLOOKUP($B2152,SERVIÇOS!$B:$G,3,0),IFERROR(VLOOKUP($B2152,$D:$K,3,0),"")),IFERROR(VLOOKUP($C2152,INSUMOS!$A:$D,3,0),IFERROR(VLOOKUP($C2152,COTAÇÕES!$B:$I,3,0),(VLOOKUP($C2152,'INSUMO SINAPI - SP'!$C:$F,3,0)))))</f>
        <v>L</v>
      </c>
      <c r="G2152" s="558">
        <v>8.9999999999999993E-3</v>
      </c>
      <c r="H2152" s="512">
        <f>IF($C2152="",IFERROR(VLOOKUP($B2152,SERVIÇOS!$B:$G,6,0),IFERROR(VLOOKUP($B2152,$D:$K,8,0),"")),IFERROR(VLOOKUP($C2152,INSUMOS!$A:$D,4,0),IFERROR(VLOOKUP($C2152,COTAÇÕES!$B:$I,7,0),(VLOOKUP($C2152,'INSUMO SINAPI - SP'!$C:$F,4,0)))))</f>
        <v>6.74</v>
      </c>
      <c r="I2152" s="513">
        <f>TRUNC(IF($C2152="",IFERROR(VLOOKUP($B2152,SERVIÇOS!$B:$G,4,0),IFERROR(VLOOKUP($B2152,$D:$K,6,0),)),IFERROR(VLOOKUP($C2152,INSUMOS!$A:$D,4,0),IFERROR(VLOOKUP($C2152,COTAÇÕES!$B:$I,7,0),(VLOOKUP($C2152,'INSUMO SINAPI - SP'!$C:$F,4,0)))))*$G2152,2)</f>
        <v>0.06</v>
      </c>
      <c r="J2152" s="513">
        <f>TRUNC(IF($C2152="",IFERROR(VLOOKUP($B2152,SERVIÇOS!$B:$G,5,0),IFERROR(VLOOKUP($B2152,$D:$K,7,0),)),0)*$G2152,2)</f>
        <v>0</v>
      </c>
      <c r="K2152" s="514">
        <f t="shared" ref="K2152:K2159" si="78">I2152+J2152</f>
        <v>0.06</v>
      </c>
      <c r="L2152" s="517"/>
      <c r="M2152" s="471"/>
      <c r="N2152" s="516"/>
      <c r="Q2152" s="472"/>
      <c r="R2152" s="472"/>
      <c r="S2152" s="472"/>
      <c r="T2152" s="472"/>
      <c r="U2152" s="472"/>
      <c r="V2152" s="472"/>
      <c r="W2152" s="472"/>
      <c r="X2152" s="472"/>
      <c r="Y2152" s="472"/>
    </row>
    <row r="2153" spans="1:25" ht="24" x14ac:dyDescent="0.25">
      <c r="A2153" s="463"/>
      <c r="B2153" s="559"/>
      <c r="C2153" s="560" t="s">
        <v>13155</v>
      </c>
      <c r="D2153" s="508"/>
      <c r="E2153" s="509" t="str">
        <f>IF($C2153="",IFERROR(VLOOKUP($B2153,SERVIÇOS!$B:$G,2,0),IFERROR(VLOOKUP($B2153,$D:$K,2,0),"")),IFERROR(VLOOKUP($C2153,INSUMOS!$A:$D,2,0),IFERROR(VLOOKUP($C2153,COTAÇÕES!$B:$I,2,0),(VLOOKUP($C2153,'INSUMO SINAPI - SP'!$C:$F,2,0)))))</f>
        <v>ESPACADOR / DISTANCIADOR CIRCULAR COM ENTRADA LATERAL, EM PLASTICO, PARA VERGALHAO *4,2 A 12,5* MM, COBRIMENTO 20 MM</v>
      </c>
      <c r="F2153" s="510" t="str">
        <f>IF($C2153="",IFERROR(VLOOKUP($B2153,SERVIÇOS!$B:$G,3,0),IFERROR(VLOOKUP($B2153,$D:$K,3,0),"")),IFERROR(VLOOKUP($C2153,INSUMOS!$A:$D,3,0),IFERROR(VLOOKUP($C2153,COTAÇÕES!$B:$I,3,0),(VLOOKUP($C2153,'INSUMO SINAPI - SP'!$C:$F,3,0)))))</f>
        <v>UN</v>
      </c>
      <c r="G2153" s="558">
        <v>6</v>
      </c>
      <c r="H2153" s="512">
        <f>IF($C2153="",IFERROR(VLOOKUP($B2153,SERVIÇOS!$B:$G,6,0),IFERROR(VLOOKUP($B2153,$D:$K,8,0),"")),IFERROR(VLOOKUP($C2153,INSUMOS!$A:$D,4,0),IFERROR(VLOOKUP($C2153,COTAÇÕES!$B:$I,7,0),(VLOOKUP($C2153,'INSUMO SINAPI - SP'!$C:$F,4,0)))))</f>
        <v>0.22</v>
      </c>
      <c r="I2153" s="513">
        <f>TRUNC(IF($C2153="",IFERROR(VLOOKUP($B2153,SERVIÇOS!$B:$G,4,0),IFERROR(VLOOKUP($B2153,$D:$K,6,0),)),IFERROR(VLOOKUP($C2153,INSUMOS!$A:$D,4,0),IFERROR(VLOOKUP($C2153,COTAÇÕES!$B:$I,7,0),(VLOOKUP($C2153,'INSUMO SINAPI - SP'!$C:$F,4,0)))))*$G2153,2)</f>
        <v>1.32</v>
      </c>
      <c r="J2153" s="513"/>
      <c r="K2153" s="514">
        <f t="shared" si="78"/>
        <v>1.32</v>
      </c>
      <c r="L2153" s="515" t="s">
        <v>12685</v>
      </c>
      <c r="M2153" s="471"/>
      <c r="N2153" s="516"/>
      <c r="Q2153" s="472"/>
      <c r="R2153" s="472"/>
      <c r="S2153" s="472"/>
      <c r="T2153" s="472"/>
      <c r="U2153" s="472"/>
      <c r="V2153" s="472"/>
      <c r="W2153" s="472"/>
      <c r="X2153" s="472"/>
      <c r="Y2153" s="472"/>
    </row>
    <row r="2154" spans="1:25" x14ac:dyDescent="0.25">
      <c r="A2154" s="463"/>
      <c r="B2154" s="559"/>
      <c r="C2154" s="560">
        <v>4491</v>
      </c>
      <c r="D2154" s="508"/>
      <c r="E2154" s="509" t="str">
        <f>IF($C2154="",IFERROR(VLOOKUP($B2154,SERVIÇOS!$B:$G,2,0),IFERROR(VLOOKUP($B2154,$D:$K,2,0),"")),IFERROR(VLOOKUP($C2154,INSUMOS!$A:$D,2,0),IFERROR(VLOOKUP($C2154,COTAÇÕES!$B:$I,2,0),(VLOOKUP($C2154,'INSUMO SINAPI - SP'!$C:$F,2,0)))))</f>
        <v>PONTALETE *7,5 X 7,5* CM EM PINUS, MISTA OU EQUIVALENTE DA REGIAO - BRUTA</v>
      </c>
      <c r="F2154" s="510" t="str">
        <f>IF($C2154="",IFERROR(VLOOKUP($B2154,SERVIÇOS!$B:$G,3,0),IFERROR(VLOOKUP($B2154,$D:$K,3,0),"")),IFERROR(VLOOKUP($C2154,INSUMOS!$A:$D,3,0),IFERROR(VLOOKUP($C2154,COTAÇÕES!$B:$I,3,0),(VLOOKUP($C2154,'INSUMO SINAPI - SP'!$C:$F,3,0)))))</f>
        <v>M</v>
      </c>
      <c r="G2154" s="558">
        <v>0.20300000000000001</v>
      </c>
      <c r="H2154" s="512">
        <f>IF($C2154="",IFERROR(VLOOKUP($B2154,SERVIÇOS!$B:$G,6,0),IFERROR(VLOOKUP($B2154,$D:$K,8,0),"")),IFERROR(VLOOKUP($C2154,INSUMOS!$A:$D,4,0),IFERROR(VLOOKUP($C2154,COTAÇÕES!$B:$I,7,0),(VLOOKUP($C2154,'INSUMO SINAPI - SP'!$C:$F,4,0)))))</f>
        <v>6.99</v>
      </c>
      <c r="I2154" s="513">
        <f>TRUNC(IF($C2154="",IFERROR(VLOOKUP($B2154,SERVIÇOS!$B:$G,4,0),IFERROR(VLOOKUP($B2154,$D:$K,6,0),)),IFERROR(VLOOKUP($C2154,INSUMOS!$A:$D,4,0),IFERROR(VLOOKUP($C2154,COTAÇÕES!$B:$I,7,0),(VLOOKUP($C2154,'INSUMO SINAPI - SP'!$C:$F,4,0)))))*$G2154,2)</f>
        <v>1.41</v>
      </c>
      <c r="J2154" s="513">
        <f>TRUNC(IF($C2154="",IFERROR(VLOOKUP($B2154,SERVIÇOS!$B:$G,5,0),IFERROR(VLOOKUP($B2154,$D:$K,7,0),)),0)*$G2154,2)</f>
        <v>0</v>
      </c>
      <c r="K2154" s="514">
        <f t="shared" si="78"/>
        <v>1.41</v>
      </c>
      <c r="L2154" s="517"/>
      <c r="M2154" s="471"/>
      <c r="N2154" s="516"/>
      <c r="Q2154" s="472"/>
      <c r="R2154" s="472"/>
      <c r="S2154" s="472"/>
      <c r="T2154" s="472"/>
      <c r="U2154" s="472"/>
      <c r="V2154" s="472"/>
      <c r="W2154" s="472"/>
      <c r="X2154" s="472"/>
      <c r="Y2154" s="472"/>
    </row>
    <row r="2155" spans="1:25" x14ac:dyDescent="0.25">
      <c r="A2155" s="463"/>
      <c r="B2155" s="559">
        <v>88309</v>
      </c>
      <c r="C2155" s="560"/>
      <c r="D2155" s="508"/>
      <c r="E2155" s="509" t="str">
        <f>IF($C2155="",IFERROR(VLOOKUP($B2155,SERVIÇOS!$B:$G,2,0),IFERROR(VLOOKUP($B2155,$D:$K,2,0),"")),IFERROR(VLOOKUP($C2155,INSUMOS!$A:$D,2,0),IFERROR(VLOOKUP($C2155,COTAÇÕES!$B:$I,2,0),(VLOOKUP($C2155,'INSUMO SINAPI - SP'!$C:$F,2,0)))))</f>
        <v>PEDREIRO COM ENCARGOS COMPLEMENTARES</v>
      </c>
      <c r="F2155" s="510" t="str">
        <f>IF($C2155="",IFERROR(VLOOKUP($B2155,SERVIÇOS!$B:$G,3,0),IFERROR(VLOOKUP($B2155,$D:$K,3,0),"")),IFERROR(VLOOKUP($C2155,INSUMOS!$A:$D,3,0),IFERROR(VLOOKUP($C2155,COTAÇÕES!$B:$I,3,0),(VLOOKUP($C2155,'INSUMO SINAPI - SP'!$C:$F,3,0)))))</f>
        <v>H</v>
      </c>
      <c r="G2155" s="558">
        <v>0.501</v>
      </c>
      <c r="H2155" s="512">
        <f>IF($C2155="",IFERROR(VLOOKUP($B2155,SERVIÇOS!$B:$G,6,0),IFERROR(VLOOKUP($B2155,$D:$K,8,0),"")),IFERROR(VLOOKUP($C2155,INSUMOS!$A:$D,4,0),IFERROR(VLOOKUP($C2155,COTAÇÕES!$B:$I,7,0),(VLOOKUP($C2155,'INSUMO SINAPI - SP'!$C:$F,4,0)))))</f>
        <v>36.909999999999997</v>
      </c>
      <c r="I2155" s="513">
        <f>TRUNC(IF($C2155="",IFERROR(VLOOKUP($B2155,SERVIÇOS!$B:$G,4,0),IFERROR(VLOOKUP($B2155,$D:$K,6,0),)),IFERROR(VLOOKUP($C2155,INSUMOS!$A:$D,4,0),IFERROR(VLOOKUP($C2155,COTAÇÕES!$B:$I,7,0),(VLOOKUP($C2155,'INSUMO SINAPI - SP'!$C:$F,4,0)))))*$G2155,2)</f>
        <v>4.6399999999999997</v>
      </c>
      <c r="J2155" s="513">
        <f>TRUNC(IF($C2155="",IFERROR(VLOOKUP($B2155,SERVIÇOS!$B:$G,5,0),IFERROR(VLOOKUP($B2155,$D:$K,7,0),)),0)*$G2155,2)</f>
        <v>13.84</v>
      </c>
      <c r="K2155" s="514">
        <f t="shared" si="78"/>
        <v>18.48</v>
      </c>
      <c r="L2155" s="515"/>
      <c r="M2155" s="471"/>
      <c r="N2155" s="516"/>
      <c r="Q2155" s="472"/>
      <c r="R2155" s="472"/>
      <c r="S2155" s="472"/>
      <c r="T2155" s="472"/>
      <c r="U2155" s="472"/>
      <c r="V2155" s="472"/>
      <c r="W2155" s="472"/>
      <c r="X2155" s="472"/>
      <c r="Y2155" s="472"/>
    </row>
    <row r="2156" spans="1:25" x14ac:dyDescent="0.25">
      <c r="A2156" s="463"/>
      <c r="B2156" s="559">
        <v>88316</v>
      </c>
      <c r="C2156" s="560"/>
      <c r="D2156" s="508"/>
      <c r="E2156" s="509" t="str">
        <f>IF($C2156="",IFERROR(VLOOKUP($B2156,SERVIÇOS!$B:$G,2,0),IFERROR(VLOOKUP($B2156,$D:$K,2,0),"")),IFERROR(VLOOKUP($C2156,INSUMOS!$A:$D,2,0),IFERROR(VLOOKUP($C2156,COTAÇÕES!$B:$I,2,0),(VLOOKUP($C2156,'INSUMO SINAPI - SP'!$C:$F,2,0)))))</f>
        <v>SERVENTE COM ENCARGOS COMPLEMENTARES</v>
      </c>
      <c r="F2156" s="510" t="str">
        <f>IF($C2156="",IFERROR(VLOOKUP($B2156,SERVIÇOS!$B:$G,3,0),IFERROR(VLOOKUP($B2156,$D:$K,3,0),"")),IFERROR(VLOOKUP($C2156,INSUMOS!$A:$D,3,0),IFERROR(VLOOKUP($C2156,COTAÇÕES!$B:$I,3,0),(VLOOKUP($C2156,'INSUMO SINAPI - SP'!$C:$F,3,0)))))</f>
        <v>H</v>
      </c>
      <c r="G2156" s="558">
        <v>0.251</v>
      </c>
      <c r="H2156" s="512">
        <f>IF($C2156="",IFERROR(VLOOKUP($B2156,SERVIÇOS!$B:$G,6,0),IFERROR(VLOOKUP($B2156,$D:$K,8,0),"")),IFERROR(VLOOKUP($C2156,INSUMOS!$A:$D,4,0),IFERROR(VLOOKUP($C2156,COTAÇÕES!$B:$I,7,0),(VLOOKUP($C2156,'INSUMO SINAPI - SP'!$C:$F,4,0)))))</f>
        <v>28.71</v>
      </c>
      <c r="I2156" s="513">
        <f>TRUNC(IF($C2156="",IFERROR(VLOOKUP($B2156,SERVIÇOS!$B:$G,4,0),IFERROR(VLOOKUP($B2156,$D:$K,6,0),)),IFERROR(VLOOKUP($C2156,INSUMOS!$A:$D,4,0),IFERROR(VLOOKUP($C2156,COTAÇÕES!$B:$I,7,0),(VLOOKUP($C2156,'INSUMO SINAPI - SP'!$C:$F,4,0)))))*$G2156,2)</f>
        <v>2.2999999999999998</v>
      </c>
      <c r="J2156" s="513">
        <f>TRUNC(IF($C2156="",IFERROR(VLOOKUP($B2156,SERVIÇOS!$B:$G,5,0),IFERROR(VLOOKUP($B2156,$D:$K,7,0),)),0)*$G2156,2)</f>
        <v>4.8899999999999997</v>
      </c>
      <c r="K2156" s="514">
        <f t="shared" si="78"/>
        <v>7.1899999999999995</v>
      </c>
      <c r="L2156" s="515"/>
      <c r="M2156" s="471"/>
      <c r="N2156" s="516"/>
      <c r="Q2156" s="472"/>
      <c r="R2156" s="472"/>
      <c r="S2156" s="472"/>
      <c r="T2156" s="472"/>
      <c r="U2156" s="472"/>
      <c r="V2156" s="472"/>
      <c r="W2156" s="472"/>
      <c r="X2156" s="472"/>
      <c r="Y2156" s="472"/>
    </row>
    <row r="2157" spans="1:25" ht="24" x14ac:dyDescent="0.25">
      <c r="A2157" s="463"/>
      <c r="B2157" s="559">
        <v>94966</v>
      </c>
      <c r="C2157" s="560"/>
      <c r="D2157" s="508"/>
      <c r="E2157" s="509" t="str">
        <f>IF($C2157="",IFERROR(VLOOKUP($B2157,SERVIÇOS!$B:$G,2,0),IFERROR(VLOOKUP($B2157,$D:$K,2,0),"")),IFERROR(VLOOKUP($C2157,INSUMOS!$A:$D,2,0),IFERROR(VLOOKUP($C2157,COTAÇÕES!$B:$I,2,0),(VLOOKUP($C2157,'INSUMO SINAPI - SP'!$C:$F,2,0)))))</f>
        <v>CONCRETO FCK = 30MPA, TRAÇO 1:2,1:2,5 (EM MASSA SECA DE CIMENTO/ AREIA MÉDIA/ BRITA 1) - PREPARO MECÂNICO COM BETONEIRA 400 L. AF_05/2021</v>
      </c>
      <c r="F2157" s="510" t="str">
        <f>IF($C2157="",IFERROR(VLOOKUP($B2157,SERVIÇOS!$B:$G,3,0),IFERROR(VLOOKUP($B2157,$D:$K,3,0),"")),IFERROR(VLOOKUP($C2157,INSUMOS!$A:$D,3,0),IFERROR(VLOOKUP($C2157,COTAÇÕES!$B:$I,3,0),(VLOOKUP($C2157,'INSUMO SINAPI - SP'!$C:$F,3,0)))))</f>
        <v>M3</v>
      </c>
      <c r="G2157" s="558">
        <v>3.2000000000000001E-2</v>
      </c>
      <c r="H2157" s="512">
        <f>IF($C2157="",IFERROR(VLOOKUP($B2157,SERVIÇOS!$B:$G,6,0),IFERROR(VLOOKUP($B2157,$D:$K,8,0),"")),IFERROR(VLOOKUP($C2157,INSUMOS!$A:$D,4,0),IFERROR(VLOOKUP($C2157,COTAÇÕES!$B:$I,7,0),(VLOOKUP($C2157,'INSUMO SINAPI - SP'!$C:$F,4,0)))))</f>
        <v>501.49</v>
      </c>
      <c r="I2157" s="513">
        <f>TRUNC(IF($C2157="",IFERROR(VLOOKUP($B2157,SERVIÇOS!$B:$G,4,0),IFERROR(VLOOKUP($B2157,$D:$K,6,0),)),IFERROR(VLOOKUP($C2157,INSUMOS!$A:$D,4,0),IFERROR(VLOOKUP($C2157,COTAÇÕES!$B:$I,7,0),(VLOOKUP($C2157,'INSUMO SINAPI - SP'!$C:$F,4,0)))))*$G2157,2)</f>
        <v>13.45</v>
      </c>
      <c r="J2157" s="513">
        <f>TRUNC(IF($C2157="",IFERROR(VLOOKUP($B2157,SERVIÇOS!$B:$G,5,0),IFERROR(VLOOKUP($B2157,$D:$K,7,0),)),0)*$G2157,2)</f>
        <v>2.59</v>
      </c>
      <c r="K2157" s="514">
        <f t="shared" si="78"/>
        <v>16.04</v>
      </c>
      <c r="L2157" s="515"/>
      <c r="M2157" s="471"/>
      <c r="N2157" s="516"/>
      <c r="Q2157" s="472"/>
      <c r="R2157" s="472"/>
      <c r="S2157" s="472"/>
      <c r="T2157" s="472"/>
      <c r="U2157" s="472"/>
      <c r="V2157" s="472"/>
      <c r="W2157" s="472"/>
      <c r="X2157" s="472"/>
      <c r="Y2157" s="472"/>
    </row>
    <row r="2158" spans="1:25" x14ac:dyDescent="0.25">
      <c r="A2158" s="463"/>
      <c r="B2158" s="559">
        <v>92802</v>
      </c>
      <c r="C2158" s="560"/>
      <c r="D2158" s="508"/>
      <c r="E2158" s="509" t="str">
        <f>IF($C2158="",IFERROR(VLOOKUP($B2158,SERVIÇOS!$B:$G,2,0),IFERROR(VLOOKUP($B2158,$D:$K,2,0),"")),IFERROR(VLOOKUP($C2158,INSUMOS!$A:$D,2,0),IFERROR(VLOOKUP($C2158,COTAÇÕES!$B:$I,2,0),(VLOOKUP($C2158,'INSUMO SINAPI - SP'!$C:$F,2,0)))))</f>
        <v>CORTE E DOBRA DE AÇO CA-50, DIÂMETRO DE 8,0 MM. AF_06/2022</v>
      </c>
      <c r="F2158" s="510" t="str">
        <f>IF($C2158="",IFERROR(VLOOKUP($B2158,SERVIÇOS!$B:$G,3,0),IFERROR(VLOOKUP($B2158,$D:$K,3,0),"")),IFERROR(VLOOKUP($C2158,INSUMOS!$A:$D,3,0),IFERROR(VLOOKUP($C2158,COTAÇÕES!$B:$I,3,0),(VLOOKUP($C2158,'INSUMO SINAPI - SP'!$C:$F,3,0)))))</f>
        <v>KG</v>
      </c>
      <c r="G2158" s="558">
        <v>0.79</v>
      </c>
      <c r="H2158" s="512">
        <f>IF($C2158="",IFERROR(VLOOKUP($B2158,SERVIÇOS!$B:$G,6,0),IFERROR(VLOOKUP($B2158,$D:$K,8,0),"")),IFERROR(VLOOKUP($C2158,INSUMOS!$A:$D,4,0),IFERROR(VLOOKUP($C2158,COTAÇÕES!$B:$I,7,0),(VLOOKUP($C2158,'INSUMO SINAPI - SP'!$C:$F,4,0)))))</f>
        <v>9.75</v>
      </c>
      <c r="I2158" s="513">
        <f>TRUNC(IF($C2158="",IFERROR(VLOOKUP($B2158,SERVIÇOS!$B:$G,4,0),IFERROR(VLOOKUP($B2158,$D:$K,6,0),)),IFERROR(VLOOKUP($C2158,INSUMOS!$A:$D,4,0),IFERROR(VLOOKUP($C2158,COTAÇÕES!$B:$I,7,0),(VLOOKUP($C2158,'INSUMO SINAPI - SP'!$C:$F,4,0)))))*$G2158,2)</f>
        <v>7.31</v>
      </c>
      <c r="J2158" s="513">
        <f>TRUNC(IF($C2158="",IFERROR(VLOOKUP($B2158,SERVIÇOS!$B:$G,5,0),IFERROR(VLOOKUP($B2158,$D:$K,7,0),)),0)*$G2158,2)</f>
        <v>0.38</v>
      </c>
      <c r="K2158" s="514">
        <f t="shared" si="78"/>
        <v>7.6899999999999995</v>
      </c>
      <c r="L2158" s="515"/>
      <c r="M2158" s="471"/>
      <c r="N2158" s="516"/>
      <c r="Q2158" s="472"/>
      <c r="R2158" s="472"/>
      <c r="S2158" s="472"/>
      <c r="T2158" s="472"/>
      <c r="U2158" s="472"/>
      <c r="V2158" s="472"/>
      <c r="W2158" s="472"/>
      <c r="X2158" s="472"/>
      <c r="Y2158" s="472"/>
    </row>
    <row r="2159" spans="1:25" x14ac:dyDescent="0.25">
      <c r="A2159" s="463"/>
      <c r="B2159" s="559">
        <v>92270</v>
      </c>
      <c r="C2159" s="560"/>
      <c r="D2159" s="508"/>
      <c r="E2159" s="509" t="str">
        <f>IF($C2159="",IFERROR(VLOOKUP($B2159,SERVIÇOS!$B:$G,2,0),IFERROR(VLOOKUP($B2159,$D:$K,2,0),"")),IFERROR(VLOOKUP($C2159,INSUMOS!$A:$D,2,0),IFERROR(VLOOKUP($C2159,COTAÇÕES!$B:$I,2,0),(VLOOKUP($C2159,'INSUMO SINAPI - SP'!$C:$F,2,0)))))</f>
        <v>FABRICAÇÃO DE FÔRMA PARA VIGAS, COM MADEIRA SERRADA, E = 25 MM. AF_09/2020</v>
      </c>
      <c r="F2159" s="510" t="str">
        <f>IF($C2159="",IFERROR(VLOOKUP($B2159,SERVIÇOS!$B:$G,3,0),IFERROR(VLOOKUP($B2159,$D:$K,3,0),"")),IFERROR(VLOOKUP($C2159,INSUMOS!$A:$D,3,0),IFERROR(VLOOKUP($C2159,COTAÇÕES!$B:$I,3,0),(VLOOKUP($C2159,'INSUMO SINAPI - SP'!$C:$F,3,0)))))</f>
        <v>M2</v>
      </c>
      <c r="G2159" s="558">
        <v>0.104</v>
      </c>
      <c r="H2159" s="512">
        <f>IF($C2159="",IFERROR(VLOOKUP($B2159,SERVIÇOS!$B:$G,6,0),IFERROR(VLOOKUP($B2159,$D:$K,8,0),"")),IFERROR(VLOOKUP($C2159,INSUMOS!$A:$D,4,0),IFERROR(VLOOKUP($C2159,COTAÇÕES!$B:$I,7,0),(VLOOKUP($C2159,'INSUMO SINAPI - SP'!$C:$F,4,0)))))</f>
        <v>197.64</v>
      </c>
      <c r="I2159" s="513">
        <f>TRUNC(IF($C2159="",IFERROR(VLOOKUP($B2159,SERVIÇOS!$B:$G,4,0),IFERROR(VLOOKUP($B2159,$D:$K,6,0),)),IFERROR(VLOOKUP($C2159,INSUMOS!$A:$D,4,0),IFERROR(VLOOKUP($C2159,COTAÇÕES!$B:$I,7,0),(VLOOKUP($C2159,'INSUMO SINAPI - SP'!$C:$F,4,0)))))*$G2159,2)</f>
        <v>17.12</v>
      </c>
      <c r="J2159" s="513">
        <f>TRUNC(IF($C2159="",IFERROR(VLOOKUP($B2159,SERVIÇOS!$B:$G,5,0),IFERROR(VLOOKUP($B2159,$D:$K,7,0),)),0)*$G2159,2)</f>
        <v>3.42</v>
      </c>
      <c r="K2159" s="514">
        <f t="shared" si="78"/>
        <v>20.54</v>
      </c>
      <c r="L2159" s="515"/>
      <c r="M2159" s="471"/>
      <c r="N2159" s="516"/>
      <c r="Q2159" s="472"/>
      <c r="R2159" s="472"/>
      <c r="S2159" s="472"/>
      <c r="T2159" s="472"/>
      <c r="U2159" s="472"/>
      <c r="V2159" s="472"/>
      <c r="W2159" s="472"/>
      <c r="X2159" s="472"/>
      <c r="Y2159" s="472"/>
    </row>
    <row r="2160" spans="1:25" ht="38.25" x14ac:dyDescent="0.25">
      <c r="B2160" s="561"/>
      <c r="C2160" s="562"/>
      <c r="D2160" s="563" t="s">
        <v>12311</v>
      </c>
      <c r="E2160" s="564" t="s">
        <v>13599</v>
      </c>
      <c r="F2160" s="565" t="s">
        <v>580</v>
      </c>
      <c r="G2160" s="566"/>
      <c r="H2160" s="567"/>
      <c r="I2160" s="568">
        <f>SUM(I2161:I2163)</f>
        <v>372.52</v>
      </c>
      <c r="J2160" s="568">
        <f>SUM(J2161:J2163)</f>
        <v>7.61</v>
      </c>
      <c r="K2160" s="568">
        <f>+J2160+I2160</f>
        <v>380.13</v>
      </c>
      <c r="L2160" s="569" t="s">
        <v>13600</v>
      </c>
    </row>
    <row r="2161" spans="2:12" x14ac:dyDescent="0.25">
      <c r="B2161" s="570">
        <v>88266</v>
      </c>
      <c r="C2161" s="570"/>
      <c r="D2161" s="571"/>
      <c r="E2161" s="509" t="str">
        <f>IF($C2161="",IFERROR(VLOOKUP($B2161,SERVIÇOS!$B:$G,2,0),IFERROR(VLOOKUP($B2161,$D:$K,2,0),"")),IFERROR(VLOOKUP($C2161,INSUMOS!$A:$D,2,0),IFERROR(VLOOKUP($C2161,COTAÇÕES!$B:$I,2,0),(VLOOKUP($C2161,'INSUMO SINAPI - SP'!$C:$F,2,0)))))</f>
        <v>ELETROTÉCNICO COM ENCARGOS COMPLEMENTARES</v>
      </c>
      <c r="F2161" s="510" t="str">
        <f>IF($C2161="",IFERROR(VLOOKUP($B2161,SERVIÇOS!$B:$G,3,0),IFERROR(VLOOKUP($B2161,$D:$K,3,0),"")),IFERROR(VLOOKUP($C2161,INSUMOS!$A:$D,3,0),IFERROR(VLOOKUP($C2161,COTAÇÕES!$B:$I,3,0),(VLOOKUP($C2161,'INSUMO SINAPI - SP'!$C:$F,3,0)))))</f>
        <v>H</v>
      </c>
      <c r="G2161" s="572">
        <v>0.1</v>
      </c>
      <c r="H2161" s="512">
        <f>IF($C2161="",IFERROR(VLOOKUP($B2161,SERVIÇOS!$B:$G,6,0),IFERROR(VLOOKUP($B2161,$D:$K,8,0),"")),IFERROR(VLOOKUP($C2161,INSUMOS!$A:$D,4,0),IFERROR(VLOOKUP($C2161,COTAÇÕES!$B:$I,7,0),(VLOOKUP($C2161,'INSUMO SINAPI - SP'!$C:$F,4,0)))))</f>
        <v>44.39</v>
      </c>
      <c r="I2161" s="513">
        <f>TRUNC(IF($C2161="",IFERROR(VLOOKUP($B2161,SERVIÇOS!$B:$G,4,0),IFERROR(VLOOKUP($B2161,$D:$K,6,0),)),IFERROR(VLOOKUP($C2161,INSUMOS!$A:$D,4,0),IFERROR(VLOOKUP($C2161,COTAÇÕES!$B:$I,7,0),(VLOOKUP($C2161,'INSUMO SINAPI - SP'!$C:$F,4,0)))))*$G2161,2)</f>
        <v>0.93</v>
      </c>
      <c r="J2161" s="513">
        <f>TRUNC(IF($C2161="",IFERROR(VLOOKUP($B2161,SERVIÇOS!$B:$G,5,0),IFERROR(VLOOKUP($B2161,$D:$K,7,0),)),0)*$G2161,2)</f>
        <v>3.5</v>
      </c>
      <c r="K2161" s="514">
        <f>I2161+J2161</f>
        <v>4.43</v>
      </c>
      <c r="L2161" s="517"/>
    </row>
    <row r="2162" spans="2:12" x14ac:dyDescent="0.25">
      <c r="B2162" s="570">
        <v>88243</v>
      </c>
      <c r="C2162" s="570"/>
      <c r="D2162" s="571"/>
      <c r="E2162" s="509" t="str">
        <f>IF($C2162="",IFERROR(VLOOKUP($B2162,SERVIÇOS!$B:$G,2,0),IFERROR(VLOOKUP($B2162,$D:$K,2,0),"")),IFERROR(VLOOKUP($C2162,INSUMOS!$A:$D,2,0),IFERROR(VLOOKUP($C2162,COTAÇÕES!$B:$I,2,0),(VLOOKUP($C2162,'INSUMO SINAPI - SP'!$C:$F,2,0)))))</f>
        <v>AJUDANTE ESPECIALIZADO COM ENCARGOS COMPLEMENTARES</v>
      </c>
      <c r="F2162" s="510" t="str">
        <f>IF($C2162="",IFERROR(VLOOKUP($B2162,SERVIÇOS!$B:$G,3,0),IFERROR(VLOOKUP($B2162,$D:$K,3,0),"")),IFERROR(VLOOKUP($C2162,INSUMOS!$A:$D,3,0),IFERROR(VLOOKUP($C2162,COTAÇÕES!$B:$I,3,0),(VLOOKUP($C2162,'INSUMO SINAPI - SP'!$C:$F,3,0)))))</f>
        <v>H</v>
      </c>
      <c r="G2162" s="572">
        <v>0.2</v>
      </c>
      <c r="H2162" s="512">
        <f>IF($C2162="",IFERROR(VLOOKUP($B2162,SERVIÇOS!$B:$G,6,0),IFERROR(VLOOKUP($B2162,$D:$K,8,0),"")),IFERROR(VLOOKUP($C2162,INSUMOS!$A:$D,4,0),IFERROR(VLOOKUP($C2162,COTAÇÕES!$B:$I,7,0),(VLOOKUP($C2162,'INSUMO SINAPI - SP'!$C:$F,4,0)))))</f>
        <v>29.78</v>
      </c>
      <c r="I2162" s="513">
        <f>TRUNC(IF($C2162="",IFERROR(VLOOKUP($B2162,SERVIÇOS!$B:$G,4,0),IFERROR(VLOOKUP($B2162,$D:$K,6,0),)),IFERROR(VLOOKUP($C2162,INSUMOS!$A:$D,4,0),IFERROR(VLOOKUP($C2162,COTAÇÕES!$B:$I,7,0),(VLOOKUP($C2162,'INSUMO SINAPI - SP'!$C:$F,4,0)))))*$G2162,2)</f>
        <v>1.84</v>
      </c>
      <c r="J2162" s="513">
        <f>TRUNC(IF($C2162="",IFERROR(VLOOKUP($B2162,SERVIÇOS!$B:$G,5,0),IFERROR(VLOOKUP($B2162,$D:$K,7,0),)),0)*$G2162,2)</f>
        <v>4.1100000000000003</v>
      </c>
      <c r="K2162" s="514">
        <f>I2162+J2162</f>
        <v>5.95</v>
      </c>
      <c r="L2162" s="517"/>
    </row>
    <row r="2163" spans="2:12" ht="38.25" x14ac:dyDescent="0.25">
      <c r="B2163" s="570"/>
      <c r="C2163" s="570" t="s">
        <v>13601</v>
      </c>
      <c r="D2163" s="573"/>
      <c r="E2163" s="574" t="s">
        <v>13599</v>
      </c>
      <c r="F2163" s="575" t="s">
        <v>580</v>
      </c>
      <c r="G2163" s="572">
        <v>1</v>
      </c>
      <c r="H2163" s="576">
        <v>369.75</v>
      </c>
      <c r="I2163" s="576">
        <v>369.75</v>
      </c>
      <c r="J2163" s="577"/>
      <c r="K2163" s="578">
        <f>I2163+J2163</f>
        <v>369.75</v>
      </c>
      <c r="L2163" s="579" t="s">
        <v>12891</v>
      </c>
    </row>
    <row r="2164" spans="2:12" x14ac:dyDescent="0.25">
      <c r="B2164" s="561"/>
      <c r="C2164" s="562"/>
      <c r="D2164" s="563" t="s">
        <v>12312</v>
      </c>
      <c r="E2164" s="564" t="s">
        <v>13602</v>
      </c>
      <c r="F2164" s="565" t="s">
        <v>580</v>
      </c>
      <c r="G2164" s="566"/>
      <c r="H2164" s="567"/>
      <c r="I2164" s="568">
        <f>SUM(I2165:I2166)</f>
        <v>24.64</v>
      </c>
      <c r="J2164" s="568">
        <f>SUM(J2165:J2166)</f>
        <v>3.8</v>
      </c>
      <c r="K2164" s="568">
        <f>+J2164+I2164</f>
        <v>28.44</v>
      </c>
      <c r="L2164" s="569" t="s">
        <v>13603</v>
      </c>
    </row>
    <row r="2165" spans="2:12" x14ac:dyDescent="0.25">
      <c r="B2165" s="570"/>
      <c r="C2165" s="570" t="s">
        <v>13604</v>
      </c>
      <c r="D2165" s="573"/>
      <c r="E2165" s="574" t="s">
        <v>13605</v>
      </c>
      <c r="F2165" s="575" t="s">
        <v>580</v>
      </c>
      <c r="G2165" s="572">
        <v>1</v>
      </c>
      <c r="H2165" s="576">
        <v>23</v>
      </c>
      <c r="I2165" s="576">
        <v>23</v>
      </c>
      <c r="J2165" s="577"/>
      <c r="K2165" s="578">
        <f>I2165+J2165</f>
        <v>23</v>
      </c>
      <c r="L2165" s="579" t="s">
        <v>12668</v>
      </c>
    </row>
    <row r="2166" spans="2:12" x14ac:dyDescent="0.25">
      <c r="B2166" s="570">
        <v>88247</v>
      </c>
      <c r="C2166" s="570"/>
      <c r="D2166" s="571"/>
      <c r="E2166" s="509" t="str">
        <f>IF($C2166="",IFERROR(VLOOKUP($B2166,SERVIÇOS!$B:$G,2,0),IFERROR(VLOOKUP($B2166,$D:$K,2,0),"")),IFERROR(VLOOKUP($C2166,INSUMOS!$A:$D,2,0),IFERROR(VLOOKUP($C2166,COTAÇÕES!$B:$I,2,0),(VLOOKUP($C2166,'INSUMO SINAPI - SP'!$C:$F,2,0)))))</f>
        <v>AUXILIAR DE ELETRICISTA COM ENCARGOS COMPLEMENTARES</v>
      </c>
      <c r="F2166" s="510" t="str">
        <f>IF($C2166="",IFERROR(VLOOKUP($B2166,SERVIÇOS!$B:$G,3,0),IFERROR(VLOOKUP($B2166,$D:$K,3,0),"")),IFERROR(VLOOKUP($C2166,INSUMOS!$A:$D,3,0),IFERROR(VLOOKUP($C2166,COTAÇÕES!$B:$I,3,0),(VLOOKUP($C2166,'INSUMO SINAPI - SP'!$C:$F,3,0)))))</f>
        <v>H</v>
      </c>
      <c r="G2166" s="572">
        <v>0.17699999999999999</v>
      </c>
      <c r="H2166" s="512">
        <f>IF($C2166="",IFERROR(VLOOKUP($B2166,SERVIÇOS!$B:$G,6,0),IFERROR(VLOOKUP($B2166,$D:$K,8,0),"")),IFERROR(VLOOKUP($C2166,INSUMOS!$A:$D,4,0),IFERROR(VLOOKUP($C2166,COTAÇÕES!$B:$I,7,0),(VLOOKUP($C2166,'INSUMO SINAPI - SP'!$C:$F,4,0)))))</f>
        <v>30.8</v>
      </c>
      <c r="I2166" s="513">
        <f>TRUNC(IF($C2166="",IFERROR(VLOOKUP($B2166,SERVIÇOS!$B:$G,4,0),IFERROR(VLOOKUP($B2166,$D:$K,6,0),)),IFERROR(VLOOKUP($C2166,INSUMOS!$A:$D,4,0),IFERROR(VLOOKUP($C2166,COTAÇÕES!$B:$I,7,0),(VLOOKUP($C2166,'INSUMO SINAPI - SP'!$C:$F,4,0)))))*$G2166,2)</f>
        <v>1.64</v>
      </c>
      <c r="J2166" s="513">
        <f>TRUNC(IF($C2166="",IFERROR(VLOOKUP($B2166,SERVIÇOS!$B:$G,5,0),IFERROR(VLOOKUP($B2166,$D:$K,7,0),)),0)*$G2166,2)</f>
        <v>3.8</v>
      </c>
      <c r="K2166" s="514">
        <f>I2166+J2166</f>
        <v>5.4399999999999995</v>
      </c>
      <c r="L2166" s="517"/>
    </row>
    <row r="2167" spans="2:12" ht="25.5" x14ac:dyDescent="0.25">
      <c r="B2167" s="561"/>
      <c r="C2167" s="562"/>
      <c r="D2167" s="563" t="s">
        <v>12320</v>
      </c>
      <c r="E2167" s="564" t="s">
        <v>13606</v>
      </c>
      <c r="F2167" s="565" t="s">
        <v>580</v>
      </c>
      <c r="G2167" s="566"/>
      <c r="H2167" s="567"/>
      <c r="I2167" s="568">
        <f>SUM(I2168)</f>
        <v>10.5</v>
      </c>
      <c r="J2167" s="568">
        <f>SUM(J2168)</f>
        <v>31.65</v>
      </c>
      <c r="K2167" s="568">
        <f>+J2167+I2167</f>
        <v>42.15</v>
      </c>
      <c r="L2167" s="569" t="s">
        <v>13607</v>
      </c>
    </row>
    <row r="2168" spans="2:12" x14ac:dyDescent="0.25">
      <c r="B2168" s="570">
        <v>88264</v>
      </c>
      <c r="C2168" s="570"/>
      <c r="D2168" s="571"/>
      <c r="E2168" s="509" t="str">
        <f>IF($C2168="",IFERROR(VLOOKUP($B2168,SERVIÇOS!$B:$G,2,0),IFERROR(VLOOKUP($B2168,$D:$K,2,0),"")),IFERROR(VLOOKUP($C2168,INSUMOS!$A:$D,2,0),IFERROR(VLOOKUP($C2168,COTAÇÕES!$B:$I,2,0),(VLOOKUP($C2168,'INSUMO SINAPI - SP'!$C:$F,2,0)))))</f>
        <v>ELETRICISTA COM ENCARGOS COMPLEMENTARES</v>
      </c>
      <c r="F2168" s="510" t="str">
        <f>IF($C2168="",IFERROR(VLOOKUP($B2168,SERVIÇOS!$B:$G,3,0),IFERROR(VLOOKUP($B2168,$D:$K,3,0),"")),IFERROR(VLOOKUP($C2168,INSUMOS!$A:$D,3,0),IFERROR(VLOOKUP($C2168,COTAÇÕES!$B:$I,3,0),(VLOOKUP($C2168,'INSUMO SINAPI - SP'!$C:$F,3,0)))))</f>
        <v>H</v>
      </c>
      <c r="G2168" s="572">
        <v>1.1279999999999999</v>
      </c>
      <c r="H2168" s="512">
        <f>IF($C2168="",IFERROR(VLOOKUP($B2168,SERVIÇOS!$B:$G,6,0),IFERROR(VLOOKUP($B2168,$D:$K,8,0),"")),IFERROR(VLOOKUP($C2168,INSUMOS!$A:$D,4,0),IFERROR(VLOOKUP($C2168,COTAÇÕES!$B:$I,7,0),(VLOOKUP($C2168,'INSUMO SINAPI - SP'!$C:$F,4,0)))))</f>
        <v>37.369999999999997</v>
      </c>
      <c r="I2168" s="513">
        <f>TRUNC(IF($C2168="",IFERROR(VLOOKUP($B2168,SERVIÇOS!$B:$G,4,0),IFERROR(VLOOKUP($B2168,$D:$K,6,0),)),IFERROR(VLOOKUP($C2168,INSUMOS!$A:$D,4,0),IFERROR(VLOOKUP($C2168,COTAÇÕES!$B:$I,7,0),(VLOOKUP($C2168,'INSUMO SINAPI - SP'!$C:$F,4,0)))))*$G2168,2)</f>
        <v>10.5</v>
      </c>
      <c r="J2168" s="513">
        <f>TRUNC(IF($C2168="",IFERROR(VLOOKUP($B2168,SERVIÇOS!$B:$G,5,0),IFERROR(VLOOKUP($B2168,$D:$K,7,0),)),0)*$G2168,2)</f>
        <v>31.65</v>
      </c>
      <c r="K2168" s="514">
        <f>I2168+J2168</f>
        <v>42.15</v>
      </c>
      <c r="L2168" s="517"/>
    </row>
    <row r="2169" spans="2:12" x14ac:dyDescent="0.25">
      <c r="B2169" s="561"/>
      <c r="C2169" s="562"/>
      <c r="D2169" s="563" t="s">
        <v>12536</v>
      </c>
      <c r="E2169" s="564" t="s">
        <v>13608</v>
      </c>
      <c r="F2169" s="565" t="s">
        <v>580</v>
      </c>
      <c r="G2169" s="566"/>
      <c r="H2169" s="567"/>
      <c r="I2169" s="568">
        <f>SUM(I2170:I2171)</f>
        <v>2333.0499999999997</v>
      </c>
      <c r="J2169" s="568">
        <f>SUM(J2170:J2171)</f>
        <v>112.24</v>
      </c>
      <c r="K2169" s="568">
        <f>+J2169+I2169</f>
        <v>2445.2899999999995</v>
      </c>
      <c r="L2169" s="569" t="s">
        <v>13609</v>
      </c>
    </row>
    <row r="2170" spans="2:12" x14ac:dyDescent="0.25">
      <c r="B2170" s="570"/>
      <c r="C2170" s="570" t="s">
        <v>13610</v>
      </c>
      <c r="D2170" s="573"/>
      <c r="E2170" s="574" t="s">
        <v>13608</v>
      </c>
      <c r="F2170" s="575" t="s">
        <v>580</v>
      </c>
      <c r="G2170" s="572">
        <v>1</v>
      </c>
      <c r="H2170" s="576">
        <v>2295.81</v>
      </c>
      <c r="I2170" s="576">
        <v>2295.81</v>
      </c>
      <c r="J2170" s="577"/>
      <c r="K2170" s="578">
        <f>I2170+J2170</f>
        <v>2295.81</v>
      </c>
      <c r="L2170" s="579" t="s">
        <v>12901</v>
      </c>
    </row>
    <row r="2171" spans="2:12" x14ac:dyDescent="0.25">
      <c r="B2171" s="570">
        <v>88264</v>
      </c>
      <c r="C2171" s="570"/>
      <c r="D2171" s="571"/>
      <c r="E2171" s="509" t="str">
        <f>IF($C2171="",IFERROR(VLOOKUP($B2171,SERVIÇOS!$B:$G,2,0),IFERROR(VLOOKUP($B2171,$D:$K,2,0),"")),IFERROR(VLOOKUP($C2171,INSUMOS!$A:$D,2,0),IFERROR(VLOOKUP($C2171,COTAÇÕES!$B:$I,2,0),(VLOOKUP($C2171,'INSUMO SINAPI - SP'!$C:$F,2,0)))))</f>
        <v>ELETRICISTA COM ENCARGOS COMPLEMENTARES</v>
      </c>
      <c r="F2171" s="510" t="str">
        <f>IF($C2171="",IFERROR(VLOOKUP($B2171,SERVIÇOS!$B:$G,3,0),IFERROR(VLOOKUP($B2171,$D:$K,3,0),"")),IFERROR(VLOOKUP($C2171,INSUMOS!$A:$D,3,0),IFERROR(VLOOKUP($C2171,COTAÇÕES!$B:$I,3,0),(VLOOKUP($C2171,'INSUMO SINAPI - SP'!$C:$F,3,0)))))</f>
        <v>H</v>
      </c>
      <c r="G2171" s="572">
        <v>4</v>
      </c>
      <c r="H2171" s="512">
        <f>IF($C2171="",IFERROR(VLOOKUP($B2171,SERVIÇOS!$B:$G,6,0),IFERROR(VLOOKUP($B2171,$D:$K,8,0),"")),IFERROR(VLOOKUP($C2171,INSUMOS!$A:$D,4,0),IFERROR(VLOOKUP($C2171,COTAÇÕES!$B:$I,7,0),(VLOOKUP($C2171,'INSUMO SINAPI - SP'!$C:$F,4,0)))))</f>
        <v>37.369999999999997</v>
      </c>
      <c r="I2171" s="513">
        <f>TRUNC(IF($C2171="",IFERROR(VLOOKUP($B2171,SERVIÇOS!$B:$G,4,0),IFERROR(VLOOKUP($B2171,$D:$K,6,0),)),IFERROR(VLOOKUP($C2171,INSUMOS!$A:$D,4,0),IFERROR(VLOOKUP($C2171,COTAÇÕES!$B:$I,7,0),(VLOOKUP($C2171,'INSUMO SINAPI - SP'!$C:$F,4,0)))))*$G2171,2)</f>
        <v>37.24</v>
      </c>
      <c r="J2171" s="513">
        <f>TRUNC(IF($C2171="",IFERROR(VLOOKUP($B2171,SERVIÇOS!$B:$G,5,0),IFERROR(VLOOKUP($B2171,$D:$K,7,0),)),0)*$G2171,2)</f>
        <v>112.24</v>
      </c>
      <c r="K2171" s="514">
        <f>I2171+J2171</f>
        <v>149.47999999999999</v>
      </c>
      <c r="L2171" s="517"/>
    </row>
    <row r="2172" spans="2:12" ht="76.5" x14ac:dyDescent="0.25">
      <c r="B2172" s="561"/>
      <c r="C2172" s="562"/>
      <c r="D2172" s="563" t="s">
        <v>12537</v>
      </c>
      <c r="E2172" s="564" t="s">
        <v>13611</v>
      </c>
      <c r="F2172" s="565" t="s">
        <v>580</v>
      </c>
      <c r="G2172" s="566"/>
      <c r="H2172" s="567"/>
      <c r="I2172" s="568">
        <f>SUM(I2173:I2175)</f>
        <v>3313.69</v>
      </c>
      <c r="J2172" s="568">
        <f>SUM(J2173:J2175)</f>
        <v>14.850000000000001</v>
      </c>
      <c r="K2172" s="568">
        <f>+J2172+I2172</f>
        <v>3328.54</v>
      </c>
      <c r="L2172" s="569" t="s">
        <v>13612</v>
      </c>
    </row>
    <row r="2173" spans="2:12" x14ac:dyDescent="0.25">
      <c r="B2173" s="570">
        <v>88247</v>
      </c>
      <c r="C2173" s="570"/>
      <c r="D2173" s="571"/>
      <c r="E2173" s="509" t="str">
        <f>IF($C2173="",IFERROR(VLOOKUP($B2173,SERVIÇOS!$B:$G,2,0),IFERROR(VLOOKUP($B2173,$D:$K,2,0),"")),IFERROR(VLOOKUP($C2173,INSUMOS!$A:$D,2,0),IFERROR(VLOOKUP($C2173,COTAÇÕES!$B:$I,2,0),(VLOOKUP($C2173,'INSUMO SINAPI - SP'!$C:$F,2,0)))))</f>
        <v>AUXILIAR DE ELETRICISTA COM ENCARGOS COMPLEMENTARES</v>
      </c>
      <c r="F2173" s="510" t="str">
        <f>IF($C2173="",IFERROR(VLOOKUP($B2173,SERVIÇOS!$B:$G,3,0),IFERROR(VLOOKUP($B2173,$D:$K,3,0),"")),IFERROR(VLOOKUP($C2173,INSUMOS!$A:$D,3,0),IFERROR(VLOOKUP($C2173,COTAÇÕES!$B:$I,3,0),(VLOOKUP($C2173,'INSUMO SINAPI - SP'!$C:$F,3,0)))))</f>
        <v>H</v>
      </c>
      <c r="G2173" s="572">
        <v>0.3</v>
      </c>
      <c r="H2173" s="512">
        <f>IF($C2173="",IFERROR(VLOOKUP($B2173,SERVIÇOS!$B:$G,6,0),IFERROR(VLOOKUP($B2173,$D:$K,8,0),"")),IFERROR(VLOOKUP($C2173,INSUMOS!$A:$D,4,0),IFERROR(VLOOKUP($C2173,COTAÇÕES!$B:$I,7,0),(VLOOKUP($C2173,'INSUMO SINAPI - SP'!$C:$F,4,0)))))</f>
        <v>30.8</v>
      </c>
      <c r="I2173" s="513">
        <f>TRUNC(IF($C2173="",IFERROR(VLOOKUP($B2173,SERVIÇOS!$B:$G,4,0),IFERROR(VLOOKUP($B2173,$D:$K,6,0),)),IFERROR(VLOOKUP($C2173,INSUMOS!$A:$D,4,0),IFERROR(VLOOKUP($C2173,COTAÇÕES!$B:$I,7,0),(VLOOKUP($C2173,'INSUMO SINAPI - SP'!$C:$F,4,0)))))*$G2173,2)</f>
        <v>2.79</v>
      </c>
      <c r="J2173" s="513">
        <f>TRUNC(IF($C2173="",IFERROR(VLOOKUP($B2173,SERVIÇOS!$B:$G,5,0),IFERROR(VLOOKUP($B2173,$D:$K,7,0),)),0)*$G2173,2)</f>
        <v>6.44</v>
      </c>
      <c r="K2173" s="514">
        <f>I2173+J2173</f>
        <v>9.23</v>
      </c>
      <c r="L2173" s="517"/>
    </row>
    <row r="2174" spans="2:12" x14ac:dyDescent="0.25">
      <c r="B2174" s="570">
        <v>88264</v>
      </c>
      <c r="C2174" s="570"/>
      <c r="D2174" s="571"/>
      <c r="E2174" s="509" t="str">
        <f>IF($C2174="",IFERROR(VLOOKUP($B2174,SERVIÇOS!$B:$G,2,0),IFERROR(VLOOKUP($B2174,$D:$K,2,0),"")),IFERROR(VLOOKUP($C2174,INSUMOS!$A:$D,2,0),IFERROR(VLOOKUP($C2174,COTAÇÕES!$B:$I,2,0),(VLOOKUP($C2174,'INSUMO SINAPI - SP'!$C:$F,2,0)))))</f>
        <v>ELETRICISTA COM ENCARGOS COMPLEMENTARES</v>
      </c>
      <c r="F2174" s="510" t="str">
        <f>IF($C2174="",IFERROR(VLOOKUP($B2174,SERVIÇOS!$B:$G,3,0),IFERROR(VLOOKUP($B2174,$D:$K,3,0),"")),IFERROR(VLOOKUP($C2174,INSUMOS!$A:$D,3,0),IFERROR(VLOOKUP($C2174,COTAÇÕES!$B:$I,3,0),(VLOOKUP($C2174,'INSUMO SINAPI - SP'!$C:$F,3,0)))))</f>
        <v>H</v>
      </c>
      <c r="G2174" s="572">
        <v>0.3</v>
      </c>
      <c r="H2174" s="512">
        <f>IF($C2174="",IFERROR(VLOOKUP($B2174,SERVIÇOS!$B:$G,6,0),IFERROR(VLOOKUP($B2174,$D:$K,8,0),"")),IFERROR(VLOOKUP($C2174,INSUMOS!$A:$D,4,0),IFERROR(VLOOKUP($C2174,COTAÇÕES!$B:$I,7,0),(VLOOKUP($C2174,'INSUMO SINAPI - SP'!$C:$F,4,0)))))</f>
        <v>37.369999999999997</v>
      </c>
      <c r="I2174" s="513">
        <f>TRUNC(IF($C2174="",IFERROR(VLOOKUP($B2174,SERVIÇOS!$B:$G,4,0),IFERROR(VLOOKUP($B2174,$D:$K,6,0),)),IFERROR(VLOOKUP($C2174,INSUMOS!$A:$D,4,0),IFERROR(VLOOKUP($C2174,COTAÇÕES!$B:$I,7,0),(VLOOKUP($C2174,'INSUMO SINAPI - SP'!$C:$F,4,0)))))*$G2174,2)</f>
        <v>2.79</v>
      </c>
      <c r="J2174" s="513">
        <f>TRUNC(IF($C2174="",IFERROR(VLOOKUP($B2174,SERVIÇOS!$B:$G,5,0),IFERROR(VLOOKUP($B2174,$D:$K,7,0),)),0)*$G2174,2)</f>
        <v>8.41</v>
      </c>
      <c r="K2174" s="514">
        <f>I2174+J2174</f>
        <v>11.2</v>
      </c>
      <c r="L2174" s="517"/>
    </row>
    <row r="2175" spans="2:12" ht="76.5" x14ac:dyDescent="0.25">
      <c r="B2175" s="570"/>
      <c r="C2175" s="570" t="s">
        <v>13613</v>
      </c>
      <c r="D2175" s="573"/>
      <c r="E2175" s="574" t="s">
        <v>13611</v>
      </c>
      <c r="F2175" s="575" t="s">
        <v>580</v>
      </c>
      <c r="G2175" s="572">
        <v>1</v>
      </c>
      <c r="H2175" s="576">
        <v>3308.11</v>
      </c>
      <c r="I2175" s="576">
        <v>3308.11</v>
      </c>
      <c r="J2175" s="577"/>
      <c r="K2175" s="578">
        <f>I2175+J2175</f>
        <v>3308.11</v>
      </c>
      <c r="L2175" s="579" t="s">
        <v>12668</v>
      </c>
    </row>
    <row r="2176" spans="2:12" ht="25.5" x14ac:dyDescent="0.25">
      <c r="B2176" s="561"/>
      <c r="C2176" s="562"/>
      <c r="D2176" s="563" t="s">
        <v>12538</v>
      </c>
      <c r="E2176" s="564" t="s">
        <v>13614</v>
      </c>
      <c r="F2176" s="565" t="s">
        <v>580</v>
      </c>
      <c r="G2176" s="566"/>
      <c r="H2176" s="567"/>
      <c r="I2176" s="568">
        <f>SUM(I2177:I2178)</f>
        <v>682.94</v>
      </c>
      <c r="J2176" s="568">
        <f>SUM(J2177:J2178)</f>
        <v>140.32</v>
      </c>
      <c r="K2176" s="568">
        <f>+J2176+I2176</f>
        <v>823.26</v>
      </c>
      <c r="L2176" s="569" t="s">
        <v>12842</v>
      </c>
    </row>
    <row r="2177" spans="2:12" x14ac:dyDescent="0.25">
      <c r="B2177" s="570">
        <v>88266</v>
      </c>
      <c r="C2177" s="570"/>
      <c r="D2177" s="571"/>
      <c r="E2177" s="509" t="str">
        <f>IF($C2177="",IFERROR(VLOOKUP($B2177,SERVIÇOS!$B:$G,2,0),IFERROR(VLOOKUP($B2177,$D:$K,2,0),"")),IFERROR(VLOOKUP($C2177,INSUMOS!$A:$D,2,0),IFERROR(VLOOKUP($C2177,COTAÇÕES!$B:$I,2,0),(VLOOKUP($C2177,'INSUMO SINAPI - SP'!$C:$F,2,0)))))</f>
        <v>ELETROTÉCNICO COM ENCARGOS COMPLEMENTARES</v>
      </c>
      <c r="F2177" s="510" t="str">
        <f>IF($C2177="",IFERROR(VLOOKUP($B2177,SERVIÇOS!$B:$G,3,0),IFERROR(VLOOKUP($B2177,$D:$K,3,0),"")),IFERROR(VLOOKUP($C2177,INSUMOS!$A:$D,3,0),IFERROR(VLOOKUP($C2177,COTAÇÕES!$B:$I,3,0),(VLOOKUP($C2177,'INSUMO SINAPI - SP'!$C:$F,3,0)))))</f>
        <v>H</v>
      </c>
      <c r="G2177" s="572">
        <v>4</v>
      </c>
      <c r="H2177" s="512">
        <f>IF($C2177="",IFERROR(VLOOKUP($B2177,SERVIÇOS!$B:$G,6,0),IFERROR(VLOOKUP($B2177,$D:$K,8,0),"")),IFERROR(VLOOKUP($C2177,INSUMOS!$A:$D,4,0),IFERROR(VLOOKUP($C2177,COTAÇÕES!$B:$I,7,0),(VLOOKUP($C2177,'INSUMO SINAPI - SP'!$C:$F,4,0)))))</f>
        <v>44.39</v>
      </c>
      <c r="I2177" s="513">
        <f>TRUNC(IF($C2177="",IFERROR(VLOOKUP($B2177,SERVIÇOS!$B:$G,4,0),IFERROR(VLOOKUP($B2177,$D:$K,6,0),)),IFERROR(VLOOKUP($C2177,INSUMOS!$A:$D,4,0),IFERROR(VLOOKUP($C2177,COTAÇÕES!$B:$I,7,0),(VLOOKUP($C2177,'INSUMO SINAPI - SP'!$C:$F,4,0)))))*$G2177,2)</f>
        <v>37.24</v>
      </c>
      <c r="J2177" s="513">
        <f>TRUNC(IF($C2177="",IFERROR(VLOOKUP($B2177,SERVIÇOS!$B:$G,5,0),IFERROR(VLOOKUP($B2177,$D:$K,7,0),)),0)*$G2177,2)</f>
        <v>140.32</v>
      </c>
      <c r="K2177" s="514">
        <f>I2177+J2177</f>
        <v>177.56</v>
      </c>
      <c r="L2177" s="517"/>
    </row>
    <row r="2178" spans="2:12" ht="25.5" x14ac:dyDescent="0.25">
      <c r="B2178" s="570"/>
      <c r="C2178" s="570" t="s">
        <v>13615</v>
      </c>
      <c r="D2178" s="573"/>
      <c r="E2178" s="574" t="s">
        <v>13614</v>
      </c>
      <c r="F2178" s="575" t="s">
        <v>580</v>
      </c>
      <c r="G2178" s="572">
        <v>1</v>
      </c>
      <c r="H2178" s="576">
        <v>645.70000000000005</v>
      </c>
      <c r="I2178" s="576">
        <v>645.70000000000005</v>
      </c>
      <c r="J2178" s="577"/>
      <c r="K2178" s="578">
        <f>I2178+J2178</f>
        <v>645.70000000000005</v>
      </c>
      <c r="L2178" s="579" t="s">
        <v>12891</v>
      </c>
    </row>
    <row r="2179" spans="2:12" ht="76.5" x14ac:dyDescent="0.25">
      <c r="B2179" s="561"/>
      <c r="C2179" s="562"/>
      <c r="D2179" s="563" t="s">
        <v>12539</v>
      </c>
      <c r="E2179" s="564" t="s">
        <v>13616</v>
      </c>
      <c r="F2179" s="565" t="s">
        <v>580</v>
      </c>
      <c r="G2179" s="566"/>
      <c r="H2179" s="567"/>
      <c r="I2179" s="568">
        <f>SUM(I2180:I2181)</f>
        <v>974.32</v>
      </c>
      <c r="J2179" s="568">
        <f>SUM(J2180:J2181)</f>
        <v>280.64</v>
      </c>
      <c r="K2179" s="568">
        <f>SUM(I2179:J2179)</f>
        <v>1254.96</v>
      </c>
      <c r="L2179" s="569" t="s">
        <v>13617</v>
      </c>
    </row>
    <row r="2180" spans="2:12" x14ac:dyDescent="0.25">
      <c r="B2180" s="570">
        <v>88266</v>
      </c>
      <c r="C2180" s="570"/>
      <c r="D2180" s="571"/>
      <c r="E2180" s="509" t="str">
        <f>IF($C2180="",IFERROR(VLOOKUP($B2180,SERVIÇOS!$B:$G,2,0),IFERROR(VLOOKUP($B2180,$D:$K,2,0),"")),IFERROR(VLOOKUP($C2180,INSUMOS!$A:$D,2,0),IFERROR(VLOOKUP($C2180,COTAÇÕES!$B:$I,2,0),(VLOOKUP($C2180,'INSUMO SINAPI - SP'!$C:$F,2,0)))))</f>
        <v>ELETROTÉCNICO COM ENCARGOS COMPLEMENTARES</v>
      </c>
      <c r="F2180" s="510" t="str">
        <f>IF($C2180="",IFERROR(VLOOKUP($B2180,SERVIÇOS!$B:$G,3,0),IFERROR(VLOOKUP($B2180,$D:$K,3,0),"")),IFERROR(VLOOKUP($C2180,INSUMOS!$A:$D,3,0),IFERROR(VLOOKUP($C2180,COTAÇÕES!$B:$I,3,0),(VLOOKUP($C2180,'INSUMO SINAPI - SP'!$C:$F,3,0)))))</f>
        <v>H</v>
      </c>
      <c r="G2180" s="572">
        <v>8</v>
      </c>
      <c r="H2180" s="512">
        <f>IF($C2180="",IFERROR(VLOOKUP($B2180,SERVIÇOS!$B:$G,6,0),IFERROR(VLOOKUP($B2180,$D:$K,8,0),"")),IFERROR(VLOOKUP($C2180,INSUMOS!$A:$D,4,0),IFERROR(VLOOKUP($C2180,COTAÇÕES!$B:$I,7,0),(VLOOKUP($C2180,'INSUMO SINAPI - SP'!$C:$F,4,0)))))</f>
        <v>44.39</v>
      </c>
      <c r="I2180" s="513">
        <f>TRUNC(IF($C2180="",IFERROR(VLOOKUP($B2180,SERVIÇOS!$B:$G,4,0),IFERROR(VLOOKUP($B2180,$D:$K,6,0),)),IFERROR(VLOOKUP($C2180,INSUMOS!$A:$D,4,0),IFERROR(VLOOKUP($C2180,COTAÇÕES!$B:$I,7,0),(VLOOKUP($C2180,'INSUMO SINAPI - SP'!$C:$F,4,0)))))*$G2180,2)</f>
        <v>74.48</v>
      </c>
      <c r="J2180" s="513">
        <f>TRUNC(IF($C2180="",IFERROR(VLOOKUP($B2180,SERVIÇOS!$B:$G,5,0),IFERROR(VLOOKUP($B2180,$D:$K,7,0),)),0)*$G2180,2)</f>
        <v>280.64</v>
      </c>
      <c r="K2180" s="514">
        <f>I2180+J2180</f>
        <v>355.12</v>
      </c>
      <c r="L2180" s="517"/>
    </row>
    <row r="2181" spans="2:12" ht="76.5" x14ac:dyDescent="0.25">
      <c r="B2181" s="570"/>
      <c r="C2181" s="570" t="s">
        <v>13618</v>
      </c>
      <c r="D2181" s="573"/>
      <c r="E2181" s="574" t="s">
        <v>13616</v>
      </c>
      <c r="F2181" s="575" t="s">
        <v>580</v>
      </c>
      <c r="G2181" s="572">
        <v>1</v>
      </c>
      <c r="H2181" s="576">
        <v>899.84</v>
      </c>
      <c r="I2181" s="576">
        <v>899.84</v>
      </c>
      <c r="J2181" s="577"/>
      <c r="K2181" s="578">
        <f>I2181+J2181</f>
        <v>899.84</v>
      </c>
      <c r="L2181" s="579" t="s">
        <v>12901</v>
      </c>
    </row>
    <row r="2182" spans="2:12" ht="51" x14ac:dyDescent="0.25">
      <c r="B2182" s="561"/>
      <c r="C2182" s="562"/>
      <c r="D2182" s="563" t="s">
        <v>12540</v>
      </c>
      <c r="E2182" s="564" t="s">
        <v>13619</v>
      </c>
      <c r="F2182" s="565" t="s">
        <v>580</v>
      </c>
      <c r="G2182" s="566"/>
      <c r="H2182" s="567"/>
      <c r="I2182" s="568">
        <f>SUM(I2183:I2185)</f>
        <v>1151.71</v>
      </c>
      <c r="J2182" s="568">
        <f>SUM(J2183:J2185)</f>
        <v>198.16</v>
      </c>
      <c r="K2182" s="568">
        <f>SUM(I2182:J2182)</f>
        <v>1349.8700000000001</v>
      </c>
      <c r="L2182" s="569" t="s">
        <v>13620</v>
      </c>
    </row>
    <row r="2183" spans="2:12" ht="51" x14ac:dyDescent="0.25">
      <c r="B2183" s="570"/>
      <c r="C2183" s="570" t="s">
        <v>13621</v>
      </c>
      <c r="D2183" s="573"/>
      <c r="E2183" s="574" t="s">
        <v>13619</v>
      </c>
      <c r="F2183" s="575" t="s">
        <v>580</v>
      </c>
      <c r="G2183" s="572">
        <v>1</v>
      </c>
      <c r="H2183" s="576">
        <v>1077.19</v>
      </c>
      <c r="I2183" s="576">
        <v>1077.19</v>
      </c>
      <c r="J2183" s="577"/>
      <c r="K2183" s="578">
        <f>I2183+J2183</f>
        <v>1077.19</v>
      </c>
      <c r="L2183" s="579" t="s">
        <v>12901</v>
      </c>
    </row>
    <row r="2184" spans="2:12" x14ac:dyDescent="0.25">
      <c r="B2184" s="570">
        <v>88264</v>
      </c>
      <c r="C2184" s="570"/>
      <c r="D2184" s="571"/>
      <c r="E2184" s="509" t="str">
        <f>IF($C2184="",IFERROR(VLOOKUP($B2184,SERVIÇOS!$B:$G,2,0),IFERROR(VLOOKUP($B2184,$D:$K,2,0),"")),IFERROR(VLOOKUP($C2184,INSUMOS!$A:$D,2,0),IFERROR(VLOOKUP($C2184,COTAÇÕES!$B:$I,2,0),(VLOOKUP($C2184,'INSUMO SINAPI - SP'!$C:$F,2,0)))))</f>
        <v>ELETRICISTA COM ENCARGOS COMPLEMENTARES</v>
      </c>
      <c r="F2184" s="510" t="str">
        <f>IF($C2184="",IFERROR(VLOOKUP($B2184,SERVIÇOS!$B:$G,3,0),IFERROR(VLOOKUP($B2184,$D:$K,3,0),"")),IFERROR(VLOOKUP($C2184,INSUMOS!$A:$D,3,0),IFERROR(VLOOKUP($C2184,COTAÇÕES!$B:$I,3,0),(VLOOKUP($C2184,'INSUMO SINAPI - SP'!$C:$F,3,0)))))</f>
        <v>H</v>
      </c>
      <c r="G2184" s="572">
        <v>4</v>
      </c>
      <c r="H2184" s="512">
        <f>IF($C2184="",IFERROR(VLOOKUP($B2184,SERVIÇOS!$B:$G,6,0),IFERROR(VLOOKUP($B2184,$D:$K,8,0),"")),IFERROR(VLOOKUP($C2184,INSUMOS!$A:$D,4,0),IFERROR(VLOOKUP($C2184,COTAÇÕES!$B:$I,7,0),(VLOOKUP($C2184,'INSUMO SINAPI - SP'!$C:$F,4,0)))))</f>
        <v>37.369999999999997</v>
      </c>
      <c r="I2184" s="513">
        <f>TRUNC(IF($C2184="",IFERROR(VLOOKUP($B2184,SERVIÇOS!$B:$G,4,0),IFERROR(VLOOKUP($B2184,$D:$K,6,0),)),IFERROR(VLOOKUP($C2184,INSUMOS!$A:$D,4,0),IFERROR(VLOOKUP($C2184,COTAÇÕES!$B:$I,7,0),(VLOOKUP($C2184,'INSUMO SINAPI - SP'!$C:$F,4,0)))))*$G2184,2)</f>
        <v>37.24</v>
      </c>
      <c r="J2184" s="513">
        <f>TRUNC(IF($C2184="",IFERROR(VLOOKUP($B2184,SERVIÇOS!$B:$G,5,0),IFERROR(VLOOKUP($B2184,$D:$K,7,0),)),0)*$G2184,2)</f>
        <v>112.24</v>
      </c>
      <c r="K2184" s="514">
        <f>I2184+J2184</f>
        <v>149.47999999999999</v>
      </c>
      <c r="L2184" s="517"/>
    </row>
    <row r="2185" spans="2:12" x14ac:dyDescent="0.25">
      <c r="B2185" s="570">
        <v>88247</v>
      </c>
      <c r="C2185" s="570"/>
      <c r="D2185" s="571"/>
      <c r="E2185" s="509" t="str">
        <f>IF($C2185="",IFERROR(VLOOKUP($B2185,SERVIÇOS!$B:$G,2,0),IFERROR(VLOOKUP($B2185,$D:$K,2,0),"")),IFERROR(VLOOKUP($C2185,INSUMOS!$A:$D,2,0),IFERROR(VLOOKUP($C2185,COTAÇÕES!$B:$I,2,0),(VLOOKUP($C2185,'INSUMO SINAPI - SP'!$C:$F,2,0)))))</f>
        <v>AUXILIAR DE ELETRICISTA COM ENCARGOS COMPLEMENTARES</v>
      </c>
      <c r="F2185" s="510" t="str">
        <f>IF($C2185="",IFERROR(VLOOKUP($B2185,SERVIÇOS!$B:$G,3,0),IFERROR(VLOOKUP($B2185,$D:$K,3,0),"")),IFERROR(VLOOKUP($C2185,INSUMOS!$A:$D,3,0),IFERROR(VLOOKUP($C2185,COTAÇÕES!$B:$I,3,0),(VLOOKUP($C2185,'INSUMO SINAPI - SP'!$C:$F,3,0)))))</f>
        <v>H</v>
      </c>
      <c r="G2185" s="572">
        <v>4</v>
      </c>
      <c r="H2185" s="512">
        <f>IF($C2185="",IFERROR(VLOOKUP($B2185,SERVIÇOS!$B:$G,6,0),IFERROR(VLOOKUP($B2185,$D:$K,8,0),"")),IFERROR(VLOOKUP($C2185,INSUMOS!$A:$D,4,0),IFERROR(VLOOKUP($C2185,COTAÇÕES!$B:$I,7,0),(VLOOKUP($C2185,'INSUMO SINAPI - SP'!$C:$F,4,0)))))</f>
        <v>30.8</v>
      </c>
      <c r="I2185" s="513">
        <f>TRUNC(IF($C2185="",IFERROR(VLOOKUP($B2185,SERVIÇOS!$B:$G,4,0),IFERROR(VLOOKUP($B2185,$D:$K,6,0),)),IFERROR(VLOOKUP($C2185,INSUMOS!$A:$D,4,0),IFERROR(VLOOKUP($C2185,COTAÇÕES!$B:$I,7,0),(VLOOKUP($C2185,'INSUMO SINAPI - SP'!$C:$F,4,0)))))*$G2185,2)</f>
        <v>37.28</v>
      </c>
      <c r="J2185" s="513">
        <f>TRUNC(IF($C2185="",IFERROR(VLOOKUP($B2185,SERVIÇOS!$B:$G,5,0),IFERROR(VLOOKUP($B2185,$D:$K,7,0),)),0)*$G2185,2)</f>
        <v>85.92</v>
      </c>
      <c r="K2185" s="514">
        <f>I2185+J2185</f>
        <v>123.2</v>
      </c>
      <c r="L2185" s="517"/>
    </row>
    <row r="2186" spans="2:12" ht="25.5" x14ac:dyDescent="0.25">
      <c r="B2186" s="561"/>
      <c r="C2186" s="562"/>
      <c r="D2186" s="563" t="s">
        <v>12542</v>
      </c>
      <c r="E2186" s="564" t="s">
        <v>13622</v>
      </c>
      <c r="F2186" s="565" t="s">
        <v>580</v>
      </c>
      <c r="G2186" s="566"/>
      <c r="H2186" s="567"/>
      <c r="I2186" s="568">
        <f>SUM(I2187:I2190)</f>
        <v>1120.5600000000002</v>
      </c>
      <c r="J2186" s="568">
        <f>SUM(J2187:J2190)</f>
        <v>9.64</v>
      </c>
      <c r="K2186" s="568">
        <f>+J2186+I2186</f>
        <v>1130.2000000000003</v>
      </c>
      <c r="L2186" s="569" t="s">
        <v>12913</v>
      </c>
    </row>
    <row r="2187" spans="2:12" x14ac:dyDescent="0.25">
      <c r="B2187" s="570">
        <v>88309</v>
      </c>
      <c r="C2187" s="570"/>
      <c r="D2187" s="571"/>
      <c r="E2187" s="509" t="str">
        <f>IF($C2187="",IFERROR(VLOOKUP($B2187,SERVIÇOS!$B:$G,2,0),IFERROR(VLOOKUP($B2187,$D:$K,2,0),"")),IFERROR(VLOOKUP($C2187,INSUMOS!$A:$D,2,0),IFERROR(VLOOKUP($C2187,COTAÇÕES!$B:$I,2,0),(VLOOKUP($C2187,'INSUMO SINAPI - SP'!$C:$F,2,0)))))</f>
        <v>PEDREIRO COM ENCARGOS COMPLEMENTARES</v>
      </c>
      <c r="F2187" s="510" t="str">
        <f>IF($C2187="",IFERROR(VLOOKUP($B2187,SERVIÇOS!$B:$G,3,0),IFERROR(VLOOKUP($B2187,$D:$K,3,0),"")),IFERROR(VLOOKUP($C2187,INSUMOS!$A:$D,3,0),IFERROR(VLOOKUP($C2187,COTAÇÕES!$B:$I,3,0),(VLOOKUP($C2187,'INSUMO SINAPI - SP'!$C:$F,3,0)))))</f>
        <v>H</v>
      </c>
      <c r="G2187" s="572">
        <v>0.16930000000000001</v>
      </c>
      <c r="H2187" s="512">
        <f>IF($C2187="",IFERROR(VLOOKUP($B2187,SERVIÇOS!$B:$G,6,0),IFERROR(VLOOKUP($B2187,$D:$K,8,0),"")),IFERROR(VLOOKUP($C2187,INSUMOS!$A:$D,4,0),IFERROR(VLOOKUP($C2187,COTAÇÕES!$B:$I,7,0),(VLOOKUP($C2187,'INSUMO SINAPI - SP'!$C:$F,4,0)))))</f>
        <v>36.909999999999997</v>
      </c>
      <c r="I2187" s="513">
        <f>TRUNC(IF($C2187="",IFERROR(VLOOKUP($B2187,SERVIÇOS!$B:$G,4,0),IFERROR(VLOOKUP($B2187,$D:$K,6,0),)),IFERROR(VLOOKUP($C2187,INSUMOS!$A:$D,4,0),IFERROR(VLOOKUP($C2187,COTAÇÕES!$B:$I,7,0),(VLOOKUP($C2187,'INSUMO SINAPI - SP'!$C:$F,4,0)))))*$G2187,2)</f>
        <v>1.57</v>
      </c>
      <c r="J2187" s="513">
        <f>TRUNC(IF($C2187="",IFERROR(VLOOKUP($B2187,SERVIÇOS!$B:$G,5,0),IFERROR(VLOOKUP($B2187,$D:$K,7,0),)),0)*$G2187,2)</f>
        <v>4.67</v>
      </c>
      <c r="K2187" s="514">
        <f>I2187+J2187</f>
        <v>6.24</v>
      </c>
      <c r="L2187" s="517"/>
    </row>
    <row r="2188" spans="2:12" x14ac:dyDescent="0.25">
      <c r="B2188" s="570">
        <v>88316</v>
      </c>
      <c r="C2188" s="570"/>
      <c r="D2188" s="571"/>
      <c r="E2188" s="509" t="str">
        <f>IF($C2188="",IFERROR(VLOOKUP($B2188,SERVIÇOS!$B:$G,2,0),IFERROR(VLOOKUP($B2188,$D:$K,2,0),"")),IFERROR(VLOOKUP($C2188,INSUMOS!$A:$D,2,0),IFERROR(VLOOKUP($C2188,COTAÇÕES!$B:$I,2,0),(VLOOKUP($C2188,'INSUMO SINAPI - SP'!$C:$F,2,0)))))</f>
        <v>SERVENTE COM ENCARGOS COMPLEMENTARES</v>
      </c>
      <c r="F2188" s="510" t="str">
        <f>IF($C2188="",IFERROR(VLOOKUP($B2188,SERVIÇOS!$B:$G,3,0),IFERROR(VLOOKUP($B2188,$D:$K,3,0),"")),IFERROR(VLOOKUP($C2188,INSUMOS!$A:$D,3,0),IFERROR(VLOOKUP($C2188,COTAÇÕES!$B:$I,3,0),(VLOOKUP($C2188,'INSUMO SINAPI - SP'!$C:$F,3,0)))))</f>
        <v>H</v>
      </c>
      <c r="G2188" s="572">
        <v>0.16930000000000001</v>
      </c>
      <c r="H2188" s="512">
        <f>IF($C2188="",IFERROR(VLOOKUP($B2188,SERVIÇOS!$B:$G,6,0),IFERROR(VLOOKUP($B2188,$D:$K,8,0),"")),IFERROR(VLOOKUP($C2188,INSUMOS!$A:$D,4,0),IFERROR(VLOOKUP($C2188,COTAÇÕES!$B:$I,7,0),(VLOOKUP($C2188,'INSUMO SINAPI - SP'!$C:$F,4,0)))))</f>
        <v>28.71</v>
      </c>
      <c r="I2188" s="513">
        <f>TRUNC(IF($C2188="",IFERROR(VLOOKUP($B2188,SERVIÇOS!$B:$G,4,0),IFERROR(VLOOKUP($B2188,$D:$K,6,0),)),IFERROR(VLOOKUP($C2188,INSUMOS!$A:$D,4,0),IFERROR(VLOOKUP($C2188,COTAÇÕES!$B:$I,7,0),(VLOOKUP($C2188,'INSUMO SINAPI - SP'!$C:$F,4,0)))))*$G2188,2)</f>
        <v>1.55</v>
      </c>
      <c r="J2188" s="513">
        <f>TRUNC(IF($C2188="",IFERROR(VLOOKUP($B2188,SERVIÇOS!$B:$G,5,0),IFERROR(VLOOKUP($B2188,$D:$K,7,0),)),0)*$G2188,2)</f>
        <v>3.3</v>
      </c>
      <c r="K2188" s="514">
        <f>I2188+J2188</f>
        <v>4.8499999999999996</v>
      </c>
      <c r="L2188" s="517"/>
    </row>
    <row r="2189" spans="2:12" ht="24" x14ac:dyDescent="0.25">
      <c r="B2189" s="570">
        <v>101618</v>
      </c>
      <c r="C2189" s="570"/>
      <c r="D2189" s="571"/>
      <c r="E2189" s="509" t="str">
        <f>IF($C2189="",IFERROR(VLOOKUP($B2189,SERVIÇOS!$B:$G,2,0),IFERROR(VLOOKUP($B2189,$D:$K,2,0),"")),IFERROR(VLOOKUP($C2189,INSUMOS!$A:$D,2,0),IFERROR(VLOOKUP($C2189,COTAÇÕES!$B:$I,2,0),(VLOOKUP($C2189,'INSUMO SINAPI - SP'!$C:$F,2,0)))))</f>
        <v>PREPARO DE FUNDO DE VALA COM LARGURA MENOR QUE 1,5 M, COM CAMADA DE AREIA, LANÇAMENTO MANUAL. AF_08/2020</v>
      </c>
      <c r="F2189" s="510" t="str">
        <f>IF($C2189="",IFERROR(VLOOKUP($B2189,SERVIÇOS!$B:$G,3,0),IFERROR(VLOOKUP($B2189,$D:$K,3,0),"")),IFERROR(VLOOKUP($C2189,INSUMOS!$A:$D,3,0),IFERROR(VLOOKUP($C2189,COTAÇÕES!$B:$I,3,0),(VLOOKUP($C2189,'INSUMO SINAPI - SP'!$C:$F,3,0)))))</f>
        <v>M3</v>
      </c>
      <c r="G2189" s="572">
        <v>1.41E-2</v>
      </c>
      <c r="H2189" s="512">
        <f>IF($C2189="",IFERROR(VLOOKUP($B2189,SERVIÇOS!$B:$G,6,0),IFERROR(VLOOKUP($B2189,$D:$K,8,0),"")),IFERROR(VLOOKUP($C2189,INSUMOS!$A:$D,4,0),IFERROR(VLOOKUP($C2189,COTAÇÕES!$B:$I,7,0),(VLOOKUP($C2189,'INSUMO SINAPI - SP'!$C:$F,4,0)))))</f>
        <v>298.22000000000003</v>
      </c>
      <c r="I2189" s="513">
        <f>TRUNC(IF($C2189="",IFERROR(VLOOKUP($B2189,SERVIÇOS!$B:$G,4,0),IFERROR(VLOOKUP($B2189,$D:$K,6,0),)),IFERROR(VLOOKUP($C2189,INSUMOS!$A:$D,4,0),IFERROR(VLOOKUP($C2189,COTAÇÕES!$B:$I,7,0),(VLOOKUP($C2189,'INSUMO SINAPI - SP'!$C:$F,4,0)))))*$G2189,2)</f>
        <v>2.5299999999999998</v>
      </c>
      <c r="J2189" s="513">
        <f>TRUNC(IF($C2189="",IFERROR(VLOOKUP($B2189,SERVIÇOS!$B:$G,5,0),IFERROR(VLOOKUP($B2189,$D:$K,7,0),)),0)*$G2189,2)</f>
        <v>1.67</v>
      </c>
      <c r="K2189" s="514">
        <f>I2189+J2189</f>
        <v>4.1999999999999993</v>
      </c>
      <c r="L2189" s="517"/>
    </row>
    <row r="2190" spans="2:12" ht="25.5" x14ac:dyDescent="0.25">
      <c r="B2190" s="570"/>
      <c r="C2190" s="570" t="s">
        <v>13623</v>
      </c>
      <c r="D2190" s="573"/>
      <c r="E2190" s="574" t="s">
        <v>13622</v>
      </c>
      <c r="F2190" s="575" t="s">
        <v>580</v>
      </c>
      <c r="G2190" s="572">
        <v>1</v>
      </c>
      <c r="H2190" s="576">
        <v>1114.9100000000001</v>
      </c>
      <c r="I2190" s="576">
        <v>1114.9100000000001</v>
      </c>
      <c r="J2190" s="577"/>
      <c r="K2190" s="578">
        <f>I2190+J2190</f>
        <v>1114.9100000000001</v>
      </c>
      <c r="L2190" s="579" t="s">
        <v>12668</v>
      </c>
    </row>
    <row r="2191" spans="2:12" x14ac:dyDescent="0.25">
      <c r="B2191" s="561"/>
      <c r="C2191" s="562"/>
      <c r="D2191" s="563" t="s">
        <v>12543</v>
      </c>
      <c r="E2191" s="564" t="s">
        <v>13624</v>
      </c>
      <c r="F2191" s="565" t="s">
        <v>580</v>
      </c>
      <c r="G2191" s="566"/>
      <c r="H2191" s="567"/>
      <c r="I2191" s="568">
        <f>SUM(I2192:I2193)</f>
        <v>66.3</v>
      </c>
      <c r="J2191" s="568">
        <f>SUM(J2192:J2193)</f>
        <v>28.06</v>
      </c>
      <c r="K2191" s="568">
        <f>+J2191+I2191</f>
        <v>94.36</v>
      </c>
      <c r="L2191" s="569" t="s">
        <v>13625</v>
      </c>
    </row>
    <row r="2192" spans="2:12" x14ac:dyDescent="0.25">
      <c r="B2192" s="570">
        <v>88264</v>
      </c>
      <c r="C2192" s="570"/>
      <c r="D2192" s="571"/>
      <c r="E2192" s="509" t="str">
        <f>IF($C2192="",IFERROR(VLOOKUP($B2192,SERVIÇOS!$B:$G,2,0),IFERROR(VLOOKUP($B2192,$D:$K,2,0),"")),IFERROR(VLOOKUP($C2192,INSUMOS!$A:$D,2,0),IFERROR(VLOOKUP($C2192,COTAÇÕES!$B:$I,2,0),(VLOOKUP($C2192,'INSUMO SINAPI - SP'!$C:$F,2,0)))))</f>
        <v>ELETRICISTA COM ENCARGOS COMPLEMENTARES</v>
      </c>
      <c r="F2192" s="510" t="str">
        <f>IF($C2192="",IFERROR(VLOOKUP($B2192,SERVIÇOS!$B:$G,3,0),IFERROR(VLOOKUP($B2192,$D:$K,3,0),"")),IFERROR(VLOOKUP($C2192,INSUMOS!$A:$D,3,0),IFERROR(VLOOKUP($C2192,COTAÇÕES!$B:$I,3,0),(VLOOKUP($C2192,'INSUMO SINAPI - SP'!$C:$F,3,0)))))</f>
        <v>H</v>
      </c>
      <c r="G2192" s="572">
        <v>1</v>
      </c>
      <c r="H2192" s="512">
        <f>IF($C2192="",IFERROR(VLOOKUP($B2192,SERVIÇOS!$B:$G,6,0),IFERROR(VLOOKUP($B2192,$D:$K,8,0),"")),IFERROR(VLOOKUP($C2192,INSUMOS!$A:$D,4,0),IFERROR(VLOOKUP($C2192,COTAÇÕES!$B:$I,7,0),(VLOOKUP($C2192,'INSUMO SINAPI - SP'!$C:$F,4,0)))))</f>
        <v>37.369999999999997</v>
      </c>
      <c r="I2192" s="513">
        <f>TRUNC(IF($C2192="",IFERROR(VLOOKUP($B2192,SERVIÇOS!$B:$G,4,0),IFERROR(VLOOKUP($B2192,$D:$K,6,0),)),IFERROR(VLOOKUP($C2192,INSUMOS!$A:$D,4,0),IFERROR(VLOOKUP($C2192,COTAÇÕES!$B:$I,7,0),(VLOOKUP($C2192,'INSUMO SINAPI - SP'!$C:$F,4,0)))))*$G2192,2)</f>
        <v>9.31</v>
      </c>
      <c r="J2192" s="513">
        <f>TRUNC(IF($C2192="",IFERROR(VLOOKUP($B2192,SERVIÇOS!$B:$G,5,0),IFERROR(VLOOKUP($B2192,$D:$K,7,0),)),0)*$G2192,2)</f>
        <v>28.06</v>
      </c>
      <c r="K2192" s="514">
        <f>I2192+J2192</f>
        <v>37.369999999999997</v>
      </c>
      <c r="L2192" s="517"/>
    </row>
    <row r="2193" spans="2:12" x14ac:dyDescent="0.25">
      <c r="B2193" s="570"/>
      <c r="C2193" s="570" t="s">
        <v>13626</v>
      </c>
      <c r="D2193" s="573"/>
      <c r="E2193" s="574" t="s">
        <v>13624</v>
      </c>
      <c r="F2193" s="575" t="s">
        <v>580</v>
      </c>
      <c r="G2193" s="572">
        <v>1</v>
      </c>
      <c r="H2193" s="576">
        <v>56.99</v>
      </c>
      <c r="I2193" s="576">
        <v>56.99</v>
      </c>
      <c r="J2193" s="577"/>
      <c r="K2193" s="578">
        <f>I2193+J2193</f>
        <v>56.99</v>
      </c>
      <c r="L2193" s="579" t="s">
        <v>12668</v>
      </c>
    </row>
    <row r="2194" spans="2:12" ht="25.5" x14ac:dyDescent="0.25">
      <c r="B2194" s="561"/>
      <c r="C2194" s="562"/>
      <c r="D2194" s="563" t="s">
        <v>12244</v>
      </c>
      <c r="E2194" s="564" t="s">
        <v>13003</v>
      </c>
      <c r="F2194" s="565" t="s">
        <v>580</v>
      </c>
      <c r="G2194" s="566"/>
      <c r="H2194" s="567"/>
      <c r="I2194" s="568">
        <f>SUM(I2195:I2197)</f>
        <v>552.94999999999993</v>
      </c>
      <c r="J2194" s="568">
        <f>SUM(J2195:J2197)</f>
        <v>24.77</v>
      </c>
      <c r="K2194" s="568">
        <f>+J2194+I2194</f>
        <v>577.71999999999991</v>
      </c>
      <c r="L2194" s="569" t="s">
        <v>13004</v>
      </c>
    </row>
    <row r="2195" spans="2:12" x14ac:dyDescent="0.25">
      <c r="B2195" s="570"/>
      <c r="C2195" s="570" t="s">
        <v>12949</v>
      </c>
      <c r="D2195" s="573"/>
      <c r="E2195" s="574" t="s">
        <v>13627</v>
      </c>
      <c r="F2195" s="575" t="s">
        <v>580</v>
      </c>
      <c r="G2195" s="572">
        <v>1</v>
      </c>
      <c r="H2195" s="576">
        <v>543.64</v>
      </c>
      <c r="I2195" s="576">
        <v>543.64</v>
      </c>
      <c r="J2195" s="577"/>
      <c r="K2195" s="578">
        <f>I2195+J2195</f>
        <v>543.64</v>
      </c>
      <c r="L2195" s="579" t="s">
        <v>12668</v>
      </c>
    </row>
    <row r="2196" spans="2:12" x14ac:dyDescent="0.25">
      <c r="B2196" s="570">
        <v>88247</v>
      </c>
      <c r="C2196" s="570"/>
      <c r="D2196" s="571"/>
      <c r="E2196" s="509" t="str">
        <f>IF($C2196="",IFERROR(VLOOKUP($B2196,SERVIÇOS!$B:$G,2,0),IFERROR(VLOOKUP($B2196,$D:$K,2,0),"")),IFERROR(VLOOKUP($C2196,INSUMOS!$A:$D,2,0),IFERROR(VLOOKUP($C2196,COTAÇÕES!$B:$I,2,0),(VLOOKUP($C2196,'INSUMO SINAPI - SP'!$C:$F,2,0)))))</f>
        <v>AUXILIAR DE ELETRICISTA COM ENCARGOS COMPLEMENTARES</v>
      </c>
      <c r="F2196" s="510" t="str">
        <f>IF($C2196="",IFERROR(VLOOKUP($B2196,SERVIÇOS!$B:$G,3,0),IFERROR(VLOOKUP($B2196,$D:$K,3,0),"")),IFERROR(VLOOKUP($C2196,INSUMOS!$A:$D,3,0),IFERROR(VLOOKUP($C2196,COTAÇÕES!$B:$I,3,0),(VLOOKUP($C2196,'INSUMO SINAPI - SP'!$C:$F,3,0)))))</f>
        <v>H</v>
      </c>
      <c r="G2196" s="572">
        <v>0.5</v>
      </c>
      <c r="H2196" s="512">
        <f>IF($C2196="",IFERROR(VLOOKUP($B2196,SERVIÇOS!$B:$G,6,0),IFERROR(VLOOKUP($B2196,$D:$K,8,0),"")),IFERROR(VLOOKUP($C2196,INSUMOS!$A:$D,4,0),IFERROR(VLOOKUP($C2196,COTAÇÕES!$B:$I,7,0),(VLOOKUP($C2196,'INSUMO SINAPI - SP'!$C:$F,4,0)))))</f>
        <v>30.8</v>
      </c>
      <c r="I2196" s="513">
        <f>TRUNC(IF($C2196="",IFERROR(VLOOKUP($B2196,SERVIÇOS!$B:$G,4,0),IFERROR(VLOOKUP($B2196,$D:$K,6,0),)),IFERROR(VLOOKUP($C2196,INSUMOS!$A:$D,4,0),IFERROR(VLOOKUP($C2196,COTAÇÕES!$B:$I,7,0),(VLOOKUP($C2196,'INSUMO SINAPI - SP'!$C:$F,4,0)))))*$G2196,2)</f>
        <v>4.66</v>
      </c>
      <c r="J2196" s="513">
        <f>TRUNC(IF($C2196="",IFERROR(VLOOKUP($B2196,SERVIÇOS!$B:$G,5,0),IFERROR(VLOOKUP($B2196,$D:$K,7,0),)),0)*$G2196,2)</f>
        <v>10.74</v>
      </c>
      <c r="K2196" s="514">
        <f>I2196+J2196</f>
        <v>15.4</v>
      </c>
      <c r="L2196" s="517"/>
    </row>
    <row r="2197" spans="2:12" x14ac:dyDescent="0.25">
      <c r="B2197" s="570">
        <v>88264</v>
      </c>
      <c r="C2197" s="570"/>
      <c r="D2197" s="571"/>
      <c r="E2197" s="509" t="str">
        <f>IF($C2197="",IFERROR(VLOOKUP($B2197,SERVIÇOS!$B:$G,2,0),IFERROR(VLOOKUP($B2197,$D:$K,2,0),"")),IFERROR(VLOOKUP($C2197,INSUMOS!$A:$D,2,0),IFERROR(VLOOKUP($C2197,COTAÇÕES!$B:$I,2,0),(VLOOKUP($C2197,'INSUMO SINAPI - SP'!$C:$F,2,0)))))</f>
        <v>ELETRICISTA COM ENCARGOS COMPLEMENTARES</v>
      </c>
      <c r="F2197" s="510" t="str">
        <f>IF($C2197="",IFERROR(VLOOKUP($B2197,SERVIÇOS!$B:$G,3,0),IFERROR(VLOOKUP($B2197,$D:$K,3,0),"")),IFERROR(VLOOKUP($C2197,INSUMOS!$A:$D,3,0),IFERROR(VLOOKUP($C2197,COTAÇÕES!$B:$I,3,0),(VLOOKUP($C2197,'INSUMO SINAPI - SP'!$C:$F,3,0)))))</f>
        <v>H</v>
      </c>
      <c r="G2197" s="572">
        <v>0.5</v>
      </c>
      <c r="H2197" s="512">
        <f>IF($C2197="",IFERROR(VLOOKUP($B2197,SERVIÇOS!$B:$G,6,0),IFERROR(VLOOKUP($B2197,$D:$K,8,0),"")),IFERROR(VLOOKUP($C2197,INSUMOS!$A:$D,4,0),IFERROR(VLOOKUP($C2197,COTAÇÕES!$B:$I,7,0),(VLOOKUP($C2197,'INSUMO SINAPI - SP'!$C:$F,4,0)))))</f>
        <v>37.369999999999997</v>
      </c>
      <c r="I2197" s="513">
        <f>TRUNC(IF($C2197="",IFERROR(VLOOKUP($B2197,SERVIÇOS!$B:$G,4,0),IFERROR(VLOOKUP($B2197,$D:$K,6,0),)),IFERROR(VLOOKUP($C2197,INSUMOS!$A:$D,4,0),IFERROR(VLOOKUP($C2197,COTAÇÕES!$B:$I,7,0),(VLOOKUP($C2197,'INSUMO SINAPI - SP'!$C:$F,4,0)))))*$G2197,2)</f>
        <v>4.6500000000000004</v>
      </c>
      <c r="J2197" s="513">
        <f>TRUNC(IF($C2197="",IFERROR(VLOOKUP($B2197,SERVIÇOS!$B:$G,5,0),IFERROR(VLOOKUP($B2197,$D:$K,7,0),)),0)*$G2197,2)</f>
        <v>14.03</v>
      </c>
      <c r="K2197" s="514">
        <f>I2197+J2197</f>
        <v>18.68</v>
      </c>
      <c r="L2197" s="517"/>
    </row>
    <row r="2198" spans="2:12" ht="25.5" x14ac:dyDescent="0.25">
      <c r="B2198" s="561"/>
      <c r="C2198" s="562"/>
      <c r="D2198" s="563" t="s">
        <v>12544</v>
      </c>
      <c r="E2198" s="564" t="s">
        <v>13628</v>
      </c>
      <c r="F2198" s="565" t="s">
        <v>580</v>
      </c>
      <c r="G2198" s="566"/>
      <c r="H2198" s="567"/>
      <c r="I2198" s="568">
        <f>SUM(I2199:I2201)</f>
        <v>85.73</v>
      </c>
      <c r="J2198" s="568">
        <f>SUM(J2199:J2201)</f>
        <v>59.44</v>
      </c>
      <c r="K2198" s="568">
        <f>+J2198+I2198</f>
        <v>145.17000000000002</v>
      </c>
      <c r="L2198" s="569" t="s">
        <v>13629</v>
      </c>
    </row>
    <row r="2199" spans="2:12" x14ac:dyDescent="0.25">
      <c r="B2199" s="570">
        <v>88264</v>
      </c>
      <c r="C2199" s="570"/>
      <c r="D2199" s="571"/>
      <c r="E2199" s="509" t="str">
        <f>IF($C2199="",IFERROR(VLOOKUP($B2199,SERVIÇOS!$B:$G,2,0),IFERROR(VLOOKUP($B2199,$D:$K,2,0),"")),IFERROR(VLOOKUP($C2199,INSUMOS!$A:$D,2,0),IFERROR(VLOOKUP($C2199,COTAÇÕES!$B:$I,2,0),(VLOOKUP($C2199,'INSUMO SINAPI - SP'!$C:$F,2,0)))))</f>
        <v>ELETRICISTA COM ENCARGOS COMPLEMENTARES</v>
      </c>
      <c r="F2199" s="510" t="str">
        <f>IF($C2199="",IFERROR(VLOOKUP($B2199,SERVIÇOS!$B:$G,3,0),IFERROR(VLOOKUP($B2199,$D:$K,3,0),"")),IFERROR(VLOOKUP($C2199,INSUMOS!$A:$D,3,0),IFERROR(VLOOKUP($C2199,COTAÇÕES!$B:$I,3,0),(VLOOKUP($C2199,'INSUMO SINAPI - SP'!$C:$F,3,0)))))</f>
        <v>H</v>
      </c>
      <c r="G2199" s="572">
        <v>1.2</v>
      </c>
      <c r="H2199" s="512">
        <f>IF($C2199="",IFERROR(VLOOKUP($B2199,SERVIÇOS!$B:$G,6,0),IFERROR(VLOOKUP($B2199,$D:$K,8,0),"")),IFERROR(VLOOKUP($C2199,INSUMOS!$A:$D,4,0),IFERROR(VLOOKUP($C2199,COTAÇÕES!$B:$I,7,0),(VLOOKUP($C2199,'INSUMO SINAPI - SP'!$C:$F,4,0)))))</f>
        <v>37.369999999999997</v>
      </c>
      <c r="I2199" s="513">
        <f>TRUNC(IF($C2199="",IFERROR(VLOOKUP($B2199,SERVIÇOS!$B:$G,4,0),IFERROR(VLOOKUP($B2199,$D:$K,6,0),)),IFERROR(VLOOKUP($C2199,INSUMOS!$A:$D,4,0),IFERROR(VLOOKUP($C2199,COTAÇÕES!$B:$I,7,0),(VLOOKUP($C2199,'INSUMO SINAPI - SP'!$C:$F,4,0)))))*$G2199,2)</f>
        <v>11.17</v>
      </c>
      <c r="J2199" s="513">
        <f>TRUNC(IF($C2199="",IFERROR(VLOOKUP($B2199,SERVIÇOS!$B:$G,5,0),IFERROR(VLOOKUP($B2199,$D:$K,7,0),)),0)*$G2199,2)</f>
        <v>33.67</v>
      </c>
      <c r="K2199" s="514">
        <f>I2199+J2199</f>
        <v>44.84</v>
      </c>
      <c r="L2199" s="517"/>
    </row>
    <row r="2200" spans="2:12" x14ac:dyDescent="0.25">
      <c r="B2200" s="570">
        <v>88247</v>
      </c>
      <c r="C2200" s="570"/>
      <c r="D2200" s="571"/>
      <c r="E2200" s="509" t="str">
        <f>IF($C2200="",IFERROR(VLOOKUP($B2200,SERVIÇOS!$B:$G,2,0),IFERROR(VLOOKUP($B2200,$D:$K,2,0),"")),IFERROR(VLOOKUP($C2200,INSUMOS!$A:$D,2,0),IFERROR(VLOOKUP($C2200,COTAÇÕES!$B:$I,2,0),(VLOOKUP($C2200,'INSUMO SINAPI - SP'!$C:$F,2,0)))))</f>
        <v>AUXILIAR DE ELETRICISTA COM ENCARGOS COMPLEMENTARES</v>
      </c>
      <c r="F2200" s="510" t="str">
        <f>IF($C2200="",IFERROR(VLOOKUP($B2200,SERVIÇOS!$B:$G,3,0),IFERROR(VLOOKUP($B2200,$D:$K,3,0),"")),IFERROR(VLOOKUP($C2200,INSUMOS!$A:$D,3,0),IFERROR(VLOOKUP($C2200,COTAÇÕES!$B:$I,3,0),(VLOOKUP($C2200,'INSUMO SINAPI - SP'!$C:$F,3,0)))))</f>
        <v>H</v>
      </c>
      <c r="G2200" s="572">
        <v>1.2</v>
      </c>
      <c r="H2200" s="512">
        <f>IF($C2200="",IFERROR(VLOOKUP($B2200,SERVIÇOS!$B:$G,6,0),IFERROR(VLOOKUP($B2200,$D:$K,8,0),"")),IFERROR(VLOOKUP($C2200,INSUMOS!$A:$D,4,0),IFERROR(VLOOKUP($C2200,COTAÇÕES!$B:$I,7,0),(VLOOKUP($C2200,'INSUMO SINAPI - SP'!$C:$F,4,0)))))</f>
        <v>30.8</v>
      </c>
      <c r="I2200" s="513">
        <f>TRUNC(IF($C2200="",IFERROR(VLOOKUP($B2200,SERVIÇOS!$B:$G,4,0),IFERROR(VLOOKUP($B2200,$D:$K,6,0),)),IFERROR(VLOOKUP($C2200,INSUMOS!$A:$D,4,0),IFERROR(VLOOKUP($C2200,COTAÇÕES!$B:$I,7,0),(VLOOKUP($C2200,'INSUMO SINAPI - SP'!$C:$F,4,0)))))*$G2200,2)</f>
        <v>11.18</v>
      </c>
      <c r="J2200" s="513">
        <f>TRUNC(IF($C2200="",IFERROR(VLOOKUP($B2200,SERVIÇOS!$B:$G,5,0),IFERROR(VLOOKUP($B2200,$D:$K,7,0),)),0)*$G2200,2)</f>
        <v>25.77</v>
      </c>
      <c r="K2200" s="514">
        <f>I2200+J2200</f>
        <v>36.950000000000003</v>
      </c>
      <c r="L2200" s="517"/>
    </row>
    <row r="2201" spans="2:12" ht="25.5" x14ac:dyDescent="0.25">
      <c r="B2201" s="570"/>
      <c r="C2201" s="570" t="s">
        <v>13630</v>
      </c>
      <c r="D2201" s="573"/>
      <c r="E2201" s="574" t="s">
        <v>13628</v>
      </c>
      <c r="F2201" s="575" t="s">
        <v>580</v>
      </c>
      <c r="G2201" s="572">
        <v>1</v>
      </c>
      <c r="H2201" s="576">
        <v>63.38</v>
      </c>
      <c r="I2201" s="576">
        <v>63.38</v>
      </c>
      <c r="J2201" s="577"/>
      <c r="K2201" s="578">
        <f>I2201+J2201</f>
        <v>63.38</v>
      </c>
      <c r="L2201" s="579" t="s">
        <v>12668</v>
      </c>
    </row>
    <row r="2202" spans="2:12" ht="25.5" x14ac:dyDescent="0.25">
      <c r="B2202" s="561"/>
      <c r="C2202" s="562"/>
      <c r="D2202" s="563" t="s">
        <v>12545</v>
      </c>
      <c r="E2202" s="564" t="s">
        <v>13631</v>
      </c>
      <c r="F2202" s="565" t="s">
        <v>580</v>
      </c>
      <c r="G2202" s="566"/>
      <c r="H2202" s="567"/>
      <c r="I2202" s="568">
        <f>SUM(I2203:I2205)</f>
        <v>499.33</v>
      </c>
      <c r="J2202" s="568">
        <f>SUM(J2203:J2205)</f>
        <v>49.54</v>
      </c>
      <c r="K2202" s="568">
        <f>+J2202+I2202</f>
        <v>548.87</v>
      </c>
      <c r="L2202" s="569" t="s">
        <v>13632</v>
      </c>
    </row>
    <row r="2203" spans="2:12" x14ac:dyDescent="0.25">
      <c r="B2203" s="570">
        <v>88264</v>
      </c>
      <c r="C2203" s="570"/>
      <c r="D2203" s="571"/>
      <c r="E2203" s="509" t="str">
        <f>IF($C2203="",IFERROR(VLOOKUP($B2203,SERVIÇOS!$B:$G,2,0),IFERROR(VLOOKUP($B2203,$D:$K,2,0),"")),IFERROR(VLOOKUP($C2203,INSUMOS!$A:$D,2,0),IFERROR(VLOOKUP($C2203,COTAÇÕES!$B:$I,2,0),(VLOOKUP($C2203,'INSUMO SINAPI - SP'!$C:$F,2,0)))))</f>
        <v>ELETRICISTA COM ENCARGOS COMPLEMENTARES</v>
      </c>
      <c r="F2203" s="510" t="str">
        <f>IF($C2203="",IFERROR(VLOOKUP($B2203,SERVIÇOS!$B:$G,3,0),IFERROR(VLOOKUP($B2203,$D:$K,3,0),"")),IFERROR(VLOOKUP($C2203,INSUMOS!$A:$D,3,0),IFERROR(VLOOKUP($C2203,COTAÇÕES!$B:$I,3,0),(VLOOKUP($C2203,'INSUMO SINAPI - SP'!$C:$F,3,0)))))</f>
        <v>H</v>
      </c>
      <c r="G2203" s="572">
        <v>1</v>
      </c>
      <c r="H2203" s="512">
        <f>IF($C2203="",IFERROR(VLOOKUP($B2203,SERVIÇOS!$B:$G,6,0),IFERROR(VLOOKUP($B2203,$D:$K,8,0),"")),IFERROR(VLOOKUP($C2203,INSUMOS!$A:$D,4,0),IFERROR(VLOOKUP($C2203,COTAÇÕES!$B:$I,7,0),(VLOOKUP($C2203,'INSUMO SINAPI - SP'!$C:$F,4,0)))))</f>
        <v>37.369999999999997</v>
      </c>
      <c r="I2203" s="513">
        <f>TRUNC(IF($C2203="",IFERROR(VLOOKUP($B2203,SERVIÇOS!$B:$G,4,0),IFERROR(VLOOKUP($B2203,$D:$K,6,0),)),IFERROR(VLOOKUP($C2203,INSUMOS!$A:$D,4,0),IFERROR(VLOOKUP($C2203,COTAÇÕES!$B:$I,7,0),(VLOOKUP($C2203,'INSUMO SINAPI - SP'!$C:$F,4,0)))))*$G2203,2)</f>
        <v>9.31</v>
      </c>
      <c r="J2203" s="513">
        <f>TRUNC(IF($C2203="",IFERROR(VLOOKUP($B2203,SERVIÇOS!$B:$G,5,0),IFERROR(VLOOKUP($B2203,$D:$K,7,0),)),0)*$G2203,2)</f>
        <v>28.06</v>
      </c>
      <c r="K2203" s="514">
        <f>I2203+J2203</f>
        <v>37.369999999999997</v>
      </c>
      <c r="L2203" s="517"/>
    </row>
    <row r="2204" spans="2:12" x14ac:dyDescent="0.25">
      <c r="B2204" s="570">
        <v>88247</v>
      </c>
      <c r="C2204" s="570"/>
      <c r="D2204" s="571"/>
      <c r="E2204" s="509" t="str">
        <f>IF($C2204="",IFERROR(VLOOKUP($B2204,SERVIÇOS!$B:$G,2,0),IFERROR(VLOOKUP($B2204,$D:$K,2,0),"")),IFERROR(VLOOKUP($C2204,INSUMOS!$A:$D,2,0),IFERROR(VLOOKUP($C2204,COTAÇÕES!$B:$I,2,0),(VLOOKUP($C2204,'INSUMO SINAPI - SP'!$C:$F,2,0)))))</f>
        <v>AUXILIAR DE ELETRICISTA COM ENCARGOS COMPLEMENTARES</v>
      </c>
      <c r="F2204" s="510" t="str">
        <f>IF($C2204="",IFERROR(VLOOKUP($B2204,SERVIÇOS!$B:$G,3,0),IFERROR(VLOOKUP($B2204,$D:$K,3,0),"")),IFERROR(VLOOKUP($C2204,INSUMOS!$A:$D,3,0),IFERROR(VLOOKUP($C2204,COTAÇÕES!$B:$I,3,0),(VLOOKUP($C2204,'INSUMO SINAPI - SP'!$C:$F,3,0)))))</f>
        <v>H</v>
      </c>
      <c r="G2204" s="572">
        <v>1</v>
      </c>
      <c r="H2204" s="512">
        <f>IF($C2204="",IFERROR(VLOOKUP($B2204,SERVIÇOS!$B:$G,6,0),IFERROR(VLOOKUP($B2204,$D:$K,8,0),"")),IFERROR(VLOOKUP($C2204,INSUMOS!$A:$D,4,0),IFERROR(VLOOKUP($C2204,COTAÇÕES!$B:$I,7,0),(VLOOKUP($C2204,'INSUMO SINAPI - SP'!$C:$F,4,0)))))</f>
        <v>30.8</v>
      </c>
      <c r="I2204" s="513">
        <f>TRUNC(IF($C2204="",IFERROR(VLOOKUP($B2204,SERVIÇOS!$B:$G,4,0),IFERROR(VLOOKUP($B2204,$D:$K,6,0),)),IFERROR(VLOOKUP($C2204,INSUMOS!$A:$D,4,0),IFERROR(VLOOKUP($C2204,COTAÇÕES!$B:$I,7,0),(VLOOKUP($C2204,'INSUMO SINAPI - SP'!$C:$F,4,0)))))*$G2204,2)</f>
        <v>9.32</v>
      </c>
      <c r="J2204" s="513">
        <f>TRUNC(IF($C2204="",IFERROR(VLOOKUP($B2204,SERVIÇOS!$B:$G,5,0),IFERROR(VLOOKUP($B2204,$D:$K,7,0),)),0)*$G2204,2)</f>
        <v>21.48</v>
      </c>
      <c r="K2204" s="514">
        <f>I2204+J2204</f>
        <v>30.8</v>
      </c>
      <c r="L2204" s="517"/>
    </row>
    <row r="2205" spans="2:12" x14ac:dyDescent="0.25">
      <c r="B2205" s="570"/>
      <c r="C2205" s="570" t="s">
        <v>13633</v>
      </c>
      <c r="D2205" s="573"/>
      <c r="E2205" s="574" t="s">
        <v>13634</v>
      </c>
      <c r="F2205" s="575" t="s">
        <v>580</v>
      </c>
      <c r="G2205" s="572">
        <v>1</v>
      </c>
      <c r="H2205" s="576">
        <v>480.7</v>
      </c>
      <c r="I2205" s="576">
        <v>480.7</v>
      </c>
      <c r="J2205" s="577"/>
      <c r="K2205" s="578">
        <f>I2205+J2205</f>
        <v>480.7</v>
      </c>
      <c r="L2205" s="579" t="s">
        <v>12668</v>
      </c>
    </row>
    <row r="2206" spans="2:12" ht="25.5" x14ac:dyDescent="0.25">
      <c r="B2206" s="561"/>
      <c r="C2206" s="562"/>
      <c r="D2206" s="738" t="s">
        <v>20457</v>
      </c>
      <c r="E2206" s="740" t="s">
        <v>20459</v>
      </c>
      <c r="F2206" s="739" t="s">
        <v>823</v>
      </c>
      <c r="G2206" s="566"/>
      <c r="H2206" s="567"/>
      <c r="I2206" s="568">
        <f>SUM(I2207:I2210)</f>
        <v>11.18</v>
      </c>
      <c r="J2206" s="568">
        <f>SUM(J2207:J2210)</f>
        <v>7.73</v>
      </c>
      <c r="K2206" s="568">
        <f>+J2206+I2206</f>
        <v>18.91</v>
      </c>
      <c r="L2206" s="569" t="s">
        <v>13632</v>
      </c>
    </row>
    <row r="2207" spans="2:12" x14ac:dyDescent="0.25">
      <c r="B2207" s="570"/>
      <c r="C2207" s="570">
        <v>43132</v>
      </c>
      <c r="D2207" s="571"/>
      <c r="E2207" s="509" t="str">
        <f>IF($C2207="",IFERROR(VLOOKUP($B2207,SERVIÇOS!$B:$G,2,0),IFERROR(VLOOKUP($B2207,$D:$K,2,0),"")),IFERROR(VLOOKUP($C2207,INSUMOS!$A:$D,2,0),IFERROR(VLOOKUP($C2207,COTAÇÕES!$B:$I,2,0),(VLOOKUP($C2207,'INSUMO SINAPI - SP'!$C:$F,2,0)))))</f>
        <v>ARAME RECOZIDO 16 BWG, D = 1,65 MM (0,016 KG/M) OU 18 BWG, D = 1,25 MM (0,01 KG/M)</v>
      </c>
      <c r="F2207" s="510" t="str">
        <f>IF($C2207="",IFERROR(VLOOKUP($B2207,SERVIÇOS!$B:$G,3,0),IFERROR(VLOOKUP($B2207,$D:$K,3,0),"")),IFERROR(VLOOKUP($C2207,INSUMOS!$A:$D,3,0),IFERROR(VLOOKUP($C2207,COTAÇÕES!$B:$I,3,0),(VLOOKUP($C2207,'INSUMO SINAPI - SP'!$C:$F,3,0)))))</f>
        <v>KG</v>
      </c>
      <c r="G2207" s="572">
        <v>2.5000000000000001E-2</v>
      </c>
      <c r="H2207" s="512">
        <f>IF($C2207="",IFERROR(VLOOKUP($B2207,SERVIÇOS!$B:$G,6,0),IFERROR(VLOOKUP($B2207,$D:$K,8,0),"")),IFERROR(VLOOKUP($C2207,INSUMOS!$A:$D,4,0),IFERROR(VLOOKUP($C2207,COTAÇÕES!$B:$I,7,0),(VLOOKUP($C2207,'INSUMO SINAPI - SP'!$C:$F,4,0)))))</f>
        <v>26.45</v>
      </c>
      <c r="I2207" s="513">
        <f>TRUNC(IF($C2207="",IFERROR(VLOOKUP($B2207,SERVIÇOS!$B:$G,4,0),IFERROR(VLOOKUP($B2207,$D:$K,6,0),)),IFERROR(VLOOKUP($C2207,INSUMOS!$A:$D,4,0),IFERROR(VLOOKUP($C2207,COTAÇÕES!$B:$I,7,0),(VLOOKUP($C2207,'INSUMO SINAPI - SP'!$C:$F,4,0)))))*$G2207,2)</f>
        <v>0.66</v>
      </c>
      <c r="J2207" s="513">
        <f>TRUNC(IF($C2207="",IFERROR(VLOOKUP($B2207,SERVIÇOS!$B:$G,5,0),IFERROR(VLOOKUP($B2207,$D:$K,7,0),)),0)*$G2207,2)</f>
        <v>0</v>
      </c>
      <c r="K2207" s="514">
        <f t="shared" ref="K2207:K2210" si="79">I2207+J2207</f>
        <v>0.66</v>
      </c>
      <c r="L2207" s="517"/>
    </row>
    <row r="2208" spans="2:12" x14ac:dyDescent="0.25">
      <c r="B2208" s="570">
        <v>88238</v>
      </c>
      <c r="C2208" s="570"/>
      <c r="D2208" s="573"/>
      <c r="E2208" s="509" t="str">
        <f>IF($C2208="",IFERROR(VLOOKUP($B2208,SERVIÇOS!$B:$G,2,0),IFERROR(VLOOKUP($B2208,$D:$K,2,0),"")),IFERROR(VLOOKUP($C2208,INSUMOS!$A:$D,2,0),IFERROR(VLOOKUP($C2208,COTAÇÕES!$B:$I,2,0),(VLOOKUP($C2208,'INSUMO SINAPI - SP'!$C:$F,2,0)))))</f>
        <v>AJUDANTE DE ARMADOR COM ENCARGOS COMPLEMENTARES</v>
      </c>
      <c r="F2208" s="510" t="str">
        <f>IF($C2208="",IFERROR(VLOOKUP($B2208,SERVIÇOS!$B:$G,3,0),IFERROR(VLOOKUP($B2208,$D:$K,3,0),"")),IFERROR(VLOOKUP($C2208,INSUMOS!$A:$D,3,0),IFERROR(VLOOKUP($C2208,COTAÇÕES!$B:$I,3,0),(VLOOKUP($C2208,'INSUMO SINAPI - SP'!$C:$F,3,0)))))</f>
        <v>H</v>
      </c>
      <c r="G2208" s="572">
        <v>3.1600000000000003E-2</v>
      </c>
      <c r="H2208" s="512">
        <f>IF($C2208="",IFERROR(VLOOKUP($B2208,SERVIÇOS!$B:$G,6,0),IFERROR(VLOOKUP($B2208,$D:$K,8,0),"")),IFERROR(VLOOKUP($C2208,INSUMOS!$A:$D,4,0),IFERROR(VLOOKUP($C2208,COTAÇÕES!$B:$I,7,0),(VLOOKUP($C2208,'INSUMO SINAPI - SP'!$C:$F,4,0)))))</f>
        <v>30.23</v>
      </c>
      <c r="I2208" s="513">
        <f>TRUNC(IF($C2208="",IFERROR(VLOOKUP($B2208,SERVIÇOS!$B:$G,4,0),IFERROR(VLOOKUP($B2208,$D:$K,6,0),)),IFERROR(VLOOKUP($C2208,INSUMOS!$A:$D,4,0),IFERROR(VLOOKUP($C2208,COTAÇÕES!$B:$I,7,0),(VLOOKUP($C2208,'INSUMO SINAPI - SP'!$C:$F,4,0)))))*$G2208,2)</f>
        <v>0.28999999999999998</v>
      </c>
      <c r="J2208" s="513">
        <f>TRUNC(IF($C2208="",IFERROR(VLOOKUP($B2208,SERVIÇOS!$B:$G,5,0),IFERROR(VLOOKUP($B2208,$D:$K,7,0),)),0)*$G2208,2)</f>
        <v>0.66</v>
      </c>
      <c r="K2208" s="514">
        <f t="shared" si="79"/>
        <v>0.95</v>
      </c>
      <c r="L2208" s="579"/>
    </row>
    <row r="2209" spans="2:12" x14ac:dyDescent="0.25">
      <c r="B2209" s="570">
        <v>88245</v>
      </c>
      <c r="C2209" s="570"/>
      <c r="D2209" s="571"/>
      <c r="E2209" s="509" t="str">
        <f>IF($C2209="",IFERROR(VLOOKUP($B2209,SERVIÇOS!$B:$G,2,0),IFERROR(VLOOKUP($B2209,$D:$K,2,0),"")),IFERROR(VLOOKUP($C2209,INSUMOS!$A:$D,2,0),IFERROR(VLOOKUP($C2209,COTAÇÕES!$B:$I,2,0),(VLOOKUP($C2209,'INSUMO SINAPI - SP'!$C:$F,2,0)))))</f>
        <v>ARMADOR COM ENCARGOS COMPLEMENTARES</v>
      </c>
      <c r="F2209" s="510" t="str">
        <f>IF($C2209="",IFERROR(VLOOKUP($B2209,SERVIÇOS!$B:$G,3,0),IFERROR(VLOOKUP($B2209,$D:$K,3,0),"")),IFERROR(VLOOKUP($C2209,INSUMOS!$A:$D,3,0),IFERROR(VLOOKUP($C2209,COTAÇÕES!$B:$I,3,0),(VLOOKUP($C2209,'INSUMO SINAPI - SP'!$C:$F,3,0)))))</f>
        <v>H</v>
      </c>
      <c r="G2209" s="572">
        <v>0.1933</v>
      </c>
      <c r="H2209" s="512">
        <f>IF($C2209="",IFERROR(VLOOKUP($B2209,SERVIÇOS!$B:$G,6,0),IFERROR(VLOOKUP($B2209,$D:$K,8,0),"")),IFERROR(VLOOKUP($C2209,INSUMOS!$A:$D,4,0),IFERROR(VLOOKUP($C2209,COTAÇÕES!$B:$I,7,0),(VLOOKUP($C2209,'INSUMO SINAPI - SP'!$C:$F,4,0)))))</f>
        <v>36.65</v>
      </c>
      <c r="I2209" s="513">
        <f>TRUNC(IF($C2209="",IFERROR(VLOOKUP($B2209,SERVIÇOS!$B:$G,4,0),IFERROR(VLOOKUP($B2209,$D:$K,6,0),)),IFERROR(VLOOKUP($C2209,INSUMOS!$A:$D,4,0),IFERROR(VLOOKUP($C2209,COTAÇÕES!$B:$I,7,0),(VLOOKUP($C2209,'INSUMO SINAPI - SP'!$C:$F,4,0)))))*$G2209,2)</f>
        <v>1.79</v>
      </c>
      <c r="J2209" s="513">
        <f>TRUNC(IF($C2209="",IFERROR(VLOOKUP($B2209,SERVIÇOS!$B:$G,5,0),IFERROR(VLOOKUP($B2209,$D:$K,7,0),)),0)*$G2209,2)</f>
        <v>5.29</v>
      </c>
      <c r="K2209" s="514">
        <f t="shared" si="79"/>
        <v>7.08</v>
      </c>
      <c r="L2209" s="517"/>
    </row>
    <row r="2210" spans="2:12" x14ac:dyDescent="0.25">
      <c r="B2210" s="570">
        <v>92800</v>
      </c>
      <c r="C2210" s="570"/>
      <c r="D2210" s="571"/>
      <c r="E2210" s="509" t="str">
        <f>IF($C2210="",IFERROR(VLOOKUP($B2210,SERVIÇOS!$B:$G,2,0),IFERROR(VLOOKUP($B2210,$D:$K,2,0),"")),IFERROR(VLOOKUP($C2210,INSUMOS!$A:$D,2,0),IFERROR(VLOOKUP($C2210,COTAÇÕES!$B:$I,2,0),(VLOOKUP($C2210,'INSUMO SINAPI - SP'!$C:$F,2,0)))))</f>
        <v>CORTE E DOBRA DE AÇO CA-60, DIÂMETRO DE 5,0 MM. AF_06/2022</v>
      </c>
      <c r="F2210" s="510" t="str">
        <f>IF($C2210="",IFERROR(VLOOKUP($B2210,SERVIÇOS!$B:$G,3,0),IFERROR(VLOOKUP($B2210,$D:$K,3,0),"")),IFERROR(VLOOKUP($C2210,INSUMOS!$A:$D,3,0),IFERROR(VLOOKUP($C2210,COTAÇÕES!$B:$I,3,0),(VLOOKUP($C2210,'INSUMO SINAPI - SP'!$C:$F,3,0)))))</f>
        <v>KG</v>
      </c>
      <c r="G2210" s="572">
        <v>1</v>
      </c>
      <c r="H2210" s="512">
        <f>IF($C2210="",IFERROR(VLOOKUP($B2210,SERVIÇOS!$B:$G,6,0),IFERROR(VLOOKUP($B2210,$D:$K,8,0),"")),IFERROR(VLOOKUP($C2210,INSUMOS!$A:$D,4,0),IFERROR(VLOOKUP($C2210,COTAÇÕES!$B:$I,7,0),(VLOOKUP($C2210,'INSUMO SINAPI - SP'!$C:$F,4,0)))))</f>
        <v>10.220000000000001</v>
      </c>
      <c r="I2210" s="513">
        <f>TRUNC(IF($C2210="",IFERROR(VLOOKUP($B2210,SERVIÇOS!$B:$G,4,0),IFERROR(VLOOKUP($B2210,$D:$K,6,0),)),IFERROR(VLOOKUP($C2210,INSUMOS!$A:$D,4,0),IFERROR(VLOOKUP($C2210,COTAÇÕES!$B:$I,7,0),(VLOOKUP($C2210,'INSUMO SINAPI - SP'!$C:$F,4,0)))))*$G2210,2)</f>
        <v>8.44</v>
      </c>
      <c r="J2210" s="513">
        <f>TRUNC(IF($C2210="",IFERROR(VLOOKUP($B2210,SERVIÇOS!$B:$G,5,0),IFERROR(VLOOKUP($B2210,$D:$K,7,0),)),0)*$G2210,2)</f>
        <v>1.78</v>
      </c>
      <c r="K2210" s="514">
        <f t="shared" si="79"/>
        <v>10.219999999999999</v>
      </c>
      <c r="L2210" s="517"/>
    </row>
    <row r="2211" spans="2:12" ht="51" x14ac:dyDescent="0.25">
      <c r="B2211" s="561"/>
      <c r="C2211" s="562"/>
      <c r="D2211" s="738" t="s">
        <v>20456</v>
      </c>
      <c r="E2211" s="740" t="s">
        <v>20461</v>
      </c>
      <c r="F2211" s="739" t="s">
        <v>664</v>
      </c>
      <c r="G2211" s="566"/>
      <c r="H2211" s="567"/>
      <c r="I2211" s="568">
        <f>SUM(I2212:I2217)</f>
        <v>1096.1199999999999</v>
      </c>
      <c r="J2211" s="568">
        <f>SUM(J2212:J2217)</f>
        <v>58.09</v>
      </c>
      <c r="K2211" s="568">
        <f>+J2211+I2211</f>
        <v>1154.2099999999998</v>
      </c>
      <c r="L2211" s="569" t="s">
        <v>13632</v>
      </c>
    </row>
    <row r="2212" spans="2:12" ht="30" customHeight="1" x14ac:dyDescent="0.25">
      <c r="B2212" s="570"/>
      <c r="C2212" s="570">
        <v>1527</v>
      </c>
      <c r="D2212" s="571"/>
      <c r="E2212" s="509" t="str">
        <f>IF($C2212="",IFERROR(VLOOKUP($B2212,SERVIÇOS!$B:$G,2,0),IFERROR(VLOOKUP($B2212,$D:$K,2,0),"")),IFERROR(VLOOKUP($C2212,INSUMOS!$A:$D,2,0),IFERROR(VLOOKUP($C2212,COTAÇÕES!$B:$I,2,0),(VLOOKUP($C2212,'INSUMO SINAPI - SP'!$C:$F,2,0)))))</f>
        <v>CONCRETO USINADO BOMBEAVEL, CLASSE DE RESISTENCIA C25, BRITA 0 E 1, SLUMP = 100 +/- 20 MM, COM BOMBEAMENTO (DISPONIBILIZACAO DE BOMBA), SEM O LANCAMENTO (NBR 8953)</v>
      </c>
      <c r="F2212" s="510" t="str">
        <f>IF($C2212="",IFERROR(VLOOKUP($B2212,SERVIÇOS!$B:$G,3,0),IFERROR(VLOOKUP($B2212,$D:$K,3,0),"")),IFERROR(VLOOKUP($C2212,INSUMOS!$A:$D,3,0),IFERROR(VLOOKUP($C2212,COTAÇÕES!$B:$I,3,0),(VLOOKUP($C2212,'INSUMO SINAPI - SP'!$C:$F,3,0)))))</f>
        <v>M3</v>
      </c>
      <c r="G2212" s="572">
        <v>1</v>
      </c>
      <c r="H2212" s="512">
        <f>IF($C2212="",IFERROR(VLOOKUP($B2212,SERVIÇOS!$B:$G,6,0),IFERROR(VLOOKUP($B2212,$D:$K,8,0),"")),IFERROR(VLOOKUP($C2212,INSUMOS!$A:$D,4,0),IFERROR(VLOOKUP($C2212,COTAÇÕES!$B:$I,7,0),(VLOOKUP($C2212,'INSUMO SINAPI - SP'!$C:$F,4,0)))))</f>
        <v>502.16</v>
      </c>
      <c r="I2212" s="513">
        <f>TRUNC(IF($C2212="",IFERROR(VLOOKUP($B2212,SERVIÇOS!$B:$G,4,0),IFERROR(VLOOKUP($B2212,$D:$K,6,0),)),IFERROR(VLOOKUP($C2212,INSUMOS!$A:$D,4,0),IFERROR(VLOOKUP($C2212,COTAÇÕES!$B:$I,7,0),(VLOOKUP($C2212,'INSUMO SINAPI - SP'!$C:$F,4,0)))))*$G2212,2)</f>
        <v>502.16</v>
      </c>
      <c r="J2212" s="513">
        <f>TRUNC(IF($C2212="",IFERROR(VLOOKUP($B2212,SERVIÇOS!$B:$G,5,0),IFERROR(VLOOKUP($B2212,$D:$K,7,0),)),0)*$G2212,2)</f>
        <v>0</v>
      </c>
      <c r="K2212" s="514">
        <f t="shared" ref="K2212" si="80">I2212+J2212</f>
        <v>502.16</v>
      </c>
      <c r="L2212" s="517"/>
    </row>
    <row r="2213" spans="2:12" ht="27" customHeight="1" x14ac:dyDescent="0.25">
      <c r="B2213" s="570">
        <v>88309</v>
      </c>
      <c r="C2213" s="570"/>
      <c r="D2213" s="571"/>
      <c r="E2213" s="509" t="str">
        <f>IF($C2213="",IFERROR(VLOOKUP($B2213,SERVIÇOS!$B:$G,2,0),IFERROR(VLOOKUP($B2213,$D:$K,2,0),"")),IFERROR(VLOOKUP($C2213,INSUMOS!$A:$D,2,0),IFERROR(VLOOKUP($C2213,COTAÇÕES!$B:$I,2,0),(VLOOKUP($C2213,'INSUMO SINAPI - SP'!$C:$F,2,0)))))</f>
        <v>PEDREIRO COM ENCARGOS COMPLEMENTARES</v>
      </c>
      <c r="F2213" s="510" t="str">
        <f>IF($C2213="",IFERROR(VLOOKUP($B2213,SERVIÇOS!$B:$G,3,0),IFERROR(VLOOKUP($B2213,$D:$K,3,0),"")),IFERROR(VLOOKUP($C2213,INSUMOS!$A:$D,3,0),IFERROR(VLOOKUP($C2213,COTAÇÕES!$B:$I,3,0),(VLOOKUP($C2213,'INSUMO SINAPI - SP'!$C:$F,3,0)))))</f>
        <v>H</v>
      </c>
      <c r="G2213" s="572">
        <v>0.19900000000000001</v>
      </c>
      <c r="H2213" s="512">
        <f>IF($C2213="",IFERROR(VLOOKUP($B2213,SERVIÇOS!$B:$G,6,0),IFERROR(VLOOKUP($B2213,$D:$K,8,0),"")),IFERROR(VLOOKUP($C2213,INSUMOS!$A:$D,4,0),IFERROR(VLOOKUP($C2213,COTAÇÕES!$B:$I,7,0),(VLOOKUP($C2213,'INSUMO SINAPI - SP'!$C:$F,4,0)))))</f>
        <v>36.909999999999997</v>
      </c>
      <c r="I2213" s="513">
        <f>TRUNC(IF($C2213="",IFERROR(VLOOKUP($B2213,SERVIÇOS!$B:$G,4,0),IFERROR(VLOOKUP($B2213,$D:$K,6,0),)),IFERROR(VLOOKUP($C2213,INSUMOS!$A:$D,4,0),IFERROR(VLOOKUP($C2213,COTAÇÕES!$B:$I,7,0),(VLOOKUP($C2213,'INSUMO SINAPI - SP'!$C:$F,4,0)))))*$G2213,2)</f>
        <v>1.84</v>
      </c>
      <c r="J2213" s="513">
        <f>TRUNC(IF($C2213="",IFERROR(VLOOKUP($B2213,SERVIÇOS!$B:$G,5,0),IFERROR(VLOOKUP($B2213,$D:$K,7,0),)),0)*$G2213,2)</f>
        <v>5.49</v>
      </c>
      <c r="K2213" s="514">
        <f t="shared" ref="K2213:K2217" si="81">I2213+J2213</f>
        <v>7.33</v>
      </c>
      <c r="L2213" s="517"/>
    </row>
    <row r="2214" spans="2:12" x14ac:dyDescent="0.25">
      <c r="B2214" s="570">
        <v>88316</v>
      </c>
      <c r="C2214" s="570"/>
      <c r="D2214" s="571"/>
      <c r="E2214" s="509" t="str">
        <f>IF($C2214="",IFERROR(VLOOKUP($B2214,SERVIÇOS!$B:$G,2,0),IFERROR(VLOOKUP($B2214,$D:$K,2,0),"")),IFERROR(VLOOKUP($C2214,INSUMOS!$A:$D,2,0),IFERROR(VLOOKUP($C2214,COTAÇÕES!$B:$I,2,0),(VLOOKUP($C2214,'INSUMO SINAPI - SP'!$C:$F,2,0)))))</f>
        <v>SERVENTE COM ENCARGOS COMPLEMENTARES</v>
      </c>
      <c r="F2214" s="510" t="str">
        <f>IF($C2214="",IFERROR(VLOOKUP($B2214,SERVIÇOS!$B:$G,3,0),IFERROR(VLOOKUP($B2214,$D:$K,3,0),"")),IFERROR(VLOOKUP($C2214,INSUMOS!$A:$D,3,0),IFERROR(VLOOKUP($C2214,COTAÇÕES!$B:$I,3,0),(VLOOKUP($C2214,'INSUMO SINAPI - SP'!$C:$F,3,0)))))</f>
        <v>H</v>
      </c>
      <c r="G2214" s="572">
        <v>1.1919999999999999</v>
      </c>
      <c r="H2214" s="512">
        <f>IF($C2214="",IFERROR(VLOOKUP($B2214,SERVIÇOS!$B:$G,6,0),IFERROR(VLOOKUP($B2214,$D:$K,8,0),"")),IFERROR(VLOOKUP($C2214,INSUMOS!$A:$D,4,0),IFERROR(VLOOKUP($C2214,COTAÇÕES!$B:$I,7,0),(VLOOKUP($C2214,'INSUMO SINAPI - SP'!$C:$F,4,0)))))</f>
        <v>28.71</v>
      </c>
      <c r="I2214" s="513">
        <f>TRUNC(IF($C2214="",IFERROR(VLOOKUP($B2214,SERVIÇOS!$B:$G,4,0),IFERROR(VLOOKUP($B2214,$D:$K,6,0),)),IFERROR(VLOOKUP($C2214,INSUMOS!$A:$D,4,0),IFERROR(VLOOKUP($C2214,COTAÇÕES!$B:$I,7,0),(VLOOKUP($C2214,'INSUMO SINAPI - SP'!$C:$F,4,0)))))*$G2214,2)</f>
        <v>10.96</v>
      </c>
      <c r="J2214" s="513">
        <f>TRUNC(IF($C2214="",IFERROR(VLOOKUP($B2214,SERVIÇOS!$B:$G,5,0),IFERROR(VLOOKUP($B2214,$D:$K,7,0),)),0)*$G2214,2)</f>
        <v>23.25</v>
      </c>
      <c r="K2214" s="514">
        <f t="shared" si="81"/>
        <v>34.21</v>
      </c>
      <c r="L2214" s="517"/>
    </row>
    <row r="2215" spans="2:12" ht="24" customHeight="1" x14ac:dyDescent="0.25">
      <c r="B2215" s="570">
        <v>90586</v>
      </c>
      <c r="C2215" s="570"/>
      <c r="D2215" s="571"/>
      <c r="E2215" s="509" t="str">
        <f>IF($C2215="",IFERROR(VLOOKUP($B2215,SERVIÇOS!$B:$G,2,0),IFERROR(VLOOKUP($B2215,$D:$K,2,0),"")),IFERROR(VLOOKUP($C2215,INSUMOS!$A:$D,2,0),IFERROR(VLOOKUP($C2215,COTAÇÕES!$B:$I,2,0),(VLOOKUP($C2215,'INSUMO SINAPI - SP'!$C:$F,2,0)))))</f>
        <v>VIBRADOR DE IMERSÃO, DIÂMETRO DE PONTEIRA 45MM, MOTOR ELÉTRICO TRIFÁSICO POTÊNCIA DE 2 CV - CHP DIURNO. AF_06/2015</v>
      </c>
      <c r="F2215" s="510" t="str">
        <f>IF($C2215="",IFERROR(VLOOKUP($B2215,SERVIÇOS!$B:$G,3,0),IFERROR(VLOOKUP($B2215,$D:$K,3,0),"")),IFERROR(VLOOKUP($C2215,INSUMOS!$A:$D,3,0),IFERROR(VLOOKUP($C2215,COTAÇÕES!$B:$I,3,0),(VLOOKUP($C2215,'INSUMO SINAPI - SP'!$C:$F,3,0)))))</f>
        <v>CHP</v>
      </c>
      <c r="G2215" s="572">
        <v>0.13100000000000001</v>
      </c>
      <c r="H2215" s="512">
        <f>IF($C2215="",IFERROR(VLOOKUP($B2215,SERVIÇOS!$B:$G,6,0),IFERROR(VLOOKUP($B2215,$D:$K,8,0),"")),IFERROR(VLOOKUP($C2215,INSUMOS!$A:$D,4,0),IFERROR(VLOOKUP($C2215,COTAÇÕES!$B:$I,7,0),(VLOOKUP($C2215,'INSUMO SINAPI - SP'!$C:$F,4,0)))))</f>
        <v>1.22</v>
      </c>
      <c r="I2215" s="513">
        <f>TRUNC(IF($C2215="",IFERROR(VLOOKUP($B2215,SERVIÇOS!$B:$G,4,0),IFERROR(VLOOKUP($B2215,$D:$K,6,0),)),IFERROR(VLOOKUP($C2215,INSUMOS!$A:$D,4,0),IFERROR(VLOOKUP($C2215,COTAÇÕES!$B:$I,7,0),(VLOOKUP($C2215,'INSUMO SINAPI - SP'!$C:$F,4,0)))))*$G2215,2)</f>
        <v>0.15</v>
      </c>
      <c r="J2215" s="513">
        <f>TRUNC(IF($C2215="",IFERROR(VLOOKUP($B2215,SERVIÇOS!$B:$G,5,0),IFERROR(VLOOKUP($B2215,$D:$K,7,0),)),0)*$G2215,2)</f>
        <v>0</v>
      </c>
      <c r="K2215" s="514">
        <f t="shared" si="81"/>
        <v>0.15</v>
      </c>
      <c r="L2215" s="517"/>
    </row>
    <row r="2216" spans="2:12" ht="27" customHeight="1" x14ac:dyDescent="0.25">
      <c r="B2216" s="570">
        <v>90587</v>
      </c>
      <c r="C2216" s="570"/>
      <c r="D2216" s="571"/>
      <c r="E2216" s="509" t="str">
        <f>IF($C2216="",IFERROR(VLOOKUP($B2216,SERVIÇOS!$B:$G,2,0),IFERROR(VLOOKUP($B2216,$D:$K,2,0),"")),IFERROR(VLOOKUP($C2216,INSUMOS!$A:$D,2,0),IFERROR(VLOOKUP($C2216,COTAÇÕES!$B:$I,2,0),(VLOOKUP($C2216,'INSUMO SINAPI - SP'!$C:$F,2,0)))))</f>
        <v>VIBRADOR DE IMERSÃO, DIÂMETRO DE PONTEIRA 45MM, MOTOR ELÉTRICO TRIFÁSICO POTÊNCIA DE 2 CV - CHI DIURNO. AF_06/2015</v>
      </c>
      <c r="F2216" s="510" t="str">
        <f>IF($C2216="",IFERROR(VLOOKUP($B2216,SERVIÇOS!$B:$G,3,0),IFERROR(VLOOKUP($B2216,$D:$K,3,0),"")),IFERROR(VLOOKUP($C2216,INSUMOS!$A:$D,3,0),IFERROR(VLOOKUP($C2216,COTAÇÕES!$B:$I,3,0),(VLOOKUP($C2216,'INSUMO SINAPI - SP'!$C:$F,3,0)))))</f>
        <v>CHI</v>
      </c>
      <c r="G2216" s="572">
        <v>6.8000000000000005E-2</v>
      </c>
      <c r="H2216" s="512">
        <f>IF($C2216="",IFERROR(VLOOKUP($B2216,SERVIÇOS!$B:$G,6,0),IFERROR(VLOOKUP($B2216,$D:$K,8,0),"")),IFERROR(VLOOKUP($C2216,INSUMOS!$A:$D,4,0),IFERROR(VLOOKUP($C2216,COTAÇÕES!$B:$I,7,0),(VLOOKUP($C2216,'INSUMO SINAPI - SP'!$C:$F,4,0)))))</f>
        <v>0.53</v>
      </c>
      <c r="I2216" s="513">
        <f>TRUNC(IF($C2216="",IFERROR(VLOOKUP($B2216,SERVIÇOS!$B:$G,4,0),IFERROR(VLOOKUP($B2216,$D:$K,6,0),)),IFERROR(VLOOKUP($C2216,INSUMOS!$A:$D,4,0),IFERROR(VLOOKUP($C2216,COTAÇÕES!$B:$I,7,0),(VLOOKUP($C2216,'INSUMO SINAPI - SP'!$C:$F,4,0)))))*$G2216,2)</f>
        <v>0.03</v>
      </c>
      <c r="J2216" s="513">
        <f>TRUNC(IF($C2216="",IFERROR(VLOOKUP($B2216,SERVIÇOS!$B:$G,5,0),IFERROR(VLOOKUP($B2216,$D:$K,7,0),)),0)*$G2216,2)</f>
        <v>0</v>
      </c>
      <c r="K2216" s="514">
        <f t="shared" si="81"/>
        <v>0.03</v>
      </c>
      <c r="L2216" s="517"/>
    </row>
    <row r="2217" spans="2:12" ht="26.25" customHeight="1" x14ac:dyDescent="0.25">
      <c r="B2217" s="570">
        <v>100349</v>
      </c>
      <c r="C2217" s="570"/>
      <c r="D2217" s="571"/>
      <c r="E2217" s="509" t="str">
        <f>IF($C2217="",IFERROR(VLOOKUP($B2217,SERVIÇOS!$B:$G,2,0),IFERROR(VLOOKUP($B2217,$D:$K,2,0),"")),IFERROR(VLOOKUP($C2217,INSUMOS!$A:$D,2,0),IFERROR(VLOOKUP($C2217,COTAÇÕES!$B:$I,2,0),(VLOOKUP($C2217,'INSUMO SINAPI - SP'!$C:$F,2,0)))))</f>
        <v>CONCRETAGEM DE CORTINA DE CONTENÇÃO, ATRAVÉS DE BOMBA - LANÇAMENTO, ADENSAMENTO E ACABAMENTO. AF_11/2024</v>
      </c>
      <c r="F2217" s="510" t="str">
        <f>IF($C2217="",IFERROR(VLOOKUP($B2217,SERVIÇOS!$B:$G,3,0),IFERROR(VLOOKUP($B2217,$D:$K,3,0),"")),IFERROR(VLOOKUP($C2217,INSUMOS!$A:$D,3,0),IFERROR(VLOOKUP($C2217,COTAÇÕES!$B:$I,3,0),(VLOOKUP($C2217,'INSUMO SINAPI - SP'!$C:$F,3,0)))))</f>
        <v>M3</v>
      </c>
      <c r="G2217" s="572">
        <v>1</v>
      </c>
      <c r="H2217" s="512">
        <f>IF($C2217="",IFERROR(VLOOKUP($B2217,SERVIÇOS!$B:$G,6,0),IFERROR(VLOOKUP($B2217,$D:$K,8,0),"")),IFERROR(VLOOKUP($C2217,INSUMOS!$A:$D,4,0),IFERROR(VLOOKUP($C2217,COTAÇÕES!$B:$I,7,0),(VLOOKUP($C2217,'INSUMO SINAPI - SP'!$C:$F,4,0)))))</f>
        <v>610.33000000000004</v>
      </c>
      <c r="I2217" s="513">
        <f>TRUNC(IF($C2217="",IFERROR(VLOOKUP($B2217,SERVIÇOS!$B:$G,4,0),IFERROR(VLOOKUP($B2217,$D:$K,6,0),)),IFERROR(VLOOKUP($C2217,INSUMOS!$A:$D,4,0),IFERROR(VLOOKUP($C2217,COTAÇÕES!$B:$I,7,0),(VLOOKUP($C2217,'INSUMO SINAPI - SP'!$C:$F,4,0)))))*$G2217,2)</f>
        <v>580.98</v>
      </c>
      <c r="J2217" s="513">
        <f>TRUNC(IF($C2217="",IFERROR(VLOOKUP($B2217,SERVIÇOS!$B:$G,5,0),IFERROR(VLOOKUP($B2217,$D:$K,7,0),)),0)*$G2217,2)</f>
        <v>29.35</v>
      </c>
      <c r="K2217" s="514">
        <f t="shared" si="81"/>
        <v>610.33000000000004</v>
      </c>
      <c r="L2217" s="517"/>
    </row>
    <row r="2218" spans="2:12" ht="38.25" x14ac:dyDescent="0.25">
      <c r="B2218" s="561"/>
      <c r="C2218" s="562"/>
      <c r="D2218" s="738" t="s">
        <v>20458</v>
      </c>
      <c r="E2218" s="740" t="s">
        <v>20460</v>
      </c>
      <c r="F2218" s="739" t="s">
        <v>585</v>
      </c>
      <c r="G2218" s="566"/>
      <c r="H2218" s="567"/>
      <c r="I2218" s="568">
        <f>SUM(I2219:I2220)</f>
        <v>518.80000000000007</v>
      </c>
      <c r="J2218" s="568">
        <f>SUM(J2219:J2220)</f>
        <v>38.56</v>
      </c>
      <c r="K2218" s="568">
        <f>+J2218+I2218</f>
        <v>557.36000000000013</v>
      </c>
      <c r="L2218" s="569" t="s">
        <v>13632</v>
      </c>
    </row>
    <row r="2219" spans="2:12" ht="33" customHeight="1" x14ac:dyDescent="0.25">
      <c r="B2219" s="570"/>
      <c r="C2219" s="570">
        <v>1527</v>
      </c>
      <c r="D2219" s="571"/>
      <c r="E2219" s="509" t="str">
        <f>IF($C2219="",IFERROR(VLOOKUP($B2219,SERVIÇOS!$B:$G,2,0),IFERROR(VLOOKUP($B2219,$D:$K,2,0),"")),IFERROR(VLOOKUP($C2219,INSUMOS!$A:$D,2,0),IFERROR(VLOOKUP($C2219,COTAÇÕES!$B:$I,2,0),(VLOOKUP($C2219,'INSUMO SINAPI - SP'!$C:$F,2,0)))))</f>
        <v>CONCRETO USINADO BOMBEAVEL, CLASSE DE RESISTENCIA C25, BRITA 0 E 1, SLUMP = 100 +/- 20 MM, COM BOMBEAMENTO (DISPONIBILIZACAO DE BOMBA), SEM O LANCAMENTO (NBR 8953)</v>
      </c>
      <c r="F2219" s="510" t="str">
        <f>IF($C2219="",IFERROR(VLOOKUP($B2219,SERVIÇOS!$B:$G,3,0),IFERROR(VLOOKUP($B2219,$D:$K,3,0),"")),IFERROR(VLOOKUP($C2219,INSUMOS!$A:$D,3,0),IFERROR(VLOOKUP($C2219,COTAÇÕES!$B:$I,3,0),(VLOOKUP($C2219,'INSUMO SINAPI - SP'!$C:$F,3,0)))))</f>
        <v>M3</v>
      </c>
      <c r="G2219" s="572">
        <v>1</v>
      </c>
      <c r="H2219" s="512">
        <f>IF($C2219="",IFERROR(VLOOKUP($B2219,SERVIÇOS!$B:$G,6,0),IFERROR(VLOOKUP($B2219,$D:$K,8,0),"")),IFERROR(VLOOKUP($C2219,INSUMOS!$A:$D,4,0),IFERROR(VLOOKUP($C2219,COTAÇÕES!$B:$I,7,0),(VLOOKUP($C2219,'INSUMO SINAPI - SP'!$C:$F,4,0)))))</f>
        <v>502.16</v>
      </c>
      <c r="I2219" s="513">
        <f>TRUNC(IF($C2219="",IFERROR(VLOOKUP($B2219,SERVIÇOS!$B:$G,4,0),IFERROR(VLOOKUP($B2219,$D:$K,6,0),)),IFERROR(VLOOKUP($C2219,INSUMOS!$A:$D,4,0),IFERROR(VLOOKUP($C2219,COTAÇÕES!$B:$I,7,0),(VLOOKUP($C2219,'INSUMO SINAPI - SP'!$C:$F,4,0)))))*$G2219,2)</f>
        <v>502.16</v>
      </c>
      <c r="J2219" s="513">
        <f>TRUNC(IF($C2219="",IFERROR(VLOOKUP($B2219,SERVIÇOS!$B:$G,5,0),IFERROR(VLOOKUP($B2219,$D:$K,7,0),)),0)*$G2219,2)</f>
        <v>0</v>
      </c>
      <c r="K2219" s="514">
        <f t="shared" ref="K2219:K2220" si="82">I2219+J2219</f>
        <v>502.16</v>
      </c>
      <c r="L2219" s="517"/>
    </row>
    <row r="2220" spans="2:12" ht="33" customHeight="1" x14ac:dyDescent="0.25">
      <c r="B2220" s="570">
        <v>103673</v>
      </c>
      <c r="C2220" s="570"/>
      <c r="D2220" s="573"/>
      <c r="E2220" s="509" t="str">
        <f>IF($C2220="",IFERROR(VLOOKUP($B2220,SERVIÇOS!$B:$G,2,0),IFERROR(VLOOKUP($B2220,$D:$K,2,0),"")),IFERROR(VLOOKUP($C2220,INSUMOS!$A:$D,2,0),IFERROR(VLOOKUP($C2220,COTAÇÕES!$B:$I,2,0),(VLOOKUP($C2220,'INSUMO SINAPI - SP'!$C:$F,2,0)))))</f>
        <v>LANÇAMENTO COM USO DE BOMBA, ADENSAMENTO E ACABAMENTO DE CONCRETO EM ESTRUTURAS. AF_02/2022</v>
      </c>
      <c r="F2220" s="510" t="str">
        <f>IF($C2220="",IFERROR(VLOOKUP($B2220,SERVIÇOS!$B:$G,3,0),IFERROR(VLOOKUP($B2220,$D:$K,3,0),"")),IFERROR(VLOOKUP($C2220,INSUMOS!$A:$D,3,0),IFERROR(VLOOKUP($C2220,COTAÇÕES!$B:$I,3,0),(VLOOKUP($C2220,'INSUMO SINAPI - SP'!$C:$F,3,0)))))</f>
        <v>M3</v>
      </c>
      <c r="G2220" s="572">
        <v>1</v>
      </c>
      <c r="H2220" s="512">
        <f>IF($C2220="",IFERROR(VLOOKUP($B2220,SERVIÇOS!$B:$G,6,0),IFERROR(VLOOKUP($B2220,$D:$K,8,0),"")),IFERROR(VLOOKUP($C2220,INSUMOS!$A:$D,4,0),IFERROR(VLOOKUP($C2220,COTAÇÕES!$B:$I,7,0),(VLOOKUP($C2220,'INSUMO SINAPI - SP'!$C:$F,4,0)))))</f>
        <v>55.2</v>
      </c>
      <c r="I2220" s="513">
        <f>TRUNC(IF($C2220="",IFERROR(VLOOKUP($B2220,SERVIÇOS!$B:$G,4,0),IFERROR(VLOOKUP($B2220,$D:$K,6,0),)),IFERROR(VLOOKUP($C2220,INSUMOS!$A:$D,4,0),IFERROR(VLOOKUP($C2220,COTAÇÕES!$B:$I,7,0),(VLOOKUP($C2220,'INSUMO SINAPI - SP'!$C:$F,4,0)))))*$G2220,2)</f>
        <v>16.64</v>
      </c>
      <c r="J2220" s="513">
        <f>TRUNC(IF($C2220="",IFERROR(VLOOKUP($B2220,SERVIÇOS!$B:$G,5,0),IFERROR(VLOOKUP($B2220,$D:$K,7,0),)),0)*$G2220,2)</f>
        <v>38.56</v>
      </c>
      <c r="K2220" s="514">
        <f t="shared" si="82"/>
        <v>55.2</v>
      </c>
      <c r="L2220" s="579"/>
    </row>
    <row r="2221" spans="2:12" ht="51" x14ac:dyDescent="0.25">
      <c r="B2221" s="561"/>
      <c r="C2221" s="562"/>
      <c r="D2221" s="738" t="s">
        <v>20471</v>
      </c>
      <c r="E2221" s="740" t="s">
        <v>20473</v>
      </c>
      <c r="F2221" s="739" t="s">
        <v>585</v>
      </c>
      <c r="G2221" s="566"/>
      <c r="H2221" s="567"/>
      <c r="I2221" s="568">
        <f>SUM(I2222:I2222)</f>
        <v>455.23</v>
      </c>
      <c r="J2221" s="568">
        <f>SUM(J2222:J2222)</f>
        <v>0</v>
      </c>
      <c r="K2221" s="568">
        <f>+J2221+I2221</f>
        <v>455.23</v>
      </c>
      <c r="L2221" s="741" t="s">
        <v>13786</v>
      </c>
    </row>
    <row r="2222" spans="2:12" ht="48" x14ac:dyDescent="0.25">
      <c r="B2222" s="570"/>
      <c r="C2222" s="570" t="s">
        <v>20470</v>
      </c>
      <c r="D2222" s="571"/>
      <c r="E2222" s="509" t="s">
        <v>20472</v>
      </c>
      <c r="F2222" s="742" t="s">
        <v>585</v>
      </c>
      <c r="G2222" s="572">
        <v>1</v>
      </c>
      <c r="H2222" s="512">
        <v>455.23</v>
      </c>
      <c r="I2222" s="512">
        <v>455.23</v>
      </c>
      <c r="J2222" s="513">
        <f>TRUNC(IF($C2222="",IFERROR(VLOOKUP($B2222,SERVIÇOS!$B:$G,5,0),IFERROR(VLOOKUP($B2222,$D:$K,7,0),)),0)*$G2222,2)</f>
        <v>0</v>
      </c>
      <c r="K2222" s="514">
        <f t="shared" ref="K2222" si="83">I2222+J2222</f>
        <v>455.23</v>
      </c>
      <c r="L2222" s="517"/>
    </row>
    <row r="2223" spans="2:12" ht="15.75" x14ac:dyDescent="0.25">
      <c r="B2223" s="738"/>
      <c r="C2223" s="738"/>
      <c r="D2223" s="738" t="s">
        <v>20487</v>
      </c>
      <c r="E2223" s="740" t="s">
        <v>20490</v>
      </c>
      <c r="F2223" s="739" t="s">
        <v>585</v>
      </c>
      <c r="G2223" s="748"/>
      <c r="H2223" s="745" t="s">
        <v>20493</v>
      </c>
      <c r="I2223" s="568">
        <v>49.94</v>
      </c>
      <c r="J2223" s="568">
        <v>9.23</v>
      </c>
      <c r="K2223" s="568">
        <v>59.17</v>
      </c>
      <c r="L2223" s="741" t="s">
        <v>20497</v>
      </c>
    </row>
    <row r="2224" spans="2:12" ht="24" x14ac:dyDescent="0.25">
      <c r="B2224" s="570">
        <v>88629</v>
      </c>
      <c r="C2224" s="570"/>
      <c r="D2224" s="750"/>
      <c r="E2224" s="509" t="str">
        <f>IF($C2224="",IFERROR(VLOOKUP($B2224,SERVIÇOS!$B:$G,2,0),IFERROR(VLOOKUP($B2224,$D:$K,2,0),"")),IFERROR(VLOOKUP($C2224,INSUMOS!$A:$D,2,0),IFERROR(VLOOKUP($C2224,COTAÇÕES!$B:$I,2,0),(VLOOKUP($C2224,'INSUMO SINAPI - SP'!$C:$F,2,0)))))</f>
        <v>ARGAMASSA TRAÇO 1:3 (EM VOLUME DE CIMENTO E AREIA MÉDIA ÚMIDA), PREPARO MANUAL. AF_08/2019</v>
      </c>
      <c r="F2224" s="510" t="str">
        <f>IF($C2224="",IFERROR(VLOOKUP($B2224,SERVIÇOS!$B:$G,3,0),IFERROR(VLOOKUP($B2224,$D:$K,3,0),"")),IFERROR(VLOOKUP($C2224,INSUMOS!$A:$D,3,0),IFERROR(VLOOKUP($C2224,COTAÇÕES!$B:$I,3,0),(VLOOKUP($C2224,'INSUMO SINAPI - SP'!$C:$F,3,0)))))</f>
        <v>M3</v>
      </c>
      <c r="G2224" s="749">
        <v>1.1999999999999999E-3</v>
      </c>
      <c r="H2224" s="512">
        <f>IF($C2224="",IFERROR(VLOOKUP($B2224,SERVIÇOS!$B:$G,6,0),IFERROR(VLOOKUP($B2224,$D:$K,8,0),"")),IFERROR(VLOOKUP($C2224,INSUMOS!$A:$D,4,0),IFERROR(VLOOKUP($C2224,COTAÇÕES!$B:$I,7,0),(VLOOKUP($C2224,'INSUMO SINAPI - SP'!$C:$F,4,0)))))</f>
        <v>701.86</v>
      </c>
      <c r="I2224" s="513">
        <f>TRUNC(IF($C2224="",IFERROR(VLOOKUP($B2224,SERVIÇOS!$B:$G,4,0),IFERROR(VLOOKUP($B2224,$D:$K,6,0),)),IFERROR(VLOOKUP($C2224,INSUMOS!$A:$D,4,0),IFERROR(VLOOKUP($C2224,COTAÇÕES!$B:$I,7,0),(VLOOKUP($C2224,'INSUMO SINAPI - SP'!$C:$F,4,0)))))*$G2224,2)</f>
        <v>0.64</v>
      </c>
      <c r="J2224" s="513">
        <f>TRUNC(IF($C2224="",IFERROR(VLOOKUP($B2224,SERVIÇOS!$B:$G,5,0),IFERROR(VLOOKUP($B2224,$D:$K,7,0),)),0)*$G2224,2)</f>
        <v>0.2</v>
      </c>
      <c r="K2224" s="514">
        <f t="shared" ref="K2224:K2226" si="84">I2224+J2224</f>
        <v>0.84000000000000008</v>
      </c>
      <c r="L2224" s="746"/>
    </row>
    <row r="2225" spans="2:12" x14ac:dyDescent="0.25">
      <c r="B2225" s="570">
        <v>88316</v>
      </c>
      <c r="C2225" s="570"/>
      <c r="D2225" s="751"/>
      <c r="E2225" s="509" t="str">
        <f>IF($C2225="",IFERROR(VLOOKUP($B2225,SERVIÇOS!$B:$G,2,0),IFERROR(VLOOKUP($B2225,$D:$K,2,0),"")),IFERROR(VLOOKUP($C2225,INSUMOS!$A:$D,2,0),IFERROR(VLOOKUP($C2225,COTAÇÕES!$B:$I,2,0),(VLOOKUP($C2225,'INSUMO SINAPI - SP'!$C:$F,2,0)))))</f>
        <v>SERVENTE COM ENCARGOS COMPLEMENTARES</v>
      </c>
      <c r="F2225" s="510" t="str">
        <f>IF($C2225="",IFERROR(VLOOKUP($B2225,SERVIÇOS!$B:$G,3,0),IFERROR(VLOOKUP($B2225,$D:$K,3,0),"")),IFERROR(VLOOKUP($C2225,INSUMOS!$A:$D,3,0),IFERROR(VLOOKUP($C2225,COTAÇÕES!$B:$I,3,0),(VLOOKUP($C2225,'INSUMO SINAPI - SP'!$C:$F,3,0)))))</f>
        <v>H</v>
      </c>
      <c r="G2225" s="749">
        <v>0.21510000000000001</v>
      </c>
      <c r="H2225" s="512">
        <f>IF($C2225="",IFERROR(VLOOKUP($B2225,SERVIÇOS!$B:$G,6,0),IFERROR(VLOOKUP($B2225,$D:$K,8,0),"")),IFERROR(VLOOKUP($C2225,INSUMOS!$A:$D,4,0),IFERROR(VLOOKUP($C2225,COTAÇÕES!$B:$I,7,0),(VLOOKUP($C2225,'INSUMO SINAPI - SP'!$C:$F,4,0)))))</f>
        <v>28.71</v>
      </c>
      <c r="I2225" s="513">
        <f>TRUNC(IF($C2225="",IFERROR(VLOOKUP($B2225,SERVIÇOS!$B:$G,4,0),IFERROR(VLOOKUP($B2225,$D:$K,6,0),)),IFERROR(VLOOKUP($C2225,INSUMOS!$A:$D,4,0),IFERROR(VLOOKUP($C2225,COTAÇÕES!$B:$I,7,0),(VLOOKUP($C2225,'INSUMO SINAPI - SP'!$C:$F,4,0)))))*$G2225,2)</f>
        <v>1.97</v>
      </c>
      <c r="J2225" s="513">
        <f>TRUNC(IF($C2225="",IFERROR(VLOOKUP($B2225,SERVIÇOS!$B:$G,5,0),IFERROR(VLOOKUP($B2225,$D:$K,7,0),)),0)*$G2225,2)</f>
        <v>4.1900000000000004</v>
      </c>
      <c r="K2225" s="514">
        <f t="shared" si="84"/>
        <v>6.16</v>
      </c>
      <c r="L2225" s="746"/>
    </row>
    <row r="2226" spans="2:12" x14ac:dyDescent="0.25">
      <c r="B2226" s="570">
        <v>88309</v>
      </c>
      <c r="C2226" s="570"/>
      <c r="D2226" s="751"/>
      <c r="E2226" s="509" t="str">
        <f>IF($C2226="",IFERROR(VLOOKUP($B2226,SERVIÇOS!$B:$G,2,0),IFERROR(VLOOKUP($B2226,$D:$K,2,0),"")),IFERROR(VLOOKUP($C2226,INSUMOS!$A:$D,2,0),IFERROR(VLOOKUP($C2226,COTAÇÕES!$B:$I,2,0),(VLOOKUP($C2226,'INSUMO SINAPI - SP'!$C:$F,2,0)))))</f>
        <v>PEDREIRO COM ENCARGOS COMPLEMENTARES</v>
      </c>
      <c r="F2226" s="510" t="str">
        <f>IF($C2226="",IFERROR(VLOOKUP($B2226,SERVIÇOS!$B:$G,3,0),IFERROR(VLOOKUP($B2226,$D:$K,3,0),"")),IFERROR(VLOOKUP($C2226,INSUMOS!$A:$D,3,0),IFERROR(VLOOKUP($C2226,COTAÇÕES!$B:$I,3,0),(VLOOKUP($C2226,'INSUMO SINAPI - SP'!$C:$F,3,0)))))</f>
        <v>H</v>
      </c>
      <c r="G2226" s="749">
        <v>0.21510000000000001</v>
      </c>
      <c r="H2226" s="512">
        <f>IF($C2226="",IFERROR(VLOOKUP($B2226,SERVIÇOS!$B:$G,6,0),IFERROR(VLOOKUP($B2226,$D:$K,8,0),"")),IFERROR(VLOOKUP($C2226,INSUMOS!$A:$D,4,0),IFERROR(VLOOKUP($C2226,COTAÇÕES!$B:$I,7,0),(VLOOKUP($C2226,'INSUMO SINAPI - SP'!$C:$F,4,0)))))</f>
        <v>36.909999999999997</v>
      </c>
      <c r="I2226" s="513">
        <f>TRUNC(IF($C2226="",IFERROR(VLOOKUP($B2226,SERVIÇOS!$B:$G,4,0),IFERROR(VLOOKUP($B2226,$D:$K,6,0),)),IFERROR(VLOOKUP($C2226,INSUMOS!$A:$D,4,0),IFERROR(VLOOKUP($C2226,COTAÇÕES!$B:$I,7,0),(VLOOKUP($C2226,'INSUMO SINAPI - SP'!$C:$F,4,0)))))*$G2226,2)</f>
        <v>1.99</v>
      </c>
      <c r="J2226" s="513">
        <f>TRUNC(IF($C2226="",IFERROR(VLOOKUP($B2226,SERVIÇOS!$B:$G,5,0),IFERROR(VLOOKUP($B2226,$D:$K,7,0),)),0)*$G2226,2)</f>
        <v>5.94</v>
      </c>
      <c r="K2226" s="514">
        <f t="shared" si="84"/>
        <v>7.9300000000000006</v>
      </c>
      <c r="L2226" s="746"/>
    </row>
    <row r="2227" spans="2:12" x14ac:dyDescent="0.25">
      <c r="B2227" s="570"/>
      <c r="C2227" s="570">
        <v>810150</v>
      </c>
      <c r="D2227" s="751"/>
      <c r="E2227" s="509" t="s">
        <v>20494</v>
      </c>
      <c r="F2227" s="510" t="s">
        <v>12744</v>
      </c>
      <c r="G2227" s="749">
        <v>1.0049999999999999</v>
      </c>
      <c r="H2227" s="512">
        <v>44.34</v>
      </c>
      <c r="I2227" s="512">
        <v>44.56</v>
      </c>
      <c r="J2227" s="512"/>
      <c r="K2227" s="512">
        <v>44.56</v>
      </c>
      <c r="L2227" s="747" t="s">
        <v>20497</v>
      </c>
    </row>
    <row r="2228" spans="2:12" x14ac:dyDescent="0.25">
      <c r="B2228" s="570"/>
      <c r="C2228" s="570">
        <v>370</v>
      </c>
      <c r="D2228" s="751"/>
      <c r="E2228" s="509" t="str">
        <f>IF($C2228="",IFERROR(VLOOKUP($B2228,SERVIÇOS!$B:$G,2,0),IFERROR(VLOOKUP($B2228,$D:$K,2,0),"")),IFERROR(VLOOKUP($C2228,INSUMOS!$A:$D,2,0),IFERROR(VLOOKUP($C2228,COTAÇÕES!$B:$I,2,0),(VLOOKUP($C2228,'INSUMO SINAPI - SP'!$C:$F,2,0)))))</f>
        <v>AREIA MEDIA - POSTO JAZIDA/FORNECEDOR (RETIRADO NA JAZIDA, SEM TRANSPORTE)</v>
      </c>
      <c r="F2228" s="510" t="str">
        <f>IF($C2228="",IFERROR(VLOOKUP($B2228,SERVIÇOS!$B:$G,3,0),IFERROR(VLOOKUP($B2228,$D:$K,3,0),"")),IFERROR(VLOOKUP($C2228,INSUMOS!$A:$D,3,0),IFERROR(VLOOKUP($C2228,COTAÇÕES!$B:$I,3,0),(VLOOKUP($C2228,'INSUMO SINAPI - SP'!$C:$F,3,0)))))</f>
        <v>M3</v>
      </c>
      <c r="G2228" s="749">
        <v>6.6E-3</v>
      </c>
      <c r="H2228" s="512">
        <f>IF($C2228="",IFERROR(VLOOKUP($B2228,SERVIÇOS!$B:$G,6,0),IFERROR(VLOOKUP($B2228,$D:$K,8,0),"")),IFERROR(VLOOKUP($C2228,INSUMOS!$A:$D,4,0),IFERROR(VLOOKUP($C2228,COTAÇÕES!$B:$I,7,0),(VLOOKUP($C2228,'INSUMO SINAPI - SP'!$C:$F,4,0)))))</f>
        <v>119.08</v>
      </c>
      <c r="I2228" s="513">
        <f>TRUNC(IF($C2228="",IFERROR(VLOOKUP($B2228,SERVIÇOS!$B:$G,4,0),IFERROR(VLOOKUP($B2228,$D:$K,6,0),)),IFERROR(VLOOKUP($C2228,INSUMOS!$A:$D,4,0),IFERROR(VLOOKUP($C2228,COTAÇÕES!$B:$I,7,0),(VLOOKUP($C2228,'INSUMO SINAPI - SP'!$C:$F,4,0)))))*$G2228,2)</f>
        <v>0.78</v>
      </c>
      <c r="J2228" s="513">
        <f>TRUNC(IF($C2228="",IFERROR(VLOOKUP($B2228,SERVIÇOS!$B:$G,5,0),IFERROR(VLOOKUP($B2228,$D:$K,7,0),)),0)*$G2228,2)</f>
        <v>0</v>
      </c>
      <c r="K2228" s="514">
        <f t="shared" ref="K2228" si="85">I2228+J2228</f>
        <v>0.78</v>
      </c>
      <c r="L2228" s="746"/>
    </row>
    <row r="2229" spans="2:12" ht="15.75" x14ac:dyDescent="0.25">
      <c r="B2229" s="738"/>
      <c r="C2229" s="738"/>
      <c r="D2229" s="738" t="s">
        <v>20488</v>
      </c>
      <c r="E2229" s="740" t="s">
        <v>20491</v>
      </c>
      <c r="F2229" s="739" t="s">
        <v>585</v>
      </c>
      <c r="G2229" s="748"/>
      <c r="H2229" s="745" t="s">
        <v>20493</v>
      </c>
      <c r="I2229" s="568">
        <v>49.94</v>
      </c>
      <c r="J2229" s="568">
        <v>9.23</v>
      </c>
      <c r="K2229" s="568">
        <v>59.17</v>
      </c>
      <c r="L2229" s="741" t="s">
        <v>20497</v>
      </c>
    </row>
    <row r="2230" spans="2:12" ht="24" x14ac:dyDescent="0.25">
      <c r="B2230" s="570">
        <v>88629</v>
      </c>
      <c r="C2230" s="570"/>
      <c r="D2230" s="751"/>
      <c r="E2230" s="509" t="str">
        <f>IF($C2230="",IFERROR(VLOOKUP($B2230,SERVIÇOS!$B:$G,2,0),IFERROR(VLOOKUP($B2230,$D:$K,2,0),"")),IFERROR(VLOOKUP($C2230,INSUMOS!$A:$D,2,0),IFERROR(VLOOKUP($C2230,COTAÇÕES!$B:$I,2,0),(VLOOKUP($C2230,'INSUMO SINAPI - SP'!$C:$F,2,0)))))</f>
        <v>ARGAMASSA TRAÇO 1:3 (EM VOLUME DE CIMENTO E AREIA MÉDIA ÚMIDA), PREPARO MANUAL. AF_08/2019</v>
      </c>
      <c r="F2230" s="510" t="str">
        <f>IF($C2230="",IFERROR(VLOOKUP($B2230,SERVIÇOS!$B:$G,3,0),IFERROR(VLOOKUP($B2230,$D:$K,3,0),"")),IFERROR(VLOOKUP($C2230,INSUMOS!$A:$D,3,0),IFERROR(VLOOKUP($C2230,COTAÇÕES!$B:$I,3,0),(VLOOKUP($C2230,'INSUMO SINAPI - SP'!$C:$F,3,0)))))</f>
        <v>M3</v>
      </c>
      <c r="G2230" s="749">
        <v>1.1999999999999999E-3</v>
      </c>
      <c r="H2230" s="512">
        <f>IF($C2230="",IFERROR(VLOOKUP($B2230,SERVIÇOS!$B:$G,6,0),IFERROR(VLOOKUP($B2230,$D:$K,8,0),"")),IFERROR(VLOOKUP($C2230,INSUMOS!$A:$D,4,0),IFERROR(VLOOKUP($C2230,COTAÇÕES!$B:$I,7,0),(VLOOKUP($C2230,'INSUMO SINAPI - SP'!$C:$F,4,0)))))</f>
        <v>701.86</v>
      </c>
      <c r="I2230" s="513">
        <f>TRUNC(IF($C2230="",IFERROR(VLOOKUP($B2230,SERVIÇOS!$B:$G,4,0),IFERROR(VLOOKUP($B2230,$D:$K,6,0),)),IFERROR(VLOOKUP($C2230,INSUMOS!$A:$D,4,0),IFERROR(VLOOKUP($C2230,COTAÇÕES!$B:$I,7,0),(VLOOKUP($C2230,'INSUMO SINAPI - SP'!$C:$F,4,0)))))*$G2230,2)</f>
        <v>0.64</v>
      </c>
      <c r="J2230" s="513">
        <f>TRUNC(IF($C2230="",IFERROR(VLOOKUP($B2230,SERVIÇOS!$B:$G,5,0),IFERROR(VLOOKUP($B2230,$D:$K,7,0),)),0)*$G2230,2)</f>
        <v>0.2</v>
      </c>
      <c r="K2230" s="514">
        <f t="shared" ref="K2230:K2232" si="86">I2230+J2230</f>
        <v>0.84000000000000008</v>
      </c>
      <c r="L2230" s="747"/>
    </row>
    <row r="2231" spans="2:12" x14ac:dyDescent="0.25">
      <c r="B2231" s="570">
        <v>88316</v>
      </c>
      <c r="C2231" s="570"/>
      <c r="D2231" s="751"/>
      <c r="E2231" s="509" t="str">
        <f>IF($C2231="",IFERROR(VLOOKUP($B2231,SERVIÇOS!$B:$G,2,0),IFERROR(VLOOKUP($B2231,$D:$K,2,0),"")),IFERROR(VLOOKUP($C2231,INSUMOS!$A:$D,2,0),IFERROR(VLOOKUP($C2231,COTAÇÕES!$B:$I,2,0),(VLOOKUP($C2231,'INSUMO SINAPI - SP'!$C:$F,2,0)))))</f>
        <v>SERVENTE COM ENCARGOS COMPLEMENTARES</v>
      </c>
      <c r="F2231" s="510" t="str">
        <f>IF($C2231="",IFERROR(VLOOKUP($B2231,SERVIÇOS!$B:$G,3,0),IFERROR(VLOOKUP($B2231,$D:$K,3,0),"")),IFERROR(VLOOKUP($C2231,INSUMOS!$A:$D,3,0),IFERROR(VLOOKUP($C2231,COTAÇÕES!$B:$I,3,0),(VLOOKUP($C2231,'INSUMO SINAPI - SP'!$C:$F,3,0)))))</f>
        <v>H</v>
      </c>
      <c r="G2231" s="749">
        <v>0.21510000000000001</v>
      </c>
      <c r="H2231" s="512">
        <f>IF($C2231="",IFERROR(VLOOKUP($B2231,SERVIÇOS!$B:$G,6,0),IFERROR(VLOOKUP($B2231,$D:$K,8,0),"")),IFERROR(VLOOKUP($C2231,INSUMOS!$A:$D,4,0),IFERROR(VLOOKUP($C2231,COTAÇÕES!$B:$I,7,0),(VLOOKUP($C2231,'INSUMO SINAPI - SP'!$C:$F,4,0)))))</f>
        <v>28.71</v>
      </c>
      <c r="I2231" s="513">
        <f>TRUNC(IF($C2231="",IFERROR(VLOOKUP($B2231,SERVIÇOS!$B:$G,4,0),IFERROR(VLOOKUP($B2231,$D:$K,6,0),)),IFERROR(VLOOKUP($C2231,INSUMOS!$A:$D,4,0),IFERROR(VLOOKUP($C2231,COTAÇÕES!$B:$I,7,0),(VLOOKUP($C2231,'INSUMO SINAPI - SP'!$C:$F,4,0)))))*$G2231,2)</f>
        <v>1.97</v>
      </c>
      <c r="J2231" s="513">
        <f>TRUNC(IF($C2231="",IFERROR(VLOOKUP($B2231,SERVIÇOS!$B:$G,5,0),IFERROR(VLOOKUP($B2231,$D:$K,7,0),)),0)*$G2231,2)</f>
        <v>4.1900000000000004</v>
      </c>
      <c r="K2231" s="514">
        <f t="shared" si="86"/>
        <v>6.16</v>
      </c>
      <c r="L2231" s="747"/>
    </row>
    <row r="2232" spans="2:12" x14ac:dyDescent="0.25">
      <c r="B2232" s="570">
        <v>88309</v>
      </c>
      <c r="C2232" s="570"/>
      <c r="D2232" s="751"/>
      <c r="E2232" s="509" t="str">
        <f>IF($C2232="",IFERROR(VLOOKUP($B2232,SERVIÇOS!$B:$G,2,0),IFERROR(VLOOKUP($B2232,$D:$K,2,0),"")),IFERROR(VLOOKUP($C2232,INSUMOS!$A:$D,2,0),IFERROR(VLOOKUP($C2232,COTAÇÕES!$B:$I,2,0),(VLOOKUP($C2232,'INSUMO SINAPI - SP'!$C:$F,2,0)))))</f>
        <v>PEDREIRO COM ENCARGOS COMPLEMENTARES</v>
      </c>
      <c r="F2232" s="510" t="str">
        <f>IF($C2232="",IFERROR(VLOOKUP($B2232,SERVIÇOS!$B:$G,3,0),IFERROR(VLOOKUP($B2232,$D:$K,3,0),"")),IFERROR(VLOOKUP($C2232,INSUMOS!$A:$D,3,0),IFERROR(VLOOKUP($C2232,COTAÇÕES!$B:$I,3,0),(VLOOKUP($C2232,'INSUMO SINAPI - SP'!$C:$F,3,0)))))</f>
        <v>H</v>
      </c>
      <c r="G2232" s="749">
        <v>0.21510000000000001</v>
      </c>
      <c r="H2232" s="512">
        <f>IF($C2232="",IFERROR(VLOOKUP($B2232,SERVIÇOS!$B:$G,6,0),IFERROR(VLOOKUP($B2232,$D:$K,8,0),"")),IFERROR(VLOOKUP($C2232,INSUMOS!$A:$D,4,0),IFERROR(VLOOKUP($C2232,COTAÇÕES!$B:$I,7,0),(VLOOKUP($C2232,'INSUMO SINAPI - SP'!$C:$F,4,0)))))</f>
        <v>36.909999999999997</v>
      </c>
      <c r="I2232" s="513">
        <f>TRUNC(IF($C2232="",IFERROR(VLOOKUP($B2232,SERVIÇOS!$B:$G,4,0),IFERROR(VLOOKUP($B2232,$D:$K,6,0),)),IFERROR(VLOOKUP($C2232,INSUMOS!$A:$D,4,0),IFERROR(VLOOKUP($C2232,COTAÇÕES!$B:$I,7,0),(VLOOKUP($C2232,'INSUMO SINAPI - SP'!$C:$F,4,0)))))*$G2232,2)</f>
        <v>1.99</v>
      </c>
      <c r="J2232" s="513">
        <f>TRUNC(IF($C2232="",IFERROR(VLOOKUP($B2232,SERVIÇOS!$B:$G,5,0),IFERROR(VLOOKUP($B2232,$D:$K,7,0),)),0)*$G2232,2)</f>
        <v>5.94</v>
      </c>
      <c r="K2232" s="514">
        <f t="shared" si="86"/>
        <v>7.9300000000000006</v>
      </c>
      <c r="L2232" s="747"/>
    </row>
    <row r="2233" spans="2:12" x14ac:dyDescent="0.25">
      <c r="B2233" s="570"/>
      <c r="C2233" s="570">
        <v>810250</v>
      </c>
      <c r="D2233" s="751"/>
      <c r="E2233" s="509" t="s">
        <v>20495</v>
      </c>
      <c r="F2233" s="510" t="s">
        <v>12744</v>
      </c>
      <c r="G2233" s="749">
        <v>1.0049999999999999</v>
      </c>
      <c r="H2233" s="512">
        <v>44.34</v>
      </c>
      <c r="I2233" s="512">
        <v>44.56</v>
      </c>
      <c r="J2233" s="752"/>
      <c r="K2233" s="512">
        <v>44.56</v>
      </c>
      <c r="L2233" s="747" t="s">
        <v>20497</v>
      </c>
    </row>
    <row r="2234" spans="2:12" x14ac:dyDescent="0.25">
      <c r="B2234" s="570"/>
      <c r="C2234" s="570">
        <v>370</v>
      </c>
      <c r="D2234" s="751"/>
      <c r="E2234" s="509" t="str">
        <f>IF($C2234="",IFERROR(VLOOKUP($B2234,SERVIÇOS!$B:$G,2,0),IFERROR(VLOOKUP($B2234,$D:$K,2,0),"")),IFERROR(VLOOKUP($C2234,INSUMOS!$A:$D,2,0),IFERROR(VLOOKUP($C2234,COTAÇÕES!$B:$I,2,0),(VLOOKUP($C2234,'INSUMO SINAPI - SP'!$C:$F,2,0)))))</f>
        <v>AREIA MEDIA - POSTO JAZIDA/FORNECEDOR (RETIRADO NA JAZIDA, SEM TRANSPORTE)</v>
      </c>
      <c r="F2234" s="510" t="str">
        <f>IF($C2234="",IFERROR(VLOOKUP($B2234,SERVIÇOS!$B:$G,3,0),IFERROR(VLOOKUP($B2234,$D:$K,3,0),"")),IFERROR(VLOOKUP($C2234,INSUMOS!$A:$D,3,0),IFERROR(VLOOKUP($C2234,COTAÇÕES!$B:$I,3,0),(VLOOKUP($C2234,'INSUMO SINAPI - SP'!$C:$F,3,0)))))</f>
        <v>M3</v>
      </c>
      <c r="G2234" s="749">
        <v>6.6E-3</v>
      </c>
      <c r="H2234" s="512">
        <f>IF($C2234="",IFERROR(VLOOKUP($B2234,SERVIÇOS!$B:$G,6,0),IFERROR(VLOOKUP($B2234,$D:$K,8,0),"")),IFERROR(VLOOKUP($C2234,INSUMOS!$A:$D,4,0),IFERROR(VLOOKUP($C2234,COTAÇÕES!$B:$I,7,0),(VLOOKUP($C2234,'INSUMO SINAPI - SP'!$C:$F,4,0)))))</f>
        <v>119.08</v>
      </c>
      <c r="I2234" s="513">
        <f>TRUNC(IF($C2234="",IFERROR(VLOOKUP($B2234,SERVIÇOS!$B:$G,4,0),IFERROR(VLOOKUP($B2234,$D:$K,6,0),)),IFERROR(VLOOKUP($C2234,INSUMOS!$A:$D,4,0),IFERROR(VLOOKUP($C2234,COTAÇÕES!$B:$I,7,0),(VLOOKUP($C2234,'INSUMO SINAPI - SP'!$C:$F,4,0)))))*$G2234,2)</f>
        <v>0.78</v>
      </c>
      <c r="J2234" s="513">
        <f>TRUNC(IF($C2234="",IFERROR(VLOOKUP($B2234,SERVIÇOS!$B:$G,5,0),IFERROR(VLOOKUP($B2234,$D:$K,7,0),)),0)*$G2234,2)</f>
        <v>0</v>
      </c>
      <c r="K2234" s="514">
        <f t="shared" ref="K2234" si="87">I2234+J2234</f>
        <v>0.78</v>
      </c>
      <c r="L2234" s="747"/>
    </row>
    <row r="2235" spans="2:12" ht="15.75" x14ac:dyDescent="0.25">
      <c r="B2235" s="738"/>
      <c r="C2235" s="738"/>
      <c r="D2235" s="738" t="s">
        <v>20489</v>
      </c>
      <c r="E2235" s="740" t="s">
        <v>20492</v>
      </c>
      <c r="F2235" s="739" t="s">
        <v>585</v>
      </c>
      <c r="G2235" s="748"/>
      <c r="H2235" s="745" t="s">
        <v>20493</v>
      </c>
      <c r="I2235" s="568">
        <v>28.41</v>
      </c>
      <c r="J2235" s="568">
        <v>9.23</v>
      </c>
      <c r="K2235" s="568">
        <v>37.64</v>
      </c>
      <c r="L2235" s="741" t="s">
        <v>20497</v>
      </c>
    </row>
    <row r="2236" spans="2:12" ht="24" x14ac:dyDescent="0.25">
      <c r="B2236" s="570">
        <v>88629</v>
      </c>
      <c r="C2236" s="570"/>
      <c r="D2236" s="751"/>
      <c r="E2236" s="509" t="str">
        <f>IF($C2236="",IFERROR(VLOOKUP($B2236,SERVIÇOS!$B:$G,2,0),IFERROR(VLOOKUP($B2236,$D:$K,2,0),"")),IFERROR(VLOOKUP($C2236,INSUMOS!$A:$D,2,0),IFERROR(VLOOKUP($C2236,COTAÇÕES!$B:$I,2,0),(VLOOKUP($C2236,'INSUMO SINAPI - SP'!$C:$F,2,0)))))</f>
        <v>ARGAMASSA TRAÇO 1:3 (EM VOLUME DE CIMENTO E AREIA MÉDIA ÚMIDA), PREPARO MANUAL. AF_08/2019</v>
      </c>
      <c r="F2236" s="510" t="str">
        <f>IF($C2236="",IFERROR(VLOOKUP($B2236,SERVIÇOS!$B:$G,3,0),IFERROR(VLOOKUP($B2236,$D:$K,3,0),"")),IFERROR(VLOOKUP($C2236,INSUMOS!$A:$D,3,0),IFERROR(VLOOKUP($C2236,COTAÇÕES!$B:$I,3,0),(VLOOKUP($C2236,'INSUMO SINAPI - SP'!$C:$F,3,0)))))</f>
        <v>M3</v>
      </c>
      <c r="G2236" s="749">
        <v>1.1999999999999999E-3</v>
      </c>
      <c r="H2236" s="512">
        <f>IF($C2236="",IFERROR(VLOOKUP($B2236,SERVIÇOS!$B:$G,6,0),IFERROR(VLOOKUP($B2236,$D:$K,8,0),"")),IFERROR(VLOOKUP($C2236,INSUMOS!$A:$D,4,0),IFERROR(VLOOKUP($C2236,COTAÇÕES!$B:$I,7,0),(VLOOKUP($C2236,'INSUMO SINAPI - SP'!$C:$F,4,0)))))</f>
        <v>701.86</v>
      </c>
      <c r="I2236" s="513">
        <f>TRUNC(IF($C2236="",IFERROR(VLOOKUP($B2236,SERVIÇOS!$B:$G,4,0),IFERROR(VLOOKUP($B2236,$D:$K,6,0),)),IFERROR(VLOOKUP($C2236,INSUMOS!$A:$D,4,0),IFERROR(VLOOKUP($C2236,COTAÇÕES!$B:$I,7,0),(VLOOKUP($C2236,'INSUMO SINAPI - SP'!$C:$F,4,0)))))*$G2236,2)</f>
        <v>0.64</v>
      </c>
      <c r="J2236" s="513">
        <f>TRUNC(IF($C2236="",IFERROR(VLOOKUP($B2236,SERVIÇOS!$B:$G,5,0),IFERROR(VLOOKUP($B2236,$D:$K,7,0),)),0)*$G2236,2)</f>
        <v>0.2</v>
      </c>
      <c r="K2236" s="514">
        <f t="shared" ref="K2236:K2238" si="88">I2236+J2236</f>
        <v>0.84000000000000008</v>
      </c>
      <c r="L2236" s="747"/>
    </row>
    <row r="2237" spans="2:12" x14ac:dyDescent="0.25">
      <c r="B2237" s="570">
        <v>88316</v>
      </c>
      <c r="C2237" s="570"/>
      <c r="D2237" s="751"/>
      <c r="E2237" s="509" t="str">
        <f>IF($C2237="",IFERROR(VLOOKUP($B2237,SERVIÇOS!$B:$G,2,0),IFERROR(VLOOKUP($B2237,$D:$K,2,0),"")),IFERROR(VLOOKUP($C2237,INSUMOS!$A:$D,2,0),IFERROR(VLOOKUP($C2237,COTAÇÕES!$B:$I,2,0),(VLOOKUP($C2237,'INSUMO SINAPI - SP'!$C:$F,2,0)))))</f>
        <v>SERVENTE COM ENCARGOS COMPLEMENTARES</v>
      </c>
      <c r="F2237" s="510" t="str">
        <f>IF($C2237="",IFERROR(VLOOKUP($B2237,SERVIÇOS!$B:$G,3,0),IFERROR(VLOOKUP($B2237,$D:$K,3,0),"")),IFERROR(VLOOKUP($C2237,INSUMOS!$A:$D,3,0),IFERROR(VLOOKUP($C2237,COTAÇÕES!$B:$I,3,0),(VLOOKUP($C2237,'INSUMO SINAPI - SP'!$C:$F,3,0)))))</f>
        <v>H</v>
      </c>
      <c r="G2237" s="749">
        <v>0.21510000000000001</v>
      </c>
      <c r="H2237" s="512">
        <f>IF($C2237="",IFERROR(VLOOKUP($B2237,SERVIÇOS!$B:$G,6,0),IFERROR(VLOOKUP($B2237,$D:$K,8,0),"")),IFERROR(VLOOKUP($C2237,INSUMOS!$A:$D,4,0),IFERROR(VLOOKUP($C2237,COTAÇÕES!$B:$I,7,0),(VLOOKUP($C2237,'INSUMO SINAPI - SP'!$C:$F,4,0)))))</f>
        <v>28.71</v>
      </c>
      <c r="I2237" s="513">
        <f>TRUNC(IF($C2237="",IFERROR(VLOOKUP($B2237,SERVIÇOS!$B:$G,4,0),IFERROR(VLOOKUP($B2237,$D:$K,6,0),)),IFERROR(VLOOKUP($C2237,INSUMOS!$A:$D,4,0),IFERROR(VLOOKUP($C2237,COTAÇÕES!$B:$I,7,0),(VLOOKUP($C2237,'INSUMO SINAPI - SP'!$C:$F,4,0)))))*$G2237,2)</f>
        <v>1.97</v>
      </c>
      <c r="J2237" s="513">
        <f>TRUNC(IF($C2237="",IFERROR(VLOOKUP($B2237,SERVIÇOS!$B:$G,5,0),IFERROR(VLOOKUP($B2237,$D:$K,7,0),)),0)*$G2237,2)</f>
        <v>4.1900000000000004</v>
      </c>
      <c r="K2237" s="514">
        <f t="shared" si="88"/>
        <v>6.16</v>
      </c>
      <c r="L2237" s="747"/>
    </row>
    <row r="2238" spans="2:12" x14ac:dyDescent="0.25">
      <c r="B2238" s="570">
        <v>88309</v>
      </c>
      <c r="C2238" s="570"/>
      <c r="D2238" s="751"/>
      <c r="E2238" s="509" t="str">
        <f>IF($C2238="",IFERROR(VLOOKUP($B2238,SERVIÇOS!$B:$G,2,0),IFERROR(VLOOKUP($B2238,$D:$K,2,0),"")),IFERROR(VLOOKUP($C2238,INSUMOS!$A:$D,2,0),IFERROR(VLOOKUP($C2238,COTAÇÕES!$B:$I,2,0),(VLOOKUP($C2238,'INSUMO SINAPI - SP'!$C:$F,2,0)))))</f>
        <v>PEDREIRO COM ENCARGOS COMPLEMENTARES</v>
      </c>
      <c r="F2238" s="510" t="str">
        <f>IF($C2238="",IFERROR(VLOOKUP($B2238,SERVIÇOS!$B:$G,3,0),IFERROR(VLOOKUP($B2238,$D:$K,3,0),"")),IFERROR(VLOOKUP($C2238,INSUMOS!$A:$D,3,0),IFERROR(VLOOKUP($C2238,COTAÇÕES!$B:$I,3,0),(VLOOKUP($C2238,'INSUMO SINAPI - SP'!$C:$F,3,0)))))</f>
        <v>H</v>
      </c>
      <c r="G2238" s="749">
        <v>0.21510000000000001</v>
      </c>
      <c r="H2238" s="512">
        <f>IF($C2238="",IFERROR(VLOOKUP($B2238,SERVIÇOS!$B:$G,6,0),IFERROR(VLOOKUP($B2238,$D:$K,8,0),"")),IFERROR(VLOOKUP($C2238,INSUMOS!$A:$D,4,0),IFERROR(VLOOKUP($C2238,COTAÇÕES!$B:$I,7,0),(VLOOKUP($C2238,'INSUMO SINAPI - SP'!$C:$F,4,0)))))</f>
        <v>36.909999999999997</v>
      </c>
      <c r="I2238" s="513">
        <f>TRUNC(IF($C2238="",IFERROR(VLOOKUP($B2238,SERVIÇOS!$B:$G,4,0),IFERROR(VLOOKUP($B2238,$D:$K,6,0),)),IFERROR(VLOOKUP($C2238,INSUMOS!$A:$D,4,0),IFERROR(VLOOKUP($C2238,COTAÇÕES!$B:$I,7,0),(VLOOKUP($C2238,'INSUMO SINAPI - SP'!$C:$F,4,0)))))*$G2238,2)</f>
        <v>1.99</v>
      </c>
      <c r="J2238" s="513">
        <f>TRUNC(IF($C2238="",IFERROR(VLOOKUP($B2238,SERVIÇOS!$B:$G,5,0),IFERROR(VLOOKUP($B2238,$D:$K,7,0),)),0)*$G2238,2)</f>
        <v>5.94</v>
      </c>
      <c r="K2238" s="514">
        <f t="shared" si="88"/>
        <v>7.9300000000000006</v>
      </c>
      <c r="L2238" s="747"/>
    </row>
    <row r="2239" spans="2:12" x14ac:dyDescent="0.25">
      <c r="B2239" s="570"/>
      <c r="C2239" s="570">
        <v>810450</v>
      </c>
      <c r="D2239" s="751"/>
      <c r="E2239" s="509" t="s">
        <v>20496</v>
      </c>
      <c r="F2239" s="510" t="s">
        <v>12744</v>
      </c>
      <c r="G2239" s="749">
        <v>1.0049999999999999</v>
      </c>
      <c r="H2239" s="512">
        <v>22.92</v>
      </c>
      <c r="I2239" s="512">
        <v>23.03</v>
      </c>
      <c r="J2239" s="512"/>
      <c r="K2239" s="512">
        <v>23.03</v>
      </c>
      <c r="L2239" s="747" t="s">
        <v>20497</v>
      </c>
    </row>
    <row r="2240" spans="2:12" x14ac:dyDescent="0.25">
      <c r="B2240" s="570"/>
      <c r="C2240" s="570">
        <v>370</v>
      </c>
      <c r="D2240" s="751"/>
      <c r="E2240" s="509" t="str">
        <f>IF($C2240="",IFERROR(VLOOKUP($B2240,SERVIÇOS!$B:$G,2,0),IFERROR(VLOOKUP($B2240,$D:$K,2,0),"")),IFERROR(VLOOKUP($C2240,INSUMOS!$A:$D,2,0),IFERROR(VLOOKUP($C2240,COTAÇÕES!$B:$I,2,0),(VLOOKUP($C2240,'INSUMO SINAPI - SP'!$C:$F,2,0)))))</f>
        <v>AREIA MEDIA - POSTO JAZIDA/FORNECEDOR (RETIRADO NA JAZIDA, SEM TRANSPORTE)</v>
      </c>
      <c r="F2240" s="510" t="str">
        <f>IF($C2240="",IFERROR(VLOOKUP($B2240,SERVIÇOS!$B:$G,3,0),IFERROR(VLOOKUP($B2240,$D:$K,3,0),"")),IFERROR(VLOOKUP($C2240,INSUMOS!$A:$D,3,0),IFERROR(VLOOKUP($C2240,COTAÇÕES!$B:$I,3,0),(VLOOKUP($C2240,'INSUMO SINAPI - SP'!$C:$F,3,0)))))</f>
        <v>M3</v>
      </c>
      <c r="G2240" s="749">
        <v>6.6E-3</v>
      </c>
      <c r="H2240" s="512">
        <f>IF($C2240="",IFERROR(VLOOKUP($B2240,SERVIÇOS!$B:$G,6,0),IFERROR(VLOOKUP($B2240,$D:$K,8,0),"")),IFERROR(VLOOKUP($C2240,INSUMOS!$A:$D,4,0),IFERROR(VLOOKUP($C2240,COTAÇÕES!$B:$I,7,0),(VLOOKUP($C2240,'INSUMO SINAPI - SP'!$C:$F,4,0)))))</f>
        <v>119.08</v>
      </c>
      <c r="I2240" s="513">
        <f>TRUNC(IF($C2240="",IFERROR(VLOOKUP($B2240,SERVIÇOS!$B:$G,4,0),IFERROR(VLOOKUP($B2240,$D:$K,6,0),)),IFERROR(VLOOKUP($C2240,INSUMOS!$A:$D,4,0),IFERROR(VLOOKUP($C2240,COTAÇÕES!$B:$I,7,0),(VLOOKUP($C2240,'INSUMO SINAPI - SP'!$C:$F,4,0)))))*$G2240,2)</f>
        <v>0.78</v>
      </c>
      <c r="J2240" s="513">
        <f>TRUNC(IF($C2240="",IFERROR(VLOOKUP($B2240,SERVIÇOS!$B:$G,5,0),IFERROR(VLOOKUP($B2240,$D:$K,7,0),)),0)*$G2240,2)</f>
        <v>0</v>
      </c>
      <c r="K2240" s="514">
        <f t="shared" ref="K2240" si="89">I2240+J2240</f>
        <v>0.78</v>
      </c>
      <c r="L2240" s="747"/>
    </row>
  </sheetData>
  <autoFilter ref="A9:L2159" xr:uid="{00000000-0009-0000-0000-00000B000000}"/>
  <mergeCells count="16">
    <mergeCell ref="C4:E4"/>
    <mergeCell ref="G4:I4"/>
    <mergeCell ref="B6:L6"/>
    <mergeCell ref="B7:C7"/>
    <mergeCell ref="D7:D8"/>
    <mergeCell ref="E7:E8"/>
    <mergeCell ref="F7:F8"/>
    <mergeCell ref="G7:G8"/>
    <mergeCell ref="H7:H8"/>
    <mergeCell ref="I7:K7"/>
    <mergeCell ref="L7:L8"/>
    <mergeCell ref="C1:E1"/>
    <mergeCell ref="C2:E2"/>
    <mergeCell ref="G2:I2"/>
    <mergeCell ref="C3:E3"/>
    <mergeCell ref="G3:H3"/>
  </mergeCells>
  <conditionalFormatting sqref="E10 E12 E15 E17:E18 E22 E26:E28 E34 E42 E50:E52 E57 E63 E72 E78 E87 E90 E92 E101 E106 E110 E115 E119 E123 E126 E134 E140 E144:E145 E158 E161 E165 E169 E178 E185 E191 E197 E203 E209 E215 E219 E231 E238 E245 E252 E259 E265 E278 E395 E423 E427 E431 E443 E454 E481 E502 E513 E521 E523 E527 E548 E555 E562 E569:E570 E573:E574 E577:E578 E581:E582 E585 E588:E589 E592:E593 E596:E597 E602 E607 E612 E617 E622 E627 E631 E633 E635 E637 E639 E641 E643 E645 E647 E649 E651 E653 E655 E657 E659:E661 E665:E666 E669:E670 E674 E678:E680 E683:E684 E687:E688 E691:E692 E695:E696 E699 E704 E708:E709 E713:E714 E718 E721:E722 E725:E726 E729:E730 E733:E734 E737:E738 E740:E741 E745 E748 E750:E751 E754 E757:E760 E764 E769:E770 E774 E776 E780 E783:E784 E791:E792 E795 E798 E800 E803 E808 E810 E813 E818 E820 E823 E825 E828 E830 E835 E838 E840 E843 E852:E853 E860 E865:E866 E869 E873:E875 E878:E879 E881 E885 E890 E895 E898 E900 E905 E909 E912:E913 E915 E919:E920 E923:E924 E927 E931:E932 E939 E945 E949 E953 E961 E970:E971 E974:E975 E978:E979 E983:E984 E988 E992 E995:E996 E999:E1000 E1003:E1004 E1008 E1013:E1014 E1020 E1026 E1034 E1037 E1039 E1042 E1045 E1047 E1053 E1061:E1062 E1071 E1117 E1121 E1125 E1129 E1131 E1146:E1147 E1160 E1164 E1168 E1173 E1185 E1198 E1210 E1222 E1229 E1231 E1238:E1239 E1242:E1244 E1247:E1249 E1258 E1263:E1264 E1270 E1275:E1276 E1278 E1280 E1284 E1289:E1290 E1297 E1301 E1306 E1312:E1313 E1329:E1330 E1335:E1337 E1344:E1346 E1353 E1360 E1367 E1382 E1388 E1394 E1400 E1406 E1409:E1410 E1414 E1418 E1422 E1430 E1446 E1454 E1462 E1466:E1469 E1473 E1476 E1480:E1481 E1484 E1488 E1491 E1499 E1502:E1503 E1506:E1507 E1510 E1515 E1522:E1523 E1526:E1527 E1530:E1531 E1534:E1535 E1538:E1539 E1542:E1543 E1546:E1547 E1550:E1551 E1554:E1555 E1558:E1559 E1570:E1571 E1574:E1575 E1578:E1579 E1582:E1583 E1586:E1587 E1590:E1591 E1594:E1595 E1598:E1599 E1602:E1603 E1606:E1607 E1610:E1611 E1614:E1615 E1618 E1626:E1627 E1630:E1631 E1634:E1635 E1638:E1639 E1642:E1643 E1647:E1648 E1651 E1654:E1655 E1658 E1661:E1662 E1665 E1668 E1671 E1674 E1677 E1680 E1692 E1696:E1697 E1700:E1701 E1704 E1707:E1708 E1711 E1713 E1717 E1721 E1725 E1731 E1735:E1736 E1740:E1741 E1747 E1751:E1752 E1755:E1757 E1760 E1764:E1765 E1768:E1769 E1772:E1773 E1777 E1781 E1790:E1791 E1794 E1832 E1853 E1881 E1919 E1934 E1946 E1958 E1981 E1985:E1986 E1989 E1992 E1996 E2000 E2066 E2069:E2070 E2075 E2080 E2084">
    <cfRule type="cellIs" dxfId="32" priority="9" operator="equal">
      <formula>"INSERIR CÓDIGO!"</formula>
    </cfRule>
  </conditionalFormatting>
  <conditionalFormatting sqref="E67 E73 E93 E122 E146 E162 E166 E170 E175 E179">
    <cfRule type="cellIs" dxfId="31" priority="10" operator="equal">
      <formula>"INSERIR CÓDIGO!"</formula>
    </cfRule>
  </conditionalFormatting>
  <conditionalFormatting sqref="E290 E295:E296 E299 E302 E306 E310 E313 E315 E320 E323 E325 E328 E333 E338:E339 E345 E369 E372:E373 E376:E377 E380:E381 E399 E405 E408:E409 E415">
    <cfRule type="cellIs" dxfId="30" priority="11" operator="equal">
      <formula>"INSERIR CÓDIGO!"</formula>
    </cfRule>
  </conditionalFormatting>
  <conditionalFormatting sqref="E363">
    <cfRule type="cellIs" dxfId="29" priority="12" operator="equal">
      <formula>"INSERIR CÓDIGO!"</formula>
    </cfRule>
  </conditionalFormatting>
  <conditionalFormatting sqref="E1093 E1151 E1154 E1234:E1235">
    <cfRule type="cellIs" dxfId="28" priority="13" operator="equal">
      <formula>"INSERIR CÓDIGO!"</formula>
    </cfRule>
  </conditionalFormatting>
  <conditionalFormatting sqref="E1252 E1294 E1321">
    <cfRule type="cellIs" dxfId="27" priority="14" operator="equal">
      <formula>"INSERIR CÓDIGO!"</formula>
    </cfRule>
  </conditionalFormatting>
  <conditionalFormatting sqref="E1518:E1519 E1563 E1566 E1622:E1623 E1744 E1802 E1805 E1843">
    <cfRule type="cellIs" dxfId="26" priority="15" operator="equal">
      <formula>"INSERIR CÓDIGO!"</formula>
    </cfRule>
  </conditionalFormatting>
  <conditionalFormatting sqref="E1903">
    <cfRule type="cellIs" dxfId="25" priority="16" operator="equal">
      <formula>"INSERIR CÓDIGO!"</formula>
    </cfRule>
  </conditionalFormatting>
  <conditionalFormatting sqref="E2045 E2048:E2049 E2052:E2054 E2058 E2061:E2062 E2086 E2090 E2094:E2095 E2099:E2100 E2105 E2112 E2118 E2120">
    <cfRule type="cellIs" dxfId="24" priority="17" operator="equal">
      <formula>"INSERIR CÓDIGO!"</formula>
    </cfRule>
  </conditionalFormatting>
  <conditionalFormatting sqref="E2143">
    <cfRule type="cellIs" dxfId="23" priority="18" operator="equal">
      <formula>"INSERIR CÓDIGO!"</formula>
    </cfRule>
  </conditionalFormatting>
  <conditionalFormatting sqref="E2165">
    <cfRule type="cellIs" dxfId="22" priority="8" operator="equal">
      <formula>"INSERIR CÓDIGO!"</formula>
    </cfRule>
  </conditionalFormatting>
  <conditionalFormatting sqref="E2178">
    <cfRule type="cellIs" dxfId="21" priority="7" operator="equal">
      <formula>"INSERIR CÓDIGO!"</formula>
    </cfRule>
  </conditionalFormatting>
  <conditionalFormatting sqref="E2183">
    <cfRule type="cellIs" dxfId="20" priority="6" operator="equal">
      <formula>"INSERIR CÓDIGO!"</formula>
    </cfRule>
  </conditionalFormatting>
  <conditionalFormatting sqref="E2190">
    <cfRule type="cellIs" dxfId="19" priority="5" operator="equal">
      <formula>"INSERIR CÓDIGO!"</formula>
    </cfRule>
  </conditionalFormatting>
  <printOptions horizontalCentered="1" verticalCentered="1"/>
  <pageMargins left="0.39374999999999999" right="0.39374999999999999" top="1.18055555555556" bottom="0.98402777777777795" header="0" footer="0.511811023622047"/>
  <pageSetup paperSize="9" scale="65" fitToHeight="0" orientation="landscape" horizontalDpi="300" verticalDpi="300" r:id="rId1"/>
  <headerFooter>
    <oddHeader>&amp;RPágina &amp;P de</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939"/>
  <sheetViews>
    <sheetView view="pageBreakPreview" topLeftCell="A29" zoomScaleNormal="100" workbookViewId="0">
      <selection activeCell="F41" sqref="F41"/>
    </sheetView>
  </sheetViews>
  <sheetFormatPr defaultColWidth="14.42578125" defaultRowHeight="15" x14ac:dyDescent="0.25"/>
  <cols>
    <col min="1" max="1" width="9.140625" customWidth="1"/>
    <col min="2" max="2" width="11.5703125" customWidth="1"/>
    <col min="3" max="3" width="51.28515625" customWidth="1"/>
    <col min="4" max="4" width="7" customWidth="1"/>
    <col min="5" max="8" width="24.5703125" customWidth="1"/>
    <col min="9" max="9" width="18.85546875" customWidth="1"/>
    <col min="10" max="10" width="17.28515625" customWidth="1"/>
    <col min="11" max="13" width="14.28515625" customWidth="1"/>
    <col min="14" max="24" width="8.7109375" customWidth="1"/>
  </cols>
  <sheetData>
    <row r="1" spans="1:24" x14ac:dyDescent="0.25">
      <c r="A1" s="580"/>
      <c r="B1" s="581"/>
      <c r="C1" s="914"/>
      <c r="D1" s="914"/>
      <c r="E1" s="914"/>
      <c r="F1" s="914"/>
      <c r="G1" s="2"/>
      <c r="H1" s="2"/>
      <c r="I1" s="582"/>
      <c r="J1" s="472"/>
    </row>
    <row r="2" spans="1:24" x14ac:dyDescent="0.25">
      <c r="A2" s="583"/>
      <c r="B2" s="584"/>
      <c r="C2" s="915"/>
      <c r="D2" s="915"/>
      <c r="E2" s="915"/>
      <c r="F2" s="915"/>
      <c r="G2" s="1"/>
      <c r="H2" s="1"/>
      <c r="I2" s="585"/>
      <c r="J2" s="472"/>
    </row>
    <row r="3" spans="1:24" x14ac:dyDescent="0.25">
      <c r="A3" s="583"/>
      <c r="B3" s="584"/>
      <c r="C3" s="915"/>
      <c r="D3" s="915"/>
      <c r="E3" s="915"/>
      <c r="F3" s="915"/>
      <c r="G3" s="1"/>
      <c r="H3" s="1"/>
      <c r="I3" s="585"/>
      <c r="J3" s="472"/>
    </row>
    <row r="4" spans="1:24" x14ac:dyDescent="0.25">
      <c r="A4" s="583"/>
      <c r="B4" s="584"/>
      <c r="C4" s="441"/>
      <c r="D4" s="441"/>
      <c r="E4" s="1"/>
      <c r="F4" s="1"/>
      <c r="G4" s="1"/>
      <c r="H4" s="1"/>
      <c r="I4" s="585"/>
      <c r="J4" s="472"/>
    </row>
    <row r="5" spans="1:24" x14ac:dyDescent="0.25">
      <c r="A5" s="583"/>
      <c r="B5" s="584"/>
      <c r="C5" s="441"/>
      <c r="D5" s="441"/>
      <c r="E5" s="1"/>
      <c r="F5" s="1"/>
      <c r="G5" s="1"/>
      <c r="H5" s="1"/>
      <c r="I5" s="585"/>
      <c r="J5" s="472"/>
    </row>
    <row r="6" spans="1:24" ht="15" customHeight="1" x14ac:dyDescent="0.25">
      <c r="A6" s="463"/>
      <c r="B6" s="916" t="s">
        <v>13635</v>
      </c>
      <c r="C6" s="916"/>
      <c r="D6" s="916"/>
      <c r="E6" s="916"/>
      <c r="F6" s="916"/>
      <c r="G6" s="916"/>
      <c r="H6" s="916"/>
      <c r="I6" s="916"/>
      <c r="J6" s="586"/>
      <c r="K6" s="587"/>
      <c r="L6" s="587"/>
      <c r="M6" s="587"/>
      <c r="N6" s="587"/>
      <c r="O6" s="587"/>
      <c r="P6" s="587"/>
      <c r="Q6" s="587"/>
      <c r="R6" s="587"/>
      <c r="S6" s="587"/>
      <c r="T6" s="587"/>
      <c r="U6" s="587"/>
      <c r="V6" s="587"/>
      <c r="W6" s="587"/>
      <c r="X6" s="587"/>
    </row>
    <row r="7" spans="1:24" x14ac:dyDescent="0.25">
      <c r="A7" s="463"/>
      <c r="B7" s="588"/>
      <c r="C7" s="588"/>
      <c r="D7" s="588"/>
      <c r="E7" s="589"/>
      <c r="F7" s="589"/>
      <c r="G7" s="589"/>
      <c r="H7" s="589"/>
      <c r="I7" s="588"/>
      <c r="J7" s="586"/>
      <c r="K7" s="587"/>
      <c r="L7" s="587"/>
      <c r="M7" s="587"/>
      <c r="N7" s="587"/>
      <c r="O7" s="587"/>
      <c r="P7" s="587"/>
      <c r="Q7" s="587"/>
      <c r="R7" s="587"/>
      <c r="S7" s="587"/>
      <c r="T7" s="587"/>
      <c r="U7" s="587"/>
      <c r="V7" s="587"/>
      <c r="W7" s="587"/>
      <c r="X7" s="587"/>
    </row>
    <row r="8" spans="1:24" ht="15" customHeight="1" x14ac:dyDescent="0.25">
      <c r="A8" s="463"/>
      <c r="B8" s="590"/>
      <c r="C8" s="591"/>
      <c r="D8" s="592"/>
      <c r="E8" s="593" t="s">
        <v>13636</v>
      </c>
      <c r="F8" s="593" t="s">
        <v>13637</v>
      </c>
      <c r="G8" s="593" t="s">
        <v>13638</v>
      </c>
      <c r="H8" s="593" t="s">
        <v>13639</v>
      </c>
      <c r="I8" s="917" t="s">
        <v>13640</v>
      </c>
      <c r="J8" s="594"/>
      <c r="K8" s="595"/>
      <c r="L8" s="595"/>
      <c r="M8" s="595"/>
      <c r="N8" s="595"/>
      <c r="O8" s="595"/>
      <c r="P8" s="595"/>
      <c r="Q8" s="595"/>
      <c r="R8" s="595"/>
      <c r="S8" s="595"/>
      <c r="T8" s="595"/>
      <c r="U8" s="595"/>
      <c r="V8" s="595"/>
      <c r="W8" s="595"/>
      <c r="X8" s="595"/>
    </row>
    <row r="9" spans="1:24" x14ac:dyDescent="0.25">
      <c r="A9" s="463"/>
      <c r="B9" s="590"/>
      <c r="C9" s="596" t="s">
        <v>13641</v>
      </c>
      <c r="D9" s="597"/>
      <c r="E9" s="598">
        <v>45929</v>
      </c>
      <c r="F9" s="598">
        <v>45909</v>
      </c>
      <c r="G9" s="598">
        <v>45949</v>
      </c>
      <c r="H9" s="599">
        <v>46008</v>
      </c>
      <c r="I9" s="917"/>
      <c r="J9" s="594"/>
      <c r="K9" s="595"/>
      <c r="L9" s="595"/>
      <c r="M9" s="595"/>
      <c r="N9" s="595"/>
      <c r="O9" s="595"/>
      <c r="P9" s="595"/>
      <c r="Q9" s="595"/>
      <c r="R9" s="595"/>
      <c r="S9" s="595"/>
      <c r="T9" s="595"/>
      <c r="U9" s="595"/>
      <c r="V9" s="595"/>
      <c r="W9" s="595"/>
      <c r="X9" s="595"/>
    </row>
    <row r="10" spans="1:24" x14ac:dyDescent="0.25">
      <c r="A10" s="463"/>
      <c r="B10" s="590"/>
      <c r="C10" s="596" t="s">
        <v>13642</v>
      </c>
      <c r="D10" s="597"/>
      <c r="E10" s="600" t="s">
        <v>13643</v>
      </c>
      <c r="F10" s="600" t="s">
        <v>13644</v>
      </c>
      <c r="G10" s="600" t="s">
        <v>13645</v>
      </c>
      <c r="H10" s="601" t="s">
        <v>13646</v>
      </c>
      <c r="I10" s="917"/>
      <c r="J10" s="594"/>
      <c r="K10" s="595"/>
      <c r="L10" s="595"/>
      <c r="M10" s="595"/>
      <c r="N10" s="595"/>
      <c r="O10" s="595"/>
      <c r="P10" s="595"/>
      <c r="Q10" s="595"/>
      <c r="R10" s="595"/>
      <c r="S10" s="595"/>
      <c r="T10" s="595"/>
      <c r="U10" s="595"/>
      <c r="V10" s="595"/>
      <c r="W10" s="595"/>
      <c r="X10" s="595"/>
    </row>
    <row r="11" spans="1:24" x14ac:dyDescent="0.25">
      <c r="A11" s="463"/>
      <c r="B11" s="590"/>
      <c r="C11" s="596" t="s">
        <v>13647</v>
      </c>
      <c r="D11" s="597"/>
      <c r="E11" s="600" t="s">
        <v>13648</v>
      </c>
      <c r="F11" s="600" t="s">
        <v>13649</v>
      </c>
      <c r="G11" s="600"/>
      <c r="H11" s="601"/>
      <c r="I11" s="917"/>
      <c r="J11" s="594"/>
      <c r="K11" s="595"/>
      <c r="L11" s="595"/>
      <c r="M11" s="595"/>
      <c r="N11" s="595"/>
      <c r="O11" s="595"/>
      <c r="P11" s="595"/>
      <c r="Q11" s="595"/>
      <c r="R11" s="595"/>
      <c r="S11" s="595"/>
      <c r="T11" s="595"/>
      <c r="U11" s="595"/>
      <c r="V11" s="595"/>
      <c r="W11" s="595"/>
      <c r="X11" s="595"/>
    </row>
    <row r="12" spans="1:24" ht="67.5" x14ac:dyDescent="0.25">
      <c r="A12" s="463"/>
      <c r="B12" s="590"/>
      <c r="C12" s="596" t="s">
        <v>13650</v>
      </c>
      <c r="D12" s="597"/>
      <c r="E12" s="602" t="s">
        <v>13651</v>
      </c>
      <c r="F12" s="602" t="s">
        <v>13652</v>
      </c>
      <c r="G12" s="603" t="s">
        <v>13653</v>
      </c>
      <c r="H12" s="603" t="s">
        <v>13654</v>
      </c>
      <c r="I12" s="917"/>
      <c r="J12" s="594"/>
      <c r="K12" s="595"/>
      <c r="L12" s="595"/>
      <c r="M12" s="595"/>
      <c r="N12" s="595"/>
      <c r="O12" s="595"/>
      <c r="P12" s="595"/>
      <c r="Q12" s="595"/>
      <c r="R12" s="595"/>
      <c r="S12" s="595"/>
      <c r="T12" s="595"/>
      <c r="U12" s="595"/>
      <c r="V12" s="595"/>
      <c r="W12" s="595"/>
      <c r="X12" s="595"/>
    </row>
    <row r="13" spans="1:24" x14ac:dyDescent="0.25">
      <c r="A13" s="463"/>
      <c r="B13" s="604" t="s">
        <v>494</v>
      </c>
      <c r="C13" s="604" t="s">
        <v>13655</v>
      </c>
      <c r="D13" s="604" t="s">
        <v>13260</v>
      </c>
      <c r="E13" s="604" t="s">
        <v>13656</v>
      </c>
      <c r="F13" s="604" t="s">
        <v>13656</v>
      </c>
      <c r="G13" s="604" t="s">
        <v>13656</v>
      </c>
      <c r="H13" s="604" t="s">
        <v>13656</v>
      </c>
      <c r="I13" s="604" t="s">
        <v>13656</v>
      </c>
      <c r="J13" s="594"/>
      <c r="K13" s="595"/>
      <c r="L13" s="595"/>
      <c r="M13" s="595"/>
      <c r="N13" s="595"/>
      <c r="O13" s="595"/>
      <c r="P13" s="595"/>
      <c r="Q13" s="595"/>
      <c r="R13" s="595"/>
      <c r="S13" s="595"/>
      <c r="T13" s="595"/>
      <c r="U13" s="595"/>
      <c r="V13" s="595"/>
      <c r="W13" s="595"/>
      <c r="X13" s="595"/>
    </row>
    <row r="14" spans="1:24" ht="25.5" x14ac:dyDescent="0.25">
      <c r="A14" s="605"/>
      <c r="B14" s="600" t="s">
        <v>13308</v>
      </c>
      <c r="C14" s="606" t="s">
        <v>13305</v>
      </c>
      <c r="D14" s="600" t="s">
        <v>580</v>
      </c>
      <c r="E14" s="607">
        <v>362.28</v>
      </c>
      <c r="F14" s="607"/>
      <c r="G14" s="607">
        <v>229.9</v>
      </c>
      <c r="H14" s="607">
        <v>363</v>
      </c>
      <c r="I14" s="608">
        <f>MEDIAN(E14:H14)</f>
        <v>362.28</v>
      </c>
      <c r="J14" s="594"/>
      <c r="K14" s="609">
        <f>L14/M14-1</f>
        <v>0.57894736842105265</v>
      </c>
      <c r="L14" s="610">
        <f>MAX(E14:H14)</f>
        <v>363</v>
      </c>
      <c r="M14" s="610">
        <f>MIN(E14:H14)</f>
        <v>229.9</v>
      </c>
      <c r="N14" s="595"/>
      <c r="O14" s="595"/>
      <c r="P14" s="595"/>
      <c r="Q14" s="595"/>
      <c r="R14" s="595"/>
      <c r="S14" s="595"/>
      <c r="T14" s="595"/>
      <c r="U14" s="595"/>
      <c r="V14" s="595"/>
      <c r="W14" s="595"/>
      <c r="X14" s="595"/>
    </row>
    <row r="15" spans="1:24" ht="127.5" x14ac:dyDescent="0.25">
      <c r="A15" s="605"/>
      <c r="B15" s="611" t="s">
        <v>13657</v>
      </c>
      <c r="C15" s="612" t="s">
        <v>13305</v>
      </c>
      <c r="D15" s="613" t="s">
        <v>580</v>
      </c>
      <c r="E15" s="614">
        <v>362.28</v>
      </c>
      <c r="F15" s="614">
        <v>783.68</v>
      </c>
      <c r="G15" s="614">
        <v>229.9</v>
      </c>
      <c r="H15" s="614">
        <v>363</v>
      </c>
      <c r="I15" s="615"/>
      <c r="J15" s="594"/>
      <c r="K15" s="616"/>
      <c r="L15" s="617"/>
      <c r="M15" s="617"/>
      <c r="N15" s="595"/>
      <c r="O15" s="595"/>
      <c r="P15" s="595"/>
      <c r="Q15" s="595"/>
      <c r="R15" s="595"/>
      <c r="S15" s="595"/>
      <c r="T15" s="595"/>
      <c r="U15" s="595"/>
      <c r="V15" s="595"/>
      <c r="W15" s="595"/>
      <c r="X15" s="595"/>
    </row>
    <row r="16" spans="1:24" x14ac:dyDescent="0.25">
      <c r="A16" s="463"/>
      <c r="B16" s="590"/>
      <c r="C16" s="591"/>
      <c r="D16" s="592"/>
      <c r="E16" s="592"/>
      <c r="F16" s="592"/>
      <c r="G16" s="592"/>
      <c r="H16" s="592"/>
      <c r="I16" s="592"/>
      <c r="J16" s="594"/>
      <c r="K16" s="595"/>
      <c r="L16" s="595"/>
      <c r="M16" s="595"/>
      <c r="N16" s="595"/>
      <c r="O16" s="595"/>
      <c r="P16" s="595"/>
      <c r="Q16" s="595"/>
      <c r="R16" s="595"/>
      <c r="S16" s="595"/>
      <c r="T16" s="595"/>
      <c r="U16" s="595"/>
      <c r="V16" s="595"/>
      <c r="W16" s="595"/>
      <c r="X16" s="595"/>
    </row>
    <row r="17" spans="1:24" ht="15" customHeight="1" x14ac:dyDescent="0.25">
      <c r="A17" s="463"/>
      <c r="B17" s="590"/>
      <c r="C17" s="591"/>
      <c r="D17" s="592"/>
      <c r="E17" s="593" t="s">
        <v>13636</v>
      </c>
      <c r="F17" s="593" t="s">
        <v>13637</v>
      </c>
      <c r="G17" s="593" t="s">
        <v>13638</v>
      </c>
      <c r="H17" s="593" t="s">
        <v>13639</v>
      </c>
      <c r="I17" s="917" t="s">
        <v>13640</v>
      </c>
      <c r="J17" s="594"/>
      <c r="K17" s="595"/>
      <c r="L17" s="595"/>
      <c r="M17" s="595"/>
      <c r="N17" s="595"/>
      <c r="O17" s="595"/>
      <c r="P17" s="595"/>
      <c r="Q17" s="595"/>
      <c r="R17" s="595"/>
      <c r="S17" s="595"/>
      <c r="T17" s="595"/>
      <c r="U17" s="595"/>
      <c r="V17" s="595"/>
      <c r="W17" s="595"/>
      <c r="X17" s="595"/>
    </row>
    <row r="18" spans="1:24" x14ac:dyDescent="0.25">
      <c r="A18" s="463"/>
      <c r="B18" s="590"/>
      <c r="C18" s="596" t="s">
        <v>13641</v>
      </c>
      <c r="D18" s="597"/>
      <c r="E18" s="598">
        <v>45901</v>
      </c>
      <c r="F18" s="598">
        <v>45901</v>
      </c>
      <c r="G18" s="598">
        <v>45814</v>
      </c>
      <c r="H18" s="599">
        <v>45944</v>
      </c>
      <c r="I18" s="917"/>
      <c r="J18" s="594"/>
      <c r="K18" s="595"/>
      <c r="L18" s="595"/>
      <c r="M18" s="595"/>
      <c r="N18" s="595"/>
      <c r="O18" s="595"/>
      <c r="P18" s="595"/>
      <c r="Q18" s="595"/>
      <c r="R18" s="595"/>
      <c r="S18" s="595"/>
      <c r="T18" s="595"/>
      <c r="U18" s="595"/>
      <c r="V18" s="595"/>
      <c r="W18" s="595"/>
      <c r="X18" s="595"/>
    </row>
    <row r="19" spans="1:24" ht="25.5" x14ac:dyDescent="0.25">
      <c r="A19" s="463"/>
      <c r="B19" s="590"/>
      <c r="C19" s="596" t="s">
        <v>13642</v>
      </c>
      <c r="D19" s="597"/>
      <c r="E19" s="600" t="s">
        <v>13643</v>
      </c>
      <c r="F19" s="600" t="s">
        <v>13658</v>
      </c>
      <c r="G19" s="600" t="s">
        <v>13659</v>
      </c>
      <c r="H19" s="601" t="s">
        <v>13660</v>
      </c>
      <c r="I19" s="917"/>
      <c r="J19" s="594"/>
      <c r="K19" s="595"/>
      <c r="L19" s="595"/>
      <c r="M19" s="595"/>
      <c r="N19" s="595"/>
      <c r="O19" s="595"/>
      <c r="P19" s="595"/>
      <c r="Q19" s="595"/>
      <c r="R19" s="595"/>
      <c r="S19" s="595"/>
      <c r="T19" s="595"/>
      <c r="U19" s="595"/>
      <c r="V19" s="595"/>
      <c r="W19" s="595"/>
      <c r="X19" s="595"/>
    </row>
    <row r="20" spans="1:24" x14ac:dyDescent="0.25">
      <c r="A20" s="463"/>
      <c r="B20" s="590"/>
      <c r="C20" s="596" t="s">
        <v>13647</v>
      </c>
      <c r="D20" s="597"/>
      <c r="E20" s="600" t="s">
        <v>13648</v>
      </c>
      <c r="F20" s="600" t="s">
        <v>13661</v>
      </c>
      <c r="G20" s="600" t="s">
        <v>13662</v>
      </c>
      <c r="H20" s="601"/>
      <c r="I20" s="917"/>
      <c r="J20" s="594"/>
      <c r="K20" s="595"/>
      <c r="L20" s="595"/>
      <c r="M20" s="595"/>
      <c r="N20" s="595"/>
      <c r="O20" s="595"/>
      <c r="P20" s="595"/>
      <c r="Q20" s="595"/>
      <c r="R20" s="595"/>
      <c r="S20" s="595"/>
      <c r="T20" s="595"/>
      <c r="U20" s="595"/>
      <c r="V20" s="595"/>
      <c r="W20" s="595"/>
      <c r="X20" s="595"/>
    </row>
    <row r="21" spans="1:24" x14ac:dyDescent="0.25">
      <c r="A21" s="463"/>
      <c r="B21" s="590"/>
      <c r="C21" s="596" t="s">
        <v>13650</v>
      </c>
      <c r="D21" s="597"/>
      <c r="E21" s="602" t="s">
        <v>13651</v>
      </c>
      <c r="F21" s="602" t="s">
        <v>13663</v>
      </c>
      <c r="G21" s="602"/>
      <c r="H21" s="602"/>
      <c r="I21" s="917"/>
      <c r="J21" s="594"/>
      <c r="K21" s="595"/>
      <c r="L21" s="595"/>
      <c r="M21" s="595"/>
      <c r="N21" s="595"/>
      <c r="O21" s="595"/>
      <c r="P21" s="595"/>
      <c r="Q21" s="595"/>
      <c r="R21" s="595"/>
      <c r="S21" s="595"/>
      <c r="T21" s="595"/>
      <c r="U21" s="595"/>
      <c r="V21" s="595"/>
      <c r="W21" s="595"/>
      <c r="X21" s="595"/>
    </row>
    <row r="22" spans="1:24" x14ac:dyDescent="0.25">
      <c r="A22" s="463"/>
      <c r="B22" s="604" t="s">
        <v>494</v>
      </c>
      <c r="C22" s="604" t="s">
        <v>13655</v>
      </c>
      <c r="D22" s="604" t="s">
        <v>13260</v>
      </c>
      <c r="E22" s="604" t="s">
        <v>13656</v>
      </c>
      <c r="F22" s="604" t="s">
        <v>13656</v>
      </c>
      <c r="G22" s="604" t="s">
        <v>13656</v>
      </c>
      <c r="H22" s="604" t="s">
        <v>13656</v>
      </c>
      <c r="I22" s="604" t="s">
        <v>13656</v>
      </c>
      <c r="J22" s="594"/>
      <c r="K22" s="595"/>
      <c r="L22" s="595"/>
      <c r="M22" s="595"/>
      <c r="N22" s="595"/>
      <c r="O22" s="595"/>
      <c r="P22" s="595"/>
      <c r="Q22" s="595"/>
      <c r="R22" s="595"/>
      <c r="S22" s="595"/>
      <c r="T22" s="595"/>
      <c r="U22" s="595"/>
      <c r="V22" s="595"/>
      <c r="W22" s="595"/>
      <c r="X22" s="595"/>
    </row>
    <row r="23" spans="1:24" ht="25.5" x14ac:dyDescent="0.25">
      <c r="A23" s="605"/>
      <c r="B23" s="601" t="s">
        <v>13320</v>
      </c>
      <c r="C23" s="618" t="s">
        <v>13318</v>
      </c>
      <c r="D23" s="601" t="s">
        <v>580</v>
      </c>
      <c r="E23" s="607">
        <v>14932.35</v>
      </c>
      <c r="F23" s="607"/>
      <c r="G23" s="607">
        <v>27495.63</v>
      </c>
      <c r="H23" s="607">
        <v>18926.98</v>
      </c>
      <c r="I23" s="608">
        <f>MEDIAN(E23:H23)</f>
        <v>18926.98</v>
      </c>
      <c r="J23" s="594"/>
      <c r="K23" s="609">
        <f>L23/M23-1</f>
        <v>0.84134647259138728</v>
      </c>
      <c r="L23" s="610">
        <f>MAX(E23:H23)</f>
        <v>27495.63</v>
      </c>
      <c r="M23" s="610">
        <f>MIN(E23:H23)</f>
        <v>14932.35</v>
      </c>
      <c r="N23" s="595"/>
      <c r="O23" s="595"/>
      <c r="P23" s="595"/>
      <c r="Q23" s="595"/>
      <c r="R23" s="595"/>
      <c r="S23" s="595"/>
      <c r="T23" s="595"/>
      <c r="U23" s="595"/>
      <c r="V23" s="595"/>
      <c r="W23" s="595"/>
      <c r="X23" s="595"/>
    </row>
    <row r="24" spans="1:24" ht="127.5" x14ac:dyDescent="0.25">
      <c r="A24" s="605"/>
      <c r="B24" s="611" t="s">
        <v>13657</v>
      </c>
      <c r="C24" s="612" t="s">
        <v>13318</v>
      </c>
      <c r="D24" s="613" t="s">
        <v>580</v>
      </c>
      <c r="E24" s="614">
        <v>14932.35</v>
      </c>
      <c r="F24" s="614">
        <v>3455.78</v>
      </c>
      <c r="G24" s="614">
        <v>27495.63</v>
      </c>
      <c r="H24" s="614">
        <v>18926.98</v>
      </c>
      <c r="I24" s="615"/>
      <c r="J24" s="594"/>
      <c r="K24" s="616"/>
      <c r="L24" s="617"/>
      <c r="M24" s="617"/>
      <c r="N24" s="595"/>
      <c r="O24" s="595"/>
      <c r="P24" s="595"/>
      <c r="Q24" s="595"/>
      <c r="R24" s="595"/>
      <c r="S24" s="595"/>
      <c r="T24" s="595"/>
      <c r="U24" s="595"/>
      <c r="V24" s="595"/>
      <c r="W24" s="595"/>
      <c r="X24" s="595"/>
    </row>
    <row r="25" spans="1:24" x14ac:dyDescent="0.25">
      <c r="A25" s="605"/>
      <c r="B25" s="590"/>
      <c r="C25" s="591"/>
      <c r="D25" s="592"/>
      <c r="E25" s="592"/>
      <c r="F25" s="592"/>
      <c r="G25" s="592"/>
      <c r="H25" s="592"/>
      <c r="I25" s="592"/>
      <c r="J25" s="594"/>
      <c r="K25" s="595"/>
      <c r="L25" s="595"/>
      <c r="M25" s="595"/>
      <c r="N25" s="595"/>
      <c r="O25" s="595"/>
      <c r="P25" s="595"/>
      <c r="Q25" s="595"/>
      <c r="R25" s="595"/>
      <c r="S25" s="595"/>
      <c r="T25" s="595"/>
      <c r="U25" s="595"/>
      <c r="V25" s="595"/>
      <c r="W25" s="595"/>
      <c r="X25" s="595"/>
    </row>
    <row r="26" spans="1:24" ht="15" customHeight="1" x14ac:dyDescent="0.25">
      <c r="A26" s="605"/>
      <c r="B26" s="590"/>
      <c r="C26" s="591"/>
      <c r="D26" s="592"/>
      <c r="E26" s="593" t="s">
        <v>13636</v>
      </c>
      <c r="F26" s="593" t="s">
        <v>13637</v>
      </c>
      <c r="G26" s="593" t="s">
        <v>13638</v>
      </c>
      <c r="H26" s="593" t="s">
        <v>13639</v>
      </c>
      <c r="I26" s="917" t="s">
        <v>13640</v>
      </c>
      <c r="J26" s="594"/>
      <c r="K26" s="595"/>
      <c r="L26" s="595"/>
      <c r="M26" s="595"/>
      <c r="N26" s="595"/>
      <c r="O26" s="595"/>
      <c r="P26" s="595"/>
      <c r="Q26" s="595"/>
      <c r="R26" s="595"/>
      <c r="S26" s="595"/>
      <c r="T26" s="595"/>
      <c r="U26" s="595"/>
      <c r="V26" s="595"/>
      <c r="W26" s="595"/>
      <c r="X26" s="595"/>
    </row>
    <row r="27" spans="1:24" x14ac:dyDescent="0.25">
      <c r="A27" s="605"/>
      <c r="B27" s="590"/>
      <c r="C27" s="596" t="s">
        <v>13641</v>
      </c>
      <c r="D27" s="597"/>
      <c r="E27" s="598">
        <v>45929</v>
      </c>
      <c r="F27" s="598">
        <v>45946</v>
      </c>
      <c r="G27" s="598">
        <v>45814</v>
      </c>
      <c r="H27" s="599"/>
      <c r="I27" s="917"/>
      <c r="J27" s="594"/>
      <c r="K27" s="595"/>
      <c r="L27" s="595"/>
      <c r="M27" s="595"/>
      <c r="N27" s="595"/>
      <c r="O27" s="595"/>
      <c r="P27" s="595"/>
      <c r="Q27" s="595"/>
      <c r="R27" s="595"/>
      <c r="S27" s="595"/>
      <c r="T27" s="595"/>
      <c r="U27" s="595"/>
      <c r="V27" s="595"/>
      <c r="W27" s="595"/>
      <c r="X27" s="595"/>
    </row>
    <row r="28" spans="1:24" x14ac:dyDescent="0.25">
      <c r="A28" s="605"/>
      <c r="B28" s="590"/>
      <c r="C28" s="596" t="s">
        <v>13642</v>
      </c>
      <c r="D28" s="597"/>
      <c r="E28" s="600" t="s">
        <v>13643</v>
      </c>
      <c r="F28" s="600" t="s">
        <v>13660</v>
      </c>
      <c r="G28" s="600" t="s">
        <v>13664</v>
      </c>
      <c r="H28" s="601"/>
      <c r="I28" s="917"/>
      <c r="J28" s="594"/>
      <c r="K28" s="595"/>
      <c r="L28" s="595"/>
      <c r="M28" s="595"/>
      <c r="N28" s="595"/>
      <c r="O28" s="595"/>
      <c r="P28" s="595"/>
      <c r="Q28" s="595"/>
      <c r="R28" s="595"/>
      <c r="S28" s="595"/>
      <c r="T28" s="595"/>
      <c r="U28" s="595"/>
      <c r="V28" s="595"/>
      <c r="W28" s="595"/>
      <c r="X28" s="595"/>
    </row>
    <row r="29" spans="1:24" x14ac:dyDescent="0.25">
      <c r="A29" s="605"/>
      <c r="B29" s="590"/>
      <c r="C29" s="596" t="s">
        <v>13647</v>
      </c>
      <c r="D29" s="597"/>
      <c r="E29" s="600" t="s">
        <v>13648</v>
      </c>
      <c r="F29" s="600"/>
      <c r="G29" s="600"/>
      <c r="H29" s="601"/>
      <c r="I29" s="917"/>
      <c r="J29" s="594"/>
      <c r="K29" s="595"/>
      <c r="L29" s="595"/>
      <c r="M29" s="595"/>
      <c r="N29" s="595"/>
      <c r="O29" s="595"/>
      <c r="P29" s="595"/>
      <c r="Q29" s="595"/>
      <c r="R29" s="595"/>
      <c r="S29" s="595"/>
      <c r="T29" s="595"/>
      <c r="U29" s="595"/>
      <c r="V29" s="595"/>
      <c r="W29" s="595"/>
      <c r="X29" s="595"/>
    </row>
    <row r="30" spans="1:24" x14ac:dyDescent="0.25">
      <c r="A30" s="605"/>
      <c r="B30" s="590"/>
      <c r="C30" s="596" t="s">
        <v>13650</v>
      </c>
      <c r="D30" s="597"/>
      <c r="E30" s="602" t="s">
        <v>13651</v>
      </c>
      <c r="F30" s="602"/>
      <c r="G30" s="602"/>
      <c r="H30" s="602"/>
      <c r="I30" s="917"/>
      <c r="J30" s="594"/>
      <c r="K30" s="595"/>
      <c r="L30" s="595"/>
      <c r="M30" s="595"/>
      <c r="N30" s="595"/>
      <c r="O30" s="595"/>
      <c r="P30" s="595"/>
      <c r="Q30" s="595"/>
      <c r="R30" s="595"/>
      <c r="S30" s="595"/>
      <c r="T30" s="595"/>
      <c r="U30" s="595"/>
      <c r="V30" s="595"/>
      <c r="W30" s="595"/>
      <c r="X30" s="595"/>
    </row>
    <row r="31" spans="1:24" x14ac:dyDescent="0.25">
      <c r="A31" s="605"/>
      <c r="B31" s="604" t="s">
        <v>494</v>
      </c>
      <c r="C31" s="604" t="s">
        <v>13655</v>
      </c>
      <c r="D31" s="604" t="s">
        <v>13260</v>
      </c>
      <c r="E31" s="604" t="s">
        <v>13656</v>
      </c>
      <c r="F31" s="604" t="s">
        <v>13656</v>
      </c>
      <c r="G31" s="604" t="s">
        <v>13656</v>
      </c>
      <c r="H31" s="604" t="s">
        <v>13656</v>
      </c>
      <c r="I31" s="604" t="s">
        <v>13656</v>
      </c>
      <c r="J31" s="594"/>
      <c r="K31" s="595"/>
      <c r="L31" s="595"/>
      <c r="M31" s="595"/>
      <c r="N31" s="595"/>
      <c r="O31" s="595"/>
      <c r="P31" s="595"/>
      <c r="Q31" s="595"/>
      <c r="R31" s="595"/>
      <c r="S31" s="595"/>
      <c r="T31" s="595"/>
      <c r="U31" s="595"/>
      <c r="V31" s="595"/>
      <c r="W31" s="595"/>
      <c r="X31" s="595"/>
    </row>
    <row r="32" spans="1:24" ht="38.25" x14ac:dyDescent="0.25">
      <c r="A32" s="605"/>
      <c r="B32" s="600" t="s">
        <v>13438</v>
      </c>
      <c r="C32" s="606" t="s">
        <v>13437</v>
      </c>
      <c r="D32" s="600" t="s">
        <v>580</v>
      </c>
      <c r="E32" s="607">
        <v>24833.040000000001</v>
      </c>
      <c r="F32" s="607">
        <v>25108</v>
      </c>
      <c r="G32" s="607">
        <v>36225.32</v>
      </c>
      <c r="H32" s="607"/>
      <c r="I32" s="608">
        <f>MEDIAN(E32:H32)</f>
        <v>25108</v>
      </c>
      <c r="J32" s="594"/>
      <c r="K32" s="609">
        <f>L32/M32-1</f>
        <v>0.45875494905174707</v>
      </c>
      <c r="L32" s="610">
        <f>MAX(E32:H32)</f>
        <v>36225.32</v>
      </c>
      <c r="M32" s="610">
        <f>MIN(E32:H32)</f>
        <v>24833.040000000001</v>
      </c>
      <c r="N32" s="595"/>
      <c r="O32" s="595"/>
      <c r="P32" s="595"/>
      <c r="Q32" s="595"/>
      <c r="R32" s="595"/>
      <c r="S32" s="595"/>
      <c r="T32" s="595"/>
      <c r="U32" s="595"/>
      <c r="V32" s="595"/>
      <c r="W32" s="595"/>
      <c r="X32" s="595"/>
    </row>
    <row r="33" spans="1:24" x14ac:dyDescent="0.25">
      <c r="A33" s="463"/>
      <c r="B33" s="590"/>
      <c r="C33" s="591"/>
      <c r="D33" s="592"/>
      <c r="E33" s="592"/>
      <c r="F33" s="592"/>
      <c r="G33" s="592"/>
      <c r="H33" s="592"/>
      <c r="I33" s="592"/>
      <c r="J33" s="594"/>
      <c r="K33" s="595"/>
      <c r="L33" s="595"/>
      <c r="M33" s="595"/>
      <c r="N33" s="595"/>
      <c r="O33" s="595"/>
      <c r="P33" s="595"/>
      <c r="Q33" s="595"/>
      <c r="R33" s="595"/>
      <c r="S33" s="595"/>
      <c r="T33" s="595"/>
      <c r="U33" s="595"/>
      <c r="V33" s="595"/>
      <c r="W33" s="595"/>
      <c r="X33" s="595"/>
    </row>
    <row r="34" spans="1:24" ht="15" customHeight="1" x14ac:dyDescent="0.25">
      <c r="A34" s="463"/>
      <c r="B34" s="590"/>
      <c r="C34" s="591"/>
      <c r="D34" s="592"/>
      <c r="E34" s="593" t="s">
        <v>13636</v>
      </c>
      <c r="F34" s="593" t="s">
        <v>13637</v>
      </c>
      <c r="G34" s="593" t="s">
        <v>13638</v>
      </c>
      <c r="H34" s="593" t="s">
        <v>13639</v>
      </c>
      <c r="I34" s="917" t="s">
        <v>13640</v>
      </c>
      <c r="J34" s="594"/>
      <c r="K34" s="595"/>
      <c r="L34" s="595"/>
      <c r="M34" s="595"/>
      <c r="N34" s="595"/>
      <c r="O34" s="595"/>
      <c r="P34" s="595"/>
      <c r="Q34" s="595"/>
      <c r="R34" s="595"/>
      <c r="S34" s="595"/>
      <c r="T34" s="595"/>
      <c r="U34" s="595"/>
      <c r="V34" s="595"/>
      <c r="W34" s="595"/>
      <c r="X34" s="595"/>
    </row>
    <row r="35" spans="1:24" x14ac:dyDescent="0.25">
      <c r="A35" s="463"/>
      <c r="B35" s="590"/>
      <c r="C35" s="596" t="s">
        <v>13641</v>
      </c>
      <c r="D35" s="597"/>
      <c r="E35" s="598">
        <v>45908</v>
      </c>
      <c r="F35" s="598">
        <v>46057</v>
      </c>
      <c r="G35" s="598">
        <v>45908</v>
      </c>
      <c r="H35" s="599"/>
      <c r="I35" s="917"/>
      <c r="J35" s="594"/>
      <c r="K35" s="595"/>
      <c r="L35" s="595"/>
      <c r="M35" s="595"/>
      <c r="N35" s="595"/>
      <c r="O35" s="595"/>
      <c r="P35" s="595"/>
      <c r="Q35" s="595"/>
      <c r="R35" s="595"/>
      <c r="S35" s="595"/>
      <c r="T35" s="595"/>
      <c r="U35" s="595"/>
      <c r="V35" s="595"/>
      <c r="W35" s="595"/>
      <c r="X35" s="595"/>
    </row>
    <row r="36" spans="1:24" x14ac:dyDescent="0.25">
      <c r="A36" s="463"/>
      <c r="B36" s="590"/>
      <c r="C36" s="596" t="s">
        <v>13642</v>
      </c>
      <c r="D36" s="597"/>
      <c r="E36" s="600" t="s">
        <v>13665</v>
      </c>
      <c r="F36" s="600" t="s">
        <v>13666</v>
      </c>
      <c r="G36" s="600" t="s">
        <v>13667</v>
      </c>
      <c r="H36" s="601"/>
      <c r="I36" s="917"/>
      <c r="J36" s="594"/>
      <c r="K36" s="595"/>
      <c r="L36" s="595"/>
      <c r="M36" s="595"/>
      <c r="N36" s="595"/>
      <c r="O36" s="595"/>
      <c r="P36" s="595"/>
      <c r="Q36" s="595"/>
      <c r="R36" s="595"/>
      <c r="S36" s="595"/>
      <c r="T36" s="595"/>
      <c r="U36" s="595"/>
      <c r="V36" s="595"/>
      <c r="W36" s="595"/>
      <c r="X36" s="595"/>
    </row>
    <row r="37" spans="1:24" x14ac:dyDescent="0.25">
      <c r="A37" s="463"/>
      <c r="B37" s="590"/>
      <c r="C37" s="596" t="s">
        <v>13647</v>
      </c>
      <c r="D37" s="597"/>
      <c r="E37" s="600"/>
      <c r="F37" s="600"/>
      <c r="G37" s="600"/>
      <c r="H37" s="601"/>
      <c r="I37" s="917"/>
      <c r="J37" s="594"/>
      <c r="K37" s="595"/>
      <c r="L37" s="595"/>
      <c r="M37" s="595"/>
      <c r="N37" s="595"/>
      <c r="O37" s="595"/>
      <c r="P37" s="595"/>
      <c r="Q37" s="595"/>
      <c r="R37" s="595"/>
      <c r="S37" s="595"/>
      <c r="T37" s="595"/>
      <c r="U37" s="595"/>
      <c r="V37" s="595"/>
      <c r="W37" s="595"/>
      <c r="X37" s="595"/>
    </row>
    <row r="38" spans="1:24" ht="67.5" x14ac:dyDescent="0.25">
      <c r="A38" s="463"/>
      <c r="B38" s="590"/>
      <c r="C38" s="596" t="s">
        <v>13650</v>
      </c>
      <c r="D38" s="597"/>
      <c r="E38" s="602" t="s">
        <v>13668</v>
      </c>
      <c r="F38" s="603" t="s">
        <v>13669</v>
      </c>
      <c r="G38" s="602" t="s">
        <v>13670</v>
      </c>
      <c r="H38" s="602"/>
      <c r="I38" s="917"/>
      <c r="J38" s="594"/>
      <c r="K38" s="595"/>
      <c r="L38" s="595"/>
      <c r="M38" s="595"/>
      <c r="N38" s="595"/>
      <c r="O38" s="595"/>
      <c r="P38" s="595"/>
      <c r="Q38" s="595"/>
      <c r="R38" s="595"/>
      <c r="S38" s="595"/>
      <c r="T38" s="595"/>
      <c r="U38" s="595"/>
      <c r="V38" s="595"/>
      <c r="W38" s="595"/>
      <c r="X38" s="595"/>
    </row>
    <row r="39" spans="1:24" x14ac:dyDescent="0.25">
      <c r="A39" s="605"/>
      <c r="B39" s="604" t="s">
        <v>494</v>
      </c>
      <c r="C39" s="604" t="s">
        <v>13655</v>
      </c>
      <c r="D39" s="604" t="s">
        <v>13260</v>
      </c>
      <c r="E39" s="604" t="s">
        <v>13656</v>
      </c>
      <c r="F39" s="604" t="s">
        <v>13656</v>
      </c>
      <c r="G39" s="604" t="s">
        <v>13656</v>
      </c>
      <c r="H39" s="604" t="s">
        <v>13656</v>
      </c>
      <c r="I39" s="604" t="s">
        <v>13656</v>
      </c>
      <c r="J39" s="594"/>
      <c r="K39" s="595"/>
      <c r="L39" s="595"/>
      <c r="M39" s="595"/>
      <c r="N39" s="595"/>
      <c r="O39" s="595"/>
      <c r="P39" s="595"/>
      <c r="Q39" s="595"/>
      <c r="R39" s="595"/>
      <c r="S39" s="595"/>
      <c r="T39" s="595"/>
      <c r="U39" s="595"/>
      <c r="V39" s="595"/>
      <c r="W39" s="595"/>
      <c r="X39" s="595"/>
    </row>
    <row r="40" spans="1:24" ht="63.75" x14ac:dyDescent="0.25">
      <c r="A40" s="605"/>
      <c r="B40" s="600" t="s">
        <v>13324</v>
      </c>
      <c r="C40" s="606" t="s">
        <v>13323</v>
      </c>
      <c r="D40" s="600" t="s">
        <v>580</v>
      </c>
      <c r="E40" s="607">
        <v>96</v>
      </c>
      <c r="F40" s="607">
        <v>167</v>
      </c>
      <c r="G40" s="607">
        <v>142.97999999999999</v>
      </c>
      <c r="H40" s="607"/>
      <c r="I40" s="608">
        <f>MEDIAN(E40:H40)</f>
        <v>142.97999999999999</v>
      </c>
      <c r="J40" s="594"/>
      <c r="K40" s="609">
        <f>L40/M40-1</f>
        <v>0.73958333333333326</v>
      </c>
      <c r="L40" s="610">
        <f>MAX(E40:H40)</f>
        <v>167</v>
      </c>
      <c r="M40" s="610">
        <f>MIN(E40:H40)</f>
        <v>96</v>
      </c>
      <c r="N40" s="595"/>
      <c r="O40" s="595"/>
      <c r="P40" s="595"/>
      <c r="Q40" s="595"/>
      <c r="R40" s="595"/>
      <c r="S40" s="595"/>
      <c r="T40" s="595"/>
      <c r="U40" s="595"/>
      <c r="V40" s="595"/>
      <c r="W40" s="595"/>
      <c r="X40" s="595"/>
    </row>
    <row r="41" spans="1:24" x14ac:dyDescent="0.25">
      <c r="A41" s="463"/>
      <c r="B41" s="590"/>
      <c r="C41" s="591"/>
      <c r="D41" s="592"/>
      <c r="E41" s="592"/>
      <c r="F41" s="592"/>
      <c r="G41" s="592"/>
      <c r="H41" s="592"/>
      <c r="I41" s="592"/>
      <c r="J41" s="594"/>
      <c r="K41" s="595"/>
      <c r="L41" s="595"/>
      <c r="M41" s="595"/>
      <c r="N41" s="595"/>
      <c r="O41" s="595"/>
      <c r="P41" s="595"/>
      <c r="Q41" s="595"/>
      <c r="R41" s="595"/>
      <c r="S41" s="595"/>
      <c r="T41" s="595"/>
      <c r="U41" s="595"/>
      <c r="V41" s="595"/>
      <c r="W41" s="595"/>
      <c r="X41" s="595"/>
    </row>
    <row r="42" spans="1:24" ht="15" customHeight="1" x14ac:dyDescent="0.25">
      <c r="A42" s="463"/>
      <c r="B42" s="590"/>
      <c r="C42" s="591"/>
      <c r="D42" s="592"/>
      <c r="E42" s="593" t="s">
        <v>13636</v>
      </c>
      <c r="F42" s="593" t="s">
        <v>13637</v>
      </c>
      <c r="G42" s="593" t="s">
        <v>13638</v>
      </c>
      <c r="H42" s="593" t="s">
        <v>13639</v>
      </c>
      <c r="I42" s="917" t="s">
        <v>13640</v>
      </c>
      <c r="J42" s="594"/>
      <c r="K42" s="595"/>
      <c r="L42" s="595"/>
      <c r="M42" s="595"/>
      <c r="N42" s="595"/>
      <c r="O42" s="595"/>
      <c r="P42" s="595"/>
      <c r="Q42" s="595"/>
      <c r="R42" s="595"/>
      <c r="S42" s="595"/>
      <c r="T42" s="595"/>
      <c r="U42" s="595"/>
      <c r="V42" s="595"/>
      <c r="W42" s="595"/>
      <c r="X42" s="595"/>
    </row>
    <row r="43" spans="1:24" x14ac:dyDescent="0.25">
      <c r="A43" s="463"/>
      <c r="B43" s="590"/>
      <c r="C43" s="596" t="s">
        <v>13641</v>
      </c>
      <c r="D43" s="597"/>
      <c r="E43" s="598">
        <v>45908</v>
      </c>
      <c r="F43" s="598">
        <v>45908</v>
      </c>
      <c r="G43" s="598">
        <v>45908</v>
      </c>
      <c r="H43" s="599"/>
      <c r="I43" s="917"/>
      <c r="J43" s="594"/>
      <c r="K43" s="595"/>
      <c r="L43" s="595"/>
      <c r="M43" s="595"/>
      <c r="N43" s="595"/>
      <c r="O43" s="595"/>
      <c r="P43" s="595"/>
      <c r="Q43" s="595"/>
      <c r="R43" s="595"/>
      <c r="S43" s="595"/>
      <c r="T43" s="595"/>
      <c r="U43" s="595"/>
      <c r="V43" s="595"/>
      <c r="W43" s="595"/>
      <c r="X43" s="595"/>
    </row>
    <row r="44" spans="1:24" x14ac:dyDescent="0.25">
      <c r="A44" s="463"/>
      <c r="B44" s="590"/>
      <c r="C44" s="596" t="s">
        <v>13642</v>
      </c>
      <c r="D44" s="597"/>
      <c r="E44" s="600" t="s">
        <v>13665</v>
      </c>
      <c r="F44" s="600" t="s">
        <v>13666</v>
      </c>
      <c r="G44" s="600" t="s">
        <v>13667</v>
      </c>
      <c r="H44" s="601"/>
      <c r="I44" s="917"/>
      <c r="J44" s="594"/>
      <c r="K44" s="595"/>
      <c r="L44" s="595"/>
      <c r="M44" s="595"/>
      <c r="N44" s="595"/>
      <c r="O44" s="595"/>
      <c r="P44" s="595"/>
      <c r="Q44" s="595"/>
      <c r="R44" s="595"/>
      <c r="S44" s="595"/>
      <c r="T44" s="595"/>
      <c r="U44" s="595"/>
      <c r="V44" s="595"/>
      <c r="W44" s="595"/>
      <c r="X44" s="595"/>
    </row>
    <row r="45" spans="1:24" x14ac:dyDescent="0.25">
      <c r="A45" s="463"/>
      <c r="B45" s="590"/>
      <c r="C45" s="596" t="s">
        <v>13647</v>
      </c>
      <c r="D45" s="597"/>
      <c r="E45" s="600"/>
      <c r="F45" s="600"/>
      <c r="G45" s="600"/>
      <c r="H45" s="601"/>
      <c r="I45" s="917"/>
      <c r="J45" s="594"/>
      <c r="K45" s="595"/>
      <c r="L45" s="595"/>
      <c r="M45" s="595"/>
      <c r="N45" s="595"/>
      <c r="O45" s="595"/>
      <c r="P45" s="595"/>
      <c r="Q45" s="595"/>
      <c r="R45" s="595"/>
      <c r="S45" s="595"/>
      <c r="T45" s="595"/>
      <c r="U45" s="595"/>
      <c r="V45" s="595"/>
      <c r="W45" s="595"/>
      <c r="X45" s="595"/>
    </row>
    <row r="46" spans="1:24" x14ac:dyDescent="0.25">
      <c r="A46" s="463"/>
      <c r="B46" s="590"/>
      <c r="C46" s="596" t="s">
        <v>13650</v>
      </c>
      <c r="D46" s="597"/>
      <c r="E46" s="603" t="s">
        <v>13668</v>
      </c>
      <c r="F46" s="603" t="s">
        <v>13671</v>
      </c>
      <c r="G46" s="603" t="s">
        <v>13670</v>
      </c>
      <c r="H46" s="602"/>
      <c r="I46" s="917"/>
      <c r="J46" s="594"/>
      <c r="K46" s="595"/>
      <c r="L46" s="595"/>
      <c r="M46" s="595"/>
      <c r="N46" s="595"/>
      <c r="O46" s="595"/>
      <c r="P46" s="595"/>
      <c r="Q46" s="595"/>
      <c r="R46" s="595"/>
      <c r="S46" s="595"/>
      <c r="T46" s="595"/>
      <c r="U46" s="595"/>
      <c r="V46" s="595"/>
      <c r="W46" s="595"/>
      <c r="X46" s="595"/>
    </row>
    <row r="47" spans="1:24" x14ac:dyDescent="0.25">
      <c r="A47" s="605"/>
      <c r="B47" s="604" t="s">
        <v>494</v>
      </c>
      <c r="C47" s="604" t="s">
        <v>13655</v>
      </c>
      <c r="D47" s="604" t="s">
        <v>13260</v>
      </c>
      <c r="E47" s="604" t="s">
        <v>13656</v>
      </c>
      <c r="F47" s="604" t="s">
        <v>13656</v>
      </c>
      <c r="G47" s="604" t="s">
        <v>13656</v>
      </c>
      <c r="H47" s="604" t="s">
        <v>13656</v>
      </c>
      <c r="I47" s="604" t="s">
        <v>13656</v>
      </c>
      <c r="J47" s="594"/>
      <c r="K47" s="595"/>
      <c r="L47" s="595"/>
      <c r="M47" s="595"/>
      <c r="N47" s="595"/>
      <c r="O47" s="595"/>
      <c r="P47" s="595"/>
      <c r="Q47" s="595"/>
      <c r="R47" s="595"/>
      <c r="S47" s="595"/>
      <c r="T47" s="595"/>
      <c r="U47" s="595"/>
      <c r="V47" s="595"/>
      <c r="W47" s="595"/>
      <c r="X47" s="595"/>
    </row>
    <row r="48" spans="1:24" ht="63.75" x14ac:dyDescent="0.25">
      <c r="A48" s="605"/>
      <c r="B48" s="600" t="s">
        <v>13322</v>
      </c>
      <c r="C48" s="606" t="s">
        <v>13321</v>
      </c>
      <c r="D48" s="600" t="s">
        <v>580</v>
      </c>
      <c r="E48" s="607">
        <v>96</v>
      </c>
      <c r="F48" s="607">
        <v>126.69</v>
      </c>
      <c r="G48" s="607">
        <v>137.57</v>
      </c>
      <c r="H48" s="607"/>
      <c r="I48" s="608">
        <f>MEDIAN(E48:H48)</f>
        <v>126.69</v>
      </c>
      <c r="J48" s="594"/>
      <c r="K48" s="609">
        <f>L48/M48-1</f>
        <v>0.43302083333333319</v>
      </c>
      <c r="L48" s="610">
        <f>MAX(E48:H48)</f>
        <v>137.57</v>
      </c>
      <c r="M48" s="610">
        <f>MIN(E48:H48)</f>
        <v>96</v>
      </c>
      <c r="N48" s="595"/>
      <c r="O48" s="595"/>
      <c r="P48" s="595"/>
      <c r="Q48" s="595"/>
      <c r="R48" s="595"/>
      <c r="S48" s="595"/>
      <c r="T48" s="595"/>
      <c r="U48" s="595"/>
      <c r="V48" s="595"/>
      <c r="W48" s="595"/>
      <c r="X48" s="595"/>
    </row>
    <row r="49" spans="1:24" x14ac:dyDescent="0.25">
      <c r="A49" s="463"/>
      <c r="B49" s="590"/>
      <c r="C49" s="591"/>
      <c r="D49" s="592"/>
      <c r="E49" s="592"/>
      <c r="F49" s="592"/>
      <c r="G49" s="592"/>
      <c r="H49" s="592"/>
      <c r="I49" s="592"/>
      <c r="J49" s="594"/>
      <c r="K49" s="595"/>
      <c r="L49" s="595"/>
      <c r="M49" s="595"/>
      <c r="N49" s="595"/>
      <c r="O49" s="595"/>
      <c r="P49" s="595"/>
      <c r="Q49" s="595"/>
      <c r="R49" s="595"/>
      <c r="S49" s="595"/>
      <c r="T49" s="595"/>
      <c r="U49" s="595"/>
      <c r="V49" s="595"/>
      <c r="W49" s="595"/>
      <c r="X49" s="595"/>
    </row>
    <row r="50" spans="1:24" ht="15" customHeight="1" x14ac:dyDescent="0.25">
      <c r="A50" s="463"/>
      <c r="B50" s="590"/>
      <c r="C50" s="591"/>
      <c r="D50" s="592"/>
      <c r="E50" s="593" t="s">
        <v>13636</v>
      </c>
      <c r="F50" s="593" t="s">
        <v>13637</v>
      </c>
      <c r="G50" s="593" t="s">
        <v>13638</v>
      </c>
      <c r="H50" s="593" t="s">
        <v>13639</v>
      </c>
      <c r="I50" s="917" t="s">
        <v>13640</v>
      </c>
      <c r="J50" s="594"/>
      <c r="K50" s="595"/>
      <c r="L50" s="595"/>
      <c r="M50" s="595"/>
      <c r="N50" s="595"/>
      <c r="O50" s="595"/>
      <c r="P50" s="595"/>
      <c r="Q50" s="595"/>
      <c r="R50" s="595"/>
      <c r="S50" s="595"/>
      <c r="T50" s="595"/>
      <c r="U50" s="595"/>
      <c r="V50" s="595"/>
      <c r="W50" s="595"/>
      <c r="X50" s="595"/>
    </row>
    <row r="51" spans="1:24" x14ac:dyDescent="0.25">
      <c r="A51" s="463"/>
      <c r="B51" s="590"/>
      <c r="C51" s="596" t="s">
        <v>13641</v>
      </c>
      <c r="D51" s="597"/>
      <c r="E51" s="598">
        <v>45931</v>
      </c>
      <c r="F51" s="598">
        <v>45931</v>
      </c>
      <c r="G51" s="598">
        <v>45931</v>
      </c>
      <c r="H51" s="599"/>
      <c r="I51" s="917"/>
      <c r="J51" s="594"/>
      <c r="K51" s="595"/>
      <c r="L51" s="595"/>
      <c r="M51" s="595"/>
      <c r="N51" s="595"/>
      <c r="O51" s="595"/>
      <c r="P51" s="595"/>
      <c r="Q51" s="595"/>
      <c r="R51" s="595"/>
      <c r="S51" s="595"/>
      <c r="T51" s="595"/>
      <c r="U51" s="595"/>
      <c r="V51" s="595"/>
      <c r="W51" s="595"/>
      <c r="X51" s="595"/>
    </row>
    <row r="52" spans="1:24" x14ac:dyDescent="0.25">
      <c r="A52" s="463"/>
      <c r="B52" s="590"/>
      <c r="C52" s="596" t="s">
        <v>13642</v>
      </c>
      <c r="D52" s="597"/>
      <c r="E52" s="600" t="s">
        <v>13672</v>
      </c>
      <c r="F52" s="600" t="s">
        <v>13673</v>
      </c>
      <c r="G52" s="600" t="s">
        <v>13674</v>
      </c>
      <c r="H52" s="601"/>
      <c r="I52" s="917"/>
      <c r="J52" s="594"/>
      <c r="K52" s="595"/>
      <c r="L52" s="595"/>
      <c r="M52" s="595"/>
      <c r="N52" s="595"/>
      <c r="O52" s="595"/>
      <c r="P52" s="595"/>
      <c r="Q52" s="595"/>
      <c r="R52" s="595"/>
      <c r="S52" s="595"/>
      <c r="T52" s="595"/>
      <c r="U52" s="595"/>
      <c r="V52" s="595"/>
      <c r="W52" s="595"/>
      <c r="X52" s="595"/>
    </row>
    <row r="53" spans="1:24" x14ac:dyDescent="0.25">
      <c r="A53" s="463"/>
      <c r="B53" s="590"/>
      <c r="C53" s="596" t="s">
        <v>13647</v>
      </c>
      <c r="D53" s="597"/>
      <c r="E53" s="600"/>
      <c r="F53" s="600"/>
      <c r="G53" s="600"/>
      <c r="H53" s="601"/>
      <c r="I53" s="917"/>
      <c r="J53" s="594"/>
      <c r="K53" s="595"/>
      <c r="L53" s="595"/>
      <c r="M53" s="595"/>
      <c r="N53" s="595"/>
      <c r="O53" s="595"/>
      <c r="P53" s="595"/>
      <c r="Q53" s="595"/>
      <c r="R53" s="595"/>
      <c r="S53" s="595"/>
      <c r="T53" s="595"/>
      <c r="U53" s="595"/>
      <c r="V53" s="595"/>
      <c r="W53" s="595"/>
      <c r="X53" s="595"/>
    </row>
    <row r="54" spans="1:24" ht="67.5" x14ac:dyDescent="0.25">
      <c r="A54" s="463"/>
      <c r="B54" s="590"/>
      <c r="C54" s="596" t="s">
        <v>13650</v>
      </c>
      <c r="D54" s="597"/>
      <c r="E54" s="602" t="s">
        <v>13675</v>
      </c>
      <c r="F54" s="603" t="s">
        <v>13676</v>
      </c>
      <c r="G54" s="602" t="s">
        <v>13677</v>
      </c>
      <c r="H54" s="602"/>
      <c r="I54" s="917"/>
      <c r="J54" s="594"/>
      <c r="K54" s="595"/>
      <c r="L54" s="595"/>
      <c r="M54" s="595"/>
      <c r="N54" s="595"/>
      <c r="O54" s="595"/>
      <c r="P54" s="595"/>
      <c r="Q54" s="595"/>
      <c r="R54" s="595"/>
      <c r="S54" s="595"/>
      <c r="T54" s="595"/>
      <c r="U54" s="595"/>
      <c r="V54" s="595"/>
      <c r="W54" s="595"/>
      <c r="X54" s="595"/>
    </row>
    <row r="55" spans="1:24" x14ac:dyDescent="0.25">
      <c r="A55" s="605"/>
      <c r="B55" s="604" t="s">
        <v>494</v>
      </c>
      <c r="C55" s="604" t="s">
        <v>13655</v>
      </c>
      <c r="D55" s="604" t="s">
        <v>13260</v>
      </c>
      <c r="E55" s="604" t="s">
        <v>13656</v>
      </c>
      <c r="F55" s="604" t="s">
        <v>13656</v>
      </c>
      <c r="G55" s="604" t="s">
        <v>13656</v>
      </c>
      <c r="H55" s="604" t="s">
        <v>13656</v>
      </c>
      <c r="I55" s="604" t="s">
        <v>13656</v>
      </c>
      <c r="J55" s="594"/>
      <c r="K55" s="595"/>
      <c r="L55" s="595"/>
      <c r="M55" s="595"/>
      <c r="N55" s="595"/>
      <c r="O55" s="595"/>
      <c r="P55" s="595"/>
      <c r="Q55" s="595"/>
      <c r="R55" s="595"/>
      <c r="S55" s="595"/>
      <c r="T55" s="595"/>
      <c r="U55" s="595"/>
      <c r="V55" s="595"/>
      <c r="W55" s="595"/>
      <c r="X55" s="595"/>
    </row>
    <row r="56" spans="1:24" ht="63.75" x14ac:dyDescent="0.25">
      <c r="A56" s="605"/>
      <c r="B56" s="600" t="s">
        <v>13326</v>
      </c>
      <c r="C56" s="606" t="s">
        <v>13325</v>
      </c>
      <c r="D56" s="619" t="s">
        <v>13260</v>
      </c>
      <c r="E56" s="607">
        <v>237.03</v>
      </c>
      <c r="F56" s="607">
        <v>237.12</v>
      </c>
      <c r="G56" s="607">
        <v>255.78</v>
      </c>
      <c r="H56" s="607"/>
      <c r="I56" s="608">
        <f>MEDIAN(E56:H56)</f>
        <v>237.12</v>
      </c>
      <c r="J56" s="594"/>
      <c r="K56" s="609">
        <f>L56/M56-1</f>
        <v>7.9103910897354801E-2</v>
      </c>
      <c r="L56" s="610">
        <f>MAX(E56:H56)</f>
        <v>255.78</v>
      </c>
      <c r="M56" s="610">
        <f>MIN(E56:H56)</f>
        <v>237.03</v>
      </c>
      <c r="N56" s="595"/>
      <c r="O56" s="595"/>
      <c r="P56" s="595"/>
      <c r="Q56" s="595"/>
      <c r="R56" s="595"/>
      <c r="S56" s="595"/>
      <c r="T56" s="595"/>
      <c r="U56" s="595"/>
      <c r="V56" s="595"/>
      <c r="W56" s="595"/>
      <c r="X56" s="595"/>
    </row>
    <row r="57" spans="1:24" x14ac:dyDescent="0.25">
      <c r="A57" s="463"/>
      <c r="B57" s="590"/>
      <c r="C57" s="591"/>
      <c r="D57" s="592"/>
      <c r="E57" s="592"/>
      <c r="F57" s="592"/>
      <c r="G57" s="592"/>
      <c r="H57" s="592"/>
      <c r="I57" s="592"/>
      <c r="J57" s="586"/>
      <c r="K57" s="587"/>
      <c r="L57" s="587"/>
      <c r="M57" s="587"/>
      <c r="N57" s="587"/>
      <c r="O57" s="587"/>
      <c r="P57" s="587"/>
      <c r="Q57" s="587"/>
      <c r="R57" s="587"/>
      <c r="S57" s="587"/>
      <c r="T57" s="587"/>
      <c r="U57" s="587"/>
      <c r="V57" s="587"/>
      <c r="W57" s="587"/>
      <c r="X57" s="587"/>
    </row>
    <row r="58" spans="1:24" ht="15" customHeight="1" x14ac:dyDescent="0.25">
      <c r="A58" s="463"/>
      <c r="B58" s="590"/>
      <c r="C58" s="591"/>
      <c r="D58" s="592"/>
      <c r="E58" s="593" t="s">
        <v>13636</v>
      </c>
      <c r="F58" s="593" t="s">
        <v>13637</v>
      </c>
      <c r="G58" s="593" t="s">
        <v>13638</v>
      </c>
      <c r="H58" s="593" t="s">
        <v>13639</v>
      </c>
      <c r="I58" s="917" t="s">
        <v>13640</v>
      </c>
      <c r="J58" s="586"/>
      <c r="K58" s="587"/>
      <c r="L58" s="587"/>
      <c r="M58" s="587"/>
      <c r="N58" s="587"/>
      <c r="O58" s="587"/>
      <c r="P58" s="587"/>
      <c r="Q58" s="587"/>
      <c r="R58" s="587"/>
      <c r="S58" s="587"/>
      <c r="T58" s="587"/>
      <c r="U58" s="587"/>
      <c r="V58" s="587"/>
      <c r="W58" s="587"/>
      <c r="X58" s="587"/>
    </row>
    <row r="59" spans="1:24" x14ac:dyDescent="0.25">
      <c r="A59" s="463"/>
      <c r="B59" s="590"/>
      <c r="C59" s="596" t="s">
        <v>13641</v>
      </c>
      <c r="D59" s="597"/>
      <c r="E59" s="598">
        <v>45975</v>
      </c>
      <c r="F59" s="598">
        <v>46030</v>
      </c>
      <c r="G59" s="598">
        <v>45975</v>
      </c>
      <c r="H59" s="599"/>
      <c r="I59" s="917"/>
      <c r="J59" s="586"/>
      <c r="K59" s="587"/>
      <c r="L59" s="587"/>
      <c r="M59" s="587"/>
      <c r="N59" s="587"/>
      <c r="O59" s="587"/>
      <c r="P59" s="587"/>
      <c r="Q59" s="587"/>
      <c r="R59" s="587"/>
      <c r="S59" s="587"/>
      <c r="T59" s="587"/>
      <c r="U59" s="587"/>
      <c r="V59" s="587"/>
      <c r="W59" s="587"/>
      <c r="X59" s="587"/>
    </row>
    <row r="60" spans="1:24" x14ac:dyDescent="0.25">
      <c r="A60" s="463"/>
      <c r="B60" s="590"/>
      <c r="C60" s="596" t="s">
        <v>13642</v>
      </c>
      <c r="D60" s="597"/>
      <c r="E60" s="600" t="s">
        <v>13678</v>
      </c>
      <c r="F60" s="600" t="s">
        <v>13679</v>
      </c>
      <c r="G60" s="600" t="s">
        <v>13680</v>
      </c>
      <c r="H60" s="601"/>
      <c r="I60" s="917"/>
      <c r="J60" s="586"/>
      <c r="K60" s="587"/>
      <c r="L60" s="587"/>
      <c r="M60" s="587"/>
      <c r="N60" s="587"/>
      <c r="O60" s="587"/>
      <c r="P60" s="587"/>
      <c r="Q60" s="587"/>
      <c r="R60" s="587"/>
      <c r="S60" s="587"/>
      <c r="T60" s="587"/>
      <c r="U60" s="587"/>
      <c r="V60" s="587"/>
      <c r="W60" s="587"/>
      <c r="X60" s="587"/>
    </row>
    <row r="61" spans="1:24" x14ac:dyDescent="0.25">
      <c r="A61" s="463"/>
      <c r="B61" s="590"/>
      <c r="C61" s="596" t="s">
        <v>13647</v>
      </c>
      <c r="D61" s="597"/>
      <c r="E61" s="600"/>
      <c r="F61" s="600"/>
      <c r="G61" s="600"/>
      <c r="H61" s="601"/>
      <c r="I61" s="917"/>
      <c r="J61" s="586"/>
      <c r="K61" s="587"/>
      <c r="L61" s="587"/>
      <c r="M61" s="587"/>
      <c r="N61" s="587"/>
      <c r="O61" s="587"/>
      <c r="P61" s="587"/>
      <c r="Q61" s="587"/>
      <c r="R61" s="587"/>
      <c r="S61" s="587"/>
      <c r="T61" s="587"/>
      <c r="U61" s="587"/>
      <c r="V61" s="587"/>
      <c r="W61" s="587"/>
      <c r="X61" s="587"/>
    </row>
    <row r="62" spans="1:24" ht="225" x14ac:dyDescent="0.25">
      <c r="A62" s="463"/>
      <c r="B62" s="590"/>
      <c r="C62" s="596" t="s">
        <v>13650</v>
      </c>
      <c r="D62" s="597"/>
      <c r="E62" s="603" t="s">
        <v>13681</v>
      </c>
      <c r="F62" s="603" t="s">
        <v>13682</v>
      </c>
      <c r="G62" s="603" t="s">
        <v>13683</v>
      </c>
      <c r="H62" s="602"/>
      <c r="I62" s="917"/>
      <c r="J62" s="586"/>
      <c r="K62" s="587"/>
      <c r="L62" s="587"/>
      <c r="M62" s="587"/>
      <c r="N62" s="587"/>
      <c r="O62" s="587"/>
      <c r="P62" s="587"/>
      <c r="Q62" s="587"/>
      <c r="R62" s="587"/>
      <c r="S62" s="587"/>
      <c r="T62" s="587"/>
      <c r="U62" s="587"/>
      <c r="V62" s="587"/>
      <c r="W62" s="587"/>
      <c r="X62" s="587"/>
    </row>
    <row r="63" spans="1:24" x14ac:dyDescent="0.25">
      <c r="A63" s="605"/>
      <c r="B63" s="604" t="s">
        <v>494</v>
      </c>
      <c r="C63" s="604" t="s">
        <v>13655</v>
      </c>
      <c r="D63" s="604" t="s">
        <v>13260</v>
      </c>
      <c r="E63" s="604" t="s">
        <v>13656</v>
      </c>
      <c r="F63" s="604" t="s">
        <v>13656</v>
      </c>
      <c r="G63" s="604" t="s">
        <v>13656</v>
      </c>
      <c r="H63" s="604" t="s">
        <v>13656</v>
      </c>
      <c r="I63" s="604" t="s">
        <v>13656</v>
      </c>
      <c r="J63" s="586"/>
      <c r="K63" s="587"/>
      <c r="L63" s="587"/>
      <c r="M63" s="587"/>
      <c r="N63" s="587"/>
      <c r="O63" s="587"/>
      <c r="P63" s="587"/>
      <c r="Q63" s="587"/>
      <c r="R63" s="587"/>
      <c r="S63" s="587"/>
      <c r="T63" s="587"/>
      <c r="U63" s="587"/>
      <c r="V63" s="587"/>
      <c r="W63" s="587"/>
      <c r="X63" s="587"/>
    </row>
    <row r="64" spans="1:24" x14ac:dyDescent="0.25">
      <c r="A64" s="605"/>
      <c r="B64" s="600" t="s">
        <v>13134</v>
      </c>
      <c r="C64" s="606" t="s">
        <v>13133</v>
      </c>
      <c r="D64" s="600" t="s">
        <v>580</v>
      </c>
      <c r="E64" s="607">
        <v>21.99</v>
      </c>
      <c r="F64" s="607">
        <v>22.76</v>
      </c>
      <c r="G64" s="607">
        <v>23.91</v>
      </c>
      <c r="H64" s="607"/>
      <c r="I64" s="608">
        <f>MEDIAN(E64:H64)</f>
        <v>22.76</v>
      </c>
      <c r="J64" s="586"/>
      <c r="K64" s="609">
        <f>L64/M64-1</f>
        <v>8.7312414733970112E-2</v>
      </c>
      <c r="L64" s="610">
        <f>MAX(E64:H64)</f>
        <v>23.91</v>
      </c>
      <c r="M64" s="610">
        <f>MIN(E64:H64)</f>
        <v>21.99</v>
      </c>
      <c r="N64" s="587"/>
      <c r="O64" s="587"/>
      <c r="P64" s="587"/>
      <c r="Q64" s="587"/>
      <c r="R64" s="587"/>
      <c r="S64" s="587"/>
      <c r="T64" s="587"/>
      <c r="U64" s="587"/>
      <c r="V64" s="587"/>
      <c r="W64" s="587"/>
      <c r="X64" s="587"/>
    </row>
    <row r="65" spans="1:26" x14ac:dyDescent="0.25">
      <c r="A65" s="463"/>
      <c r="B65" s="590"/>
      <c r="C65" s="591"/>
      <c r="D65" s="592"/>
      <c r="E65" s="592"/>
      <c r="F65" s="592"/>
      <c r="G65" s="592"/>
      <c r="H65" s="592"/>
      <c r="I65" s="592"/>
      <c r="J65" s="586"/>
      <c r="K65" s="587"/>
      <c r="L65" s="587"/>
      <c r="M65" s="587"/>
      <c r="N65" s="587"/>
      <c r="O65" s="587"/>
      <c r="P65" s="587"/>
      <c r="Q65" s="587"/>
      <c r="R65" s="587"/>
      <c r="S65" s="587"/>
      <c r="T65" s="587"/>
      <c r="U65" s="587"/>
      <c r="V65" s="587"/>
      <c r="W65" s="587"/>
      <c r="X65" s="587"/>
    </row>
    <row r="66" spans="1:26" ht="15" customHeight="1" x14ac:dyDescent="0.25">
      <c r="A66" s="463"/>
      <c r="B66" s="590"/>
      <c r="C66" s="591"/>
      <c r="D66" s="592"/>
      <c r="E66" s="593" t="s">
        <v>13636</v>
      </c>
      <c r="F66" s="593" t="s">
        <v>13637</v>
      </c>
      <c r="G66" s="593" t="s">
        <v>13638</v>
      </c>
      <c r="H66" s="593" t="s">
        <v>13639</v>
      </c>
      <c r="I66" s="917" t="s">
        <v>13640</v>
      </c>
      <c r="J66" s="586"/>
      <c r="K66" s="587"/>
      <c r="L66" s="587"/>
      <c r="M66" s="587"/>
      <c r="N66" s="587"/>
      <c r="O66" s="587"/>
      <c r="P66" s="587"/>
      <c r="Q66" s="587"/>
      <c r="R66" s="587"/>
      <c r="S66" s="587"/>
      <c r="T66" s="587"/>
      <c r="U66" s="587"/>
      <c r="V66" s="587"/>
      <c r="W66" s="587"/>
      <c r="X66" s="587"/>
    </row>
    <row r="67" spans="1:26" x14ac:dyDescent="0.25">
      <c r="A67" s="463"/>
      <c r="B67" s="590"/>
      <c r="C67" s="596" t="s">
        <v>13641</v>
      </c>
      <c r="D67" s="597"/>
      <c r="E67" s="598">
        <v>45968</v>
      </c>
      <c r="F67" s="598">
        <v>45968</v>
      </c>
      <c r="G67" s="598">
        <v>45996</v>
      </c>
      <c r="H67" s="599">
        <v>46000</v>
      </c>
      <c r="I67" s="917"/>
      <c r="J67" s="586"/>
      <c r="K67" s="587"/>
      <c r="L67" s="587"/>
      <c r="M67" s="587"/>
      <c r="N67" s="587"/>
      <c r="O67" s="587"/>
      <c r="P67" s="587"/>
      <c r="Q67" s="587"/>
      <c r="R67" s="587"/>
      <c r="S67" s="587"/>
      <c r="T67" s="587"/>
      <c r="U67" s="587"/>
      <c r="V67" s="587"/>
      <c r="W67" s="587"/>
      <c r="X67" s="587"/>
    </row>
    <row r="68" spans="1:26" x14ac:dyDescent="0.25">
      <c r="A68" s="463"/>
      <c r="B68" s="590"/>
      <c r="C68" s="596" t="s">
        <v>13642</v>
      </c>
      <c r="D68" s="597"/>
      <c r="E68" s="600" t="s">
        <v>13684</v>
      </c>
      <c r="F68" s="600" t="s">
        <v>13685</v>
      </c>
      <c r="G68" s="600" t="s">
        <v>13686</v>
      </c>
      <c r="H68" s="601" t="s">
        <v>13664</v>
      </c>
      <c r="I68" s="917"/>
      <c r="J68" s="586"/>
      <c r="K68" s="587"/>
      <c r="L68" s="587"/>
      <c r="M68" s="587"/>
      <c r="N68" s="587"/>
      <c r="O68" s="587"/>
      <c r="P68" s="587"/>
      <c r="Q68" s="587"/>
      <c r="R68" s="587"/>
      <c r="S68" s="587"/>
      <c r="T68" s="587"/>
      <c r="U68" s="587"/>
      <c r="V68" s="587"/>
      <c r="W68" s="587"/>
      <c r="X68" s="587"/>
    </row>
    <row r="69" spans="1:26" x14ac:dyDescent="0.25">
      <c r="A69" s="463"/>
      <c r="B69" s="590"/>
      <c r="C69" s="596" t="s">
        <v>13647</v>
      </c>
      <c r="D69" s="597"/>
      <c r="E69" s="600" t="s">
        <v>13687</v>
      </c>
      <c r="F69" s="600" t="s">
        <v>13688</v>
      </c>
      <c r="G69" s="600" t="s">
        <v>13689</v>
      </c>
      <c r="H69" s="601"/>
      <c r="I69" s="917"/>
      <c r="J69" s="586"/>
      <c r="K69" s="587"/>
      <c r="L69" s="587"/>
      <c r="M69" s="587"/>
      <c r="N69" s="587"/>
      <c r="O69" s="587"/>
      <c r="P69" s="587"/>
      <c r="Q69" s="587"/>
      <c r="R69" s="587"/>
      <c r="S69" s="587"/>
      <c r="T69" s="587"/>
      <c r="U69" s="587"/>
      <c r="V69" s="587"/>
      <c r="W69" s="587"/>
      <c r="X69" s="587"/>
    </row>
    <row r="70" spans="1:26" ht="22.5" x14ac:dyDescent="0.25">
      <c r="A70" s="463"/>
      <c r="B70" s="590"/>
      <c r="C70" s="596" t="s">
        <v>13650</v>
      </c>
      <c r="D70" s="597"/>
      <c r="E70" s="602" t="s">
        <v>13690</v>
      </c>
      <c r="F70" s="602" t="s">
        <v>13691</v>
      </c>
      <c r="G70" s="602" t="s">
        <v>13692</v>
      </c>
      <c r="H70" s="602"/>
      <c r="I70" s="917"/>
      <c r="J70" s="586"/>
      <c r="K70" s="587"/>
      <c r="L70" s="587"/>
      <c r="M70" s="587"/>
      <c r="N70" s="587"/>
      <c r="O70" s="587"/>
      <c r="P70" s="587"/>
      <c r="Q70" s="587"/>
      <c r="R70" s="587"/>
      <c r="S70" s="587"/>
      <c r="T70" s="587"/>
      <c r="U70" s="587"/>
      <c r="V70" s="587"/>
      <c r="W70" s="587"/>
      <c r="X70" s="587"/>
    </row>
    <row r="71" spans="1:26" x14ac:dyDescent="0.25">
      <c r="A71" s="605"/>
      <c r="B71" s="604" t="s">
        <v>494</v>
      </c>
      <c r="C71" s="604" t="s">
        <v>13655</v>
      </c>
      <c r="D71" s="604" t="s">
        <v>13260</v>
      </c>
      <c r="E71" s="604" t="s">
        <v>13656</v>
      </c>
      <c r="F71" s="604" t="s">
        <v>13656</v>
      </c>
      <c r="G71" s="604" t="s">
        <v>13656</v>
      </c>
      <c r="H71" s="604" t="s">
        <v>13656</v>
      </c>
      <c r="I71" s="604" t="s">
        <v>13656</v>
      </c>
      <c r="J71" s="586"/>
      <c r="K71" s="587"/>
      <c r="L71" s="587"/>
      <c r="M71" s="587"/>
      <c r="N71" s="587"/>
      <c r="O71" s="587"/>
      <c r="P71" s="587"/>
      <c r="Q71" s="587"/>
      <c r="R71" s="587"/>
      <c r="S71" s="587"/>
      <c r="T71" s="587"/>
      <c r="U71" s="587"/>
      <c r="V71" s="587"/>
      <c r="W71" s="587"/>
      <c r="X71" s="587"/>
    </row>
    <row r="72" spans="1:26" ht="409.5" x14ac:dyDescent="0.25">
      <c r="A72" s="620"/>
      <c r="B72" s="621" t="s">
        <v>12877</v>
      </c>
      <c r="C72" s="622" t="s">
        <v>12875</v>
      </c>
      <c r="D72" s="621" t="s">
        <v>580</v>
      </c>
      <c r="E72" s="623">
        <v>52020</v>
      </c>
      <c r="F72" s="623"/>
      <c r="G72" s="623">
        <v>34269.21</v>
      </c>
      <c r="H72" s="623">
        <v>47976.89</v>
      </c>
      <c r="I72" s="624">
        <f>MEDIAN(E72:H72)</f>
        <v>47976.89</v>
      </c>
      <c r="J72" s="625"/>
      <c r="K72" s="626">
        <f>L72/M72-1</f>
        <v>0.51798071796811196</v>
      </c>
      <c r="L72" s="627">
        <f>MAX(E72:H72)</f>
        <v>52020</v>
      </c>
      <c r="M72" s="627">
        <f>MIN(E72:H72)</f>
        <v>34269.21</v>
      </c>
      <c r="N72" s="540"/>
      <c r="O72" s="540"/>
      <c r="P72" s="540"/>
      <c r="Q72" s="540"/>
      <c r="R72" s="540"/>
      <c r="S72" s="540"/>
      <c r="T72" s="540"/>
      <c r="U72" s="540"/>
      <c r="V72" s="540"/>
      <c r="W72" s="540"/>
      <c r="X72" s="540"/>
      <c r="Y72" s="540"/>
      <c r="Z72" s="540"/>
    </row>
    <row r="73" spans="1:26" ht="409.5" x14ac:dyDescent="0.25">
      <c r="A73" s="620"/>
      <c r="B73" s="628" t="s">
        <v>13657</v>
      </c>
      <c r="C73" s="629" t="s">
        <v>12875</v>
      </c>
      <c r="D73" s="630" t="s">
        <v>580</v>
      </c>
      <c r="E73" s="631">
        <v>52020</v>
      </c>
      <c r="F73" s="631">
        <v>16091.36</v>
      </c>
      <c r="G73" s="631">
        <v>34269.21</v>
      </c>
      <c r="H73" s="631">
        <v>47976.89</v>
      </c>
      <c r="I73" s="632"/>
      <c r="J73" s="633"/>
      <c r="K73" s="634"/>
      <c r="L73" s="635"/>
      <c r="M73" s="635"/>
      <c r="N73" s="636"/>
      <c r="O73" s="540"/>
      <c r="P73" s="540"/>
      <c r="Q73" s="540"/>
      <c r="R73" s="540"/>
      <c r="S73" s="540"/>
      <c r="T73" s="540"/>
      <c r="U73" s="540"/>
      <c r="V73" s="540"/>
      <c r="W73" s="540"/>
      <c r="X73" s="540"/>
      <c r="Y73" s="540"/>
      <c r="Z73" s="540"/>
    </row>
    <row r="74" spans="1:26" ht="409.5" x14ac:dyDescent="0.25">
      <c r="A74" s="620"/>
      <c r="B74" s="621" t="s">
        <v>12880</v>
      </c>
      <c r="C74" s="622" t="s">
        <v>12879</v>
      </c>
      <c r="D74" s="621" t="s">
        <v>580</v>
      </c>
      <c r="E74" s="623">
        <v>52020</v>
      </c>
      <c r="F74" s="623"/>
      <c r="G74" s="623">
        <v>34269.21</v>
      </c>
      <c r="H74" s="623">
        <v>47976.89</v>
      </c>
      <c r="I74" s="624">
        <f>MEDIAN(E74:H74)</f>
        <v>47976.89</v>
      </c>
      <c r="J74" s="541"/>
      <c r="K74" s="626">
        <f>L74/M74-1</f>
        <v>0.51798071796811196</v>
      </c>
      <c r="L74" s="627">
        <f>MAX(E74:H74)</f>
        <v>52020</v>
      </c>
      <c r="M74" s="627">
        <f>MIN(E74:H74)</f>
        <v>34269.21</v>
      </c>
      <c r="N74" s="540"/>
      <c r="O74" s="540"/>
      <c r="P74" s="540"/>
      <c r="Q74" s="540"/>
      <c r="R74" s="540"/>
      <c r="S74" s="540"/>
      <c r="T74" s="540"/>
      <c r="U74" s="540"/>
      <c r="V74" s="540"/>
      <c r="W74" s="540"/>
      <c r="X74" s="540"/>
      <c r="Y74" s="540"/>
      <c r="Z74" s="540"/>
    </row>
    <row r="75" spans="1:26" ht="409.5" x14ac:dyDescent="0.25">
      <c r="A75" s="620"/>
      <c r="B75" s="628" t="s">
        <v>13657</v>
      </c>
      <c r="C75" s="629" t="s">
        <v>12879</v>
      </c>
      <c r="D75" s="630" t="s">
        <v>580</v>
      </c>
      <c r="E75" s="631">
        <v>52020</v>
      </c>
      <c r="F75" s="631">
        <v>16091.36</v>
      </c>
      <c r="G75" s="631">
        <v>34269.21</v>
      </c>
      <c r="H75" s="631">
        <v>47976.89</v>
      </c>
      <c r="I75" s="632"/>
      <c r="J75" s="633"/>
      <c r="K75" s="634"/>
      <c r="L75" s="635"/>
      <c r="M75" s="635"/>
      <c r="N75" s="636"/>
      <c r="O75" s="540"/>
      <c r="P75" s="540"/>
      <c r="Q75" s="540"/>
      <c r="R75" s="540"/>
      <c r="S75" s="540"/>
      <c r="T75" s="540"/>
      <c r="U75" s="540"/>
      <c r="V75" s="540"/>
      <c r="W75" s="540"/>
      <c r="X75" s="540"/>
      <c r="Y75" s="540"/>
      <c r="Z75" s="540"/>
    </row>
    <row r="76" spans="1:26" ht="409.5" x14ac:dyDescent="0.25">
      <c r="A76" s="620"/>
      <c r="B76" s="621" t="s">
        <v>12882</v>
      </c>
      <c r="C76" s="622" t="s">
        <v>12881</v>
      </c>
      <c r="D76" s="621" t="s">
        <v>580</v>
      </c>
      <c r="E76" s="623">
        <v>52020</v>
      </c>
      <c r="F76" s="623"/>
      <c r="G76" s="623">
        <v>34269.21</v>
      </c>
      <c r="H76" s="623">
        <v>47976.89</v>
      </c>
      <c r="I76" s="624">
        <f>MEDIAN(E76:H76)</f>
        <v>47976.89</v>
      </c>
      <c r="J76" s="541"/>
      <c r="K76" s="626">
        <f>L76/M76-1</f>
        <v>0.51798071796811196</v>
      </c>
      <c r="L76" s="627">
        <f>MAX(E76:H76)</f>
        <v>52020</v>
      </c>
      <c r="M76" s="627">
        <f>MIN(E76:H76)</f>
        <v>34269.21</v>
      </c>
      <c r="N76" s="540"/>
      <c r="O76" s="540"/>
      <c r="P76" s="540"/>
      <c r="Q76" s="540"/>
      <c r="R76" s="540"/>
      <c r="S76" s="540"/>
      <c r="T76" s="540"/>
      <c r="U76" s="540"/>
      <c r="V76" s="540"/>
      <c r="W76" s="540"/>
      <c r="X76" s="540"/>
      <c r="Y76" s="540"/>
      <c r="Z76" s="540"/>
    </row>
    <row r="77" spans="1:26" ht="409.5" x14ac:dyDescent="0.25">
      <c r="A77" s="620"/>
      <c r="B77" s="628" t="s">
        <v>13657</v>
      </c>
      <c r="C77" s="629" t="s">
        <v>12881</v>
      </c>
      <c r="D77" s="630" t="s">
        <v>580</v>
      </c>
      <c r="E77" s="631">
        <v>52020</v>
      </c>
      <c r="F77" s="631">
        <v>16091.36</v>
      </c>
      <c r="G77" s="631">
        <v>34269.21</v>
      </c>
      <c r="H77" s="631">
        <v>47976.89</v>
      </c>
      <c r="I77" s="632"/>
      <c r="J77" s="633"/>
      <c r="K77" s="634"/>
      <c r="L77" s="635"/>
      <c r="M77" s="635"/>
      <c r="N77" s="636"/>
      <c r="O77" s="540"/>
      <c r="P77" s="540"/>
      <c r="Q77" s="540"/>
      <c r="R77" s="540"/>
      <c r="S77" s="540"/>
      <c r="T77" s="540"/>
      <c r="U77" s="540"/>
      <c r="V77" s="540"/>
      <c r="W77" s="540"/>
      <c r="X77" s="540"/>
      <c r="Y77" s="540"/>
      <c r="Z77" s="540"/>
    </row>
    <row r="78" spans="1:26" ht="409.5" x14ac:dyDescent="0.25">
      <c r="A78" s="620"/>
      <c r="B78" s="621" t="s">
        <v>12884</v>
      </c>
      <c r="C78" s="622" t="s">
        <v>12883</v>
      </c>
      <c r="D78" s="621" t="s">
        <v>580</v>
      </c>
      <c r="E78" s="623">
        <v>52020</v>
      </c>
      <c r="F78" s="623"/>
      <c r="G78" s="623">
        <v>45197.85</v>
      </c>
      <c r="H78" s="623">
        <v>47976.89</v>
      </c>
      <c r="I78" s="624">
        <f>MEDIAN(E78:H78)</f>
        <v>47976.89</v>
      </c>
      <c r="J78" s="625"/>
      <c r="K78" s="626">
        <f>L78/M78-1</f>
        <v>0.15093970177784999</v>
      </c>
      <c r="L78" s="627">
        <f>MAX(E78:H78)</f>
        <v>52020</v>
      </c>
      <c r="M78" s="627">
        <f>MIN(E78:H78)</f>
        <v>45197.85</v>
      </c>
      <c r="N78" s="540"/>
      <c r="O78" s="540"/>
      <c r="P78" s="540"/>
      <c r="Q78" s="540"/>
      <c r="R78" s="540"/>
      <c r="S78" s="540"/>
      <c r="T78" s="540"/>
      <c r="U78" s="540"/>
      <c r="V78" s="540"/>
      <c r="W78" s="540"/>
      <c r="X78" s="540"/>
      <c r="Y78" s="540"/>
      <c r="Z78" s="540"/>
    </row>
    <row r="79" spans="1:26" ht="409.5" x14ac:dyDescent="0.25">
      <c r="A79" s="620"/>
      <c r="B79" s="628" t="s">
        <v>13657</v>
      </c>
      <c r="C79" s="629" t="s">
        <v>12883</v>
      </c>
      <c r="D79" s="630" t="s">
        <v>580</v>
      </c>
      <c r="E79" s="631">
        <v>52020</v>
      </c>
      <c r="F79" s="631">
        <v>15463.84</v>
      </c>
      <c r="G79" s="631">
        <v>45197.85</v>
      </c>
      <c r="H79" s="631">
        <v>47976.89</v>
      </c>
      <c r="I79" s="632"/>
      <c r="J79" s="633"/>
      <c r="K79" s="634"/>
      <c r="L79" s="635"/>
      <c r="M79" s="635"/>
      <c r="N79" s="636"/>
      <c r="O79" s="540"/>
      <c r="P79" s="540"/>
      <c r="Q79" s="540"/>
      <c r="R79" s="540"/>
      <c r="S79" s="540"/>
      <c r="T79" s="540"/>
      <c r="U79" s="540"/>
      <c r="V79" s="540"/>
      <c r="W79" s="540"/>
      <c r="X79" s="540"/>
      <c r="Y79" s="540"/>
      <c r="Z79" s="540"/>
    </row>
    <row r="80" spans="1:26" ht="409.5" x14ac:dyDescent="0.25">
      <c r="A80" s="620"/>
      <c r="B80" s="621" t="s">
        <v>12886</v>
      </c>
      <c r="C80" s="622" t="s">
        <v>12885</v>
      </c>
      <c r="D80" s="621" t="s">
        <v>580</v>
      </c>
      <c r="E80" s="623">
        <v>52020</v>
      </c>
      <c r="F80" s="623"/>
      <c r="G80" s="623">
        <v>34269.21</v>
      </c>
      <c r="H80" s="623">
        <v>47976.89</v>
      </c>
      <c r="I80" s="624">
        <f>MEDIAN(E80:H80)</f>
        <v>47976.89</v>
      </c>
      <c r="J80" s="541"/>
      <c r="K80" s="626">
        <f>L80/M80-1</f>
        <v>0.51798071796811196</v>
      </c>
      <c r="L80" s="627">
        <f>MAX(E80:H80)</f>
        <v>52020</v>
      </c>
      <c r="M80" s="627">
        <f>MIN(E80:H80)</f>
        <v>34269.21</v>
      </c>
      <c r="N80" s="540"/>
      <c r="O80" s="540"/>
      <c r="P80" s="540"/>
      <c r="Q80" s="540"/>
      <c r="R80" s="540"/>
      <c r="S80" s="540"/>
      <c r="T80" s="540"/>
      <c r="U80" s="540"/>
      <c r="V80" s="540"/>
      <c r="W80" s="540"/>
      <c r="X80" s="540"/>
      <c r="Y80" s="540"/>
      <c r="Z80" s="540"/>
    </row>
    <row r="81" spans="1:26" ht="409.5" x14ac:dyDescent="0.25">
      <c r="A81" s="620"/>
      <c r="B81" s="628" t="s">
        <v>13657</v>
      </c>
      <c r="C81" s="629" t="s">
        <v>12885</v>
      </c>
      <c r="D81" s="630" t="s">
        <v>580</v>
      </c>
      <c r="E81" s="631">
        <v>52020</v>
      </c>
      <c r="F81" s="631">
        <v>16091.36</v>
      </c>
      <c r="G81" s="631">
        <v>34269.21</v>
      </c>
      <c r="H81" s="637">
        <v>47976.89</v>
      </c>
      <c r="I81" s="632"/>
      <c r="J81" s="633"/>
      <c r="K81" s="634"/>
      <c r="L81" s="635"/>
      <c r="M81" s="635"/>
      <c r="N81" s="636"/>
      <c r="O81" s="540"/>
      <c r="P81" s="540"/>
      <c r="Q81" s="540"/>
      <c r="R81" s="540"/>
      <c r="S81" s="540"/>
      <c r="T81" s="540"/>
      <c r="U81" s="540"/>
      <c r="V81" s="540"/>
      <c r="W81" s="540"/>
      <c r="X81" s="540"/>
      <c r="Y81" s="540"/>
      <c r="Z81" s="540"/>
    </row>
    <row r="82" spans="1:26" x14ac:dyDescent="0.25">
      <c r="A82" s="463"/>
      <c r="B82" s="590"/>
      <c r="C82" s="591"/>
      <c r="D82" s="592"/>
      <c r="E82" s="592"/>
      <c r="F82" s="592"/>
      <c r="G82" s="592"/>
      <c r="H82" s="592"/>
      <c r="I82" s="592"/>
      <c r="J82" s="586"/>
      <c r="K82" s="587"/>
      <c r="L82" s="587"/>
      <c r="M82" s="587"/>
      <c r="N82" s="587"/>
      <c r="O82" s="587"/>
      <c r="P82" s="587"/>
      <c r="Q82" s="587"/>
      <c r="R82" s="587"/>
      <c r="S82" s="587"/>
      <c r="T82" s="587"/>
      <c r="U82" s="587"/>
      <c r="V82" s="587"/>
      <c r="W82" s="587"/>
      <c r="X82" s="587"/>
    </row>
    <row r="83" spans="1:26" ht="15" customHeight="1" x14ac:dyDescent="0.25">
      <c r="A83" s="463"/>
      <c r="B83" s="590"/>
      <c r="C83" s="591"/>
      <c r="D83" s="592"/>
      <c r="E83" s="593" t="s">
        <v>13636</v>
      </c>
      <c r="F83" s="593" t="s">
        <v>13637</v>
      </c>
      <c r="G83" s="593" t="s">
        <v>13638</v>
      </c>
      <c r="H83" s="593" t="s">
        <v>13639</v>
      </c>
      <c r="I83" s="917" t="s">
        <v>13640</v>
      </c>
      <c r="J83" s="586"/>
      <c r="K83" s="587"/>
      <c r="L83" s="587"/>
      <c r="M83" s="587"/>
      <c r="N83" s="587"/>
      <c r="O83" s="587"/>
      <c r="P83" s="587"/>
      <c r="Q83" s="587"/>
      <c r="R83" s="587"/>
      <c r="S83" s="587"/>
      <c r="T83" s="587"/>
      <c r="U83" s="587"/>
      <c r="V83" s="587"/>
      <c r="W83" s="587"/>
      <c r="X83" s="587"/>
    </row>
    <row r="84" spans="1:26" x14ac:dyDescent="0.25">
      <c r="A84" s="463"/>
      <c r="B84" s="590"/>
      <c r="C84" s="596" t="s">
        <v>13641</v>
      </c>
      <c r="D84" s="597"/>
      <c r="E84" s="598">
        <v>45999</v>
      </c>
      <c r="F84" s="598">
        <v>45968</v>
      </c>
      <c r="G84" s="598">
        <v>45996</v>
      </c>
      <c r="H84" s="599">
        <v>46000</v>
      </c>
      <c r="I84" s="917"/>
      <c r="J84" s="586"/>
      <c r="K84" s="587"/>
      <c r="L84" s="587"/>
      <c r="M84" s="587"/>
      <c r="N84" s="587"/>
      <c r="O84" s="587"/>
      <c r="P84" s="587"/>
      <c r="Q84" s="587"/>
      <c r="R84" s="587"/>
      <c r="S84" s="587"/>
      <c r="T84" s="587"/>
      <c r="U84" s="587"/>
      <c r="V84" s="587"/>
      <c r="W84" s="587"/>
      <c r="X84" s="587"/>
    </row>
    <row r="85" spans="1:26" x14ac:dyDescent="0.25">
      <c r="A85" s="463"/>
      <c r="B85" s="590"/>
      <c r="C85" s="596" t="s">
        <v>13642</v>
      </c>
      <c r="D85" s="597"/>
      <c r="E85" s="600" t="s">
        <v>13693</v>
      </c>
      <c r="F85" s="600" t="s">
        <v>13685</v>
      </c>
      <c r="G85" s="600" t="s">
        <v>13686</v>
      </c>
      <c r="H85" s="601" t="s">
        <v>13664</v>
      </c>
      <c r="I85" s="917"/>
      <c r="J85" s="586"/>
      <c r="K85" s="587"/>
      <c r="L85" s="587"/>
      <c r="M85" s="587"/>
      <c r="N85" s="587"/>
      <c r="O85" s="587"/>
      <c r="P85" s="587"/>
      <c r="Q85" s="587"/>
      <c r="R85" s="587"/>
      <c r="S85" s="587"/>
      <c r="T85" s="587"/>
      <c r="U85" s="587"/>
      <c r="V85" s="587"/>
      <c r="W85" s="587"/>
      <c r="X85" s="587"/>
    </row>
    <row r="86" spans="1:26" x14ac:dyDescent="0.25">
      <c r="A86" s="463"/>
      <c r="B86" s="590"/>
      <c r="C86" s="596" t="s">
        <v>13647</v>
      </c>
      <c r="D86" s="597"/>
      <c r="E86" s="600" t="s">
        <v>13694</v>
      </c>
      <c r="F86" s="600" t="s">
        <v>13688</v>
      </c>
      <c r="G86" s="600" t="s">
        <v>13689</v>
      </c>
      <c r="H86" s="601"/>
      <c r="I86" s="917"/>
      <c r="J86" s="586"/>
      <c r="K86" s="587"/>
      <c r="L86" s="587"/>
      <c r="M86" s="587"/>
      <c r="N86" s="587"/>
      <c r="O86" s="587"/>
      <c r="P86" s="587"/>
      <c r="Q86" s="587"/>
      <c r="R86" s="587"/>
      <c r="S86" s="587"/>
      <c r="T86" s="587"/>
      <c r="U86" s="587"/>
      <c r="V86" s="587"/>
      <c r="W86" s="587"/>
      <c r="X86" s="587"/>
    </row>
    <row r="87" spans="1:26" ht="22.5" x14ac:dyDescent="0.25">
      <c r="A87" s="463"/>
      <c r="B87" s="590"/>
      <c r="C87" s="596" t="s">
        <v>13650</v>
      </c>
      <c r="D87" s="597"/>
      <c r="E87" s="603" t="s">
        <v>13695</v>
      </c>
      <c r="F87" s="602" t="s">
        <v>13691</v>
      </c>
      <c r="G87" s="602" t="s">
        <v>13692</v>
      </c>
      <c r="H87" s="602"/>
      <c r="I87" s="917"/>
      <c r="J87" s="586"/>
      <c r="K87" s="587"/>
      <c r="L87" s="587"/>
      <c r="M87" s="587"/>
      <c r="N87" s="587"/>
      <c r="O87" s="587"/>
      <c r="P87" s="587"/>
      <c r="Q87" s="587"/>
      <c r="R87" s="587"/>
      <c r="S87" s="587"/>
      <c r="T87" s="587"/>
      <c r="U87" s="587"/>
      <c r="V87" s="587"/>
      <c r="W87" s="587"/>
      <c r="X87" s="587"/>
    </row>
    <row r="88" spans="1:26" x14ac:dyDescent="0.25">
      <c r="A88" s="605"/>
      <c r="B88" s="604" t="s">
        <v>494</v>
      </c>
      <c r="C88" s="604" t="s">
        <v>13655</v>
      </c>
      <c r="D88" s="604" t="s">
        <v>13260</v>
      </c>
      <c r="E88" s="604" t="s">
        <v>13656</v>
      </c>
      <c r="F88" s="604" t="s">
        <v>13656</v>
      </c>
      <c r="G88" s="604" t="s">
        <v>13656</v>
      </c>
      <c r="H88" s="604" t="s">
        <v>13656</v>
      </c>
      <c r="I88" s="604" t="s">
        <v>13656</v>
      </c>
      <c r="J88" s="586"/>
      <c r="K88" s="587"/>
      <c r="L88" s="587"/>
      <c r="M88" s="587"/>
      <c r="N88" s="587"/>
      <c r="O88" s="587"/>
      <c r="P88" s="587"/>
      <c r="Q88" s="587"/>
      <c r="R88" s="587"/>
      <c r="S88" s="587"/>
      <c r="T88" s="587"/>
      <c r="U88" s="587"/>
      <c r="V88" s="587"/>
      <c r="W88" s="587"/>
      <c r="X88" s="587"/>
    </row>
    <row r="89" spans="1:26" ht="409.5" x14ac:dyDescent="0.25">
      <c r="A89" s="620"/>
      <c r="B89" s="621" t="s">
        <v>12888</v>
      </c>
      <c r="C89" s="622" t="s">
        <v>12887</v>
      </c>
      <c r="D89" s="621" t="s">
        <v>580</v>
      </c>
      <c r="E89" s="623">
        <v>71325.56</v>
      </c>
      <c r="F89" s="623"/>
      <c r="G89" s="623">
        <v>49212.37</v>
      </c>
      <c r="H89" s="623">
        <v>47976.89</v>
      </c>
      <c r="I89" s="624">
        <f>MEDIAN(E89:H89)</f>
        <v>49212.37</v>
      </c>
      <c r="J89" s="541"/>
      <c r="K89" s="626">
        <f>L89/M89-1</f>
        <v>0.48666493388796139</v>
      </c>
      <c r="L89" s="627">
        <f>MAX(E89:H89)</f>
        <v>71325.56</v>
      </c>
      <c r="M89" s="627">
        <f>MIN(E89:H89)</f>
        <v>47976.89</v>
      </c>
      <c r="N89" s="540"/>
      <c r="O89" s="540"/>
      <c r="P89" s="540"/>
      <c r="Q89" s="540"/>
      <c r="R89" s="540"/>
      <c r="S89" s="540"/>
      <c r="T89" s="540"/>
      <c r="U89" s="540"/>
      <c r="V89" s="540"/>
      <c r="W89" s="540"/>
      <c r="X89" s="540"/>
      <c r="Y89" s="540"/>
      <c r="Z89" s="540"/>
    </row>
    <row r="90" spans="1:26" ht="409.5" x14ac:dyDescent="0.25">
      <c r="A90" s="620"/>
      <c r="B90" s="628" t="s">
        <v>13657</v>
      </c>
      <c r="C90" s="629" t="s">
        <v>12887</v>
      </c>
      <c r="D90" s="630" t="s">
        <v>580</v>
      </c>
      <c r="E90" s="631">
        <v>71325.56</v>
      </c>
      <c r="F90" s="631">
        <v>17664.18</v>
      </c>
      <c r="G90" s="631">
        <v>49212.37</v>
      </c>
      <c r="H90" s="631">
        <v>47976.89</v>
      </c>
      <c r="I90" s="632"/>
      <c r="J90" s="633"/>
      <c r="K90" s="634"/>
      <c r="L90" s="635"/>
      <c r="M90" s="635"/>
      <c r="N90" s="636"/>
      <c r="O90" s="540"/>
      <c r="P90" s="540"/>
      <c r="Q90" s="540"/>
      <c r="R90" s="540"/>
      <c r="S90" s="540"/>
      <c r="T90" s="540"/>
      <c r="U90" s="540"/>
      <c r="V90" s="540"/>
      <c r="W90" s="540"/>
      <c r="X90" s="540"/>
      <c r="Y90" s="540"/>
      <c r="Z90" s="540"/>
    </row>
    <row r="91" spans="1:26" x14ac:dyDescent="0.25">
      <c r="A91" s="463"/>
      <c r="B91" s="592"/>
      <c r="C91" s="591"/>
      <c r="D91" s="592"/>
      <c r="E91" s="638"/>
      <c r="F91" s="638"/>
      <c r="G91" s="638"/>
      <c r="H91" s="638"/>
      <c r="I91" s="638"/>
      <c r="J91" s="586"/>
      <c r="K91" s="587"/>
      <c r="L91" s="587"/>
      <c r="M91" s="587"/>
      <c r="N91" s="587"/>
      <c r="O91" s="587"/>
      <c r="P91" s="587"/>
      <c r="Q91" s="587"/>
      <c r="R91" s="587"/>
      <c r="S91" s="587"/>
      <c r="T91" s="587"/>
      <c r="U91" s="587"/>
      <c r="V91" s="587"/>
      <c r="W91" s="587"/>
      <c r="X91" s="587"/>
    </row>
    <row r="92" spans="1:26" ht="15" customHeight="1" x14ac:dyDescent="0.25">
      <c r="A92" s="463"/>
      <c r="B92" s="590"/>
      <c r="C92" s="591"/>
      <c r="D92" s="592"/>
      <c r="E92" s="593" t="s">
        <v>13636</v>
      </c>
      <c r="F92" s="593" t="s">
        <v>13637</v>
      </c>
      <c r="G92" s="593" t="s">
        <v>13638</v>
      </c>
      <c r="H92" s="593" t="s">
        <v>13639</v>
      </c>
      <c r="I92" s="917" t="s">
        <v>13640</v>
      </c>
      <c r="J92" s="586"/>
      <c r="K92" s="587"/>
      <c r="L92" s="587"/>
      <c r="M92" s="587"/>
      <c r="N92" s="587"/>
      <c r="O92" s="587"/>
      <c r="P92" s="587"/>
      <c r="Q92" s="587"/>
      <c r="R92" s="587"/>
      <c r="S92" s="587"/>
      <c r="T92" s="587"/>
      <c r="U92" s="587"/>
      <c r="V92" s="587"/>
      <c r="W92" s="587"/>
      <c r="X92" s="587"/>
    </row>
    <row r="93" spans="1:26" x14ac:dyDescent="0.25">
      <c r="A93" s="463"/>
      <c r="B93" s="590"/>
      <c r="C93" s="596" t="s">
        <v>13641</v>
      </c>
      <c r="D93" s="597"/>
      <c r="E93" s="598">
        <v>45968</v>
      </c>
      <c r="F93" s="598">
        <v>45968</v>
      </c>
      <c r="G93" s="598">
        <v>45996</v>
      </c>
      <c r="H93" s="599">
        <v>45999</v>
      </c>
      <c r="I93" s="917"/>
      <c r="J93" s="586"/>
      <c r="K93" s="587"/>
      <c r="L93" s="587"/>
      <c r="M93" s="587"/>
      <c r="N93" s="587"/>
      <c r="O93" s="587"/>
      <c r="P93" s="587"/>
      <c r="Q93" s="587"/>
      <c r="R93" s="587"/>
      <c r="S93" s="587"/>
      <c r="T93" s="587"/>
      <c r="U93" s="587"/>
      <c r="V93" s="587"/>
      <c r="W93" s="587"/>
      <c r="X93" s="587"/>
    </row>
    <row r="94" spans="1:26" x14ac:dyDescent="0.25">
      <c r="A94" s="463"/>
      <c r="B94" s="590"/>
      <c r="C94" s="596" t="s">
        <v>13642</v>
      </c>
      <c r="D94" s="597"/>
      <c r="E94" s="600" t="s">
        <v>13684</v>
      </c>
      <c r="F94" s="600" t="s">
        <v>13685</v>
      </c>
      <c r="G94" s="600" t="s">
        <v>13686</v>
      </c>
      <c r="H94" s="601" t="s">
        <v>13696</v>
      </c>
      <c r="I94" s="917"/>
      <c r="J94" s="586"/>
      <c r="K94" s="587"/>
      <c r="L94" s="587"/>
      <c r="M94" s="587"/>
      <c r="N94" s="587"/>
      <c r="O94" s="587"/>
      <c r="P94" s="587"/>
      <c r="Q94" s="587"/>
      <c r="R94" s="587"/>
      <c r="S94" s="587"/>
      <c r="T94" s="587"/>
      <c r="U94" s="587"/>
      <c r="V94" s="587"/>
      <c r="W94" s="587"/>
      <c r="X94" s="587"/>
    </row>
    <row r="95" spans="1:26" x14ac:dyDescent="0.25">
      <c r="A95" s="463"/>
      <c r="B95" s="590"/>
      <c r="C95" s="596" t="s">
        <v>13647</v>
      </c>
      <c r="D95" s="597"/>
      <c r="E95" s="600" t="s">
        <v>13687</v>
      </c>
      <c r="F95" s="600" t="s">
        <v>13688</v>
      </c>
      <c r="G95" s="600" t="s">
        <v>13689</v>
      </c>
      <c r="H95" s="601"/>
      <c r="I95" s="917"/>
      <c r="J95" s="586"/>
      <c r="K95" s="587"/>
      <c r="L95" s="587"/>
      <c r="M95" s="587"/>
      <c r="N95" s="587"/>
      <c r="O95" s="587"/>
      <c r="P95" s="587"/>
      <c r="Q95" s="587"/>
      <c r="R95" s="587"/>
      <c r="S95" s="587"/>
      <c r="T95" s="587"/>
      <c r="U95" s="587"/>
      <c r="V95" s="587"/>
      <c r="W95" s="587"/>
      <c r="X95" s="587"/>
    </row>
    <row r="96" spans="1:26" ht="22.5" x14ac:dyDescent="0.25">
      <c r="A96" s="605"/>
      <c r="B96" s="590"/>
      <c r="C96" s="596" t="s">
        <v>13650</v>
      </c>
      <c r="D96" s="597"/>
      <c r="E96" s="602" t="s">
        <v>13690</v>
      </c>
      <c r="F96" s="602" t="s">
        <v>13691</v>
      </c>
      <c r="G96" s="602" t="s">
        <v>13692</v>
      </c>
      <c r="H96" s="602"/>
      <c r="I96" s="917"/>
      <c r="J96" s="586"/>
      <c r="K96" s="587"/>
      <c r="L96" s="587"/>
      <c r="M96" s="587"/>
      <c r="N96" s="587"/>
      <c r="O96" s="587"/>
      <c r="P96" s="587"/>
      <c r="Q96" s="587"/>
      <c r="R96" s="587"/>
      <c r="S96" s="587"/>
      <c r="T96" s="587"/>
      <c r="U96" s="587"/>
      <c r="V96" s="587"/>
      <c r="W96" s="587"/>
      <c r="X96" s="587"/>
    </row>
    <row r="97" spans="1:26" x14ac:dyDescent="0.25">
      <c r="A97" s="463"/>
      <c r="B97" s="604" t="s">
        <v>494</v>
      </c>
      <c r="C97" s="604" t="s">
        <v>13655</v>
      </c>
      <c r="D97" s="604" t="s">
        <v>13260</v>
      </c>
      <c r="E97" s="604" t="s">
        <v>13656</v>
      </c>
      <c r="F97" s="604" t="s">
        <v>13656</v>
      </c>
      <c r="G97" s="604" t="s">
        <v>13656</v>
      </c>
      <c r="H97" s="604" t="s">
        <v>13656</v>
      </c>
      <c r="I97" s="604" t="s">
        <v>13656</v>
      </c>
      <c r="J97" s="586"/>
      <c r="K97" s="587"/>
      <c r="L97" s="587"/>
      <c r="M97" s="587"/>
      <c r="N97" s="587"/>
      <c r="O97" s="587"/>
      <c r="P97" s="587"/>
      <c r="Q97" s="587"/>
      <c r="R97" s="587"/>
      <c r="S97" s="587"/>
      <c r="T97" s="587"/>
      <c r="U97" s="587"/>
      <c r="V97" s="587"/>
      <c r="W97" s="587"/>
      <c r="X97" s="587"/>
    </row>
    <row r="98" spans="1:26" ht="409.5" x14ac:dyDescent="0.25">
      <c r="A98" s="620"/>
      <c r="B98" s="621" t="s">
        <v>13340</v>
      </c>
      <c r="C98" s="622" t="s">
        <v>13339</v>
      </c>
      <c r="D98" s="621" t="s">
        <v>580</v>
      </c>
      <c r="E98" s="623">
        <v>52020</v>
      </c>
      <c r="F98" s="623"/>
      <c r="G98" s="623">
        <v>34269.21</v>
      </c>
      <c r="H98" s="623">
        <f t="shared" ref="H98:H105" si="0">21560+8970</f>
        <v>30530</v>
      </c>
      <c r="I98" s="624">
        <f>MEDIAN(E98:H98)</f>
        <v>34269.21</v>
      </c>
      <c r="J98" s="541"/>
      <c r="K98" s="626">
        <f>L98/M98-1</f>
        <v>0.70389780543727487</v>
      </c>
      <c r="L98" s="627">
        <f>MAX(E98:H98)</f>
        <v>52020</v>
      </c>
      <c r="M98" s="627">
        <f>MIN(E98:H98)</f>
        <v>30530</v>
      </c>
      <c r="N98" s="540"/>
      <c r="O98" s="540"/>
      <c r="P98" s="540"/>
      <c r="Q98" s="540"/>
      <c r="R98" s="540"/>
      <c r="S98" s="540"/>
      <c r="T98" s="540"/>
      <c r="U98" s="540"/>
      <c r="V98" s="540"/>
      <c r="W98" s="540"/>
      <c r="X98" s="540"/>
      <c r="Y98" s="540"/>
      <c r="Z98" s="540"/>
    </row>
    <row r="99" spans="1:26" ht="409.5" x14ac:dyDescent="0.25">
      <c r="A99" s="620"/>
      <c r="B99" s="628" t="s">
        <v>13657</v>
      </c>
      <c r="C99" s="629" t="s">
        <v>13339</v>
      </c>
      <c r="D99" s="630" t="s">
        <v>580</v>
      </c>
      <c r="E99" s="631">
        <v>52020</v>
      </c>
      <c r="F99" s="631">
        <v>16091.36</v>
      </c>
      <c r="G99" s="631">
        <v>34269.21</v>
      </c>
      <c r="H99" s="631">
        <f t="shared" si="0"/>
        <v>30530</v>
      </c>
      <c r="I99" s="632"/>
      <c r="J99" s="633"/>
      <c r="K99" s="634"/>
      <c r="L99" s="635"/>
      <c r="M99" s="635"/>
      <c r="N99" s="636"/>
      <c r="O99" s="540"/>
      <c r="P99" s="540"/>
      <c r="Q99" s="540"/>
      <c r="R99" s="540"/>
      <c r="S99" s="540"/>
      <c r="T99" s="540"/>
      <c r="U99" s="540"/>
      <c r="V99" s="540"/>
      <c r="W99" s="540"/>
      <c r="X99" s="540"/>
      <c r="Y99" s="540"/>
      <c r="Z99" s="540"/>
    </row>
    <row r="100" spans="1:26" ht="409.5" x14ac:dyDescent="0.25">
      <c r="A100" s="620"/>
      <c r="B100" s="621" t="s">
        <v>13344</v>
      </c>
      <c r="C100" s="622" t="s">
        <v>13343</v>
      </c>
      <c r="D100" s="621" t="s">
        <v>580</v>
      </c>
      <c r="E100" s="623">
        <v>52020</v>
      </c>
      <c r="F100" s="623"/>
      <c r="G100" s="623">
        <v>34269.21</v>
      </c>
      <c r="H100" s="623">
        <f t="shared" si="0"/>
        <v>30530</v>
      </c>
      <c r="I100" s="624">
        <f>MEDIAN(E100:H100)</f>
        <v>34269.21</v>
      </c>
      <c r="J100" s="541"/>
      <c r="K100" s="626">
        <f>L100/M100-1</f>
        <v>0.70389780543727487</v>
      </c>
      <c r="L100" s="627">
        <f>MAX(E100:H100)</f>
        <v>52020</v>
      </c>
      <c r="M100" s="627">
        <f>MIN(E100:H100)</f>
        <v>30530</v>
      </c>
      <c r="N100" s="540"/>
      <c r="O100" s="540"/>
      <c r="P100" s="540"/>
      <c r="Q100" s="540"/>
      <c r="R100" s="540"/>
      <c r="S100" s="540"/>
      <c r="T100" s="540"/>
      <c r="U100" s="540"/>
      <c r="V100" s="540"/>
      <c r="W100" s="540"/>
      <c r="X100" s="540"/>
      <c r="Y100" s="540"/>
      <c r="Z100" s="540"/>
    </row>
    <row r="101" spans="1:26" ht="409.5" x14ac:dyDescent="0.25">
      <c r="A101" s="620"/>
      <c r="B101" s="628" t="s">
        <v>13657</v>
      </c>
      <c r="C101" s="629" t="s">
        <v>13343</v>
      </c>
      <c r="D101" s="630" t="s">
        <v>580</v>
      </c>
      <c r="E101" s="631">
        <v>52020</v>
      </c>
      <c r="F101" s="631">
        <v>16091.36</v>
      </c>
      <c r="G101" s="631">
        <v>34269.21</v>
      </c>
      <c r="H101" s="631">
        <f t="shared" si="0"/>
        <v>30530</v>
      </c>
      <c r="I101" s="632"/>
      <c r="J101" s="633"/>
      <c r="K101" s="634"/>
      <c r="L101" s="635"/>
      <c r="M101" s="635"/>
      <c r="N101" s="636"/>
      <c r="O101" s="540"/>
      <c r="P101" s="540"/>
      <c r="Q101" s="540"/>
      <c r="R101" s="540"/>
      <c r="S101" s="540"/>
      <c r="T101" s="540"/>
      <c r="U101" s="540"/>
      <c r="V101" s="540"/>
      <c r="W101" s="540"/>
      <c r="X101" s="540"/>
      <c r="Y101" s="540"/>
      <c r="Z101" s="540"/>
    </row>
    <row r="102" spans="1:26" ht="409.5" x14ac:dyDescent="0.25">
      <c r="A102" s="620"/>
      <c r="B102" s="621" t="s">
        <v>13338</v>
      </c>
      <c r="C102" s="622" t="s">
        <v>13337</v>
      </c>
      <c r="D102" s="621" t="s">
        <v>580</v>
      </c>
      <c r="E102" s="623">
        <v>52020</v>
      </c>
      <c r="F102" s="623"/>
      <c r="G102" s="623">
        <v>34269.21</v>
      </c>
      <c r="H102" s="623">
        <f t="shared" si="0"/>
        <v>30530</v>
      </c>
      <c r="I102" s="624">
        <f>MEDIAN(E102:H102)</f>
        <v>34269.21</v>
      </c>
      <c r="J102" s="541"/>
      <c r="K102" s="626">
        <f>L102/M102-1</f>
        <v>0.70389780543727487</v>
      </c>
      <c r="L102" s="627">
        <f>MAX(E102:H102)</f>
        <v>52020</v>
      </c>
      <c r="M102" s="627">
        <f>MIN(E102:H102)</f>
        <v>30530</v>
      </c>
      <c r="N102" s="540"/>
      <c r="O102" s="540"/>
      <c r="P102" s="540"/>
      <c r="Q102" s="540"/>
      <c r="R102" s="540"/>
      <c r="S102" s="540"/>
      <c r="T102" s="540"/>
      <c r="U102" s="540"/>
      <c r="V102" s="540"/>
      <c r="W102" s="540"/>
      <c r="X102" s="540"/>
      <c r="Y102" s="540"/>
      <c r="Z102" s="540"/>
    </row>
    <row r="103" spans="1:26" ht="409.5" x14ac:dyDescent="0.25">
      <c r="A103" s="620"/>
      <c r="B103" s="628" t="s">
        <v>13657</v>
      </c>
      <c r="C103" s="629" t="s">
        <v>13337</v>
      </c>
      <c r="D103" s="630" t="s">
        <v>580</v>
      </c>
      <c r="E103" s="631">
        <v>52020</v>
      </c>
      <c r="F103" s="631">
        <v>16091.36</v>
      </c>
      <c r="G103" s="631">
        <v>34269.21</v>
      </c>
      <c r="H103" s="631">
        <f t="shared" si="0"/>
        <v>30530</v>
      </c>
      <c r="I103" s="632"/>
      <c r="J103" s="633"/>
      <c r="K103" s="634"/>
      <c r="L103" s="635"/>
      <c r="M103" s="635"/>
      <c r="N103" s="636"/>
      <c r="O103" s="540"/>
      <c r="P103" s="540"/>
      <c r="Q103" s="540"/>
      <c r="R103" s="540"/>
      <c r="S103" s="540"/>
      <c r="T103" s="540"/>
      <c r="U103" s="540"/>
      <c r="V103" s="540"/>
      <c r="W103" s="540"/>
      <c r="X103" s="540"/>
      <c r="Y103" s="540"/>
      <c r="Z103" s="540"/>
    </row>
    <row r="104" spans="1:26" ht="409.5" x14ac:dyDescent="0.25">
      <c r="A104" s="620"/>
      <c r="B104" s="621" t="s">
        <v>13342</v>
      </c>
      <c r="C104" s="622" t="s">
        <v>13341</v>
      </c>
      <c r="D104" s="621" t="s">
        <v>580</v>
      </c>
      <c r="E104" s="623">
        <v>52020</v>
      </c>
      <c r="F104" s="623"/>
      <c r="G104" s="623">
        <v>34269.21</v>
      </c>
      <c r="H104" s="623">
        <f t="shared" si="0"/>
        <v>30530</v>
      </c>
      <c r="I104" s="624">
        <f>MEDIAN(E104:H104)</f>
        <v>34269.21</v>
      </c>
      <c r="J104" s="541"/>
      <c r="K104" s="626">
        <f>L104/M104-1</f>
        <v>0.70389780543727487</v>
      </c>
      <c r="L104" s="627">
        <f>MAX(E104:H104)</f>
        <v>52020</v>
      </c>
      <c r="M104" s="627">
        <f>MIN(E104:H104)</f>
        <v>30530</v>
      </c>
      <c r="N104" s="540"/>
      <c r="O104" s="540"/>
      <c r="P104" s="540"/>
      <c r="Q104" s="540"/>
      <c r="R104" s="540"/>
      <c r="S104" s="540"/>
      <c r="T104" s="540"/>
      <c r="U104" s="540"/>
      <c r="V104" s="540"/>
      <c r="W104" s="540"/>
      <c r="X104" s="540"/>
      <c r="Y104" s="540"/>
      <c r="Z104" s="540"/>
    </row>
    <row r="105" spans="1:26" ht="409.5" x14ac:dyDescent="0.25">
      <c r="A105" s="620"/>
      <c r="B105" s="628" t="s">
        <v>13657</v>
      </c>
      <c r="C105" s="629" t="s">
        <v>13341</v>
      </c>
      <c r="D105" s="630" t="s">
        <v>580</v>
      </c>
      <c r="E105" s="631">
        <v>52020</v>
      </c>
      <c r="F105" s="631">
        <v>16091.36</v>
      </c>
      <c r="G105" s="631">
        <v>34269.21</v>
      </c>
      <c r="H105" s="631">
        <f t="shared" si="0"/>
        <v>30530</v>
      </c>
      <c r="I105" s="632"/>
      <c r="J105" s="633"/>
      <c r="K105" s="634"/>
      <c r="L105" s="635"/>
      <c r="M105" s="635"/>
      <c r="N105" s="636"/>
      <c r="O105" s="540"/>
      <c r="P105" s="540"/>
      <c r="Q105" s="540"/>
      <c r="R105" s="540"/>
      <c r="S105" s="540"/>
      <c r="T105" s="540"/>
      <c r="U105" s="540"/>
      <c r="V105" s="540"/>
      <c r="W105" s="540"/>
      <c r="X105" s="540"/>
      <c r="Y105" s="540"/>
      <c r="Z105" s="540"/>
    </row>
    <row r="106" spans="1:26" ht="409.5" x14ac:dyDescent="0.25">
      <c r="A106" s="620"/>
      <c r="B106" s="621" t="s">
        <v>13346</v>
      </c>
      <c r="C106" s="622" t="s">
        <v>13345</v>
      </c>
      <c r="D106" s="621" t="s">
        <v>580</v>
      </c>
      <c r="E106" s="623">
        <v>51820</v>
      </c>
      <c r="F106" s="623"/>
      <c r="G106" s="623">
        <v>45197.85</v>
      </c>
      <c r="H106" s="623">
        <f>23110+8970</f>
        <v>32080</v>
      </c>
      <c r="I106" s="624">
        <f>MEDIAN(E106:H106)</f>
        <v>45197.85</v>
      </c>
      <c r="J106" s="625"/>
      <c r="K106" s="626">
        <f>L106/M106-1</f>
        <v>0.61533665835411466</v>
      </c>
      <c r="L106" s="627">
        <f>MAX(E106:H106)</f>
        <v>51820</v>
      </c>
      <c r="M106" s="627">
        <f>MIN(E106:H106)</f>
        <v>32080</v>
      </c>
      <c r="N106" s="540"/>
      <c r="O106" s="540"/>
      <c r="P106" s="540"/>
      <c r="Q106" s="540"/>
      <c r="R106" s="540"/>
      <c r="S106" s="540"/>
      <c r="T106" s="540"/>
      <c r="U106" s="540"/>
      <c r="V106" s="540"/>
      <c r="W106" s="540"/>
      <c r="X106" s="540"/>
      <c r="Y106" s="540"/>
      <c r="Z106" s="540"/>
    </row>
    <row r="107" spans="1:26" ht="409.5" x14ac:dyDescent="0.25">
      <c r="A107" s="620"/>
      <c r="B107" s="628" t="s">
        <v>13657</v>
      </c>
      <c r="C107" s="629" t="s">
        <v>13345</v>
      </c>
      <c r="D107" s="630" t="s">
        <v>580</v>
      </c>
      <c r="E107" s="631">
        <v>51820</v>
      </c>
      <c r="F107" s="631">
        <v>15463.84</v>
      </c>
      <c r="G107" s="631">
        <v>45197.85</v>
      </c>
      <c r="H107" s="631">
        <f>23110+8970</f>
        <v>32080</v>
      </c>
      <c r="I107" s="632"/>
      <c r="J107" s="633"/>
      <c r="K107" s="634"/>
      <c r="L107" s="635"/>
      <c r="M107" s="635"/>
      <c r="N107" s="636"/>
      <c r="O107" s="540"/>
      <c r="P107" s="540"/>
      <c r="Q107" s="540"/>
      <c r="R107" s="540"/>
      <c r="S107" s="540"/>
      <c r="T107" s="540"/>
      <c r="U107" s="540"/>
      <c r="V107" s="540"/>
      <c r="W107" s="540"/>
      <c r="X107" s="540"/>
      <c r="Y107" s="540"/>
      <c r="Z107" s="540"/>
    </row>
    <row r="108" spans="1:26" x14ac:dyDescent="0.25">
      <c r="A108" s="463"/>
      <c r="B108" s="592"/>
      <c r="C108" s="591"/>
      <c r="D108" s="592"/>
      <c r="E108" s="638"/>
      <c r="F108" s="638"/>
      <c r="G108" s="638"/>
      <c r="H108" s="638"/>
      <c r="I108" s="638"/>
      <c r="J108" s="586"/>
      <c r="K108" s="587"/>
      <c r="L108" s="587"/>
      <c r="M108" s="587"/>
      <c r="N108" s="587"/>
      <c r="O108" s="587"/>
      <c r="P108" s="587"/>
      <c r="Q108" s="587"/>
      <c r="R108" s="587"/>
      <c r="S108" s="587"/>
      <c r="T108" s="587"/>
      <c r="U108" s="587"/>
      <c r="V108" s="587"/>
      <c r="W108" s="587"/>
      <c r="X108" s="587"/>
    </row>
    <row r="109" spans="1:26" ht="15" customHeight="1" x14ac:dyDescent="0.25">
      <c r="A109" s="463"/>
      <c r="B109" s="590"/>
      <c r="C109" s="591"/>
      <c r="D109" s="592"/>
      <c r="E109" s="593" t="s">
        <v>13636</v>
      </c>
      <c r="F109" s="593" t="s">
        <v>13637</v>
      </c>
      <c r="G109" s="593" t="s">
        <v>13638</v>
      </c>
      <c r="H109" s="593" t="s">
        <v>13639</v>
      </c>
      <c r="I109" s="917" t="s">
        <v>13640</v>
      </c>
      <c r="J109" s="586"/>
      <c r="K109" s="587"/>
      <c r="L109" s="587"/>
      <c r="M109" s="587"/>
      <c r="N109" s="587"/>
      <c r="O109" s="587"/>
      <c r="P109" s="587"/>
      <c r="Q109" s="587"/>
      <c r="R109" s="587"/>
      <c r="S109" s="587"/>
      <c r="T109" s="587"/>
      <c r="U109" s="587"/>
      <c r="V109" s="587"/>
      <c r="W109" s="587"/>
      <c r="X109" s="587"/>
    </row>
    <row r="110" spans="1:26" x14ac:dyDescent="0.25">
      <c r="A110" s="463"/>
      <c r="B110" s="590"/>
      <c r="C110" s="596" t="s">
        <v>13641</v>
      </c>
      <c r="D110" s="597"/>
      <c r="E110" s="598">
        <v>45968</v>
      </c>
      <c r="F110" s="598">
        <v>45968</v>
      </c>
      <c r="G110" s="598">
        <v>45971</v>
      </c>
      <c r="H110" s="599"/>
      <c r="I110" s="917"/>
      <c r="J110" s="586"/>
      <c r="K110" s="587"/>
      <c r="L110" s="587"/>
      <c r="M110" s="587"/>
      <c r="N110" s="587"/>
      <c r="O110" s="587"/>
      <c r="P110" s="587"/>
      <c r="Q110" s="587"/>
      <c r="R110" s="587"/>
      <c r="S110" s="587"/>
      <c r="T110" s="587"/>
      <c r="U110" s="587"/>
      <c r="V110" s="587"/>
      <c r="W110" s="587"/>
      <c r="X110" s="587"/>
    </row>
    <row r="111" spans="1:26" x14ac:dyDescent="0.25">
      <c r="A111" s="463"/>
      <c r="B111" s="590"/>
      <c r="C111" s="596" t="s">
        <v>13642</v>
      </c>
      <c r="D111" s="597"/>
      <c r="E111" s="600" t="s">
        <v>13685</v>
      </c>
      <c r="F111" s="600" t="s">
        <v>13697</v>
      </c>
      <c r="G111" s="600" t="s">
        <v>13698</v>
      </c>
      <c r="H111" s="601"/>
      <c r="I111" s="917"/>
      <c r="J111" s="586"/>
      <c r="K111" s="587"/>
      <c r="L111" s="587"/>
      <c r="M111" s="587"/>
      <c r="N111" s="587"/>
      <c r="O111" s="587"/>
      <c r="P111" s="587"/>
      <c r="Q111" s="587"/>
      <c r="R111" s="587"/>
      <c r="S111" s="587"/>
      <c r="T111" s="587"/>
      <c r="U111" s="587"/>
      <c r="V111" s="587"/>
      <c r="W111" s="587"/>
      <c r="X111" s="587"/>
    </row>
    <row r="112" spans="1:26" x14ac:dyDescent="0.25">
      <c r="A112" s="463"/>
      <c r="B112" s="590"/>
      <c r="C112" s="596" t="s">
        <v>13647</v>
      </c>
      <c r="D112" s="597"/>
      <c r="E112" s="600" t="s">
        <v>13688</v>
      </c>
      <c r="F112" s="600" t="s">
        <v>13661</v>
      </c>
      <c r="G112" s="600" t="s">
        <v>13699</v>
      </c>
      <c r="H112" s="601"/>
      <c r="I112" s="917"/>
      <c r="J112" s="586"/>
      <c r="K112" s="587"/>
      <c r="L112" s="587"/>
      <c r="M112" s="587"/>
      <c r="N112" s="587"/>
      <c r="O112" s="587"/>
      <c r="P112" s="587"/>
      <c r="Q112" s="587"/>
      <c r="R112" s="587"/>
      <c r="S112" s="587"/>
      <c r="T112" s="587"/>
      <c r="U112" s="587"/>
      <c r="V112" s="587"/>
      <c r="W112" s="587"/>
      <c r="X112" s="587"/>
    </row>
    <row r="113" spans="1:24" x14ac:dyDescent="0.25">
      <c r="A113" s="605"/>
      <c r="B113" s="590"/>
      <c r="C113" s="596" t="s">
        <v>13650</v>
      </c>
      <c r="D113" s="597"/>
      <c r="E113" s="602" t="s">
        <v>13691</v>
      </c>
      <c r="F113" s="603" t="s">
        <v>13700</v>
      </c>
      <c r="G113" s="602" t="s">
        <v>13701</v>
      </c>
      <c r="H113" s="602"/>
      <c r="I113" s="917"/>
      <c r="J113" s="586"/>
      <c r="K113" s="587"/>
      <c r="L113" s="587"/>
      <c r="M113" s="587"/>
      <c r="N113" s="587"/>
      <c r="O113" s="587"/>
      <c r="P113" s="587"/>
      <c r="Q113" s="587"/>
      <c r="R113" s="587"/>
      <c r="S113" s="587"/>
      <c r="T113" s="587"/>
      <c r="U113" s="587"/>
      <c r="V113" s="587"/>
      <c r="W113" s="587"/>
      <c r="X113" s="587"/>
    </row>
    <row r="114" spans="1:24" x14ac:dyDescent="0.25">
      <c r="A114" s="463"/>
      <c r="B114" s="604" t="s">
        <v>494</v>
      </c>
      <c r="C114" s="604" t="s">
        <v>13655</v>
      </c>
      <c r="D114" s="604" t="s">
        <v>13260</v>
      </c>
      <c r="E114" s="604" t="s">
        <v>13656</v>
      </c>
      <c r="F114" s="604" t="s">
        <v>13656</v>
      </c>
      <c r="G114" s="604" t="s">
        <v>13656</v>
      </c>
      <c r="H114" s="604" t="s">
        <v>13656</v>
      </c>
      <c r="I114" s="604" t="s">
        <v>13656</v>
      </c>
      <c r="J114" s="586"/>
      <c r="K114" s="587"/>
      <c r="L114" s="587"/>
      <c r="M114" s="587"/>
      <c r="N114" s="587"/>
      <c r="O114" s="587"/>
      <c r="P114" s="587"/>
      <c r="Q114" s="587"/>
      <c r="R114" s="587"/>
      <c r="S114" s="587"/>
      <c r="T114" s="587"/>
      <c r="U114" s="587"/>
      <c r="V114" s="587"/>
      <c r="W114" s="587"/>
      <c r="X114" s="587"/>
    </row>
    <row r="115" spans="1:24" ht="306" x14ac:dyDescent="0.25">
      <c r="A115" s="605"/>
      <c r="B115" s="600" t="s">
        <v>13334</v>
      </c>
      <c r="C115" s="606" t="s">
        <v>13333</v>
      </c>
      <c r="D115" s="600" t="s">
        <v>580</v>
      </c>
      <c r="E115" s="607">
        <v>3682.68</v>
      </c>
      <c r="F115" s="607">
        <v>4950</v>
      </c>
      <c r="G115" s="607">
        <v>4247</v>
      </c>
      <c r="H115" s="607"/>
      <c r="I115" s="608">
        <f>MEDIAN(E115:H115)</f>
        <v>4247</v>
      </c>
      <c r="J115" s="586"/>
      <c r="K115" s="609">
        <f>L115/M115-1</f>
        <v>0.3441298185017434</v>
      </c>
      <c r="L115" s="610">
        <f>MAX(E115:H115)</f>
        <v>4950</v>
      </c>
      <c r="M115" s="610">
        <f>MIN(E115:H115)</f>
        <v>3682.68</v>
      </c>
      <c r="N115" s="587"/>
      <c r="O115" s="587"/>
      <c r="P115" s="587"/>
      <c r="Q115" s="587"/>
      <c r="R115" s="587"/>
      <c r="S115" s="587"/>
      <c r="T115" s="587"/>
      <c r="U115" s="587"/>
      <c r="V115" s="587"/>
      <c r="W115" s="587"/>
      <c r="X115" s="587"/>
    </row>
    <row r="116" spans="1:24" ht="306" x14ac:dyDescent="0.25">
      <c r="A116" s="605"/>
      <c r="B116" s="600" t="s">
        <v>13332</v>
      </c>
      <c r="C116" s="606" t="s">
        <v>13331</v>
      </c>
      <c r="D116" s="600" t="s">
        <v>580</v>
      </c>
      <c r="E116" s="607">
        <v>4441.42</v>
      </c>
      <c r="F116" s="607">
        <v>5600</v>
      </c>
      <c r="G116" s="607">
        <v>3972</v>
      </c>
      <c r="H116" s="607"/>
      <c r="I116" s="608">
        <f>MEDIAN(E116:H116)</f>
        <v>4441.42</v>
      </c>
      <c r="J116" s="586"/>
      <c r="K116" s="609">
        <f>L116/M116-1</f>
        <v>0.40986908358509577</v>
      </c>
      <c r="L116" s="610">
        <f>MAX(E116:H116)</f>
        <v>5600</v>
      </c>
      <c r="M116" s="610">
        <f>MIN(E116:H116)</f>
        <v>3972</v>
      </c>
      <c r="N116" s="587"/>
      <c r="O116" s="587"/>
      <c r="P116" s="587"/>
      <c r="Q116" s="587"/>
      <c r="R116" s="587"/>
      <c r="S116" s="587"/>
      <c r="T116" s="587"/>
      <c r="U116" s="587"/>
      <c r="V116" s="587"/>
      <c r="W116" s="587"/>
      <c r="X116" s="587"/>
    </row>
    <row r="117" spans="1:24" x14ac:dyDescent="0.25">
      <c r="A117" s="463"/>
      <c r="B117" s="639"/>
      <c r="C117" s="591"/>
      <c r="D117" s="591"/>
      <c r="E117" s="591"/>
      <c r="F117" s="591"/>
      <c r="G117" s="591"/>
      <c r="H117" s="591"/>
      <c r="I117" s="591"/>
      <c r="J117" s="586"/>
      <c r="K117" s="587"/>
      <c r="L117" s="587"/>
      <c r="M117" s="587"/>
      <c r="N117" s="587"/>
      <c r="O117" s="587"/>
      <c r="P117" s="587"/>
      <c r="Q117" s="587"/>
      <c r="R117" s="587"/>
      <c r="S117" s="587"/>
      <c r="T117" s="587"/>
      <c r="U117" s="587"/>
      <c r="V117" s="587"/>
      <c r="W117" s="587"/>
      <c r="X117" s="587"/>
    </row>
    <row r="118" spans="1:24" ht="15" customHeight="1" x14ac:dyDescent="0.25">
      <c r="A118" s="463"/>
      <c r="B118" s="590"/>
      <c r="C118" s="591"/>
      <c r="D118" s="592"/>
      <c r="E118" s="593" t="s">
        <v>13636</v>
      </c>
      <c r="F118" s="593" t="s">
        <v>13637</v>
      </c>
      <c r="G118" s="593" t="s">
        <v>13638</v>
      </c>
      <c r="H118" s="593" t="s">
        <v>13639</v>
      </c>
      <c r="I118" s="917" t="s">
        <v>13640</v>
      </c>
      <c r="J118" s="586"/>
      <c r="K118" s="587"/>
      <c r="L118" s="587"/>
      <c r="M118" s="587"/>
      <c r="N118" s="587"/>
      <c r="O118" s="587"/>
      <c r="P118" s="587"/>
      <c r="Q118" s="587"/>
      <c r="R118" s="587"/>
      <c r="S118" s="587"/>
      <c r="T118" s="587"/>
      <c r="U118" s="587"/>
      <c r="V118" s="587"/>
      <c r="W118" s="587"/>
      <c r="X118" s="587"/>
    </row>
    <row r="119" spans="1:24" x14ac:dyDescent="0.25">
      <c r="A119" s="463"/>
      <c r="B119" s="590"/>
      <c r="C119" s="596" t="s">
        <v>13641</v>
      </c>
      <c r="D119" s="597"/>
      <c r="E119" s="598">
        <v>45999</v>
      </c>
      <c r="F119" s="598">
        <v>45994</v>
      </c>
      <c r="G119" s="598">
        <v>45995</v>
      </c>
      <c r="H119" s="599">
        <v>45961</v>
      </c>
      <c r="I119" s="917"/>
      <c r="J119" s="586"/>
      <c r="K119" s="587"/>
      <c r="L119" s="587"/>
      <c r="M119" s="587"/>
      <c r="N119" s="587"/>
      <c r="O119" s="587"/>
      <c r="P119" s="587"/>
      <c r="Q119" s="587"/>
      <c r="R119" s="587"/>
      <c r="S119" s="587"/>
      <c r="T119" s="587"/>
      <c r="U119" s="587"/>
      <c r="V119" s="587"/>
      <c r="W119" s="587"/>
      <c r="X119" s="587"/>
    </row>
    <row r="120" spans="1:24" x14ac:dyDescent="0.25">
      <c r="A120" s="463"/>
      <c r="B120" s="590"/>
      <c r="C120" s="596" t="s">
        <v>13642</v>
      </c>
      <c r="D120" s="597"/>
      <c r="E120" s="600" t="s">
        <v>13702</v>
      </c>
      <c r="F120" s="600" t="s">
        <v>13703</v>
      </c>
      <c r="G120" s="600" t="s">
        <v>13704</v>
      </c>
      <c r="H120" s="601" t="s">
        <v>13705</v>
      </c>
      <c r="I120" s="917"/>
      <c r="J120" s="586"/>
      <c r="K120" s="587"/>
      <c r="L120" s="587"/>
      <c r="M120" s="587"/>
      <c r="N120" s="587"/>
      <c r="O120" s="587"/>
      <c r="P120" s="587"/>
      <c r="Q120" s="587"/>
      <c r="R120" s="587"/>
      <c r="S120" s="587"/>
      <c r="T120" s="587"/>
      <c r="U120" s="587"/>
      <c r="V120" s="587"/>
      <c r="W120" s="587"/>
      <c r="X120" s="587"/>
    </row>
    <row r="121" spans="1:24" x14ac:dyDescent="0.25">
      <c r="A121" s="463"/>
      <c r="B121" s="590"/>
      <c r="C121" s="596" t="s">
        <v>13647</v>
      </c>
      <c r="D121" s="597"/>
      <c r="E121" s="600" t="s">
        <v>13689</v>
      </c>
      <c r="F121" s="600" t="s">
        <v>13706</v>
      </c>
      <c r="G121" s="600" t="s">
        <v>13707</v>
      </c>
      <c r="H121" s="601" t="s">
        <v>13708</v>
      </c>
      <c r="I121" s="917"/>
      <c r="J121" s="586"/>
      <c r="K121" s="587"/>
      <c r="L121" s="587"/>
      <c r="M121" s="587"/>
      <c r="N121" s="587"/>
      <c r="O121" s="587"/>
      <c r="P121" s="587"/>
      <c r="Q121" s="587"/>
      <c r="R121" s="587"/>
      <c r="S121" s="587"/>
      <c r="T121" s="587"/>
      <c r="U121" s="587"/>
      <c r="V121" s="587"/>
      <c r="W121" s="587"/>
      <c r="X121" s="587"/>
    </row>
    <row r="122" spans="1:24" x14ac:dyDescent="0.25">
      <c r="A122" s="605"/>
      <c r="B122" s="590"/>
      <c r="C122" s="596" t="s">
        <v>13650</v>
      </c>
      <c r="D122" s="597"/>
      <c r="E122" s="602" t="s">
        <v>13692</v>
      </c>
      <c r="F122" s="602"/>
      <c r="G122" s="602" t="s">
        <v>13709</v>
      </c>
      <c r="H122" s="603" t="s">
        <v>13691</v>
      </c>
      <c r="I122" s="917"/>
      <c r="J122" s="586"/>
      <c r="K122" s="587"/>
      <c r="L122" s="587"/>
      <c r="M122" s="587"/>
      <c r="N122" s="587"/>
      <c r="O122" s="587"/>
      <c r="P122" s="587"/>
      <c r="Q122" s="587"/>
      <c r="R122" s="587"/>
      <c r="S122" s="587"/>
      <c r="T122" s="587"/>
      <c r="U122" s="587"/>
      <c r="V122" s="587"/>
      <c r="W122" s="587"/>
      <c r="X122" s="587"/>
    </row>
    <row r="123" spans="1:24" x14ac:dyDescent="0.25">
      <c r="A123" s="463"/>
      <c r="B123" s="604" t="s">
        <v>494</v>
      </c>
      <c r="C123" s="604" t="s">
        <v>13655</v>
      </c>
      <c r="D123" s="604" t="s">
        <v>13260</v>
      </c>
      <c r="E123" s="604" t="s">
        <v>13656</v>
      </c>
      <c r="F123" s="604" t="s">
        <v>13656</v>
      </c>
      <c r="G123" s="604" t="s">
        <v>13656</v>
      </c>
      <c r="H123" s="604" t="s">
        <v>13656</v>
      </c>
      <c r="I123" s="604" t="s">
        <v>13656</v>
      </c>
      <c r="J123" s="586"/>
      <c r="K123" s="587"/>
      <c r="L123" s="587"/>
      <c r="M123" s="587"/>
      <c r="N123" s="587"/>
      <c r="O123" s="587"/>
      <c r="P123" s="587"/>
      <c r="Q123" s="587"/>
      <c r="R123" s="587"/>
      <c r="S123" s="587"/>
      <c r="T123" s="587"/>
      <c r="U123" s="587"/>
      <c r="V123" s="587"/>
      <c r="W123" s="587"/>
      <c r="X123" s="587"/>
    </row>
    <row r="124" spans="1:24" ht="38.25" x14ac:dyDescent="0.25">
      <c r="A124" s="605"/>
      <c r="B124" s="600" t="s">
        <v>13336</v>
      </c>
      <c r="C124" s="606" t="s">
        <v>13335</v>
      </c>
      <c r="D124" s="600" t="s">
        <v>580</v>
      </c>
      <c r="E124" s="607">
        <v>15459</v>
      </c>
      <c r="F124" s="607">
        <f>7700+814</f>
        <v>8514</v>
      </c>
      <c r="G124" s="607"/>
      <c r="H124" s="607">
        <v>13806</v>
      </c>
      <c r="I124" s="608">
        <f>MEDIAN(E124:H124)</f>
        <v>13806</v>
      </c>
      <c r="J124" s="586"/>
      <c r="K124" s="609">
        <f>L124/M124-1</f>
        <v>0.8157152924594786</v>
      </c>
      <c r="L124" s="610">
        <f>MAX(E124:H124)</f>
        <v>15459</v>
      </c>
      <c r="M124" s="610">
        <f>MIN(E124:H124)</f>
        <v>8514</v>
      </c>
      <c r="N124" s="587"/>
      <c r="O124" s="587"/>
      <c r="P124" s="587"/>
      <c r="Q124" s="587"/>
      <c r="R124" s="587"/>
      <c r="S124" s="587"/>
      <c r="T124" s="587"/>
      <c r="U124" s="587"/>
      <c r="V124" s="587"/>
      <c r="W124" s="587"/>
      <c r="X124" s="587"/>
    </row>
    <row r="125" spans="1:24" ht="127.5" x14ac:dyDescent="0.25">
      <c r="A125" s="605"/>
      <c r="B125" s="611" t="s">
        <v>13657</v>
      </c>
      <c r="C125" s="612" t="s">
        <v>13335</v>
      </c>
      <c r="D125" s="613" t="s">
        <v>580</v>
      </c>
      <c r="E125" s="614">
        <v>15459</v>
      </c>
      <c r="F125" s="614">
        <v>8514</v>
      </c>
      <c r="G125" s="614">
        <v>33216.370000000003</v>
      </c>
      <c r="H125" s="614">
        <v>13806</v>
      </c>
      <c r="I125" s="615">
        <f>5.42*11000</f>
        <v>59620</v>
      </c>
      <c r="J125" s="594"/>
      <c r="K125" s="616"/>
      <c r="L125" s="617"/>
      <c r="M125" s="617"/>
      <c r="N125" s="595"/>
      <c r="O125" s="587"/>
      <c r="P125" s="587"/>
      <c r="Q125" s="587"/>
      <c r="R125" s="587"/>
      <c r="S125" s="587"/>
      <c r="T125" s="587"/>
      <c r="U125" s="587"/>
      <c r="V125" s="587"/>
      <c r="W125" s="587"/>
      <c r="X125" s="587"/>
    </row>
    <row r="126" spans="1:24" x14ac:dyDescent="0.25">
      <c r="A126" s="463"/>
      <c r="B126" s="639"/>
      <c r="C126" s="591"/>
      <c r="D126" s="591"/>
      <c r="E126" s="638"/>
      <c r="F126" s="638"/>
      <c r="G126" s="638"/>
      <c r="H126" s="638"/>
      <c r="I126" s="638"/>
      <c r="J126" s="586"/>
      <c r="K126" s="587"/>
      <c r="L126" s="587"/>
      <c r="M126" s="587"/>
      <c r="N126" s="587"/>
      <c r="O126" s="587"/>
      <c r="P126" s="587"/>
      <c r="Q126" s="587"/>
      <c r="R126" s="587"/>
      <c r="S126" s="587"/>
      <c r="T126" s="587"/>
      <c r="U126" s="587"/>
      <c r="V126" s="587"/>
      <c r="W126" s="587"/>
      <c r="X126" s="587"/>
    </row>
    <row r="127" spans="1:24" ht="15" customHeight="1" x14ac:dyDescent="0.25">
      <c r="A127" s="605"/>
      <c r="B127" s="590"/>
      <c r="C127" s="591"/>
      <c r="D127" s="592"/>
      <c r="E127" s="593" t="s">
        <v>13636</v>
      </c>
      <c r="F127" s="593" t="s">
        <v>13637</v>
      </c>
      <c r="G127" s="593" t="s">
        <v>13638</v>
      </c>
      <c r="H127" s="593" t="s">
        <v>13639</v>
      </c>
      <c r="I127" s="917" t="s">
        <v>13640</v>
      </c>
      <c r="J127" s="586"/>
      <c r="K127" s="587"/>
      <c r="L127" s="587"/>
      <c r="M127" s="587"/>
      <c r="N127" s="587"/>
      <c r="O127" s="587"/>
      <c r="P127" s="587"/>
      <c r="Q127" s="587"/>
      <c r="R127" s="587"/>
      <c r="S127" s="587"/>
      <c r="T127" s="587"/>
      <c r="U127" s="587"/>
      <c r="V127" s="587"/>
      <c r="W127" s="587"/>
      <c r="X127" s="587"/>
    </row>
    <row r="128" spans="1:24" x14ac:dyDescent="0.25">
      <c r="A128" s="605"/>
      <c r="B128" s="590"/>
      <c r="C128" s="596" t="s">
        <v>13641</v>
      </c>
      <c r="D128" s="597"/>
      <c r="E128" s="598">
        <v>45931</v>
      </c>
      <c r="F128" s="598">
        <v>45931</v>
      </c>
      <c r="G128" s="598">
        <v>45931</v>
      </c>
      <c r="H128" s="599"/>
      <c r="I128" s="917"/>
      <c r="J128" s="586"/>
      <c r="K128" s="587"/>
      <c r="L128" s="587"/>
      <c r="M128" s="587"/>
      <c r="N128" s="587"/>
      <c r="O128" s="587"/>
      <c r="P128" s="587"/>
      <c r="Q128" s="587"/>
      <c r="R128" s="587"/>
      <c r="S128" s="587"/>
      <c r="T128" s="587"/>
      <c r="U128" s="587"/>
      <c r="V128" s="587"/>
      <c r="W128" s="587"/>
      <c r="X128" s="587"/>
    </row>
    <row r="129" spans="1:24" x14ac:dyDescent="0.25">
      <c r="A129" s="605"/>
      <c r="B129" s="590"/>
      <c r="C129" s="596" t="s">
        <v>13642</v>
      </c>
      <c r="D129" s="597"/>
      <c r="E129" s="600" t="s">
        <v>13710</v>
      </c>
      <c r="F129" s="600" t="s">
        <v>13711</v>
      </c>
      <c r="G129" s="600" t="s">
        <v>13712</v>
      </c>
      <c r="H129" s="601"/>
      <c r="I129" s="917"/>
      <c r="J129" s="586"/>
      <c r="K129" s="587"/>
      <c r="L129" s="587"/>
      <c r="M129" s="587"/>
      <c r="N129" s="587"/>
      <c r="O129" s="587"/>
      <c r="P129" s="587"/>
      <c r="Q129" s="587"/>
      <c r="R129" s="587"/>
      <c r="S129" s="587"/>
      <c r="T129" s="587"/>
      <c r="U129" s="587"/>
      <c r="V129" s="587"/>
      <c r="W129" s="587"/>
      <c r="X129" s="587"/>
    </row>
    <row r="130" spans="1:24" x14ac:dyDescent="0.25">
      <c r="A130" s="605"/>
      <c r="B130" s="590"/>
      <c r="C130" s="596" t="s">
        <v>13647</v>
      </c>
      <c r="D130" s="597"/>
      <c r="E130" s="600"/>
      <c r="F130" s="600"/>
      <c r="G130" s="600"/>
      <c r="H130" s="601"/>
      <c r="I130" s="917"/>
      <c r="J130" s="586"/>
      <c r="K130" s="587"/>
      <c r="L130" s="587"/>
      <c r="M130" s="587"/>
      <c r="N130" s="587"/>
      <c r="O130" s="587"/>
      <c r="P130" s="587"/>
      <c r="Q130" s="587"/>
      <c r="R130" s="587"/>
      <c r="S130" s="587"/>
      <c r="T130" s="587"/>
      <c r="U130" s="587"/>
      <c r="V130" s="587"/>
      <c r="W130" s="587"/>
      <c r="X130" s="587"/>
    </row>
    <row r="131" spans="1:24" ht="112.5" x14ac:dyDescent="0.25">
      <c r="A131" s="605"/>
      <c r="B131" s="590"/>
      <c r="C131" s="596" t="s">
        <v>13650</v>
      </c>
      <c r="D131" s="597"/>
      <c r="E131" s="602" t="s">
        <v>13713</v>
      </c>
      <c r="F131" s="602" t="s">
        <v>13714</v>
      </c>
      <c r="G131" s="602" t="s">
        <v>13715</v>
      </c>
      <c r="H131" s="602"/>
      <c r="I131" s="917"/>
      <c r="J131" s="586"/>
      <c r="K131" s="587"/>
      <c r="L131" s="587"/>
      <c r="M131" s="587"/>
      <c r="N131" s="587"/>
      <c r="O131" s="587"/>
      <c r="P131" s="587"/>
      <c r="Q131" s="587"/>
      <c r="R131" s="587"/>
      <c r="S131" s="587"/>
      <c r="T131" s="587"/>
      <c r="U131" s="587"/>
      <c r="V131" s="587"/>
      <c r="W131" s="587"/>
      <c r="X131" s="587"/>
    </row>
    <row r="132" spans="1:24" x14ac:dyDescent="0.25">
      <c r="A132" s="463"/>
      <c r="B132" s="604" t="s">
        <v>494</v>
      </c>
      <c r="C132" s="604" t="s">
        <v>13655</v>
      </c>
      <c r="D132" s="604" t="s">
        <v>13260</v>
      </c>
      <c r="E132" s="604" t="s">
        <v>13656</v>
      </c>
      <c r="F132" s="604" t="s">
        <v>13656</v>
      </c>
      <c r="G132" s="604" t="s">
        <v>13656</v>
      </c>
      <c r="H132" s="604" t="s">
        <v>13656</v>
      </c>
      <c r="I132" s="604" t="s">
        <v>13656</v>
      </c>
      <c r="J132" s="586"/>
      <c r="K132" s="587"/>
      <c r="L132" s="587"/>
      <c r="M132" s="587"/>
      <c r="N132" s="587"/>
      <c r="O132" s="587"/>
      <c r="P132" s="587"/>
      <c r="Q132" s="587"/>
      <c r="R132" s="587"/>
      <c r="S132" s="587"/>
      <c r="T132" s="587"/>
      <c r="U132" s="587"/>
      <c r="V132" s="587"/>
      <c r="W132" s="587"/>
      <c r="X132" s="587"/>
    </row>
    <row r="133" spans="1:24" ht="38.25" x14ac:dyDescent="0.25">
      <c r="A133" s="605"/>
      <c r="B133" s="600" t="s">
        <v>13358</v>
      </c>
      <c r="C133" s="606" t="s">
        <v>13716</v>
      </c>
      <c r="D133" s="600" t="s">
        <v>580</v>
      </c>
      <c r="E133" s="607">
        <v>107.99</v>
      </c>
      <c r="F133" s="607">
        <v>80.11</v>
      </c>
      <c r="G133" s="607">
        <v>98.49</v>
      </c>
      <c r="H133" s="607"/>
      <c r="I133" s="608">
        <f>MEDIAN(E133:H133)</f>
        <v>98.49</v>
      </c>
      <c r="J133" s="586"/>
      <c r="K133" s="609">
        <f>L133/M133-1</f>
        <v>0.34802147047809262</v>
      </c>
      <c r="L133" s="610">
        <f>MAX(E133:H133)</f>
        <v>107.99</v>
      </c>
      <c r="M133" s="610">
        <f>MIN(E133:H133)</f>
        <v>80.11</v>
      </c>
      <c r="N133" s="587"/>
      <c r="O133" s="587"/>
      <c r="P133" s="587"/>
      <c r="Q133" s="587"/>
      <c r="R133" s="587"/>
      <c r="S133" s="587"/>
      <c r="T133" s="587"/>
      <c r="U133" s="587"/>
      <c r="V133" s="587"/>
      <c r="W133" s="587"/>
      <c r="X133" s="587"/>
    </row>
    <row r="134" spans="1:24" x14ac:dyDescent="0.25">
      <c r="A134" s="463"/>
      <c r="B134" s="639"/>
      <c r="C134" s="591"/>
      <c r="D134" s="591"/>
      <c r="E134" s="591"/>
      <c r="F134" s="591"/>
      <c r="G134" s="591"/>
      <c r="H134" s="591"/>
      <c r="I134" s="591"/>
      <c r="J134" s="586"/>
      <c r="K134" s="587"/>
      <c r="L134" s="587"/>
      <c r="M134" s="587"/>
      <c r="N134" s="587"/>
      <c r="O134" s="587"/>
      <c r="P134" s="587"/>
      <c r="Q134" s="587"/>
      <c r="R134" s="587"/>
      <c r="S134" s="587"/>
      <c r="T134" s="587"/>
      <c r="U134" s="587"/>
      <c r="V134" s="587"/>
      <c r="W134" s="587"/>
      <c r="X134" s="587"/>
    </row>
    <row r="135" spans="1:24" ht="15" customHeight="1" x14ac:dyDescent="0.25">
      <c r="A135" s="463"/>
      <c r="B135" s="590"/>
      <c r="C135" s="591"/>
      <c r="D135" s="592"/>
      <c r="E135" s="593" t="s">
        <v>13636</v>
      </c>
      <c r="F135" s="593" t="s">
        <v>13637</v>
      </c>
      <c r="G135" s="593" t="s">
        <v>13638</v>
      </c>
      <c r="H135" s="593" t="s">
        <v>13639</v>
      </c>
      <c r="I135" s="917" t="s">
        <v>13640</v>
      </c>
      <c r="J135" s="586"/>
      <c r="K135" s="587"/>
      <c r="L135" s="587"/>
      <c r="M135" s="587"/>
      <c r="N135" s="587"/>
      <c r="O135" s="587"/>
      <c r="P135" s="587"/>
      <c r="Q135" s="587"/>
      <c r="R135" s="587"/>
      <c r="S135" s="587"/>
      <c r="T135" s="587"/>
      <c r="U135" s="587"/>
      <c r="V135" s="587"/>
      <c r="W135" s="587"/>
      <c r="X135" s="587"/>
    </row>
    <row r="136" spans="1:24" x14ac:dyDescent="0.25">
      <c r="A136" s="463"/>
      <c r="B136" s="590"/>
      <c r="C136" s="596" t="s">
        <v>13641</v>
      </c>
      <c r="D136" s="597"/>
      <c r="E136" s="598">
        <v>45929</v>
      </c>
      <c r="F136" s="598">
        <v>45975</v>
      </c>
      <c r="G136" s="598">
        <v>45985</v>
      </c>
      <c r="H136" s="599">
        <v>45949</v>
      </c>
      <c r="I136" s="917"/>
      <c r="J136" s="586"/>
      <c r="K136" s="587"/>
      <c r="L136" s="587"/>
      <c r="M136" s="587"/>
      <c r="N136" s="587"/>
      <c r="O136" s="587"/>
      <c r="P136" s="587"/>
      <c r="Q136" s="587"/>
      <c r="R136" s="587"/>
      <c r="S136" s="587"/>
      <c r="T136" s="587"/>
      <c r="U136" s="587"/>
      <c r="V136" s="587"/>
      <c r="W136" s="587"/>
      <c r="X136" s="587"/>
    </row>
    <row r="137" spans="1:24" x14ac:dyDescent="0.25">
      <c r="A137" s="463"/>
      <c r="B137" s="590"/>
      <c r="C137" s="596" t="s">
        <v>13642</v>
      </c>
      <c r="D137" s="597"/>
      <c r="E137" s="600" t="s">
        <v>13643</v>
      </c>
      <c r="F137" s="600" t="s">
        <v>13717</v>
      </c>
      <c r="G137" s="600" t="s">
        <v>13718</v>
      </c>
      <c r="H137" s="601" t="s">
        <v>13719</v>
      </c>
      <c r="I137" s="917"/>
      <c r="J137" s="586"/>
      <c r="K137" s="587"/>
      <c r="L137" s="587"/>
      <c r="M137" s="587"/>
      <c r="N137" s="587"/>
      <c r="O137" s="587"/>
      <c r="P137" s="587"/>
      <c r="Q137" s="587"/>
      <c r="R137" s="587"/>
      <c r="S137" s="587"/>
      <c r="T137" s="587"/>
      <c r="U137" s="587"/>
      <c r="V137" s="587"/>
      <c r="W137" s="587"/>
      <c r="X137" s="587"/>
    </row>
    <row r="138" spans="1:24" x14ac:dyDescent="0.25">
      <c r="A138" s="463"/>
      <c r="B138" s="590"/>
      <c r="C138" s="596" t="s">
        <v>13647</v>
      </c>
      <c r="D138" s="597"/>
      <c r="E138" s="600" t="s">
        <v>13648</v>
      </c>
      <c r="F138" s="600"/>
      <c r="G138" s="600"/>
      <c r="H138" s="601"/>
      <c r="I138" s="917"/>
      <c r="J138" s="586"/>
      <c r="K138" s="587"/>
      <c r="L138" s="587"/>
      <c r="M138" s="587"/>
      <c r="N138" s="587"/>
      <c r="O138" s="587"/>
      <c r="P138" s="587"/>
      <c r="Q138" s="587"/>
      <c r="R138" s="587"/>
      <c r="S138" s="587"/>
      <c r="T138" s="587"/>
      <c r="U138" s="587"/>
      <c r="V138" s="587"/>
      <c r="W138" s="587"/>
      <c r="X138" s="587"/>
    </row>
    <row r="139" spans="1:24" ht="67.5" x14ac:dyDescent="0.25">
      <c r="A139" s="605"/>
      <c r="B139" s="590"/>
      <c r="C139" s="596" t="s">
        <v>13650</v>
      </c>
      <c r="D139" s="597"/>
      <c r="E139" s="603" t="s">
        <v>13651</v>
      </c>
      <c r="F139" s="602" t="s">
        <v>13720</v>
      </c>
      <c r="G139" s="603" t="s">
        <v>13721</v>
      </c>
      <c r="H139" s="602"/>
      <c r="I139" s="917"/>
      <c r="J139" s="586"/>
      <c r="K139" s="587"/>
      <c r="L139" s="587"/>
      <c r="M139" s="587"/>
      <c r="N139" s="587"/>
      <c r="O139" s="587"/>
      <c r="P139" s="587"/>
      <c r="Q139" s="587"/>
      <c r="R139" s="587"/>
      <c r="S139" s="587"/>
      <c r="T139" s="587"/>
      <c r="U139" s="587"/>
      <c r="V139" s="587"/>
      <c r="W139" s="587"/>
      <c r="X139" s="587"/>
    </row>
    <row r="140" spans="1:24" x14ac:dyDescent="0.25">
      <c r="A140" s="605"/>
      <c r="B140" s="604" t="s">
        <v>494</v>
      </c>
      <c r="C140" s="604" t="s">
        <v>13655</v>
      </c>
      <c r="D140" s="604" t="s">
        <v>13260</v>
      </c>
      <c r="E140" s="604" t="s">
        <v>13656</v>
      </c>
      <c r="F140" s="604" t="s">
        <v>13656</v>
      </c>
      <c r="G140" s="604" t="s">
        <v>13656</v>
      </c>
      <c r="H140" s="604" t="s">
        <v>13656</v>
      </c>
      <c r="I140" s="604" t="s">
        <v>13656</v>
      </c>
      <c r="J140" s="586"/>
      <c r="K140" s="587"/>
      <c r="L140" s="587"/>
      <c r="M140" s="587"/>
      <c r="N140" s="587"/>
      <c r="O140" s="587"/>
      <c r="P140" s="587"/>
      <c r="Q140" s="587"/>
      <c r="R140" s="587"/>
      <c r="S140" s="587"/>
      <c r="T140" s="587"/>
      <c r="U140" s="587"/>
      <c r="V140" s="587"/>
      <c r="W140" s="587"/>
      <c r="X140" s="587"/>
    </row>
    <row r="141" spans="1:24" ht="25.5" x14ac:dyDescent="0.25">
      <c r="A141" s="605"/>
      <c r="B141" s="600" t="s">
        <v>13311</v>
      </c>
      <c r="C141" s="606" t="s">
        <v>13309</v>
      </c>
      <c r="D141" s="600" t="s">
        <v>580</v>
      </c>
      <c r="E141" s="607">
        <v>376.22</v>
      </c>
      <c r="F141" s="607"/>
      <c r="G141" s="607">
        <v>422.1</v>
      </c>
      <c r="H141" s="607">
        <v>259.89999999999998</v>
      </c>
      <c r="I141" s="608">
        <f>MEDIAN(E141:H141)</f>
        <v>376.22</v>
      </c>
      <c r="J141" s="586"/>
      <c r="K141" s="609">
        <f>L141/M141-1</f>
        <v>0.62408618699499829</v>
      </c>
      <c r="L141" s="610">
        <f>MAX(E141:H141)</f>
        <v>422.1</v>
      </c>
      <c r="M141" s="610">
        <f>MIN(E141:H141)</f>
        <v>259.89999999999998</v>
      </c>
      <c r="N141" s="587"/>
      <c r="O141" s="587"/>
      <c r="P141" s="587"/>
      <c r="Q141" s="587"/>
      <c r="R141" s="587"/>
      <c r="S141" s="587"/>
      <c r="T141" s="587"/>
      <c r="U141" s="587"/>
      <c r="V141" s="587"/>
      <c r="W141" s="587"/>
      <c r="X141" s="587"/>
    </row>
    <row r="142" spans="1:24" ht="127.5" x14ac:dyDescent="0.25">
      <c r="A142" s="605"/>
      <c r="B142" s="611" t="s">
        <v>13657</v>
      </c>
      <c r="C142" s="612" t="s">
        <v>13309</v>
      </c>
      <c r="D142" s="613" t="s">
        <v>580</v>
      </c>
      <c r="E142" s="614">
        <v>376.22</v>
      </c>
      <c r="F142" s="614">
        <v>429.9</v>
      </c>
      <c r="G142" s="614">
        <v>422.1</v>
      </c>
      <c r="H142" s="614">
        <v>259.89999999999998</v>
      </c>
      <c r="I142" s="615"/>
      <c r="J142" s="594"/>
      <c r="K142" s="616"/>
      <c r="L142" s="617"/>
      <c r="M142" s="617"/>
      <c r="N142" s="595"/>
      <c r="O142" s="587"/>
      <c r="P142" s="587"/>
      <c r="Q142" s="587"/>
      <c r="R142" s="587"/>
      <c r="S142" s="587"/>
      <c r="T142" s="587"/>
      <c r="U142" s="587"/>
      <c r="V142" s="587"/>
      <c r="W142" s="587"/>
      <c r="X142" s="587"/>
    </row>
    <row r="143" spans="1:24" x14ac:dyDescent="0.25">
      <c r="A143" s="605"/>
      <c r="B143" s="639"/>
      <c r="C143" s="591"/>
      <c r="D143" s="591"/>
      <c r="E143" s="591"/>
      <c r="F143" s="591"/>
      <c r="G143" s="591"/>
      <c r="H143" s="591"/>
      <c r="I143" s="591"/>
      <c r="J143" s="586"/>
      <c r="K143" s="587"/>
      <c r="L143" s="587"/>
      <c r="M143" s="587"/>
      <c r="N143" s="587"/>
      <c r="O143" s="587"/>
      <c r="P143" s="587"/>
      <c r="Q143" s="587"/>
      <c r="R143" s="587"/>
      <c r="S143" s="587"/>
      <c r="T143" s="587"/>
      <c r="U143" s="587"/>
      <c r="V143" s="587"/>
      <c r="W143" s="587"/>
      <c r="X143" s="587"/>
    </row>
    <row r="144" spans="1:24" ht="15" customHeight="1" x14ac:dyDescent="0.25">
      <c r="A144" s="605"/>
      <c r="B144" s="590"/>
      <c r="C144" s="591"/>
      <c r="D144" s="592"/>
      <c r="E144" s="593" t="s">
        <v>13636</v>
      </c>
      <c r="F144" s="593" t="s">
        <v>13637</v>
      </c>
      <c r="G144" s="593" t="s">
        <v>13638</v>
      </c>
      <c r="H144" s="593" t="s">
        <v>13639</v>
      </c>
      <c r="I144" s="917" t="s">
        <v>13640</v>
      </c>
      <c r="J144" s="586"/>
      <c r="K144" s="587"/>
      <c r="L144" s="587"/>
      <c r="M144" s="587"/>
      <c r="N144" s="587"/>
      <c r="O144" s="587"/>
      <c r="P144" s="587"/>
      <c r="Q144" s="587"/>
      <c r="R144" s="587"/>
      <c r="S144" s="587"/>
      <c r="T144" s="587"/>
      <c r="U144" s="587"/>
      <c r="V144" s="587"/>
      <c r="W144" s="587"/>
      <c r="X144" s="587"/>
    </row>
    <row r="145" spans="1:24" x14ac:dyDescent="0.25">
      <c r="A145" s="605"/>
      <c r="B145" s="590"/>
      <c r="C145" s="596" t="s">
        <v>13641</v>
      </c>
      <c r="D145" s="597"/>
      <c r="E145" s="598">
        <v>45929</v>
      </c>
      <c r="F145" s="598" t="s">
        <v>13722</v>
      </c>
      <c r="G145" s="598">
        <v>46030</v>
      </c>
      <c r="H145" s="599">
        <v>45949</v>
      </c>
      <c r="I145" s="917"/>
      <c r="J145" s="586"/>
      <c r="K145" s="587"/>
      <c r="L145" s="587"/>
      <c r="M145" s="587"/>
      <c r="N145" s="587"/>
      <c r="O145" s="587"/>
      <c r="P145" s="587"/>
      <c r="Q145" s="587"/>
      <c r="R145" s="587"/>
      <c r="S145" s="587"/>
      <c r="T145" s="587"/>
      <c r="U145" s="587"/>
      <c r="V145" s="587"/>
      <c r="W145" s="587"/>
      <c r="X145" s="587"/>
    </row>
    <row r="146" spans="1:24" x14ac:dyDescent="0.25">
      <c r="A146" s="463"/>
      <c r="B146" s="590"/>
      <c r="C146" s="596" t="s">
        <v>13642</v>
      </c>
      <c r="D146" s="597"/>
      <c r="E146" s="600" t="s">
        <v>13643</v>
      </c>
      <c r="F146" s="600" t="s">
        <v>13644</v>
      </c>
      <c r="G146" s="600" t="s">
        <v>13723</v>
      </c>
      <c r="H146" s="601" t="s">
        <v>13719</v>
      </c>
      <c r="I146" s="917"/>
      <c r="J146" s="586"/>
      <c r="K146" s="587"/>
      <c r="L146" s="587"/>
      <c r="M146" s="587"/>
      <c r="N146" s="587"/>
      <c r="O146" s="587"/>
      <c r="P146" s="587"/>
      <c r="Q146" s="587"/>
      <c r="R146" s="587"/>
      <c r="S146" s="587"/>
      <c r="T146" s="587"/>
      <c r="U146" s="587"/>
      <c r="V146" s="587"/>
      <c r="W146" s="587"/>
      <c r="X146" s="587"/>
    </row>
    <row r="147" spans="1:24" x14ac:dyDescent="0.25">
      <c r="A147" s="463"/>
      <c r="B147" s="590"/>
      <c r="C147" s="596" t="s">
        <v>13647</v>
      </c>
      <c r="D147" s="597"/>
      <c r="E147" s="600" t="s">
        <v>13648</v>
      </c>
      <c r="F147" s="600" t="s">
        <v>13649</v>
      </c>
      <c r="G147" s="600"/>
      <c r="H147" s="601"/>
      <c r="I147" s="917"/>
      <c r="J147" s="586"/>
      <c r="K147" s="587"/>
      <c r="L147" s="587"/>
      <c r="M147" s="587"/>
      <c r="N147" s="587"/>
      <c r="O147" s="587"/>
      <c r="P147" s="587"/>
      <c r="Q147" s="587"/>
      <c r="R147" s="587"/>
      <c r="S147" s="587"/>
      <c r="T147" s="587"/>
      <c r="U147" s="587"/>
      <c r="V147" s="587"/>
      <c r="W147" s="587"/>
      <c r="X147" s="587"/>
    </row>
    <row r="148" spans="1:24" ht="45" x14ac:dyDescent="0.25">
      <c r="A148" s="463"/>
      <c r="B148" s="590"/>
      <c r="C148" s="596" t="s">
        <v>13650</v>
      </c>
      <c r="D148" s="597"/>
      <c r="E148" s="603" t="s">
        <v>13651</v>
      </c>
      <c r="F148" s="602" t="s">
        <v>13652</v>
      </c>
      <c r="G148" s="603" t="s">
        <v>13724</v>
      </c>
      <c r="H148" s="602"/>
      <c r="I148" s="917"/>
      <c r="J148" s="586"/>
      <c r="K148" s="587"/>
      <c r="L148" s="587"/>
      <c r="M148" s="587"/>
      <c r="N148" s="587"/>
      <c r="O148" s="587"/>
      <c r="P148" s="587"/>
      <c r="Q148" s="587"/>
      <c r="R148" s="587"/>
      <c r="S148" s="587"/>
      <c r="T148" s="587"/>
      <c r="U148" s="587"/>
      <c r="V148" s="587"/>
      <c r="W148" s="587"/>
      <c r="X148" s="587"/>
    </row>
    <row r="149" spans="1:24" x14ac:dyDescent="0.25">
      <c r="A149" s="463"/>
      <c r="B149" s="604" t="s">
        <v>494</v>
      </c>
      <c r="C149" s="604" t="s">
        <v>13655</v>
      </c>
      <c r="D149" s="604" t="s">
        <v>13260</v>
      </c>
      <c r="E149" s="604" t="s">
        <v>13656</v>
      </c>
      <c r="F149" s="604" t="s">
        <v>13656</v>
      </c>
      <c r="G149" s="604" t="s">
        <v>13656</v>
      </c>
      <c r="H149" s="604" t="s">
        <v>13656</v>
      </c>
      <c r="I149" s="604" t="s">
        <v>13656</v>
      </c>
      <c r="J149" s="586"/>
      <c r="K149" s="587"/>
      <c r="L149" s="587"/>
      <c r="M149" s="587"/>
      <c r="N149" s="587"/>
      <c r="O149" s="587"/>
      <c r="P149" s="587"/>
      <c r="Q149" s="587"/>
      <c r="R149" s="587"/>
      <c r="S149" s="587"/>
      <c r="T149" s="587"/>
      <c r="U149" s="587"/>
      <c r="V149" s="587"/>
      <c r="W149" s="587"/>
      <c r="X149" s="587"/>
    </row>
    <row r="150" spans="1:24" ht="25.5" x14ac:dyDescent="0.25">
      <c r="A150" s="605"/>
      <c r="B150" s="600" t="s">
        <v>13313</v>
      </c>
      <c r="C150" s="606" t="s">
        <v>13312</v>
      </c>
      <c r="D150" s="600" t="s">
        <v>580</v>
      </c>
      <c r="E150" s="607">
        <v>585.21</v>
      </c>
      <c r="F150" s="607"/>
      <c r="G150" s="607">
        <v>580</v>
      </c>
      <c r="H150" s="607">
        <v>449.9</v>
      </c>
      <c r="I150" s="608">
        <f>MEDIAN(E150:H150)</f>
        <v>580</v>
      </c>
      <c r="J150" s="586"/>
      <c r="K150" s="609">
        <f>L150/M150-1</f>
        <v>0.30075572349410984</v>
      </c>
      <c r="L150" s="610">
        <f>MAX(E150:H150)</f>
        <v>585.21</v>
      </c>
      <c r="M150" s="610">
        <f>MIN(E150:H150)</f>
        <v>449.9</v>
      </c>
      <c r="N150" s="587"/>
      <c r="O150" s="587"/>
      <c r="P150" s="587"/>
      <c r="Q150" s="587"/>
      <c r="R150" s="587"/>
      <c r="S150" s="587"/>
      <c r="T150" s="587"/>
      <c r="U150" s="587"/>
      <c r="V150" s="587"/>
      <c r="W150" s="587"/>
      <c r="X150" s="587"/>
    </row>
    <row r="151" spans="1:24" ht="127.5" x14ac:dyDescent="0.25">
      <c r="A151" s="463"/>
      <c r="B151" s="611" t="s">
        <v>13657</v>
      </c>
      <c r="C151" s="612" t="s">
        <v>13312</v>
      </c>
      <c r="D151" s="613" t="s">
        <v>580</v>
      </c>
      <c r="E151" s="614">
        <v>585.21</v>
      </c>
      <c r="F151" s="614">
        <v>783.68</v>
      </c>
      <c r="G151" s="614">
        <v>580</v>
      </c>
      <c r="H151" s="614">
        <v>449.9</v>
      </c>
      <c r="I151" s="615"/>
      <c r="J151" s="594"/>
      <c r="K151" s="616"/>
      <c r="L151" s="617"/>
      <c r="M151" s="617"/>
      <c r="N151" s="595"/>
      <c r="O151" s="587"/>
      <c r="P151" s="587"/>
      <c r="Q151" s="587"/>
      <c r="R151" s="587"/>
      <c r="S151" s="587"/>
      <c r="T151" s="587"/>
      <c r="U151" s="587"/>
      <c r="V151" s="587"/>
      <c r="W151" s="587"/>
      <c r="X151" s="587"/>
    </row>
    <row r="152" spans="1:24" x14ac:dyDescent="0.25">
      <c r="A152" s="463"/>
      <c r="B152" s="639"/>
      <c r="C152" s="591"/>
      <c r="D152" s="639"/>
      <c r="E152" s="591"/>
      <c r="F152" s="591"/>
      <c r="G152" s="591"/>
      <c r="H152" s="591"/>
      <c r="I152" s="591"/>
      <c r="J152" s="586"/>
      <c r="K152" s="587"/>
      <c r="L152" s="587"/>
      <c r="M152" s="587"/>
      <c r="N152" s="587"/>
      <c r="O152" s="587"/>
      <c r="P152" s="587"/>
      <c r="Q152" s="587"/>
      <c r="R152" s="587"/>
      <c r="S152" s="587"/>
      <c r="T152" s="587"/>
      <c r="U152" s="587"/>
      <c r="V152" s="587"/>
      <c r="W152" s="587"/>
      <c r="X152" s="587"/>
    </row>
    <row r="153" spans="1:24" ht="15" customHeight="1" x14ac:dyDescent="0.25">
      <c r="A153" s="463"/>
      <c r="B153" s="590"/>
      <c r="C153" s="591"/>
      <c r="D153" s="592"/>
      <c r="E153" s="593" t="s">
        <v>13636</v>
      </c>
      <c r="F153" s="593" t="s">
        <v>13637</v>
      </c>
      <c r="G153" s="593" t="s">
        <v>13638</v>
      </c>
      <c r="H153" s="593" t="s">
        <v>13639</v>
      </c>
      <c r="I153" s="917" t="s">
        <v>13640</v>
      </c>
      <c r="J153" s="586"/>
      <c r="K153" s="587"/>
      <c r="L153" s="587"/>
      <c r="M153" s="587"/>
      <c r="N153" s="587"/>
      <c r="O153" s="587"/>
      <c r="P153" s="587"/>
      <c r="Q153" s="587"/>
      <c r="R153" s="587"/>
      <c r="S153" s="587"/>
      <c r="T153" s="587"/>
      <c r="U153" s="587"/>
      <c r="V153" s="587"/>
      <c r="W153" s="587"/>
      <c r="X153" s="587"/>
    </row>
    <row r="154" spans="1:24" x14ac:dyDescent="0.25">
      <c r="A154" s="605"/>
      <c r="B154" s="590"/>
      <c r="C154" s="596" t="s">
        <v>13641</v>
      </c>
      <c r="D154" s="597"/>
      <c r="E154" s="598">
        <v>45936</v>
      </c>
      <c r="F154" s="598">
        <v>45945</v>
      </c>
      <c r="G154" s="598">
        <v>45944</v>
      </c>
      <c r="H154" s="599">
        <v>45995</v>
      </c>
      <c r="I154" s="917"/>
      <c r="J154" s="586"/>
      <c r="K154" s="587"/>
      <c r="L154" s="587"/>
      <c r="M154" s="587"/>
      <c r="N154" s="587"/>
      <c r="O154" s="587"/>
      <c r="P154" s="587"/>
      <c r="Q154" s="587"/>
      <c r="R154" s="587"/>
      <c r="S154" s="587"/>
      <c r="T154" s="587"/>
      <c r="U154" s="587"/>
      <c r="V154" s="587"/>
      <c r="W154" s="587"/>
      <c r="X154" s="587"/>
    </row>
    <row r="155" spans="1:24" x14ac:dyDescent="0.25">
      <c r="A155" s="605"/>
      <c r="B155" s="590"/>
      <c r="C155" s="596" t="s">
        <v>13642</v>
      </c>
      <c r="D155" s="597"/>
      <c r="E155" s="600" t="s">
        <v>13725</v>
      </c>
      <c r="F155" s="600" t="s">
        <v>13726</v>
      </c>
      <c r="G155" s="600" t="s">
        <v>13727</v>
      </c>
      <c r="H155" s="601" t="s">
        <v>13728</v>
      </c>
      <c r="I155" s="917"/>
      <c r="J155" s="586"/>
      <c r="K155" s="587"/>
      <c r="L155" s="587"/>
      <c r="M155" s="587"/>
      <c r="N155" s="587"/>
      <c r="O155" s="587"/>
      <c r="P155" s="587"/>
      <c r="Q155" s="587"/>
      <c r="R155" s="587"/>
      <c r="S155" s="587"/>
      <c r="T155" s="587"/>
      <c r="U155" s="587"/>
      <c r="V155" s="587"/>
      <c r="W155" s="587"/>
      <c r="X155" s="587"/>
    </row>
    <row r="156" spans="1:24" x14ac:dyDescent="0.25">
      <c r="A156" s="463"/>
      <c r="B156" s="590"/>
      <c r="C156" s="596" t="s">
        <v>13647</v>
      </c>
      <c r="D156" s="597"/>
      <c r="E156" s="600" t="s">
        <v>13729</v>
      </c>
      <c r="F156" s="600" t="s">
        <v>13730</v>
      </c>
      <c r="G156" s="600"/>
      <c r="H156" s="601" t="s">
        <v>13731</v>
      </c>
      <c r="I156" s="917"/>
      <c r="J156" s="586"/>
      <c r="K156" s="587"/>
      <c r="L156" s="587"/>
      <c r="M156" s="587"/>
      <c r="N156" s="587"/>
      <c r="O156" s="587"/>
      <c r="P156" s="587"/>
      <c r="Q156" s="587"/>
      <c r="R156" s="587"/>
      <c r="S156" s="587"/>
      <c r="T156" s="587"/>
      <c r="U156" s="587"/>
      <c r="V156" s="587"/>
      <c r="W156" s="587"/>
      <c r="X156" s="587"/>
    </row>
    <row r="157" spans="1:24" x14ac:dyDescent="0.25">
      <c r="A157" s="463"/>
      <c r="B157" s="590"/>
      <c r="C157" s="596" t="s">
        <v>13650</v>
      </c>
      <c r="D157" s="597"/>
      <c r="E157" s="602" t="s">
        <v>13732</v>
      </c>
      <c r="F157" s="602" t="s">
        <v>13733</v>
      </c>
      <c r="G157" s="602" t="s">
        <v>13734</v>
      </c>
      <c r="H157" s="602" t="s">
        <v>13735</v>
      </c>
      <c r="I157" s="917"/>
      <c r="J157" s="586"/>
      <c r="K157" s="587"/>
      <c r="L157" s="587"/>
      <c r="M157" s="587"/>
      <c r="N157" s="587"/>
      <c r="O157" s="587"/>
      <c r="P157" s="587"/>
      <c r="Q157" s="587"/>
      <c r="R157" s="587"/>
      <c r="S157" s="587"/>
      <c r="T157" s="587"/>
      <c r="U157" s="587"/>
      <c r="V157" s="587"/>
      <c r="W157" s="587"/>
      <c r="X157" s="587"/>
    </row>
    <row r="158" spans="1:24" x14ac:dyDescent="0.25">
      <c r="A158" s="463"/>
      <c r="B158" s="604" t="s">
        <v>494</v>
      </c>
      <c r="C158" s="604" t="s">
        <v>13655</v>
      </c>
      <c r="D158" s="604" t="s">
        <v>13260</v>
      </c>
      <c r="E158" s="604" t="s">
        <v>13656</v>
      </c>
      <c r="F158" s="604" t="s">
        <v>13656</v>
      </c>
      <c r="G158" s="604" t="s">
        <v>13656</v>
      </c>
      <c r="H158" s="604" t="s">
        <v>13656</v>
      </c>
      <c r="I158" s="604" t="s">
        <v>13656</v>
      </c>
      <c r="J158" s="586"/>
      <c r="K158" s="587"/>
      <c r="L158" s="587"/>
      <c r="M158" s="587"/>
      <c r="N158" s="587"/>
      <c r="O158" s="587"/>
      <c r="P158" s="587"/>
      <c r="Q158" s="587"/>
      <c r="R158" s="587"/>
      <c r="S158" s="587"/>
      <c r="T158" s="587"/>
      <c r="U158" s="587"/>
      <c r="V158" s="587"/>
      <c r="W158" s="587"/>
      <c r="X158" s="587"/>
    </row>
    <row r="159" spans="1:24" ht="165.75" x14ac:dyDescent="0.25">
      <c r="A159" s="605"/>
      <c r="B159" s="600" t="s">
        <v>13150</v>
      </c>
      <c r="C159" s="606" t="s">
        <v>13736</v>
      </c>
      <c r="D159" s="600" t="s">
        <v>580</v>
      </c>
      <c r="E159" s="607">
        <v>80811.58</v>
      </c>
      <c r="F159" s="607"/>
      <c r="G159" s="607">
        <v>46920.76</v>
      </c>
      <c r="H159" s="607">
        <v>56900</v>
      </c>
      <c r="I159" s="608">
        <f>MEDIAN(E159:H159)</f>
        <v>56900</v>
      </c>
      <c r="J159" s="586"/>
      <c r="K159" s="609">
        <f>L159/M159-1</f>
        <v>0.72229904204450213</v>
      </c>
      <c r="L159" s="610">
        <f>MAX(E159:H159)</f>
        <v>80811.58</v>
      </c>
      <c r="M159" s="610">
        <f>MIN(E159:H159)</f>
        <v>46920.76</v>
      </c>
      <c r="N159" s="587"/>
      <c r="O159" s="587"/>
      <c r="P159" s="587"/>
      <c r="Q159" s="587"/>
      <c r="R159" s="587"/>
      <c r="S159" s="587"/>
      <c r="T159" s="587"/>
      <c r="U159" s="587"/>
      <c r="V159" s="587"/>
      <c r="W159" s="587"/>
      <c r="X159" s="587"/>
    </row>
    <row r="160" spans="1:24" ht="165.75" x14ac:dyDescent="0.25">
      <c r="A160" s="605"/>
      <c r="B160" s="611" t="s">
        <v>13657</v>
      </c>
      <c r="C160" s="612" t="s">
        <v>13736</v>
      </c>
      <c r="D160" s="613" t="s">
        <v>580</v>
      </c>
      <c r="E160" s="614">
        <v>80811.58</v>
      </c>
      <c r="F160" s="614">
        <v>105500</v>
      </c>
      <c r="G160" s="614">
        <v>46920.76</v>
      </c>
      <c r="H160" s="614">
        <v>56900</v>
      </c>
      <c r="I160" s="615"/>
      <c r="J160" s="586"/>
      <c r="K160" s="616"/>
      <c r="L160" s="617"/>
      <c r="M160" s="617"/>
      <c r="N160" s="587"/>
      <c r="O160" s="587"/>
      <c r="P160" s="587"/>
      <c r="Q160" s="587"/>
      <c r="R160" s="587"/>
      <c r="S160" s="587"/>
      <c r="T160" s="587"/>
      <c r="U160" s="587"/>
      <c r="V160" s="587"/>
      <c r="W160" s="587"/>
      <c r="X160" s="587"/>
    </row>
    <row r="161" spans="1:24" x14ac:dyDescent="0.25">
      <c r="A161" s="463"/>
      <c r="B161" s="639"/>
      <c r="C161" s="591"/>
      <c r="D161" s="639"/>
      <c r="E161" s="591"/>
      <c r="F161" s="591"/>
      <c r="G161" s="591"/>
      <c r="H161" s="591"/>
      <c r="I161" s="591"/>
      <c r="J161" s="586"/>
      <c r="K161" s="587"/>
      <c r="L161" s="587"/>
      <c r="M161" s="587"/>
      <c r="N161" s="587"/>
      <c r="O161" s="587"/>
      <c r="P161" s="587"/>
      <c r="Q161" s="587"/>
      <c r="R161" s="587"/>
      <c r="S161" s="587"/>
      <c r="T161" s="587"/>
      <c r="U161" s="587"/>
      <c r="V161" s="587"/>
      <c r="W161" s="587"/>
      <c r="X161" s="587"/>
    </row>
    <row r="162" spans="1:24" ht="15" customHeight="1" x14ac:dyDescent="0.25">
      <c r="A162" s="463"/>
      <c r="B162" s="590"/>
      <c r="C162" s="591"/>
      <c r="D162" s="592"/>
      <c r="E162" s="593" t="s">
        <v>13636</v>
      </c>
      <c r="F162" s="593" t="s">
        <v>13637</v>
      </c>
      <c r="G162" s="593" t="s">
        <v>13638</v>
      </c>
      <c r="H162" s="593" t="s">
        <v>13639</v>
      </c>
      <c r="I162" s="917" t="s">
        <v>13640</v>
      </c>
      <c r="J162" s="586"/>
      <c r="K162" s="587"/>
      <c r="L162" s="587"/>
      <c r="M162" s="587"/>
      <c r="N162" s="587"/>
      <c r="O162" s="587"/>
      <c r="P162" s="587"/>
      <c r="Q162" s="587"/>
      <c r="R162" s="587"/>
      <c r="S162" s="587"/>
      <c r="T162" s="587"/>
      <c r="U162" s="587"/>
      <c r="V162" s="587"/>
      <c r="W162" s="587"/>
      <c r="X162" s="587"/>
    </row>
    <row r="163" spans="1:24" x14ac:dyDescent="0.25">
      <c r="A163" s="463"/>
      <c r="B163" s="590"/>
      <c r="C163" s="596" t="s">
        <v>13641</v>
      </c>
      <c r="D163" s="597"/>
      <c r="E163" s="598">
        <v>45908</v>
      </c>
      <c r="F163" s="598">
        <v>45922</v>
      </c>
      <c r="G163" s="598">
        <v>46008</v>
      </c>
      <c r="H163" s="599"/>
      <c r="I163" s="917"/>
      <c r="J163" s="586"/>
      <c r="K163" s="587"/>
      <c r="L163" s="587"/>
      <c r="M163" s="587"/>
      <c r="N163" s="587"/>
      <c r="O163" s="587"/>
      <c r="P163" s="587"/>
      <c r="Q163" s="587"/>
      <c r="R163" s="587"/>
      <c r="S163" s="587"/>
      <c r="T163" s="587"/>
      <c r="U163" s="587"/>
      <c r="V163" s="587"/>
      <c r="W163" s="587"/>
      <c r="X163" s="587"/>
    </row>
    <row r="164" spans="1:24" x14ac:dyDescent="0.25">
      <c r="A164" s="605"/>
      <c r="B164" s="590"/>
      <c r="C164" s="596" t="s">
        <v>13642</v>
      </c>
      <c r="D164" s="597"/>
      <c r="E164" s="600" t="s">
        <v>13737</v>
      </c>
      <c r="F164" s="600" t="s">
        <v>13710</v>
      </c>
      <c r="G164" s="600" t="s">
        <v>13738</v>
      </c>
      <c r="H164" s="601"/>
      <c r="I164" s="917"/>
      <c r="J164" s="586"/>
      <c r="K164" s="587"/>
      <c r="L164" s="587"/>
      <c r="M164" s="587"/>
      <c r="N164" s="587"/>
      <c r="O164" s="587"/>
      <c r="P164" s="587"/>
      <c r="Q164" s="587"/>
      <c r="R164" s="587"/>
      <c r="S164" s="587"/>
      <c r="T164" s="587"/>
      <c r="U164" s="587"/>
      <c r="V164" s="587"/>
      <c r="W164" s="587"/>
      <c r="X164" s="587"/>
    </row>
    <row r="165" spans="1:24" x14ac:dyDescent="0.25">
      <c r="A165" s="463"/>
      <c r="B165" s="590"/>
      <c r="C165" s="596" t="s">
        <v>13647</v>
      </c>
      <c r="D165" s="597"/>
      <c r="E165" s="600"/>
      <c r="F165" s="600"/>
      <c r="G165" s="600"/>
      <c r="H165" s="601"/>
      <c r="I165" s="917"/>
      <c r="J165" s="586"/>
      <c r="K165" s="587"/>
      <c r="L165" s="587"/>
      <c r="M165" s="587"/>
      <c r="N165" s="587"/>
      <c r="O165" s="587"/>
      <c r="P165" s="587"/>
      <c r="Q165" s="587"/>
      <c r="R165" s="587"/>
      <c r="S165" s="587"/>
      <c r="T165" s="587"/>
      <c r="U165" s="587"/>
      <c r="V165" s="587"/>
      <c r="W165" s="587"/>
      <c r="X165" s="587"/>
    </row>
    <row r="166" spans="1:24" x14ac:dyDescent="0.25">
      <c r="A166" s="463"/>
      <c r="B166" s="590"/>
      <c r="C166" s="596" t="s">
        <v>13650</v>
      </c>
      <c r="D166" s="597"/>
      <c r="E166" s="602" t="s">
        <v>13739</v>
      </c>
      <c r="F166" s="602" t="s">
        <v>13740</v>
      </c>
      <c r="G166" s="602" t="s">
        <v>13741</v>
      </c>
      <c r="H166" s="602"/>
      <c r="I166" s="917"/>
      <c r="J166" s="586"/>
      <c r="K166" s="587"/>
      <c r="L166" s="587"/>
      <c r="M166" s="587"/>
      <c r="N166" s="587"/>
      <c r="O166" s="587"/>
      <c r="P166" s="587"/>
      <c r="Q166" s="587"/>
      <c r="R166" s="587"/>
      <c r="S166" s="587"/>
      <c r="T166" s="587"/>
      <c r="U166" s="587"/>
      <c r="V166" s="587"/>
      <c r="W166" s="587"/>
      <c r="X166" s="587"/>
    </row>
    <row r="167" spans="1:24" x14ac:dyDescent="0.25">
      <c r="A167" s="463"/>
      <c r="B167" s="604" t="s">
        <v>494</v>
      </c>
      <c r="C167" s="604" t="s">
        <v>13655</v>
      </c>
      <c r="D167" s="604" t="s">
        <v>13260</v>
      </c>
      <c r="E167" s="604" t="s">
        <v>13656</v>
      </c>
      <c r="F167" s="604" t="s">
        <v>13656</v>
      </c>
      <c r="G167" s="604" t="s">
        <v>13656</v>
      </c>
      <c r="H167" s="604" t="s">
        <v>13656</v>
      </c>
      <c r="I167" s="604" t="s">
        <v>13656</v>
      </c>
      <c r="J167" s="586"/>
      <c r="K167" s="587"/>
      <c r="L167" s="587"/>
      <c r="M167" s="587"/>
      <c r="N167" s="587"/>
      <c r="O167" s="587"/>
      <c r="P167" s="587"/>
      <c r="Q167" s="587"/>
      <c r="R167" s="587"/>
      <c r="S167" s="587"/>
      <c r="T167" s="587"/>
      <c r="U167" s="587"/>
      <c r="V167" s="587"/>
      <c r="W167" s="587"/>
      <c r="X167" s="587"/>
    </row>
    <row r="168" spans="1:24" ht="51" x14ac:dyDescent="0.25">
      <c r="A168" s="605"/>
      <c r="B168" s="600" t="s">
        <v>13372</v>
      </c>
      <c r="C168" s="606" t="s">
        <v>13742</v>
      </c>
      <c r="D168" s="600" t="s">
        <v>580</v>
      </c>
      <c r="E168" s="607">
        <v>40.5</v>
      </c>
      <c r="F168" s="607">
        <v>50</v>
      </c>
      <c r="G168" s="607">
        <v>46.49</v>
      </c>
      <c r="H168" s="607"/>
      <c r="I168" s="608">
        <f>MEDIAN(E168:H168)</f>
        <v>46.49</v>
      </c>
      <c r="J168" s="586"/>
      <c r="K168" s="609">
        <f>L168/M168-1</f>
        <v>0.23456790123456783</v>
      </c>
      <c r="L168" s="610">
        <f>MAX(E168:H168)</f>
        <v>50</v>
      </c>
      <c r="M168" s="610">
        <f>MIN(E168:H168)</f>
        <v>40.5</v>
      </c>
      <c r="N168" s="587"/>
      <c r="O168" s="587"/>
      <c r="P168" s="587"/>
      <c r="Q168" s="587"/>
      <c r="R168" s="587"/>
      <c r="S168" s="587"/>
      <c r="T168" s="587"/>
      <c r="U168" s="587"/>
      <c r="V168" s="587"/>
      <c r="W168" s="587"/>
      <c r="X168" s="587"/>
    </row>
    <row r="169" spans="1:24" x14ac:dyDescent="0.25">
      <c r="A169" s="463"/>
      <c r="B169" s="639"/>
      <c r="C169" s="591"/>
      <c r="D169" s="639"/>
      <c r="E169" s="591"/>
      <c r="F169" s="591"/>
      <c r="G169" s="591"/>
      <c r="H169" s="591"/>
      <c r="I169" s="591"/>
      <c r="J169" s="586"/>
      <c r="K169" s="587"/>
      <c r="L169" s="587"/>
      <c r="M169" s="587"/>
      <c r="N169" s="587"/>
      <c r="O169" s="587"/>
      <c r="P169" s="587"/>
      <c r="Q169" s="587"/>
      <c r="R169" s="587"/>
      <c r="S169" s="587"/>
      <c r="T169" s="587"/>
      <c r="U169" s="587"/>
      <c r="V169" s="587"/>
      <c r="W169" s="587"/>
      <c r="X169" s="587"/>
    </row>
    <row r="170" spans="1:24" ht="15" customHeight="1" x14ac:dyDescent="0.25">
      <c r="A170" s="463"/>
      <c r="B170" s="590"/>
      <c r="C170" s="591"/>
      <c r="D170" s="592"/>
      <c r="E170" s="593" t="s">
        <v>13636</v>
      </c>
      <c r="F170" s="593" t="s">
        <v>13637</v>
      </c>
      <c r="G170" s="593" t="s">
        <v>13638</v>
      </c>
      <c r="H170" s="593" t="s">
        <v>13639</v>
      </c>
      <c r="I170" s="917" t="s">
        <v>13640</v>
      </c>
      <c r="J170" s="586"/>
      <c r="K170" s="587"/>
      <c r="L170" s="587"/>
      <c r="M170" s="587"/>
      <c r="N170" s="587"/>
      <c r="O170" s="587"/>
      <c r="P170" s="587"/>
      <c r="Q170" s="587"/>
      <c r="R170" s="587"/>
      <c r="S170" s="587"/>
      <c r="T170" s="587"/>
      <c r="U170" s="587"/>
      <c r="V170" s="587"/>
      <c r="W170" s="587"/>
      <c r="X170" s="587"/>
    </row>
    <row r="171" spans="1:24" x14ac:dyDescent="0.25">
      <c r="A171" s="463"/>
      <c r="B171" s="590"/>
      <c r="C171" s="596" t="s">
        <v>13641</v>
      </c>
      <c r="D171" s="597"/>
      <c r="E171" s="598">
        <v>45901</v>
      </c>
      <c r="F171" s="598">
        <v>45806</v>
      </c>
      <c r="G171" s="598">
        <v>45909</v>
      </c>
      <c r="H171" s="599"/>
      <c r="I171" s="917"/>
      <c r="J171" s="586"/>
      <c r="K171" s="587"/>
      <c r="L171" s="587"/>
      <c r="M171" s="587"/>
      <c r="N171" s="587"/>
      <c r="O171" s="587"/>
      <c r="P171" s="587"/>
      <c r="Q171" s="587"/>
      <c r="R171" s="587"/>
      <c r="S171" s="587"/>
      <c r="T171" s="587"/>
      <c r="U171" s="587"/>
      <c r="V171" s="587"/>
      <c r="W171" s="587"/>
      <c r="X171" s="587"/>
    </row>
    <row r="172" spans="1:24" ht="25.5" x14ac:dyDescent="0.25">
      <c r="A172" s="605"/>
      <c r="B172" s="590"/>
      <c r="C172" s="596" t="s">
        <v>13642</v>
      </c>
      <c r="D172" s="597"/>
      <c r="E172" s="600" t="s">
        <v>13743</v>
      </c>
      <c r="F172" s="600" t="s">
        <v>13744</v>
      </c>
      <c r="G172" s="600" t="s">
        <v>13745</v>
      </c>
      <c r="H172" s="601"/>
      <c r="I172" s="917"/>
      <c r="J172" s="586"/>
      <c r="K172" s="587"/>
      <c r="L172" s="587"/>
      <c r="M172" s="587"/>
      <c r="N172" s="587"/>
      <c r="O172" s="587"/>
      <c r="P172" s="587"/>
      <c r="Q172" s="587"/>
      <c r="R172" s="587"/>
      <c r="S172" s="587"/>
      <c r="T172" s="587"/>
      <c r="U172" s="587"/>
      <c r="V172" s="587"/>
      <c r="W172" s="587"/>
      <c r="X172" s="587"/>
    </row>
    <row r="173" spans="1:24" x14ac:dyDescent="0.25">
      <c r="A173" s="463"/>
      <c r="B173" s="590"/>
      <c r="C173" s="596" t="s">
        <v>13647</v>
      </c>
      <c r="D173" s="597"/>
      <c r="E173" s="600"/>
      <c r="F173" s="600" t="s">
        <v>13746</v>
      </c>
      <c r="G173" s="600" t="s">
        <v>13747</v>
      </c>
      <c r="H173" s="601"/>
      <c r="I173" s="917"/>
      <c r="J173" s="586"/>
      <c r="K173" s="587"/>
      <c r="L173" s="587"/>
      <c r="M173" s="587"/>
      <c r="N173" s="587"/>
      <c r="O173" s="587"/>
      <c r="P173" s="587"/>
      <c r="Q173" s="587"/>
      <c r="R173" s="587"/>
      <c r="S173" s="587"/>
      <c r="T173" s="587"/>
      <c r="U173" s="587"/>
      <c r="V173" s="587"/>
      <c r="W173" s="587"/>
      <c r="X173" s="587"/>
    </row>
    <row r="174" spans="1:24" ht="22.5" x14ac:dyDescent="0.25">
      <c r="A174" s="463"/>
      <c r="B174" s="590"/>
      <c r="C174" s="596" t="s">
        <v>13650</v>
      </c>
      <c r="D174" s="597"/>
      <c r="E174" s="602" t="s">
        <v>13748</v>
      </c>
      <c r="F174" s="602" t="s">
        <v>13749</v>
      </c>
      <c r="G174" s="602" t="s">
        <v>13750</v>
      </c>
      <c r="H174" s="602"/>
      <c r="I174" s="917"/>
      <c r="J174" s="586"/>
      <c r="K174" s="587"/>
      <c r="L174" s="587"/>
      <c r="M174" s="587"/>
      <c r="N174" s="587"/>
      <c r="O174" s="587"/>
      <c r="P174" s="587"/>
      <c r="Q174" s="587"/>
      <c r="R174" s="587"/>
      <c r="S174" s="587"/>
      <c r="T174" s="587"/>
      <c r="U174" s="587"/>
      <c r="V174" s="587"/>
      <c r="W174" s="587"/>
      <c r="X174" s="587"/>
    </row>
    <row r="175" spans="1:24" x14ac:dyDescent="0.25">
      <c r="A175" s="463"/>
      <c r="B175" s="604" t="s">
        <v>494</v>
      </c>
      <c r="C175" s="604" t="s">
        <v>13655</v>
      </c>
      <c r="D175" s="604" t="s">
        <v>13260</v>
      </c>
      <c r="E175" s="604" t="s">
        <v>13656</v>
      </c>
      <c r="F175" s="604" t="s">
        <v>13656</v>
      </c>
      <c r="G175" s="604" t="s">
        <v>13656</v>
      </c>
      <c r="H175" s="604" t="s">
        <v>13656</v>
      </c>
      <c r="I175" s="604" t="s">
        <v>13656</v>
      </c>
      <c r="J175" s="586"/>
      <c r="K175" s="587"/>
      <c r="L175" s="587"/>
      <c r="M175" s="587"/>
      <c r="N175" s="587"/>
      <c r="O175" s="587"/>
      <c r="P175" s="587"/>
      <c r="Q175" s="587"/>
      <c r="R175" s="587"/>
      <c r="S175" s="587"/>
      <c r="T175" s="587"/>
      <c r="U175" s="587"/>
      <c r="V175" s="587"/>
      <c r="W175" s="587"/>
      <c r="X175" s="587"/>
    </row>
    <row r="176" spans="1:24" ht="89.25" x14ac:dyDescent="0.25">
      <c r="A176" s="605"/>
      <c r="B176" s="640" t="s">
        <v>13432</v>
      </c>
      <c r="C176" s="641" t="s">
        <v>13431</v>
      </c>
      <c r="D176" s="642" t="s">
        <v>580</v>
      </c>
      <c r="E176" s="607">
        <f>5907.91*1.0975</f>
        <v>6483.9312249999994</v>
      </c>
      <c r="F176" s="607">
        <v>5065</v>
      </c>
      <c r="G176" s="607">
        <v>7005.36</v>
      </c>
      <c r="H176" s="607"/>
      <c r="I176" s="608">
        <f>MEDIAN(E176:H176)</f>
        <v>6483.9312249999994</v>
      </c>
      <c r="J176" s="586"/>
      <c r="K176" s="609">
        <f>L176/M176-1</f>
        <v>0.38309180651530106</v>
      </c>
      <c r="L176" s="610">
        <f>MAX(E176:H176)</f>
        <v>7005.36</v>
      </c>
      <c r="M176" s="610">
        <f>MIN(E176:H176)</f>
        <v>5065</v>
      </c>
      <c r="N176" s="587"/>
      <c r="O176" s="587"/>
      <c r="P176" s="587"/>
      <c r="Q176" s="587"/>
      <c r="R176" s="587"/>
      <c r="S176" s="587"/>
      <c r="T176" s="587"/>
      <c r="U176" s="587"/>
      <c r="V176" s="587"/>
      <c r="W176" s="587"/>
      <c r="X176" s="587"/>
    </row>
    <row r="177" spans="1:24" x14ac:dyDescent="0.25">
      <c r="A177" s="463"/>
      <c r="B177" s="639"/>
      <c r="C177" s="591"/>
      <c r="D177" s="639"/>
      <c r="E177" s="591"/>
      <c r="F177" s="591"/>
      <c r="G177" s="591"/>
      <c r="H177" s="591"/>
      <c r="I177" s="591"/>
      <c r="J177" s="586"/>
      <c r="K177" s="587"/>
      <c r="L177" s="587"/>
      <c r="M177" s="587"/>
      <c r="N177" s="587"/>
      <c r="O177" s="587"/>
      <c r="P177" s="587"/>
      <c r="Q177" s="587"/>
      <c r="R177" s="587"/>
      <c r="S177" s="587"/>
      <c r="T177" s="587"/>
      <c r="U177" s="587"/>
      <c r="V177" s="587"/>
      <c r="W177" s="587"/>
      <c r="X177" s="587"/>
    </row>
    <row r="178" spans="1:24" ht="15" customHeight="1" x14ac:dyDescent="0.25">
      <c r="A178" s="463"/>
      <c r="B178" s="590"/>
      <c r="C178" s="591"/>
      <c r="D178" s="592"/>
      <c r="E178" s="593" t="s">
        <v>13636</v>
      </c>
      <c r="F178" s="593" t="s">
        <v>13637</v>
      </c>
      <c r="G178" s="593" t="s">
        <v>13638</v>
      </c>
      <c r="H178" s="593" t="s">
        <v>13639</v>
      </c>
      <c r="I178" s="917" t="s">
        <v>13640</v>
      </c>
      <c r="J178" s="586"/>
      <c r="K178" s="587"/>
      <c r="L178" s="587"/>
      <c r="M178" s="587"/>
      <c r="N178" s="587"/>
      <c r="O178" s="587"/>
      <c r="P178" s="587"/>
      <c r="Q178" s="587"/>
      <c r="R178" s="587"/>
      <c r="S178" s="587"/>
      <c r="T178" s="587"/>
      <c r="U178" s="587"/>
      <c r="V178" s="587"/>
      <c r="W178" s="587"/>
      <c r="X178" s="587"/>
    </row>
    <row r="179" spans="1:24" x14ac:dyDescent="0.25">
      <c r="A179" s="463"/>
      <c r="B179" s="590"/>
      <c r="C179" s="596" t="s">
        <v>13641</v>
      </c>
      <c r="D179" s="597"/>
      <c r="E179" s="598">
        <v>45965</v>
      </c>
      <c r="F179" s="598">
        <v>45925</v>
      </c>
      <c r="G179" s="598">
        <v>45806</v>
      </c>
      <c r="H179" s="599">
        <v>45936</v>
      </c>
      <c r="I179" s="917"/>
      <c r="J179" s="586"/>
      <c r="K179" s="587"/>
      <c r="L179" s="587"/>
      <c r="M179" s="587"/>
      <c r="N179" s="587"/>
      <c r="O179" s="587"/>
      <c r="P179" s="587"/>
      <c r="Q179" s="587"/>
      <c r="R179" s="587"/>
      <c r="S179" s="587"/>
      <c r="T179" s="587"/>
      <c r="U179" s="587"/>
      <c r="V179" s="587"/>
      <c r="W179" s="587"/>
      <c r="X179" s="587"/>
    </row>
    <row r="180" spans="1:24" x14ac:dyDescent="0.25">
      <c r="A180" s="605"/>
      <c r="B180" s="590"/>
      <c r="C180" s="596" t="s">
        <v>13642</v>
      </c>
      <c r="D180" s="597"/>
      <c r="E180" s="600" t="s">
        <v>13751</v>
      </c>
      <c r="F180" s="600" t="s">
        <v>13752</v>
      </c>
      <c r="G180" s="600" t="s">
        <v>13753</v>
      </c>
      <c r="H180" s="601" t="s">
        <v>13754</v>
      </c>
      <c r="I180" s="917"/>
      <c r="J180" s="586"/>
      <c r="K180" s="587"/>
      <c r="L180" s="587"/>
      <c r="M180" s="587"/>
      <c r="N180" s="587"/>
      <c r="O180" s="587"/>
      <c r="P180" s="587"/>
      <c r="Q180" s="587"/>
      <c r="R180" s="587"/>
      <c r="S180" s="587"/>
      <c r="T180" s="587"/>
      <c r="U180" s="587"/>
      <c r="V180" s="587"/>
      <c r="W180" s="587"/>
      <c r="X180" s="587"/>
    </row>
    <row r="181" spans="1:24" x14ac:dyDescent="0.25">
      <c r="A181" s="605"/>
      <c r="B181" s="590"/>
      <c r="C181" s="596" t="s">
        <v>13647</v>
      </c>
      <c r="D181" s="597"/>
      <c r="E181" s="600"/>
      <c r="F181" s="600"/>
      <c r="G181" s="600" t="s">
        <v>13755</v>
      </c>
      <c r="H181" s="601" t="s">
        <v>13756</v>
      </c>
      <c r="I181" s="917"/>
      <c r="J181" s="586"/>
      <c r="K181" s="587"/>
      <c r="L181" s="587"/>
      <c r="M181" s="587"/>
      <c r="N181" s="587"/>
      <c r="O181" s="587"/>
      <c r="P181" s="587"/>
      <c r="Q181" s="587"/>
      <c r="R181" s="587"/>
      <c r="S181" s="587"/>
      <c r="T181" s="587"/>
      <c r="U181" s="587"/>
      <c r="V181" s="587"/>
      <c r="W181" s="587"/>
      <c r="X181" s="587"/>
    </row>
    <row r="182" spans="1:24" x14ac:dyDescent="0.25">
      <c r="A182" s="605"/>
      <c r="B182" s="590"/>
      <c r="C182" s="596" t="s">
        <v>13650</v>
      </c>
      <c r="D182" s="597"/>
      <c r="E182" s="602" t="s">
        <v>13757</v>
      </c>
      <c r="F182" s="602" t="s">
        <v>13758</v>
      </c>
      <c r="G182" s="602" t="s">
        <v>13759</v>
      </c>
      <c r="H182" s="602" t="s">
        <v>13760</v>
      </c>
      <c r="I182" s="917"/>
      <c r="J182" s="586"/>
      <c r="K182" s="587"/>
      <c r="L182" s="587"/>
      <c r="M182" s="587"/>
      <c r="N182" s="587"/>
      <c r="O182" s="587"/>
      <c r="P182" s="587"/>
      <c r="Q182" s="587"/>
      <c r="R182" s="587"/>
      <c r="S182" s="587"/>
      <c r="T182" s="587"/>
      <c r="U182" s="587"/>
      <c r="V182" s="587"/>
      <c r="W182" s="587"/>
      <c r="X182" s="587"/>
    </row>
    <row r="183" spans="1:24" x14ac:dyDescent="0.25">
      <c r="A183" s="605"/>
      <c r="B183" s="604" t="s">
        <v>494</v>
      </c>
      <c r="C183" s="604" t="s">
        <v>13655</v>
      </c>
      <c r="D183" s="604" t="s">
        <v>13260</v>
      </c>
      <c r="E183" s="604" t="s">
        <v>13656</v>
      </c>
      <c r="F183" s="604" t="s">
        <v>13656</v>
      </c>
      <c r="G183" s="604" t="s">
        <v>13656</v>
      </c>
      <c r="H183" s="604" t="s">
        <v>13656</v>
      </c>
      <c r="I183" s="604" t="s">
        <v>13656</v>
      </c>
      <c r="J183" s="586"/>
      <c r="K183" s="587"/>
      <c r="L183" s="587"/>
      <c r="M183" s="587"/>
      <c r="N183" s="587"/>
      <c r="O183" s="587"/>
      <c r="P183" s="587"/>
      <c r="Q183" s="587"/>
      <c r="R183" s="587"/>
      <c r="S183" s="587"/>
      <c r="T183" s="587"/>
      <c r="U183" s="587"/>
      <c r="V183" s="587"/>
      <c r="W183" s="587"/>
      <c r="X183" s="587"/>
    </row>
    <row r="184" spans="1:24" ht="89.25" x14ac:dyDescent="0.25">
      <c r="A184" s="605"/>
      <c r="B184" s="640" t="s">
        <v>13434</v>
      </c>
      <c r="C184" s="641" t="s">
        <v>13761</v>
      </c>
      <c r="D184" s="642" t="s">
        <v>580</v>
      </c>
      <c r="E184" s="607">
        <f>1703.05*1.0975</f>
        <v>1869.0973749999998</v>
      </c>
      <c r="F184" s="607"/>
      <c r="G184" s="607">
        <v>1046.4221</v>
      </c>
      <c r="H184" s="607">
        <v>1522.4269999999999</v>
      </c>
      <c r="I184" s="608">
        <f>MEDIAN(E184:H184)</f>
        <v>1522.4269999999999</v>
      </c>
      <c r="J184" s="586"/>
      <c r="K184" s="609">
        <f>L184/M184-1</f>
        <v>0.78617918620029137</v>
      </c>
      <c r="L184" s="610">
        <f>MAX(E184:H184)</f>
        <v>1869.0973749999998</v>
      </c>
      <c r="M184" s="610">
        <f>MIN(E184:H184)</f>
        <v>1046.4221</v>
      </c>
      <c r="N184" s="587"/>
      <c r="O184" s="587"/>
      <c r="P184" s="587"/>
      <c r="Q184" s="587"/>
      <c r="R184" s="587"/>
      <c r="S184" s="587"/>
      <c r="T184" s="587"/>
      <c r="U184" s="587"/>
      <c r="V184" s="587"/>
      <c r="W184" s="587"/>
      <c r="X184" s="587"/>
    </row>
    <row r="185" spans="1:24" ht="127.5" x14ac:dyDescent="0.25">
      <c r="A185" s="605"/>
      <c r="B185" s="611" t="s">
        <v>13657</v>
      </c>
      <c r="C185" s="612" t="s">
        <v>13761</v>
      </c>
      <c r="D185" s="613" t="s">
        <v>580</v>
      </c>
      <c r="E185" s="614">
        <f>1703.05*1.0975</f>
        <v>1869.0973749999998</v>
      </c>
      <c r="F185" s="614">
        <f>255673.6/70</f>
        <v>3652.48</v>
      </c>
      <c r="G185" s="614">
        <v>1046.4221</v>
      </c>
      <c r="H185" s="614">
        <v>1522.4269999999999</v>
      </c>
      <c r="I185" s="615"/>
      <c r="J185" s="586"/>
      <c r="K185" s="617"/>
      <c r="L185" s="617"/>
      <c r="M185" s="617"/>
      <c r="N185" s="587"/>
      <c r="O185" s="587"/>
      <c r="P185" s="587"/>
      <c r="Q185" s="587"/>
      <c r="R185" s="587"/>
      <c r="S185" s="587"/>
      <c r="T185" s="587"/>
      <c r="U185" s="587"/>
      <c r="V185" s="587"/>
      <c r="W185" s="587"/>
      <c r="X185" s="587"/>
    </row>
    <row r="186" spans="1:24" ht="89.25" x14ac:dyDescent="0.25">
      <c r="A186" s="605"/>
      <c r="B186" s="640" t="s">
        <v>13436</v>
      </c>
      <c r="C186" s="641" t="s">
        <v>13762</v>
      </c>
      <c r="D186" s="642" t="s">
        <v>580</v>
      </c>
      <c r="E186" s="607">
        <v>1741.62</v>
      </c>
      <c r="F186" s="607"/>
      <c r="G186" s="607">
        <v>1462.9208000000001</v>
      </c>
      <c r="H186" s="607">
        <v>1298.8398</v>
      </c>
      <c r="I186" s="608">
        <f>MEDIAN(E186:H186)</f>
        <v>1462.9208000000001</v>
      </c>
      <c r="J186" s="586"/>
      <c r="K186" s="609">
        <f>L186/M186-1</f>
        <v>0.34090439790958049</v>
      </c>
      <c r="L186" s="610">
        <f>MAX(E186:H186)</f>
        <v>1741.62</v>
      </c>
      <c r="M186" s="610">
        <f>MIN(E186:H186)</f>
        <v>1298.8398</v>
      </c>
      <c r="N186" s="587"/>
      <c r="O186" s="587"/>
      <c r="P186" s="587"/>
      <c r="Q186" s="587"/>
      <c r="R186" s="587"/>
      <c r="S186" s="587"/>
      <c r="T186" s="587"/>
      <c r="U186" s="587"/>
      <c r="V186" s="587"/>
      <c r="W186" s="587"/>
      <c r="X186" s="587"/>
    </row>
    <row r="187" spans="1:24" ht="127.5" x14ac:dyDescent="0.25">
      <c r="A187" s="605"/>
      <c r="B187" s="611" t="s">
        <v>13657</v>
      </c>
      <c r="C187" s="612" t="s">
        <v>13762</v>
      </c>
      <c r="D187" s="613" t="s">
        <v>580</v>
      </c>
      <c r="E187" s="614">
        <v>1741.62</v>
      </c>
      <c r="F187" s="614">
        <v>5754</v>
      </c>
      <c r="G187" s="614">
        <v>1462.9208000000001</v>
      </c>
      <c r="H187" s="614">
        <v>1298.8398</v>
      </c>
      <c r="I187" s="615"/>
      <c r="J187" s="586"/>
      <c r="K187" s="617"/>
      <c r="L187" s="617"/>
      <c r="M187" s="617"/>
      <c r="N187" s="587"/>
      <c r="O187" s="587"/>
      <c r="P187" s="587"/>
      <c r="Q187" s="587"/>
      <c r="R187" s="587"/>
      <c r="S187" s="587"/>
      <c r="T187" s="587"/>
      <c r="U187" s="587"/>
      <c r="V187" s="587"/>
      <c r="W187" s="587"/>
      <c r="X187" s="587"/>
    </row>
    <row r="188" spans="1:24" x14ac:dyDescent="0.25">
      <c r="A188" s="583"/>
      <c r="B188" s="643"/>
      <c r="C188" s="643"/>
      <c r="D188" s="643"/>
      <c r="E188" s="638"/>
      <c r="F188" s="638"/>
      <c r="G188" s="638"/>
      <c r="H188" s="638"/>
      <c r="I188" s="638"/>
      <c r="J188" s="472"/>
    </row>
    <row r="189" spans="1:24" x14ac:dyDescent="0.25">
      <c r="A189" s="583"/>
      <c r="B189" s="643"/>
      <c r="C189" s="643"/>
      <c r="D189" s="643"/>
      <c r="E189" s="638"/>
      <c r="F189" s="638"/>
      <c r="G189" s="638"/>
      <c r="H189" s="638"/>
      <c r="I189" s="638"/>
      <c r="J189" s="472"/>
    </row>
    <row r="190" spans="1:24" x14ac:dyDescent="0.25">
      <c r="A190" s="583"/>
      <c r="B190" s="643"/>
      <c r="C190" s="643"/>
      <c r="D190" s="643"/>
      <c r="E190" s="644"/>
      <c r="F190" s="644"/>
      <c r="G190" s="644"/>
      <c r="H190" s="644"/>
      <c r="I190" s="643"/>
      <c r="J190" s="472"/>
    </row>
    <row r="191" spans="1:24" x14ac:dyDescent="0.25">
      <c r="A191" s="583"/>
      <c r="B191" s="643"/>
      <c r="C191" s="643"/>
      <c r="D191" s="643"/>
      <c r="E191" s="644"/>
      <c r="F191" s="644"/>
      <c r="G191" s="644"/>
      <c r="H191" s="644"/>
      <c r="I191" s="643"/>
      <c r="J191" s="472"/>
    </row>
    <row r="192" spans="1:24" x14ac:dyDescent="0.25">
      <c r="A192" s="583"/>
      <c r="B192" s="643"/>
      <c r="C192" s="643"/>
      <c r="D192" s="643"/>
      <c r="E192" s="644"/>
      <c r="F192" s="644"/>
      <c r="G192" s="644"/>
      <c r="H192" s="644"/>
      <c r="I192" s="643"/>
      <c r="J192" s="472"/>
    </row>
    <row r="193" spans="1:10" x14ac:dyDescent="0.25">
      <c r="A193" s="583"/>
      <c r="B193" s="643"/>
      <c r="C193" s="643"/>
      <c r="D193" s="643"/>
      <c r="E193" s="644"/>
      <c r="F193" s="644"/>
      <c r="G193" s="644"/>
      <c r="H193" s="644"/>
      <c r="I193" s="643"/>
      <c r="J193" s="472"/>
    </row>
    <row r="194" spans="1:10" x14ac:dyDescent="0.25">
      <c r="A194" s="583"/>
      <c r="B194" s="643"/>
      <c r="C194" s="643"/>
      <c r="D194" s="643"/>
      <c r="E194" s="644"/>
      <c r="F194" s="644"/>
      <c r="G194" s="644"/>
      <c r="H194" s="644"/>
      <c r="I194" s="643"/>
      <c r="J194" s="472"/>
    </row>
    <row r="195" spans="1:10" x14ac:dyDescent="0.25">
      <c r="A195" s="583"/>
      <c r="B195" s="643"/>
      <c r="C195" s="643"/>
      <c r="D195" s="643"/>
      <c r="E195" s="644"/>
      <c r="F195" s="644"/>
      <c r="G195" s="644"/>
      <c r="H195" s="644"/>
      <c r="I195" s="643"/>
      <c r="J195" s="472"/>
    </row>
    <row r="196" spans="1:10" x14ac:dyDescent="0.25">
      <c r="A196" s="583"/>
      <c r="B196" s="643"/>
      <c r="C196" s="643"/>
      <c r="D196" s="643"/>
      <c r="E196" s="644"/>
      <c r="F196" s="644"/>
      <c r="G196" s="644"/>
      <c r="H196" s="644"/>
      <c r="I196" s="643"/>
      <c r="J196" s="472"/>
    </row>
    <row r="197" spans="1:10" x14ac:dyDescent="0.25">
      <c r="A197" s="583"/>
      <c r="B197" s="643"/>
      <c r="C197" s="643"/>
      <c r="D197" s="643"/>
      <c r="E197" s="644"/>
      <c r="F197" s="644"/>
      <c r="G197" s="644"/>
      <c r="H197" s="644"/>
      <c r="I197" s="643"/>
      <c r="J197" s="472"/>
    </row>
    <row r="198" spans="1:10" x14ac:dyDescent="0.25">
      <c r="A198" s="583"/>
      <c r="B198" s="643"/>
      <c r="C198" s="643"/>
      <c r="D198" s="643"/>
      <c r="E198" s="644"/>
      <c r="F198" s="644"/>
      <c r="G198" s="644"/>
      <c r="H198" s="644"/>
      <c r="I198" s="643"/>
      <c r="J198" s="472"/>
    </row>
    <row r="199" spans="1:10" x14ac:dyDescent="0.25">
      <c r="A199" s="583"/>
      <c r="B199" s="643"/>
      <c r="C199" s="643"/>
      <c r="D199" s="643"/>
      <c r="E199" s="644"/>
      <c r="F199" s="644"/>
      <c r="G199" s="644"/>
      <c r="H199" s="644"/>
      <c r="I199" s="643"/>
      <c r="J199" s="472"/>
    </row>
    <row r="200" spans="1:10" x14ac:dyDescent="0.25">
      <c r="A200" s="583"/>
      <c r="B200" s="643"/>
      <c r="C200" s="643"/>
      <c r="D200" s="643"/>
      <c r="E200" s="644"/>
      <c r="F200" s="644"/>
      <c r="G200" s="644"/>
      <c r="H200" s="644"/>
      <c r="I200" s="643"/>
      <c r="J200" s="472"/>
    </row>
    <row r="201" spans="1:10" x14ac:dyDescent="0.25">
      <c r="A201" s="583"/>
      <c r="B201" s="643"/>
      <c r="C201" s="643"/>
      <c r="D201" s="643"/>
      <c r="E201" s="644"/>
      <c r="F201" s="644"/>
      <c r="G201" s="644"/>
      <c r="H201" s="644"/>
      <c r="I201" s="643"/>
      <c r="J201" s="472"/>
    </row>
    <row r="202" spans="1:10" x14ac:dyDescent="0.25">
      <c r="A202" s="583"/>
      <c r="B202" s="643"/>
      <c r="C202" s="643"/>
      <c r="D202" s="643"/>
      <c r="E202" s="644"/>
      <c r="F202" s="644"/>
      <c r="G202" s="644"/>
      <c r="H202" s="644"/>
      <c r="I202" s="643"/>
      <c r="J202" s="472"/>
    </row>
    <row r="203" spans="1:10" x14ac:dyDescent="0.25">
      <c r="A203" s="583"/>
      <c r="B203" s="643"/>
      <c r="C203" s="643"/>
      <c r="D203" s="643"/>
      <c r="E203" s="644"/>
      <c r="F203" s="644"/>
      <c r="G203" s="644"/>
      <c r="H203" s="644"/>
      <c r="I203" s="643"/>
      <c r="J203" s="472"/>
    </row>
    <row r="204" spans="1:10" x14ac:dyDescent="0.25">
      <c r="A204" s="583"/>
      <c r="B204" s="643"/>
      <c r="C204" s="643"/>
      <c r="D204" s="643"/>
      <c r="E204" s="644"/>
      <c r="F204" s="644"/>
      <c r="G204" s="644"/>
      <c r="H204" s="644"/>
      <c r="I204" s="643"/>
      <c r="J204" s="472"/>
    </row>
    <row r="205" spans="1:10" x14ac:dyDescent="0.25">
      <c r="A205" s="583"/>
      <c r="B205" s="643"/>
      <c r="C205" s="643"/>
      <c r="D205" s="643"/>
      <c r="E205" s="644"/>
      <c r="F205" s="644"/>
      <c r="G205" s="644"/>
      <c r="H205" s="644"/>
      <c r="I205" s="643"/>
      <c r="J205" s="472"/>
    </row>
    <row r="206" spans="1:10" x14ac:dyDescent="0.25">
      <c r="A206" s="583"/>
      <c r="B206" s="643"/>
      <c r="C206" s="643"/>
      <c r="D206" s="643"/>
      <c r="E206" s="644"/>
      <c r="F206" s="644"/>
      <c r="G206" s="644"/>
      <c r="H206" s="644"/>
      <c r="I206" s="643"/>
      <c r="J206" s="472"/>
    </row>
    <row r="207" spans="1:10" x14ac:dyDescent="0.25">
      <c r="A207" s="583"/>
      <c r="B207" s="643"/>
      <c r="C207" s="643"/>
      <c r="D207" s="643"/>
      <c r="E207" s="644"/>
      <c r="F207" s="644"/>
      <c r="G207" s="644"/>
      <c r="H207" s="644"/>
      <c r="I207" s="643"/>
      <c r="J207" s="472"/>
    </row>
    <row r="208" spans="1:10" x14ac:dyDescent="0.25">
      <c r="A208" s="583"/>
      <c r="B208" s="643"/>
      <c r="C208" s="643"/>
      <c r="D208" s="643"/>
      <c r="E208" s="644"/>
      <c r="F208" s="644"/>
      <c r="G208" s="644"/>
      <c r="H208" s="644"/>
      <c r="I208" s="643"/>
      <c r="J208" s="472"/>
    </row>
    <row r="209" spans="1:10" x14ac:dyDescent="0.25">
      <c r="A209" s="583"/>
      <c r="B209" s="643"/>
      <c r="C209" s="643"/>
      <c r="D209" s="643"/>
      <c r="E209" s="644"/>
      <c r="F209" s="644"/>
      <c r="G209" s="644"/>
      <c r="H209" s="644"/>
      <c r="I209" s="643"/>
      <c r="J209" s="472"/>
    </row>
    <row r="210" spans="1:10" x14ac:dyDescent="0.25">
      <c r="A210" s="583"/>
      <c r="B210" s="643"/>
      <c r="C210" s="643"/>
      <c r="D210" s="643"/>
      <c r="E210" s="644"/>
      <c r="F210" s="644"/>
      <c r="G210" s="644"/>
      <c r="H210" s="644"/>
      <c r="I210" s="643"/>
      <c r="J210" s="472"/>
    </row>
    <row r="211" spans="1:10" x14ac:dyDescent="0.25">
      <c r="A211" s="583"/>
      <c r="B211" s="643"/>
      <c r="C211" s="643"/>
      <c r="D211" s="643"/>
      <c r="E211" s="644"/>
      <c r="F211" s="644"/>
      <c r="G211" s="644"/>
      <c r="H211" s="644"/>
      <c r="I211" s="643"/>
      <c r="J211" s="472"/>
    </row>
    <row r="212" spans="1:10" x14ac:dyDescent="0.25">
      <c r="A212" s="583"/>
      <c r="B212" s="643"/>
      <c r="C212" s="643"/>
      <c r="D212" s="643"/>
      <c r="E212" s="644"/>
      <c r="F212" s="644"/>
      <c r="G212" s="644"/>
      <c r="H212" s="644"/>
      <c r="I212" s="643"/>
      <c r="J212" s="472"/>
    </row>
    <row r="213" spans="1:10" x14ac:dyDescent="0.25">
      <c r="A213" s="583"/>
      <c r="B213" s="643"/>
      <c r="C213" s="643"/>
      <c r="D213" s="643"/>
      <c r="E213" s="644"/>
      <c r="F213" s="644"/>
      <c r="G213" s="644"/>
      <c r="H213" s="644"/>
      <c r="I213" s="643"/>
      <c r="J213" s="472"/>
    </row>
    <row r="214" spans="1:10" x14ac:dyDescent="0.25">
      <c r="A214" s="583"/>
      <c r="B214" s="643"/>
      <c r="C214" s="643"/>
      <c r="D214" s="643"/>
      <c r="E214" s="644"/>
      <c r="F214" s="644"/>
      <c r="G214" s="644"/>
      <c r="H214" s="644"/>
      <c r="I214" s="643"/>
      <c r="J214" s="472"/>
    </row>
    <row r="215" spans="1:10" x14ac:dyDescent="0.25">
      <c r="A215" s="583"/>
      <c r="B215" s="643"/>
      <c r="C215" s="643"/>
      <c r="D215" s="643"/>
      <c r="E215" s="644"/>
      <c r="F215" s="644"/>
      <c r="G215" s="644"/>
      <c r="H215" s="644"/>
      <c r="I215" s="643"/>
      <c r="J215" s="472"/>
    </row>
    <row r="216" spans="1:10" x14ac:dyDescent="0.25">
      <c r="A216" s="583"/>
      <c r="B216" s="643"/>
      <c r="C216" s="643"/>
      <c r="D216" s="643"/>
      <c r="E216" s="644"/>
      <c r="F216" s="644"/>
      <c r="G216" s="644"/>
      <c r="H216" s="644"/>
      <c r="I216" s="643"/>
      <c r="J216" s="472"/>
    </row>
    <row r="217" spans="1:10" x14ac:dyDescent="0.25">
      <c r="A217" s="583"/>
      <c r="B217" s="643"/>
      <c r="C217" s="643"/>
      <c r="D217" s="643"/>
      <c r="E217" s="644"/>
      <c r="F217" s="644"/>
      <c r="G217" s="644"/>
      <c r="H217" s="644"/>
      <c r="I217" s="643"/>
      <c r="J217" s="472"/>
    </row>
    <row r="218" spans="1:10" x14ac:dyDescent="0.25">
      <c r="A218" s="583"/>
      <c r="B218" s="643"/>
      <c r="C218" s="643"/>
      <c r="D218" s="643"/>
      <c r="E218" s="644"/>
      <c r="F218" s="644"/>
      <c r="G218" s="644"/>
      <c r="H218" s="644"/>
      <c r="I218" s="643"/>
      <c r="J218" s="472"/>
    </row>
    <row r="219" spans="1:10" x14ac:dyDescent="0.25">
      <c r="A219" s="583"/>
      <c r="B219" s="643"/>
      <c r="C219" s="643"/>
      <c r="D219" s="643"/>
      <c r="E219" s="644"/>
      <c r="F219" s="644"/>
      <c r="G219" s="644"/>
      <c r="H219" s="644"/>
      <c r="I219" s="643"/>
      <c r="J219" s="472"/>
    </row>
    <row r="220" spans="1:10" x14ac:dyDescent="0.25">
      <c r="A220" s="583"/>
      <c r="B220" s="643"/>
      <c r="C220" s="643"/>
      <c r="D220" s="643"/>
      <c r="E220" s="644"/>
      <c r="F220" s="644"/>
      <c r="G220" s="644"/>
      <c r="H220" s="644"/>
      <c r="I220" s="643"/>
      <c r="J220" s="472"/>
    </row>
    <row r="221" spans="1:10" x14ac:dyDescent="0.25">
      <c r="A221" s="583"/>
      <c r="B221" s="643"/>
      <c r="C221" s="643"/>
      <c r="D221" s="643"/>
      <c r="E221" s="644"/>
      <c r="F221" s="644"/>
      <c r="G221" s="644"/>
      <c r="H221" s="644"/>
      <c r="I221" s="643"/>
      <c r="J221" s="472"/>
    </row>
    <row r="222" spans="1:10" x14ac:dyDescent="0.25">
      <c r="A222" s="583"/>
      <c r="B222" s="643"/>
      <c r="C222" s="643"/>
      <c r="D222" s="643"/>
      <c r="E222" s="644"/>
      <c r="F222" s="644"/>
      <c r="G222" s="644"/>
      <c r="H222" s="644"/>
      <c r="I222" s="643"/>
      <c r="J222" s="472"/>
    </row>
    <row r="223" spans="1:10" x14ac:dyDescent="0.25">
      <c r="A223" s="583"/>
      <c r="B223" s="643"/>
      <c r="C223" s="643"/>
      <c r="D223" s="643"/>
      <c r="E223" s="644"/>
      <c r="F223" s="644"/>
      <c r="G223" s="644"/>
      <c r="H223" s="644"/>
      <c r="I223" s="643"/>
      <c r="J223" s="472"/>
    </row>
    <row r="224" spans="1:10" x14ac:dyDescent="0.25">
      <c r="A224" s="583"/>
      <c r="B224" s="643"/>
      <c r="C224" s="643"/>
      <c r="D224" s="643"/>
      <c r="E224" s="644"/>
      <c r="F224" s="644"/>
      <c r="G224" s="644"/>
      <c r="H224" s="644"/>
      <c r="I224" s="643"/>
      <c r="J224" s="472"/>
    </row>
    <row r="225" spans="1:10" x14ac:dyDescent="0.25">
      <c r="A225" s="583"/>
      <c r="B225" s="643"/>
      <c r="C225" s="643"/>
      <c r="D225" s="643"/>
      <c r="E225" s="644"/>
      <c r="F225" s="644"/>
      <c r="G225" s="644"/>
      <c r="H225" s="644"/>
      <c r="I225" s="643"/>
      <c r="J225" s="472"/>
    </row>
    <row r="226" spans="1:10" x14ac:dyDescent="0.25">
      <c r="A226" s="583"/>
      <c r="B226" s="643"/>
      <c r="C226" s="643"/>
      <c r="D226" s="643"/>
      <c r="E226" s="644"/>
      <c r="F226" s="644"/>
      <c r="G226" s="644"/>
      <c r="H226" s="644"/>
      <c r="I226" s="643"/>
      <c r="J226" s="472"/>
    </row>
    <row r="227" spans="1:10" x14ac:dyDescent="0.25">
      <c r="A227" s="583"/>
      <c r="B227" s="643"/>
      <c r="C227" s="643"/>
      <c r="D227" s="643"/>
      <c r="E227" s="644"/>
      <c r="F227" s="644"/>
      <c r="G227" s="644"/>
      <c r="H227" s="644"/>
      <c r="I227" s="643"/>
      <c r="J227" s="472"/>
    </row>
    <row r="228" spans="1:10" x14ac:dyDescent="0.25">
      <c r="A228" s="583"/>
      <c r="B228" s="643"/>
      <c r="C228" s="643"/>
      <c r="D228" s="643"/>
      <c r="E228" s="644"/>
      <c r="F228" s="644"/>
      <c r="G228" s="644"/>
      <c r="H228" s="644"/>
      <c r="I228" s="643"/>
      <c r="J228" s="472"/>
    </row>
    <row r="229" spans="1:10" x14ac:dyDescent="0.25">
      <c r="A229" s="583"/>
      <c r="B229" s="643"/>
      <c r="C229" s="643"/>
      <c r="D229" s="643"/>
      <c r="E229" s="644"/>
      <c r="F229" s="644"/>
      <c r="G229" s="644"/>
      <c r="H229" s="644"/>
      <c r="I229" s="643"/>
      <c r="J229" s="472"/>
    </row>
    <row r="230" spans="1:10" x14ac:dyDescent="0.25">
      <c r="A230" s="583"/>
      <c r="B230" s="643"/>
      <c r="C230" s="643"/>
      <c r="D230" s="643"/>
      <c r="E230" s="644"/>
      <c r="F230" s="644"/>
      <c r="G230" s="644"/>
      <c r="H230" s="644"/>
      <c r="I230" s="643"/>
      <c r="J230" s="472"/>
    </row>
    <row r="231" spans="1:10" x14ac:dyDescent="0.25">
      <c r="A231" s="583"/>
      <c r="B231" s="643"/>
      <c r="C231" s="643"/>
      <c r="D231" s="643"/>
      <c r="E231" s="644"/>
      <c r="F231" s="644"/>
      <c r="G231" s="644"/>
      <c r="H231" s="644"/>
      <c r="I231" s="643"/>
      <c r="J231" s="472"/>
    </row>
    <row r="232" spans="1:10" x14ac:dyDescent="0.25">
      <c r="A232" s="583"/>
      <c r="B232" s="643"/>
      <c r="C232" s="643"/>
      <c r="D232" s="643"/>
      <c r="E232" s="644"/>
      <c r="F232" s="644"/>
      <c r="G232" s="644"/>
      <c r="H232" s="644"/>
      <c r="I232" s="643"/>
      <c r="J232" s="472"/>
    </row>
    <row r="233" spans="1:10" x14ac:dyDescent="0.25">
      <c r="A233" s="583"/>
      <c r="B233" s="643"/>
      <c r="C233" s="643"/>
      <c r="D233" s="643"/>
      <c r="E233" s="644"/>
      <c r="F233" s="644"/>
      <c r="G233" s="644"/>
      <c r="H233" s="644"/>
      <c r="I233" s="643"/>
      <c r="J233" s="472"/>
    </row>
    <row r="234" spans="1:10" x14ac:dyDescent="0.25">
      <c r="A234" s="583"/>
      <c r="B234" s="643"/>
      <c r="C234" s="643"/>
      <c r="D234" s="643"/>
      <c r="E234" s="644"/>
      <c r="F234" s="644"/>
      <c r="G234" s="644"/>
      <c r="H234" s="644"/>
      <c r="I234" s="643"/>
      <c r="J234" s="472"/>
    </row>
    <row r="235" spans="1:10" x14ac:dyDescent="0.25">
      <c r="A235" s="583"/>
      <c r="B235" s="643"/>
      <c r="C235" s="643"/>
      <c r="D235" s="643"/>
      <c r="E235" s="644"/>
      <c r="F235" s="644"/>
      <c r="G235" s="644"/>
      <c r="H235" s="644"/>
      <c r="I235" s="643"/>
      <c r="J235" s="472"/>
    </row>
    <row r="236" spans="1:10" x14ac:dyDescent="0.25">
      <c r="A236" s="583"/>
      <c r="B236" s="643"/>
      <c r="C236" s="643"/>
      <c r="D236" s="643"/>
      <c r="E236" s="644"/>
      <c r="F236" s="644"/>
      <c r="G236" s="644"/>
      <c r="H236" s="644"/>
      <c r="I236" s="643"/>
      <c r="J236" s="472"/>
    </row>
    <row r="237" spans="1:10" x14ac:dyDescent="0.25">
      <c r="A237" s="583"/>
      <c r="B237" s="643"/>
      <c r="C237" s="643"/>
      <c r="D237" s="643"/>
      <c r="E237" s="644"/>
      <c r="F237" s="644"/>
      <c r="G237" s="644"/>
      <c r="H237" s="644"/>
      <c r="I237" s="643"/>
      <c r="J237" s="472"/>
    </row>
    <row r="238" spans="1:10" x14ac:dyDescent="0.25">
      <c r="A238" s="583"/>
      <c r="B238" s="643"/>
      <c r="C238" s="643"/>
      <c r="D238" s="643"/>
      <c r="E238" s="644"/>
      <c r="F238" s="644"/>
      <c r="G238" s="644"/>
      <c r="H238" s="644"/>
      <c r="I238" s="643"/>
      <c r="J238" s="472"/>
    </row>
    <row r="239" spans="1:10" x14ac:dyDescent="0.25">
      <c r="A239" s="583"/>
      <c r="B239" s="643"/>
      <c r="C239" s="643"/>
      <c r="D239" s="643"/>
      <c r="E239" s="644"/>
      <c r="F239" s="644"/>
      <c r="G239" s="644"/>
      <c r="H239" s="644"/>
      <c r="I239" s="643"/>
      <c r="J239" s="472"/>
    </row>
    <row r="240" spans="1:10" x14ac:dyDescent="0.25">
      <c r="A240" s="583"/>
      <c r="B240" s="643"/>
      <c r="C240" s="643"/>
      <c r="D240" s="643"/>
      <c r="E240" s="644"/>
      <c r="F240" s="644"/>
      <c r="G240" s="644"/>
      <c r="H240" s="644"/>
      <c r="I240" s="643"/>
      <c r="J240" s="472"/>
    </row>
    <row r="241" spans="1:10" x14ac:dyDescent="0.25">
      <c r="A241" s="583"/>
      <c r="B241" s="643"/>
      <c r="C241" s="643"/>
      <c r="D241" s="643"/>
      <c r="E241" s="644"/>
      <c r="F241" s="644"/>
      <c r="G241" s="644"/>
      <c r="H241" s="644"/>
      <c r="I241" s="643"/>
      <c r="J241" s="472"/>
    </row>
    <row r="242" spans="1:10" x14ac:dyDescent="0.25">
      <c r="A242" s="583"/>
      <c r="B242" s="643"/>
      <c r="C242" s="643"/>
      <c r="D242" s="643"/>
      <c r="E242" s="644"/>
      <c r="F242" s="644"/>
      <c r="G242" s="644"/>
      <c r="H242" s="644"/>
      <c r="I242" s="643"/>
      <c r="J242" s="472"/>
    </row>
    <row r="243" spans="1:10" x14ac:dyDescent="0.25">
      <c r="A243" s="583"/>
      <c r="B243" s="643"/>
      <c r="C243" s="643"/>
      <c r="D243" s="643"/>
      <c r="E243" s="644"/>
      <c r="F243" s="644"/>
      <c r="G243" s="644"/>
      <c r="H243" s="644"/>
      <c r="I243" s="643"/>
      <c r="J243" s="472"/>
    </row>
    <row r="244" spans="1:10" x14ac:dyDescent="0.25">
      <c r="A244" s="583"/>
      <c r="B244" s="643"/>
      <c r="C244" s="643"/>
      <c r="D244" s="643"/>
      <c r="E244" s="644"/>
      <c r="F244" s="644"/>
      <c r="G244" s="644"/>
      <c r="H244" s="644"/>
      <c r="I244" s="643"/>
      <c r="J244" s="472"/>
    </row>
    <row r="245" spans="1:10" x14ac:dyDescent="0.25">
      <c r="A245" s="583"/>
      <c r="B245" s="643"/>
      <c r="C245" s="643"/>
      <c r="D245" s="643"/>
      <c r="E245" s="644"/>
      <c r="F245" s="644"/>
      <c r="G245" s="644"/>
      <c r="H245" s="644"/>
      <c r="I245" s="643"/>
      <c r="J245" s="472"/>
    </row>
    <row r="246" spans="1:10" x14ac:dyDescent="0.25">
      <c r="A246" s="583"/>
      <c r="B246" s="643"/>
      <c r="C246" s="643"/>
      <c r="D246" s="643"/>
      <c r="E246" s="644"/>
      <c r="F246" s="644"/>
      <c r="G246" s="644"/>
      <c r="H246" s="644"/>
      <c r="I246" s="643"/>
      <c r="J246" s="472"/>
    </row>
    <row r="247" spans="1:10" x14ac:dyDescent="0.25">
      <c r="A247" s="583"/>
      <c r="B247" s="643"/>
      <c r="C247" s="643"/>
      <c r="D247" s="643"/>
      <c r="E247" s="644"/>
      <c r="F247" s="644"/>
      <c r="G247" s="644"/>
      <c r="H247" s="644"/>
      <c r="I247" s="643"/>
      <c r="J247" s="472"/>
    </row>
    <row r="248" spans="1:10" x14ac:dyDescent="0.25">
      <c r="A248" s="583"/>
      <c r="B248" s="643"/>
      <c r="C248" s="643"/>
      <c r="D248" s="643"/>
      <c r="E248" s="644"/>
      <c r="F248" s="644"/>
      <c r="G248" s="644"/>
      <c r="H248" s="644"/>
      <c r="I248" s="643"/>
      <c r="J248" s="472"/>
    </row>
    <row r="249" spans="1:10" x14ac:dyDescent="0.25">
      <c r="A249" s="583"/>
      <c r="B249" s="643"/>
      <c r="C249" s="643"/>
      <c r="D249" s="643"/>
      <c r="E249" s="644"/>
      <c r="F249" s="644"/>
      <c r="G249" s="644"/>
      <c r="H249" s="644"/>
      <c r="I249" s="643"/>
      <c r="J249" s="472"/>
    </row>
    <row r="250" spans="1:10" x14ac:dyDescent="0.25">
      <c r="A250" s="583"/>
      <c r="B250" s="643"/>
      <c r="C250" s="643"/>
      <c r="D250" s="643"/>
      <c r="E250" s="644"/>
      <c r="F250" s="644"/>
      <c r="G250" s="644"/>
      <c r="H250" s="644"/>
      <c r="I250" s="643"/>
      <c r="J250" s="472"/>
    </row>
    <row r="251" spans="1:10" x14ac:dyDescent="0.25">
      <c r="A251" s="583"/>
      <c r="B251" s="643"/>
      <c r="C251" s="643"/>
      <c r="D251" s="643"/>
      <c r="E251" s="644"/>
      <c r="F251" s="644"/>
      <c r="G251" s="644"/>
      <c r="H251" s="644"/>
      <c r="I251" s="643"/>
      <c r="J251" s="472"/>
    </row>
    <row r="252" spans="1:10" x14ac:dyDescent="0.25">
      <c r="A252" s="583"/>
      <c r="B252" s="643"/>
      <c r="C252" s="643"/>
      <c r="D252" s="643"/>
      <c r="E252" s="644"/>
      <c r="F252" s="644"/>
      <c r="G252" s="644"/>
      <c r="H252" s="644"/>
      <c r="I252" s="643"/>
      <c r="J252" s="472"/>
    </row>
    <row r="253" spans="1:10" x14ac:dyDescent="0.25">
      <c r="A253" s="583"/>
      <c r="B253" s="643"/>
      <c r="C253" s="643"/>
      <c r="D253" s="643"/>
      <c r="E253" s="644"/>
      <c r="F253" s="644"/>
      <c r="G253" s="644"/>
      <c r="H253" s="644"/>
      <c r="I253" s="643"/>
      <c r="J253" s="472"/>
    </row>
    <row r="254" spans="1:10" x14ac:dyDescent="0.25">
      <c r="A254" s="583"/>
      <c r="B254" s="643"/>
      <c r="C254" s="643"/>
      <c r="D254" s="643"/>
      <c r="E254" s="644"/>
      <c r="F254" s="644"/>
      <c r="G254" s="644"/>
      <c r="H254" s="644"/>
      <c r="I254" s="643"/>
      <c r="J254" s="472"/>
    </row>
    <row r="255" spans="1:10" x14ac:dyDescent="0.25">
      <c r="A255" s="583"/>
      <c r="B255" s="643"/>
      <c r="C255" s="643"/>
      <c r="D255" s="643"/>
      <c r="E255" s="644"/>
      <c r="F255" s="644"/>
      <c r="G255" s="644"/>
      <c r="H255" s="644"/>
      <c r="I255" s="643"/>
      <c r="J255" s="472"/>
    </row>
    <row r="256" spans="1:10" x14ac:dyDescent="0.25">
      <c r="A256" s="583"/>
      <c r="B256" s="643"/>
      <c r="C256" s="643"/>
      <c r="D256" s="643"/>
      <c r="E256" s="644"/>
      <c r="F256" s="644"/>
      <c r="G256" s="644"/>
      <c r="H256" s="644"/>
      <c r="I256" s="643"/>
      <c r="J256" s="472"/>
    </row>
    <row r="257" spans="1:10" x14ac:dyDescent="0.25">
      <c r="A257" s="583"/>
      <c r="B257" s="643"/>
      <c r="C257" s="643"/>
      <c r="D257" s="643"/>
      <c r="E257" s="644"/>
      <c r="F257" s="644"/>
      <c r="G257" s="644"/>
      <c r="H257" s="644"/>
      <c r="I257" s="643"/>
      <c r="J257" s="472"/>
    </row>
    <row r="258" spans="1:10" x14ac:dyDescent="0.25">
      <c r="A258" s="583"/>
      <c r="B258" s="643"/>
      <c r="C258" s="643"/>
      <c r="D258" s="643"/>
      <c r="E258" s="644"/>
      <c r="F258" s="644"/>
      <c r="G258" s="644"/>
      <c r="H258" s="644"/>
      <c r="I258" s="643"/>
      <c r="J258" s="472"/>
    </row>
    <row r="259" spans="1:10" x14ac:dyDescent="0.25">
      <c r="A259" s="583"/>
      <c r="B259" s="643"/>
      <c r="C259" s="643"/>
      <c r="D259" s="643"/>
      <c r="E259" s="644"/>
      <c r="F259" s="644"/>
      <c r="G259" s="644"/>
      <c r="H259" s="644"/>
      <c r="I259" s="643"/>
      <c r="J259" s="472"/>
    </row>
    <row r="260" spans="1:10" x14ac:dyDescent="0.25">
      <c r="A260" s="583"/>
      <c r="B260" s="643"/>
      <c r="C260" s="643"/>
      <c r="D260" s="643"/>
      <c r="E260" s="644"/>
      <c r="F260" s="644"/>
      <c r="G260" s="644"/>
      <c r="H260" s="644"/>
      <c r="I260" s="643"/>
      <c r="J260" s="472"/>
    </row>
    <row r="261" spans="1:10" x14ac:dyDescent="0.25">
      <c r="A261" s="583"/>
      <c r="B261" s="643"/>
      <c r="C261" s="643"/>
      <c r="D261" s="643"/>
      <c r="E261" s="644"/>
      <c r="F261" s="644"/>
      <c r="G261" s="644"/>
      <c r="H261" s="644"/>
      <c r="I261" s="643"/>
      <c r="J261" s="472"/>
    </row>
    <row r="262" spans="1:10" x14ac:dyDescent="0.25">
      <c r="A262" s="583"/>
      <c r="B262" s="643"/>
      <c r="C262" s="643"/>
      <c r="D262" s="643"/>
      <c r="E262" s="644"/>
      <c r="F262" s="644"/>
      <c r="G262" s="644"/>
      <c r="H262" s="644"/>
      <c r="I262" s="643"/>
      <c r="J262" s="472"/>
    </row>
    <row r="263" spans="1:10" x14ac:dyDescent="0.25">
      <c r="A263" s="583"/>
      <c r="B263" s="643"/>
      <c r="C263" s="643"/>
      <c r="D263" s="643"/>
      <c r="E263" s="644"/>
      <c r="F263" s="644"/>
      <c r="G263" s="644"/>
      <c r="H263" s="644"/>
      <c r="I263" s="643"/>
      <c r="J263" s="472"/>
    </row>
    <row r="264" spans="1:10" x14ac:dyDescent="0.25">
      <c r="A264" s="583"/>
      <c r="B264" s="643"/>
      <c r="C264" s="643"/>
      <c r="D264" s="643"/>
      <c r="E264" s="644"/>
      <c r="F264" s="644"/>
      <c r="G264" s="644"/>
      <c r="H264" s="644"/>
      <c r="I264" s="643"/>
      <c r="J264" s="472"/>
    </row>
    <row r="265" spans="1:10" x14ac:dyDescent="0.25">
      <c r="A265" s="583"/>
      <c r="B265" s="643"/>
      <c r="C265" s="643"/>
      <c r="D265" s="643"/>
      <c r="E265" s="644"/>
      <c r="F265" s="644"/>
      <c r="G265" s="644"/>
      <c r="H265" s="644"/>
      <c r="I265" s="643"/>
      <c r="J265" s="472"/>
    </row>
    <row r="266" spans="1:10" x14ac:dyDescent="0.25">
      <c r="A266" s="583"/>
      <c r="B266" s="643"/>
      <c r="C266" s="643"/>
      <c r="D266" s="643"/>
      <c r="E266" s="644"/>
      <c r="F266" s="644"/>
      <c r="G266" s="644"/>
      <c r="H266" s="644"/>
      <c r="I266" s="643"/>
      <c r="J266" s="472"/>
    </row>
    <row r="267" spans="1:10" x14ac:dyDescent="0.25">
      <c r="A267" s="583"/>
      <c r="B267" s="643"/>
      <c r="C267" s="643"/>
      <c r="D267" s="643"/>
      <c r="E267" s="644"/>
      <c r="F267" s="644"/>
      <c r="G267" s="644"/>
      <c r="H267" s="644"/>
      <c r="I267" s="643"/>
      <c r="J267" s="472"/>
    </row>
    <row r="268" spans="1:10" x14ac:dyDescent="0.25">
      <c r="A268" s="583"/>
      <c r="B268" s="643"/>
      <c r="C268" s="643"/>
      <c r="D268" s="643"/>
      <c r="E268" s="644"/>
      <c r="F268" s="644"/>
      <c r="G268" s="644"/>
      <c r="H268" s="644"/>
      <c r="I268" s="643"/>
      <c r="J268" s="472"/>
    </row>
    <row r="269" spans="1:10" x14ac:dyDescent="0.25">
      <c r="A269" s="583"/>
      <c r="B269" s="643"/>
      <c r="C269" s="643"/>
      <c r="D269" s="643"/>
      <c r="E269" s="644"/>
      <c r="F269" s="644"/>
      <c r="G269" s="644"/>
      <c r="H269" s="644"/>
      <c r="I269" s="643"/>
      <c r="J269" s="472"/>
    </row>
    <row r="270" spans="1:10" x14ac:dyDescent="0.25">
      <c r="A270" s="583"/>
      <c r="B270" s="643"/>
      <c r="C270" s="643"/>
      <c r="D270" s="643"/>
      <c r="E270" s="644"/>
      <c r="F270" s="644"/>
      <c r="G270" s="644"/>
      <c r="H270" s="644"/>
      <c r="I270" s="643"/>
      <c r="J270" s="472"/>
    </row>
    <row r="271" spans="1:10" x14ac:dyDescent="0.25">
      <c r="A271" s="583"/>
      <c r="B271" s="643"/>
      <c r="C271" s="643"/>
      <c r="D271" s="643"/>
      <c r="E271" s="644"/>
      <c r="F271" s="644"/>
      <c r="G271" s="644"/>
      <c r="H271" s="644"/>
      <c r="I271" s="643"/>
      <c r="J271" s="472"/>
    </row>
    <row r="272" spans="1:10" x14ac:dyDescent="0.25">
      <c r="A272" s="583"/>
      <c r="B272" s="643"/>
      <c r="C272" s="643"/>
      <c r="D272" s="643"/>
      <c r="E272" s="644"/>
      <c r="F272" s="644"/>
      <c r="G272" s="644"/>
      <c r="H272" s="644"/>
      <c r="I272" s="643"/>
      <c r="J272" s="472"/>
    </row>
    <row r="273" spans="1:10" x14ac:dyDescent="0.25">
      <c r="A273" s="583"/>
      <c r="B273" s="643"/>
      <c r="C273" s="643"/>
      <c r="D273" s="643"/>
      <c r="E273" s="644"/>
      <c r="F273" s="644"/>
      <c r="G273" s="644"/>
      <c r="H273" s="644"/>
      <c r="I273" s="643"/>
      <c r="J273" s="472"/>
    </row>
    <row r="274" spans="1:10" x14ac:dyDescent="0.25">
      <c r="A274" s="583"/>
      <c r="B274" s="643"/>
      <c r="C274" s="643"/>
      <c r="D274" s="643"/>
      <c r="E274" s="644"/>
      <c r="F274" s="644"/>
      <c r="G274" s="644"/>
      <c r="H274" s="644"/>
      <c r="I274" s="643"/>
      <c r="J274" s="472"/>
    </row>
    <row r="275" spans="1:10" x14ac:dyDescent="0.25">
      <c r="A275" s="583"/>
      <c r="B275" s="643"/>
      <c r="C275" s="643"/>
      <c r="D275" s="643"/>
      <c r="E275" s="644"/>
      <c r="F275" s="644"/>
      <c r="G275" s="644"/>
      <c r="H275" s="644"/>
      <c r="I275" s="643"/>
      <c r="J275" s="472"/>
    </row>
    <row r="276" spans="1:10" x14ac:dyDescent="0.25">
      <c r="A276" s="583"/>
      <c r="B276" s="643"/>
      <c r="C276" s="643"/>
      <c r="D276" s="643"/>
      <c r="E276" s="644"/>
      <c r="F276" s="644"/>
      <c r="G276" s="644"/>
      <c r="H276" s="644"/>
      <c r="I276" s="643"/>
      <c r="J276" s="472"/>
    </row>
    <row r="277" spans="1:10" x14ac:dyDescent="0.25">
      <c r="A277" s="583"/>
      <c r="B277" s="643"/>
      <c r="C277" s="643"/>
      <c r="D277" s="643"/>
      <c r="E277" s="644"/>
      <c r="F277" s="644"/>
      <c r="G277" s="644"/>
      <c r="H277" s="644"/>
      <c r="I277" s="643"/>
      <c r="J277" s="472"/>
    </row>
    <row r="278" spans="1:10" x14ac:dyDescent="0.25">
      <c r="A278" s="583"/>
      <c r="B278" s="643"/>
      <c r="C278" s="643"/>
      <c r="D278" s="643"/>
      <c r="E278" s="644"/>
      <c r="F278" s="644"/>
      <c r="G278" s="644"/>
      <c r="H278" s="644"/>
      <c r="I278" s="643"/>
      <c r="J278" s="472"/>
    </row>
    <row r="279" spans="1:10" x14ac:dyDescent="0.25">
      <c r="A279" s="583"/>
      <c r="B279" s="643"/>
      <c r="C279" s="643"/>
      <c r="D279" s="643"/>
      <c r="E279" s="644"/>
      <c r="F279" s="644"/>
      <c r="G279" s="644"/>
      <c r="H279" s="644"/>
      <c r="I279" s="643"/>
      <c r="J279" s="472"/>
    </row>
    <row r="280" spans="1:10" x14ac:dyDescent="0.25">
      <c r="A280" s="583"/>
      <c r="B280" s="643"/>
      <c r="C280" s="643"/>
      <c r="D280" s="643"/>
      <c r="E280" s="644"/>
      <c r="F280" s="644"/>
      <c r="G280" s="644"/>
      <c r="H280" s="644"/>
      <c r="I280" s="643"/>
      <c r="J280" s="472"/>
    </row>
    <row r="281" spans="1:10" x14ac:dyDescent="0.25">
      <c r="A281" s="583"/>
      <c r="B281" s="643"/>
      <c r="C281" s="643"/>
      <c r="D281" s="643"/>
      <c r="E281" s="644"/>
      <c r="F281" s="644"/>
      <c r="G281" s="644"/>
      <c r="H281" s="644"/>
      <c r="I281" s="643"/>
      <c r="J281" s="472"/>
    </row>
    <row r="282" spans="1:10" x14ac:dyDescent="0.25">
      <c r="A282" s="583"/>
      <c r="B282" s="643"/>
      <c r="C282" s="643"/>
      <c r="D282" s="643"/>
      <c r="E282" s="644"/>
      <c r="F282" s="644"/>
      <c r="G282" s="644"/>
      <c r="H282" s="644"/>
      <c r="I282" s="643"/>
      <c r="J282" s="472"/>
    </row>
    <row r="283" spans="1:10" x14ac:dyDescent="0.25">
      <c r="A283" s="583"/>
      <c r="B283" s="643"/>
      <c r="C283" s="643"/>
      <c r="D283" s="643"/>
      <c r="E283" s="644"/>
      <c r="F283" s="644"/>
      <c r="G283" s="644"/>
      <c r="H283" s="644"/>
      <c r="I283" s="643"/>
      <c r="J283" s="472"/>
    </row>
    <row r="284" spans="1:10" x14ac:dyDescent="0.25">
      <c r="A284" s="583"/>
      <c r="B284" s="643"/>
      <c r="C284" s="643"/>
      <c r="D284" s="643"/>
      <c r="E284" s="644"/>
      <c r="F284" s="644"/>
      <c r="G284" s="644"/>
      <c r="H284" s="644"/>
      <c r="I284" s="643"/>
      <c r="J284" s="472"/>
    </row>
    <row r="285" spans="1:10" x14ac:dyDescent="0.25">
      <c r="A285" s="583"/>
      <c r="B285" s="643"/>
      <c r="C285" s="643"/>
      <c r="D285" s="643"/>
      <c r="E285" s="644"/>
      <c r="F285" s="644"/>
      <c r="G285" s="644"/>
      <c r="H285" s="644"/>
      <c r="I285" s="643"/>
      <c r="J285" s="472"/>
    </row>
    <row r="286" spans="1:10" x14ac:dyDescent="0.25">
      <c r="A286" s="583"/>
      <c r="B286" s="643"/>
      <c r="C286" s="643"/>
      <c r="D286" s="643"/>
      <c r="E286" s="644"/>
      <c r="F286" s="644"/>
      <c r="G286" s="644"/>
      <c r="H286" s="644"/>
      <c r="I286" s="643"/>
      <c r="J286" s="472"/>
    </row>
    <row r="287" spans="1:10" x14ac:dyDescent="0.25">
      <c r="A287" s="583"/>
      <c r="B287" s="643"/>
      <c r="C287" s="643"/>
      <c r="D287" s="643"/>
      <c r="E287" s="644"/>
      <c r="F287" s="644"/>
      <c r="G287" s="644"/>
      <c r="H287" s="644"/>
      <c r="I287" s="643"/>
      <c r="J287" s="472"/>
    </row>
    <row r="288" spans="1:10" x14ac:dyDescent="0.25">
      <c r="A288" s="583"/>
      <c r="B288" s="643"/>
      <c r="C288" s="643"/>
      <c r="D288" s="643"/>
      <c r="E288" s="644"/>
      <c r="F288" s="644"/>
      <c r="G288" s="644"/>
      <c r="H288" s="644"/>
      <c r="I288" s="643"/>
      <c r="J288" s="472"/>
    </row>
    <row r="289" spans="1:10" x14ac:dyDescent="0.25">
      <c r="A289" s="583"/>
      <c r="B289" s="643"/>
      <c r="C289" s="643"/>
      <c r="D289" s="643"/>
      <c r="E289" s="644"/>
      <c r="F289" s="644"/>
      <c r="G289" s="644"/>
      <c r="H289" s="644"/>
      <c r="I289" s="643"/>
      <c r="J289" s="472"/>
    </row>
    <row r="290" spans="1:10" x14ac:dyDescent="0.25">
      <c r="A290" s="583"/>
      <c r="B290" s="643"/>
      <c r="C290" s="643"/>
      <c r="D290" s="643"/>
      <c r="E290" s="644"/>
      <c r="F290" s="644"/>
      <c r="G290" s="644"/>
      <c r="H290" s="644"/>
      <c r="I290" s="643"/>
      <c r="J290" s="472"/>
    </row>
    <row r="291" spans="1:10" x14ac:dyDescent="0.25">
      <c r="A291" s="583"/>
      <c r="B291" s="643"/>
      <c r="C291" s="643"/>
      <c r="D291" s="643"/>
      <c r="E291" s="644"/>
      <c r="F291" s="644"/>
      <c r="G291" s="644"/>
      <c r="H291" s="644"/>
      <c r="I291" s="643"/>
      <c r="J291" s="472"/>
    </row>
    <row r="292" spans="1:10" x14ac:dyDescent="0.25">
      <c r="A292" s="583"/>
      <c r="B292" s="643"/>
      <c r="C292" s="643"/>
      <c r="D292" s="643"/>
      <c r="E292" s="644"/>
      <c r="F292" s="644"/>
      <c r="G292" s="644"/>
      <c r="H292" s="644"/>
      <c r="I292" s="643"/>
      <c r="J292" s="472"/>
    </row>
    <row r="293" spans="1:10" x14ac:dyDescent="0.25">
      <c r="A293" s="583"/>
      <c r="B293" s="643"/>
      <c r="C293" s="643"/>
      <c r="D293" s="643"/>
      <c r="E293" s="644"/>
      <c r="F293" s="644"/>
      <c r="G293" s="644"/>
      <c r="H293" s="644"/>
      <c r="I293" s="643"/>
      <c r="J293" s="472"/>
    </row>
    <row r="294" spans="1:10" x14ac:dyDescent="0.25">
      <c r="A294" s="583"/>
      <c r="B294" s="643"/>
      <c r="C294" s="643"/>
      <c r="D294" s="643"/>
      <c r="E294" s="644"/>
      <c r="F294" s="644"/>
      <c r="G294" s="644"/>
      <c r="H294" s="644"/>
      <c r="I294" s="643"/>
      <c r="J294" s="472"/>
    </row>
    <row r="295" spans="1:10" x14ac:dyDescent="0.25">
      <c r="A295" s="583"/>
      <c r="B295" s="643"/>
      <c r="C295" s="643"/>
      <c r="D295" s="643"/>
      <c r="E295" s="644"/>
      <c r="F295" s="644"/>
      <c r="G295" s="644"/>
      <c r="H295" s="644"/>
      <c r="I295" s="643"/>
      <c r="J295" s="472"/>
    </row>
    <row r="296" spans="1:10" x14ac:dyDescent="0.25">
      <c r="A296" s="583"/>
      <c r="B296" s="643"/>
      <c r="C296" s="643"/>
      <c r="D296" s="643"/>
      <c r="E296" s="644"/>
      <c r="F296" s="644"/>
      <c r="G296" s="644"/>
      <c r="H296" s="644"/>
      <c r="I296" s="643"/>
      <c r="J296" s="472"/>
    </row>
    <row r="297" spans="1:10" x14ac:dyDescent="0.25">
      <c r="A297" s="583"/>
      <c r="B297" s="643"/>
      <c r="C297" s="643"/>
      <c r="D297" s="643"/>
      <c r="E297" s="644"/>
      <c r="F297" s="644"/>
      <c r="G297" s="644"/>
      <c r="H297" s="644"/>
      <c r="I297" s="643"/>
      <c r="J297" s="472"/>
    </row>
    <row r="298" spans="1:10" x14ac:dyDescent="0.25">
      <c r="A298" s="583"/>
      <c r="B298" s="643"/>
      <c r="C298" s="643"/>
      <c r="D298" s="643"/>
      <c r="E298" s="644"/>
      <c r="F298" s="644"/>
      <c r="G298" s="644"/>
      <c r="H298" s="644"/>
      <c r="I298" s="643"/>
      <c r="J298" s="472"/>
    </row>
    <row r="299" spans="1:10" x14ac:dyDescent="0.25">
      <c r="A299" s="583"/>
      <c r="B299" s="643"/>
      <c r="C299" s="643"/>
      <c r="D299" s="643"/>
      <c r="E299" s="644"/>
      <c r="F299" s="644"/>
      <c r="G299" s="644"/>
      <c r="H299" s="644"/>
      <c r="I299" s="643"/>
      <c r="J299" s="472"/>
    </row>
    <row r="300" spans="1:10" x14ac:dyDescent="0.25">
      <c r="A300" s="583"/>
      <c r="B300" s="643"/>
      <c r="C300" s="643"/>
      <c r="D300" s="643"/>
      <c r="E300" s="644"/>
      <c r="F300" s="644"/>
      <c r="G300" s="644"/>
      <c r="H300" s="644"/>
      <c r="I300" s="643"/>
      <c r="J300" s="472"/>
    </row>
    <row r="301" spans="1:10" x14ac:dyDescent="0.25">
      <c r="A301" s="583"/>
      <c r="B301" s="643"/>
      <c r="C301" s="643"/>
      <c r="D301" s="643"/>
      <c r="E301" s="644"/>
      <c r="F301" s="644"/>
      <c r="G301" s="644"/>
      <c r="H301" s="644"/>
      <c r="I301" s="643"/>
      <c r="J301" s="472"/>
    </row>
    <row r="302" spans="1:10" x14ac:dyDescent="0.25">
      <c r="A302" s="583"/>
      <c r="B302" s="643"/>
      <c r="C302" s="643"/>
      <c r="D302" s="643"/>
      <c r="E302" s="644"/>
      <c r="F302" s="644"/>
      <c r="G302" s="644"/>
      <c r="H302" s="644"/>
      <c r="I302" s="643"/>
      <c r="J302" s="472"/>
    </row>
    <row r="303" spans="1:10" x14ac:dyDescent="0.25">
      <c r="A303" s="583"/>
      <c r="B303" s="643"/>
      <c r="C303" s="643"/>
      <c r="D303" s="643"/>
      <c r="E303" s="644"/>
      <c r="F303" s="644"/>
      <c r="G303" s="644"/>
      <c r="H303" s="644"/>
      <c r="I303" s="643"/>
      <c r="J303" s="472"/>
    </row>
    <row r="304" spans="1:10" x14ac:dyDescent="0.25">
      <c r="A304" s="583"/>
      <c r="B304" s="643"/>
      <c r="C304" s="643"/>
      <c r="D304" s="643"/>
      <c r="E304" s="644"/>
      <c r="F304" s="644"/>
      <c r="G304" s="644"/>
      <c r="H304" s="644"/>
      <c r="I304" s="643"/>
      <c r="J304" s="472"/>
    </row>
    <row r="305" spans="1:10" x14ac:dyDescent="0.25">
      <c r="A305" s="583"/>
      <c r="B305" s="643"/>
      <c r="C305" s="643"/>
      <c r="D305" s="643"/>
      <c r="E305" s="644"/>
      <c r="F305" s="644"/>
      <c r="G305" s="644"/>
      <c r="H305" s="644"/>
      <c r="I305" s="643"/>
      <c r="J305" s="472"/>
    </row>
    <row r="306" spans="1:10" x14ac:dyDescent="0.25">
      <c r="A306" s="583"/>
      <c r="B306" s="643"/>
      <c r="C306" s="643"/>
      <c r="D306" s="643"/>
      <c r="E306" s="644"/>
      <c r="F306" s="644"/>
      <c r="G306" s="644"/>
      <c r="H306" s="644"/>
      <c r="I306" s="643"/>
      <c r="J306" s="472"/>
    </row>
    <row r="307" spans="1:10" x14ac:dyDescent="0.25">
      <c r="A307" s="583"/>
      <c r="B307" s="643"/>
      <c r="C307" s="643"/>
      <c r="D307" s="643"/>
      <c r="E307" s="644"/>
      <c r="F307" s="644"/>
      <c r="G307" s="644"/>
      <c r="H307" s="644"/>
      <c r="I307" s="643"/>
      <c r="J307" s="472"/>
    </row>
    <row r="308" spans="1:10" x14ac:dyDescent="0.25">
      <c r="A308" s="583"/>
      <c r="B308" s="643"/>
      <c r="C308" s="643"/>
      <c r="D308" s="643"/>
      <c r="E308" s="644"/>
      <c r="F308" s="644"/>
      <c r="G308" s="644"/>
      <c r="H308" s="644"/>
      <c r="I308" s="643"/>
      <c r="J308" s="472"/>
    </row>
    <row r="309" spans="1:10" x14ac:dyDescent="0.25">
      <c r="A309" s="583"/>
      <c r="B309" s="643"/>
      <c r="C309" s="643"/>
      <c r="D309" s="643"/>
      <c r="E309" s="644"/>
      <c r="F309" s="644"/>
      <c r="G309" s="644"/>
      <c r="H309" s="644"/>
      <c r="I309" s="643"/>
      <c r="J309" s="472"/>
    </row>
    <row r="310" spans="1:10" x14ac:dyDescent="0.25">
      <c r="A310" s="583"/>
      <c r="B310" s="643"/>
      <c r="C310" s="643"/>
      <c r="D310" s="643"/>
      <c r="E310" s="644"/>
      <c r="F310" s="644"/>
      <c r="G310" s="644"/>
      <c r="H310" s="644"/>
      <c r="I310" s="643"/>
      <c r="J310" s="472"/>
    </row>
    <row r="311" spans="1:10" x14ac:dyDescent="0.25">
      <c r="A311" s="583"/>
      <c r="B311" s="643"/>
      <c r="C311" s="643"/>
      <c r="D311" s="643"/>
      <c r="E311" s="644"/>
      <c r="F311" s="644"/>
      <c r="G311" s="644"/>
      <c r="H311" s="644"/>
      <c r="I311" s="643"/>
      <c r="J311" s="472"/>
    </row>
    <row r="312" spans="1:10" x14ac:dyDescent="0.25">
      <c r="A312" s="583"/>
      <c r="B312" s="643"/>
      <c r="C312" s="643"/>
      <c r="D312" s="643"/>
      <c r="E312" s="644"/>
      <c r="F312" s="644"/>
      <c r="G312" s="644"/>
      <c r="H312" s="644"/>
      <c r="I312" s="643"/>
      <c r="J312" s="472"/>
    </row>
    <row r="313" spans="1:10" x14ac:dyDescent="0.25">
      <c r="A313" s="583"/>
      <c r="B313" s="643"/>
      <c r="C313" s="643"/>
      <c r="D313" s="643"/>
      <c r="E313" s="644"/>
      <c r="F313" s="644"/>
      <c r="G313" s="644"/>
      <c r="H313" s="644"/>
      <c r="I313" s="643"/>
      <c r="J313" s="472"/>
    </row>
    <row r="314" spans="1:10" x14ac:dyDescent="0.25">
      <c r="A314" s="583"/>
      <c r="B314" s="643"/>
      <c r="C314" s="643"/>
      <c r="D314" s="643"/>
      <c r="E314" s="644"/>
      <c r="F314" s="644"/>
      <c r="G314" s="644"/>
      <c r="H314" s="644"/>
      <c r="I314" s="643"/>
      <c r="J314" s="472"/>
    </row>
    <row r="315" spans="1:10" x14ac:dyDescent="0.25">
      <c r="A315" s="583"/>
      <c r="B315" s="643"/>
      <c r="C315" s="643"/>
      <c r="D315" s="643"/>
      <c r="E315" s="644"/>
      <c r="F315" s="644"/>
      <c r="G315" s="644"/>
      <c r="H315" s="644"/>
      <c r="I315" s="643"/>
      <c r="J315" s="472"/>
    </row>
    <row r="316" spans="1:10" x14ac:dyDescent="0.25">
      <c r="A316" s="583"/>
      <c r="B316" s="643"/>
      <c r="C316" s="643"/>
      <c r="D316" s="643"/>
      <c r="E316" s="644"/>
      <c r="F316" s="644"/>
      <c r="G316" s="644"/>
      <c r="H316" s="644"/>
      <c r="I316" s="643"/>
      <c r="J316" s="472"/>
    </row>
    <row r="317" spans="1:10" x14ac:dyDescent="0.25">
      <c r="A317" s="583"/>
      <c r="B317" s="643"/>
      <c r="C317" s="643"/>
      <c r="D317" s="643"/>
      <c r="E317" s="644"/>
      <c r="F317" s="644"/>
      <c r="G317" s="644"/>
      <c r="H317" s="644"/>
      <c r="I317" s="643"/>
      <c r="J317" s="472"/>
    </row>
    <row r="318" spans="1:10" x14ac:dyDescent="0.25">
      <c r="A318" s="583"/>
      <c r="B318" s="643"/>
      <c r="C318" s="643"/>
      <c r="D318" s="643"/>
      <c r="E318" s="644"/>
      <c r="F318" s="644"/>
      <c r="G318" s="644"/>
      <c r="H318" s="644"/>
      <c r="I318" s="643"/>
      <c r="J318" s="472"/>
    </row>
    <row r="319" spans="1:10" x14ac:dyDescent="0.25">
      <c r="A319" s="583"/>
      <c r="B319" s="643"/>
      <c r="C319" s="643"/>
      <c r="D319" s="643"/>
      <c r="E319" s="644"/>
      <c r="F319" s="644"/>
      <c r="G319" s="644"/>
      <c r="H319" s="644"/>
      <c r="I319" s="643"/>
      <c r="J319" s="472"/>
    </row>
    <row r="320" spans="1:10" x14ac:dyDescent="0.25">
      <c r="A320" s="583"/>
      <c r="B320" s="643"/>
      <c r="C320" s="643"/>
      <c r="D320" s="643"/>
      <c r="E320" s="644"/>
      <c r="F320" s="644"/>
      <c r="G320" s="644"/>
      <c r="H320" s="644"/>
      <c r="I320" s="643"/>
      <c r="J320" s="472"/>
    </row>
    <row r="321" spans="1:10" x14ac:dyDescent="0.25">
      <c r="A321" s="583"/>
      <c r="B321" s="643"/>
      <c r="C321" s="643"/>
      <c r="D321" s="643"/>
      <c r="E321" s="644"/>
      <c r="F321" s="644"/>
      <c r="G321" s="644"/>
      <c r="H321" s="644"/>
      <c r="I321" s="643"/>
      <c r="J321" s="472"/>
    </row>
    <row r="322" spans="1:10" x14ac:dyDescent="0.25">
      <c r="A322" s="583"/>
      <c r="B322" s="643"/>
      <c r="C322" s="643"/>
      <c r="D322" s="643"/>
      <c r="E322" s="644"/>
      <c r="F322" s="644"/>
      <c r="G322" s="644"/>
      <c r="H322" s="644"/>
      <c r="I322" s="643"/>
      <c r="J322" s="472"/>
    </row>
    <row r="323" spans="1:10" x14ac:dyDescent="0.25">
      <c r="A323" s="583"/>
      <c r="B323" s="643"/>
      <c r="C323" s="643"/>
      <c r="D323" s="643"/>
      <c r="E323" s="644"/>
      <c r="F323" s="644"/>
      <c r="G323" s="644"/>
      <c r="H323" s="644"/>
      <c r="I323" s="643"/>
      <c r="J323" s="472"/>
    </row>
    <row r="324" spans="1:10" x14ac:dyDescent="0.25">
      <c r="A324" s="583"/>
      <c r="B324" s="643"/>
      <c r="C324" s="643"/>
      <c r="D324" s="643"/>
      <c r="E324" s="644"/>
      <c r="F324" s="644"/>
      <c r="G324" s="644"/>
      <c r="H324" s="644"/>
      <c r="I324" s="643"/>
      <c r="J324" s="472"/>
    </row>
    <row r="325" spans="1:10" x14ac:dyDescent="0.25">
      <c r="A325" s="583"/>
      <c r="B325" s="643"/>
      <c r="C325" s="643"/>
      <c r="D325" s="643"/>
      <c r="E325" s="644"/>
      <c r="F325" s="644"/>
      <c r="G325" s="644"/>
      <c r="H325" s="644"/>
      <c r="I325" s="643"/>
      <c r="J325" s="472"/>
    </row>
    <row r="326" spans="1:10" x14ac:dyDescent="0.25">
      <c r="A326" s="583"/>
      <c r="B326" s="643"/>
      <c r="C326" s="643"/>
      <c r="D326" s="643"/>
      <c r="E326" s="644"/>
      <c r="F326" s="644"/>
      <c r="G326" s="644"/>
      <c r="H326" s="644"/>
      <c r="I326" s="643"/>
      <c r="J326" s="472"/>
    </row>
    <row r="327" spans="1:10" x14ac:dyDescent="0.25">
      <c r="A327" s="583"/>
      <c r="B327" s="643"/>
      <c r="C327" s="643"/>
      <c r="D327" s="643"/>
      <c r="E327" s="644"/>
      <c r="F327" s="644"/>
      <c r="G327" s="644"/>
      <c r="H327" s="644"/>
      <c r="I327" s="643"/>
      <c r="J327" s="472"/>
    </row>
    <row r="328" spans="1:10" x14ac:dyDescent="0.25">
      <c r="A328" s="583"/>
      <c r="B328" s="643"/>
      <c r="C328" s="643"/>
      <c r="D328" s="643"/>
      <c r="E328" s="644"/>
      <c r="F328" s="644"/>
      <c r="G328" s="644"/>
      <c r="H328" s="644"/>
      <c r="I328" s="643"/>
      <c r="J328" s="472"/>
    </row>
    <row r="329" spans="1:10" x14ac:dyDescent="0.25">
      <c r="A329" s="583"/>
      <c r="B329" s="643"/>
      <c r="C329" s="643"/>
      <c r="D329" s="643"/>
      <c r="E329" s="644"/>
      <c r="F329" s="644"/>
      <c r="G329" s="644"/>
      <c r="H329" s="644"/>
      <c r="I329" s="643"/>
      <c r="J329" s="472"/>
    </row>
    <row r="330" spans="1:10" x14ac:dyDescent="0.25">
      <c r="A330" s="583"/>
      <c r="B330" s="643"/>
      <c r="C330" s="643"/>
      <c r="D330" s="643"/>
      <c r="E330" s="644"/>
      <c r="F330" s="644"/>
      <c r="G330" s="644"/>
      <c r="H330" s="644"/>
      <c r="I330" s="643"/>
      <c r="J330" s="472"/>
    </row>
    <row r="331" spans="1:10" x14ac:dyDescent="0.25">
      <c r="A331" s="583"/>
      <c r="B331" s="643"/>
      <c r="C331" s="643"/>
      <c r="D331" s="643"/>
      <c r="E331" s="644"/>
      <c r="F331" s="644"/>
      <c r="G331" s="644"/>
      <c r="H331" s="644"/>
      <c r="I331" s="643"/>
      <c r="J331" s="472"/>
    </row>
    <row r="332" spans="1:10" x14ac:dyDescent="0.25">
      <c r="A332" s="583"/>
      <c r="B332" s="643"/>
      <c r="C332" s="643"/>
      <c r="D332" s="643"/>
      <c r="E332" s="644"/>
      <c r="F332" s="644"/>
      <c r="G332" s="644"/>
      <c r="H332" s="644"/>
      <c r="I332" s="643"/>
      <c r="J332" s="472"/>
    </row>
    <row r="333" spans="1:10" x14ac:dyDescent="0.25">
      <c r="A333" s="583"/>
      <c r="B333" s="643"/>
      <c r="C333" s="643"/>
      <c r="D333" s="643"/>
      <c r="E333" s="644"/>
      <c r="F333" s="644"/>
      <c r="G333" s="644"/>
      <c r="H333" s="644"/>
      <c r="I333" s="643"/>
      <c r="J333" s="472"/>
    </row>
    <row r="334" spans="1:10" x14ac:dyDescent="0.25">
      <c r="A334" s="583"/>
      <c r="B334" s="643"/>
      <c r="C334" s="643"/>
      <c r="D334" s="643"/>
      <c r="E334" s="644"/>
      <c r="F334" s="644"/>
      <c r="G334" s="644"/>
      <c r="H334" s="644"/>
      <c r="I334" s="643"/>
      <c r="J334" s="472"/>
    </row>
    <row r="335" spans="1:10" x14ac:dyDescent="0.25">
      <c r="A335" s="583"/>
      <c r="B335" s="643"/>
      <c r="C335" s="643"/>
      <c r="D335" s="643"/>
      <c r="E335" s="644"/>
      <c r="F335" s="644"/>
      <c r="G335" s="644"/>
      <c r="H335" s="644"/>
      <c r="I335" s="643"/>
      <c r="J335" s="472"/>
    </row>
    <row r="336" spans="1:10" x14ac:dyDescent="0.25">
      <c r="A336" s="583"/>
      <c r="B336" s="643"/>
      <c r="C336" s="643"/>
      <c r="D336" s="643"/>
      <c r="E336" s="644"/>
      <c r="F336" s="644"/>
      <c r="G336" s="644"/>
      <c r="H336" s="644"/>
      <c r="I336" s="643"/>
      <c r="J336" s="472"/>
    </row>
    <row r="337" spans="1:10" x14ac:dyDescent="0.25">
      <c r="A337" s="583"/>
      <c r="B337" s="643"/>
      <c r="C337" s="643"/>
      <c r="D337" s="643"/>
      <c r="E337" s="644"/>
      <c r="F337" s="644"/>
      <c r="G337" s="644"/>
      <c r="H337" s="644"/>
      <c r="I337" s="643"/>
      <c r="J337" s="472"/>
    </row>
    <row r="338" spans="1:10" x14ac:dyDescent="0.25">
      <c r="A338" s="583"/>
      <c r="B338" s="643"/>
      <c r="C338" s="643"/>
      <c r="D338" s="643"/>
      <c r="E338" s="644"/>
      <c r="F338" s="644"/>
      <c r="G338" s="644"/>
      <c r="H338" s="644"/>
      <c r="I338" s="643"/>
      <c r="J338" s="472"/>
    </row>
    <row r="339" spans="1:10" x14ac:dyDescent="0.25">
      <c r="A339" s="583"/>
      <c r="B339" s="643"/>
      <c r="C339" s="643"/>
      <c r="D339" s="643"/>
      <c r="E339" s="644"/>
      <c r="F339" s="644"/>
      <c r="G339" s="644"/>
      <c r="H339" s="644"/>
      <c r="I339" s="643"/>
      <c r="J339" s="472"/>
    </row>
    <row r="340" spans="1:10" x14ac:dyDescent="0.25">
      <c r="A340" s="583"/>
      <c r="B340" s="643"/>
      <c r="C340" s="643"/>
      <c r="D340" s="643"/>
      <c r="E340" s="644"/>
      <c r="F340" s="644"/>
      <c r="G340" s="644"/>
      <c r="H340" s="644"/>
      <c r="I340" s="643"/>
      <c r="J340" s="472"/>
    </row>
    <row r="341" spans="1:10" x14ac:dyDescent="0.25">
      <c r="A341" s="583"/>
      <c r="B341" s="643"/>
      <c r="C341" s="643"/>
      <c r="D341" s="643"/>
      <c r="E341" s="644"/>
      <c r="F341" s="644"/>
      <c r="G341" s="644"/>
      <c r="H341" s="644"/>
      <c r="I341" s="643"/>
      <c r="J341" s="472"/>
    </row>
    <row r="342" spans="1:10" x14ac:dyDescent="0.25">
      <c r="A342" s="583"/>
      <c r="B342" s="643"/>
      <c r="C342" s="643"/>
      <c r="D342" s="643"/>
      <c r="E342" s="644"/>
      <c r="F342" s="644"/>
      <c r="G342" s="644"/>
      <c r="H342" s="644"/>
      <c r="I342" s="643"/>
      <c r="J342" s="472"/>
    </row>
    <row r="343" spans="1:10" x14ac:dyDescent="0.25">
      <c r="A343" s="583"/>
      <c r="B343" s="643"/>
      <c r="C343" s="643"/>
      <c r="D343" s="643"/>
      <c r="E343" s="644"/>
      <c r="F343" s="644"/>
      <c r="G343" s="644"/>
      <c r="H343" s="644"/>
      <c r="I343" s="643"/>
      <c r="J343" s="472"/>
    </row>
    <row r="344" spans="1:10" x14ac:dyDescent="0.25">
      <c r="A344" s="583"/>
      <c r="B344" s="643"/>
      <c r="C344" s="643"/>
      <c r="D344" s="643"/>
      <c r="E344" s="644"/>
      <c r="F344" s="644"/>
      <c r="G344" s="644"/>
      <c r="H344" s="644"/>
      <c r="I344" s="643"/>
      <c r="J344" s="472"/>
    </row>
    <row r="345" spans="1:10" x14ac:dyDescent="0.25">
      <c r="A345" s="583"/>
      <c r="B345" s="643"/>
      <c r="C345" s="643"/>
      <c r="D345" s="643"/>
      <c r="E345" s="644"/>
      <c r="F345" s="644"/>
      <c r="G345" s="644"/>
      <c r="H345" s="644"/>
      <c r="I345" s="643"/>
      <c r="J345" s="472"/>
    </row>
    <row r="346" spans="1:10" x14ac:dyDescent="0.25">
      <c r="A346" s="583"/>
      <c r="B346" s="643"/>
      <c r="C346" s="643"/>
      <c r="D346" s="643"/>
      <c r="E346" s="644"/>
      <c r="F346" s="644"/>
      <c r="G346" s="644"/>
      <c r="H346" s="644"/>
      <c r="I346" s="643"/>
      <c r="J346" s="472"/>
    </row>
    <row r="347" spans="1:10" x14ac:dyDescent="0.25">
      <c r="A347" s="583"/>
      <c r="B347" s="643"/>
      <c r="C347" s="643"/>
      <c r="D347" s="643"/>
      <c r="E347" s="644"/>
      <c r="F347" s="644"/>
      <c r="G347" s="644"/>
      <c r="H347" s="644"/>
      <c r="I347" s="643"/>
      <c r="J347" s="472"/>
    </row>
    <row r="348" spans="1:10" x14ac:dyDescent="0.25">
      <c r="A348" s="583"/>
      <c r="B348" s="643"/>
      <c r="C348" s="643"/>
      <c r="D348" s="643"/>
      <c r="E348" s="644"/>
      <c r="F348" s="644"/>
      <c r="G348" s="644"/>
      <c r="H348" s="644"/>
      <c r="I348" s="643"/>
      <c r="J348" s="472"/>
    </row>
    <row r="349" spans="1:10" x14ac:dyDescent="0.25">
      <c r="A349" s="583"/>
      <c r="B349" s="643"/>
      <c r="C349" s="643"/>
      <c r="D349" s="643"/>
      <c r="E349" s="644"/>
      <c r="F349" s="644"/>
      <c r="G349" s="644"/>
      <c r="H349" s="644"/>
      <c r="I349" s="643"/>
      <c r="J349" s="472"/>
    </row>
    <row r="350" spans="1:10" x14ac:dyDescent="0.25">
      <c r="A350" s="583"/>
      <c r="B350" s="643"/>
      <c r="C350" s="643"/>
      <c r="D350" s="643"/>
      <c r="E350" s="644"/>
      <c r="F350" s="644"/>
      <c r="G350" s="644"/>
      <c r="H350" s="644"/>
      <c r="I350" s="643"/>
      <c r="J350" s="472"/>
    </row>
    <row r="351" spans="1:10" x14ac:dyDescent="0.25">
      <c r="A351" s="583"/>
      <c r="B351" s="643"/>
      <c r="C351" s="643"/>
      <c r="D351" s="643"/>
      <c r="E351" s="644"/>
      <c r="F351" s="644"/>
      <c r="G351" s="644"/>
      <c r="H351" s="644"/>
      <c r="I351" s="643"/>
      <c r="J351" s="472"/>
    </row>
    <row r="352" spans="1:10" x14ac:dyDescent="0.25">
      <c r="A352" s="583"/>
      <c r="B352" s="643"/>
      <c r="C352" s="643"/>
      <c r="D352" s="643"/>
      <c r="E352" s="644"/>
      <c r="F352" s="644"/>
      <c r="G352" s="644"/>
      <c r="H352" s="644"/>
      <c r="I352" s="643"/>
      <c r="J352" s="472"/>
    </row>
    <row r="353" spans="1:10" x14ac:dyDescent="0.25">
      <c r="A353" s="583"/>
      <c r="B353" s="643"/>
      <c r="C353" s="643"/>
      <c r="D353" s="643"/>
      <c r="E353" s="644"/>
      <c r="F353" s="644"/>
      <c r="G353" s="644"/>
      <c r="H353" s="644"/>
      <c r="I353" s="643"/>
      <c r="J353" s="472"/>
    </row>
    <row r="354" spans="1:10" x14ac:dyDescent="0.25">
      <c r="A354" s="583"/>
      <c r="B354" s="643"/>
      <c r="C354" s="643"/>
      <c r="D354" s="643"/>
      <c r="E354" s="644"/>
      <c r="F354" s="644"/>
      <c r="G354" s="644"/>
      <c r="H354" s="644"/>
      <c r="I354" s="643"/>
      <c r="J354" s="472"/>
    </row>
    <row r="355" spans="1:10" x14ac:dyDescent="0.25">
      <c r="A355" s="583"/>
      <c r="B355" s="643"/>
      <c r="C355" s="643"/>
      <c r="D355" s="643"/>
      <c r="E355" s="644"/>
      <c r="F355" s="644"/>
      <c r="G355" s="644"/>
      <c r="H355" s="644"/>
      <c r="I355" s="643"/>
      <c r="J355" s="472"/>
    </row>
    <row r="356" spans="1:10" x14ac:dyDescent="0.25">
      <c r="A356" s="583"/>
      <c r="B356" s="643"/>
      <c r="C356" s="643"/>
      <c r="D356" s="643"/>
      <c r="E356" s="644"/>
      <c r="F356" s="644"/>
      <c r="G356" s="644"/>
      <c r="H356" s="644"/>
      <c r="I356" s="643"/>
      <c r="J356" s="472"/>
    </row>
    <row r="357" spans="1:10" x14ac:dyDescent="0.25">
      <c r="A357" s="583"/>
      <c r="B357" s="643"/>
      <c r="C357" s="643"/>
      <c r="D357" s="643"/>
      <c r="E357" s="644"/>
      <c r="F357" s="644"/>
      <c r="G357" s="644"/>
      <c r="H357" s="644"/>
      <c r="I357" s="643"/>
      <c r="J357" s="472"/>
    </row>
    <row r="358" spans="1:10" x14ac:dyDescent="0.25">
      <c r="A358" s="583"/>
      <c r="B358" s="643"/>
      <c r="C358" s="643"/>
      <c r="D358" s="643"/>
      <c r="E358" s="644"/>
      <c r="F358" s="644"/>
      <c r="G358" s="644"/>
      <c r="H358" s="644"/>
      <c r="I358" s="643"/>
      <c r="J358" s="472"/>
    </row>
    <row r="359" spans="1:10" x14ac:dyDescent="0.25">
      <c r="A359" s="583"/>
      <c r="B359" s="643"/>
      <c r="C359" s="643"/>
      <c r="D359" s="643"/>
      <c r="E359" s="644"/>
      <c r="F359" s="644"/>
      <c r="G359" s="644"/>
      <c r="H359" s="644"/>
      <c r="I359" s="643"/>
      <c r="J359" s="472"/>
    </row>
    <row r="360" spans="1:10" x14ac:dyDescent="0.25">
      <c r="A360" s="583"/>
      <c r="B360" s="643"/>
      <c r="C360" s="643"/>
      <c r="D360" s="643"/>
      <c r="E360" s="644"/>
      <c r="F360" s="644"/>
      <c r="G360" s="644"/>
      <c r="H360" s="644"/>
      <c r="I360" s="643"/>
      <c r="J360" s="472"/>
    </row>
    <row r="361" spans="1:10" x14ac:dyDescent="0.25">
      <c r="A361" s="583"/>
      <c r="B361" s="643"/>
      <c r="C361" s="643"/>
      <c r="D361" s="643"/>
      <c r="E361" s="644"/>
      <c r="F361" s="644"/>
      <c r="G361" s="644"/>
      <c r="H361" s="644"/>
      <c r="I361" s="643"/>
      <c r="J361" s="472"/>
    </row>
    <row r="362" spans="1:10" x14ac:dyDescent="0.25">
      <c r="A362" s="583"/>
      <c r="B362" s="643"/>
      <c r="C362" s="643"/>
      <c r="D362" s="643"/>
      <c r="E362" s="644"/>
      <c r="F362" s="644"/>
      <c r="G362" s="644"/>
      <c r="H362" s="644"/>
      <c r="I362" s="643"/>
      <c r="J362" s="472"/>
    </row>
    <row r="363" spans="1:10" x14ac:dyDescent="0.25">
      <c r="A363" s="583"/>
      <c r="B363" s="643"/>
      <c r="C363" s="643"/>
      <c r="D363" s="643"/>
      <c r="E363" s="644"/>
      <c r="F363" s="644"/>
      <c r="G363" s="644"/>
      <c r="H363" s="644"/>
      <c r="I363" s="643"/>
      <c r="J363" s="472"/>
    </row>
    <row r="364" spans="1:10" x14ac:dyDescent="0.25">
      <c r="A364" s="583"/>
      <c r="B364" s="643"/>
      <c r="C364" s="643"/>
      <c r="D364" s="643"/>
      <c r="E364" s="644"/>
      <c r="F364" s="644"/>
      <c r="G364" s="644"/>
      <c r="H364" s="644"/>
      <c r="I364" s="643"/>
      <c r="J364" s="472"/>
    </row>
    <row r="365" spans="1:10" x14ac:dyDescent="0.25">
      <c r="A365" s="583"/>
      <c r="B365" s="643"/>
      <c r="C365" s="643"/>
      <c r="D365" s="643"/>
      <c r="E365" s="644"/>
      <c r="F365" s="644"/>
      <c r="G365" s="644"/>
      <c r="H365" s="644"/>
      <c r="I365" s="643"/>
      <c r="J365" s="472"/>
    </row>
    <row r="366" spans="1:10" x14ac:dyDescent="0.25">
      <c r="A366" s="583"/>
      <c r="B366" s="643"/>
      <c r="C366" s="643"/>
      <c r="D366" s="643"/>
      <c r="E366" s="644"/>
      <c r="F366" s="644"/>
      <c r="G366" s="644"/>
      <c r="H366" s="644"/>
      <c r="I366" s="643"/>
      <c r="J366" s="472"/>
    </row>
    <row r="367" spans="1:10" x14ac:dyDescent="0.25">
      <c r="A367" s="583"/>
      <c r="B367" s="643"/>
      <c r="C367" s="643"/>
      <c r="D367" s="643"/>
      <c r="E367" s="644"/>
      <c r="F367" s="644"/>
      <c r="G367" s="644"/>
      <c r="H367" s="644"/>
      <c r="I367" s="643"/>
      <c r="J367" s="472"/>
    </row>
    <row r="368" spans="1:10" x14ac:dyDescent="0.25">
      <c r="A368" s="583"/>
      <c r="B368" s="643"/>
      <c r="C368" s="643"/>
      <c r="D368" s="643"/>
      <c r="E368" s="644"/>
      <c r="F368" s="644"/>
      <c r="G368" s="644"/>
      <c r="H368" s="644"/>
      <c r="I368" s="643"/>
      <c r="J368" s="472"/>
    </row>
    <row r="369" spans="1:10" x14ac:dyDescent="0.25">
      <c r="A369" s="583"/>
      <c r="B369" s="643"/>
      <c r="C369" s="643"/>
      <c r="D369" s="643"/>
      <c r="E369" s="644"/>
      <c r="F369" s="644"/>
      <c r="G369" s="644"/>
      <c r="H369" s="644"/>
      <c r="I369" s="643"/>
      <c r="J369" s="472"/>
    </row>
    <row r="370" spans="1:10" x14ac:dyDescent="0.25">
      <c r="A370" s="583"/>
      <c r="B370" s="643"/>
      <c r="C370" s="643"/>
      <c r="D370" s="643"/>
      <c r="E370" s="644"/>
      <c r="F370" s="644"/>
      <c r="G370" s="644"/>
      <c r="H370" s="644"/>
      <c r="I370" s="643"/>
      <c r="J370" s="472"/>
    </row>
    <row r="371" spans="1:10" x14ac:dyDescent="0.25">
      <c r="A371" s="583"/>
      <c r="B371" s="643"/>
      <c r="C371" s="643"/>
      <c r="D371" s="643"/>
      <c r="E371" s="644"/>
      <c r="F371" s="644"/>
      <c r="G371" s="644"/>
      <c r="H371" s="644"/>
      <c r="I371" s="643"/>
      <c r="J371" s="472"/>
    </row>
    <row r="372" spans="1:10" x14ac:dyDescent="0.25">
      <c r="A372" s="583"/>
      <c r="B372" s="643"/>
      <c r="C372" s="643"/>
      <c r="D372" s="643"/>
      <c r="E372" s="644"/>
      <c r="F372" s="644"/>
      <c r="G372" s="644"/>
      <c r="H372" s="644"/>
      <c r="I372" s="643"/>
      <c r="J372" s="472"/>
    </row>
    <row r="373" spans="1:10" x14ac:dyDescent="0.25">
      <c r="A373" s="583"/>
      <c r="B373" s="643"/>
      <c r="C373" s="643"/>
      <c r="D373" s="643"/>
      <c r="E373" s="644"/>
      <c r="F373" s="644"/>
      <c r="G373" s="644"/>
      <c r="H373" s="644"/>
      <c r="I373" s="643"/>
      <c r="J373" s="472"/>
    </row>
    <row r="374" spans="1:10" x14ac:dyDescent="0.25">
      <c r="A374" s="583"/>
      <c r="B374" s="643"/>
      <c r="C374" s="643"/>
      <c r="D374" s="643"/>
      <c r="E374" s="644"/>
      <c r="F374" s="644"/>
      <c r="G374" s="644"/>
      <c r="H374" s="644"/>
      <c r="I374" s="643"/>
      <c r="J374" s="472"/>
    </row>
    <row r="375" spans="1:10" x14ac:dyDescent="0.25">
      <c r="A375" s="583"/>
      <c r="B375" s="643"/>
      <c r="C375" s="643"/>
      <c r="D375" s="643"/>
      <c r="E375" s="644"/>
      <c r="F375" s="644"/>
      <c r="G375" s="644"/>
      <c r="H375" s="644"/>
      <c r="I375" s="643"/>
      <c r="J375" s="472"/>
    </row>
    <row r="376" spans="1:10" x14ac:dyDescent="0.25">
      <c r="A376" s="583"/>
      <c r="B376" s="643"/>
      <c r="C376" s="643"/>
      <c r="D376" s="643"/>
      <c r="E376" s="644"/>
      <c r="F376" s="644"/>
      <c r="G376" s="644"/>
      <c r="H376" s="644"/>
      <c r="I376" s="643"/>
      <c r="J376" s="472"/>
    </row>
    <row r="377" spans="1:10" x14ac:dyDescent="0.25">
      <c r="A377" s="583"/>
      <c r="B377" s="643"/>
      <c r="C377" s="643"/>
      <c r="D377" s="643"/>
      <c r="E377" s="644"/>
      <c r="F377" s="644"/>
      <c r="G377" s="644"/>
      <c r="H377" s="644"/>
      <c r="I377" s="643"/>
      <c r="J377" s="472"/>
    </row>
    <row r="378" spans="1:10" x14ac:dyDescent="0.25">
      <c r="A378" s="583"/>
      <c r="B378" s="643"/>
      <c r="C378" s="643"/>
      <c r="D378" s="643"/>
      <c r="E378" s="644"/>
      <c r="F378" s="644"/>
      <c r="G378" s="644"/>
      <c r="H378" s="644"/>
      <c r="I378" s="643"/>
      <c r="J378" s="472"/>
    </row>
    <row r="379" spans="1:10" x14ac:dyDescent="0.25">
      <c r="A379" s="583"/>
      <c r="B379" s="643"/>
      <c r="C379" s="643"/>
      <c r="D379" s="643"/>
      <c r="E379" s="644"/>
      <c r="F379" s="644"/>
      <c r="G379" s="644"/>
      <c r="H379" s="644"/>
      <c r="I379" s="643"/>
      <c r="J379" s="472"/>
    </row>
    <row r="380" spans="1:10" x14ac:dyDescent="0.25">
      <c r="A380" s="583"/>
      <c r="B380" s="643"/>
      <c r="C380" s="643"/>
      <c r="D380" s="643"/>
      <c r="E380" s="644"/>
      <c r="F380" s="644"/>
      <c r="G380" s="644"/>
      <c r="H380" s="644"/>
      <c r="I380" s="643"/>
      <c r="J380" s="472"/>
    </row>
    <row r="381" spans="1:10" x14ac:dyDescent="0.25">
      <c r="A381" s="583"/>
      <c r="B381" s="643"/>
      <c r="C381" s="643"/>
      <c r="D381" s="643"/>
      <c r="E381" s="644"/>
      <c r="F381" s="644"/>
      <c r="G381" s="644"/>
      <c r="H381" s="644"/>
      <c r="I381" s="643"/>
      <c r="J381" s="472"/>
    </row>
    <row r="382" spans="1:10" x14ac:dyDescent="0.25">
      <c r="A382" s="583"/>
      <c r="B382" s="643"/>
      <c r="C382" s="643"/>
      <c r="D382" s="643"/>
      <c r="E382" s="644"/>
      <c r="F382" s="644"/>
      <c r="G382" s="644"/>
      <c r="H382" s="644"/>
      <c r="I382" s="643"/>
      <c r="J382" s="472"/>
    </row>
    <row r="383" spans="1:10" x14ac:dyDescent="0.25">
      <c r="A383" s="583"/>
      <c r="B383" s="643"/>
      <c r="C383" s="643"/>
      <c r="D383" s="643"/>
      <c r="E383" s="644"/>
      <c r="F383" s="644"/>
      <c r="G383" s="644"/>
      <c r="H383" s="644"/>
      <c r="I383" s="643"/>
      <c r="J383" s="472"/>
    </row>
    <row r="384" spans="1:10" x14ac:dyDescent="0.25">
      <c r="A384" s="583"/>
      <c r="B384" s="643"/>
      <c r="C384" s="643"/>
      <c r="D384" s="643"/>
      <c r="E384" s="644"/>
      <c r="F384" s="644"/>
      <c r="G384" s="644"/>
      <c r="H384" s="644"/>
      <c r="I384" s="643"/>
      <c r="J384" s="472"/>
    </row>
    <row r="385" spans="1:10" x14ac:dyDescent="0.25">
      <c r="A385" s="583"/>
      <c r="B385" s="643"/>
      <c r="C385" s="643"/>
      <c r="D385" s="643"/>
      <c r="E385" s="644"/>
      <c r="F385" s="644"/>
      <c r="G385" s="644"/>
      <c r="H385" s="644"/>
      <c r="I385" s="643"/>
      <c r="J385" s="472"/>
    </row>
    <row r="386" spans="1:10" x14ac:dyDescent="0.25">
      <c r="A386" s="583"/>
      <c r="B386" s="643"/>
      <c r="C386" s="643"/>
      <c r="D386" s="643"/>
      <c r="E386" s="644"/>
      <c r="F386" s="644"/>
      <c r="G386" s="644"/>
      <c r="H386" s="644"/>
      <c r="I386" s="643"/>
      <c r="J386" s="472"/>
    </row>
    <row r="387" spans="1:10" x14ac:dyDescent="0.25">
      <c r="A387" s="583"/>
      <c r="B387" s="643"/>
      <c r="C387" s="643"/>
      <c r="D387" s="643"/>
      <c r="E387" s="644"/>
      <c r="F387" s="644"/>
      <c r="G387" s="644"/>
      <c r="H387" s="644"/>
      <c r="I387" s="643"/>
      <c r="J387" s="472"/>
    </row>
    <row r="388" spans="1:10" x14ac:dyDescent="0.25">
      <c r="A388" s="583"/>
      <c r="B388" s="643"/>
      <c r="C388" s="643"/>
      <c r="D388" s="643"/>
      <c r="E388" s="644"/>
      <c r="F388" s="644"/>
      <c r="G388" s="644"/>
      <c r="H388" s="644"/>
      <c r="I388" s="643"/>
      <c r="J388" s="472"/>
    </row>
    <row r="389" spans="1:10" x14ac:dyDescent="0.25">
      <c r="A389" s="583"/>
      <c r="B389" s="643"/>
      <c r="C389" s="643"/>
      <c r="D389" s="643"/>
      <c r="E389" s="644"/>
      <c r="F389" s="644"/>
      <c r="G389" s="644"/>
      <c r="H389" s="644"/>
      <c r="I389" s="643"/>
      <c r="J389" s="472"/>
    </row>
    <row r="390" spans="1:10" x14ac:dyDescent="0.25">
      <c r="A390" s="583"/>
      <c r="B390" s="643"/>
      <c r="C390" s="643"/>
      <c r="D390" s="643"/>
      <c r="E390" s="644"/>
      <c r="F390" s="644"/>
      <c r="G390" s="644"/>
      <c r="H390" s="644"/>
      <c r="I390" s="643"/>
      <c r="J390" s="472"/>
    </row>
    <row r="391" spans="1:10" x14ac:dyDescent="0.25">
      <c r="A391" s="583"/>
      <c r="B391" s="643"/>
      <c r="C391" s="643"/>
      <c r="D391" s="643"/>
      <c r="E391" s="644"/>
      <c r="F391" s="644"/>
      <c r="G391" s="644"/>
      <c r="H391" s="644"/>
      <c r="I391" s="643"/>
      <c r="J391" s="472"/>
    </row>
    <row r="392" spans="1:10" x14ac:dyDescent="0.25">
      <c r="A392" s="583"/>
      <c r="B392" s="643"/>
      <c r="C392" s="643"/>
      <c r="D392" s="643"/>
      <c r="E392" s="644"/>
      <c r="F392" s="644"/>
      <c r="G392" s="644"/>
      <c r="H392" s="644"/>
      <c r="I392" s="643"/>
      <c r="J392" s="472"/>
    </row>
    <row r="393" spans="1:10" x14ac:dyDescent="0.25">
      <c r="A393" s="583"/>
      <c r="B393" s="643"/>
      <c r="C393" s="643"/>
      <c r="D393" s="643"/>
      <c r="E393" s="644"/>
      <c r="F393" s="644"/>
      <c r="G393" s="644"/>
      <c r="H393" s="644"/>
      <c r="I393" s="643"/>
      <c r="J393" s="472"/>
    </row>
    <row r="394" spans="1:10" x14ac:dyDescent="0.25">
      <c r="A394" s="583"/>
      <c r="B394" s="643"/>
      <c r="C394" s="643"/>
      <c r="D394" s="643"/>
      <c r="E394" s="644"/>
      <c r="F394" s="644"/>
      <c r="G394" s="644"/>
      <c r="H394" s="644"/>
      <c r="I394" s="643"/>
      <c r="J394" s="472"/>
    </row>
    <row r="395" spans="1:10" x14ac:dyDescent="0.25">
      <c r="A395" s="583"/>
      <c r="B395" s="643"/>
      <c r="C395" s="643"/>
      <c r="D395" s="643"/>
      <c r="E395" s="644"/>
      <c r="F395" s="644"/>
      <c r="G395" s="644"/>
      <c r="H395" s="644"/>
      <c r="I395" s="643"/>
      <c r="J395" s="472"/>
    </row>
    <row r="396" spans="1:10" x14ac:dyDescent="0.25">
      <c r="A396" s="583"/>
      <c r="B396" s="643"/>
      <c r="C396" s="643"/>
      <c r="D396" s="643"/>
      <c r="E396" s="644"/>
      <c r="F396" s="644"/>
      <c r="G396" s="644"/>
      <c r="H396" s="644"/>
      <c r="I396" s="643"/>
      <c r="J396" s="472"/>
    </row>
    <row r="397" spans="1:10" x14ac:dyDescent="0.25">
      <c r="A397" s="583"/>
      <c r="B397" s="643"/>
      <c r="C397" s="643"/>
      <c r="D397" s="643"/>
      <c r="E397" s="644"/>
      <c r="F397" s="644"/>
      <c r="G397" s="644"/>
      <c r="H397" s="644"/>
      <c r="I397" s="643"/>
      <c r="J397" s="472"/>
    </row>
    <row r="398" spans="1:10" x14ac:dyDescent="0.25">
      <c r="A398" s="583"/>
      <c r="B398" s="643"/>
      <c r="C398" s="643"/>
      <c r="D398" s="643"/>
      <c r="E398" s="644"/>
      <c r="F398" s="644"/>
      <c r="G398" s="644"/>
      <c r="H398" s="644"/>
      <c r="I398" s="643"/>
      <c r="J398" s="472"/>
    </row>
    <row r="399" spans="1:10" x14ac:dyDescent="0.25">
      <c r="A399" s="583"/>
      <c r="B399" s="643"/>
      <c r="C399" s="643"/>
      <c r="D399" s="643"/>
      <c r="E399" s="644"/>
      <c r="F399" s="644"/>
      <c r="G399" s="644"/>
      <c r="H399" s="644"/>
      <c r="I399" s="643"/>
      <c r="J399" s="472"/>
    </row>
    <row r="400" spans="1:10" x14ac:dyDescent="0.25">
      <c r="A400" s="583"/>
      <c r="B400" s="643"/>
      <c r="C400" s="643"/>
      <c r="D400" s="643"/>
      <c r="E400" s="644"/>
      <c r="F400" s="644"/>
      <c r="G400" s="644"/>
      <c r="H400" s="644"/>
      <c r="I400" s="643"/>
      <c r="J400" s="472"/>
    </row>
    <row r="401" spans="1:10" x14ac:dyDescent="0.25">
      <c r="A401" s="583"/>
      <c r="B401" s="643"/>
      <c r="C401" s="643"/>
      <c r="D401" s="643"/>
      <c r="E401" s="644"/>
      <c r="F401" s="644"/>
      <c r="G401" s="644"/>
      <c r="H401" s="644"/>
      <c r="I401" s="643"/>
      <c r="J401" s="472"/>
    </row>
    <row r="402" spans="1:10" x14ac:dyDescent="0.25">
      <c r="A402" s="583"/>
      <c r="B402" s="643"/>
      <c r="C402" s="643"/>
      <c r="D402" s="643"/>
      <c r="E402" s="644"/>
      <c r="F402" s="644"/>
      <c r="G402" s="644"/>
      <c r="H402" s="644"/>
      <c r="I402" s="643"/>
      <c r="J402" s="472"/>
    </row>
    <row r="403" spans="1:10" x14ac:dyDescent="0.25">
      <c r="A403" s="583"/>
      <c r="B403" s="643"/>
      <c r="C403" s="643"/>
      <c r="D403" s="643"/>
      <c r="E403" s="644"/>
      <c r="F403" s="644"/>
      <c r="G403" s="644"/>
      <c r="H403" s="644"/>
      <c r="I403" s="643"/>
      <c r="J403" s="472"/>
    </row>
    <row r="404" spans="1:10" x14ac:dyDescent="0.25">
      <c r="A404" s="583"/>
      <c r="B404" s="643"/>
      <c r="C404" s="643"/>
      <c r="D404" s="643"/>
      <c r="E404" s="644"/>
      <c r="F404" s="644"/>
      <c r="G404" s="644"/>
      <c r="H404" s="644"/>
      <c r="I404" s="643"/>
      <c r="J404" s="472"/>
    </row>
    <row r="405" spans="1:10" x14ac:dyDescent="0.25">
      <c r="A405" s="583"/>
      <c r="B405" s="643"/>
      <c r="C405" s="643"/>
      <c r="D405" s="643"/>
      <c r="E405" s="644"/>
      <c r="F405" s="644"/>
      <c r="G405" s="644"/>
      <c r="H405" s="644"/>
      <c r="I405" s="643"/>
      <c r="J405" s="472"/>
    </row>
    <row r="406" spans="1:10" x14ac:dyDescent="0.25">
      <c r="A406" s="583"/>
      <c r="B406" s="643"/>
      <c r="C406" s="643"/>
      <c r="D406" s="643"/>
      <c r="E406" s="644"/>
      <c r="F406" s="644"/>
      <c r="G406" s="644"/>
      <c r="H406" s="644"/>
      <c r="I406" s="643"/>
      <c r="J406" s="472"/>
    </row>
    <row r="407" spans="1:10" x14ac:dyDescent="0.25">
      <c r="A407" s="583"/>
      <c r="B407" s="643"/>
      <c r="C407" s="643"/>
      <c r="D407" s="643"/>
      <c r="E407" s="644"/>
      <c r="F407" s="644"/>
      <c r="G407" s="644"/>
      <c r="H407" s="644"/>
      <c r="I407" s="643"/>
      <c r="J407" s="472"/>
    </row>
    <row r="408" spans="1:10" x14ac:dyDescent="0.25">
      <c r="A408" s="583"/>
      <c r="B408" s="643"/>
      <c r="C408" s="643"/>
      <c r="D408" s="643"/>
      <c r="E408" s="644"/>
      <c r="F408" s="644"/>
      <c r="G408" s="644"/>
      <c r="H408" s="644"/>
      <c r="I408" s="643"/>
      <c r="J408" s="472"/>
    </row>
    <row r="409" spans="1:10" x14ac:dyDescent="0.25">
      <c r="A409" s="583"/>
      <c r="B409" s="643"/>
      <c r="C409" s="643"/>
      <c r="D409" s="643"/>
      <c r="E409" s="644"/>
      <c r="F409" s="644"/>
      <c r="G409" s="644"/>
      <c r="H409" s="644"/>
      <c r="I409" s="643"/>
      <c r="J409" s="472"/>
    </row>
    <row r="410" spans="1:10" x14ac:dyDescent="0.25">
      <c r="A410" s="583"/>
      <c r="B410" s="643"/>
      <c r="C410" s="643"/>
      <c r="D410" s="643"/>
      <c r="E410" s="644"/>
      <c r="F410" s="644"/>
      <c r="G410" s="644"/>
      <c r="H410" s="644"/>
      <c r="I410" s="643"/>
      <c r="J410" s="472"/>
    </row>
    <row r="411" spans="1:10" x14ac:dyDescent="0.25">
      <c r="A411" s="583"/>
      <c r="B411" s="643"/>
      <c r="C411" s="643"/>
      <c r="D411" s="643"/>
      <c r="E411" s="644"/>
      <c r="F411" s="644"/>
      <c r="G411" s="644"/>
      <c r="H411" s="644"/>
      <c r="I411" s="643"/>
      <c r="J411" s="472"/>
    </row>
    <row r="412" spans="1:10" x14ac:dyDescent="0.25">
      <c r="A412" s="583"/>
      <c r="B412" s="643"/>
      <c r="C412" s="643"/>
      <c r="D412" s="643"/>
      <c r="E412" s="644"/>
      <c r="F412" s="644"/>
      <c r="G412" s="644"/>
      <c r="H412" s="644"/>
      <c r="I412" s="643"/>
      <c r="J412" s="472"/>
    </row>
    <row r="413" spans="1:10" x14ac:dyDescent="0.25">
      <c r="A413" s="583"/>
      <c r="B413" s="643"/>
      <c r="C413" s="643"/>
      <c r="D413" s="643"/>
      <c r="E413" s="644"/>
      <c r="F413" s="644"/>
      <c r="G413" s="644"/>
      <c r="H413" s="644"/>
      <c r="I413" s="643"/>
      <c r="J413" s="472"/>
    </row>
    <row r="414" spans="1:10" x14ac:dyDescent="0.25">
      <c r="A414" s="583"/>
      <c r="B414" s="643"/>
      <c r="C414" s="643"/>
      <c r="D414" s="643"/>
      <c r="E414" s="644"/>
      <c r="F414" s="644"/>
      <c r="G414" s="644"/>
      <c r="H414" s="644"/>
      <c r="I414" s="643"/>
      <c r="J414" s="472"/>
    </row>
    <row r="415" spans="1:10" x14ac:dyDescent="0.25">
      <c r="A415" s="583"/>
      <c r="B415" s="643"/>
      <c r="C415" s="643"/>
      <c r="D415" s="643"/>
      <c r="E415" s="644"/>
      <c r="F415" s="644"/>
      <c r="G415" s="644"/>
      <c r="H415" s="644"/>
      <c r="I415" s="643"/>
      <c r="J415" s="472"/>
    </row>
    <row r="416" spans="1:10" x14ac:dyDescent="0.25">
      <c r="A416" s="583"/>
      <c r="B416" s="643"/>
      <c r="C416" s="643"/>
      <c r="D416" s="643"/>
      <c r="E416" s="644"/>
      <c r="F416" s="644"/>
      <c r="G416" s="644"/>
      <c r="H416" s="644"/>
      <c r="I416" s="643"/>
      <c r="J416" s="472"/>
    </row>
    <row r="417" spans="1:10" x14ac:dyDescent="0.25">
      <c r="A417" s="583"/>
      <c r="B417" s="643"/>
      <c r="C417" s="643"/>
      <c r="D417" s="643"/>
      <c r="E417" s="644"/>
      <c r="F417" s="644"/>
      <c r="G417" s="644"/>
      <c r="H417" s="644"/>
      <c r="I417" s="643"/>
      <c r="J417" s="472"/>
    </row>
    <row r="418" spans="1:10" x14ac:dyDescent="0.25">
      <c r="A418" s="583"/>
      <c r="B418" s="643"/>
      <c r="C418" s="643"/>
      <c r="D418" s="643"/>
      <c r="E418" s="644"/>
      <c r="F418" s="644"/>
      <c r="G418" s="644"/>
      <c r="H418" s="644"/>
      <c r="I418" s="643"/>
      <c r="J418" s="472"/>
    </row>
    <row r="419" spans="1:10" x14ac:dyDescent="0.25">
      <c r="A419" s="583"/>
      <c r="B419" s="643"/>
      <c r="C419" s="643"/>
      <c r="D419" s="643"/>
      <c r="E419" s="644"/>
      <c r="F419" s="644"/>
      <c r="G419" s="644"/>
      <c r="H419" s="644"/>
      <c r="I419" s="643"/>
      <c r="J419" s="472"/>
    </row>
    <row r="420" spans="1:10" x14ac:dyDescent="0.25">
      <c r="A420" s="583"/>
      <c r="B420" s="643"/>
      <c r="C420" s="643"/>
      <c r="D420" s="643"/>
      <c r="E420" s="644"/>
      <c r="F420" s="644"/>
      <c r="G420" s="644"/>
      <c r="H420" s="644"/>
      <c r="I420" s="643"/>
      <c r="J420" s="472"/>
    </row>
    <row r="421" spans="1:10" x14ac:dyDescent="0.25">
      <c r="A421" s="583"/>
      <c r="B421" s="643"/>
      <c r="C421" s="643"/>
      <c r="D421" s="643"/>
      <c r="E421" s="644"/>
      <c r="F421" s="644"/>
      <c r="G421" s="644"/>
      <c r="H421" s="644"/>
      <c r="I421" s="643"/>
      <c r="J421" s="472"/>
    </row>
    <row r="422" spans="1:10" x14ac:dyDescent="0.25">
      <c r="A422" s="583"/>
      <c r="B422" s="643"/>
      <c r="C422" s="643"/>
      <c r="D422" s="643"/>
      <c r="E422" s="644"/>
      <c r="F422" s="644"/>
      <c r="G422" s="644"/>
      <c r="H422" s="644"/>
      <c r="I422" s="643"/>
      <c r="J422" s="472"/>
    </row>
    <row r="423" spans="1:10" x14ac:dyDescent="0.25">
      <c r="A423" s="583"/>
      <c r="B423" s="643"/>
      <c r="C423" s="643"/>
      <c r="D423" s="643"/>
      <c r="E423" s="644"/>
      <c r="F423" s="644"/>
      <c r="G423" s="644"/>
      <c r="H423" s="644"/>
      <c r="I423" s="643"/>
      <c r="J423" s="472"/>
    </row>
    <row r="424" spans="1:10" x14ac:dyDescent="0.25">
      <c r="A424" s="583"/>
      <c r="B424" s="643"/>
      <c r="C424" s="643"/>
      <c r="D424" s="643"/>
      <c r="E424" s="644"/>
      <c r="F424" s="644"/>
      <c r="G424" s="644"/>
      <c r="H424" s="644"/>
      <c r="I424" s="643"/>
      <c r="J424" s="472"/>
    </row>
    <row r="425" spans="1:10" x14ac:dyDescent="0.25">
      <c r="A425" s="583"/>
      <c r="B425" s="643"/>
      <c r="C425" s="643"/>
      <c r="D425" s="643"/>
      <c r="E425" s="644"/>
      <c r="F425" s="644"/>
      <c r="G425" s="644"/>
      <c r="H425" s="644"/>
      <c r="I425" s="643"/>
      <c r="J425" s="472"/>
    </row>
    <row r="426" spans="1:10" x14ac:dyDescent="0.25">
      <c r="A426" s="583"/>
      <c r="B426" s="643"/>
      <c r="C426" s="643"/>
      <c r="D426" s="643"/>
      <c r="E426" s="644"/>
      <c r="F426" s="644"/>
      <c r="G426" s="644"/>
      <c r="H426" s="644"/>
      <c r="I426" s="643"/>
      <c r="J426" s="472"/>
    </row>
    <row r="427" spans="1:10" x14ac:dyDescent="0.25">
      <c r="A427" s="583"/>
      <c r="B427" s="643"/>
      <c r="C427" s="643"/>
      <c r="D427" s="643"/>
      <c r="E427" s="644"/>
      <c r="F427" s="644"/>
      <c r="G427" s="644"/>
      <c r="H427" s="644"/>
      <c r="I427" s="643"/>
      <c r="J427" s="472"/>
    </row>
    <row r="428" spans="1:10" x14ac:dyDescent="0.25">
      <c r="A428" s="583"/>
      <c r="B428" s="643"/>
      <c r="C428" s="643"/>
      <c r="D428" s="643"/>
      <c r="E428" s="644"/>
      <c r="F428" s="644"/>
      <c r="G428" s="644"/>
      <c r="H428" s="644"/>
      <c r="I428" s="643"/>
      <c r="J428" s="472"/>
    </row>
    <row r="429" spans="1:10" x14ac:dyDescent="0.25">
      <c r="A429" s="583"/>
      <c r="B429" s="643"/>
      <c r="C429" s="643"/>
      <c r="D429" s="643"/>
      <c r="E429" s="644"/>
      <c r="F429" s="644"/>
      <c r="G429" s="644"/>
      <c r="H429" s="644"/>
      <c r="I429" s="643"/>
      <c r="J429" s="472"/>
    </row>
    <row r="430" spans="1:10" x14ac:dyDescent="0.25">
      <c r="A430" s="583"/>
      <c r="B430" s="643"/>
      <c r="C430" s="643"/>
      <c r="D430" s="643"/>
      <c r="E430" s="644"/>
      <c r="F430" s="644"/>
      <c r="G430" s="644"/>
      <c r="H430" s="644"/>
      <c r="I430" s="643"/>
      <c r="J430" s="472"/>
    </row>
    <row r="431" spans="1:10" x14ac:dyDescent="0.25">
      <c r="A431" s="583"/>
      <c r="B431" s="643"/>
      <c r="C431" s="643"/>
      <c r="D431" s="643"/>
      <c r="E431" s="644"/>
      <c r="F431" s="644"/>
      <c r="G431" s="644"/>
      <c r="H431" s="644"/>
      <c r="I431" s="643"/>
      <c r="J431" s="472"/>
    </row>
    <row r="432" spans="1:10" x14ac:dyDescent="0.25">
      <c r="A432" s="583"/>
      <c r="B432" s="643"/>
      <c r="C432" s="643"/>
      <c r="D432" s="643"/>
      <c r="E432" s="644"/>
      <c r="F432" s="644"/>
      <c r="G432" s="644"/>
      <c r="H432" s="644"/>
      <c r="I432" s="643"/>
      <c r="J432" s="472"/>
    </row>
    <row r="433" spans="1:10" x14ac:dyDescent="0.25">
      <c r="A433" s="583"/>
      <c r="B433" s="643"/>
      <c r="C433" s="643"/>
      <c r="D433" s="643"/>
      <c r="E433" s="644"/>
      <c r="F433" s="644"/>
      <c r="G433" s="644"/>
      <c r="H433" s="644"/>
      <c r="I433" s="643"/>
      <c r="J433" s="472"/>
    </row>
    <row r="434" spans="1:10" x14ac:dyDescent="0.25">
      <c r="A434" s="583"/>
      <c r="B434" s="643"/>
      <c r="C434" s="643"/>
      <c r="D434" s="643"/>
      <c r="E434" s="644"/>
      <c r="F434" s="644"/>
      <c r="G434" s="644"/>
      <c r="H434" s="644"/>
      <c r="I434" s="643"/>
      <c r="J434" s="472"/>
    </row>
    <row r="435" spans="1:10" x14ac:dyDescent="0.25">
      <c r="A435" s="583"/>
      <c r="B435" s="643"/>
      <c r="C435" s="643"/>
      <c r="D435" s="643"/>
      <c r="E435" s="644"/>
      <c r="F435" s="644"/>
      <c r="G435" s="644"/>
      <c r="H435" s="644"/>
      <c r="I435" s="643"/>
      <c r="J435" s="472"/>
    </row>
    <row r="436" spans="1:10" x14ac:dyDescent="0.25">
      <c r="A436" s="583"/>
      <c r="B436" s="643"/>
      <c r="C436" s="643"/>
      <c r="D436" s="643"/>
      <c r="E436" s="644"/>
      <c r="F436" s="644"/>
      <c r="G436" s="644"/>
      <c r="H436" s="644"/>
      <c r="I436" s="643"/>
      <c r="J436" s="472"/>
    </row>
    <row r="437" spans="1:10" x14ac:dyDescent="0.25">
      <c r="A437" s="583"/>
      <c r="B437" s="643"/>
      <c r="C437" s="643"/>
      <c r="D437" s="643"/>
      <c r="E437" s="644"/>
      <c r="F437" s="644"/>
      <c r="G437" s="644"/>
      <c r="H437" s="644"/>
      <c r="I437" s="643"/>
      <c r="J437" s="472"/>
    </row>
    <row r="438" spans="1:10" x14ac:dyDescent="0.25">
      <c r="A438" s="583"/>
      <c r="B438" s="643"/>
      <c r="C438" s="643"/>
      <c r="D438" s="643"/>
      <c r="E438" s="644"/>
      <c r="F438" s="644"/>
      <c r="G438" s="644"/>
      <c r="H438" s="644"/>
      <c r="I438" s="643"/>
      <c r="J438" s="472"/>
    </row>
    <row r="439" spans="1:10" x14ac:dyDescent="0.25">
      <c r="A439" s="583"/>
      <c r="B439" s="643"/>
      <c r="C439" s="643"/>
      <c r="D439" s="643"/>
      <c r="E439" s="644"/>
      <c r="F439" s="644"/>
      <c r="G439" s="644"/>
      <c r="H439" s="644"/>
      <c r="I439" s="643"/>
      <c r="J439" s="472"/>
    </row>
    <row r="440" spans="1:10" x14ac:dyDescent="0.25">
      <c r="A440" s="583"/>
      <c r="B440" s="643"/>
      <c r="C440" s="643"/>
      <c r="D440" s="643"/>
      <c r="E440" s="644"/>
      <c r="F440" s="644"/>
      <c r="G440" s="644"/>
      <c r="H440" s="644"/>
      <c r="I440" s="643"/>
      <c r="J440" s="472"/>
    </row>
    <row r="441" spans="1:10" x14ac:dyDescent="0.25">
      <c r="A441" s="583"/>
      <c r="B441" s="643"/>
      <c r="C441" s="643"/>
      <c r="D441" s="643"/>
      <c r="E441" s="644"/>
      <c r="F441" s="644"/>
      <c r="G441" s="644"/>
      <c r="H441" s="644"/>
      <c r="I441" s="643"/>
      <c r="J441" s="472"/>
    </row>
    <row r="442" spans="1:10" x14ac:dyDescent="0.25">
      <c r="A442" s="583"/>
      <c r="B442" s="643"/>
      <c r="C442" s="643"/>
      <c r="D442" s="643"/>
      <c r="E442" s="644"/>
      <c r="F442" s="644"/>
      <c r="G442" s="644"/>
      <c r="H442" s="644"/>
      <c r="I442" s="643"/>
      <c r="J442" s="472"/>
    </row>
    <row r="443" spans="1:10" x14ac:dyDescent="0.25">
      <c r="A443" s="583"/>
      <c r="B443" s="643"/>
      <c r="C443" s="643"/>
      <c r="D443" s="643"/>
      <c r="E443" s="644"/>
      <c r="F443" s="644"/>
      <c r="G443" s="644"/>
      <c r="H443" s="644"/>
      <c r="I443" s="643"/>
      <c r="J443" s="472"/>
    </row>
    <row r="444" spans="1:10" x14ac:dyDescent="0.25">
      <c r="A444" s="583"/>
      <c r="B444" s="643"/>
      <c r="C444" s="643"/>
      <c r="D444" s="643"/>
      <c r="E444" s="644"/>
      <c r="F444" s="644"/>
      <c r="G444" s="644"/>
      <c r="H444" s="644"/>
      <c r="I444" s="643"/>
      <c r="J444" s="472"/>
    </row>
    <row r="445" spans="1:10" x14ac:dyDescent="0.25">
      <c r="A445" s="583"/>
      <c r="B445" s="643"/>
      <c r="C445" s="643"/>
      <c r="D445" s="643"/>
      <c r="E445" s="644"/>
      <c r="F445" s="644"/>
      <c r="G445" s="644"/>
      <c r="H445" s="644"/>
      <c r="I445" s="643"/>
      <c r="J445" s="472"/>
    </row>
    <row r="446" spans="1:10" x14ac:dyDescent="0.25">
      <c r="A446" s="583"/>
      <c r="B446" s="643"/>
      <c r="C446" s="643"/>
      <c r="D446" s="643"/>
      <c r="E446" s="644"/>
      <c r="F446" s="644"/>
      <c r="G446" s="644"/>
      <c r="H446" s="644"/>
      <c r="I446" s="643"/>
      <c r="J446" s="472"/>
    </row>
    <row r="447" spans="1:10" x14ac:dyDescent="0.25">
      <c r="A447" s="583"/>
      <c r="B447" s="643"/>
      <c r="C447" s="643"/>
      <c r="D447" s="643"/>
      <c r="E447" s="644"/>
      <c r="F447" s="644"/>
      <c r="G447" s="644"/>
      <c r="H447" s="644"/>
      <c r="I447" s="643"/>
      <c r="J447" s="472"/>
    </row>
    <row r="448" spans="1:10" x14ac:dyDescent="0.25">
      <c r="A448" s="583"/>
      <c r="B448" s="643"/>
      <c r="C448" s="643"/>
      <c r="D448" s="643"/>
      <c r="E448" s="644"/>
      <c r="F448" s="644"/>
      <c r="G448" s="644"/>
      <c r="H448" s="644"/>
      <c r="I448" s="643"/>
      <c r="J448" s="472"/>
    </row>
    <row r="449" spans="1:10" x14ac:dyDescent="0.25">
      <c r="A449" s="583"/>
      <c r="B449" s="643"/>
      <c r="C449" s="643"/>
      <c r="D449" s="643"/>
      <c r="E449" s="644"/>
      <c r="F449" s="644"/>
      <c r="G449" s="644"/>
      <c r="H449" s="644"/>
      <c r="I449" s="643"/>
      <c r="J449" s="472"/>
    </row>
    <row r="450" spans="1:10" x14ac:dyDescent="0.25">
      <c r="A450" s="583"/>
      <c r="B450" s="643"/>
      <c r="C450" s="643"/>
      <c r="D450" s="643"/>
      <c r="E450" s="644"/>
      <c r="F450" s="644"/>
      <c r="G450" s="644"/>
      <c r="H450" s="644"/>
      <c r="I450" s="643"/>
      <c r="J450" s="472"/>
    </row>
    <row r="451" spans="1:10" x14ac:dyDescent="0.25">
      <c r="A451" s="583"/>
      <c r="B451" s="643"/>
      <c r="C451" s="643"/>
      <c r="D451" s="643"/>
      <c r="E451" s="644"/>
      <c r="F451" s="644"/>
      <c r="G451" s="644"/>
      <c r="H451" s="644"/>
      <c r="I451" s="643"/>
      <c r="J451" s="472"/>
    </row>
    <row r="452" spans="1:10" x14ac:dyDescent="0.25">
      <c r="A452" s="583"/>
      <c r="B452" s="643"/>
      <c r="C452" s="643"/>
      <c r="D452" s="643"/>
      <c r="E452" s="644"/>
      <c r="F452" s="644"/>
      <c r="G452" s="644"/>
      <c r="H452" s="644"/>
      <c r="I452" s="643"/>
      <c r="J452" s="472"/>
    </row>
    <row r="453" spans="1:10" x14ac:dyDescent="0.25">
      <c r="A453" s="583"/>
      <c r="B453" s="643"/>
      <c r="C453" s="643"/>
      <c r="D453" s="643"/>
      <c r="E453" s="644"/>
      <c r="F453" s="644"/>
      <c r="G453" s="644"/>
      <c r="H453" s="644"/>
      <c r="I453" s="643"/>
      <c r="J453" s="472"/>
    </row>
    <row r="454" spans="1:10" x14ac:dyDescent="0.25">
      <c r="A454" s="583"/>
      <c r="B454" s="643"/>
      <c r="C454" s="643"/>
      <c r="D454" s="643"/>
      <c r="E454" s="644"/>
      <c r="F454" s="644"/>
      <c r="G454" s="644"/>
      <c r="H454" s="644"/>
      <c r="I454" s="643"/>
      <c r="J454" s="472"/>
    </row>
    <row r="455" spans="1:10" x14ac:dyDescent="0.25">
      <c r="A455" s="583"/>
      <c r="B455" s="643"/>
      <c r="C455" s="643"/>
      <c r="D455" s="643"/>
      <c r="E455" s="644"/>
      <c r="F455" s="644"/>
      <c r="G455" s="644"/>
      <c r="H455" s="644"/>
      <c r="I455" s="643"/>
      <c r="J455" s="472"/>
    </row>
    <row r="456" spans="1:10" x14ac:dyDescent="0.25">
      <c r="A456" s="583"/>
      <c r="B456" s="643"/>
      <c r="C456" s="643"/>
      <c r="D456" s="643"/>
      <c r="E456" s="644"/>
      <c r="F456" s="644"/>
      <c r="G456" s="644"/>
      <c r="H456" s="644"/>
      <c r="I456" s="643"/>
      <c r="J456" s="472"/>
    </row>
    <row r="457" spans="1:10" x14ac:dyDescent="0.25">
      <c r="A457" s="583"/>
      <c r="B457" s="643"/>
      <c r="C457" s="643"/>
      <c r="D457" s="643"/>
      <c r="E457" s="644"/>
      <c r="F457" s="644"/>
      <c r="G457" s="644"/>
      <c r="H457" s="644"/>
      <c r="I457" s="643"/>
      <c r="J457" s="472"/>
    </row>
    <row r="458" spans="1:10" x14ac:dyDescent="0.25">
      <c r="A458" s="583"/>
      <c r="B458" s="643"/>
      <c r="C458" s="643"/>
      <c r="D458" s="643"/>
      <c r="E458" s="644"/>
      <c r="F458" s="644"/>
      <c r="G458" s="644"/>
      <c r="H458" s="644"/>
      <c r="I458" s="643"/>
      <c r="J458" s="472"/>
    </row>
    <row r="459" spans="1:10" x14ac:dyDescent="0.25">
      <c r="A459" s="583"/>
      <c r="B459" s="643"/>
      <c r="C459" s="643"/>
      <c r="D459" s="643"/>
      <c r="E459" s="644"/>
      <c r="F459" s="644"/>
      <c r="G459" s="644"/>
      <c r="H459" s="644"/>
      <c r="I459" s="643"/>
      <c r="J459" s="472"/>
    </row>
    <row r="460" spans="1:10" x14ac:dyDescent="0.25">
      <c r="A460" s="583"/>
      <c r="B460" s="643"/>
      <c r="C460" s="643"/>
      <c r="D460" s="643"/>
      <c r="E460" s="644"/>
      <c r="F460" s="644"/>
      <c r="G460" s="644"/>
      <c r="H460" s="644"/>
      <c r="I460" s="643"/>
      <c r="J460" s="472"/>
    </row>
    <row r="461" spans="1:10" x14ac:dyDescent="0.25">
      <c r="A461" s="583"/>
      <c r="B461" s="643"/>
      <c r="C461" s="643"/>
      <c r="D461" s="643"/>
      <c r="E461" s="644"/>
      <c r="F461" s="644"/>
      <c r="G461" s="644"/>
      <c r="H461" s="644"/>
      <c r="I461" s="643"/>
      <c r="J461" s="472"/>
    </row>
    <row r="462" spans="1:10" x14ac:dyDescent="0.25">
      <c r="A462" s="583"/>
      <c r="B462" s="643"/>
      <c r="C462" s="643"/>
      <c r="D462" s="643"/>
      <c r="E462" s="644"/>
      <c r="F462" s="644"/>
      <c r="G462" s="644"/>
      <c r="H462" s="644"/>
      <c r="I462" s="643"/>
      <c r="J462" s="472"/>
    </row>
    <row r="463" spans="1:10" x14ac:dyDescent="0.25">
      <c r="A463" s="583"/>
      <c r="B463" s="643"/>
      <c r="C463" s="643"/>
      <c r="D463" s="643"/>
      <c r="E463" s="644"/>
      <c r="F463" s="644"/>
      <c r="G463" s="644"/>
      <c r="H463" s="644"/>
      <c r="I463" s="643"/>
      <c r="J463" s="472"/>
    </row>
    <row r="464" spans="1:10" x14ac:dyDescent="0.25">
      <c r="A464" s="583"/>
      <c r="B464" s="643"/>
      <c r="C464" s="643"/>
      <c r="D464" s="643"/>
      <c r="E464" s="644"/>
      <c r="F464" s="644"/>
      <c r="G464" s="644"/>
      <c r="H464" s="644"/>
      <c r="I464" s="643"/>
      <c r="J464" s="472"/>
    </row>
    <row r="465" spans="1:10" x14ac:dyDescent="0.25">
      <c r="A465" s="583"/>
      <c r="B465" s="643"/>
      <c r="C465" s="643"/>
      <c r="D465" s="643"/>
      <c r="E465" s="644"/>
      <c r="F465" s="644"/>
      <c r="G465" s="644"/>
      <c r="H465" s="644"/>
      <c r="I465" s="643"/>
      <c r="J465" s="472"/>
    </row>
    <row r="466" spans="1:10" x14ac:dyDescent="0.25">
      <c r="A466" s="583"/>
      <c r="B466" s="643"/>
      <c r="C466" s="643"/>
      <c r="D466" s="643"/>
      <c r="E466" s="644"/>
      <c r="F466" s="644"/>
      <c r="G466" s="644"/>
      <c r="H466" s="644"/>
      <c r="I466" s="643"/>
      <c r="J466" s="472"/>
    </row>
    <row r="467" spans="1:10" x14ac:dyDescent="0.25">
      <c r="A467" s="583"/>
      <c r="B467" s="643"/>
      <c r="C467" s="643"/>
      <c r="D467" s="643"/>
      <c r="E467" s="644"/>
      <c r="F467" s="644"/>
      <c r="G467" s="644"/>
      <c r="H467" s="644"/>
      <c r="I467" s="643"/>
      <c r="J467" s="472"/>
    </row>
    <row r="468" spans="1:10" x14ac:dyDescent="0.25">
      <c r="A468" s="583"/>
      <c r="B468" s="643"/>
      <c r="C468" s="643"/>
      <c r="D468" s="643"/>
      <c r="E468" s="644"/>
      <c r="F468" s="644"/>
      <c r="G468" s="644"/>
      <c r="H468" s="644"/>
      <c r="I468" s="643"/>
      <c r="J468" s="472"/>
    </row>
    <row r="469" spans="1:10" x14ac:dyDescent="0.25">
      <c r="A469" s="583"/>
      <c r="B469" s="643"/>
      <c r="C469" s="643"/>
      <c r="D469" s="643"/>
      <c r="E469" s="644"/>
      <c r="F469" s="644"/>
      <c r="G469" s="644"/>
      <c r="H469" s="644"/>
      <c r="I469" s="643"/>
      <c r="J469" s="472"/>
    </row>
    <row r="470" spans="1:10" x14ac:dyDescent="0.25">
      <c r="A470" s="583"/>
      <c r="B470" s="643"/>
      <c r="C470" s="643"/>
      <c r="D470" s="643"/>
      <c r="E470" s="644"/>
      <c r="F470" s="644"/>
      <c r="G470" s="644"/>
      <c r="H470" s="644"/>
      <c r="I470" s="643"/>
      <c r="J470" s="472"/>
    </row>
    <row r="471" spans="1:10" x14ac:dyDescent="0.25">
      <c r="A471" s="583"/>
      <c r="B471" s="643"/>
      <c r="C471" s="643"/>
      <c r="D471" s="643"/>
      <c r="E471" s="644"/>
      <c r="F471" s="644"/>
      <c r="G471" s="644"/>
      <c r="H471" s="644"/>
      <c r="I471" s="643"/>
      <c r="J471" s="472"/>
    </row>
    <row r="472" spans="1:10" x14ac:dyDescent="0.25">
      <c r="A472" s="583"/>
      <c r="B472" s="643"/>
      <c r="C472" s="643"/>
      <c r="D472" s="643"/>
      <c r="E472" s="644"/>
      <c r="F472" s="644"/>
      <c r="G472" s="644"/>
      <c r="H472" s="644"/>
      <c r="I472" s="643"/>
      <c r="J472" s="472"/>
    </row>
    <row r="473" spans="1:10" x14ac:dyDescent="0.25">
      <c r="A473" s="583"/>
      <c r="B473" s="643"/>
      <c r="C473" s="643"/>
      <c r="D473" s="643"/>
      <c r="E473" s="644"/>
      <c r="F473" s="644"/>
      <c r="G473" s="644"/>
      <c r="H473" s="644"/>
      <c r="I473" s="643"/>
      <c r="J473" s="472"/>
    </row>
    <row r="474" spans="1:10" x14ac:dyDescent="0.25">
      <c r="A474" s="583"/>
      <c r="B474" s="643"/>
      <c r="C474" s="643"/>
      <c r="D474" s="643"/>
      <c r="E474" s="644"/>
      <c r="F474" s="644"/>
      <c r="G474" s="644"/>
      <c r="H474" s="644"/>
      <c r="I474" s="643"/>
      <c r="J474" s="472"/>
    </row>
    <row r="475" spans="1:10" x14ac:dyDescent="0.25">
      <c r="A475" s="583"/>
      <c r="B475" s="643"/>
      <c r="C475" s="643"/>
      <c r="D475" s="643"/>
      <c r="E475" s="644"/>
      <c r="F475" s="644"/>
      <c r="G475" s="644"/>
      <c r="H475" s="644"/>
      <c r="I475" s="643"/>
      <c r="J475" s="472"/>
    </row>
    <row r="476" spans="1:10" x14ac:dyDescent="0.25">
      <c r="A476" s="583"/>
      <c r="B476" s="643"/>
      <c r="C476" s="643"/>
      <c r="D476" s="643"/>
      <c r="E476" s="644"/>
      <c r="F476" s="644"/>
      <c r="G476" s="644"/>
      <c r="H476" s="644"/>
      <c r="I476" s="643"/>
      <c r="J476" s="472"/>
    </row>
    <row r="477" spans="1:10" x14ac:dyDescent="0.25">
      <c r="A477" s="583"/>
      <c r="B477" s="643"/>
      <c r="C477" s="643"/>
      <c r="D477" s="643"/>
      <c r="E477" s="644"/>
      <c r="F477" s="644"/>
      <c r="G477" s="644"/>
      <c r="H477" s="644"/>
      <c r="I477" s="643"/>
      <c r="J477" s="472"/>
    </row>
    <row r="478" spans="1:10" x14ac:dyDescent="0.25">
      <c r="A478" s="583"/>
      <c r="B478" s="643"/>
      <c r="C478" s="643"/>
      <c r="D478" s="643"/>
      <c r="E478" s="644"/>
      <c r="F478" s="644"/>
      <c r="G478" s="644"/>
      <c r="H478" s="644"/>
      <c r="I478" s="643"/>
      <c r="J478" s="472"/>
    </row>
    <row r="479" spans="1:10" x14ac:dyDescent="0.25">
      <c r="A479" s="583"/>
      <c r="B479" s="643"/>
      <c r="C479" s="643"/>
      <c r="D479" s="643"/>
      <c r="E479" s="644"/>
      <c r="F479" s="644"/>
      <c r="G479" s="644"/>
      <c r="H479" s="644"/>
      <c r="I479" s="643"/>
      <c r="J479" s="472"/>
    </row>
    <row r="480" spans="1:10" x14ac:dyDescent="0.25">
      <c r="A480" s="583"/>
      <c r="B480" s="643"/>
      <c r="C480" s="643"/>
      <c r="D480" s="643"/>
      <c r="E480" s="644"/>
      <c r="F480" s="644"/>
      <c r="G480" s="644"/>
      <c r="H480" s="644"/>
      <c r="I480" s="643"/>
      <c r="J480" s="472"/>
    </row>
    <row r="481" spans="1:10" x14ac:dyDescent="0.25">
      <c r="A481" s="583"/>
      <c r="B481" s="643"/>
      <c r="C481" s="643"/>
      <c r="D481" s="643"/>
      <c r="E481" s="644"/>
      <c r="F481" s="644"/>
      <c r="G481" s="644"/>
      <c r="H481" s="644"/>
      <c r="I481" s="643"/>
      <c r="J481" s="472"/>
    </row>
    <row r="482" spans="1:10" x14ac:dyDescent="0.25">
      <c r="A482" s="583"/>
      <c r="B482" s="643"/>
      <c r="C482" s="643"/>
      <c r="D482" s="643"/>
      <c r="E482" s="644"/>
      <c r="F482" s="644"/>
      <c r="G482" s="644"/>
      <c r="H482" s="644"/>
      <c r="I482" s="643"/>
      <c r="J482" s="472"/>
    </row>
    <row r="483" spans="1:10" x14ac:dyDescent="0.25">
      <c r="A483" s="583"/>
      <c r="B483" s="643"/>
      <c r="C483" s="643"/>
      <c r="D483" s="643"/>
      <c r="E483" s="644"/>
      <c r="F483" s="644"/>
      <c r="G483" s="644"/>
      <c r="H483" s="644"/>
      <c r="I483" s="643"/>
      <c r="J483" s="472"/>
    </row>
    <row r="484" spans="1:10" x14ac:dyDescent="0.25">
      <c r="A484" s="583"/>
      <c r="B484" s="643"/>
      <c r="C484" s="643"/>
      <c r="D484" s="643"/>
      <c r="E484" s="644"/>
      <c r="F484" s="644"/>
      <c r="G484" s="644"/>
      <c r="H484" s="644"/>
      <c r="I484" s="643"/>
      <c r="J484" s="472"/>
    </row>
    <row r="485" spans="1:10" x14ac:dyDescent="0.25">
      <c r="A485" s="583"/>
      <c r="B485" s="643"/>
      <c r="C485" s="643"/>
      <c r="D485" s="643"/>
      <c r="E485" s="644"/>
      <c r="F485" s="644"/>
      <c r="G485" s="644"/>
      <c r="H485" s="644"/>
      <c r="I485" s="643"/>
      <c r="J485" s="472"/>
    </row>
    <row r="486" spans="1:10" x14ac:dyDescent="0.25">
      <c r="A486" s="583"/>
      <c r="B486" s="643"/>
      <c r="C486" s="643"/>
      <c r="D486" s="643"/>
      <c r="E486" s="644"/>
      <c r="F486" s="644"/>
      <c r="G486" s="644"/>
      <c r="H486" s="644"/>
      <c r="I486" s="643"/>
      <c r="J486" s="472"/>
    </row>
    <row r="487" spans="1:10" x14ac:dyDescent="0.25">
      <c r="A487" s="583"/>
      <c r="B487" s="643"/>
      <c r="C487" s="643"/>
      <c r="D487" s="643"/>
      <c r="E487" s="644"/>
      <c r="F487" s="644"/>
      <c r="G487" s="644"/>
      <c r="H487" s="644"/>
      <c r="I487" s="643"/>
      <c r="J487" s="472"/>
    </row>
    <row r="488" spans="1:10" x14ac:dyDescent="0.25">
      <c r="A488" s="583"/>
      <c r="B488" s="643"/>
      <c r="C488" s="643"/>
      <c r="D488" s="643"/>
      <c r="E488" s="644"/>
      <c r="F488" s="644"/>
      <c r="G488" s="644"/>
      <c r="H488" s="644"/>
      <c r="I488" s="643"/>
      <c r="J488" s="472"/>
    </row>
    <row r="489" spans="1:10" x14ac:dyDescent="0.25">
      <c r="A489" s="583"/>
      <c r="B489" s="643"/>
      <c r="C489" s="643"/>
      <c r="D489" s="643"/>
      <c r="E489" s="644"/>
      <c r="F489" s="644"/>
      <c r="G489" s="644"/>
      <c r="H489" s="644"/>
      <c r="I489" s="643"/>
      <c r="J489" s="472"/>
    </row>
    <row r="490" spans="1:10" x14ac:dyDescent="0.25">
      <c r="A490" s="583"/>
      <c r="B490" s="643"/>
      <c r="C490" s="643"/>
      <c r="D490" s="643"/>
      <c r="E490" s="644"/>
      <c r="F490" s="644"/>
      <c r="G490" s="644"/>
      <c r="H490" s="644"/>
      <c r="I490" s="643"/>
      <c r="J490" s="472"/>
    </row>
    <row r="491" spans="1:10" x14ac:dyDescent="0.25">
      <c r="A491" s="583"/>
      <c r="B491" s="643"/>
      <c r="C491" s="643"/>
      <c r="D491" s="643"/>
      <c r="E491" s="644"/>
      <c r="F491" s="644"/>
      <c r="G491" s="644"/>
      <c r="H491" s="644"/>
      <c r="I491" s="643"/>
      <c r="J491" s="472"/>
    </row>
    <row r="492" spans="1:10" x14ac:dyDescent="0.25">
      <c r="A492" s="583"/>
      <c r="B492" s="643"/>
      <c r="C492" s="643"/>
      <c r="D492" s="643"/>
      <c r="E492" s="644"/>
      <c r="F492" s="644"/>
      <c r="G492" s="644"/>
      <c r="H492" s="644"/>
      <c r="I492" s="643"/>
      <c r="J492" s="472"/>
    </row>
    <row r="493" spans="1:10" x14ac:dyDescent="0.25">
      <c r="A493" s="583"/>
      <c r="B493" s="643"/>
      <c r="C493" s="643"/>
      <c r="D493" s="643"/>
      <c r="E493" s="644"/>
      <c r="F493" s="644"/>
      <c r="G493" s="644"/>
      <c r="H493" s="644"/>
      <c r="I493" s="643"/>
      <c r="J493" s="472"/>
    </row>
    <row r="494" spans="1:10" x14ac:dyDescent="0.25">
      <c r="A494" s="583"/>
      <c r="B494" s="643"/>
      <c r="C494" s="643"/>
      <c r="D494" s="643"/>
      <c r="E494" s="644"/>
      <c r="F494" s="644"/>
      <c r="G494" s="644"/>
      <c r="H494" s="644"/>
      <c r="I494" s="643"/>
      <c r="J494" s="472"/>
    </row>
    <row r="495" spans="1:10" x14ac:dyDescent="0.25">
      <c r="A495" s="583"/>
      <c r="B495" s="643"/>
      <c r="C495" s="643"/>
      <c r="D495" s="643"/>
      <c r="E495" s="644"/>
      <c r="F495" s="644"/>
      <c r="G495" s="644"/>
      <c r="H495" s="644"/>
      <c r="I495" s="643"/>
      <c r="J495" s="472"/>
    </row>
    <row r="496" spans="1:10" x14ac:dyDescent="0.25">
      <c r="A496" s="583"/>
      <c r="B496" s="643"/>
      <c r="C496" s="643"/>
      <c r="D496" s="643"/>
      <c r="E496" s="644"/>
      <c r="F496" s="644"/>
      <c r="G496" s="644"/>
      <c r="H496" s="644"/>
      <c r="I496" s="643"/>
      <c r="J496" s="472"/>
    </row>
    <row r="497" spans="1:10" x14ac:dyDescent="0.25">
      <c r="A497" s="583"/>
      <c r="B497" s="643"/>
      <c r="C497" s="643"/>
      <c r="D497" s="643"/>
      <c r="E497" s="644"/>
      <c r="F497" s="644"/>
      <c r="G497" s="644"/>
      <c r="H497" s="644"/>
      <c r="I497" s="643"/>
      <c r="J497" s="472"/>
    </row>
    <row r="498" spans="1:10" x14ac:dyDescent="0.25">
      <c r="A498" s="583"/>
      <c r="B498" s="643"/>
      <c r="C498" s="643"/>
      <c r="D498" s="643"/>
      <c r="E498" s="644"/>
      <c r="F498" s="644"/>
      <c r="G498" s="644"/>
      <c r="H498" s="644"/>
      <c r="I498" s="643"/>
      <c r="J498" s="472"/>
    </row>
    <row r="499" spans="1:10" x14ac:dyDescent="0.25">
      <c r="A499" s="583"/>
      <c r="B499" s="643"/>
      <c r="C499" s="643"/>
      <c r="D499" s="643"/>
      <c r="E499" s="644"/>
      <c r="F499" s="644"/>
      <c r="G499" s="644"/>
      <c r="H499" s="644"/>
      <c r="I499" s="643"/>
      <c r="J499" s="472"/>
    </row>
    <row r="500" spans="1:10" x14ac:dyDescent="0.25">
      <c r="A500" s="583"/>
      <c r="B500" s="643"/>
      <c r="C500" s="643"/>
      <c r="D500" s="643"/>
      <c r="E500" s="644"/>
      <c r="F500" s="644"/>
      <c r="G500" s="644"/>
      <c r="H500" s="644"/>
      <c r="I500" s="643"/>
      <c r="J500" s="472"/>
    </row>
    <row r="501" spans="1:10" x14ac:dyDescent="0.25">
      <c r="A501" s="583"/>
      <c r="B501" s="643"/>
      <c r="C501" s="643"/>
      <c r="D501" s="643"/>
      <c r="E501" s="644"/>
      <c r="F501" s="644"/>
      <c r="G501" s="644"/>
      <c r="H501" s="644"/>
      <c r="I501" s="643"/>
      <c r="J501" s="472"/>
    </row>
    <row r="502" spans="1:10" x14ac:dyDescent="0.25">
      <c r="A502" s="583"/>
      <c r="B502" s="643"/>
      <c r="C502" s="643"/>
      <c r="D502" s="643"/>
      <c r="E502" s="644"/>
      <c r="F502" s="644"/>
      <c r="G502" s="644"/>
      <c r="H502" s="644"/>
      <c r="I502" s="643"/>
      <c r="J502" s="472"/>
    </row>
    <row r="503" spans="1:10" x14ac:dyDescent="0.25">
      <c r="A503" s="583"/>
      <c r="B503" s="643"/>
      <c r="C503" s="643"/>
      <c r="D503" s="643"/>
      <c r="E503" s="644"/>
      <c r="F503" s="644"/>
      <c r="G503" s="644"/>
      <c r="H503" s="644"/>
      <c r="I503" s="643"/>
      <c r="J503" s="472"/>
    </row>
    <row r="504" spans="1:10" x14ac:dyDescent="0.25">
      <c r="A504" s="583"/>
      <c r="B504" s="643"/>
      <c r="C504" s="643"/>
      <c r="D504" s="643"/>
      <c r="E504" s="644"/>
      <c r="F504" s="644"/>
      <c r="G504" s="644"/>
      <c r="H504" s="644"/>
      <c r="I504" s="643"/>
      <c r="J504" s="472"/>
    </row>
    <row r="505" spans="1:10" x14ac:dyDescent="0.25">
      <c r="A505" s="583"/>
      <c r="B505" s="643"/>
      <c r="C505" s="643"/>
      <c r="D505" s="643"/>
      <c r="E505" s="644"/>
      <c r="F505" s="644"/>
      <c r="G505" s="644"/>
      <c r="H505" s="644"/>
      <c r="I505" s="643"/>
      <c r="J505" s="472"/>
    </row>
    <row r="506" spans="1:10" x14ac:dyDescent="0.25">
      <c r="A506" s="583"/>
      <c r="B506" s="643"/>
      <c r="C506" s="643"/>
      <c r="D506" s="643"/>
      <c r="E506" s="644"/>
      <c r="F506" s="644"/>
      <c r="G506" s="644"/>
      <c r="H506" s="644"/>
      <c r="I506" s="643"/>
      <c r="J506" s="472"/>
    </row>
    <row r="507" spans="1:10" x14ac:dyDescent="0.25">
      <c r="A507" s="583"/>
      <c r="B507" s="643"/>
      <c r="C507" s="643"/>
      <c r="D507" s="643"/>
      <c r="E507" s="644"/>
      <c r="F507" s="644"/>
      <c r="G507" s="644"/>
      <c r="H507" s="644"/>
      <c r="I507" s="643"/>
      <c r="J507" s="472"/>
    </row>
    <row r="508" spans="1:10" x14ac:dyDescent="0.25">
      <c r="A508" s="583"/>
      <c r="B508" s="643"/>
      <c r="C508" s="643"/>
      <c r="D508" s="643"/>
      <c r="E508" s="644"/>
      <c r="F508" s="644"/>
      <c r="G508" s="644"/>
      <c r="H508" s="644"/>
      <c r="I508" s="643"/>
      <c r="J508" s="472"/>
    </row>
    <row r="509" spans="1:10" x14ac:dyDescent="0.25">
      <c r="A509" s="583"/>
      <c r="B509" s="643"/>
      <c r="C509" s="643"/>
      <c r="D509" s="643"/>
      <c r="E509" s="644"/>
      <c r="F509" s="644"/>
      <c r="G509" s="644"/>
      <c r="H509" s="644"/>
      <c r="I509" s="643"/>
      <c r="J509" s="472"/>
    </row>
    <row r="510" spans="1:10" x14ac:dyDescent="0.25">
      <c r="A510" s="583"/>
      <c r="B510" s="643"/>
      <c r="C510" s="643"/>
      <c r="D510" s="643"/>
      <c r="E510" s="644"/>
      <c r="F510" s="644"/>
      <c r="G510" s="644"/>
      <c r="H510" s="644"/>
      <c r="I510" s="643"/>
      <c r="J510" s="472"/>
    </row>
    <row r="511" spans="1:10" x14ac:dyDescent="0.25">
      <c r="A511" s="583"/>
      <c r="B511" s="643"/>
      <c r="C511" s="643"/>
      <c r="D511" s="643"/>
      <c r="E511" s="644"/>
      <c r="F511" s="644"/>
      <c r="G511" s="644"/>
      <c r="H511" s="644"/>
      <c r="I511" s="643"/>
      <c r="J511" s="472"/>
    </row>
    <row r="512" spans="1:10" x14ac:dyDescent="0.25">
      <c r="A512" s="583"/>
      <c r="B512" s="643"/>
      <c r="C512" s="643"/>
      <c r="D512" s="643"/>
      <c r="E512" s="644"/>
      <c r="F512" s="644"/>
      <c r="G512" s="644"/>
      <c r="H512" s="644"/>
      <c r="I512" s="643"/>
      <c r="J512" s="472"/>
    </row>
    <row r="513" spans="1:10" x14ac:dyDescent="0.25">
      <c r="A513" s="583"/>
      <c r="B513" s="643"/>
      <c r="C513" s="643"/>
      <c r="D513" s="643"/>
      <c r="E513" s="644"/>
      <c r="F513" s="644"/>
      <c r="G513" s="644"/>
      <c r="H513" s="644"/>
      <c r="I513" s="643"/>
      <c r="J513" s="472"/>
    </row>
    <row r="514" spans="1:10" x14ac:dyDescent="0.25">
      <c r="A514" s="583"/>
      <c r="B514" s="643"/>
      <c r="C514" s="643"/>
      <c r="D514" s="643"/>
      <c r="E514" s="644"/>
      <c r="F514" s="644"/>
      <c r="G514" s="644"/>
      <c r="H514" s="644"/>
      <c r="I514" s="643"/>
      <c r="J514" s="472"/>
    </row>
    <row r="515" spans="1:10" x14ac:dyDescent="0.25">
      <c r="A515" s="583"/>
      <c r="B515" s="643"/>
      <c r="C515" s="643"/>
      <c r="D515" s="643"/>
      <c r="E515" s="644"/>
      <c r="F515" s="644"/>
      <c r="G515" s="644"/>
      <c r="H515" s="644"/>
      <c r="I515" s="643"/>
      <c r="J515" s="472"/>
    </row>
    <row r="516" spans="1:10" x14ac:dyDescent="0.25">
      <c r="A516" s="583"/>
      <c r="B516" s="643"/>
      <c r="C516" s="643"/>
      <c r="D516" s="643"/>
      <c r="E516" s="644"/>
      <c r="F516" s="644"/>
      <c r="G516" s="644"/>
      <c r="H516" s="644"/>
      <c r="I516" s="643"/>
      <c r="J516" s="472"/>
    </row>
    <row r="517" spans="1:10" x14ac:dyDescent="0.25">
      <c r="A517" s="583"/>
      <c r="B517" s="643"/>
      <c r="C517" s="643"/>
      <c r="D517" s="643"/>
      <c r="E517" s="644"/>
      <c r="F517" s="644"/>
      <c r="G517" s="644"/>
      <c r="H517" s="644"/>
      <c r="I517" s="643"/>
      <c r="J517" s="472"/>
    </row>
    <row r="518" spans="1:10" x14ac:dyDescent="0.25">
      <c r="A518" s="583"/>
      <c r="B518" s="643"/>
      <c r="C518" s="643"/>
      <c r="D518" s="643"/>
      <c r="E518" s="644"/>
      <c r="F518" s="644"/>
      <c r="G518" s="644"/>
      <c r="H518" s="644"/>
      <c r="I518" s="643"/>
      <c r="J518" s="472"/>
    </row>
    <row r="519" spans="1:10" x14ac:dyDescent="0.25">
      <c r="A519" s="583"/>
      <c r="B519" s="643"/>
      <c r="C519" s="643"/>
      <c r="D519" s="643"/>
      <c r="E519" s="644"/>
      <c r="F519" s="644"/>
      <c r="G519" s="644"/>
      <c r="H519" s="644"/>
      <c r="I519" s="643"/>
      <c r="J519" s="472"/>
    </row>
    <row r="520" spans="1:10" x14ac:dyDescent="0.25">
      <c r="A520" s="583"/>
      <c r="B520" s="643"/>
      <c r="C520" s="643"/>
      <c r="D520" s="643"/>
      <c r="E520" s="644"/>
      <c r="F520" s="644"/>
      <c r="G520" s="644"/>
      <c r="H520" s="644"/>
      <c r="I520" s="643"/>
      <c r="J520" s="472"/>
    </row>
    <row r="521" spans="1:10" x14ac:dyDescent="0.25">
      <c r="A521" s="583"/>
      <c r="B521" s="643"/>
      <c r="C521" s="643"/>
      <c r="D521" s="643"/>
      <c r="E521" s="644"/>
      <c r="F521" s="644"/>
      <c r="G521" s="644"/>
      <c r="H521" s="644"/>
      <c r="I521" s="643"/>
      <c r="J521" s="472"/>
    </row>
    <row r="522" spans="1:10" x14ac:dyDescent="0.25">
      <c r="A522" s="583"/>
      <c r="B522" s="643"/>
      <c r="C522" s="643"/>
      <c r="D522" s="643"/>
      <c r="E522" s="644"/>
      <c r="F522" s="644"/>
      <c r="G522" s="644"/>
      <c r="H522" s="644"/>
      <c r="I522" s="643"/>
      <c r="J522" s="472"/>
    </row>
    <row r="523" spans="1:10" x14ac:dyDescent="0.25">
      <c r="A523" s="583"/>
      <c r="B523" s="643"/>
      <c r="C523" s="643"/>
      <c r="D523" s="643"/>
      <c r="E523" s="644"/>
      <c r="F523" s="644"/>
      <c r="G523" s="644"/>
      <c r="H523" s="644"/>
      <c r="I523" s="643"/>
      <c r="J523" s="472"/>
    </row>
    <row r="524" spans="1:10" x14ac:dyDescent="0.25">
      <c r="A524" s="583"/>
      <c r="B524" s="643"/>
      <c r="C524" s="643"/>
      <c r="D524" s="643"/>
      <c r="E524" s="644"/>
      <c r="F524" s="644"/>
      <c r="G524" s="644"/>
      <c r="H524" s="644"/>
      <c r="I524" s="643"/>
      <c r="J524" s="472"/>
    </row>
    <row r="525" spans="1:10" x14ac:dyDescent="0.25">
      <c r="A525" s="583"/>
      <c r="B525" s="643"/>
      <c r="C525" s="643"/>
      <c r="D525" s="643"/>
      <c r="E525" s="644"/>
      <c r="F525" s="644"/>
      <c r="G525" s="644"/>
      <c r="H525" s="644"/>
      <c r="I525" s="643"/>
      <c r="J525" s="472"/>
    </row>
    <row r="526" spans="1:10" x14ac:dyDescent="0.25">
      <c r="A526" s="583"/>
      <c r="B526" s="643"/>
      <c r="C526" s="643"/>
      <c r="D526" s="643"/>
      <c r="E526" s="644"/>
      <c r="F526" s="644"/>
      <c r="G526" s="644"/>
      <c r="H526" s="644"/>
      <c r="I526" s="643"/>
      <c r="J526" s="472"/>
    </row>
    <row r="527" spans="1:10" x14ac:dyDescent="0.25">
      <c r="A527" s="583"/>
      <c r="B527" s="643"/>
      <c r="C527" s="643"/>
      <c r="D527" s="643"/>
      <c r="E527" s="644"/>
      <c r="F527" s="644"/>
      <c r="G527" s="644"/>
      <c r="H527" s="644"/>
      <c r="I527" s="643"/>
      <c r="J527" s="472"/>
    </row>
    <row r="528" spans="1:10" x14ac:dyDescent="0.25">
      <c r="A528" s="583"/>
      <c r="B528" s="643"/>
      <c r="C528" s="643"/>
      <c r="D528" s="643"/>
      <c r="E528" s="644"/>
      <c r="F528" s="644"/>
      <c r="G528" s="644"/>
      <c r="H528" s="644"/>
      <c r="I528" s="643"/>
      <c r="J528" s="472"/>
    </row>
    <row r="529" spans="1:10" x14ac:dyDescent="0.25">
      <c r="A529" s="583"/>
      <c r="B529" s="643"/>
      <c r="C529" s="643"/>
      <c r="D529" s="643"/>
      <c r="E529" s="644"/>
      <c r="F529" s="644"/>
      <c r="G529" s="644"/>
      <c r="H529" s="644"/>
      <c r="I529" s="643"/>
      <c r="J529" s="472"/>
    </row>
    <row r="530" spans="1:10" x14ac:dyDescent="0.25">
      <c r="A530" s="583"/>
      <c r="B530" s="643"/>
      <c r="C530" s="643"/>
      <c r="D530" s="643"/>
      <c r="E530" s="644"/>
      <c r="F530" s="644"/>
      <c r="G530" s="644"/>
      <c r="H530" s="644"/>
      <c r="I530" s="643"/>
      <c r="J530" s="472"/>
    </row>
    <row r="531" spans="1:10" x14ac:dyDescent="0.25">
      <c r="A531" s="583"/>
      <c r="B531" s="643"/>
      <c r="C531" s="643"/>
      <c r="D531" s="643"/>
      <c r="E531" s="644"/>
      <c r="F531" s="644"/>
      <c r="G531" s="644"/>
      <c r="H531" s="644"/>
      <c r="I531" s="643"/>
      <c r="J531" s="472"/>
    </row>
    <row r="532" spans="1:10" x14ac:dyDescent="0.25">
      <c r="A532" s="583"/>
      <c r="B532" s="643"/>
      <c r="C532" s="643"/>
      <c r="D532" s="643"/>
      <c r="E532" s="644"/>
      <c r="F532" s="644"/>
      <c r="G532" s="644"/>
      <c r="H532" s="644"/>
      <c r="I532" s="643"/>
      <c r="J532" s="472"/>
    </row>
    <row r="533" spans="1:10" x14ac:dyDescent="0.25">
      <c r="A533" s="583"/>
      <c r="B533" s="643"/>
      <c r="C533" s="643"/>
      <c r="D533" s="643"/>
      <c r="E533" s="644"/>
      <c r="F533" s="644"/>
      <c r="G533" s="644"/>
      <c r="H533" s="644"/>
      <c r="I533" s="643"/>
      <c r="J533" s="472"/>
    </row>
    <row r="534" spans="1:10" x14ac:dyDescent="0.25">
      <c r="A534" s="583"/>
      <c r="B534" s="643"/>
      <c r="C534" s="643"/>
      <c r="D534" s="643"/>
      <c r="E534" s="644"/>
      <c r="F534" s="644"/>
      <c r="G534" s="644"/>
      <c r="H534" s="644"/>
      <c r="I534" s="643"/>
      <c r="J534" s="472"/>
    </row>
    <row r="535" spans="1:10" x14ac:dyDescent="0.25">
      <c r="A535" s="583"/>
      <c r="B535" s="643"/>
      <c r="C535" s="643"/>
      <c r="D535" s="643"/>
      <c r="E535" s="644"/>
      <c r="F535" s="644"/>
      <c r="G535" s="644"/>
      <c r="H535" s="644"/>
      <c r="I535" s="643"/>
      <c r="J535" s="472"/>
    </row>
    <row r="536" spans="1:10" x14ac:dyDescent="0.25">
      <c r="A536" s="583"/>
      <c r="B536" s="643"/>
      <c r="C536" s="643"/>
      <c r="D536" s="643"/>
      <c r="E536" s="644"/>
      <c r="F536" s="644"/>
      <c r="G536" s="644"/>
      <c r="H536" s="644"/>
      <c r="I536" s="643"/>
      <c r="J536" s="472"/>
    </row>
    <row r="537" spans="1:10" x14ac:dyDescent="0.25">
      <c r="A537" s="583"/>
      <c r="B537" s="643"/>
      <c r="C537" s="643"/>
      <c r="D537" s="643"/>
      <c r="E537" s="644"/>
      <c r="F537" s="644"/>
      <c r="G537" s="644"/>
      <c r="H537" s="644"/>
      <c r="I537" s="643"/>
      <c r="J537" s="472"/>
    </row>
    <row r="538" spans="1:10" x14ac:dyDescent="0.25">
      <c r="A538" s="583"/>
      <c r="B538" s="643"/>
      <c r="C538" s="643"/>
      <c r="D538" s="643"/>
      <c r="E538" s="644"/>
      <c r="F538" s="644"/>
      <c r="G538" s="644"/>
      <c r="H538" s="644"/>
      <c r="I538" s="643"/>
      <c r="J538" s="472"/>
    </row>
    <row r="539" spans="1:10" x14ac:dyDescent="0.25">
      <c r="A539" s="583"/>
      <c r="B539" s="643"/>
      <c r="C539" s="643"/>
      <c r="D539" s="643"/>
      <c r="E539" s="644"/>
      <c r="F539" s="644"/>
      <c r="G539" s="644"/>
      <c r="H539" s="644"/>
      <c r="I539" s="643"/>
      <c r="J539" s="472"/>
    </row>
    <row r="540" spans="1:10" x14ac:dyDescent="0.25">
      <c r="A540" s="583"/>
      <c r="B540" s="643"/>
      <c r="C540" s="643"/>
      <c r="D540" s="643"/>
      <c r="E540" s="644"/>
      <c r="F540" s="644"/>
      <c r="G540" s="644"/>
      <c r="H540" s="644"/>
      <c r="I540" s="643"/>
      <c r="J540" s="472"/>
    </row>
    <row r="541" spans="1:10" x14ac:dyDescent="0.25">
      <c r="A541" s="583"/>
      <c r="B541" s="643"/>
      <c r="C541" s="643"/>
      <c r="D541" s="643"/>
      <c r="E541" s="644"/>
      <c r="F541" s="644"/>
      <c r="G541" s="644"/>
      <c r="H541" s="644"/>
      <c r="I541" s="643"/>
      <c r="J541" s="472"/>
    </row>
    <row r="542" spans="1:10" x14ac:dyDescent="0.25">
      <c r="A542" s="583"/>
      <c r="B542" s="643"/>
      <c r="C542" s="643"/>
      <c r="D542" s="643"/>
      <c r="E542" s="644"/>
      <c r="F542" s="644"/>
      <c r="G542" s="644"/>
      <c r="H542" s="644"/>
      <c r="I542" s="643"/>
      <c r="J542" s="472"/>
    </row>
    <row r="543" spans="1:10" x14ac:dyDescent="0.25">
      <c r="A543" s="583"/>
      <c r="B543" s="643"/>
      <c r="C543" s="643"/>
      <c r="D543" s="643"/>
      <c r="E543" s="644"/>
      <c r="F543" s="644"/>
      <c r="G543" s="644"/>
      <c r="H543" s="644"/>
      <c r="I543" s="643"/>
      <c r="J543" s="472"/>
    </row>
    <row r="544" spans="1:10" x14ac:dyDescent="0.25">
      <c r="A544" s="583"/>
      <c r="B544" s="643"/>
      <c r="C544" s="643"/>
      <c r="D544" s="643"/>
      <c r="E544" s="644"/>
      <c r="F544" s="644"/>
      <c r="G544" s="644"/>
      <c r="H544" s="644"/>
      <c r="I544" s="643"/>
      <c r="J544" s="472"/>
    </row>
    <row r="545" spans="1:10" x14ac:dyDescent="0.25">
      <c r="A545" s="583"/>
      <c r="B545" s="643"/>
      <c r="C545" s="643"/>
      <c r="D545" s="643"/>
      <c r="E545" s="644"/>
      <c r="F545" s="644"/>
      <c r="G545" s="644"/>
      <c r="H545" s="644"/>
      <c r="I545" s="643"/>
      <c r="J545" s="472"/>
    </row>
    <row r="546" spans="1:10" x14ac:dyDescent="0.25">
      <c r="A546" s="583"/>
      <c r="B546" s="643"/>
      <c r="C546" s="643"/>
      <c r="D546" s="643"/>
      <c r="E546" s="644"/>
      <c r="F546" s="644"/>
      <c r="G546" s="644"/>
      <c r="H546" s="644"/>
      <c r="I546" s="643"/>
      <c r="J546" s="472"/>
    </row>
    <row r="547" spans="1:10" x14ac:dyDescent="0.25">
      <c r="A547" s="583"/>
      <c r="B547" s="643"/>
      <c r="C547" s="643"/>
      <c r="D547" s="643"/>
      <c r="E547" s="644"/>
      <c r="F547" s="644"/>
      <c r="G547" s="644"/>
      <c r="H547" s="644"/>
      <c r="I547" s="643"/>
      <c r="J547" s="472"/>
    </row>
    <row r="548" spans="1:10" x14ac:dyDescent="0.25">
      <c r="A548" s="583"/>
      <c r="B548" s="643"/>
      <c r="C548" s="643"/>
      <c r="D548" s="643"/>
      <c r="E548" s="644"/>
      <c r="F548" s="644"/>
      <c r="G548" s="644"/>
      <c r="H548" s="644"/>
      <c r="I548" s="643"/>
      <c r="J548" s="472"/>
    </row>
    <row r="549" spans="1:10" x14ac:dyDescent="0.25">
      <c r="A549" s="583"/>
      <c r="B549" s="643"/>
      <c r="C549" s="643"/>
      <c r="D549" s="643"/>
      <c r="E549" s="644"/>
      <c r="F549" s="644"/>
      <c r="G549" s="644"/>
      <c r="H549" s="644"/>
      <c r="I549" s="643"/>
      <c r="J549" s="472"/>
    </row>
    <row r="550" spans="1:10" x14ac:dyDescent="0.25">
      <c r="A550" s="583"/>
      <c r="B550" s="643"/>
      <c r="C550" s="643"/>
      <c r="D550" s="643"/>
      <c r="E550" s="644"/>
      <c r="F550" s="644"/>
      <c r="G550" s="644"/>
      <c r="H550" s="644"/>
      <c r="I550" s="643"/>
      <c r="J550" s="472"/>
    </row>
    <row r="551" spans="1:10" x14ac:dyDescent="0.25">
      <c r="A551" s="583"/>
      <c r="B551" s="643"/>
      <c r="C551" s="643"/>
      <c r="D551" s="643"/>
      <c r="E551" s="644"/>
      <c r="F551" s="644"/>
      <c r="G551" s="644"/>
      <c r="H551" s="644"/>
      <c r="I551" s="643"/>
      <c r="J551" s="472"/>
    </row>
    <row r="552" spans="1:10" x14ac:dyDescent="0.25">
      <c r="A552" s="583"/>
      <c r="B552" s="643"/>
      <c r="C552" s="643"/>
      <c r="D552" s="643"/>
      <c r="E552" s="644"/>
      <c r="F552" s="644"/>
      <c r="G552" s="644"/>
      <c r="H552" s="644"/>
      <c r="I552" s="643"/>
      <c r="J552" s="472"/>
    </row>
    <row r="553" spans="1:10" x14ac:dyDescent="0.25">
      <c r="A553" s="583"/>
      <c r="B553" s="643"/>
      <c r="C553" s="643"/>
      <c r="D553" s="643"/>
      <c r="E553" s="644"/>
      <c r="F553" s="644"/>
      <c r="G553" s="644"/>
      <c r="H553" s="644"/>
      <c r="I553" s="643"/>
      <c r="J553" s="472"/>
    </row>
    <row r="554" spans="1:10" x14ac:dyDescent="0.25">
      <c r="A554" s="583"/>
      <c r="B554" s="643"/>
      <c r="C554" s="643"/>
      <c r="D554" s="643"/>
      <c r="E554" s="644"/>
      <c r="F554" s="644"/>
      <c r="G554" s="644"/>
      <c r="H554" s="644"/>
      <c r="I554" s="643"/>
      <c r="J554" s="472"/>
    </row>
    <row r="555" spans="1:10" x14ac:dyDescent="0.25">
      <c r="A555" s="583"/>
      <c r="B555" s="643"/>
      <c r="C555" s="643"/>
      <c r="D555" s="643"/>
      <c r="E555" s="644"/>
      <c r="F555" s="644"/>
      <c r="G555" s="644"/>
      <c r="H555" s="644"/>
      <c r="I555" s="643"/>
      <c r="J555" s="472"/>
    </row>
    <row r="556" spans="1:10" x14ac:dyDescent="0.25">
      <c r="A556" s="583"/>
      <c r="B556" s="643"/>
      <c r="C556" s="643"/>
      <c r="D556" s="643"/>
      <c r="E556" s="644"/>
      <c r="F556" s="644"/>
      <c r="G556" s="644"/>
      <c r="H556" s="644"/>
      <c r="I556" s="643"/>
      <c r="J556" s="472"/>
    </row>
    <row r="557" spans="1:10" x14ac:dyDescent="0.25">
      <c r="A557" s="583"/>
      <c r="B557" s="643"/>
      <c r="C557" s="643"/>
      <c r="D557" s="643"/>
      <c r="E557" s="644"/>
      <c r="F557" s="644"/>
      <c r="G557" s="644"/>
      <c r="H557" s="644"/>
      <c r="I557" s="643"/>
      <c r="J557" s="472"/>
    </row>
    <row r="558" spans="1:10" x14ac:dyDescent="0.25">
      <c r="A558" s="583"/>
      <c r="B558" s="643"/>
      <c r="C558" s="643"/>
      <c r="D558" s="643"/>
      <c r="E558" s="644"/>
      <c r="F558" s="644"/>
      <c r="G558" s="644"/>
      <c r="H558" s="644"/>
      <c r="I558" s="643"/>
      <c r="J558" s="472"/>
    </row>
    <row r="559" spans="1:10" x14ac:dyDescent="0.25">
      <c r="A559" s="583"/>
      <c r="B559" s="643"/>
      <c r="C559" s="643"/>
      <c r="D559" s="643"/>
      <c r="E559" s="644"/>
      <c r="F559" s="644"/>
      <c r="G559" s="644"/>
      <c r="H559" s="644"/>
      <c r="I559" s="643"/>
      <c r="J559" s="472"/>
    </row>
    <row r="560" spans="1:10" x14ac:dyDescent="0.25">
      <c r="A560" s="583"/>
      <c r="B560" s="643"/>
      <c r="C560" s="643"/>
      <c r="D560" s="643"/>
      <c r="E560" s="644"/>
      <c r="F560" s="644"/>
      <c r="G560" s="644"/>
      <c r="H560" s="644"/>
      <c r="I560" s="643"/>
      <c r="J560" s="472"/>
    </row>
    <row r="561" spans="1:10" x14ac:dyDescent="0.25">
      <c r="A561" s="583"/>
      <c r="B561" s="643"/>
      <c r="C561" s="643"/>
      <c r="D561" s="643"/>
      <c r="E561" s="644"/>
      <c r="F561" s="644"/>
      <c r="G561" s="644"/>
      <c r="H561" s="644"/>
      <c r="I561" s="643"/>
      <c r="J561" s="472"/>
    </row>
    <row r="562" spans="1:10" x14ac:dyDescent="0.25">
      <c r="A562" s="583"/>
      <c r="B562" s="643"/>
      <c r="C562" s="643"/>
      <c r="D562" s="643"/>
      <c r="E562" s="644"/>
      <c r="F562" s="644"/>
      <c r="G562" s="644"/>
      <c r="H562" s="644"/>
      <c r="I562" s="643"/>
      <c r="J562" s="472"/>
    </row>
    <row r="563" spans="1:10" x14ac:dyDescent="0.25">
      <c r="A563" s="583"/>
      <c r="B563" s="643"/>
      <c r="C563" s="643"/>
      <c r="D563" s="643"/>
      <c r="E563" s="644"/>
      <c r="F563" s="644"/>
      <c r="G563" s="644"/>
      <c r="H563" s="644"/>
      <c r="I563" s="643"/>
      <c r="J563" s="472"/>
    </row>
    <row r="564" spans="1:10" x14ac:dyDescent="0.25">
      <c r="A564" s="583"/>
      <c r="B564" s="643"/>
      <c r="C564" s="643"/>
      <c r="D564" s="643"/>
      <c r="E564" s="644"/>
      <c r="F564" s="644"/>
      <c r="G564" s="644"/>
      <c r="H564" s="644"/>
      <c r="I564" s="643"/>
      <c r="J564" s="472"/>
    </row>
    <row r="565" spans="1:10" x14ac:dyDescent="0.25">
      <c r="A565" s="583"/>
      <c r="B565" s="643"/>
      <c r="C565" s="643"/>
      <c r="D565" s="643"/>
      <c r="E565" s="644"/>
      <c r="F565" s="644"/>
      <c r="G565" s="644"/>
      <c r="H565" s="644"/>
      <c r="I565" s="643"/>
      <c r="J565" s="472"/>
    </row>
    <row r="566" spans="1:10" x14ac:dyDescent="0.25">
      <c r="A566" s="583"/>
      <c r="B566" s="643"/>
      <c r="C566" s="643"/>
      <c r="D566" s="643"/>
      <c r="E566" s="644"/>
      <c r="F566" s="644"/>
      <c r="G566" s="644"/>
      <c r="H566" s="644"/>
      <c r="I566" s="643"/>
      <c r="J566" s="472"/>
    </row>
    <row r="567" spans="1:10" x14ac:dyDescent="0.25">
      <c r="A567" s="583"/>
      <c r="B567" s="643"/>
      <c r="C567" s="643"/>
      <c r="D567" s="643"/>
      <c r="E567" s="644"/>
      <c r="F567" s="644"/>
      <c r="G567" s="644"/>
      <c r="H567" s="644"/>
      <c r="I567" s="643"/>
      <c r="J567" s="472"/>
    </row>
    <row r="568" spans="1:10" x14ac:dyDescent="0.25">
      <c r="A568" s="583"/>
      <c r="B568" s="643"/>
      <c r="C568" s="643"/>
      <c r="D568" s="643"/>
      <c r="E568" s="644"/>
      <c r="F568" s="644"/>
      <c r="G568" s="644"/>
      <c r="H568" s="644"/>
      <c r="I568" s="643"/>
      <c r="J568" s="472"/>
    </row>
    <row r="569" spans="1:10" x14ac:dyDescent="0.25">
      <c r="A569" s="583"/>
      <c r="B569" s="643"/>
      <c r="C569" s="643"/>
      <c r="D569" s="643"/>
      <c r="E569" s="644"/>
      <c r="F569" s="644"/>
      <c r="G569" s="644"/>
      <c r="H569" s="644"/>
      <c r="I569" s="643"/>
      <c r="J569" s="472"/>
    </row>
    <row r="570" spans="1:10" x14ac:dyDescent="0.25">
      <c r="A570" s="583"/>
      <c r="B570" s="643"/>
      <c r="C570" s="643"/>
      <c r="D570" s="643"/>
      <c r="E570" s="644"/>
      <c r="F570" s="644"/>
      <c r="G570" s="644"/>
      <c r="H570" s="644"/>
      <c r="I570" s="643"/>
      <c r="J570" s="472"/>
    </row>
    <row r="571" spans="1:10" x14ac:dyDescent="0.25">
      <c r="A571" s="583"/>
      <c r="B571" s="643"/>
      <c r="C571" s="643"/>
      <c r="D571" s="643"/>
      <c r="E571" s="644"/>
      <c r="F571" s="644"/>
      <c r="G571" s="644"/>
      <c r="H571" s="644"/>
      <c r="I571" s="643"/>
      <c r="J571" s="472"/>
    </row>
    <row r="572" spans="1:10" x14ac:dyDescent="0.25">
      <c r="A572" s="583"/>
      <c r="B572" s="643"/>
      <c r="C572" s="643"/>
      <c r="D572" s="643"/>
      <c r="E572" s="644"/>
      <c r="F572" s="644"/>
      <c r="G572" s="644"/>
      <c r="H572" s="644"/>
      <c r="I572" s="643"/>
      <c r="J572" s="472"/>
    </row>
    <row r="573" spans="1:10" x14ac:dyDescent="0.25">
      <c r="A573" s="583"/>
      <c r="B573" s="643"/>
      <c r="C573" s="643"/>
      <c r="D573" s="643"/>
      <c r="E573" s="644"/>
      <c r="F573" s="644"/>
      <c r="G573" s="644"/>
      <c r="H573" s="644"/>
      <c r="I573" s="643"/>
      <c r="J573" s="472"/>
    </row>
    <row r="574" spans="1:10" x14ac:dyDescent="0.25">
      <c r="A574" s="583"/>
      <c r="B574" s="643"/>
      <c r="C574" s="643"/>
      <c r="D574" s="643"/>
      <c r="E574" s="644"/>
      <c r="F574" s="644"/>
      <c r="G574" s="644"/>
      <c r="H574" s="644"/>
      <c r="I574" s="643"/>
      <c r="J574" s="472"/>
    </row>
    <row r="575" spans="1:10" x14ac:dyDescent="0.25">
      <c r="A575" s="583"/>
      <c r="B575" s="643"/>
      <c r="C575" s="643"/>
      <c r="D575" s="643"/>
      <c r="E575" s="644"/>
      <c r="F575" s="644"/>
      <c r="G575" s="644"/>
      <c r="H575" s="644"/>
      <c r="I575" s="643"/>
      <c r="J575" s="472"/>
    </row>
    <row r="576" spans="1:10" x14ac:dyDescent="0.25">
      <c r="A576" s="583"/>
      <c r="B576" s="643"/>
      <c r="C576" s="643"/>
      <c r="D576" s="643"/>
      <c r="E576" s="644"/>
      <c r="F576" s="644"/>
      <c r="G576" s="644"/>
      <c r="H576" s="644"/>
      <c r="I576" s="643"/>
      <c r="J576" s="472"/>
    </row>
    <row r="577" spans="1:10" x14ac:dyDescent="0.25">
      <c r="A577" s="583"/>
      <c r="B577" s="643"/>
      <c r="C577" s="643"/>
      <c r="D577" s="643"/>
      <c r="E577" s="644"/>
      <c r="F577" s="644"/>
      <c r="G577" s="644"/>
      <c r="H577" s="644"/>
      <c r="I577" s="643"/>
      <c r="J577" s="472"/>
    </row>
    <row r="578" spans="1:10" x14ac:dyDescent="0.25">
      <c r="A578" s="583"/>
      <c r="B578" s="643"/>
      <c r="C578" s="643"/>
      <c r="D578" s="643"/>
      <c r="E578" s="644"/>
      <c r="F578" s="644"/>
      <c r="G578" s="644"/>
      <c r="H578" s="644"/>
      <c r="I578" s="643"/>
      <c r="J578" s="472"/>
    </row>
    <row r="579" spans="1:10" x14ac:dyDescent="0.25">
      <c r="A579" s="583"/>
      <c r="B579" s="643"/>
      <c r="C579" s="643"/>
      <c r="D579" s="643"/>
      <c r="E579" s="644"/>
      <c r="F579" s="644"/>
      <c r="G579" s="644"/>
      <c r="H579" s="644"/>
      <c r="I579" s="643"/>
      <c r="J579" s="472"/>
    </row>
    <row r="580" spans="1:10" x14ac:dyDescent="0.25">
      <c r="A580" s="583"/>
      <c r="B580" s="643"/>
      <c r="C580" s="643"/>
      <c r="D580" s="643"/>
      <c r="E580" s="644"/>
      <c r="F580" s="644"/>
      <c r="G580" s="644"/>
      <c r="H580" s="644"/>
      <c r="I580" s="643"/>
      <c r="J580" s="472"/>
    </row>
    <row r="581" spans="1:10" x14ac:dyDescent="0.25">
      <c r="A581" s="583"/>
      <c r="B581" s="643"/>
      <c r="C581" s="643"/>
      <c r="D581" s="643"/>
      <c r="E581" s="644"/>
      <c r="F581" s="644"/>
      <c r="G581" s="644"/>
      <c r="H581" s="644"/>
      <c r="I581" s="643"/>
      <c r="J581" s="472"/>
    </row>
    <row r="582" spans="1:10" x14ac:dyDescent="0.25">
      <c r="A582" s="583"/>
      <c r="B582" s="643"/>
      <c r="C582" s="643"/>
      <c r="D582" s="643"/>
      <c r="E582" s="644"/>
      <c r="F582" s="644"/>
      <c r="G582" s="644"/>
      <c r="H582" s="644"/>
      <c r="I582" s="643"/>
      <c r="J582" s="472"/>
    </row>
    <row r="583" spans="1:10" x14ac:dyDescent="0.25">
      <c r="A583" s="583"/>
      <c r="B583" s="643"/>
      <c r="C583" s="643"/>
      <c r="D583" s="643"/>
      <c r="E583" s="644"/>
      <c r="F583" s="644"/>
      <c r="G583" s="644"/>
      <c r="H583" s="644"/>
      <c r="I583" s="643"/>
      <c r="J583" s="472"/>
    </row>
    <row r="584" spans="1:10" x14ac:dyDescent="0.25">
      <c r="A584" s="583"/>
      <c r="B584" s="643"/>
      <c r="C584" s="643"/>
      <c r="D584" s="643"/>
      <c r="E584" s="644"/>
      <c r="F584" s="644"/>
      <c r="G584" s="644"/>
      <c r="H584" s="644"/>
      <c r="I584" s="643"/>
      <c r="J584" s="472"/>
    </row>
    <row r="585" spans="1:10" x14ac:dyDescent="0.25">
      <c r="A585" s="583"/>
      <c r="B585" s="643"/>
      <c r="C585" s="643"/>
      <c r="D585" s="643"/>
      <c r="E585" s="644"/>
      <c r="F585" s="644"/>
      <c r="G585" s="644"/>
      <c r="H585" s="644"/>
      <c r="I585" s="643"/>
      <c r="J585" s="472"/>
    </row>
    <row r="586" spans="1:10" x14ac:dyDescent="0.25">
      <c r="A586" s="583"/>
      <c r="B586" s="643"/>
      <c r="C586" s="643"/>
      <c r="D586" s="643"/>
      <c r="E586" s="644"/>
      <c r="F586" s="644"/>
      <c r="G586" s="644"/>
      <c r="H586" s="644"/>
      <c r="I586" s="643"/>
      <c r="J586" s="472"/>
    </row>
    <row r="587" spans="1:10" x14ac:dyDescent="0.25">
      <c r="A587" s="583"/>
      <c r="B587" s="643"/>
      <c r="C587" s="643"/>
      <c r="D587" s="643"/>
      <c r="E587" s="644"/>
      <c r="F587" s="644"/>
      <c r="G587" s="644"/>
      <c r="H587" s="644"/>
      <c r="I587" s="643"/>
      <c r="J587" s="472"/>
    </row>
    <row r="588" spans="1:10" x14ac:dyDescent="0.25">
      <c r="A588" s="583"/>
      <c r="B588" s="643"/>
      <c r="C588" s="643"/>
      <c r="D588" s="643"/>
      <c r="E588" s="644"/>
      <c r="F588" s="644"/>
      <c r="G588" s="644"/>
      <c r="H588" s="644"/>
      <c r="I588" s="643"/>
      <c r="J588" s="472"/>
    </row>
    <row r="589" spans="1:10" x14ac:dyDescent="0.25">
      <c r="A589" s="583"/>
      <c r="B589" s="643"/>
      <c r="C589" s="643"/>
      <c r="D589" s="643"/>
      <c r="E589" s="644"/>
      <c r="F589" s="644"/>
      <c r="G589" s="644"/>
      <c r="H589" s="644"/>
      <c r="I589" s="643"/>
      <c r="J589" s="472"/>
    </row>
    <row r="590" spans="1:10" x14ac:dyDescent="0.25">
      <c r="A590" s="583"/>
      <c r="B590" s="643"/>
      <c r="C590" s="643"/>
      <c r="D590" s="643"/>
      <c r="E590" s="644"/>
      <c r="F590" s="644"/>
      <c r="G590" s="644"/>
      <c r="H590" s="644"/>
      <c r="I590" s="643"/>
      <c r="J590" s="472"/>
    </row>
    <row r="591" spans="1:10" x14ac:dyDescent="0.25">
      <c r="A591" s="583"/>
      <c r="B591" s="643"/>
      <c r="C591" s="643"/>
      <c r="D591" s="643"/>
      <c r="E591" s="644"/>
      <c r="F591" s="644"/>
      <c r="G591" s="644"/>
      <c r="H591" s="644"/>
      <c r="I591" s="643"/>
      <c r="J591" s="472"/>
    </row>
    <row r="592" spans="1:10" x14ac:dyDescent="0.25">
      <c r="A592" s="583"/>
      <c r="B592" s="643"/>
      <c r="C592" s="643"/>
      <c r="D592" s="643"/>
      <c r="E592" s="644"/>
      <c r="F592" s="644"/>
      <c r="G592" s="644"/>
      <c r="H592" s="644"/>
      <c r="I592" s="643"/>
      <c r="J592" s="472"/>
    </row>
    <row r="593" spans="1:10" x14ac:dyDescent="0.25">
      <c r="A593" s="583"/>
      <c r="B593" s="643"/>
      <c r="C593" s="643"/>
      <c r="D593" s="643"/>
      <c r="E593" s="644"/>
      <c r="F593" s="644"/>
      <c r="G593" s="644"/>
      <c r="H593" s="644"/>
      <c r="I593" s="643"/>
      <c r="J593" s="472"/>
    </row>
    <row r="594" spans="1:10" x14ac:dyDescent="0.25">
      <c r="A594" s="583"/>
      <c r="B594" s="643"/>
      <c r="C594" s="643"/>
      <c r="D594" s="643"/>
      <c r="E594" s="644"/>
      <c r="F594" s="644"/>
      <c r="G594" s="644"/>
      <c r="H594" s="644"/>
      <c r="I594" s="643"/>
      <c r="J594" s="472"/>
    </row>
    <row r="595" spans="1:10" x14ac:dyDescent="0.25">
      <c r="A595" s="583"/>
      <c r="B595" s="643"/>
      <c r="C595" s="643"/>
      <c r="D595" s="643"/>
      <c r="E595" s="644"/>
      <c r="F595" s="644"/>
      <c r="G595" s="644"/>
      <c r="H595" s="644"/>
      <c r="I595" s="643"/>
      <c r="J595" s="472"/>
    </row>
    <row r="596" spans="1:10" x14ac:dyDescent="0.25">
      <c r="A596" s="583"/>
      <c r="B596" s="643"/>
      <c r="C596" s="643"/>
      <c r="D596" s="643"/>
      <c r="E596" s="644"/>
      <c r="F596" s="644"/>
      <c r="G596" s="644"/>
      <c r="H596" s="644"/>
      <c r="I596" s="643"/>
      <c r="J596" s="472"/>
    </row>
    <row r="597" spans="1:10" x14ac:dyDescent="0.25">
      <c r="A597" s="583"/>
      <c r="B597" s="643"/>
      <c r="C597" s="643"/>
      <c r="D597" s="643"/>
      <c r="E597" s="644"/>
      <c r="F597" s="644"/>
      <c r="G597" s="644"/>
      <c r="H597" s="644"/>
      <c r="I597" s="643"/>
      <c r="J597" s="472"/>
    </row>
    <row r="598" spans="1:10" x14ac:dyDescent="0.25">
      <c r="A598" s="583"/>
      <c r="B598" s="643"/>
      <c r="C598" s="643"/>
      <c r="D598" s="643"/>
      <c r="E598" s="644"/>
      <c r="F598" s="644"/>
      <c r="G598" s="644"/>
      <c r="H598" s="644"/>
      <c r="I598" s="643"/>
      <c r="J598" s="472"/>
    </row>
    <row r="599" spans="1:10" x14ac:dyDescent="0.25">
      <c r="A599" s="583"/>
      <c r="B599" s="643"/>
      <c r="C599" s="643"/>
      <c r="D599" s="643"/>
      <c r="E599" s="644"/>
      <c r="F599" s="644"/>
      <c r="G599" s="644"/>
      <c r="H599" s="644"/>
      <c r="I599" s="643"/>
      <c r="J599" s="472"/>
    </row>
    <row r="600" spans="1:10" x14ac:dyDescent="0.25">
      <c r="A600" s="583"/>
      <c r="B600" s="643"/>
      <c r="C600" s="643"/>
      <c r="D600" s="643"/>
      <c r="E600" s="644"/>
      <c r="F600" s="644"/>
      <c r="G600" s="644"/>
      <c r="H600" s="644"/>
      <c r="I600" s="643"/>
      <c r="J600" s="472"/>
    </row>
    <row r="601" spans="1:10" x14ac:dyDescent="0.25">
      <c r="A601" s="583"/>
      <c r="B601" s="643"/>
      <c r="C601" s="643"/>
      <c r="D601" s="643"/>
      <c r="E601" s="644"/>
      <c r="F601" s="644"/>
      <c r="G601" s="644"/>
      <c r="H601" s="644"/>
      <c r="I601" s="643"/>
      <c r="J601" s="472"/>
    </row>
    <row r="602" spans="1:10" x14ac:dyDescent="0.25">
      <c r="A602" s="583"/>
      <c r="B602" s="643"/>
      <c r="C602" s="643"/>
      <c r="D602" s="643"/>
      <c r="E602" s="644"/>
      <c r="F602" s="644"/>
      <c r="G602" s="644"/>
      <c r="H602" s="644"/>
      <c r="I602" s="643"/>
      <c r="J602" s="472"/>
    </row>
    <row r="603" spans="1:10" x14ac:dyDescent="0.25">
      <c r="A603" s="583"/>
      <c r="B603" s="643"/>
      <c r="C603" s="643"/>
      <c r="D603" s="643"/>
      <c r="E603" s="644"/>
      <c r="F603" s="644"/>
      <c r="G603" s="644"/>
      <c r="H603" s="644"/>
      <c r="I603" s="643"/>
      <c r="J603" s="472"/>
    </row>
    <row r="604" spans="1:10" x14ac:dyDescent="0.25">
      <c r="A604" s="583"/>
      <c r="B604" s="643"/>
      <c r="C604" s="643"/>
      <c r="D604" s="643"/>
      <c r="E604" s="644"/>
      <c r="F604" s="644"/>
      <c r="G604" s="644"/>
      <c r="H604" s="644"/>
      <c r="I604" s="643"/>
      <c r="J604" s="472"/>
    </row>
    <row r="605" spans="1:10" x14ac:dyDescent="0.25">
      <c r="A605" s="583"/>
      <c r="B605" s="643"/>
      <c r="C605" s="643"/>
      <c r="D605" s="643"/>
      <c r="E605" s="644"/>
      <c r="F605" s="644"/>
      <c r="G605" s="644"/>
      <c r="H605" s="644"/>
      <c r="I605" s="643"/>
      <c r="J605" s="472"/>
    </row>
    <row r="606" spans="1:10" x14ac:dyDescent="0.25">
      <c r="A606" s="583"/>
      <c r="B606" s="643"/>
      <c r="C606" s="643"/>
      <c r="D606" s="643"/>
      <c r="E606" s="644"/>
      <c r="F606" s="644"/>
      <c r="G606" s="644"/>
      <c r="H606" s="644"/>
      <c r="I606" s="643"/>
      <c r="J606" s="472"/>
    </row>
    <row r="607" spans="1:10" x14ac:dyDescent="0.25">
      <c r="A607" s="583"/>
      <c r="B607" s="643"/>
      <c r="C607" s="643"/>
      <c r="D607" s="643"/>
      <c r="E607" s="644"/>
      <c r="F607" s="644"/>
      <c r="G607" s="644"/>
      <c r="H607" s="644"/>
      <c r="I607" s="643"/>
      <c r="J607" s="472"/>
    </row>
    <row r="608" spans="1:10" x14ac:dyDescent="0.25">
      <c r="A608" s="583"/>
      <c r="B608" s="643"/>
      <c r="C608" s="643"/>
      <c r="D608" s="643"/>
      <c r="E608" s="644"/>
      <c r="F608" s="644"/>
      <c r="G608" s="644"/>
      <c r="H608" s="644"/>
      <c r="I608" s="643"/>
      <c r="J608" s="472"/>
    </row>
    <row r="609" spans="1:10" x14ac:dyDescent="0.25">
      <c r="A609" s="583"/>
      <c r="B609" s="643"/>
      <c r="C609" s="643"/>
      <c r="D609" s="643"/>
      <c r="E609" s="644"/>
      <c r="F609" s="644"/>
      <c r="G609" s="644"/>
      <c r="H609" s="644"/>
      <c r="I609" s="643"/>
      <c r="J609" s="472"/>
    </row>
    <row r="610" spans="1:10" x14ac:dyDescent="0.25">
      <c r="A610" s="583"/>
      <c r="B610" s="643"/>
      <c r="C610" s="643"/>
      <c r="D610" s="643"/>
      <c r="E610" s="644"/>
      <c r="F610" s="644"/>
      <c r="G610" s="644"/>
      <c r="H610" s="644"/>
      <c r="I610" s="643"/>
      <c r="J610" s="472"/>
    </row>
    <row r="611" spans="1:10" x14ac:dyDescent="0.25">
      <c r="A611" s="583"/>
      <c r="B611" s="643"/>
      <c r="C611" s="643"/>
      <c r="D611" s="643"/>
      <c r="E611" s="644"/>
      <c r="F611" s="644"/>
      <c r="G611" s="644"/>
      <c r="H611" s="644"/>
      <c r="I611" s="643"/>
      <c r="J611" s="472"/>
    </row>
    <row r="612" spans="1:10" x14ac:dyDescent="0.25">
      <c r="A612" s="583"/>
      <c r="B612" s="643"/>
      <c r="C612" s="643"/>
      <c r="D612" s="643"/>
      <c r="E612" s="644"/>
      <c r="F612" s="644"/>
      <c r="G612" s="644"/>
      <c r="H612" s="644"/>
      <c r="I612" s="643"/>
      <c r="J612" s="472"/>
    </row>
    <row r="613" spans="1:10" x14ac:dyDescent="0.25">
      <c r="A613" s="583"/>
      <c r="B613" s="643"/>
      <c r="C613" s="643"/>
      <c r="D613" s="643"/>
      <c r="E613" s="644"/>
      <c r="F613" s="644"/>
      <c r="G613" s="644"/>
      <c r="H613" s="644"/>
      <c r="I613" s="643"/>
      <c r="J613" s="472"/>
    </row>
    <row r="614" spans="1:10" x14ac:dyDescent="0.25">
      <c r="A614" s="583"/>
      <c r="B614" s="643"/>
      <c r="C614" s="643"/>
      <c r="D614" s="643"/>
      <c r="E614" s="644"/>
      <c r="F614" s="644"/>
      <c r="G614" s="644"/>
      <c r="H614" s="644"/>
      <c r="I614" s="643"/>
      <c r="J614" s="472"/>
    </row>
    <row r="615" spans="1:10" x14ac:dyDescent="0.25">
      <c r="A615" s="583"/>
      <c r="B615" s="643"/>
      <c r="C615" s="643"/>
      <c r="D615" s="643"/>
      <c r="E615" s="644"/>
      <c r="F615" s="644"/>
      <c r="G615" s="644"/>
      <c r="H615" s="644"/>
      <c r="I615" s="643"/>
      <c r="J615" s="472"/>
    </row>
    <row r="616" spans="1:10" x14ac:dyDescent="0.25">
      <c r="A616" s="583"/>
      <c r="B616" s="643"/>
      <c r="C616" s="643"/>
      <c r="D616" s="643"/>
      <c r="E616" s="644"/>
      <c r="F616" s="644"/>
      <c r="G616" s="644"/>
      <c r="H616" s="644"/>
      <c r="I616" s="643"/>
      <c r="J616" s="472"/>
    </row>
    <row r="617" spans="1:10" x14ac:dyDescent="0.25">
      <c r="A617" s="583"/>
      <c r="B617" s="643"/>
      <c r="C617" s="643"/>
      <c r="D617" s="643"/>
      <c r="E617" s="644"/>
      <c r="F617" s="644"/>
      <c r="G617" s="644"/>
      <c r="H617" s="644"/>
      <c r="I617" s="643"/>
      <c r="J617" s="472"/>
    </row>
    <row r="618" spans="1:10" x14ac:dyDescent="0.25">
      <c r="A618" s="583"/>
      <c r="B618" s="643"/>
      <c r="C618" s="643"/>
      <c r="D618" s="643"/>
      <c r="E618" s="644"/>
      <c r="F618" s="644"/>
      <c r="G618" s="644"/>
      <c r="H618" s="644"/>
      <c r="I618" s="643"/>
      <c r="J618" s="472"/>
    </row>
    <row r="619" spans="1:10" x14ac:dyDescent="0.25">
      <c r="A619" s="583"/>
      <c r="B619" s="643"/>
      <c r="C619" s="643"/>
      <c r="D619" s="643"/>
      <c r="E619" s="644"/>
      <c r="F619" s="644"/>
      <c r="G619" s="644"/>
      <c r="H619" s="644"/>
      <c r="I619" s="643"/>
      <c r="J619" s="472"/>
    </row>
    <row r="620" spans="1:10" x14ac:dyDescent="0.25">
      <c r="A620" s="583"/>
      <c r="B620" s="643"/>
      <c r="C620" s="643"/>
      <c r="D620" s="643"/>
      <c r="E620" s="644"/>
      <c r="F620" s="644"/>
      <c r="G620" s="644"/>
      <c r="H620" s="644"/>
      <c r="I620" s="643"/>
      <c r="J620" s="472"/>
    </row>
    <row r="621" spans="1:10" x14ac:dyDescent="0.25">
      <c r="A621" s="583"/>
      <c r="B621" s="643"/>
      <c r="C621" s="643"/>
      <c r="D621" s="643"/>
      <c r="E621" s="644"/>
      <c r="F621" s="644"/>
      <c r="G621" s="644"/>
      <c r="H621" s="644"/>
      <c r="I621" s="643"/>
      <c r="J621" s="472"/>
    </row>
    <row r="622" spans="1:10" x14ac:dyDescent="0.25">
      <c r="A622" s="583"/>
      <c r="B622" s="643"/>
      <c r="C622" s="643"/>
      <c r="D622" s="643"/>
      <c r="E622" s="644"/>
      <c r="F622" s="644"/>
      <c r="G622" s="644"/>
      <c r="H622" s="644"/>
      <c r="I622" s="643"/>
      <c r="J622" s="472"/>
    </row>
    <row r="623" spans="1:10" x14ac:dyDescent="0.25">
      <c r="A623" s="583"/>
      <c r="B623" s="643"/>
      <c r="C623" s="643"/>
      <c r="D623" s="643"/>
      <c r="E623" s="644"/>
      <c r="F623" s="644"/>
      <c r="G623" s="644"/>
      <c r="H623" s="644"/>
      <c r="I623" s="643"/>
      <c r="J623" s="472"/>
    </row>
    <row r="624" spans="1:10" x14ac:dyDescent="0.25">
      <c r="A624" s="583"/>
      <c r="B624" s="643"/>
      <c r="C624" s="643"/>
      <c r="D624" s="643"/>
      <c r="E624" s="644"/>
      <c r="F624" s="644"/>
      <c r="G624" s="644"/>
      <c r="H624" s="644"/>
      <c r="I624" s="643"/>
      <c r="J624" s="472"/>
    </row>
    <row r="625" spans="1:10" x14ac:dyDescent="0.25">
      <c r="A625" s="583"/>
      <c r="B625" s="643"/>
      <c r="C625" s="643"/>
      <c r="D625" s="643"/>
      <c r="E625" s="644"/>
      <c r="F625" s="644"/>
      <c r="G625" s="644"/>
      <c r="H625" s="644"/>
      <c r="I625" s="643"/>
      <c r="J625" s="472"/>
    </row>
    <row r="626" spans="1:10" x14ac:dyDescent="0.25">
      <c r="A626" s="583"/>
      <c r="B626" s="643"/>
      <c r="C626" s="643"/>
      <c r="D626" s="643"/>
      <c r="E626" s="644"/>
      <c r="F626" s="644"/>
      <c r="G626" s="644"/>
      <c r="H626" s="644"/>
      <c r="I626" s="643"/>
      <c r="J626" s="472"/>
    </row>
    <row r="627" spans="1:10" x14ac:dyDescent="0.25">
      <c r="A627" s="583"/>
      <c r="B627" s="643"/>
      <c r="C627" s="643"/>
      <c r="D627" s="643"/>
      <c r="E627" s="644"/>
      <c r="F627" s="644"/>
      <c r="G627" s="644"/>
      <c r="H627" s="644"/>
      <c r="I627" s="643"/>
      <c r="J627" s="472"/>
    </row>
    <row r="628" spans="1:10" x14ac:dyDescent="0.25">
      <c r="A628" s="583"/>
      <c r="B628" s="643"/>
      <c r="C628" s="643"/>
      <c r="D628" s="643"/>
      <c r="E628" s="644"/>
      <c r="F628" s="644"/>
      <c r="G628" s="644"/>
      <c r="H628" s="644"/>
      <c r="I628" s="643"/>
      <c r="J628" s="472"/>
    </row>
    <row r="629" spans="1:10" x14ac:dyDescent="0.25">
      <c r="A629" s="583"/>
      <c r="B629" s="643"/>
      <c r="C629" s="643"/>
      <c r="D629" s="643"/>
      <c r="E629" s="644"/>
      <c r="F629" s="644"/>
      <c r="G629" s="644"/>
      <c r="H629" s="644"/>
      <c r="I629" s="643"/>
      <c r="J629" s="472"/>
    </row>
    <row r="630" spans="1:10" x14ac:dyDescent="0.25">
      <c r="A630" s="583"/>
      <c r="B630" s="643"/>
      <c r="C630" s="643"/>
      <c r="D630" s="643"/>
      <c r="E630" s="644"/>
      <c r="F630" s="644"/>
      <c r="G630" s="644"/>
      <c r="H630" s="644"/>
      <c r="I630" s="643"/>
      <c r="J630" s="472"/>
    </row>
    <row r="631" spans="1:10" x14ac:dyDescent="0.25">
      <c r="A631" s="583"/>
      <c r="B631" s="643"/>
      <c r="C631" s="643"/>
      <c r="D631" s="643"/>
      <c r="E631" s="644"/>
      <c r="F631" s="644"/>
      <c r="G631" s="644"/>
      <c r="H631" s="644"/>
      <c r="I631" s="643"/>
      <c r="J631" s="472"/>
    </row>
    <row r="632" spans="1:10" x14ac:dyDescent="0.25">
      <c r="A632" s="583"/>
      <c r="B632" s="643"/>
      <c r="C632" s="643"/>
      <c r="D632" s="643"/>
      <c r="E632" s="644"/>
      <c r="F632" s="644"/>
      <c r="G632" s="644"/>
      <c r="H632" s="644"/>
      <c r="I632" s="643"/>
      <c r="J632" s="472"/>
    </row>
    <row r="633" spans="1:10" x14ac:dyDescent="0.25">
      <c r="A633" s="583"/>
      <c r="B633" s="643"/>
      <c r="C633" s="643"/>
      <c r="D633" s="643"/>
      <c r="E633" s="644"/>
      <c r="F633" s="644"/>
      <c r="G633" s="644"/>
      <c r="H633" s="644"/>
      <c r="I633" s="643"/>
      <c r="J633" s="472"/>
    </row>
    <row r="634" spans="1:10" x14ac:dyDescent="0.25">
      <c r="A634" s="583"/>
      <c r="B634" s="643"/>
      <c r="C634" s="643"/>
      <c r="D634" s="643"/>
      <c r="E634" s="644"/>
      <c r="F634" s="644"/>
      <c r="G634" s="644"/>
      <c r="H634" s="644"/>
      <c r="I634" s="643"/>
      <c r="J634" s="472"/>
    </row>
    <row r="635" spans="1:10" x14ac:dyDescent="0.25">
      <c r="A635" s="583"/>
      <c r="B635" s="643"/>
      <c r="C635" s="643"/>
      <c r="D635" s="643"/>
      <c r="E635" s="644"/>
      <c r="F635" s="644"/>
      <c r="G635" s="644"/>
      <c r="H635" s="644"/>
      <c r="I635" s="643"/>
      <c r="J635" s="472"/>
    </row>
    <row r="636" spans="1:10" x14ac:dyDescent="0.25">
      <c r="A636" s="583"/>
      <c r="B636" s="643"/>
      <c r="C636" s="643"/>
      <c r="D636" s="643"/>
      <c r="E636" s="644"/>
      <c r="F636" s="644"/>
      <c r="G636" s="644"/>
      <c r="H636" s="644"/>
      <c r="I636" s="643"/>
      <c r="J636" s="472"/>
    </row>
    <row r="637" spans="1:10" x14ac:dyDescent="0.25">
      <c r="A637" s="583"/>
      <c r="B637" s="643"/>
      <c r="C637" s="643"/>
      <c r="D637" s="643"/>
      <c r="E637" s="644"/>
      <c r="F637" s="644"/>
      <c r="G637" s="644"/>
      <c r="H637" s="644"/>
      <c r="I637" s="643"/>
      <c r="J637" s="472"/>
    </row>
    <row r="638" spans="1:10" x14ac:dyDescent="0.25">
      <c r="A638" s="583"/>
      <c r="B638" s="643"/>
      <c r="C638" s="643"/>
      <c r="D638" s="643"/>
      <c r="E638" s="644"/>
      <c r="F638" s="644"/>
      <c r="G638" s="644"/>
      <c r="H638" s="644"/>
      <c r="I638" s="643"/>
      <c r="J638" s="472"/>
    </row>
    <row r="639" spans="1:10" x14ac:dyDescent="0.25">
      <c r="A639" s="583"/>
      <c r="B639" s="643"/>
      <c r="C639" s="643"/>
      <c r="D639" s="643"/>
      <c r="E639" s="644"/>
      <c r="F639" s="644"/>
      <c r="G639" s="644"/>
      <c r="H639" s="644"/>
      <c r="I639" s="643"/>
      <c r="J639" s="472"/>
    </row>
    <row r="640" spans="1:10" x14ac:dyDescent="0.25">
      <c r="A640" s="583"/>
      <c r="B640" s="643"/>
      <c r="C640" s="643"/>
      <c r="D640" s="643"/>
      <c r="E640" s="644"/>
      <c r="F640" s="644"/>
      <c r="G640" s="644"/>
      <c r="H640" s="644"/>
      <c r="I640" s="643"/>
      <c r="J640" s="472"/>
    </row>
    <row r="641" spans="1:10" x14ac:dyDescent="0.25">
      <c r="A641" s="583"/>
      <c r="B641" s="643"/>
      <c r="C641" s="643"/>
      <c r="D641" s="643"/>
      <c r="E641" s="644"/>
      <c r="F641" s="644"/>
      <c r="G641" s="644"/>
      <c r="H641" s="644"/>
      <c r="I641" s="643"/>
      <c r="J641" s="472"/>
    </row>
    <row r="642" spans="1:10" x14ac:dyDescent="0.25">
      <c r="A642" s="583"/>
      <c r="B642" s="643"/>
      <c r="C642" s="643"/>
      <c r="D642" s="643"/>
      <c r="E642" s="644"/>
      <c r="F642" s="644"/>
      <c r="G642" s="644"/>
      <c r="H642" s="644"/>
      <c r="I642" s="643"/>
      <c r="J642" s="472"/>
    </row>
    <row r="643" spans="1:10" x14ac:dyDescent="0.25">
      <c r="A643" s="583"/>
      <c r="B643" s="643"/>
      <c r="C643" s="643"/>
      <c r="D643" s="643"/>
      <c r="E643" s="644"/>
      <c r="F643" s="644"/>
      <c r="G643" s="644"/>
      <c r="H643" s="644"/>
      <c r="I643" s="643"/>
      <c r="J643" s="472"/>
    </row>
    <row r="644" spans="1:10" x14ac:dyDescent="0.25">
      <c r="A644" s="583"/>
      <c r="B644" s="643"/>
      <c r="C644" s="643"/>
      <c r="D644" s="643"/>
      <c r="E644" s="644"/>
      <c r="F644" s="644"/>
      <c r="G644" s="644"/>
      <c r="H644" s="644"/>
      <c r="I644" s="643"/>
      <c r="J644" s="472"/>
    </row>
    <row r="645" spans="1:10" x14ac:dyDescent="0.25">
      <c r="A645" s="583"/>
      <c r="B645" s="643"/>
      <c r="C645" s="643"/>
      <c r="D645" s="643"/>
      <c r="E645" s="644"/>
      <c r="F645" s="644"/>
      <c r="G645" s="644"/>
      <c r="H645" s="644"/>
      <c r="I645" s="643"/>
      <c r="J645" s="472"/>
    </row>
    <row r="646" spans="1:10" x14ac:dyDescent="0.25">
      <c r="A646" s="583"/>
      <c r="B646" s="643"/>
      <c r="C646" s="643"/>
      <c r="D646" s="643"/>
      <c r="E646" s="644"/>
      <c r="F646" s="644"/>
      <c r="G646" s="644"/>
      <c r="H646" s="644"/>
      <c r="I646" s="643"/>
      <c r="J646" s="472"/>
    </row>
    <row r="647" spans="1:10" x14ac:dyDescent="0.25">
      <c r="A647" s="583"/>
      <c r="B647" s="643"/>
      <c r="C647" s="643"/>
      <c r="D647" s="643"/>
      <c r="E647" s="644"/>
      <c r="F647" s="644"/>
      <c r="G647" s="644"/>
      <c r="H647" s="644"/>
      <c r="I647" s="643"/>
      <c r="J647" s="472"/>
    </row>
    <row r="648" spans="1:10" x14ac:dyDescent="0.25">
      <c r="A648" s="583"/>
      <c r="B648" s="643"/>
      <c r="C648" s="643"/>
      <c r="D648" s="643"/>
      <c r="E648" s="644"/>
      <c r="F648" s="644"/>
      <c r="G648" s="644"/>
      <c r="H648" s="644"/>
      <c r="I648" s="643"/>
      <c r="J648" s="472"/>
    </row>
    <row r="649" spans="1:10" x14ac:dyDescent="0.25">
      <c r="A649" s="583"/>
      <c r="B649" s="643"/>
      <c r="C649" s="643"/>
      <c r="D649" s="643"/>
      <c r="E649" s="644"/>
      <c r="F649" s="644"/>
      <c r="G649" s="644"/>
      <c r="H649" s="644"/>
      <c r="I649" s="643"/>
      <c r="J649" s="472"/>
    </row>
    <row r="650" spans="1:10" x14ac:dyDescent="0.25">
      <c r="A650" s="583"/>
      <c r="B650" s="643"/>
      <c r="C650" s="643"/>
      <c r="D650" s="643"/>
      <c r="E650" s="644"/>
      <c r="F650" s="644"/>
      <c r="G650" s="644"/>
      <c r="H650" s="644"/>
      <c r="I650" s="643"/>
      <c r="J650" s="472"/>
    </row>
    <row r="651" spans="1:10" x14ac:dyDescent="0.25">
      <c r="A651" s="583"/>
      <c r="B651" s="643"/>
      <c r="C651" s="643"/>
      <c r="D651" s="643"/>
      <c r="E651" s="644"/>
      <c r="F651" s="644"/>
      <c r="G651" s="644"/>
      <c r="H651" s="644"/>
      <c r="I651" s="643"/>
      <c r="J651" s="472"/>
    </row>
    <row r="652" spans="1:10" x14ac:dyDescent="0.25">
      <c r="A652" s="583"/>
      <c r="B652" s="643"/>
      <c r="C652" s="643"/>
      <c r="D652" s="643"/>
      <c r="E652" s="644"/>
      <c r="F652" s="644"/>
      <c r="G652" s="644"/>
      <c r="H652" s="644"/>
      <c r="I652" s="643"/>
      <c r="J652" s="472"/>
    </row>
    <row r="653" spans="1:10" x14ac:dyDescent="0.25">
      <c r="A653" s="583"/>
      <c r="B653" s="643"/>
      <c r="C653" s="643"/>
      <c r="D653" s="643"/>
      <c r="E653" s="644"/>
      <c r="F653" s="644"/>
      <c r="G653" s="644"/>
      <c r="H653" s="644"/>
      <c r="I653" s="643"/>
      <c r="J653" s="472"/>
    </row>
    <row r="654" spans="1:10" x14ac:dyDescent="0.25">
      <c r="A654" s="583"/>
      <c r="B654" s="643"/>
      <c r="C654" s="643"/>
      <c r="D654" s="643"/>
      <c r="E654" s="644"/>
      <c r="F654" s="644"/>
      <c r="G654" s="644"/>
      <c r="H654" s="644"/>
      <c r="I654" s="643"/>
      <c r="J654" s="472"/>
    </row>
    <row r="655" spans="1:10" x14ac:dyDescent="0.25">
      <c r="A655" s="583"/>
      <c r="B655" s="643"/>
      <c r="C655" s="643"/>
      <c r="D655" s="643"/>
      <c r="E655" s="644"/>
      <c r="F655" s="644"/>
      <c r="G655" s="644"/>
      <c r="H655" s="644"/>
      <c r="I655" s="643"/>
      <c r="J655" s="472"/>
    </row>
    <row r="656" spans="1:10" x14ac:dyDescent="0.25">
      <c r="A656" s="583"/>
      <c r="B656" s="643"/>
      <c r="C656" s="643"/>
      <c r="D656" s="643"/>
      <c r="E656" s="644"/>
      <c r="F656" s="644"/>
      <c r="G656" s="644"/>
      <c r="H656" s="644"/>
      <c r="I656" s="643"/>
      <c r="J656" s="472"/>
    </row>
    <row r="657" spans="1:10" x14ac:dyDescent="0.25">
      <c r="A657" s="583"/>
      <c r="B657" s="643"/>
      <c r="C657" s="643"/>
      <c r="D657" s="643"/>
      <c r="E657" s="644"/>
      <c r="F657" s="644"/>
      <c r="G657" s="644"/>
      <c r="H657" s="644"/>
      <c r="I657" s="643"/>
      <c r="J657" s="472"/>
    </row>
    <row r="658" spans="1:10" x14ac:dyDescent="0.25">
      <c r="A658" s="583"/>
      <c r="B658" s="643"/>
      <c r="C658" s="643"/>
      <c r="D658" s="643"/>
      <c r="E658" s="644"/>
      <c r="F658" s="644"/>
      <c r="G658" s="644"/>
      <c r="H658" s="644"/>
      <c r="I658" s="643"/>
      <c r="J658" s="472"/>
    </row>
    <row r="659" spans="1:10" x14ac:dyDescent="0.25">
      <c r="A659" s="583"/>
      <c r="B659" s="643"/>
      <c r="C659" s="643"/>
      <c r="D659" s="643"/>
      <c r="E659" s="644"/>
      <c r="F659" s="644"/>
      <c r="G659" s="644"/>
      <c r="H659" s="644"/>
      <c r="I659" s="643"/>
      <c r="J659" s="472"/>
    </row>
    <row r="660" spans="1:10" x14ac:dyDescent="0.25">
      <c r="A660" s="583"/>
      <c r="B660" s="643"/>
      <c r="C660" s="643"/>
      <c r="D660" s="643"/>
      <c r="E660" s="644"/>
      <c r="F660" s="644"/>
      <c r="G660" s="644"/>
      <c r="H660" s="644"/>
      <c r="I660" s="643"/>
      <c r="J660" s="472"/>
    </row>
    <row r="661" spans="1:10" x14ac:dyDescent="0.25">
      <c r="A661" s="583"/>
      <c r="B661" s="643"/>
      <c r="C661" s="643"/>
      <c r="D661" s="643"/>
      <c r="E661" s="644"/>
      <c r="F661" s="644"/>
      <c r="G661" s="644"/>
      <c r="H661" s="644"/>
      <c r="I661" s="643"/>
      <c r="J661" s="472"/>
    </row>
    <row r="662" spans="1:10" x14ac:dyDescent="0.25">
      <c r="A662" s="583"/>
      <c r="B662" s="643"/>
      <c r="C662" s="643"/>
      <c r="D662" s="643"/>
      <c r="E662" s="644"/>
      <c r="F662" s="644"/>
      <c r="G662" s="644"/>
      <c r="H662" s="644"/>
      <c r="I662" s="643"/>
      <c r="J662" s="472"/>
    </row>
    <row r="663" spans="1:10" x14ac:dyDescent="0.25">
      <c r="A663" s="583"/>
      <c r="B663" s="643"/>
      <c r="C663" s="643"/>
      <c r="D663" s="643"/>
      <c r="E663" s="644"/>
      <c r="F663" s="644"/>
      <c r="G663" s="644"/>
      <c r="H663" s="644"/>
      <c r="I663" s="643"/>
      <c r="J663" s="472"/>
    </row>
    <row r="664" spans="1:10" x14ac:dyDescent="0.25">
      <c r="A664" s="583"/>
      <c r="B664" s="643"/>
      <c r="C664" s="643"/>
      <c r="D664" s="643"/>
      <c r="E664" s="644"/>
      <c r="F664" s="644"/>
      <c r="G664" s="644"/>
      <c r="H664" s="644"/>
      <c r="I664" s="643"/>
      <c r="J664" s="472"/>
    </row>
    <row r="665" spans="1:10" x14ac:dyDescent="0.25">
      <c r="A665" s="583"/>
      <c r="B665" s="643"/>
      <c r="C665" s="643"/>
      <c r="D665" s="643"/>
      <c r="E665" s="644"/>
      <c r="F665" s="644"/>
      <c r="G665" s="644"/>
      <c r="H665" s="644"/>
      <c r="I665" s="643"/>
      <c r="J665" s="472"/>
    </row>
    <row r="666" spans="1:10" x14ac:dyDescent="0.25">
      <c r="A666" s="583"/>
      <c r="B666" s="643"/>
      <c r="C666" s="643"/>
      <c r="D666" s="643"/>
      <c r="E666" s="644"/>
      <c r="F666" s="644"/>
      <c r="G666" s="644"/>
      <c r="H666" s="644"/>
      <c r="I666" s="643"/>
      <c r="J666" s="472"/>
    </row>
    <row r="667" spans="1:10" x14ac:dyDescent="0.25">
      <c r="A667" s="583"/>
      <c r="B667" s="643"/>
      <c r="C667" s="643"/>
      <c r="D667" s="643"/>
      <c r="E667" s="644"/>
      <c r="F667" s="644"/>
      <c r="G667" s="644"/>
      <c r="H667" s="644"/>
      <c r="I667" s="643"/>
      <c r="J667" s="472"/>
    </row>
    <row r="668" spans="1:10" x14ac:dyDescent="0.25">
      <c r="A668" s="583"/>
      <c r="B668" s="643"/>
      <c r="C668" s="643"/>
      <c r="D668" s="643"/>
      <c r="E668" s="644"/>
      <c r="F668" s="644"/>
      <c r="G668" s="644"/>
      <c r="H668" s="644"/>
      <c r="I668" s="643"/>
      <c r="J668" s="472"/>
    </row>
    <row r="669" spans="1:10" x14ac:dyDescent="0.25">
      <c r="A669" s="583"/>
      <c r="B669" s="643"/>
      <c r="C669" s="643"/>
      <c r="D669" s="643"/>
      <c r="E669" s="644"/>
      <c r="F669" s="644"/>
      <c r="G669" s="644"/>
      <c r="H669" s="644"/>
      <c r="I669" s="643"/>
      <c r="J669" s="472"/>
    </row>
    <row r="670" spans="1:10" x14ac:dyDescent="0.25">
      <c r="A670" s="583"/>
      <c r="B670" s="643"/>
      <c r="C670" s="643"/>
      <c r="D670" s="643"/>
      <c r="E670" s="644"/>
      <c r="F670" s="644"/>
      <c r="G670" s="644"/>
      <c r="H670" s="644"/>
      <c r="I670" s="643"/>
      <c r="J670" s="472"/>
    </row>
    <row r="671" spans="1:10" x14ac:dyDescent="0.25">
      <c r="A671" s="583"/>
      <c r="B671" s="643"/>
      <c r="C671" s="643"/>
      <c r="D671" s="643"/>
      <c r="E671" s="644"/>
      <c r="F671" s="644"/>
      <c r="G671" s="644"/>
      <c r="H671" s="644"/>
      <c r="I671" s="643"/>
      <c r="J671" s="472"/>
    </row>
    <row r="672" spans="1:10" x14ac:dyDescent="0.25">
      <c r="A672" s="583"/>
      <c r="B672" s="643"/>
      <c r="C672" s="643"/>
      <c r="D672" s="643"/>
      <c r="E672" s="644"/>
      <c r="F672" s="644"/>
      <c r="G672" s="644"/>
      <c r="H672" s="644"/>
      <c r="I672" s="643"/>
      <c r="J672" s="472"/>
    </row>
    <row r="673" spans="1:10" x14ac:dyDescent="0.25">
      <c r="A673" s="583"/>
      <c r="B673" s="643"/>
      <c r="C673" s="643"/>
      <c r="D673" s="643"/>
      <c r="E673" s="644"/>
      <c r="F673" s="644"/>
      <c r="G673" s="644"/>
      <c r="H673" s="644"/>
      <c r="I673" s="643"/>
      <c r="J673" s="472"/>
    </row>
    <row r="674" spans="1:10" x14ac:dyDescent="0.25">
      <c r="A674" s="583"/>
      <c r="B674" s="643"/>
      <c r="C674" s="643"/>
      <c r="D674" s="643"/>
      <c r="E674" s="644"/>
      <c r="F674" s="644"/>
      <c r="G674" s="644"/>
      <c r="H674" s="644"/>
      <c r="I674" s="643"/>
      <c r="J674" s="472"/>
    </row>
    <row r="675" spans="1:10" x14ac:dyDescent="0.25">
      <c r="A675" s="583"/>
      <c r="B675" s="643"/>
      <c r="C675" s="643"/>
      <c r="D675" s="643"/>
      <c r="E675" s="644"/>
      <c r="F675" s="644"/>
      <c r="G675" s="644"/>
      <c r="H675" s="644"/>
      <c r="I675" s="643"/>
      <c r="J675" s="472"/>
    </row>
    <row r="676" spans="1:10" x14ac:dyDescent="0.25">
      <c r="A676" s="583"/>
      <c r="B676" s="643"/>
      <c r="C676" s="643"/>
      <c r="D676" s="643"/>
      <c r="E676" s="644"/>
      <c r="F676" s="644"/>
      <c r="G676" s="644"/>
      <c r="H676" s="644"/>
      <c r="I676" s="643"/>
      <c r="J676" s="472"/>
    </row>
    <row r="677" spans="1:10" x14ac:dyDescent="0.25">
      <c r="A677" s="583"/>
      <c r="B677" s="643"/>
      <c r="C677" s="643"/>
      <c r="D677" s="643"/>
      <c r="E677" s="644"/>
      <c r="F677" s="644"/>
      <c r="G677" s="644"/>
      <c r="H677" s="644"/>
      <c r="I677" s="643"/>
      <c r="J677" s="472"/>
    </row>
    <row r="678" spans="1:10" x14ac:dyDescent="0.25">
      <c r="A678" s="583"/>
      <c r="B678" s="643"/>
      <c r="C678" s="643"/>
      <c r="D678" s="643"/>
      <c r="E678" s="644"/>
      <c r="F678" s="644"/>
      <c r="G678" s="644"/>
      <c r="H678" s="644"/>
      <c r="I678" s="643"/>
      <c r="J678" s="472"/>
    </row>
    <row r="679" spans="1:10" x14ac:dyDescent="0.25">
      <c r="A679" s="583"/>
      <c r="B679" s="643"/>
      <c r="C679" s="643"/>
      <c r="D679" s="643"/>
      <c r="E679" s="644"/>
      <c r="F679" s="644"/>
      <c r="G679" s="644"/>
      <c r="H679" s="644"/>
      <c r="I679" s="643"/>
      <c r="J679" s="472"/>
    </row>
    <row r="680" spans="1:10" x14ac:dyDescent="0.25">
      <c r="A680" s="583"/>
      <c r="B680" s="643"/>
      <c r="C680" s="643"/>
      <c r="D680" s="643"/>
      <c r="E680" s="644"/>
      <c r="F680" s="644"/>
      <c r="G680" s="644"/>
      <c r="H680" s="644"/>
      <c r="I680" s="643"/>
      <c r="J680" s="472"/>
    </row>
    <row r="681" spans="1:10" x14ac:dyDescent="0.25">
      <c r="A681" s="583"/>
      <c r="B681" s="643"/>
      <c r="C681" s="643"/>
      <c r="D681" s="643"/>
      <c r="E681" s="644"/>
      <c r="F681" s="644"/>
      <c r="G681" s="644"/>
      <c r="H681" s="644"/>
      <c r="I681" s="643"/>
      <c r="J681" s="472"/>
    </row>
    <row r="682" spans="1:10" x14ac:dyDescent="0.25">
      <c r="A682" s="583"/>
      <c r="B682" s="643"/>
      <c r="C682" s="643"/>
      <c r="D682" s="643"/>
      <c r="E682" s="644"/>
      <c r="F682" s="644"/>
      <c r="G682" s="644"/>
      <c r="H682" s="644"/>
      <c r="I682" s="643"/>
      <c r="J682" s="472"/>
    </row>
    <row r="683" spans="1:10" x14ac:dyDescent="0.25">
      <c r="A683" s="583"/>
      <c r="B683" s="643"/>
      <c r="C683" s="643"/>
      <c r="D683" s="643"/>
      <c r="E683" s="644"/>
      <c r="F683" s="644"/>
      <c r="G683" s="644"/>
      <c r="H683" s="644"/>
      <c r="I683" s="643"/>
      <c r="J683" s="472"/>
    </row>
    <row r="684" spans="1:10" x14ac:dyDescent="0.25">
      <c r="A684" s="583"/>
      <c r="B684" s="643"/>
      <c r="C684" s="643"/>
      <c r="D684" s="643"/>
      <c r="E684" s="644"/>
      <c r="F684" s="644"/>
      <c r="G684" s="644"/>
      <c r="H684" s="644"/>
      <c r="I684" s="643"/>
      <c r="J684" s="472"/>
    </row>
    <row r="685" spans="1:10" x14ac:dyDescent="0.25">
      <c r="A685" s="583"/>
      <c r="B685" s="643"/>
      <c r="C685" s="643"/>
      <c r="D685" s="643"/>
      <c r="E685" s="644"/>
      <c r="F685" s="644"/>
      <c r="G685" s="644"/>
      <c r="H685" s="644"/>
      <c r="I685" s="643"/>
      <c r="J685" s="472"/>
    </row>
    <row r="686" spans="1:10" x14ac:dyDescent="0.25">
      <c r="A686" s="583"/>
      <c r="B686" s="643"/>
      <c r="C686" s="643"/>
      <c r="D686" s="643"/>
      <c r="E686" s="644"/>
      <c r="F686" s="644"/>
      <c r="G686" s="644"/>
      <c r="H686" s="644"/>
      <c r="I686" s="643"/>
      <c r="J686" s="472"/>
    </row>
    <row r="687" spans="1:10" x14ac:dyDescent="0.25">
      <c r="A687" s="583"/>
      <c r="B687" s="643"/>
      <c r="C687" s="643"/>
      <c r="D687" s="643"/>
      <c r="E687" s="644"/>
      <c r="F687" s="644"/>
      <c r="G687" s="644"/>
      <c r="H687" s="644"/>
      <c r="I687" s="643"/>
      <c r="J687" s="472"/>
    </row>
    <row r="688" spans="1:10" x14ac:dyDescent="0.25">
      <c r="A688" s="583"/>
      <c r="B688" s="643"/>
      <c r="C688" s="643"/>
      <c r="D688" s="643"/>
      <c r="E688" s="644"/>
      <c r="F688" s="644"/>
      <c r="G688" s="644"/>
      <c r="H688" s="644"/>
      <c r="I688" s="643"/>
      <c r="J688" s="472"/>
    </row>
    <row r="689" spans="1:10" x14ac:dyDescent="0.25">
      <c r="A689" s="583"/>
      <c r="B689" s="643"/>
      <c r="C689" s="643"/>
      <c r="D689" s="643"/>
      <c r="E689" s="644"/>
      <c r="F689" s="644"/>
      <c r="G689" s="644"/>
      <c r="H689" s="644"/>
      <c r="I689" s="643"/>
      <c r="J689" s="472"/>
    </row>
    <row r="690" spans="1:10" x14ac:dyDescent="0.25">
      <c r="A690" s="583"/>
      <c r="B690" s="643"/>
      <c r="C690" s="643"/>
      <c r="D690" s="643"/>
      <c r="E690" s="644"/>
      <c r="F690" s="644"/>
      <c r="G690" s="644"/>
      <c r="H690" s="644"/>
      <c r="I690" s="643"/>
      <c r="J690" s="472"/>
    </row>
    <row r="691" spans="1:10" x14ac:dyDescent="0.25">
      <c r="A691" s="583"/>
      <c r="B691" s="643"/>
      <c r="C691" s="643"/>
      <c r="D691" s="643"/>
      <c r="E691" s="644"/>
      <c r="F691" s="644"/>
      <c r="G691" s="644"/>
      <c r="H691" s="644"/>
      <c r="I691" s="643"/>
      <c r="J691" s="472"/>
    </row>
    <row r="692" spans="1:10" x14ac:dyDescent="0.25">
      <c r="A692" s="583"/>
      <c r="B692" s="643"/>
      <c r="C692" s="643"/>
      <c r="D692" s="643"/>
      <c r="E692" s="644"/>
      <c r="F692" s="644"/>
      <c r="G692" s="644"/>
      <c r="H692" s="644"/>
      <c r="I692" s="643"/>
      <c r="J692" s="472"/>
    </row>
    <row r="693" spans="1:10" x14ac:dyDescent="0.25">
      <c r="A693" s="583"/>
      <c r="B693" s="643"/>
      <c r="C693" s="643"/>
      <c r="D693" s="643"/>
      <c r="E693" s="644"/>
      <c r="F693" s="644"/>
      <c r="G693" s="644"/>
      <c r="H693" s="644"/>
      <c r="I693" s="643"/>
      <c r="J693" s="472"/>
    </row>
    <row r="694" spans="1:10" x14ac:dyDescent="0.25">
      <c r="A694" s="583"/>
      <c r="B694" s="643"/>
      <c r="C694" s="643"/>
      <c r="D694" s="643"/>
      <c r="E694" s="644"/>
      <c r="F694" s="644"/>
      <c r="G694" s="644"/>
      <c r="H694" s="644"/>
      <c r="I694" s="643"/>
      <c r="J694" s="472"/>
    </row>
    <row r="695" spans="1:10" x14ac:dyDescent="0.25">
      <c r="A695" s="583"/>
      <c r="B695" s="643"/>
      <c r="C695" s="643"/>
      <c r="D695" s="643"/>
      <c r="E695" s="644"/>
      <c r="F695" s="644"/>
      <c r="G695" s="644"/>
      <c r="H695" s="644"/>
      <c r="I695" s="643"/>
      <c r="J695" s="472"/>
    </row>
    <row r="696" spans="1:10" x14ac:dyDescent="0.25">
      <c r="A696" s="583"/>
      <c r="B696" s="643"/>
      <c r="C696" s="643"/>
      <c r="D696" s="643"/>
      <c r="E696" s="644"/>
      <c r="F696" s="644"/>
      <c r="G696" s="644"/>
      <c r="H696" s="644"/>
      <c r="I696" s="643"/>
      <c r="J696" s="472"/>
    </row>
    <row r="697" spans="1:10" x14ac:dyDescent="0.25">
      <c r="A697" s="583"/>
      <c r="B697" s="643"/>
      <c r="C697" s="643"/>
      <c r="D697" s="643"/>
      <c r="E697" s="644"/>
      <c r="F697" s="644"/>
      <c r="G697" s="644"/>
      <c r="H697" s="644"/>
      <c r="I697" s="643"/>
      <c r="J697" s="472"/>
    </row>
    <row r="698" spans="1:10" x14ac:dyDescent="0.25">
      <c r="A698" s="583"/>
      <c r="B698" s="643"/>
      <c r="C698" s="643"/>
      <c r="D698" s="643"/>
      <c r="E698" s="644"/>
      <c r="F698" s="644"/>
      <c r="G698" s="644"/>
      <c r="H698" s="644"/>
      <c r="I698" s="643"/>
      <c r="J698" s="472"/>
    </row>
    <row r="699" spans="1:10" x14ac:dyDescent="0.25">
      <c r="A699" s="583"/>
      <c r="B699" s="643"/>
      <c r="C699" s="643"/>
      <c r="D699" s="643"/>
      <c r="E699" s="644"/>
      <c r="F699" s="644"/>
      <c r="G699" s="644"/>
      <c r="H699" s="644"/>
      <c r="I699" s="643"/>
      <c r="J699" s="472"/>
    </row>
    <row r="700" spans="1:10" x14ac:dyDescent="0.25">
      <c r="A700" s="583"/>
      <c r="B700" s="643"/>
      <c r="C700" s="643"/>
      <c r="D700" s="643"/>
      <c r="E700" s="644"/>
      <c r="F700" s="644"/>
      <c r="G700" s="644"/>
      <c r="H700" s="644"/>
      <c r="I700" s="643"/>
      <c r="J700" s="472"/>
    </row>
    <row r="701" spans="1:10" x14ac:dyDescent="0.25">
      <c r="A701" s="583"/>
      <c r="B701" s="643"/>
      <c r="C701" s="643"/>
      <c r="D701" s="643"/>
      <c r="E701" s="644"/>
      <c r="F701" s="644"/>
      <c r="G701" s="644"/>
      <c r="H701" s="644"/>
      <c r="I701" s="643"/>
      <c r="J701" s="472"/>
    </row>
    <row r="702" spans="1:10" x14ac:dyDescent="0.25">
      <c r="A702" s="583"/>
      <c r="B702" s="643"/>
      <c r="C702" s="643"/>
      <c r="D702" s="643"/>
      <c r="E702" s="644"/>
      <c r="F702" s="644"/>
      <c r="G702" s="644"/>
      <c r="H702" s="644"/>
      <c r="I702" s="643"/>
      <c r="J702" s="472"/>
    </row>
    <row r="703" spans="1:10" x14ac:dyDescent="0.25">
      <c r="A703" s="583"/>
      <c r="B703" s="643"/>
      <c r="C703" s="643"/>
      <c r="D703" s="643"/>
      <c r="E703" s="644"/>
      <c r="F703" s="644"/>
      <c r="G703" s="644"/>
      <c r="H703" s="644"/>
      <c r="I703" s="643"/>
      <c r="J703" s="472"/>
    </row>
    <row r="704" spans="1:10" x14ac:dyDescent="0.25">
      <c r="A704" s="583"/>
      <c r="B704" s="643"/>
      <c r="C704" s="643"/>
      <c r="D704" s="643"/>
      <c r="E704" s="644"/>
      <c r="F704" s="644"/>
      <c r="G704" s="644"/>
      <c r="H704" s="644"/>
      <c r="I704" s="643"/>
      <c r="J704" s="472"/>
    </row>
    <row r="705" spans="1:10" x14ac:dyDescent="0.25">
      <c r="A705" s="583"/>
      <c r="B705" s="643"/>
      <c r="C705" s="643"/>
      <c r="D705" s="643"/>
      <c r="E705" s="644"/>
      <c r="F705" s="644"/>
      <c r="G705" s="644"/>
      <c r="H705" s="644"/>
      <c r="I705" s="643"/>
      <c r="J705" s="472"/>
    </row>
    <row r="706" spans="1:10" x14ac:dyDescent="0.25">
      <c r="A706" s="583"/>
      <c r="B706" s="643"/>
      <c r="C706" s="643"/>
      <c r="D706" s="643"/>
      <c r="E706" s="644"/>
      <c r="F706" s="644"/>
      <c r="G706" s="644"/>
      <c r="H706" s="644"/>
      <c r="I706" s="643"/>
      <c r="J706" s="472"/>
    </row>
    <row r="707" spans="1:10" x14ac:dyDescent="0.25">
      <c r="A707" s="583"/>
      <c r="B707" s="643"/>
      <c r="C707" s="643"/>
      <c r="D707" s="643"/>
      <c r="E707" s="644"/>
      <c r="F707" s="644"/>
      <c r="G707" s="644"/>
      <c r="H707" s="644"/>
      <c r="I707" s="643"/>
      <c r="J707" s="472"/>
    </row>
    <row r="708" spans="1:10" x14ac:dyDescent="0.25">
      <c r="A708" s="583"/>
      <c r="B708" s="643"/>
      <c r="C708" s="643"/>
      <c r="D708" s="643"/>
      <c r="E708" s="644"/>
      <c r="F708" s="644"/>
      <c r="G708" s="644"/>
      <c r="H708" s="644"/>
      <c r="I708" s="643"/>
      <c r="J708" s="472"/>
    </row>
    <row r="709" spans="1:10" x14ac:dyDescent="0.25">
      <c r="A709" s="583"/>
      <c r="B709" s="643"/>
      <c r="C709" s="643"/>
      <c r="D709" s="643"/>
      <c r="E709" s="644"/>
      <c r="F709" s="644"/>
      <c r="G709" s="644"/>
      <c r="H709" s="644"/>
      <c r="I709" s="643"/>
      <c r="J709" s="472"/>
    </row>
    <row r="710" spans="1:10" x14ac:dyDescent="0.25">
      <c r="A710" s="583"/>
      <c r="B710" s="643"/>
      <c r="C710" s="643"/>
      <c r="D710" s="643"/>
      <c r="E710" s="644"/>
      <c r="F710" s="644"/>
      <c r="G710" s="644"/>
      <c r="H710" s="644"/>
      <c r="I710" s="643"/>
      <c r="J710" s="472"/>
    </row>
    <row r="711" spans="1:10" x14ac:dyDescent="0.25">
      <c r="A711" s="583"/>
      <c r="B711" s="643"/>
      <c r="C711" s="643"/>
      <c r="D711" s="643"/>
      <c r="E711" s="644"/>
      <c r="F711" s="644"/>
      <c r="G711" s="644"/>
      <c r="H711" s="644"/>
      <c r="I711" s="643"/>
      <c r="J711" s="472"/>
    </row>
    <row r="712" spans="1:10" x14ac:dyDescent="0.25">
      <c r="A712" s="583"/>
      <c r="B712" s="643"/>
      <c r="C712" s="643"/>
      <c r="D712" s="643"/>
      <c r="E712" s="644"/>
      <c r="F712" s="644"/>
      <c r="G712" s="644"/>
      <c r="H712" s="644"/>
      <c r="I712" s="643"/>
      <c r="J712" s="472"/>
    </row>
    <row r="713" spans="1:10" x14ac:dyDescent="0.25">
      <c r="A713" s="583"/>
      <c r="B713" s="643"/>
      <c r="C713" s="643"/>
      <c r="D713" s="643"/>
      <c r="E713" s="644"/>
      <c r="F713" s="644"/>
      <c r="G713" s="644"/>
      <c r="H713" s="644"/>
      <c r="I713" s="643"/>
      <c r="J713" s="472"/>
    </row>
    <row r="714" spans="1:10" x14ac:dyDescent="0.25">
      <c r="A714" s="583"/>
      <c r="B714" s="643"/>
      <c r="C714" s="643"/>
      <c r="D714" s="643"/>
      <c r="E714" s="644"/>
      <c r="F714" s="644"/>
      <c r="G714" s="644"/>
      <c r="H714" s="644"/>
      <c r="I714" s="643"/>
      <c r="J714" s="472"/>
    </row>
    <row r="715" spans="1:10" x14ac:dyDescent="0.25">
      <c r="A715" s="583"/>
      <c r="B715" s="643"/>
      <c r="C715" s="643"/>
      <c r="D715" s="643"/>
      <c r="E715" s="644"/>
      <c r="F715" s="644"/>
      <c r="G715" s="644"/>
      <c r="H715" s="644"/>
      <c r="I715" s="643"/>
      <c r="J715" s="472"/>
    </row>
    <row r="716" spans="1:10" x14ac:dyDescent="0.25">
      <c r="A716" s="583"/>
      <c r="B716" s="643"/>
      <c r="C716" s="643"/>
      <c r="D716" s="643"/>
      <c r="E716" s="644"/>
      <c r="F716" s="644"/>
      <c r="G716" s="644"/>
      <c r="H716" s="644"/>
      <c r="I716" s="643"/>
      <c r="J716" s="472"/>
    </row>
    <row r="717" spans="1:10" x14ac:dyDescent="0.25">
      <c r="A717" s="583"/>
      <c r="B717" s="643"/>
      <c r="C717" s="643"/>
      <c r="D717" s="643"/>
      <c r="E717" s="644"/>
      <c r="F717" s="644"/>
      <c r="G717" s="644"/>
      <c r="H717" s="644"/>
      <c r="I717" s="643"/>
      <c r="J717" s="472"/>
    </row>
    <row r="718" spans="1:10" x14ac:dyDescent="0.25">
      <c r="A718" s="583"/>
      <c r="B718" s="643"/>
      <c r="C718" s="643"/>
      <c r="D718" s="643"/>
      <c r="E718" s="644"/>
      <c r="F718" s="644"/>
      <c r="G718" s="644"/>
      <c r="H718" s="644"/>
      <c r="I718" s="643"/>
      <c r="J718" s="472"/>
    </row>
    <row r="719" spans="1:10" x14ac:dyDescent="0.25">
      <c r="A719" s="583"/>
      <c r="B719" s="643"/>
      <c r="C719" s="643"/>
      <c r="D719" s="643"/>
      <c r="E719" s="644"/>
      <c r="F719" s="644"/>
      <c r="G719" s="644"/>
      <c r="H719" s="644"/>
      <c r="I719" s="643"/>
      <c r="J719" s="472"/>
    </row>
    <row r="720" spans="1:10" x14ac:dyDescent="0.25">
      <c r="A720" s="583"/>
      <c r="B720" s="643"/>
      <c r="C720" s="643"/>
      <c r="D720" s="643"/>
      <c r="E720" s="644"/>
      <c r="F720" s="644"/>
      <c r="G720" s="644"/>
      <c r="H720" s="644"/>
      <c r="I720" s="643"/>
      <c r="J720" s="472"/>
    </row>
    <row r="721" spans="1:10" x14ac:dyDescent="0.25">
      <c r="A721" s="583"/>
      <c r="B721" s="643"/>
      <c r="C721" s="643"/>
      <c r="D721" s="643"/>
      <c r="E721" s="644"/>
      <c r="F721" s="644"/>
      <c r="G721" s="644"/>
      <c r="H721" s="644"/>
      <c r="I721" s="643"/>
      <c r="J721" s="472"/>
    </row>
    <row r="722" spans="1:10" x14ac:dyDescent="0.25">
      <c r="A722" s="583"/>
      <c r="B722" s="643"/>
      <c r="C722" s="643"/>
      <c r="D722" s="643"/>
      <c r="E722" s="644"/>
      <c r="F722" s="644"/>
      <c r="G722" s="644"/>
      <c r="H722" s="644"/>
      <c r="I722" s="643"/>
      <c r="J722" s="472"/>
    </row>
    <row r="723" spans="1:10" x14ac:dyDescent="0.25">
      <c r="A723" s="583"/>
      <c r="B723" s="643"/>
      <c r="C723" s="643"/>
      <c r="D723" s="643"/>
      <c r="E723" s="644"/>
      <c r="F723" s="644"/>
      <c r="G723" s="644"/>
      <c r="H723" s="644"/>
      <c r="I723" s="643"/>
      <c r="J723" s="472"/>
    </row>
    <row r="724" spans="1:10" x14ac:dyDescent="0.25">
      <c r="A724" s="583"/>
      <c r="B724" s="643"/>
      <c r="C724" s="643"/>
      <c r="D724" s="643"/>
      <c r="E724" s="644"/>
      <c r="F724" s="644"/>
      <c r="G724" s="644"/>
      <c r="H724" s="644"/>
      <c r="I724" s="643"/>
      <c r="J724" s="472"/>
    </row>
    <row r="725" spans="1:10" x14ac:dyDescent="0.25">
      <c r="A725" s="583"/>
      <c r="B725" s="643"/>
      <c r="C725" s="643"/>
      <c r="D725" s="643"/>
      <c r="E725" s="644"/>
      <c r="F725" s="644"/>
      <c r="G725" s="644"/>
      <c r="H725" s="644"/>
      <c r="I725" s="643"/>
      <c r="J725" s="472"/>
    </row>
    <row r="726" spans="1:10" x14ac:dyDescent="0.25">
      <c r="A726" s="583"/>
      <c r="B726" s="643"/>
      <c r="C726" s="643"/>
      <c r="D726" s="643"/>
      <c r="E726" s="644"/>
      <c r="F726" s="644"/>
      <c r="G726" s="644"/>
      <c r="H726" s="644"/>
      <c r="I726" s="643"/>
      <c r="J726" s="472"/>
    </row>
    <row r="727" spans="1:10" x14ac:dyDescent="0.25">
      <c r="A727" s="583"/>
      <c r="B727" s="643"/>
      <c r="C727" s="643"/>
      <c r="D727" s="643"/>
      <c r="E727" s="644"/>
      <c r="F727" s="644"/>
      <c r="G727" s="644"/>
      <c r="H727" s="644"/>
      <c r="I727" s="643"/>
      <c r="J727" s="472"/>
    </row>
    <row r="728" spans="1:10" x14ac:dyDescent="0.25">
      <c r="A728" s="583"/>
      <c r="B728" s="643"/>
      <c r="C728" s="643"/>
      <c r="D728" s="643"/>
      <c r="E728" s="644"/>
      <c r="F728" s="644"/>
      <c r="G728" s="644"/>
      <c r="H728" s="644"/>
      <c r="I728" s="643"/>
      <c r="J728" s="472"/>
    </row>
    <row r="729" spans="1:10" x14ac:dyDescent="0.25">
      <c r="A729" s="583"/>
      <c r="B729" s="643"/>
      <c r="C729" s="643"/>
      <c r="D729" s="643"/>
      <c r="E729" s="644"/>
      <c r="F729" s="644"/>
      <c r="G729" s="644"/>
      <c r="H729" s="644"/>
      <c r="I729" s="643"/>
      <c r="J729" s="472"/>
    </row>
    <row r="730" spans="1:10" x14ac:dyDescent="0.25">
      <c r="A730" s="583"/>
      <c r="B730" s="643"/>
      <c r="C730" s="643"/>
      <c r="D730" s="643"/>
      <c r="E730" s="644"/>
      <c r="F730" s="644"/>
      <c r="G730" s="644"/>
      <c r="H730" s="644"/>
      <c r="I730" s="643"/>
      <c r="J730" s="472"/>
    </row>
    <row r="731" spans="1:10" x14ac:dyDescent="0.25">
      <c r="A731" s="583"/>
      <c r="B731" s="643"/>
      <c r="C731" s="643"/>
      <c r="D731" s="643"/>
      <c r="E731" s="644"/>
      <c r="F731" s="644"/>
      <c r="G731" s="644"/>
      <c r="H731" s="644"/>
      <c r="I731" s="643"/>
      <c r="J731" s="472"/>
    </row>
    <row r="732" spans="1:10" x14ac:dyDescent="0.25">
      <c r="A732" s="583"/>
      <c r="B732" s="643"/>
      <c r="C732" s="643"/>
      <c r="D732" s="643"/>
      <c r="E732" s="644"/>
      <c r="F732" s="644"/>
      <c r="G732" s="644"/>
      <c r="H732" s="644"/>
      <c r="I732" s="643"/>
      <c r="J732" s="472"/>
    </row>
    <row r="733" spans="1:10" x14ac:dyDescent="0.25">
      <c r="A733" s="583"/>
      <c r="B733" s="643"/>
      <c r="C733" s="643"/>
      <c r="D733" s="643"/>
      <c r="E733" s="644"/>
      <c r="F733" s="644"/>
      <c r="G733" s="644"/>
      <c r="H733" s="644"/>
      <c r="I733" s="643"/>
      <c r="J733" s="472"/>
    </row>
    <row r="734" spans="1:10" x14ac:dyDescent="0.25">
      <c r="A734" s="583"/>
      <c r="B734" s="643"/>
      <c r="C734" s="643"/>
      <c r="D734" s="643"/>
      <c r="E734" s="644"/>
      <c r="F734" s="644"/>
      <c r="G734" s="644"/>
      <c r="H734" s="644"/>
      <c r="I734" s="643"/>
      <c r="J734" s="472"/>
    </row>
    <row r="735" spans="1:10" x14ac:dyDescent="0.25">
      <c r="A735" s="583"/>
      <c r="B735" s="643"/>
      <c r="C735" s="643"/>
      <c r="D735" s="643"/>
      <c r="E735" s="644"/>
      <c r="F735" s="644"/>
      <c r="G735" s="644"/>
      <c r="H735" s="644"/>
      <c r="I735" s="643"/>
      <c r="J735" s="472"/>
    </row>
    <row r="736" spans="1:10" x14ac:dyDescent="0.25">
      <c r="A736" s="583"/>
      <c r="B736" s="643"/>
      <c r="C736" s="643"/>
      <c r="D736" s="643"/>
      <c r="E736" s="644"/>
      <c r="F736" s="644"/>
      <c r="G736" s="644"/>
      <c r="H736" s="644"/>
      <c r="I736" s="643"/>
      <c r="J736" s="472"/>
    </row>
    <row r="737" spans="1:10" x14ac:dyDescent="0.25">
      <c r="A737" s="583"/>
      <c r="B737" s="643"/>
      <c r="C737" s="643"/>
      <c r="D737" s="643"/>
      <c r="E737" s="644"/>
      <c r="F737" s="644"/>
      <c r="G737" s="644"/>
      <c r="H737" s="644"/>
      <c r="I737" s="643"/>
      <c r="J737" s="472"/>
    </row>
    <row r="738" spans="1:10" x14ac:dyDescent="0.25">
      <c r="A738" s="583"/>
      <c r="B738" s="643"/>
      <c r="C738" s="643"/>
      <c r="D738" s="643"/>
      <c r="E738" s="644"/>
      <c r="F738" s="644"/>
      <c r="G738" s="644"/>
      <c r="H738" s="644"/>
      <c r="I738" s="643"/>
      <c r="J738" s="472"/>
    </row>
    <row r="739" spans="1:10" x14ac:dyDescent="0.25">
      <c r="A739" s="583"/>
      <c r="B739" s="643"/>
      <c r="C739" s="643"/>
      <c r="D739" s="643"/>
      <c r="E739" s="644"/>
      <c r="F739" s="644"/>
      <c r="G739" s="644"/>
      <c r="H739" s="644"/>
      <c r="I739" s="643"/>
      <c r="J739" s="472"/>
    </row>
    <row r="740" spans="1:10" x14ac:dyDescent="0.25">
      <c r="A740" s="583"/>
      <c r="B740" s="643"/>
      <c r="C740" s="643"/>
      <c r="D740" s="643"/>
      <c r="E740" s="644"/>
      <c r="F740" s="644"/>
      <c r="G740" s="644"/>
      <c r="H740" s="644"/>
      <c r="I740" s="643"/>
      <c r="J740" s="472"/>
    </row>
    <row r="741" spans="1:10" x14ac:dyDescent="0.25">
      <c r="A741" s="583"/>
      <c r="B741" s="643"/>
      <c r="C741" s="643"/>
      <c r="D741" s="643"/>
      <c r="E741" s="644"/>
      <c r="F741" s="644"/>
      <c r="G741" s="644"/>
      <c r="H741" s="644"/>
      <c r="I741" s="643"/>
      <c r="J741" s="472"/>
    </row>
    <row r="742" spans="1:10" x14ac:dyDescent="0.25">
      <c r="A742" s="583"/>
      <c r="B742" s="643"/>
      <c r="C742" s="643"/>
      <c r="D742" s="643"/>
      <c r="E742" s="644"/>
      <c r="F742" s="644"/>
      <c r="G742" s="644"/>
      <c r="H742" s="644"/>
      <c r="I742" s="643"/>
      <c r="J742" s="472"/>
    </row>
    <row r="743" spans="1:10" x14ac:dyDescent="0.25">
      <c r="A743" s="583"/>
      <c r="B743" s="643"/>
      <c r="C743" s="643"/>
      <c r="D743" s="643"/>
      <c r="E743" s="644"/>
      <c r="F743" s="644"/>
      <c r="G743" s="644"/>
      <c r="H743" s="644"/>
      <c r="I743" s="643"/>
      <c r="J743" s="472"/>
    </row>
    <row r="744" spans="1:10" x14ac:dyDescent="0.25">
      <c r="A744" s="583"/>
      <c r="B744" s="643"/>
      <c r="C744" s="643"/>
      <c r="D744" s="643"/>
      <c r="E744" s="644"/>
      <c r="F744" s="644"/>
      <c r="G744" s="644"/>
      <c r="H744" s="644"/>
      <c r="I744" s="643"/>
      <c r="J744" s="472"/>
    </row>
    <row r="745" spans="1:10" x14ac:dyDescent="0.25">
      <c r="A745" s="583"/>
      <c r="B745" s="643"/>
      <c r="C745" s="643"/>
      <c r="D745" s="643"/>
      <c r="E745" s="644"/>
      <c r="F745" s="644"/>
      <c r="G745" s="644"/>
      <c r="H745" s="644"/>
      <c r="I745" s="643"/>
      <c r="J745" s="472"/>
    </row>
    <row r="746" spans="1:10" x14ac:dyDescent="0.25">
      <c r="A746" s="583"/>
      <c r="B746" s="643"/>
      <c r="C746" s="643"/>
      <c r="D746" s="643"/>
      <c r="E746" s="644"/>
      <c r="F746" s="644"/>
      <c r="G746" s="644"/>
      <c r="H746" s="644"/>
      <c r="I746" s="643"/>
      <c r="J746" s="472"/>
    </row>
    <row r="747" spans="1:10" x14ac:dyDescent="0.25">
      <c r="A747" s="583"/>
      <c r="B747" s="643"/>
      <c r="C747" s="643"/>
      <c r="D747" s="643"/>
      <c r="E747" s="644"/>
      <c r="F747" s="644"/>
      <c r="G747" s="644"/>
      <c r="H747" s="644"/>
      <c r="I747" s="643"/>
      <c r="J747" s="472"/>
    </row>
    <row r="748" spans="1:10" x14ac:dyDescent="0.25">
      <c r="A748" s="583"/>
      <c r="B748" s="643"/>
      <c r="C748" s="643"/>
      <c r="D748" s="643"/>
      <c r="E748" s="644"/>
      <c r="F748" s="644"/>
      <c r="G748" s="644"/>
      <c r="H748" s="644"/>
      <c r="I748" s="643"/>
      <c r="J748" s="472"/>
    </row>
    <row r="749" spans="1:10" x14ac:dyDescent="0.25">
      <c r="A749" s="583"/>
      <c r="B749" s="643"/>
      <c r="C749" s="643"/>
      <c r="D749" s="643"/>
      <c r="E749" s="644"/>
      <c r="F749" s="644"/>
      <c r="G749" s="644"/>
      <c r="H749" s="644"/>
      <c r="I749" s="643"/>
      <c r="J749" s="472"/>
    </row>
    <row r="750" spans="1:10" x14ac:dyDescent="0.25">
      <c r="A750" s="583"/>
      <c r="B750" s="643"/>
      <c r="C750" s="643"/>
      <c r="D750" s="643"/>
      <c r="E750" s="644"/>
      <c r="F750" s="644"/>
      <c r="G750" s="644"/>
      <c r="H750" s="644"/>
      <c r="I750" s="643"/>
      <c r="J750" s="472"/>
    </row>
    <row r="751" spans="1:10" x14ac:dyDescent="0.25">
      <c r="A751" s="583"/>
      <c r="B751" s="643"/>
      <c r="C751" s="643"/>
      <c r="D751" s="643"/>
      <c r="E751" s="644"/>
      <c r="F751" s="644"/>
      <c r="G751" s="644"/>
      <c r="H751" s="644"/>
      <c r="I751" s="643"/>
      <c r="J751" s="472"/>
    </row>
    <row r="752" spans="1:10" x14ac:dyDescent="0.25">
      <c r="A752" s="583"/>
      <c r="B752" s="643"/>
      <c r="C752" s="643"/>
      <c r="D752" s="643"/>
      <c r="E752" s="644"/>
      <c r="F752" s="644"/>
      <c r="G752" s="644"/>
      <c r="H752" s="644"/>
      <c r="I752" s="643"/>
      <c r="J752" s="472"/>
    </row>
    <row r="753" spans="1:10" x14ac:dyDescent="0.25">
      <c r="A753" s="583"/>
      <c r="B753" s="643"/>
      <c r="C753" s="643"/>
      <c r="D753" s="643"/>
      <c r="E753" s="644"/>
      <c r="F753" s="644"/>
      <c r="G753" s="644"/>
      <c r="H753" s="644"/>
      <c r="I753" s="643"/>
      <c r="J753" s="472"/>
    </row>
    <row r="754" spans="1:10" x14ac:dyDescent="0.25">
      <c r="A754" s="583"/>
      <c r="B754" s="643"/>
      <c r="C754" s="643"/>
      <c r="D754" s="643"/>
      <c r="E754" s="644"/>
      <c r="F754" s="644"/>
      <c r="G754" s="644"/>
      <c r="H754" s="644"/>
      <c r="I754" s="643"/>
      <c r="J754" s="472"/>
    </row>
    <row r="755" spans="1:10" x14ac:dyDescent="0.25">
      <c r="A755" s="583"/>
      <c r="B755" s="643"/>
      <c r="C755" s="643"/>
      <c r="D755" s="643"/>
      <c r="E755" s="644"/>
      <c r="F755" s="644"/>
      <c r="G755" s="644"/>
      <c r="H755" s="644"/>
      <c r="I755" s="643"/>
      <c r="J755" s="472"/>
    </row>
    <row r="756" spans="1:10" x14ac:dyDescent="0.25">
      <c r="A756" s="583"/>
      <c r="B756" s="643"/>
      <c r="C756" s="643"/>
      <c r="D756" s="643"/>
      <c r="E756" s="644"/>
      <c r="F756" s="644"/>
      <c r="G756" s="644"/>
      <c r="H756" s="644"/>
      <c r="I756" s="643"/>
      <c r="J756" s="472"/>
    </row>
    <row r="757" spans="1:10" x14ac:dyDescent="0.25">
      <c r="A757" s="583"/>
      <c r="B757" s="643"/>
      <c r="C757" s="643"/>
      <c r="D757" s="643"/>
      <c r="E757" s="644"/>
      <c r="F757" s="644"/>
      <c r="G757" s="644"/>
      <c r="H757" s="644"/>
      <c r="I757" s="643"/>
      <c r="J757" s="472"/>
    </row>
    <row r="758" spans="1:10" x14ac:dyDescent="0.25">
      <c r="A758" s="583"/>
      <c r="B758" s="643"/>
      <c r="C758" s="643"/>
      <c r="D758" s="643"/>
      <c r="E758" s="644"/>
      <c r="F758" s="644"/>
      <c r="G758" s="644"/>
      <c r="H758" s="644"/>
      <c r="I758" s="643"/>
      <c r="J758" s="472"/>
    </row>
    <row r="759" spans="1:10" x14ac:dyDescent="0.25">
      <c r="A759" s="583"/>
      <c r="B759" s="643"/>
      <c r="C759" s="643"/>
      <c r="D759" s="643"/>
      <c r="E759" s="644"/>
      <c r="F759" s="644"/>
      <c r="G759" s="644"/>
      <c r="H759" s="644"/>
      <c r="I759" s="643"/>
      <c r="J759" s="472"/>
    </row>
    <row r="760" spans="1:10" x14ac:dyDescent="0.25">
      <c r="A760" s="583"/>
      <c r="B760" s="643"/>
      <c r="C760" s="643"/>
      <c r="D760" s="643"/>
      <c r="E760" s="644"/>
      <c r="F760" s="644"/>
      <c r="G760" s="644"/>
      <c r="H760" s="644"/>
      <c r="I760" s="643"/>
      <c r="J760" s="472"/>
    </row>
    <row r="761" spans="1:10" x14ac:dyDescent="0.25">
      <c r="A761" s="583"/>
      <c r="B761" s="643"/>
      <c r="C761" s="643"/>
      <c r="D761" s="643"/>
      <c r="E761" s="644"/>
      <c r="F761" s="644"/>
      <c r="G761" s="644"/>
      <c r="H761" s="644"/>
      <c r="I761" s="643"/>
      <c r="J761" s="472"/>
    </row>
    <row r="762" spans="1:10" x14ac:dyDescent="0.25">
      <c r="A762" s="583"/>
      <c r="B762" s="643"/>
      <c r="C762" s="643"/>
      <c r="D762" s="643"/>
      <c r="E762" s="644"/>
      <c r="F762" s="644"/>
      <c r="G762" s="644"/>
      <c r="H762" s="644"/>
      <c r="I762" s="643"/>
      <c r="J762" s="472"/>
    </row>
    <row r="763" spans="1:10" x14ac:dyDescent="0.25">
      <c r="A763" s="583"/>
      <c r="B763" s="643"/>
      <c r="C763" s="643"/>
      <c r="D763" s="643"/>
      <c r="E763" s="644"/>
      <c r="F763" s="644"/>
      <c r="G763" s="644"/>
      <c r="H763" s="644"/>
      <c r="I763" s="643"/>
      <c r="J763" s="472"/>
    </row>
    <row r="764" spans="1:10" x14ac:dyDescent="0.25">
      <c r="A764" s="583"/>
      <c r="B764" s="643"/>
      <c r="C764" s="643"/>
      <c r="D764" s="643"/>
      <c r="E764" s="644"/>
      <c r="F764" s="644"/>
      <c r="G764" s="644"/>
      <c r="H764" s="644"/>
      <c r="I764" s="643"/>
      <c r="J764" s="472"/>
    </row>
    <row r="765" spans="1:10" x14ac:dyDescent="0.25">
      <c r="A765" s="583"/>
      <c r="B765" s="643"/>
      <c r="C765" s="643"/>
      <c r="D765" s="643"/>
      <c r="E765" s="644"/>
      <c r="F765" s="644"/>
      <c r="G765" s="644"/>
      <c r="H765" s="644"/>
      <c r="I765" s="643"/>
      <c r="J765" s="472"/>
    </row>
    <row r="766" spans="1:10" x14ac:dyDescent="0.25">
      <c r="A766" s="583"/>
      <c r="B766" s="643"/>
      <c r="C766" s="643"/>
      <c r="D766" s="643"/>
      <c r="E766" s="644"/>
      <c r="F766" s="644"/>
      <c r="G766" s="644"/>
      <c r="H766" s="644"/>
      <c r="I766" s="643"/>
      <c r="J766" s="472"/>
    </row>
    <row r="767" spans="1:10" x14ac:dyDescent="0.25">
      <c r="A767" s="583"/>
      <c r="B767" s="643"/>
      <c r="C767" s="643"/>
      <c r="D767" s="643"/>
      <c r="E767" s="644"/>
      <c r="F767" s="644"/>
      <c r="G767" s="644"/>
      <c r="H767" s="644"/>
      <c r="I767" s="643"/>
      <c r="J767" s="472"/>
    </row>
    <row r="768" spans="1:10" x14ac:dyDescent="0.25">
      <c r="A768" s="583"/>
      <c r="B768" s="643"/>
      <c r="C768" s="643"/>
      <c r="D768" s="643"/>
      <c r="E768" s="644"/>
      <c r="F768" s="644"/>
      <c r="G768" s="644"/>
      <c r="H768" s="644"/>
      <c r="I768" s="643"/>
      <c r="J768" s="472"/>
    </row>
    <row r="769" spans="1:10" x14ac:dyDescent="0.25">
      <c r="A769" s="583"/>
      <c r="B769" s="643"/>
      <c r="C769" s="643"/>
      <c r="D769" s="643"/>
      <c r="E769" s="644"/>
      <c r="F769" s="644"/>
      <c r="G769" s="644"/>
      <c r="H769" s="644"/>
      <c r="I769" s="643"/>
      <c r="J769" s="472"/>
    </row>
    <row r="770" spans="1:10" x14ac:dyDescent="0.25">
      <c r="A770" s="583"/>
      <c r="B770" s="643"/>
      <c r="C770" s="643"/>
      <c r="D770" s="643"/>
      <c r="E770" s="644"/>
      <c r="F770" s="644"/>
      <c r="G770" s="644"/>
      <c r="H770" s="644"/>
      <c r="I770" s="643"/>
      <c r="J770" s="472"/>
    </row>
    <row r="771" spans="1:10" x14ac:dyDescent="0.25">
      <c r="A771" s="583"/>
      <c r="B771" s="643"/>
      <c r="C771" s="643"/>
      <c r="D771" s="643"/>
      <c r="E771" s="644"/>
      <c r="F771" s="644"/>
      <c r="G771" s="644"/>
      <c r="H771" s="644"/>
      <c r="I771" s="643"/>
      <c r="J771" s="472"/>
    </row>
    <row r="772" spans="1:10" x14ac:dyDescent="0.25">
      <c r="A772" s="583"/>
      <c r="B772" s="643"/>
      <c r="C772" s="643"/>
      <c r="D772" s="643"/>
      <c r="E772" s="644"/>
      <c r="F772" s="644"/>
      <c r="G772" s="644"/>
      <c r="H772" s="644"/>
      <c r="I772" s="643"/>
      <c r="J772" s="472"/>
    </row>
    <row r="773" spans="1:10" x14ac:dyDescent="0.25">
      <c r="A773" s="583"/>
      <c r="B773" s="643"/>
      <c r="C773" s="643"/>
      <c r="D773" s="643"/>
      <c r="E773" s="644"/>
      <c r="F773" s="644"/>
      <c r="G773" s="644"/>
      <c r="H773" s="644"/>
      <c r="I773" s="643"/>
      <c r="J773" s="472"/>
    </row>
    <row r="774" spans="1:10" x14ac:dyDescent="0.25">
      <c r="A774" s="583"/>
      <c r="B774" s="643"/>
      <c r="C774" s="643"/>
      <c r="D774" s="643"/>
      <c r="E774" s="644"/>
      <c r="F774" s="644"/>
      <c r="G774" s="644"/>
      <c r="H774" s="644"/>
      <c r="I774" s="643"/>
      <c r="J774" s="472"/>
    </row>
    <row r="775" spans="1:10" x14ac:dyDescent="0.25">
      <c r="A775" s="583"/>
      <c r="B775" s="643"/>
      <c r="C775" s="643"/>
      <c r="D775" s="643"/>
      <c r="E775" s="644"/>
      <c r="F775" s="644"/>
      <c r="G775" s="644"/>
      <c r="H775" s="644"/>
      <c r="I775" s="643"/>
      <c r="J775" s="472"/>
    </row>
    <row r="776" spans="1:10" x14ac:dyDescent="0.25">
      <c r="A776" s="583"/>
      <c r="B776" s="643"/>
      <c r="C776" s="643"/>
      <c r="D776" s="643"/>
      <c r="E776" s="644"/>
      <c r="F776" s="644"/>
      <c r="G776" s="644"/>
      <c r="H776" s="644"/>
      <c r="I776" s="643"/>
      <c r="J776" s="472"/>
    </row>
    <row r="777" spans="1:10" x14ac:dyDescent="0.25">
      <c r="A777" s="583"/>
      <c r="B777" s="643"/>
      <c r="C777" s="643"/>
      <c r="D777" s="643"/>
      <c r="E777" s="644"/>
      <c r="F777" s="644"/>
      <c r="G777" s="644"/>
      <c r="H777" s="644"/>
      <c r="I777" s="643"/>
      <c r="J777" s="472"/>
    </row>
    <row r="778" spans="1:10" x14ac:dyDescent="0.25">
      <c r="A778" s="583"/>
      <c r="B778" s="643"/>
      <c r="C778" s="643"/>
      <c r="D778" s="643"/>
      <c r="E778" s="644"/>
      <c r="F778" s="644"/>
      <c r="G778" s="644"/>
      <c r="H778" s="644"/>
      <c r="I778" s="643"/>
      <c r="J778" s="472"/>
    </row>
    <row r="779" spans="1:10" x14ac:dyDescent="0.25">
      <c r="A779" s="583"/>
      <c r="B779" s="643"/>
      <c r="C779" s="643"/>
      <c r="D779" s="643"/>
      <c r="E779" s="644"/>
      <c r="F779" s="644"/>
      <c r="G779" s="644"/>
      <c r="H779" s="644"/>
      <c r="I779" s="643"/>
      <c r="J779" s="472"/>
    </row>
    <row r="780" spans="1:10" x14ac:dyDescent="0.25">
      <c r="A780" s="583"/>
      <c r="B780" s="643"/>
      <c r="C780" s="643"/>
      <c r="D780" s="643"/>
      <c r="E780" s="644"/>
      <c r="F780" s="644"/>
      <c r="G780" s="644"/>
      <c r="H780" s="644"/>
      <c r="I780" s="643"/>
      <c r="J780" s="472"/>
    </row>
    <row r="781" spans="1:10" x14ac:dyDescent="0.25">
      <c r="A781" s="583"/>
      <c r="B781" s="643"/>
      <c r="C781" s="643"/>
      <c r="D781" s="643"/>
      <c r="E781" s="644"/>
      <c r="F781" s="644"/>
      <c r="G781" s="644"/>
      <c r="H781" s="644"/>
      <c r="I781" s="643"/>
      <c r="J781" s="472"/>
    </row>
    <row r="782" spans="1:10" x14ac:dyDescent="0.25">
      <c r="A782" s="583"/>
      <c r="B782" s="643"/>
      <c r="C782" s="643"/>
      <c r="D782" s="643"/>
      <c r="E782" s="644"/>
      <c r="F782" s="644"/>
      <c r="G782" s="644"/>
      <c r="H782" s="644"/>
      <c r="I782" s="643"/>
      <c r="J782" s="472"/>
    </row>
    <row r="783" spans="1:10" x14ac:dyDescent="0.25">
      <c r="A783" s="583"/>
      <c r="B783" s="643"/>
      <c r="C783" s="643"/>
      <c r="D783" s="643"/>
      <c r="E783" s="644"/>
      <c r="F783" s="644"/>
      <c r="G783" s="644"/>
      <c r="H783" s="644"/>
      <c r="I783" s="643"/>
      <c r="J783" s="472"/>
    </row>
    <row r="784" spans="1:10" x14ac:dyDescent="0.25">
      <c r="A784" s="583"/>
      <c r="B784" s="643"/>
      <c r="C784" s="643"/>
      <c r="D784" s="643"/>
      <c r="E784" s="644"/>
      <c r="F784" s="644"/>
      <c r="G784" s="644"/>
      <c r="H784" s="644"/>
      <c r="I784" s="643"/>
      <c r="J784" s="472"/>
    </row>
    <row r="785" spans="1:10" x14ac:dyDescent="0.25">
      <c r="A785" s="583"/>
      <c r="B785" s="643"/>
      <c r="C785" s="643"/>
      <c r="D785" s="643"/>
      <c r="E785" s="644"/>
      <c r="F785" s="644"/>
      <c r="G785" s="644"/>
      <c r="H785" s="644"/>
      <c r="I785" s="643"/>
      <c r="J785" s="472"/>
    </row>
    <row r="786" spans="1:10" x14ac:dyDescent="0.25">
      <c r="A786" s="583"/>
      <c r="B786" s="643"/>
      <c r="C786" s="643"/>
      <c r="D786" s="643"/>
      <c r="E786" s="644"/>
      <c r="F786" s="644"/>
      <c r="G786" s="644"/>
      <c r="H786" s="644"/>
      <c r="I786" s="643"/>
      <c r="J786" s="472"/>
    </row>
    <row r="787" spans="1:10" x14ac:dyDescent="0.25">
      <c r="A787" s="583"/>
      <c r="B787" s="643"/>
      <c r="C787" s="643"/>
      <c r="D787" s="643"/>
      <c r="E787" s="644"/>
      <c r="F787" s="644"/>
      <c r="G787" s="644"/>
      <c r="H787" s="644"/>
      <c r="I787" s="643"/>
      <c r="J787" s="472"/>
    </row>
    <row r="788" spans="1:10" x14ac:dyDescent="0.25">
      <c r="A788" s="583"/>
      <c r="B788" s="643"/>
      <c r="C788" s="643"/>
      <c r="D788" s="643"/>
      <c r="E788" s="644"/>
      <c r="F788" s="644"/>
      <c r="G788" s="644"/>
      <c r="H788" s="644"/>
      <c r="I788" s="643"/>
      <c r="J788" s="472"/>
    </row>
    <row r="789" spans="1:10" x14ac:dyDescent="0.25">
      <c r="A789" s="583"/>
      <c r="B789" s="643"/>
      <c r="C789" s="643"/>
      <c r="D789" s="643"/>
      <c r="E789" s="644"/>
      <c r="F789" s="644"/>
      <c r="G789" s="644"/>
      <c r="H789" s="644"/>
      <c r="I789" s="643"/>
      <c r="J789" s="472"/>
    </row>
    <row r="790" spans="1:10" x14ac:dyDescent="0.25">
      <c r="A790" s="583"/>
      <c r="B790" s="643"/>
      <c r="C790" s="643"/>
      <c r="D790" s="643"/>
      <c r="E790" s="644"/>
      <c r="F790" s="644"/>
      <c r="G790" s="644"/>
      <c r="H790" s="644"/>
      <c r="I790" s="643"/>
      <c r="J790" s="472"/>
    </row>
    <row r="791" spans="1:10" x14ac:dyDescent="0.25">
      <c r="A791" s="583"/>
      <c r="B791" s="643"/>
      <c r="C791" s="643"/>
      <c r="D791" s="643"/>
      <c r="E791" s="644"/>
      <c r="F791" s="644"/>
      <c r="G791" s="644"/>
      <c r="H791" s="644"/>
      <c r="I791" s="643"/>
      <c r="J791" s="472"/>
    </row>
    <row r="792" spans="1:10" x14ac:dyDescent="0.25">
      <c r="A792" s="583"/>
      <c r="B792" s="643"/>
      <c r="C792" s="643"/>
      <c r="D792" s="643"/>
      <c r="E792" s="644"/>
      <c r="F792" s="644"/>
      <c r="G792" s="644"/>
      <c r="H792" s="644"/>
      <c r="I792" s="643"/>
      <c r="J792" s="472"/>
    </row>
    <row r="793" spans="1:10" x14ac:dyDescent="0.25">
      <c r="A793" s="583"/>
      <c r="B793" s="643"/>
      <c r="C793" s="643"/>
      <c r="D793" s="643"/>
      <c r="E793" s="644"/>
      <c r="F793" s="644"/>
      <c r="G793" s="644"/>
      <c r="H793" s="644"/>
      <c r="I793" s="643"/>
      <c r="J793" s="472"/>
    </row>
    <row r="794" spans="1:10" x14ac:dyDescent="0.25">
      <c r="A794" s="583"/>
      <c r="B794" s="643"/>
      <c r="C794" s="643"/>
      <c r="D794" s="643"/>
      <c r="E794" s="644"/>
      <c r="F794" s="644"/>
      <c r="G794" s="644"/>
      <c r="H794" s="644"/>
      <c r="I794" s="643"/>
      <c r="J794" s="472"/>
    </row>
    <row r="795" spans="1:10" x14ac:dyDescent="0.25">
      <c r="A795" s="583"/>
      <c r="B795" s="643"/>
      <c r="C795" s="643"/>
      <c r="D795" s="643"/>
      <c r="E795" s="644"/>
      <c r="F795" s="644"/>
      <c r="G795" s="644"/>
      <c r="H795" s="644"/>
      <c r="I795" s="643"/>
      <c r="J795" s="472"/>
    </row>
    <row r="796" spans="1:10" x14ac:dyDescent="0.25">
      <c r="A796" s="583"/>
      <c r="B796" s="643"/>
      <c r="C796" s="643"/>
      <c r="D796" s="643"/>
      <c r="E796" s="644"/>
      <c r="F796" s="644"/>
      <c r="G796" s="644"/>
      <c r="H796" s="644"/>
      <c r="I796" s="643"/>
      <c r="J796" s="472"/>
    </row>
    <row r="797" spans="1:10" x14ac:dyDescent="0.25">
      <c r="A797" s="583"/>
      <c r="B797" s="643"/>
      <c r="C797" s="643"/>
      <c r="D797" s="643"/>
      <c r="E797" s="644"/>
      <c r="F797" s="644"/>
      <c r="G797" s="644"/>
      <c r="H797" s="644"/>
      <c r="I797" s="643"/>
      <c r="J797" s="472"/>
    </row>
    <row r="798" spans="1:10" x14ac:dyDescent="0.25">
      <c r="A798" s="583"/>
      <c r="B798" s="643"/>
      <c r="C798" s="643"/>
      <c r="D798" s="643"/>
      <c r="E798" s="644"/>
      <c r="F798" s="644"/>
      <c r="G798" s="644"/>
      <c r="H798" s="644"/>
      <c r="I798" s="643"/>
      <c r="J798" s="472"/>
    </row>
    <row r="799" spans="1:10" x14ac:dyDescent="0.25">
      <c r="A799" s="583"/>
      <c r="B799" s="643"/>
      <c r="C799" s="643"/>
      <c r="D799" s="643"/>
      <c r="E799" s="644"/>
      <c r="F799" s="644"/>
      <c r="G799" s="644"/>
      <c r="H799" s="644"/>
      <c r="I799" s="643"/>
      <c r="J799" s="472"/>
    </row>
    <row r="800" spans="1:10" x14ac:dyDescent="0.25">
      <c r="A800" s="583"/>
      <c r="B800" s="643"/>
      <c r="C800" s="643"/>
      <c r="D800" s="643"/>
      <c r="E800" s="644"/>
      <c r="F800" s="644"/>
      <c r="G800" s="644"/>
      <c r="H800" s="644"/>
      <c r="I800" s="643"/>
      <c r="J800" s="472"/>
    </row>
    <row r="801" spans="1:10" x14ac:dyDescent="0.25">
      <c r="A801" s="583"/>
      <c r="B801" s="643"/>
      <c r="C801" s="643"/>
      <c r="D801" s="643"/>
      <c r="E801" s="644"/>
      <c r="F801" s="644"/>
      <c r="G801" s="644"/>
      <c r="H801" s="644"/>
      <c r="I801" s="643"/>
      <c r="J801" s="472"/>
    </row>
    <row r="802" spans="1:10" x14ac:dyDescent="0.25">
      <c r="A802" s="583"/>
      <c r="B802" s="643"/>
      <c r="C802" s="643"/>
      <c r="D802" s="643"/>
      <c r="E802" s="644"/>
      <c r="F802" s="644"/>
      <c r="G802" s="644"/>
      <c r="H802" s="644"/>
      <c r="I802" s="643"/>
      <c r="J802" s="472"/>
    </row>
    <row r="803" spans="1:10" x14ac:dyDescent="0.25">
      <c r="A803" s="583"/>
      <c r="B803" s="643"/>
      <c r="C803" s="643"/>
      <c r="D803" s="643"/>
      <c r="E803" s="644"/>
      <c r="F803" s="644"/>
      <c r="G803" s="644"/>
      <c r="H803" s="644"/>
      <c r="I803" s="643"/>
      <c r="J803" s="472"/>
    </row>
    <row r="804" spans="1:10" x14ac:dyDescent="0.25">
      <c r="A804" s="583"/>
      <c r="B804" s="643"/>
      <c r="C804" s="643"/>
      <c r="D804" s="643"/>
      <c r="E804" s="644"/>
      <c r="F804" s="644"/>
      <c r="G804" s="644"/>
      <c r="H804" s="644"/>
      <c r="I804" s="643"/>
      <c r="J804" s="472"/>
    </row>
    <row r="805" spans="1:10" x14ac:dyDescent="0.25">
      <c r="A805" s="583"/>
      <c r="B805" s="643"/>
      <c r="C805" s="643"/>
      <c r="D805" s="643"/>
      <c r="E805" s="644"/>
      <c r="F805" s="644"/>
      <c r="G805" s="644"/>
      <c r="H805" s="644"/>
      <c r="I805" s="643"/>
      <c r="J805" s="472"/>
    </row>
    <row r="806" spans="1:10" x14ac:dyDescent="0.25">
      <c r="A806" s="583"/>
      <c r="B806" s="643"/>
      <c r="C806" s="643"/>
      <c r="D806" s="643"/>
      <c r="E806" s="644"/>
      <c r="F806" s="644"/>
      <c r="G806" s="644"/>
      <c r="H806" s="644"/>
      <c r="I806" s="643"/>
      <c r="J806" s="472"/>
    </row>
    <row r="807" spans="1:10" x14ac:dyDescent="0.25">
      <c r="A807" s="583"/>
      <c r="B807" s="643"/>
      <c r="C807" s="643"/>
      <c r="D807" s="643"/>
      <c r="E807" s="644"/>
      <c r="F807" s="644"/>
      <c r="G807" s="644"/>
      <c r="H807" s="644"/>
      <c r="I807" s="643"/>
      <c r="J807" s="472"/>
    </row>
    <row r="808" spans="1:10" x14ac:dyDescent="0.25">
      <c r="A808" s="583"/>
      <c r="B808" s="643"/>
      <c r="C808" s="643"/>
      <c r="D808" s="643"/>
      <c r="E808" s="644"/>
      <c r="F808" s="644"/>
      <c r="G808" s="644"/>
      <c r="H808" s="644"/>
      <c r="I808" s="643"/>
      <c r="J808" s="472"/>
    </row>
    <row r="809" spans="1:10" x14ac:dyDescent="0.25">
      <c r="A809" s="583"/>
      <c r="B809" s="643"/>
      <c r="C809" s="643"/>
      <c r="D809" s="643"/>
      <c r="E809" s="644"/>
      <c r="F809" s="644"/>
      <c r="G809" s="644"/>
      <c r="H809" s="644"/>
      <c r="I809" s="643"/>
      <c r="J809" s="472"/>
    </row>
    <row r="810" spans="1:10" x14ac:dyDescent="0.25">
      <c r="A810" s="583"/>
      <c r="B810" s="643"/>
      <c r="C810" s="643"/>
      <c r="D810" s="643"/>
      <c r="E810" s="644"/>
      <c r="F810" s="644"/>
      <c r="G810" s="644"/>
      <c r="H810" s="644"/>
      <c r="I810" s="643"/>
      <c r="J810" s="472"/>
    </row>
    <row r="811" spans="1:10" x14ac:dyDescent="0.25">
      <c r="A811" s="583"/>
      <c r="B811" s="643"/>
      <c r="C811" s="643"/>
      <c r="D811" s="643"/>
      <c r="E811" s="644"/>
      <c r="F811" s="644"/>
      <c r="G811" s="644"/>
      <c r="H811" s="644"/>
      <c r="I811" s="643"/>
      <c r="J811" s="472"/>
    </row>
    <row r="812" spans="1:10" x14ac:dyDescent="0.25">
      <c r="A812" s="583"/>
      <c r="B812" s="643"/>
      <c r="C812" s="643"/>
      <c r="D812" s="643"/>
      <c r="E812" s="644"/>
      <c r="F812" s="644"/>
      <c r="G812" s="644"/>
      <c r="H812" s="644"/>
      <c r="I812" s="643"/>
      <c r="J812" s="472"/>
    </row>
    <row r="813" spans="1:10" x14ac:dyDescent="0.25">
      <c r="A813" s="583"/>
      <c r="B813" s="643"/>
      <c r="C813" s="643"/>
      <c r="D813" s="643"/>
      <c r="E813" s="644"/>
      <c r="F813" s="644"/>
      <c r="G813" s="644"/>
      <c r="H813" s="644"/>
      <c r="I813" s="643"/>
      <c r="J813" s="472"/>
    </row>
    <row r="814" spans="1:10" x14ac:dyDescent="0.25">
      <c r="A814" s="583"/>
      <c r="B814" s="643"/>
      <c r="C814" s="643"/>
      <c r="D814" s="643"/>
      <c r="E814" s="644"/>
      <c r="F814" s="644"/>
      <c r="G814" s="644"/>
      <c r="H814" s="644"/>
      <c r="I814" s="643"/>
      <c r="J814" s="472"/>
    </row>
    <row r="815" spans="1:10" x14ac:dyDescent="0.25">
      <c r="A815" s="583"/>
      <c r="B815" s="643"/>
      <c r="C815" s="643"/>
      <c r="D815" s="643"/>
      <c r="E815" s="644"/>
      <c r="F815" s="644"/>
      <c r="G815" s="644"/>
      <c r="H815" s="644"/>
      <c r="I815" s="643"/>
      <c r="J815" s="472"/>
    </row>
    <row r="816" spans="1:10" x14ac:dyDescent="0.25">
      <c r="A816" s="583"/>
      <c r="B816" s="643"/>
      <c r="C816" s="643"/>
      <c r="D816" s="643"/>
      <c r="E816" s="644"/>
      <c r="F816" s="644"/>
      <c r="G816" s="644"/>
      <c r="H816" s="644"/>
      <c r="I816" s="643"/>
      <c r="J816" s="472"/>
    </row>
    <row r="817" spans="1:10" x14ac:dyDescent="0.25">
      <c r="A817" s="583"/>
      <c r="B817" s="643"/>
      <c r="C817" s="643"/>
      <c r="D817" s="643"/>
      <c r="E817" s="644"/>
      <c r="F817" s="644"/>
      <c r="G817" s="644"/>
      <c r="H817" s="644"/>
      <c r="I817" s="643"/>
      <c r="J817" s="472"/>
    </row>
    <row r="818" spans="1:10" x14ac:dyDescent="0.25">
      <c r="A818" s="583"/>
      <c r="B818" s="643"/>
      <c r="C818" s="643"/>
      <c r="D818" s="643"/>
      <c r="E818" s="644"/>
      <c r="F818" s="644"/>
      <c r="G818" s="644"/>
      <c r="H818" s="644"/>
      <c r="I818" s="643"/>
      <c r="J818" s="472"/>
    </row>
    <row r="819" spans="1:10" x14ac:dyDescent="0.25">
      <c r="A819" s="583"/>
      <c r="B819" s="643"/>
      <c r="C819" s="643"/>
      <c r="D819" s="643"/>
      <c r="E819" s="644"/>
      <c r="F819" s="644"/>
      <c r="G819" s="644"/>
      <c r="H819" s="644"/>
      <c r="I819" s="643"/>
      <c r="J819" s="472"/>
    </row>
    <row r="820" spans="1:10" x14ac:dyDescent="0.25">
      <c r="A820" s="583"/>
      <c r="B820" s="643"/>
      <c r="C820" s="643"/>
      <c r="D820" s="643"/>
      <c r="E820" s="644"/>
      <c r="F820" s="644"/>
      <c r="G820" s="644"/>
      <c r="H820" s="644"/>
      <c r="I820" s="643"/>
      <c r="J820" s="472"/>
    </row>
    <row r="821" spans="1:10" x14ac:dyDescent="0.25">
      <c r="A821" s="583"/>
      <c r="B821" s="643"/>
      <c r="C821" s="643"/>
      <c r="D821" s="643"/>
      <c r="E821" s="644"/>
      <c r="F821" s="644"/>
      <c r="G821" s="644"/>
      <c r="H821" s="644"/>
      <c r="I821" s="643"/>
      <c r="J821" s="472"/>
    </row>
    <row r="822" spans="1:10" x14ac:dyDescent="0.25">
      <c r="A822" s="583"/>
      <c r="B822" s="643"/>
      <c r="C822" s="643"/>
      <c r="D822" s="643"/>
      <c r="E822" s="644"/>
      <c r="F822" s="644"/>
      <c r="G822" s="644"/>
      <c r="H822" s="644"/>
      <c r="I822" s="643"/>
      <c r="J822" s="472"/>
    </row>
    <row r="823" spans="1:10" x14ac:dyDescent="0.25">
      <c r="A823" s="583"/>
      <c r="B823" s="643"/>
      <c r="C823" s="643"/>
      <c r="D823" s="643"/>
      <c r="E823" s="644"/>
      <c r="F823" s="644"/>
      <c r="G823" s="644"/>
      <c r="H823" s="644"/>
      <c r="I823" s="643"/>
      <c r="J823" s="472"/>
    </row>
    <row r="824" spans="1:10" x14ac:dyDescent="0.25">
      <c r="A824" s="583"/>
      <c r="B824" s="643"/>
      <c r="C824" s="643"/>
      <c r="D824" s="643"/>
      <c r="E824" s="644"/>
      <c r="F824" s="644"/>
      <c r="G824" s="644"/>
      <c r="H824" s="644"/>
      <c r="I824" s="643"/>
      <c r="J824" s="472"/>
    </row>
    <row r="825" spans="1:10" x14ac:dyDescent="0.25">
      <c r="A825" s="583"/>
      <c r="B825" s="643"/>
      <c r="C825" s="643"/>
      <c r="D825" s="643"/>
      <c r="E825" s="644"/>
      <c r="F825" s="644"/>
      <c r="G825" s="644"/>
      <c r="H825" s="644"/>
      <c r="I825" s="643"/>
      <c r="J825" s="472"/>
    </row>
    <row r="826" spans="1:10" x14ac:dyDescent="0.25">
      <c r="A826" s="583"/>
      <c r="B826" s="643"/>
      <c r="C826" s="643"/>
      <c r="D826" s="643"/>
      <c r="E826" s="644"/>
      <c r="F826" s="644"/>
      <c r="G826" s="644"/>
      <c r="H826" s="644"/>
      <c r="I826" s="643"/>
      <c r="J826" s="472"/>
    </row>
    <row r="827" spans="1:10" x14ac:dyDescent="0.25">
      <c r="A827" s="583"/>
      <c r="B827" s="643"/>
      <c r="C827" s="643"/>
      <c r="D827" s="643"/>
      <c r="E827" s="644"/>
      <c r="F827" s="644"/>
      <c r="G827" s="644"/>
      <c r="H827" s="644"/>
      <c r="I827" s="643"/>
      <c r="J827" s="472"/>
    </row>
    <row r="828" spans="1:10" x14ac:dyDescent="0.25">
      <c r="A828" s="583"/>
      <c r="B828" s="643"/>
      <c r="C828" s="643"/>
      <c r="D828" s="643"/>
      <c r="E828" s="644"/>
      <c r="F828" s="644"/>
      <c r="G828" s="644"/>
      <c r="H828" s="644"/>
      <c r="I828" s="643"/>
      <c r="J828" s="472"/>
    </row>
    <row r="829" spans="1:10" x14ac:dyDescent="0.25">
      <c r="A829" s="583"/>
      <c r="B829" s="643"/>
      <c r="C829" s="643"/>
      <c r="D829" s="643"/>
      <c r="E829" s="644"/>
      <c r="F829" s="644"/>
      <c r="G829" s="644"/>
      <c r="H829" s="644"/>
      <c r="I829" s="643"/>
      <c r="J829" s="472"/>
    </row>
    <row r="830" spans="1:10" x14ac:dyDescent="0.25">
      <c r="A830" s="583"/>
      <c r="B830" s="643"/>
      <c r="C830" s="643"/>
      <c r="D830" s="643"/>
      <c r="E830" s="644"/>
      <c r="F830" s="644"/>
      <c r="G830" s="644"/>
      <c r="H830" s="644"/>
      <c r="I830" s="643"/>
      <c r="J830" s="472"/>
    </row>
    <row r="831" spans="1:10" x14ac:dyDescent="0.25">
      <c r="A831" s="583"/>
      <c r="B831" s="643"/>
      <c r="C831" s="643"/>
      <c r="D831" s="643"/>
      <c r="E831" s="644"/>
      <c r="F831" s="644"/>
      <c r="G831" s="644"/>
      <c r="H831" s="644"/>
      <c r="I831" s="643"/>
      <c r="J831" s="472"/>
    </row>
    <row r="832" spans="1:10" x14ac:dyDescent="0.25">
      <c r="A832" s="583"/>
      <c r="B832" s="643"/>
      <c r="C832" s="643"/>
      <c r="D832" s="643"/>
      <c r="E832" s="644"/>
      <c r="F832" s="644"/>
      <c r="G832" s="644"/>
      <c r="H832" s="644"/>
      <c r="I832" s="643"/>
      <c r="J832" s="472"/>
    </row>
    <row r="833" spans="1:10" x14ac:dyDescent="0.25">
      <c r="A833" s="583"/>
      <c r="B833" s="643"/>
      <c r="C833" s="643"/>
      <c r="D833" s="643"/>
      <c r="E833" s="644"/>
      <c r="F833" s="644"/>
      <c r="G833" s="644"/>
      <c r="H833" s="644"/>
      <c r="I833" s="643"/>
      <c r="J833" s="472"/>
    </row>
    <row r="834" spans="1:10" x14ac:dyDescent="0.25">
      <c r="A834" s="583"/>
      <c r="B834" s="643"/>
      <c r="C834" s="643"/>
      <c r="D834" s="643"/>
      <c r="E834" s="644"/>
      <c r="F834" s="644"/>
      <c r="G834" s="644"/>
      <c r="H834" s="644"/>
      <c r="I834" s="643"/>
      <c r="J834" s="472"/>
    </row>
    <row r="835" spans="1:10" x14ac:dyDescent="0.25">
      <c r="A835" s="583"/>
      <c r="B835" s="643"/>
      <c r="C835" s="643"/>
      <c r="D835" s="643"/>
      <c r="E835" s="644"/>
      <c r="F835" s="644"/>
      <c r="G835" s="644"/>
      <c r="H835" s="644"/>
      <c r="I835" s="643"/>
      <c r="J835" s="472"/>
    </row>
    <row r="836" spans="1:10" x14ac:dyDescent="0.25">
      <c r="A836" s="583"/>
      <c r="B836" s="643"/>
      <c r="C836" s="643"/>
      <c r="D836" s="643"/>
      <c r="E836" s="644"/>
      <c r="F836" s="644"/>
      <c r="G836" s="644"/>
      <c r="H836" s="644"/>
      <c r="I836" s="643"/>
      <c r="J836" s="472"/>
    </row>
    <row r="837" spans="1:10" x14ac:dyDescent="0.25">
      <c r="A837" s="583"/>
      <c r="B837" s="643"/>
      <c r="C837" s="643"/>
      <c r="D837" s="643"/>
      <c r="E837" s="644"/>
      <c r="F837" s="644"/>
      <c r="G837" s="644"/>
      <c r="H837" s="644"/>
      <c r="I837" s="643"/>
      <c r="J837" s="472"/>
    </row>
    <row r="838" spans="1:10" x14ac:dyDescent="0.25">
      <c r="A838" s="583"/>
      <c r="B838" s="643"/>
      <c r="C838" s="643"/>
      <c r="D838" s="643"/>
      <c r="E838" s="644"/>
      <c r="F838" s="644"/>
      <c r="G838" s="644"/>
      <c r="H838" s="644"/>
      <c r="I838" s="643"/>
      <c r="J838" s="472"/>
    </row>
    <row r="839" spans="1:10" x14ac:dyDescent="0.25">
      <c r="A839" s="583"/>
      <c r="B839" s="643"/>
      <c r="C839" s="643"/>
      <c r="D839" s="643"/>
      <c r="E839" s="644"/>
      <c r="F839" s="644"/>
      <c r="G839" s="644"/>
      <c r="H839" s="644"/>
      <c r="I839" s="643"/>
      <c r="J839" s="472"/>
    </row>
    <row r="840" spans="1:10" x14ac:dyDescent="0.25">
      <c r="A840" s="583"/>
      <c r="B840" s="643"/>
      <c r="C840" s="643"/>
      <c r="D840" s="643"/>
      <c r="E840" s="644"/>
      <c r="F840" s="644"/>
      <c r="G840" s="644"/>
      <c r="H840" s="644"/>
      <c r="I840" s="643"/>
      <c r="J840" s="472"/>
    </row>
    <row r="841" spans="1:10" x14ac:dyDescent="0.25">
      <c r="A841" s="583"/>
      <c r="B841" s="643"/>
      <c r="C841" s="643"/>
      <c r="D841" s="643"/>
      <c r="E841" s="644"/>
      <c r="F841" s="644"/>
      <c r="G841" s="644"/>
      <c r="H841" s="644"/>
      <c r="I841" s="643"/>
      <c r="J841" s="472"/>
    </row>
    <row r="842" spans="1:10" x14ac:dyDescent="0.25">
      <c r="A842" s="583"/>
      <c r="B842" s="643"/>
      <c r="C842" s="643"/>
      <c r="D842" s="643"/>
      <c r="E842" s="644"/>
      <c r="F842" s="644"/>
      <c r="G842" s="644"/>
      <c r="H842" s="644"/>
      <c r="I842" s="643"/>
      <c r="J842" s="472"/>
    </row>
    <row r="843" spans="1:10" x14ac:dyDescent="0.25">
      <c r="A843" s="583"/>
      <c r="B843" s="643"/>
      <c r="C843" s="643"/>
      <c r="D843" s="643"/>
      <c r="E843" s="644"/>
      <c r="F843" s="644"/>
      <c r="G843" s="644"/>
      <c r="H843" s="644"/>
      <c r="I843" s="643"/>
      <c r="J843" s="472"/>
    </row>
    <row r="844" spans="1:10" x14ac:dyDescent="0.25">
      <c r="A844" s="583"/>
      <c r="B844" s="643"/>
      <c r="C844" s="643"/>
      <c r="D844" s="643"/>
      <c r="E844" s="644"/>
      <c r="F844" s="644"/>
      <c r="G844" s="644"/>
      <c r="H844" s="644"/>
      <c r="I844" s="643"/>
      <c r="J844" s="472"/>
    </row>
    <row r="845" spans="1:10" x14ac:dyDescent="0.25">
      <c r="A845" s="583"/>
      <c r="B845" s="643"/>
      <c r="C845" s="643"/>
      <c r="D845" s="643"/>
      <c r="E845" s="644"/>
      <c r="F845" s="644"/>
      <c r="G845" s="644"/>
      <c r="H845" s="644"/>
      <c r="I845" s="643"/>
      <c r="J845" s="472"/>
    </row>
    <row r="846" spans="1:10" x14ac:dyDescent="0.25">
      <c r="A846" s="583"/>
      <c r="B846" s="643"/>
      <c r="C846" s="643"/>
      <c r="D846" s="643"/>
      <c r="E846" s="644"/>
      <c r="F846" s="644"/>
      <c r="G846" s="644"/>
      <c r="H846" s="644"/>
      <c r="I846" s="643"/>
      <c r="J846" s="472"/>
    </row>
    <row r="847" spans="1:10" x14ac:dyDescent="0.25">
      <c r="A847" s="583"/>
      <c r="B847" s="643"/>
      <c r="C847" s="643"/>
      <c r="D847" s="643"/>
      <c r="E847" s="644"/>
      <c r="F847" s="644"/>
      <c r="G847" s="644"/>
      <c r="H847" s="644"/>
      <c r="I847" s="643"/>
      <c r="J847" s="472"/>
    </row>
    <row r="848" spans="1:10" x14ac:dyDescent="0.25">
      <c r="A848" s="583"/>
      <c r="B848" s="643"/>
      <c r="C848" s="643"/>
      <c r="D848" s="643"/>
      <c r="E848" s="644"/>
      <c r="F848" s="644"/>
      <c r="G848" s="644"/>
      <c r="H848" s="644"/>
      <c r="I848" s="643"/>
      <c r="J848" s="472"/>
    </row>
    <row r="849" spans="1:10" x14ac:dyDescent="0.25">
      <c r="A849" s="583"/>
      <c r="B849" s="643"/>
      <c r="C849" s="643"/>
      <c r="D849" s="643"/>
      <c r="E849" s="644"/>
      <c r="F849" s="644"/>
      <c r="G849" s="644"/>
      <c r="H849" s="644"/>
      <c r="I849" s="643"/>
      <c r="J849" s="472"/>
    </row>
    <row r="850" spans="1:10" x14ac:dyDescent="0.25">
      <c r="A850" s="583"/>
      <c r="B850" s="643"/>
      <c r="C850" s="643"/>
      <c r="D850" s="643"/>
      <c r="E850" s="644"/>
      <c r="F850" s="644"/>
      <c r="G850" s="644"/>
      <c r="H850" s="644"/>
      <c r="I850" s="643"/>
      <c r="J850" s="472"/>
    </row>
    <row r="851" spans="1:10" x14ac:dyDescent="0.25">
      <c r="A851" s="583"/>
      <c r="B851" s="643"/>
      <c r="C851" s="643"/>
      <c r="D851" s="643"/>
      <c r="E851" s="644"/>
      <c r="F851" s="644"/>
      <c r="G851" s="644"/>
      <c r="H851" s="644"/>
      <c r="I851" s="643"/>
      <c r="J851" s="472"/>
    </row>
    <row r="852" spans="1:10" x14ac:dyDescent="0.25">
      <c r="A852" s="583"/>
      <c r="B852" s="643"/>
      <c r="C852" s="643"/>
      <c r="D852" s="643"/>
      <c r="E852" s="644"/>
      <c r="F852" s="644"/>
      <c r="G852" s="644"/>
      <c r="H852" s="644"/>
      <c r="I852" s="643"/>
      <c r="J852" s="472"/>
    </row>
    <row r="853" spans="1:10" x14ac:dyDescent="0.25">
      <c r="A853" s="583"/>
      <c r="B853" s="643"/>
      <c r="C853" s="643"/>
      <c r="D853" s="643"/>
      <c r="E853" s="644"/>
      <c r="F853" s="644"/>
      <c r="G853" s="644"/>
      <c r="H853" s="644"/>
      <c r="I853" s="643"/>
      <c r="J853" s="472"/>
    </row>
    <row r="854" spans="1:10" x14ac:dyDescent="0.25">
      <c r="A854" s="583"/>
      <c r="B854" s="643"/>
      <c r="C854" s="643"/>
      <c r="D854" s="643"/>
      <c r="E854" s="644"/>
      <c r="F854" s="644"/>
      <c r="G854" s="644"/>
      <c r="H854" s="644"/>
      <c r="I854" s="643"/>
      <c r="J854" s="472"/>
    </row>
    <row r="855" spans="1:10" x14ac:dyDescent="0.25">
      <c r="A855" s="583"/>
      <c r="B855" s="643"/>
      <c r="C855" s="643"/>
      <c r="D855" s="643"/>
      <c r="E855" s="644"/>
      <c r="F855" s="644"/>
      <c r="G855" s="644"/>
      <c r="H855" s="644"/>
      <c r="I855" s="643"/>
      <c r="J855" s="472"/>
    </row>
    <row r="856" spans="1:10" x14ac:dyDescent="0.25">
      <c r="A856" s="583"/>
      <c r="B856" s="643"/>
      <c r="C856" s="643"/>
      <c r="D856" s="643"/>
      <c r="E856" s="644"/>
      <c r="F856" s="644"/>
      <c r="G856" s="644"/>
      <c r="H856" s="644"/>
      <c r="I856" s="643"/>
      <c r="J856" s="472"/>
    </row>
    <row r="857" spans="1:10" x14ac:dyDescent="0.25">
      <c r="A857" s="583"/>
      <c r="B857" s="643"/>
      <c r="C857" s="643"/>
      <c r="D857" s="643"/>
      <c r="E857" s="644"/>
      <c r="F857" s="644"/>
      <c r="G857" s="644"/>
      <c r="H857" s="644"/>
      <c r="I857" s="643"/>
      <c r="J857" s="472"/>
    </row>
    <row r="858" spans="1:10" x14ac:dyDescent="0.25">
      <c r="A858" s="583"/>
      <c r="B858" s="643"/>
      <c r="C858" s="643"/>
      <c r="D858" s="643"/>
      <c r="E858" s="644"/>
      <c r="F858" s="644"/>
      <c r="G858" s="644"/>
      <c r="H858" s="644"/>
      <c r="I858" s="643"/>
      <c r="J858" s="472"/>
    </row>
    <row r="859" spans="1:10" x14ac:dyDescent="0.25">
      <c r="A859" s="583"/>
      <c r="B859" s="643"/>
      <c r="C859" s="643"/>
      <c r="D859" s="643"/>
      <c r="E859" s="644"/>
      <c r="F859" s="644"/>
      <c r="G859" s="644"/>
      <c r="H859" s="644"/>
      <c r="I859" s="643"/>
      <c r="J859" s="472"/>
    </row>
    <row r="860" spans="1:10" x14ac:dyDescent="0.25">
      <c r="A860" s="583"/>
      <c r="B860" s="643"/>
      <c r="C860" s="643"/>
      <c r="D860" s="643"/>
      <c r="E860" s="644"/>
      <c r="F860" s="644"/>
      <c r="G860" s="644"/>
      <c r="H860" s="644"/>
      <c r="I860" s="643"/>
      <c r="J860" s="472"/>
    </row>
    <row r="861" spans="1:10" x14ac:dyDescent="0.25">
      <c r="A861" s="583"/>
      <c r="B861" s="643"/>
      <c r="C861" s="643"/>
      <c r="D861" s="643"/>
      <c r="E861" s="644"/>
      <c r="F861" s="644"/>
      <c r="G861" s="644"/>
      <c r="H861" s="644"/>
      <c r="I861" s="643"/>
      <c r="J861" s="472"/>
    </row>
    <row r="862" spans="1:10" x14ac:dyDescent="0.25">
      <c r="A862" s="583"/>
      <c r="B862" s="643"/>
      <c r="C862" s="643"/>
      <c r="D862" s="643"/>
      <c r="E862" s="644"/>
      <c r="F862" s="644"/>
      <c r="G862" s="644"/>
      <c r="H862" s="644"/>
      <c r="I862" s="643"/>
      <c r="J862" s="472"/>
    </row>
    <row r="863" spans="1:10" x14ac:dyDescent="0.25">
      <c r="A863" s="583"/>
      <c r="B863" s="643"/>
      <c r="C863" s="643"/>
      <c r="D863" s="643"/>
      <c r="E863" s="644"/>
      <c r="F863" s="644"/>
      <c r="G863" s="644"/>
      <c r="H863" s="644"/>
      <c r="I863" s="643"/>
      <c r="J863" s="472"/>
    </row>
    <row r="864" spans="1:10" x14ac:dyDescent="0.25">
      <c r="A864" s="583"/>
      <c r="B864" s="643"/>
      <c r="C864" s="643"/>
      <c r="D864" s="643"/>
      <c r="E864" s="644"/>
      <c r="F864" s="644"/>
      <c r="G864" s="644"/>
      <c r="H864" s="644"/>
      <c r="I864" s="643"/>
      <c r="J864" s="472"/>
    </row>
    <row r="865" spans="1:10" x14ac:dyDescent="0.25">
      <c r="A865" s="583"/>
      <c r="B865" s="643"/>
      <c r="C865" s="643"/>
      <c r="D865" s="643"/>
      <c r="E865" s="644"/>
      <c r="F865" s="644"/>
      <c r="G865" s="644"/>
      <c r="H865" s="644"/>
      <c r="I865" s="643"/>
      <c r="J865" s="472"/>
    </row>
    <row r="866" spans="1:10" x14ac:dyDescent="0.25">
      <c r="A866" s="583"/>
      <c r="B866" s="643"/>
      <c r="C866" s="643"/>
      <c r="D866" s="643"/>
      <c r="E866" s="644"/>
      <c r="F866" s="644"/>
      <c r="G866" s="644"/>
      <c r="H866" s="644"/>
      <c r="I866" s="643"/>
      <c r="J866" s="472"/>
    </row>
    <row r="867" spans="1:10" x14ac:dyDescent="0.25">
      <c r="A867" s="583"/>
      <c r="B867" s="643"/>
      <c r="C867" s="643"/>
      <c r="D867" s="643"/>
      <c r="E867" s="644"/>
      <c r="F867" s="644"/>
      <c r="G867" s="644"/>
      <c r="H867" s="644"/>
      <c r="I867" s="643"/>
      <c r="J867" s="472"/>
    </row>
    <row r="868" spans="1:10" x14ac:dyDescent="0.25">
      <c r="A868" s="583"/>
      <c r="B868" s="643"/>
      <c r="C868" s="643"/>
      <c r="D868" s="643"/>
      <c r="E868" s="644"/>
      <c r="F868" s="644"/>
      <c r="G868" s="644"/>
      <c r="H868" s="644"/>
      <c r="I868" s="643"/>
      <c r="J868" s="472"/>
    </row>
    <row r="869" spans="1:10" x14ac:dyDescent="0.25">
      <c r="A869" s="583"/>
      <c r="B869" s="643"/>
      <c r="C869" s="643"/>
      <c r="D869" s="643"/>
      <c r="E869" s="644"/>
      <c r="F869" s="644"/>
      <c r="G869" s="644"/>
      <c r="H869" s="644"/>
      <c r="I869" s="643"/>
      <c r="J869" s="472"/>
    </row>
    <row r="870" spans="1:10" x14ac:dyDescent="0.25">
      <c r="A870" s="583"/>
      <c r="B870" s="643"/>
      <c r="C870" s="643"/>
      <c r="D870" s="643"/>
      <c r="E870" s="644"/>
      <c r="F870" s="644"/>
      <c r="G870" s="644"/>
      <c r="H870" s="644"/>
      <c r="I870" s="643"/>
      <c r="J870" s="472"/>
    </row>
    <row r="871" spans="1:10" x14ac:dyDescent="0.25">
      <c r="A871" s="583"/>
      <c r="B871" s="643"/>
      <c r="C871" s="643"/>
      <c r="D871" s="643"/>
      <c r="E871" s="644"/>
      <c r="F871" s="644"/>
      <c r="G871" s="644"/>
      <c r="H871" s="644"/>
      <c r="I871" s="643"/>
      <c r="J871" s="472"/>
    </row>
    <row r="872" spans="1:10" x14ac:dyDescent="0.25">
      <c r="A872" s="583"/>
      <c r="B872" s="643"/>
      <c r="C872" s="643"/>
      <c r="D872" s="643"/>
      <c r="E872" s="644"/>
      <c r="F872" s="644"/>
      <c r="G872" s="644"/>
      <c r="H872" s="644"/>
      <c r="I872" s="643"/>
      <c r="J872" s="472"/>
    </row>
    <row r="873" spans="1:10" x14ac:dyDescent="0.25">
      <c r="A873" s="583"/>
      <c r="B873" s="643"/>
      <c r="C873" s="643"/>
      <c r="D873" s="643"/>
      <c r="E873" s="644"/>
      <c r="F873" s="644"/>
      <c r="G873" s="644"/>
      <c r="H873" s="644"/>
      <c r="I873" s="643"/>
      <c r="J873" s="472"/>
    </row>
    <row r="874" spans="1:10" x14ac:dyDescent="0.25">
      <c r="A874" s="583"/>
      <c r="B874" s="643"/>
      <c r="C874" s="643"/>
      <c r="D874" s="643"/>
      <c r="E874" s="644"/>
      <c r="F874" s="644"/>
      <c r="G874" s="644"/>
      <c r="H874" s="644"/>
      <c r="I874" s="643"/>
      <c r="J874" s="472"/>
    </row>
    <row r="875" spans="1:10" x14ac:dyDescent="0.25">
      <c r="A875" s="583"/>
      <c r="B875" s="643"/>
      <c r="C875" s="643"/>
      <c r="D875" s="643"/>
      <c r="E875" s="644"/>
      <c r="F875" s="644"/>
      <c r="G875" s="644"/>
      <c r="H875" s="644"/>
      <c r="I875" s="643"/>
      <c r="J875" s="472"/>
    </row>
    <row r="876" spans="1:10" x14ac:dyDescent="0.25">
      <c r="A876" s="583"/>
      <c r="B876" s="643"/>
      <c r="C876" s="643"/>
      <c r="D876" s="643"/>
      <c r="E876" s="644"/>
      <c r="F876" s="644"/>
      <c r="G876" s="644"/>
      <c r="H876" s="644"/>
      <c r="I876" s="643"/>
      <c r="J876" s="472"/>
    </row>
    <row r="877" spans="1:10" x14ac:dyDescent="0.25">
      <c r="A877" s="583"/>
      <c r="B877" s="643"/>
      <c r="C877" s="643"/>
      <c r="D877" s="643"/>
      <c r="E877" s="644"/>
      <c r="F877" s="644"/>
      <c r="G877" s="644"/>
      <c r="H877" s="644"/>
      <c r="I877" s="643"/>
      <c r="J877" s="472"/>
    </row>
    <row r="878" spans="1:10" x14ac:dyDescent="0.25">
      <c r="A878" s="583"/>
      <c r="B878" s="643"/>
      <c r="C878" s="643"/>
      <c r="D878" s="643"/>
      <c r="E878" s="644"/>
      <c r="F878" s="644"/>
      <c r="G878" s="644"/>
      <c r="H878" s="644"/>
      <c r="I878" s="643"/>
      <c r="J878" s="472"/>
    </row>
    <row r="879" spans="1:10" x14ac:dyDescent="0.25">
      <c r="A879" s="583"/>
      <c r="B879" s="643"/>
      <c r="C879" s="643"/>
      <c r="D879" s="643"/>
      <c r="E879" s="644"/>
      <c r="F879" s="644"/>
      <c r="G879" s="644"/>
      <c r="H879" s="644"/>
      <c r="I879" s="643"/>
      <c r="J879" s="472"/>
    </row>
    <row r="880" spans="1:10" x14ac:dyDescent="0.25">
      <c r="A880" s="583"/>
      <c r="B880" s="643"/>
      <c r="C880" s="643"/>
      <c r="D880" s="643"/>
      <c r="E880" s="644"/>
      <c r="F880" s="644"/>
      <c r="G880" s="644"/>
      <c r="H880" s="644"/>
      <c r="I880" s="643"/>
      <c r="J880" s="472"/>
    </row>
    <row r="881" spans="1:10" x14ac:dyDescent="0.25">
      <c r="A881" s="583"/>
      <c r="B881" s="643"/>
      <c r="C881" s="643"/>
      <c r="D881" s="643"/>
      <c r="E881" s="644"/>
      <c r="F881" s="644"/>
      <c r="G881" s="644"/>
      <c r="H881" s="644"/>
      <c r="I881" s="643"/>
      <c r="J881" s="472"/>
    </row>
    <row r="882" spans="1:10" x14ac:dyDescent="0.25">
      <c r="A882" s="583"/>
      <c r="B882" s="643"/>
      <c r="C882" s="643"/>
      <c r="D882" s="643"/>
      <c r="E882" s="644"/>
      <c r="F882" s="644"/>
      <c r="G882" s="644"/>
      <c r="H882" s="644"/>
      <c r="I882" s="643"/>
      <c r="J882" s="472"/>
    </row>
    <row r="883" spans="1:10" x14ac:dyDescent="0.25">
      <c r="A883" s="583"/>
      <c r="B883" s="643"/>
      <c r="C883" s="643"/>
      <c r="D883" s="643"/>
      <c r="E883" s="644"/>
      <c r="F883" s="644"/>
      <c r="G883" s="644"/>
      <c r="H883" s="644"/>
      <c r="I883" s="643"/>
      <c r="J883" s="472"/>
    </row>
    <row r="884" spans="1:10" x14ac:dyDescent="0.25">
      <c r="A884" s="583"/>
      <c r="B884" s="643"/>
      <c r="C884" s="643"/>
      <c r="D884" s="643"/>
      <c r="E884" s="644"/>
      <c r="F884" s="644"/>
      <c r="G884" s="644"/>
      <c r="H884" s="644"/>
      <c r="I884" s="643"/>
      <c r="J884" s="472"/>
    </row>
    <row r="885" spans="1:10" x14ac:dyDescent="0.25">
      <c r="A885" s="583"/>
      <c r="B885" s="643"/>
      <c r="C885" s="643"/>
      <c r="D885" s="643"/>
      <c r="E885" s="644"/>
      <c r="F885" s="644"/>
      <c r="G885" s="644"/>
      <c r="H885" s="644"/>
      <c r="I885" s="643"/>
      <c r="J885" s="472"/>
    </row>
    <row r="886" spans="1:10" x14ac:dyDescent="0.25">
      <c r="A886" s="583"/>
      <c r="B886" s="643"/>
      <c r="C886" s="643"/>
      <c r="D886" s="643"/>
      <c r="E886" s="644"/>
      <c r="F886" s="644"/>
      <c r="G886" s="644"/>
      <c r="H886" s="644"/>
      <c r="I886" s="643"/>
      <c r="J886" s="472"/>
    </row>
    <row r="887" spans="1:10" x14ac:dyDescent="0.25">
      <c r="A887" s="583"/>
      <c r="B887" s="643"/>
      <c r="C887" s="643"/>
      <c r="D887" s="643"/>
      <c r="E887" s="644"/>
      <c r="F887" s="644"/>
      <c r="G887" s="644"/>
      <c r="H887" s="644"/>
      <c r="I887" s="643"/>
      <c r="J887" s="472"/>
    </row>
    <row r="888" spans="1:10" x14ac:dyDescent="0.25">
      <c r="A888" s="583"/>
      <c r="B888" s="643"/>
      <c r="C888" s="643"/>
      <c r="D888" s="643"/>
      <c r="E888" s="644"/>
      <c r="F888" s="644"/>
      <c r="G888" s="644"/>
      <c r="H888" s="644"/>
      <c r="I888" s="643"/>
      <c r="J888" s="472"/>
    </row>
    <row r="889" spans="1:10" x14ac:dyDescent="0.25">
      <c r="A889" s="583"/>
      <c r="B889" s="643"/>
      <c r="C889" s="643"/>
      <c r="D889" s="643"/>
      <c r="E889" s="644"/>
      <c r="F889" s="644"/>
      <c r="G889" s="644"/>
      <c r="H889" s="644"/>
      <c r="I889" s="643"/>
      <c r="J889" s="472"/>
    </row>
    <row r="890" spans="1:10" x14ac:dyDescent="0.25">
      <c r="A890" s="583"/>
      <c r="B890" s="643"/>
      <c r="C890" s="643"/>
      <c r="D890" s="643"/>
      <c r="E890" s="644"/>
      <c r="F890" s="644"/>
      <c r="G890" s="644"/>
      <c r="H890" s="644"/>
      <c r="I890" s="643"/>
      <c r="J890" s="472"/>
    </row>
    <row r="891" spans="1:10" x14ac:dyDescent="0.25">
      <c r="A891" s="583"/>
      <c r="B891" s="643"/>
      <c r="C891" s="643"/>
      <c r="D891" s="643"/>
      <c r="E891" s="644"/>
      <c r="F891" s="644"/>
      <c r="G891" s="644"/>
      <c r="H891" s="644"/>
      <c r="I891" s="643"/>
      <c r="J891" s="472"/>
    </row>
    <row r="892" spans="1:10" x14ac:dyDescent="0.25">
      <c r="A892" s="583"/>
      <c r="B892" s="643"/>
      <c r="C892" s="643"/>
      <c r="D892" s="643"/>
      <c r="E892" s="644"/>
      <c r="F892" s="644"/>
      <c r="G892" s="644"/>
      <c r="H892" s="644"/>
      <c r="I892" s="643"/>
      <c r="J892" s="472"/>
    </row>
    <row r="893" spans="1:10" x14ac:dyDescent="0.25">
      <c r="A893" s="583"/>
      <c r="B893" s="643"/>
      <c r="C893" s="643"/>
      <c r="D893" s="643"/>
      <c r="E893" s="644"/>
      <c r="F893" s="644"/>
      <c r="G893" s="644"/>
      <c r="H893" s="644"/>
      <c r="I893" s="643"/>
      <c r="J893" s="472"/>
    </row>
    <row r="894" spans="1:10" x14ac:dyDescent="0.25">
      <c r="A894" s="583"/>
      <c r="B894" s="643"/>
      <c r="C894" s="643"/>
      <c r="D894" s="643"/>
      <c r="E894" s="644"/>
      <c r="F894" s="644"/>
      <c r="G894" s="644"/>
      <c r="H894" s="644"/>
      <c r="I894" s="643"/>
      <c r="J894" s="472"/>
    </row>
    <row r="895" spans="1:10" x14ac:dyDescent="0.25">
      <c r="A895" s="583"/>
      <c r="B895" s="643"/>
      <c r="C895" s="643"/>
      <c r="D895" s="643"/>
      <c r="E895" s="644"/>
      <c r="F895" s="644"/>
      <c r="G895" s="644"/>
      <c r="H895" s="644"/>
      <c r="I895" s="643"/>
      <c r="J895" s="472"/>
    </row>
    <row r="896" spans="1:10" x14ac:dyDescent="0.25">
      <c r="A896" s="583"/>
      <c r="B896" s="643"/>
      <c r="C896" s="643"/>
      <c r="D896" s="643"/>
      <c r="E896" s="644"/>
      <c r="F896" s="644"/>
      <c r="G896" s="644"/>
      <c r="H896" s="644"/>
      <c r="I896" s="643"/>
      <c r="J896" s="472"/>
    </row>
    <row r="897" spans="1:10" x14ac:dyDescent="0.25">
      <c r="A897" s="583"/>
      <c r="B897" s="643"/>
      <c r="C897" s="643"/>
      <c r="D897" s="643"/>
      <c r="E897" s="644"/>
      <c r="F897" s="644"/>
      <c r="G897" s="644"/>
      <c r="H897" s="644"/>
      <c r="I897" s="643"/>
      <c r="J897" s="472"/>
    </row>
    <row r="898" spans="1:10" x14ac:dyDescent="0.25">
      <c r="A898" s="583"/>
      <c r="B898" s="643"/>
      <c r="C898" s="643"/>
      <c r="D898" s="643"/>
      <c r="E898" s="644"/>
      <c r="F898" s="644"/>
      <c r="G898" s="644"/>
      <c r="H898" s="644"/>
      <c r="I898" s="643"/>
      <c r="J898" s="472"/>
    </row>
    <row r="899" spans="1:10" x14ac:dyDescent="0.25">
      <c r="A899" s="583"/>
      <c r="B899" s="643"/>
      <c r="C899" s="643"/>
      <c r="D899" s="643"/>
      <c r="E899" s="644"/>
      <c r="F899" s="644"/>
      <c r="G899" s="644"/>
      <c r="H899" s="644"/>
      <c r="I899" s="643"/>
      <c r="J899" s="472"/>
    </row>
    <row r="900" spans="1:10" x14ac:dyDescent="0.25">
      <c r="A900" s="583"/>
      <c r="B900" s="643"/>
      <c r="C900" s="643"/>
      <c r="D900" s="643"/>
      <c r="E900" s="644"/>
      <c r="F900" s="644"/>
      <c r="G900" s="644"/>
      <c r="H900" s="644"/>
      <c r="I900" s="643"/>
      <c r="J900" s="472"/>
    </row>
    <row r="901" spans="1:10" x14ac:dyDescent="0.25">
      <c r="A901" s="583"/>
      <c r="B901" s="643"/>
      <c r="C901" s="643"/>
      <c r="D901" s="643"/>
      <c r="E901" s="644"/>
      <c r="F901" s="644"/>
      <c r="G901" s="644"/>
      <c r="H901" s="644"/>
      <c r="I901" s="643"/>
      <c r="J901" s="472"/>
    </row>
    <row r="902" spans="1:10" x14ac:dyDescent="0.25">
      <c r="A902" s="583"/>
      <c r="B902" s="643"/>
      <c r="C902" s="643"/>
      <c r="D902" s="643"/>
      <c r="E902" s="644"/>
      <c r="F902" s="644"/>
      <c r="G902" s="644"/>
      <c r="H902" s="644"/>
      <c r="I902" s="643"/>
      <c r="J902" s="472"/>
    </row>
    <row r="903" spans="1:10" x14ac:dyDescent="0.25">
      <c r="A903" s="583"/>
      <c r="B903" s="643"/>
      <c r="C903" s="643"/>
      <c r="D903" s="643"/>
      <c r="E903" s="644"/>
      <c r="F903" s="644"/>
      <c r="G903" s="644"/>
      <c r="H903" s="644"/>
      <c r="I903" s="643"/>
      <c r="J903" s="472"/>
    </row>
    <row r="904" spans="1:10" x14ac:dyDescent="0.25">
      <c r="A904" s="583"/>
      <c r="B904" s="643"/>
      <c r="C904" s="643"/>
      <c r="D904" s="643"/>
      <c r="E904" s="644"/>
      <c r="F904" s="644"/>
      <c r="G904" s="644"/>
      <c r="H904" s="644"/>
      <c r="I904" s="643"/>
      <c r="J904" s="472"/>
    </row>
    <row r="905" spans="1:10" x14ac:dyDescent="0.25">
      <c r="A905" s="583"/>
      <c r="B905" s="643"/>
      <c r="C905" s="643"/>
      <c r="D905" s="643"/>
      <c r="E905" s="644"/>
      <c r="F905" s="644"/>
      <c r="G905" s="644"/>
      <c r="H905" s="644"/>
      <c r="I905" s="643"/>
      <c r="J905" s="472"/>
    </row>
    <row r="906" spans="1:10" x14ac:dyDescent="0.25">
      <c r="A906" s="583"/>
      <c r="B906" s="643"/>
      <c r="C906" s="643"/>
      <c r="D906" s="643"/>
      <c r="E906" s="644"/>
      <c r="F906" s="644"/>
      <c r="G906" s="644"/>
      <c r="H906" s="644"/>
      <c r="I906" s="643"/>
      <c r="J906" s="472"/>
    </row>
    <row r="907" spans="1:10" x14ac:dyDescent="0.25">
      <c r="A907" s="583"/>
      <c r="B907" s="643"/>
      <c r="C907" s="643"/>
      <c r="D907" s="643"/>
      <c r="E907" s="644"/>
      <c r="F907" s="644"/>
      <c r="G907" s="644"/>
      <c r="H907" s="644"/>
      <c r="I907" s="643"/>
      <c r="J907" s="472"/>
    </row>
    <row r="908" spans="1:10" x14ac:dyDescent="0.25">
      <c r="A908" s="583"/>
      <c r="B908" s="643"/>
      <c r="C908" s="643"/>
      <c r="D908" s="643"/>
      <c r="E908" s="644"/>
      <c r="F908" s="644"/>
      <c r="G908" s="644"/>
      <c r="H908" s="644"/>
      <c r="I908" s="643"/>
      <c r="J908" s="472"/>
    </row>
    <row r="909" spans="1:10" x14ac:dyDescent="0.25">
      <c r="A909" s="583"/>
      <c r="B909" s="643"/>
      <c r="C909" s="643"/>
      <c r="D909" s="643"/>
      <c r="E909" s="644"/>
      <c r="F909" s="644"/>
      <c r="G909" s="644"/>
      <c r="H909" s="644"/>
      <c r="I909" s="643"/>
      <c r="J909" s="472"/>
    </row>
    <row r="910" spans="1:10" x14ac:dyDescent="0.25">
      <c r="A910" s="583"/>
      <c r="B910" s="643"/>
      <c r="C910" s="643"/>
      <c r="D910" s="643"/>
      <c r="E910" s="644"/>
      <c r="F910" s="644"/>
      <c r="G910" s="644"/>
      <c r="H910" s="644"/>
      <c r="I910" s="643"/>
      <c r="J910" s="472"/>
    </row>
    <row r="911" spans="1:10" x14ac:dyDescent="0.25">
      <c r="A911" s="583"/>
      <c r="B911" s="643"/>
      <c r="C911" s="643"/>
      <c r="D911" s="643"/>
      <c r="E911" s="644"/>
      <c r="F911" s="644"/>
      <c r="G911" s="644"/>
      <c r="H911" s="644"/>
      <c r="I911" s="643"/>
      <c r="J911" s="472"/>
    </row>
    <row r="912" spans="1:10" x14ac:dyDescent="0.25">
      <c r="A912" s="583"/>
      <c r="B912" s="643"/>
      <c r="C912" s="643"/>
      <c r="D912" s="643"/>
      <c r="E912" s="644"/>
      <c r="F912" s="644"/>
      <c r="G912" s="644"/>
      <c r="H912" s="644"/>
      <c r="I912" s="643"/>
      <c r="J912" s="472"/>
    </row>
    <row r="913" spans="1:10" x14ac:dyDescent="0.25">
      <c r="A913" s="583"/>
      <c r="B913" s="643"/>
      <c r="C913" s="643"/>
      <c r="D913" s="643"/>
      <c r="E913" s="644"/>
      <c r="F913" s="644"/>
      <c r="G913" s="644"/>
      <c r="H913" s="644"/>
      <c r="I913" s="643"/>
      <c r="J913" s="472"/>
    </row>
    <row r="914" spans="1:10" x14ac:dyDescent="0.25">
      <c r="A914" s="583"/>
      <c r="B914" s="643"/>
      <c r="C914" s="643"/>
      <c r="D914" s="643"/>
      <c r="E914" s="644"/>
      <c r="F914" s="644"/>
      <c r="G914" s="644"/>
      <c r="H914" s="644"/>
      <c r="I914" s="643"/>
      <c r="J914" s="472"/>
    </row>
    <row r="915" spans="1:10" x14ac:dyDescent="0.25">
      <c r="A915" s="583"/>
      <c r="B915" s="643"/>
      <c r="C915" s="643"/>
      <c r="D915" s="643"/>
      <c r="E915" s="644"/>
      <c r="F915" s="644"/>
      <c r="G915" s="644"/>
      <c r="H915" s="644"/>
      <c r="I915" s="643"/>
      <c r="J915" s="472"/>
    </row>
    <row r="916" spans="1:10" x14ac:dyDescent="0.25">
      <c r="A916" s="583"/>
      <c r="B916" s="643"/>
      <c r="C916" s="643"/>
      <c r="D916" s="643"/>
      <c r="E916" s="644"/>
      <c r="F916" s="644"/>
      <c r="G916" s="644"/>
      <c r="H916" s="644"/>
      <c r="I916" s="643"/>
      <c r="J916" s="472"/>
    </row>
    <row r="917" spans="1:10" x14ac:dyDescent="0.25">
      <c r="A917" s="583"/>
      <c r="B917" s="643"/>
      <c r="C917" s="643"/>
      <c r="D917" s="643"/>
      <c r="E917" s="644"/>
      <c r="F917" s="644"/>
      <c r="G917" s="644"/>
      <c r="H917" s="644"/>
      <c r="I917" s="643"/>
      <c r="J917" s="472"/>
    </row>
    <row r="918" spans="1:10" x14ac:dyDescent="0.25">
      <c r="A918" s="583"/>
      <c r="B918" s="643"/>
      <c r="C918" s="643"/>
      <c r="D918" s="643"/>
      <c r="E918" s="644"/>
      <c r="F918" s="644"/>
      <c r="G918" s="644"/>
      <c r="H918" s="644"/>
      <c r="I918" s="643"/>
      <c r="J918" s="472"/>
    </row>
    <row r="919" spans="1:10" x14ac:dyDescent="0.25">
      <c r="A919" s="583"/>
      <c r="B919" s="643"/>
      <c r="C919" s="643"/>
      <c r="D919" s="643"/>
      <c r="E919" s="644"/>
      <c r="F919" s="644"/>
      <c r="G919" s="644"/>
      <c r="H919" s="644"/>
      <c r="I919" s="643"/>
      <c r="J919" s="472"/>
    </row>
    <row r="920" spans="1:10" x14ac:dyDescent="0.25">
      <c r="A920" s="583"/>
      <c r="B920" s="643"/>
      <c r="C920" s="643"/>
      <c r="D920" s="643"/>
      <c r="E920" s="644"/>
      <c r="F920" s="644"/>
      <c r="G920" s="644"/>
      <c r="H920" s="644"/>
      <c r="I920" s="643"/>
      <c r="J920" s="472"/>
    </row>
    <row r="921" spans="1:10" x14ac:dyDescent="0.25">
      <c r="A921" s="583"/>
      <c r="B921" s="643"/>
      <c r="C921" s="643"/>
      <c r="D921" s="643"/>
      <c r="E921" s="644"/>
      <c r="F921" s="644"/>
      <c r="G921" s="644"/>
      <c r="H921" s="644"/>
      <c r="I921" s="643"/>
      <c r="J921" s="472"/>
    </row>
    <row r="922" spans="1:10" x14ac:dyDescent="0.25">
      <c r="A922" s="583"/>
      <c r="B922" s="643"/>
      <c r="C922" s="643"/>
      <c r="D922" s="643"/>
      <c r="E922" s="644"/>
      <c r="F922" s="644"/>
      <c r="G922" s="644"/>
      <c r="H922" s="644"/>
      <c r="I922" s="643"/>
      <c r="J922" s="472"/>
    </row>
    <row r="923" spans="1:10" x14ac:dyDescent="0.25">
      <c r="A923" s="583"/>
      <c r="B923" s="643"/>
      <c r="C923" s="643"/>
      <c r="D923" s="643"/>
      <c r="E923" s="644"/>
      <c r="F923" s="644"/>
      <c r="G923" s="644"/>
      <c r="H923" s="644"/>
      <c r="I923" s="643"/>
      <c r="J923" s="472"/>
    </row>
    <row r="924" spans="1:10" x14ac:dyDescent="0.25">
      <c r="A924" s="583"/>
      <c r="B924" s="643"/>
      <c r="C924" s="643"/>
      <c r="D924" s="643"/>
      <c r="E924" s="644"/>
      <c r="F924" s="644"/>
      <c r="G924" s="644"/>
      <c r="H924" s="644"/>
      <c r="I924" s="643"/>
      <c r="J924" s="472"/>
    </row>
    <row r="925" spans="1:10" x14ac:dyDescent="0.25">
      <c r="A925" s="583"/>
      <c r="B925" s="643"/>
      <c r="C925" s="643"/>
      <c r="D925" s="643"/>
      <c r="E925" s="644"/>
      <c r="F925" s="644"/>
      <c r="G925" s="644"/>
      <c r="H925" s="644"/>
      <c r="I925" s="643"/>
      <c r="J925" s="472"/>
    </row>
    <row r="926" spans="1:10" x14ac:dyDescent="0.25">
      <c r="A926" s="583"/>
      <c r="B926" s="643"/>
      <c r="C926" s="643"/>
      <c r="D926" s="643"/>
      <c r="E926" s="644"/>
      <c r="F926" s="644"/>
      <c r="G926" s="644"/>
      <c r="H926" s="644"/>
      <c r="I926" s="643"/>
      <c r="J926" s="472"/>
    </row>
    <row r="927" spans="1:10" x14ac:dyDescent="0.25">
      <c r="A927" s="583"/>
      <c r="B927" s="643"/>
      <c r="C927" s="643"/>
      <c r="D927" s="643"/>
      <c r="E927" s="644"/>
      <c r="F927" s="644"/>
      <c r="G927" s="644"/>
      <c r="H927" s="644"/>
      <c r="I927" s="643"/>
      <c r="J927" s="472"/>
    </row>
    <row r="928" spans="1:10" x14ac:dyDescent="0.25">
      <c r="A928" s="583"/>
      <c r="B928" s="643"/>
      <c r="C928" s="643"/>
      <c r="D928" s="643"/>
      <c r="E928" s="644"/>
      <c r="F928" s="644"/>
      <c r="G928" s="644"/>
      <c r="H928" s="644"/>
      <c r="I928" s="643"/>
      <c r="J928" s="472"/>
    </row>
    <row r="929" spans="1:10" x14ac:dyDescent="0.25">
      <c r="A929" s="583"/>
      <c r="B929" s="643"/>
      <c r="C929" s="643"/>
      <c r="D929" s="643"/>
      <c r="E929" s="644"/>
      <c r="F929" s="644"/>
      <c r="G929" s="644"/>
      <c r="H929" s="644"/>
      <c r="I929" s="643"/>
      <c r="J929" s="472"/>
    </row>
    <row r="930" spans="1:10" x14ac:dyDescent="0.25">
      <c r="A930" s="583"/>
      <c r="B930" s="643"/>
      <c r="C930" s="643"/>
      <c r="D930" s="643"/>
      <c r="E930" s="644"/>
      <c r="F930" s="644"/>
      <c r="G930" s="644"/>
      <c r="H930" s="644"/>
      <c r="I930" s="643"/>
      <c r="J930" s="472"/>
    </row>
    <row r="931" spans="1:10" x14ac:dyDescent="0.25">
      <c r="A931" s="583"/>
      <c r="B931" s="643"/>
      <c r="C931" s="643"/>
      <c r="D931" s="643"/>
      <c r="E931" s="644"/>
      <c r="F931" s="644"/>
      <c r="G931" s="644"/>
      <c r="H931" s="644"/>
      <c r="I931" s="643"/>
      <c r="J931" s="472"/>
    </row>
    <row r="932" spans="1:10" x14ac:dyDescent="0.25">
      <c r="A932" s="583"/>
      <c r="B932" s="643"/>
      <c r="C932" s="643"/>
      <c r="D932" s="643"/>
      <c r="E932" s="644"/>
      <c r="F932" s="644"/>
      <c r="G932" s="644"/>
      <c r="H932" s="644"/>
      <c r="I932" s="643"/>
      <c r="J932" s="472"/>
    </row>
    <row r="933" spans="1:10" x14ac:dyDescent="0.25">
      <c r="A933" s="583"/>
      <c r="B933" s="643"/>
      <c r="C933" s="643"/>
      <c r="D933" s="643"/>
      <c r="E933" s="644"/>
      <c r="F933" s="644"/>
      <c r="G933" s="644"/>
      <c r="H933" s="644"/>
      <c r="I933" s="643"/>
      <c r="J933" s="472"/>
    </row>
    <row r="934" spans="1:10" x14ac:dyDescent="0.25">
      <c r="A934" s="583"/>
      <c r="B934" s="643"/>
      <c r="C934" s="643"/>
      <c r="D934" s="643"/>
      <c r="E934" s="644"/>
      <c r="F934" s="644"/>
      <c r="G934" s="644"/>
      <c r="H934" s="644"/>
      <c r="I934" s="643"/>
      <c r="J934" s="472"/>
    </row>
    <row r="935" spans="1:10" x14ac:dyDescent="0.25">
      <c r="A935" s="583"/>
      <c r="B935" s="643"/>
      <c r="C935" s="643"/>
      <c r="D935" s="643"/>
      <c r="E935" s="644"/>
      <c r="F935" s="644"/>
      <c r="G935" s="644"/>
      <c r="H935" s="644"/>
      <c r="I935" s="643"/>
      <c r="J935" s="472"/>
    </row>
    <row r="936" spans="1:10" x14ac:dyDescent="0.25">
      <c r="A936" s="583"/>
      <c r="B936" s="643"/>
      <c r="C936" s="643"/>
      <c r="D936" s="643"/>
      <c r="E936" s="644"/>
      <c r="F936" s="644"/>
      <c r="G936" s="644"/>
      <c r="H936" s="644"/>
      <c r="I936" s="643"/>
      <c r="J936" s="472"/>
    </row>
    <row r="937" spans="1:10" x14ac:dyDescent="0.25">
      <c r="A937" s="583"/>
      <c r="B937" s="643"/>
      <c r="C937" s="643"/>
      <c r="D937" s="643"/>
      <c r="E937" s="644"/>
      <c r="F937" s="644"/>
      <c r="G937" s="644"/>
      <c r="H937" s="644"/>
      <c r="I937" s="643"/>
      <c r="J937" s="472"/>
    </row>
    <row r="938" spans="1:10" x14ac:dyDescent="0.25">
      <c r="A938" s="583"/>
      <c r="B938" s="643"/>
      <c r="C938" s="643"/>
      <c r="D938" s="643"/>
      <c r="E938" s="644"/>
      <c r="F938" s="644"/>
      <c r="G938" s="644"/>
      <c r="H938" s="644"/>
      <c r="I938" s="643"/>
      <c r="J938" s="472"/>
    </row>
    <row r="939" spans="1:10" x14ac:dyDescent="0.25">
      <c r="A939" s="583"/>
      <c r="B939" s="643"/>
      <c r="C939" s="643"/>
      <c r="D939" s="643"/>
      <c r="E939" s="644"/>
      <c r="F939" s="644"/>
      <c r="G939" s="644"/>
      <c r="H939" s="644"/>
      <c r="I939" s="643"/>
      <c r="J939" s="472"/>
    </row>
  </sheetData>
  <autoFilter ref="A7:I189" xr:uid="{00000000-0009-0000-0000-00000C000000}"/>
  <mergeCells count="23">
    <mergeCell ref="I162:I166"/>
    <mergeCell ref="I170:I174"/>
    <mergeCell ref="I178:I182"/>
    <mergeCell ref="I118:I122"/>
    <mergeCell ref="I127:I131"/>
    <mergeCell ref="I135:I139"/>
    <mergeCell ref="I144:I148"/>
    <mergeCell ref="I153:I157"/>
    <mergeCell ref="I58:I62"/>
    <mergeCell ref="I66:I70"/>
    <mergeCell ref="I83:I87"/>
    <mergeCell ref="I92:I96"/>
    <mergeCell ref="I109:I113"/>
    <mergeCell ref="I17:I21"/>
    <mergeCell ref="I26:I30"/>
    <mergeCell ref="I34:I38"/>
    <mergeCell ref="I42:I46"/>
    <mergeCell ref="I50:I54"/>
    <mergeCell ref="C1:F1"/>
    <mergeCell ref="C2:F2"/>
    <mergeCell ref="C3:F3"/>
    <mergeCell ref="B6:I6"/>
    <mergeCell ref="I8:I12"/>
  </mergeCells>
  <hyperlinks>
    <hyperlink ref="G12" r:id="rId1" xr:uid="{00000000-0004-0000-0C00-000000000000}"/>
    <hyperlink ref="H12" r:id="rId2" xr:uid="{00000000-0004-0000-0C00-000001000000}"/>
    <hyperlink ref="F38" r:id="rId3" xr:uid="{00000000-0004-0000-0C00-000002000000}"/>
    <hyperlink ref="E46" r:id="rId4" xr:uid="{00000000-0004-0000-0C00-000003000000}"/>
    <hyperlink ref="F46" r:id="rId5" xr:uid="{00000000-0004-0000-0C00-000004000000}"/>
    <hyperlink ref="G46" r:id="rId6" xr:uid="{00000000-0004-0000-0C00-000005000000}"/>
    <hyperlink ref="F54" r:id="rId7" xr:uid="{00000000-0004-0000-0C00-000006000000}"/>
    <hyperlink ref="E62" r:id="rId8" display="https://www.lojadomecanico.com.br/produto/145043/43/456/pistola-de-ar-comprimido-para-limpeza-14-pol-bico-curto-stels-5733055/153/?utm_source=google&amp;utm_medium=cpc&amp;utm_campaign=MONKS_GG_F_PMAX_Ferramentas_Pneumaticas&amp;utm_content=Compressor_Pneumaticas&amp;utm_source=google&amp;utm_medium=cpc&amp;utm_campaign=MONKS_GG_F_PMAX_Ferramentas_Pneumaticas&amp;utm_content=Compressor_Pneumaticas&amp;gad_source=1&amp;gad_campaignid=22108856088&amp;gbraid=0AAAAADsnw5aTGQ_BsyNqzDnqq0ok9ahmk&amp;gclid=CjwKCAjw04HIBhB8EiwA8jGNbSIbxQcFgDrFsxDdTMyERpGUOgsiz3xItFv02VDNEud2of0_6NEIehoCIgoQAvD_BwE" xr:uid="{00000000-0004-0000-0C00-000007000000}"/>
    <hyperlink ref="F62" r:id="rId9" xr:uid="{00000000-0004-0000-0C00-000008000000}"/>
    <hyperlink ref="G62" r:id="rId10" display="https://www.daazrolamentos.com/pistola-pulverizadora-14-garden-36055?parceiro=7201&amp;utm_source=&amp;utm_medium=&amp;utm_campaign=&amp;utm_content=&amp;utm_term=&amp;gad_source=1&amp;gad_campaignid=22588863088&amp;gbraid=0AAAAAofPffh_WzMzxQo-eUuz7LPfu7tu0&amp;gclid=CjwKCAjw04HIBhB8EiwA8jGNbVTy8NfoKxQBYVmIXFieSIxZIRsbZMJRThHtpDI2ZqCS-JYXURxGfhoC8cUQAvD_BwE" xr:uid="{00000000-0004-0000-0C00-000009000000}"/>
    <hyperlink ref="E87" r:id="rId11" xr:uid="{00000000-0004-0000-0C00-00000A000000}"/>
    <hyperlink ref="F113" r:id="rId12" xr:uid="{00000000-0004-0000-0C00-00000B000000}"/>
    <hyperlink ref="H122" r:id="rId13" xr:uid="{00000000-0004-0000-0C00-00000C000000}"/>
    <hyperlink ref="E139" r:id="rId14" xr:uid="{00000000-0004-0000-0C00-00000D000000}"/>
    <hyperlink ref="G139" r:id="rId15" xr:uid="{00000000-0004-0000-0C00-00000E000000}"/>
    <hyperlink ref="E148" r:id="rId16" xr:uid="{00000000-0004-0000-0C00-00000F000000}"/>
    <hyperlink ref="G148" r:id="rId17" xr:uid="{00000000-0004-0000-0C00-000010000000}"/>
  </hyperlinks>
  <printOptions horizontalCentered="1"/>
  <pageMargins left="1.1812499999999999" right="0.78749999999999998" top="0.39374999999999999" bottom="0.39374999999999999" header="0" footer="0.511811023622047"/>
  <pageSetup paperSize="9" scale="40" orientation="portrait" horizontalDpi="300" verticalDpi="300" r:id="rId18"/>
  <headerFooter>
    <oddHeader>&amp;RPágina &amp;P de</oddHeader>
  </headerFooter>
  <drawing r:id="rId19"/>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filterMode="1">
    <tabColor rgb="FFFF0000"/>
  </sheetPr>
  <dimension ref="B1:I1000"/>
  <sheetViews>
    <sheetView view="pageBreakPreview" zoomScale="62" zoomScaleNormal="100" zoomScalePageLayoutView="62" workbookViewId="0"/>
  </sheetViews>
  <sheetFormatPr defaultColWidth="14.42578125" defaultRowHeight="15" x14ac:dyDescent="0.25"/>
  <cols>
    <col min="1" max="1" width="8.7109375" customWidth="1"/>
    <col min="2" max="2" width="22.28515625" customWidth="1"/>
    <col min="3" max="3" width="25.42578125" customWidth="1"/>
    <col min="4" max="4" width="19.7109375" customWidth="1"/>
    <col min="5" max="5" width="75.28515625" customWidth="1"/>
    <col min="6" max="6" width="12.140625" customWidth="1"/>
    <col min="7" max="7" width="12.85546875" customWidth="1"/>
    <col min="8" max="8" width="15.7109375" customWidth="1"/>
    <col min="9" max="9" width="12.140625" customWidth="1"/>
    <col min="10" max="26" width="8.7109375" customWidth="1"/>
  </cols>
  <sheetData>
    <row r="1" spans="2:9" x14ac:dyDescent="0.25">
      <c r="B1" s="189"/>
      <c r="C1" s="645"/>
      <c r="D1" s="646"/>
      <c r="E1" s="647"/>
      <c r="F1" s="646"/>
      <c r="G1" s="648"/>
      <c r="H1" s="648"/>
      <c r="I1" s="649"/>
    </row>
    <row r="2" spans="2:9" x14ac:dyDescent="0.25">
      <c r="B2" s="189"/>
      <c r="C2" s="650"/>
      <c r="D2" s="367"/>
      <c r="E2" s="651"/>
      <c r="F2" s="367"/>
      <c r="G2" s="652"/>
      <c r="H2" s="652"/>
      <c r="I2" s="653"/>
    </row>
    <row r="3" spans="2:9" x14ac:dyDescent="0.25">
      <c r="B3" s="189"/>
      <c r="C3" s="650"/>
      <c r="D3" s="367"/>
      <c r="E3" s="651"/>
      <c r="F3" s="367"/>
      <c r="G3" s="652"/>
      <c r="H3" s="652"/>
      <c r="I3" s="653"/>
    </row>
    <row r="4" spans="2:9" x14ac:dyDescent="0.25">
      <c r="B4" s="189"/>
      <c r="C4" s="650"/>
      <c r="D4" s="367"/>
      <c r="E4" s="651"/>
      <c r="F4" s="367"/>
      <c r="G4" s="652"/>
      <c r="H4" s="652"/>
      <c r="I4" s="653"/>
    </row>
    <row r="5" spans="2:9" x14ac:dyDescent="0.25">
      <c r="B5" s="189"/>
      <c r="C5" s="650"/>
      <c r="D5" s="367"/>
      <c r="E5" s="651"/>
      <c r="F5" s="367"/>
      <c r="G5" s="652"/>
      <c r="H5" s="652"/>
      <c r="I5" s="653"/>
    </row>
    <row r="6" spans="2:9" x14ac:dyDescent="0.25">
      <c r="B6" s="189"/>
      <c r="C6" s="650"/>
      <c r="D6" s="367"/>
      <c r="E6" s="651"/>
      <c r="F6" s="367"/>
      <c r="G6" s="652"/>
      <c r="H6" s="652"/>
      <c r="I6" s="653"/>
    </row>
    <row r="7" spans="2:9" x14ac:dyDescent="0.25">
      <c r="B7" s="189"/>
      <c r="C7" s="650"/>
      <c r="D7" s="367"/>
      <c r="E7" s="651"/>
      <c r="F7" s="367"/>
      <c r="G7" s="652"/>
      <c r="H7" s="652"/>
      <c r="I7" s="653"/>
    </row>
    <row r="8" spans="2:9" x14ac:dyDescent="0.25">
      <c r="B8" s="189"/>
      <c r="C8" s="650"/>
      <c r="D8" s="367"/>
      <c r="E8" s="651"/>
      <c r="F8" s="367"/>
      <c r="G8" s="652"/>
      <c r="H8" s="652"/>
      <c r="I8" s="653"/>
    </row>
    <row r="9" spans="2:9" x14ac:dyDescent="0.25">
      <c r="B9" s="189"/>
      <c r="C9" s="650"/>
      <c r="D9" s="367"/>
      <c r="E9" s="651"/>
      <c r="F9" s="367"/>
      <c r="G9" s="652"/>
      <c r="H9" s="652"/>
      <c r="I9" s="653"/>
    </row>
    <row r="10" spans="2:9" x14ac:dyDescent="0.25">
      <c r="B10" s="189"/>
      <c r="C10" s="650"/>
      <c r="D10" s="367"/>
      <c r="E10" s="651"/>
      <c r="F10" s="367"/>
      <c r="G10" s="652"/>
      <c r="H10" s="652"/>
      <c r="I10" s="653"/>
    </row>
    <row r="11" spans="2:9" x14ac:dyDescent="0.25">
      <c r="B11" s="189"/>
      <c r="C11" s="650"/>
      <c r="D11" s="367"/>
      <c r="E11" s="651"/>
      <c r="F11" s="367"/>
      <c r="G11" s="652"/>
      <c r="H11" s="652"/>
      <c r="I11" s="653"/>
    </row>
    <row r="12" spans="2:9" x14ac:dyDescent="0.25">
      <c r="B12" s="189"/>
      <c r="C12" s="650"/>
      <c r="D12" s="367"/>
      <c r="E12" s="651"/>
      <c r="F12" s="367"/>
      <c r="G12" s="652"/>
      <c r="H12" s="652"/>
      <c r="I12" s="653"/>
    </row>
    <row r="13" spans="2:9" x14ac:dyDescent="0.25">
      <c r="B13" s="189"/>
      <c r="C13" s="650"/>
      <c r="D13" s="367"/>
      <c r="E13" s="651"/>
      <c r="F13" s="367"/>
      <c r="G13" s="652"/>
      <c r="H13" s="652"/>
      <c r="I13" s="653"/>
    </row>
    <row r="14" spans="2:9" x14ac:dyDescent="0.25">
      <c r="B14" s="189"/>
      <c r="C14" s="650"/>
      <c r="D14" s="367"/>
      <c r="E14" s="651"/>
      <c r="F14" s="367"/>
      <c r="G14" s="652"/>
      <c r="H14" s="652"/>
      <c r="I14" s="653"/>
    </row>
    <row r="15" spans="2:9" x14ac:dyDescent="0.25">
      <c r="B15" s="189"/>
      <c r="C15" s="650"/>
      <c r="D15" s="367"/>
      <c r="E15" s="651"/>
      <c r="F15" s="367"/>
      <c r="G15" s="652"/>
      <c r="H15" s="652"/>
      <c r="I15" s="653"/>
    </row>
    <row r="16" spans="2:9" x14ac:dyDescent="0.25">
      <c r="B16" s="189"/>
      <c r="C16" s="650"/>
      <c r="D16" s="367"/>
      <c r="E16" s="651"/>
      <c r="F16" s="367"/>
      <c r="G16" s="652"/>
      <c r="H16" s="652"/>
      <c r="I16" s="653"/>
    </row>
    <row r="17" spans="2:9" x14ac:dyDescent="0.25">
      <c r="B17" s="189"/>
      <c r="C17" s="650"/>
      <c r="D17" s="367"/>
      <c r="E17" s="651"/>
      <c r="F17" s="367"/>
      <c r="G17" s="652"/>
      <c r="H17" s="652"/>
      <c r="I17" s="653"/>
    </row>
    <row r="18" spans="2:9" x14ac:dyDescent="0.25">
      <c r="B18" s="189"/>
      <c r="C18" s="650"/>
      <c r="D18" s="367"/>
      <c r="E18" s="651"/>
      <c r="F18" s="367"/>
      <c r="G18" s="652"/>
      <c r="H18" s="652"/>
      <c r="I18" s="653"/>
    </row>
    <row r="19" spans="2:9" x14ac:dyDescent="0.25">
      <c r="B19" s="189"/>
      <c r="C19" s="650"/>
      <c r="D19" s="367"/>
      <c r="E19" s="651"/>
      <c r="F19" s="367"/>
      <c r="G19" s="652"/>
      <c r="H19" s="652"/>
      <c r="I19" s="653"/>
    </row>
    <row r="20" spans="2:9" x14ac:dyDescent="0.25">
      <c r="B20" s="189"/>
      <c r="C20" s="650"/>
      <c r="D20" s="367"/>
      <c r="E20" s="651"/>
      <c r="F20" s="367"/>
      <c r="G20" s="652"/>
      <c r="H20" s="652"/>
      <c r="I20" s="653"/>
    </row>
    <row r="21" spans="2:9" ht="15.75" customHeight="1" x14ac:dyDescent="0.25">
      <c r="B21" s="189"/>
      <c r="C21" s="650"/>
      <c r="D21" s="367"/>
      <c r="E21" s="651"/>
      <c r="F21" s="367"/>
      <c r="G21" s="652"/>
      <c r="H21" s="652"/>
      <c r="I21" s="653"/>
    </row>
    <row r="22" spans="2:9" ht="15.75" customHeight="1" x14ac:dyDescent="0.25">
      <c r="B22" s="189"/>
      <c r="C22" s="650"/>
      <c r="D22" s="367"/>
      <c r="E22" s="651"/>
      <c r="F22" s="367"/>
      <c r="G22" s="652"/>
      <c r="H22" s="652"/>
      <c r="I22" s="653"/>
    </row>
    <row r="23" spans="2:9" ht="15.75" customHeight="1" x14ac:dyDescent="0.25">
      <c r="B23" s="189"/>
      <c r="C23" s="650"/>
      <c r="D23" s="367"/>
      <c r="E23" s="651"/>
      <c r="F23" s="367"/>
      <c r="G23" s="652"/>
      <c r="H23" s="652"/>
      <c r="I23" s="653"/>
    </row>
    <row r="24" spans="2:9" ht="15.75" customHeight="1" x14ac:dyDescent="0.25">
      <c r="B24" s="189"/>
      <c r="C24" s="650"/>
      <c r="D24" s="367"/>
      <c r="E24" s="651"/>
      <c r="F24" s="367"/>
      <c r="G24" s="652"/>
      <c r="H24" s="652"/>
      <c r="I24" s="653"/>
    </row>
    <row r="25" spans="2:9" ht="15.75" customHeight="1" x14ac:dyDescent="0.25">
      <c r="B25" s="189"/>
      <c r="C25" s="650"/>
      <c r="D25" s="367"/>
      <c r="E25" s="651"/>
      <c r="F25" s="367"/>
      <c r="G25" s="652"/>
      <c r="H25" s="652"/>
      <c r="I25" s="653"/>
    </row>
    <row r="26" spans="2:9" ht="15.75" customHeight="1" x14ac:dyDescent="0.25">
      <c r="B26" s="189"/>
      <c r="C26" s="650"/>
      <c r="D26" s="367"/>
      <c r="E26" s="651"/>
      <c r="F26" s="367"/>
      <c r="G26" s="652"/>
      <c r="H26" s="652"/>
      <c r="I26" s="653"/>
    </row>
    <row r="27" spans="2:9" ht="15.75" customHeight="1" x14ac:dyDescent="0.25">
      <c r="B27" s="189"/>
      <c r="C27" s="654"/>
      <c r="D27" s="655"/>
      <c r="E27" s="656"/>
      <c r="F27" s="655"/>
      <c r="G27" s="657"/>
      <c r="H27" s="657"/>
      <c r="I27" s="658"/>
    </row>
    <row r="28" spans="2:9" ht="15.75" customHeight="1" x14ac:dyDescent="0.25">
      <c r="B28" s="189"/>
      <c r="C28" s="659" t="s">
        <v>494</v>
      </c>
      <c r="D28" s="659" t="s">
        <v>13763</v>
      </c>
      <c r="E28" s="660" t="s">
        <v>552</v>
      </c>
      <c r="F28" s="659" t="s">
        <v>13764</v>
      </c>
      <c r="G28" s="659" t="s">
        <v>13765</v>
      </c>
      <c r="H28" s="659" t="s">
        <v>13766</v>
      </c>
      <c r="I28" s="659" t="s">
        <v>13767</v>
      </c>
    </row>
    <row r="29" spans="2:9" ht="15.75" hidden="1" customHeight="1" x14ac:dyDescent="0.25">
      <c r="B29" s="189"/>
      <c r="C29" s="661">
        <v>1</v>
      </c>
      <c r="D29" s="662" t="s">
        <v>13768</v>
      </c>
      <c r="E29" s="663" t="s">
        <v>13769</v>
      </c>
      <c r="F29" s="664" t="s">
        <v>13770</v>
      </c>
      <c r="G29" s="665" t="s">
        <v>13035</v>
      </c>
      <c r="H29" s="666">
        <v>1</v>
      </c>
      <c r="I29" s="667">
        <v>12.3</v>
      </c>
    </row>
    <row r="30" spans="2:9" ht="15.75" hidden="1" customHeight="1" x14ac:dyDescent="0.25">
      <c r="B30" s="189"/>
      <c r="C30" s="661">
        <v>2</v>
      </c>
      <c r="D30" s="662" t="s">
        <v>13771</v>
      </c>
      <c r="E30" s="663" t="s">
        <v>13772</v>
      </c>
      <c r="F30" s="664" t="s">
        <v>13770</v>
      </c>
      <c r="G30" s="665" t="s">
        <v>12667</v>
      </c>
      <c r="H30" s="666">
        <v>1</v>
      </c>
      <c r="I30" s="667">
        <v>10</v>
      </c>
    </row>
    <row r="31" spans="2:9" ht="15.75" hidden="1" customHeight="1" x14ac:dyDescent="0.25">
      <c r="B31" s="189"/>
      <c r="C31" s="661">
        <v>3</v>
      </c>
      <c r="D31" s="662" t="s">
        <v>13773</v>
      </c>
      <c r="E31" s="663" t="s">
        <v>13774</v>
      </c>
      <c r="F31" s="664" t="s">
        <v>13770</v>
      </c>
      <c r="G31" s="665" t="s">
        <v>12667</v>
      </c>
      <c r="H31" s="666">
        <v>1</v>
      </c>
      <c r="I31" s="667">
        <v>775.9</v>
      </c>
    </row>
    <row r="32" spans="2:9" ht="15.75" hidden="1" customHeight="1" x14ac:dyDescent="0.25">
      <c r="B32" s="189"/>
      <c r="C32" s="661">
        <v>4</v>
      </c>
      <c r="D32" s="662" t="s">
        <v>13775</v>
      </c>
      <c r="E32" s="663" t="s">
        <v>13776</v>
      </c>
      <c r="F32" s="664" t="s">
        <v>13770</v>
      </c>
      <c r="G32" s="665" t="s">
        <v>13777</v>
      </c>
      <c r="H32" s="666">
        <v>1</v>
      </c>
      <c r="I32" s="667">
        <v>229.86</v>
      </c>
    </row>
    <row r="33" spans="2:9" ht="15.75" hidden="1" customHeight="1" x14ac:dyDescent="0.25">
      <c r="B33" s="189"/>
      <c r="C33" s="661">
        <v>5</v>
      </c>
      <c r="D33" s="662" t="s">
        <v>13778</v>
      </c>
      <c r="E33" s="663" t="s">
        <v>13779</v>
      </c>
      <c r="F33" s="664" t="s">
        <v>13770</v>
      </c>
      <c r="G33" s="665" t="s">
        <v>12667</v>
      </c>
      <c r="H33" s="666">
        <v>1</v>
      </c>
      <c r="I33" s="667">
        <v>1684.58</v>
      </c>
    </row>
    <row r="34" spans="2:9" ht="15.75" customHeight="1" x14ac:dyDescent="0.25">
      <c r="B34" s="189"/>
      <c r="C34" s="661">
        <v>6</v>
      </c>
      <c r="D34" s="662" t="s">
        <v>13621</v>
      </c>
      <c r="E34" s="663" t="s">
        <v>13619</v>
      </c>
      <c r="F34" s="664" t="s">
        <v>13780</v>
      </c>
      <c r="G34" s="665" t="s">
        <v>580</v>
      </c>
      <c r="H34" s="666">
        <v>1</v>
      </c>
      <c r="I34" s="667">
        <v>988.39</v>
      </c>
    </row>
    <row r="35" spans="2:9" ht="15.75" hidden="1" customHeight="1" x14ac:dyDescent="0.25">
      <c r="B35" s="189"/>
      <c r="C35" s="661">
        <v>7</v>
      </c>
      <c r="D35" s="662">
        <v>65031</v>
      </c>
      <c r="E35" s="663" t="s">
        <v>13781</v>
      </c>
      <c r="F35" s="664" t="s">
        <v>13782</v>
      </c>
      <c r="G35" s="665" t="s">
        <v>13777</v>
      </c>
      <c r="H35" s="666">
        <v>2</v>
      </c>
      <c r="I35" s="667">
        <v>15.01</v>
      </c>
    </row>
    <row r="36" spans="2:9" ht="15.75" hidden="1" customHeight="1" x14ac:dyDescent="0.25">
      <c r="B36" s="189"/>
      <c r="C36" s="661">
        <v>8</v>
      </c>
      <c r="D36" s="662">
        <v>47588</v>
      </c>
      <c r="E36" s="663" t="s">
        <v>12971</v>
      </c>
      <c r="F36" s="664" t="s">
        <v>13783</v>
      </c>
      <c r="G36" s="665" t="s">
        <v>580</v>
      </c>
      <c r="H36" s="666">
        <v>1</v>
      </c>
      <c r="I36" s="667">
        <v>399.99</v>
      </c>
    </row>
    <row r="37" spans="2:9" ht="15.75" hidden="1" customHeight="1" x14ac:dyDescent="0.25">
      <c r="B37" s="189"/>
      <c r="C37" s="661">
        <v>9</v>
      </c>
      <c r="D37" s="662" t="s">
        <v>13784</v>
      </c>
      <c r="E37" s="663" t="s">
        <v>13785</v>
      </c>
      <c r="F37" s="664" t="s">
        <v>13786</v>
      </c>
      <c r="G37" s="665" t="s">
        <v>580</v>
      </c>
      <c r="H37" s="666">
        <v>1</v>
      </c>
      <c r="I37" s="667">
        <v>516.07000000000005</v>
      </c>
    </row>
    <row r="38" spans="2:9" ht="15.75" hidden="1" customHeight="1" x14ac:dyDescent="0.25">
      <c r="B38" s="189"/>
      <c r="C38" s="661">
        <v>10</v>
      </c>
      <c r="D38" s="662" t="s">
        <v>13787</v>
      </c>
      <c r="E38" s="663" t="s">
        <v>13788</v>
      </c>
      <c r="F38" s="664" t="s">
        <v>13789</v>
      </c>
      <c r="G38" s="665" t="s">
        <v>13035</v>
      </c>
      <c r="H38" s="666">
        <v>1</v>
      </c>
      <c r="I38" s="667">
        <v>15.78</v>
      </c>
    </row>
    <row r="39" spans="2:9" ht="15.75" hidden="1" customHeight="1" x14ac:dyDescent="0.25">
      <c r="B39" s="189"/>
      <c r="C39" s="661">
        <v>11</v>
      </c>
      <c r="D39" s="662" t="s">
        <v>13790</v>
      </c>
      <c r="E39" s="663" t="s">
        <v>13791</v>
      </c>
      <c r="F39" s="664" t="s">
        <v>13770</v>
      </c>
      <c r="G39" s="665" t="s">
        <v>12667</v>
      </c>
      <c r="H39" s="666">
        <v>1</v>
      </c>
      <c r="I39" s="667">
        <v>85.86</v>
      </c>
    </row>
    <row r="40" spans="2:9" ht="15.75" hidden="1" customHeight="1" x14ac:dyDescent="0.25">
      <c r="B40" s="189"/>
      <c r="C40" s="661">
        <v>12</v>
      </c>
      <c r="D40" s="662" t="s">
        <v>13630</v>
      </c>
      <c r="E40" s="663" t="s">
        <v>13792</v>
      </c>
      <c r="F40" s="664" t="s">
        <v>13770</v>
      </c>
      <c r="G40" s="665" t="s">
        <v>12667</v>
      </c>
      <c r="H40" s="666">
        <v>1</v>
      </c>
      <c r="I40" s="667">
        <v>85.86</v>
      </c>
    </row>
    <row r="41" spans="2:9" ht="15.75" hidden="1" customHeight="1" x14ac:dyDescent="0.25">
      <c r="B41" s="189"/>
      <c r="C41" s="661">
        <v>13</v>
      </c>
      <c r="D41" s="662">
        <v>13301</v>
      </c>
      <c r="E41" s="663" t="s">
        <v>13792</v>
      </c>
      <c r="F41" s="664" t="s">
        <v>13793</v>
      </c>
      <c r="G41" s="665" t="s">
        <v>580</v>
      </c>
      <c r="H41" s="666">
        <v>1</v>
      </c>
      <c r="I41" s="667">
        <v>320</v>
      </c>
    </row>
    <row r="42" spans="2:9" ht="15.75" hidden="1" customHeight="1" x14ac:dyDescent="0.25">
      <c r="B42" s="189"/>
      <c r="C42" s="661">
        <v>14</v>
      </c>
      <c r="D42" s="662" t="s">
        <v>13794</v>
      </c>
      <c r="E42" s="663" t="s">
        <v>13795</v>
      </c>
      <c r="F42" s="664" t="s">
        <v>13770</v>
      </c>
      <c r="G42" s="665" t="s">
        <v>12667</v>
      </c>
      <c r="H42" s="666">
        <v>1</v>
      </c>
      <c r="I42" s="667">
        <v>71.66</v>
      </c>
    </row>
    <row r="43" spans="2:9" ht="15.75" hidden="1" customHeight="1" x14ac:dyDescent="0.25">
      <c r="B43" s="189"/>
      <c r="C43" s="661">
        <v>15</v>
      </c>
      <c r="D43" s="662" t="s">
        <v>13796</v>
      </c>
      <c r="E43" s="663" t="s">
        <v>13797</v>
      </c>
      <c r="F43" s="664" t="s">
        <v>13798</v>
      </c>
      <c r="G43" s="665" t="s">
        <v>12667</v>
      </c>
      <c r="H43" s="666">
        <v>1</v>
      </c>
      <c r="I43" s="667">
        <v>24.93</v>
      </c>
    </row>
    <row r="44" spans="2:9" ht="15.75" customHeight="1" x14ac:dyDescent="0.25">
      <c r="B44" s="189"/>
      <c r="C44" s="661">
        <v>16</v>
      </c>
      <c r="D44" s="662" t="s">
        <v>13799</v>
      </c>
      <c r="E44" s="663" t="s">
        <v>13800</v>
      </c>
      <c r="F44" s="664" t="s">
        <v>13770</v>
      </c>
      <c r="G44" s="665" t="s">
        <v>12667</v>
      </c>
      <c r="H44" s="666">
        <v>1</v>
      </c>
      <c r="I44" s="667">
        <v>37.6</v>
      </c>
    </row>
    <row r="45" spans="2:9" ht="15.75" hidden="1" customHeight="1" x14ac:dyDescent="0.25">
      <c r="B45" s="189"/>
      <c r="C45" s="661">
        <v>17</v>
      </c>
      <c r="D45" s="662" t="s">
        <v>13801</v>
      </c>
      <c r="E45" s="663" t="s">
        <v>13802</v>
      </c>
      <c r="F45" s="664" t="s">
        <v>13780</v>
      </c>
      <c r="G45" s="665" t="s">
        <v>580</v>
      </c>
      <c r="H45" s="666">
        <v>1</v>
      </c>
      <c r="I45" s="667">
        <v>10.15</v>
      </c>
    </row>
    <row r="46" spans="2:9" ht="15.75" hidden="1" customHeight="1" x14ac:dyDescent="0.25">
      <c r="B46" s="189"/>
      <c r="C46" s="661">
        <v>18</v>
      </c>
      <c r="D46" s="662" t="s">
        <v>13451</v>
      </c>
      <c r="E46" s="663" t="s">
        <v>13803</v>
      </c>
      <c r="F46" s="664" t="s">
        <v>13770</v>
      </c>
      <c r="G46" s="665" t="s">
        <v>13035</v>
      </c>
      <c r="H46" s="666">
        <v>1</v>
      </c>
      <c r="I46" s="667">
        <v>1.27</v>
      </c>
    </row>
    <row r="47" spans="2:9" ht="15.75" hidden="1" customHeight="1" x14ac:dyDescent="0.25">
      <c r="B47" s="189"/>
      <c r="C47" s="661">
        <v>19</v>
      </c>
      <c r="D47" s="662" t="s">
        <v>13052</v>
      </c>
      <c r="E47" s="663" t="s">
        <v>13050</v>
      </c>
      <c r="F47" s="664" t="s">
        <v>13780</v>
      </c>
      <c r="G47" s="665" t="s">
        <v>585</v>
      </c>
      <c r="H47" s="666">
        <v>1</v>
      </c>
      <c r="I47" s="667">
        <v>32.74</v>
      </c>
    </row>
    <row r="48" spans="2:9" ht="15.75" hidden="1" customHeight="1" x14ac:dyDescent="0.25">
      <c r="B48" s="189"/>
      <c r="C48" s="661">
        <v>20</v>
      </c>
      <c r="D48" s="662" t="s">
        <v>13055</v>
      </c>
      <c r="E48" s="663" t="s">
        <v>13053</v>
      </c>
      <c r="F48" s="664" t="s">
        <v>13780</v>
      </c>
      <c r="G48" s="665" t="s">
        <v>585</v>
      </c>
      <c r="H48" s="666">
        <v>1</v>
      </c>
      <c r="I48" s="667">
        <v>46.57</v>
      </c>
    </row>
    <row r="49" spans="2:9" ht="15.75" hidden="1" customHeight="1" x14ac:dyDescent="0.25">
      <c r="B49" s="189"/>
      <c r="C49" s="661">
        <v>21</v>
      </c>
      <c r="D49" s="662" t="s">
        <v>13058</v>
      </c>
      <c r="E49" s="663" t="s">
        <v>13056</v>
      </c>
      <c r="F49" s="664" t="s">
        <v>13780</v>
      </c>
      <c r="G49" s="665" t="s">
        <v>585</v>
      </c>
      <c r="H49" s="666">
        <v>1</v>
      </c>
      <c r="I49" s="667">
        <v>64.510000000000005</v>
      </c>
    </row>
    <row r="50" spans="2:9" ht="15.75" hidden="1" customHeight="1" x14ac:dyDescent="0.25">
      <c r="B50" s="189"/>
      <c r="C50" s="661">
        <v>22</v>
      </c>
      <c r="D50" s="662" t="s">
        <v>13061</v>
      </c>
      <c r="E50" s="663" t="s">
        <v>13059</v>
      </c>
      <c r="F50" s="664" t="s">
        <v>13780</v>
      </c>
      <c r="G50" s="665" t="s">
        <v>585</v>
      </c>
      <c r="H50" s="666">
        <v>2</v>
      </c>
      <c r="I50" s="667">
        <v>87.65</v>
      </c>
    </row>
    <row r="51" spans="2:9" ht="15.75" hidden="1" customHeight="1" x14ac:dyDescent="0.25">
      <c r="B51" s="189"/>
      <c r="C51" s="661">
        <v>23</v>
      </c>
      <c r="D51" s="662" t="s">
        <v>13081</v>
      </c>
      <c r="E51" s="663" t="s">
        <v>13804</v>
      </c>
      <c r="F51" s="664" t="s">
        <v>13770</v>
      </c>
      <c r="G51" s="665" t="s">
        <v>12667</v>
      </c>
      <c r="H51" s="666">
        <v>1</v>
      </c>
      <c r="I51" s="667">
        <v>20</v>
      </c>
    </row>
    <row r="52" spans="2:9" ht="15.75" hidden="1" customHeight="1" x14ac:dyDescent="0.25">
      <c r="B52" s="189"/>
      <c r="C52" s="661">
        <v>24</v>
      </c>
      <c r="D52" s="662" t="s">
        <v>13009</v>
      </c>
      <c r="E52" s="663" t="s">
        <v>13010</v>
      </c>
      <c r="F52" s="664" t="s">
        <v>13770</v>
      </c>
      <c r="G52" s="665" t="s">
        <v>12667</v>
      </c>
      <c r="H52" s="666">
        <v>1</v>
      </c>
      <c r="I52" s="667">
        <v>88.76</v>
      </c>
    </row>
    <row r="53" spans="2:9" ht="15.75" hidden="1" customHeight="1" x14ac:dyDescent="0.25">
      <c r="B53" s="189"/>
      <c r="C53" s="661">
        <v>25</v>
      </c>
      <c r="D53" s="662" t="s">
        <v>13083</v>
      </c>
      <c r="E53" s="663" t="s">
        <v>13084</v>
      </c>
      <c r="F53" s="664" t="s">
        <v>13770</v>
      </c>
      <c r="G53" s="665" t="s">
        <v>12667</v>
      </c>
      <c r="H53" s="666">
        <v>1</v>
      </c>
      <c r="I53" s="667">
        <v>214.09</v>
      </c>
    </row>
    <row r="54" spans="2:9" ht="15.75" customHeight="1" x14ac:dyDescent="0.25">
      <c r="B54" s="189"/>
      <c r="C54" s="661">
        <v>26</v>
      </c>
      <c r="D54" s="662" t="s">
        <v>13805</v>
      </c>
      <c r="E54" s="663" t="s">
        <v>13806</v>
      </c>
      <c r="F54" s="664" t="s">
        <v>13770</v>
      </c>
      <c r="G54" s="665" t="s">
        <v>12667</v>
      </c>
      <c r="H54" s="666">
        <v>1</v>
      </c>
      <c r="I54" s="667">
        <v>12833.76</v>
      </c>
    </row>
    <row r="55" spans="2:9" ht="15.75" customHeight="1" x14ac:dyDescent="0.25">
      <c r="B55" s="189"/>
      <c r="C55" s="661">
        <v>27</v>
      </c>
      <c r="D55" s="662" t="s">
        <v>13807</v>
      </c>
      <c r="E55" s="663" t="s">
        <v>13808</v>
      </c>
      <c r="F55" s="664" t="s">
        <v>13770</v>
      </c>
      <c r="G55" s="665" t="s">
        <v>12667</v>
      </c>
      <c r="H55" s="666">
        <v>3</v>
      </c>
      <c r="I55" s="667">
        <v>6416.78</v>
      </c>
    </row>
    <row r="56" spans="2:9" ht="15.75" customHeight="1" x14ac:dyDescent="0.25">
      <c r="B56" s="189"/>
      <c r="C56" s="661">
        <v>28</v>
      </c>
      <c r="D56" s="662" t="s">
        <v>13809</v>
      </c>
      <c r="E56" s="663" t="s">
        <v>13269</v>
      </c>
      <c r="F56" s="664" t="s">
        <v>13770</v>
      </c>
      <c r="G56" s="665" t="s">
        <v>12667</v>
      </c>
      <c r="H56" s="666">
        <v>4</v>
      </c>
      <c r="I56" s="667">
        <v>2415.7399999999998</v>
      </c>
    </row>
    <row r="57" spans="2:9" ht="15.75" hidden="1" customHeight="1" x14ac:dyDescent="0.25">
      <c r="B57" s="189"/>
      <c r="C57" s="661">
        <v>29</v>
      </c>
      <c r="D57" s="662" t="s">
        <v>13810</v>
      </c>
      <c r="E57" s="663" t="s">
        <v>13811</v>
      </c>
      <c r="F57" s="664" t="s">
        <v>13780</v>
      </c>
      <c r="G57" s="665" t="s">
        <v>585</v>
      </c>
      <c r="H57" s="666">
        <v>1</v>
      </c>
      <c r="I57" s="667">
        <v>77.77</v>
      </c>
    </row>
    <row r="58" spans="2:9" ht="15.75" hidden="1" customHeight="1" x14ac:dyDescent="0.25">
      <c r="B58" s="189"/>
      <c r="C58" s="661">
        <v>30</v>
      </c>
      <c r="D58" s="662" t="s">
        <v>13812</v>
      </c>
      <c r="E58" s="663" t="s">
        <v>13813</v>
      </c>
      <c r="F58" s="664" t="s">
        <v>13780</v>
      </c>
      <c r="G58" s="665" t="s">
        <v>585</v>
      </c>
      <c r="H58" s="666">
        <v>1</v>
      </c>
      <c r="I58" s="667">
        <v>101.93</v>
      </c>
    </row>
    <row r="59" spans="2:9" ht="15.75" hidden="1" customHeight="1" x14ac:dyDescent="0.25">
      <c r="B59" s="189"/>
      <c r="C59" s="661">
        <v>31</v>
      </c>
      <c r="D59" s="662" t="s">
        <v>13814</v>
      </c>
      <c r="E59" s="663" t="s">
        <v>13815</v>
      </c>
      <c r="F59" s="664" t="s">
        <v>13780</v>
      </c>
      <c r="G59" s="665" t="s">
        <v>585</v>
      </c>
      <c r="H59" s="666">
        <v>1</v>
      </c>
      <c r="I59" s="667">
        <v>120.1</v>
      </c>
    </row>
    <row r="60" spans="2:9" ht="15.75" hidden="1" customHeight="1" x14ac:dyDescent="0.25">
      <c r="B60" s="189"/>
      <c r="C60" s="661">
        <v>32</v>
      </c>
      <c r="D60" s="662">
        <v>88207</v>
      </c>
      <c r="E60" s="663" t="s">
        <v>13816</v>
      </c>
      <c r="F60" s="664" t="s">
        <v>13782</v>
      </c>
      <c r="G60" s="665" t="s">
        <v>585</v>
      </c>
      <c r="H60" s="666">
        <v>1</v>
      </c>
      <c r="I60" s="667">
        <v>4.53</v>
      </c>
    </row>
    <row r="61" spans="2:9" ht="15.75" hidden="1" customHeight="1" x14ac:dyDescent="0.25">
      <c r="B61" s="189"/>
      <c r="C61" s="661">
        <v>33</v>
      </c>
      <c r="D61" s="662">
        <v>88210</v>
      </c>
      <c r="E61" s="663" t="s">
        <v>13817</v>
      </c>
      <c r="F61" s="664" t="s">
        <v>13782</v>
      </c>
      <c r="G61" s="665" t="s">
        <v>585</v>
      </c>
      <c r="H61" s="666">
        <v>1</v>
      </c>
      <c r="I61" s="667">
        <v>6.02</v>
      </c>
    </row>
    <row r="62" spans="2:9" ht="15.75" hidden="1" customHeight="1" x14ac:dyDescent="0.25">
      <c r="B62" s="189"/>
      <c r="C62" s="661">
        <v>34</v>
      </c>
      <c r="D62" s="662">
        <v>14589</v>
      </c>
      <c r="E62" s="663" t="s">
        <v>13818</v>
      </c>
      <c r="F62" s="664" t="s">
        <v>13793</v>
      </c>
      <c r="G62" s="665" t="s">
        <v>580</v>
      </c>
      <c r="H62" s="666">
        <v>1</v>
      </c>
      <c r="I62" s="667">
        <v>96480</v>
      </c>
    </row>
    <row r="63" spans="2:9" ht="15.75" hidden="1" customHeight="1" x14ac:dyDescent="0.25">
      <c r="B63" s="189"/>
      <c r="C63" s="661">
        <v>35</v>
      </c>
      <c r="D63" s="662" t="s">
        <v>13819</v>
      </c>
      <c r="E63" s="663" t="s">
        <v>13820</v>
      </c>
      <c r="F63" s="664" t="s">
        <v>13780</v>
      </c>
      <c r="G63" s="665" t="s">
        <v>580</v>
      </c>
      <c r="H63" s="666">
        <v>1</v>
      </c>
      <c r="I63" s="667">
        <v>1565.17</v>
      </c>
    </row>
    <row r="64" spans="2:9" ht="15.75" hidden="1" customHeight="1" x14ac:dyDescent="0.25">
      <c r="B64" s="189"/>
      <c r="C64" s="661">
        <v>36</v>
      </c>
      <c r="D64" s="662" t="s">
        <v>13821</v>
      </c>
      <c r="E64" s="663" t="s">
        <v>13822</v>
      </c>
      <c r="F64" s="664" t="s">
        <v>13770</v>
      </c>
      <c r="G64" s="665" t="s">
        <v>12667</v>
      </c>
      <c r="H64" s="666">
        <v>1</v>
      </c>
      <c r="I64" s="667">
        <v>4225.0200000000004</v>
      </c>
    </row>
    <row r="65" spans="2:9" ht="15.75" hidden="1" customHeight="1" x14ac:dyDescent="0.25">
      <c r="B65" s="189"/>
      <c r="C65" s="661">
        <v>37</v>
      </c>
      <c r="D65" s="662" t="s">
        <v>13823</v>
      </c>
      <c r="E65" s="663" t="s">
        <v>13824</v>
      </c>
      <c r="F65" s="664" t="s">
        <v>13780</v>
      </c>
      <c r="G65" s="665" t="s">
        <v>580</v>
      </c>
      <c r="H65" s="666">
        <v>1</v>
      </c>
      <c r="I65" s="667">
        <v>474.5</v>
      </c>
    </row>
    <row r="66" spans="2:9" ht="15.75" hidden="1" customHeight="1" x14ac:dyDescent="0.25">
      <c r="B66" s="189"/>
      <c r="C66" s="661">
        <v>38</v>
      </c>
      <c r="D66" s="662" t="s">
        <v>13825</v>
      </c>
      <c r="E66" s="663" t="s">
        <v>13826</v>
      </c>
      <c r="F66" s="664" t="s">
        <v>13770</v>
      </c>
      <c r="G66" s="665" t="s">
        <v>12667</v>
      </c>
      <c r="H66" s="666">
        <v>1</v>
      </c>
      <c r="I66" s="667">
        <v>5024.1099999999997</v>
      </c>
    </row>
    <row r="67" spans="2:9" ht="15.75" hidden="1" customHeight="1" x14ac:dyDescent="0.25">
      <c r="B67" s="189"/>
      <c r="C67" s="661">
        <v>39</v>
      </c>
      <c r="D67" s="662" t="s">
        <v>13827</v>
      </c>
      <c r="E67" s="663" t="s">
        <v>13828</v>
      </c>
      <c r="F67" s="664" t="s">
        <v>13770</v>
      </c>
      <c r="G67" s="665" t="s">
        <v>12667</v>
      </c>
      <c r="H67" s="666">
        <v>1</v>
      </c>
      <c r="I67" s="667">
        <v>6911.42</v>
      </c>
    </row>
    <row r="68" spans="2:9" ht="15.75" hidden="1" customHeight="1" x14ac:dyDescent="0.25">
      <c r="B68" s="189"/>
      <c r="C68" s="661">
        <v>40</v>
      </c>
      <c r="D68" s="662" t="s">
        <v>13171</v>
      </c>
      <c r="E68" s="663" t="s">
        <v>13172</v>
      </c>
      <c r="F68" s="664" t="s">
        <v>13780</v>
      </c>
      <c r="G68" s="665" t="s">
        <v>13829</v>
      </c>
      <c r="H68" s="666">
        <v>1</v>
      </c>
      <c r="I68" s="667">
        <v>2409.98</v>
      </c>
    </row>
    <row r="69" spans="2:9" ht="15.75" hidden="1" customHeight="1" x14ac:dyDescent="0.25">
      <c r="B69" s="189"/>
      <c r="C69" s="661">
        <v>41</v>
      </c>
      <c r="D69" s="662" t="s">
        <v>13830</v>
      </c>
      <c r="E69" s="663" t="s">
        <v>13831</v>
      </c>
      <c r="F69" s="664" t="s">
        <v>13786</v>
      </c>
      <c r="G69" s="665" t="s">
        <v>517</v>
      </c>
      <c r="H69" s="666">
        <v>1</v>
      </c>
      <c r="I69" s="667">
        <v>19.79</v>
      </c>
    </row>
    <row r="70" spans="2:9" ht="15.75" hidden="1" customHeight="1" x14ac:dyDescent="0.25">
      <c r="B70" s="189"/>
      <c r="C70" s="661">
        <v>42</v>
      </c>
      <c r="D70" s="662" t="s">
        <v>13832</v>
      </c>
      <c r="E70" s="663" t="s">
        <v>13833</v>
      </c>
      <c r="F70" s="664" t="s">
        <v>13786</v>
      </c>
      <c r="G70" s="665" t="s">
        <v>517</v>
      </c>
      <c r="H70" s="666">
        <v>1</v>
      </c>
      <c r="I70" s="667">
        <v>25.07</v>
      </c>
    </row>
    <row r="71" spans="2:9" ht="15.75" hidden="1" customHeight="1" x14ac:dyDescent="0.25">
      <c r="B71" s="189"/>
      <c r="C71" s="661">
        <v>43</v>
      </c>
      <c r="D71" s="662" t="s">
        <v>13834</v>
      </c>
      <c r="E71" s="663" t="s">
        <v>13835</v>
      </c>
      <c r="F71" s="664" t="s">
        <v>13770</v>
      </c>
      <c r="G71" s="665" t="s">
        <v>12667</v>
      </c>
      <c r="H71" s="666">
        <v>1</v>
      </c>
      <c r="I71" s="667">
        <v>377.15</v>
      </c>
    </row>
    <row r="72" spans="2:9" ht="15.75" hidden="1" customHeight="1" x14ac:dyDescent="0.25">
      <c r="B72" s="189"/>
      <c r="C72" s="661">
        <v>44</v>
      </c>
      <c r="D72" s="662" t="s">
        <v>13125</v>
      </c>
      <c r="E72" s="663" t="s">
        <v>13836</v>
      </c>
      <c r="F72" s="664" t="s">
        <v>13770</v>
      </c>
      <c r="G72" s="665" t="s">
        <v>12667</v>
      </c>
      <c r="H72" s="666">
        <v>4</v>
      </c>
      <c r="I72" s="667">
        <v>491.63</v>
      </c>
    </row>
    <row r="73" spans="2:9" ht="15.75" customHeight="1" x14ac:dyDescent="0.25">
      <c r="B73" s="189"/>
      <c r="C73" s="661">
        <v>45</v>
      </c>
      <c r="D73" s="662" t="s">
        <v>13837</v>
      </c>
      <c r="E73" s="663" t="s">
        <v>13838</v>
      </c>
      <c r="F73" s="664" t="s">
        <v>13770</v>
      </c>
      <c r="G73" s="665" t="s">
        <v>12667</v>
      </c>
      <c r="H73" s="666">
        <v>3</v>
      </c>
      <c r="I73" s="667">
        <v>338.06</v>
      </c>
    </row>
    <row r="74" spans="2:9" ht="15.75" hidden="1" customHeight="1" x14ac:dyDescent="0.25">
      <c r="B74" s="189"/>
      <c r="C74" s="661">
        <v>46</v>
      </c>
      <c r="D74" s="662" t="s">
        <v>13144</v>
      </c>
      <c r="E74" s="663" t="s">
        <v>13839</v>
      </c>
      <c r="F74" s="664" t="s">
        <v>13780</v>
      </c>
      <c r="G74" s="665" t="s">
        <v>580</v>
      </c>
      <c r="H74" s="666">
        <v>1</v>
      </c>
      <c r="I74" s="667">
        <v>90.5</v>
      </c>
    </row>
    <row r="75" spans="2:9" ht="15.75" hidden="1" customHeight="1" x14ac:dyDescent="0.25">
      <c r="B75" s="189"/>
      <c r="C75" s="661">
        <v>47</v>
      </c>
      <c r="D75" s="662">
        <v>85001</v>
      </c>
      <c r="E75" s="663" t="s">
        <v>13840</v>
      </c>
      <c r="F75" s="664" t="s">
        <v>13782</v>
      </c>
      <c r="G75" s="665" t="s">
        <v>13777</v>
      </c>
      <c r="H75" s="666">
        <v>4</v>
      </c>
      <c r="I75" s="667">
        <v>87.7</v>
      </c>
    </row>
    <row r="76" spans="2:9" ht="15.75" hidden="1" customHeight="1" x14ac:dyDescent="0.25">
      <c r="B76" s="189"/>
      <c r="C76" s="661">
        <v>48</v>
      </c>
      <c r="D76" s="662" t="s">
        <v>13146</v>
      </c>
      <c r="E76" s="663" t="s">
        <v>13841</v>
      </c>
      <c r="F76" s="664" t="s">
        <v>13780</v>
      </c>
      <c r="G76" s="665" t="s">
        <v>580</v>
      </c>
      <c r="H76" s="666">
        <v>1</v>
      </c>
      <c r="I76" s="667">
        <v>119.65</v>
      </c>
    </row>
    <row r="77" spans="2:9" ht="15.75" hidden="1" customHeight="1" x14ac:dyDescent="0.25">
      <c r="B77" s="189"/>
      <c r="C77" s="661">
        <v>49</v>
      </c>
      <c r="D77" s="668" t="s">
        <v>13148</v>
      </c>
      <c r="E77" s="663" t="s">
        <v>13842</v>
      </c>
      <c r="F77" s="664" t="s">
        <v>13780</v>
      </c>
      <c r="G77" s="665" t="s">
        <v>580</v>
      </c>
      <c r="H77" s="666">
        <v>1</v>
      </c>
      <c r="I77" s="667">
        <v>173.46</v>
      </c>
    </row>
    <row r="78" spans="2:9" ht="15.75" hidden="1" customHeight="1" x14ac:dyDescent="0.25">
      <c r="B78" s="189"/>
      <c r="C78" s="661">
        <v>50</v>
      </c>
      <c r="D78" s="662" t="s">
        <v>13843</v>
      </c>
      <c r="E78" s="663" t="s">
        <v>13844</v>
      </c>
      <c r="F78" s="664" t="s">
        <v>13770</v>
      </c>
      <c r="G78" s="665" t="s">
        <v>12667</v>
      </c>
      <c r="H78" s="666">
        <v>1</v>
      </c>
      <c r="I78" s="667">
        <v>825.55</v>
      </c>
    </row>
    <row r="79" spans="2:9" ht="15.75" hidden="1" customHeight="1" x14ac:dyDescent="0.25">
      <c r="B79" s="189"/>
      <c r="C79" s="661">
        <v>51</v>
      </c>
      <c r="D79" s="662" t="s">
        <v>13845</v>
      </c>
      <c r="E79" s="663" t="s">
        <v>13846</v>
      </c>
      <c r="F79" s="664" t="s">
        <v>13770</v>
      </c>
      <c r="G79" s="665" t="s">
        <v>12667</v>
      </c>
      <c r="H79" s="666">
        <v>1</v>
      </c>
      <c r="I79" s="667">
        <v>1478.43</v>
      </c>
    </row>
    <row r="80" spans="2:9" ht="15.75" hidden="1" customHeight="1" x14ac:dyDescent="0.25">
      <c r="B80" s="189"/>
      <c r="C80" s="661">
        <v>52</v>
      </c>
      <c r="D80" s="662" t="s">
        <v>13847</v>
      </c>
      <c r="E80" s="663" t="s">
        <v>13848</v>
      </c>
      <c r="F80" s="664" t="s">
        <v>13770</v>
      </c>
      <c r="G80" s="665" t="s">
        <v>12667</v>
      </c>
      <c r="H80" s="666">
        <v>1</v>
      </c>
      <c r="I80" s="667">
        <v>2417.63</v>
      </c>
    </row>
    <row r="81" spans="2:9" ht="15.75" hidden="1" customHeight="1" x14ac:dyDescent="0.25">
      <c r="B81" s="189"/>
      <c r="C81" s="661">
        <v>53</v>
      </c>
      <c r="D81" s="662" t="s">
        <v>13849</v>
      </c>
      <c r="E81" s="663" t="s">
        <v>13850</v>
      </c>
      <c r="F81" s="664" t="s">
        <v>13780</v>
      </c>
      <c r="G81" s="665" t="s">
        <v>580</v>
      </c>
      <c r="H81" s="666">
        <v>1</v>
      </c>
      <c r="I81" s="667">
        <v>312.06</v>
      </c>
    </row>
    <row r="82" spans="2:9" ht="15.75" hidden="1" customHeight="1" x14ac:dyDescent="0.25">
      <c r="B82" s="189"/>
      <c r="C82" s="661">
        <v>54</v>
      </c>
      <c r="D82" s="662" t="s">
        <v>13851</v>
      </c>
      <c r="E82" s="663" t="s">
        <v>13852</v>
      </c>
      <c r="F82" s="664" t="s">
        <v>13853</v>
      </c>
      <c r="G82" s="665" t="s">
        <v>12667</v>
      </c>
      <c r="H82" s="666">
        <v>1</v>
      </c>
      <c r="I82" s="667">
        <v>309.14999999999998</v>
      </c>
    </row>
    <row r="83" spans="2:9" ht="15.75" hidden="1" customHeight="1" x14ac:dyDescent="0.25">
      <c r="B83" s="189"/>
      <c r="C83" s="661">
        <v>55</v>
      </c>
      <c r="D83" s="662" t="s">
        <v>13854</v>
      </c>
      <c r="E83" s="663" t="s">
        <v>13855</v>
      </c>
      <c r="F83" s="664" t="s">
        <v>13853</v>
      </c>
      <c r="G83" s="665" t="s">
        <v>12667</v>
      </c>
      <c r="H83" s="666">
        <v>1</v>
      </c>
      <c r="I83" s="667">
        <v>370.99</v>
      </c>
    </row>
    <row r="84" spans="2:9" ht="15.75" hidden="1" customHeight="1" x14ac:dyDescent="0.25">
      <c r="B84" s="189"/>
      <c r="C84" s="661">
        <v>56</v>
      </c>
      <c r="D84" s="662" t="s">
        <v>13856</v>
      </c>
      <c r="E84" s="663" t="s">
        <v>13857</v>
      </c>
      <c r="F84" s="664" t="s">
        <v>13770</v>
      </c>
      <c r="G84" s="665" t="s">
        <v>13441</v>
      </c>
      <c r="H84" s="666">
        <v>1</v>
      </c>
      <c r="I84" s="667">
        <v>20.86</v>
      </c>
    </row>
    <row r="85" spans="2:9" ht="15.75" hidden="1" customHeight="1" x14ac:dyDescent="0.25">
      <c r="B85" s="189"/>
      <c r="C85" s="661">
        <v>57</v>
      </c>
      <c r="D85" s="662" t="s">
        <v>13858</v>
      </c>
      <c r="E85" s="663" t="s">
        <v>13859</v>
      </c>
      <c r="F85" s="664" t="s">
        <v>13770</v>
      </c>
      <c r="G85" s="665" t="s">
        <v>13186</v>
      </c>
      <c r="H85" s="666">
        <v>1</v>
      </c>
      <c r="I85" s="667">
        <v>423.76</v>
      </c>
    </row>
    <row r="86" spans="2:9" ht="15.75" hidden="1" customHeight="1" x14ac:dyDescent="0.25">
      <c r="B86" s="189"/>
      <c r="C86" s="661">
        <v>58</v>
      </c>
      <c r="D86" s="662" t="s">
        <v>13860</v>
      </c>
      <c r="E86" s="663" t="s">
        <v>13861</v>
      </c>
      <c r="F86" s="664" t="s">
        <v>13770</v>
      </c>
      <c r="G86" s="665" t="s">
        <v>13186</v>
      </c>
      <c r="H86" s="666">
        <v>1</v>
      </c>
      <c r="I86" s="667">
        <v>224.03</v>
      </c>
    </row>
    <row r="87" spans="2:9" ht="15.75" hidden="1" customHeight="1" x14ac:dyDescent="0.25">
      <c r="B87" s="189"/>
      <c r="C87" s="661">
        <v>59</v>
      </c>
      <c r="D87" s="669" t="s">
        <v>13862</v>
      </c>
      <c r="E87" s="663" t="s">
        <v>13863</v>
      </c>
      <c r="F87" s="664" t="s">
        <v>13770</v>
      </c>
      <c r="G87" s="665" t="s">
        <v>12667</v>
      </c>
      <c r="H87" s="666">
        <v>1</v>
      </c>
      <c r="I87" s="667">
        <v>2.02</v>
      </c>
    </row>
    <row r="88" spans="2:9" ht="15.75" hidden="1" customHeight="1" x14ac:dyDescent="0.25">
      <c r="B88" s="189"/>
      <c r="C88" s="661">
        <v>60</v>
      </c>
      <c r="D88" s="662" t="s">
        <v>13590</v>
      </c>
      <c r="E88" s="663" t="s">
        <v>13864</v>
      </c>
      <c r="F88" s="664" t="s">
        <v>13780</v>
      </c>
      <c r="G88" s="665" t="s">
        <v>578</v>
      </c>
      <c r="H88" s="666">
        <v>2</v>
      </c>
      <c r="I88" s="667">
        <v>124.05</v>
      </c>
    </row>
    <row r="89" spans="2:9" ht="15.75" hidden="1" customHeight="1" x14ac:dyDescent="0.25">
      <c r="B89" s="189"/>
      <c r="C89" s="661">
        <v>61</v>
      </c>
      <c r="D89" s="662" t="s">
        <v>13865</v>
      </c>
      <c r="E89" s="663" t="s">
        <v>13866</v>
      </c>
      <c r="F89" s="664" t="s">
        <v>13786</v>
      </c>
      <c r="G89" s="665" t="s">
        <v>580</v>
      </c>
      <c r="H89" s="666">
        <v>1</v>
      </c>
      <c r="I89" s="667">
        <v>154.72999999999999</v>
      </c>
    </row>
    <row r="90" spans="2:9" ht="15.75" hidden="1" customHeight="1" x14ac:dyDescent="0.25">
      <c r="B90" s="189"/>
      <c r="C90" s="661">
        <v>62</v>
      </c>
      <c r="D90" s="662" t="s">
        <v>13867</v>
      </c>
      <c r="E90" s="663" t="s">
        <v>13868</v>
      </c>
      <c r="F90" s="664" t="s">
        <v>13770</v>
      </c>
      <c r="G90" s="665" t="s">
        <v>13869</v>
      </c>
      <c r="H90" s="666">
        <v>1</v>
      </c>
      <c r="I90" s="667">
        <v>2350.67</v>
      </c>
    </row>
    <row r="91" spans="2:9" ht="15.75" hidden="1" customHeight="1" x14ac:dyDescent="0.25">
      <c r="B91" s="189"/>
      <c r="C91" s="661">
        <v>63</v>
      </c>
      <c r="D91" s="662" t="s">
        <v>13166</v>
      </c>
      <c r="E91" s="663" t="s">
        <v>13164</v>
      </c>
      <c r="F91" s="664" t="s">
        <v>13770</v>
      </c>
      <c r="G91" s="665" t="s">
        <v>12667</v>
      </c>
      <c r="H91" s="666">
        <v>1</v>
      </c>
      <c r="I91" s="667">
        <v>15</v>
      </c>
    </row>
    <row r="92" spans="2:9" ht="15.75" hidden="1" customHeight="1" x14ac:dyDescent="0.25">
      <c r="B92" s="189"/>
      <c r="C92" s="661">
        <v>64</v>
      </c>
      <c r="D92" s="662" t="s">
        <v>13870</v>
      </c>
      <c r="E92" s="663" t="s">
        <v>13871</v>
      </c>
      <c r="F92" s="664" t="s">
        <v>13770</v>
      </c>
      <c r="G92" s="665" t="s">
        <v>12667</v>
      </c>
      <c r="H92" s="666">
        <v>1</v>
      </c>
      <c r="I92" s="667">
        <v>12256.06</v>
      </c>
    </row>
    <row r="93" spans="2:9" ht="15.75" hidden="1" customHeight="1" x14ac:dyDescent="0.25">
      <c r="B93" s="189"/>
      <c r="C93" s="661">
        <v>65</v>
      </c>
      <c r="D93" s="662" t="s">
        <v>13872</v>
      </c>
      <c r="E93" s="663" t="s">
        <v>13873</v>
      </c>
      <c r="F93" s="664" t="s">
        <v>13874</v>
      </c>
      <c r="G93" s="665" t="s">
        <v>823</v>
      </c>
      <c r="H93" s="666">
        <v>1</v>
      </c>
      <c r="I93" s="667">
        <v>6.39</v>
      </c>
    </row>
    <row r="94" spans="2:9" ht="15.75" hidden="1" customHeight="1" x14ac:dyDescent="0.25">
      <c r="B94" s="189"/>
      <c r="C94" s="661">
        <v>66</v>
      </c>
      <c r="D94" s="662" t="s">
        <v>13875</v>
      </c>
      <c r="E94" s="663" t="s">
        <v>13876</v>
      </c>
      <c r="F94" s="664" t="s">
        <v>13877</v>
      </c>
      <c r="G94" s="665" t="s">
        <v>580</v>
      </c>
      <c r="H94" s="666">
        <v>1</v>
      </c>
      <c r="I94" s="667">
        <v>0.36</v>
      </c>
    </row>
    <row r="95" spans="2:9" ht="15.75" hidden="1" customHeight="1" x14ac:dyDescent="0.25">
      <c r="B95" s="189"/>
      <c r="C95" s="661">
        <v>67</v>
      </c>
      <c r="D95" s="662">
        <v>9884</v>
      </c>
      <c r="E95" s="663" t="s">
        <v>13878</v>
      </c>
      <c r="F95" s="664" t="s">
        <v>13879</v>
      </c>
      <c r="G95" s="665" t="s">
        <v>13035</v>
      </c>
      <c r="H95" s="666">
        <v>3</v>
      </c>
      <c r="I95" s="667">
        <v>2.63</v>
      </c>
    </row>
    <row r="96" spans="2:9" ht="15.75" hidden="1" customHeight="1" x14ac:dyDescent="0.25">
      <c r="B96" s="189"/>
      <c r="C96" s="661">
        <v>68</v>
      </c>
      <c r="D96" s="662" t="s">
        <v>13880</v>
      </c>
      <c r="E96" s="663" t="s">
        <v>13881</v>
      </c>
      <c r="F96" s="664" t="s">
        <v>13780</v>
      </c>
      <c r="G96" s="665" t="s">
        <v>580</v>
      </c>
      <c r="H96" s="666">
        <v>4</v>
      </c>
      <c r="I96" s="667">
        <v>209.5</v>
      </c>
    </row>
    <row r="97" spans="2:9" ht="15.75" hidden="1" customHeight="1" x14ac:dyDescent="0.25">
      <c r="B97" s="189"/>
      <c r="C97" s="661">
        <v>69</v>
      </c>
      <c r="D97" s="662" t="s">
        <v>13882</v>
      </c>
      <c r="E97" s="663" t="s">
        <v>13883</v>
      </c>
      <c r="F97" s="664" t="s">
        <v>13770</v>
      </c>
      <c r="G97" s="665" t="s">
        <v>12667</v>
      </c>
      <c r="H97" s="666">
        <v>1</v>
      </c>
      <c r="I97" s="667">
        <v>214.12</v>
      </c>
    </row>
    <row r="98" spans="2:9" ht="15.75" hidden="1" customHeight="1" x14ac:dyDescent="0.25">
      <c r="B98" s="189"/>
      <c r="C98" s="661">
        <v>70</v>
      </c>
      <c r="D98" s="662" t="s">
        <v>13884</v>
      </c>
      <c r="E98" s="663" t="s">
        <v>13885</v>
      </c>
      <c r="F98" s="664" t="s">
        <v>13853</v>
      </c>
      <c r="G98" s="665" t="s">
        <v>13186</v>
      </c>
      <c r="H98" s="666">
        <v>4</v>
      </c>
      <c r="I98" s="667">
        <v>561.20000000000005</v>
      </c>
    </row>
    <row r="99" spans="2:9" ht="15.75" hidden="1" customHeight="1" x14ac:dyDescent="0.25">
      <c r="B99" s="189"/>
      <c r="C99" s="661">
        <v>71</v>
      </c>
      <c r="D99" s="662" t="s">
        <v>13886</v>
      </c>
      <c r="E99" s="663" t="s">
        <v>13887</v>
      </c>
      <c r="F99" s="664" t="s">
        <v>13770</v>
      </c>
      <c r="G99" s="665" t="s">
        <v>13186</v>
      </c>
      <c r="H99" s="666">
        <v>13</v>
      </c>
      <c r="I99" s="667">
        <v>154.66999999999999</v>
      </c>
    </row>
    <row r="100" spans="2:9" ht="15.75" hidden="1" customHeight="1" x14ac:dyDescent="0.25">
      <c r="B100" s="189"/>
      <c r="C100" s="661">
        <v>72</v>
      </c>
      <c r="D100" s="662" t="s">
        <v>13888</v>
      </c>
      <c r="E100" s="663" t="s">
        <v>13889</v>
      </c>
      <c r="F100" s="664" t="s">
        <v>13793</v>
      </c>
      <c r="G100" s="665" t="s">
        <v>823</v>
      </c>
      <c r="H100" s="666">
        <v>5</v>
      </c>
      <c r="I100" s="667">
        <v>10</v>
      </c>
    </row>
    <row r="101" spans="2:9" ht="15.75" hidden="1" customHeight="1" x14ac:dyDescent="0.25">
      <c r="B101" s="189"/>
      <c r="C101" s="661">
        <v>73</v>
      </c>
      <c r="D101" s="662" t="s">
        <v>13890</v>
      </c>
      <c r="E101" s="663" t="s">
        <v>13891</v>
      </c>
      <c r="F101" s="664" t="s">
        <v>13780</v>
      </c>
      <c r="G101" s="665" t="s">
        <v>578</v>
      </c>
      <c r="H101" s="666">
        <v>2</v>
      </c>
      <c r="I101" s="667">
        <v>218.61</v>
      </c>
    </row>
    <row r="102" spans="2:9" ht="15.75" customHeight="1" x14ac:dyDescent="0.25">
      <c r="B102" s="189"/>
      <c r="C102" s="661">
        <v>74</v>
      </c>
      <c r="D102" s="662" t="s">
        <v>13892</v>
      </c>
      <c r="E102" s="663" t="s">
        <v>13893</v>
      </c>
      <c r="F102" s="664" t="s">
        <v>13780</v>
      </c>
      <c r="G102" s="665" t="s">
        <v>578</v>
      </c>
      <c r="H102" s="666">
        <v>1</v>
      </c>
      <c r="I102" s="667">
        <v>898.03</v>
      </c>
    </row>
    <row r="103" spans="2:9" ht="15.75" hidden="1" customHeight="1" x14ac:dyDescent="0.25">
      <c r="B103" s="189"/>
      <c r="C103" s="661">
        <v>75</v>
      </c>
      <c r="D103" s="662" t="s">
        <v>12675</v>
      </c>
      <c r="E103" s="663" t="s">
        <v>13894</v>
      </c>
      <c r="F103" s="664" t="s">
        <v>13780</v>
      </c>
      <c r="G103" s="665" t="s">
        <v>578</v>
      </c>
      <c r="H103" s="666">
        <v>1</v>
      </c>
      <c r="I103" s="667">
        <v>1160.79</v>
      </c>
    </row>
    <row r="104" spans="2:9" ht="15.75" customHeight="1" x14ac:dyDescent="0.25">
      <c r="B104" s="189"/>
      <c r="C104" s="661">
        <v>76</v>
      </c>
      <c r="D104" s="662" t="s">
        <v>13895</v>
      </c>
      <c r="E104" s="663" t="s">
        <v>13896</v>
      </c>
      <c r="F104" s="664" t="s">
        <v>13770</v>
      </c>
      <c r="G104" s="665" t="s">
        <v>12667</v>
      </c>
      <c r="H104" s="666">
        <v>2</v>
      </c>
      <c r="I104" s="667">
        <v>316.89999999999998</v>
      </c>
    </row>
    <row r="105" spans="2:9" ht="15.75" customHeight="1" x14ac:dyDescent="0.25">
      <c r="B105" s="189"/>
      <c r="C105" s="661">
        <v>77</v>
      </c>
      <c r="D105" s="662" t="s">
        <v>13897</v>
      </c>
      <c r="E105" s="663" t="s">
        <v>13898</v>
      </c>
      <c r="F105" s="664" t="s">
        <v>13770</v>
      </c>
      <c r="G105" s="665" t="s">
        <v>12667</v>
      </c>
      <c r="H105" s="666">
        <v>2</v>
      </c>
      <c r="I105" s="667">
        <v>269.89999999999998</v>
      </c>
    </row>
    <row r="106" spans="2:9" ht="15.75" hidden="1" customHeight="1" x14ac:dyDescent="0.25">
      <c r="B106" s="189"/>
      <c r="C106" s="661">
        <v>78</v>
      </c>
      <c r="D106" s="662" t="s">
        <v>13899</v>
      </c>
      <c r="E106" s="663" t="s">
        <v>13900</v>
      </c>
      <c r="F106" s="664" t="s">
        <v>13770</v>
      </c>
      <c r="G106" s="665" t="s">
        <v>13186</v>
      </c>
      <c r="H106" s="666">
        <v>1</v>
      </c>
      <c r="I106" s="667">
        <v>250</v>
      </c>
    </row>
    <row r="107" spans="2:9" ht="15.75" hidden="1" customHeight="1" x14ac:dyDescent="0.25">
      <c r="B107" s="189"/>
      <c r="C107" s="661">
        <v>79</v>
      </c>
      <c r="D107" s="662" t="s">
        <v>13554</v>
      </c>
      <c r="E107" s="663" t="s">
        <v>13901</v>
      </c>
      <c r="F107" s="664" t="s">
        <v>13780</v>
      </c>
      <c r="G107" s="665" t="s">
        <v>578</v>
      </c>
      <c r="H107" s="666">
        <v>1</v>
      </c>
      <c r="I107" s="667">
        <v>891.47</v>
      </c>
    </row>
    <row r="108" spans="2:9" ht="15.75" customHeight="1" x14ac:dyDescent="0.25">
      <c r="B108" s="189"/>
      <c r="C108" s="661">
        <v>80</v>
      </c>
      <c r="D108" s="662" t="s">
        <v>13902</v>
      </c>
      <c r="E108" s="663" t="s">
        <v>13903</v>
      </c>
      <c r="F108" s="664" t="s">
        <v>13904</v>
      </c>
      <c r="G108" s="665" t="s">
        <v>578</v>
      </c>
      <c r="H108" s="666">
        <v>1</v>
      </c>
      <c r="I108" s="667">
        <v>380.42</v>
      </c>
    </row>
    <row r="109" spans="2:9" ht="15.75" hidden="1" customHeight="1" x14ac:dyDescent="0.25">
      <c r="B109" s="189"/>
      <c r="C109" s="661">
        <v>81</v>
      </c>
      <c r="D109" s="662" t="s">
        <v>13184</v>
      </c>
      <c r="E109" s="663" t="s">
        <v>13905</v>
      </c>
      <c r="F109" s="664" t="s">
        <v>13780</v>
      </c>
      <c r="G109" s="665" t="s">
        <v>578</v>
      </c>
      <c r="H109" s="666">
        <v>9</v>
      </c>
      <c r="I109" s="667">
        <v>940.1</v>
      </c>
    </row>
    <row r="110" spans="2:9" ht="15.75" hidden="1" customHeight="1" x14ac:dyDescent="0.25">
      <c r="B110" s="189"/>
      <c r="C110" s="661">
        <v>82</v>
      </c>
      <c r="D110" s="662" t="s">
        <v>13906</v>
      </c>
      <c r="E110" s="663" t="s">
        <v>13907</v>
      </c>
      <c r="F110" s="664" t="s">
        <v>13908</v>
      </c>
      <c r="G110" s="665" t="s">
        <v>580</v>
      </c>
      <c r="H110" s="666">
        <v>1</v>
      </c>
      <c r="I110" s="667">
        <v>32.9</v>
      </c>
    </row>
    <row r="111" spans="2:9" ht="15.75" hidden="1" customHeight="1" x14ac:dyDescent="0.25">
      <c r="B111" s="189"/>
      <c r="C111" s="661">
        <v>83</v>
      </c>
      <c r="D111" s="662" t="s">
        <v>13909</v>
      </c>
      <c r="E111" s="663" t="s">
        <v>13910</v>
      </c>
      <c r="F111" s="664" t="s">
        <v>13908</v>
      </c>
      <c r="G111" s="665" t="s">
        <v>9561</v>
      </c>
      <c r="H111" s="666">
        <v>1</v>
      </c>
      <c r="I111" s="667">
        <v>1.97</v>
      </c>
    </row>
    <row r="112" spans="2:9" ht="15.75" hidden="1" customHeight="1" x14ac:dyDescent="0.25">
      <c r="B112" s="189"/>
      <c r="C112" s="661">
        <v>84</v>
      </c>
      <c r="D112" s="662" t="s">
        <v>12688</v>
      </c>
      <c r="E112" s="663" t="s">
        <v>13911</v>
      </c>
      <c r="F112" s="664" t="s">
        <v>13770</v>
      </c>
      <c r="G112" s="665" t="s">
        <v>13035</v>
      </c>
      <c r="H112" s="666">
        <v>1</v>
      </c>
      <c r="I112" s="667">
        <v>609.48</v>
      </c>
    </row>
    <row r="113" spans="2:9" ht="15.75" hidden="1" customHeight="1" x14ac:dyDescent="0.25">
      <c r="B113" s="189"/>
      <c r="C113" s="661">
        <v>85</v>
      </c>
      <c r="D113" s="662" t="s">
        <v>13912</v>
      </c>
      <c r="E113" s="663" t="s">
        <v>13913</v>
      </c>
      <c r="F113" s="664" t="s">
        <v>13789</v>
      </c>
      <c r="G113" s="665" t="s">
        <v>12667</v>
      </c>
      <c r="H113" s="666">
        <v>1</v>
      </c>
      <c r="I113" s="667">
        <v>233.49</v>
      </c>
    </row>
    <row r="114" spans="2:9" ht="15.75" hidden="1" customHeight="1" x14ac:dyDescent="0.25">
      <c r="B114" s="189"/>
      <c r="C114" s="661">
        <v>86</v>
      </c>
      <c r="D114" s="662" t="s">
        <v>13914</v>
      </c>
      <c r="E114" s="663" t="s">
        <v>13915</v>
      </c>
      <c r="F114" s="664" t="s">
        <v>13789</v>
      </c>
      <c r="G114" s="665" t="s">
        <v>12667</v>
      </c>
      <c r="H114" s="666">
        <v>1</v>
      </c>
      <c r="I114" s="667">
        <v>0.41</v>
      </c>
    </row>
    <row r="115" spans="2:9" ht="15.75" hidden="1" customHeight="1" x14ac:dyDescent="0.25">
      <c r="B115" s="189"/>
      <c r="C115" s="661">
        <v>87</v>
      </c>
      <c r="D115" s="662" t="s">
        <v>13916</v>
      </c>
      <c r="E115" s="663" t="s">
        <v>13917</v>
      </c>
      <c r="F115" s="664" t="s">
        <v>13770</v>
      </c>
      <c r="G115" s="665" t="s">
        <v>13918</v>
      </c>
      <c r="H115" s="666">
        <v>1</v>
      </c>
      <c r="I115" s="667">
        <v>21.51</v>
      </c>
    </row>
    <row r="116" spans="2:9" ht="15.75" customHeight="1" x14ac:dyDescent="0.25">
      <c r="B116" s="189"/>
      <c r="C116" s="661">
        <v>88</v>
      </c>
      <c r="D116" s="662" t="s">
        <v>13919</v>
      </c>
      <c r="E116" s="663" t="s">
        <v>13920</v>
      </c>
      <c r="F116" s="664" t="s">
        <v>13780</v>
      </c>
      <c r="G116" s="665" t="s">
        <v>578</v>
      </c>
      <c r="H116" s="666">
        <v>1</v>
      </c>
      <c r="I116" s="667">
        <v>2372.65</v>
      </c>
    </row>
    <row r="117" spans="2:9" ht="15.75" hidden="1" customHeight="1" x14ac:dyDescent="0.25">
      <c r="B117" s="189"/>
      <c r="C117" s="661">
        <v>89</v>
      </c>
      <c r="D117" s="662" t="s">
        <v>13921</v>
      </c>
      <c r="E117" s="663" t="s">
        <v>13922</v>
      </c>
      <c r="F117" s="664" t="s">
        <v>13780</v>
      </c>
      <c r="G117" s="665" t="s">
        <v>585</v>
      </c>
      <c r="H117" s="666">
        <v>1</v>
      </c>
      <c r="I117" s="667">
        <v>501.1</v>
      </c>
    </row>
    <row r="118" spans="2:9" ht="15.75" hidden="1" customHeight="1" x14ac:dyDescent="0.25">
      <c r="B118" s="189"/>
      <c r="C118" s="661">
        <v>90</v>
      </c>
      <c r="D118" s="662">
        <v>14770</v>
      </c>
      <c r="E118" s="663" t="s">
        <v>13923</v>
      </c>
      <c r="F118" s="664" t="s">
        <v>13793</v>
      </c>
      <c r="G118" s="665" t="s">
        <v>580</v>
      </c>
      <c r="H118" s="666">
        <v>1</v>
      </c>
      <c r="I118" s="667">
        <v>2039.4</v>
      </c>
    </row>
    <row r="119" spans="2:9" ht="15.75" hidden="1" customHeight="1" x14ac:dyDescent="0.25">
      <c r="B119" s="189"/>
      <c r="C119" s="661">
        <v>91</v>
      </c>
      <c r="D119" s="662" t="s">
        <v>12804</v>
      </c>
      <c r="E119" s="663" t="s">
        <v>13924</v>
      </c>
      <c r="F119" s="664" t="s">
        <v>13780</v>
      </c>
      <c r="G119" s="665" t="s">
        <v>580</v>
      </c>
      <c r="H119" s="666">
        <v>1</v>
      </c>
      <c r="I119" s="667">
        <v>75.89</v>
      </c>
    </row>
    <row r="120" spans="2:9" ht="15.75" hidden="1" customHeight="1" x14ac:dyDescent="0.25">
      <c r="B120" s="189"/>
      <c r="C120" s="661">
        <v>92</v>
      </c>
      <c r="D120" s="662" t="s">
        <v>13925</v>
      </c>
      <c r="E120" s="663" t="s">
        <v>13926</v>
      </c>
      <c r="F120" s="664" t="s">
        <v>13780</v>
      </c>
      <c r="G120" s="665" t="s">
        <v>580</v>
      </c>
      <c r="H120" s="666">
        <v>1</v>
      </c>
      <c r="I120" s="667">
        <v>570.11</v>
      </c>
    </row>
    <row r="121" spans="2:9" ht="15.75" hidden="1" customHeight="1" x14ac:dyDescent="0.25">
      <c r="B121" s="189"/>
      <c r="C121" s="661">
        <v>93</v>
      </c>
      <c r="D121" s="662" t="s">
        <v>13927</v>
      </c>
      <c r="E121" s="663" t="s">
        <v>13928</v>
      </c>
      <c r="F121" s="664" t="s">
        <v>13770</v>
      </c>
      <c r="G121" s="665" t="s">
        <v>12667</v>
      </c>
      <c r="H121" s="666">
        <v>1</v>
      </c>
      <c r="I121" s="667">
        <v>106.25</v>
      </c>
    </row>
    <row r="122" spans="2:9" ht="15.75" hidden="1" customHeight="1" x14ac:dyDescent="0.25">
      <c r="B122" s="189"/>
      <c r="C122" s="661">
        <v>94</v>
      </c>
      <c r="D122" s="662" t="s">
        <v>13929</v>
      </c>
      <c r="E122" s="663" t="s">
        <v>13930</v>
      </c>
      <c r="F122" s="664" t="s">
        <v>13780</v>
      </c>
      <c r="G122" s="665" t="s">
        <v>585</v>
      </c>
      <c r="H122" s="666">
        <v>1</v>
      </c>
      <c r="I122" s="667">
        <v>27.94</v>
      </c>
    </row>
    <row r="123" spans="2:9" ht="15.75" hidden="1" customHeight="1" x14ac:dyDescent="0.25">
      <c r="B123" s="189"/>
      <c r="C123" s="661">
        <v>95</v>
      </c>
      <c r="D123" s="662" t="s">
        <v>13931</v>
      </c>
      <c r="E123" s="663" t="s">
        <v>13932</v>
      </c>
      <c r="F123" s="664" t="s">
        <v>13780</v>
      </c>
      <c r="G123" s="665" t="s">
        <v>585</v>
      </c>
      <c r="H123" s="666">
        <v>1</v>
      </c>
      <c r="I123" s="667">
        <v>40.89</v>
      </c>
    </row>
    <row r="124" spans="2:9" ht="15.75" hidden="1" customHeight="1" x14ac:dyDescent="0.25">
      <c r="B124" s="189"/>
      <c r="C124" s="661">
        <v>96</v>
      </c>
      <c r="D124" s="662" t="s">
        <v>13933</v>
      </c>
      <c r="E124" s="663" t="s">
        <v>13934</v>
      </c>
      <c r="F124" s="664" t="s">
        <v>13780</v>
      </c>
      <c r="G124" s="665" t="s">
        <v>585</v>
      </c>
      <c r="H124" s="666">
        <v>1</v>
      </c>
      <c r="I124" s="667">
        <v>97.86</v>
      </c>
    </row>
    <row r="125" spans="2:9" ht="15.75" hidden="1" customHeight="1" x14ac:dyDescent="0.25">
      <c r="B125" s="189"/>
      <c r="C125" s="661">
        <v>97</v>
      </c>
      <c r="D125" s="662" t="s">
        <v>13935</v>
      </c>
      <c r="E125" s="663" t="s">
        <v>13936</v>
      </c>
      <c r="F125" s="664" t="s">
        <v>13780</v>
      </c>
      <c r="G125" s="665" t="s">
        <v>585</v>
      </c>
      <c r="H125" s="666">
        <v>1</v>
      </c>
      <c r="I125" s="667">
        <v>35.869999999999997</v>
      </c>
    </row>
    <row r="126" spans="2:9" ht="15.75" hidden="1" customHeight="1" x14ac:dyDescent="0.25">
      <c r="B126" s="189"/>
      <c r="C126" s="661">
        <v>98</v>
      </c>
      <c r="D126" s="662" t="s">
        <v>13937</v>
      </c>
      <c r="E126" s="663" t="s">
        <v>13938</v>
      </c>
      <c r="F126" s="664" t="s">
        <v>13770</v>
      </c>
      <c r="G126" s="665" t="s">
        <v>12667</v>
      </c>
      <c r="H126" s="666">
        <v>1</v>
      </c>
      <c r="I126" s="667">
        <v>2589.4299999999998</v>
      </c>
    </row>
    <row r="127" spans="2:9" ht="15.75" hidden="1" customHeight="1" x14ac:dyDescent="0.25">
      <c r="B127" s="189"/>
      <c r="C127" s="661">
        <v>99</v>
      </c>
      <c r="D127" s="662">
        <v>88204</v>
      </c>
      <c r="E127" s="663" t="s">
        <v>13939</v>
      </c>
      <c r="F127" s="664" t="s">
        <v>13782</v>
      </c>
      <c r="G127" s="665" t="s">
        <v>585</v>
      </c>
      <c r="H127" s="666">
        <v>1</v>
      </c>
      <c r="I127" s="667">
        <v>3.34</v>
      </c>
    </row>
    <row r="128" spans="2:9" ht="15.75" hidden="1" customHeight="1" x14ac:dyDescent="0.25">
      <c r="B128" s="189"/>
      <c r="C128" s="661">
        <v>100</v>
      </c>
      <c r="D128" s="662" t="s">
        <v>13049</v>
      </c>
      <c r="E128" s="663" t="s">
        <v>13047</v>
      </c>
      <c r="F128" s="664" t="s">
        <v>13780</v>
      </c>
      <c r="G128" s="665" t="s">
        <v>585</v>
      </c>
      <c r="H128" s="666">
        <v>1</v>
      </c>
      <c r="I128" s="667">
        <v>24.04</v>
      </c>
    </row>
    <row r="129" spans="2:9" ht="15.75" hidden="1" customHeight="1" x14ac:dyDescent="0.25">
      <c r="B129" s="189"/>
      <c r="C129" s="661">
        <v>101</v>
      </c>
      <c r="D129" s="662" t="s">
        <v>13940</v>
      </c>
      <c r="E129" s="663" t="s">
        <v>13941</v>
      </c>
      <c r="F129" s="664" t="s">
        <v>13770</v>
      </c>
      <c r="G129" s="665" t="s">
        <v>13186</v>
      </c>
      <c r="H129" s="666">
        <v>1</v>
      </c>
      <c r="I129" s="667">
        <v>499.76</v>
      </c>
    </row>
    <row r="130" spans="2:9" ht="15.75" hidden="1" customHeight="1" x14ac:dyDescent="0.25">
      <c r="B130" s="189"/>
      <c r="C130" s="661">
        <v>102</v>
      </c>
      <c r="D130" s="662" t="s">
        <v>13942</v>
      </c>
      <c r="E130" s="663" t="s">
        <v>13943</v>
      </c>
      <c r="F130" s="664" t="s">
        <v>13780</v>
      </c>
      <c r="G130" s="665" t="s">
        <v>585</v>
      </c>
      <c r="H130" s="666">
        <v>1</v>
      </c>
      <c r="I130" s="667">
        <v>14.19</v>
      </c>
    </row>
    <row r="131" spans="2:9" ht="15.75" hidden="1" customHeight="1" x14ac:dyDescent="0.25">
      <c r="B131" s="189"/>
      <c r="C131" s="661">
        <v>103</v>
      </c>
      <c r="D131" s="662" t="s">
        <v>13944</v>
      </c>
      <c r="E131" s="663" t="s">
        <v>13945</v>
      </c>
      <c r="F131" s="664" t="s">
        <v>13780</v>
      </c>
      <c r="G131" s="665" t="s">
        <v>585</v>
      </c>
      <c r="H131" s="666">
        <v>1</v>
      </c>
      <c r="I131" s="667">
        <v>113.4</v>
      </c>
    </row>
    <row r="132" spans="2:9" ht="15.75" hidden="1" customHeight="1" x14ac:dyDescent="0.25">
      <c r="B132" s="189"/>
      <c r="C132" s="661">
        <v>104</v>
      </c>
      <c r="D132" s="662" t="s">
        <v>12718</v>
      </c>
      <c r="E132" s="663" t="s">
        <v>13946</v>
      </c>
      <c r="F132" s="664" t="s">
        <v>13780</v>
      </c>
      <c r="G132" s="665" t="s">
        <v>585</v>
      </c>
      <c r="H132" s="666">
        <v>1</v>
      </c>
      <c r="I132" s="667">
        <v>241.96</v>
      </c>
    </row>
    <row r="133" spans="2:9" ht="15.75" hidden="1" customHeight="1" x14ac:dyDescent="0.25">
      <c r="B133" s="189"/>
      <c r="C133" s="661">
        <v>105</v>
      </c>
      <c r="D133" s="662" t="s">
        <v>13947</v>
      </c>
      <c r="E133" s="663" t="s">
        <v>13948</v>
      </c>
      <c r="F133" s="664" t="s">
        <v>13780</v>
      </c>
      <c r="G133" s="665" t="s">
        <v>517</v>
      </c>
      <c r="H133" s="666">
        <v>1</v>
      </c>
      <c r="I133" s="667">
        <v>60.46</v>
      </c>
    </row>
    <row r="134" spans="2:9" ht="15.75" hidden="1" customHeight="1" x14ac:dyDescent="0.25">
      <c r="B134" s="189"/>
      <c r="C134" s="661">
        <v>106</v>
      </c>
      <c r="D134" s="662" t="s">
        <v>13949</v>
      </c>
      <c r="E134" s="663" t="s">
        <v>13950</v>
      </c>
      <c r="F134" s="664" t="s">
        <v>13780</v>
      </c>
      <c r="G134" s="665" t="s">
        <v>585</v>
      </c>
      <c r="H134" s="666">
        <v>1</v>
      </c>
      <c r="I134" s="667">
        <v>54.1</v>
      </c>
    </row>
    <row r="135" spans="2:9" ht="15.75" hidden="1" customHeight="1" x14ac:dyDescent="0.25">
      <c r="B135" s="189"/>
      <c r="C135" s="661">
        <v>107</v>
      </c>
      <c r="D135" s="662">
        <v>14636</v>
      </c>
      <c r="E135" s="663" t="s">
        <v>13951</v>
      </c>
      <c r="F135" s="664" t="s">
        <v>13793</v>
      </c>
      <c r="G135" s="665" t="s">
        <v>578</v>
      </c>
      <c r="H135" s="666">
        <v>2</v>
      </c>
      <c r="I135" s="667">
        <v>16.059999999999999</v>
      </c>
    </row>
    <row r="136" spans="2:9" ht="15.75" hidden="1" customHeight="1" x14ac:dyDescent="0.25">
      <c r="B136" s="189"/>
      <c r="C136" s="661">
        <v>108</v>
      </c>
      <c r="D136" s="662" t="s">
        <v>13952</v>
      </c>
      <c r="E136" s="663" t="s">
        <v>13953</v>
      </c>
      <c r="F136" s="664" t="s">
        <v>13780</v>
      </c>
      <c r="G136" s="665" t="s">
        <v>578</v>
      </c>
      <c r="H136" s="666">
        <v>1</v>
      </c>
      <c r="I136" s="667">
        <v>61.12</v>
      </c>
    </row>
    <row r="137" spans="2:9" ht="15.75" hidden="1" customHeight="1" x14ac:dyDescent="0.25">
      <c r="B137" s="189"/>
      <c r="C137" s="661">
        <v>109</v>
      </c>
      <c r="D137" s="662" t="s">
        <v>13954</v>
      </c>
      <c r="E137" s="663" t="s">
        <v>13955</v>
      </c>
      <c r="F137" s="664" t="s">
        <v>13770</v>
      </c>
      <c r="G137" s="665" t="s">
        <v>13035</v>
      </c>
      <c r="H137" s="666">
        <v>1</v>
      </c>
      <c r="I137" s="667">
        <v>6.93</v>
      </c>
    </row>
    <row r="138" spans="2:9" ht="15.75" hidden="1" customHeight="1" x14ac:dyDescent="0.25">
      <c r="B138" s="189"/>
      <c r="C138" s="661">
        <v>110</v>
      </c>
      <c r="D138" s="662" t="s">
        <v>13956</v>
      </c>
      <c r="E138" s="663" t="s">
        <v>13957</v>
      </c>
      <c r="F138" s="664" t="s">
        <v>13853</v>
      </c>
      <c r="G138" s="665" t="s">
        <v>13958</v>
      </c>
      <c r="H138" s="666">
        <v>1</v>
      </c>
      <c r="I138" s="667">
        <v>631.79999999999995</v>
      </c>
    </row>
    <row r="139" spans="2:9" ht="15.75" hidden="1" customHeight="1" x14ac:dyDescent="0.25">
      <c r="B139" s="189"/>
      <c r="C139" s="661">
        <v>111</v>
      </c>
      <c r="D139" s="662" t="s">
        <v>13959</v>
      </c>
      <c r="E139" s="663" t="s">
        <v>13960</v>
      </c>
      <c r="F139" s="664" t="s">
        <v>13770</v>
      </c>
      <c r="G139" s="665" t="s">
        <v>12667</v>
      </c>
      <c r="H139" s="666">
        <v>1</v>
      </c>
      <c r="I139" s="667">
        <v>5.45</v>
      </c>
    </row>
    <row r="140" spans="2:9" ht="15.75" hidden="1" customHeight="1" x14ac:dyDescent="0.25">
      <c r="B140" s="189"/>
      <c r="C140" s="661">
        <v>112</v>
      </c>
      <c r="D140" s="662" t="s">
        <v>13961</v>
      </c>
      <c r="E140" s="663" t="s">
        <v>13962</v>
      </c>
      <c r="F140" s="664" t="s">
        <v>13770</v>
      </c>
      <c r="G140" s="665" t="s">
        <v>12667</v>
      </c>
      <c r="H140" s="666">
        <v>1</v>
      </c>
      <c r="I140" s="667">
        <v>10.63</v>
      </c>
    </row>
    <row r="141" spans="2:9" ht="15.75" hidden="1" customHeight="1" x14ac:dyDescent="0.25">
      <c r="B141" s="189"/>
      <c r="C141" s="661">
        <v>113</v>
      </c>
      <c r="D141" s="662" t="s">
        <v>13963</v>
      </c>
      <c r="E141" s="663" t="s">
        <v>13021</v>
      </c>
      <c r="F141" s="664" t="s">
        <v>13770</v>
      </c>
      <c r="G141" s="665" t="s">
        <v>12667</v>
      </c>
      <c r="H141" s="666">
        <v>1</v>
      </c>
      <c r="I141" s="667">
        <v>366.22</v>
      </c>
    </row>
    <row r="142" spans="2:9" ht="15.75" hidden="1" customHeight="1" x14ac:dyDescent="0.25">
      <c r="B142" s="189"/>
      <c r="C142" s="661">
        <v>114</v>
      </c>
      <c r="D142" s="662">
        <v>642</v>
      </c>
      <c r="E142" s="663" t="s">
        <v>13964</v>
      </c>
      <c r="F142" s="664" t="s">
        <v>13783</v>
      </c>
      <c r="G142" s="665" t="s">
        <v>580</v>
      </c>
      <c r="H142" s="666">
        <v>1</v>
      </c>
      <c r="I142" s="667">
        <v>128</v>
      </c>
    </row>
    <row r="143" spans="2:9" ht="15.75" hidden="1" customHeight="1" x14ac:dyDescent="0.25">
      <c r="B143" s="189"/>
      <c r="C143" s="661">
        <v>115</v>
      </c>
      <c r="D143" s="662" t="s">
        <v>13524</v>
      </c>
      <c r="E143" s="663" t="s">
        <v>13525</v>
      </c>
      <c r="F143" s="664" t="s">
        <v>13780</v>
      </c>
      <c r="G143" s="665" t="s">
        <v>585</v>
      </c>
      <c r="H143" s="666">
        <v>1</v>
      </c>
      <c r="I143" s="667">
        <v>10.3</v>
      </c>
    </row>
    <row r="144" spans="2:9" ht="15.75" hidden="1" customHeight="1" x14ac:dyDescent="0.25">
      <c r="B144" s="189"/>
      <c r="C144" s="661">
        <v>116</v>
      </c>
      <c r="D144" s="662" t="s">
        <v>13046</v>
      </c>
      <c r="E144" s="663" t="s">
        <v>13965</v>
      </c>
      <c r="F144" s="664" t="s">
        <v>13780</v>
      </c>
      <c r="G144" s="665" t="s">
        <v>585</v>
      </c>
      <c r="H144" s="666">
        <v>2</v>
      </c>
      <c r="I144" s="667">
        <v>15.61</v>
      </c>
    </row>
    <row r="145" spans="2:9" ht="15.75" hidden="1" customHeight="1" x14ac:dyDescent="0.25">
      <c r="B145" s="189"/>
      <c r="C145" s="661">
        <v>117</v>
      </c>
      <c r="D145" s="662" t="s">
        <v>13966</v>
      </c>
      <c r="E145" s="663" t="s">
        <v>13967</v>
      </c>
      <c r="F145" s="664" t="s">
        <v>13780</v>
      </c>
      <c r="G145" s="665" t="s">
        <v>580</v>
      </c>
      <c r="H145" s="666">
        <v>1</v>
      </c>
      <c r="I145" s="667">
        <v>271.3</v>
      </c>
    </row>
    <row r="146" spans="2:9" ht="15.75" hidden="1" customHeight="1" x14ac:dyDescent="0.25">
      <c r="B146" s="189"/>
      <c r="C146" s="661">
        <v>118</v>
      </c>
      <c r="D146" s="662" t="s">
        <v>13618</v>
      </c>
      <c r="E146" s="663" t="s">
        <v>13616</v>
      </c>
      <c r="F146" s="664" t="s">
        <v>13780</v>
      </c>
      <c r="G146" s="665" t="s">
        <v>580</v>
      </c>
      <c r="H146" s="666">
        <v>1</v>
      </c>
      <c r="I146" s="667">
        <v>1120.83</v>
      </c>
    </row>
    <row r="147" spans="2:9" ht="15.75" hidden="1" customHeight="1" x14ac:dyDescent="0.25">
      <c r="B147" s="189"/>
      <c r="C147" s="661">
        <v>119</v>
      </c>
      <c r="D147" s="662">
        <v>85002</v>
      </c>
      <c r="E147" s="663" t="s">
        <v>13968</v>
      </c>
      <c r="F147" s="664" t="s">
        <v>13782</v>
      </c>
      <c r="G147" s="665" t="s">
        <v>13777</v>
      </c>
      <c r="H147" s="666">
        <v>1</v>
      </c>
      <c r="I147" s="667">
        <v>288.77999999999997</v>
      </c>
    </row>
    <row r="148" spans="2:9" ht="15.75" hidden="1" customHeight="1" x14ac:dyDescent="0.25">
      <c r="B148" s="189"/>
      <c r="C148" s="661">
        <v>120</v>
      </c>
      <c r="D148" s="662" t="s">
        <v>13969</v>
      </c>
      <c r="E148" s="663" t="s">
        <v>13970</v>
      </c>
      <c r="F148" s="664" t="s">
        <v>13770</v>
      </c>
      <c r="G148" s="665" t="s">
        <v>12667</v>
      </c>
      <c r="H148" s="666">
        <v>1</v>
      </c>
      <c r="I148" s="667">
        <v>7.65</v>
      </c>
    </row>
    <row r="149" spans="2:9" ht="15.75" hidden="1" customHeight="1" x14ac:dyDescent="0.25">
      <c r="B149" s="189"/>
      <c r="C149" s="661">
        <v>121</v>
      </c>
      <c r="D149" s="662" t="s">
        <v>13093</v>
      </c>
      <c r="E149" s="663" t="s">
        <v>13971</v>
      </c>
      <c r="F149" s="664" t="s">
        <v>13780</v>
      </c>
      <c r="G149" s="665" t="s">
        <v>585</v>
      </c>
      <c r="H149" s="666">
        <v>2</v>
      </c>
      <c r="I149" s="667">
        <v>4.55</v>
      </c>
    </row>
    <row r="150" spans="2:9" ht="15.75" hidden="1" customHeight="1" x14ac:dyDescent="0.25">
      <c r="B150" s="189"/>
      <c r="C150" s="661">
        <v>122</v>
      </c>
      <c r="D150" s="662" t="s">
        <v>13972</v>
      </c>
      <c r="E150" s="663" t="s">
        <v>13973</v>
      </c>
      <c r="F150" s="664" t="s">
        <v>13780</v>
      </c>
      <c r="G150" s="665" t="s">
        <v>585</v>
      </c>
      <c r="H150" s="666">
        <v>2</v>
      </c>
      <c r="I150" s="667">
        <v>6.54</v>
      </c>
    </row>
    <row r="151" spans="2:9" ht="15.75" hidden="1" customHeight="1" x14ac:dyDescent="0.25">
      <c r="B151" s="189"/>
      <c r="C151" s="661">
        <v>123</v>
      </c>
      <c r="D151" s="662" t="s">
        <v>13974</v>
      </c>
      <c r="E151" s="663" t="s">
        <v>13599</v>
      </c>
      <c r="F151" s="664" t="s">
        <v>13770</v>
      </c>
      <c r="G151" s="665" t="s">
        <v>13975</v>
      </c>
      <c r="H151" s="666">
        <v>1</v>
      </c>
      <c r="I151" s="667">
        <v>129.27000000000001</v>
      </c>
    </row>
    <row r="152" spans="2:9" ht="15.75" hidden="1" customHeight="1" x14ac:dyDescent="0.25">
      <c r="B152" s="189"/>
      <c r="C152" s="661">
        <v>124</v>
      </c>
      <c r="D152" s="662" t="s">
        <v>13245</v>
      </c>
      <c r="E152" s="663" t="s">
        <v>13976</v>
      </c>
      <c r="F152" s="664" t="s">
        <v>13780</v>
      </c>
      <c r="G152" s="665" t="s">
        <v>585</v>
      </c>
      <c r="H152" s="666">
        <v>1</v>
      </c>
      <c r="I152" s="667">
        <v>168.79</v>
      </c>
    </row>
    <row r="153" spans="2:9" ht="15.75" hidden="1" customHeight="1" x14ac:dyDescent="0.25">
      <c r="B153" s="189"/>
      <c r="C153" s="661">
        <v>125</v>
      </c>
      <c r="D153" s="662" t="s">
        <v>13977</v>
      </c>
      <c r="E153" s="663" t="s">
        <v>13978</v>
      </c>
      <c r="F153" s="664" t="s">
        <v>13780</v>
      </c>
      <c r="G153" s="665" t="s">
        <v>580</v>
      </c>
      <c r="H153" s="666">
        <v>2</v>
      </c>
      <c r="I153" s="667">
        <v>113.33</v>
      </c>
    </row>
    <row r="154" spans="2:9" ht="15.75" hidden="1" customHeight="1" x14ac:dyDescent="0.25">
      <c r="B154" s="189"/>
      <c r="C154" s="661">
        <v>126</v>
      </c>
      <c r="D154" s="662" t="s">
        <v>13979</v>
      </c>
      <c r="E154" s="663" t="s">
        <v>13980</v>
      </c>
      <c r="F154" s="664" t="s">
        <v>13770</v>
      </c>
      <c r="G154" s="665" t="s">
        <v>12667</v>
      </c>
      <c r="H154" s="666">
        <v>1</v>
      </c>
      <c r="I154" s="667">
        <v>31.6</v>
      </c>
    </row>
    <row r="155" spans="2:9" ht="15.75" hidden="1" customHeight="1" x14ac:dyDescent="0.25">
      <c r="B155" s="189"/>
      <c r="C155" s="661">
        <v>127</v>
      </c>
      <c r="D155" s="662" t="s">
        <v>13981</v>
      </c>
      <c r="E155" s="663" t="s">
        <v>13982</v>
      </c>
      <c r="F155" s="664" t="s">
        <v>13853</v>
      </c>
      <c r="G155" s="665" t="s">
        <v>12667</v>
      </c>
      <c r="H155" s="666">
        <v>1</v>
      </c>
      <c r="I155" s="667">
        <v>2060</v>
      </c>
    </row>
    <row r="156" spans="2:9" ht="15.75" hidden="1" customHeight="1" x14ac:dyDescent="0.25">
      <c r="B156" s="189"/>
      <c r="C156" s="661">
        <v>128</v>
      </c>
      <c r="D156" s="662" t="s">
        <v>13983</v>
      </c>
      <c r="E156" s="663" t="s">
        <v>13984</v>
      </c>
      <c r="F156" s="664" t="s">
        <v>13874</v>
      </c>
      <c r="G156" s="665" t="s">
        <v>580</v>
      </c>
      <c r="H156" s="666">
        <v>1</v>
      </c>
      <c r="I156" s="667">
        <v>54.98</v>
      </c>
    </row>
    <row r="157" spans="2:9" ht="15.75" hidden="1" customHeight="1" x14ac:dyDescent="0.25">
      <c r="B157" s="189"/>
      <c r="C157" s="661">
        <v>129</v>
      </c>
      <c r="D157" s="662" t="s">
        <v>13985</v>
      </c>
      <c r="E157" s="663" t="s">
        <v>13986</v>
      </c>
      <c r="F157" s="664" t="s">
        <v>13789</v>
      </c>
      <c r="G157" s="665" t="s">
        <v>12667</v>
      </c>
      <c r="H157" s="666">
        <v>2</v>
      </c>
      <c r="I157" s="667">
        <v>1.47</v>
      </c>
    </row>
    <row r="158" spans="2:9" ht="15.75" hidden="1" customHeight="1" x14ac:dyDescent="0.25">
      <c r="B158" s="189"/>
      <c r="C158" s="661">
        <v>130</v>
      </c>
      <c r="D158" s="662" t="s">
        <v>12949</v>
      </c>
      <c r="E158" s="663" t="s">
        <v>13627</v>
      </c>
      <c r="F158" s="664" t="s">
        <v>13770</v>
      </c>
      <c r="G158" s="665" t="s">
        <v>12667</v>
      </c>
      <c r="H158" s="666">
        <v>1</v>
      </c>
      <c r="I158" s="667">
        <v>543.64</v>
      </c>
    </row>
    <row r="159" spans="2:9" ht="15.75" customHeight="1" x14ac:dyDescent="0.25">
      <c r="B159" s="189"/>
      <c r="C159" s="661">
        <v>131</v>
      </c>
      <c r="D159" s="662" t="s">
        <v>13987</v>
      </c>
      <c r="E159" s="663" t="s">
        <v>13988</v>
      </c>
      <c r="F159" s="664" t="s">
        <v>13780</v>
      </c>
      <c r="G159" s="665" t="s">
        <v>580</v>
      </c>
      <c r="H159" s="666">
        <v>1</v>
      </c>
      <c r="I159" s="667">
        <v>2553.73</v>
      </c>
    </row>
    <row r="160" spans="2:9" ht="15.75" hidden="1" customHeight="1" x14ac:dyDescent="0.25">
      <c r="B160" s="189"/>
      <c r="C160" s="661">
        <v>132</v>
      </c>
      <c r="D160" s="662" t="s">
        <v>13078</v>
      </c>
      <c r="E160" s="663" t="s">
        <v>13989</v>
      </c>
      <c r="F160" s="664" t="s">
        <v>13770</v>
      </c>
      <c r="G160" s="665" t="s">
        <v>12667</v>
      </c>
      <c r="H160" s="666">
        <v>1</v>
      </c>
      <c r="I160" s="667">
        <v>40.86</v>
      </c>
    </row>
    <row r="161" spans="2:9" ht="15.75" hidden="1" customHeight="1" x14ac:dyDescent="0.25">
      <c r="B161" s="189"/>
      <c r="C161" s="661">
        <v>133</v>
      </c>
      <c r="D161" s="662" t="s">
        <v>13990</v>
      </c>
      <c r="E161" s="663" t="s">
        <v>13991</v>
      </c>
      <c r="F161" s="664" t="s">
        <v>13780</v>
      </c>
      <c r="G161" s="665" t="s">
        <v>580</v>
      </c>
      <c r="H161" s="666">
        <v>1</v>
      </c>
      <c r="I161" s="667">
        <v>269.70999999999998</v>
      </c>
    </row>
    <row r="162" spans="2:9" ht="15.75" hidden="1" customHeight="1" x14ac:dyDescent="0.25">
      <c r="B162" s="189"/>
      <c r="C162" s="661">
        <v>134</v>
      </c>
      <c r="D162" s="662">
        <v>3433</v>
      </c>
      <c r="E162" s="663" t="s">
        <v>13992</v>
      </c>
      <c r="F162" s="664" t="s">
        <v>13993</v>
      </c>
      <c r="G162" s="665" t="s">
        <v>12667</v>
      </c>
      <c r="H162" s="666">
        <v>1</v>
      </c>
      <c r="I162" s="667">
        <v>124.23</v>
      </c>
    </row>
    <row r="163" spans="2:9" ht="15.75" hidden="1" customHeight="1" x14ac:dyDescent="0.25">
      <c r="B163" s="189"/>
      <c r="C163" s="661">
        <v>135</v>
      </c>
      <c r="D163" s="662" t="s">
        <v>13994</v>
      </c>
      <c r="E163" s="663" t="s">
        <v>13995</v>
      </c>
      <c r="F163" s="664" t="s">
        <v>13780</v>
      </c>
      <c r="G163" s="665" t="s">
        <v>580</v>
      </c>
      <c r="H163" s="666">
        <v>1</v>
      </c>
      <c r="I163" s="667">
        <v>132.31</v>
      </c>
    </row>
    <row r="164" spans="2:9" ht="15.75" customHeight="1" x14ac:dyDescent="0.25">
      <c r="B164" s="189"/>
      <c r="C164" s="661">
        <v>136</v>
      </c>
      <c r="D164" s="662" t="s">
        <v>13613</v>
      </c>
      <c r="E164" s="663" t="s">
        <v>13611</v>
      </c>
      <c r="F164" s="664" t="s">
        <v>13770</v>
      </c>
      <c r="G164" s="665" t="s">
        <v>12667</v>
      </c>
      <c r="H164" s="666">
        <v>1</v>
      </c>
      <c r="I164" s="667">
        <v>3701.38</v>
      </c>
    </row>
    <row r="165" spans="2:9" ht="15.75" customHeight="1" x14ac:dyDescent="0.25">
      <c r="B165" s="189"/>
      <c r="C165" s="661">
        <v>137</v>
      </c>
      <c r="D165" s="662" t="s">
        <v>13996</v>
      </c>
      <c r="E165" s="663" t="s">
        <v>13608</v>
      </c>
      <c r="F165" s="664" t="s">
        <v>13770</v>
      </c>
      <c r="G165" s="665" t="s">
        <v>13777</v>
      </c>
      <c r="H165" s="666">
        <v>1</v>
      </c>
      <c r="I165" s="667">
        <v>520</v>
      </c>
    </row>
    <row r="166" spans="2:9" ht="15.75" hidden="1" customHeight="1" x14ac:dyDescent="0.25">
      <c r="B166" s="189"/>
      <c r="C166" s="661">
        <v>138</v>
      </c>
      <c r="D166" s="662" t="s">
        <v>13997</v>
      </c>
      <c r="E166" s="663" t="s">
        <v>13998</v>
      </c>
      <c r="F166" s="664" t="s">
        <v>13780</v>
      </c>
      <c r="G166" s="665" t="s">
        <v>9561</v>
      </c>
      <c r="H166" s="666">
        <v>1</v>
      </c>
      <c r="I166" s="667">
        <v>265.08999999999997</v>
      </c>
    </row>
    <row r="167" spans="2:9" ht="15.75" hidden="1" customHeight="1" x14ac:dyDescent="0.25">
      <c r="B167" s="189"/>
      <c r="C167" s="661">
        <v>139</v>
      </c>
      <c r="D167" s="662">
        <v>4316</v>
      </c>
      <c r="E167" s="663" t="s">
        <v>13999</v>
      </c>
      <c r="F167" s="664" t="s">
        <v>13879</v>
      </c>
      <c r="G167" s="665" t="s">
        <v>12667</v>
      </c>
      <c r="H167" s="666">
        <v>1</v>
      </c>
      <c r="I167" s="667">
        <v>13.49</v>
      </c>
    </row>
    <row r="168" spans="2:9" ht="15.75" hidden="1" customHeight="1" x14ac:dyDescent="0.25">
      <c r="B168" s="189"/>
      <c r="C168" s="661">
        <v>140</v>
      </c>
      <c r="D168" s="662" t="s">
        <v>14000</v>
      </c>
      <c r="E168" s="663" t="s">
        <v>14001</v>
      </c>
      <c r="F168" s="664" t="s">
        <v>13770</v>
      </c>
      <c r="G168" s="665" t="s">
        <v>13441</v>
      </c>
      <c r="H168" s="666">
        <v>1</v>
      </c>
      <c r="I168" s="667">
        <v>10.64</v>
      </c>
    </row>
    <row r="169" spans="2:9" ht="15.75" hidden="1" customHeight="1" x14ac:dyDescent="0.25">
      <c r="B169" s="189"/>
      <c r="C169" s="661">
        <v>141</v>
      </c>
      <c r="D169" s="662" t="s">
        <v>14002</v>
      </c>
      <c r="E169" s="663" t="s">
        <v>14003</v>
      </c>
      <c r="F169" s="664" t="s">
        <v>13770</v>
      </c>
      <c r="G169" s="665" t="s">
        <v>13186</v>
      </c>
      <c r="H169" s="666">
        <v>1</v>
      </c>
      <c r="I169" s="667">
        <v>63.88</v>
      </c>
    </row>
    <row r="170" spans="2:9" ht="15.75" hidden="1" customHeight="1" x14ac:dyDescent="0.25">
      <c r="B170" s="189"/>
      <c r="C170" s="661">
        <v>142</v>
      </c>
      <c r="D170" s="662">
        <v>77241</v>
      </c>
      <c r="E170" s="663" t="s">
        <v>14004</v>
      </c>
      <c r="F170" s="664" t="s">
        <v>13782</v>
      </c>
      <c r="G170" s="665" t="s">
        <v>13777</v>
      </c>
      <c r="H170" s="666">
        <v>1</v>
      </c>
      <c r="I170" s="667">
        <v>258.7</v>
      </c>
    </row>
    <row r="171" spans="2:9" ht="15.75" hidden="1" customHeight="1" x14ac:dyDescent="0.25">
      <c r="B171" s="189"/>
      <c r="C171" s="661">
        <v>143</v>
      </c>
      <c r="D171" s="662" t="s">
        <v>14005</v>
      </c>
      <c r="E171" s="663" t="s">
        <v>14006</v>
      </c>
      <c r="F171" s="664" t="s">
        <v>13780</v>
      </c>
      <c r="G171" s="665" t="s">
        <v>580</v>
      </c>
      <c r="H171" s="666">
        <v>1</v>
      </c>
      <c r="I171" s="667">
        <v>158.08000000000001</v>
      </c>
    </row>
    <row r="172" spans="2:9" ht="15.75" hidden="1" customHeight="1" x14ac:dyDescent="0.25">
      <c r="B172" s="189"/>
      <c r="C172" s="661">
        <v>144</v>
      </c>
      <c r="D172" s="662" t="s">
        <v>13281</v>
      </c>
      <c r="E172" s="663" t="s">
        <v>14007</v>
      </c>
      <c r="F172" s="664" t="s">
        <v>13780</v>
      </c>
      <c r="G172" s="665" t="s">
        <v>585</v>
      </c>
      <c r="H172" s="666">
        <v>1</v>
      </c>
      <c r="I172" s="667">
        <v>4.3600000000000003</v>
      </c>
    </row>
    <row r="173" spans="2:9" ht="15.75" hidden="1" customHeight="1" x14ac:dyDescent="0.25">
      <c r="B173" s="189"/>
      <c r="C173" s="661">
        <v>145</v>
      </c>
      <c r="D173" s="662" t="s">
        <v>13288</v>
      </c>
      <c r="E173" s="663" t="s">
        <v>14008</v>
      </c>
      <c r="F173" s="664" t="s">
        <v>13780</v>
      </c>
      <c r="G173" s="665" t="s">
        <v>585</v>
      </c>
      <c r="H173" s="666">
        <v>1</v>
      </c>
      <c r="I173" s="667">
        <v>14.02</v>
      </c>
    </row>
    <row r="174" spans="2:9" ht="15.75" hidden="1" customHeight="1" x14ac:dyDescent="0.25">
      <c r="B174" s="189"/>
      <c r="C174" s="661">
        <v>146</v>
      </c>
      <c r="D174" s="662" t="s">
        <v>13293</v>
      </c>
      <c r="E174" s="663" t="s">
        <v>14009</v>
      </c>
      <c r="F174" s="664" t="s">
        <v>13780</v>
      </c>
      <c r="G174" s="665" t="s">
        <v>585</v>
      </c>
      <c r="H174" s="666">
        <v>1</v>
      </c>
      <c r="I174" s="667">
        <v>4.74</v>
      </c>
    </row>
    <row r="175" spans="2:9" ht="15.75" hidden="1" customHeight="1" x14ac:dyDescent="0.25">
      <c r="B175" s="189"/>
      <c r="C175" s="661">
        <v>147</v>
      </c>
      <c r="D175" s="662" t="s">
        <v>13298</v>
      </c>
      <c r="E175" s="663" t="s">
        <v>14009</v>
      </c>
      <c r="F175" s="664" t="s">
        <v>13780</v>
      </c>
      <c r="G175" s="665" t="s">
        <v>585</v>
      </c>
      <c r="H175" s="666">
        <v>1</v>
      </c>
      <c r="I175" s="667">
        <v>5.56</v>
      </c>
    </row>
    <row r="176" spans="2:9" ht="15.75" hidden="1" customHeight="1" x14ac:dyDescent="0.25">
      <c r="B176" s="189"/>
      <c r="C176" s="661">
        <v>148</v>
      </c>
      <c r="D176" s="662" t="s">
        <v>13303</v>
      </c>
      <c r="E176" s="663" t="s">
        <v>14010</v>
      </c>
      <c r="F176" s="664" t="s">
        <v>13780</v>
      </c>
      <c r="G176" s="665" t="s">
        <v>585</v>
      </c>
      <c r="H176" s="666">
        <v>1</v>
      </c>
      <c r="I176" s="667">
        <v>16.010000000000002</v>
      </c>
    </row>
    <row r="177" spans="2:9" ht="15.75" hidden="1" customHeight="1" x14ac:dyDescent="0.25">
      <c r="B177" s="189"/>
      <c r="C177" s="661">
        <v>149</v>
      </c>
      <c r="D177" s="662" t="s">
        <v>13366</v>
      </c>
      <c r="E177" s="663" t="s">
        <v>14011</v>
      </c>
      <c r="F177" s="664" t="s">
        <v>13770</v>
      </c>
      <c r="G177" s="665" t="s">
        <v>13035</v>
      </c>
      <c r="H177" s="666">
        <v>1</v>
      </c>
      <c r="I177" s="667">
        <v>89.68</v>
      </c>
    </row>
    <row r="178" spans="2:9" ht="15.75" hidden="1" customHeight="1" x14ac:dyDescent="0.25">
      <c r="B178" s="189"/>
      <c r="C178" s="661">
        <v>150</v>
      </c>
      <c r="D178" s="670" t="s">
        <v>14012</v>
      </c>
      <c r="E178" s="663" t="s">
        <v>14013</v>
      </c>
      <c r="F178" s="664" t="s">
        <v>13780</v>
      </c>
      <c r="G178" s="665" t="s">
        <v>585</v>
      </c>
      <c r="H178" s="666">
        <v>1</v>
      </c>
      <c r="I178" s="667">
        <v>17.77</v>
      </c>
    </row>
    <row r="179" spans="2:9" ht="15.75" hidden="1" customHeight="1" x14ac:dyDescent="0.25">
      <c r="B179" s="189"/>
      <c r="C179" s="661">
        <v>151</v>
      </c>
      <c r="D179" s="662" t="s">
        <v>14014</v>
      </c>
      <c r="E179" s="663" t="s">
        <v>14015</v>
      </c>
      <c r="F179" s="664" t="s">
        <v>13770</v>
      </c>
      <c r="G179" s="665" t="s">
        <v>13035</v>
      </c>
      <c r="H179" s="666">
        <v>1</v>
      </c>
      <c r="I179" s="667">
        <v>70.83</v>
      </c>
    </row>
    <row r="180" spans="2:9" ht="15.75" hidden="1" customHeight="1" x14ac:dyDescent="0.25">
      <c r="B180" s="189"/>
      <c r="C180" s="661">
        <v>152</v>
      </c>
      <c r="D180" s="662" t="s">
        <v>14016</v>
      </c>
      <c r="E180" s="663" t="s">
        <v>14017</v>
      </c>
      <c r="F180" s="664" t="s">
        <v>13780</v>
      </c>
      <c r="G180" s="665" t="s">
        <v>585</v>
      </c>
      <c r="H180" s="666">
        <v>1</v>
      </c>
      <c r="I180" s="667">
        <v>6.59</v>
      </c>
    </row>
    <row r="181" spans="2:9" ht="15.75" hidden="1" customHeight="1" x14ac:dyDescent="0.25">
      <c r="B181" s="189"/>
      <c r="C181" s="661">
        <v>153</v>
      </c>
      <c r="D181" s="662" t="s">
        <v>13369</v>
      </c>
      <c r="E181" s="663" t="s">
        <v>14018</v>
      </c>
      <c r="F181" s="664" t="s">
        <v>13770</v>
      </c>
      <c r="G181" s="665" t="s">
        <v>13035</v>
      </c>
      <c r="H181" s="666">
        <v>1</v>
      </c>
      <c r="I181" s="667">
        <v>80.8</v>
      </c>
    </row>
    <row r="182" spans="2:9" ht="15.75" hidden="1" customHeight="1" x14ac:dyDescent="0.25">
      <c r="B182" s="189"/>
      <c r="C182" s="661">
        <v>154</v>
      </c>
      <c r="D182" s="662" t="s">
        <v>14019</v>
      </c>
      <c r="E182" s="663" t="s">
        <v>14020</v>
      </c>
      <c r="F182" s="664" t="s">
        <v>13780</v>
      </c>
      <c r="G182" s="665" t="s">
        <v>585</v>
      </c>
      <c r="H182" s="666">
        <v>1</v>
      </c>
      <c r="I182" s="667">
        <v>21.35</v>
      </c>
    </row>
    <row r="183" spans="2:9" ht="15.75" hidden="1" customHeight="1" x14ac:dyDescent="0.25">
      <c r="B183" s="189"/>
      <c r="C183" s="661">
        <v>155</v>
      </c>
      <c r="D183" s="662" t="s">
        <v>14021</v>
      </c>
      <c r="E183" s="663" t="s">
        <v>14022</v>
      </c>
      <c r="F183" s="664" t="s">
        <v>13780</v>
      </c>
      <c r="G183" s="665" t="s">
        <v>585</v>
      </c>
      <c r="H183" s="666">
        <v>1</v>
      </c>
      <c r="I183" s="667">
        <v>26.23</v>
      </c>
    </row>
    <row r="184" spans="2:9" ht="15.75" hidden="1" customHeight="1" x14ac:dyDescent="0.25">
      <c r="B184" s="189"/>
      <c r="C184" s="661">
        <v>156</v>
      </c>
      <c r="D184" s="662" t="s">
        <v>13283</v>
      </c>
      <c r="E184" s="663" t="s">
        <v>13284</v>
      </c>
      <c r="F184" s="664" t="s">
        <v>13780</v>
      </c>
      <c r="G184" s="665" t="s">
        <v>517</v>
      </c>
      <c r="H184" s="666">
        <v>9</v>
      </c>
      <c r="I184" s="667">
        <v>135.35</v>
      </c>
    </row>
    <row r="185" spans="2:9" ht="15.75" hidden="1" customHeight="1" x14ac:dyDescent="0.25">
      <c r="B185" s="189"/>
      <c r="C185" s="661">
        <v>157</v>
      </c>
      <c r="D185" s="662" t="s">
        <v>14023</v>
      </c>
      <c r="E185" s="663" t="s">
        <v>14024</v>
      </c>
      <c r="F185" s="664" t="s">
        <v>13770</v>
      </c>
      <c r="G185" s="665" t="s">
        <v>13035</v>
      </c>
      <c r="H185" s="666">
        <v>1</v>
      </c>
      <c r="I185" s="667">
        <v>29.43</v>
      </c>
    </row>
    <row r="186" spans="2:9" ht="15.75" hidden="1" customHeight="1" x14ac:dyDescent="0.25">
      <c r="B186" s="189"/>
      <c r="C186" s="661">
        <v>158</v>
      </c>
      <c r="D186" s="662" t="s">
        <v>14025</v>
      </c>
      <c r="E186" s="663" t="s">
        <v>14026</v>
      </c>
      <c r="F186" s="664" t="s">
        <v>13874</v>
      </c>
      <c r="G186" s="665" t="s">
        <v>578</v>
      </c>
      <c r="H186" s="666">
        <v>3</v>
      </c>
      <c r="I186" s="667">
        <v>26.39</v>
      </c>
    </row>
    <row r="187" spans="2:9" ht="15.75" hidden="1" customHeight="1" x14ac:dyDescent="0.25">
      <c r="B187" s="189"/>
      <c r="C187" s="661">
        <v>159</v>
      </c>
      <c r="D187" s="662" t="s">
        <v>13403</v>
      </c>
      <c r="E187" s="663" t="s">
        <v>14027</v>
      </c>
      <c r="F187" s="664" t="s">
        <v>13780</v>
      </c>
      <c r="G187" s="665" t="s">
        <v>578</v>
      </c>
      <c r="H187" s="666">
        <v>8</v>
      </c>
      <c r="I187" s="667">
        <v>4180.49</v>
      </c>
    </row>
    <row r="188" spans="2:9" ht="15.75" hidden="1" customHeight="1" x14ac:dyDescent="0.25">
      <c r="B188" s="189"/>
      <c r="C188" s="661">
        <v>160</v>
      </c>
      <c r="D188" s="662" t="s">
        <v>13411</v>
      </c>
      <c r="E188" s="663" t="s">
        <v>14028</v>
      </c>
      <c r="F188" s="664" t="s">
        <v>13780</v>
      </c>
      <c r="G188" s="665" t="s">
        <v>578</v>
      </c>
      <c r="H188" s="666">
        <v>15</v>
      </c>
      <c r="I188" s="667">
        <v>3397.1</v>
      </c>
    </row>
    <row r="189" spans="2:9" ht="15.75" hidden="1" customHeight="1" x14ac:dyDescent="0.25">
      <c r="B189" s="189"/>
      <c r="C189" s="661">
        <v>161</v>
      </c>
      <c r="D189" s="662" t="s">
        <v>13411</v>
      </c>
      <c r="E189" s="663" t="s">
        <v>14029</v>
      </c>
      <c r="F189" s="664" t="s">
        <v>13780</v>
      </c>
      <c r="G189" s="665" t="s">
        <v>578</v>
      </c>
      <c r="H189" s="666">
        <v>3</v>
      </c>
      <c r="I189" s="667">
        <v>3397.1</v>
      </c>
    </row>
    <row r="190" spans="2:9" ht="15.75" hidden="1" customHeight="1" x14ac:dyDescent="0.25">
      <c r="B190" s="189"/>
      <c r="C190" s="661">
        <v>162</v>
      </c>
      <c r="D190" s="662" t="s">
        <v>13375</v>
      </c>
      <c r="E190" s="663" t="s">
        <v>14030</v>
      </c>
      <c r="F190" s="664" t="s">
        <v>13780</v>
      </c>
      <c r="G190" s="665" t="s">
        <v>578</v>
      </c>
      <c r="H190" s="666">
        <v>10</v>
      </c>
      <c r="I190" s="667">
        <v>2146.41</v>
      </c>
    </row>
    <row r="191" spans="2:9" ht="15.75" hidden="1" customHeight="1" x14ac:dyDescent="0.25">
      <c r="B191" s="189"/>
      <c r="C191" s="661">
        <v>163</v>
      </c>
      <c r="D191" s="662" t="s">
        <v>13396</v>
      </c>
      <c r="E191" s="663" t="s">
        <v>14031</v>
      </c>
      <c r="F191" s="664" t="s">
        <v>13780</v>
      </c>
      <c r="G191" s="665" t="s">
        <v>578</v>
      </c>
      <c r="H191" s="666">
        <v>5</v>
      </c>
      <c r="I191" s="667">
        <v>6143.03</v>
      </c>
    </row>
    <row r="192" spans="2:9" ht="15.75" hidden="1" customHeight="1" x14ac:dyDescent="0.25">
      <c r="B192" s="189"/>
      <c r="C192" s="661">
        <v>164</v>
      </c>
      <c r="D192" s="662" t="s">
        <v>14032</v>
      </c>
      <c r="E192" s="663" t="s">
        <v>14033</v>
      </c>
      <c r="F192" s="664" t="s">
        <v>13780</v>
      </c>
      <c r="G192" s="665" t="s">
        <v>585</v>
      </c>
      <c r="H192" s="666">
        <v>1</v>
      </c>
      <c r="I192" s="667">
        <v>14.26</v>
      </c>
    </row>
    <row r="193" spans="2:9" ht="15.75" hidden="1" customHeight="1" x14ac:dyDescent="0.25">
      <c r="B193" s="189"/>
      <c r="C193" s="661">
        <v>165</v>
      </c>
      <c r="D193" s="662" t="s">
        <v>14034</v>
      </c>
      <c r="E193" s="663" t="s">
        <v>14035</v>
      </c>
      <c r="F193" s="664" t="s">
        <v>13780</v>
      </c>
      <c r="G193" s="665" t="s">
        <v>585</v>
      </c>
      <c r="H193" s="666">
        <v>1</v>
      </c>
      <c r="I193" s="667">
        <v>16.66</v>
      </c>
    </row>
    <row r="194" spans="2:9" ht="15.75" hidden="1" customHeight="1" x14ac:dyDescent="0.25">
      <c r="B194" s="189"/>
      <c r="C194" s="661">
        <v>166</v>
      </c>
      <c r="D194" s="662" t="s">
        <v>14036</v>
      </c>
      <c r="E194" s="663" t="s">
        <v>14037</v>
      </c>
      <c r="F194" s="664" t="s">
        <v>13780</v>
      </c>
      <c r="G194" s="665" t="s">
        <v>578</v>
      </c>
      <c r="H194" s="666">
        <v>1</v>
      </c>
      <c r="I194" s="667">
        <v>55.35</v>
      </c>
    </row>
    <row r="195" spans="2:9" ht="15.75" hidden="1" customHeight="1" x14ac:dyDescent="0.25">
      <c r="B195" s="189"/>
      <c r="C195" s="671">
        <v>167</v>
      </c>
      <c r="D195" s="662" t="s">
        <v>14038</v>
      </c>
      <c r="E195" s="663" t="s">
        <v>14039</v>
      </c>
      <c r="F195" s="664" t="s">
        <v>13908</v>
      </c>
      <c r="G195" s="665" t="s">
        <v>580</v>
      </c>
      <c r="H195" s="666">
        <v>1</v>
      </c>
      <c r="I195" s="667">
        <v>677.42</v>
      </c>
    </row>
    <row r="196" spans="2:9" ht="15.75" hidden="1" customHeight="1" x14ac:dyDescent="0.25">
      <c r="B196" s="189"/>
      <c r="C196" s="671">
        <v>168</v>
      </c>
      <c r="D196" s="662" t="s">
        <v>13192</v>
      </c>
      <c r="E196" s="663" t="s">
        <v>13193</v>
      </c>
      <c r="F196" s="664" t="s">
        <v>13770</v>
      </c>
      <c r="G196" s="665" t="s">
        <v>578</v>
      </c>
      <c r="H196" s="666">
        <v>1</v>
      </c>
      <c r="I196" s="667">
        <v>585.16999999999996</v>
      </c>
    </row>
    <row r="197" spans="2:9" ht="15.75" customHeight="1" x14ac:dyDescent="0.25">
      <c r="B197" s="189"/>
      <c r="C197" s="671">
        <v>169</v>
      </c>
      <c r="D197" s="662" t="s">
        <v>14040</v>
      </c>
      <c r="E197" s="663" t="s">
        <v>14041</v>
      </c>
      <c r="F197" s="664" t="s">
        <v>13770</v>
      </c>
      <c r="G197" s="665" t="s">
        <v>578</v>
      </c>
      <c r="H197" s="666">
        <v>1</v>
      </c>
      <c r="I197" s="667">
        <v>494.48</v>
      </c>
    </row>
    <row r="198" spans="2:9" ht="15.75" customHeight="1" x14ac:dyDescent="0.25">
      <c r="B198" s="189"/>
      <c r="C198" s="189"/>
      <c r="D198" s="189"/>
      <c r="E198" s="672"/>
      <c r="F198" s="664"/>
      <c r="G198" s="472"/>
      <c r="H198" s="472"/>
      <c r="I198" s="672"/>
    </row>
    <row r="199" spans="2:9" ht="15.75" customHeight="1" x14ac:dyDescent="0.25">
      <c r="B199" s="189"/>
      <c r="C199" s="189"/>
      <c r="D199" s="189"/>
      <c r="E199" s="672"/>
      <c r="F199" s="189"/>
      <c r="G199" s="472"/>
      <c r="H199" s="472"/>
      <c r="I199" s="672"/>
    </row>
    <row r="200" spans="2:9" ht="15.75" customHeight="1" x14ac:dyDescent="0.25">
      <c r="B200" s="189"/>
      <c r="C200" s="189"/>
      <c r="D200" s="189"/>
      <c r="E200" s="672"/>
      <c r="F200" s="189"/>
      <c r="G200" s="472"/>
      <c r="H200" s="472"/>
      <c r="I200" s="672"/>
    </row>
    <row r="201" spans="2:9" ht="15.75" customHeight="1" x14ac:dyDescent="0.25">
      <c r="B201" s="189"/>
      <c r="C201" s="189"/>
      <c r="D201" s="189"/>
      <c r="E201" s="672"/>
      <c r="F201" s="189"/>
      <c r="G201" s="472"/>
      <c r="H201" s="472"/>
      <c r="I201" s="672"/>
    </row>
    <row r="202" spans="2:9" ht="15.75" customHeight="1" x14ac:dyDescent="0.25">
      <c r="B202" s="189"/>
      <c r="C202" s="189"/>
      <c r="D202" s="189"/>
      <c r="E202" s="672"/>
      <c r="F202" s="189"/>
      <c r="G202" s="472"/>
      <c r="H202" s="472"/>
      <c r="I202" s="672"/>
    </row>
    <row r="203" spans="2:9" ht="15.75" customHeight="1" x14ac:dyDescent="0.25">
      <c r="B203" s="189"/>
      <c r="C203" s="189"/>
      <c r="D203" s="189"/>
      <c r="E203" s="672"/>
      <c r="F203" s="189"/>
      <c r="G203" s="472"/>
      <c r="H203" s="472"/>
      <c r="I203" s="672"/>
    </row>
    <row r="204" spans="2:9" ht="15.75" customHeight="1" x14ac:dyDescent="0.25">
      <c r="B204" s="189"/>
      <c r="C204" s="189"/>
      <c r="D204" s="189"/>
      <c r="E204" s="672"/>
      <c r="F204" s="189"/>
      <c r="G204" s="472"/>
      <c r="H204" s="472"/>
      <c r="I204" s="672"/>
    </row>
    <row r="205" spans="2:9" ht="15.75" customHeight="1" x14ac:dyDescent="0.25">
      <c r="B205" s="189"/>
      <c r="C205" s="189"/>
      <c r="D205" s="189"/>
      <c r="E205" s="672"/>
      <c r="F205" s="189"/>
      <c r="G205" s="472"/>
      <c r="H205" s="472"/>
      <c r="I205" s="672"/>
    </row>
    <row r="206" spans="2:9" ht="15.75" customHeight="1" x14ac:dyDescent="0.25">
      <c r="B206" s="189"/>
      <c r="C206" s="189"/>
      <c r="D206" s="189"/>
      <c r="E206" s="672"/>
      <c r="F206" s="189"/>
      <c r="G206" s="472"/>
      <c r="H206" s="472"/>
      <c r="I206" s="672"/>
    </row>
    <row r="207" spans="2:9" ht="15.75" customHeight="1" x14ac:dyDescent="0.25">
      <c r="B207" s="189"/>
      <c r="C207" s="189"/>
      <c r="D207" s="189"/>
      <c r="E207" s="672"/>
      <c r="F207" s="189"/>
      <c r="G207" s="472"/>
      <c r="H207" s="472"/>
      <c r="I207" s="672"/>
    </row>
    <row r="208" spans="2:9" ht="15.75" customHeight="1" x14ac:dyDescent="0.25">
      <c r="B208" s="189"/>
      <c r="C208" s="189"/>
      <c r="D208" s="189"/>
      <c r="E208" s="672"/>
      <c r="F208" s="189"/>
      <c r="G208" s="472"/>
      <c r="H208" s="472"/>
      <c r="I208" s="672"/>
    </row>
    <row r="209" spans="2:9" ht="15.75" customHeight="1" x14ac:dyDescent="0.25">
      <c r="B209" s="189"/>
      <c r="C209" s="189"/>
      <c r="D209" s="189"/>
      <c r="E209" s="672"/>
      <c r="F209" s="189"/>
      <c r="G209" s="472"/>
      <c r="H209" s="472"/>
      <c r="I209" s="672"/>
    </row>
    <row r="210" spans="2:9" ht="15.75" customHeight="1" x14ac:dyDescent="0.25">
      <c r="B210" s="189"/>
      <c r="C210" s="189"/>
      <c r="D210" s="189"/>
      <c r="E210" s="672"/>
      <c r="F210" s="189"/>
      <c r="G210" s="472"/>
      <c r="H210" s="472"/>
      <c r="I210" s="672"/>
    </row>
    <row r="211" spans="2:9" ht="15.75" customHeight="1" x14ac:dyDescent="0.25">
      <c r="B211" s="189"/>
      <c r="C211" s="189"/>
      <c r="D211" s="189"/>
      <c r="E211" s="672"/>
      <c r="F211" s="189"/>
      <c r="G211" s="472"/>
      <c r="H211" s="472"/>
      <c r="I211" s="672"/>
    </row>
    <row r="212" spans="2:9" ht="15.75" customHeight="1" x14ac:dyDescent="0.25">
      <c r="B212" s="189"/>
      <c r="C212" s="189"/>
      <c r="D212" s="189"/>
      <c r="E212" s="672"/>
      <c r="F212" s="189"/>
      <c r="G212" s="472"/>
      <c r="H212" s="472"/>
      <c r="I212" s="672"/>
    </row>
    <row r="213" spans="2:9" ht="15.75" customHeight="1" x14ac:dyDescent="0.25">
      <c r="B213" s="189"/>
      <c r="C213" s="189"/>
      <c r="D213" s="189"/>
      <c r="E213" s="672"/>
      <c r="F213" s="189"/>
      <c r="G213" s="472"/>
      <c r="H213" s="472"/>
      <c r="I213" s="672"/>
    </row>
    <row r="214" spans="2:9" ht="15.75" customHeight="1" x14ac:dyDescent="0.25">
      <c r="B214" s="189"/>
      <c r="C214" s="189"/>
      <c r="D214" s="189"/>
      <c r="E214" s="672"/>
      <c r="F214" s="189"/>
      <c r="G214" s="472"/>
      <c r="H214" s="472"/>
      <c r="I214" s="672"/>
    </row>
    <row r="215" spans="2:9" ht="15.75" customHeight="1" x14ac:dyDescent="0.25">
      <c r="B215" s="189"/>
      <c r="C215" s="189"/>
      <c r="D215" s="189"/>
      <c r="E215" s="672"/>
      <c r="F215" s="189"/>
      <c r="G215" s="472"/>
      <c r="H215" s="472"/>
      <c r="I215" s="672"/>
    </row>
    <row r="216" spans="2:9" ht="15.75" customHeight="1" x14ac:dyDescent="0.25">
      <c r="B216" s="189"/>
      <c r="C216" s="189"/>
      <c r="D216" s="189"/>
      <c r="E216" s="672"/>
      <c r="F216" s="189"/>
      <c r="G216" s="472"/>
      <c r="H216" s="472"/>
      <c r="I216" s="672"/>
    </row>
    <row r="217" spans="2:9" ht="15.75" customHeight="1" x14ac:dyDescent="0.25">
      <c r="B217" s="189"/>
      <c r="C217" s="189"/>
      <c r="D217" s="189"/>
      <c r="E217" s="672"/>
      <c r="F217" s="189"/>
      <c r="G217" s="472"/>
      <c r="H217" s="472"/>
      <c r="I217" s="672"/>
    </row>
    <row r="218" spans="2:9" ht="15.75" customHeight="1" x14ac:dyDescent="0.25">
      <c r="B218" s="189"/>
      <c r="C218" s="189"/>
      <c r="D218" s="189"/>
      <c r="E218" s="672"/>
      <c r="F218" s="189"/>
      <c r="G218" s="472"/>
      <c r="H218" s="472"/>
      <c r="I218" s="672"/>
    </row>
    <row r="219" spans="2:9" ht="15.75" customHeight="1" x14ac:dyDescent="0.25">
      <c r="B219" s="189"/>
      <c r="C219" s="189"/>
      <c r="D219" s="189"/>
      <c r="E219" s="672"/>
      <c r="F219" s="189"/>
      <c r="G219" s="472"/>
      <c r="H219" s="472"/>
      <c r="I219" s="672"/>
    </row>
    <row r="220" spans="2:9" ht="15.75" customHeight="1" x14ac:dyDescent="0.25">
      <c r="B220" s="189"/>
      <c r="C220" s="189"/>
      <c r="D220" s="189"/>
      <c r="E220" s="672"/>
      <c r="F220" s="189"/>
      <c r="G220" s="472"/>
      <c r="H220" s="472"/>
      <c r="I220" s="672"/>
    </row>
    <row r="221" spans="2:9" ht="15.75" customHeight="1" x14ac:dyDescent="0.25">
      <c r="B221" s="189"/>
      <c r="C221" s="189"/>
      <c r="D221" s="189"/>
      <c r="E221" s="672"/>
      <c r="F221" s="189"/>
      <c r="G221" s="472"/>
      <c r="H221" s="472"/>
      <c r="I221" s="672"/>
    </row>
    <row r="222" spans="2:9" ht="15.75" customHeight="1" x14ac:dyDescent="0.25">
      <c r="B222" s="189"/>
      <c r="C222" s="189"/>
      <c r="D222" s="189"/>
      <c r="E222" s="672"/>
      <c r="F222" s="189"/>
      <c r="G222" s="472"/>
      <c r="H222" s="472"/>
      <c r="I222" s="672"/>
    </row>
    <row r="223" spans="2:9" ht="15.75" customHeight="1" x14ac:dyDescent="0.25">
      <c r="B223" s="189"/>
      <c r="C223" s="189"/>
      <c r="D223" s="189"/>
      <c r="E223" s="672"/>
      <c r="F223" s="189"/>
      <c r="G223" s="472"/>
      <c r="H223" s="472"/>
      <c r="I223" s="672"/>
    </row>
    <row r="224" spans="2:9" ht="15.75" customHeight="1" x14ac:dyDescent="0.25">
      <c r="B224" s="189"/>
      <c r="C224" s="189"/>
      <c r="D224" s="189"/>
      <c r="E224" s="672"/>
      <c r="F224" s="189"/>
      <c r="G224" s="472"/>
      <c r="H224" s="472"/>
      <c r="I224" s="672"/>
    </row>
    <row r="225" spans="2:9" ht="15.75" customHeight="1" x14ac:dyDescent="0.25">
      <c r="B225" s="189"/>
      <c r="C225" s="189"/>
      <c r="D225" s="189"/>
      <c r="E225" s="672"/>
      <c r="F225" s="189"/>
      <c r="G225" s="472"/>
      <c r="H225" s="472"/>
      <c r="I225" s="672"/>
    </row>
    <row r="226" spans="2:9" ht="15.75" customHeight="1" x14ac:dyDescent="0.25">
      <c r="B226" s="189"/>
      <c r="C226" s="189"/>
      <c r="D226" s="189"/>
      <c r="E226" s="672"/>
      <c r="F226" s="189"/>
      <c r="G226" s="472"/>
      <c r="H226" s="472"/>
      <c r="I226" s="672"/>
    </row>
    <row r="227" spans="2:9" ht="15.75" customHeight="1" x14ac:dyDescent="0.25">
      <c r="B227" s="189"/>
      <c r="C227" s="189"/>
      <c r="D227" s="189"/>
      <c r="E227" s="672"/>
      <c r="F227" s="189"/>
      <c r="G227" s="472"/>
      <c r="H227" s="472"/>
      <c r="I227" s="672"/>
    </row>
    <row r="228" spans="2:9" ht="15.75" customHeight="1" x14ac:dyDescent="0.25">
      <c r="B228" s="189"/>
      <c r="C228" s="189"/>
      <c r="D228" s="189"/>
      <c r="E228" s="672"/>
      <c r="F228" s="189"/>
      <c r="G228" s="472"/>
      <c r="H228" s="472"/>
      <c r="I228" s="672"/>
    </row>
    <row r="229" spans="2:9" ht="15.75" customHeight="1" x14ac:dyDescent="0.25">
      <c r="B229" s="189"/>
      <c r="C229" s="189"/>
      <c r="D229" s="189"/>
      <c r="E229" s="672"/>
      <c r="F229" s="189"/>
      <c r="G229" s="472"/>
      <c r="H229" s="472"/>
      <c r="I229" s="672"/>
    </row>
    <row r="230" spans="2:9" ht="15.75" customHeight="1" x14ac:dyDescent="0.25">
      <c r="B230" s="189"/>
      <c r="C230" s="189"/>
      <c r="D230" s="189"/>
      <c r="E230" s="672"/>
      <c r="F230" s="189"/>
      <c r="G230" s="472"/>
      <c r="H230" s="472"/>
      <c r="I230" s="672"/>
    </row>
    <row r="231" spans="2:9" ht="15.75" customHeight="1" x14ac:dyDescent="0.25">
      <c r="B231" s="189"/>
      <c r="C231" s="189"/>
      <c r="D231" s="189"/>
      <c r="E231" s="672"/>
      <c r="F231" s="189"/>
      <c r="G231" s="472"/>
      <c r="H231" s="472"/>
      <c r="I231" s="672"/>
    </row>
    <row r="232" spans="2:9" ht="15.75" customHeight="1" x14ac:dyDescent="0.25">
      <c r="B232" s="189"/>
      <c r="C232" s="189"/>
      <c r="D232" s="189"/>
      <c r="E232" s="672"/>
      <c r="F232" s="189"/>
      <c r="G232" s="472"/>
      <c r="H232" s="472"/>
      <c r="I232" s="672"/>
    </row>
    <row r="233" spans="2:9" ht="15.75" customHeight="1" x14ac:dyDescent="0.25">
      <c r="B233" s="189"/>
      <c r="C233" s="189"/>
      <c r="D233" s="189"/>
      <c r="E233" s="672"/>
      <c r="F233" s="189"/>
      <c r="G233" s="472"/>
      <c r="H233" s="472"/>
      <c r="I233" s="672"/>
    </row>
    <row r="234" spans="2:9" ht="15.75" customHeight="1" x14ac:dyDescent="0.25">
      <c r="B234" s="189"/>
      <c r="C234" s="189"/>
      <c r="D234" s="189"/>
      <c r="E234" s="672"/>
      <c r="F234" s="189"/>
      <c r="G234" s="472"/>
      <c r="H234" s="472"/>
      <c r="I234" s="672"/>
    </row>
    <row r="235" spans="2:9" ht="15.75" customHeight="1" x14ac:dyDescent="0.25">
      <c r="B235" s="189"/>
      <c r="C235" s="189"/>
      <c r="D235" s="189"/>
      <c r="E235" s="672"/>
      <c r="F235" s="189"/>
      <c r="G235" s="472"/>
      <c r="H235" s="472"/>
      <c r="I235" s="672"/>
    </row>
    <row r="236" spans="2:9" ht="15.75" customHeight="1" x14ac:dyDescent="0.25">
      <c r="B236" s="189"/>
      <c r="C236" s="189"/>
      <c r="D236" s="189"/>
      <c r="E236" s="672"/>
      <c r="F236" s="189"/>
      <c r="G236" s="472"/>
      <c r="H236" s="472"/>
      <c r="I236" s="672"/>
    </row>
    <row r="237" spans="2:9" ht="15.75" customHeight="1" x14ac:dyDescent="0.25">
      <c r="B237" s="189"/>
      <c r="C237" s="189"/>
      <c r="D237" s="189"/>
      <c r="E237" s="672"/>
      <c r="F237" s="189"/>
      <c r="G237" s="472"/>
      <c r="H237" s="472"/>
      <c r="I237" s="672"/>
    </row>
    <row r="238" spans="2:9" ht="15.75" customHeight="1" x14ac:dyDescent="0.25">
      <c r="B238" s="189"/>
      <c r="C238" s="189"/>
      <c r="D238" s="189"/>
      <c r="E238" s="672"/>
      <c r="F238" s="189"/>
      <c r="G238" s="472"/>
      <c r="H238" s="472"/>
      <c r="I238" s="672"/>
    </row>
    <row r="239" spans="2:9" ht="15.75" customHeight="1" x14ac:dyDescent="0.25">
      <c r="B239" s="189"/>
      <c r="C239" s="189"/>
      <c r="D239" s="189"/>
      <c r="E239" s="672"/>
      <c r="F239" s="189"/>
      <c r="G239" s="472"/>
      <c r="H239" s="472"/>
      <c r="I239" s="672"/>
    </row>
    <row r="240" spans="2:9" ht="15.75" customHeight="1" x14ac:dyDescent="0.25">
      <c r="B240" s="189"/>
      <c r="C240" s="189"/>
      <c r="D240" s="189"/>
      <c r="E240" s="672"/>
      <c r="F240" s="189"/>
      <c r="G240" s="472"/>
      <c r="H240" s="472"/>
      <c r="I240" s="672"/>
    </row>
    <row r="241" spans="2:9" ht="15.75" customHeight="1" x14ac:dyDescent="0.25">
      <c r="B241" s="189"/>
      <c r="C241" s="189"/>
      <c r="D241" s="189"/>
      <c r="E241" s="672"/>
      <c r="F241" s="189"/>
      <c r="G241" s="472"/>
      <c r="H241" s="472"/>
      <c r="I241" s="672"/>
    </row>
    <row r="242" spans="2:9" ht="15.75" customHeight="1" x14ac:dyDescent="0.25">
      <c r="B242" s="189"/>
      <c r="C242" s="189"/>
      <c r="D242" s="189"/>
      <c r="E242" s="672"/>
      <c r="F242" s="189"/>
      <c r="G242" s="472"/>
      <c r="H242" s="472"/>
      <c r="I242" s="672"/>
    </row>
    <row r="243" spans="2:9" ht="15.75" customHeight="1" x14ac:dyDescent="0.25">
      <c r="B243" s="189"/>
      <c r="C243" s="189"/>
      <c r="D243" s="189"/>
      <c r="E243" s="672"/>
      <c r="F243" s="189"/>
      <c r="G243" s="472"/>
      <c r="H243" s="472"/>
      <c r="I243" s="672"/>
    </row>
    <row r="244" spans="2:9" ht="15.75" customHeight="1" x14ac:dyDescent="0.25">
      <c r="B244" s="189"/>
      <c r="C244" s="189"/>
      <c r="D244" s="189"/>
      <c r="E244" s="672"/>
      <c r="F244" s="189"/>
      <c r="G244" s="472"/>
      <c r="H244" s="472"/>
      <c r="I244" s="672"/>
    </row>
    <row r="245" spans="2:9" ht="15.75" customHeight="1" x14ac:dyDescent="0.25">
      <c r="B245" s="189"/>
      <c r="C245" s="189"/>
      <c r="D245" s="189"/>
      <c r="E245" s="672"/>
      <c r="F245" s="189"/>
      <c r="G245" s="472"/>
      <c r="H245" s="472"/>
      <c r="I245" s="672"/>
    </row>
    <row r="246" spans="2:9" ht="15.75" customHeight="1" x14ac:dyDescent="0.25">
      <c r="B246" s="189"/>
      <c r="C246" s="189"/>
      <c r="D246" s="189"/>
      <c r="E246" s="672"/>
      <c r="F246" s="189"/>
      <c r="G246" s="472"/>
      <c r="H246" s="472"/>
      <c r="I246" s="672"/>
    </row>
    <row r="247" spans="2:9" ht="15.75" customHeight="1" x14ac:dyDescent="0.25">
      <c r="B247" s="189"/>
      <c r="C247" s="189"/>
      <c r="D247" s="189"/>
      <c r="E247" s="672"/>
      <c r="F247" s="189"/>
      <c r="G247" s="472"/>
      <c r="H247" s="472"/>
      <c r="I247" s="672"/>
    </row>
    <row r="248" spans="2:9" ht="15.75" customHeight="1" x14ac:dyDescent="0.25">
      <c r="B248" s="189"/>
      <c r="C248" s="189"/>
      <c r="D248" s="189"/>
      <c r="E248" s="672"/>
      <c r="F248" s="189"/>
      <c r="G248" s="472"/>
      <c r="H248" s="472"/>
      <c r="I248" s="672"/>
    </row>
    <row r="249" spans="2:9" ht="15.75" customHeight="1" x14ac:dyDescent="0.25">
      <c r="B249" s="189"/>
      <c r="C249" s="189"/>
      <c r="D249" s="189"/>
      <c r="E249" s="672"/>
      <c r="F249" s="189"/>
      <c r="G249" s="472"/>
      <c r="H249" s="472"/>
      <c r="I249" s="672"/>
    </row>
    <row r="250" spans="2:9" ht="15.75" customHeight="1" x14ac:dyDescent="0.25">
      <c r="B250" s="189"/>
      <c r="C250" s="189"/>
      <c r="D250" s="189"/>
      <c r="E250" s="672"/>
      <c r="F250" s="189"/>
      <c r="G250" s="472"/>
      <c r="H250" s="472"/>
      <c r="I250" s="672"/>
    </row>
    <row r="251" spans="2:9" ht="15.75" customHeight="1" x14ac:dyDescent="0.25">
      <c r="B251" s="189"/>
      <c r="C251" s="189"/>
      <c r="D251" s="189"/>
      <c r="E251" s="672"/>
      <c r="F251" s="189"/>
      <c r="G251" s="472"/>
      <c r="H251" s="472"/>
      <c r="I251" s="672"/>
    </row>
    <row r="252" spans="2:9" ht="15.75" customHeight="1" x14ac:dyDescent="0.25">
      <c r="B252" s="189"/>
      <c r="C252" s="189"/>
      <c r="D252" s="189"/>
      <c r="E252" s="672"/>
      <c r="F252" s="189"/>
      <c r="G252" s="472"/>
      <c r="H252" s="472"/>
      <c r="I252" s="672"/>
    </row>
    <row r="253" spans="2:9" ht="15.75" customHeight="1" x14ac:dyDescent="0.25">
      <c r="B253" s="189"/>
      <c r="C253" s="189"/>
      <c r="D253" s="189"/>
      <c r="E253" s="672"/>
      <c r="F253" s="189"/>
      <c r="G253" s="472"/>
      <c r="H253" s="472"/>
      <c r="I253" s="672"/>
    </row>
    <row r="254" spans="2:9" ht="15.75" customHeight="1" x14ac:dyDescent="0.25">
      <c r="B254" s="189"/>
      <c r="C254" s="189"/>
      <c r="D254" s="189"/>
      <c r="E254" s="672"/>
      <c r="F254" s="189"/>
      <c r="G254" s="472"/>
      <c r="H254" s="472"/>
      <c r="I254" s="672"/>
    </row>
    <row r="255" spans="2:9" ht="15.75" customHeight="1" x14ac:dyDescent="0.25">
      <c r="B255" s="189"/>
      <c r="C255" s="189"/>
      <c r="D255" s="189"/>
      <c r="E255" s="672"/>
      <c r="F255" s="189"/>
      <c r="G255" s="472"/>
      <c r="H255" s="472"/>
      <c r="I255" s="672"/>
    </row>
    <row r="256" spans="2:9" ht="15.75" customHeight="1" x14ac:dyDescent="0.25">
      <c r="B256" s="189"/>
      <c r="C256" s="189"/>
      <c r="D256" s="189"/>
      <c r="E256" s="672"/>
      <c r="F256" s="189"/>
      <c r="G256" s="472"/>
      <c r="H256" s="472"/>
      <c r="I256" s="672"/>
    </row>
    <row r="257" spans="2:9" ht="15.75" customHeight="1" x14ac:dyDescent="0.25">
      <c r="B257" s="189"/>
      <c r="C257" s="189"/>
      <c r="D257" s="189"/>
      <c r="E257" s="672"/>
      <c r="F257" s="189"/>
      <c r="G257" s="472"/>
      <c r="H257" s="472"/>
      <c r="I257" s="672"/>
    </row>
    <row r="258" spans="2:9" ht="15.75" customHeight="1" x14ac:dyDescent="0.25">
      <c r="B258" s="189"/>
      <c r="C258" s="189"/>
      <c r="D258" s="189"/>
      <c r="E258" s="672"/>
      <c r="F258" s="189"/>
      <c r="G258" s="472"/>
      <c r="H258" s="472"/>
      <c r="I258" s="672"/>
    </row>
    <row r="259" spans="2:9" ht="15.75" customHeight="1" x14ac:dyDescent="0.25">
      <c r="B259" s="189"/>
      <c r="C259" s="189"/>
      <c r="D259" s="189"/>
      <c r="E259" s="672"/>
      <c r="F259" s="189"/>
      <c r="G259" s="472"/>
      <c r="H259" s="472"/>
      <c r="I259" s="672"/>
    </row>
    <row r="260" spans="2:9" ht="15.75" customHeight="1" x14ac:dyDescent="0.25">
      <c r="B260" s="189"/>
      <c r="C260" s="189"/>
      <c r="D260" s="189"/>
      <c r="E260" s="672"/>
      <c r="F260" s="189"/>
      <c r="G260" s="472"/>
      <c r="H260" s="472"/>
      <c r="I260" s="672"/>
    </row>
    <row r="261" spans="2:9" ht="15.75" customHeight="1" x14ac:dyDescent="0.25">
      <c r="B261" s="189"/>
      <c r="C261" s="189"/>
      <c r="D261" s="189"/>
      <c r="E261" s="672"/>
      <c r="F261" s="189"/>
      <c r="G261" s="472"/>
      <c r="H261" s="472"/>
      <c r="I261" s="672"/>
    </row>
    <row r="262" spans="2:9" ht="15.75" customHeight="1" x14ac:dyDescent="0.25">
      <c r="B262" s="189"/>
      <c r="C262" s="189"/>
      <c r="D262" s="189"/>
      <c r="E262" s="672"/>
      <c r="F262" s="189"/>
      <c r="G262" s="472"/>
      <c r="H262" s="472"/>
      <c r="I262" s="672"/>
    </row>
    <row r="263" spans="2:9" ht="15.75" customHeight="1" x14ac:dyDescent="0.25">
      <c r="B263" s="189"/>
      <c r="C263" s="189"/>
      <c r="D263" s="189"/>
      <c r="E263" s="672"/>
      <c r="F263" s="189"/>
      <c r="G263" s="472"/>
      <c r="H263" s="472"/>
      <c r="I263" s="672"/>
    </row>
    <row r="264" spans="2:9" ht="15.75" customHeight="1" x14ac:dyDescent="0.25">
      <c r="B264" s="189"/>
      <c r="C264" s="189"/>
      <c r="D264" s="189"/>
      <c r="E264" s="672"/>
      <c r="F264" s="189"/>
      <c r="G264" s="472"/>
      <c r="H264" s="472"/>
      <c r="I264" s="672"/>
    </row>
    <row r="265" spans="2:9" ht="15.75" customHeight="1" x14ac:dyDescent="0.25">
      <c r="B265" s="189"/>
      <c r="C265" s="189"/>
      <c r="D265" s="189"/>
      <c r="E265" s="672"/>
      <c r="F265" s="189"/>
      <c r="G265" s="472"/>
      <c r="H265" s="472"/>
      <c r="I265" s="672"/>
    </row>
    <row r="266" spans="2:9" ht="15.75" customHeight="1" x14ac:dyDescent="0.25">
      <c r="B266" s="189"/>
      <c r="C266" s="189"/>
      <c r="D266" s="189"/>
      <c r="E266" s="672"/>
      <c r="F266" s="189"/>
      <c r="G266" s="472"/>
      <c r="H266" s="472"/>
      <c r="I266" s="672"/>
    </row>
    <row r="267" spans="2:9" ht="15.75" customHeight="1" x14ac:dyDescent="0.25">
      <c r="B267" s="189"/>
      <c r="C267" s="189"/>
      <c r="D267" s="189"/>
      <c r="E267" s="672"/>
      <c r="F267" s="189"/>
      <c r="G267" s="472"/>
      <c r="H267" s="472"/>
      <c r="I267" s="672"/>
    </row>
    <row r="268" spans="2:9" ht="15.75" customHeight="1" x14ac:dyDescent="0.25">
      <c r="B268" s="189"/>
      <c r="C268" s="189"/>
      <c r="D268" s="189"/>
      <c r="E268" s="672"/>
      <c r="F268" s="189"/>
      <c r="G268" s="472"/>
      <c r="H268" s="472"/>
      <c r="I268" s="672"/>
    </row>
    <row r="269" spans="2:9" ht="15.75" customHeight="1" x14ac:dyDescent="0.25">
      <c r="B269" s="189"/>
      <c r="C269" s="189"/>
      <c r="D269" s="189"/>
      <c r="E269" s="672"/>
      <c r="F269" s="189"/>
      <c r="G269" s="472"/>
      <c r="H269" s="472"/>
      <c r="I269" s="672"/>
    </row>
    <row r="270" spans="2:9" ht="15.75" customHeight="1" x14ac:dyDescent="0.25">
      <c r="B270" s="189"/>
      <c r="C270" s="189"/>
      <c r="D270" s="189"/>
      <c r="E270" s="672"/>
      <c r="F270" s="189"/>
      <c r="G270" s="472"/>
      <c r="H270" s="472"/>
      <c r="I270" s="672"/>
    </row>
    <row r="271" spans="2:9" ht="15.75" customHeight="1" x14ac:dyDescent="0.25">
      <c r="B271" s="189"/>
      <c r="C271" s="189"/>
      <c r="D271" s="189"/>
      <c r="E271" s="672"/>
      <c r="F271" s="189"/>
      <c r="G271" s="472"/>
      <c r="H271" s="472"/>
      <c r="I271" s="672"/>
    </row>
    <row r="272" spans="2:9" ht="15.75" customHeight="1" x14ac:dyDescent="0.25">
      <c r="B272" s="189"/>
      <c r="C272" s="189"/>
      <c r="D272" s="189"/>
      <c r="E272" s="672"/>
      <c r="F272" s="189"/>
      <c r="G272" s="472"/>
      <c r="H272" s="472"/>
      <c r="I272" s="672"/>
    </row>
    <row r="273" spans="2:9" ht="15.75" customHeight="1" x14ac:dyDescent="0.25">
      <c r="B273" s="189"/>
      <c r="C273" s="189"/>
      <c r="D273" s="189"/>
      <c r="E273" s="672"/>
      <c r="F273" s="189"/>
      <c r="G273" s="472"/>
      <c r="H273" s="472"/>
      <c r="I273" s="672"/>
    </row>
    <row r="274" spans="2:9" ht="15.75" customHeight="1" x14ac:dyDescent="0.25">
      <c r="B274" s="189"/>
      <c r="C274" s="189"/>
      <c r="D274" s="189"/>
      <c r="E274" s="672"/>
      <c r="F274" s="189"/>
      <c r="G274" s="472"/>
      <c r="H274" s="472"/>
      <c r="I274" s="672"/>
    </row>
    <row r="275" spans="2:9" ht="15.75" customHeight="1" x14ac:dyDescent="0.25">
      <c r="B275" s="189"/>
      <c r="C275" s="189"/>
      <c r="D275" s="189"/>
      <c r="E275" s="672"/>
      <c r="F275" s="189"/>
      <c r="G275" s="472"/>
      <c r="H275" s="472"/>
      <c r="I275" s="672"/>
    </row>
    <row r="276" spans="2:9" ht="15.75" customHeight="1" x14ac:dyDescent="0.25">
      <c r="B276" s="189"/>
      <c r="C276" s="189"/>
      <c r="D276" s="189"/>
      <c r="E276" s="672"/>
      <c r="F276" s="189"/>
      <c r="G276" s="472"/>
      <c r="H276" s="472"/>
      <c r="I276" s="672"/>
    </row>
    <row r="277" spans="2:9" ht="15.75" customHeight="1" x14ac:dyDescent="0.25">
      <c r="B277" s="189"/>
      <c r="C277" s="189"/>
      <c r="D277" s="189"/>
      <c r="E277" s="672"/>
      <c r="F277" s="189"/>
      <c r="G277" s="472"/>
      <c r="H277" s="472"/>
      <c r="I277" s="672"/>
    </row>
    <row r="278" spans="2:9" ht="15.75" customHeight="1" x14ac:dyDescent="0.25">
      <c r="B278" s="189"/>
      <c r="C278" s="189"/>
      <c r="D278" s="189"/>
      <c r="E278" s="672"/>
      <c r="F278" s="189"/>
      <c r="G278" s="472"/>
      <c r="H278" s="472"/>
      <c r="I278" s="672"/>
    </row>
    <row r="279" spans="2:9" ht="15.75" customHeight="1" x14ac:dyDescent="0.25">
      <c r="B279" s="189"/>
      <c r="C279" s="189"/>
      <c r="D279" s="189"/>
      <c r="E279" s="672"/>
      <c r="F279" s="189"/>
      <c r="G279" s="472"/>
      <c r="H279" s="472"/>
      <c r="I279" s="672"/>
    </row>
    <row r="280" spans="2:9" ht="15.75" customHeight="1" x14ac:dyDescent="0.25">
      <c r="B280" s="189"/>
      <c r="C280" s="189"/>
      <c r="D280" s="189"/>
      <c r="E280" s="672"/>
      <c r="F280" s="189"/>
      <c r="G280" s="472"/>
      <c r="H280" s="472"/>
      <c r="I280" s="672"/>
    </row>
    <row r="281" spans="2:9" ht="15.75" customHeight="1" x14ac:dyDescent="0.25">
      <c r="B281" s="189"/>
      <c r="C281" s="189"/>
      <c r="D281" s="189"/>
      <c r="E281" s="672"/>
      <c r="F281" s="189"/>
      <c r="G281" s="472"/>
      <c r="H281" s="472"/>
      <c r="I281" s="672"/>
    </row>
    <row r="282" spans="2:9" ht="15.75" customHeight="1" x14ac:dyDescent="0.25">
      <c r="B282" s="189"/>
      <c r="C282" s="189"/>
      <c r="D282" s="189"/>
      <c r="E282" s="672"/>
      <c r="F282" s="189"/>
      <c r="G282" s="472"/>
      <c r="H282" s="472"/>
      <c r="I282" s="672"/>
    </row>
    <row r="283" spans="2:9" ht="15.75" customHeight="1" x14ac:dyDescent="0.25">
      <c r="B283" s="189"/>
      <c r="C283" s="189"/>
      <c r="D283" s="189"/>
      <c r="E283" s="672"/>
      <c r="F283" s="189"/>
      <c r="G283" s="472"/>
      <c r="H283" s="472"/>
      <c r="I283" s="672"/>
    </row>
    <row r="284" spans="2:9" ht="15.75" customHeight="1" x14ac:dyDescent="0.25">
      <c r="B284" s="189"/>
      <c r="C284" s="189"/>
      <c r="D284" s="189"/>
      <c r="E284" s="672"/>
      <c r="F284" s="189"/>
      <c r="G284" s="472"/>
      <c r="H284" s="472"/>
      <c r="I284" s="672"/>
    </row>
    <row r="285" spans="2:9" ht="15.75" customHeight="1" x14ac:dyDescent="0.25">
      <c r="B285" s="189"/>
      <c r="C285" s="189"/>
      <c r="D285" s="189"/>
      <c r="E285" s="672"/>
      <c r="F285" s="189"/>
      <c r="G285" s="472"/>
      <c r="H285" s="472"/>
      <c r="I285" s="672"/>
    </row>
    <row r="286" spans="2:9" ht="15.75" customHeight="1" x14ac:dyDescent="0.25">
      <c r="B286" s="189"/>
      <c r="C286" s="189"/>
      <c r="D286" s="189"/>
      <c r="E286" s="672"/>
      <c r="F286" s="189"/>
      <c r="G286" s="472"/>
      <c r="H286" s="472"/>
      <c r="I286" s="672"/>
    </row>
    <row r="287" spans="2:9" ht="15.75" customHeight="1" x14ac:dyDescent="0.25">
      <c r="B287" s="189"/>
      <c r="C287" s="189"/>
      <c r="D287" s="189"/>
      <c r="E287" s="672"/>
      <c r="F287" s="189"/>
      <c r="G287" s="472"/>
      <c r="H287" s="472"/>
      <c r="I287" s="672"/>
    </row>
    <row r="288" spans="2:9" ht="15.75" customHeight="1" x14ac:dyDescent="0.25">
      <c r="B288" s="189"/>
      <c r="C288" s="189"/>
      <c r="D288" s="189"/>
      <c r="E288" s="672"/>
      <c r="F288" s="189"/>
      <c r="G288" s="472"/>
      <c r="H288" s="472"/>
      <c r="I288" s="672"/>
    </row>
    <row r="289" spans="2:9" ht="15.75" customHeight="1" x14ac:dyDescent="0.25">
      <c r="B289" s="189"/>
      <c r="C289" s="189"/>
      <c r="D289" s="189"/>
      <c r="E289" s="672"/>
      <c r="F289" s="189"/>
      <c r="G289" s="472"/>
      <c r="H289" s="472"/>
      <c r="I289" s="672"/>
    </row>
    <row r="290" spans="2:9" ht="15.75" customHeight="1" x14ac:dyDescent="0.25">
      <c r="B290" s="189"/>
      <c r="C290" s="189"/>
      <c r="D290" s="189"/>
      <c r="E290" s="672"/>
      <c r="F290" s="189"/>
      <c r="G290" s="472"/>
      <c r="H290" s="472"/>
      <c r="I290" s="672"/>
    </row>
    <row r="291" spans="2:9" ht="15.75" customHeight="1" x14ac:dyDescent="0.25">
      <c r="B291" s="189"/>
      <c r="C291" s="189"/>
      <c r="D291" s="189"/>
      <c r="E291" s="672"/>
      <c r="F291" s="189"/>
      <c r="G291" s="472"/>
      <c r="H291" s="472"/>
      <c r="I291" s="672"/>
    </row>
    <row r="292" spans="2:9" ht="15.75" customHeight="1" x14ac:dyDescent="0.25">
      <c r="B292" s="189"/>
      <c r="C292" s="189"/>
      <c r="D292" s="189"/>
      <c r="E292" s="672"/>
      <c r="F292" s="189"/>
      <c r="G292" s="472"/>
      <c r="H292" s="472"/>
      <c r="I292" s="672"/>
    </row>
    <row r="293" spans="2:9" ht="15.75" customHeight="1" x14ac:dyDescent="0.25">
      <c r="B293" s="189"/>
      <c r="C293" s="189"/>
      <c r="D293" s="189"/>
      <c r="E293" s="672"/>
      <c r="F293" s="189"/>
      <c r="G293" s="472"/>
      <c r="H293" s="472"/>
      <c r="I293" s="672"/>
    </row>
    <row r="294" spans="2:9" ht="15.75" customHeight="1" x14ac:dyDescent="0.25">
      <c r="B294" s="189"/>
      <c r="C294" s="189"/>
      <c r="D294" s="189"/>
      <c r="E294" s="672"/>
      <c r="F294" s="189"/>
      <c r="G294" s="472"/>
      <c r="H294" s="472"/>
      <c r="I294" s="672"/>
    </row>
    <row r="295" spans="2:9" ht="15.75" customHeight="1" x14ac:dyDescent="0.25">
      <c r="B295" s="189"/>
      <c r="C295" s="189"/>
      <c r="D295" s="189"/>
      <c r="E295" s="672"/>
      <c r="F295" s="189"/>
      <c r="G295" s="472"/>
      <c r="H295" s="472"/>
      <c r="I295" s="672"/>
    </row>
    <row r="296" spans="2:9" ht="15.75" customHeight="1" x14ac:dyDescent="0.25">
      <c r="B296" s="189"/>
      <c r="C296" s="189"/>
      <c r="D296" s="189"/>
      <c r="E296" s="672"/>
      <c r="F296" s="189"/>
      <c r="G296" s="472"/>
      <c r="H296" s="472"/>
      <c r="I296" s="672"/>
    </row>
    <row r="297" spans="2:9" ht="15.75" customHeight="1" x14ac:dyDescent="0.25">
      <c r="B297" s="189"/>
      <c r="C297" s="189"/>
      <c r="D297" s="189"/>
      <c r="E297" s="672"/>
      <c r="F297" s="189"/>
      <c r="G297" s="472"/>
      <c r="H297" s="472"/>
      <c r="I297" s="672"/>
    </row>
    <row r="298" spans="2:9" ht="15.75" customHeight="1" x14ac:dyDescent="0.25">
      <c r="B298" s="189"/>
      <c r="C298" s="189"/>
      <c r="D298" s="189"/>
      <c r="E298" s="672"/>
      <c r="F298" s="189"/>
      <c r="G298" s="472"/>
      <c r="H298" s="472"/>
      <c r="I298" s="672"/>
    </row>
    <row r="299" spans="2:9" ht="15.75" customHeight="1" x14ac:dyDescent="0.25">
      <c r="B299" s="189"/>
      <c r="C299" s="189"/>
      <c r="D299" s="189"/>
      <c r="E299" s="672"/>
      <c r="F299" s="189"/>
      <c r="G299" s="472"/>
      <c r="H299" s="472"/>
      <c r="I299" s="672"/>
    </row>
    <row r="300" spans="2:9" ht="15.75" customHeight="1" x14ac:dyDescent="0.25">
      <c r="B300" s="189"/>
      <c r="C300" s="189"/>
      <c r="D300" s="189"/>
      <c r="E300" s="672"/>
      <c r="F300" s="189"/>
      <c r="G300" s="472"/>
      <c r="H300" s="472"/>
      <c r="I300" s="672"/>
    </row>
    <row r="301" spans="2:9" ht="15.75" customHeight="1" x14ac:dyDescent="0.25">
      <c r="B301" s="189"/>
      <c r="C301" s="189"/>
      <c r="D301" s="189"/>
      <c r="E301" s="672"/>
      <c r="F301" s="189"/>
      <c r="G301" s="472"/>
      <c r="H301" s="472"/>
      <c r="I301" s="672"/>
    </row>
    <row r="302" spans="2:9" ht="15.75" customHeight="1" x14ac:dyDescent="0.25">
      <c r="B302" s="189"/>
      <c r="C302" s="189"/>
      <c r="D302" s="189"/>
      <c r="E302" s="672"/>
      <c r="F302" s="189"/>
      <c r="G302" s="472"/>
      <c r="H302" s="472"/>
      <c r="I302" s="672"/>
    </row>
    <row r="303" spans="2:9" ht="15.75" customHeight="1" x14ac:dyDescent="0.25">
      <c r="B303" s="189"/>
      <c r="C303" s="189"/>
      <c r="D303" s="189"/>
      <c r="E303" s="672"/>
      <c r="F303" s="189"/>
      <c r="G303" s="472"/>
      <c r="H303" s="472"/>
      <c r="I303" s="672"/>
    </row>
    <row r="304" spans="2:9" ht="15.75" customHeight="1" x14ac:dyDescent="0.25">
      <c r="B304" s="189"/>
      <c r="C304" s="189"/>
      <c r="D304" s="189"/>
      <c r="E304" s="672"/>
      <c r="F304" s="189"/>
      <c r="G304" s="472"/>
      <c r="H304" s="472"/>
      <c r="I304" s="672"/>
    </row>
    <row r="305" spans="2:9" ht="15.75" customHeight="1" x14ac:dyDescent="0.25">
      <c r="B305" s="189"/>
      <c r="C305" s="189"/>
      <c r="D305" s="189"/>
      <c r="E305" s="672"/>
      <c r="F305" s="189"/>
      <c r="G305" s="472"/>
      <c r="H305" s="472"/>
      <c r="I305" s="672"/>
    </row>
    <row r="306" spans="2:9" ht="15.75" customHeight="1" x14ac:dyDescent="0.25">
      <c r="B306" s="189"/>
      <c r="C306" s="189"/>
      <c r="D306" s="189"/>
      <c r="E306" s="672"/>
      <c r="F306" s="189"/>
      <c r="G306" s="472"/>
      <c r="H306" s="472"/>
      <c r="I306" s="672"/>
    </row>
    <row r="307" spans="2:9" ht="15.75" customHeight="1" x14ac:dyDescent="0.25">
      <c r="B307" s="189"/>
      <c r="C307" s="189"/>
      <c r="D307" s="189"/>
      <c r="E307" s="672"/>
      <c r="F307" s="189"/>
      <c r="G307" s="472"/>
      <c r="H307" s="472"/>
      <c r="I307" s="672"/>
    </row>
    <row r="308" spans="2:9" ht="15.75" customHeight="1" x14ac:dyDescent="0.25">
      <c r="B308" s="189"/>
      <c r="C308" s="189"/>
      <c r="D308" s="189"/>
      <c r="E308" s="672"/>
      <c r="F308" s="189"/>
      <c r="G308" s="472"/>
      <c r="H308" s="472"/>
      <c r="I308" s="672"/>
    </row>
    <row r="309" spans="2:9" ht="15.75" customHeight="1" x14ac:dyDescent="0.25">
      <c r="B309" s="189"/>
      <c r="C309" s="189"/>
      <c r="D309" s="189"/>
      <c r="E309" s="672"/>
      <c r="F309" s="189"/>
      <c r="G309" s="472"/>
      <c r="H309" s="472"/>
      <c r="I309" s="672"/>
    </row>
    <row r="310" spans="2:9" ht="15.75" customHeight="1" x14ac:dyDescent="0.25">
      <c r="B310" s="189"/>
      <c r="C310" s="189"/>
      <c r="D310" s="189"/>
      <c r="E310" s="672"/>
      <c r="F310" s="189"/>
      <c r="G310" s="472"/>
      <c r="H310" s="472"/>
      <c r="I310" s="672"/>
    </row>
    <row r="311" spans="2:9" ht="15.75" customHeight="1" x14ac:dyDescent="0.25">
      <c r="B311" s="189"/>
      <c r="C311" s="189"/>
      <c r="D311" s="189"/>
      <c r="E311" s="672"/>
      <c r="F311" s="189"/>
      <c r="G311" s="472"/>
      <c r="H311" s="472"/>
      <c r="I311" s="672"/>
    </row>
    <row r="312" spans="2:9" ht="15.75" customHeight="1" x14ac:dyDescent="0.25">
      <c r="B312" s="189"/>
      <c r="C312" s="189"/>
      <c r="D312" s="189"/>
      <c r="E312" s="672"/>
      <c r="F312" s="189"/>
      <c r="G312" s="472"/>
      <c r="H312" s="472"/>
      <c r="I312" s="672"/>
    </row>
    <row r="313" spans="2:9" ht="15.75" customHeight="1" x14ac:dyDescent="0.25">
      <c r="B313" s="189"/>
      <c r="C313" s="189"/>
      <c r="D313" s="189"/>
      <c r="E313" s="672"/>
      <c r="F313" s="189"/>
      <c r="G313" s="472"/>
      <c r="H313" s="472"/>
      <c r="I313" s="672"/>
    </row>
    <row r="314" spans="2:9" ht="15.75" customHeight="1" x14ac:dyDescent="0.25">
      <c r="B314" s="189"/>
      <c r="C314" s="189"/>
      <c r="D314" s="189"/>
      <c r="E314" s="672"/>
      <c r="F314" s="189"/>
      <c r="G314" s="472"/>
      <c r="H314" s="472"/>
      <c r="I314" s="672"/>
    </row>
    <row r="315" spans="2:9" ht="15.75" customHeight="1" x14ac:dyDescent="0.25">
      <c r="B315" s="189"/>
      <c r="C315" s="189"/>
      <c r="D315" s="189"/>
      <c r="E315" s="672"/>
      <c r="F315" s="189"/>
      <c r="G315" s="472"/>
      <c r="H315" s="472"/>
      <c r="I315" s="672"/>
    </row>
    <row r="316" spans="2:9" ht="15.75" customHeight="1" x14ac:dyDescent="0.25">
      <c r="B316" s="189"/>
      <c r="C316" s="189"/>
      <c r="D316" s="189"/>
      <c r="E316" s="672"/>
      <c r="F316" s="189"/>
      <c r="G316" s="472"/>
      <c r="H316" s="472"/>
      <c r="I316" s="672"/>
    </row>
    <row r="317" spans="2:9" ht="15.75" customHeight="1" x14ac:dyDescent="0.25">
      <c r="B317" s="189"/>
      <c r="C317" s="189"/>
      <c r="D317" s="189"/>
      <c r="E317" s="672"/>
      <c r="F317" s="189"/>
      <c r="G317" s="472"/>
      <c r="H317" s="472"/>
      <c r="I317" s="672"/>
    </row>
    <row r="318" spans="2:9" ht="15.75" customHeight="1" x14ac:dyDescent="0.25">
      <c r="B318" s="189"/>
      <c r="C318" s="189"/>
      <c r="D318" s="189"/>
      <c r="E318" s="672"/>
      <c r="F318" s="189"/>
      <c r="G318" s="472"/>
      <c r="H318" s="472"/>
      <c r="I318" s="672"/>
    </row>
    <row r="319" spans="2:9" ht="15.75" customHeight="1" x14ac:dyDescent="0.25">
      <c r="B319" s="189"/>
      <c r="C319" s="189"/>
      <c r="D319" s="189"/>
      <c r="E319" s="672"/>
      <c r="F319" s="189"/>
      <c r="G319" s="472"/>
      <c r="H319" s="472"/>
      <c r="I319" s="672"/>
    </row>
    <row r="320" spans="2:9" ht="15.75" customHeight="1" x14ac:dyDescent="0.25">
      <c r="B320" s="189"/>
      <c r="C320" s="189"/>
      <c r="D320" s="189"/>
      <c r="E320" s="672"/>
      <c r="F320" s="189"/>
      <c r="G320" s="472"/>
      <c r="H320" s="472"/>
      <c r="I320" s="672"/>
    </row>
    <row r="321" spans="2:9" ht="15.75" customHeight="1" x14ac:dyDescent="0.25">
      <c r="B321" s="189"/>
      <c r="C321" s="189"/>
      <c r="D321" s="189"/>
      <c r="E321" s="672"/>
      <c r="F321" s="189"/>
      <c r="G321" s="472"/>
      <c r="H321" s="472"/>
      <c r="I321" s="672"/>
    </row>
    <row r="322" spans="2:9" ht="15.75" customHeight="1" x14ac:dyDescent="0.25">
      <c r="B322" s="189"/>
      <c r="C322" s="189"/>
      <c r="D322" s="189"/>
      <c r="E322" s="672"/>
      <c r="F322" s="189"/>
      <c r="G322" s="472"/>
      <c r="H322" s="472"/>
      <c r="I322" s="672"/>
    </row>
    <row r="323" spans="2:9" ht="15.75" customHeight="1" x14ac:dyDescent="0.25">
      <c r="B323" s="189"/>
      <c r="C323" s="189"/>
      <c r="D323" s="189"/>
      <c r="E323" s="672"/>
      <c r="F323" s="189"/>
      <c r="G323" s="472"/>
      <c r="H323" s="472"/>
      <c r="I323" s="672"/>
    </row>
    <row r="324" spans="2:9" ht="15.75" customHeight="1" x14ac:dyDescent="0.25">
      <c r="B324" s="189"/>
      <c r="C324" s="189"/>
      <c r="D324" s="189"/>
      <c r="E324" s="672"/>
      <c r="F324" s="189"/>
      <c r="G324" s="472"/>
      <c r="H324" s="472"/>
      <c r="I324" s="672"/>
    </row>
    <row r="325" spans="2:9" ht="15.75" customHeight="1" x14ac:dyDescent="0.25">
      <c r="B325" s="189"/>
      <c r="C325" s="189"/>
      <c r="D325" s="189"/>
      <c r="E325" s="672"/>
      <c r="F325" s="189"/>
      <c r="G325" s="472"/>
      <c r="H325" s="472"/>
      <c r="I325" s="672"/>
    </row>
    <row r="326" spans="2:9" ht="15.75" customHeight="1" x14ac:dyDescent="0.25">
      <c r="B326" s="189"/>
      <c r="C326" s="189"/>
      <c r="D326" s="189"/>
      <c r="E326" s="672"/>
      <c r="F326" s="189"/>
      <c r="G326" s="472"/>
      <c r="H326" s="472"/>
      <c r="I326" s="672"/>
    </row>
    <row r="327" spans="2:9" ht="15.75" customHeight="1" x14ac:dyDescent="0.25">
      <c r="B327" s="189"/>
      <c r="C327" s="189"/>
      <c r="D327" s="189"/>
      <c r="E327" s="672"/>
      <c r="F327" s="189"/>
      <c r="G327" s="472"/>
      <c r="H327" s="472"/>
      <c r="I327" s="672"/>
    </row>
    <row r="328" spans="2:9" ht="15.75" customHeight="1" x14ac:dyDescent="0.25">
      <c r="B328" s="189"/>
      <c r="C328" s="189"/>
      <c r="D328" s="189"/>
      <c r="E328" s="672"/>
      <c r="F328" s="189"/>
      <c r="G328" s="472"/>
      <c r="H328" s="472"/>
      <c r="I328" s="672"/>
    </row>
    <row r="329" spans="2:9" ht="15.75" customHeight="1" x14ac:dyDescent="0.25">
      <c r="B329" s="189"/>
      <c r="C329" s="189"/>
      <c r="D329" s="189"/>
      <c r="E329" s="672"/>
      <c r="F329" s="189"/>
      <c r="G329" s="472"/>
      <c r="H329" s="472"/>
      <c r="I329" s="672"/>
    </row>
    <row r="330" spans="2:9" ht="15.75" customHeight="1" x14ac:dyDescent="0.25">
      <c r="B330" s="189"/>
      <c r="C330" s="189"/>
      <c r="D330" s="189"/>
      <c r="E330" s="672"/>
      <c r="F330" s="189"/>
      <c r="G330" s="472"/>
      <c r="H330" s="472"/>
      <c r="I330" s="672"/>
    </row>
    <row r="331" spans="2:9" ht="15.75" customHeight="1" x14ac:dyDescent="0.25">
      <c r="B331" s="189"/>
      <c r="C331" s="189"/>
      <c r="D331" s="189"/>
      <c r="E331" s="672"/>
      <c r="F331" s="189"/>
      <c r="G331" s="472"/>
      <c r="H331" s="472"/>
      <c r="I331" s="672"/>
    </row>
    <row r="332" spans="2:9" ht="15.75" customHeight="1" x14ac:dyDescent="0.25">
      <c r="B332" s="189"/>
      <c r="C332" s="189"/>
      <c r="D332" s="189"/>
      <c r="E332" s="672"/>
      <c r="F332" s="189"/>
      <c r="G332" s="472"/>
      <c r="H332" s="472"/>
      <c r="I332" s="672"/>
    </row>
    <row r="333" spans="2:9" ht="15.75" customHeight="1" x14ac:dyDescent="0.25">
      <c r="B333" s="189"/>
      <c r="C333" s="189"/>
      <c r="D333" s="189"/>
      <c r="E333" s="672"/>
      <c r="F333" s="189"/>
      <c r="G333" s="472"/>
      <c r="H333" s="472"/>
      <c r="I333" s="672"/>
    </row>
    <row r="334" spans="2:9" ht="15.75" customHeight="1" x14ac:dyDescent="0.25">
      <c r="B334" s="189"/>
      <c r="C334" s="189"/>
      <c r="D334" s="189"/>
      <c r="E334" s="672"/>
      <c r="F334" s="189"/>
      <c r="G334" s="472"/>
      <c r="H334" s="472"/>
      <c r="I334" s="672"/>
    </row>
    <row r="335" spans="2:9" ht="15.75" customHeight="1" x14ac:dyDescent="0.25">
      <c r="B335" s="189"/>
      <c r="C335" s="189"/>
      <c r="D335" s="189"/>
      <c r="E335" s="672"/>
      <c r="F335" s="189"/>
      <c r="G335" s="472"/>
      <c r="H335" s="472"/>
      <c r="I335" s="672"/>
    </row>
    <row r="336" spans="2:9" ht="15.75" customHeight="1" x14ac:dyDescent="0.25">
      <c r="B336" s="189"/>
      <c r="C336" s="189"/>
      <c r="D336" s="189"/>
      <c r="E336" s="672"/>
      <c r="F336" s="189"/>
      <c r="G336" s="472"/>
      <c r="H336" s="472"/>
      <c r="I336" s="672"/>
    </row>
    <row r="337" spans="2:9" ht="15.75" customHeight="1" x14ac:dyDescent="0.25">
      <c r="B337" s="189"/>
      <c r="C337" s="189"/>
      <c r="D337" s="189"/>
      <c r="E337" s="672"/>
      <c r="F337" s="189"/>
      <c r="G337" s="472"/>
      <c r="H337" s="472"/>
      <c r="I337" s="672"/>
    </row>
    <row r="338" spans="2:9" ht="15.75" customHeight="1" x14ac:dyDescent="0.25">
      <c r="B338" s="189"/>
      <c r="C338" s="189"/>
      <c r="D338" s="189"/>
      <c r="E338" s="672"/>
      <c r="F338" s="189"/>
      <c r="G338" s="472"/>
      <c r="H338" s="472"/>
      <c r="I338" s="672"/>
    </row>
    <row r="339" spans="2:9" ht="15.75" customHeight="1" x14ac:dyDescent="0.25">
      <c r="B339" s="189"/>
      <c r="C339" s="189"/>
      <c r="D339" s="189"/>
      <c r="E339" s="672"/>
      <c r="F339" s="189"/>
      <c r="G339" s="472"/>
      <c r="H339" s="472"/>
      <c r="I339" s="672"/>
    </row>
    <row r="340" spans="2:9" ht="15.75" customHeight="1" x14ac:dyDescent="0.25">
      <c r="B340" s="189"/>
      <c r="C340" s="189"/>
      <c r="D340" s="189"/>
      <c r="E340" s="672"/>
      <c r="F340" s="189"/>
      <c r="G340" s="472"/>
      <c r="H340" s="472"/>
      <c r="I340" s="672"/>
    </row>
    <row r="341" spans="2:9" ht="15.75" customHeight="1" x14ac:dyDescent="0.25">
      <c r="B341" s="189"/>
      <c r="C341" s="189"/>
      <c r="D341" s="189"/>
      <c r="E341" s="672"/>
      <c r="F341" s="189"/>
      <c r="G341" s="472"/>
      <c r="H341" s="472"/>
      <c r="I341" s="672"/>
    </row>
    <row r="342" spans="2:9" ht="15.75" customHeight="1" x14ac:dyDescent="0.25">
      <c r="B342" s="189"/>
      <c r="C342" s="189"/>
      <c r="D342" s="189"/>
      <c r="E342" s="672"/>
      <c r="F342" s="189"/>
      <c r="G342" s="472"/>
      <c r="H342" s="472"/>
      <c r="I342" s="672"/>
    </row>
    <row r="343" spans="2:9" ht="15.75" customHeight="1" x14ac:dyDescent="0.25">
      <c r="B343" s="189"/>
      <c r="C343" s="189"/>
      <c r="D343" s="189"/>
      <c r="E343" s="672"/>
      <c r="F343" s="189"/>
      <c r="G343" s="472"/>
      <c r="H343" s="472"/>
      <c r="I343" s="672"/>
    </row>
    <row r="344" spans="2:9" ht="15.75" customHeight="1" x14ac:dyDescent="0.25">
      <c r="B344" s="189"/>
      <c r="C344" s="189"/>
      <c r="D344" s="189"/>
      <c r="E344" s="672"/>
      <c r="F344" s="189"/>
      <c r="G344" s="472"/>
      <c r="H344" s="472"/>
      <c r="I344" s="672"/>
    </row>
    <row r="345" spans="2:9" ht="15.75" customHeight="1" x14ac:dyDescent="0.25">
      <c r="B345" s="189"/>
      <c r="C345" s="189"/>
      <c r="D345" s="189"/>
      <c r="E345" s="672"/>
      <c r="F345" s="189"/>
      <c r="G345" s="472"/>
      <c r="H345" s="472"/>
      <c r="I345" s="672"/>
    </row>
    <row r="346" spans="2:9" ht="15.75" customHeight="1" x14ac:dyDescent="0.25">
      <c r="B346" s="189"/>
      <c r="C346" s="189"/>
      <c r="D346" s="189"/>
      <c r="E346" s="672"/>
      <c r="F346" s="189"/>
      <c r="G346" s="472"/>
      <c r="H346" s="472"/>
      <c r="I346" s="672"/>
    </row>
    <row r="347" spans="2:9" ht="15.75" customHeight="1" x14ac:dyDescent="0.25">
      <c r="B347" s="189"/>
      <c r="C347" s="189"/>
      <c r="D347" s="189"/>
      <c r="E347" s="672"/>
      <c r="F347" s="189"/>
      <c r="G347" s="472"/>
      <c r="H347" s="472"/>
      <c r="I347" s="672"/>
    </row>
    <row r="348" spans="2:9" ht="15.75" customHeight="1" x14ac:dyDescent="0.25">
      <c r="B348" s="189"/>
      <c r="C348" s="189"/>
      <c r="D348" s="189"/>
      <c r="E348" s="672"/>
      <c r="F348" s="189"/>
      <c r="G348" s="472"/>
      <c r="H348" s="472"/>
      <c r="I348" s="672"/>
    </row>
    <row r="349" spans="2:9" ht="15.75" customHeight="1" x14ac:dyDescent="0.25">
      <c r="B349" s="189"/>
      <c r="C349" s="189"/>
      <c r="D349" s="189"/>
      <c r="E349" s="672"/>
      <c r="F349" s="189"/>
      <c r="G349" s="472"/>
      <c r="H349" s="472"/>
      <c r="I349" s="672"/>
    </row>
    <row r="350" spans="2:9" ht="15.75" customHeight="1" x14ac:dyDescent="0.25">
      <c r="B350" s="189"/>
      <c r="C350" s="189"/>
      <c r="D350" s="189"/>
      <c r="E350" s="672"/>
      <c r="F350" s="189"/>
      <c r="G350" s="472"/>
      <c r="H350" s="472"/>
      <c r="I350" s="672"/>
    </row>
    <row r="351" spans="2:9" ht="15.75" customHeight="1" x14ac:dyDescent="0.25">
      <c r="B351" s="189"/>
      <c r="C351" s="189"/>
      <c r="D351" s="189"/>
      <c r="E351" s="672"/>
      <c r="F351" s="189"/>
      <c r="G351" s="472"/>
      <c r="H351" s="472"/>
      <c r="I351" s="672"/>
    </row>
    <row r="352" spans="2:9" ht="15.75" customHeight="1" x14ac:dyDescent="0.25">
      <c r="B352" s="189"/>
      <c r="C352" s="189"/>
      <c r="D352" s="189"/>
      <c r="E352" s="672"/>
      <c r="F352" s="189"/>
      <c r="G352" s="472"/>
      <c r="H352" s="472"/>
      <c r="I352" s="672"/>
    </row>
    <row r="353" spans="2:9" ht="15.75" customHeight="1" x14ac:dyDescent="0.25">
      <c r="B353" s="189"/>
      <c r="C353" s="189"/>
      <c r="D353" s="189"/>
      <c r="E353" s="672"/>
      <c r="F353" s="189"/>
      <c r="G353" s="472"/>
      <c r="H353" s="472"/>
      <c r="I353" s="672"/>
    </row>
    <row r="354" spans="2:9" ht="15.75" customHeight="1" x14ac:dyDescent="0.25">
      <c r="B354" s="189"/>
      <c r="C354" s="189"/>
      <c r="D354" s="189"/>
      <c r="E354" s="672"/>
      <c r="F354" s="189"/>
      <c r="G354" s="472"/>
      <c r="H354" s="472"/>
      <c r="I354" s="672"/>
    </row>
    <row r="355" spans="2:9" ht="15.75" customHeight="1" x14ac:dyDescent="0.25">
      <c r="B355" s="189"/>
      <c r="C355" s="189"/>
      <c r="D355" s="189"/>
      <c r="E355" s="672"/>
      <c r="F355" s="189"/>
      <c r="G355" s="472"/>
      <c r="H355" s="472"/>
      <c r="I355" s="672"/>
    </row>
    <row r="356" spans="2:9" ht="15.75" customHeight="1" x14ac:dyDescent="0.25">
      <c r="B356" s="189"/>
      <c r="C356" s="189"/>
      <c r="D356" s="189"/>
      <c r="E356" s="672"/>
      <c r="F356" s="189"/>
      <c r="G356" s="472"/>
      <c r="H356" s="472"/>
      <c r="I356" s="672"/>
    </row>
    <row r="357" spans="2:9" ht="15.75" customHeight="1" x14ac:dyDescent="0.25">
      <c r="B357" s="189"/>
      <c r="C357" s="189"/>
      <c r="D357" s="189"/>
      <c r="E357" s="672"/>
      <c r="F357" s="189"/>
      <c r="G357" s="472"/>
      <c r="H357" s="472"/>
      <c r="I357" s="672"/>
    </row>
    <row r="358" spans="2:9" ht="15.75" customHeight="1" x14ac:dyDescent="0.25">
      <c r="B358" s="189"/>
      <c r="C358" s="189"/>
      <c r="D358" s="189"/>
      <c r="E358" s="672"/>
      <c r="F358" s="189"/>
      <c r="G358" s="472"/>
      <c r="H358" s="472"/>
      <c r="I358" s="672"/>
    </row>
    <row r="359" spans="2:9" ht="15.75" customHeight="1" x14ac:dyDescent="0.25">
      <c r="B359" s="189"/>
      <c r="C359" s="189"/>
      <c r="D359" s="189"/>
      <c r="E359" s="672"/>
      <c r="F359" s="189"/>
      <c r="G359" s="472"/>
      <c r="H359" s="472"/>
      <c r="I359" s="672"/>
    </row>
    <row r="360" spans="2:9" ht="15.75" customHeight="1" x14ac:dyDescent="0.25">
      <c r="B360" s="189"/>
      <c r="C360" s="189"/>
      <c r="D360" s="189"/>
      <c r="E360" s="672"/>
      <c r="F360" s="189"/>
      <c r="G360" s="472"/>
      <c r="H360" s="472"/>
      <c r="I360" s="672"/>
    </row>
    <row r="361" spans="2:9" ht="15.75" customHeight="1" x14ac:dyDescent="0.25">
      <c r="B361" s="189"/>
      <c r="C361" s="189"/>
      <c r="D361" s="189"/>
      <c r="E361" s="672"/>
      <c r="F361" s="189"/>
      <c r="G361" s="472"/>
      <c r="H361" s="472"/>
      <c r="I361" s="672"/>
    </row>
    <row r="362" spans="2:9" ht="15.75" customHeight="1" x14ac:dyDescent="0.25">
      <c r="B362" s="189"/>
      <c r="C362" s="189"/>
      <c r="D362" s="189"/>
      <c r="E362" s="672"/>
      <c r="F362" s="189"/>
      <c r="G362" s="472"/>
      <c r="H362" s="472"/>
      <c r="I362" s="672"/>
    </row>
    <row r="363" spans="2:9" ht="15.75" customHeight="1" x14ac:dyDescent="0.25">
      <c r="B363" s="189"/>
      <c r="C363" s="189"/>
      <c r="D363" s="189"/>
      <c r="E363" s="672"/>
      <c r="F363" s="189"/>
      <c r="G363" s="472"/>
      <c r="H363" s="472"/>
      <c r="I363" s="672"/>
    </row>
    <row r="364" spans="2:9" ht="15.75" customHeight="1" x14ac:dyDescent="0.25">
      <c r="B364" s="189"/>
      <c r="C364" s="189"/>
      <c r="D364" s="189"/>
      <c r="E364" s="672"/>
      <c r="F364" s="189"/>
      <c r="G364" s="472"/>
      <c r="H364" s="472"/>
      <c r="I364" s="672"/>
    </row>
    <row r="365" spans="2:9" ht="15.75" customHeight="1" x14ac:dyDescent="0.25">
      <c r="B365" s="189"/>
      <c r="C365" s="189"/>
      <c r="D365" s="189"/>
      <c r="E365" s="672"/>
      <c r="F365" s="189"/>
      <c r="G365" s="472"/>
      <c r="H365" s="472"/>
      <c r="I365" s="672"/>
    </row>
    <row r="366" spans="2:9" ht="15.75" customHeight="1" x14ac:dyDescent="0.25">
      <c r="B366" s="189"/>
      <c r="C366" s="189"/>
      <c r="D366" s="189"/>
      <c r="E366" s="672"/>
      <c r="F366" s="189"/>
      <c r="G366" s="472"/>
      <c r="H366" s="472"/>
      <c r="I366" s="672"/>
    </row>
    <row r="367" spans="2:9" ht="15.75" customHeight="1" x14ac:dyDescent="0.25">
      <c r="B367" s="189"/>
      <c r="C367" s="189"/>
      <c r="D367" s="189"/>
      <c r="E367" s="672"/>
      <c r="F367" s="189"/>
      <c r="G367" s="472"/>
      <c r="H367" s="472"/>
      <c r="I367" s="672"/>
    </row>
    <row r="368" spans="2:9" ht="15.75" customHeight="1" x14ac:dyDescent="0.25">
      <c r="B368" s="189"/>
      <c r="C368" s="189"/>
      <c r="D368" s="189"/>
      <c r="E368" s="672"/>
      <c r="F368" s="189"/>
      <c r="G368" s="472"/>
      <c r="H368" s="472"/>
      <c r="I368" s="672"/>
    </row>
    <row r="369" spans="2:9" ht="15.75" customHeight="1" x14ac:dyDescent="0.25">
      <c r="B369" s="189"/>
      <c r="C369" s="189"/>
      <c r="D369" s="189"/>
      <c r="E369" s="672"/>
      <c r="F369" s="189"/>
      <c r="G369" s="472"/>
      <c r="H369" s="472"/>
      <c r="I369" s="672"/>
    </row>
    <row r="370" spans="2:9" ht="15.75" customHeight="1" x14ac:dyDescent="0.25">
      <c r="B370" s="189"/>
      <c r="C370" s="189"/>
      <c r="D370" s="189"/>
      <c r="E370" s="672"/>
      <c r="F370" s="189"/>
      <c r="G370" s="472"/>
      <c r="H370" s="472"/>
      <c r="I370" s="672"/>
    </row>
    <row r="371" spans="2:9" ht="15.75" customHeight="1" x14ac:dyDescent="0.25">
      <c r="B371" s="189"/>
      <c r="C371" s="189"/>
      <c r="D371" s="189"/>
      <c r="E371" s="672"/>
      <c r="F371" s="189"/>
      <c r="G371" s="472"/>
      <c r="H371" s="472"/>
      <c r="I371" s="672"/>
    </row>
    <row r="372" spans="2:9" ht="15.75" customHeight="1" x14ac:dyDescent="0.25">
      <c r="B372" s="189"/>
      <c r="C372" s="189"/>
      <c r="D372" s="189"/>
      <c r="E372" s="672"/>
      <c r="F372" s="189"/>
      <c r="G372" s="472"/>
      <c r="H372" s="472"/>
      <c r="I372" s="672"/>
    </row>
    <row r="373" spans="2:9" ht="15.75" customHeight="1" x14ac:dyDescent="0.25">
      <c r="B373" s="189"/>
      <c r="C373" s="189"/>
      <c r="D373" s="189"/>
      <c r="E373" s="672"/>
      <c r="F373" s="189"/>
      <c r="G373" s="472"/>
      <c r="H373" s="472"/>
      <c r="I373" s="672"/>
    </row>
    <row r="374" spans="2:9" ht="15.75" customHeight="1" x14ac:dyDescent="0.25">
      <c r="B374" s="189"/>
      <c r="C374" s="189"/>
      <c r="D374" s="189"/>
      <c r="E374" s="672"/>
      <c r="F374" s="189"/>
      <c r="G374" s="472"/>
      <c r="H374" s="472"/>
      <c r="I374" s="672"/>
    </row>
    <row r="375" spans="2:9" ht="15.75" customHeight="1" x14ac:dyDescent="0.25">
      <c r="B375" s="189"/>
      <c r="C375" s="189"/>
      <c r="D375" s="189"/>
      <c r="E375" s="672"/>
      <c r="F375" s="189"/>
      <c r="G375" s="472"/>
      <c r="H375" s="472"/>
      <c r="I375" s="672"/>
    </row>
    <row r="376" spans="2:9" ht="15.75" customHeight="1" x14ac:dyDescent="0.25">
      <c r="B376" s="189"/>
      <c r="C376" s="189"/>
      <c r="D376" s="189"/>
      <c r="E376" s="672"/>
      <c r="F376" s="189"/>
      <c r="G376" s="472"/>
      <c r="H376" s="472"/>
      <c r="I376" s="672"/>
    </row>
    <row r="377" spans="2:9" ht="15.75" customHeight="1" x14ac:dyDescent="0.25">
      <c r="B377" s="189"/>
      <c r="C377" s="189"/>
      <c r="D377" s="189"/>
      <c r="E377" s="672"/>
      <c r="F377" s="189"/>
      <c r="G377" s="472"/>
      <c r="H377" s="472"/>
      <c r="I377" s="672"/>
    </row>
    <row r="378" spans="2:9" ht="15.75" customHeight="1" x14ac:dyDescent="0.25">
      <c r="B378" s="189"/>
      <c r="C378" s="189"/>
      <c r="D378" s="189"/>
      <c r="E378" s="672"/>
      <c r="F378" s="189"/>
      <c r="G378" s="472"/>
      <c r="H378" s="472"/>
      <c r="I378" s="672"/>
    </row>
    <row r="379" spans="2:9" ht="15.75" customHeight="1" x14ac:dyDescent="0.25">
      <c r="B379" s="189"/>
      <c r="C379" s="189"/>
      <c r="D379" s="189"/>
      <c r="E379" s="672"/>
      <c r="F379" s="189"/>
      <c r="G379" s="472"/>
      <c r="H379" s="472"/>
      <c r="I379" s="672"/>
    </row>
    <row r="380" spans="2:9" ht="15.75" customHeight="1" x14ac:dyDescent="0.25">
      <c r="B380" s="189"/>
      <c r="C380" s="189"/>
      <c r="D380" s="189"/>
      <c r="E380" s="672"/>
      <c r="F380" s="189"/>
      <c r="G380" s="472"/>
      <c r="H380" s="472"/>
      <c r="I380" s="672"/>
    </row>
    <row r="381" spans="2:9" ht="15.75" customHeight="1" x14ac:dyDescent="0.25">
      <c r="B381" s="189"/>
      <c r="C381" s="189"/>
      <c r="D381" s="189"/>
      <c r="E381" s="672"/>
      <c r="F381" s="189"/>
      <c r="G381" s="472"/>
      <c r="H381" s="472"/>
      <c r="I381" s="672"/>
    </row>
    <row r="382" spans="2:9" ht="15.75" customHeight="1" x14ac:dyDescent="0.25">
      <c r="B382" s="189"/>
      <c r="C382" s="189"/>
      <c r="D382" s="189"/>
      <c r="E382" s="672"/>
      <c r="F382" s="189"/>
      <c r="G382" s="472"/>
      <c r="H382" s="472"/>
      <c r="I382" s="672"/>
    </row>
    <row r="383" spans="2:9" ht="15.75" customHeight="1" x14ac:dyDescent="0.25">
      <c r="B383" s="189"/>
      <c r="C383" s="189"/>
      <c r="D383" s="189"/>
      <c r="E383" s="672"/>
      <c r="F383" s="189"/>
      <c r="G383" s="472"/>
      <c r="H383" s="472"/>
      <c r="I383" s="672"/>
    </row>
    <row r="384" spans="2:9" ht="15.75" customHeight="1" x14ac:dyDescent="0.25">
      <c r="B384" s="189"/>
      <c r="C384" s="189"/>
      <c r="D384" s="189"/>
      <c r="E384" s="672"/>
      <c r="F384" s="189"/>
      <c r="G384" s="472"/>
      <c r="H384" s="472"/>
      <c r="I384" s="672"/>
    </row>
    <row r="385" spans="2:9" ht="15.75" customHeight="1" x14ac:dyDescent="0.25">
      <c r="B385" s="189"/>
      <c r="C385" s="189"/>
      <c r="D385" s="189"/>
      <c r="E385" s="672"/>
      <c r="F385" s="189"/>
      <c r="G385" s="472"/>
      <c r="H385" s="472"/>
      <c r="I385" s="672"/>
    </row>
    <row r="386" spans="2:9" ht="15.75" customHeight="1" x14ac:dyDescent="0.25">
      <c r="B386" s="189"/>
      <c r="C386" s="189"/>
      <c r="D386" s="189"/>
      <c r="E386" s="672"/>
      <c r="F386" s="189"/>
      <c r="G386" s="472"/>
      <c r="H386" s="472"/>
      <c r="I386" s="672"/>
    </row>
    <row r="387" spans="2:9" ht="15.75" customHeight="1" x14ac:dyDescent="0.25">
      <c r="B387" s="189"/>
      <c r="C387" s="189"/>
      <c r="D387" s="189"/>
      <c r="E387" s="672"/>
      <c r="F387" s="189"/>
      <c r="G387" s="472"/>
      <c r="H387" s="472"/>
      <c r="I387" s="672"/>
    </row>
    <row r="388" spans="2:9" ht="15.75" customHeight="1" x14ac:dyDescent="0.25">
      <c r="B388" s="189"/>
      <c r="C388" s="189"/>
      <c r="D388" s="189"/>
      <c r="E388" s="672"/>
      <c r="F388" s="189"/>
      <c r="G388" s="472"/>
      <c r="H388" s="472"/>
      <c r="I388" s="672"/>
    </row>
    <row r="389" spans="2:9" ht="15.75" customHeight="1" x14ac:dyDescent="0.25">
      <c r="B389" s="189"/>
      <c r="C389" s="189"/>
      <c r="D389" s="189"/>
      <c r="E389" s="672"/>
      <c r="F389" s="189"/>
      <c r="G389" s="472"/>
      <c r="H389" s="472"/>
      <c r="I389" s="672"/>
    </row>
    <row r="390" spans="2:9" ht="15.75" customHeight="1" x14ac:dyDescent="0.25">
      <c r="B390" s="189"/>
      <c r="C390" s="189"/>
      <c r="D390" s="189"/>
      <c r="E390" s="672"/>
      <c r="F390" s="189"/>
      <c r="G390" s="472"/>
      <c r="H390" s="472"/>
      <c r="I390" s="672"/>
    </row>
    <row r="391" spans="2:9" ht="15.75" customHeight="1" x14ac:dyDescent="0.25">
      <c r="B391" s="189"/>
      <c r="C391" s="189"/>
      <c r="D391" s="189"/>
      <c r="E391" s="672"/>
      <c r="F391" s="189"/>
      <c r="G391" s="472"/>
      <c r="H391" s="472"/>
      <c r="I391" s="672"/>
    </row>
    <row r="392" spans="2:9" ht="15.75" customHeight="1" x14ac:dyDescent="0.25">
      <c r="B392" s="189"/>
      <c r="C392" s="189"/>
      <c r="D392" s="189"/>
      <c r="E392" s="672"/>
      <c r="F392" s="189"/>
      <c r="G392" s="472"/>
      <c r="H392" s="472"/>
      <c r="I392" s="672"/>
    </row>
    <row r="393" spans="2:9" ht="15.75" customHeight="1" x14ac:dyDescent="0.25">
      <c r="B393" s="189"/>
      <c r="C393" s="189"/>
      <c r="D393" s="189"/>
      <c r="E393" s="672"/>
      <c r="F393" s="189"/>
      <c r="G393" s="472"/>
      <c r="H393" s="472"/>
      <c r="I393" s="672"/>
    </row>
    <row r="394" spans="2:9" ht="15.75" customHeight="1" x14ac:dyDescent="0.25">
      <c r="B394" s="189"/>
      <c r="C394" s="189"/>
      <c r="D394" s="189"/>
      <c r="E394" s="672"/>
      <c r="F394" s="189"/>
      <c r="G394" s="472"/>
      <c r="H394" s="472"/>
      <c r="I394" s="672"/>
    </row>
    <row r="395" spans="2:9" ht="15.75" customHeight="1" x14ac:dyDescent="0.25">
      <c r="B395" s="189"/>
      <c r="C395" s="189"/>
      <c r="D395" s="189"/>
      <c r="E395" s="672"/>
      <c r="F395" s="189"/>
      <c r="G395" s="472"/>
      <c r="H395" s="472"/>
      <c r="I395" s="672"/>
    </row>
    <row r="396" spans="2:9" ht="15.75" customHeight="1" x14ac:dyDescent="0.25">
      <c r="B396" s="189"/>
      <c r="C396" s="189"/>
      <c r="D396" s="189"/>
      <c r="E396" s="672"/>
      <c r="F396" s="189"/>
      <c r="G396" s="472"/>
      <c r="H396" s="472"/>
      <c r="I396" s="672"/>
    </row>
    <row r="397" spans="2:9" ht="15.75" customHeight="1" x14ac:dyDescent="0.25">
      <c r="B397" s="189"/>
      <c r="C397" s="189"/>
      <c r="D397" s="189"/>
      <c r="E397" s="672"/>
      <c r="F397" s="189"/>
      <c r="G397" s="472"/>
      <c r="H397" s="472"/>
      <c r="I397" s="672"/>
    </row>
    <row r="398" spans="2:9" ht="15.75" customHeight="1" x14ac:dyDescent="0.25">
      <c r="B398" s="189"/>
      <c r="C398" s="189"/>
      <c r="D398" s="189"/>
      <c r="E398" s="672"/>
      <c r="F398" s="189"/>
      <c r="G398" s="472"/>
      <c r="H398" s="472"/>
      <c r="I398" s="672"/>
    </row>
    <row r="399" spans="2:9" ht="15.75" customHeight="1" x14ac:dyDescent="0.25">
      <c r="B399" s="189"/>
      <c r="C399" s="189"/>
      <c r="D399" s="189"/>
      <c r="E399" s="672"/>
      <c r="F399" s="189"/>
      <c r="G399" s="472"/>
      <c r="H399" s="472"/>
      <c r="I399" s="672"/>
    </row>
    <row r="400" spans="2:9" ht="15.75" customHeight="1" x14ac:dyDescent="0.25">
      <c r="B400" s="189"/>
      <c r="C400" s="189"/>
      <c r="D400" s="189"/>
      <c r="E400" s="672"/>
      <c r="F400" s="189"/>
      <c r="G400" s="472"/>
      <c r="H400" s="472"/>
      <c r="I400" s="672"/>
    </row>
    <row r="401" spans="2:9" ht="15.75" customHeight="1" x14ac:dyDescent="0.25">
      <c r="B401" s="189"/>
      <c r="C401" s="189"/>
      <c r="D401" s="189"/>
      <c r="E401" s="672"/>
      <c r="F401" s="189"/>
      <c r="G401" s="472"/>
      <c r="H401" s="472"/>
      <c r="I401" s="672"/>
    </row>
    <row r="402" spans="2:9" ht="15.75" customHeight="1" x14ac:dyDescent="0.25">
      <c r="B402" s="189"/>
      <c r="C402" s="189"/>
      <c r="D402" s="189"/>
      <c r="E402" s="672"/>
      <c r="F402" s="189"/>
      <c r="G402" s="472"/>
      <c r="H402" s="472"/>
      <c r="I402" s="672"/>
    </row>
    <row r="403" spans="2:9" ht="15.75" customHeight="1" x14ac:dyDescent="0.25">
      <c r="B403" s="189"/>
      <c r="C403" s="189"/>
      <c r="D403" s="189"/>
      <c r="E403" s="672"/>
      <c r="F403" s="189"/>
      <c r="G403" s="472"/>
      <c r="H403" s="472"/>
      <c r="I403" s="672"/>
    </row>
    <row r="404" spans="2:9" ht="15.75" customHeight="1" x14ac:dyDescent="0.25">
      <c r="B404" s="189"/>
      <c r="C404" s="189"/>
      <c r="D404" s="189"/>
      <c r="E404" s="672"/>
      <c r="F404" s="189"/>
      <c r="G404" s="472"/>
      <c r="H404" s="472"/>
      <c r="I404" s="672"/>
    </row>
    <row r="405" spans="2:9" ht="15.75" customHeight="1" x14ac:dyDescent="0.25">
      <c r="B405" s="189"/>
      <c r="C405" s="189"/>
      <c r="D405" s="189"/>
      <c r="E405" s="672"/>
      <c r="F405" s="189"/>
      <c r="G405" s="472"/>
      <c r="H405" s="472"/>
      <c r="I405" s="672"/>
    </row>
    <row r="406" spans="2:9" ht="15.75" customHeight="1" x14ac:dyDescent="0.25">
      <c r="B406" s="189"/>
      <c r="C406" s="189"/>
      <c r="D406" s="189"/>
      <c r="E406" s="672"/>
      <c r="F406" s="189"/>
      <c r="G406" s="472"/>
      <c r="H406" s="472"/>
      <c r="I406" s="672"/>
    </row>
    <row r="407" spans="2:9" ht="15.75" customHeight="1" x14ac:dyDescent="0.25">
      <c r="B407" s="189"/>
      <c r="C407" s="189"/>
      <c r="D407" s="189"/>
      <c r="E407" s="672"/>
      <c r="F407" s="189"/>
      <c r="G407" s="472"/>
      <c r="H407" s="472"/>
      <c r="I407" s="672"/>
    </row>
    <row r="408" spans="2:9" ht="15.75" customHeight="1" x14ac:dyDescent="0.25">
      <c r="B408" s="189"/>
      <c r="C408" s="189"/>
      <c r="D408" s="189"/>
      <c r="E408" s="672"/>
      <c r="F408" s="189"/>
      <c r="G408" s="472"/>
      <c r="H408" s="472"/>
      <c r="I408" s="672"/>
    </row>
    <row r="409" spans="2:9" ht="15.75" customHeight="1" x14ac:dyDescent="0.25">
      <c r="B409" s="189"/>
      <c r="C409" s="189"/>
      <c r="D409" s="189"/>
      <c r="E409" s="672"/>
      <c r="F409" s="189"/>
      <c r="G409" s="472"/>
      <c r="H409" s="472"/>
      <c r="I409" s="672"/>
    </row>
    <row r="410" spans="2:9" ht="15.75" customHeight="1" x14ac:dyDescent="0.25">
      <c r="B410" s="189"/>
      <c r="C410" s="189"/>
      <c r="D410" s="189"/>
      <c r="E410" s="672"/>
      <c r="F410" s="189"/>
      <c r="G410" s="472"/>
      <c r="H410" s="472"/>
      <c r="I410" s="672"/>
    </row>
    <row r="411" spans="2:9" ht="15.75" customHeight="1" x14ac:dyDescent="0.25">
      <c r="B411" s="189"/>
      <c r="C411" s="189"/>
      <c r="D411" s="189"/>
      <c r="E411" s="672"/>
      <c r="F411" s="189"/>
      <c r="G411" s="472"/>
      <c r="H411" s="472"/>
      <c r="I411" s="672"/>
    </row>
    <row r="412" spans="2:9" ht="15.75" customHeight="1" x14ac:dyDescent="0.25">
      <c r="B412" s="189"/>
      <c r="C412" s="189"/>
      <c r="D412" s="189"/>
      <c r="E412" s="672"/>
      <c r="F412" s="189"/>
      <c r="G412" s="472"/>
      <c r="H412" s="472"/>
      <c r="I412" s="672"/>
    </row>
    <row r="413" spans="2:9" ht="15.75" customHeight="1" x14ac:dyDescent="0.25">
      <c r="B413" s="189"/>
      <c r="C413" s="189"/>
      <c r="D413" s="189"/>
      <c r="E413" s="672"/>
      <c r="F413" s="189"/>
      <c r="G413" s="472"/>
      <c r="H413" s="472"/>
      <c r="I413" s="672"/>
    </row>
    <row r="414" spans="2:9" ht="15.75" customHeight="1" x14ac:dyDescent="0.25">
      <c r="B414" s="189"/>
      <c r="C414" s="189"/>
      <c r="D414" s="189"/>
      <c r="E414" s="672"/>
      <c r="F414" s="189"/>
      <c r="G414" s="472"/>
      <c r="H414" s="472"/>
      <c r="I414" s="672"/>
    </row>
    <row r="415" spans="2:9" ht="15.75" customHeight="1" x14ac:dyDescent="0.25">
      <c r="B415" s="189"/>
      <c r="C415" s="189"/>
      <c r="D415" s="189"/>
      <c r="E415" s="672"/>
      <c r="F415" s="189"/>
      <c r="G415" s="472"/>
      <c r="H415" s="472"/>
      <c r="I415" s="672"/>
    </row>
    <row r="416" spans="2:9" ht="15.75" customHeight="1" x14ac:dyDescent="0.25">
      <c r="B416" s="189"/>
      <c r="C416" s="189"/>
      <c r="D416" s="189"/>
      <c r="E416" s="672"/>
      <c r="F416" s="189"/>
      <c r="G416" s="472"/>
      <c r="H416" s="472"/>
      <c r="I416" s="672"/>
    </row>
    <row r="417" spans="2:9" ht="15.75" customHeight="1" x14ac:dyDescent="0.25">
      <c r="B417" s="189"/>
      <c r="C417" s="189"/>
      <c r="D417" s="189"/>
      <c r="E417" s="672"/>
      <c r="F417" s="189"/>
      <c r="G417" s="472"/>
      <c r="H417" s="472"/>
      <c r="I417" s="672"/>
    </row>
    <row r="418" spans="2:9" ht="15.75" customHeight="1" x14ac:dyDescent="0.25">
      <c r="B418" s="189"/>
      <c r="C418" s="189"/>
      <c r="D418" s="189"/>
      <c r="E418" s="672"/>
      <c r="F418" s="189"/>
      <c r="G418" s="472"/>
      <c r="H418" s="472"/>
      <c r="I418" s="672"/>
    </row>
    <row r="419" spans="2:9" ht="15.75" customHeight="1" x14ac:dyDescent="0.25">
      <c r="B419" s="189"/>
      <c r="C419" s="189"/>
      <c r="D419" s="189"/>
      <c r="E419" s="672"/>
      <c r="F419" s="189"/>
      <c r="G419" s="472"/>
      <c r="H419" s="472"/>
      <c r="I419" s="672"/>
    </row>
    <row r="420" spans="2:9" ht="15.75" customHeight="1" x14ac:dyDescent="0.25">
      <c r="B420" s="189"/>
      <c r="C420" s="189"/>
      <c r="D420" s="189"/>
      <c r="E420" s="672"/>
      <c r="F420" s="189"/>
      <c r="G420" s="472"/>
      <c r="H420" s="472"/>
      <c r="I420" s="672"/>
    </row>
    <row r="421" spans="2:9" ht="15.75" customHeight="1" x14ac:dyDescent="0.25">
      <c r="B421" s="189"/>
      <c r="C421" s="189"/>
      <c r="D421" s="189"/>
      <c r="E421" s="672"/>
      <c r="F421" s="189"/>
      <c r="G421" s="472"/>
      <c r="H421" s="472"/>
      <c r="I421" s="672"/>
    </row>
    <row r="422" spans="2:9" ht="15.75" customHeight="1" x14ac:dyDescent="0.25">
      <c r="B422" s="189"/>
      <c r="C422" s="189"/>
      <c r="D422" s="189"/>
      <c r="E422" s="672"/>
      <c r="F422" s="189"/>
      <c r="G422" s="472"/>
      <c r="H422" s="472"/>
      <c r="I422" s="672"/>
    </row>
    <row r="423" spans="2:9" ht="15.75" customHeight="1" x14ac:dyDescent="0.25">
      <c r="B423" s="189"/>
      <c r="C423" s="189"/>
      <c r="D423" s="189"/>
      <c r="E423" s="672"/>
      <c r="F423" s="189"/>
      <c r="G423" s="472"/>
      <c r="H423" s="472"/>
      <c r="I423" s="672"/>
    </row>
    <row r="424" spans="2:9" ht="15.75" customHeight="1" x14ac:dyDescent="0.25">
      <c r="B424" s="189"/>
      <c r="C424" s="189"/>
      <c r="D424" s="189"/>
      <c r="E424" s="672"/>
      <c r="F424" s="189"/>
      <c r="G424" s="472"/>
      <c r="H424" s="472"/>
      <c r="I424" s="672"/>
    </row>
    <row r="425" spans="2:9" ht="15.75" customHeight="1" x14ac:dyDescent="0.25">
      <c r="B425" s="189"/>
      <c r="C425" s="189"/>
      <c r="D425" s="189"/>
      <c r="E425" s="672"/>
      <c r="F425" s="189"/>
      <c r="G425" s="472"/>
      <c r="H425" s="472"/>
      <c r="I425" s="672"/>
    </row>
    <row r="426" spans="2:9" ht="15.75" customHeight="1" x14ac:dyDescent="0.25">
      <c r="B426" s="189"/>
      <c r="C426" s="189"/>
      <c r="D426" s="189"/>
      <c r="E426" s="672"/>
      <c r="F426" s="189"/>
      <c r="G426" s="472"/>
      <c r="H426" s="472"/>
      <c r="I426" s="672"/>
    </row>
    <row r="427" spans="2:9" ht="15.75" customHeight="1" x14ac:dyDescent="0.25">
      <c r="B427" s="189"/>
      <c r="C427" s="189"/>
      <c r="D427" s="189"/>
      <c r="E427" s="672"/>
      <c r="F427" s="189"/>
      <c r="G427" s="472"/>
      <c r="H427" s="472"/>
      <c r="I427" s="672"/>
    </row>
    <row r="428" spans="2:9" ht="15.75" customHeight="1" x14ac:dyDescent="0.25">
      <c r="B428" s="189"/>
      <c r="C428" s="189"/>
      <c r="D428" s="189"/>
      <c r="E428" s="672"/>
      <c r="F428" s="189"/>
      <c r="G428" s="472"/>
      <c r="H428" s="472"/>
      <c r="I428" s="672"/>
    </row>
    <row r="429" spans="2:9" ht="15.75" customHeight="1" x14ac:dyDescent="0.25">
      <c r="B429" s="189"/>
      <c r="C429" s="189"/>
      <c r="D429" s="189"/>
      <c r="E429" s="672"/>
      <c r="F429" s="189"/>
      <c r="G429" s="472"/>
      <c r="H429" s="472"/>
      <c r="I429" s="672"/>
    </row>
    <row r="430" spans="2:9" ht="15.75" customHeight="1" x14ac:dyDescent="0.25">
      <c r="B430" s="189"/>
      <c r="C430" s="189"/>
      <c r="D430" s="189"/>
      <c r="E430" s="672"/>
      <c r="F430" s="189"/>
      <c r="G430" s="472"/>
      <c r="H430" s="472"/>
      <c r="I430" s="672"/>
    </row>
    <row r="431" spans="2:9" ht="15.75" customHeight="1" x14ac:dyDescent="0.25">
      <c r="B431" s="189"/>
      <c r="C431" s="189"/>
      <c r="D431" s="189"/>
      <c r="E431" s="672"/>
      <c r="F431" s="189"/>
      <c r="G431" s="472"/>
      <c r="H431" s="472"/>
      <c r="I431" s="672"/>
    </row>
    <row r="432" spans="2:9" ht="15.75" customHeight="1" x14ac:dyDescent="0.25">
      <c r="B432" s="189"/>
      <c r="C432" s="189"/>
      <c r="D432" s="189"/>
      <c r="E432" s="672"/>
      <c r="F432" s="189"/>
      <c r="G432" s="472"/>
      <c r="H432" s="472"/>
      <c r="I432" s="672"/>
    </row>
    <row r="433" spans="2:9" ht="15.75" customHeight="1" x14ac:dyDescent="0.25">
      <c r="B433" s="189"/>
      <c r="C433" s="189"/>
      <c r="D433" s="189"/>
      <c r="E433" s="672"/>
      <c r="F433" s="189"/>
      <c r="G433" s="472"/>
      <c r="H433" s="472"/>
      <c r="I433" s="672"/>
    </row>
    <row r="434" spans="2:9" ht="15.75" customHeight="1" x14ac:dyDescent="0.25">
      <c r="B434" s="189"/>
      <c r="C434" s="189"/>
      <c r="D434" s="189"/>
      <c r="E434" s="672"/>
      <c r="F434" s="189"/>
      <c r="G434" s="472"/>
      <c r="H434" s="472"/>
      <c r="I434" s="672"/>
    </row>
    <row r="435" spans="2:9" ht="15.75" customHeight="1" x14ac:dyDescent="0.25">
      <c r="B435" s="189"/>
      <c r="C435" s="189"/>
      <c r="D435" s="189"/>
      <c r="E435" s="672"/>
      <c r="F435" s="189"/>
      <c r="G435" s="472"/>
      <c r="H435" s="472"/>
      <c r="I435" s="672"/>
    </row>
    <row r="436" spans="2:9" ht="15.75" customHeight="1" x14ac:dyDescent="0.25">
      <c r="B436" s="189"/>
      <c r="C436" s="189"/>
      <c r="D436" s="189"/>
      <c r="E436" s="672"/>
      <c r="F436" s="189"/>
      <c r="G436" s="472"/>
      <c r="H436" s="472"/>
      <c r="I436" s="672"/>
    </row>
    <row r="437" spans="2:9" ht="15.75" customHeight="1" x14ac:dyDescent="0.25">
      <c r="B437" s="189"/>
      <c r="C437" s="189"/>
      <c r="D437" s="189"/>
      <c r="E437" s="672"/>
      <c r="F437" s="189"/>
      <c r="G437" s="472"/>
      <c r="H437" s="472"/>
      <c r="I437" s="672"/>
    </row>
    <row r="438" spans="2:9" ht="15.75" customHeight="1" x14ac:dyDescent="0.25">
      <c r="B438" s="189"/>
      <c r="C438" s="189"/>
      <c r="D438" s="189"/>
      <c r="E438" s="672"/>
      <c r="F438" s="189"/>
      <c r="G438" s="472"/>
      <c r="H438" s="472"/>
      <c r="I438" s="672"/>
    </row>
    <row r="439" spans="2:9" ht="15.75" customHeight="1" x14ac:dyDescent="0.25">
      <c r="B439" s="189"/>
      <c r="C439" s="189"/>
      <c r="D439" s="189"/>
      <c r="E439" s="672"/>
      <c r="F439" s="189"/>
      <c r="G439" s="472"/>
      <c r="H439" s="472"/>
      <c r="I439" s="672"/>
    </row>
    <row r="440" spans="2:9" ht="15.75" customHeight="1" x14ac:dyDescent="0.25">
      <c r="B440" s="189"/>
      <c r="C440" s="189"/>
      <c r="D440" s="189"/>
      <c r="E440" s="672"/>
      <c r="F440" s="189"/>
      <c r="G440" s="472"/>
      <c r="H440" s="472"/>
      <c r="I440" s="672"/>
    </row>
    <row r="441" spans="2:9" ht="15.75" customHeight="1" x14ac:dyDescent="0.25">
      <c r="B441" s="189"/>
      <c r="C441" s="189"/>
      <c r="D441" s="189"/>
      <c r="E441" s="672"/>
      <c r="F441" s="189"/>
      <c r="G441" s="472"/>
      <c r="H441" s="472"/>
      <c r="I441" s="672"/>
    </row>
    <row r="442" spans="2:9" ht="15.75" customHeight="1" x14ac:dyDescent="0.25">
      <c r="B442" s="189"/>
      <c r="C442" s="189"/>
      <c r="D442" s="189"/>
      <c r="E442" s="672"/>
      <c r="F442" s="189"/>
      <c r="G442" s="472"/>
      <c r="H442" s="472"/>
      <c r="I442" s="672"/>
    </row>
    <row r="443" spans="2:9" ht="15.75" customHeight="1" x14ac:dyDescent="0.25">
      <c r="B443" s="189"/>
      <c r="C443" s="189"/>
      <c r="D443" s="189"/>
      <c r="E443" s="672"/>
      <c r="F443" s="189"/>
      <c r="G443" s="472"/>
      <c r="H443" s="472"/>
      <c r="I443" s="672"/>
    </row>
    <row r="444" spans="2:9" ht="15.75" customHeight="1" x14ac:dyDescent="0.25">
      <c r="B444" s="189"/>
      <c r="C444" s="189"/>
      <c r="D444" s="189"/>
      <c r="E444" s="672"/>
      <c r="F444" s="189"/>
      <c r="G444" s="472"/>
      <c r="H444" s="472"/>
      <c r="I444" s="672"/>
    </row>
    <row r="445" spans="2:9" ht="15.75" customHeight="1" x14ac:dyDescent="0.25">
      <c r="B445" s="189"/>
      <c r="C445" s="189"/>
      <c r="D445" s="189"/>
      <c r="E445" s="672"/>
      <c r="F445" s="189"/>
      <c r="G445" s="472"/>
      <c r="H445" s="472"/>
      <c r="I445" s="672"/>
    </row>
    <row r="446" spans="2:9" ht="15.75" customHeight="1" x14ac:dyDescent="0.25">
      <c r="B446" s="189"/>
      <c r="C446" s="189"/>
      <c r="D446" s="189"/>
      <c r="E446" s="672"/>
      <c r="F446" s="189"/>
      <c r="G446" s="472"/>
      <c r="H446" s="472"/>
      <c r="I446" s="672"/>
    </row>
    <row r="447" spans="2:9" ht="15.75" customHeight="1" x14ac:dyDescent="0.25">
      <c r="B447" s="189"/>
      <c r="C447" s="189"/>
      <c r="D447" s="189"/>
      <c r="E447" s="672"/>
      <c r="F447" s="189"/>
      <c r="G447" s="472"/>
      <c r="H447" s="472"/>
      <c r="I447" s="672"/>
    </row>
    <row r="448" spans="2:9" ht="15.75" customHeight="1" x14ac:dyDescent="0.25">
      <c r="B448" s="189"/>
      <c r="C448" s="189"/>
      <c r="D448" s="189"/>
      <c r="E448" s="672"/>
      <c r="F448" s="189"/>
      <c r="G448" s="472"/>
      <c r="H448" s="472"/>
      <c r="I448" s="672"/>
    </row>
    <row r="449" spans="2:9" ht="15.75" customHeight="1" x14ac:dyDescent="0.25">
      <c r="B449" s="189"/>
      <c r="C449" s="189"/>
      <c r="D449" s="189"/>
      <c r="E449" s="672"/>
      <c r="F449" s="189"/>
      <c r="G449" s="472"/>
      <c r="H449" s="472"/>
      <c r="I449" s="672"/>
    </row>
    <row r="450" spans="2:9" ht="15.75" customHeight="1" x14ac:dyDescent="0.25">
      <c r="B450" s="189"/>
      <c r="C450" s="189"/>
      <c r="D450" s="189"/>
      <c r="E450" s="672"/>
      <c r="F450" s="189"/>
      <c r="G450" s="472"/>
      <c r="H450" s="472"/>
      <c r="I450" s="672"/>
    </row>
    <row r="451" spans="2:9" ht="15.75" customHeight="1" x14ac:dyDescent="0.25">
      <c r="B451" s="189"/>
      <c r="C451" s="189"/>
      <c r="D451" s="189"/>
      <c r="E451" s="672"/>
      <c r="F451" s="189"/>
      <c r="G451" s="472"/>
      <c r="H451" s="472"/>
      <c r="I451" s="672"/>
    </row>
    <row r="452" spans="2:9" ht="15.75" customHeight="1" x14ac:dyDescent="0.25">
      <c r="B452" s="189"/>
      <c r="C452" s="189"/>
      <c r="D452" s="189"/>
      <c r="E452" s="672"/>
      <c r="F452" s="189"/>
      <c r="G452" s="472"/>
      <c r="H452" s="472"/>
      <c r="I452" s="672"/>
    </row>
    <row r="453" spans="2:9" ht="15.75" customHeight="1" x14ac:dyDescent="0.25">
      <c r="B453" s="189"/>
      <c r="C453" s="189"/>
      <c r="D453" s="189"/>
      <c r="E453" s="672"/>
      <c r="F453" s="189"/>
      <c r="G453" s="472"/>
      <c r="H453" s="472"/>
      <c r="I453" s="672"/>
    </row>
    <row r="454" spans="2:9" ht="15.75" customHeight="1" x14ac:dyDescent="0.25">
      <c r="B454" s="189"/>
      <c r="C454" s="189"/>
      <c r="D454" s="189"/>
      <c r="E454" s="672"/>
      <c r="F454" s="189"/>
      <c r="G454" s="472"/>
      <c r="H454" s="472"/>
      <c r="I454" s="672"/>
    </row>
    <row r="455" spans="2:9" ht="15.75" customHeight="1" x14ac:dyDescent="0.25">
      <c r="B455" s="189"/>
      <c r="C455" s="189"/>
      <c r="D455" s="189"/>
      <c r="E455" s="672"/>
      <c r="F455" s="189"/>
      <c r="G455" s="472"/>
      <c r="H455" s="472"/>
      <c r="I455" s="672"/>
    </row>
    <row r="456" spans="2:9" ht="15.75" customHeight="1" x14ac:dyDescent="0.25">
      <c r="B456" s="189"/>
      <c r="C456" s="189"/>
      <c r="D456" s="189"/>
      <c r="E456" s="672"/>
      <c r="F456" s="189"/>
      <c r="G456" s="472"/>
      <c r="H456" s="472"/>
      <c r="I456" s="672"/>
    </row>
    <row r="457" spans="2:9" ht="15.75" customHeight="1" x14ac:dyDescent="0.25">
      <c r="B457" s="189"/>
      <c r="C457" s="189"/>
      <c r="D457" s="189"/>
      <c r="E457" s="672"/>
      <c r="F457" s="189"/>
      <c r="G457" s="472"/>
      <c r="H457" s="472"/>
      <c r="I457" s="672"/>
    </row>
    <row r="458" spans="2:9" ht="15.75" customHeight="1" x14ac:dyDescent="0.25">
      <c r="B458" s="189"/>
      <c r="C458" s="189"/>
      <c r="D458" s="189"/>
      <c r="E458" s="672"/>
      <c r="F458" s="189"/>
      <c r="G458" s="472"/>
      <c r="H458" s="472"/>
      <c r="I458" s="672"/>
    </row>
    <row r="459" spans="2:9" ht="15.75" customHeight="1" x14ac:dyDescent="0.25">
      <c r="B459" s="189"/>
      <c r="C459" s="189"/>
      <c r="D459" s="189"/>
      <c r="E459" s="672"/>
      <c r="F459" s="189"/>
      <c r="G459" s="472"/>
      <c r="H459" s="472"/>
      <c r="I459" s="672"/>
    </row>
    <row r="460" spans="2:9" ht="15.75" customHeight="1" x14ac:dyDescent="0.25">
      <c r="B460" s="189"/>
      <c r="C460" s="189"/>
      <c r="D460" s="189"/>
      <c r="E460" s="672"/>
      <c r="F460" s="189"/>
      <c r="G460" s="472"/>
      <c r="H460" s="472"/>
      <c r="I460" s="672"/>
    </row>
    <row r="461" spans="2:9" ht="15.75" customHeight="1" x14ac:dyDescent="0.25">
      <c r="B461" s="189"/>
      <c r="C461" s="189"/>
      <c r="D461" s="189"/>
      <c r="E461" s="672"/>
      <c r="F461" s="189"/>
      <c r="G461" s="472"/>
      <c r="H461" s="472"/>
      <c r="I461" s="672"/>
    </row>
    <row r="462" spans="2:9" ht="15.75" customHeight="1" x14ac:dyDescent="0.25">
      <c r="B462" s="189"/>
      <c r="C462" s="189"/>
      <c r="D462" s="189"/>
      <c r="E462" s="672"/>
      <c r="F462" s="189"/>
      <c r="G462" s="472"/>
      <c r="H462" s="472"/>
      <c r="I462" s="672"/>
    </row>
    <row r="463" spans="2:9" ht="15.75" customHeight="1" x14ac:dyDescent="0.25">
      <c r="B463" s="189"/>
      <c r="C463" s="189"/>
      <c r="D463" s="189"/>
      <c r="E463" s="672"/>
      <c r="F463" s="189"/>
      <c r="G463" s="472"/>
      <c r="H463" s="472"/>
      <c r="I463" s="672"/>
    </row>
    <row r="464" spans="2:9" ht="15.75" customHeight="1" x14ac:dyDescent="0.25">
      <c r="B464" s="189"/>
      <c r="C464" s="189"/>
      <c r="D464" s="189"/>
      <c r="E464" s="672"/>
      <c r="F464" s="189"/>
      <c r="G464" s="472"/>
      <c r="H464" s="472"/>
      <c r="I464" s="672"/>
    </row>
    <row r="465" spans="2:9" ht="15.75" customHeight="1" x14ac:dyDescent="0.25">
      <c r="B465" s="189"/>
      <c r="C465" s="189"/>
      <c r="D465" s="189"/>
      <c r="E465" s="672"/>
      <c r="F465" s="189"/>
      <c r="G465" s="472"/>
      <c r="H465" s="472"/>
      <c r="I465" s="672"/>
    </row>
    <row r="466" spans="2:9" ht="15.75" customHeight="1" x14ac:dyDescent="0.25">
      <c r="B466" s="189"/>
      <c r="C466" s="189"/>
      <c r="D466" s="189"/>
      <c r="E466" s="672"/>
      <c r="F466" s="189"/>
      <c r="G466" s="472"/>
      <c r="H466" s="472"/>
      <c r="I466" s="672"/>
    </row>
    <row r="467" spans="2:9" ht="15.75" customHeight="1" x14ac:dyDescent="0.25">
      <c r="B467" s="189"/>
      <c r="C467" s="189"/>
      <c r="D467" s="189"/>
      <c r="E467" s="672"/>
      <c r="F467" s="189"/>
      <c r="G467" s="472"/>
      <c r="H467" s="472"/>
      <c r="I467" s="672"/>
    </row>
    <row r="468" spans="2:9" ht="15.75" customHeight="1" x14ac:dyDescent="0.25">
      <c r="B468" s="189"/>
      <c r="C468" s="189"/>
      <c r="D468" s="189"/>
      <c r="E468" s="672"/>
      <c r="F468" s="189"/>
      <c r="G468" s="472"/>
      <c r="H468" s="472"/>
      <c r="I468" s="672"/>
    </row>
    <row r="469" spans="2:9" ht="15.75" customHeight="1" x14ac:dyDescent="0.25">
      <c r="B469" s="189"/>
      <c r="C469" s="189"/>
      <c r="D469" s="189"/>
      <c r="E469" s="672"/>
      <c r="F469" s="189"/>
      <c r="G469" s="472"/>
      <c r="H469" s="472"/>
      <c r="I469" s="672"/>
    </row>
    <row r="470" spans="2:9" ht="15.75" customHeight="1" x14ac:dyDescent="0.25">
      <c r="B470" s="189"/>
      <c r="C470" s="189"/>
      <c r="D470" s="189"/>
      <c r="E470" s="672"/>
      <c r="F470" s="189"/>
      <c r="G470" s="472"/>
      <c r="H470" s="472"/>
      <c r="I470" s="672"/>
    </row>
    <row r="471" spans="2:9" ht="15.75" customHeight="1" x14ac:dyDescent="0.25">
      <c r="B471" s="189"/>
      <c r="C471" s="189"/>
      <c r="D471" s="189"/>
      <c r="E471" s="672"/>
      <c r="F471" s="189"/>
      <c r="G471" s="472"/>
      <c r="H471" s="472"/>
      <c r="I471" s="672"/>
    </row>
    <row r="472" spans="2:9" ht="15.75" customHeight="1" x14ac:dyDescent="0.25">
      <c r="B472" s="189"/>
      <c r="C472" s="189"/>
      <c r="D472" s="189"/>
      <c r="E472" s="672"/>
      <c r="F472" s="189"/>
      <c r="G472" s="472"/>
      <c r="H472" s="472"/>
      <c r="I472" s="672"/>
    </row>
    <row r="473" spans="2:9" ht="15.75" customHeight="1" x14ac:dyDescent="0.25">
      <c r="B473" s="189"/>
      <c r="C473" s="189"/>
      <c r="D473" s="189"/>
      <c r="E473" s="672"/>
      <c r="F473" s="189"/>
      <c r="G473" s="472"/>
      <c r="H473" s="472"/>
      <c r="I473" s="672"/>
    </row>
    <row r="474" spans="2:9" ht="15.75" customHeight="1" x14ac:dyDescent="0.25">
      <c r="B474" s="189"/>
      <c r="C474" s="189"/>
      <c r="D474" s="189"/>
      <c r="E474" s="672"/>
      <c r="F474" s="189"/>
      <c r="G474" s="472"/>
      <c r="H474" s="472"/>
      <c r="I474" s="672"/>
    </row>
    <row r="475" spans="2:9" ht="15.75" customHeight="1" x14ac:dyDescent="0.25">
      <c r="B475" s="189"/>
      <c r="C475" s="189"/>
      <c r="D475" s="189"/>
      <c r="E475" s="672"/>
      <c r="F475" s="189"/>
      <c r="G475" s="472"/>
      <c r="H475" s="472"/>
      <c r="I475" s="672"/>
    </row>
    <row r="476" spans="2:9" ht="15.75" customHeight="1" x14ac:dyDescent="0.25">
      <c r="B476" s="189"/>
      <c r="C476" s="189"/>
      <c r="D476" s="189"/>
      <c r="E476" s="672"/>
      <c r="F476" s="189"/>
      <c r="G476" s="472"/>
      <c r="H476" s="472"/>
      <c r="I476" s="672"/>
    </row>
    <row r="477" spans="2:9" ht="15.75" customHeight="1" x14ac:dyDescent="0.25">
      <c r="B477" s="189"/>
      <c r="C477" s="189"/>
      <c r="D477" s="189"/>
      <c r="E477" s="672"/>
      <c r="F477" s="189"/>
      <c r="G477" s="472"/>
      <c r="H477" s="472"/>
      <c r="I477" s="672"/>
    </row>
    <row r="478" spans="2:9" ht="15.75" customHeight="1" x14ac:dyDescent="0.25">
      <c r="B478" s="189"/>
      <c r="C478" s="189"/>
      <c r="D478" s="189"/>
      <c r="E478" s="672"/>
      <c r="F478" s="189"/>
      <c r="G478" s="472"/>
      <c r="H478" s="472"/>
      <c r="I478" s="672"/>
    </row>
    <row r="479" spans="2:9" ht="15.75" customHeight="1" x14ac:dyDescent="0.25">
      <c r="B479" s="189"/>
      <c r="C479" s="189"/>
      <c r="D479" s="189"/>
      <c r="E479" s="672"/>
      <c r="F479" s="189"/>
      <c r="G479" s="472"/>
      <c r="H479" s="472"/>
      <c r="I479" s="672"/>
    </row>
    <row r="480" spans="2:9" ht="15.75" customHeight="1" x14ac:dyDescent="0.25">
      <c r="B480" s="189"/>
      <c r="C480" s="189"/>
      <c r="D480" s="189"/>
      <c r="E480" s="672"/>
      <c r="F480" s="189"/>
      <c r="G480" s="472"/>
      <c r="H480" s="472"/>
      <c r="I480" s="672"/>
    </row>
    <row r="481" spans="2:9" ht="15.75" customHeight="1" x14ac:dyDescent="0.25">
      <c r="B481" s="189"/>
      <c r="C481" s="189"/>
      <c r="D481" s="189"/>
      <c r="E481" s="672"/>
      <c r="F481" s="189"/>
      <c r="G481" s="472"/>
      <c r="H481" s="472"/>
      <c r="I481" s="672"/>
    </row>
    <row r="482" spans="2:9" ht="15.75" customHeight="1" x14ac:dyDescent="0.25">
      <c r="B482" s="189"/>
      <c r="C482" s="189"/>
      <c r="D482" s="189"/>
      <c r="E482" s="672"/>
      <c r="F482" s="189"/>
      <c r="G482" s="472"/>
      <c r="H482" s="472"/>
      <c r="I482" s="672"/>
    </row>
    <row r="483" spans="2:9" ht="15.75" customHeight="1" x14ac:dyDescent="0.25">
      <c r="B483" s="189"/>
      <c r="C483" s="189"/>
      <c r="D483" s="189"/>
      <c r="E483" s="672"/>
      <c r="F483" s="189"/>
      <c r="G483" s="472"/>
      <c r="H483" s="472"/>
      <c r="I483" s="672"/>
    </row>
    <row r="484" spans="2:9" ht="15.75" customHeight="1" x14ac:dyDescent="0.25">
      <c r="B484" s="189"/>
      <c r="C484" s="189"/>
      <c r="D484" s="189"/>
      <c r="E484" s="672"/>
      <c r="F484" s="189"/>
      <c r="G484" s="472"/>
      <c r="H484" s="472"/>
      <c r="I484" s="672"/>
    </row>
    <row r="485" spans="2:9" ht="15.75" customHeight="1" x14ac:dyDescent="0.25">
      <c r="B485" s="189"/>
      <c r="C485" s="189"/>
      <c r="D485" s="189"/>
      <c r="E485" s="672"/>
      <c r="F485" s="189"/>
      <c r="G485" s="472"/>
      <c r="H485" s="472"/>
      <c r="I485" s="672"/>
    </row>
    <row r="486" spans="2:9" ht="15.75" customHeight="1" x14ac:dyDescent="0.25">
      <c r="B486" s="189"/>
      <c r="C486" s="189"/>
      <c r="D486" s="189"/>
      <c r="E486" s="672"/>
      <c r="F486" s="189"/>
      <c r="G486" s="472"/>
      <c r="H486" s="472"/>
      <c r="I486" s="672"/>
    </row>
    <row r="487" spans="2:9" ht="15.75" customHeight="1" x14ac:dyDescent="0.25">
      <c r="B487" s="189"/>
      <c r="C487" s="189"/>
      <c r="D487" s="189"/>
      <c r="E487" s="672"/>
      <c r="F487" s="189"/>
      <c r="G487" s="472"/>
      <c r="H487" s="472"/>
      <c r="I487" s="672"/>
    </row>
    <row r="488" spans="2:9" ht="15.75" customHeight="1" x14ac:dyDescent="0.25">
      <c r="B488" s="189"/>
      <c r="C488" s="189"/>
      <c r="D488" s="189"/>
      <c r="E488" s="672"/>
      <c r="F488" s="189"/>
      <c r="G488" s="472"/>
      <c r="H488" s="472"/>
      <c r="I488" s="672"/>
    </row>
    <row r="489" spans="2:9" ht="15.75" customHeight="1" x14ac:dyDescent="0.25">
      <c r="B489" s="189"/>
      <c r="C489" s="189"/>
      <c r="D489" s="189"/>
      <c r="E489" s="672"/>
      <c r="F489" s="189"/>
      <c r="G489" s="472"/>
      <c r="H489" s="472"/>
      <c r="I489" s="672"/>
    </row>
    <row r="490" spans="2:9" ht="15.75" customHeight="1" x14ac:dyDescent="0.25">
      <c r="B490" s="189"/>
      <c r="C490" s="189"/>
      <c r="D490" s="189"/>
      <c r="E490" s="672"/>
      <c r="F490" s="189"/>
      <c r="G490" s="472"/>
      <c r="H490" s="472"/>
      <c r="I490" s="672"/>
    </row>
    <row r="491" spans="2:9" ht="15.75" customHeight="1" x14ac:dyDescent="0.25">
      <c r="B491" s="189"/>
      <c r="C491" s="189"/>
      <c r="D491" s="189"/>
      <c r="E491" s="672"/>
      <c r="F491" s="189"/>
      <c r="G491" s="472"/>
      <c r="H491" s="472"/>
      <c r="I491" s="672"/>
    </row>
    <row r="492" spans="2:9" ht="15.75" customHeight="1" x14ac:dyDescent="0.25">
      <c r="B492" s="189"/>
      <c r="C492" s="189"/>
      <c r="D492" s="189"/>
      <c r="E492" s="672"/>
      <c r="F492" s="189"/>
      <c r="G492" s="472"/>
      <c r="H492" s="472"/>
      <c r="I492" s="672"/>
    </row>
    <row r="493" spans="2:9" ht="15.75" customHeight="1" x14ac:dyDescent="0.25">
      <c r="B493" s="189"/>
      <c r="C493" s="189"/>
      <c r="D493" s="189"/>
      <c r="E493" s="672"/>
      <c r="F493" s="189"/>
      <c r="G493" s="472"/>
      <c r="H493" s="472"/>
      <c r="I493" s="672"/>
    </row>
    <row r="494" spans="2:9" ht="15.75" customHeight="1" x14ac:dyDescent="0.25">
      <c r="B494" s="189"/>
      <c r="C494" s="189"/>
      <c r="D494" s="189"/>
      <c r="E494" s="672"/>
      <c r="F494" s="189"/>
      <c r="G494" s="472"/>
      <c r="H494" s="472"/>
      <c r="I494" s="672"/>
    </row>
    <row r="495" spans="2:9" ht="15.75" customHeight="1" x14ac:dyDescent="0.25">
      <c r="B495" s="189"/>
      <c r="C495" s="189"/>
      <c r="D495" s="189"/>
      <c r="E495" s="672"/>
      <c r="F495" s="189"/>
      <c r="G495" s="472"/>
      <c r="H495" s="472"/>
      <c r="I495" s="672"/>
    </row>
    <row r="496" spans="2:9" ht="15.75" customHeight="1" x14ac:dyDescent="0.25">
      <c r="B496" s="189"/>
      <c r="C496" s="189"/>
      <c r="D496" s="189"/>
      <c r="E496" s="672"/>
      <c r="F496" s="189"/>
      <c r="G496" s="472"/>
      <c r="H496" s="472"/>
      <c r="I496" s="672"/>
    </row>
    <row r="497" spans="2:9" ht="15.75" customHeight="1" x14ac:dyDescent="0.25">
      <c r="B497" s="189"/>
      <c r="C497" s="189"/>
      <c r="D497" s="189"/>
      <c r="E497" s="672"/>
      <c r="F497" s="189"/>
      <c r="G497" s="472"/>
      <c r="H497" s="472"/>
      <c r="I497" s="672"/>
    </row>
    <row r="498" spans="2:9" ht="15.75" customHeight="1" x14ac:dyDescent="0.25">
      <c r="B498" s="189"/>
      <c r="C498" s="189"/>
      <c r="D498" s="189"/>
      <c r="E498" s="672"/>
      <c r="F498" s="189"/>
      <c r="G498" s="472"/>
      <c r="H498" s="472"/>
      <c r="I498" s="672"/>
    </row>
    <row r="499" spans="2:9" ht="15.75" customHeight="1" x14ac:dyDescent="0.25">
      <c r="B499" s="189"/>
      <c r="C499" s="189"/>
      <c r="D499" s="189"/>
      <c r="E499" s="672"/>
      <c r="F499" s="189"/>
      <c r="G499" s="472"/>
      <c r="H499" s="472"/>
      <c r="I499" s="672"/>
    </row>
    <row r="500" spans="2:9" ht="15.75" customHeight="1" x14ac:dyDescent="0.25">
      <c r="B500" s="189"/>
      <c r="C500" s="189"/>
      <c r="D500" s="189"/>
      <c r="E500" s="672"/>
      <c r="F500" s="189"/>
      <c r="G500" s="472"/>
      <c r="H500" s="472"/>
      <c r="I500" s="672"/>
    </row>
    <row r="501" spans="2:9" ht="15.75" customHeight="1" x14ac:dyDescent="0.25">
      <c r="B501" s="189"/>
      <c r="C501" s="189"/>
      <c r="D501" s="189"/>
      <c r="E501" s="672"/>
      <c r="F501" s="189"/>
      <c r="G501" s="472"/>
      <c r="H501" s="472"/>
      <c r="I501" s="672"/>
    </row>
    <row r="502" spans="2:9" ht="15.75" customHeight="1" x14ac:dyDescent="0.25">
      <c r="B502" s="189"/>
      <c r="C502" s="189"/>
      <c r="D502" s="189"/>
      <c r="E502" s="672"/>
      <c r="F502" s="189"/>
      <c r="G502" s="472"/>
      <c r="H502" s="472"/>
      <c r="I502" s="672"/>
    </row>
    <row r="503" spans="2:9" ht="15.75" customHeight="1" x14ac:dyDescent="0.25">
      <c r="B503" s="189"/>
      <c r="C503" s="189"/>
      <c r="D503" s="189"/>
      <c r="E503" s="672"/>
      <c r="F503" s="189"/>
      <c r="G503" s="472"/>
      <c r="H503" s="472"/>
      <c r="I503" s="672"/>
    </row>
    <row r="504" spans="2:9" ht="15.75" customHeight="1" x14ac:dyDescent="0.25">
      <c r="B504" s="189"/>
      <c r="C504" s="189"/>
      <c r="D504" s="189"/>
      <c r="E504" s="672"/>
      <c r="F504" s="189"/>
      <c r="G504" s="472"/>
      <c r="H504" s="472"/>
      <c r="I504" s="672"/>
    </row>
    <row r="505" spans="2:9" ht="15.75" customHeight="1" x14ac:dyDescent="0.25">
      <c r="B505" s="189"/>
      <c r="C505" s="189"/>
      <c r="D505" s="189"/>
      <c r="E505" s="672"/>
      <c r="F505" s="189"/>
      <c r="G505" s="472"/>
      <c r="H505" s="472"/>
      <c r="I505" s="672"/>
    </row>
    <row r="506" spans="2:9" ht="15.75" customHeight="1" x14ac:dyDescent="0.25">
      <c r="B506" s="189"/>
      <c r="C506" s="189"/>
      <c r="D506" s="189"/>
      <c r="E506" s="672"/>
      <c r="F506" s="189"/>
      <c r="G506" s="472"/>
      <c r="H506" s="472"/>
      <c r="I506" s="672"/>
    </row>
    <row r="507" spans="2:9" ht="15.75" customHeight="1" x14ac:dyDescent="0.25">
      <c r="B507" s="189"/>
      <c r="C507" s="189"/>
      <c r="D507" s="189"/>
      <c r="E507" s="672"/>
      <c r="F507" s="189"/>
      <c r="G507" s="472"/>
      <c r="H507" s="472"/>
      <c r="I507" s="672"/>
    </row>
    <row r="508" spans="2:9" ht="15.75" customHeight="1" x14ac:dyDescent="0.25">
      <c r="B508" s="189"/>
      <c r="C508" s="189"/>
      <c r="D508" s="189"/>
      <c r="E508" s="672"/>
      <c r="F508" s="189"/>
      <c r="G508" s="472"/>
      <c r="H508" s="472"/>
      <c r="I508" s="672"/>
    </row>
    <row r="509" spans="2:9" ht="15.75" customHeight="1" x14ac:dyDescent="0.25">
      <c r="B509" s="189"/>
      <c r="C509" s="189"/>
      <c r="D509" s="189"/>
      <c r="E509" s="672"/>
      <c r="F509" s="189"/>
      <c r="G509" s="472"/>
      <c r="H509" s="472"/>
      <c r="I509" s="672"/>
    </row>
    <row r="510" spans="2:9" ht="15.75" customHeight="1" x14ac:dyDescent="0.25">
      <c r="B510" s="189"/>
      <c r="C510" s="189"/>
      <c r="D510" s="189"/>
      <c r="E510" s="672"/>
      <c r="F510" s="189"/>
      <c r="G510" s="472"/>
      <c r="H510" s="472"/>
      <c r="I510" s="672"/>
    </row>
    <row r="511" spans="2:9" ht="15.75" customHeight="1" x14ac:dyDescent="0.25">
      <c r="B511" s="189"/>
      <c r="C511" s="189"/>
      <c r="D511" s="189"/>
      <c r="E511" s="672"/>
      <c r="F511" s="189"/>
      <c r="G511" s="472"/>
      <c r="H511" s="472"/>
      <c r="I511" s="672"/>
    </row>
    <row r="512" spans="2:9" ht="15.75" customHeight="1" x14ac:dyDescent="0.25">
      <c r="B512" s="189"/>
      <c r="C512" s="189"/>
      <c r="D512" s="189"/>
      <c r="E512" s="672"/>
      <c r="F512" s="189"/>
      <c r="G512" s="472"/>
      <c r="H512" s="472"/>
      <c r="I512" s="672"/>
    </row>
    <row r="513" spans="2:9" ht="15.75" customHeight="1" x14ac:dyDescent="0.25">
      <c r="B513" s="189"/>
      <c r="C513" s="189"/>
      <c r="D513" s="189"/>
      <c r="E513" s="672"/>
      <c r="F513" s="189"/>
      <c r="G513" s="472"/>
      <c r="H513" s="472"/>
      <c r="I513" s="672"/>
    </row>
    <row r="514" spans="2:9" ht="15.75" customHeight="1" x14ac:dyDescent="0.25">
      <c r="B514" s="189"/>
      <c r="C514" s="189"/>
      <c r="D514" s="189"/>
      <c r="E514" s="672"/>
      <c r="F514" s="189"/>
      <c r="G514" s="472"/>
      <c r="H514" s="472"/>
      <c r="I514" s="672"/>
    </row>
    <row r="515" spans="2:9" ht="15.75" customHeight="1" x14ac:dyDescent="0.25">
      <c r="B515" s="189"/>
      <c r="C515" s="189"/>
      <c r="D515" s="189"/>
      <c r="E515" s="672"/>
      <c r="F515" s="189"/>
      <c r="G515" s="472"/>
      <c r="H515" s="472"/>
      <c r="I515" s="672"/>
    </row>
    <row r="516" spans="2:9" ht="15.75" customHeight="1" x14ac:dyDescent="0.25">
      <c r="B516" s="189"/>
      <c r="C516" s="189"/>
      <c r="D516" s="189"/>
      <c r="E516" s="672"/>
      <c r="F516" s="189"/>
      <c r="G516" s="472"/>
      <c r="H516" s="472"/>
      <c r="I516" s="672"/>
    </row>
    <row r="517" spans="2:9" ht="15.75" customHeight="1" x14ac:dyDescent="0.25">
      <c r="B517" s="189"/>
      <c r="C517" s="189"/>
      <c r="D517" s="189"/>
      <c r="E517" s="672"/>
      <c r="F517" s="189"/>
      <c r="G517" s="472"/>
      <c r="H517" s="472"/>
      <c r="I517" s="672"/>
    </row>
    <row r="518" spans="2:9" ht="15.75" customHeight="1" x14ac:dyDescent="0.25">
      <c r="B518" s="189"/>
      <c r="C518" s="189"/>
      <c r="D518" s="189"/>
      <c r="E518" s="672"/>
      <c r="F518" s="189"/>
      <c r="G518" s="472"/>
      <c r="H518" s="472"/>
      <c r="I518" s="672"/>
    </row>
    <row r="519" spans="2:9" ht="15.75" customHeight="1" x14ac:dyDescent="0.25">
      <c r="B519" s="189"/>
      <c r="C519" s="189"/>
      <c r="D519" s="189"/>
      <c r="E519" s="672"/>
      <c r="F519" s="189"/>
      <c r="G519" s="472"/>
      <c r="H519" s="472"/>
      <c r="I519" s="672"/>
    </row>
    <row r="520" spans="2:9" ht="15.75" customHeight="1" x14ac:dyDescent="0.25">
      <c r="B520" s="189"/>
      <c r="C520" s="189"/>
      <c r="D520" s="189"/>
      <c r="E520" s="672"/>
      <c r="F520" s="189"/>
      <c r="G520" s="472"/>
      <c r="H520" s="472"/>
      <c r="I520" s="672"/>
    </row>
    <row r="521" spans="2:9" ht="15.75" customHeight="1" x14ac:dyDescent="0.25">
      <c r="B521" s="189"/>
      <c r="C521" s="189"/>
      <c r="D521" s="189"/>
      <c r="E521" s="672"/>
      <c r="F521" s="189"/>
      <c r="G521" s="472"/>
      <c r="H521" s="472"/>
      <c r="I521" s="672"/>
    </row>
    <row r="522" spans="2:9" ht="15.75" customHeight="1" x14ac:dyDescent="0.25">
      <c r="B522" s="189"/>
      <c r="C522" s="189"/>
      <c r="D522" s="189"/>
      <c r="E522" s="672"/>
      <c r="F522" s="189"/>
      <c r="G522" s="472"/>
      <c r="H522" s="472"/>
      <c r="I522" s="672"/>
    </row>
    <row r="523" spans="2:9" ht="15.75" customHeight="1" x14ac:dyDescent="0.25">
      <c r="B523" s="189"/>
      <c r="C523" s="189"/>
      <c r="D523" s="189"/>
      <c r="E523" s="672"/>
      <c r="F523" s="189"/>
      <c r="G523" s="472"/>
      <c r="H523" s="472"/>
      <c r="I523" s="672"/>
    </row>
    <row r="524" spans="2:9" ht="15.75" customHeight="1" x14ac:dyDescent="0.25">
      <c r="B524" s="189"/>
      <c r="C524" s="189"/>
      <c r="D524" s="189"/>
      <c r="E524" s="672"/>
      <c r="F524" s="189"/>
      <c r="G524" s="472"/>
      <c r="H524" s="472"/>
      <c r="I524" s="672"/>
    </row>
    <row r="525" spans="2:9" ht="15.75" customHeight="1" x14ac:dyDescent="0.25">
      <c r="B525" s="189"/>
      <c r="C525" s="189"/>
      <c r="D525" s="189"/>
      <c r="E525" s="672"/>
      <c r="F525" s="189"/>
      <c r="G525" s="472"/>
      <c r="H525" s="472"/>
      <c r="I525" s="672"/>
    </row>
    <row r="526" spans="2:9" ht="15.75" customHeight="1" x14ac:dyDescent="0.25">
      <c r="B526" s="189"/>
      <c r="C526" s="189"/>
      <c r="D526" s="189"/>
      <c r="E526" s="672"/>
      <c r="F526" s="189"/>
      <c r="G526" s="472"/>
      <c r="H526" s="472"/>
      <c r="I526" s="672"/>
    </row>
    <row r="527" spans="2:9" ht="15.75" customHeight="1" x14ac:dyDescent="0.25">
      <c r="B527" s="189"/>
      <c r="C527" s="189"/>
      <c r="D527" s="189"/>
      <c r="E527" s="672"/>
      <c r="F527" s="189"/>
      <c r="G527" s="472"/>
      <c r="H527" s="472"/>
      <c r="I527" s="672"/>
    </row>
    <row r="528" spans="2:9" ht="15.75" customHeight="1" x14ac:dyDescent="0.25">
      <c r="B528" s="189"/>
      <c r="C528" s="189"/>
      <c r="D528" s="189"/>
      <c r="E528" s="672"/>
      <c r="F528" s="189"/>
      <c r="G528" s="472"/>
      <c r="H528" s="472"/>
      <c r="I528" s="672"/>
    </row>
    <row r="529" spans="2:9" ht="15.75" customHeight="1" x14ac:dyDescent="0.25">
      <c r="B529" s="189"/>
      <c r="C529" s="189"/>
      <c r="D529" s="189"/>
      <c r="E529" s="672"/>
      <c r="F529" s="189"/>
      <c r="G529" s="472"/>
      <c r="H529" s="472"/>
      <c r="I529" s="672"/>
    </row>
    <row r="530" spans="2:9" ht="15.75" customHeight="1" x14ac:dyDescent="0.25">
      <c r="B530" s="189"/>
      <c r="C530" s="189"/>
      <c r="D530" s="189"/>
      <c r="E530" s="672"/>
      <c r="F530" s="189"/>
      <c r="G530" s="472"/>
      <c r="H530" s="472"/>
      <c r="I530" s="672"/>
    </row>
    <row r="531" spans="2:9" ht="15.75" customHeight="1" x14ac:dyDescent="0.25">
      <c r="B531" s="189"/>
      <c r="C531" s="189"/>
      <c r="D531" s="189"/>
      <c r="E531" s="672"/>
      <c r="F531" s="189"/>
      <c r="G531" s="472"/>
      <c r="H531" s="472"/>
      <c r="I531" s="672"/>
    </row>
    <row r="532" spans="2:9" ht="15.75" customHeight="1" x14ac:dyDescent="0.25">
      <c r="B532" s="189"/>
      <c r="C532" s="189"/>
      <c r="D532" s="189"/>
      <c r="E532" s="672"/>
      <c r="F532" s="189"/>
      <c r="G532" s="472"/>
      <c r="H532" s="472"/>
      <c r="I532" s="672"/>
    </row>
    <row r="533" spans="2:9" ht="15.75" customHeight="1" x14ac:dyDescent="0.25">
      <c r="B533" s="189"/>
      <c r="C533" s="189"/>
      <c r="D533" s="189"/>
      <c r="E533" s="672"/>
      <c r="F533" s="189"/>
      <c r="G533" s="472"/>
      <c r="H533" s="472"/>
      <c r="I533" s="672"/>
    </row>
    <row r="534" spans="2:9" ht="15.75" customHeight="1" x14ac:dyDescent="0.25">
      <c r="B534" s="189"/>
      <c r="C534" s="189"/>
      <c r="D534" s="189"/>
      <c r="E534" s="672"/>
      <c r="F534" s="189"/>
      <c r="G534" s="472"/>
      <c r="H534" s="472"/>
      <c r="I534" s="672"/>
    </row>
    <row r="535" spans="2:9" ht="15.75" customHeight="1" x14ac:dyDescent="0.25">
      <c r="B535" s="189"/>
      <c r="C535" s="189"/>
      <c r="D535" s="189"/>
      <c r="E535" s="672"/>
      <c r="F535" s="189"/>
      <c r="G535" s="472"/>
      <c r="H535" s="472"/>
      <c r="I535" s="672"/>
    </row>
    <row r="536" spans="2:9" ht="15.75" customHeight="1" x14ac:dyDescent="0.25">
      <c r="B536" s="189"/>
      <c r="C536" s="189"/>
      <c r="D536" s="189"/>
      <c r="E536" s="672"/>
      <c r="F536" s="189"/>
      <c r="G536" s="472"/>
      <c r="H536" s="472"/>
      <c r="I536" s="672"/>
    </row>
    <row r="537" spans="2:9" ht="15.75" customHeight="1" x14ac:dyDescent="0.25">
      <c r="B537" s="189"/>
      <c r="C537" s="189"/>
      <c r="D537" s="189"/>
      <c r="E537" s="672"/>
      <c r="F537" s="189"/>
      <c r="G537" s="472"/>
      <c r="H537" s="472"/>
      <c r="I537" s="672"/>
    </row>
    <row r="538" spans="2:9" ht="15.75" customHeight="1" x14ac:dyDescent="0.25">
      <c r="B538" s="189"/>
      <c r="C538" s="189"/>
      <c r="D538" s="189"/>
      <c r="E538" s="672"/>
      <c r="F538" s="189"/>
      <c r="G538" s="472"/>
      <c r="H538" s="472"/>
      <c r="I538" s="672"/>
    </row>
    <row r="539" spans="2:9" ht="15.75" customHeight="1" x14ac:dyDescent="0.25">
      <c r="B539" s="189"/>
      <c r="C539" s="189"/>
      <c r="D539" s="189"/>
      <c r="E539" s="672"/>
      <c r="F539" s="189"/>
      <c r="G539" s="472"/>
      <c r="H539" s="472"/>
      <c r="I539" s="672"/>
    </row>
    <row r="540" spans="2:9" ht="15.75" customHeight="1" x14ac:dyDescent="0.25">
      <c r="B540" s="189"/>
      <c r="C540" s="189"/>
      <c r="D540" s="189"/>
      <c r="E540" s="672"/>
      <c r="F540" s="189"/>
      <c r="G540" s="472"/>
      <c r="H540" s="472"/>
      <c r="I540" s="672"/>
    </row>
    <row r="541" spans="2:9" ht="15.75" customHeight="1" x14ac:dyDescent="0.25">
      <c r="B541" s="189"/>
      <c r="C541" s="189"/>
      <c r="D541" s="189"/>
      <c r="E541" s="672"/>
      <c r="F541" s="189"/>
      <c r="G541" s="472"/>
      <c r="H541" s="472"/>
      <c r="I541" s="672"/>
    </row>
    <row r="542" spans="2:9" ht="15.75" customHeight="1" x14ac:dyDescent="0.25">
      <c r="B542" s="189"/>
      <c r="C542" s="189"/>
      <c r="D542" s="189"/>
      <c r="E542" s="672"/>
      <c r="F542" s="189"/>
      <c r="G542" s="472"/>
      <c r="H542" s="472"/>
      <c r="I542" s="672"/>
    </row>
    <row r="543" spans="2:9" ht="15.75" customHeight="1" x14ac:dyDescent="0.25">
      <c r="B543" s="189"/>
      <c r="C543" s="189"/>
      <c r="D543" s="189"/>
      <c r="E543" s="672"/>
      <c r="F543" s="189"/>
      <c r="G543" s="472"/>
      <c r="H543" s="472"/>
      <c r="I543" s="672"/>
    </row>
    <row r="544" spans="2:9" ht="15.75" customHeight="1" x14ac:dyDescent="0.25">
      <c r="B544" s="189"/>
      <c r="C544" s="189"/>
      <c r="D544" s="189"/>
      <c r="E544" s="672"/>
      <c r="F544" s="189"/>
      <c r="G544" s="472"/>
      <c r="H544" s="472"/>
      <c r="I544" s="672"/>
    </row>
    <row r="545" spans="2:9" ht="15.75" customHeight="1" x14ac:dyDescent="0.25">
      <c r="B545" s="189"/>
      <c r="C545" s="189"/>
      <c r="D545" s="189"/>
      <c r="E545" s="672"/>
      <c r="F545" s="189"/>
      <c r="G545" s="472"/>
      <c r="H545" s="472"/>
      <c r="I545" s="672"/>
    </row>
    <row r="546" spans="2:9" ht="15.75" customHeight="1" x14ac:dyDescent="0.25">
      <c r="B546" s="189"/>
      <c r="C546" s="189"/>
      <c r="D546" s="189"/>
      <c r="E546" s="672"/>
      <c r="F546" s="189"/>
      <c r="G546" s="472"/>
      <c r="H546" s="472"/>
      <c r="I546" s="672"/>
    </row>
    <row r="547" spans="2:9" ht="15.75" customHeight="1" x14ac:dyDescent="0.25">
      <c r="B547" s="189"/>
      <c r="C547" s="189"/>
      <c r="D547" s="189"/>
      <c r="E547" s="672"/>
      <c r="F547" s="189"/>
      <c r="G547" s="472"/>
      <c r="H547" s="472"/>
      <c r="I547" s="672"/>
    </row>
    <row r="548" spans="2:9" ht="15.75" customHeight="1" x14ac:dyDescent="0.25">
      <c r="B548" s="189"/>
      <c r="C548" s="189"/>
      <c r="D548" s="189"/>
      <c r="E548" s="672"/>
      <c r="F548" s="189"/>
      <c r="G548" s="472"/>
      <c r="H548" s="472"/>
      <c r="I548" s="672"/>
    </row>
    <row r="549" spans="2:9" ht="15.75" customHeight="1" x14ac:dyDescent="0.25">
      <c r="B549" s="189"/>
      <c r="C549" s="189"/>
      <c r="D549" s="189"/>
      <c r="E549" s="672"/>
      <c r="F549" s="189"/>
      <c r="G549" s="472"/>
      <c r="H549" s="472"/>
      <c r="I549" s="672"/>
    </row>
    <row r="550" spans="2:9" ht="15.75" customHeight="1" x14ac:dyDescent="0.25">
      <c r="B550" s="189"/>
      <c r="C550" s="189"/>
      <c r="D550" s="189"/>
      <c r="E550" s="672"/>
      <c r="F550" s="189"/>
      <c r="G550" s="472"/>
      <c r="H550" s="472"/>
      <c r="I550" s="672"/>
    </row>
    <row r="551" spans="2:9" ht="15.75" customHeight="1" x14ac:dyDescent="0.25">
      <c r="B551" s="189"/>
      <c r="C551" s="189"/>
      <c r="D551" s="189"/>
      <c r="E551" s="672"/>
      <c r="F551" s="189"/>
      <c r="G551" s="472"/>
      <c r="H551" s="472"/>
      <c r="I551" s="672"/>
    </row>
    <row r="552" spans="2:9" ht="15.75" customHeight="1" x14ac:dyDescent="0.25">
      <c r="B552" s="189"/>
      <c r="C552" s="189"/>
      <c r="D552" s="189"/>
      <c r="E552" s="672"/>
      <c r="F552" s="189"/>
      <c r="G552" s="472"/>
      <c r="H552" s="472"/>
      <c r="I552" s="672"/>
    </row>
    <row r="553" spans="2:9" ht="15.75" customHeight="1" x14ac:dyDescent="0.25">
      <c r="B553" s="189"/>
      <c r="C553" s="189"/>
      <c r="D553" s="189"/>
      <c r="E553" s="672"/>
      <c r="F553" s="189"/>
      <c r="G553" s="472"/>
      <c r="H553" s="472"/>
      <c r="I553" s="672"/>
    </row>
    <row r="554" spans="2:9" ht="15.75" customHeight="1" x14ac:dyDescent="0.25">
      <c r="B554" s="189"/>
      <c r="C554" s="189"/>
      <c r="D554" s="189"/>
      <c r="E554" s="672"/>
      <c r="F554" s="189"/>
      <c r="G554" s="472"/>
      <c r="H554" s="472"/>
      <c r="I554" s="672"/>
    </row>
    <row r="555" spans="2:9" ht="15.75" customHeight="1" x14ac:dyDescent="0.25">
      <c r="B555" s="189"/>
      <c r="C555" s="189"/>
      <c r="D555" s="189"/>
      <c r="E555" s="672"/>
      <c r="F555" s="189"/>
      <c r="G555" s="472"/>
      <c r="H555" s="472"/>
      <c r="I555" s="672"/>
    </row>
    <row r="556" spans="2:9" ht="15.75" customHeight="1" x14ac:dyDescent="0.25">
      <c r="B556" s="189"/>
      <c r="C556" s="189"/>
      <c r="D556" s="189"/>
      <c r="E556" s="672"/>
      <c r="F556" s="189"/>
      <c r="G556" s="472"/>
      <c r="H556" s="472"/>
      <c r="I556" s="672"/>
    </row>
    <row r="557" spans="2:9" ht="15.75" customHeight="1" x14ac:dyDescent="0.25">
      <c r="B557" s="189"/>
      <c r="C557" s="189"/>
      <c r="D557" s="189"/>
      <c r="E557" s="672"/>
      <c r="F557" s="189"/>
      <c r="G557" s="472"/>
      <c r="H557" s="472"/>
      <c r="I557" s="672"/>
    </row>
    <row r="558" spans="2:9" ht="15.75" customHeight="1" x14ac:dyDescent="0.25">
      <c r="B558" s="189"/>
      <c r="C558" s="189"/>
      <c r="D558" s="189"/>
      <c r="E558" s="672"/>
      <c r="F558" s="189"/>
      <c r="G558" s="472"/>
      <c r="H558" s="472"/>
      <c r="I558" s="672"/>
    </row>
    <row r="559" spans="2:9" ht="15.75" customHeight="1" x14ac:dyDescent="0.25">
      <c r="B559" s="189"/>
      <c r="C559" s="189"/>
      <c r="D559" s="189"/>
      <c r="E559" s="672"/>
      <c r="F559" s="189"/>
      <c r="G559" s="472"/>
      <c r="H559" s="472"/>
      <c r="I559" s="672"/>
    </row>
    <row r="560" spans="2:9" ht="15.75" customHeight="1" x14ac:dyDescent="0.25">
      <c r="B560" s="189"/>
      <c r="C560" s="189"/>
      <c r="D560" s="189"/>
      <c r="E560" s="672"/>
      <c r="F560" s="189"/>
      <c r="G560" s="472"/>
      <c r="H560" s="472"/>
      <c r="I560" s="672"/>
    </row>
    <row r="561" spans="2:9" ht="15.75" customHeight="1" x14ac:dyDescent="0.25">
      <c r="B561" s="189"/>
      <c r="C561" s="189"/>
      <c r="D561" s="189"/>
      <c r="E561" s="672"/>
      <c r="F561" s="189"/>
      <c r="G561" s="472"/>
      <c r="H561" s="472"/>
      <c r="I561" s="672"/>
    </row>
    <row r="562" spans="2:9" ht="15.75" customHeight="1" x14ac:dyDescent="0.25">
      <c r="B562" s="189"/>
      <c r="C562" s="189"/>
      <c r="D562" s="189"/>
      <c r="E562" s="672"/>
      <c r="F562" s="189"/>
      <c r="G562" s="472"/>
      <c r="H562" s="472"/>
      <c r="I562" s="672"/>
    </row>
    <row r="563" spans="2:9" ht="15.75" customHeight="1" x14ac:dyDescent="0.25">
      <c r="B563" s="189"/>
      <c r="C563" s="189"/>
      <c r="D563" s="189"/>
      <c r="E563" s="672"/>
      <c r="F563" s="189"/>
      <c r="G563" s="472"/>
      <c r="H563" s="472"/>
      <c r="I563" s="672"/>
    </row>
    <row r="564" spans="2:9" ht="15.75" customHeight="1" x14ac:dyDescent="0.25">
      <c r="B564" s="189"/>
      <c r="C564" s="189"/>
      <c r="D564" s="189"/>
      <c r="E564" s="672"/>
      <c r="F564" s="189"/>
      <c r="G564" s="472"/>
      <c r="H564" s="472"/>
      <c r="I564" s="672"/>
    </row>
    <row r="565" spans="2:9" ht="15.75" customHeight="1" x14ac:dyDescent="0.25">
      <c r="B565" s="189"/>
      <c r="C565" s="189"/>
      <c r="D565" s="189"/>
      <c r="E565" s="672"/>
      <c r="F565" s="189"/>
      <c r="G565" s="472"/>
      <c r="H565" s="472"/>
      <c r="I565" s="672"/>
    </row>
    <row r="566" spans="2:9" ht="15.75" customHeight="1" x14ac:dyDescent="0.25">
      <c r="B566" s="189"/>
      <c r="C566" s="189"/>
      <c r="D566" s="189"/>
      <c r="E566" s="672"/>
      <c r="F566" s="189"/>
      <c r="G566" s="472"/>
      <c r="H566" s="472"/>
      <c r="I566" s="672"/>
    </row>
    <row r="567" spans="2:9" ht="15.75" customHeight="1" x14ac:dyDescent="0.25">
      <c r="B567" s="189"/>
      <c r="C567" s="189"/>
      <c r="D567" s="189"/>
      <c r="E567" s="672"/>
      <c r="F567" s="189"/>
      <c r="G567" s="472"/>
      <c r="H567" s="472"/>
      <c r="I567" s="672"/>
    </row>
    <row r="568" spans="2:9" ht="15.75" customHeight="1" x14ac:dyDescent="0.25">
      <c r="B568" s="189"/>
      <c r="C568" s="189"/>
      <c r="D568" s="189"/>
      <c r="E568" s="672"/>
      <c r="F568" s="189"/>
      <c r="G568" s="472"/>
      <c r="H568" s="472"/>
      <c r="I568" s="672"/>
    </row>
    <row r="569" spans="2:9" ht="15.75" customHeight="1" x14ac:dyDescent="0.25">
      <c r="B569" s="189"/>
      <c r="C569" s="189"/>
      <c r="D569" s="189"/>
      <c r="E569" s="672"/>
      <c r="F569" s="189"/>
      <c r="G569" s="472"/>
      <c r="H569" s="472"/>
      <c r="I569" s="672"/>
    </row>
    <row r="570" spans="2:9" ht="15.75" customHeight="1" x14ac:dyDescent="0.25">
      <c r="B570" s="189"/>
      <c r="C570" s="189"/>
      <c r="D570" s="189"/>
      <c r="E570" s="672"/>
      <c r="F570" s="189"/>
      <c r="G570" s="472"/>
      <c r="H570" s="472"/>
      <c r="I570" s="672"/>
    </row>
    <row r="571" spans="2:9" ht="15.75" customHeight="1" x14ac:dyDescent="0.25">
      <c r="B571" s="189"/>
      <c r="C571" s="189"/>
      <c r="D571" s="189"/>
      <c r="E571" s="672"/>
      <c r="F571" s="189"/>
      <c r="G571" s="472"/>
      <c r="H571" s="472"/>
      <c r="I571" s="672"/>
    </row>
    <row r="572" spans="2:9" ht="15.75" customHeight="1" x14ac:dyDescent="0.25">
      <c r="B572" s="189"/>
      <c r="C572" s="189"/>
      <c r="D572" s="189"/>
      <c r="E572" s="672"/>
      <c r="F572" s="189"/>
      <c r="G572" s="472"/>
      <c r="H572" s="472"/>
      <c r="I572" s="672"/>
    </row>
    <row r="573" spans="2:9" ht="15.75" customHeight="1" x14ac:dyDescent="0.25">
      <c r="B573" s="189"/>
      <c r="C573" s="189"/>
      <c r="D573" s="189"/>
      <c r="E573" s="672"/>
      <c r="F573" s="189"/>
      <c r="G573" s="472"/>
      <c r="H573" s="472"/>
      <c r="I573" s="672"/>
    </row>
    <row r="574" spans="2:9" ht="15.75" customHeight="1" x14ac:dyDescent="0.25">
      <c r="B574" s="189"/>
      <c r="C574" s="189"/>
      <c r="D574" s="189"/>
      <c r="E574" s="672"/>
      <c r="F574" s="189"/>
      <c r="G574" s="472"/>
      <c r="H574" s="472"/>
      <c r="I574" s="672"/>
    </row>
    <row r="575" spans="2:9" ht="15.75" customHeight="1" x14ac:dyDescent="0.25">
      <c r="B575" s="189"/>
      <c r="C575" s="189"/>
      <c r="D575" s="189"/>
      <c r="E575" s="672"/>
      <c r="F575" s="189"/>
      <c r="G575" s="472"/>
      <c r="H575" s="472"/>
      <c r="I575" s="672"/>
    </row>
    <row r="576" spans="2:9" ht="15.75" customHeight="1" x14ac:dyDescent="0.25">
      <c r="B576" s="189"/>
      <c r="C576" s="189"/>
      <c r="D576" s="189"/>
      <c r="E576" s="672"/>
      <c r="F576" s="189"/>
      <c r="G576" s="472"/>
      <c r="H576" s="472"/>
      <c r="I576" s="672"/>
    </row>
    <row r="577" spans="2:9" ht="15.75" customHeight="1" x14ac:dyDescent="0.25">
      <c r="B577" s="189"/>
      <c r="C577" s="189"/>
      <c r="D577" s="189"/>
      <c r="E577" s="672"/>
      <c r="F577" s="189"/>
      <c r="G577" s="472"/>
      <c r="H577" s="472"/>
      <c r="I577" s="672"/>
    </row>
    <row r="578" spans="2:9" ht="15.75" customHeight="1" x14ac:dyDescent="0.25">
      <c r="B578" s="189"/>
      <c r="C578" s="189"/>
      <c r="D578" s="189"/>
      <c r="E578" s="672"/>
      <c r="F578" s="189"/>
      <c r="G578" s="472"/>
      <c r="H578" s="472"/>
      <c r="I578" s="672"/>
    </row>
    <row r="579" spans="2:9" ht="15.75" customHeight="1" x14ac:dyDescent="0.25">
      <c r="B579" s="189"/>
      <c r="C579" s="189"/>
      <c r="D579" s="189"/>
      <c r="E579" s="672"/>
      <c r="F579" s="189"/>
      <c r="G579" s="472"/>
      <c r="H579" s="472"/>
      <c r="I579" s="672"/>
    </row>
    <row r="580" spans="2:9" ht="15.75" customHeight="1" x14ac:dyDescent="0.25">
      <c r="B580" s="189"/>
      <c r="C580" s="189"/>
      <c r="D580" s="189"/>
      <c r="E580" s="672"/>
      <c r="F580" s="189"/>
      <c r="G580" s="472"/>
      <c r="H580" s="472"/>
      <c r="I580" s="672"/>
    </row>
    <row r="581" spans="2:9" ht="15.75" customHeight="1" x14ac:dyDescent="0.25">
      <c r="B581" s="189"/>
      <c r="C581" s="189"/>
      <c r="D581" s="189"/>
      <c r="E581" s="672"/>
      <c r="F581" s="189"/>
      <c r="G581" s="472"/>
      <c r="H581" s="472"/>
      <c r="I581" s="672"/>
    </row>
    <row r="582" spans="2:9" ht="15.75" customHeight="1" x14ac:dyDescent="0.25">
      <c r="B582" s="189"/>
      <c r="C582" s="189"/>
      <c r="D582" s="189"/>
      <c r="E582" s="672"/>
      <c r="F582" s="189"/>
      <c r="G582" s="472"/>
      <c r="H582" s="472"/>
      <c r="I582" s="672"/>
    </row>
    <row r="583" spans="2:9" ht="15.75" customHeight="1" x14ac:dyDescent="0.25">
      <c r="B583" s="189"/>
      <c r="C583" s="189"/>
      <c r="D583" s="189"/>
      <c r="E583" s="672"/>
      <c r="F583" s="189"/>
      <c r="G583" s="472"/>
      <c r="H583" s="472"/>
      <c r="I583" s="672"/>
    </row>
    <row r="584" spans="2:9" ht="15.75" customHeight="1" x14ac:dyDescent="0.25">
      <c r="B584" s="189"/>
      <c r="C584" s="189"/>
      <c r="D584" s="189"/>
      <c r="E584" s="672"/>
      <c r="F584" s="189"/>
      <c r="G584" s="472"/>
      <c r="H584" s="472"/>
      <c r="I584" s="672"/>
    </row>
    <row r="585" spans="2:9" ht="15.75" customHeight="1" x14ac:dyDescent="0.25">
      <c r="B585" s="189"/>
      <c r="C585" s="189"/>
      <c r="D585" s="189"/>
      <c r="E585" s="672"/>
      <c r="F585" s="189"/>
      <c r="G585" s="472"/>
      <c r="H585" s="472"/>
      <c r="I585" s="672"/>
    </row>
    <row r="586" spans="2:9" ht="15.75" customHeight="1" x14ac:dyDescent="0.25">
      <c r="B586" s="189"/>
      <c r="C586" s="189"/>
      <c r="D586" s="189"/>
      <c r="E586" s="672"/>
      <c r="F586" s="189"/>
      <c r="G586" s="472"/>
      <c r="H586" s="472"/>
      <c r="I586" s="672"/>
    </row>
    <row r="587" spans="2:9" ht="15.75" customHeight="1" x14ac:dyDescent="0.25">
      <c r="B587" s="189"/>
      <c r="C587" s="189"/>
      <c r="D587" s="189"/>
      <c r="E587" s="672"/>
      <c r="F587" s="189"/>
      <c r="G587" s="472"/>
      <c r="H587" s="472"/>
      <c r="I587" s="672"/>
    </row>
    <row r="588" spans="2:9" ht="15.75" customHeight="1" x14ac:dyDescent="0.25">
      <c r="B588" s="189"/>
      <c r="C588" s="189"/>
      <c r="D588" s="189"/>
      <c r="E588" s="672"/>
      <c r="F588" s="189"/>
      <c r="G588" s="472"/>
      <c r="H588" s="472"/>
      <c r="I588" s="672"/>
    </row>
    <row r="589" spans="2:9" ht="15.75" customHeight="1" x14ac:dyDescent="0.25">
      <c r="B589" s="189"/>
      <c r="C589" s="189"/>
      <c r="D589" s="189"/>
      <c r="E589" s="672"/>
      <c r="F589" s="189"/>
      <c r="G589" s="472"/>
      <c r="H589" s="472"/>
      <c r="I589" s="672"/>
    </row>
    <row r="590" spans="2:9" ht="15.75" customHeight="1" x14ac:dyDescent="0.25">
      <c r="B590" s="189"/>
      <c r="C590" s="189"/>
      <c r="D590" s="189"/>
      <c r="E590" s="672"/>
      <c r="F590" s="189"/>
      <c r="G590" s="472"/>
      <c r="H590" s="472"/>
      <c r="I590" s="672"/>
    </row>
    <row r="591" spans="2:9" ht="15.75" customHeight="1" x14ac:dyDescent="0.25">
      <c r="B591" s="189"/>
      <c r="C591" s="189"/>
      <c r="D591" s="189"/>
      <c r="E591" s="672"/>
      <c r="F591" s="189"/>
      <c r="G591" s="472"/>
      <c r="H591" s="472"/>
      <c r="I591" s="672"/>
    </row>
    <row r="592" spans="2:9" ht="15.75" customHeight="1" x14ac:dyDescent="0.25">
      <c r="B592" s="189"/>
      <c r="C592" s="189"/>
      <c r="D592" s="189"/>
      <c r="E592" s="672"/>
      <c r="F592" s="189"/>
      <c r="G592" s="472"/>
      <c r="H592" s="472"/>
      <c r="I592" s="672"/>
    </row>
    <row r="593" spans="2:9" ht="15.75" customHeight="1" x14ac:dyDescent="0.25">
      <c r="B593" s="189"/>
      <c r="C593" s="189"/>
      <c r="D593" s="189"/>
      <c r="E593" s="672"/>
      <c r="F593" s="189"/>
      <c r="G593" s="472"/>
      <c r="H593" s="472"/>
      <c r="I593" s="672"/>
    </row>
    <row r="594" spans="2:9" ht="15.75" customHeight="1" x14ac:dyDescent="0.25">
      <c r="B594" s="189"/>
      <c r="C594" s="189"/>
      <c r="D594" s="189"/>
      <c r="E594" s="672"/>
      <c r="F594" s="189"/>
      <c r="G594" s="472"/>
      <c r="H594" s="472"/>
      <c r="I594" s="672"/>
    </row>
    <row r="595" spans="2:9" ht="15.75" customHeight="1" x14ac:dyDescent="0.25">
      <c r="B595" s="189"/>
      <c r="C595" s="189"/>
      <c r="D595" s="189"/>
      <c r="E595" s="672"/>
      <c r="F595" s="189"/>
      <c r="G595" s="472"/>
      <c r="H595" s="472"/>
      <c r="I595" s="672"/>
    </row>
    <row r="596" spans="2:9" ht="15.75" customHeight="1" x14ac:dyDescent="0.25">
      <c r="B596" s="189"/>
      <c r="C596" s="189"/>
      <c r="D596" s="189"/>
      <c r="E596" s="672"/>
      <c r="F596" s="189"/>
      <c r="G596" s="472"/>
      <c r="H596" s="472"/>
      <c r="I596" s="672"/>
    </row>
    <row r="597" spans="2:9" ht="15.75" customHeight="1" x14ac:dyDescent="0.25">
      <c r="B597" s="189"/>
      <c r="C597" s="189"/>
      <c r="D597" s="189"/>
      <c r="E597" s="672"/>
      <c r="F597" s="189"/>
      <c r="G597" s="472"/>
      <c r="H597" s="472"/>
      <c r="I597" s="672"/>
    </row>
    <row r="598" spans="2:9" ht="15.75" customHeight="1" x14ac:dyDescent="0.25">
      <c r="B598" s="189"/>
      <c r="C598" s="189"/>
      <c r="D598" s="189"/>
      <c r="E598" s="672"/>
      <c r="F598" s="189"/>
      <c r="G598" s="472"/>
      <c r="H598" s="472"/>
      <c r="I598" s="672"/>
    </row>
    <row r="599" spans="2:9" ht="15.75" customHeight="1" x14ac:dyDescent="0.25">
      <c r="B599" s="189"/>
      <c r="C599" s="189"/>
      <c r="D599" s="189"/>
      <c r="E599" s="672"/>
      <c r="F599" s="189"/>
      <c r="G599" s="472"/>
      <c r="H599" s="472"/>
      <c r="I599" s="672"/>
    </row>
    <row r="600" spans="2:9" ht="15.75" customHeight="1" x14ac:dyDescent="0.25">
      <c r="B600" s="189"/>
      <c r="C600" s="189"/>
      <c r="D600" s="189"/>
      <c r="E600" s="672"/>
      <c r="F600" s="189"/>
      <c r="G600" s="472"/>
      <c r="H600" s="472"/>
      <c r="I600" s="672"/>
    </row>
    <row r="601" spans="2:9" ht="15.75" customHeight="1" x14ac:dyDescent="0.25">
      <c r="B601" s="189"/>
      <c r="C601" s="189"/>
      <c r="D601" s="189"/>
      <c r="E601" s="672"/>
      <c r="F601" s="189"/>
      <c r="G601" s="472"/>
      <c r="H601" s="472"/>
      <c r="I601" s="672"/>
    </row>
    <row r="602" spans="2:9" ht="15.75" customHeight="1" x14ac:dyDescent="0.25">
      <c r="B602" s="189"/>
      <c r="C602" s="189"/>
      <c r="D602" s="189"/>
      <c r="E602" s="672"/>
      <c r="F602" s="189"/>
      <c r="G602" s="472"/>
      <c r="H602" s="472"/>
      <c r="I602" s="672"/>
    </row>
    <row r="603" spans="2:9" ht="15.75" customHeight="1" x14ac:dyDescent="0.25">
      <c r="B603" s="189"/>
      <c r="C603" s="189"/>
      <c r="D603" s="189"/>
      <c r="E603" s="672"/>
      <c r="F603" s="189"/>
      <c r="G603" s="472"/>
      <c r="H603" s="472"/>
      <c r="I603" s="672"/>
    </row>
    <row r="604" spans="2:9" ht="15.75" customHeight="1" x14ac:dyDescent="0.25">
      <c r="B604" s="189"/>
      <c r="C604" s="189"/>
      <c r="D604" s="189"/>
      <c r="E604" s="672"/>
      <c r="F604" s="189"/>
      <c r="G604" s="472"/>
      <c r="H604" s="472"/>
      <c r="I604" s="672"/>
    </row>
    <row r="605" spans="2:9" ht="15.75" customHeight="1" x14ac:dyDescent="0.25">
      <c r="B605" s="189"/>
      <c r="C605" s="189"/>
      <c r="D605" s="189"/>
      <c r="E605" s="672"/>
      <c r="F605" s="189"/>
      <c r="G605" s="472"/>
      <c r="H605" s="472"/>
      <c r="I605" s="672"/>
    </row>
    <row r="606" spans="2:9" ht="15.75" customHeight="1" x14ac:dyDescent="0.25">
      <c r="B606" s="189"/>
      <c r="C606" s="189"/>
      <c r="D606" s="189"/>
      <c r="E606" s="672"/>
      <c r="F606" s="189"/>
      <c r="G606" s="472"/>
      <c r="H606" s="472"/>
      <c r="I606" s="672"/>
    </row>
    <row r="607" spans="2:9" ht="15.75" customHeight="1" x14ac:dyDescent="0.25">
      <c r="B607" s="189"/>
      <c r="C607" s="189"/>
      <c r="D607" s="189"/>
      <c r="E607" s="672"/>
      <c r="F607" s="189"/>
      <c r="G607" s="472"/>
      <c r="H607" s="472"/>
      <c r="I607" s="672"/>
    </row>
    <row r="608" spans="2:9" ht="15.75" customHeight="1" x14ac:dyDescent="0.25">
      <c r="B608" s="189"/>
      <c r="C608" s="189"/>
      <c r="D608" s="189"/>
      <c r="E608" s="672"/>
      <c r="F608" s="189"/>
      <c r="G608" s="472"/>
      <c r="H608" s="472"/>
      <c r="I608" s="672"/>
    </row>
    <row r="609" spans="2:9" ht="15.75" customHeight="1" x14ac:dyDescent="0.25">
      <c r="B609" s="189"/>
      <c r="C609" s="189"/>
      <c r="D609" s="189"/>
      <c r="E609" s="672"/>
      <c r="F609" s="189"/>
      <c r="G609" s="472"/>
      <c r="H609" s="472"/>
      <c r="I609" s="672"/>
    </row>
    <row r="610" spans="2:9" ht="15.75" customHeight="1" x14ac:dyDescent="0.25">
      <c r="B610" s="189"/>
      <c r="C610" s="189"/>
      <c r="D610" s="189"/>
      <c r="E610" s="672"/>
      <c r="F610" s="189"/>
      <c r="G610" s="472"/>
      <c r="H610" s="472"/>
      <c r="I610" s="672"/>
    </row>
    <row r="611" spans="2:9" ht="15.75" customHeight="1" x14ac:dyDescent="0.25">
      <c r="B611" s="189"/>
      <c r="C611" s="189"/>
      <c r="D611" s="189"/>
      <c r="E611" s="672"/>
      <c r="F611" s="189"/>
      <c r="G611" s="472"/>
      <c r="H611" s="472"/>
      <c r="I611" s="672"/>
    </row>
    <row r="612" spans="2:9" ht="15.75" customHeight="1" x14ac:dyDescent="0.25">
      <c r="B612" s="189"/>
      <c r="C612" s="189"/>
      <c r="D612" s="189"/>
      <c r="E612" s="672"/>
      <c r="F612" s="189"/>
      <c r="G612" s="472"/>
      <c r="H612" s="472"/>
      <c r="I612" s="672"/>
    </row>
    <row r="613" spans="2:9" ht="15.75" customHeight="1" x14ac:dyDescent="0.25">
      <c r="B613" s="189"/>
      <c r="C613" s="189"/>
      <c r="D613" s="189"/>
      <c r="E613" s="672"/>
      <c r="F613" s="189"/>
      <c r="G613" s="472"/>
      <c r="H613" s="472"/>
      <c r="I613" s="672"/>
    </row>
    <row r="614" spans="2:9" ht="15.75" customHeight="1" x14ac:dyDescent="0.25">
      <c r="B614" s="189"/>
      <c r="C614" s="189"/>
      <c r="D614" s="189"/>
      <c r="E614" s="672"/>
      <c r="F614" s="189"/>
      <c r="G614" s="472"/>
      <c r="H614" s="472"/>
      <c r="I614" s="672"/>
    </row>
    <row r="615" spans="2:9" ht="15.75" customHeight="1" x14ac:dyDescent="0.25">
      <c r="B615" s="189"/>
      <c r="C615" s="189"/>
      <c r="D615" s="189"/>
      <c r="E615" s="672"/>
      <c r="F615" s="189"/>
      <c r="G615" s="472"/>
      <c r="H615" s="472"/>
      <c r="I615" s="672"/>
    </row>
    <row r="616" spans="2:9" ht="15.75" customHeight="1" x14ac:dyDescent="0.25">
      <c r="B616" s="189"/>
      <c r="C616" s="189"/>
      <c r="D616" s="189"/>
      <c r="E616" s="672"/>
      <c r="F616" s="189"/>
      <c r="G616" s="472"/>
      <c r="H616" s="472"/>
      <c r="I616" s="672"/>
    </row>
    <row r="617" spans="2:9" ht="15.75" customHeight="1" x14ac:dyDescent="0.25">
      <c r="B617" s="189"/>
      <c r="C617" s="189"/>
      <c r="D617" s="189"/>
      <c r="E617" s="672"/>
      <c r="F617" s="189"/>
      <c r="G617" s="472"/>
      <c r="H617" s="472"/>
      <c r="I617" s="672"/>
    </row>
    <row r="618" spans="2:9" ht="15.75" customHeight="1" x14ac:dyDescent="0.25">
      <c r="B618" s="189"/>
      <c r="C618" s="189"/>
      <c r="D618" s="189"/>
      <c r="E618" s="672"/>
      <c r="F618" s="189"/>
      <c r="G618" s="472"/>
      <c r="H618" s="472"/>
      <c r="I618" s="672"/>
    </row>
    <row r="619" spans="2:9" ht="15.75" customHeight="1" x14ac:dyDescent="0.25">
      <c r="B619" s="189"/>
      <c r="C619" s="189"/>
      <c r="D619" s="189"/>
      <c r="E619" s="672"/>
      <c r="F619" s="189"/>
      <c r="G619" s="472"/>
      <c r="H619" s="472"/>
      <c r="I619" s="672"/>
    </row>
    <row r="620" spans="2:9" ht="15.75" customHeight="1" x14ac:dyDescent="0.25">
      <c r="B620" s="189"/>
      <c r="C620" s="189"/>
      <c r="D620" s="189"/>
      <c r="E620" s="672"/>
      <c r="F620" s="189"/>
      <c r="G620" s="472"/>
      <c r="H620" s="472"/>
      <c r="I620" s="672"/>
    </row>
    <row r="621" spans="2:9" ht="15.75" customHeight="1" x14ac:dyDescent="0.25">
      <c r="B621" s="189"/>
      <c r="C621" s="189"/>
      <c r="D621" s="189"/>
      <c r="E621" s="672"/>
      <c r="F621" s="189"/>
      <c r="G621" s="472"/>
      <c r="H621" s="472"/>
      <c r="I621" s="672"/>
    </row>
    <row r="622" spans="2:9" ht="15.75" customHeight="1" x14ac:dyDescent="0.25">
      <c r="B622" s="189"/>
      <c r="C622" s="189"/>
      <c r="D622" s="189"/>
      <c r="E622" s="672"/>
      <c r="F622" s="189"/>
      <c r="G622" s="472"/>
      <c r="H622" s="472"/>
      <c r="I622" s="672"/>
    </row>
    <row r="623" spans="2:9" ht="15.75" customHeight="1" x14ac:dyDescent="0.25">
      <c r="B623" s="189"/>
      <c r="C623" s="189"/>
      <c r="D623" s="189"/>
      <c r="E623" s="672"/>
      <c r="F623" s="189"/>
      <c r="G623" s="472"/>
      <c r="H623" s="472"/>
      <c r="I623" s="672"/>
    </row>
    <row r="624" spans="2:9" ht="15.75" customHeight="1" x14ac:dyDescent="0.25">
      <c r="B624" s="189"/>
      <c r="C624" s="189"/>
      <c r="D624" s="189"/>
      <c r="E624" s="672"/>
      <c r="F624" s="189"/>
      <c r="G624" s="472"/>
      <c r="H624" s="472"/>
      <c r="I624" s="672"/>
    </row>
    <row r="625" spans="2:9" ht="15.75" customHeight="1" x14ac:dyDescent="0.25">
      <c r="B625" s="189"/>
      <c r="C625" s="189"/>
      <c r="D625" s="189"/>
      <c r="E625" s="672"/>
      <c r="F625" s="189"/>
      <c r="G625" s="472"/>
      <c r="H625" s="472"/>
      <c r="I625" s="672"/>
    </row>
    <row r="626" spans="2:9" ht="15.75" customHeight="1" x14ac:dyDescent="0.25">
      <c r="B626" s="189"/>
      <c r="C626" s="189"/>
      <c r="D626" s="189"/>
      <c r="E626" s="672"/>
      <c r="F626" s="189"/>
      <c r="G626" s="472"/>
      <c r="H626" s="472"/>
      <c r="I626" s="672"/>
    </row>
    <row r="627" spans="2:9" ht="15.75" customHeight="1" x14ac:dyDescent="0.25">
      <c r="B627" s="189"/>
      <c r="C627" s="189"/>
      <c r="D627" s="189"/>
      <c r="E627" s="672"/>
      <c r="F627" s="189"/>
      <c r="G627" s="472"/>
      <c r="H627" s="472"/>
      <c r="I627" s="672"/>
    </row>
    <row r="628" spans="2:9" ht="15.75" customHeight="1" x14ac:dyDescent="0.25">
      <c r="B628" s="189"/>
      <c r="C628" s="189"/>
      <c r="D628" s="189"/>
      <c r="E628" s="672"/>
      <c r="F628" s="189"/>
      <c r="G628" s="472"/>
      <c r="H628" s="472"/>
      <c r="I628" s="672"/>
    </row>
    <row r="629" spans="2:9" ht="15.75" customHeight="1" x14ac:dyDescent="0.25">
      <c r="B629" s="189"/>
      <c r="C629" s="189"/>
      <c r="D629" s="189"/>
      <c r="E629" s="672"/>
      <c r="F629" s="189"/>
      <c r="G629" s="472"/>
      <c r="H629" s="472"/>
      <c r="I629" s="672"/>
    </row>
    <row r="630" spans="2:9" ht="15.75" customHeight="1" x14ac:dyDescent="0.25">
      <c r="B630" s="189"/>
      <c r="C630" s="189"/>
      <c r="D630" s="189"/>
      <c r="E630" s="672"/>
      <c r="F630" s="189"/>
      <c r="G630" s="472"/>
      <c r="H630" s="472"/>
      <c r="I630" s="672"/>
    </row>
    <row r="631" spans="2:9" ht="15.75" customHeight="1" x14ac:dyDescent="0.25">
      <c r="B631" s="189"/>
      <c r="C631" s="189"/>
      <c r="D631" s="189"/>
      <c r="E631" s="672"/>
      <c r="F631" s="189"/>
      <c r="G631" s="472"/>
      <c r="H631" s="472"/>
      <c r="I631" s="672"/>
    </row>
    <row r="632" spans="2:9" ht="15.75" customHeight="1" x14ac:dyDescent="0.25">
      <c r="B632" s="189"/>
      <c r="C632" s="189"/>
      <c r="D632" s="189"/>
      <c r="E632" s="672"/>
      <c r="F632" s="189"/>
      <c r="G632" s="472"/>
      <c r="H632" s="472"/>
      <c r="I632" s="672"/>
    </row>
    <row r="633" spans="2:9" ht="15.75" customHeight="1" x14ac:dyDescent="0.25">
      <c r="B633" s="189"/>
      <c r="C633" s="189"/>
      <c r="D633" s="189"/>
      <c r="E633" s="672"/>
      <c r="F633" s="189"/>
      <c r="G633" s="472"/>
      <c r="H633" s="472"/>
      <c r="I633" s="672"/>
    </row>
    <row r="634" spans="2:9" ht="15.75" customHeight="1" x14ac:dyDescent="0.25">
      <c r="B634" s="189"/>
      <c r="C634" s="189"/>
      <c r="D634" s="189"/>
      <c r="E634" s="672"/>
      <c r="F634" s="189"/>
      <c r="G634" s="472"/>
      <c r="H634" s="472"/>
      <c r="I634" s="672"/>
    </row>
    <row r="635" spans="2:9" ht="15.75" customHeight="1" x14ac:dyDescent="0.25">
      <c r="B635" s="189"/>
      <c r="C635" s="189"/>
      <c r="D635" s="189"/>
      <c r="E635" s="672"/>
      <c r="F635" s="189"/>
      <c r="G635" s="472"/>
      <c r="H635" s="472"/>
      <c r="I635" s="672"/>
    </row>
    <row r="636" spans="2:9" ht="15.75" customHeight="1" x14ac:dyDescent="0.25">
      <c r="B636" s="189"/>
      <c r="C636" s="189"/>
      <c r="D636" s="189"/>
      <c r="E636" s="672"/>
      <c r="F636" s="189"/>
      <c r="G636" s="472"/>
      <c r="H636" s="472"/>
      <c r="I636" s="672"/>
    </row>
    <row r="637" spans="2:9" ht="15.75" customHeight="1" x14ac:dyDescent="0.25">
      <c r="B637" s="189"/>
      <c r="C637" s="189"/>
      <c r="D637" s="189"/>
      <c r="E637" s="672"/>
      <c r="F637" s="189"/>
      <c r="G637" s="472"/>
      <c r="H637" s="472"/>
      <c r="I637" s="672"/>
    </row>
    <row r="638" spans="2:9" ht="15.75" customHeight="1" x14ac:dyDescent="0.25">
      <c r="B638" s="189"/>
      <c r="C638" s="189"/>
      <c r="D638" s="189"/>
      <c r="E638" s="672"/>
      <c r="F638" s="189"/>
      <c r="G638" s="472"/>
      <c r="H638" s="472"/>
      <c r="I638" s="672"/>
    </row>
    <row r="639" spans="2:9" ht="15.75" customHeight="1" x14ac:dyDescent="0.25">
      <c r="B639" s="189"/>
      <c r="C639" s="189"/>
      <c r="D639" s="189"/>
      <c r="E639" s="672"/>
      <c r="F639" s="189"/>
      <c r="G639" s="472"/>
      <c r="H639" s="472"/>
      <c r="I639" s="672"/>
    </row>
    <row r="640" spans="2:9" ht="15.75" customHeight="1" x14ac:dyDescent="0.25">
      <c r="B640" s="189"/>
      <c r="C640" s="189"/>
      <c r="D640" s="189"/>
      <c r="E640" s="672"/>
      <c r="F640" s="189"/>
      <c r="G640" s="472"/>
      <c r="H640" s="472"/>
      <c r="I640" s="672"/>
    </row>
    <row r="641" spans="2:9" ht="15.75" customHeight="1" x14ac:dyDescent="0.25">
      <c r="B641" s="189"/>
      <c r="C641" s="189"/>
      <c r="D641" s="189"/>
      <c r="E641" s="672"/>
      <c r="F641" s="189"/>
      <c r="G641" s="472"/>
      <c r="H641" s="472"/>
      <c r="I641" s="672"/>
    </row>
    <row r="642" spans="2:9" ht="15.75" customHeight="1" x14ac:dyDescent="0.25">
      <c r="B642" s="189"/>
      <c r="C642" s="189"/>
      <c r="D642" s="189"/>
      <c r="E642" s="672"/>
      <c r="F642" s="189"/>
      <c r="G642" s="472"/>
      <c r="H642" s="472"/>
      <c r="I642" s="672"/>
    </row>
    <row r="643" spans="2:9" ht="15.75" customHeight="1" x14ac:dyDescent="0.25">
      <c r="B643" s="189"/>
      <c r="C643" s="189"/>
      <c r="D643" s="189"/>
      <c r="E643" s="672"/>
      <c r="F643" s="189"/>
      <c r="G643" s="472"/>
      <c r="H643" s="472"/>
      <c r="I643" s="672"/>
    </row>
    <row r="644" spans="2:9" ht="15.75" customHeight="1" x14ac:dyDescent="0.25">
      <c r="B644" s="189"/>
      <c r="C644" s="189"/>
      <c r="D644" s="189"/>
      <c r="E644" s="672"/>
      <c r="F644" s="189"/>
      <c r="G644" s="472"/>
      <c r="H644" s="472"/>
      <c r="I644" s="672"/>
    </row>
    <row r="645" spans="2:9" ht="15.75" customHeight="1" x14ac:dyDescent="0.25">
      <c r="B645" s="189"/>
      <c r="C645" s="189"/>
      <c r="D645" s="189"/>
      <c r="E645" s="672"/>
      <c r="F645" s="189"/>
      <c r="G645" s="472"/>
      <c r="H645" s="472"/>
      <c r="I645" s="672"/>
    </row>
    <row r="646" spans="2:9" ht="15.75" customHeight="1" x14ac:dyDescent="0.25">
      <c r="B646" s="189"/>
      <c r="C646" s="189"/>
      <c r="D646" s="189"/>
      <c r="E646" s="672"/>
      <c r="F646" s="189"/>
      <c r="G646" s="472"/>
      <c r="H646" s="472"/>
      <c r="I646" s="672"/>
    </row>
    <row r="647" spans="2:9" ht="15.75" customHeight="1" x14ac:dyDescent="0.25">
      <c r="B647" s="189"/>
      <c r="C647" s="189"/>
      <c r="D647" s="189"/>
      <c r="E647" s="672"/>
      <c r="F647" s="189"/>
      <c r="G647" s="472"/>
      <c r="H647" s="472"/>
      <c r="I647" s="672"/>
    </row>
    <row r="648" spans="2:9" ht="15.75" customHeight="1" x14ac:dyDescent="0.25">
      <c r="B648" s="189"/>
      <c r="C648" s="189"/>
      <c r="D648" s="189"/>
      <c r="E648" s="672"/>
      <c r="F648" s="189"/>
      <c r="G648" s="472"/>
      <c r="H648" s="472"/>
      <c r="I648" s="672"/>
    </row>
    <row r="649" spans="2:9" ht="15.75" customHeight="1" x14ac:dyDescent="0.25">
      <c r="B649" s="189"/>
      <c r="C649" s="189"/>
      <c r="D649" s="189"/>
      <c r="E649" s="672"/>
      <c r="F649" s="189"/>
      <c r="G649" s="472"/>
      <c r="H649" s="472"/>
      <c r="I649" s="672"/>
    </row>
    <row r="650" spans="2:9" ht="15.75" customHeight="1" x14ac:dyDescent="0.25">
      <c r="B650" s="189"/>
      <c r="C650" s="189"/>
      <c r="D650" s="189"/>
      <c r="E650" s="672"/>
      <c r="F650" s="189"/>
      <c r="G650" s="472"/>
      <c r="H650" s="472"/>
      <c r="I650" s="672"/>
    </row>
    <row r="651" spans="2:9" ht="15.75" customHeight="1" x14ac:dyDescent="0.25">
      <c r="B651" s="189"/>
      <c r="C651" s="189"/>
      <c r="D651" s="189"/>
      <c r="E651" s="672"/>
      <c r="F651" s="189"/>
      <c r="G651" s="472"/>
      <c r="H651" s="472"/>
      <c r="I651" s="672"/>
    </row>
    <row r="652" spans="2:9" ht="15.75" customHeight="1" x14ac:dyDescent="0.25">
      <c r="B652" s="189"/>
      <c r="C652" s="189"/>
      <c r="D652" s="189"/>
      <c r="E652" s="672"/>
      <c r="F652" s="189"/>
      <c r="G652" s="472"/>
      <c r="H652" s="472"/>
      <c r="I652" s="672"/>
    </row>
    <row r="653" spans="2:9" ht="15.75" customHeight="1" x14ac:dyDescent="0.25">
      <c r="B653" s="189"/>
      <c r="C653" s="189"/>
      <c r="D653" s="189"/>
      <c r="E653" s="672"/>
      <c r="F653" s="189"/>
      <c r="G653" s="472"/>
      <c r="H653" s="472"/>
      <c r="I653" s="672"/>
    </row>
    <row r="654" spans="2:9" ht="15.75" customHeight="1" x14ac:dyDescent="0.25">
      <c r="B654" s="189"/>
      <c r="C654" s="189"/>
      <c r="D654" s="189"/>
      <c r="E654" s="672"/>
      <c r="F654" s="189"/>
      <c r="G654" s="472"/>
      <c r="H654" s="472"/>
      <c r="I654" s="672"/>
    </row>
    <row r="655" spans="2:9" ht="15.75" customHeight="1" x14ac:dyDescent="0.25">
      <c r="B655" s="189"/>
      <c r="C655" s="189"/>
      <c r="D655" s="189"/>
      <c r="E655" s="672"/>
      <c r="F655" s="189"/>
      <c r="G655" s="472"/>
      <c r="H655" s="472"/>
      <c r="I655" s="672"/>
    </row>
    <row r="656" spans="2:9" ht="15.75" customHeight="1" x14ac:dyDescent="0.25">
      <c r="B656" s="189"/>
      <c r="C656" s="189"/>
      <c r="D656" s="189"/>
      <c r="E656" s="672"/>
      <c r="F656" s="189"/>
      <c r="G656" s="472"/>
      <c r="H656" s="472"/>
      <c r="I656" s="672"/>
    </row>
    <row r="657" spans="2:9" ht="15.75" customHeight="1" x14ac:dyDescent="0.25">
      <c r="B657" s="189"/>
      <c r="C657" s="189"/>
      <c r="D657" s="189"/>
      <c r="E657" s="672"/>
      <c r="F657" s="189"/>
      <c r="G657" s="472"/>
      <c r="H657" s="472"/>
      <c r="I657" s="672"/>
    </row>
    <row r="658" spans="2:9" ht="15.75" customHeight="1" x14ac:dyDescent="0.25">
      <c r="B658" s="189"/>
      <c r="C658" s="189"/>
      <c r="D658" s="189"/>
      <c r="E658" s="672"/>
      <c r="F658" s="189"/>
      <c r="G658" s="472"/>
      <c r="H658" s="472"/>
      <c r="I658" s="672"/>
    </row>
    <row r="659" spans="2:9" ht="15.75" customHeight="1" x14ac:dyDescent="0.25">
      <c r="B659" s="189"/>
      <c r="C659" s="189"/>
      <c r="D659" s="189"/>
      <c r="E659" s="672"/>
      <c r="F659" s="189"/>
      <c r="G659" s="472"/>
      <c r="H659" s="472"/>
      <c r="I659" s="672"/>
    </row>
    <row r="660" spans="2:9" ht="15.75" customHeight="1" x14ac:dyDescent="0.25">
      <c r="B660" s="189"/>
      <c r="C660" s="189"/>
      <c r="D660" s="189"/>
      <c r="E660" s="672"/>
      <c r="F660" s="189"/>
      <c r="G660" s="472"/>
      <c r="H660" s="472"/>
      <c r="I660" s="672"/>
    </row>
    <row r="661" spans="2:9" ht="15.75" customHeight="1" x14ac:dyDescent="0.25">
      <c r="B661" s="189"/>
      <c r="C661" s="189"/>
      <c r="D661" s="189"/>
      <c r="E661" s="672"/>
      <c r="F661" s="189"/>
      <c r="G661" s="472"/>
      <c r="H661" s="472"/>
      <c r="I661" s="672"/>
    </row>
    <row r="662" spans="2:9" ht="15.75" customHeight="1" x14ac:dyDescent="0.25">
      <c r="B662" s="189"/>
      <c r="C662" s="189"/>
      <c r="D662" s="189"/>
      <c r="E662" s="672"/>
      <c r="F662" s="189"/>
      <c r="G662" s="472"/>
      <c r="H662" s="472"/>
      <c r="I662" s="672"/>
    </row>
    <row r="663" spans="2:9" ht="15.75" customHeight="1" x14ac:dyDescent="0.25">
      <c r="B663" s="189"/>
      <c r="C663" s="189"/>
      <c r="D663" s="189"/>
      <c r="E663" s="672"/>
      <c r="F663" s="189"/>
      <c r="G663" s="472"/>
      <c r="H663" s="472"/>
      <c r="I663" s="672"/>
    </row>
    <row r="664" spans="2:9" ht="15.75" customHeight="1" x14ac:dyDescent="0.25">
      <c r="B664" s="189"/>
      <c r="C664" s="189"/>
      <c r="D664" s="189"/>
      <c r="E664" s="672"/>
      <c r="F664" s="189"/>
      <c r="G664" s="472"/>
      <c r="H664" s="472"/>
      <c r="I664" s="672"/>
    </row>
    <row r="665" spans="2:9" ht="15.75" customHeight="1" x14ac:dyDescent="0.25">
      <c r="B665" s="189"/>
      <c r="C665" s="189"/>
      <c r="D665" s="189"/>
      <c r="E665" s="672"/>
      <c r="F665" s="189"/>
      <c r="G665" s="472"/>
      <c r="H665" s="472"/>
      <c r="I665" s="672"/>
    </row>
    <row r="666" spans="2:9" ht="15.75" customHeight="1" x14ac:dyDescent="0.25">
      <c r="B666" s="189"/>
      <c r="C666" s="189"/>
      <c r="D666" s="189"/>
      <c r="E666" s="672"/>
      <c r="F666" s="189"/>
      <c r="G666" s="472"/>
      <c r="H666" s="472"/>
      <c r="I666" s="672"/>
    </row>
    <row r="667" spans="2:9" ht="15.75" customHeight="1" x14ac:dyDescent="0.25">
      <c r="B667" s="189"/>
      <c r="C667" s="189"/>
      <c r="D667" s="189"/>
      <c r="E667" s="672"/>
      <c r="F667" s="189"/>
      <c r="G667" s="472"/>
      <c r="H667" s="472"/>
      <c r="I667" s="672"/>
    </row>
    <row r="668" spans="2:9" ht="15.75" customHeight="1" x14ac:dyDescent="0.25">
      <c r="B668" s="189"/>
      <c r="C668" s="189"/>
      <c r="D668" s="189"/>
      <c r="E668" s="672"/>
      <c r="F668" s="189"/>
      <c r="G668" s="472"/>
      <c r="H668" s="472"/>
      <c r="I668" s="672"/>
    </row>
    <row r="669" spans="2:9" ht="15.75" customHeight="1" x14ac:dyDescent="0.25">
      <c r="B669" s="189"/>
      <c r="C669" s="189"/>
      <c r="D669" s="189"/>
      <c r="E669" s="672"/>
      <c r="F669" s="189"/>
      <c r="G669" s="472"/>
      <c r="H669" s="472"/>
      <c r="I669" s="672"/>
    </row>
    <row r="670" spans="2:9" ht="15.75" customHeight="1" x14ac:dyDescent="0.25">
      <c r="B670" s="189"/>
      <c r="C670" s="189"/>
      <c r="D670" s="189"/>
      <c r="E670" s="672"/>
      <c r="F670" s="189"/>
      <c r="G670" s="472"/>
      <c r="H670" s="472"/>
      <c r="I670" s="672"/>
    </row>
    <row r="671" spans="2:9" ht="15.75" customHeight="1" x14ac:dyDescent="0.25">
      <c r="B671" s="189"/>
      <c r="C671" s="189"/>
      <c r="D671" s="189"/>
      <c r="E671" s="672"/>
      <c r="F671" s="189"/>
      <c r="G671" s="472"/>
      <c r="H671" s="472"/>
      <c r="I671" s="672"/>
    </row>
    <row r="672" spans="2:9" ht="15.75" customHeight="1" x14ac:dyDescent="0.25">
      <c r="B672" s="189"/>
      <c r="C672" s="189"/>
      <c r="D672" s="189"/>
      <c r="E672" s="672"/>
      <c r="F672" s="189"/>
      <c r="G672" s="472"/>
      <c r="H672" s="472"/>
      <c r="I672" s="672"/>
    </row>
    <row r="673" spans="2:9" ht="15.75" customHeight="1" x14ac:dyDescent="0.25">
      <c r="B673" s="189"/>
      <c r="C673" s="189"/>
      <c r="D673" s="189"/>
      <c r="E673" s="672"/>
      <c r="F673" s="189"/>
      <c r="G673" s="472"/>
      <c r="H673" s="472"/>
      <c r="I673" s="672"/>
    </row>
    <row r="674" spans="2:9" ht="15.75" customHeight="1" x14ac:dyDescent="0.25">
      <c r="B674" s="189"/>
      <c r="C674" s="189"/>
      <c r="D674" s="189"/>
      <c r="E674" s="672"/>
      <c r="F674" s="189"/>
      <c r="G674" s="472"/>
      <c r="H674" s="472"/>
      <c r="I674" s="672"/>
    </row>
    <row r="675" spans="2:9" ht="15.75" customHeight="1" x14ac:dyDescent="0.25">
      <c r="B675" s="189"/>
      <c r="C675" s="189"/>
      <c r="D675" s="189"/>
      <c r="E675" s="672"/>
      <c r="F675" s="189"/>
      <c r="G675" s="472"/>
      <c r="H675" s="472"/>
      <c r="I675" s="672"/>
    </row>
    <row r="676" spans="2:9" ht="15.75" customHeight="1" x14ac:dyDescent="0.25">
      <c r="B676" s="189"/>
      <c r="C676" s="189"/>
      <c r="D676" s="189"/>
      <c r="E676" s="672"/>
      <c r="F676" s="189"/>
      <c r="G676" s="472"/>
      <c r="H676" s="472"/>
      <c r="I676" s="672"/>
    </row>
    <row r="677" spans="2:9" ht="15.75" customHeight="1" x14ac:dyDescent="0.25">
      <c r="B677" s="189"/>
      <c r="C677" s="189"/>
      <c r="D677" s="189"/>
      <c r="E677" s="672"/>
      <c r="F677" s="189"/>
      <c r="G677" s="472"/>
      <c r="H677" s="472"/>
      <c r="I677" s="672"/>
    </row>
    <row r="678" spans="2:9" ht="15.75" customHeight="1" x14ac:dyDescent="0.25">
      <c r="B678" s="189"/>
      <c r="C678" s="189"/>
      <c r="D678" s="189"/>
      <c r="E678" s="672"/>
      <c r="F678" s="189"/>
      <c r="G678" s="472"/>
      <c r="H678" s="472"/>
      <c r="I678" s="672"/>
    </row>
    <row r="679" spans="2:9" ht="15.75" customHeight="1" x14ac:dyDescent="0.25">
      <c r="B679" s="189"/>
      <c r="C679" s="189"/>
      <c r="D679" s="189"/>
      <c r="E679" s="672"/>
      <c r="F679" s="189"/>
      <c r="G679" s="472"/>
      <c r="H679" s="472"/>
      <c r="I679" s="672"/>
    </row>
    <row r="680" spans="2:9" ht="15.75" customHeight="1" x14ac:dyDescent="0.25">
      <c r="B680" s="189"/>
      <c r="C680" s="189"/>
      <c r="D680" s="189"/>
      <c r="E680" s="672"/>
      <c r="F680" s="189"/>
      <c r="G680" s="472"/>
      <c r="H680" s="472"/>
      <c r="I680" s="672"/>
    </row>
    <row r="681" spans="2:9" ht="15.75" customHeight="1" x14ac:dyDescent="0.25">
      <c r="B681" s="189"/>
      <c r="C681" s="189"/>
      <c r="D681" s="189"/>
      <c r="E681" s="672"/>
      <c r="F681" s="189"/>
      <c r="G681" s="472"/>
      <c r="H681" s="472"/>
      <c r="I681" s="672"/>
    </row>
    <row r="682" spans="2:9" ht="15.75" customHeight="1" x14ac:dyDescent="0.25">
      <c r="B682" s="189"/>
      <c r="C682" s="189"/>
      <c r="D682" s="189"/>
      <c r="E682" s="672"/>
      <c r="F682" s="189"/>
      <c r="G682" s="472"/>
      <c r="H682" s="472"/>
      <c r="I682" s="672"/>
    </row>
    <row r="683" spans="2:9" ht="15.75" customHeight="1" x14ac:dyDescent="0.25">
      <c r="B683" s="189"/>
      <c r="C683" s="189"/>
      <c r="D683" s="189"/>
      <c r="E683" s="672"/>
      <c r="F683" s="189"/>
      <c r="G683" s="472"/>
      <c r="H683" s="472"/>
      <c r="I683" s="672"/>
    </row>
    <row r="684" spans="2:9" ht="15.75" customHeight="1" x14ac:dyDescent="0.25">
      <c r="B684" s="189"/>
      <c r="C684" s="189"/>
      <c r="D684" s="189"/>
      <c r="E684" s="672"/>
      <c r="F684" s="189"/>
      <c r="G684" s="472"/>
      <c r="H684" s="472"/>
      <c r="I684" s="672"/>
    </row>
    <row r="685" spans="2:9" ht="15.75" customHeight="1" x14ac:dyDescent="0.25">
      <c r="B685" s="189"/>
      <c r="C685" s="189"/>
      <c r="D685" s="189"/>
      <c r="E685" s="672"/>
      <c r="F685" s="189"/>
      <c r="G685" s="472"/>
      <c r="H685" s="472"/>
      <c r="I685" s="672"/>
    </row>
    <row r="686" spans="2:9" ht="15.75" customHeight="1" x14ac:dyDescent="0.25">
      <c r="B686" s="189"/>
      <c r="C686" s="189"/>
      <c r="D686" s="189"/>
      <c r="E686" s="672"/>
      <c r="F686" s="189"/>
      <c r="G686" s="472"/>
      <c r="H686" s="472"/>
      <c r="I686" s="672"/>
    </row>
    <row r="687" spans="2:9" ht="15.75" customHeight="1" x14ac:dyDescent="0.25">
      <c r="B687" s="189"/>
      <c r="C687" s="189"/>
      <c r="D687" s="189"/>
      <c r="E687" s="672"/>
      <c r="F687" s="189"/>
      <c r="G687" s="472"/>
      <c r="H687" s="472"/>
      <c r="I687" s="672"/>
    </row>
    <row r="688" spans="2:9" ht="15.75" customHeight="1" x14ac:dyDescent="0.25">
      <c r="B688" s="189"/>
      <c r="C688" s="189"/>
      <c r="D688" s="189"/>
      <c r="E688" s="672"/>
      <c r="F688" s="189"/>
      <c r="G688" s="472"/>
      <c r="H688" s="472"/>
      <c r="I688" s="672"/>
    </row>
    <row r="689" spans="2:9" ht="15.75" customHeight="1" x14ac:dyDescent="0.25">
      <c r="B689" s="189"/>
      <c r="C689" s="189"/>
      <c r="D689" s="189"/>
      <c r="E689" s="672"/>
      <c r="F689" s="189"/>
      <c r="G689" s="472"/>
      <c r="H689" s="472"/>
      <c r="I689" s="672"/>
    </row>
    <row r="690" spans="2:9" ht="15.75" customHeight="1" x14ac:dyDescent="0.25">
      <c r="B690" s="189"/>
      <c r="C690" s="189"/>
      <c r="D690" s="189"/>
      <c r="E690" s="672"/>
      <c r="F690" s="189"/>
      <c r="G690" s="472"/>
      <c r="H690" s="472"/>
      <c r="I690" s="672"/>
    </row>
    <row r="691" spans="2:9" ht="15.75" customHeight="1" x14ac:dyDescent="0.25">
      <c r="B691" s="189"/>
      <c r="C691" s="189"/>
      <c r="D691" s="189"/>
      <c r="E691" s="672"/>
      <c r="F691" s="189"/>
      <c r="G691" s="472"/>
      <c r="H691" s="472"/>
      <c r="I691" s="672"/>
    </row>
    <row r="692" spans="2:9" ht="15.75" customHeight="1" x14ac:dyDescent="0.25">
      <c r="B692" s="189"/>
      <c r="C692" s="189"/>
      <c r="D692" s="189"/>
      <c r="E692" s="672"/>
      <c r="F692" s="189"/>
      <c r="G692" s="472"/>
      <c r="H692" s="472"/>
      <c r="I692" s="672"/>
    </row>
    <row r="693" spans="2:9" ht="15.75" customHeight="1" x14ac:dyDescent="0.25">
      <c r="B693" s="189"/>
      <c r="C693" s="189"/>
      <c r="D693" s="189"/>
      <c r="E693" s="672"/>
      <c r="F693" s="189"/>
      <c r="G693" s="472"/>
      <c r="H693" s="472"/>
      <c r="I693" s="672"/>
    </row>
    <row r="694" spans="2:9" ht="15.75" customHeight="1" x14ac:dyDescent="0.25">
      <c r="B694" s="189"/>
      <c r="C694" s="189"/>
      <c r="D694" s="189"/>
      <c r="E694" s="672"/>
      <c r="F694" s="189"/>
      <c r="G694" s="472"/>
      <c r="H694" s="472"/>
      <c r="I694" s="672"/>
    </row>
    <row r="695" spans="2:9" ht="15.75" customHeight="1" x14ac:dyDescent="0.25">
      <c r="B695" s="189"/>
      <c r="C695" s="189"/>
      <c r="D695" s="189"/>
      <c r="E695" s="672"/>
      <c r="F695" s="189"/>
      <c r="G695" s="472"/>
      <c r="H695" s="472"/>
      <c r="I695" s="672"/>
    </row>
    <row r="696" spans="2:9" ht="15.75" customHeight="1" x14ac:dyDescent="0.25">
      <c r="B696" s="189"/>
      <c r="C696" s="189"/>
      <c r="D696" s="189"/>
      <c r="E696" s="672"/>
      <c r="F696" s="189"/>
      <c r="G696" s="472"/>
      <c r="H696" s="472"/>
      <c r="I696" s="672"/>
    </row>
    <row r="697" spans="2:9" ht="15.75" customHeight="1" x14ac:dyDescent="0.25">
      <c r="B697" s="189"/>
      <c r="C697" s="189"/>
      <c r="D697" s="189"/>
      <c r="E697" s="672"/>
      <c r="F697" s="189"/>
      <c r="G697" s="472"/>
      <c r="H697" s="472"/>
      <c r="I697" s="672"/>
    </row>
    <row r="698" spans="2:9" ht="15.75" customHeight="1" x14ac:dyDescent="0.25">
      <c r="B698" s="189"/>
      <c r="C698" s="189"/>
      <c r="D698" s="189"/>
      <c r="E698" s="672"/>
      <c r="F698" s="189"/>
      <c r="G698" s="472"/>
      <c r="H698" s="472"/>
      <c r="I698" s="672"/>
    </row>
    <row r="699" spans="2:9" ht="15.75" customHeight="1" x14ac:dyDescent="0.25">
      <c r="B699" s="189"/>
      <c r="C699" s="189"/>
      <c r="D699" s="189"/>
      <c r="E699" s="672"/>
      <c r="F699" s="189"/>
      <c r="G699" s="472"/>
      <c r="H699" s="472"/>
      <c r="I699" s="672"/>
    </row>
    <row r="700" spans="2:9" ht="15.75" customHeight="1" x14ac:dyDescent="0.25">
      <c r="B700" s="189"/>
      <c r="C700" s="189"/>
      <c r="D700" s="189"/>
      <c r="E700" s="672"/>
      <c r="F700" s="189"/>
      <c r="G700" s="472"/>
      <c r="H700" s="472"/>
      <c r="I700" s="672"/>
    </row>
    <row r="701" spans="2:9" ht="15.75" customHeight="1" x14ac:dyDescent="0.25">
      <c r="B701" s="189"/>
      <c r="C701" s="189"/>
      <c r="D701" s="189"/>
      <c r="E701" s="672"/>
      <c r="F701" s="189"/>
      <c r="G701" s="472"/>
      <c r="H701" s="472"/>
      <c r="I701" s="672"/>
    </row>
    <row r="702" spans="2:9" ht="15.75" customHeight="1" x14ac:dyDescent="0.25">
      <c r="B702" s="189"/>
      <c r="C702" s="189"/>
      <c r="D702" s="189"/>
      <c r="E702" s="672"/>
      <c r="F702" s="189"/>
      <c r="G702" s="472"/>
      <c r="H702" s="472"/>
      <c r="I702" s="672"/>
    </row>
    <row r="703" spans="2:9" ht="15.75" customHeight="1" x14ac:dyDescent="0.25">
      <c r="B703" s="189"/>
      <c r="C703" s="189"/>
      <c r="D703" s="189"/>
      <c r="E703" s="672"/>
      <c r="F703" s="189"/>
      <c r="G703" s="472"/>
      <c r="H703" s="472"/>
      <c r="I703" s="672"/>
    </row>
    <row r="704" spans="2:9" ht="15.75" customHeight="1" x14ac:dyDescent="0.25">
      <c r="B704" s="189"/>
      <c r="C704" s="189"/>
      <c r="D704" s="189"/>
      <c r="E704" s="672"/>
      <c r="F704" s="189"/>
      <c r="G704" s="472"/>
      <c r="H704" s="472"/>
      <c r="I704" s="672"/>
    </row>
    <row r="705" spans="2:9" ht="15.75" customHeight="1" x14ac:dyDescent="0.25">
      <c r="B705" s="189"/>
      <c r="C705" s="189"/>
      <c r="D705" s="189"/>
      <c r="E705" s="672"/>
      <c r="F705" s="189"/>
      <c r="G705" s="472"/>
      <c r="H705" s="472"/>
      <c r="I705" s="672"/>
    </row>
    <row r="706" spans="2:9" ht="15.75" customHeight="1" x14ac:dyDescent="0.25">
      <c r="B706" s="189"/>
      <c r="C706" s="189"/>
      <c r="D706" s="189"/>
      <c r="E706" s="672"/>
      <c r="F706" s="189"/>
      <c r="G706" s="472"/>
      <c r="H706" s="472"/>
      <c r="I706" s="672"/>
    </row>
    <row r="707" spans="2:9" ht="15.75" customHeight="1" x14ac:dyDescent="0.25">
      <c r="B707" s="189"/>
      <c r="C707" s="189"/>
      <c r="D707" s="189"/>
      <c r="E707" s="672"/>
      <c r="F707" s="189"/>
      <c r="G707" s="472"/>
      <c r="H707" s="472"/>
      <c r="I707" s="672"/>
    </row>
    <row r="708" spans="2:9" ht="15.75" customHeight="1" x14ac:dyDescent="0.25">
      <c r="B708" s="189"/>
      <c r="C708" s="189"/>
      <c r="D708" s="189"/>
      <c r="E708" s="672"/>
      <c r="F708" s="189"/>
      <c r="G708" s="472"/>
      <c r="H708" s="472"/>
      <c r="I708" s="672"/>
    </row>
    <row r="709" spans="2:9" ht="15.75" customHeight="1" x14ac:dyDescent="0.25">
      <c r="B709" s="189"/>
      <c r="C709" s="189"/>
      <c r="D709" s="189"/>
      <c r="E709" s="672"/>
      <c r="F709" s="189"/>
      <c r="G709" s="472"/>
      <c r="H709" s="472"/>
      <c r="I709" s="672"/>
    </row>
    <row r="710" spans="2:9" ht="15.75" customHeight="1" x14ac:dyDescent="0.25">
      <c r="B710" s="189"/>
      <c r="C710" s="189"/>
      <c r="D710" s="189"/>
      <c r="E710" s="672"/>
      <c r="F710" s="189"/>
      <c r="G710" s="472"/>
      <c r="H710" s="472"/>
      <c r="I710" s="672"/>
    </row>
    <row r="711" spans="2:9" ht="15.75" customHeight="1" x14ac:dyDescent="0.25">
      <c r="B711" s="189"/>
      <c r="C711" s="189"/>
      <c r="D711" s="189"/>
      <c r="E711" s="672"/>
      <c r="F711" s="189"/>
      <c r="G711" s="472"/>
      <c r="H711" s="472"/>
      <c r="I711" s="672"/>
    </row>
    <row r="712" spans="2:9" ht="15.75" customHeight="1" x14ac:dyDescent="0.25">
      <c r="B712" s="189"/>
      <c r="C712" s="189"/>
      <c r="D712" s="189"/>
      <c r="E712" s="672"/>
      <c r="F712" s="189"/>
      <c r="G712" s="472"/>
      <c r="H712" s="472"/>
      <c r="I712" s="672"/>
    </row>
    <row r="713" spans="2:9" ht="15.75" customHeight="1" x14ac:dyDescent="0.25">
      <c r="B713" s="189"/>
      <c r="C713" s="189"/>
      <c r="D713" s="189"/>
      <c r="E713" s="672"/>
      <c r="F713" s="189"/>
      <c r="G713" s="472"/>
      <c r="H713" s="472"/>
      <c r="I713" s="672"/>
    </row>
    <row r="714" spans="2:9" ht="15.75" customHeight="1" x14ac:dyDescent="0.25">
      <c r="B714" s="189"/>
      <c r="C714" s="189"/>
      <c r="D714" s="189"/>
      <c r="E714" s="672"/>
      <c r="F714" s="189"/>
      <c r="G714" s="472"/>
      <c r="H714" s="472"/>
      <c r="I714" s="672"/>
    </row>
    <row r="715" spans="2:9" ht="15.75" customHeight="1" x14ac:dyDescent="0.25">
      <c r="B715" s="189"/>
      <c r="C715" s="189"/>
      <c r="D715" s="189"/>
      <c r="E715" s="672"/>
      <c r="F715" s="189"/>
      <c r="G715" s="472"/>
      <c r="H715" s="472"/>
      <c r="I715" s="672"/>
    </row>
    <row r="716" spans="2:9" ht="15.75" customHeight="1" x14ac:dyDescent="0.25">
      <c r="B716" s="189"/>
      <c r="C716" s="189"/>
      <c r="D716" s="189"/>
      <c r="E716" s="672"/>
      <c r="F716" s="189"/>
      <c r="G716" s="472"/>
      <c r="H716" s="472"/>
      <c r="I716" s="672"/>
    </row>
    <row r="717" spans="2:9" ht="15.75" customHeight="1" x14ac:dyDescent="0.25">
      <c r="B717" s="189"/>
      <c r="C717" s="189"/>
      <c r="D717" s="189"/>
      <c r="E717" s="672"/>
      <c r="F717" s="189"/>
      <c r="G717" s="472"/>
      <c r="H717" s="472"/>
      <c r="I717" s="672"/>
    </row>
    <row r="718" spans="2:9" ht="15.75" customHeight="1" x14ac:dyDescent="0.25">
      <c r="B718" s="189"/>
      <c r="C718" s="189"/>
      <c r="D718" s="189"/>
      <c r="E718" s="672"/>
      <c r="F718" s="189"/>
      <c r="G718" s="472"/>
      <c r="H718" s="472"/>
      <c r="I718" s="672"/>
    </row>
    <row r="719" spans="2:9" ht="15.75" customHeight="1" x14ac:dyDescent="0.25">
      <c r="B719" s="189"/>
      <c r="C719" s="189"/>
      <c r="D719" s="189"/>
      <c r="E719" s="672"/>
      <c r="F719" s="189"/>
      <c r="G719" s="472"/>
      <c r="H719" s="472"/>
      <c r="I719" s="672"/>
    </row>
    <row r="720" spans="2:9" ht="15.75" customHeight="1" x14ac:dyDescent="0.25">
      <c r="B720" s="189"/>
      <c r="C720" s="189"/>
      <c r="D720" s="189"/>
      <c r="E720" s="672"/>
      <c r="F720" s="189"/>
      <c r="G720" s="472"/>
      <c r="H720" s="472"/>
      <c r="I720" s="672"/>
    </row>
    <row r="721" spans="2:9" ht="15.75" customHeight="1" x14ac:dyDescent="0.25">
      <c r="B721" s="189"/>
      <c r="C721" s="189"/>
      <c r="D721" s="189"/>
      <c r="E721" s="672"/>
      <c r="F721" s="189"/>
      <c r="G721" s="472"/>
      <c r="H721" s="472"/>
      <c r="I721" s="672"/>
    </row>
    <row r="722" spans="2:9" ht="15.75" customHeight="1" x14ac:dyDescent="0.25">
      <c r="B722" s="189"/>
      <c r="C722" s="189"/>
      <c r="D722" s="189"/>
      <c r="E722" s="672"/>
      <c r="F722" s="189"/>
      <c r="G722" s="472"/>
      <c r="H722" s="472"/>
      <c r="I722" s="672"/>
    </row>
    <row r="723" spans="2:9" ht="15.75" customHeight="1" x14ac:dyDescent="0.25">
      <c r="B723" s="189"/>
      <c r="C723" s="189"/>
      <c r="D723" s="189"/>
      <c r="E723" s="672"/>
      <c r="F723" s="189"/>
      <c r="G723" s="472"/>
      <c r="H723" s="472"/>
      <c r="I723" s="672"/>
    </row>
    <row r="724" spans="2:9" ht="15.75" customHeight="1" x14ac:dyDescent="0.25">
      <c r="B724" s="189"/>
      <c r="C724" s="189"/>
      <c r="D724" s="189"/>
      <c r="E724" s="672"/>
      <c r="F724" s="189"/>
      <c r="G724" s="472"/>
      <c r="H724" s="472"/>
      <c r="I724" s="672"/>
    </row>
    <row r="725" spans="2:9" ht="15.75" customHeight="1" x14ac:dyDescent="0.25">
      <c r="B725" s="189"/>
      <c r="C725" s="189"/>
      <c r="D725" s="189"/>
      <c r="E725" s="672"/>
      <c r="F725" s="189"/>
      <c r="G725" s="472"/>
      <c r="H725" s="472"/>
      <c r="I725" s="672"/>
    </row>
    <row r="726" spans="2:9" ht="15.75" customHeight="1" x14ac:dyDescent="0.25">
      <c r="B726" s="189"/>
      <c r="C726" s="189"/>
      <c r="D726" s="189"/>
      <c r="E726" s="672"/>
      <c r="F726" s="189"/>
      <c r="G726" s="472"/>
      <c r="H726" s="472"/>
      <c r="I726" s="672"/>
    </row>
    <row r="727" spans="2:9" ht="15.75" customHeight="1" x14ac:dyDescent="0.25">
      <c r="B727" s="189"/>
      <c r="C727" s="189"/>
      <c r="D727" s="189"/>
      <c r="E727" s="672"/>
      <c r="F727" s="189"/>
      <c r="G727" s="472"/>
      <c r="H727" s="472"/>
      <c r="I727" s="672"/>
    </row>
    <row r="728" spans="2:9" ht="15.75" customHeight="1" x14ac:dyDescent="0.25">
      <c r="B728" s="189"/>
      <c r="C728" s="189"/>
      <c r="D728" s="189"/>
      <c r="E728" s="672"/>
      <c r="F728" s="189"/>
      <c r="G728" s="472"/>
      <c r="H728" s="472"/>
      <c r="I728" s="672"/>
    </row>
    <row r="729" spans="2:9" ht="15.75" customHeight="1" x14ac:dyDescent="0.25">
      <c r="B729" s="189"/>
      <c r="C729" s="189"/>
      <c r="D729" s="189"/>
      <c r="E729" s="672"/>
      <c r="F729" s="189"/>
      <c r="G729" s="472"/>
      <c r="H729" s="472"/>
      <c r="I729" s="672"/>
    </row>
    <row r="730" spans="2:9" ht="15.75" customHeight="1" x14ac:dyDescent="0.25">
      <c r="B730" s="189"/>
      <c r="C730" s="189"/>
      <c r="D730" s="189"/>
      <c r="E730" s="672"/>
      <c r="F730" s="189"/>
      <c r="G730" s="472"/>
      <c r="H730" s="472"/>
      <c r="I730" s="672"/>
    </row>
    <row r="731" spans="2:9" ht="15.75" customHeight="1" x14ac:dyDescent="0.25">
      <c r="B731" s="189"/>
      <c r="C731" s="189"/>
      <c r="D731" s="189"/>
      <c r="E731" s="672"/>
      <c r="F731" s="189"/>
      <c r="G731" s="472"/>
      <c r="H731" s="472"/>
      <c r="I731" s="672"/>
    </row>
    <row r="732" spans="2:9" ht="15.75" customHeight="1" x14ac:dyDescent="0.25">
      <c r="B732" s="189"/>
      <c r="C732" s="189"/>
      <c r="D732" s="189"/>
      <c r="E732" s="672"/>
      <c r="F732" s="189"/>
      <c r="G732" s="472"/>
      <c r="H732" s="472"/>
      <c r="I732" s="672"/>
    </row>
    <row r="733" spans="2:9" ht="15.75" customHeight="1" x14ac:dyDescent="0.25">
      <c r="B733" s="189"/>
      <c r="C733" s="189"/>
      <c r="D733" s="189"/>
      <c r="E733" s="672"/>
      <c r="F733" s="189"/>
      <c r="G733" s="472"/>
      <c r="H733" s="472"/>
      <c r="I733" s="672"/>
    </row>
    <row r="734" spans="2:9" ht="15.75" customHeight="1" x14ac:dyDescent="0.25">
      <c r="B734" s="189"/>
      <c r="C734" s="189"/>
      <c r="D734" s="189"/>
      <c r="E734" s="672"/>
      <c r="F734" s="189"/>
      <c r="G734" s="472"/>
      <c r="H734" s="472"/>
      <c r="I734" s="672"/>
    </row>
    <row r="735" spans="2:9" ht="15.75" customHeight="1" x14ac:dyDescent="0.25">
      <c r="B735" s="189"/>
      <c r="C735" s="189"/>
      <c r="D735" s="189"/>
      <c r="E735" s="672"/>
      <c r="F735" s="189"/>
      <c r="G735" s="472"/>
      <c r="H735" s="472"/>
      <c r="I735" s="672"/>
    </row>
    <row r="736" spans="2:9" ht="15.75" customHeight="1" x14ac:dyDescent="0.25">
      <c r="B736" s="189"/>
      <c r="C736" s="189"/>
      <c r="D736" s="189"/>
      <c r="E736" s="672"/>
      <c r="F736" s="189"/>
      <c r="G736" s="472"/>
      <c r="H736" s="472"/>
      <c r="I736" s="672"/>
    </row>
    <row r="737" spans="2:9" ht="15.75" customHeight="1" x14ac:dyDescent="0.25">
      <c r="B737" s="189"/>
      <c r="C737" s="189"/>
      <c r="D737" s="189"/>
      <c r="E737" s="672"/>
      <c r="F737" s="189"/>
      <c r="G737" s="472"/>
      <c r="H737" s="472"/>
      <c r="I737" s="672"/>
    </row>
    <row r="738" spans="2:9" ht="15.75" customHeight="1" x14ac:dyDescent="0.25">
      <c r="B738" s="189"/>
      <c r="C738" s="189"/>
      <c r="D738" s="189"/>
      <c r="E738" s="672"/>
      <c r="F738" s="189"/>
      <c r="G738" s="472"/>
      <c r="H738" s="472"/>
      <c r="I738" s="672"/>
    </row>
    <row r="739" spans="2:9" ht="15.75" customHeight="1" x14ac:dyDescent="0.25">
      <c r="B739" s="189"/>
      <c r="C739" s="189"/>
      <c r="D739" s="189"/>
      <c r="E739" s="672"/>
      <c r="F739" s="189"/>
      <c r="G739" s="472"/>
      <c r="H739" s="472"/>
      <c r="I739" s="672"/>
    </row>
    <row r="740" spans="2:9" ht="15.75" customHeight="1" x14ac:dyDescent="0.25">
      <c r="B740" s="189"/>
      <c r="C740" s="189"/>
      <c r="D740" s="189"/>
      <c r="E740" s="672"/>
      <c r="F740" s="189"/>
      <c r="G740" s="472"/>
      <c r="H740" s="472"/>
      <c r="I740" s="672"/>
    </row>
    <row r="741" spans="2:9" ht="15.75" customHeight="1" x14ac:dyDescent="0.25">
      <c r="B741" s="189"/>
      <c r="C741" s="189"/>
      <c r="D741" s="189"/>
      <c r="E741" s="672"/>
      <c r="F741" s="189"/>
      <c r="G741" s="472"/>
      <c r="H741" s="472"/>
      <c r="I741" s="672"/>
    </row>
    <row r="742" spans="2:9" ht="15.75" customHeight="1" x14ac:dyDescent="0.25">
      <c r="B742" s="189"/>
      <c r="C742" s="189"/>
      <c r="D742" s="189"/>
      <c r="E742" s="672"/>
      <c r="F742" s="189"/>
      <c r="G742" s="472"/>
      <c r="H742" s="472"/>
      <c r="I742" s="672"/>
    </row>
    <row r="743" spans="2:9" ht="15.75" customHeight="1" x14ac:dyDescent="0.25">
      <c r="B743" s="189"/>
      <c r="C743" s="189"/>
      <c r="D743" s="189"/>
      <c r="E743" s="672"/>
      <c r="F743" s="189"/>
      <c r="G743" s="472"/>
      <c r="H743" s="472"/>
      <c r="I743" s="672"/>
    </row>
    <row r="744" spans="2:9" ht="15.75" customHeight="1" x14ac:dyDescent="0.25">
      <c r="B744" s="189"/>
      <c r="C744" s="189"/>
      <c r="D744" s="189"/>
      <c r="E744" s="672"/>
      <c r="F744" s="189"/>
      <c r="G744" s="472"/>
      <c r="H744" s="472"/>
      <c r="I744" s="672"/>
    </row>
    <row r="745" spans="2:9" ht="15.75" customHeight="1" x14ac:dyDescent="0.25">
      <c r="B745" s="189"/>
      <c r="C745" s="189"/>
      <c r="D745" s="189"/>
      <c r="E745" s="672"/>
      <c r="F745" s="189"/>
      <c r="G745" s="472"/>
      <c r="H745" s="472"/>
      <c r="I745" s="672"/>
    </row>
    <row r="746" spans="2:9" ht="15.75" customHeight="1" x14ac:dyDescent="0.25">
      <c r="B746" s="189"/>
      <c r="C746" s="189"/>
      <c r="D746" s="189"/>
      <c r="E746" s="672"/>
      <c r="F746" s="189"/>
      <c r="G746" s="472"/>
      <c r="H746" s="472"/>
      <c r="I746" s="672"/>
    </row>
    <row r="747" spans="2:9" ht="15.75" customHeight="1" x14ac:dyDescent="0.25">
      <c r="B747" s="189"/>
      <c r="C747" s="189"/>
      <c r="D747" s="189"/>
      <c r="E747" s="672"/>
      <c r="F747" s="189"/>
      <c r="G747" s="472"/>
      <c r="H747" s="472"/>
      <c r="I747" s="672"/>
    </row>
    <row r="748" spans="2:9" ht="15.75" customHeight="1" x14ac:dyDescent="0.25">
      <c r="B748" s="189"/>
      <c r="C748" s="189"/>
      <c r="D748" s="189"/>
      <c r="E748" s="672"/>
      <c r="F748" s="189"/>
      <c r="G748" s="472"/>
      <c r="H748" s="472"/>
      <c r="I748" s="672"/>
    </row>
    <row r="749" spans="2:9" ht="15.75" customHeight="1" x14ac:dyDescent="0.25">
      <c r="B749" s="189"/>
      <c r="C749" s="189"/>
      <c r="D749" s="189"/>
      <c r="E749" s="672"/>
      <c r="F749" s="189"/>
      <c r="G749" s="472"/>
      <c r="H749" s="472"/>
      <c r="I749" s="672"/>
    </row>
    <row r="750" spans="2:9" ht="15.75" customHeight="1" x14ac:dyDescent="0.25">
      <c r="B750" s="189"/>
      <c r="C750" s="189"/>
      <c r="D750" s="189"/>
      <c r="E750" s="672"/>
      <c r="F750" s="189"/>
      <c r="G750" s="472"/>
      <c r="H750" s="472"/>
      <c r="I750" s="672"/>
    </row>
    <row r="751" spans="2:9" ht="15.75" customHeight="1" x14ac:dyDescent="0.25">
      <c r="B751" s="189"/>
      <c r="C751" s="189"/>
      <c r="D751" s="189"/>
      <c r="E751" s="672"/>
      <c r="F751" s="189"/>
      <c r="G751" s="472"/>
      <c r="H751" s="472"/>
      <c r="I751" s="672"/>
    </row>
    <row r="752" spans="2:9" ht="15.75" customHeight="1" x14ac:dyDescent="0.25">
      <c r="B752" s="189"/>
      <c r="C752" s="189"/>
      <c r="D752" s="189"/>
      <c r="E752" s="672"/>
      <c r="F752" s="189"/>
      <c r="G752" s="472"/>
      <c r="H752" s="472"/>
      <c r="I752" s="672"/>
    </row>
    <row r="753" spans="2:9" ht="15.75" customHeight="1" x14ac:dyDescent="0.25">
      <c r="B753" s="189"/>
      <c r="C753" s="189"/>
      <c r="D753" s="189"/>
      <c r="E753" s="672"/>
      <c r="F753" s="189"/>
      <c r="G753" s="472"/>
      <c r="H753" s="472"/>
      <c r="I753" s="672"/>
    </row>
    <row r="754" spans="2:9" ht="15.75" customHeight="1" x14ac:dyDescent="0.25">
      <c r="B754" s="189"/>
      <c r="C754" s="189"/>
      <c r="D754" s="189"/>
      <c r="E754" s="672"/>
      <c r="F754" s="189"/>
      <c r="G754" s="472"/>
      <c r="H754" s="472"/>
      <c r="I754" s="672"/>
    </row>
    <row r="755" spans="2:9" ht="15.75" customHeight="1" x14ac:dyDescent="0.25">
      <c r="B755" s="189"/>
      <c r="C755" s="189"/>
      <c r="D755" s="189"/>
      <c r="E755" s="672"/>
      <c r="F755" s="189"/>
      <c r="G755" s="472"/>
      <c r="H755" s="472"/>
      <c r="I755" s="672"/>
    </row>
    <row r="756" spans="2:9" ht="15.75" customHeight="1" x14ac:dyDescent="0.25">
      <c r="B756" s="189"/>
      <c r="C756" s="189"/>
      <c r="D756" s="189"/>
      <c r="E756" s="672"/>
      <c r="F756" s="189"/>
      <c r="G756" s="472"/>
      <c r="H756" s="472"/>
      <c r="I756" s="672"/>
    </row>
    <row r="757" spans="2:9" ht="15.75" customHeight="1" x14ac:dyDescent="0.25">
      <c r="B757" s="189"/>
      <c r="C757" s="189"/>
      <c r="D757" s="189"/>
      <c r="E757" s="672"/>
      <c r="F757" s="189"/>
      <c r="G757" s="472"/>
      <c r="H757" s="472"/>
      <c r="I757" s="672"/>
    </row>
    <row r="758" spans="2:9" ht="15.75" customHeight="1" x14ac:dyDescent="0.25">
      <c r="B758" s="189"/>
      <c r="C758" s="189"/>
      <c r="D758" s="189"/>
      <c r="E758" s="672"/>
      <c r="F758" s="189"/>
      <c r="G758" s="472"/>
      <c r="H758" s="472"/>
      <c r="I758" s="672"/>
    </row>
    <row r="759" spans="2:9" ht="15.75" customHeight="1" x14ac:dyDescent="0.25">
      <c r="B759" s="189"/>
      <c r="C759" s="189"/>
      <c r="D759" s="189"/>
      <c r="E759" s="672"/>
      <c r="F759" s="189"/>
      <c r="G759" s="472"/>
      <c r="H759" s="472"/>
      <c r="I759" s="672"/>
    </row>
    <row r="760" spans="2:9" ht="15.75" customHeight="1" x14ac:dyDescent="0.25">
      <c r="B760" s="189"/>
      <c r="C760" s="189"/>
      <c r="D760" s="189"/>
      <c r="E760" s="672"/>
      <c r="F760" s="189"/>
      <c r="G760" s="472"/>
      <c r="H760" s="472"/>
      <c r="I760" s="672"/>
    </row>
    <row r="761" spans="2:9" ht="15.75" customHeight="1" x14ac:dyDescent="0.25">
      <c r="B761" s="189"/>
      <c r="C761" s="189"/>
      <c r="D761" s="189"/>
      <c r="E761" s="672"/>
      <c r="F761" s="189"/>
      <c r="G761" s="472"/>
      <c r="H761" s="472"/>
      <c r="I761" s="672"/>
    </row>
    <row r="762" spans="2:9" ht="15.75" customHeight="1" x14ac:dyDescent="0.25">
      <c r="B762" s="189"/>
      <c r="C762" s="189"/>
      <c r="D762" s="189"/>
      <c r="E762" s="672"/>
      <c r="F762" s="189"/>
      <c r="G762" s="472"/>
      <c r="H762" s="472"/>
      <c r="I762" s="672"/>
    </row>
    <row r="763" spans="2:9" ht="15.75" customHeight="1" x14ac:dyDescent="0.25">
      <c r="B763" s="189"/>
      <c r="C763" s="189"/>
      <c r="D763" s="189"/>
      <c r="E763" s="672"/>
      <c r="F763" s="189"/>
      <c r="G763" s="472"/>
      <c r="H763" s="472"/>
      <c r="I763" s="672"/>
    </row>
    <row r="764" spans="2:9" ht="15.75" customHeight="1" x14ac:dyDescent="0.25">
      <c r="B764" s="189"/>
      <c r="C764" s="189"/>
      <c r="D764" s="189"/>
      <c r="E764" s="672"/>
      <c r="F764" s="189"/>
      <c r="G764" s="472"/>
      <c r="H764" s="472"/>
      <c r="I764" s="672"/>
    </row>
    <row r="765" spans="2:9" ht="15.75" customHeight="1" x14ac:dyDescent="0.25">
      <c r="B765" s="189"/>
      <c r="C765" s="189"/>
      <c r="D765" s="189"/>
      <c r="E765" s="672"/>
      <c r="F765" s="189"/>
      <c r="G765" s="472"/>
      <c r="H765" s="472"/>
      <c r="I765" s="672"/>
    </row>
    <row r="766" spans="2:9" ht="15.75" customHeight="1" x14ac:dyDescent="0.25">
      <c r="B766" s="189"/>
      <c r="C766" s="189"/>
      <c r="D766" s="189"/>
      <c r="E766" s="672"/>
      <c r="F766" s="189"/>
      <c r="G766" s="472"/>
      <c r="H766" s="472"/>
      <c r="I766" s="672"/>
    </row>
    <row r="767" spans="2:9" ht="15.75" customHeight="1" x14ac:dyDescent="0.25">
      <c r="B767" s="189"/>
      <c r="C767" s="189"/>
      <c r="D767" s="189"/>
      <c r="E767" s="672"/>
      <c r="F767" s="189"/>
      <c r="G767" s="472"/>
      <c r="H767" s="472"/>
      <c r="I767" s="672"/>
    </row>
    <row r="768" spans="2:9" ht="15.75" customHeight="1" x14ac:dyDescent="0.25">
      <c r="B768" s="189"/>
      <c r="C768" s="189"/>
      <c r="D768" s="189"/>
      <c r="E768" s="672"/>
      <c r="F768" s="189"/>
      <c r="G768" s="472"/>
      <c r="H768" s="472"/>
      <c r="I768" s="672"/>
    </row>
    <row r="769" spans="2:9" ht="15.75" customHeight="1" x14ac:dyDescent="0.25">
      <c r="B769" s="189"/>
      <c r="C769" s="189"/>
      <c r="D769" s="189"/>
      <c r="E769" s="672"/>
      <c r="F769" s="189"/>
      <c r="G769" s="472"/>
      <c r="H769" s="472"/>
      <c r="I769" s="672"/>
    </row>
    <row r="770" spans="2:9" ht="15.75" customHeight="1" x14ac:dyDescent="0.25">
      <c r="B770" s="189"/>
      <c r="C770" s="189"/>
      <c r="D770" s="189"/>
      <c r="E770" s="672"/>
      <c r="F770" s="189"/>
      <c r="G770" s="472"/>
      <c r="H770" s="472"/>
      <c r="I770" s="672"/>
    </row>
    <row r="771" spans="2:9" ht="15.75" customHeight="1" x14ac:dyDescent="0.25">
      <c r="B771" s="189"/>
      <c r="C771" s="189"/>
      <c r="D771" s="189"/>
      <c r="E771" s="672"/>
      <c r="F771" s="189"/>
      <c r="G771" s="472"/>
      <c r="H771" s="472"/>
      <c r="I771" s="672"/>
    </row>
    <row r="772" spans="2:9" ht="15.75" customHeight="1" x14ac:dyDescent="0.25">
      <c r="B772" s="189"/>
      <c r="C772" s="189"/>
      <c r="D772" s="189"/>
      <c r="E772" s="672"/>
      <c r="F772" s="189"/>
      <c r="G772" s="472"/>
      <c r="H772" s="472"/>
      <c r="I772" s="672"/>
    </row>
    <row r="773" spans="2:9" ht="15.75" customHeight="1" x14ac:dyDescent="0.25">
      <c r="B773" s="189"/>
      <c r="C773" s="189"/>
      <c r="D773" s="189"/>
      <c r="E773" s="672"/>
      <c r="F773" s="189"/>
      <c r="G773" s="472"/>
      <c r="H773" s="472"/>
      <c r="I773" s="672"/>
    </row>
    <row r="774" spans="2:9" ht="15.75" customHeight="1" x14ac:dyDescent="0.25">
      <c r="B774" s="189"/>
      <c r="C774" s="189"/>
      <c r="D774" s="189"/>
      <c r="E774" s="672"/>
      <c r="F774" s="189"/>
      <c r="G774" s="472"/>
      <c r="H774" s="472"/>
      <c r="I774" s="672"/>
    </row>
    <row r="775" spans="2:9" ht="15.75" customHeight="1" x14ac:dyDescent="0.25">
      <c r="B775" s="189"/>
      <c r="C775" s="189"/>
      <c r="D775" s="189"/>
      <c r="E775" s="672"/>
      <c r="F775" s="189"/>
      <c r="G775" s="472"/>
      <c r="H775" s="472"/>
      <c r="I775" s="672"/>
    </row>
    <row r="776" spans="2:9" ht="15.75" customHeight="1" x14ac:dyDescent="0.25">
      <c r="B776" s="189"/>
      <c r="C776" s="189"/>
      <c r="D776" s="189"/>
      <c r="E776" s="672"/>
      <c r="F776" s="189"/>
      <c r="G776" s="472"/>
      <c r="H776" s="472"/>
      <c r="I776" s="672"/>
    </row>
    <row r="777" spans="2:9" ht="15.75" customHeight="1" x14ac:dyDescent="0.25">
      <c r="B777" s="189"/>
      <c r="C777" s="189"/>
      <c r="D777" s="189"/>
      <c r="E777" s="672"/>
      <c r="F777" s="189"/>
      <c r="G777" s="472"/>
      <c r="H777" s="472"/>
      <c r="I777" s="672"/>
    </row>
    <row r="778" spans="2:9" ht="15.75" customHeight="1" x14ac:dyDescent="0.25">
      <c r="B778" s="189"/>
      <c r="C778" s="189"/>
      <c r="D778" s="189"/>
      <c r="E778" s="672"/>
      <c r="F778" s="189"/>
      <c r="G778" s="472"/>
      <c r="H778" s="472"/>
      <c r="I778" s="672"/>
    </row>
    <row r="779" spans="2:9" ht="15.75" customHeight="1" x14ac:dyDescent="0.25">
      <c r="B779" s="189"/>
      <c r="C779" s="189"/>
      <c r="D779" s="189"/>
      <c r="E779" s="672"/>
      <c r="F779" s="189"/>
      <c r="G779" s="472"/>
      <c r="H779" s="472"/>
      <c r="I779" s="672"/>
    </row>
    <row r="780" spans="2:9" ht="15.75" customHeight="1" x14ac:dyDescent="0.25">
      <c r="B780" s="189"/>
      <c r="C780" s="189"/>
      <c r="D780" s="189"/>
      <c r="E780" s="672"/>
      <c r="F780" s="189"/>
      <c r="G780" s="472"/>
      <c r="H780" s="472"/>
      <c r="I780" s="672"/>
    </row>
    <row r="781" spans="2:9" ht="15.75" customHeight="1" x14ac:dyDescent="0.25">
      <c r="B781" s="189"/>
      <c r="C781" s="189"/>
      <c r="D781" s="189"/>
      <c r="E781" s="672"/>
      <c r="F781" s="189"/>
      <c r="G781" s="472"/>
      <c r="H781" s="472"/>
      <c r="I781" s="672"/>
    </row>
    <row r="782" spans="2:9" ht="15.75" customHeight="1" x14ac:dyDescent="0.25">
      <c r="B782" s="189"/>
      <c r="C782" s="189"/>
      <c r="D782" s="189"/>
      <c r="E782" s="672"/>
      <c r="F782" s="189"/>
      <c r="G782" s="472"/>
      <c r="H782" s="472"/>
      <c r="I782" s="672"/>
    </row>
    <row r="783" spans="2:9" ht="15.75" customHeight="1" x14ac:dyDescent="0.25">
      <c r="B783" s="189"/>
      <c r="C783" s="189"/>
      <c r="D783" s="189"/>
      <c r="E783" s="672"/>
      <c r="F783" s="189"/>
      <c r="G783" s="472"/>
      <c r="H783" s="472"/>
      <c r="I783" s="672"/>
    </row>
    <row r="784" spans="2:9" ht="15.75" customHeight="1" x14ac:dyDescent="0.25">
      <c r="B784" s="189"/>
      <c r="C784" s="189"/>
      <c r="D784" s="189"/>
      <c r="E784" s="672"/>
      <c r="F784" s="189"/>
      <c r="G784" s="472"/>
      <c r="H784" s="472"/>
      <c r="I784" s="672"/>
    </row>
    <row r="785" spans="2:9" ht="15.75" customHeight="1" x14ac:dyDescent="0.25">
      <c r="B785" s="189"/>
      <c r="C785" s="189"/>
      <c r="D785" s="189"/>
      <c r="E785" s="672"/>
      <c r="F785" s="189"/>
      <c r="G785" s="472"/>
      <c r="H785" s="472"/>
      <c r="I785" s="672"/>
    </row>
    <row r="786" spans="2:9" ht="15.75" customHeight="1" x14ac:dyDescent="0.25">
      <c r="B786" s="189"/>
      <c r="C786" s="189"/>
      <c r="D786" s="189"/>
      <c r="E786" s="672"/>
      <c r="F786" s="189"/>
      <c r="G786" s="472"/>
      <c r="H786" s="472"/>
      <c r="I786" s="672"/>
    </row>
    <row r="787" spans="2:9" ht="15.75" customHeight="1" x14ac:dyDescent="0.25">
      <c r="B787" s="189"/>
      <c r="C787" s="189"/>
      <c r="D787" s="189"/>
      <c r="E787" s="672"/>
      <c r="F787" s="189"/>
      <c r="G787" s="472"/>
      <c r="H787" s="472"/>
      <c r="I787" s="672"/>
    </row>
    <row r="788" spans="2:9" ht="15.75" customHeight="1" x14ac:dyDescent="0.25">
      <c r="B788" s="189"/>
      <c r="C788" s="189"/>
      <c r="D788" s="189"/>
      <c r="E788" s="672"/>
      <c r="F788" s="189"/>
      <c r="G788" s="472"/>
      <c r="H788" s="472"/>
      <c r="I788" s="672"/>
    </row>
    <row r="789" spans="2:9" ht="15.75" customHeight="1" x14ac:dyDescent="0.25">
      <c r="B789" s="189"/>
      <c r="C789" s="189"/>
      <c r="D789" s="189"/>
      <c r="E789" s="672"/>
      <c r="F789" s="189"/>
      <c r="G789" s="472"/>
      <c r="H789" s="472"/>
      <c r="I789" s="672"/>
    </row>
    <row r="790" spans="2:9" ht="15.75" customHeight="1" x14ac:dyDescent="0.25">
      <c r="B790" s="189"/>
      <c r="C790" s="189"/>
      <c r="D790" s="189"/>
      <c r="E790" s="672"/>
      <c r="F790" s="189"/>
      <c r="G790" s="472"/>
      <c r="H790" s="472"/>
      <c r="I790" s="672"/>
    </row>
    <row r="791" spans="2:9" ht="15.75" customHeight="1" x14ac:dyDescent="0.25">
      <c r="B791" s="189"/>
      <c r="C791" s="189"/>
      <c r="D791" s="189"/>
      <c r="E791" s="672"/>
      <c r="F791" s="189"/>
      <c r="G791" s="472"/>
      <c r="H791" s="472"/>
      <c r="I791" s="672"/>
    </row>
    <row r="792" spans="2:9" ht="15.75" customHeight="1" x14ac:dyDescent="0.25">
      <c r="B792" s="189"/>
      <c r="C792" s="189"/>
      <c r="D792" s="189"/>
      <c r="E792" s="672"/>
      <c r="F792" s="189"/>
      <c r="G792" s="472"/>
      <c r="H792" s="472"/>
      <c r="I792" s="672"/>
    </row>
    <row r="793" spans="2:9" ht="15.75" customHeight="1" x14ac:dyDescent="0.25">
      <c r="B793" s="189"/>
      <c r="C793" s="189"/>
      <c r="D793" s="189"/>
      <c r="E793" s="672"/>
      <c r="F793" s="189"/>
      <c r="G793" s="472"/>
      <c r="H793" s="472"/>
      <c r="I793" s="672"/>
    </row>
    <row r="794" spans="2:9" ht="15.75" customHeight="1" x14ac:dyDescent="0.25">
      <c r="B794" s="189"/>
      <c r="C794" s="189"/>
      <c r="D794" s="189"/>
      <c r="E794" s="672"/>
      <c r="F794" s="189"/>
      <c r="G794" s="472"/>
      <c r="H794" s="472"/>
      <c r="I794" s="672"/>
    </row>
    <row r="795" spans="2:9" ht="15.75" customHeight="1" x14ac:dyDescent="0.25">
      <c r="B795" s="189"/>
      <c r="C795" s="189"/>
      <c r="D795" s="189"/>
      <c r="E795" s="672"/>
      <c r="F795" s="189"/>
      <c r="G795" s="472"/>
      <c r="H795" s="472"/>
      <c r="I795" s="672"/>
    </row>
    <row r="796" spans="2:9" ht="15.75" customHeight="1" x14ac:dyDescent="0.25">
      <c r="B796" s="189"/>
      <c r="C796" s="189"/>
      <c r="D796" s="189"/>
      <c r="E796" s="672"/>
      <c r="F796" s="189"/>
      <c r="G796" s="472"/>
      <c r="H796" s="472"/>
      <c r="I796" s="672"/>
    </row>
    <row r="797" spans="2:9" ht="15.75" customHeight="1" x14ac:dyDescent="0.25">
      <c r="B797" s="189"/>
      <c r="C797" s="189"/>
      <c r="D797" s="189"/>
      <c r="E797" s="672"/>
      <c r="F797" s="189"/>
      <c r="G797" s="472"/>
      <c r="H797" s="472"/>
      <c r="I797" s="672"/>
    </row>
    <row r="798" spans="2:9" ht="15.75" customHeight="1" x14ac:dyDescent="0.25">
      <c r="B798" s="189"/>
      <c r="C798" s="189"/>
      <c r="D798" s="189"/>
      <c r="E798" s="672"/>
      <c r="F798" s="189"/>
      <c r="G798" s="472"/>
      <c r="H798" s="472"/>
      <c r="I798" s="672"/>
    </row>
    <row r="799" spans="2:9" ht="15.75" customHeight="1" x14ac:dyDescent="0.25">
      <c r="B799" s="189"/>
      <c r="C799" s="189"/>
      <c r="D799" s="189"/>
      <c r="E799" s="672"/>
      <c r="F799" s="189"/>
      <c r="G799" s="472"/>
      <c r="H799" s="472"/>
      <c r="I799" s="672"/>
    </row>
    <row r="800" spans="2:9" ht="15.75" customHeight="1" x14ac:dyDescent="0.25">
      <c r="B800" s="189"/>
      <c r="C800" s="189"/>
      <c r="D800" s="189"/>
      <c r="E800" s="672"/>
      <c r="F800" s="189"/>
      <c r="G800" s="472"/>
      <c r="H800" s="472"/>
      <c r="I800" s="672"/>
    </row>
    <row r="801" spans="2:9" ht="15.75" customHeight="1" x14ac:dyDescent="0.25">
      <c r="B801" s="189"/>
      <c r="C801" s="189"/>
      <c r="D801" s="189"/>
      <c r="E801" s="672"/>
      <c r="F801" s="189"/>
      <c r="G801" s="472"/>
      <c r="H801" s="472"/>
      <c r="I801" s="672"/>
    </row>
    <row r="802" spans="2:9" ht="15.75" customHeight="1" x14ac:dyDescent="0.25">
      <c r="B802" s="189"/>
      <c r="C802" s="189"/>
      <c r="D802" s="189"/>
      <c r="E802" s="672"/>
      <c r="F802" s="189"/>
      <c r="G802" s="472"/>
      <c r="H802" s="472"/>
      <c r="I802" s="672"/>
    </row>
    <row r="803" spans="2:9" ht="15.75" customHeight="1" x14ac:dyDescent="0.25">
      <c r="B803" s="189"/>
      <c r="C803" s="189"/>
      <c r="D803" s="189"/>
      <c r="E803" s="672"/>
      <c r="F803" s="189"/>
      <c r="G803" s="472"/>
      <c r="H803" s="472"/>
      <c r="I803" s="672"/>
    </row>
    <row r="804" spans="2:9" ht="15.75" customHeight="1" x14ac:dyDescent="0.25">
      <c r="B804" s="189"/>
      <c r="C804" s="189"/>
      <c r="D804" s="189"/>
      <c r="E804" s="672"/>
      <c r="F804" s="189"/>
      <c r="G804" s="472"/>
      <c r="H804" s="472"/>
      <c r="I804" s="672"/>
    </row>
    <row r="805" spans="2:9" ht="15.75" customHeight="1" x14ac:dyDescent="0.25">
      <c r="B805" s="189"/>
      <c r="C805" s="189"/>
      <c r="D805" s="189"/>
      <c r="E805" s="672"/>
      <c r="F805" s="189"/>
      <c r="G805" s="472"/>
      <c r="H805" s="472"/>
      <c r="I805" s="672"/>
    </row>
    <row r="806" spans="2:9" ht="15.75" customHeight="1" x14ac:dyDescent="0.25">
      <c r="B806" s="189"/>
      <c r="C806" s="189"/>
      <c r="D806" s="189"/>
      <c r="E806" s="672"/>
      <c r="F806" s="189"/>
      <c r="G806" s="472"/>
      <c r="H806" s="472"/>
      <c r="I806" s="672"/>
    </row>
    <row r="807" spans="2:9" ht="15.75" customHeight="1" x14ac:dyDescent="0.25">
      <c r="B807" s="189"/>
      <c r="C807" s="189"/>
      <c r="D807" s="189"/>
      <c r="E807" s="672"/>
      <c r="F807" s="189"/>
      <c r="G807" s="472"/>
      <c r="H807" s="472"/>
      <c r="I807" s="672"/>
    </row>
    <row r="808" spans="2:9" ht="15.75" customHeight="1" x14ac:dyDescent="0.25">
      <c r="B808" s="189"/>
      <c r="C808" s="189"/>
      <c r="D808" s="189"/>
      <c r="E808" s="672"/>
      <c r="F808" s="189"/>
      <c r="G808" s="472"/>
      <c r="H808" s="472"/>
      <c r="I808" s="672"/>
    </row>
    <row r="809" spans="2:9" ht="15.75" customHeight="1" x14ac:dyDescent="0.25">
      <c r="B809" s="189"/>
      <c r="C809" s="189"/>
      <c r="D809" s="189"/>
      <c r="E809" s="672"/>
      <c r="F809" s="189"/>
      <c r="G809" s="472"/>
      <c r="H809" s="472"/>
      <c r="I809" s="672"/>
    </row>
    <row r="810" spans="2:9" ht="15.75" customHeight="1" x14ac:dyDescent="0.25">
      <c r="B810" s="189"/>
      <c r="C810" s="189"/>
      <c r="D810" s="189"/>
      <c r="E810" s="672"/>
      <c r="F810" s="189"/>
      <c r="G810" s="472"/>
      <c r="H810" s="472"/>
      <c r="I810" s="672"/>
    </row>
    <row r="811" spans="2:9" ht="15.75" customHeight="1" x14ac:dyDescent="0.25">
      <c r="B811" s="189"/>
      <c r="C811" s="189"/>
      <c r="D811" s="189"/>
      <c r="E811" s="672"/>
      <c r="F811" s="189"/>
      <c r="G811" s="472"/>
      <c r="H811" s="472"/>
      <c r="I811" s="672"/>
    </row>
    <row r="812" spans="2:9" ht="15.75" customHeight="1" x14ac:dyDescent="0.25">
      <c r="B812" s="189"/>
      <c r="C812" s="189"/>
      <c r="D812" s="189"/>
      <c r="E812" s="672"/>
      <c r="F812" s="189"/>
      <c r="G812" s="472"/>
      <c r="H812" s="472"/>
      <c r="I812" s="672"/>
    </row>
    <row r="813" spans="2:9" ht="15.75" customHeight="1" x14ac:dyDescent="0.25">
      <c r="B813" s="189"/>
      <c r="C813" s="189"/>
      <c r="D813" s="189"/>
      <c r="E813" s="672"/>
      <c r="F813" s="189"/>
      <c r="G813" s="472"/>
      <c r="H813" s="472"/>
      <c r="I813" s="672"/>
    </row>
    <row r="814" spans="2:9" ht="15.75" customHeight="1" x14ac:dyDescent="0.25">
      <c r="B814" s="189"/>
      <c r="C814" s="189"/>
      <c r="D814" s="189"/>
      <c r="E814" s="672"/>
      <c r="F814" s="189"/>
      <c r="G814" s="472"/>
      <c r="H814" s="472"/>
      <c r="I814" s="672"/>
    </row>
    <row r="815" spans="2:9" ht="15.75" customHeight="1" x14ac:dyDescent="0.25">
      <c r="B815" s="189"/>
      <c r="C815" s="189"/>
      <c r="D815" s="189"/>
      <c r="E815" s="672"/>
      <c r="F815" s="189"/>
      <c r="G815" s="472"/>
      <c r="H815" s="472"/>
      <c r="I815" s="672"/>
    </row>
    <row r="816" spans="2:9" ht="15.75" customHeight="1" x14ac:dyDescent="0.25">
      <c r="B816" s="189"/>
      <c r="C816" s="189"/>
      <c r="D816" s="189"/>
      <c r="E816" s="672"/>
      <c r="F816" s="189"/>
      <c r="G816" s="472"/>
      <c r="H816" s="472"/>
      <c r="I816" s="672"/>
    </row>
    <row r="817" spans="2:9" ht="15.75" customHeight="1" x14ac:dyDescent="0.25">
      <c r="B817" s="189"/>
      <c r="C817" s="189"/>
      <c r="D817" s="189"/>
      <c r="E817" s="672"/>
      <c r="F817" s="189"/>
      <c r="G817" s="472"/>
      <c r="H817" s="472"/>
      <c r="I817" s="672"/>
    </row>
    <row r="818" spans="2:9" ht="15.75" customHeight="1" x14ac:dyDescent="0.25">
      <c r="B818" s="189"/>
      <c r="C818" s="189"/>
      <c r="D818" s="189"/>
      <c r="E818" s="672"/>
      <c r="F818" s="189"/>
      <c r="G818" s="472"/>
      <c r="H818" s="472"/>
      <c r="I818" s="672"/>
    </row>
    <row r="819" spans="2:9" ht="15.75" customHeight="1" x14ac:dyDescent="0.25">
      <c r="B819" s="189"/>
      <c r="C819" s="189"/>
      <c r="D819" s="189"/>
      <c r="E819" s="672"/>
      <c r="F819" s="189"/>
      <c r="G819" s="472"/>
      <c r="H819" s="472"/>
      <c r="I819" s="672"/>
    </row>
    <row r="820" spans="2:9" ht="15.75" customHeight="1" x14ac:dyDescent="0.25">
      <c r="B820" s="189"/>
      <c r="C820" s="189"/>
      <c r="D820" s="189"/>
      <c r="E820" s="672"/>
      <c r="F820" s="189"/>
      <c r="G820" s="472"/>
      <c r="H820" s="472"/>
      <c r="I820" s="672"/>
    </row>
    <row r="821" spans="2:9" ht="15.75" customHeight="1" x14ac:dyDescent="0.25">
      <c r="B821" s="189"/>
      <c r="C821" s="189"/>
      <c r="D821" s="189"/>
      <c r="E821" s="672"/>
      <c r="F821" s="189"/>
      <c r="G821" s="472"/>
      <c r="H821" s="472"/>
      <c r="I821" s="672"/>
    </row>
    <row r="822" spans="2:9" ht="15.75" customHeight="1" x14ac:dyDescent="0.25">
      <c r="B822" s="189"/>
      <c r="C822" s="189"/>
      <c r="D822" s="189"/>
      <c r="E822" s="672"/>
      <c r="F822" s="189"/>
      <c r="G822" s="472"/>
      <c r="H822" s="472"/>
      <c r="I822" s="672"/>
    </row>
    <row r="823" spans="2:9" ht="15.75" customHeight="1" x14ac:dyDescent="0.25">
      <c r="B823" s="189"/>
      <c r="C823" s="189"/>
      <c r="D823" s="189"/>
      <c r="E823" s="672"/>
      <c r="F823" s="189"/>
      <c r="G823" s="472"/>
      <c r="H823" s="472"/>
      <c r="I823" s="672"/>
    </row>
    <row r="824" spans="2:9" ht="15.75" customHeight="1" x14ac:dyDescent="0.25">
      <c r="B824" s="189"/>
      <c r="C824" s="189"/>
      <c r="D824" s="189"/>
      <c r="E824" s="672"/>
      <c r="F824" s="189"/>
      <c r="G824" s="472"/>
      <c r="H824" s="472"/>
      <c r="I824" s="672"/>
    </row>
    <row r="825" spans="2:9" ht="15.75" customHeight="1" x14ac:dyDescent="0.25">
      <c r="B825" s="189"/>
      <c r="C825" s="189"/>
      <c r="D825" s="189"/>
      <c r="E825" s="672"/>
      <c r="F825" s="189"/>
      <c r="G825" s="472"/>
      <c r="H825" s="472"/>
      <c r="I825" s="672"/>
    </row>
    <row r="826" spans="2:9" ht="15.75" customHeight="1" x14ac:dyDescent="0.25">
      <c r="B826" s="189"/>
      <c r="C826" s="189"/>
      <c r="D826" s="189"/>
      <c r="E826" s="672"/>
      <c r="F826" s="189"/>
      <c r="G826" s="472"/>
      <c r="H826" s="472"/>
      <c r="I826" s="672"/>
    </row>
    <row r="827" spans="2:9" ht="15.75" customHeight="1" x14ac:dyDescent="0.25">
      <c r="B827" s="189"/>
      <c r="C827" s="189"/>
      <c r="D827" s="189"/>
      <c r="E827" s="672"/>
      <c r="F827" s="189"/>
      <c r="G827" s="472"/>
      <c r="H827" s="472"/>
      <c r="I827" s="672"/>
    </row>
    <row r="828" spans="2:9" ht="15.75" customHeight="1" x14ac:dyDescent="0.25">
      <c r="B828" s="189"/>
      <c r="C828" s="189"/>
      <c r="D828" s="189"/>
      <c r="E828" s="672"/>
      <c r="F828" s="189"/>
      <c r="G828" s="472"/>
      <c r="H828" s="472"/>
      <c r="I828" s="672"/>
    </row>
    <row r="829" spans="2:9" ht="15.75" customHeight="1" x14ac:dyDescent="0.25">
      <c r="B829" s="189"/>
      <c r="C829" s="189"/>
      <c r="D829" s="189"/>
      <c r="E829" s="672"/>
      <c r="F829" s="189"/>
      <c r="G829" s="472"/>
      <c r="H829" s="472"/>
      <c r="I829" s="672"/>
    </row>
    <row r="830" spans="2:9" ht="15.75" customHeight="1" x14ac:dyDescent="0.25">
      <c r="B830" s="189"/>
      <c r="C830" s="189"/>
      <c r="D830" s="189"/>
      <c r="E830" s="672"/>
      <c r="F830" s="189"/>
      <c r="G830" s="472"/>
      <c r="H830" s="472"/>
      <c r="I830" s="672"/>
    </row>
    <row r="831" spans="2:9" ht="15.75" customHeight="1" x14ac:dyDescent="0.25">
      <c r="B831" s="189"/>
      <c r="C831" s="189"/>
      <c r="D831" s="189"/>
      <c r="E831" s="672"/>
      <c r="F831" s="189"/>
      <c r="G831" s="472"/>
      <c r="H831" s="472"/>
      <c r="I831" s="672"/>
    </row>
    <row r="832" spans="2:9" ht="15.75" customHeight="1" x14ac:dyDescent="0.25">
      <c r="B832" s="189"/>
      <c r="C832" s="189"/>
      <c r="D832" s="189"/>
      <c r="E832" s="672"/>
      <c r="F832" s="189"/>
      <c r="G832" s="472"/>
      <c r="H832" s="472"/>
      <c r="I832" s="672"/>
    </row>
    <row r="833" spans="2:9" ht="15.75" customHeight="1" x14ac:dyDescent="0.25">
      <c r="B833" s="189"/>
      <c r="C833" s="189"/>
      <c r="D833" s="189"/>
      <c r="E833" s="672"/>
      <c r="F833" s="189"/>
      <c r="G833" s="472"/>
      <c r="H833" s="472"/>
      <c r="I833" s="672"/>
    </row>
    <row r="834" spans="2:9" ht="15.75" customHeight="1" x14ac:dyDescent="0.25">
      <c r="B834" s="189"/>
      <c r="C834" s="189"/>
      <c r="D834" s="189"/>
      <c r="E834" s="672"/>
      <c r="F834" s="189"/>
      <c r="G834" s="472"/>
      <c r="H834" s="472"/>
      <c r="I834" s="672"/>
    </row>
    <row r="835" spans="2:9" ht="15.75" customHeight="1" x14ac:dyDescent="0.25">
      <c r="B835" s="189"/>
      <c r="C835" s="189"/>
      <c r="D835" s="189"/>
      <c r="E835" s="672"/>
      <c r="F835" s="189"/>
      <c r="G835" s="472"/>
      <c r="H835" s="472"/>
      <c r="I835" s="672"/>
    </row>
    <row r="836" spans="2:9" ht="15.75" customHeight="1" x14ac:dyDescent="0.25">
      <c r="B836" s="189"/>
      <c r="C836" s="189"/>
      <c r="D836" s="189"/>
      <c r="E836" s="672"/>
      <c r="F836" s="189"/>
      <c r="G836" s="472"/>
      <c r="H836" s="472"/>
      <c r="I836" s="672"/>
    </row>
    <row r="837" spans="2:9" ht="15.75" customHeight="1" x14ac:dyDescent="0.25">
      <c r="B837" s="189"/>
      <c r="C837" s="189"/>
      <c r="D837" s="189"/>
      <c r="E837" s="672"/>
      <c r="F837" s="189"/>
      <c r="G837" s="472"/>
      <c r="H837" s="472"/>
      <c r="I837" s="672"/>
    </row>
    <row r="838" spans="2:9" ht="15.75" customHeight="1" x14ac:dyDescent="0.25">
      <c r="B838" s="189"/>
      <c r="C838" s="189"/>
      <c r="D838" s="189"/>
      <c r="E838" s="672"/>
      <c r="F838" s="189"/>
      <c r="G838" s="472"/>
      <c r="H838" s="472"/>
      <c r="I838" s="672"/>
    </row>
    <row r="839" spans="2:9" ht="15.75" customHeight="1" x14ac:dyDescent="0.25">
      <c r="B839" s="189"/>
      <c r="C839" s="189"/>
      <c r="D839" s="189"/>
      <c r="E839" s="672"/>
      <c r="F839" s="189"/>
      <c r="G839" s="472"/>
      <c r="H839" s="472"/>
      <c r="I839" s="672"/>
    </row>
    <row r="840" spans="2:9" ht="15.75" customHeight="1" x14ac:dyDescent="0.25">
      <c r="B840" s="189"/>
      <c r="C840" s="189"/>
      <c r="D840" s="189"/>
      <c r="E840" s="672"/>
      <c r="F840" s="189"/>
      <c r="G840" s="472"/>
      <c r="H840" s="472"/>
      <c r="I840" s="672"/>
    </row>
    <row r="841" spans="2:9" ht="15.75" customHeight="1" x14ac:dyDescent="0.25">
      <c r="B841" s="189"/>
      <c r="C841" s="189"/>
      <c r="D841" s="189"/>
      <c r="E841" s="672"/>
      <c r="F841" s="189"/>
      <c r="G841" s="472"/>
      <c r="H841" s="472"/>
      <c r="I841" s="672"/>
    </row>
    <row r="842" spans="2:9" ht="15.75" customHeight="1" x14ac:dyDescent="0.25">
      <c r="B842" s="189"/>
      <c r="C842" s="189"/>
      <c r="D842" s="189"/>
      <c r="E842" s="672"/>
      <c r="F842" s="189"/>
      <c r="G842" s="472"/>
      <c r="H842" s="472"/>
      <c r="I842" s="672"/>
    </row>
    <row r="843" spans="2:9" ht="15.75" customHeight="1" x14ac:dyDescent="0.25">
      <c r="B843" s="189"/>
      <c r="C843" s="189"/>
      <c r="D843" s="189"/>
      <c r="E843" s="672"/>
      <c r="F843" s="189"/>
      <c r="G843" s="472"/>
      <c r="H843" s="472"/>
      <c r="I843" s="672"/>
    </row>
    <row r="844" spans="2:9" ht="15.75" customHeight="1" x14ac:dyDescent="0.25">
      <c r="B844" s="189"/>
      <c r="C844" s="189"/>
      <c r="D844" s="189"/>
      <c r="E844" s="672"/>
      <c r="F844" s="189"/>
      <c r="G844" s="472"/>
      <c r="H844" s="472"/>
      <c r="I844" s="672"/>
    </row>
    <row r="845" spans="2:9" ht="15.75" customHeight="1" x14ac:dyDescent="0.25">
      <c r="B845" s="189"/>
      <c r="C845" s="189"/>
      <c r="D845" s="189"/>
      <c r="E845" s="672"/>
      <c r="F845" s="189"/>
      <c r="G845" s="472"/>
      <c r="H845" s="472"/>
      <c r="I845" s="672"/>
    </row>
    <row r="846" spans="2:9" ht="15.75" customHeight="1" x14ac:dyDescent="0.25">
      <c r="B846" s="189"/>
      <c r="C846" s="189"/>
      <c r="D846" s="189"/>
      <c r="E846" s="672"/>
      <c r="F846" s="189"/>
      <c r="G846" s="472"/>
      <c r="H846" s="472"/>
      <c r="I846" s="672"/>
    </row>
    <row r="847" spans="2:9" ht="15.75" customHeight="1" x14ac:dyDescent="0.25">
      <c r="B847" s="189"/>
      <c r="C847" s="189"/>
      <c r="D847" s="189"/>
      <c r="E847" s="672"/>
      <c r="F847" s="189"/>
      <c r="G847" s="472"/>
      <c r="H847" s="472"/>
      <c r="I847" s="672"/>
    </row>
    <row r="848" spans="2:9" ht="15.75" customHeight="1" x14ac:dyDescent="0.25">
      <c r="B848" s="189"/>
      <c r="C848" s="189"/>
      <c r="D848" s="189"/>
      <c r="E848" s="672"/>
      <c r="F848" s="189"/>
      <c r="G848" s="472"/>
      <c r="H848" s="472"/>
      <c r="I848" s="672"/>
    </row>
    <row r="849" spans="2:9" ht="15.75" customHeight="1" x14ac:dyDescent="0.25">
      <c r="B849" s="189"/>
      <c r="C849" s="189"/>
      <c r="D849" s="189"/>
      <c r="E849" s="672"/>
      <c r="F849" s="189"/>
      <c r="G849" s="472"/>
      <c r="H849" s="472"/>
      <c r="I849" s="672"/>
    </row>
    <row r="850" spans="2:9" ht="15.75" customHeight="1" x14ac:dyDescent="0.25">
      <c r="B850" s="189"/>
      <c r="C850" s="189"/>
      <c r="D850" s="189"/>
      <c r="E850" s="672"/>
      <c r="F850" s="189"/>
      <c r="G850" s="472"/>
      <c r="H850" s="472"/>
      <c r="I850" s="672"/>
    </row>
    <row r="851" spans="2:9" ht="15.75" customHeight="1" x14ac:dyDescent="0.25">
      <c r="B851" s="189"/>
      <c r="C851" s="189"/>
      <c r="D851" s="189"/>
      <c r="E851" s="672"/>
      <c r="F851" s="189"/>
      <c r="G851" s="472"/>
      <c r="H851" s="472"/>
      <c r="I851" s="672"/>
    </row>
    <row r="852" spans="2:9" ht="15.75" customHeight="1" x14ac:dyDescent="0.25">
      <c r="B852" s="189"/>
      <c r="C852" s="189"/>
      <c r="D852" s="189"/>
      <c r="E852" s="672"/>
      <c r="F852" s="189"/>
      <c r="G852" s="472"/>
      <c r="H852" s="472"/>
      <c r="I852" s="672"/>
    </row>
    <row r="853" spans="2:9" ht="15.75" customHeight="1" x14ac:dyDescent="0.25">
      <c r="B853" s="189"/>
      <c r="C853" s="189"/>
      <c r="D853" s="189"/>
      <c r="E853" s="672"/>
      <c r="F853" s="189"/>
      <c r="G853" s="472"/>
      <c r="H853" s="472"/>
      <c r="I853" s="672"/>
    </row>
    <row r="854" spans="2:9" ht="15.75" customHeight="1" x14ac:dyDescent="0.25">
      <c r="B854" s="189"/>
      <c r="C854" s="189"/>
      <c r="D854" s="189"/>
      <c r="E854" s="672"/>
      <c r="F854" s="189"/>
      <c r="G854" s="472"/>
      <c r="H854" s="472"/>
      <c r="I854" s="672"/>
    </row>
    <row r="855" spans="2:9" ht="15.75" customHeight="1" x14ac:dyDescent="0.25">
      <c r="B855" s="189"/>
      <c r="C855" s="189"/>
      <c r="D855" s="189"/>
      <c r="E855" s="672"/>
      <c r="F855" s="189"/>
      <c r="G855" s="472"/>
      <c r="H855" s="472"/>
      <c r="I855" s="672"/>
    </row>
    <row r="856" spans="2:9" ht="15.75" customHeight="1" x14ac:dyDescent="0.25">
      <c r="B856" s="189"/>
      <c r="C856" s="189"/>
      <c r="D856" s="189"/>
      <c r="E856" s="672"/>
      <c r="F856" s="189"/>
      <c r="G856" s="472"/>
      <c r="H856" s="472"/>
      <c r="I856" s="672"/>
    </row>
    <row r="857" spans="2:9" ht="15.75" customHeight="1" x14ac:dyDescent="0.25">
      <c r="B857" s="189"/>
      <c r="C857" s="189"/>
      <c r="D857" s="189"/>
      <c r="E857" s="672"/>
      <c r="F857" s="189"/>
      <c r="G857" s="472"/>
      <c r="H857" s="472"/>
      <c r="I857" s="672"/>
    </row>
    <row r="858" spans="2:9" ht="15.75" customHeight="1" x14ac:dyDescent="0.25">
      <c r="B858" s="189"/>
      <c r="C858" s="189"/>
      <c r="D858" s="189"/>
      <c r="E858" s="672"/>
      <c r="F858" s="189"/>
      <c r="G858" s="472"/>
      <c r="H858" s="472"/>
      <c r="I858" s="672"/>
    </row>
    <row r="859" spans="2:9" ht="15.75" customHeight="1" x14ac:dyDescent="0.25">
      <c r="B859" s="189"/>
      <c r="C859" s="189"/>
      <c r="D859" s="189"/>
      <c r="E859" s="672"/>
      <c r="F859" s="189"/>
      <c r="G859" s="472"/>
      <c r="H859" s="472"/>
      <c r="I859" s="672"/>
    </row>
    <row r="860" spans="2:9" ht="15.75" customHeight="1" x14ac:dyDescent="0.25">
      <c r="B860" s="189"/>
      <c r="C860" s="189"/>
      <c r="D860" s="189"/>
      <c r="E860" s="672"/>
      <c r="F860" s="189"/>
      <c r="G860" s="472"/>
      <c r="H860" s="472"/>
      <c r="I860" s="672"/>
    </row>
    <row r="861" spans="2:9" ht="15.75" customHeight="1" x14ac:dyDescent="0.25">
      <c r="B861" s="189"/>
      <c r="C861" s="189"/>
      <c r="D861" s="189"/>
      <c r="E861" s="672"/>
      <c r="F861" s="189"/>
      <c r="G861" s="472"/>
      <c r="H861" s="472"/>
      <c r="I861" s="672"/>
    </row>
    <row r="862" spans="2:9" ht="15.75" customHeight="1" x14ac:dyDescent="0.25">
      <c r="B862" s="189"/>
      <c r="C862" s="189"/>
      <c r="D862" s="189"/>
      <c r="E862" s="672"/>
      <c r="F862" s="189"/>
      <c r="G862" s="472"/>
      <c r="H862" s="472"/>
      <c r="I862" s="672"/>
    </row>
    <row r="863" spans="2:9" ht="15.75" customHeight="1" x14ac:dyDescent="0.25">
      <c r="B863" s="189"/>
      <c r="C863" s="189"/>
      <c r="D863" s="189"/>
      <c r="E863" s="672"/>
      <c r="F863" s="189"/>
      <c r="G863" s="472"/>
      <c r="H863" s="472"/>
      <c r="I863" s="672"/>
    </row>
    <row r="864" spans="2:9" ht="15.75" customHeight="1" x14ac:dyDescent="0.25">
      <c r="B864" s="189"/>
      <c r="C864" s="189"/>
      <c r="D864" s="189"/>
      <c r="E864" s="672"/>
      <c r="F864" s="189"/>
      <c r="G864" s="472"/>
      <c r="H864" s="472"/>
      <c r="I864" s="672"/>
    </row>
    <row r="865" spans="2:9" ht="15.75" customHeight="1" x14ac:dyDescent="0.25">
      <c r="B865" s="189"/>
      <c r="C865" s="189"/>
      <c r="D865" s="189"/>
      <c r="E865" s="672"/>
      <c r="F865" s="189"/>
      <c r="G865" s="472"/>
      <c r="H865" s="472"/>
      <c r="I865" s="672"/>
    </row>
    <row r="866" spans="2:9" ht="15.75" customHeight="1" x14ac:dyDescent="0.25">
      <c r="B866" s="189"/>
      <c r="C866" s="189"/>
      <c r="D866" s="189"/>
      <c r="E866" s="672"/>
      <c r="F866" s="189"/>
      <c r="G866" s="472"/>
      <c r="H866" s="472"/>
      <c r="I866" s="672"/>
    </row>
    <row r="867" spans="2:9" ht="15.75" customHeight="1" x14ac:dyDescent="0.25">
      <c r="B867" s="189"/>
      <c r="C867" s="189"/>
      <c r="D867" s="189"/>
      <c r="E867" s="672"/>
      <c r="F867" s="189"/>
      <c r="G867" s="472"/>
      <c r="H867" s="472"/>
      <c r="I867" s="672"/>
    </row>
    <row r="868" spans="2:9" ht="15.75" customHeight="1" x14ac:dyDescent="0.25">
      <c r="B868" s="189"/>
      <c r="C868" s="189"/>
      <c r="D868" s="189"/>
      <c r="E868" s="672"/>
      <c r="F868" s="189"/>
      <c r="G868" s="472"/>
      <c r="H868" s="472"/>
      <c r="I868" s="672"/>
    </row>
    <row r="869" spans="2:9" ht="15.75" customHeight="1" x14ac:dyDescent="0.25">
      <c r="B869" s="189"/>
      <c r="C869" s="189"/>
      <c r="D869" s="189"/>
      <c r="E869" s="672"/>
      <c r="F869" s="189"/>
      <c r="G869" s="472"/>
      <c r="H869" s="472"/>
      <c r="I869" s="672"/>
    </row>
    <row r="870" spans="2:9" ht="15.75" customHeight="1" x14ac:dyDescent="0.25">
      <c r="B870" s="189"/>
      <c r="C870" s="189"/>
      <c r="D870" s="189"/>
      <c r="E870" s="672"/>
      <c r="F870" s="189"/>
      <c r="G870" s="472"/>
      <c r="H870" s="472"/>
      <c r="I870" s="672"/>
    </row>
    <row r="871" spans="2:9" ht="15.75" customHeight="1" x14ac:dyDescent="0.25">
      <c r="B871" s="189"/>
      <c r="C871" s="189"/>
      <c r="D871" s="189"/>
      <c r="E871" s="672"/>
      <c r="F871" s="189"/>
      <c r="G871" s="472"/>
      <c r="H871" s="472"/>
      <c r="I871" s="672"/>
    </row>
    <row r="872" spans="2:9" ht="15.75" customHeight="1" x14ac:dyDescent="0.25">
      <c r="B872" s="189"/>
      <c r="C872" s="189"/>
      <c r="D872" s="189"/>
      <c r="E872" s="672"/>
      <c r="F872" s="189"/>
      <c r="G872" s="472"/>
      <c r="H872" s="472"/>
      <c r="I872" s="672"/>
    </row>
    <row r="873" spans="2:9" ht="15.75" customHeight="1" x14ac:dyDescent="0.25">
      <c r="B873" s="189"/>
      <c r="C873" s="189"/>
      <c r="D873" s="189"/>
      <c r="E873" s="672"/>
      <c r="F873" s="189"/>
      <c r="G873" s="472"/>
      <c r="H873" s="472"/>
      <c r="I873" s="672"/>
    </row>
    <row r="874" spans="2:9" ht="15.75" customHeight="1" x14ac:dyDescent="0.25">
      <c r="B874" s="189"/>
      <c r="C874" s="189"/>
      <c r="D874" s="189"/>
      <c r="E874" s="672"/>
      <c r="F874" s="189"/>
      <c r="G874" s="472"/>
      <c r="H874" s="472"/>
      <c r="I874" s="672"/>
    </row>
    <row r="875" spans="2:9" ht="15.75" customHeight="1" x14ac:dyDescent="0.25">
      <c r="B875" s="189"/>
      <c r="C875" s="189"/>
      <c r="D875" s="189"/>
      <c r="E875" s="672"/>
      <c r="F875" s="189"/>
      <c r="G875" s="472"/>
      <c r="H875" s="472"/>
      <c r="I875" s="672"/>
    </row>
    <row r="876" spans="2:9" ht="15.75" customHeight="1" x14ac:dyDescent="0.25">
      <c r="B876" s="189"/>
      <c r="C876" s="189"/>
      <c r="D876" s="189"/>
      <c r="E876" s="672"/>
      <c r="F876" s="189"/>
      <c r="G876" s="472"/>
      <c r="H876" s="472"/>
      <c r="I876" s="672"/>
    </row>
    <row r="877" spans="2:9" ht="15.75" customHeight="1" x14ac:dyDescent="0.25">
      <c r="B877" s="189"/>
      <c r="C877" s="189"/>
      <c r="D877" s="189"/>
      <c r="E877" s="672"/>
      <c r="F877" s="189"/>
      <c r="G877" s="472"/>
      <c r="H877" s="472"/>
      <c r="I877" s="672"/>
    </row>
    <row r="878" spans="2:9" ht="15.75" customHeight="1" x14ac:dyDescent="0.25">
      <c r="B878" s="189"/>
      <c r="C878" s="189"/>
      <c r="D878" s="189"/>
      <c r="E878" s="672"/>
      <c r="F878" s="189"/>
      <c r="G878" s="472"/>
      <c r="H878" s="472"/>
      <c r="I878" s="672"/>
    </row>
    <row r="879" spans="2:9" ht="15.75" customHeight="1" x14ac:dyDescent="0.25">
      <c r="B879" s="189"/>
      <c r="C879" s="189"/>
      <c r="D879" s="189"/>
      <c r="E879" s="672"/>
      <c r="F879" s="189"/>
      <c r="G879" s="472"/>
      <c r="H879" s="472"/>
      <c r="I879" s="672"/>
    </row>
    <row r="880" spans="2:9" ht="15.75" customHeight="1" x14ac:dyDescent="0.25">
      <c r="B880" s="189"/>
      <c r="C880" s="189"/>
      <c r="D880" s="189"/>
      <c r="E880" s="672"/>
      <c r="F880" s="189"/>
      <c r="G880" s="472"/>
      <c r="H880" s="472"/>
      <c r="I880" s="672"/>
    </row>
    <row r="881" spans="2:9" ht="15.75" customHeight="1" x14ac:dyDescent="0.25">
      <c r="B881" s="189"/>
      <c r="C881" s="189"/>
      <c r="D881" s="189"/>
      <c r="E881" s="672"/>
      <c r="F881" s="189"/>
      <c r="G881" s="472"/>
      <c r="H881" s="472"/>
      <c r="I881" s="672"/>
    </row>
    <row r="882" spans="2:9" ht="15.75" customHeight="1" x14ac:dyDescent="0.25">
      <c r="B882" s="189"/>
      <c r="C882" s="189"/>
      <c r="D882" s="189"/>
      <c r="E882" s="672"/>
      <c r="F882" s="189"/>
      <c r="G882" s="472"/>
      <c r="H882" s="472"/>
      <c r="I882" s="672"/>
    </row>
    <row r="883" spans="2:9" ht="15.75" customHeight="1" x14ac:dyDescent="0.25">
      <c r="B883" s="189"/>
      <c r="C883" s="189"/>
      <c r="D883" s="189"/>
      <c r="E883" s="672"/>
      <c r="F883" s="189"/>
      <c r="G883" s="472"/>
      <c r="H883" s="472"/>
      <c r="I883" s="672"/>
    </row>
    <row r="884" spans="2:9" ht="15.75" customHeight="1" x14ac:dyDescent="0.25">
      <c r="B884" s="189"/>
      <c r="C884" s="189"/>
      <c r="D884" s="189"/>
      <c r="E884" s="672"/>
      <c r="F884" s="189"/>
      <c r="G884" s="472"/>
      <c r="H884" s="472"/>
      <c r="I884" s="672"/>
    </row>
    <row r="885" spans="2:9" ht="15.75" customHeight="1" x14ac:dyDescent="0.25">
      <c r="B885" s="189"/>
      <c r="C885" s="189"/>
      <c r="D885" s="189"/>
      <c r="E885" s="672"/>
      <c r="F885" s="189"/>
      <c r="G885" s="472"/>
      <c r="H885" s="472"/>
      <c r="I885" s="672"/>
    </row>
    <row r="886" spans="2:9" ht="15.75" customHeight="1" x14ac:dyDescent="0.25">
      <c r="B886" s="189"/>
      <c r="C886" s="189"/>
      <c r="D886" s="189"/>
      <c r="E886" s="672"/>
      <c r="F886" s="189"/>
      <c r="G886" s="472"/>
      <c r="H886" s="472"/>
      <c r="I886" s="672"/>
    </row>
    <row r="887" spans="2:9" ht="15.75" customHeight="1" x14ac:dyDescent="0.25">
      <c r="B887" s="189"/>
      <c r="C887" s="189"/>
      <c r="D887" s="189"/>
      <c r="E887" s="672"/>
      <c r="F887" s="189"/>
      <c r="G887" s="472"/>
      <c r="H887" s="472"/>
      <c r="I887" s="672"/>
    </row>
    <row r="888" spans="2:9" ht="15.75" customHeight="1" x14ac:dyDescent="0.25">
      <c r="B888" s="189"/>
      <c r="C888" s="189"/>
      <c r="D888" s="189"/>
      <c r="E888" s="672"/>
      <c r="F888" s="189"/>
      <c r="G888" s="472"/>
      <c r="H888" s="472"/>
      <c r="I888" s="672"/>
    </row>
    <row r="889" spans="2:9" ht="15.75" customHeight="1" x14ac:dyDescent="0.25">
      <c r="B889" s="189"/>
      <c r="C889" s="189"/>
      <c r="D889" s="189"/>
      <c r="E889" s="672"/>
      <c r="F889" s="189"/>
      <c r="G889" s="472"/>
      <c r="H889" s="472"/>
      <c r="I889" s="672"/>
    </row>
    <row r="890" spans="2:9" ht="15.75" customHeight="1" x14ac:dyDescent="0.25">
      <c r="B890" s="189"/>
      <c r="C890" s="189"/>
      <c r="D890" s="189"/>
      <c r="E890" s="672"/>
      <c r="F890" s="189"/>
      <c r="G890" s="472"/>
      <c r="H890" s="472"/>
      <c r="I890" s="672"/>
    </row>
    <row r="891" spans="2:9" ht="15.75" customHeight="1" x14ac:dyDescent="0.25">
      <c r="B891" s="189"/>
      <c r="C891" s="189"/>
      <c r="D891" s="189"/>
      <c r="E891" s="672"/>
      <c r="F891" s="189"/>
      <c r="G891" s="472"/>
      <c r="H891" s="472"/>
      <c r="I891" s="672"/>
    </row>
    <row r="892" spans="2:9" ht="15.75" customHeight="1" x14ac:dyDescent="0.25">
      <c r="B892" s="189"/>
      <c r="C892" s="189"/>
      <c r="D892" s="189"/>
      <c r="E892" s="672"/>
      <c r="F892" s="189"/>
      <c r="G892" s="472"/>
      <c r="H892" s="472"/>
      <c r="I892" s="672"/>
    </row>
    <row r="893" spans="2:9" ht="15.75" customHeight="1" x14ac:dyDescent="0.25">
      <c r="B893" s="189"/>
      <c r="C893" s="189"/>
      <c r="D893" s="189"/>
      <c r="E893" s="672"/>
      <c r="F893" s="189"/>
      <c r="G893" s="472"/>
      <c r="H893" s="472"/>
      <c r="I893" s="672"/>
    </row>
    <row r="894" spans="2:9" ht="15.75" customHeight="1" x14ac:dyDescent="0.25">
      <c r="B894" s="189"/>
      <c r="C894" s="189"/>
      <c r="D894" s="189"/>
      <c r="E894" s="672"/>
      <c r="F894" s="189"/>
      <c r="G894" s="472"/>
      <c r="H894" s="472"/>
      <c r="I894" s="672"/>
    </row>
    <row r="895" spans="2:9" ht="15.75" customHeight="1" x14ac:dyDescent="0.25">
      <c r="B895" s="189"/>
      <c r="C895" s="189"/>
      <c r="D895" s="189"/>
      <c r="E895" s="672"/>
      <c r="F895" s="189"/>
      <c r="G895" s="472"/>
      <c r="H895" s="472"/>
      <c r="I895" s="672"/>
    </row>
    <row r="896" spans="2:9" ht="15.75" customHeight="1" x14ac:dyDescent="0.25">
      <c r="B896" s="189"/>
      <c r="C896" s="189"/>
      <c r="D896" s="189"/>
      <c r="E896" s="672"/>
      <c r="F896" s="189"/>
      <c r="G896" s="472"/>
      <c r="H896" s="472"/>
      <c r="I896" s="672"/>
    </row>
    <row r="897" spans="2:9" ht="15.75" customHeight="1" x14ac:dyDescent="0.25">
      <c r="B897" s="189"/>
      <c r="C897" s="189"/>
      <c r="D897" s="189"/>
      <c r="E897" s="672"/>
      <c r="F897" s="189"/>
      <c r="G897" s="472"/>
      <c r="H897" s="472"/>
      <c r="I897" s="672"/>
    </row>
    <row r="898" spans="2:9" ht="15.75" customHeight="1" x14ac:dyDescent="0.25">
      <c r="B898" s="189"/>
      <c r="C898" s="189"/>
      <c r="D898" s="189"/>
      <c r="E898" s="672"/>
      <c r="F898" s="189"/>
      <c r="G898" s="472"/>
      <c r="H898" s="472"/>
      <c r="I898" s="672"/>
    </row>
    <row r="899" spans="2:9" ht="15.75" customHeight="1" x14ac:dyDescent="0.25">
      <c r="B899" s="189"/>
      <c r="C899" s="189"/>
      <c r="D899" s="189"/>
      <c r="E899" s="672"/>
      <c r="F899" s="189"/>
      <c r="G899" s="472"/>
      <c r="H899" s="472"/>
      <c r="I899" s="672"/>
    </row>
    <row r="900" spans="2:9" ht="15.75" customHeight="1" x14ac:dyDescent="0.25">
      <c r="B900" s="189"/>
      <c r="C900" s="189"/>
      <c r="D900" s="189"/>
      <c r="E900" s="672"/>
      <c r="F900" s="189"/>
      <c r="G900" s="472"/>
      <c r="H900" s="472"/>
      <c r="I900" s="672"/>
    </row>
    <row r="901" spans="2:9" ht="15.75" customHeight="1" x14ac:dyDescent="0.25">
      <c r="B901" s="189"/>
      <c r="C901" s="189"/>
      <c r="D901" s="189"/>
      <c r="E901" s="672"/>
      <c r="F901" s="189"/>
      <c r="G901" s="472"/>
      <c r="H901" s="472"/>
      <c r="I901" s="672"/>
    </row>
    <row r="902" spans="2:9" ht="15.75" customHeight="1" x14ac:dyDescent="0.25">
      <c r="B902" s="189"/>
      <c r="C902" s="189"/>
      <c r="D902" s="189"/>
      <c r="E902" s="672"/>
      <c r="F902" s="189"/>
      <c r="G902" s="472"/>
      <c r="H902" s="472"/>
      <c r="I902" s="672"/>
    </row>
    <row r="903" spans="2:9" ht="15.75" customHeight="1" x14ac:dyDescent="0.25">
      <c r="B903" s="189"/>
      <c r="C903" s="189"/>
      <c r="D903" s="189"/>
      <c r="E903" s="672"/>
      <c r="F903" s="189"/>
      <c r="G903" s="472"/>
      <c r="H903" s="472"/>
      <c r="I903" s="672"/>
    </row>
    <row r="904" spans="2:9" ht="15.75" customHeight="1" x14ac:dyDescent="0.25">
      <c r="B904" s="189"/>
      <c r="C904" s="189"/>
      <c r="D904" s="189"/>
      <c r="E904" s="672"/>
      <c r="F904" s="189"/>
      <c r="G904" s="472"/>
      <c r="H904" s="472"/>
      <c r="I904" s="672"/>
    </row>
    <row r="905" spans="2:9" ht="15.75" customHeight="1" x14ac:dyDescent="0.25">
      <c r="B905" s="189"/>
      <c r="C905" s="189"/>
      <c r="D905" s="189"/>
      <c r="E905" s="672"/>
      <c r="F905" s="189"/>
      <c r="G905" s="472"/>
      <c r="H905" s="472"/>
      <c r="I905" s="672"/>
    </row>
    <row r="906" spans="2:9" ht="15.75" customHeight="1" x14ac:dyDescent="0.25">
      <c r="B906" s="189"/>
      <c r="C906" s="189"/>
      <c r="D906" s="189"/>
      <c r="E906" s="672"/>
      <c r="F906" s="189"/>
      <c r="G906" s="472"/>
      <c r="H906" s="472"/>
      <c r="I906" s="672"/>
    </row>
    <row r="907" spans="2:9" ht="15.75" customHeight="1" x14ac:dyDescent="0.25">
      <c r="B907" s="189"/>
      <c r="C907" s="189"/>
      <c r="D907" s="189"/>
      <c r="E907" s="672"/>
      <c r="F907" s="189"/>
      <c r="G907" s="472"/>
      <c r="H907" s="472"/>
      <c r="I907" s="672"/>
    </row>
    <row r="908" spans="2:9" ht="15.75" customHeight="1" x14ac:dyDescent="0.25">
      <c r="B908" s="189"/>
      <c r="C908" s="189"/>
      <c r="D908" s="189"/>
      <c r="E908" s="672"/>
      <c r="F908" s="189"/>
      <c r="G908" s="472"/>
      <c r="H908" s="472"/>
      <c r="I908" s="672"/>
    </row>
    <row r="909" spans="2:9" ht="15.75" customHeight="1" x14ac:dyDescent="0.25">
      <c r="B909" s="189"/>
      <c r="C909" s="189"/>
      <c r="D909" s="189"/>
      <c r="E909" s="672"/>
      <c r="F909" s="189"/>
      <c r="G909" s="472"/>
      <c r="H909" s="472"/>
      <c r="I909" s="672"/>
    </row>
    <row r="910" spans="2:9" ht="15.75" customHeight="1" x14ac:dyDescent="0.25">
      <c r="B910" s="189"/>
      <c r="C910" s="189"/>
      <c r="D910" s="189"/>
      <c r="E910" s="672"/>
      <c r="F910" s="189"/>
      <c r="G910" s="472"/>
      <c r="H910" s="472"/>
      <c r="I910" s="672"/>
    </row>
    <row r="911" spans="2:9" ht="15.75" customHeight="1" x14ac:dyDescent="0.25">
      <c r="B911" s="189"/>
      <c r="C911" s="189"/>
      <c r="D911" s="189"/>
      <c r="E911" s="672"/>
      <c r="F911" s="189"/>
      <c r="G911" s="472"/>
      <c r="H911" s="472"/>
      <c r="I911" s="672"/>
    </row>
    <row r="912" spans="2:9" ht="15.75" customHeight="1" x14ac:dyDescent="0.25">
      <c r="B912" s="189"/>
      <c r="C912" s="189"/>
      <c r="D912" s="189"/>
      <c r="E912" s="672"/>
      <c r="F912" s="189"/>
      <c r="G912" s="472"/>
      <c r="H912" s="472"/>
      <c r="I912" s="672"/>
    </row>
    <row r="913" spans="2:9" ht="15.75" customHeight="1" x14ac:dyDescent="0.25">
      <c r="B913" s="189"/>
      <c r="C913" s="189"/>
      <c r="D913" s="189"/>
      <c r="E913" s="672"/>
      <c r="F913" s="189"/>
      <c r="G913" s="472"/>
      <c r="H913" s="472"/>
      <c r="I913" s="672"/>
    </row>
    <row r="914" spans="2:9" ht="15.75" customHeight="1" x14ac:dyDescent="0.25">
      <c r="B914" s="189"/>
      <c r="C914" s="189"/>
      <c r="D914" s="189"/>
      <c r="E914" s="672"/>
      <c r="F914" s="189"/>
      <c r="G914" s="472"/>
      <c r="H914" s="472"/>
      <c r="I914" s="672"/>
    </row>
    <row r="915" spans="2:9" ht="15.75" customHeight="1" x14ac:dyDescent="0.25">
      <c r="B915" s="189"/>
      <c r="C915" s="189"/>
      <c r="D915" s="189"/>
      <c r="E915" s="672"/>
      <c r="F915" s="189"/>
      <c r="G915" s="472"/>
      <c r="H915" s="472"/>
      <c r="I915" s="672"/>
    </row>
    <row r="916" spans="2:9" ht="15.75" customHeight="1" x14ac:dyDescent="0.25">
      <c r="B916" s="189"/>
      <c r="C916" s="189"/>
      <c r="D916" s="189"/>
      <c r="E916" s="672"/>
      <c r="F916" s="189"/>
      <c r="G916" s="472"/>
      <c r="H916" s="472"/>
      <c r="I916" s="672"/>
    </row>
    <row r="917" spans="2:9" ht="15.75" customHeight="1" x14ac:dyDescent="0.25">
      <c r="B917" s="189"/>
      <c r="C917" s="189"/>
      <c r="D917" s="189"/>
      <c r="E917" s="672"/>
      <c r="F917" s="189"/>
      <c r="G917" s="472"/>
      <c r="H917" s="472"/>
      <c r="I917" s="672"/>
    </row>
    <row r="918" spans="2:9" ht="15.75" customHeight="1" x14ac:dyDescent="0.25">
      <c r="B918" s="189"/>
      <c r="C918" s="189"/>
      <c r="D918" s="189"/>
      <c r="E918" s="672"/>
      <c r="F918" s="189"/>
      <c r="G918" s="472"/>
      <c r="H918" s="472"/>
      <c r="I918" s="672"/>
    </row>
    <row r="919" spans="2:9" ht="15.75" customHeight="1" x14ac:dyDescent="0.25">
      <c r="B919" s="189"/>
      <c r="C919" s="189"/>
      <c r="D919" s="189"/>
      <c r="E919" s="672"/>
      <c r="F919" s="189"/>
      <c r="G919" s="472"/>
      <c r="H919" s="472"/>
      <c r="I919" s="672"/>
    </row>
    <row r="920" spans="2:9" ht="15.75" customHeight="1" x14ac:dyDescent="0.25">
      <c r="B920" s="189"/>
      <c r="C920" s="189"/>
      <c r="D920" s="189"/>
      <c r="E920" s="672"/>
      <c r="F920" s="189"/>
      <c r="G920" s="472"/>
      <c r="H920" s="472"/>
      <c r="I920" s="672"/>
    </row>
    <row r="921" spans="2:9" ht="15.75" customHeight="1" x14ac:dyDescent="0.25">
      <c r="B921" s="189"/>
      <c r="C921" s="189"/>
      <c r="D921" s="189"/>
      <c r="E921" s="672"/>
      <c r="F921" s="189"/>
      <c r="G921" s="472"/>
      <c r="H921" s="472"/>
      <c r="I921" s="672"/>
    </row>
    <row r="922" spans="2:9" ht="15.75" customHeight="1" x14ac:dyDescent="0.25">
      <c r="B922" s="189"/>
      <c r="C922" s="189"/>
      <c r="D922" s="189"/>
      <c r="E922" s="672"/>
      <c r="F922" s="189"/>
      <c r="G922" s="472"/>
      <c r="H922" s="472"/>
      <c r="I922" s="672"/>
    </row>
    <row r="923" spans="2:9" ht="15.75" customHeight="1" x14ac:dyDescent="0.25">
      <c r="B923" s="189"/>
      <c r="C923" s="189"/>
      <c r="D923" s="189"/>
      <c r="E923" s="672"/>
      <c r="F923" s="189"/>
      <c r="G923" s="472"/>
      <c r="H923" s="472"/>
      <c r="I923" s="672"/>
    </row>
    <row r="924" spans="2:9" ht="15.75" customHeight="1" x14ac:dyDescent="0.25">
      <c r="B924" s="189"/>
      <c r="C924" s="189"/>
      <c r="D924" s="189"/>
      <c r="E924" s="672"/>
      <c r="F924" s="189"/>
      <c r="G924" s="472"/>
      <c r="H924" s="472"/>
      <c r="I924" s="672"/>
    </row>
    <row r="925" spans="2:9" ht="15.75" customHeight="1" x14ac:dyDescent="0.25">
      <c r="B925" s="189"/>
      <c r="C925" s="189"/>
      <c r="D925" s="189"/>
      <c r="E925" s="672"/>
      <c r="F925" s="189"/>
      <c r="G925" s="472"/>
      <c r="H925" s="472"/>
      <c r="I925" s="672"/>
    </row>
    <row r="926" spans="2:9" ht="15.75" customHeight="1" x14ac:dyDescent="0.25">
      <c r="B926" s="189"/>
      <c r="C926" s="189"/>
      <c r="D926" s="189"/>
      <c r="E926" s="672"/>
      <c r="F926" s="189"/>
      <c r="G926" s="472"/>
      <c r="H926" s="472"/>
      <c r="I926" s="672"/>
    </row>
    <row r="927" spans="2:9" ht="15.75" customHeight="1" x14ac:dyDescent="0.25">
      <c r="B927" s="189"/>
      <c r="C927" s="189"/>
      <c r="D927" s="189"/>
      <c r="E927" s="672"/>
      <c r="F927" s="189"/>
      <c r="G927" s="472"/>
      <c r="H927" s="472"/>
      <c r="I927" s="672"/>
    </row>
    <row r="928" spans="2:9" ht="15.75" customHeight="1" x14ac:dyDescent="0.25">
      <c r="B928" s="189"/>
      <c r="C928" s="189"/>
      <c r="D928" s="189"/>
      <c r="E928" s="672"/>
      <c r="F928" s="189"/>
      <c r="G928" s="472"/>
      <c r="H928" s="472"/>
      <c r="I928" s="672"/>
    </row>
    <row r="929" spans="2:9" ht="15.75" customHeight="1" x14ac:dyDescent="0.25">
      <c r="B929" s="189"/>
      <c r="C929" s="189"/>
      <c r="D929" s="189"/>
      <c r="E929" s="672"/>
      <c r="F929" s="189"/>
      <c r="G929" s="472"/>
      <c r="H929" s="472"/>
      <c r="I929" s="672"/>
    </row>
    <row r="930" spans="2:9" ht="15.75" customHeight="1" x14ac:dyDescent="0.25">
      <c r="B930" s="189"/>
      <c r="C930" s="189"/>
      <c r="D930" s="189"/>
      <c r="E930" s="672"/>
      <c r="F930" s="189"/>
      <c r="G930" s="472"/>
      <c r="H930" s="472"/>
      <c r="I930" s="672"/>
    </row>
    <row r="931" spans="2:9" ht="15.75" customHeight="1" x14ac:dyDescent="0.25">
      <c r="B931" s="189"/>
      <c r="C931" s="189"/>
      <c r="D931" s="189"/>
      <c r="E931" s="672"/>
      <c r="F931" s="189"/>
      <c r="G931" s="472"/>
      <c r="H931" s="472"/>
      <c r="I931" s="672"/>
    </row>
    <row r="932" spans="2:9" ht="15.75" customHeight="1" x14ac:dyDescent="0.25">
      <c r="B932" s="189"/>
      <c r="C932" s="189"/>
      <c r="D932" s="189"/>
      <c r="E932" s="672"/>
      <c r="F932" s="189"/>
      <c r="G932" s="472"/>
      <c r="H932" s="472"/>
      <c r="I932" s="672"/>
    </row>
    <row r="933" spans="2:9" ht="15.75" customHeight="1" x14ac:dyDescent="0.25">
      <c r="B933" s="189"/>
      <c r="C933" s="189"/>
      <c r="D933" s="189"/>
      <c r="E933" s="672"/>
      <c r="F933" s="189"/>
      <c r="G933" s="472"/>
      <c r="H933" s="472"/>
      <c r="I933" s="672"/>
    </row>
    <row r="934" spans="2:9" ht="15.75" customHeight="1" x14ac:dyDescent="0.25">
      <c r="B934" s="189"/>
      <c r="C934" s="189"/>
      <c r="D934" s="189"/>
      <c r="E934" s="672"/>
      <c r="F934" s="189"/>
      <c r="G934" s="472"/>
      <c r="H934" s="472"/>
      <c r="I934" s="672"/>
    </row>
    <row r="935" spans="2:9" ht="15.75" customHeight="1" x14ac:dyDescent="0.25">
      <c r="B935" s="189"/>
      <c r="C935" s="189"/>
      <c r="D935" s="189"/>
      <c r="E935" s="672"/>
      <c r="F935" s="189"/>
      <c r="G935" s="472"/>
      <c r="H935" s="472"/>
      <c r="I935" s="672"/>
    </row>
    <row r="936" spans="2:9" ht="15.75" customHeight="1" x14ac:dyDescent="0.25">
      <c r="B936" s="189"/>
      <c r="C936" s="189"/>
      <c r="D936" s="189"/>
      <c r="E936" s="672"/>
      <c r="F936" s="189"/>
      <c r="G936" s="472"/>
      <c r="H936" s="472"/>
      <c r="I936" s="672"/>
    </row>
    <row r="937" spans="2:9" ht="15.75" customHeight="1" x14ac:dyDescent="0.25">
      <c r="B937" s="189"/>
      <c r="C937" s="189"/>
      <c r="D937" s="189"/>
      <c r="E937" s="672"/>
      <c r="F937" s="189"/>
      <c r="G937" s="472"/>
      <c r="H937" s="472"/>
      <c r="I937" s="672"/>
    </row>
    <row r="938" spans="2:9" ht="15.75" customHeight="1" x14ac:dyDescent="0.25">
      <c r="B938" s="189"/>
      <c r="C938" s="189"/>
      <c r="D938" s="189"/>
      <c r="E938" s="672"/>
      <c r="F938" s="189"/>
      <c r="G938" s="472"/>
      <c r="H938" s="472"/>
      <c r="I938" s="672"/>
    </row>
    <row r="939" spans="2:9" ht="15.75" customHeight="1" x14ac:dyDescent="0.25">
      <c r="B939" s="189"/>
      <c r="C939" s="189"/>
      <c r="D939" s="189"/>
      <c r="E939" s="672"/>
      <c r="F939" s="189"/>
      <c r="G939" s="472"/>
      <c r="H939" s="472"/>
      <c r="I939" s="672"/>
    </row>
    <row r="940" spans="2:9" ht="15.75" customHeight="1" x14ac:dyDescent="0.25">
      <c r="B940" s="189"/>
      <c r="C940" s="189"/>
      <c r="D940" s="189"/>
      <c r="E940" s="672"/>
      <c r="F940" s="189"/>
      <c r="G940" s="472"/>
      <c r="H940" s="472"/>
      <c r="I940" s="672"/>
    </row>
    <row r="941" spans="2:9" ht="15.75" customHeight="1" x14ac:dyDescent="0.25">
      <c r="B941" s="189"/>
      <c r="C941" s="189"/>
      <c r="D941" s="189"/>
      <c r="E941" s="672"/>
      <c r="F941" s="189"/>
      <c r="G941" s="472"/>
      <c r="H941" s="472"/>
      <c r="I941" s="672"/>
    </row>
    <row r="942" spans="2:9" ht="15.75" customHeight="1" x14ac:dyDescent="0.25">
      <c r="B942" s="189"/>
      <c r="C942" s="189"/>
      <c r="D942" s="189"/>
      <c r="E942" s="672"/>
      <c r="F942" s="189"/>
      <c r="G942" s="472"/>
      <c r="H942" s="472"/>
      <c r="I942" s="672"/>
    </row>
    <row r="943" spans="2:9" ht="15.75" customHeight="1" x14ac:dyDescent="0.25">
      <c r="B943" s="189"/>
      <c r="C943" s="189"/>
      <c r="D943" s="189"/>
      <c r="E943" s="672"/>
      <c r="F943" s="189"/>
      <c r="G943" s="472"/>
      <c r="H943" s="472"/>
      <c r="I943" s="672"/>
    </row>
    <row r="944" spans="2:9" ht="15.75" customHeight="1" x14ac:dyDescent="0.25">
      <c r="B944" s="189"/>
      <c r="C944" s="189"/>
      <c r="D944" s="189"/>
      <c r="E944" s="672"/>
      <c r="F944" s="189"/>
      <c r="G944" s="472"/>
      <c r="H944" s="472"/>
      <c r="I944" s="672"/>
    </row>
    <row r="945" spans="2:9" ht="15.75" customHeight="1" x14ac:dyDescent="0.25">
      <c r="B945" s="189"/>
      <c r="C945" s="189"/>
      <c r="D945" s="189"/>
      <c r="E945" s="672"/>
      <c r="F945" s="189"/>
      <c r="G945" s="472"/>
      <c r="H945" s="472"/>
      <c r="I945" s="672"/>
    </row>
    <row r="946" spans="2:9" ht="15.75" customHeight="1" x14ac:dyDescent="0.25">
      <c r="B946" s="189"/>
      <c r="C946" s="189"/>
      <c r="D946" s="189"/>
      <c r="E946" s="672"/>
      <c r="F946" s="189"/>
      <c r="G946" s="472"/>
      <c r="H946" s="472"/>
      <c r="I946" s="672"/>
    </row>
    <row r="947" spans="2:9" ht="15.75" customHeight="1" x14ac:dyDescent="0.25">
      <c r="B947" s="189"/>
      <c r="C947" s="189"/>
      <c r="D947" s="189"/>
      <c r="E947" s="672"/>
      <c r="F947" s="189"/>
      <c r="G947" s="472"/>
      <c r="H947" s="472"/>
      <c r="I947" s="672"/>
    </row>
    <row r="948" spans="2:9" ht="15.75" customHeight="1" x14ac:dyDescent="0.25">
      <c r="B948" s="189"/>
      <c r="C948" s="189"/>
      <c r="D948" s="189"/>
      <c r="E948" s="672"/>
      <c r="F948" s="189"/>
      <c r="G948" s="472"/>
      <c r="H948" s="472"/>
      <c r="I948" s="672"/>
    </row>
    <row r="949" spans="2:9" ht="15.75" customHeight="1" x14ac:dyDescent="0.25">
      <c r="B949" s="189"/>
      <c r="C949" s="189"/>
      <c r="D949" s="189"/>
      <c r="E949" s="672"/>
      <c r="F949" s="189"/>
      <c r="G949" s="472"/>
      <c r="H949" s="472"/>
      <c r="I949" s="672"/>
    </row>
    <row r="950" spans="2:9" ht="15.75" customHeight="1" x14ac:dyDescent="0.25">
      <c r="B950" s="189"/>
      <c r="C950" s="189"/>
      <c r="D950" s="189"/>
      <c r="E950" s="672"/>
      <c r="F950" s="189"/>
      <c r="G950" s="472"/>
      <c r="H950" s="472"/>
      <c r="I950" s="672"/>
    </row>
    <row r="951" spans="2:9" ht="15.75" customHeight="1" x14ac:dyDescent="0.25">
      <c r="B951" s="189"/>
      <c r="C951" s="189"/>
      <c r="D951" s="189"/>
      <c r="E951" s="672"/>
      <c r="F951" s="189"/>
      <c r="G951" s="472"/>
      <c r="H951" s="472"/>
      <c r="I951" s="672"/>
    </row>
    <row r="952" spans="2:9" ht="15.75" customHeight="1" x14ac:dyDescent="0.25">
      <c r="B952" s="189"/>
      <c r="C952" s="189"/>
      <c r="D952" s="189"/>
      <c r="E952" s="672"/>
      <c r="F952" s="189"/>
      <c r="G952" s="472"/>
      <c r="H952" s="472"/>
      <c r="I952" s="672"/>
    </row>
    <row r="953" spans="2:9" ht="15.75" customHeight="1" x14ac:dyDescent="0.25">
      <c r="B953" s="189"/>
      <c r="C953" s="189"/>
      <c r="D953" s="189"/>
      <c r="E953" s="672"/>
      <c r="F953" s="189"/>
      <c r="G953" s="472"/>
      <c r="H953" s="472"/>
      <c r="I953" s="672"/>
    </row>
    <row r="954" spans="2:9" ht="15.75" customHeight="1" x14ac:dyDescent="0.25">
      <c r="B954" s="189"/>
      <c r="C954" s="189"/>
      <c r="D954" s="189"/>
      <c r="E954" s="672"/>
      <c r="F954" s="189"/>
      <c r="G954" s="472"/>
      <c r="H954" s="472"/>
      <c r="I954" s="672"/>
    </row>
    <row r="955" spans="2:9" ht="15.75" customHeight="1" x14ac:dyDescent="0.25">
      <c r="B955" s="189"/>
      <c r="C955" s="189"/>
      <c r="D955" s="189"/>
      <c r="E955" s="672"/>
      <c r="F955" s="189"/>
      <c r="G955" s="472"/>
      <c r="H955" s="472"/>
      <c r="I955" s="672"/>
    </row>
    <row r="956" spans="2:9" ht="15.75" customHeight="1" x14ac:dyDescent="0.25">
      <c r="B956" s="189"/>
      <c r="C956" s="189"/>
      <c r="D956" s="189"/>
      <c r="E956" s="672"/>
      <c r="F956" s="189"/>
      <c r="G956" s="472"/>
      <c r="H956" s="472"/>
      <c r="I956" s="672"/>
    </row>
    <row r="957" spans="2:9" ht="15.75" customHeight="1" x14ac:dyDescent="0.25">
      <c r="B957" s="189"/>
      <c r="C957" s="189"/>
      <c r="D957" s="189"/>
      <c r="E957" s="672"/>
      <c r="F957" s="189"/>
      <c r="G957" s="472"/>
      <c r="H957" s="472"/>
      <c r="I957" s="672"/>
    </row>
    <row r="958" spans="2:9" ht="15.75" customHeight="1" x14ac:dyDescent="0.25">
      <c r="B958" s="189"/>
      <c r="C958" s="189"/>
      <c r="D958" s="189"/>
      <c r="E958" s="672"/>
      <c r="F958" s="189"/>
      <c r="G958" s="472"/>
      <c r="H958" s="472"/>
      <c r="I958" s="672"/>
    </row>
    <row r="959" spans="2:9" ht="15.75" customHeight="1" x14ac:dyDescent="0.25">
      <c r="B959" s="189"/>
      <c r="C959" s="189"/>
      <c r="D959" s="189"/>
      <c r="E959" s="672"/>
      <c r="F959" s="189"/>
      <c r="G959" s="472"/>
      <c r="H959" s="472"/>
      <c r="I959" s="672"/>
    </row>
    <row r="960" spans="2:9" ht="15.75" customHeight="1" x14ac:dyDescent="0.25">
      <c r="B960" s="189"/>
      <c r="C960" s="189"/>
      <c r="D960" s="189"/>
      <c r="E960" s="672"/>
      <c r="F960" s="189"/>
      <c r="G960" s="472"/>
      <c r="H960" s="472"/>
      <c r="I960" s="672"/>
    </row>
    <row r="961" spans="2:9" ht="15.75" customHeight="1" x14ac:dyDescent="0.25">
      <c r="B961" s="189"/>
      <c r="C961" s="189"/>
      <c r="D961" s="189"/>
      <c r="E961" s="672"/>
      <c r="F961" s="189"/>
      <c r="G961" s="472"/>
      <c r="H961" s="472"/>
      <c r="I961" s="672"/>
    </row>
    <row r="962" spans="2:9" ht="15.75" customHeight="1" x14ac:dyDescent="0.25">
      <c r="B962" s="189"/>
      <c r="C962" s="189"/>
      <c r="D962" s="189"/>
      <c r="E962" s="672"/>
      <c r="F962" s="189"/>
      <c r="G962" s="472"/>
      <c r="H962" s="472"/>
      <c r="I962" s="672"/>
    </row>
    <row r="963" spans="2:9" ht="15.75" customHeight="1" x14ac:dyDescent="0.25">
      <c r="B963" s="189"/>
      <c r="C963" s="189"/>
      <c r="D963" s="189"/>
      <c r="E963" s="672"/>
      <c r="F963" s="189"/>
      <c r="G963" s="472"/>
      <c r="H963" s="472"/>
      <c r="I963" s="672"/>
    </row>
    <row r="964" spans="2:9" ht="15.75" customHeight="1" x14ac:dyDescent="0.25">
      <c r="B964" s="189"/>
      <c r="C964" s="189"/>
      <c r="D964" s="189"/>
      <c r="E964" s="672"/>
      <c r="F964" s="189"/>
      <c r="G964" s="472"/>
      <c r="H964" s="472"/>
      <c r="I964" s="672"/>
    </row>
    <row r="965" spans="2:9" ht="15.75" customHeight="1" x14ac:dyDescent="0.25">
      <c r="B965" s="189"/>
      <c r="C965" s="189"/>
      <c r="D965" s="189"/>
      <c r="E965" s="672"/>
      <c r="F965" s="189"/>
      <c r="G965" s="472"/>
      <c r="H965" s="472"/>
      <c r="I965" s="672"/>
    </row>
    <row r="966" spans="2:9" ht="15.75" customHeight="1" x14ac:dyDescent="0.25">
      <c r="B966" s="189"/>
      <c r="C966" s="189"/>
      <c r="D966" s="189"/>
      <c r="E966" s="672"/>
      <c r="F966" s="189"/>
      <c r="G966" s="472"/>
      <c r="H966" s="472"/>
      <c r="I966" s="672"/>
    </row>
    <row r="967" spans="2:9" ht="15.75" customHeight="1" x14ac:dyDescent="0.25">
      <c r="B967" s="189"/>
      <c r="C967" s="189"/>
      <c r="D967" s="189"/>
      <c r="E967" s="672"/>
      <c r="F967" s="189"/>
      <c r="G967" s="472"/>
      <c r="H967" s="472"/>
      <c r="I967" s="672"/>
    </row>
    <row r="968" spans="2:9" ht="15.75" customHeight="1" x14ac:dyDescent="0.25">
      <c r="B968" s="189"/>
      <c r="C968" s="189"/>
      <c r="D968" s="189"/>
      <c r="E968" s="672"/>
      <c r="F968" s="189"/>
      <c r="G968" s="472"/>
      <c r="H968" s="472"/>
      <c r="I968" s="672"/>
    </row>
    <row r="969" spans="2:9" ht="15.75" customHeight="1" x14ac:dyDescent="0.25">
      <c r="B969" s="189"/>
      <c r="C969" s="189"/>
      <c r="D969" s="189"/>
      <c r="E969" s="672"/>
      <c r="F969" s="189"/>
      <c r="G969" s="472"/>
      <c r="H969" s="472"/>
      <c r="I969" s="672"/>
    </row>
    <row r="970" spans="2:9" ht="15.75" customHeight="1" x14ac:dyDescent="0.25">
      <c r="B970" s="189"/>
      <c r="C970" s="189"/>
      <c r="D970" s="189"/>
      <c r="E970" s="672"/>
      <c r="F970" s="189"/>
      <c r="G970" s="472"/>
      <c r="H970" s="472"/>
      <c r="I970" s="672"/>
    </row>
    <row r="971" spans="2:9" ht="15.75" customHeight="1" x14ac:dyDescent="0.25">
      <c r="B971" s="189"/>
      <c r="C971" s="189"/>
      <c r="D971" s="189"/>
      <c r="E971" s="672"/>
      <c r="F971" s="189"/>
      <c r="G971" s="472"/>
      <c r="H971" s="472"/>
      <c r="I971" s="672"/>
    </row>
    <row r="972" spans="2:9" ht="15.75" customHeight="1" x14ac:dyDescent="0.25">
      <c r="B972" s="189"/>
      <c r="C972" s="189"/>
      <c r="D972" s="189"/>
      <c r="E972" s="672"/>
      <c r="F972" s="189"/>
      <c r="G972" s="472"/>
      <c r="H972" s="472"/>
      <c r="I972" s="672"/>
    </row>
    <row r="973" spans="2:9" ht="15.75" customHeight="1" x14ac:dyDescent="0.25">
      <c r="B973" s="189"/>
      <c r="C973" s="189"/>
      <c r="D973" s="189"/>
      <c r="E973" s="672"/>
      <c r="F973" s="189"/>
      <c r="G973" s="472"/>
      <c r="H973" s="472"/>
      <c r="I973" s="672"/>
    </row>
    <row r="974" spans="2:9" ht="15.75" customHeight="1" x14ac:dyDescent="0.25">
      <c r="B974" s="189"/>
      <c r="C974" s="189"/>
      <c r="D974" s="189"/>
      <c r="E974" s="672"/>
      <c r="F974" s="189"/>
      <c r="G974" s="472"/>
      <c r="H974" s="472"/>
      <c r="I974" s="672"/>
    </row>
    <row r="975" spans="2:9" ht="15.75" customHeight="1" x14ac:dyDescent="0.25">
      <c r="B975" s="189"/>
      <c r="C975" s="189"/>
      <c r="D975" s="189"/>
      <c r="E975" s="672"/>
      <c r="F975" s="189"/>
      <c r="G975" s="472"/>
      <c r="H975" s="472"/>
      <c r="I975" s="672"/>
    </row>
    <row r="976" spans="2:9" ht="15.75" customHeight="1" x14ac:dyDescent="0.25">
      <c r="B976" s="189"/>
      <c r="C976" s="189"/>
      <c r="D976" s="189"/>
      <c r="E976" s="672"/>
      <c r="F976" s="189"/>
      <c r="G976" s="472"/>
      <c r="H976" s="472"/>
      <c r="I976" s="672"/>
    </row>
    <row r="977" spans="2:9" ht="15.75" customHeight="1" x14ac:dyDescent="0.25">
      <c r="B977" s="189"/>
      <c r="C977" s="189"/>
      <c r="D977" s="189"/>
      <c r="E977" s="672"/>
      <c r="F977" s="189"/>
      <c r="G977" s="472"/>
      <c r="H977" s="472"/>
      <c r="I977" s="672"/>
    </row>
    <row r="978" spans="2:9" ht="15.75" customHeight="1" x14ac:dyDescent="0.25">
      <c r="B978" s="189"/>
      <c r="C978" s="189"/>
      <c r="D978" s="189"/>
      <c r="E978" s="672"/>
      <c r="F978" s="189"/>
      <c r="G978" s="472"/>
      <c r="H978" s="472"/>
      <c r="I978" s="672"/>
    </row>
    <row r="979" spans="2:9" ht="15.75" customHeight="1" x14ac:dyDescent="0.25">
      <c r="B979" s="189"/>
      <c r="C979" s="189"/>
      <c r="D979" s="189"/>
      <c r="E979" s="672"/>
      <c r="F979" s="189"/>
      <c r="G979" s="472"/>
      <c r="H979" s="472"/>
      <c r="I979" s="672"/>
    </row>
    <row r="980" spans="2:9" ht="15.75" customHeight="1" x14ac:dyDescent="0.25">
      <c r="B980" s="189"/>
      <c r="C980" s="189"/>
      <c r="D980" s="189"/>
      <c r="E980" s="672"/>
      <c r="F980" s="189"/>
      <c r="G980" s="472"/>
      <c r="H980" s="472"/>
      <c r="I980" s="672"/>
    </row>
    <row r="981" spans="2:9" ht="15.75" customHeight="1" x14ac:dyDescent="0.25">
      <c r="B981" s="189"/>
      <c r="C981" s="189"/>
      <c r="D981" s="189"/>
      <c r="E981" s="672"/>
      <c r="F981" s="189"/>
      <c r="G981" s="472"/>
      <c r="H981" s="472"/>
      <c r="I981" s="672"/>
    </row>
    <row r="982" spans="2:9" ht="15.75" customHeight="1" x14ac:dyDescent="0.25">
      <c r="B982" s="189"/>
      <c r="C982" s="189"/>
      <c r="D982" s="189"/>
      <c r="E982" s="672"/>
      <c r="F982" s="189"/>
      <c r="G982" s="472"/>
      <c r="H982" s="472"/>
      <c r="I982" s="672"/>
    </row>
    <row r="983" spans="2:9" ht="15.75" customHeight="1" x14ac:dyDescent="0.25">
      <c r="B983" s="189"/>
      <c r="C983" s="189"/>
      <c r="D983" s="189"/>
      <c r="E983" s="672"/>
      <c r="F983" s="189"/>
      <c r="G983" s="472"/>
      <c r="H983" s="472"/>
      <c r="I983" s="672"/>
    </row>
    <row r="984" spans="2:9" ht="15.75" customHeight="1" x14ac:dyDescent="0.25">
      <c r="B984" s="189"/>
      <c r="C984" s="189"/>
      <c r="D984" s="189"/>
      <c r="E984" s="672"/>
      <c r="F984" s="189"/>
      <c r="G984" s="472"/>
      <c r="H984" s="472"/>
      <c r="I984" s="672"/>
    </row>
    <row r="985" spans="2:9" ht="15.75" customHeight="1" x14ac:dyDescent="0.25">
      <c r="B985" s="189"/>
      <c r="C985" s="189"/>
      <c r="D985" s="189"/>
      <c r="E985" s="672"/>
      <c r="F985" s="189"/>
      <c r="G985" s="472"/>
      <c r="H985" s="472"/>
      <c r="I985" s="672"/>
    </row>
    <row r="986" spans="2:9" ht="15.75" customHeight="1" x14ac:dyDescent="0.25">
      <c r="B986" s="189"/>
      <c r="C986" s="189"/>
      <c r="D986" s="189"/>
      <c r="E986" s="672"/>
      <c r="F986" s="189"/>
      <c r="G986" s="472"/>
      <c r="H986" s="472"/>
      <c r="I986" s="672"/>
    </row>
    <row r="987" spans="2:9" ht="15.75" customHeight="1" x14ac:dyDescent="0.25">
      <c r="B987" s="189"/>
      <c r="C987" s="189"/>
      <c r="D987" s="189"/>
      <c r="E987" s="672"/>
      <c r="F987" s="189"/>
      <c r="G987" s="472"/>
      <c r="H987" s="472"/>
      <c r="I987" s="672"/>
    </row>
    <row r="988" spans="2:9" ht="15.75" customHeight="1" x14ac:dyDescent="0.25">
      <c r="B988" s="189"/>
      <c r="C988" s="189"/>
      <c r="D988" s="189"/>
      <c r="E988" s="672"/>
      <c r="F988" s="189"/>
      <c r="G988" s="472"/>
      <c r="H988" s="472"/>
      <c r="I988" s="672"/>
    </row>
    <row r="989" spans="2:9" ht="15.75" customHeight="1" x14ac:dyDescent="0.25">
      <c r="B989" s="189"/>
      <c r="C989" s="189"/>
      <c r="D989" s="189"/>
      <c r="E989" s="672"/>
      <c r="F989" s="189"/>
      <c r="G989" s="472"/>
      <c r="H989" s="472"/>
      <c r="I989" s="672"/>
    </row>
    <row r="990" spans="2:9" ht="15.75" customHeight="1" x14ac:dyDescent="0.25">
      <c r="B990" s="189"/>
      <c r="C990" s="189"/>
      <c r="D990" s="189"/>
      <c r="E990" s="672"/>
      <c r="F990" s="189"/>
      <c r="G990" s="472"/>
      <c r="H990" s="472"/>
      <c r="I990" s="672"/>
    </row>
    <row r="991" spans="2:9" ht="15.75" customHeight="1" x14ac:dyDescent="0.25">
      <c r="B991" s="189"/>
      <c r="C991" s="189"/>
      <c r="D991" s="189"/>
      <c r="E991" s="672"/>
      <c r="F991" s="189"/>
      <c r="G991" s="472"/>
      <c r="H991" s="472"/>
      <c r="I991" s="672"/>
    </row>
    <row r="992" spans="2:9" ht="15.75" customHeight="1" x14ac:dyDescent="0.25">
      <c r="B992" s="189"/>
      <c r="C992" s="189"/>
      <c r="D992" s="189"/>
      <c r="E992" s="672"/>
      <c r="F992" s="189"/>
      <c r="G992" s="472"/>
      <c r="H992" s="472"/>
      <c r="I992" s="672"/>
    </row>
    <row r="993" spans="2:9" ht="15.75" customHeight="1" x14ac:dyDescent="0.25">
      <c r="B993" s="189"/>
      <c r="C993" s="189"/>
      <c r="D993" s="189"/>
      <c r="E993" s="672"/>
      <c r="F993" s="189"/>
      <c r="G993" s="472"/>
      <c r="H993" s="472"/>
      <c r="I993" s="672"/>
    </row>
    <row r="994" spans="2:9" ht="15.75" customHeight="1" x14ac:dyDescent="0.25">
      <c r="B994" s="189"/>
      <c r="C994" s="189"/>
      <c r="D994" s="189"/>
      <c r="E994" s="672"/>
      <c r="F994" s="189"/>
      <c r="G994" s="472"/>
      <c r="H994" s="472"/>
      <c r="I994" s="672"/>
    </row>
    <row r="995" spans="2:9" ht="15.75" customHeight="1" x14ac:dyDescent="0.25">
      <c r="B995" s="189"/>
      <c r="C995" s="189"/>
      <c r="D995" s="189"/>
      <c r="E995" s="672"/>
      <c r="F995" s="189"/>
      <c r="G995" s="472"/>
      <c r="H995" s="472"/>
      <c r="I995" s="672"/>
    </row>
    <row r="996" spans="2:9" ht="15.75" customHeight="1" x14ac:dyDescent="0.25">
      <c r="B996" s="189"/>
      <c r="C996" s="189"/>
      <c r="D996" s="189"/>
      <c r="E996" s="672"/>
      <c r="F996" s="189"/>
      <c r="G996" s="472"/>
      <c r="H996" s="472"/>
      <c r="I996" s="672"/>
    </row>
    <row r="997" spans="2:9" ht="15.75" customHeight="1" x14ac:dyDescent="0.25">
      <c r="B997" s="189"/>
      <c r="C997" s="189"/>
      <c r="D997" s="189"/>
      <c r="E997" s="672"/>
      <c r="F997" s="189"/>
      <c r="G997" s="472"/>
      <c r="H997" s="472"/>
      <c r="I997" s="672"/>
    </row>
    <row r="998" spans="2:9" ht="15.75" customHeight="1" x14ac:dyDescent="0.25">
      <c r="B998" s="189"/>
      <c r="C998" s="189"/>
      <c r="D998" s="189"/>
      <c r="E998" s="672"/>
      <c r="F998" s="189"/>
      <c r="G998" s="472"/>
      <c r="H998" s="472"/>
      <c r="I998" s="672"/>
    </row>
    <row r="999" spans="2:9" ht="15.75" customHeight="1" x14ac:dyDescent="0.25">
      <c r="B999" s="189"/>
      <c r="C999" s="189"/>
      <c r="D999" s="189"/>
      <c r="E999" s="672"/>
      <c r="F999" s="189"/>
      <c r="G999" s="472"/>
      <c r="H999" s="472"/>
      <c r="I999" s="672"/>
    </row>
    <row r="1000" spans="2:9" ht="15.75" customHeight="1" x14ac:dyDescent="0.25">
      <c r="B1000" s="189"/>
      <c r="C1000" s="189"/>
      <c r="D1000" s="189"/>
      <c r="E1000" s="672"/>
      <c r="F1000" s="189"/>
      <c r="G1000" s="472"/>
      <c r="H1000" s="472"/>
      <c r="I1000" s="672"/>
    </row>
  </sheetData>
  <autoFilter ref="C28:I197" xr:uid="{00000000-0009-0000-0000-00000D000000}">
    <filterColumn colId="2">
      <filters>
        <filter val="ABRAÇADEIRA TIPO PORTA BANDEIRA REFORÇADA"/>
        <filter val="Armário/gabinete embutido em MDF sob medida, revestido em laminado melamínico, com portas, prateleiras e ferragens - instalado"/>
        <filter val="Fechadura tipo bico de papagaio, para porta de correr, inclusive concha em latão, da IMAB, ref.: FA1352I310S00 ou similar) un"/>
        <filter val="Porta corta-fogo em aço galvanizada P.90, com barra antipânico numa face e maçaneta na outra, completa; ref. Authentic ou equivalente"/>
        <filter val="Porta em madeira compensada canela, lisa, semi-oca - 90 x (180 a 210) x 3,5cm un"/>
        <filter val="Porta em madeira de lei muiracatiara maciça"/>
        <filter val="PORTA/PORTAO EM ALUMINIO (1 FOLHA) DE ABRIR C/FERRAGENS"/>
        <filter val="Rack fechado de piso padrão metálico, 19 x 44 Us x 770 mm, porta com visor em acrílico/vidro; ref. Bihouse Racks, APL Racks, Pier Telecom ou equivalente"/>
        <filter val="SWITCH 24 PORTAS 10/100/1000, MARCA HP , REF. J9561 BR"/>
      </filters>
    </filterColumn>
  </autoFilter>
  <conditionalFormatting sqref="E46 G46">
    <cfRule type="cellIs" dxfId="18" priority="2" operator="equal">
      <formula>"INSERIR CÓDIGO!"</formula>
    </cfRule>
  </conditionalFormatting>
  <conditionalFormatting sqref="E48 G48">
    <cfRule type="cellIs" dxfId="17" priority="3" operator="equal">
      <formula>"INSERIR CÓDIGO!"</formula>
    </cfRule>
  </conditionalFormatting>
  <conditionalFormatting sqref="E60 G60">
    <cfRule type="cellIs" dxfId="16" priority="4" operator="equal">
      <formula>"INSERIR CÓDIGO!"</formula>
    </cfRule>
  </conditionalFormatting>
  <conditionalFormatting sqref="E62 G62">
    <cfRule type="cellIs" dxfId="15" priority="5" operator="equal">
      <formula>"INSERIR CÓDIGO!"</formula>
    </cfRule>
  </conditionalFormatting>
  <conditionalFormatting sqref="E81 G81">
    <cfRule type="cellIs" dxfId="14" priority="6" operator="equal">
      <formula>"INSERIR CÓDIGO!"</formula>
    </cfRule>
  </conditionalFormatting>
  <conditionalFormatting sqref="E83 G83">
    <cfRule type="cellIs" dxfId="13" priority="7" operator="equal">
      <formula>"INSERIR CÓDIGO!"</formula>
    </cfRule>
  </conditionalFormatting>
  <conditionalFormatting sqref="E94:E95 G94:G95">
    <cfRule type="cellIs" dxfId="12" priority="8" operator="equal">
      <formula>"INSERIR CÓDIGO!"</formula>
    </cfRule>
  </conditionalFormatting>
  <conditionalFormatting sqref="E141 G141">
    <cfRule type="cellIs" dxfId="11" priority="9" operator="equal">
      <formula>"INSERIR CÓDIGO!"</formula>
    </cfRule>
  </conditionalFormatting>
  <conditionalFormatting sqref="E167 G167">
    <cfRule type="cellIs" dxfId="10" priority="10" operator="equal">
      <formula>"INSERIR CÓDIGO!"</formula>
    </cfRule>
  </conditionalFormatting>
  <conditionalFormatting sqref="E53:G53">
    <cfRule type="cellIs" dxfId="9" priority="11" operator="equal">
      <formula>"INSERIR CÓDIGO!"</formula>
    </cfRule>
  </conditionalFormatting>
  <conditionalFormatting sqref="E66:G66">
    <cfRule type="cellIs" dxfId="8" priority="12" operator="equal">
      <formula>"INSERIR CÓDIGO!"</formula>
    </cfRule>
  </conditionalFormatting>
  <conditionalFormatting sqref="E77:G77">
    <cfRule type="cellIs" dxfId="7" priority="13" operator="equal">
      <formula>"INSERIR CÓDIGO!"</formula>
    </cfRule>
  </conditionalFormatting>
  <conditionalFormatting sqref="E134:G134">
    <cfRule type="cellIs" dxfId="6" priority="14" operator="equal">
      <formula>"INSERIR CÓDIGO!"</formula>
    </cfRule>
  </conditionalFormatting>
  <conditionalFormatting sqref="E147:G147">
    <cfRule type="cellIs" dxfId="5" priority="15" operator="equal">
      <formula>"INSERIR CÓDIGO!"</formula>
    </cfRule>
  </conditionalFormatting>
  <conditionalFormatting sqref="E157:G157">
    <cfRule type="cellIs" dxfId="4" priority="16" operator="equal">
      <formula>"INSERIR CÓDIGO!"</formula>
    </cfRule>
  </conditionalFormatting>
  <conditionalFormatting sqref="E161:G161">
    <cfRule type="cellIs" dxfId="3" priority="17" operator="equal">
      <formula>"INSERIR CÓDIGO!"</formula>
    </cfRule>
  </conditionalFormatting>
  <conditionalFormatting sqref="E172:G172 E173 G173">
    <cfRule type="cellIs" dxfId="2" priority="18" operator="equal">
      <formula>"INSERIR CÓDIGO!"</formula>
    </cfRule>
  </conditionalFormatting>
  <conditionalFormatting sqref="E183:G186 E187:E188 G187:G188 E189:G189">
    <cfRule type="cellIs" dxfId="1" priority="19" operator="equal">
      <formula>"INSERIR CÓDIGO!"</formula>
    </cfRule>
  </conditionalFormatting>
  <conditionalFormatting sqref="E191:G191">
    <cfRule type="cellIs" dxfId="0" priority="20" operator="equal">
      <formula>"INSERIR CÓDIGO!"</formula>
    </cfRule>
  </conditionalFormatting>
  <pageMargins left="0.51180555555555596" right="0.51180555555555596" top="0.78749999999999998" bottom="0.78749999999999998" header="0.511811023622047" footer="0.511811023622047"/>
  <pageSetup paperSize="9" orientation="portrait"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filterMode="1"/>
  <dimension ref="B1:F4845"/>
  <sheetViews>
    <sheetView view="pageBreakPreview" zoomScale="62" zoomScaleNormal="100" zoomScalePageLayoutView="62" workbookViewId="0"/>
  </sheetViews>
  <sheetFormatPr defaultColWidth="14.42578125" defaultRowHeight="15" x14ac:dyDescent="0.25"/>
  <cols>
    <col min="1" max="1" width="8.7109375" customWidth="1"/>
    <col min="2" max="2" width="17.7109375" customWidth="1"/>
    <col min="3" max="3" width="14.7109375" customWidth="1"/>
    <col min="4" max="4" width="104.85546875" customWidth="1"/>
    <col min="5" max="5" width="10.7109375" customWidth="1"/>
    <col min="6" max="6" width="16.7109375" customWidth="1"/>
  </cols>
  <sheetData>
    <row r="1" spans="2:6" x14ac:dyDescent="0.25">
      <c r="B1" s="24" t="s">
        <v>14042</v>
      </c>
      <c r="D1" s="673"/>
    </row>
    <row r="2" spans="2:6" x14ac:dyDescent="0.25">
      <c r="B2" s="12" t="s">
        <v>14043</v>
      </c>
      <c r="D2" s="673"/>
    </row>
    <row r="3" spans="2:6" x14ac:dyDescent="0.25">
      <c r="B3" s="12" t="s">
        <v>14044</v>
      </c>
      <c r="C3" s="25" t="s">
        <v>14045</v>
      </c>
      <c r="D3" s="673"/>
      <c r="E3" s="674" t="s">
        <v>14046</v>
      </c>
    </row>
    <row r="4" spans="2:6" x14ac:dyDescent="0.25">
      <c r="B4" s="12" t="s">
        <v>14047</v>
      </c>
      <c r="C4" s="25" t="s">
        <v>14048</v>
      </c>
      <c r="D4" s="673"/>
      <c r="E4" s="675" t="s">
        <v>14049</v>
      </c>
      <c r="F4" s="676" t="s">
        <v>14050</v>
      </c>
    </row>
    <row r="5" spans="2:6" ht="25.5" x14ac:dyDescent="0.25">
      <c r="D5" s="673"/>
      <c r="E5" s="676" t="s">
        <v>14051</v>
      </c>
      <c r="F5" s="13" t="s">
        <v>14052</v>
      </c>
    </row>
    <row r="6" spans="2:6" x14ac:dyDescent="0.25">
      <c r="B6" s="24" t="s">
        <v>14053</v>
      </c>
      <c r="C6" s="12" t="s">
        <v>14054</v>
      </c>
      <c r="D6" s="677" t="s">
        <v>14055</v>
      </c>
      <c r="E6" s="676" t="s">
        <v>14056</v>
      </c>
      <c r="F6" s="678">
        <v>1.1548</v>
      </c>
    </row>
    <row r="7" spans="2:6" x14ac:dyDescent="0.25">
      <c r="B7" s="918" t="s">
        <v>14057</v>
      </c>
      <c r="C7" s="918"/>
      <c r="D7" s="918"/>
      <c r="E7" s="676" t="s">
        <v>14058</v>
      </c>
      <c r="F7" s="678">
        <v>0.71540000000000004</v>
      </c>
    </row>
    <row r="8" spans="2:6" x14ac:dyDescent="0.25">
      <c r="D8" s="673"/>
    </row>
    <row r="9" spans="2:6" x14ac:dyDescent="0.25">
      <c r="B9" s="679" t="s">
        <v>14059</v>
      </c>
      <c r="D9" s="673"/>
    </row>
    <row r="10" spans="2:6" ht="25.5" x14ac:dyDescent="0.25">
      <c r="B10" s="676" t="s">
        <v>14060</v>
      </c>
      <c r="C10" s="676" t="s">
        <v>14061</v>
      </c>
      <c r="D10" s="680" t="s">
        <v>14062</v>
      </c>
      <c r="E10" s="676" t="s">
        <v>14063</v>
      </c>
      <c r="F10" s="676" t="s">
        <v>14050</v>
      </c>
    </row>
    <row r="11" spans="2:6" hidden="1" x14ac:dyDescent="0.25">
      <c r="B11" s="13" t="s">
        <v>556</v>
      </c>
      <c r="C11" s="13" t="s">
        <v>14064</v>
      </c>
      <c r="D11" s="12" t="s">
        <v>8534</v>
      </c>
      <c r="E11" s="13" t="s">
        <v>823</v>
      </c>
      <c r="F11" s="681">
        <v>104.5</v>
      </c>
    </row>
    <row r="12" spans="2:6" hidden="1" x14ac:dyDescent="0.25">
      <c r="B12" s="13" t="s">
        <v>556</v>
      </c>
      <c r="C12" s="13" t="s">
        <v>14065</v>
      </c>
      <c r="D12" s="12" t="s">
        <v>8585</v>
      </c>
      <c r="E12" s="13" t="s">
        <v>580</v>
      </c>
      <c r="F12" s="681">
        <v>44.02</v>
      </c>
    </row>
    <row r="13" spans="2:6" hidden="1" x14ac:dyDescent="0.25">
      <c r="B13" s="13" t="s">
        <v>556</v>
      </c>
      <c r="C13" s="13" t="s">
        <v>14066</v>
      </c>
      <c r="D13" s="12" t="s">
        <v>9135</v>
      </c>
      <c r="E13" s="13" t="s">
        <v>585</v>
      </c>
      <c r="F13" s="681">
        <v>186.8</v>
      </c>
    </row>
    <row r="14" spans="2:6" hidden="1" x14ac:dyDescent="0.25">
      <c r="B14" s="13" t="s">
        <v>556</v>
      </c>
      <c r="C14" s="13" t="s">
        <v>14067</v>
      </c>
      <c r="D14" s="12" t="s">
        <v>9139</v>
      </c>
      <c r="E14" s="13" t="s">
        <v>585</v>
      </c>
      <c r="F14" s="681">
        <v>322.06</v>
      </c>
    </row>
    <row r="15" spans="2:6" hidden="1" x14ac:dyDescent="0.25">
      <c r="B15" s="13" t="s">
        <v>556</v>
      </c>
      <c r="C15" s="13" t="s">
        <v>14068</v>
      </c>
      <c r="D15" s="12" t="s">
        <v>9151</v>
      </c>
      <c r="E15" s="13" t="s">
        <v>585</v>
      </c>
      <c r="F15" s="681">
        <v>210.57</v>
      </c>
    </row>
    <row r="16" spans="2:6" hidden="1" x14ac:dyDescent="0.25">
      <c r="B16" s="13" t="s">
        <v>556</v>
      </c>
      <c r="C16" s="13" t="s">
        <v>14069</v>
      </c>
      <c r="D16" s="12" t="s">
        <v>9148</v>
      </c>
      <c r="E16" s="13" t="s">
        <v>585</v>
      </c>
      <c r="F16" s="681">
        <v>127.19</v>
      </c>
    </row>
    <row r="17" spans="2:6" hidden="1" x14ac:dyDescent="0.25">
      <c r="B17" s="13" t="s">
        <v>556</v>
      </c>
      <c r="C17" s="13" t="s">
        <v>14070</v>
      </c>
      <c r="D17" s="12" t="s">
        <v>9155</v>
      </c>
      <c r="E17" s="13" t="s">
        <v>585</v>
      </c>
      <c r="F17" s="681">
        <v>49.85</v>
      </c>
    </row>
    <row r="18" spans="2:6" hidden="1" x14ac:dyDescent="0.25">
      <c r="B18" s="13" t="s">
        <v>556</v>
      </c>
      <c r="C18" s="13" t="s">
        <v>14071</v>
      </c>
      <c r="D18" s="12" t="s">
        <v>9156</v>
      </c>
      <c r="E18" s="13" t="s">
        <v>585</v>
      </c>
      <c r="F18" s="681">
        <v>6.33</v>
      </c>
    </row>
    <row r="19" spans="2:6" hidden="1" x14ac:dyDescent="0.25">
      <c r="B19" s="13" t="s">
        <v>556</v>
      </c>
      <c r="C19" s="13" t="s">
        <v>14072</v>
      </c>
      <c r="D19" s="12" t="s">
        <v>9113</v>
      </c>
      <c r="E19" s="13" t="s">
        <v>585</v>
      </c>
      <c r="F19" s="681">
        <v>0.94</v>
      </c>
    </row>
    <row r="20" spans="2:6" hidden="1" x14ac:dyDescent="0.25">
      <c r="B20" s="13" t="s">
        <v>556</v>
      </c>
      <c r="C20" s="13" t="s">
        <v>14073</v>
      </c>
      <c r="D20" s="12" t="s">
        <v>9115</v>
      </c>
      <c r="E20" s="13" t="s">
        <v>585</v>
      </c>
      <c r="F20" s="681">
        <v>1.49</v>
      </c>
    </row>
    <row r="21" spans="2:6" ht="15.75" hidden="1" customHeight="1" x14ac:dyDescent="0.25">
      <c r="B21" s="13" t="s">
        <v>556</v>
      </c>
      <c r="C21" s="13" t="s">
        <v>14074</v>
      </c>
      <c r="D21" s="12" t="s">
        <v>9121</v>
      </c>
      <c r="E21" s="13" t="s">
        <v>585</v>
      </c>
      <c r="F21" s="681">
        <v>2.36</v>
      </c>
    </row>
    <row r="22" spans="2:6" ht="15.75" hidden="1" customHeight="1" x14ac:dyDescent="0.25">
      <c r="B22" s="13" t="s">
        <v>556</v>
      </c>
      <c r="C22" s="13" t="s">
        <v>14075</v>
      </c>
      <c r="D22" s="12" t="s">
        <v>9137</v>
      </c>
      <c r="E22" s="13" t="s">
        <v>585</v>
      </c>
      <c r="F22" s="681">
        <v>248.22</v>
      </c>
    </row>
    <row r="23" spans="2:6" ht="15.75" hidden="1" customHeight="1" x14ac:dyDescent="0.25">
      <c r="B23" s="13" t="s">
        <v>556</v>
      </c>
      <c r="C23" s="13" t="s">
        <v>14076</v>
      </c>
      <c r="D23" s="12" t="s">
        <v>9132</v>
      </c>
      <c r="E23" s="13" t="s">
        <v>585</v>
      </c>
      <c r="F23" s="681">
        <v>125.52</v>
      </c>
    </row>
    <row r="24" spans="2:6" ht="15.75" hidden="1" customHeight="1" x14ac:dyDescent="0.25">
      <c r="B24" s="13" t="s">
        <v>556</v>
      </c>
      <c r="C24" s="13" t="s">
        <v>14077</v>
      </c>
      <c r="D24" s="12" t="s">
        <v>9143</v>
      </c>
      <c r="E24" s="13" t="s">
        <v>585</v>
      </c>
      <c r="F24" s="681">
        <v>52.85</v>
      </c>
    </row>
    <row r="25" spans="2:6" ht="15.75" hidden="1" customHeight="1" x14ac:dyDescent="0.25">
      <c r="B25" s="13" t="s">
        <v>556</v>
      </c>
      <c r="C25" s="13" t="s">
        <v>14078</v>
      </c>
      <c r="D25" s="12" t="s">
        <v>9140</v>
      </c>
      <c r="E25" s="13" t="s">
        <v>585</v>
      </c>
      <c r="F25" s="681">
        <v>35.74</v>
      </c>
    </row>
    <row r="26" spans="2:6" ht="15.75" hidden="1" customHeight="1" x14ac:dyDescent="0.25">
      <c r="B26" s="13" t="s">
        <v>556</v>
      </c>
      <c r="C26" s="13" t="s">
        <v>14079</v>
      </c>
      <c r="D26" s="12" t="s">
        <v>8575</v>
      </c>
      <c r="E26" s="13" t="s">
        <v>580</v>
      </c>
      <c r="F26" s="681">
        <v>25.75</v>
      </c>
    </row>
    <row r="27" spans="2:6" ht="15.75" hidden="1" customHeight="1" x14ac:dyDescent="0.25">
      <c r="B27" s="13" t="s">
        <v>556</v>
      </c>
      <c r="C27" s="13" t="s">
        <v>14080</v>
      </c>
      <c r="D27" s="12" t="s">
        <v>9131</v>
      </c>
      <c r="E27" s="13" t="s">
        <v>585</v>
      </c>
      <c r="F27" s="681">
        <v>10.24</v>
      </c>
    </row>
    <row r="28" spans="2:6" ht="15.75" hidden="1" customHeight="1" x14ac:dyDescent="0.25">
      <c r="B28" s="13" t="s">
        <v>556</v>
      </c>
      <c r="C28" s="13" t="s">
        <v>14081</v>
      </c>
      <c r="D28" s="12" t="s">
        <v>9141</v>
      </c>
      <c r="E28" s="13" t="s">
        <v>585</v>
      </c>
      <c r="F28" s="681">
        <v>4.3</v>
      </c>
    </row>
    <row r="29" spans="2:6" ht="15.75" hidden="1" customHeight="1" x14ac:dyDescent="0.25">
      <c r="B29" s="13" t="s">
        <v>556</v>
      </c>
      <c r="C29" s="13" t="s">
        <v>14082</v>
      </c>
      <c r="D29" s="12" t="s">
        <v>9136</v>
      </c>
      <c r="E29" s="13" t="s">
        <v>585</v>
      </c>
      <c r="F29" s="681">
        <v>2.8</v>
      </c>
    </row>
    <row r="30" spans="2:6" ht="15.75" hidden="1" customHeight="1" x14ac:dyDescent="0.25">
      <c r="B30" s="13" t="s">
        <v>556</v>
      </c>
      <c r="C30" s="13" t="s">
        <v>14083</v>
      </c>
      <c r="D30" s="12" t="s">
        <v>11809</v>
      </c>
      <c r="E30" s="13" t="s">
        <v>580</v>
      </c>
      <c r="F30" s="681">
        <v>360.99</v>
      </c>
    </row>
    <row r="31" spans="2:6" ht="15.75" hidden="1" customHeight="1" x14ac:dyDescent="0.25">
      <c r="B31" s="13" t="s">
        <v>556</v>
      </c>
      <c r="C31" s="13" t="s">
        <v>14084</v>
      </c>
      <c r="D31" s="12" t="s">
        <v>14085</v>
      </c>
      <c r="E31" s="13" t="s">
        <v>580</v>
      </c>
      <c r="F31" s="681">
        <v>81.489999999999995</v>
      </c>
    </row>
    <row r="32" spans="2:6" ht="15.75" hidden="1" customHeight="1" x14ac:dyDescent="0.25">
      <c r="B32" s="13" t="s">
        <v>556</v>
      </c>
      <c r="C32" s="13" t="s">
        <v>14086</v>
      </c>
      <c r="D32" s="12" t="s">
        <v>14087</v>
      </c>
      <c r="E32" s="13" t="s">
        <v>580</v>
      </c>
      <c r="F32" s="681">
        <v>996.9</v>
      </c>
    </row>
    <row r="33" spans="2:6" ht="15.75" hidden="1" customHeight="1" x14ac:dyDescent="0.25">
      <c r="B33" s="13" t="s">
        <v>556</v>
      </c>
      <c r="C33" s="13" t="s">
        <v>14088</v>
      </c>
      <c r="D33" s="12" t="s">
        <v>14089</v>
      </c>
      <c r="E33" s="13" t="s">
        <v>580</v>
      </c>
      <c r="F33" s="681">
        <v>413.2</v>
      </c>
    </row>
    <row r="34" spans="2:6" ht="15.75" hidden="1" customHeight="1" x14ac:dyDescent="0.25">
      <c r="B34" s="13" t="s">
        <v>556</v>
      </c>
      <c r="C34" s="13" t="s">
        <v>14090</v>
      </c>
      <c r="D34" s="12" t="s">
        <v>14091</v>
      </c>
      <c r="E34" s="13" t="s">
        <v>580</v>
      </c>
      <c r="F34" s="681">
        <v>231.22</v>
      </c>
    </row>
    <row r="35" spans="2:6" ht="15.75" hidden="1" customHeight="1" x14ac:dyDescent="0.25">
      <c r="B35" s="13" t="s">
        <v>556</v>
      </c>
      <c r="C35" s="13" t="s">
        <v>14092</v>
      </c>
      <c r="D35" s="12" t="s">
        <v>14093</v>
      </c>
      <c r="E35" s="13" t="s">
        <v>580</v>
      </c>
      <c r="F35" s="681">
        <v>143.04</v>
      </c>
    </row>
    <row r="36" spans="2:6" ht="15.75" hidden="1" customHeight="1" x14ac:dyDescent="0.25">
      <c r="B36" s="13" t="s">
        <v>556</v>
      </c>
      <c r="C36" s="13" t="s">
        <v>14094</v>
      </c>
      <c r="D36" s="12" t="s">
        <v>14095</v>
      </c>
      <c r="E36" s="13" t="s">
        <v>580</v>
      </c>
      <c r="F36" s="681">
        <v>90.11</v>
      </c>
    </row>
    <row r="37" spans="2:6" ht="15.75" hidden="1" customHeight="1" x14ac:dyDescent="0.25">
      <c r="B37" s="13" t="s">
        <v>556</v>
      </c>
      <c r="C37" s="13" t="s">
        <v>14096</v>
      </c>
      <c r="D37" s="12" t="s">
        <v>14097</v>
      </c>
      <c r="E37" s="13" t="s">
        <v>580</v>
      </c>
      <c r="F37" s="681">
        <v>566.45000000000005</v>
      </c>
    </row>
    <row r="38" spans="2:6" ht="15.75" hidden="1" customHeight="1" x14ac:dyDescent="0.25">
      <c r="B38" s="13" t="s">
        <v>556</v>
      </c>
      <c r="C38" s="13" t="s">
        <v>14098</v>
      </c>
      <c r="D38" s="12" t="s">
        <v>14099</v>
      </c>
      <c r="E38" s="13" t="s">
        <v>580</v>
      </c>
      <c r="F38" s="681">
        <v>152.63999999999999</v>
      </c>
    </row>
    <row r="39" spans="2:6" ht="15.75" hidden="1" customHeight="1" x14ac:dyDescent="0.25">
      <c r="B39" s="13" t="s">
        <v>556</v>
      </c>
      <c r="C39" s="13" t="s">
        <v>14100</v>
      </c>
      <c r="D39" s="12" t="s">
        <v>8565</v>
      </c>
      <c r="E39" s="13" t="s">
        <v>580</v>
      </c>
      <c r="F39" s="681">
        <v>41.56</v>
      </c>
    </row>
    <row r="40" spans="2:6" ht="15.75" hidden="1" customHeight="1" x14ac:dyDescent="0.25">
      <c r="B40" s="13" t="s">
        <v>556</v>
      </c>
      <c r="C40" s="13" t="s">
        <v>14101</v>
      </c>
      <c r="D40" s="12" t="s">
        <v>9237</v>
      </c>
      <c r="E40" s="13" t="s">
        <v>580</v>
      </c>
      <c r="F40" s="681">
        <v>49.99</v>
      </c>
    </row>
    <row r="41" spans="2:6" ht="15.75" hidden="1" customHeight="1" x14ac:dyDescent="0.25">
      <c r="B41" s="13" t="s">
        <v>556</v>
      </c>
      <c r="C41" s="13" t="s">
        <v>14102</v>
      </c>
      <c r="D41" s="12" t="s">
        <v>11716</v>
      </c>
      <c r="E41" s="13" t="s">
        <v>580</v>
      </c>
      <c r="F41" s="681">
        <v>15.15</v>
      </c>
    </row>
    <row r="42" spans="2:6" ht="15.75" hidden="1" customHeight="1" x14ac:dyDescent="0.25">
      <c r="B42" s="13" t="s">
        <v>556</v>
      </c>
      <c r="C42" s="13" t="s">
        <v>14103</v>
      </c>
      <c r="D42" s="12" t="s">
        <v>8574</v>
      </c>
      <c r="E42" s="13" t="s">
        <v>580</v>
      </c>
      <c r="F42" s="681">
        <v>18.68</v>
      </c>
    </row>
    <row r="43" spans="2:6" ht="15.75" hidden="1" customHeight="1" x14ac:dyDescent="0.25">
      <c r="B43" s="13" t="s">
        <v>556</v>
      </c>
      <c r="C43" s="13" t="s">
        <v>14104</v>
      </c>
      <c r="D43" s="12" t="s">
        <v>14105</v>
      </c>
      <c r="E43" s="13" t="s">
        <v>580</v>
      </c>
      <c r="F43" s="681">
        <v>107.48</v>
      </c>
    </row>
    <row r="44" spans="2:6" ht="15.75" hidden="1" customHeight="1" x14ac:dyDescent="0.25">
      <c r="B44" s="13" t="s">
        <v>556</v>
      </c>
      <c r="C44" s="13" t="s">
        <v>14106</v>
      </c>
      <c r="D44" s="12" t="s">
        <v>14107</v>
      </c>
      <c r="E44" s="13" t="s">
        <v>580</v>
      </c>
      <c r="F44" s="681">
        <v>593.37</v>
      </c>
    </row>
    <row r="45" spans="2:6" ht="15.75" hidden="1" customHeight="1" x14ac:dyDescent="0.25">
      <c r="B45" s="13" t="s">
        <v>556</v>
      </c>
      <c r="C45" s="13" t="s">
        <v>14108</v>
      </c>
      <c r="D45" s="12" t="s">
        <v>14109</v>
      </c>
      <c r="E45" s="13" t="s">
        <v>580</v>
      </c>
      <c r="F45" s="681">
        <v>819.57</v>
      </c>
    </row>
    <row r="46" spans="2:6" ht="15.75" hidden="1" customHeight="1" x14ac:dyDescent="0.25">
      <c r="B46" s="13" t="s">
        <v>556</v>
      </c>
      <c r="C46" s="13" t="s">
        <v>14110</v>
      </c>
      <c r="D46" s="12" t="s">
        <v>14111</v>
      </c>
      <c r="E46" s="13" t="s">
        <v>580</v>
      </c>
      <c r="F46" s="681">
        <v>1271.1600000000001</v>
      </c>
    </row>
    <row r="47" spans="2:6" ht="15.75" hidden="1" customHeight="1" x14ac:dyDescent="0.25">
      <c r="B47" s="13" t="s">
        <v>556</v>
      </c>
      <c r="C47" s="13" t="s">
        <v>14112</v>
      </c>
      <c r="D47" s="12" t="s">
        <v>14113</v>
      </c>
      <c r="E47" s="13" t="s">
        <v>580</v>
      </c>
      <c r="F47" s="681">
        <v>414.94</v>
      </c>
    </row>
    <row r="48" spans="2:6" ht="15.75" hidden="1" customHeight="1" x14ac:dyDescent="0.25">
      <c r="B48" s="13" t="s">
        <v>556</v>
      </c>
      <c r="C48" s="13" t="s">
        <v>14114</v>
      </c>
      <c r="D48" s="12" t="s">
        <v>14115</v>
      </c>
      <c r="E48" s="13" t="s">
        <v>580</v>
      </c>
      <c r="F48" s="681">
        <v>296.17</v>
      </c>
    </row>
    <row r="49" spans="2:6" ht="15.75" hidden="1" customHeight="1" x14ac:dyDescent="0.25">
      <c r="B49" s="13" t="s">
        <v>556</v>
      </c>
      <c r="C49" s="13" t="s">
        <v>14116</v>
      </c>
      <c r="D49" s="12" t="s">
        <v>14117</v>
      </c>
      <c r="E49" s="13" t="s">
        <v>580</v>
      </c>
      <c r="F49" s="681">
        <v>177.03</v>
      </c>
    </row>
    <row r="50" spans="2:6" ht="15.75" hidden="1" customHeight="1" x14ac:dyDescent="0.25">
      <c r="B50" s="13" t="s">
        <v>556</v>
      </c>
      <c r="C50" s="13" t="s">
        <v>14118</v>
      </c>
      <c r="D50" s="12" t="s">
        <v>14119</v>
      </c>
      <c r="E50" s="13" t="s">
        <v>580</v>
      </c>
      <c r="F50" s="681">
        <v>265.01</v>
      </c>
    </row>
    <row r="51" spans="2:6" ht="15.75" hidden="1" customHeight="1" x14ac:dyDescent="0.25">
      <c r="B51" s="13" t="s">
        <v>556</v>
      </c>
      <c r="C51" s="13" t="s">
        <v>14120</v>
      </c>
      <c r="D51" s="12" t="s">
        <v>14121</v>
      </c>
      <c r="E51" s="13" t="s">
        <v>580</v>
      </c>
      <c r="F51" s="681">
        <v>130.25</v>
      </c>
    </row>
    <row r="52" spans="2:6" ht="15.75" hidden="1" customHeight="1" x14ac:dyDescent="0.25">
      <c r="B52" s="13" t="s">
        <v>556</v>
      </c>
      <c r="C52" s="13" t="s">
        <v>14122</v>
      </c>
      <c r="D52" s="12" t="s">
        <v>14123</v>
      </c>
      <c r="E52" s="13" t="s">
        <v>580</v>
      </c>
      <c r="F52" s="681">
        <v>83.5</v>
      </c>
    </row>
    <row r="53" spans="2:6" ht="15.75" hidden="1" customHeight="1" x14ac:dyDescent="0.25">
      <c r="B53" s="13" t="s">
        <v>556</v>
      </c>
      <c r="C53" s="13" t="s">
        <v>14124</v>
      </c>
      <c r="D53" s="12" t="s">
        <v>14125</v>
      </c>
      <c r="E53" s="13" t="s">
        <v>580</v>
      </c>
      <c r="F53" s="681">
        <v>502.71</v>
      </c>
    </row>
    <row r="54" spans="2:6" ht="15.75" hidden="1" customHeight="1" x14ac:dyDescent="0.25">
      <c r="B54" s="13" t="s">
        <v>556</v>
      </c>
      <c r="C54" s="13" t="s">
        <v>14126</v>
      </c>
      <c r="D54" s="12" t="s">
        <v>14127</v>
      </c>
      <c r="E54" s="13" t="s">
        <v>580</v>
      </c>
      <c r="F54" s="681">
        <v>872.48</v>
      </c>
    </row>
    <row r="55" spans="2:6" ht="15.75" hidden="1" customHeight="1" x14ac:dyDescent="0.25">
      <c r="B55" s="13" t="s">
        <v>556</v>
      </c>
      <c r="C55" s="13" t="s">
        <v>14128</v>
      </c>
      <c r="D55" s="12" t="s">
        <v>14129</v>
      </c>
      <c r="E55" s="13" t="s">
        <v>580</v>
      </c>
      <c r="F55" s="681">
        <v>157.66999999999999</v>
      </c>
    </row>
    <row r="56" spans="2:6" ht="15.75" hidden="1" customHeight="1" x14ac:dyDescent="0.25">
      <c r="B56" s="13" t="s">
        <v>556</v>
      </c>
      <c r="C56" s="13" t="s">
        <v>14130</v>
      </c>
      <c r="D56" s="12" t="s">
        <v>14131</v>
      </c>
      <c r="E56" s="13" t="s">
        <v>580</v>
      </c>
      <c r="F56" s="681">
        <v>229.74</v>
      </c>
    </row>
    <row r="57" spans="2:6" ht="15.75" hidden="1" customHeight="1" x14ac:dyDescent="0.25">
      <c r="B57" s="13" t="s">
        <v>556</v>
      </c>
      <c r="C57" s="13" t="s">
        <v>14132</v>
      </c>
      <c r="D57" s="12" t="s">
        <v>14133</v>
      </c>
      <c r="E57" s="13" t="s">
        <v>580</v>
      </c>
      <c r="F57" s="681">
        <v>91.23</v>
      </c>
    </row>
    <row r="58" spans="2:6" ht="15.75" hidden="1" customHeight="1" x14ac:dyDescent="0.25">
      <c r="B58" s="13" t="s">
        <v>556</v>
      </c>
      <c r="C58" s="13" t="s">
        <v>14134</v>
      </c>
      <c r="D58" s="12" t="s">
        <v>14135</v>
      </c>
      <c r="E58" s="13" t="s">
        <v>580</v>
      </c>
      <c r="F58" s="681">
        <v>136.86000000000001</v>
      </c>
    </row>
    <row r="59" spans="2:6" ht="15.75" hidden="1" customHeight="1" x14ac:dyDescent="0.25">
      <c r="B59" s="13" t="s">
        <v>556</v>
      </c>
      <c r="C59" s="13" t="s">
        <v>14136</v>
      </c>
      <c r="D59" s="12" t="s">
        <v>8817</v>
      </c>
      <c r="E59" s="13" t="s">
        <v>580</v>
      </c>
      <c r="F59" s="681">
        <v>192.2</v>
      </c>
    </row>
    <row r="60" spans="2:6" ht="15.75" hidden="1" customHeight="1" x14ac:dyDescent="0.25">
      <c r="B60" s="13" t="s">
        <v>556</v>
      </c>
      <c r="C60" s="13" t="s">
        <v>14137</v>
      </c>
      <c r="D60" s="12" t="s">
        <v>8818</v>
      </c>
      <c r="E60" s="13" t="s">
        <v>580</v>
      </c>
      <c r="F60" s="681">
        <v>211.2</v>
      </c>
    </row>
    <row r="61" spans="2:6" ht="15.75" hidden="1" customHeight="1" x14ac:dyDescent="0.25">
      <c r="B61" s="13" t="s">
        <v>556</v>
      </c>
      <c r="C61" s="13" t="s">
        <v>14138</v>
      </c>
      <c r="D61" s="12" t="s">
        <v>8813</v>
      </c>
      <c r="E61" s="13" t="s">
        <v>580</v>
      </c>
      <c r="F61" s="681">
        <v>359.26</v>
      </c>
    </row>
    <row r="62" spans="2:6" ht="15.75" hidden="1" customHeight="1" x14ac:dyDescent="0.25">
      <c r="B62" s="13" t="s">
        <v>556</v>
      </c>
      <c r="C62" s="13" t="s">
        <v>14139</v>
      </c>
      <c r="D62" s="12" t="s">
        <v>11347</v>
      </c>
      <c r="E62" s="13" t="s">
        <v>580</v>
      </c>
      <c r="F62" s="681">
        <v>368.12</v>
      </c>
    </row>
    <row r="63" spans="2:6" ht="15.75" hidden="1" customHeight="1" x14ac:dyDescent="0.25">
      <c r="B63" s="13" t="s">
        <v>556</v>
      </c>
      <c r="C63" s="13" t="s">
        <v>14140</v>
      </c>
      <c r="D63" s="12" t="s">
        <v>10412</v>
      </c>
      <c r="E63" s="13" t="s">
        <v>580</v>
      </c>
      <c r="F63" s="681">
        <v>87.01</v>
      </c>
    </row>
    <row r="64" spans="2:6" ht="15.75" hidden="1" customHeight="1" x14ac:dyDescent="0.25">
      <c r="B64" s="13" t="s">
        <v>556</v>
      </c>
      <c r="C64" s="13" t="s">
        <v>14141</v>
      </c>
      <c r="D64" s="12" t="s">
        <v>10411</v>
      </c>
      <c r="E64" s="13" t="s">
        <v>580</v>
      </c>
      <c r="F64" s="681">
        <v>171.52</v>
      </c>
    </row>
    <row r="65" spans="2:6" ht="15.75" hidden="1" customHeight="1" x14ac:dyDescent="0.25">
      <c r="B65" s="13" t="s">
        <v>556</v>
      </c>
      <c r="C65" s="13" t="s">
        <v>14142</v>
      </c>
      <c r="D65" s="12" t="s">
        <v>10407</v>
      </c>
      <c r="E65" s="13" t="s">
        <v>580</v>
      </c>
      <c r="F65" s="681">
        <v>447.57</v>
      </c>
    </row>
    <row r="66" spans="2:6" ht="15.75" hidden="1" customHeight="1" x14ac:dyDescent="0.25">
      <c r="B66" s="13" t="s">
        <v>556</v>
      </c>
      <c r="C66" s="13" t="s">
        <v>14143</v>
      </c>
      <c r="D66" s="12" t="s">
        <v>10408</v>
      </c>
      <c r="E66" s="13" t="s">
        <v>580</v>
      </c>
      <c r="F66" s="681">
        <v>461.14</v>
      </c>
    </row>
    <row r="67" spans="2:6" ht="15.75" hidden="1" customHeight="1" x14ac:dyDescent="0.25">
      <c r="B67" s="13" t="s">
        <v>556</v>
      </c>
      <c r="C67" s="13" t="s">
        <v>14144</v>
      </c>
      <c r="D67" s="12" t="s">
        <v>10414</v>
      </c>
      <c r="E67" s="13" t="s">
        <v>580</v>
      </c>
      <c r="F67" s="681">
        <v>146.96</v>
      </c>
    </row>
    <row r="68" spans="2:6" ht="15.75" hidden="1" customHeight="1" x14ac:dyDescent="0.25">
      <c r="B68" s="13" t="s">
        <v>556</v>
      </c>
      <c r="C68" s="13" t="s">
        <v>14145</v>
      </c>
      <c r="D68" s="12" t="s">
        <v>10413</v>
      </c>
      <c r="E68" s="13" t="s">
        <v>580</v>
      </c>
      <c r="F68" s="681">
        <v>297.91000000000003</v>
      </c>
    </row>
    <row r="69" spans="2:6" ht="15.75" hidden="1" customHeight="1" x14ac:dyDescent="0.25">
      <c r="B69" s="13" t="s">
        <v>556</v>
      </c>
      <c r="C69" s="13" t="s">
        <v>14146</v>
      </c>
      <c r="D69" s="12" t="s">
        <v>10693</v>
      </c>
      <c r="E69" s="13" t="s">
        <v>580</v>
      </c>
      <c r="F69" s="681">
        <v>334.63</v>
      </c>
    </row>
    <row r="70" spans="2:6" ht="15.75" hidden="1" customHeight="1" x14ac:dyDescent="0.25">
      <c r="B70" s="13" t="s">
        <v>556</v>
      </c>
      <c r="C70" s="13" t="s">
        <v>14147</v>
      </c>
      <c r="D70" s="12" t="s">
        <v>11840</v>
      </c>
      <c r="E70" s="13" t="s">
        <v>517</v>
      </c>
      <c r="F70" s="681">
        <v>34.57</v>
      </c>
    </row>
    <row r="71" spans="2:6" ht="15.75" hidden="1" customHeight="1" x14ac:dyDescent="0.25">
      <c r="B71" s="13" t="s">
        <v>556</v>
      </c>
      <c r="C71" s="13" t="s">
        <v>14148</v>
      </c>
      <c r="D71" s="12" t="s">
        <v>11838</v>
      </c>
      <c r="E71" s="13" t="s">
        <v>517</v>
      </c>
      <c r="F71" s="681">
        <v>40.17</v>
      </c>
    </row>
    <row r="72" spans="2:6" ht="15.75" hidden="1" customHeight="1" x14ac:dyDescent="0.25">
      <c r="B72" s="13" t="s">
        <v>556</v>
      </c>
      <c r="C72" s="13" t="s">
        <v>14149</v>
      </c>
      <c r="D72" s="12" t="s">
        <v>11839</v>
      </c>
      <c r="E72" s="13" t="s">
        <v>517</v>
      </c>
      <c r="F72" s="681">
        <v>35.72</v>
      </c>
    </row>
    <row r="73" spans="2:6" ht="15.75" hidden="1" customHeight="1" x14ac:dyDescent="0.25">
      <c r="B73" s="13" t="s">
        <v>14150</v>
      </c>
      <c r="C73" s="13" t="s">
        <v>14151</v>
      </c>
      <c r="D73" s="12" t="s">
        <v>14152</v>
      </c>
      <c r="E73" s="13" t="s">
        <v>580</v>
      </c>
      <c r="F73" s="681">
        <v>2066928</v>
      </c>
    </row>
    <row r="74" spans="2:6" ht="15.75" hidden="1" customHeight="1" x14ac:dyDescent="0.25">
      <c r="B74" s="13" t="s">
        <v>14153</v>
      </c>
      <c r="C74" s="13" t="s">
        <v>14154</v>
      </c>
      <c r="D74" s="12" t="s">
        <v>11843</v>
      </c>
      <c r="E74" s="13" t="s">
        <v>2193</v>
      </c>
      <c r="F74" s="681">
        <v>20.23</v>
      </c>
    </row>
    <row r="75" spans="2:6" ht="15.75" hidden="1" customHeight="1" x14ac:dyDescent="0.25">
      <c r="B75" s="13" t="s">
        <v>556</v>
      </c>
      <c r="C75" s="13" t="s">
        <v>14155</v>
      </c>
      <c r="D75" s="12" t="s">
        <v>9072</v>
      </c>
      <c r="E75" s="13" t="s">
        <v>580</v>
      </c>
      <c r="F75" s="681">
        <v>9.8800000000000008</v>
      </c>
    </row>
    <row r="76" spans="2:6" ht="15.75" hidden="1" customHeight="1" x14ac:dyDescent="0.25">
      <c r="B76" s="13" t="s">
        <v>556</v>
      </c>
      <c r="C76" s="13" t="s">
        <v>14156</v>
      </c>
      <c r="D76" s="12" t="s">
        <v>11857</v>
      </c>
      <c r="E76" s="13" t="s">
        <v>578</v>
      </c>
      <c r="F76" s="681">
        <v>157.5</v>
      </c>
    </row>
    <row r="77" spans="2:6" ht="15.75" hidden="1" customHeight="1" x14ac:dyDescent="0.25">
      <c r="B77" s="13" t="s">
        <v>556</v>
      </c>
      <c r="C77" s="13" t="s">
        <v>14157</v>
      </c>
      <c r="D77" s="12" t="s">
        <v>11860</v>
      </c>
      <c r="E77" s="13" t="s">
        <v>578</v>
      </c>
      <c r="F77" s="681">
        <v>255</v>
      </c>
    </row>
    <row r="78" spans="2:6" ht="15.75" hidden="1" customHeight="1" x14ac:dyDescent="0.25">
      <c r="B78" s="13" t="s">
        <v>556</v>
      </c>
      <c r="C78" s="13" t="s">
        <v>14158</v>
      </c>
      <c r="D78" s="12" t="s">
        <v>11858</v>
      </c>
      <c r="E78" s="13" t="s">
        <v>578</v>
      </c>
      <c r="F78" s="681">
        <v>180</v>
      </c>
    </row>
    <row r="79" spans="2:6" ht="15.75" hidden="1" customHeight="1" x14ac:dyDescent="0.25">
      <c r="B79" s="13" t="s">
        <v>556</v>
      </c>
      <c r="C79" s="13" t="s">
        <v>14159</v>
      </c>
      <c r="D79" s="12" t="s">
        <v>11859</v>
      </c>
      <c r="E79" s="13" t="s">
        <v>578</v>
      </c>
      <c r="F79" s="681">
        <v>210</v>
      </c>
    </row>
    <row r="80" spans="2:6" ht="15.75" hidden="1" customHeight="1" x14ac:dyDescent="0.25">
      <c r="B80" s="13" t="s">
        <v>556</v>
      </c>
      <c r="C80" s="13" t="s">
        <v>14160</v>
      </c>
      <c r="D80" s="12" t="s">
        <v>11846</v>
      </c>
      <c r="E80" s="13" t="s">
        <v>578</v>
      </c>
      <c r="F80" s="681">
        <v>750</v>
      </c>
    </row>
    <row r="81" spans="2:6" ht="15.75" hidden="1" customHeight="1" x14ac:dyDescent="0.25">
      <c r="B81" s="13" t="s">
        <v>556</v>
      </c>
      <c r="C81" s="13" t="s">
        <v>14161</v>
      </c>
      <c r="D81" s="12" t="s">
        <v>11847</v>
      </c>
      <c r="E81" s="13" t="s">
        <v>578</v>
      </c>
      <c r="F81" s="681">
        <v>1949.99</v>
      </c>
    </row>
    <row r="82" spans="2:6" ht="15.75" hidden="1" customHeight="1" x14ac:dyDescent="0.25">
      <c r="B82" s="13" t="s">
        <v>556</v>
      </c>
      <c r="C82" s="13" t="s">
        <v>14162</v>
      </c>
      <c r="D82" s="12" t="s">
        <v>10647</v>
      </c>
      <c r="E82" s="13" t="s">
        <v>823</v>
      </c>
      <c r="F82" s="681">
        <v>11.46</v>
      </c>
    </row>
    <row r="83" spans="2:6" ht="15.75" hidden="1" customHeight="1" x14ac:dyDescent="0.25">
      <c r="B83" s="13" t="s">
        <v>556</v>
      </c>
      <c r="C83" s="13" t="s">
        <v>14163</v>
      </c>
      <c r="D83" s="12" t="s">
        <v>11862</v>
      </c>
      <c r="E83" s="13" t="s">
        <v>578</v>
      </c>
      <c r="F83" s="681">
        <v>149.99</v>
      </c>
    </row>
    <row r="84" spans="2:6" ht="15.75" hidden="1" customHeight="1" x14ac:dyDescent="0.25">
      <c r="B84" s="13" t="s">
        <v>556</v>
      </c>
      <c r="C84" s="13" t="s">
        <v>14164</v>
      </c>
      <c r="D84" s="12" t="s">
        <v>8592</v>
      </c>
      <c r="E84" s="13" t="s">
        <v>580</v>
      </c>
      <c r="F84" s="681">
        <v>276.60000000000002</v>
      </c>
    </row>
    <row r="85" spans="2:6" ht="15.75" hidden="1" customHeight="1" x14ac:dyDescent="0.25">
      <c r="B85" s="13" t="s">
        <v>556</v>
      </c>
      <c r="C85" s="13" t="s">
        <v>14165</v>
      </c>
      <c r="D85" s="12" t="s">
        <v>9074</v>
      </c>
      <c r="E85" s="13" t="s">
        <v>580</v>
      </c>
      <c r="F85" s="681">
        <v>5.17</v>
      </c>
    </row>
    <row r="86" spans="2:6" ht="15.75" hidden="1" customHeight="1" x14ac:dyDescent="0.25">
      <c r="B86" s="13" t="s">
        <v>556</v>
      </c>
      <c r="C86" s="13" t="s">
        <v>14166</v>
      </c>
      <c r="D86" s="12" t="s">
        <v>11870</v>
      </c>
      <c r="E86" s="13" t="s">
        <v>578</v>
      </c>
      <c r="F86" s="681">
        <v>362.08</v>
      </c>
    </row>
    <row r="87" spans="2:6" ht="15.75" hidden="1" customHeight="1" x14ac:dyDescent="0.25">
      <c r="B87" s="13" t="s">
        <v>556</v>
      </c>
      <c r="C87" s="13" t="s">
        <v>14167</v>
      </c>
      <c r="D87" s="12" t="s">
        <v>11869</v>
      </c>
      <c r="E87" s="13" t="s">
        <v>578</v>
      </c>
      <c r="F87" s="681">
        <v>640.88</v>
      </c>
    </row>
    <row r="88" spans="2:6" ht="15.75" hidden="1" customHeight="1" x14ac:dyDescent="0.25">
      <c r="B88" s="13" t="s">
        <v>556</v>
      </c>
      <c r="C88" s="13" t="s">
        <v>14168</v>
      </c>
      <c r="D88" s="12" t="s">
        <v>11871</v>
      </c>
      <c r="E88" s="13" t="s">
        <v>578</v>
      </c>
      <c r="F88" s="681">
        <v>489.17</v>
      </c>
    </row>
    <row r="89" spans="2:6" ht="15.75" hidden="1" customHeight="1" x14ac:dyDescent="0.25">
      <c r="B89" s="13" t="s">
        <v>556</v>
      </c>
      <c r="C89" s="13" t="s">
        <v>14169</v>
      </c>
      <c r="D89" s="12" t="s">
        <v>11848</v>
      </c>
      <c r="E89" s="13" t="s">
        <v>578</v>
      </c>
      <c r="F89" s="681">
        <v>2280</v>
      </c>
    </row>
    <row r="90" spans="2:6" ht="15.75" hidden="1" customHeight="1" x14ac:dyDescent="0.25">
      <c r="B90" s="13" t="s">
        <v>556</v>
      </c>
      <c r="C90" s="13" t="s">
        <v>14170</v>
      </c>
      <c r="D90" s="12" t="s">
        <v>11866</v>
      </c>
      <c r="E90" s="13" t="s">
        <v>578</v>
      </c>
      <c r="F90" s="681">
        <v>300.05</v>
      </c>
    </row>
    <row r="91" spans="2:6" ht="15.75" hidden="1" customHeight="1" x14ac:dyDescent="0.25">
      <c r="B91" s="13" t="s">
        <v>556</v>
      </c>
      <c r="C91" s="13" t="s">
        <v>14171</v>
      </c>
      <c r="D91" s="12" t="s">
        <v>11867</v>
      </c>
      <c r="E91" s="13" t="s">
        <v>578</v>
      </c>
      <c r="F91" s="681">
        <v>391.69</v>
      </c>
    </row>
    <row r="92" spans="2:6" ht="15.75" hidden="1" customHeight="1" x14ac:dyDescent="0.25">
      <c r="B92" s="13" t="s">
        <v>556</v>
      </c>
      <c r="C92" s="13" t="s">
        <v>14172</v>
      </c>
      <c r="D92" s="12" t="s">
        <v>11865</v>
      </c>
      <c r="E92" s="13" t="s">
        <v>578</v>
      </c>
      <c r="F92" s="681">
        <v>508.5</v>
      </c>
    </row>
    <row r="93" spans="2:6" ht="15.75" hidden="1" customHeight="1" x14ac:dyDescent="0.25">
      <c r="B93" s="13" t="s">
        <v>556</v>
      </c>
      <c r="C93" s="13" t="s">
        <v>14173</v>
      </c>
      <c r="D93" s="12" t="s">
        <v>9081</v>
      </c>
      <c r="E93" s="13" t="s">
        <v>580</v>
      </c>
      <c r="F93" s="681">
        <v>70.66</v>
      </c>
    </row>
    <row r="94" spans="2:6" ht="15.75" hidden="1" customHeight="1" x14ac:dyDescent="0.25">
      <c r="B94" s="13" t="s">
        <v>556</v>
      </c>
      <c r="C94" s="13" t="s">
        <v>14174</v>
      </c>
      <c r="D94" s="12" t="s">
        <v>9601</v>
      </c>
      <c r="E94" s="13" t="s">
        <v>580</v>
      </c>
      <c r="F94" s="681">
        <v>138.29</v>
      </c>
    </row>
    <row r="95" spans="2:6" ht="15.75" hidden="1" customHeight="1" x14ac:dyDescent="0.25">
      <c r="B95" s="13" t="s">
        <v>14153</v>
      </c>
      <c r="C95" s="13" t="s">
        <v>14175</v>
      </c>
      <c r="D95" s="12" t="s">
        <v>10724</v>
      </c>
      <c r="E95" s="13" t="s">
        <v>6214</v>
      </c>
      <c r="F95" s="681">
        <v>4962.6499999999996</v>
      </c>
    </row>
    <row r="96" spans="2:6" ht="15.75" hidden="1" customHeight="1" x14ac:dyDescent="0.25">
      <c r="B96" s="13" t="s">
        <v>556</v>
      </c>
      <c r="C96" s="13" t="s">
        <v>14176</v>
      </c>
      <c r="D96" s="12" t="s">
        <v>11209</v>
      </c>
      <c r="E96" s="13" t="s">
        <v>578</v>
      </c>
      <c r="F96" s="681">
        <v>47.96</v>
      </c>
    </row>
    <row r="97" spans="2:6" ht="15.75" hidden="1" customHeight="1" x14ac:dyDescent="0.25">
      <c r="B97" s="13" t="s">
        <v>556</v>
      </c>
      <c r="C97" s="13" t="s">
        <v>14177</v>
      </c>
      <c r="D97" s="12" t="s">
        <v>14178</v>
      </c>
      <c r="E97" s="13" t="s">
        <v>580</v>
      </c>
      <c r="F97" s="681">
        <v>116.96</v>
      </c>
    </row>
    <row r="98" spans="2:6" ht="15.75" hidden="1" customHeight="1" x14ac:dyDescent="0.25">
      <c r="B98" s="13" t="s">
        <v>556</v>
      </c>
      <c r="C98" s="13" t="s">
        <v>14179</v>
      </c>
      <c r="D98" s="12" t="s">
        <v>9239</v>
      </c>
      <c r="E98" s="13" t="s">
        <v>580</v>
      </c>
      <c r="F98" s="681">
        <v>364.82</v>
      </c>
    </row>
    <row r="99" spans="2:6" ht="15.75" hidden="1" customHeight="1" x14ac:dyDescent="0.25">
      <c r="B99" s="13" t="s">
        <v>14180</v>
      </c>
      <c r="C99" s="13" t="s">
        <v>14181</v>
      </c>
      <c r="D99" s="12" t="s">
        <v>10426</v>
      </c>
      <c r="E99" s="13" t="s">
        <v>10427</v>
      </c>
      <c r="F99" s="681">
        <v>30</v>
      </c>
    </row>
    <row r="100" spans="2:6" ht="15.75" hidden="1" customHeight="1" x14ac:dyDescent="0.25">
      <c r="B100" s="13" t="s">
        <v>14150</v>
      </c>
      <c r="C100" s="13" t="s">
        <v>14182</v>
      </c>
      <c r="D100" s="12" t="s">
        <v>8874</v>
      </c>
      <c r="E100" s="13" t="s">
        <v>580</v>
      </c>
      <c r="F100" s="681">
        <v>4900</v>
      </c>
    </row>
    <row r="101" spans="2:6" ht="15.75" hidden="1" customHeight="1" x14ac:dyDescent="0.25">
      <c r="B101" s="13" t="s">
        <v>14150</v>
      </c>
      <c r="C101" s="13" t="s">
        <v>14183</v>
      </c>
      <c r="D101" s="12" t="s">
        <v>8875</v>
      </c>
      <c r="E101" s="13" t="s">
        <v>580</v>
      </c>
      <c r="F101" s="681">
        <v>6682.27</v>
      </c>
    </row>
    <row r="102" spans="2:6" ht="15.75" hidden="1" customHeight="1" x14ac:dyDescent="0.25">
      <c r="B102" s="13" t="s">
        <v>556</v>
      </c>
      <c r="C102" s="13" t="s">
        <v>14184</v>
      </c>
      <c r="D102" s="12" t="s">
        <v>9277</v>
      </c>
      <c r="E102" s="13" t="s">
        <v>585</v>
      </c>
      <c r="F102" s="681">
        <v>30.71</v>
      </c>
    </row>
    <row r="103" spans="2:6" ht="15.75" hidden="1" customHeight="1" x14ac:dyDescent="0.25">
      <c r="B103" s="13" t="s">
        <v>556</v>
      </c>
      <c r="C103" s="13" t="s">
        <v>14185</v>
      </c>
      <c r="D103" s="12" t="s">
        <v>9278</v>
      </c>
      <c r="E103" s="13" t="s">
        <v>585</v>
      </c>
      <c r="F103" s="681">
        <v>40.159999999999997</v>
      </c>
    </row>
    <row r="104" spans="2:6" ht="15.75" hidden="1" customHeight="1" x14ac:dyDescent="0.25">
      <c r="B104" s="13" t="s">
        <v>556</v>
      </c>
      <c r="C104" s="13" t="s">
        <v>14186</v>
      </c>
      <c r="D104" s="12" t="s">
        <v>9279</v>
      </c>
      <c r="E104" s="13" t="s">
        <v>585</v>
      </c>
      <c r="F104" s="681">
        <v>65.16</v>
      </c>
    </row>
    <row r="105" spans="2:6" ht="15.75" hidden="1" customHeight="1" x14ac:dyDescent="0.25">
      <c r="B105" s="13" t="s">
        <v>556</v>
      </c>
      <c r="C105" s="13" t="s">
        <v>14187</v>
      </c>
      <c r="D105" s="12" t="s">
        <v>9280</v>
      </c>
      <c r="E105" s="13" t="s">
        <v>585</v>
      </c>
      <c r="F105" s="681">
        <v>84.28</v>
      </c>
    </row>
    <row r="106" spans="2:6" ht="15.75" hidden="1" customHeight="1" x14ac:dyDescent="0.25">
      <c r="B106" s="13" t="s">
        <v>556</v>
      </c>
      <c r="C106" s="13" t="s">
        <v>14188</v>
      </c>
      <c r="D106" s="12" t="s">
        <v>9281</v>
      </c>
      <c r="E106" s="13" t="s">
        <v>585</v>
      </c>
      <c r="F106" s="681">
        <v>157.51</v>
      </c>
    </row>
    <row r="107" spans="2:6" ht="15.75" hidden="1" customHeight="1" x14ac:dyDescent="0.25">
      <c r="B107" s="13" t="s">
        <v>556</v>
      </c>
      <c r="C107" s="13" t="s">
        <v>14189</v>
      </c>
      <c r="D107" s="12" t="s">
        <v>11042</v>
      </c>
      <c r="E107" s="13" t="s">
        <v>580</v>
      </c>
      <c r="F107" s="681">
        <v>225.19</v>
      </c>
    </row>
    <row r="108" spans="2:6" ht="15.75" hidden="1" customHeight="1" x14ac:dyDescent="0.25">
      <c r="B108" s="13" t="s">
        <v>556</v>
      </c>
      <c r="C108" s="13" t="s">
        <v>14190</v>
      </c>
      <c r="D108" s="12" t="s">
        <v>11044</v>
      </c>
      <c r="E108" s="13" t="s">
        <v>580</v>
      </c>
      <c r="F108" s="681">
        <v>227.19</v>
      </c>
    </row>
    <row r="109" spans="2:6" ht="15.75" hidden="1" customHeight="1" x14ac:dyDescent="0.25">
      <c r="B109" s="13" t="s">
        <v>556</v>
      </c>
      <c r="C109" s="13" t="s">
        <v>14191</v>
      </c>
      <c r="D109" s="12" t="s">
        <v>11045</v>
      </c>
      <c r="E109" s="13" t="s">
        <v>580</v>
      </c>
      <c r="F109" s="681">
        <v>247.76</v>
      </c>
    </row>
    <row r="110" spans="2:6" ht="15.75" hidden="1" customHeight="1" x14ac:dyDescent="0.25">
      <c r="B110" s="13" t="s">
        <v>556</v>
      </c>
      <c r="C110" s="13" t="s">
        <v>14192</v>
      </c>
      <c r="D110" s="12" t="s">
        <v>11046</v>
      </c>
      <c r="E110" s="13" t="s">
        <v>580</v>
      </c>
      <c r="F110" s="681">
        <v>329.42</v>
      </c>
    </row>
    <row r="111" spans="2:6" ht="15.75" hidden="1" customHeight="1" x14ac:dyDescent="0.25">
      <c r="B111" s="13" t="s">
        <v>556</v>
      </c>
      <c r="C111" s="13" t="s">
        <v>14193</v>
      </c>
      <c r="D111" s="12" t="s">
        <v>11308</v>
      </c>
      <c r="E111" s="13" t="s">
        <v>585</v>
      </c>
      <c r="F111" s="681">
        <v>8.32</v>
      </c>
    </row>
    <row r="112" spans="2:6" ht="15.75" hidden="1" customHeight="1" x14ac:dyDescent="0.25">
      <c r="B112" s="13" t="s">
        <v>556</v>
      </c>
      <c r="C112" s="13" t="s">
        <v>14194</v>
      </c>
      <c r="D112" s="12" t="s">
        <v>14195</v>
      </c>
      <c r="E112" s="13" t="s">
        <v>580</v>
      </c>
      <c r="F112" s="681">
        <v>2.93</v>
      </c>
    </row>
    <row r="113" spans="2:6" ht="15.75" hidden="1" customHeight="1" x14ac:dyDescent="0.25">
      <c r="B113" s="13" t="s">
        <v>14150</v>
      </c>
      <c r="C113" s="13" t="s">
        <v>14196</v>
      </c>
      <c r="D113" s="12" t="s">
        <v>8963</v>
      </c>
      <c r="E113" s="13" t="s">
        <v>580</v>
      </c>
      <c r="F113" s="681">
        <v>1444.02</v>
      </c>
    </row>
    <row r="114" spans="2:6" ht="15.75" hidden="1" customHeight="1" x14ac:dyDescent="0.25">
      <c r="B114" s="13" t="s">
        <v>556</v>
      </c>
      <c r="C114" s="13" t="s">
        <v>14197</v>
      </c>
      <c r="D114" s="12" t="s">
        <v>9811</v>
      </c>
      <c r="E114" s="13" t="s">
        <v>580</v>
      </c>
      <c r="F114" s="681">
        <v>31.22</v>
      </c>
    </row>
    <row r="115" spans="2:6" ht="15.75" hidden="1" customHeight="1" x14ac:dyDescent="0.25">
      <c r="B115" s="13" t="s">
        <v>556</v>
      </c>
      <c r="C115" s="13" t="s">
        <v>14198</v>
      </c>
      <c r="D115" s="12" t="s">
        <v>9808</v>
      </c>
      <c r="E115" s="13" t="s">
        <v>580</v>
      </c>
      <c r="F115" s="681">
        <v>23.67</v>
      </c>
    </row>
    <row r="116" spans="2:6" ht="15.75" hidden="1" customHeight="1" x14ac:dyDescent="0.25">
      <c r="B116" s="13" t="s">
        <v>556</v>
      </c>
      <c r="C116" s="13" t="s">
        <v>14199</v>
      </c>
      <c r="D116" s="12" t="s">
        <v>9813</v>
      </c>
      <c r="E116" s="13" t="s">
        <v>580</v>
      </c>
      <c r="F116" s="681">
        <v>28.27</v>
      </c>
    </row>
    <row r="117" spans="2:6" ht="15.75" hidden="1" customHeight="1" x14ac:dyDescent="0.25">
      <c r="B117" s="13" t="s">
        <v>556</v>
      </c>
      <c r="C117" s="13" t="s">
        <v>14200</v>
      </c>
      <c r="D117" s="12" t="s">
        <v>9814</v>
      </c>
      <c r="E117" s="13" t="s">
        <v>580</v>
      </c>
      <c r="F117" s="681">
        <v>14.28</v>
      </c>
    </row>
    <row r="118" spans="2:6" ht="15.75" hidden="1" customHeight="1" x14ac:dyDescent="0.25">
      <c r="B118" s="13" t="s">
        <v>556</v>
      </c>
      <c r="C118" s="13" t="s">
        <v>14201</v>
      </c>
      <c r="D118" s="12" t="s">
        <v>9812</v>
      </c>
      <c r="E118" s="13" t="s">
        <v>580</v>
      </c>
      <c r="F118" s="681">
        <v>16.22</v>
      </c>
    </row>
    <row r="119" spans="2:6" ht="15.75" hidden="1" customHeight="1" x14ac:dyDescent="0.25">
      <c r="B119" s="13" t="s">
        <v>14150</v>
      </c>
      <c r="C119" s="13" t="s">
        <v>14202</v>
      </c>
      <c r="D119" s="12" t="s">
        <v>8974</v>
      </c>
      <c r="E119" s="13" t="s">
        <v>580</v>
      </c>
      <c r="F119" s="681">
        <v>4107.12</v>
      </c>
    </row>
    <row r="120" spans="2:6" ht="15.75" hidden="1" customHeight="1" x14ac:dyDescent="0.25">
      <c r="B120" s="13" t="s">
        <v>14150</v>
      </c>
      <c r="C120" s="13" t="s">
        <v>14203</v>
      </c>
      <c r="D120" s="12" t="s">
        <v>8981</v>
      </c>
      <c r="E120" s="13" t="s">
        <v>580</v>
      </c>
      <c r="F120" s="681">
        <v>4263.71</v>
      </c>
    </row>
    <row r="121" spans="2:6" ht="15.75" hidden="1" customHeight="1" x14ac:dyDescent="0.25">
      <c r="B121" s="13" t="s">
        <v>14150</v>
      </c>
      <c r="C121" s="13" t="s">
        <v>14204</v>
      </c>
      <c r="D121" s="12" t="s">
        <v>8983</v>
      </c>
      <c r="E121" s="13" t="s">
        <v>580</v>
      </c>
      <c r="F121" s="681">
        <v>6918.7</v>
      </c>
    </row>
    <row r="122" spans="2:6" ht="15.75" hidden="1" customHeight="1" x14ac:dyDescent="0.25">
      <c r="B122" s="13" t="s">
        <v>14150</v>
      </c>
      <c r="C122" s="13" t="s">
        <v>14205</v>
      </c>
      <c r="D122" s="12" t="s">
        <v>8982</v>
      </c>
      <c r="E122" s="13" t="s">
        <v>580</v>
      </c>
      <c r="F122" s="681">
        <v>5150</v>
      </c>
    </row>
    <row r="123" spans="2:6" ht="15.75" hidden="1" customHeight="1" x14ac:dyDescent="0.25">
      <c r="B123" s="13" t="s">
        <v>14150</v>
      </c>
      <c r="C123" s="13" t="s">
        <v>14206</v>
      </c>
      <c r="D123" s="12" t="s">
        <v>10722</v>
      </c>
      <c r="E123" s="13" t="s">
        <v>580</v>
      </c>
      <c r="F123" s="681">
        <v>1504226.22</v>
      </c>
    </row>
    <row r="124" spans="2:6" ht="15.75" hidden="1" customHeight="1" x14ac:dyDescent="0.25">
      <c r="B124" s="13" t="s">
        <v>14150</v>
      </c>
      <c r="C124" s="13" t="s">
        <v>14207</v>
      </c>
      <c r="D124" s="12" t="s">
        <v>14208</v>
      </c>
      <c r="E124" s="13" t="s">
        <v>580</v>
      </c>
      <c r="F124" s="681">
        <v>172698.23999999999</v>
      </c>
    </row>
    <row r="125" spans="2:6" ht="15.75" hidden="1" customHeight="1" x14ac:dyDescent="0.25">
      <c r="B125" s="13" t="s">
        <v>556</v>
      </c>
      <c r="C125" s="13" t="s">
        <v>14209</v>
      </c>
      <c r="D125" s="12" t="s">
        <v>8589</v>
      </c>
      <c r="E125" s="13" t="s">
        <v>580</v>
      </c>
      <c r="F125" s="681">
        <v>370.94</v>
      </c>
    </row>
    <row r="126" spans="2:6" ht="15.75" hidden="1" customHeight="1" x14ac:dyDescent="0.25">
      <c r="B126" s="13" t="s">
        <v>14150</v>
      </c>
      <c r="C126" s="13" t="s">
        <v>14210</v>
      </c>
      <c r="D126" s="12" t="s">
        <v>14211</v>
      </c>
      <c r="E126" s="13" t="s">
        <v>580</v>
      </c>
      <c r="F126" s="681">
        <v>3886885.78</v>
      </c>
    </row>
    <row r="127" spans="2:6" ht="15.75" hidden="1" customHeight="1" x14ac:dyDescent="0.25">
      <c r="B127" s="13" t="s">
        <v>556</v>
      </c>
      <c r="C127" s="13" t="s">
        <v>14212</v>
      </c>
      <c r="D127" s="12" t="s">
        <v>9805</v>
      </c>
      <c r="E127" s="13" t="s">
        <v>580</v>
      </c>
      <c r="F127" s="681">
        <v>12.24</v>
      </c>
    </row>
    <row r="128" spans="2:6" ht="15.75" hidden="1" customHeight="1" x14ac:dyDescent="0.25">
      <c r="B128" s="13" t="s">
        <v>556</v>
      </c>
      <c r="C128" s="13" t="s">
        <v>14213</v>
      </c>
      <c r="D128" s="12" t="s">
        <v>9804</v>
      </c>
      <c r="E128" s="13" t="s">
        <v>580</v>
      </c>
      <c r="F128" s="681">
        <v>5.25</v>
      </c>
    </row>
    <row r="129" spans="2:6" ht="15.75" hidden="1" customHeight="1" x14ac:dyDescent="0.25">
      <c r="B129" s="13" t="s">
        <v>14150</v>
      </c>
      <c r="C129" s="13" t="s">
        <v>14214</v>
      </c>
      <c r="D129" s="12" t="s">
        <v>14215</v>
      </c>
      <c r="E129" s="13" t="s">
        <v>580</v>
      </c>
      <c r="F129" s="681">
        <v>9872.15</v>
      </c>
    </row>
    <row r="130" spans="2:6" ht="15.75" hidden="1" customHeight="1" x14ac:dyDescent="0.25">
      <c r="B130" s="13" t="s">
        <v>556</v>
      </c>
      <c r="C130" s="13" t="s">
        <v>14216</v>
      </c>
      <c r="D130" s="12" t="s">
        <v>11561</v>
      </c>
      <c r="E130" s="13" t="s">
        <v>580</v>
      </c>
      <c r="F130" s="681">
        <v>5.6</v>
      </c>
    </row>
    <row r="131" spans="2:6" ht="15.75" hidden="1" customHeight="1" x14ac:dyDescent="0.25">
      <c r="B131" s="13" t="s">
        <v>556</v>
      </c>
      <c r="C131" s="13" t="s">
        <v>13504</v>
      </c>
      <c r="D131" s="12" t="s">
        <v>14217</v>
      </c>
      <c r="E131" s="13" t="s">
        <v>580</v>
      </c>
      <c r="F131" s="681">
        <v>235</v>
      </c>
    </row>
    <row r="132" spans="2:6" ht="15.75" hidden="1" customHeight="1" x14ac:dyDescent="0.25">
      <c r="B132" s="13" t="s">
        <v>556</v>
      </c>
      <c r="C132" s="13" t="s">
        <v>14218</v>
      </c>
      <c r="D132" s="12" t="s">
        <v>9788</v>
      </c>
      <c r="E132" s="13" t="s">
        <v>578</v>
      </c>
      <c r="F132" s="681">
        <v>655.44</v>
      </c>
    </row>
    <row r="133" spans="2:6" ht="15.75" hidden="1" customHeight="1" x14ac:dyDescent="0.25">
      <c r="B133" s="13" t="s">
        <v>14150</v>
      </c>
      <c r="C133" s="13" t="s">
        <v>14219</v>
      </c>
      <c r="D133" s="12" t="s">
        <v>9354</v>
      </c>
      <c r="E133" s="13" t="s">
        <v>580</v>
      </c>
      <c r="F133" s="681">
        <v>881463.27</v>
      </c>
    </row>
    <row r="134" spans="2:6" ht="15.75" hidden="1" customHeight="1" x14ac:dyDescent="0.25">
      <c r="B134" s="13" t="s">
        <v>14150</v>
      </c>
      <c r="C134" s="13" t="s">
        <v>14220</v>
      </c>
      <c r="D134" s="12" t="s">
        <v>14221</v>
      </c>
      <c r="E134" s="13" t="s">
        <v>580</v>
      </c>
      <c r="F134" s="681">
        <v>17077.7</v>
      </c>
    </row>
    <row r="135" spans="2:6" ht="15.75" hidden="1" customHeight="1" x14ac:dyDescent="0.25">
      <c r="B135" s="13" t="s">
        <v>14150</v>
      </c>
      <c r="C135" s="13" t="s">
        <v>14222</v>
      </c>
      <c r="D135" s="12" t="s">
        <v>14223</v>
      </c>
      <c r="E135" s="13" t="s">
        <v>580</v>
      </c>
      <c r="F135" s="681">
        <v>991000</v>
      </c>
    </row>
    <row r="136" spans="2:6" ht="15.75" hidden="1" customHeight="1" x14ac:dyDescent="0.25">
      <c r="B136" s="13" t="s">
        <v>14150</v>
      </c>
      <c r="C136" s="13" t="s">
        <v>14224</v>
      </c>
      <c r="D136" s="12" t="s">
        <v>14225</v>
      </c>
      <c r="E136" s="13" t="s">
        <v>580</v>
      </c>
      <c r="F136" s="681">
        <v>634098.18000000005</v>
      </c>
    </row>
    <row r="137" spans="2:6" ht="15.75" hidden="1" customHeight="1" x14ac:dyDescent="0.25">
      <c r="B137" s="13" t="s">
        <v>14150</v>
      </c>
      <c r="C137" s="13" t="s">
        <v>14226</v>
      </c>
      <c r="D137" s="12" t="s">
        <v>14227</v>
      </c>
      <c r="E137" s="13" t="s">
        <v>580</v>
      </c>
      <c r="F137" s="681">
        <v>9400</v>
      </c>
    </row>
    <row r="138" spans="2:6" ht="15.75" hidden="1" customHeight="1" x14ac:dyDescent="0.25">
      <c r="B138" s="13" t="s">
        <v>14150</v>
      </c>
      <c r="C138" s="13" t="s">
        <v>14228</v>
      </c>
      <c r="D138" s="12" t="s">
        <v>9566</v>
      </c>
      <c r="E138" s="13" t="s">
        <v>580</v>
      </c>
      <c r="F138" s="681">
        <v>19404</v>
      </c>
    </row>
    <row r="139" spans="2:6" ht="15.75" hidden="1" customHeight="1" x14ac:dyDescent="0.25">
      <c r="B139" s="13" t="s">
        <v>556</v>
      </c>
      <c r="C139" s="13" t="s">
        <v>14229</v>
      </c>
      <c r="D139" s="12" t="s">
        <v>14230</v>
      </c>
      <c r="E139" s="13" t="s">
        <v>580</v>
      </c>
      <c r="F139" s="681">
        <v>1550.11</v>
      </c>
    </row>
    <row r="140" spans="2:6" ht="15.75" hidden="1" customHeight="1" x14ac:dyDescent="0.25">
      <c r="B140" s="13" t="s">
        <v>14150</v>
      </c>
      <c r="C140" s="13" t="s">
        <v>14231</v>
      </c>
      <c r="D140" s="12" t="s">
        <v>9924</v>
      </c>
      <c r="E140" s="13" t="s">
        <v>580</v>
      </c>
      <c r="F140" s="681">
        <v>850000</v>
      </c>
    </row>
    <row r="141" spans="2:6" ht="15.75" hidden="1" customHeight="1" x14ac:dyDescent="0.25">
      <c r="B141" s="13" t="s">
        <v>556</v>
      </c>
      <c r="C141" s="13" t="s">
        <v>14232</v>
      </c>
      <c r="D141" s="12" t="s">
        <v>14233</v>
      </c>
      <c r="E141" s="13" t="s">
        <v>517</v>
      </c>
      <c r="F141" s="681">
        <v>52.2</v>
      </c>
    </row>
    <row r="142" spans="2:6" ht="15.75" hidden="1" customHeight="1" x14ac:dyDescent="0.25">
      <c r="B142" s="13" t="s">
        <v>556</v>
      </c>
      <c r="C142" s="13" t="s">
        <v>14234</v>
      </c>
      <c r="D142" s="12" t="s">
        <v>14235</v>
      </c>
      <c r="E142" s="13" t="s">
        <v>578</v>
      </c>
      <c r="F142" s="681">
        <v>207.56</v>
      </c>
    </row>
    <row r="143" spans="2:6" ht="15.75" hidden="1" customHeight="1" x14ac:dyDescent="0.25">
      <c r="B143" s="13" t="s">
        <v>556</v>
      </c>
      <c r="C143" s="13" t="s">
        <v>14236</v>
      </c>
      <c r="D143" s="12" t="s">
        <v>8566</v>
      </c>
      <c r="E143" s="13" t="s">
        <v>580</v>
      </c>
      <c r="F143" s="681">
        <v>0.78</v>
      </c>
    </row>
    <row r="144" spans="2:6" ht="15.75" hidden="1" customHeight="1" x14ac:dyDescent="0.25">
      <c r="B144" s="13" t="s">
        <v>14150</v>
      </c>
      <c r="C144" s="13" t="s">
        <v>14237</v>
      </c>
      <c r="D144" s="12" t="s">
        <v>14238</v>
      </c>
      <c r="E144" s="13" t="s">
        <v>580</v>
      </c>
      <c r="F144" s="681">
        <v>23518.32</v>
      </c>
    </row>
    <row r="145" spans="2:6" ht="15.75" hidden="1" customHeight="1" x14ac:dyDescent="0.25">
      <c r="B145" s="13" t="s">
        <v>12140</v>
      </c>
      <c r="C145" s="13" t="s">
        <v>14239</v>
      </c>
      <c r="D145" s="12" t="s">
        <v>9335</v>
      </c>
      <c r="E145" s="13" t="s">
        <v>578</v>
      </c>
      <c r="F145" s="681">
        <v>63.88</v>
      </c>
    </row>
    <row r="146" spans="2:6" ht="15.75" hidden="1" customHeight="1" x14ac:dyDescent="0.25">
      <c r="B146" s="13" t="s">
        <v>12140</v>
      </c>
      <c r="C146" s="13" t="s">
        <v>14240</v>
      </c>
      <c r="D146" s="12" t="s">
        <v>9333</v>
      </c>
      <c r="E146" s="13" t="s">
        <v>578</v>
      </c>
      <c r="F146" s="681">
        <v>202.73</v>
      </c>
    </row>
    <row r="147" spans="2:6" ht="15.75" hidden="1" customHeight="1" x14ac:dyDescent="0.25">
      <c r="B147" s="13" t="s">
        <v>12140</v>
      </c>
      <c r="C147" s="13" t="s">
        <v>14241</v>
      </c>
      <c r="D147" s="12" t="s">
        <v>9332</v>
      </c>
      <c r="E147" s="13" t="s">
        <v>578</v>
      </c>
      <c r="F147" s="681">
        <v>165.02</v>
      </c>
    </row>
    <row r="148" spans="2:6" ht="15.75" hidden="1" customHeight="1" x14ac:dyDescent="0.25">
      <c r="B148" s="13" t="s">
        <v>14150</v>
      </c>
      <c r="C148" s="13" t="s">
        <v>14242</v>
      </c>
      <c r="D148" s="12" t="s">
        <v>14243</v>
      </c>
      <c r="E148" s="13" t="s">
        <v>580</v>
      </c>
      <c r="F148" s="681">
        <v>101983.98</v>
      </c>
    </row>
    <row r="149" spans="2:6" ht="15.75" hidden="1" customHeight="1" x14ac:dyDescent="0.25">
      <c r="B149" s="13" t="s">
        <v>556</v>
      </c>
      <c r="C149" s="13" t="s">
        <v>14244</v>
      </c>
      <c r="D149" s="12" t="s">
        <v>14245</v>
      </c>
      <c r="E149" s="13" t="s">
        <v>578</v>
      </c>
      <c r="F149" s="681">
        <v>43.51</v>
      </c>
    </row>
    <row r="150" spans="2:6" ht="15.75" hidden="1" customHeight="1" x14ac:dyDescent="0.25">
      <c r="B150" s="13" t="s">
        <v>556</v>
      </c>
      <c r="C150" s="13" t="s">
        <v>14246</v>
      </c>
      <c r="D150" s="12" t="s">
        <v>14247</v>
      </c>
      <c r="E150" s="13" t="s">
        <v>578</v>
      </c>
      <c r="F150" s="681">
        <v>45</v>
      </c>
    </row>
    <row r="151" spans="2:6" ht="15.75" hidden="1" customHeight="1" x14ac:dyDescent="0.25">
      <c r="B151" s="13" t="s">
        <v>556</v>
      </c>
      <c r="C151" s="13" t="s">
        <v>14248</v>
      </c>
      <c r="D151" s="12" t="s">
        <v>14249</v>
      </c>
      <c r="E151" s="13" t="s">
        <v>578</v>
      </c>
      <c r="F151" s="681">
        <v>84.12</v>
      </c>
    </row>
    <row r="152" spans="2:6" ht="15.75" hidden="1" customHeight="1" x14ac:dyDescent="0.25">
      <c r="B152" s="13" t="s">
        <v>556</v>
      </c>
      <c r="C152" s="13" t="s">
        <v>14250</v>
      </c>
      <c r="D152" s="12" t="s">
        <v>14251</v>
      </c>
      <c r="E152" s="13" t="s">
        <v>578</v>
      </c>
      <c r="F152" s="681">
        <v>141.41</v>
      </c>
    </row>
    <row r="153" spans="2:6" ht="15.75" hidden="1" customHeight="1" x14ac:dyDescent="0.25">
      <c r="B153" s="13" t="s">
        <v>14150</v>
      </c>
      <c r="C153" s="13" t="s">
        <v>14252</v>
      </c>
      <c r="D153" s="12" t="s">
        <v>14253</v>
      </c>
      <c r="E153" s="13" t="s">
        <v>580</v>
      </c>
      <c r="F153" s="681">
        <v>9751.73</v>
      </c>
    </row>
    <row r="154" spans="2:6" ht="15.75" hidden="1" customHeight="1" x14ac:dyDescent="0.25">
      <c r="B154" s="13" t="s">
        <v>14150</v>
      </c>
      <c r="C154" s="13" t="s">
        <v>14254</v>
      </c>
      <c r="D154" s="12" t="s">
        <v>14255</v>
      </c>
      <c r="E154" s="13" t="s">
        <v>580</v>
      </c>
      <c r="F154" s="681">
        <v>1029.0899999999999</v>
      </c>
    </row>
    <row r="155" spans="2:6" ht="15.75" hidden="1" customHeight="1" x14ac:dyDescent="0.25">
      <c r="B155" s="13" t="s">
        <v>14150</v>
      </c>
      <c r="C155" s="13" t="s">
        <v>14256</v>
      </c>
      <c r="D155" s="12" t="s">
        <v>14257</v>
      </c>
      <c r="E155" s="13" t="s">
        <v>580</v>
      </c>
      <c r="F155" s="681">
        <v>569.71</v>
      </c>
    </row>
    <row r="156" spans="2:6" ht="15.75" hidden="1" customHeight="1" x14ac:dyDescent="0.25">
      <c r="B156" s="13" t="s">
        <v>14150</v>
      </c>
      <c r="C156" s="13" t="s">
        <v>14258</v>
      </c>
      <c r="D156" s="12" t="s">
        <v>10638</v>
      </c>
      <c r="E156" s="13" t="s">
        <v>580</v>
      </c>
      <c r="F156" s="681">
        <v>24881.35</v>
      </c>
    </row>
    <row r="157" spans="2:6" ht="15.75" hidden="1" customHeight="1" x14ac:dyDescent="0.25">
      <c r="B157" s="13" t="s">
        <v>14180</v>
      </c>
      <c r="C157" s="13" t="s">
        <v>14259</v>
      </c>
      <c r="D157" s="12" t="s">
        <v>10443</v>
      </c>
      <c r="E157" s="13" t="s">
        <v>10430</v>
      </c>
      <c r="F157" s="681">
        <v>26.62</v>
      </c>
    </row>
    <row r="158" spans="2:6" ht="15.75" hidden="1" customHeight="1" x14ac:dyDescent="0.25">
      <c r="B158" s="13" t="s">
        <v>14180</v>
      </c>
      <c r="C158" s="13" t="s">
        <v>14260</v>
      </c>
      <c r="D158" s="12" t="s">
        <v>10439</v>
      </c>
      <c r="E158" s="13" t="s">
        <v>6214</v>
      </c>
      <c r="F158" s="681">
        <v>847.5</v>
      </c>
    </row>
    <row r="159" spans="2:6" ht="15.75" hidden="1" customHeight="1" x14ac:dyDescent="0.25">
      <c r="B159" s="13" t="s">
        <v>14180</v>
      </c>
      <c r="C159" s="13" t="s">
        <v>14261</v>
      </c>
      <c r="D159" s="12" t="s">
        <v>10440</v>
      </c>
      <c r="E159" s="13" t="s">
        <v>6214</v>
      </c>
      <c r="F159" s="681">
        <v>662.1</v>
      </c>
    </row>
    <row r="160" spans="2:6" ht="15.75" hidden="1" customHeight="1" x14ac:dyDescent="0.25">
      <c r="B160" s="13" t="s">
        <v>14180</v>
      </c>
      <c r="C160" s="13" t="s">
        <v>14262</v>
      </c>
      <c r="D160" s="12" t="s">
        <v>10438</v>
      </c>
      <c r="E160" s="13" t="s">
        <v>6214</v>
      </c>
      <c r="F160" s="681">
        <v>962.26</v>
      </c>
    </row>
    <row r="161" spans="2:6" ht="15.75" hidden="1" customHeight="1" x14ac:dyDescent="0.25">
      <c r="B161" s="13" t="s">
        <v>14180</v>
      </c>
      <c r="C161" s="13" t="s">
        <v>14263</v>
      </c>
      <c r="D161" s="12" t="s">
        <v>10441</v>
      </c>
      <c r="E161" s="13" t="s">
        <v>6214</v>
      </c>
      <c r="F161" s="681">
        <v>1059.3699999999999</v>
      </c>
    </row>
    <row r="162" spans="2:6" ht="15.75" hidden="1" customHeight="1" x14ac:dyDescent="0.25">
      <c r="B162" s="13" t="s">
        <v>14180</v>
      </c>
      <c r="C162" s="13" t="s">
        <v>14264</v>
      </c>
      <c r="D162" s="12" t="s">
        <v>10437</v>
      </c>
      <c r="E162" s="13" t="s">
        <v>6214</v>
      </c>
      <c r="F162" s="681">
        <v>1059.3699999999999</v>
      </c>
    </row>
    <row r="163" spans="2:6" ht="15.75" hidden="1" customHeight="1" x14ac:dyDescent="0.25">
      <c r="B163" s="13" t="s">
        <v>556</v>
      </c>
      <c r="C163" s="13" t="s">
        <v>14265</v>
      </c>
      <c r="D163" s="12" t="s">
        <v>14266</v>
      </c>
      <c r="E163" s="13" t="s">
        <v>580</v>
      </c>
      <c r="F163" s="681">
        <v>15.2</v>
      </c>
    </row>
    <row r="164" spans="2:6" ht="15.75" hidden="1" customHeight="1" x14ac:dyDescent="0.25">
      <c r="B164" s="13" t="s">
        <v>556</v>
      </c>
      <c r="C164" s="13" t="s">
        <v>14267</v>
      </c>
      <c r="D164" s="12" t="s">
        <v>8568</v>
      </c>
      <c r="E164" s="13" t="s">
        <v>580</v>
      </c>
      <c r="F164" s="681">
        <v>1.72</v>
      </c>
    </row>
    <row r="165" spans="2:6" ht="15.75" hidden="1" customHeight="1" x14ac:dyDescent="0.25">
      <c r="B165" s="13" t="s">
        <v>556</v>
      </c>
      <c r="C165" s="13" t="s">
        <v>14268</v>
      </c>
      <c r="D165" s="12" t="s">
        <v>9331</v>
      </c>
      <c r="E165" s="13" t="s">
        <v>823</v>
      </c>
      <c r="F165" s="681">
        <v>55.85</v>
      </c>
    </row>
    <row r="166" spans="2:6" ht="15.75" hidden="1" customHeight="1" x14ac:dyDescent="0.25">
      <c r="B166" s="13" t="s">
        <v>556</v>
      </c>
      <c r="C166" s="13" t="s">
        <v>14269</v>
      </c>
      <c r="D166" s="12" t="s">
        <v>10741</v>
      </c>
      <c r="E166" s="13" t="s">
        <v>580</v>
      </c>
      <c r="F166" s="681">
        <v>68.099999999999994</v>
      </c>
    </row>
    <row r="167" spans="2:6" ht="15.75" hidden="1" customHeight="1" x14ac:dyDescent="0.25">
      <c r="B167" s="13" t="s">
        <v>556</v>
      </c>
      <c r="C167" s="13" t="s">
        <v>14270</v>
      </c>
      <c r="D167" s="12" t="s">
        <v>10281</v>
      </c>
      <c r="E167" s="13" t="s">
        <v>580</v>
      </c>
      <c r="F167" s="681">
        <v>6.07</v>
      </c>
    </row>
    <row r="168" spans="2:6" ht="15.75" hidden="1" customHeight="1" x14ac:dyDescent="0.25">
      <c r="B168" s="13" t="s">
        <v>556</v>
      </c>
      <c r="C168" s="13" t="s">
        <v>14271</v>
      </c>
      <c r="D168" s="12" t="s">
        <v>10279</v>
      </c>
      <c r="E168" s="13" t="s">
        <v>580</v>
      </c>
      <c r="F168" s="681">
        <v>21.73</v>
      </c>
    </row>
    <row r="169" spans="2:6" ht="15.75" hidden="1" customHeight="1" x14ac:dyDescent="0.25">
      <c r="B169" s="13" t="s">
        <v>556</v>
      </c>
      <c r="C169" s="13" t="s">
        <v>14272</v>
      </c>
      <c r="D169" s="12" t="s">
        <v>10956</v>
      </c>
      <c r="E169" s="13" t="s">
        <v>578</v>
      </c>
      <c r="F169" s="681">
        <v>500</v>
      </c>
    </row>
    <row r="170" spans="2:6" ht="15.75" hidden="1" customHeight="1" x14ac:dyDescent="0.25">
      <c r="B170" s="13" t="s">
        <v>556</v>
      </c>
      <c r="C170" s="13" t="s">
        <v>14273</v>
      </c>
      <c r="D170" s="12" t="s">
        <v>10957</v>
      </c>
      <c r="E170" s="13" t="s">
        <v>578</v>
      </c>
      <c r="F170" s="681">
        <v>377.35</v>
      </c>
    </row>
    <row r="171" spans="2:6" ht="15.75" hidden="1" customHeight="1" x14ac:dyDescent="0.25">
      <c r="B171" s="13" t="s">
        <v>556</v>
      </c>
      <c r="C171" s="13" t="s">
        <v>14274</v>
      </c>
      <c r="D171" s="12" t="s">
        <v>10959</v>
      </c>
      <c r="E171" s="13" t="s">
        <v>578</v>
      </c>
      <c r="F171" s="681">
        <v>545.07000000000005</v>
      </c>
    </row>
    <row r="172" spans="2:6" ht="15.75" hidden="1" customHeight="1" x14ac:dyDescent="0.25">
      <c r="B172" s="13" t="s">
        <v>556</v>
      </c>
      <c r="C172" s="13" t="s">
        <v>14275</v>
      </c>
      <c r="D172" s="12" t="s">
        <v>14276</v>
      </c>
      <c r="E172" s="13" t="s">
        <v>580</v>
      </c>
      <c r="F172" s="681">
        <v>1206.01</v>
      </c>
    </row>
    <row r="173" spans="2:6" ht="15.75" hidden="1" customHeight="1" x14ac:dyDescent="0.25">
      <c r="B173" s="13" t="s">
        <v>556</v>
      </c>
      <c r="C173" s="13" t="s">
        <v>14277</v>
      </c>
      <c r="D173" s="12" t="s">
        <v>14278</v>
      </c>
      <c r="E173" s="13" t="s">
        <v>580</v>
      </c>
      <c r="F173" s="681">
        <v>1920.01</v>
      </c>
    </row>
    <row r="174" spans="2:6" ht="15.75" hidden="1" customHeight="1" x14ac:dyDescent="0.25">
      <c r="B174" s="13" t="s">
        <v>556</v>
      </c>
      <c r="C174" s="13" t="s">
        <v>14279</v>
      </c>
      <c r="D174" s="12" t="s">
        <v>14280</v>
      </c>
      <c r="E174" s="13" t="s">
        <v>580</v>
      </c>
      <c r="F174" s="681">
        <v>60</v>
      </c>
    </row>
    <row r="175" spans="2:6" ht="15.75" hidden="1" customHeight="1" x14ac:dyDescent="0.25">
      <c r="B175" s="13" t="s">
        <v>556</v>
      </c>
      <c r="C175" s="13" t="s">
        <v>14281</v>
      </c>
      <c r="D175" s="12" t="s">
        <v>10985</v>
      </c>
      <c r="E175" s="13" t="s">
        <v>580</v>
      </c>
      <c r="F175" s="681">
        <v>64.39</v>
      </c>
    </row>
    <row r="176" spans="2:6" ht="15.75" hidden="1" customHeight="1" x14ac:dyDescent="0.25">
      <c r="B176" s="13" t="s">
        <v>556</v>
      </c>
      <c r="C176" s="13" t="s">
        <v>14282</v>
      </c>
      <c r="D176" s="12" t="s">
        <v>10415</v>
      </c>
      <c r="E176" s="13" t="s">
        <v>580</v>
      </c>
      <c r="F176" s="681">
        <v>95.72</v>
      </c>
    </row>
    <row r="177" spans="2:6" ht="15.75" hidden="1" customHeight="1" x14ac:dyDescent="0.25">
      <c r="B177" s="13" t="s">
        <v>556</v>
      </c>
      <c r="C177" s="13" t="s">
        <v>14283</v>
      </c>
      <c r="D177" s="12" t="s">
        <v>14284</v>
      </c>
      <c r="E177" s="13" t="s">
        <v>585</v>
      </c>
      <c r="F177" s="681">
        <v>103.78</v>
      </c>
    </row>
    <row r="178" spans="2:6" ht="15.75" hidden="1" customHeight="1" x14ac:dyDescent="0.25">
      <c r="B178" s="13" t="s">
        <v>556</v>
      </c>
      <c r="C178" s="13" t="s">
        <v>14285</v>
      </c>
      <c r="D178" s="12" t="s">
        <v>14286</v>
      </c>
      <c r="E178" s="13" t="s">
        <v>585</v>
      </c>
      <c r="F178" s="681">
        <v>17.53</v>
      </c>
    </row>
    <row r="179" spans="2:6" ht="15.75" hidden="1" customHeight="1" x14ac:dyDescent="0.25">
      <c r="B179" s="13" t="s">
        <v>556</v>
      </c>
      <c r="C179" s="13" t="s">
        <v>14287</v>
      </c>
      <c r="D179" s="12" t="s">
        <v>9240</v>
      </c>
      <c r="E179" s="13" t="s">
        <v>580</v>
      </c>
      <c r="F179" s="681">
        <v>461.46</v>
      </c>
    </row>
    <row r="180" spans="2:6" ht="15.75" hidden="1" customHeight="1" x14ac:dyDescent="0.25">
      <c r="B180" s="13" t="s">
        <v>556</v>
      </c>
      <c r="C180" s="13" t="s">
        <v>14288</v>
      </c>
      <c r="D180" s="12" t="s">
        <v>9961</v>
      </c>
      <c r="E180" s="13" t="s">
        <v>580</v>
      </c>
      <c r="F180" s="681">
        <v>201.25</v>
      </c>
    </row>
    <row r="181" spans="2:6" ht="15.75" hidden="1" customHeight="1" x14ac:dyDescent="0.25">
      <c r="B181" s="13" t="s">
        <v>556</v>
      </c>
      <c r="C181" s="13" t="s">
        <v>14289</v>
      </c>
      <c r="D181" s="12" t="s">
        <v>9962</v>
      </c>
      <c r="E181" s="13" t="s">
        <v>580</v>
      </c>
      <c r="F181" s="681">
        <v>636.91999999999996</v>
      </c>
    </row>
    <row r="182" spans="2:6" ht="15.75" hidden="1" customHeight="1" x14ac:dyDescent="0.25">
      <c r="B182" s="13" t="s">
        <v>556</v>
      </c>
      <c r="C182" s="13" t="s">
        <v>14290</v>
      </c>
      <c r="D182" s="12" t="s">
        <v>9963</v>
      </c>
      <c r="E182" s="13" t="s">
        <v>580</v>
      </c>
      <c r="F182" s="681">
        <v>690</v>
      </c>
    </row>
    <row r="183" spans="2:6" ht="15.75" hidden="1" customHeight="1" x14ac:dyDescent="0.25">
      <c r="B183" s="13" t="s">
        <v>556</v>
      </c>
      <c r="C183" s="13" t="s">
        <v>14291</v>
      </c>
      <c r="D183" s="12" t="s">
        <v>9964</v>
      </c>
      <c r="E183" s="13" t="s">
        <v>580</v>
      </c>
      <c r="F183" s="681">
        <v>318.45999999999998</v>
      </c>
    </row>
    <row r="184" spans="2:6" ht="15.75" hidden="1" customHeight="1" x14ac:dyDescent="0.25">
      <c r="B184" s="13" t="s">
        <v>556</v>
      </c>
      <c r="C184" s="13" t="s">
        <v>14292</v>
      </c>
      <c r="D184" s="12" t="s">
        <v>9965</v>
      </c>
      <c r="E184" s="13" t="s">
        <v>580</v>
      </c>
      <c r="F184" s="681">
        <v>194.61</v>
      </c>
    </row>
    <row r="185" spans="2:6" ht="15.75" hidden="1" customHeight="1" x14ac:dyDescent="0.25">
      <c r="B185" s="13" t="s">
        <v>556</v>
      </c>
      <c r="C185" s="13" t="s">
        <v>14293</v>
      </c>
      <c r="D185" s="12" t="s">
        <v>9966</v>
      </c>
      <c r="E185" s="13" t="s">
        <v>580</v>
      </c>
      <c r="F185" s="681">
        <v>230</v>
      </c>
    </row>
    <row r="186" spans="2:6" ht="15.75" hidden="1" customHeight="1" x14ac:dyDescent="0.25">
      <c r="B186" s="13" t="s">
        <v>556</v>
      </c>
      <c r="C186" s="13" t="s">
        <v>14294</v>
      </c>
      <c r="D186" s="12" t="s">
        <v>8563</v>
      </c>
      <c r="E186" s="13" t="s">
        <v>580</v>
      </c>
      <c r="F186" s="681">
        <v>144.88999999999999</v>
      </c>
    </row>
    <row r="187" spans="2:6" ht="15.75" hidden="1" customHeight="1" x14ac:dyDescent="0.25">
      <c r="B187" s="13" t="s">
        <v>556</v>
      </c>
      <c r="C187" s="13" t="s">
        <v>14295</v>
      </c>
      <c r="D187" s="12" t="s">
        <v>8570</v>
      </c>
      <c r="E187" s="13" t="s">
        <v>580</v>
      </c>
      <c r="F187" s="681">
        <v>3.56</v>
      </c>
    </row>
    <row r="188" spans="2:6" ht="15.75" hidden="1" customHeight="1" x14ac:dyDescent="0.25">
      <c r="B188" s="13" t="s">
        <v>556</v>
      </c>
      <c r="C188" s="13" t="s">
        <v>14296</v>
      </c>
      <c r="D188" s="12" t="s">
        <v>8763</v>
      </c>
      <c r="E188" s="13" t="s">
        <v>580</v>
      </c>
      <c r="F188" s="681">
        <v>50.16</v>
      </c>
    </row>
    <row r="189" spans="2:6" ht="15.75" hidden="1" customHeight="1" x14ac:dyDescent="0.25">
      <c r="B189" s="13" t="s">
        <v>556</v>
      </c>
      <c r="C189" s="13" t="s">
        <v>14297</v>
      </c>
      <c r="D189" s="12" t="s">
        <v>8564</v>
      </c>
      <c r="E189" s="13" t="s">
        <v>580</v>
      </c>
      <c r="F189" s="681">
        <v>113.39</v>
      </c>
    </row>
    <row r="190" spans="2:6" ht="15.75" hidden="1" customHeight="1" x14ac:dyDescent="0.25">
      <c r="B190" s="13" t="s">
        <v>556</v>
      </c>
      <c r="C190" s="13" t="s">
        <v>14298</v>
      </c>
      <c r="D190" s="12" t="s">
        <v>9931</v>
      </c>
      <c r="E190" s="13" t="s">
        <v>580</v>
      </c>
      <c r="F190" s="681">
        <v>118.56</v>
      </c>
    </row>
    <row r="191" spans="2:6" ht="15.75" hidden="1" customHeight="1" x14ac:dyDescent="0.25">
      <c r="B191" s="13" t="s">
        <v>556</v>
      </c>
      <c r="C191" s="13" t="s">
        <v>14299</v>
      </c>
      <c r="D191" s="12" t="s">
        <v>9934</v>
      </c>
      <c r="E191" s="13" t="s">
        <v>580</v>
      </c>
      <c r="F191" s="681">
        <v>195.29</v>
      </c>
    </row>
    <row r="192" spans="2:6" ht="15.75" hidden="1" customHeight="1" x14ac:dyDescent="0.25">
      <c r="B192" s="13" t="s">
        <v>556</v>
      </c>
      <c r="C192" s="13" t="s">
        <v>14300</v>
      </c>
      <c r="D192" s="12" t="s">
        <v>11193</v>
      </c>
      <c r="E192" s="13" t="s">
        <v>580</v>
      </c>
      <c r="F192" s="681">
        <v>330.75</v>
      </c>
    </row>
    <row r="193" spans="2:6" ht="15.75" hidden="1" customHeight="1" x14ac:dyDescent="0.25">
      <c r="B193" s="13" t="s">
        <v>556</v>
      </c>
      <c r="C193" s="13" t="s">
        <v>14301</v>
      </c>
      <c r="D193" s="12" t="s">
        <v>11332</v>
      </c>
      <c r="E193" s="13" t="s">
        <v>580</v>
      </c>
      <c r="F193" s="681">
        <v>173.24</v>
      </c>
    </row>
    <row r="194" spans="2:6" ht="15.75" hidden="1" customHeight="1" x14ac:dyDescent="0.25">
      <c r="B194" s="13" t="s">
        <v>556</v>
      </c>
      <c r="C194" s="13" t="s">
        <v>14302</v>
      </c>
      <c r="D194" s="12" t="s">
        <v>10337</v>
      </c>
      <c r="E194" s="13" t="s">
        <v>580</v>
      </c>
      <c r="F194" s="681">
        <v>20.420000000000002</v>
      </c>
    </row>
    <row r="195" spans="2:6" ht="15.75" hidden="1" customHeight="1" x14ac:dyDescent="0.25">
      <c r="B195" s="13" t="s">
        <v>556</v>
      </c>
      <c r="C195" s="13" t="s">
        <v>14303</v>
      </c>
      <c r="D195" s="12" t="s">
        <v>10338</v>
      </c>
      <c r="E195" s="13" t="s">
        <v>580</v>
      </c>
      <c r="F195" s="681">
        <v>23.75</v>
      </c>
    </row>
    <row r="196" spans="2:6" ht="15.75" hidden="1" customHeight="1" x14ac:dyDescent="0.25">
      <c r="B196" s="13" t="s">
        <v>556</v>
      </c>
      <c r="C196" s="13" t="s">
        <v>14304</v>
      </c>
      <c r="D196" s="12" t="s">
        <v>8758</v>
      </c>
      <c r="E196" s="13" t="s">
        <v>580</v>
      </c>
      <c r="F196" s="681">
        <v>26.08</v>
      </c>
    </row>
    <row r="197" spans="2:6" ht="15.75" hidden="1" customHeight="1" x14ac:dyDescent="0.25">
      <c r="B197" s="13" t="s">
        <v>556</v>
      </c>
      <c r="C197" s="13" t="s">
        <v>14305</v>
      </c>
      <c r="D197" s="12" t="s">
        <v>10342</v>
      </c>
      <c r="E197" s="13" t="s">
        <v>580</v>
      </c>
      <c r="F197" s="681">
        <v>19.649999999999999</v>
      </c>
    </row>
    <row r="198" spans="2:6" ht="15.75" hidden="1" customHeight="1" x14ac:dyDescent="0.25">
      <c r="B198" s="13" t="s">
        <v>556</v>
      </c>
      <c r="C198" s="13" t="s">
        <v>14306</v>
      </c>
      <c r="D198" s="12" t="s">
        <v>11458</v>
      </c>
      <c r="E198" s="13" t="s">
        <v>578</v>
      </c>
      <c r="F198" s="681">
        <v>7.84</v>
      </c>
    </row>
    <row r="199" spans="2:6" ht="15.75" hidden="1" customHeight="1" x14ac:dyDescent="0.25">
      <c r="B199" s="13" t="s">
        <v>556</v>
      </c>
      <c r="C199" s="13" t="s">
        <v>14307</v>
      </c>
      <c r="D199" s="12" t="s">
        <v>8761</v>
      </c>
      <c r="E199" s="13" t="s">
        <v>580</v>
      </c>
      <c r="F199" s="681">
        <v>30</v>
      </c>
    </row>
    <row r="200" spans="2:6" ht="15.75" hidden="1" customHeight="1" x14ac:dyDescent="0.25">
      <c r="B200" s="13" t="s">
        <v>556</v>
      </c>
      <c r="C200" s="13" t="s">
        <v>14308</v>
      </c>
      <c r="D200" s="12" t="s">
        <v>14309</v>
      </c>
      <c r="E200" s="13" t="s">
        <v>580</v>
      </c>
      <c r="F200" s="681">
        <v>5610.25</v>
      </c>
    </row>
    <row r="201" spans="2:6" ht="15.75" hidden="1" customHeight="1" x14ac:dyDescent="0.25">
      <c r="B201" s="13" t="s">
        <v>556</v>
      </c>
      <c r="C201" s="13" t="s">
        <v>14310</v>
      </c>
      <c r="D201" s="12" t="s">
        <v>14311</v>
      </c>
      <c r="E201" s="13" t="s">
        <v>580</v>
      </c>
      <c r="F201" s="681">
        <v>5081.62</v>
      </c>
    </row>
    <row r="202" spans="2:6" ht="15.75" hidden="1" customHeight="1" x14ac:dyDescent="0.25">
      <c r="B202" s="13" t="s">
        <v>556</v>
      </c>
      <c r="C202" s="13" t="s">
        <v>14312</v>
      </c>
      <c r="D202" s="12" t="s">
        <v>14313</v>
      </c>
      <c r="E202" s="13" t="s">
        <v>580</v>
      </c>
      <c r="F202" s="681">
        <v>3003.46</v>
      </c>
    </row>
    <row r="203" spans="2:6" ht="15.75" hidden="1" customHeight="1" x14ac:dyDescent="0.25">
      <c r="B203" s="13" t="s">
        <v>556</v>
      </c>
      <c r="C203" s="13" t="s">
        <v>14314</v>
      </c>
      <c r="D203" s="12" t="s">
        <v>14315</v>
      </c>
      <c r="E203" s="13" t="s">
        <v>580</v>
      </c>
      <c r="F203" s="681">
        <v>3163.22</v>
      </c>
    </row>
    <row r="204" spans="2:6" ht="15.75" hidden="1" customHeight="1" x14ac:dyDescent="0.25">
      <c r="B204" s="13" t="s">
        <v>556</v>
      </c>
      <c r="C204" s="13" t="s">
        <v>14316</v>
      </c>
      <c r="D204" s="12" t="s">
        <v>11466</v>
      </c>
      <c r="E204" s="13" t="s">
        <v>578</v>
      </c>
      <c r="F204" s="681">
        <v>24.06</v>
      </c>
    </row>
    <row r="205" spans="2:6" ht="15.75" hidden="1" customHeight="1" x14ac:dyDescent="0.25">
      <c r="B205" s="13" t="s">
        <v>556</v>
      </c>
      <c r="C205" s="13" t="s">
        <v>14317</v>
      </c>
      <c r="D205" s="12" t="s">
        <v>11463</v>
      </c>
      <c r="E205" s="13" t="s">
        <v>578</v>
      </c>
      <c r="F205" s="681">
        <v>14.71</v>
      </c>
    </row>
    <row r="206" spans="2:6" ht="15.75" hidden="1" customHeight="1" x14ac:dyDescent="0.25">
      <c r="B206" s="13" t="s">
        <v>556</v>
      </c>
      <c r="C206" s="13" t="s">
        <v>14318</v>
      </c>
      <c r="D206" s="12" t="s">
        <v>8762</v>
      </c>
      <c r="E206" s="13" t="s">
        <v>580</v>
      </c>
      <c r="F206" s="681">
        <v>70.06</v>
      </c>
    </row>
    <row r="207" spans="2:6" ht="15.75" hidden="1" customHeight="1" x14ac:dyDescent="0.25">
      <c r="B207" s="13" t="s">
        <v>556</v>
      </c>
      <c r="C207" s="13" t="s">
        <v>14319</v>
      </c>
      <c r="D207" s="12" t="s">
        <v>11471</v>
      </c>
      <c r="E207" s="13" t="s">
        <v>578</v>
      </c>
      <c r="F207" s="681">
        <v>12.84</v>
      </c>
    </row>
    <row r="208" spans="2:6" ht="15.75" hidden="1" customHeight="1" x14ac:dyDescent="0.25">
      <c r="B208" s="13" t="s">
        <v>556</v>
      </c>
      <c r="C208" s="13" t="s">
        <v>14320</v>
      </c>
      <c r="D208" s="12" t="s">
        <v>11468</v>
      </c>
      <c r="E208" s="13" t="s">
        <v>578</v>
      </c>
      <c r="F208" s="681">
        <v>102.42</v>
      </c>
    </row>
    <row r="209" spans="2:6" ht="15.75" hidden="1" customHeight="1" x14ac:dyDescent="0.25">
      <c r="B209" s="13" t="s">
        <v>556</v>
      </c>
      <c r="C209" s="13" t="s">
        <v>14321</v>
      </c>
      <c r="D209" s="12" t="s">
        <v>11464</v>
      </c>
      <c r="E209" s="13" t="s">
        <v>578</v>
      </c>
      <c r="F209" s="681">
        <v>22.19</v>
      </c>
    </row>
    <row r="210" spans="2:6" ht="15.75" hidden="1" customHeight="1" x14ac:dyDescent="0.25">
      <c r="B210" s="13" t="s">
        <v>556</v>
      </c>
      <c r="C210" s="13" t="s">
        <v>14322</v>
      </c>
      <c r="D210" s="12" t="s">
        <v>11470</v>
      </c>
      <c r="E210" s="13" t="s">
        <v>578</v>
      </c>
      <c r="F210" s="681">
        <v>45.66</v>
      </c>
    </row>
    <row r="211" spans="2:6" ht="15.75" hidden="1" customHeight="1" x14ac:dyDescent="0.25">
      <c r="B211" s="13" t="s">
        <v>556</v>
      </c>
      <c r="C211" s="13" t="s">
        <v>14323</v>
      </c>
      <c r="D211" s="12" t="s">
        <v>11469</v>
      </c>
      <c r="E211" s="13" t="s">
        <v>578</v>
      </c>
      <c r="F211" s="681">
        <v>26.32</v>
      </c>
    </row>
    <row r="212" spans="2:6" ht="15.75" hidden="1" customHeight="1" x14ac:dyDescent="0.25">
      <c r="B212" s="13" t="s">
        <v>556</v>
      </c>
      <c r="C212" s="13" t="s">
        <v>14324</v>
      </c>
      <c r="D212" s="12" t="s">
        <v>8759</v>
      </c>
      <c r="E212" s="13" t="s">
        <v>580</v>
      </c>
      <c r="F212" s="681">
        <v>18.239999999999998</v>
      </c>
    </row>
    <row r="213" spans="2:6" ht="15.75" hidden="1" customHeight="1" x14ac:dyDescent="0.25">
      <c r="B213" s="13" t="s">
        <v>556</v>
      </c>
      <c r="C213" s="13" t="s">
        <v>14325</v>
      </c>
      <c r="D213" s="12" t="s">
        <v>8760</v>
      </c>
      <c r="E213" s="13" t="s">
        <v>580</v>
      </c>
      <c r="F213" s="681">
        <v>38.770000000000003</v>
      </c>
    </row>
    <row r="214" spans="2:6" ht="15.75" hidden="1" customHeight="1" x14ac:dyDescent="0.25">
      <c r="B214" s="13" t="s">
        <v>556</v>
      </c>
      <c r="C214" s="13" t="s">
        <v>14326</v>
      </c>
      <c r="D214" s="12" t="s">
        <v>14327</v>
      </c>
      <c r="E214" s="13" t="s">
        <v>580</v>
      </c>
      <c r="F214" s="681">
        <v>63.51</v>
      </c>
    </row>
    <row r="215" spans="2:6" ht="15.75" hidden="1" customHeight="1" x14ac:dyDescent="0.25">
      <c r="B215" s="13" t="s">
        <v>556</v>
      </c>
      <c r="C215" s="13" t="s">
        <v>14328</v>
      </c>
      <c r="D215" s="677" t="s">
        <v>14329</v>
      </c>
      <c r="E215" s="13" t="s">
        <v>823</v>
      </c>
      <c r="F215" s="681">
        <v>9.42</v>
      </c>
    </row>
    <row r="216" spans="2:6" ht="15.75" hidden="1" customHeight="1" x14ac:dyDescent="0.25">
      <c r="B216" s="13" t="s">
        <v>556</v>
      </c>
      <c r="C216" s="13" t="s">
        <v>14330</v>
      </c>
      <c r="D216" s="12" t="s">
        <v>8764</v>
      </c>
      <c r="E216" s="13" t="s">
        <v>580</v>
      </c>
      <c r="F216" s="681">
        <v>90.27</v>
      </c>
    </row>
    <row r="217" spans="2:6" ht="15.75" hidden="1" customHeight="1" x14ac:dyDescent="0.25">
      <c r="B217" s="13" t="s">
        <v>556</v>
      </c>
      <c r="C217" s="13" t="s">
        <v>13520</v>
      </c>
      <c r="D217" s="12" t="s">
        <v>14331</v>
      </c>
      <c r="E217" s="13" t="s">
        <v>823</v>
      </c>
      <c r="F217" s="681">
        <v>9.1199999999999992</v>
      </c>
    </row>
    <row r="218" spans="2:6" ht="15.75" hidden="1" customHeight="1" x14ac:dyDescent="0.25">
      <c r="B218" s="13" t="s">
        <v>556</v>
      </c>
      <c r="C218" s="13" t="s">
        <v>14332</v>
      </c>
      <c r="D218" s="12" t="s">
        <v>8765</v>
      </c>
      <c r="E218" s="13" t="s">
        <v>580</v>
      </c>
      <c r="F218" s="681">
        <v>76.63</v>
      </c>
    </row>
    <row r="219" spans="2:6" ht="15.75" hidden="1" customHeight="1" x14ac:dyDescent="0.25">
      <c r="B219" s="13" t="s">
        <v>556</v>
      </c>
      <c r="C219" s="13" t="s">
        <v>14333</v>
      </c>
      <c r="D219" s="12" t="s">
        <v>9080</v>
      </c>
      <c r="E219" s="13" t="s">
        <v>580</v>
      </c>
      <c r="F219" s="681">
        <v>4.03</v>
      </c>
    </row>
    <row r="220" spans="2:6" ht="15.75" hidden="1" customHeight="1" x14ac:dyDescent="0.25">
      <c r="B220" s="13" t="s">
        <v>556</v>
      </c>
      <c r="C220" s="13" t="s">
        <v>14334</v>
      </c>
      <c r="D220" s="12" t="s">
        <v>9073</v>
      </c>
      <c r="E220" s="13" t="s">
        <v>580</v>
      </c>
      <c r="F220" s="681">
        <v>7.56</v>
      </c>
    </row>
    <row r="221" spans="2:6" ht="15.75" hidden="1" customHeight="1" x14ac:dyDescent="0.25">
      <c r="B221" s="13" t="s">
        <v>556</v>
      </c>
      <c r="C221" s="13" t="s">
        <v>14335</v>
      </c>
      <c r="D221" s="12" t="s">
        <v>9820</v>
      </c>
      <c r="E221" s="13" t="s">
        <v>823</v>
      </c>
      <c r="F221" s="681">
        <v>54.24</v>
      </c>
    </row>
    <row r="222" spans="2:6" ht="15.75" hidden="1" customHeight="1" x14ac:dyDescent="0.25">
      <c r="B222" s="13" t="s">
        <v>556</v>
      </c>
      <c r="C222" s="13" t="s">
        <v>14336</v>
      </c>
      <c r="D222" s="12" t="s">
        <v>9817</v>
      </c>
      <c r="E222" s="13" t="s">
        <v>823</v>
      </c>
      <c r="F222" s="681">
        <v>56.85</v>
      </c>
    </row>
    <row r="223" spans="2:6" ht="15.75" hidden="1" customHeight="1" x14ac:dyDescent="0.25">
      <c r="B223" s="13" t="s">
        <v>556</v>
      </c>
      <c r="C223" s="13" t="s">
        <v>14337</v>
      </c>
      <c r="D223" s="12" t="s">
        <v>9819</v>
      </c>
      <c r="E223" s="13" t="s">
        <v>823</v>
      </c>
      <c r="F223" s="681">
        <v>50.04</v>
      </c>
    </row>
    <row r="224" spans="2:6" ht="15.75" hidden="1" customHeight="1" x14ac:dyDescent="0.25">
      <c r="B224" s="13" t="s">
        <v>556</v>
      </c>
      <c r="C224" s="13" t="s">
        <v>14338</v>
      </c>
      <c r="D224" s="12" t="s">
        <v>8569</v>
      </c>
      <c r="E224" s="13" t="s">
        <v>580</v>
      </c>
      <c r="F224" s="681">
        <v>5.98</v>
      </c>
    </row>
    <row r="225" spans="2:6" ht="15.75" hidden="1" customHeight="1" x14ac:dyDescent="0.25">
      <c r="B225" s="13" t="s">
        <v>556</v>
      </c>
      <c r="C225" s="13" t="s">
        <v>14339</v>
      </c>
      <c r="D225" s="12" t="s">
        <v>9077</v>
      </c>
      <c r="E225" s="13" t="s">
        <v>580</v>
      </c>
      <c r="F225" s="681">
        <v>16.82</v>
      </c>
    </row>
    <row r="226" spans="2:6" ht="15.75" hidden="1" customHeight="1" x14ac:dyDescent="0.25">
      <c r="B226" s="13" t="s">
        <v>556</v>
      </c>
      <c r="C226" s="13" t="s">
        <v>14340</v>
      </c>
      <c r="D226" s="12" t="s">
        <v>9818</v>
      </c>
      <c r="E226" s="13" t="s">
        <v>823</v>
      </c>
      <c r="F226" s="681">
        <v>52.09</v>
      </c>
    </row>
    <row r="227" spans="2:6" ht="15.75" hidden="1" customHeight="1" x14ac:dyDescent="0.25">
      <c r="B227" s="13" t="s">
        <v>556</v>
      </c>
      <c r="C227" s="13" t="s">
        <v>14341</v>
      </c>
      <c r="D227" s="12" t="s">
        <v>9076</v>
      </c>
      <c r="E227" s="13" t="s">
        <v>580</v>
      </c>
      <c r="F227" s="681">
        <v>32.6</v>
      </c>
    </row>
    <row r="228" spans="2:6" ht="15.75" hidden="1" customHeight="1" x14ac:dyDescent="0.25">
      <c r="B228" s="13" t="s">
        <v>556</v>
      </c>
      <c r="C228" s="13" t="s">
        <v>14342</v>
      </c>
      <c r="D228" s="12" t="s">
        <v>9079</v>
      </c>
      <c r="E228" s="13" t="s">
        <v>580</v>
      </c>
      <c r="F228" s="681">
        <v>48.61</v>
      </c>
    </row>
    <row r="229" spans="2:6" ht="15.75" hidden="1" customHeight="1" x14ac:dyDescent="0.25">
      <c r="B229" s="13" t="s">
        <v>556</v>
      </c>
      <c r="C229" s="13" t="s">
        <v>14343</v>
      </c>
      <c r="D229" s="677" t="s">
        <v>14344</v>
      </c>
      <c r="E229" s="13" t="s">
        <v>823</v>
      </c>
      <c r="F229" s="681">
        <v>10.4</v>
      </c>
    </row>
    <row r="230" spans="2:6" ht="15.75" hidden="1" customHeight="1" x14ac:dyDescent="0.25">
      <c r="B230" s="13" t="s">
        <v>556</v>
      </c>
      <c r="C230" s="13" t="s">
        <v>14345</v>
      </c>
      <c r="D230" s="677" t="s">
        <v>14346</v>
      </c>
      <c r="E230" s="13" t="s">
        <v>823</v>
      </c>
      <c r="F230" s="681">
        <v>10.83</v>
      </c>
    </row>
    <row r="231" spans="2:6" ht="15.75" hidden="1" customHeight="1" x14ac:dyDescent="0.25">
      <c r="B231" s="13" t="s">
        <v>556</v>
      </c>
      <c r="C231" s="13" t="s">
        <v>14347</v>
      </c>
      <c r="D231" s="12" t="s">
        <v>10175</v>
      </c>
      <c r="E231" s="13" t="s">
        <v>9561</v>
      </c>
      <c r="F231" s="681">
        <v>2.09</v>
      </c>
    </row>
    <row r="232" spans="2:6" ht="15.75" hidden="1" customHeight="1" x14ac:dyDescent="0.25">
      <c r="B232" s="13" t="s">
        <v>556</v>
      </c>
      <c r="C232" s="13" t="s">
        <v>14348</v>
      </c>
      <c r="D232" s="12" t="s">
        <v>10134</v>
      </c>
      <c r="E232" s="13" t="s">
        <v>580</v>
      </c>
      <c r="F232" s="681">
        <v>13.62</v>
      </c>
    </row>
    <row r="233" spans="2:6" ht="15.75" hidden="1" customHeight="1" x14ac:dyDescent="0.25">
      <c r="B233" s="13" t="s">
        <v>556</v>
      </c>
      <c r="C233" s="13" t="s">
        <v>14349</v>
      </c>
      <c r="D233" s="12" t="s">
        <v>11306</v>
      </c>
      <c r="E233" s="13" t="s">
        <v>580</v>
      </c>
      <c r="F233" s="681">
        <v>7.75</v>
      </c>
    </row>
    <row r="234" spans="2:6" ht="15.75" hidden="1" customHeight="1" x14ac:dyDescent="0.25">
      <c r="B234" s="13" t="s">
        <v>556</v>
      </c>
      <c r="C234" s="13" t="s">
        <v>14350</v>
      </c>
      <c r="D234" s="12" t="s">
        <v>14351</v>
      </c>
      <c r="E234" s="13" t="s">
        <v>580</v>
      </c>
      <c r="F234" s="681">
        <v>34.43</v>
      </c>
    </row>
    <row r="235" spans="2:6" ht="15.75" hidden="1" customHeight="1" x14ac:dyDescent="0.25">
      <c r="B235" s="13" t="s">
        <v>556</v>
      </c>
      <c r="C235" s="13" t="s">
        <v>14352</v>
      </c>
      <c r="D235" s="677" t="s">
        <v>14353</v>
      </c>
      <c r="E235" s="13" t="s">
        <v>823</v>
      </c>
      <c r="F235" s="681">
        <v>10.37</v>
      </c>
    </row>
    <row r="236" spans="2:6" ht="15.75" hidden="1" customHeight="1" x14ac:dyDescent="0.25">
      <c r="B236" s="13" t="s">
        <v>556</v>
      </c>
      <c r="C236" s="13" t="s">
        <v>14354</v>
      </c>
      <c r="D236" s="677" t="s">
        <v>14355</v>
      </c>
      <c r="E236" s="13" t="s">
        <v>823</v>
      </c>
      <c r="F236" s="681">
        <v>11.31</v>
      </c>
    </row>
    <row r="237" spans="2:6" ht="15.75" hidden="1" customHeight="1" x14ac:dyDescent="0.25">
      <c r="B237" s="13" t="s">
        <v>556</v>
      </c>
      <c r="C237" s="13" t="s">
        <v>14356</v>
      </c>
      <c r="D237" s="677" t="s">
        <v>14357</v>
      </c>
      <c r="E237" s="13" t="s">
        <v>823</v>
      </c>
      <c r="F237" s="681">
        <v>10.81</v>
      </c>
    </row>
    <row r="238" spans="2:6" ht="15.75" hidden="1" customHeight="1" x14ac:dyDescent="0.25">
      <c r="B238" s="13" t="s">
        <v>556</v>
      </c>
      <c r="C238" s="13" t="s">
        <v>14358</v>
      </c>
      <c r="D238" s="677" t="s">
        <v>14359</v>
      </c>
      <c r="E238" s="13" t="s">
        <v>823</v>
      </c>
      <c r="F238" s="681">
        <v>11.35</v>
      </c>
    </row>
    <row r="239" spans="2:6" ht="15.75" hidden="1" customHeight="1" x14ac:dyDescent="0.25">
      <c r="B239" s="13" t="s">
        <v>556</v>
      </c>
      <c r="C239" s="13" t="s">
        <v>14360</v>
      </c>
      <c r="D239" s="12" t="s">
        <v>10834</v>
      </c>
      <c r="E239" s="13" t="s">
        <v>580</v>
      </c>
      <c r="F239" s="681">
        <v>0.05</v>
      </c>
    </row>
    <row r="240" spans="2:6" ht="15.75" hidden="1" customHeight="1" x14ac:dyDescent="0.25">
      <c r="B240" s="13" t="s">
        <v>556</v>
      </c>
      <c r="C240" s="13" t="s">
        <v>14361</v>
      </c>
      <c r="D240" s="12" t="s">
        <v>10835</v>
      </c>
      <c r="E240" s="13" t="s">
        <v>580</v>
      </c>
      <c r="F240" s="681">
        <v>0.08</v>
      </c>
    </row>
    <row r="241" spans="2:6" ht="15.75" hidden="1" customHeight="1" x14ac:dyDescent="0.25">
      <c r="B241" s="13" t="s">
        <v>556</v>
      </c>
      <c r="C241" s="13" t="s">
        <v>14362</v>
      </c>
      <c r="D241" s="12" t="s">
        <v>10836</v>
      </c>
      <c r="E241" s="13" t="s">
        <v>580</v>
      </c>
      <c r="F241" s="681">
        <v>0.09</v>
      </c>
    </row>
    <row r="242" spans="2:6" ht="15.75" hidden="1" customHeight="1" x14ac:dyDescent="0.25">
      <c r="B242" s="13" t="s">
        <v>556</v>
      </c>
      <c r="C242" s="13" t="s">
        <v>14363</v>
      </c>
      <c r="D242" s="12" t="s">
        <v>10837</v>
      </c>
      <c r="E242" s="13" t="s">
        <v>580</v>
      </c>
      <c r="F242" s="681">
        <v>0.18</v>
      </c>
    </row>
    <row r="243" spans="2:6" ht="15.75" hidden="1" customHeight="1" x14ac:dyDescent="0.25">
      <c r="B243" s="13" t="s">
        <v>556</v>
      </c>
      <c r="C243" s="13" t="s">
        <v>14364</v>
      </c>
      <c r="D243" s="12" t="s">
        <v>10839</v>
      </c>
      <c r="E243" s="13" t="s">
        <v>580</v>
      </c>
      <c r="F243" s="681">
        <v>0.46</v>
      </c>
    </row>
    <row r="244" spans="2:6" ht="15.75" hidden="1" customHeight="1" x14ac:dyDescent="0.25">
      <c r="B244" s="13" t="s">
        <v>556</v>
      </c>
      <c r="C244" s="13" t="s">
        <v>14365</v>
      </c>
      <c r="D244" s="12" t="s">
        <v>10838</v>
      </c>
      <c r="E244" s="13" t="s">
        <v>580</v>
      </c>
      <c r="F244" s="681">
        <v>0.36</v>
      </c>
    </row>
    <row r="245" spans="2:6" ht="15.75" hidden="1" customHeight="1" x14ac:dyDescent="0.25">
      <c r="B245" s="13" t="s">
        <v>556</v>
      </c>
      <c r="C245" s="13" t="s">
        <v>14366</v>
      </c>
      <c r="D245" s="12" t="s">
        <v>9269</v>
      </c>
      <c r="E245" s="13" t="s">
        <v>823</v>
      </c>
      <c r="F245" s="681">
        <v>0.94</v>
      </c>
    </row>
    <row r="246" spans="2:6" ht="15.75" hidden="1" customHeight="1" x14ac:dyDescent="0.25">
      <c r="B246" s="13" t="s">
        <v>556</v>
      </c>
      <c r="C246" s="13" t="s">
        <v>14367</v>
      </c>
      <c r="D246" s="12" t="s">
        <v>11591</v>
      </c>
      <c r="E246" s="13" t="s">
        <v>580</v>
      </c>
      <c r="F246" s="681">
        <v>45.92</v>
      </c>
    </row>
    <row r="247" spans="2:6" ht="15.75" hidden="1" customHeight="1" x14ac:dyDescent="0.25">
      <c r="B247" s="13" t="s">
        <v>556</v>
      </c>
      <c r="C247" s="13" t="s">
        <v>14368</v>
      </c>
      <c r="D247" s="677" t="s">
        <v>14369</v>
      </c>
      <c r="E247" s="13" t="s">
        <v>823</v>
      </c>
      <c r="F247" s="681">
        <v>13.62</v>
      </c>
    </row>
    <row r="248" spans="2:6" ht="15.75" hidden="1" customHeight="1" x14ac:dyDescent="0.25">
      <c r="B248" s="13" t="s">
        <v>556</v>
      </c>
      <c r="C248" s="13" t="s">
        <v>14370</v>
      </c>
      <c r="D248" s="12" t="s">
        <v>10983</v>
      </c>
      <c r="E248" s="13" t="s">
        <v>578</v>
      </c>
      <c r="F248" s="681">
        <v>45.54</v>
      </c>
    </row>
    <row r="249" spans="2:6" ht="15.75" hidden="1" customHeight="1" x14ac:dyDescent="0.25">
      <c r="B249" s="13" t="s">
        <v>556</v>
      </c>
      <c r="C249" s="13" t="s">
        <v>14371</v>
      </c>
      <c r="D249" s="12" t="s">
        <v>10984</v>
      </c>
      <c r="E249" s="13" t="s">
        <v>578</v>
      </c>
      <c r="F249" s="681">
        <v>27.87</v>
      </c>
    </row>
    <row r="250" spans="2:6" ht="15.75" hidden="1" customHeight="1" x14ac:dyDescent="0.25">
      <c r="B250" s="13" t="s">
        <v>556</v>
      </c>
      <c r="C250" s="13" t="s">
        <v>14372</v>
      </c>
      <c r="D250" s="12" t="s">
        <v>14373</v>
      </c>
      <c r="E250" s="13" t="s">
        <v>580</v>
      </c>
      <c r="F250" s="681">
        <v>438.65</v>
      </c>
    </row>
    <row r="251" spans="2:6" ht="15.75" hidden="1" customHeight="1" x14ac:dyDescent="0.25">
      <c r="B251" s="13" t="s">
        <v>556</v>
      </c>
      <c r="C251" s="13" t="s">
        <v>14374</v>
      </c>
      <c r="D251" s="12" t="s">
        <v>14375</v>
      </c>
      <c r="E251" s="13" t="s">
        <v>580</v>
      </c>
      <c r="F251" s="681">
        <v>554.16</v>
      </c>
    </row>
    <row r="252" spans="2:6" ht="15.75" hidden="1" customHeight="1" x14ac:dyDescent="0.25">
      <c r="B252" s="13" t="s">
        <v>556</v>
      </c>
      <c r="C252" s="13" t="s">
        <v>14376</v>
      </c>
      <c r="D252" s="12" t="s">
        <v>9271</v>
      </c>
      <c r="E252" s="13" t="s">
        <v>823</v>
      </c>
      <c r="F252" s="681">
        <v>0.8</v>
      </c>
    </row>
    <row r="253" spans="2:6" ht="15.75" hidden="1" customHeight="1" x14ac:dyDescent="0.25">
      <c r="B253" s="13" t="s">
        <v>556</v>
      </c>
      <c r="C253" s="13" t="s">
        <v>14377</v>
      </c>
      <c r="D253" s="12" t="s">
        <v>8744</v>
      </c>
      <c r="E253" s="13" t="s">
        <v>664</v>
      </c>
      <c r="F253" s="681">
        <v>895.19</v>
      </c>
    </row>
    <row r="254" spans="2:6" ht="15.75" hidden="1" customHeight="1" x14ac:dyDescent="0.25">
      <c r="B254" s="13" t="s">
        <v>556</v>
      </c>
      <c r="C254" s="13" t="s">
        <v>14378</v>
      </c>
      <c r="D254" s="12" t="s">
        <v>14379</v>
      </c>
      <c r="E254" s="13" t="s">
        <v>585</v>
      </c>
      <c r="F254" s="681">
        <v>25.28</v>
      </c>
    </row>
    <row r="255" spans="2:6" ht="15.75" hidden="1" customHeight="1" x14ac:dyDescent="0.25">
      <c r="B255" s="13" t="s">
        <v>556</v>
      </c>
      <c r="C255" s="13" t="s">
        <v>14380</v>
      </c>
      <c r="D255" s="12" t="s">
        <v>14381</v>
      </c>
      <c r="E255" s="13" t="s">
        <v>585</v>
      </c>
      <c r="F255" s="681">
        <v>25.28</v>
      </c>
    </row>
    <row r="256" spans="2:6" ht="15.75" hidden="1" customHeight="1" x14ac:dyDescent="0.25">
      <c r="B256" s="13" t="s">
        <v>556</v>
      </c>
      <c r="C256" s="13" t="s">
        <v>14382</v>
      </c>
      <c r="D256" s="12" t="s">
        <v>10938</v>
      </c>
      <c r="E256" s="13" t="s">
        <v>580</v>
      </c>
      <c r="F256" s="681">
        <v>1.8</v>
      </c>
    </row>
    <row r="257" spans="2:6" ht="15.75" hidden="1" customHeight="1" x14ac:dyDescent="0.25">
      <c r="B257" s="13" t="s">
        <v>556</v>
      </c>
      <c r="C257" s="13" t="s">
        <v>14383</v>
      </c>
      <c r="D257" s="12" t="s">
        <v>8571</v>
      </c>
      <c r="E257" s="13" t="s">
        <v>580</v>
      </c>
      <c r="F257" s="681">
        <v>8.09</v>
      </c>
    </row>
    <row r="258" spans="2:6" ht="15.75" hidden="1" customHeight="1" x14ac:dyDescent="0.25">
      <c r="B258" s="13" t="s">
        <v>556</v>
      </c>
      <c r="C258" s="13" t="s">
        <v>14384</v>
      </c>
      <c r="D258" s="12" t="s">
        <v>14385</v>
      </c>
      <c r="E258" s="13" t="s">
        <v>585</v>
      </c>
      <c r="F258" s="681">
        <v>30.11</v>
      </c>
    </row>
    <row r="259" spans="2:6" ht="15.75" hidden="1" customHeight="1" x14ac:dyDescent="0.25">
      <c r="B259" s="13" t="s">
        <v>556</v>
      </c>
      <c r="C259" s="13" t="s">
        <v>14386</v>
      </c>
      <c r="D259" s="12" t="s">
        <v>9796</v>
      </c>
      <c r="E259" s="13" t="s">
        <v>580</v>
      </c>
      <c r="F259" s="681">
        <v>653.72</v>
      </c>
    </row>
    <row r="260" spans="2:6" ht="15.75" hidden="1" customHeight="1" x14ac:dyDescent="0.25">
      <c r="B260" s="13" t="s">
        <v>556</v>
      </c>
      <c r="C260" s="13" t="s">
        <v>14387</v>
      </c>
      <c r="D260" s="12" t="s">
        <v>14388</v>
      </c>
      <c r="E260" s="13" t="s">
        <v>585</v>
      </c>
      <c r="F260" s="681">
        <v>25.28</v>
      </c>
    </row>
    <row r="261" spans="2:6" ht="15.75" hidden="1" customHeight="1" x14ac:dyDescent="0.25">
      <c r="B261" s="13" t="s">
        <v>556</v>
      </c>
      <c r="C261" s="13" t="s">
        <v>14389</v>
      </c>
      <c r="D261" s="12" t="s">
        <v>9396</v>
      </c>
      <c r="E261" s="13" t="s">
        <v>578</v>
      </c>
      <c r="F261" s="681">
        <v>56.77</v>
      </c>
    </row>
    <row r="262" spans="2:6" ht="15.75" hidden="1" customHeight="1" x14ac:dyDescent="0.25">
      <c r="B262" s="13" t="s">
        <v>556</v>
      </c>
      <c r="C262" s="13" t="s">
        <v>14390</v>
      </c>
      <c r="D262" s="12" t="s">
        <v>9397</v>
      </c>
      <c r="E262" s="13" t="s">
        <v>578</v>
      </c>
      <c r="F262" s="681">
        <v>61.3</v>
      </c>
    </row>
    <row r="263" spans="2:6" ht="15.75" hidden="1" customHeight="1" x14ac:dyDescent="0.25">
      <c r="B263" s="13" t="s">
        <v>556</v>
      </c>
      <c r="C263" s="13" t="s">
        <v>14391</v>
      </c>
      <c r="D263" s="12" t="s">
        <v>9398</v>
      </c>
      <c r="E263" s="13" t="s">
        <v>578</v>
      </c>
      <c r="F263" s="681">
        <v>70.19</v>
      </c>
    </row>
    <row r="264" spans="2:6" ht="15.75" hidden="1" customHeight="1" x14ac:dyDescent="0.25">
      <c r="B264" s="13" t="s">
        <v>556</v>
      </c>
      <c r="C264" s="13" t="s">
        <v>14392</v>
      </c>
      <c r="D264" s="12" t="s">
        <v>9400</v>
      </c>
      <c r="E264" s="13" t="s">
        <v>578</v>
      </c>
      <c r="F264" s="681">
        <v>96.18</v>
      </c>
    </row>
    <row r="265" spans="2:6" ht="15.75" hidden="1" customHeight="1" x14ac:dyDescent="0.25">
      <c r="B265" s="13" t="s">
        <v>556</v>
      </c>
      <c r="C265" s="13" t="s">
        <v>14393</v>
      </c>
      <c r="D265" s="12" t="s">
        <v>14394</v>
      </c>
      <c r="E265" s="13" t="s">
        <v>585</v>
      </c>
      <c r="F265" s="681">
        <v>30.11</v>
      </c>
    </row>
    <row r="266" spans="2:6" ht="15.75" hidden="1" customHeight="1" x14ac:dyDescent="0.25">
      <c r="B266" s="13" t="s">
        <v>556</v>
      </c>
      <c r="C266" s="13" t="s">
        <v>14395</v>
      </c>
      <c r="D266" s="12" t="s">
        <v>9427</v>
      </c>
      <c r="E266" s="13" t="s">
        <v>664</v>
      </c>
      <c r="F266" s="681">
        <v>496.61</v>
      </c>
    </row>
    <row r="267" spans="2:6" ht="15.75" hidden="1" customHeight="1" x14ac:dyDescent="0.25">
      <c r="B267" s="13" t="s">
        <v>556</v>
      </c>
      <c r="C267" s="13" t="s">
        <v>14396</v>
      </c>
      <c r="D267" s="12" t="s">
        <v>9406</v>
      </c>
      <c r="E267" s="13" t="s">
        <v>664</v>
      </c>
      <c r="F267" s="681">
        <v>472.6</v>
      </c>
    </row>
    <row r="268" spans="2:6" ht="15.75" hidden="1" customHeight="1" x14ac:dyDescent="0.25">
      <c r="B268" s="13" t="s">
        <v>556</v>
      </c>
      <c r="C268" s="13" t="s">
        <v>14397</v>
      </c>
      <c r="D268" s="12" t="s">
        <v>9407</v>
      </c>
      <c r="E268" s="13" t="s">
        <v>664</v>
      </c>
      <c r="F268" s="681">
        <v>491.1</v>
      </c>
    </row>
    <row r="269" spans="2:6" ht="15.75" hidden="1" customHeight="1" x14ac:dyDescent="0.25">
      <c r="B269" s="13" t="s">
        <v>556</v>
      </c>
      <c r="C269" s="13" t="s">
        <v>14398</v>
      </c>
      <c r="D269" s="12" t="s">
        <v>14399</v>
      </c>
      <c r="E269" s="13" t="s">
        <v>585</v>
      </c>
      <c r="F269" s="681">
        <v>21.62</v>
      </c>
    </row>
    <row r="270" spans="2:6" ht="15.75" hidden="1" customHeight="1" x14ac:dyDescent="0.25">
      <c r="B270" s="13" t="s">
        <v>556</v>
      </c>
      <c r="C270" s="13" t="s">
        <v>14400</v>
      </c>
      <c r="D270" s="12" t="s">
        <v>11018</v>
      </c>
      <c r="E270" s="13" t="s">
        <v>580</v>
      </c>
      <c r="F270" s="681">
        <v>1584.05</v>
      </c>
    </row>
    <row r="271" spans="2:6" ht="15.75" hidden="1" customHeight="1" x14ac:dyDescent="0.25">
      <c r="B271" s="13" t="s">
        <v>556</v>
      </c>
      <c r="C271" s="13" t="s">
        <v>14401</v>
      </c>
      <c r="D271" s="12" t="s">
        <v>14402</v>
      </c>
      <c r="E271" s="13" t="s">
        <v>585</v>
      </c>
      <c r="F271" s="681">
        <v>18.04</v>
      </c>
    </row>
    <row r="272" spans="2:6" ht="15.75" hidden="1" customHeight="1" x14ac:dyDescent="0.25">
      <c r="B272" s="13" t="s">
        <v>556</v>
      </c>
      <c r="C272" s="13" t="s">
        <v>14403</v>
      </c>
      <c r="D272" s="12" t="s">
        <v>9270</v>
      </c>
      <c r="E272" s="13" t="s">
        <v>823</v>
      </c>
      <c r="F272" s="681">
        <v>1.57</v>
      </c>
    </row>
    <row r="273" spans="2:6" ht="15.75" hidden="1" customHeight="1" x14ac:dyDescent="0.25">
      <c r="B273" s="13" t="s">
        <v>556</v>
      </c>
      <c r="C273" s="13" t="s">
        <v>14404</v>
      </c>
      <c r="D273" s="12" t="s">
        <v>14405</v>
      </c>
      <c r="E273" s="13" t="s">
        <v>585</v>
      </c>
      <c r="F273" s="681">
        <v>25.48</v>
      </c>
    </row>
    <row r="274" spans="2:6" ht="15.75" hidden="1" customHeight="1" x14ac:dyDescent="0.25">
      <c r="B274" s="13" t="s">
        <v>556</v>
      </c>
      <c r="C274" s="13" t="s">
        <v>14406</v>
      </c>
      <c r="D274" s="12" t="s">
        <v>14407</v>
      </c>
      <c r="E274" s="13" t="s">
        <v>585</v>
      </c>
      <c r="F274" s="681">
        <v>30.11</v>
      </c>
    </row>
    <row r="275" spans="2:6" ht="15.75" hidden="1" customHeight="1" x14ac:dyDescent="0.25">
      <c r="B275" s="13" t="s">
        <v>556</v>
      </c>
      <c r="C275" s="13" t="s">
        <v>14408</v>
      </c>
      <c r="D275" s="12" t="s">
        <v>11864</v>
      </c>
      <c r="E275" s="13" t="s">
        <v>578</v>
      </c>
      <c r="F275" s="681">
        <v>464.99</v>
      </c>
    </row>
    <row r="276" spans="2:6" ht="15.75" hidden="1" customHeight="1" x14ac:dyDescent="0.25">
      <c r="B276" s="13" t="s">
        <v>556</v>
      </c>
      <c r="C276" s="13" t="s">
        <v>14409</v>
      </c>
      <c r="D276" s="12" t="s">
        <v>9948</v>
      </c>
      <c r="E276" s="13" t="s">
        <v>578</v>
      </c>
      <c r="F276" s="681">
        <v>516</v>
      </c>
    </row>
    <row r="277" spans="2:6" ht="15.75" hidden="1" customHeight="1" x14ac:dyDescent="0.25">
      <c r="B277" s="13" t="s">
        <v>556</v>
      </c>
      <c r="C277" s="13" t="s">
        <v>14410</v>
      </c>
      <c r="D277" s="12" t="s">
        <v>11853</v>
      </c>
      <c r="E277" s="13" t="s">
        <v>578</v>
      </c>
      <c r="F277" s="681">
        <v>239.99</v>
      </c>
    </row>
    <row r="278" spans="2:6" ht="15.75" hidden="1" customHeight="1" x14ac:dyDescent="0.25">
      <c r="B278" s="13" t="s">
        <v>556</v>
      </c>
      <c r="C278" s="13" t="s">
        <v>14411</v>
      </c>
      <c r="D278" s="12" t="s">
        <v>11854</v>
      </c>
      <c r="E278" s="13" t="s">
        <v>578</v>
      </c>
      <c r="F278" s="681">
        <v>360</v>
      </c>
    </row>
    <row r="279" spans="2:6" ht="15.75" hidden="1" customHeight="1" x14ac:dyDescent="0.25">
      <c r="B279" s="13" t="s">
        <v>556</v>
      </c>
      <c r="C279" s="13" t="s">
        <v>14412</v>
      </c>
      <c r="D279" s="12" t="s">
        <v>14413</v>
      </c>
      <c r="E279" s="13" t="s">
        <v>585</v>
      </c>
      <c r="F279" s="681">
        <v>16.29</v>
      </c>
    </row>
    <row r="280" spans="2:6" ht="15.75" hidden="1" customHeight="1" x14ac:dyDescent="0.25">
      <c r="B280" s="13" t="s">
        <v>556</v>
      </c>
      <c r="C280" s="13" t="s">
        <v>14414</v>
      </c>
      <c r="D280" s="12" t="s">
        <v>14415</v>
      </c>
      <c r="E280" s="13" t="s">
        <v>580</v>
      </c>
      <c r="F280" s="681">
        <v>184.93</v>
      </c>
    </row>
    <row r="281" spans="2:6" ht="15.75" hidden="1" customHeight="1" x14ac:dyDescent="0.25">
      <c r="B281" s="13" t="s">
        <v>556</v>
      </c>
      <c r="C281" s="13" t="s">
        <v>14416</v>
      </c>
      <c r="D281" s="12" t="s">
        <v>14417</v>
      </c>
      <c r="E281" s="13" t="s">
        <v>580</v>
      </c>
      <c r="F281" s="681">
        <v>1021.33</v>
      </c>
    </row>
    <row r="282" spans="2:6" ht="15.75" hidden="1" customHeight="1" x14ac:dyDescent="0.25">
      <c r="B282" s="13" t="s">
        <v>556</v>
      </c>
      <c r="C282" s="13" t="s">
        <v>14418</v>
      </c>
      <c r="D282" s="12" t="s">
        <v>8572</v>
      </c>
      <c r="E282" s="13" t="s">
        <v>580</v>
      </c>
      <c r="F282" s="681">
        <v>4.29</v>
      </c>
    </row>
    <row r="283" spans="2:6" ht="15.75" hidden="1" customHeight="1" x14ac:dyDescent="0.25">
      <c r="B283" s="13" t="s">
        <v>556</v>
      </c>
      <c r="C283" s="13" t="s">
        <v>14419</v>
      </c>
      <c r="D283" s="12" t="s">
        <v>11133</v>
      </c>
      <c r="E283" s="13" t="s">
        <v>580</v>
      </c>
      <c r="F283" s="681">
        <v>69.33</v>
      </c>
    </row>
    <row r="284" spans="2:6" ht="15.75" hidden="1" customHeight="1" x14ac:dyDescent="0.25">
      <c r="B284" s="13" t="s">
        <v>556</v>
      </c>
      <c r="C284" s="13" t="s">
        <v>14420</v>
      </c>
      <c r="D284" s="12" t="s">
        <v>10142</v>
      </c>
      <c r="E284" s="13" t="s">
        <v>580</v>
      </c>
      <c r="F284" s="681">
        <v>159.99</v>
      </c>
    </row>
    <row r="285" spans="2:6" ht="15.75" hidden="1" customHeight="1" x14ac:dyDescent="0.25">
      <c r="B285" s="13" t="s">
        <v>556</v>
      </c>
      <c r="C285" s="13" t="s">
        <v>14421</v>
      </c>
      <c r="D285" s="12" t="s">
        <v>10143</v>
      </c>
      <c r="E285" s="13" t="s">
        <v>580</v>
      </c>
      <c r="F285" s="681">
        <v>203.33</v>
      </c>
    </row>
    <row r="286" spans="2:6" ht="15.75" hidden="1" customHeight="1" x14ac:dyDescent="0.25">
      <c r="B286" s="13" t="s">
        <v>556</v>
      </c>
      <c r="C286" s="13" t="s">
        <v>14422</v>
      </c>
      <c r="D286" s="12" t="s">
        <v>11334</v>
      </c>
      <c r="E286" s="13" t="s">
        <v>580</v>
      </c>
      <c r="F286" s="681">
        <v>186.66</v>
      </c>
    </row>
    <row r="287" spans="2:6" ht="15.75" hidden="1" customHeight="1" x14ac:dyDescent="0.25">
      <c r="B287" s="13" t="s">
        <v>556</v>
      </c>
      <c r="C287" s="13" t="s">
        <v>14423</v>
      </c>
      <c r="D287" s="12" t="s">
        <v>10141</v>
      </c>
      <c r="E287" s="13" t="s">
        <v>580</v>
      </c>
      <c r="F287" s="681">
        <v>209.66</v>
      </c>
    </row>
    <row r="288" spans="2:6" ht="15.75" hidden="1" customHeight="1" x14ac:dyDescent="0.25">
      <c r="B288" s="13" t="s">
        <v>556</v>
      </c>
      <c r="C288" s="13" t="s">
        <v>14424</v>
      </c>
      <c r="D288" s="12" t="s">
        <v>10144</v>
      </c>
      <c r="E288" s="13" t="s">
        <v>580</v>
      </c>
      <c r="F288" s="681">
        <v>289.99</v>
      </c>
    </row>
    <row r="289" spans="2:6" ht="15.75" hidden="1" customHeight="1" x14ac:dyDescent="0.25">
      <c r="B289" s="13" t="s">
        <v>556</v>
      </c>
      <c r="C289" s="13" t="s">
        <v>14425</v>
      </c>
      <c r="D289" s="12" t="s">
        <v>14426</v>
      </c>
      <c r="E289" s="13" t="s">
        <v>580</v>
      </c>
      <c r="F289" s="681">
        <v>1246.96</v>
      </c>
    </row>
    <row r="290" spans="2:6" ht="15.75" hidden="1" customHeight="1" x14ac:dyDescent="0.25">
      <c r="B290" s="13" t="s">
        <v>556</v>
      </c>
      <c r="C290" s="13" t="s">
        <v>14427</v>
      </c>
      <c r="D290" s="12" t="s">
        <v>14428</v>
      </c>
      <c r="E290" s="13" t="s">
        <v>580</v>
      </c>
      <c r="F290" s="681">
        <v>2435.75</v>
      </c>
    </row>
    <row r="291" spans="2:6" ht="15.75" hidden="1" customHeight="1" x14ac:dyDescent="0.25">
      <c r="B291" s="13" t="s">
        <v>556</v>
      </c>
      <c r="C291" s="13" t="s">
        <v>14429</v>
      </c>
      <c r="D291" s="12" t="s">
        <v>14430</v>
      </c>
      <c r="E291" s="13" t="s">
        <v>580</v>
      </c>
      <c r="F291" s="681">
        <v>53.68</v>
      </c>
    </row>
    <row r="292" spans="2:6" ht="15.75" hidden="1" customHeight="1" x14ac:dyDescent="0.25">
      <c r="B292" s="13" t="s">
        <v>556</v>
      </c>
      <c r="C292" s="13" t="s">
        <v>14431</v>
      </c>
      <c r="D292" s="12" t="s">
        <v>14432</v>
      </c>
      <c r="E292" s="13" t="s">
        <v>580</v>
      </c>
      <c r="F292" s="681">
        <v>118.91</v>
      </c>
    </row>
    <row r="293" spans="2:6" ht="15.75" hidden="1" customHeight="1" x14ac:dyDescent="0.25">
      <c r="B293" s="13" t="s">
        <v>556</v>
      </c>
      <c r="C293" s="13" t="s">
        <v>14433</v>
      </c>
      <c r="D293" s="12" t="s">
        <v>14434</v>
      </c>
      <c r="E293" s="13" t="s">
        <v>580</v>
      </c>
      <c r="F293" s="681">
        <v>197.05</v>
      </c>
    </row>
    <row r="294" spans="2:6" ht="15.75" hidden="1" customHeight="1" x14ac:dyDescent="0.25">
      <c r="B294" s="13" t="s">
        <v>556</v>
      </c>
      <c r="C294" s="13" t="s">
        <v>14435</v>
      </c>
      <c r="D294" s="12" t="s">
        <v>14436</v>
      </c>
      <c r="E294" s="13" t="s">
        <v>580</v>
      </c>
      <c r="F294" s="681">
        <v>294.58</v>
      </c>
    </row>
    <row r="295" spans="2:6" ht="15.75" hidden="1" customHeight="1" x14ac:dyDescent="0.25">
      <c r="B295" s="13" t="s">
        <v>556</v>
      </c>
      <c r="C295" s="13" t="s">
        <v>14437</v>
      </c>
      <c r="D295" s="12" t="s">
        <v>14438</v>
      </c>
      <c r="E295" s="13" t="s">
        <v>580</v>
      </c>
      <c r="F295" s="681">
        <v>368.99</v>
      </c>
    </row>
    <row r="296" spans="2:6" ht="15.75" hidden="1" customHeight="1" x14ac:dyDescent="0.25">
      <c r="B296" s="13" t="s">
        <v>556</v>
      </c>
      <c r="C296" s="13" t="s">
        <v>14439</v>
      </c>
      <c r="D296" s="12" t="s">
        <v>14440</v>
      </c>
      <c r="E296" s="13" t="s">
        <v>580</v>
      </c>
      <c r="F296" s="681">
        <v>1.43</v>
      </c>
    </row>
    <row r="297" spans="2:6" ht="15.75" hidden="1" customHeight="1" x14ac:dyDescent="0.25">
      <c r="B297" s="13" t="s">
        <v>556</v>
      </c>
      <c r="C297" s="13" t="s">
        <v>14441</v>
      </c>
      <c r="D297" s="12" t="s">
        <v>8491</v>
      </c>
      <c r="E297" s="13" t="s">
        <v>580</v>
      </c>
      <c r="F297" s="681">
        <v>2.88</v>
      </c>
    </row>
    <row r="298" spans="2:6" ht="15.75" hidden="1" customHeight="1" x14ac:dyDescent="0.25">
      <c r="B298" s="13" t="s">
        <v>556</v>
      </c>
      <c r="C298" s="13" t="s">
        <v>14442</v>
      </c>
      <c r="D298" s="12" t="s">
        <v>8632</v>
      </c>
      <c r="E298" s="13" t="s">
        <v>580</v>
      </c>
      <c r="F298" s="681">
        <v>5.78</v>
      </c>
    </row>
    <row r="299" spans="2:6" ht="15.75" hidden="1" customHeight="1" x14ac:dyDescent="0.25">
      <c r="B299" s="13" t="s">
        <v>556</v>
      </c>
      <c r="C299" s="13" t="s">
        <v>14443</v>
      </c>
      <c r="D299" s="12" t="s">
        <v>8631</v>
      </c>
      <c r="E299" s="13" t="s">
        <v>580</v>
      </c>
      <c r="F299" s="681">
        <v>9.58</v>
      </c>
    </row>
    <row r="300" spans="2:6" ht="15.75" hidden="1" customHeight="1" x14ac:dyDescent="0.25">
      <c r="B300" s="13" t="s">
        <v>556</v>
      </c>
      <c r="C300" s="13" t="s">
        <v>14444</v>
      </c>
      <c r="D300" s="12" t="s">
        <v>8634</v>
      </c>
      <c r="E300" s="13" t="s">
        <v>580</v>
      </c>
      <c r="F300" s="681">
        <v>1.77</v>
      </c>
    </row>
    <row r="301" spans="2:6" ht="15.75" hidden="1" customHeight="1" x14ac:dyDescent="0.25">
      <c r="B301" s="13" t="s">
        <v>556</v>
      </c>
      <c r="C301" s="13" t="s">
        <v>14445</v>
      </c>
      <c r="D301" s="12" t="s">
        <v>8633</v>
      </c>
      <c r="E301" s="13" t="s">
        <v>580</v>
      </c>
      <c r="F301" s="681">
        <v>2.3199999999999998</v>
      </c>
    </row>
    <row r="302" spans="2:6" ht="15.75" hidden="1" customHeight="1" x14ac:dyDescent="0.25">
      <c r="B302" s="13" t="s">
        <v>14150</v>
      </c>
      <c r="C302" s="13" t="s">
        <v>14446</v>
      </c>
      <c r="D302" s="12" t="s">
        <v>9597</v>
      </c>
      <c r="E302" s="13" t="s">
        <v>580</v>
      </c>
      <c r="F302" s="681">
        <v>11881.38</v>
      </c>
    </row>
    <row r="303" spans="2:6" ht="15.75" hidden="1" customHeight="1" x14ac:dyDescent="0.25">
      <c r="B303" s="13" t="s">
        <v>14150</v>
      </c>
      <c r="C303" s="13" t="s">
        <v>14447</v>
      </c>
      <c r="D303" s="12" t="s">
        <v>14448</v>
      </c>
      <c r="E303" s="13" t="s">
        <v>580</v>
      </c>
      <c r="F303" s="681">
        <v>12782.95</v>
      </c>
    </row>
    <row r="304" spans="2:6" ht="15.75" hidden="1" customHeight="1" x14ac:dyDescent="0.25">
      <c r="B304" s="13" t="s">
        <v>556</v>
      </c>
      <c r="C304" s="13" t="s">
        <v>14449</v>
      </c>
      <c r="D304" s="12" t="s">
        <v>11333</v>
      </c>
      <c r="E304" s="13" t="s">
        <v>580</v>
      </c>
      <c r="F304" s="681">
        <v>74.66</v>
      </c>
    </row>
    <row r="305" spans="2:6" ht="15.75" hidden="1" customHeight="1" x14ac:dyDescent="0.25">
      <c r="B305" s="13" t="s">
        <v>556</v>
      </c>
      <c r="C305" s="13" t="s">
        <v>14450</v>
      </c>
      <c r="D305" s="12" t="s">
        <v>11343</v>
      </c>
      <c r="E305" s="13" t="s">
        <v>580</v>
      </c>
      <c r="F305" s="681">
        <v>1813.99</v>
      </c>
    </row>
    <row r="306" spans="2:6" ht="15.75" hidden="1" customHeight="1" x14ac:dyDescent="0.25">
      <c r="B306" s="13" t="s">
        <v>556</v>
      </c>
      <c r="C306" s="13" t="s">
        <v>14451</v>
      </c>
      <c r="D306" s="12" t="s">
        <v>11344</v>
      </c>
      <c r="E306" s="13" t="s">
        <v>580</v>
      </c>
      <c r="F306" s="681">
        <v>613.99</v>
      </c>
    </row>
    <row r="307" spans="2:6" ht="15.75" hidden="1" customHeight="1" x14ac:dyDescent="0.25">
      <c r="B307" s="13" t="s">
        <v>556</v>
      </c>
      <c r="C307" s="13" t="s">
        <v>14452</v>
      </c>
      <c r="D307" s="12" t="s">
        <v>8573</v>
      </c>
      <c r="E307" s="13" t="s">
        <v>580</v>
      </c>
      <c r="F307" s="681">
        <v>10.73</v>
      </c>
    </row>
    <row r="308" spans="2:6" ht="15.75" hidden="1" customHeight="1" x14ac:dyDescent="0.25">
      <c r="B308" s="13" t="s">
        <v>556</v>
      </c>
      <c r="C308" s="13" t="s">
        <v>14453</v>
      </c>
      <c r="D308" s="12" t="s">
        <v>11335</v>
      </c>
      <c r="E308" s="13" t="s">
        <v>580</v>
      </c>
      <c r="F308" s="681">
        <v>473.33</v>
      </c>
    </row>
    <row r="309" spans="2:6" ht="15.75" hidden="1" customHeight="1" x14ac:dyDescent="0.25">
      <c r="B309" s="13" t="s">
        <v>556</v>
      </c>
      <c r="C309" s="13" t="s">
        <v>14454</v>
      </c>
      <c r="D309" s="12" t="s">
        <v>11337</v>
      </c>
      <c r="E309" s="13" t="s">
        <v>580</v>
      </c>
      <c r="F309" s="681">
        <v>113.33</v>
      </c>
    </row>
    <row r="310" spans="2:6" ht="15.75" hidden="1" customHeight="1" x14ac:dyDescent="0.25">
      <c r="B310" s="13" t="s">
        <v>556</v>
      </c>
      <c r="C310" s="13" t="s">
        <v>14455</v>
      </c>
      <c r="D310" s="12" t="s">
        <v>11340</v>
      </c>
      <c r="E310" s="13" t="s">
        <v>580</v>
      </c>
      <c r="F310" s="681">
        <v>373.33</v>
      </c>
    </row>
    <row r="311" spans="2:6" ht="15.75" hidden="1" customHeight="1" x14ac:dyDescent="0.25">
      <c r="B311" s="13" t="s">
        <v>556</v>
      </c>
      <c r="C311" s="13" t="s">
        <v>14456</v>
      </c>
      <c r="D311" s="12" t="s">
        <v>14457</v>
      </c>
      <c r="E311" s="13" t="s">
        <v>580</v>
      </c>
      <c r="F311" s="681">
        <v>31.76</v>
      </c>
    </row>
    <row r="312" spans="2:6" ht="15.75" hidden="1" customHeight="1" x14ac:dyDescent="0.25">
      <c r="B312" s="13" t="s">
        <v>556</v>
      </c>
      <c r="C312" s="13" t="s">
        <v>14458</v>
      </c>
      <c r="D312" s="12" t="s">
        <v>14459</v>
      </c>
      <c r="E312" s="13" t="s">
        <v>580</v>
      </c>
      <c r="F312" s="681">
        <v>36.53</v>
      </c>
    </row>
    <row r="313" spans="2:6" ht="15.75" hidden="1" customHeight="1" x14ac:dyDescent="0.25">
      <c r="B313" s="13" t="s">
        <v>14150</v>
      </c>
      <c r="C313" s="13" t="s">
        <v>14460</v>
      </c>
      <c r="D313" s="12" t="s">
        <v>9937</v>
      </c>
      <c r="E313" s="13" t="s">
        <v>580</v>
      </c>
      <c r="F313" s="681">
        <v>860</v>
      </c>
    </row>
    <row r="314" spans="2:6" ht="15.75" hidden="1" customHeight="1" x14ac:dyDescent="0.25">
      <c r="B314" s="13" t="s">
        <v>556</v>
      </c>
      <c r="C314" s="13" t="s">
        <v>14461</v>
      </c>
      <c r="D314" s="12" t="s">
        <v>11037</v>
      </c>
      <c r="E314" s="13" t="s">
        <v>580</v>
      </c>
      <c r="F314" s="681">
        <v>206.18</v>
      </c>
    </row>
    <row r="315" spans="2:6" ht="15.75" hidden="1" customHeight="1" x14ac:dyDescent="0.25">
      <c r="B315" s="13" t="s">
        <v>556</v>
      </c>
      <c r="C315" s="13" t="s">
        <v>14462</v>
      </c>
      <c r="D315" s="12" t="s">
        <v>11038</v>
      </c>
      <c r="E315" s="13" t="s">
        <v>580</v>
      </c>
      <c r="F315" s="681">
        <v>213.96</v>
      </c>
    </row>
    <row r="316" spans="2:6" ht="15.75" hidden="1" customHeight="1" x14ac:dyDescent="0.25">
      <c r="B316" s="13" t="s">
        <v>556</v>
      </c>
      <c r="C316" s="13" t="s">
        <v>14463</v>
      </c>
      <c r="D316" s="12" t="s">
        <v>11039</v>
      </c>
      <c r="E316" s="13" t="s">
        <v>580</v>
      </c>
      <c r="F316" s="681">
        <v>227.44</v>
      </c>
    </row>
    <row r="317" spans="2:6" ht="15.75" hidden="1" customHeight="1" x14ac:dyDescent="0.25">
      <c r="B317" s="13" t="s">
        <v>556</v>
      </c>
      <c r="C317" s="13" t="s">
        <v>14464</v>
      </c>
      <c r="D317" s="12" t="s">
        <v>14465</v>
      </c>
      <c r="E317" s="13" t="s">
        <v>580</v>
      </c>
      <c r="F317" s="681">
        <v>99.35</v>
      </c>
    </row>
    <row r="318" spans="2:6" ht="15.75" hidden="1" customHeight="1" x14ac:dyDescent="0.25">
      <c r="B318" s="13" t="s">
        <v>556</v>
      </c>
      <c r="C318" s="13" t="s">
        <v>14466</v>
      </c>
      <c r="D318" s="12" t="s">
        <v>14467</v>
      </c>
      <c r="E318" s="13" t="s">
        <v>580</v>
      </c>
      <c r="F318" s="681">
        <v>83.95</v>
      </c>
    </row>
    <row r="319" spans="2:6" ht="15.75" hidden="1" customHeight="1" x14ac:dyDescent="0.25">
      <c r="B319" s="13" t="s">
        <v>556</v>
      </c>
      <c r="C319" s="13" t="s">
        <v>14468</v>
      </c>
      <c r="D319" s="12" t="s">
        <v>14469</v>
      </c>
      <c r="E319" s="13" t="s">
        <v>823</v>
      </c>
      <c r="F319" s="681">
        <v>112.53</v>
      </c>
    </row>
    <row r="320" spans="2:6" ht="15.75" hidden="1" customHeight="1" x14ac:dyDescent="0.25">
      <c r="B320" s="13" t="s">
        <v>556</v>
      </c>
      <c r="C320" s="13" t="s">
        <v>14470</v>
      </c>
      <c r="D320" s="12" t="s">
        <v>9794</v>
      </c>
      <c r="E320" s="13" t="s">
        <v>580</v>
      </c>
      <c r="F320" s="681">
        <v>38.340000000000003</v>
      </c>
    </row>
    <row r="321" spans="2:6" ht="15.75" hidden="1" customHeight="1" x14ac:dyDescent="0.25">
      <c r="B321" s="13" t="s">
        <v>556</v>
      </c>
      <c r="C321" s="13" t="s">
        <v>14471</v>
      </c>
      <c r="D321" s="12" t="s">
        <v>9795</v>
      </c>
      <c r="E321" s="13" t="s">
        <v>580</v>
      </c>
      <c r="F321" s="681">
        <v>102.8</v>
      </c>
    </row>
    <row r="322" spans="2:6" ht="15.75" hidden="1" customHeight="1" x14ac:dyDescent="0.25">
      <c r="B322" s="13" t="s">
        <v>556</v>
      </c>
      <c r="C322" s="13" t="s">
        <v>14472</v>
      </c>
      <c r="D322" s="12" t="s">
        <v>10025</v>
      </c>
      <c r="E322" s="13" t="s">
        <v>580</v>
      </c>
      <c r="F322" s="681">
        <v>16.71</v>
      </c>
    </row>
    <row r="323" spans="2:6" ht="15.75" hidden="1" customHeight="1" x14ac:dyDescent="0.25">
      <c r="B323" s="13" t="s">
        <v>556</v>
      </c>
      <c r="C323" s="13" t="s">
        <v>14473</v>
      </c>
      <c r="D323" s="12" t="s">
        <v>10026</v>
      </c>
      <c r="E323" s="13" t="s">
        <v>580</v>
      </c>
      <c r="F323" s="681">
        <v>19.97</v>
      </c>
    </row>
    <row r="324" spans="2:6" ht="15.75" hidden="1" customHeight="1" x14ac:dyDescent="0.25">
      <c r="B324" s="13" t="s">
        <v>556</v>
      </c>
      <c r="C324" s="13" t="s">
        <v>14474</v>
      </c>
      <c r="D324" s="12" t="s">
        <v>11353</v>
      </c>
      <c r="E324" s="13" t="s">
        <v>580</v>
      </c>
      <c r="F324" s="681">
        <v>45.68</v>
      </c>
    </row>
    <row r="325" spans="2:6" ht="15.75" hidden="1" customHeight="1" x14ac:dyDescent="0.25">
      <c r="B325" s="13" t="s">
        <v>556</v>
      </c>
      <c r="C325" s="13" t="s">
        <v>14475</v>
      </c>
      <c r="D325" s="12" t="s">
        <v>9991</v>
      </c>
      <c r="E325" s="13" t="s">
        <v>580</v>
      </c>
      <c r="F325" s="681">
        <v>24.41</v>
      </c>
    </row>
    <row r="326" spans="2:6" ht="15.75" hidden="1" customHeight="1" x14ac:dyDescent="0.25">
      <c r="B326" s="13" t="s">
        <v>556</v>
      </c>
      <c r="C326" s="13" t="s">
        <v>14476</v>
      </c>
      <c r="D326" s="12" t="s">
        <v>10030</v>
      </c>
      <c r="E326" s="13" t="s">
        <v>580</v>
      </c>
      <c r="F326" s="681">
        <v>10.61</v>
      </c>
    </row>
    <row r="327" spans="2:6" ht="15.75" hidden="1" customHeight="1" x14ac:dyDescent="0.25">
      <c r="B327" s="13" t="s">
        <v>556</v>
      </c>
      <c r="C327" s="13" t="s">
        <v>14477</v>
      </c>
      <c r="D327" s="12" t="s">
        <v>10121</v>
      </c>
      <c r="E327" s="13" t="s">
        <v>8838</v>
      </c>
      <c r="F327" s="681">
        <v>17.899999999999999</v>
      </c>
    </row>
    <row r="328" spans="2:6" ht="15.75" hidden="1" customHeight="1" x14ac:dyDescent="0.25">
      <c r="B328" s="13" t="s">
        <v>556</v>
      </c>
      <c r="C328" s="13" t="s">
        <v>14478</v>
      </c>
      <c r="D328" s="12" t="s">
        <v>9975</v>
      </c>
      <c r="E328" s="13" t="s">
        <v>580</v>
      </c>
      <c r="F328" s="681">
        <v>24.63</v>
      </c>
    </row>
    <row r="329" spans="2:6" ht="15.75" hidden="1" customHeight="1" x14ac:dyDescent="0.25">
      <c r="B329" s="13" t="s">
        <v>556</v>
      </c>
      <c r="C329" s="13" t="s">
        <v>14479</v>
      </c>
      <c r="D329" s="12" t="s">
        <v>9972</v>
      </c>
      <c r="E329" s="13" t="s">
        <v>580</v>
      </c>
      <c r="F329" s="681">
        <v>15.8</v>
      </c>
    </row>
    <row r="330" spans="2:6" ht="15.75" hidden="1" customHeight="1" x14ac:dyDescent="0.25">
      <c r="B330" s="13" t="s">
        <v>556</v>
      </c>
      <c r="C330" s="13" t="s">
        <v>14480</v>
      </c>
      <c r="D330" s="12" t="s">
        <v>9971</v>
      </c>
      <c r="E330" s="13" t="s">
        <v>580</v>
      </c>
      <c r="F330" s="681">
        <v>15.79</v>
      </c>
    </row>
    <row r="331" spans="2:6" ht="15.75" hidden="1" customHeight="1" x14ac:dyDescent="0.25">
      <c r="B331" s="13" t="s">
        <v>556</v>
      </c>
      <c r="C331" s="13" t="s">
        <v>14481</v>
      </c>
      <c r="D331" s="12" t="s">
        <v>10624</v>
      </c>
      <c r="E331" s="13" t="s">
        <v>580</v>
      </c>
      <c r="F331" s="681">
        <v>55.04</v>
      </c>
    </row>
    <row r="332" spans="2:6" ht="15.75" hidden="1" customHeight="1" x14ac:dyDescent="0.25">
      <c r="B332" s="13" t="s">
        <v>556</v>
      </c>
      <c r="C332" s="13" t="s">
        <v>14482</v>
      </c>
      <c r="D332" s="12" t="s">
        <v>10622</v>
      </c>
      <c r="E332" s="13" t="s">
        <v>580</v>
      </c>
      <c r="F332" s="681">
        <v>72.13</v>
      </c>
    </row>
    <row r="333" spans="2:6" ht="15.75" hidden="1" customHeight="1" x14ac:dyDescent="0.25">
      <c r="B333" s="13" t="s">
        <v>556</v>
      </c>
      <c r="C333" s="13" t="s">
        <v>14483</v>
      </c>
      <c r="D333" s="12" t="s">
        <v>10619</v>
      </c>
      <c r="E333" s="13" t="s">
        <v>580</v>
      </c>
      <c r="F333" s="681">
        <v>42.04</v>
      </c>
    </row>
    <row r="334" spans="2:6" ht="15.75" hidden="1" customHeight="1" x14ac:dyDescent="0.25">
      <c r="B334" s="13" t="s">
        <v>556</v>
      </c>
      <c r="C334" s="13" t="s">
        <v>14484</v>
      </c>
      <c r="D334" s="12" t="s">
        <v>9968</v>
      </c>
      <c r="E334" s="13" t="s">
        <v>9561</v>
      </c>
      <c r="F334" s="681">
        <v>147.97</v>
      </c>
    </row>
    <row r="335" spans="2:6" ht="15.75" hidden="1" customHeight="1" x14ac:dyDescent="0.25">
      <c r="B335" s="13" t="s">
        <v>556</v>
      </c>
      <c r="C335" s="13" t="s">
        <v>14485</v>
      </c>
      <c r="D335" s="12" t="s">
        <v>10620</v>
      </c>
      <c r="E335" s="13" t="s">
        <v>580</v>
      </c>
      <c r="F335" s="681">
        <v>38.03</v>
      </c>
    </row>
    <row r="336" spans="2:6" ht="15.75" hidden="1" customHeight="1" x14ac:dyDescent="0.25">
      <c r="B336" s="13" t="s">
        <v>556</v>
      </c>
      <c r="C336" s="13" t="s">
        <v>14486</v>
      </c>
      <c r="D336" s="12" t="s">
        <v>9973</v>
      </c>
      <c r="E336" s="13" t="s">
        <v>580</v>
      </c>
      <c r="F336" s="681">
        <v>69.42</v>
      </c>
    </row>
    <row r="337" spans="2:6" ht="15.75" hidden="1" customHeight="1" x14ac:dyDescent="0.25">
      <c r="B337" s="13" t="s">
        <v>556</v>
      </c>
      <c r="C337" s="13" t="s">
        <v>14487</v>
      </c>
      <c r="D337" s="12" t="s">
        <v>14488</v>
      </c>
      <c r="E337" s="13" t="s">
        <v>580</v>
      </c>
      <c r="F337" s="681">
        <v>48.42</v>
      </c>
    </row>
    <row r="338" spans="2:6" ht="15.75" hidden="1" customHeight="1" x14ac:dyDescent="0.25">
      <c r="B338" s="13" t="s">
        <v>556</v>
      </c>
      <c r="C338" s="13" t="s">
        <v>14489</v>
      </c>
      <c r="D338" s="12" t="s">
        <v>10708</v>
      </c>
      <c r="E338" s="13" t="s">
        <v>580</v>
      </c>
      <c r="F338" s="681">
        <v>993.68</v>
      </c>
    </row>
    <row r="339" spans="2:6" ht="15.75" hidden="1" customHeight="1" x14ac:dyDescent="0.25">
      <c r="B339" s="13" t="s">
        <v>556</v>
      </c>
      <c r="C339" s="13" t="s">
        <v>14490</v>
      </c>
      <c r="D339" s="12" t="s">
        <v>10573</v>
      </c>
      <c r="E339" s="13" t="s">
        <v>8838</v>
      </c>
      <c r="F339" s="681">
        <v>100.64</v>
      </c>
    </row>
    <row r="340" spans="2:6" ht="15.75" hidden="1" customHeight="1" x14ac:dyDescent="0.25">
      <c r="B340" s="13" t="s">
        <v>556</v>
      </c>
      <c r="C340" s="13" t="s">
        <v>14491</v>
      </c>
      <c r="D340" s="12" t="s">
        <v>10571</v>
      </c>
      <c r="E340" s="13" t="s">
        <v>8838</v>
      </c>
      <c r="F340" s="681">
        <v>59.87</v>
      </c>
    </row>
    <row r="341" spans="2:6" ht="15.75" hidden="1" customHeight="1" x14ac:dyDescent="0.25">
      <c r="B341" s="13" t="s">
        <v>556</v>
      </c>
      <c r="C341" s="13" t="s">
        <v>14492</v>
      </c>
      <c r="D341" s="12" t="s">
        <v>10572</v>
      </c>
      <c r="E341" s="13" t="s">
        <v>8838</v>
      </c>
      <c r="F341" s="681">
        <v>27.68</v>
      </c>
    </row>
    <row r="342" spans="2:6" ht="15.75" hidden="1" customHeight="1" x14ac:dyDescent="0.25">
      <c r="B342" s="13" t="s">
        <v>556</v>
      </c>
      <c r="C342" s="13" t="s">
        <v>14493</v>
      </c>
      <c r="D342" s="12" t="s">
        <v>11110</v>
      </c>
      <c r="E342" s="13" t="s">
        <v>580</v>
      </c>
      <c r="F342" s="681">
        <v>12.95</v>
      </c>
    </row>
    <row r="343" spans="2:6" ht="15.75" hidden="1" customHeight="1" x14ac:dyDescent="0.25">
      <c r="B343" s="13" t="s">
        <v>556</v>
      </c>
      <c r="C343" s="13" t="s">
        <v>14494</v>
      </c>
      <c r="D343" s="12" t="s">
        <v>10899</v>
      </c>
      <c r="E343" s="13" t="s">
        <v>585</v>
      </c>
      <c r="F343" s="681">
        <v>7.14</v>
      </c>
    </row>
    <row r="344" spans="2:6" ht="15.75" hidden="1" customHeight="1" x14ac:dyDescent="0.25">
      <c r="B344" s="13" t="s">
        <v>556</v>
      </c>
      <c r="C344" s="13" t="s">
        <v>14495</v>
      </c>
      <c r="D344" s="12" t="s">
        <v>9950</v>
      </c>
      <c r="E344" s="13" t="s">
        <v>8838</v>
      </c>
      <c r="F344" s="681">
        <v>36.200000000000003</v>
      </c>
    </row>
    <row r="345" spans="2:6" ht="15.75" hidden="1" customHeight="1" x14ac:dyDescent="0.25">
      <c r="B345" s="13" t="s">
        <v>556</v>
      </c>
      <c r="C345" s="13" t="s">
        <v>14496</v>
      </c>
      <c r="D345" s="12" t="s">
        <v>9949</v>
      </c>
      <c r="E345" s="13" t="s">
        <v>8838</v>
      </c>
      <c r="F345" s="681">
        <v>14.3</v>
      </c>
    </row>
    <row r="346" spans="2:6" ht="15.75" hidden="1" customHeight="1" x14ac:dyDescent="0.25">
      <c r="B346" s="13" t="s">
        <v>556</v>
      </c>
      <c r="C346" s="13" t="s">
        <v>14497</v>
      </c>
      <c r="D346" s="12" t="s">
        <v>10707</v>
      </c>
      <c r="E346" s="13" t="s">
        <v>580</v>
      </c>
      <c r="F346" s="681">
        <v>178.3</v>
      </c>
    </row>
    <row r="347" spans="2:6" ht="15.75" hidden="1" customHeight="1" x14ac:dyDescent="0.25">
      <c r="B347" s="13" t="s">
        <v>556</v>
      </c>
      <c r="C347" s="13" t="s">
        <v>14498</v>
      </c>
      <c r="D347" s="12" t="s">
        <v>10705</v>
      </c>
      <c r="E347" s="13" t="s">
        <v>580</v>
      </c>
      <c r="F347" s="681">
        <v>231.01</v>
      </c>
    </row>
    <row r="348" spans="2:6" ht="15.75" hidden="1" customHeight="1" x14ac:dyDescent="0.25">
      <c r="B348" s="13" t="s">
        <v>556</v>
      </c>
      <c r="C348" s="13" t="s">
        <v>14499</v>
      </c>
      <c r="D348" s="12" t="s">
        <v>11652</v>
      </c>
      <c r="E348" s="13" t="s">
        <v>580</v>
      </c>
      <c r="F348" s="681">
        <v>31.05</v>
      </c>
    </row>
    <row r="349" spans="2:6" ht="15.75" hidden="1" customHeight="1" x14ac:dyDescent="0.25">
      <c r="B349" s="13" t="s">
        <v>556</v>
      </c>
      <c r="C349" s="13" t="s">
        <v>14500</v>
      </c>
      <c r="D349" s="12" t="s">
        <v>11222</v>
      </c>
      <c r="E349" s="13" t="s">
        <v>580</v>
      </c>
      <c r="F349" s="681">
        <v>5.79</v>
      </c>
    </row>
    <row r="350" spans="2:6" ht="15.75" hidden="1" customHeight="1" x14ac:dyDescent="0.25">
      <c r="B350" s="13" t="s">
        <v>556</v>
      </c>
      <c r="C350" s="13" t="s">
        <v>14501</v>
      </c>
      <c r="D350" s="12" t="s">
        <v>11224</v>
      </c>
      <c r="E350" s="13" t="s">
        <v>580</v>
      </c>
      <c r="F350" s="681">
        <v>55.88</v>
      </c>
    </row>
    <row r="351" spans="2:6" ht="15.75" hidden="1" customHeight="1" x14ac:dyDescent="0.25">
      <c r="B351" s="13" t="s">
        <v>556</v>
      </c>
      <c r="C351" s="13" t="s">
        <v>14502</v>
      </c>
      <c r="D351" s="12" t="s">
        <v>11230</v>
      </c>
      <c r="E351" s="13" t="s">
        <v>580</v>
      </c>
      <c r="F351" s="681">
        <v>11.51</v>
      </c>
    </row>
    <row r="352" spans="2:6" ht="15.75" hidden="1" customHeight="1" x14ac:dyDescent="0.25">
      <c r="B352" s="13" t="s">
        <v>556</v>
      </c>
      <c r="C352" s="13" t="s">
        <v>14503</v>
      </c>
      <c r="D352" s="12" t="s">
        <v>11229</v>
      </c>
      <c r="E352" s="13" t="s">
        <v>580</v>
      </c>
      <c r="F352" s="681">
        <v>12.06</v>
      </c>
    </row>
    <row r="353" spans="2:6" ht="15.75" hidden="1" customHeight="1" x14ac:dyDescent="0.25">
      <c r="B353" s="13" t="s">
        <v>556</v>
      </c>
      <c r="C353" s="13" t="s">
        <v>14504</v>
      </c>
      <c r="D353" s="12" t="s">
        <v>11657</v>
      </c>
      <c r="E353" s="13" t="s">
        <v>585</v>
      </c>
      <c r="F353" s="681">
        <v>8.2200000000000006</v>
      </c>
    </row>
    <row r="354" spans="2:6" ht="15.75" hidden="1" customHeight="1" x14ac:dyDescent="0.25">
      <c r="B354" s="13" t="s">
        <v>556</v>
      </c>
      <c r="C354" s="13" t="s">
        <v>14505</v>
      </c>
      <c r="D354" s="12" t="s">
        <v>11655</v>
      </c>
      <c r="E354" s="13" t="s">
        <v>585</v>
      </c>
      <c r="F354" s="681">
        <v>20.49</v>
      </c>
    </row>
    <row r="355" spans="2:6" ht="15.75" hidden="1" customHeight="1" x14ac:dyDescent="0.25">
      <c r="B355" s="13" t="s">
        <v>556</v>
      </c>
      <c r="C355" s="13" t="s">
        <v>14506</v>
      </c>
      <c r="D355" s="12" t="s">
        <v>10067</v>
      </c>
      <c r="E355" s="13" t="s">
        <v>578</v>
      </c>
      <c r="F355" s="681">
        <v>82.56</v>
      </c>
    </row>
    <row r="356" spans="2:6" ht="15.75" hidden="1" customHeight="1" x14ac:dyDescent="0.25">
      <c r="B356" s="13" t="s">
        <v>556</v>
      </c>
      <c r="C356" s="13" t="s">
        <v>14507</v>
      </c>
      <c r="D356" s="12" t="s">
        <v>10079</v>
      </c>
      <c r="E356" s="13" t="s">
        <v>580</v>
      </c>
      <c r="F356" s="681">
        <v>1330.98</v>
      </c>
    </row>
    <row r="357" spans="2:6" ht="15.75" hidden="1" customHeight="1" x14ac:dyDescent="0.25">
      <c r="B357" s="13" t="s">
        <v>14150</v>
      </c>
      <c r="C357" s="13" t="s">
        <v>14508</v>
      </c>
      <c r="D357" s="12" t="s">
        <v>9283</v>
      </c>
      <c r="E357" s="13" t="s">
        <v>580</v>
      </c>
      <c r="F357" s="681">
        <v>265433.83</v>
      </c>
    </row>
    <row r="358" spans="2:6" ht="15.75" hidden="1" customHeight="1" x14ac:dyDescent="0.25">
      <c r="B358" s="13" t="s">
        <v>556</v>
      </c>
      <c r="C358" s="13" t="s">
        <v>14509</v>
      </c>
      <c r="D358" s="12" t="s">
        <v>10097</v>
      </c>
      <c r="E358" s="13" t="s">
        <v>580</v>
      </c>
      <c r="F358" s="681">
        <v>565.66999999999996</v>
      </c>
    </row>
    <row r="359" spans="2:6" ht="15.75" hidden="1" customHeight="1" x14ac:dyDescent="0.25">
      <c r="B359" s="13" t="s">
        <v>556</v>
      </c>
      <c r="C359" s="13" t="s">
        <v>14510</v>
      </c>
      <c r="D359" s="12" t="s">
        <v>10087</v>
      </c>
      <c r="E359" s="13" t="s">
        <v>580</v>
      </c>
      <c r="F359" s="681">
        <v>790.93</v>
      </c>
    </row>
    <row r="360" spans="2:6" ht="15.75" hidden="1" customHeight="1" x14ac:dyDescent="0.25">
      <c r="B360" s="13" t="s">
        <v>556</v>
      </c>
      <c r="C360" s="13" t="s">
        <v>14511</v>
      </c>
      <c r="D360" s="12" t="s">
        <v>10084</v>
      </c>
      <c r="E360" s="13" t="s">
        <v>580</v>
      </c>
      <c r="F360" s="681">
        <v>424.22</v>
      </c>
    </row>
    <row r="361" spans="2:6" ht="15.75" hidden="1" customHeight="1" x14ac:dyDescent="0.25">
      <c r="B361" s="13" t="s">
        <v>556</v>
      </c>
      <c r="C361" s="13" t="s">
        <v>14512</v>
      </c>
      <c r="D361" s="12" t="s">
        <v>10099</v>
      </c>
      <c r="E361" s="13" t="s">
        <v>580</v>
      </c>
      <c r="F361" s="681">
        <v>449.22</v>
      </c>
    </row>
    <row r="362" spans="2:6" ht="15.75" hidden="1" customHeight="1" x14ac:dyDescent="0.25">
      <c r="B362" s="13" t="s">
        <v>556</v>
      </c>
      <c r="C362" s="13" t="s">
        <v>14513</v>
      </c>
      <c r="D362" s="12" t="s">
        <v>10089</v>
      </c>
      <c r="E362" s="13" t="s">
        <v>580</v>
      </c>
      <c r="F362" s="681">
        <v>657.81</v>
      </c>
    </row>
    <row r="363" spans="2:6" ht="15.75" hidden="1" customHeight="1" x14ac:dyDescent="0.25">
      <c r="B363" s="13" t="s">
        <v>556</v>
      </c>
      <c r="C363" s="13" t="s">
        <v>14514</v>
      </c>
      <c r="D363" s="12" t="s">
        <v>10086</v>
      </c>
      <c r="E363" s="13" t="s">
        <v>580</v>
      </c>
      <c r="F363" s="681">
        <v>564.16999999999996</v>
      </c>
    </row>
    <row r="364" spans="2:6" ht="15.75" hidden="1" customHeight="1" x14ac:dyDescent="0.25">
      <c r="B364" s="13" t="s">
        <v>556</v>
      </c>
      <c r="C364" s="13" t="s">
        <v>14515</v>
      </c>
      <c r="D364" s="12" t="s">
        <v>11287</v>
      </c>
      <c r="E364" s="13" t="s">
        <v>517</v>
      </c>
      <c r="F364" s="681">
        <v>11.67</v>
      </c>
    </row>
    <row r="365" spans="2:6" ht="15.75" hidden="1" customHeight="1" x14ac:dyDescent="0.25">
      <c r="B365" s="13" t="s">
        <v>556</v>
      </c>
      <c r="C365" s="13" t="s">
        <v>14516</v>
      </c>
      <c r="D365" s="12" t="s">
        <v>14517</v>
      </c>
      <c r="E365" s="13" t="s">
        <v>578</v>
      </c>
      <c r="F365" s="681">
        <v>3.73</v>
      </c>
    </row>
    <row r="366" spans="2:6" ht="15.75" hidden="1" customHeight="1" x14ac:dyDescent="0.25">
      <c r="B366" s="13" t="s">
        <v>14150</v>
      </c>
      <c r="C366" s="13" t="s">
        <v>14518</v>
      </c>
      <c r="D366" s="12" t="s">
        <v>10634</v>
      </c>
      <c r="E366" s="13" t="s">
        <v>580</v>
      </c>
      <c r="F366" s="681">
        <v>21901.46</v>
      </c>
    </row>
    <row r="367" spans="2:6" ht="15.75" hidden="1" customHeight="1" x14ac:dyDescent="0.25">
      <c r="B367" s="13" t="s">
        <v>556</v>
      </c>
      <c r="C367" s="13" t="s">
        <v>14519</v>
      </c>
      <c r="D367" s="12" t="s">
        <v>14520</v>
      </c>
      <c r="E367" s="13" t="s">
        <v>580</v>
      </c>
      <c r="F367" s="681">
        <v>6.03</v>
      </c>
    </row>
    <row r="368" spans="2:6" ht="15.75" hidden="1" customHeight="1" x14ac:dyDescent="0.25">
      <c r="B368" s="13" t="s">
        <v>556</v>
      </c>
      <c r="C368" s="13" t="s">
        <v>14521</v>
      </c>
      <c r="D368" s="12" t="s">
        <v>10612</v>
      </c>
      <c r="E368" s="13" t="s">
        <v>578</v>
      </c>
      <c r="F368" s="681">
        <v>55.35</v>
      </c>
    </row>
    <row r="369" spans="2:6" ht="15.75" hidden="1" customHeight="1" x14ac:dyDescent="0.25">
      <c r="B369" s="13" t="s">
        <v>556</v>
      </c>
      <c r="C369" s="13" t="s">
        <v>14522</v>
      </c>
      <c r="D369" s="12" t="s">
        <v>11249</v>
      </c>
      <c r="E369" s="13" t="s">
        <v>823</v>
      </c>
      <c r="F369" s="681">
        <v>70.23</v>
      </c>
    </row>
    <row r="370" spans="2:6" ht="15.75" hidden="1" customHeight="1" x14ac:dyDescent="0.25">
      <c r="B370" s="13" t="s">
        <v>556</v>
      </c>
      <c r="C370" s="13" t="s">
        <v>14523</v>
      </c>
      <c r="D370" s="12" t="s">
        <v>14524</v>
      </c>
      <c r="E370" s="13" t="s">
        <v>580</v>
      </c>
      <c r="F370" s="681">
        <v>7.8</v>
      </c>
    </row>
    <row r="371" spans="2:6" ht="15.75" hidden="1" customHeight="1" x14ac:dyDescent="0.25">
      <c r="B371" s="13" t="s">
        <v>556</v>
      </c>
      <c r="C371" s="13" t="s">
        <v>14525</v>
      </c>
      <c r="D371" s="12" t="s">
        <v>14526</v>
      </c>
      <c r="E371" s="13" t="s">
        <v>580</v>
      </c>
      <c r="F371" s="681">
        <v>17.350000000000001</v>
      </c>
    </row>
    <row r="372" spans="2:6" ht="15.75" hidden="1" customHeight="1" x14ac:dyDescent="0.25">
      <c r="B372" s="13" t="s">
        <v>556</v>
      </c>
      <c r="C372" s="13" t="s">
        <v>14527</v>
      </c>
      <c r="D372" s="12" t="s">
        <v>10394</v>
      </c>
      <c r="E372" s="13" t="s">
        <v>580</v>
      </c>
      <c r="F372" s="681">
        <v>396.48</v>
      </c>
    </row>
    <row r="373" spans="2:6" ht="15.75" hidden="1" customHeight="1" x14ac:dyDescent="0.25">
      <c r="B373" s="13" t="s">
        <v>556</v>
      </c>
      <c r="C373" s="13" t="s">
        <v>14528</v>
      </c>
      <c r="D373" s="12" t="s">
        <v>14529</v>
      </c>
      <c r="E373" s="13" t="s">
        <v>580</v>
      </c>
      <c r="F373" s="681">
        <v>21.42</v>
      </c>
    </row>
    <row r="374" spans="2:6" ht="15.75" hidden="1" customHeight="1" x14ac:dyDescent="0.25">
      <c r="B374" s="13" t="s">
        <v>556</v>
      </c>
      <c r="C374" s="13" t="s">
        <v>14530</v>
      </c>
      <c r="D374" s="12" t="s">
        <v>10395</v>
      </c>
      <c r="E374" s="13" t="s">
        <v>580</v>
      </c>
      <c r="F374" s="681">
        <v>675.77</v>
      </c>
    </row>
    <row r="375" spans="2:6" ht="15.75" hidden="1" customHeight="1" x14ac:dyDescent="0.25">
      <c r="B375" s="13" t="s">
        <v>14150</v>
      </c>
      <c r="C375" s="13" t="s">
        <v>14531</v>
      </c>
      <c r="D375" s="12" t="s">
        <v>10930</v>
      </c>
      <c r="E375" s="13" t="s">
        <v>580</v>
      </c>
      <c r="F375" s="681">
        <v>17958.599999999999</v>
      </c>
    </row>
    <row r="376" spans="2:6" ht="15.75" hidden="1" customHeight="1" x14ac:dyDescent="0.25">
      <c r="B376" s="13" t="s">
        <v>14150</v>
      </c>
      <c r="C376" s="13" t="s">
        <v>14532</v>
      </c>
      <c r="D376" s="12" t="s">
        <v>14533</v>
      </c>
      <c r="E376" s="13" t="s">
        <v>580</v>
      </c>
      <c r="F376" s="681">
        <v>3780</v>
      </c>
    </row>
    <row r="377" spans="2:6" ht="15.75" hidden="1" customHeight="1" x14ac:dyDescent="0.25">
      <c r="B377" s="13" t="s">
        <v>556</v>
      </c>
      <c r="C377" s="13" t="s">
        <v>14534</v>
      </c>
      <c r="D377" s="12" t="s">
        <v>11416</v>
      </c>
      <c r="E377" s="13" t="s">
        <v>580</v>
      </c>
      <c r="F377" s="681">
        <v>18.2</v>
      </c>
    </row>
    <row r="378" spans="2:6" ht="15.75" hidden="1" customHeight="1" x14ac:dyDescent="0.25">
      <c r="B378" s="13" t="s">
        <v>556</v>
      </c>
      <c r="C378" s="13" t="s">
        <v>14535</v>
      </c>
      <c r="D378" s="12" t="s">
        <v>11417</v>
      </c>
      <c r="E378" s="13" t="s">
        <v>580</v>
      </c>
      <c r="F378" s="681">
        <v>20.9</v>
      </c>
    </row>
    <row r="379" spans="2:6" ht="15.75" hidden="1" customHeight="1" x14ac:dyDescent="0.25">
      <c r="B379" s="13" t="s">
        <v>556</v>
      </c>
      <c r="C379" s="13" t="s">
        <v>14536</v>
      </c>
      <c r="D379" s="12" t="s">
        <v>11421</v>
      </c>
      <c r="E379" s="13" t="s">
        <v>580</v>
      </c>
      <c r="F379" s="681">
        <v>17.77</v>
      </c>
    </row>
    <row r="380" spans="2:6" ht="15.75" hidden="1" customHeight="1" x14ac:dyDescent="0.25">
      <c r="B380" s="13" t="s">
        <v>556</v>
      </c>
      <c r="C380" s="13" t="s">
        <v>14537</v>
      </c>
      <c r="D380" s="12" t="s">
        <v>14538</v>
      </c>
      <c r="E380" s="13" t="s">
        <v>580</v>
      </c>
      <c r="F380" s="681">
        <v>30.94</v>
      </c>
    </row>
    <row r="381" spans="2:6" ht="15.75" hidden="1" customHeight="1" x14ac:dyDescent="0.25">
      <c r="B381" s="13" t="s">
        <v>556</v>
      </c>
      <c r="C381" s="13" t="s">
        <v>14539</v>
      </c>
      <c r="D381" s="12" t="s">
        <v>11163</v>
      </c>
      <c r="E381" s="13" t="s">
        <v>580</v>
      </c>
      <c r="F381" s="681">
        <v>59.05</v>
      </c>
    </row>
    <row r="382" spans="2:6" ht="15.75" hidden="1" customHeight="1" x14ac:dyDescent="0.25">
      <c r="B382" s="13" t="s">
        <v>556</v>
      </c>
      <c r="C382" s="13" t="s">
        <v>14540</v>
      </c>
      <c r="D382" s="12" t="s">
        <v>14541</v>
      </c>
      <c r="E382" s="13" t="s">
        <v>580</v>
      </c>
      <c r="F382" s="681">
        <v>133.06</v>
      </c>
    </row>
    <row r="383" spans="2:6" ht="15.75" hidden="1" customHeight="1" x14ac:dyDescent="0.25">
      <c r="B383" s="13" t="s">
        <v>556</v>
      </c>
      <c r="C383" s="13" t="s">
        <v>14542</v>
      </c>
      <c r="D383" s="12" t="s">
        <v>11165</v>
      </c>
      <c r="E383" s="13" t="s">
        <v>580</v>
      </c>
      <c r="F383" s="681">
        <v>22.62</v>
      </c>
    </row>
    <row r="384" spans="2:6" ht="15.75" hidden="1" customHeight="1" x14ac:dyDescent="0.25">
      <c r="B384" s="13" t="s">
        <v>556</v>
      </c>
      <c r="C384" s="13" t="s">
        <v>14543</v>
      </c>
      <c r="D384" s="12" t="s">
        <v>11166</v>
      </c>
      <c r="E384" s="13" t="s">
        <v>580</v>
      </c>
      <c r="F384" s="681">
        <v>94.89</v>
      </c>
    </row>
    <row r="385" spans="2:6" ht="15.75" hidden="1" customHeight="1" x14ac:dyDescent="0.25">
      <c r="B385" s="13" t="s">
        <v>556</v>
      </c>
      <c r="C385" s="13" t="s">
        <v>14544</v>
      </c>
      <c r="D385" s="12" t="s">
        <v>11162</v>
      </c>
      <c r="E385" s="13" t="s">
        <v>580</v>
      </c>
      <c r="F385" s="681">
        <v>62</v>
      </c>
    </row>
    <row r="386" spans="2:6" ht="15.75" hidden="1" customHeight="1" x14ac:dyDescent="0.25">
      <c r="B386" s="13" t="s">
        <v>556</v>
      </c>
      <c r="C386" s="13" t="s">
        <v>14545</v>
      </c>
      <c r="D386" s="12" t="s">
        <v>11168</v>
      </c>
      <c r="E386" s="13" t="s">
        <v>580</v>
      </c>
      <c r="F386" s="681">
        <v>21.34</v>
      </c>
    </row>
    <row r="387" spans="2:6" ht="15.75" hidden="1" customHeight="1" x14ac:dyDescent="0.25">
      <c r="B387" s="13" t="s">
        <v>556</v>
      </c>
      <c r="C387" s="13" t="s">
        <v>14546</v>
      </c>
      <c r="D387" s="12" t="s">
        <v>11169</v>
      </c>
      <c r="E387" s="13" t="s">
        <v>580</v>
      </c>
      <c r="F387" s="681">
        <v>27.48</v>
      </c>
    </row>
    <row r="388" spans="2:6" ht="15.75" hidden="1" customHeight="1" x14ac:dyDescent="0.25">
      <c r="B388" s="13" t="s">
        <v>556</v>
      </c>
      <c r="C388" s="13" t="s">
        <v>14547</v>
      </c>
      <c r="D388" s="12" t="s">
        <v>11170</v>
      </c>
      <c r="E388" s="13" t="s">
        <v>580</v>
      </c>
      <c r="F388" s="681">
        <v>43.64</v>
      </c>
    </row>
    <row r="389" spans="2:6" ht="15.75" hidden="1" customHeight="1" x14ac:dyDescent="0.25">
      <c r="B389" s="13" t="s">
        <v>556</v>
      </c>
      <c r="C389" s="13" t="s">
        <v>14548</v>
      </c>
      <c r="D389" s="12" t="s">
        <v>11171</v>
      </c>
      <c r="E389" s="13" t="s">
        <v>580</v>
      </c>
      <c r="F389" s="681">
        <v>58.36</v>
      </c>
    </row>
    <row r="390" spans="2:6" ht="15.75" hidden="1" customHeight="1" x14ac:dyDescent="0.25">
      <c r="B390" s="13" t="s">
        <v>556</v>
      </c>
      <c r="C390" s="13" t="s">
        <v>14549</v>
      </c>
      <c r="D390" s="12" t="s">
        <v>11172</v>
      </c>
      <c r="E390" s="13" t="s">
        <v>580</v>
      </c>
      <c r="F390" s="681">
        <v>60.27</v>
      </c>
    </row>
    <row r="391" spans="2:6" ht="15.75" hidden="1" customHeight="1" x14ac:dyDescent="0.25">
      <c r="B391" s="13" t="s">
        <v>556</v>
      </c>
      <c r="C391" s="13" t="s">
        <v>14550</v>
      </c>
      <c r="D391" s="12" t="s">
        <v>11173</v>
      </c>
      <c r="E391" s="13" t="s">
        <v>580</v>
      </c>
      <c r="F391" s="681">
        <v>110.38</v>
      </c>
    </row>
    <row r="392" spans="2:6" ht="15.75" hidden="1" customHeight="1" x14ac:dyDescent="0.25">
      <c r="B392" s="13" t="s">
        <v>556</v>
      </c>
      <c r="C392" s="13" t="s">
        <v>14551</v>
      </c>
      <c r="D392" s="12" t="s">
        <v>8995</v>
      </c>
      <c r="E392" s="13" t="s">
        <v>580</v>
      </c>
      <c r="F392" s="681">
        <v>22.9</v>
      </c>
    </row>
    <row r="393" spans="2:6" ht="15.75" hidden="1" customHeight="1" x14ac:dyDescent="0.25">
      <c r="B393" s="13" t="s">
        <v>556</v>
      </c>
      <c r="C393" s="13" t="s">
        <v>14552</v>
      </c>
      <c r="D393" s="12" t="s">
        <v>14553</v>
      </c>
      <c r="E393" s="13" t="s">
        <v>580</v>
      </c>
      <c r="F393" s="681">
        <v>79.55</v>
      </c>
    </row>
    <row r="394" spans="2:6" ht="15.75" hidden="1" customHeight="1" x14ac:dyDescent="0.25">
      <c r="B394" s="13" t="s">
        <v>556</v>
      </c>
      <c r="C394" s="13" t="s">
        <v>14554</v>
      </c>
      <c r="D394" s="12" t="s">
        <v>8994</v>
      </c>
      <c r="E394" s="13" t="s">
        <v>580</v>
      </c>
      <c r="F394" s="681">
        <v>16.89</v>
      </c>
    </row>
    <row r="395" spans="2:6" ht="15.75" hidden="1" customHeight="1" x14ac:dyDescent="0.25">
      <c r="B395" s="13" t="s">
        <v>556</v>
      </c>
      <c r="C395" s="13" t="s">
        <v>14555</v>
      </c>
      <c r="D395" s="12" t="s">
        <v>9884</v>
      </c>
      <c r="E395" s="13" t="s">
        <v>580</v>
      </c>
      <c r="F395" s="681">
        <v>7.63</v>
      </c>
    </row>
    <row r="396" spans="2:6" ht="15.75" hidden="1" customHeight="1" x14ac:dyDescent="0.25">
      <c r="B396" s="13" t="s">
        <v>556</v>
      </c>
      <c r="C396" s="13" t="s">
        <v>14556</v>
      </c>
      <c r="D396" s="12" t="s">
        <v>9881</v>
      </c>
      <c r="E396" s="13" t="s">
        <v>580</v>
      </c>
      <c r="F396" s="681">
        <v>40.590000000000003</v>
      </c>
    </row>
    <row r="397" spans="2:6" ht="15.75" hidden="1" customHeight="1" x14ac:dyDescent="0.25">
      <c r="B397" s="13" t="s">
        <v>556</v>
      </c>
      <c r="C397" s="13" t="s">
        <v>14557</v>
      </c>
      <c r="D397" s="12" t="s">
        <v>9882</v>
      </c>
      <c r="E397" s="13" t="s">
        <v>580</v>
      </c>
      <c r="F397" s="681">
        <v>44.43</v>
      </c>
    </row>
    <row r="398" spans="2:6" ht="15.75" hidden="1" customHeight="1" x14ac:dyDescent="0.25">
      <c r="B398" s="13" t="s">
        <v>556</v>
      </c>
      <c r="C398" s="13" t="s">
        <v>14558</v>
      </c>
      <c r="D398" s="12" t="s">
        <v>8993</v>
      </c>
      <c r="E398" s="13" t="s">
        <v>580</v>
      </c>
      <c r="F398" s="681">
        <v>28.62</v>
      </c>
    </row>
    <row r="399" spans="2:6" ht="15.75" hidden="1" customHeight="1" x14ac:dyDescent="0.25">
      <c r="B399" s="13" t="s">
        <v>556</v>
      </c>
      <c r="C399" s="13" t="s">
        <v>14559</v>
      </c>
      <c r="D399" s="12" t="s">
        <v>9565</v>
      </c>
      <c r="E399" s="13" t="s">
        <v>580</v>
      </c>
      <c r="F399" s="681">
        <v>13.12</v>
      </c>
    </row>
    <row r="400" spans="2:6" ht="15.75" hidden="1" customHeight="1" x14ac:dyDescent="0.25">
      <c r="B400" s="13" t="s">
        <v>556</v>
      </c>
      <c r="C400" s="13" t="s">
        <v>14560</v>
      </c>
      <c r="D400" s="12" t="s">
        <v>8832</v>
      </c>
      <c r="E400" s="13" t="s">
        <v>585</v>
      </c>
      <c r="F400" s="681">
        <v>1017.05</v>
      </c>
    </row>
    <row r="401" spans="2:6" ht="15.75" hidden="1" customHeight="1" x14ac:dyDescent="0.25">
      <c r="B401" s="13" t="s">
        <v>556</v>
      </c>
      <c r="C401" s="13" t="s">
        <v>14561</v>
      </c>
      <c r="D401" s="12" t="s">
        <v>11345</v>
      </c>
      <c r="E401" s="13" t="s">
        <v>580</v>
      </c>
      <c r="F401" s="681">
        <v>468.92</v>
      </c>
    </row>
    <row r="402" spans="2:6" ht="15.75" hidden="1" customHeight="1" x14ac:dyDescent="0.25">
      <c r="B402" s="13" t="s">
        <v>556</v>
      </c>
      <c r="C402" s="13" t="s">
        <v>14562</v>
      </c>
      <c r="D402" s="12" t="s">
        <v>8833</v>
      </c>
      <c r="E402" s="13" t="s">
        <v>585</v>
      </c>
      <c r="F402" s="681">
        <v>1274.31</v>
      </c>
    </row>
    <row r="403" spans="2:6" ht="15.75" hidden="1" customHeight="1" x14ac:dyDescent="0.25">
      <c r="B403" s="13" t="s">
        <v>556</v>
      </c>
      <c r="C403" s="13" t="s">
        <v>14563</v>
      </c>
      <c r="D403" s="12" t="s">
        <v>14564</v>
      </c>
      <c r="E403" s="13" t="s">
        <v>580</v>
      </c>
      <c r="F403" s="681">
        <v>55.8</v>
      </c>
    </row>
    <row r="404" spans="2:6" ht="15.75" hidden="1" customHeight="1" x14ac:dyDescent="0.25">
      <c r="B404" s="13" t="s">
        <v>556</v>
      </c>
      <c r="C404" s="13" t="s">
        <v>14565</v>
      </c>
      <c r="D404" s="12" t="s">
        <v>11350</v>
      </c>
      <c r="E404" s="13" t="s">
        <v>580</v>
      </c>
      <c r="F404" s="681">
        <v>270.38</v>
      </c>
    </row>
    <row r="405" spans="2:6" ht="15.75" hidden="1" customHeight="1" x14ac:dyDescent="0.25">
      <c r="B405" s="13" t="s">
        <v>556</v>
      </c>
      <c r="C405" s="13" t="s">
        <v>14566</v>
      </c>
      <c r="D405" s="12" t="s">
        <v>8825</v>
      </c>
      <c r="E405" s="13" t="s">
        <v>578</v>
      </c>
      <c r="F405" s="681">
        <v>517.22</v>
      </c>
    </row>
    <row r="406" spans="2:6" ht="15.75" hidden="1" customHeight="1" x14ac:dyDescent="0.25">
      <c r="B406" s="13" t="s">
        <v>556</v>
      </c>
      <c r="C406" s="13" t="s">
        <v>14567</v>
      </c>
      <c r="D406" s="12" t="s">
        <v>8834</v>
      </c>
      <c r="E406" s="13" t="s">
        <v>578</v>
      </c>
      <c r="F406" s="681">
        <v>305.91000000000003</v>
      </c>
    </row>
    <row r="407" spans="2:6" ht="15.75" hidden="1" customHeight="1" x14ac:dyDescent="0.25">
      <c r="B407" s="13" t="s">
        <v>556</v>
      </c>
      <c r="C407" s="13" t="s">
        <v>14568</v>
      </c>
      <c r="D407" s="12" t="s">
        <v>9236</v>
      </c>
      <c r="E407" s="13" t="s">
        <v>580</v>
      </c>
      <c r="F407" s="681">
        <v>1105.04</v>
      </c>
    </row>
    <row r="408" spans="2:6" ht="15.75" hidden="1" customHeight="1" x14ac:dyDescent="0.25">
      <c r="B408" s="13" t="s">
        <v>556</v>
      </c>
      <c r="C408" s="13" t="s">
        <v>14569</v>
      </c>
      <c r="D408" s="12" t="s">
        <v>10406</v>
      </c>
      <c r="E408" s="13" t="s">
        <v>580</v>
      </c>
      <c r="F408" s="681">
        <v>159.94</v>
      </c>
    </row>
    <row r="409" spans="2:6" ht="15.75" hidden="1" customHeight="1" x14ac:dyDescent="0.25">
      <c r="B409" s="13" t="s">
        <v>556</v>
      </c>
      <c r="C409" s="13" t="s">
        <v>14570</v>
      </c>
      <c r="D409" s="12" t="s">
        <v>10690</v>
      </c>
      <c r="E409" s="13" t="s">
        <v>580</v>
      </c>
      <c r="F409" s="681">
        <v>654.91999999999996</v>
      </c>
    </row>
    <row r="410" spans="2:6" ht="15.75" hidden="1" customHeight="1" x14ac:dyDescent="0.25">
      <c r="B410" s="13" t="s">
        <v>556</v>
      </c>
      <c r="C410" s="13" t="s">
        <v>14571</v>
      </c>
      <c r="D410" s="12" t="s">
        <v>10691</v>
      </c>
      <c r="E410" s="13" t="s">
        <v>580</v>
      </c>
      <c r="F410" s="681">
        <v>781.28</v>
      </c>
    </row>
    <row r="411" spans="2:6" ht="15.75" hidden="1" customHeight="1" x14ac:dyDescent="0.25">
      <c r="B411" s="13" t="s">
        <v>556</v>
      </c>
      <c r="C411" s="13" t="s">
        <v>14572</v>
      </c>
      <c r="D411" s="12" t="s">
        <v>10692</v>
      </c>
      <c r="E411" s="13" t="s">
        <v>580</v>
      </c>
      <c r="F411" s="681">
        <v>863.5</v>
      </c>
    </row>
    <row r="412" spans="2:6" ht="15.75" hidden="1" customHeight="1" x14ac:dyDescent="0.25">
      <c r="B412" s="13" t="s">
        <v>556</v>
      </c>
      <c r="C412" s="13" t="s">
        <v>14573</v>
      </c>
      <c r="D412" s="12" t="s">
        <v>14574</v>
      </c>
      <c r="E412" s="13" t="s">
        <v>580</v>
      </c>
      <c r="F412" s="681">
        <v>11.37</v>
      </c>
    </row>
    <row r="413" spans="2:6" ht="15.75" hidden="1" customHeight="1" x14ac:dyDescent="0.25">
      <c r="B413" s="13" t="s">
        <v>556</v>
      </c>
      <c r="C413" s="13" t="s">
        <v>14575</v>
      </c>
      <c r="D413" s="12" t="s">
        <v>10801</v>
      </c>
      <c r="E413" s="13" t="s">
        <v>580</v>
      </c>
      <c r="F413" s="681">
        <v>47.19</v>
      </c>
    </row>
    <row r="414" spans="2:6" ht="15.75" hidden="1" customHeight="1" x14ac:dyDescent="0.25">
      <c r="B414" s="13" t="s">
        <v>556</v>
      </c>
      <c r="C414" s="13" t="s">
        <v>14576</v>
      </c>
      <c r="D414" s="12" t="s">
        <v>11140</v>
      </c>
      <c r="E414" s="13" t="s">
        <v>580</v>
      </c>
      <c r="F414" s="681">
        <v>13.73</v>
      </c>
    </row>
    <row r="415" spans="2:6" ht="15.75" hidden="1" customHeight="1" x14ac:dyDescent="0.25">
      <c r="B415" s="13" t="s">
        <v>556</v>
      </c>
      <c r="C415" s="13" t="s">
        <v>14577</v>
      </c>
      <c r="D415" s="12" t="s">
        <v>11137</v>
      </c>
      <c r="E415" s="13" t="s">
        <v>580</v>
      </c>
      <c r="F415" s="681">
        <v>18.329999999999998</v>
      </c>
    </row>
    <row r="416" spans="2:6" ht="15.75" hidden="1" customHeight="1" x14ac:dyDescent="0.25">
      <c r="B416" s="13" t="s">
        <v>556</v>
      </c>
      <c r="C416" s="13" t="s">
        <v>14578</v>
      </c>
      <c r="D416" s="12" t="s">
        <v>11138</v>
      </c>
      <c r="E416" s="13" t="s">
        <v>580</v>
      </c>
      <c r="F416" s="681">
        <v>43.06</v>
      </c>
    </row>
    <row r="417" spans="2:6" ht="15.75" hidden="1" customHeight="1" x14ac:dyDescent="0.25">
      <c r="B417" s="13" t="s">
        <v>556</v>
      </c>
      <c r="C417" s="13" t="s">
        <v>14579</v>
      </c>
      <c r="D417" s="12" t="s">
        <v>11139</v>
      </c>
      <c r="E417" s="13" t="s">
        <v>580</v>
      </c>
      <c r="F417" s="681">
        <v>98.99</v>
      </c>
    </row>
    <row r="418" spans="2:6" ht="15.75" hidden="1" customHeight="1" x14ac:dyDescent="0.25">
      <c r="B418" s="13" t="s">
        <v>556</v>
      </c>
      <c r="C418" s="13" t="s">
        <v>14580</v>
      </c>
      <c r="D418" s="12" t="s">
        <v>11142</v>
      </c>
      <c r="E418" s="13" t="s">
        <v>580</v>
      </c>
      <c r="F418" s="681">
        <v>10.56</v>
      </c>
    </row>
    <row r="419" spans="2:6" ht="15.75" hidden="1" customHeight="1" x14ac:dyDescent="0.25">
      <c r="B419" s="13" t="s">
        <v>556</v>
      </c>
      <c r="C419" s="13" t="s">
        <v>14581</v>
      </c>
      <c r="D419" s="12" t="s">
        <v>9267</v>
      </c>
      <c r="E419" s="13" t="s">
        <v>580</v>
      </c>
      <c r="F419" s="681">
        <v>42.9</v>
      </c>
    </row>
    <row r="420" spans="2:6" ht="15.75" hidden="1" customHeight="1" x14ac:dyDescent="0.25">
      <c r="B420" s="13" t="s">
        <v>556</v>
      </c>
      <c r="C420" s="13" t="s">
        <v>14582</v>
      </c>
      <c r="D420" s="12" t="s">
        <v>9266</v>
      </c>
      <c r="E420" s="13" t="s">
        <v>580</v>
      </c>
      <c r="F420" s="681">
        <v>65.7</v>
      </c>
    </row>
    <row r="421" spans="2:6" ht="15.75" hidden="1" customHeight="1" x14ac:dyDescent="0.25">
      <c r="B421" s="13" t="s">
        <v>556</v>
      </c>
      <c r="C421" s="13" t="s">
        <v>14583</v>
      </c>
      <c r="D421" s="12" t="s">
        <v>9268</v>
      </c>
      <c r="E421" s="13" t="s">
        <v>580</v>
      </c>
      <c r="F421" s="681">
        <v>51.71</v>
      </c>
    </row>
    <row r="422" spans="2:6" ht="15.75" hidden="1" customHeight="1" x14ac:dyDescent="0.25">
      <c r="B422" s="13" t="s">
        <v>556</v>
      </c>
      <c r="C422" s="13" t="s">
        <v>14584</v>
      </c>
      <c r="D422" s="12" t="s">
        <v>11175</v>
      </c>
      <c r="E422" s="13" t="s">
        <v>580</v>
      </c>
      <c r="F422" s="681">
        <v>19.97</v>
      </c>
    </row>
    <row r="423" spans="2:6" ht="15.75" hidden="1" customHeight="1" x14ac:dyDescent="0.25">
      <c r="B423" s="13" t="s">
        <v>556</v>
      </c>
      <c r="C423" s="13" t="s">
        <v>14585</v>
      </c>
      <c r="D423" s="12" t="s">
        <v>11177</v>
      </c>
      <c r="E423" s="13" t="s">
        <v>580</v>
      </c>
      <c r="F423" s="681">
        <v>16.2</v>
      </c>
    </row>
    <row r="424" spans="2:6" ht="15.75" hidden="1" customHeight="1" x14ac:dyDescent="0.25">
      <c r="B424" s="13" t="s">
        <v>556</v>
      </c>
      <c r="C424" s="13" t="s">
        <v>14586</v>
      </c>
      <c r="D424" s="12" t="s">
        <v>10139</v>
      </c>
      <c r="E424" s="13" t="s">
        <v>580</v>
      </c>
      <c r="F424" s="681">
        <v>9.7899999999999991</v>
      </c>
    </row>
    <row r="425" spans="2:6" ht="15.75" hidden="1" customHeight="1" x14ac:dyDescent="0.25">
      <c r="B425" s="13" t="s">
        <v>556</v>
      </c>
      <c r="C425" s="13" t="s">
        <v>14587</v>
      </c>
      <c r="D425" s="12" t="s">
        <v>10140</v>
      </c>
      <c r="E425" s="13" t="s">
        <v>580</v>
      </c>
      <c r="F425" s="681">
        <v>25.68</v>
      </c>
    </row>
    <row r="426" spans="2:6" ht="15.75" hidden="1" customHeight="1" x14ac:dyDescent="0.25">
      <c r="B426" s="13" t="s">
        <v>556</v>
      </c>
      <c r="C426" s="13" t="s">
        <v>14588</v>
      </c>
      <c r="D426" s="12" t="s">
        <v>11097</v>
      </c>
      <c r="E426" s="13" t="s">
        <v>580</v>
      </c>
      <c r="F426" s="681">
        <v>9.02</v>
      </c>
    </row>
    <row r="427" spans="2:6" ht="15.75" hidden="1" customHeight="1" x14ac:dyDescent="0.25">
      <c r="B427" s="13" t="s">
        <v>556</v>
      </c>
      <c r="C427" s="13" t="s">
        <v>14589</v>
      </c>
      <c r="D427" s="12" t="s">
        <v>11098</v>
      </c>
      <c r="E427" s="13" t="s">
        <v>580</v>
      </c>
      <c r="F427" s="681">
        <v>12.79</v>
      </c>
    </row>
    <row r="428" spans="2:6" ht="15.75" hidden="1" customHeight="1" x14ac:dyDescent="0.25">
      <c r="B428" s="13" t="s">
        <v>556</v>
      </c>
      <c r="C428" s="13" t="s">
        <v>14590</v>
      </c>
      <c r="D428" s="12" t="s">
        <v>11099</v>
      </c>
      <c r="E428" s="13" t="s">
        <v>580</v>
      </c>
      <c r="F428" s="681">
        <v>16.13</v>
      </c>
    </row>
    <row r="429" spans="2:6" ht="15.75" hidden="1" customHeight="1" x14ac:dyDescent="0.25">
      <c r="B429" s="13" t="s">
        <v>556</v>
      </c>
      <c r="C429" s="13" t="s">
        <v>14591</v>
      </c>
      <c r="D429" s="12" t="s">
        <v>11143</v>
      </c>
      <c r="E429" s="13" t="s">
        <v>580</v>
      </c>
      <c r="F429" s="681">
        <v>9.0299999999999994</v>
      </c>
    </row>
    <row r="430" spans="2:6" ht="15.75" hidden="1" customHeight="1" x14ac:dyDescent="0.25">
      <c r="B430" s="13" t="s">
        <v>556</v>
      </c>
      <c r="C430" s="13" t="s">
        <v>14592</v>
      </c>
      <c r="D430" s="12" t="s">
        <v>11144</v>
      </c>
      <c r="E430" s="13" t="s">
        <v>580</v>
      </c>
      <c r="F430" s="681">
        <v>11.5</v>
      </c>
    </row>
    <row r="431" spans="2:6" ht="15.75" hidden="1" customHeight="1" x14ac:dyDescent="0.25">
      <c r="B431" s="13" t="s">
        <v>556</v>
      </c>
      <c r="C431" s="13" t="s">
        <v>14593</v>
      </c>
      <c r="D431" s="12" t="s">
        <v>11146</v>
      </c>
      <c r="E431" s="13" t="s">
        <v>580</v>
      </c>
      <c r="F431" s="681">
        <v>9.65</v>
      </c>
    </row>
    <row r="432" spans="2:6" ht="15.75" hidden="1" customHeight="1" x14ac:dyDescent="0.25">
      <c r="B432" s="13" t="s">
        <v>556</v>
      </c>
      <c r="C432" s="13" t="s">
        <v>14594</v>
      </c>
      <c r="D432" s="12" t="s">
        <v>11145</v>
      </c>
      <c r="E432" s="13" t="s">
        <v>580</v>
      </c>
      <c r="F432" s="681">
        <v>15.15</v>
      </c>
    </row>
    <row r="433" spans="2:6" ht="15.75" hidden="1" customHeight="1" x14ac:dyDescent="0.25">
      <c r="B433" s="13" t="s">
        <v>556</v>
      </c>
      <c r="C433" s="13" t="s">
        <v>14595</v>
      </c>
      <c r="D433" s="12" t="s">
        <v>11814</v>
      </c>
      <c r="E433" s="13" t="s">
        <v>580</v>
      </c>
      <c r="F433" s="681">
        <v>51.19</v>
      </c>
    </row>
    <row r="434" spans="2:6" ht="15.75" hidden="1" customHeight="1" x14ac:dyDescent="0.25">
      <c r="B434" s="13" t="s">
        <v>556</v>
      </c>
      <c r="C434" s="13" t="s">
        <v>14596</v>
      </c>
      <c r="D434" s="12" t="s">
        <v>11816</v>
      </c>
      <c r="E434" s="13" t="s">
        <v>580</v>
      </c>
      <c r="F434" s="681">
        <v>141.77000000000001</v>
      </c>
    </row>
    <row r="435" spans="2:6" ht="15.75" hidden="1" customHeight="1" x14ac:dyDescent="0.25">
      <c r="B435" s="13" t="s">
        <v>556</v>
      </c>
      <c r="C435" s="13" t="s">
        <v>14597</v>
      </c>
      <c r="D435" s="12" t="s">
        <v>11815</v>
      </c>
      <c r="E435" s="13" t="s">
        <v>580</v>
      </c>
      <c r="F435" s="681">
        <v>32.85</v>
      </c>
    </row>
    <row r="436" spans="2:6" ht="15.75" hidden="1" customHeight="1" x14ac:dyDescent="0.25">
      <c r="B436" s="13" t="s">
        <v>556</v>
      </c>
      <c r="C436" s="13" t="s">
        <v>14598</v>
      </c>
      <c r="D436" s="12" t="s">
        <v>11817</v>
      </c>
      <c r="E436" s="13" t="s">
        <v>580</v>
      </c>
      <c r="F436" s="681">
        <v>37.909999999999997</v>
      </c>
    </row>
    <row r="437" spans="2:6" ht="15.75" hidden="1" customHeight="1" x14ac:dyDescent="0.25">
      <c r="B437" s="13" t="s">
        <v>556</v>
      </c>
      <c r="C437" s="13" t="s">
        <v>14599</v>
      </c>
      <c r="D437" s="12" t="s">
        <v>11813</v>
      </c>
      <c r="E437" s="13" t="s">
        <v>580</v>
      </c>
      <c r="F437" s="681">
        <v>76.290000000000006</v>
      </c>
    </row>
    <row r="438" spans="2:6" ht="15.75" hidden="1" customHeight="1" x14ac:dyDescent="0.25">
      <c r="B438" s="13" t="s">
        <v>556</v>
      </c>
      <c r="C438" s="13" t="s">
        <v>14600</v>
      </c>
      <c r="D438" s="12" t="s">
        <v>11812</v>
      </c>
      <c r="E438" s="13" t="s">
        <v>580</v>
      </c>
      <c r="F438" s="681">
        <v>91.93</v>
      </c>
    </row>
    <row r="439" spans="2:6" ht="15.75" hidden="1" customHeight="1" x14ac:dyDescent="0.25">
      <c r="B439" s="13" t="s">
        <v>556</v>
      </c>
      <c r="C439" s="13" t="s">
        <v>14601</v>
      </c>
      <c r="D439" s="12" t="s">
        <v>11194</v>
      </c>
      <c r="E439" s="13" t="s">
        <v>580</v>
      </c>
      <c r="F439" s="681">
        <v>15.53</v>
      </c>
    </row>
    <row r="440" spans="2:6" ht="15.75" hidden="1" customHeight="1" x14ac:dyDescent="0.25">
      <c r="B440" s="13" t="s">
        <v>556</v>
      </c>
      <c r="C440" s="13" t="s">
        <v>14602</v>
      </c>
      <c r="D440" s="12" t="s">
        <v>11195</v>
      </c>
      <c r="E440" s="13" t="s">
        <v>580</v>
      </c>
      <c r="F440" s="681">
        <v>18.54</v>
      </c>
    </row>
    <row r="441" spans="2:6" ht="15.75" hidden="1" customHeight="1" x14ac:dyDescent="0.25">
      <c r="B441" s="13" t="s">
        <v>556</v>
      </c>
      <c r="C441" s="13" t="s">
        <v>14603</v>
      </c>
      <c r="D441" s="12" t="s">
        <v>11192</v>
      </c>
      <c r="E441" s="13" t="s">
        <v>580</v>
      </c>
      <c r="F441" s="681">
        <v>26.93</v>
      </c>
    </row>
    <row r="442" spans="2:6" ht="15.75" hidden="1" customHeight="1" x14ac:dyDescent="0.25">
      <c r="B442" s="13" t="s">
        <v>556</v>
      </c>
      <c r="C442" s="13" t="s">
        <v>14604</v>
      </c>
      <c r="D442" s="12" t="s">
        <v>11233</v>
      </c>
      <c r="E442" s="13" t="s">
        <v>580</v>
      </c>
      <c r="F442" s="681">
        <v>46</v>
      </c>
    </row>
    <row r="443" spans="2:6" ht="15.75" hidden="1" customHeight="1" x14ac:dyDescent="0.25">
      <c r="B443" s="13" t="s">
        <v>556</v>
      </c>
      <c r="C443" s="13" t="s">
        <v>14605</v>
      </c>
      <c r="D443" s="12" t="s">
        <v>11234</v>
      </c>
      <c r="E443" s="13" t="s">
        <v>580</v>
      </c>
      <c r="F443" s="681">
        <v>54.9</v>
      </c>
    </row>
    <row r="444" spans="2:6" ht="15.75" hidden="1" customHeight="1" x14ac:dyDescent="0.25">
      <c r="B444" s="13" t="s">
        <v>556</v>
      </c>
      <c r="C444" s="13" t="s">
        <v>14606</v>
      </c>
      <c r="D444" s="12" t="s">
        <v>8790</v>
      </c>
      <c r="E444" s="13" t="s">
        <v>580</v>
      </c>
      <c r="F444" s="681">
        <v>88.74</v>
      </c>
    </row>
    <row r="445" spans="2:6" ht="15.75" hidden="1" customHeight="1" x14ac:dyDescent="0.25">
      <c r="B445" s="13" t="s">
        <v>556</v>
      </c>
      <c r="C445" s="13" t="s">
        <v>14607</v>
      </c>
      <c r="D445" s="12" t="s">
        <v>11632</v>
      </c>
      <c r="E445" s="13" t="s">
        <v>580</v>
      </c>
      <c r="F445" s="681">
        <v>49.2</v>
      </c>
    </row>
    <row r="446" spans="2:6" ht="15.75" hidden="1" customHeight="1" x14ac:dyDescent="0.25">
      <c r="B446" s="13" t="s">
        <v>556</v>
      </c>
      <c r="C446" s="13" t="s">
        <v>14608</v>
      </c>
      <c r="D446" s="12" t="s">
        <v>11613</v>
      </c>
      <c r="E446" s="13" t="s">
        <v>580</v>
      </c>
      <c r="F446" s="681">
        <v>241.67</v>
      </c>
    </row>
    <row r="447" spans="2:6" ht="15.75" hidden="1" customHeight="1" x14ac:dyDescent="0.25">
      <c r="B447" s="13" t="s">
        <v>556</v>
      </c>
      <c r="C447" s="13" t="s">
        <v>14609</v>
      </c>
      <c r="D447" s="12" t="s">
        <v>11614</v>
      </c>
      <c r="E447" s="13" t="s">
        <v>580</v>
      </c>
      <c r="F447" s="681">
        <v>198.28</v>
      </c>
    </row>
    <row r="448" spans="2:6" ht="15.75" hidden="1" customHeight="1" x14ac:dyDescent="0.25">
      <c r="B448" s="13" t="s">
        <v>556</v>
      </c>
      <c r="C448" s="13" t="s">
        <v>14610</v>
      </c>
      <c r="D448" s="12" t="s">
        <v>11617</v>
      </c>
      <c r="E448" s="13" t="s">
        <v>580</v>
      </c>
      <c r="F448" s="681">
        <v>132.13999999999999</v>
      </c>
    </row>
    <row r="449" spans="2:6" ht="15.75" hidden="1" customHeight="1" x14ac:dyDescent="0.25">
      <c r="B449" s="13" t="s">
        <v>556</v>
      </c>
      <c r="C449" s="13" t="s">
        <v>14611</v>
      </c>
      <c r="D449" s="12" t="s">
        <v>11618</v>
      </c>
      <c r="E449" s="13" t="s">
        <v>580</v>
      </c>
      <c r="F449" s="681">
        <v>72.28</v>
      </c>
    </row>
    <row r="450" spans="2:6" ht="15.75" hidden="1" customHeight="1" x14ac:dyDescent="0.25">
      <c r="B450" s="13" t="s">
        <v>556</v>
      </c>
      <c r="C450" s="13" t="s">
        <v>14612</v>
      </c>
      <c r="D450" s="12" t="s">
        <v>11612</v>
      </c>
      <c r="E450" s="13" t="s">
        <v>580</v>
      </c>
      <c r="F450" s="681">
        <v>310.07</v>
      </c>
    </row>
    <row r="451" spans="2:6" ht="15.75" hidden="1" customHeight="1" x14ac:dyDescent="0.25">
      <c r="B451" s="13" t="s">
        <v>556</v>
      </c>
      <c r="C451" s="13" t="s">
        <v>14613</v>
      </c>
      <c r="D451" s="12" t="s">
        <v>10699</v>
      </c>
      <c r="E451" s="13" t="s">
        <v>580</v>
      </c>
      <c r="F451" s="681">
        <v>325.48</v>
      </c>
    </row>
    <row r="452" spans="2:6" ht="15.75" hidden="1" customHeight="1" x14ac:dyDescent="0.25">
      <c r="B452" s="13" t="s">
        <v>556</v>
      </c>
      <c r="C452" s="13" t="s">
        <v>14614</v>
      </c>
      <c r="D452" s="12" t="s">
        <v>10700</v>
      </c>
      <c r="E452" s="13" t="s">
        <v>580</v>
      </c>
      <c r="F452" s="681">
        <v>398.67</v>
      </c>
    </row>
    <row r="453" spans="2:6" ht="15.75" hidden="1" customHeight="1" x14ac:dyDescent="0.25">
      <c r="B453" s="13" t="s">
        <v>556</v>
      </c>
      <c r="C453" s="13" t="s">
        <v>14615</v>
      </c>
      <c r="D453" s="12" t="s">
        <v>11635</v>
      </c>
      <c r="E453" s="13" t="s">
        <v>580</v>
      </c>
      <c r="F453" s="681">
        <v>104.06</v>
      </c>
    </row>
    <row r="454" spans="2:6" ht="15.75" hidden="1" customHeight="1" x14ac:dyDescent="0.25">
      <c r="B454" s="13" t="s">
        <v>556</v>
      </c>
      <c r="C454" s="13" t="s">
        <v>14616</v>
      </c>
      <c r="D454" s="12" t="s">
        <v>11631</v>
      </c>
      <c r="E454" s="13" t="s">
        <v>580</v>
      </c>
      <c r="F454" s="681">
        <v>103.74</v>
      </c>
    </row>
    <row r="455" spans="2:6" ht="15.75" hidden="1" customHeight="1" x14ac:dyDescent="0.25">
      <c r="B455" s="13" t="s">
        <v>556</v>
      </c>
      <c r="C455" s="13" t="s">
        <v>14617</v>
      </c>
      <c r="D455" s="12" t="s">
        <v>11625</v>
      </c>
      <c r="E455" s="13" t="s">
        <v>580</v>
      </c>
      <c r="F455" s="681">
        <v>190.71</v>
      </c>
    </row>
    <row r="456" spans="2:6" ht="15.75" hidden="1" customHeight="1" x14ac:dyDescent="0.25">
      <c r="B456" s="13" t="s">
        <v>556</v>
      </c>
      <c r="C456" s="13" t="s">
        <v>14618</v>
      </c>
      <c r="D456" s="12" t="s">
        <v>11810</v>
      </c>
      <c r="E456" s="13" t="s">
        <v>580</v>
      </c>
      <c r="F456" s="681">
        <v>292.44</v>
      </c>
    </row>
    <row r="457" spans="2:6" ht="15.75" hidden="1" customHeight="1" x14ac:dyDescent="0.25">
      <c r="B457" s="13" t="s">
        <v>556</v>
      </c>
      <c r="C457" s="13" t="s">
        <v>14619</v>
      </c>
      <c r="D457" s="12" t="s">
        <v>8819</v>
      </c>
      <c r="E457" s="13" t="s">
        <v>580</v>
      </c>
      <c r="F457" s="681">
        <v>425.87</v>
      </c>
    </row>
    <row r="458" spans="2:6" ht="15.75" hidden="1" customHeight="1" x14ac:dyDescent="0.25">
      <c r="B458" s="13" t="s">
        <v>556</v>
      </c>
      <c r="C458" s="13" t="s">
        <v>14620</v>
      </c>
      <c r="D458" s="12" t="s">
        <v>8671</v>
      </c>
      <c r="E458" s="13" t="s">
        <v>580</v>
      </c>
      <c r="F458" s="681">
        <v>0.87</v>
      </c>
    </row>
    <row r="459" spans="2:6" ht="15.75" hidden="1" customHeight="1" x14ac:dyDescent="0.25">
      <c r="B459" s="13" t="s">
        <v>556</v>
      </c>
      <c r="C459" s="13" t="s">
        <v>14621</v>
      </c>
      <c r="D459" s="12" t="s">
        <v>14622</v>
      </c>
      <c r="E459" s="13" t="s">
        <v>580</v>
      </c>
      <c r="F459" s="681">
        <v>32.159999999999997</v>
      </c>
    </row>
    <row r="460" spans="2:6" ht="15.75" hidden="1" customHeight="1" x14ac:dyDescent="0.25">
      <c r="B460" s="13" t="s">
        <v>556</v>
      </c>
      <c r="C460" s="13" t="s">
        <v>14623</v>
      </c>
      <c r="D460" s="12" t="s">
        <v>10136</v>
      </c>
      <c r="E460" s="13" t="s">
        <v>578</v>
      </c>
      <c r="F460" s="681">
        <v>754.71</v>
      </c>
    </row>
    <row r="461" spans="2:6" ht="15.75" hidden="1" customHeight="1" x14ac:dyDescent="0.25">
      <c r="B461" s="13" t="s">
        <v>556</v>
      </c>
      <c r="C461" s="13" t="s">
        <v>14624</v>
      </c>
      <c r="D461" s="12" t="s">
        <v>10866</v>
      </c>
      <c r="E461" s="13" t="s">
        <v>580</v>
      </c>
      <c r="F461" s="681">
        <v>50.28</v>
      </c>
    </row>
    <row r="462" spans="2:6" ht="15.75" hidden="1" customHeight="1" x14ac:dyDescent="0.25">
      <c r="B462" s="13" t="s">
        <v>14150</v>
      </c>
      <c r="C462" s="13" t="s">
        <v>14625</v>
      </c>
      <c r="D462" s="12" t="s">
        <v>8688</v>
      </c>
      <c r="E462" s="13" t="s">
        <v>580</v>
      </c>
      <c r="F462" s="681">
        <v>5144.3500000000004</v>
      </c>
    </row>
    <row r="463" spans="2:6" ht="15.75" hidden="1" customHeight="1" x14ac:dyDescent="0.25">
      <c r="B463" s="13" t="s">
        <v>14150</v>
      </c>
      <c r="C463" s="13" t="s">
        <v>14626</v>
      </c>
      <c r="D463" s="12" t="s">
        <v>8690</v>
      </c>
      <c r="E463" s="13" t="s">
        <v>580</v>
      </c>
      <c r="F463" s="681">
        <v>8271.64</v>
      </c>
    </row>
    <row r="464" spans="2:6" ht="15.75" hidden="1" customHeight="1" x14ac:dyDescent="0.25">
      <c r="B464" s="13" t="s">
        <v>14150</v>
      </c>
      <c r="C464" s="13" t="s">
        <v>14627</v>
      </c>
      <c r="D464" s="12" t="s">
        <v>8689</v>
      </c>
      <c r="E464" s="13" t="s">
        <v>580</v>
      </c>
      <c r="F464" s="681">
        <v>3800</v>
      </c>
    </row>
    <row r="465" spans="2:6" ht="15.75" hidden="1" customHeight="1" x14ac:dyDescent="0.25">
      <c r="B465" s="13" t="s">
        <v>556</v>
      </c>
      <c r="C465" s="13" t="s">
        <v>14628</v>
      </c>
      <c r="D465" s="12" t="s">
        <v>9527</v>
      </c>
      <c r="E465" s="13" t="s">
        <v>580</v>
      </c>
      <c r="F465" s="681">
        <v>10.15</v>
      </c>
    </row>
    <row r="466" spans="2:6" ht="15.75" hidden="1" customHeight="1" x14ac:dyDescent="0.25">
      <c r="B466" s="13" t="s">
        <v>556</v>
      </c>
      <c r="C466" s="13" t="s">
        <v>14629</v>
      </c>
      <c r="D466" s="12" t="s">
        <v>11640</v>
      </c>
      <c r="E466" s="13" t="s">
        <v>580</v>
      </c>
      <c r="F466" s="681">
        <v>31.79</v>
      </c>
    </row>
    <row r="467" spans="2:6" ht="15.75" hidden="1" customHeight="1" x14ac:dyDescent="0.25">
      <c r="B467" s="13" t="s">
        <v>556</v>
      </c>
      <c r="C467" s="13" t="s">
        <v>14630</v>
      </c>
      <c r="D467" s="12" t="s">
        <v>11639</v>
      </c>
      <c r="E467" s="13" t="s">
        <v>580</v>
      </c>
      <c r="F467" s="681">
        <v>12.65</v>
      </c>
    </row>
    <row r="468" spans="2:6" ht="15.75" hidden="1" customHeight="1" x14ac:dyDescent="0.25">
      <c r="B468" s="13" t="s">
        <v>556</v>
      </c>
      <c r="C468" s="13" t="s">
        <v>14631</v>
      </c>
      <c r="D468" s="12" t="s">
        <v>11619</v>
      </c>
      <c r="E468" s="13" t="s">
        <v>580</v>
      </c>
      <c r="F468" s="681">
        <v>85.01</v>
      </c>
    </row>
    <row r="469" spans="2:6" ht="15.75" hidden="1" customHeight="1" x14ac:dyDescent="0.25">
      <c r="B469" s="13" t="s">
        <v>556</v>
      </c>
      <c r="C469" s="13" t="s">
        <v>14632</v>
      </c>
      <c r="D469" s="12" t="s">
        <v>11611</v>
      </c>
      <c r="E469" s="13" t="s">
        <v>580</v>
      </c>
      <c r="F469" s="681">
        <v>116.42</v>
      </c>
    </row>
    <row r="470" spans="2:6" ht="15.75" hidden="1" customHeight="1" x14ac:dyDescent="0.25">
      <c r="B470" s="13" t="s">
        <v>556</v>
      </c>
      <c r="C470" s="13" t="s">
        <v>14633</v>
      </c>
      <c r="D470" s="12" t="s">
        <v>11609</v>
      </c>
      <c r="E470" s="13" t="s">
        <v>580</v>
      </c>
      <c r="F470" s="681">
        <v>92.02</v>
      </c>
    </row>
    <row r="471" spans="2:6" ht="15.75" hidden="1" customHeight="1" x14ac:dyDescent="0.25">
      <c r="B471" s="13" t="s">
        <v>556</v>
      </c>
      <c r="C471" s="13" t="s">
        <v>14634</v>
      </c>
      <c r="D471" s="12" t="s">
        <v>11615</v>
      </c>
      <c r="E471" s="13" t="s">
        <v>580</v>
      </c>
      <c r="F471" s="681">
        <v>47.92</v>
      </c>
    </row>
    <row r="472" spans="2:6" ht="15.75" hidden="1" customHeight="1" x14ac:dyDescent="0.25">
      <c r="B472" s="13" t="s">
        <v>556</v>
      </c>
      <c r="C472" s="13" t="s">
        <v>14635</v>
      </c>
      <c r="D472" s="12" t="s">
        <v>14636</v>
      </c>
      <c r="E472" s="13" t="s">
        <v>580</v>
      </c>
      <c r="F472" s="681">
        <v>22.96</v>
      </c>
    </row>
    <row r="473" spans="2:6" ht="15.75" hidden="1" customHeight="1" x14ac:dyDescent="0.25">
      <c r="B473" s="13" t="s">
        <v>556</v>
      </c>
      <c r="C473" s="13" t="s">
        <v>14637</v>
      </c>
      <c r="D473" s="12" t="s">
        <v>11616</v>
      </c>
      <c r="E473" s="13" t="s">
        <v>580</v>
      </c>
      <c r="F473" s="681">
        <v>51.75</v>
      </c>
    </row>
    <row r="474" spans="2:6" ht="15.75" hidden="1" customHeight="1" x14ac:dyDescent="0.25">
      <c r="B474" s="13" t="s">
        <v>556</v>
      </c>
      <c r="C474" s="13" t="s">
        <v>14638</v>
      </c>
      <c r="D474" s="12" t="s">
        <v>11641</v>
      </c>
      <c r="E474" s="13" t="s">
        <v>580</v>
      </c>
      <c r="F474" s="681">
        <v>19.13</v>
      </c>
    </row>
    <row r="475" spans="2:6" ht="15.75" hidden="1" customHeight="1" x14ac:dyDescent="0.25">
      <c r="B475" s="13" t="s">
        <v>556</v>
      </c>
      <c r="C475" s="13" t="s">
        <v>14639</v>
      </c>
      <c r="D475" s="12" t="s">
        <v>10126</v>
      </c>
      <c r="E475" s="13" t="s">
        <v>580</v>
      </c>
      <c r="F475" s="681">
        <v>90.43</v>
      </c>
    </row>
    <row r="476" spans="2:6" ht="15.75" hidden="1" customHeight="1" x14ac:dyDescent="0.25">
      <c r="B476" s="13" t="s">
        <v>556</v>
      </c>
      <c r="C476" s="13" t="s">
        <v>14640</v>
      </c>
      <c r="D476" s="12" t="s">
        <v>11540</v>
      </c>
      <c r="E476" s="13" t="s">
        <v>580</v>
      </c>
      <c r="F476" s="681">
        <v>38.21</v>
      </c>
    </row>
    <row r="477" spans="2:6" ht="15.75" hidden="1" customHeight="1" x14ac:dyDescent="0.25">
      <c r="B477" s="13" t="s">
        <v>556</v>
      </c>
      <c r="C477" s="13" t="s">
        <v>14641</v>
      </c>
      <c r="D477" s="12" t="s">
        <v>11543</v>
      </c>
      <c r="E477" s="13" t="s">
        <v>580</v>
      </c>
      <c r="F477" s="681">
        <v>55.59</v>
      </c>
    </row>
    <row r="478" spans="2:6" ht="15.75" hidden="1" customHeight="1" x14ac:dyDescent="0.25">
      <c r="B478" s="13" t="s">
        <v>556</v>
      </c>
      <c r="C478" s="13" t="s">
        <v>14642</v>
      </c>
      <c r="D478" s="12" t="s">
        <v>11062</v>
      </c>
      <c r="E478" s="13" t="s">
        <v>585</v>
      </c>
      <c r="F478" s="681">
        <v>59.78</v>
      </c>
    </row>
    <row r="479" spans="2:6" ht="15.75" hidden="1" customHeight="1" x14ac:dyDescent="0.25">
      <c r="B479" s="13" t="s">
        <v>556</v>
      </c>
      <c r="C479" s="13" t="s">
        <v>14643</v>
      </c>
      <c r="D479" s="12" t="s">
        <v>9316</v>
      </c>
      <c r="E479" s="13" t="s">
        <v>580</v>
      </c>
      <c r="F479" s="681">
        <v>1.2</v>
      </c>
    </row>
    <row r="480" spans="2:6" ht="15.75" hidden="1" customHeight="1" x14ac:dyDescent="0.25">
      <c r="B480" s="13" t="s">
        <v>556</v>
      </c>
      <c r="C480" s="13" t="s">
        <v>14644</v>
      </c>
      <c r="D480" s="12" t="s">
        <v>9536</v>
      </c>
      <c r="E480" s="13" t="s">
        <v>580</v>
      </c>
      <c r="F480" s="681">
        <v>10.3</v>
      </c>
    </row>
    <row r="481" spans="2:6" ht="15.75" hidden="1" customHeight="1" x14ac:dyDescent="0.25">
      <c r="B481" s="13" t="s">
        <v>556</v>
      </c>
      <c r="C481" s="13" t="s">
        <v>14645</v>
      </c>
      <c r="D481" s="12" t="s">
        <v>9539</v>
      </c>
      <c r="E481" s="13" t="s">
        <v>580</v>
      </c>
      <c r="F481" s="681">
        <v>21.57</v>
      </c>
    </row>
    <row r="482" spans="2:6" ht="15.75" hidden="1" customHeight="1" x14ac:dyDescent="0.25">
      <c r="B482" s="13" t="s">
        <v>556</v>
      </c>
      <c r="C482" s="13" t="s">
        <v>14646</v>
      </c>
      <c r="D482" s="12" t="s">
        <v>9530</v>
      </c>
      <c r="E482" s="13" t="s">
        <v>580</v>
      </c>
      <c r="F482" s="681">
        <v>6.65</v>
      </c>
    </row>
    <row r="483" spans="2:6" ht="15.75" hidden="1" customHeight="1" x14ac:dyDescent="0.25">
      <c r="B483" s="13" t="s">
        <v>556</v>
      </c>
      <c r="C483" s="13" t="s">
        <v>14647</v>
      </c>
      <c r="D483" s="12" t="s">
        <v>9531</v>
      </c>
      <c r="E483" s="13" t="s">
        <v>580</v>
      </c>
      <c r="F483" s="681">
        <v>35</v>
      </c>
    </row>
    <row r="484" spans="2:6" ht="15.75" hidden="1" customHeight="1" x14ac:dyDescent="0.25">
      <c r="B484" s="13" t="s">
        <v>556</v>
      </c>
      <c r="C484" s="13" t="s">
        <v>14648</v>
      </c>
      <c r="D484" s="12" t="s">
        <v>9532</v>
      </c>
      <c r="E484" s="13" t="s">
        <v>580</v>
      </c>
      <c r="F484" s="681">
        <v>43.44</v>
      </c>
    </row>
    <row r="485" spans="2:6" ht="15.75" hidden="1" customHeight="1" x14ac:dyDescent="0.25">
      <c r="B485" s="13" t="s">
        <v>556</v>
      </c>
      <c r="C485" s="13" t="s">
        <v>14649</v>
      </c>
      <c r="D485" s="12" t="s">
        <v>9534</v>
      </c>
      <c r="E485" s="13" t="s">
        <v>580</v>
      </c>
      <c r="F485" s="681">
        <v>59.1</v>
      </c>
    </row>
    <row r="486" spans="2:6" ht="15.75" hidden="1" customHeight="1" x14ac:dyDescent="0.25">
      <c r="B486" s="13" t="s">
        <v>556</v>
      </c>
      <c r="C486" s="13" t="s">
        <v>14650</v>
      </c>
      <c r="D486" s="12" t="s">
        <v>9537</v>
      </c>
      <c r="E486" s="13" t="s">
        <v>580</v>
      </c>
      <c r="F486" s="681">
        <v>14.45</v>
      </c>
    </row>
    <row r="487" spans="2:6" ht="15.75" hidden="1" customHeight="1" x14ac:dyDescent="0.25">
      <c r="B487" s="13" t="s">
        <v>556</v>
      </c>
      <c r="C487" s="13" t="s">
        <v>14651</v>
      </c>
      <c r="D487" s="12" t="s">
        <v>9538</v>
      </c>
      <c r="E487" s="13" t="s">
        <v>580</v>
      </c>
      <c r="F487" s="681">
        <v>5.83</v>
      </c>
    </row>
    <row r="488" spans="2:6" ht="15.75" hidden="1" customHeight="1" x14ac:dyDescent="0.25">
      <c r="B488" s="13" t="s">
        <v>556</v>
      </c>
      <c r="C488" s="13" t="s">
        <v>14652</v>
      </c>
      <c r="D488" s="12" t="s">
        <v>9540</v>
      </c>
      <c r="E488" s="13" t="s">
        <v>580</v>
      </c>
      <c r="F488" s="681">
        <v>32.61</v>
      </c>
    </row>
    <row r="489" spans="2:6" ht="15.75" hidden="1" customHeight="1" x14ac:dyDescent="0.25">
      <c r="B489" s="13" t="s">
        <v>556</v>
      </c>
      <c r="C489" s="13" t="s">
        <v>14653</v>
      </c>
      <c r="D489" s="12" t="s">
        <v>9227</v>
      </c>
      <c r="E489" s="13" t="s">
        <v>580</v>
      </c>
      <c r="F489" s="681">
        <v>632.98</v>
      </c>
    </row>
    <row r="490" spans="2:6" ht="15.75" hidden="1" customHeight="1" x14ac:dyDescent="0.25">
      <c r="B490" s="13" t="s">
        <v>556</v>
      </c>
      <c r="C490" s="13" t="s">
        <v>14654</v>
      </c>
      <c r="D490" s="12" t="s">
        <v>9218</v>
      </c>
      <c r="E490" s="13" t="s">
        <v>580</v>
      </c>
      <c r="F490" s="681">
        <v>975.21</v>
      </c>
    </row>
    <row r="491" spans="2:6" ht="15.75" hidden="1" customHeight="1" x14ac:dyDescent="0.25">
      <c r="B491" s="13" t="s">
        <v>556</v>
      </c>
      <c r="C491" s="13" t="s">
        <v>14655</v>
      </c>
      <c r="D491" s="12" t="s">
        <v>9223</v>
      </c>
      <c r="E491" s="13" t="s">
        <v>580</v>
      </c>
      <c r="F491" s="681">
        <v>454.59</v>
      </c>
    </row>
    <row r="492" spans="2:6" ht="15.75" hidden="1" customHeight="1" x14ac:dyDescent="0.25">
      <c r="B492" s="13" t="s">
        <v>556</v>
      </c>
      <c r="C492" s="13" t="s">
        <v>14656</v>
      </c>
      <c r="D492" s="12" t="s">
        <v>9265</v>
      </c>
      <c r="E492" s="13" t="s">
        <v>580</v>
      </c>
      <c r="F492" s="681">
        <v>96.43</v>
      </c>
    </row>
    <row r="493" spans="2:6" ht="15.75" hidden="1" customHeight="1" x14ac:dyDescent="0.25">
      <c r="B493" s="13" t="s">
        <v>556</v>
      </c>
      <c r="C493" s="13" t="s">
        <v>14657</v>
      </c>
      <c r="D493" s="12" t="s">
        <v>14658</v>
      </c>
      <c r="E493" s="13" t="s">
        <v>580</v>
      </c>
      <c r="F493" s="681">
        <v>174.28</v>
      </c>
    </row>
    <row r="494" spans="2:6" ht="15.75" hidden="1" customHeight="1" x14ac:dyDescent="0.25">
      <c r="B494" s="13" t="s">
        <v>556</v>
      </c>
      <c r="C494" s="13" t="s">
        <v>14659</v>
      </c>
      <c r="D494" s="12" t="s">
        <v>14660</v>
      </c>
      <c r="E494" s="13" t="s">
        <v>580</v>
      </c>
      <c r="F494" s="681">
        <v>125.07</v>
      </c>
    </row>
    <row r="495" spans="2:6" ht="15.75" hidden="1" customHeight="1" x14ac:dyDescent="0.25">
      <c r="B495" s="13" t="s">
        <v>556</v>
      </c>
      <c r="C495" s="13" t="s">
        <v>14661</v>
      </c>
      <c r="D495" s="12" t="s">
        <v>9590</v>
      </c>
      <c r="E495" s="13" t="s">
        <v>585</v>
      </c>
      <c r="F495" s="681">
        <v>1.94</v>
      </c>
    </row>
    <row r="496" spans="2:6" ht="15.75" hidden="1" customHeight="1" x14ac:dyDescent="0.25">
      <c r="B496" s="13" t="s">
        <v>556</v>
      </c>
      <c r="C496" s="13" t="s">
        <v>14662</v>
      </c>
      <c r="D496" s="12" t="s">
        <v>9317</v>
      </c>
      <c r="E496" s="13" t="s">
        <v>580</v>
      </c>
      <c r="F496" s="681">
        <v>1.96</v>
      </c>
    </row>
    <row r="497" spans="2:6" ht="15.75" hidden="1" customHeight="1" x14ac:dyDescent="0.25">
      <c r="B497" s="13" t="s">
        <v>556</v>
      </c>
      <c r="C497" s="13" t="s">
        <v>14663</v>
      </c>
      <c r="D497" s="12" t="s">
        <v>9592</v>
      </c>
      <c r="E497" s="13" t="s">
        <v>585</v>
      </c>
      <c r="F497" s="681">
        <v>3.44</v>
      </c>
    </row>
    <row r="498" spans="2:6" ht="15.75" hidden="1" customHeight="1" x14ac:dyDescent="0.25">
      <c r="B498" s="13" t="s">
        <v>556</v>
      </c>
      <c r="C498" s="13" t="s">
        <v>14664</v>
      </c>
      <c r="D498" s="12" t="s">
        <v>9593</v>
      </c>
      <c r="E498" s="13" t="s">
        <v>585</v>
      </c>
      <c r="F498" s="681">
        <v>5.57</v>
      </c>
    </row>
    <row r="499" spans="2:6" ht="15.75" hidden="1" customHeight="1" x14ac:dyDescent="0.25">
      <c r="B499" s="13" t="s">
        <v>556</v>
      </c>
      <c r="C499" s="13" t="s">
        <v>14665</v>
      </c>
      <c r="D499" s="12" t="s">
        <v>9594</v>
      </c>
      <c r="E499" s="13" t="s">
        <v>585</v>
      </c>
      <c r="F499" s="681">
        <v>9.11</v>
      </c>
    </row>
    <row r="500" spans="2:6" ht="15.75" hidden="1" customHeight="1" x14ac:dyDescent="0.25">
      <c r="B500" s="13" t="s">
        <v>556</v>
      </c>
      <c r="C500" s="13" t="s">
        <v>14666</v>
      </c>
      <c r="D500" s="12" t="s">
        <v>8600</v>
      </c>
      <c r="E500" s="13" t="s">
        <v>580</v>
      </c>
      <c r="F500" s="681">
        <v>7.49</v>
      </c>
    </row>
    <row r="501" spans="2:6" ht="15.75" hidden="1" customHeight="1" x14ac:dyDescent="0.25">
      <c r="B501" s="13" t="s">
        <v>556</v>
      </c>
      <c r="C501" s="13" t="s">
        <v>14667</v>
      </c>
      <c r="D501" s="12" t="s">
        <v>9186</v>
      </c>
      <c r="E501" s="13" t="s">
        <v>585</v>
      </c>
      <c r="F501" s="681">
        <v>0.77</v>
      </c>
    </row>
    <row r="502" spans="2:6" ht="15.75" hidden="1" customHeight="1" x14ac:dyDescent="0.25">
      <c r="B502" s="13" t="s">
        <v>556</v>
      </c>
      <c r="C502" s="13" t="s">
        <v>14668</v>
      </c>
      <c r="D502" s="12" t="s">
        <v>9187</v>
      </c>
      <c r="E502" s="13" t="s">
        <v>585</v>
      </c>
      <c r="F502" s="681">
        <v>1.48</v>
      </c>
    </row>
    <row r="503" spans="2:6" ht="15.75" hidden="1" customHeight="1" x14ac:dyDescent="0.25">
      <c r="B503" s="13" t="s">
        <v>556</v>
      </c>
      <c r="C503" s="13" t="s">
        <v>14669</v>
      </c>
      <c r="D503" s="12" t="s">
        <v>9188</v>
      </c>
      <c r="E503" s="13" t="s">
        <v>585</v>
      </c>
      <c r="F503" s="681">
        <v>1.57</v>
      </c>
    </row>
    <row r="504" spans="2:6" ht="15.75" hidden="1" customHeight="1" x14ac:dyDescent="0.25">
      <c r="B504" s="13" t="s">
        <v>556</v>
      </c>
      <c r="C504" s="13" t="s">
        <v>14670</v>
      </c>
      <c r="D504" s="12" t="s">
        <v>9189</v>
      </c>
      <c r="E504" s="13" t="s">
        <v>585</v>
      </c>
      <c r="F504" s="681">
        <v>2.38</v>
      </c>
    </row>
    <row r="505" spans="2:6" ht="15.75" hidden="1" customHeight="1" x14ac:dyDescent="0.25">
      <c r="B505" s="13" t="s">
        <v>556</v>
      </c>
      <c r="C505" s="13" t="s">
        <v>14671</v>
      </c>
      <c r="D505" s="12" t="s">
        <v>9190</v>
      </c>
      <c r="E505" s="13" t="s">
        <v>585</v>
      </c>
      <c r="F505" s="681">
        <v>2.9</v>
      </c>
    </row>
    <row r="506" spans="2:6" ht="15.75" hidden="1" customHeight="1" x14ac:dyDescent="0.25">
      <c r="B506" s="13" t="s">
        <v>556</v>
      </c>
      <c r="C506" s="13" t="s">
        <v>14672</v>
      </c>
      <c r="D506" s="12" t="s">
        <v>9191</v>
      </c>
      <c r="E506" s="13" t="s">
        <v>585</v>
      </c>
      <c r="F506" s="681">
        <v>3.69</v>
      </c>
    </row>
    <row r="507" spans="2:6" ht="15.75" hidden="1" customHeight="1" x14ac:dyDescent="0.25">
      <c r="B507" s="13" t="s">
        <v>556</v>
      </c>
      <c r="C507" s="13" t="s">
        <v>14673</v>
      </c>
      <c r="D507" s="12" t="s">
        <v>9315</v>
      </c>
      <c r="E507" s="13" t="s">
        <v>580</v>
      </c>
      <c r="F507" s="681">
        <v>1.2</v>
      </c>
    </row>
    <row r="508" spans="2:6" ht="15.75" hidden="1" customHeight="1" x14ac:dyDescent="0.25">
      <c r="B508" s="13" t="s">
        <v>556</v>
      </c>
      <c r="C508" s="13" t="s">
        <v>14674</v>
      </c>
      <c r="D508" s="12" t="s">
        <v>9199</v>
      </c>
      <c r="E508" s="13" t="s">
        <v>585</v>
      </c>
      <c r="F508" s="681">
        <v>66.59</v>
      </c>
    </row>
    <row r="509" spans="2:6" ht="15.75" hidden="1" customHeight="1" x14ac:dyDescent="0.25">
      <c r="B509" s="13" t="s">
        <v>556</v>
      </c>
      <c r="C509" s="13" t="s">
        <v>14675</v>
      </c>
      <c r="D509" s="12" t="s">
        <v>9198</v>
      </c>
      <c r="E509" s="13" t="s">
        <v>585</v>
      </c>
      <c r="F509" s="681">
        <v>9.24</v>
      </c>
    </row>
    <row r="510" spans="2:6" ht="15.75" hidden="1" customHeight="1" x14ac:dyDescent="0.25">
      <c r="B510" s="13" t="s">
        <v>556</v>
      </c>
      <c r="C510" s="13" t="s">
        <v>14676</v>
      </c>
      <c r="D510" s="12" t="s">
        <v>9200</v>
      </c>
      <c r="E510" s="13" t="s">
        <v>585</v>
      </c>
      <c r="F510" s="681">
        <v>16.28</v>
      </c>
    </row>
    <row r="511" spans="2:6" ht="15.75" hidden="1" customHeight="1" x14ac:dyDescent="0.25">
      <c r="B511" s="13" t="s">
        <v>556</v>
      </c>
      <c r="C511" s="13" t="s">
        <v>14677</v>
      </c>
      <c r="D511" s="12" t="s">
        <v>9201</v>
      </c>
      <c r="E511" s="13" t="s">
        <v>585</v>
      </c>
      <c r="F511" s="681">
        <v>19.309999999999999</v>
      </c>
    </row>
    <row r="512" spans="2:6" ht="15.75" hidden="1" customHeight="1" x14ac:dyDescent="0.25">
      <c r="B512" s="13" t="s">
        <v>556</v>
      </c>
      <c r="C512" s="13" t="s">
        <v>14678</v>
      </c>
      <c r="D512" s="12" t="s">
        <v>9192</v>
      </c>
      <c r="E512" s="13" t="s">
        <v>585</v>
      </c>
      <c r="F512" s="681">
        <v>6.75</v>
      </c>
    </row>
    <row r="513" spans="2:6" ht="15.75" hidden="1" customHeight="1" x14ac:dyDescent="0.25">
      <c r="B513" s="13" t="s">
        <v>556</v>
      </c>
      <c r="C513" s="13" t="s">
        <v>14679</v>
      </c>
      <c r="D513" s="12" t="s">
        <v>9193</v>
      </c>
      <c r="E513" s="13" t="s">
        <v>585</v>
      </c>
      <c r="F513" s="681">
        <v>12.83</v>
      </c>
    </row>
    <row r="514" spans="2:6" ht="15.75" hidden="1" customHeight="1" x14ac:dyDescent="0.25">
      <c r="B514" s="13" t="s">
        <v>556</v>
      </c>
      <c r="C514" s="13" t="s">
        <v>14680</v>
      </c>
      <c r="D514" s="12" t="s">
        <v>9195</v>
      </c>
      <c r="E514" s="13" t="s">
        <v>585</v>
      </c>
      <c r="F514" s="681">
        <v>18.77</v>
      </c>
    </row>
    <row r="515" spans="2:6" ht="15.75" hidden="1" customHeight="1" x14ac:dyDescent="0.25">
      <c r="B515" s="13" t="s">
        <v>556</v>
      </c>
      <c r="C515" s="13" t="s">
        <v>14681</v>
      </c>
      <c r="D515" s="12" t="s">
        <v>9196</v>
      </c>
      <c r="E515" s="13" t="s">
        <v>585</v>
      </c>
      <c r="F515" s="681">
        <v>30.36</v>
      </c>
    </row>
    <row r="516" spans="2:6" ht="15.75" hidden="1" customHeight="1" x14ac:dyDescent="0.25">
      <c r="B516" s="13" t="s">
        <v>556</v>
      </c>
      <c r="C516" s="13" t="s">
        <v>14682</v>
      </c>
      <c r="D516" s="12" t="s">
        <v>9197</v>
      </c>
      <c r="E516" s="13" t="s">
        <v>585</v>
      </c>
      <c r="F516" s="681">
        <v>44.45</v>
      </c>
    </row>
    <row r="517" spans="2:6" ht="15.75" hidden="1" customHeight="1" x14ac:dyDescent="0.25">
      <c r="B517" s="13" t="s">
        <v>556</v>
      </c>
      <c r="C517" s="13" t="s">
        <v>14683</v>
      </c>
      <c r="D517" s="12" t="s">
        <v>9194</v>
      </c>
      <c r="E517" s="13" t="s">
        <v>585</v>
      </c>
      <c r="F517" s="681">
        <v>107.73</v>
      </c>
    </row>
    <row r="518" spans="2:6" ht="15.75" hidden="1" customHeight="1" x14ac:dyDescent="0.25">
      <c r="B518" s="13" t="s">
        <v>556</v>
      </c>
      <c r="C518" s="13" t="s">
        <v>14684</v>
      </c>
      <c r="D518" s="12" t="s">
        <v>8529</v>
      </c>
      <c r="E518" s="13" t="s">
        <v>580</v>
      </c>
      <c r="F518" s="681">
        <v>8.59</v>
      </c>
    </row>
    <row r="519" spans="2:6" ht="15.75" hidden="1" customHeight="1" x14ac:dyDescent="0.25">
      <c r="B519" s="13" t="s">
        <v>556</v>
      </c>
      <c r="C519" s="13" t="s">
        <v>14685</v>
      </c>
      <c r="D519" s="12" t="s">
        <v>8530</v>
      </c>
      <c r="E519" s="13" t="s">
        <v>580</v>
      </c>
      <c r="F519" s="681">
        <v>9.85</v>
      </c>
    </row>
    <row r="520" spans="2:6" ht="15.75" hidden="1" customHeight="1" x14ac:dyDescent="0.25">
      <c r="B520" s="13" t="s">
        <v>556</v>
      </c>
      <c r="C520" s="13" t="s">
        <v>14686</v>
      </c>
      <c r="D520" s="12" t="s">
        <v>8531</v>
      </c>
      <c r="E520" s="13" t="s">
        <v>580</v>
      </c>
      <c r="F520" s="681">
        <v>15.23</v>
      </c>
    </row>
    <row r="521" spans="2:6" ht="15.75" hidden="1" customHeight="1" x14ac:dyDescent="0.25">
      <c r="B521" s="13" t="s">
        <v>556</v>
      </c>
      <c r="C521" s="13" t="s">
        <v>14687</v>
      </c>
      <c r="D521" s="12" t="s">
        <v>9318</v>
      </c>
      <c r="E521" s="13" t="s">
        <v>580</v>
      </c>
      <c r="F521" s="681">
        <v>3.77</v>
      </c>
    </row>
    <row r="522" spans="2:6" ht="15.75" hidden="1" customHeight="1" x14ac:dyDescent="0.25">
      <c r="B522" s="13" t="s">
        <v>556</v>
      </c>
      <c r="C522" s="13" t="s">
        <v>14688</v>
      </c>
      <c r="D522" s="12" t="s">
        <v>9319</v>
      </c>
      <c r="E522" s="13" t="s">
        <v>580</v>
      </c>
      <c r="F522" s="681">
        <v>6.82</v>
      </c>
    </row>
    <row r="523" spans="2:6" ht="15.75" hidden="1" customHeight="1" x14ac:dyDescent="0.25">
      <c r="B523" s="13" t="s">
        <v>556</v>
      </c>
      <c r="C523" s="13" t="s">
        <v>14689</v>
      </c>
      <c r="D523" s="12" t="s">
        <v>8999</v>
      </c>
      <c r="E523" s="13" t="s">
        <v>580</v>
      </c>
      <c r="F523" s="681">
        <v>0.03</v>
      </c>
    </row>
    <row r="524" spans="2:6" ht="15.75" hidden="1" customHeight="1" x14ac:dyDescent="0.25">
      <c r="B524" s="13" t="s">
        <v>556</v>
      </c>
      <c r="C524" s="13" t="s">
        <v>14690</v>
      </c>
      <c r="D524" s="12" t="s">
        <v>9000</v>
      </c>
      <c r="E524" s="13" t="s">
        <v>580</v>
      </c>
      <c r="F524" s="681">
        <v>0.04</v>
      </c>
    </row>
    <row r="525" spans="2:6" ht="15.75" hidden="1" customHeight="1" x14ac:dyDescent="0.25">
      <c r="B525" s="13" t="s">
        <v>556</v>
      </c>
      <c r="C525" s="13" t="s">
        <v>14691</v>
      </c>
      <c r="D525" s="12" t="s">
        <v>10857</v>
      </c>
      <c r="E525" s="13" t="s">
        <v>580</v>
      </c>
      <c r="F525" s="681">
        <v>0.75</v>
      </c>
    </row>
    <row r="526" spans="2:6" ht="15.75" hidden="1" customHeight="1" x14ac:dyDescent="0.25">
      <c r="B526" s="13" t="s">
        <v>556</v>
      </c>
      <c r="C526" s="13" t="s">
        <v>14692</v>
      </c>
      <c r="D526" s="12" t="s">
        <v>9320</v>
      </c>
      <c r="E526" s="13" t="s">
        <v>580</v>
      </c>
      <c r="F526" s="681">
        <v>11.47</v>
      </c>
    </row>
    <row r="527" spans="2:6" ht="15.75" hidden="1" customHeight="1" x14ac:dyDescent="0.25">
      <c r="B527" s="13" t="s">
        <v>556</v>
      </c>
      <c r="C527" s="13" t="s">
        <v>14693</v>
      </c>
      <c r="D527" s="12" t="s">
        <v>9002</v>
      </c>
      <c r="E527" s="13" t="s">
        <v>580</v>
      </c>
      <c r="F527" s="681">
        <v>0.12</v>
      </c>
    </row>
    <row r="528" spans="2:6" ht="15.75" hidden="1" customHeight="1" x14ac:dyDescent="0.25">
      <c r="B528" s="13" t="s">
        <v>556</v>
      </c>
      <c r="C528" s="13" t="s">
        <v>14694</v>
      </c>
      <c r="D528" s="12" t="s">
        <v>10830</v>
      </c>
      <c r="E528" s="13" t="s">
        <v>580</v>
      </c>
      <c r="F528" s="681">
        <v>3.61</v>
      </c>
    </row>
    <row r="529" spans="2:6" ht="15.75" hidden="1" customHeight="1" x14ac:dyDescent="0.25">
      <c r="B529" s="13" t="s">
        <v>556</v>
      </c>
      <c r="C529" s="13" t="s">
        <v>14695</v>
      </c>
      <c r="D529" s="12" t="s">
        <v>10813</v>
      </c>
      <c r="E529" s="13" t="s">
        <v>580</v>
      </c>
      <c r="F529" s="681">
        <v>4.92</v>
      </c>
    </row>
    <row r="530" spans="2:6" ht="15.75" hidden="1" customHeight="1" x14ac:dyDescent="0.25">
      <c r="B530" s="13" t="s">
        <v>556</v>
      </c>
      <c r="C530" s="13" t="s">
        <v>14696</v>
      </c>
      <c r="D530" s="12" t="s">
        <v>10814</v>
      </c>
      <c r="E530" s="13" t="s">
        <v>580</v>
      </c>
      <c r="F530" s="681">
        <v>0.16</v>
      </c>
    </row>
    <row r="531" spans="2:6" ht="15.75" hidden="1" customHeight="1" x14ac:dyDescent="0.25">
      <c r="B531" s="13" t="s">
        <v>556</v>
      </c>
      <c r="C531" s="13" t="s">
        <v>14697</v>
      </c>
      <c r="D531" s="12" t="s">
        <v>10853</v>
      </c>
      <c r="E531" s="13" t="s">
        <v>580</v>
      </c>
      <c r="F531" s="681">
        <v>0.25</v>
      </c>
    </row>
    <row r="532" spans="2:6" ht="15.75" hidden="1" customHeight="1" x14ac:dyDescent="0.25">
      <c r="B532" s="13" t="s">
        <v>556</v>
      </c>
      <c r="C532" s="13" t="s">
        <v>14698</v>
      </c>
      <c r="D532" s="12" t="s">
        <v>10810</v>
      </c>
      <c r="E532" s="13" t="s">
        <v>580</v>
      </c>
      <c r="F532" s="681">
        <v>10.49</v>
      </c>
    </row>
    <row r="533" spans="2:6" ht="15.75" hidden="1" customHeight="1" x14ac:dyDescent="0.25">
      <c r="B533" s="13" t="s">
        <v>556</v>
      </c>
      <c r="C533" s="13" t="s">
        <v>14699</v>
      </c>
      <c r="D533" s="12" t="s">
        <v>10811</v>
      </c>
      <c r="E533" s="13" t="s">
        <v>580</v>
      </c>
      <c r="F533" s="681">
        <v>2.65</v>
      </c>
    </row>
    <row r="534" spans="2:6" ht="15.75" hidden="1" customHeight="1" x14ac:dyDescent="0.25">
      <c r="B534" s="13" t="s">
        <v>556</v>
      </c>
      <c r="C534" s="13" t="s">
        <v>14700</v>
      </c>
      <c r="D534" s="12" t="s">
        <v>9310</v>
      </c>
      <c r="E534" s="13" t="s">
        <v>580</v>
      </c>
      <c r="F534" s="681">
        <v>1.68</v>
      </c>
    </row>
    <row r="535" spans="2:6" ht="15.75" hidden="1" customHeight="1" x14ac:dyDescent="0.25">
      <c r="B535" s="13" t="s">
        <v>556</v>
      </c>
      <c r="C535" s="13" t="s">
        <v>14701</v>
      </c>
      <c r="D535" s="12" t="s">
        <v>11011</v>
      </c>
      <c r="E535" s="13" t="s">
        <v>580</v>
      </c>
      <c r="F535" s="681">
        <v>4.6900000000000004</v>
      </c>
    </row>
    <row r="536" spans="2:6" ht="15.75" hidden="1" customHeight="1" x14ac:dyDescent="0.25">
      <c r="B536" s="13" t="s">
        <v>556</v>
      </c>
      <c r="C536" s="13" t="s">
        <v>14702</v>
      </c>
      <c r="D536" s="12" t="s">
        <v>9381</v>
      </c>
      <c r="E536" s="13" t="s">
        <v>580</v>
      </c>
      <c r="F536" s="681">
        <v>26.06</v>
      </c>
    </row>
    <row r="537" spans="2:6" ht="15.75" hidden="1" customHeight="1" x14ac:dyDescent="0.25">
      <c r="B537" s="13" t="s">
        <v>556</v>
      </c>
      <c r="C537" s="13" t="s">
        <v>14703</v>
      </c>
      <c r="D537" s="12" t="s">
        <v>9380</v>
      </c>
      <c r="E537" s="13" t="s">
        <v>580</v>
      </c>
      <c r="F537" s="681">
        <v>1.33</v>
      </c>
    </row>
    <row r="538" spans="2:6" ht="15.75" hidden="1" customHeight="1" x14ac:dyDescent="0.25">
      <c r="B538" s="13" t="s">
        <v>556</v>
      </c>
      <c r="C538" s="13" t="s">
        <v>14704</v>
      </c>
      <c r="D538" s="12" t="s">
        <v>9379</v>
      </c>
      <c r="E538" s="13" t="s">
        <v>580</v>
      </c>
      <c r="F538" s="681">
        <v>11.89</v>
      </c>
    </row>
    <row r="539" spans="2:6" ht="15.75" hidden="1" customHeight="1" x14ac:dyDescent="0.25">
      <c r="B539" s="13" t="s">
        <v>556</v>
      </c>
      <c r="C539" s="13" t="s">
        <v>14705</v>
      </c>
      <c r="D539" s="12" t="s">
        <v>9311</v>
      </c>
      <c r="E539" s="13" t="s">
        <v>580</v>
      </c>
      <c r="F539" s="681">
        <v>2.2000000000000002</v>
      </c>
    </row>
    <row r="540" spans="2:6" ht="15.75" hidden="1" customHeight="1" x14ac:dyDescent="0.25">
      <c r="B540" s="13" t="s">
        <v>556</v>
      </c>
      <c r="C540" s="13" t="s">
        <v>14706</v>
      </c>
      <c r="D540" s="12" t="s">
        <v>8939</v>
      </c>
      <c r="E540" s="13" t="s">
        <v>580</v>
      </c>
      <c r="F540" s="681">
        <v>19.23</v>
      </c>
    </row>
    <row r="541" spans="2:6" ht="15.75" hidden="1" customHeight="1" x14ac:dyDescent="0.25">
      <c r="B541" s="13" t="s">
        <v>556</v>
      </c>
      <c r="C541" s="13" t="s">
        <v>14707</v>
      </c>
      <c r="D541" s="12" t="s">
        <v>10172</v>
      </c>
      <c r="E541" s="13" t="s">
        <v>580</v>
      </c>
      <c r="F541" s="681">
        <v>102.99</v>
      </c>
    </row>
    <row r="542" spans="2:6" ht="15.75" hidden="1" customHeight="1" x14ac:dyDescent="0.25">
      <c r="B542" s="13" t="s">
        <v>556</v>
      </c>
      <c r="C542" s="13" t="s">
        <v>14708</v>
      </c>
      <c r="D542" s="12" t="s">
        <v>9928</v>
      </c>
      <c r="E542" s="13" t="s">
        <v>580</v>
      </c>
      <c r="F542" s="681">
        <v>8.9</v>
      </c>
    </row>
    <row r="543" spans="2:6" ht="15.75" hidden="1" customHeight="1" x14ac:dyDescent="0.25">
      <c r="B543" s="13" t="s">
        <v>556</v>
      </c>
      <c r="C543" s="13" t="s">
        <v>14709</v>
      </c>
      <c r="D543" s="12" t="s">
        <v>9322</v>
      </c>
      <c r="E543" s="13" t="s">
        <v>580</v>
      </c>
      <c r="F543" s="681">
        <v>10.33</v>
      </c>
    </row>
    <row r="544" spans="2:6" ht="15.75" hidden="1" customHeight="1" x14ac:dyDescent="0.25">
      <c r="B544" s="13" t="s">
        <v>556</v>
      </c>
      <c r="C544" s="13" t="s">
        <v>14710</v>
      </c>
      <c r="D544" s="12" t="s">
        <v>9261</v>
      </c>
      <c r="E544" s="13" t="s">
        <v>580</v>
      </c>
      <c r="F544" s="681">
        <v>4.99</v>
      </c>
    </row>
    <row r="545" spans="2:6" ht="15.75" hidden="1" customHeight="1" x14ac:dyDescent="0.25">
      <c r="B545" s="13" t="s">
        <v>556</v>
      </c>
      <c r="C545" s="13" t="s">
        <v>14711</v>
      </c>
      <c r="D545" s="12" t="s">
        <v>9467</v>
      </c>
      <c r="E545" s="13" t="s">
        <v>580</v>
      </c>
      <c r="F545" s="681">
        <v>140.56</v>
      </c>
    </row>
    <row r="546" spans="2:6" ht="15.75" hidden="1" customHeight="1" x14ac:dyDescent="0.25">
      <c r="B546" s="13" t="s">
        <v>556</v>
      </c>
      <c r="C546" s="13" t="s">
        <v>14712</v>
      </c>
      <c r="D546" s="12" t="s">
        <v>9477</v>
      </c>
      <c r="E546" s="13" t="s">
        <v>580</v>
      </c>
      <c r="F546" s="681">
        <v>8.1199999999999992</v>
      </c>
    </row>
    <row r="547" spans="2:6" ht="15.75" hidden="1" customHeight="1" x14ac:dyDescent="0.25">
      <c r="B547" s="13" t="s">
        <v>556</v>
      </c>
      <c r="C547" s="13" t="s">
        <v>14713</v>
      </c>
      <c r="D547" s="12" t="s">
        <v>9484</v>
      </c>
      <c r="E547" s="13" t="s">
        <v>580</v>
      </c>
      <c r="F547" s="681">
        <v>10.41</v>
      </c>
    </row>
    <row r="548" spans="2:6" ht="15.75" hidden="1" customHeight="1" x14ac:dyDescent="0.25">
      <c r="B548" s="13" t="s">
        <v>556</v>
      </c>
      <c r="C548" s="13" t="s">
        <v>14714</v>
      </c>
      <c r="D548" s="12" t="s">
        <v>9485</v>
      </c>
      <c r="E548" s="13" t="s">
        <v>580</v>
      </c>
      <c r="F548" s="681">
        <v>8.94</v>
      </c>
    </row>
    <row r="549" spans="2:6" ht="15.75" hidden="1" customHeight="1" x14ac:dyDescent="0.25">
      <c r="B549" s="13" t="s">
        <v>556</v>
      </c>
      <c r="C549" s="13" t="s">
        <v>14715</v>
      </c>
      <c r="D549" s="12" t="s">
        <v>9486</v>
      </c>
      <c r="E549" s="13" t="s">
        <v>580</v>
      </c>
      <c r="F549" s="681">
        <v>10.41</v>
      </c>
    </row>
    <row r="550" spans="2:6" ht="15.75" hidden="1" customHeight="1" x14ac:dyDescent="0.25">
      <c r="B550" s="13" t="s">
        <v>556</v>
      </c>
      <c r="C550" s="13" t="s">
        <v>14716</v>
      </c>
      <c r="D550" s="12" t="s">
        <v>9309</v>
      </c>
      <c r="E550" s="13" t="s">
        <v>580</v>
      </c>
      <c r="F550" s="681">
        <v>4.78</v>
      </c>
    </row>
    <row r="551" spans="2:6" ht="15.75" hidden="1" customHeight="1" x14ac:dyDescent="0.25">
      <c r="B551" s="13" t="s">
        <v>556</v>
      </c>
      <c r="C551" s="13" t="s">
        <v>14717</v>
      </c>
      <c r="D551" s="12" t="s">
        <v>9487</v>
      </c>
      <c r="E551" s="13" t="s">
        <v>580</v>
      </c>
      <c r="F551" s="681">
        <v>8.94</v>
      </c>
    </row>
    <row r="552" spans="2:6" ht="15.75" hidden="1" customHeight="1" x14ac:dyDescent="0.25">
      <c r="B552" s="13" t="s">
        <v>556</v>
      </c>
      <c r="C552" s="13" t="s">
        <v>14718</v>
      </c>
      <c r="D552" s="12" t="s">
        <v>9494</v>
      </c>
      <c r="E552" s="13" t="s">
        <v>580</v>
      </c>
      <c r="F552" s="681">
        <v>9.8699999999999992</v>
      </c>
    </row>
    <row r="553" spans="2:6" ht="15.75" hidden="1" customHeight="1" x14ac:dyDescent="0.25">
      <c r="B553" s="13" t="s">
        <v>556</v>
      </c>
      <c r="C553" s="13" t="s">
        <v>14719</v>
      </c>
      <c r="D553" s="12" t="s">
        <v>10336</v>
      </c>
      <c r="E553" s="13" t="s">
        <v>8869</v>
      </c>
      <c r="F553" s="681">
        <v>51.19</v>
      </c>
    </row>
    <row r="554" spans="2:6" ht="15.75" hidden="1" customHeight="1" x14ac:dyDescent="0.25">
      <c r="B554" s="13" t="s">
        <v>556</v>
      </c>
      <c r="C554" s="13" t="s">
        <v>14720</v>
      </c>
      <c r="D554" s="12" t="s">
        <v>10335</v>
      </c>
      <c r="E554" s="13" t="s">
        <v>8869</v>
      </c>
      <c r="F554" s="681">
        <v>54.48</v>
      </c>
    </row>
    <row r="555" spans="2:6" ht="15.75" hidden="1" customHeight="1" x14ac:dyDescent="0.25">
      <c r="B555" s="13" t="s">
        <v>556</v>
      </c>
      <c r="C555" s="13" t="s">
        <v>14721</v>
      </c>
      <c r="D555" s="12" t="s">
        <v>9623</v>
      </c>
      <c r="E555" s="13" t="s">
        <v>580</v>
      </c>
      <c r="F555" s="681">
        <v>8.48</v>
      </c>
    </row>
    <row r="556" spans="2:6" ht="15.75" hidden="1" customHeight="1" x14ac:dyDescent="0.25">
      <c r="B556" s="13" t="s">
        <v>556</v>
      </c>
      <c r="C556" s="13" t="s">
        <v>14722</v>
      </c>
      <c r="D556" s="12" t="s">
        <v>9628</v>
      </c>
      <c r="E556" s="13" t="s">
        <v>580</v>
      </c>
      <c r="F556" s="681">
        <v>3.84</v>
      </c>
    </row>
    <row r="557" spans="2:6" ht="15.75" hidden="1" customHeight="1" x14ac:dyDescent="0.25">
      <c r="B557" s="13" t="s">
        <v>556</v>
      </c>
      <c r="C557" s="13" t="s">
        <v>14723</v>
      </c>
      <c r="D557" s="12" t="s">
        <v>14724</v>
      </c>
      <c r="E557" s="13" t="s">
        <v>580</v>
      </c>
      <c r="F557" s="681">
        <v>407.34</v>
      </c>
    </row>
    <row r="558" spans="2:6" ht="15.75" hidden="1" customHeight="1" x14ac:dyDescent="0.25">
      <c r="B558" s="13" t="s">
        <v>556</v>
      </c>
      <c r="C558" s="13" t="s">
        <v>14725</v>
      </c>
      <c r="D558" s="12" t="s">
        <v>14726</v>
      </c>
      <c r="E558" s="13" t="s">
        <v>580</v>
      </c>
      <c r="F558" s="681">
        <v>462.52</v>
      </c>
    </row>
    <row r="559" spans="2:6" ht="15.75" hidden="1" customHeight="1" x14ac:dyDescent="0.25">
      <c r="B559" s="13" t="s">
        <v>556</v>
      </c>
      <c r="C559" s="13" t="s">
        <v>14727</v>
      </c>
      <c r="D559" s="12" t="s">
        <v>9321</v>
      </c>
      <c r="E559" s="13" t="s">
        <v>580</v>
      </c>
      <c r="F559" s="681">
        <v>20.07</v>
      </c>
    </row>
    <row r="560" spans="2:6" ht="15.75" hidden="1" customHeight="1" x14ac:dyDescent="0.25">
      <c r="B560" s="13" t="s">
        <v>556</v>
      </c>
      <c r="C560" s="13" t="s">
        <v>14728</v>
      </c>
      <c r="D560" s="12" t="s">
        <v>14729</v>
      </c>
      <c r="E560" s="13" t="s">
        <v>580</v>
      </c>
      <c r="F560" s="681">
        <v>530.41999999999996</v>
      </c>
    </row>
    <row r="561" spans="2:6" ht="15.75" hidden="1" customHeight="1" x14ac:dyDescent="0.25">
      <c r="B561" s="13" t="s">
        <v>556</v>
      </c>
      <c r="C561" s="13" t="s">
        <v>14730</v>
      </c>
      <c r="D561" s="12" t="s">
        <v>14731</v>
      </c>
      <c r="E561" s="13" t="s">
        <v>580</v>
      </c>
      <c r="F561" s="681">
        <v>778.31</v>
      </c>
    </row>
    <row r="562" spans="2:6" ht="15.75" hidden="1" customHeight="1" x14ac:dyDescent="0.25">
      <c r="B562" s="13" t="s">
        <v>556</v>
      </c>
      <c r="C562" s="13" t="s">
        <v>14732</v>
      </c>
      <c r="D562" s="12" t="s">
        <v>14733</v>
      </c>
      <c r="E562" s="13" t="s">
        <v>580</v>
      </c>
      <c r="F562" s="681">
        <v>1119.9000000000001</v>
      </c>
    </row>
    <row r="563" spans="2:6" ht="15.75" hidden="1" customHeight="1" x14ac:dyDescent="0.25">
      <c r="B563" s="13" t="s">
        <v>556</v>
      </c>
      <c r="C563" s="13" t="s">
        <v>14734</v>
      </c>
      <c r="D563" s="12" t="s">
        <v>9847</v>
      </c>
      <c r="E563" s="13" t="s">
        <v>585</v>
      </c>
      <c r="F563" s="681">
        <v>22.92</v>
      </c>
    </row>
    <row r="564" spans="2:6" ht="15.75" hidden="1" customHeight="1" x14ac:dyDescent="0.25">
      <c r="B564" s="13" t="s">
        <v>556</v>
      </c>
      <c r="C564" s="13" t="s">
        <v>14735</v>
      </c>
      <c r="D564" s="12" t="s">
        <v>9848</v>
      </c>
      <c r="E564" s="13" t="s">
        <v>585</v>
      </c>
      <c r="F564" s="681">
        <v>19.47</v>
      </c>
    </row>
    <row r="565" spans="2:6" ht="15.75" hidden="1" customHeight="1" x14ac:dyDescent="0.25">
      <c r="B565" s="13" t="s">
        <v>556</v>
      </c>
      <c r="C565" s="13" t="s">
        <v>14736</v>
      </c>
      <c r="D565" s="12" t="s">
        <v>9849</v>
      </c>
      <c r="E565" s="13" t="s">
        <v>585</v>
      </c>
      <c r="F565" s="681">
        <v>12.13</v>
      </c>
    </row>
    <row r="566" spans="2:6" ht="15.75" hidden="1" customHeight="1" x14ac:dyDescent="0.25">
      <c r="B566" s="13" t="s">
        <v>556</v>
      </c>
      <c r="C566" s="13" t="s">
        <v>14737</v>
      </c>
      <c r="D566" s="12" t="s">
        <v>9850</v>
      </c>
      <c r="E566" s="13" t="s">
        <v>585</v>
      </c>
      <c r="F566" s="681">
        <v>6.83</v>
      </c>
    </row>
    <row r="567" spans="2:6" ht="15.75" hidden="1" customHeight="1" x14ac:dyDescent="0.25">
      <c r="B567" s="13" t="s">
        <v>556</v>
      </c>
      <c r="C567" s="13" t="s">
        <v>14738</v>
      </c>
      <c r="D567" s="12" t="s">
        <v>14739</v>
      </c>
      <c r="E567" s="13" t="s">
        <v>580</v>
      </c>
      <c r="F567" s="681">
        <v>8.81</v>
      </c>
    </row>
    <row r="568" spans="2:6" ht="15.75" hidden="1" customHeight="1" x14ac:dyDescent="0.25">
      <c r="B568" s="13" t="s">
        <v>556</v>
      </c>
      <c r="C568" s="13" t="s">
        <v>14740</v>
      </c>
      <c r="D568" s="12" t="s">
        <v>9851</v>
      </c>
      <c r="E568" s="13" t="s">
        <v>585</v>
      </c>
      <c r="F568" s="681">
        <v>50.58</v>
      </c>
    </row>
    <row r="569" spans="2:6" ht="15.75" hidden="1" customHeight="1" x14ac:dyDescent="0.25">
      <c r="B569" s="13" t="s">
        <v>556</v>
      </c>
      <c r="C569" s="13" t="s">
        <v>14741</v>
      </c>
      <c r="D569" s="12" t="s">
        <v>9852</v>
      </c>
      <c r="E569" s="13" t="s">
        <v>585</v>
      </c>
      <c r="F569" s="681">
        <v>30.88</v>
      </c>
    </row>
    <row r="570" spans="2:6" ht="15.75" hidden="1" customHeight="1" x14ac:dyDescent="0.25">
      <c r="B570" s="13" t="s">
        <v>556</v>
      </c>
      <c r="C570" s="13" t="s">
        <v>14742</v>
      </c>
      <c r="D570" s="12" t="s">
        <v>9853</v>
      </c>
      <c r="E570" s="13" t="s">
        <v>585</v>
      </c>
      <c r="F570" s="681">
        <v>56.95</v>
      </c>
    </row>
    <row r="571" spans="2:6" ht="15.75" hidden="1" customHeight="1" x14ac:dyDescent="0.25">
      <c r="B571" s="13" t="s">
        <v>556</v>
      </c>
      <c r="C571" s="13" t="s">
        <v>14743</v>
      </c>
      <c r="D571" s="12" t="s">
        <v>9835</v>
      </c>
      <c r="E571" s="13" t="s">
        <v>585</v>
      </c>
      <c r="F571" s="681">
        <v>9.89</v>
      </c>
    </row>
    <row r="572" spans="2:6" ht="15.75" hidden="1" customHeight="1" x14ac:dyDescent="0.25">
      <c r="B572" s="13" t="s">
        <v>556</v>
      </c>
      <c r="C572" s="13" t="s">
        <v>14744</v>
      </c>
      <c r="D572" s="12" t="s">
        <v>14745</v>
      </c>
      <c r="E572" s="13" t="s">
        <v>580</v>
      </c>
      <c r="F572" s="681">
        <v>35.159999999999997</v>
      </c>
    </row>
    <row r="573" spans="2:6" ht="15.75" hidden="1" customHeight="1" x14ac:dyDescent="0.25">
      <c r="B573" s="13" t="s">
        <v>556</v>
      </c>
      <c r="C573" s="13" t="s">
        <v>14746</v>
      </c>
      <c r="D573" s="12" t="s">
        <v>9833</v>
      </c>
      <c r="E573" s="13" t="s">
        <v>585</v>
      </c>
      <c r="F573" s="681">
        <v>5.61</v>
      </c>
    </row>
    <row r="574" spans="2:6" ht="15.75" hidden="1" customHeight="1" x14ac:dyDescent="0.25">
      <c r="B574" s="13" t="s">
        <v>556</v>
      </c>
      <c r="C574" s="13" t="s">
        <v>14747</v>
      </c>
      <c r="D574" s="12" t="s">
        <v>14748</v>
      </c>
      <c r="E574" s="13" t="s">
        <v>580</v>
      </c>
      <c r="F574" s="681">
        <v>8748.58</v>
      </c>
    </row>
    <row r="575" spans="2:6" ht="15.75" hidden="1" customHeight="1" x14ac:dyDescent="0.25">
      <c r="B575" s="13" t="s">
        <v>556</v>
      </c>
      <c r="C575" s="13" t="s">
        <v>14749</v>
      </c>
      <c r="D575" s="12" t="s">
        <v>9284</v>
      </c>
      <c r="E575" s="13" t="s">
        <v>580</v>
      </c>
      <c r="F575" s="681">
        <v>138.47</v>
      </c>
    </row>
    <row r="576" spans="2:6" ht="15.75" hidden="1" customHeight="1" x14ac:dyDescent="0.25">
      <c r="B576" s="13" t="s">
        <v>556</v>
      </c>
      <c r="C576" s="13" t="s">
        <v>14750</v>
      </c>
      <c r="D576" s="12" t="s">
        <v>10361</v>
      </c>
      <c r="E576" s="13" t="s">
        <v>580</v>
      </c>
      <c r="F576" s="681">
        <v>23.11</v>
      </c>
    </row>
    <row r="577" spans="2:6" ht="15.75" hidden="1" customHeight="1" x14ac:dyDescent="0.25">
      <c r="B577" s="13" t="s">
        <v>556</v>
      </c>
      <c r="C577" s="13" t="s">
        <v>14751</v>
      </c>
      <c r="D577" s="12" t="s">
        <v>10201</v>
      </c>
      <c r="E577" s="13" t="s">
        <v>580</v>
      </c>
      <c r="F577" s="681">
        <v>9.6300000000000008</v>
      </c>
    </row>
    <row r="578" spans="2:6" ht="15.75" hidden="1" customHeight="1" x14ac:dyDescent="0.25">
      <c r="B578" s="13" t="s">
        <v>556</v>
      </c>
      <c r="C578" s="13" t="s">
        <v>14752</v>
      </c>
      <c r="D578" s="12" t="s">
        <v>10200</v>
      </c>
      <c r="E578" s="13" t="s">
        <v>580</v>
      </c>
      <c r="F578" s="681">
        <v>12.73</v>
      </c>
    </row>
    <row r="579" spans="2:6" ht="15.75" hidden="1" customHeight="1" x14ac:dyDescent="0.25">
      <c r="B579" s="13" t="s">
        <v>14153</v>
      </c>
      <c r="C579" s="13" t="s">
        <v>14753</v>
      </c>
      <c r="D579" s="12" t="s">
        <v>9342</v>
      </c>
      <c r="E579" s="13" t="s">
        <v>2193</v>
      </c>
      <c r="F579" s="681">
        <v>24.62</v>
      </c>
    </row>
    <row r="580" spans="2:6" ht="15.75" hidden="1" customHeight="1" x14ac:dyDescent="0.25">
      <c r="B580" s="13" t="s">
        <v>14153</v>
      </c>
      <c r="C580" s="13" t="s">
        <v>14754</v>
      </c>
      <c r="D580" s="12" t="s">
        <v>9339</v>
      </c>
      <c r="E580" s="13" t="s">
        <v>2193</v>
      </c>
      <c r="F580" s="681">
        <v>24.62</v>
      </c>
    </row>
    <row r="581" spans="2:6" ht="15.75" hidden="1" customHeight="1" x14ac:dyDescent="0.25">
      <c r="B581" s="13" t="s">
        <v>556</v>
      </c>
      <c r="C581" s="13" t="s">
        <v>14755</v>
      </c>
      <c r="D581" s="12" t="s">
        <v>11595</v>
      </c>
      <c r="E581" s="13" t="s">
        <v>580</v>
      </c>
      <c r="F581" s="681">
        <v>14.32</v>
      </c>
    </row>
    <row r="582" spans="2:6" ht="15.75" hidden="1" customHeight="1" x14ac:dyDescent="0.25">
      <c r="B582" s="13" t="s">
        <v>556</v>
      </c>
      <c r="C582" s="13" t="s">
        <v>14756</v>
      </c>
      <c r="D582" s="12" t="s">
        <v>8601</v>
      </c>
      <c r="E582" s="13" t="s">
        <v>580</v>
      </c>
      <c r="F582" s="681">
        <v>57.63</v>
      </c>
    </row>
    <row r="583" spans="2:6" ht="15.75" hidden="1" customHeight="1" x14ac:dyDescent="0.25">
      <c r="B583" s="13" t="s">
        <v>556</v>
      </c>
      <c r="C583" s="13" t="s">
        <v>14757</v>
      </c>
      <c r="D583" s="12" t="s">
        <v>14758</v>
      </c>
      <c r="E583" s="13" t="s">
        <v>580</v>
      </c>
      <c r="F583" s="681">
        <v>107.48</v>
      </c>
    </row>
    <row r="584" spans="2:6" ht="15.75" hidden="1" customHeight="1" x14ac:dyDescent="0.25">
      <c r="B584" s="13" t="s">
        <v>556</v>
      </c>
      <c r="C584" s="13" t="s">
        <v>14759</v>
      </c>
      <c r="D584" s="12" t="s">
        <v>14760</v>
      </c>
      <c r="E584" s="13" t="s">
        <v>580</v>
      </c>
      <c r="F584" s="681">
        <v>210</v>
      </c>
    </row>
    <row r="585" spans="2:6" ht="15.75" hidden="1" customHeight="1" x14ac:dyDescent="0.25">
      <c r="B585" s="13" t="s">
        <v>556</v>
      </c>
      <c r="C585" s="13" t="s">
        <v>14761</v>
      </c>
      <c r="D585" s="12" t="s">
        <v>14762</v>
      </c>
      <c r="E585" s="13" t="s">
        <v>580</v>
      </c>
      <c r="F585" s="681">
        <v>365.99</v>
      </c>
    </row>
    <row r="586" spans="2:6" ht="15.75" hidden="1" customHeight="1" x14ac:dyDescent="0.25">
      <c r="B586" s="13" t="s">
        <v>556</v>
      </c>
      <c r="C586" s="13" t="s">
        <v>14763</v>
      </c>
      <c r="D586" s="12" t="s">
        <v>11291</v>
      </c>
      <c r="E586" s="13" t="s">
        <v>580</v>
      </c>
      <c r="F586" s="681">
        <v>9.57</v>
      </c>
    </row>
    <row r="587" spans="2:6" ht="15.75" hidden="1" customHeight="1" x14ac:dyDescent="0.25">
      <c r="B587" s="13" t="s">
        <v>556</v>
      </c>
      <c r="C587" s="13" t="s">
        <v>14764</v>
      </c>
      <c r="D587" s="12" t="s">
        <v>11289</v>
      </c>
      <c r="E587" s="13" t="s">
        <v>580</v>
      </c>
      <c r="F587" s="681">
        <v>3.08</v>
      </c>
    </row>
    <row r="588" spans="2:6" ht="15.75" hidden="1" customHeight="1" x14ac:dyDescent="0.25">
      <c r="B588" s="13" t="s">
        <v>556</v>
      </c>
      <c r="C588" s="13" t="s">
        <v>14765</v>
      </c>
      <c r="D588" s="12" t="s">
        <v>11290</v>
      </c>
      <c r="E588" s="13" t="s">
        <v>580</v>
      </c>
      <c r="F588" s="681">
        <v>3.98</v>
      </c>
    </row>
    <row r="589" spans="2:6" ht="15.75" hidden="1" customHeight="1" x14ac:dyDescent="0.25">
      <c r="B589" s="13" t="s">
        <v>556</v>
      </c>
      <c r="C589" s="13" t="s">
        <v>14766</v>
      </c>
      <c r="D589" s="12" t="s">
        <v>8606</v>
      </c>
      <c r="E589" s="13" t="s">
        <v>517</v>
      </c>
      <c r="F589" s="681">
        <v>6.91</v>
      </c>
    </row>
    <row r="590" spans="2:6" ht="15.75" hidden="1" customHeight="1" x14ac:dyDescent="0.25">
      <c r="B590" s="13" t="s">
        <v>556</v>
      </c>
      <c r="C590" s="13" t="s">
        <v>14767</v>
      </c>
      <c r="D590" s="12" t="s">
        <v>9391</v>
      </c>
      <c r="E590" s="13" t="s">
        <v>580</v>
      </c>
      <c r="F590" s="681">
        <v>32.4</v>
      </c>
    </row>
    <row r="591" spans="2:6" ht="15.75" hidden="1" customHeight="1" x14ac:dyDescent="0.25">
      <c r="B591" s="13" t="s">
        <v>556</v>
      </c>
      <c r="C591" s="13" t="s">
        <v>14768</v>
      </c>
      <c r="D591" s="12" t="s">
        <v>9393</v>
      </c>
      <c r="E591" s="13" t="s">
        <v>823</v>
      </c>
      <c r="F591" s="681">
        <v>134.32</v>
      </c>
    </row>
    <row r="592" spans="2:6" ht="15.75" hidden="1" customHeight="1" x14ac:dyDescent="0.25">
      <c r="B592" s="13" t="s">
        <v>556</v>
      </c>
      <c r="C592" s="13" t="s">
        <v>14769</v>
      </c>
      <c r="D592" s="12" t="s">
        <v>14770</v>
      </c>
      <c r="E592" s="13" t="s">
        <v>580</v>
      </c>
      <c r="F592" s="681">
        <v>6.96</v>
      </c>
    </row>
    <row r="593" spans="2:6" ht="15.75" hidden="1" customHeight="1" x14ac:dyDescent="0.25">
      <c r="B593" s="13" t="s">
        <v>556</v>
      </c>
      <c r="C593" s="13" t="s">
        <v>14771</v>
      </c>
      <c r="D593" s="12" t="s">
        <v>14772</v>
      </c>
      <c r="E593" s="13" t="s">
        <v>580</v>
      </c>
      <c r="F593" s="681">
        <v>4.49</v>
      </c>
    </row>
    <row r="594" spans="2:6" ht="15.75" hidden="1" customHeight="1" x14ac:dyDescent="0.25">
      <c r="B594" s="13" t="s">
        <v>556</v>
      </c>
      <c r="C594" s="13" t="s">
        <v>14773</v>
      </c>
      <c r="D594" s="12" t="s">
        <v>11201</v>
      </c>
      <c r="E594" s="13" t="s">
        <v>580</v>
      </c>
      <c r="F594" s="681">
        <v>155.9</v>
      </c>
    </row>
    <row r="595" spans="2:6" ht="15.75" hidden="1" customHeight="1" x14ac:dyDescent="0.25">
      <c r="B595" s="13" t="s">
        <v>556</v>
      </c>
      <c r="C595" s="13" t="s">
        <v>14774</v>
      </c>
      <c r="D595" s="12" t="s">
        <v>11008</v>
      </c>
      <c r="E595" s="13" t="s">
        <v>580</v>
      </c>
      <c r="F595" s="681">
        <v>13.04</v>
      </c>
    </row>
    <row r="596" spans="2:6" ht="15.75" hidden="1" customHeight="1" x14ac:dyDescent="0.25">
      <c r="B596" s="13" t="s">
        <v>556</v>
      </c>
      <c r="C596" s="13" t="s">
        <v>14775</v>
      </c>
      <c r="D596" s="12" t="s">
        <v>14776</v>
      </c>
      <c r="E596" s="13" t="s">
        <v>580</v>
      </c>
      <c r="F596" s="681">
        <v>1036.1500000000001</v>
      </c>
    </row>
    <row r="597" spans="2:6" ht="15.75" hidden="1" customHeight="1" x14ac:dyDescent="0.25">
      <c r="B597" s="13" t="s">
        <v>556</v>
      </c>
      <c r="C597" s="13" t="s">
        <v>14777</v>
      </c>
      <c r="D597" s="12" t="s">
        <v>14778</v>
      </c>
      <c r="E597" s="13" t="s">
        <v>580</v>
      </c>
      <c r="F597" s="681">
        <v>769.31</v>
      </c>
    </row>
    <row r="598" spans="2:6" ht="15.75" hidden="1" customHeight="1" x14ac:dyDescent="0.25">
      <c r="B598" s="13" t="s">
        <v>556</v>
      </c>
      <c r="C598" s="13" t="s">
        <v>14779</v>
      </c>
      <c r="D598" s="12" t="s">
        <v>14780</v>
      </c>
      <c r="E598" s="13" t="s">
        <v>580</v>
      </c>
      <c r="F598" s="681">
        <v>252.68</v>
      </c>
    </row>
    <row r="599" spans="2:6" ht="15.75" hidden="1" customHeight="1" x14ac:dyDescent="0.25">
      <c r="B599" s="13" t="s">
        <v>556</v>
      </c>
      <c r="C599" s="13" t="s">
        <v>14781</v>
      </c>
      <c r="D599" s="12" t="s">
        <v>14782</v>
      </c>
      <c r="E599" s="13" t="s">
        <v>580</v>
      </c>
      <c r="F599" s="681">
        <v>6.4</v>
      </c>
    </row>
    <row r="600" spans="2:6" ht="15.75" hidden="1" customHeight="1" x14ac:dyDescent="0.25">
      <c r="B600" s="13" t="s">
        <v>556</v>
      </c>
      <c r="C600" s="13" t="s">
        <v>14783</v>
      </c>
      <c r="D600" s="12" t="s">
        <v>14784</v>
      </c>
      <c r="E600" s="13" t="s">
        <v>580</v>
      </c>
      <c r="F600" s="681">
        <v>5.86</v>
      </c>
    </row>
    <row r="601" spans="2:6" ht="15.75" hidden="1" customHeight="1" x14ac:dyDescent="0.25">
      <c r="B601" s="13" t="s">
        <v>556</v>
      </c>
      <c r="C601" s="13" t="s">
        <v>14785</v>
      </c>
      <c r="D601" s="12" t="s">
        <v>14786</v>
      </c>
      <c r="E601" s="13" t="s">
        <v>580</v>
      </c>
      <c r="F601" s="681">
        <v>5.86</v>
      </c>
    </row>
    <row r="602" spans="2:6" ht="15.75" hidden="1" customHeight="1" x14ac:dyDescent="0.25">
      <c r="B602" s="13" t="s">
        <v>556</v>
      </c>
      <c r="C602" s="13" t="s">
        <v>14787</v>
      </c>
      <c r="D602" s="12" t="s">
        <v>8603</v>
      </c>
      <c r="E602" s="13" t="s">
        <v>517</v>
      </c>
      <c r="F602" s="681">
        <v>16.89</v>
      </c>
    </row>
    <row r="603" spans="2:6" ht="15.75" hidden="1" customHeight="1" x14ac:dyDescent="0.25">
      <c r="B603" s="13" t="s">
        <v>556</v>
      </c>
      <c r="C603" s="13" t="s">
        <v>14788</v>
      </c>
      <c r="D603" s="12" t="s">
        <v>14789</v>
      </c>
      <c r="E603" s="13" t="s">
        <v>580</v>
      </c>
      <c r="F603" s="681">
        <v>112.6</v>
      </c>
    </row>
    <row r="604" spans="2:6" ht="15.75" hidden="1" customHeight="1" x14ac:dyDescent="0.25">
      <c r="B604" s="13" t="s">
        <v>556</v>
      </c>
      <c r="C604" s="13" t="s">
        <v>14790</v>
      </c>
      <c r="D604" s="12" t="s">
        <v>14791</v>
      </c>
      <c r="E604" s="13" t="s">
        <v>580</v>
      </c>
      <c r="F604" s="681">
        <v>33.76</v>
      </c>
    </row>
    <row r="605" spans="2:6" ht="15.75" hidden="1" customHeight="1" x14ac:dyDescent="0.25">
      <c r="B605" s="13" t="s">
        <v>556</v>
      </c>
      <c r="C605" s="13" t="s">
        <v>14792</v>
      </c>
      <c r="D605" s="12" t="s">
        <v>14793</v>
      </c>
      <c r="E605" s="13" t="s">
        <v>580</v>
      </c>
      <c r="F605" s="681">
        <v>12.43</v>
      </c>
    </row>
    <row r="606" spans="2:6" ht="15.75" hidden="1" customHeight="1" x14ac:dyDescent="0.25">
      <c r="B606" s="13" t="s">
        <v>556</v>
      </c>
      <c r="C606" s="13" t="s">
        <v>14794</v>
      </c>
      <c r="D606" s="12" t="s">
        <v>14795</v>
      </c>
      <c r="E606" s="13" t="s">
        <v>580</v>
      </c>
      <c r="F606" s="681">
        <v>10.69</v>
      </c>
    </row>
    <row r="607" spans="2:6" ht="15.75" hidden="1" customHeight="1" x14ac:dyDescent="0.25">
      <c r="B607" s="13" t="s">
        <v>556</v>
      </c>
      <c r="C607" s="13" t="s">
        <v>14796</v>
      </c>
      <c r="D607" s="12" t="s">
        <v>14797</v>
      </c>
      <c r="E607" s="13" t="s">
        <v>580</v>
      </c>
      <c r="F607" s="681">
        <v>38.71</v>
      </c>
    </row>
    <row r="608" spans="2:6" ht="15.75" hidden="1" customHeight="1" x14ac:dyDescent="0.25">
      <c r="B608" s="13" t="s">
        <v>556</v>
      </c>
      <c r="C608" s="13" t="s">
        <v>14798</v>
      </c>
      <c r="D608" s="12" t="s">
        <v>14799</v>
      </c>
      <c r="E608" s="13" t="s">
        <v>580</v>
      </c>
      <c r="F608" s="681">
        <v>21.85</v>
      </c>
    </row>
    <row r="609" spans="2:6" ht="15.75" hidden="1" customHeight="1" x14ac:dyDescent="0.25">
      <c r="B609" s="13" t="s">
        <v>556</v>
      </c>
      <c r="C609" s="13" t="s">
        <v>14800</v>
      </c>
      <c r="D609" s="12" t="s">
        <v>14801</v>
      </c>
      <c r="E609" s="13" t="s">
        <v>580</v>
      </c>
      <c r="F609" s="681">
        <v>21.85</v>
      </c>
    </row>
    <row r="610" spans="2:6" ht="15.75" hidden="1" customHeight="1" x14ac:dyDescent="0.25">
      <c r="B610" s="13" t="s">
        <v>556</v>
      </c>
      <c r="C610" s="13" t="s">
        <v>14802</v>
      </c>
      <c r="D610" s="12" t="s">
        <v>14803</v>
      </c>
      <c r="E610" s="13" t="s">
        <v>580</v>
      </c>
      <c r="F610" s="681">
        <v>15.05</v>
      </c>
    </row>
    <row r="611" spans="2:6" ht="15.75" hidden="1" customHeight="1" x14ac:dyDescent="0.25">
      <c r="B611" s="13" t="s">
        <v>556</v>
      </c>
      <c r="C611" s="13" t="s">
        <v>14804</v>
      </c>
      <c r="D611" s="12" t="s">
        <v>14805</v>
      </c>
      <c r="E611" s="13" t="s">
        <v>580</v>
      </c>
      <c r="F611" s="681">
        <v>46.54</v>
      </c>
    </row>
    <row r="612" spans="2:6" ht="15.75" hidden="1" customHeight="1" x14ac:dyDescent="0.25">
      <c r="B612" s="13" t="s">
        <v>556</v>
      </c>
      <c r="C612" s="13" t="s">
        <v>14806</v>
      </c>
      <c r="D612" s="12" t="s">
        <v>14807</v>
      </c>
      <c r="E612" s="13" t="s">
        <v>580</v>
      </c>
      <c r="F612" s="681">
        <v>121.12</v>
      </c>
    </row>
    <row r="613" spans="2:6" ht="15.75" hidden="1" customHeight="1" x14ac:dyDescent="0.25">
      <c r="B613" s="13" t="s">
        <v>556</v>
      </c>
      <c r="C613" s="13" t="s">
        <v>14808</v>
      </c>
      <c r="D613" s="12" t="s">
        <v>14809</v>
      </c>
      <c r="E613" s="13" t="s">
        <v>580</v>
      </c>
      <c r="F613" s="681">
        <v>107.25</v>
      </c>
    </row>
    <row r="614" spans="2:6" ht="15.75" hidden="1" customHeight="1" x14ac:dyDescent="0.25">
      <c r="B614" s="13" t="s">
        <v>556</v>
      </c>
      <c r="C614" s="13" t="s">
        <v>14810</v>
      </c>
      <c r="D614" s="12" t="s">
        <v>14811</v>
      </c>
      <c r="E614" s="13" t="s">
        <v>580</v>
      </c>
      <c r="F614" s="681">
        <v>69.650000000000006</v>
      </c>
    </row>
    <row r="615" spans="2:6" ht="15.75" hidden="1" customHeight="1" x14ac:dyDescent="0.25">
      <c r="B615" s="13" t="s">
        <v>556</v>
      </c>
      <c r="C615" s="13" t="s">
        <v>14812</v>
      </c>
      <c r="D615" s="12" t="s">
        <v>14813</v>
      </c>
      <c r="E615" s="13" t="s">
        <v>580</v>
      </c>
      <c r="F615" s="681">
        <v>50.7</v>
      </c>
    </row>
    <row r="616" spans="2:6" ht="15.75" hidden="1" customHeight="1" x14ac:dyDescent="0.25">
      <c r="B616" s="13" t="s">
        <v>556</v>
      </c>
      <c r="C616" s="13" t="s">
        <v>14814</v>
      </c>
      <c r="D616" s="12" t="s">
        <v>14815</v>
      </c>
      <c r="E616" s="13" t="s">
        <v>580</v>
      </c>
      <c r="F616" s="681">
        <v>289.11</v>
      </c>
    </row>
    <row r="617" spans="2:6" ht="15.75" hidden="1" customHeight="1" x14ac:dyDescent="0.25">
      <c r="B617" s="13" t="s">
        <v>556</v>
      </c>
      <c r="C617" s="13" t="s">
        <v>14816</v>
      </c>
      <c r="D617" s="12" t="s">
        <v>14817</v>
      </c>
      <c r="E617" s="13" t="s">
        <v>580</v>
      </c>
      <c r="F617" s="681">
        <v>185.57</v>
      </c>
    </row>
    <row r="618" spans="2:6" ht="15.75" hidden="1" customHeight="1" x14ac:dyDescent="0.25">
      <c r="B618" s="13" t="s">
        <v>556</v>
      </c>
      <c r="C618" s="13" t="s">
        <v>14818</v>
      </c>
      <c r="D618" s="12" t="s">
        <v>14819</v>
      </c>
      <c r="E618" s="13" t="s">
        <v>580</v>
      </c>
      <c r="F618" s="681">
        <v>467.5</v>
      </c>
    </row>
    <row r="619" spans="2:6" ht="15.75" hidden="1" customHeight="1" x14ac:dyDescent="0.25">
      <c r="B619" s="13" t="s">
        <v>556</v>
      </c>
      <c r="C619" s="13" t="s">
        <v>14820</v>
      </c>
      <c r="D619" s="12" t="s">
        <v>14821</v>
      </c>
      <c r="E619" s="13" t="s">
        <v>580</v>
      </c>
      <c r="F619" s="681">
        <v>62.15</v>
      </c>
    </row>
    <row r="620" spans="2:6" ht="15.75" hidden="1" customHeight="1" x14ac:dyDescent="0.25">
      <c r="B620" s="13" t="s">
        <v>556</v>
      </c>
      <c r="C620" s="13" t="s">
        <v>14822</v>
      </c>
      <c r="D620" s="12" t="s">
        <v>14823</v>
      </c>
      <c r="E620" s="13" t="s">
        <v>580</v>
      </c>
      <c r="F620" s="681">
        <v>795.6</v>
      </c>
    </row>
    <row r="621" spans="2:6" ht="15.75" hidden="1" customHeight="1" x14ac:dyDescent="0.25">
      <c r="B621" s="13" t="s">
        <v>556</v>
      </c>
      <c r="C621" s="13" t="s">
        <v>14824</v>
      </c>
      <c r="D621" s="12" t="s">
        <v>14825</v>
      </c>
      <c r="E621" s="13" t="s">
        <v>580</v>
      </c>
      <c r="F621" s="681">
        <v>163.63</v>
      </c>
    </row>
    <row r="622" spans="2:6" ht="15.75" hidden="1" customHeight="1" x14ac:dyDescent="0.25">
      <c r="B622" s="13" t="s">
        <v>556</v>
      </c>
      <c r="C622" s="13" t="s">
        <v>14826</v>
      </c>
      <c r="D622" s="12" t="s">
        <v>14827</v>
      </c>
      <c r="E622" s="13" t="s">
        <v>580</v>
      </c>
      <c r="F622" s="681">
        <v>104.17</v>
      </c>
    </row>
    <row r="623" spans="2:6" ht="15.75" hidden="1" customHeight="1" x14ac:dyDescent="0.25">
      <c r="B623" s="13" t="s">
        <v>556</v>
      </c>
      <c r="C623" s="13" t="s">
        <v>14828</v>
      </c>
      <c r="D623" s="12" t="s">
        <v>14829</v>
      </c>
      <c r="E623" s="13" t="s">
        <v>580</v>
      </c>
      <c r="F623" s="681">
        <v>53.32</v>
      </c>
    </row>
    <row r="624" spans="2:6" ht="15.75" hidden="1" customHeight="1" x14ac:dyDescent="0.25">
      <c r="B624" s="13" t="s">
        <v>556</v>
      </c>
      <c r="C624" s="13" t="s">
        <v>14830</v>
      </c>
      <c r="D624" s="12" t="s">
        <v>14831</v>
      </c>
      <c r="E624" s="13" t="s">
        <v>580</v>
      </c>
      <c r="F624" s="681">
        <v>322.38</v>
      </c>
    </row>
    <row r="625" spans="2:6" ht="15.75" hidden="1" customHeight="1" x14ac:dyDescent="0.25">
      <c r="B625" s="13" t="s">
        <v>556</v>
      </c>
      <c r="C625" s="13" t="s">
        <v>14832</v>
      </c>
      <c r="D625" s="12" t="s">
        <v>14833</v>
      </c>
      <c r="E625" s="13" t="s">
        <v>580</v>
      </c>
      <c r="F625" s="681">
        <v>595.19000000000005</v>
      </c>
    </row>
    <row r="626" spans="2:6" ht="15.75" hidden="1" customHeight="1" x14ac:dyDescent="0.25">
      <c r="B626" s="13" t="s">
        <v>556</v>
      </c>
      <c r="C626" s="13" t="s">
        <v>14834</v>
      </c>
      <c r="D626" s="12" t="s">
        <v>14835</v>
      </c>
      <c r="E626" s="13" t="s">
        <v>580</v>
      </c>
      <c r="F626" s="681">
        <v>260.36</v>
      </c>
    </row>
    <row r="627" spans="2:6" ht="15.75" hidden="1" customHeight="1" x14ac:dyDescent="0.25">
      <c r="B627" s="13" t="s">
        <v>556</v>
      </c>
      <c r="C627" s="13" t="s">
        <v>14836</v>
      </c>
      <c r="D627" s="12" t="s">
        <v>14837</v>
      </c>
      <c r="E627" s="13" t="s">
        <v>580</v>
      </c>
      <c r="F627" s="681">
        <v>471.17</v>
      </c>
    </row>
    <row r="628" spans="2:6" ht="15.75" hidden="1" customHeight="1" x14ac:dyDescent="0.25">
      <c r="B628" s="13" t="s">
        <v>556</v>
      </c>
      <c r="C628" s="13" t="s">
        <v>14838</v>
      </c>
      <c r="D628" s="12" t="s">
        <v>14839</v>
      </c>
      <c r="E628" s="13" t="s">
        <v>580</v>
      </c>
      <c r="F628" s="681">
        <v>83.56</v>
      </c>
    </row>
    <row r="629" spans="2:6" ht="15.75" hidden="1" customHeight="1" x14ac:dyDescent="0.25">
      <c r="B629" s="13" t="s">
        <v>556</v>
      </c>
      <c r="C629" s="13" t="s">
        <v>14840</v>
      </c>
      <c r="D629" s="12" t="s">
        <v>14841</v>
      </c>
      <c r="E629" s="13" t="s">
        <v>580</v>
      </c>
      <c r="F629" s="681">
        <v>103.67</v>
      </c>
    </row>
    <row r="630" spans="2:6" ht="15.75" hidden="1" customHeight="1" x14ac:dyDescent="0.25">
      <c r="B630" s="13" t="s">
        <v>556</v>
      </c>
      <c r="C630" s="13" t="s">
        <v>14842</v>
      </c>
      <c r="D630" s="12" t="s">
        <v>14843</v>
      </c>
      <c r="E630" s="13" t="s">
        <v>580</v>
      </c>
      <c r="F630" s="681">
        <v>132.81</v>
      </c>
    </row>
    <row r="631" spans="2:6" ht="15.75" hidden="1" customHeight="1" x14ac:dyDescent="0.25">
      <c r="B631" s="13" t="s">
        <v>556</v>
      </c>
      <c r="C631" s="13" t="s">
        <v>14844</v>
      </c>
      <c r="D631" s="12" t="s">
        <v>14845</v>
      </c>
      <c r="E631" s="13" t="s">
        <v>580</v>
      </c>
      <c r="F631" s="681">
        <v>174.28</v>
      </c>
    </row>
    <row r="632" spans="2:6" ht="15.75" hidden="1" customHeight="1" x14ac:dyDescent="0.25">
      <c r="B632" s="13" t="s">
        <v>556</v>
      </c>
      <c r="C632" s="13" t="s">
        <v>14846</v>
      </c>
      <c r="D632" s="12" t="s">
        <v>14847</v>
      </c>
      <c r="E632" s="13" t="s">
        <v>580</v>
      </c>
      <c r="F632" s="681">
        <v>234.4</v>
      </c>
    </row>
    <row r="633" spans="2:6" ht="15.75" hidden="1" customHeight="1" x14ac:dyDescent="0.25">
      <c r="B633" s="13" t="s">
        <v>556</v>
      </c>
      <c r="C633" s="13" t="s">
        <v>14848</v>
      </c>
      <c r="D633" s="12" t="s">
        <v>14849</v>
      </c>
      <c r="E633" s="13" t="s">
        <v>580</v>
      </c>
      <c r="F633" s="681">
        <v>318.18</v>
      </c>
    </row>
    <row r="634" spans="2:6" ht="15.75" hidden="1" customHeight="1" x14ac:dyDescent="0.25">
      <c r="B634" s="13" t="s">
        <v>556</v>
      </c>
      <c r="C634" s="13" t="s">
        <v>14850</v>
      </c>
      <c r="D634" s="12" t="s">
        <v>14851</v>
      </c>
      <c r="E634" s="13" t="s">
        <v>580</v>
      </c>
      <c r="F634" s="681">
        <v>440.1</v>
      </c>
    </row>
    <row r="635" spans="2:6" ht="15.75" hidden="1" customHeight="1" x14ac:dyDescent="0.25">
      <c r="B635" s="13" t="s">
        <v>556</v>
      </c>
      <c r="C635" s="13" t="s">
        <v>14852</v>
      </c>
      <c r="D635" s="12" t="s">
        <v>14853</v>
      </c>
      <c r="E635" s="13" t="s">
        <v>580</v>
      </c>
      <c r="F635" s="681">
        <v>763.27</v>
      </c>
    </row>
    <row r="636" spans="2:6" ht="15.75" hidden="1" customHeight="1" x14ac:dyDescent="0.25">
      <c r="B636" s="13" t="s">
        <v>556</v>
      </c>
      <c r="C636" s="13" t="s">
        <v>14854</v>
      </c>
      <c r="D636" s="12" t="s">
        <v>14855</v>
      </c>
      <c r="E636" s="13" t="s">
        <v>580</v>
      </c>
      <c r="F636" s="681">
        <v>1025.21</v>
      </c>
    </row>
    <row r="637" spans="2:6" ht="15.75" hidden="1" customHeight="1" x14ac:dyDescent="0.25">
      <c r="B637" s="13" t="s">
        <v>556</v>
      </c>
      <c r="C637" s="13" t="s">
        <v>14856</v>
      </c>
      <c r="D637" s="12" t="s">
        <v>14857</v>
      </c>
      <c r="E637" s="13" t="s">
        <v>580</v>
      </c>
      <c r="F637" s="681">
        <v>1435.29</v>
      </c>
    </row>
    <row r="638" spans="2:6" ht="15.75" hidden="1" customHeight="1" x14ac:dyDescent="0.25">
      <c r="B638" s="13" t="s">
        <v>556</v>
      </c>
      <c r="C638" s="13" t="s">
        <v>14858</v>
      </c>
      <c r="D638" s="677" t="s">
        <v>14859</v>
      </c>
      <c r="E638" s="13" t="s">
        <v>585</v>
      </c>
      <c r="F638" s="681">
        <v>721.74</v>
      </c>
    </row>
    <row r="639" spans="2:6" ht="15.75" hidden="1" customHeight="1" x14ac:dyDescent="0.25">
      <c r="B639" s="13" t="s">
        <v>556</v>
      </c>
      <c r="C639" s="13" t="s">
        <v>14860</v>
      </c>
      <c r="D639" s="677" t="s">
        <v>14861</v>
      </c>
      <c r="E639" s="13" t="s">
        <v>585</v>
      </c>
      <c r="F639" s="681">
        <v>666.38</v>
      </c>
    </row>
    <row r="640" spans="2:6" ht="15.75" hidden="1" customHeight="1" x14ac:dyDescent="0.25">
      <c r="B640" s="13" t="s">
        <v>556</v>
      </c>
      <c r="C640" s="13" t="s">
        <v>14862</v>
      </c>
      <c r="D640" s="677" t="s">
        <v>14863</v>
      </c>
      <c r="E640" s="13" t="s">
        <v>585</v>
      </c>
      <c r="F640" s="681">
        <v>876.55</v>
      </c>
    </row>
    <row r="641" spans="2:6" ht="15.75" hidden="1" customHeight="1" x14ac:dyDescent="0.25">
      <c r="B641" s="13" t="s">
        <v>556</v>
      </c>
      <c r="C641" s="13" t="s">
        <v>14864</v>
      </c>
      <c r="D641" s="677" t="s">
        <v>14865</v>
      </c>
      <c r="E641" s="13" t="s">
        <v>585</v>
      </c>
      <c r="F641" s="681">
        <v>1059.8599999999999</v>
      </c>
    </row>
    <row r="642" spans="2:6" ht="15.75" hidden="1" customHeight="1" x14ac:dyDescent="0.25">
      <c r="B642" s="13" t="s">
        <v>556</v>
      </c>
      <c r="C642" s="13" t="s">
        <v>14866</v>
      </c>
      <c r="D642" s="677" t="s">
        <v>14867</v>
      </c>
      <c r="E642" s="13" t="s">
        <v>585</v>
      </c>
      <c r="F642" s="681">
        <v>1609.57</v>
      </c>
    </row>
    <row r="643" spans="2:6" ht="15.75" hidden="1" customHeight="1" x14ac:dyDescent="0.25">
      <c r="B643" s="13" t="s">
        <v>556</v>
      </c>
      <c r="C643" s="13" t="s">
        <v>14868</v>
      </c>
      <c r="D643" s="677" t="s">
        <v>14869</v>
      </c>
      <c r="E643" s="13" t="s">
        <v>585</v>
      </c>
      <c r="F643" s="681">
        <v>194.78</v>
      </c>
    </row>
    <row r="644" spans="2:6" ht="15.75" hidden="1" customHeight="1" x14ac:dyDescent="0.25">
      <c r="B644" s="13" t="s">
        <v>556</v>
      </c>
      <c r="C644" s="13" t="s">
        <v>14870</v>
      </c>
      <c r="D644" s="677" t="s">
        <v>14871</v>
      </c>
      <c r="E644" s="13" t="s">
        <v>585</v>
      </c>
      <c r="F644" s="681">
        <v>262.45</v>
      </c>
    </row>
    <row r="645" spans="2:6" ht="15.75" hidden="1" customHeight="1" x14ac:dyDescent="0.25">
      <c r="B645" s="13" t="s">
        <v>556</v>
      </c>
      <c r="C645" s="13" t="s">
        <v>14872</v>
      </c>
      <c r="D645" s="677" t="s">
        <v>14873</v>
      </c>
      <c r="E645" s="13" t="s">
        <v>585</v>
      </c>
      <c r="F645" s="681">
        <v>317.81</v>
      </c>
    </row>
    <row r="646" spans="2:6" ht="15.75" hidden="1" customHeight="1" x14ac:dyDescent="0.25">
      <c r="B646" s="13" t="s">
        <v>556</v>
      </c>
      <c r="C646" s="13" t="s">
        <v>14874</v>
      </c>
      <c r="D646" s="677" t="s">
        <v>14875</v>
      </c>
      <c r="E646" s="13" t="s">
        <v>585</v>
      </c>
      <c r="F646" s="681">
        <v>547.46</v>
      </c>
    </row>
    <row r="647" spans="2:6" ht="15.75" hidden="1" customHeight="1" x14ac:dyDescent="0.25">
      <c r="B647" s="13" t="s">
        <v>556</v>
      </c>
      <c r="C647" s="13" t="s">
        <v>14876</v>
      </c>
      <c r="D647" s="677" t="s">
        <v>14877</v>
      </c>
      <c r="E647" s="13" t="s">
        <v>585</v>
      </c>
      <c r="F647" s="681">
        <v>570.41999999999996</v>
      </c>
    </row>
    <row r="648" spans="2:6" ht="15.75" hidden="1" customHeight="1" x14ac:dyDescent="0.25">
      <c r="B648" s="13" t="s">
        <v>556</v>
      </c>
      <c r="C648" s="13" t="s">
        <v>14878</v>
      </c>
      <c r="D648" s="677" t="s">
        <v>14879</v>
      </c>
      <c r="E648" s="13" t="s">
        <v>585</v>
      </c>
      <c r="F648" s="681">
        <v>611.02</v>
      </c>
    </row>
    <row r="649" spans="2:6" ht="15.75" hidden="1" customHeight="1" x14ac:dyDescent="0.25">
      <c r="B649" s="13" t="s">
        <v>556</v>
      </c>
      <c r="C649" s="13" t="s">
        <v>14880</v>
      </c>
      <c r="D649" s="677" t="s">
        <v>11713</v>
      </c>
      <c r="E649" s="13" t="s">
        <v>585</v>
      </c>
      <c r="F649" s="681">
        <v>38.54</v>
      </c>
    </row>
    <row r="650" spans="2:6" ht="15.75" hidden="1" customHeight="1" x14ac:dyDescent="0.25">
      <c r="B650" s="13" t="s">
        <v>556</v>
      </c>
      <c r="C650" s="13" t="s">
        <v>14881</v>
      </c>
      <c r="D650" s="677" t="s">
        <v>11714</v>
      </c>
      <c r="E650" s="13" t="s">
        <v>585</v>
      </c>
      <c r="F650" s="681">
        <v>50.27</v>
      </c>
    </row>
    <row r="651" spans="2:6" ht="15.75" hidden="1" customHeight="1" x14ac:dyDescent="0.25">
      <c r="B651" s="13" t="s">
        <v>556</v>
      </c>
      <c r="C651" s="13" t="s">
        <v>14882</v>
      </c>
      <c r="D651" s="12" t="s">
        <v>11715</v>
      </c>
      <c r="E651" s="13" t="s">
        <v>580</v>
      </c>
      <c r="F651" s="681">
        <v>19.28</v>
      </c>
    </row>
    <row r="652" spans="2:6" ht="15.75" hidden="1" customHeight="1" x14ac:dyDescent="0.25">
      <c r="B652" s="13" t="s">
        <v>556</v>
      </c>
      <c r="C652" s="13" t="s">
        <v>14883</v>
      </c>
      <c r="D652" s="12" t="s">
        <v>8957</v>
      </c>
      <c r="E652" s="13" t="s">
        <v>580</v>
      </c>
      <c r="F652" s="681">
        <v>57.74</v>
      </c>
    </row>
    <row r="653" spans="2:6" ht="15.75" hidden="1" customHeight="1" x14ac:dyDescent="0.25">
      <c r="B653" s="13" t="s">
        <v>556</v>
      </c>
      <c r="C653" s="13" t="s">
        <v>14884</v>
      </c>
      <c r="D653" s="12" t="s">
        <v>8528</v>
      </c>
      <c r="E653" s="13" t="s">
        <v>580</v>
      </c>
      <c r="F653" s="681">
        <v>13.39</v>
      </c>
    </row>
    <row r="654" spans="2:6" ht="15.75" hidden="1" customHeight="1" x14ac:dyDescent="0.25">
      <c r="B654" s="13" t="s">
        <v>556</v>
      </c>
      <c r="C654" s="13" t="s">
        <v>14885</v>
      </c>
      <c r="D654" s="12" t="s">
        <v>9071</v>
      </c>
      <c r="E654" s="13" t="s">
        <v>580</v>
      </c>
      <c r="F654" s="681">
        <v>17.510000000000002</v>
      </c>
    </row>
    <row r="655" spans="2:6" ht="15.75" hidden="1" customHeight="1" x14ac:dyDescent="0.25">
      <c r="B655" s="13" t="s">
        <v>556</v>
      </c>
      <c r="C655" s="13" t="s">
        <v>14886</v>
      </c>
      <c r="D655" s="12" t="s">
        <v>9275</v>
      </c>
      <c r="E655" s="13" t="s">
        <v>580</v>
      </c>
      <c r="F655" s="681">
        <v>178.7</v>
      </c>
    </row>
    <row r="656" spans="2:6" ht="15.75" hidden="1" customHeight="1" x14ac:dyDescent="0.25">
      <c r="B656" s="13" t="s">
        <v>556</v>
      </c>
      <c r="C656" s="13" t="s">
        <v>14887</v>
      </c>
      <c r="D656" s="12" t="s">
        <v>9498</v>
      </c>
      <c r="E656" s="13" t="s">
        <v>585</v>
      </c>
      <c r="F656" s="681">
        <v>47.11</v>
      </c>
    </row>
    <row r="657" spans="2:6" ht="15.75" hidden="1" customHeight="1" x14ac:dyDescent="0.25">
      <c r="B657" s="13" t="s">
        <v>556</v>
      </c>
      <c r="C657" s="13" t="s">
        <v>14888</v>
      </c>
      <c r="D657" s="12" t="s">
        <v>9871</v>
      </c>
      <c r="E657" s="13" t="s">
        <v>580</v>
      </c>
      <c r="F657" s="681">
        <v>34.31</v>
      </c>
    </row>
    <row r="658" spans="2:6" ht="15.75" hidden="1" customHeight="1" x14ac:dyDescent="0.25">
      <c r="B658" s="13" t="s">
        <v>556</v>
      </c>
      <c r="C658" s="13" t="s">
        <v>14889</v>
      </c>
      <c r="D658" s="12" t="s">
        <v>11305</v>
      </c>
      <c r="E658" s="13" t="s">
        <v>580</v>
      </c>
      <c r="F658" s="681">
        <v>43.71</v>
      </c>
    </row>
    <row r="659" spans="2:6" ht="15.75" hidden="1" customHeight="1" x14ac:dyDescent="0.25">
      <c r="B659" s="13" t="s">
        <v>556</v>
      </c>
      <c r="C659" s="13" t="s">
        <v>14890</v>
      </c>
      <c r="D659" s="12" t="s">
        <v>11836</v>
      </c>
      <c r="E659" s="13" t="s">
        <v>580</v>
      </c>
      <c r="F659" s="681">
        <v>1.37</v>
      </c>
    </row>
    <row r="660" spans="2:6" ht="15.75" hidden="1" customHeight="1" x14ac:dyDescent="0.25">
      <c r="B660" s="13" t="s">
        <v>556</v>
      </c>
      <c r="C660" s="13" t="s">
        <v>14891</v>
      </c>
      <c r="D660" s="12" t="s">
        <v>14892</v>
      </c>
      <c r="E660" s="13" t="s">
        <v>580</v>
      </c>
      <c r="F660" s="681">
        <v>368.13</v>
      </c>
    </row>
    <row r="661" spans="2:6" ht="15.75" hidden="1" customHeight="1" x14ac:dyDescent="0.25">
      <c r="B661" s="13" t="s">
        <v>556</v>
      </c>
      <c r="C661" s="13" t="s">
        <v>14893</v>
      </c>
      <c r="D661" s="12" t="s">
        <v>8607</v>
      </c>
      <c r="E661" s="13" t="s">
        <v>517</v>
      </c>
      <c r="F661" s="681">
        <v>16.489999999999998</v>
      </c>
    </row>
    <row r="662" spans="2:6" ht="15.75" hidden="1" customHeight="1" x14ac:dyDescent="0.25">
      <c r="B662" s="13" t="s">
        <v>556</v>
      </c>
      <c r="C662" s="13" t="s">
        <v>14894</v>
      </c>
      <c r="D662" s="12" t="s">
        <v>14895</v>
      </c>
      <c r="E662" s="13" t="s">
        <v>585</v>
      </c>
      <c r="F662" s="681">
        <v>32.64</v>
      </c>
    </row>
    <row r="663" spans="2:6" ht="15.75" hidden="1" customHeight="1" x14ac:dyDescent="0.25">
      <c r="B663" s="13" t="s">
        <v>556</v>
      </c>
      <c r="C663" s="13" t="s">
        <v>14896</v>
      </c>
      <c r="D663" s="12" t="s">
        <v>14897</v>
      </c>
      <c r="E663" s="13" t="s">
        <v>580</v>
      </c>
      <c r="F663" s="681">
        <v>5.48</v>
      </c>
    </row>
    <row r="664" spans="2:6" ht="15.75" hidden="1" customHeight="1" x14ac:dyDescent="0.25">
      <c r="B664" s="13" t="s">
        <v>556</v>
      </c>
      <c r="C664" s="13" t="s">
        <v>14898</v>
      </c>
      <c r="D664" s="12" t="s">
        <v>14899</v>
      </c>
      <c r="E664" s="13" t="s">
        <v>580</v>
      </c>
      <c r="F664" s="681">
        <v>12.37</v>
      </c>
    </row>
    <row r="665" spans="2:6" ht="15.75" hidden="1" customHeight="1" x14ac:dyDescent="0.25">
      <c r="B665" s="13" t="s">
        <v>556</v>
      </c>
      <c r="C665" s="13" t="s">
        <v>14900</v>
      </c>
      <c r="D665" s="12" t="s">
        <v>14901</v>
      </c>
      <c r="E665" s="13" t="s">
        <v>580</v>
      </c>
      <c r="F665" s="681">
        <v>21.25</v>
      </c>
    </row>
    <row r="666" spans="2:6" ht="15.75" hidden="1" customHeight="1" x14ac:dyDescent="0.25">
      <c r="B666" s="13" t="s">
        <v>556</v>
      </c>
      <c r="C666" s="13" t="s">
        <v>14902</v>
      </c>
      <c r="D666" s="12" t="s">
        <v>14903</v>
      </c>
      <c r="E666" s="13" t="s">
        <v>580</v>
      </c>
      <c r="F666" s="681">
        <v>41.78</v>
      </c>
    </row>
    <row r="667" spans="2:6" ht="15.75" hidden="1" customHeight="1" x14ac:dyDescent="0.25">
      <c r="B667" s="13" t="s">
        <v>556</v>
      </c>
      <c r="C667" s="13" t="s">
        <v>14904</v>
      </c>
      <c r="D667" s="12" t="s">
        <v>14905</v>
      </c>
      <c r="E667" s="13" t="s">
        <v>580</v>
      </c>
      <c r="F667" s="681">
        <v>64.12</v>
      </c>
    </row>
    <row r="668" spans="2:6" ht="15.75" hidden="1" customHeight="1" x14ac:dyDescent="0.25">
      <c r="B668" s="13" t="s">
        <v>556</v>
      </c>
      <c r="C668" s="13" t="s">
        <v>14906</v>
      </c>
      <c r="D668" s="12" t="s">
        <v>14907</v>
      </c>
      <c r="E668" s="13" t="s">
        <v>580</v>
      </c>
      <c r="F668" s="681">
        <v>101.78</v>
      </c>
    </row>
    <row r="669" spans="2:6" ht="15.75" hidden="1" customHeight="1" x14ac:dyDescent="0.25">
      <c r="B669" s="13" t="s">
        <v>556</v>
      </c>
      <c r="C669" s="13" t="s">
        <v>14908</v>
      </c>
      <c r="D669" s="12" t="s">
        <v>14909</v>
      </c>
      <c r="E669" s="13" t="s">
        <v>580</v>
      </c>
      <c r="F669" s="681">
        <v>354.41</v>
      </c>
    </row>
    <row r="670" spans="2:6" ht="15.75" hidden="1" customHeight="1" x14ac:dyDescent="0.25">
      <c r="B670" s="13" t="s">
        <v>556</v>
      </c>
      <c r="C670" s="13" t="s">
        <v>14910</v>
      </c>
      <c r="D670" s="12" t="s">
        <v>14911</v>
      </c>
      <c r="E670" s="13" t="s">
        <v>580</v>
      </c>
      <c r="F670" s="681">
        <v>339.85</v>
      </c>
    </row>
    <row r="671" spans="2:6" ht="15.75" hidden="1" customHeight="1" x14ac:dyDescent="0.25">
      <c r="B671" s="13" t="s">
        <v>556</v>
      </c>
      <c r="C671" s="13" t="s">
        <v>14912</v>
      </c>
      <c r="D671" s="12" t="s">
        <v>14913</v>
      </c>
      <c r="E671" s="13" t="s">
        <v>580</v>
      </c>
      <c r="F671" s="681">
        <v>839.77</v>
      </c>
    </row>
    <row r="672" spans="2:6" ht="15.75" hidden="1" customHeight="1" x14ac:dyDescent="0.25">
      <c r="B672" s="13" t="s">
        <v>556</v>
      </c>
      <c r="C672" s="13" t="s">
        <v>14914</v>
      </c>
      <c r="D672" s="12" t="s">
        <v>14915</v>
      </c>
      <c r="E672" s="13" t="s">
        <v>580</v>
      </c>
      <c r="F672" s="681">
        <v>3.05</v>
      </c>
    </row>
    <row r="673" spans="2:6" ht="15.75" hidden="1" customHeight="1" x14ac:dyDescent="0.25">
      <c r="B673" s="13" t="s">
        <v>556</v>
      </c>
      <c r="C673" s="13" t="s">
        <v>13315</v>
      </c>
      <c r="D673" s="12" t="s">
        <v>14916</v>
      </c>
      <c r="E673" s="13" t="s">
        <v>580</v>
      </c>
      <c r="F673" s="681">
        <v>5.86</v>
      </c>
    </row>
    <row r="674" spans="2:6" ht="15.75" hidden="1" customHeight="1" x14ac:dyDescent="0.25">
      <c r="B674" s="13" t="s">
        <v>556</v>
      </c>
      <c r="C674" s="13" t="s">
        <v>13316</v>
      </c>
      <c r="D674" s="12" t="s">
        <v>14917</v>
      </c>
      <c r="E674" s="13" t="s">
        <v>580</v>
      </c>
      <c r="F674" s="681">
        <v>11.76</v>
      </c>
    </row>
    <row r="675" spans="2:6" ht="15.75" hidden="1" customHeight="1" x14ac:dyDescent="0.25">
      <c r="B675" s="13" t="s">
        <v>556</v>
      </c>
      <c r="C675" s="13" t="s">
        <v>14918</v>
      </c>
      <c r="D675" s="12" t="s">
        <v>14919</v>
      </c>
      <c r="E675" s="13" t="s">
        <v>580</v>
      </c>
      <c r="F675" s="681">
        <v>25.95</v>
      </c>
    </row>
    <row r="676" spans="2:6" ht="15.75" hidden="1" customHeight="1" x14ac:dyDescent="0.25">
      <c r="B676" s="13" t="s">
        <v>556</v>
      </c>
      <c r="C676" s="13" t="s">
        <v>14920</v>
      </c>
      <c r="D676" s="12" t="s">
        <v>14921</v>
      </c>
      <c r="E676" s="13" t="s">
        <v>580</v>
      </c>
      <c r="F676" s="681">
        <v>32.909999999999997</v>
      </c>
    </row>
    <row r="677" spans="2:6" ht="15.75" hidden="1" customHeight="1" x14ac:dyDescent="0.25">
      <c r="B677" s="13" t="s">
        <v>556</v>
      </c>
      <c r="C677" s="13" t="s">
        <v>14922</v>
      </c>
      <c r="D677" s="12" t="s">
        <v>14923</v>
      </c>
      <c r="E677" s="13" t="s">
        <v>580</v>
      </c>
      <c r="F677" s="681">
        <v>53.76</v>
      </c>
    </row>
    <row r="678" spans="2:6" ht="15.75" hidden="1" customHeight="1" x14ac:dyDescent="0.25">
      <c r="B678" s="13" t="s">
        <v>556</v>
      </c>
      <c r="C678" s="13" t="s">
        <v>14924</v>
      </c>
      <c r="D678" s="12" t="s">
        <v>14925</v>
      </c>
      <c r="E678" s="13" t="s">
        <v>580</v>
      </c>
      <c r="F678" s="681">
        <v>176.21</v>
      </c>
    </row>
    <row r="679" spans="2:6" ht="15.75" hidden="1" customHeight="1" x14ac:dyDescent="0.25">
      <c r="B679" s="13" t="s">
        <v>556</v>
      </c>
      <c r="C679" s="13" t="s">
        <v>14926</v>
      </c>
      <c r="D679" s="12" t="s">
        <v>14927</v>
      </c>
      <c r="E679" s="13" t="s">
        <v>580</v>
      </c>
      <c r="F679" s="681">
        <v>269.77999999999997</v>
      </c>
    </row>
    <row r="680" spans="2:6" ht="15.75" hidden="1" customHeight="1" x14ac:dyDescent="0.25">
      <c r="B680" s="13" t="s">
        <v>556</v>
      </c>
      <c r="C680" s="13" t="s">
        <v>14928</v>
      </c>
      <c r="D680" s="12" t="s">
        <v>14929</v>
      </c>
      <c r="E680" s="13" t="s">
        <v>580</v>
      </c>
      <c r="F680" s="681">
        <v>393.4</v>
      </c>
    </row>
    <row r="681" spans="2:6" ht="15.75" hidden="1" customHeight="1" x14ac:dyDescent="0.25">
      <c r="B681" s="13" t="s">
        <v>556</v>
      </c>
      <c r="C681" s="13" t="s">
        <v>13307</v>
      </c>
      <c r="D681" s="12" t="s">
        <v>14930</v>
      </c>
      <c r="E681" s="13" t="s">
        <v>580</v>
      </c>
      <c r="F681" s="681">
        <v>308.60000000000002</v>
      </c>
    </row>
    <row r="682" spans="2:6" ht="15.75" hidden="1" customHeight="1" x14ac:dyDescent="0.25">
      <c r="B682" s="13" t="s">
        <v>556</v>
      </c>
      <c r="C682" s="13" t="s">
        <v>14931</v>
      </c>
      <c r="D682" s="12" t="s">
        <v>14932</v>
      </c>
      <c r="E682" s="13" t="s">
        <v>580</v>
      </c>
      <c r="F682" s="681">
        <v>7.45</v>
      </c>
    </row>
    <row r="683" spans="2:6" ht="15.75" hidden="1" customHeight="1" x14ac:dyDescent="0.25">
      <c r="B683" s="13" t="s">
        <v>556</v>
      </c>
      <c r="C683" s="13" t="s">
        <v>14933</v>
      </c>
      <c r="D683" s="12" t="s">
        <v>14934</v>
      </c>
      <c r="E683" s="13" t="s">
        <v>580</v>
      </c>
      <c r="F683" s="681">
        <v>15.89</v>
      </c>
    </row>
    <row r="684" spans="2:6" ht="15.75" hidden="1" customHeight="1" x14ac:dyDescent="0.25">
      <c r="B684" s="13" t="s">
        <v>556</v>
      </c>
      <c r="C684" s="13" t="s">
        <v>13317</v>
      </c>
      <c r="D684" s="12" t="s">
        <v>14935</v>
      </c>
      <c r="E684" s="13" t="s">
        <v>580</v>
      </c>
      <c r="F684" s="681">
        <v>26.14</v>
      </c>
    </row>
    <row r="685" spans="2:6" ht="15.75" hidden="1" customHeight="1" x14ac:dyDescent="0.25">
      <c r="B685" s="13" t="s">
        <v>556</v>
      </c>
      <c r="C685" s="13" t="s">
        <v>14936</v>
      </c>
      <c r="D685" s="12" t="s">
        <v>14937</v>
      </c>
      <c r="E685" s="13" t="s">
        <v>580</v>
      </c>
      <c r="F685" s="681">
        <v>59.76</v>
      </c>
    </row>
    <row r="686" spans="2:6" ht="15.75" hidden="1" customHeight="1" x14ac:dyDescent="0.25">
      <c r="B686" s="13" t="s">
        <v>556</v>
      </c>
      <c r="C686" s="13" t="s">
        <v>14938</v>
      </c>
      <c r="D686" s="12" t="s">
        <v>14939</v>
      </c>
      <c r="E686" s="13" t="s">
        <v>580</v>
      </c>
      <c r="F686" s="681">
        <v>76.989999999999995</v>
      </c>
    </row>
    <row r="687" spans="2:6" ht="15.75" hidden="1" customHeight="1" x14ac:dyDescent="0.25">
      <c r="B687" s="13" t="s">
        <v>556</v>
      </c>
      <c r="C687" s="13" t="s">
        <v>14940</v>
      </c>
      <c r="D687" s="12" t="s">
        <v>14941</v>
      </c>
      <c r="E687" s="13" t="s">
        <v>580</v>
      </c>
      <c r="F687" s="681">
        <v>152.16999999999999</v>
      </c>
    </row>
    <row r="688" spans="2:6" ht="15.75" hidden="1" customHeight="1" x14ac:dyDescent="0.25">
      <c r="B688" s="13" t="s">
        <v>556</v>
      </c>
      <c r="C688" s="13" t="s">
        <v>14942</v>
      </c>
      <c r="D688" s="12" t="s">
        <v>14943</v>
      </c>
      <c r="E688" s="13" t="s">
        <v>580</v>
      </c>
      <c r="F688" s="681">
        <v>433.17</v>
      </c>
    </row>
    <row r="689" spans="2:6" ht="15.75" hidden="1" customHeight="1" x14ac:dyDescent="0.25">
      <c r="B689" s="13" t="s">
        <v>556</v>
      </c>
      <c r="C689" s="13" t="s">
        <v>14944</v>
      </c>
      <c r="D689" s="12" t="s">
        <v>14945</v>
      </c>
      <c r="E689" s="13" t="s">
        <v>580</v>
      </c>
      <c r="F689" s="681">
        <v>677.72</v>
      </c>
    </row>
    <row r="690" spans="2:6" ht="15.75" hidden="1" customHeight="1" x14ac:dyDescent="0.25">
      <c r="B690" s="13" t="s">
        <v>556</v>
      </c>
      <c r="C690" s="13" t="s">
        <v>14946</v>
      </c>
      <c r="D690" s="12" t="s">
        <v>14947</v>
      </c>
      <c r="E690" s="13" t="s">
        <v>580</v>
      </c>
      <c r="F690" s="681">
        <v>1481.81</v>
      </c>
    </row>
    <row r="691" spans="2:6" ht="15.75" hidden="1" customHeight="1" x14ac:dyDescent="0.25">
      <c r="B691" s="13" t="s">
        <v>556</v>
      </c>
      <c r="C691" s="13" t="s">
        <v>14948</v>
      </c>
      <c r="D691" s="12" t="s">
        <v>14949</v>
      </c>
      <c r="E691" s="13" t="s">
        <v>585</v>
      </c>
      <c r="F691" s="681">
        <v>615.42999999999995</v>
      </c>
    </row>
    <row r="692" spans="2:6" ht="15.75" hidden="1" customHeight="1" x14ac:dyDescent="0.25">
      <c r="B692" s="13" t="s">
        <v>556</v>
      </c>
      <c r="C692" s="13" t="s">
        <v>14950</v>
      </c>
      <c r="D692" s="12" t="s">
        <v>14951</v>
      </c>
      <c r="E692" s="13" t="s">
        <v>585</v>
      </c>
      <c r="F692" s="681">
        <v>56.15</v>
      </c>
    </row>
    <row r="693" spans="2:6" ht="15.75" hidden="1" customHeight="1" x14ac:dyDescent="0.25">
      <c r="B693" s="13" t="s">
        <v>556</v>
      </c>
      <c r="C693" s="13" t="s">
        <v>14952</v>
      </c>
      <c r="D693" s="12" t="s">
        <v>14953</v>
      </c>
      <c r="E693" s="13" t="s">
        <v>585</v>
      </c>
      <c r="F693" s="681">
        <v>71.260000000000005</v>
      </c>
    </row>
    <row r="694" spans="2:6" ht="15.75" hidden="1" customHeight="1" x14ac:dyDescent="0.25">
      <c r="B694" s="13" t="s">
        <v>556</v>
      </c>
      <c r="C694" s="13" t="s">
        <v>14954</v>
      </c>
      <c r="D694" s="12" t="s">
        <v>14955</v>
      </c>
      <c r="E694" s="13" t="s">
        <v>585</v>
      </c>
      <c r="F694" s="681">
        <v>103.48</v>
      </c>
    </row>
    <row r="695" spans="2:6" ht="15.75" hidden="1" customHeight="1" x14ac:dyDescent="0.25">
      <c r="B695" s="13" t="s">
        <v>556</v>
      </c>
      <c r="C695" s="13" t="s">
        <v>14956</v>
      </c>
      <c r="D695" s="12" t="s">
        <v>14957</v>
      </c>
      <c r="E695" s="13" t="s">
        <v>585</v>
      </c>
      <c r="F695" s="681">
        <v>139.74</v>
      </c>
    </row>
    <row r="696" spans="2:6" ht="15.75" hidden="1" customHeight="1" x14ac:dyDescent="0.25">
      <c r="B696" s="13" t="s">
        <v>556</v>
      </c>
      <c r="C696" s="13" t="s">
        <v>14958</v>
      </c>
      <c r="D696" s="12" t="s">
        <v>14959</v>
      </c>
      <c r="E696" s="13" t="s">
        <v>585</v>
      </c>
      <c r="F696" s="681">
        <v>202.66</v>
      </c>
    </row>
    <row r="697" spans="2:6" ht="15.75" hidden="1" customHeight="1" x14ac:dyDescent="0.25">
      <c r="B697" s="13" t="s">
        <v>556</v>
      </c>
      <c r="C697" s="13" t="s">
        <v>14960</v>
      </c>
      <c r="D697" s="12" t="s">
        <v>14961</v>
      </c>
      <c r="E697" s="13" t="s">
        <v>585</v>
      </c>
      <c r="F697" s="681">
        <v>285.5</v>
      </c>
    </row>
    <row r="698" spans="2:6" ht="15.75" hidden="1" customHeight="1" x14ac:dyDescent="0.25">
      <c r="B698" s="13" t="s">
        <v>556</v>
      </c>
      <c r="C698" s="13" t="s">
        <v>14962</v>
      </c>
      <c r="D698" s="12" t="s">
        <v>14963</v>
      </c>
      <c r="E698" s="13" t="s">
        <v>585</v>
      </c>
      <c r="F698" s="681">
        <v>417.36</v>
      </c>
    </row>
    <row r="699" spans="2:6" ht="15.75" hidden="1" customHeight="1" x14ac:dyDescent="0.25">
      <c r="B699" s="13" t="s">
        <v>556</v>
      </c>
      <c r="C699" s="13" t="s">
        <v>14964</v>
      </c>
      <c r="D699" s="677" t="s">
        <v>9364</v>
      </c>
      <c r="E699" s="13" t="s">
        <v>578</v>
      </c>
      <c r="F699" s="681">
        <v>911</v>
      </c>
    </row>
    <row r="700" spans="2:6" ht="15.75" hidden="1" customHeight="1" x14ac:dyDescent="0.25">
      <c r="B700" s="13" t="s">
        <v>556</v>
      </c>
      <c r="C700" s="13" t="s">
        <v>14965</v>
      </c>
      <c r="D700" s="677" t="s">
        <v>9363</v>
      </c>
      <c r="E700" s="13" t="s">
        <v>578</v>
      </c>
      <c r="F700" s="681">
        <v>1366.52</v>
      </c>
    </row>
    <row r="701" spans="2:6" ht="15.75" hidden="1" customHeight="1" x14ac:dyDescent="0.25">
      <c r="B701" s="13" t="s">
        <v>556</v>
      </c>
      <c r="C701" s="13" t="s">
        <v>14966</v>
      </c>
      <c r="D701" s="12" t="s">
        <v>14967</v>
      </c>
      <c r="E701" s="13" t="s">
        <v>580</v>
      </c>
      <c r="F701" s="681">
        <v>1145.52</v>
      </c>
    </row>
    <row r="702" spans="2:6" ht="15.75" hidden="1" customHeight="1" x14ac:dyDescent="0.25">
      <c r="B702" s="13" t="s">
        <v>556</v>
      </c>
      <c r="C702" s="13" t="s">
        <v>14968</v>
      </c>
      <c r="D702" s="12" t="s">
        <v>14969</v>
      </c>
      <c r="E702" s="13" t="s">
        <v>580</v>
      </c>
      <c r="F702" s="681">
        <v>93.85</v>
      </c>
    </row>
    <row r="703" spans="2:6" ht="15.75" hidden="1" customHeight="1" x14ac:dyDescent="0.25">
      <c r="B703" s="13" t="s">
        <v>556</v>
      </c>
      <c r="C703" s="13" t="s">
        <v>14970</v>
      </c>
      <c r="D703" s="12" t="s">
        <v>14971</v>
      </c>
      <c r="E703" s="13" t="s">
        <v>580</v>
      </c>
      <c r="F703" s="681">
        <v>489.95</v>
      </c>
    </row>
    <row r="704" spans="2:6" ht="15.75" hidden="1" customHeight="1" x14ac:dyDescent="0.25">
      <c r="B704" s="13" t="s">
        <v>556</v>
      </c>
      <c r="C704" s="13" t="s">
        <v>14972</v>
      </c>
      <c r="D704" s="12" t="s">
        <v>14973</v>
      </c>
      <c r="E704" s="13" t="s">
        <v>580</v>
      </c>
      <c r="F704" s="681">
        <v>814.28</v>
      </c>
    </row>
    <row r="705" spans="2:6" ht="15.75" hidden="1" customHeight="1" x14ac:dyDescent="0.25">
      <c r="B705" s="13" t="s">
        <v>556</v>
      </c>
      <c r="C705" s="13" t="s">
        <v>14974</v>
      </c>
      <c r="D705" s="12" t="s">
        <v>14975</v>
      </c>
      <c r="E705" s="13" t="s">
        <v>580</v>
      </c>
      <c r="F705" s="681">
        <v>100.75</v>
      </c>
    </row>
    <row r="706" spans="2:6" ht="15.75" hidden="1" customHeight="1" x14ac:dyDescent="0.25">
      <c r="B706" s="13" t="s">
        <v>556</v>
      </c>
      <c r="C706" s="13" t="s">
        <v>14976</v>
      </c>
      <c r="D706" s="12" t="s">
        <v>14977</v>
      </c>
      <c r="E706" s="13" t="s">
        <v>580</v>
      </c>
      <c r="F706" s="681">
        <v>124.21</v>
      </c>
    </row>
    <row r="707" spans="2:6" ht="15.75" hidden="1" customHeight="1" x14ac:dyDescent="0.25">
      <c r="B707" s="13" t="s">
        <v>556</v>
      </c>
      <c r="C707" s="13" t="s">
        <v>14978</v>
      </c>
      <c r="D707" s="12" t="s">
        <v>14979</v>
      </c>
      <c r="E707" s="13" t="s">
        <v>580</v>
      </c>
      <c r="F707" s="681">
        <v>358.83</v>
      </c>
    </row>
    <row r="708" spans="2:6" ht="15.75" hidden="1" customHeight="1" x14ac:dyDescent="0.25">
      <c r="B708" s="13" t="s">
        <v>556</v>
      </c>
      <c r="C708" s="13" t="s">
        <v>14980</v>
      </c>
      <c r="D708" s="12" t="s">
        <v>14981</v>
      </c>
      <c r="E708" s="13" t="s">
        <v>580</v>
      </c>
      <c r="F708" s="681">
        <v>1849.39</v>
      </c>
    </row>
    <row r="709" spans="2:6" ht="15.75" hidden="1" customHeight="1" x14ac:dyDescent="0.25">
      <c r="B709" s="13" t="s">
        <v>556</v>
      </c>
      <c r="C709" s="13" t="s">
        <v>14982</v>
      </c>
      <c r="D709" s="12" t="s">
        <v>14983</v>
      </c>
      <c r="E709" s="13" t="s">
        <v>580</v>
      </c>
      <c r="F709" s="681">
        <v>2415.25</v>
      </c>
    </row>
    <row r="710" spans="2:6" ht="15.75" hidden="1" customHeight="1" x14ac:dyDescent="0.25">
      <c r="B710" s="13" t="s">
        <v>556</v>
      </c>
      <c r="C710" s="13" t="s">
        <v>14984</v>
      </c>
      <c r="D710" s="12" t="s">
        <v>10050</v>
      </c>
      <c r="E710" s="13" t="s">
        <v>580</v>
      </c>
      <c r="F710" s="681">
        <v>10.72</v>
      </c>
    </row>
    <row r="711" spans="2:6" ht="15.75" hidden="1" customHeight="1" x14ac:dyDescent="0.25">
      <c r="B711" s="13" t="s">
        <v>14153</v>
      </c>
      <c r="C711" s="13" t="s">
        <v>14985</v>
      </c>
      <c r="D711" s="12" t="s">
        <v>10626</v>
      </c>
      <c r="E711" s="13" t="s">
        <v>2193</v>
      </c>
      <c r="F711" s="681">
        <v>24.62</v>
      </c>
    </row>
    <row r="712" spans="2:6" ht="15.75" hidden="1" customHeight="1" x14ac:dyDescent="0.25">
      <c r="B712" s="13" t="s">
        <v>14153</v>
      </c>
      <c r="C712" s="13" t="s">
        <v>14986</v>
      </c>
      <c r="D712" s="12" t="s">
        <v>11517</v>
      </c>
      <c r="E712" s="13" t="s">
        <v>2193</v>
      </c>
      <c r="F712" s="681">
        <v>24.62</v>
      </c>
    </row>
    <row r="713" spans="2:6" ht="15.75" hidden="1" customHeight="1" x14ac:dyDescent="0.25">
      <c r="B713" s="13" t="s">
        <v>556</v>
      </c>
      <c r="C713" s="13" t="s">
        <v>14987</v>
      </c>
      <c r="D713" s="12" t="s">
        <v>10955</v>
      </c>
      <c r="E713" s="13" t="s">
        <v>578</v>
      </c>
      <c r="F713" s="681">
        <v>29.04</v>
      </c>
    </row>
    <row r="714" spans="2:6" ht="15.75" hidden="1" customHeight="1" x14ac:dyDescent="0.25">
      <c r="B714" s="13" t="s">
        <v>14153</v>
      </c>
      <c r="C714" s="13" t="s">
        <v>14988</v>
      </c>
      <c r="D714" s="12" t="s">
        <v>10115</v>
      </c>
      <c r="E714" s="13" t="s">
        <v>2193</v>
      </c>
      <c r="F714" s="681">
        <v>24.62</v>
      </c>
    </row>
    <row r="715" spans="2:6" ht="15.75" hidden="1" customHeight="1" x14ac:dyDescent="0.25">
      <c r="B715" s="13" t="s">
        <v>14153</v>
      </c>
      <c r="C715" s="13" t="s">
        <v>14989</v>
      </c>
      <c r="D715" s="12" t="s">
        <v>10180</v>
      </c>
      <c r="E715" s="13" t="s">
        <v>2193</v>
      </c>
      <c r="F715" s="681">
        <v>24.62</v>
      </c>
    </row>
    <row r="716" spans="2:6" ht="15.75" hidden="1" customHeight="1" x14ac:dyDescent="0.25">
      <c r="B716" s="13" t="s">
        <v>14153</v>
      </c>
      <c r="C716" s="13" t="s">
        <v>14990</v>
      </c>
      <c r="D716" s="12" t="s">
        <v>10944</v>
      </c>
      <c r="E716" s="13" t="s">
        <v>2193</v>
      </c>
      <c r="F716" s="681">
        <v>23.53</v>
      </c>
    </row>
    <row r="717" spans="2:6" ht="15.75" hidden="1" customHeight="1" x14ac:dyDescent="0.25">
      <c r="B717" s="13" t="s">
        <v>556</v>
      </c>
      <c r="C717" s="13" t="s">
        <v>14991</v>
      </c>
      <c r="D717" s="12" t="s">
        <v>10541</v>
      </c>
      <c r="E717" s="13" t="s">
        <v>8838</v>
      </c>
      <c r="F717" s="681">
        <v>13.5</v>
      </c>
    </row>
    <row r="718" spans="2:6" ht="15.75" hidden="1" customHeight="1" x14ac:dyDescent="0.25">
      <c r="B718" s="13" t="s">
        <v>556</v>
      </c>
      <c r="C718" s="13" t="s">
        <v>14992</v>
      </c>
      <c r="D718" s="12" t="s">
        <v>8992</v>
      </c>
      <c r="E718" s="13" t="s">
        <v>8838</v>
      </c>
      <c r="F718" s="681">
        <v>72</v>
      </c>
    </row>
    <row r="719" spans="2:6" ht="15.75" hidden="1" customHeight="1" x14ac:dyDescent="0.25">
      <c r="B719" s="13" t="s">
        <v>556</v>
      </c>
      <c r="C719" s="13" t="s">
        <v>14993</v>
      </c>
      <c r="D719" s="12" t="s">
        <v>9327</v>
      </c>
      <c r="E719" s="13" t="s">
        <v>580</v>
      </c>
      <c r="F719" s="681">
        <v>19.5</v>
      </c>
    </row>
    <row r="720" spans="2:6" ht="15.75" hidden="1" customHeight="1" x14ac:dyDescent="0.25">
      <c r="B720" s="13" t="s">
        <v>556</v>
      </c>
      <c r="C720" s="13" t="s">
        <v>14994</v>
      </c>
      <c r="D720" s="12" t="s">
        <v>9328</v>
      </c>
      <c r="E720" s="13" t="s">
        <v>580</v>
      </c>
      <c r="F720" s="681">
        <v>15</v>
      </c>
    </row>
    <row r="721" spans="2:6" ht="15.75" hidden="1" customHeight="1" x14ac:dyDescent="0.25">
      <c r="B721" s="13" t="s">
        <v>556</v>
      </c>
      <c r="C721" s="13" t="s">
        <v>14995</v>
      </c>
      <c r="D721" s="12" t="s">
        <v>14996</v>
      </c>
      <c r="E721" s="13" t="s">
        <v>580</v>
      </c>
      <c r="F721" s="681">
        <v>212</v>
      </c>
    </row>
    <row r="722" spans="2:6" ht="15.75" hidden="1" customHeight="1" x14ac:dyDescent="0.25">
      <c r="B722" s="13" t="s">
        <v>556</v>
      </c>
      <c r="C722" s="13" t="s">
        <v>14997</v>
      </c>
      <c r="D722" s="12" t="s">
        <v>14998</v>
      </c>
      <c r="E722" s="13" t="s">
        <v>580</v>
      </c>
      <c r="F722" s="681">
        <v>133.65</v>
      </c>
    </row>
    <row r="723" spans="2:6" ht="15.75" hidden="1" customHeight="1" x14ac:dyDescent="0.25">
      <c r="B723" s="13" t="s">
        <v>556</v>
      </c>
      <c r="C723" s="13" t="s">
        <v>14999</v>
      </c>
      <c r="D723" s="12" t="s">
        <v>9323</v>
      </c>
      <c r="E723" s="13" t="s">
        <v>580</v>
      </c>
      <c r="F723" s="681">
        <v>4.79</v>
      </c>
    </row>
    <row r="724" spans="2:6" ht="15.75" hidden="1" customHeight="1" x14ac:dyDescent="0.25">
      <c r="B724" s="13" t="s">
        <v>556</v>
      </c>
      <c r="C724" s="13" t="s">
        <v>15000</v>
      </c>
      <c r="D724" s="12" t="s">
        <v>9324</v>
      </c>
      <c r="E724" s="13" t="s">
        <v>580</v>
      </c>
      <c r="F724" s="681">
        <v>8.61</v>
      </c>
    </row>
    <row r="725" spans="2:6" ht="15.75" hidden="1" customHeight="1" x14ac:dyDescent="0.25">
      <c r="B725" s="13" t="s">
        <v>556</v>
      </c>
      <c r="C725" s="13" t="s">
        <v>15001</v>
      </c>
      <c r="D725" s="12" t="s">
        <v>10954</v>
      </c>
      <c r="E725" s="13" t="s">
        <v>578</v>
      </c>
      <c r="F725" s="681">
        <v>36.28</v>
      </c>
    </row>
    <row r="726" spans="2:6" ht="15.75" hidden="1" customHeight="1" x14ac:dyDescent="0.25">
      <c r="B726" s="13" t="s">
        <v>556</v>
      </c>
      <c r="C726" s="13" t="s">
        <v>15002</v>
      </c>
      <c r="D726" s="12" t="s">
        <v>9954</v>
      </c>
      <c r="E726" s="13" t="s">
        <v>823</v>
      </c>
      <c r="F726" s="681">
        <v>13.7</v>
      </c>
    </row>
    <row r="727" spans="2:6" ht="15.75" hidden="1" customHeight="1" x14ac:dyDescent="0.25">
      <c r="B727" s="13" t="s">
        <v>556</v>
      </c>
      <c r="C727" s="13" t="s">
        <v>15003</v>
      </c>
      <c r="D727" s="12" t="s">
        <v>8754</v>
      </c>
      <c r="E727" s="13" t="s">
        <v>823</v>
      </c>
      <c r="F727" s="681">
        <v>3.94</v>
      </c>
    </row>
    <row r="728" spans="2:6" ht="15.75" hidden="1" customHeight="1" x14ac:dyDescent="0.25">
      <c r="B728" s="13" t="s">
        <v>556</v>
      </c>
      <c r="C728" s="13" t="s">
        <v>15004</v>
      </c>
      <c r="D728" s="12" t="s">
        <v>15005</v>
      </c>
      <c r="E728" s="13" t="s">
        <v>585</v>
      </c>
      <c r="F728" s="681">
        <v>1835.76</v>
      </c>
    </row>
    <row r="729" spans="2:6" ht="15.75" hidden="1" customHeight="1" x14ac:dyDescent="0.25">
      <c r="B729" s="13" t="s">
        <v>556</v>
      </c>
      <c r="C729" s="13" t="s">
        <v>15006</v>
      </c>
      <c r="D729" s="12" t="s">
        <v>8598</v>
      </c>
      <c r="E729" s="13" t="s">
        <v>823</v>
      </c>
      <c r="F729" s="681">
        <v>43.79</v>
      </c>
    </row>
    <row r="730" spans="2:6" ht="15.75" hidden="1" customHeight="1" x14ac:dyDescent="0.25">
      <c r="B730" s="13" t="s">
        <v>556</v>
      </c>
      <c r="C730" s="13" t="s">
        <v>15007</v>
      </c>
      <c r="D730" s="12" t="s">
        <v>15008</v>
      </c>
      <c r="E730" s="13" t="s">
        <v>580</v>
      </c>
      <c r="F730" s="681">
        <v>270.93</v>
      </c>
    </row>
    <row r="731" spans="2:6" ht="15.75" hidden="1" customHeight="1" x14ac:dyDescent="0.25">
      <c r="B731" s="13" t="s">
        <v>556</v>
      </c>
      <c r="C731" s="13" t="s">
        <v>15009</v>
      </c>
      <c r="D731" s="12" t="s">
        <v>15010</v>
      </c>
      <c r="E731" s="13" t="s">
        <v>580</v>
      </c>
      <c r="F731" s="681">
        <v>356.56</v>
      </c>
    </row>
    <row r="732" spans="2:6" ht="15.75" hidden="1" customHeight="1" x14ac:dyDescent="0.25">
      <c r="B732" s="13" t="s">
        <v>556</v>
      </c>
      <c r="C732" s="13" t="s">
        <v>15011</v>
      </c>
      <c r="D732" s="12" t="s">
        <v>9276</v>
      </c>
      <c r="E732" s="13" t="s">
        <v>585</v>
      </c>
      <c r="F732" s="681">
        <v>25.13</v>
      </c>
    </row>
    <row r="733" spans="2:6" ht="15.75" hidden="1" customHeight="1" x14ac:dyDescent="0.25">
      <c r="B733" s="13" t="s">
        <v>556</v>
      </c>
      <c r="C733" s="13" t="s">
        <v>15012</v>
      </c>
      <c r="D733" s="12" t="s">
        <v>15013</v>
      </c>
      <c r="E733" s="13" t="s">
        <v>585</v>
      </c>
      <c r="F733" s="681">
        <v>36.31</v>
      </c>
    </row>
    <row r="734" spans="2:6" ht="15.75" hidden="1" customHeight="1" x14ac:dyDescent="0.25">
      <c r="B734" s="13" t="s">
        <v>556</v>
      </c>
      <c r="C734" s="13" t="s">
        <v>15014</v>
      </c>
      <c r="D734" s="12" t="s">
        <v>15015</v>
      </c>
      <c r="E734" s="13" t="s">
        <v>585</v>
      </c>
      <c r="F734" s="681">
        <v>48.19</v>
      </c>
    </row>
    <row r="735" spans="2:6" ht="15.75" hidden="1" customHeight="1" x14ac:dyDescent="0.25">
      <c r="B735" s="13" t="s">
        <v>556</v>
      </c>
      <c r="C735" s="13" t="s">
        <v>15016</v>
      </c>
      <c r="D735" s="12" t="s">
        <v>15017</v>
      </c>
      <c r="E735" s="13" t="s">
        <v>585</v>
      </c>
      <c r="F735" s="681">
        <v>62.42</v>
      </c>
    </row>
    <row r="736" spans="2:6" ht="15.75" hidden="1" customHeight="1" x14ac:dyDescent="0.25">
      <c r="B736" s="13" t="s">
        <v>556</v>
      </c>
      <c r="C736" s="13" t="s">
        <v>15018</v>
      </c>
      <c r="D736" s="12" t="s">
        <v>15019</v>
      </c>
      <c r="E736" s="13" t="s">
        <v>585</v>
      </c>
      <c r="F736" s="681">
        <v>423.91</v>
      </c>
    </row>
    <row r="737" spans="2:6" ht="15.75" hidden="1" customHeight="1" x14ac:dyDescent="0.25">
      <c r="B737" s="13" t="s">
        <v>556</v>
      </c>
      <c r="C737" s="13" t="s">
        <v>15020</v>
      </c>
      <c r="D737" s="677" t="s">
        <v>11710</v>
      </c>
      <c r="E737" s="13" t="s">
        <v>585</v>
      </c>
      <c r="F737" s="681">
        <v>117.29</v>
      </c>
    </row>
    <row r="738" spans="2:6" ht="15.75" hidden="1" customHeight="1" x14ac:dyDescent="0.25">
      <c r="B738" s="13" t="s">
        <v>556</v>
      </c>
      <c r="C738" s="13" t="s">
        <v>15021</v>
      </c>
      <c r="D738" s="677" t="s">
        <v>11711</v>
      </c>
      <c r="E738" s="13" t="s">
        <v>585</v>
      </c>
      <c r="F738" s="681">
        <v>142.43</v>
      </c>
    </row>
    <row r="739" spans="2:6" ht="15.75" hidden="1" customHeight="1" x14ac:dyDescent="0.25">
      <c r="B739" s="13" t="s">
        <v>556</v>
      </c>
      <c r="C739" s="13" t="s">
        <v>15022</v>
      </c>
      <c r="D739" s="677" t="s">
        <v>11712</v>
      </c>
      <c r="E739" s="13" t="s">
        <v>585</v>
      </c>
      <c r="F739" s="681">
        <v>192.7</v>
      </c>
    </row>
    <row r="740" spans="2:6" ht="15.75" hidden="1" customHeight="1" x14ac:dyDescent="0.25">
      <c r="B740" s="13" t="s">
        <v>556</v>
      </c>
      <c r="C740" s="13" t="s">
        <v>15023</v>
      </c>
      <c r="D740" s="677" t="s">
        <v>15024</v>
      </c>
      <c r="E740" s="13" t="s">
        <v>823</v>
      </c>
      <c r="F740" s="681">
        <v>8.5</v>
      </c>
    </row>
    <row r="741" spans="2:6" ht="15.75" hidden="1" customHeight="1" x14ac:dyDescent="0.25">
      <c r="B741" s="13" t="s">
        <v>556</v>
      </c>
      <c r="C741" s="13" t="s">
        <v>15025</v>
      </c>
      <c r="D741" s="12" t="s">
        <v>10886</v>
      </c>
      <c r="E741" s="13" t="s">
        <v>664</v>
      </c>
      <c r="F741" s="681">
        <v>84.35</v>
      </c>
    </row>
    <row r="742" spans="2:6" ht="15.75" hidden="1" customHeight="1" x14ac:dyDescent="0.25">
      <c r="B742" s="13" t="s">
        <v>556</v>
      </c>
      <c r="C742" s="13" t="s">
        <v>15026</v>
      </c>
      <c r="D742" s="677" t="s">
        <v>15027</v>
      </c>
      <c r="E742" s="13" t="s">
        <v>823</v>
      </c>
      <c r="F742" s="681">
        <v>7.56</v>
      </c>
    </row>
    <row r="743" spans="2:6" ht="15.75" hidden="1" customHeight="1" x14ac:dyDescent="0.25">
      <c r="B743" s="13" t="s">
        <v>14150</v>
      </c>
      <c r="C743" s="13" t="s">
        <v>15028</v>
      </c>
      <c r="D743" s="12" t="s">
        <v>10422</v>
      </c>
      <c r="E743" s="13" t="s">
        <v>580</v>
      </c>
      <c r="F743" s="681">
        <v>5361.13</v>
      </c>
    </row>
    <row r="744" spans="2:6" ht="15.75" hidden="1" customHeight="1" x14ac:dyDescent="0.25">
      <c r="B744" s="13" t="s">
        <v>556</v>
      </c>
      <c r="C744" s="13" t="s">
        <v>15029</v>
      </c>
      <c r="D744" s="12" t="s">
        <v>8610</v>
      </c>
      <c r="E744" s="13" t="s">
        <v>517</v>
      </c>
      <c r="F744" s="681">
        <v>7.1</v>
      </c>
    </row>
    <row r="745" spans="2:6" ht="15.75" hidden="1" customHeight="1" x14ac:dyDescent="0.25">
      <c r="B745" s="13" t="s">
        <v>556</v>
      </c>
      <c r="C745" s="13" t="s">
        <v>15030</v>
      </c>
      <c r="D745" s="677" t="s">
        <v>15031</v>
      </c>
      <c r="E745" s="13" t="s">
        <v>823</v>
      </c>
      <c r="F745" s="681">
        <v>8.49</v>
      </c>
    </row>
    <row r="746" spans="2:6" ht="15.75" hidden="1" customHeight="1" x14ac:dyDescent="0.25">
      <c r="B746" s="13" t="s">
        <v>14150</v>
      </c>
      <c r="C746" s="13" t="s">
        <v>15032</v>
      </c>
      <c r="D746" s="12" t="s">
        <v>9355</v>
      </c>
      <c r="E746" s="13" t="s">
        <v>580</v>
      </c>
      <c r="F746" s="681">
        <v>1066631.8400000001</v>
      </c>
    </row>
    <row r="747" spans="2:6" ht="15.75" hidden="1" customHeight="1" x14ac:dyDescent="0.25">
      <c r="B747" s="13" t="s">
        <v>556</v>
      </c>
      <c r="C747" s="13" t="s">
        <v>15033</v>
      </c>
      <c r="D747" s="677" t="s">
        <v>15034</v>
      </c>
      <c r="E747" s="13" t="s">
        <v>823</v>
      </c>
      <c r="F747" s="681">
        <v>8.98</v>
      </c>
    </row>
    <row r="748" spans="2:6" ht="15.75" hidden="1" customHeight="1" x14ac:dyDescent="0.25">
      <c r="B748" s="13" t="s">
        <v>14150</v>
      </c>
      <c r="C748" s="13" t="s">
        <v>15035</v>
      </c>
      <c r="D748" s="12" t="s">
        <v>10721</v>
      </c>
      <c r="E748" s="13" t="s">
        <v>580</v>
      </c>
      <c r="F748" s="681">
        <v>1429018.4</v>
      </c>
    </row>
    <row r="749" spans="2:6" ht="15.75" hidden="1" customHeight="1" x14ac:dyDescent="0.25">
      <c r="B749" s="13" t="s">
        <v>556</v>
      </c>
      <c r="C749" s="13" t="s">
        <v>15036</v>
      </c>
      <c r="D749" s="677" t="s">
        <v>15037</v>
      </c>
      <c r="E749" s="13" t="s">
        <v>823</v>
      </c>
      <c r="F749" s="681">
        <v>8.98</v>
      </c>
    </row>
    <row r="750" spans="2:6" ht="15.75" hidden="1" customHeight="1" x14ac:dyDescent="0.25">
      <c r="B750" s="13" t="s">
        <v>14150</v>
      </c>
      <c r="C750" s="13" t="s">
        <v>15038</v>
      </c>
      <c r="D750" s="12" t="s">
        <v>15039</v>
      </c>
      <c r="E750" s="13" t="s">
        <v>580</v>
      </c>
      <c r="F750" s="681">
        <v>312056.05</v>
      </c>
    </row>
    <row r="751" spans="2:6" ht="15.75" hidden="1" customHeight="1" x14ac:dyDescent="0.25">
      <c r="B751" s="13" t="s">
        <v>556</v>
      </c>
      <c r="C751" s="13" t="s">
        <v>15040</v>
      </c>
      <c r="D751" s="12" t="s">
        <v>9500</v>
      </c>
      <c r="E751" s="13" t="s">
        <v>580</v>
      </c>
      <c r="F751" s="681">
        <v>49</v>
      </c>
    </row>
    <row r="752" spans="2:6" ht="15.75" hidden="1" customHeight="1" x14ac:dyDescent="0.25">
      <c r="B752" s="13" t="s">
        <v>556</v>
      </c>
      <c r="C752" s="13" t="s">
        <v>15041</v>
      </c>
      <c r="D752" s="12" t="s">
        <v>10808</v>
      </c>
      <c r="E752" s="13" t="s">
        <v>580</v>
      </c>
      <c r="F752" s="681">
        <v>0.5</v>
      </c>
    </row>
    <row r="753" spans="2:6" ht="15.75" hidden="1" customHeight="1" x14ac:dyDescent="0.25">
      <c r="B753" s="13" t="s">
        <v>556</v>
      </c>
      <c r="C753" s="13" t="s">
        <v>15042</v>
      </c>
      <c r="D753" s="677" t="s">
        <v>15043</v>
      </c>
      <c r="E753" s="13" t="s">
        <v>823</v>
      </c>
      <c r="F753" s="681">
        <v>9.14</v>
      </c>
    </row>
    <row r="754" spans="2:6" ht="15.75" hidden="1" customHeight="1" x14ac:dyDescent="0.25">
      <c r="B754" s="13" t="s">
        <v>556</v>
      </c>
      <c r="C754" s="13" t="s">
        <v>15044</v>
      </c>
      <c r="D754" s="677" t="s">
        <v>15045</v>
      </c>
      <c r="E754" s="13" t="s">
        <v>585</v>
      </c>
      <c r="F754" s="681">
        <v>666.38</v>
      </c>
    </row>
    <row r="755" spans="2:6" ht="15.75" hidden="1" customHeight="1" x14ac:dyDescent="0.25">
      <c r="B755" s="13" t="s">
        <v>556</v>
      </c>
      <c r="C755" s="13" t="s">
        <v>15046</v>
      </c>
      <c r="D755" s="12" t="s">
        <v>10062</v>
      </c>
      <c r="E755" s="13" t="s">
        <v>580</v>
      </c>
      <c r="F755" s="681">
        <v>2.1</v>
      </c>
    </row>
    <row r="756" spans="2:6" ht="15.75" hidden="1" customHeight="1" x14ac:dyDescent="0.25">
      <c r="B756" s="13" t="s">
        <v>556</v>
      </c>
      <c r="C756" s="13" t="s">
        <v>15047</v>
      </c>
      <c r="D756" s="677" t="s">
        <v>15048</v>
      </c>
      <c r="E756" s="13" t="s">
        <v>823</v>
      </c>
      <c r="F756" s="681">
        <v>9.74</v>
      </c>
    </row>
    <row r="757" spans="2:6" ht="15.75" hidden="1" customHeight="1" x14ac:dyDescent="0.25">
      <c r="B757" s="13" t="s">
        <v>556</v>
      </c>
      <c r="C757" s="13" t="s">
        <v>15049</v>
      </c>
      <c r="D757" s="12" t="s">
        <v>9378</v>
      </c>
      <c r="E757" s="13" t="s">
        <v>823</v>
      </c>
      <c r="F757" s="681">
        <v>22.95</v>
      </c>
    </row>
    <row r="758" spans="2:6" ht="15.75" hidden="1" customHeight="1" x14ac:dyDescent="0.25">
      <c r="B758" s="13" t="s">
        <v>556</v>
      </c>
      <c r="C758" s="13" t="s">
        <v>15050</v>
      </c>
      <c r="D758" s="677" t="s">
        <v>15051</v>
      </c>
      <c r="E758" s="13" t="s">
        <v>823</v>
      </c>
      <c r="F758" s="681">
        <v>9.17</v>
      </c>
    </row>
    <row r="759" spans="2:6" ht="15.75" hidden="1" customHeight="1" x14ac:dyDescent="0.25">
      <c r="B759" s="13" t="s">
        <v>556</v>
      </c>
      <c r="C759" s="13" t="s">
        <v>15052</v>
      </c>
      <c r="D759" s="12" t="s">
        <v>9387</v>
      </c>
      <c r="E759" s="13" t="s">
        <v>823</v>
      </c>
      <c r="F759" s="681">
        <v>0.52</v>
      </c>
    </row>
    <row r="760" spans="2:6" ht="15.75" hidden="1" customHeight="1" x14ac:dyDescent="0.25">
      <c r="B760" s="13" t="s">
        <v>556</v>
      </c>
      <c r="C760" s="13" t="s">
        <v>15053</v>
      </c>
      <c r="D760" s="12" t="s">
        <v>10809</v>
      </c>
      <c r="E760" s="13" t="s">
        <v>580</v>
      </c>
      <c r="F760" s="681">
        <v>1.66</v>
      </c>
    </row>
    <row r="761" spans="2:6" ht="15.75" hidden="1" customHeight="1" x14ac:dyDescent="0.25">
      <c r="B761" s="13" t="s">
        <v>556</v>
      </c>
      <c r="C761" s="13" t="s">
        <v>15054</v>
      </c>
      <c r="D761" s="12" t="s">
        <v>8608</v>
      </c>
      <c r="E761" s="13" t="s">
        <v>517</v>
      </c>
      <c r="F761" s="681">
        <v>6.85</v>
      </c>
    </row>
    <row r="762" spans="2:6" ht="15.75" hidden="1" customHeight="1" x14ac:dyDescent="0.25">
      <c r="B762" s="13" t="s">
        <v>556</v>
      </c>
      <c r="C762" s="13" t="s">
        <v>15055</v>
      </c>
      <c r="D762" s="677" t="s">
        <v>15056</v>
      </c>
      <c r="E762" s="13" t="s">
        <v>823</v>
      </c>
      <c r="F762" s="681">
        <v>8.16</v>
      </c>
    </row>
    <row r="763" spans="2:6" ht="15.75" hidden="1" customHeight="1" x14ac:dyDescent="0.25">
      <c r="B763" s="13" t="s">
        <v>556</v>
      </c>
      <c r="C763" s="13" t="s">
        <v>13519</v>
      </c>
      <c r="D763" s="677" t="s">
        <v>15057</v>
      </c>
      <c r="E763" s="13" t="s">
        <v>823</v>
      </c>
      <c r="F763" s="681">
        <v>8.3699999999999992</v>
      </c>
    </row>
    <row r="764" spans="2:6" ht="15.75" hidden="1" customHeight="1" x14ac:dyDescent="0.25">
      <c r="B764" s="13" t="s">
        <v>556</v>
      </c>
      <c r="C764" s="13" t="s">
        <v>15058</v>
      </c>
      <c r="D764" s="12" t="s">
        <v>11293</v>
      </c>
      <c r="E764" s="13" t="s">
        <v>580</v>
      </c>
      <c r="F764" s="681">
        <v>4.01</v>
      </c>
    </row>
    <row r="765" spans="2:6" ht="15.75" hidden="1" customHeight="1" x14ac:dyDescent="0.25">
      <c r="B765" s="13" t="s">
        <v>556</v>
      </c>
      <c r="C765" s="13" t="s">
        <v>13518</v>
      </c>
      <c r="D765" s="677" t="s">
        <v>15059</v>
      </c>
      <c r="E765" s="13" t="s">
        <v>823</v>
      </c>
      <c r="F765" s="681">
        <v>8.24</v>
      </c>
    </row>
    <row r="766" spans="2:6" ht="15.75" hidden="1" customHeight="1" x14ac:dyDescent="0.25">
      <c r="B766" s="13" t="s">
        <v>14150</v>
      </c>
      <c r="C766" s="13" t="s">
        <v>15060</v>
      </c>
      <c r="D766" s="12" t="s">
        <v>10147</v>
      </c>
      <c r="E766" s="13" t="s">
        <v>580</v>
      </c>
      <c r="F766" s="681">
        <v>255401.3</v>
      </c>
    </row>
    <row r="767" spans="2:6" ht="15.75" hidden="1" customHeight="1" x14ac:dyDescent="0.25">
      <c r="B767" s="13" t="s">
        <v>556</v>
      </c>
      <c r="C767" s="13" t="s">
        <v>15061</v>
      </c>
      <c r="D767" s="12" t="s">
        <v>15062</v>
      </c>
      <c r="E767" s="13" t="s">
        <v>580</v>
      </c>
      <c r="F767" s="681">
        <v>1314.95</v>
      </c>
    </row>
    <row r="768" spans="2:6" ht="15.75" hidden="1" customHeight="1" x14ac:dyDescent="0.25">
      <c r="B768" s="13" t="s">
        <v>556</v>
      </c>
      <c r="C768" s="13" t="s">
        <v>15063</v>
      </c>
      <c r="D768" s="677" t="s">
        <v>15064</v>
      </c>
      <c r="E768" s="13" t="s">
        <v>823</v>
      </c>
      <c r="F768" s="681">
        <v>9.2799999999999994</v>
      </c>
    </row>
    <row r="769" spans="2:6" ht="15.75" hidden="1" customHeight="1" x14ac:dyDescent="0.25">
      <c r="B769" s="13" t="s">
        <v>556</v>
      </c>
      <c r="C769" s="13" t="s">
        <v>15065</v>
      </c>
      <c r="D769" s="12" t="s">
        <v>10360</v>
      </c>
      <c r="E769" s="13" t="s">
        <v>580</v>
      </c>
      <c r="F769" s="681">
        <v>49.46</v>
      </c>
    </row>
    <row r="770" spans="2:6" ht="15.75" hidden="1" customHeight="1" x14ac:dyDescent="0.25">
      <c r="B770" s="13" t="s">
        <v>556</v>
      </c>
      <c r="C770" s="13" t="s">
        <v>15066</v>
      </c>
      <c r="D770" s="12" t="s">
        <v>15067</v>
      </c>
      <c r="E770" s="13" t="s">
        <v>580</v>
      </c>
      <c r="F770" s="681">
        <v>1.63</v>
      </c>
    </row>
    <row r="771" spans="2:6" ht="15.75" hidden="1" customHeight="1" x14ac:dyDescent="0.25">
      <c r="B771" s="13" t="s">
        <v>556</v>
      </c>
      <c r="C771" s="13" t="s">
        <v>15068</v>
      </c>
      <c r="D771" s="677" t="s">
        <v>15069</v>
      </c>
      <c r="E771" s="13" t="s">
        <v>823</v>
      </c>
      <c r="F771" s="681">
        <v>9.59</v>
      </c>
    </row>
    <row r="772" spans="2:6" ht="15.75" hidden="1" customHeight="1" x14ac:dyDescent="0.25">
      <c r="B772" s="13" t="s">
        <v>556</v>
      </c>
      <c r="C772" s="13" t="s">
        <v>15070</v>
      </c>
      <c r="D772" s="12" t="s">
        <v>15071</v>
      </c>
      <c r="E772" s="13" t="s">
        <v>585</v>
      </c>
      <c r="F772" s="681">
        <v>20.71</v>
      </c>
    </row>
    <row r="773" spans="2:6" ht="15.75" hidden="1" customHeight="1" x14ac:dyDescent="0.25">
      <c r="B773" s="13" t="s">
        <v>556</v>
      </c>
      <c r="C773" s="13" t="s">
        <v>15072</v>
      </c>
      <c r="D773" s="677" t="s">
        <v>15073</v>
      </c>
      <c r="E773" s="13" t="s">
        <v>823</v>
      </c>
      <c r="F773" s="681">
        <v>9.42</v>
      </c>
    </row>
    <row r="774" spans="2:6" ht="15.75" hidden="1" customHeight="1" x14ac:dyDescent="0.25">
      <c r="B774" s="13" t="s">
        <v>556</v>
      </c>
      <c r="C774" s="13" t="s">
        <v>15074</v>
      </c>
      <c r="D774" s="677" t="s">
        <v>15075</v>
      </c>
      <c r="E774" s="13" t="s">
        <v>578</v>
      </c>
      <c r="F774" s="681">
        <v>38.97</v>
      </c>
    </row>
    <row r="775" spans="2:6" ht="15.75" hidden="1" customHeight="1" x14ac:dyDescent="0.25">
      <c r="B775" s="13" t="s">
        <v>556</v>
      </c>
      <c r="C775" s="13" t="s">
        <v>15076</v>
      </c>
      <c r="D775" s="12" t="s">
        <v>11279</v>
      </c>
      <c r="E775" s="13" t="s">
        <v>823</v>
      </c>
      <c r="F775" s="681">
        <v>263.95</v>
      </c>
    </row>
    <row r="776" spans="2:6" ht="15.75" hidden="1" customHeight="1" x14ac:dyDescent="0.25">
      <c r="B776" s="13" t="s">
        <v>556</v>
      </c>
      <c r="C776" s="13" t="s">
        <v>15077</v>
      </c>
      <c r="D776" s="12" t="s">
        <v>15078</v>
      </c>
      <c r="E776" s="13" t="s">
        <v>823</v>
      </c>
      <c r="F776" s="681">
        <v>39.07</v>
      </c>
    </row>
    <row r="777" spans="2:6" ht="15.75" hidden="1" customHeight="1" x14ac:dyDescent="0.25">
      <c r="B777" s="13" t="s">
        <v>556</v>
      </c>
      <c r="C777" s="13" t="s">
        <v>15079</v>
      </c>
      <c r="D777" s="12" t="s">
        <v>15080</v>
      </c>
      <c r="E777" s="13" t="s">
        <v>580</v>
      </c>
      <c r="F777" s="681">
        <v>314.06</v>
      </c>
    </row>
    <row r="778" spans="2:6" ht="15.75" hidden="1" customHeight="1" x14ac:dyDescent="0.25">
      <c r="B778" s="13" t="s">
        <v>556</v>
      </c>
      <c r="C778" s="13" t="s">
        <v>15081</v>
      </c>
      <c r="D778" s="12" t="s">
        <v>15082</v>
      </c>
      <c r="E778" s="13" t="s">
        <v>580</v>
      </c>
      <c r="F778" s="681">
        <v>440.12</v>
      </c>
    </row>
    <row r="779" spans="2:6" ht="15.75" hidden="1" customHeight="1" x14ac:dyDescent="0.25">
      <c r="B779" s="13" t="s">
        <v>556</v>
      </c>
      <c r="C779" s="13" t="s">
        <v>15083</v>
      </c>
      <c r="D779" s="12" t="s">
        <v>15084</v>
      </c>
      <c r="E779" s="13" t="s">
        <v>580</v>
      </c>
      <c r="F779" s="681">
        <v>649.58000000000004</v>
      </c>
    </row>
    <row r="780" spans="2:6" ht="15.75" hidden="1" customHeight="1" x14ac:dyDescent="0.25">
      <c r="B780" s="13" t="s">
        <v>556</v>
      </c>
      <c r="C780" s="13" t="s">
        <v>15085</v>
      </c>
      <c r="D780" s="12" t="s">
        <v>10137</v>
      </c>
      <c r="E780" s="13" t="s">
        <v>823</v>
      </c>
      <c r="F780" s="681">
        <v>1.62</v>
      </c>
    </row>
    <row r="781" spans="2:6" ht="15.75" hidden="1" customHeight="1" x14ac:dyDescent="0.25">
      <c r="B781" s="13" t="s">
        <v>556</v>
      </c>
      <c r="C781" s="13" t="s">
        <v>15086</v>
      </c>
      <c r="D781" s="677" t="s">
        <v>15087</v>
      </c>
      <c r="E781" s="13" t="s">
        <v>578</v>
      </c>
      <c r="F781" s="681">
        <v>45.05</v>
      </c>
    </row>
    <row r="782" spans="2:6" ht="15.75" hidden="1" customHeight="1" x14ac:dyDescent="0.25">
      <c r="B782" s="13" t="s">
        <v>556</v>
      </c>
      <c r="C782" s="13" t="s">
        <v>15088</v>
      </c>
      <c r="D782" s="677" t="s">
        <v>15089</v>
      </c>
      <c r="E782" s="13" t="s">
        <v>578</v>
      </c>
      <c r="F782" s="681">
        <v>43.39</v>
      </c>
    </row>
    <row r="783" spans="2:6" ht="15.75" hidden="1" customHeight="1" x14ac:dyDescent="0.25">
      <c r="B783" s="13" t="s">
        <v>556</v>
      </c>
      <c r="C783" s="13" t="s">
        <v>15090</v>
      </c>
      <c r="D783" s="12" t="s">
        <v>11622</v>
      </c>
      <c r="E783" s="13" t="s">
        <v>580</v>
      </c>
      <c r="F783" s="681">
        <v>59.9</v>
      </c>
    </row>
    <row r="784" spans="2:6" ht="15.75" hidden="1" customHeight="1" x14ac:dyDescent="0.25">
      <c r="B784" s="13" t="s">
        <v>556</v>
      </c>
      <c r="C784" s="13" t="s">
        <v>15091</v>
      </c>
      <c r="D784" s="12" t="s">
        <v>11637</v>
      </c>
      <c r="E784" s="13" t="s">
        <v>580</v>
      </c>
      <c r="F784" s="681">
        <v>70</v>
      </c>
    </row>
    <row r="785" spans="2:6" ht="15.75" hidden="1" customHeight="1" x14ac:dyDescent="0.25">
      <c r="B785" s="13" t="s">
        <v>556</v>
      </c>
      <c r="C785" s="13" t="s">
        <v>15092</v>
      </c>
      <c r="D785" s="12" t="s">
        <v>11626</v>
      </c>
      <c r="E785" s="13" t="s">
        <v>580</v>
      </c>
      <c r="F785" s="681">
        <v>78.010000000000005</v>
      </c>
    </row>
    <row r="786" spans="2:6" ht="15.75" hidden="1" customHeight="1" x14ac:dyDescent="0.25">
      <c r="B786" s="13" t="s">
        <v>14150</v>
      </c>
      <c r="C786" s="13" t="s">
        <v>15093</v>
      </c>
      <c r="D786" s="12" t="s">
        <v>10636</v>
      </c>
      <c r="E786" s="13" t="s">
        <v>580</v>
      </c>
      <c r="F786" s="681">
        <v>45343.199999999997</v>
      </c>
    </row>
    <row r="787" spans="2:6" ht="15.75" hidden="1" customHeight="1" x14ac:dyDescent="0.25">
      <c r="B787" s="13" t="s">
        <v>556</v>
      </c>
      <c r="C787" s="13" t="s">
        <v>15094</v>
      </c>
      <c r="D787" s="677" t="s">
        <v>9365</v>
      </c>
      <c r="E787" s="13" t="s">
        <v>578</v>
      </c>
      <c r="F787" s="681">
        <v>68.510000000000005</v>
      </c>
    </row>
    <row r="788" spans="2:6" ht="15.75" hidden="1" customHeight="1" x14ac:dyDescent="0.25">
      <c r="B788" s="13" t="s">
        <v>14150</v>
      </c>
      <c r="C788" s="13" t="s">
        <v>15095</v>
      </c>
      <c r="D788" s="12" t="s">
        <v>15096</v>
      </c>
      <c r="E788" s="13" t="s">
        <v>580</v>
      </c>
      <c r="F788" s="681">
        <v>9263</v>
      </c>
    </row>
    <row r="789" spans="2:6" ht="15.75" hidden="1" customHeight="1" x14ac:dyDescent="0.25">
      <c r="B789" s="13" t="s">
        <v>14150</v>
      </c>
      <c r="C789" s="13" t="s">
        <v>15097</v>
      </c>
      <c r="D789" s="12" t="s">
        <v>15098</v>
      </c>
      <c r="E789" s="13" t="s">
        <v>580</v>
      </c>
      <c r="F789" s="681">
        <v>15839.74</v>
      </c>
    </row>
    <row r="790" spans="2:6" ht="15.75" hidden="1" customHeight="1" x14ac:dyDescent="0.25">
      <c r="B790" s="13" t="s">
        <v>556</v>
      </c>
      <c r="C790" s="13" t="s">
        <v>15099</v>
      </c>
      <c r="D790" s="677" t="s">
        <v>9366</v>
      </c>
      <c r="E790" s="13" t="s">
        <v>578</v>
      </c>
      <c r="F790" s="681">
        <v>39.85</v>
      </c>
    </row>
    <row r="791" spans="2:6" ht="15.75" hidden="1" customHeight="1" x14ac:dyDescent="0.25">
      <c r="B791" s="13" t="s">
        <v>556</v>
      </c>
      <c r="C791" s="13" t="s">
        <v>15100</v>
      </c>
      <c r="D791" s="677" t="s">
        <v>9367</v>
      </c>
      <c r="E791" s="13" t="s">
        <v>578</v>
      </c>
      <c r="F791" s="681">
        <v>49.38</v>
      </c>
    </row>
    <row r="792" spans="2:6" ht="15.75" hidden="1" customHeight="1" x14ac:dyDescent="0.25">
      <c r="B792" s="13" t="s">
        <v>14150</v>
      </c>
      <c r="C792" s="13" t="s">
        <v>15101</v>
      </c>
      <c r="D792" s="12" t="s">
        <v>15102</v>
      </c>
      <c r="E792" s="13" t="s">
        <v>580</v>
      </c>
      <c r="F792" s="681">
        <v>4130.63</v>
      </c>
    </row>
    <row r="793" spans="2:6" ht="15.75" hidden="1" customHeight="1" x14ac:dyDescent="0.25">
      <c r="B793" s="13" t="s">
        <v>14150</v>
      </c>
      <c r="C793" s="13" t="s">
        <v>15103</v>
      </c>
      <c r="D793" s="12" t="s">
        <v>15104</v>
      </c>
      <c r="E793" s="13" t="s">
        <v>580</v>
      </c>
      <c r="F793" s="681">
        <v>1706074.82</v>
      </c>
    </row>
    <row r="794" spans="2:6" ht="15.75" hidden="1" customHeight="1" x14ac:dyDescent="0.25">
      <c r="B794" s="13" t="s">
        <v>556</v>
      </c>
      <c r="C794" s="13" t="s">
        <v>15105</v>
      </c>
      <c r="D794" s="12" t="s">
        <v>8755</v>
      </c>
      <c r="E794" s="13" t="s">
        <v>823</v>
      </c>
      <c r="F794" s="681">
        <v>3.17</v>
      </c>
    </row>
    <row r="795" spans="2:6" ht="15.75" hidden="1" customHeight="1" x14ac:dyDescent="0.25">
      <c r="B795" s="13" t="s">
        <v>556</v>
      </c>
      <c r="C795" s="13" t="s">
        <v>15106</v>
      </c>
      <c r="D795" s="12" t="s">
        <v>15107</v>
      </c>
      <c r="E795" s="13" t="s">
        <v>580</v>
      </c>
      <c r="F795" s="681">
        <v>132</v>
      </c>
    </row>
    <row r="796" spans="2:6" ht="15.75" hidden="1" customHeight="1" x14ac:dyDescent="0.25">
      <c r="B796" s="13" t="s">
        <v>14150</v>
      </c>
      <c r="C796" s="13" t="s">
        <v>15108</v>
      </c>
      <c r="D796" s="12" t="s">
        <v>10146</v>
      </c>
      <c r="E796" s="13" t="s">
        <v>580</v>
      </c>
      <c r="F796" s="681">
        <v>228300.39</v>
      </c>
    </row>
    <row r="797" spans="2:6" ht="15.75" hidden="1" customHeight="1" x14ac:dyDescent="0.25">
      <c r="B797" s="13" t="s">
        <v>556</v>
      </c>
      <c r="C797" s="13" t="s">
        <v>15109</v>
      </c>
      <c r="D797" s="677" t="s">
        <v>9371</v>
      </c>
      <c r="E797" s="13" t="s">
        <v>578</v>
      </c>
      <c r="F797" s="681">
        <v>32.950000000000003</v>
      </c>
    </row>
    <row r="798" spans="2:6" ht="15.75" hidden="1" customHeight="1" x14ac:dyDescent="0.25">
      <c r="B798" s="13" t="s">
        <v>556</v>
      </c>
      <c r="C798" s="13" t="s">
        <v>15110</v>
      </c>
      <c r="D798" s="677" t="s">
        <v>9372</v>
      </c>
      <c r="E798" s="13" t="s">
        <v>578</v>
      </c>
      <c r="F798" s="681">
        <v>40.46</v>
      </c>
    </row>
    <row r="799" spans="2:6" ht="15.75" hidden="1" customHeight="1" x14ac:dyDescent="0.25">
      <c r="B799" s="13" t="s">
        <v>556</v>
      </c>
      <c r="C799" s="13" t="s">
        <v>15111</v>
      </c>
      <c r="D799" s="12" t="s">
        <v>10657</v>
      </c>
      <c r="E799" s="13" t="s">
        <v>585</v>
      </c>
      <c r="F799" s="681">
        <v>3.92</v>
      </c>
    </row>
    <row r="800" spans="2:6" ht="15.75" hidden="1" customHeight="1" x14ac:dyDescent="0.25">
      <c r="B800" s="13" t="s">
        <v>556</v>
      </c>
      <c r="C800" s="13" t="s">
        <v>15112</v>
      </c>
      <c r="D800" s="12" t="s">
        <v>9403</v>
      </c>
      <c r="E800" s="13" t="s">
        <v>578</v>
      </c>
      <c r="F800" s="681">
        <v>36.39</v>
      </c>
    </row>
    <row r="801" spans="2:6" ht="15.75" hidden="1" customHeight="1" x14ac:dyDescent="0.25">
      <c r="B801" s="13" t="s">
        <v>14150</v>
      </c>
      <c r="C801" s="13" t="s">
        <v>15113</v>
      </c>
      <c r="D801" s="12" t="s">
        <v>15114</v>
      </c>
      <c r="E801" s="13" t="s">
        <v>580</v>
      </c>
      <c r="F801" s="681">
        <v>850643.67</v>
      </c>
    </row>
    <row r="802" spans="2:6" ht="15.75" hidden="1" customHeight="1" x14ac:dyDescent="0.25">
      <c r="B802" s="13" t="s">
        <v>14150</v>
      </c>
      <c r="C802" s="13" t="s">
        <v>15115</v>
      </c>
      <c r="D802" s="12" t="s">
        <v>15116</v>
      </c>
      <c r="E802" s="13" t="s">
        <v>580</v>
      </c>
      <c r="F802" s="681">
        <v>1831268.65</v>
      </c>
    </row>
    <row r="803" spans="2:6" ht="15.75" hidden="1" customHeight="1" x14ac:dyDescent="0.25">
      <c r="B803" s="13" t="s">
        <v>14150</v>
      </c>
      <c r="C803" s="13" t="s">
        <v>15117</v>
      </c>
      <c r="D803" s="12" t="s">
        <v>10934</v>
      </c>
      <c r="E803" s="13" t="s">
        <v>580</v>
      </c>
      <c r="F803" s="681">
        <v>97258.93</v>
      </c>
    </row>
    <row r="804" spans="2:6" ht="15.75" hidden="1" customHeight="1" x14ac:dyDescent="0.25">
      <c r="B804" s="13" t="s">
        <v>556</v>
      </c>
      <c r="C804" s="13" t="s">
        <v>15118</v>
      </c>
      <c r="D804" s="12" t="s">
        <v>9383</v>
      </c>
      <c r="E804" s="13" t="s">
        <v>580</v>
      </c>
      <c r="F804" s="681">
        <v>284.49</v>
      </c>
    </row>
    <row r="805" spans="2:6" ht="15.75" hidden="1" customHeight="1" x14ac:dyDescent="0.25">
      <c r="B805" s="13" t="s">
        <v>556</v>
      </c>
      <c r="C805" s="13" t="s">
        <v>15119</v>
      </c>
      <c r="D805" s="12" t="s">
        <v>9382</v>
      </c>
      <c r="E805" s="13" t="s">
        <v>580</v>
      </c>
      <c r="F805" s="681">
        <v>87.95</v>
      </c>
    </row>
    <row r="806" spans="2:6" ht="15.75" hidden="1" customHeight="1" x14ac:dyDescent="0.25">
      <c r="B806" s="13" t="s">
        <v>556</v>
      </c>
      <c r="C806" s="13" t="s">
        <v>15120</v>
      </c>
      <c r="D806" s="12" t="s">
        <v>9801</v>
      </c>
      <c r="E806" s="13" t="s">
        <v>580</v>
      </c>
      <c r="F806" s="681">
        <v>119.76</v>
      </c>
    </row>
    <row r="807" spans="2:6" ht="15.75" hidden="1" customHeight="1" x14ac:dyDescent="0.25">
      <c r="B807" s="13" t="s">
        <v>14150</v>
      </c>
      <c r="C807" s="13" t="s">
        <v>15121</v>
      </c>
      <c r="D807" s="12" t="s">
        <v>15122</v>
      </c>
      <c r="E807" s="13" t="s">
        <v>580</v>
      </c>
      <c r="F807" s="681">
        <v>68683.67</v>
      </c>
    </row>
    <row r="808" spans="2:6" ht="15.75" hidden="1" customHeight="1" x14ac:dyDescent="0.25">
      <c r="B808" s="13" t="s">
        <v>556</v>
      </c>
      <c r="C808" s="13" t="s">
        <v>15123</v>
      </c>
      <c r="D808" s="12" t="s">
        <v>10655</v>
      </c>
      <c r="E808" s="13" t="s">
        <v>580</v>
      </c>
      <c r="F808" s="681">
        <v>2232.5300000000002</v>
      </c>
    </row>
    <row r="809" spans="2:6" ht="15.75" hidden="1" customHeight="1" x14ac:dyDescent="0.25">
      <c r="B809" s="13" t="s">
        <v>556</v>
      </c>
      <c r="C809" s="13" t="s">
        <v>15124</v>
      </c>
      <c r="D809" s="12" t="s">
        <v>9385</v>
      </c>
      <c r="E809" s="13" t="s">
        <v>823</v>
      </c>
      <c r="F809" s="681">
        <v>16.27</v>
      </c>
    </row>
    <row r="810" spans="2:6" ht="15.75" hidden="1" customHeight="1" x14ac:dyDescent="0.25">
      <c r="B810" s="13" t="s">
        <v>556</v>
      </c>
      <c r="C810" s="13" t="s">
        <v>15125</v>
      </c>
      <c r="D810" s="12" t="s">
        <v>8683</v>
      </c>
      <c r="E810" s="13" t="s">
        <v>580</v>
      </c>
      <c r="F810" s="681">
        <v>2365.56</v>
      </c>
    </row>
    <row r="811" spans="2:6" ht="15.75" hidden="1" customHeight="1" x14ac:dyDescent="0.25">
      <c r="B811" s="13" t="s">
        <v>556</v>
      </c>
      <c r="C811" s="13" t="s">
        <v>15126</v>
      </c>
      <c r="D811" s="12" t="s">
        <v>9386</v>
      </c>
      <c r="E811" s="13" t="s">
        <v>823</v>
      </c>
      <c r="F811" s="681">
        <v>0.57999999999999996</v>
      </c>
    </row>
    <row r="812" spans="2:6" ht="15.75" hidden="1" customHeight="1" x14ac:dyDescent="0.25">
      <c r="B812" s="13" t="s">
        <v>556</v>
      </c>
      <c r="C812" s="13" t="s">
        <v>15127</v>
      </c>
      <c r="D812" s="12" t="s">
        <v>9384</v>
      </c>
      <c r="E812" s="13" t="s">
        <v>823</v>
      </c>
      <c r="F812" s="681">
        <v>3.88</v>
      </c>
    </row>
    <row r="813" spans="2:6" ht="15.75" hidden="1" customHeight="1" x14ac:dyDescent="0.25">
      <c r="B813" s="13" t="s">
        <v>14150</v>
      </c>
      <c r="C813" s="13" t="s">
        <v>15128</v>
      </c>
      <c r="D813" s="12" t="s">
        <v>15129</v>
      </c>
      <c r="E813" s="13" t="s">
        <v>580</v>
      </c>
      <c r="F813" s="681">
        <v>131655</v>
      </c>
    </row>
    <row r="814" spans="2:6" ht="15.75" hidden="1" customHeight="1" x14ac:dyDescent="0.25">
      <c r="B814" s="13" t="s">
        <v>556</v>
      </c>
      <c r="C814" s="13" t="s">
        <v>15130</v>
      </c>
      <c r="D814" s="12" t="s">
        <v>8745</v>
      </c>
      <c r="E814" s="13" t="s">
        <v>823</v>
      </c>
      <c r="F814" s="681">
        <v>0.8</v>
      </c>
    </row>
    <row r="815" spans="2:6" ht="15.75" hidden="1" customHeight="1" x14ac:dyDescent="0.25">
      <c r="B815" s="13" t="s">
        <v>14150</v>
      </c>
      <c r="C815" s="13" t="s">
        <v>15131</v>
      </c>
      <c r="D815" s="12" t="s">
        <v>15132</v>
      </c>
      <c r="E815" s="13" t="s">
        <v>580</v>
      </c>
      <c r="F815" s="681">
        <v>69009.83</v>
      </c>
    </row>
    <row r="816" spans="2:6" ht="15.75" hidden="1" customHeight="1" x14ac:dyDescent="0.25">
      <c r="B816" s="13" t="s">
        <v>14150</v>
      </c>
      <c r="C816" s="13" t="s">
        <v>15133</v>
      </c>
      <c r="D816" s="12" t="s">
        <v>15134</v>
      </c>
      <c r="E816" s="13" t="s">
        <v>580</v>
      </c>
      <c r="F816" s="681">
        <v>2469512.4500000002</v>
      </c>
    </row>
    <row r="817" spans="2:6" ht="15.75" hidden="1" customHeight="1" x14ac:dyDescent="0.25">
      <c r="B817" s="13" t="s">
        <v>14150</v>
      </c>
      <c r="C817" s="13" t="s">
        <v>15135</v>
      </c>
      <c r="D817" s="12" t="s">
        <v>15136</v>
      </c>
      <c r="E817" s="13" t="s">
        <v>580</v>
      </c>
      <c r="F817" s="681">
        <v>160434.78</v>
      </c>
    </row>
    <row r="818" spans="2:6" ht="15.75" hidden="1" customHeight="1" x14ac:dyDescent="0.25">
      <c r="B818" s="13" t="s">
        <v>556</v>
      </c>
      <c r="C818" s="13" t="s">
        <v>15137</v>
      </c>
      <c r="D818" s="12" t="s">
        <v>9718</v>
      </c>
      <c r="E818" s="13" t="s">
        <v>580</v>
      </c>
      <c r="F818" s="681">
        <v>755.25</v>
      </c>
    </row>
    <row r="819" spans="2:6" ht="15.75" hidden="1" customHeight="1" x14ac:dyDescent="0.25">
      <c r="B819" s="13" t="s">
        <v>14150</v>
      </c>
      <c r="C819" s="13" t="s">
        <v>15138</v>
      </c>
      <c r="D819" s="12" t="s">
        <v>8876</v>
      </c>
      <c r="E819" s="13" t="s">
        <v>580</v>
      </c>
      <c r="F819" s="681">
        <v>6129.15</v>
      </c>
    </row>
    <row r="820" spans="2:6" ht="15.75" hidden="1" customHeight="1" x14ac:dyDescent="0.25">
      <c r="B820" s="13" t="s">
        <v>14150</v>
      </c>
      <c r="C820" s="13" t="s">
        <v>15139</v>
      </c>
      <c r="D820" s="12" t="s">
        <v>15140</v>
      </c>
      <c r="E820" s="13" t="s">
        <v>580</v>
      </c>
      <c r="F820" s="681">
        <v>658491.12</v>
      </c>
    </row>
    <row r="821" spans="2:6" ht="15.75" hidden="1" customHeight="1" x14ac:dyDescent="0.25">
      <c r="B821" s="13" t="s">
        <v>14150</v>
      </c>
      <c r="C821" s="13" t="s">
        <v>15141</v>
      </c>
      <c r="D821" s="12" t="s">
        <v>15142</v>
      </c>
      <c r="E821" s="13" t="s">
        <v>580</v>
      </c>
      <c r="F821" s="681">
        <v>399604.75</v>
      </c>
    </row>
    <row r="822" spans="2:6" ht="15.75" hidden="1" customHeight="1" x14ac:dyDescent="0.25">
      <c r="B822" s="13" t="s">
        <v>14150</v>
      </c>
      <c r="C822" s="13" t="s">
        <v>15143</v>
      </c>
      <c r="D822" s="12" t="s">
        <v>15144</v>
      </c>
      <c r="E822" s="13" t="s">
        <v>580</v>
      </c>
      <c r="F822" s="681">
        <v>537335.18000000005</v>
      </c>
    </row>
    <row r="823" spans="2:6" ht="15.75" hidden="1" customHeight="1" x14ac:dyDescent="0.25">
      <c r="B823" s="13" t="s">
        <v>14150</v>
      </c>
      <c r="C823" s="13" t="s">
        <v>15145</v>
      </c>
      <c r="D823" s="12" t="s">
        <v>15146</v>
      </c>
      <c r="E823" s="13" t="s">
        <v>580</v>
      </c>
      <c r="F823" s="681">
        <v>3390.99</v>
      </c>
    </row>
    <row r="824" spans="2:6" ht="15.75" hidden="1" customHeight="1" x14ac:dyDescent="0.25">
      <c r="B824" s="13" t="s">
        <v>14150</v>
      </c>
      <c r="C824" s="13" t="s">
        <v>15147</v>
      </c>
      <c r="D824" s="12" t="s">
        <v>15148</v>
      </c>
      <c r="E824" s="13" t="s">
        <v>580</v>
      </c>
      <c r="F824" s="681">
        <v>7885.2</v>
      </c>
    </row>
    <row r="825" spans="2:6" ht="15.75" hidden="1" customHeight="1" x14ac:dyDescent="0.25">
      <c r="B825" s="13" t="s">
        <v>14150</v>
      </c>
      <c r="C825" s="13" t="s">
        <v>15149</v>
      </c>
      <c r="D825" s="12" t="s">
        <v>15150</v>
      </c>
      <c r="E825" s="13" t="s">
        <v>580</v>
      </c>
      <c r="F825" s="681">
        <v>705.57</v>
      </c>
    </row>
    <row r="826" spans="2:6" ht="15.75" hidden="1" customHeight="1" x14ac:dyDescent="0.25">
      <c r="B826" s="13" t="s">
        <v>14150</v>
      </c>
      <c r="C826" s="13" t="s">
        <v>15151</v>
      </c>
      <c r="D826" s="12" t="s">
        <v>15152</v>
      </c>
      <c r="E826" s="13" t="s">
        <v>580</v>
      </c>
      <c r="F826" s="681">
        <v>8646.06</v>
      </c>
    </row>
    <row r="827" spans="2:6" ht="15.75" hidden="1" customHeight="1" x14ac:dyDescent="0.25">
      <c r="B827" s="13" t="s">
        <v>556</v>
      </c>
      <c r="C827" s="13" t="s">
        <v>15153</v>
      </c>
      <c r="D827" s="12" t="s">
        <v>11636</v>
      </c>
      <c r="E827" s="13" t="s">
        <v>580</v>
      </c>
      <c r="F827" s="681">
        <v>78.81</v>
      </c>
    </row>
    <row r="828" spans="2:6" ht="15.75" hidden="1" customHeight="1" x14ac:dyDescent="0.25">
      <c r="B828" s="13" t="s">
        <v>556</v>
      </c>
      <c r="C828" s="13" t="s">
        <v>15154</v>
      </c>
      <c r="D828" s="12" t="s">
        <v>11634</v>
      </c>
      <c r="E828" s="13" t="s">
        <v>580</v>
      </c>
      <c r="F828" s="681">
        <v>60.55</v>
      </c>
    </row>
    <row r="829" spans="2:6" ht="15.75" hidden="1" customHeight="1" x14ac:dyDescent="0.25">
      <c r="B829" s="13" t="s">
        <v>556</v>
      </c>
      <c r="C829" s="13" t="s">
        <v>15155</v>
      </c>
      <c r="D829" s="12" t="s">
        <v>10182</v>
      </c>
      <c r="E829" s="13" t="s">
        <v>823</v>
      </c>
      <c r="F829" s="681">
        <v>18.170000000000002</v>
      </c>
    </row>
    <row r="830" spans="2:6" ht="15.75" hidden="1" customHeight="1" x14ac:dyDescent="0.25">
      <c r="B830" s="13" t="s">
        <v>556</v>
      </c>
      <c r="C830" s="13" t="s">
        <v>15156</v>
      </c>
      <c r="D830" s="12" t="s">
        <v>15157</v>
      </c>
      <c r="E830" s="13" t="s">
        <v>580</v>
      </c>
      <c r="F830" s="681">
        <v>7.15</v>
      </c>
    </row>
    <row r="831" spans="2:6" ht="15.75" hidden="1" customHeight="1" x14ac:dyDescent="0.25">
      <c r="B831" s="13" t="s">
        <v>556</v>
      </c>
      <c r="C831" s="13" t="s">
        <v>15158</v>
      </c>
      <c r="D831" s="12" t="s">
        <v>9434</v>
      </c>
      <c r="E831" s="13" t="s">
        <v>664</v>
      </c>
      <c r="F831" s="681">
        <v>396.57</v>
      </c>
    </row>
    <row r="832" spans="2:6" ht="15.75" hidden="1" customHeight="1" x14ac:dyDescent="0.25">
      <c r="B832" s="13" t="s">
        <v>556</v>
      </c>
      <c r="C832" s="13" t="s">
        <v>15159</v>
      </c>
      <c r="D832" s="12" t="s">
        <v>9437</v>
      </c>
      <c r="E832" s="13" t="s">
        <v>580</v>
      </c>
      <c r="F832" s="681">
        <v>13.65</v>
      </c>
    </row>
    <row r="833" spans="2:6" ht="15.75" hidden="1" customHeight="1" x14ac:dyDescent="0.25">
      <c r="B833" s="13" t="s">
        <v>556</v>
      </c>
      <c r="C833" s="13" t="s">
        <v>15160</v>
      </c>
      <c r="D833" s="12" t="s">
        <v>9438</v>
      </c>
      <c r="E833" s="13" t="s">
        <v>580</v>
      </c>
      <c r="F833" s="681">
        <v>13.86</v>
      </c>
    </row>
    <row r="834" spans="2:6" ht="15.75" hidden="1" customHeight="1" x14ac:dyDescent="0.25">
      <c r="B834" s="13" t="s">
        <v>556</v>
      </c>
      <c r="C834" s="13" t="s">
        <v>15161</v>
      </c>
      <c r="D834" s="12" t="s">
        <v>9436</v>
      </c>
      <c r="E834" s="13" t="s">
        <v>580</v>
      </c>
      <c r="F834" s="681">
        <v>17.75</v>
      </c>
    </row>
    <row r="835" spans="2:6" ht="15.75" hidden="1" customHeight="1" x14ac:dyDescent="0.25">
      <c r="B835" s="13" t="s">
        <v>556</v>
      </c>
      <c r="C835" s="13" t="s">
        <v>15162</v>
      </c>
      <c r="D835" s="12" t="s">
        <v>15163</v>
      </c>
      <c r="E835" s="13" t="s">
        <v>580</v>
      </c>
      <c r="F835" s="681">
        <v>592.6</v>
      </c>
    </row>
    <row r="836" spans="2:6" ht="15.75" hidden="1" customHeight="1" x14ac:dyDescent="0.25">
      <c r="B836" s="13" t="s">
        <v>556</v>
      </c>
      <c r="C836" s="13" t="s">
        <v>15164</v>
      </c>
      <c r="D836" s="12" t="s">
        <v>15165</v>
      </c>
      <c r="E836" s="13" t="s">
        <v>580</v>
      </c>
      <c r="F836" s="681">
        <v>16.420000000000002</v>
      </c>
    </row>
    <row r="837" spans="2:6" ht="15.75" hidden="1" customHeight="1" x14ac:dyDescent="0.25">
      <c r="B837" s="13" t="s">
        <v>556</v>
      </c>
      <c r="C837" s="13" t="s">
        <v>15166</v>
      </c>
      <c r="D837" s="12" t="s">
        <v>15167</v>
      </c>
      <c r="E837" s="13" t="s">
        <v>585</v>
      </c>
      <c r="F837" s="681">
        <v>203.57</v>
      </c>
    </row>
    <row r="838" spans="2:6" ht="15.75" hidden="1" customHeight="1" x14ac:dyDescent="0.25">
      <c r="B838" s="13" t="s">
        <v>556</v>
      </c>
      <c r="C838" s="13" t="s">
        <v>15168</v>
      </c>
      <c r="D838" s="12" t="s">
        <v>11339</v>
      </c>
      <c r="E838" s="13" t="s">
        <v>580</v>
      </c>
      <c r="F838" s="681">
        <v>241.99</v>
      </c>
    </row>
    <row r="839" spans="2:6" ht="15.75" hidden="1" customHeight="1" x14ac:dyDescent="0.25">
      <c r="B839" s="13" t="s">
        <v>556</v>
      </c>
      <c r="C839" s="13" t="s">
        <v>15169</v>
      </c>
      <c r="D839" s="12" t="s">
        <v>15170</v>
      </c>
      <c r="E839" s="13" t="s">
        <v>580</v>
      </c>
      <c r="F839" s="681">
        <v>13.61</v>
      </c>
    </row>
    <row r="840" spans="2:6" ht="15.75" hidden="1" customHeight="1" x14ac:dyDescent="0.25">
      <c r="B840" s="13" t="s">
        <v>556</v>
      </c>
      <c r="C840" s="13" t="s">
        <v>15171</v>
      </c>
      <c r="D840" s="12" t="s">
        <v>15172</v>
      </c>
      <c r="E840" s="13" t="s">
        <v>580</v>
      </c>
      <c r="F840" s="681">
        <v>16.059999999999999</v>
      </c>
    </row>
    <row r="841" spans="2:6" ht="15.75" hidden="1" customHeight="1" x14ac:dyDescent="0.25">
      <c r="B841" s="13" t="s">
        <v>556</v>
      </c>
      <c r="C841" s="13" t="s">
        <v>15173</v>
      </c>
      <c r="D841" s="12" t="s">
        <v>15174</v>
      </c>
      <c r="E841" s="13" t="s">
        <v>580</v>
      </c>
      <c r="F841" s="681">
        <v>10.87</v>
      </c>
    </row>
    <row r="842" spans="2:6" ht="15.75" hidden="1" customHeight="1" x14ac:dyDescent="0.25">
      <c r="B842" s="13" t="s">
        <v>556</v>
      </c>
      <c r="C842" s="13" t="s">
        <v>15175</v>
      </c>
      <c r="D842" s="12" t="s">
        <v>15176</v>
      </c>
      <c r="E842" s="13" t="s">
        <v>10852</v>
      </c>
      <c r="F842" s="681">
        <v>75.930000000000007</v>
      </c>
    </row>
    <row r="843" spans="2:6" ht="15.75" hidden="1" customHeight="1" x14ac:dyDescent="0.25">
      <c r="B843" s="13" t="s">
        <v>556</v>
      </c>
      <c r="C843" s="13" t="s">
        <v>15177</v>
      </c>
      <c r="D843" s="12" t="s">
        <v>15178</v>
      </c>
      <c r="E843" s="13" t="s">
        <v>10852</v>
      </c>
      <c r="F843" s="681">
        <v>59.48</v>
      </c>
    </row>
    <row r="844" spans="2:6" ht="15.75" hidden="1" customHeight="1" x14ac:dyDescent="0.25">
      <c r="B844" s="13" t="s">
        <v>556</v>
      </c>
      <c r="C844" s="13" t="s">
        <v>15179</v>
      </c>
      <c r="D844" s="12" t="s">
        <v>15180</v>
      </c>
      <c r="E844" s="13" t="s">
        <v>580</v>
      </c>
      <c r="F844" s="681">
        <v>1.01</v>
      </c>
    </row>
    <row r="845" spans="2:6" ht="15.75" hidden="1" customHeight="1" x14ac:dyDescent="0.25">
      <c r="B845" s="13" t="s">
        <v>556</v>
      </c>
      <c r="C845" s="13" t="s">
        <v>15181</v>
      </c>
      <c r="D845" s="12" t="s">
        <v>15182</v>
      </c>
      <c r="E845" s="13" t="s">
        <v>10852</v>
      </c>
      <c r="F845" s="681">
        <v>211.67</v>
      </c>
    </row>
    <row r="846" spans="2:6" ht="15.75" hidden="1" customHeight="1" x14ac:dyDescent="0.25">
      <c r="B846" s="13" t="s">
        <v>556</v>
      </c>
      <c r="C846" s="13" t="s">
        <v>15183</v>
      </c>
      <c r="D846" s="12" t="s">
        <v>15184</v>
      </c>
      <c r="E846" s="13" t="s">
        <v>580</v>
      </c>
      <c r="F846" s="681">
        <v>54.57</v>
      </c>
    </row>
    <row r="847" spans="2:6" ht="15.75" hidden="1" customHeight="1" x14ac:dyDescent="0.25">
      <c r="B847" s="13" t="s">
        <v>556</v>
      </c>
      <c r="C847" s="13" t="s">
        <v>15185</v>
      </c>
      <c r="D847" s="12" t="s">
        <v>15186</v>
      </c>
      <c r="E847" s="13" t="s">
        <v>580</v>
      </c>
      <c r="F847" s="681">
        <v>47.36</v>
      </c>
    </row>
    <row r="848" spans="2:6" ht="15.75" hidden="1" customHeight="1" x14ac:dyDescent="0.25">
      <c r="B848" s="13" t="s">
        <v>556</v>
      </c>
      <c r="C848" s="13" t="s">
        <v>12820</v>
      </c>
      <c r="D848" s="12" t="s">
        <v>15187</v>
      </c>
      <c r="E848" s="13" t="s">
        <v>580</v>
      </c>
      <c r="F848" s="681">
        <v>61.69</v>
      </c>
    </row>
    <row r="849" spans="2:6" ht="15.75" hidden="1" customHeight="1" x14ac:dyDescent="0.25">
      <c r="B849" s="13" t="s">
        <v>556</v>
      </c>
      <c r="C849" s="13" t="s">
        <v>15188</v>
      </c>
      <c r="D849" s="12" t="s">
        <v>15189</v>
      </c>
      <c r="E849" s="13" t="s">
        <v>580</v>
      </c>
      <c r="F849" s="681">
        <v>165.76</v>
      </c>
    </row>
    <row r="850" spans="2:6" ht="15.75" hidden="1" customHeight="1" x14ac:dyDescent="0.25">
      <c r="B850" s="13" t="s">
        <v>556</v>
      </c>
      <c r="C850" s="13" t="s">
        <v>12819</v>
      </c>
      <c r="D850" s="12" t="s">
        <v>15190</v>
      </c>
      <c r="E850" s="13" t="s">
        <v>580</v>
      </c>
      <c r="F850" s="681">
        <v>1.41</v>
      </c>
    </row>
    <row r="851" spans="2:6" ht="15.75" hidden="1" customHeight="1" x14ac:dyDescent="0.25">
      <c r="B851" s="13" t="s">
        <v>556</v>
      </c>
      <c r="C851" s="13" t="s">
        <v>15191</v>
      </c>
      <c r="D851" s="12" t="s">
        <v>15192</v>
      </c>
      <c r="E851" s="13" t="s">
        <v>580</v>
      </c>
      <c r="F851" s="681">
        <v>1656.88</v>
      </c>
    </row>
    <row r="852" spans="2:6" ht="15.75" hidden="1" customHeight="1" x14ac:dyDescent="0.25">
      <c r="B852" s="13" t="s">
        <v>556</v>
      </c>
      <c r="C852" s="13" t="s">
        <v>15193</v>
      </c>
      <c r="D852" s="12" t="s">
        <v>15194</v>
      </c>
      <c r="E852" s="13" t="s">
        <v>580</v>
      </c>
      <c r="F852" s="681">
        <v>1950.99</v>
      </c>
    </row>
    <row r="853" spans="2:6" ht="15.75" hidden="1" customHeight="1" x14ac:dyDescent="0.25">
      <c r="B853" s="13" t="s">
        <v>556</v>
      </c>
      <c r="C853" s="13" t="s">
        <v>15195</v>
      </c>
      <c r="D853" s="12" t="s">
        <v>15196</v>
      </c>
      <c r="E853" s="13" t="s">
        <v>580</v>
      </c>
      <c r="F853" s="681">
        <v>1716.57</v>
      </c>
    </row>
    <row r="854" spans="2:6" ht="15.75" hidden="1" customHeight="1" x14ac:dyDescent="0.25">
      <c r="B854" s="13" t="s">
        <v>556</v>
      </c>
      <c r="C854" s="13" t="s">
        <v>15197</v>
      </c>
      <c r="D854" s="12" t="s">
        <v>15198</v>
      </c>
      <c r="E854" s="13" t="s">
        <v>580</v>
      </c>
      <c r="F854" s="681">
        <v>1734.43</v>
      </c>
    </row>
    <row r="855" spans="2:6" ht="15.75" hidden="1" customHeight="1" x14ac:dyDescent="0.25">
      <c r="B855" s="13" t="s">
        <v>556</v>
      </c>
      <c r="C855" s="13" t="s">
        <v>15199</v>
      </c>
      <c r="D855" s="12" t="s">
        <v>15200</v>
      </c>
      <c r="E855" s="13" t="s">
        <v>580</v>
      </c>
      <c r="F855" s="681">
        <v>1251.97</v>
      </c>
    </row>
    <row r="856" spans="2:6" ht="15.75" hidden="1" customHeight="1" x14ac:dyDescent="0.25">
      <c r="B856" s="13" t="s">
        <v>14150</v>
      </c>
      <c r="C856" s="13" t="s">
        <v>15201</v>
      </c>
      <c r="D856" s="12" t="s">
        <v>8692</v>
      </c>
      <c r="E856" s="13" t="s">
        <v>580</v>
      </c>
      <c r="F856" s="681">
        <v>13454.13</v>
      </c>
    </row>
    <row r="857" spans="2:6" ht="15.75" hidden="1" customHeight="1" x14ac:dyDescent="0.25">
      <c r="B857" s="13" t="s">
        <v>14150</v>
      </c>
      <c r="C857" s="13" t="s">
        <v>15202</v>
      </c>
      <c r="D857" s="12" t="s">
        <v>8691</v>
      </c>
      <c r="E857" s="13" t="s">
        <v>580</v>
      </c>
      <c r="F857" s="681">
        <v>10386.17</v>
      </c>
    </row>
    <row r="858" spans="2:6" ht="15.75" hidden="1" customHeight="1" x14ac:dyDescent="0.25">
      <c r="B858" s="13" t="s">
        <v>556</v>
      </c>
      <c r="C858" s="13" t="s">
        <v>15203</v>
      </c>
      <c r="D858" s="12" t="s">
        <v>15204</v>
      </c>
      <c r="E858" s="13" t="s">
        <v>580</v>
      </c>
      <c r="F858" s="681">
        <v>11.11</v>
      </c>
    </row>
    <row r="859" spans="2:6" ht="15.75" hidden="1" customHeight="1" x14ac:dyDescent="0.25">
      <c r="B859" s="13" t="s">
        <v>556</v>
      </c>
      <c r="C859" s="13" t="s">
        <v>15205</v>
      </c>
      <c r="D859" s="12" t="s">
        <v>11252</v>
      </c>
      <c r="E859" s="13" t="s">
        <v>11253</v>
      </c>
      <c r="F859" s="681">
        <v>33.14</v>
      </c>
    </row>
    <row r="860" spans="2:6" ht="15.75" hidden="1" customHeight="1" x14ac:dyDescent="0.25">
      <c r="B860" s="13" t="s">
        <v>556</v>
      </c>
      <c r="C860" s="13" t="s">
        <v>15206</v>
      </c>
      <c r="D860" s="12" t="s">
        <v>15207</v>
      </c>
      <c r="E860" s="13" t="s">
        <v>580</v>
      </c>
      <c r="F860" s="681">
        <v>9.1999999999999993</v>
      </c>
    </row>
    <row r="861" spans="2:6" ht="15.75" hidden="1" customHeight="1" x14ac:dyDescent="0.25">
      <c r="B861" s="13" t="s">
        <v>556</v>
      </c>
      <c r="C861" s="13" t="s">
        <v>15208</v>
      </c>
      <c r="D861" s="12" t="s">
        <v>9585</v>
      </c>
      <c r="E861" s="13" t="s">
        <v>580</v>
      </c>
      <c r="F861" s="681">
        <v>49.66</v>
      </c>
    </row>
    <row r="862" spans="2:6" ht="15.75" hidden="1" customHeight="1" x14ac:dyDescent="0.25">
      <c r="B862" s="13" t="s">
        <v>14150</v>
      </c>
      <c r="C862" s="13" t="s">
        <v>15209</v>
      </c>
      <c r="D862" s="12" t="s">
        <v>10791</v>
      </c>
      <c r="E862" s="13" t="s">
        <v>580</v>
      </c>
      <c r="F862" s="681">
        <v>612686.64</v>
      </c>
    </row>
    <row r="863" spans="2:6" ht="15.75" hidden="1" customHeight="1" x14ac:dyDescent="0.25">
      <c r="B863" s="13" t="s">
        <v>15210</v>
      </c>
      <c r="C863" s="13" t="s">
        <v>15211</v>
      </c>
      <c r="D863" s="12" t="s">
        <v>9880</v>
      </c>
      <c r="E863" s="13" t="s">
        <v>9879</v>
      </c>
      <c r="F863" s="681">
        <v>0.8</v>
      </c>
    </row>
    <row r="864" spans="2:6" ht="15.75" hidden="1" customHeight="1" x14ac:dyDescent="0.25">
      <c r="B864" s="13" t="s">
        <v>14150</v>
      </c>
      <c r="C864" s="13" t="s">
        <v>15212</v>
      </c>
      <c r="D864" s="12" t="s">
        <v>10715</v>
      </c>
      <c r="E864" s="13" t="s">
        <v>580</v>
      </c>
      <c r="F864" s="681">
        <v>3145.99</v>
      </c>
    </row>
    <row r="865" spans="2:6" ht="15.75" hidden="1" customHeight="1" x14ac:dyDescent="0.25">
      <c r="B865" s="13" t="s">
        <v>14150</v>
      </c>
      <c r="C865" s="13" t="s">
        <v>15213</v>
      </c>
      <c r="D865" s="12" t="s">
        <v>10156</v>
      </c>
      <c r="E865" s="13" t="s">
        <v>580</v>
      </c>
      <c r="F865" s="681">
        <v>133914</v>
      </c>
    </row>
    <row r="866" spans="2:6" ht="15.75" hidden="1" customHeight="1" x14ac:dyDescent="0.25">
      <c r="B866" s="13" t="s">
        <v>556</v>
      </c>
      <c r="C866" s="13" t="s">
        <v>15214</v>
      </c>
      <c r="D866" s="12" t="s">
        <v>15215</v>
      </c>
      <c r="E866" s="13" t="s">
        <v>580</v>
      </c>
      <c r="F866" s="681">
        <v>20.68</v>
      </c>
    </row>
    <row r="867" spans="2:6" ht="15.75" hidden="1" customHeight="1" x14ac:dyDescent="0.25">
      <c r="B867" s="13" t="s">
        <v>14150</v>
      </c>
      <c r="C867" s="13" t="s">
        <v>15216</v>
      </c>
      <c r="D867" s="12" t="s">
        <v>15217</v>
      </c>
      <c r="E867" s="13" t="s">
        <v>580</v>
      </c>
      <c r="F867" s="681">
        <v>147034.85999999999</v>
      </c>
    </row>
    <row r="868" spans="2:6" ht="15.75" hidden="1" customHeight="1" x14ac:dyDescent="0.25">
      <c r="B868" s="13" t="s">
        <v>14150</v>
      </c>
      <c r="C868" s="13" t="s">
        <v>15218</v>
      </c>
      <c r="D868" s="12" t="s">
        <v>15219</v>
      </c>
      <c r="E868" s="13" t="s">
        <v>580</v>
      </c>
      <c r="F868" s="681">
        <v>10731.19</v>
      </c>
    </row>
    <row r="869" spans="2:6" ht="15.75" hidden="1" customHeight="1" x14ac:dyDescent="0.25">
      <c r="B869" s="13" t="s">
        <v>556</v>
      </c>
      <c r="C869" s="13" t="s">
        <v>15220</v>
      </c>
      <c r="D869" s="12" t="s">
        <v>11006</v>
      </c>
      <c r="E869" s="13" t="s">
        <v>585</v>
      </c>
      <c r="F869" s="681">
        <v>4.28</v>
      </c>
    </row>
    <row r="870" spans="2:6" ht="15.75" hidden="1" customHeight="1" x14ac:dyDescent="0.25">
      <c r="B870" s="13" t="s">
        <v>14150</v>
      </c>
      <c r="C870" s="13" t="s">
        <v>15221</v>
      </c>
      <c r="D870" s="12" t="s">
        <v>15222</v>
      </c>
      <c r="E870" s="13" t="s">
        <v>580</v>
      </c>
      <c r="F870" s="681">
        <v>878998.56</v>
      </c>
    </row>
    <row r="871" spans="2:6" ht="15.75" hidden="1" customHeight="1" x14ac:dyDescent="0.25">
      <c r="B871" s="13" t="s">
        <v>14150</v>
      </c>
      <c r="C871" s="13" t="s">
        <v>15223</v>
      </c>
      <c r="D871" s="12" t="s">
        <v>15224</v>
      </c>
      <c r="E871" s="13" t="s">
        <v>580</v>
      </c>
      <c r="F871" s="681">
        <v>1051962.75</v>
      </c>
    </row>
    <row r="872" spans="2:6" ht="15.75" hidden="1" customHeight="1" x14ac:dyDescent="0.25">
      <c r="B872" s="13" t="s">
        <v>14150</v>
      </c>
      <c r="C872" s="13" t="s">
        <v>15225</v>
      </c>
      <c r="D872" s="12" t="s">
        <v>15226</v>
      </c>
      <c r="E872" s="13" t="s">
        <v>580</v>
      </c>
      <c r="F872" s="681">
        <v>659269.78</v>
      </c>
    </row>
    <row r="873" spans="2:6" ht="15.75" hidden="1" customHeight="1" x14ac:dyDescent="0.25">
      <c r="B873" s="13" t="s">
        <v>14150</v>
      </c>
      <c r="C873" s="13" t="s">
        <v>15227</v>
      </c>
      <c r="D873" s="12" t="s">
        <v>9921</v>
      </c>
      <c r="E873" s="13" t="s">
        <v>580</v>
      </c>
      <c r="F873" s="681">
        <v>961801.77</v>
      </c>
    </row>
    <row r="874" spans="2:6" ht="15.75" hidden="1" customHeight="1" x14ac:dyDescent="0.25">
      <c r="B874" s="13" t="s">
        <v>14150</v>
      </c>
      <c r="C874" s="13" t="s">
        <v>15228</v>
      </c>
      <c r="D874" s="12" t="s">
        <v>10637</v>
      </c>
      <c r="E874" s="13" t="s">
        <v>580</v>
      </c>
      <c r="F874" s="681">
        <v>25359.3</v>
      </c>
    </row>
    <row r="875" spans="2:6" ht="15.75" hidden="1" customHeight="1" x14ac:dyDescent="0.25">
      <c r="B875" s="13" t="s">
        <v>14150</v>
      </c>
      <c r="C875" s="13" t="s">
        <v>15229</v>
      </c>
      <c r="D875" s="12" t="s">
        <v>10632</v>
      </c>
      <c r="E875" s="13" t="s">
        <v>580</v>
      </c>
      <c r="F875" s="681">
        <v>20151.11</v>
      </c>
    </row>
    <row r="876" spans="2:6" ht="15.75" hidden="1" customHeight="1" x14ac:dyDescent="0.25">
      <c r="B876" s="13" t="s">
        <v>14150</v>
      </c>
      <c r="C876" s="13" t="s">
        <v>15230</v>
      </c>
      <c r="D876" s="12" t="s">
        <v>15231</v>
      </c>
      <c r="E876" s="13" t="s">
        <v>580</v>
      </c>
      <c r="F876" s="681">
        <v>28889.34</v>
      </c>
    </row>
    <row r="877" spans="2:6" ht="15.75" hidden="1" customHeight="1" x14ac:dyDescent="0.25">
      <c r="B877" s="13" t="s">
        <v>14150</v>
      </c>
      <c r="C877" s="13" t="s">
        <v>15232</v>
      </c>
      <c r="D877" s="12" t="s">
        <v>15233</v>
      </c>
      <c r="E877" s="13" t="s">
        <v>580</v>
      </c>
      <c r="F877" s="681">
        <v>286729.46999999997</v>
      </c>
    </row>
    <row r="878" spans="2:6" ht="15.75" hidden="1" customHeight="1" x14ac:dyDescent="0.25">
      <c r="B878" s="13" t="s">
        <v>556</v>
      </c>
      <c r="C878" s="13" t="s">
        <v>15234</v>
      </c>
      <c r="D878" s="12" t="s">
        <v>11292</v>
      </c>
      <c r="E878" s="13" t="s">
        <v>580</v>
      </c>
      <c r="F878" s="681">
        <v>6.83</v>
      </c>
    </row>
    <row r="879" spans="2:6" ht="15.75" hidden="1" customHeight="1" x14ac:dyDescent="0.25">
      <c r="B879" s="13" t="s">
        <v>14150</v>
      </c>
      <c r="C879" s="13" t="s">
        <v>15235</v>
      </c>
      <c r="D879" s="12" t="s">
        <v>15236</v>
      </c>
      <c r="E879" s="13" t="s">
        <v>580</v>
      </c>
      <c r="F879" s="681">
        <v>5012668.51</v>
      </c>
    </row>
    <row r="880" spans="2:6" ht="15.75" hidden="1" customHeight="1" x14ac:dyDescent="0.25">
      <c r="B880" s="13" t="s">
        <v>14150</v>
      </c>
      <c r="C880" s="13" t="s">
        <v>15237</v>
      </c>
      <c r="D880" s="12" t="s">
        <v>15238</v>
      </c>
      <c r="E880" s="13" t="s">
        <v>580</v>
      </c>
      <c r="F880" s="681">
        <v>5768742.0999999996</v>
      </c>
    </row>
    <row r="881" spans="2:6" ht="15.75" hidden="1" customHeight="1" x14ac:dyDescent="0.25">
      <c r="B881" s="13" t="s">
        <v>556</v>
      </c>
      <c r="C881" s="13" t="s">
        <v>15239</v>
      </c>
      <c r="D881" s="12" t="s">
        <v>11069</v>
      </c>
      <c r="E881" s="13" t="s">
        <v>585</v>
      </c>
      <c r="F881" s="681">
        <v>103.13</v>
      </c>
    </row>
    <row r="882" spans="2:6" ht="15.75" hidden="1" customHeight="1" x14ac:dyDescent="0.25">
      <c r="B882" s="13" t="s">
        <v>14150</v>
      </c>
      <c r="C882" s="13" t="s">
        <v>15240</v>
      </c>
      <c r="D882" s="12" t="s">
        <v>15241</v>
      </c>
      <c r="E882" s="13" t="s">
        <v>580</v>
      </c>
      <c r="F882" s="681">
        <v>3370.92</v>
      </c>
    </row>
    <row r="883" spans="2:6" ht="15.75" hidden="1" customHeight="1" x14ac:dyDescent="0.25">
      <c r="B883" s="13" t="s">
        <v>14150</v>
      </c>
      <c r="C883" s="13" t="s">
        <v>15242</v>
      </c>
      <c r="D883" s="12" t="s">
        <v>11260</v>
      </c>
      <c r="E883" s="13" t="s">
        <v>580</v>
      </c>
      <c r="F883" s="681">
        <v>1294.06</v>
      </c>
    </row>
    <row r="884" spans="2:6" ht="15.75" hidden="1" customHeight="1" x14ac:dyDescent="0.25">
      <c r="B884" s="13" t="s">
        <v>14150</v>
      </c>
      <c r="C884" s="13" t="s">
        <v>15243</v>
      </c>
      <c r="D884" s="12" t="s">
        <v>10625</v>
      </c>
      <c r="E884" s="13" t="s">
        <v>580</v>
      </c>
      <c r="F884" s="681">
        <v>15154.44</v>
      </c>
    </row>
    <row r="885" spans="2:6" ht="15.75" hidden="1" customHeight="1" x14ac:dyDescent="0.25">
      <c r="B885" s="13" t="s">
        <v>14150</v>
      </c>
      <c r="C885" s="13" t="s">
        <v>15244</v>
      </c>
      <c r="D885" s="12" t="s">
        <v>15245</v>
      </c>
      <c r="E885" s="13" t="s">
        <v>580</v>
      </c>
      <c r="F885" s="681">
        <v>948528.61</v>
      </c>
    </row>
    <row r="886" spans="2:6" ht="15.75" hidden="1" customHeight="1" x14ac:dyDescent="0.25">
      <c r="B886" s="13" t="s">
        <v>556</v>
      </c>
      <c r="C886" s="13" t="s">
        <v>15246</v>
      </c>
      <c r="D886" s="12" t="s">
        <v>10183</v>
      </c>
      <c r="E886" s="13" t="s">
        <v>517</v>
      </c>
      <c r="F886" s="681">
        <v>26.81</v>
      </c>
    </row>
    <row r="887" spans="2:6" ht="15.75" hidden="1" customHeight="1" x14ac:dyDescent="0.25">
      <c r="B887" s="13" t="s">
        <v>556</v>
      </c>
      <c r="C887" s="13" t="s">
        <v>15247</v>
      </c>
      <c r="D887" s="12" t="s">
        <v>9411</v>
      </c>
      <c r="E887" s="13" t="s">
        <v>8106</v>
      </c>
      <c r="F887" s="681">
        <v>510</v>
      </c>
    </row>
    <row r="888" spans="2:6" ht="15.75" hidden="1" customHeight="1" x14ac:dyDescent="0.25">
      <c r="B888" s="13" t="s">
        <v>556</v>
      </c>
      <c r="C888" s="13" t="s">
        <v>15248</v>
      </c>
      <c r="D888" s="12" t="s">
        <v>9435</v>
      </c>
      <c r="E888" s="13" t="s">
        <v>664</v>
      </c>
      <c r="F888" s="681">
        <v>403.05</v>
      </c>
    </row>
    <row r="889" spans="2:6" ht="15.75" hidden="1" customHeight="1" x14ac:dyDescent="0.25">
      <c r="B889" s="13" t="s">
        <v>556</v>
      </c>
      <c r="C889" s="13" t="s">
        <v>15249</v>
      </c>
      <c r="D889" s="12" t="s">
        <v>9413</v>
      </c>
      <c r="E889" s="13" t="s">
        <v>664</v>
      </c>
      <c r="F889" s="681">
        <v>453.43</v>
      </c>
    </row>
    <row r="890" spans="2:6" ht="15.75" hidden="1" customHeight="1" x14ac:dyDescent="0.25">
      <c r="B890" s="13" t="s">
        <v>556</v>
      </c>
      <c r="C890" s="13" t="s">
        <v>15250</v>
      </c>
      <c r="D890" s="12" t="s">
        <v>9422</v>
      </c>
      <c r="E890" s="13" t="s">
        <v>664</v>
      </c>
      <c r="F890" s="681">
        <v>482.21</v>
      </c>
    </row>
    <row r="891" spans="2:6" ht="15.75" hidden="1" customHeight="1" x14ac:dyDescent="0.25">
      <c r="B891" s="13" t="s">
        <v>556</v>
      </c>
      <c r="C891" s="13" t="s">
        <v>15251</v>
      </c>
      <c r="D891" s="12" t="s">
        <v>9418</v>
      </c>
      <c r="E891" s="13" t="s">
        <v>664</v>
      </c>
      <c r="F891" s="681">
        <v>467.82</v>
      </c>
    </row>
    <row r="892" spans="2:6" ht="15.75" hidden="1" customHeight="1" x14ac:dyDescent="0.25">
      <c r="B892" s="13" t="s">
        <v>556</v>
      </c>
      <c r="C892" s="13" t="s">
        <v>15252</v>
      </c>
      <c r="D892" s="12" t="s">
        <v>11210</v>
      </c>
      <c r="E892" s="13" t="s">
        <v>517</v>
      </c>
      <c r="F892" s="681">
        <v>93.2</v>
      </c>
    </row>
    <row r="893" spans="2:6" ht="15.75" hidden="1" customHeight="1" x14ac:dyDescent="0.25">
      <c r="B893" s="13" t="s">
        <v>556</v>
      </c>
      <c r="C893" s="13" t="s">
        <v>15253</v>
      </c>
      <c r="D893" s="12" t="s">
        <v>11547</v>
      </c>
      <c r="E893" s="13" t="s">
        <v>580</v>
      </c>
      <c r="F893" s="681">
        <v>5.55</v>
      </c>
    </row>
    <row r="894" spans="2:6" ht="15.75" hidden="1" customHeight="1" x14ac:dyDescent="0.25">
      <c r="B894" s="13" t="s">
        <v>556</v>
      </c>
      <c r="C894" s="13" t="s">
        <v>15254</v>
      </c>
      <c r="D894" s="12" t="s">
        <v>9533</v>
      </c>
      <c r="E894" s="13" t="s">
        <v>580</v>
      </c>
      <c r="F894" s="681">
        <v>7.81</v>
      </c>
    </row>
    <row r="895" spans="2:6" ht="15.75" hidden="1" customHeight="1" x14ac:dyDescent="0.25">
      <c r="B895" s="13" t="s">
        <v>556</v>
      </c>
      <c r="C895" s="13" t="s">
        <v>15255</v>
      </c>
      <c r="D895" s="12" t="s">
        <v>11565</v>
      </c>
      <c r="E895" s="13" t="s">
        <v>517</v>
      </c>
      <c r="F895" s="681">
        <v>70.06</v>
      </c>
    </row>
    <row r="896" spans="2:6" ht="15.75" hidden="1" customHeight="1" x14ac:dyDescent="0.25">
      <c r="B896" s="13" t="s">
        <v>556</v>
      </c>
      <c r="C896" s="13" t="s">
        <v>15256</v>
      </c>
      <c r="D896" s="12" t="s">
        <v>11533</v>
      </c>
      <c r="E896" s="13" t="s">
        <v>580</v>
      </c>
      <c r="F896" s="681">
        <v>23.19</v>
      </c>
    </row>
    <row r="897" spans="2:6" ht="15.75" hidden="1" customHeight="1" x14ac:dyDescent="0.25">
      <c r="B897" s="13" t="s">
        <v>556</v>
      </c>
      <c r="C897" s="13" t="s">
        <v>15257</v>
      </c>
      <c r="D897" s="12" t="s">
        <v>11537</v>
      </c>
      <c r="E897" s="13" t="s">
        <v>580</v>
      </c>
      <c r="F897" s="681">
        <v>28.16</v>
      </c>
    </row>
    <row r="898" spans="2:6" ht="15.75" hidden="1" customHeight="1" x14ac:dyDescent="0.25">
      <c r="B898" s="13" t="s">
        <v>556</v>
      </c>
      <c r="C898" s="13" t="s">
        <v>15258</v>
      </c>
      <c r="D898" s="12" t="s">
        <v>11545</v>
      </c>
      <c r="E898" s="13" t="s">
        <v>580</v>
      </c>
      <c r="F898" s="681">
        <v>66.709999999999994</v>
      </c>
    </row>
    <row r="899" spans="2:6" ht="15.75" hidden="1" customHeight="1" x14ac:dyDescent="0.25">
      <c r="B899" s="13" t="s">
        <v>556</v>
      </c>
      <c r="C899" s="13" t="s">
        <v>15259</v>
      </c>
      <c r="D899" s="12" t="s">
        <v>11549</v>
      </c>
      <c r="E899" s="13" t="s">
        <v>580</v>
      </c>
      <c r="F899" s="681">
        <v>112.58</v>
      </c>
    </row>
    <row r="900" spans="2:6" ht="15.75" hidden="1" customHeight="1" x14ac:dyDescent="0.25">
      <c r="B900" s="13" t="s">
        <v>556</v>
      </c>
      <c r="C900" s="13" t="s">
        <v>15260</v>
      </c>
      <c r="D900" s="12" t="s">
        <v>11535</v>
      </c>
      <c r="E900" s="13" t="s">
        <v>580</v>
      </c>
      <c r="F900" s="681">
        <v>136.04</v>
      </c>
    </row>
    <row r="901" spans="2:6" ht="15.75" hidden="1" customHeight="1" x14ac:dyDescent="0.25">
      <c r="B901" s="13" t="s">
        <v>556</v>
      </c>
      <c r="C901" s="13" t="s">
        <v>15261</v>
      </c>
      <c r="D901" s="12" t="s">
        <v>9535</v>
      </c>
      <c r="E901" s="13" t="s">
        <v>580</v>
      </c>
      <c r="F901" s="681">
        <v>8.24</v>
      </c>
    </row>
    <row r="902" spans="2:6" ht="15.75" hidden="1" customHeight="1" x14ac:dyDescent="0.25">
      <c r="B902" s="13" t="s">
        <v>556</v>
      </c>
      <c r="C902" s="13" t="s">
        <v>15262</v>
      </c>
      <c r="D902" s="12" t="s">
        <v>8597</v>
      </c>
      <c r="E902" s="13" t="s">
        <v>823</v>
      </c>
      <c r="F902" s="681">
        <v>51.21</v>
      </c>
    </row>
    <row r="903" spans="2:6" ht="15.75" hidden="1" customHeight="1" x14ac:dyDescent="0.25">
      <c r="B903" s="13" t="s">
        <v>556</v>
      </c>
      <c r="C903" s="13" t="s">
        <v>15263</v>
      </c>
      <c r="D903" s="12" t="s">
        <v>9528</v>
      </c>
      <c r="E903" s="13" t="s">
        <v>580</v>
      </c>
      <c r="F903" s="681">
        <v>16.62</v>
      </c>
    </row>
    <row r="904" spans="2:6" ht="15.75" hidden="1" customHeight="1" x14ac:dyDescent="0.25">
      <c r="B904" s="13" t="s">
        <v>556</v>
      </c>
      <c r="C904" s="13" t="s">
        <v>15264</v>
      </c>
      <c r="D904" s="12" t="s">
        <v>9529</v>
      </c>
      <c r="E904" s="13" t="s">
        <v>580</v>
      </c>
      <c r="F904" s="681">
        <v>22.31</v>
      </c>
    </row>
    <row r="905" spans="2:6" ht="15.75" hidden="1" customHeight="1" x14ac:dyDescent="0.25">
      <c r="B905" s="13" t="s">
        <v>556</v>
      </c>
      <c r="C905" s="13" t="s">
        <v>15265</v>
      </c>
      <c r="D905" s="12" t="s">
        <v>10133</v>
      </c>
      <c r="E905" s="13" t="s">
        <v>580</v>
      </c>
      <c r="F905" s="681">
        <v>17.27</v>
      </c>
    </row>
    <row r="906" spans="2:6" ht="15.75" hidden="1" customHeight="1" x14ac:dyDescent="0.25">
      <c r="B906" s="13" t="s">
        <v>556</v>
      </c>
      <c r="C906" s="13" t="s">
        <v>15266</v>
      </c>
      <c r="D906" s="12" t="s">
        <v>8596</v>
      </c>
      <c r="E906" s="13" t="s">
        <v>823</v>
      </c>
      <c r="F906" s="681">
        <v>143.83000000000001</v>
      </c>
    </row>
    <row r="907" spans="2:6" ht="15.75" hidden="1" customHeight="1" x14ac:dyDescent="0.25">
      <c r="B907" s="13" t="s">
        <v>556</v>
      </c>
      <c r="C907" s="13" t="s">
        <v>15267</v>
      </c>
      <c r="D907" s="12" t="s">
        <v>11522</v>
      </c>
      <c r="E907" s="13" t="s">
        <v>580</v>
      </c>
      <c r="F907" s="681">
        <v>1.01</v>
      </c>
    </row>
    <row r="908" spans="2:6" ht="15.75" hidden="1" customHeight="1" x14ac:dyDescent="0.25">
      <c r="B908" s="13" t="s">
        <v>556</v>
      </c>
      <c r="C908" s="13" t="s">
        <v>15268</v>
      </c>
      <c r="D908" s="12" t="s">
        <v>11525</v>
      </c>
      <c r="E908" s="13" t="s">
        <v>580</v>
      </c>
      <c r="F908" s="681">
        <v>1.31</v>
      </c>
    </row>
    <row r="909" spans="2:6" ht="15.75" hidden="1" customHeight="1" x14ac:dyDescent="0.25">
      <c r="B909" s="13" t="s">
        <v>556</v>
      </c>
      <c r="C909" s="13" t="s">
        <v>15269</v>
      </c>
      <c r="D909" s="12" t="s">
        <v>11527</v>
      </c>
      <c r="E909" s="13" t="s">
        <v>580</v>
      </c>
      <c r="F909" s="681">
        <v>1.57</v>
      </c>
    </row>
    <row r="910" spans="2:6" ht="15.75" hidden="1" customHeight="1" x14ac:dyDescent="0.25">
      <c r="B910" s="13" t="s">
        <v>556</v>
      </c>
      <c r="C910" s="13" t="s">
        <v>15270</v>
      </c>
      <c r="D910" s="12" t="s">
        <v>11519</v>
      </c>
      <c r="E910" s="13" t="s">
        <v>580</v>
      </c>
      <c r="F910" s="681">
        <v>1.7</v>
      </c>
    </row>
    <row r="911" spans="2:6" ht="15.75" hidden="1" customHeight="1" x14ac:dyDescent="0.25">
      <c r="B911" s="13" t="s">
        <v>556</v>
      </c>
      <c r="C911" s="13" t="s">
        <v>15271</v>
      </c>
      <c r="D911" s="12" t="s">
        <v>11521</v>
      </c>
      <c r="E911" s="13" t="s">
        <v>580</v>
      </c>
      <c r="F911" s="681">
        <v>2.0099999999999998</v>
      </c>
    </row>
    <row r="912" spans="2:6" ht="15.75" hidden="1" customHeight="1" x14ac:dyDescent="0.25">
      <c r="B912" s="13" t="s">
        <v>556</v>
      </c>
      <c r="C912" s="13" t="s">
        <v>15272</v>
      </c>
      <c r="D912" s="12" t="s">
        <v>11523</v>
      </c>
      <c r="E912" s="13" t="s">
        <v>580</v>
      </c>
      <c r="F912" s="681">
        <v>2.79</v>
      </c>
    </row>
    <row r="913" spans="2:6" ht="15.75" hidden="1" customHeight="1" x14ac:dyDescent="0.25">
      <c r="B913" s="13" t="s">
        <v>556</v>
      </c>
      <c r="C913" s="13" t="s">
        <v>15273</v>
      </c>
      <c r="D913" s="12" t="s">
        <v>11524</v>
      </c>
      <c r="E913" s="13" t="s">
        <v>580</v>
      </c>
      <c r="F913" s="681">
        <v>3.14</v>
      </c>
    </row>
    <row r="914" spans="2:6" ht="15.75" hidden="1" customHeight="1" x14ac:dyDescent="0.25">
      <c r="B914" s="13" t="s">
        <v>556</v>
      </c>
      <c r="C914" s="13" t="s">
        <v>15274</v>
      </c>
      <c r="D914" s="12" t="s">
        <v>11526</v>
      </c>
      <c r="E914" s="13" t="s">
        <v>580</v>
      </c>
      <c r="F914" s="681">
        <v>5.45</v>
      </c>
    </row>
    <row r="915" spans="2:6" ht="15.75" hidden="1" customHeight="1" x14ac:dyDescent="0.25">
      <c r="B915" s="13" t="s">
        <v>556</v>
      </c>
      <c r="C915" s="13" t="s">
        <v>15275</v>
      </c>
      <c r="D915" s="12" t="s">
        <v>11528</v>
      </c>
      <c r="E915" s="13" t="s">
        <v>580</v>
      </c>
      <c r="F915" s="681">
        <v>6.8</v>
      </c>
    </row>
    <row r="916" spans="2:6" ht="15.75" hidden="1" customHeight="1" x14ac:dyDescent="0.25">
      <c r="B916" s="13" t="s">
        <v>556</v>
      </c>
      <c r="C916" s="13" t="s">
        <v>15276</v>
      </c>
      <c r="D916" s="12" t="s">
        <v>11529</v>
      </c>
      <c r="E916" s="13" t="s">
        <v>580</v>
      </c>
      <c r="F916" s="681">
        <v>8.3699999999999992</v>
      </c>
    </row>
    <row r="917" spans="2:6" ht="15.75" hidden="1" customHeight="1" x14ac:dyDescent="0.25">
      <c r="B917" s="13" t="s">
        <v>556</v>
      </c>
      <c r="C917" s="13" t="s">
        <v>15277</v>
      </c>
      <c r="D917" s="12" t="s">
        <v>11520</v>
      </c>
      <c r="E917" s="13" t="s">
        <v>580</v>
      </c>
      <c r="F917" s="681">
        <v>11.77</v>
      </c>
    </row>
    <row r="918" spans="2:6" ht="15.75" hidden="1" customHeight="1" x14ac:dyDescent="0.25">
      <c r="B918" s="13" t="s">
        <v>556</v>
      </c>
      <c r="C918" s="13" t="s">
        <v>15278</v>
      </c>
      <c r="D918" s="12" t="s">
        <v>11538</v>
      </c>
      <c r="E918" s="13" t="s">
        <v>580</v>
      </c>
      <c r="F918" s="681">
        <v>5.45</v>
      </c>
    </row>
    <row r="919" spans="2:6" ht="15.75" hidden="1" customHeight="1" x14ac:dyDescent="0.25">
      <c r="B919" s="13" t="s">
        <v>556</v>
      </c>
      <c r="C919" s="13" t="s">
        <v>15279</v>
      </c>
      <c r="D919" s="12" t="s">
        <v>11542</v>
      </c>
      <c r="E919" s="13" t="s">
        <v>580</v>
      </c>
      <c r="F919" s="681">
        <v>6.9</v>
      </c>
    </row>
    <row r="920" spans="2:6" ht="15.75" hidden="1" customHeight="1" x14ac:dyDescent="0.25">
      <c r="B920" s="13" t="s">
        <v>556</v>
      </c>
      <c r="C920" s="13" t="s">
        <v>15280</v>
      </c>
      <c r="D920" s="12" t="s">
        <v>11544</v>
      </c>
      <c r="E920" s="13" t="s">
        <v>580</v>
      </c>
      <c r="F920" s="681">
        <v>7.03</v>
      </c>
    </row>
    <row r="921" spans="2:6" ht="15.75" hidden="1" customHeight="1" x14ac:dyDescent="0.25">
      <c r="B921" s="13" t="s">
        <v>556</v>
      </c>
      <c r="C921" s="13" t="s">
        <v>15281</v>
      </c>
      <c r="D921" s="12" t="s">
        <v>11546</v>
      </c>
      <c r="E921" s="13" t="s">
        <v>580</v>
      </c>
      <c r="F921" s="681">
        <v>9.64</v>
      </c>
    </row>
    <row r="922" spans="2:6" ht="15.75" hidden="1" customHeight="1" x14ac:dyDescent="0.25">
      <c r="B922" s="13" t="s">
        <v>556</v>
      </c>
      <c r="C922" s="13" t="s">
        <v>15282</v>
      </c>
      <c r="D922" s="12" t="s">
        <v>11548</v>
      </c>
      <c r="E922" s="13" t="s">
        <v>580</v>
      </c>
      <c r="F922" s="681">
        <v>9.94</v>
      </c>
    </row>
    <row r="923" spans="2:6" ht="15.75" hidden="1" customHeight="1" x14ac:dyDescent="0.25">
      <c r="B923" s="13" t="s">
        <v>556</v>
      </c>
      <c r="C923" s="13" t="s">
        <v>15283</v>
      </c>
      <c r="D923" s="12" t="s">
        <v>11550</v>
      </c>
      <c r="E923" s="13" t="s">
        <v>580</v>
      </c>
      <c r="F923" s="681">
        <v>17.510000000000002</v>
      </c>
    </row>
    <row r="924" spans="2:6" ht="15.75" hidden="1" customHeight="1" x14ac:dyDescent="0.25">
      <c r="B924" s="13" t="s">
        <v>556</v>
      </c>
      <c r="C924" s="13" t="s">
        <v>15284</v>
      </c>
      <c r="D924" s="12" t="s">
        <v>11534</v>
      </c>
      <c r="E924" s="13" t="s">
        <v>580</v>
      </c>
      <c r="F924" s="681">
        <v>25.96</v>
      </c>
    </row>
    <row r="925" spans="2:6" ht="15.75" hidden="1" customHeight="1" x14ac:dyDescent="0.25">
      <c r="B925" s="13" t="s">
        <v>556</v>
      </c>
      <c r="C925" s="13" t="s">
        <v>15285</v>
      </c>
      <c r="D925" s="12" t="s">
        <v>11539</v>
      </c>
      <c r="E925" s="13" t="s">
        <v>580</v>
      </c>
      <c r="F925" s="681">
        <v>28.96</v>
      </c>
    </row>
    <row r="926" spans="2:6" ht="15.75" hidden="1" customHeight="1" x14ac:dyDescent="0.25">
      <c r="B926" s="13" t="s">
        <v>556</v>
      </c>
      <c r="C926" s="13" t="s">
        <v>15286</v>
      </c>
      <c r="D926" s="12" t="s">
        <v>11541</v>
      </c>
      <c r="E926" s="13" t="s">
        <v>580</v>
      </c>
      <c r="F926" s="681">
        <v>38.630000000000003</v>
      </c>
    </row>
    <row r="927" spans="2:6" ht="15.75" hidden="1" customHeight="1" x14ac:dyDescent="0.25">
      <c r="B927" s="13" t="s">
        <v>556</v>
      </c>
      <c r="C927" s="13" t="s">
        <v>15287</v>
      </c>
      <c r="D927" s="12" t="s">
        <v>9524</v>
      </c>
      <c r="E927" s="13" t="s">
        <v>580</v>
      </c>
      <c r="F927" s="681">
        <v>12.36</v>
      </c>
    </row>
    <row r="928" spans="2:6" ht="15.75" hidden="1" customHeight="1" x14ac:dyDescent="0.25">
      <c r="B928" s="13" t="s">
        <v>556</v>
      </c>
      <c r="C928" s="13" t="s">
        <v>15288</v>
      </c>
      <c r="D928" s="12" t="s">
        <v>9521</v>
      </c>
      <c r="E928" s="13" t="s">
        <v>580</v>
      </c>
      <c r="F928" s="681">
        <v>13.14</v>
      </c>
    </row>
    <row r="929" spans="2:6" ht="15.75" hidden="1" customHeight="1" x14ac:dyDescent="0.25">
      <c r="B929" s="13" t="s">
        <v>556</v>
      </c>
      <c r="C929" s="13" t="s">
        <v>15289</v>
      </c>
      <c r="D929" s="12" t="s">
        <v>9523</v>
      </c>
      <c r="E929" s="13" t="s">
        <v>580</v>
      </c>
      <c r="F929" s="681">
        <v>15.25</v>
      </c>
    </row>
    <row r="930" spans="2:6" ht="15.75" hidden="1" customHeight="1" x14ac:dyDescent="0.25">
      <c r="B930" s="13" t="s">
        <v>556</v>
      </c>
      <c r="C930" s="13" t="s">
        <v>15290</v>
      </c>
      <c r="D930" s="12" t="s">
        <v>9520</v>
      </c>
      <c r="E930" s="13" t="s">
        <v>580</v>
      </c>
      <c r="F930" s="681">
        <v>19.399999999999999</v>
      </c>
    </row>
    <row r="931" spans="2:6" ht="15.75" hidden="1" customHeight="1" x14ac:dyDescent="0.25">
      <c r="B931" s="13" t="s">
        <v>556</v>
      </c>
      <c r="C931" s="13" t="s">
        <v>15291</v>
      </c>
      <c r="D931" s="12" t="s">
        <v>9519</v>
      </c>
      <c r="E931" s="13" t="s">
        <v>580</v>
      </c>
      <c r="F931" s="681">
        <v>44.41</v>
      </c>
    </row>
    <row r="932" spans="2:6" ht="15.75" hidden="1" customHeight="1" x14ac:dyDescent="0.25">
      <c r="B932" s="13" t="s">
        <v>556</v>
      </c>
      <c r="C932" s="13" t="s">
        <v>15292</v>
      </c>
      <c r="D932" s="12" t="s">
        <v>9518</v>
      </c>
      <c r="E932" s="13" t="s">
        <v>580</v>
      </c>
      <c r="F932" s="681">
        <v>49.83</v>
      </c>
    </row>
    <row r="933" spans="2:6" ht="15.75" hidden="1" customHeight="1" x14ac:dyDescent="0.25">
      <c r="B933" s="13" t="s">
        <v>556</v>
      </c>
      <c r="C933" s="13" t="s">
        <v>15293</v>
      </c>
      <c r="D933" s="12" t="s">
        <v>9522</v>
      </c>
      <c r="E933" s="13" t="s">
        <v>580</v>
      </c>
      <c r="F933" s="681">
        <v>75.239999999999995</v>
      </c>
    </row>
    <row r="934" spans="2:6" ht="15.75" hidden="1" customHeight="1" x14ac:dyDescent="0.25">
      <c r="B934" s="13" t="s">
        <v>556</v>
      </c>
      <c r="C934" s="13" t="s">
        <v>15294</v>
      </c>
      <c r="D934" s="12" t="s">
        <v>9562</v>
      </c>
      <c r="E934" s="13" t="s">
        <v>9561</v>
      </c>
      <c r="F934" s="681">
        <v>0.28000000000000003</v>
      </c>
    </row>
    <row r="935" spans="2:6" ht="15.75" hidden="1" customHeight="1" x14ac:dyDescent="0.25">
      <c r="B935" s="13" t="s">
        <v>556</v>
      </c>
      <c r="C935" s="13" t="s">
        <v>15295</v>
      </c>
      <c r="D935" s="12" t="s">
        <v>9583</v>
      </c>
      <c r="E935" s="13" t="s">
        <v>580</v>
      </c>
      <c r="F935" s="681">
        <v>144.22999999999999</v>
      </c>
    </row>
    <row r="936" spans="2:6" ht="15.75" hidden="1" customHeight="1" x14ac:dyDescent="0.25">
      <c r="B936" s="13" t="s">
        <v>556</v>
      </c>
      <c r="C936" s="13" t="s">
        <v>15296</v>
      </c>
      <c r="D936" s="12" t="s">
        <v>9567</v>
      </c>
      <c r="E936" s="13" t="s">
        <v>580</v>
      </c>
      <c r="F936" s="681">
        <v>1797.72</v>
      </c>
    </row>
    <row r="937" spans="2:6" ht="15.75" hidden="1" customHeight="1" x14ac:dyDescent="0.25">
      <c r="B937" s="13" t="s">
        <v>556</v>
      </c>
      <c r="C937" s="13" t="s">
        <v>15297</v>
      </c>
      <c r="D937" s="12" t="s">
        <v>9578</v>
      </c>
      <c r="E937" s="13" t="s">
        <v>580</v>
      </c>
      <c r="F937" s="681">
        <v>326.06</v>
      </c>
    </row>
    <row r="938" spans="2:6" ht="15.75" hidden="1" customHeight="1" x14ac:dyDescent="0.25">
      <c r="B938" s="13" t="s">
        <v>556</v>
      </c>
      <c r="C938" s="13" t="s">
        <v>15298</v>
      </c>
      <c r="D938" s="12" t="s">
        <v>9582</v>
      </c>
      <c r="E938" s="13" t="s">
        <v>580</v>
      </c>
      <c r="F938" s="681">
        <v>1095.06</v>
      </c>
    </row>
    <row r="939" spans="2:6" ht="15.75" hidden="1" customHeight="1" x14ac:dyDescent="0.25">
      <c r="B939" s="13" t="s">
        <v>556</v>
      </c>
      <c r="C939" s="13" t="s">
        <v>15299</v>
      </c>
      <c r="D939" s="12" t="s">
        <v>9577</v>
      </c>
      <c r="E939" s="13" t="s">
        <v>580</v>
      </c>
      <c r="F939" s="681">
        <v>7134.23</v>
      </c>
    </row>
    <row r="940" spans="2:6" ht="15.75" hidden="1" customHeight="1" x14ac:dyDescent="0.25">
      <c r="B940" s="13" t="s">
        <v>556</v>
      </c>
      <c r="C940" s="13" t="s">
        <v>15300</v>
      </c>
      <c r="D940" s="12" t="s">
        <v>9579</v>
      </c>
      <c r="E940" s="13" t="s">
        <v>580</v>
      </c>
      <c r="F940" s="681">
        <v>8516.7199999999993</v>
      </c>
    </row>
    <row r="941" spans="2:6" ht="15.75" hidden="1" customHeight="1" x14ac:dyDescent="0.25">
      <c r="B941" s="13" t="s">
        <v>556</v>
      </c>
      <c r="C941" s="13" t="s">
        <v>15301</v>
      </c>
      <c r="D941" s="12" t="s">
        <v>9584</v>
      </c>
      <c r="E941" s="13" t="s">
        <v>580</v>
      </c>
      <c r="F941" s="681">
        <v>1504.78</v>
      </c>
    </row>
    <row r="942" spans="2:6" ht="15.75" hidden="1" customHeight="1" x14ac:dyDescent="0.25">
      <c r="B942" s="13" t="s">
        <v>556</v>
      </c>
      <c r="C942" s="13" t="s">
        <v>15302</v>
      </c>
      <c r="D942" s="12" t="s">
        <v>9575</v>
      </c>
      <c r="E942" s="13" t="s">
        <v>580</v>
      </c>
      <c r="F942" s="681">
        <v>210.67</v>
      </c>
    </row>
    <row r="943" spans="2:6" ht="15.75" hidden="1" customHeight="1" x14ac:dyDescent="0.25">
      <c r="B943" s="13" t="s">
        <v>556</v>
      </c>
      <c r="C943" s="13" t="s">
        <v>15303</v>
      </c>
      <c r="D943" s="12" t="s">
        <v>9571</v>
      </c>
      <c r="E943" s="13" t="s">
        <v>580</v>
      </c>
      <c r="F943" s="681">
        <v>395.6</v>
      </c>
    </row>
    <row r="944" spans="2:6" ht="15.75" hidden="1" customHeight="1" x14ac:dyDescent="0.25">
      <c r="B944" s="13" t="s">
        <v>556</v>
      </c>
      <c r="C944" s="13" t="s">
        <v>15304</v>
      </c>
      <c r="D944" s="12" t="s">
        <v>9580</v>
      </c>
      <c r="E944" s="13" t="s">
        <v>580</v>
      </c>
      <c r="F944" s="681">
        <v>583.15</v>
      </c>
    </row>
    <row r="945" spans="2:6" ht="15.75" hidden="1" customHeight="1" x14ac:dyDescent="0.25">
      <c r="B945" s="13" t="s">
        <v>556</v>
      </c>
      <c r="C945" s="13" t="s">
        <v>15305</v>
      </c>
      <c r="D945" s="12" t="s">
        <v>9570</v>
      </c>
      <c r="E945" s="13" t="s">
        <v>580</v>
      </c>
      <c r="F945" s="681">
        <v>6067.31</v>
      </c>
    </row>
    <row r="946" spans="2:6" ht="15.75" hidden="1" customHeight="1" x14ac:dyDescent="0.25">
      <c r="B946" s="13" t="s">
        <v>556</v>
      </c>
      <c r="C946" s="13" t="s">
        <v>15306</v>
      </c>
      <c r="D946" s="12" t="s">
        <v>9574</v>
      </c>
      <c r="E946" s="13" t="s">
        <v>580</v>
      </c>
      <c r="F946" s="681">
        <v>153.15</v>
      </c>
    </row>
    <row r="947" spans="2:6" ht="15.75" hidden="1" customHeight="1" x14ac:dyDescent="0.25">
      <c r="B947" s="13" t="s">
        <v>556</v>
      </c>
      <c r="C947" s="13" t="s">
        <v>15307</v>
      </c>
      <c r="D947" s="12" t="s">
        <v>9581</v>
      </c>
      <c r="E947" s="13" t="s">
        <v>580</v>
      </c>
      <c r="F947" s="681">
        <v>20934.52</v>
      </c>
    </row>
    <row r="948" spans="2:6" ht="15.75" hidden="1" customHeight="1" x14ac:dyDescent="0.25">
      <c r="B948" s="13" t="s">
        <v>556</v>
      </c>
      <c r="C948" s="13" t="s">
        <v>15308</v>
      </c>
      <c r="D948" s="12" t="s">
        <v>9569</v>
      </c>
      <c r="E948" s="13" t="s">
        <v>580</v>
      </c>
      <c r="F948" s="681">
        <v>187.79</v>
      </c>
    </row>
    <row r="949" spans="2:6" ht="15.75" hidden="1" customHeight="1" x14ac:dyDescent="0.25">
      <c r="B949" s="13" t="s">
        <v>556</v>
      </c>
      <c r="C949" s="13" t="s">
        <v>15309</v>
      </c>
      <c r="D949" s="12" t="s">
        <v>9568</v>
      </c>
      <c r="E949" s="13" t="s">
        <v>580</v>
      </c>
      <c r="F949" s="681">
        <v>2688.71</v>
      </c>
    </row>
    <row r="950" spans="2:6" ht="15.75" hidden="1" customHeight="1" x14ac:dyDescent="0.25">
      <c r="B950" s="13" t="s">
        <v>556</v>
      </c>
      <c r="C950" s="13" t="s">
        <v>15310</v>
      </c>
      <c r="D950" s="12" t="s">
        <v>9573</v>
      </c>
      <c r="E950" s="13" t="s">
        <v>580</v>
      </c>
      <c r="F950" s="681">
        <v>756.17</v>
      </c>
    </row>
    <row r="951" spans="2:6" ht="15.75" hidden="1" customHeight="1" x14ac:dyDescent="0.25">
      <c r="B951" s="13" t="s">
        <v>556</v>
      </c>
      <c r="C951" s="13" t="s">
        <v>15311</v>
      </c>
      <c r="D951" s="12" t="s">
        <v>9572</v>
      </c>
      <c r="E951" s="13" t="s">
        <v>580</v>
      </c>
      <c r="F951" s="681">
        <v>14766.4</v>
      </c>
    </row>
    <row r="952" spans="2:6" ht="15.75" hidden="1" customHeight="1" x14ac:dyDescent="0.25">
      <c r="B952" s="13" t="s">
        <v>556</v>
      </c>
      <c r="C952" s="13" t="s">
        <v>15312</v>
      </c>
      <c r="D952" s="12" t="s">
        <v>9576</v>
      </c>
      <c r="E952" s="13" t="s">
        <v>580</v>
      </c>
      <c r="F952" s="681">
        <v>4638.59</v>
      </c>
    </row>
    <row r="953" spans="2:6" ht="15.75" hidden="1" customHeight="1" x14ac:dyDescent="0.25">
      <c r="B953" s="13" t="s">
        <v>556</v>
      </c>
      <c r="C953" s="13" t="s">
        <v>15313</v>
      </c>
      <c r="D953" s="12" t="s">
        <v>9329</v>
      </c>
      <c r="E953" s="13" t="s">
        <v>580</v>
      </c>
      <c r="F953" s="681">
        <v>179.11</v>
      </c>
    </row>
    <row r="954" spans="2:6" ht="15.75" hidden="1" customHeight="1" x14ac:dyDescent="0.25">
      <c r="B954" s="13" t="s">
        <v>556</v>
      </c>
      <c r="C954" s="13" t="s">
        <v>15314</v>
      </c>
      <c r="D954" s="12" t="s">
        <v>9330</v>
      </c>
      <c r="E954" s="13" t="s">
        <v>580</v>
      </c>
      <c r="F954" s="681">
        <v>304.33</v>
      </c>
    </row>
    <row r="955" spans="2:6" ht="15.75" hidden="1" customHeight="1" x14ac:dyDescent="0.25">
      <c r="B955" s="13" t="s">
        <v>556</v>
      </c>
      <c r="C955" s="13" t="s">
        <v>15315</v>
      </c>
      <c r="D955" s="12" t="s">
        <v>15316</v>
      </c>
      <c r="E955" s="13" t="s">
        <v>585</v>
      </c>
      <c r="F955" s="681">
        <v>8.75</v>
      </c>
    </row>
    <row r="956" spans="2:6" ht="15.75" hidden="1" customHeight="1" x14ac:dyDescent="0.25">
      <c r="B956" s="13" t="s">
        <v>556</v>
      </c>
      <c r="C956" s="13" t="s">
        <v>15317</v>
      </c>
      <c r="D956" s="12" t="s">
        <v>15318</v>
      </c>
      <c r="E956" s="13" t="s">
        <v>580</v>
      </c>
      <c r="F956" s="681">
        <v>24.01</v>
      </c>
    </row>
    <row r="957" spans="2:6" ht="15.75" hidden="1" customHeight="1" x14ac:dyDescent="0.25">
      <c r="B957" s="13" t="s">
        <v>556</v>
      </c>
      <c r="C957" s="13" t="s">
        <v>15319</v>
      </c>
      <c r="D957" s="12" t="s">
        <v>15320</v>
      </c>
      <c r="E957" s="13" t="s">
        <v>580</v>
      </c>
      <c r="F957" s="681">
        <v>46.11</v>
      </c>
    </row>
    <row r="958" spans="2:6" ht="15.75" hidden="1" customHeight="1" x14ac:dyDescent="0.25">
      <c r="B958" s="13" t="s">
        <v>556</v>
      </c>
      <c r="C958" s="13" t="s">
        <v>15321</v>
      </c>
      <c r="D958" s="12" t="s">
        <v>15322</v>
      </c>
      <c r="E958" s="13" t="s">
        <v>580</v>
      </c>
      <c r="F958" s="681">
        <v>85.61</v>
      </c>
    </row>
    <row r="959" spans="2:6" ht="15.75" hidden="1" customHeight="1" x14ac:dyDescent="0.25">
      <c r="B959" s="13" t="s">
        <v>556</v>
      </c>
      <c r="C959" s="13" t="s">
        <v>15323</v>
      </c>
      <c r="D959" s="12" t="s">
        <v>15324</v>
      </c>
      <c r="E959" s="13" t="s">
        <v>580</v>
      </c>
      <c r="F959" s="681">
        <v>118.23</v>
      </c>
    </row>
    <row r="960" spans="2:6" ht="15.75" hidden="1" customHeight="1" x14ac:dyDescent="0.25">
      <c r="B960" s="13" t="s">
        <v>556</v>
      </c>
      <c r="C960" s="13" t="s">
        <v>15325</v>
      </c>
      <c r="D960" s="12" t="s">
        <v>15326</v>
      </c>
      <c r="E960" s="13" t="s">
        <v>580</v>
      </c>
      <c r="F960" s="681">
        <v>213.9</v>
      </c>
    </row>
    <row r="961" spans="2:6" ht="15.75" hidden="1" customHeight="1" x14ac:dyDescent="0.25">
      <c r="B961" s="13" t="s">
        <v>556</v>
      </c>
      <c r="C961" s="13" t="s">
        <v>15327</v>
      </c>
      <c r="D961" s="12" t="s">
        <v>15328</v>
      </c>
      <c r="E961" s="13" t="s">
        <v>580</v>
      </c>
      <c r="F961" s="681">
        <v>307.01</v>
      </c>
    </row>
    <row r="962" spans="2:6" ht="15.75" hidden="1" customHeight="1" x14ac:dyDescent="0.25">
      <c r="B962" s="13" t="s">
        <v>556</v>
      </c>
      <c r="C962" s="13" t="s">
        <v>15329</v>
      </c>
      <c r="D962" s="12" t="s">
        <v>15330</v>
      </c>
      <c r="E962" s="13" t="s">
        <v>580</v>
      </c>
      <c r="F962" s="681">
        <v>67.06</v>
      </c>
    </row>
    <row r="963" spans="2:6" ht="15.75" hidden="1" customHeight="1" x14ac:dyDescent="0.25">
      <c r="B963" s="13" t="s">
        <v>556</v>
      </c>
      <c r="C963" s="13" t="s">
        <v>15331</v>
      </c>
      <c r="D963" s="12" t="s">
        <v>15332</v>
      </c>
      <c r="E963" s="13" t="s">
        <v>580</v>
      </c>
      <c r="F963" s="681">
        <v>32.96</v>
      </c>
    </row>
    <row r="964" spans="2:6" ht="15.75" hidden="1" customHeight="1" x14ac:dyDescent="0.25">
      <c r="B964" s="13" t="s">
        <v>556</v>
      </c>
      <c r="C964" s="13" t="s">
        <v>15333</v>
      </c>
      <c r="D964" s="12" t="s">
        <v>9603</v>
      </c>
      <c r="E964" s="13" t="s">
        <v>580</v>
      </c>
      <c r="F964" s="681">
        <v>170.5</v>
      </c>
    </row>
    <row r="965" spans="2:6" ht="15.75" hidden="1" customHeight="1" x14ac:dyDescent="0.25">
      <c r="B965" s="13" t="s">
        <v>556</v>
      </c>
      <c r="C965" s="13" t="s">
        <v>15334</v>
      </c>
      <c r="D965" s="12" t="s">
        <v>9602</v>
      </c>
      <c r="E965" s="13" t="s">
        <v>580</v>
      </c>
      <c r="F965" s="681">
        <v>129.84</v>
      </c>
    </row>
    <row r="966" spans="2:6" ht="15.75" hidden="1" customHeight="1" x14ac:dyDescent="0.25">
      <c r="B966" s="13" t="s">
        <v>556</v>
      </c>
      <c r="C966" s="13" t="s">
        <v>15335</v>
      </c>
      <c r="D966" s="12" t="s">
        <v>8830</v>
      </c>
      <c r="E966" s="13" t="s">
        <v>580</v>
      </c>
      <c r="F966" s="681">
        <v>273.14999999999998</v>
      </c>
    </row>
    <row r="967" spans="2:6" ht="15.75" hidden="1" customHeight="1" x14ac:dyDescent="0.25">
      <c r="B967" s="13" t="s">
        <v>556</v>
      </c>
      <c r="C967" s="13" t="s">
        <v>15336</v>
      </c>
      <c r="D967" s="12" t="s">
        <v>8826</v>
      </c>
      <c r="E967" s="13" t="s">
        <v>580</v>
      </c>
      <c r="F967" s="681">
        <v>235</v>
      </c>
    </row>
    <row r="968" spans="2:6" ht="15.75" hidden="1" customHeight="1" x14ac:dyDescent="0.25">
      <c r="B968" s="13" t="s">
        <v>556</v>
      </c>
      <c r="C968" s="13" t="s">
        <v>15337</v>
      </c>
      <c r="D968" s="12" t="s">
        <v>9604</v>
      </c>
      <c r="E968" s="13" t="s">
        <v>580</v>
      </c>
      <c r="F968" s="681">
        <v>187.45</v>
      </c>
    </row>
    <row r="969" spans="2:6" ht="15.75" hidden="1" customHeight="1" x14ac:dyDescent="0.25">
      <c r="B969" s="13" t="s">
        <v>556</v>
      </c>
      <c r="C969" s="13" t="s">
        <v>15338</v>
      </c>
      <c r="D969" s="12" t="s">
        <v>8827</v>
      </c>
      <c r="E969" s="13" t="s">
        <v>580</v>
      </c>
      <c r="F969" s="681">
        <v>312.49</v>
      </c>
    </row>
    <row r="970" spans="2:6" ht="15.75" hidden="1" customHeight="1" x14ac:dyDescent="0.25">
      <c r="B970" s="13" t="s">
        <v>556</v>
      </c>
      <c r="C970" s="13" t="s">
        <v>15339</v>
      </c>
      <c r="D970" s="12" t="s">
        <v>8828</v>
      </c>
      <c r="E970" s="13" t="s">
        <v>580</v>
      </c>
      <c r="F970" s="681">
        <v>452.74</v>
      </c>
    </row>
    <row r="971" spans="2:6" ht="15.75" hidden="1" customHeight="1" x14ac:dyDescent="0.25">
      <c r="B971" s="13" t="s">
        <v>556</v>
      </c>
      <c r="C971" s="13" t="s">
        <v>15340</v>
      </c>
      <c r="D971" s="12" t="s">
        <v>8831</v>
      </c>
      <c r="E971" s="13" t="s">
        <v>580</v>
      </c>
      <c r="F971" s="681">
        <v>638.33000000000004</v>
      </c>
    </row>
    <row r="972" spans="2:6" ht="15.75" hidden="1" customHeight="1" x14ac:dyDescent="0.25">
      <c r="B972" s="13" t="s">
        <v>556</v>
      </c>
      <c r="C972" s="13" t="s">
        <v>15341</v>
      </c>
      <c r="D972" s="12" t="s">
        <v>15342</v>
      </c>
      <c r="E972" s="13" t="s">
        <v>580</v>
      </c>
      <c r="F972" s="681">
        <v>20.079999999999998</v>
      </c>
    </row>
    <row r="973" spans="2:6" ht="15.75" hidden="1" customHeight="1" x14ac:dyDescent="0.25">
      <c r="B973" s="13" t="s">
        <v>556</v>
      </c>
      <c r="C973" s="13" t="s">
        <v>15343</v>
      </c>
      <c r="D973" s="12" t="s">
        <v>15344</v>
      </c>
      <c r="E973" s="13" t="s">
        <v>580</v>
      </c>
      <c r="F973" s="681">
        <v>54.64</v>
      </c>
    </row>
    <row r="974" spans="2:6" ht="15.75" hidden="1" customHeight="1" x14ac:dyDescent="0.25">
      <c r="B974" s="13" t="s">
        <v>556</v>
      </c>
      <c r="C974" s="13" t="s">
        <v>15345</v>
      </c>
      <c r="D974" s="12" t="s">
        <v>15346</v>
      </c>
      <c r="E974" s="13" t="s">
        <v>580</v>
      </c>
      <c r="F974" s="681">
        <v>92.31</v>
      </c>
    </row>
    <row r="975" spans="2:6" ht="15.75" hidden="1" customHeight="1" x14ac:dyDescent="0.25">
      <c r="B975" s="13" t="s">
        <v>556</v>
      </c>
      <c r="C975" s="13" t="s">
        <v>15347</v>
      </c>
      <c r="D975" s="12" t="s">
        <v>15348</v>
      </c>
      <c r="E975" s="13" t="s">
        <v>580</v>
      </c>
      <c r="F975" s="681">
        <v>223.44</v>
      </c>
    </row>
    <row r="976" spans="2:6" ht="15.75" hidden="1" customHeight="1" x14ac:dyDescent="0.25">
      <c r="B976" s="13" t="s">
        <v>556</v>
      </c>
      <c r="C976" s="13" t="s">
        <v>15349</v>
      </c>
      <c r="D976" s="12" t="s">
        <v>15350</v>
      </c>
      <c r="E976" s="13" t="s">
        <v>580</v>
      </c>
      <c r="F976" s="681">
        <v>324.95999999999998</v>
      </c>
    </row>
    <row r="977" spans="2:6" ht="15.75" hidden="1" customHeight="1" x14ac:dyDescent="0.25">
      <c r="B977" s="13" t="s">
        <v>556</v>
      </c>
      <c r="C977" s="13" t="s">
        <v>15351</v>
      </c>
      <c r="D977" s="12" t="s">
        <v>15352</v>
      </c>
      <c r="E977" s="13" t="s">
        <v>580</v>
      </c>
      <c r="F977" s="681">
        <v>669.91</v>
      </c>
    </row>
    <row r="978" spans="2:6" ht="15.75" hidden="1" customHeight="1" x14ac:dyDescent="0.25">
      <c r="B978" s="13" t="s">
        <v>556</v>
      </c>
      <c r="C978" s="13" t="s">
        <v>15353</v>
      </c>
      <c r="D978" s="12" t="s">
        <v>15354</v>
      </c>
      <c r="E978" s="13" t="s">
        <v>580</v>
      </c>
      <c r="F978" s="681">
        <v>36.49</v>
      </c>
    </row>
    <row r="979" spans="2:6" ht="15.75" hidden="1" customHeight="1" x14ac:dyDescent="0.25">
      <c r="B979" s="13" t="s">
        <v>556</v>
      </c>
      <c r="C979" s="13" t="s">
        <v>15355</v>
      </c>
      <c r="D979" s="12" t="s">
        <v>15356</v>
      </c>
      <c r="E979" s="13" t="s">
        <v>580</v>
      </c>
      <c r="F979" s="681">
        <v>56</v>
      </c>
    </row>
    <row r="980" spans="2:6" ht="15.75" hidden="1" customHeight="1" x14ac:dyDescent="0.25">
      <c r="B980" s="13" t="s">
        <v>556</v>
      </c>
      <c r="C980" s="13" t="s">
        <v>15357</v>
      </c>
      <c r="D980" s="12" t="s">
        <v>15358</v>
      </c>
      <c r="E980" s="13" t="s">
        <v>580</v>
      </c>
      <c r="F980" s="681">
        <v>70.83</v>
      </c>
    </row>
    <row r="981" spans="2:6" ht="15.75" hidden="1" customHeight="1" x14ac:dyDescent="0.25">
      <c r="B981" s="13" t="s">
        <v>556</v>
      </c>
      <c r="C981" s="13" t="s">
        <v>15359</v>
      </c>
      <c r="D981" s="12" t="s">
        <v>15360</v>
      </c>
      <c r="E981" s="13" t="s">
        <v>580</v>
      </c>
      <c r="F981" s="681">
        <v>200.01</v>
      </c>
    </row>
    <row r="982" spans="2:6" ht="15.75" hidden="1" customHeight="1" x14ac:dyDescent="0.25">
      <c r="B982" s="13" t="s">
        <v>556</v>
      </c>
      <c r="C982" s="13" t="s">
        <v>15361</v>
      </c>
      <c r="D982" s="12" t="s">
        <v>15362</v>
      </c>
      <c r="E982" s="13" t="s">
        <v>580</v>
      </c>
      <c r="F982" s="681">
        <v>17.63</v>
      </c>
    </row>
    <row r="983" spans="2:6" ht="15.75" hidden="1" customHeight="1" x14ac:dyDescent="0.25">
      <c r="B983" s="13" t="s">
        <v>556</v>
      </c>
      <c r="C983" s="13" t="s">
        <v>15363</v>
      </c>
      <c r="D983" s="12" t="s">
        <v>15364</v>
      </c>
      <c r="E983" s="13" t="s">
        <v>580</v>
      </c>
      <c r="F983" s="681">
        <v>42.22</v>
      </c>
    </row>
    <row r="984" spans="2:6" ht="15.75" hidden="1" customHeight="1" x14ac:dyDescent="0.25">
      <c r="B984" s="13" t="s">
        <v>556</v>
      </c>
      <c r="C984" s="13" t="s">
        <v>15365</v>
      </c>
      <c r="D984" s="12" t="s">
        <v>15366</v>
      </c>
      <c r="E984" s="13" t="s">
        <v>580</v>
      </c>
      <c r="F984" s="681">
        <v>71.02</v>
      </c>
    </row>
    <row r="985" spans="2:6" ht="15.75" hidden="1" customHeight="1" x14ac:dyDescent="0.25">
      <c r="B985" s="13" t="s">
        <v>556</v>
      </c>
      <c r="C985" s="13" t="s">
        <v>15367</v>
      </c>
      <c r="D985" s="12" t="s">
        <v>15368</v>
      </c>
      <c r="E985" s="13" t="s">
        <v>580</v>
      </c>
      <c r="F985" s="681">
        <v>88.6</v>
      </c>
    </row>
    <row r="986" spans="2:6" ht="15.75" hidden="1" customHeight="1" x14ac:dyDescent="0.25">
      <c r="B986" s="13" t="s">
        <v>556</v>
      </c>
      <c r="C986" s="13" t="s">
        <v>15369</v>
      </c>
      <c r="D986" s="12" t="s">
        <v>15370</v>
      </c>
      <c r="E986" s="13" t="s">
        <v>580</v>
      </c>
      <c r="F986" s="681">
        <v>147.54</v>
      </c>
    </row>
    <row r="987" spans="2:6" ht="15.75" hidden="1" customHeight="1" x14ac:dyDescent="0.25">
      <c r="B987" s="13" t="s">
        <v>556</v>
      </c>
      <c r="C987" s="13" t="s">
        <v>15371</v>
      </c>
      <c r="D987" s="12" t="s">
        <v>15372</v>
      </c>
      <c r="E987" s="13" t="s">
        <v>580</v>
      </c>
      <c r="F987" s="681">
        <v>256.04000000000002</v>
      </c>
    </row>
    <row r="988" spans="2:6" ht="15.75" hidden="1" customHeight="1" x14ac:dyDescent="0.25">
      <c r="B988" s="13" t="s">
        <v>556</v>
      </c>
      <c r="C988" s="13" t="s">
        <v>15373</v>
      </c>
      <c r="D988" s="12" t="s">
        <v>15374</v>
      </c>
      <c r="E988" s="13" t="s">
        <v>580</v>
      </c>
      <c r="F988" s="681">
        <v>345.62</v>
      </c>
    </row>
    <row r="989" spans="2:6" ht="15.75" hidden="1" customHeight="1" x14ac:dyDescent="0.25">
      <c r="B989" s="13" t="s">
        <v>556</v>
      </c>
      <c r="C989" s="13" t="s">
        <v>15375</v>
      </c>
      <c r="D989" s="12" t="s">
        <v>15376</v>
      </c>
      <c r="E989" s="13" t="s">
        <v>580</v>
      </c>
      <c r="F989" s="681">
        <v>698.39</v>
      </c>
    </row>
    <row r="990" spans="2:6" ht="15.75" hidden="1" customHeight="1" x14ac:dyDescent="0.25">
      <c r="B990" s="13" t="s">
        <v>556</v>
      </c>
      <c r="C990" s="13" t="s">
        <v>15377</v>
      </c>
      <c r="D990" s="12" t="s">
        <v>15378</v>
      </c>
      <c r="E990" s="13" t="s">
        <v>580</v>
      </c>
      <c r="F990" s="681">
        <v>18.420000000000002</v>
      </c>
    </row>
    <row r="991" spans="2:6" ht="15.75" hidden="1" customHeight="1" x14ac:dyDescent="0.25">
      <c r="B991" s="13" t="s">
        <v>556</v>
      </c>
      <c r="C991" s="13" t="s">
        <v>15379</v>
      </c>
      <c r="D991" s="12" t="s">
        <v>15380</v>
      </c>
      <c r="E991" s="13" t="s">
        <v>580</v>
      </c>
      <c r="F991" s="681">
        <v>25.52</v>
      </c>
    </row>
    <row r="992" spans="2:6" ht="15.75" hidden="1" customHeight="1" x14ac:dyDescent="0.25">
      <c r="B992" s="13" t="s">
        <v>556</v>
      </c>
      <c r="C992" s="13" t="s">
        <v>15381</v>
      </c>
      <c r="D992" s="12" t="s">
        <v>15382</v>
      </c>
      <c r="E992" s="13" t="s">
        <v>580</v>
      </c>
      <c r="F992" s="681">
        <v>77.17</v>
      </c>
    </row>
    <row r="993" spans="2:6" ht="15.75" hidden="1" customHeight="1" x14ac:dyDescent="0.25">
      <c r="B993" s="13" t="s">
        <v>556</v>
      </c>
      <c r="C993" s="13" t="s">
        <v>15383</v>
      </c>
      <c r="D993" s="12" t="s">
        <v>15384</v>
      </c>
      <c r="E993" s="13" t="s">
        <v>580</v>
      </c>
      <c r="F993" s="681">
        <v>100.6</v>
      </c>
    </row>
    <row r="994" spans="2:6" ht="15.75" hidden="1" customHeight="1" x14ac:dyDescent="0.25">
      <c r="B994" s="13" t="s">
        <v>556</v>
      </c>
      <c r="C994" s="13" t="s">
        <v>15385</v>
      </c>
      <c r="D994" s="12" t="s">
        <v>15386</v>
      </c>
      <c r="E994" s="13" t="s">
        <v>580</v>
      </c>
      <c r="F994" s="681">
        <v>142.72</v>
      </c>
    </row>
    <row r="995" spans="2:6" ht="15.75" hidden="1" customHeight="1" x14ac:dyDescent="0.25">
      <c r="B995" s="13" t="s">
        <v>556</v>
      </c>
      <c r="C995" s="13" t="s">
        <v>15387</v>
      </c>
      <c r="D995" s="12" t="s">
        <v>15388</v>
      </c>
      <c r="E995" s="13" t="s">
        <v>580</v>
      </c>
      <c r="F995" s="681">
        <v>415.42</v>
      </c>
    </row>
    <row r="996" spans="2:6" ht="15.75" hidden="1" customHeight="1" x14ac:dyDescent="0.25">
      <c r="B996" s="13" t="s">
        <v>556</v>
      </c>
      <c r="C996" s="13" t="s">
        <v>15389</v>
      </c>
      <c r="D996" s="12" t="s">
        <v>15390</v>
      </c>
      <c r="E996" s="13" t="s">
        <v>580</v>
      </c>
      <c r="F996" s="681">
        <v>793.11</v>
      </c>
    </row>
    <row r="997" spans="2:6" ht="15.75" hidden="1" customHeight="1" x14ac:dyDescent="0.25">
      <c r="B997" s="13" t="s">
        <v>556</v>
      </c>
      <c r="C997" s="13" t="s">
        <v>15391</v>
      </c>
      <c r="D997" s="12" t="s">
        <v>15392</v>
      </c>
      <c r="E997" s="13" t="s">
        <v>580</v>
      </c>
      <c r="F997" s="681">
        <v>1983.88</v>
      </c>
    </row>
    <row r="998" spans="2:6" ht="15.75" hidden="1" customHeight="1" x14ac:dyDescent="0.25">
      <c r="B998" s="13" t="s">
        <v>556</v>
      </c>
      <c r="C998" s="13" t="s">
        <v>15393</v>
      </c>
      <c r="D998" s="12" t="s">
        <v>15394</v>
      </c>
      <c r="E998" s="13" t="s">
        <v>580</v>
      </c>
      <c r="F998" s="681">
        <v>17.239999999999998</v>
      </c>
    </row>
    <row r="999" spans="2:6" ht="15.75" hidden="1" customHeight="1" x14ac:dyDescent="0.25">
      <c r="B999" s="13" t="s">
        <v>556</v>
      </c>
      <c r="C999" s="13" t="s">
        <v>15395</v>
      </c>
      <c r="D999" s="12" t="s">
        <v>15396</v>
      </c>
      <c r="E999" s="13" t="s">
        <v>580</v>
      </c>
      <c r="F999" s="681">
        <v>24.54</v>
      </c>
    </row>
    <row r="1000" spans="2:6" ht="15.75" hidden="1" customHeight="1" x14ac:dyDescent="0.25">
      <c r="B1000" s="13" t="s">
        <v>556</v>
      </c>
      <c r="C1000" s="13" t="s">
        <v>15397</v>
      </c>
      <c r="D1000" s="12" t="s">
        <v>15398</v>
      </c>
      <c r="E1000" s="13" t="s">
        <v>580</v>
      </c>
      <c r="F1000" s="681">
        <v>39.6</v>
      </c>
    </row>
    <row r="1001" spans="2:6" ht="15.75" hidden="1" customHeight="1" x14ac:dyDescent="0.25">
      <c r="B1001" s="13" t="s">
        <v>556</v>
      </c>
      <c r="C1001" s="13" t="s">
        <v>15399</v>
      </c>
      <c r="D1001" s="12" t="s">
        <v>15400</v>
      </c>
      <c r="E1001" s="13" t="s">
        <v>580</v>
      </c>
      <c r="F1001" s="681">
        <v>139.24</v>
      </c>
    </row>
    <row r="1002" spans="2:6" ht="15.75" hidden="1" customHeight="1" x14ac:dyDescent="0.25">
      <c r="B1002" s="13" t="s">
        <v>556</v>
      </c>
      <c r="C1002" s="13" t="s">
        <v>15401</v>
      </c>
      <c r="D1002" s="12" t="s">
        <v>15402</v>
      </c>
      <c r="E1002" s="13" t="s">
        <v>580</v>
      </c>
      <c r="F1002" s="681">
        <v>334.56</v>
      </c>
    </row>
    <row r="1003" spans="2:6" ht="15.75" hidden="1" customHeight="1" x14ac:dyDescent="0.25">
      <c r="B1003" s="13" t="s">
        <v>556</v>
      </c>
      <c r="C1003" s="13" t="s">
        <v>15403</v>
      </c>
      <c r="D1003" s="12" t="s">
        <v>15404</v>
      </c>
      <c r="E1003" s="13" t="s">
        <v>580</v>
      </c>
      <c r="F1003" s="681">
        <v>670.74</v>
      </c>
    </row>
    <row r="1004" spans="2:6" ht="15.75" hidden="1" customHeight="1" x14ac:dyDescent="0.25">
      <c r="B1004" s="13" t="s">
        <v>556</v>
      </c>
      <c r="C1004" s="13" t="s">
        <v>15405</v>
      </c>
      <c r="D1004" s="12" t="s">
        <v>15406</v>
      </c>
      <c r="E1004" s="13" t="s">
        <v>580</v>
      </c>
      <c r="F1004" s="681">
        <v>83.06</v>
      </c>
    </row>
    <row r="1005" spans="2:6" ht="15.75" hidden="1" customHeight="1" x14ac:dyDescent="0.25">
      <c r="B1005" s="13" t="s">
        <v>556</v>
      </c>
      <c r="C1005" s="13" t="s">
        <v>15407</v>
      </c>
      <c r="D1005" s="12" t="s">
        <v>8871</v>
      </c>
      <c r="E1005" s="13" t="s">
        <v>8869</v>
      </c>
      <c r="F1005" s="681">
        <v>373.93</v>
      </c>
    </row>
    <row r="1006" spans="2:6" ht="15.75" hidden="1" customHeight="1" x14ac:dyDescent="0.25">
      <c r="B1006" s="13" t="s">
        <v>556</v>
      </c>
      <c r="C1006" s="13" t="s">
        <v>15408</v>
      </c>
      <c r="D1006" s="12" t="s">
        <v>15409</v>
      </c>
      <c r="E1006" s="13" t="s">
        <v>580</v>
      </c>
      <c r="F1006" s="681">
        <v>110.94</v>
      </c>
    </row>
    <row r="1007" spans="2:6" ht="15.75" hidden="1" customHeight="1" x14ac:dyDescent="0.25">
      <c r="B1007" s="13" t="s">
        <v>556</v>
      </c>
      <c r="C1007" s="13" t="s">
        <v>15410</v>
      </c>
      <c r="D1007" s="12" t="s">
        <v>15411</v>
      </c>
      <c r="E1007" s="13" t="s">
        <v>580</v>
      </c>
      <c r="F1007" s="681">
        <v>24</v>
      </c>
    </row>
    <row r="1008" spans="2:6" ht="15.75" hidden="1" customHeight="1" x14ac:dyDescent="0.25">
      <c r="B1008" s="13" t="s">
        <v>556</v>
      </c>
      <c r="C1008" s="13" t="s">
        <v>15412</v>
      </c>
      <c r="D1008" s="12" t="s">
        <v>15413</v>
      </c>
      <c r="E1008" s="13" t="s">
        <v>580</v>
      </c>
      <c r="F1008" s="681">
        <v>280.05</v>
      </c>
    </row>
    <row r="1009" spans="2:6" ht="15.75" hidden="1" customHeight="1" x14ac:dyDescent="0.25">
      <c r="B1009" s="13" t="s">
        <v>556</v>
      </c>
      <c r="C1009" s="13" t="s">
        <v>15414</v>
      </c>
      <c r="D1009" s="12" t="s">
        <v>15415</v>
      </c>
      <c r="E1009" s="13" t="s">
        <v>580</v>
      </c>
      <c r="F1009" s="681">
        <v>27.98</v>
      </c>
    </row>
    <row r="1010" spans="2:6" ht="15.75" hidden="1" customHeight="1" x14ac:dyDescent="0.25">
      <c r="B1010" s="13" t="s">
        <v>556</v>
      </c>
      <c r="C1010" s="13" t="s">
        <v>15416</v>
      </c>
      <c r="D1010" s="12" t="s">
        <v>15417</v>
      </c>
      <c r="E1010" s="13" t="s">
        <v>580</v>
      </c>
      <c r="F1010" s="681">
        <v>68.23</v>
      </c>
    </row>
    <row r="1011" spans="2:6" ht="15.75" hidden="1" customHeight="1" x14ac:dyDescent="0.25">
      <c r="B1011" s="13" t="s">
        <v>556</v>
      </c>
      <c r="C1011" s="13" t="s">
        <v>15418</v>
      </c>
      <c r="D1011" s="12" t="s">
        <v>15419</v>
      </c>
      <c r="E1011" s="13" t="s">
        <v>580</v>
      </c>
      <c r="F1011" s="681">
        <v>318.95999999999998</v>
      </c>
    </row>
    <row r="1012" spans="2:6" ht="15.75" hidden="1" customHeight="1" x14ac:dyDescent="0.25">
      <c r="B1012" s="13" t="s">
        <v>556</v>
      </c>
      <c r="C1012" s="13" t="s">
        <v>15420</v>
      </c>
      <c r="D1012" s="12" t="s">
        <v>15421</v>
      </c>
      <c r="E1012" s="13" t="s">
        <v>580</v>
      </c>
      <c r="F1012" s="681">
        <v>41.53</v>
      </c>
    </row>
    <row r="1013" spans="2:6" ht="15.75" hidden="1" customHeight="1" x14ac:dyDescent="0.25">
      <c r="B1013" s="13" t="s">
        <v>556</v>
      </c>
      <c r="C1013" s="13" t="s">
        <v>15422</v>
      </c>
      <c r="D1013" s="12" t="s">
        <v>15423</v>
      </c>
      <c r="E1013" s="13" t="s">
        <v>580</v>
      </c>
      <c r="F1013" s="681">
        <v>16.690000000000001</v>
      </c>
    </row>
    <row r="1014" spans="2:6" ht="15.75" hidden="1" customHeight="1" x14ac:dyDescent="0.25">
      <c r="B1014" s="13" t="s">
        <v>556</v>
      </c>
      <c r="C1014" s="13" t="s">
        <v>15424</v>
      </c>
      <c r="D1014" s="12" t="s">
        <v>15425</v>
      </c>
      <c r="E1014" s="13" t="s">
        <v>580</v>
      </c>
      <c r="F1014" s="681">
        <v>148.32</v>
      </c>
    </row>
    <row r="1015" spans="2:6" ht="15.75" hidden="1" customHeight="1" x14ac:dyDescent="0.25">
      <c r="B1015" s="13" t="s">
        <v>556</v>
      </c>
      <c r="C1015" s="13" t="s">
        <v>15426</v>
      </c>
      <c r="D1015" s="12" t="s">
        <v>15427</v>
      </c>
      <c r="E1015" s="13" t="s">
        <v>580</v>
      </c>
      <c r="F1015" s="681">
        <v>67.16</v>
      </c>
    </row>
    <row r="1016" spans="2:6" ht="15.75" hidden="1" customHeight="1" x14ac:dyDescent="0.25">
      <c r="B1016" s="13" t="s">
        <v>556</v>
      </c>
      <c r="C1016" s="13" t="s">
        <v>15428</v>
      </c>
      <c r="D1016" s="12" t="s">
        <v>15429</v>
      </c>
      <c r="E1016" s="13" t="s">
        <v>580</v>
      </c>
      <c r="F1016" s="681">
        <v>29</v>
      </c>
    </row>
    <row r="1017" spans="2:6" ht="15.75" hidden="1" customHeight="1" x14ac:dyDescent="0.25">
      <c r="B1017" s="13" t="s">
        <v>556</v>
      </c>
      <c r="C1017" s="13" t="s">
        <v>15430</v>
      </c>
      <c r="D1017" s="12" t="s">
        <v>15431</v>
      </c>
      <c r="E1017" s="13" t="s">
        <v>580</v>
      </c>
      <c r="F1017" s="681">
        <v>233.93</v>
      </c>
    </row>
    <row r="1018" spans="2:6" ht="15.75" hidden="1" customHeight="1" x14ac:dyDescent="0.25">
      <c r="B1018" s="13" t="s">
        <v>556</v>
      </c>
      <c r="C1018" s="13" t="s">
        <v>15432</v>
      </c>
      <c r="D1018" s="12" t="s">
        <v>15433</v>
      </c>
      <c r="E1018" s="13" t="s">
        <v>580</v>
      </c>
      <c r="F1018" s="681">
        <v>94.77</v>
      </c>
    </row>
    <row r="1019" spans="2:6" ht="15.75" hidden="1" customHeight="1" x14ac:dyDescent="0.25">
      <c r="B1019" s="13" t="s">
        <v>556</v>
      </c>
      <c r="C1019" s="13" t="s">
        <v>15434</v>
      </c>
      <c r="D1019" s="12" t="s">
        <v>15435</v>
      </c>
      <c r="E1019" s="13" t="s">
        <v>580</v>
      </c>
      <c r="F1019" s="681">
        <v>79.05</v>
      </c>
    </row>
    <row r="1020" spans="2:6" ht="15.75" hidden="1" customHeight="1" x14ac:dyDescent="0.25">
      <c r="B1020" s="13" t="s">
        <v>556</v>
      </c>
      <c r="C1020" s="13" t="s">
        <v>15436</v>
      </c>
      <c r="D1020" s="12" t="s">
        <v>15437</v>
      </c>
      <c r="E1020" s="13" t="s">
        <v>580</v>
      </c>
      <c r="F1020" s="681">
        <v>146.72999999999999</v>
      </c>
    </row>
    <row r="1021" spans="2:6" ht="15.75" hidden="1" customHeight="1" x14ac:dyDescent="0.25">
      <c r="B1021" s="13" t="s">
        <v>556</v>
      </c>
      <c r="C1021" s="13" t="s">
        <v>15438</v>
      </c>
      <c r="D1021" s="12" t="s">
        <v>15439</v>
      </c>
      <c r="E1021" s="13" t="s">
        <v>580</v>
      </c>
      <c r="F1021" s="681">
        <v>179.06</v>
      </c>
    </row>
    <row r="1022" spans="2:6" ht="15.75" hidden="1" customHeight="1" x14ac:dyDescent="0.25">
      <c r="B1022" s="13" t="s">
        <v>556</v>
      </c>
      <c r="C1022" s="13" t="s">
        <v>15440</v>
      </c>
      <c r="D1022" s="12" t="s">
        <v>8868</v>
      </c>
      <c r="E1022" s="13" t="s">
        <v>8869</v>
      </c>
      <c r="F1022" s="681">
        <v>280</v>
      </c>
    </row>
    <row r="1023" spans="2:6" ht="15.75" hidden="1" customHeight="1" x14ac:dyDescent="0.25">
      <c r="B1023" s="13" t="s">
        <v>556</v>
      </c>
      <c r="C1023" s="13" t="s">
        <v>15441</v>
      </c>
      <c r="D1023" s="12" t="s">
        <v>15442</v>
      </c>
      <c r="E1023" s="13" t="s">
        <v>580</v>
      </c>
      <c r="F1023" s="681">
        <v>32.03</v>
      </c>
    </row>
    <row r="1024" spans="2:6" ht="15.75" hidden="1" customHeight="1" x14ac:dyDescent="0.25">
      <c r="B1024" s="13" t="s">
        <v>556</v>
      </c>
      <c r="C1024" s="13" t="s">
        <v>15443</v>
      </c>
      <c r="D1024" s="12" t="s">
        <v>8870</v>
      </c>
      <c r="E1024" s="13" t="s">
        <v>8869</v>
      </c>
      <c r="F1024" s="681">
        <v>173.41</v>
      </c>
    </row>
    <row r="1025" spans="2:6" ht="15.75" hidden="1" customHeight="1" x14ac:dyDescent="0.25">
      <c r="B1025" s="13" t="s">
        <v>556</v>
      </c>
      <c r="C1025" s="13" t="s">
        <v>15444</v>
      </c>
      <c r="D1025" s="12" t="s">
        <v>9681</v>
      </c>
      <c r="E1025" s="13" t="s">
        <v>580</v>
      </c>
      <c r="F1025" s="681">
        <v>134.68</v>
      </c>
    </row>
    <row r="1026" spans="2:6" ht="15.75" hidden="1" customHeight="1" x14ac:dyDescent="0.25">
      <c r="B1026" s="13" t="s">
        <v>556</v>
      </c>
      <c r="C1026" s="13" t="s">
        <v>15445</v>
      </c>
      <c r="D1026" s="12" t="s">
        <v>15446</v>
      </c>
      <c r="E1026" s="13" t="s">
        <v>580</v>
      </c>
      <c r="F1026" s="681">
        <v>40.14</v>
      </c>
    </row>
    <row r="1027" spans="2:6" ht="15.75" hidden="1" customHeight="1" x14ac:dyDescent="0.25">
      <c r="B1027" s="13" t="s">
        <v>556</v>
      </c>
      <c r="C1027" s="13" t="s">
        <v>15447</v>
      </c>
      <c r="D1027" s="12" t="s">
        <v>9680</v>
      </c>
      <c r="E1027" s="13" t="s">
        <v>580</v>
      </c>
      <c r="F1027" s="681">
        <v>58.81</v>
      </c>
    </row>
    <row r="1028" spans="2:6" ht="15.75" hidden="1" customHeight="1" x14ac:dyDescent="0.25">
      <c r="B1028" s="13" t="s">
        <v>556</v>
      </c>
      <c r="C1028" s="13" t="s">
        <v>15448</v>
      </c>
      <c r="D1028" s="12" t="s">
        <v>9682</v>
      </c>
      <c r="E1028" s="13" t="s">
        <v>580</v>
      </c>
      <c r="F1028" s="681">
        <v>62.58</v>
      </c>
    </row>
    <row r="1029" spans="2:6" ht="15.75" hidden="1" customHeight="1" x14ac:dyDescent="0.25">
      <c r="B1029" s="13" t="s">
        <v>556</v>
      </c>
      <c r="C1029" s="13" t="s">
        <v>15449</v>
      </c>
      <c r="D1029" s="12" t="s">
        <v>9683</v>
      </c>
      <c r="E1029" s="13" t="s">
        <v>580</v>
      </c>
      <c r="F1029" s="681">
        <v>163.05000000000001</v>
      </c>
    </row>
    <row r="1030" spans="2:6" ht="15.75" hidden="1" customHeight="1" x14ac:dyDescent="0.25">
      <c r="B1030" s="13" t="s">
        <v>556</v>
      </c>
      <c r="C1030" s="13" t="s">
        <v>15450</v>
      </c>
      <c r="D1030" s="12" t="s">
        <v>9648</v>
      </c>
      <c r="E1030" s="13" t="s">
        <v>580</v>
      </c>
      <c r="F1030" s="681">
        <v>2.21</v>
      </c>
    </row>
    <row r="1031" spans="2:6" ht="15.75" hidden="1" customHeight="1" x14ac:dyDescent="0.25">
      <c r="B1031" s="13" t="s">
        <v>556</v>
      </c>
      <c r="C1031" s="13" t="s">
        <v>15451</v>
      </c>
      <c r="D1031" s="12" t="s">
        <v>9260</v>
      </c>
      <c r="E1031" s="13" t="s">
        <v>580</v>
      </c>
      <c r="F1031" s="681">
        <v>3.45</v>
      </c>
    </row>
    <row r="1032" spans="2:6" ht="15.75" hidden="1" customHeight="1" x14ac:dyDescent="0.25">
      <c r="B1032" s="13" t="s">
        <v>556</v>
      </c>
      <c r="C1032" s="13" t="s">
        <v>15452</v>
      </c>
      <c r="D1032" s="12" t="s">
        <v>9257</v>
      </c>
      <c r="E1032" s="13" t="s">
        <v>580</v>
      </c>
      <c r="F1032" s="681">
        <v>1.93</v>
      </c>
    </row>
    <row r="1033" spans="2:6" ht="15.75" hidden="1" customHeight="1" x14ac:dyDescent="0.25">
      <c r="B1033" s="13" t="s">
        <v>556</v>
      </c>
      <c r="C1033" s="13" t="s">
        <v>15453</v>
      </c>
      <c r="D1033" s="12" t="s">
        <v>9258</v>
      </c>
      <c r="E1033" s="13" t="s">
        <v>580</v>
      </c>
      <c r="F1033" s="681">
        <v>3.84</v>
      </c>
    </row>
    <row r="1034" spans="2:6" ht="15.75" hidden="1" customHeight="1" x14ac:dyDescent="0.25">
      <c r="B1034" s="13" t="s">
        <v>556</v>
      </c>
      <c r="C1034" s="13" t="s">
        <v>15454</v>
      </c>
      <c r="D1034" s="12" t="s">
        <v>9646</v>
      </c>
      <c r="E1034" s="13" t="s">
        <v>580</v>
      </c>
      <c r="F1034" s="681">
        <v>3.83</v>
      </c>
    </row>
    <row r="1035" spans="2:6" ht="15.75" hidden="1" customHeight="1" x14ac:dyDescent="0.25">
      <c r="B1035" s="13" t="s">
        <v>556</v>
      </c>
      <c r="C1035" s="13" t="s">
        <v>15455</v>
      </c>
      <c r="D1035" s="12" t="s">
        <v>9645</v>
      </c>
      <c r="E1035" s="13" t="s">
        <v>580</v>
      </c>
      <c r="F1035" s="681">
        <v>4.63</v>
      </c>
    </row>
    <row r="1036" spans="2:6" ht="15.75" hidden="1" customHeight="1" x14ac:dyDescent="0.25">
      <c r="B1036" s="13" t="s">
        <v>556</v>
      </c>
      <c r="C1036" s="13" t="s">
        <v>15456</v>
      </c>
      <c r="D1036" s="12" t="s">
        <v>9650</v>
      </c>
      <c r="E1036" s="13" t="s">
        <v>580</v>
      </c>
      <c r="F1036" s="681">
        <v>7.53</v>
      </c>
    </row>
    <row r="1037" spans="2:6" ht="15.75" hidden="1" customHeight="1" x14ac:dyDescent="0.25">
      <c r="B1037" s="13" t="s">
        <v>556</v>
      </c>
      <c r="C1037" s="13" t="s">
        <v>15457</v>
      </c>
      <c r="D1037" s="12" t="s">
        <v>9651</v>
      </c>
      <c r="E1037" s="13" t="s">
        <v>580</v>
      </c>
      <c r="F1037" s="681">
        <v>19.239999999999998</v>
      </c>
    </row>
    <row r="1038" spans="2:6" ht="15.75" hidden="1" customHeight="1" x14ac:dyDescent="0.25">
      <c r="B1038" s="13" t="s">
        <v>556</v>
      </c>
      <c r="C1038" s="13" t="s">
        <v>15458</v>
      </c>
      <c r="D1038" s="12" t="s">
        <v>9653</v>
      </c>
      <c r="E1038" s="13" t="s">
        <v>580</v>
      </c>
      <c r="F1038" s="681">
        <v>38.65</v>
      </c>
    </row>
    <row r="1039" spans="2:6" ht="15.75" hidden="1" customHeight="1" x14ac:dyDescent="0.25">
      <c r="B1039" s="13" t="s">
        <v>556</v>
      </c>
      <c r="C1039" s="13" t="s">
        <v>15459</v>
      </c>
      <c r="D1039" s="12" t="s">
        <v>9652</v>
      </c>
      <c r="E1039" s="13" t="s">
        <v>580</v>
      </c>
      <c r="F1039" s="681">
        <v>2.2400000000000002</v>
      </c>
    </row>
    <row r="1040" spans="2:6" ht="15.75" hidden="1" customHeight="1" x14ac:dyDescent="0.25">
      <c r="B1040" s="13" t="s">
        <v>556</v>
      </c>
      <c r="C1040" s="13" t="s">
        <v>15460</v>
      </c>
      <c r="D1040" s="12" t="s">
        <v>9621</v>
      </c>
      <c r="E1040" s="13" t="s">
        <v>580</v>
      </c>
      <c r="F1040" s="681">
        <v>2.65</v>
      </c>
    </row>
    <row r="1041" spans="2:6" ht="15.75" hidden="1" customHeight="1" x14ac:dyDescent="0.25">
      <c r="B1041" s="13" t="s">
        <v>556</v>
      </c>
      <c r="C1041" s="13" t="s">
        <v>15461</v>
      </c>
      <c r="D1041" s="12" t="s">
        <v>9647</v>
      </c>
      <c r="E1041" s="13" t="s">
        <v>580</v>
      </c>
      <c r="F1041" s="681">
        <v>3.39</v>
      </c>
    </row>
    <row r="1042" spans="2:6" ht="15.75" hidden="1" customHeight="1" x14ac:dyDescent="0.25">
      <c r="B1042" s="13" t="s">
        <v>556</v>
      </c>
      <c r="C1042" s="13" t="s">
        <v>15462</v>
      </c>
      <c r="D1042" s="12" t="s">
        <v>9649</v>
      </c>
      <c r="E1042" s="13" t="s">
        <v>580</v>
      </c>
      <c r="F1042" s="681">
        <v>19.21</v>
      </c>
    </row>
    <row r="1043" spans="2:6" ht="15.75" hidden="1" customHeight="1" x14ac:dyDescent="0.25">
      <c r="B1043" s="13" t="s">
        <v>556</v>
      </c>
      <c r="C1043" s="13" t="s">
        <v>15463</v>
      </c>
      <c r="D1043" s="12" t="s">
        <v>10516</v>
      </c>
      <c r="E1043" s="13" t="s">
        <v>580</v>
      </c>
      <c r="F1043" s="681">
        <v>0.97</v>
      </c>
    </row>
    <row r="1044" spans="2:6" ht="15.75" hidden="1" customHeight="1" x14ac:dyDescent="0.25">
      <c r="B1044" s="13" t="s">
        <v>556</v>
      </c>
      <c r="C1044" s="13" t="s">
        <v>15464</v>
      </c>
      <c r="D1044" s="12" t="s">
        <v>10511</v>
      </c>
      <c r="E1044" s="13" t="s">
        <v>580</v>
      </c>
      <c r="F1044" s="681">
        <v>1.35</v>
      </c>
    </row>
    <row r="1045" spans="2:6" ht="15.75" hidden="1" customHeight="1" x14ac:dyDescent="0.25">
      <c r="B1045" s="13" t="s">
        <v>556</v>
      </c>
      <c r="C1045" s="13" t="s">
        <v>15465</v>
      </c>
      <c r="D1045" s="12" t="s">
        <v>10509</v>
      </c>
      <c r="E1045" s="13" t="s">
        <v>580</v>
      </c>
      <c r="F1045" s="681">
        <v>2.89</v>
      </c>
    </row>
    <row r="1046" spans="2:6" ht="15.75" hidden="1" customHeight="1" x14ac:dyDescent="0.25">
      <c r="B1046" s="13" t="s">
        <v>556</v>
      </c>
      <c r="C1046" s="13" t="s">
        <v>15466</v>
      </c>
      <c r="D1046" s="12" t="s">
        <v>10514</v>
      </c>
      <c r="E1046" s="13" t="s">
        <v>580</v>
      </c>
      <c r="F1046" s="681">
        <v>4.18</v>
      </c>
    </row>
    <row r="1047" spans="2:6" ht="15.75" hidden="1" customHeight="1" x14ac:dyDescent="0.25">
      <c r="B1047" s="13" t="s">
        <v>556</v>
      </c>
      <c r="C1047" s="13" t="s">
        <v>15467</v>
      </c>
      <c r="D1047" s="12" t="s">
        <v>10517</v>
      </c>
      <c r="E1047" s="13" t="s">
        <v>580</v>
      </c>
      <c r="F1047" s="681">
        <v>21.97</v>
      </c>
    </row>
    <row r="1048" spans="2:6" ht="15.75" hidden="1" customHeight="1" x14ac:dyDescent="0.25">
      <c r="B1048" s="13" t="s">
        <v>556</v>
      </c>
      <c r="C1048" s="13" t="s">
        <v>15468</v>
      </c>
      <c r="D1048" s="12" t="s">
        <v>10515</v>
      </c>
      <c r="E1048" s="13" t="s">
        <v>580</v>
      </c>
      <c r="F1048" s="681">
        <v>12.5</v>
      </c>
    </row>
    <row r="1049" spans="2:6" ht="15.75" hidden="1" customHeight="1" x14ac:dyDescent="0.25">
      <c r="B1049" s="13" t="s">
        <v>556</v>
      </c>
      <c r="C1049" s="13" t="s">
        <v>15469</v>
      </c>
      <c r="D1049" s="12" t="s">
        <v>10495</v>
      </c>
      <c r="E1049" s="13" t="s">
        <v>580</v>
      </c>
      <c r="F1049" s="681">
        <v>0.87</v>
      </c>
    </row>
    <row r="1050" spans="2:6" ht="15.75" hidden="1" customHeight="1" x14ac:dyDescent="0.25">
      <c r="B1050" s="13" t="s">
        <v>556</v>
      </c>
      <c r="C1050" s="13" t="s">
        <v>15470</v>
      </c>
      <c r="D1050" s="12" t="s">
        <v>10496</v>
      </c>
      <c r="E1050" s="13" t="s">
        <v>580</v>
      </c>
      <c r="F1050" s="681">
        <v>1.4</v>
      </c>
    </row>
    <row r="1051" spans="2:6" ht="15.75" hidden="1" customHeight="1" x14ac:dyDescent="0.25">
      <c r="B1051" s="13" t="s">
        <v>556</v>
      </c>
      <c r="C1051" s="13" t="s">
        <v>15471</v>
      </c>
      <c r="D1051" s="12" t="s">
        <v>10512</v>
      </c>
      <c r="E1051" s="13" t="s">
        <v>580</v>
      </c>
      <c r="F1051" s="681">
        <v>0.65</v>
      </c>
    </row>
    <row r="1052" spans="2:6" ht="15.75" hidden="1" customHeight="1" x14ac:dyDescent="0.25">
      <c r="B1052" s="13" t="s">
        <v>556</v>
      </c>
      <c r="C1052" s="13" t="s">
        <v>15472</v>
      </c>
      <c r="D1052" s="12" t="s">
        <v>10510</v>
      </c>
      <c r="E1052" s="13" t="s">
        <v>580</v>
      </c>
      <c r="F1052" s="681">
        <v>2.1</v>
      </c>
    </row>
    <row r="1053" spans="2:6" ht="15.75" hidden="1" customHeight="1" x14ac:dyDescent="0.25">
      <c r="B1053" s="13" t="s">
        <v>556</v>
      </c>
      <c r="C1053" s="13" t="s">
        <v>15473</v>
      </c>
      <c r="D1053" s="12" t="s">
        <v>10494</v>
      </c>
      <c r="E1053" s="13" t="s">
        <v>580</v>
      </c>
      <c r="F1053" s="681">
        <v>0.76</v>
      </c>
    </row>
    <row r="1054" spans="2:6" ht="15.75" hidden="1" customHeight="1" x14ac:dyDescent="0.25">
      <c r="B1054" s="13" t="s">
        <v>556</v>
      </c>
      <c r="C1054" s="13" t="s">
        <v>15474</v>
      </c>
      <c r="D1054" s="12" t="s">
        <v>10513</v>
      </c>
      <c r="E1054" s="13" t="s">
        <v>580</v>
      </c>
      <c r="F1054" s="681">
        <v>9.31</v>
      </c>
    </row>
    <row r="1055" spans="2:6" ht="15.75" hidden="1" customHeight="1" x14ac:dyDescent="0.25">
      <c r="B1055" s="13" t="s">
        <v>556</v>
      </c>
      <c r="C1055" s="13" t="s">
        <v>15475</v>
      </c>
      <c r="D1055" s="12" t="s">
        <v>9663</v>
      </c>
      <c r="E1055" s="13" t="s">
        <v>580</v>
      </c>
      <c r="F1055" s="681">
        <v>29.74</v>
      </c>
    </row>
    <row r="1056" spans="2:6" ht="15.75" hidden="1" customHeight="1" x14ac:dyDescent="0.25">
      <c r="B1056" s="13" t="s">
        <v>556</v>
      </c>
      <c r="C1056" s="13" t="s">
        <v>15476</v>
      </c>
      <c r="D1056" s="12" t="s">
        <v>9659</v>
      </c>
      <c r="E1056" s="13" t="s">
        <v>580</v>
      </c>
      <c r="F1056" s="681">
        <v>4.29</v>
      </c>
    </row>
    <row r="1057" spans="2:6" ht="15.75" hidden="1" customHeight="1" x14ac:dyDescent="0.25">
      <c r="B1057" s="13" t="s">
        <v>556</v>
      </c>
      <c r="C1057" s="13" t="s">
        <v>15477</v>
      </c>
      <c r="D1057" s="12" t="s">
        <v>9662</v>
      </c>
      <c r="E1057" s="13" t="s">
        <v>580</v>
      </c>
      <c r="F1057" s="681">
        <v>14.38</v>
      </c>
    </row>
    <row r="1058" spans="2:6" ht="15.75" hidden="1" customHeight="1" x14ac:dyDescent="0.25">
      <c r="B1058" s="13" t="s">
        <v>556</v>
      </c>
      <c r="C1058" s="13" t="s">
        <v>15478</v>
      </c>
      <c r="D1058" s="12" t="s">
        <v>9671</v>
      </c>
      <c r="E1058" s="13" t="s">
        <v>580</v>
      </c>
      <c r="F1058" s="681">
        <v>32.75</v>
      </c>
    </row>
    <row r="1059" spans="2:6" ht="15.75" hidden="1" customHeight="1" x14ac:dyDescent="0.25">
      <c r="B1059" s="13" t="s">
        <v>556</v>
      </c>
      <c r="C1059" s="13" t="s">
        <v>15479</v>
      </c>
      <c r="D1059" s="12" t="s">
        <v>9657</v>
      </c>
      <c r="E1059" s="13" t="s">
        <v>580</v>
      </c>
      <c r="F1059" s="681">
        <v>2.1</v>
      </c>
    </row>
    <row r="1060" spans="2:6" ht="15.75" hidden="1" customHeight="1" x14ac:dyDescent="0.25">
      <c r="B1060" s="13" t="s">
        <v>556</v>
      </c>
      <c r="C1060" s="13" t="s">
        <v>15480</v>
      </c>
      <c r="D1060" s="12" t="s">
        <v>9658</v>
      </c>
      <c r="E1060" s="13" t="s">
        <v>580</v>
      </c>
      <c r="F1060" s="681">
        <v>2.35</v>
      </c>
    </row>
    <row r="1061" spans="2:6" ht="15.75" hidden="1" customHeight="1" x14ac:dyDescent="0.25">
      <c r="B1061" s="13" t="s">
        <v>556</v>
      </c>
      <c r="C1061" s="13" t="s">
        <v>15481</v>
      </c>
      <c r="D1061" s="12" t="s">
        <v>9660</v>
      </c>
      <c r="E1061" s="13" t="s">
        <v>580</v>
      </c>
      <c r="F1061" s="681">
        <v>5.21</v>
      </c>
    </row>
    <row r="1062" spans="2:6" ht="15.75" hidden="1" customHeight="1" x14ac:dyDescent="0.25">
      <c r="B1062" s="13" t="s">
        <v>556</v>
      </c>
      <c r="C1062" s="13" t="s">
        <v>15482</v>
      </c>
      <c r="D1062" s="12" t="s">
        <v>9661</v>
      </c>
      <c r="E1062" s="13" t="s">
        <v>580</v>
      </c>
      <c r="F1062" s="681">
        <v>8.91</v>
      </c>
    </row>
    <row r="1063" spans="2:6" ht="15.75" hidden="1" customHeight="1" x14ac:dyDescent="0.25">
      <c r="B1063" s="13" t="s">
        <v>556</v>
      </c>
      <c r="C1063" s="13" t="s">
        <v>15483</v>
      </c>
      <c r="D1063" s="12" t="s">
        <v>9692</v>
      </c>
      <c r="E1063" s="13" t="s">
        <v>580</v>
      </c>
      <c r="F1063" s="681">
        <v>12.31</v>
      </c>
    </row>
    <row r="1064" spans="2:6" ht="15.75" hidden="1" customHeight="1" x14ac:dyDescent="0.25">
      <c r="B1064" s="13" t="s">
        <v>556</v>
      </c>
      <c r="C1064" s="13" t="s">
        <v>15484</v>
      </c>
      <c r="D1064" s="12" t="s">
        <v>9691</v>
      </c>
      <c r="E1064" s="13" t="s">
        <v>580</v>
      </c>
      <c r="F1064" s="681">
        <v>5.38</v>
      </c>
    </row>
    <row r="1065" spans="2:6" ht="15.75" hidden="1" customHeight="1" x14ac:dyDescent="0.25">
      <c r="B1065" s="13" t="s">
        <v>556</v>
      </c>
      <c r="C1065" s="13" t="s">
        <v>15485</v>
      </c>
      <c r="D1065" s="12" t="s">
        <v>9688</v>
      </c>
      <c r="E1065" s="13" t="s">
        <v>580</v>
      </c>
      <c r="F1065" s="681">
        <v>5.4</v>
      </c>
    </row>
    <row r="1066" spans="2:6" ht="15.75" hidden="1" customHeight="1" x14ac:dyDescent="0.25">
      <c r="B1066" s="13" t="s">
        <v>556</v>
      </c>
      <c r="C1066" s="13" t="s">
        <v>15486</v>
      </c>
      <c r="D1066" s="12" t="s">
        <v>9689</v>
      </c>
      <c r="E1066" s="13" t="s">
        <v>580</v>
      </c>
      <c r="F1066" s="681">
        <v>6.14</v>
      </c>
    </row>
    <row r="1067" spans="2:6" ht="15.75" hidden="1" customHeight="1" x14ac:dyDescent="0.25">
      <c r="B1067" s="13" t="s">
        <v>556</v>
      </c>
      <c r="C1067" s="13" t="s">
        <v>15487</v>
      </c>
      <c r="D1067" s="12" t="s">
        <v>9687</v>
      </c>
      <c r="E1067" s="13" t="s">
        <v>580</v>
      </c>
      <c r="F1067" s="681">
        <v>8.7799999999999994</v>
      </c>
    </row>
    <row r="1068" spans="2:6" ht="15.75" hidden="1" customHeight="1" x14ac:dyDescent="0.25">
      <c r="B1068" s="13" t="s">
        <v>556</v>
      </c>
      <c r="C1068" s="13" t="s">
        <v>15488</v>
      </c>
      <c r="D1068" s="12" t="s">
        <v>9686</v>
      </c>
      <c r="E1068" s="13" t="s">
        <v>580</v>
      </c>
      <c r="F1068" s="681">
        <v>32</v>
      </c>
    </row>
    <row r="1069" spans="2:6" ht="15.75" hidden="1" customHeight="1" x14ac:dyDescent="0.25">
      <c r="B1069" s="13" t="s">
        <v>556</v>
      </c>
      <c r="C1069" s="13" t="s">
        <v>15489</v>
      </c>
      <c r="D1069" s="12" t="s">
        <v>9693</v>
      </c>
      <c r="E1069" s="13" t="s">
        <v>580</v>
      </c>
      <c r="F1069" s="681">
        <v>25.68</v>
      </c>
    </row>
    <row r="1070" spans="2:6" ht="15.75" hidden="1" customHeight="1" x14ac:dyDescent="0.25">
      <c r="B1070" s="13" t="s">
        <v>556</v>
      </c>
      <c r="C1070" s="13" t="s">
        <v>15490</v>
      </c>
      <c r="D1070" s="12" t="s">
        <v>9664</v>
      </c>
      <c r="E1070" s="13" t="s">
        <v>580</v>
      </c>
      <c r="F1070" s="681">
        <v>36.299999999999997</v>
      </c>
    </row>
    <row r="1071" spans="2:6" ht="15.75" hidden="1" customHeight="1" x14ac:dyDescent="0.25">
      <c r="B1071" s="13" t="s">
        <v>556</v>
      </c>
      <c r="C1071" s="13" t="s">
        <v>15491</v>
      </c>
      <c r="D1071" s="12" t="s">
        <v>9666</v>
      </c>
      <c r="E1071" s="13" t="s">
        <v>580</v>
      </c>
      <c r="F1071" s="681">
        <v>2.0299999999999998</v>
      </c>
    </row>
    <row r="1072" spans="2:6" ht="15.75" hidden="1" customHeight="1" x14ac:dyDescent="0.25">
      <c r="B1072" s="13" t="s">
        <v>556</v>
      </c>
      <c r="C1072" s="13" t="s">
        <v>15492</v>
      </c>
      <c r="D1072" s="12" t="s">
        <v>9667</v>
      </c>
      <c r="E1072" s="13" t="s">
        <v>580</v>
      </c>
      <c r="F1072" s="681">
        <v>2.87</v>
      </c>
    </row>
    <row r="1073" spans="2:6" ht="15.75" hidden="1" customHeight="1" x14ac:dyDescent="0.25">
      <c r="B1073" s="13" t="s">
        <v>556</v>
      </c>
      <c r="C1073" s="13" t="s">
        <v>15493</v>
      </c>
      <c r="D1073" s="12" t="s">
        <v>9668</v>
      </c>
      <c r="E1073" s="13" t="s">
        <v>580</v>
      </c>
      <c r="F1073" s="681">
        <v>6.2</v>
      </c>
    </row>
    <row r="1074" spans="2:6" ht="15.75" hidden="1" customHeight="1" x14ac:dyDescent="0.25">
      <c r="B1074" s="13" t="s">
        <v>556</v>
      </c>
      <c r="C1074" s="13" t="s">
        <v>15494</v>
      </c>
      <c r="D1074" s="12" t="s">
        <v>9669</v>
      </c>
      <c r="E1074" s="13" t="s">
        <v>580</v>
      </c>
      <c r="F1074" s="681">
        <v>11.55</v>
      </c>
    </row>
    <row r="1075" spans="2:6" ht="15.75" hidden="1" customHeight="1" x14ac:dyDescent="0.25">
      <c r="B1075" s="13" t="s">
        <v>556</v>
      </c>
      <c r="C1075" s="13" t="s">
        <v>15495</v>
      </c>
      <c r="D1075" s="12" t="s">
        <v>9670</v>
      </c>
      <c r="E1075" s="13" t="s">
        <v>580</v>
      </c>
      <c r="F1075" s="681">
        <v>12.53</v>
      </c>
    </row>
    <row r="1076" spans="2:6" ht="15.75" hidden="1" customHeight="1" x14ac:dyDescent="0.25">
      <c r="B1076" s="13" t="s">
        <v>556</v>
      </c>
      <c r="C1076" s="13" t="s">
        <v>15496</v>
      </c>
      <c r="D1076" s="12" t="s">
        <v>9672</v>
      </c>
      <c r="E1076" s="13" t="s">
        <v>580</v>
      </c>
      <c r="F1076" s="681">
        <v>50.3</v>
      </c>
    </row>
    <row r="1077" spans="2:6" ht="15.75" hidden="1" customHeight="1" x14ac:dyDescent="0.25">
      <c r="B1077" s="13" t="s">
        <v>556</v>
      </c>
      <c r="C1077" s="13" t="s">
        <v>15497</v>
      </c>
      <c r="D1077" s="12" t="s">
        <v>9673</v>
      </c>
      <c r="E1077" s="13" t="s">
        <v>580</v>
      </c>
      <c r="F1077" s="681">
        <v>64.44</v>
      </c>
    </row>
    <row r="1078" spans="2:6" ht="15.75" hidden="1" customHeight="1" x14ac:dyDescent="0.25">
      <c r="B1078" s="13" t="s">
        <v>556</v>
      </c>
      <c r="C1078" s="13" t="s">
        <v>15498</v>
      </c>
      <c r="D1078" s="12" t="s">
        <v>9665</v>
      </c>
      <c r="E1078" s="13" t="s">
        <v>580</v>
      </c>
      <c r="F1078" s="681">
        <v>176.38</v>
      </c>
    </row>
    <row r="1079" spans="2:6" ht="15.75" hidden="1" customHeight="1" x14ac:dyDescent="0.25">
      <c r="B1079" s="13" t="s">
        <v>556</v>
      </c>
      <c r="C1079" s="13" t="s">
        <v>15499</v>
      </c>
      <c r="D1079" s="12" t="s">
        <v>9690</v>
      </c>
      <c r="E1079" s="13" t="s">
        <v>580</v>
      </c>
      <c r="F1079" s="681">
        <v>24.96</v>
      </c>
    </row>
    <row r="1080" spans="2:6" ht="15.75" hidden="1" customHeight="1" x14ac:dyDescent="0.25">
      <c r="B1080" s="13" t="s">
        <v>556</v>
      </c>
      <c r="C1080" s="13" t="s">
        <v>15500</v>
      </c>
      <c r="D1080" s="12" t="s">
        <v>9695</v>
      </c>
      <c r="E1080" s="13" t="s">
        <v>580</v>
      </c>
      <c r="F1080" s="681">
        <v>7.41</v>
      </c>
    </row>
    <row r="1081" spans="2:6" ht="15.75" hidden="1" customHeight="1" x14ac:dyDescent="0.25">
      <c r="B1081" s="13" t="s">
        <v>556</v>
      </c>
      <c r="C1081" s="13" t="s">
        <v>15501</v>
      </c>
      <c r="D1081" s="12" t="s">
        <v>9696</v>
      </c>
      <c r="E1081" s="13" t="s">
        <v>580</v>
      </c>
      <c r="F1081" s="681">
        <v>14.64</v>
      </c>
    </row>
    <row r="1082" spans="2:6" ht="15.75" hidden="1" customHeight="1" x14ac:dyDescent="0.25">
      <c r="B1082" s="13" t="s">
        <v>556</v>
      </c>
      <c r="C1082" s="13" t="s">
        <v>15502</v>
      </c>
      <c r="D1082" s="12" t="s">
        <v>9697</v>
      </c>
      <c r="E1082" s="13" t="s">
        <v>580</v>
      </c>
      <c r="F1082" s="681">
        <v>47.66</v>
      </c>
    </row>
    <row r="1083" spans="2:6" ht="15.75" hidden="1" customHeight="1" x14ac:dyDescent="0.25">
      <c r="B1083" s="13" t="s">
        <v>556</v>
      </c>
      <c r="C1083" s="13" t="s">
        <v>15503</v>
      </c>
      <c r="D1083" s="12" t="s">
        <v>9694</v>
      </c>
      <c r="E1083" s="13" t="s">
        <v>580</v>
      </c>
      <c r="F1083" s="681">
        <v>62.38</v>
      </c>
    </row>
    <row r="1084" spans="2:6" ht="15.75" hidden="1" customHeight="1" x14ac:dyDescent="0.25">
      <c r="B1084" s="13" t="s">
        <v>556</v>
      </c>
      <c r="C1084" s="13" t="s">
        <v>15504</v>
      </c>
      <c r="D1084" s="12" t="s">
        <v>10790</v>
      </c>
      <c r="E1084" s="13" t="s">
        <v>664</v>
      </c>
      <c r="F1084" s="681">
        <v>22.9</v>
      </c>
    </row>
    <row r="1085" spans="2:6" ht="15.75" hidden="1" customHeight="1" x14ac:dyDescent="0.25">
      <c r="B1085" s="13" t="s">
        <v>556</v>
      </c>
      <c r="C1085" s="13" t="s">
        <v>15505</v>
      </c>
      <c r="D1085" s="12" t="s">
        <v>8872</v>
      </c>
      <c r="E1085" s="13" t="s">
        <v>8869</v>
      </c>
      <c r="F1085" s="681">
        <v>216.77</v>
      </c>
    </row>
    <row r="1086" spans="2:6" ht="15.75" hidden="1" customHeight="1" x14ac:dyDescent="0.25">
      <c r="B1086" s="13" t="s">
        <v>556</v>
      </c>
      <c r="C1086" s="13" t="s">
        <v>15506</v>
      </c>
      <c r="D1086" s="12" t="s">
        <v>10163</v>
      </c>
      <c r="E1086" s="13" t="s">
        <v>585</v>
      </c>
      <c r="F1086" s="681">
        <v>6.07</v>
      </c>
    </row>
    <row r="1087" spans="2:6" ht="15.75" hidden="1" customHeight="1" x14ac:dyDescent="0.25">
      <c r="B1087" s="13" t="s">
        <v>556</v>
      </c>
      <c r="C1087" s="13" t="s">
        <v>15507</v>
      </c>
      <c r="D1087" s="12" t="s">
        <v>10162</v>
      </c>
      <c r="E1087" s="13" t="s">
        <v>585</v>
      </c>
      <c r="F1087" s="681">
        <v>10.18</v>
      </c>
    </row>
    <row r="1088" spans="2:6" ht="15.75" hidden="1" customHeight="1" x14ac:dyDescent="0.25">
      <c r="B1088" s="13" t="s">
        <v>14153</v>
      </c>
      <c r="C1088" s="13" t="s">
        <v>15508</v>
      </c>
      <c r="D1088" s="12" t="s">
        <v>10726</v>
      </c>
      <c r="E1088" s="13" t="s">
        <v>2193</v>
      </c>
      <c r="F1088" s="681">
        <v>29.43</v>
      </c>
    </row>
    <row r="1089" spans="2:6" ht="15.75" hidden="1" customHeight="1" x14ac:dyDescent="0.25">
      <c r="B1089" s="13" t="s">
        <v>556</v>
      </c>
      <c r="C1089" s="13" t="s">
        <v>15509</v>
      </c>
      <c r="D1089" s="12" t="s">
        <v>11152</v>
      </c>
      <c r="E1089" s="13" t="s">
        <v>580</v>
      </c>
      <c r="F1089" s="681">
        <v>8.33</v>
      </c>
    </row>
    <row r="1090" spans="2:6" ht="15.75" hidden="1" customHeight="1" x14ac:dyDescent="0.25">
      <c r="B1090" s="13" t="s">
        <v>556</v>
      </c>
      <c r="C1090" s="13" t="s">
        <v>15510</v>
      </c>
      <c r="D1090" s="12" t="s">
        <v>11150</v>
      </c>
      <c r="E1090" s="13" t="s">
        <v>580</v>
      </c>
      <c r="F1090" s="681">
        <v>9.6</v>
      </c>
    </row>
    <row r="1091" spans="2:6" ht="15.75" hidden="1" customHeight="1" x14ac:dyDescent="0.25">
      <c r="B1091" s="13" t="s">
        <v>556</v>
      </c>
      <c r="C1091" s="13" t="s">
        <v>15511</v>
      </c>
      <c r="D1091" s="12" t="s">
        <v>11151</v>
      </c>
      <c r="E1091" s="13" t="s">
        <v>580</v>
      </c>
      <c r="F1091" s="681">
        <v>11.13</v>
      </c>
    </row>
    <row r="1092" spans="2:6" ht="15.75" hidden="1" customHeight="1" x14ac:dyDescent="0.25">
      <c r="B1092" s="13" t="s">
        <v>556</v>
      </c>
      <c r="C1092" s="13" t="s">
        <v>15512</v>
      </c>
      <c r="D1092" s="12" t="s">
        <v>11155</v>
      </c>
      <c r="E1092" s="13" t="s">
        <v>580</v>
      </c>
      <c r="F1092" s="681">
        <v>9.9700000000000006</v>
      </c>
    </row>
    <row r="1093" spans="2:6" ht="15.75" hidden="1" customHeight="1" x14ac:dyDescent="0.25">
      <c r="B1093" s="13" t="s">
        <v>556</v>
      </c>
      <c r="C1093" s="13" t="s">
        <v>15513</v>
      </c>
      <c r="D1093" s="12" t="s">
        <v>11153</v>
      </c>
      <c r="E1093" s="13" t="s">
        <v>580</v>
      </c>
      <c r="F1093" s="681">
        <v>19.72</v>
      </c>
    </row>
    <row r="1094" spans="2:6" ht="15.75" hidden="1" customHeight="1" x14ac:dyDescent="0.25">
      <c r="B1094" s="13" t="s">
        <v>556</v>
      </c>
      <c r="C1094" s="13" t="s">
        <v>15514</v>
      </c>
      <c r="D1094" s="12" t="s">
        <v>11154</v>
      </c>
      <c r="E1094" s="13" t="s">
        <v>580</v>
      </c>
      <c r="F1094" s="681">
        <v>59.13</v>
      </c>
    </row>
    <row r="1095" spans="2:6" ht="15.75" hidden="1" customHeight="1" x14ac:dyDescent="0.25">
      <c r="B1095" s="13" t="s">
        <v>556</v>
      </c>
      <c r="C1095" s="13" t="s">
        <v>15515</v>
      </c>
      <c r="D1095" s="12" t="s">
        <v>11164</v>
      </c>
      <c r="E1095" s="13" t="s">
        <v>580</v>
      </c>
      <c r="F1095" s="681">
        <v>44.22</v>
      </c>
    </row>
    <row r="1096" spans="2:6" ht="15.75" hidden="1" customHeight="1" x14ac:dyDescent="0.25">
      <c r="B1096" s="13" t="s">
        <v>556</v>
      </c>
      <c r="C1096" s="13" t="s">
        <v>15516</v>
      </c>
      <c r="D1096" s="12" t="s">
        <v>11757</v>
      </c>
      <c r="E1096" s="13" t="s">
        <v>585</v>
      </c>
      <c r="F1096" s="681">
        <v>41.69</v>
      </c>
    </row>
    <row r="1097" spans="2:6" ht="15.75" hidden="1" customHeight="1" x14ac:dyDescent="0.25">
      <c r="B1097" s="13" t="s">
        <v>556</v>
      </c>
      <c r="C1097" s="13" t="s">
        <v>15517</v>
      </c>
      <c r="D1097" s="12" t="s">
        <v>11770</v>
      </c>
      <c r="E1097" s="13" t="s">
        <v>585</v>
      </c>
      <c r="F1097" s="681">
        <v>9.74</v>
      </c>
    </row>
    <row r="1098" spans="2:6" ht="15.75" hidden="1" customHeight="1" x14ac:dyDescent="0.25">
      <c r="B1098" s="13" t="s">
        <v>556</v>
      </c>
      <c r="C1098" s="13" t="s">
        <v>15518</v>
      </c>
      <c r="D1098" s="12" t="s">
        <v>11771</v>
      </c>
      <c r="E1098" s="13" t="s">
        <v>585</v>
      </c>
      <c r="F1098" s="681">
        <v>13.72</v>
      </c>
    </row>
    <row r="1099" spans="2:6" ht="15.75" hidden="1" customHeight="1" x14ac:dyDescent="0.25">
      <c r="B1099" s="13" t="s">
        <v>556</v>
      </c>
      <c r="C1099" s="13" t="s">
        <v>15519</v>
      </c>
      <c r="D1099" s="12" t="s">
        <v>10865</v>
      </c>
      <c r="E1099" s="13" t="s">
        <v>580</v>
      </c>
      <c r="F1099" s="681">
        <v>23.78</v>
      </c>
    </row>
    <row r="1100" spans="2:6" ht="15.75" hidden="1" customHeight="1" x14ac:dyDescent="0.25">
      <c r="B1100" s="13" t="s">
        <v>556</v>
      </c>
      <c r="C1100" s="13" t="s">
        <v>15520</v>
      </c>
      <c r="D1100" s="12" t="s">
        <v>8602</v>
      </c>
      <c r="E1100" s="13" t="s">
        <v>580</v>
      </c>
      <c r="F1100" s="681">
        <v>18.809999999999999</v>
      </c>
    </row>
    <row r="1101" spans="2:6" ht="15.75" hidden="1" customHeight="1" x14ac:dyDescent="0.25">
      <c r="B1101" s="13" t="s">
        <v>556</v>
      </c>
      <c r="C1101" s="13" t="s">
        <v>15521</v>
      </c>
      <c r="D1101" s="12" t="s">
        <v>11288</v>
      </c>
      <c r="E1101" s="13" t="s">
        <v>580</v>
      </c>
      <c r="F1101" s="681">
        <v>65.290000000000006</v>
      </c>
    </row>
    <row r="1102" spans="2:6" ht="15.75" hidden="1" customHeight="1" x14ac:dyDescent="0.25">
      <c r="B1102" s="13" t="s">
        <v>556</v>
      </c>
      <c r="C1102" s="13" t="s">
        <v>15522</v>
      </c>
      <c r="D1102" s="12" t="s">
        <v>8650</v>
      </c>
      <c r="E1102" s="13" t="s">
        <v>580</v>
      </c>
      <c r="F1102" s="681">
        <v>1.93</v>
      </c>
    </row>
    <row r="1103" spans="2:6" ht="15.75" hidden="1" customHeight="1" x14ac:dyDescent="0.25">
      <c r="B1103" s="13" t="s">
        <v>556</v>
      </c>
      <c r="C1103" s="13" t="s">
        <v>15523</v>
      </c>
      <c r="D1103" s="12" t="s">
        <v>9012</v>
      </c>
      <c r="E1103" s="13" t="s">
        <v>580</v>
      </c>
      <c r="F1103" s="681">
        <v>3.3</v>
      </c>
    </row>
    <row r="1104" spans="2:6" ht="15.75" hidden="1" customHeight="1" x14ac:dyDescent="0.25">
      <c r="B1104" s="13" t="s">
        <v>556</v>
      </c>
      <c r="C1104" s="13" t="s">
        <v>15524</v>
      </c>
      <c r="D1104" s="12" t="s">
        <v>9314</v>
      </c>
      <c r="E1104" s="13" t="s">
        <v>580</v>
      </c>
      <c r="F1104" s="681">
        <v>11.37</v>
      </c>
    </row>
    <row r="1105" spans="2:6" ht="15.75" hidden="1" customHeight="1" x14ac:dyDescent="0.25">
      <c r="B1105" s="13" t="s">
        <v>556</v>
      </c>
      <c r="C1105" s="13" t="s">
        <v>15525</v>
      </c>
      <c r="D1105" s="12" t="s">
        <v>9312</v>
      </c>
      <c r="E1105" s="13" t="s">
        <v>580</v>
      </c>
      <c r="F1105" s="681">
        <v>13.75</v>
      </c>
    </row>
    <row r="1106" spans="2:6" ht="15.75" hidden="1" customHeight="1" x14ac:dyDescent="0.25">
      <c r="B1106" s="13" t="s">
        <v>556</v>
      </c>
      <c r="C1106" s="13" t="s">
        <v>15526</v>
      </c>
      <c r="D1106" s="12" t="s">
        <v>9313</v>
      </c>
      <c r="E1106" s="13" t="s">
        <v>580</v>
      </c>
      <c r="F1106" s="681">
        <v>67.400000000000006</v>
      </c>
    </row>
    <row r="1107" spans="2:6" ht="15.75" hidden="1" customHeight="1" x14ac:dyDescent="0.25">
      <c r="B1107" s="13" t="s">
        <v>556</v>
      </c>
      <c r="C1107" s="13" t="s">
        <v>15527</v>
      </c>
      <c r="D1107" s="12" t="s">
        <v>9703</v>
      </c>
      <c r="E1107" s="13" t="s">
        <v>580</v>
      </c>
      <c r="F1107" s="681">
        <v>27.51</v>
      </c>
    </row>
    <row r="1108" spans="2:6" ht="15.75" hidden="1" customHeight="1" x14ac:dyDescent="0.25">
      <c r="B1108" s="13" t="s">
        <v>556</v>
      </c>
      <c r="C1108" s="13" t="s">
        <v>15528</v>
      </c>
      <c r="D1108" s="12" t="s">
        <v>9701</v>
      </c>
      <c r="E1108" s="13" t="s">
        <v>580</v>
      </c>
      <c r="F1108" s="681">
        <v>26.58</v>
      </c>
    </row>
    <row r="1109" spans="2:6" ht="15.75" hidden="1" customHeight="1" x14ac:dyDescent="0.25">
      <c r="B1109" s="13" t="s">
        <v>556</v>
      </c>
      <c r="C1109" s="13" t="s">
        <v>15529</v>
      </c>
      <c r="D1109" s="12" t="s">
        <v>9702</v>
      </c>
      <c r="E1109" s="13" t="s">
        <v>580</v>
      </c>
      <c r="F1109" s="681">
        <v>108.62</v>
      </c>
    </row>
    <row r="1110" spans="2:6" ht="15.75" hidden="1" customHeight="1" x14ac:dyDescent="0.25">
      <c r="B1110" s="13" t="s">
        <v>556</v>
      </c>
      <c r="C1110" s="13" t="s">
        <v>15530</v>
      </c>
      <c r="D1110" s="12" t="s">
        <v>10053</v>
      </c>
      <c r="E1110" s="13" t="s">
        <v>580</v>
      </c>
      <c r="F1110" s="681">
        <v>20.84</v>
      </c>
    </row>
    <row r="1111" spans="2:6" ht="15.75" hidden="1" customHeight="1" x14ac:dyDescent="0.25">
      <c r="B1111" s="13" t="s">
        <v>556</v>
      </c>
      <c r="C1111" s="13" t="s">
        <v>15531</v>
      </c>
      <c r="D1111" s="12" t="s">
        <v>10340</v>
      </c>
      <c r="E1111" s="13" t="s">
        <v>580</v>
      </c>
      <c r="F1111" s="681">
        <v>125.48</v>
      </c>
    </row>
    <row r="1112" spans="2:6" ht="15.75" hidden="1" customHeight="1" x14ac:dyDescent="0.25">
      <c r="B1112" s="13" t="s">
        <v>556</v>
      </c>
      <c r="C1112" s="13" t="s">
        <v>15532</v>
      </c>
      <c r="D1112" s="12" t="s">
        <v>10349</v>
      </c>
      <c r="E1112" s="13" t="s">
        <v>580</v>
      </c>
      <c r="F1112" s="681">
        <v>9.17</v>
      </c>
    </row>
    <row r="1113" spans="2:6" ht="15.75" hidden="1" customHeight="1" x14ac:dyDescent="0.25">
      <c r="B1113" s="13" t="s">
        <v>556</v>
      </c>
      <c r="C1113" s="13" t="s">
        <v>15533</v>
      </c>
      <c r="D1113" s="12" t="s">
        <v>10350</v>
      </c>
      <c r="E1113" s="13" t="s">
        <v>580</v>
      </c>
      <c r="F1113" s="681">
        <v>22.47</v>
      </c>
    </row>
    <row r="1114" spans="2:6" ht="15.75" hidden="1" customHeight="1" x14ac:dyDescent="0.25">
      <c r="B1114" s="13" t="s">
        <v>556</v>
      </c>
      <c r="C1114" s="13" t="s">
        <v>15534</v>
      </c>
      <c r="D1114" s="12" t="s">
        <v>10351</v>
      </c>
      <c r="E1114" s="13" t="s">
        <v>580</v>
      </c>
      <c r="F1114" s="681">
        <v>39.53</v>
      </c>
    </row>
    <row r="1115" spans="2:6" ht="15.75" hidden="1" customHeight="1" x14ac:dyDescent="0.25">
      <c r="B1115" s="13" t="s">
        <v>556</v>
      </c>
      <c r="C1115" s="13" t="s">
        <v>15535</v>
      </c>
      <c r="D1115" s="12" t="s">
        <v>10346</v>
      </c>
      <c r="E1115" s="13" t="s">
        <v>580</v>
      </c>
      <c r="F1115" s="681">
        <v>74.180000000000007</v>
      </c>
    </row>
    <row r="1116" spans="2:6" ht="15.75" hidden="1" customHeight="1" x14ac:dyDescent="0.25">
      <c r="B1116" s="13" t="s">
        <v>556</v>
      </c>
      <c r="C1116" s="13" t="s">
        <v>15536</v>
      </c>
      <c r="D1116" s="12" t="s">
        <v>10345</v>
      </c>
      <c r="E1116" s="13" t="s">
        <v>580</v>
      </c>
      <c r="F1116" s="681">
        <v>57.98</v>
      </c>
    </row>
    <row r="1117" spans="2:6" ht="15.75" hidden="1" customHeight="1" x14ac:dyDescent="0.25">
      <c r="B1117" s="13" t="s">
        <v>556</v>
      </c>
      <c r="C1117" s="13" t="s">
        <v>15537</v>
      </c>
      <c r="D1117" s="12" t="s">
        <v>10347</v>
      </c>
      <c r="E1117" s="13" t="s">
        <v>580</v>
      </c>
      <c r="F1117" s="681">
        <v>143.09</v>
      </c>
    </row>
    <row r="1118" spans="2:6" ht="15.75" hidden="1" customHeight="1" x14ac:dyDescent="0.25">
      <c r="B1118" s="13" t="s">
        <v>556</v>
      </c>
      <c r="C1118" s="13" t="s">
        <v>15538</v>
      </c>
      <c r="D1118" s="12" t="s">
        <v>10348</v>
      </c>
      <c r="E1118" s="13" t="s">
        <v>580</v>
      </c>
      <c r="F1118" s="681">
        <v>195.6</v>
      </c>
    </row>
    <row r="1119" spans="2:6" ht="15.75" hidden="1" customHeight="1" x14ac:dyDescent="0.25">
      <c r="B1119" s="13" t="s">
        <v>556</v>
      </c>
      <c r="C1119" s="13" t="s">
        <v>15539</v>
      </c>
      <c r="D1119" s="12" t="s">
        <v>10303</v>
      </c>
      <c r="E1119" s="13" t="s">
        <v>580</v>
      </c>
      <c r="F1119" s="681">
        <v>5.14</v>
      </c>
    </row>
    <row r="1120" spans="2:6" ht="15.75" hidden="1" customHeight="1" x14ac:dyDescent="0.25">
      <c r="B1120" s="13" t="s">
        <v>556</v>
      </c>
      <c r="C1120" s="13" t="s">
        <v>15540</v>
      </c>
      <c r="D1120" s="12" t="s">
        <v>10318</v>
      </c>
      <c r="E1120" s="13" t="s">
        <v>580</v>
      </c>
      <c r="F1120" s="681">
        <v>4.3</v>
      </c>
    </row>
    <row r="1121" spans="2:6" ht="15.75" hidden="1" customHeight="1" x14ac:dyDescent="0.25">
      <c r="B1121" s="13" t="s">
        <v>556</v>
      </c>
      <c r="C1121" s="13" t="s">
        <v>15541</v>
      </c>
      <c r="D1121" s="12" t="s">
        <v>10319</v>
      </c>
      <c r="E1121" s="13" t="s">
        <v>580</v>
      </c>
      <c r="F1121" s="681">
        <v>7.18</v>
      </c>
    </row>
    <row r="1122" spans="2:6" ht="15.75" hidden="1" customHeight="1" x14ac:dyDescent="0.25">
      <c r="B1122" s="13" t="s">
        <v>556</v>
      </c>
      <c r="C1122" s="13" t="s">
        <v>15542</v>
      </c>
      <c r="D1122" s="12" t="s">
        <v>10320</v>
      </c>
      <c r="E1122" s="13" t="s">
        <v>580</v>
      </c>
      <c r="F1122" s="681">
        <v>18.5</v>
      </c>
    </row>
    <row r="1123" spans="2:6" ht="15.75" hidden="1" customHeight="1" x14ac:dyDescent="0.25">
      <c r="B1123" s="13" t="s">
        <v>556</v>
      </c>
      <c r="C1123" s="13" t="s">
        <v>15543</v>
      </c>
      <c r="D1123" s="12" t="s">
        <v>10316</v>
      </c>
      <c r="E1123" s="13" t="s">
        <v>580</v>
      </c>
      <c r="F1123" s="681">
        <v>21.87</v>
      </c>
    </row>
    <row r="1124" spans="2:6" ht="15.75" hidden="1" customHeight="1" x14ac:dyDescent="0.25">
      <c r="B1124" s="13" t="s">
        <v>556</v>
      </c>
      <c r="C1124" s="13" t="s">
        <v>15544</v>
      </c>
      <c r="D1124" s="12" t="s">
        <v>10317</v>
      </c>
      <c r="E1124" s="13" t="s">
        <v>580</v>
      </c>
      <c r="F1124" s="681">
        <v>79.12</v>
      </c>
    </row>
    <row r="1125" spans="2:6" ht="15.75" hidden="1" customHeight="1" x14ac:dyDescent="0.25">
      <c r="B1125" s="13" t="s">
        <v>556</v>
      </c>
      <c r="C1125" s="13" t="s">
        <v>15545</v>
      </c>
      <c r="D1125" s="12" t="s">
        <v>10323</v>
      </c>
      <c r="E1125" s="13" t="s">
        <v>580</v>
      </c>
      <c r="F1125" s="681">
        <v>4.21</v>
      </c>
    </row>
    <row r="1126" spans="2:6" ht="15.75" hidden="1" customHeight="1" x14ac:dyDescent="0.25">
      <c r="B1126" s="13" t="s">
        <v>556</v>
      </c>
      <c r="C1126" s="13" t="s">
        <v>15546</v>
      </c>
      <c r="D1126" s="12" t="s">
        <v>10324</v>
      </c>
      <c r="E1126" s="13" t="s">
        <v>580</v>
      </c>
      <c r="F1126" s="681">
        <v>6.41</v>
      </c>
    </row>
    <row r="1127" spans="2:6" ht="15.75" hidden="1" customHeight="1" x14ac:dyDescent="0.25">
      <c r="B1127" s="13" t="s">
        <v>556</v>
      </c>
      <c r="C1127" s="13" t="s">
        <v>15547</v>
      </c>
      <c r="D1127" s="12" t="s">
        <v>10325</v>
      </c>
      <c r="E1127" s="13" t="s">
        <v>580</v>
      </c>
      <c r="F1127" s="681">
        <v>18.02</v>
      </c>
    </row>
    <row r="1128" spans="2:6" ht="15.75" hidden="1" customHeight="1" x14ac:dyDescent="0.25">
      <c r="B1128" s="13" t="s">
        <v>556</v>
      </c>
      <c r="C1128" s="13" t="s">
        <v>15548</v>
      </c>
      <c r="D1128" s="12" t="s">
        <v>10321</v>
      </c>
      <c r="E1128" s="13" t="s">
        <v>580</v>
      </c>
      <c r="F1128" s="681">
        <v>20.77</v>
      </c>
    </row>
    <row r="1129" spans="2:6" ht="15.75" hidden="1" customHeight="1" x14ac:dyDescent="0.25">
      <c r="B1129" s="13" t="s">
        <v>556</v>
      </c>
      <c r="C1129" s="13" t="s">
        <v>15549</v>
      </c>
      <c r="D1129" s="12" t="s">
        <v>10322</v>
      </c>
      <c r="E1129" s="13" t="s">
        <v>580</v>
      </c>
      <c r="F1129" s="681">
        <v>82.48</v>
      </c>
    </row>
    <row r="1130" spans="2:6" ht="15.75" hidden="1" customHeight="1" x14ac:dyDescent="0.25">
      <c r="B1130" s="13" t="s">
        <v>556</v>
      </c>
      <c r="C1130" s="13" t="s">
        <v>15550</v>
      </c>
      <c r="D1130" s="12" t="s">
        <v>10490</v>
      </c>
      <c r="E1130" s="13" t="s">
        <v>580</v>
      </c>
      <c r="F1130" s="681">
        <v>12.6</v>
      </c>
    </row>
    <row r="1131" spans="2:6" ht="15.75" hidden="1" customHeight="1" x14ac:dyDescent="0.25">
      <c r="B1131" s="13" t="s">
        <v>556</v>
      </c>
      <c r="C1131" s="13" t="s">
        <v>15551</v>
      </c>
      <c r="D1131" s="12" t="s">
        <v>10488</v>
      </c>
      <c r="E1131" s="13" t="s">
        <v>580</v>
      </c>
      <c r="F1131" s="681">
        <v>26.22</v>
      </c>
    </row>
    <row r="1132" spans="2:6" ht="15.75" hidden="1" customHeight="1" x14ac:dyDescent="0.25">
      <c r="B1132" s="13" t="s">
        <v>556</v>
      </c>
      <c r="C1132" s="13" t="s">
        <v>15552</v>
      </c>
      <c r="D1132" s="12" t="s">
        <v>10489</v>
      </c>
      <c r="E1132" s="13" t="s">
        <v>580</v>
      </c>
      <c r="F1132" s="681">
        <v>80.09</v>
      </c>
    </row>
    <row r="1133" spans="2:6" ht="15.75" hidden="1" customHeight="1" x14ac:dyDescent="0.25">
      <c r="B1133" s="13" t="s">
        <v>556</v>
      </c>
      <c r="C1133" s="13" t="s">
        <v>15553</v>
      </c>
      <c r="D1133" s="12" t="s">
        <v>10553</v>
      </c>
      <c r="E1133" s="13" t="s">
        <v>580</v>
      </c>
      <c r="F1133" s="681">
        <v>5.27</v>
      </c>
    </row>
    <row r="1134" spans="2:6" ht="15.75" hidden="1" customHeight="1" x14ac:dyDescent="0.25">
      <c r="B1134" s="13" t="s">
        <v>556</v>
      </c>
      <c r="C1134" s="13" t="s">
        <v>15554</v>
      </c>
      <c r="D1134" s="12" t="s">
        <v>10554</v>
      </c>
      <c r="E1134" s="13" t="s">
        <v>580</v>
      </c>
      <c r="F1134" s="681">
        <v>10.84</v>
      </c>
    </row>
    <row r="1135" spans="2:6" ht="15.75" hidden="1" customHeight="1" x14ac:dyDescent="0.25">
      <c r="B1135" s="13" t="s">
        <v>556</v>
      </c>
      <c r="C1135" s="13" t="s">
        <v>15555</v>
      </c>
      <c r="D1135" s="12" t="s">
        <v>10555</v>
      </c>
      <c r="E1135" s="13" t="s">
        <v>580</v>
      </c>
      <c r="F1135" s="681">
        <v>12.65</v>
      </c>
    </row>
    <row r="1136" spans="2:6" ht="15.75" hidden="1" customHeight="1" x14ac:dyDescent="0.25">
      <c r="B1136" s="13" t="s">
        <v>556</v>
      </c>
      <c r="C1136" s="13" t="s">
        <v>15556</v>
      </c>
      <c r="D1136" s="12" t="s">
        <v>10551</v>
      </c>
      <c r="E1136" s="13" t="s">
        <v>580</v>
      </c>
      <c r="F1136" s="681">
        <v>14.53</v>
      </c>
    </row>
    <row r="1137" spans="2:6" ht="15.75" hidden="1" customHeight="1" x14ac:dyDescent="0.25">
      <c r="B1137" s="13" t="s">
        <v>556</v>
      </c>
      <c r="C1137" s="13" t="s">
        <v>15557</v>
      </c>
      <c r="D1137" s="12" t="s">
        <v>10552</v>
      </c>
      <c r="E1137" s="13" t="s">
        <v>580</v>
      </c>
      <c r="F1137" s="681">
        <v>41.89</v>
      </c>
    </row>
    <row r="1138" spans="2:6" ht="15.75" hidden="1" customHeight="1" x14ac:dyDescent="0.25">
      <c r="B1138" s="13" t="s">
        <v>556</v>
      </c>
      <c r="C1138" s="13" t="s">
        <v>15558</v>
      </c>
      <c r="D1138" s="12" t="s">
        <v>11436</v>
      </c>
      <c r="E1138" s="13" t="s">
        <v>580</v>
      </c>
      <c r="F1138" s="681">
        <v>30.69</v>
      </c>
    </row>
    <row r="1139" spans="2:6" ht="15.75" hidden="1" customHeight="1" x14ac:dyDescent="0.25">
      <c r="B1139" s="13" t="s">
        <v>556</v>
      </c>
      <c r="C1139" s="13" t="s">
        <v>15559</v>
      </c>
      <c r="D1139" s="12" t="s">
        <v>11433</v>
      </c>
      <c r="E1139" s="13" t="s">
        <v>580</v>
      </c>
      <c r="F1139" s="681">
        <v>56.15</v>
      </c>
    </row>
    <row r="1140" spans="2:6" ht="15.75" hidden="1" customHeight="1" x14ac:dyDescent="0.25">
      <c r="B1140" s="13" t="s">
        <v>556</v>
      </c>
      <c r="C1140" s="13" t="s">
        <v>15560</v>
      </c>
      <c r="D1140" s="12" t="s">
        <v>11432</v>
      </c>
      <c r="E1140" s="13" t="s">
        <v>580</v>
      </c>
      <c r="F1140" s="681">
        <v>46.84</v>
      </c>
    </row>
    <row r="1141" spans="2:6" ht="15.75" hidden="1" customHeight="1" x14ac:dyDescent="0.25">
      <c r="B1141" s="13" t="s">
        <v>556</v>
      </c>
      <c r="C1141" s="13" t="s">
        <v>15561</v>
      </c>
      <c r="D1141" s="12" t="s">
        <v>11434</v>
      </c>
      <c r="E1141" s="13" t="s">
        <v>580</v>
      </c>
      <c r="F1141" s="681">
        <v>92.67</v>
      </c>
    </row>
    <row r="1142" spans="2:6" ht="15.75" hidden="1" customHeight="1" x14ac:dyDescent="0.25">
      <c r="B1142" s="13" t="s">
        <v>556</v>
      </c>
      <c r="C1142" s="13" t="s">
        <v>15562</v>
      </c>
      <c r="D1142" s="12" t="s">
        <v>11435</v>
      </c>
      <c r="E1142" s="13" t="s">
        <v>580</v>
      </c>
      <c r="F1142" s="681">
        <v>124.08</v>
      </c>
    </row>
    <row r="1143" spans="2:6" ht="15.75" hidden="1" customHeight="1" x14ac:dyDescent="0.25">
      <c r="B1143" s="13" t="s">
        <v>556</v>
      </c>
      <c r="C1143" s="13" t="s">
        <v>15563</v>
      </c>
      <c r="D1143" s="12" t="s">
        <v>11367</v>
      </c>
      <c r="E1143" s="13" t="s">
        <v>580</v>
      </c>
      <c r="F1143" s="681">
        <v>31.46</v>
      </c>
    </row>
    <row r="1144" spans="2:6" ht="15.75" hidden="1" customHeight="1" x14ac:dyDescent="0.25">
      <c r="B1144" s="13" t="s">
        <v>556</v>
      </c>
      <c r="C1144" s="13" t="s">
        <v>15564</v>
      </c>
      <c r="D1144" s="12" t="s">
        <v>11365</v>
      </c>
      <c r="E1144" s="13" t="s">
        <v>580</v>
      </c>
      <c r="F1144" s="681">
        <v>54.11</v>
      </c>
    </row>
    <row r="1145" spans="2:6" ht="15.75" hidden="1" customHeight="1" x14ac:dyDescent="0.25">
      <c r="B1145" s="13" t="s">
        <v>556</v>
      </c>
      <c r="C1145" s="13" t="s">
        <v>15565</v>
      </c>
      <c r="D1145" s="12" t="s">
        <v>10603</v>
      </c>
      <c r="E1145" s="13" t="s">
        <v>585</v>
      </c>
      <c r="F1145" s="681">
        <v>19.489999999999998</v>
      </c>
    </row>
    <row r="1146" spans="2:6" ht="15.75" hidden="1" customHeight="1" x14ac:dyDescent="0.25">
      <c r="B1146" s="13" t="s">
        <v>14180</v>
      </c>
      <c r="C1146" s="13" t="s">
        <v>15566</v>
      </c>
      <c r="D1146" s="12" t="s">
        <v>10424</v>
      </c>
      <c r="E1146" s="13" t="s">
        <v>10425</v>
      </c>
      <c r="F1146" s="681">
        <v>22.5</v>
      </c>
    </row>
    <row r="1147" spans="2:6" ht="15.75" hidden="1" customHeight="1" x14ac:dyDescent="0.25">
      <c r="B1147" s="13" t="s">
        <v>556</v>
      </c>
      <c r="C1147" s="13" t="s">
        <v>15567</v>
      </c>
      <c r="D1147" s="12" t="s">
        <v>11066</v>
      </c>
      <c r="E1147" s="13" t="s">
        <v>585</v>
      </c>
      <c r="F1147" s="681">
        <v>91.67</v>
      </c>
    </row>
    <row r="1148" spans="2:6" ht="15.75" hidden="1" customHeight="1" x14ac:dyDescent="0.25">
      <c r="B1148" s="13" t="s">
        <v>556</v>
      </c>
      <c r="C1148" s="13" t="s">
        <v>15568</v>
      </c>
      <c r="D1148" s="12" t="s">
        <v>11212</v>
      </c>
      <c r="E1148" s="13" t="s">
        <v>585</v>
      </c>
      <c r="F1148" s="681">
        <v>3.82</v>
      </c>
    </row>
    <row r="1149" spans="2:6" ht="15.75" hidden="1" customHeight="1" x14ac:dyDescent="0.25">
      <c r="B1149" s="13" t="s">
        <v>556</v>
      </c>
      <c r="C1149" s="13" t="s">
        <v>15569</v>
      </c>
      <c r="D1149" s="12" t="s">
        <v>11240</v>
      </c>
      <c r="E1149" s="13" t="s">
        <v>585</v>
      </c>
      <c r="F1149" s="681">
        <v>10.31</v>
      </c>
    </row>
    <row r="1150" spans="2:6" ht="15.75" hidden="1" customHeight="1" x14ac:dyDescent="0.25">
      <c r="B1150" s="13" t="s">
        <v>556</v>
      </c>
      <c r="C1150" s="13" t="s">
        <v>15570</v>
      </c>
      <c r="D1150" s="12" t="s">
        <v>11067</v>
      </c>
      <c r="E1150" s="13" t="s">
        <v>585</v>
      </c>
      <c r="F1150" s="681">
        <v>123.75</v>
      </c>
    </row>
    <row r="1151" spans="2:6" ht="15.75" hidden="1" customHeight="1" x14ac:dyDescent="0.25">
      <c r="B1151" s="13" t="s">
        <v>556</v>
      </c>
      <c r="C1151" s="13" t="s">
        <v>15571</v>
      </c>
      <c r="D1151" s="12" t="s">
        <v>9212</v>
      </c>
      <c r="E1151" s="13" t="s">
        <v>585</v>
      </c>
      <c r="F1151" s="681">
        <v>30.61</v>
      </c>
    </row>
    <row r="1152" spans="2:6" ht="15.75" hidden="1" customHeight="1" x14ac:dyDescent="0.25">
      <c r="B1152" s="13" t="s">
        <v>556</v>
      </c>
      <c r="C1152" s="13" t="s">
        <v>15572</v>
      </c>
      <c r="D1152" s="12" t="s">
        <v>11875</v>
      </c>
      <c r="E1152" s="13" t="s">
        <v>585</v>
      </c>
      <c r="F1152" s="681">
        <v>38.380000000000003</v>
      </c>
    </row>
    <row r="1153" spans="2:6" ht="15.75" hidden="1" customHeight="1" x14ac:dyDescent="0.25">
      <c r="B1153" s="13" t="s">
        <v>556</v>
      </c>
      <c r="C1153" s="13" t="s">
        <v>15573</v>
      </c>
      <c r="D1153" s="12" t="s">
        <v>9211</v>
      </c>
      <c r="E1153" s="13" t="s">
        <v>585</v>
      </c>
      <c r="F1153" s="681">
        <v>25.63</v>
      </c>
    </row>
    <row r="1154" spans="2:6" ht="15.75" hidden="1" customHeight="1" x14ac:dyDescent="0.25">
      <c r="B1154" s="13" t="s">
        <v>556</v>
      </c>
      <c r="C1154" s="13" t="s">
        <v>15574</v>
      </c>
      <c r="D1154" s="12" t="s">
        <v>11874</v>
      </c>
      <c r="E1154" s="13" t="s">
        <v>585</v>
      </c>
      <c r="F1154" s="681">
        <v>28.99</v>
      </c>
    </row>
    <row r="1155" spans="2:6" ht="15.75" hidden="1" customHeight="1" x14ac:dyDescent="0.25">
      <c r="B1155" s="13" t="s">
        <v>556</v>
      </c>
      <c r="C1155" s="13" t="s">
        <v>15575</v>
      </c>
      <c r="D1155" s="12" t="s">
        <v>11231</v>
      </c>
      <c r="E1155" s="13" t="s">
        <v>580</v>
      </c>
      <c r="F1155" s="681">
        <v>51.08</v>
      </c>
    </row>
    <row r="1156" spans="2:6" ht="15.75" hidden="1" customHeight="1" x14ac:dyDescent="0.25">
      <c r="B1156" s="13" t="s">
        <v>14150</v>
      </c>
      <c r="C1156" s="13" t="s">
        <v>15576</v>
      </c>
      <c r="D1156" s="12" t="s">
        <v>15577</v>
      </c>
      <c r="E1156" s="13" t="s">
        <v>580</v>
      </c>
      <c r="F1156" s="681">
        <v>116000</v>
      </c>
    </row>
    <row r="1157" spans="2:6" ht="15.75" hidden="1" customHeight="1" x14ac:dyDescent="0.25">
      <c r="B1157" s="13" t="s">
        <v>556</v>
      </c>
      <c r="C1157" s="13" t="s">
        <v>15578</v>
      </c>
      <c r="D1157" s="12" t="s">
        <v>11220</v>
      </c>
      <c r="E1157" s="13" t="s">
        <v>585</v>
      </c>
      <c r="F1157" s="681">
        <v>74.42</v>
      </c>
    </row>
    <row r="1158" spans="2:6" ht="15.75" hidden="1" customHeight="1" x14ac:dyDescent="0.25">
      <c r="B1158" s="13" t="s">
        <v>556</v>
      </c>
      <c r="C1158" s="13" t="s">
        <v>15579</v>
      </c>
      <c r="D1158" s="12" t="s">
        <v>11284</v>
      </c>
      <c r="E1158" s="13" t="s">
        <v>585</v>
      </c>
      <c r="F1158" s="681">
        <v>105.34</v>
      </c>
    </row>
    <row r="1159" spans="2:6" ht="15.75" hidden="1" customHeight="1" x14ac:dyDescent="0.25">
      <c r="B1159" s="13" t="s">
        <v>556</v>
      </c>
      <c r="C1159" s="13" t="s">
        <v>15580</v>
      </c>
      <c r="D1159" s="12" t="s">
        <v>11351</v>
      </c>
      <c r="E1159" s="13" t="s">
        <v>580</v>
      </c>
      <c r="F1159" s="681">
        <v>342.17</v>
      </c>
    </row>
    <row r="1160" spans="2:6" ht="15.75" hidden="1" customHeight="1" x14ac:dyDescent="0.25">
      <c r="B1160" s="13" t="s">
        <v>556</v>
      </c>
      <c r="C1160" s="13" t="s">
        <v>15581</v>
      </c>
      <c r="D1160" s="12" t="s">
        <v>9607</v>
      </c>
      <c r="E1160" s="13" t="s">
        <v>580</v>
      </c>
      <c r="F1160" s="681">
        <v>49.29</v>
      </c>
    </row>
    <row r="1161" spans="2:6" ht="15.75" hidden="1" customHeight="1" x14ac:dyDescent="0.25">
      <c r="B1161" s="13" t="s">
        <v>556</v>
      </c>
      <c r="C1161" s="13" t="s">
        <v>15582</v>
      </c>
      <c r="D1161" s="12" t="s">
        <v>11074</v>
      </c>
      <c r="E1161" s="13" t="s">
        <v>823</v>
      </c>
      <c r="F1161" s="681">
        <v>13.51</v>
      </c>
    </row>
    <row r="1162" spans="2:6" ht="15.75" hidden="1" customHeight="1" x14ac:dyDescent="0.25">
      <c r="B1162" s="13" t="s">
        <v>556</v>
      </c>
      <c r="C1162" s="13" t="s">
        <v>15583</v>
      </c>
      <c r="D1162" s="12" t="s">
        <v>11286</v>
      </c>
      <c r="E1162" s="13" t="s">
        <v>585</v>
      </c>
      <c r="F1162" s="681">
        <v>41.84</v>
      </c>
    </row>
    <row r="1163" spans="2:6" ht="15.75" hidden="1" customHeight="1" x14ac:dyDescent="0.25">
      <c r="B1163" s="13" t="s">
        <v>556</v>
      </c>
      <c r="C1163" s="13" t="s">
        <v>15584</v>
      </c>
      <c r="D1163" s="12" t="s">
        <v>11278</v>
      </c>
      <c r="E1163" s="13" t="s">
        <v>823</v>
      </c>
      <c r="F1163" s="681">
        <v>25.11</v>
      </c>
    </row>
    <row r="1164" spans="2:6" ht="15.75" hidden="1" customHeight="1" x14ac:dyDescent="0.25">
      <c r="B1164" s="13" t="s">
        <v>556</v>
      </c>
      <c r="C1164" s="13" t="s">
        <v>15585</v>
      </c>
      <c r="D1164" s="12" t="s">
        <v>15586</v>
      </c>
      <c r="E1164" s="13" t="s">
        <v>580</v>
      </c>
      <c r="F1164" s="681">
        <v>64.849999999999994</v>
      </c>
    </row>
    <row r="1165" spans="2:6" ht="15.75" hidden="1" customHeight="1" x14ac:dyDescent="0.25">
      <c r="B1165" s="13" t="s">
        <v>556</v>
      </c>
      <c r="C1165" s="13" t="s">
        <v>15587</v>
      </c>
      <c r="D1165" s="12" t="s">
        <v>15588</v>
      </c>
      <c r="E1165" s="13" t="s">
        <v>580</v>
      </c>
      <c r="F1165" s="681">
        <v>19.75</v>
      </c>
    </row>
    <row r="1166" spans="2:6" ht="15.75" hidden="1" customHeight="1" x14ac:dyDescent="0.25">
      <c r="B1166" s="13" t="s">
        <v>556</v>
      </c>
      <c r="C1166" s="13" t="s">
        <v>15589</v>
      </c>
      <c r="D1166" s="12" t="s">
        <v>11226</v>
      </c>
      <c r="E1166" s="13" t="s">
        <v>580</v>
      </c>
      <c r="F1166" s="681">
        <v>0.36</v>
      </c>
    </row>
    <row r="1167" spans="2:6" ht="15.75" hidden="1" customHeight="1" x14ac:dyDescent="0.25">
      <c r="B1167" s="13" t="s">
        <v>556</v>
      </c>
      <c r="C1167" s="13" t="s">
        <v>15590</v>
      </c>
      <c r="D1167" s="12" t="s">
        <v>15591</v>
      </c>
      <c r="E1167" s="13" t="s">
        <v>585</v>
      </c>
      <c r="F1167" s="681">
        <v>13.3</v>
      </c>
    </row>
    <row r="1168" spans="2:6" ht="15.75" hidden="1" customHeight="1" x14ac:dyDescent="0.25">
      <c r="B1168" s="13" t="s">
        <v>556</v>
      </c>
      <c r="C1168" s="13" t="s">
        <v>15592</v>
      </c>
      <c r="D1168" s="12" t="s">
        <v>10604</v>
      </c>
      <c r="E1168" s="13" t="s">
        <v>580</v>
      </c>
      <c r="F1168" s="681">
        <v>15.68</v>
      </c>
    </row>
    <row r="1169" spans="2:6" ht="15.75" hidden="1" customHeight="1" x14ac:dyDescent="0.25">
      <c r="B1169" s="13" t="s">
        <v>556</v>
      </c>
      <c r="C1169" s="13" t="s">
        <v>15593</v>
      </c>
      <c r="D1169" s="12" t="s">
        <v>11272</v>
      </c>
      <c r="E1169" s="13" t="s">
        <v>580</v>
      </c>
      <c r="F1169" s="681">
        <v>18.309999999999999</v>
      </c>
    </row>
    <row r="1170" spans="2:6" ht="15.75" hidden="1" customHeight="1" x14ac:dyDescent="0.25">
      <c r="B1170" s="13" t="s">
        <v>556</v>
      </c>
      <c r="C1170" s="13" t="s">
        <v>15594</v>
      </c>
      <c r="D1170" s="12" t="s">
        <v>10404</v>
      </c>
      <c r="E1170" s="13" t="s">
        <v>580</v>
      </c>
      <c r="F1170" s="681">
        <v>90.42</v>
      </c>
    </row>
    <row r="1171" spans="2:6" ht="15.75" hidden="1" customHeight="1" x14ac:dyDescent="0.25">
      <c r="B1171" s="13" t="s">
        <v>556</v>
      </c>
      <c r="C1171" s="13" t="s">
        <v>15595</v>
      </c>
      <c r="D1171" s="12" t="s">
        <v>10405</v>
      </c>
      <c r="E1171" s="13" t="s">
        <v>580</v>
      </c>
      <c r="F1171" s="681">
        <v>99.91</v>
      </c>
    </row>
    <row r="1172" spans="2:6" ht="15.75" hidden="1" customHeight="1" x14ac:dyDescent="0.25">
      <c r="B1172" s="13" t="s">
        <v>556</v>
      </c>
      <c r="C1172" s="13" t="s">
        <v>15596</v>
      </c>
      <c r="D1172" s="12" t="s">
        <v>11346</v>
      </c>
      <c r="E1172" s="13" t="s">
        <v>580</v>
      </c>
      <c r="F1172" s="681">
        <v>501.37</v>
      </c>
    </row>
    <row r="1173" spans="2:6" ht="15.75" hidden="1" customHeight="1" x14ac:dyDescent="0.25">
      <c r="B1173" s="13" t="s">
        <v>556</v>
      </c>
      <c r="C1173" s="13" t="s">
        <v>15597</v>
      </c>
      <c r="D1173" s="12" t="s">
        <v>11041</v>
      </c>
      <c r="E1173" s="13" t="s">
        <v>580</v>
      </c>
      <c r="F1173" s="681">
        <v>248.01</v>
      </c>
    </row>
    <row r="1174" spans="2:6" ht="15.75" hidden="1" customHeight="1" x14ac:dyDescent="0.25">
      <c r="B1174" s="13" t="s">
        <v>556</v>
      </c>
      <c r="C1174" s="13" t="s">
        <v>15598</v>
      </c>
      <c r="D1174" s="12" t="s">
        <v>8664</v>
      </c>
      <c r="E1174" s="13" t="s">
        <v>580</v>
      </c>
      <c r="F1174" s="681">
        <v>3.72</v>
      </c>
    </row>
    <row r="1175" spans="2:6" ht="15.75" hidden="1" customHeight="1" x14ac:dyDescent="0.25">
      <c r="B1175" s="13" t="s">
        <v>556</v>
      </c>
      <c r="C1175" s="13" t="s">
        <v>15599</v>
      </c>
      <c r="D1175" s="12" t="s">
        <v>15600</v>
      </c>
      <c r="E1175" s="13" t="s">
        <v>580</v>
      </c>
      <c r="F1175" s="681">
        <v>20.73</v>
      </c>
    </row>
    <row r="1176" spans="2:6" ht="15.75" hidden="1" customHeight="1" x14ac:dyDescent="0.25">
      <c r="B1176" s="13" t="s">
        <v>556</v>
      </c>
      <c r="C1176" s="13" t="s">
        <v>15601</v>
      </c>
      <c r="D1176" s="12" t="s">
        <v>9241</v>
      </c>
      <c r="E1176" s="13" t="s">
        <v>580</v>
      </c>
      <c r="F1176" s="681">
        <v>382.2</v>
      </c>
    </row>
    <row r="1177" spans="2:6" ht="15.75" hidden="1" customHeight="1" x14ac:dyDescent="0.25">
      <c r="B1177" s="13" t="s">
        <v>556</v>
      </c>
      <c r="C1177" s="13" t="s">
        <v>15602</v>
      </c>
      <c r="D1177" s="12" t="s">
        <v>9242</v>
      </c>
      <c r="E1177" s="13" t="s">
        <v>580</v>
      </c>
      <c r="F1177" s="681">
        <v>466.89</v>
      </c>
    </row>
    <row r="1178" spans="2:6" ht="15.75" hidden="1" customHeight="1" x14ac:dyDescent="0.25">
      <c r="B1178" s="13" t="s">
        <v>556</v>
      </c>
      <c r="C1178" s="13" t="s">
        <v>15603</v>
      </c>
      <c r="D1178" s="12" t="s">
        <v>11331</v>
      </c>
      <c r="E1178" s="13" t="s">
        <v>580</v>
      </c>
      <c r="F1178" s="681">
        <v>129.13999999999999</v>
      </c>
    </row>
    <row r="1179" spans="2:6" ht="15.75" hidden="1" customHeight="1" x14ac:dyDescent="0.25">
      <c r="B1179" s="13" t="s">
        <v>556</v>
      </c>
      <c r="C1179" s="13" t="s">
        <v>15604</v>
      </c>
      <c r="D1179" s="12" t="s">
        <v>9932</v>
      </c>
      <c r="E1179" s="13" t="s">
        <v>580</v>
      </c>
      <c r="F1179" s="681">
        <v>119.66</v>
      </c>
    </row>
    <row r="1180" spans="2:6" ht="15.75" hidden="1" customHeight="1" x14ac:dyDescent="0.25">
      <c r="B1180" s="13" t="s">
        <v>556</v>
      </c>
      <c r="C1180" s="13" t="s">
        <v>15605</v>
      </c>
      <c r="D1180" s="12" t="s">
        <v>9933</v>
      </c>
      <c r="E1180" s="13" t="s">
        <v>580</v>
      </c>
      <c r="F1180" s="681">
        <v>128.85</v>
      </c>
    </row>
    <row r="1181" spans="2:6" ht="15.75" hidden="1" customHeight="1" x14ac:dyDescent="0.25">
      <c r="B1181" s="13" t="s">
        <v>556</v>
      </c>
      <c r="C1181" s="13" t="s">
        <v>15606</v>
      </c>
      <c r="D1181" s="12" t="s">
        <v>9935</v>
      </c>
      <c r="E1181" s="13" t="s">
        <v>580</v>
      </c>
      <c r="F1181" s="681">
        <v>195.29</v>
      </c>
    </row>
    <row r="1182" spans="2:6" ht="15.75" hidden="1" customHeight="1" x14ac:dyDescent="0.25">
      <c r="B1182" s="13" t="s">
        <v>556</v>
      </c>
      <c r="C1182" s="13" t="s">
        <v>15607</v>
      </c>
      <c r="D1182" s="12" t="s">
        <v>9936</v>
      </c>
      <c r="E1182" s="13" t="s">
        <v>580</v>
      </c>
      <c r="F1182" s="681">
        <v>214.19</v>
      </c>
    </row>
    <row r="1183" spans="2:6" ht="15.75" hidden="1" customHeight="1" x14ac:dyDescent="0.25">
      <c r="B1183" s="13" t="s">
        <v>556</v>
      </c>
      <c r="C1183" s="13" t="s">
        <v>15608</v>
      </c>
      <c r="D1183" s="12" t="s">
        <v>9376</v>
      </c>
      <c r="E1183" s="13" t="s">
        <v>580</v>
      </c>
      <c r="F1183" s="681">
        <v>31.49</v>
      </c>
    </row>
    <row r="1184" spans="2:6" ht="15.75" hidden="1" customHeight="1" x14ac:dyDescent="0.25">
      <c r="B1184" s="13" t="s">
        <v>556</v>
      </c>
      <c r="C1184" s="13" t="s">
        <v>15609</v>
      </c>
      <c r="D1184" s="12" t="s">
        <v>11156</v>
      </c>
      <c r="E1184" s="13" t="s">
        <v>580</v>
      </c>
      <c r="F1184" s="681">
        <v>236.24</v>
      </c>
    </row>
    <row r="1185" spans="2:6" ht="15.75" hidden="1" customHeight="1" x14ac:dyDescent="0.25">
      <c r="B1185" s="13" t="s">
        <v>556</v>
      </c>
      <c r="C1185" s="13" t="s">
        <v>15610</v>
      </c>
      <c r="D1185" s="12" t="s">
        <v>11798</v>
      </c>
      <c r="E1185" s="13" t="s">
        <v>580</v>
      </c>
      <c r="F1185" s="681">
        <v>202.56</v>
      </c>
    </row>
    <row r="1186" spans="2:6" ht="15.75" hidden="1" customHeight="1" x14ac:dyDescent="0.25">
      <c r="B1186" s="13" t="s">
        <v>556</v>
      </c>
      <c r="C1186" s="13" t="s">
        <v>15611</v>
      </c>
      <c r="D1186" s="12" t="s">
        <v>11799</v>
      </c>
      <c r="E1186" s="13" t="s">
        <v>580</v>
      </c>
      <c r="F1186" s="681">
        <v>289.79000000000002</v>
      </c>
    </row>
    <row r="1187" spans="2:6" ht="15.75" hidden="1" customHeight="1" x14ac:dyDescent="0.25">
      <c r="B1187" s="13" t="s">
        <v>556</v>
      </c>
      <c r="C1187" s="13" t="s">
        <v>15612</v>
      </c>
      <c r="D1187" s="12" t="s">
        <v>8672</v>
      </c>
      <c r="E1187" s="13" t="s">
        <v>580</v>
      </c>
      <c r="F1187" s="681">
        <v>22.72</v>
      </c>
    </row>
    <row r="1188" spans="2:6" ht="15.75" hidden="1" customHeight="1" x14ac:dyDescent="0.25">
      <c r="B1188" s="13" t="s">
        <v>556</v>
      </c>
      <c r="C1188" s="13" t="s">
        <v>15613</v>
      </c>
      <c r="D1188" s="12" t="s">
        <v>8673</v>
      </c>
      <c r="E1188" s="13" t="s">
        <v>580</v>
      </c>
      <c r="F1188" s="681">
        <v>34.33</v>
      </c>
    </row>
    <row r="1189" spans="2:6" ht="15.75" hidden="1" customHeight="1" x14ac:dyDescent="0.25">
      <c r="B1189" s="13" t="s">
        <v>556</v>
      </c>
      <c r="C1189" s="13" t="s">
        <v>15614</v>
      </c>
      <c r="D1189" s="12" t="s">
        <v>9967</v>
      </c>
      <c r="E1189" s="13" t="s">
        <v>580</v>
      </c>
      <c r="F1189" s="681">
        <v>274.23</v>
      </c>
    </row>
    <row r="1190" spans="2:6" ht="15.75" hidden="1" customHeight="1" x14ac:dyDescent="0.25">
      <c r="B1190" s="13" t="s">
        <v>556</v>
      </c>
      <c r="C1190" s="13" t="s">
        <v>15615</v>
      </c>
      <c r="D1190" s="12" t="s">
        <v>15616</v>
      </c>
      <c r="E1190" s="13" t="s">
        <v>585</v>
      </c>
      <c r="F1190" s="681">
        <v>662.73</v>
      </c>
    </row>
    <row r="1191" spans="2:6" ht="15.75" hidden="1" customHeight="1" x14ac:dyDescent="0.25">
      <c r="B1191" s="13" t="s">
        <v>556</v>
      </c>
      <c r="C1191" s="13" t="s">
        <v>15617</v>
      </c>
      <c r="D1191" s="12" t="s">
        <v>15618</v>
      </c>
      <c r="E1191" s="13" t="s">
        <v>585</v>
      </c>
      <c r="F1191" s="681">
        <v>3312.76</v>
      </c>
    </row>
    <row r="1192" spans="2:6" ht="15.75" hidden="1" customHeight="1" x14ac:dyDescent="0.25">
      <c r="B1192" s="13" t="s">
        <v>556</v>
      </c>
      <c r="C1192" s="13" t="s">
        <v>15619</v>
      </c>
      <c r="D1192" s="12" t="s">
        <v>15620</v>
      </c>
      <c r="E1192" s="13" t="s">
        <v>585</v>
      </c>
      <c r="F1192" s="681">
        <v>1726.47</v>
      </c>
    </row>
    <row r="1193" spans="2:6" ht="15.75" hidden="1" customHeight="1" x14ac:dyDescent="0.25">
      <c r="B1193" s="13" t="s">
        <v>556</v>
      </c>
      <c r="C1193" s="13" t="s">
        <v>15621</v>
      </c>
      <c r="D1193" s="12" t="s">
        <v>15622</v>
      </c>
      <c r="E1193" s="13" t="s">
        <v>585</v>
      </c>
      <c r="F1193" s="681">
        <v>799.27</v>
      </c>
    </row>
    <row r="1194" spans="2:6" ht="15.75" hidden="1" customHeight="1" x14ac:dyDescent="0.25">
      <c r="B1194" s="13" t="s">
        <v>556</v>
      </c>
      <c r="C1194" s="13" t="s">
        <v>15623</v>
      </c>
      <c r="D1194" s="12" t="s">
        <v>15624</v>
      </c>
      <c r="E1194" s="13" t="s">
        <v>585</v>
      </c>
      <c r="F1194" s="681">
        <v>1050.3800000000001</v>
      </c>
    </row>
    <row r="1195" spans="2:6" ht="15.75" hidden="1" customHeight="1" x14ac:dyDescent="0.25">
      <c r="B1195" s="13" t="s">
        <v>556</v>
      </c>
      <c r="C1195" s="13" t="s">
        <v>15625</v>
      </c>
      <c r="D1195" s="12" t="s">
        <v>15626</v>
      </c>
      <c r="E1195" s="13" t="s">
        <v>585</v>
      </c>
      <c r="F1195" s="681">
        <v>12.56</v>
      </c>
    </row>
    <row r="1196" spans="2:6" ht="15.75" hidden="1" customHeight="1" x14ac:dyDescent="0.25">
      <c r="B1196" s="13" t="s">
        <v>556</v>
      </c>
      <c r="C1196" s="13" t="s">
        <v>15627</v>
      </c>
      <c r="D1196" s="12" t="s">
        <v>15628</v>
      </c>
      <c r="E1196" s="13" t="s">
        <v>585</v>
      </c>
      <c r="F1196" s="681">
        <v>23.44</v>
      </c>
    </row>
    <row r="1197" spans="2:6" ht="15.75" hidden="1" customHeight="1" x14ac:dyDescent="0.25">
      <c r="B1197" s="13" t="s">
        <v>556</v>
      </c>
      <c r="C1197" s="13" t="s">
        <v>15629</v>
      </c>
      <c r="D1197" s="12" t="s">
        <v>15630</v>
      </c>
      <c r="E1197" s="13" t="s">
        <v>585</v>
      </c>
      <c r="F1197" s="681">
        <v>38.520000000000003</v>
      </c>
    </row>
    <row r="1198" spans="2:6" ht="15.75" hidden="1" customHeight="1" x14ac:dyDescent="0.25">
      <c r="B1198" s="13" t="s">
        <v>556</v>
      </c>
      <c r="C1198" s="13" t="s">
        <v>15631</v>
      </c>
      <c r="D1198" s="12" t="s">
        <v>15632</v>
      </c>
      <c r="E1198" s="13" t="s">
        <v>585</v>
      </c>
      <c r="F1198" s="681">
        <v>81.739999999999995</v>
      </c>
    </row>
    <row r="1199" spans="2:6" ht="15.75" hidden="1" customHeight="1" x14ac:dyDescent="0.25">
      <c r="B1199" s="13" t="s">
        <v>556</v>
      </c>
      <c r="C1199" s="13" t="s">
        <v>15633</v>
      </c>
      <c r="D1199" s="12" t="s">
        <v>15634</v>
      </c>
      <c r="E1199" s="13" t="s">
        <v>585</v>
      </c>
      <c r="F1199" s="681">
        <v>18.82</v>
      </c>
    </row>
    <row r="1200" spans="2:6" ht="15.75" hidden="1" customHeight="1" x14ac:dyDescent="0.25">
      <c r="B1200" s="13" t="s">
        <v>556</v>
      </c>
      <c r="C1200" s="13" t="s">
        <v>15635</v>
      </c>
      <c r="D1200" s="12" t="s">
        <v>15636</v>
      </c>
      <c r="E1200" s="13" t="s">
        <v>585</v>
      </c>
      <c r="F1200" s="681">
        <v>24.5</v>
      </c>
    </row>
    <row r="1201" spans="2:6" ht="15.75" hidden="1" customHeight="1" x14ac:dyDescent="0.25">
      <c r="B1201" s="13" t="s">
        <v>556</v>
      </c>
      <c r="C1201" s="13" t="s">
        <v>15637</v>
      </c>
      <c r="D1201" s="12" t="s">
        <v>15638</v>
      </c>
      <c r="E1201" s="13" t="s">
        <v>585</v>
      </c>
      <c r="F1201" s="681">
        <v>32.9</v>
      </c>
    </row>
    <row r="1202" spans="2:6" ht="15.75" hidden="1" customHeight="1" x14ac:dyDescent="0.25">
      <c r="B1202" s="13" t="s">
        <v>556</v>
      </c>
      <c r="C1202" s="13" t="s">
        <v>15639</v>
      </c>
      <c r="D1202" s="12" t="s">
        <v>15640</v>
      </c>
      <c r="E1202" s="13" t="s">
        <v>585</v>
      </c>
      <c r="F1202" s="681">
        <v>47.95</v>
      </c>
    </row>
    <row r="1203" spans="2:6" ht="15.75" hidden="1" customHeight="1" x14ac:dyDescent="0.25">
      <c r="B1203" s="13" t="s">
        <v>556</v>
      </c>
      <c r="C1203" s="13" t="s">
        <v>15641</v>
      </c>
      <c r="D1203" s="12" t="s">
        <v>15642</v>
      </c>
      <c r="E1203" s="13" t="s">
        <v>585</v>
      </c>
      <c r="F1203" s="681">
        <v>52.99</v>
      </c>
    </row>
    <row r="1204" spans="2:6" ht="15.75" hidden="1" customHeight="1" x14ac:dyDescent="0.25">
      <c r="B1204" s="13" t="s">
        <v>556</v>
      </c>
      <c r="C1204" s="13" t="s">
        <v>15643</v>
      </c>
      <c r="D1204" s="12" t="s">
        <v>15644</v>
      </c>
      <c r="E1204" s="13" t="s">
        <v>585</v>
      </c>
      <c r="F1204" s="681">
        <v>69.150000000000006</v>
      </c>
    </row>
    <row r="1205" spans="2:6" ht="15.75" hidden="1" customHeight="1" x14ac:dyDescent="0.25">
      <c r="B1205" s="13" t="s">
        <v>556</v>
      </c>
      <c r="C1205" s="13" t="s">
        <v>15645</v>
      </c>
      <c r="D1205" s="12" t="s">
        <v>15646</v>
      </c>
      <c r="E1205" s="13" t="s">
        <v>585</v>
      </c>
      <c r="F1205" s="681">
        <v>96.75</v>
      </c>
    </row>
    <row r="1206" spans="2:6" ht="15.75" hidden="1" customHeight="1" x14ac:dyDescent="0.25">
      <c r="B1206" s="13" t="s">
        <v>556</v>
      </c>
      <c r="C1206" s="13" t="s">
        <v>15647</v>
      </c>
      <c r="D1206" s="12" t="s">
        <v>15648</v>
      </c>
      <c r="E1206" s="13" t="s">
        <v>585</v>
      </c>
      <c r="F1206" s="681">
        <v>111.16</v>
      </c>
    </row>
    <row r="1207" spans="2:6" ht="15.75" hidden="1" customHeight="1" x14ac:dyDescent="0.25">
      <c r="B1207" s="13" t="s">
        <v>556</v>
      </c>
      <c r="C1207" s="13" t="s">
        <v>15649</v>
      </c>
      <c r="D1207" s="12" t="s">
        <v>15650</v>
      </c>
      <c r="E1207" s="13" t="s">
        <v>585</v>
      </c>
      <c r="F1207" s="681">
        <v>161.1</v>
      </c>
    </row>
    <row r="1208" spans="2:6" ht="15.75" hidden="1" customHeight="1" x14ac:dyDescent="0.25">
      <c r="B1208" s="13" t="s">
        <v>556</v>
      </c>
      <c r="C1208" s="13" t="s">
        <v>15651</v>
      </c>
      <c r="D1208" s="12" t="s">
        <v>15652</v>
      </c>
      <c r="E1208" s="13" t="s">
        <v>585</v>
      </c>
      <c r="F1208" s="681">
        <v>28.41</v>
      </c>
    </row>
    <row r="1209" spans="2:6" ht="15.75" hidden="1" customHeight="1" x14ac:dyDescent="0.25">
      <c r="B1209" s="13" t="s">
        <v>556</v>
      </c>
      <c r="C1209" s="13" t="s">
        <v>15653</v>
      </c>
      <c r="D1209" s="12" t="s">
        <v>15654</v>
      </c>
      <c r="E1209" s="13" t="s">
        <v>585</v>
      </c>
      <c r="F1209" s="681">
        <v>44.92</v>
      </c>
    </row>
    <row r="1210" spans="2:6" ht="15.75" hidden="1" customHeight="1" x14ac:dyDescent="0.25">
      <c r="B1210" s="13" t="s">
        <v>556</v>
      </c>
      <c r="C1210" s="13" t="s">
        <v>15655</v>
      </c>
      <c r="D1210" s="12" t="s">
        <v>15656</v>
      </c>
      <c r="E1210" s="13" t="s">
        <v>585</v>
      </c>
      <c r="F1210" s="681">
        <v>96.24</v>
      </c>
    </row>
    <row r="1211" spans="2:6" ht="15.75" hidden="1" customHeight="1" x14ac:dyDescent="0.25">
      <c r="B1211" s="13" t="s">
        <v>556</v>
      </c>
      <c r="C1211" s="13" t="s">
        <v>15657</v>
      </c>
      <c r="D1211" s="12" t="s">
        <v>10591</v>
      </c>
      <c r="E1211" s="13" t="s">
        <v>580</v>
      </c>
      <c r="F1211" s="681">
        <v>360</v>
      </c>
    </row>
    <row r="1212" spans="2:6" ht="15.75" hidden="1" customHeight="1" x14ac:dyDescent="0.25">
      <c r="B1212" s="13" t="s">
        <v>556</v>
      </c>
      <c r="C1212" s="13" t="s">
        <v>15658</v>
      </c>
      <c r="D1212" s="12" t="s">
        <v>10592</v>
      </c>
      <c r="E1212" s="13" t="s">
        <v>580</v>
      </c>
      <c r="F1212" s="681">
        <v>443.76</v>
      </c>
    </row>
    <row r="1213" spans="2:6" ht="15.75" hidden="1" customHeight="1" x14ac:dyDescent="0.25">
      <c r="B1213" s="13" t="s">
        <v>556</v>
      </c>
      <c r="C1213" s="13" t="s">
        <v>15659</v>
      </c>
      <c r="D1213" s="12" t="s">
        <v>10593</v>
      </c>
      <c r="E1213" s="13" t="s">
        <v>580</v>
      </c>
      <c r="F1213" s="681">
        <v>552.47</v>
      </c>
    </row>
    <row r="1214" spans="2:6" ht="15.75" hidden="1" customHeight="1" x14ac:dyDescent="0.25">
      <c r="B1214" s="13" t="s">
        <v>556</v>
      </c>
      <c r="C1214" s="13" t="s">
        <v>15660</v>
      </c>
      <c r="D1214" s="12" t="s">
        <v>10594</v>
      </c>
      <c r="E1214" s="13" t="s">
        <v>580</v>
      </c>
      <c r="F1214" s="681">
        <v>589.9</v>
      </c>
    </row>
    <row r="1215" spans="2:6" ht="15.75" hidden="1" customHeight="1" x14ac:dyDescent="0.25">
      <c r="B1215" s="13" t="s">
        <v>556</v>
      </c>
      <c r="C1215" s="13" t="s">
        <v>15661</v>
      </c>
      <c r="D1215" s="12" t="s">
        <v>10599</v>
      </c>
      <c r="E1215" s="13" t="s">
        <v>580</v>
      </c>
      <c r="F1215" s="681">
        <v>714.65</v>
      </c>
    </row>
    <row r="1216" spans="2:6" ht="15.75" hidden="1" customHeight="1" x14ac:dyDescent="0.25">
      <c r="B1216" s="13" t="s">
        <v>556</v>
      </c>
      <c r="C1216" s="13" t="s">
        <v>15662</v>
      </c>
      <c r="D1216" s="12" t="s">
        <v>10601</v>
      </c>
      <c r="E1216" s="13" t="s">
        <v>580</v>
      </c>
      <c r="F1216" s="681">
        <v>1094.25</v>
      </c>
    </row>
    <row r="1217" spans="2:6" ht="15.75" hidden="1" customHeight="1" x14ac:dyDescent="0.25">
      <c r="B1217" s="13" t="s">
        <v>556</v>
      </c>
      <c r="C1217" s="13" t="s">
        <v>15663</v>
      </c>
      <c r="D1217" s="12" t="s">
        <v>10602</v>
      </c>
      <c r="E1217" s="13" t="s">
        <v>580</v>
      </c>
      <c r="F1217" s="681">
        <v>1247.52</v>
      </c>
    </row>
    <row r="1218" spans="2:6" ht="15.75" hidden="1" customHeight="1" x14ac:dyDescent="0.25">
      <c r="B1218" s="13" t="s">
        <v>556</v>
      </c>
      <c r="C1218" s="13" t="s">
        <v>15664</v>
      </c>
      <c r="D1218" s="12" t="s">
        <v>11300</v>
      </c>
      <c r="E1218" s="13" t="s">
        <v>580</v>
      </c>
      <c r="F1218" s="681">
        <v>32.21</v>
      </c>
    </row>
    <row r="1219" spans="2:6" ht="15.75" hidden="1" customHeight="1" x14ac:dyDescent="0.25">
      <c r="B1219" s="13" t="s">
        <v>556</v>
      </c>
      <c r="C1219" s="13" t="s">
        <v>15665</v>
      </c>
      <c r="D1219" s="12" t="s">
        <v>11299</v>
      </c>
      <c r="E1219" s="13" t="s">
        <v>580</v>
      </c>
      <c r="F1219" s="681">
        <v>38.880000000000003</v>
      </c>
    </row>
    <row r="1220" spans="2:6" ht="15.75" hidden="1" customHeight="1" x14ac:dyDescent="0.25">
      <c r="B1220" s="13" t="s">
        <v>556</v>
      </c>
      <c r="C1220" s="13" t="s">
        <v>15666</v>
      </c>
      <c r="D1220" s="12" t="s">
        <v>11295</v>
      </c>
      <c r="E1220" s="13" t="s">
        <v>580</v>
      </c>
      <c r="F1220" s="681">
        <v>37.4</v>
      </c>
    </row>
    <row r="1221" spans="2:6" ht="15.75" hidden="1" customHeight="1" x14ac:dyDescent="0.25">
      <c r="B1221" s="13" t="s">
        <v>556</v>
      </c>
      <c r="C1221" s="13" t="s">
        <v>15667</v>
      </c>
      <c r="D1221" s="12" t="s">
        <v>11296</v>
      </c>
      <c r="E1221" s="13" t="s">
        <v>580</v>
      </c>
      <c r="F1221" s="681">
        <v>47.25</v>
      </c>
    </row>
    <row r="1222" spans="2:6" ht="15.75" hidden="1" customHeight="1" x14ac:dyDescent="0.25">
      <c r="B1222" s="13" t="s">
        <v>556</v>
      </c>
      <c r="C1222" s="13" t="s">
        <v>15668</v>
      </c>
      <c r="D1222" s="12" t="s">
        <v>11297</v>
      </c>
      <c r="E1222" s="13" t="s">
        <v>580</v>
      </c>
      <c r="F1222" s="681">
        <v>32.909999999999997</v>
      </c>
    </row>
    <row r="1223" spans="2:6" ht="15.75" hidden="1" customHeight="1" x14ac:dyDescent="0.25">
      <c r="B1223" s="13" t="s">
        <v>556</v>
      </c>
      <c r="C1223" s="13" t="s">
        <v>15669</v>
      </c>
      <c r="D1223" s="12" t="s">
        <v>11298</v>
      </c>
      <c r="E1223" s="13" t="s">
        <v>580</v>
      </c>
      <c r="F1223" s="681">
        <v>45.08</v>
      </c>
    </row>
    <row r="1224" spans="2:6" ht="15.75" hidden="1" customHeight="1" x14ac:dyDescent="0.25">
      <c r="B1224" s="13" t="s">
        <v>556</v>
      </c>
      <c r="C1224" s="13" t="s">
        <v>15670</v>
      </c>
      <c r="D1224" s="12" t="s">
        <v>11294</v>
      </c>
      <c r="E1224" s="13" t="s">
        <v>580</v>
      </c>
      <c r="F1224" s="681">
        <v>48.53</v>
      </c>
    </row>
    <row r="1225" spans="2:6" ht="15.75" hidden="1" customHeight="1" x14ac:dyDescent="0.25">
      <c r="B1225" s="13" t="s">
        <v>556</v>
      </c>
      <c r="C1225" s="13" t="s">
        <v>15671</v>
      </c>
      <c r="D1225" s="12" t="s">
        <v>11132</v>
      </c>
      <c r="E1225" s="13" t="s">
        <v>580</v>
      </c>
      <c r="F1225" s="681">
        <v>45.99</v>
      </c>
    </row>
    <row r="1226" spans="2:6" ht="15.75" hidden="1" customHeight="1" x14ac:dyDescent="0.25">
      <c r="B1226" s="13" t="s">
        <v>556</v>
      </c>
      <c r="C1226" s="13" t="s">
        <v>15672</v>
      </c>
      <c r="D1226" s="12" t="s">
        <v>11134</v>
      </c>
      <c r="E1226" s="13" t="s">
        <v>580</v>
      </c>
      <c r="F1226" s="681">
        <v>85.33</v>
      </c>
    </row>
    <row r="1227" spans="2:6" ht="15.75" hidden="1" customHeight="1" x14ac:dyDescent="0.25">
      <c r="B1227" s="13" t="s">
        <v>556</v>
      </c>
      <c r="C1227" s="13" t="s">
        <v>15673</v>
      </c>
      <c r="D1227" s="12" t="s">
        <v>11135</v>
      </c>
      <c r="E1227" s="13" t="s">
        <v>580</v>
      </c>
      <c r="F1227" s="681">
        <v>106.66</v>
      </c>
    </row>
    <row r="1228" spans="2:6" ht="15.75" hidden="1" customHeight="1" x14ac:dyDescent="0.25">
      <c r="B1228" s="13" t="s">
        <v>556</v>
      </c>
      <c r="C1228" s="13" t="s">
        <v>15674</v>
      </c>
      <c r="D1228" s="12" t="s">
        <v>11136</v>
      </c>
      <c r="E1228" s="13" t="s">
        <v>580</v>
      </c>
      <c r="F1228" s="681">
        <v>167.99</v>
      </c>
    </row>
    <row r="1229" spans="2:6" ht="15.75" hidden="1" customHeight="1" x14ac:dyDescent="0.25">
      <c r="B1229" s="13" t="s">
        <v>556</v>
      </c>
      <c r="C1229" s="13" t="s">
        <v>15675</v>
      </c>
      <c r="D1229" s="12" t="s">
        <v>11338</v>
      </c>
      <c r="E1229" s="13" t="s">
        <v>580</v>
      </c>
      <c r="F1229" s="681">
        <v>173.33</v>
      </c>
    </row>
    <row r="1230" spans="2:6" ht="15.75" hidden="1" customHeight="1" x14ac:dyDescent="0.25">
      <c r="B1230" s="13" t="s">
        <v>556</v>
      </c>
      <c r="C1230" s="13" t="s">
        <v>15676</v>
      </c>
      <c r="D1230" s="12" t="s">
        <v>11336</v>
      </c>
      <c r="E1230" s="13" t="s">
        <v>580</v>
      </c>
      <c r="F1230" s="681">
        <v>579.99</v>
      </c>
    </row>
    <row r="1231" spans="2:6" ht="15.75" hidden="1" customHeight="1" x14ac:dyDescent="0.25">
      <c r="B1231" s="13" t="s">
        <v>556</v>
      </c>
      <c r="C1231" s="13" t="s">
        <v>15677</v>
      </c>
      <c r="D1231" s="12" t="s">
        <v>15678</v>
      </c>
      <c r="E1231" s="13" t="s">
        <v>580</v>
      </c>
      <c r="F1231" s="681">
        <v>78.239999999999995</v>
      </c>
    </row>
    <row r="1232" spans="2:6" ht="15.75" hidden="1" customHeight="1" x14ac:dyDescent="0.25">
      <c r="B1232" s="13" t="s">
        <v>14150</v>
      </c>
      <c r="C1232" s="13" t="s">
        <v>15679</v>
      </c>
      <c r="D1232" s="12" t="s">
        <v>8687</v>
      </c>
      <c r="E1232" s="13" t="s">
        <v>580</v>
      </c>
      <c r="F1232" s="681">
        <v>3563.75</v>
      </c>
    </row>
    <row r="1233" spans="2:6" ht="15.75" hidden="1" customHeight="1" x14ac:dyDescent="0.25">
      <c r="B1233" s="13" t="s">
        <v>556</v>
      </c>
      <c r="C1233" s="13" t="s">
        <v>15680</v>
      </c>
      <c r="D1233" s="12" t="s">
        <v>11054</v>
      </c>
      <c r="E1233" s="13" t="s">
        <v>580</v>
      </c>
      <c r="F1233" s="681">
        <v>36.049999999999997</v>
      </c>
    </row>
    <row r="1234" spans="2:6" ht="15.75" hidden="1" customHeight="1" x14ac:dyDescent="0.25">
      <c r="B1234" s="13" t="s">
        <v>556</v>
      </c>
      <c r="C1234" s="13" t="s">
        <v>15681</v>
      </c>
      <c r="D1234" s="12" t="s">
        <v>11053</v>
      </c>
      <c r="E1234" s="13" t="s">
        <v>580</v>
      </c>
      <c r="F1234" s="681">
        <v>56.13</v>
      </c>
    </row>
    <row r="1235" spans="2:6" ht="15.75" hidden="1" customHeight="1" x14ac:dyDescent="0.25">
      <c r="B1235" s="13" t="s">
        <v>556</v>
      </c>
      <c r="C1235" s="13" t="s">
        <v>15682</v>
      </c>
      <c r="D1235" s="12" t="s">
        <v>15683</v>
      </c>
      <c r="E1235" s="13" t="s">
        <v>823</v>
      </c>
      <c r="F1235" s="681">
        <v>43.07</v>
      </c>
    </row>
    <row r="1236" spans="2:6" ht="15.75" hidden="1" customHeight="1" x14ac:dyDescent="0.25">
      <c r="B1236" s="13" t="s">
        <v>556</v>
      </c>
      <c r="C1236" s="13" t="s">
        <v>15684</v>
      </c>
      <c r="D1236" s="12" t="s">
        <v>11855</v>
      </c>
      <c r="E1236" s="13" t="s">
        <v>578</v>
      </c>
      <c r="F1236" s="681">
        <v>259.07</v>
      </c>
    </row>
    <row r="1237" spans="2:6" ht="15.75" hidden="1" customHeight="1" x14ac:dyDescent="0.25">
      <c r="B1237" s="13" t="s">
        <v>556</v>
      </c>
      <c r="C1237" s="13" t="s">
        <v>15685</v>
      </c>
      <c r="D1237" s="12" t="s">
        <v>11808</v>
      </c>
      <c r="E1237" s="13" t="s">
        <v>580</v>
      </c>
      <c r="F1237" s="681">
        <v>310.74</v>
      </c>
    </row>
    <row r="1238" spans="2:6" ht="15.75" hidden="1" customHeight="1" x14ac:dyDescent="0.25">
      <c r="B1238" s="13" t="s">
        <v>556</v>
      </c>
      <c r="C1238" s="13" t="s">
        <v>15686</v>
      </c>
      <c r="D1238" s="12" t="s">
        <v>8599</v>
      </c>
      <c r="E1238" s="13" t="s">
        <v>580</v>
      </c>
      <c r="F1238" s="681">
        <v>29.55</v>
      </c>
    </row>
    <row r="1239" spans="2:6" ht="15.75" hidden="1" customHeight="1" x14ac:dyDescent="0.25">
      <c r="B1239" s="13" t="s">
        <v>556</v>
      </c>
      <c r="C1239" s="13" t="s">
        <v>15687</v>
      </c>
      <c r="D1239" s="12" t="s">
        <v>15688</v>
      </c>
      <c r="E1239" s="13" t="s">
        <v>580</v>
      </c>
      <c r="F1239" s="681">
        <v>41.59</v>
      </c>
    </row>
    <row r="1240" spans="2:6" ht="15.75" hidden="1" customHeight="1" x14ac:dyDescent="0.25">
      <c r="B1240" s="13" t="s">
        <v>556</v>
      </c>
      <c r="C1240" s="13" t="s">
        <v>15689</v>
      </c>
      <c r="D1240" s="12" t="s">
        <v>10247</v>
      </c>
      <c r="E1240" s="13" t="s">
        <v>580</v>
      </c>
      <c r="F1240" s="681">
        <v>3.68</v>
      </c>
    </row>
    <row r="1241" spans="2:6" ht="15.75" hidden="1" customHeight="1" x14ac:dyDescent="0.25">
      <c r="B1241" s="13" t="s">
        <v>556</v>
      </c>
      <c r="C1241" s="13" t="s">
        <v>15690</v>
      </c>
      <c r="D1241" s="12" t="s">
        <v>10464</v>
      </c>
      <c r="E1241" s="13" t="s">
        <v>580</v>
      </c>
      <c r="F1241" s="681">
        <v>1.94</v>
      </c>
    </row>
    <row r="1242" spans="2:6" ht="15.75" hidden="1" customHeight="1" x14ac:dyDescent="0.25">
      <c r="B1242" s="13" t="s">
        <v>556</v>
      </c>
      <c r="C1242" s="13" t="s">
        <v>15691</v>
      </c>
      <c r="D1242" s="12" t="s">
        <v>10505</v>
      </c>
      <c r="E1242" s="13" t="s">
        <v>580</v>
      </c>
      <c r="F1242" s="681">
        <v>12.62</v>
      </c>
    </row>
    <row r="1243" spans="2:6" ht="15.75" hidden="1" customHeight="1" x14ac:dyDescent="0.25">
      <c r="B1243" s="13" t="s">
        <v>556</v>
      </c>
      <c r="C1243" s="13" t="s">
        <v>15692</v>
      </c>
      <c r="D1243" s="12" t="s">
        <v>11356</v>
      </c>
      <c r="E1243" s="13" t="s">
        <v>580</v>
      </c>
      <c r="F1243" s="681">
        <v>4.0999999999999996</v>
      </c>
    </row>
    <row r="1244" spans="2:6" ht="15.75" hidden="1" customHeight="1" x14ac:dyDescent="0.25">
      <c r="B1244" s="13" t="s">
        <v>556</v>
      </c>
      <c r="C1244" s="13" t="s">
        <v>15693</v>
      </c>
      <c r="D1244" s="12" t="s">
        <v>11676</v>
      </c>
      <c r="E1244" s="13" t="s">
        <v>585</v>
      </c>
      <c r="F1244" s="681">
        <v>12.37</v>
      </c>
    </row>
    <row r="1245" spans="2:6" ht="15.75" hidden="1" customHeight="1" x14ac:dyDescent="0.25">
      <c r="B1245" s="13" t="s">
        <v>556</v>
      </c>
      <c r="C1245" s="13" t="s">
        <v>15694</v>
      </c>
      <c r="D1245" s="12" t="s">
        <v>11677</v>
      </c>
      <c r="E1245" s="13" t="s">
        <v>585</v>
      </c>
      <c r="F1245" s="681">
        <v>19.760000000000002</v>
      </c>
    </row>
    <row r="1246" spans="2:6" ht="15.75" hidden="1" customHeight="1" x14ac:dyDescent="0.25">
      <c r="B1246" s="13" t="s">
        <v>556</v>
      </c>
      <c r="C1246" s="13" t="s">
        <v>15695</v>
      </c>
      <c r="D1246" s="12" t="s">
        <v>11678</v>
      </c>
      <c r="E1246" s="13" t="s">
        <v>585</v>
      </c>
      <c r="F1246" s="681">
        <v>34.03</v>
      </c>
    </row>
    <row r="1247" spans="2:6" ht="15.75" hidden="1" customHeight="1" x14ac:dyDescent="0.25">
      <c r="B1247" s="13" t="s">
        <v>556</v>
      </c>
      <c r="C1247" s="13" t="s">
        <v>15696</v>
      </c>
      <c r="D1247" s="12" t="s">
        <v>10054</v>
      </c>
      <c r="E1247" s="13" t="s">
        <v>580</v>
      </c>
      <c r="F1247" s="681">
        <v>7.88</v>
      </c>
    </row>
    <row r="1248" spans="2:6" ht="15.75" hidden="1" customHeight="1" x14ac:dyDescent="0.25">
      <c r="B1248" s="13" t="s">
        <v>556</v>
      </c>
      <c r="C1248" s="13" t="s">
        <v>15697</v>
      </c>
      <c r="D1248" s="12" t="s">
        <v>9836</v>
      </c>
      <c r="E1248" s="13" t="s">
        <v>585</v>
      </c>
      <c r="F1248" s="681">
        <v>9.67</v>
      </c>
    </row>
    <row r="1249" spans="2:6" ht="15.75" hidden="1" customHeight="1" x14ac:dyDescent="0.25">
      <c r="B1249" s="13" t="s">
        <v>556</v>
      </c>
      <c r="C1249" s="13" t="s">
        <v>15698</v>
      </c>
      <c r="D1249" s="12" t="s">
        <v>9840</v>
      </c>
      <c r="E1249" s="13" t="s">
        <v>585</v>
      </c>
      <c r="F1249" s="681">
        <v>9.9</v>
      </c>
    </row>
    <row r="1250" spans="2:6" ht="15.75" hidden="1" customHeight="1" x14ac:dyDescent="0.25">
      <c r="B1250" s="13" t="s">
        <v>556</v>
      </c>
      <c r="C1250" s="13" t="s">
        <v>15699</v>
      </c>
      <c r="D1250" s="12" t="s">
        <v>10740</v>
      </c>
      <c r="E1250" s="13" t="s">
        <v>585</v>
      </c>
      <c r="F1250" s="681">
        <v>9.39</v>
      </c>
    </row>
    <row r="1251" spans="2:6" ht="15.75" hidden="1" customHeight="1" x14ac:dyDescent="0.25">
      <c r="B1251" s="13" t="s">
        <v>556</v>
      </c>
      <c r="C1251" s="13" t="s">
        <v>15700</v>
      </c>
      <c r="D1251" s="12" t="s">
        <v>11459</v>
      </c>
      <c r="E1251" s="13" t="s">
        <v>578</v>
      </c>
      <c r="F1251" s="681">
        <v>12.14</v>
      </c>
    </row>
    <row r="1252" spans="2:6" ht="15.75" hidden="1" customHeight="1" x14ac:dyDescent="0.25">
      <c r="B1252" s="13" t="s">
        <v>556</v>
      </c>
      <c r="C1252" s="13" t="s">
        <v>15701</v>
      </c>
      <c r="D1252" s="12" t="s">
        <v>9955</v>
      </c>
      <c r="E1252" s="13" t="s">
        <v>580</v>
      </c>
      <c r="F1252" s="681">
        <v>34.880000000000003</v>
      </c>
    </row>
    <row r="1253" spans="2:6" ht="15.75" hidden="1" customHeight="1" x14ac:dyDescent="0.25">
      <c r="B1253" s="13" t="s">
        <v>556</v>
      </c>
      <c r="C1253" s="13" t="s">
        <v>15702</v>
      </c>
      <c r="D1253" s="12" t="s">
        <v>15703</v>
      </c>
      <c r="E1253" s="13" t="s">
        <v>585</v>
      </c>
      <c r="F1253" s="681">
        <v>161.87</v>
      </c>
    </row>
    <row r="1254" spans="2:6" ht="15.75" hidden="1" customHeight="1" x14ac:dyDescent="0.25">
      <c r="B1254" s="13" t="s">
        <v>556</v>
      </c>
      <c r="C1254" s="13" t="s">
        <v>15704</v>
      </c>
      <c r="D1254" s="12" t="s">
        <v>15705</v>
      </c>
      <c r="E1254" s="13" t="s">
        <v>585</v>
      </c>
      <c r="F1254" s="681">
        <v>99.91</v>
      </c>
    </row>
    <row r="1255" spans="2:6" ht="15.75" hidden="1" customHeight="1" x14ac:dyDescent="0.25">
      <c r="B1255" s="13" t="s">
        <v>556</v>
      </c>
      <c r="C1255" s="13" t="s">
        <v>15706</v>
      </c>
      <c r="D1255" s="12" t="s">
        <v>15707</v>
      </c>
      <c r="E1255" s="13" t="s">
        <v>585</v>
      </c>
      <c r="F1255" s="681">
        <v>49.54</v>
      </c>
    </row>
    <row r="1256" spans="2:6" ht="15.75" hidden="1" customHeight="1" x14ac:dyDescent="0.25">
      <c r="B1256" s="13" t="s">
        <v>556</v>
      </c>
      <c r="C1256" s="13" t="s">
        <v>15708</v>
      </c>
      <c r="D1256" s="12" t="s">
        <v>15709</v>
      </c>
      <c r="E1256" s="13" t="s">
        <v>585</v>
      </c>
      <c r="F1256" s="681">
        <v>296.52999999999997</v>
      </c>
    </row>
    <row r="1257" spans="2:6" ht="15.75" hidden="1" customHeight="1" x14ac:dyDescent="0.25">
      <c r="B1257" s="13" t="s">
        <v>14153</v>
      </c>
      <c r="C1257" s="13" t="s">
        <v>15710</v>
      </c>
      <c r="D1257" s="12" t="s">
        <v>8796</v>
      </c>
      <c r="E1257" s="13" t="s">
        <v>2193</v>
      </c>
      <c r="F1257" s="681">
        <v>30.74</v>
      </c>
    </row>
    <row r="1258" spans="2:6" ht="15.75" hidden="1" customHeight="1" x14ac:dyDescent="0.25">
      <c r="B1258" s="13" t="s">
        <v>14153</v>
      </c>
      <c r="C1258" s="13" t="s">
        <v>15711</v>
      </c>
      <c r="D1258" s="12" t="s">
        <v>9707</v>
      </c>
      <c r="E1258" s="13" t="s">
        <v>2193</v>
      </c>
      <c r="F1258" s="681">
        <v>61.13</v>
      </c>
    </row>
    <row r="1259" spans="2:6" ht="15.75" hidden="1" customHeight="1" x14ac:dyDescent="0.25">
      <c r="B1259" s="13" t="s">
        <v>556</v>
      </c>
      <c r="C1259" s="13" t="s">
        <v>15712</v>
      </c>
      <c r="D1259" s="12" t="s">
        <v>9747</v>
      </c>
      <c r="E1259" s="13" t="s">
        <v>580</v>
      </c>
      <c r="F1259" s="681">
        <v>10.59</v>
      </c>
    </row>
    <row r="1260" spans="2:6" ht="15.75" hidden="1" customHeight="1" x14ac:dyDescent="0.25">
      <c r="B1260" s="13" t="s">
        <v>556</v>
      </c>
      <c r="C1260" s="13" t="s">
        <v>15713</v>
      </c>
      <c r="D1260" s="12" t="s">
        <v>9751</v>
      </c>
      <c r="E1260" s="13" t="s">
        <v>580</v>
      </c>
      <c r="F1260" s="681">
        <v>100.16</v>
      </c>
    </row>
    <row r="1261" spans="2:6" ht="15.75" hidden="1" customHeight="1" x14ac:dyDescent="0.25">
      <c r="B1261" s="13" t="s">
        <v>556</v>
      </c>
      <c r="C1261" s="13" t="s">
        <v>15714</v>
      </c>
      <c r="D1261" s="12" t="s">
        <v>9735</v>
      </c>
      <c r="E1261" s="13" t="s">
        <v>580</v>
      </c>
      <c r="F1261" s="681">
        <v>355.35</v>
      </c>
    </row>
    <row r="1262" spans="2:6" ht="15.75" hidden="1" customHeight="1" x14ac:dyDescent="0.25">
      <c r="B1262" s="13" t="s">
        <v>556</v>
      </c>
      <c r="C1262" s="13" t="s">
        <v>15715</v>
      </c>
      <c r="D1262" s="12" t="s">
        <v>9743</v>
      </c>
      <c r="E1262" s="13" t="s">
        <v>580</v>
      </c>
      <c r="F1262" s="681">
        <v>1889.36</v>
      </c>
    </row>
    <row r="1263" spans="2:6" ht="15.75" hidden="1" customHeight="1" x14ac:dyDescent="0.25">
      <c r="B1263" s="13" t="s">
        <v>556</v>
      </c>
      <c r="C1263" s="13" t="s">
        <v>15716</v>
      </c>
      <c r="D1263" s="12" t="s">
        <v>9736</v>
      </c>
      <c r="E1263" s="13" t="s">
        <v>580</v>
      </c>
      <c r="F1263" s="681">
        <v>498.69</v>
      </c>
    </row>
    <row r="1264" spans="2:6" ht="15.75" hidden="1" customHeight="1" x14ac:dyDescent="0.25">
      <c r="B1264" s="13" t="s">
        <v>556</v>
      </c>
      <c r="C1264" s="13" t="s">
        <v>15717</v>
      </c>
      <c r="D1264" s="12" t="s">
        <v>9741</v>
      </c>
      <c r="E1264" s="13" t="s">
        <v>580</v>
      </c>
      <c r="F1264" s="681">
        <v>1147.1600000000001</v>
      </c>
    </row>
    <row r="1265" spans="2:6" ht="15.75" hidden="1" customHeight="1" x14ac:dyDescent="0.25">
      <c r="B1265" s="13" t="s">
        <v>556</v>
      </c>
      <c r="C1265" s="13" t="s">
        <v>15718</v>
      </c>
      <c r="D1265" s="12" t="s">
        <v>9742</v>
      </c>
      <c r="E1265" s="13" t="s">
        <v>580</v>
      </c>
      <c r="F1265" s="681">
        <v>1147.1600000000001</v>
      </c>
    </row>
    <row r="1266" spans="2:6" ht="15.75" hidden="1" customHeight="1" x14ac:dyDescent="0.25">
      <c r="B1266" s="13" t="s">
        <v>556</v>
      </c>
      <c r="C1266" s="13" t="s">
        <v>15719</v>
      </c>
      <c r="D1266" s="12" t="s">
        <v>9748</v>
      </c>
      <c r="E1266" s="13" t="s">
        <v>580</v>
      </c>
      <c r="F1266" s="681">
        <v>17.760000000000002</v>
      </c>
    </row>
    <row r="1267" spans="2:6" ht="15.75" hidden="1" customHeight="1" x14ac:dyDescent="0.25">
      <c r="B1267" s="13" t="s">
        <v>556</v>
      </c>
      <c r="C1267" s="13" t="s">
        <v>15720</v>
      </c>
      <c r="D1267" s="12" t="s">
        <v>9745</v>
      </c>
      <c r="E1267" s="13" t="s">
        <v>580</v>
      </c>
      <c r="F1267" s="681">
        <v>56.99</v>
      </c>
    </row>
    <row r="1268" spans="2:6" ht="15.75" hidden="1" customHeight="1" x14ac:dyDescent="0.25">
      <c r="B1268" s="13" t="s">
        <v>556</v>
      </c>
      <c r="C1268" s="13" t="s">
        <v>15721</v>
      </c>
      <c r="D1268" s="12" t="s">
        <v>9734</v>
      </c>
      <c r="E1268" s="13" t="s">
        <v>580</v>
      </c>
      <c r="F1268" s="681">
        <v>313.22000000000003</v>
      </c>
    </row>
    <row r="1269" spans="2:6" ht="15.75" hidden="1" customHeight="1" x14ac:dyDescent="0.25">
      <c r="B1269" s="13" t="s">
        <v>556</v>
      </c>
      <c r="C1269" s="13" t="s">
        <v>15722</v>
      </c>
      <c r="D1269" s="12" t="s">
        <v>9750</v>
      </c>
      <c r="E1269" s="13" t="s">
        <v>580</v>
      </c>
      <c r="F1269" s="681">
        <v>71.09</v>
      </c>
    </row>
    <row r="1270" spans="2:6" ht="15.75" hidden="1" customHeight="1" x14ac:dyDescent="0.25">
      <c r="B1270" s="13" t="s">
        <v>556</v>
      </c>
      <c r="C1270" s="13" t="s">
        <v>15723</v>
      </c>
      <c r="D1270" s="12" t="s">
        <v>9737</v>
      </c>
      <c r="E1270" s="13" t="s">
        <v>580</v>
      </c>
      <c r="F1270" s="681">
        <v>835.12</v>
      </c>
    </row>
    <row r="1271" spans="2:6" ht="15.75" hidden="1" customHeight="1" x14ac:dyDescent="0.25">
      <c r="B1271" s="13" t="s">
        <v>556</v>
      </c>
      <c r="C1271" s="13" t="s">
        <v>15724</v>
      </c>
      <c r="D1271" s="12" t="s">
        <v>9744</v>
      </c>
      <c r="E1271" s="13" t="s">
        <v>580</v>
      </c>
      <c r="F1271" s="681">
        <v>4039.11</v>
      </c>
    </row>
    <row r="1272" spans="2:6" ht="15.75" hidden="1" customHeight="1" x14ac:dyDescent="0.25">
      <c r="B1272" s="13" t="s">
        <v>14150</v>
      </c>
      <c r="C1272" s="13" t="s">
        <v>15725</v>
      </c>
      <c r="D1272" s="12" t="s">
        <v>15726</v>
      </c>
      <c r="E1272" s="13" t="s">
        <v>580</v>
      </c>
      <c r="F1272" s="681">
        <v>89991.11</v>
      </c>
    </row>
    <row r="1273" spans="2:6" ht="15.75" hidden="1" customHeight="1" x14ac:dyDescent="0.25">
      <c r="B1273" s="13" t="s">
        <v>556</v>
      </c>
      <c r="C1273" s="13" t="s">
        <v>15727</v>
      </c>
      <c r="D1273" s="12" t="s">
        <v>9791</v>
      </c>
      <c r="E1273" s="13" t="s">
        <v>580</v>
      </c>
      <c r="F1273" s="681">
        <v>15.47</v>
      </c>
    </row>
    <row r="1274" spans="2:6" ht="15.75" hidden="1" customHeight="1" x14ac:dyDescent="0.25">
      <c r="B1274" s="13" t="s">
        <v>14153</v>
      </c>
      <c r="C1274" s="13" t="s">
        <v>15728</v>
      </c>
      <c r="D1274" s="12" t="s">
        <v>8627</v>
      </c>
      <c r="E1274" s="13" t="s">
        <v>2193</v>
      </c>
      <c r="F1274" s="681">
        <v>21.93</v>
      </c>
    </row>
    <row r="1275" spans="2:6" ht="15.75" hidden="1" customHeight="1" x14ac:dyDescent="0.25">
      <c r="B1275" s="13" t="s">
        <v>556</v>
      </c>
      <c r="C1275" s="13" t="s">
        <v>15729</v>
      </c>
      <c r="D1275" s="12" t="s">
        <v>9793</v>
      </c>
      <c r="E1275" s="13" t="s">
        <v>580</v>
      </c>
      <c r="F1275" s="681">
        <v>19.399999999999999</v>
      </c>
    </row>
    <row r="1276" spans="2:6" ht="15.75" hidden="1" customHeight="1" x14ac:dyDescent="0.25">
      <c r="B1276" s="13" t="s">
        <v>556</v>
      </c>
      <c r="C1276" s="13" t="s">
        <v>15730</v>
      </c>
      <c r="D1276" s="12" t="s">
        <v>9790</v>
      </c>
      <c r="E1276" s="13" t="s">
        <v>580</v>
      </c>
      <c r="F1276" s="681">
        <v>33.35</v>
      </c>
    </row>
    <row r="1277" spans="2:6" ht="15.75" hidden="1" customHeight="1" x14ac:dyDescent="0.25">
      <c r="B1277" s="13" t="s">
        <v>556</v>
      </c>
      <c r="C1277" s="13" t="s">
        <v>15731</v>
      </c>
      <c r="D1277" s="12" t="s">
        <v>9792</v>
      </c>
      <c r="E1277" s="13" t="s">
        <v>580</v>
      </c>
      <c r="F1277" s="681">
        <v>11.3</v>
      </c>
    </row>
    <row r="1278" spans="2:6" ht="15.75" hidden="1" customHeight="1" x14ac:dyDescent="0.25">
      <c r="B1278" s="13" t="s">
        <v>14153</v>
      </c>
      <c r="C1278" s="13" t="s">
        <v>15732</v>
      </c>
      <c r="D1278" s="12" t="s">
        <v>9815</v>
      </c>
      <c r="E1278" s="13" t="s">
        <v>2193</v>
      </c>
      <c r="F1278" s="681">
        <v>33.369999999999997</v>
      </c>
    </row>
    <row r="1279" spans="2:6" ht="15.75" hidden="1" customHeight="1" x14ac:dyDescent="0.25">
      <c r="B1279" s="13" t="s">
        <v>14153</v>
      </c>
      <c r="C1279" s="13" t="s">
        <v>15733</v>
      </c>
      <c r="D1279" s="12" t="s">
        <v>10713</v>
      </c>
      <c r="E1279" s="13" t="s">
        <v>2193</v>
      </c>
      <c r="F1279" s="681">
        <v>25.44</v>
      </c>
    </row>
    <row r="1280" spans="2:6" ht="15.75" hidden="1" customHeight="1" x14ac:dyDescent="0.25">
      <c r="B1280" s="13" t="s">
        <v>14153</v>
      </c>
      <c r="C1280" s="13" t="s">
        <v>15734</v>
      </c>
      <c r="D1280" s="12" t="s">
        <v>9869</v>
      </c>
      <c r="E1280" s="13" t="s">
        <v>2193</v>
      </c>
      <c r="F1280" s="681">
        <v>39.26</v>
      </c>
    </row>
    <row r="1281" spans="2:6" ht="15.75" hidden="1" customHeight="1" x14ac:dyDescent="0.25">
      <c r="B1281" s="13" t="s">
        <v>14153</v>
      </c>
      <c r="C1281" s="13" t="s">
        <v>15735</v>
      </c>
      <c r="D1281" s="12" t="s">
        <v>8806</v>
      </c>
      <c r="E1281" s="13" t="s">
        <v>2193</v>
      </c>
      <c r="F1281" s="681">
        <v>34.17</v>
      </c>
    </row>
    <row r="1282" spans="2:6" ht="15.75" hidden="1" customHeight="1" x14ac:dyDescent="0.25">
      <c r="B1282" s="13" t="s">
        <v>556</v>
      </c>
      <c r="C1282" s="13" t="s">
        <v>15736</v>
      </c>
      <c r="D1282" s="12" t="s">
        <v>9867</v>
      </c>
      <c r="E1282" s="13" t="s">
        <v>585</v>
      </c>
      <c r="F1282" s="681">
        <v>9.2200000000000006</v>
      </c>
    </row>
    <row r="1283" spans="2:6" ht="15.75" hidden="1" customHeight="1" x14ac:dyDescent="0.25">
      <c r="B1283" s="13" t="s">
        <v>556</v>
      </c>
      <c r="C1283" s="13" t="s">
        <v>15737</v>
      </c>
      <c r="D1283" s="12" t="s">
        <v>9866</v>
      </c>
      <c r="E1283" s="13" t="s">
        <v>585</v>
      </c>
      <c r="F1283" s="681">
        <v>6.58</v>
      </c>
    </row>
    <row r="1284" spans="2:6" ht="15.75" hidden="1" customHeight="1" x14ac:dyDescent="0.25">
      <c r="B1284" s="13" t="s">
        <v>14153</v>
      </c>
      <c r="C1284" s="13" t="s">
        <v>15738</v>
      </c>
      <c r="D1284" s="12" t="s">
        <v>8798</v>
      </c>
      <c r="E1284" s="13" t="s">
        <v>2193</v>
      </c>
      <c r="F1284" s="681">
        <v>39.08</v>
      </c>
    </row>
    <row r="1285" spans="2:6" ht="15.75" hidden="1" customHeight="1" x14ac:dyDescent="0.25">
      <c r="B1285" s="13" t="s">
        <v>14153</v>
      </c>
      <c r="C1285" s="13" t="s">
        <v>15739</v>
      </c>
      <c r="D1285" s="12" t="s">
        <v>8794</v>
      </c>
      <c r="E1285" s="13" t="s">
        <v>2193</v>
      </c>
      <c r="F1285" s="681">
        <v>22.81</v>
      </c>
    </row>
    <row r="1286" spans="2:6" ht="15.75" hidden="1" customHeight="1" x14ac:dyDescent="0.25">
      <c r="B1286" s="13" t="s">
        <v>14153</v>
      </c>
      <c r="C1286" s="13" t="s">
        <v>15740</v>
      </c>
      <c r="D1286" s="12" t="s">
        <v>8617</v>
      </c>
      <c r="E1286" s="13" t="s">
        <v>2193</v>
      </c>
      <c r="F1286" s="681">
        <v>22.81</v>
      </c>
    </row>
    <row r="1287" spans="2:6" ht="15.75" hidden="1" customHeight="1" x14ac:dyDescent="0.25">
      <c r="B1287" s="13" t="s">
        <v>14153</v>
      </c>
      <c r="C1287" s="13" t="s">
        <v>15741</v>
      </c>
      <c r="D1287" s="12" t="s">
        <v>8621</v>
      </c>
      <c r="E1287" s="13" t="s">
        <v>2193</v>
      </c>
      <c r="F1287" s="681">
        <v>20.49</v>
      </c>
    </row>
    <row r="1288" spans="2:6" ht="15.75" hidden="1" customHeight="1" x14ac:dyDescent="0.25">
      <c r="B1288" s="13" t="s">
        <v>556</v>
      </c>
      <c r="C1288" s="13" t="s">
        <v>15742</v>
      </c>
      <c r="D1288" s="12" t="s">
        <v>9543</v>
      </c>
      <c r="E1288" s="13" t="s">
        <v>580</v>
      </c>
      <c r="F1288" s="681">
        <v>4.26</v>
      </c>
    </row>
    <row r="1289" spans="2:6" ht="15.75" hidden="1" customHeight="1" x14ac:dyDescent="0.25">
      <c r="B1289" s="13" t="s">
        <v>556</v>
      </c>
      <c r="C1289" s="13" t="s">
        <v>15743</v>
      </c>
      <c r="D1289" s="12" t="s">
        <v>9547</v>
      </c>
      <c r="E1289" s="13" t="s">
        <v>580</v>
      </c>
      <c r="F1289" s="681">
        <v>34.11</v>
      </c>
    </row>
    <row r="1290" spans="2:6" ht="15.75" hidden="1" customHeight="1" x14ac:dyDescent="0.25">
      <c r="B1290" s="13" t="s">
        <v>556</v>
      </c>
      <c r="C1290" s="13" t="s">
        <v>15744</v>
      </c>
      <c r="D1290" s="12" t="s">
        <v>9549</v>
      </c>
      <c r="E1290" s="13" t="s">
        <v>580</v>
      </c>
      <c r="F1290" s="681">
        <v>53.46</v>
      </c>
    </row>
    <row r="1291" spans="2:6" ht="15.75" hidden="1" customHeight="1" x14ac:dyDescent="0.25">
      <c r="B1291" s="13" t="s">
        <v>556</v>
      </c>
      <c r="C1291" s="13" t="s">
        <v>15745</v>
      </c>
      <c r="D1291" s="12" t="s">
        <v>9544</v>
      </c>
      <c r="E1291" s="13" t="s">
        <v>580</v>
      </c>
      <c r="F1291" s="681">
        <v>2.04</v>
      </c>
    </row>
    <row r="1292" spans="2:6" ht="15.75" hidden="1" customHeight="1" x14ac:dyDescent="0.25">
      <c r="B1292" s="13" t="s">
        <v>556</v>
      </c>
      <c r="C1292" s="13" t="s">
        <v>15746</v>
      </c>
      <c r="D1292" s="12" t="s">
        <v>9548</v>
      </c>
      <c r="E1292" s="13" t="s">
        <v>580</v>
      </c>
      <c r="F1292" s="681">
        <v>2.39</v>
      </c>
    </row>
    <row r="1293" spans="2:6" ht="15.75" hidden="1" customHeight="1" x14ac:dyDescent="0.25">
      <c r="B1293" s="13" t="s">
        <v>556</v>
      </c>
      <c r="C1293" s="13" t="s">
        <v>15747</v>
      </c>
      <c r="D1293" s="12" t="s">
        <v>9546</v>
      </c>
      <c r="E1293" s="13" t="s">
        <v>580</v>
      </c>
      <c r="F1293" s="681">
        <v>10.34</v>
      </c>
    </row>
    <row r="1294" spans="2:6" ht="15.75" hidden="1" customHeight="1" x14ac:dyDescent="0.25">
      <c r="B1294" s="13" t="s">
        <v>556</v>
      </c>
      <c r="C1294" s="13" t="s">
        <v>15748</v>
      </c>
      <c r="D1294" s="12" t="s">
        <v>9845</v>
      </c>
      <c r="E1294" s="13" t="s">
        <v>585</v>
      </c>
      <c r="F1294" s="681">
        <v>36.39</v>
      </c>
    </row>
    <row r="1295" spans="2:6" ht="15.75" hidden="1" customHeight="1" x14ac:dyDescent="0.25">
      <c r="B1295" s="13" t="s">
        <v>556</v>
      </c>
      <c r="C1295" s="13" t="s">
        <v>15749</v>
      </c>
      <c r="D1295" s="12" t="s">
        <v>9090</v>
      </c>
      <c r="E1295" s="13" t="s">
        <v>823</v>
      </c>
      <c r="F1295" s="681">
        <v>51.34</v>
      </c>
    </row>
    <row r="1296" spans="2:6" ht="15.75" hidden="1" customHeight="1" x14ac:dyDescent="0.25">
      <c r="B1296" s="13" t="s">
        <v>556</v>
      </c>
      <c r="C1296" s="13" t="s">
        <v>15750</v>
      </c>
      <c r="D1296" s="12" t="s">
        <v>9094</v>
      </c>
      <c r="E1296" s="13" t="s">
        <v>823</v>
      </c>
      <c r="F1296" s="681">
        <v>57.18</v>
      </c>
    </row>
    <row r="1297" spans="2:6" ht="15.75" hidden="1" customHeight="1" x14ac:dyDescent="0.25">
      <c r="B1297" s="13" t="s">
        <v>556</v>
      </c>
      <c r="C1297" s="13" t="s">
        <v>15751</v>
      </c>
      <c r="D1297" s="12" t="s">
        <v>9089</v>
      </c>
      <c r="E1297" s="13" t="s">
        <v>823</v>
      </c>
      <c r="F1297" s="681">
        <v>51.34</v>
      </c>
    </row>
    <row r="1298" spans="2:6" ht="15.75" hidden="1" customHeight="1" x14ac:dyDescent="0.25">
      <c r="B1298" s="13" t="s">
        <v>556</v>
      </c>
      <c r="C1298" s="13" t="s">
        <v>15752</v>
      </c>
      <c r="D1298" s="12" t="s">
        <v>9093</v>
      </c>
      <c r="E1298" s="13" t="s">
        <v>823</v>
      </c>
      <c r="F1298" s="681">
        <v>56.33</v>
      </c>
    </row>
    <row r="1299" spans="2:6" ht="15.75" hidden="1" customHeight="1" x14ac:dyDescent="0.25">
      <c r="B1299" s="13" t="s">
        <v>556</v>
      </c>
      <c r="C1299" s="13" t="s">
        <v>15753</v>
      </c>
      <c r="D1299" s="12" t="s">
        <v>15754</v>
      </c>
      <c r="E1299" s="13" t="s">
        <v>578</v>
      </c>
      <c r="F1299" s="681">
        <v>48.56</v>
      </c>
    </row>
    <row r="1300" spans="2:6" ht="15.75" hidden="1" customHeight="1" x14ac:dyDescent="0.25">
      <c r="B1300" s="13" t="s">
        <v>556</v>
      </c>
      <c r="C1300" s="13" t="s">
        <v>15755</v>
      </c>
      <c r="D1300" s="12" t="s">
        <v>9842</v>
      </c>
      <c r="E1300" s="13" t="s">
        <v>585</v>
      </c>
      <c r="F1300" s="681">
        <v>14.07</v>
      </c>
    </row>
    <row r="1301" spans="2:6" ht="15.75" hidden="1" customHeight="1" x14ac:dyDescent="0.25">
      <c r="B1301" s="13" t="s">
        <v>14150</v>
      </c>
      <c r="C1301" s="13" t="s">
        <v>15756</v>
      </c>
      <c r="D1301" s="12" t="s">
        <v>15757</v>
      </c>
      <c r="E1301" s="13" t="s">
        <v>580</v>
      </c>
      <c r="F1301" s="681">
        <v>125259.91</v>
      </c>
    </row>
    <row r="1302" spans="2:6" ht="15.75" hidden="1" customHeight="1" x14ac:dyDescent="0.25">
      <c r="B1302" s="13" t="s">
        <v>14150</v>
      </c>
      <c r="C1302" s="13" t="s">
        <v>15758</v>
      </c>
      <c r="D1302" s="12" t="s">
        <v>15759</v>
      </c>
      <c r="E1302" s="13" t="s">
        <v>580</v>
      </c>
      <c r="F1302" s="681">
        <v>119510.74</v>
      </c>
    </row>
    <row r="1303" spans="2:6" ht="15.75" hidden="1" customHeight="1" x14ac:dyDescent="0.25">
      <c r="B1303" s="13" t="s">
        <v>14150</v>
      </c>
      <c r="C1303" s="13" t="s">
        <v>15760</v>
      </c>
      <c r="D1303" s="12" t="s">
        <v>10158</v>
      </c>
      <c r="E1303" s="13" t="s">
        <v>580</v>
      </c>
      <c r="F1303" s="681">
        <v>191687.19</v>
      </c>
    </row>
    <row r="1304" spans="2:6" ht="15.75" hidden="1" customHeight="1" x14ac:dyDescent="0.25">
      <c r="B1304" s="13" t="s">
        <v>556</v>
      </c>
      <c r="C1304" s="13" t="s">
        <v>15761</v>
      </c>
      <c r="D1304" s="12" t="s">
        <v>9843</v>
      </c>
      <c r="E1304" s="13" t="s">
        <v>585</v>
      </c>
      <c r="F1304" s="681">
        <v>21.23</v>
      </c>
    </row>
    <row r="1305" spans="2:6" ht="15.75" hidden="1" customHeight="1" x14ac:dyDescent="0.25">
      <c r="B1305" s="13" t="s">
        <v>14150</v>
      </c>
      <c r="C1305" s="13" t="s">
        <v>15762</v>
      </c>
      <c r="D1305" s="12" t="s">
        <v>11646</v>
      </c>
      <c r="E1305" s="13" t="s">
        <v>580</v>
      </c>
      <c r="F1305" s="681">
        <v>4585785.54</v>
      </c>
    </row>
    <row r="1306" spans="2:6" ht="15.75" hidden="1" customHeight="1" x14ac:dyDescent="0.25">
      <c r="B1306" s="13" t="s">
        <v>556</v>
      </c>
      <c r="C1306" s="13" t="s">
        <v>15763</v>
      </c>
      <c r="D1306" s="12" t="s">
        <v>9844</v>
      </c>
      <c r="E1306" s="13" t="s">
        <v>585</v>
      </c>
      <c r="F1306" s="681">
        <v>27.32</v>
      </c>
    </row>
    <row r="1307" spans="2:6" ht="15.75" hidden="1" customHeight="1" x14ac:dyDescent="0.25">
      <c r="B1307" s="13" t="s">
        <v>556</v>
      </c>
      <c r="C1307" s="13" t="s">
        <v>15764</v>
      </c>
      <c r="D1307" s="12" t="s">
        <v>9841</v>
      </c>
      <c r="E1307" s="13" t="s">
        <v>585</v>
      </c>
      <c r="F1307" s="681">
        <v>10.73</v>
      </c>
    </row>
    <row r="1308" spans="2:6" ht="15.75" hidden="1" customHeight="1" x14ac:dyDescent="0.25">
      <c r="B1308" s="13" t="s">
        <v>556</v>
      </c>
      <c r="C1308" s="13" t="s">
        <v>15765</v>
      </c>
      <c r="D1308" s="12" t="s">
        <v>9846</v>
      </c>
      <c r="E1308" s="13" t="s">
        <v>585</v>
      </c>
      <c r="F1308" s="681">
        <v>56.72</v>
      </c>
    </row>
    <row r="1309" spans="2:6" ht="15.75" hidden="1" customHeight="1" x14ac:dyDescent="0.25">
      <c r="B1309" s="13" t="s">
        <v>556</v>
      </c>
      <c r="C1309" s="13" t="s">
        <v>15766</v>
      </c>
      <c r="D1309" s="12" t="s">
        <v>8924</v>
      </c>
      <c r="E1309" s="13" t="s">
        <v>580</v>
      </c>
      <c r="F1309" s="681">
        <v>5.35</v>
      </c>
    </row>
    <row r="1310" spans="2:6" ht="15.75" hidden="1" customHeight="1" x14ac:dyDescent="0.25">
      <c r="B1310" s="13" t="s">
        <v>556</v>
      </c>
      <c r="C1310" s="13" t="s">
        <v>15767</v>
      </c>
      <c r="D1310" s="12" t="s">
        <v>8916</v>
      </c>
      <c r="E1310" s="13" t="s">
        <v>580</v>
      </c>
      <c r="F1310" s="681">
        <v>4.28</v>
      </c>
    </row>
    <row r="1311" spans="2:6" ht="15.75" hidden="1" customHeight="1" x14ac:dyDescent="0.25">
      <c r="B1311" s="13" t="s">
        <v>556</v>
      </c>
      <c r="C1311" s="13" t="s">
        <v>15768</v>
      </c>
      <c r="D1311" s="12" t="s">
        <v>8926</v>
      </c>
      <c r="E1311" s="13" t="s">
        <v>580</v>
      </c>
      <c r="F1311" s="681">
        <v>2.97</v>
      </c>
    </row>
    <row r="1312" spans="2:6" ht="15.75" hidden="1" customHeight="1" x14ac:dyDescent="0.25">
      <c r="B1312" s="13" t="s">
        <v>14153</v>
      </c>
      <c r="C1312" s="13" t="s">
        <v>15769</v>
      </c>
      <c r="D1312" s="12" t="s">
        <v>8800</v>
      </c>
      <c r="E1312" s="13" t="s">
        <v>2193</v>
      </c>
      <c r="F1312" s="681">
        <v>22.81</v>
      </c>
    </row>
    <row r="1313" spans="2:6" ht="15.75" hidden="1" customHeight="1" x14ac:dyDescent="0.25">
      <c r="B1313" s="13" t="s">
        <v>556</v>
      </c>
      <c r="C1313" s="13" t="s">
        <v>15770</v>
      </c>
      <c r="D1313" s="12" t="s">
        <v>15771</v>
      </c>
      <c r="E1313" s="13" t="s">
        <v>580</v>
      </c>
      <c r="F1313" s="681">
        <v>35.46</v>
      </c>
    </row>
    <row r="1314" spans="2:6" ht="15.75" hidden="1" customHeight="1" x14ac:dyDescent="0.25">
      <c r="B1314" s="13" t="s">
        <v>556</v>
      </c>
      <c r="C1314" s="13" t="s">
        <v>15772</v>
      </c>
      <c r="D1314" s="12" t="s">
        <v>15773</v>
      </c>
      <c r="E1314" s="13" t="s">
        <v>580</v>
      </c>
      <c r="F1314" s="681">
        <v>39</v>
      </c>
    </row>
    <row r="1315" spans="2:6" ht="15.75" hidden="1" customHeight="1" x14ac:dyDescent="0.25">
      <c r="B1315" s="13" t="s">
        <v>556</v>
      </c>
      <c r="C1315" s="13" t="s">
        <v>15774</v>
      </c>
      <c r="D1315" s="12" t="s">
        <v>9516</v>
      </c>
      <c r="E1315" s="13" t="s">
        <v>580</v>
      </c>
      <c r="F1315" s="681">
        <v>11.26</v>
      </c>
    </row>
    <row r="1316" spans="2:6" ht="15.75" hidden="1" customHeight="1" x14ac:dyDescent="0.25">
      <c r="B1316" s="13" t="s">
        <v>556</v>
      </c>
      <c r="C1316" s="13" t="s">
        <v>15775</v>
      </c>
      <c r="D1316" s="12" t="s">
        <v>9511</v>
      </c>
      <c r="E1316" s="13" t="s">
        <v>580</v>
      </c>
      <c r="F1316" s="681">
        <v>13.53</v>
      </c>
    </row>
    <row r="1317" spans="2:6" ht="15.75" hidden="1" customHeight="1" x14ac:dyDescent="0.25">
      <c r="B1317" s="13" t="s">
        <v>556</v>
      </c>
      <c r="C1317" s="13" t="s">
        <v>15776</v>
      </c>
      <c r="D1317" s="12" t="s">
        <v>9509</v>
      </c>
      <c r="E1317" s="13" t="s">
        <v>580</v>
      </c>
      <c r="F1317" s="681">
        <v>26.07</v>
      </c>
    </row>
    <row r="1318" spans="2:6" ht="15.75" hidden="1" customHeight="1" x14ac:dyDescent="0.25">
      <c r="B1318" s="13" t="s">
        <v>556</v>
      </c>
      <c r="C1318" s="13" t="s">
        <v>15777</v>
      </c>
      <c r="D1318" s="12" t="s">
        <v>9513</v>
      </c>
      <c r="E1318" s="13" t="s">
        <v>580</v>
      </c>
      <c r="F1318" s="681">
        <v>124.12</v>
      </c>
    </row>
    <row r="1319" spans="2:6" ht="15.75" hidden="1" customHeight="1" x14ac:dyDescent="0.25">
      <c r="B1319" s="13" t="s">
        <v>556</v>
      </c>
      <c r="C1319" s="13" t="s">
        <v>15778</v>
      </c>
      <c r="D1319" s="12" t="s">
        <v>9515</v>
      </c>
      <c r="E1319" s="13" t="s">
        <v>580</v>
      </c>
      <c r="F1319" s="681">
        <v>149.66</v>
      </c>
    </row>
    <row r="1320" spans="2:6" ht="15.75" hidden="1" customHeight="1" x14ac:dyDescent="0.25">
      <c r="B1320" s="13" t="s">
        <v>14153</v>
      </c>
      <c r="C1320" s="13" t="s">
        <v>15779</v>
      </c>
      <c r="D1320" s="12" t="s">
        <v>8625</v>
      </c>
      <c r="E1320" s="13" t="s">
        <v>2193</v>
      </c>
      <c r="F1320" s="681">
        <v>22.81</v>
      </c>
    </row>
    <row r="1321" spans="2:6" ht="15.75" hidden="1" customHeight="1" x14ac:dyDescent="0.25">
      <c r="B1321" s="13" t="s">
        <v>556</v>
      </c>
      <c r="C1321" s="13" t="s">
        <v>15780</v>
      </c>
      <c r="D1321" s="12" t="s">
        <v>9517</v>
      </c>
      <c r="E1321" s="13" t="s">
        <v>580</v>
      </c>
      <c r="F1321" s="681">
        <v>275.45</v>
      </c>
    </row>
    <row r="1322" spans="2:6" ht="15.75" hidden="1" customHeight="1" x14ac:dyDescent="0.25">
      <c r="B1322" s="13" t="s">
        <v>556</v>
      </c>
      <c r="C1322" s="13" t="s">
        <v>15781</v>
      </c>
      <c r="D1322" s="12" t="s">
        <v>9514</v>
      </c>
      <c r="E1322" s="13" t="s">
        <v>580</v>
      </c>
      <c r="F1322" s="681">
        <v>52.83</v>
      </c>
    </row>
    <row r="1323" spans="2:6" ht="15.75" hidden="1" customHeight="1" x14ac:dyDescent="0.25">
      <c r="B1323" s="13" t="s">
        <v>556</v>
      </c>
      <c r="C1323" s="13" t="s">
        <v>15782</v>
      </c>
      <c r="D1323" s="12" t="s">
        <v>9510</v>
      </c>
      <c r="E1323" s="13" t="s">
        <v>580</v>
      </c>
      <c r="F1323" s="681">
        <v>16.850000000000001</v>
      </c>
    </row>
    <row r="1324" spans="2:6" ht="15.75" hidden="1" customHeight="1" x14ac:dyDescent="0.25">
      <c r="B1324" s="13" t="s">
        <v>556</v>
      </c>
      <c r="C1324" s="13" t="s">
        <v>15783</v>
      </c>
      <c r="D1324" s="12" t="s">
        <v>9542</v>
      </c>
      <c r="E1324" s="13" t="s">
        <v>580</v>
      </c>
      <c r="F1324" s="681">
        <v>5.98</v>
      </c>
    </row>
    <row r="1325" spans="2:6" ht="15.75" hidden="1" customHeight="1" x14ac:dyDescent="0.25">
      <c r="B1325" s="13" t="s">
        <v>556</v>
      </c>
      <c r="C1325" s="13" t="s">
        <v>15784</v>
      </c>
      <c r="D1325" s="12" t="s">
        <v>9541</v>
      </c>
      <c r="E1325" s="13" t="s">
        <v>580</v>
      </c>
      <c r="F1325" s="681">
        <v>9.33</v>
      </c>
    </row>
    <row r="1326" spans="2:6" ht="15.75" hidden="1" customHeight="1" x14ac:dyDescent="0.25">
      <c r="B1326" s="13" t="s">
        <v>556</v>
      </c>
      <c r="C1326" s="13" t="s">
        <v>15785</v>
      </c>
      <c r="D1326" s="12" t="s">
        <v>9545</v>
      </c>
      <c r="E1326" s="13" t="s">
        <v>580</v>
      </c>
      <c r="F1326" s="681">
        <v>23.48</v>
      </c>
    </row>
    <row r="1327" spans="2:6" ht="15.75" hidden="1" customHeight="1" x14ac:dyDescent="0.25">
      <c r="B1327" s="13" t="s">
        <v>14153</v>
      </c>
      <c r="C1327" s="13" t="s">
        <v>15786</v>
      </c>
      <c r="D1327" s="12" t="s">
        <v>8643</v>
      </c>
      <c r="E1327" s="13" t="s">
        <v>2193</v>
      </c>
      <c r="F1327" s="681">
        <v>35.85</v>
      </c>
    </row>
    <row r="1328" spans="2:6" ht="15.75" hidden="1" customHeight="1" x14ac:dyDescent="0.25">
      <c r="B1328" s="13" t="s">
        <v>556</v>
      </c>
      <c r="C1328" s="13" t="s">
        <v>15787</v>
      </c>
      <c r="D1328" s="12" t="s">
        <v>15788</v>
      </c>
      <c r="E1328" s="13" t="s">
        <v>580</v>
      </c>
      <c r="F1328" s="681">
        <v>3802.9</v>
      </c>
    </row>
    <row r="1329" spans="2:6" ht="15.75" hidden="1" customHeight="1" x14ac:dyDescent="0.25">
      <c r="B1329" s="13" t="s">
        <v>556</v>
      </c>
      <c r="C1329" s="13" t="s">
        <v>15789</v>
      </c>
      <c r="D1329" s="12" t="s">
        <v>15790</v>
      </c>
      <c r="E1329" s="13" t="s">
        <v>580</v>
      </c>
      <c r="F1329" s="681">
        <v>2308.69</v>
      </c>
    </row>
    <row r="1330" spans="2:6" ht="15.75" hidden="1" customHeight="1" x14ac:dyDescent="0.25">
      <c r="B1330" s="13" t="s">
        <v>556</v>
      </c>
      <c r="C1330" s="13" t="s">
        <v>15791</v>
      </c>
      <c r="D1330" s="12" t="s">
        <v>10803</v>
      </c>
      <c r="E1330" s="13" t="s">
        <v>580</v>
      </c>
      <c r="F1330" s="681">
        <v>2489.04</v>
      </c>
    </row>
    <row r="1331" spans="2:6" ht="15.75" hidden="1" customHeight="1" x14ac:dyDescent="0.25">
      <c r="B1331" s="13" t="s">
        <v>556</v>
      </c>
      <c r="C1331" s="13" t="s">
        <v>15792</v>
      </c>
      <c r="D1331" s="12" t="s">
        <v>9512</v>
      </c>
      <c r="E1331" s="13" t="s">
        <v>580</v>
      </c>
      <c r="F1331" s="681">
        <v>10.36</v>
      </c>
    </row>
    <row r="1332" spans="2:6" ht="15.75" hidden="1" customHeight="1" x14ac:dyDescent="0.25">
      <c r="B1332" s="13" t="s">
        <v>556</v>
      </c>
      <c r="C1332" s="13" t="s">
        <v>15793</v>
      </c>
      <c r="D1332" s="12" t="s">
        <v>15794</v>
      </c>
      <c r="E1332" s="13" t="s">
        <v>580</v>
      </c>
      <c r="F1332" s="681">
        <v>1.34</v>
      </c>
    </row>
    <row r="1333" spans="2:6" ht="15.75" hidden="1" customHeight="1" x14ac:dyDescent="0.25">
      <c r="B1333" s="13" t="s">
        <v>556</v>
      </c>
      <c r="C1333" s="13" t="s">
        <v>15795</v>
      </c>
      <c r="D1333" s="12" t="s">
        <v>15796</v>
      </c>
      <c r="E1333" s="13" t="s">
        <v>580</v>
      </c>
      <c r="F1333" s="681">
        <v>1.38</v>
      </c>
    </row>
    <row r="1334" spans="2:6" ht="15.75" hidden="1" customHeight="1" x14ac:dyDescent="0.25">
      <c r="B1334" s="13" t="s">
        <v>556</v>
      </c>
      <c r="C1334" s="13" t="s">
        <v>15797</v>
      </c>
      <c r="D1334" s="12" t="s">
        <v>15798</v>
      </c>
      <c r="E1334" s="13" t="s">
        <v>580</v>
      </c>
      <c r="F1334" s="681">
        <v>2.93</v>
      </c>
    </row>
    <row r="1335" spans="2:6" ht="15.75" hidden="1" customHeight="1" x14ac:dyDescent="0.25">
      <c r="B1335" s="13" t="s">
        <v>556</v>
      </c>
      <c r="C1335" s="13" t="s">
        <v>15799</v>
      </c>
      <c r="D1335" s="12" t="s">
        <v>9440</v>
      </c>
      <c r="E1335" s="13" t="s">
        <v>580</v>
      </c>
      <c r="F1335" s="681">
        <v>10.43</v>
      </c>
    </row>
    <row r="1336" spans="2:6" ht="15.75" hidden="1" customHeight="1" x14ac:dyDescent="0.25">
      <c r="B1336" s="13" t="s">
        <v>556</v>
      </c>
      <c r="C1336" s="13" t="s">
        <v>15800</v>
      </c>
      <c r="D1336" s="12" t="s">
        <v>9441</v>
      </c>
      <c r="E1336" s="13" t="s">
        <v>580</v>
      </c>
      <c r="F1336" s="681">
        <v>14.69</v>
      </c>
    </row>
    <row r="1337" spans="2:6" ht="15.75" hidden="1" customHeight="1" x14ac:dyDescent="0.25">
      <c r="B1337" s="13" t="s">
        <v>556</v>
      </c>
      <c r="C1337" s="13" t="s">
        <v>15801</v>
      </c>
      <c r="D1337" s="12" t="s">
        <v>9439</v>
      </c>
      <c r="E1337" s="13" t="s">
        <v>580</v>
      </c>
      <c r="F1337" s="681">
        <v>18.37</v>
      </c>
    </row>
    <row r="1338" spans="2:6" ht="15.75" hidden="1" customHeight="1" x14ac:dyDescent="0.25">
      <c r="B1338" s="13" t="s">
        <v>556</v>
      </c>
      <c r="C1338" s="13" t="s">
        <v>15802</v>
      </c>
      <c r="D1338" s="12" t="s">
        <v>9449</v>
      </c>
      <c r="E1338" s="13" t="s">
        <v>580</v>
      </c>
      <c r="F1338" s="681">
        <v>11.9</v>
      </c>
    </row>
    <row r="1339" spans="2:6" ht="15.75" hidden="1" customHeight="1" x14ac:dyDescent="0.25">
      <c r="B1339" s="13" t="s">
        <v>556</v>
      </c>
      <c r="C1339" s="13" t="s">
        <v>15803</v>
      </c>
      <c r="D1339" s="12" t="s">
        <v>9444</v>
      </c>
      <c r="E1339" s="13" t="s">
        <v>580</v>
      </c>
      <c r="F1339" s="681">
        <v>24.51</v>
      </c>
    </row>
    <row r="1340" spans="2:6" ht="15.75" hidden="1" customHeight="1" x14ac:dyDescent="0.25">
      <c r="B1340" s="13" t="s">
        <v>556</v>
      </c>
      <c r="C1340" s="13" t="s">
        <v>15804</v>
      </c>
      <c r="D1340" s="12" t="s">
        <v>9447</v>
      </c>
      <c r="E1340" s="13" t="s">
        <v>580</v>
      </c>
      <c r="F1340" s="681">
        <v>47.78</v>
      </c>
    </row>
    <row r="1341" spans="2:6" ht="15.75" hidden="1" customHeight="1" x14ac:dyDescent="0.25">
      <c r="B1341" s="13" t="s">
        <v>556</v>
      </c>
      <c r="C1341" s="13" t="s">
        <v>15805</v>
      </c>
      <c r="D1341" s="12" t="s">
        <v>9448</v>
      </c>
      <c r="E1341" s="13" t="s">
        <v>580</v>
      </c>
      <c r="F1341" s="681">
        <v>132.68</v>
      </c>
    </row>
    <row r="1342" spans="2:6" ht="15.75" hidden="1" customHeight="1" x14ac:dyDescent="0.25">
      <c r="B1342" s="13" t="s">
        <v>556</v>
      </c>
      <c r="C1342" s="13" t="s">
        <v>15806</v>
      </c>
      <c r="D1342" s="12" t="s">
        <v>9454</v>
      </c>
      <c r="E1342" s="13" t="s">
        <v>580</v>
      </c>
      <c r="F1342" s="681">
        <v>11.53</v>
      </c>
    </row>
    <row r="1343" spans="2:6" ht="15.75" hidden="1" customHeight="1" x14ac:dyDescent="0.25">
      <c r="B1343" s="13" t="s">
        <v>556</v>
      </c>
      <c r="C1343" s="13" t="s">
        <v>15807</v>
      </c>
      <c r="D1343" s="12" t="s">
        <v>9453</v>
      </c>
      <c r="E1343" s="13" t="s">
        <v>580</v>
      </c>
      <c r="F1343" s="681">
        <v>19.329999999999998</v>
      </c>
    </row>
    <row r="1344" spans="2:6" ht="15.75" hidden="1" customHeight="1" x14ac:dyDescent="0.25">
      <c r="B1344" s="13" t="s">
        <v>556</v>
      </c>
      <c r="C1344" s="13" t="s">
        <v>15808</v>
      </c>
      <c r="D1344" s="12" t="s">
        <v>9455</v>
      </c>
      <c r="E1344" s="13" t="s">
        <v>580</v>
      </c>
      <c r="F1344" s="681">
        <v>57.37</v>
      </c>
    </row>
    <row r="1345" spans="2:6" ht="15.75" hidden="1" customHeight="1" x14ac:dyDescent="0.25">
      <c r="B1345" s="13" t="s">
        <v>556</v>
      </c>
      <c r="C1345" s="13" t="s">
        <v>15809</v>
      </c>
      <c r="D1345" s="12" t="s">
        <v>9456</v>
      </c>
      <c r="E1345" s="13" t="s">
        <v>580</v>
      </c>
      <c r="F1345" s="681">
        <v>169.67</v>
      </c>
    </row>
    <row r="1346" spans="2:6" ht="15.75" hidden="1" customHeight="1" x14ac:dyDescent="0.25">
      <c r="B1346" s="13" t="s">
        <v>556</v>
      </c>
      <c r="C1346" s="13" t="s">
        <v>15810</v>
      </c>
      <c r="D1346" s="12" t="s">
        <v>9462</v>
      </c>
      <c r="E1346" s="13" t="s">
        <v>580</v>
      </c>
      <c r="F1346" s="681">
        <v>14.09</v>
      </c>
    </row>
    <row r="1347" spans="2:6" ht="15.75" hidden="1" customHeight="1" x14ac:dyDescent="0.25">
      <c r="B1347" s="13" t="s">
        <v>556</v>
      </c>
      <c r="C1347" s="13" t="s">
        <v>15811</v>
      </c>
      <c r="D1347" s="12" t="s">
        <v>9465</v>
      </c>
      <c r="E1347" s="13" t="s">
        <v>580</v>
      </c>
      <c r="F1347" s="681">
        <v>14.18</v>
      </c>
    </row>
    <row r="1348" spans="2:6" ht="15.75" hidden="1" customHeight="1" x14ac:dyDescent="0.25">
      <c r="B1348" s="13" t="s">
        <v>556</v>
      </c>
      <c r="C1348" s="13" t="s">
        <v>15812</v>
      </c>
      <c r="D1348" s="12" t="s">
        <v>9460</v>
      </c>
      <c r="E1348" s="13" t="s">
        <v>580</v>
      </c>
      <c r="F1348" s="681">
        <v>33.92</v>
      </c>
    </row>
    <row r="1349" spans="2:6" ht="15.75" hidden="1" customHeight="1" x14ac:dyDescent="0.25">
      <c r="B1349" s="13" t="s">
        <v>556</v>
      </c>
      <c r="C1349" s="13" t="s">
        <v>15813</v>
      </c>
      <c r="D1349" s="12" t="s">
        <v>9459</v>
      </c>
      <c r="E1349" s="13" t="s">
        <v>580</v>
      </c>
      <c r="F1349" s="681">
        <v>45.13</v>
      </c>
    </row>
    <row r="1350" spans="2:6" ht="15.75" hidden="1" customHeight="1" x14ac:dyDescent="0.25">
      <c r="B1350" s="13" t="s">
        <v>556</v>
      </c>
      <c r="C1350" s="13" t="s">
        <v>15814</v>
      </c>
      <c r="D1350" s="12" t="s">
        <v>9463</v>
      </c>
      <c r="E1350" s="13" t="s">
        <v>580</v>
      </c>
      <c r="F1350" s="681">
        <v>61.15</v>
      </c>
    </row>
    <row r="1351" spans="2:6" ht="15.75" hidden="1" customHeight="1" x14ac:dyDescent="0.25">
      <c r="B1351" s="13" t="s">
        <v>556</v>
      </c>
      <c r="C1351" s="13" t="s">
        <v>15815</v>
      </c>
      <c r="D1351" s="12" t="s">
        <v>9464</v>
      </c>
      <c r="E1351" s="13" t="s">
        <v>580</v>
      </c>
      <c r="F1351" s="681">
        <v>190.91</v>
      </c>
    </row>
    <row r="1352" spans="2:6" ht="15.75" hidden="1" customHeight="1" x14ac:dyDescent="0.25">
      <c r="B1352" s="13" t="s">
        <v>556</v>
      </c>
      <c r="C1352" s="13" t="s">
        <v>15816</v>
      </c>
      <c r="D1352" s="12" t="s">
        <v>9471</v>
      </c>
      <c r="E1352" s="13" t="s">
        <v>580</v>
      </c>
      <c r="F1352" s="681">
        <v>17.079999999999998</v>
      </c>
    </row>
    <row r="1353" spans="2:6" ht="15.75" hidden="1" customHeight="1" x14ac:dyDescent="0.25">
      <c r="B1353" s="13" t="s">
        <v>556</v>
      </c>
      <c r="C1353" s="13" t="s">
        <v>15817</v>
      </c>
      <c r="D1353" s="12" t="s">
        <v>9474</v>
      </c>
      <c r="E1353" s="13" t="s">
        <v>580</v>
      </c>
      <c r="F1353" s="681">
        <v>18.72</v>
      </c>
    </row>
    <row r="1354" spans="2:6" ht="15.75" hidden="1" customHeight="1" x14ac:dyDescent="0.25">
      <c r="B1354" s="13" t="s">
        <v>556</v>
      </c>
      <c r="C1354" s="13" t="s">
        <v>15818</v>
      </c>
      <c r="D1354" s="12" t="s">
        <v>9470</v>
      </c>
      <c r="E1354" s="13" t="s">
        <v>580</v>
      </c>
      <c r="F1354" s="681">
        <v>21.85</v>
      </c>
    </row>
    <row r="1355" spans="2:6" ht="15.75" hidden="1" customHeight="1" x14ac:dyDescent="0.25">
      <c r="B1355" s="13" t="s">
        <v>556</v>
      </c>
      <c r="C1355" s="13" t="s">
        <v>15819</v>
      </c>
      <c r="D1355" s="12" t="s">
        <v>9468</v>
      </c>
      <c r="E1355" s="13" t="s">
        <v>580</v>
      </c>
      <c r="F1355" s="681">
        <v>41.86</v>
      </c>
    </row>
    <row r="1356" spans="2:6" ht="15.75" hidden="1" customHeight="1" x14ac:dyDescent="0.25">
      <c r="B1356" s="13" t="s">
        <v>556</v>
      </c>
      <c r="C1356" s="13" t="s">
        <v>15820</v>
      </c>
      <c r="D1356" s="12" t="s">
        <v>9473</v>
      </c>
      <c r="E1356" s="13" t="s">
        <v>580</v>
      </c>
      <c r="F1356" s="681">
        <v>157.21</v>
      </c>
    </row>
    <row r="1357" spans="2:6" ht="15.75" hidden="1" customHeight="1" x14ac:dyDescent="0.25">
      <c r="B1357" s="13" t="s">
        <v>556</v>
      </c>
      <c r="C1357" s="13" t="s">
        <v>15821</v>
      </c>
      <c r="D1357" s="12" t="s">
        <v>9475</v>
      </c>
      <c r="E1357" s="13" t="s">
        <v>580</v>
      </c>
      <c r="F1357" s="681">
        <v>261.70999999999998</v>
      </c>
    </row>
    <row r="1358" spans="2:6" ht="15.75" hidden="1" customHeight="1" x14ac:dyDescent="0.25">
      <c r="B1358" s="13" t="s">
        <v>556</v>
      </c>
      <c r="C1358" s="13" t="s">
        <v>15822</v>
      </c>
      <c r="D1358" s="12" t="s">
        <v>9466</v>
      </c>
      <c r="E1358" s="13" t="s">
        <v>580</v>
      </c>
      <c r="F1358" s="681">
        <v>261.98</v>
      </c>
    </row>
    <row r="1359" spans="2:6" ht="15.75" hidden="1" customHeight="1" x14ac:dyDescent="0.25">
      <c r="B1359" s="13" t="s">
        <v>556</v>
      </c>
      <c r="C1359" s="13" t="s">
        <v>15823</v>
      </c>
      <c r="D1359" s="12" t="s">
        <v>9461</v>
      </c>
      <c r="E1359" s="13" t="s">
        <v>580</v>
      </c>
      <c r="F1359" s="681">
        <v>22.83</v>
      </c>
    </row>
    <row r="1360" spans="2:6" ht="15.75" hidden="1" customHeight="1" x14ac:dyDescent="0.25">
      <c r="B1360" s="13" t="s">
        <v>556</v>
      </c>
      <c r="C1360" s="13" t="s">
        <v>15824</v>
      </c>
      <c r="D1360" s="12" t="s">
        <v>9451</v>
      </c>
      <c r="E1360" s="13" t="s">
        <v>580</v>
      </c>
      <c r="F1360" s="681">
        <v>37.67</v>
      </c>
    </row>
    <row r="1361" spans="2:6" ht="15.75" hidden="1" customHeight="1" x14ac:dyDescent="0.25">
      <c r="B1361" s="13" t="s">
        <v>556</v>
      </c>
      <c r="C1361" s="13" t="s">
        <v>15825</v>
      </c>
      <c r="D1361" s="12" t="s">
        <v>9452</v>
      </c>
      <c r="E1361" s="13" t="s">
        <v>580</v>
      </c>
      <c r="F1361" s="681">
        <v>29.92</v>
      </c>
    </row>
    <row r="1362" spans="2:6" ht="15.75" hidden="1" customHeight="1" x14ac:dyDescent="0.25">
      <c r="B1362" s="13" t="s">
        <v>556</v>
      </c>
      <c r="C1362" s="13" t="s">
        <v>15826</v>
      </c>
      <c r="D1362" s="12" t="s">
        <v>9443</v>
      </c>
      <c r="E1362" s="13" t="s">
        <v>580</v>
      </c>
      <c r="F1362" s="681">
        <v>32.57</v>
      </c>
    </row>
    <row r="1363" spans="2:6" ht="15.75" hidden="1" customHeight="1" x14ac:dyDescent="0.25">
      <c r="B1363" s="13" t="s">
        <v>556</v>
      </c>
      <c r="C1363" s="13" t="s">
        <v>15827</v>
      </c>
      <c r="D1363" s="12" t="s">
        <v>9445</v>
      </c>
      <c r="E1363" s="13" t="s">
        <v>580</v>
      </c>
      <c r="F1363" s="681">
        <v>19.989999999999998</v>
      </c>
    </row>
    <row r="1364" spans="2:6" ht="15.75" hidden="1" customHeight="1" x14ac:dyDescent="0.25">
      <c r="B1364" s="13" t="s">
        <v>556</v>
      </c>
      <c r="C1364" s="13" t="s">
        <v>15828</v>
      </c>
      <c r="D1364" s="12" t="s">
        <v>9446</v>
      </c>
      <c r="E1364" s="13" t="s">
        <v>580</v>
      </c>
      <c r="F1364" s="681">
        <v>11.88</v>
      </c>
    </row>
    <row r="1365" spans="2:6" ht="15.75" hidden="1" customHeight="1" x14ac:dyDescent="0.25">
      <c r="B1365" s="13" t="s">
        <v>556</v>
      </c>
      <c r="C1365" s="13" t="s">
        <v>15829</v>
      </c>
      <c r="D1365" s="12" t="s">
        <v>9442</v>
      </c>
      <c r="E1365" s="13" t="s">
        <v>580</v>
      </c>
      <c r="F1365" s="681">
        <v>243.53</v>
      </c>
    </row>
    <row r="1366" spans="2:6" ht="15.75" hidden="1" customHeight="1" x14ac:dyDescent="0.25">
      <c r="B1366" s="13" t="s">
        <v>556</v>
      </c>
      <c r="C1366" s="13" t="s">
        <v>15830</v>
      </c>
      <c r="D1366" s="12" t="s">
        <v>9457</v>
      </c>
      <c r="E1366" s="13" t="s">
        <v>580</v>
      </c>
      <c r="F1366" s="681">
        <v>12.29</v>
      </c>
    </row>
    <row r="1367" spans="2:6" ht="15.75" hidden="1" customHeight="1" x14ac:dyDescent="0.25">
      <c r="B1367" s="13" t="s">
        <v>556</v>
      </c>
      <c r="C1367" s="13" t="s">
        <v>15831</v>
      </c>
      <c r="D1367" s="12" t="s">
        <v>9450</v>
      </c>
      <c r="E1367" s="13" t="s">
        <v>580</v>
      </c>
      <c r="F1367" s="681">
        <v>221.04</v>
      </c>
    </row>
    <row r="1368" spans="2:6" ht="15.75" hidden="1" customHeight="1" x14ac:dyDescent="0.25">
      <c r="B1368" s="13" t="s">
        <v>556</v>
      </c>
      <c r="C1368" s="13" t="s">
        <v>15832</v>
      </c>
      <c r="D1368" s="12" t="s">
        <v>9458</v>
      </c>
      <c r="E1368" s="13" t="s">
        <v>580</v>
      </c>
      <c r="F1368" s="681">
        <v>264.72000000000003</v>
      </c>
    </row>
    <row r="1369" spans="2:6" ht="15.75" hidden="1" customHeight="1" x14ac:dyDescent="0.25">
      <c r="B1369" s="13" t="s">
        <v>556</v>
      </c>
      <c r="C1369" s="13" t="s">
        <v>15833</v>
      </c>
      <c r="D1369" s="12" t="s">
        <v>9472</v>
      </c>
      <c r="E1369" s="13" t="s">
        <v>580</v>
      </c>
      <c r="F1369" s="681">
        <v>64.64</v>
      </c>
    </row>
    <row r="1370" spans="2:6" ht="15.75" hidden="1" customHeight="1" x14ac:dyDescent="0.25">
      <c r="B1370" s="13" t="s">
        <v>556</v>
      </c>
      <c r="C1370" s="13" t="s">
        <v>15834</v>
      </c>
      <c r="D1370" s="12" t="s">
        <v>9469</v>
      </c>
      <c r="E1370" s="13" t="s">
        <v>580</v>
      </c>
      <c r="F1370" s="681">
        <v>35.869999999999997</v>
      </c>
    </row>
    <row r="1371" spans="2:6" ht="15.75" hidden="1" customHeight="1" x14ac:dyDescent="0.25">
      <c r="B1371" s="13" t="s">
        <v>14150</v>
      </c>
      <c r="C1371" s="13" t="s">
        <v>15835</v>
      </c>
      <c r="D1371" s="12" t="s">
        <v>15836</v>
      </c>
      <c r="E1371" s="13" t="s">
        <v>580</v>
      </c>
      <c r="F1371" s="681">
        <v>391246.87</v>
      </c>
    </row>
    <row r="1372" spans="2:6" ht="15.75" hidden="1" customHeight="1" x14ac:dyDescent="0.25">
      <c r="B1372" s="13" t="s">
        <v>556</v>
      </c>
      <c r="C1372" s="13" t="s">
        <v>15837</v>
      </c>
      <c r="D1372" s="12" t="s">
        <v>9629</v>
      </c>
      <c r="E1372" s="13" t="s">
        <v>580</v>
      </c>
      <c r="F1372" s="681">
        <v>4.66</v>
      </c>
    </row>
    <row r="1373" spans="2:6" ht="15.75" hidden="1" customHeight="1" x14ac:dyDescent="0.25">
      <c r="B1373" s="13" t="s">
        <v>556</v>
      </c>
      <c r="C1373" s="13" t="s">
        <v>15838</v>
      </c>
      <c r="D1373" s="12" t="s">
        <v>9631</v>
      </c>
      <c r="E1373" s="13" t="s">
        <v>580</v>
      </c>
      <c r="F1373" s="681">
        <v>17.25</v>
      </c>
    </row>
    <row r="1374" spans="2:6" ht="15.75" hidden="1" customHeight="1" x14ac:dyDescent="0.25">
      <c r="B1374" s="13" t="s">
        <v>556</v>
      </c>
      <c r="C1374" s="13" t="s">
        <v>15839</v>
      </c>
      <c r="D1374" s="12" t="s">
        <v>9634</v>
      </c>
      <c r="E1374" s="13" t="s">
        <v>580</v>
      </c>
      <c r="F1374" s="681">
        <v>4.17</v>
      </c>
    </row>
    <row r="1375" spans="2:6" ht="15.75" hidden="1" customHeight="1" x14ac:dyDescent="0.25">
      <c r="B1375" s="13" t="s">
        <v>556</v>
      </c>
      <c r="C1375" s="13" t="s">
        <v>15840</v>
      </c>
      <c r="D1375" s="12" t="s">
        <v>9636</v>
      </c>
      <c r="E1375" s="13" t="s">
        <v>580</v>
      </c>
      <c r="F1375" s="681">
        <v>6.42</v>
      </c>
    </row>
    <row r="1376" spans="2:6" ht="15.75" hidden="1" customHeight="1" x14ac:dyDescent="0.25">
      <c r="B1376" s="13" t="s">
        <v>556</v>
      </c>
      <c r="C1376" s="13" t="s">
        <v>15841</v>
      </c>
      <c r="D1376" s="12" t="s">
        <v>9637</v>
      </c>
      <c r="E1376" s="13" t="s">
        <v>580</v>
      </c>
      <c r="F1376" s="681">
        <v>14.62</v>
      </c>
    </row>
    <row r="1377" spans="2:6" ht="15.75" hidden="1" customHeight="1" x14ac:dyDescent="0.25">
      <c r="B1377" s="13" t="s">
        <v>556</v>
      </c>
      <c r="C1377" s="13" t="s">
        <v>15842</v>
      </c>
      <c r="D1377" s="12" t="s">
        <v>9640</v>
      </c>
      <c r="E1377" s="13" t="s">
        <v>580</v>
      </c>
      <c r="F1377" s="681">
        <v>66.290000000000006</v>
      </c>
    </row>
    <row r="1378" spans="2:6" ht="15.75" hidden="1" customHeight="1" x14ac:dyDescent="0.25">
      <c r="B1378" s="13" t="s">
        <v>556</v>
      </c>
      <c r="C1378" s="13" t="s">
        <v>15843</v>
      </c>
      <c r="D1378" s="12" t="s">
        <v>9641</v>
      </c>
      <c r="E1378" s="13" t="s">
        <v>580</v>
      </c>
      <c r="F1378" s="681">
        <v>87.03</v>
      </c>
    </row>
    <row r="1379" spans="2:6" ht="15.75" hidden="1" customHeight="1" x14ac:dyDescent="0.25">
      <c r="B1379" s="13" t="s">
        <v>556</v>
      </c>
      <c r="C1379" s="13" t="s">
        <v>15844</v>
      </c>
      <c r="D1379" s="12" t="s">
        <v>9633</v>
      </c>
      <c r="E1379" s="13" t="s">
        <v>580</v>
      </c>
      <c r="F1379" s="681">
        <v>147.6</v>
      </c>
    </row>
    <row r="1380" spans="2:6" ht="15.75" hidden="1" customHeight="1" x14ac:dyDescent="0.25">
      <c r="B1380" s="13" t="s">
        <v>556</v>
      </c>
      <c r="C1380" s="13" t="s">
        <v>15845</v>
      </c>
      <c r="D1380" s="12" t="s">
        <v>9613</v>
      </c>
      <c r="E1380" s="13" t="s">
        <v>580</v>
      </c>
      <c r="F1380" s="681">
        <v>4.96</v>
      </c>
    </row>
    <row r="1381" spans="2:6" ht="15.75" hidden="1" customHeight="1" x14ac:dyDescent="0.25">
      <c r="B1381" s="13" t="s">
        <v>556</v>
      </c>
      <c r="C1381" s="13" t="s">
        <v>15846</v>
      </c>
      <c r="D1381" s="12" t="s">
        <v>9614</v>
      </c>
      <c r="E1381" s="13" t="s">
        <v>580</v>
      </c>
      <c r="F1381" s="681">
        <v>5.97</v>
      </c>
    </row>
    <row r="1382" spans="2:6" ht="15.75" hidden="1" customHeight="1" x14ac:dyDescent="0.25">
      <c r="B1382" s="13" t="s">
        <v>556</v>
      </c>
      <c r="C1382" s="13" t="s">
        <v>15847</v>
      </c>
      <c r="D1382" s="12" t="s">
        <v>9615</v>
      </c>
      <c r="E1382" s="13" t="s">
        <v>580</v>
      </c>
      <c r="F1382" s="681">
        <v>9.49</v>
      </c>
    </row>
    <row r="1383" spans="2:6" ht="15.75" hidden="1" customHeight="1" x14ac:dyDescent="0.25">
      <c r="B1383" s="13" t="s">
        <v>556</v>
      </c>
      <c r="C1383" s="13" t="s">
        <v>15848</v>
      </c>
      <c r="D1383" s="12" t="s">
        <v>9616</v>
      </c>
      <c r="E1383" s="13" t="s">
        <v>580</v>
      </c>
      <c r="F1383" s="681">
        <v>20.04</v>
      </c>
    </row>
    <row r="1384" spans="2:6" ht="15.75" hidden="1" customHeight="1" x14ac:dyDescent="0.25">
      <c r="B1384" s="13" t="s">
        <v>556</v>
      </c>
      <c r="C1384" s="13" t="s">
        <v>15849</v>
      </c>
      <c r="D1384" s="12" t="s">
        <v>9617</v>
      </c>
      <c r="E1384" s="13" t="s">
        <v>580</v>
      </c>
      <c r="F1384" s="681">
        <v>29.37</v>
      </c>
    </row>
    <row r="1385" spans="2:6" ht="15.75" hidden="1" customHeight="1" x14ac:dyDescent="0.25">
      <c r="B1385" s="13" t="s">
        <v>556</v>
      </c>
      <c r="C1385" s="13" t="s">
        <v>15850</v>
      </c>
      <c r="D1385" s="12" t="s">
        <v>9619</v>
      </c>
      <c r="E1385" s="13" t="s">
        <v>580</v>
      </c>
      <c r="F1385" s="681">
        <v>78.69</v>
      </c>
    </row>
    <row r="1386" spans="2:6" ht="15.75" hidden="1" customHeight="1" x14ac:dyDescent="0.25">
      <c r="B1386" s="13" t="s">
        <v>556</v>
      </c>
      <c r="C1386" s="13" t="s">
        <v>15851</v>
      </c>
      <c r="D1386" s="12" t="s">
        <v>9612</v>
      </c>
      <c r="E1386" s="13" t="s">
        <v>580</v>
      </c>
      <c r="F1386" s="681">
        <v>208.91</v>
      </c>
    </row>
    <row r="1387" spans="2:6" ht="15.75" hidden="1" customHeight="1" x14ac:dyDescent="0.25">
      <c r="B1387" s="13" t="s">
        <v>556</v>
      </c>
      <c r="C1387" s="13" t="s">
        <v>15852</v>
      </c>
      <c r="D1387" s="12" t="s">
        <v>9620</v>
      </c>
      <c r="E1387" s="13" t="s">
        <v>580</v>
      </c>
      <c r="F1387" s="681">
        <v>106.43</v>
      </c>
    </row>
    <row r="1388" spans="2:6" ht="15.75" hidden="1" customHeight="1" x14ac:dyDescent="0.25">
      <c r="B1388" s="13" t="s">
        <v>556</v>
      </c>
      <c r="C1388" s="13" t="s">
        <v>15853</v>
      </c>
      <c r="D1388" s="12" t="s">
        <v>9618</v>
      </c>
      <c r="E1388" s="13" t="s">
        <v>580</v>
      </c>
      <c r="F1388" s="681">
        <v>44.67</v>
      </c>
    </row>
    <row r="1389" spans="2:6" ht="15.75" hidden="1" customHeight="1" x14ac:dyDescent="0.25">
      <c r="B1389" s="13" t="s">
        <v>556</v>
      </c>
      <c r="C1389" s="13" t="s">
        <v>15854</v>
      </c>
      <c r="D1389" s="12" t="s">
        <v>9639</v>
      </c>
      <c r="E1389" s="13" t="s">
        <v>580</v>
      </c>
      <c r="F1389" s="681">
        <v>26.18</v>
      </c>
    </row>
    <row r="1390" spans="2:6" ht="15.75" hidden="1" customHeight="1" x14ac:dyDescent="0.25">
      <c r="B1390" s="13" t="s">
        <v>556</v>
      </c>
      <c r="C1390" s="13" t="s">
        <v>15855</v>
      </c>
      <c r="D1390" s="12" t="s">
        <v>9638</v>
      </c>
      <c r="E1390" s="13" t="s">
        <v>580</v>
      </c>
      <c r="F1390" s="681">
        <v>17.829999999999998</v>
      </c>
    </row>
    <row r="1391" spans="2:6" ht="15.75" hidden="1" customHeight="1" x14ac:dyDescent="0.25">
      <c r="B1391" s="13" t="s">
        <v>556</v>
      </c>
      <c r="C1391" s="13" t="s">
        <v>15856</v>
      </c>
      <c r="D1391" s="12" t="s">
        <v>9635</v>
      </c>
      <c r="E1391" s="13" t="s">
        <v>580</v>
      </c>
      <c r="F1391" s="681">
        <v>4.72</v>
      </c>
    </row>
    <row r="1392" spans="2:6" ht="15.75" hidden="1" customHeight="1" x14ac:dyDescent="0.25">
      <c r="B1392" s="13" t="s">
        <v>556</v>
      </c>
      <c r="C1392" s="13" t="s">
        <v>15857</v>
      </c>
      <c r="D1392" s="12" t="s">
        <v>9630</v>
      </c>
      <c r="E1392" s="13" t="s">
        <v>580</v>
      </c>
      <c r="F1392" s="681">
        <v>6.12</v>
      </c>
    </row>
    <row r="1393" spans="2:6" ht="15.75" hidden="1" customHeight="1" x14ac:dyDescent="0.25">
      <c r="B1393" s="13" t="s">
        <v>556</v>
      </c>
      <c r="C1393" s="13" t="s">
        <v>15858</v>
      </c>
      <c r="D1393" s="12" t="s">
        <v>10519</v>
      </c>
      <c r="E1393" s="13" t="s">
        <v>580</v>
      </c>
      <c r="F1393" s="681">
        <v>1.67</v>
      </c>
    </row>
    <row r="1394" spans="2:6" ht="15.75" hidden="1" customHeight="1" x14ac:dyDescent="0.25">
      <c r="B1394" s="13" t="s">
        <v>556</v>
      </c>
      <c r="C1394" s="13" t="s">
        <v>15859</v>
      </c>
      <c r="D1394" s="12" t="s">
        <v>10520</v>
      </c>
      <c r="E1394" s="13" t="s">
        <v>580</v>
      </c>
      <c r="F1394" s="681">
        <v>1.78</v>
      </c>
    </row>
    <row r="1395" spans="2:6" ht="15.75" hidden="1" customHeight="1" x14ac:dyDescent="0.25">
      <c r="B1395" s="13" t="s">
        <v>556</v>
      </c>
      <c r="C1395" s="13" t="s">
        <v>15860</v>
      </c>
      <c r="D1395" s="12" t="s">
        <v>10521</v>
      </c>
      <c r="E1395" s="13" t="s">
        <v>580</v>
      </c>
      <c r="F1395" s="681">
        <v>2.0699999999999998</v>
      </c>
    </row>
    <row r="1396" spans="2:6" ht="15.75" hidden="1" customHeight="1" x14ac:dyDescent="0.25">
      <c r="B1396" s="13" t="s">
        <v>556</v>
      </c>
      <c r="C1396" s="13" t="s">
        <v>15861</v>
      </c>
      <c r="D1396" s="12" t="s">
        <v>10522</v>
      </c>
      <c r="E1396" s="13" t="s">
        <v>580</v>
      </c>
      <c r="F1396" s="681">
        <v>3.67</v>
      </c>
    </row>
    <row r="1397" spans="2:6" ht="15.75" hidden="1" customHeight="1" x14ac:dyDescent="0.25">
      <c r="B1397" s="13" t="s">
        <v>556</v>
      </c>
      <c r="C1397" s="13" t="s">
        <v>15862</v>
      </c>
      <c r="D1397" s="12" t="s">
        <v>10524</v>
      </c>
      <c r="E1397" s="13" t="s">
        <v>580</v>
      </c>
      <c r="F1397" s="681">
        <v>10.81</v>
      </c>
    </row>
    <row r="1398" spans="2:6" ht="15.75" hidden="1" customHeight="1" x14ac:dyDescent="0.25">
      <c r="B1398" s="13" t="s">
        <v>556</v>
      </c>
      <c r="C1398" s="13" t="s">
        <v>15863</v>
      </c>
      <c r="D1398" s="12" t="s">
        <v>10518</v>
      </c>
      <c r="E1398" s="13" t="s">
        <v>580</v>
      </c>
      <c r="F1398" s="681">
        <v>25.99</v>
      </c>
    </row>
    <row r="1399" spans="2:6" ht="15.75" hidden="1" customHeight="1" x14ac:dyDescent="0.25">
      <c r="B1399" s="13" t="s">
        <v>556</v>
      </c>
      <c r="C1399" s="13" t="s">
        <v>15864</v>
      </c>
      <c r="D1399" s="12" t="s">
        <v>10525</v>
      </c>
      <c r="E1399" s="13" t="s">
        <v>580</v>
      </c>
      <c r="F1399" s="681">
        <v>16.47</v>
      </c>
    </row>
    <row r="1400" spans="2:6" ht="15.75" hidden="1" customHeight="1" x14ac:dyDescent="0.25">
      <c r="B1400" s="13" t="s">
        <v>556</v>
      </c>
      <c r="C1400" s="13" t="s">
        <v>15865</v>
      </c>
      <c r="D1400" s="12" t="s">
        <v>10526</v>
      </c>
      <c r="E1400" s="13" t="s">
        <v>580</v>
      </c>
      <c r="F1400" s="681">
        <v>7.41</v>
      </c>
    </row>
    <row r="1401" spans="2:6" ht="15.75" hidden="1" customHeight="1" x14ac:dyDescent="0.25">
      <c r="B1401" s="13" t="s">
        <v>556</v>
      </c>
      <c r="C1401" s="13" t="s">
        <v>15866</v>
      </c>
      <c r="D1401" s="12" t="s">
        <v>10523</v>
      </c>
      <c r="E1401" s="13" t="s">
        <v>580</v>
      </c>
      <c r="F1401" s="681">
        <v>5.31</v>
      </c>
    </row>
    <row r="1402" spans="2:6" ht="15.75" hidden="1" customHeight="1" x14ac:dyDescent="0.25">
      <c r="B1402" s="13" t="s">
        <v>556</v>
      </c>
      <c r="C1402" s="13" t="s">
        <v>15867</v>
      </c>
      <c r="D1402" s="12" t="s">
        <v>11330</v>
      </c>
      <c r="E1402" s="13" t="s">
        <v>580</v>
      </c>
      <c r="F1402" s="681">
        <v>13.72</v>
      </c>
    </row>
    <row r="1403" spans="2:6" ht="15.75" hidden="1" customHeight="1" x14ac:dyDescent="0.25">
      <c r="B1403" s="13" t="s">
        <v>556</v>
      </c>
      <c r="C1403" s="13" t="s">
        <v>15868</v>
      </c>
      <c r="D1403" s="12" t="s">
        <v>11329</v>
      </c>
      <c r="E1403" s="13" t="s">
        <v>580</v>
      </c>
      <c r="F1403" s="681">
        <v>11.18</v>
      </c>
    </row>
    <row r="1404" spans="2:6" ht="15.75" hidden="1" customHeight="1" x14ac:dyDescent="0.25">
      <c r="B1404" s="13" t="s">
        <v>556</v>
      </c>
      <c r="C1404" s="13" t="s">
        <v>15869</v>
      </c>
      <c r="D1404" s="12" t="s">
        <v>11327</v>
      </c>
      <c r="E1404" s="13" t="s">
        <v>580</v>
      </c>
      <c r="F1404" s="681">
        <v>6.64</v>
      </c>
    </row>
    <row r="1405" spans="2:6" ht="15.75" hidden="1" customHeight="1" x14ac:dyDescent="0.25">
      <c r="B1405" s="13" t="s">
        <v>556</v>
      </c>
      <c r="C1405" s="13" t="s">
        <v>15870</v>
      </c>
      <c r="D1405" s="12" t="s">
        <v>11328</v>
      </c>
      <c r="E1405" s="13" t="s">
        <v>580</v>
      </c>
      <c r="F1405" s="681">
        <v>7.58</v>
      </c>
    </row>
    <row r="1406" spans="2:6" ht="15.75" hidden="1" customHeight="1" x14ac:dyDescent="0.25">
      <c r="B1406" s="13" t="s">
        <v>556</v>
      </c>
      <c r="C1406" s="13" t="s">
        <v>15871</v>
      </c>
      <c r="D1406" s="12" t="s">
        <v>9824</v>
      </c>
      <c r="E1406" s="13" t="s">
        <v>585</v>
      </c>
      <c r="F1406" s="681">
        <v>3.59</v>
      </c>
    </row>
    <row r="1407" spans="2:6" ht="15.75" hidden="1" customHeight="1" x14ac:dyDescent="0.25">
      <c r="B1407" s="13" t="s">
        <v>556</v>
      </c>
      <c r="C1407" s="13" t="s">
        <v>15872</v>
      </c>
      <c r="D1407" s="12" t="s">
        <v>9828</v>
      </c>
      <c r="E1407" s="13" t="s">
        <v>585</v>
      </c>
      <c r="F1407" s="681">
        <v>4.47</v>
      </c>
    </row>
    <row r="1408" spans="2:6" ht="15.75" hidden="1" customHeight="1" x14ac:dyDescent="0.25">
      <c r="B1408" s="13" t="s">
        <v>556</v>
      </c>
      <c r="C1408" s="13" t="s">
        <v>15873</v>
      </c>
      <c r="D1408" s="12" t="s">
        <v>9834</v>
      </c>
      <c r="E1408" s="13" t="s">
        <v>585</v>
      </c>
      <c r="F1408" s="681">
        <v>7.29</v>
      </c>
    </row>
    <row r="1409" spans="2:6" ht="15.75" hidden="1" customHeight="1" x14ac:dyDescent="0.25">
      <c r="B1409" s="13" t="s">
        <v>556</v>
      </c>
      <c r="C1409" s="13" t="s">
        <v>15874</v>
      </c>
      <c r="D1409" s="12" t="s">
        <v>9830</v>
      </c>
      <c r="E1409" s="13" t="s">
        <v>585</v>
      </c>
      <c r="F1409" s="681">
        <v>2.09</v>
      </c>
    </row>
    <row r="1410" spans="2:6" ht="15.75" hidden="1" customHeight="1" x14ac:dyDescent="0.25">
      <c r="B1410" s="13" t="s">
        <v>556</v>
      </c>
      <c r="C1410" s="13" t="s">
        <v>15875</v>
      </c>
      <c r="D1410" s="12" t="s">
        <v>9831</v>
      </c>
      <c r="E1410" s="13" t="s">
        <v>585</v>
      </c>
      <c r="F1410" s="681">
        <v>2.61</v>
      </c>
    </row>
    <row r="1411" spans="2:6" ht="15.75" hidden="1" customHeight="1" x14ac:dyDescent="0.25">
      <c r="B1411" s="13" t="s">
        <v>556</v>
      </c>
      <c r="C1411" s="13" t="s">
        <v>15876</v>
      </c>
      <c r="D1411" s="12" t="s">
        <v>9832</v>
      </c>
      <c r="E1411" s="13" t="s">
        <v>585</v>
      </c>
      <c r="F1411" s="681">
        <v>4.03</v>
      </c>
    </row>
    <row r="1412" spans="2:6" ht="15.75" hidden="1" customHeight="1" x14ac:dyDescent="0.25">
      <c r="B1412" s="13" t="s">
        <v>556</v>
      </c>
      <c r="C1412" s="13" t="s">
        <v>15877</v>
      </c>
      <c r="D1412" s="12" t="s">
        <v>9822</v>
      </c>
      <c r="E1412" s="13" t="s">
        <v>585</v>
      </c>
      <c r="F1412" s="681">
        <v>10.220000000000001</v>
      </c>
    </row>
    <row r="1413" spans="2:6" ht="15.75" hidden="1" customHeight="1" x14ac:dyDescent="0.25">
      <c r="B1413" s="13" t="s">
        <v>556</v>
      </c>
      <c r="C1413" s="13" t="s">
        <v>15878</v>
      </c>
      <c r="D1413" s="12" t="s">
        <v>9825</v>
      </c>
      <c r="E1413" s="13" t="s">
        <v>585</v>
      </c>
      <c r="F1413" s="681">
        <v>16.7</v>
      </c>
    </row>
    <row r="1414" spans="2:6" ht="15.75" hidden="1" customHeight="1" x14ac:dyDescent="0.25">
      <c r="B1414" s="13" t="s">
        <v>556</v>
      </c>
      <c r="C1414" s="13" t="s">
        <v>15879</v>
      </c>
      <c r="D1414" s="12" t="s">
        <v>9826</v>
      </c>
      <c r="E1414" s="13" t="s">
        <v>585</v>
      </c>
      <c r="F1414" s="681">
        <v>24.37</v>
      </c>
    </row>
    <row r="1415" spans="2:6" ht="15.75" hidden="1" customHeight="1" x14ac:dyDescent="0.25">
      <c r="B1415" s="13" t="s">
        <v>556</v>
      </c>
      <c r="C1415" s="13" t="s">
        <v>15880</v>
      </c>
      <c r="D1415" s="12" t="s">
        <v>9829</v>
      </c>
      <c r="E1415" s="13" t="s">
        <v>585</v>
      </c>
      <c r="F1415" s="681">
        <v>48.16</v>
      </c>
    </row>
    <row r="1416" spans="2:6" ht="15.75" hidden="1" customHeight="1" x14ac:dyDescent="0.25">
      <c r="B1416" s="13" t="s">
        <v>556</v>
      </c>
      <c r="C1416" s="13" t="s">
        <v>15881</v>
      </c>
      <c r="D1416" s="12" t="s">
        <v>9823</v>
      </c>
      <c r="E1416" s="13" t="s">
        <v>585</v>
      </c>
      <c r="F1416" s="681">
        <v>9.3000000000000007</v>
      </c>
    </row>
    <row r="1417" spans="2:6" ht="15.75" hidden="1" customHeight="1" x14ac:dyDescent="0.25">
      <c r="B1417" s="13" t="s">
        <v>556</v>
      </c>
      <c r="C1417" s="13" t="s">
        <v>15882</v>
      </c>
      <c r="D1417" s="12" t="s">
        <v>9821</v>
      </c>
      <c r="E1417" s="13" t="s">
        <v>585</v>
      </c>
      <c r="F1417" s="681">
        <v>6.98</v>
      </c>
    </row>
    <row r="1418" spans="2:6" ht="15.75" hidden="1" customHeight="1" x14ac:dyDescent="0.25">
      <c r="B1418" s="13" t="s">
        <v>556</v>
      </c>
      <c r="C1418" s="13" t="s">
        <v>15883</v>
      </c>
      <c r="D1418" s="12" t="s">
        <v>9827</v>
      </c>
      <c r="E1418" s="13" t="s">
        <v>585</v>
      </c>
      <c r="F1418" s="681">
        <v>30.56</v>
      </c>
    </row>
    <row r="1419" spans="2:6" ht="15.75" hidden="1" customHeight="1" x14ac:dyDescent="0.25">
      <c r="B1419" s="13" t="s">
        <v>556</v>
      </c>
      <c r="C1419" s="13" t="s">
        <v>15884</v>
      </c>
      <c r="D1419" s="12" t="s">
        <v>9854</v>
      </c>
      <c r="E1419" s="13" t="s">
        <v>585</v>
      </c>
      <c r="F1419" s="681">
        <v>1.82</v>
      </c>
    </row>
    <row r="1420" spans="2:6" ht="15.75" hidden="1" customHeight="1" x14ac:dyDescent="0.25">
      <c r="B1420" s="13" t="s">
        <v>556</v>
      </c>
      <c r="C1420" s="13" t="s">
        <v>15885</v>
      </c>
      <c r="D1420" s="12" t="s">
        <v>9856</v>
      </c>
      <c r="E1420" s="13" t="s">
        <v>585</v>
      </c>
      <c r="F1420" s="681">
        <v>2.35</v>
      </c>
    </row>
    <row r="1421" spans="2:6" ht="15.75" hidden="1" customHeight="1" x14ac:dyDescent="0.25">
      <c r="B1421" s="13" t="s">
        <v>556</v>
      </c>
      <c r="C1421" s="13" t="s">
        <v>15886</v>
      </c>
      <c r="D1421" s="12" t="s">
        <v>9855</v>
      </c>
      <c r="E1421" s="13" t="s">
        <v>585</v>
      </c>
      <c r="F1421" s="681">
        <v>2.17</v>
      </c>
    </row>
    <row r="1422" spans="2:6" ht="15.75" hidden="1" customHeight="1" x14ac:dyDescent="0.25">
      <c r="B1422" s="13" t="s">
        <v>556</v>
      </c>
      <c r="C1422" s="13" t="s">
        <v>15887</v>
      </c>
      <c r="D1422" s="12" t="s">
        <v>9857</v>
      </c>
      <c r="E1422" s="13" t="s">
        <v>585</v>
      </c>
      <c r="F1422" s="681">
        <v>4.0199999999999996</v>
      </c>
    </row>
    <row r="1423" spans="2:6" ht="15.75" hidden="1" customHeight="1" x14ac:dyDescent="0.25">
      <c r="B1423" s="13" t="s">
        <v>556</v>
      </c>
      <c r="C1423" s="13" t="s">
        <v>15888</v>
      </c>
      <c r="D1423" s="12" t="s">
        <v>9712</v>
      </c>
      <c r="E1423" s="13" t="s">
        <v>517</v>
      </c>
      <c r="F1423" s="681">
        <v>6.64</v>
      </c>
    </row>
    <row r="1424" spans="2:6" ht="15.75" hidden="1" customHeight="1" x14ac:dyDescent="0.25">
      <c r="B1424" s="13" t="s">
        <v>14153</v>
      </c>
      <c r="C1424" s="13" t="s">
        <v>15889</v>
      </c>
      <c r="D1424" s="12" t="s">
        <v>9873</v>
      </c>
      <c r="E1424" s="13" t="s">
        <v>2193</v>
      </c>
      <c r="F1424" s="681">
        <v>29.3</v>
      </c>
    </row>
    <row r="1425" spans="2:6" ht="15.75" hidden="1" customHeight="1" x14ac:dyDescent="0.25">
      <c r="B1425" s="13" t="s">
        <v>14153</v>
      </c>
      <c r="C1425" s="13" t="s">
        <v>15890</v>
      </c>
      <c r="D1425" s="12" t="s">
        <v>10186</v>
      </c>
      <c r="E1425" s="13" t="s">
        <v>2193</v>
      </c>
      <c r="F1425" s="681">
        <v>27.15</v>
      </c>
    </row>
    <row r="1426" spans="2:6" ht="15.75" hidden="1" customHeight="1" x14ac:dyDescent="0.25">
      <c r="B1426" s="13" t="s">
        <v>15210</v>
      </c>
      <c r="C1426" s="13" t="s">
        <v>15891</v>
      </c>
      <c r="D1426" s="12" t="s">
        <v>9878</v>
      </c>
      <c r="E1426" s="13" t="s">
        <v>9879</v>
      </c>
      <c r="F1426" s="681">
        <v>0.78</v>
      </c>
    </row>
    <row r="1427" spans="2:6" ht="15.75" hidden="1" customHeight="1" x14ac:dyDescent="0.25">
      <c r="B1427" s="13" t="s">
        <v>14153</v>
      </c>
      <c r="C1427" s="13" t="s">
        <v>15892</v>
      </c>
      <c r="D1427" s="12" t="s">
        <v>9885</v>
      </c>
      <c r="E1427" s="13" t="s">
        <v>2193</v>
      </c>
      <c r="F1427" s="681">
        <v>126.37</v>
      </c>
    </row>
    <row r="1428" spans="2:6" ht="15.75" hidden="1" customHeight="1" x14ac:dyDescent="0.25">
      <c r="B1428" s="13" t="s">
        <v>14153</v>
      </c>
      <c r="C1428" s="13" t="s">
        <v>15893</v>
      </c>
      <c r="D1428" s="12" t="s">
        <v>9887</v>
      </c>
      <c r="E1428" s="13" t="s">
        <v>2193</v>
      </c>
      <c r="F1428" s="681">
        <v>128.55000000000001</v>
      </c>
    </row>
    <row r="1429" spans="2:6" ht="15.75" hidden="1" customHeight="1" x14ac:dyDescent="0.25">
      <c r="B1429" s="13" t="s">
        <v>14153</v>
      </c>
      <c r="C1429" s="13" t="s">
        <v>15894</v>
      </c>
      <c r="D1429" s="12" t="s">
        <v>9889</v>
      </c>
      <c r="E1429" s="13" t="s">
        <v>2193</v>
      </c>
      <c r="F1429" s="681">
        <v>180.07</v>
      </c>
    </row>
    <row r="1430" spans="2:6" ht="15.75" hidden="1" customHeight="1" x14ac:dyDescent="0.25">
      <c r="B1430" s="13" t="s">
        <v>556</v>
      </c>
      <c r="C1430" s="13" t="s">
        <v>15895</v>
      </c>
      <c r="D1430" s="12" t="s">
        <v>11149</v>
      </c>
      <c r="E1430" s="13" t="s">
        <v>580</v>
      </c>
      <c r="F1430" s="681">
        <v>60.21</v>
      </c>
    </row>
    <row r="1431" spans="2:6" ht="15.75" hidden="1" customHeight="1" x14ac:dyDescent="0.25">
      <c r="B1431" s="13" t="s">
        <v>556</v>
      </c>
      <c r="C1431" s="13" t="s">
        <v>15896</v>
      </c>
      <c r="D1431" s="12" t="s">
        <v>9344</v>
      </c>
      <c r="E1431" s="13" t="s">
        <v>580</v>
      </c>
      <c r="F1431" s="681">
        <v>206</v>
      </c>
    </row>
    <row r="1432" spans="2:6" ht="15.75" hidden="1" customHeight="1" x14ac:dyDescent="0.25">
      <c r="B1432" s="13" t="s">
        <v>14150</v>
      </c>
      <c r="C1432" s="13" t="s">
        <v>15897</v>
      </c>
      <c r="D1432" s="12" t="s">
        <v>9923</v>
      </c>
      <c r="E1432" s="13" t="s">
        <v>580</v>
      </c>
      <c r="F1432" s="681">
        <v>714714.68</v>
      </c>
    </row>
    <row r="1433" spans="2:6" ht="15.75" hidden="1" customHeight="1" x14ac:dyDescent="0.25">
      <c r="B1433" s="13" t="s">
        <v>556</v>
      </c>
      <c r="C1433" s="13" t="s">
        <v>15898</v>
      </c>
      <c r="D1433" s="12" t="s">
        <v>9216</v>
      </c>
      <c r="E1433" s="13" t="s">
        <v>580</v>
      </c>
      <c r="F1433" s="681">
        <v>26.7</v>
      </c>
    </row>
    <row r="1434" spans="2:6" ht="15.75" hidden="1" customHeight="1" x14ac:dyDescent="0.25">
      <c r="B1434" s="13" t="s">
        <v>556</v>
      </c>
      <c r="C1434" s="13" t="s">
        <v>15899</v>
      </c>
      <c r="D1434" s="12" t="s">
        <v>11060</v>
      </c>
      <c r="E1434" s="13" t="s">
        <v>585</v>
      </c>
      <c r="F1434" s="681">
        <v>98.67</v>
      </c>
    </row>
    <row r="1435" spans="2:6" ht="15.75" hidden="1" customHeight="1" x14ac:dyDescent="0.25">
      <c r="B1435" s="13" t="s">
        <v>556</v>
      </c>
      <c r="C1435" s="13" t="s">
        <v>15900</v>
      </c>
      <c r="D1435" s="12" t="s">
        <v>11005</v>
      </c>
      <c r="E1435" s="13" t="s">
        <v>585</v>
      </c>
      <c r="F1435" s="681">
        <v>3.45</v>
      </c>
    </row>
    <row r="1436" spans="2:6" ht="15.75" hidden="1" customHeight="1" x14ac:dyDescent="0.25">
      <c r="B1436" s="13" t="s">
        <v>556</v>
      </c>
      <c r="C1436" s="13" t="s">
        <v>15901</v>
      </c>
      <c r="D1436" s="12" t="s">
        <v>10739</v>
      </c>
      <c r="E1436" s="13" t="s">
        <v>585</v>
      </c>
      <c r="F1436" s="681">
        <v>29.62</v>
      </c>
    </row>
    <row r="1437" spans="2:6" ht="15.75" hidden="1" customHeight="1" x14ac:dyDescent="0.25">
      <c r="B1437" s="13" t="s">
        <v>556</v>
      </c>
      <c r="C1437" s="13" t="s">
        <v>15902</v>
      </c>
      <c r="D1437" s="12" t="s">
        <v>15903</v>
      </c>
      <c r="E1437" s="13" t="s">
        <v>580</v>
      </c>
      <c r="F1437" s="681">
        <v>9.68</v>
      </c>
    </row>
    <row r="1438" spans="2:6" ht="15.75" hidden="1" customHeight="1" x14ac:dyDescent="0.25">
      <c r="B1438" s="13" t="s">
        <v>556</v>
      </c>
      <c r="C1438" s="13" t="s">
        <v>15904</v>
      </c>
      <c r="D1438" s="12" t="s">
        <v>15905</v>
      </c>
      <c r="E1438" s="13" t="s">
        <v>585</v>
      </c>
      <c r="F1438" s="681">
        <v>12.1</v>
      </c>
    </row>
    <row r="1439" spans="2:6" ht="15.75" hidden="1" customHeight="1" x14ac:dyDescent="0.25">
      <c r="B1439" s="13" t="s">
        <v>556</v>
      </c>
      <c r="C1439" s="13" t="s">
        <v>15906</v>
      </c>
      <c r="D1439" s="12" t="s">
        <v>10580</v>
      </c>
      <c r="E1439" s="13" t="s">
        <v>585</v>
      </c>
      <c r="F1439" s="681">
        <v>203.98</v>
      </c>
    </row>
    <row r="1440" spans="2:6" ht="15.75" hidden="1" customHeight="1" x14ac:dyDescent="0.25">
      <c r="B1440" s="13" t="s">
        <v>556</v>
      </c>
      <c r="C1440" s="13" t="s">
        <v>15907</v>
      </c>
      <c r="D1440" s="12" t="s">
        <v>10579</v>
      </c>
      <c r="E1440" s="13" t="s">
        <v>585</v>
      </c>
      <c r="F1440" s="681">
        <v>140.02000000000001</v>
      </c>
    </row>
    <row r="1441" spans="2:6" ht="15.75" hidden="1" customHeight="1" x14ac:dyDescent="0.25">
      <c r="B1441" s="13" t="s">
        <v>556</v>
      </c>
      <c r="C1441" s="13" t="s">
        <v>15908</v>
      </c>
      <c r="D1441" s="12" t="s">
        <v>8646</v>
      </c>
      <c r="E1441" s="13" t="s">
        <v>580</v>
      </c>
      <c r="F1441" s="681">
        <v>1.47</v>
      </c>
    </row>
    <row r="1442" spans="2:6" ht="15.75" hidden="1" customHeight="1" x14ac:dyDescent="0.25">
      <c r="B1442" s="13" t="s">
        <v>556</v>
      </c>
      <c r="C1442" s="13" t="s">
        <v>15909</v>
      </c>
      <c r="D1442" s="12" t="s">
        <v>8647</v>
      </c>
      <c r="E1442" s="13" t="s">
        <v>580</v>
      </c>
      <c r="F1442" s="681">
        <v>2.16</v>
      </c>
    </row>
    <row r="1443" spans="2:6" ht="15.75" hidden="1" customHeight="1" x14ac:dyDescent="0.25">
      <c r="B1443" s="13" t="s">
        <v>556</v>
      </c>
      <c r="C1443" s="13" t="s">
        <v>15910</v>
      </c>
      <c r="D1443" s="12" t="s">
        <v>8651</v>
      </c>
      <c r="E1443" s="13" t="s">
        <v>580</v>
      </c>
      <c r="F1443" s="681">
        <v>2.34</v>
      </c>
    </row>
    <row r="1444" spans="2:6" ht="15.75" hidden="1" customHeight="1" x14ac:dyDescent="0.25">
      <c r="B1444" s="13" t="s">
        <v>556</v>
      </c>
      <c r="C1444" s="13" t="s">
        <v>15911</v>
      </c>
      <c r="D1444" s="12" t="s">
        <v>8648</v>
      </c>
      <c r="E1444" s="13" t="s">
        <v>580</v>
      </c>
      <c r="F1444" s="681">
        <v>3.05</v>
      </c>
    </row>
    <row r="1445" spans="2:6" ht="15.75" hidden="1" customHeight="1" x14ac:dyDescent="0.25">
      <c r="B1445" s="13" t="s">
        <v>556</v>
      </c>
      <c r="C1445" s="13" t="s">
        <v>15912</v>
      </c>
      <c r="D1445" s="12" t="s">
        <v>8535</v>
      </c>
      <c r="E1445" s="13" t="s">
        <v>517</v>
      </c>
      <c r="F1445" s="681">
        <v>17.16</v>
      </c>
    </row>
    <row r="1446" spans="2:6" ht="15.75" hidden="1" customHeight="1" x14ac:dyDescent="0.25">
      <c r="B1446" s="13" t="s">
        <v>556</v>
      </c>
      <c r="C1446" s="13" t="s">
        <v>15913</v>
      </c>
      <c r="D1446" s="12" t="s">
        <v>8649</v>
      </c>
      <c r="E1446" s="13" t="s">
        <v>580</v>
      </c>
      <c r="F1446" s="681">
        <v>10.55</v>
      </c>
    </row>
    <row r="1447" spans="2:6" ht="15.75" hidden="1" customHeight="1" x14ac:dyDescent="0.25">
      <c r="B1447" s="13" t="s">
        <v>556</v>
      </c>
      <c r="C1447" s="13" t="s">
        <v>15914</v>
      </c>
      <c r="D1447" s="12" t="s">
        <v>8645</v>
      </c>
      <c r="E1447" s="13" t="s">
        <v>580</v>
      </c>
      <c r="F1447" s="681">
        <v>2.6</v>
      </c>
    </row>
    <row r="1448" spans="2:6" ht="15.75" hidden="1" customHeight="1" x14ac:dyDescent="0.25">
      <c r="B1448" s="13" t="s">
        <v>556</v>
      </c>
      <c r="C1448" s="13" t="s">
        <v>15915</v>
      </c>
      <c r="D1448" s="12" t="s">
        <v>8655</v>
      </c>
      <c r="E1448" s="13" t="s">
        <v>580</v>
      </c>
      <c r="F1448" s="681">
        <v>2.88</v>
      </c>
    </row>
    <row r="1449" spans="2:6" ht="15.75" hidden="1" customHeight="1" x14ac:dyDescent="0.25">
      <c r="B1449" s="13" t="s">
        <v>556</v>
      </c>
      <c r="C1449" s="13" t="s">
        <v>15916</v>
      </c>
      <c r="D1449" s="12" t="s">
        <v>8656</v>
      </c>
      <c r="E1449" s="13" t="s">
        <v>580</v>
      </c>
      <c r="F1449" s="681">
        <v>9.06</v>
      </c>
    </row>
    <row r="1450" spans="2:6" ht="15.75" hidden="1" customHeight="1" x14ac:dyDescent="0.25">
      <c r="B1450" s="13" t="s">
        <v>556</v>
      </c>
      <c r="C1450" s="13" t="s">
        <v>15917</v>
      </c>
      <c r="D1450" s="12" t="s">
        <v>8657</v>
      </c>
      <c r="E1450" s="13" t="s">
        <v>580</v>
      </c>
      <c r="F1450" s="681">
        <v>13.74</v>
      </c>
    </row>
    <row r="1451" spans="2:6" ht="15.75" hidden="1" customHeight="1" x14ac:dyDescent="0.25">
      <c r="B1451" s="13" t="s">
        <v>556</v>
      </c>
      <c r="C1451" s="13" t="s">
        <v>15918</v>
      </c>
      <c r="D1451" s="12" t="s">
        <v>8658</v>
      </c>
      <c r="E1451" s="13" t="s">
        <v>580</v>
      </c>
      <c r="F1451" s="681">
        <v>34.72</v>
      </c>
    </row>
    <row r="1452" spans="2:6" ht="15.75" hidden="1" customHeight="1" x14ac:dyDescent="0.25">
      <c r="B1452" s="13" t="s">
        <v>556</v>
      </c>
      <c r="C1452" s="13" t="s">
        <v>15919</v>
      </c>
      <c r="D1452" s="12" t="s">
        <v>15920</v>
      </c>
      <c r="E1452" s="13" t="s">
        <v>580</v>
      </c>
      <c r="F1452" s="681">
        <v>215.81</v>
      </c>
    </row>
    <row r="1453" spans="2:6" ht="15.75" hidden="1" customHeight="1" x14ac:dyDescent="0.25">
      <c r="B1453" s="13" t="s">
        <v>556</v>
      </c>
      <c r="C1453" s="13" t="s">
        <v>15921</v>
      </c>
      <c r="D1453" s="12" t="s">
        <v>15922</v>
      </c>
      <c r="E1453" s="13" t="s">
        <v>580</v>
      </c>
      <c r="F1453" s="681">
        <v>136.25</v>
      </c>
    </row>
    <row r="1454" spans="2:6" ht="15.75" hidden="1" customHeight="1" x14ac:dyDescent="0.25">
      <c r="B1454" s="13" t="s">
        <v>556</v>
      </c>
      <c r="C1454" s="13" t="s">
        <v>15923</v>
      </c>
      <c r="D1454" s="12" t="s">
        <v>15924</v>
      </c>
      <c r="E1454" s="13" t="s">
        <v>580</v>
      </c>
      <c r="F1454" s="681">
        <v>112.12</v>
      </c>
    </row>
    <row r="1455" spans="2:6" ht="15.75" hidden="1" customHeight="1" x14ac:dyDescent="0.25">
      <c r="B1455" s="13" t="s">
        <v>556</v>
      </c>
      <c r="C1455" s="13" t="s">
        <v>15925</v>
      </c>
      <c r="D1455" s="12" t="s">
        <v>15926</v>
      </c>
      <c r="E1455" s="13" t="s">
        <v>580</v>
      </c>
      <c r="F1455" s="681">
        <v>177.42</v>
      </c>
    </row>
    <row r="1456" spans="2:6" ht="15.75" hidden="1" customHeight="1" x14ac:dyDescent="0.25">
      <c r="B1456" s="13" t="s">
        <v>556</v>
      </c>
      <c r="C1456" s="13" t="s">
        <v>15927</v>
      </c>
      <c r="D1456" s="12" t="s">
        <v>8661</v>
      </c>
      <c r="E1456" s="13" t="s">
        <v>580</v>
      </c>
      <c r="F1456" s="681">
        <v>77.48</v>
      </c>
    </row>
    <row r="1457" spans="2:6" ht="15.75" hidden="1" customHeight="1" x14ac:dyDescent="0.25">
      <c r="B1457" s="13" t="s">
        <v>556</v>
      </c>
      <c r="C1457" s="13" t="s">
        <v>15928</v>
      </c>
      <c r="D1457" s="12" t="s">
        <v>9978</v>
      </c>
      <c r="E1457" s="13" t="s">
        <v>9561</v>
      </c>
      <c r="F1457" s="681">
        <v>80</v>
      </c>
    </row>
    <row r="1458" spans="2:6" ht="15.75" hidden="1" customHeight="1" x14ac:dyDescent="0.25">
      <c r="B1458" s="13" t="s">
        <v>556</v>
      </c>
      <c r="C1458" s="13" t="s">
        <v>15929</v>
      </c>
      <c r="D1458" s="12" t="s">
        <v>9979</v>
      </c>
      <c r="E1458" s="13" t="s">
        <v>9561</v>
      </c>
      <c r="F1458" s="681">
        <v>158.28</v>
      </c>
    </row>
    <row r="1459" spans="2:6" ht="15.75" hidden="1" customHeight="1" x14ac:dyDescent="0.25">
      <c r="B1459" s="13" t="s">
        <v>556</v>
      </c>
      <c r="C1459" s="13" t="s">
        <v>15930</v>
      </c>
      <c r="D1459" s="12" t="s">
        <v>8659</v>
      </c>
      <c r="E1459" s="13" t="s">
        <v>580</v>
      </c>
      <c r="F1459" s="681">
        <v>56.87</v>
      </c>
    </row>
    <row r="1460" spans="2:6" ht="15.75" hidden="1" customHeight="1" x14ac:dyDescent="0.25">
      <c r="B1460" s="13" t="s">
        <v>556</v>
      </c>
      <c r="C1460" s="13" t="s">
        <v>15931</v>
      </c>
      <c r="D1460" s="12" t="s">
        <v>9980</v>
      </c>
      <c r="E1460" s="13" t="s">
        <v>9561</v>
      </c>
      <c r="F1460" s="681">
        <v>71.400000000000006</v>
      </c>
    </row>
    <row r="1461" spans="2:6" ht="15.75" hidden="1" customHeight="1" x14ac:dyDescent="0.25">
      <c r="B1461" s="13" t="s">
        <v>556</v>
      </c>
      <c r="C1461" s="13" t="s">
        <v>15932</v>
      </c>
      <c r="D1461" s="12" t="s">
        <v>9988</v>
      </c>
      <c r="E1461" s="13" t="s">
        <v>9561</v>
      </c>
      <c r="F1461" s="681">
        <v>143.41999999999999</v>
      </c>
    </row>
    <row r="1462" spans="2:6" ht="15.75" hidden="1" customHeight="1" x14ac:dyDescent="0.25">
      <c r="B1462" s="13" t="s">
        <v>556</v>
      </c>
      <c r="C1462" s="13" t="s">
        <v>15933</v>
      </c>
      <c r="D1462" s="12" t="s">
        <v>9983</v>
      </c>
      <c r="E1462" s="13" t="s">
        <v>9561</v>
      </c>
      <c r="F1462" s="681">
        <v>89.57</v>
      </c>
    </row>
    <row r="1463" spans="2:6" ht="15.75" hidden="1" customHeight="1" x14ac:dyDescent="0.25">
      <c r="B1463" s="13" t="s">
        <v>556</v>
      </c>
      <c r="C1463" s="13" t="s">
        <v>15934</v>
      </c>
      <c r="D1463" s="12" t="s">
        <v>9984</v>
      </c>
      <c r="E1463" s="13" t="s">
        <v>9561</v>
      </c>
      <c r="F1463" s="681">
        <v>143.41999999999999</v>
      </c>
    </row>
    <row r="1464" spans="2:6" ht="15.75" hidden="1" customHeight="1" x14ac:dyDescent="0.25">
      <c r="B1464" s="13" t="s">
        <v>556</v>
      </c>
      <c r="C1464" s="13" t="s">
        <v>15935</v>
      </c>
      <c r="D1464" s="12" t="s">
        <v>8660</v>
      </c>
      <c r="E1464" s="13" t="s">
        <v>580</v>
      </c>
      <c r="F1464" s="681">
        <v>78.819999999999993</v>
      </c>
    </row>
    <row r="1465" spans="2:6" ht="15.75" hidden="1" customHeight="1" x14ac:dyDescent="0.25">
      <c r="B1465" s="13" t="s">
        <v>556</v>
      </c>
      <c r="C1465" s="13" t="s">
        <v>15936</v>
      </c>
      <c r="D1465" s="12" t="s">
        <v>9982</v>
      </c>
      <c r="E1465" s="13" t="s">
        <v>580</v>
      </c>
      <c r="F1465" s="681">
        <v>59.2</v>
      </c>
    </row>
    <row r="1466" spans="2:6" ht="15.75" hidden="1" customHeight="1" x14ac:dyDescent="0.25">
      <c r="B1466" s="13" t="s">
        <v>556</v>
      </c>
      <c r="C1466" s="13" t="s">
        <v>15937</v>
      </c>
      <c r="D1466" s="12" t="s">
        <v>9560</v>
      </c>
      <c r="E1466" s="13" t="s">
        <v>9561</v>
      </c>
      <c r="F1466" s="681">
        <v>184.39</v>
      </c>
    </row>
    <row r="1467" spans="2:6" ht="15.75" hidden="1" customHeight="1" x14ac:dyDescent="0.25">
      <c r="B1467" s="13" t="s">
        <v>556</v>
      </c>
      <c r="C1467" s="13" t="s">
        <v>15938</v>
      </c>
      <c r="D1467" s="12" t="s">
        <v>9993</v>
      </c>
      <c r="E1467" s="13" t="s">
        <v>580</v>
      </c>
      <c r="F1467" s="681">
        <v>135.69999999999999</v>
      </c>
    </row>
    <row r="1468" spans="2:6" ht="15.75" hidden="1" customHeight="1" x14ac:dyDescent="0.25">
      <c r="B1468" s="13" t="s">
        <v>556</v>
      </c>
      <c r="C1468" s="13" t="s">
        <v>15939</v>
      </c>
      <c r="D1468" s="12" t="s">
        <v>10032</v>
      </c>
      <c r="E1468" s="13" t="s">
        <v>580</v>
      </c>
      <c r="F1468" s="681">
        <v>15.53</v>
      </c>
    </row>
    <row r="1469" spans="2:6" ht="15.75" hidden="1" customHeight="1" x14ac:dyDescent="0.25">
      <c r="B1469" s="13" t="s">
        <v>556</v>
      </c>
      <c r="C1469" s="13" t="s">
        <v>15940</v>
      </c>
      <c r="D1469" s="12" t="s">
        <v>10027</v>
      </c>
      <c r="E1469" s="13" t="s">
        <v>580</v>
      </c>
      <c r="F1469" s="681">
        <v>8.42</v>
      </c>
    </row>
    <row r="1470" spans="2:6" ht="15.75" hidden="1" customHeight="1" x14ac:dyDescent="0.25">
      <c r="B1470" s="13" t="s">
        <v>556</v>
      </c>
      <c r="C1470" s="13" t="s">
        <v>15941</v>
      </c>
      <c r="D1470" s="12" t="s">
        <v>9992</v>
      </c>
      <c r="E1470" s="13" t="s">
        <v>580</v>
      </c>
      <c r="F1470" s="681">
        <v>103.75</v>
      </c>
    </row>
    <row r="1471" spans="2:6" ht="15.75" hidden="1" customHeight="1" x14ac:dyDescent="0.25">
      <c r="B1471" s="13" t="s">
        <v>556</v>
      </c>
      <c r="C1471" s="13" t="s">
        <v>15942</v>
      </c>
      <c r="D1471" s="12" t="s">
        <v>8652</v>
      </c>
      <c r="E1471" s="13" t="s">
        <v>580</v>
      </c>
      <c r="F1471" s="681">
        <v>8.6999999999999993</v>
      </c>
    </row>
    <row r="1472" spans="2:6" ht="15.75" hidden="1" customHeight="1" x14ac:dyDescent="0.25">
      <c r="B1472" s="13" t="s">
        <v>556</v>
      </c>
      <c r="C1472" s="13" t="s">
        <v>15943</v>
      </c>
      <c r="D1472" s="12" t="s">
        <v>10021</v>
      </c>
      <c r="E1472" s="13" t="s">
        <v>580</v>
      </c>
      <c r="F1472" s="681">
        <v>2.64</v>
      </c>
    </row>
    <row r="1473" spans="2:6" ht="15.75" hidden="1" customHeight="1" x14ac:dyDescent="0.25">
      <c r="B1473" s="13" t="s">
        <v>556</v>
      </c>
      <c r="C1473" s="13" t="s">
        <v>15944</v>
      </c>
      <c r="D1473" s="12" t="s">
        <v>10024</v>
      </c>
      <c r="E1473" s="13" t="s">
        <v>580</v>
      </c>
      <c r="F1473" s="681">
        <v>11.55</v>
      </c>
    </row>
    <row r="1474" spans="2:6" ht="15.75" hidden="1" customHeight="1" x14ac:dyDescent="0.25">
      <c r="B1474" s="13" t="s">
        <v>556</v>
      </c>
      <c r="C1474" s="13" t="s">
        <v>15945</v>
      </c>
      <c r="D1474" s="12" t="s">
        <v>10023</v>
      </c>
      <c r="E1474" s="13" t="s">
        <v>580</v>
      </c>
      <c r="F1474" s="681">
        <v>6.09</v>
      </c>
    </row>
    <row r="1475" spans="2:6" ht="15.75" hidden="1" customHeight="1" x14ac:dyDescent="0.25">
      <c r="B1475" s="13" t="s">
        <v>556</v>
      </c>
      <c r="C1475" s="13" t="s">
        <v>15946</v>
      </c>
      <c r="D1475" s="12" t="s">
        <v>10022</v>
      </c>
      <c r="E1475" s="13" t="s">
        <v>580</v>
      </c>
      <c r="F1475" s="681">
        <v>5.37</v>
      </c>
    </row>
    <row r="1476" spans="2:6" ht="15.75" hidden="1" customHeight="1" x14ac:dyDescent="0.25">
      <c r="B1476" s="13" t="s">
        <v>556</v>
      </c>
      <c r="C1476" s="13" t="s">
        <v>15947</v>
      </c>
      <c r="D1476" s="12" t="s">
        <v>10034</v>
      </c>
      <c r="E1476" s="13" t="s">
        <v>823</v>
      </c>
      <c r="F1476" s="681">
        <v>2.92</v>
      </c>
    </row>
    <row r="1477" spans="2:6" ht="15.75" hidden="1" customHeight="1" x14ac:dyDescent="0.25">
      <c r="B1477" s="13" t="s">
        <v>556</v>
      </c>
      <c r="C1477" s="13" t="s">
        <v>15948</v>
      </c>
      <c r="D1477" s="12" t="s">
        <v>10056</v>
      </c>
      <c r="E1477" s="13" t="s">
        <v>580</v>
      </c>
      <c r="F1477" s="681">
        <v>5.48</v>
      </c>
    </row>
    <row r="1478" spans="2:6" ht="15.75" hidden="1" customHeight="1" x14ac:dyDescent="0.25">
      <c r="B1478" s="13" t="s">
        <v>556</v>
      </c>
      <c r="C1478" s="13" t="s">
        <v>15949</v>
      </c>
      <c r="D1478" s="12" t="s">
        <v>10057</v>
      </c>
      <c r="E1478" s="13" t="s">
        <v>580</v>
      </c>
      <c r="F1478" s="681">
        <v>2.41</v>
      </c>
    </row>
    <row r="1479" spans="2:6" ht="15.75" hidden="1" customHeight="1" x14ac:dyDescent="0.25">
      <c r="B1479" s="13" t="s">
        <v>556</v>
      </c>
      <c r="C1479" s="13" t="s">
        <v>15950</v>
      </c>
      <c r="D1479" s="12" t="s">
        <v>10058</v>
      </c>
      <c r="E1479" s="13" t="s">
        <v>580</v>
      </c>
      <c r="F1479" s="681">
        <v>8.8800000000000008</v>
      </c>
    </row>
    <row r="1480" spans="2:6" ht="15.75" hidden="1" customHeight="1" x14ac:dyDescent="0.25">
      <c r="B1480" s="13" t="s">
        <v>556</v>
      </c>
      <c r="C1480" s="13" t="s">
        <v>15951</v>
      </c>
      <c r="D1480" s="12" t="s">
        <v>8653</v>
      </c>
      <c r="E1480" s="13" t="s">
        <v>580</v>
      </c>
      <c r="F1480" s="681">
        <v>17.53</v>
      </c>
    </row>
    <row r="1481" spans="2:6" ht="15.75" hidden="1" customHeight="1" x14ac:dyDescent="0.25">
      <c r="B1481" s="13" t="s">
        <v>556</v>
      </c>
      <c r="C1481" s="13" t="s">
        <v>15952</v>
      </c>
      <c r="D1481" s="12" t="s">
        <v>8654</v>
      </c>
      <c r="E1481" s="13" t="s">
        <v>580</v>
      </c>
      <c r="F1481" s="681">
        <v>27.48</v>
      </c>
    </row>
    <row r="1482" spans="2:6" ht="15.75" hidden="1" customHeight="1" x14ac:dyDescent="0.25">
      <c r="B1482" s="13" t="s">
        <v>556</v>
      </c>
      <c r="C1482" s="13" t="s">
        <v>15953</v>
      </c>
      <c r="D1482" s="12" t="s">
        <v>8549</v>
      </c>
      <c r="E1482" s="13" t="s">
        <v>823</v>
      </c>
      <c r="F1482" s="681">
        <v>7.91</v>
      </c>
    </row>
    <row r="1483" spans="2:6" ht="15.75" hidden="1" customHeight="1" x14ac:dyDescent="0.25">
      <c r="B1483" s="13" t="s">
        <v>556</v>
      </c>
      <c r="C1483" s="13" t="s">
        <v>15954</v>
      </c>
      <c r="D1483" s="12" t="s">
        <v>8663</v>
      </c>
      <c r="E1483" s="13" t="s">
        <v>580</v>
      </c>
      <c r="F1483" s="681">
        <v>2.0299999999999998</v>
      </c>
    </row>
    <row r="1484" spans="2:6" ht="15.75" hidden="1" customHeight="1" x14ac:dyDescent="0.25">
      <c r="B1484" s="13" t="s">
        <v>556</v>
      </c>
      <c r="C1484" s="13" t="s">
        <v>15955</v>
      </c>
      <c r="D1484" s="12" t="s">
        <v>15956</v>
      </c>
      <c r="E1484" s="13" t="s">
        <v>580</v>
      </c>
      <c r="F1484" s="681">
        <v>20.53</v>
      </c>
    </row>
    <row r="1485" spans="2:6" ht="15.75" hidden="1" customHeight="1" x14ac:dyDescent="0.25">
      <c r="B1485" s="13" t="s">
        <v>556</v>
      </c>
      <c r="C1485" s="13" t="s">
        <v>15957</v>
      </c>
      <c r="D1485" s="12" t="s">
        <v>15958</v>
      </c>
      <c r="E1485" s="13" t="s">
        <v>580</v>
      </c>
      <c r="F1485" s="681">
        <v>28.04</v>
      </c>
    </row>
    <row r="1486" spans="2:6" ht="15.75" hidden="1" customHeight="1" x14ac:dyDescent="0.25">
      <c r="B1486" s="13" t="s">
        <v>556</v>
      </c>
      <c r="C1486" s="13" t="s">
        <v>15959</v>
      </c>
      <c r="D1486" s="12" t="s">
        <v>15960</v>
      </c>
      <c r="E1486" s="13" t="s">
        <v>580</v>
      </c>
      <c r="F1486" s="681">
        <v>33.72</v>
      </c>
    </row>
    <row r="1487" spans="2:6" ht="15.75" hidden="1" customHeight="1" x14ac:dyDescent="0.25">
      <c r="B1487" s="13" t="s">
        <v>556</v>
      </c>
      <c r="C1487" s="13" t="s">
        <v>15961</v>
      </c>
      <c r="D1487" s="12" t="s">
        <v>15962</v>
      </c>
      <c r="E1487" s="13" t="s">
        <v>580</v>
      </c>
      <c r="F1487" s="681">
        <v>46.9</v>
      </c>
    </row>
    <row r="1488" spans="2:6" ht="15.75" hidden="1" customHeight="1" x14ac:dyDescent="0.25">
      <c r="B1488" s="13" t="s">
        <v>556</v>
      </c>
      <c r="C1488" s="13" t="s">
        <v>15963</v>
      </c>
      <c r="D1488" s="12" t="s">
        <v>15964</v>
      </c>
      <c r="E1488" s="13" t="s">
        <v>580</v>
      </c>
      <c r="F1488" s="681">
        <v>70.069999999999993</v>
      </c>
    </row>
    <row r="1489" spans="2:6" ht="15.75" hidden="1" customHeight="1" x14ac:dyDescent="0.25">
      <c r="B1489" s="13" t="s">
        <v>556</v>
      </c>
      <c r="C1489" s="13" t="s">
        <v>15965</v>
      </c>
      <c r="D1489" s="12" t="s">
        <v>15966</v>
      </c>
      <c r="E1489" s="13" t="s">
        <v>580</v>
      </c>
      <c r="F1489" s="681">
        <v>110.13</v>
      </c>
    </row>
    <row r="1490" spans="2:6" ht="15.75" hidden="1" customHeight="1" x14ac:dyDescent="0.25">
      <c r="B1490" s="13" t="s">
        <v>556</v>
      </c>
      <c r="C1490" s="13" t="s">
        <v>15967</v>
      </c>
      <c r="D1490" s="12" t="s">
        <v>15968</v>
      </c>
      <c r="E1490" s="13" t="s">
        <v>580</v>
      </c>
      <c r="F1490" s="681">
        <v>148.9</v>
      </c>
    </row>
    <row r="1491" spans="2:6" ht="15.75" hidden="1" customHeight="1" x14ac:dyDescent="0.25">
      <c r="B1491" s="13" t="s">
        <v>556</v>
      </c>
      <c r="C1491" s="13" t="s">
        <v>15969</v>
      </c>
      <c r="D1491" s="12" t="s">
        <v>15970</v>
      </c>
      <c r="E1491" s="13" t="s">
        <v>580</v>
      </c>
      <c r="F1491" s="681">
        <v>369.85</v>
      </c>
    </row>
    <row r="1492" spans="2:6" ht="15.75" hidden="1" customHeight="1" x14ac:dyDescent="0.25">
      <c r="B1492" s="13" t="s">
        <v>556</v>
      </c>
      <c r="C1492" s="13" t="s">
        <v>15971</v>
      </c>
      <c r="D1492" s="12" t="s">
        <v>15972</v>
      </c>
      <c r="E1492" s="13" t="s">
        <v>580</v>
      </c>
      <c r="F1492" s="681">
        <v>220.14</v>
      </c>
    </row>
    <row r="1493" spans="2:6" ht="15.75" hidden="1" customHeight="1" x14ac:dyDescent="0.25">
      <c r="B1493" s="13" t="s">
        <v>556</v>
      </c>
      <c r="C1493" s="13" t="s">
        <v>15973</v>
      </c>
      <c r="D1493" s="12" t="s">
        <v>15974</v>
      </c>
      <c r="E1493" s="13" t="s">
        <v>580</v>
      </c>
      <c r="F1493" s="681">
        <v>59.03</v>
      </c>
    </row>
    <row r="1494" spans="2:6" ht="15.75" hidden="1" customHeight="1" x14ac:dyDescent="0.25">
      <c r="B1494" s="13" t="s">
        <v>556</v>
      </c>
      <c r="C1494" s="13" t="s">
        <v>15975</v>
      </c>
      <c r="D1494" s="12" t="s">
        <v>10063</v>
      </c>
      <c r="E1494" s="13" t="s">
        <v>578</v>
      </c>
      <c r="F1494" s="681">
        <v>120.4</v>
      </c>
    </row>
    <row r="1495" spans="2:6" ht="15.75" hidden="1" customHeight="1" x14ac:dyDescent="0.25">
      <c r="B1495" s="13" t="s">
        <v>556</v>
      </c>
      <c r="C1495" s="13" t="s">
        <v>15976</v>
      </c>
      <c r="D1495" s="12" t="s">
        <v>8662</v>
      </c>
      <c r="E1495" s="13" t="s">
        <v>580</v>
      </c>
      <c r="F1495" s="681">
        <v>6.89</v>
      </c>
    </row>
    <row r="1496" spans="2:6" ht="15.75" hidden="1" customHeight="1" x14ac:dyDescent="0.25">
      <c r="B1496" s="13" t="s">
        <v>556</v>
      </c>
      <c r="C1496" s="13" t="s">
        <v>15977</v>
      </c>
      <c r="D1496" s="12" t="s">
        <v>10066</v>
      </c>
      <c r="E1496" s="13" t="s">
        <v>578</v>
      </c>
      <c r="F1496" s="681">
        <v>27.3</v>
      </c>
    </row>
    <row r="1497" spans="2:6" ht="15.75" hidden="1" customHeight="1" x14ac:dyDescent="0.25">
      <c r="B1497" s="13" t="s">
        <v>556</v>
      </c>
      <c r="C1497" s="13" t="s">
        <v>15978</v>
      </c>
      <c r="D1497" s="12" t="s">
        <v>10064</v>
      </c>
      <c r="E1497" s="13" t="s">
        <v>578</v>
      </c>
      <c r="F1497" s="681">
        <v>86.02</v>
      </c>
    </row>
    <row r="1498" spans="2:6" ht="15.75" hidden="1" customHeight="1" x14ac:dyDescent="0.25">
      <c r="B1498" s="13" t="s">
        <v>556</v>
      </c>
      <c r="C1498" s="13" t="s">
        <v>15979</v>
      </c>
      <c r="D1498" s="12" t="s">
        <v>10065</v>
      </c>
      <c r="E1498" s="13" t="s">
        <v>578</v>
      </c>
      <c r="F1498" s="681">
        <v>130</v>
      </c>
    </row>
    <row r="1499" spans="2:6" ht="15.75" hidden="1" customHeight="1" x14ac:dyDescent="0.25">
      <c r="B1499" s="13" t="s">
        <v>556</v>
      </c>
      <c r="C1499" s="13" t="s">
        <v>15980</v>
      </c>
      <c r="D1499" s="12" t="s">
        <v>10656</v>
      </c>
      <c r="E1499" s="13" t="s">
        <v>585</v>
      </c>
      <c r="F1499" s="681">
        <v>6.5</v>
      </c>
    </row>
    <row r="1500" spans="2:6" ht="15.75" hidden="1" customHeight="1" x14ac:dyDescent="0.25">
      <c r="B1500" s="13" t="s">
        <v>556</v>
      </c>
      <c r="C1500" s="13" t="s">
        <v>15981</v>
      </c>
      <c r="D1500" s="12" t="s">
        <v>8665</v>
      </c>
      <c r="E1500" s="13" t="s">
        <v>580</v>
      </c>
      <c r="F1500" s="681">
        <v>5.76</v>
      </c>
    </row>
    <row r="1501" spans="2:6" ht="15.75" hidden="1" customHeight="1" x14ac:dyDescent="0.25">
      <c r="B1501" s="13" t="s">
        <v>556</v>
      </c>
      <c r="C1501" s="13" t="s">
        <v>15982</v>
      </c>
      <c r="D1501" s="12" t="s">
        <v>15983</v>
      </c>
      <c r="E1501" s="13" t="s">
        <v>580</v>
      </c>
      <c r="F1501" s="681">
        <v>25.9</v>
      </c>
    </row>
    <row r="1502" spans="2:6" ht="15.75" hidden="1" customHeight="1" x14ac:dyDescent="0.25">
      <c r="B1502" s="13" t="s">
        <v>556</v>
      </c>
      <c r="C1502" s="13" t="s">
        <v>15984</v>
      </c>
      <c r="D1502" s="12" t="s">
        <v>15985</v>
      </c>
      <c r="E1502" s="13" t="s">
        <v>580</v>
      </c>
      <c r="F1502" s="681">
        <v>27.57</v>
      </c>
    </row>
    <row r="1503" spans="2:6" ht="15.75" hidden="1" customHeight="1" x14ac:dyDescent="0.25">
      <c r="B1503" s="13" t="s">
        <v>556</v>
      </c>
      <c r="C1503" s="13" t="s">
        <v>15986</v>
      </c>
      <c r="D1503" s="12" t="s">
        <v>15987</v>
      </c>
      <c r="E1503" s="13" t="s">
        <v>580</v>
      </c>
      <c r="F1503" s="681">
        <v>24.33</v>
      </c>
    </row>
    <row r="1504" spans="2:6" ht="15.75" hidden="1" customHeight="1" x14ac:dyDescent="0.25">
      <c r="B1504" s="13" t="s">
        <v>556</v>
      </c>
      <c r="C1504" s="13" t="s">
        <v>15988</v>
      </c>
      <c r="D1504" s="12" t="s">
        <v>15989</v>
      </c>
      <c r="E1504" s="13" t="s">
        <v>580</v>
      </c>
      <c r="F1504" s="681">
        <v>27.15</v>
      </c>
    </row>
    <row r="1505" spans="2:6" ht="15.75" hidden="1" customHeight="1" x14ac:dyDescent="0.25">
      <c r="B1505" s="13" t="s">
        <v>556</v>
      </c>
      <c r="C1505" s="13" t="s">
        <v>15990</v>
      </c>
      <c r="D1505" s="12" t="s">
        <v>15991</v>
      </c>
      <c r="E1505" s="13" t="s">
        <v>580</v>
      </c>
      <c r="F1505" s="681">
        <v>60.7</v>
      </c>
    </row>
    <row r="1506" spans="2:6" ht="15.75" hidden="1" customHeight="1" x14ac:dyDescent="0.25">
      <c r="B1506" s="13" t="s">
        <v>556</v>
      </c>
      <c r="C1506" s="13" t="s">
        <v>15992</v>
      </c>
      <c r="D1506" s="12" t="s">
        <v>8550</v>
      </c>
      <c r="E1506" s="13" t="s">
        <v>823</v>
      </c>
      <c r="F1506" s="681">
        <v>7.96</v>
      </c>
    </row>
    <row r="1507" spans="2:6" ht="15.75" hidden="1" customHeight="1" x14ac:dyDescent="0.25">
      <c r="B1507" s="13" t="s">
        <v>556</v>
      </c>
      <c r="C1507" s="13" t="s">
        <v>15993</v>
      </c>
      <c r="D1507" s="12" t="s">
        <v>15994</v>
      </c>
      <c r="E1507" s="13" t="s">
        <v>580</v>
      </c>
      <c r="F1507" s="681">
        <v>25.44</v>
      </c>
    </row>
    <row r="1508" spans="2:6" ht="15.75" hidden="1" customHeight="1" x14ac:dyDescent="0.25">
      <c r="B1508" s="13" t="s">
        <v>556</v>
      </c>
      <c r="C1508" s="13" t="s">
        <v>15995</v>
      </c>
      <c r="D1508" s="12" t="s">
        <v>10090</v>
      </c>
      <c r="E1508" s="13" t="s">
        <v>664</v>
      </c>
      <c r="F1508" s="681">
        <v>449.22</v>
      </c>
    </row>
    <row r="1509" spans="2:6" ht="15.75" hidden="1" customHeight="1" x14ac:dyDescent="0.25">
      <c r="B1509" s="13" t="s">
        <v>556</v>
      </c>
      <c r="C1509" s="13" t="s">
        <v>15996</v>
      </c>
      <c r="D1509" s="12" t="s">
        <v>10085</v>
      </c>
      <c r="E1509" s="13" t="s">
        <v>664</v>
      </c>
      <c r="F1509" s="681">
        <v>424.22</v>
      </c>
    </row>
    <row r="1510" spans="2:6" ht="15.75" hidden="1" customHeight="1" x14ac:dyDescent="0.25">
      <c r="B1510" s="13" t="s">
        <v>556</v>
      </c>
      <c r="C1510" s="13" t="s">
        <v>15997</v>
      </c>
      <c r="D1510" s="12" t="s">
        <v>8731</v>
      </c>
      <c r="E1510" s="13" t="s">
        <v>823</v>
      </c>
      <c r="F1510" s="681">
        <v>22.2</v>
      </c>
    </row>
    <row r="1511" spans="2:6" ht="15.75" hidden="1" customHeight="1" x14ac:dyDescent="0.25">
      <c r="B1511" s="13" t="s">
        <v>556</v>
      </c>
      <c r="C1511" s="13" t="s">
        <v>15998</v>
      </c>
      <c r="D1511" s="12" t="s">
        <v>8738</v>
      </c>
      <c r="E1511" s="13" t="s">
        <v>823</v>
      </c>
      <c r="F1511" s="681">
        <v>28.57</v>
      </c>
    </row>
    <row r="1512" spans="2:6" ht="15.75" hidden="1" customHeight="1" x14ac:dyDescent="0.25">
      <c r="B1512" s="13" t="s">
        <v>556</v>
      </c>
      <c r="C1512" s="13" t="s">
        <v>15999</v>
      </c>
      <c r="D1512" s="12" t="s">
        <v>10088</v>
      </c>
      <c r="E1512" s="13" t="s">
        <v>664</v>
      </c>
      <c r="F1512" s="681">
        <v>565.66999999999996</v>
      </c>
    </row>
    <row r="1513" spans="2:6" ht="15.75" hidden="1" customHeight="1" x14ac:dyDescent="0.25">
      <c r="B1513" s="13" t="s">
        <v>556</v>
      </c>
      <c r="C1513" s="13" t="s">
        <v>16000</v>
      </c>
      <c r="D1513" s="12" t="s">
        <v>10118</v>
      </c>
      <c r="E1513" s="13" t="s">
        <v>823</v>
      </c>
      <c r="F1513" s="681">
        <v>0.79</v>
      </c>
    </row>
    <row r="1514" spans="2:6" ht="15.75" hidden="1" customHeight="1" x14ac:dyDescent="0.25">
      <c r="B1514" s="13" t="s">
        <v>14150</v>
      </c>
      <c r="C1514" s="13" t="s">
        <v>16001</v>
      </c>
      <c r="D1514" s="12" t="s">
        <v>16002</v>
      </c>
      <c r="E1514" s="13" t="s">
        <v>580</v>
      </c>
      <c r="F1514" s="681">
        <v>50800</v>
      </c>
    </row>
    <row r="1515" spans="2:6" ht="15.75" hidden="1" customHeight="1" x14ac:dyDescent="0.25">
      <c r="B1515" s="13" t="s">
        <v>556</v>
      </c>
      <c r="C1515" s="13" t="s">
        <v>16003</v>
      </c>
      <c r="D1515" s="12" t="s">
        <v>10123</v>
      </c>
      <c r="E1515" s="13" t="s">
        <v>578</v>
      </c>
      <c r="F1515" s="681">
        <v>17</v>
      </c>
    </row>
    <row r="1516" spans="2:6" ht="15.75" hidden="1" customHeight="1" x14ac:dyDescent="0.25">
      <c r="B1516" s="13" t="s">
        <v>556</v>
      </c>
      <c r="C1516" s="13" t="s">
        <v>16004</v>
      </c>
      <c r="D1516" s="12" t="s">
        <v>10122</v>
      </c>
      <c r="E1516" s="13" t="s">
        <v>578</v>
      </c>
      <c r="F1516" s="681">
        <v>12.14</v>
      </c>
    </row>
    <row r="1517" spans="2:6" ht="15.75" hidden="1" customHeight="1" x14ac:dyDescent="0.25">
      <c r="B1517" s="13" t="s">
        <v>14180</v>
      </c>
      <c r="C1517" s="13" t="s">
        <v>16005</v>
      </c>
      <c r="D1517" s="12" t="s">
        <v>16006</v>
      </c>
      <c r="E1517" s="13" t="s">
        <v>2193</v>
      </c>
      <c r="F1517" s="681">
        <v>19.46</v>
      </c>
    </row>
    <row r="1518" spans="2:6" ht="15.75" hidden="1" customHeight="1" x14ac:dyDescent="0.25">
      <c r="B1518" s="13" t="s">
        <v>14180</v>
      </c>
      <c r="C1518" s="13" t="s">
        <v>16007</v>
      </c>
      <c r="D1518" s="12" t="s">
        <v>16008</v>
      </c>
      <c r="E1518" s="13" t="s">
        <v>2193</v>
      </c>
      <c r="F1518" s="681">
        <v>23.28</v>
      </c>
    </row>
    <row r="1519" spans="2:6" ht="15.75" hidden="1" customHeight="1" x14ac:dyDescent="0.25">
      <c r="B1519" s="13" t="s">
        <v>14150</v>
      </c>
      <c r="C1519" s="13" t="s">
        <v>16009</v>
      </c>
      <c r="D1519" s="12" t="s">
        <v>16010</v>
      </c>
      <c r="E1519" s="13" t="s">
        <v>580</v>
      </c>
      <c r="F1519" s="681">
        <v>143450</v>
      </c>
    </row>
    <row r="1520" spans="2:6" ht="15.75" hidden="1" customHeight="1" x14ac:dyDescent="0.25">
      <c r="B1520" s="13" t="s">
        <v>14150</v>
      </c>
      <c r="C1520" s="13" t="s">
        <v>16011</v>
      </c>
      <c r="D1520" s="12" t="s">
        <v>16012</v>
      </c>
      <c r="E1520" s="13" t="s">
        <v>580</v>
      </c>
      <c r="F1520" s="681">
        <v>335314.37</v>
      </c>
    </row>
    <row r="1521" spans="2:6" ht="15.75" hidden="1" customHeight="1" x14ac:dyDescent="0.25">
      <c r="B1521" s="13" t="s">
        <v>556</v>
      </c>
      <c r="C1521" s="13" t="s">
        <v>16013</v>
      </c>
      <c r="D1521" s="12" t="s">
        <v>10169</v>
      </c>
      <c r="E1521" s="13" t="s">
        <v>580</v>
      </c>
      <c r="F1521" s="681">
        <v>131.25</v>
      </c>
    </row>
    <row r="1522" spans="2:6" ht="15.75" hidden="1" customHeight="1" x14ac:dyDescent="0.25">
      <c r="B1522" s="13" t="s">
        <v>556</v>
      </c>
      <c r="C1522" s="13" t="s">
        <v>16014</v>
      </c>
      <c r="D1522" s="12" t="s">
        <v>10171</v>
      </c>
      <c r="E1522" s="13" t="s">
        <v>580</v>
      </c>
      <c r="F1522" s="681">
        <v>88.71</v>
      </c>
    </row>
    <row r="1523" spans="2:6" ht="15.75" hidden="1" customHeight="1" x14ac:dyDescent="0.25">
      <c r="B1523" s="13" t="s">
        <v>556</v>
      </c>
      <c r="C1523" s="13" t="s">
        <v>16015</v>
      </c>
      <c r="D1523" s="12" t="s">
        <v>10170</v>
      </c>
      <c r="E1523" s="13" t="s">
        <v>580</v>
      </c>
      <c r="F1523" s="681">
        <v>91.88</v>
      </c>
    </row>
    <row r="1524" spans="2:6" ht="15.75" hidden="1" customHeight="1" x14ac:dyDescent="0.25">
      <c r="B1524" s="13" t="s">
        <v>556</v>
      </c>
      <c r="C1524" s="13" t="s">
        <v>16016</v>
      </c>
      <c r="D1524" s="12" t="s">
        <v>11304</v>
      </c>
      <c r="E1524" s="13" t="s">
        <v>580</v>
      </c>
      <c r="F1524" s="681">
        <v>10.53</v>
      </c>
    </row>
    <row r="1525" spans="2:6" ht="15.75" hidden="1" customHeight="1" x14ac:dyDescent="0.25">
      <c r="B1525" s="13" t="s">
        <v>556</v>
      </c>
      <c r="C1525" s="13" t="s">
        <v>16017</v>
      </c>
      <c r="D1525" s="12" t="s">
        <v>8732</v>
      </c>
      <c r="E1525" s="13" t="s">
        <v>585</v>
      </c>
      <c r="F1525" s="681">
        <v>1.29</v>
      </c>
    </row>
    <row r="1526" spans="2:6" ht="15.75" hidden="1" customHeight="1" x14ac:dyDescent="0.25">
      <c r="B1526" s="13" t="s">
        <v>556</v>
      </c>
      <c r="C1526" s="13" t="s">
        <v>16018</v>
      </c>
      <c r="D1526" s="12" t="s">
        <v>10212</v>
      </c>
      <c r="E1526" s="13" t="s">
        <v>580</v>
      </c>
      <c r="F1526" s="681">
        <v>792.78</v>
      </c>
    </row>
    <row r="1527" spans="2:6" ht="15.75" hidden="1" customHeight="1" x14ac:dyDescent="0.25">
      <c r="B1527" s="13" t="s">
        <v>14153</v>
      </c>
      <c r="C1527" s="13" t="s">
        <v>16019</v>
      </c>
      <c r="D1527" s="12" t="s">
        <v>8768</v>
      </c>
      <c r="E1527" s="13" t="s">
        <v>2193</v>
      </c>
      <c r="F1527" s="681">
        <v>122.41</v>
      </c>
    </row>
    <row r="1528" spans="2:6" ht="15.75" hidden="1" customHeight="1" x14ac:dyDescent="0.25">
      <c r="B1528" s="13" t="s">
        <v>556</v>
      </c>
      <c r="C1528" s="13" t="s">
        <v>16020</v>
      </c>
      <c r="D1528" s="12" t="s">
        <v>10211</v>
      </c>
      <c r="E1528" s="13" t="s">
        <v>580</v>
      </c>
      <c r="F1528" s="681">
        <v>465.62</v>
      </c>
    </row>
    <row r="1529" spans="2:6" ht="15.75" hidden="1" customHeight="1" x14ac:dyDescent="0.25">
      <c r="B1529" s="13" t="s">
        <v>556</v>
      </c>
      <c r="C1529" s="13" t="s">
        <v>16021</v>
      </c>
      <c r="D1529" s="12" t="s">
        <v>10214</v>
      </c>
      <c r="E1529" s="13" t="s">
        <v>580</v>
      </c>
      <c r="F1529" s="681">
        <v>113.9</v>
      </c>
    </row>
    <row r="1530" spans="2:6" ht="15.75" hidden="1" customHeight="1" x14ac:dyDescent="0.25">
      <c r="B1530" s="13" t="s">
        <v>14153</v>
      </c>
      <c r="C1530" s="13" t="s">
        <v>16022</v>
      </c>
      <c r="D1530" s="12" t="s">
        <v>8770</v>
      </c>
      <c r="E1530" s="13" t="s">
        <v>2193</v>
      </c>
      <c r="F1530" s="681">
        <v>129.15</v>
      </c>
    </row>
    <row r="1531" spans="2:6" ht="15.75" hidden="1" customHeight="1" x14ac:dyDescent="0.25">
      <c r="B1531" s="13" t="s">
        <v>14153</v>
      </c>
      <c r="C1531" s="13" t="s">
        <v>16023</v>
      </c>
      <c r="D1531" s="12" t="s">
        <v>8772</v>
      </c>
      <c r="E1531" s="13" t="s">
        <v>2193</v>
      </c>
      <c r="F1531" s="681">
        <v>138.07</v>
      </c>
    </row>
    <row r="1532" spans="2:6" ht="15.75" hidden="1" customHeight="1" x14ac:dyDescent="0.25">
      <c r="B1532" s="13" t="s">
        <v>556</v>
      </c>
      <c r="C1532" s="13" t="s">
        <v>16024</v>
      </c>
      <c r="D1532" s="12" t="s">
        <v>16025</v>
      </c>
      <c r="E1532" s="13" t="s">
        <v>580</v>
      </c>
      <c r="F1532" s="681">
        <v>5.65</v>
      </c>
    </row>
    <row r="1533" spans="2:6" ht="15.75" hidden="1" customHeight="1" x14ac:dyDescent="0.25">
      <c r="B1533" s="13" t="s">
        <v>556</v>
      </c>
      <c r="C1533" s="13" t="s">
        <v>16026</v>
      </c>
      <c r="D1533" s="12" t="s">
        <v>10215</v>
      </c>
      <c r="E1533" s="13" t="s">
        <v>580</v>
      </c>
      <c r="F1533" s="681">
        <v>5.41</v>
      </c>
    </row>
    <row r="1534" spans="2:6" ht="15.75" hidden="1" customHeight="1" x14ac:dyDescent="0.25">
      <c r="B1534" s="13" t="s">
        <v>556</v>
      </c>
      <c r="C1534" s="13" t="s">
        <v>16027</v>
      </c>
      <c r="D1534" s="12" t="s">
        <v>8544</v>
      </c>
      <c r="E1534" s="13" t="s">
        <v>823</v>
      </c>
      <c r="F1534" s="681">
        <v>7.5</v>
      </c>
    </row>
    <row r="1535" spans="2:6" ht="15.75" hidden="1" customHeight="1" x14ac:dyDescent="0.25">
      <c r="B1535" s="13" t="s">
        <v>556</v>
      </c>
      <c r="C1535" s="13" t="s">
        <v>16028</v>
      </c>
      <c r="D1535" s="12" t="s">
        <v>8733</v>
      </c>
      <c r="E1535" s="13" t="s">
        <v>585</v>
      </c>
      <c r="F1535" s="681">
        <v>1.1599999999999999</v>
      </c>
    </row>
    <row r="1536" spans="2:6" ht="15.75" hidden="1" customHeight="1" x14ac:dyDescent="0.25">
      <c r="B1536" s="13" t="s">
        <v>556</v>
      </c>
      <c r="C1536" s="13" t="s">
        <v>16029</v>
      </c>
      <c r="D1536" s="12" t="s">
        <v>10210</v>
      </c>
      <c r="E1536" s="13" t="s">
        <v>580</v>
      </c>
      <c r="F1536" s="681">
        <v>88.21</v>
      </c>
    </row>
    <row r="1537" spans="2:6" ht="15.75" hidden="1" customHeight="1" x14ac:dyDescent="0.25">
      <c r="B1537" s="13" t="s">
        <v>556</v>
      </c>
      <c r="C1537" s="13" t="s">
        <v>16030</v>
      </c>
      <c r="D1537" s="12" t="s">
        <v>10213</v>
      </c>
      <c r="E1537" s="13" t="s">
        <v>580</v>
      </c>
      <c r="F1537" s="681">
        <v>27</v>
      </c>
    </row>
    <row r="1538" spans="2:6" ht="15.75" hidden="1" customHeight="1" x14ac:dyDescent="0.25">
      <c r="B1538" s="13" t="s">
        <v>556</v>
      </c>
      <c r="C1538" s="13" t="s">
        <v>16031</v>
      </c>
      <c r="D1538" s="12" t="s">
        <v>16032</v>
      </c>
      <c r="E1538" s="13" t="s">
        <v>578</v>
      </c>
      <c r="F1538" s="681">
        <v>9.91</v>
      </c>
    </row>
    <row r="1539" spans="2:6" ht="15.75" hidden="1" customHeight="1" x14ac:dyDescent="0.25">
      <c r="B1539" s="13" t="s">
        <v>556</v>
      </c>
      <c r="C1539" s="13" t="s">
        <v>16033</v>
      </c>
      <c r="D1539" s="12" t="s">
        <v>16034</v>
      </c>
      <c r="E1539" s="13" t="s">
        <v>578</v>
      </c>
      <c r="F1539" s="681">
        <v>24.77</v>
      </c>
    </row>
    <row r="1540" spans="2:6" ht="15.75" hidden="1" customHeight="1" x14ac:dyDescent="0.25">
      <c r="B1540" s="13" t="s">
        <v>556</v>
      </c>
      <c r="C1540" s="13" t="s">
        <v>16035</v>
      </c>
      <c r="D1540" s="12" t="s">
        <v>8594</v>
      </c>
      <c r="E1540" s="13" t="s">
        <v>823</v>
      </c>
      <c r="F1540" s="681">
        <v>33.72</v>
      </c>
    </row>
    <row r="1541" spans="2:6" ht="15.75" hidden="1" customHeight="1" x14ac:dyDescent="0.25">
      <c r="B1541" s="13" t="s">
        <v>556</v>
      </c>
      <c r="C1541" s="13" t="s">
        <v>16036</v>
      </c>
      <c r="D1541" s="12" t="s">
        <v>16037</v>
      </c>
      <c r="E1541" s="13" t="s">
        <v>823</v>
      </c>
      <c r="F1541" s="681">
        <v>57.18</v>
      </c>
    </row>
    <row r="1542" spans="2:6" ht="15.75" hidden="1" customHeight="1" x14ac:dyDescent="0.25">
      <c r="B1542" s="13" t="s">
        <v>556</v>
      </c>
      <c r="C1542" s="13" t="s">
        <v>16038</v>
      </c>
      <c r="D1542" s="12" t="s">
        <v>16039</v>
      </c>
      <c r="E1542" s="13" t="s">
        <v>578</v>
      </c>
      <c r="F1542" s="681">
        <v>20.37</v>
      </c>
    </row>
    <row r="1543" spans="2:6" ht="15.75" hidden="1" customHeight="1" x14ac:dyDescent="0.25">
      <c r="B1543" s="13" t="s">
        <v>556</v>
      </c>
      <c r="C1543" s="13" t="s">
        <v>16040</v>
      </c>
      <c r="D1543" s="12" t="s">
        <v>16041</v>
      </c>
      <c r="E1543" s="13" t="s">
        <v>578</v>
      </c>
      <c r="F1543" s="681">
        <v>45.86</v>
      </c>
    </row>
    <row r="1544" spans="2:6" ht="15.75" hidden="1" customHeight="1" x14ac:dyDescent="0.25">
      <c r="B1544" s="13" t="s">
        <v>556</v>
      </c>
      <c r="C1544" s="13" t="s">
        <v>16042</v>
      </c>
      <c r="D1544" s="12" t="s">
        <v>10229</v>
      </c>
      <c r="E1544" s="13" t="s">
        <v>578</v>
      </c>
      <c r="F1544" s="681">
        <v>667.8</v>
      </c>
    </row>
    <row r="1545" spans="2:6" ht="15.75" hidden="1" customHeight="1" x14ac:dyDescent="0.25">
      <c r="B1545" s="13" t="s">
        <v>556</v>
      </c>
      <c r="C1545" s="13" t="s">
        <v>16043</v>
      </c>
      <c r="D1545" s="12" t="s">
        <v>10232</v>
      </c>
      <c r="E1545" s="13" t="s">
        <v>578</v>
      </c>
      <c r="F1545" s="681">
        <v>941.76</v>
      </c>
    </row>
    <row r="1546" spans="2:6" ht="15.75" hidden="1" customHeight="1" x14ac:dyDescent="0.25">
      <c r="B1546" s="13" t="s">
        <v>556</v>
      </c>
      <c r="C1546" s="13" t="s">
        <v>16044</v>
      </c>
      <c r="D1546" s="12" t="s">
        <v>10222</v>
      </c>
      <c r="E1546" s="13" t="s">
        <v>578</v>
      </c>
      <c r="F1546" s="681">
        <v>891.67</v>
      </c>
    </row>
    <row r="1547" spans="2:6" ht="15.75" hidden="1" customHeight="1" x14ac:dyDescent="0.25">
      <c r="B1547" s="13" t="s">
        <v>556</v>
      </c>
      <c r="C1547" s="13" t="s">
        <v>16045</v>
      </c>
      <c r="D1547" s="12" t="s">
        <v>10223</v>
      </c>
      <c r="E1547" s="13" t="s">
        <v>578</v>
      </c>
      <c r="F1547" s="681">
        <v>509.45</v>
      </c>
    </row>
    <row r="1548" spans="2:6" ht="15.75" hidden="1" customHeight="1" x14ac:dyDescent="0.25">
      <c r="B1548" s="13" t="s">
        <v>556</v>
      </c>
      <c r="C1548" s="13" t="s">
        <v>16046</v>
      </c>
      <c r="D1548" s="12" t="s">
        <v>8541</v>
      </c>
      <c r="E1548" s="13" t="s">
        <v>823</v>
      </c>
      <c r="F1548" s="681">
        <v>9.09</v>
      </c>
    </row>
    <row r="1549" spans="2:6" ht="15.75" hidden="1" customHeight="1" x14ac:dyDescent="0.25">
      <c r="B1549" s="13" t="s">
        <v>14153</v>
      </c>
      <c r="C1549" s="13" t="s">
        <v>16047</v>
      </c>
      <c r="D1549" s="12" t="s">
        <v>11880</v>
      </c>
      <c r="E1549" s="13" t="s">
        <v>2193</v>
      </c>
      <c r="F1549" s="681">
        <v>22.92</v>
      </c>
    </row>
    <row r="1550" spans="2:6" ht="15.75" hidden="1" customHeight="1" x14ac:dyDescent="0.25">
      <c r="B1550" s="13" t="s">
        <v>556</v>
      </c>
      <c r="C1550" s="13" t="s">
        <v>16048</v>
      </c>
      <c r="D1550" s="12" t="s">
        <v>9405</v>
      </c>
      <c r="E1550" s="13" t="s">
        <v>585</v>
      </c>
      <c r="F1550" s="681">
        <v>15.84</v>
      </c>
    </row>
    <row r="1551" spans="2:6" ht="15.75" hidden="1" customHeight="1" x14ac:dyDescent="0.25">
      <c r="B1551" s="13" t="s">
        <v>556</v>
      </c>
      <c r="C1551" s="13" t="s">
        <v>16049</v>
      </c>
      <c r="D1551" s="12" t="s">
        <v>9404</v>
      </c>
      <c r="E1551" s="13" t="s">
        <v>585</v>
      </c>
      <c r="F1551" s="681">
        <v>22.16</v>
      </c>
    </row>
    <row r="1552" spans="2:6" ht="15.75" hidden="1" customHeight="1" x14ac:dyDescent="0.25">
      <c r="B1552" s="13" t="s">
        <v>556</v>
      </c>
      <c r="C1552" s="13" t="s">
        <v>16050</v>
      </c>
      <c r="D1552" s="12" t="s">
        <v>10174</v>
      </c>
      <c r="E1552" s="13" t="s">
        <v>580</v>
      </c>
      <c r="F1552" s="681">
        <v>27.13</v>
      </c>
    </row>
    <row r="1553" spans="2:6" ht="15.75" hidden="1" customHeight="1" x14ac:dyDescent="0.25">
      <c r="B1553" s="13" t="s">
        <v>556</v>
      </c>
      <c r="C1553" s="13" t="s">
        <v>16051</v>
      </c>
      <c r="D1553" s="12" t="s">
        <v>8746</v>
      </c>
      <c r="E1553" s="13" t="s">
        <v>823</v>
      </c>
      <c r="F1553" s="681">
        <v>1.49</v>
      </c>
    </row>
    <row r="1554" spans="2:6" ht="15.75" hidden="1" customHeight="1" x14ac:dyDescent="0.25">
      <c r="B1554" s="13" t="s">
        <v>556</v>
      </c>
      <c r="C1554" s="13" t="s">
        <v>16052</v>
      </c>
      <c r="D1554" s="12" t="s">
        <v>8753</v>
      </c>
      <c r="E1554" s="13" t="s">
        <v>823</v>
      </c>
      <c r="F1554" s="681">
        <v>2.2999999999999998</v>
      </c>
    </row>
    <row r="1555" spans="2:6" ht="15.75" hidden="1" customHeight="1" x14ac:dyDescent="0.25">
      <c r="B1555" s="13" t="s">
        <v>556</v>
      </c>
      <c r="C1555" s="13" t="s">
        <v>16053</v>
      </c>
      <c r="D1555" s="12" t="s">
        <v>11199</v>
      </c>
      <c r="E1555" s="13" t="s">
        <v>823</v>
      </c>
      <c r="F1555" s="681">
        <v>4.6900000000000004</v>
      </c>
    </row>
    <row r="1556" spans="2:6" ht="15.75" hidden="1" customHeight="1" x14ac:dyDescent="0.25">
      <c r="B1556" s="13" t="s">
        <v>556</v>
      </c>
      <c r="C1556" s="13" t="s">
        <v>16054</v>
      </c>
      <c r="D1556" s="12" t="s">
        <v>9632</v>
      </c>
      <c r="E1556" s="13" t="s">
        <v>580</v>
      </c>
      <c r="F1556" s="681">
        <v>11.55</v>
      </c>
    </row>
    <row r="1557" spans="2:6" ht="15.75" hidden="1" customHeight="1" x14ac:dyDescent="0.25">
      <c r="B1557" s="13" t="s">
        <v>556</v>
      </c>
      <c r="C1557" s="13" t="s">
        <v>16055</v>
      </c>
      <c r="D1557" s="12" t="s">
        <v>10898</v>
      </c>
      <c r="E1557" s="13" t="s">
        <v>823</v>
      </c>
      <c r="F1557" s="681">
        <v>45.42</v>
      </c>
    </row>
    <row r="1558" spans="2:6" ht="15.75" hidden="1" customHeight="1" x14ac:dyDescent="0.25">
      <c r="B1558" s="13" t="s">
        <v>556</v>
      </c>
      <c r="C1558" s="13" t="s">
        <v>16056</v>
      </c>
      <c r="D1558" s="12" t="s">
        <v>10687</v>
      </c>
      <c r="E1558" s="13" t="s">
        <v>823</v>
      </c>
      <c r="F1558" s="681">
        <v>16.2</v>
      </c>
    </row>
    <row r="1559" spans="2:6" ht="15.75" hidden="1" customHeight="1" x14ac:dyDescent="0.25">
      <c r="B1559" s="13" t="s">
        <v>556</v>
      </c>
      <c r="C1559" s="13" t="s">
        <v>16057</v>
      </c>
      <c r="D1559" s="12" t="s">
        <v>10228</v>
      </c>
      <c r="E1559" s="13" t="s">
        <v>580</v>
      </c>
      <c r="F1559" s="681">
        <v>704.83</v>
      </c>
    </row>
    <row r="1560" spans="2:6" ht="15.75" hidden="1" customHeight="1" x14ac:dyDescent="0.25">
      <c r="B1560" s="13" t="s">
        <v>556</v>
      </c>
      <c r="C1560" s="13" t="s">
        <v>16058</v>
      </c>
      <c r="D1560" s="12" t="s">
        <v>10225</v>
      </c>
      <c r="E1560" s="13" t="s">
        <v>580</v>
      </c>
      <c r="F1560" s="681">
        <v>536.21</v>
      </c>
    </row>
    <row r="1561" spans="2:6" ht="15.75" hidden="1" customHeight="1" x14ac:dyDescent="0.25">
      <c r="B1561" s="13" t="s">
        <v>556</v>
      </c>
      <c r="C1561" s="13" t="s">
        <v>16059</v>
      </c>
      <c r="D1561" s="12" t="s">
        <v>10227</v>
      </c>
      <c r="E1561" s="13" t="s">
        <v>580</v>
      </c>
      <c r="F1561" s="681">
        <v>747.13</v>
      </c>
    </row>
    <row r="1562" spans="2:6" ht="15.75" hidden="1" customHeight="1" x14ac:dyDescent="0.25">
      <c r="B1562" s="13" t="s">
        <v>556</v>
      </c>
      <c r="C1562" s="13" t="s">
        <v>16060</v>
      </c>
      <c r="D1562" s="12" t="s">
        <v>10217</v>
      </c>
      <c r="E1562" s="13" t="s">
        <v>578</v>
      </c>
      <c r="F1562" s="681">
        <v>601.13</v>
      </c>
    </row>
    <row r="1563" spans="2:6" ht="15.75" hidden="1" customHeight="1" x14ac:dyDescent="0.25">
      <c r="B1563" s="13" t="s">
        <v>556</v>
      </c>
      <c r="C1563" s="13" t="s">
        <v>16061</v>
      </c>
      <c r="D1563" s="12" t="s">
        <v>10218</v>
      </c>
      <c r="E1563" s="13" t="s">
        <v>580</v>
      </c>
      <c r="F1563" s="681">
        <v>214.81</v>
      </c>
    </row>
    <row r="1564" spans="2:6" ht="15.75" hidden="1" customHeight="1" x14ac:dyDescent="0.25">
      <c r="B1564" s="13" t="s">
        <v>556</v>
      </c>
      <c r="C1564" s="13" t="s">
        <v>16062</v>
      </c>
      <c r="D1564" s="12" t="s">
        <v>10233</v>
      </c>
      <c r="E1564" s="13" t="s">
        <v>580</v>
      </c>
      <c r="F1564" s="681">
        <v>306.37</v>
      </c>
    </row>
    <row r="1565" spans="2:6" ht="15.75" hidden="1" customHeight="1" x14ac:dyDescent="0.25">
      <c r="B1565" s="13" t="s">
        <v>556</v>
      </c>
      <c r="C1565" s="13" t="s">
        <v>16063</v>
      </c>
      <c r="D1565" s="12" t="s">
        <v>10080</v>
      </c>
      <c r="E1565" s="13" t="s">
        <v>580</v>
      </c>
      <c r="F1565" s="681">
        <v>1464.18</v>
      </c>
    </row>
    <row r="1566" spans="2:6" ht="15.75" hidden="1" customHeight="1" x14ac:dyDescent="0.25">
      <c r="B1566" s="13" t="s">
        <v>556</v>
      </c>
      <c r="C1566" s="13" t="s">
        <v>16064</v>
      </c>
      <c r="D1566" s="12" t="s">
        <v>11863</v>
      </c>
      <c r="E1566" s="13" t="s">
        <v>578</v>
      </c>
      <c r="F1566" s="681">
        <v>450</v>
      </c>
    </row>
    <row r="1567" spans="2:6" ht="15.75" hidden="1" customHeight="1" x14ac:dyDescent="0.25">
      <c r="B1567" s="13" t="s">
        <v>556</v>
      </c>
      <c r="C1567" s="13" t="s">
        <v>16065</v>
      </c>
      <c r="D1567" s="12" t="s">
        <v>11861</v>
      </c>
      <c r="E1567" s="13" t="s">
        <v>578</v>
      </c>
      <c r="F1567" s="681">
        <v>372</v>
      </c>
    </row>
    <row r="1568" spans="2:6" ht="15.75" hidden="1" customHeight="1" x14ac:dyDescent="0.25">
      <c r="B1568" s="13" t="s">
        <v>556</v>
      </c>
      <c r="C1568" s="13" t="s">
        <v>16066</v>
      </c>
      <c r="D1568" s="12" t="s">
        <v>11856</v>
      </c>
      <c r="E1568" s="13" t="s">
        <v>578</v>
      </c>
      <c r="F1568" s="681">
        <v>450</v>
      </c>
    </row>
    <row r="1569" spans="2:6" ht="15.75" hidden="1" customHeight="1" x14ac:dyDescent="0.25">
      <c r="B1569" s="13" t="s">
        <v>556</v>
      </c>
      <c r="C1569" s="13" t="s">
        <v>16067</v>
      </c>
      <c r="D1569" s="12" t="s">
        <v>11852</v>
      </c>
      <c r="E1569" s="13" t="s">
        <v>578</v>
      </c>
      <c r="F1569" s="681">
        <v>484.5</v>
      </c>
    </row>
    <row r="1570" spans="2:6" ht="15.75" hidden="1" customHeight="1" x14ac:dyDescent="0.25">
      <c r="B1570" s="13" t="s">
        <v>556</v>
      </c>
      <c r="C1570" s="13" t="s">
        <v>16068</v>
      </c>
      <c r="D1570" s="12" t="s">
        <v>11851</v>
      </c>
      <c r="E1570" s="13" t="s">
        <v>578</v>
      </c>
      <c r="F1570" s="681">
        <v>298.47000000000003</v>
      </c>
    </row>
    <row r="1571" spans="2:6" ht="15.75" hidden="1" customHeight="1" x14ac:dyDescent="0.25">
      <c r="B1571" s="13" t="s">
        <v>556</v>
      </c>
      <c r="C1571" s="13" t="s">
        <v>16069</v>
      </c>
      <c r="D1571" s="12" t="s">
        <v>11850</v>
      </c>
      <c r="E1571" s="13" t="s">
        <v>578</v>
      </c>
      <c r="F1571" s="681">
        <v>210</v>
      </c>
    </row>
    <row r="1572" spans="2:6" ht="15.75" hidden="1" customHeight="1" x14ac:dyDescent="0.25">
      <c r="B1572" s="13" t="s">
        <v>556</v>
      </c>
      <c r="C1572" s="13" t="s">
        <v>16070</v>
      </c>
      <c r="D1572" s="12" t="s">
        <v>11849</v>
      </c>
      <c r="E1572" s="13" t="s">
        <v>578</v>
      </c>
      <c r="F1572" s="681">
        <v>671.99</v>
      </c>
    </row>
    <row r="1573" spans="2:6" ht="15.75" hidden="1" customHeight="1" x14ac:dyDescent="0.25">
      <c r="B1573" s="13" t="s">
        <v>556</v>
      </c>
      <c r="C1573" s="13" t="s">
        <v>16071</v>
      </c>
      <c r="D1573" s="12" t="s">
        <v>11845</v>
      </c>
      <c r="E1573" s="13" t="s">
        <v>578</v>
      </c>
      <c r="F1573" s="681">
        <v>861.75</v>
      </c>
    </row>
    <row r="1574" spans="2:6" ht="15.75" hidden="1" customHeight="1" x14ac:dyDescent="0.25">
      <c r="B1574" s="13" t="s">
        <v>556</v>
      </c>
      <c r="C1574" s="13" t="s">
        <v>16072</v>
      </c>
      <c r="D1574" s="12" t="s">
        <v>8735</v>
      </c>
      <c r="E1574" s="13" t="s">
        <v>823</v>
      </c>
      <c r="F1574" s="681">
        <v>27.81</v>
      </c>
    </row>
    <row r="1575" spans="2:6" ht="15.75" hidden="1" customHeight="1" x14ac:dyDescent="0.25">
      <c r="B1575" s="13" t="s">
        <v>556</v>
      </c>
      <c r="C1575" s="13" t="s">
        <v>16073</v>
      </c>
      <c r="D1575" s="12" t="s">
        <v>11560</v>
      </c>
      <c r="E1575" s="13" t="s">
        <v>580</v>
      </c>
      <c r="F1575" s="681">
        <v>4.3499999999999996</v>
      </c>
    </row>
    <row r="1576" spans="2:6" ht="15.75" hidden="1" customHeight="1" x14ac:dyDescent="0.25">
      <c r="B1576" s="13" t="s">
        <v>556</v>
      </c>
      <c r="C1576" s="13" t="s">
        <v>16074</v>
      </c>
      <c r="D1576" s="12" t="s">
        <v>11556</v>
      </c>
      <c r="E1576" s="13" t="s">
        <v>580</v>
      </c>
      <c r="F1576" s="681">
        <v>1.56</v>
      </c>
    </row>
    <row r="1577" spans="2:6" ht="15.75" hidden="1" customHeight="1" x14ac:dyDescent="0.25">
      <c r="B1577" s="13" t="s">
        <v>556</v>
      </c>
      <c r="C1577" s="13" t="s">
        <v>16075</v>
      </c>
      <c r="D1577" s="12" t="s">
        <v>11500</v>
      </c>
      <c r="E1577" s="13" t="s">
        <v>580</v>
      </c>
      <c r="F1577" s="681">
        <v>175.38</v>
      </c>
    </row>
    <row r="1578" spans="2:6" ht="15.75" hidden="1" customHeight="1" x14ac:dyDescent="0.25">
      <c r="B1578" s="13" t="s">
        <v>556</v>
      </c>
      <c r="C1578" s="13" t="s">
        <v>16076</v>
      </c>
      <c r="D1578" s="12" t="s">
        <v>16077</v>
      </c>
      <c r="E1578" s="13" t="s">
        <v>580</v>
      </c>
      <c r="F1578" s="681">
        <v>9.23</v>
      </c>
    </row>
    <row r="1579" spans="2:6" ht="15.75" hidden="1" customHeight="1" x14ac:dyDescent="0.25">
      <c r="B1579" s="13" t="s">
        <v>556</v>
      </c>
      <c r="C1579" s="13" t="s">
        <v>16078</v>
      </c>
      <c r="D1579" s="12" t="s">
        <v>11491</v>
      </c>
      <c r="E1579" s="13" t="s">
        <v>580</v>
      </c>
      <c r="F1579" s="681">
        <v>18.57</v>
      </c>
    </row>
    <row r="1580" spans="2:6" ht="15.75" hidden="1" customHeight="1" x14ac:dyDescent="0.25">
      <c r="B1580" s="13" t="s">
        <v>556</v>
      </c>
      <c r="C1580" s="13" t="s">
        <v>16079</v>
      </c>
      <c r="D1580" s="12" t="s">
        <v>16080</v>
      </c>
      <c r="E1580" s="13" t="s">
        <v>580</v>
      </c>
      <c r="F1580" s="681">
        <v>13.8</v>
      </c>
    </row>
    <row r="1581" spans="2:6" ht="15.75" hidden="1" customHeight="1" x14ac:dyDescent="0.25">
      <c r="B1581" s="13" t="s">
        <v>556</v>
      </c>
      <c r="C1581" s="13" t="s">
        <v>16081</v>
      </c>
      <c r="D1581" s="12" t="s">
        <v>11502</v>
      </c>
      <c r="E1581" s="13" t="s">
        <v>580</v>
      </c>
      <c r="F1581" s="681">
        <v>112.66</v>
      </c>
    </row>
    <row r="1582" spans="2:6" ht="15.75" hidden="1" customHeight="1" x14ac:dyDescent="0.25">
      <c r="B1582" s="13" t="s">
        <v>556</v>
      </c>
      <c r="C1582" s="13" t="s">
        <v>16082</v>
      </c>
      <c r="D1582" s="12" t="s">
        <v>16083</v>
      </c>
      <c r="E1582" s="13" t="s">
        <v>580</v>
      </c>
      <c r="F1582" s="681">
        <v>23.22</v>
      </c>
    </row>
    <row r="1583" spans="2:6" ht="15.75" hidden="1" customHeight="1" x14ac:dyDescent="0.25">
      <c r="B1583" s="13" t="s">
        <v>556</v>
      </c>
      <c r="C1583" s="13" t="s">
        <v>16084</v>
      </c>
      <c r="D1583" s="12" t="s">
        <v>16085</v>
      </c>
      <c r="E1583" s="13" t="s">
        <v>580</v>
      </c>
      <c r="F1583" s="681">
        <v>20.13</v>
      </c>
    </row>
    <row r="1584" spans="2:6" ht="15.75" hidden="1" customHeight="1" x14ac:dyDescent="0.25">
      <c r="B1584" s="13" t="s">
        <v>556</v>
      </c>
      <c r="C1584" s="13" t="s">
        <v>16086</v>
      </c>
      <c r="D1584" s="12" t="s">
        <v>11514</v>
      </c>
      <c r="E1584" s="13" t="s">
        <v>580</v>
      </c>
      <c r="F1584" s="681">
        <v>682.48</v>
      </c>
    </row>
    <row r="1585" spans="2:6" ht="15.75" hidden="1" customHeight="1" x14ac:dyDescent="0.25">
      <c r="B1585" s="13" t="s">
        <v>556</v>
      </c>
      <c r="C1585" s="13" t="s">
        <v>16087</v>
      </c>
      <c r="D1585" s="12" t="s">
        <v>8548</v>
      </c>
      <c r="E1585" s="13" t="s">
        <v>823</v>
      </c>
      <c r="F1585" s="681">
        <v>8.8000000000000007</v>
      </c>
    </row>
    <row r="1586" spans="2:6" ht="15.75" hidden="1" customHeight="1" x14ac:dyDescent="0.25">
      <c r="B1586" s="13" t="s">
        <v>556</v>
      </c>
      <c r="C1586" s="13" t="s">
        <v>16088</v>
      </c>
      <c r="D1586" s="12" t="s">
        <v>16089</v>
      </c>
      <c r="E1586" s="13" t="s">
        <v>580</v>
      </c>
      <c r="F1586" s="681">
        <v>32.700000000000003</v>
      </c>
    </row>
    <row r="1587" spans="2:6" ht="15.75" hidden="1" customHeight="1" x14ac:dyDescent="0.25">
      <c r="B1587" s="13" t="s">
        <v>556</v>
      </c>
      <c r="C1587" s="13" t="s">
        <v>16090</v>
      </c>
      <c r="D1587" s="12" t="s">
        <v>11484</v>
      </c>
      <c r="E1587" s="13" t="s">
        <v>580</v>
      </c>
      <c r="F1587" s="681">
        <v>139.51</v>
      </c>
    </row>
    <row r="1588" spans="2:6" ht="15.75" hidden="1" customHeight="1" x14ac:dyDescent="0.25">
      <c r="B1588" s="13" t="s">
        <v>556</v>
      </c>
      <c r="C1588" s="13" t="s">
        <v>16091</v>
      </c>
      <c r="D1588" s="12" t="s">
        <v>16092</v>
      </c>
      <c r="E1588" s="13" t="s">
        <v>580</v>
      </c>
      <c r="F1588" s="681">
        <v>40.06</v>
      </c>
    </row>
    <row r="1589" spans="2:6" ht="15.75" hidden="1" customHeight="1" x14ac:dyDescent="0.25">
      <c r="B1589" s="13" t="s">
        <v>556</v>
      </c>
      <c r="C1589" s="13" t="s">
        <v>16093</v>
      </c>
      <c r="D1589" s="12" t="s">
        <v>11485</v>
      </c>
      <c r="E1589" s="13" t="s">
        <v>580</v>
      </c>
      <c r="F1589" s="681">
        <v>207.67</v>
      </c>
    </row>
    <row r="1590" spans="2:6" ht="15.75" hidden="1" customHeight="1" x14ac:dyDescent="0.25">
      <c r="B1590" s="13" t="s">
        <v>14153</v>
      </c>
      <c r="C1590" s="13" t="s">
        <v>16094</v>
      </c>
      <c r="D1590" s="12" t="s">
        <v>8623</v>
      </c>
      <c r="E1590" s="13" t="s">
        <v>2193</v>
      </c>
      <c r="F1590" s="681">
        <v>22.81</v>
      </c>
    </row>
    <row r="1591" spans="2:6" ht="15.75" hidden="1" customHeight="1" x14ac:dyDescent="0.25">
      <c r="B1591" s="13" t="s">
        <v>556</v>
      </c>
      <c r="C1591" s="13" t="s">
        <v>16095</v>
      </c>
      <c r="D1591" s="12" t="s">
        <v>11486</v>
      </c>
      <c r="E1591" s="13" t="s">
        <v>580</v>
      </c>
      <c r="F1591" s="681">
        <v>261.82</v>
      </c>
    </row>
    <row r="1592" spans="2:6" ht="15.75" hidden="1" customHeight="1" x14ac:dyDescent="0.25">
      <c r="B1592" s="13" t="s">
        <v>14150</v>
      </c>
      <c r="C1592" s="13" t="s">
        <v>16096</v>
      </c>
      <c r="D1592" s="12" t="s">
        <v>16097</v>
      </c>
      <c r="E1592" s="13" t="s">
        <v>580</v>
      </c>
      <c r="F1592" s="681">
        <v>11310.87</v>
      </c>
    </row>
    <row r="1593" spans="2:6" ht="15.75" hidden="1" customHeight="1" x14ac:dyDescent="0.25">
      <c r="B1593" s="13" t="s">
        <v>556</v>
      </c>
      <c r="C1593" s="13" t="s">
        <v>16098</v>
      </c>
      <c r="D1593" s="12" t="s">
        <v>16099</v>
      </c>
      <c r="E1593" s="13" t="s">
        <v>580</v>
      </c>
      <c r="F1593" s="681">
        <v>58.25</v>
      </c>
    </row>
    <row r="1594" spans="2:6" ht="15.75" hidden="1" customHeight="1" x14ac:dyDescent="0.25">
      <c r="B1594" s="13" t="s">
        <v>14150</v>
      </c>
      <c r="C1594" s="13" t="s">
        <v>16100</v>
      </c>
      <c r="D1594" s="12" t="s">
        <v>16101</v>
      </c>
      <c r="E1594" s="13" t="s">
        <v>580</v>
      </c>
      <c r="F1594" s="681">
        <v>3480</v>
      </c>
    </row>
    <row r="1595" spans="2:6" ht="15.75" hidden="1" customHeight="1" x14ac:dyDescent="0.25">
      <c r="B1595" s="13" t="s">
        <v>556</v>
      </c>
      <c r="C1595" s="13" t="s">
        <v>16102</v>
      </c>
      <c r="D1595" s="12" t="s">
        <v>11487</v>
      </c>
      <c r="E1595" s="13" t="s">
        <v>580</v>
      </c>
      <c r="F1595" s="681">
        <v>158.83000000000001</v>
      </c>
    </row>
    <row r="1596" spans="2:6" ht="15.75" hidden="1" customHeight="1" x14ac:dyDescent="0.25">
      <c r="B1596" s="13" t="s">
        <v>14150</v>
      </c>
      <c r="C1596" s="13" t="s">
        <v>16103</v>
      </c>
      <c r="D1596" s="12" t="s">
        <v>16104</v>
      </c>
      <c r="E1596" s="13" t="s">
        <v>580</v>
      </c>
      <c r="F1596" s="681">
        <v>5899.09</v>
      </c>
    </row>
    <row r="1597" spans="2:6" ht="15.75" hidden="1" customHeight="1" x14ac:dyDescent="0.25">
      <c r="B1597" s="13" t="s">
        <v>14150</v>
      </c>
      <c r="C1597" s="13" t="s">
        <v>16105</v>
      </c>
      <c r="D1597" s="12" t="s">
        <v>16106</v>
      </c>
      <c r="E1597" s="13" t="s">
        <v>580</v>
      </c>
      <c r="F1597" s="681">
        <v>7829.24</v>
      </c>
    </row>
    <row r="1598" spans="2:6" ht="15.75" hidden="1" customHeight="1" x14ac:dyDescent="0.25">
      <c r="B1598" s="13" t="s">
        <v>556</v>
      </c>
      <c r="C1598" s="13" t="s">
        <v>16107</v>
      </c>
      <c r="D1598" s="12" t="s">
        <v>9429</v>
      </c>
      <c r="E1598" s="13" t="s">
        <v>664</v>
      </c>
      <c r="F1598" s="681">
        <v>511</v>
      </c>
    </row>
    <row r="1599" spans="2:6" ht="15.75" hidden="1" customHeight="1" x14ac:dyDescent="0.25">
      <c r="B1599" s="13" t="s">
        <v>556</v>
      </c>
      <c r="C1599" s="13" t="s">
        <v>16108</v>
      </c>
      <c r="D1599" s="12" t="s">
        <v>16109</v>
      </c>
      <c r="E1599" s="13" t="s">
        <v>580</v>
      </c>
      <c r="F1599" s="681">
        <v>164.62</v>
      </c>
    </row>
    <row r="1600" spans="2:6" ht="15.75" hidden="1" customHeight="1" x14ac:dyDescent="0.25">
      <c r="B1600" s="13" t="s">
        <v>556</v>
      </c>
      <c r="C1600" s="13" t="s">
        <v>16110</v>
      </c>
      <c r="D1600" s="12" t="s">
        <v>11488</v>
      </c>
      <c r="E1600" s="13" t="s">
        <v>580</v>
      </c>
      <c r="F1600" s="681">
        <v>293.52</v>
      </c>
    </row>
    <row r="1601" spans="2:6" ht="15.75" hidden="1" customHeight="1" x14ac:dyDescent="0.25">
      <c r="B1601" s="13" t="s">
        <v>556</v>
      </c>
      <c r="C1601" s="13" t="s">
        <v>16111</v>
      </c>
      <c r="D1601" s="12" t="s">
        <v>9431</v>
      </c>
      <c r="E1601" s="13" t="s">
        <v>664</v>
      </c>
      <c r="F1601" s="681">
        <v>533.94000000000005</v>
      </c>
    </row>
    <row r="1602" spans="2:6" ht="15.75" hidden="1" customHeight="1" x14ac:dyDescent="0.25">
      <c r="B1602" s="13" t="s">
        <v>14150</v>
      </c>
      <c r="C1602" s="13" t="s">
        <v>16112</v>
      </c>
      <c r="D1602" s="12" t="s">
        <v>16113</v>
      </c>
      <c r="E1602" s="13" t="s">
        <v>580</v>
      </c>
      <c r="F1602" s="681">
        <v>7312.08</v>
      </c>
    </row>
    <row r="1603" spans="2:6" ht="15.75" hidden="1" customHeight="1" x14ac:dyDescent="0.25">
      <c r="B1603" s="13" t="s">
        <v>556</v>
      </c>
      <c r="C1603" s="13" t="s">
        <v>16114</v>
      </c>
      <c r="D1603" s="12" t="s">
        <v>9432</v>
      </c>
      <c r="E1603" s="13" t="s">
        <v>664</v>
      </c>
      <c r="F1603" s="681">
        <v>570.48</v>
      </c>
    </row>
    <row r="1604" spans="2:6" ht="15.75" hidden="1" customHeight="1" x14ac:dyDescent="0.25">
      <c r="B1604" s="13" t="s">
        <v>556</v>
      </c>
      <c r="C1604" s="13" t="s">
        <v>16115</v>
      </c>
      <c r="D1604" s="12" t="s">
        <v>9433</v>
      </c>
      <c r="E1604" s="13" t="s">
        <v>664</v>
      </c>
      <c r="F1604" s="681">
        <v>610.05999999999995</v>
      </c>
    </row>
    <row r="1605" spans="2:6" ht="15.75" hidden="1" customHeight="1" x14ac:dyDescent="0.25">
      <c r="B1605" s="13" t="s">
        <v>556</v>
      </c>
      <c r="C1605" s="13" t="s">
        <v>16116</v>
      </c>
      <c r="D1605" s="12" t="s">
        <v>11489</v>
      </c>
      <c r="E1605" s="13" t="s">
        <v>580</v>
      </c>
      <c r="F1605" s="681">
        <v>347.52</v>
      </c>
    </row>
    <row r="1606" spans="2:6" ht="15.75" hidden="1" customHeight="1" x14ac:dyDescent="0.25">
      <c r="B1606" s="13" t="s">
        <v>556</v>
      </c>
      <c r="C1606" s="13" t="s">
        <v>16117</v>
      </c>
      <c r="D1606" s="12" t="s">
        <v>16118</v>
      </c>
      <c r="E1606" s="13" t="s">
        <v>580</v>
      </c>
      <c r="F1606" s="681">
        <v>288.45</v>
      </c>
    </row>
    <row r="1607" spans="2:6" ht="15.75" hidden="1" customHeight="1" x14ac:dyDescent="0.25">
      <c r="B1607" s="13" t="s">
        <v>556</v>
      </c>
      <c r="C1607" s="13" t="s">
        <v>16119</v>
      </c>
      <c r="D1607" s="12" t="s">
        <v>9409</v>
      </c>
      <c r="E1607" s="13" t="s">
        <v>664</v>
      </c>
      <c r="F1607" s="681">
        <v>511</v>
      </c>
    </row>
    <row r="1608" spans="2:6" ht="15.75" hidden="1" customHeight="1" x14ac:dyDescent="0.25">
      <c r="B1608" s="13" t="s">
        <v>556</v>
      </c>
      <c r="C1608" s="13" t="s">
        <v>16120</v>
      </c>
      <c r="D1608" s="12" t="s">
        <v>9414</v>
      </c>
      <c r="E1608" s="13" t="s">
        <v>664</v>
      </c>
      <c r="F1608" s="681">
        <v>420</v>
      </c>
    </row>
    <row r="1609" spans="2:6" ht="15.75" hidden="1" customHeight="1" x14ac:dyDescent="0.25">
      <c r="B1609" s="13" t="s">
        <v>556</v>
      </c>
      <c r="C1609" s="13" t="s">
        <v>16121</v>
      </c>
      <c r="D1609" s="12" t="s">
        <v>9419</v>
      </c>
      <c r="E1609" s="13" t="s">
        <v>664</v>
      </c>
      <c r="F1609" s="681">
        <v>431.83</v>
      </c>
    </row>
    <row r="1610" spans="2:6" ht="15.75" hidden="1" customHeight="1" x14ac:dyDescent="0.25">
      <c r="B1610" s="13" t="s">
        <v>556</v>
      </c>
      <c r="C1610" s="13" t="s">
        <v>16122</v>
      </c>
      <c r="D1610" s="12" t="s">
        <v>9423</v>
      </c>
      <c r="E1610" s="13" t="s">
        <v>664</v>
      </c>
      <c r="F1610" s="681">
        <v>446.23</v>
      </c>
    </row>
    <row r="1611" spans="2:6" ht="15.75" hidden="1" customHeight="1" x14ac:dyDescent="0.25">
      <c r="B1611" s="13" t="s">
        <v>556</v>
      </c>
      <c r="C1611" s="13" t="s">
        <v>16123</v>
      </c>
      <c r="D1611" s="12" t="s">
        <v>9428</v>
      </c>
      <c r="E1611" s="13" t="s">
        <v>664</v>
      </c>
      <c r="F1611" s="681">
        <v>460.62</v>
      </c>
    </row>
    <row r="1612" spans="2:6" ht="15.75" hidden="1" customHeight="1" x14ac:dyDescent="0.25">
      <c r="B1612" s="13" t="s">
        <v>556</v>
      </c>
      <c r="C1612" s="13" t="s">
        <v>16124</v>
      </c>
      <c r="D1612" s="12" t="s">
        <v>9430</v>
      </c>
      <c r="E1612" s="13" t="s">
        <v>664</v>
      </c>
      <c r="F1612" s="681">
        <v>480.51</v>
      </c>
    </row>
    <row r="1613" spans="2:6" ht="15.75" hidden="1" customHeight="1" x14ac:dyDescent="0.25">
      <c r="B1613" s="13" t="s">
        <v>556</v>
      </c>
      <c r="C1613" s="13" t="s">
        <v>16125</v>
      </c>
      <c r="D1613" s="12" t="s">
        <v>9499</v>
      </c>
      <c r="E1613" s="13" t="s">
        <v>580</v>
      </c>
      <c r="F1613" s="681">
        <v>116.4</v>
      </c>
    </row>
    <row r="1614" spans="2:6" ht="15.75" hidden="1" customHeight="1" x14ac:dyDescent="0.25">
      <c r="B1614" s="13" t="s">
        <v>556</v>
      </c>
      <c r="C1614" s="13" t="s">
        <v>16126</v>
      </c>
      <c r="D1614" s="12" t="s">
        <v>8736</v>
      </c>
      <c r="E1614" s="13" t="s">
        <v>823</v>
      </c>
      <c r="F1614" s="681">
        <v>30.18</v>
      </c>
    </row>
    <row r="1615" spans="2:6" ht="15.75" hidden="1" customHeight="1" x14ac:dyDescent="0.25">
      <c r="B1615" s="13" t="s">
        <v>556</v>
      </c>
      <c r="C1615" s="13" t="s">
        <v>16127</v>
      </c>
      <c r="D1615" s="12" t="s">
        <v>16128</v>
      </c>
      <c r="E1615" s="13" t="s">
        <v>580</v>
      </c>
      <c r="F1615" s="681">
        <v>10.82</v>
      </c>
    </row>
    <row r="1616" spans="2:6" ht="15.75" hidden="1" customHeight="1" x14ac:dyDescent="0.25">
      <c r="B1616" s="13" t="s">
        <v>556</v>
      </c>
      <c r="C1616" s="13" t="s">
        <v>16129</v>
      </c>
      <c r="D1616" s="12" t="s">
        <v>16130</v>
      </c>
      <c r="E1616" s="13" t="s">
        <v>580</v>
      </c>
      <c r="F1616" s="681">
        <v>12.94</v>
      </c>
    </row>
    <row r="1617" spans="2:6" ht="15.75" hidden="1" customHeight="1" x14ac:dyDescent="0.25">
      <c r="B1617" s="13" t="s">
        <v>556</v>
      </c>
      <c r="C1617" s="13" t="s">
        <v>16131</v>
      </c>
      <c r="D1617" s="677" t="s">
        <v>16132</v>
      </c>
      <c r="E1617" s="13" t="s">
        <v>578</v>
      </c>
      <c r="F1617" s="681">
        <v>52.83</v>
      </c>
    </row>
    <row r="1618" spans="2:6" ht="15.75" hidden="1" customHeight="1" x14ac:dyDescent="0.25">
      <c r="B1618" s="13" t="s">
        <v>556</v>
      </c>
      <c r="C1618" s="13" t="s">
        <v>16133</v>
      </c>
      <c r="D1618" s="12" t="s">
        <v>16134</v>
      </c>
      <c r="E1618" s="13" t="s">
        <v>580</v>
      </c>
      <c r="F1618" s="681">
        <v>81.2</v>
      </c>
    </row>
    <row r="1619" spans="2:6" ht="15.75" hidden="1" customHeight="1" x14ac:dyDescent="0.25">
      <c r="B1619" s="13" t="s">
        <v>556</v>
      </c>
      <c r="C1619" s="13" t="s">
        <v>16135</v>
      </c>
      <c r="D1619" s="12" t="s">
        <v>16136</v>
      </c>
      <c r="E1619" s="13" t="s">
        <v>580</v>
      </c>
      <c r="F1619" s="681">
        <v>65.25</v>
      </c>
    </row>
    <row r="1620" spans="2:6" ht="15.75" hidden="1" customHeight="1" x14ac:dyDescent="0.25">
      <c r="B1620" s="13" t="s">
        <v>556</v>
      </c>
      <c r="C1620" s="13" t="s">
        <v>16137</v>
      </c>
      <c r="D1620" s="12" t="s">
        <v>16138</v>
      </c>
      <c r="E1620" s="13" t="s">
        <v>580</v>
      </c>
      <c r="F1620" s="681">
        <v>132.19999999999999</v>
      </c>
    </row>
    <row r="1621" spans="2:6" ht="15.75" hidden="1" customHeight="1" x14ac:dyDescent="0.25">
      <c r="B1621" s="13" t="s">
        <v>556</v>
      </c>
      <c r="C1621" s="13" t="s">
        <v>16139</v>
      </c>
      <c r="D1621" s="12" t="s">
        <v>16140</v>
      </c>
      <c r="E1621" s="13" t="s">
        <v>580</v>
      </c>
      <c r="F1621" s="681">
        <v>201.07</v>
      </c>
    </row>
    <row r="1622" spans="2:6" ht="15.75" hidden="1" customHeight="1" x14ac:dyDescent="0.25">
      <c r="B1622" s="13" t="s">
        <v>556</v>
      </c>
      <c r="C1622" s="13" t="s">
        <v>16141</v>
      </c>
      <c r="D1622" s="12" t="s">
        <v>9740</v>
      </c>
      <c r="E1622" s="13" t="s">
        <v>580</v>
      </c>
      <c r="F1622" s="681">
        <v>1353.37</v>
      </c>
    </row>
    <row r="1623" spans="2:6" ht="15.75" hidden="1" customHeight="1" x14ac:dyDescent="0.25">
      <c r="B1623" s="13" t="s">
        <v>556</v>
      </c>
      <c r="C1623" s="13" t="s">
        <v>16142</v>
      </c>
      <c r="D1623" s="12" t="s">
        <v>10650</v>
      </c>
      <c r="E1623" s="13" t="s">
        <v>823</v>
      </c>
      <c r="F1623" s="681">
        <v>7.66</v>
      </c>
    </row>
    <row r="1624" spans="2:6" ht="15.75" hidden="1" customHeight="1" x14ac:dyDescent="0.25">
      <c r="B1624" s="13" t="s">
        <v>556</v>
      </c>
      <c r="C1624" s="13" t="s">
        <v>16143</v>
      </c>
      <c r="D1624" s="12" t="s">
        <v>11447</v>
      </c>
      <c r="E1624" s="13" t="s">
        <v>585</v>
      </c>
      <c r="F1624" s="681">
        <v>3.63</v>
      </c>
    </row>
    <row r="1625" spans="2:6" ht="15.75" hidden="1" customHeight="1" x14ac:dyDescent="0.25">
      <c r="B1625" s="13" t="s">
        <v>556</v>
      </c>
      <c r="C1625" s="13" t="s">
        <v>16144</v>
      </c>
      <c r="D1625" s="12" t="s">
        <v>11448</v>
      </c>
      <c r="E1625" s="13" t="s">
        <v>585</v>
      </c>
      <c r="F1625" s="681">
        <v>5.96</v>
      </c>
    </row>
    <row r="1626" spans="2:6" ht="15.75" customHeight="1" x14ac:dyDescent="0.25">
      <c r="B1626" s="13" t="s">
        <v>556</v>
      </c>
      <c r="C1626" s="13" t="s">
        <v>16145</v>
      </c>
      <c r="D1626" s="12" t="s">
        <v>16146</v>
      </c>
      <c r="E1626" s="13" t="s">
        <v>664</v>
      </c>
      <c r="F1626" s="681">
        <v>747.19</v>
      </c>
    </row>
    <row r="1627" spans="2:6" ht="15.75" hidden="1" customHeight="1" x14ac:dyDescent="0.25">
      <c r="B1627" s="13" t="s">
        <v>556</v>
      </c>
      <c r="C1627" s="13" t="s">
        <v>16147</v>
      </c>
      <c r="D1627" s="12" t="s">
        <v>16148</v>
      </c>
      <c r="E1627" s="13" t="s">
        <v>580</v>
      </c>
      <c r="F1627" s="681">
        <v>7.74</v>
      </c>
    </row>
    <row r="1628" spans="2:6" ht="15.75" hidden="1" customHeight="1" x14ac:dyDescent="0.25">
      <c r="B1628" s="13" t="s">
        <v>556</v>
      </c>
      <c r="C1628" s="13" t="s">
        <v>16149</v>
      </c>
      <c r="D1628" s="12" t="s">
        <v>11449</v>
      </c>
      <c r="E1628" s="13" t="s">
        <v>585</v>
      </c>
      <c r="F1628" s="681">
        <v>1.57</v>
      </c>
    </row>
    <row r="1629" spans="2:6" ht="15.75" hidden="1" customHeight="1" x14ac:dyDescent="0.25">
      <c r="B1629" s="13" t="s">
        <v>14153</v>
      </c>
      <c r="C1629" s="13" t="s">
        <v>16150</v>
      </c>
      <c r="D1629" s="12" t="s">
        <v>8792</v>
      </c>
      <c r="E1629" s="13" t="s">
        <v>2193</v>
      </c>
      <c r="F1629" s="681">
        <v>20.23</v>
      </c>
    </row>
    <row r="1630" spans="2:6" ht="15.75" hidden="1" customHeight="1" x14ac:dyDescent="0.25">
      <c r="B1630" s="13" t="s">
        <v>556</v>
      </c>
      <c r="C1630" s="13" t="s">
        <v>16151</v>
      </c>
      <c r="D1630" s="12" t="s">
        <v>8936</v>
      </c>
      <c r="E1630" s="13" t="s">
        <v>580</v>
      </c>
      <c r="F1630" s="681">
        <v>4.9400000000000004</v>
      </c>
    </row>
    <row r="1631" spans="2:6" ht="15.75" hidden="1" customHeight="1" x14ac:dyDescent="0.25">
      <c r="B1631" s="13" t="s">
        <v>556</v>
      </c>
      <c r="C1631" s="13" t="s">
        <v>16152</v>
      </c>
      <c r="D1631" s="12" t="s">
        <v>8905</v>
      </c>
      <c r="E1631" s="13" t="s">
        <v>580</v>
      </c>
      <c r="F1631" s="681">
        <v>4.6500000000000004</v>
      </c>
    </row>
    <row r="1632" spans="2:6" ht="15.75" hidden="1" customHeight="1" x14ac:dyDescent="0.25">
      <c r="B1632" s="13" t="s">
        <v>556</v>
      </c>
      <c r="C1632" s="13" t="s">
        <v>16153</v>
      </c>
      <c r="D1632" s="12" t="s">
        <v>11450</v>
      </c>
      <c r="E1632" s="13" t="s">
        <v>585</v>
      </c>
      <c r="F1632" s="681">
        <v>2.2999999999999998</v>
      </c>
    </row>
    <row r="1633" spans="2:6" ht="15.75" hidden="1" customHeight="1" x14ac:dyDescent="0.25">
      <c r="B1633" s="13" t="s">
        <v>556</v>
      </c>
      <c r="C1633" s="13" t="s">
        <v>16154</v>
      </c>
      <c r="D1633" s="12" t="s">
        <v>11446</v>
      </c>
      <c r="E1633" s="13" t="s">
        <v>585</v>
      </c>
      <c r="F1633" s="681">
        <v>2.95</v>
      </c>
    </row>
    <row r="1634" spans="2:6" ht="15.75" hidden="1" customHeight="1" x14ac:dyDescent="0.25">
      <c r="B1634" s="13" t="s">
        <v>556</v>
      </c>
      <c r="C1634" s="13" t="s">
        <v>16155</v>
      </c>
      <c r="D1634" s="12" t="s">
        <v>16156</v>
      </c>
      <c r="E1634" s="13" t="s">
        <v>580</v>
      </c>
      <c r="F1634" s="681">
        <v>11.58</v>
      </c>
    </row>
    <row r="1635" spans="2:6" ht="15.75" hidden="1" customHeight="1" x14ac:dyDescent="0.25">
      <c r="B1635" s="13" t="s">
        <v>556</v>
      </c>
      <c r="C1635" s="13" t="s">
        <v>16157</v>
      </c>
      <c r="D1635" s="12" t="s">
        <v>8907</v>
      </c>
      <c r="E1635" s="13" t="s">
        <v>580</v>
      </c>
      <c r="F1635" s="681">
        <v>4.95</v>
      </c>
    </row>
    <row r="1636" spans="2:6" ht="15.75" hidden="1" customHeight="1" x14ac:dyDescent="0.25">
      <c r="B1636" s="13" t="s">
        <v>556</v>
      </c>
      <c r="C1636" s="13" t="s">
        <v>16158</v>
      </c>
      <c r="D1636" s="12" t="s">
        <v>8908</v>
      </c>
      <c r="E1636" s="13" t="s">
        <v>580</v>
      </c>
      <c r="F1636" s="681">
        <v>5.24</v>
      </c>
    </row>
    <row r="1637" spans="2:6" ht="15.75" hidden="1" customHeight="1" x14ac:dyDescent="0.25">
      <c r="B1637" s="13" t="s">
        <v>556</v>
      </c>
      <c r="C1637" s="13" t="s">
        <v>16159</v>
      </c>
      <c r="D1637" s="12" t="s">
        <v>8910</v>
      </c>
      <c r="E1637" s="13" t="s">
        <v>580</v>
      </c>
      <c r="F1637" s="681">
        <v>4.07</v>
      </c>
    </row>
    <row r="1638" spans="2:6" ht="15.75" hidden="1" customHeight="1" x14ac:dyDescent="0.25">
      <c r="B1638" s="13" t="s">
        <v>556</v>
      </c>
      <c r="C1638" s="13" t="s">
        <v>16160</v>
      </c>
      <c r="D1638" s="12" t="s">
        <v>8911</v>
      </c>
      <c r="E1638" s="13" t="s">
        <v>580</v>
      </c>
      <c r="F1638" s="681">
        <v>4.3099999999999996</v>
      </c>
    </row>
    <row r="1639" spans="2:6" ht="15.75" hidden="1" customHeight="1" x14ac:dyDescent="0.25">
      <c r="B1639" s="13" t="s">
        <v>556</v>
      </c>
      <c r="C1639" s="13" t="s">
        <v>16161</v>
      </c>
      <c r="D1639" s="12" t="s">
        <v>8913</v>
      </c>
      <c r="E1639" s="13" t="s">
        <v>580</v>
      </c>
      <c r="F1639" s="681">
        <v>5.0999999999999996</v>
      </c>
    </row>
    <row r="1640" spans="2:6" ht="15.75" hidden="1" customHeight="1" x14ac:dyDescent="0.25">
      <c r="B1640" s="13" t="s">
        <v>556</v>
      </c>
      <c r="C1640" s="13" t="s">
        <v>16162</v>
      </c>
      <c r="D1640" s="12" t="s">
        <v>8914</v>
      </c>
      <c r="E1640" s="13" t="s">
        <v>580</v>
      </c>
      <c r="F1640" s="681">
        <v>5.24</v>
      </c>
    </row>
    <row r="1641" spans="2:6" ht="15.75" hidden="1" customHeight="1" x14ac:dyDescent="0.25">
      <c r="B1641" s="13" t="s">
        <v>556</v>
      </c>
      <c r="C1641" s="13" t="s">
        <v>16163</v>
      </c>
      <c r="D1641" s="12" t="s">
        <v>16164</v>
      </c>
      <c r="E1641" s="13" t="s">
        <v>580</v>
      </c>
      <c r="F1641" s="681">
        <v>27.25</v>
      </c>
    </row>
    <row r="1642" spans="2:6" ht="15.75" hidden="1" customHeight="1" x14ac:dyDescent="0.25">
      <c r="B1642" s="13" t="s">
        <v>556</v>
      </c>
      <c r="C1642" s="13" t="s">
        <v>16165</v>
      </c>
      <c r="D1642" s="12" t="s">
        <v>8915</v>
      </c>
      <c r="E1642" s="13" t="s">
        <v>580</v>
      </c>
      <c r="F1642" s="681">
        <v>5.69</v>
      </c>
    </row>
    <row r="1643" spans="2:6" ht="15.75" hidden="1" customHeight="1" x14ac:dyDescent="0.25">
      <c r="B1643" s="13" t="s">
        <v>556</v>
      </c>
      <c r="C1643" s="13" t="s">
        <v>16166</v>
      </c>
      <c r="D1643" s="12" t="s">
        <v>8917</v>
      </c>
      <c r="E1643" s="13" t="s">
        <v>580</v>
      </c>
      <c r="F1643" s="681">
        <v>4.32</v>
      </c>
    </row>
    <row r="1644" spans="2:6" ht="15.75" hidden="1" customHeight="1" x14ac:dyDescent="0.25">
      <c r="B1644" s="13" t="s">
        <v>556</v>
      </c>
      <c r="C1644" s="13" t="s">
        <v>16167</v>
      </c>
      <c r="D1644" s="12" t="s">
        <v>8918</v>
      </c>
      <c r="E1644" s="13" t="s">
        <v>580</v>
      </c>
      <c r="F1644" s="681">
        <v>4.55</v>
      </c>
    </row>
    <row r="1645" spans="2:6" ht="15.75" hidden="1" customHeight="1" x14ac:dyDescent="0.25">
      <c r="B1645" s="13" t="s">
        <v>556</v>
      </c>
      <c r="C1645" s="13" t="s">
        <v>16168</v>
      </c>
      <c r="D1645" s="12" t="s">
        <v>8920</v>
      </c>
      <c r="E1645" s="13" t="s">
        <v>580</v>
      </c>
      <c r="F1645" s="681">
        <v>6.63</v>
      </c>
    </row>
    <row r="1646" spans="2:6" ht="15.75" hidden="1" customHeight="1" x14ac:dyDescent="0.25">
      <c r="B1646" s="13" t="s">
        <v>556</v>
      </c>
      <c r="C1646" s="13" t="s">
        <v>16169</v>
      </c>
      <c r="D1646" s="12" t="s">
        <v>8921</v>
      </c>
      <c r="E1646" s="13" t="s">
        <v>580</v>
      </c>
      <c r="F1646" s="681">
        <v>6.91</v>
      </c>
    </row>
    <row r="1647" spans="2:6" ht="15.75" hidden="1" customHeight="1" x14ac:dyDescent="0.25">
      <c r="B1647" s="13" t="s">
        <v>556</v>
      </c>
      <c r="C1647" s="13" t="s">
        <v>16170</v>
      </c>
      <c r="D1647" s="12" t="s">
        <v>8922</v>
      </c>
      <c r="E1647" s="13" t="s">
        <v>580</v>
      </c>
      <c r="F1647" s="681">
        <v>7.5</v>
      </c>
    </row>
    <row r="1648" spans="2:6" ht="15.75" hidden="1" customHeight="1" x14ac:dyDescent="0.25">
      <c r="B1648" s="13" t="s">
        <v>556</v>
      </c>
      <c r="C1648" s="13" t="s">
        <v>16171</v>
      </c>
      <c r="D1648" s="12" t="s">
        <v>8923</v>
      </c>
      <c r="E1648" s="13" t="s">
        <v>580</v>
      </c>
      <c r="F1648" s="681">
        <v>8</v>
      </c>
    </row>
    <row r="1649" spans="2:6" ht="15.75" hidden="1" customHeight="1" x14ac:dyDescent="0.25">
      <c r="B1649" s="13" t="s">
        <v>556</v>
      </c>
      <c r="C1649" s="13" t="s">
        <v>16172</v>
      </c>
      <c r="D1649" s="12" t="s">
        <v>16173</v>
      </c>
      <c r="E1649" s="13" t="s">
        <v>580</v>
      </c>
      <c r="F1649" s="681">
        <v>36.299999999999997</v>
      </c>
    </row>
    <row r="1650" spans="2:6" ht="15.75" hidden="1" customHeight="1" x14ac:dyDescent="0.25">
      <c r="B1650" s="13" t="s">
        <v>556</v>
      </c>
      <c r="C1650" s="13" t="s">
        <v>16174</v>
      </c>
      <c r="D1650" s="12" t="s">
        <v>8925</v>
      </c>
      <c r="E1650" s="13" t="s">
        <v>580</v>
      </c>
      <c r="F1650" s="681">
        <v>5.97</v>
      </c>
    </row>
    <row r="1651" spans="2:6" ht="15.75" hidden="1" customHeight="1" x14ac:dyDescent="0.25">
      <c r="B1651" s="13" t="s">
        <v>556</v>
      </c>
      <c r="C1651" s="13" t="s">
        <v>16175</v>
      </c>
      <c r="D1651" s="12" t="s">
        <v>8929</v>
      </c>
      <c r="E1651" s="13" t="s">
        <v>578</v>
      </c>
      <c r="F1651" s="681">
        <v>56.78</v>
      </c>
    </row>
    <row r="1652" spans="2:6" ht="15.75" hidden="1" customHeight="1" x14ac:dyDescent="0.25">
      <c r="B1652" s="13" t="s">
        <v>556</v>
      </c>
      <c r="C1652" s="13" t="s">
        <v>16176</v>
      </c>
      <c r="D1652" s="12" t="s">
        <v>8930</v>
      </c>
      <c r="E1652" s="13" t="s">
        <v>578</v>
      </c>
      <c r="F1652" s="681">
        <v>41.64</v>
      </c>
    </row>
    <row r="1653" spans="2:6" ht="15.75" hidden="1" customHeight="1" x14ac:dyDescent="0.25">
      <c r="B1653" s="13" t="s">
        <v>556</v>
      </c>
      <c r="C1653" s="13" t="s">
        <v>16177</v>
      </c>
      <c r="D1653" s="12" t="s">
        <v>8940</v>
      </c>
      <c r="E1653" s="13" t="s">
        <v>580</v>
      </c>
      <c r="F1653" s="681">
        <v>1.97</v>
      </c>
    </row>
    <row r="1654" spans="2:6" ht="15.75" hidden="1" customHeight="1" x14ac:dyDescent="0.25">
      <c r="B1654" s="13" t="s">
        <v>556</v>
      </c>
      <c r="C1654" s="13" t="s">
        <v>16178</v>
      </c>
      <c r="D1654" s="12" t="s">
        <v>8942</v>
      </c>
      <c r="E1654" s="13" t="s">
        <v>580</v>
      </c>
      <c r="F1654" s="681">
        <v>2.66</v>
      </c>
    </row>
    <row r="1655" spans="2:6" ht="15.75" hidden="1" customHeight="1" x14ac:dyDescent="0.25">
      <c r="B1655" s="13" t="s">
        <v>556</v>
      </c>
      <c r="C1655" s="13" t="s">
        <v>16179</v>
      </c>
      <c r="D1655" s="12" t="s">
        <v>16180</v>
      </c>
      <c r="E1655" s="13" t="s">
        <v>580</v>
      </c>
      <c r="F1655" s="681">
        <v>142.97999999999999</v>
      </c>
    </row>
    <row r="1656" spans="2:6" ht="15.75" hidden="1" customHeight="1" x14ac:dyDescent="0.25">
      <c r="B1656" s="13" t="s">
        <v>556</v>
      </c>
      <c r="C1656" s="13" t="s">
        <v>16181</v>
      </c>
      <c r="D1656" s="12" t="s">
        <v>8943</v>
      </c>
      <c r="E1656" s="13" t="s">
        <v>580</v>
      </c>
      <c r="F1656" s="681">
        <v>2.64</v>
      </c>
    </row>
    <row r="1657" spans="2:6" ht="15.75" hidden="1" customHeight="1" x14ac:dyDescent="0.25">
      <c r="B1657" s="13" t="s">
        <v>556</v>
      </c>
      <c r="C1657" s="13" t="s">
        <v>16182</v>
      </c>
      <c r="D1657" s="12" t="s">
        <v>8944</v>
      </c>
      <c r="E1657" s="13" t="s">
        <v>580</v>
      </c>
      <c r="F1657" s="681">
        <v>3.22</v>
      </c>
    </row>
    <row r="1658" spans="2:6" ht="15.75" hidden="1" customHeight="1" x14ac:dyDescent="0.25">
      <c r="B1658" s="13" t="s">
        <v>556</v>
      </c>
      <c r="C1658" s="13" t="s">
        <v>16183</v>
      </c>
      <c r="D1658" s="12" t="s">
        <v>8931</v>
      </c>
      <c r="E1658" s="13" t="s">
        <v>580</v>
      </c>
      <c r="F1658" s="681">
        <v>3.4</v>
      </c>
    </row>
    <row r="1659" spans="2:6" ht="15.75" hidden="1" customHeight="1" x14ac:dyDescent="0.25">
      <c r="B1659" s="13" t="s">
        <v>556</v>
      </c>
      <c r="C1659" s="13" t="s">
        <v>16184</v>
      </c>
      <c r="D1659" s="12" t="s">
        <v>8932</v>
      </c>
      <c r="E1659" s="13" t="s">
        <v>580</v>
      </c>
      <c r="F1659" s="681">
        <v>3.06</v>
      </c>
    </row>
    <row r="1660" spans="2:6" ht="15.75" hidden="1" customHeight="1" x14ac:dyDescent="0.25">
      <c r="B1660" s="13" t="s">
        <v>556</v>
      </c>
      <c r="C1660" s="13" t="s">
        <v>16185</v>
      </c>
      <c r="D1660" s="12" t="s">
        <v>8730</v>
      </c>
      <c r="E1660" s="13" t="s">
        <v>823</v>
      </c>
      <c r="F1660" s="681">
        <v>25.06</v>
      </c>
    </row>
    <row r="1661" spans="2:6" ht="15.75" hidden="1" customHeight="1" x14ac:dyDescent="0.25">
      <c r="B1661" s="13" t="s">
        <v>556</v>
      </c>
      <c r="C1661" s="13" t="s">
        <v>16186</v>
      </c>
      <c r="D1661" s="12" t="s">
        <v>16187</v>
      </c>
      <c r="E1661" s="13" t="s">
        <v>580</v>
      </c>
      <c r="F1661" s="681">
        <v>396.77</v>
      </c>
    </row>
    <row r="1662" spans="2:6" ht="15.75" hidden="1" customHeight="1" x14ac:dyDescent="0.25">
      <c r="B1662" s="13" t="s">
        <v>556</v>
      </c>
      <c r="C1662" s="13" t="s">
        <v>16188</v>
      </c>
      <c r="D1662" s="12" t="s">
        <v>16189</v>
      </c>
      <c r="E1662" s="13" t="s">
        <v>578</v>
      </c>
      <c r="F1662" s="681">
        <v>117.7</v>
      </c>
    </row>
    <row r="1663" spans="2:6" ht="15.75" hidden="1" customHeight="1" x14ac:dyDescent="0.25">
      <c r="B1663" s="13" t="s">
        <v>556</v>
      </c>
      <c r="C1663" s="13" t="s">
        <v>16190</v>
      </c>
      <c r="D1663" s="12" t="s">
        <v>9165</v>
      </c>
      <c r="E1663" s="13" t="s">
        <v>585</v>
      </c>
      <c r="F1663" s="681">
        <v>4.3499999999999996</v>
      </c>
    </row>
    <row r="1664" spans="2:6" ht="15.75" hidden="1" customHeight="1" x14ac:dyDescent="0.25">
      <c r="B1664" s="13" t="s">
        <v>556</v>
      </c>
      <c r="C1664" s="13" t="s">
        <v>16191</v>
      </c>
      <c r="D1664" s="12" t="s">
        <v>9746</v>
      </c>
      <c r="E1664" s="13" t="s">
        <v>580</v>
      </c>
      <c r="F1664" s="681">
        <v>87.42</v>
      </c>
    </row>
    <row r="1665" spans="2:6" ht="15.75" hidden="1" customHeight="1" x14ac:dyDescent="0.25">
      <c r="B1665" s="13" t="s">
        <v>556</v>
      </c>
      <c r="C1665" s="13" t="s">
        <v>16192</v>
      </c>
      <c r="D1665" s="12" t="s">
        <v>9166</v>
      </c>
      <c r="E1665" s="13" t="s">
        <v>585</v>
      </c>
      <c r="F1665" s="681">
        <v>10.66</v>
      </c>
    </row>
    <row r="1666" spans="2:6" ht="15.75" hidden="1" customHeight="1" x14ac:dyDescent="0.25">
      <c r="B1666" s="13" t="s">
        <v>556</v>
      </c>
      <c r="C1666" s="13" t="s">
        <v>16193</v>
      </c>
      <c r="D1666" s="12" t="s">
        <v>9167</v>
      </c>
      <c r="E1666" s="13" t="s">
        <v>585</v>
      </c>
      <c r="F1666" s="681">
        <v>15.51</v>
      </c>
    </row>
    <row r="1667" spans="2:6" ht="15.75" hidden="1" customHeight="1" x14ac:dyDescent="0.25">
      <c r="B1667" s="13" t="s">
        <v>556</v>
      </c>
      <c r="C1667" s="13" t="s">
        <v>16194</v>
      </c>
      <c r="D1667" s="12" t="s">
        <v>16195</v>
      </c>
      <c r="E1667" s="13" t="s">
        <v>580</v>
      </c>
      <c r="F1667" s="681">
        <v>1014.11</v>
      </c>
    </row>
    <row r="1668" spans="2:6" ht="15.75" hidden="1" customHeight="1" x14ac:dyDescent="0.25">
      <c r="B1668" s="13" t="s">
        <v>556</v>
      </c>
      <c r="C1668" s="13" t="s">
        <v>16196</v>
      </c>
      <c r="D1668" s="12" t="s">
        <v>10093</v>
      </c>
      <c r="E1668" s="13" t="s">
        <v>580</v>
      </c>
      <c r="F1668" s="681">
        <v>813.59</v>
      </c>
    </row>
    <row r="1669" spans="2:6" ht="15.75" hidden="1" customHeight="1" x14ac:dyDescent="0.25">
      <c r="B1669" s="13" t="s">
        <v>556</v>
      </c>
      <c r="C1669" s="13" t="s">
        <v>16197</v>
      </c>
      <c r="D1669" s="12" t="s">
        <v>9727</v>
      </c>
      <c r="E1669" s="13" t="s">
        <v>580</v>
      </c>
      <c r="F1669" s="681">
        <v>46.87</v>
      </c>
    </row>
    <row r="1670" spans="2:6" ht="15.75" hidden="1" customHeight="1" x14ac:dyDescent="0.25">
      <c r="B1670" s="13" t="s">
        <v>556</v>
      </c>
      <c r="C1670" s="13" t="s">
        <v>16198</v>
      </c>
      <c r="D1670" s="12" t="s">
        <v>9168</v>
      </c>
      <c r="E1670" s="13" t="s">
        <v>585</v>
      </c>
      <c r="F1670" s="681">
        <v>5.93</v>
      </c>
    </row>
    <row r="1671" spans="2:6" ht="15.75" hidden="1" customHeight="1" x14ac:dyDescent="0.25">
      <c r="B1671" s="13" t="s">
        <v>556</v>
      </c>
      <c r="C1671" s="13" t="s">
        <v>16199</v>
      </c>
      <c r="D1671" s="12" t="s">
        <v>16200</v>
      </c>
      <c r="E1671" s="13" t="s">
        <v>580</v>
      </c>
      <c r="F1671" s="681">
        <v>13.01</v>
      </c>
    </row>
    <row r="1672" spans="2:6" ht="15.75" hidden="1" customHeight="1" x14ac:dyDescent="0.25">
      <c r="B1672" s="13" t="s">
        <v>556</v>
      </c>
      <c r="C1672" s="13" t="s">
        <v>16201</v>
      </c>
      <c r="D1672" s="12" t="s">
        <v>9169</v>
      </c>
      <c r="E1672" s="13" t="s">
        <v>585</v>
      </c>
      <c r="F1672" s="681">
        <v>14.7</v>
      </c>
    </row>
    <row r="1673" spans="2:6" ht="15.75" hidden="1" customHeight="1" x14ac:dyDescent="0.25">
      <c r="B1673" s="13" t="s">
        <v>556</v>
      </c>
      <c r="C1673" s="13" t="s">
        <v>16202</v>
      </c>
      <c r="D1673" s="12" t="s">
        <v>9170</v>
      </c>
      <c r="E1673" s="13" t="s">
        <v>585</v>
      </c>
      <c r="F1673" s="681">
        <v>21.84</v>
      </c>
    </row>
    <row r="1674" spans="2:6" ht="15.75" hidden="1" customHeight="1" x14ac:dyDescent="0.25">
      <c r="B1674" s="13" t="s">
        <v>556</v>
      </c>
      <c r="C1674" s="13" t="s">
        <v>16203</v>
      </c>
      <c r="D1674" s="12" t="s">
        <v>9726</v>
      </c>
      <c r="E1674" s="13" t="s">
        <v>580</v>
      </c>
      <c r="F1674" s="681">
        <v>46.15</v>
      </c>
    </row>
    <row r="1675" spans="2:6" ht="15.75" hidden="1" customHeight="1" x14ac:dyDescent="0.25">
      <c r="B1675" s="13" t="s">
        <v>556</v>
      </c>
      <c r="C1675" s="13" t="s">
        <v>16204</v>
      </c>
      <c r="D1675" s="12" t="s">
        <v>9171</v>
      </c>
      <c r="E1675" s="13" t="s">
        <v>585</v>
      </c>
      <c r="F1675" s="681">
        <v>7.92</v>
      </c>
    </row>
    <row r="1676" spans="2:6" ht="15.75" hidden="1" customHeight="1" x14ac:dyDescent="0.25">
      <c r="B1676" s="13" t="s">
        <v>556</v>
      </c>
      <c r="C1676" s="13" t="s">
        <v>16205</v>
      </c>
      <c r="D1676" s="12" t="s">
        <v>9172</v>
      </c>
      <c r="E1676" s="13" t="s">
        <v>585</v>
      </c>
      <c r="F1676" s="681">
        <v>19.100000000000001</v>
      </c>
    </row>
    <row r="1677" spans="2:6" ht="15.75" hidden="1" customHeight="1" x14ac:dyDescent="0.25">
      <c r="B1677" s="13" t="s">
        <v>556</v>
      </c>
      <c r="C1677" s="13" t="s">
        <v>16206</v>
      </c>
      <c r="D1677" s="12" t="s">
        <v>9728</v>
      </c>
      <c r="E1677" s="13" t="s">
        <v>580</v>
      </c>
      <c r="F1677" s="681">
        <v>66.099999999999994</v>
      </c>
    </row>
    <row r="1678" spans="2:6" ht="15.75" hidden="1" customHeight="1" x14ac:dyDescent="0.25">
      <c r="B1678" s="13" t="s">
        <v>556</v>
      </c>
      <c r="C1678" s="13" t="s">
        <v>16207</v>
      </c>
      <c r="D1678" s="12" t="s">
        <v>9173</v>
      </c>
      <c r="E1678" s="13" t="s">
        <v>585</v>
      </c>
      <c r="F1678" s="681">
        <v>29.18</v>
      </c>
    </row>
    <row r="1679" spans="2:6" ht="15.75" hidden="1" customHeight="1" x14ac:dyDescent="0.25">
      <c r="B1679" s="13" t="s">
        <v>556</v>
      </c>
      <c r="C1679" s="13" t="s">
        <v>16208</v>
      </c>
      <c r="D1679" s="12" t="s">
        <v>16209</v>
      </c>
      <c r="E1679" s="13" t="s">
        <v>580</v>
      </c>
      <c r="F1679" s="681">
        <v>19.73</v>
      </c>
    </row>
    <row r="1680" spans="2:6" ht="15.75" hidden="1" customHeight="1" x14ac:dyDescent="0.25">
      <c r="B1680" s="13" t="s">
        <v>556</v>
      </c>
      <c r="C1680" s="13" t="s">
        <v>16210</v>
      </c>
      <c r="D1680" s="12" t="s">
        <v>11474</v>
      </c>
      <c r="E1680" s="13" t="s">
        <v>580</v>
      </c>
      <c r="F1680" s="681">
        <v>1050.55</v>
      </c>
    </row>
    <row r="1681" spans="2:6" ht="15.75" hidden="1" customHeight="1" x14ac:dyDescent="0.25">
      <c r="B1681" s="13" t="s">
        <v>556</v>
      </c>
      <c r="C1681" s="13" t="s">
        <v>16211</v>
      </c>
      <c r="D1681" s="12" t="s">
        <v>10095</v>
      </c>
      <c r="E1681" s="13" t="s">
        <v>580</v>
      </c>
      <c r="F1681" s="681">
        <v>1153.24</v>
      </c>
    </row>
    <row r="1682" spans="2:6" ht="15.75" hidden="1" customHeight="1" x14ac:dyDescent="0.25">
      <c r="B1682" s="13" t="s">
        <v>556</v>
      </c>
      <c r="C1682" s="13" t="s">
        <v>16212</v>
      </c>
      <c r="D1682" s="12" t="s">
        <v>10094</v>
      </c>
      <c r="E1682" s="13" t="s">
        <v>580</v>
      </c>
      <c r="F1682" s="681">
        <v>1046.24</v>
      </c>
    </row>
    <row r="1683" spans="2:6" ht="15.75" hidden="1" customHeight="1" x14ac:dyDescent="0.25">
      <c r="B1683" s="13" t="s">
        <v>556</v>
      </c>
      <c r="C1683" s="13" t="s">
        <v>16213</v>
      </c>
      <c r="D1683" s="12" t="s">
        <v>9228</v>
      </c>
      <c r="E1683" s="13" t="s">
        <v>580</v>
      </c>
      <c r="F1683" s="681">
        <v>449.5</v>
      </c>
    </row>
    <row r="1684" spans="2:6" ht="15.75" hidden="1" customHeight="1" x14ac:dyDescent="0.25">
      <c r="B1684" s="13" t="s">
        <v>556</v>
      </c>
      <c r="C1684" s="13" t="s">
        <v>16214</v>
      </c>
      <c r="D1684" s="12" t="s">
        <v>9232</v>
      </c>
      <c r="E1684" s="13" t="s">
        <v>580</v>
      </c>
      <c r="F1684" s="681">
        <v>271.83</v>
      </c>
    </row>
    <row r="1685" spans="2:6" ht="15.75" hidden="1" customHeight="1" x14ac:dyDescent="0.25">
      <c r="B1685" s="13" t="s">
        <v>556</v>
      </c>
      <c r="C1685" s="13" t="s">
        <v>16215</v>
      </c>
      <c r="D1685" s="12" t="s">
        <v>9233</v>
      </c>
      <c r="E1685" s="13" t="s">
        <v>580</v>
      </c>
      <c r="F1685" s="681">
        <v>420.47</v>
      </c>
    </row>
    <row r="1686" spans="2:6" ht="15.75" hidden="1" customHeight="1" x14ac:dyDescent="0.25">
      <c r="B1686" s="13" t="s">
        <v>556</v>
      </c>
      <c r="C1686" s="13" t="s">
        <v>16216</v>
      </c>
      <c r="D1686" s="12" t="s">
        <v>9229</v>
      </c>
      <c r="E1686" s="13" t="s">
        <v>580</v>
      </c>
      <c r="F1686" s="681">
        <v>1037.52</v>
      </c>
    </row>
    <row r="1687" spans="2:6" ht="15.75" hidden="1" customHeight="1" x14ac:dyDescent="0.25">
      <c r="B1687" s="13" t="s">
        <v>556</v>
      </c>
      <c r="C1687" s="13" t="s">
        <v>16217</v>
      </c>
      <c r="D1687" s="12" t="s">
        <v>16218</v>
      </c>
      <c r="E1687" s="13" t="s">
        <v>580</v>
      </c>
      <c r="F1687" s="681">
        <v>19.73</v>
      </c>
    </row>
    <row r="1688" spans="2:6" ht="15.75" hidden="1" customHeight="1" x14ac:dyDescent="0.25">
      <c r="B1688" s="13" t="s">
        <v>556</v>
      </c>
      <c r="C1688" s="13" t="s">
        <v>16219</v>
      </c>
      <c r="D1688" s="12" t="s">
        <v>9230</v>
      </c>
      <c r="E1688" s="13" t="s">
        <v>580</v>
      </c>
      <c r="F1688" s="681">
        <v>1176.9100000000001</v>
      </c>
    </row>
    <row r="1689" spans="2:6" ht="15.75" hidden="1" customHeight="1" x14ac:dyDescent="0.25">
      <c r="B1689" s="13" t="s">
        <v>556</v>
      </c>
      <c r="C1689" s="13" t="s">
        <v>12914</v>
      </c>
      <c r="D1689" s="12" t="s">
        <v>16220</v>
      </c>
      <c r="E1689" s="13" t="s">
        <v>580</v>
      </c>
      <c r="F1689" s="681">
        <v>113.78</v>
      </c>
    </row>
    <row r="1690" spans="2:6" ht="15.75" hidden="1" customHeight="1" x14ac:dyDescent="0.25">
      <c r="B1690" s="13" t="s">
        <v>556</v>
      </c>
      <c r="C1690" s="13" t="s">
        <v>16221</v>
      </c>
      <c r="D1690" s="12" t="s">
        <v>9243</v>
      </c>
      <c r="E1690" s="13" t="s">
        <v>580</v>
      </c>
      <c r="F1690" s="681">
        <v>41.71</v>
      </c>
    </row>
    <row r="1691" spans="2:6" ht="15.75" hidden="1" customHeight="1" x14ac:dyDescent="0.25">
      <c r="B1691" s="13" t="s">
        <v>556</v>
      </c>
      <c r="C1691" s="13" t="s">
        <v>16222</v>
      </c>
      <c r="D1691" s="12" t="s">
        <v>9295</v>
      </c>
      <c r="E1691" s="13" t="s">
        <v>580</v>
      </c>
      <c r="F1691" s="681">
        <v>2.63</v>
      </c>
    </row>
    <row r="1692" spans="2:6" ht="15.75" hidden="1" customHeight="1" x14ac:dyDescent="0.25">
      <c r="B1692" s="13" t="s">
        <v>556</v>
      </c>
      <c r="C1692" s="13" t="s">
        <v>16223</v>
      </c>
      <c r="D1692" s="12" t="s">
        <v>16224</v>
      </c>
      <c r="E1692" s="13" t="s">
        <v>580</v>
      </c>
      <c r="F1692" s="681">
        <v>47.37</v>
      </c>
    </row>
    <row r="1693" spans="2:6" ht="15.75" hidden="1" customHeight="1" x14ac:dyDescent="0.25">
      <c r="B1693" s="13" t="s">
        <v>556</v>
      </c>
      <c r="C1693" s="13" t="s">
        <v>16225</v>
      </c>
      <c r="D1693" s="12" t="s">
        <v>9730</v>
      </c>
      <c r="E1693" s="13" t="s">
        <v>580</v>
      </c>
      <c r="F1693" s="681">
        <v>8.17</v>
      </c>
    </row>
    <row r="1694" spans="2:6" ht="15.75" hidden="1" customHeight="1" x14ac:dyDescent="0.25">
      <c r="B1694" s="13" t="s">
        <v>556</v>
      </c>
      <c r="C1694" s="13" t="s">
        <v>16226</v>
      </c>
      <c r="D1694" s="12" t="s">
        <v>9296</v>
      </c>
      <c r="E1694" s="13" t="s">
        <v>580</v>
      </c>
      <c r="F1694" s="681">
        <v>3.86</v>
      </c>
    </row>
    <row r="1695" spans="2:6" ht="15.75" hidden="1" customHeight="1" x14ac:dyDescent="0.25">
      <c r="B1695" s="13" t="s">
        <v>556</v>
      </c>
      <c r="C1695" s="13" t="s">
        <v>16227</v>
      </c>
      <c r="D1695" s="677" t="s">
        <v>16228</v>
      </c>
      <c r="E1695" s="13" t="s">
        <v>578</v>
      </c>
      <c r="F1695" s="681">
        <v>47.7</v>
      </c>
    </row>
    <row r="1696" spans="2:6" ht="15.75" hidden="1" customHeight="1" x14ac:dyDescent="0.25">
      <c r="B1696" s="13" t="s">
        <v>556</v>
      </c>
      <c r="C1696" s="13" t="s">
        <v>16229</v>
      </c>
      <c r="D1696" s="12" t="s">
        <v>16230</v>
      </c>
      <c r="E1696" s="13" t="s">
        <v>580</v>
      </c>
      <c r="F1696" s="681">
        <v>120.31</v>
      </c>
    </row>
    <row r="1697" spans="2:6" ht="15.75" hidden="1" customHeight="1" x14ac:dyDescent="0.25">
      <c r="B1697" s="13" t="s">
        <v>556</v>
      </c>
      <c r="C1697" s="13" t="s">
        <v>16231</v>
      </c>
      <c r="D1697" s="677" t="s">
        <v>16232</v>
      </c>
      <c r="E1697" s="13" t="s">
        <v>578</v>
      </c>
      <c r="F1697" s="681">
        <v>67.040000000000006</v>
      </c>
    </row>
    <row r="1698" spans="2:6" ht="15.75" hidden="1" customHeight="1" x14ac:dyDescent="0.25">
      <c r="B1698" s="13" t="s">
        <v>556</v>
      </c>
      <c r="C1698" s="13" t="s">
        <v>16233</v>
      </c>
      <c r="D1698" s="677" t="s">
        <v>16234</v>
      </c>
      <c r="E1698" s="13" t="s">
        <v>578</v>
      </c>
      <c r="F1698" s="681">
        <v>96.29</v>
      </c>
    </row>
    <row r="1699" spans="2:6" ht="15.75" hidden="1" customHeight="1" x14ac:dyDescent="0.25">
      <c r="B1699" s="13" t="s">
        <v>556</v>
      </c>
      <c r="C1699" s="13" t="s">
        <v>16235</v>
      </c>
      <c r="D1699" s="677" t="s">
        <v>16236</v>
      </c>
      <c r="E1699" s="13" t="s">
        <v>578</v>
      </c>
      <c r="F1699" s="681">
        <v>54.71</v>
      </c>
    </row>
    <row r="1700" spans="2:6" ht="15.75" hidden="1" customHeight="1" x14ac:dyDescent="0.25">
      <c r="B1700" s="13" t="s">
        <v>556</v>
      </c>
      <c r="C1700" s="13" t="s">
        <v>16237</v>
      </c>
      <c r="D1700" s="677" t="s">
        <v>16238</v>
      </c>
      <c r="E1700" s="13" t="s">
        <v>578</v>
      </c>
      <c r="F1700" s="681">
        <v>67.92</v>
      </c>
    </row>
    <row r="1701" spans="2:6" ht="15.75" hidden="1" customHeight="1" x14ac:dyDescent="0.25">
      <c r="B1701" s="13" t="s">
        <v>556</v>
      </c>
      <c r="C1701" s="13" t="s">
        <v>16239</v>
      </c>
      <c r="D1701" s="677" t="s">
        <v>16240</v>
      </c>
      <c r="E1701" s="13" t="s">
        <v>578</v>
      </c>
      <c r="F1701" s="681">
        <v>102.6</v>
      </c>
    </row>
    <row r="1702" spans="2:6" ht="15.75" hidden="1" customHeight="1" x14ac:dyDescent="0.25">
      <c r="B1702" s="13" t="s">
        <v>556</v>
      </c>
      <c r="C1702" s="13" t="s">
        <v>16241</v>
      </c>
      <c r="D1702" s="677" t="s">
        <v>16242</v>
      </c>
      <c r="E1702" s="13" t="s">
        <v>578</v>
      </c>
      <c r="F1702" s="681">
        <v>34.869999999999997</v>
      </c>
    </row>
    <row r="1703" spans="2:6" ht="15.75" hidden="1" customHeight="1" x14ac:dyDescent="0.25">
      <c r="B1703" s="13" t="s">
        <v>556</v>
      </c>
      <c r="C1703" s="13" t="s">
        <v>16243</v>
      </c>
      <c r="D1703" s="677" t="s">
        <v>16244</v>
      </c>
      <c r="E1703" s="13" t="s">
        <v>578</v>
      </c>
      <c r="F1703" s="681">
        <v>45.57</v>
      </c>
    </row>
    <row r="1704" spans="2:6" ht="15.75" hidden="1" customHeight="1" x14ac:dyDescent="0.25">
      <c r="B1704" s="13" t="s">
        <v>556</v>
      </c>
      <c r="C1704" s="13" t="s">
        <v>16245</v>
      </c>
      <c r="D1704" s="677" t="s">
        <v>16246</v>
      </c>
      <c r="E1704" s="13" t="s">
        <v>578</v>
      </c>
      <c r="F1704" s="681">
        <v>37.61</v>
      </c>
    </row>
    <row r="1705" spans="2:6" ht="15.75" hidden="1" customHeight="1" x14ac:dyDescent="0.25">
      <c r="B1705" s="13" t="s">
        <v>556</v>
      </c>
      <c r="C1705" s="13" t="s">
        <v>16247</v>
      </c>
      <c r="D1705" s="12" t="s">
        <v>16248</v>
      </c>
      <c r="E1705" s="13" t="s">
        <v>580</v>
      </c>
      <c r="F1705" s="681">
        <v>67.95</v>
      </c>
    </row>
    <row r="1706" spans="2:6" ht="15.75" hidden="1" customHeight="1" x14ac:dyDescent="0.25">
      <c r="B1706" s="13" t="s">
        <v>556</v>
      </c>
      <c r="C1706" s="13" t="s">
        <v>16249</v>
      </c>
      <c r="D1706" s="677" t="s">
        <v>16250</v>
      </c>
      <c r="E1706" s="13" t="s">
        <v>578</v>
      </c>
      <c r="F1706" s="681">
        <v>46.01</v>
      </c>
    </row>
    <row r="1707" spans="2:6" ht="15.75" hidden="1" customHeight="1" x14ac:dyDescent="0.25">
      <c r="B1707" s="13" t="s">
        <v>556</v>
      </c>
      <c r="C1707" s="13" t="s">
        <v>16251</v>
      </c>
      <c r="D1707" s="677" t="s">
        <v>16252</v>
      </c>
      <c r="E1707" s="13" t="s">
        <v>578</v>
      </c>
      <c r="F1707" s="681">
        <v>38.4</v>
      </c>
    </row>
    <row r="1708" spans="2:6" ht="15.75" hidden="1" customHeight="1" x14ac:dyDescent="0.25">
      <c r="B1708" s="13" t="s">
        <v>556</v>
      </c>
      <c r="C1708" s="13" t="s">
        <v>16253</v>
      </c>
      <c r="D1708" s="677" t="s">
        <v>16254</v>
      </c>
      <c r="E1708" s="13" t="s">
        <v>578</v>
      </c>
      <c r="F1708" s="681">
        <v>40.5</v>
      </c>
    </row>
    <row r="1709" spans="2:6" ht="15.75" hidden="1" customHeight="1" x14ac:dyDescent="0.25">
      <c r="B1709" s="13" t="s">
        <v>556</v>
      </c>
      <c r="C1709" s="13" t="s">
        <v>16255</v>
      </c>
      <c r="D1709" s="677" t="s">
        <v>16256</v>
      </c>
      <c r="E1709" s="13" t="s">
        <v>578</v>
      </c>
      <c r="F1709" s="681">
        <v>49.41</v>
      </c>
    </row>
    <row r="1710" spans="2:6" ht="15.75" hidden="1" customHeight="1" x14ac:dyDescent="0.25">
      <c r="B1710" s="13" t="s">
        <v>556</v>
      </c>
      <c r="C1710" s="13" t="s">
        <v>16257</v>
      </c>
      <c r="D1710" s="677" t="s">
        <v>16258</v>
      </c>
      <c r="E1710" s="13" t="s">
        <v>578</v>
      </c>
      <c r="F1710" s="681">
        <v>65.7</v>
      </c>
    </row>
    <row r="1711" spans="2:6" ht="15.75" hidden="1" customHeight="1" x14ac:dyDescent="0.25">
      <c r="B1711" s="13" t="s">
        <v>556</v>
      </c>
      <c r="C1711" s="13" t="s">
        <v>13204</v>
      </c>
      <c r="D1711" s="677" t="s">
        <v>16259</v>
      </c>
      <c r="E1711" s="13" t="s">
        <v>578</v>
      </c>
      <c r="F1711" s="681">
        <v>80.099999999999994</v>
      </c>
    </row>
    <row r="1712" spans="2:6" ht="15.75" hidden="1" customHeight="1" x14ac:dyDescent="0.25">
      <c r="B1712" s="13" t="s">
        <v>556</v>
      </c>
      <c r="C1712" s="13" t="s">
        <v>16260</v>
      </c>
      <c r="D1712" s="677" t="s">
        <v>16261</v>
      </c>
      <c r="E1712" s="13" t="s">
        <v>578</v>
      </c>
      <c r="F1712" s="681">
        <v>23.06</v>
      </c>
    </row>
    <row r="1713" spans="2:6" ht="15.75" hidden="1" customHeight="1" x14ac:dyDescent="0.25">
      <c r="B1713" s="13" t="s">
        <v>556</v>
      </c>
      <c r="C1713" s="13" t="s">
        <v>16262</v>
      </c>
      <c r="D1713" s="677" t="s">
        <v>16263</v>
      </c>
      <c r="E1713" s="13" t="s">
        <v>578</v>
      </c>
      <c r="F1713" s="681">
        <v>31</v>
      </c>
    </row>
    <row r="1714" spans="2:6" ht="15.75" hidden="1" customHeight="1" x14ac:dyDescent="0.25">
      <c r="B1714" s="13" t="s">
        <v>556</v>
      </c>
      <c r="C1714" s="13" t="s">
        <v>16264</v>
      </c>
      <c r="D1714" s="12" t="s">
        <v>16265</v>
      </c>
      <c r="E1714" s="13" t="s">
        <v>580</v>
      </c>
      <c r="F1714" s="681">
        <v>47.39</v>
      </c>
    </row>
    <row r="1715" spans="2:6" ht="15.75" hidden="1" customHeight="1" x14ac:dyDescent="0.25">
      <c r="B1715" s="13" t="s">
        <v>556</v>
      </c>
      <c r="C1715" s="13" t="s">
        <v>16266</v>
      </c>
      <c r="D1715" s="12" t="s">
        <v>16267</v>
      </c>
      <c r="E1715" s="13" t="s">
        <v>585</v>
      </c>
      <c r="F1715" s="681">
        <v>37.729999999999997</v>
      </c>
    </row>
    <row r="1716" spans="2:6" ht="15.75" hidden="1" customHeight="1" x14ac:dyDescent="0.25">
      <c r="B1716" s="13" t="s">
        <v>556</v>
      </c>
      <c r="C1716" s="13" t="s">
        <v>16268</v>
      </c>
      <c r="D1716" s="12" t="s">
        <v>16269</v>
      </c>
      <c r="E1716" s="13" t="s">
        <v>578</v>
      </c>
      <c r="F1716" s="681">
        <v>122.65</v>
      </c>
    </row>
    <row r="1717" spans="2:6" ht="15.75" hidden="1" customHeight="1" x14ac:dyDescent="0.25">
      <c r="B1717" s="13" t="s">
        <v>556</v>
      </c>
      <c r="C1717" s="13" t="s">
        <v>16270</v>
      </c>
      <c r="D1717" s="12" t="s">
        <v>16271</v>
      </c>
      <c r="E1717" s="13" t="s">
        <v>578</v>
      </c>
      <c r="F1717" s="681">
        <v>160.38999999999999</v>
      </c>
    </row>
    <row r="1718" spans="2:6" ht="15.75" hidden="1" customHeight="1" x14ac:dyDescent="0.25">
      <c r="B1718" s="13" t="s">
        <v>556</v>
      </c>
      <c r="C1718" s="13" t="s">
        <v>16272</v>
      </c>
      <c r="D1718" s="12" t="s">
        <v>16273</v>
      </c>
      <c r="E1718" s="13" t="s">
        <v>578</v>
      </c>
      <c r="F1718" s="681">
        <v>256.62</v>
      </c>
    </row>
    <row r="1719" spans="2:6" ht="15.75" hidden="1" customHeight="1" x14ac:dyDescent="0.25">
      <c r="B1719" s="13" t="s">
        <v>556</v>
      </c>
      <c r="C1719" s="13" t="s">
        <v>16274</v>
      </c>
      <c r="D1719" s="12" t="s">
        <v>9729</v>
      </c>
      <c r="E1719" s="13" t="s">
        <v>580</v>
      </c>
      <c r="F1719" s="681">
        <v>12.12</v>
      </c>
    </row>
    <row r="1720" spans="2:6" ht="15.75" hidden="1" customHeight="1" x14ac:dyDescent="0.25">
      <c r="B1720" s="13" t="s">
        <v>556</v>
      </c>
      <c r="C1720" s="13" t="s">
        <v>16275</v>
      </c>
      <c r="D1720" s="12" t="s">
        <v>9731</v>
      </c>
      <c r="E1720" s="13" t="s">
        <v>580</v>
      </c>
      <c r="F1720" s="681">
        <v>14.82</v>
      </c>
    </row>
    <row r="1721" spans="2:6" ht="15.75" hidden="1" customHeight="1" x14ac:dyDescent="0.25">
      <c r="B1721" s="13" t="s">
        <v>556</v>
      </c>
      <c r="C1721" s="13" t="s">
        <v>16276</v>
      </c>
      <c r="D1721" s="12" t="s">
        <v>9749</v>
      </c>
      <c r="E1721" s="13" t="s">
        <v>580</v>
      </c>
      <c r="F1721" s="681">
        <v>27.83</v>
      </c>
    </row>
    <row r="1722" spans="2:6" ht="15.75" hidden="1" customHeight="1" x14ac:dyDescent="0.25">
      <c r="B1722" s="13" t="s">
        <v>556</v>
      </c>
      <c r="C1722" s="13" t="s">
        <v>16277</v>
      </c>
      <c r="D1722" s="12" t="s">
        <v>16278</v>
      </c>
      <c r="E1722" s="13" t="s">
        <v>580</v>
      </c>
      <c r="F1722" s="681">
        <v>271.92</v>
      </c>
    </row>
    <row r="1723" spans="2:6" ht="15.75" hidden="1" customHeight="1" x14ac:dyDescent="0.25">
      <c r="B1723" s="13" t="s">
        <v>556</v>
      </c>
      <c r="C1723" s="13" t="s">
        <v>16279</v>
      </c>
      <c r="D1723" s="12" t="s">
        <v>16280</v>
      </c>
      <c r="E1723" s="13" t="s">
        <v>580</v>
      </c>
      <c r="F1723" s="681">
        <v>101.37</v>
      </c>
    </row>
    <row r="1724" spans="2:6" ht="15.75" hidden="1" customHeight="1" x14ac:dyDescent="0.25">
      <c r="B1724" s="13" t="s">
        <v>556</v>
      </c>
      <c r="C1724" s="13" t="s">
        <v>16281</v>
      </c>
      <c r="D1724" s="12" t="s">
        <v>9738</v>
      </c>
      <c r="E1724" s="13" t="s">
        <v>580</v>
      </c>
      <c r="F1724" s="681">
        <v>730.44</v>
      </c>
    </row>
    <row r="1725" spans="2:6" ht="15.75" hidden="1" customHeight="1" x14ac:dyDescent="0.25">
      <c r="B1725" s="13" t="s">
        <v>556</v>
      </c>
      <c r="C1725" s="13" t="s">
        <v>16282</v>
      </c>
      <c r="D1725" s="12" t="s">
        <v>9739</v>
      </c>
      <c r="E1725" s="13" t="s">
        <v>580</v>
      </c>
      <c r="F1725" s="681">
        <v>1353.51</v>
      </c>
    </row>
    <row r="1726" spans="2:6" ht="15.75" hidden="1" customHeight="1" x14ac:dyDescent="0.25">
      <c r="B1726" s="13" t="s">
        <v>556</v>
      </c>
      <c r="C1726" s="13" t="s">
        <v>16283</v>
      </c>
      <c r="D1726" s="12" t="s">
        <v>9732</v>
      </c>
      <c r="E1726" s="13" t="s">
        <v>580</v>
      </c>
      <c r="F1726" s="681">
        <v>57.42</v>
      </c>
    </row>
    <row r="1727" spans="2:6" ht="15.75" hidden="1" customHeight="1" x14ac:dyDescent="0.25">
      <c r="B1727" s="13" t="s">
        <v>556</v>
      </c>
      <c r="C1727" s="13" t="s">
        <v>16284</v>
      </c>
      <c r="D1727" s="12" t="s">
        <v>16285</v>
      </c>
      <c r="E1727" s="13" t="s">
        <v>580</v>
      </c>
      <c r="F1727" s="681">
        <v>55.7</v>
      </c>
    </row>
    <row r="1728" spans="2:6" ht="15.75" hidden="1" customHeight="1" x14ac:dyDescent="0.25">
      <c r="B1728" s="13" t="s">
        <v>556</v>
      </c>
      <c r="C1728" s="13" t="s">
        <v>16286</v>
      </c>
      <c r="D1728" s="12" t="s">
        <v>11055</v>
      </c>
      <c r="E1728" s="13" t="s">
        <v>578</v>
      </c>
      <c r="F1728" s="681">
        <v>521.39</v>
      </c>
    </row>
    <row r="1729" spans="2:6" ht="15.75" hidden="1" customHeight="1" x14ac:dyDescent="0.25">
      <c r="B1729" s="13" t="s">
        <v>556</v>
      </c>
      <c r="C1729" s="13" t="s">
        <v>16287</v>
      </c>
      <c r="D1729" s="12" t="s">
        <v>9733</v>
      </c>
      <c r="E1729" s="13" t="s">
        <v>580</v>
      </c>
      <c r="F1729" s="681">
        <v>68.58</v>
      </c>
    </row>
    <row r="1730" spans="2:6" ht="15.75" hidden="1" customHeight="1" x14ac:dyDescent="0.25">
      <c r="B1730" s="13" t="s">
        <v>556</v>
      </c>
      <c r="C1730" s="13" t="s">
        <v>16288</v>
      </c>
      <c r="D1730" s="12" t="s">
        <v>16289</v>
      </c>
      <c r="E1730" s="13" t="s">
        <v>580</v>
      </c>
      <c r="F1730" s="681">
        <v>17.39</v>
      </c>
    </row>
    <row r="1731" spans="2:6" ht="15.75" hidden="1" customHeight="1" x14ac:dyDescent="0.25">
      <c r="B1731" s="13" t="s">
        <v>556</v>
      </c>
      <c r="C1731" s="13" t="s">
        <v>16290</v>
      </c>
      <c r="D1731" s="12" t="s">
        <v>16291</v>
      </c>
      <c r="E1731" s="13" t="s">
        <v>578</v>
      </c>
      <c r="F1731" s="681">
        <v>1152.01</v>
      </c>
    </row>
    <row r="1732" spans="2:6" ht="15.75" hidden="1" customHeight="1" x14ac:dyDescent="0.25">
      <c r="B1732" s="13" t="s">
        <v>556</v>
      </c>
      <c r="C1732" s="13" t="s">
        <v>16292</v>
      </c>
      <c r="D1732" s="12" t="s">
        <v>16293</v>
      </c>
      <c r="E1732" s="13" t="s">
        <v>578</v>
      </c>
      <c r="F1732" s="681">
        <v>924</v>
      </c>
    </row>
    <row r="1733" spans="2:6" ht="15.75" hidden="1" customHeight="1" x14ac:dyDescent="0.25">
      <c r="B1733" s="13" t="s">
        <v>556</v>
      </c>
      <c r="C1733" s="13" t="s">
        <v>16294</v>
      </c>
      <c r="D1733" s="12" t="s">
        <v>9723</v>
      </c>
      <c r="E1733" s="13" t="s">
        <v>580</v>
      </c>
      <c r="F1733" s="681">
        <v>1064.6400000000001</v>
      </c>
    </row>
    <row r="1734" spans="2:6" ht="15.75" hidden="1" customHeight="1" x14ac:dyDescent="0.25">
      <c r="B1734" s="13" t="s">
        <v>556</v>
      </c>
      <c r="C1734" s="13" t="s">
        <v>16295</v>
      </c>
      <c r="D1734" s="12" t="s">
        <v>16296</v>
      </c>
      <c r="E1734" s="13" t="s">
        <v>580</v>
      </c>
      <c r="F1734" s="681">
        <v>45.29</v>
      </c>
    </row>
    <row r="1735" spans="2:6" ht="15.75" hidden="1" customHeight="1" x14ac:dyDescent="0.25">
      <c r="B1735" s="13" t="s">
        <v>556</v>
      </c>
      <c r="C1735" s="13" t="s">
        <v>16297</v>
      </c>
      <c r="D1735" s="12" t="s">
        <v>9724</v>
      </c>
      <c r="E1735" s="13" t="s">
        <v>580</v>
      </c>
      <c r="F1735" s="681">
        <v>1648.4</v>
      </c>
    </row>
    <row r="1736" spans="2:6" ht="15.75" hidden="1" customHeight="1" x14ac:dyDescent="0.25">
      <c r="B1736" s="13" t="s">
        <v>556</v>
      </c>
      <c r="C1736" s="13" t="s">
        <v>16298</v>
      </c>
      <c r="D1736" s="12" t="s">
        <v>9725</v>
      </c>
      <c r="E1736" s="13" t="s">
        <v>580</v>
      </c>
      <c r="F1736" s="681">
        <v>3851.17</v>
      </c>
    </row>
    <row r="1737" spans="2:6" ht="15.75" hidden="1" customHeight="1" x14ac:dyDescent="0.25">
      <c r="B1737" s="13" t="s">
        <v>556</v>
      </c>
      <c r="C1737" s="13" t="s">
        <v>16299</v>
      </c>
      <c r="D1737" s="12" t="s">
        <v>16300</v>
      </c>
      <c r="E1737" s="13" t="s">
        <v>580</v>
      </c>
      <c r="F1737" s="681">
        <v>37.33</v>
      </c>
    </row>
    <row r="1738" spans="2:6" ht="15.75" hidden="1" customHeight="1" x14ac:dyDescent="0.25">
      <c r="B1738" s="13" t="s">
        <v>556</v>
      </c>
      <c r="C1738" s="13" t="s">
        <v>16301</v>
      </c>
      <c r="D1738" s="677" t="s">
        <v>16302</v>
      </c>
      <c r="E1738" s="13" t="s">
        <v>578</v>
      </c>
      <c r="F1738" s="681">
        <v>50.14</v>
      </c>
    </row>
    <row r="1739" spans="2:6" ht="15.75" hidden="1" customHeight="1" x14ac:dyDescent="0.25">
      <c r="B1739" s="13" t="s">
        <v>556</v>
      </c>
      <c r="C1739" s="13" t="s">
        <v>16303</v>
      </c>
      <c r="D1739" s="12" t="s">
        <v>9399</v>
      </c>
      <c r="E1739" s="13" t="s">
        <v>578</v>
      </c>
      <c r="F1739" s="681">
        <v>84.68</v>
      </c>
    </row>
    <row r="1740" spans="2:6" ht="15.75" hidden="1" customHeight="1" x14ac:dyDescent="0.25">
      <c r="B1740" s="13" t="s">
        <v>556</v>
      </c>
      <c r="C1740" s="13" t="s">
        <v>16304</v>
      </c>
      <c r="D1740" s="12" t="s">
        <v>16305</v>
      </c>
      <c r="E1740" s="13" t="s">
        <v>578</v>
      </c>
      <c r="F1740" s="681">
        <v>37.200000000000003</v>
      </c>
    </row>
    <row r="1741" spans="2:6" ht="15.75" hidden="1" customHeight="1" x14ac:dyDescent="0.25">
      <c r="B1741" s="13" t="s">
        <v>556</v>
      </c>
      <c r="C1741" s="13" t="s">
        <v>16306</v>
      </c>
      <c r="D1741" s="12" t="s">
        <v>9401</v>
      </c>
      <c r="E1741" s="13" t="s">
        <v>578</v>
      </c>
      <c r="F1741" s="681">
        <v>114.38</v>
      </c>
    </row>
    <row r="1742" spans="2:6" ht="15.75" hidden="1" customHeight="1" x14ac:dyDescent="0.25">
      <c r="B1742" s="13" t="s">
        <v>556</v>
      </c>
      <c r="C1742" s="13" t="s">
        <v>16307</v>
      </c>
      <c r="D1742" s="12" t="s">
        <v>9402</v>
      </c>
      <c r="E1742" s="13" t="s">
        <v>578</v>
      </c>
      <c r="F1742" s="681">
        <v>31.19</v>
      </c>
    </row>
    <row r="1743" spans="2:6" ht="15.75" hidden="1" customHeight="1" x14ac:dyDescent="0.25">
      <c r="B1743" s="13" t="s">
        <v>556</v>
      </c>
      <c r="C1743" s="13" t="s">
        <v>16308</v>
      </c>
      <c r="D1743" s="12" t="s">
        <v>10889</v>
      </c>
      <c r="E1743" s="13" t="s">
        <v>585</v>
      </c>
      <c r="F1743" s="681">
        <v>101.54</v>
      </c>
    </row>
    <row r="1744" spans="2:6" ht="15.75" hidden="1" customHeight="1" x14ac:dyDescent="0.25">
      <c r="B1744" s="13" t="s">
        <v>556</v>
      </c>
      <c r="C1744" s="13" t="s">
        <v>16309</v>
      </c>
      <c r="D1744" s="12" t="s">
        <v>10283</v>
      </c>
      <c r="E1744" s="13" t="s">
        <v>580</v>
      </c>
      <c r="F1744" s="681">
        <v>4.6100000000000003</v>
      </c>
    </row>
    <row r="1745" spans="2:6" ht="15.75" hidden="1" customHeight="1" x14ac:dyDescent="0.25">
      <c r="B1745" s="13" t="s">
        <v>556</v>
      </c>
      <c r="C1745" s="13" t="s">
        <v>16310</v>
      </c>
      <c r="D1745" s="12" t="s">
        <v>9389</v>
      </c>
      <c r="E1745" s="13" t="s">
        <v>823</v>
      </c>
      <c r="F1745" s="681">
        <v>0.56000000000000005</v>
      </c>
    </row>
    <row r="1746" spans="2:6" ht="15.75" hidden="1" customHeight="1" x14ac:dyDescent="0.25">
      <c r="B1746" s="13" t="s">
        <v>14153</v>
      </c>
      <c r="C1746" s="13" t="s">
        <v>16311</v>
      </c>
      <c r="D1746" s="12" t="s">
        <v>10709</v>
      </c>
      <c r="E1746" s="13" t="s">
        <v>2193</v>
      </c>
      <c r="F1746" s="681">
        <v>32.96</v>
      </c>
    </row>
    <row r="1747" spans="2:6" ht="15.75" hidden="1" customHeight="1" x14ac:dyDescent="0.25">
      <c r="B1747" s="13" t="s">
        <v>556</v>
      </c>
      <c r="C1747" s="13" t="s">
        <v>16312</v>
      </c>
      <c r="D1747" s="12" t="s">
        <v>10670</v>
      </c>
      <c r="E1747" s="13" t="s">
        <v>580</v>
      </c>
      <c r="F1747" s="681">
        <v>1.83</v>
      </c>
    </row>
    <row r="1748" spans="2:6" ht="15.75" hidden="1" customHeight="1" x14ac:dyDescent="0.25">
      <c r="B1748" s="13" t="s">
        <v>556</v>
      </c>
      <c r="C1748" s="13" t="s">
        <v>16313</v>
      </c>
      <c r="D1748" s="12" t="s">
        <v>10667</v>
      </c>
      <c r="E1748" s="13" t="s">
        <v>580</v>
      </c>
      <c r="F1748" s="681">
        <v>1.8</v>
      </c>
    </row>
    <row r="1749" spans="2:6" ht="15.75" hidden="1" customHeight="1" x14ac:dyDescent="0.25">
      <c r="B1749" s="13" t="s">
        <v>556</v>
      </c>
      <c r="C1749" s="13" t="s">
        <v>16314</v>
      </c>
      <c r="D1749" s="12" t="s">
        <v>10669</v>
      </c>
      <c r="E1749" s="13" t="s">
        <v>580</v>
      </c>
      <c r="F1749" s="681">
        <v>2.97</v>
      </c>
    </row>
    <row r="1750" spans="2:6" ht="15.75" hidden="1" customHeight="1" x14ac:dyDescent="0.25">
      <c r="B1750" s="13" t="s">
        <v>556</v>
      </c>
      <c r="C1750" s="13" t="s">
        <v>16315</v>
      </c>
      <c r="D1750" s="12" t="s">
        <v>10331</v>
      </c>
      <c r="E1750" s="13" t="s">
        <v>580</v>
      </c>
      <c r="F1750" s="681">
        <v>26.13</v>
      </c>
    </row>
    <row r="1751" spans="2:6" ht="15.75" hidden="1" customHeight="1" x14ac:dyDescent="0.25">
      <c r="B1751" s="13" t="s">
        <v>556</v>
      </c>
      <c r="C1751" s="13" t="s">
        <v>16316</v>
      </c>
      <c r="D1751" s="12" t="s">
        <v>9410</v>
      </c>
      <c r="E1751" s="13" t="s">
        <v>8106</v>
      </c>
      <c r="F1751" s="681">
        <v>500.25</v>
      </c>
    </row>
    <row r="1752" spans="2:6" ht="15.75" hidden="1" customHeight="1" x14ac:dyDescent="0.25">
      <c r="B1752" s="13" t="s">
        <v>556</v>
      </c>
      <c r="C1752" s="13" t="s">
        <v>16317</v>
      </c>
      <c r="D1752" s="12" t="s">
        <v>10666</v>
      </c>
      <c r="E1752" s="13" t="s">
        <v>580</v>
      </c>
      <c r="F1752" s="681">
        <v>2.75</v>
      </c>
    </row>
    <row r="1753" spans="2:6" ht="15.75" hidden="1" customHeight="1" x14ac:dyDescent="0.25">
      <c r="B1753" s="13" t="s">
        <v>556</v>
      </c>
      <c r="C1753" s="13" t="s">
        <v>16318</v>
      </c>
      <c r="D1753" s="12" t="s">
        <v>10668</v>
      </c>
      <c r="E1753" s="13" t="s">
        <v>580</v>
      </c>
      <c r="F1753" s="681">
        <v>2.4</v>
      </c>
    </row>
    <row r="1754" spans="2:6" ht="15.75" hidden="1" customHeight="1" x14ac:dyDescent="0.25">
      <c r="B1754" s="13" t="s">
        <v>556</v>
      </c>
      <c r="C1754" s="13" t="s">
        <v>16319</v>
      </c>
      <c r="D1754" s="12" t="s">
        <v>10665</v>
      </c>
      <c r="E1754" s="13" t="s">
        <v>580</v>
      </c>
      <c r="F1754" s="681">
        <v>2.2799999999999998</v>
      </c>
    </row>
    <row r="1755" spans="2:6" ht="15.75" hidden="1" customHeight="1" x14ac:dyDescent="0.25">
      <c r="B1755" s="13" t="s">
        <v>556</v>
      </c>
      <c r="C1755" s="13" t="s">
        <v>16320</v>
      </c>
      <c r="D1755" s="12" t="s">
        <v>9802</v>
      </c>
      <c r="E1755" s="13" t="s">
        <v>580</v>
      </c>
      <c r="F1755" s="681">
        <v>2.95</v>
      </c>
    </row>
    <row r="1756" spans="2:6" ht="15.75" hidden="1" customHeight="1" x14ac:dyDescent="0.25">
      <c r="B1756" s="13" t="s">
        <v>556</v>
      </c>
      <c r="C1756" s="13" t="s">
        <v>16321</v>
      </c>
      <c r="D1756" s="12" t="s">
        <v>10332</v>
      </c>
      <c r="E1756" s="13" t="s">
        <v>580</v>
      </c>
      <c r="F1756" s="681">
        <v>62.66</v>
      </c>
    </row>
    <row r="1757" spans="2:6" ht="15.75" hidden="1" customHeight="1" x14ac:dyDescent="0.25">
      <c r="B1757" s="13" t="s">
        <v>556</v>
      </c>
      <c r="C1757" s="13" t="s">
        <v>16322</v>
      </c>
      <c r="D1757" s="12" t="s">
        <v>10672</v>
      </c>
      <c r="E1757" s="13" t="s">
        <v>580</v>
      </c>
      <c r="F1757" s="681">
        <v>1.67</v>
      </c>
    </row>
    <row r="1758" spans="2:6" ht="15.75" hidden="1" customHeight="1" x14ac:dyDescent="0.25">
      <c r="B1758" s="13" t="s">
        <v>556</v>
      </c>
      <c r="C1758" s="13" t="s">
        <v>16323</v>
      </c>
      <c r="D1758" s="12" t="s">
        <v>10671</v>
      </c>
      <c r="E1758" s="13" t="s">
        <v>580</v>
      </c>
      <c r="F1758" s="681">
        <v>1.21</v>
      </c>
    </row>
    <row r="1759" spans="2:6" ht="15.75" hidden="1" customHeight="1" x14ac:dyDescent="0.25">
      <c r="B1759" s="13" t="s">
        <v>14153</v>
      </c>
      <c r="C1759" s="13" t="s">
        <v>16324</v>
      </c>
      <c r="D1759" s="12" t="s">
        <v>10653</v>
      </c>
      <c r="E1759" s="13" t="s">
        <v>2193</v>
      </c>
      <c r="F1759" s="681">
        <v>33.39</v>
      </c>
    </row>
    <row r="1760" spans="2:6" ht="15.75" hidden="1" customHeight="1" x14ac:dyDescent="0.25">
      <c r="B1760" s="13" t="s">
        <v>556</v>
      </c>
      <c r="C1760" s="13" t="s">
        <v>16325</v>
      </c>
      <c r="D1760" s="12" t="s">
        <v>16326</v>
      </c>
      <c r="E1760" s="13" t="s">
        <v>580</v>
      </c>
      <c r="F1760" s="681">
        <v>402.81</v>
      </c>
    </row>
    <row r="1761" spans="2:6" ht="15.75" hidden="1" customHeight="1" x14ac:dyDescent="0.25">
      <c r="B1761" s="13" t="s">
        <v>556</v>
      </c>
      <c r="C1761" s="13" t="s">
        <v>16327</v>
      </c>
      <c r="D1761" s="12" t="s">
        <v>10098</v>
      </c>
      <c r="E1761" s="13" t="s">
        <v>664</v>
      </c>
      <c r="F1761" s="681">
        <v>395.46</v>
      </c>
    </row>
    <row r="1762" spans="2:6" ht="15.75" hidden="1" customHeight="1" x14ac:dyDescent="0.25">
      <c r="B1762" s="13" t="s">
        <v>556</v>
      </c>
      <c r="C1762" s="13" t="s">
        <v>16328</v>
      </c>
      <c r="D1762" s="12" t="s">
        <v>10078</v>
      </c>
      <c r="E1762" s="13" t="s">
        <v>580</v>
      </c>
      <c r="F1762" s="681">
        <v>1233.72</v>
      </c>
    </row>
    <row r="1763" spans="2:6" ht="15.75" hidden="1" customHeight="1" x14ac:dyDescent="0.25">
      <c r="B1763" s="13" t="s">
        <v>556</v>
      </c>
      <c r="C1763" s="13" t="s">
        <v>16329</v>
      </c>
      <c r="D1763" s="12" t="s">
        <v>10106</v>
      </c>
      <c r="E1763" s="13" t="s">
        <v>578</v>
      </c>
      <c r="F1763" s="681">
        <v>47.75</v>
      </c>
    </row>
    <row r="1764" spans="2:6" ht="15.75" hidden="1" customHeight="1" x14ac:dyDescent="0.25">
      <c r="B1764" s="13" t="s">
        <v>556</v>
      </c>
      <c r="C1764" s="13" t="s">
        <v>16330</v>
      </c>
      <c r="D1764" s="12" t="s">
        <v>10285</v>
      </c>
      <c r="E1764" s="13" t="s">
        <v>580</v>
      </c>
      <c r="F1764" s="681">
        <v>5.22</v>
      </c>
    </row>
    <row r="1765" spans="2:6" ht="15.75" hidden="1" customHeight="1" x14ac:dyDescent="0.25">
      <c r="B1765" s="13" t="s">
        <v>556</v>
      </c>
      <c r="C1765" s="13" t="s">
        <v>16331</v>
      </c>
      <c r="D1765" s="12" t="s">
        <v>10282</v>
      </c>
      <c r="E1765" s="13" t="s">
        <v>580</v>
      </c>
      <c r="F1765" s="681">
        <v>12.73</v>
      </c>
    </row>
    <row r="1766" spans="2:6" ht="15.75" hidden="1" customHeight="1" x14ac:dyDescent="0.25">
      <c r="B1766" s="13" t="s">
        <v>556</v>
      </c>
      <c r="C1766" s="13" t="s">
        <v>16332</v>
      </c>
      <c r="D1766" s="12" t="s">
        <v>9408</v>
      </c>
      <c r="E1766" s="13" t="s">
        <v>664</v>
      </c>
      <c r="F1766" s="681">
        <v>496.61</v>
      </c>
    </row>
    <row r="1767" spans="2:6" ht="15.75" hidden="1" customHeight="1" x14ac:dyDescent="0.25">
      <c r="B1767" s="13" t="s">
        <v>556</v>
      </c>
      <c r="C1767" s="13" t="s">
        <v>16333</v>
      </c>
      <c r="D1767" s="12" t="s">
        <v>10258</v>
      </c>
      <c r="E1767" s="13" t="s">
        <v>580</v>
      </c>
      <c r="F1767" s="681">
        <v>3.23</v>
      </c>
    </row>
    <row r="1768" spans="2:6" ht="15.75" hidden="1" customHeight="1" x14ac:dyDescent="0.25">
      <c r="B1768" s="13" t="s">
        <v>556</v>
      </c>
      <c r="C1768" s="13" t="s">
        <v>16334</v>
      </c>
      <c r="D1768" s="12" t="s">
        <v>10257</v>
      </c>
      <c r="E1768" s="13" t="s">
        <v>580</v>
      </c>
      <c r="F1768" s="681">
        <v>4.82</v>
      </c>
    </row>
    <row r="1769" spans="2:6" ht="15.75" hidden="1" customHeight="1" x14ac:dyDescent="0.25">
      <c r="B1769" s="13" t="s">
        <v>556</v>
      </c>
      <c r="C1769" s="13" t="s">
        <v>16335</v>
      </c>
      <c r="D1769" s="12" t="s">
        <v>10326</v>
      </c>
      <c r="E1769" s="13" t="s">
        <v>580</v>
      </c>
      <c r="F1769" s="681">
        <v>1.0900000000000001</v>
      </c>
    </row>
    <row r="1770" spans="2:6" ht="15.75" hidden="1" customHeight="1" x14ac:dyDescent="0.25">
      <c r="B1770" s="13" t="s">
        <v>556</v>
      </c>
      <c r="C1770" s="13" t="s">
        <v>16336</v>
      </c>
      <c r="D1770" s="12" t="s">
        <v>10327</v>
      </c>
      <c r="E1770" s="13" t="s">
        <v>580</v>
      </c>
      <c r="F1770" s="681">
        <v>1.44</v>
      </c>
    </row>
    <row r="1771" spans="2:6" ht="15.75" hidden="1" customHeight="1" x14ac:dyDescent="0.25">
      <c r="B1771" s="13" t="s">
        <v>556</v>
      </c>
      <c r="C1771" s="13" t="s">
        <v>16337</v>
      </c>
      <c r="D1771" s="12" t="s">
        <v>10328</v>
      </c>
      <c r="E1771" s="13" t="s">
        <v>580</v>
      </c>
      <c r="F1771" s="681">
        <v>3.98</v>
      </c>
    </row>
    <row r="1772" spans="2:6" ht="15.75" hidden="1" customHeight="1" x14ac:dyDescent="0.25">
      <c r="B1772" s="13" t="s">
        <v>556</v>
      </c>
      <c r="C1772" s="13" t="s">
        <v>16338</v>
      </c>
      <c r="D1772" s="12" t="s">
        <v>10329</v>
      </c>
      <c r="E1772" s="13" t="s">
        <v>580</v>
      </c>
      <c r="F1772" s="681">
        <v>5.72</v>
      </c>
    </row>
    <row r="1773" spans="2:6" ht="15.75" hidden="1" customHeight="1" x14ac:dyDescent="0.25">
      <c r="B1773" s="13" t="s">
        <v>556</v>
      </c>
      <c r="C1773" s="13" t="s">
        <v>16339</v>
      </c>
      <c r="D1773" s="12" t="s">
        <v>10330</v>
      </c>
      <c r="E1773" s="13" t="s">
        <v>580</v>
      </c>
      <c r="F1773" s="681">
        <v>7.19</v>
      </c>
    </row>
    <row r="1774" spans="2:6" ht="15.75" hidden="1" customHeight="1" x14ac:dyDescent="0.25">
      <c r="B1774" s="13" t="s">
        <v>556</v>
      </c>
      <c r="C1774" s="13" t="s">
        <v>16340</v>
      </c>
      <c r="D1774" s="12" t="s">
        <v>10287</v>
      </c>
      <c r="E1774" s="13" t="s">
        <v>580</v>
      </c>
      <c r="F1774" s="681">
        <v>2.52</v>
      </c>
    </row>
    <row r="1775" spans="2:6" ht="15.75" hidden="1" customHeight="1" x14ac:dyDescent="0.25">
      <c r="B1775" s="13" t="s">
        <v>556</v>
      </c>
      <c r="C1775" s="13" t="s">
        <v>16341</v>
      </c>
      <c r="D1775" s="12" t="s">
        <v>10315</v>
      </c>
      <c r="E1775" s="13" t="s">
        <v>580</v>
      </c>
      <c r="F1775" s="681">
        <v>7.44</v>
      </c>
    </row>
    <row r="1776" spans="2:6" ht="15.75" hidden="1" customHeight="1" x14ac:dyDescent="0.25">
      <c r="B1776" s="13" t="s">
        <v>556</v>
      </c>
      <c r="C1776" s="13" t="s">
        <v>16342</v>
      </c>
      <c r="D1776" s="12" t="s">
        <v>10280</v>
      </c>
      <c r="E1776" s="13" t="s">
        <v>580</v>
      </c>
      <c r="F1776" s="681">
        <v>12.11</v>
      </c>
    </row>
    <row r="1777" spans="2:6" ht="15.75" hidden="1" customHeight="1" x14ac:dyDescent="0.25">
      <c r="B1777" s="13" t="s">
        <v>556</v>
      </c>
      <c r="C1777" s="13" t="s">
        <v>16343</v>
      </c>
      <c r="D1777" s="12" t="s">
        <v>10334</v>
      </c>
      <c r="E1777" s="13" t="s">
        <v>580</v>
      </c>
      <c r="F1777" s="681">
        <v>82.02</v>
      </c>
    </row>
    <row r="1778" spans="2:6" ht="15.75" hidden="1" customHeight="1" x14ac:dyDescent="0.25">
      <c r="B1778" s="13" t="s">
        <v>556</v>
      </c>
      <c r="C1778" s="13" t="s">
        <v>16344</v>
      </c>
      <c r="D1778" s="12" t="s">
        <v>10299</v>
      </c>
      <c r="E1778" s="13" t="s">
        <v>580</v>
      </c>
      <c r="F1778" s="681">
        <v>98.06</v>
      </c>
    </row>
    <row r="1779" spans="2:6" ht="15.75" hidden="1" customHeight="1" x14ac:dyDescent="0.25">
      <c r="B1779" s="13" t="s">
        <v>556</v>
      </c>
      <c r="C1779" s="13" t="s">
        <v>16345</v>
      </c>
      <c r="D1779" s="12" t="s">
        <v>10302</v>
      </c>
      <c r="E1779" s="13" t="s">
        <v>580</v>
      </c>
      <c r="F1779" s="681">
        <v>6.26</v>
      </c>
    </row>
    <row r="1780" spans="2:6" ht="15.75" hidden="1" customHeight="1" x14ac:dyDescent="0.25">
      <c r="B1780" s="13" t="s">
        <v>556</v>
      </c>
      <c r="C1780" s="13" t="s">
        <v>16346</v>
      </c>
      <c r="D1780" s="12" t="s">
        <v>10300</v>
      </c>
      <c r="E1780" s="13" t="s">
        <v>580</v>
      </c>
      <c r="F1780" s="681">
        <v>2.5</v>
      </c>
    </row>
    <row r="1781" spans="2:6" ht="15.75" hidden="1" customHeight="1" x14ac:dyDescent="0.25">
      <c r="B1781" s="13" t="s">
        <v>556</v>
      </c>
      <c r="C1781" s="13" t="s">
        <v>16347</v>
      </c>
      <c r="D1781" s="12" t="s">
        <v>10301</v>
      </c>
      <c r="E1781" s="13" t="s">
        <v>580</v>
      </c>
      <c r="F1781" s="681">
        <v>2.2599999999999998</v>
      </c>
    </row>
    <row r="1782" spans="2:6" ht="15.75" hidden="1" customHeight="1" x14ac:dyDescent="0.25">
      <c r="B1782" s="13" t="s">
        <v>556</v>
      </c>
      <c r="C1782" s="13" t="s">
        <v>16348</v>
      </c>
      <c r="D1782" s="12" t="s">
        <v>10309</v>
      </c>
      <c r="E1782" s="13" t="s">
        <v>580</v>
      </c>
      <c r="F1782" s="681">
        <v>4.05</v>
      </c>
    </row>
    <row r="1783" spans="2:6" ht="15.75" hidden="1" customHeight="1" x14ac:dyDescent="0.25">
      <c r="B1783" s="13" t="s">
        <v>556</v>
      </c>
      <c r="C1783" s="13" t="s">
        <v>16349</v>
      </c>
      <c r="D1783" s="12" t="s">
        <v>10310</v>
      </c>
      <c r="E1783" s="13" t="s">
        <v>580</v>
      </c>
      <c r="F1783" s="681">
        <v>8.48</v>
      </c>
    </row>
    <row r="1784" spans="2:6" ht="15.75" hidden="1" customHeight="1" x14ac:dyDescent="0.25">
      <c r="B1784" s="13" t="s">
        <v>556</v>
      </c>
      <c r="C1784" s="13" t="s">
        <v>16350</v>
      </c>
      <c r="D1784" s="12" t="s">
        <v>10311</v>
      </c>
      <c r="E1784" s="13" t="s">
        <v>580</v>
      </c>
      <c r="F1784" s="681">
        <v>8.89</v>
      </c>
    </row>
    <row r="1785" spans="2:6" ht="15.75" hidden="1" customHeight="1" x14ac:dyDescent="0.25">
      <c r="B1785" s="13" t="s">
        <v>556</v>
      </c>
      <c r="C1785" s="13" t="s">
        <v>16351</v>
      </c>
      <c r="D1785" s="12" t="s">
        <v>10288</v>
      </c>
      <c r="E1785" s="13" t="s">
        <v>580</v>
      </c>
      <c r="F1785" s="681">
        <v>1.9</v>
      </c>
    </row>
    <row r="1786" spans="2:6" ht="15.75" hidden="1" customHeight="1" x14ac:dyDescent="0.25">
      <c r="B1786" s="13" t="s">
        <v>556</v>
      </c>
      <c r="C1786" s="13" t="s">
        <v>16352</v>
      </c>
      <c r="D1786" s="12" t="s">
        <v>10290</v>
      </c>
      <c r="E1786" s="13" t="s">
        <v>580</v>
      </c>
      <c r="F1786" s="681">
        <v>2.33</v>
      </c>
    </row>
    <row r="1787" spans="2:6" ht="15.75" hidden="1" customHeight="1" x14ac:dyDescent="0.25">
      <c r="B1787" s="13" t="s">
        <v>556</v>
      </c>
      <c r="C1787" s="13" t="s">
        <v>16353</v>
      </c>
      <c r="D1787" s="12" t="s">
        <v>10304</v>
      </c>
      <c r="E1787" s="13" t="s">
        <v>580</v>
      </c>
      <c r="F1787" s="681">
        <v>7.74</v>
      </c>
    </row>
    <row r="1788" spans="2:6" ht="15.75" hidden="1" customHeight="1" x14ac:dyDescent="0.25">
      <c r="B1788" s="13" t="s">
        <v>556</v>
      </c>
      <c r="C1788" s="13" t="s">
        <v>16354</v>
      </c>
      <c r="D1788" s="12" t="s">
        <v>10333</v>
      </c>
      <c r="E1788" s="13" t="s">
        <v>580</v>
      </c>
      <c r="F1788" s="681">
        <v>77.33</v>
      </c>
    </row>
    <row r="1789" spans="2:6" ht="15.75" hidden="1" customHeight="1" x14ac:dyDescent="0.25">
      <c r="B1789" s="13" t="s">
        <v>556</v>
      </c>
      <c r="C1789" s="13" t="s">
        <v>16355</v>
      </c>
      <c r="D1789" s="12" t="s">
        <v>10314</v>
      </c>
      <c r="E1789" s="13" t="s">
        <v>580</v>
      </c>
      <c r="F1789" s="681">
        <v>3.27</v>
      </c>
    </row>
    <row r="1790" spans="2:6" ht="15.75" hidden="1" customHeight="1" x14ac:dyDescent="0.25">
      <c r="B1790" s="13" t="s">
        <v>556</v>
      </c>
      <c r="C1790" s="13" t="s">
        <v>16356</v>
      </c>
      <c r="D1790" s="12" t="s">
        <v>10291</v>
      </c>
      <c r="E1790" s="13" t="s">
        <v>580</v>
      </c>
      <c r="F1790" s="681">
        <v>12.27</v>
      </c>
    </row>
    <row r="1791" spans="2:6" ht="15.75" hidden="1" customHeight="1" x14ac:dyDescent="0.25">
      <c r="B1791" s="13" t="s">
        <v>556</v>
      </c>
      <c r="C1791" s="13" t="s">
        <v>16357</v>
      </c>
      <c r="D1791" s="12" t="s">
        <v>11878</v>
      </c>
      <c r="E1791" s="13" t="s">
        <v>585</v>
      </c>
      <c r="F1791" s="681">
        <v>57.29</v>
      </c>
    </row>
    <row r="1792" spans="2:6" ht="15.75" hidden="1" customHeight="1" x14ac:dyDescent="0.25">
      <c r="B1792" s="13" t="s">
        <v>556</v>
      </c>
      <c r="C1792" s="13" t="s">
        <v>16358</v>
      </c>
      <c r="D1792" s="12" t="s">
        <v>11064</v>
      </c>
      <c r="E1792" s="13" t="s">
        <v>585</v>
      </c>
      <c r="F1792" s="681">
        <v>59.58</v>
      </c>
    </row>
    <row r="1793" spans="2:6" ht="15.75" hidden="1" customHeight="1" x14ac:dyDescent="0.25">
      <c r="B1793" s="13" t="s">
        <v>556</v>
      </c>
      <c r="C1793" s="13" t="s">
        <v>16359</v>
      </c>
      <c r="D1793" s="12" t="s">
        <v>10935</v>
      </c>
      <c r="E1793" s="13" t="s">
        <v>585</v>
      </c>
      <c r="F1793" s="681">
        <v>57.09</v>
      </c>
    </row>
    <row r="1794" spans="2:6" ht="15.75" hidden="1" customHeight="1" x14ac:dyDescent="0.25">
      <c r="B1794" s="13" t="s">
        <v>556</v>
      </c>
      <c r="C1794" s="13" t="s">
        <v>16360</v>
      </c>
      <c r="D1794" s="12" t="s">
        <v>10936</v>
      </c>
      <c r="E1794" s="13" t="s">
        <v>585</v>
      </c>
      <c r="F1794" s="681">
        <v>121.18</v>
      </c>
    </row>
    <row r="1795" spans="2:6" ht="15.75" hidden="1" customHeight="1" x14ac:dyDescent="0.25">
      <c r="B1795" s="13" t="s">
        <v>556</v>
      </c>
      <c r="C1795" s="13" t="s">
        <v>16361</v>
      </c>
      <c r="D1795" s="12" t="s">
        <v>10937</v>
      </c>
      <c r="E1795" s="13" t="s">
        <v>585</v>
      </c>
      <c r="F1795" s="681">
        <v>210.84</v>
      </c>
    </row>
    <row r="1796" spans="2:6" ht="15.75" hidden="1" customHeight="1" x14ac:dyDescent="0.25">
      <c r="B1796" s="13" t="s">
        <v>556</v>
      </c>
      <c r="C1796" s="13" t="s">
        <v>16362</v>
      </c>
      <c r="D1796" s="12" t="s">
        <v>9238</v>
      </c>
      <c r="E1796" s="13" t="s">
        <v>580</v>
      </c>
      <c r="F1796" s="681">
        <v>362.17</v>
      </c>
    </row>
    <row r="1797" spans="2:6" ht="15.75" hidden="1" customHeight="1" x14ac:dyDescent="0.25">
      <c r="B1797" s="13" t="s">
        <v>556</v>
      </c>
      <c r="C1797" s="13" t="s">
        <v>16363</v>
      </c>
      <c r="D1797" s="12" t="s">
        <v>10306</v>
      </c>
      <c r="E1797" s="13" t="s">
        <v>580</v>
      </c>
      <c r="F1797" s="681">
        <v>9.7799999999999994</v>
      </c>
    </row>
    <row r="1798" spans="2:6" ht="15.75" hidden="1" customHeight="1" x14ac:dyDescent="0.25">
      <c r="B1798" s="13" t="s">
        <v>556</v>
      </c>
      <c r="C1798" s="13" t="s">
        <v>16364</v>
      </c>
      <c r="D1798" s="12" t="s">
        <v>10294</v>
      </c>
      <c r="E1798" s="13" t="s">
        <v>580</v>
      </c>
      <c r="F1798" s="681">
        <v>0.7</v>
      </c>
    </row>
    <row r="1799" spans="2:6" ht="15.75" hidden="1" customHeight="1" x14ac:dyDescent="0.25">
      <c r="B1799" s="13" t="s">
        <v>556</v>
      </c>
      <c r="C1799" s="13" t="s">
        <v>16365</v>
      </c>
      <c r="D1799" s="12" t="s">
        <v>10292</v>
      </c>
      <c r="E1799" s="13" t="s">
        <v>580</v>
      </c>
      <c r="F1799" s="681">
        <v>198.7</v>
      </c>
    </row>
    <row r="1800" spans="2:6" ht="15.75" hidden="1" customHeight="1" x14ac:dyDescent="0.25">
      <c r="B1800" s="13" t="s">
        <v>556</v>
      </c>
      <c r="C1800" s="13" t="s">
        <v>16366</v>
      </c>
      <c r="D1800" s="12" t="s">
        <v>10289</v>
      </c>
      <c r="E1800" s="13" t="s">
        <v>580</v>
      </c>
      <c r="F1800" s="681">
        <v>3.62</v>
      </c>
    </row>
    <row r="1801" spans="2:6" ht="15.75" hidden="1" customHeight="1" x14ac:dyDescent="0.25">
      <c r="B1801" s="13" t="s">
        <v>556</v>
      </c>
      <c r="C1801" s="13" t="s">
        <v>16367</v>
      </c>
      <c r="D1801" s="12" t="s">
        <v>10305</v>
      </c>
      <c r="E1801" s="13" t="s">
        <v>580</v>
      </c>
      <c r="F1801" s="681">
        <v>17.899999999999999</v>
      </c>
    </row>
    <row r="1802" spans="2:6" ht="15.75" hidden="1" customHeight="1" x14ac:dyDescent="0.25">
      <c r="B1802" s="13" t="s">
        <v>556</v>
      </c>
      <c r="C1802" s="13" t="s">
        <v>16368</v>
      </c>
      <c r="D1802" s="12" t="s">
        <v>10255</v>
      </c>
      <c r="E1802" s="13" t="s">
        <v>580</v>
      </c>
      <c r="F1802" s="681">
        <v>2.63</v>
      </c>
    </row>
    <row r="1803" spans="2:6" ht="15.75" hidden="1" customHeight="1" x14ac:dyDescent="0.25">
      <c r="B1803" s="13" t="s">
        <v>556</v>
      </c>
      <c r="C1803" s="13" t="s">
        <v>16369</v>
      </c>
      <c r="D1803" s="12" t="s">
        <v>10284</v>
      </c>
      <c r="E1803" s="13" t="s">
        <v>580</v>
      </c>
      <c r="F1803" s="681">
        <v>7.3</v>
      </c>
    </row>
    <row r="1804" spans="2:6" ht="15.75" hidden="1" customHeight="1" x14ac:dyDescent="0.25">
      <c r="B1804" s="13" t="s">
        <v>556</v>
      </c>
      <c r="C1804" s="13" t="s">
        <v>16370</v>
      </c>
      <c r="D1804" s="12" t="s">
        <v>10296</v>
      </c>
      <c r="E1804" s="13" t="s">
        <v>580</v>
      </c>
      <c r="F1804" s="681">
        <v>5.67</v>
      </c>
    </row>
    <row r="1805" spans="2:6" ht="15.75" hidden="1" customHeight="1" x14ac:dyDescent="0.25">
      <c r="B1805" s="13" t="s">
        <v>556</v>
      </c>
      <c r="C1805" s="13" t="s">
        <v>16371</v>
      </c>
      <c r="D1805" s="12" t="s">
        <v>10295</v>
      </c>
      <c r="E1805" s="13" t="s">
        <v>580</v>
      </c>
      <c r="F1805" s="681">
        <v>2.33</v>
      </c>
    </row>
    <row r="1806" spans="2:6" ht="15.75" hidden="1" customHeight="1" x14ac:dyDescent="0.25">
      <c r="B1806" s="13" t="s">
        <v>556</v>
      </c>
      <c r="C1806" s="13" t="s">
        <v>16372</v>
      </c>
      <c r="D1806" s="12" t="s">
        <v>10256</v>
      </c>
      <c r="E1806" s="13" t="s">
        <v>580</v>
      </c>
      <c r="F1806" s="681">
        <v>4.97</v>
      </c>
    </row>
    <row r="1807" spans="2:6" ht="15.75" hidden="1" customHeight="1" x14ac:dyDescent="0.25">
      <c r="B1807" s="13" t="s">
        <v>556</v>
      </c>
      <c r="C1807" s="13" t="s">
        <v>16373</v>
      </c>
      <c r="D1807" s="12" t="s">
        <v>10298</v>
      </c>
      <c r="E1807" s="13" t="s">
        <v>580</v>
      </c>
      <c r="F1807" s="681">
        <v>27.81</v>
      </c>
    </row>
    <row r="1808" spans="2:6" ht="15.75" hidden="1" customHeight="1" x14ac:dyDescent="0.25">
      <c r="B1808" s="13" t="s">
        <v>556</v>
      </c>
      <c r="C1808" s="13" t="s">
        <v>16374</v>
      </c>
      <c r="D1808" s="12" t="s">
        <v>10297</v>
      </c>
      <c r="E1808" s="13" t="s">
        <v>580</v>
      </c>
      <c r="F1808" s="681">
        <v>4.8</v>
      </c>
    </row>
    <row r="1809" spans="2:6" ht="15.75" hidden="1" customHeight="1" x14ac:dyDescent="0.25">
      <c r="B1809" s="13" t="s">
        <v>556</v>
      </c>
      <c r="C1809" s="13" t="s">
        <v>16375</v>
      </c>
      <c r="D1809" s="12" t="s">
        <v>10293</v>
      </c>
      <c r="E1809" s="13" t="s">
        <v>580</v>
      </c>
      <c r="F1809" s="681">
        <v>0.56999999999999995</v>
      </c>
    </row>
    <row r="1810" spans="2:6" ht="15.75" hidden="1" customHeight="1" x14ac:dyDescent="0.25">
      <c r="B1810" s="13" t="s">
        <v>556</v>
      </c>
      <c r="C1810" s="13" t="s">
        <v>16376</v>
      </c>
      <c r="D1810" s="12" t="s">
        <v>10286</v>
      </c>
      <c r="E1810" s="13" t="s">
        <v>580</v>
      </c>
      <c r="F1810" s="681">
        <v>1.69</v>
      </c>
    </row>
    <row r="1811" spans="2:6" ht="15.75" hidden="1" customHeight="1" x14ac:dyDescent="0.25">
      <c r="B1811" s="13" t="s">
        <v>556</v>
      </c>
      <c r="C1811" s="13" t="s">
        <v>16377</v>
      </c>
      <c r="D1811" s="12" t="s">
        <v>11586</v>
      </c>
      <c r="E1811" s="13" t="s">
        <v>517</v>
      </c>
      <c r="F1811" s="681">
        <v>20.43</v>
      </c>
    </row>
    <row r="1812" spans="2:6" ht="15.75" hidden="1" customHeight="1" x14ac:dyDescent="0.25">
      <c r="B1812" s="13" t="s">
        <v>556</v>
      </c>
      <c r="C1812" s="13" t="s">
        <v>16378</v>
      </c>
      <c r="D1812" s="12" t="s">
        <v>11584</v>
      </c>
      <c r="E1812" s="13" t="s">
        <v>517</v>
      </c>
      <c r="F1812" s="681">
        <v>13.02</v>
      </c>
    </row>
    <row r="1813" spans="2:6" ht="15.75" hidden="1" customHeight="1" x14ac:dyDescent="0.25">
      <c r="B1813" s="13" t="s">
        <v>556</v>
      </c>
      <c r="C1813" s="13" t="s">
        <v>16379</v>
      </c>
      <c r="D1813" s="12" t="s">
        <v>10745</v>
      </c>
      <c r="E1813" s="13" t="s">
        <v>580</v>
      </c>
      <c r="F1813" s="681">
        <v>50.39</v>
      </c>
    </row>
    <row r="1814" spans="2:6" ht="15.75" hidden="1" customHeight="1" x14ac:dyDescent="0.25">
      <c r="B1814" s="13" t="s">
        <v>556</v>
      </c>
      <c r="C1814" s="13" t="s">
        <v>16380</v>
      </c>
      <c r="D1814" s="12" t="s">
        <v>16381</v>
      </c>
      <c r="E1814" s="13" t="s">
        <v>580</v>
      </c>
      <c r="F1814" s="681">
        <v>24.16</v>
      </c>
    </row>
    <row r="1815" spans="2:6" ht="15.75" hidden="1" customHeight="1" x14ac:dyDescent="0.25">
      <c r="B1815" s="13" t="s">
        <v>556</v>
      </c>
      <c r="C1815" s="13" t="s">
        <v>16382</v>
      </c>
      <c r="D1815" s="12" t="s">
        <v>16383</v>
      </c>
      <c r="E1815" s="13" t="s">
        <v>580</v>
      </c>
      <c r="F1815" s="681">
        <v>31.64</v>
      </c>
    </row>
    <row r="1816" spans="2:6" ht="15.75" hidden="1" customHeight="1" x14ac:dyDescent="0.25">
      <c r="B1816" s="13" t="s">
        <v>556</v>
      </c>
      <c r="C1816" s="13" t="s">
        <v>16384</v>
      </c>
      <c r="D1816" s="12" t="s">
        <v>16385</v>
      </c>
      <c r="E1816" s="13" t="s">
        <v>580</v>
      </c>
      <c r="F1816" s="681">
        <v>48.53</v>
      </c>
    </row>
    <row r="1817" spans="2:6" ht="15.75" hidden="1" customHeight="1" x14ac:dyDescent="0.25">
      <c r="B1817" s="13" t="s">
        <v>556</v>
      </c>
      <c r="C1817" s="13" t="s">
        <v>16386</v>
      </c>
      <c r="D1817" s="12" t="s">
        <v>16387</v>
      </c>
      <c r="E1817" s="13" t="s">
        <v>580</v>
      </c>
      <c r="F1817" s="681">
        <v>78.209999999999994</v>
      </c>
    </row>
    <row r="1818" spans="2:6" ht="15.75" hidden="1" customHeight="1" x14ac:dyDescent="0.25">
      <c r="B1818" s="13" t="s">
        <v>556</v>
      </c>
      <c r="C1818" s="13" t="s">
        <v>16388</v>
      </c>
      <c r="D1818" s="12" t="s">
        <v>16389</v>
      </c>
      <c r="E1818" s="13" t="s">
        <v>580</v>
      </c>
      <c r="F1818" s="681">
        <v>154.63999999999999</v>
      </c>
    </row>
    <row r="1819" spans="2:6" ht="15.75" hidden="1" customHeight="1" x14ac:dyDescent="0.25">
      <c r="B1819" s="13" t="s">
        <v>556</v>
      </c>
      <c r="C1819" s="13" t="s">
        <v>16390</v>
      </c>
      <c r="D1819" s="12" t="s">
        <v>10746</v>
      </c>
      <c r="E1819" s="13" t="s">
        <v>580</v>
      </c>
      <c r="F1819" s="681">
        <v>103.51</v>
      </c>
    </row>
    <row r="1820" spans="2:6" ht="15.75" hidden="1" customHeight="1" x14ac:dyDescent="0.25">
      <c r="B1820" s="13" t="s">
        <v>556</v>
      </c>
      <c r="C1820" s="13" t="s">
        <v>16391</v>
      </c>
      <c r="D1820" s="12" t="s">
        <v>16392</v>
      </c>
      <c r="E1820" s="13" t="s">
        <v>580</v>
      </c>
      <c r="F1820" s="681">
        <v>288.11</v>
      </c>
    </row>
    <row r="1821" spans="2:6" ht="15.75" hidden="1" customHeight="1" x14ac:dyDescent="0.25">
      <c r="B1821" s="13" t="s">
        <v>556</v>
      </c>
      <c r="C1821" s="13" t="s">
        <v>16393</v>
      </c>
      <c r="D1821" s="12" t="s">
        <v>16394</v>
      </c>
      <c r="E1821" s="13" t="s">
        <v>580</v>
      </c>
      <c r="F1821" s="681">
        <v>730.05</v>
      </c>
    </row>
    <row r="1822" spans="2:6" ht="15.75" hidden="1" customHeight="1" x14ac:dyDescent="0.25">
      <c r="B1822" s="13" t="s">
        <v>556</v>
      </c>
      <c r="C1822" s="13" t="s">
        <v>16395</v>
      </c>
      <c r="D1822" s="12" t="s">
        <v>16396</v>
      </c>
      <c r="E1822" s="13" t="s">
        <v>580</v>
      </c>
      <c r="F1822" s="681">
        <v>455.41</v>
      </c>
    </row>
    <row r="1823" spans="2:6" ht="15.75" hidden="1" customHeight="1" x14ac:dyDescent="0.25">
      <c r="B1823" s="13" t="s">
        <v>556</v>
      </c>
      <c r="C1823" s="13" t="s">
        <v>16397</v>
      </c>
      <c r="D1823" s="12" t="s">
        <v>16398</v>
      </c>
      <c r="E1823" s="13" t="s">
        <v>580</v>
      </c>
      <c r="F1823" s="681">
        <v>101.47</v>
      </c>
    </row>
    <row r="1824" spans="2:6" ht="15.75" hidden="1" customHeight="1" x14ac:dyDescent="0.25">
      <c r="B1824" s="13" t="s">
        <v>556</v>
      </c>
      <c r="C1824" s="13" t="s">
        <v>16399</v>
      </c>
      <c r="D1824" s="12" t="s">
        <v>10748</v>
      </c>
      <c r="E1824" s="13" t="s">
        <v>580</v>
      </c>
      <c r="F1824" s="681">
        <v>2.37</v>
      </c>
    </row>
    <row r="1825" spans="2:6" ht="15.75" hidden="1" customHeight="1" x14ac:dyDescent="0.25">
      <c r="B1825" s="13" t="s">
        <v>556</v>
      </c>
      <c r="C1825" s="13" t="s">
        <v>16400</v>
      </c>
      <c r="D1825" s="12" t="s">
        <v>8864</v>
      </c>
      <c r="E1825" s="13" t="s">
        <v>580</v>
      </c>
      <c r="F1825" s="681">
        <v>209.9</v>
      </c>
    </row>
    <row r="1826" spans="2:6" ht="15.75" hidden="1" customHeight="1" x14ac:dyDescent="0.25">
      <c r="B1826" s="13" t="s">
        <v>556</v>
      </c>
      <c r="C1826" s="13" t="s">
        <v>16401</v>
      </c>
      <c r="D1826" s="12" t="s">
        <v>8860</v>
      </c>
      <c r="E1826" s="13" t="s">
        <v>580</v>
      </c>
      <c r="F1826" s="681">
        <v>225.54</v>
      </c>
    </row>
    <row r="1827" spans="2:6" ht="15.75" hidden="1" customHeight="1" x14ac:dyDescent="0.25">
      <c r="B1827" s="13" t="s">
        <v>556</v>
      </c>
      <c r="C1827" s="13" t="s">
        <v>16402</v>
      </c>
      <c r="D1827" s="12" t="s">
        <v>16403</v>
      </c>
      <c r="E1827" s="13" t="s">
        <v>585</v>
      </c>
      <c r="F1827" s="681">
        <v>17.989999999999998</v>
      </c>
    </row>
    <row r="1828" spans="2:6" ht="15.75" hidden="1" customHeight="1" x14ac:dyDescent="0.25">
      <c r="B1828" s="13" t="s">
        <v>556</v>
      </c>
      <c r="C1828" s="13" t="s">
        <v>16404</v>
      </c>
      <c r="D1828" s="12" t="s">
        <v>10639</v>
      </c>
      <c r="E1828" s="13" t="s">
        <v>580</v>
      </c>
      <c r="F1828" s="681">
        <v>40.5</v>
      </c>
    </row>
    <row r="1829" spans="2:6" ht="15.75" hidden="1" customHeight="1" x14ac:dyDescent="0.25">
      <c r="B1829" s="13" t="s">
        <v>556</v>
      </c>
      <c r="C1829" s="13" t="s">
        <v>16405</v>
      </c>
      <c r="D1829" s="12" t="s">
        <v>11101</v>
      </c>
      <c r="E1829" s="13" t="s">
        <v>580</v>
      </c>
      <c r="F1829" s="681">
        <v>2.25</v>
      </c>
    </row>
    <row r="1830" spans="2:6" ht="15.75" hidden="1" customHeight="1" x14ac:dyDescent="0.25">
      <c r="B1830" s="13" t="s">
        <v>556</v>
      </c>
      <c r="C1830" s="13" t="s">
        <v>16406</v>
      </c>
      <c r="D1830" s="12" t="s">
        <v>11100</v>
      </c>
      <c r="E1830" s="13" t="s">
        <v>580</v>
      </c>
      <c r="F1830" s="681">
        <v>30.75</v>
      </c>
    </row>
    <row r="1831" spans="2:6" ht="15.75" hidden="1" customHeight="1" x14ac:dyDescent="0.25">
      <c r="B1831" s="13" t="s">
        <v>556</v>
      </c>
      <c r="C1831" s="13" t="s">
        <v>16407</v>
      </c>
      <c r="D1831" s="12" t="s">
        <v>11203</v>
      </c>
      <c r="E1831" s="13" t="s">
        <v>580</v>
      </c>
      <c r="F1831" s="681">
        <v>1.68</v>
      </c>
    </row>
    <row r="1832" spans="2:6" ht="15.75" hidden="1" customHeight="1" x14ac:dyDescent="0.25">
      <c r="B1832" s="13" t="s">
        <v>556</v>
      </c>
      <c r="C1832" s="13" t="s">
        <v>16408</v>
      </c>
      <c r="D1832" s="12" t="s">
        <v>8991</v>
      </c>
      <c r="E1832" s="13" t="s">
        <v>8838</v>
      </c>
      <c r="F1832" s="681">
        <v>43.2</v>
      </c>
    </row>
    <row r="1833" spans="2:6" ht="15.75" hidden="1" customHeight="1" x14ac:dyDescent="0.25">
      <c r="B1833" s="13" t="s">
        <v>556</v>
      </c>
      <c r="C1833" s="13" t="s">
        <v>16409</v>
      </c>
      <c r="D1833" s="12" t="s">
        <v>11102</v>
      </c>
      <c r="E1833" s="13" t="s">
        <v>580</v>
      </c>
      <c r="F1833" s="681">
        <v>255</v>
      </c>
    </row>
    <row r="1834" spans="2:6" ht="15.75" hidden="1" customHeight="1" x14ac:dyDescent="0.25">
      <c r="B1834" s="13" t="s">
        <v>556</v>
      </c>
      <c r="C1834" s="13" t="s">
        <v>16410</v>
      </c>
      <c r="D1834" s="12" t="s">
        <v>10472</v>
      </c>
      <c r="E1834" s="13" t="s">
        <v>8838</v>
      </c>
      <c r="F1834" s="681">
        <v>388.14</v>
      </c>
    </row>
    <row r="1835" spans="2:6" ht="15.75" hidden="1" customHeight="1" x14ac:dyDescent="0.25">
      <c r="B1835" s="13" t="s">
        <v>556</v>
      </c>
      <c r="C1835" s="13" t="s">
        <v>16411</v>
      </c>
      <c r="D1835" s="12" t="s">
        <v>9392</v>
      </c>
      <c r="E1835" s="13" t="s">
        <v>580</v>
      </c>
      <c r="F1835" s="681">
        <v>72</v>
      </c>
    </row>
    <row r="1836" spans="2:6" ht="15.75" hidden="1" customHeight="1" x14ac:dyDescent="0.25">
      <c r="B1836" s="13" t="s">
        <v>556</v>
      </c>
      <c r="C1836" s="13" t="s">
        <v>16412</v>
      </c>
      <c r="D1836" s="12" t="s">
        <v>11653</v>
      </c>
      <c r="E1836" s="13" t="s">
        <v>580</v>
      </c>
      <c r="F1836" s="681">
        <v>176.25</v>
      </c>
    </row>
    <row r="1837" spans="2:6" ht="15.75" hidden="1" customHeight="1" x14ac:dyDescent="0.25">
      <c r="B1837" s="13" t="s">
        <v>556</v>
      </c>
      <c r="C1837" s="13" t="s">
        <v>16413</v>
      </c>
      <c r="D1837" s="12" t="s">
        <v>8810</v>
      </c>
      <c r="E1837" s="13" t="s">
        <v>580</v>
      </c>
      <c r="F1837" s="681">
        <v>44.55</v>
      </c>
    </row>
    <row r="1838" spans="2:6" ht="15.75" hidden="1" customHeight="1" x14ac:dyDescent="0.25">
      <c r="B1838" s="13" t="s">
        <v>556</v>
      </c>
      <c r="C1838" s="13" t="s">
        <v>16414</v>
      </c>
      <c r="D1838" s="12" t="s">
        <v>10582</v>
      </c>
      <c r="E1838" s="13" t="s">
        <v>580</v>
      </c>
      <c r="F1838" s="681">
        <v>30</v>
      </c>
    </row>
    <row r="1839" spans="2:6" ht="15.75" hidden="1" customHeight="1" x14ac:dyDescent="0.25">
      <c r="B1839" s="13" t="s">
        <v>556</v>
      </c>
      <c r="C1839" s="13" t="s">
        <v>16415</v>
      </c>
      <c r="D1839" s="12" t="s">
        <v>10753</v>
      </c>
      <c r="E1839" s="13" t="s">
        <v>580</v>
      </c>
      <c r="F1839" s="681">
        <v>5.85</v>
      </c>
    </row>
    <row r="1840" spans="2:6" ht="15.75" hidden="1" customHeight="1" x14ac:dyDescent="0.25">
      <c r="B1840" s="13" t="s">
        <v>556</v>
      </c>
      <c r="C1840" s="13" t="s">
        <v>16416</v>
      </c>
      <c r="D1840" s="12" t="s">
        <v>11320</v>
      </c>
      <c r="E1840" s="13" t="s">
        <v>580</v>
      </c>
      <c r="F1840" s="681">
        <v>200.62</v>
      </c>
    </row>
    <row r="1841" spans="2:6" ht="15.75" hidden="1" customHeight="1" x14ac:dyDescent="0.25">
      <c r="B1841" s="13" t="s">
        <v>556</v>
      </c>
      <c r="C1841" s="13" t="s">
        <v>16417</v>
      </c>
      <c r="D1841" s="12" t="s">
        <v>8951</v>
      </c>
      <c r="E1841" s="13" t="s">
        <v>578</v>
      </c>
      <c r="F1841" s="681">
        <v>87.8</v>
      </c>
    </row>
    <row r="1842" spans="2:6" ht="15.75" hidden="1" customHeight="1" x14ac:dyDescent="0.25">
      <c r="B1842" s="13" t="s">
        <v>556</v>
      </c>
      <c r="C1842" s="13" t="s">
        <v>16418</v>
      </c>
      <c r="D1842" s="12" t="s">
        <v>8950</v>
      </c>
      <c r="E1842" s="13" t="s">
        <v>578</v>
      </c>
      <c r="F1842" s="681">
        <v>63.16</v>
      </c>
    </row>
    <row r="1843" spans="2:6" ht="15.75" hidden="1" customHeight="1" x14ac:dyDescent="0.25">
      <c r="B1843" s="13" t="s">
        <v>556</v>
      </c>
      <c r="C1843" s="13" t="s">
        <v>16419</v>
      </c>
      <c r="D1843" s="12" t="s">
        <v>8949</v>
      </c>
      <c r="E1843" s="13" t="s">
        <v>578</v>
      </c>
      <c r="F1843" s="681">
        <v>73.17</v>
      </c>
    </row>
    <row r="1844" spans="2:6" ht="15.75" hidden="1" customHeight="1" x14ac:dyDescent="0.25">
      <c r="B1844" s="13" t="s">
        <v>556</v>
      </c>
      <c r="C1844" s="13" t="s">
        <v>16420</v>
      </c>
      <c r="D1844" s="12" t="s">
        <v>8952</v>
      </c>
      <c r="E1844" s="13" t="s">
        <v>578</v>
      </c>
      <c r="F1844" s="681">
        <v>79.790000000000006</v>
      </c>
    </row>
    <row r="1845" spans="2:6" ht="15.75" hidden="1" customHeight="1" x14ac:dyDescent="0.25">
      <c r="B1845" s="13" t="s">
        <v>556</v>
      </c>
      <c r="C1845" s="13" t="s">
        <v>16421</v>
      </c>
      <c r="D1845" s="12" t="s">
        <v>10964</v>
      </c>
      <c r="E1845" s="13" t="s">
        <v>580</v>
      </c>
      <c r="F1845" s="681">
        <v>16.72</v>
      </c>
    </row>
    <row r="1846" spans="2:6" ht="15.75" hidden="1" customHeight="1" x14ac:dyDescent="0.25">
      <c r="B1846" s="13" t="s">
        <v>556</v>
      </c>
      <c r="C1846" s="13" t="s">
        <v>16422</v>
      </c>
      <c r="D1846" s="12" t="s">
        <v>8858</v>
      </c>
      <c r="E1846" s="13" t="s">
        <v>580</v>
      </c>
      <c r="F1846" s="681">
        <v>190.46</v>
      </c>
    </row>
    <row r="1847" spans="2:6" ht="15.75" hidden="1" customHeight="1" x14ac:dyDescent="0.25">
      <c r="B1847" s="13" t="s">
        <v>556</v>
      </c>
      <c r="C1847" s="13" t="s">
        <v>16423</v>
      </c>
      <c r="D1847" s="12" t="s">
        <v>8859</v>
      </c>
      <c r="E1847" s="13" t="s">
        <v>580</v>
      </c>
      <c r="F1847" s="681">
        <v>211.52</v>
      </c>
    </row>
    <row r="1848" spans="2:6" ht="15.75" hidden="1" customHeight="1" x14ac:dyDescent="0.25">
      <c r="B1848" s="13" t="s">
        <v>556</v>
      </c>
      <c r="C1848" s="13" t="s">
        <v>16424</v>
      </c>
      <c r="D1848" s="12" t="s">
        <v>8861</v>
      </c>
      <c r="E1848" s="13" t="s">
        <v>580</v>
      </c>
      <c r="F1848" s="681">
        <v>236.29</v>
      </c>
    </row>
    <row r="1849" spans="2:6" ht="15.75" hidden="1" customHeight="1" x14ac:dyDescent="0.25">
      <c r="B1849" s="13" t="s">
        <v>556</v>
      </c>
      <c r="C1849" s="13" t="s">
        <v>16425</v>
      </c>
      <c r="D1849" s="12" t="s">
        <v>8855</v>
      </c>
      <c r="E1849" s="13" t="s">
        <v>580</v>
      </c>
      <c r="F1849" s="681">
        <v>432.6</v>
      </c>
    </row>
    <row r="1850" spans="2:6" ht="15.75" hidden="1" customHeight="1" x14ac:dyDescent="0.25">
      <c r="B1850" s="13" t="s">
        <v>556</v>
      </c>
      <c r="C1850" s="13" t="s">
        <v>16426</v>
      </c>
      <c r="D1850" s="12" t="s">
        <v>8856</v>
      </c>
      <c r="E1850" s="13" t="s">
        <v>580</v>
      </c>
      <c r="F1850" s="681">
        <v>496.48</v>
      </c>
    </row>
    <row r="1851" spans="2:6" ht="15.75" hidden="1" customHeight="1" x14ac:dyDescent="0.25">
      <c r="B1851" s="13" t="s">
        <v>556</v>
      </c>
      <c r="C1851" s="13" t="s">
        <v>16427</v>
      </c>
      <c r="D1851" s="12" t="s">
        <v>8857</v>
      </c>
      <c r="E1851" s="13" t="s">
        <v>580</v>
      </c>
      <c r="F1851" s="681">
        <v>537.17999999999995</v>
      </c>
    </row>
    <row r="1852" spans="2:6" ht="15.75" hidden="1" customHeight="1" x14ac:dyDescent="0.25">
      <c r="B1852" s="13" t="s">
        <v>556</v>
      </c>
      <c r="C1852" s="13" t="s">
        <v>16428</v>
      </c>
      <c r="D1852" s="12" t="s">
        <v>8835</v>
      </c>
      <c r="E1852" s="13" t="s">
        <v>580</v>
      </c>
      <c r="F1852" s="681">
        <v>976.69</v>
      </c>
    </row>
    <row r="1853" spans="2:6" ht="15.75" hidden="1" customHeight="1" x14ac:dyDescent="0.25">
      <c r="B1853" s="13" t="s">
        <v>556</v>
      </c>
      <c r="C1853" s="13" t="s">
        <v>16429</v>
      </c>
      <c r="D1853" s="12" t="s">
        <v>8862</v>
      </c>
      <c r="E1853" s="13" t="s">
        <v>580</v>
      </c>
      <c r="F1853" s="681">
        <v>169.23</v>
      </c>
    </row>
    <row r="1854" spans="2:6" ht="15.75" hidden="1" customHeight="1" x14ac:dyDescent="0.25">
      <c r="B1854" s="13" t="s">
        <v>556</v>
      </c>
      <c r="C1854" s="13" t="s">
        <v>16430</v>
      </c>
      <c r="D1854" s="12" t="s">
        <v>8863</v>
      </c>
      <c r="E1854" s="13" t="s">
        <v>580</v>
      </c>
      <c r="F1854" s="681">
        <v>194.05</v>
      </c>
    </row>
    <row r="1855" spans="2:6" ht="15.75" hidden="1" customHeight="1" x14ac:dyDescent="0.25">
      <c r="B1855" s="13" t="s">
        <v>556</v>
      </c>
      <c r="C1855" s="13" t="s">
        <v>16431</v>
      </c>
      <c r="D1855" s="12" t="s">
        <v>8865</v>
      </c>
      <c r="E1855" s="13" t="s">
        <v>580</v>
      </c>
      <c r="F1855" s="681">
        <v>219.8</v>
      </c>
    </row>
    <row r="1856" spans="2:6" ht="15.75" hidden="1" customHeight="1" x14ac:dyDescent="0.25">
      <c r="B1856" s="13" t="s">
        <v>556</v>
      </c>
      <c r="C1856" s="13" t="s">
        <v>16432</v>
      </c>
      <c r="D1856" s="12" t="s">
        <v>10068</v>
      </c>
      <c r="E1856" s="13" t="s">
        <v>578</v>
      </c>
      <c r="F1856" s="681">
        <v>33.54</v>
      </c>
    </row>
    <row r="1857" spans="2:6" ht="15.75" hidden="1" customHeight="1" x14ac:dyDescent="0.25">
      <c r="B1857" s="13" t="s">
        <v>556</v>
      </c>
      <c r="C1857" s="13" t="s">
        <v>16433</v>
      </c>
      <c r="D1857" s="12" t="s">
        <v>10069</v>
      </c>
      <c r="E1857" s="13" t="s">
        <v>578</v>
      </c>
      <c r="F1857" s="681">
        <v>24.64</v>
      </c>
    </row>
    <row r="1858" spans="2:6" ht="15.75" hidden="1" customHeight="1" x14ac:dyDescent="0.25">
      <c r="B1858" s="13" t="s">
        <v>556</v>
      </c>
      <c r="C1858" s="13" t="s">
        <v>16434</v>
      </c>
      <c r="D1858" s="12" t="s">
        <v>10070</v>
      </c>
      <c r="E1858" s="13" t="s">
        <v>578</v>
      </c>
      <c r="F1858" s="681">
        <v>24.08</v>
      </c>
    </row>
    <row r="1859" spans="2:6" ht="15.75" hidden="1" customHeight="1" x14ac:dyDescent="0.25">
      <c r="B1859" s="13" t="s">
        <v>556</v>
      </c>
      <c r="C1859" s="13" t="s">
        <v>16435</v>
      </c>
      <c r="D1859" s="12" t="s">
        <v>8533</v>
      </c>
      <c r="E1859" s="13" t="s">
        <v>585</v>
      </c>
      <c r="F1859" s="681">
        <v>4.04</v>
      </c>
    </row>
    <row r="1860" spans="2:6" ht="15.75" hidden="1" customHeight="1" x14ac:dyDescent="0.25">
      <c r="B1860" s="13" t="s">
        <v>556</v>
      </c>
      <c r="C1860" s="13" t="s">
        <v>16436</v>
      </c>
      <c r="D1860" s="12" t="s">
        <v>11215</v>
      </c>
      <c r="E1860" s="13" t="s">
        <v>585</v>
      </c>
      <c r="F1860" s="681">
        <v>4.58</v>
      </c>
    </row>
    <row r="1861" spans="2:6" ht="15.75" hidden="1" customHeight="1" x14ac:dyDescent="0.25">
      <c r="B1861" s="13" t="s">
        <v>556</v>
      </c>
      <c r="C1861" s="13" t="s">
        <v>16437</v>
      </c>
      <c r="D1861" s="12" t="s">
        <v>11730</v>
      </c>
      <c r="E1861" s="13" t="s">
        <v>585</v>
      </c>
      <c r="F1861" s="681">
        <v>8.94</v>
      </c>
    </row>
    <row r="1862" spans="2:6" ht="15.75" hidden="1" customHeight="1" x14ac:dyDescent="0.25">
      <c r="B1862" s="13" t="s">
        <v>556</v>
      </c>
      <c r="C1862" s="13" t="s">
        <v>16438</v>
      </c>
      <c r="D1862" s="12" t="s">
        <v>11731</v>
      </c>
      <c r="E1862" s="13" t="s">
        <v>585</v>
      </c>
      <c r="F1862" s="681">
        <v>12.12</v>
      </c>
    </row>
    <row r="1863" spans="2:6" ht="15.75" hidden="1" customHeight="1" x14ac:dyDescent="0.25">
      <c r="B1863" s="13" t="s">
        <v>556</v>
      </c>
      <c r="C1863" s="13" t="s">
        <v>16439</v>
      </c>
      <c r="D1863" s="12" t="s">
        <v>11395</v>
      </c>
      <c r="E1863" s="13" t="s">
        <v>580</v>
      </c>
      <c r="F1863" s="681">
        <v>2.86</v>
      </c>
    </row>
    <row r="1864" spans="2:6" ht="15.75" hidden="1" customHeight="1" x14ac:dyDescent="0.25">
      <c r="B1864" s="13" t="s">
        <v>556</v>
      </c>
      <c r="C1864" s="13" t="s">
        <v>16440</v>
      </c>
      <c r="D1864" s="12" t="s">
        <v>11784</v>
      </c>
      <c r="E1864" s="13" t="s">
        <v>580</v>
      </c>
      <c r="F1864" s="681">
        <v>13.85</v>
      </c>
    </row>
    <row r="1865" spans="2:6" ht="15.75" hidden="1" customHeight="1" x14ac:dyDescent="0.25">
      <c r="B1865" s="13" t="s">
        <v>556</v>
      </c>
      <c r="C1865" s="13" t="s">
        <v>16441</v>
      </c>
      <c r="D1865" s="12" t="s">
        <v>11783</v>
      </c>
      <c r="E1865" s="13" t="s">
        <v>580</v>
      </c>
      <c r="F1865" s="681">
        <v>21.57</v>
      </c>
    </row>
    <row r="1866" spans="2:6" ht="15.75" hidden="1" customHeight="1" x14ac:dyDescent="0.25">
      <c r="B1866" s="13" t="s">
        <v>556</v>
      </c>
      <c r="C1866" s="13" t="s">
        <v>16442</v>
      </c>
      <c r="D1866" s="12" t="s">
        <v>10543</v>
      </c>
      <c r="E1866" s="13" t="s">
        <v>580</v>
      </c>
      <c r="F1866" s="681">
        <v>2.19</v>
      </c>
    </row>
    <row r="1867" spans="2:6" ht="15.75" hidden="1" customHeight="1" x14ac:dyDescent="0.25">
      <c r="B1867" s="13" t="s">
        <v>556</v>
      </c>
      <c r="C1867" s="13" t="s">
        <v>16443</v>
      </c>
      <c r="D1867" s="12" t="s">
        <v>10544</v>
      </c>
      <c r="E1867" s="13" t="s">
        <v>580</v>
      </c>
      <c r="F1867" s="681">
        <v>2</v>
      </c>
    </row>
    <row r="1868" spans="2:6" ht="15.75" hidden="1" customHeight="1" x14ac:dyDescent="0.25">
      <c r="B1868" s="13" t="s">
        <v>556</v>
      </c>
      <c r="C1868" s="13" t="s">
        <v>16444</v>
      </c>
      <c r="D1868" s="12" t="s">
        <v>9055</v>
      </c>
      <c r="E1868" s="13" t="s">
        <v>580</v>
      </c>
      <c r="F1868" s="681">
        <v>3.75</v>
      </c>
    </row>
    <row r="1869" spans="2:6" ht="15.75" hidden="1" customHeight="1" x14ac:dyDescent="0.25">
      <c r="B1869" s="13" t="s">
        <v>556</v>
      </c>
      <c r="C1869" s="13" t="s">
        <v>16445</v>
      </c>
      <c r="D1869" s="12" t="s">
        <v>9307</v>
      </c>
      <c r="E1869" s="13" t="s">
        <v>580</v>
      </c>
      <c r="F1869" s="681">
        <v>2.21</v>
      </c>
    </row>
    <row r="1870" spans="2:6" ht="15.75" hidden="1" customHeight="1" x14ac:dyDescent="0.25">
      <c r="B1870" s="13" t="s">
        <v>556</v>
      </c>
      <c r="C1870" s="13" t="s">
        <v>16446</v>
      </c>
      <c r="D1870" s="12" t="s">
        <v>9308</v>
      </c>
      <c r="E1870" s="13" t="s">
        <v>580</v>
      </c>
      <c r="F1870" s="681">
        <v>3.32</v>
      </c>
    </row>
    <row r="1871" spans="2:6" ht="15.75" hidden="1" customHeight="1" x14ac:dyDescent="0.25">
      <c r="B1871" s="13" t="s">
        <v>556</v>
      </c>
      <c r="C1871" s="13" t="s">
        <v>16447</v>
      </c>
      <c r="D1871" s="12" t="s">
        <v>10262</v>
      </c>
      <c r="E1871" s="13" t="s">
        <v>580</v>
      </c>
      <c r="F1871" s="681">
        <v>1.96</v>
      </c>
    </row>
    <row r="1872" spans="2:6" ht="15.75" hidden="1" customHeight="1" x14ac:dyDescent="0.25">
      <c r="B1872" s="13" t="s">
        <v>556</v>
      </c>
      <c r="C1872" s="13" t="s">
        <v>16448</v>
      </c>
      <c r="D1872" s="12" t="s">
        <v>10263</v>
      </c>
      <c r="E1872" s="13" t="s">
        <v>580</v>
      </c>
      <c r="F1872" s="681">
        <v>2.7</v>
      </c>
    </row>
    <row r="1873" spans="2:6" ht="15.75" hidden="1" customHeight="1" x14ac:dyDescent="0.25">
      <c r="B1873" s="13" t="s">
        <v>556</v>
      </c>
      <c r="C1873" s="13" t="s">
        <v>16449</v>
      </c>
      <c r="D1873" s="12" t="s">
        <v>9684</v>
      </c>
      <c r="E1873" s="13" t="s">
        <v>580</v>
      </c>
      <c r="F1873" s="681">
        <v>9.4600000000000009</v>
      </c>
    </row>
    <row r="1874" spans="2:6" ht="15.75" hidden="1" customHeight="1" x14ac:dyDescent="0.25">
      <c r="B1874" s="13" t="s">
        <v>556</v>
      </c>
      <c r="C1874" s="13" t="s">
        <v>16450</v>
      </c>
      <c r="D1874" s="12" t="s">
        <v>9685</v>
      </c>
      <c r="E1874" s="13" t="s">
        <v>580</v>
      </c>
      <c r="F1874" s="681">
        <v>15.22</v>
      </c>
    </row>
    <row r="1875" spans="2:6" ht="15.75" hidden="1" customHeight="1" x14ac:dyDescent="0.25">
      <c r="B1875" s="13" t="s">
        <v>556</v>
      </c>
      <c r="C1875" s="13" t="s">
        <v>16451</v>
      </c>
      <c r="D1875" s="12" t="s">
        <v>11782</v>
      </c>
      <c r="E1875" s="13" t="s">
        <v>580</v>
      </c>
      <c r="F1875" s="681">
        <v>132.33000000000001</v>
      </c>
    </row>
    <row r="1876" spans="2:6" ht="15.75" hidden="1" customHeight="1" x14ac:dyDescent="0.25">
      <c r="B1876" s="13" t="s">
        <v>556</v>
      </c>
      <c r="C1876" s="13" t="s">
        <v>16452</v>
      </c>
      <c r="D1876" s="12" t="s">
        <v>10271</v>
      </c>
      <c r="E1876" s="13" t="s">
        <v>580</v>
      </c>
      <c r="F1876" s="681">
        <v>1.74</v>
      </c>
    </row>
    <row r="1877" spans="2:6" ht="15.75" hidden="1" customHeight="1" x14ac:dyDescent="0.25">
      <c r="B1877" s="13" t="s">
        <v>556</v>
      </c>
      <c r="C1877" s="13" t="s">
        <v>16453</v>
      </c>
      <c r="D1877" s="12" t="s">
        <v>10272</v>
      </c>
      <c r="E1877" s="13" t="s">
        <v>580</v>
      </c>
      <c r="F1877" s="681">
        <v>2.34</v>
      </c>
    </row>
    <row r="1878" spans="2:6" ht="15.75" hidden="1" customHeight="1" x14ac:dyDescent="0.25">
      <c r="B1878" s="13" t="s">
        <v>556</v>
      </c>
      <c r="C1878" s="13" t="s">
        <v>16454</v>
      </c>
      <c r="D1878" s="12" t="s">
        <v>11394</v>
      </c>
      <c r="E1878" s="13" t="s">
        <v>580</v>
      </c>
      <c r="F1878" s="681">
        <v>3.33</v>
      </c>
    </row>
    <row r="1879" spans="2:6" ht="15.75" hidden="1" customHeight="1" x14ac:dyDescent="0.25">
      <c r="B1879" s="13" t="s">
        <v>556</v>
      </c>
      <c r="C1879" s="13" t="s">
        <v>16455</v>
      </c>
      <c r="D1879" s="12" t="s">
        <v>11659</v>
      </c>
      <c r="E1879" s="13" t="s">
        <v>585</v>
      </c>
      <c r="F1879" s="681">
        <v>42.95</v>
      </c>
    </row>
    <row r="1880" spans="2:6" ht="15.75" hidden="1" customHeight="1" x14ac:dyDescent="0.25">
      <c r="B1880" s="13" t="s">
        <v>556</v>
      </c>
      <c r="C1880" s="13" t="s">
        <v>16456</v>
      </c>
      <c r="D1880" s="12" t="s">
        <v>16457</v>
      </c>
      <c r="E1880" s="13" t="s">
        <v>585</v>
      </c>
      <c r="F1880" s="681">
        <v>37.36</v>
      </c>
    </row>
    <row r="1881" spans="2:6" ht="15.75" hidden="1" customHeight="1" x14ac:dyDescent="0.25">
      <c r="B1881" s="13" t="s">
        <v>556</v>
      </c>
      <c r="C1881" s="13" t="s">
        <v>16458</v>
      </c>
      <c r="D1881" s="12" t="s">
        <v>16459</v>
      </c>
      <c r="E1881" s="13" t="s">
        <v>585</v>
      </c>
      <c r="F1881" s="681">
        <v>60.72</v>
      </c>
    </row>
    <row r="1882" spans="2:6" ht="15.75" hidden="1" customHeight="1" x14ac:dyDescent="0.25">
      <c r="B1882" s="13" t="s">
        <v>556</v>
      </c>
      <c r="C1882" s="13" t="s">
        <v>16460</v>
      </c>
      <c r="D1882" s="12" t="s">
        <v>16461</v>
      </c>
      <c r="E1882" s="13" t="s">
        <v>585</v>
      </c>
      <c r="F1882" s="681">
        <v>22.2</v>
      </c>
    </row>
    <row r="1883" spans="2:6" ht="15.75" hidden="1" customHeight="1" x14ac:dyDescent="0.25">
      <c r="B1883" s="13" t="s">
        <v>556</v>
      </c>
      <c r="C1883" s="13" t="s">
        <v>16462</v>
      </c>
      <c r="D1883" s="12" t="s">
        <v>16463</v>
      </c>
      <c r="E1883" s="13" t="s">
        <v>585</v>
      </c>
      <c r="F1883" s="681">
        <v>43.6</v>
      </c>
    </row>
    <row r="1884" spans="2:6" ht="15.75" hidden="1" customHeight="1" x14ac:dyDescent="0.25">
      <c r="B1884" s="13" t="s">
        <v>556</v>
      </c>
      <c r="C1884" s="13" t="s">
        <v>16464</v>
      </c>
      <c r="D1884" s="12" t="s">
        <v>16465</v>
      </c>
      <c r="E1884" s="13" t="s">
        <v>585</v>
      </c>
      <c r="F1884" s="681">
        <v>72.84</v>
      </c>
    </row>
    <row r="1885" spans="2:6" ht="15.75" hidden="1" customHeight="1" x14ac:dyDescent="0.25">
      <c r="B1885" s="13" t="s">
        <v>556</v>
      </c>
      <c r="C1885" s="13" t="s">
        <v>16466</v>
      </c>
      <c r="D1885" s="12" t="s">
        <v>16467</v>
      </c>
      <c r="E1885" s="13" t="s">
        <v>585</v>
      </c>
      <c r="F1885" s="681">
        <v>27.29</v>
      </c>
    </row>
    <row r="1886" spans="2:6" ht="15.75" hidden="1" customHeight="1" x14ac:dyDescent="0.25">
      <c r="B1886" s="13" t="s">
        <v>556</v>
      </c>
      <c r="C1886" s="13" t="s">
        <v>16468</v>
      </c>
      <c r="D1886" s="12" t="s">
        <v>16469</v>
      </c>
      <c r="E1886" s="13" t="s">
        <v>585</v>
      </c>
      <c r="F1886" s="681">
        <v>55.02</v>
      </c>
    </row>
    <row r="1887" spans="2:6" ht="15.75" hidden="1" customHeight="1" x14ac:dyDescent="0.25">
      <c r="B1887" s="13" t="s">
        <v>556</v>
      </c>
      <c r="C1887" s="13" t="s">
        <v>16470</v>
      </c>
      <c r="D1887" s="12" t="s">
        <v>16471</v>
      </c>
      <c r="E1887" s="13" t="s">
        <v>585</v>
      </c>
      <c r="F1887" s="681">
        <v>91.08</v>
      </c>
    </row>
    <row r="1888" spans="2:6" ht="15.75" hidden="1" customHeight="1" x14ac:dyDescent="0.25">
      <c r="B1888" s="13" t="s">
        <v>14150</v>
      </c>
      <c r="C1888" s="13" t="s">
        <v>16472</v>
      </c>
      <c r="D1888" s="12" t="s">
        <v>8878</v>
      </c>
      <c r="E1888" s="13" t="s">
        <v>580</v>
      </c>
      <c r="F1888" s="681">
        <v>5605.93</v>
      </c>
    </row>
    <row r="1889" spans="2:6" ht="15.75" hidden="1" customHeight="1" x14ac:dyDescent="0.25">
      <c r="B1889" s="13" t="s">
        <v>14150</v>
      </c>
      <c r="C1889" s="13" t="s">
        <v>16473</v>
      </c>
      <c r="D1889" s="12" t="s">
        <v>8879</v>
      </c>
      <c r="E1889" s="13" t="s">
        <v>580</v>
      </c>
      <c r="F1889" s="681">
        <v>19932.2</v>
      </c>
    </row>
    <row r="1890" spans="2:6" ht="15.75" hidden="1" customHeight="1" x14ac:dyDescent="0.25">
      <c r="B1890" s="13" t="s">
        <v>14150</v>
      </c>
      <c r="C1890" s="13" t="s">
        <v>16474</v>
      </c>
      <c r="D1890" s="12" t="s">
        <v>8880</v>
      </c>
      <c r="E1890" s="13" t="s">
        <v>580</v>
      </c>
      <c r="F1890" s="681">
        <v>24225.93</v>
      </c>
    </row>
    <row r="1891" spans="2:6" ht="15.75" hidden="1" customHeight="1" x14ac:dyDescent="0.25">
      <c r="B1891" s="13" t="s">
        <v>14150</v>
      </c>
      <c r="C1891" s="13" t="s">
        <v>16475</v>
      </c>
      <c r="D1891" s="12" t="s">
        <v>9922</v>
      </c>
      <c r="E1891" s="13" t="s">
        <v>580</v>
      </c>
      <c r="F1891" s="681">
        <v>1174174.19</v>
      </c>
    </row>
    <row r="1892" spans="2:6" ht="15.75" hidden="1" customHeight="1" x14ac:dyDescent="0.25">
      <c r="B1892" s="13" t="s">
        <v>14150</v>
      </c>
      <c r="C1892" s="13" t="s">
        <v>16476</v>
      </c>
      <c r="D1892" s="12" t="s">
        <v>16477</v>
      </c>
      <c r="E1892" s="13" t="s">
        <v>580</v>
      </c>
      <c r="F1892" s="681">
        <v>246246.87</v>
      </c>
    </row>
    <row r="1893" spans="2:6" ht="15.75" hidden="1" customHeight="1" x14ac:dyDescent="0.25">
      <c r="B1893" s="13" t="s">
        <v>14150</v>
      </c>
      <c r="C1893" s="13" t="s">
        <v>16478</v>
      </c>
      <c r="D1893" s="12" t="s">
        <v>16479</v>
      </c>
      <c r="E1893" s="13" t="s">
        <v>580</v>
      </c>
      <c r="F1893" s="681">
        <v>665336.65</v>
      </c>
    </row>
    <row r="1894" spans="2:6" ht="15.75" hidden="1" customHeight="1" x14ac:dyDescent="0.25">
      <c r="B1894" s="13" t="s">
        <v>14150</v>
      </c>
      <c r="C1894" s="13" t="s">
        <v>16480</v>
      </c>
      <c r="D1894" s="12" t="s">
        <v>16481</v>
      </c>
      <c r="E1894" s="13" t="s">
        <v>580</v>
      </c>
      <c r="F1894" s="681">
        <v>72048.320000000007</v>
      </c>
    </row>
    <row r="1895" spans="2:6" ht="15.75" hidden="1" customHeight="1" x14ac:dyDescent="0.25">
      <c r="B1895" s="13" t="s">
        <v>14150</v>
      </c>
      <c r="C1895" s="13" t="s">
        <v>16482</v>
      </c>
      <c r="D1895" s="12" t="s">
        <v>16483</v>
      </c>
      <c r="E1895" s="13" t="s">
        <v>580</v>
      </c>
      <c r="F1895" s="681">
        <v>4373.4399999999996</v>
      </c>
    </row>
    <row r="1896" spans="2:6" ht="15.75" hidden="1" customHeight="1" x14ac:dyDescent="0.25">
      <c r="B1896" s="13" t="s">
        <v>14150</v>
      </c>
      <c r="C1896" s="13" t="s">
        <v>16484</v>
      </c>
      <c r="D1896" s="12" t="s">
        <v>16485</v>
      </c>
      <c r="E1896" s="13" t="s">
        <v>580</v>
      </c>
      <c r="F1896" s="681">
        <v>1510707.81</v>
      </c>
    </row>
    <row r="1897" spans="2:6" ht="15.75" hidden="1" customHeight="1" x14ac:dyDescent="0.25">
      <c r="B1897" s="13" t="s">
        <v>14150</v>
      </c>
      <c r="C1897" s="13" t="s">
        <v>16486</v>
      </c>
      <c r="D1897" s="12" t="s">
        <v>16487</v>
      </c>
      <c r="E1897" s="13" t="s">
        <v>580</v>
      </c>
      <c r="F1897" s="681">
        <v>1555760.07</v>
      </c>
    </row>
    <row r="1898" spans="2:6" ht="15.75" hidden="1" customHeight="1" x14ac:dyDescent="0.25">
      <c r="B1898" s="13" t="s">
        <v>14150</v>
      </c>
      <c r="C1898" s="13" t="s">
        <v>16488</v>
      </c>
      <c r="D1898" s="12" t="s">
        <v>16489</v>
      </c>
      <c r="E1898" s="13" t="s">
        <v>580</v>
      </c>
      <c r="F1898" s="681">
        <v>837501.45</v>
      </c>
    </row>
    <row r="1899" spans="2:6" ht="15.75" hidden="1" customHeight="1" x14ac:dyDescent="0.25">
      <c r="B1899" s="13" t="s">
        <v>14150</v>
      </c>
      <c r="C1899" s="13" t="s">
        <v>16490</v>
      </c>
      <c r="D1899" s="12" t="s">
        <v>16491</v>
      </c>
      <c r="E1899" s="13" t="s">
        <v>580</v>
      </c>
      <c r="F1899" s="681">
        <v>739215.78</v>
      </c>
    </row>
    <row r="1900" spans="2:6" ht="15.75" hidden="1" customHeight="1" x14ac:dyDescent="0.25">
      <c r="B1900" s="13" t="s">
        <v>14150</v>
      </c>
      <c r="C1900" s="13" t="s">
        <v>16492</v>
      </c>
      <c r="D1900" s="12" t="s">
        <v>16493</v>
      </c>
      <c r="E1900" s="13" t="s">
        <v>580</v>
      </c>
      <c r="F1900" s="681">
        <v>8558.7099999999991</v>
      </c>
    </row>
    <row r="1901" spans="2:6" ht="15.75" hidden="1" customHeight="1" x14ac:dyDescent="0.25">
      <c r="B1901" s="13" t="s">
        <v>14150</v>
      </c>
      <c r="C1901" s="13" t="s">
        <v>16494</v>
      </c>
      <c r="D1901" s="12" t="s">
        <v>16495</v>
      </c>
      <c r="E1901" s="13" t="s">
        <v>580</v>
      </c>
      <c r="F1901" s="681">
        <v>2511.81</v>
      </c>
    </row>
    <row r="1902" spans="2:6" ht="15.75" hidden="1" customHeight="1" x14ac:dyDescent="0.25">
      <c r="B1902" s="13" t="s">
        <v>14150</v>
      </c>
      <c r="C1902" s="13" t="s">
        <v>16496</v>
      </c>
      <c r="D1902" s="12" t="s">
        <v>10114</v>
      </c>
      <c r="E1902" s="13" t="s">
        <v>580</v>
      </c>
      <c r="F1902" s="681">
        <v>9222.83</v>
      </c>
    </row>
    <row r="1903" spans="2:6" ht="15.75" hidden="1" customHeight="1" x14ac:dyDescent="0.25">
      <c r="B1903" s="13" t="s">
        <v>14150</v>
      </c>
      <c r="C1903" s="13" t="s">
        <v>16497</v>
      </c>
      <c r="D1903" s="12" t="s">
        <v>10145</v>
      </c>
      <c r="E1903" s="13" t="s">
        <v>580</v>
      </c>
      <c r="F1903" s="681">
        <v>4980.32</v>
      </c>
    </row>
    <row r="1904" spans="2:6" ht="15.75" hidden="1" customHeight="1" x14ac:dyDescent="0.25">
      <c r="B1904" s="13" t="s">
        <v>556</v>
      </c>
      <c r="C1904" s="13" t="s">
        <v>16498</v>
      </c>
      <c r="D1904" s="12" t="s">
        <v>10742</v>
      </c>
      <c r="E1904" s="13" t="s">
        <v>580</v>
      </c>
      <c r="F1904" s="681">
        <v>42.22</v>
      </c>
    </row>
    <row r="1905" spans="2:6" ht="15.75" hidden="1" customHeight="1" x14ac:dyDescent="0.25">
      <c r="B1905" s="13" t="s">
        <v>14150</v>
      </c>
      <c r="C1905" s="13" t="s">
        <v>16499</v>
      </c>
      <c r="D1905" s="12" t="s">
        <v>10161</v>
      </c>
      <c r="E1905" s="13" t="s">
        <v>580</v>
      </c>
      <c r="F1905" s="681">
        <v>120606.17</v>
      </c>
    </row>
    <row r="1906" spans="2:6" ht="15.75" hidden="1" customHeight="1" x14ac:dyDescent="0.25">
      <c r="B1906" s="13" t="s">
        <v>14150</v>
      </c>
      <c r="C1906" s="13" t="s">
        <v>16500</v>
      </c>
      <c r="D1906" s="12" t="s">
        <v>10159</v>
      </c>
      <c r="E1906" s="13" t="s">
        <v>580</v>
      </c>
      <c r="F1906" s="681">
        <v>170667.66</v>
      </c>
    </row>
    <row r="1907" spans="2:6" ht="15.75" hidden="1" customHeight="1" x14ac:dyDescent="0.25">
      <c r="B1907" s="13" t="s">
        <v>14150</v>
      </c>
      <c r="C1907" s="13" t="s">
        <v>16501</v>
      </c>
      <c r="D1907" s="12" t="s">
        <v>10718</v>
      </c>
      <c r="E1907" s="13" t="s">
        <v>580</v>
      </c>
      <c r="F1907" s="681">
        <v>3926.66</v>
      </c>
    </row>
    <row r="1908" spans="2:6" ht="15.75" hidden="1" customHeight="1" x14ac:dyDescent="0.25">
      <c r="B1908" s="13" t="s">
        <v>14150</v>
      </c>
      <c r="C1908" s="13" t="s">
        <v>16502</v>
      </c>
      <c r="D1908" s="12" t="s">
        <v>10719</v>
      </c>
      <c r="E1908" s="13" t="s">
        <v>580</v>
      </c>
      <c r="F1908" s="681">
        <v>4842.03</v>
      </c>
    </row>
    <row r="1909" spans="2:6" ht="15.75" hidden="1" customHeight="1" x14ac:dyDescent="0.25">
      <c r="B1909" s="13" t="s">
        <v>14150</v>
      </c>
      <c r="C1909" s="13" t="s">
        <v>16503</v>
      </c>
      <c r="D1909" s="12" t="s">
        <v>11651</v>
      </c>
      <c r="E1909" s="13" t="s">
        <v>580</v>
      </c>
      <c r="F1909" s="681">
        <v>2062409.72</v>
      </c>
    </row>
    <row r="1910" spans="2:6" ht="15.75" hidden="1" customHeight="1" x14ac:dyDescent="0.25">
      <c r="B1910" s="13" t="s">
        <v>14150</v>
      </c>
      <c r="C1910" s="13" t="s">
        <v>16504</v>
      </c>
      <c r="D1910" s="12" t="s">
        <v>11644</v>
      </c>
      <c r="E1910" s="13" t="s">
        <v>580</v>
      </c>
      <c r="F1910" s="681">
        <v>1130275.1599999999</v>
      </c>
    </row>
    <row r="1911" spans="2:6" ht="15.75" hidden="1" customHeight="1" x14ac:dyDescent="0.25">
      <c r="B1911" s="13" t="s">
        <v>14150</v>
      </c>
      <c r="C1911" s="13" t="s">
        <v>16505</v>
      </c>
      <c r="D1911" s="12" t="s">
        <v>11645</v>
      </c>
      <c r="E1911" s="13" t="s">
        <v>580</v>
      </c>
      <c r="F1911" s="681">
        <v>1113149.8</v>
      </c>
    </row>
    <row r="1912" spans="2:6" ht="15.75" hidden="1" customHeight="1" x14ac:dyDescent="0.25">
      <c r="B1912" s="13" t="s">
        <v>14150</v>
      </c>
      <c r="C1912" s="13" t="s">
        <v>16506</v>
      </c>
      <c r="D1912" s="12" t="s">
        <v>16507</v>
      </c>
      <c r="E1912" s="13" t="s">
        <v>580</v>
      </c>
      <c r="F1912" s="681">
        <v>361588.76</v>
      </c>
    </row>
    <row r="1913" spans="2:6" ht="15.75" hidden="1" customHeight="1" x14ac:dyDescent="0.25">
      <c r="B1913" s="13" t="s">
        <v>14150</v>
      </c>
      <c r="C1913" s="13" t="s">
        <v>16508</v>
      </c>
      <c r="D1913" s="12" t="s">
        <v>16509</v>
      </c>
      <c r="E1913" s="13" t="s">
        <v>580</v>
      </c>
      <c r="F1913" s="681">
        <v>20679.88</v>
      </c>
    </row>
    <row r="1914" spans="2:6" ht="15.75" hidden="1" customHeight="1" x14ac:dyDescent="0.25">
      <c r="B1914" s="13" t="s">
        <v>14150</v>
      </c>
      <c r="C1914" s="13" t="s">
        <v>16510</v>
      </c>
      <c r="D1914" s="12" t="s">
        <v>16511</v>
      </c>
      <c r="E1914" s="13" t="s">
        <v>580</v>
      </c>
      <c r="F1914" s="681">
        <v>255279.19</v>
      </c>
    </row>
    <row r="1915" spans="2:6" ht="15.75" hidden="1" customHeight="1" x14ac:dyDescent="0.25">
      <c r="B1915" s="13" t="s">
        <v>14150</v>
      </c>
      <c r="C1915" s="13" t="s">
        <v>16512</v>
      </c>
      <c r="D1915" s="12" t="s">
        <v>16513</v>
      </c>
      <c r="E1915" s="13" t="s">
        <v>580</v>
      </c>
      <c r="F1915" s="681">
        <v>284813.06</v>
      </c>
    </row>
    <row r="1916" spans="2:6" ht="15.75" hidden="1" customHeight="1" x14ac:dyDescent="0.25">
      <c r="B1916" s="13" t="s">
        <v>14150</v>
      </c>
      <c r="C1916" s="13" t="s">
        <v>16514</v>
      </c>
      <c r="D1916" s="12" t="s">
        <v>16515</v>
      </c>
      <c r="E1916" s="13" t="s">
        <v>580</v>
      </c>
      <c r="F1916" s="681">
        <v>106495.31</v>
      </c>
    </row>
    <row r="1917" spans="2:6" ht="15.75" hidden="1" customHeight="1" x14ac:dyDescent="0.25">
      <c r="B1917" s="13" t="s">
        <v>14150</v>
      </c>
      <c r="C1917" s="13" t="s">
        <v>16516</v>
      </c>
      <c r="D1917" s="12" t="s">
        <v>16517</v>
      </c>
      <c r="E1917" s="13" t="s">
        <v>580</v>
      </c>
      <c r="F1917" s="681">
        <v>139929.88</v>
      </c>
    </row>
    <row r="1918" spans="2:6" ht="15.75" hidden="1" customHeight="1" x14ac:dyDescent="0.25">
      <c r="B1918" s="13" t="s">
        <v>14150</v>
      </c>
      <c r="C1918" s="13" t="s">
        <v>16518</v>
      </c>
      <c r="D1918" s="12" t="s">
        <v>10792</v>
      </c>
      <c r="E1918" s="13" t="s">
        <v>580</v>
      </c>
      <c r="F1918" s="681">
        <v>590520</v>
      </c>
    </row>
    <row r="1919" spans="2:6" ht="15.75" hidden="1" customHeight="1" x14ac:dyDescent="0.25">
      <c r="B1919" s="13" t="s">
        <v>14150</v>
      </c>
      <c r="C1919" s="13" t="s">
        <v>16519</v>
      </c>
      <c r="D1919" s="12" t="s">
        <v>10795</v>
      </c>
      <c r="E1919" s="13" t="s">
        <v>580</v>
      </c>
      <c r="F1919" s="681">
        <v>1049813.28</v>
      </c>
    </row>
    <row r="1920" spans="2:6" ht="15.75" hidden="1" customHeight="1" x14ac:dyDescent="0.25">
      <c r="B1920" s="13" t="s">
        <v>556</v>
      </c>
      <c r="C1920" s="13" t="s">
        <v>16520</v>
      </c>
      <c r="D1920" s="12" t="s">
        <v>8815</v>
      </c>
      <c r="E1920" s="13" t="s">
        <v>580</v>
      </c>
      <c r="F1920" s="681">
        <v>604.66</v>
      </c>
    </row>
    <row r="1921" spans="2:6" ht="15.75" hidden="1" customHeight="1" x14ac:dyDescent="0.25">
      <c r="B1921" s="13" t="s">
        <v>556</v>
      </c>
      <c r="C1921" s="13" t="s">
        <v>16521</v>
      </c>
      <c r="D1921" s="12" t="s">
        <v>10409</v>
      </c>
      <c r="E1921" s="13" t="s">
        <v>580</v>
      </c>
      <c r="F1921" s="681">
        <v>143.88</v>
      </c>
    </row>
    <row r="1922" spans="2:6" ht="15.75" hidden="1" customHeight="1" x14ac:dyDescent="0.25">
      <c r="B1922" s="13" t="s">
        <v>14150</v>
      </c>
      <c r="C1922" s="13" t="s">
        <v>16522</v>
      </c>
      <c r="D1922" s="12" t="s">
        <v>16523</v>
      </c>
      <c r="E1922" s="13" t="s">
        <v>580</v>
      </c>
      <c r="F1922" s="681">
        <v>98588.33</v>
      </c>
    </row>
    <row r="1923" spans="2:6" ht="15.75" hidden="1" customHeight="1" x14ac:dyDescent="0.25">
      <c r="B1923" s="13" t="s">
        <v>14150</v>
      </c>
      <c r="C1923" s="13" t="s">
        <v>16524</v>
      </c>
      <c r="D1923" s="12" t="s">
        <v>16525</v>
      </c>
      <c r="E1923" s="13" t="s">
        <v>580</v>
      </c>
      <c r="F1923" s="681">
        <v>335202.46999999997</v>
      </c>
    </row>
    <row r="1924" spans="2:6" ht="15.75" hidden="1" customHeight="1" x14ac:dyDescent="0.25">
      <c r="B1924" s="13" t="s">
        <v>14150</v>
      </c>
      <c r="C1924" s="13" t="s">
        <v>16526</v>
      </c>
      <c r="D1924" s="12" t="s">
        <v>16527</v>
      </c>
      <c r="E1924" s="13" t="s">
        <v>580</v>
      </c>
      <c r="F1924" s="681">
        <v>194298.17</v>
      </c>
    </row>
    <row r="1925" spans="2:6" ht="15.75" hidden="1" customHeight="1" x14ac:dyDescent="0.25">
      <c r="B1925" s="13" t="s">
        <v>14150</v>
      </c>
      <c r="C1925" s="13" t="s">
        <v>16528</v>
      </c>
      <c r="D1925" s="12" t="s">
        <v>16529</v>
      </c>
      <c r="E1925" s="13" t="s">
        <v>580</v>
      </c>
      <c r="F1925" s="681">
        <v>132032.79</v>
      </c>
    </row>
    <row r="1926" spans="2:6" ht="15.75" hidden="1" customHeight="1" x14ac:dyDescent="0.25">
      <c r="B1926" s="13" t="s">
        <v>14150</v>
      </c>
      <c r="C1926" s="13" t="s">
        <v>16530</v>
      </c>
      <c r="D1926" s="12" t="s">
        <v>16531</v>
      </c>
      <c r="E1926" s="13" t="s">
        <v>580</v>
      </c>
      <c r="F1926" s="681">
        <v>156573.38</v>
      </c>
    </row>
    <row r="1927" spans="2:6" ht="15.75" hidden="1" customHeight="1" x14ac:dyDescent="0.25">
      <c r="B1927" s="13" t="s">
        <v>14150</v>
      </c>
      <c r="C1927" s="13" t="s">
        <v>16532</v>
      </c>
      <c r="D1927" s="12" t="s">
        <v>16533</v>
      </c>
      <c r="E1927" s="13" t="s">
        <v>580</v>
      </c>
      <c r="F1927" s="681">
        <v>364098.93</v>
      </c>
    </row>
    <row r="1928" spans="2:6" ht="15.75" hidden="1" customHeight="1" x14ac:dyDescent="0.25">
      <c r="B1928" s="13" t="s">
        <v>14150</v>
      </c>
      <c r="C1928" s="13" t="s">
        <v>16534</v>
      </c>
      <c r="D1928" s="12" t="s">
        <v>16535</v>
      </c>
      <c r="E1928" s="13" t="s">
        <v>580</v>
      </c>
      <c r="F1928" s="681">
        <v>64795.91</v>
      </c>
    </row>
    <row r="1929" spans="2:6" ht="15.75" hidden="1" customHeight="1" x14ac:dyDescent="0.25">
      <c r="B1929" s="13" t="s">
        <v>14150</v>
      </c>
      <c r="C1929" s="13" t="s">
        <v>16536</v>
      </c>
      <c r="D1929" s="12" t="s">
        <v>11204</v>
      </c>
      <c r="E1929" s="13" t="s">
        <v>580</v>
      </c>
      <c r="F1929" s="681">
        <v>414878.04</v>
      </c>
    </row>
    <row r="1930" spans="2:6" ht="15.75" hidden="1" customHeight="1" x14ac:dyDescent="0.25">
      <c r="B1930" s="13" t="s">
        <v>14150</v>
      </c>
      <c r="C1930" s="13" t="s">
        <v>16537</v>
      </c>
      <c r="D1930" s="12" t="s">
        <v>11206</v>
      </c>
      <c r="E1930" s="13" t="s">
        <v>580</v>
      </c>
      <c r="F1930" s="681">
        <v>466463.38</v>
      </c>
    </row>
    <row r="1931" spans="2:6" ht="15.75" hidden="1" customHeight="1" x14ac:dyDescent="0.25">
      <c r="B1931" s="13" t="s">
        <v>14150</v>
      </c>
      <c r="C1931" s="13" t="s">
        <v>16538</v>
      </c>
      <c r="D1931" s="12" t="s">
        <v>10633</v>
      </c>
      <c r="E1931" s="13" t="s">
        <v>580</v>
      </c>
      <c r="F1931" s="681">
        <v>23188.78</v>
      </c>
    </row>
    <row r="1932" spans="2:6" ht="15.75" hidden="1" customHeight="1" x14ac:dyDescent="0.25">
      <c r="B1932" s="13" t="s">
        <v>556</v>
      </c>
      <c r="C1932" s="13" t="s">
        <v>16539</v>
      </c>
      <c r="D1932" s="12" t="s">
        <v>10355</v>
      </c>
      <c r="E1932" s="13" t="s">
        <v>580</v>
      </c>
      <c r="F1932" s="681">
        <v>19.989999999999998</v>
      </c>
    </row>
    <row r="1933" spans="2:6" ht="15.75" hidden="1" customHeight="1" x14ac:dyDescent="0.25">
      <c r="B1933" s="13" t="s">
        <v>556</v>
      </c>
      <c r="C1933" s="13" t="s">
        <v>16540</v>
      </c>
      <c r="D1933" s="12" t="s">
        <v>10343</v>
      </c>
      <c r="E1933" s="13" t="s">
        <v>580</v>
      </c>
      <c r="F1933" s="681">
        <v>20.02</v>
      </c>
    </row>
    <row r="1934" spans="2:6" ht="15.75" hidden="1" customHeight="1" x14ac:dyDescent="0.25">
      <c r="B1934" s="13" t="s">
        <v>556</v>
      </c>
      <c r="C1934" s="13" t="s">
        <v>16541</v>
      </c>
      <c r="D1934" s="12" t="s">
        <v>8740</v>
      </c>
      <c r="E1934" s="13" t="s">
        <v>664</v>
      </c>
      <c r="F1934" s="681">
        <v>78</v>
      </c>
    </row>
    <row r="1935" spans="2:6" ht="15.75" hidden="1" customHeight="1" x14ac:dyDescent="0.25">
      <c r="B1935" s="13" t="s">
        <v>556</v>
      </c>
      <c r="C1935" s="13" t="s">
        <v>16542</v>
      </c>
      <c r="D1935" s="12" t="s">
        <v>10344</v>
      </c>
      <c r="E1935" s="13" t="s">
        <v>580</v>
      </c>
      <c r="F1935" s="681">
        <v>25.89</v>
      </c>
    </row>
    <row r="1936" spans="2:6" ht="15.75" hidden="1" customHeight="1" x14ac:dyDescent="0.25">
      <c r="B1936" s="13" t="s">
        <v>556</v>
      </c>
      <c r="C1936" s="13" t="s">
        <v>16543</v>
      </c>
      <c r="D1936" s="12" t="s">
        <v>10354</v>
      </c>
      <c r="E1936" s="13" t="s">
        <v>580</v>
      </c>
      <c r="F1936" s="681">
        <v>10.55</v>
      </c>
    </row>
    <row r="1937" spans="2:6" ht="15.75" hidden="1" customHeight="1" x14ac:dyDescent="0.25">
      <c r="B1937" s="13" t="s">
        <v>556</v>
      </c>
      <c r="C1937" s="13" t="s">
        <v>16544</v>
      </c>
      <c r="D1937" s="12" t="s">
        <v>10353</v>
      </c>
      <c r="E1937" s="13" t="s">
        <v>580</v>
      </c>
      <c r="F1937" s="681">
        <v>4.04</v>
      </c>
    </row>
    <row r="1938" spans="2:6" ht="15.75" hidden="1" customHeight="1" x14ac:dyDescent="0.25">
      <c r="B1938" s="13" t="s">
        <v>556</v>
      </c>
      <c r="C1938" s="13" t="s">
        <v>16545</v>
      </c>
      <c r="D1938" s="12" t="s">
        <v>10341</v>
      </c>
      <c r="E1938" s="13" t="s">
        <v>580</v>
      </c>
      <c r="F1938" s="681">
        <v>44.82</v>
      </c>
    </row>
    <row r="1939" spans="2:6" ht="15.75" hidden="1" customHeight="1" x14ac:dyDescent="0.25">
      <c r="B1939" s="13" t="s">
        <v>556</v>
      </c>
      <c r="C1939" s="13" t="s">
        <v>16546</v>
      </c>
      <c r="D1939" s="12" t="s">
        <v>10339</v>
      </c>
      <c r="E1939" s="13" t="s">
        <v>580</v>
      </c>
      <c r="F1939" s="681">
        <v>14.59</v>
      </c>
    </row>
    <row r="1940" spans="2:6" ht="15.75" hidden="1" customHeight="1" x14ac:dyDescent="0.25">
      <c r="B1940" s="13" t="s">
        <v>556</v>
      </c>
      <c r="C1940" s="13" t="s">
        <v>16547</v>
      </c>
      <c r="D1940" s="12" t="s">
        <v>8741</v>
      </c>
      <c r="E1940" s="13" t="s">
        <v>664</v>
      </c>
      <c r="F1940" s="681">
        <v>79.010000000000005</v>
      </c>
    </row>
    <row r="1941" spans="2:6" ht="15.75" hidden="1" customHeight="1" x14ac:dyDescent="0.25">
      <c r="B1941" s="13" t="s">
        <v>556</v>
      </c>
      <c r="C1941" s="13" t="s">
        <v>16548</v>
      </c>
      <c r="D1941" s="12" t="s">
        <v>10352</v>
      </c>
      <c r="E1941" s="13" t="s">
        <v>580</v>
      </c>
      <c r="F1941" s="681">
        <v>25.71</v>
      </c>
    </row>
    <row r="1942" spans="2:6" ht="15.75" hidden="1" customHeight="1" x14ac:dyDescent="0.25">
      <c r="B1942" s="13" t="s">
        <v>556</v>
      </c>
      <c r="C1942" s="13" t="s">
        <v>16549</v>
      </c>
      <c r="D1942" s="12" t="s">
        <v>16550</v>
      </c>
      <c r="E1942" s="13" t="s">
        <v>585</v>
      </c>
      <c r="F1942" s="681">
        <v>1.33</v>
      </c>
    </row>
    <row r="1943" spans="2:6" ht="15.75" hidden="1" customHeight="1" x14ac:dyDescent="0.25">
      <c r="B1943" s="13" t="s">
        <v>556</v>
      </c>
      <c r="C1943" s="13" t="s">
        <v>16551</v>
      </c>
      <c r="D1943" s="12" t="s">
        <v>16552</v>
      </c>
      <c r="E1943" s="13" t="s">
        <v>585</v>
      </c>
      <c r="F1943" s="681">
        <v>1.41</v>
      </c>
    </row>
    <row r="1944" spans="2:6" ht="15.75" hidden="1" customHeight="1" x14ac:dyDescent="0.25">
      <c r="B1944" s="13" t="s">
        <v>556</v>
      </c>
      <c r="C1944" s="13" t="s">
        <v>16553</v>
      </c>
      <c r="D1944" s="12" t="s">
        <v>16554</v>
      </c>
      <c r="E1944" s="13" t="s">
        <v>585</v>
      </c>
      <c r="F1944" s="681">
        <v>2.09</v>
      </c>
    </row>
    <row r="1945" spans="2:6" ht="15.75" hidden="1" customHeight="1" x14ac:dyDescent="0.25">
      <c r="B1945" s="13" t="s">
        <v>556</v>
      </c>
      <c r="C1945" s="13" t="s">
        <v>16555</v>
      </c>
      <c r="D1945" s="12" t="s">
        <v>16556</v>
      </c>
      <c r="E1945" s="13" t="s">
        <v>585</v>
      </c>
      <c r="F1945" s="681">
        <v>89.24</v>
      </c>
    </row>
    <row r="1946" spans="2:6" ht="15.75" hidden="1" customHeight="1" x14ac:dyDescent="0.25">
      <c r="B1946" s="13" t="s">
        <v>556</v>
      </c>
      <c r="C1946" s="13" t="s">
        <v>16557</v>
      </c>
      <c r="D1946" s="12" t="s">
        <v>16558</v>
      </c>
      <c r="E1946" s="13" t="s">
        <v>585</v>
      </c>
      <c r="F1946" s="681">
        <v>499.69</v>
      </c>
    </row>
    <row r="1947" spans="2:6" ht="15.75" hidden="1" customHeight="1" x14ac:dyDescent="0.25">
      <c r="B1947" s="13" t="s">
        <v>556</v>
      </c>
      <c r="C1947" s="13" t="s">
        <v>16559</v>
      </c>
      <c r="D1947" s="12" t="s">
        <v>16560</v>
      </c>
      <c r="E1947" s="13" t="s">
        <v>585</v>
      </c>
      <c r="F1947" s="681">
        <v>92.01</v>
      </c>
    </row>
    <row r="1948" spans="2:6" ht="15.75" hidden="1" customHeight="1" x14ac:dyDescent="0.25">
      <c r="B1948" s="13" t="s">
        <v>556</v>
      </c>
      <c r="C1948" s="13" t="s">
        <v>16561</v>
      </c>
      <c r="D1948" s="12" t="s">
        <v>16562</v>
      </c>
      <c r="E1948" s="13" t="s">
        <v>16563</v>
      </c>
      <c r="F1948" s="681">
        <v>138.49</v>
      </c>
    </row>
    <row r="1949" spans="2:6" ht="15.75" hidden="1" customHeight="1" x14ac:dyDescent="0.25">
      <c r="B1949" s="13" t="s">
        <v>556</v>
      </c>
      <c r="C1949" s="13" t="s">
        <v>16564</v>
      </c>
      <c r="D1949" s="12" t="s">
        <v>16565</v>
      </c>
      <c r="E1949" s="13" t="s">
        <v>16563</v>
      </c>
      <c r="F1949" s="681">
        <v>116.02</v>
      </c>
    </row>
    <row r="1950" spans="2:6" ht="15.75" hidden="1" customHeight="1" x14ac:dyDescent="0.25">
      <c r="B1950" s="13" t="s">
        <v>556</v>
      </c>
      <c r="C1950" s="13" t="s">
        <v>16566</v>
      </c>
      <c r="D1950" s="12" t="s">
        <v>16567</v>
      </c>
      <c r="E1950" s="13" t="s">
        <v>16563</v>
      </c>
      <c r="F1950" s="681">
        <v>133.52000000000001</v>
      </c>
    </row>
    <row r="1951" spans="2:6" ht="15.75" hidden="1" customHeight="1" x14ac:dyDescent="0.25">
      <c r="B1951" s="13" t="s">
        <v>556</v>
      </c>
      <c r="C1951" s="13" t="s">
        <v>16568</v>
      </c>
      <c r="D1951" s="12" t="s">
        <v>11479</v>
      </c>
      <c r="E1951" s="13" t="s">
        <v>580</v>
      </c>
      <c r="F1951" s="681">
        <v>4.04</v>
      </c>
    </row>
    <row r="1952" spans="2:6" ht="15.75" hidden="1" customHeight="1" x14ac:dyDescent="0.25">
      <c r="B1952" s="13" t="s">
        <v>556</v>
      </c>
      <c r="C1952" s="13" t="s">
        <v>16569</v>
      </c>
      <c r="D1952" s="12" t="s">
        <v>16570</v>
      </c>
      <c r="E1952" s="13" t="s">
        <v>585</v>
      </c>
      <c r="F1952" s="681">
        <v>413.41</v>
      </c>
    </row>
    <row r="1953" spans="2:6" ht="15.75" hidden="1" customHeight="1" x14ac:dyDescent="0.25">
      <c r="B1953" s="13" t="s">
        <v>556</v>
      </c>
      <c r="C1953" s="13" t="s">
        <v>16571</v>
      </c>
      <c r="D1953" s="12" t="s">
        <v>11348</v>
      </c>
      <c r="E1953" s="13" t="s">
        <v>580</v>
      </c>
      <c r="F1953" s="681">
        <v>415.4</v>
      </c>
    </row>
    <row r="1954" spans="2:6" ht="15.75" hidden="1" customHeight="1" x14ac:dyDescent="0.25">
      <c r="B1954" s="13" t="s">
        <v>556</v>
      </c>
      <c r="C1954" s="13" t="s">
        <v>16572</v>
      </c>
      <c r="D1954" s="12" t="s">
        <v>11627</v>
      </c>
      <c r="E1954" s="13" t="s">
        <v>580</v>
      </c>
      <c r="F1954" s="681">
        <v>117.09</v>
      </c>
    </row>
    <row r="1955" spans="2:6" ht="15.75" hidden="1" customHeight="1" x14ac:dyDescent="0.25">
      <c r="B1955" s="13" t="s">
        <v>556</v>
      </c>
      <c r="C1955" s="13" t="s">
        <v>16573</v>
      </c>
      <c r="D1955" s="12" t="s">
        <v>11630</v>
      </c>
      <c r="E1955" s="13" t="s">
        <v>580</v>
      </c>
      <c r="F1955" s="681">
        <v>155.83000000000001</v>
      </c>
    </row>
    <row r="1956" spans="2:6" ht="15.75" hidden="1" customHeight="1" x14ac:dyDescent="0.25">
      <c r="B1956" s="13" t="s">
        <v>556</v>
      </c>
      <c r="C1956" s="13" t="s">
        <v>16574</v>
      </c>
      <c r="D1956" s="12" t="s">
        <v>10698</v>
      </c>
      <c r="E1956" s="13" t="s">
        <v>580</v>
      </c>
      <c r="F1956" s="681">
        <v>736.51</v>
      </c>
    </row>
    <row r="1957" spans="2:6" ht="15.75" hidden="1" customHeight="1" x14ac:dyDescent="0.25">
      <c r="B1957" s="13" t="s">
        <v>556</v>
      </c>
      <c r="C1957" s="13" t="s">
        <v>16575</v>
      </c>
      <c r="D1957" s="12" t="s">
        <v>10410</v>
      </c>
      <c r="E1957" s="13" t="s">
        <v>580</v>
      </c>
      <c r="F1957" s="681">
        <v>153.16999999999999</v>
      </c>
    </row>
    <row r="1958" spans="2:6" ht="15.75" hidden="1" customHeight="1" x14ac:dyDescent="0.25">
      <c r="B1958" s="13" t="s">
        <v>556</v>
      </c>
      <c r="C1958" s="13" t="s">
        <v>16576</v>
      </c>
      <c r="D1958" s="12" t="s">
        <v>11628</v>
      </c>
      <c r="E1958" s="13" t="s">
        <v>580</v>
      </c>
      <c r="F1958" s="681">
        <v>1480.42</v>
      </c>
    </row>
    <row r="1959" spans="2:6" ht="15.75" hidden="1" customHeight="1" x14ac:dyDescent="0.25">
      <c r="B1959" s="13" t="s">
        <v>556</v>
      </c>
      <c r="C1959" s="13" t="s">
        <v>16577</v>
      </c>
      <c r="D1959" s="12" t="s">
        <v>11629</v>
      </c>
      <c r="E1959" s="13" t="s">
        <v>580</v>
      </c>
      <c r="F1959" s="681">
        <v>123.02</v>
      </c>
    </row>
    <row r="1960" spans="2:6" ht="15.75" hidden="1" customHeight="1" x14ac:dyDescent="0.25">
      <c r="B1960" s="13" t="s">
        <v>556</v>
      </c>
      <c r="C1960" s="13" t="s">
        <v>16578</v>
      </c>
      <c r="D1960" s="12" t="s">
        <v>10735</v>
      </c>
      <c r="E1960" s="13" t="s">
        <v>580</v>
      </c>
      <c r="F1960" s="681">
        <v>65.16</v>
      </c>
    </row>
    <row r="1961" spans="2:6" ht="15.75" hidden="1" customHeight="1" x14ac:dyDescent="0.25">
      <c r="B1961" s="13" t="s">
        <v>556</v>
      </c>
      <c r="C1961" s="13" t="s">
        <v>16579</v>
      </c>
      <c r="D1961" s="12" t="s">
        <v>10738</v>
      </c>
      <c r="E1961" s="13" t="s">
        <v>580</v>
      </c>
      <c r="F1961" s="681">
        <v>63.25</v>
      </c>
    </row>
    <row r="1962" spans="2:6" ht="15.75" hidden="1" customHeight="1" x14ac:dyDescent="0.25">
      <c r="B1962" s="13" t="s">
        <v>556</v>
      </c>
      <c r="C1962" s="13" t="s">
        <v>16580</v>
      </c>
      <c r="D1962" s="12" t="s">
        <v>8743</v>
      </c>
      <c r="E1962" s="13" t="s">
        <v>664</v>
      </c>
      <c r="F1962" s="681">
        <v>39</v>
      </c>
    </row>
    <row r="1963" spans="2:6" ht="15.75" hidden="1" customHeight="1" x14ac:dyDescent="0.25">
      <c r="B1963" s="13" t="s">
        <v>556</v>
      </c>
      <c r="C1963" s="13" t="s">
        <v>16581</v>
      </c>
      <c r="D1963" s="12" t="s">
        <v>10703</v>
      </c>
      <c r="E1963" s="13" t="s">
        <v>580</v>
      </c>
      <c r="F1963" s="681">
        <v>195.57</v>
      </c>
    </row>
    <row r="1964" spans="2:6" ht="15.75" hidden="1" customHeight="1" x14ac:dyDescent="0.25">
      <c r="B1964" s="13" t="s">
        <v>556</v>
      </c>
      <c r="C1964" s="13" t="s">
        <v>16582</v>
      </c>
      <c r="D1964" s="12" t="s">
        <v>8532</v>
      </c>
      <c r="E1964" s="13" t="s">
        <v>580</v>
      </c>
      <c r="F1964" s="681">
        <v>29.14</v>
      </c>
    </row>
    <row r="1965" spans="2:6" ht="15.75" hidden="1" customHeight="1" x14ac:dyDescent="0.25">
      <c r="B1965" s="13" t="s">
        <v>556</v>
      </c>
      <c r="C1965" s="13" t="s">
        <v>16583</v>
      </c>
      <c r="D1965" s="12" t="s">
        <v>16584</v>
      </c>
      <c r="E1965" s="13" t="s">
        <v>585</v>
      </c>
      <c r="F1965" s="681">
        <v>132.78</v>
      </c>
    </row>
    <row r="1966" spans="2:6" ht="15.75" hidden="1" customHeight="1" x14ac:dyDescent="0.25">
      <c r="B1966" s="13" t="s">
        <v>556</v>
      </c>
      <c r="C1966" s="13" t="s">
        <v>16585</v>
      </c>
      <c r="D1966" s="12" t="s">
        <v>10119</v>
      </c>
      <c r="E1966" s="13" t="s">
        <v>823</v>
      </c>
      <c r="F1966" s="681">
        <v>0.61</v>
      </c>
    </row>
    <row r="1967" spans="2:6" ht="15.75" hidden="1" customHeight="1" x14ac:dyDescent="0.25">
      <c r="B1967" s="13" t="s">
        <v>556</v>
      </c>
      <c r="C1967" s="13" t="s">
        <v>16586</v>
      </c>
      <c r="D1967" s="12" t="s">
        <v>8752</v>
      </c>
      <c r="E1967" s="13" t="s">
        <v>823</v>
      </c>
      <c r="F1967" s="681">
        <v>2.67</v>
      </c>
    </row>
    <row r="1968" spans="2:6" ht="15.75" hidden="1" customHeight="1" x14ac:dyDescent="0.25">
      <c r="B1968" s="13" t="s">
        <v>556</v>
      </c>
      <c r="C1968" s="13" t="s">
        <v>16587</v>
      </c>
      <c r="D1968" s="12" t="s">
        <v>10868</v>
      </c>
      <c r="E1968" s="13" t="s">
        <v>578</v>
      </c>
      <c r="F1968" s="681">
        <v>179.47</v>
      </c>
    </row>
    <row r="1969" spans="2:6" ht="15.75" hidden="1" customHeight="1" x14ac:dyDescent="0.25">
      <c r="B1969" s="13" t="s">
        <v>556</v>
      </c>
      <c r="C1969" s="13" t="s">
        <v>16588</v>
      </c>
      <c r="D1969" s="12" t="s">
        <v>10870</v>
      </c>
      <c r="E1969" s="13" t="s">
        <v>578</v>
      </c>
      <c r="F1969" s="681">
        <v>183.01</v>
      </c>
    </row>
    <row r="1970" spans="2:6" ht="15.75" hidden="1" customHeight="1" x14ac:dyDescent="0.25">
      <c r="B1970" s="13" t="s">
        <v>556</v>
      </c>
      <c r="C1970" s="13" t="s">
        <v>16589</v>
      </c>
      <c r="D1970" s="12" t="s">
        <v>8756</v>
      </c>
      <c r="E1970" s="13" t="s">
        <v>823</v>
      </c>
      <c r="F1970" s="681">
        <v>0.83</v>
      </c>
    </row>
    <row r="1971" spans="2:6" ht="15.75" hidden="1" customHeight="1" x14ac:dyDescent="0.25">
      <c r="B1971" s="13" t="s">
        <v>556</v>
      </c>
      <c r="C1971" s="13" t="s">
        <v>16590</v>
      </c>
      <c r="D1971" s="12" t="s">
        <v>11473</v>
      </c>
      <c r="E1971" s="13" t="s">
        <v>578</v>
      </c>
      <c r="F1971" s="681">
        <v>8.83</v>
      </c>
    </row>
    <row r="1972" spans="2:6" ht="15.75" hidden="1" customHeight="1" x14ac:dyDescent="0.25">
      <c r="B1972" s="13" t="s">
        <v>556</v>
      </c>
      <c r="C1972" s="13" t="s">
        <v>16591</v>
      </c>
      <c r="D1972" s="12" t="s">
        <v>10165</v>
      </c>
      <c r="E1972" s="13" t="s">
        <v>585</v>
      </c>
      <c r="F1972" s="681">
        <v>30.5</v>
      </c>
    </row>
    <row r="1973" spans="2:6" ht="15.75" hidden="1" customHeight="1" x14ac:dyDescent="0.25">
      <c r="B1973" s="13" t="s">
        <v>556</v>
      </c>
      <c r="C1973" s="13" t="s">
        <v>16592</v>
      </c>
      <c r="D1973" s="12" t="s">
        <v>10224</v>
      </c>
      <c r="E1973" s="13" t="s">
        <v>580</v>
      </c>
      <c r="F1973" s="681">
        <v>416.04</v>
      </c>
    </row>
    <row r="1974" spans="2:6" ht="15.75" hidden="1" customHeight="1" x14ac:dyDescent="0.25">
      <c r="B1974" s="13" t="s">
        <v>556</v>
      </c>
      <c r="C1974" s="13" t="s">
        <v>16593</v>
      </c>
      <c r="D1974" s="12" t="s">
        <v>10226</v>
      </c>
      <c r="E1974" s="13" t="s">
        <v>580</v>
      </c>
      <c r="F1974" s="681">
        <v>649.22</v>
      </c>
    </row>
    <row r="1975" spans="2:6" ht="15.75" hidden="1" customHeight="1" x14ac:dyDescent="0.25">
      <c r="B1975" s="13" t="s">
        <v>556</v>
      </c>
      <c r="C1975" s="13" t="s">
        <v>16594</v>
      </c>
      <c r="D1975" s="12" t="s">
        <v>8742</v>
      </c>
      <c r="E1975" s="13" t="s">
        <v>664</v>
      </c>
      <c r="F1975" s="681">
        <v>78</v>
      </c>
    </row>
    <row r="1976" spans="2:6" ht="15.75" hidden="1" customHeight="1" x14ac:dyDescent="0.25">
      <c r="B1976" s="13" t="s">
        <v>556</v>
      </c>
      <c r="C1976" s="13" t="s">
        <v>16595</v>
      </c>
      <c r="D1976" s="12" t="s">
        <v>8749</v>
      </c>
      <c r="E1976" s="13" t="s">
        <v>823</v>
      </c>
      <c r="F1976" s="681">
        <v>0.87</v>
      </c>
    </row>
    <row r="1977" spans="2:6" ht="15.75" hidden="1" customHeight="1" x14ac:dyDescent="0.25">
      <c r="B1977" s="13" t="s">
        <v>556</v>
      </c>
      <c r="C1977" s="13" t="s">
        <v>16596</v>
      </c>
      <c r="D1977" s="12" t="s">
        <v>8935</v>
      </c>
      <c r="E1977" s="13" t="s">
        <v>580</v>
      </c>
      <c r="F1977" s="681">
        <v>3.89</v>
      </c>
    </row>
    <row r="1978" spans="2:6" ht="15.75" hidden="1" customHeight="1" x14ac:dyDescent="0.25">
      <c r="B1978" s="13" t="s">
        <v>556</v>
      </c>
      <c r="C1978" s="13" t="s">
        <v>16597</v>
      </c>
      <c r="D1978" s="12" t="s">
        <v>9220</v>
      </c>
      <c r="E1978" s="13" t="s">
        <v>580</v>
      </c>
      <c r="F1978" s="681">
        <v>1223.9100000000001</v>
      </c>
    </row>
    <row r="1979" spans="2:6" ht="15.75" hidden="1" customHeight="1" x14ac:dyDescent="0.25">
      <c r="B1979" s="13" t="s">
        <v>556</v>
      </c>
      <c r="C1979" s="13" t="s">
        <v>16598</v>
      </c>
      <c r="D1979" s="12" t="s">
        <v>9224</v>
      </c>
      <c r="E1979" s="13" t="s">
        <v>580</v>
      </c>
      <c r="F1979" s="681">
        <v>2797.11</v>
      </c>
    </row>
    <row r="1980" spans="2:6" ht="15.75" hidden="1" customHeight="1" x14ac:dyDescent="0.25">
      <c r="B1980" s="13" t="s">
        <v>556</v>
      </c>
      <c r="C1980" s="13" t="s">
        <v>16599</v>
      </c>
      <c r="D1980" s="12" t="s">
        <v>9217</v>
      </c>
      <c r="E1980" s="13" t="s">
        <v>580</v>
      </c>
      <c r="F1980" s="681">
        <v>4876.07</v>
      </c>
    </row>
    <row r="1981" spans="2:6" ht="15.75" hidden="1" customHeight="1" x14ac:dyDescent="0.25">
      <c r="B1981" s="13" t="s">
        <v>556</v>
      </c>
      <c r="C1981" s="13" t="s">
        <v>16600</v>
      </c>
      <c r="D1981" s="12" t="s">
        <v>8919</v>
      </c>
      <c r="E1981" s="13" t="s">
        <v>580</v>
      </c>
      <c r="F1981" s="681">
        <v>6.01</v>
      </c>
    </row>
    <row r="1982" spans="2:6" ht="15.75" hidden="1" customHeight="1" x14ac:dyDescent="0.25">
      <c r="B1982" s="13" t="s">
        <v>556</v>
      </c>
      <c r="C1982" s="13" t="s">
        <v>16601</v>
      </c>
      <c r="D1982" s="12" t="s">
        <v>10358</v>
      </c>
      <c r="E1982" s="13" t="s">
        <v>580</v>
      </c>
      <c r="F1982" s="681">
        <v>133.22999999999999</v>
      </c>
    </row>
    <row r="1983" spans="2:6" ht="15.75" hidden="1" customHeight="1" x14ac:dyDescent="0.25">
      <c r="B1983" s="13" t="s">
        <v>556</v>
      </c>
      <c r="C1983" s="13" t="s">
        <v>16602</v>
      </c>
      <c r="D1983" s="12" t="s">
        <v>10382</v>
      </c>
      <c r="E1983" s="13" t="s">
        <v>578</v>
      </c>
      <c r="F1983" s="681">
        <v>85</v>
      </c>
    </row>
    <row r="1984" spans="2:6" ht="15.75" hidden="1" customHeight="1" x14ac:dyDescent="0.25">
      <c r="B1984" s="13" t="s">
        <v>556</v>
      </c>
      <c r="C1984" s="13" t="s">
        <v>16603</v>
      </c>
      <c r="D1984" s="12" t="s">
        <v>11200</v>
      </c>
      <c r="E1984" s="13" t="s">
        <v>823</v>
      </c>
      <c r="F1984" s="681">
        <v>98.93</v>
      </c>
    </row>
    <row r="1985" spans="2:6" ht="15.75" hidden="1" customHeight="1" x14ac:dyDescent="0.25">
      <c r="B1985" s="13" t="s">
        <v>556</v>
      </c>
      <c r="C1985" s="13" t="s">
        <v>16604</v>
      </c>
      <c r="D1985" s="12" t="s">
        <v>10381</v>
      </c>
      <c r="E1985" s="13" t="s">
        <v>578</v>
      </c>
      <c r="F1985" s="681">
        <v>91.57</v>
      </c>
    </row>
    <row r="1986" spans="2:6" ht="15.75" hidden="1" customHeight="1" x14ac:dyDescent="0.25">
      <c r="B1986" s="13" t="s">
        <v>556</v>
      </c>
      <c r="C1986" s="13" t="s">
        <v>16605</v>
      </c>
      <c r="D1986" s="12" t="s">
        <v>10386</v>
      </c>
      <c r="E1986" s="13" t="s">
        <v>578</v>
      </c>
      <c r="F1986" s="681">
        <v>47.8</v>
      </c>
    </row>
    <row r="1987" spans="2:6" ht="15.75" hidden="1" customHeight="1" x14ac:dyDescent="0.25">
      <c r="B1987" s="13" t="s">
        <v>556</v>
      </c>
      <c r="C1987" s="13" t="s">
        <v>16606</v>
      </c>
      <c r="D1987" s="12" t="s">
        <v>10392</v>
      </c>
      <c r="E1987" s="13" t="s">
        <v>578</v>
      </c>
      <c r="F1987" s="681">
        <v>60.21</v>
      </c>
    </row>
    <row r="1988" spans="2:6" ht="15.75" hidden="1" customHeight="1" x14ac:dyDescent="0.25">
      <c r="B1988" s="13" t="s">
        <v>556</v>
      </c>
      <c r="C1988" s="13" t="s">
        <v>16607</v>
      </c>
      <c r="D1988" s="12" t="s">
        <v>8641</v>
      </c>
      <c r="E1988" s="13" t="s">
        <v>2193</v>
      </c>
      <c r="F1988" s="681">
        <v>4.33</v>
      </c>
    </row>
    <row r="1989" spans="2:6" ht="15.75" hidden="1" customHeight="1" x14ac:dyDescent="0.25">
      <c r="B1989" s="13" t="s">
        <v>556</v>
      </c>
      <c r="C1989" s="13" t="s">
        <v>16608</v>
      </c>
      <c r="D1989" s="12" t="s">
        <v>11642</v>
      </c>
      <c r="E1989" s="13" t="s">
        <v>2193</v>
      </c>
      <c r="F1989" s="681">
        <v>1.01</v>
      </c>
    </row>
    <row r="1990" spans="2:6" ht="15.75" hidden="1" customHeight="1" x14ac:dyDescent="0.25">
      <c r="B1990" s="13" t="s">
        <v>556</v>
      </c>
      <c r="C1990" s="13" t="s">
        <v>16609</v>
      </c>
      <c r="D1990" s="12" t="s">
        <v>9957</v>
      </c>
      <c r="E1990" s="13" t="s">
        <v>2193</v>
      </c>
      <c r="F1990" s="681">
        <v>1.43</v>
      </c>
    </row>
    <row r="1991" spans="2:6" ht="15.75" hidden="1" customHeight="1" x14ac:dyDescent="0.25">
      <c r="B1991" s="13" t="s">
        <v>556</v>
      </c>
      <c r="C1991" s="13" t="s">
        <v>16610</v>
      </c>
      <c r="D1991" s="12" t="s">
        <v>11244</v>
      </c>
      <c r="E1991" s="13" t="s">
        <v>2193</v>
      </c>
      <c r="F1991" s="681">
        <v>0.08</v>
      </c>
    </row>
    <row r="1992" spans="2:6" ht="15.75" hidden="1" customHeight="1" x14ac:dyDescent="0.25">
      <c r="B1992" s="13" t="s">
        <v>556</v>
      </c>
      <c r="C1992" s="13" t="s">
        <v>16611</v>
      </c>
      <c r="D1992" s="12" t="s">
        <v>10393</v>
      </c>
      <c r="E1992" s="13" t="s">
        <v>578</v>
      </c>
      <c r="F1992" s="681">
        <v>69.47</v>
      </c>
    </row>
    <row r="1993" spans="2:6" ht="15.75" hidden="1" customHeight="1" x14ac:dyDescent="0.25">
      <c r="B1993" s="13" t="s">
        <v>556</v>
      </c>
      <c r="C1993" s="13" t="s">
        <v>16612</v>
      </c>
      <c r="D1993" s="12" t="s">
        <v>10391</v>
      </c>
      <c r="E1993" s="13" t="s">
        <v>578</v>
      </c>
      <c r="F1993" s="681">
        <v>57.43</v>
      </c>
    </row>
    <row r="1994" spans="2:6" ht="15.75" hidden="1" customHeight="1" x14ac:dyDescent="0.25">
      <c r="B1994" s="13" t="s">
        <v>556</v>
      </c>
      <c r="C1994" s="13" t="s">
        <v>16613</v>
      </c>
      <c r="D1994" s="12" t="s">
        <v>16614</v>
      </c>
      <c r="E1994" s="13" t="s">
        <v>10852</v>
      </c>
      <c r="F1994" s="681">
        <v>47.21</v>
      </c>
    </row>
    <row r="1995" spans="2:6" ht="15.75" hidden="1" customHeight="1" x14ac:dyDescent="0.25">
      <c r="B1995" s="13" t="s">
        <v>556</v>
      </c>
      <c r="C1995" s="13" t="s">
        <v>12705</v>
      </c>
      <c r="D1995" s="12" t="s">
        <v>16615</v>
      </c>
      <c r="E1995" s="13" t="s">
        <v>10852</v>
      </c>
      <c r="F1995" s="681">
        <v>44.84</v>
      </c>
    </row>
    <row r="1996" spans="2:6" ht="15.75" hidden="1" customHeight="1" x14ac:dyDescent="0.25">
      <c r="B1996" s="13" t="s">
        <v>556</v>
      </c>
      <c r="C1996" s="13" t="s">
        <v>16616</v>
      </c>
      <c r="D1996" s="12" t="s">
        <v>16617</v>
      </c>
      <c r="E1996" s="13" t="s">
        <v>10852</v>
      </c>
      <c r="F1996" s="681">
        <v>36.69</v>
      </c>
    </row>
    <row r="1997" spans="2:6" ht="15.75" hidden="1" customHeight="1" x14ac:dyDescent="0.25">
      <c r="B1997" s="13" t="s">
        <v>556</v>
      </c>
      <c r="C1997" s="13" t="s">
        <v>16618</v>
      </c>
      <c r="D1997" s="12" t="s">
        <v>16619</v>
      </c>
      <c r="E1997" s="13" t="s">
        <v>10852</v>
      </c>
      <c r="F1997" s="681">
        <v>38.43</v>
      </c>
    </row>
    <row r="1998" spans="2:6" ht="15.75" hidden="1" customHeight="1" x14ac:dyDescent="0.25">
      <c r="B1998" s="13" t="s">
        <v>556</v>
      </c>
      <c r="C1998" s="13" t="s">
        <v>16620</v>
      </c>
      <c r="D1998" s="12" t="s">
        <v>9082</v>
      </c>
      <c r="E1998" s="13" t="s">
        <v>580</v>
      </c>
      <c r="F1998" s="681">
        <v>31.25</v>
      </c>
    </row>
    <row r="1999" spans="2:6" ht="15.75" hidden="1" customHeight="1" x14ac:dyDescent="0.25">
      <c r="B1999" s="13" t="s">
        <v>556</v>
      </c>
      <c r="C1999" s="13" t="s">
        <v>16621</v>
      </c>
      <c r="D1999" s="12" t="s">
        <v>10802</v>
      </c>
      <c r="E1999" s="13" t="s">
        <v>580</v>
      </c>
      <c r="F1999" s="681">
        <v>57.15</v>
      </c>
    </row>
    <row r="2000" spans="2:6" ht="15.75" hidden="1" customHeight="1" x14ac:dyDescent="0.25">
      <c r="B2000" s="13" t="s">
        <v>556</v>
      </c>
      <c r="C2000" s="13" t="s">
        <v>16622</v>
      </c>
      <c r="D2000" s="12" t="s">
        <v>11592</v>
      </c>
      <c r="E2000" s="13" t="s">
        <v>580</v>
      </c>
      <c r="F2000" s="681">
        <v>57.15</v>
      </c>
    </row>
    <row r="2001" spans="2:6" ht="15.75" hidden="1" customHeight="1" x14ac:dyDescent="0.25">
      <c r="B2001" s="13" t="s">
        <v>556</v>
      </c>
      <c r="C2001" s="13" t="s">
        <v>16623</v>
      </c>
      <c r="D2001" s="12" t="s">
        <v>9106</v>
      </c>
      <c r="E2001" s="13" t="s">
        <v>585</v>
      </c>
      <c r="F2001" s="681">
        <v>197.69</v>
      </c>
    </row>
    <row r="2002" spans="2:6" ht="15.75" hidden="1" customHeight="1" x14ac:dyDescent="0.25">
      <c r="B2002" s="13" t="s">
        <v>556</v>
      </c>
      <c r="C2002" s="13" t="s">
        <v>16624</v>
      </c>
      <c r="D2002" s="12" t="s">
        <v>9091</v>
      </c>
      <c r="E2002" s="13" t="s">
        <v>823</v>
      </c>
      <c r="F2002" s="681">
        <v>51.34</v>
      </c>
    </row>
    <row r="2003" spans="2:6" ht="15.75" hidden="1" customHeight="1" x14ac:dyDescent="0.25">
      <c r="B2003" s="13" t="s">
        <v>556</v>
      </c>
      <c r="C2003" s="13" t="s">
        <v>16625</v>
      </c>
      <c r="D2003" s="12" t="s">
        <v>10387</v>
      </c>
      <c r="E2003" s="13" t="s">
        <v>578</v>
      </c>
      <c r="F2003" s="681">
        <v>49.82</v>
      </c>
    </row>
    <row r="2004" spans="2:6" ht="15.75" hidden="1" customHeight="1" x14ac:dyDescent="0.25">
      <c r="B2004" s="13" t="s">
        <v>556</v>
      </c>
      <c r="C2004" s="13" t="s">
        <v>16626</v>
      </c>
      <c r="D2004" s="12" t="s">
        <v>9095</v>
      </c>
      <c r="E2004" s="13" t="s">
        <v>823</v>
      </c>
      <c r="F2004" s="681">
        <v>56.33</v>
      </c>
    </row>
    <row r="2005" spans="2:6" ht="15.75" hidden="1" customHeight="1" x14ac:dyDescent="0.25">
      <c r="B2005" s="13" t="s">
        <v>556</v>
      </c>
      <c r="C2005" s="13" t="s">
        <v>16627</v>
      </c>
      <c r="D2005" s="12" t="s">
        <v>11451</v>
      </c>
      <c r="E2005" s="13" t="s">
        <v>578</v>
      </c>
      <c r="F2005" s="681">
        <v>16.82</v>
      </c>
    </row>
    <row r="2006" spans="2:6" ht="15.75" hidden="1" customHeight="1" x14ac:dyDescent="0.25">
      <c r="B2006" s="13" t="s">
        <v>556</v>
      </c>
      <c r="C2006" s="13" t="s">
        <v>16628</v>
      </c>
      <c r="D2006" s="12" t="s">
        <v>8829</v>
      </c>
      <c r="E2006" s="13" t="s">
        <v>580</v>
      </c>
      <c r="F2006" s="681">
        <v>229.71</v>
      </c>
    </row>
    <row r="2007" spans="2:6" ht="15.75" hidden="1" customHeight="1" x14ac:dyDescent="0.25">
      <c r="B2007" s="13" t="s">
        <v>556</v>
      </c>
      <c r="C2007" s="13" t="s">
        <v>16629</v>
      </c>
      <c r="D2007" s="12" t="s">
        <v>16630</v>
      </c>
      <c r="E2007" s="13" t="s">
        <v>580</v>
      </c>
      <c r="F2007" s="681">
        <v>4.07</v>
      </c>
    </row>
    <row r="2008" spans="2:6" ht="15.75" hidden="1" customHeight="1" x14ac:dyDescent="0.25">
      <c r="B2008" s="13" t="s">
        <v>556</v>
      </c>
      <c r="C2008" s="13" t="s">
        <v>16631</v>
      </c>
      <c r="D2008" s="12" t="s">
        <v>16632</v>
      </c>
      <c r="E2008" s="13" t="s">
        <v>580</v>
      </c>
      <c r="F2008" s="681">
        <v>4.62</v>
      </c>
    </row>
    <row r="2009" spans="2:6" ht="15.75" hidden="1" customHeight="1" x14ac:dyDescent="0.25">
      <c r="B2009" s="13" t="s">
        <v>556</v>
      </c>
      <c r="C2009" s="13" t="s">
        <v>16633</v>
      </c>
      <c r="D2009" s="12" t="s">
        <v>16634</v>
      </c>
      <c r="E2009" s="13" t="s">
        <v>580</v>
      </c>
      <c r="F2009" s="681">
        <v>8.41</v>
      </c>
    </row>
    <row r="2010" spans="2:6" ht="15.75" hidden="1" customHeight="1" x14ac:dyDescent="0.25">
      <c r="B2010" s="13" t="s">
        <v>556</v>
      </c>
      <c r="C2010" s="13" t="s">
        <v>16635</v>
      </c>
      <c r="D2010" s="12" t="s">
        <v>16636</v>
      </c>
      <c r="E2010" s="13" t="s">
        <v>580</v>
      </c>
      <c r="F2010" s="681">
        <v>3.81</v>
      </c>
    </row>
    <row r="2011" spans="2:6" ht="15.75" hidden="1" customHeight="1" x14ac:dyDescent="0.25">
      <c r="B2011" s="13" t="s">
        <v>556</v>
      </c>
      <c r="C2011" s="13" t="s">
        <v>16637</v>
      </c>
      <c r="D2011" s="12" t="s">
        <v>16638</v>
      </c>
      <c r="E2011" s="13" t="s">
        <v>580</v>
      </c>
      <c r="F2011" s="681">
        <v>5.48</v>
      </c>
    </row>
    <row r="2012" spans="2:6" ht="15.75" hidden="1" customHeight="1" x14ac:dyDescent="0.25">
      <c r="B2012" s="13" t="s">
        <v>556</v>
      </c>
      <c r="C2012" s="13" t="s">
        <v>16639</v>
      </c>
      <c r="D2012" s="12" t="s">
        <v>16640</v>
      </c>
      <c r="E2012" s="13" t="s">
        <v>580</v>
      </c>
      <c r="F2012" s="681">
        <v>17.79</v>
      </c>
    </row>
    <row r="2013" spans="2:6" ht="15.75" hidden="1" customHeight="1" x14ac:dyDescent="0.25">
      <c r="B2013" s="13" t="s">
        <v>556</v>
      </c>
      <c r="C2013" s="13" t="s">
        <v>16641</v>
      </c>
      <c r="D2013" s="12" t="s">
        <v>16642</v>
      </c>
      <c r="E2013" s="13" t="s">
        <v>580</v>
      </c>
      <c r="F2013" s="681">
        <v>18.27</v>
      </c>
    </row>
    <row r="2014" spans="2:6" ht="15.75" hidden="1" customHeight="1" x14ac:dyDescent="0.25">
      <c r="B2014" s="13" t="s">
        <v>556</v>
      </c>
      <c r="C2014" s="13" t="s">
        <v>16643</v>
      </c>
      <c r="D2014" s="12" t="s">
        <v>10396</v>
      </c>
      <c r="E2014" s="13" t="s">
        <v>578</v>
      </c>
      <c r="F2014" s="681">
        <v>72.069999999999993</v>
      </c>
    </row>
    <row r="2015" spans="2:6" ht="15.75" hidden="1" customHeight="1" x14ac:dyDescent="0.25">
      <c r="B2015" s="13" t="s">
        <v>556</v>
      </c>
      <c r="C2015" s="13" t="s">
        <v>16644</v>
      </c>
      <c r="D2015" s="12" t="s">
        <v>16645</v>
      </c>
      <c r="E2015" s="13" t="s">
        <v>580</v>
      </c>
      <c r="F2015" s="681">
        <v>42.92</v>
      </c>
    </row>
    <row r="2016" spans="2:6" ht="15.75" hidden="1" customHeight="1" x14ac:dyDescent="0.25">
      <c r="B2016" s="13" t="s">
        <v>556</v>
      </c>
      <c r="C2016" s="13" t="s">
        <v>16646</v>
      </c>
      <c r="D2016" s="12" t="s">
        <v>16647</v>
      </c>
      <c r="E2016" s="13" t="s">
        <v>580</v>
      </c>
      <c r="F2016" s="681">
        <v>58.66</v>
      </c>
    </row>
    <row r="2017" spans="2:6" ht="15.75" hidden="1" customHeight="1" x14ac:dyDescent="0.25">
      <c r="B2017" s="13" t="s">
        <v>556</v>
      </c>
      <c r="C2017" s="13" t="s">
        <v>16648</v>
      </c>
      <c r="D2017" s="12" t="s">
        <v>16649</v>
      </c>
      <c r="E2017" s="13" t="s">
        <v>580</v>
      </c>
      <c r="F2017" s="681">
        <v>54.91</v>
      </c>
    </row>
    <row r="2018" spans="2:6" ht="15.75" hidden="1" customHeight="1" x14ac:dyDescent="0.25">
      <c r="B2018" s="13" t="s">
        <v>556</v>
      </c>
      <c r="C2018" s="13" t="s">
        <v>16650</v>
      </c>
      <c r="D2018" s="12" t="s">
        <v>16651</v>
      </c>
      <c r="E2018" s="13" t="s">
        <v>580</v>
      </c>
      <c r="F2018" s="681">
        <v>12.61</v>
      </c>
    </row>
    <row r="2019" spans="2:6" ht="15.75" hidden="1" customHeight="1" x14ac:dyDescent="0.25">
      <c r="B2019" s="13" t="s">
        <v>556</v>
      </c>
      <c r="C2019" s="13" t="s">
        <v>16652</v>
      </c>
      <c r="D2019" s="12" t="s">
        <v>16653</v>
      </c>
      <c r="E2019" s="13" t="s">
        <v>580</v>
      </c>
      <c r="F2019" s="681">
        <v>11.58</v>
      </c>
    </row>
    <row r="2020" spans="2:6" ht="15.75" hidden="1" customHeight="1" x14ac:dyDescent="0.25">
      <c r="B2020" s="13" t="s">
        <v>556</v>
      </c>
      <c r="C2020" s="13" t="s">
        <v>16654</v>
      </c>
      <c r="D2020" s="12" t="s">
        <v>16655</v>
      </c>
      <c r="E2020" s="13" t="s">
        <v>580</v>
      </c>
      <c r="F2020" s="681">
        <v>12.48</v>
      </c>
    </row>
    <row r="2021" spans="2:6" ht="15.75" hidden="1" customHeight="1" x14ac:dyDescent="0.25">
      <c r="B2021" s="13" t="s">
        <v>556</v>
      </c>
      <c r="C2021" s="13" t="s">
        <v>16656</v>
      </c>
      <c r="D2021" s="12" t="s">
        <v>16657</v>
      </c>
      <c r="E2021" s="13" t="s">
        <v>580</v>
      </c>
      <c r="F2021" s="681">
        <v>25.2</v>
      </c>
    </row>
    <row r="2022" spans="2:6" ht="15.75" hidden="1" customHeight="1" x14ac:dyDescent="0.25">
      <c r="B2022" s="13" t="s">
        <v>556</v>
      </c>
      <c r="C2022" s="13" t="s">
        <v>16658</v>
      </c>
      <c r="D2022" s="12" t="s">
        <v>16659</v>
      </c>
      <c r="E2022" s="13" t="s">
        <v>580</v>
      </c>
      <c r="F2022" s="681">
        <v>60.11</v>
      </c>
    </row>
    <row r="2023" spans="2:6" ht="15.75" hidden="1" customHeight="1" x14ac:dyDescent="0.25">
      <c r="B2023" s="13" t="s">
        <v>556</v>
      </c>
      <c r="C2023" s="13" t="s">
        <v>16660</v>
      </c>
      <c r="D2023" s="12" t="s">
        <v>16661</v>
      </c>
      <c r="E2023" s="13" t="s">
        <v>580</v>
      </c>
      <c r="F2023" s="681">
        <v>207.17</v>
      </c>
    </row>
    <row r="2024" spans="2:6" ht="15.75" hidden="1" customHeight="1" x14ac:dyDescent="0.25">
      <c r="B2024" s="13" t="s">
        <v>556</v>
      </c>
      <c r="C2024" s="13" t="s">
        <v>16662</v>
      </c>
      <c r="D2024" s="12" t="s">
        <v>16663</v>
      </c>
      <c r="E2024" s="13" t="s">
        <v>580</v>
      </c>
      <c r="F2024" s="681">
        <v>2619.8200000000002</v>
      </c>
    </row>
    <row r="2025" spans="2:6" ht="15.75" hidden="1" customHeight="1" x14ac:dyDescent="0.25">
      <c r="B2025" s="13" t="s">
        <v>556</v>
      </c>
      <c r="C2025" s="13" t="s">
        <v>16664</v>
      </c>
      <c r="D2025" s="12" t="s">
        <v>10389</v>
      </c>
      <c r="E2025" s="13" t="s">
        <v>578</v>
      </c>
      <c r="F2025" s="681">
        <v>49.65</v>
      </c>
    </row>
    <row r="2026" spans="2:6" ht="15.75" hidden="1" customHeight="1" x14ac:dyDescent="0.25">
      <c r="B2026" s="13" t="s">
        <v>556</v>
      </c>
      <c r="C2026" s="13" t="s">
        <v>16665</v>
      </c>
      <c r="D2026" s="12" t="s">
        <v>16666</v>
      </c>
      <c r="E2026" s="13" t="s">
        <v>580</v>
      </c>
      <c r="F2026" s="681">
        <v>28.6</v>
      </c>
    </row>
    <row r="2027" spans="2:6" ht="15.75" hidden="1" customHeight="1" x14ac:dyDescent="0.25">
      <c r="B2027" s="13" t="s">
        <v>556</v>
      </c>
      <c r="C2027" s="13" t="s">
        <v>16667</v>
      </c>
      <c r="D2027" s="12" t="s">
        <v>16668</v>
      </c>
      <c r="E2027" s="13" t="s">
        <v>580</v>
      </c>
      <c r="F2027" s="681">
        <v>38.79</v>
      </c>
    </row>
    <row r="2028" spans="2:6" ht="15.75" hidden="1" customHeight="1" x14ac:dyDescent="0.25">
      <c r="B2028" s="13" t="s">
        <v>556</v>
      </c>
      <c r="C2028" s="13" t="s">
        <v>16669</v>
      </c>
      <c r="D2028" s="12" t="s">
        <v>16670</v>
      </c>
      <c r="E2028" s="13" t="s">
        <v>580</v>
      </c>
      <c r="F2028" s="681">
        <v>71.56</v>
      </c>
    </row>
    <row r="2029" spans="2:6" ht="15.75" hidden="1" customHeight="1" x14ac:dyDescent="0.25">
      <c r="B2029" s="13" t="s">
        <v>556</v>
      </c>
      <c r="C2029" s="13" t="s">
        <v>16671</v>
      </c>
      <c r="D2029" s="12" t="s">
        <v>16672</v>
      </c>
      <c r="E2029" s="13" t="s">
        <v>580</v>
      </c>
      <c r="F2029" s="681">
        <v>228.21</v>
      </c>
    </row>
    <row r="2030" spans="2:6" ht="15.75" hidden="1" customHeight="1" x14ac:dyDescent="0.25">
      <c r="B2030" s="13" t="s">
        <v>556</v>
      </c>
      <c r="C2030" s="13" t="s">
        <v>16673</v>
      </c>
      <c r="D2030" s="12" t="s">
        <v>16674</v>
      </c>
      <c r="E2030" s="13" t="s">
        <v>580</v>
      </c>
      <c r="F2030" s="681">
        <v>2127.86</v>
      </c>
    </row>
    <row r="2031" spans="2:6" ht="15.75" hidden="1" customHeight="1" x14ac:dyDescent="0.25">
      <c r="B2031" s="13" t="s">
        <v>556</v>
      </c>
      <c r="C2031" s="13" t="s">
        <v>16675</v>
      </c>
      <c r="D2031" s="12" t="s">
        <v>16676</v>
      </c>
      <c r="E2031" s="13" t="s">
        <v>580</v>
      </c>
      <c r="F2031" s="681">
        <v>26.82</v>
      </c>
    </row>
    <row r="2032" spans="2:6" ht="15.75" hidden="1" customHeight="1" x14ac:dyDescent="0.25">
      <c r="B2032" s="13" t="s">
        <v>556</v>
      </c>
      <c r="C2032" s="13" t="s">
        <v>16677</v>
      </c>
      <c r="D2032" s="12" t="s">
        <v>16678</v>
      </c>
      <c r="E2032" s="13" t="s">
        <v>580</v>
      </c>
      <c r="F2032" s="681">
        <v>31.65</v>
      </c>
    </row>
    <row r="2033" spans="2:6" ht="15.75" hidden="1" customHeight="1" x14ac:dyDescent="0.25">
      <c r="B2033" s="13" t="s">
        <v>556</v>
      </c>
      <c r="C2033" s="13" t="s">
        <v>16679</v>
      </c>
      <c r="D2033" s="12" t="s">
        <v>16680</v>
      </c>
      <c r="E2033" s="13" t="s">
        <v>580</v>
      </c>
      <c r="F2033" s="681">
        <v>45.78</v>
      </c>
    </row>
    <row r="2034" spans="2:6" ht="15.75" hidden="1" customHeight="1" x14ac:dyDescent="0.25">
      <c r="B2034" s="13" t="s">
        <v>556</v>
      </c>
      <c r="C2034" s="13" t="s">
        <v>16681</v>
      </c>
      <c r="D2034" s="12" t="s">
        <v>16682</v>
      </c>
      <c r="E2034" s="13" t="s">
        <v>580</v>
      </c>
      <c r="F2034" s="681">
        <v>228.21</v>
      </c>
    </row>
    <row r="2035" spans="2:6" ht="15.75" hidden="1" customHeight="1" x14ac:dyDescent="0.25">
      <c r="B2035" s="13" t="s">
        <v>556</v>
      </c>
      <c r="C2035" s="13" t="s">
        <v>16683</v>
      </c>
      <c r="D2035" s="12" t="s">
        <v>16684</v>
      </c>
      <c r="E2035" s="13" t="s">
        <v>580</v>
      </c>
      <c r="F2035" s="681">
        <v>1492.05</v>
      </c>
    </row>
    <row r="2036" spans="2:6" ht="15.75" hidden="1" customHeight="1" x14ac:dyDescent="0.25">
      <c r="B2036" s="13" t="s">
        <v>556</v>
      </c>
      <c r="C2036" s="13" t="s">
        <v>16685</v>
      </c>
      <c r="D2036" s="12" t="s">
        <v>10390</v>
      </c>
      <c r="E2036" s="13" t="s">
        <v>578</v>
      </c>
      <c r="F2036" s="681">
        <v>54.65</v>
      </c>
    </row>
    <row r="2037" spans="2:6" ht="15.75" hidden="1" customHeight="1" x14ac:dyDescent="0.25">
      <c r="B2037" s="13" t="s">
        <v>556</v>
      </c>
      <c r="C2037" s="13" t="s">
        <v>16686</v>
      </c>
      <c r="D2037" s="12" t="s">
        <v>16687</v>
      </c>
      <c r="E2037" s="13" t="s">
        <v>580</v>
      </c>
      <c r="F2037" s="681">
        <v>149.29</v>
      </c>
    </row>
    <row r="2038" spans="2:6" ht="15.75" hidden="1" customHeight="1" x14ac:dyDescent="0.25">
      <c r="B2038" s="13" t="s">
        <v>556</v>
      </c>
      <c r="C2038" s="13" t="s">
        <v>16688</v>
      </c>
      <c r="D2038" s="12" t="s">
        <v>16689</v>
      </c>
      <c r="E2038" s="13" t="s">
        <v>580</v>
      </c>
      <c r="F2038" s="681">
        <v>149.29</v>
      </c>
    </row>
    <row r="2039" spans="2:6" ht="15.75" hidden="1" customHeight="1" x14ac:dyDescent="0.25">
      <c r="B2039" s="13" t="s">
        <v>556</v>
      </c>
      <c r="C2039" s="13" t="s">
        <v>16690</v>
      </c>
      <c r="D2039" s="12" t="s">
        <v>16691</v>
      </c>
      <c r="E2039" s="13" t="s">
        <v>580</v>
      </c>
      <c r="F2039" s="681">
        <v>179.82</v>
      </c>
    </row>
    <row r="2040" spans="2:6" ht="15.75" hidden="1" customHeight="1" x14ac:dyDescent="0.25">
      <c r="B2040" s="13" t="s">
        <v>556</v>
      </c>
      <c r="C2040" s="13" t="s">
        <v>16692</v>
      </c>
      <c r="D2040" s="12" t="s">
        <v>16693</v>
      </c>
      <c r="E2040" s="13" t="s">
        <v>580</v>
      </c>
      <c r="F2040" s="681">
        <v>188.09</v>
      </c>
    </row>
    <row r="2041" spans="2:6" ht="15.75" hidden="1" customHeight="1" x14ac:dyDescent="0.25">
      <c r="B2041" s="13" t="s">
        <v>556</v>
      </c>
      <c r="C2041" s="13" t="s">
        <v>16694</v>
      </c>
      <c r="D2041" s="12" t="s">
        <v>16695</v>
      </c>
      <c r="E2041" s="13" t="s">
        <v>580</v>
      </c>
      <c r="F2041" s="681">
        <v>191.28</v>
      </c>
    </row>
    <row r="2042" spans="2:6" ht="15.75" hidden="1" customHeight="1" x14ac:dyDescent="0.25">
      <c r="B2042" s="13" t="s">
        <v>556</v>
      </c>
      <c r="C2042" s="13" t="s">
        <v>16696</v>
      </c>
      <c r="D2042" s="12" t="s">
        <v>16697</v>
      </c>
      <c r="E2042" s="13" t="s">
        <v>580</v>
      </c>
      <c r="F2042" s="681">
        <v>289.94</v>
      </c>
    </row>
    <row r="2043" spans="2:6" ht="15.75" hidden="1" customHeight="1" x14ac:dyDescent="0.25">
      <c r="B2043" s="13" t="s">
        <v>556</v>
      </c>
      <c r="C2043" s="13" t="s">
        <v>16698</v>
      </c>
      <c r="D2043" s="12" t="s">
        <v>16699</v>
      </c>
      <c r="E2043" s="13" t="s">
        <v>580</v>
      </c>
      <c r="F2043" s="681">
        <v>316.08</v>
      </c>
    </row>
    <row r="2044" spans="2:6" ht="15.75" hidden="1" customHeight="1" x14ac:dyDescent="0.25">
      <c r="B2044" s="13" t="s">
        <v>556</v>
      </c>
      <c r="C2044" s="13" t="s">
        <v>16700</v>
      </c>
      <c r="D2044" s="12" t="s">
        <v>16701</v>
      </c>
      <c r="E2044" s="13" t="s">
        <v>580</v>
      </c>
      <c r="F2044" s="681">
        <v>321.02</v>
      </c>
    </row>
    <row r="2045" spans="2:6" ht="15.75" hidden="1" customHeight="1" x14ac:dyDescent="0.25">
      <c r="B2045" s="13" t="s">
        <v>556</v>
      </c>
      <c r="C2045" s="13" t="s">
        <v>16702</v>
      </c>
      <c r="D2045" s="12" t="s">
        <v>16703</v>
      </c>
      <c r="E2045" s="13" t="s">
        <v>580</v>
      </c>
      <c r="F2045" s="681">
        <v>440.33</v>
      </c>
    </row>
    <row r="2046" spans="2:6" ht="15.75" hidden="1" customHeight="1" x14ac:dyDescent="0.25">
      <c r="B2046" s="13" t="s">
        <v>556</v>
      </c>
      <c r="C2046" s="13" t="s">
        <v>16704</v>
      </c>
      <c r="D2046" s="677" t="s">
        <v>11695</v>
      </c>
      <c r="E2046" s="13" t="s">
        <v>585</v>
      </c>
      <c r="F2046" s="681">
        <v>36.86</v>
      </c>
    </row>
    <row r="2047" spans="2:6" ht="15.75" hidden="1" customHeight="1" x14ac:dyDescent="0.25">
      <c r="B2047" s="13" t="s">
        <v>556</v>
      </c>
      <c r="C2047" s="13" t="s">
        <v>16705</v>
      </c>
      <c r="D2047" s="12" t="s">
        <v>10385</v>
      </c>
      <c r="E2047" s="13" t="s">
        <v>578</v>
      </c>
      <c r="F2047" s="681">
        <v>53.72</v>
      </c>
    </row>
    <row r="2048" spans="2:6" ht="15.75" hidden="1" customHeight="1" x14ac:dyDescent="0.25">
      <c r="B2048" s="13" t="s">
        <v>556</v>
      </c>
      <c r="C2048" s="13" t="s">
        <v>16706</v>
      </c>
      <c r="D2048" s="677" t="s">
        <v>11696</v>
      </c>
      <c r="E2048" s="13" t="s">
        <v>585</v>
      </c>
      <c r="F2048" s="681">
        <v>51.61</v>
      </c>
    </row>
    <row r="2049" spans="2:6" ht="15.75" hidden="1" customHeight="1" x14ac:dyDescent="0.25">
      <c r="B2049" s="13" t="s">
        <v>556</v>
      </c>
      <c r="C2049" s="13" t="s">
        <v>16707</v>
      </c>
      <c r="D2049" s="677" t="s">
        <v>11697</v>
      </c>
      <c r="E2049" s="13" t="s">
        <v>585</v>
      </c>
      <c r="F2049" s="681">
        <v>72.05</v>
      </c>
    </row>
    <row r="2050" spans="2:6" ht="15.75" hidden="1" customHeight="1" x14ac:dyDescent="0.25">
      <c r="B2050" s="13" t="s">
        <v>556</v>
      </c>
      <c r="C2050" s="13" t="s">
        <v>16708</v>
      </c>
      <c r="D2050" s="677" t="s">
        <v>11698</v>
      </c>
      <c r="E2050" s="13" t="s">
        <v>585</v>
      </c>
      <c r="F2050" s="681">
        <v>104.72</v>
      </c>
    </row>
    <row r="2051" spans="2:6" ht="15.75" hidden="1" customHeight="1" x14ac:dyDescent="0.25">
      <c r="B2051" s="13" t="s">
        <v>556</v>
      </c>
      <c r="C2051" s="13" t="s">
        <v>16709</v>
      </c>
      <c r="D2051" s="677" t="s">
        <v>11699</v>
      </c>
      <c r="E2051" s="13" t="s">
        <v>585</v>
      </c>
      <c r="F2051" s="681">
        <v>120.6</v>
      </c>
    </row>
    <row r="2052" spans="2:6" ht="15.75" hidden="1" customHeight="1" x14ac:dyDescent="0.25">
      <c r="B2052" s="13" t="s">
        <v>556</v>
      </c>
      <c r="C2052" s="13" t="s">
        <v>16710</v>
      </c>
      <c r="D2052" s="12" t="s">
        <v>10586</v>
      </c>
      <c r="E2052" s="13" t="s">
        <v>585</v>
      </c>
      <c r="F2052" s="681">
        <v>1.26</v>
      </c>
    </row>
    <row r="2053" spans="2:6" ht="15.75" hidden="1" customHeight="1" x14ac:dyDescent="0.25">
      <c r="B2053" s="13" t="s">
        <v>556</v>
      </c>
      <c r="C2053" s="13" t="s">
        <v>16711</v>
      </c>
      <c r="D2053" s="12" t="s">
        <v>10587</v>
      </c>
      <c r="E2053" s="13" t="s">
        <v>585</v>
      </c>
      <c r="F2053" s="681">
        <v>2.12</v>
      </c>
    </row>
    <row r="2054" spans="2:6" ht="15.75" hidden="1" customHeight="1" x14ac:dyDescent="0.25">
      <c r="B2054" s="13" t="s">
        <v>556</v>
      </c>
      <c r="C2054" s="13" t="s">
        <v>16712</v>
      </c>
      <c r="D2054" s="12" t="s">
        <v>10590</v>
      </c>
      <c r="E2054" s="13" t="s">
        <v>585</v>
      </c>
      <c r="F2054" s="681">
        <v>1.7</v>
      </c>
    </row>
    <row r="2055" spans="2:6" ht="15.75" hidden="1" customHeight="1" x14ac:dyDescent="0.25">
      <c r="B2055" s="13" t="s">
        <v>556</v>
      </c>
      <c r="C2055" s="13" t="s">
        <v>16713</v>
      </c>
      <c r="D2055" s="12" t="s">
        <v>10589</v>
      </c>
      <c r="E2055" s="13" t="s">
        <v>585</v>
      </c>
      <c r="F2055" s="681">
        <v>3.23</v>
      </c>
    </row>
    <row r="2056" spans="2:6" ht="15.75" hidden="1" customHeight="1" x14ac:dyDescent="0.25">
      <c r="B2056" s="13" t="s">
        <v>556</v>
      </c>
      <c r="C2056" s="13" t="s">
        <v>16714</v>
      </c>
      <c r="D2056" s="12" t="s">
        <v>10585</v>
      </c>
      <c r="E2056" s="13" t="s">
        <v>585</v>
      </c>
      <c r="F2056" s="681">
        <v>4.8</v>
      </c>
    </row>
    <row r="2057" spans="2:6" ht="15.75" hidden="1" customHeight="1" x14ac:dyDescent="0.25">
      <c r="B2057" s="13" t="s">
        <v>556</v>
      </c>
      <c r="C2057" s="13" t="s">
        <v>16715</v>
      </c>
      <c r="D2057" s="12" t="s">
        <v>10588</v>
      </c>
      <c r="E2057" s="13" t="s">
        <v>585</v>
      </c>
      <c r="F2057" s="681">
        <v>6.74</v>
      </c>
    </row>
    <row r="2058" spans="2:6" ht="15.75" hidden="1" customHeight="1" x14ac:dyDescent="0.25">
      <c r="B2058" s="13" t="s">
        <v>556</v>
      </c>
      <c r="C2058" s="13" t="s">
        <v>16716</v>
      </c>
      <c r="D2058" s="12" t="s">
        <v>10397</v>
      </c>
      <c r="E2058" s="13" t="s">
        <v>578</v>
      </c>
      <c r="F2058" s="681">
        <v>84.15</v>
      </c>
    </row>
    <row r="2059" spans="2:6" ht="15.75" hidden="1" customHeight="1" x14ac:dyDescent="0.25">
      <c r="B2059" s="13" t="s">
        <v>556</v>
      </c>
      <c r="C2059" s="13" t="s">
        <v>16717</v>
      </c>
      <c r="D2059" s="12" t="s">
        <v>10584</v>
      </c>
      <c r="E2059" s="13" t="s">
        <v>585</v>
      </c>
      <c r="F2059" s="681">
        <v>16.38</v>
      </c>
    </row>
    <row r="2060" spans="2:6" ht="15.75" hidden="1" customHeight="1" x14ac:dyDescent="0.25">
      <c r="B2060" s="13" t="s">
        <v>556</v>
      </c>
      <c r="C2060" s="13" t="s">
        <v>16718</v>
      </c>
      <c r="D2060" s="12" t="s">
        <v>10583</v>
      </c>
      <c r="E2060" s="13" t="s">
        <v>585</v>
      </c>
      <c r="F2060" s="681">
        <v>11.99</v>
      </c>
    </row>
    <row r="2061" spans="2:6" ht="15.75" hidden="1" customHeight="1" x14ac:dyDescent="0.25">
      <c r="B2061" s="13" t="s">
        <v>556</v>
      </c>
      <c r="C2061" s="13" t="s">
        <v>16719</v>
      </c>
      <c r="D2061" s="12" t="s">
        <v>10388</v>
      </c>
      <c r="E2061" s="13" t="s">
        <v>578</v>
      </c>
      <c r="F2061" s="681">
        <v>54.65</v>
      </c>
    </row>
    <row r="2062" spans="2:6" ht="15.75" hidden="1" customHeight="1" x14ac:dyDescent="0.25">
      <c r="B2062" s="13" t="s">
        <v>556</v>
      </c>
      <c r="C2062" s="13" t="s">
        <v>16720</v>
      </c>
      <c r="D2062" s="12" t="s">
        <v>16721</v>
      </c>
      <c r="E2062" s="13" t="s">
        <v>580</v>
      </c>
      <c r="F2062" s="681">
        <v>4059.83</v>
      </c>
    </row>
    <row r="2063" spans="2:6" ht="15.75" hidden="1" customHeight="1" x14ac:dyDescent="0.25">
      <c r="B2063" s="13" t="s">
        <v>556</v>
      </c>
      <c r="C2063" s="13" t="s">
        <v>16722</v>
      </c>
      <c r="D2063" s="12" t="s">
        <v>16723</v>
      </c>
      <c r="E2063" s="13" t="s">
        <v>580</v>
      </c>
      <c r="F2063" s="681">
        <v>6889.41</v>
      </c>
    </row>
    <row r="2064" spans="2:6" ht="15.75" hidden="1" customHeight="1" x14ac:dyDescent="0.25">
      <c r="B2064" s="13" t="s">
        <v>556</v>
      </c>
      <c r="C2064" s="13" t="s">
        <v>16724</v>
      </c>
      <c r="D2064" s="12" t="s">
        <v>16725</v>
      </c>
      <c r="E2064" s="13" t="s">
        <v>580</v>
      </c>
      <c r="F2064" s="681">
        <v>5085.04</v>
      </c>
    </row>
    <row r="2065" spans="2:6" ht="15.75" hidden="1" customHeight="1" x14ac:dyDescent="0.25">
      <c r="B2065" s="13" t="s">
        <v>556</v>
      </c>
      <c r="C2065" s="13" t="s">
        <v>16726</v>
      </c>
      <c r="D2065" s="12" t="s">
        <v>16727</v>
      </c>
      <c r="E2065" s="13" t="s">
        <v>580</v>
      </c>
      <c r="F2065" s="681">
        <v>8170.92</v>
      </c>
    </row>
    <row r="2066" spans="2:6" ht="15.75" hidden="1" customHeight="1" x14ac:dyDescent="0.25">
      <c r="B2066" s="13" t="s">
        <v>14150</v>
      </c>
      <c r="C2066" s="13" t="s">
        <v>16728</v>
      </c>
      <c r="D2066" s="12" t="s">
        <v>16729</v>
      </c>
      <c r="E2066" s="13" t="s">
        <v>580</v>
      </c>
      <c r="F2066" s="681">
        <v>332500</v>
      </c>
    </row>
    <row r="2067" spans="2:6" ht="15.75" hidden="1" customHeight="1" x14ac:dyDescent="0.25">
      <c r="B2067" s="13" t="s">
        <v>14150</v>
      </c>
      <c r="C2067" s="13" t="s">
        <v>16730</v>
      </c>
      <c r="D2067" s="12" t="s">
        <v>16731</v>
      </c>
      <c r="E2067" s="13" t="s">
        <v>580</v>
      </c>
      <c r="F2067" s="681">
        <v>580581.35</v>
      </c>
    </row>
    <row r="2068" spans="2:6" ht="15.75" hidden="1" customHeight="1" x14ac:dyDescent="0.25">
      <c r="B2068" s="13" t="s">
        <v>556</v>
      </c>
      <c r="C2068" s="13" t="s">
        <v>16732</v>
      </c>
      <c r="D2068" s="12" t="s">
        <v>16733</v>
      </c>
      <c r="E2068" s="13" t="s">
        <v>578</v>
      </c>
      <c r="F2068" s="681">
        <v>491.85</v>
      </c>
    </row>
    <row r="2069" spans="2:6" ht="15.75" hidden="1" customHeight="1" x14ac:dyDescent="0.25">
      <c r="B2069" s="13" t="s">
        <v>14150</v>
      </c>
      <c r="C2069" s="13" t="s">
        <v>16734</v>
      </c>
      <c r="D2069" s="12" t="s">
        <v>16735</v>
      </c>
      <c r="E2069" s="13" t="s">
        <v>580</v>
      </c>
      <c r="F2069" s="681">
        <v>513145.05</v>
      </c>
    </row>
    <row r="2070" spans="2:6" ht="15.75" hidden="1" customHeight="1" x14ac:dyDescent="0.25">
      <c r="B2070" s="13" t="s">
        <v>14150</v>
      </c>
      <c r="C2070" s="13" t="s">
        <v>16736</v>
      </c>
      <c r="D2070" s="12" t="s">
        <v>16737</v>
      </c>
      <c r="E2070" s="13" t="s">
        <v>580</v>
      </c>
      <c r="F2070" s="681">
        <v>504732.83</v>
      </c>
    </row>
    <row r="2071" spans="2:6" ht="15.75" hidden="1" customHeight="1" x14ac:dyDescent="0.25">
      <c r="B2071" s="13" t="s">
        <v>14150</v>
      </c>
      <c r="C2071" s="13" t="s">
        <v>16738</v>
      </c>
      <c r="D2071" s="12" t="s">
        <v>16739</v>
      </c>
      <c r="E2071" s="13" t="s">
        <v>580</v>
      </c>
      <c r="F2071" s="681">
        <v>615774.06999999995</v>
      </c>
    </row>
    <row r="2072" spans="2:6" ht="15.75" hidden="1" customHeight="1" x14ac:dyDescent="0.25">
      <c r="B2072" s="13" t="s">
        <v>14150</v>
      </c>
      <c r="C2072" s="13" t="s">
        <v>16740</v>
      </c>
      <c r="D2072" s="12" t="s">
        <v>16741</v>
      </c>
      <c r="E2072" s="13" t="s">
        <v>580</v>
      </c>
      <c r="F2072" s="681">
        <v>634300.1</v>
      </c>
    </row>
    <row r="2073" spans="2:6" ht="15.75" hidden="1" customHeight="1" x14ac:dyDescent="0.25">
      <c r="B2073" s="13" t="s">
        <v>14150</v>
      </c>
      <c r="C2073" s="13" t="s">
        <v>16742</v>
      </c>
      <c r="D2073" s="12" t="s">
        <v>16743</v>
      </c>
      <c r="E2073" s="13" t="s">
        <v>580</v>
      </c>
      <c r="F2073" s="681">
        <v>653034.81999999995</v>
      </c>
    </row>
    <row r="2074" spans="2:6" ht="15.75" hidden="1" customHeight="1" x14ac:dyDescent="0.25">
      <c r="B2074" s="13" t="s">
        <v>556</v>
      </c>
      <c r="C2074" s="13" t="s">
        <v>16744</v>
      </c>
      <c r="D2074" s="12" t="s">
        <v>11477</v>
      </c>
      <c r="E2074" s="13" t="s">
        <v>585</v>
      </c>
      <c r="F2074" s="681">
        <v>1.95</v>
      </c>
    </row>
    <row r="2075" spans="2:6" ht="15.75" hidden="1" customHeight="1" x14ac:dyDescent="0.25">
      <c r="B2075" s="13" t="s">
        <v>556</v>
      </c>
      <c r="C2075" s="13" t="s">
        <v>16745</v>
      </c>
      <c r="D2075" s="12" t="s">
        <v>11478</v>
      </c>
      <c r="E2075" s="13" t="s">
        <v>585</v>
      </c>
      <c r="F2075" s="681">
        <v>2.66</v>
      </c>
    </row>
    <row r="2076" spans="2:6" ht="15.75" hidden="1" customHeight="1" x14ac:dyDescent="0.25">
      <c r="B2076" s="13" t="s">
        <v>556</v>
      </c>
      <c r="C2076" s="13" t="s">
        <v>16746</v>
      </c>
      <c r="D2076" s="12" t="s">
        <v>11235</v>
      </c>
      <c r="E2076" s="13" t="s">
        <v>580</v>
      </c>
      <c r="F2076" s="681">
        <v>5.57</v>
      </c>
    </row>
    <row r="2077" spans="2:6" ht="15.75" hidden="1" customHeight="1" x14ac:dyDescent="0.25">
      <c r="B2077" s="13" t="s">
        <v>556</v>
      </c>
      <c r="C2077" s="13" t="s">
        <v>16747</v>
      </c>
      <c r="D2077" s="12" t="s">
        <v>10595</v>
      </c>
      <c r="E2077" s="13" t="s">
        <v>580</v>
      </c>
      <c r="F2077" s="681">
        <v>532.87</v>
      </c>
    </row>
    <row r="2078" spans="2:6" ht="15.75" hidden="1" customHeight="1" x14ac:dyDescent="0.25">
      <c r="B2078" s="13" t="s">
        <v>556</v>
      </c>
      <c r="C2078" s="13" t="s">
        <v>16748</v>
      </c>
      <c r="D2078" s="12" t="s">
        <v>10596</v>
      </c>
      <c r="E2078" s="13" t="s">
        <v>580</v>
      </c>
      <c r="F2078" s="681">
        <v>635.34</v>
      </c>
    </row>
    <row r="2079" spans="2:6" ht="15.75" hidden="1" customHeight="1" x14ac:dyDescent="0.25">
      <c r="B2079" s="13" t="s">
        <v>556</v>
      </c>
      <c r="C2079" s="13" t="s">
        <v>16749</v>
      </c>
      <c r="D2079" s="12" t="s">
        <v>10597</v>
      </c>
      <c r="E2079" s="13" t="s">
        <v>580</v>
      </c>
      <c r="F2079" s="681">
        <v>641.58000000000004</v>
      </c>
    </row>
    <row r="2080" spans="2:6" ht="15.75" hidden="1" customHeight="1" x14ac:dyDescent="0.25">
      <c r="B2080" s="13" t="s">
        <v>556</v>
      </c>
      <c r="C2080" s="13" t="s">
        <v>16750</v>
      </c>
      <c r="D2080" s="12" t="s">
        <v>10598</v>
      </c>
      <c r="E2080" s="13" t="s">
        <v>580</v>
      </c>
      <c r="F2080" s="681">
        <v>837.62</v>
      </c>
    </row>
    <row r="2081" spans="2:6" ht="15.75" hidden="1" customHeight="1" x14ac:dyDescent="0.25">
      <c r="B2081" s="13" t="s">
        <v>556</v>
      </c>
      <c r="C2081" s="13" t="s">
        <v>16751</v>
      </c>
      <c r="D2081" s="12" t="s">
        <v>10600</v>
      </c>
      <c r="E2081" s="13" t="s">
        <v>580</v>
      </c>
      <c r="F2081" s="681">
        <v>900</v>
      </c>
    </row>
    <row r="2082" spans="2:6" ht="15.75" hidden="1" customHeight="1" x14ac:dyDescent="0.25">
      <c r="B2082" s="13" t="s">
        <v>556</v>
      </c>
      <c r="C2082" s="13" t="s">
        <v>16752</v>
      </c>
      <c r="D2082" s="12" t="s">
        <v>16753</v>
      </c>
      <c r="E2082" s="13" t="s">
        <v>823</v>
      </c>
      <c r="F2082" s="681">
        <v>16.88</v>
      </c>
    </row>
    <row r="2083" spans="2:6" ht="15.75" hidden="1" customHeight="1" x14ac:dyDescent="0.25">
      <c r="B2083" s="13" t="s">
        <v>556</v>
      </c>
      <c r="C2083" s="13" t="s">
        <v>16754</v>
      </c>
      <c r="D2083" s="12" t="s">
        <v>16755</v>
      </c>
      <c r="E2083" s="13" t="s">
        <v>823</v>
      </c>
      <c r="F2083" s="681">
        <v>22.3</v>
      </c>
    </row>
    <row r="2084" spans="2:6" ht="15.75" hidden="1" customHeight="1" x14ac:dyDescent="0.25">
      <c r="B2084" s="13" t="s">
        <v>556</v>
      </c>
      <c r="C2084" s="13" t="s">
        <v>16756</v>
      </c>
      <c r="D2084" s="12" t="s">
        <v>16757</v>
      </c>
      <c r="E2084" s="13" t="s">
        <v>823</v>
      </c>
      <c r="F2084" s="681">
        <v>22.3</v>
      </c>
    </row>
    <row r="2085" spans="2:6" ht="15.75" hidden="1" customHeight="1" x14ac:dyDescent="0.25">
      <c r="B2085" s="13" t="s">
        <v>556</v>
      </c>
      <c r="C2085" s="13" t="s">
        <v>16758</v>
      </c>
      <c r="D2085" s="12" t="s">
        <v>16759</v>
      </c>
      <c r="E2085" s="13" t="s">
        <v>823</v>
      </c>
      <c r="F2085" s="681">
        <v>22.3</v>
      </c>
    </row>
    <row r="2086" spans="2:6" ht="15.75" hidden="1" customHeight="1" x14ac:dyDescent="0.25">
      <c r="B2086" s="13" t="s">
        <v>556</v>
      </c>
      <c r="C2086" s="13" t="s">
        <v>16760</v>
      </c>
      <c r="D2086" s="12" t="s">
        <v>16761</v>
      </c>
      <c r="E2086" s="13" t="s">
        <v>823</v>
      </c>
      <c r="F2086" s="681">
        <v>16.88</v>
      </c>
    </row>
    <row r="2087" spans="2:6" ht="15.75" hidden="1" customHeight="1" x14ac:dyDescent="0.25">
      <c r="B2087" s="13" t="s">
        <v>556</v>
      </c>
      <c r="C2087" s="13" t="s">
        <v>16762</v>
      </c>
      <c r="D2087" s="12" t="s">
        <v>16763</v>
      </c>
      <c r="E2087" s="13" t="s">
        <v>823</v>
      </c>
      <c r="F2087" s="681">
        <v>16.88</v>
      </c>
    </row>
    <row r="2088" spans="2:6" ht="15.75" hidden="1" customHeight="1" x14ac:dyDescent="0.25">
      <c r="B2088" s="13" t="s">
        <v>556</v>
      </c>
      <c r="C2088" s="13" t="s">
        <v>16764</v>
      </c>
      <c r="D2088" s="12" t="s">
        <v>10991</v>
      </c>
      <c r="E2088" s="13" t="s">
        <v>580</v>
      </c>
      <c r="F2088" s="681">
        <v>21.9</v>
      </c>
    </row>
    <row r="2089" spans="2:6" ht="15.75" hidden="1" customHeight="1" x14ac:dyDescent="0.25">
      <c r="B2089" s="13" t="s">
        <v>14150</v>
      </c>
      <c r="C2089" s="13" t="s">
        <v>16765</v>
      </c>
      <c r="D2089" s="12" t="s">
        <v>11093</v>
      </c>
      <c r="E2089" s="13" t="s">
        <v>580</v>
      </c>
      <c r="F2089" s="681">
        <v>79896.160000000003</v>
      </c>
    </row>
    <row r="2090" spans="2:6" ht="15.75" hidden="1" customHeight="1" x14ac:dyDescent="0.25">
      <c r="B2090" s="13" t="s">
        <v>14150</v>
      </c>
      <c r="C2090" s="13" t="s">
        <v>16766</v>
      </c>
      <c r="D2090" s="12" t="s">
        <v>10696</v>
      </c>
      <c r="E2090" s="13" t="s">
        <v>580</v>
      </c>
      <c r="F2090" s="681">
        <v>12987.37</v>
      </c>
    </row>
    <row r="2091" spans="2:6" ht="15.75" hidden="1" customHeight="1" x14ac:dyDescent="0.25">
      <c r="B2091" s="13" t="s">
        <v>14150</v>
      </c>
      <c r="C2091" s="13" t="s">
        <v>16767</v>
      </c>
      <c r="D2091" s="12" t="s">
        <v>10697</v>
      </c>
      <c r="E2091" s="13" t="s">
        <v>580</v>
      </c>
      <c r="F2091" s="681">
        <v>15453.23</v>
      </c>
    </row>
    <row r="2092" spans="2:6" ht="15.75" hidden="1" customHeight="1" x14ac:dyDescent="0.25">
      <c r="B2092" s="13" t="s">
        <v>14150</v>
      </c>
      <c r="C2092" s="13" t="s">
        <v>16768</v>
      </c>
      <c r="D2092" s="12" t="s">
        <v>10695</v>
      </c>
      <c r="E2092" s="13" t="s">
        <v>580</v>
      </c>
      <c r="F2092" s="681">
        <v>12279.25</v>
      </c>
    </row>
    <row r="2093" spans="2:6" ht="15.75" hidden="1" customHeight="1" x14ac:dyDescent="0.25">
      <c r="B2093" s="13" t="s">
        <v>14150</v>
      </c>
      <c r="C2093" s="13" t="s">
        <v>16769</v>
      </c>
      <c r="D2093" s="12" t="s">
        <v>11094</v>
      </c>
      <c r="E2093" s="13" t="s">
        <v>580</v>
      </c>
      <c r="F2093" s="681">
        <v>105901.96</v>
      </c>
    </row>
    <row r="2094" spans="2:6" ht="15.75" hidden="1" customHeight="1" x14ac:dyDescent="0.25">
      <c r="B2094" s="13" t="s">
        <v>556</v>
      </c>
      <c r="C2094" s="13" t="s">
        <v>16770</v>
      </c>
      <c r="D2094" s="12" t="s">
        <v>8751</v>
      </c>
      <c r="E2094" s="13" t="s">
        <v>823</v>
      </c>
      <c r="F2094" s="681">
        <v>2.63</v>
      </c>
    </row>
    <row r="2095" spans="2:6" ht="15.75" hidden="1" customHeight="1" x14ac:dyDescent="0.25">
      <c r="B2095" s="13" t="s">
        <v>556</v>
      </c>
      <c r="C2095" s="13" t="s">
        <v>16771</v>
      </c>
      <c r="D2095" s="12" t="s">
        <v>8750</v>
      </c>
      <c r="E2095" s="13" t="s">
        <v>823</v>
      </c>
      <c r="F2095" s="681">
        <v>1.63</v>
      </c>
    </row>
    <row r="2096" spans="2:6" ht="15.75" hidden="1" customHeight="1" x14ac:dyDescent="0.25">
      <c r="B2096" s="13" t="s">
        <v>556</v>
      </c>
      <c r="C2096" s="13" t="s">
        <v>16772</v>
      </c>
      <c r="D2096" s="12" t="s">
        <v>9929</v>
      </c>
      <c r="E2096" s="13" t="s">
        <v>580</v>
      </c>
      <c r="F2096" s="681">
        <v>388.42</v>
      </c>
    </row>
    <row r="2097" spans="2:6" ht="15.75" hidden="1" customHeight="1" x14ac:dyDescent="0.25">
      <c r="B2097" s="13" t="s">
        <v>556</v>
      </c>
      <c r="C2097" s="13" t="s">
        <v>16773</v>
      </c>
      <c r="D2097" s="12" t="s">
        <v>9930</v>
      </c>
      <c r="E2097" s="13" t="s">
        <v>580</v>
      </c>
      <c r="F2097" s="681">
        <v>472.49</v>
      </c>
    </row>
    <row r="2098" spans="2:6" ht="15.75" hidden="1" customHeight="1" x14ac:dyDescent="0.25">
      <c r="B2098" s="13" t="s">
        <v>556</v>
      </c>
      <c r="C2098" s="13" t="s">
        <v>16774</v>
      </c>
      <c r="D2098" s="12" t="s">
        <v>10989</v>
      </c>
      <c r="E2098" s="13" t="s">
        <v>580</v>
      </c>
      <c r="F2098" s="681">
        <v>25.33</v>
      </c>
    </row>
    <row r="2099" spans="2:6" ht="15.75" hidden="1" customHeight="1" x14ac:dyDescent="0.25">
      <c r="B2099" s="13" t="s">
        <v>556</v>
      </c>
      <c r="C2099" s="13" t="s">
        <v>16775</v>
      </c>
      <c r="D2099" s="12" t="s">
        <v>10988</v>
      </c>
      <c r="E2099" s="13" t="s">
        <v>580</v>
      </c>
      <c r="F2099" s="681">
        <v>13.09</v>
      </c>
    </row>
    <row r="2100" spans="2:6" ht="15.75" hidden="1" customHeight="1" x14ac:dyDescent="0.25">
      <c r="B2100" s="13" t="s">
        <v>556</v>
      </c>
      <c r="C2100" s="13" t="s">
        <v>16776</v>
      </c>
      <c r="D2100" s="12" t="s">
        <v>10992</v>
      </c>
      <c r="E2100" s="13" t="s">
        <v>580</v>
      </c>
      <c r="F2100" s="681">
        <v>40.83</v>
      </c>
    </row>
    <row r="2101" spans="2:6" ht="15.75" hidden="1" customHeight="1" x14ac:dyDescent="0.25">
      <c r="B2101" s="13" t="s">
        <v>556</v>
      </c>
      <c r="C2101" s="13" t="s">
        <v>16777</v>
      </c>
      <c r="D2101" s="12" t="s">
        <v>10990</v>
      </c>
      <c r="E2101" s="13" t="s">
        <v>580</v>
      </c>
      <c r="F2101" s="681">
        <v>31.07</v>
      </c>
    </row>
    <row r="2102" spans="2:6" ht="15.75" hidden="1" customHeight="1" x14ac:dyDescent="0.25">
      <c r="B2102" s="13" t="s">
        <v>556</v>
      </c>
      <c r="C2102" s="13" t="s">
        <v>16778</v>
      </c>
      <c r="D2102" s="12" t="s">
        <v>10987</v>
      </c>
      <c r="E2102" s="13" t="s">
        <v>580</v>
      </c>
      <c r="F2102" s="681">
        <v>43.11</v>
      </c>
    </row>
    <row r="2103" spans="2:6" ht="15.75" hidden="1" customHeight="1" x14ac:dyDescent="0.25">
      <c r="B2103" s="13" t="s">
        <v>556</v>
      </c>
      <c r="C2103" s="13" t="s">
        <v>16779</v>
      </c>
      <c r="D2103" s="12" t="s">
        <v>11058</v>
      </c>
      <c r="E2103" s="13" t="s">
        <v>578</v>
      </c>
      <c r="F2103" s="681">
        <v>599.05999999999995</v>
      </c>
    </row>
    <row r="2104" spans="2:6" ht="15.75" hidden="1" customHeight="1" x14ac:dyDescent="0.25">
      <c r="B2104" s="13" t="s">
        <v>556</v>
      </c>
      <c r="C2104" s="13" t="s">
        <v>16780</v>
      </c>
      <c r="D2104" s="12" t="s">
        <v>11059</v>
      </c>
      <c r="E2104" s="13" t="s">
        <v>578</v>
      </c>
      <c r="F2104" s="681">
        <v>785.43</v>
      </c>
    </row>
    <row r="2105" spans="2:6" ht="15.75" hidden="1" customHeight="1" x14ac:dyDescent="0.25">
      <c r="B2105" s="13" t="s">
        <v>556</v>
      </c>
      <c r="C2105" s="13" t="s">
        <v>16781</v>
      </c>
      <c r="D2105" s="12" t="s">
        <v>11056</v>
      </c>
      <c r="E2105" s="13" t="s">
        <v>578</v>
      </c>
      <c r="F2105" s="681">
        <v>738.29</v>
      </c>
    </row>
    <row r="2106" spans="2:6" ht="15.75" hidden="1" customHeight="1" x14ac:dyDescent="0.25">
      <c r="B2106" s="13" t="s">
        <v>556</v>
      </c>
      <c r="C2106" s="13" t="s">
        <v>13203</v>
      </c>
      <c r="D2106" s="12" t="s">
        <v>16782</v>
      </c>
      <c r="E2106" s="13" t="s">
        <v>10852</v>
      </c>
      <c r="F2106" s="681">
        <v>52.15</v>
      </c>
    </row>
    <row r="2107" spans="2:6" ht="15.75" hidden="1" customHeight="1" x14ac:dyDescent="0.25">
      <c r="B2107" s="13" t="s">
        <v>556</v>
      </c>
      <c r="C2107" s="13" t="s">
        <v>16783</v>
      </c>
      <c r="D2107" s="12" t="s">
        <v>10704</v>
      </c>
      <c r="E2107" s="13" t="s">
        <v>580</v>
      </c>
      <c r="F2107" s="681">
        <v>429.68</v>
      </c>
    </row>
    <row r="2108" spans="2:6" ht="15.75" hidden="1" customHeight="1" x14ac:dyDescent="0.25">
      <c r="B2108" s="13" t="s">
        <v>556</v>
      </c>
      <c r="C2108" s="13" t="s">
        <v>16784</v>
      </c>
      <c r="D2108" s="12" t="s">
        <v>11811</v>
      </c>
      <c r="E2108" s="13" t="s">
        <v>580</v>
      </c>
      <c r="F2108" s="681">
        <v>55.68</v>
      </c>
    </row>
    <row r="2109" spans="2:6" ht="15.75" hidden="1" customHeight="1" x14ac:dyDescent="0.25">
      <c r="B2109" s="13" t="s">
        <v>556</v>
      </c>
      <c r="C2109" s="13" t="s">
        <v>16785</v>
      </c>
      <c r="D2109" s="12" t="s">
        <v>11349</v>
      </c>
      <c r="E2109" s="13" t="s">
        <v>580</v>
      </c>
      <c r="F2109" s="681">
        <v>508.97</v>
      </c>
    </row>
    <row r="2110" spans="2:6" ht="15.75" hidden="1" customHeight="1" x14ac:dyDescent="0.25">
      <c r="B2110" s="13" t="s">
        <v>556</v>
      </c>
      <c r="C2110" s="13" t="s">
        <v>16786</v>
      </c>
      <c r="D2110" s="12" t="s">
        <v>16787</v>
      </c>
      <c r="E2110" s="13" t="s">
        <v>580</v>
      </c>
      <c r="F2110" s="681">
        <v>16.86</v>
      </c>
    </row>
    <row r="2111" spans="2:6" ht="15.75" hidden="1" customHeight="1" x14ac:dyDescent="0.25">
      <c r="B2111" s="13" t="s">
        <v>556</v>
      </c>
      <c r="C2111" s="13" t="s">
        <v>12844</v>
      </c>
      <c r="D2111" s="12" t="s">
        <v>16788</v>
      </c>
      <c r="E2111" s="13" t="s">
        <v>580</v>
      </c>
      <c r="F2111" s="681">
        <v>20.27</v>
      </c>
    </row>
    <row r="2112" spans="2:6" ht="15.75" hidden="1" customHeight="1" x14ac:dyDescent="0.25">
      <c r="B2112" s="13" t="s">
        <v>556</v>
      </c>
      <c r="C2112" s="13" t="s">
        <v>16789</v>
      </c>
      <c r="D2112" s="12" t="s">
        <v>8904</v>
      </c>
      <c r="E2112" s="13" t="s">
        <v>580</v>
      </c>
      <c r="F2112" s="681">
        <v>1.97</v>
      </c>
    </row>
    <row r="2113" spans="2:6" ht="15.75" hidden="1" customHeight="1" x14ac:dyDescent="0.25">
      <c r="B2113" s="13" t="s">
        <v>556</v>
      </c>
      <c r="C2113" s="13" t="s">
        <v>16790</v>
      </c>
      <c r="D2113" s="12" t="s">
        <v>8902</v>
      </c>
      <c r="E2113" s="13" t="s">
        <v>580</v>
      </c>
      <c r="F2113" s="681">
        <v>2.4900000000000002</v>
      </c>
    </row>
    <row r="2114" spans="2:6" ht="15.75" hidden="1" customHeight="1" x14ac:dyDescent="0.25">
      <c r="B2114" s="13" t="s">
        <v>556</v>
      </c>
      <c r="C2114" s="13" t="s">
        <v>16791</v>
      </c>
      <c r="D2114" s="12" t="s">
        <v>8903</v>
      </c>
      <c r="E2114" s="13" t="s">
        <v>580</v>
      </c>
      <c r="F2114" s="681">
        <v>2.96</v>
      </c>
    </row>
    <row r="2115" spans="2:6" ht="15.75" hidden="1" customHeight="1" x14ac:dyDescent="0.25">
      <c r="B2115" s="13" t="s">
        <v>556</v>
      </c>
      <c r="C2115" s="13" t="s">
        <v>16792</v>
      </c>
      <c r="D2115" s="12" t="s">
        <v>8747</v>
      </c>
      <c r="E2115" s="13" t="s">
        <v>823</v>
      </c>
      <c r="F2115" s="681">
        <v>2.46</v>
      </c>
    </row>
    <row r="2116" spans="2:6" ht="15.75" hidden="1" customHeight="1" x14ac:dyDescent="0.25">
      <c r="B2116" s="13" t="s">
        <v>556</v>
      </c>
      <c r="C2116" s="13" t="s">
        <v>16793</v>
      </c>
      <c r="D2116" s="12" t="s">
        <v>8748</v>
      </c>
      <c r="E2116" s="13" t="s">
        <v>823</v>
      </c>
      <c r="F2116" s="681">
        <v>2.82</v>
      </c>
    </row>
    <row r="2117" spans="2:6" ht="15.75" hidden="1" customHeight="1" x14ac:dyDescent="0.25">
      <c r="B2117" s="13" t="s">
        <v>14150</v>
      </c>
      <c r="C2117" s="13" t="s">
        <v>16794</v>
      </c>
      <c r="D2117" s="12" t="s">
        <v>16795</v>
      </c>
      <c r="E2117" s="13" t="s">
        <v>580</v>
      </c>
      <c r="F2117" s="681">
        <v>650007.81000000006</v>
      </c>
    </row>
    <row r="2118" spans="2:6" ht="15.75" hidden="1" customHeight="1" x14ac:dyDescent="0.25">
      <c r="B2118" s="13" t="s">
        <v>556</v>
      </c>
      <c r="C2118" s="13" t="s">
        <v>16796</v>
      </c>
      <c r="D2118" s="12" t="s">
        <v>16797</v>
      </c>
      <c r="E2118" s="13" t="s">
        <v>580</v>
      </c>
      <c r="F2118" s="681">
        <v>38.11</v>
      </c>
    </row>
    <row r="2119" spans="2:6" ht="15.75" hidden="1" customHeight="1" x14ac:dyDescent="0.25">
      <c r="B2119" s="13" t="s">
        <v>556</v>
      </c>
      <c r="C2119" s="13" t="s">
        <v>16798</v>
      </c>
      <c r="D2119" s="12" t="s">
        <v>16799</v>
      </c>
      <c r="E2119" s="13" t="s">
        <v>580</v>
      </c>
      <c r="F2119" s="681">
        <v>97.6</v>
      </c>
    </row>
    <row r="2120" spans="2:6" ht="15.75" hidden="1" customHeight="1" x14ac:dyDescent="0.25">
      <c r="B2120" s="13" t="s">
        <v>556</v>
      </c>
      <c r="C2120" s="13" t="s">
        <v>16800</v>
      </c>
      <c r="D2120" s="12" t="s">
        <v>16801</v>
      </c>
      <c r="E2120" s="13" t="s">
        <v>580</v>
      </c>
      <c r="F2120" s="681">
        <v>104.86</v>
      </c>
    </row>
    <row r="2121" spans="2:6" ht="15.75" hidden="1" customHeight="1" x14ac:dyDescent="0.25">
      <c r="B2121" s="13" t="s">
        <v>556</v>
      </c>
      <c r="C2121" s="13" t="s">
        <v>16802</v>
      </c>
      <c r="D2121" s="12" t="s">
        <v>16803</v>
      </c>
      <c r="E2121" s="13" t="s">
        <v>585</v>
      </c>
      <c r="F2121" s="681">
        <v>8.4700000000000006</v>
      </c>
    </row>
    <row r="2122" spans="2:6" ht="15.75" hidden="1" customHeight="1" x14ac:dyDescent="0.25">
      <c r="B2122" s="13" t="s">
        <v>14153</v>
      </c>
      <c r="C2122" s="13" t="s">
        <v>16804</v>
      </c>
      <c r="D2122" s="12" t="s">
        <v>10760</v>
      </c>
      <c r="E2122" s="13" t="s">
        <v>2193</v>
      </c>
      <c r="F2122" s="681">
        <v>20.79</v>
      </c>
    </row>
    <row r="2123" spans="2:6" ht="15.75" hidden="1" customHeight="1" x14ac:dyDescent="0.25">
      <c r="B2123" s="13" t="s">
        <v>556</v>
      </c>
      <c r="C2123" s="13" t="s">
        <v>16805</v>
      </c>
      <c r="D2123" s="12" t="s">
        <v>10421</v>
      </c>
      <c r="E2123" s="13" t="s">
        <v>580</v>
      </c>
      <c r="F2123" s="681">
        <v>1.21</v>
      </c>
    </row>
    <row r="2124" spans="2:6" ht="15.75" hidden="1" customHeight="1" x14ac:dyDescent="0.25">
      <c r="B2124" s="13" t="s">
        <v>556</v>
      </c>
      <c r="C2124" s="13" t="s">
        <v>16806</v>
      </c>
      <c r="D2124" s="12" t="s">
        <v>10420</v>
      </c>
      <c r="E2124" s="13" t="s">
        <v>580</v>
      </c>
      <c r="F2124" s="681">
        <v>3.63</v>
      </c>
    </row>
    <row r="2125" spans="2:6" ht="15.75" hidden="1" customHeight="1" x14ac:dyDescent="0.25">
      <c r="B2125" s="13" t="s">
        <v>556</v>
      </c>
      <c r="C2125" s="13" t="s">
        <v>16807</v>
      </c>
      <c r="D2125" s="12" t="s">
        <v>8789</v>
      </c>
      <c r="E2125" s="13" t="s">
        <v>580</v>
      </c>
      <c r="F2125" s="681">
        <v>41.7</v>
      </c>
    </row>
    <row r="2126" spans="2:6" ht="15.75" hidden="1" customHeight="1" x14ac:dyDescent="0.25">
      <c r="B2126" s="13" t="s">
        <v>556</v>
      </c>
      <c r="C2126" s="13" t="s">
        <v>16808</v>
      </c>
      <c r="D2126" s="12" t="s">
        <v>11445</v>
      </c>
      <c r="E2126" s="13" t="s">
        <v>578</v>
      </c>
      <c r="F2126" s="681">
        <v>64.64</v>
      </c>
    </row>
    <row r="2127" spans="2:6" ht="15.75" hidden="1" customHeight="1" x14ac:dyDescent="0.25">
      <c r="B2127" s="13" t="s">
        <v>14150</v>
      </c>
      <c r="C2127" s="13" t="s">
        <v>16809</v>
      </c>
      <c r="D2127" s="12" t="s">
        <v>9345</v>
      </c>
      <c r="E2127" s="13" t="s">
        <v>580</v>
      </c>
      <c r="F2127" s="681">
        <v>19043.29</v>
      </c>
    </row>
    <row r="2128" spans="2:6" ht="15.75" hidden="1" customHeight="1" x14ac:dyDescent="0.25">
      <c r="B2128" s="13" t="s">
        <v>14150</v>
      </c>
      <c r="C2128" s="13" t="s">
        <v>16810</v>
      </c>
      <c r="D2128" s="12" t="s">
        <v>9346</v>
      </c>
      <c r="E2128" s="13" t="s">
        <v>580</v>
      </c>
      <c r="F2128" s="681">
        <v>25834.95</v>
      </c>
    </row>
    <row r="2129" spans="2:6" ht="15.75" hidden="1" customHeight="1" x14ac:dyDescent="0.25">
      <c r="B2129" s="13" t="s">
        <v>14150</v>
      </c>
      <c r="C2129" s="13" t="s">
        <v>16811</v>
      </c>
      <c r="D2129" s="12" t="s">
        <v>9347</v>
      </c>
      <c r="E2129" s="13" t="s">
        <v>580</v>
      </c>
      <c r="F2129" s="681">
        <v>27965.67</v>
      </c>
    </row>
    <row r="2130" spans="2:6" ht="15.75" hidden="1" customHeight="1" x14ac:dyDescent="0.25">
      <c r="B2130" s="13" t="s">
        <v>14150</v>
      </c>
      <c r="C2130" s="13" t="s">
        <v>16812</v>
      </c>
      <c r="D2130" s="12" t="s">
        <v>9348</v>
      </c>
      <c r="E2130" s="13" t="s">
        <v>580</v>
      </c>
      <c r="F2130" s="681">
        <v>30096.38</v>
      </c>
    </row>
    <row r="2131" spans="2:6" ht="15.75" hidden="1" customHeight="1" x14ac:dyDescent="0.25">
      <c r="B2131" s="13" t="s">
        <v>14150</v>
      </c>
      <c r="C2131" s="13" t="s">
        <v>16813</v>
      </c>
      <c r="D2131" s="12" t="s">
        <v>9349</v>
      </c>
      <c r="E2131" s="13" t="s">
        <v>580</v>
      </c>
      <c r="F2131" s="681">
        <v>32227.1</v>
      </c>
    </row>
    <row r="2132" spans="2:6" ht="15.75" hidden="1" customHeight="1" x14ac:dyDescent="0.25">
      <c r="B2132" s="13" t="s">
        <v>14150</v>
      </c>
      <c r="C2132" s="13" t="s">
        <v>16814</v>
      </c>
      <c r="D2132" s="12" t="s">
        <v>9350</v>
      </c>
      <c r="E2132" s="13" t="s">
        <v>580</v>
      </c>
      <c r="F2132" s="681">
        <v>36754.879999999997</v>
      </c>
    </row>
    <row r="2133" spans="2:6" ht="15.75" hidden="1" customHeight="1" x14ac:dyDescent="0.25">
      <c r="B2133" s="13" t="s">
        <v>14150</v>
      </c>
      <c r="C2133" s="13" t="s">
        <v>16815</v>
      </c>
      <c r="D2133" s="12" t="s">
        <v>9204</v>
      </c>
      <c r="E2133" s="13" t="s">
        <v>580</v>
      </c>
      <c r="F2133" s="681">
        <v>61258.13</v>
      </c>
    </row>
    <row r="2134" spans="2:6" ht="15.75" hidden="1" customHeight="1" x14ac:dyDescent="0.25">
      <c r="B2134" s="13" t="s">
        <v>14150</v>
      </c>
      <c r="C2134" s="13" t="s">
        <v>16816</v>
      </c>
      <c r="D2134" s="12" t="s">
        <v>9202</v>
      </c>
      <c r="E2134" s="13" t="s">
        <v>580</v>
      </c>
      <c r="F2134" s="681">
        <v>81699.7</v>
      </c>
    </row>
    <row r="2135" spans="2:6" ht="15.75" hidden="1" customHeight="1" x14ac:dyDescent="0.25">
      <c r="B2135" s="13" t="s">
        <v>14150</v>
      </c>
      <c r="C2135" s="13" t="s">
        <v>16817</v>
      </c>
      <c r="D2135" s="12" t="s">
        <v>9205</v>
      </c>
      <c r="E2135" s="13" t="s">
        <v>580</v>
      </c>
      <c r="F2135" s="681">
        <v>73816.05</v>
      </c>
    </row>
    <row r="2136" spans="2:6" ht="15.75" hidden="1" customHeight="1" x14ac:dyDescent="0.25">
      <c r="B2136" s="13" t="s">
        <v>14150</v>
      </c>
      <c r="C2136" s="13" t="s">
        <v>16818</v>
      </c>
      <c r="D2136" s="12" t="s">
        <v>16819</v>
      </c>
      <c r="E2136" s="13" t="s">
        <v>580</v>
      </c>
      <c r="F2136" s="681">
        <v>85950</v>
      </c>
    </row>
    <row r="2137" spans="2:6" ht="15.75" hidden="1" customHeight="1" x14ac:dyDescent="0.25">
      <c r="B2137" s="13" t="s">
        <v>14150</v>
      </c>
      <c r="C2137" s="13" t="s">
        <v>16820</v>
      </c>
      <c r="D2137" s="12" t="s">
        <v>16821</v>
      </c>
      <c r="E2137" s="13" t="s">
        <v>580</v>
      </c>
      <c r="F2137" s="681">
        <v>57060.45</v>
      </c>
    </row>
    <row r="2138" spans="2:6" ht="15.75" hidden="1" customHeight="1" x14ac:dyDescent="0.25">
      <c r="B2138" s="13" t="s">
        <v>14150</v>
      </c>
      <c r="C2138" s="13" t="s">
        <v>16822</v>
      </c>
      <c r="D2138" s="12" t="s">
        <v>16823</v>
      </c>
      <c r="E2138" s="13" t="s">
        <v>580</v>
      </c>
      <c r="F2138" s="681">
        <v>71720.820000000007</v>
      </c>
    </row>
    <row r="2139" spans="2:6" ht="15.75" hidden="1" customHeight="1" x14ac:dyDescent="0.25">
      <c r="B2139" s="13" t="s">
        <v>14150</v>
      </c>
      <c r="C2139" s="13" t="s">
        <v>16824</v>
      </c>
      <c r="D2139" s="12" t="s">
        <v>16825</v>
      </c>
      <c r="E2139" s="13" t="s">
        <v>580</v>
      </c>
      <c r="F2139" s="681">
        <v>105784.61</v>
      </c>
    </row>
    <row r="2140" spans="2:6" ht="15.75" hidden="1" customHeight="1" x14ac:dyDescent="0.25">
      <c r="B2140" s="13" t="s">
        <v>14150</v>
      </c>
      <c r="C2140" s="13" t="s">
        <v>16826</v>
      </c>
      <c r="D2140" s="12" t="s">
        <v>16827</v>
      </c>
      <c r="E2140" s="13" t="s">
        <v>580</v>
      </c>
      <c r="F2140" s="681">
        <v>60366.21</v>
      </c>
    </row>
    <row r="2141" spans="2:6" ht="15.75" hidden="1" customHeight="1" x14ac:dyDescent="0.25">
      <c r="B2141" s="13" t="s">
        <v>14150</v>
      </c>
      <c r="C2141" s="13" t="s">
        <v>16828</v>
      </c>
      <c r="D2141" s="12" t="s">
        <v>11259</v>
      </c>
      <c r="E2141" s="13" t="s">
        <v>580</v>
      </c>
      <c r="F2141" s="681">
        <v>216267.85</v>
      </c>
    </row>
    <row r="2142" spans="2:6" ht="15.75" hidden="1" customHeight="1" x14ac:dyDescent="0.25">
      <c r="B2142" s="13" t="s">
        <v>14150</v>
      </c>
      <c r="C2142" s="13" t="s">
        <v>16829</v>
      </c>
      <c r="D2142" s="12" t="s">
        <v>11257</v>
      </c>
      <c r="E2142" s="13" t="s">
        <v>580</v>
      </c>
      <c r="F2142" s="681">
        <v>237841.37</v>
      </c>
    </row>
    <row r="2143" spans="2:6" ht="15.75" hidden="1" customHeight="1" x14ac:dyDescent="0.25">
      <c r="B2143" s="13" t="s">
        <v>14150</v>
      </c>
      <c r="C2143" s="13" t="s">
        <v>16830</v>
      </c>
      <c r="D2143" s="12" t="s">
        <v>11258</v>
      </c>
      <c r="E2143" s="13" t="s">
        <v>580</v>
      </c>
      <c r="F2143" s="681">
        <v>279656.7</v>
      </c>
    </row>
    <row r="2144" spans="2:6" ht="15.75" hidden="1" customHeight="1" x14ac:dyDescent="0.25">
      <c r="B2144" s="13" t="s">
        <v>14150</v>
      </c>
      <c r="C2144" s="13" t="s">
        <v>16831</v>
      </c>
      <c r="D2144" s="12" t="s">
        <v>16832</v>
      </c>
      <c r="E2144" s="13" t="s">
        <v>580</v>
      </c>
      <c r="F2144" s="681">
        <v>752331.54</v>
      </c>
    </row>
    <row r="2145" spans="2:6" ht="15.75" hidden="1" customHeight="1" x14ac:dyDescent="0.25">
      <c r="B2145" s="13" t="s">
        <v>14150</v>
      </c>
      <c r="C2145" s="13" t="s">
        <v>16833</v>
      </c>
      <c r="D2145" s="12" t="s">
        <v>16834</v>
      </c>
      <c r="E2145" s="13" t="s">
        <v>580</v>
      </c>
      <c r="F2145" s="681">
        <v>457821.26</v>
      </c>
    </row>
    <row r="2146" spans="2:6" ht="15.75" hidden="1" customHeight="1" x14ac:dyDescent="0.25">
      <c r="B2146" s="13" t="s">
        <v>14150</v>
      </c>
      <c r="C2146" s="13" t="s">
        <v>16835</v>
      </c>
      <c r="D2146" s="12" t="s">
        <v>16836</v>
      </c>
      <c r="E2146" s="13" t="s">
        <v>580</v>
      </c>
      <c r="F2146" s="681">
        <v>578010.79</v>
      </c>
    </row>
    <row r="2147" spans="2:6" ht="15.75" hidden="1" customHeight="1" x14ac:dyDescent="0.25">
      <c r="B2147" s="13" t="s">
        <v>14150</v>
      </c>
      <c r="C2147" s="13" t="s">
        <v>16837</v>
      </c>
      <c r="D2147" s="12" t="s">
        <v>16838</v>
      </c>
      <c r="E2147" s="13" t="s">
        <v>580</v>
      </c>
      <c r="F2147" s="681">
        <v>526448.57999999996</v>
      </c>
    </row>
    <row r="2148" spans="2:6" ht="15.75" hidden="1" customHeight="1" x14ac:dyDescent="0.25">
      <c r="B2148" s="13" t="s">
        <v>14150</v>
      </c>
      <c r="C2148" s="13" t="s">
        <v>16839</v>
      </c>
      <c r="D2148" s="12" t="s">
        <v>16840</v>
      </c>
      <c r="E2148" s="13" t="s">
        <v>580</v>
      </c>
      <c r="F2148" s="681">
        <v>587185.6</v>
      </c>
    </row>
    <row r="2149" spans="2:6" ht="15.75" hidden="1" customHeight="1" x14ac:dyDescent="0.25">
      <c r="B2149" s="13" t="s">
        <v>14150</v>
      </c>
      <c r="C2149" s="13" t="s">
        <v>16841</v>
      </c>
      <c r="D2149" s="12" t="s">
        <v>16842</v>
      </c>
      <c r="E2149" s="13" t="s">
        <v>580</v>
      </c>
      <c r="F2149" s="681">
        <v>728477.1</v>
      </c>
    </row>
    <row r="2150" spans="2:6" ht="15.75" hidden="1" customHeight="1" x14ac:dyDescent="0.25">
      <c r="B2150" s="13" t="s">
        <v>14150</v>
      </c>
      <c r="C2150" s="13" t="s">
        <v>16843</v>
      </c>
      <c r="D2150" s="12" t="s">
        <v>9351</v>
      </c>
      <c r="E2150" s="13" t="s">
        <v>580</v>
      </c>
      <c r="F2150" s="681">
        <v>755977.34</v>
      </c>
    </row>
    <row r="2151" spans="2:6" ht="15.75" hidden="1" customHeight="1" x14ac:dyDescent="0.25">
      <c r="B2151" s="13" t="s">
        <v>14150</v>
      </c>
      <c r="C2151" s="13" t="s">
        <v>16844</v>
      </c>
      <c r="D2151" s="12" t="s">
        <v>9352</v>
      </c>
      <c r="E2151" s="13" t="s">
        <v>580</v>
      </c>
      <c r="F2151" s="681">
        <v>765159.12</v>
      </c>
    </row>
    <row r="2152" spans="2:6" ht="15.75" hidden="1" customHeight="1" x14ac:dyDescent="0.25">
      <c r="B2152" s="13" t="s">
        <v>14150</v>
      </c>
      <c r="C2152" s="13" t="s">
        <v>16845</v>
      </c>
      <c r="D2152" s="12" t="s">
        <v>16846</v>
      </c>
      <c r="E2152" s="13" t="s">
        <v>580</v>
      </c>
      <c r="F2152" s="681">
        <v>326000</v>
      </c>
    </row>
    <row r="2153" spans="2:6" ht="15.75" hidden="1" customHeight="1" x14ac:dyDescent="0.25">
      <c r="B2153" s="13" t="s">
        <v>14150</v>
      </c>
      <c r="C2153" s="13" t="s">
        <v>16847</v>
      </c>
      <c r="D2153" s="12" t="s">
        <v>16848</v>
      </c>
      <c r="E2153" s="13" t="s">
        <v>580</v>
      </c>
      <c r="F2153" s="681">
        <v>463446.55</v>
      </c>
    </row>
    <row r="2154" spans="2:6" ht="15.75" hidden="1" customHeight="1" x14ac:dyDescent="0.25">
      <c r="B2154" s="13" t="s">
        <v>556</v>
      </c>
      <c r="C2154" s="13" t="s">
        <v>16849</v>
      </c>
      <c r="D2154" s="12" t="s">
        <v>10448</v>
      </c>
      <c r="E2154" s="13" t="s">
        <v>578</v>
      </c>
      <c r="F2154" s="681">
        <v>0.86</v>
      </c>
    </row>
    <row r="2155" spans="2:6" ht="15.75" hidden="1" customHeight="1" x14ac:dyDescent="0.25">
      <c r="B2155" s="13" t="s">
        <v>14150</v>
      </c>
      <c r="C2155" s="13" t="s">
        <v>16850</v>
      </c>
      <c r="D2155" s="12" t="s">
        <v>16851</v>
      </c>
      <c r="E2155" s="13" t="s">
        <v>580</v>
      </c>
      <c r="F2155" s="681">
        <v>786542.74</v>
      </c>
    </row>
    <row r="2156" spans="2:6" ht="15.75" hidden="1" customHeight="1" x14ac:dyDescent="0.25">
      <c r="B2156" s="13" t="s">
        <v>14150</v>
      </c>
      <c r="C2156" s="13" t="s">
        <v>16852</v>
      </c>
      <c r="D2156" s="12" t="s">
        <v>16853</v>
      </c>
      <c r="E2156" s="13" t="s">
        <v>580</v>
      </c>
      <c r="F2156" s="681">
        <v>403241.1</v>
      </c>
    </row>
    <row r="2157" spans="2:6" ht="15.75" hidden="1" customHeight="1" x14ac:dyDescent="0.25">
      <c r="B2157" s="13" t="s">
        <v>14150</v>
      </c>
      <c r="C2157" s="13" t="s">
        <v>16854</v>
      </c>
      <c r="D2157" s="12" t="s">
        <v>16855</v>
      </c>
      <c r="E2157" s="13" t="s">
        <v>580</v>
      </c>
      <c r="F2157" s="681">
        <v>379042.74</v>
      </c>
    </row>
    <row r="2158" spans="2:6" ht="15.75" hidden="1" customHeight="1" x14ac:dyDescent="0.25">
      <c r="B2158" s="13" t="s">
        <v>14150</v>
      </c>
      <c r="C2158" s="13" t="s">
        <v>16856</v>
      </c>
      <c r="D2158" s="12" t="s">
        <v>16857</v>
      </c>
      <c r="E2158" s="13" t="s">
        <v>580</v>
      </c>
      <c r="F2158" s="681">
        <v>276828.96000000002</v>
      </c>
    </row>
    <row r="2159" spans="2:6" ht="15.75" hidden="1" customHeight="1" x14ac:dyDescent="0.25">
      <c r="B2159" s="13" t="s">
        <v>14150</v>
      </c>
      <c r="C2159" s="13" t="s">
        <v>16858</v>
      </c>
      <c r="D2159" s="12" t="s">
        <v>16859</v>
      </c>
      <c r="E2159" s="13" t="s">
        <v>580</v>
      </c>
      <c r="F2159" s="681">
        <v>624510.69999999995</v>
      </c>
    </row>
    <row r="2160" spans="2:6" ht="15.75" hidden="1" customHeight="1" x14ac:dyDescent="0.25">
      <c r="B2160" s="13" t="s">
        <v>14150</v>
      </c>
      <c r="C2160" s="13" t="s">
        <v>16860</v>
      </c>
      <c r="D2160" s="12" t="s">
        <v>16861</v>
      </c>
      <c r="E2160" s="13" t="s">
        <v>580</v>
      </c>
      <c r="F2160" s="681">
        <v>407935.93</v>
      </c>
    </row>
    <row r="2161" spans="2:6" ht="15.75" hidden="1" customHeight="1" x14ac:dyDescent="0.25">
      <c r="B2161" s="13" t="s">
        <v>14150</v>
      </c>
      <c r="C2161" s="13" t="s">
        <v>16862</v>
      </c>
      <c r="D2161" s="12" t="s">
        <v>16863</v>
      </c>
      <c r="E2161" s="13" t="s">
        <v>580</v>
      </c>
      <c r="F2161" s="681">
        <v>258994.49</v>
      </c>
    </row>
    <row r="2162" spans="2:6" ht="15.75" hidden="1" customHeight="1" x14ac:dyDescent="0.25">
      <c r="B2162" s="13" t="s">
        <v>14150</v>
      </c>
      <c r="C2162" s="13" t="s">
        <v>16864</v>
      </c>
      <c r="D2162" s="12" t="s">
        <v>16865</v>
      </c>
      <c r="E2162" s="13" t="s">
        <v>580</v>
      </c>
      <c r="F2162" s="681">
        <v>339202.09</v>
      </c>
    </row>
    <row r="2163" spans="2:6" ht="15.75" hidden="1" customHeight="1" x14ac:dyDescent="0.25">
      <c r="B2163" s="13" t="s">
        <v>14153</v>
      </c>
      <c r="C2163" s="13" t="s">
        <v>16866</v>
      </c>
      <c r="D2163" s="12" t="s">
        <v>8766</v>
      </c>
      <c r="E2163" s="13" t="s">
        <v>2193</v>
      </c>
      <c r="F2163" s="681">
        <v>24.62</v>
      </c>
    </row>
    <row r="2164" spans="2:6" ht="15.75" hidden="1" customHeight="1" x14ac:dyDescent="0.25">
      <c r="B2164" s="13" t="s">
        <v>556</v>
      </c>
      <c r="C2164" s="13" t="s">
        <v>16867</v>
      </c>
      <c r="D2164" s="12" t="s">
        <v>16868</v>
      </c>
      <c r="E2164" s="13" t="s">
        <v>580</v>
      </c>
      <c r="F2164" s="681">
        <v>102.9</v>
      </c>
    </row>
    <row r="2165" spans="2:6" ht="15.75" hidden="1" customHeight="1" x14ac:dyDescent="0.25">
      <c r="B2165" s="13" t="s">
        <v>556</v>
      </c>
      <c r="C2165" s="13" t="s">
        <v>16869</v>
      </c>
      <c r="D2165" s="12" t="s">
        <v>8906</v>
      </c>
      <c r="E2165" s="13" t="s">
        <v>580</v>
      </c>
      <c r="F2165" s="681">
        <v>4.7300000000000004</v>
      </c>
    </row>
    <row r="2166" spans="2:6" ht="15.75" hidden="1" customHeight="1" x14ac:dyDescent="0.25">
      <c r="B2166" s="13" t="s">
        <v>556</v>
      </c>
      <c r="C2166" s="13" t="s">
        <v>16870</v>
      </c>
      <c r="D2166" s="12" t="s">
        <v>16871</v>
      </c>
      <c r="E2166" s="13" t="s">
        <v>580</v>
      </c>
      <c r="F2166" s="681">
        <v>1.43</v>
      </c>
    </row>
    <row r="2167" spans="2:6" ht="15.75" hidden="1" customHeight="1" x14ac:dyDescent="0.25">
      <c r="B2167" s="13" t="s">
        <v>556</v>
      </c>
      <c r="C2167" s="13" t="s">
        <v>16872</v>
      </c>
      <c r="D2167" s="12" t="s">
        <v>11414</v>
      </c>
      <c r="E2167" s="13" t="s">
        <v>580</v>
      </c>
      <c r="F2167" s="681">
        <v>4.0599999999999996</v>
      </c>
    </row>
    <row r="2168" spans="2:6" ht="15.75" hidden="1" customHeight="1" x14ac:dyDescent="0.25">
      <c r="B2168" s="13" t="s">
        <v>556</v>
      </c>
      <c r="C2168" s="13" t="s">
        <v>16873</v>
      </c>
      <c r="D2168" s="12" t="s">
        <v>11419</v>
      </c>
      <c r="E2168" s="13" t="s">
        <v>580</v>
      </c>
      <c r="F2168" s="681">
        <v>3.96</v>
      </c>
    </row>
    <row r="2169" spans="2:6" ht="15.75" hidden="1" customHeight="1" x14ac:dyDescent="0.25">
      <c r="B2169" s="13" t="s">
        <v>556</v>
      </c>
      <c r="C2169" s="13" t="s">
        <v>16874</v>
      </c>
      <c r="D2169" s="12" t="s">
        <v>10313</v>
      </c>
      <c r="E2169" s="13" t="s">
        <v>580</v>
      </c>
      <c r="F2169" s="681">
        <v>2.38</v>
      </c>
    </row>
    <row r="2170" spans="2:6" ht="15.75" hidden="1" customHeight="1" x14ac:dyDescent="0.25">
      <c r="B2170" s="13" t="s">
        <v>556</v>
      </c>
      <c r="C2170" s="13" t="s">
        <v>16875</v>
      </c>
      <c r="D2170" s="12" t="s">
        <v>10312</v>
      </c>
      <c r="E2170" s="13" t="s">
        <v>580</v>
      </c>
      <c r="F2170" s="681">
        <v>64.55</v>
      </c>
    </row>
    <row r="2171" spans="2:6" ht="15.75" hidden="1" customHeight="1" x14ac:dyDescent="0.25">
      <c r="B2171" s="13" t="s">
        <v>556</v>
      </c>
      <c r="C2171" s="13" t="s">
        <v>16876</v>
      </c>
      <c r="D2171" s="12" t="s">
        <v>10308</v>
      </c>
      <c r="E2171" s="13" t="s">
        <v>580</v>
      </c>
      <c r="F2171" s="681">
        <v>2.64</v>
      </c>
    </row>
    <row r="2172" spans="2:6" ht="15.75" hidden="1" customHeight="1" x14ac:dyDescent="0.25">
      <c r="B2172" s="13" t="s">
        <v>556</v>
      </c>
      <c r="C2172" s="13" t="s">
        <v>16877</v>
      </c>
      <c r="D2172" s="12" t="s">
        <v>10307</v>
      </c>
      <c r="E2172" s="13" t="s">
        <v>580</v>
      </c>
      <c r="F2172" s="681">
        <v>70.12</v>
      </c>
    </row>
    <row r="2173" spans="2:6" ht="15.75" hidden="1" customHeight="1" x14ac:dyDescent="0.25">
      <c r="B2173" s="13" t="s">
        <v>556</v>
      </c>
      <c r="C2173" s="13" t="s">
        <v>16878</v>
      </c>
      <c r="D2173" s="12" t="s">
        <v>10248</v>
      </c>
      <c r="E2173" s="13" t="s">
        <v>580</v>
      </c>
      <c r="F2173" s="681">
        <v>4.5199999999999996</v>
      </c>
    </row>
    <row r="2174" spans="2:6" ht="15.75" hidden="1" customHeight="1" x14ac:dyDescent="0.25">
      <c r="B2174" s="13" t="s">
        <v>556</v>
      </c>
      <c r="C2174" s="13" t="s">
        <v>16879</v>
      </c>
      <c r="D2174" s="12" t="s">
        <v>10249</v>
      </c>
      <c r="E2174" s="13" t="s">
        <v>580</v>
      </c>
      <c r="F2174" s="681">
        <v>9.6199999999999992</v>
      </c>
    </row>
    <row r="2175" spans="2:6" ht="15.75" hidden="1" customHeight="1" x14ac:dyDescent="0.25">
      <c r="B2175" s="13" t="s">
        <v>556</v>
      </c>
      <c r="C2175" s="13" t="s">
        <v>16880</v>
      </c>
      <c r="D2175" s="12" t="s">
        <v>10250</v>
      </c>
      <c r="E2175" s="13" t="s">
        <v>580</v>
      </c>
      <c r="F2175" s="681">
        <v>17.399999999999999</v>
      </c>
    </row>
    <row r="2176" spans="2:6" ht="15.75" hidden="1" customHeight="1" x14ac:dyDescent="0.25">
      <c r="B2176" s="13" t="s">
        <v>556</v>
      </c>
      <c r="C2176" s="13" t="s">
        <v>16881</v>
      </c>
      <c r="D2176" s="12" t="s">
        <v>10251</v>
      </c>
      <c r="E2176" s="13" t="s">
        <v>580</v>
      </c>
      <c r="F2176" s="681">
        <v>26.78</v>
      </c>
    </row>
    <row r="2177" spans="2:6" ht="15.75" hidden="1" customHeight="1" x14ac:dyDescent="0.25">
      <c r="B2177" s="13" t="s">
        <v>556</v>
      </c>
      <c r="C2177" s="13" t="s">
        <v>16882</v>
      </c>
      <c r="D2177" s="12" t="s">
        <v>10252</v>
      </c>
      <c r="E2177" s="13" t="s">
        <v>580</v>
      </c>
      <c r="F2177" s="681">
        <v>68.430000000000007</v>
      </c>
    </row>
    <row r="2178" spans="2:6" ht="15.75" hidden="1" customHeight="1" x14ac:dyDescent="0.25">
      <c r="B2178" s="13" t="s">
        <v>556</v>
      </c>
      <c r="C2178" s="13" t="s">
        <v>16883</v>
      </c>
      <c r="D2178" s="12" t="s">
        <v>10253</v>
      </c>
      <c r="E2178" s="13" t="s">
        <v>580</v>
      </c>
      <c r="F2178" s="681">
        <v>147.07</v>
      </c>
    </row>
    <row r="2179" spans="2:6" ht="15.75" hidden="1" customHeight="1" x14ac:dyDescent="0.25">
      <c r="B2179" s="13" t="s">
        <v>556</v>
      </c>
      <c r="C2179" s="13" t="s">
        <v>16884</v>
      </c>
      <c r="D2179" s="12" t="s">
        <v>10254</v>
      </c>
      <c r="E2179" s="13" t="s">
        <v>580</v>
      </c>
      <c r="F2179" s="681">
        <v>169.55</v>
      </c>
    </row>
    <row r="2180" spans="2:6" ht="15.75" hidden="1" customHeight="1" x14ac:dyDescent="0.25">
      <c r="B2180" s="13" t="s">
        <v>556</v>
      </c>
      <c r="C2180" s="13" t="s">
        <v>16885</v>
      </c>
      <c r="D2180" s="12" t="s">
        <v>10238</v>
      </c>
      <c r="E2180" s="13" t="s">
        <v>580</v>
      </c>
      <c r="F2180" s="681">
        <v>4.63</v>
      </c>
    </row>
    <row r="2181" spans="2:6" ht="15.75" hidden="1" customHeight="1" x14ac:dyDescent="0.25">
      <c r="B2181" s="13" t="s">
        <v>556</v>
      </c>
      <c r="C2181" s="13" t="s">
        <v>16886</v>
      </c>
      <c r="D2181" s="12" t="s">
        <v>10239</v>
      </c>
      <c r="E2181" s="13" t="s">
        <v>580</v>
      </c>
      <c r="F2181" s="681">
        <v>6.19</v>
      </c>
    </row>
    <row r="2182" spans="2:6" ht="15.75" hidden="1" customHeight="1" x14ac:dyDescent="0.25">
      <c r="B2182" s="13" t="s">
        <v>556</v>
      </c>
      <c r="C2182" s="13" t="s">
        <v>16887</v>
      </c>
      <c r="D2182" s="12" t="s">
        <v>10240</v>
      </c>
      <c r="E2182" s="13" t="s">
        <v>580</v>
      </c>
      <c r="F2182" s="681">
        <v>8.93</v>
      </c>
    </row>
    <row r="2183" spans="2:6" ht="15.75" hidden="1" customHeight="1" x14ac:dyDescent="0.25">
      <c r="B2183" s="13" t="s">
        <v>556</v>
      </c>
      <c r="C2183" s="13" t="s">
        <v>16888</v>
      </c>
      <c r="D2183" s="12" t="s">
        <v>10241</v>
      </c>
      <c r="E2183" s="13" t="s">
        <v>580</v>
      </c>
      <c r="F2183" s="681">
        <v>15.69</v>
      </c>
    </row>
    <row r="2184" spans="2:6" ht="15.75" hidden="1" customHeight="1" x14ac:dyDescent="0.25">
      <c r="B2184" s="13" t="s">
        <v>556</v>
      </c>
      <c r="C2184" s="13" t="s">
        <v>16889</v>
      </c>
      <c r="D2184" s="12" t="s">
        <v>10242</v>
      </c>
      <c r="E2184" s="13" t="s">
        <v>580</v>
      </c>
      <c r="F2184" s="681">
        <v>26.36</v>
      </c>
    </row>
    <row r="2185" spans="2:6" ht="15.75" hidden="1" customHeight="1" x14ac:dyDescent="0.25">
      <c r="B2185" s="13" t="s">
        <v>556</v>
      </c>
      <c r="C2185" s="13" t="s">
        <v>16890</v>
      </c>
      <c r="D2185" s="12" t="s">
        <v>10243</v>
      </c>
      <c r="E2185" s="13" t="s">
        <v>580</v>
      </c>
      <c r="F2185" s="681">
        <v>55.97</v>
      </c>
    </row>
    <row r="2186" spans="2:6" ht="15.75" hidden="1" customHeight="1" x14ac:dyDescent="0.25">
      <c r="B2186" s="13" t="s">
        <v>556</v>
      </c>
      <c r="C2186" s="13" t="s">
        <v>16891</v>
      </c>
      <c r="D2186" s="12" t="s">
        <v>10244</v>
      </c>
      <c r="E2186" s="13" t="s">
        <v>580</v>
      </c>
      <c r="F2186" s="681">
        <v>141.43</v>
      </c>
    </row>
    <row r="2187" spans="2:6" ht="15.75" hidden="1" customHeight="1" x14ac:dyDescent="0.25">
      <c r="B2187" s="13" t="s">
        <v>556</v>
      </c>
      <c r="C2187" s="13" t="s">
        <v>16892</v>
      </c>
      <c r="D2187" s="12" t="s">
        <v>10245</v>
      </c>
      <c r="E2187" s="13" t="s">
        <v>580</v>
      </c>
      <c r="F2187" s="681">
        <v>204.62</v>
      </c>
    </row>
    <row r="2188" spans="2:6" ht="15.75" hidden="1" customHeight="1" x14ac:dyDescent="0.25">
      <c r="B2188" s="13" t="s">
        <v>556</v>
      </c>
      <c r="C2188" s="13" t="s">
        <v>16893</v>
      </c>
      <c r="D2188" s="12" t="s">
        <v>9654</v>
      </c>
      <c r="E2188" s="13" t="s">
        <v>580</v>
      </c>
      <c r="F2188" s="681">
        <v>5.3</v>
      </c>
    </row>
    <row r="2189" spans="2:6" ht="15.75" hidden="1" customHeight="1" x14ac:dyDescent="0.25">
      <c r="B2189" s="13" t="s">
        <v>556</v>
      </c>
      <c r="C2189" s="13" t="s">
        <v>16894</v>
      </c>
      <c r="D2189" s="12" t="s">
        <v>9655</v>
      </c>
      <c r="E2189" s="13" t="s">
        <v>580</v>
      </c>
      <c r="F2189" s="681">
        <v>7.52</v>
      </c>
    </row>
    <row r="2190" spans="2:6" ht="15.75" hidden="1" customHeight="1" x14ac:dyDescent="0.25">
      <c r="B2190" s="13" t="s">
        <v>556</v>
      </c>
      <c r="C2190" s="13" t="s">
        <v>16895</v>
      </c>
      <c r="D2190" s="12" t="s">
        <v>9656</v>
      </c>
      <c r="E2190" s="13" t="s">
        <v>580</v>
      </c>
      <c r="F2190" s="681">
        <v>14.14</v>
      </c>
    </row>
    <row r="2191" spans="2:6" ht="15.75" hidden="1" customHeight="1" x14ac:dyDescent="0.25">
      <c r="B2191" s="13" t="s">
        <v>556</v>
      </c>
      <c r="C2191" s="13" t="s">
        <v>16896</v>
      </c>
      <c r="D2191" s="12" t="s">
        <v>10465</v>
      </c>
      <c r="E2191" s="13" t="s">
        <v>580</v>
      </c>
      <c r="F2191" s="681">
        <v>2.5099999999999998</v>
      </c>
    </row>
    <row r="2192" spans="2:6" ht="15.75" hidden="1" customHeight="1" x14ac:dyDescent="0.25">
      <c r="B2192" s="13" t="s">
        <v>556</v>
      </c>
      <c r="C2192" s="13" t="s">
        <v>16897</v>
      </c>
      <c r="D2192" s="12" t="s">
        <v>10466</v>
      </c>
      <c r="E2192" s="13" t="s">
        <v>580</v>
      </c>
      <c r="F2192" s="681">
        <v>5.58</v>
      </c>
    </row>
    <row r="2193" spans="2:6" ht="15.75" hidden="1" customHeight="1" x14ac:dyDescent="0.25">
      <c r="B2193" s="13" t="s">
        <v>556</v>
      </c>
      <c r="C2193" s="13" t="s">
        <v>16898</v>
      </c>
      <c r="D2193" s="12" t="s">
        <v>10467</v>
      </c>
      <c r="E2193" s="13" t="s">
        <v>580</v>
      </c>
      <c r="F2193" s="681">
        <v>12.44</v>
      </c>
    </row>
    <row r="2194" spans="2:6" ht="15.75" hidden="1" customHeight="1" x14ac:dyDescent="0.25">
      <c r="B2194" s="13" t="s">
        <v>556</v>
      </c>
      <c r="C2194" s="13" t="s">
        <v>16899</v>
      </c>
      <c r="D2194" s="12" t="s">
        <v>10468</v>
      </c>
      <c r="E2194" s="13" t="s">
        <v>580</v>
      </c>
      <c r="F2194" s="681">
        <v>17.21</v>
      </c>
    </row>
    <row r="2195" spans="2:6" ht="15.75" hidden="1" customHeight="1" x14ac:dyDescent="0.25">
      <c r="B2195" s="13" t="s">
        <v>556</v>
      </c>
      <c r="C2195" s="13" t="s">
        <v>16900</v>
      </c>
      <c r="D2195" s="12" t="s">
        <v>10469</v>
      </c>
      <c r="E2195" s="13" t="s">
        <v>580</v>
      </c>
      <c r="F2195" s="681">
        <v>34.119999999999997</v>
      </c>
    </row>
    <row r="2196" spans="2:6" ht="15.75" hidden="1" customHeight="1" x14ac:dyDescent="0.25">
      <c r="B2196" s="13" t="s">
        <v>556</v>
      </c>
      <c r="C2196" s="13" t="s">
        <v>16901</v>
      </c>
      <c r="D2196" s="12" t="s">
        <v>10470</v>
      </c>
      <c r="E2196" s="13" t="s">
        <v>580</v>
      </c>
      <c r="F2196" s="681">
        <v>144.81</v>
      </c>
    </row>
    <row r="2197" spans="2:6" ht="15.75" hidden="1" customHeight="1" x14ac:dyDescent="0.25">
      <c r="B2197" s="13" t="s">
        <v>556</v>
      </c>
      <c r="C2197" s="13" t="s">
        <v>16902</v>
      </c>
      <c r="D2197" s="12" t="s">
        <v>16903</v>
      </c>
      <c r="E2197" s="13" t="s">
        <v>580</v>
      </c>
      <c r="F2197" s="681">
        <v>83.57</v>
      </c>
    </row>
    <row r="2198" spans="2:6" ht="15.75" hidden="1" customHeight="1" x14ac:dyDescent="0.25">
      <c r="B2198" s="13" t="s">
        <v>556</v>
      </c>
      <c r="C2198" s="13" t="s">
        <v>16904</v>
      </c>
      <c r="D2198" s="12" t="s">
        <v>10471</v>
      </c>
      <c r="E2198" s="13" t="s">
        <v>580</v>
      </c>
      <c r="F2198" s="681">
        <v>166.34</v>
      </c>
    </row>
    <row r="2199" spans="2:6" ht="15.75" hidden="1" customHeight="1" x14ac:dyDescent="0.25">
      <c r="B2199" s="13" t="s">
        <v>556</v>
      </c>
      <c r="C2199" s="13" t="s">
        <v>16905</v>
      </c>
      <c r="D2199" s="12" t="s">
        <v>10483</v>
      </c>
      <c r="E2199" s="13" t="s">
        <v>580</v>
      </c>
      <c r="F2199" s="681">
        <v>7.24</v>
      </c>
    </row>
    <row r="2200" spans="2:6" ht="15.75" hidden="1" customHeight="1" x14ac:dyDescent="0.25">
      <c r="B2200" s="13" t="s">
        <v>556</v>
      </c>
      <c r="C2200" s="13" t="s">
        <v>16906</v>
      </c>
      <c r="D2200" s="12" t="s">
        <v>10484</v>
      </c>
      <c r="E2200" s="13" t="s">
        <v>580</v>
      </c>
      <c r="F2200" s="681">
        <v>10.51</v>
      </c>
    </row>
    <row r="2201" spans="2:6" ht="15.75" hidden="1" customHeight="1" x14ac:dyDescent="0.25">
      <c r="B2201" s="13" t="s">
        <v>556</v>
      </c>
      <c r="C2201" s="13" t="s">
        <v>16907</v>
      </c>
      <c r="D2201" s="12" t="s">
        <v>10485</v>
      </c>
      <c r="E2201" s="13" t="s">
        <v>580</v>
      </c>
      <c r="F2201" s="681">
        <v>15.54</v>
      </c>
    </row>
    <row r="2202" spans="2:6" ht="15.75" hidden="1" customHeight="1" x14ac:dyDescent="0.25">
      <c r="B2202" s="13" t="s">
        <v>556</v>
      </c>
      <c r="C2202" s="13" t="s">
        <v>16908</v>
      </c>
      <c r="D2202" s="12" t="s">
        <v>10486</v>
      </c>
      <c r="E2202" s="13" t="s">
        <v>580</v>
      </c>
      <c r="F2202" s="681">
        <v>21.83</v>
      </c>
    </row>
    <row r="2203" spans="2:6" ht="15.75" hidden="1" customHeight="1" x14ac:dyDescent="0.25">
      <c r="B2203" s="13" t="s">
        <v>556</v>
      </c>
      <c r="C2203" s="13" t="s">
        <v>16909</v>
      </c>
      <c r="D2203" s="12" t="s">
        <v>10487</v>
      </c>
      <c r="E2203" s="13" t="s">
        <v>580</v>
      </c>
      <c r="F2203" s="681">
        <v>31.02</v>
      </c>
    </row>
    <row r="2204" spans="2:6" ht="15.75" hidden="1" customHeight="1" x14ac:dyDescent="0.25">
      <c r="B2204" s="13" t="s">
        <v>556</v>
      </c>
      <c r="C2204" s="13" t="s">
        <v>16910</v>
      </c>
      <c r="D2204" s="12" t="s">
        <v>10504</v>
      </c>
      <c r="E2204" s="13" t="s">
        <v>580</v>
      </c>
      <c r="F2204" s="681">
        <v>2.4700000000000002</v>
      </c>
    </row>
    <row r="2205" spans="2:6" ht="15.75" hidden="1" customHeight="1" x14ac:dyDescent="0.25">
      <c r="B2205" s="13" t="s">
        <v>556</v>
      </c>
      <c r="C2205" s="13" t="s">
        <v>16911</v>
      </c>
      <c r="D2205" s="12" t="s">
        <v>10507</v>
      </c>
      <c r="E2205" s="13" t="s">
        <v>580</v>
      </c>
      <c r="F2205" s="681">
        <v>123.4</v>
      </c>
    </row>
    <row r="2206" spans="2:6" ht="15.75" hidden="1" customHeight="1" x14ac:dyDescent="0.25">
      <c r="B2206" s="13" t="s">
        <v>556</v>
      </c>
      <c r="C2206" s="13" t="s">
        <v>16912</v>
      </c>
      <c r="D2206" s="12" t="s">
        <v>10508</v>
      </c>
      <c r="E2206" s="13" t="s">
        <v>580</v>
      </c>
      <c r="F2206" s="681">
        <v>196.08</v>
      </c>
    </row>
    <row r="2207" spans="2:6" ht="15.75" hidden="1" customHeight="1" x14ac:dyDescent="0.25">
      <c r="B2207" s="13" t="s">
        <v>556</v>
      </c>
      <c r="C2207" s="13" t="s">
        <v>16913</v>
      </c>
      <c r="D2207" s="12" t="s">
        <v>11800</v>
      </c>
      <c r="E2207" s="13" t="s">
        <v>580</v>
      </c>
      <c r="F2207" s="681">
        <v>15.49</v>
      </c>
    </row>
    <row r="2208" spans="2:6" ht="15.75" hidden="1" customHeight="1" x14ac:dyDescent="0.25">
      <c r="B2208" s="13" t="s">
        <v>556</v>
      </c>
      <c r="C2208" s="13" t="s">
        <v>16914</v>
      </c>
      <c r="D2208" s="12" t="s">
        <v>11801</v>
      </c>
      <c r="E2208" s="13" t="s">
        <v>580</v>
      </c>
      <c r="F2208" s="681">
        <v>17.09</v>
      </c>
    </row>
    <row r="2209" spans="2:6" ht="15.75" hidden="1" customHeight="1" x14ac:dyDescent="0.25">
      <c r="B2209" s="13" t="s">
        <v>556</v>
      </c>
      <c r="C2209" s="13" t="s">
        <v>16915</v>
      </c>
      <c r="D2209" s="12" t="s">
        <v>11802</v>
      </c>
      <c r="E2209" s="13" t="s">
        <v>580</v>
      </c>
      <c r="F2209" s="681">
        <v>22.74</v>
      </c>
    </row>
    <row r="2210" spans="2:6" ht="15.75" hidden="1" customHeight="1" x14ac:dyDescent="0.25">
      <c r="B2210" s="13" t="s">
        <v>556</v>
      </c>
      <c r="C2210" s="13" t="s">
        <v>16916</v>
      </c>
      <c r="D2210" s="12" t="s">
        <v>11803</v>
      </c>
      <c r="E2210" s="13" t="s">
        <v>580</v>
      </c>
      <c r="F2210" s="681">
        <v>35.29</v>
      </c>
    </row>
    <row r="2211" spans="2:6" ht="15.75" hidden="1" customHeight="1" x14ac:dyDescent="0.25">
      <c r="B2211" s="13" t="s">
        <v>556</v>
      </c>
      <c r="C2211" s="13" t="s">
        <v>16917</v>
      </c>
      <c r="D2211" s="12" t="s">
        <v>11804</v>
      </c>
      <c r="E2211" s="13" t="s">
        <v>580</v>
      </c>
      <c r="F2211" s="681">
        <v>53.54</v>
      </c>
    </row>
    <row r="2212" spans="2:6" ht="15.75" hidden="1" customHeight="1" x14ac:dyDescent="0.25">
      <c r="B2212" s="13" t="s">
        <v>556</v>
      </c>
      <c r="C2212" s="13" t="s">
        <v>16918</v>
      </c>
      <c r="D2212" s="12" t="s">
        <v>11805</v>
      </c>
      <c r="E2212" s="13" t="s">
        <v>580</v>
      </c>
      <c r="F2212" s="681">
        <v>127.5</v>
      </c>
    </row>
    <row r="2213" spans="2:6" ht="15.75" hidden="1" customHeight="1" x14ac:dyDescent="0.25">
      <c r="B2213" s="13" t="s">
        <v>556</v>
      </c>
      <c r="C2213" s="13" t="s">
        <v>16919</v>
      </c>
      <c r="D2213" s="12" t="s">
        <v>11806</v>
      </c>
      <c r="E2213" s="13" t="s">
        <v>580</v>
      </c>
      <c r="F2213" s="681">
        <v>166.19</v>
      </c>
    </row>
    <row r="2214" spans="2:6" ht="15.75" hidden="1" customHeight="1" x14ac:dyDescent="0.25">
      <c r="B2214" s="13" t="s">
        <v>556</v>
      </c>
      <c r="C2214" s="13" t="s">
        <v>16920</v>
      </c>
      <c r="D2214" s="12" t="s">
        <v>11807</v>
      </c>
      <c r="E2214" s="13" t="s">
        <v>580</v>
      </c>
      <c r="F2214" s="681">
        <v>253.06</v>
      </c>
    </row>
    <row r="2215" spans="2:6" ht="15.75" hidden="1" customHeight="1" x14ac:dyDescent="0.25">
      <c r="B2215" s="13" t="s">
        <v>556</v>
      </c>
      <c r="C2215" s="13" t="s">
        <v>16921</v>
      </c>
      <c r="D2215" s="12" t="s">
        <v>8561</v>
      </c>
      <c r="E2215" s="13" t="s">
        <v>580</v>
      </c>
      <c r="F2215" s="681">
        <v>17.809999999999999</v>
      </c>
    </row>
    <row r="2216" spans="2:6" ht="15.75" hidden="1" customHeight="1" x14ac:dyDescent="0.25">
      <c r="B2216" s="13" t="s">
        <v>556</v>
      </c>
      <c r="C2216" s="13" t="s">
        <v>16922</v>
      </c>
      <c r="D2216" s="12" t="s">
        <v>8562</v>
      </c>
      <c r="E2216" s="13" t="s">
        <v>580</v>
      </c>
      <c r="F2216" s="681">
        <v>23.84</v>
      </c>
    </row>
    <row r="2217" spans="2:6" ht="15.75" hidden="1" customHeight="1" x14ac:dyDescent="0.25">
      <c r="B2217" s="13" t="s">
        <v>556</v>
      </c>
      <c r="C2217" s="13" t="s">
        <v>16923</v>
      </c>
      <c r="D2217" s="12" t="s">
        <v>9675</v>
      </c>
      <c r="E2217" s="13" t="s">
        <v>580</v>
      </c>
      <c r="F2217" s="681">
        <v>8.94</v>
      </c>
    </row>
    <row r="2218" spans="2:6" ht="15.75" hidden="1" customHeight="1" x14ac:dyDescent="0.25">
      <c r="B2218" s="13" t="s">
        <v>556</v>
      </c>
      <c r="C2218" s="13" t="s">
        <v>16924</v>
      </c>
      <c r="D2218" s="12" t="s">
        <v>9676</v>
      </c>
      <c r="E2218" s="13" t="s">
        <v>580</v>
      </c>
      <c r="F2218" s="681">
        <v>10.44</v>
      </c>
    </row>
    <row r="2219" spans="2:6" ht="15.75" hidden="1" customHeight="1" x14ac:dyDescent="0.25">
      <c r="B2219" s="13" t="s">
        <v>556</v>
      </c>
      <c r="C2219" s="13" t="s">
        <v>16925</v>
      </c>
      <c r="D2219" s="12" t="s">
        <v>9050</v>
      </c>
      <c r="E2219" s="13" t="s">
        <v>580</v>
      </c>
      <c r="F2219" s="681">
        <v>1.22</v>
      </c>
    </row>
    <row r="2220" spans="2:6" ht="15.75" hidden="1" customHeight="1" x14ac:dyDescent="0.25">
      <c r="B2220" s="13" t="s">
        <v>556</v>
      </c>
      <c r="C2220" s="13" t="s">
        <v>16926</v>
      </c>
      <c r="D2220" s="12" t="s">
        <v>9051</v>
      </c>
      <c r="E2220" s="13" t="s">
        <v>580</v>
      </c>
      <c r="F2220" s="681">
        <v>4.26</v>
      </c>
    </row>
    <row r="2221" spans="2:6" ht="15.75" hidden="1" customHeight="1" x14ac:dyDescent="0.25">
      <c r="B2221" s="13" t="s">
        <v>556</v>
      </c>
      <c r="C2221" s="13" t="s">
        <v>16927</v>
      </c>
      <c r="D2221" s="12" t="s">
        <v>9052</v>
      </c>
      <c r="E2221" s="13" t="s">
        <v>580</v>
      </c>
      <c r="F2221" s="681">
        <v>29.11</v>
      </c>
    </row>
    <row r="2222" spans="2:6" ht="15.75" hidden="1" customHeight="1" x14ac:dyDescent="0.25">
      <c r="B2222" s="13" t="s">
        <v>556</v>
      </c>
      <c r="C2222" s="13" t="s">
        <v>16928</v>
      </c>
      <c r="D2222" s="12" t="s">
        <v>9053</v>
      </c>
      <c r="E2222" s="13" t="s">
        <v>580</v>
      </c>
      <c r="F2222" s="681">
        <v>33.47</v>
      </c>
    </row>
    <row r="2223" spans="2:6" ht="15.75" hidden="1" customHeight="1" x14ac:dyDescent="0.25">
      <c r="B2223" s="13" t="s">
        <v>556</v>
      </c>
      <c r="C2223" s="13" t="s">
        <v>16929</v>
      </c>
      <c r="D2223" s="12" t="s">
        <v>9551</v>
      </c>
      <c r="E2223" s="13" t="s">
        <v>580</v>
      </c>
      <c r="F2223" s="681">
        <v>19.52</v>
      </c>
    </row>
    <row r="2224" spans="2:6" ht="15.75" hidden="1" customHeight="1" x14ac:dyDescent="0.25">
      <c r="B2224" s="13" t="s">
        <v>556</v>
      </c>
      <c r="C2224" s="13" t="s">
        <v>16930</v>
      </c>
      <c r="D2224" s="12" t="s">
        <v>9552</v>
      </c>
      <c r="E2224" s="13" t="s">
        <v>580</v>
      </c>
      <c r="F2224" s="681">
        <v>25.94</v>
      </c>
    </row>
    <row r="2225" spans="2:6" ht="15.75" hidden="1" customHeight="1" x14ac:dyDescent="0.25">
      <c r="B2225" s="13" t="s">
        <v>556</v>
      </c>
      <c r="C2225" s="13" t="s">
        <v>16931</v>
      </c>
      <c r="D2225" s="12" t="s">
        <v>9554</v>
      </c>
      <c r="E2225" s="13" t="s">
        <v>580</v>
      </c>
      <c r="F2225" s="681">
        <v>29.93</v>
      </c>
    </row>
    <row r="2226" spans="2:6" ht="15.75" hidden="1" customHeight="1" x14ac:dyDescent="0.25">
      <c r="B2226" s="13" t="s">
        <v>556</v>
      </c>
      <c r="C2226" s="13" t="s">
        <v>16932</v>
      </c>
      <c r="D2226" s="12" t="s">
        <v>9555</v>
      </c>
      <c r="E2226" s="13" t="s">
        <v>580</v>
      </c>
      <c r="F2226" s="681">
        <v>47.89</v>
      </c>
    </row>
    <row r="2227" spans="2:6" ht="15.75" hidden="1" customHeight="1" x14ac:dyDescent="0.25">
      <c r="B2227" s="13" t="s">
        <v>556</v>
      </c>
      <c r="C2227" s="13" t="s">
        <v>16933</v>
      </c>
      <c r="D2227" s="12" t="s">
        <v>9556</v>
      </c>
      <c r="E2227" s="13" t="s">
        <v>580</v>
      </c>
      <c r="F2227" s="681">
        <v>58.63</v>
      </c>
    </row>
    <row r="2228" spans="2:6" ht="15.75" hidden="1" customHeight="1" x14ac:dyDescent="0.25">
      <c r="B2228" s="13" t="s">
        <v>556</v>
      </c>
      <c r="C2228" s="13" t="s">
        <v>16934</v>
      </c>
      <c r="D2228" s="12" t="s">
        <v>11357</v>
      </c>
      <c r="E2228" s="13" t="s">
        <v>580</v>
      </c>
      <c r="F2228" s="681">
        <v>5.0999999999999996</v>
      </c>
    </row>
    <row r="2229" spans="2:6" ht="15.75" hidden="1" customHeight="1" x14ac:dyDescent="0.25">
      <c r="B2229" s="13" t="s">
        <v>556</v>
      </c>
      <c r="C2229" s="13" t="s">
        <v>16935</v>
      </c>
      <c r="D2229" s="12" t="s">
        <v>11358</v>
      </c>
      <c r="E2229" s="13" t="s">
        <v>580</v>
      </c>
      <c r="F2229" s="681">
        <v>10.23</v>
      </c>
    </row>
    <row r="2230" spans="2:6" ht="15.75" hidden="1" customHeight="1" x14ac:dyDescent="0.25">
      <c r="B2230" s="13" t="s">
        <v>556</v>
      </c>
      <c r="C2230" s="13" t="s">
        <v>16936</v>
      </c>
      <c r="D2230" s="12" t="s">
        <v>11359</v>
      </c>
      <c r="E2230" s="13" t="s">
        <v>580</v>
      </c>
      <c r="F2230" s="681">
        <v>39</v>
      </c>
    </row>
    <row r="2231" spans="2:6" ht="15.75" hidden="1" customHeight="1" x14ac:dyDescent="0.25">
      <c r="B2231" s="13" t="s">
        <v>556</v>
      </c>
      <c r="C2231" s="13" t="s">
        <v>16937</v>
      </c>
      <c r="D2231" s="12" t="s">
        <v>11360</v>
      </c>
      <c r="E2231" s="13" t="s">
        <v>580</v>
      </c>
      <c r="F2231" s="681">
        <v>50.11</v>
      </c>
    </row>
    <row r="2232" spans="2:6" ht="15.75" hidden="1" customHeight="1" x14ac:dyDescent="0.25">
      <c r="B2232" s="13" t="s">
        <v>556</v>
      </c>
      <c r="C2232" s="13" t="s">
        <v>16938</v>
      </c>
      <c r="D2232" s="12" t="s">
        <v>11361</v>
      </c>
      <c r="E2232" s="13" t="s">
        <v>580</v>
      </c>
      <c r="F2232" s="681">
        <v>83.68</v>
      </c>
    </row>
    <row r="2233" spans="2:6" ht="15.75" hidden="1" customHeight="1" x14ac:dyDescent="0.25">
      <c r="B2233" s="13" t="s">
        <v>556</v>
      </c>
      <c r="C2233" s="13" t="s">
        <v>16939</v>
      </c>
      <c r="D2233" s="12" t="s">
        <v>11362</v>
      </c>
      <c r="E2233" s="13" t="s">
        <v>580</v>
      </c>
      <c r="F2233" s="681">
        <v>196.73</v>
      </c>
    </row>
    <row r="2234" spans="2:6" ht="15.75" hidden="1" customHeight="1" x14ac:dyDescent="0.25">
      <c r="B2234" s="13" t="s">
        <v>556</v>
      </c>
      <c r="C2234" s="13" t="s">
        <v>16940</v>
      </c>
      <c r="D2234" s="12" t="s">
        <v>11363</v>
      </c>
      <c r="E2234" s="13" t="s">
        <v>580</v>
      </c>
      <c r="F2234" s="681">
        <v>228.77</v>
      </c>
    </row>
    <row r="2235" spans="2:6" ht="15.75" hidden="1" customHeight="1" x14ac:dyDescent="0.25">
      <c r="B2235" s="13" t="s">
        <v>556</v>
      </c>
      <c r="C2235" s="13" t="s">
        <v>16941</v>
      </c>
      <c r="D2235" s="12" t="s">
        <v>11385</v>
      </c>
      <c r="E2235" s="13" t="s">
        <v>580</v>
      </c>
      <c r="F2235" s="681">
        <v>10.9</v>
      </c>
    </row>
    <row r="2236" spans="2:6" ht="15.75" hidden="1" customHeight="1" x14ac:dyDescent="0.25">
      <c r="B2236" s="13" t="s">
        <v>556</v>
      </c>
      <c r="C2236" s="13" t="s">
        <v>16942</v>
      </c>
      <c r="D2236" s="12" t="s">
        <v>11386</v>
      </c>
      <c r="E2236" s="13" t="s">
        <v>580</v>
      </c>
      <c r="F2236" s="681">
        <v>12.26</v>
      </c>
    </row>
    <row r="2237" spans="2:6" ht="15.75" hidden="1" customHeight="1" x14ac:dyDescent="0.25">
      <c r="B2237" s="13" t="s">
        <v>556</v>
      </c>
      <c r="C2237" s="13" t="s">
        <v>16943</v>
      </c>
      <c r="D2237" s="12" t="s">
        <v>11389</v>
      </c>
      <c r="E2237" s="13" t="s">
        <v>580</v>
      </c>
      <c r="F2237" s="681">
        <v>7.76</v>
      </c>
    </row>
    <row r="2238" spans="2:6" ht="15.75" hidden="1" customHeight="1" x14ac:dyDescent="0.25">
      <c r="B2238" s="13" t="s">
        <v>556</v>
      </c>
      <c r="C2238" s="13" t="s">
        <v>16944</v>
      </c>
      <c r="D2238" s="12" t="s">
        <v>11390</v>
      </c>
      <c r="E2238" s="13" t="s">
        <v>580</v>
      </c>
      <c r="F2238" s="681">
        <v>9.56</v>
      </c>
    </row>
    <row r="2239" spans="2:6" ht="15.75" hidden="1" customHeight="1" x14ac:dyDescent="0.25">
      <c r="B2239" s="13" t="s">
        <v>556</v>
      </c>
      <c r="C2239" s="13" t="s">
        <v>16945</v>
      </c>
      <c r="D2239" s="12" t="s">
        <v>10478</v>
      </c>
      <c r="E2239" s="13" t="s">
        <v>580</v>
      </c>
      <c r="F2239" s="681">
        <v>21.05</v>
      </c>
    </row>
    <row r="2240" spans="2:6" ht="15.75" hidden="1" customHeight="1" x14ac:dyDescent="0.25">
      <c r="B2240" s="13" t="s">
        <v>556</v>
      </c>
      <c r="C2240" s="13" t="s">
        <v>16946</v>
      </c>
      <c r="D2240" s="12" t="s">
        <v>10481</v>
      </c>
      <c r="E2240" s="13" t="s">
        <v>580</v>
      </c>
      <c r="F2240" s="681">
        <v>37.71</v>
      </c>
    </row>
    <row r="2241" spans="2:6" ht="15.75" hidden="1" customHeight="1" x14ac:dyDescent="0.25">
      <c r="B2241" s="13" t="s">
        <v>556</v>
      </c>
      <c r="C2241" s="13" t="s">
        <v>16947</v>
      </c>
      <c r="D2241" s="12" t="s">
        <v>10503</v>
      </c>
      <c r="E2241" s="13" t="s">
        <v>580</v>
      </c>
      <c r="F2241" s="681">
        <v>5.98</v>
      </c>
    </row>
    <row r="2242" spans="2:6" ht="15.75" hidden="1" customHeight="1" x14ac:dyDescent="0.25">
      <c r="B2242" s="13" t="s">
        <v>556</v>
      </c>
      <c r="C2242" s="13" t="s">
        <v>16948</v>
      </c>
      <c r="D2242" s="12" t="s">
        <v>9678</v>
      </c>
      <c r="E2242" s="13" t="s">
        <v>580</v>
      </c>
      <c r="F2242" s="681">
        <v>6.42</v>
      </c>
    </row>
    <row r="2243" spans="2:6" ht="15.75" hidden="1" customHeight="1" x14ac:dyDescent="0.25">
      <c r="B2243" s="13" t="s">
        <v>556</v>
      </c>
      <c r="C2243" s="13" t="s">
        <v>16949</v>
      </c>
      <c r="D2243" s="12" t="s">
        <v>9679</v>
      </c>
      <c r="E2243" s="13" t="s">
        <v>580</v>
      </c>
      <c r="F2243" s="681">
        <v>15.85</v>
      </c>
    </row>
    <row r="2244" spans="2:6" ht="15.75" hidden="1" customHeight="1" x14ac:dyDescent="0.25">
      <c r="B2244" s="13" t="s">
        <v>556</v>
      </c>
      <c r="C2244" s="13" t="s">
        <v>16950</v>
      </c>
      <c r="D2244" s="12" t="s">
        <v>11679</v>
      </c>
      <c r="E2244" s="13" t="s">
        <v>585</v>
      </c>
      <c r="F2244" s="681">
        <v>59.51</v>
      </c>
    </row>
    <row r="2245" spans="2:6" ht="15.75" hidden="1" customHeight="1" x14ac:dyDescent="0.25">
      <c r="B2245" s="13" t="s">
        <v>556</v>
      </c>
      <c r="C2245" s="13" t="s">
        <v>16951</v>
      </c>
      <c r="D2245" s="12" t="s">
        <v>11680</v>
      </c>
      <c r="E2245" s="13" t="s">
        <v>585</v>
      </c>
      <c r="F2245" s="681">
        <v>87.1</v>
      </c>
    </row>
    <row r="2246" spans="2:6" ht="15.75" hidden="1" customHeight="1" x14ac:dyDescent="0.25">
      <c r="B2246" s="13" t="s">
        <v>556</v>
      </c>
      <c r="C2246" s="13" t="s">
        <v>16952</v>
      </c>
      <c r="D2246" s="12" t="s">
        <v>16953</v>
      </c>
      <c r="E2246" s="13" t="s">
        <v>580</v>
      </c>
      <c r="F2246" s="681">
        <v>61.89</v>
      </c>
    </row>
    <row r="2247" spans="2:6" ht="15.75" hidden="1" customHeight="1" x14ac:dyDescent="0.25">
      <c r="B2247" s="13" t="s">
        <v>556</v>
      </c>
      <c r="C2247" s="13" t="s">
        <v>16954</v>
      </c>
      <c r="D2247" s="12" t="s">
        <v>11681</v>
      </c>
      <c r="E2247" s="13" t="s">
        <v>585</v>
      </c>
      <c r="F2247" s="681">
        <v>140.84</v>
      </c>
    </row>
    <row r="2248" spans="2:6" ht="15.75" hidden="1" customHeight="1" x14ac:dyDescent="0.25">
      <c r="B2248" s="13" t="s">
        <v>556</v>
      </c>
      <c r="C2248" s="13" t="s">
        <v>16955</v>
      </c>
      <c r="D2248" s="12" t="s">
        <v>11682</v>
      </c>
      <c r="E2248" s="13" t="s">
        <v>585</v>
      </c>
      <c r="F2248" s="681">
        <v>221.06</v>
      </c>
    </row>
    <row r="2249" spans="2:6" ht="15.75" hidden="1" customHeight="1" x14ac:dyDescent="0.25">
      <c r="B2249" s="13" t="s">
        <v>556</v>
      </c>
      <c r="C2249" s="13" t="s">
        <v>16956</v>
      </c>
      <c r="D2249" s="12" t="s">
        <v>11749</v>
      </c>
      <c r="E2249" s="13" t="s">
        <v>585</v>
      </c>
      <c r="F2249" s="681">
        <v>63.02</v>
      </c>
    </row>
    <row r="2250" spans="2:6" ht="15.75" hidden="1" customHeight="1" x14ac:dyDescent="0.25">
      <c r="B2250" s="13" t="s">
        <v>556</v>
      </c>
      <c r="C2250" s="13" t="s">
        <v>16957</v>
      </c>
      <c r="D2250" s="12" t="s">
        <v>11750</v>
      </c>
      <c r="E2250" s="13" t="s">
        <v>585</v>
      </c>
      <c r="F2250" s="681">
        <v>107.13</v>
      </c>
    </row>
    <row r="2251" spans="2:6" ht="15.75" hidden="1" customHeight="1" x14ac:dyDescent="0.25">
      <c r="B2251" s="13" t="s">
        <v>556</v>
      </c>
      <c r="C2251" s="13" t="s">
        <v>16958</v>
      </c>
      <c r="D2251" s="12" t="s">
        <v>11751</v>
      </c>
      <c r="E2251" s="13" t="s">
        <v>585</v>
      </c>
      <c r="F2251" s="681">
        <v>167.82</v>
      </c>
    </row>
    <row r="2252" spans="2:6" ht="15.75" hidden="1" customHeight="1" x14ac:dyDescent="0.25">
      <c r="B2252" s="13" t="s">
        <v>556</v>
      </c>
      <c r="C2252" s="13" t="s">
        <v>16959</v>
      </c>
      <c r="D2252" s="12" t="s">
        <v>11752</v>
      </c>
      <c r="E2252" s="13" t="s">
        <v>585</v>
      </c>
      <c r="F2252" s="681">
        <v>246.89</v>
      </c>
    </row>
    <row r="2253" spans="2:6" ht="15.75" hidden="1" customHeight="1" x14ac:dyDescent="0.25">
      <c r="B2253" s="13" t="s">
        <v>556</v>
      </c>
      <c r="C2253" s="13" t="s">
        <v>16960</v>
      </c>
      <c r="D2253" s="12" t="s">
        <v>11753</v>
      </c>
      <c r="E2253" s="13" t="s">
        <v>585</v>
      </c>
      <c r="F2253" s="681">
        <v>332.6</v>
      </c>
    </row>
    <row r="2254" spans="2:6" ht="15.75" hidden="1" customHeight="1" x14ac:dyDescent="0.25">
      <c r="B2254" s="13" t="s">
        <v>556</v>
      </c>
      <c r="C2254" s="13" t="s">
        <v>16961</v>
      </c>
      <c r="D2254" s="12" t="s">
        <v>11754</v>
      </c>
      <c r="E2254" s="13" t="s">
        <v>585</v>
      </c>
      <c r="F2254" s="681">
        <v>439.32</v>
      </c>
    </row>
    <row r="2255" spans="2:6" ht="15.75" hidden="1" customHeight="1" x14ac:dyDescent="0.25">
      <c r="B2255" s="13" t="s">
        <v>556</v>
      </c>
      <c r="C2255" s="13" t="s">
        <v>16962</v>
      </c>
      <c r="D2255" s="12" t="s">
        <v>16963</v>
      </c>
      <c r="E2255" s="13" t="s">
        <v>585</v>
      </c>
      <c r="F2255" s="681">
        <v>7.31</v>
      </c>
    </row>
    <row r="2256" spans="2:6" ht="15.75" hidden="1" customHeight="1" x14ac:dyDescent="0.25">
      <c r="B2256" s="13" t="s">
        <v>556</v>
      </c>
      <c r="C2256" s="13" t="s">
        <v>16964</v>
      </c>
      <c r="D2256" s="12" t="s">
        <v>16965</v>
      </c>
      <c r="E2256" s="13" t="s">
        <v>585</v>
      </c>
      <c r="F2256" s="681">
        <v>11.72</v>
      </c>
    </row>
    <row r="2257" spans="2:6" ht="15.75" hidden="1" customHeight="1" x14ac:dyDescent="0.25">
      <c r="B2257" s="13" t="s">
        <v>556</v>
      </c>
      <c r="C2257" s="13" t="s">
        <v>16966</v>
      </c>
      <c r="D2257" s="12" t="s">
        <v>16967</v>
      </c>
      <c r="E2257" s="13" t="s">
        <v>585</v>
      </c>
      <c r="F2257" s="681">
        <v>24.21</v>
      </c>
    </row>
    <row r="2258" spans="2:6" ht="15.75" hidden="1" customHeight="1" x14ac:dyDescent="0.25">
      <c r="B2258" s="13" t="s">
        <v>556</v>
      </c>
      <c r="C2258" s="13" t="s">
        <v>16968</v>
      </c>
      <c r="D2258" s="12" t="s">
        <v>16969</v>
      </c>
      <c r="E2258" s="13" t="s">
        <v>585</v>
      </c>
      <c r="F2258" s="681">
        <v>41.61</v>
      </c>
    </row>
    <row r="2259" spans="2:6" ht="15.75" hidden="1" customHeight="1" x14ac:dyDescent="0.25">
      <c r="B2259" s="13" t="s">
        <v>556</v>
      </c>
      <c r="C2259" s="13" t="s">
        <v>16970</v>
      </c>
      <c r="D2259" s="12" t="s">
        <v>10128</v>
      </c>
      <c r="E2259" s="13" t="s">
        <v>580</v>
      </c>
      <c r="F2259" s="681">
        <v>8.1999999999999993</v>
      </c>
    </row>
    <row r="2260" spans="2:6" ht="15.75" hidden="1" customHeight="1" x14ac:dyDescent="0.25">
      <c r="B2260" s="13" t="s">
        <v>556</v>
      </c>
      <c r="C2260" s="13" t="s">
        <v>16971</v>
      </c>
      <c r="D2260" s="12" t="s">
        <v>10132</v>
      </c>
      <c r="E2260" s="13" t="s">
        <v>580</v>
      </c>
      <c r="F2260" s="681">
        <v>45.26</v>
      </c>
    </row>
    <row r="2261" spans="2:6" ht="15.75" hidden="1" customHeight="1" x14ac:dyDescent="0.25">
      <c r="B2261" s="13" t="s">
        <v>556</v>
      </c>
      <c r="C2261" s="13" t="s">
        <v>16972</v>
      </c>
      <c r="D2261" s="12" t="s">
        <v>16973</v>
      </c>
      <c r="E2261" s="13" t="s">
        <v>580</v>
      </c>
      <c r="F2261" s="681">
        <v>57.92</v>
      </c>
    </row>
    <row r="2262" spans="2:6" ht="15.75" hidden="1" customHeight="1" x14ac:dyDescent="0.25">
      <c r="B2262" s="13" t="s">
        <v>556</v>
      </c>
      <c r="C2262" s="13" t="s">
        <v>16974</v>
      </c>
      <c r="D2262" s="12" t="s">
        <v>16975</v>
      </c>
      <c r="E2262" s="13" t="s">
        <v>580</v>
      </c>
      <c r="F2262" s="681">
        <v>51.17</v>
      </c>
    </row>
    <row r="2263" spans="2:6" ht="15.75" hidden="1" customHeight="1" x14ac:dyDescent="0.25">
      <c r="B2263" s="13" t="s">
        <v>556</v>
      </c>
      <c r="C2263" s="13" t="s">
        <v>16976</v>
      </c>
      <c r="D2263" s="12" t="s">
        <v>10199</v>
      </c>
      <c r="E2263" s="13" t="s">
        <v>580</v>
      </c>
      <c r="F2263" s="681">
        <v>7.21</v>
      </c>
    </row>
    <row r="2264" spans="2:6" ht="15.75" hidden="1" customHeight="1" x14ac:dyDescent="0.25">
      <c r="B2264" s="13" t="s">
        <v>556</v>
      </c>
      <c r="C2264" s="13" t="s">
        <v>16977</v>
      </c>
      <c r="D2264" s="12" t="s">
        <v>10193</v>
      </c>
      <c r="E2264" s="13" t="s">
        <v>580</v>
      </c>
      <c r="F2264" s="681">
        <v>9.81</v>
      </c>
    </row>
    <row r="2265" spans="2:6" ht="15.75" hidden="1" customHeight="1" x14ac:dyDescent="0.25">
      <c r="B2265" s="13" t="s">
        <v>556</v>
      </c>
      <c r="C2265" s="13" t="s">
        <v>16978</v>
      </c>
      <c r="D2265" s="12" t="s">
        <v>10187</v>
      </c>
      <c r="E2265" s="13" t="s">
        <v>580</v>
      </c>
      <c r="F2265" s="681">
        <v>20.34</v>
      </c>
    </row>
    <row r="2266" spans="2:6" ht="15.75" hidden="1" customHeight="1" x14ac:dyDescent="0.25">
      <c r="B2266" s="13" t="s">
        <v>556</v>
      </c>
      <c r="C2266" s="13" t="s">
        <v>16979</v>
      </c>
      <c r="D2266" s="12" t="s">
        <v>10190</v>
      </c>
      <c r="E2266" s="13" t="s">
        <v>580</v>
      </c>
      <c r="F2266" s="681">
        <v>28.86</v>
      </c>
    </row>
    <row r="2267" spans="2:6" ht="15.75" hidden="1" customHeight="1" x14ac:dyDescent="0.25">
      <c r="B2267" s="13" t="s">
        <v>556</v>
      </c>
      <c r="C2267" s="13" t="s">
        <v>16980</v>
      </c>
      <c r="D2267" s="12" t="s">
        <v>11106</v>
      </c>
      <c r="E2267" s="13" t="s">
        <v>580</v>
      </c>
      <c r="F2267" s="681">
        <v>9.7100000000000009</v>
      </c>
    </row>
    <row r="2268" spans="2:6" ht="15.75" hidden="1" customHeight="1" x14ac:dyDescent="0.25">
      <c r="B2268" s="13" t="s">
        <v>556</v>
      </c>
      <c r="C2268" s="13" t="s">
        <v>16981</v>
      </c>
      <c r="D2268" s="12" t="s">
        <v>11108</v>
      </c>
      <c r="E2268" s="13" t="s">
        <v>580</v>
      </c>
      <c r="F2268" s="681">
        <v>13.67</v>
      </c>
    </row>
    <row r="2269" spans="2:6" ht="15.75" hidden="1" customHeight="1" x14ac:dyDescent="0.25">
      <c r="B2269" s="13" t="s">
        <v>556</v>
      </c>
      <c r="C2269" s="13" t="s">
        <v>16982</v>
      </c>
      <c r="D2269" s="12" t="s">
        <v>10207</v>
      </c>
      <c r="E2269" s="13" t="s">
        <v>580</v>
      </c>
      <c r="F2269" s="681">
        <v>14.8</v>
      </c>
    </row>
    <row r="2270" spans="2:6" ht="15.75" hidden="1" customHeight="1" x14ac:dyDescent="0.25">
      <c r="B2270" s="13" t="s">
        <v>556</v>
      </c>
      <c r="C2270" s="13" t="s">
        <v>16983</v>
      </c>
      <c r="D2270" s="12" t="s">
        <v>10196</v>
      </c>
      <c r="E2270" s="13" t="s">
        <v>580</v>
      </c>
      <c r="F2270" s="681">
        <v>15.99</v>
      </c>
    </row>
    <row r="2271" spans="2:6" ht="15.75" hidden="1" customHeight="1" x14ac:dyDescent="0.25">
      <c r="B2271" s="13" t="s">
        <v>556</v>
      </c>
      <c r="C2271" s="13" t="s">
        <v>16984</v>
      </c>
      <c r="D2271" s="12" t="s">
        <v>10203</v>
      </c>
      <c r="E2271" s="13" t="s">
        <v>580</v>
      </c>
      <c r="F2271" s="681">
        <v>17.09</v>
      </c>
    </row>
    <row r="2272" spans="2:6" ht="15.75" hidden="1" customHeight="1" x14ac:dyDescent="0.25">
      <c r="B2272" s="13" t="s">
        <v>556</v>
      </c>
      <c r="C2272" s="13" t="s">
        <v>16985</v>
      </c>
      <c r="D2272" s="12" t="s">
        <v>10208</v>
      </c>
      <c r="E2272" s="13" t="s">
        <v>580</v>
      </c>
      <c r="F2272" s="681">
        <v>17.690000000000001</v>
      </c>
    </row>
    <row r="2273" spans="2:6" ht="15.75" hidden="1" customHeight="1" x14ac:dyDescent="0.25">
      <c r="B2273" s="13" t="s">
        <v>556</v>
      </c>
      <c r="C2273" s="13" t="s">
        <v>16986</v>
      </c>
      <c r="D2273" s="12" t="s">
        <v>10205</v>
      </c>
      <c r="E2273" s="13" t="s">
        <v>580</v>
      </c>
      <c r="F2273" s="681">
        <v>21.43</v>
      </c>
    </row>
    <row r="2274" spans="2:6" ht="15.75" hidden="1" customHeight="1" x14ac:dyDescent="0.25">
      <c r="B2274" s="13" t="s">
        <v>556</v>
      </c>
      <c r="C2274" s="13" t="s">
        <v>16987</v>
      </c>
      <c r="D2274" s="12" t="s">
        <v>10194</v>
      </c>
      <c r="E2274" s="13" t="s">
        <v>580</v>
      </c>
      <c r="F2274" s="681">
        <v>23.81</v>
      </c>
    </row>
    <row r="2275" spans="2:6" ht="15.75" hidden="1" customHeight="1" x14ac:dyDescent="0.25">
      <c r="B2275" s="13" t="s">
        <v>556</v>
      </c>
      <c r="C2275" s="13" t="s">
        <v>16988</v>
      </c>
      <c r="D2275" s="12" t="s">
        <v>10204</v>
      </c>
      <c r="E2275" s="13" t="s">
        <v>580</v>
      </c>
      <c r="F2275" s="681">
        <v>25.99</v>
      </c>
    </row>
    <row r="2276" spans="2:6" ht="15.75" hidden="1" customHeight="1" x14ac:dyDescent="0.25">
      <c r="B2276" s="13" t="s">
        <v>556</v>
      </c>
      <c r="C2276" s="13" t="s">
        <v>16989</v>
      </c>
      <c r="D2276" s="12" t="s">
        <v>11596</v>
      </c>
      <c r="E2276" s="13" t="s">
        <v>580</v>
      </c>
      <c r="F2276" s="681">
        <v>16.260000000000002</v>
      </c>
    </row>
    <row r="2277" spans="2:6" ht="15.75" hidden="1" customHeight="1" x14ac:dyDescent="0.25">
      <c r="B2277" s="13" t="s">
        <v>556</v>
      </c>
      <c r="C2277" s="13" t="s">
        <v>16990</v>
      </c>
      <c r="D2277" s="12" t="s">
        <v>11606</v>
      </c>
      <c r="E2277" s="13" t="s">
        <v>580</v>
      </c>
      <c r="F2277" s="681">
        <v>18.23</v>
      </c>
    </row>
    <row r="2278" spans="2:6" ht="15.75" hidden="1" customHeight="1" x14ac:dyDescent="0.25">
      <c r="B2278" s="13" t="s">
        <v>556</v>
      </c>
      <c r="C2278" s="13" t="s">
        <v>16991</v>
      </c>
      <c r="D2278" s="12" t="s">
        <v>10197</v>
      </c>
      <c r="E2278" s="13" t="s">
        <v>580</v>
      </c>
      <c r="F2278" s="681">
        <v>15.63</v>
      </c>
    </row>
    <row r="2279" spans="2:6" ht="15.75" hidden="1" customHeight="1" x14ac:dyDescent="0.25">
      <c r="B2279" s="13" t="s">
        <v>556</v>
      </c>
      <c r="C2279" s="13" t="s">
        <v>16992</v>
      </c>
      <c r="D2279" s="12" t="s">
        <v>10191</v>
      </c>
      <c r="E2279" s="13" t="s">
        <v>580</v>
      </c>
      <c r="F2279" s="681">
        <v>16.84</v>
      </c>
    </row>
    <row r="2280" spans="2:6" ht="15.75" hidden="1" customHeight="1" x14ac:dyDescent="0.25">
      <c r="B2280" s="13" t="s">
        <v>556</v>
      </c>
      <c r="C2280" s="13" t="s">
        <v>16993</v>
      </c>
      <c r="D2280" s="12" t="s">
        <v>10206</v>
      </c>
      <c r="E2280" s="13" t="s">
        <v>580</v>
      </c>
      <c r="F2280" s="681">
        <v>22.31</v>
      </c>
    </row>
    <row r="2281" spans="2:6" ht="15.75" hidden="1" customHeight="1" x14ac:dyDescent="0.25">
      <c r="B2281" s="13" t="s">
        <v>556</v>
      </c>
      <c r="C2281" s="13" t="s">
        <v>16994</v>
      </c>
      <c r="D2281" s="12" t="s">
        <v>10195</v>
      </c>
      <c r="E2281" s="13" t="s">
        <v>580</v>
      </c>
      <c r="F2281" s="681">
        <v>29.24</v>
      </c>
    </row>
    <row r="2282" spans="2:6" ht="15.75" hidden="1" customHeight="1" x14ac:dyDescent="0.25">
      <c r="B2282" s="13" t="s">
        <v>556</v>
      </c>
      <c r="C2282" s="13" t="s">
        <v>16995</v>
      </c>
      <c r="D2282" s="12" t="s">
        <v>10202</v>
      </c>
      <c r="E2282" s="13" t="s">
        <v>580</v>
      </c>
      <c r="F2282" s="681">
        <v>24.8</v>
      </c>
    </row>
    <row r="2283" spans="2:6" ht="15.75" hidden="1" customHeight="1" x14ac:dyDescent="0.25">
      <c r="B2283" s="13" t="s">
        <v>556</v>
      </c>
      <c r="C2283" s="13" t="s">
        <v>16996</v>
      </c>
      <c r="D2283" s="12" t="s">
        <v>11603</v>
      </c>
      <c r="E2283" s="13" t="s">
        <v>580</v>
      </c>
      <c r="F2283" s="681">
        <v>20.7</v>
      </c>
    </row>
    <row r="2284" spans="2:6" ht="15.75" hidden="1" customHeight="1" x14ac:dyDescent="0.25">
      <c r="B2284" s="13" t="s">
        <v>556</v>
      </c>
      <c r="C2284" s="13" t="s">
        <v>16997</v>
      </c>
      <c r="D2284" s="12" t="s">
        <v>11605</v>
      </c>
      <c r="E2284" s="13" t="s">
        <v>580</v>
      </c>
      <c r="F2284" s="681">
        <v>36.520000000000003</v>
      </c>
    </row>
    <row r="2285" spans="2:6" ht="15.75" hidden="1" customHeight="1" x14ac:dyDescent="0.25">
      <c r="B2285" s="13" t="s">
        <v>556</v>
      </c>
      <c r="C2285" s="13" t="s">
        <v>16998</v>
      </c>
      <c r="D2285" s="12" t="s">
        <v>11601</v>
      </c>
      <c r="E2285" s="13" t="s">
        <v>580</v>
      </c>
      <c r="F2285" s="681">
        <v>15.89</v>
      </c>
    </row>
    <row r="2286" spans="2:6" ht="15.75" hidden="1" customHeight="1" x14ac:dyDescent="0.25">
      <c r="B2286" s="13" t="s">
        <v>556</v>
      </c>
      <c r="C2286" s="13" t="s">
        <v>16999</v>
      </c>
      <c r="D2286" s="12" t="s">
        <v>9286</v>
      </c>
      <c r="E2286" s="13" t="s">
        <v>580</v>
      </c>
      <c r="F2286" s="681">
        <v>22.23</v>
      </c>
    </row>
    <row r="2287" spans="2:6" ht="15.75" hidden="1" customHeight="1" x14ac:dyDescent="0.25">
      <c r="B2287" s="13" t="s">
        <v>556</v>
      </c>
      <c r="C2287" s="13" t="s">
        <v>17000</v>
      </c>
      <c r="D2287" s="12" t="s">
        <v>11828</v>
      </c>
      <c r="E2287" s="13" t="s">
        <v>580</v>
      </c>
      <c r="F2287" s="681">
        <v>62.9</v>
      </c>
    </row>
    <row r="2288" spans="2:6" ht="15.75" hidden="1" customHeight="1" x14ac:dyDescent="0.25">
      <c r="B2288" s="13" t="s">
        <v>556</v>
      </c>
      <c r="C2288" s="13" t="s">
        <v>17001</v>
      </c>
      <c r="D2288" s="12" t="s">
        <v>11830</v>
      </c>
      <c r="E2288" s="13" t="s">
        <v>580</v>
      </c>
      <c r="F2288" s="681">
        <v>82.18</v>
      </c>
    </row>
    <row r="2289" spans="2:6" ht="15.75" hidden="1" customHeight="1" x14ac:dyDescent="0.25">
      <c r="B2289" s="13" t="s">
        <v>556</v>
      </c>
      <c r="C2289" s="13" t="s">
        <v>17002</v>
      </c>
      <c r="D2289" s="12" t="s">
        <v>11832</v>
      </c>
      <c r="E2289" s="13" t="s">
        <v>580</v>
      </c>
      <c r="F2289" s="681">
        <v>52.39</v>
      </c>
    </row>
    <row r="2290" spans="2:6" ht="15.75" hidden="1" customHeight="1" x14ac:dyDescent="0.25">
      <c r="B2290" s="13" t="s">
        <v>556</v>
      </c>
      <c r="C2290" s="13" t="s">
        <v>17003</v>
      </c>
      <c r="D2290" s="12" t="s">
        <v>11834</v>
      </c>
      <c r="E2290" s="13" t="s">
        <v>580</v>
      </c>
      <c r="F2290" s="681">
        <v>54.15</v>
      </c>
    </row>
    <row r="2291" spans="2:6" ht="15.75" hidden="1" customHeight="1" x14ac:dyDescent="0.25">
      <c r="B2291" s="13" t="s">
        <v>556</v>
      </c>
      <c r="C2291" s="13" t="s">
        <v>17004</v>
      </c>
      <c r="D2291" s="12" t="s">
        <v>9940</v>
      </c>
      <c r="E2291" s="13" t="s">
        <v>580</v>
      </c>
      <c r="F2291" s="681">
        <v>2.48</v>
      </c>
    </row>
    <row r="2292" spans="2:6" ht="15.75" hidden="1" customHeight="1" x14ac:dyDescent="0.25">
      <c r="B2292" s="13" t="s">
        <v>556</v>
      </c>
      <c r="C2292" s="13" t="s">
        <v>17005</v>
      </c>
      <c r="D2292" s="12" t="s">
        <v>9942</v>
      </c>
      <c r="E2292" s="13" t="s">
        <v>580</v>
      </c>
      <c r="F2292" s="681">
        <v>2.35</v>
      </c>
    </row>
    <row r="2293" spans="2:6" ht="15.75" hidden="1" customHeight="1" x14ac:dyDescent="0.25">
      <c r="B2293" s="13" t="s">
        <v>556</v>
      </c>
      <c r="C2293" s="13" t="s">
        <v>17006</v>
      </c>
      <c r="D2293" s="12" t="s">
        <v>9943</v>
      </c>
      <c r="E2293" s="13" t="s">
        <v>580</v>
      </c>
      <c r="F2293" s="681">
        <v>2.4300000000000002</v>
      </c>
    </row>
    <row r="2294" spans="2:6" ht="15.75" hidden="1" customHeight="1" x14ac:dyDescent="0.25">
      <c r="B2294" s="13" t="s">
        <v>556</v>
      </c>
      <c r="C2294" s="13" t="s">
        <v>17007</v>
      </c>
      <c r="D2294" s="12" t="s">
        <v>9945</v>
      </c>
      <c r="E2294" s="13" t="s">
        <v>580</v>
      </c>
      <c r="F2294" s="681">
        <v>2.97</v>
      </c>
    </row>
    <row r="2295" spans="2:6" ht="15.75" hidden="1" customHeight="1" x14ac:dyDescent="0.25">
      <c r="B2295" s="13" t="s">
        <v>556</v>
      </c>
      <c r="C2295" s="13" t="s">
        <v>17008</v>
      </c>
      <c r="D2295" s="12" t="s">
        <v>9941</v>
      </c>
      <c r="E2295" s="13" t="s">
        <v>580</v>
      </c>
      <c r="F2295" s="681">
        <v>5.24</v>
      </c>
    </row>
    <row r="2296" spans="2:6" ht="15.75" hidden="1" customHeight="1" x14ac:dyDescent="0.25">
      <c r="B2296" s="13" t="s">
        <v>556</v>
      </c>
      <c r="C2296" s="13" t="s">
        <v>17009</v>
      </c>
      <c r="D2296" s="12" t="s">
        <v>9944</v>
      </c>
      <c r="E2296" s="13" t="s">
        <v>580</v>
      </c>
      <c r="F2296" s="681">
        <v>5.64</v>
      </c>
    </row>
    <row r="2297" spans="2:6" ht="15.75" hidden="1" customHeight="1" x14ac:dyDescent="0.25">
      <c r="B2297" s="13" t="s">
        <v>556</v>
      </c>
      <c r="C2297" s="13" t="s">
        <v>17010</v>
      </c>
      <c r="D2297" s="12" t="s">
        <v>9946</v>
      </c>
      <c r="E2297" s="13" t="s">
        <v>580</v>
      </c>
      <c r="F2297" s="681">
        <v>6.04</v>
      </c>
    </row>
    <row r="2298" spans="2:6" ht="15.75" hidden="1" customHeight="1" x14ac:dyDescent="0.25">
      <c r="B2298" s="13" t="s">
        <v>556</v>
      </c>
      <c r="C2298" s="13" t="s">
        <v>17011</v>
      </c>
      <c r="D2298" s="12" t="s">
        <v>9947</v>
      </c>
      <c r="E2298" s="13" t="s">
        <v>580</v>
      </c>
      <c r="F2298" s="681">
        <v>6.04</v>
      </c>
    </row>
    <row r="2299" spans="2:6" ht="15.75" hidden="1" customHeight="1" x14ac:dyDescent="0.25">
      <c r="B2299" s="13" t="s">
        <v>556</v>
      </c>
      <c r="C2299" s="13" t="s">
        <v>17012</v>
      </c>
      <c r="D2299" s="12" t="s">
        <v>11301</v>
      </c>
      <c r="E2299" s="13" t="s">
        <v>580</v>
      </c>
      <c r="F2299" s="681">
        <v>1.54</v>
      </c>
    </row>
    <row r="2300" spans="2:6" ht="15.75" hidden="1" customHeight="1" x14ac:dyDescent="0.25">
      <c r="B2300" s="13" t="s">
        <v>556</v>
      </c>
      <c r="C2300" s="13" t="s">
        <v>17013</v>
      </c>
      <c r="D2300" s="12" t="s">
        <v>11302</v>
      </c>
      <c r="E2300" s="13" t="s">
        <v>580</v>
      </c>
      <c r="F2300" s="681">
        <v>2.52</v>
      </c>
    </row>
    <row r="2301" spans="2:6" ht="15.75" hidden="1" customHeight="1" x14ac:dyDescent="0.25">
      <c r="B2301" s="13" t="s">
        <v>556</v>
      </c>
      <c r="C2301" s="13" t="s">
        <v>17014</v>
      </c>
      <c r="D2301" s="12" t="s">
        <v>11593</v>
      </c>
      <c r="E2301" s="13" t="s">
        <v>580</v>
      </c>
      <c r="F2301" s="681">
        <v>7.99</v>
      </c>
    </row>
    <row r="2302" spans="2:6" ht="15.75" hidden="1" customHeight="1" x14ac:dyDescent="0.25">
      <c r="B2302" s="13" t="s">
        <v>556</v>
      </c>
      <c r="C2302" s="13" t="s">
        <v>17015</v>
      </c>
      <c r="D2302" s="12" t="s">
        <v>11597</v>
      </c>
      <c r="E2302" s="13" t="s">
        <v>580</v>
      </c>
      <c r="F2302" s="681">
        <v>10.220000000000001</v>
      </c>
    </row>
    <row r="2303" spans="2:6" ht="15.75" hidden="1" customHeight="1" x14ac:dyDescent="0.25">
      <c r="B2303" s="13" t="s">
        <v>556</v>
      </c>
      <c r="C2303" s="13" t="s">
        <v>17016</v>
      </c>
      <c r="D2303" s="12" t="s">
        <v>11602</v>
      </c>
      <c r="E2303" s="13" t="s">
        <v>580</v>
      </c>
      <c r="F2303" s="681">
        <v>16.8</v>
      </c>
    </row>
    <row r="2304" spans="2:6" ht="15.75" hidden="1" customHeight="1" x14ac:dyDescent="0.25">
      <c r="B2304" s="13" t="s">
        <v>556</v>
      </c>
      <c r="C2304" s="13" t="s">
        <v>17017</v>
      </c>
      <c r="D2304" s="12" t="s">
        <v>11604</v>
      </c>
      <c r="E2304" s="13" t="s">
        <v>580</v>
      </c>
      <c r="F2304" s="681">
        <v>32.9</v>
      </c>
    </row>
    <row r="2305" spans="2:6" ht="15.75" hidden="1" customHeight="1" x14ac:dyDescent="0.25">
      <c r="B2305" s="13" t="s">
        <v>556</v>
      </c>
      <c r="C2305" s="13" t="s">
        <v>17018</v>
      </c>
      <c r="D2305" s="12" t="s">
        <v>11600</v>
      </c>
      <c r="E2305" s="13" t="s">
        <v>580</v>
      </c>
      <c r="F2305" s="681">
        <v>11.19</v>
      </c>
    </row>
    <row r="2306" spans="2:6" ht="15.75" hidden="1" customHeight="1" x14ac:dyDescent="0.25">
      <c r="B2306" s="13" t="s">
        <v>556</v>
      </c>
      <c r="C2306" s="13" t="s">
        <v>17019</v>
      </c>
      <c r="D2306" s="12" t="s">
        <v>9285</v>
      </c>
      <c r="E2306" s="13" t="s">
        <v>580</v>
      </c>
      <c r="F2306" s="681">
        <v>18.82</v>
      </c>
    </row>
    <row r="2307" spans="2:6" ht="15.75" hidden="1" customHeight="1" x14ac:dyDescent="0.25">
      <c r="B2307" s="13" t="s">
        <v>556</v>
      </c>
      <c r="C2307" s="13" t="s">
        <v>17020</v>
      </c>
      <c r="D2307" s="12" t="s">
        <v>11827</v>
      </c>
      <c r="E2307" s="13" t="s">
        <v>580</v>
      </c>
      <c r="F2307" s="681">
        <v>48.9</v>
      </c>
    </row>
    <row r="2308" spans="2:6" ht="15.75" hidden="1" customHeight="1" x14ac:dyDescent="0.25">
      <c r="B2308" s="13" t="s">
        <v>556</v>
      </c>
      <c r="C2308" s="13" t="s">
        <v>17021</v>
      </c>
      <c r="D2308" s="12" t="s">
        <v>11829</v>
      </c>
      <c r="E2308" s="13" t="s">
        <v>580</v>
      </c>
      <c r="F2308" s="681">
        <v>78.16</v>
      </c>
    </row>
    <row r="2309" spans="2:6" ht="15.75" hidden="1" customHeight="1" x14ac:dyDescent="0.25">
      <c r="B2309" s="13" t="s">
        <v>556</v>
      </c>
      <c r="C2309" s="13" t="s">
        <v>17022</v>
      </c>
      <c r="D2309" s="12" t="s">
        <v>11831</v>
      </c>
      <c r="E2309" s="13" t="s">
        <v>580</v>
      </c>
      <c r="F2309" s="681">
        <v>30.06</v>
      </c>
    </row>
    <row r="2310" spans="2:6" ht="15.75" hidden="1" customHeight="1" x14ac:dyDescent="0.25">
      <c r="B2310" s="13" t="s">
        <v>556</v>
      </c>
      <c r="C2310" s="13" t="s">
        <v>17023</v>
      </c>
      <c r="D2310" s="12" t="s">
        <v>11833</v>
      </c>
      <c r="E2310" s="13" t="s">
        <v>580</v>
      </c>
      <c r="F2310" s="681">
        <v>33.619999999999997</v>
      </c>
    </row>
    <row r="2311" spans="2:6" ht="15.75" hidden="1" customHeight="1" x14ac:dyDescent="0.25">
      <c r="B2311" s="13" t="s">
        <v>556</v>
      </c>
      <c r="C2311" s="13" t="s">
        <v>17024</v>
      </c>
      <c r="D2311" s="12" t="s">
        <v>10198</v>
      </c>
      <c r="E2311" s="13" t="s">
        <v>580</v>
      </c>
      <c r="F2311" s="681">
        <v>7.02</v>
      </c>
    </row>
    <row r="2312" spans="2:6" ht="15.75" hidden="1" customHeight="1" x14ac:dyDescent="0.25">
      <c r="B2312" s="13" t="s">
        <v>556</v>
      </c>
      <c r="C2312" s="13" t="s">
        <v>17025</v>
      </c>
      <c r="D2312" s="12" t="s">
        <v>10192</v>
      </c>
      <c r="E2312" s="13" t="s">
        <v>580</v>
      </c>
      <c r="F2312" s="681">
        <v>9.14</v>
      </c>
    </row>
    <row r="2313" spans="2:6" ht="15.75" hidden="1" customHeight="1" x14ac:dyDescent="0.25">
      <c r="B2313" s="13" t="s">
        <v>556</v>
      </c>
      <c r="C2313" s="13" t="s">
        <v>17026</v>
      </c>
      <c r="D2313" s="12" t="s">
        <v>10188</v>
      </c>
      <c r="E2313" s="13" t="s">
        <v>580</v>
      </c>
      <c r="F2313" s="681">
        <v>18.190000000000001</v>
      </c>
    </row>
    <row r="2314" spans="2:6" ht="15.75" hidden="1" customHeight="1" x14ac:dyDescent="0.25">
      <c r="B2314" s="13" t="s">
        <v>556</v>
      </c>
      <c r="C2314" s="13" t="s">
        <v>17027</v>
      </c>
      <c r="D2314" s="12" t="s">
        <v>10189</v>
      </c>
      <c r="E2314" s="13" t="s">
        <v>580</v>
      </c>
      <c r="F2314" s="681">
        <v>19.420000000000002</v>
      </c>
    </row>
    <row r="2315" spans="2:6" ht="15.75" hidden="1" customHeight="1" x14ac:dyDescent="0.25">
      <c r="B2315" s="13" t="s">
        <v>556</v>
      </c>
      <c r="C2315" s="13" t="s">
        <v>17028</v>
      </c>
      <c r="D2315" s="12" t="s">
        <v>11105</v>
      </c>
      <c r="E2315" s="13" t="s">
        <v>580</v>
      </c>
      <c r="F2315" s="681">
        <v>5.88</v>
      </c>
    </row>
    <row r="2316" spans="2:6" ht="15.75" hidden="1" customHeight="1" x14ac:dyDescent="0.25">
      <c r="B2316" s="13" t="s">
        <v>556</v>
      </c>
      <c r="C2316" s="13" t="s">
        <v>17029</v>
      </c>
      <c r="D2316" s="12" t="s">
        <v>11107</v>
      </c>
      <c r="E2316" s="13" t="s">
        <v>580</v>
      </c>
      <c r="F2316" s="681">
        <v>10.02</v>
      </c>
    </row>
    <row r="2317" spans="2:6" ht="15.75" hidden="1" customHeight="1" x14ac:dyDescent="0.25">
      <c r="B2317" s="13" t="s">
        <v>556</v>
      </c>
      <c r="C2317" s="13" t="s">
        <v>17030</v>
      </c>
      <c r="D2317" s="12" t="s">
        <v>10645</v>
      </c>
      <c r="E2317" s="13" t="s">
        <v>823</v>
      </c>
      <c r="F2317" s="681">
        <v>126.46</v>
      </c>
    </row>
    <row r="2318" spans="2:6" ht="15.75" hidden="1" customHeight="1" x14ac:dyDescent="0.25">
      <c r="B2318" s="13" t="s">
        <v>556</v>
      </c>
      <c r="C2318" s="13" t="s">
        <v>17031</v>
      </c>
      <c r="D2318" s="12" t="s">
        <v>11566</v>
      </c>
      <c r="E2318" s="13" t="s">
        <v>517</v>
      </c>
      <c r="F2318" s="681">
        <v>24.07</v>
      </c>
    </row>
    <row r="2319" spans="2:6" ht="15.75" hidden="1" customHeight="1" x14ac:dyDescent="0.25">
      <c r="B2319" s="13" t="s">
        <v>556</v>
      </c>
      <c r="C2319" s="13" t="s">
        <v>17032</v>
      </c>
      <c r="D2319" s="12" t="s">
        <v>10076</v>
      </c>
      <c r="E2319" s="13" t="s">
        <v>517</v>
      </c>
      <c r="F2319" s="681">
        <v>20.6</v>
      </c>
    </row>
    <row r="2320" spans="2:6" ht="15.75" hidden="1" customHeight="1" x14ac:dyDescent="0.25">
      <c r="B2320" s="13" t="s">
        <v>556</v>
      </c>
      <c r="C2320" s="13" t="s">
        <v>17033</v>
      </c>
      <c r="D2320" s="12" t="s">
        <v>11255</v>
      </c>
      <c r="E2320" s="13" t="s">
        <v>823</v>
      </c>
      <c r="F2320" s="681">
        <v>72.760000000000005</v>
      </c>
    </row>
    <row r="2321" spans="2:6" ht="15.75" hidden="1" customHeight="1" x14ac:dyDescent="0.25">
      <c r="B2321" s="13" t="s">
        <v>556</v>
      </c>
      <c r="C2321" s="13" t="s">
        <v>17034</v>
      </c>
      <c r="D2321" s="12" t="s">
        <v>9951</v>
      </c>
      <c r="E2321" s="13" t="s">
        <v>580</v>
      </c>
      <c r="F2321" s="681">
        <v>28</v>
      </c>
    </row>
    <row r="2322" spans="2:6" ht="15.75" hidden="1" customHeight="1" x14ac:dyDescent="0.25">
      <c r="B2322" s="13" t="s">
        <v>556</v>
      </c>
      <c r="C2322" s="13" t="s">
        <v>17035</v>
      </c>
      <c r="D2322" s="12" t="s">
        <v>10035</v>
      </c>
      <c r="E2322" s="13" t="s">
        <v>823</v>
      </c>
      <c r="F2322" s="681">
        <v>1.71</v>
      </c>
    </row>
    <row r="2323" spans="2:6" ht="15.75" hidden="1" customHeight="1" x14ac:dyDescent="0.25">
      <c r="B2323" s="13" t="s">
        <v>556</v>
      </c>
      <c r="C2323" s="13" t="s">
        <v>17036</v>
      </c>
      <c r="D2323" s="12" t="s">
        <v>8866</v>
      </c>
      <c r="E2323" s="13" t="s">
        <v>580</v>
      </c>
      <c r="F2323" s="681">
        <v>371.07</v>
      </c>
    </row>
    <row r="2324" spans="2:6" ht="15.75" hidden="1" customHeight="1" x14ac:dyDescent="0.25">
      <c r="B2324" s="13" t="s">
        <v>556</v>
      </c>
      <c r="C2324" s="13" t="s">
        <v>17037</v>
      </c>
      <c r="D2324" s="12" t="s">
        <v>11553</v>
      </c>
      <c r="E2324" s="13" t="s">
        <v>823</v>
      </c>
      <c r="F2324" s="681">
        <v>1</v>
      </c>
    </row>
    <row r="2325" spans="2:6" ht="15.75" hidden="1" customHeight="1" x14ac:dyDescent="0.25">
      <c r="B2325" s="13" t="s">
        <v>556</v>
      </c>
      <c r="C2325" s="13" t="s">
        <v>17038</v>
      </c>
      <c r="D2325" s="12" t="s">
        <v>9677</v>
      </c>
      <c r="E2325" s="13" t="s">
        <v>580</v>
      </c>
      <c r="F2325" s="681">
        <v>4.7300000000000004</v>
      </c>
    </row>
    <row r="2326" spans="2:6" ht="15.75" hidden="1" customHeight="1" x14ac:dyDescent="0.25">
      <c r="B2326" s="13" t="s">
        <v>556</v>
      </c>
      <c r="C2326" s="13" t="s">
        <v>17039</v>
      </c>
      <c r="D2326" s="12" t="s">
        <v>11674</v>
      </c>
      <c r="E2326" s="13" t="s">
        <v>585</v>
      </c>
      <c r="F2326" s="681">
        <v>44.45</v>
      </c>
    </row>
    <row r="2327" spans="2:6" ht="15.75" hidden="1" customHeight="1" x14ac:dyDescent="0.25">
      <c r="B2327" s="13" t="s">
        <v>556</v>
      </c>
      <c r="C2327" s="13" t="s">
        <v>17040</v>
      </c>
      <c r="D2327" s="12" t="s">
        <v>10963</v>
      </c>
      <c r="E2327" s="13" t="s">
        <v>578</v>
      </c>
      <c r="F2327" s="681">
        <v>108.38</v>
      </c>
    </row>
    <row r="2328" spans="2:6" ht="15.75" hidden="1" customHeight="1" x14ac:dyDescent="0.25">
      <c r="B2328" s="13" t="s">
        <v>556</v>
      </c>
      <c r="C2328" s="13" t="s">
        <v>17041</v>
      </c>
      <c r="D2328" s="12" t="s">
        <v>10383</v>
      </c>
      <c r="E2328" s="13" t="s">
        <v>578</v>
      </c>
      <c r="F2328" s="681">
        <v>85.5</v>
      </c>
    </row>
    <row r="2329" spans="2:6" ht="15.75" hidden="1" customHeight="1" x14ac:dyDescent="0.25">
      <c r="B2329" s="13" t="s">
        <v>556</v>
      </c>
      <c r="C2329" s="13" t="s">
        <v>17042</v>
      </c>
      <c r="D2329" s="12" t="s">
        <v>10384</v>
      </c>
      <c r="E2329" s="13" t="s">
        <v>578</v>
      </c>
      <c r="F2329" s="681">
        <v>83.96</v>
      </c>
    </row>
    <row r="2330" spans="2:6" ht="15.75" hidden="1" customHeight="1" x14ac:dyDescent="0.25">
      <c r="B2330" s="13" t="s">
        <v>556</v>
      </c>
      <c r="C2330" s="13" t="s">
        <v>17043</v>
      </c>
      <c r="D2330" s="12" t="s">
        <v>9719</v>
      </c>
      <c r="E2330" s="13" t="s">
        <v>580</v>
      </c>
      <c r="F2330" s="681">
        <v>31.9</v>
      </c>
    </row>
    <row r="2331" spans="2:6" ht="15.75" hidden="1" customHeight="1" x14ac:dyDescent="0.25">
      <c r="B2331" s="13" t="s">
        <v>556</v>
      </c>
      <c r="C2331" s="13" t="s">
        <v>17044</v>
      </c>
      <c r="D2331" s="12" t="s">
        <v>9985</v>
      </c>
      <c r="E2331" s="13" t="s">
        <v>9561</v>
      </c>
      <c r="F2331" s="681">
        <v>103.98</v>
      </c>
    </row>
    <row r="2332" spans="2:6" ht="15.75" hidden="1" customHeight="1" x14ac:dyDescent="0.25">
      <c r="B2332" s="13" t="s">
        <v>556</v>
      </c>
      <c r="C2332" s="13" t="s">
        <v>17045</v>
      </c>
      <c r="D2332" s="12" t="s">
        <v>9986</v>
      </c>
      <c r="E2332" s="13" t="s">
        <v>9561</v>
      </c>
      <c r="F2332" s="681">
        <v>167.73</v>
      </c>
    </row>
    <row r="2333" spans="2:6" ht="15.75" hidden="1" customHeight="1" x14ac:dyDescent="0.25">
      <c r="B2333" s="13" t="s">
        <v>556</v>
      </c>
      <c r="C2333" s="13" t="s">
        <v>17046</v>
      </c>
      <c r="D2333" s="12" t="s">
        <v>9976</v>
      </c>
      <c r="E2333" s="13" t="s">
        <v>9561</v>
      </c>
      <c r="F2333" s="681">
        <v>62.91</v>
      </c>
    </row>
    <row r="2334" spans="2:6" ht="15.75" hidden="1" customHeight="1" x14ac:dyDescent="0.25">
      <c r="B2334" s="13" t="s">
        <v>556</v>
      </c>
      <c r="C2334" s="13" t="s">
        <v>17047</v>
      </c>
      <c r="D2334" s="12" t="s">
        <v>9974</v>
      </c>
      <c r="E2334" s="13" t="s">
        <v>580</v>
      </c>
      <c r="F2334" s="681">
        <v>107.78</v>
      </c>
    </row>
    <row r="2335" spans="2:6" ht="15.75" hidden="1" customHeight="1" x14ac:dyDescent="0.25">
      <c r="B2335" s="13" t="s">
        <v>556</v>
      </c>
      <c r="C2335" s="13" t="s">
        <v>17048</v>
      </c>
      <c r="D2335" s="12" t="s">
        <v>9989</v>
      </c>
      <c r="E2335" s="13" t="s">
        <v>9561</v>
      </c>
      <c r="F2335" s="681">
        <v>68.8</v>
      </c>
    </row>
    <row r="2336" spans="2:6" ht="15.75" hidden="1" customHeight="1" x14ac:dyDescent="0.25">
      <c r="B2336" s="13" t="s">
        <v>556</v>
      </c>
      <c r="C2336" s="13" t="s">
        <v>17049</v>
      </c>
      <c r="D2336" s="12" t="s">
        <v>8990</v>
      </c>
      <c r="E2336" s="13" t="s">
        <v>8838</v>
      </c>
      <c r="F2336" s="681">
        <v>27.18</v>
      </c>
    </row>
    <row r="2337" spans="2:6" ht="15.75" hidden="1" customHeight="1" x14ac:dyDescent="0.25">
      <c r="B2337" s="13" t="s">
        <v>556</v>
      </c>
      <c r="C2337" s="13" t="s">
        <v>17050</v>
      </c>
      <c r="D2337" s="12" t="s">
        <v>11113</v>
      </c>
      <c r="E2337" s="13" t="s">
        <v>580</v>
      </c>
      <c r="F2337" s="681">
        <v>141.26</v>
      </c>
    </row>
    <row r="2338" spans="2:6" ht="15.75" hidden="1" customHeight="1" x14ac:dyDescent="0.25">
      <c r="B2338" s="13" t="s">
        <v>556</v>
      </c>
      <c r="C2338" s="13" t="s">
        <v>17051</v>
      </c>
      <c r="D2338" s="12" t="s">
        <v>9563</v>
      </c>
      <c r="E2338" s="13" t="s">
        <v>9561</v>
      </c>
      <c r="F2338" s="681">
        <v>78.84</v>
      </c>
    </row>
    <row r="2339" spans="2:6" ht="15.75" hidden="1" customHeight="1" x14ac:dyDescent="0.25">
      <c r="B2339" s="13" t="s">
        <v>556</v>
      </c>
      <c r="C2339" s="13" t="s">
        <v>17052</v>
      </c>
      <c r="D2339" s="12" t="s">
        <v>10756</v>
      </c>
      <c r="E2339" s="13" t="s">
        <v>580</v>
      </c>
      <c r="F2339" s="681">
        <v>20.25</v>
      </c>
    </row>
    <row r="2340" spans="2:6" ht="15.75" hidden="1" customHeight="1" x14ac:dyDescent="0.25">
      <c r="B2340" s="13" t="s">
        <v>556</v>
      </c>
      <c r="C2340" s="13" t="s">
        <v>17053</v>
      </c>
      <c r="D2340" s="12" t="s">
        <v>10751</v>
      </c>
      <c r="E2340" s="13" t="s">
        <v>580</v>
      </c>
      <c r="F2340" s="681">
        <v>4.63</v>
      </c>
    </row>
    <row r="2341" spans="2:6" ht="15.75" hidden="1" customHeight="1" x14ac:dyDescent="0.25">
      <c r="B2341" s="13" t="s">
        <v>556</v>
      </c>
      <c r="C2341" s="13" t="s">
        <v>17054</v>
      </c>
      <c r="D2341" s="12" t="s">
        <v>10752</v>
      </c>
      <c r="E2341" s="13" t="s">
        <v>580</v>
      </c>
      <c r="F2341" s="681">
        <v>13.63</v>
      </c>
    </row>
    <row r="2342" spans="2:6" ht="15.75" hidden="1" customHeight="1" x14ac:dyDescent="0.25">
      <c r="B2342" s="13" t="s">
        <v>556</v>
      </c>
      <c r="C2342" s="13" t="s">
        <v>17055</v>
      </c>
      <c r="D2342" s="12" t="s">
        <v>9990</v>
      </c>
      <c r="E2342" s="13" t="s">
        <v>580</v>
      </c>
      <c r="F2342" s="681">
        <v>20.440000000000001</v>
      </c>
    </row>
    <row r="2343" spans="2:6" ht="15.75" hidden="1" customHeight="1" x14ac:dyDescent="0.25">
      <c r="B2343" s="13" t="s">
        <v>556</v>
      </c>
      <c r="C2343" s="13" t="s">
        <v>17056</v>
      </c>
      <c r="D2343" s="12" t="s">
        <v>9994</v>
      </c>
      <c r="E2343" s="13" t="s">
        <v>580</v>
      </c>
      <c r="F2343" s="681">
        <v>22.49</v>
      </c>
    </row>
    <row r="2344" spans="2:6" ht="15.75" hidden="1" customHeight="1" x14ac:dyDescent="0.25">
      <c r="B2344" s="13" t="s">
        <v>556</v>
      </c>
      <c r="C2344" s="13" t="s">
        <v>17057</v>
      </c>
      <c r="D2344" s="12" t="s">
        <v>11225</v>
      </c>
      <c r="E2344" s="13" t="s">
        <v>580</v>
      </c>
      <c r="F2344" s="681">
        <v>46.2</v>
      </c>
    </row>
    <row r="2345" spans="2:6" ht="15.75" hidden="1" customHeight="1" x14ac:dyDescent="0.25">
      <c r="B2345" s="13" t="s">
        <v>556</v>
      </c>
      <c r="C2345" s="13" t="s">
        <v>17058</v>
      </c>
      <c r="D2345" s="12" t="s">
        <v>10962</v>
      </c>
      <c r="E2345" s="13" t="s">
        <v>578</v>
      </c>
      <c r="F2345" s="681">
        <v>173.09</v>
      </c>
    </row>
    <row r="2346" spans="2:6" ht="15.75" hidden="1" customHeight="1" x14ac:dyDescent="0.25">
      <c r="B2346" s="13" t="s">
        <v>556</v>
      </c>
      <c r="C2346" s="13" t="s">
        <v>17059</v>
      </c>
      <c r="D2346" s="12" t="s">
        <v>10965</v>
      </c>
      <c r="E2346" s="13" t="s">
        <v>578</v>
      </c>
      <c r="F2346" s="681">
        <v>236.29</v>
      </c>
    </row>
    <row r="2347" spans="2:6" ht="15.75" hidden="1" customHeight="1" x14ac:dyDescent="0.25">
      <c r="B2347" s="13" t="s">
        <v>556</v>
      </c>
      <c r="C2347" s="13" t="s">
        <v>17060</v>
      </c>
      <c r="D2347" s="12" t="s">
        <v>10966</v>
      </c>
      <c r="E2347" s="13" t="s">
        <v>578</v>
      </c>
      <c r="F2347" s="681">
        <v>225.08</v>
      </c>
    </row>
    <row r="2348" spans="2:6" ht="15.75" hidden="1" customHeight="1" x14ac:dyDescent="0.25">
      <c r="B2348" s="13" t="s">
        <v>556</v>
      </c>
      <c r="C2348" s="13" t="s">
        <v>17061</v>
      </c>
      <c r="D2348" s="12" t="s">
        <v>10968</v>
      </c>
      <c r="E2348" s="13" t="s">
        <v>578</v>
      </c>
      <c r="F2348" s="681">
        <v>520.9</v>
      </c>
    </row>
    <row r="2349" spans="2:6" ht="15.75" hidden="1" customHeight="1" x14ac:dyDescent="0.25">
      <c r="B2349" s="13" t="s">
        <v>556</v>
      </c>
      <c r="C2349" s="13" t="s">
        <v>17062</v>
      </c>
      <c r="D2349" s="12" t="s">
        <v>10967</v>
      </c>
      <c r="E2349" s="13" t="s">
        <v>578</v>
      </c>
      <c r="F2349" s="681">
        <v>585.04999999999995</v>
      </c>
    </row>
    <row r="2350" spans="2:6" ht="15.75" hidden="1" customHeight="1" x14ac:dyDescent="0.25">
      <c r="B2350" s="13" t="s">
        <v>556</v>
      </c>
      <c r="C2350" s="13" t="s">
        <v>17063</v>
      </c>
      <c r="D2350" s="12" t="s">
        <v>9798</v>
      </c>
      <c r="E2350" s="13" t="s">
        <v>580</v>
      </c>
      <c r="F2350" s="681">
        <v>144.65</v>
      </c>
    </row>
    <row r="2351" spans="2:6" ht="15.75" hidden="1" customHeight="1" x14ac:dyDescent="0.25">
      <c r="B2351" s="13" t="s">
        <v>556</v>
      </c>
      <c r="C2351" s="13" t="s">
        <v>17064</v>
      </c>
      <c r="D2351" s="12" t="s">
        <v>9799</v>
      </c>
      <c r="E2351" s="13" t="s">
        <v>580</v>
      </c>
      <c r="F2351" s="681">
        <v>304.73</v>
      </c>
    </row>
    <row r="2352" spans="2:6" ht="15.75" hidden="1" customHeight="1" x14ac:dyDescent="0.25">
      <c r="B2352" s="13" t="s">
        <v>556</v>
      </c>
      <c r="C2352" s="13" t="s">
        <v>17065</v>
      </c>
      <c r="D2352" s="12" t="s">
        <v>10399</v>
      </c>
      <c r="E2352" s="13" t="s">
        <v>580</v>
      </c>
      <c r="F2352" s="681">
        <v>4.25</v>
      </c>
    </row>
    <row r="2353" spans="2:6" ht="15.75" hidden="1" customHeight="1" x14ac:dyDescent="0.25">
      <c r="B2353" s="13" t="s">
        <v>556</v>
      </c>
      <c r="C2353" s="13" t="s">
        <v>17066</v>
      </c>
      <c r="D2353" s="12" t="s">
        <v>10398</v>
      </c>
      <c r="E2353" s="13" t="s">
        <v>580</v>
      </c>
      <c r="F2353" s="681">
        <v>4.9000000000000004</v>
      </c>
    </row>
    <row r="2354" spans="2:6" ht="15.75" hidden="1" customHeight="1" x14ac:dyDescent="0.25">
      <c r="B2354" s="13" t="s">
        <v>556</v>
      </c>
      <c r="C2354" s="13" t="s">
        <v>17067</v>
      </c>
      <c r="D2354" s="12" t="s">
        <v>11536</v>
      </c>
      <c r="E2354" s="13" t="s">
        <v>580</v>
      </c>
      <c r="F2354" s="681">
        <v>26.49</v>
      </c>
    </row>
    <row r="2355" spans="2:6" ht="15.75" hidden="1" customHeight="1" x14ac:dyDescent="0.25">
      <c r="B2355" s="13" t="s">
        <v>556</v>
      </c>
      <c r="C2355" s="13" t="s">
        <v>17068</v>
      </c>
      <c r="D2355" s="12" t="s">
        <v>9587</v>
      </c>
      <c r="E2355" s="13" t="s">
        <v>9588</v>
      </c>
      <c r="F2355" s="681">
        <v>640.24</v>
      </c>
    </row>
    <row r="2356" spans="2:6" ht="15.75" hidden="1" customHeight="1" x14ac:dyDescent="0.25">
      <c r="B2356" s="13" t="s">
        <v>556</v>
      </c>
      <c r="C2356" s="13" t="s">
        <v>17069</v>
      </c>
      <c r="D2356" s="12" t="s">
        <v>17070</v>
      </c>
      <c r="E2356" s="13" t="s">
        <v>580</v>
      </c>
      <c r="F2356" s="681">
        <v>16.190000000000001</v>
      </c>
    </row>
    <row r="2357" spans="2:6" ht="15.75" hidden="1" customHeight="1" x14ac:dyDescent="0.25">
      <c r="B2357" s="13" t="s">
        <v>556</v>
      </c>
      <c r="C2357" s="13" t="s">
        <v>17071</v>
      </c>
      <c r="D2357" s="12" t="s">
        <v>17072</v>
      </c>
      <c r="E2357" s="13" t="s">
        <v>580</v>
      </c>
      <c r="F2357" s="681">
        <v>56.29</v>
      </c>
    </row>
    <row r="2358" spans="2:6" ht="15.75" hidden="1" customHeight="1" x14ac:dyDescent="0.25">
      <c r="B2358" s="13" t="s">
        <v>556</v>
      </c>
      <c r="C2358" s="13" t="s">
        <v>17073</v>
      </c>
      <c r="D2358" s="12" t="s">
        <v>17074</v>
      </c>
      <c r="E2358" s="13" t="s">
        <v>580</v>
      </c>
      <c r="F2358" s="681">
        <v>35.369999999999997</v>
      </c>
    </row>
    <row r="2359" spans="2:6" ht="15.75" hidden="1" customHeight="1" x14ac:dyDescent="0.25">
      <c r="B2359" s="13" t="s">
        <v>556</v>
      </c>
      <c r="C2359" s="13" t="s">
        <v>17075</v>
      </c>
      <c r="D2359" s="12" t="s">
        <v>10482</v>
      </c>
      <c r="E2359" s="13" t="s">
        <v>580</v>
      </c>
      <c r="F2359" s="681">
        <v>211.55</v>
      </c>
    </row>
    <row r="2360" spans="2:6" ht="15.75" hidden="1" customHeight="1" x14ac:dyDescent="0.25">
      <c r="B2360" s="13" t="s">
        <v>556</v>
      </c>
      <c r="C2360" s="13" t="s">
        <v>17076</v>
      </c>
      <c r="D2360" s="12" t="s">
        <v>8824</v>
      </c>
      <c r="E2360" s="13" t="s">
        <v>580</v>
      </c>
      <c r="F2360" s="681">
        <v>1048.21</v>
      </c>
    </row>
    <row r="2361" spans="2:6" ht="15.75" hidden="1" customHeight="1" x14ac:dyDescent="0.25">
      <c r="B2361" s="13" t="s">
        <v>556</v>
      </c>
      <c r="C2361" s="13" t="s">
        <v>17077</v>
      </c>
      <c r="D2361" s="12" t="s">
        <v>9282</v>
      </c>
      <c r="E2361" s="13" t="s">
        <v>578</v>
      </c>
      <c r="F2361" s="681">
        <v>2.2200000000000002</v>
      </c>
    </row>
    <row r="2362" spans="2:6" ht="15.75" hidden="1" customHeight="1" x14ac:dyDescent="0.25">
      <c r="B2362" s="13" t="s">
        <v>556</v>
      </c>
      <c r="C2362" s="13" t="s">
        <v>17078</v>
      </c>
      <c r="D2362" s="12" t="s">
        <v>10800</v>
      </c>
      <c r="E2362" s="13" t="s">
        <v>578</v>
      </c>
      <c r="F2362" s="681">
        <v>5.88</v>
      </c>
    </row>
    <row r="2363" spans="2:6" ht="15.75" hidden="1" customHeight="1" x14ac:dyDescent="0.25">
      <c r="B2363" s="13" t="s">
        <v>556</v>
      </c>
      <c r="C2363" s="13" t="s">
        <v>17079</v>
      </c>
      <c r="D2363" s="12" t="s">
        <v>9939</v>
      </c>
      <c r="E2363" s="13" t="s">
        <v>580</v>
      </c>
      <c r="F2363" s="681">
        <v>20.61</v>
      </c>
    </row>
    <row r="2364" spans="2:6" ht="15.75" hidden="1" customHeight="1" x14ac:dyDescent="0.25">
      <c r="B2364" s="13" t="s">
        <v>556</v>
      </c>
      <c r="C2364" s="13" t="s">
        <v>17080</v>
      </c>
      <c r="D2364" s="12" t="s">
        <v>9938</v>
      </c>
      <c r="E2364" s="13" t="s">
        <v>580</v>
      </c>
      <c r="F2364" s="681">
        <v>9.4</v>
      </c>
    </row>
    <row r="2365" spans="2:6" ht="15.75" hidden="1" customHeight="1" x14ac:dyDescent="0.25">
      <c r="B2365" s="13" t="s">
        <v>556</v>
      </c>
      <c r="C2365" s="13" t="s">
        <v>17081</v>
      </c>
      <c r="D2365" s="12" t="s">
        <v>9704</v>
      </c>
      <c r="E2365" s="13" t="s">
        <v>580</v>
      </c>
      <c r="F2365" s="681">
        <v>20.62</v>
      </c>
    </row>
    <row r="2366" spans="2:6" ht="15.75" hidden="1" customHeight="1" x14ac:dyDescent="0.25">
      <c r="B2366" s="13" t="s">
        <v>556</v>
      </c>
      <c r="C2366" s="13" t="s">
        <v>17082</v>
      </c>
      <c r="D2366" s="12" t="s">
        <v>17083</v>
      </c>
      <c r="E2366" s="13" t="s">
        <v>580</v>
      </c>
      <c r="F2366" s="681">
        <v>48.87</v>
      </c>
    </row>
    <row r="2367" spans="2:6" ht="15.75" hidden="1" customHeight="1" x14ac:dyDescent="0.25">
      <c r="B2367" s="13" t="s">
        <v>556</v>
      </c>
      <c r="C2367" s="13" t="s">
        <v>17084</v>
      </c>
      <c r="D2367" s="12" t="s">
        <v>9705</v>
      </c>
      <c r="E2367" s="13" t="s">
        <v>580</v>
      </c>
      <c r="F2367" s="681">
        <v>20.62</v>
      </c>
    </row>
    <row r="2368" spans="2:6" ht="15.75" hidden="1" customHeight="1" x14ac:dyDescent="0.25">
      <c r="B2368" s="13" t="s">
        <v>556</v>
      </c>
      <c r="C2368" s="13" t="s">
        <v>17085</v>
      </c>
      <c r="D2368" s="12" t="s">
        <v>9706</v>
      </c>
      <c r="E2368" s="13" t="s">
        <v>580</v>
      </c>
      <c r="F2368" s="681">
        <v>24.17</v>
      </c>
    </row>
    <row r="2369" spans="2:6" ht="15.75" hidden="1" customHeight="1" x14ac:dyDescent="0.25">
      <c r="B2369" s="13" t="s">
        <v>556</v>
      </c>
      <c r="C2369" s="13" t="s">
        <v>17086</v>
      </c>
      <c r="D2369" s="12" t="s">
        <v>9209</v>
      </c>
      <c r="E2369" s="13" t="s">
        <v>580</v>
      </c>
      <c r="F2369" s="681">
        <v>1082.92</v>
      </c>
    </row>
    <row r="2370" spans="2:6" ht="15.75" hidden="1" customHeight="1" x14ac:dyDescent="0.25">
      <c r="B2370" s="13" t="s">
        <v>556</v>
      </c>
      <c r="C2370" s="13" t="s">
        <v>17087</v>
      </c>
      <c r="D2370" s="12" t="s">
        <v>11104</v>
      </c>
      <c r="E2370" s="13" t="s">
        <v>580</v>
      </c>
      <c r="F2370" s="681">
        <v>47.22</v>
      </c>
    </row>
    <row r="2371" spans="2:6" ht="15.75" hidden="1" customHeight="1" x14ac:dyDescent="0.25">
      <c r="B2371" s="13" t="s">
        <v>556</v>
      </c>
      <c r="C2371" s="13" t="s">
        <v>17088</v>
      </c>
      <c r="D2371" s="12" t="s">
        <v>11103</v>
      </c>
      <c r="E2371" s="13" t="s">
        <v>580</v>
      </c>
      <c r="F2371" s="681">
        <v>41.41</v>
      </c>
    </row>
    <row r="2372" spans="2:6" ht="15.75" hidden="1" customHeight="1" x14ac:dyDescent="0.25">
      <c r="B2372" s="13" t="s">
        <v>556</v>
      </c>
      <c r="C2372" s="13" t="s">
        <v>17089</v>
      </c>
      <c r="D2372" s="12" t="s">
        <v>11198</v>
      </c>
      <c r="E2372" s="13" t="s">
        <v>585</v>
      </c>
      <c r="F2372" s="681">
        <v>55.4</v>
      </c>
    </row>
    <row r="2373" spans="2:6" ht="15.75" hidden="1" customHeight="1" x14ac:dyDescent="0.25">
      <c r="B2373" s="13" t="s">
        <v>556</v>
      </c>
      <c r="C2373" s="13" t="s">
        <v>17090</v>
      </c>
      <c r="D2373" s="12" t="s">
        <v>17091</v>
      </c>
      <c r="E2373" s="13" t="s">
        <v>580</v>
      </c>
      <c r="F2373" s="681">
        <v>125.21</v>
      </c>
    </row>
    <row r="2374" spans="2:6" ht="15.75" hidden="1" customHeight="1" x14ac:dyDescent="0.25">
      <c r="B2374" s="13" t="s">
        <v>556</v>
      </c>
      <c r="C2374" s="13" t="s">
        <v>17092</v>
      </c>
      <c r="D2374" s="12" t="s">
        <v>9952</v>
      </c>
      <c r="E2374" s="13" t="s">
        <v>580</v>
      </c>
      <c r="F2374" s="681">
        <v>32.74</v>
      </c>
    </row>
    <row r="2375" spans="2:6" ht="15.75" hidden="1" customHeight="1" x14ac:dyDescent="0.25">
      <c r="B2375" s="13" t="s">
        <v>556</v>
      </c>
      <c r="C2375" s="13" t="s">
        <v>17093</v>
      </c>
      <c r="D2375" s="12" t="s">
        <v>8836</v>
      </c>
      <c r="E2375" s="13" t="s">
        <v>580</v>
      </c>
      <c r="F2375" s="681">
        <v>11.93</v>
      </c>
    </row>
    <row r="2376" spans="2:6" ht="15.75" hidden="1" customHeight="1" x14ac:dyDescent="0.25">
      <c r="B2376" s="13" t="s">
        <v>556</v>
      </c>
      <c r="C2376" s="13" t="s">
        <v>17094</v>
      </c>
      <c r="D2376" s="12" t="s">
        <v>10418</v>
      </c>
      <c r="E2376" s="13" t="s">
        <v>580</v>
      </c>
      <c r="F2376" s="681">
        <v>13.98</v>
      </c>
    </row>
    <row r="2377" spans="2:6" ht="15.75" hidden="1" customHeight="1" x14ac:dyDescent="0.25">
      <c r="B2377" s="13" t="s">
        <v>556</v>
      </c>
      <c r="C2377" s="13" t="s">
        <v>17095</v>
      </c>
      <c r="D2377" s="12" t="s">
        <v>10419</v>
      </c>
      <c r="E2377" s="13" t="s">
        <v>580</v>
      </c>
      <c r="F2377" s="681">
        <v>2.62</v>
      </c>
    </row>
    <row r="2378" spans="2:6" ht="15.75" hidden="1" customHeight="1" x14ac:dyDescent="0.25">
      <c r="B2378" s="13" t="s">
        <v>556</v>
      </c>
      <c r="C2378" s="13" t="s">
        <v>17096</v>
      </c>
      <c r="D2378" s="12" t="s">
        <v>9953</v>
      </c>
      <c r="E2378" s="13" t="s">
        <v>580</v>
      </c>
      <c r="F2378" s="681">
        <v>24.35</v>
      </c>
    </row>
    <row r="2379" spans="2:6" ht="15.75" hidden="1" customHeight="1" x14ac:dyDescent="0.25">
      <c r="B2379" s="13" t="s">
        <v>556</v>
      </c>
      <c r="C2379" s="13" t="s">
        <v>17097</v>
      </c>
      <c r="D2379" s="12" t="s">
        <v>10702</v>
      </c>
      <c r="E2379" s="13" t="s">
        <v>580</v>
      </c>
      <c r="F2379" s="681">
        <v>57.31</v>
      </c>
    </row>
    <row r="2380" spans="2:6" ht="15.75" hidden="1" customHeight="1" x14ac:dyDescent="0.25">
      <c r="B2380" s="13" t="s">
        <v>556</v>
      </c>
      <c r="C2380" s="13" t="s">
        <v>17098</v>
      </c>
      <c r="D2380" s="12" t="s">
        <v>11658</v>
      </c>
      <c r="E2380" s="13" t="s">
        <v>580</v>
      </c>
      <c r="F2380" s="681">
        <v>6.15</v>
      </c>
    </row>
    <row r="2381" spans="2:6" ht="15.75" hidden="1" customHeight="1" x14ac:dyDescent="0.25">
      <c r="B2381" s="13" t="s">
        <v>556</v>
      </c>
      <c r="C2381" s="13" t="s">
        <v>17099</v>
      </c>
      <c r="D2381" s="12" t="s">
        <v>17100</v>
      </c>
      <c r="E2381" s="13" t="s">
        <v>580</v>
      </c>
      <c r="F2381" s="681">
        <v>406.81</v>
      </c>
    </row>
    <row r="2382" spans="2:6" ht="15.75" hidden="1" customHeight="1" x14ac:dyDescent="0.25">
      <c r="B2382" s="13" t="s">
        <v>556</v>
      </c>
      <c r="C2382" s="13" t="s">
        <v>17101</v>
      </c>
      <c r="D2382" s="12" t="s">
        <v>11228</v>
      </c>
      <c r="E2382" s="13" t="s">
        <v>580</v>
      </c>
      <c r="F2382" s="681">
        <v>42.14</v>
      </c>
    </row>
    <row r="2383" spans="2:6" ht="15.75" hidden="1" customHeight="1" x14ac:dyDescent="0.25">
      <c r="B2383" s="13" t="s">
        <v>556</v>
      </c>
      <c r="C2383" s="13" t="s">
        <v>17102</v>
      </c>
      <c r="D2383" s="12" t="s">
        <v>11096</v>
      </c>
      <c r="E2383" s="13" t="s">
        <v>580</v>
      </c>
      <c r="F2383" s="681">
        <v>67.83</v>
      </c>
    </row>
    <row r="2384" spans="2:6" ht="15.75" hidden="1" customHeight="1" x14ac:dyDescent="0.25">
      <c r="B2384" s="13" t="s">
        <v>556</v>
      </c>
      <c r="C2384" s="13" t="s">
        <v>17103</v>
      </c>
      <c r="D2384" s="12" t="s">
        <v>11227</v>
      </c>
      <c r="E2384" s="13" t="s">
        <v>580</v>
      </c>
      <c r="F2384" s="681">
        <v>19</v>
      </c>
    </row>
    <row r="2385" spans="2:6" ht="15.75" hidden="1" customHeight="1" x14ac:dyDescent="0.25">
      <c r="B2385" s="13" t="s">
        <v>556</v>
      </c>
      <c r="C2385" s="13" t="s">
        <v>17104</v>
      </c>
      <c r="D2385" s="12" t="s">
        <v>10357</v>
      </c>
      <c r="E2385" s="13" t="s">
        <v>580</v>
      </c>
      <c r="F2385" s="681">
        <v>384.27</v>
      </c>
    </row>
    <row r="2386" spans="2:6" ht="15.75" hidden="1" customHeight="1" x14ac:dyDescent="0.25">
      <c r="B2386" s="13" t="s">
        <v>556</v>
      </c>
      <c r="C2386" s="13" t="s">
        <v>17105</v>
      </c>
      <c r="D2386" s="12" t="s">
        <v>8928</v>
      </c>
      <c r="E2386" s="13" t="s">
        <v>580</v>
      </c>
      <c r="F2386" s="681">
        <v>9.9700000000000006</v>
      </c>
    </row>
    <row r="2387" spans="2:6" ht="15.75" hidden="1" customHeight="1" x14ac:dyDescent="0.25">
      <c r="B2387" s="13" t="s">
        <v>556</v>
      </c>
      <c r="C2387" s="13" t="s">
        <v>17106</v>
      </c>
      <c r="D2387" s="12" t="s">
        <v>11248</v>
      </c>
      <c r="E2387" s="13" t="s">
        <v>580</v>
      </c>
      <c r="F2387" s="681">
        <v>744.5</v>
      </c>
    </row>
    <row r="2388" spans="2:6" ht="15.75" hidden="1" customHeight="1" x14ac:dyDescent="0.25">
      <c r="B2388" s="13" t="s">
        <v>556</v>
      </c>
      <c r="C2388" s="13" t="s">
        <v>17107</v>
      </c>
      <c r="D2388" s="12" t="s">
        <v>8959</v>
      </c>
      <c r="E2388" s="13" t="s">
        <v>580</v>
      </c>
      <c r="F2388" s="681">
        <v>254.56</v>
      </c>
    </row>
    <row r="2389" spans="2:6" ht="15.75" hidden="1" customHeight="1" x14ac:dyDescent="0.25">
      <c r="B2389" s="13" t="s">
        <v>556</v>
      </c>
      <c r="C2389" s="13" t="s">
        <v>17108</v>
      </c>
      <c r="D2389" s="12" t="s">
        <v>17109</v>
      </c>
      <c r="E2389" s="13" t="s">
        <v>580</v>
      </c>
      <c r="F2389" s="681">
        <v>56.73</v>
      </c>
    </row>
    <row r="2390" spans="2:6" ht="15.75" hidden="1" customHeight="1" x14ac:dyDescent="0.25">
      <c r="B2390" s="13" t="s">
        <v>556</v>
      </c>
      <c r="C2390" s="13" t="s">
        <v>17110</v>
      </c>
      <c r="D2390" s="12" t="s">
        <v>11835</v>
      </c>
      <c r="E2390" s="13" t="s">
        <v>580</v>
      </c>
      <c r="F2390" s="681">
        <v>14.35</v>
      </c>
    </row>
    <row r="2391" spans="2:6" ht="15.75" hidden="1" customHeight="1" x14ac:dyDescent="0.25">
      <c r="B2391" s="13" t="s">
        <v>556</v>
      </c>
      <c r="C2391" s="13" t="s">
        <v>17111</v>
      </c>
      <c r="D2391" s="12" t="s">
        <v>11223</v>
      </c>
      <c r="E2391" s="13" t="s">
        <v>580</v>
      </c>
      <c r="F2391" s="681">
        <v>10.25</v>
      </c>
    </row>
    <row r="2392" spans="2:6" ht="15.75" hidden="1" customHeight="1" x14ac:dyDescent="0.25">
      <c r="B2392" s="13" t="s">
        <v>556</v>
      </c>
      <c r="C2392" s="13" t="s">
        <v>17112</v>
      </c>
      <c r="D2392" s="12" t="s">
        <v>10796</v>
      </c>
      <c r="E2392" s="13" t="s">
        <v>580</v>
      </c>
      <c r="F2392" s="681">
        <v>8.61</v>
      </c>
    </row>
    <row r="2393" spans="2:6" ht="15.75" hidden="1" customHeight="1" x14ac:dyDescent="0.25">
      <c r="B2393" s="13" t="s">
        <v>556</v>
      </c>
      <c r="C2393" s="13" t="s">
        <v>17113</v>
      </c>
      <c r="D2393" s="12" t="s">
        <v>9891</v>
      </c>
      <c r="E2393" s="13" t="s">
        <v>580</v>
      </c>
      <c r="F2393" s="681">
        <v>51.03</v>
      </c>
    </row>
    <row r="2394" spans="2:6" ht="15.75" hidden="1" customHeight="1" x14ac:dyDescent="0.25">
      <c r="B2394" s="13" t="s">
        <v>556</v>
      </c>
      <c r="C2394" s="13" t="s">
        <v>17114</v>
      </c>
      <c r="D2394" s="12" t="s">
        <v>9415</v>
      </c>
      <c r="E2394" s="13" t="s">
        <v>664</v>
      </c>
      <c r="F2394" s="681">
        <v>435.04</v>
      </c>
    </row>
    <row r="2395" spans="2:6" ht="15.75" hidden="1" customHeight="1" x14ac:dyDescent="0.25">
      <c r="B2395" s="13" t="s">
        <v>556</v>
      </c>
      <c r="C2395" s="13" t="s">
        <v>17115</v>
      </c>
      <c r="D2395" s="12" t="s">
        <v>9420</v>
      </c>
      <c r="E2395" s="13" t="s">
        <v>664</v>
      </c>
      <c r="F2395" s="681">
        <v>448.45</v>
      </c>
    </row>
    <row r="2396" spans="2:6" ht="15.75" hidden="1" customHeight="1" x14ac:dyDescent="0.25">
      <c r="B2396" s="13" t="s">
        <v>556</v>
      </c>
      <c r="C2396" s="13" t="s">
        <v>17116</v>
      </c>
      <c r="D2396" s="12" t="s">
        <v>9424</v>
      </c>
      <c r="E2396" s="13" t="s">
        <v>664</v>
      </c>
      <c r="F2396" s="681">
        <v>473.54</v>
      </c>
    </row>
    <row r="2397" spans="2:6" ht="15.75" hidden="1" customHeight="1" x14ac:dyDescent="0.25">
      <c r="B2397" s="13" t="s">
        <v>556</v>
      </c>
      <c r="C2397" s="13" t="s">
        <v>17117</v>
      </c>
      <c r="D2397" s="12" t="s">
        <v>9421</v>
      </c>
      <c r="E2397" s="13" t="s">
        <v>664</v>
      </c>
      <c r="F2397" s="681">
        <v>496.39</v>
      </c>
    </row>
    <row r="2398" spans="2:6" ht="15.75" hidden="1" customHeight="1" x14ac:dyDescent="0.25">
      <c r="B2398" s="13" t="s">
        <v>556</v>
      </c>
      <c r="C2398" s="13" t="s">
        <v>17118</v>
      </c>
      <c r="D2398" s="12" t="s">
        <v>9425</v>
      </c>
      <c r="E2398" s="13" t="s">
        <v>664</v>
      </c>
      <c r="F2398" s="681">
        <v>499.78</v>
      </c>
    </row>
    <row r="2399" spans="2:6" ht="15.75" hidden="1" customHeight="1" x14ac:dyDescent="0.25">
      <c r="B2399" s="13" t="s">
        <v>14150</v>
      </c>
      <c r="C2399" s="13" t="s">
        <v>17119</v>
      </c>
      <c r="D2399" s="12" t="s">
        <v>10894</v>
      </c>
      <c r="E2399" s="13" t="s">
        <v>580</v>
      </c>
      <c r="F2399" s="681">
        <v>14378.83</v>
      </c>
    </row>
    <row r="2400" spans="2:6" ht="15.75" hidden="1" customHeight="1" x14ac:dyDescent="0.25">
      <c r="B2400" s="13" t="s">
        <v>14150</v>
      </c>
      <c r="C2400" s="13" t="s">
        <v>17120</v>
      </c>
      <c r="D2400" s="12" t="s">
        <v>9797</v>
      </c>
      <c r="E2400" s="13" t="s">
        <v>580</v>
      </c>
      <c r="F2400" s="681">
        <v>1623.41</v>
      </c>
    </row>
    <row r="2401" spans="2:6" ht="15.75" hidden="1" customHeight="1" x14ac:dyDescent="0.25">
      <c r="B2401" s="13" t="s">
        <v>14150</v>
      </c>
      <c r="C2401" s="13" t="s">
        <v>17121</v>
      </c>
      <c r="D2401" s="12" t="s">
        <v>10209</v>
      </c>
      <c r="E2401" s="13" t="s">
        <v>580</v>
      </c>
      <c r="F2401" s="681">
        <v>900</v>
      </c>
    </row>
    <row r="2402" spans="2:6" ht="15.75" hidden="1" customHeight="1" x14ac:dyDescent="0.25">
      <c r="B2402" s="13" t="s">
        <v>14150</v>
      </c>
      <c r="C2402" s="13" t="s">
        <v>17122</v>
      </c>
      <c r="D2402" s="12" t="s">
        <v>10423</v>
      </c>
      <c r="E2402" s="13" t="s">
        <v>580</v>
      </c>
      <c r="F2402" s="681">
        <v>886.65</v>
      </c>
    </row>
    <row r="2403" spans="2:6" ht="15.75" hidden="1" customHeight="1" x14ac:dyDescent="0.25">
      <c r="B2403" s="13" t="s">
        <v>14150</v>
      </c>
      <c r="C2403" s="13" t="s">
        <v>17123</v>
      </c>
      <c r="D2403" s="12" t="s">
        <v>11552</v>
      </c>
      <c r="E2403" s="13" t="s">
        <v>580</v>
      </c>
      <c r="F2403" s="681">
        <v>1346.81</v>
      </c>
    </row>
    <row r="2404" spans="2:6" ht="15.75" hidden="1" customHeight="1" x14ac:dyDescent="0.25">
      <c r="B2404" s="13" t="s">
        <v>14150</v>
      </c>
      <c r="C2404" s="13" t="s">
        <v>17124</v>
      </c>
      <c r="D2404" s="12" t="s">
        <v>11551</v>
      </c>
      <c r="E2404" s="13" t="s">
        <v>580</v>
      </c>
      <c r="F2404" s="681">
        <v>959.6</v>
      </c>
    </row>
    <row r="2405" spans="2:6" ht="15.75" hidden="1" customHeight="1" x14ac:dyDescent="0.25">
      <c r="B2405" s="13" t="s">
        <v>556</v>
      </c>
      <c r="C2405" s="13" t="s">
        <v>17125</v>
      </c>
      <c r="D2405" s="12" t="s">
        <v>9060</v>
      </c>
      <c r="E2405" s="13" t="s">
        <v>580</v>
      </c>
      <c r="F2405" s="681">
        <v>5.68</v>
      </c>
    </row>
    <row r="2406" spans="2:6" ht="15.75" hidden="1" customHeight="1" x14ac:dyDescent="0.25">
      <c r="B2406" s="13" t="s">
        <v>556</v>
      </c>
      <c r="C2406" s="13" t="s">
        <v>17126</v>
      </c>
      <c r="D2406" s="12" t="s">
        <v>9674</v>
      </c>
      <c r="E2406" s="13" t="s">
        <v>580</v>
      </c>
      <c r="F2406" s="681">
        <v>37.950000000000003</v>
      </c>
    </row>
    <row r="2407" spans="2:6" ht="15.75" hidden="1" customHeight="1" x14ac:dyDescent="0.25">
      <c r="B2407" s="13" t="s">
        <v>556</v>
      </c>
      <c r="C2407" s="13" t="s">
        <v>17127</v>
      </c>
      <c r="D2407" s="12" t="s">
        <v>9553</v>
      </c>
      <c r="E2407" s="13" t="s">
        <v>580</v>
      </c>
      <c r="F2407" s="681">
        <v>23.23</v>
      </c>
    </row>
    <row r="2408" spans="2:6" ht="15.75" hidden="1" customHeight="1" x14ac:dyDescent="0.25">
      <c r="B2408" s="13" t="s">
        <v>556</v>
      </c>
      <c r="C2408" s="13" t="s">
        <v>17128</v>
      </c>
      <c r="D2408" s="12" t="s">
        <v>10259</v>
      </c>
      <c r="E2408" s="13" t="s">
        <v>580</v>
      </c>
      <c r="F2408" s="681">
        <v>12.52</v>
      </c>
    </row>
    <row r="2409" spans="2:6" ht="15.75" hidden="1" customHeight="1" x14ac:dyDescent="0.25">
      <c r="B2409" s="13" t="s">
        <v>556</v>
      </c>
      <c r="C2409" s="13" t="s">
        <v>17129</v>
      </c>
      <c r="D2409" s="12" t="s">
        <v>17130</v>
      </c>
      <c r="E2409" s="13" t="s">
        <v>580</v>
      </c>
      <c r="F2409" s="681">
        <v>558.36</v>
      </c>
    </row>
    <row r="2410" spans="2:6" ht="15.75" hidden="1" customHeight="1" x14ac:dyDescent="0.25">
      <c r="B2410" s="13" t="s">
        <v>556</v>
      </c>
      <c r="C2410" s="13" t="s">
        <v>17131</v>
      </c>
      <c r="D2410" s="12" t="s">
        <v>10261</v>
      </c>
      <c r="E2410" s="13" t="s">
        <v>580</v>
      </c>
      <c r="F2410" s="681">
        <v>24.35</v>
      </c>
    </row>
    <row r="2411" spans="2:6" ht="15.75" hidden="1" customHeight="1" x14ac:dyDescent="0.25">
      <c r="B2411" s="13" t="s">
        <v>556</v>
      </c>
      <c r="C2411" s="13" t="s">
        <v>17132</v>
      </c>
      <c r="D2411" s="12" t="s">
        <v>10260</v>
      </c>
      <c r="E2411" s="13" t="s">
        <v>580</v>
      </c>
      <c r="F2411" s="681">
        <v>15.71</v>
      </c>
    </row>
    <row r="2412" spans="2:6" ht="15.75" hidden="1" customHeight="1" x14ac:dyDescent="0.25">
      <c r="B2412" s="13" t="s">
        <v>556</v>
      </c>
      <c r="C2412" s="13" t="s">
        <v>17133</v>
      </c>
      <c r="D2412" s="12" t="s">
        <v>10269</v>
      </c>
      <c r="E2412" s="13" t="s">
        <v>580</v>
      </c>
      <c r="F2412" s="681">
        <v>6.61</v>
      </c>
    </row>
    <row r="2413" spans="2:6" ht="15.75" hidden="1" customHeight="1" x14ac:dyDescent="0.25">
      <c r="B2413" s="13" t="s">
        <v>556</v>
      </c>
      <c r="C2413" s="13" t="s">
        <v>17134</v>
      </c>
      <c r="D2413" s="12" t="s">
        <v>10273</v>
      </c>
      <c r="E2413" s="13" t="s">
        <v>580</v>
      </c>
      <c r="F2413" s="681">
        <v>3.56</v>
      </c>
    </row>
    <row r="2414" spans="2:6" ht="15.75" hidden="1" customHeight="1" x14ac:dyDescent="0.25">
      <c r="B2414" s="13" t="s">
        <v>556</v>
      </c>
      <c r="C2414" s="13" t="s">
        <v>17135</v>
      </c>
      <c r="D2414" s="12" t="s">
        <v>10274</v>
      </c>
      <c r="E2414" s="13" t="s">
        <v>580</v>
      </c>
      <c r="F2414" s="681">
        <v>8.02</v>
      </c>
    </row>
    <row r="2415" spans="2:6" ht="15.75" hidden="1" customHeight="1" x14ac:dyDescent="0.25">
      <c r="B2415" s="13" t="s">
        <v>556</v>
      </c>
      <c r="C2415" s="13" t="s">
        <v>17136</v>
      </c>
      <c r="D2415" s="12" t="s">
        <v>10275</v>
      </c>
      <c r="E2415" s="13" t="s">
        <v>580</v>
      </c>
      <c r="F2415" s="681">
        <v>13.3</v>
      </c>
    </row>
    <row r="2416" spans="2:6" ht="15.75" hidden="1" customHeight="1" x14ac:dyDescent="0.25">
      <c r="B2416" s="13" t="s">
        <v>556</v>
      </c>
      <c r="C2416" s="13" t="s">
        <v>17137</v>
      </c>
      <c r="D2416" s="12" t="s">
        <v>10276</v>
      </c>
      <c r="E2416" s="13" t="s">
        <v>580</v>
      </c>
      <c r="F2416" s="681">
        <v>21.57</v>
      </c>
    </row>
    <row r="2417" spans="2:6" ht="15.75" hidden="1" customHeight="1" x14ac:dyDescent="0.25">
      <c r="B2417" s="13" t="s">
        <v>556</v>
      </c>
      <c r="C2417" s="13" t="s">
        <v>17138</v>
      </c>
      <c r="D2417" s="12" t="s">
        <v>10277</v>
      </c>
      <c r="E2417" s="13" t="s">
        <v>580</v>
      </c>
      <c r="F2417" s="681">
        <v>62.57</v>
      </c>
    </row>
    <row r="2418" spans="2:6" ht="15.75" hidden="1" customHeight="1" x14ac:dyDescent="0.25">
      <c r="B2418" s="13" t="s">
        <v>556</v>
      </c>
      <c r="C2418" s="13" t="s">
        <v>17139</v>
      </c>
      <c r="D2418" s="12" t="s">
        <v>10278</v>
      </c>
      <c r="E2418" s="13" t="s">
        <v>580</v>
      </c>
      <c r="F2418" s="681">
        <v>79.5</v>
      </c>
    </row>
    <row r="2419" spans="2:6" ht="15.75" hidden="1" customHeight="1" x14ac:dyDescent="0.25">
      <c r="B2419" s="13" t="s">
        <v>556</v>
      </c>
      <c r="C2419" s="13" t="s">
        <v>17140</v>
      </c>
      <c r="D2419" s="12" t="s">
        <v>17141</v>
      </c>
      <c r="E2419" s="13" t="s">
        <v>580</v>
      </c>
      <c r="F2419" s="681">
        <v>223.34</v>
      </c>
    </row>
    <row r="2420" spans="2:6" ht="15.75" hidden="1" customHeight="1" x14ac:dyDescent="0.25">
      <c r="B2420" s="13" t="s">
        <v>556</v>
      </c>
      <c r="C2420" s="13" t="s">
        <v>17142</v>
      </c>
      <c r="D2420" s="12" t="s">
        <v>10270</v>
      </c>
      <c r="E2420" s="13" t="s">
        <v>580</v>
      </c>
      <c r="F2420" s="681">
        <v>278.89999999999998</v>
      </c>
    </row>
    <row r="2421" spans="2:6" ht="15.75" hidden="1" customHeight="1" x14ac:dyDescent="0.25">
      <c r="B2421" s="13" t="s">
        <v>556</v>
      </c>
      <c r="C2421" s="13" t="s">
        <v>17143</v>
      </c>
      <c r="D2421" s="12" t="s">
        <v>10545</v>
      </c>
      <c r="E2421" s="13" t="s">
        <v>580</v>
      </c>
      <c r="F2421" s="681">
        <v>3.59</v>
      </c>
    </row>
    <row r="2422" spans="2:6" ht="15.75" hidden="1" customHeight="1" x14ac:dyDescent="0.25">
      <c r="B2422" s="13" t="s">
        <v>556</v>
      </c>
      <c r="C2422" s="13" t="s">
        <v>17144</v>
      </c>
      <c r="D2422" s="12" t="s">
        <v>10546</v>
      </c>
      <c r="E2422" s="13" t="s">
        <v>580</v>
      </c>
      <c r="F2422" s="681">
        <v>10.199999999999999</v>
      </c>
    </row>
    <row r="2423" spans="2:6" ht="15.75" hidden="1" customHeight="1" x14ac:dyDescent="0.25">
      <c r="B2423" s="13" t="s">
        <v>556</v>
      </c>
      <c r="C2423" s="13" t="s">
        <v>17145</v>
      </c>
      <c r="D2423" s="12" t="s">
        <v>10547</v>
      </c>
      <c r="E2423" s="13" t="s">
        <v>580</v>
      </c>
      <c r="F2423" s="681">
        <v>12.38</v>
      </c>
    </row>
    <row r="2424" spans="2:6" ht="15.75" hidden="1" customHeight="1" x14ac:dyDescent="0.25">
      <c r="B2424" s="13" t="s">
        <v>556</v>
      </c>
      <c r="C2424" s="13" t="s">
        <v>17146</v>
      </c>
      <c r="D2424" s="12" t="s">
        <v>10548</v>
      </c>
      <c r="E2424" s="13" t="s">
        <v>580</v>
      </c>
      <c r="F2424" s="681">
        <v>20.79</v>
      </c>
    </row>
    <row r="2425" spans="2:6" ht="15.75" hidden="1" customHeight="1" x14ac:dyDescent="0.25">
      <c r="B2425" s="13" t="s">
        <v>556</v>
      </c>
      <c r="C2425" s="13" t="s">
        <v>17147</v>
      </c>
      <c r="D2425" s="12" t="s">
        <v>10549</v>
      </c>
      <c r="E2425" s="13" t="s">
        <v>580</v>
      </c>
      <c r="F2425" s="681">
        <v>38.54</v>
      </c>
    </row>
    <row r="2426" spans="2:6" ht="15.75" hidden="1" customHeight="1" x14ac:dyDescent="0.25">
      <c r="B2426" s="13" t="s">
        <v>556</v>
      </c>
      <c r="C2426" s="13" t="s">
        <v>17148</v>
      </c>
      <c r="D2426" s="12" t="s">
        <v>10550</v>
      </c>
      <c r="E2426" s="13" t="s">
        <v>580</v>
      </c>
      <c r="F2426" s="681">
        <v>63.08</v>
      </c>
    </row>
    <row r="2427" spans="2:6" ht="15.75" hidden="1" customHeight="1" x14ac:dyDescent="0.25">
      <c r="B2427" s="13" t="s">
        <v>556</v>
      </c>
      <c r="C2427" s="13" t="s">
        <v>17149</v>
      </c>
      <c r="D2427" s="12" t="s">
        <v>10542</v>
      </c>
      <c r="E2427" s="13" t="s">
        <v>580</v>
      </c>
      <c r="F2427" s="681">
        <v>81.650000000000006</v>
      </c>
    </row>
    <row r="2428" spans="2:6" ht="15.75" hidden="1" customHeight="1" x14ac:dyDescent="0.25">
      <c r="B2428" s="13" t="s">
        <v>556</v>
      </c>
      <c r="C2428" s="13" t="s">
        <v>17150</v>
      </c>
      <c r="D2428" s="12" t="s">
        <v>11366</v>
      </c>
      <c r="E2428" s="13" t="s">
        <v>580</v>
      </c>
      <c r="F2428" s="681">
        <v>245.54</v>
      </c>
    </row>
    <row r="2429" spans="2:6" ht="15.75" hidden="1" customHeight="1" x14ac:dyDescent="0.25">
      <c r="B2429" s="13" t="s">
        <v>556</v>
      </c>
      <c r="C2429" s="13" t="s">
        <v>17151</v>
      </c>
      <c r="D2429" s="12" t="s">
        <v>17152</v>
      </c>
      <c r="E2429" s="13" t="s">
        <v>580</v>
      </c>
      <c r="F2429" s="681">
        <v>17.850000000000001</v>
      </c>
    </row>
    <row r="2430" spans="2:6" ht="15.75" hidden="1" customHeight="1" x14ac:dyDescent="0.25">
      <c r="B2430" s="13" t="s">
        <v>556</v>
      </c>
      <c r="C2430" s="13" t="s">
        <v>17153</v>
      </c>
      <c r="D2430" s="12" t="s">
        <v>11391</v>
      </c>
      <c r="E2430" s="13" t="s">
        <v>580</v>
      </c>
      <c r="F2430" s="681">
        <v>11.17</v>
      </c>
    </row>
    <row r="2431" spans="2:6" ht="15.75" hidden="1" customHeight="1" x14ac:dyDescent="0.25">
      <c r="B2431" s="13" t="s">
        <v>556</v>
      </c>
      <c r="C2431" s="13" t="s">
        <v>17154</v>
      </c>
      <c r="D2431" s="12" t="s">
        <v>11392</v>
      </c>
      <c r="E2431" s="13" t="s">
        <v>580</v>
      </c>
      <c r="F2431" s="681">
        <v>14.95</v>
      </c>
    </row>
    <row r="2432" spans="2:6" ht="15.75" hidden="1" customHeight="1" x14ac:dyDescent="0.25">
      <c r="B2432" s="13" t="s">
        <v>556</v>
      </c>
      <c r="C2432" s="13" t="s">
        <v>17155</v>
      </c>
      <c r="D2432" s="12" t="s">
        <v>11396</v>
      </c>
      <c r="E2432" s="13" t="s">
        <v>580</v>
      </c>
      <c r="F2432" s="681">
        <v>7.13</v>
      </c>
    </row>
    <row r="2433" spans="2:6" ht="15.75" hidden="1" customHeight="1" x14ac:dyDescent="0.25">
      <c r="B2433" s="13" t="s">
        <v>556</v>
      </c>
      <c r="C2433" s="13" t="s">
        <v>17156</v>
      </c>
      <c r="D2433" s="12" t="s">
        <v>11397</v>
      </c>
      <c r="E2433" s="13" t="s">
        <v>580</v>
      </c>
      <c r="F2433" s="681">
        <v>12.99</v>
      </c>
    </row>
    <row r="2434" spans="2:6" ht="15.75" hidden="1" customHeight="1" x14ac:dyDescent="0.25">
      <c r="B2434" s="13" t="s">
        <v>556</v>
      </c>
      <c r="C2434" s="13" t="s">
        <v>17157</v>
      </c>
      <c r="D2434" s="12" t="s">
        <v>11398</v>
      </c>
      <c r="E2434" s="13" t="s">
        <v>580</v>
      </c>
      <c r="F2434" s="681">
        <v>25.02</v>
      </c>
    </row>
    <row r="2435" spans="2:6" ht="15.75" hidden="1" customHeight="1" x14ac:dyDescent="0.25">
      <c r="B2435" s="13" t="s">
        <v>556</v>
      </c>
      <c r="C2435" s="13" t="s">
        <v>17158</v>
      </c>
      <c r="D2435" s="12" t="s">
        <v>11399</v>
      </c>
      <c r="E2435" s="13" t="s">
        <v>580</v>
      </c>
      <c r="F2435" s="681">
        <v>39.340000000000003</v>
      </c>
    </row>
    <row r="2436" spans="2:6" ht="15.75" hidden="1" customHeight="1" x14ac:dyDescent="0.25">
      <c r="B2436" s="13" t="s">
        <v>556</v>
      </c>
      <c r="C2436" s="13" t="s">
        <v>17159</v>
      </c>
      <c r="D2436" s="12" t="s">
        <v>10474</v>
      </c>
      <c r="E2436" s="13" t="s">
        <v>580</v>
      </c>
      <c r="F2436" s="681">
        <v>13.46</v>
      </c>
    </row>
    <row r="2437" spans="2:6" ht="15.75" hidden="1" customHeight="1" x14ac:dyDescent="0.25">
      <c r="B2437" s="13" t="s">
        <v>556</v>
      </c>
      <c r="C2437" s="13" t="s">
        <v>17160</v>
      </c>
      <c r="D2437" s="12" t="s">
        <v>11400</v>
      </c>
      <c r="E2437" s="13" t="s">
        <v>580</v>
      </c>
      <c r="F2437" s="681">
        <v>84.39</v>
      </c>
    </row>
    <row r="2438" spans="2:6" ht="15.75" hidden="1" customHeight="1" x14ac:dyDescent="0.25">
      <c r="B2438" s="13" t="s">
        <v>556</v>
      </c>
      <c r="C2438" s="13" t="s">
        <v>17161</v>
      </c>
      <c r="D2438" s="12" t="s">
        <v>11401</v>
      </c>
      <c r="E2438" s="13" t="s">
        <v>580</v>
      </c>
      <c r="F2438" s="681">
        <v>113.25</v>
      </c>
    </row>
    <row r="2439" spans="2:6" ht="15.75" hidden="1" customHeight="1" x14ac:dyDescent="0.25">
      <c r="B2439" s="13" t="s">
        <v>556</v>
      </c>
      <c r="C2439" s="13" t="s">
        <v>17162</v>
      </c>
      <c r="D2439" s="12" t="s">
        <v>11393</v>
      </c>
      <c r="E2439" s="13" t="s">
        <v>580</v>
      </c>
      <c r="F2439" s="681">
        <v>241.08</v>
      </c>
    </row>
    <row r="2440" spans="2:6" ht="15.75" hidden="1" customHeight="1" x14ac:dyDescent="0.25">
      <c r="B2440" s="13" t="s">
        <v>556</v>
      </c>
      <c r="C2440" s="13" t="s">
        <v>17163</v>
      </c>
      <c r="D2440" s="12" t="s">
        <v>10630</v>
      </c>
      <c r="E2440" s="13" t="s">
        <v>580</v>
      </c>
      <c r="F2440" s="681">
        <v>44.09</v>
      </c>
    </row>
    <row r="2441" spans="2:6" ht="15.75" hidden="1" customHeight="1" x14ac:dyDescent="0.25">
      <c r="B2441" s="13" t="s">
        <v>556</v>
      </c>
      <c r="C2441" s="13" t="s">
        <v>17164</v>
      </c>
      <c r="D2441" s="12" t="s">
        <v>9417</v>
      </c>
      <c r="E2441" s="13" t="s">
        <v>664</v>
      </c>
      <c r="F2441" s="681">
        <v>505.79</v>
      </c>
    </row>
    <row r="2442" spans="2:6" ht="15.75" hidden="1" customHeight="1" x14ac:dyDescent="0.25">
      <c r="B2442" s="13" t="s">
        <v>556</v>
      </c>
      <c r="C2442" s="13" t="s">
        <v>17165</v>
      </c>
      <c r="D2442" s="12" t="s">
        <v>11321</v>
      </c>
      <c r="E2442" s="13" t="s">
        <v>580</v>
      </c>
      <c r="F2442" s="681">
        <v>44.96</v>
      </c>
    </row>
    <row r="2443" spans="2:6" ht="15.75" hidden="1" customHeight="1" x14ac:dyDescent="0.25">
      <c r="B2443" s="13" t="s">
        <v>556</v>
      </c>
      <c r="C2443" s="13" t="s">
        <v>17166</v>
      </c>
      <c r="D2443" s="12" t="s">
        <v>8637</v>
      </c>
      <c r="E2443" s="13" t="s">
        <v>580</v>
      </c>
      <c r="F2443" s="681">
        <v>95.53</v>
      </c>
    </row>
    <row r="2444" spans="2:6" ht="15.75" hidden="1" customHeight="1" x14ac:dyDescent="0.25">
      <c r="B2444" s="13" t="s">
        <v>556</v>
      </c>
      <c r="C2444" s="13" t="s">
        <v>17167</v>
      </c>
      <c r="D2444" s="12" t="s">
        <v>8638</v>
      </c>
      <c r="E2444" s="13" t="s">
        <v>580</v>
      </c>
      <c r="F2444" s="681">
        <v>105.12</v>
      </c>
    </row>
    <row r="2445" spans="2:6" ht="15.75" hidden="1" customHeight="1" x14ac:dyDescent="0.25">
      <c r="B2445" s="13" t="s">
        <v>556</v>
      </c>
      <c r="C2445" s="13" t="s">
        <v>17168</v>
      </c>
      <c r="D2445" s="12" t="s">
        <v>8639</v>
      </c>
      <c r="E2445" s="13" t="s">
        <v>580</v>
      </c>
      <c r="F2445" s="681">
        <v>169.77</v>
      </c>
    </row>
    <row r="2446" spans="2:6" ht="15.75" hidden="1" customHeight="1" x14ac:dyDescent="0.25">
      <c r="B2446" s="13" t="s">
        <v>556</v>
      </c>
      <c r="C2446" s="13" t="s">
        <v>17169</v>
      </c>
      <c r="D2446" s="12" t="s">
        <v>10480</v>
      </c>
      <c r="E2446" s="13" t="s">
        <v>580</v>
      </c>
      <c r="F2446" s="681">
        <v>27.44</v>
      </c>
    </row>
    <row r="2447" spans="2:6" ht="15.75" hidden="1" customHeight="1" x14ac:dyDescent="0.25">
      <c r="B2447" s="13" t="s">
        <v>556</v>
      </c>
      <c r="C2447" s="13" t="s">
        <v>17170</v>
      </c>
      <c r="D2447" s="12" t="s">
        <v>8635</v>
      </c>
      <c r="E2447" s="13" t="s">
        <v>580</v>
      </c>
      <c r="F2447" s="681">
        <v>57.86</v>
      </c>
    </row>
    <row r="2448" spans="2:6" ht="15.75" hidden="1" customHeight="1" x14ac:dyDescent="0.25">
      <c r="B2448" s="13" t="s">
        <v>556</v>
      </c>
      <c r="C2448" s="13" t="s">
        <v>17171</v>
      </c>
      <c r="D2448" s="12" t="s">
        <v>8640</v>
      </c>
      <c r="E2448" s="13" t="s">
        <v>580</v>
      </c>
      <c r="F2448" s="681">
        <v>136.51</v>
      </c>
    </row>
    <row r="2449" spans="2:6" ht="15.75" hidden="1" customHeight="1" x14ac:dyDescent="0.25">
      <c r="B2449" s="13" t="s">
        <v>556</v>
      </c>
      <c r="C2449" s="13" t="s">
        <v>17172</v>
      </c>
      <c r="D2449" s="12" t="s">
        <v>10574</v>
      </c>
      <c r="E2449" s="13" t="s">
        <v>580</v>
      </c>
      <c r="F2449" s="681">
        <v>181.5</v>
      </c>
    </row>
    <row r="2450" spans="2:6" ht="15.75" hidden="1" customHeight="1" x14ac:dyDescent="0.25">
      <c r="B2450" s="13" t="s">
        <v>556</v>
      </c>
      <c r="C2450" s="13" t="s">
        <v>17173</v>
      </c>
      <c r="D2450" s="12" t="s">
        <v>9960</v>
      </c>
      <c r="E2450" s="13" t="s">
        <v>580</v>
      </c>
      <c r="F2450" s="681">
        <v>53.93</v>
      </c>
    </row>
    <row r="2451" spans="2:6" ht="15.75" hidden="1" customHeight="1" x14ac:dyDescent="0.25">
      <c r="B2451" s="13" t="s">
        <v>556</v>
      </c>
      <c r="C2451" s="13" t="s">
        <v>17174</v>
      </c>
      <c r="D2451" s="12" t="s">
        <v>9959</v>
      </c>
      <c r="E2451" s="13" t="s">
        <v>580</v>
      </c>
      <c r="F2451" s="681">
        <v>43.62</v>
      </c>
    </row>
    <row r="2452" spans="2:6" ht="15.75" hidden="1" customHeight="1" x14ac:dyDescent="0.25">
      <c r="B2452" s="13" t="s">
        <v>556</v>
      </c>
      <c r="C2452" s="13" t="s">
        <v>17175</v>
      </c>
      <c r="D2452" s="12" t="s">
        <v>9918</v>
      </c>
      <c r="E2452" s="13" t="s">
        <v>580</v>
      </c>
      <c r="F2452" s="681">
        <v>383.54</v>
      </c>
    </row>
    <row r="2453" spans="2:6" ht="15.75" hidden="1" customHeight="1" x14ac:dyDescent="0.25">
      <c r="B2453" s="13" t="s">
        <v>556</v>
      </c>
      <c r="C2453" s="13" t="s">
        <v>17176</v>
      </c>
      <c r="D2453" s="12" t="s">
        <v>9919</v>
      </c>
      <c r="E2453" s="13" t="s">
        <v>580</v>
      </c>
      <c r="F2453" s="681">
        <v>1086.19</v>
      </c>
    </row>
    <row r="2454" spans="2:6" ht="15.75" hidden="1" customHeight="1" x14ac:dyDescent="0.25">
      <c r="B2454" s="13" t="s">
        <v>556</v>
      </c>
      <c r="C2454" s="13" t="s">
        <v>17177</v>
      </c>
      <c r="D2454" s="12" t="s">
        <v>10492</v>
      </c>
      <c r="E2454" s="13" t="s">
        <v>580</v>
      </c>
      <c r="F2454" s="681">
        <v>12.04</v>
      </c>
    </row>
    <row r="2455" spans="2:6" ht="15.75" hidden="1" customHeight="1" x14ac:dyDescent="0.25">
      <c r="B2455" s="13" t="s">
        <v>556</v>
      </c>
      <c r="C2455" s="13" t="s">
        <v>17178</v>
      </c>
      <c r="D2455" s="12" t="s">
        <v>10502</v>
      </c>
      <c r="E2455" s="13" t="s">
        <v>580</v>
      </c>
      <c r="F2455" s="681">
        <v>11.75</v>
      </c>
    </row>
    <row r="2456" spans="2:6" ht="15.75" hidden="1" customHeight="1" x14ac:dyDescent="0.25">
      <c r="B2456" s="13" t="s">
        <v>556</v>
      </c>
      <c r="C2456" s="13" t="s">
        <v>17179</v>
      </c>
      <c r="D2456" s="12" t="s">
        <v>17180</v>
      </c>
      <c r="E2456" s="13" t="s">
        <v>585</v>
      </c>
      <c r="F2456" s="681">
        <v>80</v>
      </c>
    </row>
    <row r="2457" spans="2:6" ht="15.75" hidden="1" customHeight="1" x14ac:dyDescent="0.25">
      <c r="B2457" s="13" t="s">
        <v>556</v>
      </c>
      <c r="C2457" s="13" t="s">
        <v>17181</v>
      </c>
      <c r="D2457" s="12" t="s">
        <v>17182</v>
      </c>
      <c r="E2457" s="13" t="s">
        <v>585</v>
      </c>
      <c r="F2457" s="681">
        <v>108.79</v>
      </c>
    </row>
    <row r="2458" spans="2:6" ht="15.75" hidden="1" customHeight="1" x14ac:dyDescent="0.25">
      <c r="B2458" s="13" t="s">
        <v>556</v>
      </c>
      <c r="C2458" s="13" t="s">
        <v>17183</v>
      </c>
      <c r="D2458" s="12" t="s">
        <v>10476</v>
      </c>
      <c r="E2458" s="13" t="s">
        <v>580</v>
      </c>
      <c r="F2458" s="681">
        <v>10.18</v>
      </c>
    </row>
    <row r="2459" spans="2:6" ht="15.75" hidden="1" customHeight="1" x14ac:dyDescent="0.25">
      <c r="B2459" s="13" t="s">
        <v>556</v>
      </c>
      <c r="C2459" s="13" t="s">
        <v>17184</v>
      </c>
      <c r="D2459" s="12" t="s">
        <v>17185</v>
      </c>
      <c r="E2459" s="13" t="s">
        <v>585</v>
      </c>
      <c r="F2459" s="681">
        <v>278.8</v>
      </c>
    </row>
    <row r="2460" spans="2:6" ht="15.75" hidden="1" customHeight="1" x14ac:dyDescent="0.25">
      <c r="B2460" s="13" t="s">
        <v>14150</v>
      </c>
      <c r="C2460" s="13" t="s">
        <v>17186</v>
      </c>
      <c r="D2460" s="12" t="s">
        <v>10917</v>
      </c>
      <c r="E2460" s="13" t="s">
        <v>580</v>
      </c>
      <c r="F2460" s="681">
        <v>4594594.59</v>
      </c>
    </row>
    <row r="2461" spans="2:6" ht="15.75" hidden="1" customHeight="1" x14ac:dyDescent="0.25">
      <c r="B2461" s="13" t="s">
        <v>14150</v>
      </c>
      <c r="C2461" s="13" t="s">
        <v>17187</v>
      </c>
      <c r="D2461" s="12" t="s">
        <v>10918</v>
      </c>
      <c r="E2461" s="13" t="s">
        <v>580</v>
      </c>
      <c r="F2461" s="681">
        <v>7045045.0499999998</v>
      </c>
    </row>
    <row r="2462" spans="2:6" ht="15.75" hidden="1" customHeight="1" x14ac:dyDescent="0.25">
      <c r="B2462" s="13" t="s">
        <v>14150</v>
      </c>
      <c r="C2462" s="13" t="s">
        <v>17188</v>
      </c>
      <c r="D2462" s="12" t="s">
        <v>10920</v>
      </c>
      <c r="E2462" s="13" t="s">
        <v>580</v>
      </c>
      <c r="F2462" s="681">
        <v>1434540.41</v>
      </c>
    </row>
    <row r="2463" spans="2:6" ht="15.75" hidden="1" customHeight="1" x14ac:dyDescent="0.25">
      <c r="B2463" s="13" t="s">
        <v>556</v>
      </c>
      <c r="C2463" s="13" t="s">
        <v>17189</v>
      </c>
      <c r="D2463" s="12" t="s">
        <v>10614</v>
      </c>
      <c r="E2463" s="13" t="s">
        <v>578</v>
      </c>
      <c r="F2463" s="681">
        <v>10.37</v>
      </c>
    </row>
    <row r="2464" spans="2:6" ht="15.75" hidden="1" customHeight="1" x14ac:dyDescent="0.25">
      <c r="B2464" s="13" t="s">
        <v>556</v>
      </c>
      <c r="C2464" s="13" t="s">
        <v>17190</v>
      </c>
      <c r="D2464" s="12" t="s">
        <v>10615</v>
      </c>
      <c r="E2464" s="13" t="s">
        <v>578</v>
      </c>
      <c r="F2464" s="681">
        <v>6.66</v>
      </c>
    </row>
    <row r="2465" spans="2:6" ht="15.75" hidden="1" customHeight="1" x14ac:dyDescent="0.25">
      <c r="B2465" s="13" t="s">
        <v>556</v>
      </c>
      <c r="C2465" s="13" t="s">
        <v>17191</v>
      </c>
      <c r="D2465" s="12" t="s">
        <v>8757</v>
      </c>
      <c r="E2465" s="13" t="s">
        <v>664</v>
      </c>
      <c r="F2465" s="681">
        <v>458.28</v>
      </c>
    </row>
    <row r="2466" spans="2:6" ht="15.75" hidden="1" customHeight="1" x14ac:dyDescent="0.25">
      <c r="B2466" s="13" t="s">
        <v>556</v>
      </c>
      <c r="C2466" s="13" t="s">
        <v>17192</v>
      </c>
      <c r="D2466" s="12" t="s">
        <v>8636</v>
      </c>
      <c r="E2466" s="13" t="s">
        <v>580</v>
      </c>
      <c r="F2466" s="681">
        <v>157.88999999999999</v>
      </c>
    </row>
    <row r="2467" spans="2:6" ht="15.75" hidden="1" customHeight="1" x14ac:dyDescent="0.25">
      <c r="B2467" s="13" t="s">
        <v>556</v>
      </c>
      <c r="C2467" s="13" t="s">
        <v>17193</v>
      </c>
      <c r="D2467" s="12" t="s">
        <v>9294</v>
      </c>
      <c r="E2467" s="13" t="s">
        <v>580</v>
      </c>
      <c r="F2467" s="681">
        <v>1.79</v>
      </c>
    </row>
    <row r="2468" spans="2:6" ht="15.75" hidden="1" customHeight="1" x14ac:dyDescent="0.25">
      <c r="B2468" s="13" t="s">
        <v>556</v>
      </c>
      <c r="C2468" s="13" t="s">
        <v>17194</v>
      </c>
      <c r="D2468" s="12" t="s">
        <v>10561</v>
      </c>
      <c r="E2468" s="13" t="s">
        <v>580</v>
      </c>
      <c r="F2468" s="681">
        <v>4.96</v>
      </c>
    </row>
    <row r="2469" spans="2:6" ht="15.75" hidden="1" customHeight="1" x14ac:dyDescent="0.25">
      <c r="B2469" s="13" t="s">
        <v>556</v>
      </c>
      <c r="C2469" s="13" t="s">
        <v>17195</v>
      </c>
      <c r="D2469" s="12" t="s">
        <v>10566</v>
      </c>
      <c r="E2469" s="13" t="s">
        <v>580</v>
      </c>
      <c r="F2469" s="681">
        <v>1.76</v>
      </c>
    </row>
    <row r="2470" spans="2:6" ht="15.75" hidden="1" customHeight="1" x14ac:dyDescent="0.25">
      <c r="B2470" s="13" t="s">
        <v>556</v>
      </c>
      <c r="C2470" s="13" t="s">
        <v>17196</v>
      </c>
      <c r="D2470" s="12" t="s">
        <v>10661</v>
      </c>
      <c r="E2470" s="13" t="s">
        <v>580</v>
      </c>
      <c r="F2470" s="681">
        <v>2.33</v>
      </c>
    </row>
    <row r="2471" spans="2:6" ht="15.75" hidden="1" customHeight="1" x14ac:dyDescent="0.25">
      <c r="B2471" s="13" t="s">
        <v>556</v>
      </c>
      <c r="C2471" s="13" t="s">
        <v>17197</v>
      </c>
      <c r="D2471" s="12" t="s">
        <v>10663</v>
      </c>
      <c r="E2471" s="13" t="s">
        <v>580</v>
      </c>
      <c r="F2471" s="681">
        <v>2.44</v>
      </c>
    </row>
    <row r="2472" spans="2:6" ht="15.75" hidden="1" customHeight="1" x14ac:dyDescent="0.25">
      <c r="B2472" s="13" t="s">
        <v>556</v>
      </c>
      <c r="C2472" s="13" t="s">
        <v>17198</v>
      </c>
      <c r="D2472" s="12" t="s">
        <v>10565</v>
      </c>
      <c r="E2472" s="13" t="s">
        <v>580</v>
      </c>
      <c r="F2472" s="681">
        <v>1.27</v>
      </c>
    </row>
    <row r="2473" spans="2:6" ht="15.75" hidden="1" customHeight="1" x14ac:dyDescent="0.25">
      <c r="B2473" s="13" t="s">
        <v>556</v>
      </c>
      <c r="C2473" s="13" t="s">
        <v>17199</v>
      </c>
      <c r="D2473" s="12" t="s">
        <v>8909</v>
      </c>
      <c r="E2473" s="13" t="s">
        <v>580</v>
      </c>
      <c r="F2473" s="681">
        <v>3.87</v>
      </c>
    </row>
    <row r="2474" spans="2:6" ht="15.75" hidden="1" customHeight="1" x14ac:dyDescent="0.25">
      <c r="B2474" s="13" t="s">
        <v>556</v>
      </c>
      <c r="C2474" s="13" t="s">
        <v>17200</v>
      </c>
      <c r="D2474" s="12" t="s">
        <v>8912</v>
      </c>
      <c r="E2474" s="13" t="s">
        <v>580</v>
      </c>
      <c r="F2474" s="681">
        <v>3.91</v>
      </c>
    </row>
    <row r="2475" spans="2:6" ht="15.75" hidden="1" customHeight="1" x14ac:dyDescent="0.25">
      <c r="B2475" s="13" t="s">
        <v>556</v>
      </c>
      <c r="C2475" s="13" t="s">
        <v>17201</v>
      </c>
      <c r="D2475" s="12" t="s">
        <v>10660</v>
      </c>
      <c r="E2475" s="13" t="s">
        <v>580</v>
      </c>
      <c r="F2475" s="681">
        <v>2.91</v>
      </c>
    </row>
    <row r="2476" spans="2:6" ht="15.75" hidden="1" customHeight="1" x14ac:dyDescent="0.25">
      <c r="B2476" s="13" t="s">
        <v>556</v>
      </c>
      <c r="C2476" s="13" t="s">
        <v>17202</v>
      </c>
      <c r="D2476" s="12" t="s">
        <v>10662</v>
      </c>
      <c r="E2476" s="13" t="s">
        <v>580</v>
      </c>
      <c r="F2476" s="681">
        <v>3.22</v>
      </c>
    </row>
    <row r="2477" spans="2:6" ht="15.75" hidden="1" customHeight="1" x14ac:dyDescent="0.25">
      <c r="B2477" s="13" t="s">
        <v>556</v>
      </c>
      <c r="C2477" s="13" t="s">
        <v>17203</v>
      </c>
      <c r="D2477" s="12" t="s">
        <v>10664</v>
      </c>
      <c r="E2477" s="13" t="s">
        <v>580</v>
      </c>
      <c r="F2477" s="681">
        <v>5.08</v>
      </c>
    </row>
    <row r="2478" spans="2:6" ht="15.75" hidden="1" customHeight="1" x14ac:dyDescent="0.25">
      <c r="B2478" s="13" t="s">
        <v>556</v>
      </c>
      <c r="C2478" s="13" t="s">
        <v>17204</v>
      </c>
      <c r="D2478" s="12" t="s">
        <v>10659</v>
      </c>
      <c r="E2478" s="13" t="s">
        <v>580</v>
      </c>
      <c r="F2478" s="681">
        <v>2.88</v>
      </c>
    </row>
    <row r="2479" spans="2:6" ht="15.75" hidden="1" customHeight="1" x14ac:dyDescent="0.25">
      <c r="B2479" s="13" t="s">
        <v>556</v>
      </c>
      <c r="C2479" s="13" t="s">
        <v>17205</v>
      </c>
      <c r="D2479" s="12" t="s">
        <v>9291</v>
      </c>
      <c r="E2479" s="13" t="s">
        <v>580</v>
      </c>
      <c r="F2479" s="681">
        <v>4.79</v>
      </c>
    </row>
    <row r="2480" spans="2:6" ht="15.75" hidden="1" customHeight="1" x14ac:dyDescent="0.25">
      <c r="B2480" s="13" t="s">
        <v>556</v>
      </c>
      <c r="C2480" s="13" t="s">
        <v>17206</v>
      </c>
      <c r="D2480" s="12" t="s">
        <v>9293</v>
      </c>
      <c r="E2480" s="13" t="s">
        <v>580</v>
      </c>
      <c r="F2480" s="681">
        <v>4.82</v>
      </c>
    </row>
    <row r="2481" spans="2:6" ht="15.75" hidden="1" customHeight="1" x14ac:dyDescent="0.25">
      <c r="B2481" s="13" t="s">
        <v>556</v>
      </c>
      <c r="C2481" s="13" t="s">
        <v>17207</v>
      </c>
      <c r="D2481" s="12" t="s">
        <v>10658</v>
      </c>
      <c r="E2481" s="13" t="s">
        <v>580</v>
      </c>
      <c r="F2481" s="681">
        <v>3.4</v>
      </c>
    </row>
    <row r="2482" spans="2:6" ht="15.75" hidden="1" customHeight="1" x14ac:dyDescent="0.25">
      <c r="B2482" s="13" t="s">
        <v>556</v>
      </c>
      <c r="C2482" s="13" t="s">
        <v>17208</v>
      </c>
      <c r="D2482" s="12" t="s">
        <v>9290</v>
      </c>
      <c r="E2482" s="13" t="s">
        <v>580</v>
      </c>
      <c r="F2482" s="681">
        <v>5.77</v>
      </c>
    </row>
    <row r="2483" spans="2:6" ht="15.75" hidden="1" customHeight="1" x14ac:dyDescent="0.25">
      <c r="B2483" s="13" t="s">
        <v>556</v>
      </c>
      <c r="C2483" s="13" t="s">
        <v>17209</v>
      </c>
      <c r="D2483" s="12" t="s">
        <v>10568</v>
      </c>
      <c r="E2483" s="13" t="s">
        <v>580</v>
      </c>
      <c r="F2483" s="681">
        <v>4.33</v>
      </c>
    </row>
    <row r="2484" spans="2:6" ht="15.75" hidden="1" customHeight="1" x14ac:dyDescent="0.25">
      <c r="B2484" s="13" t="s">
        <v>556</v>
      </c>
      <c r="C2484" s="13" t="s">
        <v>17210</v>
      </c>
      <c r="D2484" s="12" t="s">
        <v>9292</v>
      </c>
      <c r="E2484" s="13" t="s">
        <v>580</v>
      </c>
      <c r="F2484" s="681">
        <v>6.12</v>
      </c>
    </row>
    <row r="2485" spans="2:6" ht="15.75" hidden="1" customHeight="1" x14ac:dyDescent="0.25">
      <c r="B2485" s="13" t="s">
        <v>556</v>
      </c>
      <c r="C2485" s="13" t="s">
        <v>17211</v>
      </c>
      <c r="D2485" s="12" t="s">
        <v>8941</v>
      </c>
      <c r="E2485" s="13" t="s">
        <v>580</v>
      </c>
      <c r="F2485" s="681">
        <v>2.34</v>
      </c>
    </row>
    <row r="2486" spans="2:6" ht="15.75" hidden="1" customHeight="1" x14ac:dyDescent="0.25">
      <c r="B2486" s="13" t="s">
        <v>14150</v>
      </c>
      <c r="C2486" s="13" t="s">
        <v>17212</v>
      </c>
      <c r="D2486" s="12" t="s">
        <v>17213</v>
      </c>
      <c r="E2486" s="13" t="s">
        <v>580</v>
      </c>
      <c r="F2486" s="681">
        <v>199819.39</v>
      </c>
    </row>
    <row r="2487" spans="2:6" ht="15.75" hidden="1" customHeight="1" x14ac:dyDescent="0.25">
      <c r="B2487" s="13" t="s">
        <v>556</v>
      </c>
      <c r="C2487" s="13" t="s">
        <v>17214</v>
      </c>
      <c r="D2487" s="12" t="s">
        <v>10529</v>
      </c>
      <c r="E2487" s="13" t="s">
        <v>580</v>
      </c>
      <c r="F2487" s="681">
        <v>0.74</v>
      </c>
    </row>
    <row r="2488" spans="2:6" ht="15.75" hidden="1" customHeight="1" x14ac:dyDescent="0.25">
      <c r="B2488" s="13" t="s">
        <v>556</v>
      </c>
      <c r="C2488" s="13" t="s">
        <v>17215</v>
      </c>
      <c r="D2488" s="12" t="s">
        <v>10532</v>
      </c>
      <c r="E2488" s="13" t="s">
        <v>580</v>
      </c>
      <c r="F2488" s="681">
        <v>4.09</v>
      </c>
    </row>
    <row r="2489" spans="2:6" ht="15.75" hidden="1" customHeight="1" x14ac:dyDescent="0.25">
      <c r="B2489" s="13" t="s">
        <v>14150</v>
      </c>
      <c r="C2489" s="13" t="s">
        <v>17216</v>
      </c>
      <c r="D2489" s="12" t="s">
        <v>9916</v>
      </c>
      <c r="E2489" s="13" t="s">
        <v>580</v>
      </c>
      <c r="F2489" s="681">
        <v>2901126.21</v>
      </c>
    </row>
    <row r="2490" spans="2:6" ht="15.75" hidden="1" customHeight="1" x14ac:dyDescent="0.25">
      <c r="B2490" s="13" t="s">
        <v>556</v>
      </c>
      <c r="C2490" s="13" t="s">
        <v>17217</v>
      </c>
      <c r="D2490" s="12" t="s">
        <v>10533</v>
      </c>
      <c r="E2490" s="13" t="s">
        <v>580</v>
      </c>
      <c r="F2490" s="681">
        <v>4.1900000000000004</v>
      </c>
    </row>
    <row r="2491" spans="2:6" ht="15.75" hidden="1" customHeight="1" x14ac:dyDescent="0.25">
      <c r="B2491" s="13" t="s">
        <v>14150</v>
      </c>
      <c r="C2491" s="13" t="s">
        <v>17218</v>
      </c>
      <c r="D2491" s="12" t="s">
        <v>9917</v>
      </c>
      <c r="E2491" s="13" t="s">
        <v>580</v>
      </c>
      <c r="F2491" s="681">
        <v>1948961.71</v>
      </c>
    </row>
    <row r="2492" spans="2:6" ht="15.75" hidden="1" customHeight="1" x14ac:dyDescent="0.25">
      <c r="B2492" s="13" t="s">
        <v>556</v>
      </c>
      <c r="C2492" s="13" t="s">
        <v>17219</v>
      </c>
      <c r="D2492" s="12" t="s">
        <v>11268</v>
      </c>
      <c r="E2492" s="13" t="s">
        <v>580</v>
      </c>
      <c r="F2492" s="681">
        <v>222.45</v>
      </c>
    </row>
    <row r="2493" spans="2:6" ht="15.75" hidden="1" customHeight="1" x14ac:dyDescent="0.25">
      <c r="B2493" s="13" t="s">
        <v>556</v>
      </c>
      <c r="C2493" s="13" t="s">
        <v>17220</v>
      </c>
      <c r="D2493" s="12" t="s">
        <v>11271</v>
      </c>
      <c r="E2493" s="13" t="s">
        <v>580</v>
      </c>
      <c r="F2493" s="681">
        <v>187.45</v>
      </c>
    </row>
    <row r="2494" spans="2:6" ht="15.75" hidden="1" customHeight="1" x14ac:dyDescent="0.25">
      <c r="B2494" s="13" t="s">
        <v>556</v>
      </c>
      <c r="C2494" s="13" t="s">
        <v>17221</v>
      </c>
      <c r="D2494" s="12" t="s">
        <v>10743</v>
      </c>
      <c r="E2494" s="13" t="s">
        <v>580</v>
      </c>
      <c r="F2494" s="681">
        <v>163.44</v>
      </c>
    </row>
    <row r="2495" spans="2:6" ht="15.75" hidden="1" customHeight="1" x14ac:dyDescent="0.25">
      <c r="B2495" s="13" t="s">
        <v>556</v>
      </c>
      <c r="C2495" s="13" t="s">
        <v>17222</v>
      </c>
      <c r="D2495" s="12" t="s">
        <v>10534</v>
      </c>
      <c r="E2495" s="13" t="s">
        <v>580</v>
      </c>
      <c r="F2495" s="681">
        <v>12.83</v>
      </c>
    </row>
    <row r="2496" spans="2:6" ht="15.75" hidden="1" customHeight="1" x14ac:dyDescent="0.25">
      <c r="B2496" s="13" t="s">
        <v>556</v>
      </c>
      <c r="C2496" s="13" t="s">
        <v>17223</v>
      </c>
      <c r="D2496" s="12" t="s">
        <v>10744</v>
      </c>
      <c r="E2496" s="13" t="s">
        <v>580</v>
      </c>
      <c r="F2496" s="681">
        <v>2.4500000000000002</v>
      </c>
    </row>
    <row r="2497" spans="2:6" ht="15.75" hidden="1" customHeight="1" x14ac:dyDescent="0.25">
      <c r="B2497" s="13" t="s">
        <v>556</v>
      </c>
      <c r="C2497" s="13" t="s">
        <v>17224</v>
      </c>
      <c r="D2497" s="12" t="s">
        <v>10747</v>
      </c>
      <c r="E2497" s="13" t="s">
        <v>580</v>
      </c>
      <c r="F2497" s="681">
        <v>102.15</v>
      </c>
    </row>
    <row r="2498" spans="2:6" ht="15.75" hidden="1" customHeight="1" x14ac:dyDescent="0.25">
      <c r="B2498" s="13" t="s">
        <v>14150</v>
      </c>
      <c r="C2498" s="13" t="s">
        <v>17225</v>
      </c>
      <c r="D2498" s="12" t="s">
        <v>17226</v>
      </c>
      <c r="E2498" s="13" t="s">
        <v>580</v>
      </c>
      <c r="F2498" s="681">
        <v>84771.57</v>
      </c>
    </row>
    <row r="2499" spans="2:6" ht="15.75" hidden="1" customHeight="1" x14ac:dyDescent="0.25">
      <c r="B2499" s="13" t="s">
        <v>556</v>
      </c>
      <c r="C2499" s="13" t="s">
        <v>17227</v>
      </c>
      <c r="D2499" s="12" t="s">
        <v>11818</v>
      </c>
      <c r="E2499" s="13" t="s">
        <v>580</v>
      </c>
      <c r="F2499" s="681">
        <v>44.25</v>
      </c>
    </row>
    <row r="2500" spans="2:6" ht="15.75" hidden="1" customHeight="1" x14ac:dyDescent="0.25">
      <c r="B2500" s="13" t="s">
        <v>556</v>
      </c>
      <c r="C2500" s="13" t="s">
        <v>17228</v>
      </c>
      <c r="D2500" s="12" t="s">
        <v>10535</v>
      </c>
      <c r="E2500" s="13" t="s">
        <v>580</v>
      </c>
      <c r="F2500" s="681">
        <v>18.77</v>
      </c>
    </row>
    <row r="2501" spans="2:6" ht="15.75" hidden="1" customHeight="1" x14ac:dyDescent="0.25">
      <c r="B2501" s="13" t="s">
        <v>556</v>
      </c>
      <c r="C2501" s="13" t="s">
        <v>17229</v>
      </c>
      <c r="D2501" s="12" t="s">
        <v>10536</v>
      </c>
      <c r="E2501" s="13" t="s">
        <v>580</v>
      </c>
      <c r="F2501" s="681">
        <v>42.13</v>
      </c>
    </row>
    <row r="2502" spans="2:6" ht="15.75" hidden="1" customHeight="1" x14ac:dyDescent="0.25">
      <c r="B2502" s="13" t="s">
        <v>556</v>
      </c>
      <c r="C2502" s="13" t="s">
        <v>17230</v>
      </c>
      <c r="D2502" s="12" t="s">
        <v>10528</v>
      </c>
      <c r="E2502" s="13" t="s">
        <v>580</v>
      </c>
      <c r="F2502" s="681">
        <v>71.540000000000006</v>
      </c>
    </row>
    <row r="2503" spans="2:6" ht="15.75" hidden="1" customHeight="1" x14ac:dyDescent="0.25">
      <c r="B2503" s="13" t="s">
        <v>556</v>
      </c>
      <c r="C2503" s="13" t="s">
        <v>17231</v>
      </c>
      <c r="D2503" s="12" t="s">
        <v>11388</v>
      </c>
      <c r="E2503" s="13" t="s">
        <v>580</v>
      </c>
      <c r="F2503" s="681">
        <v>36.700000000000003</v>
      </c>
    </row>
    <row r="2504" spans="2:6" ht="15.75" hidden="1" customHeight="1" x14ac:dyDescent="0.25">
      <c r="B2504" s="13" t="s">
        <v>556</v>
      </c>
      <c r="C2504" s="13" t="s">
        <v>17232</v>
      </c>
      <c r="D2504" s="12" t="s">
        <v>10557</v>
      </c>
      <c r="E2504" s="13" t="s">
        <v>580</v>
      </c>
      <c r="F2504" s="681">
        <v>35.1</v>
      </c>
    </row>
    <row r="2505" spans="2:6" ht="15.75" hidden="1" customHeight="1" x14ac:dyDescent="0.25">
      <c r="B2505" s="13" t="s">
        <v>556</v>
      </c>
      <c r="C2505" s="13" t="s">
        <v>17233</v>
      </c>
      <c r="D2505" s="12" t="s">
        <v>10564</v>
      </c>
      <c r="E2505" s="13" t="s">
        <v>580</v>
      </c>
      <c r="F2505" s="681">
        <v>16.690000000000001</v>
      </c>
    </row>
    <row r="2506" spans="2:6" ht="15.75" hidden="1" customHeight="1" x14ac:dyDescent="0.25">
      <c r="B2506" s="13" t="s">
        <v>556</v>
      </c>
      <c r="C2506" s="13" t="s">
        <v>17234</v>
      </c>
      <c r="D2506" s="12" t="s">
        <v>10499</v>
      </c>
      <c r="E2506" s="13" t="s">
        <v>580</v>
      </c>
      <c r="F2506" s="681">
        <v>1.35</v>
      </c>
    </row>
    <row r="2507" spans="2:6" ht="15.75" hidden="1" customHeight="1" x14ac:dyDescent="0.25">
      <c r="B2507" s="13" t="s">
        <v>556</v>
      </c>
      <c r="C2507" s="13" t="s">
        <v>17235</v>
      </c>
      <c r="D2507" s="12" t="s">
        <v>10500</v>
      </c>
      <c r="E2507" s="13" t="s">
        <v>580</v>
      </c>
      <c r="F2507" s="681">
        <v>2.98</v>
      </c>
    </row>
    <row r="2508" spans="2:6" ht="15.75" hidden="1" customHeight="1" x14ac:dyDescent="0.25">
      <c r="B2508" s="13" t="s">
        <v>556</v>
      </c>
      <c r="C2508" s="13" t="s">
        <v>17236</v>
      </c>
      <c r="D2508" s="12" t="s">
        <v>10563</v>
      </c>
      <c r="E2508" s="13" t="s">
        <v>580</v>
      </c>
      <c r="F2508" s="681">
        <v>6.31</v>
      </c>
    </row>
    <row r="2509" spans="2:6" ht="15.75" hidden="1" customHeight="1" x14ac:dyDescent="0.25">
      <c r="B2509" s="13" t="s">
        <v>556</v>
      </c>
      <c r="C2509" s="13" t="s">
        <v>17237</v>
      </c>
      <c r="D2509" s="12" t="s">
        <v>10570</v>
      </c>
      <c r="E2509" s="13" t="s">
        <v>580</v>
      </c>
      <c r="F2509" s="681">
        <v>17.55</v>
      </c>
    </row>
    <row r="2510" spans="2:6" ht="15.75" hidden="1" customHeight="1" x14ac:dyDescent="0.25">
      <c r="B2510" s="13" t="s">
        <v>556</v>
      </c>
      <c r="C2510" s="13" t="s">
        <v>17238</v>
      </c>
      <c r="D2510" s="12" t="s">
        <v>10501</v>
      </c>
      <c r="E2510" s="13" t="s">
        <v>580</v>
      </c>
      <c r="F2510" s="681">
        <v>5.09</v>
      </c>
    </row>
    <row r="2511" spans="2:6" ht="15.75" hidden="1" customHeight="1" x14ac:dyDescent="0.25">
      <c r="B2511" s="13" t="s">
        <v>556</v>
      </c>
      <c r="C2511" s="13" t="s">
        <v>17239</v>
      </c>
      <c r="D2511" s="12" t="s">
        <v>10477</v>
      </c>
      <c r="E2511" s="13" t="s">
        <v>580</v>
      </c>
      <c r="F2511" s="681">
        <v>11.86</v>
      </c>
    </row>
    <row r="2512" spans="2:6" ht="15.75" hidden="1" customHeight="1" x14ac:dyDescent="0.25">
      <c r="B2512" s="13" t="s">
        <v>556</v>
      </c>
      <c r="C2512" s="13" t="s">
        <v>17240</v>
      </c>
      <c r="D2512" s="12" t="s">
        <v>10562</v>
      </c>
      <c r="E2512" s="13" t="s">
        <v>580</v>
      </c>
      <c r="F2512" s="681">
        <v>5.75</v>
      </c>
    </row>
    <row r="2513" spans="2:6" ht="15.75" hidden="1" customHeight="1" x14ac:dyDescent="0.25">
      <c r="B2513" s="13" t="s">
        <v>556</v>
      </c>
      <c r="C2513" s="13" t="s">
        <v>17241</v>
      </c>
      <c r="D2513" s="12" t="s">
        <v>10559</v>
      </c>
      <c r="E2513" s="13" t="s">
        <v>580</v>
      </c>
      <c r="F2513" s="681">
        <v>3.54</v>
      </c>
    </row>
    <row r="2514" spans="2:6" ht="15.75" hidden="1" customHeight="1" x14ac:dyDescent="0.25">
      <c r="B2514" s="13" t="s">
        <v>556</v>
      </c>
      <c r="C2514" s="13" t="s">
        <v>17242</v>
      </c>
      <c r="D2514" s="12" t="s">
        <v>10538</v>
      </c>
      <c r="E2514" s="13" t="s">
        <v>580</v>
      </c>
      <c r="F2514" s="681">
        <v>4.57</v>
      </c>
    </row>
    <row r="2515" spans="2:6" ht="15.75" hidden="1" customHeight="1" x14ac:dyDescent="0.25">
      <c r="B2515" s="13" t="s">
        <v>556</v>
      </c>
      <c r="C2515" s="13" t="s">
        <v>17243</v>
      </c>
      <c r="D2515" s="12" t="s">
        <v>17244</v>
      </c>
      <c r="E2515" s="13" t="s">
        <v>580</v>
      </c>
      <c r="F2515" s="681">
        <v>65.27</v>
      </c>
    </row>
    <row r="2516" spans="2:6" ht="15.75" hidden="1" customHeight="1" x14ac:dyDescent="0.25">
      <c r="B2516" s="13" t="s">
        <v>556</v>
      </c>
      <c r="C2516" s="13" t="s">
        <v>17245</v>
      </c>
      <c r="D2516" s="12" t="s">
        <v>17246</v>
      </c>
      <c r="E2516" s="13" t="s">
        <v>580</v>
      </c>
      <c r="F2516" s="681">
        <v>71.66</v>
      </c>
    </row>
    <row r="2517" spans="2:6" ht="15.75" hidden="1" customHeight="1" x14ac:dyDescent="0.25">
      <c r="B2517" s="13" t="s">
        <v>556</v>
      </c>
      <c r="C2517" s="13" t="s">
        <v>17247</v>
      </c>
      <c r="D2517" s="12" t="s">
        <v>17248</v>
      </c>
      <c r="E2517" s="13" t="s">
        <v>580</v>
      </c>
      <c r="F2517" s="681">
        <v>6.56</v>
      </c>
    </row>
    <row r="2518" spans="2:6" ht="15.75" hidden="1" customHeight="1" x14ac:dyDescent="0.25">
      <c r="B2518" s="13" t="s">
        <v>556</v>
      </c>
      <c r="C2518" s="13" t="s">
        <v>17249</v>
      </c>
      <c r="D2518" s="12" t="s">
        <v>10450</v>
      </c>
      <c r="E2518" s="13" t="s">
        <v>580</v>
      </c>
      <c r="F2518" s="681">
        <v>12.31</v>
      </c>
    </row>
    <row r="2519" spans="2:6" ht="15.75" hidden="1" customHeight="1" x14ac:dyDescent="0.25">
      <c r="B2519" s="13" t="s">
        <v>556</v>
      </c>
      <c r="C2519" s="13" t="s">
        <v>17250</v>
      </c>
      <c r="D2519" s="12" t="s">
        <v>17251</v>
      </c>
      <c r="E2519" s="13" t="s">
        <v>580</v>
      </c>
      <c r="F2519" s="681">
        <v>80.790000000000006</v>
      </c>
    </row>
    <row r="2520" spans="2:6" ht="15.75" hidden="1" customHeight="1" x14ac:dyDescent="0.25">
      <c r="B2520" s="13" t="s">
        <v>556</v>
      </c>
      <c r="C2520" s="13" t="s">
        <v>17252</v>
      </c>
      <c r="D2520" s="12" t="s">
        <v>10537</v>
      </c>
      <c r="E2520" s="13" t="s">
        <v>580</v>
      </c>
      <c r="F2520" s="681">
        <v>11.49</v>
      </c>
    </row>
    <row r="2521" spans="2:6" ht="15.75" hidden="1" customHeight="1" x14ac:dyDescent="0.25">
      <c r="B2521" s="13" t="s">
        <v>556</v>
      </c>
      <c r="C2521" s="13" t="s">
        <v>17253</v>
      </c>
      <c r="D2521" s="12" t="s">
        <v>8898</v>
      </c>
      <c r="E2521" s="13" t="s">
        <v>580</v>
      </c>
      <c r="F2521" s="681">
        <v>0.91</v>
      </c>
    </row>
    <row r="2522" spans="2:6" ht="15.75" hidden="1" customHeight="1" x14ac:dyDescent="0.25">
      <c r="B2522" s="13" t="s">
        <v>556</v>
      </c>
      <c r="C2522" s="13" t="s">
        <v>17254</v>
      </c>
      <c r="D2522" s="12" t="s">
        <v>17255</v>
      </c>
      <c r="E2522" s="13" t="s">
        <v>580</v>
      </c>
      <c r="F2522" s="681">
        <v>66.92</v>
      </c>
    </row>
    <row r="2523" spans="2:6" ht="15.75" hidden="1" customHeight="1" x14ac:dyDescent="0.25">
      <c r="B2523" s="13" t="s">
        <v>556</v>
      </c>
      <c r="C2523" s="13" t="s">
        <v>17256</v>
      </c>
      <c r="D2523" s="12" t="s">
        <v>17257</v>
      </c>
      <c r="E2523" s="13" t="s">
        <v>585</v>
      </c>
      <c r="F2523" s="681">
        <v>4.58</v>
      </c>
    </row>
    <row r="2524" spans="2:6" ht="15.75" hidden="1" customHeight="1" x14ac:dyDescent="0.25">
      <c r="B2524" s="13" t="s">
        <v>556</v>
      </c>
      <c r="C2524" s="13" t="s">
        <v>17258</v>
      </c>
      <c r="D2524" s="12" t="s">
        <v>17259</v>
      </c>
      <c r="E2524" s="13" t="s">
        <v>585</v>
      </c>
      <c r="F2524" s="681">
        <v>5.92</v>
      </c>
    </row>
    <row r="2525" spans="2:6" ht="15.75" hidden="1" customHeight="1" x14ac:dyDescent="0.25">
      <c r="B2525" s="13" t="s">
        <v>556</v>
      </c>
      <c r="C2525" s="13" t="s">
        <v>17260</v>
      </c>
      <c r="D2525" s="12" t="s">
        <v>17261</v>
      </c>
      <c r="E2525" s="13" t="s">
        <v>585</v>
      </c>
      <c r="F2525" s="681">
        <v>8.42</v>
      </c>
    </row>
    <row r="2526" spans="2:6" ht="15.75" hidden="1" customHeight="1" x14ac:dyDescent="0.25">
      <c r="B2526" s="13" t="s">
        <v>556</v>
      </c>
      <c r="C2526" s="13" t="s">
        <v>17262</v>
      </c>
      <c r="D2526" s="12" t="s">
        <v>17263</v>
      </c>
      <c r="E2526" s="13" t="s">
        <v>585</v>
      </c>
      <c r="F2526" s="681">
        <v>13.77</v>
      </c>
    </row>
    <row r="2527" spans="2:6" ht="15.75" hidden="1" customHeight="1" x14ac:dyDescent="0.25">
      <c r="B2527" s="13" t="s">
        <v>556</v>
      </c>
      <c r="C2527" s="13" t="s">
        <v>17264</v>
      </c>
      <c r="D2527" s="12" t="s">
        <v>17265</v>
      </c>
      <c r="E2527" s="13" t="s">
        <v>585</v>
      </c>
      <c r="F2527" s="681">
        <v>8.82</v>
      </c>
    </row>
    <row r="2528" spans="2:6" ht="15.75" hidden="1" customHeight="1" x14ac:dyDescent="0.25">
      <c r="B2528" s="13" t="s">
        <v>556</v>
      </c>
      <c r="C2528" s="13" t="s">
        <v>17266</v>
      </c>
      <c r="D2528" s="12" t="s">
        <v>17267</v>
      </c>
      <c r="E2528" s="13" t="s">
        <v>585</v>
      </c>
      <c r="F2528" s="681">
        <v>14.45</v>
      </c>
    </row>
    <row r="2529" spans="2:6" ht="15.75" hidden="1" customHeight="1" x14ac:dyDescent="0.25">
      <c r="B2529" s="13" t="s">
        <v>556</v>
      </c>
      <c r="C2529" s="13" t="s">
        <v>17268</v>
      </c>
      <c r="D2529" s="12" t="s">
        <v>10539</v>
      </c>
      <c r="E2529" s="13" t="s">
        <v>580</v>
      </c>
      <c r="F2529" s="681">
        <v>1.47</v>
      </c>
    </row>
    <row r="2530" spans="2:6" ht="15.75" hidden="1" customHeight="1" x14ac:dyDescent="0.25">
      <c r="B2530" s="13" t="s">
        <v>556</v>
      </c>
      <c r="C2530" s="13" t="s">
        <v>17269</v>
      </c>
      <c r="D2530" s="12" t="s">
        <v>17270</v>
      </c>
      <c r="E2530" s="13" t="s">
        <v>585</v>
      </c>
      <c r="F2530" s="681">
        <v>20</v>
      </c>
    </row>
    <row r="2531" spans="2:6" ht="15.75" hidden="1" customHeight="1" x14ac:dyDescent="0.25">
      <c r="B2531" s="13" t="s">
        <v>556</v>
      </c>
      <c r="C2531" s="13" t="s">
        <v>17271</v>
      </c>
      <c r="D2531" s="12" t="s">
        <v>17272</v>
      </c>
      <c r="E2531" s="13" t="s">
        <v>585</v>
      </c>
      <c r="F2531" s="681">
        <v>27.9</v>
      </c>
    </row>
    <row r="2532" spans="2:6" ht="15.75" hidden="1" customHeight="1" x14ac:dyDescent="0.25">
      <c r="B2532" s="13" t="s">
        <v>556</v>
      </c>
      <c r="C2532" s="13" t="s">
        <v>17273</v>
      </c>
      <c r="D2532" s="12" t="s">
        <v>17274</v>
      </c>
      <c r="E2532" s="13" t="s">
        <v>580</v>
      </c>
      <c r="F2532" s="681">
        <v>6.09</v>
      </c>
    </row>
    <row r="2533" spans="2:6" ht="15.75" hidden="1" customHeight="1" x14ac:dyDescent="0.25">
      <c r="B2533" s="13" t="s">
        <v>556</v>
      </c>
      <c r="C2533" s="13" t="s">
        <v>17275</v>
      </c>
      <c r="D2533" s="12" t="s">
        <v>17276</v>
      </c>
      <c r="E2533" s="13" t="s">
        <v>580</v>
      </c>
      <c r="F2533" s="681">
        <v>8.7200000000000006</v>
      </c>
    </row>
    <row r="2534" spans="2:6" ht="15.75" hidden="1" customHeight="1" x14ac:dyDescent="0.25">
      <c r="B2534" s="13" t="s">
        <v>556</v>
      </c>
      <c r="C2534" s="13" t="s">
        <v>17277</v>
      </c>
      <c r="D2534" s="12" t="s">
        <v>10540</v>
      </c>
      <c r="E2534" s="13" t="s">
        <v>580</v>
      </c>
      <c r="F2534" s="681">
        <v>2.3199999999999998</v>
      </c>
    </row>
    <row r="2535" spans="2:6" ht="15.75" hidden="1" customHeight="1" x14ac:dyDescent="0.25">
      <c r="B2535" s="13" t="s">
        <v>556</v>
      </c>
      <c r="C2535" s="13" t="s">
        <v>17278</v>
      </c>
      <c r="D2535" s="12" t="s">
        <v>17279</v>
      </c>
      <c r="E2535" s="13" t="s">
        <v>580</v>
      </c>
      <c r="F2535" s="681">
        <v>9.8000000000000007</v>
      </c>
    </row>
    <row r="2536" spans="2:6" ht="15.75" hidden="1" customHeight="1" x14ac:dyDescent="0.25">
      <c r="B2536" s="13" t="s">
        <v>556</v>
      </c>
      <c r="C2536" s="13" t="s">
        <v>17280</v>
      </c>
      <c r="D2536" s="12" t="s">
        <v>17281</v>
      </c>
      <c r="E2536" s="13" t="s">
        <v>580</v>
      </c>
      <c r="F2536" s="681">
        <v>9.9700000000000006</v>
      </c>
    </row>
    <row r="2537" spans="2:6" ht="15.75" hidden="1" customHeight="1" x14ac:dyDescent="0.25">
      <c r="B2537" s="13" t="s">
        <v>556</v>
      </c>
      <c r="C2537" s="13" t="s">
        <v>17282</v>
      </c>
      <c r="D2537" s="12" t="s">
        <v>17283</v>
      </c>
      <c r="E2537" s="13" t="s">
        <v>580</v>
      </c>
      <c r="F2537" s="681">
        <v>11.68</v>
      </c>
    </row>
    <row r="2538" spans="2:6" ht="15.75" hidden="1" customHeight="1" x14ac:dyDescent="0.25">
      <c r="B2538" s="13" t="s">
        <v>556</v>
      </c>
      <c r="C2538" s="13" t="s">
        <v>17284</v>
      </c>
      <c r="D2538" s="12" t="s">
        <v>17285</v>
      </c>
      <c r="E2538" s="13" t="s">
        <v>580</v>
      </c>
      <c r="F2538" s="681">
        <v>13.83</v>
      </c>
    </row>
    <row r="2539" spans="2:6" ht="15.75" hidden="1" customHeight="1" x14ac:dyDescent="0.25">
      <c r="B2539" s="13" t="s">
        <v>556</v>
      </c>
      <c r="C2539" s="13" t="s">
        <v>17286</v>
      </c>
      <c r="D2539" s="12" t="s">
        <v>17287</v>
      </c>
      <c r="E2539" s="13" t="s">
        <v>580</v>
      </c>
      <c r="F2539" s="681">
        <v>21.09</v>
      </c>
    </row>
    <row r="2540" spans="2:6" ht="15.75" hidden="1" customHeight="1" x14ac:dyDescent="0.25">
      <c r="B2540" s="13" t="s">
        <v>556</v>
      </c>
      <c r="C2540" s="13" t="s">
        <v>17288</v>
      </c>
      <c r="D2540" s="12" t="s">
        <v>17289</v>
      </c>
      <c r="E2540" s="13" t="s">
        <v>580</v>
      </c>
      <c r="F2540" s="681">
        <v>23.85</v>
      </c>
    </row>
    <row r="2541" spans="2:6" ht="15.75" hidden="1" customHeight="1" x14ac:dyDescent="0.25">
      <c r="B2541" s="13" t="s">
        <v>556</v>
      </c>
      <c r="C2541" s="13" t="s">
        <v>17290</v>
      </c>
      <c r="D2541" s="12" t="s">
        <v>17291</v>
      </c>
      <c r="E2541" s="13" t="s">
        <v>580</v>
      </c>
      <c r="F2541" s="681">
        <v>10.36</v>
      </c>
    </row>
    <row r="2542" spans="2:6" ht="15.75" hidden="1" customHeight="1" x14ac:dyDescent="0.25">
      <c r="B2542" s="13" t="s">
        <v>556</v>
      </c>
      <c r="C2542" s="13" t="s">
        <v>17292</v>
      </c>
      <c r="D2542" s="12" t="s">
        <v>10475</v>
      </c>
      <c r="E2542" s="13" t="s">
        <v>580</v>
      </c>
      <c r="F2542" s="681">
        <v>17.87</v>
      </c>
    </row>
    <row r="2543" spans="2:6" ht="15.75" hidden="1" customHeight="1" x14ac:dyDescent="0.25">
      <c r="B2543" s="13" t="s">
        <v>556</v>
      </c>
      <c r="C2543" s="13" t="s">
        <v>17293</v>
      </c>
      <c r="D2543" s="12" t="s">
        <v>17294</v>
      </c>
      <c r="E2543" s="13" t="s">
        <v>580</v>
      </c>
      <c r="F2543" s="681">
        <v>23.04</v>
      </c>
    </row>
    <row r="2544" spans="2:6" ht="15.75" hidden="1" customHeight="1" x14ac:dyDescent="0.25">
      <c r="B2544" s="13" t="s">
        <v>556</v>
      </c>
      <c r="C2544" s="13" t="s">
        <v>17295</v>
      </c>
      <c r="D2544" s="12" t="s">
        <v>17296</v>
      </c>
      <c r="E2544" s="13" t="s">
        <v>580</v>
      </c>
      <c r="F2544" s="681">
        <v>34.14</v>
      </c>
    </row>
    <row r="2545" spans="2:6" ht="15.75" hidden="1" customHeight="1" x14ac:dyDescent="0.25">
      <c r="B2545" s="13" t="s">
        <v>556</v>
      </c>
      <c r="C2545" s="13" t="s">
        <v>17297</v>
      </c>
      <c r="D2545" s="12" t="s">
        <v>17298</v>
      </c>
      <c r="E2545" s="13" t="s">
        <v>580</v>
      </c>
      <c r="F2545" s="681">
        <v>30.07</v>
      </c>
    </row>
    <row r="2546" spans="2:6" ht="15.75" hidden="1" customHeight="1" x14ac:dyDescent="0.25">
      <c r="B2546" s="13" t="s">
        <v>556</v>
      </c>
      <c r="C2546" s="13" t="s">
        <v>17299</v>
      </c>
      <c r="D2546" s="12" t="s">
        <v>17300</v>
      </c>
      <c r="E2546" s="13" t="s">
        <v>580</v>
      </c>
      <c r="F2546" s="681">
        <v>43.5</v>
      </c>
    </row>
    <row r="2547" spans="2:6" ht="15.75" hidden="1" customHeight="1" x14ac:dyDescent="0.25">
      <c r="B2547" s="13" t="s">
        <v>556</v>
      </c>
      <c r="C2547" s="13" t="s">
        <v>17301</v>
      </c>
      <c r="D2547" s="12" t="s">
        <v>17302</v>
      </c>
      <c r="E2547" s="13" t="s">
        <v>580</v>
      </c>
      <c r="F2547" s="681">
        <v>16.600000000000001</v>
      </c>
    </row>
    <row r="2548" spans="2:6" ht="15.75" hidden="1" customHeight="1" x14ac:dyDescent="0.25">
      <c r="B2548" s="13" t="s">
        <v>556</v>
      </c>
      <c r="C2548" s="13" t="s">
        <v>17303</v>
      </c>
      <c r="D2548" s="12" t="s">
        <v>17304</v>
      </c>
      <c r="E2548" s="13" t="s">
        <v>580</v>
      </c>
      <c r="F2548" s="681">
        <v>21.02</v>
      </c>
    </row>
    <row r="2549" spans="2:6" ht="15.75" hidden="1" customHeight="1" x14ac:dyDescent="0.25">
      <c r="B2549" s="13" t="s">
        <v>556</v>
      </c>
      <c r="C2549" s="13" t="s">
        <v>17305</v>
      </c>
      <c r="D2549" s="12" t="s">
        <v>17306</v>
      </c>
      <c r="E2549" s="13" t="s">
        <v>580</v>
      </c>
      <c r="F2549" s="681">
        <v>33.32</v>
      </c>
    </row>
    <row r="2550" spans="2:6" ht="15.75" hidden="1" customHeight="1" x14ac:dyDescent="0.25">
      <c r="B2550" s="13" t="s">
        <v>556</v>
      </c>
      <c r="C2550" s="13" t="s">
        <v>17307</v>
      </c>
      <c r="D2550" s="12" t="s">
        <v>17308</v>
      </c>
      <c r="E2550" s="13" t="s">
        <v>580</v>
      </c>
      <c r="F2550" s="681">
        <v>44.77</v>
      </c>
    </row>
    <row r="2551" spans="2:6" ht="15.75" hidden="1" customHeight="1" x14ac:dyDescent="0.25">
      <c r="B2551" s="13" t="s">
        <v>556</v>
      </c>
      <c r="C2551" s="13" t="s">
        <v>17309</v>
      </c>
      <c r="D2551" s="12" t="s">
        <v>10649</v>
      </c>
      <c r="E2551" s="13" t="s">
        <v>823</v>
      </c>
      <c r="F2551" s="681">
        <v>7.45</v>
      </c>
    </row>
    <row r="2552" spans="2:6" ht="15.75" hidden="1" customHeight="1" x14ac:dyDescent="0.25">
      <c r="B2552" s="13" t="s">
        <v>556</v>
      </c>
      <c r="C2552" s="13" t="s">
        <v>17310</v>
      </c>
      <c r="D2552" s="12" t="s">
        <v>17311</v>
      </c>
      <c r="E2552" s="13" t="s">
        <v>580</v>
      </c>
      <c r="F2552" s="681">
        <v>50.02</v>
      </c>
    </row>
    <row r="2553" spans="2:6" ht="15.75" hidden="1" customHeight="1" x14ac:dyDescent="0.25">
      <c r="B2553" s="13" t="s">
        <v>556</v>
      </c>
      <c r="C2553" s="13" t="s">
        <v>17312</v>
      </c>
      <c r="D2553" s="12" t="s">
        <v>10498</v>
      </c>
      <c r="E2553" s="13" t="s">
        <v>580</v>
      </c>
      <c r="F2553" s="681">
        <v>3.67</v>
      </c>
    </row>
    <row r="2554" spans="2:6" ht="15.75" hidden="1" customHeight="1" x14ac:dyDescent="0.25">
      <c r="B2554" s="13" t="s">
        <v>556</v>
      </c>
      <c r="C2554" s="13" t="s">
        <v>17313</v>
      </c>
      <c r="D2554" s="12" t="s">
        <v>17314</v>
      </c>
      <c r="E2554" s="13" t="s">
        <v>580</v>
      </c>
      <c r="F2554" s="681">
        <v>21.48</v>
      </c>
    </row>
    <row r="2555" spans="2:6" ht="15.75" hidden="1" customHeight="1" x14ac:dyDescent="0.25">
      <c r="B2555" s="13" t="s">
        <v>556</v>
      </c>
      <c r="C2555" s="13" t="s">
        <v>17315</v>
      </c>
      <c r="D2555" s="12" t="s">
        <v>17316</v>
      </c>
      <c r="E2555" s="13" t="s">
        <v>580</v>
      </c>
      <c r="F2555" s="681">
        <v>20.71</v>
      </c>
    </row>
    <row r="2556" spans="2:6" ht="15.75" hidden="1" customHeight="1" x14ac:dyDescent="0.25">
      <c r="B2556" s="13" t="s">
        <v>556</v>
      </c>
      <c r="C2556" s="13" t="s">
        <v>17317</v>
      </c>
      <c r="D2556" s="12" t="s">
        <v>17318</v>
      </c>
      <c r="E2556" s="13" t="s">
        <v>580</v>
      </c>
      <c r="F2556" s="681">
        <v>24.22</v>
      </c>
    </row>
    <row r="2557" spans="2:6" ht="15.75" hidden="1" customHeight="1" x14ac:dyDescent="0.25">
      <c r="B2557" s="13" t="s">
        <v>556</v>
      </c>
      <c r="C2557" s="13" t="s">
        <v>17319</v>
      </c>
      <c r="D2557" s="12" t="s">
        <v>17320</v>
      </c>
      <c r="E2557" s="13" t="s">
        <v>580</v>
      </c>
      <c r="F2557" s="681">
        <v>10.9</v>
      </c>
    </row>
    <row r="2558" spans="2:6" ht="15.75" hidden="1" customHeight="1" x14ac:dyDescent="0.25">
      <c r="B2558" s="13" t="s">
        <v>556</v>
      </c>
      <c r="C2558" s="13" t="s">
        <v>17321</v>
      </c>
      <c r="D2558" s="12" t="s">
        <v>17322</v>
      </c>
      <c r="E2558" s="13" t="s">
        <v>580</v>
      </c>
      <c r="F2558" s="681">
        <v>13.38</v>
      </c>
    </row>
    <row r="2559" spans="2:6" ht="15.75" hidden="1" customHeight="1" x14ac:dyDescent="0.25">
      <c r="B2559" s="13" t="s">
        <v>556</v>
      </c>
      <c r="C2559" s="13" t="s">
        <v>17323</v>
      </c>
      <c r="D2559" s="12" t="s">
        <v>17324</v>
      </c>
      <c r="E2559" s="13" t="s">
        <v>580</v>
      </c>
      <c r="F2559" s="681">
        <v>25.79</v>
      </c>
    </row>
    <row r="2560" spans="2:6" ht="15.75" hidden="1" customHeight="1" x14ac:dyDescent="0.25">
      <c r="B2560" s="13" t="s">
        <v>556</v>
      </c>
      <c r="C2560" s="13" t="s">
        <v>17325</v>
      </c>
      <c r="D2560" s="12" t="s">
        <v>17326</v>
      </c>
      <c r="E2560" s="13" t="s">
        <v>580</v>
      </c>
      <c r="F2560" s="681">
        <v>35.700000000000003</v>
      </c>
    </row>
    <row r="2561" spans="2:6" ht="15.75" hidden="1" customHeight="1" x14ac:dyDescent="0.25">
      <c r="B2561" s="13" t="s">
        <v>556</v>
      </c>
      <c r="C2561" s="13" t="s">
        <v>17327</v>
      </c>
      <c r="D2561" s="12" t="s">
        <v>17328</v>
      </c>
      <c r="E2561" s="13" t="s">
        <v>580</v>
      </c>
      <c r="F2561" s="681">
        <v>12.54</v>
      </c>
    </row>
    <row r="2562" spans="2:6" ht="15.75" hidden="1" customHeight="1" x14ac:dyDescent="0.25">
      <c r="B2562" s="13" t="s">
        <v>556</v>
      </c>
      <c r="C2562" s="13" t="s">
        <v>17329</v>
      </c>
      <c r="D2562" s="12" t="s">
        <v>17330</v>
      </c>
      <c r="E2562" s="13" t="s">
        <v>580</v>
      </c>
      <c r="F2562" s="681">
        <v>14.72</v>
      </c>
    </row>
    <row r="2563" spans="2:6" ht="15.75" hidden="1" customHeight="1" x14ac:dyDescent="0.25">
      <c r="B2563" s="13" t="s">
        <v>556</v>
      </c>
      <c r="C2563" s="13" t="s">
        <v>17331</v>
      </c>
      <c r="D2563" s="12" t="s">
        <v>17332</v>
      </c>
      <c r="E2563" s="13" t="s">
        <v>580</v>
      </c>
      <c r="F2563" s="681">
        <v>19.75</v>
      </c>
    </row>
    <row r="2564" spans="2:6" ht="15.75" hidden="1" customHeight="1" x14ac:dyDescent="0.25">
      <c r="B2564" s="13" t="s">
        <v>556</v>
      </c>
      <c r="C2564" s="13" t="s">
        <v>17333</v>
      </c>
      <c r="D2564" s="12" t="s">
        <v>17334</v>
      </c>
      <c r="E2564" s="13" t="s">
        <v>580</v>
      </c>
      <c r="F2564" s="681">
        <v>11.67</v>
      </c>
    </row>
    <row r="2565" spans="2:6" ht="15.75" hidden="1" customHeight="1" x14ac:dyDescent="0.25">
      <c r="B2565" s="13" t="s">
        <v>556</v>
      </c>
      <c r="C2565" s="13" t="s">
        <v>17335</v>
      </c>
      <c r="D2565" s="12" t="s">
        <v>17336</v>
      </c>
      <c r="E2565" s="13" t="s">
        <v>580</v>
      </c>
      <c r="F2565" s="681">
        <v>13.54</v>
      </c>
    </row>
    <row r="2566" spans="2:6" ht="15.75" hidden="1" customHeight="1" x14ac:dyDescent="0.25">
      <c r="B2566" s="13" t="s">
        <v>556</v>
      </c>
      <c r="C2566" s="13" t="s">
        <v>17337</v>
      </c>
      <c r="D2566" s="12" t="s">
        <v>17338</v>
      </c>
      <c r="E2566" s="13" t="s">
        <v>580</v>
      </c>
      <c r="F2566" s="681">
        <v>16.05</v>
      </c>
    </row>
    <row r="2567" spans="2:6" ht="15.75" hidden="1" customHeight="1" x14ac:dyDescent="0.25">
      <c r="B2567" s="13" t="s">
        <v>556</v>
      </c>
      <c r="C2567" s="13" t="s">
        <v>17339</v>
      </c>
      <c r="D2567" s="12" t="s">
        <v>17340</v>
      </c>
      <c r="E2567" s="13" t="s">
        <v>580</v>
      </c>
      <c r="F2567" s="681">
        <v>20.27</v>
      </c>
    </row>
    <row r="2568" spans="2:6" ht="15.75" hidden="1" customHeight="1" x14ac:dyDescent="0.25">
      <c r="B2568" s="13" t="s">
        <v>556</v>
      </c>
      <c r="C2568" s="13" t="s">
        <v>17341</v>
      </c>
      <c r="D2568" s="12" t="s">
        <v>17342</v>
      </c>
      <c r="E2568" s="13" t="s">
        <v>580</v>
      </c>
      <c r="F2568" s="681">
        <v>22.44</v>
      </c>
    </row>
    <row r="2569" spans="2:6" ht="15.75" hidden="1" customHeight="1" x14ac:dyDescent="0.25">
      <c r="B2569" s="13" t="s">
        <v>556</v>
      </c>
      <c r="C2569" s="13" t="s">
        <v>17343</v>
      </c>
      <c r="D2569" s="12" t="s">
        <v>10491</v>
      </c>
      <c r="E2569" s="13" t="s">
        <v>580</v>
      </c>
      <c r="F2569" s="681">
        <v>19.75</v>
      </c>
    </row>
    <row r="2570" spans="2:6" ht="15.75" hidden="1" customHeight="1" x14ac:dyDescent="0.25">
      <c r="B2570" s="13" t="s">
        <v>556</v>
      </c>
      <c r="C2570" s="13" t="s">
        <v>17344</v>
      </c>
      <c r="D2570" s="12" t="s">
        <v>17345</v>
      </c>
      <c r="E2570" s="13" t="s">
        <v>580</v>
      </c>
      <c r="F2570" s="681">
        <v>17.59</v>
      </c>
    </row>
    <row r="2571" spans="2:6" ht="15.75" hidden="1" customHeight="1" x14ac:dyDescent="0.25">
      <c r="B2571" s="13" t="s">
        <v>556</v>
      </c>
      <c r="C2571" s="13" t="s">
        <v>17346</v>
      </c>
      <c r="D2571" s="12" t="s">
        <v>10493</v>
      </c>
      <c r="E2571" s="13" t="s">
        <v>580</v>
      </c>
      <c r="F2571" s="681">
        <v>13.37</v>
      </c>
    </row>
    <row r="2572" spans="2:6" ht="15.75" hidden="1" customHeight="1" x14ac:dyDescent="0.25">
      <c r="B2572" s="13" t="s">
        <v>556</v>
      </c>
      <c r="C2572" s="13" t="s">
        <v>17347</v>
      </c>
      <c r="D2572" s="12" t="s">
        <v>10558</v>
      </c>
      <c r="E2572" s="13" t="s">
        <v>580</v>
      </c>
      <c r="F2572" s="681">
        <v>1.71</v>
      </c>
    </row>
    <row r="2573" spans="2:6" ht="15.75" hidden="1" customHeight="1" x14ac:dyDescent="0.25">
      <c r="B2573" s="13" t="s">
        <v>556</v>
      </c>
      <c r="C2573" s="13" t="s">
        <v>17348</v>
      </c>
      <c r="D2573" s="12" t="s">
        <v>11733</v>
      </c>
      <c r="E2573" s="13" t="s">
        <v>585</v>
      </c>
      <c r="F2573" s="681">
        <v>9.9499999999999993</v>
      </c>
    </row>
    <row r="2574" spans="2:6" ht="15.75" hidden="1" customHeight="1" x14ac:dyDescent="0.25">
      <c r="B2574" s="13" t="s">
        <v>556</v>
      </c>
      <c r="C2574" s="13" t="s">
        <v>17349</v>
      </c>
      <c r="D2574" s="12" t="s">
        <v>11734</v>
      </c>
      <c r="E2574" s="13" t="s">
        <v>585</v>
      </c>
      <c r="F2574" s="681">
        <v>13.42</v>
      </c>
    </row>
    <row r="2575" spans="2:6" ht="15.75" hidden="1" customHeight="1" x14ac:dyDescent="0.25">
      <c r="B2575" s="13" t="s">
        <v>556</v>
      </c>
      <c r="C2575" s="13" t="s">
        <v>17350</v>
      </c>
      <c r="D2575" s="12" t="s">
        <v>11735</v>
      </c>
      <c r="E2575" s="13" t="s">
        <v>585</v>
      </c>
      <c r="F2575" s="681">
        <v>22.17</v>
      </c>
    </row>
    <row r="2576" spans="2:6" ht="15.75" hidden="1" customHeight="1" x14ac:dyDescent="0.25">
      <c r="B2576" s="13" t="s">
        <v>556</v>
      </c>
      <c r="C2576" s="13" t="s">
        <v>17351</v>
      </c>
      <c r="D2576" s="12" t="s">
        <v>11736</v>
      </c>
      <c r="E2576" s="13" t="s">
        <v>585</v>
      </c>
      <c r="F2576" s="681">
        <v>36.01</v>
      </c>
    </row>
    <row r="2577" spans="2:6" ht="15.75" hidden="1" customHeight="1" x14ac:dyDescent="0.25">
      <c r="B2577" s="13" t="s">
        <v>556</v>
      </c>
      <c r="C2577" s="13" t="s">
        <v>17352</v>
      </c>
      <c r="D2577" s="12" t="s">
        <v>11737</v>
      </c>
      <c r="E2577" s="13" t="s">
        <v>585</v>
      </c>
      <c r="F2577" s="681">
        <v>46.17</v>
      </c>
    </row>
    <row r="2578" spans="2:6" ht="15.75" hidden="1" customHeight="1" x14ac:dyDescent="0.25">
      <c r="B2578" s="13" t="s">
        <v>556</v>
      </c>
      <c r="C2578" s="13" t="s">
        <v>17353</v>
      </c>
      <c r="D2578" s="12" t="s">
        <v>11738</v>
      </c>
      <c r="E2578" s="13" t="s">
        <v>585</v>
      </c>
      <c r="F2578" s="681">
        <v>79.38</v>
      </c>
    </row>
    <row r="2579" spans="2:6" ht="15.75" hidden="1" customHeight="1" x14ac:dyDescent="0.25">
      <c r="B2579" s="13" t="s">
        <v>556</v>
      </c>
      <c r="C2579" s="13" t="s">
        <v>17354</v>
      </c>
      <c r="D2579" s="12" t="s">
        <v>11732</v>
      </c>
      <c r="E2579" s="13" t="s">
        <v>585</v>
      </c>
      <c r="F2579" s="681">
        <v>118.6</v>
      </c>
    </row>
    <row r="2580" spans="2:6" ht="15.75" hidden="1" customHeight="1" x14ac:dyDescent="0.25">
      <c r="B2580" s="13" t="s">
        <v>556</v>
      </c>
      <c r="C2580" s="13" t="s">
        <v>17355</v>
      </c>
      <c r="D2580" s="12" t="s">
        <v>11741</v>
      </c>
      <c r="E2580" s="13" t="s">
        <v>585</v>
      </c>
      <c r="F2580" s="681">
        <v>9.83</v>
      </c>
    </row>
    <row r="2581" spans="2:6" ht="15.75" hidden="1" customHeight="1" x14ac:dyDescent="0.25">
      <c r="B2581" s="13" t="s">
        <v>556</v>
      </c>
      <c r="C2581" s="13" t="s">
        <v>17356</v>
      </c>
      <c r="D2581" s="12" t="s">
        <v>11742</v>
      </c>
      <c r="E2581" s="13" t="s">
        <v>585</v>
      </c>
      <c r="F2581" s="681">
        <v>13.59</v>
      </c>
    </row>
    <row r="2582" spans="2:6" ht="15.75" hidden="1" customHeight="1" x14ac:dyDescent="0.25">
      <c r="B2582" s="13" t="s">
        <v>556</v>
      </c>
      <c r="C2582" s="13" t="s">
        <v>17357</v>
      </c>
      <c r="D2582" s="12" t="s">
        <v>10560</v>
      </c>
      <c r="E2582" s="13" t="s">
        <v>580</v>
      </c>
      <c r="F2582" s="681">
        <v>7.18</v>
      </c>
    </row>
    <row r="2583" spans="2:6" ht="15.75" hidden="1" customHeight="1" x14ac:dyDescent="0.25">
      <c r="B2583" s="13" t="s">
        <v>556</v>
      </c>
      <c r="C2583" s="13" t="s">
        <v>17358</v>
      </c>
      <c r="D2583" s="12" t="s">
        <v>11743</v>
      </c>
      <c r="E2583" s="13" t="s">
        <v>585</v>
      </c>
      <c r="F2583" s="681">
        <v>18.190000000000001</v>
      </c>
    </row>
    <row r="2584" spans="2:6" ht="15.75" hidden="1" customHeight="1" x14ac:dyDescent="0.25">
      <c r="B2584" s="13" t="s">
        <v>556</v>
      </c>
      <c r="C2584" s="13" t="s">
        <v>17359</v>
      </c>
      <c r="D2584" s="12" t="s">
        <v>11744</v>
      </c>
      <c r="E2584" s="13" t="s">
        <v>585</v>
      </c>
      <c r="F2584" s="681">
        <v>26.24</v>
      </c>
    </row>
    <row r="2585" spans="2:6" ht="15.75" hidden="1" customHeight="1" x14ac:dyDescent="0.25">
      <c r="B2585" s="13" t="s">
        <v>556</v>
      </c>
      <c r="C2585" s="13" t="s">
        <v>17360</v>
      </c>
      <c r="D2585" s="12" t="s">
        <v>11745</v>
      </c>
      <c r="E2585" s="13" t="s">
        <v>585</v>
      </c>
      <c r="F2585" s="681">
        <v>41.46</v>
      </c>
    </row>
    <row r="2586" spans="2:6" ht="15.75" hidden="1" customHeight="1" x14ac:dyDescent="0.25">
      <c r="B2586" s="13" t="s">
        <v>556</v>
      </c>
      <c r="C2586" s="13" t="s">
        <v>17361</v>
      </c>
      <c r="D2586" s="12" t="s">
        <v>11746</v>
      </c>
      <c r="E2586" s="13" t="s">
        <v>585</v>
      </c>
      <c r="F2586" s="681">
        <v>72.959999999999994</v>
      </c>
    </row>
    <row r="2587" spans="2:6" ht="15.75" hidden="1" customHeight="1" x14ac:dyDescent="0.25">
      <c r="B2587" s="13" t="s">
        <v>556</v>
      </c>
      <c r="C2587" s="13" t="s">
        <v>17362</v>
      </c>
      <c r="D2587" s="12" t="s">
        <v>11747</v>
      </c>
      <c r="E2587" s="13" t="s">
        <v>585</v>
      </c>
      <c r="F2587" s="681">
        <v>100.3</v>
      </c>
    </row>
    <row r="2588" spans="2:6" ht="15.75" hidden="1" customHeight="1" x14ac:dyDescent="0.25">
      <c r="B2588" s="13" t="s">
        <v>556</v>
      </c>
      <c r="C2588" s="13" t="s">
        <v>17363</v>
      </c>
      <c r="D2588" s="12" t="s">
        <v>11748</v>
      </c>
      <c r="E2588" s="13" t="s">
        <v>585</v>
      </c>
      <c r="F2588" s="681">
        <v>172.44</v>
      </c>
    </row>
    <row r="2589" spans="2:6" ht="15.75" hidden="1" customHeight="1" x14ac:dyDescent="0.25">
      <c r="B2589" s="13" t="s">
        <v>556</v>
      </c>
      <c r="C2589" s="13" t="s">
        <v>17364</v>
      </c>
      <c r="D2589" s="12" t="s">
        <v>11740</v>
      </c>
      <c r="E2589" s="13" t="s">
        <v>585</v>
      </c>
      <c r="F2589" s="681">
        <v>239.62</v>
      </c>
    </row>
    <row r="2590" spans="2:6" ht="15.75" hidden="1" customHeight="1" x14ac:dyDescent="0.25">
      <c r="B2590" s="13" t="s">
        <v>556</v>
      </c>
      <c r="C2590" s="13" t="s">
        <v>17365</v>
      </c>
      <c r="D2590" s="12" t="s">
        <v>10264</v>
      </c>
      <c r="E2590" s="13" t="s">
        <v>580</v>
      </c>
      <c r="F2590" s="681">
        <v>12.98</v>
      </c>
    </row>
    <row r="2591" spans="2:6" ht="15.75" hidden="1" customHeight="1" x14ac:dyDescent="0.25">
      <c r="B2591" s="13" t="s">
        <v>556</v>
      </c>
      <c r="C2591" s="13" t="s">
        <v>17366</v>
      </c>
      <c r="D2591" s="12" t="s">
        <v>10265</v>
      </c>
      <c r="E2591" s="13" t="s">
        <v>580</v>
      </c>
      <c r="F2591" s="681">
        <v>21.15</v>
      </c>
    </row>
    <row r="2592" spans="2:6" ht="15.75" hidden="1" customHeight="1" x14ac:dyDescent="0.25">
      <c r="B2592" s="13" t="s">
        <v>556</v>
      </c>
      <c r="C2592" s="13" t="s">
        <v>17367</v>
      </c>
      <c r="D2592" s="12" t="s">
        <v>10266</v>
      </c>
      <c r="E2592" s="13" t="s">
        <v>580</v>
      </c>
      <c r="F2592" s="681">
        <v>35.590000000000003</v>
      </c>
    </row>
    <row r="2593" spans="2:6" ht="15.75" hidden="1" customHeight="1" x14ac:dyDescent="0.25">
      <c r="B2593" s="13" t="s">
        <v>556</v>
      </c>
      <c r="C2593" s="13" t="s">
        <v>17368</v>
      </c>
      <c r="D2593" s="12" t="s">
        <v>10556</v>
      </c>
      <c r="E2593" s="13" t="s">
        <v>580</v>
      </c>
      <c r="F2593" s="681">
        <v>7.02</v>
      </c>
    </row>
    <row r="2594" spans="2:6" ht="15.75" hidden="1" customHeight="1" x14ac:dyDescent="0.25">
      <c r="B2594" s="13" t="s">
        <v>556</v>
      </c>
      <c r="C2594" s="13" t="s">
        <v>17369</v>
      </c>
      <c r="D2594" s="12" t="s">
        <v>10267</v>
      </c>
      <c r="E2594" s="13" t="s">
        <v>580</v>
      </c>
      <c r="F2594" s="681">
        <v>71.12</v>
      </c>
    </row>
    <row r="2595" spans="2:6" ht="15.75" hidden="1" customHeight="1" x14ac:dyDescent="0.25">
      <c r="B2595" s="13" t="s">
        <v>556</v>
      </c>
      <c r="C2595" s="13" t="s">
        <v>17370</v>
      </c>
      <c r="D2595" s="12" t="s">
        <v>10268</v>
      </c>
      <c r="E2595" s="13" t="s">
        <v>580</v>
      </c>
      <c r="F2595" s="681">
        <v>127.97</v>
      </c>
    </row>
    <row r="2596" spans="2:6" ht="15.75" hidden="1" customHeight="1" x14ac:dyDescent="0.25">
      <c r="B2596" s="13" t="s">
        <v>556</v>
      </c>
      <c r="C2596" s="13" t="s">
        <v>17371</v>
      </c>
      <c r="D2596" s="12" t="s">
        <v>9056</v>
      </c>
      <c r="E2596" s="13" t="s">
        <v>580</v>
      </c>
      <c r="F2596" s="681">
        <v>4.5599999999999996</v>
      </c>
    </row>
    <row r="2597" spans="2:6" ht="15.75" hidden="1" customHeight="1" x14ac:dyDescent="0.25">
      <c r="B2597" s="13" t="s">
        <v>556</v>
      </c>
      <c r="C2597" s="13" t="s">
        <v>17372</v>
      </c>
      <c r="D2597" s="12" t="s">
        <v>9057</v>
      </c>
      <c r="E2597" s="13" t="s">
        <v>580</v>
      </c>
      <c r="F2597" s="681">
        <v>11.85</v>
      </c>
    </row>
    <row r="2598" spans="2:6" ht="15.75" hidden="1" customHeight="1" x14ac:dyDescent="0.25">
      <c r="B2598" s="13" t="s">
        <v>556</v>
      </c>
      <c r="C2598" s="13" t="s">
        <v>17373</v>
      </c>
      <c r="D2598" s="12" t="s">
        <v>9503</v>
      </c>
      <c r="E2598" s="13" t="s">
        <v>580</v>
      </c>
      <c r="F2598" s="681">
        <v>17.809999999999999</v>
      </c>
    </row>
    <row r="2599" spans="2:6" ht="15.75" hidden="1" customHeight="1" x14ac:dyDescent="0.25">
      <c r="B2599" s="13" t="s">
        <v>556</v>
      </c>
      <c r="C2599" s="13" t="s">
        <v>17374</v>
      </c>
      <c r="D2599" s="12" t="s">
        <v>9506</v>
      </c>
      <c r="E2599" s="13" t="s">
        <v>580</v>
      </c>
      <c r="F2599" s="681">
        <v>25.48</v>
      </c>
    </row>
    <row r="2600" spans="2:6" ht="15.75" hidden="1" customHeight="1" x14ac:dyDescent="0.25">
      <c r="B2600" s="13" t="s">
        <v>556</v>
      </c>
      <c r="C2600" s="13" t="s">
        <v>17375</v>
      </c>
      <c r="D2600" s="12" t="s">
        <v>9501</v>
      </c>
      <c r="E2600" s="13" t="s">
        <v>580</v>
      </c>
      <c r="F2600" s="681">
        <v>9.9700000000000006</v>
      </c>
    </row>
    <row r="2601" spans="2:6" ht="15.75" hidden="1" customHeight="1" x14ac:dyDescent="0.25">
      <c r="B2601" s="13" t="s">
        <v>556</v>
      </c>
      <c r="C2601" s="13" t="s">
        <v>17376</v>
      </c>
      <c r="D2601" s="12" t="s">
        <v>9502</v>
      </c>
      <c r="E2601" s="13" t="s">
        <v>580</v>
      </c>
      <c r="F2601" s="681">
        <v>25.2</v>
      </c>
    </row>
    <row r="2602" spans="2:6" ht="15.75" hidden="1" customHeight="1" x14ac:dyDescent="0.25">
      <c r="B2602" s="13" t="s">
        <v>556</v>
      </c>
      <c r="C2602" s="13" t="s">
        <v>17377</v>
      </c>
      <c r="D2602" s="12" t="s">
        <v>17378</v>
      </c>
      <c r="E2602" s="13" t="s">
        <v>580</v>
      </c>
      <c r="F2602" s="681">
        <v>10.23</v>
      </c>
    </row>
    <row r="2603" spans="2:6" ht="15.75" hidden="1" customHeight="1" x14ac:dyDescent="0.25">
      <c r="B2603" s="13" t="s">
        <v>556</v>
      </c>
      <c r="C2603" s="13" t="s">
        <v>17379</v>
      </c>
      <c r="D2603" s="12" t="s">
        <v>10473</v>
      </c>
      <c r="E2603" s="13" t="s">
        <v>580</v>
      </c>
      <c r="F2603" s="681">
        <v>44.8</v>
      </c>
    </row>
    <row r="2604" spans="2:6" ht="15.75" hidden="1" customHeight="1" x14ac:dyDescent="0.25">
      <c r="B2604" s="13" t="s">
        <v>556</v>
      </c>
      <c r="C2604" s="13" t="s">
        <v>17380</v>
      </c>
      <c r="D2604" s="12" t="s">
        <v>11387</v>
      </c>
      <c r="E2604" s="13" t="s">
        <v>580</v>
      </c>
      <c r="F2604" s="681">
        <v>29.79</v>
      </c>
    </row>
    <row r="2605" spans="2:6" ht="15.75" hidden="1" customHeight="1" x14ac:dyDescent="0.25">
      <c r="B2605" s="13" t="s">
        <v>14150</v>
      </c>
      <c r="C2605" s="13" t="s">
        <v>17381</v>
      </c>
      <c r="D2605" s="12" t="s">
        <v>8972</v>
      </c>
      <c r="E2605" s="13" t="s">
        <v>580</v>
      </c>
      <c r="F2605" s="681">
        <v>59732.49</v>
      </c>
    </row>
    <row r="2606" spans="2:6" ht="15.75" hidden="1" customHeight="1" x14ac:dyDescent="0.25">
      <c r="B2606" s="13" t="s">
        <v>14150</v>
      </c>
      <c r="C2606" s="13" t="s">
        <v>17382</v>
      </c>
      <c r="D2606" s="12" t="s">
        <v>8973</v>
      </c>
      <c r="E2606" s="13" t="s">
        <v>580</v>
      </c>
      <c r="F2606" s="681">
        <v>63995.96</v>
      </c>
    </row>
    <row r="2607" spans="2:6" ht="15.75" hidden="1" customHeight="1" x14ac:dyDescent="0.25">
      <c r="B2607" s="13" t="s">
        <v>14150</v>
      </c>
      <c r="C2607" s="13" t="s">
        <v>17383</v>
      </c>
      <c r="D2607" s="12" t="s">
        <v>10932</v>
      </c>
      <c r="E2607" s="13" t="s">
        <v>580</v>
      </c>
      <c r="F2607" s="681">
        <v>1018468.47</v>
      </c>
    </row>
    <row r="2608" spans="2:6" ht="15.75" hidden="1" customHeight="1" x14ac:dyDescent="0.25">
      <c r="B2608" s="13" t="s">
        <v>556</v>
      </c>
      <c r="C2608" s="13" t="s">
        <v>17384</v>
      </c>
      <c r="D2608" s="12" t="s">
        <v>17385</v>
      </c>
      <c r="E2608" s="13" t="s">
        <v>580</v>
      </c>
      <c r="F2608" s="681">
        <v>1.53</v>
      </c>
    </row>
    <row r="2609" spans="2:6" ht="15.75" hidden="1" customHeight="1" x14ac:dyDescent="0.25">
      <c r="B2609" s="13" t="s">
        <v>556</v>
      </c>
      <c r="C2609" s="13" t="s">
        <v>17386</v>
      </c>
      <c r="D2609" s="12" t="s">
        <v>10036</v>
      </c>
      <c r="E2609" s="13" t="s">
        <v>823</v>
      </c>
      <c r="F2609" s="681">
        <v>9.32</v>
      </c>
    </row>
    <row r="2610" spans="2:6" ht="15.75" hidden="1" customHeight="1" x14ac:dyDescent="0.25">
      <c r="B2610" s="13" t="s">
        <v>556</v>
      </c>
      <c r="C2610" s="13" t="s">
        <v>17387</v>
      </c>
      <c r="D2610" s="12" t="s">
        <v>17388</v>
      </c>
      <c r="E2610" s="13" t="s">
        <v>580</v>
      </c>
      <c r="F2610" s="681">
        <v>1</v>
      </c>
    </row>
    <row r="2611" spans="2:6" ht="15.75" hidden="1" customHeight="1" x14ac:dyDescent="0.25">
      <c r="B2611" s="13" t="s">
        <v>556</v>
      </c>
      <c r="C2611" s="13" t="s">
        <v>17389</v>
      </c>
      <c r="D2611" s="12" t="s">
        <v>17390</v>
      </c>
      <c r="E2611" s="13" t="s">
        <v>580</v>
      </c>
      <c r="F2611" s="681">
        <v>0.37</v>
      </c>
    </row>
    <row r="2612" spans="2:6" ht="15.75" hidden="1" customHeight="1" x14ac:dyDescent="0.25">
      <c r="B2612" s="13" t="s">
        <v>556</v>
      </c>
      <c r="C2612" s="13" t="s">
        <v>13155</v>
      </c>
      <c r="D2612" s="12" t="s">
        <v>17391</v>
      </c>
      <c r="E2612" s="13" t="s">
        <v>580</v>
      </c>
      <c r="F2612" s="681">
        <v>0.22</v>
      </c>
    </row>
    <row r="2613" spans="2:6" ht="15.75" hidden="1" customHeight="1" x14ac:dyDescent="0.25">
      <c r="B2613" s="13" t="s">
        <v>556</v>
      </c>
      <c r="C2613" s="13" t="s">
        <v>17392</v>
      </c>
      <c r="D2613" s="12" t="s">
        <v>11028</v>
      </c>
      <c r="E2613" s="13" t="s">
        <v>580</v>
      </c>
      <c r="F2613" s="681">
        <v>713.39</v>
      </c>
    </row>
    <row r="2614" spans="2:6" ht="15.75" hidden="1" customHeight="1" x14ac:dyDescent="0.25">
      <c r="B2614" s="13" t="s">
        <v>556</v>
      </c>
      <c r="C2614" s="13" t="s">
        <v>17393</v>
      </c>
      <c r="D2614" s="12" t="s">
        <v>11029</v>
      </c>
      <c r="E2614" s="13" t="s">
        <v>580</v>
      </c>
      <c r="F2614" s="681">
        <v>639</v>
      </c>
    </row>
    <row r="2615" spans="2:6" ht="15.75" hidden="1" customHeight="1" x14ac:dyDescent="0.25">
      <c r="B2615" s="13" t="s">
        <v>556</v>
      </c>
      <c r="C2615" s="13" t="s">
        <v>17394</v>
      </c>
      <c r="D2615" s="12" t="s">
        <v>11030</v>
      </c>
      <c r="E2615" s="13" t="s">
        <v>580</v>
      </c>
      <c r="F2615" s="681">
        <v>770.8</v>
      </c>
    </row>
    <row r="2616" spans="2:6" ht="15.75" hidden="1" customHeight="1" x14ac:dyDescent="0.25">
      <c r="B2616" s="13" t="s">
        <v>556</v>
      </c>
      <c r="C2616" s="13" t="s">
        <v>17395</v>
      </c>
      <c r="D2616" s="12" t="s">
        <v>11033</v>
      </c>
      <c r="E2616" s="13" t="s">
        <v>580</v>
      </c>
      <c r="F2616" s="681">
        <v>790.37</v>
      </c>
    </row>
    <row r="2617" spans="2:6" ht="15.75" hidden="1" customHeight="1" x14ac:dyDescent="0.25">
      <c r="B2617" s="13" t="s">
        <v>556</v>
      </c>
      <c r="C2617" s="13" t="s">
        <v>17396</v>
      </c>
      <c r="D2617" s="12" t="s">
        <v>11089</v>
      </c>
      <c r="E2617" s="13" t="s">
        <v>823</v>
      </c>
      <c r="F2617" s="681">
        <v>13.72</v>
      </c>
    </row>
    <row r="2618" spans="2:6" ht="15.75" hidden="1" customHeight="1" x14ac:dyDescent="0.25">
      <c r="B2618" s="13" t="s">
        <v>556</v>
      </c>
      <c r="C2618" s="13" t="s">
        <v>17397</v>
      </c>
      <c r="D2618" s="12" t="s">
        <v>11085</v>
      </c>
      <c r="E2618" s="13" t="s">
        <v>823</v>
      </c>
      <c r="F2618" s="681">
        <v>12.19</v>
      </c>
    </row>
    <row r="2619" spans="2:6" ht="15.75" hidden="1" customHeight="1" x14ac:dyDescent="0.25">
      <c r="B2619" s="13" t="s">
        <v>556</v>
      </c>
      <c r="C2619" s="13" t="s">
        <v>17398</v>
      </c>
      <c r="D2619" s="12" t="s">
        <v>10916</v>
      </c>
      <c r="E2619" s="13" t="s">
        <v>585</v>
      </c>
      <c r="F2619" s="681">
        <v>7.35</v>
      </c>
    </row>
    <row r="2620" spans="2:6" ht="15.75" hidden="1" customHeight="1" x14ac:dyDescent="0.25">
      <c r="B2620" s="13" t="s">
        <v>556</v>
      </c>
      <c r="C2620" s="13" t="s">
        <v>17399</v>
      </c>
      <c r="D2620" s="12" t="s">
        <v>10915</v>
      </c>
      <c r="E2620" s="13" t="s">
        <v>585</v>
      </c>
      <c r="F2620" s="681">
        <v>12.62</v>
      </c>
    </row>
    <row r="2621" spans="2:6" ht="15.75" hidden="1" customHeight="1" x14ac:dyDescent="0.25">
      <c r="B2621" s="13" t="s">
        <v>556</v>
      </c>
      <c r="C2621" s="13" t="s">
        <v>17400</v>
      </c>
      <c r="D2621" s="12" t="s">
        <v>10531</v>
      </c>
      <c r="E2621" s="13" t="s">
        <v>580</v>
      </c>
      <c r="F2621" s="681">
        <v>1.92</v>
      </c>
    </row>
    <row r="2622" spans="2:6" ht="15.75" hidden="1" customHeight="1" x14ac:dyDescent="0.25">
      <c r="B2622" s="13" t="s">
        <v>556</v>
      </c>
      <c r="C2622" s="13" t="s">
        <v>17401</v>
      </c>
      <c r="D2622" s="12" t="s">
        <v>10530</v>
      </c>
      <c r="E2622" s="13" t="s">
        <v>580</v>
      </c>
      <c r="F2622" s="681">
        <v>0.79</v>
      </c>
    </row>
    <row r="2623" spans="2:6" ht="15.75" hidden="1" customHeight="1" x14ac:dyDescent="0.25">
      <c r="B2623" s="13" t="s">
        <v>556</v>
      </c>
      <c r="C2623" s="13" t="s">
        <v>17402</v>
      </c>
      <c r="D2623" s="12" t="s">
        <v>10569</v>
      </c>
      <c r="E2623" s="13" t="s">
        <v>580</v>
      </c>
      <c r="F2623" s="681">
        <v>9.92</v>
      </c>
    </row>
    <row r="2624" spans="2:6" ht="15.75" hidden="1" customHeight="1" x14ac:dyDescent="0.25">
      <c r="B2624" s="13" t="s">
        <v>556</v>
      </c>
      <c r="C2624" s="13" t="s">
        <v>17403</v>
      </c>
      <c r="D2624" s="12" t="s">
        <v>10567</v>
      </c>
      <c r="E2624" s="13" t="s">
        <v>580</v>
      </c>
      <c r="F2624" s="681">
        <v>1.45</v>
      </c>
    </row>
    <row r="2625" spans="2:6" ht="15.75" hidden="1" customHeight="1" x14ac:dyDescent="0.25">
      <c r="B2625" s="13" t="s">
        <v>556</v>
      </c>
      <c r="C2625" s="13" t="s">
        <v>17404</v>
      </c>
      <c r="D2625" s="12" t="s">
        <v>10497</v>
      </c>
      <c r="E2625" s="13" t="s">
        <v>580</v>
      </c>
      <c r="F2625" s="681">
        <v>5.16</v>
      </c>
    </row>
    <row r="2626" spans="2:6" ht="15.75" hidden="1" customHeight="1" x14ac:dyDescent="0.25">
      <c r="B2626" s="13" t="s">
        <v>556</v>
      </c>
      <c r="C2626" s="13" t="s">
        <v>17405</v>
      </c>
      <c r="D2626" s="12" t="s">
        <v>17406</v>
      </c>
      <c r="E2626" s="13" t="s">
        <v>580</v>
      </c>
      <c r="F2626" s="681">
        <v>6.76</v>
      </c>
    </row>
    <row r="2627" spans="2:6" ht="15.75" hidden="1" customHeight="1" x14ac:dyDescent="0.25">
      <c r="B2627" s="13" t="s">
        <v>556</v>
      </c>
      <c r="C2627" s="13" t="s">
        <v>17407</v>
      </c>
      <c r="D2627" s="12" t="s">
        <v>17408</v>
      </c>
      <c r="E2627" s="13" t="s">
        <v>580</v>
      </c>
      <c r="F2627" s="681">
        <v>9.1999999999999993</v>
      </c>
    </row>
    <row r="2628" spans="2:6" ht="15.75" hidden="1" customHeight="1" x14ac:dyDescent="0.25">
      <c r="B2628" s="13" t="s">
        <v>556</v>
      </c>
      <c r="C2628" s="13" t="s">
        <v>17409</v>
      </c>
      <c r="D2628" s="12" t="s">
        <v>17410</v>
      </c>
      <c r="E2628" s="13" t="s">
        <v>580</v>
      </c>
      <c r="F2628" s="681">
        <v>14.96</v>
      </c>
    </row>
    <row r="2629" spans="2:6" ht="15.75" hidden="1" customHeight="1" x14ac:dyDescent="0.25">
      <c r="B2629" s="13" t="s">
        <v>556</v>
      </c>
      <c r="C2629" s="13" t="s">
        <v>17411</v>
      </c>
      <c r="D2629" s="12" t="s">
        <v>17412</v>
      </c>
      <c r="E2629" s="13" t="s">
        <v>580</v>
      </c>
      <c r="F2629" s="681">
        <v>20.92</v>
      </c>
    </row>
    <row r="2630" spans="2:6" ht="15.75" hidden="1" customHeight="1" x14ac:dyDescent="0.25">
      <c r="B2630" s="13" t="s">
        <v>556</v>
      </c>
      <c r="C2630" s="13" t="s">
        <v>17413</v>
      </c>
      <c r="D2630" s="12" t="s">
        <v>17414</v>
      </c>
      <c r="E2630" s="13" t="s">
        <v>580</v>
      </c>
      <c r="F2630" s="681">
        <v>39.21</v>
      </c>
    </row>
    <row r="2631" spans="2:6" ht="15.75" hidden="1" customHeight="1" x14ac:dyDescent="0.25">
      <c r="B2631" s="13" t="s">
        <v>556</v>
      </c>
      <c r="C2631" s="13" t="s">
        <v>17415</v>
      </c>
      <c r="D2631" s="12" t="s">
        <v>8514</v>
      </c>
      <c r="E2631" s="13" t="s">
        <v>580</v>
      </c>
      <c r="F2631" s="681">
        <v>1.86</v>
      </c>
    </row>
    <row r="2632" spans="2:6" ht="15.75" hidden="1" customHeight="1" x14ac:dyDescent="0.25">
      <c r="B2632" s="13" t="s">
        <v>556</v>
      </c>
      <c r="C2632" s="13" t="s">
        <v>17416</v>
      </c>
      <c r="D2632" s="12" t="s">
        <v>8515</v>
      </c>
      <c r="E2632" s="13" t="s">
        <v>580</v>
      </c>
      <c r="F2632" s="681">
        <v>8.4</v>
      </c>
    </row>
    <row r="2633" spans="2:6" ht="15.75" hidden="1" customHeight="1" x14ac:dyDescent="0.25">
      <c r="B2633" s="13" t="s">
        <v>556</v>
      </c>
      <c r="C2633" s="13" t="s">
        <v>17417</v>
      </c>
      <c r="D2633" s="12" t="s">
        <v>8503</v>
      </c>
      <c r="E2633" s="13" t="s">
        <v>580</v>
      </c>
      <c r="F2633" s="681">
        <v>1.71</v>
      </c>
    </row>
    <row r="2634" spans="2:6" ht="15.75" hidden="1" customHeight="1" x14ac:dyDescent="0.25">
      <c r="B2634" s="13" t="s">
        <v>556</v>
      </c>
      <c r="C2634" s="13" t="s">
        <v>17418</v>
      </c>
      <c r="D2634" s="12" t="s">
        <v>8512</v>
      </c>
      <c r="E2634" s="13" t="s">
        <v>580</v>
      </c>
      <c r="F2634" s="681">
        <v>1.86</v>
      </c>
    </row>
    <row r="2635" spans="2:6" ht="15.75" hidden="1" customHeight="1" x14ac:dyDescent="0.25">
      <c r="B2635" s="13" t="s">
        <v>556</v>
      </c>
      <c r="C2635" s="13" t="s">
        <v>17419</v>
      </c>
      <c r="D2635" s="12" t="s">
        <v>8501</v>
      </c>
      <c r="E2635" s="13" t="s">
        <v>580</v>
      </c>
      <c r="F2635" s="681">
        <v>2</v>
      </c>
    </row>
    <row r="2636" spans="2:6" ht="15.75" hidden="1" customHeight="1" x14ac:dyDescent="0.25">
      <c r="B2636" s="13" t="s">
        <v>556</v>
      </c>
      <c r="C2636" s="13" t="s">
        <v>17420</v>
      </c>
      <c r="D2636" s="12" t="s">
        <v>17421</v>
      </c>
      <c r="E2636" s="13" t="s">
        <v>580</v>
      </c>
      <c r="F2636" s="681">
        <v>71.53</v>
      </c>
    </row>
    <row r="2637" spans="2:6" ht="15.75" hidden="1" customHeight="1" x14ac:dyDescent="0.25">
      <c r="B2637" s="13" t="s">
        <v>556</v>
      </c>
      <c r="C2637" s="13" t="s">
        <v>17422</v>
      </c>
      <c r="D2637" s="12" t="s">
        <v>8499</v>
      </c>
      <c r="E2637" s="13" t="s">
        <v>580</v>
      </c>
      <c r="F2637" s="681">
        <v>3.24</v>
      </c>
    </row>
    <row r="2638" spans="2:6" ht="15.75" hidden="1" customHeight="1" x14ac:dyDescent="0.25">
      <c r="B2638" s="13" t="s">
        <v>556</v>
      </c>
      <c r="C2638" s="13" t="s">
        <v>17423</v>
      </c>
      <c r="D2638" s="12" t="s">
        <v>8497</v>
      </c>
      <c r="E2638" s="13" t="s">
        <v>580</v>
      </c>
      <c r="F2638" s="681">
        <v>3.55</v>
      </c>
    </row>
    <row r="2639" spans="2:6" ht="15.75" hidden="1" customHeight="1" x14ac:dyDescent="0.25">
      <c r="B2639" s="13" t="s">
        <v>556</v>
      </c>
      <c r="C2639" s="13" t="s">
        <v>17424</v>
      </c>
      <c r="D2639" s="12" t="s">
        <v>8507</v>
      </c>
      <c r="E2639" s="13" t="s">
        <v>580</v>
      </c>
      <c r="F2639" s="681">
        <v>3.73</v>
      </c>
    </row>
    <row r="2640" spans="2:6" ht="15.75" hidden="1" customHeight="1" x14ac:dyDescent="0.25">
      <c r="B2640" s="13" t="s">
        <v>556</v>
      </c>
      <c r="C2640" s="13" t="s">
        <v>17425</v>
      </c>
      <c r="D2640" s="12" t="s">
        <v>8505</v>
      </c>
      <c r="E2640" s="13" t="s">
        <v>580</v>
      </c>
      <c r="F2640" s="681">
        <v>4.66</v>
      </c>
    </row>
    <row r="2641" spans="2:6" ht="15.75" hidden="1" customHeight="1" x14ac:dyDescent="0.25">
      <c r="B2641" s="13" t="s">
        <v>556</v>
      </c>
      <c r="C2641" s="13" t="s">
        <v>17426</v>
      </c>
      <c r="D2641" s="12" t="s">
        <v>8510</v>
      </c>
      <c r="E2641" s="13" t="s">
        <v>580</v>
      </c>
      <c r="F2641" s="681">
        <v>6.22</v>
      </c>
    </row>
    <row r="2642" spans="2:6" ht="15.75" hidden="1" customHeight="1" x14ac:dyDescent="0.25">
      <c r="B2642" s="13" t="s">
        <v>556</v>
      </c>
      <c r="C2642" s="13" t="s">
        <v>17427</v>
      </c>
      <c r="D2642" s="12" t="s">
        <v>8509</v>
      </c>
      <c r="E2642" s="13" t="s">
        <v>580</v>
      </c>
      <c r="F2642" s="681">
        <v>7.47</v>
      </c>
    </row>
    <row r="2643" spans="2:6" ht="15.75" hidden="1" customHeight="1" x14ac:dyDescent="0.25">
      <c r="B2643" s="13" t="s">
        <v>556</v>
      </c>
      <c r="C2643" s="13" t="s">
        <v>17428</v>
      </c>
      <c r="D2643" s="12" t="s">
        <v>8526</v>
      </c>
      <c r="E2643" s="13" t="s">
        <v>580</v>
      </c>
      <c r="F2643" s="681">
        <v>0.53</v>
      </c>
    </row>
    <row r="2644" spans="2:6" ht="15.75" hidden="1" customHeight="1" x14ac:dyDescent="0.25">
      <c r="B2644" s="13" t="s">
        <v>556</v>
      </c>
      <c r="C2644" s="13" t="s">
        <v>17429</v>
      </c>
      <c r="D2644" s="12" t="s">
        <v>8521</v>
      </c>
      <c r="E2644" s="13" t="s">
        <v>580</v>
      </c>
      <c r="F2644" s="681">
        <v>0.75</v>
      </c>
    </row>
    <row r="2645" spans="2:6" ht="15.75" hidden="1" customHeight="1" x14ac:dyDescent="0.25">
      <c r="B2645" s="13" t="s">
        <v>556</v>
      </c>
      <c r="C2645" s="13" t="s">
        <v>17430</v>
      </c>
      <c r="D2645" s="12" t="s">
        <v>8525</v>
      </c>
      <c r="E2645" s="13" t="s">
        <v>580</v>
      </c>
      <c r="F2645" s="681">
        <v>0.8</v>
      </c>
    </row>
    <row r="2646" spans="2:6" ht="15.75" hidden="1" customHeight="1" x14ac:dyDescent="0.25">
      <c r="B2646" s="13" t="s">
        <v>556</v>
      </c>
      <c r="C2646" s="13" t="s">
        <v>17431</v>
      </c>
      <c r="D2646" s="12" t="s">
        <v>8520</v>
      </c>
      <c r="E2646" s="13" t="s">
        <v>580</v>
      </c>
      <c r="F2646" s="681">
        <v>1.08</v>
      </c>
    </row>
    <row r="2647" spans="2:6" ht="15.75" hidden="1" customHeight="1" x14ac:dyDescent="0.25">
      <c r="B2647" s="13" t="s">
        <v>556</v>
      </c>
      <c r="C2647" s="13" t="s">
        <v>17432</v>
      </c>
      <c r="D2647" s="12" t="s">
        <v>17433</v>
      </c>
      <c r="E2647" s="13" t="s">
        <v>580</v>
      </c>
      <c r="F2647" s="681">
        <v>107.91</v>
      </c>
    </row>
    <row r="2648" spans="2:6" ht="15.75" hidden="1" customHeight="1" x14ac:dyDescent="0.25">
      <c r="B2648" s="13" t="s">
        <v>556</v>
      </c>
      <c r="C2648" s="13" t="s">
        <v>17434</v>
      </c>
      <c r="D2648" s="12" t="s">
        <v>8519</v>
      </c>
      <c r="E2648" s="13" t="s">
        <v>580</v>
      </c>
      <c r="F2648" s="681">
        <v>1.31</v>
      </c>
    </row>
    <row r="2649" spans="2:6" ht="15.75" hidden="1" customHeight="1" x14ac:dyDescent="0.25">
      <c r="B2649" s="13" t="s">
        <v>556</v>
      </c>
      <c r="C2649" s="13" t="s">
        <v>17435</v>
      </c>
      <c r="D2649" s="12" t="s">
        <v>8518</v>
      </c>
      <c r="E2649" s="13" t="s">
        <v>580</v>
      </c>
      <c r="F2649" s="681">
        <v>1.44</v>
      </c>
    </row>
    <row r="2650" spans="2:6" ht="15.75" hidden="1" customHeight="1" x14ac:dyDescent="0.25">
      <c r="B2650" s="13" t="s">
        <v>556</v>
      </c>
      <c r="C2650" s="13" t="s">
        <v>17436</v>
      </c>
      <c r="D2650" s="12" t="s">
        <v>8523</v>
      </c>
      <c r="E2650" s="13" t="s">
        <v>580</v>
      </c>
      <c r="F2650" s="681">
        <v>2.13</v>
      </c>
    </row>
    <row r="2651" spans="2:6" ht="15.75" hidden="1" customHeight="1" x14ac:dyDescent="0.25">
      <c r="B2651" s="13" t="s">
        <v>556</v>
      </c>
      <c r="C2651" s="13" t="s">
        <v>17437</v>
      </c>
      <c r="D2651" s="12" t="s">
        <v>8522</v>
      </c>
      <c r="E2651" s="13" t="s">
        <v>580</v>
      </c>
      <c r="F2651" s="681">
        <v>2.97</v>
      </c>
    </row>
    <row r="2652" spans="2:6" ht="15.75" hidden="1" customHeight="1" x14ac:dyDescent="0.25">
      <c r="B2652" s="13" t="s">
        <v>556</v>
      </c>
      <c r="C2652" s="13" t="s">
        <v>17438</v>
      </c>
      <c r="D2652" s="12" t="s">
        <v>8524</v>
      </c>
      <c r="E2652" s="13" t="s">
        <v>580</v>
      </c>
      <c r="F2652" s="681">
        <v>3.46</v>
      </c>
    </row>
    <row r="2653" spans="2:6" ht="15.75" hidden="1" customHeight="1" x14ac:dyDescent="0.25">
      <c r="B2653" s="13" t="s">
        <v>556</v>
      </c>
      <c r="C2653" s="13" t="s">
        <v>17439</v>
      </c>
      <c r="D2653" s="12" t="s">
        <v>8527</v>
      </c>
      <c r="E2653" s="13" t="s">
        <v>580</v>
      </c>
      <c r="F2653" s="681">
        <v>5.71</v>
      </c>
    </row>
    <row r="2654" spans="2:6" ht="15.75" hidden="1" customHeight="1" x14ac:dyDescent="0.25">
      <c r="B2654" s="13" t="s">
        <v>556</v>
      </c>
      <c r="C2654" s="13" t="s">
        <v>17440</v>
      </c>
      <c r="D2654" s="12" t="s">
        <v>17441</v>
      </c>
      <c r="E2654" s="13" t="s">
        <v>580</v>
      </c>
      <c r="F2654" s="681">
        <v>170.17</v>
      </c>
    </row>
    <row r="2655" spans="2:6" ht="15.75" hidden="1" customHeight="1" x14ac:dyDescent="0.25">
      <c r="B2655" s="13" t="s">
        <v>556</v>
      </c>
      <c r="C2655" s="13" t="s">
        <v>17442</v>
      </c>
      <c r="D2655" s="12" t="s">
        <v>8517</v>
      </c>
      <c r="E2655" s="13" t="s">
        <v>580</v>
      </c>
      <c r="F2655" s="681">
        <v>19.87</v>
      </c>
    </row>
    <row r="2656" spans="2:6" ht="15.75" hidden="1" customHeight="1" x14ac:dyDescent="0.25">
      <c r="B2656" s="13" t="s">
        <v>556</v>
      </c>
      <c r="C2656" s="13" t="s">
        <v>17443</v>
      </c>
      <c r="D2656" s="12" t="s">
        <v>17444</v>
      </c>
      <c r="E2656" s="13" t="s">
        <v>580</v>
      </c>
      <c r="F2656" s="681">
        <v>310.02</v>
      </c>
    </row>
    <row r="2657" spans="2:6" ht="15.75" hidden="1" customHeight="1" x14ac:dyDescent="0.25">
      <c r="B2657" s="13" t="s">
        <v>556</v>
      </c>
      <c r="C2657" s="13" t="s">
        <v>17445</v>
      </c>
      <c r="D2657" s="12" t="s">
        <v>17446</v>
      </c>
      <c r="E2657" s="13" t="s">
        <v>580</v>
      </c>
      <c r="F2657" s="681">
        <v>511.33</v>
      </c>
    </row>
    <row r="2658" spans="2:6" ht="15.75" hidden="1" customHeight="1" x14ac:dyDescent="0.25">
      <c r="B2658" s="13" t="s">
        <v>556</v>
      </c>
      <c r="C2658" s="13" t="s">
        <v>17447</v>
      </c>
      <c r="D2658" s="12" t="s">
        <v>9064</v>
      </c>
      <c r="E2658" s="13" t="s">
        <v>580</v>
      </c>
      <c r="F2658" s="681">
        <v>1.04</v>
      </c>
    </row>
    <row r="2659" spans="2:6" ht="15.75" hidden="1" customHeight="1" x14ac:dyDescent="0.25">
      <c r="B2659" s="13" t="s">
        <v>556</v>
      </c>
      <c r="C2659" s="13" t="s">
        <v>17448</v>
      </c>
      <c r="D2659" s="12" t="s">
        <v>9068</v>
      </c>
      <c r="E2659" s="13" t="s">
        <v>580</v>
      </c>
      <c r="F2659" s="681">
        <v>1.27</v>
      </c>
    </row>
    <row r="2660" spans="2:6" ht="15.75" hidden="1" customHeight="1" x14ac:dyDescent="0.25">
      <c r="B2660" s="13" t="s">
        <v>556</v>
      </c>
      <c r="C2660" s="13" t="s">
        <v>17449</v>
      </c>
      <c r="D2660" s="12" t="s">
        <v>9063</v>
      </c>
      <c r="E2660" s="13" t="s">
        <v>580</v>
      </c>
      <c r="F2660" s="681">
        <v>1.36</v>
      </c>
    </row>
    <row r="2661" spans="2:6" ht="15.75" hidden="1" customHeight="1" x14ac:dyDescent="0.25">
      <c r="B2661" s="13" t="s">
        <v>556</v>
      </c>
      <c r="C2661" s="13" t="s">
        <v>17450</v>
      </c>
      <c r="D2661" s="12" t="s">
        <v>9062</v>
      </c>
      <c r="E2661" s="13" t="s">
        <v>580</v>
      </c>
      <c r="F2661" s="681">
        <v>2.08</v>
      </c>
    </row>
    <row r="2662" spans="2:6" ht="15.75" hidden="1" customHeight="1" x14ac:dyDescent="0.25">
      <c r="B2662" s="13" t="s">
        <v>556</v>
      </c>
      <c r="C2662" s="13" t="s">
        <v>17451</v>
      </c>
      <c r="D2662" s="12" t="s">
        <v>9061</v>
      </c>
      <c r="E2662" s="13" t="s">
        <v>580</v>
      </c>
      <c r="F2662" s="681">
        <v>2.2999999999999998</v>
      </c>
    </row>
    <row r="2663" spans="2:6" ht="15.75" hidden="1" customHeight="1" x14ac:dyDescent="0.25">
      <c r="B2663" s="13" t="s">
        <v>556</v>
      </c>
      <c r="C2663" s="13" t="s">
        <v>17452</v>
      </c>
      <c r="D2663" s="12" t="s">
        <v>9066</v>
      </c>
      <c r="E2663" s="13" t="s">
        <v>580</v>
      </c>
      <c r="F2663" s="681">
        <v>5.54</v>
      </c>
    </row>
    <row r="2664" spans="2:6" ht="15.75" hidden="1" customHeight="1" x14ac:dyDescent="0.25">
      <c r="B2664" s="13" t="s">
        <v>556</v>
      </c>
      <c r="C2664" s="13" t="s">
        <v>17453</v>
      </c>
      <c r="D2664" s="12" t="s">
        <v>9065</v>
      </c>
      <c r="E2664" s="13" t="s">
        <v>580</v>
      </c>
      <c r="F2664" s="681">
        <v>6.26</v>
      </c>
    </row>
    <row r="2665" spans="2:6" ht="15.75" hidden="1" customHeight="1" x14ac:dyDescent="0.25">
      <c r="B2665" s="13" t="s">
        <v>556</v>
      </c>
      <c r="C2665" s="13" t="s">
        <v>17454</v>
      </c>
      <c r="D2665" s="12" t="s">
        <v>9067</v>
      </c>
      <c r="E2665" s="13" t="s">
        <v>580</v>
      </c>
      <c r="F2665" s="681">
        <v>8.4</v>
      </c>
    </row>
    <row r="2666" spans="2:6" ht="15.75" hidden="1" customHeight="1" x14ac:dyDescent="0.25">
      <c r="B2666" s="13" t="s">
        <v>556</v>
      </c>
      <c r="C2666" s="13" t="s">
        <v>17455</v>
      </c>
      <c r="D2666" s="12" t="s">
        <v>9070</v>
      </c>
      <c r="E2666" s="13" t="s">
        <v>580</v>
      </c>
      <c r="F2666" s="681">
        <v>11.81</v>
      </c>
    </row>
    <row r="2667" spans="2:6" ht="15.75" hidden="1" customHeight="1" x14ac:dyDescent="0.25">
      <c r="B2667" s="13" t="s">
        <v>556</v>
      </c>
      <c r="C2667" s="13" t="s">
        <v>17456</v>
      </c>
      <c r="D2667" s="12" t="s">
        <v>9027</v>
      </c>
      <c r="E2667" s="13" t="s">
        <v>580</v>
      </c>
      <c r="F2667" s="681">
        <v>6.84</v>
      </c>
    </row>
    <row r="2668" spans="2:6" ht="15.75" hidden="1" customHeight="1" x14ac:dyDescent="0.25">
      <c r="B2668" s="13" t="s">
        <v>556</v>
      </c>
      <c r="C2668" s="13" t="s">
        <v>17457</v>
      </c>
      <c r="D2668" s="12" t="s">
        <v>9028</v>
      </c>
      <c r="E2668" s="13" t="s">
        <v>580</v>
      </c>
      <c r="F2668" s="681">
        <v>6.24</v>
      </c>
    </row>
    <row r="2669" spans="2:6" ht="15.75" hidden="1" customHeight="1" x14ac:dyDescent="0.25">
      <c r="B2669" s="13" t="s">
        <v>556</v>
      </c>
      <c r="C2669" s="13" t="s">
        <v>17458</v>
      </c>
      <c r="D2669" s="12" t="s">
        <v>9025</v>
      </c>
      <c r="E2669" s="13" t="s">
        <v>580</v>
      </c>
      <c r="F2669" s="681">
        <v>21.09</v>
      </c>
    </row>
    <row r="2670" spans="2:6" ht="15.75" hidden="1" customHeight="1" x14ac:dyDescent="0.25">
      <c r="B2670" s="13" t="s">
        <v>556</v>
      </c>
      <c r="C2670" s="13" t="s">
        <v>17459</v>
      </c>
      <c r="D2670" s="12" t="s">
        <v>9026</v>
      </c>
      <c r="E2670" s="13" t="s">
        <v>580</v>
      </c>
      <c r="F2670" s="681">
        <v>18.190000000000001</v>
      </c>
    </row>
    <row r="2671" spans="2:6" ht="15.75" hidden="1" customHeight="1" x14ac:dyDescent="0.25">
      <c r="B2671" s="13" t="s">
        <v>556</v>
      </c>
      <c r="C2671" s="13" t="s">
        <v>17460</v>
      </c>
      <c r="D2671" s="12" t="s">
        <v>9024</v>
      </c>
      <c r="E2671" s="13" t="s">
        <v>580</v>
      </c>
      <c r="F2671" s="681">
        <v>17.350000000000001</v>
      </c>
    </row>
    <row r="2672" spans="2:6" ht="15.75" hidden="1" customHeight="1" x14ac:dyDescent="0.25">
      <c r="B2672" s="13" t="s">
        <v>556</v>
      </c>
      <c r="C2672" s="13" t="s">
        <v>17461</v>
      </c>
      <c r="D2672" s="12" t="s">
        <v>9023</v>
      </c>
      <c r="E2672" s="13" t="s">
        <v>580</v>
      </c>
      <c r="F2672" s="681">
        <v>23.57</v>
      </c>
    </row>
    <row r="2673" spans="2:6" ht="15.75" hidden="1" customHeight="1" x14ac:dyDescent="0.25">
      <c r="B2673" s="13" t="s">
        <v>556</v>
      </c>
      <c r="C2673" s="13" t="s">
        <v>17462</v>
      </c>
      <c r="D2673" s="12" t="s">
        <v>17463</v>
      </c>
      <c r="E2673" s="13" t="s">
        <v>580</v>
      </c>
      <c r="F2673" s="681">
        <v>15.08</v>
      </c>
    </row>
    <row r="2674" spans="2:6" ht="15.75" hidden="1" customHeight="1" x14ac:dyDescent="0.25">
      <c r="B2674" s="13" t="s">
        <v>556</v>
      </c>
      <c r="C2674" s="13" t="s">
        <v>17464</v>
      </c>
      <c r="D2674" s="12" t="s">
        <v>9022</v>
      </c>
      <c r="E2674" s="13" t="s">
        <v>580</v>
      </c>
      <c r="F2674" s="681">
        <v>22.27</v>
      </c>
    </row>
    <row r="2675" spans="2:6" ht="15.75" hidden="1" customHeight="1" x14ac:dyDescent="0.25">
      <c r="B2675" s="13" t="s">
        <v>556</v>
      </c>
      <c r="C2675" s="13" t="s">
        <v>17465</v>
      </c>
      <c r="D2675" s="12" t="s">
        <v>9021</v>
      </c>
      <c r="E2675" s="13" t="s">
        <v>580</v>
      </c>
      <c r="F2675" s="681">
        <v>21.32</v>
      </c>
    </row>
    <row r="2676" spans="2:6" ht="15.75" hidden="1" customHeight="1" x14ac:dyDescent="0.25">
      <c r="B2676" s="13" t="s">
        <v>556</v>
      </c>
      <c r="C2676" s="13" t="s">
        <v>17466</v>
      </c>
      <c r="D2676" s="12" t="s">
        <v>9036</v>
      </c>
      <c r="E2676" s="13" t="s">
        <v>580</v>
      </c>
      <c r="F2676" s="681">
        <v>47.41</v>
      </c>
    </row>
    <row r="2677" spans="2:6" ht="15.75" hidden="1" customHeight="1" x14ac:dyDescent="0.25">
      <c r="B2677" s="13" t="s">
        <v>556</v>
      </c>
      <c r="C2677" s="13" t="s">
        <v>17467</v>
      </c>
      <c r="D2677" s="12" t="s">
        <v>9035</v>
      </c>
      <c r="E2677" s="13" t="s">
        <v>580</v>
      </c>
      <c r="F2677" s="681">
        <v>45.57</v>
      </c>
    </row>
    <row r="2678" spans="2:6" ht="15.75" hidden="1" customHeight="1" x14ac:dyDescent="0.25">
      <c r="B2678" s="13" t="s">
        <v>556</v>
      </c>
      <c r="C2678" s="13" t="s">
        <v>17468</v>
      </c>
      <c r="D2678" s="12" t="s">
        <v>9034</v>
      </c>
      <c r="E2678" s="13" t="s">
        <v>580</v>
      </c>
      <c r="F2678" s="681">
        <v>41.58</v>
      </c>
    </row>
    <row r="2679" spans="2:6" ht="15.75" hidden="1" customHeight="1" x14ac:dyDescent="0.25">
      <c r="B2679" s="13" t="s">
        <v>556</v>
      </c>
      <c r="C2679" s="13" t="s">
        <v>17469</v>
      </c>
      <c r="D2679" s="12" t="s">
        <v>9033</v>
      </c>
      <c r="E2679" s="13" t="s">
        <v>580</v>
      </c>
      <c r="F2679" s="681">
        <v>38.86</v>
      </c>
    </row>
    <row r="2680" spans="2:6" ht="15.75" hidden="1" customHeight="1" x14ac:dyDescent="0.25">
      <c r="B2680" s="13" t="s">
        <v>556</v>
      </c>
      <c r="C2680" s="13" t="s">
        <v>17470</v>
      </c>
      <c r="D2680" s="12" t="s">
        <v>9031</v>
      </c>
      <c r="E2680" s="13" t="s">
        <v>580</v>
      </c>
      <c r="F2680" s="681">
        <v>75.36</v>
      </c>
    </row>
    <row r="2681" spans="2:6" ht="15.75" hidden="1" customHeight="1" x14ac:dyDescent="0.25">
      <c r="B2681" s="13" t="s">
        <v>556</v>
      </c>
      <c r="C2681" s="13" t="s">
        <v>17471</v>
      </c>
      <c r="D2681" s="12" t="s">
        <v>9030</v>
      </c>
      <c r="E2681" s="13" t="s">
        <v>580</v>
      </c>
      <c r="F2681" s="681">
        <v>73.069999999999993</v>
      </c>
    </row>
    <row r="2682" spans="2:6" ht="15.75" hidden="1" customHeight="1" x14ac:dyDescent="0.25">
      <c r="B2682" s="13" t="s">
        <v>556</v>
      </c>
      <c r="C2682" s="13" t="s">
        <v>17472</v>
      </c>
      <c r="D2682" s="12" t="s">
        <v>9029</v>
      </c>
      <c r="E2682" s="13" t="s">
        <v>580</v>
      </c>
      <c r="F2682" s="681">
        <v>69.95</v>
      </c>
    </row>
    <row r="2683" spans="2:6" ht="15.75" hidden="1" customHeight="1" x14ac:dyDescent="0.25">
      <c r="B2683" s="13" t="s">
        <v>556</v>
      </c>
      <c r="C2683" s="13" t="s">
        <v>17473</v>
      </c>
      <c r="D2683" s="12" t="s">
        <v>9032</v>
      </c>
      <c r="E2683" s="13" t="s">
        <v>580</v>
      </c>
      <c r="F2683" s="681">
        <v>67.319999999999993</v>
      </c>
    </row>
    <row r="2684" spans="2:6" ht="15.75" hidden="1" customHeight="1" x14ac:dyDescent="0.25">
      <c r="B2684" s="13" t="s">
        <v>556</v>
      </c>
      <c r="C2684" s="13" t="s">
        <v>17474</v>
      </c>
      <c r="D2684" s="12" t="s">
        <v>8504</v>
      </c>
      <c r="E2684" s="13" t="s">
        <v>580</v>
      </c>
      <c r="F2684" s="681">
        <v>1.75</v>
      </c>
    </row>
    <row r="2685" spans="2:6" ht="15.75" hidden="1" customHeight="1" x14ac:dyDescent="0.25">
      <c r="B2685" s="13" t="s">
        <v>556</v>
      </c>
      <c r="C2685" s="13" t="s">
        <v>17475</v>
      </c>
      <c r="D2685" s="12" t="s">
        <v>17476</v>
      </c>
      <c r="E2685" s="13" t="s">
        <v>580</v>
      </c>
      <c r="F2685" s="681">
        <v>22.44</v>
      </c>
    </row>
    <row r="2686" spans="2:6" ht="15.75" hidden="1" customHeight="1" x14ac:dyDescent="0.25">
      <c r="B2686" s="13" t="s">
        <v>556</v>
      </c>
      <c r="C2686" s="13" t="s">
        <v>17477</v>
      </c>
      <c r="D2686" s="12" t="s">
        <v>9038</v>
      </c>
      <c r="E2686" s="13" t="s">
        <v>580</v>
      </c>
      <c r="F2686" s="681">
        <v>84.31</v>
      </c>
    </row>
    <row r="2687" spans="2:6" ht="15.75" hidden="1" customHeight="1" x14ac:dyDescent="0.25">
      <c r="B2687" s="13" t="s">
        <v>556</v>
      </c>
      <c r="C2687" s="13" t="s">
        <v>17478</v>
      </c>
      <c r="D2687" s="12" t="s">
        <v>9037</v>
      </c>
      <c r="E2687" s="13" t="s">
        <v>580</v>
      </c>
      <c r="F2687" s="681">
        <v>83.63</v>
      </c>
    </row>
    <row r="2688" spans="2:6" ht="15.75" hidden="1" customHeight="1" x14ac:dyDescent="0.25">
      <c r="B2688" s="13" t="s">
        <v>556</v>
      </c>
      <c r="C2688" s="13" t="s">
        <v>17479</v>
      </c>
      <c r="D2688" s="12" t="s">
        <v>9040</v>
      </c>
      <c r="E2688" s="13" t="s">
        <v>580</v>
      </c>
      <c r="F2688" s="681">
        <v>79.97</v>
      </c>
    </row>
    <row r="2689" spans="2:6" ht="15.75" hidden="1" customHeight="1" x14ac:dyDescent="0.25">
      <c r="B2689" s="13" t="s">
        <v>556</v>
      </c>
      <c r="C2689" s="13" t="s">
        <v>17480</v>
      </c>
      <c r="D2689" s="12" t="s">
        <v>9039</v>
      </c>
      <c r="E2689" s="13" t="s">
        <v>580</v>
      </c>
      <c r="F2689" s="681">
        <v>68.069999999999993</v>
      </c>
    </row>
    <row r="2690" spans="2:6" ht="15.75" hidden="1" customHeight="1" x14ac:dyDescent="0.25">
      <c r="B2690" s="13" t="s">
        <v>556</v>
      </c>
      <c r="C2690" s="13" t="s">
        <v>17481</v>
      </c>
      <c r="D2690" s="12" t="s">
        <v>9043</v>
      </c>
      <c r="E2690" s="13" t="s">
        <v>580</v>
      </c>
      <c r="F2690" s="681">
        <v>136.63999999999999</v>
      </c>
    </row>
    <row r="2691" spans="2:6" ht="15.75" hidden="1" customHeight="1" x14ac:dyDescent="0.25">
      <c r="B2691" s="13" t="s">
        <v>556</v>
      </c>
      <c r="C2691" s="13" t="s">
        <v>17482</v>
      </c>
      <c r="D2691" s="12" t="s">
        <v>9042</v>
      </c>
      <c r="E2691" s="13" t="s">
        <v>580</v>
      </c>
      <c r="F2691" s="681">
        <v>133.41</v>
      </c>
    </row>
    <row r="2692" spans="2:6" ht="15.75" hidden="1" customHeight="1" x14ac:dyDescent="0.25">
      <c r="B2692" s="13" t="s">
        <v>556</v>
      </c>
      <c r="C2692" s="13" t="s">
        <v>17483</v>
      </c>
      <c r="D2692" s="12" t="s">
        <v>9044</v>
      </c>
      <c r="E2692" s="13" t="s">
        <v>580</v>
      </c>
      <c r="F2692" s="681">
        <v>129.63</v>
      </c>
    </row>
    <row r="2693" spans="2:6" ht="15.75" hidden="1" customHeight="1" x14ac:dyDescent="0.25">
      <c r="B2693" s="13" t="s">
        <v>556</v>
      </c>
      <c r="C2693" s="13" t="s">
        <v>17484</v>
      </c>
      <c r="D2693" s="12" t="s">
        <v>8782</v>
      </c>
      <c r="E2693" s="13" t="s">
        <v>580</v>
      </c>
      <c r="F2693" s="681">
        <v>1.02</v>
      </c>
    </row>
    <row r="2694" spans="2:6" ht="15.75" hidden="1" customHeight="1" x14ac:dyDescent="0.25">
      <c r="B2694" s="13" t="s">
        <v>556</v>
      </c>
      <c r="C2694" s="13" t="s">
        <v>17485</v>
      </c>
      <c r="D2694" s="12" t="s">
        <v>8777</v>
      </c>
      <c r="E2694" s="13" t="s">
        <v>580</v>
      </c>
      <c r="F2694" s="681">
        <v>0.55000000000000004</v>
      </c>
    </row>
    <row r="2695" spans="2:6" ht="15.75" hidden="1" customHeight="1" x14ac:dyDescent="0.25">
      <c r="B2695" s="13" t="s">
        <v>556</v>
      </c>
      <c r="C2695" s="13" t="s">
        <v>17486</v>
      </c>
      <c r="D2695" s="12" t="s">
        <v>8781</v>
      </c>
      <c r="E2695" s="13" t="s">
        <v>580</v>
      </c>
      <c r="F2695" s="681">
        <v>0.66</v>
      </c>
    </row>
    <row r="2696" spans="2:6" ht="15.75" hidden="1" customHeight="1" x14ac:dyDescent="0.25">
      <c r="B2696" s="13" t="s">
        <v>556</v>
      </c>
      <c r="C2696" s="13" t="s">
        <v>17487</v>
      </c>
      <c r="D2696" s="12" t="s">
        <v>17488</v>
      </c>
      <c r="E2696" s="13" t="s">
        <v>580</v>
      </c>
      <c r="F2696" s="681">
        <v>22.45</v>
      </c>
    </row>
    <row r="2697" spans="2:6" ht="15.75" hidden="1" customHeight="1" x14ac:dyDescent="0.25">
      <c r="B2697" s="13" t="s">
        <v>556</v>
      </c>
      <c r="C2697" s="13" t="s">
        <v>17489</v>
      </c>
      <c r="D2697" s="12" t="s">
        <v>8776</v>
      </c>
      <c r="E2697" s="13" t="s">
        <v>580</v>
      </c>
      <c r="F2697" s="681">
        <v>1.02</v>
      </c>
    </row>
    <row r="2698" spans="2:6" ht="15.75" hidden="1" customHeight="1" x14ac:dyDescent="0.25">
      <c r="B2698" s="13" t="s">
        <v>556</v>
      </c>
      <c r="C2698" s="13" t="s">
        <v>17490</v>
      </c>
      <c r="D2698" s="12" t="s">
        <v>8775</v>
      </c>
      <c r="E2698" s="13" t="s">
        <v>580</v>
      </c>
      <c r="F2698" s="681">
        <v>1.82</v>
      </c>
    </row>
    <row r="2699" spans="2:6" ht="15.75" hidden="1" customHeight="1" x14ac:dyDescent="0.25">
      <c r="B2699" s="13" t="s">
        <v>556</v>
      </c>
      <c r="C2699" s="13" t="s">
        <v>17491</v>
      </c>
      <c r="D2699" s="12" t="s">
        <v>8774</v>
      </c>
      <c r="E2699" s="13" t="s">
        <v>580</v>
      </c>
      <c r="F2699" s="681">
        <v>2.0299999999999998</v>
      </c>
    </row>
    <row r="2700" spans="2:6" ht="15.75" hidden="1" customHeight="1" x14ac:dyDescent="0.25">
      <c r="B2700" s="13" t="s">
        <v>556</v>
      </c>
      <c r="C2700" s="13" t="s">
        <v>17492</v>
      </c>
      <c r="D2700" s="12" t="s">
        <v>8779</v>
      </c>
      <c r="E2700" s="13" t="s">
        <v>580</v>
      </c>
      <c r="F2700" s="681">
        <v>2.65</v>
      </c>
    </row>
    <row r="2701" spans="2:6" ht="15.75" hidden="1" customHeight="1" x14ac:dyDescent="0.25">
      <c r="B2701" s="13" t="s">
        <v>556</v>
      </c>
      <c r="C2701" s="13" t="s">
        <v>17493</v>
      </c>
      <c r="D2701" s="12" t="s">
        <v>8778</v>
      </c>
      <c r="E2701" s="13" t="s">
        <v>580</v>
      </c>
      <c r="F2701" s="681">
        <v>3.75</v>
      </c>
    </row>
    <row r="2702" spans="2:6" ht="15.75" hidden="1" customHeight="1" x14ac:dyDescent="0.25">
      <c r="B2702" s="13" t="s">
        <v>556</v>
      </c>
      <c r="C2702" s="13" t="s">
        <v>17494</v>
      </c>
      <c r="D2702" s="12" t="s">
        <v>8780</v>
      </c>
      <c r="E2702" s="13" t="s">
        <v>580</v>
      </c>
      <c r="F2702" s="681">
        <v>6.84</v>
      </c>
    </row>
    <row r="2703" spans="2:6" ht="15.75" hidden="1" customHeight="1" x14ac:dyDescent="0.25">
      <c r="B2703" s="13" t="s">
        <v>556</v>
      </c>
      <c r="C2703" s="13" t="s">
        <v>17495</v>
      </c>
      <c r="D2703" s="12" t="s">
        <v>8783</v>
      </c>
      <c r="E2703" s="13" t="s">
        <v>580</v>
      </c>
      <c r="F2703" s="681">
        <v>9.5399999999999991</v>
      </c>
    </row>
    <row r="2704" spans="2:6" ht="15.75" hidden="1" customHeight="1" x14ac:dyDescent="0.25">
      <c r="B2704" s="13" t="s">
        <v>556</v>
      </c>
      <c r="C2704" s="13" t="s">
        <v>17496</v>
      </c>
      <c r="D2704" s="12" t="s">
        <v>9069</v>
      </c>
      <c r="E2704" s="13" t="s">
        <v>580</v>
      </c>
      <c r="F2704" s="681">
        <v>0.98</v>
      </c>
    </row>
    <row r="2705" spans="2:6" ht="15.75" hidden="1" customHeight="1" x14ac:dyDescent="0.25">
      <c r="B2705" s="13" t="s">
        <v>556</v>
      </c>
      <c r="C2705" s="13" t="s">
        <v>17497</v>
      </c>
      <c r="D2705" s="12" t="s">
        <v>17498</v>
      </c>
      <c r="E2705" s="13" t="s">
        <v>580</v>
      </c>
      <c r="F2705" s="681">
        <v>25.02</v>
      </c>
    </row>
    <row r="2706" spans="2:6" ht="15.75" hidden="1" customHeight="1" x14ac:dyDescent="0.25">
      <c r="B2706" s="13" t="s">
        <v>556</v>
      </c>
      <c r="C2706" s="13" t="s">
        <v>17499</v>
      </c>
      <c r="D2706" s="12" t="s">
        <v>17500</v>
      </c>
      <c r="E2706" s="13" t="s">
        <v>580</v>
      </c>
      <c r="F2706" s="681">
        <v>27.2</v>
      </c>
    </row>
    <row r="2707" spans="2:6" ht="15.75" hidden="1" customHeight="1" x14ac:dyDescent="0.25">
      <c r="B2707" s="13" t="s">
        <v>556</v>
      </c>
      <c r="C2707" s="13" t="s">
        <v>17501</v>
      </c>
      <c r="D2707" s="12" t="s">
        <v>9123</v>
      </c>
      <c r="E2707" s="13" t="s">
        <v>585</v>
      </c>
      <c r="F2707" s="681">
        <v>24.03</v>
      </c>
    </row>
    <row r="2708" spans="2:6" ht="15.75" hidden="1" customHeight="1" x14ac:dyDescent="0.25">
      <c r="B2708" s="13" t="s">
        <v>556</v>
      </c>
      <c r="C2708" s="13" t="s">
        <v>17502</v>
      </c>
      <c r="D2708" s="12" t="s">
        <v>9124</v>
      </c>
      <c r="E2708" s="13" t="s">
        <v>585</v>
      </c>
      <c r="F2708" s="681">
        <v>35.03</v>
      </c>
    </row>
    <row r="2709" spans="2:6" ht="15.75" hidden="1" customHeight="1" x14ac:dyDescent="0.25">
      <c r="B2709" s="13" t="s">
        <v>556</v>
      </c>
      <c r="C2709" s="13" t="s">
        <v>17503</v>
      </c>
      <c r="D2709" s="12" t="s">
        <v>9126</v>
      </c>
      <c r="E2709" s="13" t="s">
        <v>585</v>
      </c>
      <c r="F2709" s="681">
        <v>48.76</v>
      </c>
    </row>
    <row r="2710" spans="2:6" ht="15.75" hidden="1" customHeight="1" x14ac:dyDescent="0.25">
      <c r="B2710" s="13" t="s">
        <v>556</v>
      </c>
      <c r="C2710" s="13" t="s">
        <v>17504</v>
      </c>
      <c r="D2710" s="12" t="s">
        <v>9128</v>
      </c>
      <c r="E2710" s="13" t="s">
        <v>585</v>
      </c>
      <c r="F2710" s="681">
        <v>71.92</v>
      </c>
    </row>
    <row r="2711" spans="2:6" ht="15.75" hidden="1" customHeight="1" x14ac:dyDescent="0.25">
      <c r="B2711" s="13" t="s">
        <v>556</v>
      </c>
      <c r="C2711" s="13" t="s">
        <v>17505</v>
      </c>
      <c r="D2711" s="12" t="s">
        <v>9129</v>
      </c>
      <c r="E2711" s="13" t="s">
        <v>585</v>
      </c>
      <c r="F2711" s="681">
        <v>95.31</v>
      </c>
    </row>
    <row r="2712" spans="2:6" ht="15.75" hidden="1" customHeight="1" x14ac:dyDescent="0.25">
      <c r="B2712" s="13" t="s">
        <v>556</v>
      </c>
      <c r="C2712" s="13" t="s">
        <v>17506</v>
      </c>
      <c r="D2712" s="12" t="s">
        <v>9117</v>
      </c>
      <c r="E2712" s="13" t="s">
        <v>585</v>
      </c>
      <c r="F2712" s="681">
        <v>114.27</v>
      </c>
    </row>
    <row r="2713" spans="2:6" ht="15.75" hidden="1" customHeight="1" x14ac:dyDescent="0.25">
      <c r="B2713" s="13" t="s">
        <v>556</v>
      </c>
      <c r="C2713" s="13" t="s">
        <v>17507</v>
      </c>
      <c r="D2713" s="12" t="s">
        <v>9118</v>
      </c>
      <c r="E2713" s="13" t="s">
        <v>585</v>
      </c>
      <c r="F2713" s="681">
        <v>144.12</v>
      </c>
    </row>
    <row r="2714" spans="2:6" ht="15.75" hidden="1" customHeight="1" x14ac:dyDescent="0.25">
      <c r="B2714" s="13" t="s">
        <v>556</v>
      </c>
      <c r="C2714" s="13" t="s">
        <v>17508</v>
      </c>
      <c r="D2714" s="12" t="s">
        <v>9120</v>
      </c>
      <c r="E2714" s="13" t="s">
        <v>585</v>
      </c>
      <c r="F2714" s="681">
        <v>174.12</v>
      </c>
    </row>
    <row r="2715" spans="2:6" ht="15.75" hidden="1" customHeight="1" x14ac:dyDescent="0.25">
      <c r="B2715" s="13" t="s">
        <v>556</v>
      </c>
      <c r="C2715" s="13" t="s">
        <v>17509</v>
      </c>
      <c r="D2715" s="12" t="s">
        <v>17510</v>
      </c>
      <c r="E2715" s="13" t="s">
        <v>580</v>
      </c>
      <c r="F2715" s="681">
        <v>27.2</v>
      </c>
    </row>
    <row r="2716" spans="2:6" ht="15.75" hidden="1" customHeight="1" x14ac:dyDescent="0.25">
      <c r="B2716" s="13" t="s">
        <v>556</v>
      </c>
      <c r="C2716" s="13" t="s">
        <v>17511</v>
      </c>
      <c r="D2716" s="12" t="s">
        <v>9122</v>
      </c>
      <c r="E2716" s="13" t="s">
        <v>585</v>
      </c>
      <c r="F2716" s="681">
        <v>229.01</v>
      </c>
    </row>
    <row r="2717" spans="2:6" ht="15.75" hidden="1" customHeight="1" x14ac:dyDescent="0.25">
      <c r="B2717" s="13" t="s">
        <v>556</v>
      </c>
      <c r="C2717" s="13" t="s">
        <v>17512</v>
      </c>
      <c r="D2717" s="12" t="s">
        <v>9150</v>
      </c>
      <c r="E2717" s="13" t="s">
        <v>585</v>
      </c>
      <c r="F2717" s="681">
        <v>16.649999999999999</v>
      </c>
    </row>
    <row r="2718" spans="2:6" ht="15.75" hidden="1" customHeight="1" x14ac:dyDescent="0.25">
      <c r="B2718" s="13" t="s">
        <v>556</v>
      </c>
      <c r="C2718" s="13" t="s">
        <v>17513</v>
      </c>
      <c r="D2718" s="12" t="s">
        <v>9858</v>
      </c>
      <c r="E2718" s="13" t="s">
        <v>585</v>
      </c>
      <c r="F2718" s="681">
        <v>2.65</v>
      </c>
    </row>
    <row r="2719" spans="2:6" ht="15.75" hidden="1" customHeight="1" x14ac:dyDescent="0.25">
      <c r="B2719" s="13" t="s">
        <v>556</v>
      </c>
      <c r="C2719" s="13" t="s">
        <v>17514</v>
      </c>
      <c r="D2719" s="12" t="s">
        <v>9859</v>
      </c>
      <c r="E2719" s="13" t="s">
        <v>585</v>
      </c>
      <c r="F2719" s="681">
        <v>3.58</v>
      </c>
    </row>
    <row r="2720" spans="2:6" ht="15.75" hidden="1" customHeight="1" x14ac:dyDescent="0.25">
      <c r="B2720" s="13" t="s">
        <v>556</v>
      </c>
      <c r="C2720" s="13" t="s">
        <v>17515</v>
      </c>
      <c r="D2720" s="12" t="s">
        <v>9860</v>
      </c>
      <c r="E2720" s="13" t="s">
        <v>585</v>
      </c>
      <c r="F2720" s="681">
        <v>6.89</v>
      </c>
    </row>
    <row r="2721" spans="2:6" ht="15.75" hidden="1" customHeight="1" x14ac:dyDescent="0.25">
      <c r="B2721" s="13" t="s">
        <v>556</v>
      </c>
      <c r="C2721" s="13" t="s">
        <v>17516</v>
      </c>
      <c r="D2721" s="12" t="s">
        <v>9864</v>
      </c>
      <c r="E2721" s="13" t="s">
        <v>585</v>
      </c>
      <c r="F2721" s="681">
        <v>4.58</v>
      </c>
    </row>
    <row r="2722" spans="2:6" ht="15.75" hidden="1" customHeight="1" x14ac:dyDescent="0.25">
      <c r="B2722" s="13" t="s">
        <v>556</v>
      </c>
      <c r="C2722" s="13" t="s">
        <v>17517</v>
      </c>
      <c r="D2722" s="12" t="s">
        <v>9865</v>
      </c>
      <c r="E2722" s="13" t="s">
        <v>585</v>
      </c>
      <c r="F2722" s="681">
        <v>3.99</v>
      </c>
    </row>
    <row r="2723" spans="2:6" ht="15.75" hidden="1" customHeight="1" x14ac:dyDescent="0.25">
      <c r="B2723" s="13" t="s">
        <v>556</v>
      </c>
      <c r="C2723" s="13" t="s">
        <v>17518</v>
      </c>
      <c r="D2723" s="12" t="s">
        <v>9868</v>
      </c>
      <c r="E2723" s="13" t="s">
        <v>585</v>
      </c>
      <c r="F2723" s="681">
        <v>12.85</v>
      </c>
    </row>
    <row r="2724" spans="2:6" ht="15.75" hidden="1" customHeight="1" x14ac:dyDescent="0.25">
      <c r="B2724" s="13" t="s">
        <v>556</v>
      </c>
      <c r="C2724" s="13" t="s">
        <v>17519</v>
      </c>
      <c r="D2724" s="12" t="s">
        <v>9142</v>
      </c>
      <c r="E2724" s="13" t="s">
        <v>585</v>
      </c>
      <c r="F2724" s="681">
        <v>433.04</v>
      </c>
    </row>
    <row r="2725" spans="2:6" ht="15.75" hidden="1" customHeight="1" x14ac:dyDescent="0.25">
      <c r="B2725" s="13" t="s">
        <v>556</v>
      </c>
      <c r="C2725" s="13" t="s">
        <v>17520</v>
      </c>
      <c r="D2725" s="12" t="s">
        <v>17521</v>
      </c>
      <c r="E2725" s="13" t="s">
        <v>580</v>
      </c>
      <c r="F2725" s="681">
        <v>43.54</v>
      </c>
    </row>
    <row r="2726" spans="2:6" ht="15.75" hidden="1" customHeight="1" x14ac:dyDescent="0.25">
      <c r="B2726" s="13" t="s">
        <v>556</v>
      </c>
      <c r="C2726" s="13" t="s">
        <v>17522</v>
      </c>
      <c r="D2726" s="12" t="s">
        <v>9144</v>
      </c>
      <c r="E2726" s="13" t="s">
        <v>585</v>
      </c>
      <c r="F2726" s="681">
        <v>518.01</v>
      </c>
    </row>
    <row r="2727" spans="2:6" ht="15.75" hidden="1" customHeight="1" x14ac:dyDescent="0.25">
      <c r="B2727" s="13" t="s">
        <v>556</v>
      </c>
      <c r="C2727" s="13" t="s">
        <v>17523</v>
      </c>
      <c r="D2727" s="12" t="s">
        <v>9112</v>
      </c>
      <c r="E2727" s="13" t="s">
        <v>585</v>
      </c>
      <c r="F2727" s="681">
        <v>0.69</v>
      </c>
    </row>
    <row r="2728" spans="2:6" ht="15.75" hidden="1" customHeight="1" x14ac:dyDescent="0.25">
      <c r="B2728" s="13" t="s">
        <v>556</v>
      </c>
      <c r="C2728" s="13" t="s">
        <v>17524</v>
      </c>
      <c r="D2728" s="12" t="s">
        <v>9114</v>
      </c>
      <c r="E2728" s="13" t="s">
        <v>585</v>
      </c>
      <c r="F2728" s="681">
        <v>1.24</v>
      </c>
    </row>
    <row r="2729" spans="2:6" ht="15.75" hidden="1" customHeight="1" x14ac:dyDescent="0.25">
      <c r="B2729" s="13" t="s">
        <v>556</v>
      </c>
      <c r="C2729" s="13" t="s">
        <v>17525</v>
      </c>
      <c r="D2729" s="12" t="s">
        <v>9863</v>
      </c>
      <c r="E2729" s="13" t="s">
        <v>585</v>
      </c>
      <c r="F2729" s="681">
        <v>13.14</v>
      </c>
    </row>
    <row r="2730" spans="2:6" ht="15.75" hidden="1" customHeight="1" x14ac:dyDescent="0.25">
      <c r="B2730" s="13" t="s">
        <v>556</v>
      </c>
      <c r="C2730" s="13" t="s">
        <v>17526</v>
      </c>
      <c r="D2730" s="12" t="s">
        <v>9862</v>
      </c>
      <c r="E2730" s="13" t="s">
        <v>585</v>
      </c>
      <c r="F2730" s="681">
        <v>10.31</v>
      </c>
    </row>
    <row r="2731" spans="2:6" ht="15.75" hidden="1" customHeight="1" x14ac:dyDescent="0.25">
      <c r="B2731" s="13" t="s">
        <v>556</v>
      </c>
      <c r="C2731" s="13" t="s">
        <v>17527</v>
      </c>
      <c r="D2731" s="12" t="s">
        <v>9861</v>
      </c>
      <c r="E2731" s="13" t="s">
        <v>585</v>
      </c>
      <c r="F2731" s="681">
        <v>19.079999999999998</v>
      </c>
    </row>
    <row r="2732" spans="2:6" ht="15.75" hidden="1" customHeight="1" x14ac:dyDescent="0.25">
      <c r="B2732" s="13" t="s">
        <v>556</v>
      </c>
      <c r="C2732" s="13" t="s">
        <v>17528</v>
      </c>
      <c r="D2732" s="12" t="s">
        <v>9174</v>
      </c>
      <c r="E2732" s="13" t="s">
        <v>585</v>
      </c>
      <c r="F2732" s="681">
        <v>5.94</v>
      </c>
    </row>
    <row r="2733" spans="2:6" ht="15.75" hidden="1" customHeight="1" x14ac:dyDescent="0.25">
      <c r="B2733" s="13" t="s">
        <v>556</v>
      </c>
      <c r="C2733" s="13" t="s">
        <v>17529</v>
      </c>
      <c r="D2733" s="12" t="s">
        <v>9178</v>
      </c>
      <c r="E2733" s="13" t="s">
        <v>585</v>
      </c>
      <c r="F2733" s="681">
        <v>8.9499999999999993</v>
      </c>
    </row>
    <row r="2734" spans="2:6" ht="15.75" hidden="1" customHeight="1" x14ac:dyDescent="0.25">
      <c r="B2734" s="13" t="s">
        <v>556</v>
      </c>
      <c r="C2734" s="13" t="s">
        <v>17530</v>
      </c>
      <c r="D2734" s="12" t="s">
        <v>9181</v>
      </c>
      <c r="E2734" s="13" t="s">
        <v>585</v>
      </c>
      <c r="F2734" s="681">
        <v>13.78</v>
      </c>
    </row>
    <row r="2735" spans="2:6" ht="15.75" hidden="1" customHeight="1" x14ac:dyDescent="0.25">
      <c r="B2735" s="13" t="s">
        <v>556</v>
      </c>
      <c r="C2735" s="13" t="s">
        <v>17531</v>
      </c>
      <c r="D2735" s="12" t="s">
        <v>17532</v>
      </c>
      <c r="E2735" s="13" t="s">
        <v>580</v>
      </c>
      <c r="F2735" s="681">
        <v>43.54</v>
      </c>
    </row>
    <row r="2736" spans="2:6" ht="15.75" hidden="1" customHeight="1" x14ac:dyDescent="0.25">
      <c r="B2736" s="13" t="s">
        <v>556</v>
      </c>
      <c r="C2736" s="13" t="s">
        <v>17533</v>
      </c>
      <c r="D2736" s="12" t="s">
        <v>9183</v>
      </c>
      <c r="E2736" s="13" t="s">
        <v>585</v>
      </c>
      <c r="F2736" s="681">
        <v>21.1</v>
      </c>
    </row>
    <row r="2737" spans="2:6" ht="15.75" hidden="1" customHeight="1" x14ac:dyDescent="0.25">
      <c r="B2737" s="13" t="s">
        <v>556</v>
      </c>
      <c r="C2737" s="13" t="s">
        <v>17534</v>
      </c>
      <c r="D2737" s="12" t="s">
        <v>9175</v>
      </c>
      <c r="E2737" s="13" t="s">
        <v>585</v>
      </c>
      <c r="F2737" s="681">
        <v>34</v>
      </c>
    </row>
    <row r="2738" spans="2:6" ht="15.75" hidden="1" customHeight="1" x14ac:dyDescent="0.25">
      <c r="B2738" s="13" t="s">
        <v>556</v>
      </c>
      <c r="C2738" s="13" t="s">
        <v>17535</v>
      </c>
      <c r="D2738" s="12" t="s">
        <v>9177</v>
      </c>
      <c r="E2738" s="13" t="s">
        <v>585</v>
      </c>
      <c r="F2738" s="681">
        <v>54.14</v>
      </c>
    </row>
    <row r="2739" spans="2:6" ht="15.75" hidden="1" customHeight="1" x14ac:dyDescent="0.25">
      <c r="B2739" s="13" t="s">
        <v>556</v>
      </c>
      <c r="C2739" s="13" t="s">
        <v>17536</v>
      </c>
      <c r="D2739" s="12" t="s">
        <v>9179</v>
      </c>
      <c r="E2739" s="13" t="s">
        <v>585</v>
      </c>
      <c r="F2739" s="681">
        <v>93.62</v>
      </c>
    </row>
    <row r="2740" spans="2:6" ht="15.75" hidden="1" customHeight="1" x14ac:dyDescent="0.25">
      <c r="B2740" s="13" t="s">
        <v>556</v>
      </c>
      <c r="C2740" s="13" t="s">
        <v>17537</v>
      </c>
      <c r="D2740" s="12" t="s">
        <v>9180</v>
      </c>
      <c r="E2740" s="13" t="s">
        <v>585</v>
      </c>
      <c r="F2740" s="681">
        <v>129.69</v>
      </c>
    </row>
    <row r="2741" spans="2:6" ht="15.75" hidden="1" customHeight="1" x14ac:dyDescent="0.25">
      <c r="B2741" s="13" t="s">
        <v>556</v>
      </c>
      <c r="C2741" s="13" t="s">
        <v>17538</v>
      </c>
      <c r="D2741" s="12" t="s">
        <v>9182</v>
      </c>
      <c r="E2741" s="13" t="s">
        <v>585</v>
      </c>
      <c r="F2741" s="681">
        <v>176.08</v>
      </c>
    </row>
    <row r="2742" spans="2:6" ht="15.75" hidden="1" customHeight="1" x14ac:dyDescent="0.25">
      <c r="B2742" s="13" t="s">
        <v>556</v>
      </c>
      <c r="C2742" s="13" t="s">
        <v>17539</v>
      </c>
      <c r="D2742" s="12" t="s">
        <v>9184</v>
      </c>
      <c r="E2742" s="13" t="s">
        <v>585</v>
      </c>
      <c r="F2742" s="681">
        <v>265.7</v>
      </c>
    </row>
    <row r="2743" spans="2:6" ht="15.75" hidden="1" customHeight="1" x14ac:dyDescent="0.25">
      <c r="B2743" s="13" t="s">
        <v>556</v>
      </c>
      <c r="C2743" s="13" t="s">
        <v>17540</v>
      </c>
      <c r="D2743" s="12" t="s">
        <v>9185</v>
      </c>
      <c r="E2743" s="13" t="s">
        <v>585</v>
      </c>
      <c r="F2743" s="681">
        <v>332.2</v>
      </c>
    </row>
    <row r="2744" spans="2:6" ht="15.75" hidden="1" customHeight="1" x14ac:dyDescent="0.25">
      <c r="B2744" s="13" t="s">
        <v>556</v>
      </c>
      <c r="C2744" s="13" t="s">
        <v>17541</v>
      </c>
      <c r="D2744" s="12" t="s">
        <v>9176</v>
      </c>
      <c r="E2744" s="13" t="s">
        <v>585</v>
      </c>
      <c r="F2744" s="681">
        <v>531.45000000000005</v>
      </c>
    </row>
    <row r="2745" spans="2:6" ht="15.75" hidden="1" customHeight="1" x14ac:dyDescent="0.25">
      <c r="B2745" s="13" t="s">
        <v>556</v>
      </c>
      <c r="C2745" s="13" t="s">
        <v>17542</v>
      </c>
      <c r="D2745" s="12" t="s">
        <v>9589</v>
      </c>
      <c r="E2745" s="13" t="s">
        <v>585</v>
      </c>
      <c r="F2745" s="681">
        <v>1.41</v>
      </c>
    </row>
    <row r="2746" spans="2:6" ht="15.75" hidden="1" customHeight="1" x14ac:dyDescent="0.25">
      <c r="B2746" s="13" t="s">
        <v>556</v>
      </c>
      <c r="C2746" s="13" t="s">
        <v>17543</v>
      </c>
      <c r="D2746" s="12" t="s">
        <v>17544</v>
      </c>
      <c r="E2746" s="13" t="s">
        <v>580</v>
      </c>
      <c r="F2746" s="681">
        <v>76.38</v>
      </c>
    </row>
    <row r="2747" spans="2:6" ht="15.75" hidden="1" customHeight="1" x14ac:dyDescent="0.25">
      <c r="B2747" s="13" t="s">
        <v>556</v>
      </c>
      <c r="C2747" s="13" t="s">
        <v>17545</v>
      </c>
      <c r="D2747" s="12" t="s">
        <v>9591</v>
      </c>
      <c r="E2747" s="13" t="s">
        <v>585</v>
      </c>
      <c r="F2747" s="681">
        <v>2.52</v>
      </c>
    </row>
    <row r="2748" spans="2:6" ht="15.75" hidden="1" customHeight="1" x14ac:dyDescent="0.25">
      <c r="B2748" s="13" t="s">
        <v>556</v>
      </c>
      <c r="C2748" s="13" t="s">
        <v>17546</v>
      </c>
      <c r="D2748" s="12" t="s">
        <v>9643</v>
      </c>
      <c r="E2748" s="13" t="s">
        <v>580</v>
      </c>
      <c r="F2748" s="681">
        <v>1.71</v>
      </c>
    </row>
    <row r="2749" spans="2:6" ht="15.75" hidden="1" customHeight="1" x14ac:dyDescent="0.25">
      <c r="B2749" s="13" t="s">
        <v>556</v>
      </c>
      <c r="C2749" s="13" t="s">
        <v>17547</v>
      </c>
      <c r="D2749" s="12" t="s">
        <v>9644</v>
      </c>
      <c r="E2749" s="13" t="s">
        <v>580</v>
      </c>
      <c r="F2749" s="681">
        <v>2.1</v>
      </c>
    </row>
    <row r="2750" spans="2:6" ht="15.75" hidden="1" customHeight="1" x14ac:dyDescent="0.25">
      <c r="B2750" s="13" t="s">
        <v>556</v>
      </c>
      <c r="C2750" s="13" t="s">
        <v>17548</v>
      </c>
      <c r="D2750" s="12" t="s">
        <v>9642</v>
      </c>
      <c r="E2750" s="13" t="s">
        <v>580</v>
      </c>
      <c r="F2750" s="681">
        <v>2.9</v>
      </c>
    </row>
    <row r="2751" spans="2:6" ht="15.75" hidden="1" customHeight="1" x14ac:dyDescent="0.25">
      <c r="B2751" s="13" t="s">
        <v>556</v>
      </c>
      <c r="C2751" s="13" t="s">
        <v>17549</v>
      </c>
      <c r="D2751" s="12" t="s">
        <v>9622</v>
      </c>
      <c r="E2751" s="13" t="s">
        <v>580</v>
      </c>
      <c r="F2751" s="681">
        <v>2.06</v>
      </c>
    </row>
    <row r="2752" spans="2:6" ht="15.75" hidden="1" customHeight="1" x14ac:dyDescent="0.25">
      <c r="B2752" s="13" t="s">
        <v>556</v>
      </c>
      <c r="C2752" s="13" t="s">
        <v>17550</v>
      </c>
      <c r="D2752" s="12" t="s">
        <v>9625</v>
      </c>
      <c r="E2752" s="13" t="s">
        <v>580</v>
      </c>
      <c r="F2752" s="681">
        <v>5.0199999999999996</v>
      </c>
    </row>
    <row r="2753" spans="2:6" ht="15.75" hidden="1" customHeight="1" x14ac:dyDescent="0.25">
      <c r="B2753" s="13" t="s">
        <v>556</v>
      </c>
      <c r="C2753" s="13" t="s">
        <v>17551</v>
      </c>
      <c r="D2753" s="12" t="s">
        <v>9627</v>
      </c>
      <c r="E2753" s="13" t="s">
        <v>580</v>
      </c>
      <c r="F2753" s="681">
        <v>13.55</v>
      </c>
    </row>
    <row r="2754" spans="2:6" ht="15.75" hidden="1" customHeight="1" x14ac:dyDescent="0.25">
      <c r="B2754" s="13" t="s">
        <v>556</v>
      </c>
      <c r="C2754" s="13" t="s">
        <v>17552</v>
      </c>
      <c r="D2754" s="12" t="s">
        <v>17553</v>
      </c>
      <c r="E2754" s="13" t="s">
        <v>580</v>
      </c>
      <c r="F2754" s="681">
        <v>9.66</v>
      </c>
    </row>
    <row r="2755" spans="2:6" ht="15.75" hidden="1" customHeight="1" x14ac:dyDescent="0.25">
      <c r="B2755" s="13" t="s">
        <v>556</v>
      </c>
      <c r="C2755" s="13" t="s">
        <v>17554</v>
      </c>
      <c r="D2755" s="12" t="s">
        <v>17555</v>
      </c>
      <c r="E2755" s="13" t="s">
        <v>580</v>
      </c>
      <c r="F2755" s="681">
        <v>76.38</v>
      </c>
    </row>
    <row r="2756" spans="2:6" ht="15.75" hidden="1" customHeight="1" x14ac:dyDescent="0.25">
      <c r="B2756" s="13" t="s">
        <v>556</v>
      </c>
      <c r="C2756" s="13" t="s">
        <v>17556</v>
      </c>
      <c r="D2756" s="12" t="s">
        <v>17557</v>
      </c>
      <c r="E2756" s="13" t="s">
        <v>580</v>
      </c>
      <c r="F2756" s="681">
        <v>10.83</v>
      </c>
    </row>
    <row r="2757" spans="2:6" ht="15.75" hidden="1" customHeight="1" x14ac:dyDescent="0.25">
      <c r="B2757" s="13" t="s">
        <v>556</v>
      </c>
      <c r="C2757" s="13" t="s">
        <v>17558</v>
      </c>
      <c r="D2757" s="12" t="s">
        <v>17559</v>
      </c>
      <c r="E2757" s="13" t="s">
        <v>580</v>
      </c>
      <c r="F2757" s="681">
        <v>14.31</v>
      </c>
    </row>
    <row r="2758" spans="2:6" ht="15.75" hidden="1" customHeight="1" x14ac:dyDescent="0.25">
      <c r="B2758" s="13" t="s">
        <v>556</v>
      </c>
      <c r="C2758" s="13" t="s">
        <v>17560</v>
      </c>
      <c r="D2758" s="12" t="s">
        <v>17561</v>
      </c>
      <c r="E2758" s="13" t="s">
        <v>580</v>
      </c>
      <c r="F2758" s="681">
        <v>19.98</v>
      </c>
    </row>
    <row r="2759" spans="2:6" ht="15.75" hidden="1" customHeight="1" x14ac:dyDescent="0.25">
      <c r="B2759" s="13" t="s">
        <v>556</v>
      </c>
      <c r="C2759" s="13" t="s">
        <v>17562</v>
      </c>
      <c r="D2759" s="12" t="s">
        <v>17563</v>
      </c>
      <c r="E2759" s="13" t="s">
        <v>580</v>
      </c>
      <c r="F2759" s="681">
        <v>140.88</v>
      </c>
    </row>
    <row r="2760" spans="2:6" ht="15.75" hidden="1" customHeight="1" x14ac:dyDescent="0.25">
      <c r="B2760" s="13" t="s">
        <v>556</v>
      </c>
      <c r="C2760" s="13" t="s">
        <v>17564</v>
      </c>
      <c r="D2760" s="12" t="s">
        <v>17565</v>
      </c>
      <c r="E2760" s="13" t="s">
        <v>580</v>
      </c>
      <c r="F2760" s="681">
        <v>161.01</v>
      </c>
    </row>
    <row r="2761" spans="2:6" ht="15.75" hidden="1" customHeight="1" x14ac:dyDescent="0.25">
      <c r="B2761" s="13" t="s">
        <v>556</v>
      </c>
      <c r="C2761" s="13" t="s">
        <v>17566</v>
      </c>
      <c r="D2761" s="12" t="s">
        <v>17567</v>
      </c>
      <c r="E2761" s="13" t="s">
        <v>580</v>
      </c>
      <c r="F2761" s="681">
        <v>154.32</v>
      </c>
    </row>
    <row r="2762" spans="2:6" ht="15.75" hidden="1" customHeight="1" x14ac:dyDescent="0.25">
      <c r="B2762" s="13" t="s">
        <v>556</v>
      </c>
      <c r="C2762" s="13" t="s">
        <v>17568</v>
      </c>
      <c r="D2762" s="12" t="s">
        <v>17569</v>
      </c>
      <c r="E2762" s="13" t="s">
        <v>580</v>
      </c>
      <c r="F2762" s="681">
        <v>187.83</v>
      </c>
    </row>
    <row r="2763" spans="2:6" ht="15.75" hidden="1" customHeight="1" x14ac:dyDescent="0.25">
      <c r="B2763" s="13" t="s">
        <v>556</v>
      </c>
      <c r="C2763" s="13" t="s">
        <v>17570</v>
      </c>
      <c r="D2763" s="12" t="s">
        <v>17571</v>
      </c>
      <c r="E2763" s="13" t="s">
        <v>580</v>
      </c>
      <c r="F2763" s="681">
        <v>19.05</v>
      </c>
    </row>
    <row r="2764" spans="2:6" ht="15.75" hidden="1" customHeight="1" x14ac:dyDescent="0.25">
      <c r="B2764" s="13" t="s">
        <v>556</v>
      </c>
      <c r="C2764" s="13" t="s">
        <v>17572</v>
      </c>
      <c r="D2764" s="12" t="s">
        <v>17573</v>
      </c>
      <c r="E2764" s="13" t="s">
        <v>580</v>
      </c>
      <c r="F2764" s="681">
        <v>116.37</v>
      </c>
    </row>
    <row r="2765" spans="2:6" ht="15.75" hidden="1" customHeight="1" x14ac:dyDescent="0.25">
      <c r="B2765" s="13" t="s">
        <v>556</v>
      </c>
      <c r="C2765" s="13" t="s">
        <v>17574</v>
      </c>
      <c r="D2765" s="12" t="s">
        <v>17575</v>
      </c>
      <c r="E2765" s="13" t="s">
        <v>580</v>
      </c>
      <c r="F2765" s="681">
        <v>32.159999999999997</v>
      </c>
    </row>
    <row r="2766" spans="2:6" ht="15.75" hidden="1" customHeight="1" x14ac:dyDescent="0.25">
      <c r="B2766" s="13" t="s">
        <v>556</v>
      </c>
      <c r="C2766" s="13" t="s">
        <v>17576</v>
      </c>
      <c r="D2766" s="12" t="s">
        <v>17577</v>
      </c>
      <c r="E2766" s="13" t="s">
        <v>580</v>
      </c>
      <c r="F2766" s="681">
        <v>35.57</v>
      </c>
    </row>
    <row r="2767" spans="2:6" ht="15.75" hidden="1" customHeight="1" x14ac:dyDescent="0.25">
      <c r="B2767" s="13" t="s">
        <v>556</v>
      </c>
      <c r="C2767" s="13" t="s">
        <v>17578</v>
      </c>
      <c r="D2767" s="12" t="s">
        <v>17579</v>
      </c>
      <c r="E2767" s="13" t="s">
        <v>580</v>
      </c>
      <c r="F2767" s="681">
        <v>8.77</v>
      </c>
    </row>
    <row r="2768" spans="2:6" ht="15.75" hidden="1" customHeight="1" x14ac:dyDescent="0.25">
      <c r="B2768" s="13" t="s">
        <v>556</v>
      </c>
      <c r="C2768" s="13" t="s">
        <v>17580</v>
      </c>
      <c r="D2768" s="12" t="s">
        <v>17581</v>
      </c>
      <c r="E2768" s="13" t="s">
        <v>580</v>
      </c>
      <c r="F2768" s="681">
        <v>13.63</v>
      </c>
    </row>
    <row r="2769" spans="2:6" ht="15.75" hidden="1" customHeight="1" x14ac:dyDescent="0.25">
      <c r="B2769" s="13" t="s">
        <v>556</v>
      </c>
      <c r="C2769" s="13" t="s">
        <v>17582</v>
      </c>
      <c r="D2769" s="12" t="s">
        <v>17583</v>
      </c>
      <c r="E2769" s="13" t="s">
        <v>580</v>
      </c>
      <c r="F2769" s="681">
        <v>14.57</v>
      </c>
    </row>
    <row r="2770" spans="2:6" ht="15.75" hidden="1" customHeight="1" x14ac:dyDescent="0.25">
      <c r="B2770" s="13" t="s">
        <v>556</v>
      </c>
      <c r="C2770" s="13" t="s">
        <v>17584</v>
      </c>
      <c r="D2770" s="12" t="s">
        <v>17585</v>
      </c>
      <c r="E2770" s="13" t="s">
        <v>580</v>
      </c>
      <c r="F2770" s="681">
        <v>20.04</v>
      </c>
    </row>
    <row r="2771" spans="2:6" ht="15.75" hidden="1" customHeight="1" x14ac:dyDescent="0.25">
      <c r="B2771" s="13" t="s">
        <v>556</v>
      </c>
      <c r="C2771" s="13" t="s">
        <v>17586</v>
      </c>
      <c r="D2771" s="12" t="s">
        <v>17587</v>
      </c>
      <c r="E2771" s="13" t="s">
        <v>580</v>
      </c>
      <c r="F2771" s="681">
        <v>8</v>
      </c>
    </row>
    <row r="2772" spans="2:6" ht="15.75" hidden="1" customHeight="1" x14ac:dyDescent="0.25">
      <c r="B2772" s="13" t="s">
        <v>556</v>
      </c>
      <c r="C2772" s="13" t="s">
        <v>17588</v>
      </c>
      <c r="D2772" s="12" t="s">
        <v>17589</v>
      </c>
      <c r="E2772" s="13" t="s">
        <v>580</v>
      </c>
      <c r="F2772" s="681">
        <v>10.84</v>
      </c>
    </row>
    <row r="2773" spans="2:6" ht="15.75" hidden="1" customHeight="1" x14ac:dyDescent="0.25">
      <c r="B2773" s="13" t="s">
        <v>556</v>
      </c>
      <c r="C2773" s="13" t="s">
        <v>17590</v>
      </c>
      <c r="D2773" s="12" t="s">
        <v>17591</v>
      </c>
      <c r="E2773" s="13" t="s">
        <v>580</v>
      </c>
      <c r="F2773" s="681">
        <v>20.82</v>
      </c>
    </row>
    <row r="2774" spans="2:6" ht="15.75" hidden="1" customHeight="1" x14ac:dyDescent="0.25">
      <c r="B2774" s="13" t="s">
        <v>556</v>
      </c>
      <c r="C2774" s="13" t="s">
        <v>17592</v>
      </c>
      <c r="D2774" s="12" t="s">
        <v>17593</v>
      </c>
      <c r="E2774" s="13" t="s">
        <v>580</v>
      </c>
      <c r="F2774" s="681">
        <v>24.67</v>
      </c>
    </row>
    <row r="2775" spans="2:6" ht="15.75" hidden="1" customHeight="1" x14ac:dyDescent="0.25">
      <c r="B2775" s="13" t="s">
        <v>556</v>
      </c>
      <c r="C2775" s="13" t="s">
        <v>17594</v>
      </c>
      <c r="D2775" s="12" t="s">
        <v>8502</v>
      </c>
      <c r="E2775" s="13" t="s">
        <v>580</v>
      </c>
      <c r="F2775" s="681">
        <v>2.09</v>
      </c>
    </row>
    <row r="2776" spans="2:6" ht="15.75" hidden="1" customHeight="1" x14ac:dyDescent="0.25">
      <c r="B2776" s="13" t="s">
        <v>556</v>
      </c>
      <c r="C2776" s="13" t="s">
        <v>17595</v>
      </c>
      <c r="D2776" s="12" t="s">
        <v>17596</v>
      </c>
      <c r="E2776" s="13" t="s">
        <v>580</v>
      </c>
      <c r="F2776" s="681">
        <v>116.37</v>
      </c>
    </row>
    <row r="2777" spans="2:6" ht="15.75" hidden="1" customHeight="1" x14ac:dyDescent="0.25">
      <c r="B2777" s="13" t="s">
        <v>556</v>
      </c>
      <c r="C2777" s="13" t="s">
        <v>17597</v>
      </c>
      <c r="D2777" s="12" t="s">
        <v>17598</v>
      </c>
      <c r="E2777" s="13" t="s">
        <v>580</v>
      </c>
      <c r="F2777" s="681">
        <v>9.73</v>
      </c>
    </row>
    <row r="2778" spans="2:6" ht="15.75" hidden="1" customHeight="1" x14ac:dyDescent="0.25">
      <c r="B2778" s="13" t="s">
        <v>556</v>
      </c>
      <c r="C2778" s="13" t="s">
        <v>17599</v>
      </c>
      <c r="D2778" s="12" t="s">
        <v>17600</v>
      </c>
      <c r="E2778" s="13" t="s">
        <v>580</v>
      </c>
      <c r="F2778" s="681">
        <v>13.03</v>
      </c>
    </row>
    <row r="2779" spans="2:6" ht="15.75" hidden="1" customHeight="1" x14ac:dyDescent="0.25">
      <c r="B2779" s="13" t="s">
        <v>556</v>
      </c>
      <c r="C2779" s="13" t="s">
        <v>17601</v>
      </c>
      <c r="D2779" s="12" t="s">
        <v>17602</v>
      </c>
      <c r="E2779" s="13" t="s">
        <v>580</v>
      </c>
      <c r="F2779" s="681">
        <v>23.69</v>
      </c>
    </row>
    <row r="2780" spans="2:6" ht="15.75" hidden="1" customHeight="1" x14ac:dyDescent="0.25">
      <c r="B2780" s="13" t="s">
        <v>556</v>
      </c>
      <c r="C2780" s="13" t="s">
        <v>17603</v>
      </c>
      <c r="D2780" s="12" t="s">
        <v>17604</v>
      </c>
      <c r="E2780" s="13" t="s">
        <v>580</v>
      </c>
      <c r="F2780" s="681">
        <v>11.52</v>
      </c>
    </row>
    <row r="2781" spans="2:6" ht="15.75" hidden="1" customHeight="1" x14ac:dyDescent="0.25">
      <c r="B2781" s="13" t="s">
        <v>556</v>
      </c>
      <c r="C2781" s="13" t="s">
        <v>17605</v>
      </c>
      <c r="D2781" s="12" t="s">
        <v>17606</v>
      </c>
      <c r="E2781" s="13" t="s">
        <v>580</v>
      </c>
      <c r="F2781" s="681">
        <v>12.63</v>
      </c>
    </row>
    <row r="2782" spans="2:6" ht="15.75" hidden="1" customHeight="1" x14ac:dyDescent="0.25">
      <c r="B2782" s="13" t="s">
        <v>556</v>
      </c>
      <c r="C2782" s="13" t="s">
        <v>17607</v>
      </c>
      <c r="D2782" s="12" t="s">
        <v>17608</v>
      </c>
      <c r="E2782" s="13" t="s">
        <v>580</v>
      </c>
      <c r="F2782" s="681">
        <v>16.98</v>
      </c>
    </row>
    <row r="2783" spans="2:6" ht="15.75" hidden="1" customHeight="1" x14ac:dyDescent="0.25">
      <c r="B2783" s="13" t="s">
        <v>556</v>
      </c>
      <c r="C2783" s="13" t="s">
        <v>17609</v>
      </c>
      <c r="D2783" s="12" t="s">
        <v>17610</v>
      </c>
      <c r="E2783" s="13" t="s">
        <v>580</v>
      </c>
      <c r="F2783" s="681">
        <v>6.67</v>
      </c>
    </row>
    <row r="2784" spans="2:6" ht="15.75" hidden="1" customHeight="1" x14ac:dyDescent="0.25">
      <c r="B2784" s="13" t="s">
        <v>556</v>
      </c>
      <c r="C2784" s="13" t="s">
        <v>17611</v>
      </c>
      <c r="D2784" s="12" t="s">
        <v>17612</v>
      </c>
      <c r="E2784" s="13" t="s">
        <v>580</v>
      </c>
      <c r="F2784" s="681">
        <v>7.61</v>
      </c>
    </row>
    <row r="2785" spans="2:6" ht="15.75" hidden="1" customHeight="1" x14ac:dyDescent="0.25">
      <c r="B2785" s="13" t="s">
        <v>556</v>
      </c>
      <c r="C2785" s="13" t="s">
        <v>17613</v>
      </c>
      <c r="D2785" s="12" t="s">
        <v>17614</v>
      </c>
      <c r="E2785" s="13" t="s">
        <v>580</v>
      </c>
      <c r="F2785" s="681">
        <v>116.37</v>
      </c>
    </row>
    <row r="2786" spans="2:6" ht="15.75" hidden="1" customHeight="1" x14ac:dyDescent="0.25">
      <c r="B2786" s="13" t="s">
        <v>556</v>
      </c>
      <c r="C2786" s="13" t="s">
        <v>17615</v>
      </c>
      <c r="D2786" s="12" t="s">
        <v>17616</v>
      </c>
      <c r="E2786" s="13" t="s">
        <v>580</v>
      </c>
      <c r="F2786" s="681">
        <v>14.2</v>
      </c>
    </row>
    <row r="2787" spans="2:6" ht="15.75" hidden="1" customHeight="1" x14ac:dyDescent="0.25">
      <c r="B2787" s="13" t="s">
        <v>556</v>
      </c>
      <c r="C2787" s="13" t="s">
        <v>17617</v>
      </c>
      <c r="D2787" s="12" t="s">
        <v>17618</v>
      </c>
      <c r="E2787" s="13" t="s">
        <v>580</v>
      </c>
      <c r="F2787" s="681">
        <v>20.100000000000001</v>
      </c>
    </row>
    <row r="2788" spans="2:6" ht="15.75" hidden="1" customHeight="1" x14ac:dyDescent="0.25">
      <c r="B2788" s="13" t="s">
        <v>556</v>
      </c>
      <c r="C2788" s="13" t="s">
        <v>17619</v>
      </c>
      <c r="D2788" s="12" t="s">
        <v>17620</v>
      </c>
      <c r="E2788" s="13" t="s">
        <v>580</v>
      </c>
      <c r="F2788" s="681">
        <v>13.45</v>
      </c>
    </row>
    <row r="2789" spans="2:6" ht="15.75" hidden="1" customHeight="1" x14ac:dyDescent="0.25">
      <c r="B2789" s="13" t="s">
        <v>556</v>
      </c>
      <c r="C2789" s="13" t="s">
        <v>17621</v>
      </c>
      <c r="D2789" s="12" t="s">
        <v>17622</v>
      </c>
      <c r="E2789" s="13" t="s">
        <v>580</v>
      </c>
      <c r="F2789" s="681">
        <v>18.059999999999999</v>
      </c>
    </row>
    <row r="2790" spans="2:6" ht="15.75" hidden="1" customHeight="1" x14ac:dyDescent="0.25">
      <c r="B2790" s="13" t="s">
        <v>556</v>
      </c>
      <c r="C2790" s="13" t="s">
        <v>17623</v>
      </c>
      <c r="D2790" s="12" t="s">
        <v>17624</v>
      </c>
      <c r="E2790" s="13" t="s">
        <v>580</v>
      </c>
      <c r="F2790" s="681">
        <v>26.58</v>
      </c>
    </row>
    <row r="2791" spans="2:6" ht="15.75" hidden="1" customHeight="1" x14ac:dyDescent="0.25">
      <c r="B2791" s="13" t="s">
        <v>556</v>
      </c>
      <c r="C2791" s="13" t="s">
        <v>17625</v>
      </c>
      <c r="D2791" s="12" t="s">
        <v>17626</v>
      </c>
      <c r="E2791" s="13" t="s">
        <v>580</v>
      </c>
      <c r="F2791" s="681">
        <v>0.36</v>
      </c>
    </row>
    <row r="2792" spans="2:6" ht="15.75" hidden="1" customHeight="1" x14ac:dyDescent="0.25">
      <c r="B2792" s="13" t="s">
        <v>556</v>
      </c>
      <c r="C2792" s="13" t="s">
        <v>17627</v>
      </c>
      <c r="D2792" s="12" t="s">
        <v>10506</v>
      </c>
      <c r="E2792" s="13" t="s">
        <v>580</v>
      </c>
      <c r="F2792" s="681">
        <v>11.73</v>
      </c>
    </row>
    <row r="2793" spans="2:6" ht="15.75" hidden="1" customHeight="1" x14ac:dyDescent="0.25">
      <c r="B2793" s="13" t="s">
        <v>556</v>
      </c>
      <c r="C2793" s="13" t="s">
        <v>17628</v>
      </c>
      <c r="D2793" s="12" t="s">
        <v>11531</v>
      </c>
      <c r="E2793" s="13" t="s">
        <v>580</v>
      </c>
      <c r="F2793" s="681">
        <v>9.77</v>
      </c>
    </row>
    <row r="2794" spans="2:6" ht="15.75" hidden="1" customHeight="1" x14ac:dyDescent="0.25">
      <c r="B2794" s="13" t="s">
        <v>556</v>
      </c>
      <c r="C2794" s="13" t="s">
        <v>17629</v>
      </c>
      <c r="D2794" s="12" t="s">
        <v>17630</v>
      </c>
      <c r="E2794" s="13" t="s">
        <v>580</v>
      </c>
      <c r="F2794" s="681">
        <v>200.94</v>
      </c>
    </row>
    <row r="2795" spans="2:6" ht="15.75" hidden="1" customHeight="1" x14ac:dyDescent="0.25">
      <c r="B2795" s="13" t="s">
        <v>556</v>
      </c>
      <c r="C2795" s="13" t="s">
        <v>17631</v>
      </c>
      <c r="D2795" s="12" t="s">
        <v>11532</v>
      </c>
      <c r="E2795" s="13" t="s">
        <v>580</v>
      </c>
      <c r="F2795" s="681">
        <v>18.78</v>
      </c>
    </row>
    <row r="2796" spans="2:6" ht="15.75" hidden="1" customHeight="1" x14ac:dyDescent="0.25">
      <c r="B2796" s="13" t="s">
        <v>556</v>
      </c>
      <c r="C2796" s="13" t="s">
        <v>17632</v>
      </c>
      <c r="D2796" s="12" t="s">
        <v>11530</v>
      </c>
      <c r="E2796" s="13" t="s">
        <v>580</v>
      </c>
      <c r="F2796" s="681">
        <v>23.47</v>
      </c>
    </row>
    <row r="2797" spans="2:6" ht="15.75" hidden="1" customHeight="1" x14ac:dyDescent="0.25">
      <c r="B2797" s="13" t="s">
        <v>556</v>
      </c>
      <c r="C2797" s="13" t="s">
        <v>17633</v>
      </c>
      <c r="D2797" s="12" t="s">
        <v>17634</v>
      </c>
      <c r="E2797" s="13" t="s">
        <v>580</v>
      </c>
      <c r="F2797" s="681">
        <v>10.220000000000001</v>
      </c>
    </row>
    <row r="2798" spans="2:6" ht="15.75" hidden="1" customHeight="1" x14ac:dyDescent="0.25">
      <c r="B2798" s="13" t="s">
        <v>556</v>
      </c>
      <c r="C2798" s="13" t="s">
        <v>17635</v>
      </c>
      <c r="D2798" s="12" t="s">
        <v>10617</v>
      </c>
      <c r="E2798" s="13" t="s">
        <v>578</v>
      </c>
      <c r="F2798" s="681">
        <v>25.43</v>
      </c>
    </row>
    <row r="2799" spans="2:6" ht="15.75" hidden="1" customHeight="1" x14ac:dyDescent="0.25">
      <c r="B2799" s="13" t="s">
        <v>556</v>
      </c>
      <c r="C2799" s="13" t="s">
        <v>17636</v>
      </c>
      <c r="D2799" s="12" t="s">
        <v>11371</v>
      </c>
      <c r="E2799" s="13" t="s">
        <v>580</v>
      </c>
      <c r="F2799" s="681">
        <v>5.33</v>
      </c>
    </row>
    <row r="2800" spans="2:6" ht="15.75" hidden="1" customHeight="1" x14ac:dyDescent="0.25">
      <c r="B2800" s="13" t="s">
        <v>556</v>
      </c>
      <c r="C2800" s="13" t="s">
        <v>17637</v>
      </c>
      <c r="D2800" s="12" t="s">
        <v>11372</v>
      </c>
      <c r="E2800" s="13" t="s">
        <v>580</v>
      </c>
      <c r="F2800" s="681">
        <v>8.0399999999999991</v>
      </c>
    </row>
    <row r="2801" spans="2:6" ht="15.75" hidden="1" customHeight="1" x14ac:dyDescent="0.25">
      <c r="B2801" s="13" t="s">
        <v>556</v>
      </c>
      <c r="C2801" s="13" t="s">
        <v>17638</v>
      </c>
      <c r="D2801" s="12" t="s">
        <v>11373</v>
      </c>
      <c r="E2801" s="13" t="s">
        <v>580</v>
      </c>
      <c r="F2801" s="681">
        <v>28.84</v>
      </c>
    </row>
    <row r="2802" spans="2:6" ht="15.75" hidden="1" customHeight="1" x14ac:dyDescent="0.25">
      <c r="B2802" s="13" t="s">
        <v>556</v>
      </c>
      <c r="C2802" s="13" t="s">
        <v>17639</v>
      </c>
      <c r="D2802" s="12" t="s">
        <v>11374</v>
      </c>
      <c r="E2802" s="13" t="s">
        <v>580</v>
      </c>
      <c r="F2802" s="681">
        <v>43.52</v>
      </c>
    </row>
    <row r="2803" spans="2:6" ht="15.75" hidden="1" customHeight="1" x14ac:dyDescent="0.25">
      <c r="B2803" s="13" t="s">
        <v>556</v>
      </c>
      <c r="C2803" s="13" t="s">
        <v>17640</v>
      </c>
      <c r="D2803" s="12" t="s">
        <v>10914</v>
      </c>
      <c r="E2803" s="13" t="s">
        <v>585</v>
      </c>
      <c r="F2803" s="681">
        <v>4.04</v>
      </c>
    </row>
    <row r="2804" spans="2:6" ht="15.75" hidden="1" customHeight="1" x14ac:dyDescent="0.25">
      <c r="B2804" s="13" t="s">
        <v>556</v>
      </c>
      <c r="C2804" s="13" t="s">
        <v>17641</v>
      </c>
      <c r="D2804" s="12" t="s">
        <v>9476</v>
      </c>
      <c r="E2804" s="13" t="s">
        <v>580</v>
      </c>
      <c r="F2804" s="681">
        <v>8.49</v>
      </c>
    </row>
    <row r="2805" spans="2:6" ht="15.75" hidden="1" customHeight="1" x14ac:dyDescent="0.25">
      <c r="B2805" s="13" t="s">
        <v>556</v>
      </c>
      <c r="C2805" s="13" t="s">
        <v>17642</v>
      </c>
      <c r="D2805" s="12" t="s">
        <v>17643</v>
      </c>
      <c r="E2805" s="13" t="s">
        <v>580</v>
      </c>
      <c r="F2805" s="681">
        <v>200.94</v>
      </c>
    </row>
    <row r="2806" spans="2:6" ht="15.75" hidden="1" customHeight="1" x14ac:dyDescent="0.25">
      <c r="B2806" s="13" t="s">
        <v>556</v>
      </c>
      <c r="C2806" s="13" t="s">
        <v>17644</v>
      </c>
      <c r="D2806" s="12" t="s">
        <v>9479</v>
      </c>
      <c r="E2806" s="13" t="s">
        <v>580</v>
      </c>
      <c r="F2806" s="681">
        <v>8.93</v>
      </c>
    </row>
    <row r="2807" spans="2:6" ht="15.75" hidden="1" customHeight="1" x14ac:dyDescent="0.25">
      <c r="B2807" s="13" t="s">
        <v>556</v>
      </c>
      <c r="C2807" s="13" t="s">
        <v>17645</v>
      </c>
      <c r="D2807" s="12" t="s">
        <v>9480</v>
      </c>
      <c r="E2807" s="13" t="s">
        <v>580</v>
      </c>
      <c r="F2807" s="681">
        <v>7.94</v>
      </c>
    </row>
    <row r="2808" spans="2:6" ht="15.75" hidden="1" customHeight="1" x14ac:dyDescent="0.25">
      <c r="B2808" s="13" t="s">
        <v>556</v>
      </c>
      <c r="C2808" s="13" t="s">
        <v>17646</v>
      </c>
      <c r="D2808" s="12" t="s">
        <v>9478</v>
      </c>
      <c r="E2808" s="13" t="s">
        <v>580</v>
      </c>
      <c r="F2808" s="681">
        <v>9.98</v>
      </c>
    </row>
    <row r="2809" spans="2:6" ht="15.75" hidden="1" customHeight="1" x14ac:dyDescent="0.25">
      <c r="B2809" s="13" t="s">
        <v>556</v>
      </c>
      <c r="C2809" s="13" t="s">
        <v>17647</v>
      </c>
      <c r="D2809" s="12" t="s">
        <v>9482</v>
      </c>
      <c r="E2809" s="13" t="s">
        <v>580</v>
      </c>
      <c r="F2809" s="681">
        <v>7.75</v>
      </c>
    </row>
    <row r="2810" spans="2:6" ht="15.75" hidden="1" customHeight="1" x14ac:dyDescent="0.25">
      <c r="B2810" s="13" t="s">
        <v>556</v>
      </c>
      <c r="C2810" s="13" t="s">
        <v>17648</v>
      </c>
      <c r="D2810" s="12" t="s">
        <v>9483</v>
      </c>
      <c r="E2810" s="13" t="s">
        <v>580</v>
      </c>
      <c r="F2810" s="681">
        <v>7.12</v>
      </c>
    </row>
    <row r="2811" spans="2:6" ht="15.75" hidden="1" customHeight="1" x14ac:dyDescent="0.25">
      <c r="B2811" s="13" t="s">
        <v>556</v>
      </c>
      <c r="C2811" s="13" t="s">
        <v>17649</v>
      </c>
      <c r="D2811" s="12" t="s">
        <v>9481</v>
      </c>
      <c r="E2811" s="13" t="s">
        <v>580</v>
      </c>
      <c r="F2811" s="681">
        <v>8.9600000000000009</v>
      </c>
    </row>
    <row r="2812" spans="2:6" ht="15.75" hidden="1" customHeight="1" x14ac:dyDescent="0.25">
      <c r="B2812" s="13" t="s">
        <v>556</v>
      </c>
      <c r="C2812" s="13" t="s">
        <v>17650</v>
      </c>
      <c r="D2812" s="12" t="s">
        <v>9489</v>
      </c>
      <c r="E2812" s="13" t="s">
        <v>580</v>
      </c>
      <c r="F2812" s="681">
        <v>8.93</v>
      </c>
    </row>
    <row r="2813" spans="2:6" ht="15.75" hidden="1" customHeight="1" x14ac:dyDescent="0.25">
      <c r="B2813" s="13" t="s">
        <v>556</v>
      </c>
      <c r="C2813" s="13" t="s">
        <v>17651</v>
      </c>
      <c r="D2813" s="12" t="s">
        <v>9490</v>
      </c>
      <c r="E2813" s="13" t="s">
        <v>580</v>
      </c>
      <c r="F2813" s="681">
        <v>7.94</v>
      </c>
    </row>
    <row r="2814" spans="2:6" ht="15.75" hidden="1" customHeight="1" x14ac:dyDescent="0.25">
      <c r="B2814" s="13" t="s">
        <v>556</v>
      </c>
      <c r="C2814" s="13" t="s">
        <v>17652</v>
      </c>
      <c r="D2814" s="12" t="s">
        <v>9488</v>
      </c>
      <c r="E2814" s="13" t="s">
        <v>580</v>
      </c>
      <c r="F2814" s="681">
        <v>9.98</v>
      </c>
    </row>
    <row r="2815" spans="2:6" ht="15.75" hidden="1" customHeight="1" x14ac:dyDescent="0.25">
      <c r="B2815" s="13" t="s">
        <v>556</v>
      </c>
      <c r="C2815" s="13" t="s">
        <v>17653</v>
      </c>
      <c r="D2815" s="12" t="s">
        <v>17654</v>
      </c>
      <c r="E2815" s="13" t="s">
        <v>580</v>
      </c>
      <c r="F2815" s="681">
        <v>200.94</v>
      </c>
    </row>
    <row r="2816" spans="2:6" ht="15.75" hidden="1" customHeight="1" x14ac:dyDescent="0.25">
      <c r="B2816" s="13" t="s">
        <v>556</v>
      </c>
      <c r="C2816" s="13" t="s">
        <v>17655</v>
      </c>
      <c r="D2816" s="12" t="s">
        <v>9492</v>
      </c>
      <c r="E2816" s="13" t="s">
        <v>580</v>
      </c>
      <c r="F2816" s="681">
        <v>9.5500000000000007</v>
      </c>
    </row>
    <row r="2817" spans="2:6" ht="15.75" hidden="1" customHeight="1" x14ac:dyDescent="0.25">
      <c r="B2817" s="13" t="s">
        <v>556</v>
      </c>
      <c r="C2817" s="13" t="s">
        <v>17656</v>
      </c>
      <c r="D2817" s="12" t="s">
        <v>9491</v>
      </c>
      <c r="E2817" s="13" t="s">
        <v>580</v>
      </c>
      <c r="F2817" s="681">
        <v>13.01</v>
      </c>
    </row>
    <row r="2818" spans="2:6" ht="15.75" hidden="1" customHeight="1" x14ac:dyDescent="0.25">
      <c r="B2818" s="13" t="s">
        <v>556</v>
      </c>
      <c r="C2818" s="13" t="s">
        <v>17657</v>
      </c>
      <c r="D2818" s="12" t="s">
        <v>9493</v>
      </c>
      <c r="E2818" s="13" t="s">
        <v>580</v>
      </c>
      <c r="F2818" s="681">
        <v>13.01</v>
      </c>
    </row>
    <row r="2819" spans="2:6" ht="15.75" hidden="1" customHeight="1" x14ac:dyDescent="0.25">
      <c r="B2819" s="13" t="s">
        <v>556</v>
      </c>
      <c r="C2819" s="13" t="s">
        <v>17658</v>
      </c>
      <c r="D2819" s="12" t="s">
        <v>9496</v>
      </c>
      <c r="E2819" s="13" t="s">
        <v>580</v>
      </c>
      <c r="F2819" s="681">
        <v>10.99</v>
      </c>
    </row>
    <row r="2820" spans="2:6" ht="15.75" hidden="1" customHeight="1" x14ac:dyDescent="0.25">
      <c r="B2820" s="13" t="s">
        <v>556</v>
      </c>
      <c r="C2820" s="13" t="s">
        <v>17659</v>
      </c>
      <c r="D2820" s="12" t="s">
        <v>9497</v>
      </c>
      <c r="E2820" s="13" t="s">
        <v>580</v>
      </c>
      <c r="F2820" s="681">
        <v>10.62</v>
      </c>
    </row>
    <row r="2821" spans="2:6" ht="15.75" hidden="1" customHeight="1" x14ac:dyDescent="0.25">
      <c r="B2821" s="13" t="s">
        <v>556</v>
      </c>
      <c r="C2821" s="13" t="s">
        <v>17660</v>
      </c>
      <c r="D2821" s="12" t="s">
        <v>9495</v>
      </c>
      <c r="E2821" s="13" t="s">
        <v>580</v>
      </c>
      <c r="F2821" s="681">
        <v>14.87</v>
      </c>
    </row>
    <row r="2822" spans="2:6" ht="15.75" hidden="1" customHeight="1" x14ac:dyDescent="0.25">
      <c r="B2822" s="13" t="s">
        <v>556</v>
      </c>
      <c r="C2822" s="13" t="s">
        <v>17661</v>
      </c>
      <c r="D2822" s="12" t="s">
        <v>11323</v>
      </c>
      <c r="E2822" s="13" t="s">
        <v>580</v>
      </c>
      <c r="F2822" s="681">
        <v>2.69</v>
      </c>
    </row>
    <row r="2823" spans="2:6" ht="15.75" hidden="1" customHeight="1" x14ac:dyDescent="0.25">
      <c r="B2823" s="13" t="s">
        <v>556</v>
      </c>
      <c r="C2823" s="13" t="s">
        <v>17662</v>
      </c>
      <c r="D2823" s="12" t="s">
        <v>17663</v>
      </c>
      <c r="E2823" s="13" t="s">
        <v>580</v>
      </c>
      <c r="F2823" s="681">
        <v>43.54</v>
      </c>
    </row>
    <row r="2824" spans="2:6" ht="15.75" hidden="1" customHeight="1" x14ac:dyDescent="0.25">
      <c r="B2824" s="13" t="s">
        <v>556</v>
      </c>
      <c r="C2824" s="13" t="s">
        <v>17664</v>
      </c>
      <c r="D2824" s="12" t="s">
        <v>11324</v>
      </c>
      <c r="E2824" s="13" t="s">
        <v>580</v>
      </c>
      <c r="F2824" s="681">
        <v>2.89</v>
      </c>
    </row>
    <row r="2825" spans="2:6" ht="15.75" hidden="1" customHeight="1" x14ac:dyDescent="0.25">
      <c r="B2825" s="13" t="s">
        <v>556</v>
      </c>
      <c r="C2825" s="13" t="s">
        <v>17665</v>
      </c>
      <c r="D2825" s="12" t="s">
        <v>11325</v>
      </c>
      <c r="E2825" s="13" t="s">
        <v>580</v>
      </c>
      <c r="F2825" s="681">
        <v>3.35</v>
      </c>
    </row>
    <row r="2826" spans="2:6" ht="15.75" hidden="1" customHeight="1" x14ac:dyDescent="0.25">
      <c r="B2826" s="13" t="s">
        <v>556</v>
      </c>
      <c r="C2826" s="13" t="s">
        <v>17666</v>
      </c>
      <c r="D2826" s="12" t="s">
        <v>11326</v>
      </c>
      <c r="E2826" s="13" t="s">
        <v>580</v>
      </c>
      <c r="F2826" s="681">
        <v>2.69</v>
      </c>
    </row>
    <row r="2827" spans="2:6" ht="15.75" hidden="1" customHeight="1" x14ac:dyDescent="0.25">
      <c r="B2827" s="13" t="s">
        <v>556</v>
      </c>
      <c r="C2827" s="13" t="s">
        <v>17667</v>
      </c>
      <c r="D2827" s="12" t="s">
        <v>17668</v>
      </c>
      <c r="E2827" s="13" t="s">
        <v>580</v>
      </c>
      <c r="F2827" s="681">
        <v>192.83</v>
      </c>
    </row>
    <row r="2828" spans="2:6" ht="15.75" hidden="1" customHeight="1" x14ac:dyDescent="0.25">
      <c r="B2828" s="13" t="s">
        <v>556</v>
      </c>
      <c r="C2828" s="13" t="s">
        <v>17669</v>
      </c>
      <c r="D2828" s="12" t="s">
        <v>17670</v>
      </c>
      <c r="E2828" s="13" t="s">
        <v>580</v>
      </c>
      <c r="F2828" s="681">
        <v>406.84</v>
      </c>
    </row>
    <row r="2829" spans="2:6" ht="15.75" hidden="1" customHeight="1" x14ac:dyDescent="0.25">
      <c r="B2829" s="13" t="s">
        <v>556</v>
      </c>
      <c r="C2829" s="13" t="s">
        <v>17671</v>
      </c>
      <c r="D2829" s="12" t="s">
        <v>17672</v>
      </c>
      <c r="E2829" s="13" t="s">
        <v>580</v>
      </c>
      <c r="F2829" s="681">
        <v>88.02</v>
      </c>
    </row>
    <row r="2830" spans="2:6" ht="15.75" hidden="1" customHeight="1" x14ac:dyDescent="0.25">
      <c r="B2830" s="13" t="s">
        <v>556</v>
      </c>
      <c r="C2830" s="13" t="s">
        <v>17673</v>
      </c>
      <c r="D2830" s="12" t="s">
        <v>17674</v>
      </c>
      <c r="E2830" s="13" t="s">
        <v>580</v>
      </c>
      <c r="F2830" s="681">
        <v>84</v>
      </c>
    </row>
    <row r="2831" spans="2:6" ht="15.75" hidden="1" customHeight="1" x14ac:dyDescent="0.25">
      <c r="B2831" s="13" t="s">
        <v>556</v>
      </c>
      <c r="C2831" s="13" t="s">
        <v>17675</v>
      </c>
      <c r="D2831" s="12" t="s">
        <v>17676</v>
      </c>
      <c r="E2831" s="13" t="s">
        <v>580</v>
      </c>
      <c r="F2831" s="681">
        <v>60.41</v>
      </c>
    </row>
    <row r="2832" spans="2:6" ht="15.75" hidden="1" customHeight="1" x14ac:dyDescent="0.25">
      <c r="B2832" s="13" t="s">
        <v>556</v>
      </c>
      <c r="C2832" s="13" t="s">
        <v>17677</v>
      </c>
      <c r="D2832" s="12" t="s">
        <v>17678</v>
      </c>
      <c r="E2832" s="13" t="s">
        <v>580</v>
      </c>
      <c r="F2832" s="681">
        <v>60.41</v>
      </c>
    </row>
    <row r="2833" spans="2:6" ht="15.75" hidden="1" customHeight="1" x14ac:dyDescent="0.25">
      <c r="B2833" s="13" t="s">
        <v>556</v>
      </c>
      <c r="C2833" s="13" t="s">
        <v>17679</v>
      </c>
      <c r="D2833" s="12" t="s">
        <v>17680</v>
      </c>
      <c r="E2833" s="13" t="s">
        <v>580</v>
      </c>
      <c r="F2833" s="681">
        <v>38.93</v>
      </c>
    </row>
    <row r="2834" spans="2:6" ht="15.75" hidden="1" customHeight="1" x14ac:dyDescent="0.25">
      <c r="B2834" s="13" t="s">
        <v>556</v>
      </c>
      <c r="C2834" s="13" t="s">
        <v>17681</v>
      </c>
      <c r="D2834" s="12" t="s">
        <v>17682</v>
      </c>
      <c r="E2834" s="13" t="s">
        <v>580</v>
      </c>
      <c r="F2834" s="681">
        <v>27.2</v>
      </c>
    </row>
    <row r="2835" spans="2:6" ht="15.75" hidden="1" customHeight="1" x14ac:dyDescent="0.25">
      <c r="B2835" s="13" t="s">
        <v>556</v>
      </c>
      <c r="C2835" s="13" t="s">
        <v>17683</v>
      </c>
      <c r="D2835" s="12" t="s">
        <v>17684</v>
      </c>
      <c r="E2835" s="13" t="s">
        <v>580</v>
      </c>
      <c r="F2835" s="681">
        <v>38.93</v>
      </c>
    </row>
    <row r="2836" spans="2:6" ht="15.75" hidden="1" customHeight="1" x14ac:dyDescent="0.25">
      <c r="B2836" s="13" t="s">
        <v>556</v>
      </c>
      <c r="C2836" s="13" t="s">
        <v>17685</v>
      </c>
      <c r="D2836" s="12" t="s">
        <v>10072</v>
      </c>
      <c r="E2836" s="13" t="s">
        <v>580</v>
      </c>
      <c r="F2836" s="681">
        <v>1735.83</v>
      </c>
    </row>
    <row r="2837" spans="2:6" ht="15.75" hidden="1" customHeight="1" x14ac:dyDescent="0.25">
      <c r="B2837" s="13" t="s">
        <v>556</v>
      </c>
      <c r="C2837" s="13" t="s">
        <v>17686</v>
      </c>
      <c r="D2837" s="12" t="s">
        <v>10073</v>
      </c>
      <c r="E2837" s="13" t="s">
        <v>580</v>
      </c>
      <c r="F2837" s="681">
        <v>3066.44</v>
      </c>
    </row>
    <row r="2838" spans="2:6" ht="15.75" hidden="1" customHeight="1" x14ac:dyDescent="0.25">
      <c r="B2838" s="13" t="s">
        <v>556</v>
      </c>
      <c r="C2838" s="13" t="s">
        <v>17687</v>
      </c>
      <c r="D2838" s="12" t="s">
        <v>10071</v>
      </c>
      <c r="E2838" s="13" t="s">
        <v>580</v>
      </c>
      <c r="F2838" s="681">
        <v>5681.81</v>
      </c>
    </row>
    <row r="2839" spans="2:6" ht="15.75" hidden="1" customHeight="1" x14ac:dyDescent="0.25">
      <c r="B2839" s="13" t="s">
        <v>556</v>
      </c>
      <c r="C2839" s="13" t="s">
        <v>17688</v>
      </c>
      <c r="D2839" s="12" t="s">
        <v>10074</v>
      </c>
      <c r="E2839" s="13" t="s">
        <v>580</v>
      </c>
      <c r="F2839" s="681">
        <v>11984.45</v>
      </c>
    </row>
    <row r="2840" spans="2:6" ht="15.75" hidden="1" customHeight="1" x14ac:dyDescent="0.25">
      <c r="B2840" s="13" t="s">
        <v>556</v>
      </c>
      <c r="C2840" s="13" t="s">
        <v>17689</v>
      </c>
      <c r="D2840" s="12" t="s">
        <v>10037</v>
      </c>
      <c r="E2840" s="13" t="s">
        <v>580</v>
      </c>
      <c r="F2840" s="681">
        <v>1927.57</v>
      </c>
    </row>
    <row r="2841" spans="2:6" ht="15.75" hidden="1" customHeight="1" x14ac:dyDescent="0.25">
      <c r="B2841" s="13" t="s">
        <v>556</v>
      </c>
      <c r="C2841" s="13" t="s">
        <v>17690</v>
      </c>
      <c r="D2841" s="12" t="s">
        <v>10038</v>
      </c>
      <c r="E2841" s="13" t="s">
        <v>580</v>
      </c>
      <c r="F2841" s="681">
        <v>2924.44</v>
      </c>
    </row>
    <row r="2842" spans="2:6" ht="15.75" hidden="1" customHeight="1" x14ac:dyDescent="0.25">
      <c r="B2842" s="13" t="s">
        <v>556</v>
      </c>
      <c r="C2842" s="13" t="s">
        <v>17691</v>
      </c>
      <c r="D2842" s="12" t="s">
        <v>10039</v>
      </c>
      <c r="E2842" s="13" t="s">
        <v>580</v>
      </c>
      <c r="F2842" s="681">
        <v>5010.83</v>
      </c>
    </row>
    <row r="2843" spans="2:6" ht="15.75" hidden="1" customHeight="1" x14ac:dyDescent="0.25">
      <c r="B2843" s="13" t="s">
        <v>556</v>
      </c>
      <c r="C2843" s="13" t="s">
        <v>17692</v>
      </c>
      <c r="D2843" s="12" t="s">
        <v>17693</v>
      </c>
      <c r="E2843" s="13" t="s">
        <v>580</v>
      </c>
      <c r="F2843" s="681">
        <v>22.44</v>
      </c>
    </row>
    <row r="2844" spans="2:6" ht="15.75" hidden="1" customHeight="1" x14ac:dyDescent="0.25">
      <c r="B2844" s="13" t="s">
        <v>556</v>
      </c>
      <c r="C2844" s="13" t="s">
        <v>17694</v>
      </c>
      <c r="D2844" s="12" t="s">
        <v>17695</v>
      </c>
      <c r="E2844" s="13" t="s">
        <v>580</v>
      </c>
      <c r="F2844" s="681">
        <v>76.2</v>
      </c>
    </row>
    <row r="2845" spans="2:6" ht="15.75" hidden="1" customHeight="1" x14ac:dyDescent="0.25">
      <c r="B2845" s="13" t="s">
        <v>556</v>
      </c>
      <c r="C2845" s="13" t="s">
        <v>17696</v>
      </c>
      <c r="D2845" s="12" t="s">
        <v>17697</v>
      </c>
      <c r="E2845" s="13" t="s">
        <v>580</v>
      </c>
      <c r="F2845" s="681">
        <v>14.79</v>
      </c>
    </row>
    <row r="2846" spans="2:6" ht="15.75" hidden="1" customHeight="1" x14ac:dyDescent="0.25">
      <c r="B2846" s="13" t="s">
        <v>556</v>
      </c>
      <c r="C2846" s="13" t="s">
        <v>17698</v>
      </c>
      <c r="D2846" s="12" t="s">
        <v>17699</v>
      </c>
      <c r="E2846" s="13" t="s">
        <v>580</v>
      </c>
      <c r="F2846" s="681">
        <v>20.28</v>
      </c>
    </row>
    <row r="2847" spans="2:6" ht="15.75" hidden="1" customHeight="1" x14ac:dyDescent="0.25">
      <c r="B2847" s="13" t="s">
        <v>556</v>
      </c>
      <c r="C2847" s="13" t="s">
        <v>17700</v>
      </c>
      <c r="D2847" s="12" t="s">
        <v>10458</v>
      </c>
      <c r="E2847" s="13" t="s">
        <v>580</v>
      </c>
      <c r="F2847" s="681">
        <v>11.26</v>
      </c>
    </row>
    <row r="2848" spans="2:6" ht="15.75" hidden="1" customHeight="1" x14ac:dyDescent="0.25">
      <c r="B2848" s="13" t="s">
        <v>556</v>
      </c>
      <c r="C2848" s="13" t="s">
        <v>17701</v>
      </c>
      <c r="D2848" s="12" t="s">
        <v>10402</v>
      </c>
      <c r="E2848" s="13" t="s">
        <v>580</v>
      </c>
      <c r="F2848" s="681">
        <v>6.55</v>
      </c>
    </row>
    <row r="2849" spans="2:6" ht="15.75" hidden="1" customHeight="1" x14ac:dyDescent="0.25">
      <c r="B2849" s="13" t="s">
        <v>556</v>
      </c>
      <c r="C2849" s="13" t="s">
        <v>17702</v>
      </c>
      <c r="D2849" s="12" t="s">
        <v>10401</v>
      </c>
      <c r="E2849" s="13" t="s">
        <v>580</v>
      </c>
      <c r="F2849" s="681">
        <v>9.39</v>
      </c>
    </row>
    <row r="2850" spans="2:6" ht="15.75" hidden="1" customHeight="1" x14ac:dyDescent="0.25">
      <c r="B2850" s="13" t="s">
        <v>556</v>
      </c>
      <c r="C2850" s="13" t="s">
        <v>17703</v>
      </c>
      <c r="D2850" s="12" t="s">
        <v>10400</v>
      </c>
      <c r="E2850" s="13" t="s">
        <v>580</v>
      </c>
      <c r="F2850" s="681">
        <v>6.02</v>
      </c>
    </row>
    <row r="2851" spans="2:6" ht="15.75" hidden="1" customHeight="1" x14ac:dyDescent="0.25">
      <c r="B2851" s="13" t="s">
        <v>556</v>
      </c>
      <c r="C2851" s="13" t="s">
        <v>17704</v>
      </c>
      <c r="D2851" s="12" t="s">
        <v>10459</v>
      </c>
      <c r="E2851" s="13" t="s">
        <v>580</v>
      </c>
      <c r="F2851" s="681">
        <v>12.21</v>
      </c>
    </row>
    <row r="2852" spans="2:6" ht="15.75" hidden="1" customHeight="1" x14ac:dyDescent="0.25">
      <c r="B2852" s="13" t="s">
        <v>556</v>
      </c>
      <c r="C2852" s="13" t="s">
        <v>17705</v>
      </c>
      <c r="D2852" s="12" t="s">
        <v>17706</v>
      </c>
      <c r="E2852" s="13" t="s">
        <v>580</v>
      </c>
      <c r="F2852" s="681">
        <v>25.6</v>
      </c>
    </row>
    <row r="2853" spans="2:6" ht="15.75" hidden="1" customHeight="1" x14ac:dyDescent="0.25">
      <c r="B2853" s="13" t="s">
        <v>556</v>
      </c>
      <c r="C2853" s="13" t="s">
        <v>17707</v>
      </c>
      <c r="D2853" s="12" t="s">
        <v>10460</v>
      </c>
      <c r="E2853" s="13" t="s">
        <v>580</v>
      </c>
      <c r="F2853" s="681">
        <v>25.6</v>
      </c>
    </row>
    <row r="2854" spans="2:6" ht="15.75" hidden="1" customHeight="1" x14ac:dyDescent="0.25">
      <c r="B2854" s="13" t="s">
        <v>556</v>
      </c>
      <c r="C2854" s="13" t="s">
        <v>17708</v>
      </c>
      <c r="D2854" s="12" t="s">
        <v>10461</v>
      </c>
      <c r="E2854" s="13" t="s">
        <v>580</v>
      </c>
      <c r="F2854" s="681">
        <v>28.74</v>
      </c>
    </row>
    <row r="2855" spans="2:6" ht="15.75" hidden="1" customHeight="1" x14ac:dyDescent="0.25">
      <c r="B2855" s="13" t="s">
        <v>556</v>
      </c>
      <c r="C2855" s="13" t="s">
        <v>17709</v>
      </c>
      <c r="D2855" s="12" t="s">
        <v>17710</v>
      </c>
      <c r="E2855" s="13" t="s">
        <v>580</v>
      </c>
      <c r="F2855" s="681">
        <v>78.33</v>
      </c>
    </row>
    <row r="2856" spans="2:6" ht="15.75" hidden="1" customHeight="1" x14ac:dyDescent="0.25">
      <c r="B2856" s="13" t="s">
        <v>556</v>
      </c>
      <c r="C2856" s="13" t="s">
        <v>17711</v>
      </c>
      <c r="D2856" s="12" t="s">
        <v>17712</v>
      </c>
      <c r="E2856" s="13" t="s">
        <v>580</v>
      </c>
      <c r="F2856" s="681">
        <v>48.44</v>
      </c>
    </row>
    <row r="2857" spans="2:6" ht="15.75" hidden="1" customHeight="1" x14ac:dyDescent="0.25">
      <c r="B2857" s="13" t="s">
        <v>556</v>
      </c>
      <c r="C2857" s="13" t="s">
        <v>17713</v>
      </c>
      <c r="D2857" s="12" t="s">
        <v>17714</v>
      </c>
      <c r="E2857" s="13" t="s">
        <v>580</v>
      </c>
      <c r="F2857" s="681">
        <v>54.52</v>
      </c>
    </row>
    <row r="2858" spans="2:6" ht="15.75" hidden="1" customHeight="1" x14ac:dyDescent="0.25">
      <c r="B2858" s="13" t="s">
        <v>556</v>
      </c>
      <c r="C2858" s="13" t="s">
        <v>17715</v>
      </c>
      <c r="D2858" s="12" t="s">
        <v>17716</v>
      </c>
      <c r="E2858" s="13" t="s">
        <v>580</v>
      </c>
      <c r="F2858" s="681">
        <v>50.7</v>
      </c>
    </row>
    <row r="2859" spans="2:6" ht="15.75" hidden="1" customHeight="1" x14ac:dyDescent="0.25">
      <c r="B2859" s="13" t="s">
        <v>556</v>
      </c>
      <c r="C2859" s="13" t="s">
        <v>17717</v>
      </c>
      <c r="D2859" s="12" t="s">
        <v>17718</v>
      </c>
      <c r="E2859" s="13" t="s">
        <v>580</v>
      </c>
      <c r="F2859" s="681">
        <v>69.44</v>
      </c>
    </row>
    <row r="2860" spans="2:6" ht="15.75" hidden="1" customHeight="1" x14ac:dyDescent="0.25">
      <c r="B2860" s="13" t="s">
        <v>556</v>
      </c>
      <c r="C2860" s="13" t="s">
        <v>17719</v>
      </c>
      <c r="D2860" s="12" t="s">
        <v>9711</v>
      </c>
      <c r="E2860" s="13" t="s">
        <v>517</v>
      </c>
      <c r="F2860" s="681">
        <v>16.46</v>
      </c>
    </row>
    <row r="2861" spans="2:6" ht="15.75" hidden="1" customHeight="1" x14ac:dyDescent="0.25">
      <c r="B2861" s="13" t="s">
        <v>556</v>
      </c>
      <c r="C2861" s="13" t="s">
        <v>17720</v>
      </c>
      <c r="D2861" s="12" t="s">
        <v>10359</v>
      </c>
      <c r="E2861" s="13" t="s">
        <v>580</v>
      </c>
      <c r="F2861" s="681">
        <v>121.27</v>
      </c>
    </row>
    <row r="2862" spans="2:6" ht="15.75" hidden="1" customHeight="1" x14ac:dyDescent="0.25">
      <c r="B2862" s="13" t="s">
        <v>14150</v>
      </c>
      <c r="C2862" s="13" t="s">
        <v>17721</v>
      </c>
      <c r="D2862" s="12" t="s">
        <v>17722</v>
      </c>
      <c r="E2862" s="13" t="s">
        <v>580</v>
      </c>
      <c r="F2862" s="681">
        <v>1440.99</v>
      </c>
    </row>
    <row r="2863" spans="2:6" ht="15.75" hidden="1" customHeight="1" x14ac:dyDescent="0.25">
      <c r="B2863" s="13" t="s">
        <v>556</v>
      </c>
      <c r="C2863" s="13" t="s">
        <v>17723</v>
      </c>
      <c r="D2863" s="12" t="s">
        <v>8498</v>
      </c>
      <c r="E2863" s="13" t="s">
        <v>580</v>
      </c>
      <c r="F2863" s="681">
        <v>3.6</v>
      </c>
    </row>
    <row r="2864" spans="2:6" ht="15.75" hidden="1" customHeight="1" x14ac:dyDescent="0.25">
      <c r="B2864" s="13" t="s">
        <v>14150</v>
      </c>
      <c r="C2864" s="13" t="s">
        <v>17724</v>
      </c>
      <c r="D2864" s="12" t="s">
        <v>17725</v>
      </c>
      <c r="E2864" s="13" t="s">
        <v>580</v>
      </c>
      <c r="F2864" s="681">
        <v>1566.29</v>
      </c>
    </row>
    <row r="2865" spans="2:6" ht="15.75" hidden="1" customHeight="1" x14ac:dyDescent="0.25">
      <c r="B2865" s="13" t="s">
        <v>14150</v>
      </c>
      <c r="C2865" s="13" t="s">
        <v>17726</v>
      </c>
      <c r="D2865" s="12" t="s">
        <v>17727</v>
      </c>
      <c r="E2865" s="13" t="s">
        <v>580</v>
      </c>
      <c r="F2865" s="681">
        <v>1757.01</v>
      </c>
    </row>
    <row r="2866" spans="2:6" ht="15.75" hidden="1" customHeight="1" x14ac:dyDescent="0.25">
      <c r="B2866" s="13" t="s">
        <v>14150</v>
      </c>
      <c r="C2866" s="13" t="s">
        <v>17728</v>
      </c>
      <c r="D2866" s="12" t="s">
        <v>17729</v>
      </c>
      <c r="E2866" s="13" t="s">
        <v>580</v>
      </c>
      <c r="F2866" s="681">
        <v>1806.46</v>
      </c>
    </row>
    <row r="2867" spans="2:6" ht="15.75" hidden="1" customHeight="1" x14ac:dyDescent="0.25">
      <c r="B2867" s="13" t="s">
        <v>14150</v>
      </c>
      <c r="C2867" s="13" t="s">
        <v>17730</v>
      </c>
      <c r="D2867" s="12" t="s">
        <v>17731</v>
      </c>
      <c r="E2867" s="13" t="s">
        <v>580</v>
      </c>
      <c r="F2867" s="681">
        <v>1767.17</v>
      </c>
    </row>
    <row r="2868" spans="2:6" ht="15.75" hidden="1" customHeight="1" x14ac:dyDescent="0.25">
      <c r="B2868" s="13" t="s">
        <v>14150</v>
      </c>
      <c r="C2868" s="13" t="s">
        <v>17732</v>
      </c>
      <c r="D2868" s="12" t="s">
        <v>17733</v>
      </c>
      <c r="E2868" s="13" t="s">
        <v>580</v>
      </c>
      <c r="F2868" s="681">
        <v>2192.81</v>
      </c>
    </row>
    <row r="2869" spans="2:6" ht="15.75" hidden="1" customHeight="1" x14ac:dyDescent="0.25">
      <c r="B2869" s="13" t="s">
        <v>556</v>
      </c>
      <c r="C2869" s="13" t="s">
        <v>17734</v>
      </c>
      <c r="D2869" s="12" t="s">
        <v>10980</v>
      </c>
      <c r="E2869" s="13" t="s">
        <v>578</v>
      </c>
      <c r="F2869" s="681">
        <v>18.38</v>
      </c>
    </row>
    <row r="2870" spans="2:6" ht="15.75" hidden="1" customHeight="1" x14ac:dyDescent="0.25">
      <c r="B2870" s="13" t="s">
        <v>556</v>
      </c>
      <c r="C2870" s="13" t="s">
        <v>17735</v>
      </c>
      <c r="D2870" s="12" t="s">
        <v>10981</v>
      </c>
      <c r="E2870" s="13" t="s">
        <v>578</v>
      </c>
      <c r="F2870" s="681">
        <v>19.87</v>
      </c>
    </row>
    <row r="2871" spans="2:6" ht="15.75" hidden="1" customHeight="1" x14ac:dyDescent="0.25">
      <c r="B2871" s="13" t="s">
        <v>556</v>
      </c>
      <c r="C2871" s="13" t="s">
        <v>17736</v>
      </c>
      <c r="D2871" s="12" t="s">
        <v>10977</v>
      </c>
      <c r="E2871" s="13" t="s">
        <v>578</v>
      </c>
      <c r="F2871" s="681">
        <v>25.46</v>
      </c>
    </row>
    <row r="2872" spans="2:6" ht="15.75" hidden="1" customHeight="1" x14ac:dyDescent="0.25">
      <c r="B2872" s="13" t="s">
        <v>556</v>
      </c>
      <c r="C2872" s="13" t="s">
        <v>17737</v>
      </c>
      <c r="D2872" s="12" t="s">
        <v>10978</v>
      </c>
      <c r="E2872" s="13" t="s">
        <v>578</v>
      </c>
      <c r="F2872" s="681">
        <v>21.94</v>
      </c>
    </row>
    <row r="2873" spans="2:6" ht="15.75" hidden="1" customHeight="1" x14ac:dyDescent="0.25">
      <c r="B2873" s="13" t="s">
        <v>556</v>
      </c>
      <c r="C2873" s="13" t="s">
        <v>17738</v>
      </c>
      <c r="D2873" s="12" t="s">
        <v>10974</v>
      </c>
      <c r="E2873" s="13" t="s">
        <v>578</v>
      </c>
      <c r="F2873" s="681">
        <v>26.88</v>
      </c>
    </row>
    <row r="2874" spans="2:6" ht="15.75" hidden="1" customHeight="1" x14ac:dyDescent="0.25">
      <c r="B2874" s="13" t="s">
        <v>556</v>
      </c>
      <c r="C2874" s="13" t="s">
        <v>17739</v>
      </c>
      <c r="D2874" s="12" t="s">
        <v>10975</v>
      </c>
      <c r="E2874" s="13" t="s">
        <v>578</v>
      </c>
      <c r="F2874" s="681">
        <v>26.22</v>
      </c>
    </row>
    <row r="2875" spans="2:6" ht="15.75" hidden="1" customHeight="1" x14ac:dyDescent="0.25">
      <c r="B2875" s="13" t="s">
        <v>556</v>
      </c>
      <c r="C2875" s="13" t="s">
        <v>17740</v>
      </c>
      <c r="D2875" s="12" t="s">
        <v>10901</v>
      </c>
      <c r="E2875" s="13" t="s">
        <v>585</v>
      </c>
      <c r="F2875" s="681">
        <v>4.95</v>
      </c>
    </row>
    <row r="2876" spans="2:6" ht="15.75" hidden="1" customHeight="1" x14ac:dyDescent="0.25">
      <c r="B2876" s="13" t="s">
        <v>556</v>
      </c>
      <c r="C2876" s="13" t="s">
        <v>17741</v>
      </c>
      <c r="D2876" s="12" t="s">
        <v>10902</v>
      </c>
      <c r="E2876" s="13" t="s">
        <v>585</v>
      </c>
      <c r="F2876" s="681">
        <v>6.04</v>
      </c>
    </row>
    <row r="2877" spans="2:6" ht="15.75" hidden="1" customHeight="1" x14ac:dyDescent="0.25">
      <c r="B2877" s="13" t="s">
        <v>556</v>
      </c>
      <c r="C2877" s="13" t="s">
        <v>17742</v>
      </c>
      <c r="D2877" s="12" t="s">
        <v>10903</v>
      </c>
      <c r="E2877" s="13" t="s">
        <v>585</v>
      </c>
      <c r="F2877" s="681">
        <v>6.66</v>
      </c>
    </row>
    <row r="2878" spans="2:6" ht="15.75" hidden="1" customHeight="1" x14ac:dyDescent="0.25">
      <c r="B2878" s="13" t="s">
        <v>556</v>
      </c>
      <c r="C2878" s="13" t="s">
        <v>17743</v>
      </c>
      <c r="D2878" s="12" t="s">
        <v>10905</v>
      </c>
      <c r="E2878" s="13" t="s">
        <v>585</v>
      </c>
      <c r="F2878" s="681">
        <v>5.86</v>
      </c>
    </row>
    <row r="2879" spans="2:6" ht="15.75" hidden="1" customHeight="1" x14ac:dyDescent="0.25">
      <c r="B2879" s="13" t="s">
        <v>556</v>
      </c>
      <c r="C2879" s="13" t="s">
        <v>17744</v>
      </c>
      <c r="D2879" s="12" t="s">
        <v>10906</v>
      </c>
      <c r="E2879" s="13" t="s">
        <v>585</v>
      </c>
      <c r="F2879" s="681">
        <v>6.85</v>
      </c>
    </row>
    <row r="2880" spans="2:6" ht="15.75" hidden="1" customHeight="1" x14ac:dyDescent="0.25">
      <c r="B2880" s="13" t="s">
        <v>556</v>
      </c>
      <c r="C2880" s="13" t="s">
        <v>17745</v>
      </c>
      <c r="D2880" s="12" t="s">
        <v>10907</v>
      </c>
      <c r="E2880" s="13" t="s">
        <v>585</v>
      </c>
      <c r="F2880" s="681">
        <v>7.95</v>
      </c>
    </row>
    <row r="2881" spans="2:6" ht="15.75" hidden="1" customHeight="1" x14ac:dyDescent="0.25">
      <c r="B2881" s="13" t="s">
        <v>556</v>
      </c>
      <c r="C2881" s="13" t="s">
        <v>17746</v>
      </c>
      <c r="D2881" s="12" t="s">
        <v>10896</v>
      </c>
      <c r="E2881" s="13" t="s">
        <v>585</v>
      </c>
      <c r="F2881" s="681">
        <v>2.64</v>
      </c>
    </row>
    <row r="2882" spans="2:6" ht="15.75" hidden="1" customHeight="1" x14ac:dyDescent="0.25">
      <c r="B2882" s="13" t="s">
        <v>556</v>
      </c>
      <c r="C2882" s="13" t="s">
        <v>17747</v>
      </c>
      <c r="D2882" s="12" t="s">
        <v>10897</v>
      </c>
      <c r="E2882" s="13" t="s">
        <v>585</v>
      </c>
      <c r="F2882" s="681">
        <v>2.61</v>
      </c>
    </row>
    <row r="2883" spans="2:6" ht="15.75" hidden="1" customHeight="1" x14ac:dyDescent="0.25">
      <c r="B2883" s="13" t="s">
        <v>556</v>
      </c>
      <c r="C2883" s="13" t="s">
        <v>17748</v>
      </c>
      <c r="D2883" s="12" t="s">
        <v>10908</v>
      </c>
      <c r="E2883" s="13" t="s">
        <v>585</v>
      </c>
      <c r="F2883" s="681">
        <v>17.88</v>
      </c>
    </row>
    <row r="2884" spans="2:6" ht="15.75" hidden="1" customHeight="1" x14ac:dyDescent="0.25">
      <c r="B2884" s="13" t="s">
        <v>556</v>
      </c>
      <c r="C2884" s="13" t="s">
        <v>17749</v>
      </c>
      <c r="D2884" s="12" t="s">
        <v>10895</v>
      </c>
      <c r="E2884" s="13" t="s">
        <v>585</v>
      </c>
      <c r="F2884" s="681">
        <v>4.4400000000000004</v>
      </c>
    </row>
    <row r="2885" spans="2:6" ht="15.75" hidden="1" customHeight="1" x14ac:dyDescent="0.25">
      <c r="B2885" s="13" t="s">
        <v>556</v>
      </c>
      <c r="C2885" s="13" t="s">
        <v>17750</v>
      </c>
      <c r="D2885" s="12" t="s">
        <v>10910</v>
      </c>
      <c r="E2885" s="13" t="s">
        <v>585</v>
      </c>
      <c r="F2885" s="681">
        <v>4.3099999999999996</v>
      </c>
    </row>
    <row r="2886" spans="2:6" ht="15.75" hidden="1" customHeight="1" x14ac:dyDescent="0.25">
      <c r="B2886" s="13" t="s">
        <v>556</v>
      </c>
      <c r="C2886" s="13" t="s">
        <v>17751</v>
      </c>
      <c r="D2886" s="12" t="s">
        <v>10909</v>
      </c>
      <c r="E2886" s="13" t="s">
        <v>585</v>
      </c>
      <c r="F2886" s="681">
        <v>5.64</v>
      </c>
    </row>
    <row r="2887" spans="2:6" ht="15.75" hidden="1" customHeight="1" x14ac:dyDescent="0.25">
      <c r="B2887" s="13" t="s">
        <v>556</v>
      </c>
      <c r="C2887" s="13" t="s">
        <v>17752</v>
      </c>
      <c r="D2887" s="12" t="s">
        <v>10892</v>
      </c>
      <c r="E2887" s="13" t="s">
        <v>580</v>
      </c>
      <c r="F2887" s="681">
        <v>1.67</v>
      </c>
    </row>
    <row r="2888" spans="2:6" ht="15.75" hidden="1" customHeight="1" x14ac:dyDescent="0.25">
      <c r="B2888" s="13" t="s">
        <v>556</v>
      </c>
      <c r="C2888" s="13" t="s">
        <v>17753</v>
      </c>
      <c r="D2888" s="12" t="s">
        <v>10051</v>
      </c>
      <c r="E2888" s="13" t="s">
        <v>585</v>
      </c>
      <c r="F2888" s="681">
        <v>0.31</v>
      </c>
    </row>
    <row r="2889" spans="2:6" ht="15.75" hidden="1" customHeight="1" x14ac:dyDescent="0.25">
      <c r="B2889" s="13" t="s">
        <v>556</v>
      </c>
      <c r="C2889" s="13" t="s">
        <v>17754</v>
      </c>
      <c r="D2889" s="12" t="s">
        <v>10052</v>
      </c>
      <c r="E2889" s="13" t="s">
        <v>585</v>
      </c>
      <c r="F2889" s="681">
        <v>2.75</v>
      </c>
    </row>
    <row r="2890" spans="2:6" ht="15.75" hidden="1" customHeight="1" x14ac:dyDescent="0.25">
      <c r="B2890" s="13" t="s">
        <v>556</v>
      </c>
      <c r="C2890" s="13" t="s">
        <v>17755</v>
      </c>
      <c r="D2890" s="12" t="s">
        <v>10643</v>
      </c>
      <c r="E2890" s="13" t="s">
        <v>823</v>
      </c>
      <c r="F2890" s="681">
        <v>2.73</v>
      </c>
    </row>
    <row r="2891" spans="2:6" ht="15.75" hidden="1" customHeight="1" x14ac:dyDescent="0.25">
      <c r="B2891" s="13" t="s">
        <v>556</v>
      </c>
      <c r="C2891" s="13" t="s">
        <v>17756</v>
      </c>
      <c r="D2891" s="12" t="s">
        <v>10642</v>
      </c>
      <c r="E2891" s="13" t="s">
        <v>823</v>
      </c>
      <c r="F2891" s="681">
        <v>3.44</v>
      </c>
    </row>
    <row r="2892" spans="2:6" ht="15.75" hidden="1" customHeight="1" x14ac:dyDescent="0.25">
      <c r="B2892" s="13" t="s">
        <v>556</v>
      </c>
      <c r="C2892" s="13" t="s">
        <v>17757</v>
      </c>
      <c r="D2892" s="12" t="s">
        <v>10817</v>
      </c>
      <c r="E2892" s="13" t="s">
        <v>580</v>
      </c>
      <c r="F2892" s="681">
        <v>0.11</v>
      </c>
    </row>
    <row r="2893" spans="2:6" ht="15.75" hidden="1" customHeight="1" x14ac:dyDescent="0.25">
      <c r="B2893" s="13" t="s">
        <v>556</v>
      </c>
      <c r="C2893" s="13" t="s">
        <v>17758</v>
      </c>
      <c r="D2893" s="12" t="s">
        <v>10818</v>
      </c>
      <c r="E2893" s="13" t="s">
        <v>580</v>
      </c>
      <c r="F2893" s="681">
        <v>0.19</v>
      </c>
    </row>
    <row r="2894" spans="2:6" ht="15.75" hidden="1" customHeight="1" x14ac:dyDescent="0.25">
      <c r="B2894" s="13" t="s">
        <v>556</v>
      </c>
      <c r="C2894" s="13" t="s">
        <v>17759</v>
      </c>
      <c r="D2894" s="12" t="s">
        <v>10819</v>
      </c>
      <c r="E2894" s="13" t="s">
        <v>580</v>
      </c>
      <c r="F2894" s="681">
        <v>0.25</v>
      </c>
    </row>
    <row r="2895" spans="2:6" ht="15.75" hidden="1" customHeight="1" x14ac:dyDescent="0.25">
      <c r="B2895" s="13" t="s">
        <v>556</v>
      </c>
      <c r="C2895" s="13" t="s">
        <v>17760</v>
      </c>
      <c r="D2895" s="12" t="s">
        <v>10804</v>
      </c>
      <c r="E2895" s="13" t="s">
        <v>580</v>
      </c>
      <c r="F2895" s="681">
        <v>0.28999999999999998</v>
      </c>
    </row>
    <row r="2896" spans="2:6" ht="15.75" hidden="1" customHeight="1" x14ac:dyDescent="0.25">
      <c r="B2896" s="13" t="s">
        <v>556</v>
      </c>
      <c r="C2896" s="13" t="s">
        <v>17761</v>
      </c>
      <c r="D2896" s="12" t="s">
        <v>10820</v>
      </c>
      <c r="E2896" s="13" t="s">
        <v>580</v>
      </c>
      <c r="F2896" s="681">
        <v>0.17</v>
      </c>
    </row>
    <row r="2897" spans="2:6" ht="15.75" hidden="1" customHeight="1" x14ac:dyDescent="0.25">
      <c r="B2897" s="13" t="s">
        <v>556</v>
      </c>
      <c r="C2897" s="13" t="s">
        <v>17762</v>
      </c>
      <c r="D2897" s="12" t="s">
        <v>10821</v>
      </c>
      <c r="E2897" s="13" t="s">
        <v>580</v>
      </c>
      <c r="F2897" s="681">
        <v>0.22</v>
      </c>
    </row>
    <row r="2898" spans="2:6" ht="15.75" hidden="1" customHeight="1" x14ac:dyDescent="0.25">
      <c r="B2898" s="13" t="s">
        <v>556</v>
      </c>
      <c r="C2898" s="13" t="s">
        <v>17763</v>
      </c>
      <c r="D2898" s="12" t="s">
        <v>10822</v>
      </c>
      <c r="E2898" s="13" t="s">
        <v>580</v>
      </c>
      <c r="F2898" s="681">
        <v>0.28000000000000003</v>
      </c>
    </row>
    <row r="2899" spans="2:6" ht="15.75" hidden="1" customHeight="1" x14ac:dyDescent="0.25">
      <c r="B2899" s="13" t="s">
        <v>556</v>
      </c>
      <c r="C2899" s="13" t="s">
        <v>17764</v>
      </c>
      <c r="D2899" s="12" t="s">
        <v>10823</v>
      </c>
      <c r="E2899" s="13" t="s">
        <v>580</v>
      </c>
      <c r="F2899" s="681">
        <v>0.2</v>
      </c>
    </row>
    <row r="2900" spans="2:6" ht="15.75" hidden="1" customHeight="1" x14ac:dyDescent="0.25">
      <c r="B2900" s="13" t="s">
        <v>556</v>
      </c>
      <c r="C2900" s="13" t="s">
        <v>17765</v>
      </c>
      <c r="D2900" s="12" t="s">
        <v>10824</v>
      </c>
      <c r="E2900" s="13" t="s">
        <v>580</v>
      </c>
      <c r="F2900" s="681">
        <v>0.27</v>
      </c>
    </row>
    <row r="2901" spans="2:6" ht="15.75" hidden="1" customHeight="1" x14ac:dyDescent="0.25">
      <c r="B2901" s="13" t="s">
        <v>556</v>
      </c>
      <c r="C2901" s="13" t="s">
        <v>17766</v>
      </c>
      <c r="D2901" s="12" t="s">
        <v>9769</v>
      </c>
      <c r="E2901" s="13" t="s">
        <v>580</v>
      </c>
      <c r="F2901" s="681">
        <v>125.9</v>
      </c>
    </row>
    <row r="2902" spans="2:6" ht="15.75" hidden="1" customHeight="1" x14ac:dyDescent="0.25">
      <c r="B2902" s="13" t="s">
        <v>556</v>
      </c>
      <c r="C2902" s="13" t="s">
        <v>17767</v>
      </c>
      <c r="D2902" s="12" t="s">
        <v>9770</v>
      </c>
      <c r="E2902" s="13" t="s">
        <v>580</v>
      </c>
      <c r="F2902" s="681">
        <v>128.13999999999999</v>
      </c>
    </row>
    <row r="2903" spans="2:6" ht="15.75" hidden="1" customHeight="1" x14ac:dyDescent="0.25">
      <c r="B2903" s="13" t="s">
        <v>556</v>
      </c>
      <c r="C2903" s="13" t="s">
        <v>17768</v>
      </c>
      <c r="D2903" s="12" t="s">
        <v>9771</v>
      </c>
      <c r="E2903" s="13" t="s">
        <v>580</v>
      </c>
      <c r="F2903" s="681">
        <v>137.03</v>
      </c>
    </row>
    <row r="2904" spans="2:6" ht="15.75" hidden="1" customHeight="1" x14ac:dyDescent="0.25">
      <c r="B2904" s="13" t="s">
        <v>556</v>
      </c>
      <c r="C2904" s="13" t="s">
        <v>17769</v>
      </c>
      <c r="D2904" s="12" t="s">
        <v>9772</v>
      </c>
      <c r="E2904" s="13" t="s">
        <v>580</v>
      </c>
      <c r="F2904" s="681">
        <v>233.66</v>
      </c>
    </row>
    <row r="2905" spans="2:6" ht="15.75" hidden="1" customHeight="1" x14ac:dyDescent="0.25">
      <c r="B2905" s="13" t="s">
        <v>556</v>
      </c>
      <c r="C2905" s="13" t="s">
        <v>17770</v>
      </c>
      <c r="D2905" s="12" t="s">
        <v>9777</v>
      </c>
      <c r="E2905" s="13" t="s">
        <v>580</v>
      </c>
      <c r="F2905" s="681">
        <v>289.89</v>
      </c>
    </row>
    <row r="2906" spans="2:6" ht="15.75" hidden="1" customHeight="1" x14ac:dyDescent="0.25">
      <c r="B2906" s="13" t="s">
        <v>556</v>
      </c>
      <c r="C2906" s="13" t="s">
        <v>17771</v>
      </c>
      <c r="D2906" s="12" t="s">
        <v>9773</v>
      </c>
      <c r="E2906" s="13" t="s">
        <v>580</v>
      </c>
      <c r="F2906" s="681">
        <v>142.56</v>
      </c>
    </row>
    <row r="2907" spans="2:6" ht="15.75" hidden="1" customHeight="1" x14ac:dyDescent="0.25">
      <c r="B2907" s="13" t="s">
        <v>556</v>
      </c>
      <c r="C2907" s="13" t="s">
        <v>17772</v>
      </c>
      <c r="D2907" s="12" t="s">
        <v>9774</v>
      </c>
      <c r="E2907" s="13" t="s">
        <v>580</v>
      </c>
      <c r="F2907" s="681">
        <v>155.49</v>
      </c>
    </row>
    <row r="2908" spans="2:6" ht="15.75" hidden="1" customHeight="1" x14ac:dyDescent="0.25">
      <c r="B2908" s="13" t="s">
        <v>556</v>
      </c>
      <c r="C2908" s="13" t="s">
        <v>17773</v>
      </c>
      <c r="D2908" s="12" t="s">
        <v>9775</v>
      </c>
      <c r="E2908" s="13" t="s">
        <v>580</v>
      </c>
      <c r="F2908" s="681">
        <v>156.41999999999999</v>
      </c>
    </row>
    <row r="2909" spans="2:6" ht="15.75" hidden="1" customHeight="1" x14ac:dyDescent="0.25">
      <c r="B2909" s="13" t="s">
        <v>556</v>
      </c>
      <c r="C2909" s="13" t="s">
        <v>17774</v>
      </c>
      <c r="D2909" s="12" t="s">
        <v>9778</v>
      </c>
      <c r="E2909" s="13" t="s">
        <v>580</v>
      </c>
      <c r="F2909" s="681">
        <v>143.44</v>
      </c>
    </row>
    <row r="2910" spans="2:6" ht="15.75" hidden="1" customHeight="1" x14ac:dyDescent="0.25">
      <c r="B2910" s="13" t="s">
        <v>556</v>
      </c>
      <c r="C2910" s="13" t="s">
        <v>17775</v>
      </c>
      <c r="D2910" s="12" t="s">
        <v>9779</v>
      </c>
      <c r="E2910" s="13" t="s">
        <v>580</v>
      </c>
      <c r="F2910" s="681">
        <v>143.55000000000001</v>
      </c>
    </row>
    <row r="2911" spans="2:6" ht="15.75" hidden="1" customHeight="1" x14ac:dyDescent="0.25">
      <c r="B2911" s="13" t="s">
        <v>556</v>
      </c>
      <c r="C2911" s="13" t="s">
        <v>17776</v>
      </c>
      <c r="D2911" s="12" t="s">
        <v>9780</v>
      </c>
      <c r="E2911" s="13" t="s">
        <v>580</v>
      </c>
      <c r="F2911" s="681">
        <v>156.49</v>
      </c>
    </row>
    <row r="2912" spans="2:6" ht="15.75" hidden="1" customHeight="1" x14ac:dyDescent="0.25">
      <c r="B2912" s="13" t="s">
        <v>556</v>
      </c>
      <c r="C2912" s="13" t="s">
        <v>17777</v>
      </c>
      <c r="D2912" s="12" t="s">
        <v>9781</v>
      </c>
      <c r="E2912" s="13" t="s">
        <v>580</v>
      </c>
      <c r="F2912" s="681">
        <v>292.02999999999997</v>
      </c>
    </row>
    <row r="2913" spans="2:6" ht="15.75" hidden="1" customHeight="1" x14ac:dyDescent="0.25">
      <c r="B2913" s="13" t="s">
        <v>556</v>
      </c>
      <c r="C2913" s="13" t="s">
        <v>17778</v>
      </c>
      <c r="D2913" s="12" t="s">
        <v>9768</v>
      </c>
      <c r="E2913" s="13" t="s">
        <v>580</v>
      </c>
      <c r="F2913" s="681">
        <v>250.75</v>
      </c>
    </row>
    <row r="2914" spans="2:6" ht="15.75" hidden="1" customHeight="1" x14ac:dyDescent="0.25">
      <c r="B2914" s="13" t="s">
        <v>556</v>
      </c>
      <c r="C2914" s="13" t="s">
        <v>17779</v>
      </c>
      <c r="D2914" s="12" t="s">
        <v>9783</v>
      </c>
      <c r="E2914" s="13" t="s">
        <v>580</v>
      </c>
      <c r="F2914" s="681">
        <v>178.11</v>
      </c>
    </row>
    <row r="2915" spans="2:6" ht="15.75" hidden="1" customHeight="1" x14ac:dyDescent="0.25">
      <c r="B2915" s="13" t="s">
        <v>556</v>
      </c>
      <c r="C2915" s="13" t="s">
        <v>17780</v>
      </c>
      <c r="D2915" s="12" t="s">
        <v>9784</v>
      </c>
      <c r="E2915" s="13" t="s">
        <v>580</v>
      </c>
      <c r="F2915" s="681">
        <v>208.7</v>
      </c>
    </row>
    <row r="2916" spans="2:6" ht="15.75" hidden="1" customHeight="1" x14ac:dyDescent="0.25">
      <c r="B2916" s="13" t="s">
        <v>556</v>
      </c>
      <c r="C2916" s="13" t="s">
        <v>17781</v>
      </c>
      <c r="D2916" s="12" t="s">
        <v>9785</v>
      </c>
      <c r="E2916" s="13" t="s">
        <v>580</v>
      </c>
      <c r="F2916" s="681">
        <v>201.13</v>
      </c>
    </row>
    <row r="2917" spans="2:6" ht="15.75" hidden="1" customHeight="1" x14ac:dyDescent="0.25">
      <c r="B2917" s="13" t="s">
        <v>556</v>
      </c>
      <c r="C2917" s="13" t="s">
        <v>17782</v>
      </c>
      <c r="D2917" s="12" t="s">
        <v>9786</v>
      </c>
      <c r="E2917" s="13" t="s">
        <v>580</v>
      </c>
      <c r="F2917" s="681">
        <v>465.96</v>
      </c>
    </row>
    <row r="2918" spans="2:6" ht="15.75" hidden="1" customHeight="1" x14ac:dyDescent="0.25">
      <c r="B2918" s="13" t="s">
        <v>556</v>
      </c>
      <c r="C2918" s="13" t="s">
        <v>17783</v>
      </c>
      <c r="D2918" s="12" t="s">
        <v>9782</v>
      </c>
      <c r="E2918" s="13" t="s">
        <v>580</v>
      </c>
      <c r="F2918" s="681">
        <v>469.6</v>
      </c>
    </row>
    <row r="2919" spans="2:6" ht="15.75" hidden="1" customHeight="1" x14ac:dyDescent="0.25">
      <c r="B2919" s="13" t="s">
        <v>556</v>
      </c>
      <c r="C2919" s="13" t="s">
        <v>17784</v>
      </c>
      <c r="D2919" s="12" t="s">
        <v>9752</v>
      </c>
      <c r="E2919" s="13" t="s">
        <v>580</v>
      </c>
      <c r="F2919" s="681">
        <v>61.18</v>
      </c>
    </row>
    <row r="2920" spans="2:6" ht="15.75" hidden="1" customHeight="1" x14ac:dyDescent="0.25">
      <c r="B2920" s="13" t="s">
        <v>556</v>
      </c>
      <c r="C2920" s="13" t="s">
        <v>17785</v>
      </c>
      <c r="D2920" s="12" t="s">
        <v>9753</v>
      </c>
      <c r="E2920" s="13" t="s">
        <v>580</v>
      </c>
      <c r="F2920" s="681">
        <v>68.83</v>
      </c>
    </row>
    <row r="2921" spans="2:6" ht="15.75" hidden="1" customHeight="1" x14ac:dyDescent="0.25">
      <c r="B2921" s="13" t="s">
        <v>556</v>
      </c>
      <c r="C2921" s="13" t="s">
        <v>17786</v>
      </c>
      <c r="D2921" s="12" t="s">
        <v>9754</v>
      </c>
      <c r="E2921" s="13" t="s">
        <v>580</v>
      </c>
      <c r="F2921" s="681">
        <v>88.04</v>
      </c>
    </row>
    <row r="2922" spans="2:6" ht="15.75" hidden="1" customHeight="1" x14ac:dyDescent="0.25">
      <c r="B2922" s="13" t="s">
        <v>556</v>
      </c>
      <c r="C2922" s="13" t="s">
        <v>17787</v>
      </c>
      <c r="D2922" s="12" t="s">
        <v>9755</v>
      </c>
      <c r="E2922" s="13" t="s">
        <v>580</v>
      </c>
      <c r="F2922" s="681">
        <v>156.5</v>
      </c>
    </row>
    <row r="2923" spans="2:6" ht="15.75" hidden="1" customHeight="1" x14ac:dyDescent="0.25">
      <c r="B2923" s="13" t="s">
        <v>556</v>
      </c>
      <c r="C2923" s="13" t="s">
        <v>17788</v>
      </c>
      <c r="D2923" s="12" t="s">
        <v>9756</v>
      </c>
      <c r="E2923" s="13" t="s">
        <v>580</v>
      </c>
      <c r="F2923" s="681">
        <v>63.75</v>
      </c>
    </row>
    <row r="2924" spans="2:6" ht="15.75" hidden="1" customHeight="1" x14ac:dyDescent="0.25">
      <c r="B2924" s="13" t="s">
        <v>556</v>
      </c>
      <c r="C2924" s="13" t="s">
        <v>17789</v>
      </c>
      <c r="D2924" s="12" t="s">
        <v>9757</v>
      </c>
      <c r="E2924" s="13" t="s">
        <v>580</v>
      </c>
      <c r="F2924" s="681">
        <v>78.33</v>
      </c>
    </row>
    <row r="2925" spans="2:6" ht="15.75" hidden="1" customHeight="1" x14ac:dyDescent="0.25">
      <c r="B2925" s="13" t="s">
        <v>556</v>
      </c>
      <c r="C2925" s="13" t="s">
        <v>17790</v>
      </c>
      <c r="D2925" s="12" t="s">
        <v>9758</v>
      </c>
      <c r="E2925" s="13" t="s">
        <v>580</v>
      </c>
      <c r="F2925" s="681">
        <v>94.13</v>
      </c>
    </row>
    <row r="2926" spans="2:6" ht="15.75" hidden="1" customHeight="1" x14ac:dyDescent="0.25">
      <c r="B2926" s="13" t="s">
        <v>556</v>
      </c>
      <c r="C2926" s="13" t="s">
        <v>17791</v>
      </c>
      <c r="D2926" s="12" t="s">
        <v>9759</v>
      </c>
      <c r="E2926" s="13" t="s">
        <v>580</v>
      </c>
      <c r="F2926" s="681">
        <v>163.55000000000001</v>
      </c>
    </row>
    <row r="2927" spans="2:6" ht="15.75" hidden="1" customHeight="1" x14ac:dyDescent="0.25">
      <c r="B2927" s="13" t="s">
        <v>556</v>
      </c>
      <c r="C2927" s="13" t="s">
        <v>17792</v>
      </c>
      <c r="D2927" s="12" t="s">
        <v>9760</v>
      </c>
      <c r="E2927" s="13" t="s">
        <v>580</v>
      </c>
      <c r="F2927" s="681">
        <v>105.65</v>
      </c>
    </row>
    <row r="2928" spans="2:6" ht="15.75" hidden="1" customHeight="1" x14ac:dyDescent="0.25">
      <c r="B2928" s="13" t="s">
        <v>556</v>
      </c>
      <c r="C2928" s="13" t="s">
        <v>17793</v>
      </c>
      <c r="D2928" s="12" t="s">
        <v>9761</v>
      </c>
      <c r="E2928" s="13" t="s">
        <v>580</v>
      </c>
      <c r="F2928" s="681">
        <v>112.63</v>
      </c>
    </row>
    <row r="2929" spans="2:6" ht="15.75" hidden="1" customHeight="1" x14ac:dyDescent="0.25">
      <c r="B2929" s="13" t="s">
        <v>556</v>
      </c>
      <c r="C2929" s="13" t="s">
        <v>17794</v>
      </c>
      <c r="D2929" s="12" t="s">
        <v>9762</v>
      </c>
      <c r="E2929" s="13" t="s">
        <v>580</v>
      </c>
      <c r="F2929" s="681">
        <v>127.79</v>
      </c>
    </row>
    <row r="2930" spans="2:6" ht="15.75" hidden="1" customHeight="1" x14ac:dyDescent="0.25">
      <c r="B2930" s="13" t="s">
        <v>556</v>
      </c>
      <c r="C2930" s="13" t="s">
        <v>17795</v>
      </c>
      <c r="D2930" s="12" t="s">
        <v>9763</v>
      </c>
      <c r="E2930" s="13" t="s">
        <v>580</v>
      </c>
      <c r="F2930" s="681">
        <v>240.56</v>
      </c>
    </row>
    <row r="2931" spans="2:6" ht="15.75" hidden="1" customHeight="1" x14ac:dyDescent="0.25">
      <c r="B2931" s="13" t="s">
        <v>556</v>
      </c>
      <c r="C2931" s="13" t="s">
        <v>17796</v>
      </c>
      <c r="D2931" s="12" t="s">
        <v>9764</v>
      </c>
      <c r="E2931" s="13" t="s">
        <v>580</v>
      </c>
      <c r="F2931" s="681">
        <v>117.87</v>
      </c>
    </row>
    <row r="2932" spans="2:6" ht="15.75" hidden="1" customHeight="1" x14ac:dyDescent="0.25">
      <c r="B2932" s="13" t="s">
        <v>556</v>
      </c>
      <c r="C2932" s="13" t="s">
        <v>17797</v>
      </c>
      <c r="D2932" s="12" t="s">
        <v>9765</v>
      </c>
      <c r="E2932" s="13" t="s">
        <v>580</v>
      </c>
      <c r="F2932" s="681">
        <v>121.52</v>
      </c>
    </row>
    <row r="2933" spans="2:6" ht="15.75" hidden="1" customHeight="1" x14ac:dyDescent="0.25">
      <c r="B2933" s="13" t="s">
        <v>556</v>
      </c>
      <c r="C2933" s="13" t="s">
        <v>17798</v>
      </c>
      <c r="D2933" s="12" t="s">
        <v>9766</v>
      </c>
      <c r="E2933" s="13" t="s">
        <v>580</v>
      </c>
      <c r="F2933" s="681">
        <v>143.16999999999999</v>
      </c>
    </row>
    <row r="2934" spans="2:6" ht="15.75" hidden="1" customHeight="1" x14ac:dyDescent="0.25">
      <c r="B2934" s="13" t="s">
        <v>556</v>
      </c>
      <c r="C2934" s="13" t="s">
        <v>17799</v>
      </c>
      <c r="D2934" s="12" t="s">
        <v>9767</v>
      </c>
      <c r="E2934" s="13" t="s">
        <v>580</v>
      </c>
      <c r="F2934" s="681">
        <v>295.43</v>
      </c>
    </row>
    <row r="2935" spans="2:6" ht="15.75" hidden="1" customHeight="1" x14ac:dyDescent="0.25">
      <c r="B2935" s="13" t="s">
        <v>556</v>
      </c>
      <c r="C2935" s="13" t="s">
        <v>17800</v>
      </c>
      <c r="D2935" s="12" t="s">
        <v>17801</v>
      </c>
      <c r="E2935" s="13" t="s">
        <v>580</v>
      </c>
      <c r="F2935" s="681">
        <v>1.79</v>
      </c>
    </row>
    <row r="2936" spans="2:6" ht="15.75" hidden="1" customHeight="1" x14ac:dyDescent="0.25">
      <c r="B2936" s="13" t="s">
        <v>556</v>
      </c>
      <c r="C2936" s="13" t="s">
        <v>17802</v>
      </c>
      <c r="D2936" s="12" t="s">
        <v>10362</v>
      </c>
      <c r="E2936" s="13" t="s">
        <v>580</v>
      </c>
      <c r="F2936" s="681">
        <v>689.6</v>
      </c>
    </row>
    <row r="2937" spans="2:6" ht="15.75" hidden="1" customHeight="1" x14ac:dyDescent="0.25">
      <c r="B2937" s="13" t="s">
        <v>556</v>
      </c>
      <c r="C2937" s="13" t="s">
        <v>17803</v>
      </c>
      <c r="D2937" s="12" t="s">
        <v>10364</v>
      </c>
      <c r="E2937" s="13" t="s">
        <v>580</v>
      </c>
      <c r="F2937" s="681">
        <v>689.6</v>
      </c>
    </row>
    <row r="2938" spans="2:6" ht="15.75" hidden="1" customHeight="1" x14ac:dyDescent="0.25">
      <c r="B2938" s="13" t="s">
        <v>556</v>
      </c>
      <c r="C2938" s="13" t="s">
        <v>17804</v>
      </c>
      <c r="D2938" s="12" t="s">
        <v>10366</v>
      </c>
      <c r="E2938" s="13" t="s">
        <v>580</v>
      </c>
      <c r="F2938" s="681">
        <v>689.6</v>
      </c>
    </row>
    <row r="2939" spans="2:6" ht="15.75" hidden="1" customHeight="1" x14ac:dyDescent="0.25">
      <c r="B2939" s="13" t="s">
        <v>556</v>
      </c>
      <c r="C2939" s="13" t="s">
        <v>17805</v>
      </c>
      <c r="D2939" s="12" t="s">
        <v>10363</v>
      </c>
      <c r="E2939" s="13" t="s">
        <v>580</v>
      </c>
      <c r="F2939" s="681">
        <v>562.80999999999995</v>
      </c>
    </row>
    <row r="2940" spans="2:6" ht="15.75" hidden="1" customHeight="1" x14ac:dyDescent="0.25">
      <c r="B2940" s="13" t="s">
        <v>556</v>
      </c>
      <c r="C2940" s="13" t="s">
        <v>17806</v>
      </c>
      <c r="D2940" s="12" t="s">
        <v>10365</v>
      </c>
      <c r="E2940" s="13" t="s">
        <v>580</v>
      </c>
      <c r="F2940" s="681">
        <v>572.02</v>
      </c>
    </row>
    <row r="2941" spans="2:6" ht="15.75" hidden="1" customHeight="1" x14ac:dyDescent="0.25">
      <c r="B2941" s="13" t="s">
        <v>556</v>
      </c>
      <c r="C2941" s="13" t="s">
        <v>17807</v>
      </c>
      <c r="D2941" s="12" t="s">
        <v>10367</v>
      </c>
      <c r="E2941" s="13" t="s">
        <v>580</v>
      </c>
      <c r="F2941" s="681">
        <v>581.72</v>
      </c>
    </row>
    <row r="2942" spans="2:6" ht="15.75" hidden="1" customHeight="1" x14ac:dyDescent="0.25">
      <c r="B2942" s="13" t="s">
        <v>556</v>
      </c>
      <c r="C2942" s="13" t="s">
        <v>17808</v>
      </c>
      <c r="D2942" s="12" t="s">
        <v>10368</v>
      </c>
      <c r="E2942" s="13" t="s">
        <v>580</v>
      </c>
      <c r="F2942" s="681">
        <v>866.84</v>
      </c>
    </row>
    <row r="2943" spans="2:6" ht="15.75" hidden="1" customHeight="1" x14ac:dyDescent="0.25">
      <c r="B2943" s="13" t="s">
        <v>556</v>
      </c>
      <c r="C2943" s="13" t="s">
        <v>17809</v>
      </c>
      <c r="D2943" s="12" t="s">
        <v>10372</v>
      </c>
      <c r="E2943" s="13" t="s">
        <v>580</v>
      </c>
      <c r="F2943" s="681">
        <v>893.27</v>
      </c>
    </row>
    <row r="2944" spans="2:6" ht="15.75" hidden="1" customHeight="1" x14ac:dyDescent="0.25">
      <c r="B2944" s="13" t="s">
        <v>556</v>
      </c>
      <c r="C2944" s="13" t="s">
        <v>17810</v>
      </c>
      <c r="D2944" s="12" t="s">
        <v>10374</v>
      </c>
      <c r="E2944" s="13" t="s">
        <v>580</v>
      </c>
      <c r="F2944" s="681">
        <v>958.12</v>
      </c>
    </row>
    <row r="2945" spans="2:6" ht="15.75" hidden="1" customHeight="1" x14ac:dyDescent="0.25">
      <c r="B2945" s="13" t="s">
        <v>556</v>
      </c>
      <c r="C2945" s="13" t="s">
        <v>17811</v>
      </c>
      <c r="D2945" s="12" t="s">
        <v>10369</v>
      </c>
      <c r="E2945" s="13" t="s">
        <v>580</v>
      </c>
      <c r="F2945" s="681">
        <v>622.46</v>
      </c>
    </row>
    <row r="2946" spans="2:6" ht="15.75" hidden="1" customHeight="1" x14ac:dyDescent="0.25">
      <c r="B2946" s="13" t="s">
        <v>556</v>
      </c>
      <c r="C2946" s="13" t="s">
        <v>17812</v>
      </c>
      <c r="D2946" s="12" t="s">
        <v>10370</v>
      </c>
      <c r="E2946" s="13" t="s">
        <v>580</v>
      </c>
      <c r="F2946" s="681">
        <v>701.43</v>
      </c>
    </row>
    <row r="2947" spans="2:6" ht="15.75" hidden="1" customHeight="1" x14ac:dyDescent="0.25">
      <c r="B2947" s="13" t="s">
        <v>556</v>
      </c>
      <c r="C2947" s="13" t="s">
        <v>17813</v>
      </c>
      <c r="D2947" s="12" t="s">
        <v>10371</v>
      </c>
      <c r="E2947" s="13" t="s">
        <v>580</v>
      </c>
      <c r="F2947" s="681">
        <v>771.57</v>
      </c>
    </row>
    <row r="2948" spans="2:6" ht="15.75" hidden="1" customHeight="1" x14ac:dyDescent="0.25">
      <c r="B2948" s="13" t="s">
        <v>556</v>
      </c>
      <c r="C2948" s="13" t="s">
        <v>17814</v>
      </c>
      <c r="D2948" s="12" t="s">
        <v>10373</v>
      </c>
      <c r="E2948" s="13" t="s">
        <v>580</v>
      </c>
      <c r="F2948" s="681">
        <v>806.86</v>
      </c>
    </row>
    <row r="2949" spans="2:6" ht="15.75" hidden="1" customHeight="1" x14ac:dyDescent="0.25">
      <c r="B2949" s="13" t="s">
        <v>556</v>
      </c>
      <c r="C2949" s="13" t="s">
        <v>17815</v>
      </c>
      <c r="D2949" s="12" t="s">
        <v>10377</v>
      </c>
      <c r="E2949" s="13" t="s">
        <v>580</v>
      </c>
      <c r="F2949" s="681">
        <v>1289.31</v>
      </c>
    </row>
    <row r="2950" spans="2:6" ht="15.75" hidden="1" customHeight="1" x14ac:dyDescent="0.25">
      <c r="B2950" s="13" t="s">
        <v>556</v>
      </c>
      <c r="C2950" s="13" t="s">
        <v>17816</v>
      </c>
      <c r="D2950" s="12" t="s">
        <v>10380</v>
      </c>
      <c r="E2950" s="13" t="s">
        <v>580</v>
      </c>
      <c r="F2950" s="681">
        <v>1307.6199999999999</v>
      </c>
    </row>
    <row r="2951" spans="2:6" ht="15.75" hidden="1" customHeight="1" x14ac:dyDescent="0.25">
      <c r="B2951" s="13" t="s">
        <v>556</v>
      </c>
      <c r="C2951" s="13" t="s">
        <v>17817</v>
      </c>
      <c r="D2951" s="12" t="s">
        <v>8500</v>
      </c>
      <c r="E2951" s="13" t="s">
        <v>580</v>
      </c>
      <c r="F2951" s="681">
        <v>3.46</v>
      </c>
    </row>
    <row r="2952" spans="2:6" ht="15.75" hidden="1" customHeight="1" x14ac:dyDescent="0.25">
      <c r="B2952" s="13" t="s">
        <v>556</v>
      </c>
      <c r="C2952" s="13" t="s">
        <v>17818</v>
      </c>
      <c r="D2952" s="12" t="s">
        <v>10376</v>
      </c>
      <c r="E2952" s="13" t="s">
        <v>580</v>
      </c>
      <c r="F2952" s="681">
        <v>1045.3900000000001</v>
      </c>
    </row>
    <row r="2953" spans="2:6" ht="15.75" hidden="1" customHeight="1" x14ac:dyDescent="0.25">
      <c r="B2953" s="13" t="s">
        <v>556</v>
      </c>
      <c r="C2953" s="13" t="s">
        <v>17819</v>
      </c>
      <c r="D2953" s="12" t="s">
        <v>10379</v>
      </c>
      <c r="E2953" s="13" t="s">
        <v>580</v>
      </c>
      <c r="F2953" s="681">
        <v>1073.7</v>
      </c>
    </row>
    <row r="2954" spans="2:6" ht="15.75" hidden="1" customHeight="1" x14ac:dyDescent="0.25">
      <c r="B2954" s="13" t="s">
        <v>556</v>
      </c>
      <c r="C2954" s="13" t="s">
        <v>17820</v>
      </c>
      <c r="D2954" s="12" t="s">
        <v>11047</v>
      </c>
      <c r="E2954" s="13" t="s">
        <v>580</v>
      </c>
      <c r="F2954" s="681">
        <v>462.58</v>
      </c>
    </row>
    <row r="2955" spans="2:6" ht="15.75" hidden="1" customHeight="1" x14ac:dyDescent="0.25">
      <c r="B2955" s="13" t="s">
        <v>556</v>
      </c>
      <c r="C2955" s="13" t="s">
        <v>17821</v>
      </c>
      <c r="D2955" s="12" t="s">
        <v>11049</v>
      </c>
      <c r="E2955" s="13" t="s">
        <v>580</v>
      </c>
      <c r="F2955" s="681">
        <v>538.37</v>
      </c>
    </row>
    <row r="2956" spans="2:6" ht="15.75" hidden="1" customHeight="1" x14ac:dyDescent="0.25">
      <c r="B2956" s="13" t="s">
        <v>556</v>
      </c>
      <c r="C2956" s="13" t="s">
        <v>17822</v>
      </c>
      <c r="D2956" s="12" t="s">
        <v>11048</v>
      </c>
      <c r="E2956" s="13" t="s">
        <v>580</v>
      </c>
      <c r="F2956" s="681">
        <v>511.53</v>
      </c>
    </row>
    <row r="2957" spans="2:6" ht="15.75" hidden="1" customHeight="1" x14ac:dyDescent="0.25">
      <c r="B2957" s="13" t="s">
        <v>556</v>
      </c>
      <c r="C2957" s="13" t="s">
        <v>17823</v>
      </c>
      <c r="D2957" s="12" t="s">
        <v>11050</v>
      </c>
      <c r="E2957" s="13" t="s">
        <v>580</v>
      </c>
      <c r="F2957" s="681">
        <v>580.16999999999996</v>
      </c>
    </row>
    <row r="2958" spans="2:6" ht="15.75" hidden="1" customHeight="1" x14ac:dyDescent="0.25">
      <c r="B2958" s="13" t="s">
        <v>556</v>
      </c>
      <c r="C2958" s="13" t="s">
        <v>17824</v>
      </c>
      <c r="D2958" s="12" t="s">
        <v>11453</v>
      </c>
      <c r="E2958" s="13" t="s">
        <v>578</v>
      </c>
      <c r="F2958" s="681">
        <v>14.1</v>
      </c>
    </row>
    <row r="2959" spans="2:6" ht="15.75" hidden="1" customHeight="1" x14ac:dyDescent="0.25">
      <c r="B2959" s="13" t="s">
        <v>556</v>
      </c>
      <c r="C2959" s="13" t="s">
        <v>17825</v>
      </c>
      <c r="D2959" s="12" t="s">
        <v>11452</v>
      </c>
      <c r="E2959" s="13" t="s">
        <v>578</v>
      </c>
      <c r="F2959" s="681">
        <v>9.4499999999999993</v>
      </c>
    </row>
    <row r="2960" spans="2:6" ht="15.75" hidden="1" customHeight="1" x14ac:dyDescent="0.25">
      <c r="B2960" s="13" t="s">
        <v>556</v>
      </c>
      <c r="C2960" s="13" t="s">
        <v>17826</v>
      </c>
      <c r="D2960" s="12" t="s">
        <v>11460</v>
      </c>
      <c r="E2960" s="13" t="s">
        <v>578</v>
      </c>
      <c r="F2960" s="681">
        <v>11.68</v>
      </c>
    </row>
    <row r="2961" spans="2:6" ht="15.75" hidden="1" customHeight="1" x14ac:dyDescent="0.25">
      <c r="B2961" s="13" t="s">
        <v>556</v>
      </c>
      <c r="C2961" s="13" t="s">
        <v>17827</v>
      </c>
      <c r="D2961" s="12" t="s">
        <v>17828</v>
      </c>
      <c r="E2961" s="13" t="s">
        <v>578</v>
      </c>
      <c r="F2961" s="681">
        <v>134.13999999999999</v>
      </c>
    </row>
    <row r="2962" spans="2:6" ht="15.75" hidden="1" customHeight="1" x14ac:dyDescent="0.25">
      <c r="B2962" s="13" t="s">
        <v>556</v>
      </c>
      <c r="C2962" s="13" t="s">
        <v>17829</v>
      </c>
      <c r="D2962" s="12" t="s">
        <v>17830</v>
      </c>
      <c r="E2962" s="13" t="s">
        <v>578</v>
      </c>
      <c r="F2962" s="681">
        <v>122.98</v>
      </c>
    </row>
    <row r="2963" spans="2:6" ht="15.75" hidden="1" customHeight="1" x14ac:dyDescent="0.25">
      <c r="B2963" s="13" t="s">
        <v>556</v>
      </c>
      <c r="C2963" s="13" t="s">
        <v>17831</v>
      </c>
      <c r="D2963" s="12" t="s">
        <v>17832</v>
      </c>
      <c r="E2963" s="13" t="s">
        <v>578</v>
      </c>
      <c r="F2963" s="681">
        <v>143.87</v>
      </c>
    </row>
    <row r="2964" spans="2:6" ht="15.75" hidden="1" customHeight="1" x14ac:dyDescent="0.25">
      <c r="B2964" s="13" t="s">
        <v>556</v>
      </c>
      <c r="C2964" s="13" t="s">
        <v>17833</v>
      </c>
      <c r="D2964" s="12" t="s">
        <v>17834</v>
      </c>
      <c r="E2964" s="13" t="s">
        <v>580</v>
      </c>
      <c r="F2964" s="681">
        <v>29.88</v>
      </c>
    </row>
    <row r="2965" spans="2:6" ht="15.75" hidden="1" customHeight="1" x14ac:dyDescent="0.25">
      <c r="B2965" s="13" t="s">
        <v>556</v>
      </c>
      <c r="C2965" s="13" t="s">
        <v>17835</v>
      </c>
      <c r="D2965" s="12" t="s">
        <v>17836</v>
      </c>
      <c r="E2965" s="13" t="s">
        <v>580</v>
      </c>
      <c r="F2965" s="681">
        <v>56.97</v>
      </c>
    </row>
    <row r="2966" spans="2:6" ht="15.75" hidden="1" customHeight="1" x14ac:dyDescent="0.25">
      <c r="B2966" s="13" t="s">
        <v>556</v>
      </c>
      <c r="C2966" s="13" t="s">
        <v>17837</v>
      </c>
      <c r="D2966" s="12" t="s">
        <v>17838</v>
      </c>
      <c r="E2966" s="13" t="s">
        <v>580</v>
      </c>
      <c r="F2966" s="681">
        <v>48.03</v>
      </c>
    </row>
    <row r="2967" spans="2:6" ht="15.75" hidden="1" customHeight="1" x14ac:dyDescent="0.25">
      <c r="B2967" s="13" t="s">
        <v>556</v>
      </c>
      <c r="C2967" s="13" t="s">
        <v>17839</v>
      </c>
      <c r="D2967" s="12" t="s">
        <v>17840</v>
      </c>
      <c r="E2967" s="13" t="s">
        <v>578</v>
      </c>
      <c r="F2967" s="681">
        <v>236.16</v>
      </c>
    </row>
    <row r="2968" spans="2:6" ht="15.75" hidden="1" customHeight="1" x14ac:dyDescent="0.25">
      <c r="B2968" s="13" t="s">
        <v>556</v>
      </c>
      <c r="C2968" s="13" t="s">
        <v>17841</v>
      </c>
      <c r="D2968" s="12" t="s">
        <v>17842</v>
      </c>
      <c r="E2968" s="13" t="s">
        <v>578</v>
      </c>
      <c r="F2968" s="681">
        <v>279.98</v>
      </c>
    </row>
    <row r="2969" spans="2:6" ht="15.75" hidden="1" customHeight="1" x14ac:dyDescent="0.25">
      <c r="B2969" s="13" t="s">
        <v>556</v>
      </c>
      <c r="C2969" s="13" t="s">
        <v>17843</v>
      </c>
      <c r="D2969" s="12" t="s">
        <v>17844</v>
      </c>
      <c r="E2969" s="13" t="s">
        <v>578</v>
      </c>
      <c r="F2969" s="681">
        <v>155.88999999999999</v>
      </c>
    </row>
    <row r="2970" spans="2:6" ht="15.75" hidden="1" customHeight="1" x14ac:dyDescent="0.25">
      <c r="B2970" s="13" t="s">
        <v>556</v>
      </c>
      <c r="C2970" s="13" t="s">
        <v>17845</v>
      </c>
      <c r="D2970" s="12" t="s">
        <v>17846</v>
      </c>
      <c r="E2970" s="13" t="s">
        <v>578</v>
      </c>
      <c r="F2970" s="681">
        <v>160.99</v>
      </c>
    </row>
    <row r="2971" spans="2:6" ht="15.75" hidden="1" customHeight="1" x14ac:dyDescent="0.25">
      <c r="B2971" s="13" t="s">
        <v>556</v>
      </c>
      <c r="C2971" s="13" t="s">
        <v>17847</v>
      </c>
      <c r="D2971" s="12" t="s">
        <v>17848</v>
      </c>
      <c r="E2971" s="13" t="s">
        <v>578</v>
      </c>
      <c r="F2971" s="681">
        <v>166.24</v>
      </c>
    </row>
    <row r="2972" spans="2:6" ht="15.75" hidden="1" customHeight="1" x14ac:dyDescent="0.25">
      <c r="B2972" s="13" t="s">
        <v>556</v>
      </c>
      <c r="C2972" s="13" t="s">
        <v>17849</v>
      </c>
      <c r="D2972" s="12" t="s">
        <v>9776</v>
      </c>
      <c r="E2972" s="13" t="s">
        <v>580</v>
      </c>
      <c r="F2972" s="681">
        <v>261.77</v>
      </c>
    </row>
    <row r="2973" spans="2:6" ht="15.75" hidden="1" customHeight="1" x14ac:dyDescent="0.25">
      <c r="B2973" s="13" t="s">
        <v>14150</v>
      </c>
      <c r="C2973" s="13" t="s">
        <v>17850</v>
      </c>
      <c r="D2973" s="12" t="s">
        <v>8715</v>
      </c>
      <c r="E2973" s="13" t="s">
        <v>580</v>
      </c>
      <c r="F2973" s="681">
        <v>3351.04</v>
      </c>
    </row>
    <row r="2974" spans="2:6" ht="15.75" hidden="1" customHeight="1" x14ac:dyDescent="0.25">
      <c r="B2974" s="13" t="s">
        <v>14150</v>
      </c>
      <c r="C2974" s="13" t="s">
        <v>17851</v>
      </c>
      <c r="D2974" s="12" t="s">
        <v>8719</v>
      </c>
      <c r="E2974" s="13" t="s">
        <v>580</v>
      </c>
      <c r="F2974" s="681">
        <v>1970.01</v>
      </c>
    </row>
    <row r="2975" spans="2:6" ht="15.75" hidden="1" customHeight="1" x14ac:dyDescent="0.25">
      <c r="B2975" s="13" t="s">
        <v>14150</v>
      </c>
      <c r="C2975" s="13" t="s">
        <v>17852</v>
      </c>
      <c r="D2975" s="12" t="s">
        <v>8717</v>
      </c>
      <c r="E2975" s="13" t="s">
        <v>580</v>
      </c>
      <c r="F2975" s="681">
        <v>4431.25</v>
      </c>
    </row>
    <row r="2976" spans="2:6" ht="15.75" hidden="1" customHeight="1" x14ac:dyDescent="0.25">
      <c r="B2976" s="13" t="s">
        <v>14150</v>
      </c>
      <c r="C2976" s="13" t="s">
        <v>17853</v>
      </c>
      <c r="D2976" s="12" t="s">
        <v>8713</v>
      </c>
      <c r="E2976" s="13" t="s">
        <v>580</v>
      </c>
      <c r="F2976" s="681">
        <v>2259.17</v>
      </c>
    </row>
    <row r="2977" spans="2:6" ht="15.75" hidden="1" customHeight="1" x14ac:dyDescent="0.25">
      <c r="B2977" s="13" t="s">
        <v>14150</v>
      </c>
      <c r="C2977" s="13" t="s">
        <v>17854</v>
      </c>
      <c r="D2977" s="12" t="s">
        <v>8702</v>
      </c>
      <c r="E2977" s="13" t="s">
        <v>580</v>
      </c>
      <c r="F2977" s="681">
        <v>7348.34</v>
      </c>
    </row>
    <row r="2978" spans="2:6" ht="15.75" hidden="1" customHeight="1" x14ac:dyDescent="0.25">
      <c r="B2978" s="13" t="s">
        <v>14150</v>
      </c>
      <c r="C2978" s="13" t="s">
        <v>17855</v>
      </c>
      <c r="D2978" s="12" t="s">
        <v>8703</v>
      </c>
      <c r="E2978" s="13" t="s">
        <v>580</v>
      </c>
      <c r="F2978" s="681">
        <v>7912.55</v>
      </c>
    </row>
    <row r="2979" spans="2:6" ht="15.75" hidden="1" customHeight="1" x14ac:dyDescent="0.25">
      <c r="B2979" s="13" t="s">
        <v>14150</v>
      </c>
      <c r="C2979" s="13" t="s">
        <v>17856</v>
      </c>
      <c r="D2979" s="12" t="s">
        <v>8704</v>
      </c>
      <c r="E2979" s="13" t="s">
        <v>580</v>
      </c>
      <c r="F2979" s="681">
        <v>11693.23</v>
      </c>
    </row>
    <row r="2980" spans="2:6" ht="15.75" hidden="1" customHeight="1" x14ac:dyDescent="0.25">
      <c r="B2980" s="13" t="s">
        <v>14150</v>
      </c>
      <c r="C2980" s="13" t="s">
        <v>17857</v>
      </c>
      <c r="D2980" s="12" t="s">
        <v>8705</v>
      </c>
      <c r="E2980" s="13" t="s">
        <v>580</v>
      </c>
      <c r="F2980" s="681">
        <v>13527.93</v>
      </c>
    </row>
    <row r="2981" spans="2:6" ht="15.75" hidden="1" customHeight="1" x14ac:dyDescent="0.25">
      <c r="B2981" s="13" t="s">
        <v>14150</v>
      </c>
      <c r="C2981" s="13" t="s">
        <v>17858</v>
      </c>
      <c r="D2981" s="12" t="s">
        <v>8706</v>
      </c>
      <c r="E2981" s="13" t="s">
        <v>580</v>
      </c>
      <c r="F2981" s="681">
        <v>14151.94</v>
      </c>
    </row>
    <row r="2982" spans="2:6" ht="15.75" hidden="1" customHeight="1" x14ac:dyDescent="0.25">
      <c r="B2982" s="13" t="s">
        <v>556</v>
      </c>
      <c r="C2982" s="13" t="s">
        <v>17859</v>
      </c>
      <c r="D2982" s="12" t="s">
        <v>10973</v>
      </c>
      <c r="E2982" s="13" t="s">
        <v>578</v>
      </c>
      <c r="F2982" s="681">
        <v>44.11</v>
      </c>
    </row>
    <row r="2983" spans="2:6" ht="15.75" hidden="1" customHeight="1" x14ac:dyDescent="0.25">
      <c r="B2983" s="13" t="s">
        <v>556</v>
      </c>
      <c r="C2983" s="13" t="s">
        <v>17860</v>
      </c>
      <c r="D2983" s="12" t="s">
        <v>10972</v>
      </c>
      <c r="E2983" s="13" t="s">
        <v>578</v>
      </c>
      <c r="F2983" s="681">
        <v>41.67</v>
      </c>
    </row>
    <row r="2984" spans="2:6" ht="15.75" hidden="1" customHeight="1" x14ac:dyDescent="0.25">
      <c r="B2984" s="13" t="s">
        <v>556</v>
      </c>
      <c r="C2984" s="13" t="s">
        <v>17861</v>
      </c>
      <c r="D2984" s="12" t="s">
        <v>10913</v>
      </c>
      <c r="E2984" s="13" t="s">
        <v>585</v>
      </c>
      <c r="F2984" s="681">
        <v>3.91</v>
      </c>
    </row>
    <row r="2985" spans="2:6" ht="15.75" hidden="1" customHeight="1" x14ac:dyDescent="0.25">
      <c r="B2985" s="13" t="s">
        <v>556</v>
      </c>
      <c r="C2985" s="13" t="s">
        <v>17862</v>
      </c>
      <c r="D2985" s="12" t="s">
        <v>10912</v>
      </c>
      <c r="E2985" s="13" t="s">
        <v>585</v>
      </c>
      <c r="F2985" s="681">
        <v>3.95</v>
      </c>
    </row>
    <row r="2986" spans="2:6" ht="15.75" hidden="1" customHeight="1" x14ac:dyDescent="0.25">
      <c r="B2986" s="13" t="s">
        <v>556</v>
      </c>
      <c r="C2986" s="13" t="s">
        <v>17863</v>
      </c>
      <c r="D2986" s="12" t="s">
        <v>10904</v>
      </c>
      <c r="E2986" s="13" t="s">
        <v>585</v>
      </c>
      <c r="F2986" s="681">
        <v>4.03</v>
      </c>
    </row>
    <row r="2987" spans="2:6" ht="15.75" hidden="1" customHeight="1" x14ac:dyDescent="0.25">
      <c r="B2987" s="13" t="s">
        <v>556</v>
      </c>
      <c r="C2987" s="13" t="s">
        <v>17864</v>
      </c>
      <c r="D2987" s="12" t="s">
        <v>10911</v>
      </c>
      <c r="E2987" s="13" t="s">
        <v>585</v>
      </c>
      <c r="F2987" s="681">
        <v>3.73</v>
      </c>
    </row>
    <row r="2988" spans="2:6" ht="15.75" hidden="1" customHeight="1" x14ac:dyDescent="0.25">
      <c r="B2988" s="13" t="s">
        <v>556</v>
      </c>
      <c r="C2988" s="13" t="s">
        <v>17865</v>
      </c>
      <c r="D2988" s="12" t="s">
        <v>10893</v>
      </c>
      <c r="E2988" s="13" t="s">
        <v>580</v>
      </c>
      <c r="F2988" s="681">
        <v>1.64</v>
      </c>
    </row>
    <row r="2989" spans="2:6" ht="15.75" hidden="1" customHeight="1" x14ac:dyDescent="0.25">
      <c r="B2989" s="13" t="s">
        <v>556</v>
      </c>
      <c r="C2989" s="13" t="s">
        <v>17866</v>
      </c>
      <c r="D2989" s="12" t="s">
        <v>11590</v>
      </c>
      <c r="E2989" s="13" t="s">
        <v>580</v>
      </c>
      <c r="F2989" s="681">
        <v>3.76</v>
      </c>
    </row>
    <row r="2990" spans="2:6" ht="15.75" hidden="1" customHeight="1" x14ac:dyDescent="0.25">
      <c r="B2990" s="13" t="s">
        <v>14150</v>
      </c>
      <c r="C2990" s="13" t="s">
        <v>17867</v>
      </c>
      <c r="D2990" s="12" t="s">
        <v>8726</v>
      </c>
      <c r="E2990" s="13" t="s">
        <v>580</v>
      </c>
      <c r="F2990" s="681">
        <v>26342.5</v>
      </c>
    </row>
    <row r="2991" spans="2:6" ht="15.75" hidden="1" customHeight="1" x14ac:dyDescent="0.25">
      <c r="B2991" s="13" t="s">
        <v>14150</v>
      </c>
      <c r="C2991" s="13" t="s">
        <v>17868</v>
      </c>
      <c r="D2991" s="12" t="s">
        <v>8727</v>
      </c>
      <c r="E2991" s="13" t="s">
        <v>580</v>
      </c>
      <c r="F2991" s="681">
        <v>33995.51</v>
      </c>
    </row>
    <row r="2992" spans="2:6" ht="15.75" hidden="1" customHeight="1" x14ac:dyDescent="0.25">
      <c r="B2992" s="13" t="s">
        <v>14150</v>
      </c>
      <c r="C2992" s="13" t="s">
        <v>17869</v>
      </c>
      <c r="D2992" s="12" t="s">
        <v>8728</v>
      </c>
      <c r="E2992" s="13" t="s">
        <v>580</v>
      </c>
      <c r="F2992" s="681">
        <v>49460.81</v>
      </c>
    </row>
    <row r="2993" spans="2:6" ht="15.75" hidden="1" customHeight="1" x14ac:dyDescent="0.25">
      <c r="B2993" s="13" t="s">
        <v>14150</v>
      </c>
      <c r="C2993" s="13" t="s">
        <v>17870</v>
      </c>
      <c r="D2993" s="12" t="s">
        <v>8725</v>
      </c>
      <c r="E2993" s="13" t="s">
        <v>580</v>
      </c>
      <c r="F2993" s="681">
        <v>84161.91</v>
      </c>
    </row>
    <row r="2994" spans="2:6" ht="15.75" hidden="1" customHeight="1" x14ac:dyDescent="0.25">
      <c r="B2994" s="13" t="s">
        <v>14150</v>
      </c>
      <c r="C2994" s="13" t="s">
        <v>17871</v>
      </c>
      <c r="D2994" s="12" t="s">
        <v>10152</v>
      </c>
      <c r="E2994" s="13" t="s">
        <v>580</v>
      </c>
      <c r="F2994" s="681">
        <v>146859.01999999999</v>
      </c>
    </row>
    <row r="2995" spans="2:6" ht="15.75" hidden="1" customHeight="1" x14ac:dyDescent="0.25">
      <c r="B2995" s="13" t="s">
        <v>14150</v>
      </c>
      <c r="C2995" s="13" t="s">
        <v>17872</v>
      </c>
      <c r="D2995" s="12" t="s">
        <v>10148</v>
      </c>
      <c r="E2995" s="13" t="s">
        <v>580</v>
      </c>
      <c r="F2995" s="681">
        <v>164912.60999999999</v>
      </c>
    </row>
    <row r="2996" spans="2:6" ht="15.75" hidden="1" customHeight="1" x14ac:dyDescent="0.25">
      <c r="B2996" s="13" t="s">
        <v>14150</v>
      </c>
      <c r="C2996" s="13" t="s">
        <v>17873</v>
      </c>
      <c r="D2996" s="12" t="s">
        <v>10149</v>
      </c>
      <c r="E2996" s="13" t="s">
        <v>580</v>
      </c>
      <c r="F2996" s="681">
        <v>193431.32</v>
      </c>
    </row>
    <row r="2997" spans="2:6" ht="15.75" hidden="1" customHeight="1" x14ac:dyDescent="0.25">
      <c r="B2997" s="13" t="s">
        <v>14150</v>
      </c>
      <c r="C2997" s="13" t="s">
        <v>17874</v>
      </c>
      <c r="D2997" s="12" t="s">
        <v>10150</v>
      </c>
      <c r="E2997" s="13" t="s">
        <v>580</v>
      </c>
      <c r="F2997" s="681">
        <v>235589.44</v>
      </c>
    </row>
    <row r="2998" spans="2:6" ht="15.75" hidden="1" customHeight="1" x14ac:dyDescent="0.25">
      <c r="B2998" s="13" t="s">
        <v>14150</v>
      </c>
      <c r="C2998" s="13" t="s">
        <v>17875</v>
      </c>
      <c r="D2998" s="12" t="s">
        <v>10151</v>
      </c>
      <c r="E2998" s="13" t="s">
        <v>580</v>
      </c>
      <c r="F2998" s="681">
        <v>272787.77</v>
      </c>
    </row>
    <row r="2999" spans="2:6" ht="15.75" hidden="1" customHeight="1" x14ac:dyDescent="0.25">
      <c r="B2999" s="13" t="s">
        <v>14150</v>
      </c>
      <c r="C2999" s="13" t="s">
        <v>17876</v>
      </c>
      <c r="D2999" s="12" t="s">
        <v>10153</v>
      </c>
      <c r="E2999" s="13" t="s">
        <v>580</v>
      </c>
      <c r="F2999" s="681">
        <v>143337.57999999999</v>
      </c>
    </row>
    <row r="3000" spans="2:6" ht="15.75" hidden="1" customHeight="1" x14ac:dyDescent="0.25">
      <c r="B3000" s="13" t="s">
        <v>14150</v>
      </c>
      <c r="C3000" s="13" t="s">
        <v>17877</v>
      </c>
      <c r="D3000" s="12" t="s">
        <v>10154</v>
      </c>
      <c r="E3000" s="13" t="s">
        <v>580</v>
      </c>
      <c r="F3000" s="681">
        <v>205979.56</v>
      </c>
    </row>
    <row r="3001" spans="2:6" ht="15.75" hidden="1" customHeight="1" x14ac:dyDescent="0.25">
      <c r="B3001" s="13" t="s">
        <v>14150</v>
      </c>
      <c r="C3001" s="13" t="s">
        <v>17878</v>
      </c>
      <c r="D3001" s="12" t="s">
        <v>10155</v>
      </c>
      <c r="E3001" s="13" t="s">
        <v>580</v>
      </c>
      <c r="F3001" s="681">
        <v>235589.44</v>
      </c>
    </row>
    <row r="3002" spans="2:6" ht="15.75" hidden="1" customHeight="1" x14ac:dyDescent="0.25">
      <c r="B3002" s="13" t="s">
        <v>556</v>
      </c>
      <c r="C3002" s="13" t="s">
        <v>17879</v>
      </c>
      <c r="D3002" s="12" t="s">
        <v>10877</v>
      </c>
      <c r="E3002" s="13" t="s">
        <v>580</v>
      </c>
      <c r="F3002" s="681">
        <v>329</v>
      </c>
    </row>
    <row r="3003" spans="2:6" ht="15.75" hidden="1" customHeight="1" x14ac:dyDescent="0.25">
      <c r="B3003" s="13" t="s">
        <v>556</v>
      </c>
      <c r="C3003" s="13" t="s">
        <v>17880</v>
      </c>
      <c r="D3003" s="12" t="s">
        <v>10879</v>
      </c>
      <c r="E3003" s="13" t="s">
        <v>580</v>
      </c>
      <c r="F3003" s="681">
        <v>1979.68</v>
      </c>
    </row>
    <row r="3004" spans="2:6" ht="15.75" hidden="1" customHeight="1" x14ac:dyDescent="0.25">
      <c r="B3004" s="13" t="s">
        <v>556</v>
      </c>
      <c r="C3004" s="13" t="s">
        <v>17881</v>
      </c>
      <c r="D3004" s="12" t="s">
        <v>10878</v>
      </c>
      <c r="E3004" s="13" t="s">
        <v>580</v>
      </c>
      <c r="F3004" s="681">
        <v>881.09</v>
      </c>
    </row>
    <row r="3005" spans="2:6" ht="15.75" hidden="1" customHeight="1" x14ac:dyDescent="0.25">
      <c r="B3005" s="13" t="s">
        <v>556</v>
      </c>
      <c r="C3005" s="13" t="s">
        <v>17882</v>
      </c>
      <c r="D3005" s="12" t="s">
        <v>10880</v>
      </c>
      <c r="E3005" s="13" t="s">
        <v>580</v>
      </c>
      <c r="F3005" s="681">
        <v>3105.4</v>
      </c>
    </row>
    <row r="3006" spans="2:6" ht="15.75" hidden="1" customHeight="1" x14ac:dyDescent="0.25">
      <c r="B3006" s="13" t="s">
        <v>556</v>
      </c>
      <c r="C3006" s="13" t="s">
        <v>17883</v>
      </c>
      <c r="D3006" s="12" t="s">
        <v>9161</v>
      </c>
      <c r="E3006" s="13" t="s">
        <v>585</v>
      </c>
      <c r="F3006" s="681">
        <v>5.97</v>
      </c>
    </row>
    <row r="3007" spans="2:6" ht="15.75" hidden="1" customHeight="1" x14ac:dyDescent="0.25">
      <c r="B3007" s="13" t="s">
        <v>556</v>
      </c>
      <c r="C3007" s="13" t="s">
        <v>17884</v>
      </c>
      <c r="D3007" s="12" t="s">
        <v>9163</v>
      </c>
      <c r="E3007" s="13" t="s">
        <v>585</v>
      </c>
      <c r="F3007" s="681">
        <v>8.59</v>
      </c>
    </row>
    <row r="3008" spans="2:6" ht="15.75" hidden="1" customHeight="1" x14ac:dyDescent="0.25">
      <c r="B3008" s="13" t="s">
        <v>556</v>
      </c>
      <c r="C3008" s="13" t="s">
        <v>17885</v>
      </c>
      <c r="D3008" s="12" t="s">
        <v>8508</v>
      </c>
      <c r="E3008" s="13" t="s">
        <v>580</v>
      </c>
      <c r="F3008" s="681">
        <v>4</v>
      </c>
    </row>
    <row r="3009" spans="2:6" ht="15.75" hidden="1" customHeight="1" x14ac:dyDescent="0.25">
      <c r="B3009" s="13" t="s">
        <v>556</v>
      </c>
      <c r="C3009" s="13" t="s">
        <v>17886</v>
      </c>
      <c r="D3009" s="12" t="s">
        <v>9507</v>
      </c>
      <c r="E3009" s="13" t="s">
        <v>580</v>
      </c>
      <c r="F3009" s="681">
        <v>16.88</v>
      </c>
    </row>
    <row r="3010" spans="2:6" ht="15.75" hidden="1" customHeight="1" x14ac:dyDescent="0.25">
      <c r="B3010" s="13" t="s">
        <v>556</v>
      </c>
      <c r="C3010" s="13" t="s">
        <v>17887</v>
      </c>
      <c r="D3010" s="12" t="s">
        <v>9508</v>
      </c>
      <c r="E3010" s="13" t="s">
        <v>580</v>
      </c>
      <c r="F3010" s="681">
        <v>35.81</v>
      </c>
    </row>
    <row r="3011" spans="2:6" ht="15.75" hidden="1" customHeight="1" x14ac:dyDescent="0.25">
      <c r="B3011" s="13" t="s">
        <v>556</v>
      </c>
      <c r="C3011" s="13" t="s">
        <v>17888</v>
      </c>
      <c r="D3011" s="12" t="s">
        <v>9525</v>
      </c>
      <c r="E3011" s="13" t="s">
        <v>580</v>
      </c>
      <c r="F3011" s="681">
        <v>1.79</v>
      </c>
    </row>
    <row r="3012" spans="2:6" ht="15.75" hidden="1" customHeight="1" x14ac:dyDescent="0.25">
      <c r="B3012" s="13" t="s">
        <v>556</v>
      </c>
      <c r="C3012" s="13" t="s">
        <v>17889</v>
      </c>
      <c r="D3012" s="12" t="s">
        <v>9526</v>
      </c>
      <c r="E3012" s="13" t="s">
        <v>580</v>
      </c>
      <c r="F3012" s="681">
        <v>3.81</v>
      </c>
    </row>
    <row r="3013" spans="2:6" ht="15.75" hidden="1" customHeight="1" x14ac:dyDescent="0.25">
      <c r="B3013" s="13" t="s">
        <v>556</v>
      </c>
      <c r="C3013" s="13" t="s">
        <v>17890</v>
      </c>
      <c r="D3013" s="12" t="s">
        <v>10873</v>
      </c>
      <c r="E3013" s="13" t="s">
        <v>580</v>
      </c>
      <c r="F3013" s="681">
        <v>14.27</v>
      </c>
    </row>
    <row r="3014" spans="2:6" ht="15.75" hidden="1" customHeight="1" x14ac:dyDescent="0.25">
      <c r="B3014" s="13" t="s">
        <v>556</v>
      </c>
      <c r="C3014" s="13" t="s">
        <v>17891</v>
      </c>
      <c r="D3014" s="12" t="s">
        <v>10874</v>
      </c>
      <c r="E3014" s="13" t="s">
        <v>580</v>
      </c>
      <c r="F3014" s="681">
        <v>15.5</v>
      </c>
    </row>
    <row r="3015" spans="2:6" ht="15.75" hidden="1" customHeight="1" x14ac:dyDescent="0.25">
      <c r="B3015" s="13" t="s">
        <v>556</v>
      </c>
      <c r="C3015" s="13" t="s">
        <v>17892</v>
      </c>
      <c r="D3015" s="12" t="s">
        <v>10875</v>
      </c>
      <c r="E3015" s="13" t="s">
        <v>580</v>
      </c>
      <c r="F3015" s="681">
        <v>27.14</v>
      </c>
    </row>
    <row r="3016" spans="2:6" ht="15.75" hidden="1" customHeight="1" x14ac:dyDescent="0.25">
      <c r="B3016" s="13" t="s">
        <v>556</v>
      </c>
      <c r="C3016" s="13" t="s">
        <v>17893</v>
      </c>
      <c r="D3016" s="12" t="s">
        <v>10876</v>
      </c>
      <c r="E3016" s="13" t="s">
        <v>580</v>
      </c>
      <c r="F3016" s="681">
        <v>36.72</v>
      </c>
    </row>
    <row r="3017" spans="2:6" ht="15.75" hidden="1" customHeight="1" x14ac:dyDescent="0.25">
      <c r="B3017" s="13" t="s">
        <v>14150</v>
      </c>
      <c r="C3017" s="13" t="s">
        <v>17894</v>
      </c>
      <c r="D3017" s="12" t="s">
        <v>17895</v>
      </c>
      <c r="E3017" s="13" t="s">
        <v>580</v>
      </c>
      <c r="F3017" s="681">
        <v>42222.080000000002</v>
      </c>
    </row>
    <row r="3018" spans="2:6" ht="15.75" hidden="1" customHeight="1" x14ac:dyDescent="0.25">
      <c r="B3018" s="13" t="s">
        <v>14150</v>
      </c>
      <c r="C3018" s="13" t="s">
        <v>17896</v>
      </c>
      <c r="D3018" s="12" t="s">
        <v>17897</v>
      </c>
      <c r="E3018" s="13" t="s">
        <v>580</v>
      </c>
      <c r="F3018" s="681">
        <v>52804.7</v>
      </c>
    </row>
    <row r="3019" spans="2:6" ht="15.75" hidden="1" customHeight="1" x14ac:dyDescent="0.25">
      <c r="B3019" s="13" t="s">
        <v>14150</v>
      </c>
      <c r="C3019" s="13" t="s">
        <v>17898</v>
      </c>
      <c r="D3019" s="12" t="s">
        <v>17899</v>
      </c>
      <c r="E3019" s="13" t="s">
        <v>580</v>
      </c>
      <c r="F3019" s="681">
        <v>77078.38</v>
      </c>
    </row>
    <row r="3020" spans="2:6" ht="15.75" hidden="1" customHeight="1" x14ac:dyDescent="0.25">
      <c r="B3020" s="13" t="s">
        <v>14150</v>
      </c>
      <c r="C3020" s="13" t="s">
        <v>17900</v>
      </c>
      <c r="D3020" s="12" t="s">
        <v>17901</v>
      </c>
      <c r="E3020" s="13" t="s">
        <v>580</v>
      </c>
      <c r="F3020" s="681">
        <v>93277.46</v>
      </c>
    </row>
    <row r="3021" spans="2:6" ht="15.75" hidden="1" customHeight="1" x14ac:dyDescent="0.25">
      <c r="B3021" s="13" t="s">
        <v>14150</v>
      </c>
      <c r="C3021" s="13" t="s">
        <v>17902</v>
      </c>
      <c r="D3021" s="12" t="s">
        <v>17903</v>
      </c>
      <c r="E3021" s="13" t="s">
        <v>580</v>
      </c>
      <c r="F3021" s="681">
        <v>146121.25</v>
      </c>
    </row>
    <row r="3022" spans="2:6" ht="15.75" hidden="1" customHeight="1" x14ac:dyDescent="0.25">
      <c r="B3022" s="13" t="s">
        <v>14150</v>
      </c>
      <c r="C3022" s="13" t="s">
        <v>17904</v>
      </c>
      <c r="D3022" s="12" t="s">
        <v>17905</v>
      </c>
      <c r="E3022" s="13" t="s">
        <v>580</v>
      </c>
      <c r="F3022" s="681">
        <v>151.43</v>
      </c>
    </row>
    <row r="3023" spans="2:6" ht="15.75" hidden="1" customHeight="1" x14ac:dyDescent="0.25">
      <c r="B3023" s="13" t="s">
        <v>14150</v>
      </c>
      <c r="C3023" s="13" t="s">
        <v>17906</v>
      </c>
      <c r="D3023" s="12" t="s">
        <v>17907</v>
      </c>
      <c r="E3023" s="13" t="s">
        <v>580</v>
      </c>
      <c r="F3023" s="681">
        <v>220.93</v>
      </c>
    </row>
    <row r="3024" spans="2:6" ht="15.75" hidden="1" customHeight="1" x14ac:dyDescent="0.25">
      <c r="B3024" s="13" t="s">
        <v>556</v>
      </c>
      <c r="C3024" s="13" t="s">
        <v>17908</v>
      </c>
      <c r="D3024" s="12" t="s">
        <v>8840</v>
      </c>
      <c r="E3024" s="13" t="s">
        <v>580</v>
      </c>
      <c r="F3024" s="681">
        <v>619.48</v>
      </c>
    </row>
    <row r="3025" spans="2:6" ht="15.75" hidden="1" customHeight="1" x14ac:dyDescent="0.25">
      <c r="B3025" s="13" t="s">
        <v>14150</v>
      </c>
      <c r="C3025" s="13" t="s">
        <v>17909</v>
      </c>
      <c r="D3025" s="12" t="s">
        <v>17910</v>
      </c>
      <c r="E3025" s="13" t="s">
        <v>580</v>
      </c>
      <c r="F3025" s="681">
        <v>381.23</v>
      </c>
    </row>
    <row r="3026" spans="2:6" ht="15.75" hidden="1" customHeight="1" x14ac:dyDescent="0.25">
      <c r="B3026" s="13" t="s">
        <v>14150</v>
      </c>
      <c r="C3026" s="13" t="s">
        <v>17911</v>
      </c>
      <c r="D3026" s="12" t="s">
        <v>17912</v>
      </c>
      <c r="E3026" s="13" t="s">
        <v>580</v>
      </c>
      <c r="F3026" s="681">
        <v>691.49</v>
      </c>
    </row>
    <row r="3027" spans="2:6" ht="15.75" hidden="1" customHeight="1" x14ac:dyDescent="0.25">
      <c r="B3027" s="13" t="s">
        <v>14150</v>
      </c>
      <c r="C3027" s="13" t="s">
        <v>17913</v>
      </c>
      <c r="D3027" s="12" t="s">
        <v>17914</v>
      </c>
      <c r="E3027" s="13" t="s">
        <v>580</v>
      </c>
      <c r="F3027" s="681">
        <v>947.05</v>
      </c>
    </row>
    <row r="3028" spans="2:6" ht="15.75" hidden="1" customHeight="1" x14ac:dyDescent="0.25">
      <c r="B3028" s="13" t="s">
        <v>556</v>
      </c>
      <c r="C3028" s="13" t="s">
        <v>17915</v>
      </c>
      <c r="D3028" s="12" t="s">
        <v>8841</v>
      </c>
      <c r="E3028" s="13" t="s">
        <v>580</v>
      </c>
      <c r="F3028" s="681">
        <v>946.11</v>
      </c>
    </row>
    <row r="3029" spans="2:6" ht="15.75" hidden="1" customHeight="1" x14ac:dyDescent="0.25">
      <c r="B3029" s="13" t="s">
        <v>556</v>
      </c>
      <c r="C3029" s="13" t="s">
        <v>17916</v>
      </c>
      <c r="D3029" s="12" t="s">
        <v>8837</v>
      </c>
      <c r="E3029" s="13" t="s">
        <v>8838</v>
      </c>
      <c r="F3029" s="681">
        <v>1389.72</v>
      </c>
    </row>
    <row r="3030" spans="2:6" ht="15.75" hidden="1" customHeight="1" x14ac:dyDescent="0.25">
      <c r="B3030" s="13" t="s">
        <v>556</v>
      </c>
      <c r="C3030" s="13" t="s">
        <v>17917</v>
      </c>
      <c r="D3030" s="12" t="s">
        <v>8842</v>
      </c>
      <c r="E3030" s="13" t="s">
        <v>580</v>
      </c>
      <c r="F3030" s="681">
        <v>1013.37</v>
      </c>
    </row>
    <row r="3031" spans="2:6" ht="15.75" hidden="1" customHeight="1" x14ac:dyDescent="0.25">
      <c r="B3031" s="13" t="s">
        <v>556</v>
      </c>
      <c r="C3031" s="13" t="s">
        <v>17918</v>
      </c>
      <c r="D3031" s="12" t="s">
        <v>8839</v>
      </c>
      <c r="E3031" s="13" t="s">
        <v>8838</v>
      </c>
      <c r="F3031" s="681">
        <v>1533.02</v>
      </c>
    </row>
    <row r="3032" spans="2:6" ht="15.75" hidden="1" customHeight="1" x14ac:dyDescent="0.25">
      <c r="B3032" s="13" t="s">
        <v>14150</v>
      </c>
      <c r="C3032" s="13" t="s">
        <v>17919</v>
      </c>
      <c r="D3032" s="12" t="s">
        <v>17920</v>
      </c>
      <c r="E3032" s="13" t="s">
        <v>580</v>
      </c>
      <c r="F3032" s="681">
        <v>4422.18</v>
      </c>
    </row>
    <row r="3033" spans="2:6" ht="15.75" hidden="1" customHeight="1" x14ac:dyDescent="0.25">
      <c r="B3033" s="13" t="s">
        <v>556</v>
      </c>
      <c r="C3033" s="13" t="s">
        <v>17921</v>
      </c>
      <c r="D3033" s="12" t="s">
        <v>10048</v>
      </c>
      <c r="E3033" s="13" t="s">
        <v>585</v>
      </c>
      <c r="F3033" s="681">
        <v>4.6900000000000004</v>
      </c>
    </row>
    <row r="3034" spans="2:6" ht="15.75" hidden="1" customHeight="1" x14ac:dyDescent="0.25">
      <c r="B3034" s="13" t="s">
        <v>12140</v>
      </c>
      <c r="C3034" s="13" t="s">
        <v>17922</v>
      </c>
      <c r="D3034" s="12" t="s">
        <v>9336</v>
      </c>
      <c r="E3034" s="13" t="s">
        <v>578</v>
      </c>
      <c r="F3034" s="681">
        <v>108.76</v>
      </c>
    </row>
    <row r="3035" spans="2:6" ht="15.75" hidden="1" customHeight="1" x14ac:dyDescent="0.25">
      <c r="B3035" s="13" t="s">
        <v>12140</v>
      </c>
      <c r="C3035" s="13" t="s">
        <v>17923</v>
      </c>
      <c r="D3035" s="12" t="s">
        <v>9334</v>
      </c>
      <c r="E3035" s="13" t="s">
        <v>578</v>
      </c>
      <c r="F3035" s="681">
        <v>207.02</v>
      </c>
    </row>
    <row r="3036" spans="2:6" ht="15.75" hidden="1" customHeight="1" x14ac:dyDescent="0.25">
      <c r="B3036" s="13" t="s">
        <v>556</v>
      </c>
      <c r="C3036" s="13" t="s">
        <v>17924</v>
      </c>
      <c r="D3036" s="12" t="s">
        <v>10797</v>
      </c>
      <c r="E3036" s="13" t="s">
        <v>578</v>
      </c>
      <c r="F3036" s="681">
        <v>87.51</v>
      </c>
    </row>
    <row r="3037" spans="2:6" ht="15.75" hidden="1" customHeight="1" x14ac:dyDescent="0.25">
      <c r="B3037" s="13" t="s">
        <v>556</v>
      </c>
      <c r="C3037" s="13" t="s">
        <v>17925</v>
      </c>
      <c r="D3037" s="12" t="s">
        <v>10798</v>
      </c>
      <c r="E3037" s="13" t="s">
        <v>578</v>
      </c>
      <c r="F3037" s="681">
        <v>99.02</v>
      </c>
    </row>
    <row r="3038" spans="2:6" ht="15.75" hidden="1" customHeight="1" x14ac:dyDescent="0.25">
      <c r="B3038" s="13" t="s">
        <v>556</v>
      </c>
      <c r="C3038" s="13" t="s">
        <v>17926</v>
      </c>
      <c r="D3038" s="12" t="s">
        <v>10799</v>
      </c>
      <c r="E3038" s="13" t="s">
        <v>578</v>
      </c>
      <c r="F3038" s="681">
        <v>149.4</v>
      </c>
    </row>
    <row r="3039" spans="2:6" ht="15.75" hidden="1" customHeight="1" x14ac:dyDescent="0.25">
      <c r="B3039" s="13" t="s">
        <v>556</v>
      </c>
      <c r="C3039" s="13" t="s">
        <v>17927</v>
      </c>
      <c r="D3039" s="12" t="s">
        <v>9605</v>
      </c>
      <c r="E3039" s="13" t="s">
        <v>580</v>
      </c>
      <c r="F3039" s="681">
        <v>11.41</v>
      </c>
    </row>
    <row r="3040" spans="2:6" ht="15.75" hidden="1" customHeight="1" x14ac:dyDescent="0.25">
      <c r="B3040" s="13" t="s">
        <v>556</v>
      </c>
      <c r="C3040" s="13" t="s">
        <v>17928</v>
      </c>
      <c r="D3040" s="12" t="s">
        <v>8667</v>
      </c>
      <c r="E3040" s="13" t="s">
        <v>580</v>
      </c>
      <c r="F3040" s="681">
        <v>2.2400000000000002</v>
      </c>
    </row>
    <row r="3041" spans="2:6" ht="15.75" hidden="1" customHeight="1" x14ac:dyDescent="0.25">
      <c r="B3041" s="13" t="s">
        <v>556</v>
      </c>
      <c r="C3041" s="13" t="s">
        <v>17929</v>
      </c>
      <c r="D3041" s="12" t="s">
        <v>8666</v>
      </c>
      <c r="E3041" s="13" t="s">
        <v>580</v>
      </c>
      <c r="F3041" s="681">
        <v>2.5499999999999998</v>
      </c>
    </row>
    <row r="3042" spans="2:6" ht="15.75" hidden="1" customHeight="1" x14ac:dyDescent="0.25">
      <c r="B3042" s="13" t="s">
        <v>556</v>
      </c>
      <c r="C3042" s="13" t="s">
        <v>17930</v>
      </c>
      <c r="D3042" s="12" t="s">
        <v>8668</v>
      </c>
      <c r="E3042" s="13" t="s">
        <v>580</v>
      </c>
      <c r="F3042" s="681">
        <v>3</v>
      </c>
    </row>
    <row r="3043" spans="2:6" ht="15.75" hidden="1" customHeight="1" x14ac:dyDescent="0.25">
      <c r="B3043" s="13" t="s">
        <v>556</v>
      </c>
      <c r="C3043" s="13" t="s">
        <v>17931</v>
      </c>
      <c r="D3043" s="12" t="s">
        <v>8669</v>
      </c>
      <c r="E3043" s="13" t="s">
        <v>580</v>
      </c>
      <c r="F3043" s="681">
        <v>4.6500000000000004</v>
      </c>
    </row>
    <row r="3044" spans="2:6" ht="15.75" hidden="1" customHeight="1" x14ac:dyDescent="0.25">
      <c r="B3044" s="13" t="s">
        <v>556</v>
      </c>
      <c r="C3044" s="13" t="s">
        <v>17932</v>
      </c>
      <c r="D3044" s="12" t="s">
        <v>8670</v>
      </c>
      <c r="E3044" s="13" t="s">
        <v>580</v>
      </c>
      <c r="F3044" s="681">
        <v>5.09</v>
      </c>
    </row>
    <row r="3045" spans="2:6" ht="15.75" hidden="1" customHeight="1" x14ac:dyDescent="0.25">
      <c r="B3045" s="13" t="s">
        <v>556</v>
      </c>
      <c r="C3045" s="13" t="s">
        <v>13292</v>
      </c>
      <c r="D3045" s="12" t="s">
        <v>17933</v>
      </c>
      <c r="E3045" s="13" t="s">
        <v>585</v>
      </c>
      <c r="F3045" s="681">
        <v>43</v>
      </c>
    </row>
    <row r="3046" spans="2:6" ht="15.75" hidden="1" customHeight="1" x14ac:dyDescent="0.25">
      <c r="B3046" s="13" t="s">
        <v>556</v>
      </c>
      <c r="C3046" s="13" t="s">
        <v>17934</v>
      </c>
      <c r="D3046" s="12" t="s">
        <v>17935</v>
      </c>
      <c r="E3046" s="13" t="s">
        <v>585</v>
      </c>
      <c r="F3046" s="681">
        <v>14.05</v>
      </c>
    </row>
    <row r="3047" spans="2:6" ht="15.75" hidden="1" customHeight="1" x14ac:dyDescent="0.25">
      <c r="B3047" s="13" t="s">
        <v>556</v>
      </c>
      <c r="C3047" s="13" t="s">
        <v>13280</v>
      </c>
      <c r="D3047" s="12" t="s">
        <v>17936</v>
      </c>
      <c r="E3047" s="13" t="s">
        <v>585</v>
      </c>
      <c r="F3047" s="681">
        <v>20.61</v>
      </c>
    </row>
    <row r="3048" spans="2:6" ht="15.75" hidden="1" customHeight="1" x14ac:dyDescent="0.25">
      <c r="B3048" s="13" t="s">
        <v>556</v>
      </c>
      <c r="C3048" s="13" t="s">
        <v>17937</v>
      </c>
      <c r="D3048" s="12" t="s">
        <v>17938</v>
      </c>
      <c r="E3048" s="13" t="s">
        <v>585</v>
      </c>
      <c r="F3048" s="681">
        <v>25.35</v>
      </c>
    </row>
    <row r="3049" spans="2:6" ht="15.75" hidden="1" customHeight="1" x14ac:dyDescent="0.25">
      <c r="B3049" s="13" t="s">
        <v>556</v>
      </c>
      <c r="C3049" s="13" t="s">
        <v>13287</v>
      </c>
      <c r="D3049" s="12" t="s">
        <v>17939</v>
      </c>
      <c r="E3049" s="13" t="s">
        <v>585</v>
      </c>
      <c r="F3049" s="681">
        <v>31.7</v>
      </c>
    </row>
    <row r="3050" spans="2:6" ht="15.75" hidden="1" customHeight="1" x14ac:dyDescent="0.25">
      <c r="B3050" s="13" t="s">
        <v>556</v>
      </c>
      <c r="C3050" s="13" t="s">
        <v>13297</v>
      </c>
      <c r="D3050" s="12" t="s">
        <v>17940</v>
      </c>
      <c r="E3050" s="13" t="s">
        <v>585</v>
      </c>
      <c r="F3050" s="681">
        <v>53.49</v>
      </c>
    </row>
    <row r="3051" spans="2:6" ht="15.75" hidden="1" customHeight="1" x14ac:dyDescent="0.25">
      <c r="B3051" s="13" t="s">
        <v>556</v>
      </c>
      <c r="C3051" s="13" t="s">
        <v>13302</v>
      </c>
      <c r="D3051" s="12" t="s">
        <v>17941</v>
      </c>
      <c r="E3051" s="13" t="s">
        <v>585</v>
      </c>
      <c r="F3051" s="681">
        <v>64.69</v>
      </c>
    </row>
    <row r="3052" spans="2:6" ht="15.75" hidden="1" customHeight="1" x14ac:dyDescent="0.25">
      <c r="B3052" s="13" t="s">
        <v>556</v>
      </c>
      <c r="C3052" s="13" t="s">
        <v>17942</v>
      </c>
      <c r="D3052" s="12" t="s">
        <v>9075</v>
      </c>
      <c r="E3052" s="13" t="s">
        <v>580</v>
      </c>
      <c r="F3052" s="681">
        <v>3.05</v>
      </c>
    </row>
    <row r="3053" spans="2:6" ht="15.75" hidden="1" customHeight="1" x14ac:dyDescent="0.25">
      <c r="B3053" s="13" t="s">
        <v>556</v>
      </c>
      <c r="C3053" s="13" t="s">
        <v>17943</v>
      </c>
      <c r="D3053" s="12" t="s">
        <v>9078</v>
      </c>
      <c r="E3053" s="13" t="s">
        <v>580</v>
      </c>
      <c r="F3053" s="681">
        <v>64.97</v>
      </c>
    </row>
    <row r="3054" spans="2:6" ht="15.75" hidden="1" customHeight="1" x14ac:dyDescent="0.25">
      <c r="B3054" s="13" t="s">
        <v>556</v>
      </c>
      <c r="C3054" s="13" t="s">
        <v>17944</v>
      </c>
      <c r="D3054" s="12" t="s">
        <v>17945</v>
      </c>
      <c r="E3054" s="13" t="s">
        <v>580</v>
      </c>
      <c r="F3054" s="681">
        <v>380.52</v>
      </c>
    </row>
    <row r="3055" spans="2:6" ht="15.75" hidden="1" customHeight="1" x14ac:dyDescent="0.25">
      <c r="B3055" s="13" t="s">
        <v>556</v>
      </c>
      <c r="C3055" s="13" t="s">
        <v>17946</v>
      </c>
      <c r="D3055" s="12" t="s">
        <v>17947</v>
      </c>
      <c r="E3055" s="13" t="s">
        <v>580</v>
      </c>
      <c r="F3055" s="681">
        <v>2600.5700000000002</v>
      </c>
    </row>
    <row r="3056" spans="2:6" ht="15.75" hidden="1" customHeight="1" x14ac:dyDescent="0.25">
      <c r="B3056" s="13" t="s">
        <v>556</v>
      </c>
      <c r="C3056" s="13" t="s">
        <v>17948</v>
      </c>
      <c r="D3056" s="12" t="s">
        <v>17949</v>
      </c>
      <c r="E3056" s="13" t="s">
        <v>580</v>
      </c>
      <c r="F3056" s="681">
        <v>3270.79</v>
      </c>
    </row>
    <row r="3057" spans="2:6" ht="15.75" hidden="1" customHeight="1" x14ac:dyDescent="0.25">
      <c r="B3057" s="13" t="s">
        <v>556</v>
      </c>
      <c r="C3057" s="13" t="s">
        <v>17950</v>
      </c>
      <c r="D3057" s="12" t="s">
        <v>17951</v>
      </c>
      <c r="E3057" s="13" t="s">
        <v>580</v>
      </c>
      <c r="F3057" s="681">
        <v>741.54</v>
      </c>
    </row>
    <row r="3058" spans="2:6" ht="15.75" hidden="1" customHeight="1" x14ac:dyDescent="0.25">
      <c r="B3058" s="13" t="s">
        <v>556</v>
      </c>
      <c r="C3058" s="13" t="s">
        <v>17952</v>
      </c>
      <c r="D3058" s="12" t="s">
        <v>17953</v>
      </c>
      <c r="E3058" s="13" t="s">
        <v>580</v>
      </c>
      <c r="F3058" s="681">
        <v>2317.4699999999998</v>
      </c>
    </row>
    <row r="3059" spans="2:6" ht="15.75" hidden="1" customHeight="1" x14ac:dyDescent="0.25">
      <c r="B3059" s="13" t="s">
        <v>556</v>
      </c>
      <c r="C3059" s="13" t="s">
        <v>17954</v>
      </c>
      <c r="D3059" s="12" t="s">
        <v>10953</v>
      </c>
      <c r="E3059" s="13" t="s">
        <v>578</v>
      </c>
      <c r="F3059" s="681">
        <v>387.01</v>
      </c>
    </row>
    <row r="3060" spans="2:6" ht="15.75" hidden="1" customHeight="1" x14ac:dyDescent="0.25">
      <c r="B3060" s="13" t="s">
        <v>556</v>
      </c>
      <c r="C3060" s="13" t="s">
        <v>17955</v>
      </c>
      <c r="D3060" s="12" t="s">
        <v>10606</v>
      </c>
      <c r="E3060" s="13" t="s">
        <v>578</v>
      </c>
      <c r="F3060" s="681">
        <v>6.9</v>
      </c>
    </row>
    <row r="3061" spans="2:6" ht="15.75" hidden="1" customHeight="1" x14ac:dyDescent="0.25">
      <c r="B3061" s="13" t="s">
        <v>556</v>
      </c>
      <c r="C3061" s="13" t="s">
        <v>17956</v>
      </c>
      <c r="D3061" s="12" t="s">
        <v>10605</v>
      </c>
      <c r="E3061" s="13" t="s">
        <v>578</v>
      </c>
      <c r="F3061" s="681">
        <v>16.309999999999999</v>
      </c>
    </row>
    <row r="3062" spans="2:6" ht="15.75" hidden="1" customHeight="1" x14ac:dyDescent="0.25">
      <c r="B3062" s="13" t="s">
        <v>556</v>
      </c>
      <c r="C3062" s="13" t="s">
        <v>17957</v>
      </c>
      <c r="D3062" s="12" t="s">
        <v>8506</v>
      </c>
      <c r="E3062" s="13" t="s">
        <v>580</v>
      </c>
      <c r="F3062" s="681">
        <v>5.15</v>
      </c>
    </row>
    <row r="3063" spans="2:6" ht="15.75" hidden="1" customHeight="1" x14ac:dyDescent="0.25">
      <c r="B3063" s="13" t="s">
        <v>556</v>
      </c>
      <c r="C3063" s="13" t="s">
        <v>17958</v>
      </c>
      <c r="D3063" s="12" t="s">
        <v>10608</v>
      </c>
      <c r="E3063" s="13" t="s">
        <v>578</v>
      </c>
      <c r="F3063" s="681">
        <v>27.82</v>
      </c>
    </row>
    <row r="3064" spans="2:6" ht="15.75" hidden="1" customHeight="1" x14ac:dyDescent="0.25">
      <c r="B3064" s="13" t="s">
        <v>556</v>
      </c>
      <c r="C3064" s="13" t="s">
        <v>17959</v>
      </c>
      <c r="D3064" s="12" t="s">
        <v>10049</v>
      </c>
      <c r="E3064" s="13" t="s">
        <v>580</v>
      </c>
      <c r="F3064" s="681">
        <v>102.68</v>
      </c>
    </row>
    <row r="3065" spans="2:6" ht="15.75" hidden="1" customHeight="1" x14ac:dyDescent="0.25">
      <c r="B3065" s="13" t="s">
        <v>556</v>
      </c>
      <c r="C3065" s="13" t="s">
        <v>17960</v>
      </c>
      <c r="D3065" s="12" t="s">
        <v>11621</v>
      </c>
      <c r="E3065" s="13" t="s">
        <v>580</v>
      </c>
      <c r="F3065" s="681">
        <v>1824.5</v>
      </c>
    </row>
    <row r="3066" spans="2:6" ht="15.75" hidden="1" customHeight="1" x14ac:dyDescent="0.25">
      <c r="B3066" s="13" t="s">
        <v>556</v>
      </c>
      <c r="C3066" s="13" t="s">
        <v>17961</v>
      </c>
      <c r="D3066" s="12" t="s">
        <v>11717</v>
      </c>
      <c r="E3066" s="13" t="s">
        <v>585</v>
      </c>
      <c r="F3066" s="681">
        <v>4.43</v>
      </c>
    </row>
    <row r="3067" spans="2:6" ht="15.75" hidden="1" customHeight="1" x14ac:dyDescent="0.25">
      <c r="B3067" s="13" t="s">
        <v>556</v>
      </c>
      <c r="C3067" s="13" t="s">
        <v>17962</v>
      </c>
      <c r="D3067" s="12" t="s">
        <v>11718</v>
      </c>
      <c r="E3067" s="13" t="s">
        <v>585</v>
      </c>
      <c r="F3067" s="681">
        <v>4.29</v>
      </c>
    </row>
    <row r="3068" spans="2:6" ht="15.75" hidden="1" customHeight="1" x14ac:dyDescent="0.25">
      <c r="B3068" s="13" t="s">
        <v>556</v>
      </c>
      <c r="C3068" s="13" t="s">
        <v>17963</v>
      </c>
      <c r="D3068" s="12" t="s">
        <v>11720</v>
      </c>
      <c r="E3068" s="13" t="s">
        <v>585</v>
      </c>
      <c r="F3068" s="681">
        <v>4.1900000000000004</v>
      </c>
    </row>
    <row r="3069" spans="2:6" ht="15.75" hidden="1" customHeight="1" x14ac:dyDescent="0.25">
      <c r="B3069" s="13" t="s">
        <v>556</v>
      </c>
      <c r="C3069" s="13" t="s">
        <v>17964</v>
      </c>
      <c r="D3069" s="12" t="s">
        <v>11719</v>
      </c>
      <c r="E3069" s="13" t="s">
        <v>585</v>
      </c>
      <c r="F3069" s="681">
        <v>3.02</v>
      </c>
    </row>
    <row r="3070" spans="2:6" ht="15.75" hidden="1" customHeight="1" x14ac:dyDescent="0.25">
      <c r="B3070" s="13" t="s">
        <v>556</v>
      </c>
      <c r="C3070" s="13" t="s">
        <v>17965</v>
      </c>
      <c r="D3070" s="12" t="s">
        <v>11721</v>
      </c>
      <c r="E3070" s="13" t="s">
        <v>585</v>
      </c>
      <c r="F3070" s="681">
        <v>4.7</v>
      </c>
    </row>
    <row r="3071" spans="2:6" ht="15.75" hidden="1" customHeight="1" x14ac:dyDescent="0.25">
      <c r="B3071" s="13" t="s">
        <v>556</v>
      </c>
      <c r="C3071" s="13" t="s">
        <v>17966</v>
      </c>
      <c r="D3071" s="12" t="s">
        <v>11723</v>
      </c>
      <c r="E3071" s="13" t="s">
        <v>585</v>
      </c>
      <c r="F3071" s="681">
        <v>1.65</v>
      </c>
    </row>
    <row r="3072" spans="2:6" ht="15.75" hidden="1" customHeight="1" x14ac:dyDescent="0.25">
      <c r="B3072" s="13" t="s">
        <v>556</v>
      </c>
      <c r="C3072" s="13" t="s">
        <v>17967</v>
      </c>
      <c r="D3072" s="12" t="s">
        <v>11724</v>
      </c>
      <c r="E3072" s="13" t="s">
        <v>585</v>
      </c>
      <c r="F3072" s="681">
        <v>1.3</v>
      </c>
    </row>
    <row r="3073" spans="2:6" ht="15.75" hidden="1" customHeight="1" x14ac:dyDescent="0.25">
      <c r="B3073" s="13" t="s">
        <v>556</v>
      </c>
      <c r="C3073" s="13" t="s">
        <v>17968</v>
      </c>
      <c r="D3073" s="12" t="s">
        <v>11722</v>
      </c>
      <c r="E3073" s="13" t="s">
        <v>585</v>
      </c>
      <c r="F3073" s="681">
        <v>2.99</v>
      </c>
    </row>
    <row r="3074" spans="2:6" ht="15.75" hidden="1" customHeight="1" x14ac:dyDescent="0.25">
      <c r="B3074" s="13" t="s">
        <v>556</v>
      </c>
      <c r="C3074" s="13" t="s">
        <v>17969</v>
      </c>
      <c r="D3074" s="12" t="s">
        <v>11725</v>
      </c>
      <c r="E3074" s="13" t="s">
        <v>585</v>
      </c>
      <c r="F3074" s="681">
        <v>2.13</v>
      </c>
    </row>
    <row r="3075" spans="2:6" ht="15.75" hidden="1" customHeight="1" x14ac:dyDescent="0.25">
      <c r="B3075" s="13" t="s">
        <v>556</v>
      </c>
      <c r="C3075" s="13" t="s">
        <v>17970</v>
      </c>
      <c r="D3075" s="12" t="s">
        <v>11726</v>
      </c>
      <c r="E3075" s="13" t="s">
        <v>585</v>
      </c>
      <c r="F3075" s="681">
        <v>1.61</v>
      </c>
    </row>
    <row r="3076" spans="2:6" ht="15.75" hidden="1" customHeight="1" x14ac:dyDescent="0.25">
      <c r="B3076" s="13" t="s">
        <v>556</v>
      </c>
      <c r="C3076" s="13" t="s">
        <v>17971</v>
      </c>
      <c r="D3076" s="12" t="s">
        <v>11727</v>
      </c>
      <c r="E3076" s="13" t="s">
        <v>585</v>
      </c>
      <c r="F3076" s="681">
        <v>2.75</v>
      </c>
    </row>
    <row r="3077" spans="2:6" ht="15.75" hidden="1" customHeight="1" x14ac:dyDescent="0.25">
      <c r="B3077" s="13" t="s">
        <v>556</v>
      </c>
      <c r="C3077" s="13" t="s">
        <v>17972</v>
      </c>
      <c r="D3077" s="12" t="s">
        <v>8593</v>
      </c>
      <c r="E3077" s="13" t="s">
        <v>517</v>
      </c>
      <c r="F3077" s="681">
        <v>149.91</v>
      </c>
    </row>
    <row r="3078" spans="2:6" ht="15.75" hidden="1" customHeight="1" x14ac:dyDescent="0.25">
      <c r="B3078" s="13" t="s">
        <v>556</v>
      </c>
      <c r="C3078" s="13" t="s">
        <v>17973</v>
      </c>
      <c r="D3078" s="12" t="s">
        <v>11689</v>
      </c>
      <c r="E3078" s="13" t="s">
        <v>585</v>
      </c>
      <c r="F3078" s="681">
        <v>89.82</v>
      </c>
    </row>
    <row r="3079" spans="2:6" ht="15.75" hidden="1" customHeight="1" x14ac:dyDescent="0.25">
      <c r="B3079" s="13" t="s">
        <v>556</v>
      </c>
      <c r="C3079" s="13" t="s">
        <v>17974</v>
      </c>
      <c r="D3079" s="12" t="s">
        <v>11684</v>
      </c>
      <c r="E3079" s="13" t="s">
        <v>585</v>
      </c>
      <c r="F3079" s="681">
        <v>65.760000000000005</v>
      </c>
    </row>
    <row r="3080" spans="2:6" ht="15.75" hidden="1" customHeight="1" x14ac:dyDescent="0.25">
      <c r="B3080" s="13" t="s">
        <v>556</v>
      </c>
      <c r="C3080" s="13" t="s">
        <v>17975</v>
      </c>
      <c r="D3080" s="12" t="s">
        <v>11683</v>
      </c>
      <c r="E3080" s="13" t="s">
        <v>585</v>
      </c>
      <c r="F3080" s="681">
        <v>55.44</v>
      </c>
    </row>
    <row r="3081" spans="2:6" ht="15.75" hidden="1" customHeight="1" x14ac:dyDescent="0.25">
      <c r="B3081" s="13" t="s">
        <v>556</v>
      </c>
      <c r="C3081" s="13" t="s">
        <v>17976</v>
      </c>
      <c r="D3081" s="12" t="s">
        <v>11685</v>
      </c>
      <c r="E3081" s="13" t="s">
        <v>585</v>
      </c>
      <c r="F3081" s="681">
        <v>75.05</v>
      </c>
    </row>
    <row r="3082" spans="2:6" ht="15.75" hidden="1" customHeight="1" x14ac:dyDescent="0.25">
      <c r="B3082" s="13" t="s">
        <v>556</v>
      </c>
      <c r="C3082" s="13" t="s">
        <v>17977</v>
      </c>
      <c r="D3082" s="12" t="s">
        <v>11687</v>
      </c>
      <c r="E3082" s="13" t="s">
        <v>585</v>
      </c>
      <c r="F3082" s="681">
        <v>10.09</v>
      </c>
    </row>
    <row r="3083" spans="2:6" ht="15.75" hidden="1" customHeight="1" x14ac:dyDescent="0.25">
      <c r="B3083" s="13" t="s">
        <v>556</v>
      </c>
      <c r="C3083" s="13" t="s">
        <v>17978</v>
      </c>
      <c r="D3083" s="12" t="s">
        <v>11688</v>
      </c>
      <c r="E3083" s="13" t="s">
        <v>585</v>
      </c>
      <c r="F3083" s="681">
        <v>3.65</v>
      </c>
    </row>
    <row r="3084" spans="2:6" ht="15.75" hidden="1" customHeight="1" x14ac:dyDescent="0.25">
      <c r="B3084" s="13" t="s">
        <v>556</v>
      </c>
      <c r="C3084" s="13" t="s">
        <v>17979</v>
      </c>
      <c r="D3084" s="12" t="s">
        <v>11686</v>
      </c>
      <c r="E3084" s="13" t="s">
        <v>585</v>
      </c>
      <c r="F3084" s="681">
        <v>51.9</v>
      </c>
    </row>
    <row r="3085" spans="2:6" ht="15.75" hidden="1" customHeight="1" x14ac:dyDescent="0.25">
      <c r="B3085" s="13" t="s">
        <v>556</v>
      </c>
      <c r="C3085" s="13" t="s">
        <v>17980</v>
      </c>
      <c r="D3085" s="12" t="s">
        <v>11691</v>
      </c>
      <c r="E3085" s="13" t="s">
        <v>585</v>
      </c>
      <c r="F3085" s="681">
        <v>49.84</v>
      </c>
    </row>
    <row r="3086" spans="2:6" ht="15.75" hidden="1" customHeight="1" x14ac:dyDescent="0.25">
      <c r="B3086" s="13" t="s">
        <v>556</v>
      </c>
      <c r="C3086" s="13" t="s">
        <v>17981</v>
      </c>
      <c r="D3086" s="12" t="s">
        <v>11692</v>
      </c>
      <c r="E3086" s="13" t="s">
        <v>585</v>
      </c>
      <c r="F3086" s="681">
        <v>9.18</v>
      </c>
    </row>
    <row r="3087" spans="2:6" ht="15.75" hidden="1" customHeight="1" x14ac:dyDescent="0.25">
      <c r="B3087" s="13" t="s">
        <v>556</v>
      </c>
      <c r="C3087" s="13" t="s">
        <v>17982</v>
      </c>
      <c r="D3087" s="12" t="s">
        <v>11694</v>
      </c>
      <c r="E3087" s="13" t="s">
        <v>585</v>
      </c>
      <c r="F3087" s="681">
        <v>40.06</v>
      </c>
    </row>
    <row r="3088" spans="2:6" ht="15.75" hidden="1" customHeight="1" x14ac:dyDescent="0.25">
      <c r="B3088" s="13" t="s">
        <v>556</v>
      </c>
      <c r="C3088" s="13" t="s">
        <v>17983</v>
      </c>
      <c r="D3088" s="12" t="s">
        <v>17984</v>
      </c>
      <c r="E3088" s="13" t="s">
        <v>578</v>
      </c>
      <c r="F3088" s="681">
        <v>35.61</v>
      </c>
    </row>
    <row r="3089" spans="2:6" ht="15.75" hidden="1" customHeight="1" x14ac:dyDescent="0.25">
      <c r="B3089" s="13" t="s">
        <v>556</v>
      </c>
      <c r="C3089" s="13" t="s">
        <v>17985</v>
      </c>
      <c r="D3089" s="12" t="s">
        <v>17986</v>
      </c>
      <c r="E3089" s="13" t="s">
        <v>578</v>
      </c>
      <c r="F3089" s="681">
        <v>75.150000000000006</v>
      </c>
    </row>
    <row r="3090" spans="2:6" ht="15.75" hidden="1" customHeight="1" x14ac:dyDescent="0.25">
      <c r="B3090" s="13" t="s">
        <v>556</v>
      </c>
      <c r="C3090" s="13" t="s">
        <v>17987</v>
      </c>
      <c r="D3090" s="12" t="s">
        <v>9377</v>
      </c>
      <c r="E3090" s="13" t="s">
        <v>580</v>
      </c>
      <c r="F3090" s="681">
        <v>90.66</v>
      </c>
    </row>
    <row r="3091" spans="2:6" ht="15.75" hidden="1" customHeight="1" x14ac:dyDescent="0.25">
      <c r="B3091" s="13" t="s">
        <v>556</v>
      </c>
      <c r="C3091" s="13" t="s">
        <v>13114</v>
      </c>
      <c r="D3091" s="12" t="s">
        <v>17988</v>
      </c>
      <c r="E3091" s="13" t="s">
        <v>585</v>
      </c>
      <c r="F3091" s="681">
        <v>50.53</v>
      </c>
    </row>
    <row r="3092" spans="2:6" ht="15.75" hidden="1" customHeight="1" x14ac:dyDescent="0.25">
      <c r="B3092" s="13" t="s">
        <v>556</v>
      </c>
      <c r="C3092" s="13" t="s">
        <v>13116</v>
      </c>
      <c r="D3092" s="12" t="s">
        <v>17989</v>
      </c>
      <c r="E3092" s="13" t="s">
        <v>585</v>
      </c>
      <c r="F3092" s="681">
        <v>81.77</v>
      </c>
    </row>
    <row r="3093" spans="2:6" ht="15.75" hidden="1" customHeight="1" x14ac:dyDescent="0.25">
      <c r="B3093" s="13" t="s">
        <v>556</v>
      </c>
      <c r="C3093" s="13" t="s">
        <v>13118</v>
      </c>
      <c r="D3093" s="12" t="s">
        <v>17990</v>
      </c>
      <c r="E3093" s="13" t="s">
        <v>585</v>
      </c>
      <c r="F3093" s="681">
        <v>104.02</v>
      </c>
    </row>
    <row r="3094" spans="2:6" ht="15.75" hidden="1" customHeight="1" x14ac:dyDescent="0.25">
      <c r="B3094" s="13" t="s">
        <v>556</v>
      </c>
      <c r="C3094" s="13" t="s">
        <v>17991</v>
      </c>
      <c r="D3094" s="12" t="s">
        <v>17992</v>
      </c>
      <c r="E3094" s="13" t="s">
        <v>585</v>
      </c>
      <c r="F3094" s="681">
        <v>157.11000000000001</v>
      </c>
    </row>
    <row r="3095" spans="2:6" ht="15.75" hidden="1" customHeight="1" x14ac:dyDescent="0.25">
      <c r="B3095" s="13" t="s">
        <v>556</v>
      </c>
      <c r="C3095" s="13" t="s">
        <v>17993</v>
      </c>
      <c r="D3095" s="12" t="s">
        <v>17994</v>
      </c>
      <c r="E3095" s="13" t="s">
        <v>585</v>
      </c>
      <c r="F3095" s="681">
        <v>189.02</v>
      </c>
    </row>
    <row r="3096" spans="2:6" ht="15.75" hidden="1" customHeight="1" x14ac:dyDescent="0.25">
      <c r="B3096" s="13" t="s">
        <v>556</v>
      </c>
      <c r="C3096" s="13" t="s">
        <v>17995</v>
      </c>
      <c r="D3096" s="12" t="s">
        <v>17996</v>
      </c>
      <c r="E3096" s="13" t="s">
        <v>585</v>
      </c>
      <c r="F3096" s="681">
        <v>268.95</v>
      </c>
    </row>
    <row r="3097" spans="2:6" ht="15.75" hidden="1" customHeight="1" x14ac:dyDescent="0.25">
      <c r="B3097" s="13" t="s">
        <v>556</v>
      </c>
      <c r="C3097" s="13" t="s">
        <v>17997</v>
      </c>
      <c r="D3097" s="12" t="s">
        <v>17998</v>
      </c>
      <c r="E3097" s="13" t="s">
        <v>585</v>
      </c>
      <c r="F3097" s="681">
        <v>347.94</v>
      </c>
    </row>
    <row r="3098" spans="2:6" ht="15.75" hidden="1" customHeight="1" x14ac:dyDescent="0.25">
      <c r="B3098" s="13" t="s">
        <v>556</v>
      </c>
      <c r="C3098" s="13" t="s">
        <v>17999</v>
      </c>
      <c r="D3098" s="12" t="s">
        <v>18000</v>
      </c>
      <c r="E3098" s="13" t="s">
        <v>585</v>
      </c>
      <c r="F3098" s="681">
        <v>512.6</v>
      </c>
    </row>
    <row r="3099" spans="2:6" ht="15.75" hidden="1" customHeight="1" x14ac:dyDescent="0.25">
      <c r="B3099" s="13" t="s">
        <v>556</v>
      </c>
      <c r="C3099" s="13" t="s">
        <v>18001</v>
      </c>
      <c r="D3099" s="12" t="s">
        <v>18002</v>
      </c>
      <c r="E3099" s="13" t="s">
        <v>585</v>
      </c>
      <c r="F3099" s="681">
        <v>777.22</v>
      </c>
    </row>
    <row r="3100" spans="2:6" ht="15.75" hidden="1" customHeight="1" x14ac:dyDescent="0.25">
      <c r="B3100" s="13" t="s">
        <v>556</v>
      </c>
      <c r="C3100" s="13" t="s">
        <v>18003</v>
      </c>
      <c r="D3100" s="12" t="s">
        <v>18004</v>
      </c>
      <c r="E3100" s="13" t="s">
        <v>580</v>
      </c>
      <c r="F3100" s="681">
        <v>325.99</v>
      </c>
    </row>
    <row r="3101" spans="2:6" ht="15.75" hidden="1" customHeight="1" x14ac:dyDescent="0.25">
      <c r="B3101" s="13" t="s">
        <v>556</v>
      </c>
      <c r="C3101" s="13" t="s">
        <v>18005</v>
      </c>
      <c r="D3101" s="12" t="s">
        <v>18006</v>
      </c>
      <c r="E3101" s="13" t="s">
        <v>580</v>
      </c>
      <c r="F3101" s="681">
        <v>376.66</v>
      </c>
    </row>
    <row r="3102" spans="2:6" ht="15.75" hidden="1" customHeight="1" x14ac:dyDescent="0.25">
      <c r="B3102" s="13" t="s">
        <v>556</v>
      </c>
      <c r="C3102" s="13" t="s">
        <v>18007</v>
      </c>
      <c r="D3102" s="12" t="s">
        <v>18008</v>
      </c>
      <c r="E3102" s="13" t="s">
        <v>580</v>
      </c>
      <c r="F3102" s="681">
        <v>548.92999999999995</v>
      </c>
    </row>
    <row r="3103" spans="2:6" ht="15.75" hidden="1" customHeight="1" x14ac:dyDescent="0.25">
      <c r="B3103" s="13" t="s">
        <v>556</v>
      </c>
      <c r="C3103" s="13" t="s">
        <v>18009</v>
      </c>
      <c r="D3103" s="12" t="s">
        <v>18010</v>
      </c>
      <c r="E3103" s="13" t="s">
        <v>580</v>
      </c>
      <c r="F3103" s="681">
        <v>677.94</v>
      </c>
    </row>
    <row r="3104" spans="2:6" ht="15.75" hidden="1" customHeight="1" x14ac:dyDescent="0.25">
      <c r="B3104" s="13" t="s">
        <v>556</v>
      </c>
      <c r="C3104" s="13" t="s">
        <v>18011</v>
      </c>
      <c r="D3104" s="12" t="s">
        <v>18012</v>
      </c>
      <c r="E3104" s="13" t="s">
        <v>580</v>
      </c>
      <c r="F3104" s="681">
        <v>907.91</v>
      </c>
    </row>
    <row r="3105" spans="2:6" ht="15.75" hidden="1" customHeight="1" x14ac:dyDescent="0.25">
      <c r="B3105" s="13" t="s">
        <v>556</v>
      </c>
      <c r="C3105" s="13" t="s">
        <v>18013</v>
      </c>
      <c r="D3105" s="12" t="s">
        <v>18014</v>
      </c>
      <c r="E3105" s="13" t="s">
        <v>580</v>
      </c>
      <c r="F3105" s="681">
        <v>814.9</v>
      </c>
    </row>
    <row r="3106" spans="2:6" ht="15.75" hidden="1" customHeight="1" x14ac:dyDescent="0.25">
      <c r="B3106" s="13" t="s">
        <v>556</v>
      </c>
      <c r="C3106" s="13" t="s">
        <v>18015</v>
      </c>
      <c r="D3106" s="12" t="s">
        <v>18016</v>
      </c>
      <c r="E3106" s="13" t="s">
        <v>580</v>
      </c>
      <c r="F3106" s="681">
        <v>533.1</v>
      </c>
    </row>
    <row r="3107" spans="2:6" ht="15.75" hidden="1" customHeight="1" x14ac:dyDescent="0.25">
      <c r="B3107" s="13" t="s">
        <v>556</v>
      </c>
      <c r="C3107" s="13" t="s">
        <v>18017</v>
      </c>
      <c r="D3107" s="12" t="s">
        <v>18018</v>
      </c>
      <c r="E3107" s="13" t="s">
        <v>580</v>
      </c>
      <c r="F3107" s="681">
        <v>910.91</v>
      </c>
    </row>
    <row r="3108" spans="2:6" ht="15.75" hidden="1" customHeight="1" x14ac:dyDescent="0.25">
      <c r="B3108" s="13" t="s">
        <v>556</v>
      </c>
      <c r="C3108" s="13" t="s">
        <v>12998</v>
      </c>
      <c r="D3108" s="12" t="s">
        <v>18019</v>
      </c>
      <c r="E3108" s="13" t="s">
        <v>580</v>
      </c>
      <c r="F3108" s="681">
        <v>28.16</v>
      </c>
    </row>
    <row r="3109" spans="2:6" ht="15.75" hidden="1" customHeight="1" x14ac:dyDescent="0.25">
      <c r="B3109" s="13" t="s">
        <v>556</v>
      </c>
      <c r="C3109" s="13" t="s">
        <v>13531</v>
      </c>
      <c r="D3109" s="12" t="s">
        <v>18020</v>
      </c>
      <c r="E3109" s="13" t="s">
        <v>580</v>
      </c>
      <c r="F3109" s="681">
        <v>55.36</v>
      </c>
    </row>
    <row r="3110" spans="2:6" ht="15.75" hidden="1" customHeight="1" x14ac:dyDescent="0.25">
      <c r="B3110" s="13" t="s">
        <v>556</v>
      </c>
      <c r="C3110" s="13" t="s">
        <v>18021</v>
      </c>
      <c r="D3110" s="12" t="s">
        <v>18022</v>
      </c>
      <c r="E3110" s="13" t="s">
        <v>580</v>
      </c>
      <c r="F3110" s="681">
        <v>88.98</v>
      </c>
    </row>
    <row r="3111" spans="2:6" ht="15.75" hidden="1" customHeight="1" x14ac:dyDescent="0.25">
      <c r="B3111" s="13" t="s">
        <v>556</v>
      </c>
      <c r="C3111" s="13" t="s">
        <v>18023</v>
      </c>
      <c r="D3111" s="12" t="s">
        <v>18024</v>
      </c>
      <c r="E3111" s="13" t="s">
        <v>580</v>
      </c>
      <c r="F3111" s="681">
        <v>133.09</v>
      </c>
    </row>
    <row r="3112" spans="2:6" ht="15.75" hidden="1" customHeight="1" x14ac:dyDescent="0.25">
      <c r="B3112" s="13" t="s">
        <v>556</v>
      </c>
      <c r="C3112" s="13" t="s">
        <v>18025</v>
      </c>
      <c r="D3112" s="12" t="s">
        <v>18026</v>
      </c>
      <c r="E3112" s="13" t="s">
        <v>580</v>
      </c>
      <c r="F3112" s="681">
        <v>177.63</v>
      </c>
    </row>
    <row r="3113" spans="2:6" ht="15.75" hidden="1" customHeight="1" x14ac:dyDescent="0.25">
      <c r="B3113" s="13" t="s">
        <v>556</v>
      </c>
      <c r="C3113" s="13" t="s">
        <v>18027</v>
      </c>
      <c r="D3113" s="12" t="s">
        <v>18028</v>
      </c>
      <c r="E3113" s="13" t="s">
        <v>580</v>
      </c>
      <c r="F3113" s="681">
        <v>214.67</v>
      </c>
    </row>
    <row r="3114" spans="2:6" ht="15.75" hidden="1" customHeight="1" x14ac:dyDescent="0.25">
      <c r="B3114" s="13" t="s">
        <v>556</v>
      </c>
      <c r="C3114" s="13" t="s">
        <v>18029</v>
      </c>
      <c r="D3114" s="12" t="s">
        <v>18030</v>
      </c>
      <c r="E3114" s="13" t="s">
        <v>580</v>
      </c>
      <c r="F3114" s="681">
        <v>272.08</v>
      </c>
    </row>
    <row r="3115" spans="2:6" ht="15.75" hidden="1" customHeight="1" x14ac:dyDescent="0.25">
      <c r="B3115" s="13" t="s">
        <v>556</v>
      </c>
      <c r="C3115" s="13" t="s">
        <v>18031</v>
      </c>
      <c r="D3115" s="12" t="s">
        <v>11123</v>
      </c>
      <c r="E3115" s="13" t="s">
        <v>580</v>
      </c>
      <c r="F3115" s="681">
        <v>34.909999999999997</v>
      </c>
    </row>
    <row r="3116" spans="2:6" ht="15.75" hidden="1" customHeight="1" x14ac:dyDescent="0.25">
      <c r="B3116" s="13" t="s">
        <v>556</v>
      </c>
      <c r="C3116" s="13" t="s">
        <v>18032</v>
      </c>
      <c r="D3116" s="12" t="s">
        <v>11124</v>
      </c>
      <c r="E3116" s="13" t="s">
        <v>580</v>
      </c>
      <c r="F3116" s="681">
        <v>55.16</v>
      </c>
    </row>
    <row r="3117" spans="2:6" ht="15.75" hidden="1" customHeight="1" x14ac:dyDescent="0.25">
      <c r="B3117" s="13" t="s">
        <v>556</v>
      </c>
      <c r="C3117" s="13" t="s">
        <v>18033</v>
      </c>
      <c r="D3117" s="12" t="s">
        <v>11120</v>
      </c>
      <c r="E3117" s="13" t="s">
        <v>580</v>
      </c>
      <c r="F3117" s="681">
        <v>82.26</v>
      </c>
    </row>
    <row r="3118" spans="2:6" ht="15.75" hidden="1" customHeight="1" x14ac:dyDescent="0.25">
      <c r="B3118" s="13" t="s">
        <v>556</v>
      </c>
      <c r="C3118" s="13" t="s">
        <v>18034</v>
      </c>
      <c r="D3118" s="12" t="s">
        <v>11121</v>
      </c>
      <c r="E3118" s="13" t="s">
        <v>580</v>
      </c>
      <c r="F3118" s="681">
        <v>129.13</v>
      </c>
    </row>
    <row r="3119" spans="2:6" ht="15.75" hidden="1" customHeight="1" x14ac:dyDescent="0.25">
      <c r="B3119" s="13" t="s">
        <v>556</v>
      </c>
      <c r="C3119" s="13" t="s">
        <v>18035</v>
      </c>
      <c r="D3119" s="12" t="s">
        <v>11122</v>
      </c>
      <c r="E3119" s="13" t="s">
        <v>580</v>
      </c>
      <c r="F3119" s="681">
        <v>221.5</v>
      </c>
    </row>
    <row r="3120" spans="2:6" ht="15.75" hidden="1" customHeight="1" x14ac:dyDescent="0.25">
      <c r="B3120" s="13" t="s">
        <v>556</v>
      </c>
      <c r="C3120" s="13" t="s">
        <v>18036</v>
      </c>
      <c r="D3120" s="12" t="s">
        <v>11128</v>
      </c>
      <c r="E3120" s="13" t="s">
        <v>580</v>
      </c>
      <c r="F3120" s="681">
        <v>40.700000000000003</v>
      </c>
    </row>
    <row r="3121" spans="2:6" ht="15.75" hidden="1" customHeight="1" x14ac:dyDescent="0.25">
      <c r="B3121" s="13" t="s">
        <v>556</v>
      </c>
      <c r="C3121" s="13" t="s">
        <v>18037</v>
      </c>
      <c r="D3121" s="12" t="s">
        <v>8511</v>
      </c>
      <c r="E3121" s="13" t="s">
        <v>580</v>
      </c>
      <c r="F3121" s="681">
        <v>5.73</v>
      </c>
    </row>
    <row r="3122" spans="2:6" ht="15.75" hidden="1" customHeight="1" x14ac:dyDescent="0.25">
      <c r="B3122" s="13" t="s">
        <v>556</v>
      </c>
      <c r="C3122" s="13" t="s">
        <v>18038</v>
      </c>
      <c r="D3122" s="12" t="s">
        <v>11129</v>
      </c>
      <c r="E3122" s="13" t="s">
        <v>580</v>
      </c>
      <c r="F3122" s="681">
        <v>69.33</v>
      </c>
    </row>
    <row r="3123" spans="2:6" ht="15.75" hidden="1" customHeight="1" x14ac:dyDescent="0.25">
      <c r="B3123" s="13" t="s">
        <v>556</v>
      </c>
      <c r="C3123" s="13" t="s">
        <v>18039</v>
      </c>
      <c r="D3123" s="12" t="s">
        <v>11125</v>
      </c>
      <c r="E3123" s="13" t="s">
        <v>580</v>
      </c>
      <c r="F3123" s="681">
        <v>116.48</v>
      </c>
    </row>
    <row r="3124" spans="2:6" ht="15.75" hidden="1" customHeight="1" x14ac:dyDescent="0.25">
      <c r="B3124" s="13" t="s">
        <v>556</v>
      </c>
      <c r="C3124" s="13" t="s">
        <v>18040</v>
      </c>
      <c r="D3124" s="12" t="s">
        <v>11126</v>
      </c>
      <c r="E3124" s="13" t="s">
        <v>580</v>
      </c>
      <c r="F3124" s="681">
        <v>170.74</v>
      </c>
    </row>
    <row r="3125" spans="2:6" ht="15.75" hidden="1" customHeight="1" x14ac:dyDescent="0.25">
      <c r="B3125" s="13" t="s">
        <v>556</v>
      </c>
      <c r="C3125" s="13" t="s">
        <v>18041</v>
      </c>
      <c r="D3125" s="12" t="s">
        <v>11127</v>
      </c>
      <c r="E3125" s="13" t="s">
        <v>580</v>
      </c>
      <c r="F3125" s="681">
        <v>238.19</v>
      </c>
    </row>
    <row r="3126" spans="2:6" ht="15.75" hidden="1" customHeight="1" x14ac:dyDescent="0.25">
      <c r="B3126" s="13" t="s">
        <v>556</v>
      </c>
      <c r="C3126" s="13" t="s">
        <v>18042</v>
      </c>
      <c r="D3126" s="12" t="s">
        <v>11119</v>
      </c>
      <c r="E3126" s="13" t="s">
        <v>580</v>
      </c>
      <c r="F3126" s="681">
        <v>79.42</v>
      </c>
    </row>
    <row r="3127" spans="2:6" ht="15.75" hidden="1" customHeight="1" x14ac:dyDescent="0.25">
      <c r="B3127" s="13" t="s">
        <v>556</v>
      </c>
      <c r="C3127" s="13" t="s">
        <v>18043</v>
      </c>
      <c r="D3127" s="12" t="s">
        <v>11115</v>
      </c>
      <c r="E3127" s="13" t="s">
        <v>580</v>
      </c>
      <c r="F3127" s="681">
        <v>135.25</v>
      </c>
    </row>
    <row r="3128" spans="2:6" ht="15.75" hidden="1" customHeight="1" x14ac:dyDescent="0.25">
      <c r="B3128" s="13" t="s">
        <v>556</v>
      </c>
      <c r="C3128" s="13" t="s">
        <v>18044</v>
      </c>
      <c r="D3128" s="12" t="s">
        <v>11116</v>
      </c>
      <c r="E3128" s="13" t="s">
        <v>580</v>
      </c>
      <c r="F3128" s="681">
        <v>250.59</v>
      </c>
    </row>
    <row r="3129" spans="2:6" ht="15.75" hidden="1" customHeight="1" x14ac:dyDescent="0.25">
      <c r="B3129" s="13" t="s">
        <v>556</v>
      </c>
      <c r="C3129" s="13" t="s">
        <v>18045</v>
      </c>
      <c r="D3129" s="12" t="s">
        <v>11117</v>
      </c>
      <c r="E3129" s="13" t="s">
        <v>580</v>
      </c>
      <c r="F3129" s="681">
        <v>543.08000000000004</v>
      </c>
    </row>
    <row r="3130" spans="2:6" ht="15.75" hidden="1" customHeight="1" x14ac:dyDescent="0.25">
      <c r="B3130" s="13" t="s">
        <v>556</v>
      </c>
      <c r="C3130" s="13" t="s">
        <v>18046</v>
      </c>
      <c r="D3130" s="12" t="s">
        <v>9262</v>
      </c>
      <c r="E3130" s="13" t="s">
        <v>580</v>
      </c>
      <c r="F3130" s="681">
        <v>74.31</v>
      </c>
    </row>
    <row r="3131" spans="2:6" ht="15.75" hidden="1" customHeight="1" x14ac:dyDescent="0.25">
      <c r="B3131" s="13" t="s">
        <v>556</v>
      </c>
      <c r="C3131" s="13" t="s">
        <v>18047</v>
      </c>
      <c r="D3131" s="12" t="s">
        <v>9263</v>
      </c>
      <c r="E3131" s="13" t="s">
        <v>580</v>
      </c>
      <c r="F3131" s="681">
        <v>176.26</v>
      </c>
    </row>
    <row r="3132" spans="2:6" ht="15.75" hidden="1" customHeight="1" x14ac:dyDescent="0.25">
      <c r="B3132" s="13" t="s">
        <v>556</v>
      </c>
      <c r="C3132" s="13" t="s">
        <v>18048</v>
      </c>
      <c r="D3132" s="12" t="s">
        <v>9248</v>
      </c>
      <c r="E3132" s="13" t="s">
        <v>580</v>
      </c>
      <c r="F3132" s="681">
        <v>32.4</v>
      </c>
    </row>
    <row r="3133" spans="2:6" ht="15.75" hidden="1" customHeight="1" x14ac:dyDescent="0.25">
      <c r="B3133" s="13" t="s">
        <v>556</v>
      </c>
      <c r="C3133" s="13" t="s">
        <v>18049</v>
      </c>
      <c r="D3133" s="12" t="s">
        <v>9249</v>
      </c>
      <c r="E3133" s="13" t="s">
        <v>580</v>
      </c>
      <c r="F3133" s="681">
        <v>39.630000000000003</v>
      </c>
    </row>
    <row r="3134" spans="2:6" ht="15.75" hidden="1" customHeight="1" x14ac:dyDescent="0.25">
      <c r="B3134" s="13" t="s">
        <v>556</v>
      </c>
      <c r="C3134" s="13" t="s">
        <v>18050</v>
      </c>
      <c r="D3134" s="12" t="s">
        <v>9250</v>
      </c>
      <c r="E3134" s="13" t="s">
        <v>580</v>
      </c>
      <c r="F3134" s="681">
        <v>65.17</v>
      </c>
    </row>
    <row r="3135" spans="2:6" ht="15.75" hidden="1" customHeight="1" x14ac:dyDescent="0.25">
      <c r="B3135" s="13" t="s">
        <v>14150</v>
      </c>
      <c r="C3135" s="13" t="s">
        <v>18051</v>
      </c>
      <c r="D3135" s="12" t="s">
        <v>18052</v>
      </c>
      <c r="E3135" s="13" t="s">
        <v>580</v>
      </c>
      <c r="F3135" s="681">
        <v>38940.199999999997</v>
      </c>
    </row>
    <row r="3136" spans="2:6" ht="15.75" hidden="1" customHeight="1" x14ac:dyDescent="0.25">
      <c r="B3136" s="13" t="s">
        <v>14150</v>
      </c>
      <c r="C3136" s="13" t="s">
        <v>18053</v>
      </c>
      <c r="D3136" s="12" t="s">
        <v>8729</v>
      </c>
      <c r="E3136" s="13" t="s">
        <v>580</v>
      </c>
      <c r="F3136" s="681">
        <v>6074.69</v>
      </c>
    </row>
    <row r="3137" spans="2:6" ht="15.75" hidden="1" customHeight="1" x14ac:dyDescent="0.25">
      <c r="B3137" s="13" t="s">
        <v>14150</v>
      </c>
      <c r="C3137" s="13" t="s">
        <v>18054</v>
      </c>
      <c r="D3137" s="12" t="s">
        <v>11095</v>
      </c>
      <c r="E3137" s="13" t="s">
        <v>580</v>
      </c>
      <c r="F3137" s="681">
        <v>635.30999999999995</v>
      </c>
    </row>
    <row r="3138" spans="2:6" ht="15.75" hidden="1" customHeight="1" x14ac:dyDescent="0.25">
      <c r="B3138" s="13" t="s">
        <v>556</v>
      </c>
      <c r="C3138" s="13" t="s">
        <v>18055</v>
      </c>
      <c r="D3138" s="12" t="s">
        <v>11219</v>
      </c>
      <c r="E3138" s="13" t="s">
        <v>585</v>
      </c>
      <c r="F3138" s="681">
        <v>39.25</v>
      </c>
    </row>
    <row r="3139" spans="2:6" ht="15.75" hidden="1" customHeight="1" x14ac:dyDescent="0.25">
      <c r="B3139" s="13" t="s">
        <v>556</v>
      </c>
      <c r="C3139" s="13" t="s">
        <v>18056</v>
      </c>
      <c r="D3139" s="12" t="s">
        <v>10167</v>
      </c>
      <c r="E3139" s="13" t="s">
        <v>8869</v>
      </c>
      <c r="F3139" s="681">
        <v>319.95</v>
      </c>
    </row>
    <row r="3140" spans="2:6" ht="15.75" hidden="1" customHeight="1" x14ac:dyDescent="0.25">
      <c r="B3140" s="13" t="s">
        <v>556</v>
      </c>
      <c r="C3140" s="13" t="s">
        <v>18057</v>
      </c>
      <c r="D3140" s="12" t="s">
        <v>10164</v>
      </c>
      <c r="E3140" s="13" t="s">
        <v>8869</v>
      </c>
      <c r="F3140" s="681">
        <v>319.27</v>
      </c>
    </row>
    <row r="3141" spans="2:6" ht="15.75" hidden="1" customHeight="1" x14ac:dyDescent="0.25">
      <c r="B3141" s="13" t="s">
        <v>14180</v>
      </c>
      <c r="C3141" s="13" t="s">
        <v>18058</v>
      </c>
      <c r="D3141" s="12" t="s">
        <v>18059</v>
      </c>
      <c r="E3141" s="13" t="s">
        <v>2193</v>
      </c>
      <c r="F3141" s="681">
        <v>31.89</v>
      </c>
    </row>
    <row r="3142" spans="2:6" ht="15.75" hidden="1" customHeight="1" x14ac:dyDescent="0.25">
      <c r="B3142" s="13" t="s">
        <v>556</v>
      </c>
      <c r="C3142" s="13" t="s">
        <v>18060</v>
      </c>
      <c r="D3142" s="12" t="s">
        <v>10166</v>
      </c>
      <c r="E3142" s="13" t="s">
        <v>8869</v>
      </c>
      <c r="F3142" s="681">
        <v>280.54000000000002</v>
      </c>
    </row>
    <row r="3143" spans="2:6" ht="15.75" hidden="1" customHeight="1" x14ac:dyDescent="0.25">
      <c r="B3143" s="13" t="s">
        <v>556</v>
      </c>
      <c r="C3143" s="13" t="s">
        <v>18061</v>
      </c>
      <c r="D3143" s="12" t="s">
        <v>8873</v>
      </c>
      <c r="E3143" s="13" t="s">
        <v>8869</v>
      </c>
      <c r="F3143" s="681">
        <v>407.93</v>
      </c>
    </row>
    <row r="3144" spans="2:6" ht="15.75" hidden="1" customHeight="1" x14ac:dyDescent="0.25">
      <c r="B3144" s="13" t="s">
        <v>556</v>
      </c>
      <c r="C3144" s="13" t="s">
        <v>18062</v>
      </c>
      <c r="D3144" s="12" t="s">
        <v>18063</v>
      </c>
      <c r="E3144" s="13" t="s">
        <v>585</v>
      </c>
      <c r="F3144" s="681">
        <v>1.78</v>
      </c>
    </row>
    <row r="3145" spans="2:6" ht="15.75" hidden="1" customHeight="1" x14ac:dyDescent="0.25">
      <c r="B3145" s="13" t="s">
        <v>556</v>
      </c>
      <c r="C3145" s="13" t="s">
        <v>18064</v>
      </c>
      <c r="D3145" s="12" t="s">
        <v>9416</v>
      </c>
      <c r="E3145" s="13" t="s">
        <v>664</v>
      </c>
      <c r="F3145" s="681">
        <v>498.55</v>
      </c>
    </row>
    <row r="3146" spans="2:6" ht="15.75" hidden="1" customHeight="1" x14ac:dyDescent="0.25">
      <c r="B3146" s="13" t="s">
        <v>556</v>
      </c>
      <c r="C3146" s="13" t="s">
        <v>18065</v>
      </c>
      <c r="D3146" s="12" t="s">
        <v>11693</v>
      </c>
      <c r="E3146" s="13" t="s">
        <v>585</v>
      </c>
      <c r="F3146" s="681">
        <v>12.06</v>
      </c>
    </row>
    <row r="3147" spans="2:6" ht="15.75" hidden="1" customHeight="1" x14ac:dyDescent="0.25">
      <c r="B3147" s="13" t="s">
        <v>556</v>
      </c>
      <c r="C3147" s="13" t="s">
        <v>18066</v>
      </c>
      <c r="D3147" s="12" t="s">
        <v>11690</v>
      </c>
      <c r="E3147" s="13" t="s">
        <v>585</v>
      </c>
      <c r="F3147" s="681">
        <v>91.09</v>
      </c>
    </row>
    <row r="3148" spans="2:6" ht="15.75" hidden="1" customHeight="1" x14ac:dyDescent="0.25">
      <c r="B3148" s="13" t="s">
        <v>556</v>
      </c>
      <c r="C3148" s="13" t="s">
        <v>18067</v>
      </c>
      <c r="D3148" s="12" t="s">
        <v>18068</v>
      </c>
      <c r="E3148" s="13" t="s">
        <v>580</v>
      </c>
      <c r="F3148" s="681">
        <v>3.08</v>
      </c>
    </row>
    <row r="3149" spans="2:6" ht="15.75" hidden="1" customHeight="1" x14ac:dyDescent="0.25">
      <c r="B3149" s="13" t="s">
        <v>556</v>
      </c>
      <c r="C3149" s="13" t="s">
        <v>18069</v>
      </c>
      <c r="D3149" s="12" t="s">
        <v>18070</v>
      </c>
      <c r="E3149" s="13" t="s">
        <v>580</v>
      </c>
      <c r="F3149" s="681">
        <v>7.26</v>
      </c>
    </row>
    <row r="3150" spans="2:6" ht="15.75" hidden="1" customHeight="1" x14ac:dyDescent="0.25">
      <c r="B3150" s="13" t="s">
        <v>556</v>
      </c>
      <c r="C3150" s="13" t="s">
        <v>18071</v>
      </c>
      <c r="D3150" s="12" t="s">
        <v>18072</v>
      </c>
      <c r="E3150" s="13" t="s">
        <v>580</v>
      </c>
      <c r="F3150" s="681">
        <v>11.76</v>
      </c>
    </row>
    <row r="3151" spans="2:6" ht="15.75" hidden="1" customHeight="1" x14ac:dyDescent="0.25">
      <c r="B3151" s="13" t="s">
        <v>556</v>
      </c>
      <c r="C3151" s="13" t="s">
        <v>18073</v>
      </c>
      <c r="D3151" s="12" t="s">
        <v>18074</v>
      </c>
      <c r="E3151" s="13" t="s">
        <v>580</v>
      </c>
      <c r="F3151" s="681">
        <v>26.09</v>
      </c>
    </row>
    <row r="3152" spans="2:6" ht="15.75" hidden="1" customHeight="1" x14ac:dyDescent="0.25">
      <c r="B3152" s="13" t="s">
        <v>556</v>
      </c>
      <c r="C3152" s="13" t="s">
        <v>18075</v>
      </c>
      <c r="D3152" s="12" t="s">
        <v>18076</v>
      </c>
      <c r="E3152" s="13" t="s">
        <v>580</v>
      </c>
      <c r="F3152" s="681">
        <v>40.22</v>
      </c>
    </row>
    <row r="3153" spans="2:6" ht="15.75" hidden="1" customHeight="1" x14ac:dyDescent="0.25">
      <c r="B3153" s="13" t="s">
        <v>556</v>
      </c>
      <c r="C3153" s="13" t="s">
        <v>18077</v>
      </c>
      <c r="D3153" s="12" t="s">
        <v>18078</v>
      </c>
      <c r="E3153" s="13" t="s">
        <v>580</v>
      </c>
      <c r="F3153" s="681">
        <v>61.72</v>
      </c>
    </row>
    <row r="3154" spans="2:6" ht="15.75" hidden="1" customHeight="1" x14ac:dyDescent="0.25">
      <c r="B3154" s="13" t="s">
        <v>556</v>
      </c>
      <c r="C3154" s="13" t="s">
        <v>18079</v>
      </c>
      <c r="D3154" s="12" t="s">
        <v>18080</v>
      </c>
      <c r="E3154" s="13" t="s">
        <v>580</v>
      </c>
      <c r="F3154" s="681">
        <v>176.21</v>
      </c>
    </row>
    <row r="3155" spans="2:6" ht="15.75" hidden="1" customHeight="1" x14ac:dyDescent="0.25">
      <c r="B3155" s="13" t="s">
        <v>556</v>
      </c>
      <c r="C3155" s="13" t="s">
        <v>18081</v>
      </c>
      <c r="D3155" s="12" t="s">
        <v>18082</v>
      </c>
      <c r="E3155" s="13" t="s">
        <v>580</v>
      </c>
      <c r="F3155" s="681">
        <v>14.74</v>
      </c>
    </row>
    <row r="3156" spans="2:6" ht="15.75" hidden="1" customHeight="1" x14ac:dyDescent="0.25">
      <c r="B3156" s="13" t="s">
        <v>556</v>
      </c>
      <c r="C3156" s="13" t="s">
        <v>18083</v>
      </c>
      <c r="D3156" s="12" t="s">
        <v>18084</v>
      </c>
      <c r="E3156" s="13" t="s">
        <v>580</v>
      </c>
      <c r="F3156" s="681">
        <v>14.95</v>
      </c>
    </row>
    <row r="3157" spans="2:6" ht="15.75" hidden="1" customHeight="1" x14ac:dyDescent="0.25">
      <c r="B3157" s="13" t="s">
        <v>556</v>
      </c>
      <c r="C3157" s="13" t="s">
        <v>18085</v>
      </c>
      <c r="D3157" s="12" t="s">
        <v>18086</v>
      </c>
      <c r="E3157" s="13" t="s">
        <v>580</v>
      </c>
      <c r="F3157" s="681">
        <v>18.55</v>
      </c>
    </row>
    <row r="3158" spans="2:6" ht="15.75" hidden="1" customHeight="1" x14ac:dyDescent="0.25">
      <c r="B3158" s="13" t="s">
        <v>556</v>
      </c>
      <c r="C3158" s="13" t="s">
        <v>18087</v>
      </c>
      <c r="D3158" s="12" t="s">
        <v>18088</v>
      </c>
      <c r="E3158" s="13" t="s">
        <v>580</v>
      </c>
      <c r="F3158" s="681">
        <v>26.14</v>
      </c>
    </row>
    <row r="3159" spans="2:6" ht="15.75" hidden="1" customHeight="1" x14ac:dyDescent="0.25">
      <c r="B3159" s="13" t="s">
        <v>556</v>
      </c>
      <c r="C3159" s="13" t="s">
        <v>18089</v>
      </c>
      <c r="D3159" s="12" t="s">
        <v>18090</v>
      </c>
      <c r="E3159" s="13" t="s">
        <v>580</v>
      </c>
      <c r="F3159" s="681">
        <v>19.39</v>
      </c>
    </row>
    <row r="3160" spans="2:6" ht="15.75" hidden="1" customHeight="1" x14ac:dyDescent="0.25">
      <c r="B3160" s="13" t="s">
        <v>556</v>
      </c>
      <c r="C3160" s="13" t="s">
        <v>18091</v>
      </c>
      <c r="D3160" s="12" t="s">
        <v>18092</v>
      </c>
      <c r="E3160" s="13" t="s">
        <v>580</v>
      </c>
      <c r="F3160" s="681">
        <v>43.1</v>
      </c>
    </row>
    <row r="3161" spans="2:6" ht="15.75" hidden="1" customHeight="1" x14ac:dyDescent="0.25">
      <c r="B3161" s="13" t="s">
        <v>556</v>
      </c>
      <c r="C3161" s="13" t="s">
        <v>18093</v>
      </c>
      <c r="D3161" s="12" t="s">
        <v>18094</v>
      </c>
      <c r="E3161" s="13" t="s">
        <v>580</v>
      </c>
      <c r="F3161" s="681">
        <v>77.64</v>
      </c>
    </row>
    <row r="3162" spans="2:6" ht="15.75" hidden="1" customHeight="1" x14ac:dyDescent="0.25">
      <c r="B3162" s="13" t="s">
        <v>556</v>
      </c>
      <c r="C3162" s="13" t="s">
        <v>18095</v>
      </c>
      <c r="D3162" s="12" t="s">
        <v>18096</v>
      </c>
      <c r="E3162" s="13" t="s">
        <v>580</v>
      </c>
      <c r="F3162" s="681">
        <v>14.64</v>
      </c>
    </row>
    <row r="3163" spans="2:6" ht="15.75" hidden="1" customHeight="1" x14ac:dyDescent="0.25">
      <c r="B3163" s="13" t="s">
        <v>556</v>
      </c>
      <c r="C3163" s="13" t="s">
        <v>18097</v>
      </c>
      <c r="D3163" s="12" t="s">
        <v>18098</v>
      </c>
      <c r="E3163" s="13" t="s">
        <v>580</v>
      </c>
      <c r="F3163" s="681">
        <v>22.39</v>
      </c>
    </row>
    <row r="3164" spans="2:6" ht="15.75" hidden="1" customHeight="1" x14ac:dyDescent="0.25">
      <c r="B3164" s="13" t="s">
        <v>556</v>
      </c>
      <c r="C3164" s="13" t="s">
        <v>18099</v>
      </c>
      <c r="D3164" s="12" t="s">
        <v>18100</v>
      </c>
      <c r="E3164" s="13" t="s">
        <v>580</v>
      </c>
      <c r="F3164" s="681">
        <v>25.09</v>
      </c>
    </row>
    <row r="3165" spans="2:6" ht="15.75" hidden="1" customHeight="1" x14ac:dyDescent="0.25">
      <c r="B3165" s="13" t="s">
        <v>556</v>
      </c>
      <c r="C3165" s="13" t="s">
        <v>18101</v>
      </c>
      <c r="D3165" s="12" t="s">
        <v>18102</v>
      </c>
      <c r="E3165" s="13" t="s">
        <v>580</v>
      </c>
      <c r="F3165" s="681">
        <v>472.72</v>
      </c>
    </row>
    <row r="3166" spans="2:6" ht="15.75" hidden="1" customHeight="1" x14ac:dyDescent="0.25">
      <c r="B3166" s="13" t="s">
        <v>556</v>
      </c>
      <c r="C3166" s="13" t="s">
        <v>18103</v>
      </c>
      <c r="D3166" s="12" t="s">
        <v>18104</v>
      </c>
      <c r="E3166" s="13" t="s">
        <v>580</v>
      </c>
      <c r="F3166" s="681">
        <v>548.33000000000004</v>
      </c>
    </row>
    <row r="3167" spans="2:6" ht="15.75" hidden="1" customHeight="1" x14ac:dyDescent="0.25">
      <c r="B3167" s="13" t="s">
        <v>556</v>
      </c>
      <c r="C3167" s="13" t="s">
        <v>18105</v>
      </c>
      <c r="D3167" s="12" t="s">
        <v>18106</v>
      </c>
      <c r="E3167" s="13" t="s">
        <v>580</v>
      </c>
      <c r="F3167" s="681">
        <v>602.27</v>
      </c>
    </row>
    <row r="3168" spans="2:6" ht="15.75" hidden="1" customHeight="1" x14ac:dyDescent="0.25">
      <c r="B3168" s="13" t="s">
        <v>556</v>
      </c>
      <c r="C3168" s="13" t="s">
        <v>18107</v>
      </c>
      <c r="D3168" s="12" t="s">
        <v>18108</v>
      </c>
      <c r="E3168" s="13" t="s">
        <v>580</v>
      </c>
      <c r="F3168" s="681">
        <v>689.33</v>
      </c>
    </row>
    <row r="3169" spans="2:6" ht="15.75" hidden="1" customHeight="1" x14ac:dyDescent="0.25">
      <c r="B3169" s="13" t="s">
        <v>556</v>
      </c>
      <c r="C3169" s="13" t="s">
        <v>18109</v>
      </c>
      <c r="D3169" s="12" t="s">
        <v>18110</v>
      </c>
      <c r="E3169" s="13" t="s">
        <v>580</v>
      </c>
      <c r="F3169" s="681">
        <v>863.04</v>
      </c>
    </row>
    <row r="3170" spans="2:6" ht="15.75" hidden="1" customHeight="1" x14ac:dyDescent="0.25">
      <c r="B3170" s="13" t="s">
        <v>556</v>
      </c>
      <c r="C3170" s="13" t="s">
        <v>18111</v>
      </c>
      <c r="D3170" s="12" t="s">
        <v>18112</v>
      </c>
      <c r="E3170" s="13" t="s">
        <v>580</v>
      </c>
      <c r="F3170" s="681">
        <v>1197</v>
      </c>
    </row>
    <row r="3171" spans="2:6" ht="15.75" hidden="1" customHeight="1" x14ac:dyDescent="0.25">
      <c r="B3171" s="13" t="s">
        <v>556</v>
      </c>
      <c r="C3171" s="13" t="s">
        <v>18113</v>
      </c>
      <c r="D3171" s="12" t="s">
        <v>18114</v>
      </c>
      <c r="E3171" s="13" t="s">
        <v>580</v>
      </c>
      <c r="F3171" s="681">
        <v>1581.04</v>
      </c>
    </row>
    <row r="3172" spans="2:6" ht="15.75" hidden="1" customHeight="1" x14ac:dyDescent="0.25">
      <c r="B3172" s="13" t="s">
        <v>556</v>
      </c>
      <c r="C3172" s="13" t="s">
        <v>18115</v>
      </c>
      <c r="D3172" s="12" t="s">
        <v>18116</v>
      </c>
      <c r="E3172" s="13" t="s">
        <v>580</v>
      </c>
      <c r="F3172" s="681">
        <v>5.45</v>
      </c>
    </row>
    <row r="3173" spans="2:6" ht="15.75" hidden="1" customHeight="1" x14ac:dyDescent="0.25">
      <c r="B3173" s="13" t="s">
        <v>556</v>
      </c>
      <c r="C3173" s="13" t="s">
        <v>18117</v>
      </c>
      <c r="D3173" s="12" t="s">
        <v>18118</v>
      </c>
      <c r="E3173" s="13" t="s">
        <v>580</v>
      </c>
      <c r="F3173" s="681">
        <v>12.06</v>
      </c>
    </row>
    <row r="3174" spans="2:6" ht="15.75" hidden="1" customHeight="1" x14ac:dyDescent="0.25">
      <c r="B3174" s="13" t="s">
        <v>556</v>
      </c>
      <c r="C3174" s="13" t="s">
        <v>18119</v>
      </c>
      <c r="D3174" s="12" t="s">
        <v>18120</v>
      </c>
      <c r="E3174" s="13" t="s">
        <v>580</v>
      </c>
      <c r="F3174" s="681">
        <v>19.37</v>
      </c>
    </row>
    <row r="3175" spans="2:6" ht="15.75" hidden="1" customHeight="1" x14ac:dyDescent="0.25">
      <c r="B3175" s="13" t="s">
        <v>556</v>
      </c>
      <c r="C3175" s="13" t="s">
        <v>18121</v>
      </c>
      <c r="D3175" s="12" t="s">
        <v>18122</v>
      </c>
      <c r="E3175" s="13" t="s">
        <v>580</v>
      </c>
      <c r="F3175" s="681">
        <v>51.02</v>
      </c>
    </row>
    <row r="3176" spans="2:6" ht="15.75" hidden="1" customHeight="1" x14ac:dyDescent="0.25">
      <c r="B3176" s="13" t="s">
        <v>556</v>
      </c>
      <c r="C3176" s="13" t="s">
        <v>18123</v>
      </c>
      <c r="D3176" s="12" t="s">
        <v>18124</v>
      </c>
      <c r="E3176" s="13" t="s">
        <v>580</v>
      </c>
      <c r="F3176" s="681">
        <v>81.47</v>
      </c>
    </row>
    <row r="3177" spans="2:6" ht="15.75" hidden="1" customHeight="1" x14ac:dyDescent="0.25">
      <c r="B3177" s="13" t="s">
        <v>556</v>
      </c>
      <c r="C3177" s="13" t="s">
        <v>18125</v>
      </c>
      <c r="D3177" s="12" t="s">
        <v>18126</v>
      </c>
      <c r="E3177" s="13" t="s">
        <v>580</v>
      </c>
      <c r="F3177" s="681">
        <v>121</v>
      </c>
    </row>
    <row r="3178" spans="2:6" ht="15.75" hidden="1" customHeight="1" x14ac:dyDescent="0.25">
      <c r="B3178" s="13" t="s">
        <v>556</v>
      </c>
      <c r="C3178" s="13" t="s">
        <v>18127</v>
      </c>
      <c r="D3178" s="12" t="s">
        <v>18128</v>
      </c>
      <c r="E3178" s="13" t="s">
        <v>580</v>
      </c>
      <c r="F3178" s="681">
        <v>287.58</v>
      </c>
    </row>
    <row r="3179" spans="2:6" ht="15.75" hidden="1" customHeight="1" x14ac:dyDescent="0.25">
      <c r="B3179" s="13" t="s">
        <v>556</v>
      </c>
      <c r="C3179" s="13" t="s">
        <v>18129</v>
      </c>
      <c r="D3179" s="12" t="s">
        <v>18130</v>
      </c>
      <c r="E3179" s="13" t="s">
        <v>580</v>
      </c>
      <c r="F3179" s="681">
        <v>6.3</v>
      </c>
    </row>
    <row r="3180" spans="2:6" ht="15.75" hidden="1" customHeight="1" x14ac:dyDescent="0.25">
      <c r="B3180" s="13" t="s">
        <v>556</v>
      </c>
      <c r="C3180" s="13" t="s">
        <v>18131</v>
      </c>
      <c r="D3180" s="12" t="s">
        <v>18132</v>
      </c>
      <c r="E3180" s="13" t="s">
        <v>580</v>
      </c>
      <c r="F3180" s="681">
        <v>9.4600000000000009</v>
      </c>
    </row>
    <row r="3181" spans="2:6" ht="15.75" hidden="1" customHeight="1" x14ac:dyDescent="0.25">
      <c r="B3181" s="13" t="s">
        <v>556</v>
      </c>
      <c r="C3181" s="13" t="s">
        <v>18133</v>
      </c>
      <c r="D3181" s="12" t="s">
        <v>18134</v>
      </c>
      <c r="E3181" s="13" t="s">
        <v>580</v>
      </c>
      <c r="F3181" s="681">
        <v>21.63</v>
      </c>
    </row>
    <row r="3182" spans="2:6" ht="15.75" hidden="1" customHeight="1" x14ac:dyDescent="0.25">
      <c r="B3182" s="13" t="s">
        <v>556</v>
      </c>
      <c r="C3182" s="13" t="s">
        <v>18135</v>
      </c>
      <c r="D3182" s="12" t="s">
        <v>18136</v>
      </c>
      <c r="E3182" s="13" t="s">
        <v>580</v>
      </c>
      <c r="F3182" s="681">
        <v>36.92</v>
      </c>
    </row>
    <row r="3183" spans="2:6" ht="15.75" hidden="1" customHeight="1" x14ac:dyDescent="0.25">
      <c r="B3183" s="13" t="s">
        <v>556</v>
      </c>
      <c r="C3183" s="13" t="s">
        <v>18137</v>
      </c>
      <c r="D3183" s="12" t="s">
        <v>18138</v>
      </c>
      <c r="E3183" s="13" t="s">
        <v>580</v>
      </c>
      <c r="F3183" s="681">
        <v>52.06</v>
      </c>
    </row>
    <row r="3184" spans="2:6" ht="15.75" hidden="1" customHeight="1" x14ac:dyDescent="0.25">
      <c r="B3184" s="13" t="s">
        <v>556</v>
      </c>
      <c r="C3184" s="13" t="s">
        <v>18139</v>
      </c>
      <c r="D3184" s="12" t="s">
        <v>18140</v>
      </c>
      <c r="E3184" s="13" t="s">
        <v>580</v>
      </c>
      <c r="F3184" s="681">
        <v>162.29</v>
      </c>
    </row>
    <row r="3185" spans="2:6" ht="15.75" hidden="1" customHeight="1" x14ac:dyDescent="0.25">
      <c r="B3185" s="13" t="s">
        <v>556</v>
      </c>
      <c r="C3185" s="13" t="s">
        <v>18141</v>
      </c>
      <c r="D3185" s="12" t="s">
        <v>18142</v>
      </c>
      <c r="E3185" s="13" t="s">
        <v>580</v>
      </c>
      <c r="F3185" s="681">
        <v>53.83</v>
      </c>
    </row>
    <row r="3186" spans="2:6" ht="15.75" hidden="1" customHeight="1" x14ac:dyDescent="0.25">
      <c r="B3186" s="13" t="s">
        <v>556</v>
      </c>
      <c r="C3186" s="13" t="s">
        <v>18143</v>
      </c>
      <c r="D3186" s="12" t="s">
        <v>18144</v>
      </c>
      <c r="E3186" s="13" t="s">
        <v>580</v>
      </c>
      <c r="F3186" s="681">
        <v>78.89</v>
      </c>
    </row>
    <row r="3187" spans="2:6" ht="15.75" hidden="1" customHeight="1" x14ac:dyDescent="0.25">
      <c r="B3187" s="13" t="s">
        <v>556</v>
      </c>
      <c r="C3187" s="13" t="s">
        <v>13113</v>
      </c>
      <c r="D3187" s="12" t="s">
        <v>18145</v>
      </c>
      <c r="E3187" s="13" t="s">
        <v>580</v>
      </c>
      <c r="F3187" s="681">
        <v>56.57</v>
      </c>
    </row>
    <row r="3188" spans="2:6" ht="15.75" hidden="1" customHeight="1" x14ac:dyDescent="0.25">
      <c r="B3188" s="13" t="s">
        <v>556</v>
      </c>
      <c r="C3188" s="13" t="s">
        <v>18146</v>
      </c>
      <c r="D3188" s="12" t="s">
        <v>8516</v>
      </c>
      <c r="E3188" s="13" t="s">
        <v>580</v>
      </c>
      <c r="F3188" s="681">
        <v>7.4</v>
      </c>
    </row>
    <row r="3189" spans="2:6" ht="15.75" hidden="1" customHeight="1" x14ac:dyDescent="0.25">
      <c r="B3189" s="13" t="s">
        <v>556</v>
      </c>
      <c r="C3189" s="13" t="s">
        <v>18147</v>
      </c>
      <c r="D3189" s="12" t="s">
        <v>11311</v>
      </c>
      <c r="E3189" s="13" t="s">
        <v>585</v>
      </c>
      <c r="F3189" s="681">
        <v>25.78</v>
      </c>
    </row>
    <row r="3190" spans="2:6" ht="15.75" hidden="1" customHeight="1" x14ac:dyDescent="0.25">
      <c r="B3190" s="13" t="s">
        <v>556</v>
      </c>
      <c r="C3190" s="13" t="s">
        <v>18148</v>
      </c>
      <c r="D3190" s="12" t="s">
        <v>18149</v>
      </c>
      <c r="E3190" s="13" t="s">
        <v>823</v>
      </c>
      <c r="F3190" s="681">
        <v>267.45</v>
      </c>
    </row>
    <row r="3191" spans="2:6" ht="15.75" hidden="1" customHeight="1" x14ac:dyDescent="0.25">
      <c r="B3191" s="13" t="s">
        <v>14150</v>
      </c>
      <c r="C3191" s="13" t="s">
        <v>18150</v>
      </c>
      <c r="D3191" s="12" t="s">
        <v>8989</v>
      </c>
      <c r="E3191" s="13" t="s">
        <v>580</v>
      </c>
      <c r="F3191" s="681">
        <v>91753.42</v>
      </c>
    </row>
    <row r="3192" spans="2:6" ht="15.75" hidden="1" customHeight="1" x14ac:dyDescent="0.25">
      <c r="B3192" s="13" t="s">
        <v>14150</v>
      </c>
      <c r="C3192" s="13" t="s">
        <v>18151</v>
      </c>
      <c r="D3192" s="12" t="s">
        <v>10701</v>
      </c>
      <c r="E3192" s="13" t="s">
        <v>580</v>
      </c>
      <c r="F3192" s="681">
        <v>61464.46</v>
      </c>
    </row>
    <row r="3193" spans="2:6" ht="15.75" hidden="1" customHeight="1" x14ac:dyDescent="0.25">
      <c r="B3193" s="13" t="s">
        <v>556</v>
      </c>
      <c r="C3193" s="13" t="s">
        <v>18152</v>
      </c>
      <c r="D3193" s="12" t="s">
        <v>11312</v>
      </c>
      <c r="E3193" s="13" t="s">
        <v>585</v>
      </c>
      <c r="F3193" s="681">
        <v>34.799999999999997</v>
      </c>
    </row>
    <row r="3194" spans="2:6" ht="15.75" hidden="1" customHeight="1" x14ac:dyDescent="0.25">
      <c r="B3194" s="13" t="s">
        <v>556</v>
      </c>
      <c r="C3194" s="13" t="s">
        <v>18153</v>
      </c>
      <c r="D3194" s="12" t="s">
        <v>9041</v>
      </c>
      <c r="E3194" s="13" t="s">
        <v>580</v>
      </c>
      <c r="F3194" s="681">
        <v>5.74</v>
      </c>
    </row>
    <row r="3195" spans="2:6" ht="15.75" hidden="1" customHeight="1" x14ac:dyDescent="0.25">
      <c r="B3195" s="13" t="s">
        <v>14150</v>
      </c>
      <c r="C3195" s="13" t="s">
        <v>18154</v>
      </c>
      <c r="D3195" s="12" t="s">
        <v>8961</v>
      </c>
      <c r="E3195" s="13" t="s">
        <v>580</v>
      </c>
      <c r="F3195" s="681">
        <v>13738.25</v>
      </c>
    </row>
    <row r="3196" spans="2:6" ht="15.75" hidden="1" customHeight="1" x14ac:dyDescent="0.25">
      <c r="B3196" s="13" t="s">
        <v>556</v>
      </c>
      <c r="C3196" s="13" t="s">
        <v>18155</v>
      </c>
      <c r="D3196" s="12" t="s">
        <v>11310</v>
      </c>
      <c r="E3196" s="13" t="s">
        <v>578</v>
      </c>
      <c r="F3196" s="681">
        <v>137.01</v>
      </c>
    </row>
    <row r="3197" spans="2:6" ht="15.75" hidden="1" customHeight="1" x14ac:dyDescent="0.25">
      <c r="B3197" s="13" t="s">
        <v>556</v>
      </c>
      <c r="C3197" s="13" t="s">
        <v>18156</v>
      </c>
      <c r="D3197" s="12" t="s">
        <v>11277</v>
      </c>
      <c r="E3197" s="13" t="s">
        <v>580</v>
      </c>
      <c r="F3197" s="681">
        <v>21.89</v>
      </c>
    </row>
    <row r="3198" spans="2:6" ht="15.75" hidden="1" customHeight="1" x14ac:dyDescent="0.25">
      <c r="B3198" s="13" t="s">
        <v>556</v>
      </c>
      <c r="C3198" s="13" t="s">
        <v>18157</v>
      </c>
      <c r="D3198" s="12" t="s">
        <v>18158</v>
      </c>
      <c r="E3198" s="13" t="s">
        <v>664</v>
      </c>
      <c r="F3198" s="681">
        <v>439.92</v>
      </c>
    </row>
    <row r="3199" spans="2:6" ht="15.75" hidden="1" customHeight="1" x14ac:dyDescent="0.25">
      <c r="B3199" s="13" t="s">
        <v>556</v>
      </c>
      <c r="C3199" s="13" t="s">
        <v>18159</v>
      </c>
      <c r="D3199" s="12" t="s">
        <v>11837</v>
      </c>
      <c r="E3199" s="13" t="s">
        <v>585</v>
      </c>
      <c r="F3199" s="681">
        <v>2.82</v>
      </c>
    </row>
    <row r="3200" spans="2:6" ht="15.75" hidden="1" customHeight="1" x14ac:dyDescent="0.25">
      <c r="B3200" s="13" t="s">
        <v>556</v>
      </c>
      <c r="C3200" s="13" t="s">
        <v>18160</v>
      </c>
      <c r="D3200" s="12" t="s">
        <v>11013</v>
      </c>
      <c r="E3200" s="13" t="s">
        <v>580</v>
      </c>
      <c r="F3200" s="681">
        <v>0.33</v>
      </c>
    </row>
    <row r="3201" spans="2:6" ht="15.75" hidden="1" customHeight="1" x14ac:dyDescent="0.25">
      <c r="B3201" s="13" t="s">
        <v>556</v>
      </c>
      <c r="C3201" s="13" t="s">
        <v>18161</v>
      </c>
      <c r="D3201" s="12" t="s">
        <v>8513</v>
      </c>
      <c r="E3201" s="13" t="s">
        <v>580</v>
      </c>
      <c r="F3201" s="681">
        <v>1.82</v>
      </c>
    </row>
    <row r="3202" spans="2:6" ht="15.75" hidden="1" customHeight="1" x14ac:dyDescent="0.25">
      <c r="B3202" s="13" t="s">
        <v>556</v>
      </c>
      <c r="C3202" s="13" t="s">
        <v>18162</v>
      </c>
      <c r="D3202" s="12" t="s">
        <v>10581</v>
      </c>
      <c r="E3202" s="13" t="s">
        <v>664</v>
      </c>
      <c r="F3202" s="681">
        <v>1657.41</v>
      </c>
    </row>
    <row r="3203" spans="2:6" ht="15.75" hidden="1" customHeight="1" x14ac:dyDescent="0.25">
      <c r="B3203" s="13" t="s">
        <v>556</v>
      </c>
      <c r="C3203" s="13" t="s">
        <v>18163</v>
      </c>
      <c r="D3203" s="12" t="s">
        <v>10108</v>
      </c>
      <c r="E3203" s="13" t="s">
        <v>578</v>
      </c>
      <c r="F3203" s="681">
        <v>8.09</v>
      </c>
    </row>
    <row r="3204" spans="2:6" ht="15.75" hidden="1" customHeight="1" x14ac:dyDescent="0.25">
      <c r="B3204" s="13" t="s">
        <v>556</v>
      </c>
      <c r="C3204" s="13" t="s">
        <v>18164</v>
      </c>
      <c r="D3204" s="12" t="s">
        <v>10111</v>
      </c>
      <c r="E3204" s="13" t="s">
        <v>578</v>
      </c>
      <c r="F3204" s="681">
        <v>16.23</v>
      </c>
    </row>
    <row r="3205" spans="2:6" ht="15.75" hidden="1" customHeight="1" x14ac:dyDescent="0.25">
      <c r="B3205" s="13" t="s">
        <v>556</v>
      </c>
      <c r="C3205" s="13" t="s">
        <v>18165</v>
      </c>
      <c r="D3205" s="12" t="s">
        <v>10107</v>
      </c>
      <c r="E3205" s="13" t="s">
        <v>578</v>
      </c>
      <c r="F3205" s="681">
        <v>7.24</v>
      </c>
    </row>
    <row r="3206" spans="2:6" ht="15.75" hidden="1" customHeight="1" x14ac:dyDescent="0.25">
      <c r="B3206" s="13" t="s">
        <v>556</v>
      </c>
      <c r="C3206" s="13" t="s">
        <v>18166</v>
      </c>
      <c r="D3206" s="12" t="s">
        <v>10609</v>
      </c>
      <c r="E3206" s="13" t="s">
        <v>578</v>
      </c>
      <c r="F3206" s="681">
        <v>57.27</v>
      </c>
    </row>
    <row r="3207" spans="2:6" ht="15.75" hidden="1" customHeight="1" x14ac:dyDescent="0.25">
      <c r="B3207" s="13" t="s">
        <v>556</v>
      </c>
      <c r="C3207" s="13" t="s">
        <v>18167</v>
      </c>
      <c r="D3207" s="12" t="s">
        <v>10610</v>
      </c>
      <c r="E3207" s="13" t="s">
        <v>578</v>
      </c>
      <c r="F3207" s="681">
        <v>70.33</v>
      </c>
    </row>
    <row r="3208" spans="2:6" ht="15.75" hidden="1" customHeight="1" x14ac:dyDescent="0.25">
      <c r="B3208" s="13" t="s">
        <v>556</v>
      </c>
      <c r="C3208" s="13" t="s">
        <v>18168</v>
      </c>
      <c r="D3208" s="12" t="s">
        <v>10613</v>
      </c>
      <c r="E3208" s="13" t="s">
        <v>578</v>
      </c>
      <c r="F3208" s="681">
        <v>40.42</v>
      </c>
    </row>
    <row r="3209" spans="2:6" ht="15.75" hidden="1" customHeight="1" x14ac:dyDescent="0.25">
      <c r="B3209" s="13" t="s">
        <v>556</v>
      </c>
      <c r="C3209" s="13" t="s">
        <v>18169</v>
      </c>
      <c r="D3209" s="12" t="s">
        <v>10611</v>
      </c>
      <c r="E3209" s="13" t="s">
        <v>578</v>
      </c>
      <c r="F3209" s="681">
        <v>102.34</v>
      </c>
    </row>
    <row r="3210" spans="2:6" ht="15.75" hidden="1" customHeight="1" x14ac:dyDescent="0.25">
      <c r="B3210" s="13" t="s">
        <v>556</v>
      </c>
      <c r="C3210" s="13" t="s">
        <v>18170</v>
      </c>
      <c r="D3210" s="12" t="s">
        <v>10113</v>
      </c>
      <c r="E3210" s="13" t="s">
        <v>578</v>
      </c>
      <c r="F3210" s="681">
        <v>24.34</v>
      </c>
    </row>
    <row r="3211" spans="2:6" ht="15.75" hidden="1" customHeight="1" x14ac:dyDescent="0.25">
      <c r="B3211" s="13" t="s">
        <v>556</v>
      </c>
      <c r="C3211" s="13" t="s">
        <v>18171</v>
      </c>
      <c r="D3211" s="12" t="s">
        <v>10110</v>
      </c>
      <c r="E3211" s="13" t="s">
        <v>578</v>
      </c>
      <c r="F3211" s="681">
        <v>12.11</v>
      </c>
    </row>
    <row r="3212" spans="2:6" ht="15.75" hidden="1" customHeight="1" x14ac:dyDescent="0.25">
      <c r="B3212" s="13" t="s">
        <v>556</v>
      </c>
      <c r="C3212" s="13" t="s">
        <v>18172</v>
      </c>
      <c r="D3212" s="12" t="s">
        <v>10103</v>
      </c>
      <c r="E3212" s="13" t="s">
        <v>580</v>
      </c>
      <c r="F3212" s="681">
        <v>12.11</v>
      </c>
    </row>
    <row r="3213" spans="2:6" ht="15.75" hidden="1" customHeight="1" x14ac:dyDescent="0.25">
      <c r="B3213" s="13" t="s">
        <v>556</v>
      </c>
      <c r="C3213" s="13" t="s">
        <v>18173</v>
      </c>
      <c r="D3213" s="12" t="s">
        <v>10112</v>
      </c>
      <c r="E3213" s="13" t="s">
        <v>578</v>
      </c>
      <c r="F3213" s="681">
        <v>20.32</v>
      </c>
    </row>
    <row r="3214" spans="2:6" ht="15.75" hidden="1" customHeight="1" x14ac:dyDescent="0.25">
      <c r="B3214" s="13" t="s">
        <v>556</v>
      </c>
      <c r="C3214" s="13" t="s">
        <v>18174</v>
      </c>
      <c r="D3214" s="12" t="s">
        <v>10109</v>
      </c>
      <c r="E3214" s="13" t="s">
        <v>578</v>
      </c>
      <c r="F3214" s="681">
        <v>10.09</v>
      </c>
    </row>
    <row r="3215" spans="2:6" ht="15.75" hidden="1" customHeight="1" x14ac:dyDescent="0.25">
      <c r="B3215" s="13" t="s">
        <v>14150</v>
      </c>
      <c r="C3215" s="13" t="s">
        <v>18175</v>
      </c>
      <c r="D3215" s="12" t="s">
        <v>11261</v>
      </c>
      <c r="E3215" s="13" t="s">
        <v>580</v>
      </c>
      <c r="F3215" s="681">
        <v>5213.6899999999996</v>
      </c>
    </row>
    <row r="3216" spans="2:6" ht="15.75" hidden="1" customHeight="1" x14ac:dyDescent="0.25">
      <c r="B3216" s="13" t="s">
        <v>556</v>
      </c>
      <c r="C3216" s="13" t="s">
        <v>18176</v>
      </c>
      <c r="D3216" s="12" t="s">
        <v>18177</v>
      </c>
      <c r="E3216" s="13" t="s">
        <v>585</v>
      </c>
      <c r="F3216" s="681">
        <v>126.05</v>
      </c>
    </row>
    <row r="3217" spans="2:6" ht="15.75" hidden="1" customHeight="1" x14ac:dyDescent="0.25">
      <c r="B3217" s="13" t="s">
        <v>14180</v>
      </c>
      <c r="C3217" s="13" t="s">
        <v>18178</v>
      </c>
      <c r="D3217" s="12" t="s">
        <v>10429</v>
      </c>
      <c r="E3217" s="13" t="s">
        <v>10430</v>
      </c>
      <c r="F3217" s="681">
        <v>22.96</v>
      </c>
    </row>
    <row r="3218" spans="2:6" ht="15.75" hidden="1" customHeight="1" x14ac:dyDescent="0.25">
      <c r="B3218" s="13" t="s">
        <v>14180</v>
      </c>
      <c r="C3218" s="13" t="s">
        <v>18179</v>
      </c>
      <c r="D3218" s="12" t="s">
        <v>10446</v>
      </c>
      <c r="E3218" s="13" t="s">
        <v>10430</v>
      </c>
      <c r="F3218" s="681">
        <v>24</v>
      </c>
    </row>
    <row r="3219" spans="2:6" ht="15.75" hidden="1" customHeight="1" x14ac:dyDescent="0.25">
      <c r="B3219" s="13" t="s">
        <v>14180</v>
      </c>
      <c r="C3219" s="13" t="s">
        <v>18180</v>
      </c>
      <c r="D3219" s="12" t="s">
        <v>10431</v>
      </c>
      <c r="E3219" s="13" t="s">
        <v>6214</v>
      </c>
      <c r="F3219" s="681">
        <v>8.84</v>
      </c>
    </row>
    <row r="3220" spans="2:6" ht="15.75" hidden="1" customHeight="1" x14ac:dyDescent="0.25">
      <c r="B3220" s="13" t="s">
        <v>14180</v>
      </c>
      <c r="C3220" s="13" t="s">
        <v>18181</v>
      </c>
      <c r="D3220" s="12" t="s">
        <v>10444</v>
      </c>
      <c r="E3220" s="13" t="s">
        <v>10430</v>
      </c>
      <c r="F3220" s="681">
        <v>14.4</v>
      </c>
    </row>
    <row r="3221" spans="2:6" ht="15.75" hidden="1" customHeight="1" x14ac:dyDescent="0.25">
      <c r="B3221" s="13" t="s">
        <v>14180</v>
      </c>
      <c r="C3221" s="13" t="s">
        <v>18182</v>
      </c>
      <c r="D3221" s="12" t="s">
        <v>10445</v>
      </c>
      <c r="E3221" s="13" t="s">
        <v>10430</v>
      </c>
      <c r="F3221" s="681">
        <v>750</v>
      </c>
    </row>
    <row r="3222" spans="2:6" ht="15.75" hidden="1" customHeight="1" x14ac:dyDescent="0.25">
      <c r="B3222" s="13" t="s">
        <v>14180</v>
      </c>
      <c r="C3222" s="13" t="s">
        <v>18183</v>
      </c>
      <c r="D3222" s="12" t="s">
        <v>10434</v>
      </c>
      <c r="E3222" s="13" t="s">
        <v>2193</v>
      </c>
      <c r="F3222" s="681">
        <v>2.4300000000000002</v>
      </c>
    </row>
    <row r="3223" spans="2:6" ht="15.75" hidden="1" customHeight="1" x14ac:dyDescent="0.25">
      <c r="B3223" s="13" t="s">
        <v>14180</v>
      </c>
      <c r="C3223" s="13" t="s">
        <v>18184</v>
      </c>
      <c r="D3223" s="12" t="s">
        <v>10435</v>
      </c>
      <c r="E3223" s="13" t="s">
        <v>2193</v>
      </c>
      <c r="F3223" s="681">
        <v>2.0299999999999998</v>
      </c>
    </row>
    <row r="3224" spans="2:6" ht="15.75" hidden="1" customHeight="1" x14ac:dyDescent="0.25">
      <c r="B3224" s="13" t="s">
        <v>556</v>
      </c>
      <c r="C3224" s="13" t="s">
        <v>18185</v>
      </c>
      <c r="D3224" s="12" t="s">
        <v>11841</v>
      </c>
      <c r="E3224" s="13" t="s">
        <v>578</v>
      </c>
      <c r="F3224" s="681">
        <v>7.5</v>
      </c>
    </row>
    <row r="3225" spans="2:6" ht="15.75" hidden="1" customHeight="1" x14ac:dyDescent="0.25">
      <c r="B3225" s="13" t="s">
        <v>556</v>
      </c>
      <c r="C3225" s="13" t="s">
        <v>18186</v>
      </c>
      <c r="D3225" s="12" t="s">
        <v>11088</v>
      </c>
      <c r="E3225" s="13" t="s">
        <v>823</v>
      </c>
      <c r="F3225" s="681">
        <v>15.06</v>
      </c>
    </row>
    <row r="3226" spans="2:6" ht="15.75" hidden="1" customHeight="1" x14ac:dyDescent="0.25">
      <c r="B3226" s="13" t="s">
        <v>556</v>
      </c>
      <c r="C3226" s="13" t="s">
        <v>18187</v>
      </c>
      <c r="D3226" s="12" t="s">
        <v>11842</v>
      </c>
      <c r="E3226" s="13" t="s">
        <v>578</v>
      </c>
      <c r="F3226" s="681">
        <v>35.28</v>
      </c>
    </row>
    <row r="3227" spans="2:6" ht="15.75" hidden="1" customHeight="1" x14ac:dyDescent="0.25">
      <c r="B3227" s="13" t="s">
        <v>556</v>
      </c>
      <c r="C3227" s="13" t="s">
        <v>18188</v>
      </c>
      <c r="D3227" s="12" t="s">
        <v>11638</v>
      </c>
      <c r="E3227" s="13" t="s">
        <v>580</v>
      </c>
      <c r="F3227" s="681">
        <v>30.03</v>
      </c>
    </row>
    <row r="3228" spans="2:6" ht="15.75" hidden="1" customHeight="1" x14ac:dyDescent="0.25">
      <c r="B3228" s="13" t="s">
        <v>14153</v>
      </c>
      <c r="C3228" s="13" t="s">
        <v>18189</v>
      </c>
      <c r="D3228" s="12" t="s">
        <v>8787</v>
      </c>
      <c r="E3228" s="13" t="s">
        <v>2193</v>
      </c>
      <c r="F3228" s="681">
        <v>19.02</v>
      </c>
    </row>
    <row r="3229" spans="2:6" ht="15.75" hidden="1" customHeight="1" x14ac:dyDescent="0.25">
      <c r="B3229" s="13" t="s">
        <v>556</v>
      </c>
      <c r="C3229" s="13" t="s">
        <v>18190</v>
      </c>
      <c r="D3229" s="677" t="s">
        <v>18191</v>
      </c>
      <c r="E3229" s="13" t="s">
        <v>585</v>
      </c>
      <c r="F3229" s="681">
        <v>111.74</v>
      </c>
    </row>
    <row r="3230" spans="2:6" ht="15.75" hidden="1" customHeight="1" x14ac:dyDescent="0.25">
      <c r="B3230" s="13" t="s">
        <v>556</v>
      </c>
      <c r="C3230" s="13" t="s">
        <v>18192</v>
      </c>
      <c r="D3230" s="677" t="s">
        <v>18193</v>
      </c>
      <c r="E3230" s="13" t="s">
        <v>585</v>
      </c>
      <c r="F3230" s="681">
        <v>199.91</v>
      </c>
    </row>
    <row r="3231" spans="2:6" ht="15.75" hidden="1" customHeight="1" x14ac:dyDescent="0.25">
      <c r="B3231" s="13" t="s">
        <v>14180</v>
      </c>
      <c r="C3231" s="13" t="s">
        <v>18194</v>
      </c>
      <c r="D3231" s="12" t="s">
        <v>10442</v>
      </c>
      <c r="E3231" s="13" t="s">
        <v>10430</v>
      </c>
      <c r="F3231" s="681">
        <v>8.0500000000000007</v>
      </c>
    </row>
    <row r="3232" spans="2:6" ht="15.75" hidden="1" customHeight="1" x14ac:dyDescent="0.25">
      <c r="B3232" s="13" t="s">
        <v>556</v>
      </c>
      <c r="C3232" s="13" t="s">
        <v>18195</v>
      </c>
      <c r="D3232" s="677" t="s">
        <v>8675</v>
      </c>
      <c r="E3232" s="13" t="s">
        <v>580</v>
      </c>
      <c r="F3232" s="681">
        <v>19.12</v>
      </c>
    </row>
    <row r="3233" spans="2:6" ht="15.75" hidden="1" customHeight="1" x14ac:dyDescent="0.25">
      <c r="B3233" s="13" t="s">
        <v>556</v>
      </c>
      <c r="C3233" s="13" t="s">
        <v>18196</v>
      </c>
      <c r="D3233" s="677" t="s">
        <v>8676</v>
      </c>
      <c r="E3233" s="13" t="s">
        <v>580</v>
      </c>
      <c r="F3233" s="681">
        <v>22.82</v>
      </c>
    </row>
    <row r="3234" spans="2:6" ht="15.75" hidden="1" customHeight="1" x14ac:dyDescent="0.25">
      <c r="B3234" s="13" t="s">
        <v>556</v>
      </c>
      <c r="C3234" s="13" t="s">
        <v>18197</v>
      </c>
      <c r="D3234" s="677" t="s">
        <v>8677</v>
      </c>
      <c r="E3234" s="13" t="s">
        <v>580</v>
      </c>
      <c r="F3234" s="681">
        <v>27.22</v>
      </c>
    </row>
    <row r="3235" spans="2:6" ht="15.75" hidden="1" customHeight="1" x14ac:dyDescent="0.25">
      <c r="B3235" s="13" t="s">
        <v>556</v>
      </c>
      <c r="C3235" s="13" t="s">
        <v>18198</v>
      </c>
      <c r="D3235" s="677" t="s">
        <v>8678</v>
      </c>
      <c r="E3235" s="13" t="s">
        <v>580</v>
      </c>
      <c r="F3235" s="681">
        <v>32.29</v>
      </c>
    </row>
    <row r="3236" spans="2:6" ht="15.75" hidden="1" customHeight="1" x14ac:dyDescent="0.25">
      <c r="B3236" s="13" t="s">
        <v>556</v>
      </c>
      <c r="C3236" s="13" t="s">
        <v>18199</v>
      </c>
      <c r="D3236" s="677" t="s">
        <v>8679</v>
      </c>
      <c r="E3236" s="13" t="s">
        <v>580</v>
      </c>
      <c r="F3236" s="681">
        <v>44.02</v>
      </c>
    </row>
    <row r="3237" spans="2:6" ht="15.75" hidden="1" customHeight="1" x14ac:dyDescent="0.25">
      <c r="B3237" s="13" t="s">
        <v>556</v>
      </c>
      <c r="C3237" s="13" t="s">
        <v>18200</v>
      </c>
      <c r="D3237" s="677" t="s">
        <v>8680</v>
      </c>
      <c r="E3237" s="13" t="s">
        <v>580</v>
      </c>
      <c r="F3237" s="681">
        <v>54.24</v>
      </c>
    </row>
    <row r="3238" spans="2:6" ht="15.75" hidden="1" customHeight="1" x14ac:dyDescent="0.25">
      <c r="B3238" s="13" t="s">
        <v>556</v>
      </c>
      <c r="C3238" s="13" t="s">
        <v>18201</v>
      </c>
      <c r="D3238" s="677" t="s">
        <v>8681</v>
      </c>
      <c r="E3238" s="13" t="s">
        <v>580</v>
      </c>
      <c r="F3238" s="681">
        <v>62.92</v>
      </c>
    </row>
    <row r="3239" spans="2:6" ht="15.75" hidden="1" customHeight="1" x14ac:dyDescent="0.25">
      <c r="B3239" s="13" t="s">
        <v>556</v>
      </c>
      <c r="C3239" s="13" t="s">
        <v>18202</v>
      </c>
      <c r="D3239" s="677" t="s">
        <v>8682</v>
      </c>
      <c r="E3239" s="13" t="s">
        <v>580</v>
      </c>
      <c r="F3239" s="681">
        <v>79.05</v>
      </c>
    </row>
    <row r="3240" spans="2:6" ht="15.75" hidden="1" customHeight="1" x14ac:dyDescent="0.25">
      <c r="B3240" s="13" t="s">
        <v>556</v>
      </c>
      <c r="C3240" s="13" t="s">
        <v>18203</v>
      </c>
      <c r="D3240" s="12" t="s">
        <v>18204</v>
      </c>
      <c r="E3240" s="13" t="s">
        <v>580</v>
      </c>
      <c r="F3240" s="681">
        <v>14.9</v>
      </c>
    </row>
    <row r="3241" spans="2:6" ht="15.75" hidden="1" customHeight="1" x14ac:dyDescent="0.25">
      <c r="B3241" s="13" t="s">
        <v>556</v>
      </c>
      <c r="C3241" s="13" t="s">
        <v>18205</v>
      </c>
      <c r="D3241" s="12" t="s">
        <v>18206</v>
      </c>
      <c r="E3241" s="13" t="s">
        <v>580</v>
      </c>
      <c r="F3241" s="681">
        <v>11.97</v>
      </c>
    </row>
    <row r="3242" spans="2:6" ht="15.75" hidden="1" customHeight="1" x14ac:dyDescent="0.25">
      <c r="B3242" s="13" t="s">
        <v>556</v>
      </c>
      <c r="C3242" s="13" t="s">
        <v>18207</v>
      </c>
      <c r="D3242" s="12" t="s">
        <v>18208</v>
      </c>
      <c r="E3242" s="13" t="s">
        <v>580</v>
      </c>
      <c r="F3242" s="681">
        <v>12.35</v>
      </c>
    </row>
    <row r="3243" spans="2:6" ht="15.75" hidden="1" customHeight="1" x14ac:dyDescent="0.25">
      <c r="B3243" s="13" t="s">
        <v>556</v>
      </c>
      <c r="C3243" s="13" t="s">
        <v>18209</v>
      </c>
      <c r="D3243" s="12" t="s">
        <v>18210</v>
      </c>
      <c r="E3243" s="13" t="s">
        <v>580</v>
      </c>
      <c r="F3243" s="681">
        <v>16.72</v>
      </c>
    </row>
    <row r="3244" spans="2:6" ht="15.75" hidden="1" customHeight="1" x14ac:dyDescent="0.25">
      <c r="B3244" s="13" t="s">
        <v>556</v>
      </c>
      <c r="C3244" s="13" t="s">
        <v>18211</v>
      </c>
      <c r="D3244" s="12" t="s">
        <v>18212</v>
      </c>
      <c r="E3244" s="13" t="s">
        <v>580</v>
      </c>
      <c r="F3244" s="681">
        <v>16.72</v>
      </c>
    </row>
    <row r="3245" spans="2:6" ht="15.75" hidden="1" customHeight="1" x14ac:dyDescent="0.25">
      <c r="B3245" s="13" t="s">
        <v>556</v>
      </c>
      <c r="C3245" s="13" t="s">
        <v>18213</v>
      </c>
      <c r="D3245" s="12" t="s">
        <v>18214</v>
      </c>
      <c r="E3245" s="13" t="s">
        <v>580</v>
      </c>
      <c r="F3245" s="681">
        <v>15.96</v>
      </c>
    </row>
    <row r="3246" spans="2:6" ht="15.75" hidden="1" customHeight="1" x14ac:dyDescent="0.25">
      <c r="B3246" s="13" t="s">
        <v>556</v>
      </c>
      <c r="C3246" s="13" t="s">
        <v>18215</v>
      </c>
      <c r="D3246" s="12" t="s">
        <v>18216</v>
      </c>
      <c r="E3246" s="13" t="s">
        <v>580</v>
      </c>
      <c r="F3246" s="681">
        <v>22.43</v>
      </c>
    </row>
    <row r="3247" spans="2:6" ht="15.75" hidden="1" customHeight="1" x14ac:dyDescent="0.25">
      <c r="B3247" s="13" t="s">
        <v>556</v>
      </c>
      <c r="C3247" s="13" t="s">
        <v>18217</v>
      </c>
      <c r="D3247" s="12" t="s">
        <v>18218</v>
      </c>
      <c r="E3247" s="13" t="s">
        <v>580</v>
      </c>
      <c r="F3247" s="681">
        <v>43.86</v>
      </c>
    </row>
    <row r="3248" spans="2:6" ht="15.75" hidden="1" customHeight="1" x14ac:dyDescent="0.25">
      <c r="B3248" s="13" t="s">
        <v>556</v>
      </c>
      <c r="C3248" s="13" t="s">
        <v>18219</v>
      </c>
      <c r="D3248" s="12" t="s">
        <v>18220</v>
      </c>
      <c r="E3248" s="13" t="s">
        <v>580</v>
      </c>
      <c r="F3248" s="681">
        <v>23.95</v>
      </c>
    </row>
    <row r="3249" spans="2:6" ht="15.75" hidden="1" customHeight="1" x14ac:dyDescent="0.25">
      <c r="B3249" s="13" t="s">
        <v>556</v>
      </c>
      <c r="C3249" s="13" t="s">
        <v>18221</v>
      </c>
      <c r="D3249" s="12" t="s">
        <v>18222</v>
      </c>
      <c r="E3249" s="13" t="s">
        <v>580</v>
      </c>
      <c r="F3249" s="681">
        <v>34.22</v>
      </c>
    </row>
    <row r="3250" spans="2:6" ht="15.75" hidden="1" customHeight="1" x14ac:dyDescent="0.25">
      <c r="B3250" s="13" t="s">
        <v>556</v>
      </c>
      <c r="C3250" s="13" t="s">
        <v>18223</v>
      </c>
      <c r="D3250" s="12" t="s">
        <v>18224</v>
      </c>
      <c r="E3250" s="13" t="s">
        <v>580</v>
      </c>
      <c r="F3250" s="681">
        <v>56.09</v>
      </c>
    </row>
    <row r="3251" spans="2:6" ht="15.75" hidden="1" customHeight="1" x14ac:dyDescent="0.25">
      <c r="B3251" s="13" t="s">
        <v>556</v>
      </c>
      <c r="C3251" s="13" t="s">
        <v>18225</v>
      </c>
      <c r="D3251" s="12" t="s">
        <v>18226</v>
      </c>
      <c r="E3251" s="13" t="s">
        <v>580</v>
      </c>
      <c r="F3251" s="681">
        <v>36.159999999999997</v>
      </c>
    </row>
    <row r="3252" spans="2:6" ht="15.75" hidden="1" customHeight="1" x14ac:dyDescent="0.25">
      <c r="B3252" s="13" t="s">
        <v>556</v>
      </c>
      <c r="C3252" s="13" t="s">
        <v>18227</v>
      </c>
      <c r="D3252" s="12" t="s">
        <v>18228</v>
      </c>
      <c r="E3252" s="13" t="s">
        <v>580</v>
      </c>
      <c r="F3252" s="681">
        <v>43.76</v>
      </c>
    </row>
    <row r="3253" spans="2:6" ht="15.75" hidden="1" customHeight="1" x14ac:dyDescent="0.25">
      <c r="B3253" s="13" t="s">
        <v>556</v>
      </c>
      <c r="C3253" s="13" t="s">
        <v>18229</v>
      </c>
      <c r="D3253" s="12" t="s">
        <v>18230</v>
      </c>
      <c r="E3253" s="13" t="s">
        <v>580</v>
      </c>
      <c r="F3253" s="681">
        <v>88.47</v>
      </c>
    </row>
    <row r="3254" spans="2:6" ht="15.75" hidden="1" customHeight="1" x14ac:dyDescent="0.25">
      <c r="B3254" s="13" t="s">
        <v>556</v>
      </c>
      <c r="C3254" s="13" t="s">
        <v>18231</v>
      </c>
      <c r="D3254" s="12" t="s">
        <v>18232</v>
      </c>
      <c r="E3254" s="13" t="s">
        <v>580</v>
      </c>
      <c r="F3254" s="681">
        <v>53.61</v>
      </c>
    </row>
    <row r="3255" spans="2:6" ht="15.75" hidden="1" customHeight="1" x14ac:dyDescent="0.25">
      <c r="B3255" s="13" t="s">
        <v>556</v>
      </c>
      <c r="C3255" s="13" t="s">
        <v>18233</v>
      </c>
      <c r="D3255" s="12" t="s">
        <v>18234</v>
      </c>
      <c r="E3255" s="13" t="s">
        <v>580</v>
      </c>
      <c r="F3255" s="681">
        <v>68.959999999999994</v>
      </c>
    </row>
    <row r="3256" spans="2:6" ht="15.75" hidden="1" customHeight="1" x14ac:dyDescent="0.25">
      <c r="B3256" s="13" t="s">
        <v>556</v>
      </c>
      <c r="C3256" s="13" t="s">
        <v>18235</v>
      </c>
      <c r="D3256" s="12" t="s">
        <v>18236</v>
      </c>
      <c r="E3256" s="13" t="s">
        <v>580</v>
      </c>
      <c r="F3256" s="681">
        <v>177.99</v>
      </c>
    </row>
    <row r="3257" spans="2:6" ht="15.75" hidden="1" customHeight="1" x14ac:dyDescent="0.25">
      <c r="B3257" s="13" t="s">
        <v>556</v>
      </c>
      <c r="C3257" s="13" t="s">
        <v>18237</v>
      </c>
      <c r="D3257" s="12" t="s">
        <v>18238</v>
      </c>
      <c r="E3257" s="13" t="s">
        <v>580</v>
      </c>
      <c r="F3257" s="681">
        <v>88.19</v>
      </c>
    </row>
    <row r="3258" spans="2:6" ht="15.75" hidden="1" customHeight="1" x14ac:dyDescent="0.25">
      <c r="B3258" s="13" t="s">
        <v>556</v>
      </c>
      <c r="C3258" s="13" t="s">
        <v>18239</v>
      </c>
      <c r="D3258" s="12" t="s">
        <v>18240</v>
      </c>
      <c r="E3258" s="13" t="s">
        <v>580</v>
      </c>
      <c r="F3258" s="681">
        <v>138.56</v>
      </c>
    </row>
    <row r="3259" spans="2:6" ht="15.75" hidden="1" customHeight="1" x14ac:dyDescent="0.25">
      <c r="B3259" s="13" t="s">
        <v>556</v>
      </c>
      <c r="C3259" s="13" t="s">
        <v>18241</v>
      </c>
      <c r="D3259" s="12" t="s">
        <v>18242</v>
      </c>
      <c r="E3259" s="13" t="s">
        <v>580</v>
      </c>
      <c r="F3259" s="681">
        <v>240.69</v>
      </c>
    </row>
    <row r="3260" spans="2:6" ht="15.75" hidden="1" customHeight="1" x14ac:dyDescent="0.25">
      <c r="B3260" s="13" t="s">
        <v>556</v>
      </c>
      <c r="C3260" s="13" t="s">
        <v>18243</v>
      </c>
      <c r="D3260" s="12" t="s">
        <v>18244</v>
      </c>
      <c r="E3260" s="13" t="s">
        <v>580</v>
      </c>
      <c r="F3260" s="681">
        <v>140.11000000000001</v>
      </c>
    </row>
    <row r="3261" spans="2:6" ht="15.75" hidden="1" customHeight="1" x14ac:dyDescent="0.25">
      <c r="B3261" s="13" t="s">
        <v>556</v>
      </c>
      <c r="C3261" s="13" t="s">
        <v>18245</v>
      </c>
      <c r="D3261" s="12" t="s">
        <v>18246</v>
      </c>
      <c r="E3261" s="13" t="s">
        <v>580</v>
      </c>
      <c r="F3261" s="681">
        <v>187.57</v>
      </c>
    </row>
    <row r="3262" spans="2:6" ht="15.75" hidden="1" customHeight="1" x14ac:dyDescent="0.25">
      <c r="B3262" s="13" t="s">
        <v>556</v>
      </c>
      <c r="C3262" s="13" t="s">
        <v>18247</v>
      </c>
      <c r="D3262" s="12" t="s">
        <v>18248</v>
      </c>
      <c r="E3262" s="13" t="s">
        <v>580</v>
      </c>
      <c r="F3262" s="681">
        <v>19.989999999999998</v>
      </c>
    </row>
    <row r="3263" spans="2:6" ht="15.75" hidden="1" customHeight="1" x14ac:dyDescent="0.25">
      <c r="B3263" s="13" t="s">
        <v>556</v>
      </c>
      <c r="C3263" s="13" t="s">
        <v>18249</v>
      </c>
      <c r="D3263" s="12" t="s">
        <v>18250</v>
      </c>
      <c r="E3263" s="13" t="s">
        <v>580</v>
      </c>
      <c r="F3263" s="681">
        <v>19.989999999999998</v>
      </c>
    </row>
    <row r="3264" spans="2:6" ht="15.75" hidden="1" customHeight="1" x14ac:dyDescent="0.25">
      <c r="B3264" s="13" t="s">
        <v>556</v>
      </c>
      <c r="C3264" s="13" t="s">
        <v>18251</v>
      </c>
      <c r="D3264" s="12" t="s">
        <v>18252</v>
      </c>
      <c r="E3264" s="13" t="s">
        <v>580</v>
      </c>
      <c r="F3264" s="681">
        <v>26.65</v>
      </c>
    </row>
    <row r="3265" spans="2:6" ht="15.75" hidden="1" customHeight="1" x14ac:dyDescent="0.25">
      <c r="B3265" s="13" t="s">
        <v>556</v>
      </c>
      <c r="C3265" s="13" t="s">
        <v>18253</v>
      </c>
      <c r="D3265" s="12" t="s">
        <v>18254</v>
      </c>
      <c r="E3265" s="13" t="s">
        <v>580</v>
      </c>
      <c r="F3265" s="681">
        <v>26.65</v>
      </c>
    </row>
    <row r="3266" spans="2:6" ht="15.75" hidden="1" customHeight="1" x14ac:dyDescent="0.25">
      <c r="B3266" s="13" t="s">
        <v>556</v>
      </c>
      <c r="C3266" s="13" t="s">
        <v>18255</v>
      </c>
      <c r="D3266" s="12" t="s">
        <v>18256</v>
      </c>
      <c r="E3266" s="13" t="s">
        <v>580</v>
      </c>
      <c r="F3266" s="681">
        <v>37.83</v>
      </c>
    </row>
    <row r="3267" spans="2:6" ht="15.75" hidden="1" customHeight="1" x14ac:dyDescent="0.25">
      <c r="B3267" s="13" t="s">
        <v>556</v>
      </c>
      <c r="C3267" s="13" t="s">
        <v>18257</v>
      </c>
      <c r="D3267" s="12" t="s">
        <v>18258</v>
      </c>
      <c r="E3267" s="13" t="s">
        <v>580</v>
      </c>
      <c r="F3267" s="681">
        <v>57.82</v>
      </c>
    </row>
    <row r="3268" spans="2:6" ht="15.75" hidden="1" customHeight="1" x14ac:dyDescent="0.25">
      <c r="B3268" s="13" t="s">
        <v>556</v>
      </c>
      <c r="C3268" s="13" t="s">
        <v>18259</v>
      </c>
      <c r="D3268" s="12" t="s">
        <v>18260</v>
      </c>
      <c r="E3268" s="13" t="s">
        <v>580</v>
      </c>
      <c r="F3268" s="681">
        <v>57.82</v>
      </c>
    </row>
    <row r="3269" spans="2:6" ht="15.75" hidden="1" customHeight="1" x14ac:dyDescent="0.25">
      <c r="B3269" s="13" t="s">
        <v>556</v>
      </c>
      <c r="C3269" s="13" t="s">
        <v>18261</v>
      </c>
      <c r="D3269" s="12" t="s">
        <v>18262</v>
      </c>
      <c r="E3269" s="13" t="s">
        <v>580</v>
      </c>
      <c r="F3269" s="681">
        <v>84.46</v>
      </c>
    </row>
    <row r="3270" spans="2:6" ht="15.75" hidden="1" customHeight="1" x14ac:dyDescent="0.25">
      <c r="B3270" s="13" t="s">
        <v>556</v>
      </c>
      <c r="C3270" s="13" t="s">
        <v>18263</v>
      </c>
      <c r="D3270" s="12" t="s">
        <v>18264</v>
      </c>
      <c r="E3270" s="13" t="s">
        <v>580</v>
      </c>
      <c r="F3270" s="681">
        <v>84.46</v>
      </c>
    </row>
    <row r="3271" spans="2:6" ht="15.75" hidden="1" customHeight="1" x14ac:dyDescent="0.25">
      <c r="B3271" s="13" t="s">
        <v>556</v>
      </c>
      <c r="C3271" s="13" t="s">
        <v>18265</v>
      </c>
      <c r="D3271" s="12" t="s">
        <v>18266</v>
      </c>
      <c r="E3271" s="13" t="s">
        <v>580</v>
      </c>
      <c r="F3271" s="681">
        <v>131.22</v>
      </c>
    </row>
    <row r="3272" spans="2:6" ht="15.75" hidden="1" customHeight="1" x14ac:dyDescent="0.25">
      <c r="B3272" s="13" t="s">
        <v>556</v>
      </c>
      <c r="C3272" s="13" t="s">
        <v>18267</v>
      </c>
      <c r="D3272" s="12" t="s">
        <v>18268</v>
      </c>
      <c r="E3272" s="13" t="s">
        <v>580</v>
      </c>
      <c r="F3272" s="681">
        <v>120.08</v>
      </c>
    </row>
    <row r="3273" spans="2:6" ht="15.75" hidden="1" customHeight="1" x14ac:dyDescent="0.25">
      <c r="B3273" s="13" t="s">
        <v>556</v>
      </c>
      <c r="C3273" s="13" t="s">
        <v>18269</v>
      </c>
      <c r="D3273" s="12" t="s">
        <v>18270</v>
      </c>
      <c r="E3273" s="13" t="s">
        <v>580</v>
      </c>
      <c r="F3273" s="681">
        <v>239.9</v>
      </c>
    </row>
    <row r="3274" spans="2:6" ht="15.75" hidden="1" customHeight="1" x14ac:dyDescent="0.25">
      <c r="B3274" s="13" t="s">
        <v>556</v>
      </c>
      <c r="C3274" s="13" t="s">
        <v>18271</v>
      </c>
      <c r="D3274" s="12" t="s">
        <v>18272</v>
      </c>
      <c r="E3274" s="13" t="s">
        <v>580</v>
      </c>
      <c r="F3274" s="681">
        <v>542.77</v>
      </c>
    </row>
    <row r="3275" spans="2:6" ht="15.75" hidden="1" customHeight="1" x14ac:dyDescent="0.25">
      <c r="B3275" s="13" t="s">
        <v>556</v>
      </c>
      <c r="C3275" s="13" t="s">
        <v>18273</v>
      </c>
      <c r="D3275" s="12" t="s">
        <v>18274</v>
      </c>
      <c r="E3275" s="13" t="s">
        <v>580</v>
      </c>
      <c r="F3275" s="681">
        <v>622.66999999999996</v>
      </c>
    </row>
    <row r="3276" spans="2:6" ht="15.75" hidden="1" customHeight="1" x14ac:dyDescent="0.25">
      <c r="B3276" s="13" t="s">
        <v>556</v>
      </c>
      <c r="C3276" s="13" t="s">
        <v>18275</v>
      </c>
      <c r="D3276" s="12" t="s">
        <v>18276</v>
      </c>
      <c r="E3276" s="13" t="s">
        <v>580</v>
      </c>
      <c r="F3276" s="681">
        <v>30.74</v>
      </c>
    </row>
    <row r="3277" spans="2:6" ht="15.75" hidden="1" customHeight="1" x14ac:dyDescent="0.25">
      <c r="B3277" s="13" t="s">
        <v>556</v>
      </c>
      <c r="C3277" s="13" t="s">
        <v>18277</v>
      </c>
      <c r="D3277" s="12" t="s">
        <v>18278</v>
      </c>
      <c r="E3277" s="13" t="s">
        <v>580</v>
      </c>
      <c r="F3277" s="681">
        <v>39.6</v>
      </c>
    </row>
    <row r="3278" spans="2:6" ht="15.75" hidden="1" customHeight="1" x14ac:dyDescent="0.25">
      <c r="B3278" s="13" t="s">
        <v>556</v>
      </c>
      <c r="C3278" s="13" t="s">
        <v>18279</v>
      </c>
      <c r="D3278" s="12" t="s">
        <v>18280</v>
      </c>
      <c r="E3278" s="13" t="s">
        <v>580</v>
      </c>
      <c r="F3278" s="681">
        <v>62.21</v>
      </c>
    </row>
    <row r="3279" spans="2:6" ht="15.75" hidden="1" customHeight="1" x14ac:dyDescent="0.25">
      <c r="B3279" s="13" t="s">
        <v>556</v>
      </c>
      <c r="C3279" s="13" t="s">
        <v>18281</v>
      </c>
      <c r="D3279" s="12" t="s">
        <v>18282</v>
      </c>
      <c r="E3279" s="13" t="s">
        <v>580</v>
      </c>
      <c r="F3279" s="681">
        <v>95.55</v>
      </c>
    </row>
    <row r="3280" spans="2:6" ht="15.75" hidden="1" customHeight="1" x14ac:dyDescent="0.25">
      <c r="B3280" s="13" t="s">
        <v>556</v>
      </c>
      <c r="C3280" s="13" t="s">
        <v>18283</v>
      </c>
      <c r="D3280" s="12" t="s">
        <v>18284</v>
      </c>
      <c r="E3280" s="13" t="s">
        <v>580</v>
      </c>
      <c r="F3280" s="681">
        <v>124.51</v>
      </c>
    </row>
    <row r="3281" spans="2:6" ht="15.75" hidden="1" customHeight="1" x14ac:dyDescent="0.25">
      <c r="B3281" s="13" t="s">
        <v>556</v>
      </c>
      <c r="C3281" s="13" t="s">
        <v>18285</v>
      </c>
      <c r="D3281" s="12" t="s">
        <v>18286</v>
      </c>
      <c r="E3281" s="13" t="s">
        <v>580</v>
      </c>
      <c r="F3281" s="681">
        <v>204.57</v>
      </c>
    </row>
    <row r="3282" spans="2:6" ht="15.75" hidden="1" customHeight="1" x14ac:dyDescent="0.25">
      <c r="B3282" s="13" t="s">
        <v>556</v>
      </c>
      <c r="C3282" s="13" t="s">
        <v>18287</v>
      </c>
      <c r="D3282" s="12" t="s">
        <v>18288</v>
      </c>
      <c r="E3282" s="13" t="s">
        <v>580</v>
      </c>
      <c r="F3282" s="681">
        <v>399.46</v>
      </c>
    </row>
    <row r="3283" spans="2:6" ht="15.75" hidden="1" customHeight="1" x14ac:dyDescent="0.25">
      <c r="B3283" s="13" t="s">
        <v>556</v>
      </c>
      <c r="C3283" s="13" t="s">
        <v>18289</v>
      </c>
      <c r="D3283" s="12" t="s">
        <v>18290</v>
      </c>
      <c r="E3283" s="13" t="s">
        <v>580</v>
      </c>
      <c r="F3283" s="681">
        <v>653.51</v>
      </c>
    </row>
    <row r="3284" spans="2:6" ht="15.75" hidden="1" customHeight="1" x14ac:dyDescent="0.25">
      <c r="B3284" s="13" t="s">
        <v>556</v>
      </c>
      <c r="C3284" s="13" t="s">
        <v>18291</v>
      </c>
      <c r="D3284" s="12" t="s">
        <v>10055</v>
      </c>
      <c r="E3284" s="13" t="s">
        <v>585</v>
      </c>
      <c r="F3284" s="681">
        <v>2.84</v>
      </c>
    </row>
    <row r="3285" spans="2:6" ht="15.75" hidden="1" customHeight="1" x14ac:dyDescent="0.25">
      <c r="B3285" s="13" t="s">
        <v>556</v>
      </c>
      <c r="C3285" s="13" t="s">
        <v>18292</v>
      </c>
      <c r="D3285" s="12" t="s">
        <v>9837</v>
      </c>
      <c r="E3285" s="13" t="s">
        <v>585</v>
      </c>
      <c r="F3285" s="681">
        <v>1.79</v>
      </c>
    </row>
    <row r="3286" spans="2:6" ht="15.75" hidden="1" customHeight="1" x14ac:dyDescent="0.25">
      <c r="B3286" s="13" t="s">
        <v>556</v>
      </c>
      <c r="C3286" s="13" t="s">
        <v>18293</v>
      </c>
      <c r="D3286" s="12" t="s">
        <v>9838</v>
      </c>
      <c r="E3286" s="13" t="s">
        <v>585</v>
      </c>
      <c r="F3286" s="681">
        <v>2.64</v>
      </c>
    </row>
    <row r="3287" spans="2:6" ht="15.75" hidden="1" customHeight="1" x14ac:dyDescent="0.25">
      <c r="B3287" s="13" t="s">
        <v>556</v>
      </c>
      <c r="C3287" s="13" t="s">
        <v>18294</v>
      </c>
      <c r="D3287" s="12" t="s">
        <v>9839</v>
      </c>
      <c r="E3287" s="13" t="s">
        <v>585</v>
      </c>
      <c r="F3287" s="681">
        <v>3.38</v>
      </c>
    </row>
    <row r="3288" spans="2:6" ht="15.75" hidden="1" customHeight="1" x14ac:dyDescent="0.25">
      <c r="B3288" s="13" t="s">
        <v>14150</v>
      </c>
      <c r="C3288" s="13" t="s">
        <v>18295</v>
      </c>
      <c r="D3288" s="12" t="s">
        <v>10923</v>
      </c>
      <c r="E3288" s="13" t="s">
        <v>580</v>
      </c>
      <c r="F3288" s="681">
        <v>72786.960000000006</v>
      </c>
    </row>
    <row r="3289" spans="2:6" ht="15.75" hidden="1" customHeight="1" x14ac:dyDescent="0.25">
      <c r="B3289" s="13" t="s">
        <v>556</v>
      </c>
      <c r="C3289" s="13" t="s">
        <v>18296</v>
      </c>
      <c r="D3289" s="12" t="s">
        <v>9624</v>
      </c>
      <c r="E3289" s="13" t="s">
        <v>580</v>
      </c>
      <c r="F3289" s="681">
        <v>5.57</v>
      </c>
    </row>
    <row r="3290" spans="2:6" ht="15.75" hidden="1" customHeight="1" x14ac:dyDescent="0.25">
      <c r="B3290" s="13" t="s">
        <v>556</v>
      </c>
      <c r="C3290" s="13" t="s">
        <v>18297</v>
      </c>
      <c r="D3290" s="12" t="s">
        <v>9626</v>
      </c>
      <c r="E3290" s="13" t="s">
        <v>580</v>
      </c>
      <c r="F3290" s="681">
        <v>1.97</v>
      </c>
    </row>
    <row r="3291" spans="2:6" ht="15.75" hidden="1" customHeight="1" x14ac:dyDescent="0.25">
      <c r="B3291" s="13" t="s">
        <v>556</v>
      </c>
      <c r="C3291" s="13" t="s">
        <v>18298</v>
      </c>
      <c r="D3291" s="12" t="s">
        <v>18299</v>
      </c>
      <c r="E3291" s="13" t="s">
        <v>580</v>
      </c>
      <c r="F3291" s="681">
        <v>20.49</v>
      </c>
    </row>
    <row r="3292" spans="2:6" ht="15.75" hidden="1" customHeight="1" x14ac:dyDescent="0.25">
      <c r="B3292" s="13" t="s">
        <v>556</v>
      </c>
      <c r="C3292" s="13" t="s">
        <v>18300</v>
      </c>
      <c r="D3292" s="12" t="s">
        <v>18301</v>
      </c>
      <c r="E3292" s="13" t="s">
        <v>580</v>
      </c>
      <c r="F3292" s="681">
        <v>22.23</v>
      </c>
    </row>
    <row r="3293" spans="2:6" ht="15.75" hidden="1" customHeight="1" x14ac:dyDescent="0.25">
      <c r="B3293" s="13" t="s">
        <v>556</v>
      </c>
      <c r="C3293" s="13" t="s">
        <v>18302</v>
      </c>
      <c r="D3293" s="12" t="s">
        <v>18303</v>
      </c>
      <c r="E3293" s="13" t="s">
        <v>580</v>
      </c>
      <c r="F3293" s="681">
        <v>24.95</v>
      </c>
    </row>
    <row r="3294" spans="2:6" ht="15.75" hidden="1" customHeight="1" x14ac:dyDescent="0.25">
      <c r="B3294" s="13" t="s">
        <v>556</v>
      </c>
      <c r="C3294" s="13" t="s">
        <v>18304</v>
      </c>
      <c r="D3294" s="12" t="s">
        <v>18305</v>
      </c>
      <c r="E3294" s="13" t="s">
        <v>580</v>
      </c>
      <c r="F3294" s="681">
        <v>19.48</v>
      </c>
    </row>
    <row r="3295" spans="2:6" ht="15.75" hidden="1" customHeight="1" x14ac:dyDescent="0.25">
      <c r="B3295" s="13" t="s">
        <v>556</v>
      </c>
      <c r="C3295" s="13" t="s">
        <v>18306</v>
      </c>
      <c r="D3295" s="12" t="s">
        <v>18307</v>
      </c>
      <c r="E3295" s="13" t="s">
        <v>580</v>
      </c>
      <c r="F3295" s="681">
        <v>17.940000000000001</v>
      </c>
    </row>
    <row r="3296" spans="2:6" ht="15.75" hidden="1" customHeight="1" x14ac:dyDescent="0.25">
      <c r="B3296" s="13" t="s">
        <v>556</v>
      </c>
      <c r="C3296" s="13" t="s">
        <v>18308</v>
      </c>
      <c r="D3296" s="12" t="s">
        <v>18309</v>
      </c>
      <c r="E3296" s="13" t="s">
        <v>580</v>
      </c>
      <c r="F3296" s="681">
        <v>27.77</v>
      </c>
    </row>
    <row r="3297" spans="2:6" ht="15.75" hidden="1" customHeight="1" x14ac:dyDescent="0.25">
      <c r="B3297" s="13" t="s">
        <v>556</v>
      </c>
      <c r="C3297" s="13" t="s">
        <v>18310</v>
      </c>
      <c r="D3297" s="12" t="s">
        <v>18311</v>
      </c>
      <c r="E3297" s="13" t="s">
        <v>580</v>
      </c>
      <c r="F3297" s="681">
        <v>24.79</v>
      </c>
    </row>
    <row r="3298" spans="2:6" ht="15.75" hidden="1" customHeight="1" x14ac:dyDescent="0.25">
      <c r="B3298" s="13" t="s">
        <v>556</v>
      </c>
      <c r="C3298" s="13" t="s">
        <v>18312</v>
      </c>
      <c r="D3298" s="12" t="s">
        <v>18313</v>
      </c>
      <c r="E3298" s="13" t="s">
        <v>580</v>
      </c>
      <c r="F3298" s="681">
        <v>32.76</v>
      </c>
    </row>
    <row r="3299" spans="2:6" ht="15.75" hidden="1" customHeight="1" x14ac:dyDescent="0.25">
      <c r="B3299" s="13" t="s">
        <v>556</v>
      </c>
      <c r="C3299" s="13" t="s">
        <v>18314</v>
      </c>
      <c r="D3299" s="12" t="s">
        <v>18315</v>
      </c>
      <c r="E3299" s="13" t="s">
        <v>580</v>
      </c>
      <c r="F3299" s="681">
        <v>29.57</v>
      </c>
    </row>
    <row r="3300" spans="2:6" ht="15.75" hidden="1" customHeight="1" x14ac:dyDescent="0.25">
      <c r="B3300" s="13" t="s">
        <v>556</v>
      </c>
      <c r="C3300" s="13" t="s">
        <v>18316</v>
      </c>
      <c r="D3300" s="12" t="s">
        <v>18317</v>
      </c>
      <c r="E3300" s="13" t="s">
        <v>580</v>
      </c>
      <c r="F3300" s="681">
        <v>31.92</v>
      </c>
    </row>
    <row r="3301" spans="2:6" ht="15.75" hidden="1" customHeight="1" x14ac:dyDescent="0.25">
      <c r="B3301" s="13" t="s">
        <v>556</v>
      </c>
      <c r="C3301" s="13" t="s">
        <v>18318</v>
      </c>
      <c r="D3301" s="12" t="s">
        <v>18319</v>
      </c>
      <c r="E3301" s="13" t="s">
        <v>580</v>
      </c>
      <c r="F3301" s="681">
        <v>46.56</v>
      </c>
    </row>
    <row r="3302" spans="2:6" ht="15.75" hidden="1" customHeight="1" x14ac:dyDescent="0.25">
      <c r="B3302" s="13" t="s">
        <v>556</v>
      </c>
      <c r="C3302" s="13" t="s">
        <v>18320</v>
      </c>
      <c r="D3302" s="12" t="s">
        <v>18321</v>
      </c>
      <c r="E3302" s="13" t="s">
        <v>580</v>
      </c>
      <c r="F3302" s="681">
        <v>49.57</v>
      </c>
    </row>
    <row r="3303" spans="2:6" ht="15.75" hidden="1" customHeight="1" x14ac:dyDescent="0.25">
      <c r="B3303" s="13" t="s">
        <v>556</v>
      </c>
      <c r="C3303" s="13" t="s">
        <v>18322</v>
      </c>
      <c r="D3303" s="12" t="s">
        <v>18323</v>
      </c>
      <c r="E3303" s="13" t="s">
        <v>580</v>
      </c>
      <c r="F3303" s="681">
        <v>257.70999999999998</v>
      </c>
    </row>
    <row r="3304" spans="2:6" ht="15.75" hidden="1" customHeight="1" x14ac:dyDescent="0.25">
      <c r="B3304" s="13" t="s">
        <v>556</v>
      </c>
      <c r="C3304" s="13" t="s">
        <v>18324</v>
      </c>
      <c r="D3304" s="12" t="s">
        <v>18325</v>
      </c>
      <c r="E3304" s="13" t="s">
        <v>580</v>
      </c>
      <c r="F3304" s="681">
        <v>37.83</v>
      </c>
    </row>
    <row r="3305" spans="2:6" ht="15.75" hidden="1" customHeight="1" x14ac:dyDescent="0.25">
      <c r="B3305" s="13" t="s">
        <v>556</v>
      </c>
      <c r="C3305" s="13" t="s">
        <v>18326</v>
      </c>
      <c r="D3305" s="677" t="s">
        <v>18327</v>
      </c>
      <c r="E3305" s="13" t="s">
        <v>823</v>
      </c>
      <c r="F3305" s="681">
        <v>8.35</v>
      </c>
    </row>
    <row r="3306" spans="2:6" ht="15.75" hidden="1" customHeight="1" x14ac:dyDescent="0.25">
      <c r="B3306" s="13" t="s">
        <v>556</v>
      </c>
      <c r="C3306" s="13" t="s">
        <v>18328</v>
      </c>
      <c r="D3306" s="677" t="s">
        <v>18329</v>
      </c>
      <c r="E3306" s="13" t="s">
        <v>823</v>
      </c>
      <c r="F3306" s="681">
        <v>8.2100000000000009</v>
      </c>
    </row>
    <row r="3307" spans="2:6" ht="15.75" hidden="1" customHeight="1" x14ac:dyDescent="0.25">
      <c r="B3307" s="13" t="s">
        <v>556</v>
      </c>
      <c r="C3307" s="13" t="s">
        <v>18330</v>
      </c>
      <c r="D3307" s="12" t="s">
        <v>18331</v>
      </c>
      <c r="E3307" s="13" t="s">
        <v>580</v>
      </c>
      <c r="F3307" s="681">
        <v>1.58</v>
      </c>
    </row>
    <row r="3308" spans="2:6" ht="15.75" hidden="1" customHeight="1" x14ac:dyDescent="0.25">
      <c r="B3308" s="13" t="s">
        <v>14150</v>
      </c>
      <c r="C3308" s="13" t="s">
        <v>18332</v>
      </c>
      <c r="D3308" s="12" t="s">
        <v>10933</v>
      </c>
      <c r="E3308" s="13" t="s">
        <v>580</v>
      </c>
      <c r="F3308" s="681">
        <v>1028429.53</v>
      </c>
    </row>
    <row r="3309" spans="2:6" ht="15.75" hidden="1" customHeight="1" x14ac:dyDescent="0.25">
      <c r="B3309" s="13" t="s">
        <v>556</v>
      </c>
      <c r="C3309" s="13" t="s">
        <v>18333</v>
      </c>
      <c r="D3309" s="12" t="s">
        <v>10101</v>
      </c>
      <c r="E3309" s="13" t="s">
        <v>664</v>
      </c>
      <c r="F3309" s="681">
        <v>328.51</v>
      </c>
    </row>
    <row r="3310" spans="2:6" ht="15.75" hidden="1" customHeight="1" x14ac:dyDescent="0.25">
      <c r="B3310" s="13" t="s">
        <v>556</v>
      </c>
      <c r="C3310" s="13" t="s">
        <v>18334</v>
      </c>
      <c r="D3310" s="12" t="s">
        <v>10100</v>
      </c>
      <c r="E3310" s="13" t="s">
        <v>664</v>
      </c>
      <c r="F3310" s="681">
        <v>263.45999999999998</v>
      </c>
    </row>
    <row r="3311" spans="2:6" ht="15.75" hidden="1" customHeight="1" x14ac:dyDescent="0.25">
      <c r="B3311" s="13" t="s">
        <v>556</v>
      </c>
      <c r="C3311" s="13" t="s">
        <v>18335</v>
      </c>
      <c r="D3311" s="12" t="s">
        <v>10091</v>
      </c>
      <c r="E3311" s="13" t="s">
        <v>664</v>
      </c>
      <c r="F3311" s="681">
        <v>589.21</v>
      </c>
    </row>
    <row r="3312" spans="2:6" ht="15.75" hidden="1" customHeight="1" x14ac:dyDescent="0.25">
      <c r="B3312" s="13" t="s">
        <v>556</v>
      </c>
      <c r="C3312" s="13" t="s">
        <v>18336</v>
      </c>
      <c r="D3312" s="12" t="s">
        <v>10092</v>
      </c>
      <c r="E3312" s="13" t="s">
        <v>664</v>
      </c>
      <c r="F3312" s="681">
        <v>376.17</v>
      </c>
    </row>
    <row r="3313" spans="2:6" ht="15.75" hidden="1" customHeight="1" x14ac:dyDescent="0.25">
      <c r="B3313" s="13" t="s">
        <v>556</v>
      </c>
      <c r="C3313" s="13" t="s">
        <v>18337</v>
      </c>
      <c r="D3313" s="12" t="s">
        <v>10096</v>
      </c>
      <c r="E3313" s="13" t="s">
        <v>664</v>
      </c>
      <c r="F3313" s="681">
        <v>316.24</v>
      </c>
    </row>
    <row r="3314" spans="2:6" ht="15.75" hidden="1" customHeight="1" x14ac:dyDescent="0.25">
      <c r="B3314" s="13" t="s">
        <v>556</v>
      </c>
      <c r="C3314" s="13" t="s">
        <v>18338</v>
      </c>
      <c r="D3314" s="12" t="s">
        <v>10081</v>
      </c>
      <c r="E3314" s="13" t="s">
        <v>578</v>
      </c>
      <c r="F3314" s="681">
        <v>118.35</v>
      </c>
    </row>
    <row r="3315" spans="2:6" ht="15.75" hidden="1" customHeight="1" x14ac:dyDescent="0.25">
      <c r="B3315" s="13" t="s">
        <v>556</v>
      </c>
      <c r="C3315" s="13" t="s">
        <v>18339</v>
      </c>
      <c r="D3315" s="12" t="s">
        <v>10083</v>
      </c>
      <c r="E3315" s="13" t="s">
        <v>578</v>
      </c>
      <c r="F3315" s="681">
        <v>140.46</v>
      </c>
    </row>
    <row r="3316" spans="2:6" ht="15.75" hidden="1" customHeight="1" x14ac:dyDescent="0.25">
      <c r="B3316" s="13" t="s">
        <v>556</v>
      </c>
      <c r="C3316" s="13" t="s">
        <v>18340</v>
      </c>
      <c r="D3316" s="12" t="s">
        <v>10082</v>
      </c>
      <c r="E3316" s="13" t="s">
        <v>578</v>
      </c>
      <c r="F3316" s="681">
        <v>128.06</v>
      </c>
    </row>
    <row r="3317" spans="2:6" ht="15.75" hidden="1" customHeight="1" x14ac:dyDescent="0.25">
      <c r="B3317" s="13" t="s">
        <v>556</v>
      </c>
      <c r="C3317" s="13" t="s">
        <v>18341</v>
      </c>
      <c r="D3317" s="12" t="s">
        <v>10644</v>
      </c>
      <c r="E3317" s="13" t="s">
        <v>517</v>
      </c>
      <c r="F3317" s="681">
        <v>72.25</v>
      </c>
    </row>
    <row r="3318" spans="2:6" ht="15.75" hidden="1" customHeight="1" x14ac:dyDescent="0.25">
      <c r="B3318" s="13" t="s">
        <v>556</v>
      </c>
      <c r="C3318" s="13" t="s">
        <v>18342</v>
      </c>
      <c r="D3318" s="12" t="s">
        <v>8946</v>
      </c>
      <c r="E3318" s="13" t="s">
        <v>578</v>
      </c>
      <c r="F3318" s="681">
        <v>150.52000000000001</v>
      </c>
    </row>
    <row r="3319" spans="2:6" ht="15.75" hidden="1" customHeight="1" x14ac:dyDescent="0.25">
      <c r="B3319" s="13" t="s">
        <v>556</v>
      </c>
      <c r="C3319" s="13" t="s">
        <v>18343</v>
      </c>
      <c r="D3319" s="12" t="s">
        <v>8945</v>
      </c>
      <c r="E3319" s="13" t="s">
        <v>578</v>
      </c>
      <c r="F3319" s="681">
        <v>66.900000000000006</v>
      </c>
    </row>
    <row r="3320" spans="2:6" ht="15.75" hidden="1" customHeight="1" x14ac:dyDescent="0.25">
      <c r="B3320" s="13" t="s">
        <v>14150</v>
      </c>
      <c r="C3320" s="13" t="s">
        <v>18344</v>
      </c>
      <c r="D3320" s="12" t="s">
        <v>9598</v>
      </c>
      <c r="E3320" s="13" t="s">
        <v>580</v>
      </c>
      <c r="F3320" s="681">
        <v>97946.05</v>
      </c>
    </row>
    <row r="3321" spans="2:6" ht="15.75" hidden="1" customHeight="1" x14ac:dyDescent="0.25">
      <c r="B3321" s="13" t="s">
        <v>14150</v>
      </c>
      <c r="C3321" s="13" t="s">
        <v>18345</v>
      </c>
      <c r="D3321" s="12" t="s">
        <v>9789</v>
      </c>
      <c r="E3321" s="13" t="s">
        <v>580</v>
      </c>
      <c r="F3321" s="681">
        <v>103807.05</v>
      </c>
    </row>
    <row r="3322" spans="2:6" ht="15.75" hidden="1" customHeight="1" x14ac:dyDescent="0.25">
      <c r="B3322" s="13" t="s">
        <v>556</v>
      </c>
      <c r="C3322" s="13" t="s">
        <v>18346</v>
      </c>
      <c r="D3322" s="12" t="s">
        <v>8947</v>
      </c>
      <c r="E3322" s="13" t="s">
        <v>578</v>
      </c>
      <c r="F3322" s="681">
        <v>94.07</v>
      </c>
    </row>
    <row r="3323" spans="2:6" ht="15.75" hidden="1" customHeight="1" x14ac:dyDescent="0.25">
      <c r="B3323" s="13" t="s">
        <v>14150</v>
      </c>
      <c r="C3323" s="13" t="s">
        <v>18347</v>
      </c>
      <c r="D3323" s="12" t="s">
        <v>18348</v>
      </c>
      <c r="E3323" s="13" t="s">
        <v>580</v>
      </c>
      <c r="F3323" s="681">
        <v>2200.23</v>
      </c>
    </row>
    <row r="3324" spans="2:6" ht="15.75" hidden="1" customHeight="1" x14ac:dyDescent="0.25">
      <c r="B3324" s="13" t="s">
        <v>556</v>
      </c>
      <c r="C3324" s="13" t="s">
        <v>18349</v>
      </c>
      <c r="D3324" s="12" t="s">
        <v>8948</v>
      </c>
      <c r="E3324" s="13" t="s">
        <v>578</v>
      </c>
      <c r="F3324" s="681">
        <v>96.17</v>
      </c>
    </row>
    <row r="3325" spans="2:6" ht="15.75" hidden="1" customHeight="1" x14ac:dyDescent="0.25">
      <c r="B3325" s="13" t="s">
        <v>556</v>
      </c>
      <c r="C3325" s="13" t="s">
        <v>18350</v>
      </c>
      <c r="D3325" s="12" t="s">
        <v>18351</v>
      </c>
      <c r="E3325" s="13" t="s">
        <v>823</v>
      </c>
      <c r="F3325" s="681">
        <v>8.66</v>
      </c>
    </row>
    <row r="3326" spans="2:6" ht="15.75" hidden="1" customHeight="1" x14ac:dyDescent="0.25">
      <c r="B3326" s="13" t="s">
        <v>556</v>
      </c>
      <c r="C3326" s="13" t="s">
        <v>18352</v>
      </c>
      <c r="D3326" s="12" t="s">
        <v>10851</v>
      </c>
      <c r="E3326" s="13" t="s">
        <v>10852</v>
      </c>
      <c r="F3326" s="681">
        <v>30.3</v>
      </c>
    </row>
    <row r="3327" spans="2:6" ht="15.75" hidden="1" customHeight="1" x14ac:dyDescent="0.25">
      <c r="B3327" s="13" t="s">
        <v>556</v>
      </c>
      <c r="C3327" s="13" t="s">
        <v>18353</v>
      </c>
      <c r="D3327" s="12" t="s">
        <v>10862</v>
      </c>
      <c r="E3327" s="13" t="s">
        <v>10852</v>
      </c>
      <c r="F3327" s="681">
        <v>205.62</v>
      </c>
    </row>
    <row r="3328" spans="2:6" ht="15.75" hidden="1" customHeight="1" x14ac:dyDescent="0.25">
      <c r="B3328" s="13" t="s">
        <v>556</v>
      </c>
      <c r="C3328" s="13" t="s">
        <v>18354</v>
      </c>
      <c r="D3328" s="12" t="s">
        <v>10861</v>
      </c>
      <c r="E3328" s="13" t="s">
        <v>10852</v>
      </c>
      <c r="F3328" s="681">
        <v>51.94</v>
      </c>
    </row>
    <row r="3329" spans="2:6" ht="15.75" hidden="1" customHeight="1" x14ac:dyDescent="0.25">
      <c r="B3329" s="13" t="s">
        <v>556</v>
      </c>
      <c r="C3329" s="13" t="s">
        <v>18355</v>
      </c>
      <c r="D3329" s="12" t="s">
        <v>8614</v>
      </c>
      <c r="E3329" s="13" t="s">
        <v>664</v>
      </c>
      <c r="F3329" s="681">
        <v>63.75</v>
      </c>
    </row>
    <row r="3330" spans="2:6" ht="15.75" hidden="1" customHeight="1" x14ac:dyDescent="0.25">
      <c r="B3330" s="13" t="s">
        <v>556</v>
      </c>
      <c r="C3330" s="13" t="s">
        <v>18356</v>
      </c>
      <c r="D3330" s="12" t="s">
        <v>11087</v>
      </c>
      <c r="E3330" s="13" t="s">
        <v>823</v>
      </c>
      <c r="F3330" s="681">
        <v>12.3</v>
      </c>
    </row>
    <row r="3331" spans="2:6" ht="15.75" hidden="1" customHeight="1" x14ac:dyDescent="0.25">
      <c r="B3331" s="13" t="s">
        <v>14153</v>
      </c>
      <c r="C3331" s="13" t="s">
        <v>18357</v>
      </c>
      <c r="D3331" s="12" t="s">
        <v>10651</v>
      </c>
      <c r="E3331" s="13" t="s">
        <v>2193</v>
      </c>
      <c r="F3331" s="681">
        <v>33.42</v>
      </c>
    </row>
    <row r="3332" spans="2:6" ht="15.75" hidden="1" customHeight="1" x14ac:dyDescent="0.25">
      <c r="B3332" s="13" t="s">
        <v>556</v>
      </c>
      <c r="C3332" s="13" t="s">
        <v>18358</v>
      </c>
      <c r="D3332" s="12" t="s">
        <v>10679</v>
      </c>
      <c r="E3332" s="13" t="s">
        <v>585</v>
      </c>
      <c r="F3332" s="681">
        <v>31.93</v>
      </c>
    </row>
    <row r="3333" spans="2:6" ht="15.75" hidden="1" customHeight="1" x14ac:dyDescent="0.25">
      <c r="B3333" s="13" t="s">
        <v>556</v>
      </c>
      <c r="C3333" s="13" t="s">
        <v>12684</v>
      </c>
      <c r="D3333" s="12" t="s">
        <v>18359</v>
      </c>
      <c r="E3333" s="13" t="s">
        <v>823</v>
      </c>
      <c r="F3333" s="681">
        <v>8.4499999999999993</v>
      </c>
    </row>
    <row r="3334" spans="2:6" ht="15.75" hidden="1" customHeight="1" x14ac:dyDescent="0.25">
      <c r="B3334" s="13" t="s">
        <v>556</v>
      </c>
      <c r="C3334" s="13" t="s">
        <v>18360</v>
      </c>
      <c r="D3334" s="12" t="s">
        <v>10046</v>
      </c>
      <c r="E3334" s="13" t="s">
        <v>580</v>
      </c>
      <c r="F3334" s="681">
        <v>81</v>
      </c>
    </row>
    <row r="3335" spans="2:6" ht="15.75" hidden="1" customHeight="1" x14ac:dyDescent="0.25">
      <c r="B3335" s="13" t="s">
        <v>556</v>
      </c>
      <c r="C3335" s="13" t="s">
        <v>18361</v>
      </c>
      <c r="D3335" s="12" t="s">
        <v>9297</v>
      </c>
      <c r="E3335" s="13" t="s">
        <v>580</v>
      </c>
      <c r="F3335" s="681">
        <v>5.26</v>
      </c>
    </row>
    <row r="3336" spans="2:6" ht="15.75" hidden="1" customHeight="1" x14ac:dyDescent="0.25">
      <c r="B3336" s="13" t="s">
        <v>556</v>
      </c>
      <c r="C3336" s="13" t="s">
        <v>18362</v>
      </c>
      <c r="D3336" s="12" t="s">
        <v>10681</v>
      </c>
      <c r="E3336" s="13" t="s">
        <v>580</v>
      </c>
      <c r="F3336" s="681">
        <v>39.75</v>
      </c>
    </row>
    <row r="3337" spans="2:6" ht="15.75" hidden="1" customHeight="1" x14ac:dyDescent="0.25">
      <c r="B3337" s="13" t="s">
        <v>556</v>
      </c>
      <c r="C3337" s="13" t="s">
        <v>18363</v>
      </c>
      <c r="D3337" s="12" t="s">
        <v>10680</v>
      </c>
      <c r="E3337" s="13" t="s">
        <v>580</v>
      </c>
      <c r="F3337" s="681">
        <v>31.93</v>
      </c>
    </row>
    <row r="3338" spans="2:6" ht="15.75" hidden="1" customHeight="1" x14ac:dyDescent="0.25">
      <c r="B3338" s="13" t="s">
        <v>556</v>
      </c>
      <c r="C3338" s="13" t="s">
        <v>18364</v>
      </c>
      <c r="D3338" s="677" t="s">
        <v>18365</v>
      </c>
      <c r="E3338" s="13" t="s">
        <v>8838</v>
      </c>
      <c r="F3338" s="681">
        <v>91.69</v>
      </c>
    </row>
    <row r="3339" spans="2:6" ht="15.75" hidden="1" customHeight="1" x14ac:dyDescent="0.25">
      <c r="B3339" s="13" t="s">
        <v>556</v>
      </c>
      <c r="C3339" s="13" t="s">
        <v>18366</v>
      </c>
      <c r="D3339" s="12" t="s">
        <v>18367</v>
      </c>
      <c r="E3339" s="13" t="s">
        <v>585</v>
      </c>
      <c r="F3339" s="681">
        <v>81.42</v>
      </c>
    </row>
    <row r="3340" spans="2:6" ht="15.75" hidden="1" customHeight="1" x14ac:dyDescent="0.25">
      <c r="B3340" s="13" t="s">
        <v>556</v>
      </c>
      <c r="C3340" s="13" t="s">
        <v>18368</v>
      </c>
      <c r="D3340" s="12" t="s">
        <v>18369</v>
      </c>
      <c r="E3340" s="13" t="s">
        <v>585</v>
      </c>
      <c r="F3340" s="681">
        <v>36.21</v>
      </c>
    </row>
    <row r="3341" spans="2:6" ht="15.75" hidden="1" customHeight="1" x14ac:dyDescent="0.25">
      <c r="B3341" s="13" t="s">
        <v>14150</v>
      </c>
      <c r="C3341" s="13" t="s">
        <v>18370</v>
      </c>
      <c r="D3341" s="12" t="s">
        <v>9925</v>
      </c>
      <c r="E3341" s="13" t="s">
        <v>580</v>
      </c>
      <c r="F3341" s="681">
        <v>1177036.3899999999</v>
      </c>
    </row>
    <row r="3342" spans="2:6" ht="15.75" hidden="1" customHeight="1" x14ac:dyDescent="0.25">
      <c r="B3342" s="13" t="s">
        <v>14150</v>
      </c>
      <c r="C3342" s="13" t="s">
        <v>18371</v>
      </c>
      <c r="D3342" s="12" t="s">
        <v>18372</v>
      </c>
      <c r="E3342" s="13" t="s">
        <v>580</v>
      </c>
      <c r="F3342" s="681">
        <v>793072.01</v>
      </c>
    </row>
    <row r="3343" spans="2:6" ht="15.75" hidden="1" customHeight="1" x14ac:dyDescent="0.25">
      <c r="B3343" s="13" t="s">
        <v>556</v>
      </c>
      <c r="C3343" s="13" t="s">
        <v>18373</v>
      </c>
      <c r="D3343" s="12" t="s">
        <v>18374</v>
      </c>
      <c r="E3343" s="13" t="s">
        <v>578</v>
      </c>
      <c r="F3343" s="681">
        <v>170.12</v>
      </c>
    </row>
    <row r="3344" spans="2:6" ht="15.75" hidden="1" customHeight="1" x14ac:dyDescent="0.25">
      <c r="B3344" s="13" t="s">
        <v>556</v>
      </c>
      <c r="C3344" s="13" t="s">
        <v>18375</v>
      </c>
      <c r="D3344" s="12" t="s">
        <v>18376</v>
      </c>
      <c r="E3344" s="13" t="s">
        <v>578</v>
      </c>
      <c r="F3344" s="681">
        <v>208.32</v>
      </c>
    </row>
    <row r="3345" spans="2:6" ht="15.75" hidden="1" customHeight="1" x14ac:dyDescent="0.25">
      <c r="B3345" s="13" t="s">
        <v>556</v>
      </c>
      <c r="C3345" s="13" t="s">
        <v>18377</v>
      </c>
      <c r="D3345" s="12" t="s">
        <v>18378</v>
      </c>
      <c r="E3345" s="13" t="s">
        <v>578</v>
      </c>
      <c r="F3345" s="681">
        <v>121.34</v>
      </c>
    </row>
    <row r="3346" spans="2:6" ht="15.75" hidden="1" customHeight="1" x14ac:dyDescent="0.25">
      <c r="B3346" s="13" t="s">
        <v>556</v>
      </c>
      <c r="C3346" s="13" t="s">
        <v>18379</v>
      </c>
      <c r="D3346" s="12" t="s">
        <v>18380</v>
      </c>
      <c r="E3346" s="13" t="s">
        <v>578</v>
      </c>
      <c r="F3346" s="681">
        <v>156.24</v>
      </c>
    </row>
    <row r="3347" spans="2:6" ht="15.75" hidden="1" customHeight="1" x14ac:dyDescent="0.25">
      <c r="B3347" s="13" t="s">
        <v>556</v>
      </c>
      <c r="C3347" s="13" t="s">
        <v>18381</v>
      </c>
      <c r="D3347" s="12" t="s">
        <v>18382</v>
      </c>
      <c r="E3347" s="13" t="s">
        <v>578</v>
      </c>
      <c r="F3347" s="681">
        <v>288.17</v>
      </c>
    </row>
    <row r="3348" spans="2:6" ht="15.75" hidden="1" customHeight="1" x14ac:dyDescent="0.25">
      <c r="B3348" s="13" t="s">
        <v>556</v>
      </c>
      <c r="C3348" s="13" t="s">
        <v>18383</v>
      </c>
      <c r="D3348" s="12" t="s">
        <v>18384</v>
      </c>
      <c r="E3348" s="13" t="s">
        <v>578</v>
      </c>
      <c r="F3348" s="681">
        <v>154.5</v>
      </c>
    </row>
    <row r="3349" spans="2:6" ht="15.75" hidden="1" customHeight="1" x14ac:dyDescent="0.25">
      <c r="B3349" s="13" t="s">
        <v>556</v>
      </c>
      <c r="C3349" s="13" t="s">
        <v>18385</v>
      </c>
      <c r="D3349" s="12" t="s">
        <v>18386</v>
      </c>
      <c r="E3349" s="13" t="s">
        <v>578</v>
      </c>
      <c r="F3349" s="681">
        <v>130.19999999999999</v>
      </c>
    </row>
    <row r="3350" spans="2:6" ht="15.75" hidden="1" customHeight="1" x14ac:dyDescent="0.25">
      <c r="B3350" s="13" t="s">
        <v>556</v>
      </c>
      <c r="C3350" s="13" t="s">
        <v>18387</v>
      </c>
      <c r="D3350" s="12" t="s">
        <v>18388</v>
      </c>
      <c r="E3350" s="13" t="s">
        <v>578</v>
      </c>
      <c r="F3350" s="681">
        <v>202.24</v>
      </c>
    </row>
    <row r="3351" spans="2:6" ht="15.75" hidden="1" customHeight="1" x14ac:dyDescent="0.25">
      <c r="B3351" s="13" t="s">
        <v>556</v>
      </c>
      <c r="C3351" s="13" t="s">
        <v>18389</v>
      </c>
      <c r="D3351" s="12" t="s">
        <v>10219</v>
      </c>
      <c r="E3351" s="13" t="s">
        <v>578</v>
      </c>
      <c r="F3351" s="681">
        <v>850.51</v>
      </c>
    </row>
    <row r="3352" spans="2:6" ht="15.75" hidden="1" customHeight="1" x14ac:dyDescent="0.25">
      <c r="B3352" s="13" t="s">
        <v>556</v>
      </c>
      <c r="C3352" s="13" t="s">
        <v>18390</v>
      </c>
      <c r="D3352" s="12" t="s">
        <v>10220</v>
      </c>
      <c r="E3352" s="13" t="s">
        <v>578</v>
      </c>
      <c r="F3352" s="681">
        <v>1077.92</v>
      </c>
    </row>
    <row r="3353" spans="2:6" ht="15.75" hidden="1" customHeight="1" x14ac:dyDescent="0.25">
      <c r="B3353" s="13" t="s">
        <v>556</v>
      </c>
      <c r="C3353" s="13" t="s">
        <v>18391</v>
      </c>
      <c r="D3353" s="12" t="s">
        <v>10221</v>
      </c>
      <c r="E3353" s="13" t="s">
        <v>578</v>
      </c>
      <c r="F3353" s="681">
        <v>662.73</v>
      </c>
    </row>
    <row r="3354" spans="2:6" ht="15.75" hidden="1" customHeight="1" x14ac:dyDescent="0.25">
      <c r="B3354" s="13" t="s">
        <v>556</v>
      </c>
      <c r="C3354" s="13" t="s">
        <v>18392</v>
      </c>
      <c r="D3354" s="12" t="s">
        <v>10216</v>
      </c>
      <c r="E3354" s="13" t="s">
        <v>580</v>
      </c>
      <c r="F3354" s="681">
        <v>216.4</v>
      </c>
    </row>
    <row r="3355" spans="2:6" ht="15.75" hidden="1" customHeight="1" x14ac:dyDescent="0.25">
      <c r="B3355" s="13" t="s">
        <v>556</v>
      </c>
      <c r="C3355" s="13" t="s">
        <v>18393</v>
      </c>
      <c r="D3355" s="12" t="s">
        <v>18394</v>
      </c>
      <c r="E3355" s="13" t="s">
        <v>823</v>
      </c>
      <c r="F3355" s="681">
        <v>17.77</v>
      </c>
    </row>
    <row r="3356" spans="2:6" ht="15.75" hidden="1" customHeight="1" x14ac:dyDescent="0.25">
      <c r="B3356" s="13" t="s">
        <v>556</v>
      </c>
      <c r="C3356" s="13" t="s">
        <v>18395</v>
      </c>
      <c r="D3356" s="12" t="s">
        <v>10997</v>
      </c>
      <c r="E3356" s="13" t="s">
        <v>578</v>
      </c>
      <c r="F3356" s="681">
        <v>109.75</v>
      </c>
    </row>
    <row r="3357" spans="2:6" ht="15.75" hidden="1" customHeight="1" x14ac:dyDescent="0.25">
      <c r="B3357" s="13" t="s">
        <v>14153</v>
      </c>
      <c r="C3357" s="13" t="s">
        <v>18396</v>
      </c>
      <c r="D3357" s="12" t="s">
        <v>10685</v>
      </c>
      <c r="E3357" s="13" t="s">
        <v>2193</v>
      </c>
      <c r="F3357" s="681">
        <v>73.95</v>
      </c>
    </row>
    <row r="3358" spans="2:6" ht="15.75" hidden="1" customHeight="1" x14ac:dyDescent="0.25">
      <c r="B3358" s="13" t="s">
        <v>14150</v>
      </c>
      <c r="C3358" s="13" t="s">
        <v>18397</v>
      </c>
      <c r="D3358" s="12" t="s">
        <v>18398</v>
      </c>
      <c r="E3358" s="13" t="s">
        <v>580</v>
      </c>
      <c r="F3358" s="681">
        <v>7160.65</v>
      </c>
    </row>
    <row r="3359" spans="2:6" ht="15.75" hidden="1" customHeight="1" x14ac:dyDescent="0.25">
      <c r="B3359" s="13" t="s">
        <v>14150</v>
      </c>
      <c r="C3359" s="13" t="s">
        <v>18399</v>
      </c>
      <c r="D3359" s="12" t="s">
        <v>18400</v>
      </c>
      <c r="E3359" s="13" t="s">
        <v>580</v>
      </c>
      <c r="F3359" s="681">
        <v>16669.07</v>
      </c>
    </row>
    <row r="3360" spans="2:6" ht="15.75" hidden="1" customHeight="1" x14ac:dyDescent="0.25">
      <c r="B3360" s="13" t="s">
        <v>14150</v>
      </c>
      <c r="C3360" s="13" t="s">
        <v>18401</v>
      </c>
      <c r="D3360" s="12" t="s">
        <v>18402</v>
      </c>
      <c r="E3360" s="13" t="s">
        <v>580</v>
      </c>
      <c r="F3360" s="681">
        <v>126610.2</v>
      </c>
    </row>
    <row r="3361" spans="2:6" ht="15.75" hidden="1" customHeight="1" x14ac:dyDescent="0.25">
      <c r="B3361" s="13" t="s">
        <v>14150</v>
      </c>
      <c r="C3361" s="13" t="s">
        <v>18403</v>
      </c>
      <c r="D3361" s="12" t="s">
        <v>10631</v>
      </c>
      <c r="E3361" s="13" t="s">
        <v>580</v>
      </c>
      <c r="F3361" s="681">
        <v>10808.5</v>
      </c>
    </row>
    <row r="3362" spans="2:6" ht="15.75" hidden="1" customHeight="1" x14ac:dyDescent="0.25">
      <c r="B3362" s="13" t="s">
        <v>556</v>
      </c>
      <c r="C3362" s="13" t="s">
        <v>18404</v>
      </c>
      <c r="D3362" s="12" t="s">
        <v>18405</v>
      </c>
      <c r="E3362" s="13" t="s">
        <v>578</v>
      </c>
      <c r="F3362" s="681">
        <v>169.7</v>
      </c>
    </row>
    <row r="3363" spans="2:6" ht="15.75" hidden="1" customHeight="1" x14ac:dyDescent="0.25">
      <c r="B3363" s="13" t="s">
        <v>556</v>
      </c>
      <c r="C3363" s="13" t="s">
        <v>18406</v>
      </c>
      <c r="D3363" s="12" t="s">
        <v>11482</v>
      </c>
      <c r="E3363" s="13" t="s">
        <v>580</v>
      </c>
      <c r="F3363" s="681">
        <v>3.11</v>
      </c>
    </row>
    <row r="3364" spans="2:6" ht="15.75" hidden="1" customHeight="1" x14ac:dyDescent="0.25">
      <c r="B3364" s="13" t="s">
        <v>556</v>
      </c>
      <c r="C3364" s="13" t="s">
        <v>18407</v>
      </c>
      <c r="D3364" s="12" t="s">
        <v>9609</v>
      </c>
      <c r="E3364" s="13" t="s">
        <v>580</v>
      </c>
      <c r="F3364" s="681">
        <v>11.22</v>
      </c>
    </row>
    <row r="3365" spans="2:6" ht="15.75" hidden="1" customHeight="1" x14ac:dyDescent="0.25">
      <c r="B3365" s="13" t="s">
        <v>556</v>
      </c>
      <c r="C3365" s="13" t="s">
        <v>18408</v>
      </c>
      <c r="D3365" s="12" t="s">
        <v>18409</v>
      </c>
      <c r="E3365" s="13" t="s">
        <v>585</v>
      </c>
      <c r="F3365" s="681">
        <v>32.590000000000003</v>
      </c>
    </row>
    <row r="3366" spans="2:6" ht="15.75" hidden="1" customHeight="1" x14ac:dyDescent="0.25">
      <c r="B3366" s="13" t="s">
        <v>556</v>
      </c>
      <c r="C3366" s="13" t="s">
        <v>18410</v>
      </c>
      <c r="D3366" s="12" t="s">
        <v>18411</v>
      </c>
      <c r="E3366" s="13" t="s">
        <v>585</v>
      </c>
      <c r="F3366" s="681">
        <v>42.45</v>
      </c>
    </row>
    <row r="3367" spans="2:6" ht="15.75" hidden="1" customHeight="1" x14ac:dyDescent="0.25">
      <c r="B3367" s="13" t="s">
        <v>556</v>
      </c>
      <c r="C3367" s="13" t="s">
        <v>18412</v>
      </c>
      <c r="D3367" s="12" t="s">
        <v>18413</v>
      </c>
      <c r="E3367" s="13" t="s">
        <v>585</v>
      </c>
      <c r="F3367" s="681">
        <v>83.05</v>
      </c>
    </row>
    <row r="3368" spans="2:6" ht="15.75" hidden="1" customHeight="1" x14ac:dyDescent="0.25">
      <c r="B3368" s="13" t="s">
        <v>14150</v>
      </c>
      <c r="C3368" s="13" t="s">
        <v>18414</v>
      </c>
      <c r="D3368" s="12" t="s">
        <v>10924</v>
      </c>
      <c r="E3368" s="13" t="s">
        <v>580</v>
      </c>
      <c r="F3368" s="681">
        <v>10489.34</v>
      </c>
    </row>
    <row r="3369" spans="2:6" ht="15.75" hidden="1" customHeight="1" x14ac:dyDescent="0.25">
      <c r="B3369" s="13" t="s">
        <v>14150</v>
      </c>
      <c r="C3369" s="13" t="s">
        <v>18415</v>
      </c>
      <c r="D3369" s="12" t="s">
        <v>10925</v>
      </c>
      <c r="E3369" s="13" t="s">
        <v>580</v>
      </c>
      <c r="F3369" s="681">
        <v>32836.22</v>
      </c>
    </row>
    <row r="3370" spans="2:6" ht="15.75" hidden="1" customHeight="1" x14ac:dyDescent="0.25">
      <c r="B3370" s="13" t="s">
        <v>556</v>
      </c>
      <c r="C3370" s="13" t="s">
        <v>18416</v>
      </c>
      <c r="D3370" s="12" t="s">
        <v>8496</v>
      </c>
      <c r="E3370" s="13" t="s">
        <v>580</v>
      </c>
      <c r="F3370" s="681">
        <v>0.99</v>
      </c>
    </row>
    <row r="3371" spans="2:6" ht="15.75" hidden="1" customHeight="1" x14ac:dyDescent="0.25">
      <c r="B3371" s="13" t="s">
        <v>14153</v>
      </c>
      <c r="C3371" s="13" t="s">
        <v>18417</v>
      </c>
      <c r="D3371" s="12" t="s">
        <v>9708</v>
      </c>
      <c r="E3371" s="13" t="s">
        <v>6214</v>
      </c>
      <c r="F3371" s="681">
        <v>10706.7</v>
      </c>
    </row>
    <row r="3372" spans="2:6" ht="15.75" hidden="1" customHeight="1" x14ac:dyDescent="0.25">
      <c r="B3372" s="13" t="s">
        <v>14153</v>
      </c>
      <c r="C3372" s="13" t="s">
        <v>18418</v>
      </c>
      <c r="D3372" s="12" t="s">
        <v>8644</v>
      </c>
      <c r="E3372" s="13" t="s">
        <v>6214</v>
      </c>
      <c r="F3372" s="681">
        <v>6279.73</v>
      </c>
    </row>
    <row r="3373" spans="2:6" ht="15.75" hidden="1" customHeight="1" x14ac:dyDescent="0.25">
      <c r="B3373" s="13" t="s">
        <v>14153</v>
      </c>
      <c r="C3373" s="13" t="s">
        <v>18419</v>
      </c>
      <c r="D3373" s="12" t="s">
        <v>8686</v>
      </c>
      <c r="E3373" s="13" t="s">
        <v>6214</v>
      </c>
      <c r="F3373" s="681">
        <v>6510.13</v>
      </c>
    </row>
    <row r="3374" spans="2:6" ht="15.75" hidden="1" customHeight="1" x14ac:dyDescent="0.25">
      <c r="B3374" s="13" t="s">
        <v>14153</v>
      </c>
      <c r="C3374" s="13" t="s">
        <v>18420</v>
      </c>
      <c r="D3374" s="12" t="s">
        <v>9886</v>
      </c>
      <c r="E3374" s="13" t="s">
        <v>6214</v>
      </c>
      <c r="F3374" s="681">
        <v>22133.8</v>
      </c>
    </row>
    <row r="3375" spans="2:6" ht="15.75" hidden="1" customHeight="1" x14ac:dyDescent="0.25">
      <c r="B3375" s="13" t="s">
        <v>14153</v>
      </c>
      <c r="C3375" s="13" t="s">
        <v>18421</v>
      </c>
      <c r="D3375" s="12" t="s">
        <v>8797</v>
      </c>
      <c r="E3375" s="13" t="s">
        <v>6214</v>
      </c>
      <c r="F3375" s="681">
        <v>5388.24</v>
      </c>
    </row>
    <row r="3376" spans="2:6" ht="15.75" hidden="1" customHeight="1" x14ac:dyDescent="0.25">
      <c r="B3376" s="13" t="s">
        <v>14153</v>
      </c>
      <c r="C3376" s="13" t="s">
        <v>18422</v>
      </c>
      <c r="D3376" s="12" t="s">
        <v>9888</v>
      </c>
      <c r="E3376" s="13" t="s">
        <v>6214</v>
      </c>
      <c r="F3376" s="681">
        <v>22515.91</v>
      </c>
    </row>
    <row r="3377" spans="2:6" ht="15.75" hidden="1" customHeight="1" x14ac:dyDescent="0.25">
      <c r="B3377" s="13" t="s">
        <v>14153</v>
      </c>
      <c r="C3377" s="13" t="s">
        <v>18423</v>
      </c>
      <c r="D3377" s="12" t="s">
        <v>9890</v>
      </c>
      <c r="E3377" s="13" t="s">
        <v>6214</v>
      </c>
      <c r="F3377" s="681">
        <v>31540.2</v>
      </c>
    </row>
    <row r="3378" spans="2:6" ht="15.75" hidden="1" customHeight="1" x14ac:dyDescent="0.25">
      <c r="B3378" s="13" t="s">
        <v>14153</v>
      </c>
      <c r="C3378" s="13" t="s">
        <v>18424</v>
      </c>
      <c r="D3378" s="12" t="s">
        <v>8769</v>
      </c>
      <c r="E3378" s="13" t="s">
        <v>6214</v>
      </c>
      <c r="F3378" s="681">
        <v>21443.01</v>
      </c>
    </row>
    <row r="3379" spans="2:6" ht="15.75" hidden="1" customHeight="1" x14ac:dyDescent="0.25">
      <c r="B3379" s="13" t="s">
        <v>14153</v>
      </c>
      <c r="C3379" s="13" t="s">
        <v>18425</v>
      </c>
      <c r="D3379" s="12" t="s">
        <v>8771</v>
      </c>
      <c r="E3379" s="13" t="s">
        <v>6214</v>
      </c>
      <c r="F3379" s="681">
        <v>22623.1</v>
      </c>
    </row>
    <row r="3380" spans="2:6" ht="15.75" hidden="1" customHeight="1" x14ac:dyDescent="0.25">
      <c r="B3380" s="13" t="s">
        <v>14153</v>
      </c>
      <c r="C3380" s="13" t="s">
        <v>18426</v>
      </c>
      <c r="D3380" s="12" t="s">
        <v>8773</v>
      </c>
      <c r="E3380" s="13" t="s">
        <v>6214</v>
      </c>
      <c r="F3380" s="681">
        <v>24185.83</v>
      </c>
    </row>
    <row r="3381" spans="2:6" ht="15.75" hidden="1" customHeight="1" x14ac:dyDescent="0.25">
      <c r="B3381" s="13" t="s">
        <v>14153</v>
      </c>
      <c r="C3381" s="13" t="s">
        <v>18427</v>
      </c>
      <c r="D3381" s="12" t="s">
        <v>9876</v>
      </c>
      <c r="E3381" s="13" t="s">
        <v>6214</v>
      </c>
      <c r="F3381" s="681">
        <v>7940.24</v>
      </c>
    </row>
    <row r="3382" spans="2:6" ht="15.75" hidden="1" customHeight="1" x14ac:dyDescent="0.25">
      <c r="B3382" s="13" t="s">
        <v>14153</v>
      </c>
      <c r="C3382" s="13" t="s">
        <v>18428</v>
      </c>
      <c r="D3382" s="12" t="s">
        <v>10686</v>
      </c>
      <c r="E3382" s="13" t="s">
        <v>6214</v>
      </c>
      <c r="F3382" s="681">
        <v>12952.45</v>
      </c>
    </row>
    <row r="3383" spans="2:6" ht="15.75" hidden="1" customHeight="1" x14ac:dyDescent="0.25">
      <c r="B3383" s="13" t="s">
        <v>14153</v>
      </c>
      <c r="C3383" s="13" t="s">
        <v>18429</v>
      </c>
      <c r="D3383" s="12" t="s">
        <v>11608</v>
      </c>
      <c r="E3383" s="13" t="s">
        <v>6214</v>
      </c>
      <c r="F3383" s="681">
        <v>13306.7</v>
      </c>
    </row>
    <row r="3384" spans="2:6" ht="15.75" hidden="1" customHeight="1" x14ac:dyDescent="0.25">
      <c r="B3384" s="13" t="s">
        <v>14153</v>
      </c>
      <c r="C3384" s="13" t="s">
        <v>18430</v>
      </c>
      <c r="D3384" s="12" t="s">
        <v>9875</v>
      </c>
      <c r="E3384" s="13" t="s">
        <v>2193</v>
      </c>
      <c r="F3384" s="681">
        <v>45.33</v>
      </c>
    </row>
    <row r="3385" spans="2:6" ht="15.75" hidden="1" customHeight="1" x14ac:dyDescent="0.25">
      <c r="B3385" s="13" t="s">
        <v>556</v>
      </c>
      <c r="C3385" s="13" t="s">
        <v>18431</v>
      </c>
      <c r="D3385" s="12" t="s">
        <v>10860</v>
      </c>
      <c r="E3385" s="13" t="s">
        <v>10852</v>
      </c>
      <c r="F3385" s="681">
        <v>125.54</v>
      </c>
    </row>
    <row r="3386" spans="2:6" ht="15.75" hidden="1" customHeight="1" x14ac:dyDescent="0.25">
      <c r="B3386" s="13" t="s">
        <v>14180</v>
      </c>
      <c r="C3386" s="13" t="s">
        <v>18432</v>
      </c>
      <c r="D3386" s="12" t="s">
        <v>10432</v>
      </c>
      <c r="E3386" s="13" t="s">
        <v>2193</v>
      </c>
      <c r="F3386" s="681">
        <v>2.0299999999999998</v>
      </c>
    </row>
    <row r="3387" spans="2:6" ht="15.75" hidden="1" customHeight="1" x14ac:dyDescent="0.25">
      <c r="B3387" s="13" t="s">
        <v>14180</v>
      </c>
      <c r="C3387" s="13" t="s">
        <v>18433</v>
      </c>
      <c r="D3387" s="12" t="s">
        <v>10436</v>
      </c>
      <c r="E3387" s="13" t="s">
        <v>2193</v>
      </c>
      <c r="F3387" s="681">
        <v>2.84</v>
      </c>
    </row>
    <row r="3388" spans="2:6" ht="15.75" hidden="1" customHeight="1" x14ac:dyDescent="0.25">
      <c r="B3388" s="13" t="s">
        <v>556</v>
      </c>
      <c r="C3388" s="13" t="s">
        <v>18434</v>
      </c>
      <c r="D3388" s="12" t="s">
        <v>11643</v>
      </c>
      <c r="E3388" s="13" t="s">
        <v>6214</v>
      </c>
      <c r="F3388" s="681">
        <v>189.56</v>
      </c>
    </row>
    <row r="3389" spans="2:6" ht="15.75" hidden="1" customHeight="1" x14ac:dyDescent="0.25">
      <c r="B3389" s="13" t="s">
        <v>556</v>
      </c>
      <c r="C3389" s="13" t="s">
        <v>18435</v>
      </c>
      <c r="D3389" s="12" t="s">
        <v>8642</v>
      </c>
      <c r="E3389" s="13" t="s">
        <v>6214</v>
      </c>
      <c r="F3389" s="681">
        <v>817.31</v>
      </c>
    </row>
    <row r="3390" spans="2:6" ht="15.75" hidden="1" customHeight="1" x14ac:dyDescent="0.25">
      <c r="B3390" s="13" t="s">
        <v>556</v>
      </c>
      <c r="C3390" s="13" t="s">
        <v>18436</v>
      </c>
      <c r="D3390" s="12" t="s">
        <v>9958</v>
      </c>
      <c r="E3390" s="13" t="s">
        <v>6214</v>
      </c>
      <c r="F3390" s="681">
        <v>270.51</v>
      </c>
    </row>
    <row r="3391" spans="2:6" ht="15.75" hidden="1" customHeight="1" x14ac:dyDescent="0.25">
      <c r="B3391" s="13" t="s">
        <v>556</v>
      </c>
      <c r="C3391" s="13" t="s">
        <v>18437</v>
      </c>
      <c r="D3391" s="12" t="s">
        <v>11245</v>
      </c>
      <c r="E3391" s="13" t="s">
        <v>6214</v>
      </c>
      <c r="F3391" s="681">
        <v>15.46</v>
      </c>
    </row>
    <row r="3392" spans="2:6" ht="15.75" hidden="1" customHeight="1" x14ac:dyDescent="0.25">
      <c r="B3392" s="13" t="s">
        <v>556</v>
      </c>
      <c r="C3392" s="13" t="s">
        <v>18438</v>
      </c>
      <c r="D3392" s="12" t="s">
        <v>18439</v>
      </c>
      <c r="E3392" s="13" t="s">
        <v>585</v>
      </c>
      <c r="F3392" s="681">
        <v>23.56</v>
      </c>
    </row>
    <row r="3393" spans="2:6" ht="15.75" hidden="1" customHeight="1" x14ac:dyDescent="0.25">
      <c r="B3393" s="13" t="s">
        <v>14150</v>
      </c>
      <c r="C3393" s="13" t="s">
        <v>18440</v>
      </c>
      <c r="D3393" s="12" t="s">
        <v>10720</v>
      </c>
      <c r="E3393" s="13" t="s">
        <v>580</v>
      </c>
      <c r="F3393" s="681">
        <v>1150000</v>
      </c>
    </row>
    <row r="3394" spans="2:6" ht="15.75" hidden="1" customHeight="1" x14ac:dyDescent="0.25">
      <c r="B3394" s="13" t="s">
        <v>14153</v>
      </c>
      <c r="C3394" s="13" t="s">
        <v>18441</v>
      </c>
      <c r="D3394" s="12" t="s">
        <v>8626</v>
      </c>
      <c r="E3394" s="13" t="s">
        <v>6214</v>
      </c>
      <c r="F3394" s="681">
        <v>3997.37</v>
      </c>
    </row>
    <row r="3395" spans="2:6" ht="15.75" hidden="1" customHeight="1" x14ac:dyDescent="0.25">
      <c r="B3395" s="13" t="s">
        <v>14153</v>
      </c>
      <c r="C3395" s="13" t="s">
        <v>18442</v>
      </c>
      <c r="D3395" s="12" t="s">
        <v>11263</v>
      </c>
      <c r="E3395" s="13" t="s">
        <v>6214</v>
      </c>
      <c r="F3395" s="681">
        <v>4429.67</v>
      </c>
    </row>
    <row r="3396" spans="2:6" ht="15.75" hidden="1" customHeight="1" x14ac:dyDescent="0.25">
      <c r="B3396" s="13" t="s">
        <v>14153</v>
      </c>
      <c r="C3396" s="13" t="s">
        <v>18443</v>
      </c>
      <c r="D3396" s="12" t="s">
        <v>8767</v>
      </c>
      <c r="E3396" s="13" t="s">
        <v>6214</v>
      </c>
      <c r="F3396" s="681">
        <v>4313.54</v>
      </c>
    </row>
    <row r="3397" spans="2:6" ht="15.75" hidden="1" customHeight="1" x14ac:dyDescent="0.25">
      <c r="B3397" s="13" t="s">
        <v>14153</v>
      </c>
      <c r="C3397" s="13" t="s">
        <v>18444</v>
      </c>
      <c r="D3397" s="12" t="s">
        <v>8616</v>
      </c>
      <c r="E3397" s="13" t="s">
        <v>6214</v>
      </c>
      <c r="F3397" s="681">
        <v>3997.37</v>
      </c>
    </row>
    <row r="3398" spans="2:6" ht="15.75" hidden="1" customHeight="1" x14ac:dyDescent="0.25">
      <c r="B3398" s="13" t="s">
        <v>14153</v>
      </c>
      <c r="C3398" s="13" t="s">
        <v>18445</v>
      </c>
      <c r="D3398" s="12" t="s">
        <v>9338</v>
      </c>
      <c r="E3398" s="13" t="s">
        <v>6214</v>
      </c>
      <c r="F3398" s="681">
        <v>3997.37</v>
      </c>
    </row>
    <row r="3399" spans="2:6" ht="15.75" hidden="1" customHeight="1" x14ac:dyDescent="0.25">
      <c r="B3399" s="13" t="s">
        <v>14153</v>
      </c>
      <c r="C3399" s="13" t="s">
        <v>18446</v>
      </c>
      <c r="D3399" s="12" t="s">
        <v>9341</v>
      </c>
      <c r="E3399" s="13" t="s">
        <v>6214</v>
      </c>
      <c r="F3399" s="681">
        <v>4313.54</v>
      </c>
    </row>
    <row r="3400" spans="2:6" ht="15.75" hidden="1" customHeight="1" x14ac:dyDescent="0.25">
      <c r="B3400" s="13" t="s">
        <v>14153</v>
      </c>
      <c r="C3400" s="13" t="s">
        <v>18447</v>
      </c>
      <c r="D3400" s="12" t="s">
        <v>9340</v>
      </c>
      <c r="E3400" s="13" t="s">
        <v>6214</v>
      </c>
      <c r="F3400" s="681">
        <v>4313.54</v>
      </c>
    </row>
    <row r="3401" spans="2:6" ht="15.75" hidden="1" customHeight="1" x14ac:dyDescent="0.25">
      <c r="B3401" s="13" t="s">
        <v>14153</v>
      </c>
      <c r="C3401" s="13" t="s">
        <v>18448</v>
      </c>
      <c r="D3401" s="12" t="s">
        <v>10627</v>
      </c>
      <c r="E3401" s="13" t="s">
        <v>6214</v>
      </c>
      <c r="F3401" s="681">
        <v>4313.54</v>
      </c>
    </row>
    <row r="3402" spans="2:6" ht="15.75" hidden="1" customHeight="1" x14ac:dyDescent="0.25">
      <c r="B3402" s="13" t="s">
        <v>14153</v>
      </c>
      <c r="C3402" s="13" t="s">
        <v>18449</v>
      </c>
      <c r="D3402" s="12" t="s">
        <v>9816</v>
      </c>
      <c r="E3402" s="13" t="s">
        <v>6214</v>
      </c>
      <c r="F3402" s="681">
        <v>5845.74</v>
      </c>
    </row>
    <row r="3403" spans="2:6" ht="15.75" hidden="1" customHeight="1" x14ac:dyDescent="0.25">
      <c r="B3403" s="13" t="s">
        <v>14153</v>
      </c>
      <c r="C3403" s="13" t="s">
        <v>18450</v>
      </c>
      <c r="D3403" s="12" t="s">
        <v>8618</v>
      </c>
      <c r="E3403" s="13" t="s">
        <v>6214</v>
      </c>
      <c r="F3403" s="681">
        <v>3997.37</v>
      </c>
    </row>
    <row r="3404" spans="2:6" ht="15.75" hidden="1" customHeight="1" x14ac:dyDescent="0.25">
      <c r="B3404" s="13" t="s">
        <v>14153</v>
      </c>
      <c r="C3404" s="13" t="s">
        <v>18451</v>
      </c>
      <c r="D3404" s="12" t="s">
        <v>8882</v>
      </c>
      <c r="E3404" s="13" t="s">
        <v>6214</v>
      </c>
      <c r="F3404" s="681">
        <v>4503.01</v>
      </c>
    </row>
    <row r="3405" spans="2:6" ht="15.75" hidden="1" customHeight="1" x14ac:dyDescent="0.25">
      <c r="B3405" s="13" t="s">
        <v>14153</v>
      </c>
      <c r="C3405" s="13" t="s">
        <v>18452</v>
      </c>
      <c r="D3405" s="12" t="s">
        <v>10714</v>
      </c>
      <c r="E3405" s="13" t="s">
        <v>6214</v>
      </c>
      <c r="F3405" s="681">
        <v>4458.6499999999996</v>
      </c>
    </row>
    <row r="3406" spans="2:6" ht="15.75" hidden="1" customHeight="1" x14ac:dyDescent="0.25">
      <c r="B3406" s="13" t="s">
        <v>14153</v>
      </c>
      <c r="C3406" s="13" t="s">
        <v>18453</v>
      </c>
      <c r="D3406" s="12" t="s">
        <v>9870</v>
      </c>
      <c r="E3406" s="13" t="s">
        <v>6214</v>
      </c>
      <c r="F3406" s="681">
        <v>6878.77</v>
      </c>
    </row>
    <row r="3407" spans="2:6" ht="15.75" hidden="1" customHeight="1" x14ac:dyDescent="0.25">
      <c r="B3407" s="13" t="s">
        <v>14153</v>
      </c>
      <c r="C3407" s="13" t="s">
        <v>18454</v>
      </c>
      <c r="D3407" s="12" t="s">
        <v>10710</v>
      </c>
      <c r="E3407" s="13" t="s">
        <v>6214</v>
      </c>
      <c r="F3407" s="681">
        <v>5775.28</v>
      </c>
    </row>
    <row r="3408" spans="2:6" ht="15.75" hidden="1" customHeight="1" x14ac:dyDescent="0.25">
      <c r="B3408" s="13" t="s">
        <v>14153</v>
      </c>
      <c r="C3408" s="13" t="s">
        <v>18455</v>
      </c>
      <c r="D3408" s="12" t="s">
        <v>10654</v>
      </c>
      <c r="E3408" s="13" t="s">
        <v>6214</v>
      </c>
      <c r="F3408" s="681">
        <v>5852.75</v>
      </c>
    </row>
    <row r="3409" spans="2:6" ht="15.75" hidden="1" customHeight="1" x14ac:dyDescent="0.25">
      <c r="B3409" s="13" t="s">
        <v>14153</v>
      </c>
      <c r="C3409" s="13" t="s">
        <v>18456</v>
      </c>
      <c r="D3409" s="12" t="s">
        <v>8795</v>
      </c>
      <c r="E3409" s="13" t="s">
        <v>6214</v>
      </c>
      <c r="F3409" s="681">
        <v>3997.37</v>
      </c>
    </row>
    <row r="3410" spans="2:6" ht="15.75" hidden="1" customHeight="1" x14ac:dyDescent="0.25">
      <c r="B3410" s="13" t="s">
        <v>14153</v>
      </c>
      <c r="C3410" s="13" t="s">
        <v>18457</v>
      </c>
      <c r="D3410" s="12" t="s">
        <v>9874</v>
      </c>
      <c r="E3410" s="13" t="s">
        <v>6214</v>
      </c>
      <c r="F3410" s="681">
        <v>5132.47</v>
      </c>
    </row>
    <row r="3411" spans="2:6" ht="15.75" hidden="1" customHeight="1" x14ac:dyDescent="0.25">
      <c r="B3411" s="13" t="s">
        <v>14153</v>
      </c>
      <c r="C3411" s="13" t="s">
        <v>18458</v>
      </c>
      <c r="D3411" s="12" t="s">
        <v>10185</v>
      </c>
      <c r="E3411" s="13" t="s">
        <v>6214</v>
      </c>
      <c r="F3411" s="681">
        <v>4758.2700000000004</v>
      </c>
    </row>
    <row r="3412" spans="2:6" ht="15.75" hidden="1" customHeight="1" x14ac:dyDescent="0.25">
      <c r="B3412" s="13" t="s">
        <v>14153</v>
      </c>
      <c r="C3412" s="13" t="s">
        <v>18459</v>
      </c>
      <c r="D3412" s="12" t="s">
        <v>10723</v>
      </c>
      <c r="E3412" s="13" t="s">
        <v>2193</v>
      </c>
      <c r="F3412" s="681">
        <v>28.33</v>
      </c>
    </row>
    <row r="3413" spans="2:6" ht="15.75" hidden="1" customHeight="1" x14ac:dyDescent="0.25">
      <c r="B3413" s="13" t="s">
        <v>14153</v>
      </c>
      <c r="C3413" s="13" t="s">
        <v>18460</v>
      </c>
      <c r="D3413" s="12" t="s">
        <v>8788</v>
      </c>
      <c r="E3413" s="13" t="s">
        <v>6214</v>
      </c>
      <c r="F3413" s="681">
        <v>3334.17</v>
      </c>
    </row>
    <row r="3414" spans="2:6" ht="15.75" hidden="1" customHeight="1" x14ac:dyDescent="0.25">
      <c r="B3414" s="13" t="s">
        <v>14153</v>
      </c>
      <c r="C3414" s="13" t="s">
        <v>18461</v>
      </c>
      <c r="D3414" s="12" t="s">
        <v>8809</v>
      </c>
      <c r="E3414" s="13" t="s">
        <v>6214</v>
      </c>
      <c r="F3414" s="681">
        <v>6434.44</v>
      </c>
    </row>
    <row r="3415" spans="2:6" ht="15.75" hidden="1" customHeight="1" x14ac:dyDescent="0.25">
      <c r="B3415" s="13" t="s">
        <v>14153</v>
      </c>
      <c r="C3415" s="13" t="s">
        <v>18462</v>
      </c>
      <c r="D3415" s="12" t="s">
        <v>10728</v>
      </c>
      <c r="E3415" s="13" t="s">
        <v>2193</v>
      </c>
      <c r="F3415" s="681">
        <v>35.229999999999997</v>
      </c>
    </row>
    <row r="3416" spans="2:6" ht="15.75" hidden="1" customHeight="1" x14ac:dyDescent="0.25">
      <c r="B3416" s="13" t="s">
        <v>14153</v>
      </c>
      <c r="C3416" s="13" t="s">
        <v>18463</v>
      </c>
      <c r="D3416" s="12" t="s">
        <v>11441</v>
      </c>
      <c r="E3416" s="13" t="s">
        <v>2193</v>
      </c>
      <c r="F3416" s="681">
        <v>69.94</v>
      </c>
    </row>
    <row r="3417" spans="2:6" ht="15.75" hidden="1" customHeight="1" x14ac:dyDescent="0.25">
      <c r="B3417" s="13" t="s">
        <v>14153</v>
      </c>
      <c r="C3417" s="13" t="s">
        <v>18464</v>
      </c>
      <c r="D3417" s="12" t="s">
        <v>11442</v>
      </c>
      <c r="E3417" s="13" t="s">
        <v>6214</v>
      </c>
      <c r="F3417" s="681">
        <v>12252.19</v>
      </c>
    </row>
    <row r="3418" spans="2:6" ht="15.75" hidden="1" customHeight="1" x14ac:dyDescent="0.25">
      <c r="B3418" s="13" t="s">
        <v>14153</v>
      </c>
      <c r="C3418" s="13" t="s">
        <v>18465</v>
      </c>
      <c r="D3418" s="12" t="s">
        <v>11437</v>
      </c>
      <c r="E3418" s="13" t="s">
        <v>2193</v>
      </c>
      <c r="F3418" s="681">
        <v>60.01</v>
      </c>
    </row>
    <row r="3419" spans="2:6" ht="15.75" hidden="1" customHeight="1" x14ac:dyDescent="0.25">
      <c r="B3419" s="13" t="s">
        <v>14153</v>
      </c>
      <c r="C3419" s="13" t="s">
        <v>18466</v>
      </c>
      <c r="D3419" s="12" t="s">
        <v>11438</v>
      </c>
      <c r="E3419" s="13" t="s">
        <v>6214</v>
      </c>
      <c r="F3419" s="681">
        <v>10513.97</v>
      </c>
    </row>
    <row r="3420" spans="2:6" ht="15.75" hidden="1" customHeight="1" x14ac:dyDescent="0.25">
      <c r="B3420" s="13" t="s">
        <v>14153</v>
      </c>
      <c r="C3420" s="13" t="s">
        <v>18467</v>
      </c>
      <c r="D3420" s="12" t="s">
        <v>10730</v>
      </c>
      <c r="E3420" s="13" t="s">
        <v>2193</v>
      </c>
      <c r="F3420" s="681">
        <v>23.59</v>
      </c>
    </row>
    <row r="3421" spans="2:6" ht="15.75" hidden="1" customHeight="1" x14ac:dyDescent="0.25">
      <c r="B3421" s="13" t="s">
        <v>14153</v>
      </c>
      <c r="C3421" s="13" t="s">
        <v>18468</v>
      </c>
      <c r="D3421" s="12" t="s">
        <v>10732</v>
      </c>
      <c r="E3421" s="13" t="s">
        <v>2193</v>
      </c>
      <c r="F3421" s="681">
        <v>31.76</v>
      </c>
    </row>
    <row r="3422" spans="2:6" ht="15.75" hidden="1" customHeight="1" x14ac:dyDescent="0.25">
      <c r="B3422" s="13" t="s">
        <v>14153</v>
      </c>
      <c r="C3422" s="13" t="s">
        <v>18469</v>
      </c>
      <c r="D3422" s="12" t="s">
        <v>10652</v>
      </c>
      <c r="E3422" s="13" t="s">
        <v>6214</v>
      </c>
      <c r="F3422" s="681">
        <v>5855.56</v>
      </c>
    </row>
    <row r="3423" spans="2:6" ht="15.75" hidden="1" customHeight="1" x14ac:dyDescent="0.25">
      <c r="B3423" s="13" t="s">
        <v>14153</v>
      </c>
      <c r="C3423" s="13" t="s">
        <v>18470</v>
      </c>
      <c r="D3423" s="12" t="s">
        <v>8801</v>
      </c>
      <c r="E3423" s="13" t="s">
        <v>6214</v>
      </c>
      <c r="F3423" s="681">
        <v>3997.37</v>
      </c>
    </row>
    <row r="3424" spans="2:6" ht="15.75" hidden="1" customHeight="1" x14ac:dyDescent="0.25">
      <c r="B3424" s="13" t="s">
        <v>14153</v>
      </c>
      <c r="C3424" s="13" t="s">
        <v>18471</v>
      </c>
      <c r="D3424" s="12" t="s">
        <v>9357</v>
      </c>
      <c r="E3424" s="13" t="s">
        <v>6214</v>
      </c>
      <c r="F3424" s="681">
        <v>6482.08</v>
      </c>
    </row>
    <row r="3425" spans="2:6" ht="15.75" hidden="1" customHeight="1" x14ac:dyDescent="0.25">
      <c r="B3425" s="13" t="s">
        <v>14153</v>
      </c>
      <c r="C3425" s="13" t="s">
        <v>18472</v>
      </c>
      <c r="D3425" s="12" t="s">
        <v>10576</v>
      </c>
      <c r="E3425" s="13" t="s">
        <v>6214</v>
      </c>
      <c r="F3425" s="681">
        <v>5112.3</v>
      </c>
    </row>
    <row r="3426" spans="2:6" ht="15.75" hidden="1" customHeight="1" x14ac:dyDescent="0.25">
      <c r="B3426" s="13" t="s">
        <v>14153</v>
      </c>
      <c r="C3426" s="13" t="s">
        <v>18473</v>
      </c>
      <c r="D3426" s="12" t="s">
        <v>10763</v>
      </c>
      <c r="E3426" s="13" t="s">
        <v>6214</v>
      </c>
      <c r="F3426" s="681">
        <v>3410.79</v>
      </c>
    </row>
    <row r="3427" spans="2:6" ht="15.75" hidden="1" customHeight="1" x14ac:dyDescent="0.25">
      <c r="B3427" s="13" t="s">
        <v>14153</v>
      </c>
      <c r="C3427" s="13" t="s">
        <v>18474</v>
      </c>
      <c r="D3427" s="12" t="s">
        <v>10773</v>
      </c>
      <c r="E3427" s="13" t="s">
        <v>6214</v>
      </c>
      <c r="F3427" s="681">
        <v>2981.84</v>
      </c>
    </row>
    <row r="3428" spans="2:6" ht="15.75" hidden="1" customHeight="1" x14ac:dyDescent="0.25">
      <c r="B3428" s="13" t="s">
        <v>14153</v>
      </c>
      <c r="C3428" s="13" t="s">
        <v>18475</v>
      </c>
      <c r="D3428" s="12" t="s">
        <v>10758</v>
      </c>
      <c r="E3428" s="13" t="s">
        <v>6214</v>
      </c>
      <c r="F3428" s="681">
        <v>4363.41</v>
      </c>
    </row>
    <row r="3429" spans="2:6" ht="15.75" hidden="1" customHeight="1" x14ac:dyDescent="0.25">
      <c r="B3429" s="13" t="s">
        <v>14153</v>
      </c>
      <c r="C3429" s="13" t="s">
        <v>18476</v>
      </c>
      <c r="D3429" s="12" t="s">
        <v>10769</v>
      </c>
      <c r="E3429" s="13" t="s">
        <v>6214</v>
      </c>
      <c r="F3429" s="681">
        <v>3720.78</v>
      </c>
    </row>
    <row r="3430" spans="2:6" ht="15.75" hidden="1" customHeight="1" x14ac:dyDescent="0.25">
      <c r="B3430" s="13" t="s">
        <v>14153</v>
      </c>
      <c r="C3430" s="13" t="s">
        <v>18477</v>
      </c>
      <c r="D3430" s="12" t="s">
        <v>10777</v>
      </c>
      <c r="E3430" s="13" t="s">
        <v>6214</v>
      </c>
      <c r="F3430" s="681">
        <v>3720.78</v>
      </c>
    </row>
    <row r="3431" spans="2:6" ht="15.75" hidden="1" customHeight="1" x14ac:dyDescent="0.25">
      <c r="B3431" s="13" t="s">
        <v>14153</v>
      </c>
      <c r="C3431" s="13" t="s">
        <v>18478</v>
      </c>
      <c r="D3431" s="12" t="s">
        <v>10711</v>
      </c>
      <c r="E3431" s="13" t="s">
        <v>6214</v>
      </c>
      <c r="F3431" s="681">
        <v>3720.78</v>
      </c>
    </row>
    <row r="3432" spans="2:6" ht="15.75" hidden="1" customHeight="1" x14ac:dyDescent="0.25">
      <c r="B3432" s="13" t="s">
        <v>14153</v>
      </c>
      <c r="C3432" s="13" t="s">
        <v>18479</v>
      </c>
      <c r="D3432" s="12" t="s">
        <v>8620</v>
      </c>
      <c r="E3432" s="13" t="s">
        <v>6214</v>
      </c>
      <c r="F3432" s="681">
        <v>3997.37</v>
      </c>
    </row>
    <row r="3433" spans="2:6" ht="15.75" hidden="1" customHeight="1" x14ac:dyDescent="0.25">
      <c r="B3433" s="13" t="s">
        <v>14153</v>
      </c>
      <c r="C3433" s="13" t="s">
        <v>18480</v>
      </c>
      <c r="D3433" s="12" t="s">
        <v>10761</v>
      </c>
      <c r="E3433" s="13" t="s">
        <v>6214</v>
      </c>
      <c r="F3433" s="681">
        <v>3642.56</v>
      </c>
    </row>
    <row r="3434" spans="2:6" ht="15.75" hidden="1" customHeight="1" x14ac:dyDescent="0.25">
      <c r="B3434" s="13" t="s">
        <v>14153</v>
      </c>
      <c r="C3434" s="13" t="s">
        <v>18481</v>
      </c>
      <c r="D3434" s="12" t="s">
        <v>10767</v>
      </c>
      <c r="E3434" s="13" t="s">
        <v>6214</v>
      </c>
      <c r="F3434" s="681">
        <v>5358.9</v>
      </c>
    </row>
    <row r="3435" spans="2:6" ht="15.75" hidden="1" customHeight="1" x14ac:dyDescent="0.25">
      <c r="B3435" s="13" t="s">
        <v>14153</v>
      </c>
      <c r="C3435" s="13" t="s">
        <v>18482</v>
      </c>
      <c r="D3435" s="12" t="s">
        <v>10729</v>
      </c>
      <c r="E3435" s="13" t="s">
        <v>6214</v>
      </c>
      <c r="F3435" s="681">
        <v>6172.66</v>
      </c>
    </row>
    <row r="3436" spans="2:6" ht="15.75" hidden="1" customHeight="1" x14ac:dyDescent="0.25">
      <c r="B3436" s="13" t="s">
        <v>14153</v>
      </c>
      <c r="C3436" s="13" t="s">
        <v>18483</v>
      </c>
      <c r="D3436" s="12" t="s">
        <v>10731</v>
      </c>
      <c r="E3436" s="13" t="s">
        <v>6214</v>
      </c>
      <c r="F3436" s="681">
        <v>4133.75</v>
      </c>
    </row>
    <row r="3437" spans="2:6" ht="15.75" hidden="1" customHeight="1" x14ac:dyDescent="0.25">
      <c r="B3437" s="13" t="s">
        <v>14153</v>
      </c>
      <c r="C3437" s="13" t="s">
        <v>18484</v>
      </c>
      <c r="D3437" s="12" t="s">
        <v>10733</v>
      </c>
      <c r="E3437" s="13" t="s">
        <v>6214</v>
      </c>
      <c r="F3437" s="681">
        <v>5564.98</v>
      </c>
    </row>
    <row r="3438" spans="2:6" ht="15.75" hidden="1" customHeight="1" x14ac:dyDescent="0.25">
      <c r="B3438" s="13" t="s">
        <v>14153</v>
      </c>
      <c r="C3438" s="13" t="s">
        <v>18485</v>
      </c>
      <c r="D3438" s="12" t="s">
        <v>10775</v>
      </c>
      <c r="E3438" s="13" t="s">
        <v>6214</v>
      </c>
      <c r="F3438" s="681">
        <v>4310.21</v>
      </c>
    </row>
    <row r="3439" spans="2:6" ht="15.75" hidden="1" customHeight="1" x14ac:dyDescent="0.25">
      <c r="B3439" s="13" t="s">
        <v>556</v>
      </c>
      <c r="C3439" s="13" t="s">
        <v>18486</v>
      </c>
      <c r="D3439" s="12" t="s">
        <v>8494</v>
      </c>
      <c r="E3439" s="13" t="s">
        <v>580</v>
      </c>
      <c r="F3439" s="681">
        <v>0.15</v>
      </c>
    </row>
    <row r="3440" spans="2:6" ht="15.75" hidden="1" customHeight="1" x14ac:dyDescent="0.25">
      <c r="B3440" s="13" t="s">
        <v>14153</v>
      </c>
      <c r="C3440" s="13" t="s">
        <v>18487</v>
      </c>
      <c r="D3440" s="12" t="s">
        <v>10789</v>
      </c>
      <c r="E3440" s="13" t="s">
        <v>6214</v>
      </c>
      <c r="F3440" s="681">
        <v>5552.06</v>
      </c>
    </row>
    <row r="3441" spans="2:6" ht="15.75" hidden="1" customHeight="1" x14ac:dyDescent="0.25">
      <c r="B3441" s="13" t="s">
        <v>14153</v>
      </c>
      <c r="C3441" s="13" t="s">
        <v>18488</v>
      </c>
      <c r="D3441" s="12" t="s">
        <v>10787</v>
      </c>
      <c r="E3441" s="13" t="s">
        <v>6214</v>
      </c>
      <c r="F3441" s="681">
        <v>4088.45</v>
      </c>
    </row>
    <row r="3442" spans="2:6" ht="15.75" hidden="1" customHeight="1" x14ac:dyDescent="0.25">
      <c r="B3442" s="13" t="s">
        <v>556</v>
      </c>
      <c r="C3442" s="13" t="s">
        <v>18489</v>
      </c>
      <c r="D3442" s="12" t="s">
        <v>10737</v>
      </c>
      <c r="E3442" s="13" t="s">
        <v>580</v>
      </c>
      <c r="F3442" s="681">
        <v>75</v>
      </c>
    </row>
    <row r="3443" spans="2:6" ht="15.75" hidden="1" customHeight="1" x14ac:dyDescent="0.25">
      <c r="B3443" s="13" t="s">
        <v>14153</v>
      </c>
      <c r="C3443" s="13" t="s">
        <v>18490</v>
      </c>
      <c r="D3443" s="12" t="s">
        <v>10781</v>
      </c>
      <c r="E3443" s="13" t="s">
        <v>6214</v>
      </c>
      <c r="F3443" s="681">
        <v>5552.06</v>
      </c>
    </row>
    <row r="3444" spans="2:6" ht="15.75" hidden="1" customHeight="1" x14ac:dyDescent="0.25">
      <c r="B3444" s="13" t="s">
        <v>14153</v>
      </c>
      <c r="C3444" s="13" t="s">
        <v>18491</v>
      </c>
      <c r="D3444" s="12" t="s">
        <v>10779</v>
      </c>
      <c r="E3444" s="13" t="s">
        <v>6214</v>
      </c>
      <c r="F3444" s="681">
        <v>5552.06</v>
      </c>
    </row>
    <row r="3445" spans="2:6" ht="15.75" hidden="1" customHeight="1" x14ac:dyDescent="0.25">
      <c r="B3445" s="13" t="s">
        <v>14153</v>
      </c>
      <c r="C3445" s="13" t="s">
        <v>18492</v>
      </c>
      <c r="D3445" s="12" t="s">
        <v>10759</v>
      </c>
      <c r="E3445" s="13" t="s">
        <v>6214</v>
      </c>
      <c r="F3445" s="681">
        <v>4017.1</v>
      </c>
    </row>
    <row r="3446" spans="2:6" ht="15.75" hidden="1" customHeight="1" x14ac:dyDescent="0.25">
      <c r="B3446" s="13" t="s">
        <v>14153</v>
      </c>
      <c r="C3446" s="13" t="s">
        <v>18493</v>
      </c>
      <c r="D3446" s="12" t="s">
        <v>10783</v>
      </c>
      <c r="E3446" s="13" t="s">
        <v>6214</v>
      </c>
      <c r="F3446" s="681">
        <v>4017.1</v>
      </c>
    </row>
    <row r="3447" spans="2:6" ht="15.75" hidden="1" customHeight="1" x14ac:dyDescent="0.25">
      <c r="B3447" s="13" t="s">
        <v>14153</v>
      </c>
      <c r="C3447" s="13" t="s">
        <v>18494</v>
      </c>
      <c r="D3447" s="12" t="s">
        <v>10771</v>
      </c>
      <c r="E3447" s="13" t="s">
        <v>6214</v>
      </c>
      <c r="F3447" s="681">
        <v>3848.72</v>
      </c>
    </row>
    <row r="3448" spans="2:6" ht="15.75" hidden="1" customHeight="1" x14ac:dyDescent="0.25">
      <c r="B3448" s="13" t="s">
        <v>14153</v>
      </c>
      <c r="C3448" s="13" t="s">
        <v>18495</v>
      </c>
      <c r="D3448" s="12" t="s">
        <v>10727</v>
      </c>
      <c r="E3448" s="13" t="s">
        <v>6214</v>
      </c>
      <c r="F3448" s="681">
        <v>5157.21</v>
      </c>
    </row>
    <row r="3449" spans="2:6" ht="15.75" hidden="1" customHeight="1" x14ac:dyDescent="0.25">
      <c r="B3449" s="13" t="s">
        <v>14153</v>
      </c>
      <c r="C3449" s="13" t="s">
        <v>18496</v>
      </c>
      <c r="D3449" s="12" t="s">
        <v>10785</v>
      </c>
      <c r="E3449" s="13" t="s">
        <v>6214</v>
      </c>
      <c r="F3449" s="681">
        <v>4017.1</v>
      </c>
    </row>
    <row r="3450" spans="2:6" ht="15.75" hidden="1" customHeight="1" x14ac:dyDescent="0.25">
      <c r="B3450" s="13" t="s">
        <v>14153</v>
      </c>
      <c r="C3450" s="13" t="s">
        <v>18497</v>
      </c>
      <c r="D3450" s="12" t="s">
        <v>10765</v>
      </c>
      <c r="E3450" s="13" t="s">
        <v>6214</v>
      </c>
      <c r="F3450" s="681">
        <v>4017.1</v>
      </c>
    </row>
    <row r="3451" spans="2:6" ht="15.75" hidden="1" customHeight="1" x14ac:dyDescent="0.25">
      <c r="B3451" s="13" t="s">
        <v>14153</v>
      </c>
      <c r="C3451" s="13" t="s">
        <v>18498</v>
      </c>
      <c r="D3451" s="12" t="s">
        <v>10888</v>
      </c>
      <c r="E3451" s="13" t="s">
        <v>6214</v>
      </c>
      <c r="F3451" s="681">
        <v>4313.54</v>
      </c>
    </row>
    <row r="3452" spans="2:6" ht="15.75" hidden="1" customHeight="1" x14ac:dyDescent="0.25">
      <c r="B3452" s="13" t="s">
        <v>14153</v>
      </c>
      <c r="C3452" s="13" t="s">
        <v>18499</v>
      </c>
      <c r="D3452" s="12" t="s">
        <v>10872</v>
      </c>
      <c r="E3452" s="13" t="s">
        <v>6214</v>
      </c>
      <c r="F3452" s="681">
        <v>4313.54</v>
      </c>
    </row>
    <row r="3453" spans="2:6" ht="15.75" hidden="1" customHeight="1" x14ac:dyDescent="0.25">
      <c r="B3453" s="13" t="s">
        <v>14153</v>
      </c>
      <c r="C3453" s="13" t="s">
        <v>18500</v>
      </c>
      <c r="D3453" s="12" t="s">
        <v>10629</v>
      </c>
      <c r="E3453" s="13" t="s">
        <v>6214</v>
      </c>
      <c r="F3453" s="681">
        <v>4469.8999999999996</v>
      </c>
    </row>
    <row r="3454" spans="2:6" ht="15.75" hidden="1" customHeight="1" x14ac:dyDescent="0.25">
      <c r="B3454" s="13" t="s">
        <v>14153</v>
      </c>
      <c r="C3454" s="13" t="s">
        <v>18501</v>
      </c>
      <c r="D3454" s="12" t="s">
        <v>9274</v>
      </c>
      <c r="E3454" s="13" t="s">
        <v>6214</v>
      </c>
      <c r="F3454" s="681">
        <v>4313.51</v>
      </c>
    </row>
    <row r="3455" spans="2:6" ht="15.75" hidden="1" customHeight="1" x14ac:dyDescent="0.25">
      <c r="B3455" s="13" t="s">
        <v>14153</v>
      </c>
      <c r="C3455" s="13" t="s">
        <v>18502</v>
      </c>
      <c r="D3455" s="12" t="s">
        <v>8812</v>
      </c>
      <c r="E3455" s="13" t="s">
        <v>6214</v>
      </c>
      <c r="F3455" s="681">
        <v>4313.54</v>
      </c>
    </row>
    <row r="3456" spans="2:6" ht="15.75" hidden="1" customHeight="1" x14ac:dyDescent="0.25">
      <c r="B3456" s="13" t="s">
        <v>556</v>
      </c>
      <c r="C3456" s="13" t="s">
        <v>18503</v>
      </c>
      <c r="D3456" s="12" t="s">
        <v>10736</v>
      </c>
      <c r="E3456" s="13" t="s">
        <v>580</v>
      </c>
      <c r="F3456" s="681">
        <v>61.44</v>
      </c>
    </row>
    <row r="3457" spans="2:6" ht="15.75" hidden="1" customHeight="1" x14ac:dyDescent="0.25">
      <c r="B3457" s="13" t="s">
        <v>14153</v>
      </c>
      <c r="C3457" s="13" t="s">
        <v>18504</v>
      </c>
      <c r="D3457" s="12" t="s">
        <v>8805</v>
      </c>
      <c r="E3457" s="13" t="s">
        <v>6214</v>
      </c>
      <c r="F3457" s="681">
        <v>3588.95</v>
      </c>
    </row>
    <row r="3458" spans="2:6" ht="15.75" hidden="1" customHeight="1" x14ac:dyDescent="0.25">
      <c r="B3458" s="13" t="s">
        <v>14153</v>
      </c>
      <c r="C3458" s="13" t="s">
        <v>18505</v>
      </c>
      <c r="D3458" s="12" t="s">
        <v>8803</v>
      </c>
      <c r="E3458" s="13" t="s">
        <v>6214</v>
      </c>
      <c r="F3458" s="681">
        <v>3997.37</v>
      </c>
    </row>
    <row r="3459" spans="2:6" ht="15.75" hidden="1" customHeight="1" x14ac:dyDescent="0.25">
      <c r="B3459" s="13" t="s">
        <v>14153</v>
      </c>
      <c r="C3459" s="13" t="s">
        <v>18506</v>
      </c>
      <c r="D3459" s="12" t="s">
        <v>11844</v>
      </c>
      <c r="E3459" s="13" t="s">
        <v>6214</v>
      </c>
      <c r="F3459" s="681">
        <v>3546.19</v>
      </c>
    </row>
    <row r="3460" spans="2:6" ht="15.75" hidden="1" customHeight="1" x14ac:dyDescent="0.25">
      <c r="B3460" s="13" t="s">
        <v>14153</v>
      </c>
      <c r="C3460" s="13" t="s">
        <v>18507</v>
      </c>
      <c r="D3460" s="12" t="s">
        <v>10116</v>
      </c>
      <c r="E3460" s="13" t="s">
        <v>6214</v>
      </c>
      <c r="F3460" s="681">
        <v>4313.54</v>
      </c>
    </row>
    <row r="3461" spans="2:6" ht="15.75" hidden="1" customHeight="1" x14ac:dyDescent="0.25">
      <c r="B3461" s="13" t="s">
        <v>14153</v>
      </c>
      <c r="C3461" s="13" t="s">
        <v>18508</v>
      </c>
      <c r="D3461" s="12" t="s">
        <v>10181</v>
      </c>
      <c r="E3461" s="13" t="s">
        <v>6214</v>
      </c>
      <c r="F3461" s="681">
        <v>4313.54</v>
      </c>
    </row>
    <row r="3462" spans="2:6" ht="15.75" hidden="1" customHeight="1" x14ac:dyDescent="0.25">
      <c r="B3462" s="13" t="s">
        <v>14153</v>
      </c>
      <c r="C3462" s="13" t="s">
        <v>18509</v>
      </c>
      <c r="D3462" s="12" t="s">
        <v>10237</v>
      </c>
      <c r="E3462" s="13" t="s">
        <v>6214</v>
      </c>
      <c r="F3462" s="681">
        <v>3847.57</v>
      </c>
    </row>
    <row r="3463" spans="2:6" ht="15.75" hidden="1" customHeight="1" x14ac:dyDescent="0.25">
      <c r="B3463" s="13" t="s">
        <v>14153</v>
      </c>
      <c r="C3463" s="13" t="s">
        <v>18510</v>
      </c>
      <c r="D3463" s="12" t="s">
        <v>8793</v>
      </c>
      <c r="E3463" s="13" t="s">
        <v>6214</v>
      </c>
      <c r="F3463" s="681">
        <v>3545.88</v>
      </c>
    </row>
    <row r="3464" spans="2:6" ht="15.75" hidden="1" customHeight="1" x14ac:dyDescent="0.25">
      <c r="B3464" s="13" t="s">
        <v>14153</v>
      </c>
      <c r="C3464" s="13" t="s">
        <v>18511</v>
      </c>
      <c r="D3464" s="12" t="s">
        <v>10943</v>
      </c>
      <c r="E3464" s="13" t="s">
        <v>6214</v>
      </c>
      <c r="F3464" s="681">
        <v>4472.04</v>
      </c>
    </row>
    <row r="3465" spans="2:6" ht="15.75" hidden="1" customHeight="1" x14ac:dyDescent="0.25">
      <c r="B3465" s="13" t="s">
        <v>14153</v>
      </c>
      <c r="C3465" s="13" t="s">
        <v>18512</v>
      </c>
      <c r="D3465" s="12" t="s">
        <v>10947</v>
      </c>
      <c r="E3465" s="13" t="s">
        <v>6214</v>
      </c>
      <c r="F3465" s="681">
        <v>4472.04</v>
      </c>
    </row>
    <row r="3466" spans="2:6" ht="15.75" hidden="1" customHeight="1" x14ac:dyDescent="0.25">
      <c r="B3466" s="13" t="s">
        <v>14153</v>
      </c>
      <c r="C3466" s="13" t="s">
        <v>18513</v>
      </c>
      <c r="D3466" s="12" t="s">
        <v>10945</v>
      </c>
      <c r="E3466" s="13" t="s">
        <v>6214</v>
      </c>
      <c r="F3466" s="681">
        <v>4124.1400000000003</v>
      </c>
    </row>
    <row r="3467" spans="2:6" ht="15.75" hidden="1" customHeight="1" x14ac:dyDescent="0.25">
      <c r="B3467" s="13" t="s">
        <v>14153</v>
      </c>
      <c r="C3467" s="13" t="s">
        <v>18514</v>
      </c>
      <c r="D3467" s="12" t="s">
        <v>8624</v>
      </c>
      <c r="E3467" s="13" t="s">
        <v>6214</v>
      </c>
      <c r="F3467" s="681">
        <v>3997.37</v>
      </c>
    </row>
    <row r="3468" spans="2:6" ht="15.75" hidden="1" customHeight="1" x14ac:dyDescent="0.25">
      <c r="B3468" s="13" t="s">
        <v>14153</v>
      </c>
      <c r="C3468" s="13" t="s">
        <v>18515</v>
      </c>
      <c r="D3468" s="12" t="s">
        <v>11265</v>
      </c>
      <c r="E3468" s="13" t="s">
        <v>6214</v>
      </c>
      <c r="F3468" s="681">
        <v>3588.95</v>
      </c>
    </row>
    <row r="3469" spans="2:6" ht="15.75" hidden="1" customHeight="1" x14ac:dyDescent="0.25">
      <c r="B3469" s="13" t="s">
        <v>14153</v>
      </c>
      <c r="C3469" s="13" t="s">
        <v>18516</v>
      </c>
      <c r="D3469" s="12" t="s">
        <v>8628</v>
      </c>
      <c r="E3469" s="13" t="s">
        <v>6214</v>
      </c>
      <c r="F3469" s="681">
        <v>3842.7</v>
      </c>
    </row>
    <row r="3470" spans="2:6" ht="15.75" hidden="1" customHeight="1" x14ac:dyDescent="0.25">
      <c r="B3470" s="13" t="s">
        <v>14153</v>
      </c>
      <c r="C3470" s="13" t="s">
        <v>18517</v>
      </c>
      <c r="D3470" s="12" t="s">
        <v>8622</v>
      </c>
      <c r="E3470" s="13" t="s">
        <v>6214</v>
      </c>
      <c r="F3470" s="681">
        <v>3590.91</v>
      </c>
    </row>
    <row r="3471" spans="2:6" ht="15.75" hidden="1" customHeight="1" x14ac:dyDescent="0.25">
      <c r="B3471" s="13" t="s">
        <v>14153</v>
      </c>
      <c r="C3471" s="13" t="s">
        <v>18518</v>
      </c>
      <c r="D3471" s="12" t="s">
        <v>11281</v>
      </c>
      <c r="E3471" s="13" t="s">
        <v>6214</v>
      </c>
      <c r="F3471" s="681">
        <v>5192.8500000000004</v>
      </c>
    </row>
    <row r="3472" spans="2:6" ht="15.75" hidden="1" customHeight="1" x14ac:dyDescent="0.25">
      <c r="B3472" s="13" t="s">
        <v>14153</v>
      </c>
      <c r="C3472" s="13" t="s">
        <v>18519</v>
      </c>
      <c r="D3472" s="12" t="s">
        <v>11283</v>
      </c>
      <c r="E3472" s="13" t="s">
        <v>6214</v>
      </c>
      <c r="F3472" s="681">
        <v>5596.18</v>
      </c>
    </row>
    <row r="3473" spans="2:6" ht="15.75" hidden="1" customHeight="1" x14ac:dyDescent="0.25">
      <c r="B3473" s="13" t="s">
        <v>14153</v>
      </c>
      <c r="C3473" s="13" t="s">
        <v>18520</v>
      </c>
      <c r="D3473" s="12" t="s">
        <v>11440</v>
      </c>
      <c r="E3473" s="13" t="s">
        <v>6214</v>
      </c>
      <c r="F3473" s="681">
        <v>10041.290000000001</v>
      </c>
    </row>
    <row r="3474" spans="2:6" ht="15.75" hidden="1" customHeight="1" x14ac:dyDescent="0.25">
      <c r="B3474" s="13" t="s">
        <v>14153</v>
      </c>
      <c r="C3474" s="13" t="s">
        <v>18521</v>
      </c>
      <c r="D3474" s="12" t="s">
        <v>8799</v>
      </c>
      <c r="E3474" s="13" t="s">
        <v>6214</v>
      </c>
      <c r="F3474" s="681">
        <v>6846.21</v>
      </c>
    </row>
    <row r="3475" spans="2:6" ht="15.75" hidden="1" customHeight="1" x14ac:dyDescent="0.25">
      <c r="B3475" s="13" t="s">
        <v>14153</v>
      </c>
      <c r="C3475" s="13" t="s">
        <v>18522</v>
      </c>
      <c r="D3475" s="12" t="s">
        <v>11003</v>
      </c>
      <c r="E3475" s="13" t="s">
        <v>6214</v>
      </c>
      <c r="F3475" s="681">
        <v>3720.78</v>
      </c>
    </row>
    <row r="3476" spans="2:6" ht="15.75" hidden="1" customHeight="1" x14ac:dyDescent="0.25">
      <c r="B3476" s="13" t="s">
        <v>14153</v>
      </c>
      <c r="C3476" s="13" t="s">
        <v>18523</v>
      </c>
      <c r="D3476" s="12" t="s">
        <v>11444</v>
      </c>
      <c r="E3476" s="13" t="s">
        <v>6214</v>
      </c>
      <c r="F3476" s="681">
        <v>4709.8999999999996</v>
      </c>
    </row>
    <row r="3477" spans="2:6" ht="15.75" hidden="1" customHeight="1" x14ac:dyDescent="0.25">
      <c r="B3477" s="13" t="s">
        <v>14153</v>
      </c>
      <c r="C3477" s="13" t="s">
        <v>18524</v>
      </c>
      <c r="D3477" s="12" t="s">
        <v>8807</v>
      </c>
      <c r="E3477" s="13" t="s">
        <v>6214</v>
      </c>
      <c r="F3477" s="681">
        <v>5988.4</v>
      </c>
    </row>
    <row r="3478" spans="2:6" ht="15.75" hidden="1" customHeight="1" x14ac:dyDescent="0.25">
      <c r="B3478" s="13" t="s">
        <v>14153</v>
      </c>
      <c r="C3478" s="13" t="s">
        <v>18525</v>
      </c>
      <c r="D3478" s="12" t="s">
        <v>10750</v>
      </c>
      <c r="E3478" s="13" t="s">
        <v>6214</v>
      </c>
      <c r="F3478" s="681">
        <v>3997.37</v>
      </c>
    </row>
    <row r="3479" spans="2:6" ht="15.75" hidden="1" customHeight="1" x14ac:dyDescent="0.25">
      <c r="B3479" s="13" t="s">
        <v>14153</v>
      </c>
      <c r="C3479" s="13" t="s">
        <v>18526</v>
      </c>
      <c r="D3479" s="12" t="s">
        <v>11881</v>
      </c>
      <c r="E3479" s="13" t="s">
        <v>6214</v>
      </c>
      <c r="F3479" s="681">
        <v>4017.27</v>
      </c>
    </row>
    <row r="3480" spans="2:6" ht="15.75" hidden="1" customHeight="1" x14ac:dyDescent="0.25">
      <c r="B3480" s="13" t="s">
        <v>14153</v>
      </c>
      <c r="C3480" s="13" t="s">
        <v>18527</v>
      </c>
      <c r="D3480" s="12" t="s">
        <v>11518</v>
      </c>
      <c r="E3480" s="13" t="s">
        <v>6214</v>
      </c>
      <c r="F3480" s="681">
        <v>4313.54</v>
      </c>
    </row>
    <row r="3481" spans="2:6" ht="15.75" hidden="1" customHeight="1" x14ac:dyDescent="0.25">
      <c r="B3481" s="13" t="s">
        <v>556</v>
      </c>
      <c r="C3481" s="13" t="s">
        <v>18528</v>
      </c>
      <c r="D3481" s="12" t="s">
        <v>8495</v>
      </c>
      <c r="E3481" s="13" t="s">
        <v>580</v>
      </c>
      <c r="F3481" s="681">
        <v>0.2</v>
      </c>
    </row>
    <row r="3482" spans="2:6" ht="15.75" hidden="1" customHeight="1" x14ac:dyDescent="0.25">
      <c r="B3482" s="13" t="s">
        <v>556</v>
      </c>
      <c r="C3482" s="13" t="s">
        <v>18529</v>
      </c>
      <c r="D3482" s="12" t="s">
        <v>9926</v>
      </c>
      <c r="E3482" s="13" t="s">
        <v>580</v>
      </c>
      <c r="F3482" s="681">
        <v>51.56</v>
      </c>
    </row>
    <row r="3483" spans="2:6" ht="15.75" hidden="1" customHeight="1" x14ac:dyDescent="0.25">
      <c r="B3483" s="13" t="s">
        <v>556</v>
      </c>
      <c r="C3483" s="13" t="s">
        <v>18530</v>
      </c>
      <c r="D3483" s="12" t="s">
        <v>10734</v>
      </c>
      <c r="E3483" s="13" t="s">
        <v>580</v>
      </c>
      <c r="F3483" s="681">
        <v>73.19</v>
      </c>
    </row>
    <row r="3484" spans="2:6" ht="15.75" hidden="1" customHeight="1" x14ac:dyDescent="0.25">
      <c r="B3484" s="13" t="s">
        <v>556</v>
      </c>
      <c r="C3484" s="13" t="s">
        <v>18531</v>
      </c>
      <c r="D3484" s="12" t="s">
        <v>10577</v>
      </c>
      <c r="E3484" s="13" t="s">
        <v>585</v>
      </c>
      <c r="F3484" s="681">
        <v>26.13</v>
      </c>
    </row>
    <row r="3485" spans="2:6" ht="15.75" hidden="1" customHeight="1" x14ac:dyDescent="0.25">
      <c r="B3485" s="13" t="s">
        <v>556</v>
      </c>
      <c r="C3485" s="13" t="s">
        <v>18532</v>
      </c>
      <c r="D3485" s="12" t="s">
        <v>18533</v>
      </c>
      <c r="E3485" s="13" t="s">
        <v>580</v>
      </c>
      <c r="F3485" s="681">
        <v>3699.63</v>
      </c>
    </row>
    <row r="3486" spans="2:6" ht="15.75" hidden="1" customHeight="1" x14ac:dyDescent="0.25">
      <c r="B3486" s="13" t="s">
        <v>556</v>
      </c>
      <c r="C3486" s="13" t="s">
        <v>18534</v>
      </c>
      <c r="D3486" s="12" t="s">
        <v>18535</v>
      </c>
      <c r="E3486" s="13" t="s">
        <v>580</v>
      </c>
      <c r="F3486" s="681">
        <v>4898.1899999999996</v>
      </c>
    </row>
    <row r="3487" spans="2:6" ht="15.75" hidden="1" customHeight="1" x14ac:dyDescent="0.25">
      <c r="B3487" s="13" t="s">
        <v>556</v>
      </c>
      <c r="C3487" s="13" t="s">
        <v>18536</v>
      </c>
      <c r="D3487" s="12" t="s">
        <v>18537</v>
      </c>
      <c r="E3487" s="13" t="s">
        <v>580</v>
      </c>
      <c r="F3487" s="681">
        <v>7026.87</v>
      </c>
    </row>
    <row r="3488" spans="2:6" ht="15.75" hidden="1" customHeight="1" x14ac:dyDescent="0.25">
      <c r="B3488" s="13" t="s">
        <v>556</v>
      </c>
      <c r="C3488" s="13" t="s">
        <v>18538</v>
      </c>
      <c r="D3488" s="12" t="s">
        <v>18539</v>
      </c>
      <c r="E3488" s="13" t="s">
        <v>580</v>
      </c>
      <c r="F3488" s="681">
        <v>8773.19</v>
      </c>
    </row>
    <row r="3489" spans="2:6" ht="15.75" hidden="1" customHeight="1" x14ac:dyDescent="0.25">
      <c r="B3489" s="13" t="s">
        <v>556</v>
      </c>
      <c r="C3489" s="13" t="s">
        <v>18540</v>
      </c>
      <c r="D3489" s="12" t="s">
        <v>18541</v>
      </c>
      <c r="E3489" s="13" t="s">
        <v>580</v>
      </c>
      <c r="F3489" s="681">
        <v>13357.71</v>
      </c>
    </row>
    <row r="3490" spans="2:6" ht="15.75" hidden="1" customHeight="1" x14ac:dyDescent="0.25">
      <c r="B3490" s="13" t="s">
        <v>556</v>
      </c>
      <c r="C3490" s="13" t="s">
        <v>18542</v>
      </c>
      <c r="D3490" s="12" t="s">
        <v>18543</v>
      </c>
      <c r="E3490" s="13" t="s">
        <v>580</v>
      </c>
      <c r="F3490" s="681">
        <v>4953.6400000000003</v>
      </c>
    </row>
    <row r="3491" spans="2:6" ht="15.75" hidden="1" customHeight="1" x14ac:dyDescent="0.25">
      <c r="B3491" s="13" t="s">
        <v>556</v>
      </c>
      <c r="C3491" s="13" t="s">
        <v>18544</v>
      </c>
      <c r="D3491" s="12" t="s">
        <v>18545</v>
      </c>
      <c r="E3491" s="13" t="s">
        <v>580</v>
      </c>
      <c r="F3491" s="681">
        <v>6941.95</v>
      </c>
    </row>
    <row r="3492" spans="2:6" ht="15.75" hidden="1" customHeight="1" x14ac:dyDescent="0.25">
      <c r="B3492" s="13" t="s">
        <v>556</v>
      </c>
      <c r="C3492" s="13" t="s">
        <v>18546</v>
      </c>
      <c r="D3492" s="12" t="s">
        <v>18547</v>
      </c>
      <c r="E3492" s="13" t="s">
        <v>580</v>
      </c>
      <c r="F3492" s="681">
        <v>9309.74</v>
      </c>
    </row>
    <row r="3493" spans="2:6" ht="15.75" hidden="1" customHeight="1" x14ac:dyDescent="0.25">
      <c r="B3493" s="13" t="s">
        <v>556</v>
      </c>
      <c r="C3493" s="13" t="s">
        <v>18548</v>
      </c>
      <c r="D3493" s="12" t="s">
        <v>18549</v>
      </c>
      <c r="E3493" s="13" t="s">
        <v>580</v>
      </c>
      <c r="F3493" s="681">
        <v>11905.08</v>
      </c>
    </row>
    <row r="3494" spans="2:6" ht="15.75" hidden="1" customHeight="1" x14ac:dyDescent="0.25">
      <c r="B3494" s="13" t="s">
        <v>556</v>
      </c>
      <c r="C3494" s="13" t="s">
        <v>18550</v>
      </c>
      <c r="D3494" s="12" t="s">
        <v>18551</v>
      </c>
      <c r="E3494" s="13" t="s">
        <v>580</v>
      </c>
      <c r="F3494" s="681">
        <v>15305.22</v>
      </c>
    </row>
    <row r="3495" spans="2:6" ht="15.75" hidden="1" customHeight="1" x14ac:dyDescent="0.25">
      <c r="B3495" s="13" t="s">
        <v>556</v>
      </c>
      <c r="C3495" s="13" t="s">
        <v>18552</v>
      </c>
      <c r="D3495" s="12" t="s">
        <v>10578</v>
      </c>
      <c r="E3495" s="13" t="s">
        <v>585</v>
      </c>
      <c r="F3495" s="681">
        <v>52.78</v>
      </c>
    </row>
    <row r="3496" spans="2:6" ht="15.75" hidden="1" customHeight="1" x14ac:dyDescent="0.25">
      <c r="B3496" s="13" t="s">
        <v>556</v>
      </c>
      <c r="C3496" s="13" t="s">
        <v>18553</v>
      </c>
      <c r="D3496" s="12" t="s">
        <v>18554</v>
      </c>
      <c r="E3496" s="13" t="s">
        <v>580</v>
      </c>
      <c r="F3496" s="681">
        <v>5322.62</v>
      </c>
    </row>
    <row r="3497" spans="2:6" ht="15.75" hidden="1" customHeight="1" x14ac:dyDescent="0.25">
      <c r="B3497" s="13" t="s">
        <v>556</v>
      </c>
      <c r="C3497" s="13" t="s">
        <v>18555</v>
      </c>
      <c r="D3497" s="12" t="s">
        <v>18556</v>
      </c>
      <c r="E3497" s="13" t="s">
        <v>580</v>
      </c>
      <c r="F3497" s="681">
        <v>8162.04</v>
      </c>
    </row>
    <row r="3498" spans="2:6" ht="15.75" hidden="1" customHeight="1" x14ac:dyDescent="0.25">
      <c r="B3498" s="13" t="s">
        <v>556</v>
      </c>
      <c r="C3498" s="13" t="s">
        <v>18557</v>
      </c>
      <c r="D3498" s="12" t="s">
        <v>18558</v>
      </c>
      <c r="E3498" s="13" t="s">
        <v>580</v>
      </c>
      <c r="F3498" s="681">
        <v>8508.86</v>
      </c>
    </row>
    <row r="3499" spans="2:6" ht="15.75" hidden="1" customHeight="1" x14ac:dyDescent="0.25">
      <c r="B3499" s="13" t="s">
        <v>556</v>
      </c>
      <c r="C3499" s="13" t="s">
        <v>18559</v>
      </c>
      <c r="D3499" s="12" t="s">
        <v>18560</v>
      </c>
      <c r="E3499" s="13" t="s">
        <v>580</v>
      </c>
      <c r="F3499" s="681">
        <v>13903.2</v>
      </c>
    </row>
    <row r="3500" spans="2:6" ht="15.75" hidden="1" customHeight="1" x14ac:dyDescent="0.25">
      <c r="B3500" s="13" t="s">
        <v>556</v>
      </c>
      <c r="C3500" s="13" t="s">
        <v>18561</v>
      </c>
      <c r="D3500" s="12" t="s">
        <v>18562</v>
      </c>
      <c r="E3500" s="13" t="s">
        <v>580</v>
      </c>
      <c r="F3500" s="681">
        <v>16589.669999999998</v>
      </c>
    </row>
    <row r="3501" spans="2:6" ht="15.75" hidden="1" customHeight="1" x14ac:dyDescent="0.25">
      <c r="B3501" s="13" t="s">
        <v>556</v>
      </c>
      <c r="C3501" s="13" t="s">
        <v>18563</v>
      </c>
      <c r="D3501" s="12" t="s">
        <v>18564</v>
      </c>
      <c r="E3501" s="13" t="s">
        <v>580</v>
      </c>
      <c r="F3501" s="681">
        <v>492.63</v>
      </c>
    </row>
    <row r="3502" spans="2:6" ht="15.75" hidden="1" customHeight="1" x14ac:dyDescent="0.25">
      <c r="B3502" s="13" t="s">
        <v>556</v>
      </c>
      <c r="C3502" s="13" t="s">
        <v>18565</v>
      </c>
      <c r="D3502" s="12" t="s">
        <v>18566</v>
      </c>
      <c r="E3502" s="13" t="s">
        <v>580</v>
      </c>
      <c r="F3502" s="681">
        <v>610.65</v>
      </c>
    </row>
    <row r="3503" spans="2:6" ht="15.75" hidden="1" customHeight="1" x14ac:dyDescent="0.25">
      <c r="B3503" s="13" t="s">
        <v>556</v>
      </c>
      <c r="C3503" s="13" t="s">
        <v>18567</v>
      </c>
      <c r="D3503" s="12" t="s">
        <v>18568</v>
      </c>
      <c r="E3503" s="13" t="s">
        <v>580</v>
      </c>
      <c r="F3503" s="681">
        <v>1190.8900000000001</v>
      </c>
    </row>
    <row r="3504" spans="2:6" ht="15.75" hidden="1" customHeight="1" x14ac:dyDescent="0.25">
      <c r="B3504" s="13" t="s">
        <v>556</v>
      </c>
      <c r="C3504" s="13" t="s">
        <v>18569</v>
      </c>
      <c r="D3504" s="12" t="s">
        <v>18570</v>
      </c>
      <c r="E3504" s="13" t="s">
        <v>580</v>
      </c>
      <c r="F3504" s="681">
        <v>1925.09</v>
      </c>
    </row>
    <row r="3505" spans="2:6" ht="15.75" hidden="1" customHeight="1" x14ac:dyDescent="0.25">
      <c r="B3505" s="13" t="s">
        <v>556</v>
      </c>
      <c r="C3505" s="13" t="s">
        <v>18571</v>
      </c>
      <c r="D3505" s="12" t="s">
        <v>18572</v>
      </c>
      <c r="E3505" s="13" t="s">
        <v>580</v>
      </c>
      <c r="F3505" s="681">
        <v>696.18</v>
      </c>
    </row>
    <row r="3506" spans="2:6" ht="15.75" hidden="1" customHeight="1" x14ac:dyDescent="0.25">
      <c r="B3506" s="13" t="s">
        <v>556</v>
      </c>
      <c r="C3506" s="13" t="s">
        <v>18573</v>
      </c>
      <c r="D3506" s="12" t="s">
        <v>8492</v>
      </c>
      <c r="E3506" s="13" t="s">
        <v>580</v>
      </c>
      <c r="F3506" s="681">
        <v>1.02</v>
      </c>
    </row>
    <row r="3507" spans="2:6" ht="15.75" hidden="1" customHeight="1" x14ac:dyDescent="0.25">
      <c r="B3507" s="13" t="s">
        <v>556</v>
      </c>
      <c r="C3507" s="13" t="s">
        <v>18574</v>
      </c>
      <c r="D3507" s="12" t="s">
        <v>18575</v>
      </c>
      <c r="E3507" s="13" t="s">
        <v>580</v>
      </c>
      <c r="F3507" s="681">
        <v>1355.01</v>
      </c>
    </row>
    <row r="3508" spans="2:6" ht="15.75" hidden="1" customHeight="1" x14ac:dyDescent="0.25">
      <c r="B3508" s="13" t="s">
        <v>556</v>
      </c>
      <c r="C3508" s="13" t="s">
        <v>18576</v>
      </c>
      <c r="D3508" s="12" t="s">
        <v>18577</v>
      </c>
      <c r="E3508" s="13" t="s">
        <v>580</v>
      </c>
      <c r="F3508" s="681">
        <v>2166.5100000000002</v>
      </c>
    </row>
    <row r="3509" spans="2:6" ht="15.75" hidden="1" customHeight="1" x14ac:dyDescent="0.25">
      <c r="B3509" s="13" t="s">
        <v>556</v>
      </c>
      <c r="C3509" s="13" t="s">
        <v>18578</v>
      </c>
      <c r="D3509" s="12" t="s">
        <v>18579</v>
      </c>
      <c r="E3509" s="13" t="s">
        <v>580</v>
      </c>
      <c r="F3509" s="681">
        <v>732.67</v>
      </c>
    </row>
    <row r="3510" spans="2:6" ht="15.75" hidden="1" customHeight="1" x14ac:dyDescent="0.25">
      <c r="B3510" s="13" t="s">
        <v>556</v>
      </c>
      <c r="C3510" s="13" t="s">
        <v>18580</v>
      </c>
      <c r="D3510" s="12" t="s">
        <v>18581</v>
      </c>
      <c r="E3510" s="13" t="s">
        <v>580</v>
      </c>
      <c r="F3510" s="681">
        <v>1173.6600000000001</v>
      </c>
    </row>
    <row r="3511" spans="2:6" ht="15.75" hidden="1" customHeight="1" x14ac:dyDescent="0.25">
      <c r="B3511" s="13" t="s">
        <v>556</v>
      </c>
      <c r="C3511" s="13" t="s">
        <v>18582</v>
      </c>
      <c r="D3511" s="12" t="s">
        <v>18583</v>
      </c>
      <c r="E3511" s="13" t="s">
        <v>580</v>
      </c>
      <c r="F3511" s="681">
        <v>1659.25</v>
      </c>
    </row>
    <row r="3512" spans="2:6" ht="15.75" hidden="1" customHeight="1" x14ac:dyDescent="0.25">
      <c r="B3512" s="13" t="s">
        <v>556</v>
      </c>
      <c r="C3512" s="13" t="s">
        <v>18584</v>
      </c>
      <c r="D3512" s="12" t="s">
        <v>18585</v>
      </c>
      <c r="E3512" s="13" t="s">
        <v>580</v>
      </c>
      <c r="F3512" s="681">
        <v>2510.81</v>
      </c>
    </row>
    <row r="3513" spans="2:6" ht="15.75" hidden="1" customHeight="1" x14ac:dyDescent="0.25">
      <c r="B3513" s="13" t="s">
        <v>556</v>
      </c>
      <c r="C3513" s="13" t="s">
        <v>18586</v>
      </c>
      <c r="D3513" s="12" t="s">
        <v>18587</v>
      </c>
      <c r="E3513" s="13" t="s">
        <v>580</v>
      </c>
      <c r="F3513" s="681">
        <v>3310.39</v>
      </c>
    </row>
    <row r="3514" spans="2:6" ht="15.75" hidden="1" customHeight="1" x14ac:dyDescent="0.25">
      <c r="B3514" s="13" t="s">
        <v>556</v>
      </c>
      <c r="C3514" s="13" t="s">
        <v>18588</v>
      </c>
      <c r="D3514" s="12" t="s">
        <v>18589</v>
      </c>
      <c r="E3514" s="13" t="s">
        <v>580</v>
      </c>
      <c r="F3514" s="681">
        <v>4456.45</v>
      </c>
    </row>
    <row r="3515" spans="2:6" ht="15.75" hidden="1" customHeight="1" x14ac:dyDescent="0.25">
      <c r="B3515" s="13" t="s">
        <v>556</v>
      </c>
      <c r="C3515" s="13" t="s">
        <v>18590</v>
      </c>
      <c r="D3515" s="12" t="s">
        <v>18591</v>
      </c>
      <c r="E3515" s="13" t="s">
        <v>580</v>
      </c>
      <c r="F3515" s="681">
        <v>970.27</v>
      </c>
    </row>
    <row r="3516" spans="2:6" ht="15.75" hidden="1" customHeight="1" x14ac:dyDescent="0.25">
      <c r="B3516" s="13" t="s">
        <v>556</v>
      </c>
      <c r="C3516" s="13" t="s">
        <v>18592</v>
      </c>
      <c r="D3516" s="12" t="s">
        <v>18593</v>
      </c>
      <c r="E3516" s="13" t="s">
        <v>580</v>
      </c>
      <c r="F3516" s="681">
        <v>1809.21</v>
      </c>
    </row>
    <row r="3517" spans="2:6" ht="15.75" hidden="1" customHeight="1" x14ac:dyDescent="0.25">
      <c r="B3517" s="13" t="s">
        <v>556</v>
      </c>
      <c r="C3517" s="13" t="s">
        <v>18594</v>
      </c>
      <c r="D3517" s="12" t="s">
        <v>18595</v>
      </c>
      <c r="E3517" s="13" t="s">
        <v>580</v>
      </c>
      <c r="F3517" s="681">
        <v>2771.74</v>
      </c>
    </row>
    <row r="3518" spans="2:6" ht="15.75" hidden="1" customHeight="1" x14ac:dyDescent="0.25">
      <c r="B3518" s="13" t="s">
        <v>556</v>
      </c>
      <c r="C3518" s="13" t="s">
        <v>18596</v>
      </c>
      <c r="D3518" s="12" t="s">
        <v>18597</v>
      </c>
      <c r="E3518" s="13" t="s">
        <v>580</v>
      </c>
      <c r="F3518" s="681">
        <v>3905.35</v>
      </c>
    </row>
    <row r="3519" spans="2:6" ht="15.75" hidden="1" customHeight="1" x14ac:dyDescent="0.25">
      <c r="B3519" s="13" t="s">
        <v>556</v>
      </c>
      <c r="C3519" s="13" t="s">
        <v>18598</v>
      </c>
      <c r="D3519" s="12" t="s">
        <v>18599</v>
      </c>
      <c r="E3519" s="13" t="s">
        <v>580</v>
      </c>
      <c r="F3519" s="681">
        <v>8094.83</v>
      </c>
    </row>
    <row r="3520" spans="2:6" ht="15.75" hidden="1" customHeight="1" x14ac:dyDescent="0.25">
      <c r="B3520" s="13" t="s">
        <v>556</v>
      </c>
      <c r="C3520" s="13" t="s">
        <v>18600</v>
      </c>
      <c r="D3520" s="12" t="s">
        <v>18601</v>
      </c>
      <c r="E3520" s="13" t="s">
        <v>580</v>
      </c>
      <c r="F3520" s="681">
        <v>1536.37</v>
      </c>
    </row>
    <row r="3521" spans="2:6" ht="15.75" hidden="1" customHeight="1" x14ac:dyDescent="0.25">
      <c r="B3521" s="13" t="s">
        <v>556</v>
      </c>
      <c r="C3521" s="13" t="s">
        <v>18602</v>
      </c>
      <c r="D3521" s="12" t="s">
        <v>18603</v>
      </c>
      <c r="E3521" s="13" t="s">
        <v>580</v>
      </c>
      <c r="F3521" s="681">
        <v>2313.21</v>
      </c>
    </row>
    <row r="3522" spans="2:6" ht="15.75" hidden="1" customHeight="1" x14ac:dyDescent="0.25">
      <c r="B3522" s="13" t="s">
        <v>556</v>
      </c>
      <c r="C3522" s="13" t="s">
        <v>18604</v>
      </c>
      <c r="D3522" s="12" t="s">
        <v>18605</v>
      </c>
      <c r="E3522" s="13" t="s">
        <v>580</v>
      </c>
      <c r="F3522" s="681">
        <v>3388.89</v>
      </c>
    </row>
    <row r="3523" spans="2:6" ht="15.75" hidden="1" customHeight="1" x14ac:dyDescent="0.25">
      <c r="B3523" s="13" t="s">
        <v>556</v>
      </c>
      <c r="C3523" s="13" t="s">
        <v>18606</v>
      </c>
      <c r="D3523" s="12" t="s">
        <v>18607</v>
      </c>
      <c r="E3523" s="13" t="s">
        <v>580</v>
      </c>
      <c r="F3523" s="681">
        <v>5433.6</v>
      </c>
    </row>
    <row r="3524" spans="2:6" ht="15.75" hidden="1" customHeight="1" x14ac:dyDescent="0.25">
      <c r="B3524" s="13" t="s">
        <v>556</v>
      </c>
      <c r="C3524" s="13" t="s">
        <v>18608</v>
      </c>
      <c r="D3524" s="12" t="s">
        <v>18609</v>
      </c>
      <c r="E3524" s="13" t="s">
        <v>580</v>
      </c>
      <c r="F3524" s="681">
        <v>7286.62</v>
      </c>
    </row>
    <row r="3525" spans="2:6" ht="15.75" hidden="1" customHeight="1" x14ac:dyDescent="0.25">
      <c r="B3525" s="13" t="s">
        <v>556</v>
      </c>
      <c r="C3525" s="13" t="s">
        <v>18610</v>
      </c>
      <c r="D3525" s="12" t="s">
        <v>18611</v>
      </c>
      <c r="E3525" s="13" t="s">
        <v>580</v>
      </c>
      <c r="F3525" s="681">
        <v>6697.95</v>
      </c>
    </row>
    <row r="3526" spans="2:6" ht="15.75" hidden="1" customHeight="1" x14ac:dyDescent="0.25">
      <c r="B3526" s="13" t="s">
        <v>556</v>
      </c>
      <c r="C3526" s="13" t="s">
        <v>18612</v>
      </c>
      <c r="D3526" s="12" t="s">
        <v>18613</v>
      </c>
      <c r="E3526" s="13" t="s">
        <v>580</v>
      </c>
      <c r="F3526" s="681">
        <v>9584.84</v>
      </c>
    </row>
    <row r="3527" spans="2:6" ht="15.75" hidden="1" customHeight="1" x14ac:dyDescent="0.25">
      <c r="B3527" s="13" t="s">
        <v>556</v>
      </c>
      <c r="C3527" s="13" t="s">
        <v>18614</v>
      </c>
      <c r="D3527" s="12" t="s">
        <v>10682</v>
      </c>
      <c r="E3527" s="13" t="s">
        <v>823</v>
      </c>
      <c r="F3527" s="681">
        <v>84.67</v>
      </c>
    </row>
    <row r="3528" spans="2:6" ht="15.75" hidden="1" customHeight="1" x14ac:dyDescent="0.25">
      <c r="B3528" s="13" t="s">
        <v>556</v>
      </c>
      <c r="C3528" s="13" t="s">
        <v>18615</v>
      </c>
      <c r="D3528" s="12" t="s">
        <v>18616</v>
      </c>
      <c r="E3528" s="13" t="s">
        <v>578</v>
      </c>
      <c r="F3528" s="681">
        <v>66.47</v>
      </c>
    </row>
    <row r="3529" spans="2:6" ht="15.75" hidden="1" customHeight="1" x14ac:dyDescent="0.25">
      <c r="B3529" s="13" t="s">
        <v>556</v>
      </c>
      <c r="C3529" s="13" t="s">
        <v>18617</v>
      </c>
      <c r="D3529" s="12" t="s">
        <v>18618</v>
      </c>
      <c r="E3529" s="13" t="s">
        <v>578</v>
      </c>
      <c r="F3529" s="681">
        <v>112.46</v>
      </c>
    </row>
    <row r="3530" spans="2:6" ht="15.75" hidden="1" customHeight="1" x14ac:dyDescent="0.25">
      <c r="B3530" s="13" t="s">
        <v>556</v>
      </c>
      <c r="C3530" s="13" t="s">
        <v>18619</v>
      </c>
      <c r="D3530" s="12" t="s">
        <v>18620</v>
      </c>
      <c r="E3530" s="13" t="s">
        <v>580</v>
      </c>
      <c r="F3530" s="681">
        <v>455.36</v>
      </c>
    </row>
    <row r="3531" spans="2:6" ht="15.75" hidden="1" customHeight="1" x14ac:dyDescent="0.25">
      <c r="B3531" s="13" t="s">
        <v>556</v>
      </c>
      <c r="C3531" s="13" t="s">
        <v>18621</v>
      </c>
      <c r="D3531" s="12" t="s">
        <v>18622</v>
      </c>
      <c r="E3531" s="13" t="s">
        <v>580</v>
      </c>
      <c r="F3531" s="681">
        <v>477.05</v>
      </c>
    </row>
    <row r="3532" spans="2:6" ht="15.75" hidden="1" customHeight="1" x14ac:dyDescent="0.25">
      <c r="B3532" s="13" t="s">
        <v>556</v>
      </c>
      <c r="C3532" s="13" t="s">
        <v>18623</v>
      </c>
      <c r="D3532" s="12" t="s">
        <v>18624</v>
      </c>
      <c r="E3532" s="13" t="s">
        <v>580</v>
      </c>
      <c r="F3532" s="681">
        <v>461.75</v>
      </c>
    </row>
    <row r="3533" spans="2:6" ht="15.75" hidden="1" customHeight="1" x14ac:dyDescent="0.25">
      <c r="B3533" s="13" t="s">
        <v>556</v>
      </c>
      <c r="C3533" s="13" t="s">
        <v>18625</v>
      </c>
      <c r="D3533" s="12" t="s">
        <v>18626</v>
      </c>
      <c r="E3533" s="13" t="s">
        <v>580</v>
      </c>
      <c r="F3533" s="681">
        <v>626.74</v>
      </c>
    </row>
    <row r="3534" spans="2:6" ht="15.75" hidden="1" customHeight="1" x14ac:dyDescent="0.25">
      <c r="B3534" s="13" t="s">
        <v>556</v>
      </c>
      <c r="C3534" s="13" t="s">
        <v>18627</v>
      </c>
      <c r="D3534" s="12" t="s">
        <v>18628</v>
      </c>
      <c r="E3534" s="13" t="s">
        <v>580</v>
      </c>
      <c r="F3534" s="681">
        <v>779.89</v>
      </c>
    </row>
    <row r="3535" spans="2:6" ht="15.75" hidden="1" customHeight="1" x14ac:dyDescent="0.25">
      <c r="B3535" s="13" t="s">
        <v>556</v>
      </c>
      <c r="C3535" s="13" t="s">
        <v>18629</v>
      </c>
      <c r="D3535" s="12" t="s">
        <v>18630</v>
      </c>
      <c r="E3535" s="13" t="s">
        <v>585</v>
      </c>
      <c r="F3535" s="681">
        <v>57.04</v>
      </c>
    </row>
    <row r="3536" spans="2:6" ht="15.75" hidden="1" customHeight="1" x14ac:dyDescent="0.25">
      <c r="B3536" s="13" t="s">
        <v>556</v>
      </c>
      <c r="C3536" s="13" t="s">
        <v>18631</v>
      </c>
      <c r="D3536" s="12" t="s">
        <v>18632</v>
      </c>
      <c r="E3536" s="13" t="s">
        <v>585</v>
      </c>
      <c r="F3536" s="681">
        <v>68.44</v>
      </c>
    </row>
    <row r="3537" spans="2:6" ht="15.75" hidden="1" customHeight="1" x14ac:dyDescent="0.25">
      <c r="B3537" s="13" t="s">
        <v>556</v>
      </c>
      <c r="C3537" s="13" t="s">
        <v>18633</v>
      </c>
      <c r="D3537" s="12" t="s">
        <v>8493</v>
      </c>
      <c r="E3537" s="13" t="s">
        <v>580</v>
      </c>
      <c r="F3537" s="681">
        <v>0.06</v>
      </c>
    </row>
    <row r="3538" spans="2:6" ht="15.75" hidden="1" customHeight="1" x14ac:dyDescent="0.25">
      <c r="B3538" s="13" t="s">
        <v>556</v>
      </c>
      <c r="C3538" s="13" t="s">
        <v>18634</v>
      </c>
      <c r="D3538" s="12" t="s">
        <v>18635</v>
      </c>
      <c r="E3538" s="13" t="s">
        <v>580</v>
      </c>
      <c r="F3538" s="681">
        <v>81.849999999999994</v>
      </c>
    </row>
    <row r="3539" spans="2:6" ht="15.75" hidden="1" customHeight="1" x14ac:dyDescent="0.25">
      <c r="B3539" s="13" t="s">
        <v>556</v>
      </c>
      <c r="C3539" s="13" t="s">
        <v>18636</v>
      </c>
      <c r="D3539" s="12" t="s">
        <v>18637</v>
      </c>
      <c r="E3539" s="13" t="s">
        <v>580</v>
      </c>
      <c r="F3539" s="681">
        <v>74.209999999999994</v>
      </c>
    </row>
    <row r="3540" spans="2:6" ht="15.75" hidden="1" customHeight="1" x14ac:dyDescent="0.25">
      <c r="B3540" s="13" t="s">
        <v>556</v>
      </c>
      <c r="C3540" s="13" t="s">
        <v>18638</v>
      </c>
      <c r="D3540" s="12" t="s">
        <v>18639</v>
      </c>
      <c r="E3540" s="13" t="s">
        <v>580</v>
      </c>
      <c r="F3540" s="681">
        <v>143.53</v>
      </c>
    </row>
    <row r="3541" spans="2:6" ht="15.75" hidden="1" customHeight="1" x14ac:dyDescent="0.25">
      <c r="B3541" s="13" t="s">
        <v>556</v>
      </c>
      <c r="C3541" s="13" t="s">
        <v>18640</v>
      </c>
      <c r="D3541" s="12" t="s">
        <v>18641</v>
      </c>
      <c r="E3541" s="13" t="s">
        <v>580</v>
      </c>
      <c r="F3541" s="681">
        <v>129.15</v>
      </c>
    </row>
    <row r="3542" spans="2:6" ht="15.75" hidden="1" customHeight="1" x14ac:dyDescent="0.25">
      <c r="B3542" s="13" t="s">
        <v>556</v>
      </c>
      <c r="C3542" s="13" t="s">
        <v>18642</v>
      </c>
      <c r="D3542" s="12" t="s">
        <v>18643</v>
      </c>
      <c r="E3542" s="13" t="s">
        <v>580</v>
      </c>
      <c r="F3542" s="681">
        <v>26.85</v>
      </c>
    </row>
    <row r="3543" spans="2:6" ht="15.75" hidden="1" customHeight="1" x14ac:dyDescent="0.25">
      <c r="B3543" s="13" t="s">
        <v>556</v>
      </c>
      <c r="C3543" s="13" t="s">
        <v>18644</v>
      </c>
      <c r="D3543" s="12" t="s">
        <v>18645</v>
      </c>
      <c r="E3543" s="13" t="s">
        <v>580</v>
      </c>
      <c r="F3543" s="681">
        <v>31.27</v>
      </c>
    </row>
    <row r="3544" spans="2:6" ht="15.75" hidden="1" customHeight="1" x14ac:dyDescent="0.25">
      <c r="B3544" s="13" t="s">
        <v>556</v>
      </c>
      <c r="C3544" s="13" t="s">
        <v>18646</v>
      </c>
      <c r="D3544" s="12" t="s">
        <v>18647</v>
      </c>
      <c r="E3544" s="13" t="s">
        <v>580</v>
      </c>
      <c r="F3544" s="681">
        <v>8.5299999999999994</v>
      </c>
    </row>
    <row r="3545" spans="2:6" ht="15.75" hidden="1" customHeight="1" x14ac:dyDescent="0.25">
      <c r="B3545" s="13" t="s">
        <v>556</v>
      </c>
      <c r="C3545" s="13" t="s">
        <v>18648</v>
      </c>
      <c r="D3545" s="12" t="s">
        <v>18649</v>
      </c>
      <c r="E3545" s="13" t="s">
        <v>580</v>
      </c>
      <c r="F3545" s="681">
        <v>11.61</v>
      </c>
    </row>
    <row r="3546" spans="2:6" ht="15.75" hidden="1" customHeight="1" x14ac:dyDescent="0.25">
      <c r="B3546" s="13" t="s">
        <v>556</v>
      </c>
      <c r="C3546" s="13" t="s">
        <v>18650</v>
      </c>
      <c r="D3546" s="12" t="s">
        <v>18651</v>
      </c>
      <c r="E3546" s="13" t="s">
        <v>580</v>
      </c>
      <c r="F3546" s="681">
        <v>11.58</v>
      </c>
    </row>
    <row r="3547" spans="2:6" ht="15.75" hidden="1" customHeight="1" x14ac:dyDescent="0.25">
      <c r="B3547" s="13" t="s">
        <v>556</v>
      </c>
      <c r="C3547" s="13" t="s">
        <v>18652</v>
      </c>
      <c r="D3547" s="12" t="s">
        <v>18653</v>
      </c>
      <c r="E3547" s="13" t="s">
        <v>580</v>
      </c>
      <c r="F3547" s="681">
        <v>15.85</v>
      </c>
    </row>
    <row r="3548" spans="2:6" ht="15.75" hidden="1" customHeight="1" x14ac:dyDescent="0.25">
      <c r="B3548" s="13" t="s">
        <v>556</v>
      </c>
      <c r="C3548" s="13" t="s">
        <v>18654</v>
      </c>
      <c r="D3548" s="12" t="s">
        <v>18655</v>
      </c>
      <c r="E3548" s="13" t="s">
        <v>580</v>
      </c>
      <c r="F3548" s="681">
        <v>8.11</v>
      </c>
    </row>
    <row r="3549" spans="2:6" ht="15.75" hidden="1" customHeight="1" x14ac:dyDescent="0.25">
      <c r="B3549" s="13" t="s">
        <v>556</v>
      </c>
      <c r="C3549" s="13" t="s">
        <v>18656</v>
      </c>
      <c r="D3549" s="12" t="s">
        <v>18657</v>
      </c>
      <c r="E3549" s="13" t="s">
        <v>580</v>
      </c>
      <c r="F3549" s="681">
        <v>14.63</v>
      </c>
    </row>
    <row r="3550" spans="2:6" ht="15.75" hidden="1" customHeight="1" x14ac:dyDescent="0.25">
      <c r="B3550" s="13" t="s">
        <v>556</v>
      </c>
      <c r="C3550" s="13" t="s">
        <v>18658</v>
      </c>
      <c r="D3550" s="12" t="s">
        <v>18659</v>
      </c>
      <c r="E3550" s="13" t="s">
        <v>580</v>
      </c>
      <c r="F3550" s="681">
        <v>1692.38</v>
      </c>
    </row>
    <row r="3551" spans="2:6" ht="15.75" hidden="1" customHeight="1" x14ac:dyDescent="0.25">
      <c r="B3551" s="13" t="s">
        <v>556</v>
      </c>
      <c r="C3551" s="13" t="s">
        <v>18660</v>
      </c>
      <c r="D3551" s="12" t="s">
        <v>18661</v>
      </c>
      <c r="E3551" s="13" t="s">
        <v>580</v>
      </c>
      <c r="F3551" s="681">
        <v>2362.64</v>
      </c>
    </row>
    <row r="3552" spans="2:6" ht="15.75" hidden="1" customHeight="1" x14ac:dyDescent="0.25">
      <c r="B3552" s="13" t="s">
        <v>556</v>
      </c>
      <c r="C3552" s="13" t="s">
        <v>18662</v>
      </c>
      <c r="D3552" s="12" t="s">
        <v>18663</v>
      </c>
      <c r="E3552" s="13" t="s">
        <v>580</v>
      </c>
      <c r="F3552" s="681">
        <v>3295.71</v>
      </c>
    </row>
    <row r="3553" spans="2:6" ht="15.75" hidden="1" customHeight="1" x14ac:dyDescent="0.25">
      <c r="B3553" s="13" t="s">
        <v>556</v>
      </c>
      <c r="C3553" s="13" t="s">
        <v>18664</v>
      </c>
      <c r="D3553" s="12" t="s">
        <v>18665</v>
      </c>
      <c r="E3553" s="13" t="s">
        <v>580</v>
      </c>
      <c r="F3553" s="681">
        <v>4493.53</v>
      </c>
    </row>
    <row r="3554" spans="2:6" ht="15.75" hidden="1" customHeight="1" x14ac:dyDescent="0.25">
      <c r="B3554" s="13" t="s">
        <v>556</v>
      </c>
      <c r="C3554" s="13" t="s">
        <v>18666</v>
      </c>
      <c r="D3554" s="12" t="s">
        <v>9245</v>
      </c>
      <c r="E3554" s="13" t="s">
        <v>580</v>
      </c>
      <c r="F3554" s="681">
        <v>77.25</v>
      </c>
    </row>
    <row r="3555" spans="2:6" ht="15.75" hidden="1" customHeight="1" x14ac:dyDescent="0.25">
      <c r="B3555" s="13" t="s">
        <v>556</v>
      </c>
      <c r="C3555" s="13" t="s">
        <v>18667</v>
      </c>
      <c r="D3555" s="12" t="s">
        <v>9246</v>
      </c>
      <c r="E3555" s="13" t="s">
        <v>580</v>
      </c>
      <c r="F3555" s="681">
        <v>65.91</v>
      </c>
    </row>
    <row r="3556" spans="2:6" ht="15.75" hidden="1" customHeight="1" x14ac:dyDescent="0.25">
      <c r="B3556" s="13" t="s">
        <v>556</v>
      </c>
      <c r="C3556" s="13" t="s">
        <v>18668</v>
      </c>
      <c r="D3556" s="12" t="s">
        <v>9247</v>
      </c>
      <c r="E3556" s="13" t="s">
        <v>580</v>
      </c>
      <c r="F3556" s="681">
        <v>144.33000000000001</v>
      </c>
    </row>
    <row r="3557" spans="2:6" ht="15.75" hidden="1" customHeight="1" x14ac:dyDescent="0.25">
      <c r="B3557" s="13" t="s">
        <v>556</v>
      </c>
      <c r="C3557" s="13" t="s">
        <v>18669</v>
      </c>
      <c r="D3557" s="12" t="s">
        <v>9244</v>
      </c>
      <c r="E3557" s="13" t="s">
        <v>580</v>
      </c>
      <c r="F3557" s="681">
        <v>48.36</v>
      </c>
    </row>
    <row r="3558" spans="2:6" ht="15.75" hidden="1" customHeight="1" x14ac:dyDescent="0.25">
      <c r="B3558" s="13" t="s">
        <v>556</v>
      </c>
      <c r="C3558" s="13" t="s">
        <v>18670</v>
      </c>
      <c r="D3558" s="12" t="s">
        <v>10127</v>
      </c>
      <c r="E3558" s="13" t="s">
        <v>580</v>
      </c>
      <c r="F3558" s="681">
        <v>37.08</v>
      </c>
    </row>
    <row r="3559" spans="2:6" ht="15.75" hidden="1" customHeight="1" x14ac:dyDescent="0.25">
      <c r="B3559" s="13" t="s">
        <v>556</v>
      </c>
      <c r="C3559" s="13" t="s">
        <v>18671</v>
      </c>
      <c r="D3559" s="12" t="s">
        <v>10129</v>
      </c>
      <c r="E3559" s="13" t="s">
        <v>580</v>
      </c>
      <c r="F3559" s="681">
        <v>13.57</v>
      </c>
    </row>
    <row r="3560" spans="2:6" ht="15.75" hidden="1" customHeight="1" x14ac:dyDescent="0.25">
      <c r="B3560" s="13" t="s">
        <v>556</v>
      </c>
      <c r="C3560" s="13" t="s">
        <v>18672</v>
      </c>
      <c r="D3560" s="12" t="s">
        <v>18673</v>
      </c>
      <c r="E3560" s="13" t="s">
        <v>580</v>
      </c>
      <c r="F3560" s="681">
        <v>753.2</v>
      </c>
    </row>
    <row r="3561" spans="2:6" ht="15.75" hidden="1" customHeight="1" x14ac:dyDescent="0.25">
      <c r="B3561" s="13" t="s">
        <v>556</v>
      </c>
      <c r="C3561" s="13" t="s">
        <v>18674</v>
      </c>
      <c r="D3561" s="12" t="s">
        <v>18675</v>
      </c>
      <c r="E3561" s="13" t="s">
        <v>580</v>
      </c>
      <c r="F3561" s="681">
        <v>1187.19</v>
      </c>
    </row>
    <row r="3562" spans="2:6" ht="15.75" hidden="1" customHeight="1" x14ac:dyDescent="0.25">
      <c r="B3562" s="13" t="s">
        <v>556</v>
      </c>
      <c r="C3562" s="13" t="s">
        <v>18676</v>
      </c>
      <c r="D3562" s="12" t="s">
        <v>18677</v>
      </c>
      <c r="E3562" s="13" t="s">
        <v>580</v>
      </c>
      <c r="F3562" s="681">
        <v>1666.99</v>
      </c>
    </row>
    <row r="3563" spans="2:6" ht="15.75" hidden="1" customHeight="1" x14ac:dyDescent="0.25">
      <c r="B3563" s="13" t="s">
        <v>556</v>
      </c>
      <c r="C3563" s="13" t="s">
        <v>18678</v>
      </c>
      <c r="D3563" s="12" t="s">
        <v>18679</v>
      </c>
      <c r="E3563" s="13" t="s">
        <v>580</v>
      </c>
      <c r="F3563" s="681">
        <v>127.12</v>
      </c>
    </row>
    <row r="3564" spans="2:6" ht="15.75" hidden="1" customHeight="1" x14ac:dyDescent="0.25">
      <c r="B3564" s="13" t="s">
        <v>556</v>
      </c>
      <c r="C3564" s="13" t="s">
        <v>18680</v>
      </c>
      <c r="D3564" s="12" t="s">
        <v>18681</v>
      </c>
      <c r="E3564" s="13" t="s">
        <v>580</v>
      </c>
      <c r="F3564" s="681">
        <v>161.97999999999999</v>
      </c>
    </row>
    <row r="3565" spans="2:6" ht="15.75" hidden="1" customHeight="1" x14ac:dyDescent="0.25">
      <c r="B3565" s="13" t="s">
        <v>556</v>
      </c>
      <c r="C3565" s="13" t="s">
        <v>18682</v>
      </c>
      <c r="D3565" s="12" t="s">
        <v>18683</v>
      </c>
      <c r="E3565" s="13" t="s">
        <v>580</v>
      </c>
      <c r="F3565" s="681">
        <v>250.35</v>
      </c>
    </row>
    <row r="3566" spans="2:6" ht="15.75" hidden="1" customHeight="1" x14ac:dyDescent="0.25">
      <c r="B3566" s="13" t="s">
        <v>556</v>
      </c>
      <c r="C3566" s="13" t="s">
        <v>18684</v>
      </c>
      <c r="D3566" s="12" t="s">
        <v>18685</v>
      </c>
      <c r="E3566" s="13" t="s">
        <v>580</v>
      </c>
      <c r="F3566" s="681">
        <v>374.06</v>
      </c>
    </row>
    <row r="3567" spans="2:6" ht="15.75" hidden="1" customHeight="1" x14ac:dyDescent="0.25">
      <c r="B3567" s="13" t="s">
        <v>556</v>
      </c>
      <c r="C3567" s="13" t="s">
        <v>18686</v>
      </c>
      <c r="D3567" s="12" t="s">
        <v>18687</v>
      </c>
      <c r="E3567" s="13" t="s">
        <v>580</v>
      </c>
      <c r="F3567" s="681">
        <v>743.78</v>
      </c>
    </row>
    <row r="3568" spans="2:6" ht="15.75" hidden="1" customHeight="1" x14ac:dyDescent="0.25">
      <c r="B3568" s="13" t="s">
        <v>556</v>
      </c>
      <c r="C3568" s="13" t="s">
        <v>18688</v>
      </c>
      <c r="D3568" s="12" t="s">
        <v>18689</v>
      </c>
      <c r="E3568" s="13" t="s">
        <v>580</v>
      </c>
      <c r="F3568" s="681">
        <v>1369.27</v>
      </c>
    </row>
    <row r="3569" spans="2:6" ht="15.75" hidden="1" customHeight="1" x14ac:dyDescent="0.25">
      <c r="B3569" s="13" t="s">
        <v>556</v>
      </c>
      <c r="C3569" s="13" t="s">
        <v>18690</v>
      </c>
      <c r="D3569" s="12" t="s">
        <v>18691</v>
      </c>
      <c r="E3569" s="13" t="s">
        <v>580</v>
      </c>
      <c r="F3569" s="681">
        <v>155.83000000000001</v>
      </c>
    </row>
    <row r="3570" spans="2:6" ht="15.75" hidden="1" customHeight="1" x14ac:dyDescent="0.25">
      <c r="B3570" s="13" t="s">
        <v>556</v>
      </c>
      <c r="C3570" s="13" t="s">
        <v>18692</v>
      </c>
      <c r="D3570" s="12" t="s">
        <v>18693</v>
      </c>
      <c r="E3570" s="13" t="s">
        <v>580</v>
      </c>
      <c r="F3570" s="681">
        <v>196.84</v>
      </c>
    </row>
    <row r="3571" spans="2:6" ht="15.75" hidden="1" customHeight="1" x14ac:dyDescent="0.25">
      <c r="B3571" s="13" t="s">
        <v>556</v>
      </c>
      <c r="C3571" s="13" t="s">
        <v>18694</v>
      </c>
      <c r="D3571" s="12" t="s">
        <v>18695</v>
      </c>
      <c r="E3571" s="13" t="s">
        <v>580</v>
      </c>
      <c r="F3571" s="681">
        <v>341.39</v>
      </c>
    </row>
    <row r="3572" spans="2:6" ht="15.75" hidden="1" customHeight="1" x14ac:dyDescent="0.25">
      <c r="B3572" s="13" t="s">
        <v>556</v>
      </c>
      <c r="C3572" s="13" t="s">
        <v>18696</v>
      </c>
      <c r="D3572" s="12" t="s">
        <v>18697</v>
      </c>
      <c r="E3572" s="13" t="s">
        <v>580</v>
      </c>
      <c r="F3572" s="681">
        <v>524.9</v>
      </c>
    </row>
    <row r="3573" spans="2:6" ht="15.75" hidden="1" customHeight="1" x14ac:dyDescent="0.25">
      <c r="B3573" s="13" t="s">
        <v>556</v>
      </c>
      <c r="C3573" s="13" t="s">
        <v>18698</v>
      </c>
      <c r="D3573" s="12" t="s">
        <v>18699</v>
      </c>
      <c r="E3573" s="13" t="s">
        <v>580</v>
      </c>
      <c r="F3573" s="681">
        <v>984.2</v>
      </c>
    </row>
    <row r="3574" spans="2:6" ht="15.75" hidden="1" customHeight="1" x14ac:dyDescent="0.25">
      <c r="B3574" s="13" t="s">
        <v>556</v>
      </c>
      <c r="C3574" s="13" t="s">
        <v>18700</v>
      </c>
      <c r="D3574" s="12" t="s">
        <v>18701</v>
      </c>
      <c r="E3574" s="13" t="s">
        <v>580</v>
      </c>
      <c r="F3574" s="681">
        <v>1514.23</v>
      </c>
    </row>
    <row r="3575" spans="2:6" ht="15.75" hidden="1" customHeight="1" x14ac:dyDescent="0.25">
      <c r="B3575" s="13" t="s">
        <v>556</v>
      </c>
      <c r="C3575" s="13" t="s">
        <v>18702</v>
      </c>
      <c r="D3575" s="12" t="s">
        <v>18703</v>
      </c>
      <c r="E3575" s="13" t="s">
        <v>580</v>
      </c>
      <c r="F3575" s="681">
        <v>189.66</v>
      </c>
    </row>
    <row r="3576" spans="2:6" ht="15.75" hidden="1" customHeight="1" x14ac:dyDescent="0.25">
      <c r="B3576" s="13" t="s">
        <v>556</v>
      </c>
      <c r="C3576" s="13" t="s">
        <v>18704</v>
      </c>
      <c r="D3576" s="12" t="s">
        <v>18705</v>
      </c>
      <c r="E3576" s="13" t="s">
        <v>580</v>
      </c>
      <c r="F3576" s="681">
        <v>348.57</v>
      </c>
    </row>
    <row r="3577" spans="2:6" ht="15.75" hidden="1" customHeight="1" x14ac:dyDescent="0.25">
      <c r="B3577" s="13" t="s">
        <v>556</v>
      </c>
      <c r="C3577" s="13" t="s">
        <v>18706</v>
      </c>
      <c r="D3577" s="12" t="s">
        <v>18707</v>
      </c>
      <c r="E3577" s="13" t="s">
        <v>580</v>
      </c>
      <c r="F3577" s="681">
        <v>442.89</v>
      </c>
    </row>
    <row r="3578" spans="2:6" ht="15.75" hidden="1" customHeight="1" x14ac:dyDescent="0.25">
      <c r="B3578" s="13" t="s">
        <v>556</v>
      </c>
      <c r="C3578" s="13" t="s">
        <v>18708</v>
      </c>
      <c r="D3578" s="12" t="s">
        <v>18709</v>
      </c>
      <c r="E3578" s="13" t="s">
        <v>580</v>
      </c>
      <c r="F3578" s="681">
        <v>155.83000000000001</v>
      </c>
    </row>
    <row r="3579" spans="2:6" ht="15.75" hidden="1" customHeight="1" x14ac:dyDescent="0.25">
      <c r="B3579" s="13" t="s">
        <v>556</v>
      </c>
      <c r="C3579" s="13" t="s">
        <v>18710</v>
      </c>
      <c r="D3579" s="12" t="s">
        <v>18711</v>
      </c>
      <c r="E3579" s="13" t="s">
        <v>580</v>
      </c>
      <c r="F3579" s="681">
        <v>202.99</v>
      </c>
    </row>
    <row r="3580" spans="2:6" ht="15.75" hidden="1" customHeight="1" x14ac:dyDescent="0.25">
      <c r="B3580" s="13" t="s">
        <v>556</v>
      </c>
      <c r="C3580" s="13" t="s">
        <v>18712</v>
      </c>
      <c r="D3580" s="12" t="s">
        <v>18713</v>
      </c>
      <c r="E3580" s="13" t="s">
        <v>580</v>
      </c>
      <c r="F3580" s="681">
        <v>491.07</v>
      </c>
    </row>
    <row r="3581" spans="2:6" ht="15.75" hidden="1" customHeight="1" x14ac:dyDescent="0.25">
      <c r="B3581" s="13" t="s">
        <v>556</v>
      </c>
      <c r="C3581" s="13" t="s">
        <v>18714</v>
      </c>
      <c r="D3581" s="12" t="s">
        <v>10676</v>
      </c>
      <c r="E3581" s="13" t="s">
        <v>580</v>
      </c>
      <c r="F3581" s="681">
        <v>28.91</v>
      </c>
    </row>
    <row r="3582" spans="2:6" ht="15.75" hidden="1" customHeight="1" x14ac:dyDescent="0.25">
      <c r="B3582" s="13" t="s">
        <v>556</v>
      </c>
      <c r="C3582" s="13" t="s">
        <v>18715</v>
      </c>
      <c r="D3582" s="12" t="s">
        <v>10675</v>
      </c>
      <c r="E3582" s="13" t="s">
        <v>580</v>
      </c>
      <c r="F3582" s="681">
        <v>12.65</v>
      </c>
    </row>
    <row r="3583" spans="2:6" ht="15.75" hidden="1" customHeight="1" x14ac:dyDescent="0.25">
      <c r="B3583" s="13" t="s">
        <v>556</v>
      </c>
      <c r="C3583" s="13" t="s">
        <v>18716</v>
      </c>
      <c r="D3583" s="12" t="s">
        <v>10677</v>
      </c>
      <c r="E3583" s="13" t="s">
        <v>580</v>
      </c>
      <c r="F3583" s="681">
        <v>19.78</v>
      </c>
    </row>
    <row r="3584" spans="2:6" ht="15.75" hidden="1" customHeight="1" x14ac:dyDescent="0.25">
      <c r="B3584" s="13" t="s">
        <v>556</v>
      </c>
      <c r="C3584" s="13" t="s">
        <v>18717</v>
      </c>
      <c r="D3584" s="12" t="s">
        <v>10673</v>
      </c>
      <c r="E3584" s="13" t="s">
        <v>580</v>
      </c>
      <c r="F3584" s="681">
        <v>31.93</v>
      </c>
    </row>
    <row r="3585" spans="2:6" ht="15.75" hidden="1" customHeight="1" x14ac:dyDescent="0.25">
      <c r="B3585" s="13" t="s">
        <v>556</v>
      </c>
      <c r="C3585" s="13" t="s">
        <v>18718</v>
      </c>
      <c r="D3585" s="12" t="s">
        <v>10674</v>
      </c>
      <c r="E3585" s="13" t="s">
        <v>580</v>
      </c>
      <c r="F3585" s="681">
        <v>23.49</v>
      </c>
    </row>
    <row r="3586" spans="2:6" ht="15.75" hidden="1" customHeight="1" x14ac:dyDescent="0.25">
      <c r="B3586" s="13" t="s">
        <v>556</v>
      </c>
      <c r="C3586" s="13" t="s">
        <v>18719</v>
      </c>
      <c r="D3586" s="12" t="s">
        <v>18720</v>
      </c>
      <c r="E3586" s="13" t="s">
        <v>585</v>
      </c>
      <c r="F3586" s="681">
        <v>1039.8800000000001</v>
      </c>
    </row>
    <row r="3587" spans="2:6" ht="15.75" hidden="1" customHeight="1" x14ac:dyDescent="0.25">
      <c r="B3587" s="13" t="s">
        <v>556</v>
      </c>
      <c r="C3587" s="13" t="s">
        <v>18721</v>
      </c>
      <c r="D3587" s="12" t="s">
        <v>18722</v>
      </c>
      <c r="E3587" s="13" t="s">
        <v>585</v>
      </c>
      <c r="F3587" s="681">
        <v>2062.27</v>
      </c>
    </row>
    <row r="3588" spans="2:6" ht="15.75" hidden="1" customHeight="1" x14ac:dyDescent="0.25">
      <c r="B3588" s="13" t="s">
        <v>556</v>
      </c>
      <c r="C3588" s="13" t="s">
        <v>18723</v>
      </c>
      <c r="D3588" s="12" t="s">
        <v>8630</v>
      </c>
      <c r="E3588" s="13" t="s">
        <v>580</v>
      </c>
      <c r="F3588" s="681">
        <v>3.08</v>
      </c>
    </row>
    <row r="3589" spans="2:6" ht="15.75" hidden="1" customHeight="1" x14ac:dyDescent="0.25">
      <c r="B3589" s="13" t="s">
        <v>556</v>
      </c>
      <c r="C3589" s="13" t="s">
        <v>18724</v>
      </c>
      <c r="D3589" s="12" t="s">
        <v>18725</v>
      </c>
      <c r="E3589" s="13" t="s">
        <v>580</v>
      </c>
      <c r="F3589" s="681">
        <v>6.3</v>
      </c>
    </row>
    <row r="3590" spans="2:6" ht="15.75" hidden="1" customHeight="1" x14ac:dyDescent="0.25">
      <c r="B3590" s="13" t="s">
        <v>556</v>
      </c>
      <c r="C3590" s="13" t="s">
        <v>18726</v>
      </c>
      <c r="D3590" s="12" t="s">
        <v>11671</v>
      </c>
      <c r="E3590" s="13" t="s">
        <v>585</v>
      </c>
      <c r="F3590" s="681">
        <v>120.9</v>
      </c>
    </row>
    <row r="3591" spans="2:6" ht="15.75" hidden="1" customHeight="1" x14ac:dyDescent="0.25">
      <c r="B3591" s="13" t="s">
        <v>556</v>
      </c>
      <c r="C3591" s="13" t="s">
        <v>18727</v>
      </c>
      <c r="D3591" s="12" t="s">
        <v>18728</v>
      </c>
      <c r="E3591" s="13" t="s">
        <v>580</v>
      </c>
      <c r="F3591" s="681">
        <v>8.74</v>
      </c>
    </row>
    <row r="3592" spans="2:6" ht="15.75" hidden="1" customHeight="1" x14ac:dyDescent="0.25">
      <c r="B3592" s="13" t="s">
        <v>556</v>
      </c>
      <c r="C3592" s="13" t="s">
        <v>18729</v>
      </c>
      <c r="D3592" s="12" t="s">
        <v>11672</v>
      </c>
      <c r="E3592" s="13" t="s">
        <v>585</v>
      </c>
      <c r="F3592" s="681">
        <v>189.42</v>
      </c>
    </row>
    <row r="3593" spans="2:6" ht="15.75" hidden="1" customHeight="1" x14ac:dyDescent="0.25">
      <c r="B3593" s="13" t="s">
        <v>556</v>
      </c>
      <c r="C3593" s="13" t="s">
        <v>18730</v>
      </c>
      <c r="D3593" s="12" t="s">
        <v>11668</v>
      </c>
      <c r="E3593" s="13" t="s">
        <v>585</v>
      </c>
      <c r="F3593" s="681">
        <v>307</v>
      </c>
    </row>
    <row r="3594" spans="2:6" ht="15.75" hidden="1" customHeight="1" x14ac:dyDescent="0.25">
      <c r="B3594" s="13" t="s">
        <v>556</v>
      </c>
      <c r="C3594" s="13" t="s">
        <v>18731</v>
      </c>
      <c r="D3594" s="12" t="s">
        <v>11673</v>
      </c>
      <c r="E3594" s="13" t="s">
        <v>585</v>
      </c>
      <c r="F3594" s="681">
        <v>678.55</v>
      </c>
    </row>
    <row r="3595" spans="2:6" ht="15.75" hidden="1" customHeight="1" x14ac:dyDescent="0.25">
      <c r="B3595" s="13" t="s">
        <v>556</v>
      </c>
      <c r="C3595" s="13" t="s">
        <v>18732</v>
      </c>
      <c r="D3595" s="12" t="s">
        <v>11669</v>
      </c>
      <c r="E3595" s="13" t="s">
        <v>585</v>
      </c>
      <c r="F3595" s="681">
        <v>1103.68</v>
      </c>
    </row>
    <row r="3596" spans="2:6" ht="15.75" hidden="1" customHeight="1" x14ac:dyDescent="0.25">
      <c r="B3596" s="13" t="s">
        <v>556</v>
      </c>
      <c r="C3596" s="13" t="s">
        <v>18733</v>
      </c>
      <c r="D3596" s="12" t="s">
        <v>11667</v>
      </c>
      <c r="E3596" s="13" t="s">
        <v>585</v>
      </c>
      <c r="F3596" s="681">
        <v>1700.19</v>
      </c>
    </row>
    <row r="3597" spans="2:6" ht="15.75" hidden="1" customHeight="1" x14ac:dyDescent="0.25">
      <c r="B3597" s="13" t="s">
        <v>556</v>
      </c>
      <c r="C3597" s="13" t="s">
        <v>18734</v>
      </c>
      <c r="D3597" s="12" t="s">
        <v>11670</v>
      </c>
      <c r="E3597" s="13" t="s">
        <v>585</v>
      </c>
      <c r="F3597" s="681">
        <v>2349.77</v>
      </c>
    </row>
    <row r="3598" spans="2:6" ht="15.75" hidden="1" customHeight="1" x14ac:dyDescent="0.25">
      <c r="B3598" s="13" t="s">
        <v>556</v>
      </c>
      <c r="C3598" s="13" t="s">
        <v>18735</v>
      </c>
      <c r="D3598" s="12" t="s">
        <v>18736</v>
      </c>
      <c r="E3598" s="13" t="s">
        <v>580</v>
      </c>
      <c r="F3598" s="681">
        <v>12.9</v>
      </c>
    </row>
    <row r="3599" spans="2:6" ht="15.75" hidden="1" customHeight="1" x14ac:dyDescent="0.25">
      <c r="B3599" s="13" t="s">
        <v>556</v>
      </c>
      <c r="C3599" s="13" t="s">
        <v>18737</v>
      </c>
      <c r="D3599" s="12" t="s">
        <v>18738</v>
      </c>
      <c r="E3599" s="13" t="s">
        <v>580</v>
      </c>
      <c r="F3599" s="681">
        <v>18.989999999999998</v>
      </c>
    </row>
    <row r="3600" spans="2:6" ht="15.75" hidden="1" customHeight="1" x14ac:dyDescent="0.25">
      <c r="B3600" s="13" t="s">
        <v>14180</v>
      </c>
      <c r="C3600" s="13" t="s">
        <v>18739</v>
      </c>
      <c r="D3600" s="12" t="s">
        <v>10428</v>
      </c>
      <c r="E3600" s="13" t="s">
        <v>6214</v>
      </c>
      <c r="F3600" s="681">
        <v>862.5</v>
      </c>
    </row>
    <row r="3601" spans="2:6" ht="15.75" hidden="1" customHeight="1" x14ac:dyDescent="0.25">
      <c r="B3601" s="13" t="s">
        <v>556</v>
      </c>
      <c r="C3601" s="13" t="s">
        <v>18740</v>
      </c>
      <c r="D3601" s="12" t="s">
        <v>18741</v>
      </c>
      <c r="E3601" s="13" t="s">
        <v>580</v>
      </c>
      <c r="F3601" s="681">
        <v>39.24</v>
      </c>
    </row>
    <row r="3602" spans="2:6" ht="15.75" hidden="1" customHeight="1" x14ac:dyDescent="0.25">
      <c r="B3602" s="13" t="s">
        <v>556</v>
      </c>
      <c r="C3602" s="13" t="s">
        <v>18742</v>
      </c>
      <c r="D3602" s="12" t="s">
        <v>18743</v>
      </c>
      <c r="E3602" s="13" t="s">
        <v>580</v>
      </c>
      <c r="F3602" s="681">
        <v>97.7</v>
      </c>
    </row>
    <row r="3603" spans="2:6" ht="15.75" hidden="1" customHeight="1" x14ac:dyDescent="0.25">
      <c r="B3603" s="13" t="s">
        <v>556</v>
      </c>
      <c r="C3603" s="13" t="s">
        <v>18744</v>
      </c>
      <c r="D3603" s="12" t="s">
        <v>18745</v>
      </c>
      <c r="E3603" s="13" t="s">
        <v>580</v>
      </c>
      <c r="F3603" s="681">
        <v>157.29</v>
      </c>
    </row>
    <row r="3604" spans="2:6" ht="15.75" hidden="1" customHeight="1" x14ac:dyDescent="0.25">
      <c r="B3604" s="13" t="s">
        <v>556</v>
      </c>
      <c r="C3604" s="13" t="s">
        <v>18746</v>
      </c>
      <c r="D3604" s="12" t="s">
        <v>18747</v>
      </c>
      <c r="E3604" s="13" t="s">
        <v>580</v>
      </c>
      <c r="F3604" s="681">
        <v>347.21</v>
      </c>
    </row>
    <row r="3605" spans="2:6" ht="15.75" hidden="1" customHeight="1" x14ac:dyDescent="0.25">
      <c r="B3605" s="13" t="s">
        <v>556</v>
      </c>
      <c r="C3605" s="13" t="s">
        <v>18748</v>
      </c>
      <c r="D3605" s="12" t="s">
        <v>18749</v>
      </c>
      <c r="E3605" s="13" t="s">
        <v>580</v>
      </c>
      <c r="F3605" s="681">
        <v>576.91</v>
      </c>
    </row>
    <row r="3606" spans="2:6" ht="15.75" hidden="1" customHeight="1" x14ac:dyDescent="0.25">
      <c r="B3606" s="13" t="s">
        <v>556</v>
      </c>
      <c r="C3606" s="13" t="s">
        <v>18750</v>
      </c>
      <c r="D3606" s="12" t="s">
        <v>18751</v>
      </c>
      <c r="E3606" s="13" t="s">
        <v>580</v>
      </c>
      <c r="F3606" s="681">
        <v>7.69</v>
      </c>
    </row>
    <row r="3607" spans="2:6" ht="15.75" hidden="1" customHeight="1" x14ac:dyDescent="0.25">
      <c r="B3607" s="13" t="s">
        <v>556</v>
      </c>
      <c r="C3607" s="13" t="s">
        <v>18752</v>
      </c>
      <c r="D3607" s="12" t="s">
        <v>18753</v>
      </c>
      <c r="E3607" s="13" t="s">
        <v>580</v>
      </c>
      <c r="F3607" s="681">
        <v>10.02</v>
      </c>
    </row>
    <row r="3608" spans="2:6" ht="15.75" hidden="1" customHeight="1" x14ac:dyDescent="0.25">
      <c r="B3608" s="13" t="s">
        <v>556</v>
      </c>
      <c r="C3608" s="13" t="s">
        <v>18754</v>
      </c>
      <c r="D3608" s="12" t="s">
        <v>18755</v>
      </c>
      <c r="E3608" s="13" t="s">
        <v>580</v>
      </c>
      <c r="F3608" s="681">
        <v>15.71</v>
      </c>
    </row>
    <row r="3609" spans="2:6" ht="15.75" hidden="1" customHeight="1" x14ac:dyDescent="0.25">
      <c r="B3609" s="13" t="s">
        <v>556</v>
      </c>
      <c r="C3609" s="13" t="s">
        <v>18756</v>
      </c>
      <c r="D3609" s="12" t="s">
        <v>18757</v>
      </c>
      <c r="E3609" s="13" t="s">
        <v>580</v>
      </c>
      <c r="F3609" s="681">
        <v>15.71</v>
      </c>
    </row>
    <row r="3610" spans="2:6" ht="15.75" hidden="1" customHeight="1" x14ac:dyDescent="0.25">
      <c r="B3610" s="13" t="s">
        <v>556</v>
      </c>
      <c r="C3610" s="13" t="s">
        <v>18758</v>
      </c>
      <c r="D3610" s="12" t="s">
        <v>18759</v>
      </c>
      <c r="E3610" s="13" t="s">
        <v>580</v>
      </c>
      <c r="F3610" s="681">
        <v>125.02</v>
      </c>
    </row>
    <row r="3611" spans="2:6" ht="15.75" hidden="1" customHeight="1" x14ac:dyDescent="0.25">
      <c r="B3611" s="13" t="s">
        <v>14150</v>
      </c>
      <c r="C3611" s="13" t="s">
        <v>18760</v>
      </c>
      <c r="D3611" s="12" t="s">
        <v>10635</v>
      </c>
      <c r="E3611" s="13" t="s">
        <v>580</v>
      </c>
      <c r="F3611" s="681">
        <v>24642.12</v>
      </c>
    </row>
    <row r="3612" spans="2:6" ht="15.75" hidden="1" customHeight="1" x14ac:dyDescent="0.25">
      <c r="B3612" s="13" t="s">
        <v>556</v>
      </c>
      <c r="C3612" s="13" t="s">
        <v>18761</v>
      </c>
      <c r="D3612" s="12" t="s">
        <v>18762</v>
      </c>
      <c r="E3612" s="13" t="s">
        <v>580</v>
      </c>
      <c r="F3612" s="681">
        <v>26.03</v>
      </c>
    </row>
    <row r="3613" spans="2:6" ht="15.75" hidden="1" customHeight="1" x14ac:dyDescent="0.25">
      <c r="B3613" s="13" t="s">
        <v>556</v>
      </c>
      <c r="C3613" s="13" t="s">
        <v>18763</v>
      </c>
      <c r="D3613" s="12" t="s">
        <v>18764</v>
      </c>
      <c r="E3613" s="13" t="s">
        <v>580</v>
      </c>
      <c r="F3613" s="681">
        <v>33.32</v>
      </c>
    </row>
    <row r="3614" spans="2:6" ht="15.75" hidden="1" customHeight="1" x14ac:dyDescent="0.25">
      <c r="B3614" s="13" t="s">
        <v>556</v>
      </c>
      <c r="C3614" s="13" t="s">
        <v>18765</v>
      </c>
      <c r="D3614" s="12" t="s">
        <v>18766</v>
      </c>
      <c r="E3614" s="13" t="s">
        <v>580</v>
      </c>
      <c r="F3614" s="681">
        <v>33.32</v>
      </c>
    </row>
    <row r="3615" spans="2:6" ht="15.75" hidden="1" customHeight="1" x14ac:dyDescent="0.25">
      <c r="B3615" s="13" t="s">
        <v>556</v>
      </c>
      <c r="C3615" s="13" t="s">
        <v>18767</v>
      </c>
      <c r="D3615" s="12" t="s">
        <v>18768</v>
      </c>
      <c r="E3615" s="13" t="s">
        <v>580</v>
      </c>
      <c r="F3615" s="681">
        <v>50.27</v>
      </c>
    </row>
    <row r="3616" spans="2:6" ht="15.75" hidden="1" customHeight="1" x14ac:dyDescent="0.25">
      <c r="B3616" s="13" t="s">
        <v>556</v>
      </c>
      <c r="C3616" s="13" t="s">
        <v>18769</v>
      </c>
      <c r="D3616" s="12" t="s">
        <v>11660</v>
      </c>
      <c r="E3616" s="13" t="s">
        <v>585</v>
      </c>
      <c r="F3616" s="681">
        <v>143.07</v>
      </c>
    </row>
    <row r="3617" spans="2:6" ht="15.75" hidden="1" customHeight="1" x14ac:dyDescent="0.25">
      <c r="B3617" s="13" t="s">
        <v>556</v>
      </c>
      <c r="C3617" s="13" t="s">
        <v>18770</v>
      </c>
      <c r="D3617" s="12" t="s">
        <v>11661</v>
      </c>
      <c r="E3617" s="13" t="s">
        <v>585</v>
      </c>
      <c r="F3617" s="681">
        <v>224.09</v>
      </c>
    </row>
    <row r="3618" spans="2:6" ht="15.75" hidden="1" customHeight="1" x14ac:dyDescent="0.25">
      <c r="B3618" s="13" t="s">
        <v>556</v>
      </c>
      <c r="C3618" s="13" t="s">
        <v>18771</v>
      </c>
      <c r="D3618" s="12" t="s">
        <v>11662</v>
      </c>
      <c r="E3618" s="13" t="s">
        <v>585</v>
      </c>
      <c r="F3618" s="681">
        <v>344.91</v>
      </c>
    </row>
    <row r="3619" spans="2:6" ht="15.75" hidden="1" customHeight="1" x14ac:dyDescent="0.25">
      <c r="B3619" s="13" t="s">
        <v>556</v>
      </c>
      <c r="C3619" s="13" t="s">
        <v>18772</v>
      </c>
      <c r="D3619" s="12" t="s">
        <v>11663</v>
      </c>
      <c r="E3619" s="13" t="s">
        <v>585</v>
      </c>
      <c r="F3619" s="681">
        <v>487.44</v>
      </c>
    </row>
    <row r="3620" spans="2:6" ht="15.75" hidden="1" customHeight="1" x14ac:dyDescent="0.25">
      <c r="B3620" s="13" t="s">
        <v>556</v>
      </c>
      <c r="C3620" s="13" t="s">
        <v>18773</v>
      </c>
      <c r="D3620" s="12" t="s">
        <v>11664</v>
      </c>
      <c r="E3620" s="13" t="s">
        <v>585</v>
      </c>
      <c r="F3620" s="681">
        <v>567.67999999999995</v>
      </c>
    </row>
    <row r="3621" spans="2:6" ht="15.75" hidden="1" customHeight="1" x14ac:dyDescent="0.25">
      <c r="B3621" s="13" t="s">
        <v>556</v>
      </c>
      <c r="C3621" s="13" t="s">
        <v>18774</v>
      </c>
      <c r="D3621" s="12" t="s">
        <v>11665</v>
      </c>
      <c r="E3621" s="13" t="s">
        <v>585</v>
      </c>
      <c r="F3621" s="681">
        <v>84.25</v>
      </c>
    </row>
    <row r="3622" spans="2:6" ht="15.75" hidden="1" customHeight="1" x14ac:dyDescent="0.25">
      <c r="B3622" s="13" t="s">
        <v>556</v>
      </c>
      <c r="C3622" s="13" t="s">
        <v>18775</v>
      </c>
      <c r="D3622" s="12" t="s">
        <v>18776</v>
      </c>
      <c r="E3622" s="13" t="s">
        <v>580</v>
      </c>
      <c r="F3622" s="681">
        <v>50.27</v>
      </c>
    </row>
    <row r="3623" spans="2:6" ht="15.75" hidden="1" customHeight="1" x14ac:dyDescent="0.25">
      <c r="B3623" s="13" t="s">
        <v>556</v>
      </c>
      <c r="C3623" s="13" t="s">
        <v>18777</v>
      </c>
      <c r="D3623" s="12" t="s">
        <v>9087</v>
      </c>
      <c r="E3623" s="13" t="s">
        <v>823</v>
      </c>
      <c r="F3623" s="681">
        <v>67.58</v>
      </c>
    </row>
    <row r="3624" spans="2:6" ht="15.75" hidden="1" customHeight="1" x14ac:dyDescent="0.25">
      <c r="B3624" s="13" t="s">
        <v>556</v>
      </c>
      <c r="C3624" s="13" t="s">
        <v>18778</v>
      </c>
      <c r="D3624" s="12" t="s">
        <v>9088</v>
      </c>
      <c r="E3624" s="13" t="s">
        <v>823</v>
      </c>
      <c r="F3624" s="681">
        <v>66.94</v>
      </c>
    </row>
    <row r="3625" spans="2:6" ht="15.75" hidden="1" customHeight="1" x14ac:dyDescent="0.25">
      <c r="B3625" s="13" t="s">
        <v>556</v>
      </c>
      <c r="C3625" s="13" t="s">
        <v>18779</v>
      </c>
      <c r="D3625" s="12" t="s">
        <v>9086</v>
      </c>
      <c r="E3625" s="13" t="s">
        <v>823</v>
      </c>
      <c r="F3625" s="681">
        <v>70.819999999999993</v>
      </c>
    </row>
    <row r="3626" spans="2:6" ht="15.75" hidden="1" customHeight="1" x14ac:dyDescent="0.25">
      <c r="B3626" s="13" t="s">
        <v>556</v>
      </c>
      <c r="C3626" s="13" t="s">
        <v>18780</v>
      </c>
      <c r="D3626" s="12" t="s">
        <v>9412</v>
      </c>
      <c r="E3626" s="13" t="s">
        <v>8106</v>
      </c>
      <c r="F3626" s="681">
        <v>447.18</v>
      </c>
    </row>
    <row r="3627" spans="2:6" ht="15.75" hidden="1" customHeight="1" x14ac:dyDescent="0.25">
      <c r="B3627" s="13" t="s">
        <v>556</v>
      </c>
      <c r="C3627" s="13" t="s">
        <v>18781</v>
      </c>
      <c r="D3627" s="12" t="s">
        <v>9362</v>
      </c>
      <c r="E3627" s="13" t="s">
        <v>517</v>
      </c>
      <c r="F3627" s="681">
        <v>23.59</v>
      </c>
    </row>
    <row r="3628" spans="2:6" ht="15.75" hidden="1" customHeight="1" x14ac:dyDescent="0.25">
      <c r="B3628" s="13" t="s">
        <v>556</v>
      </c>
      <c r="C3628" s="13" t="s">
        <v>18782</v>
      </c>
      <c r="D3628" s="12" t="s">
        <v>18783</v>
      </c>
      <c r="E3628" s="13" t="s">
        <v>580</v>
      </c>
      <c r="F3628" s="681">
        <v>83.19</v>
      </c>
    </row>
    <row r="3629" spans="2:6" ht="15.75" hidden="1" customHeight="1" x14ac:dyDescent="0.25">
      <c r="B3629" s="13" t="s">
        <v>556</v>
      </c>
      <c r="C3629" s="13" t="s">
        <v>18784</v>
      </c>
      <c r="D3629" s="12" t="s">
        <v>18785</v>
      </c>
      <c r="E3629" s="13" t="s">
        <v>578</v>
      </c>
      <c r="F3629" s="681">
        <v>94.34</v>
      </c>
    </row>
    <row r="3630" spans="2:6" ht="15.75" hidden="1" customHeight="1" x14ac:dyDescent="0.25">
      <c r="B3630" s="13" t="s">
        <v>14150</v>
      </c>
      <c r="C3630" s="13" t="s">
        <v>18786</v>
      </c>
      <c r="D3630" s="12" t="s">
        <v>10931</v>
      </c>
      <c r="E3630" s="13" t="s">
        <v>580</v>
      </c>
      <c r="F3630" s="681">
        <v>1735735.7</v>
      </c>
    </row>
    <row r="3631" spans="2:6" ht="15.75" hidden="1" customHeight="1" x14ac:dyDescent="0.25">
      <c r="B3631" s="13" t="s">
        <v>556</v>
      </c>
      <c r="C3631" s="13" t="s">
        <v>18787</v>
      </c>
      <c r="D3631" s="12" t="s">
        <v>18788</v>
      </c>
      <c r="E3631" s="13" t="s">
        <v>585</v>
      </c>
      <c r="F3631" s="681">
        <v>1448.28</v>
      </c>
    </row>
    <row r="3632" spans="2:6" ht="15.75" hidden="1" customHeight="1" x14ac:dyDescent="0.25">
      <c r="B3632" s="13" t="s">
        <v>556</v>
      </c>
      <c r="C3632" s="13" t="s">
        <v>18789</v>
      </c>
      <c r="D3632" s="12" t="s">
        <v>18790</v>
      </c>
      <c r="E3632" s="13" t="s">
        <v>585</v>
      </c>
      <c r="F3632" s="681">
        <v>3124.66</v>
      </c>
    </row>
    <row r="3633" spans="2:6" ht="15.75" hidden="1" customHeight="1" x14ac:dyDescent="0.25">
      <c r="B3633" s="13" t="s">
        <v>556</v>
      </c>
      <c r="C3633" s="13" t="s">
        <v>18791</v>
      </c>
      <c r="D3633" s="12" t="s">
        <v>18792</v>
      </c>
      <c r="E3633" s="13" t="s">
        <v>585</v>
      </c>
      <c r="F3633" s="681">
        <v>4441.7</v>
      </c>
    </row>
    <row r="3634" spans="2:6" ht="15.75" hidden="1" customHeight="1" x14ac:dyDescent="0.25">
      <c r="B3634" s="13" t="s">
        <v>556</v>
      </c>
      <c r="C3634" s="13" t="s">
        <v>18793</v>
      </c>
      <c r="D3634" s="12" t="s">
        <v>18794</v>
      </c>
      <c r="E3634" s="13" t="s">
        <v>585</v>
      </c>
      <c r="F3634" s="681">
        <v>5866.86</v>
      </c>
    </row>
    <row r="3635" spans="2:6" ht="15.75" hidden="1" customHeight="1" x14ac:dyDescent="0.25">
      <c r="B3635" s="13" t="s">
        <v>14150</v>
      </c>
      <c r="C3635" s="13" t="s">
        <v>18795</v>
      </c>
      <c r="D3635" s="12" t="s">
        <v>9353</v>
      </c>
      <c r="E3635" s="13" t="s">
        <v>580</v>
      </c>
      <c r="F3635" s="681">
        <v>869833</v>
      </c>
    </row>
    <row r="3636" spans="2:6" ht="15.75" hidden="1" customHeight="1" x14ac:dyDescent="0.25">
      <c r="B3636" s="13" t="s">
        <v>556</v>
      </c>
      <c r="C3636" s="13" t="s">
        <v>18796</v>
      </c>
      <c r="D3636" s="12" t="s">
        <v>9390</v>
      </c>
      <c r="E3636" s="13" t="s">
        <v>580</v>
      </c>
      <c r="F3636" s="681">
        <v>27.2</v>
      </c>
    </row>
    <row r="3637" spans="2:6" ht="15.75" hidden="1" customHeight="1" x14ac:dyDescent="0.25">
      <c r="B3637" s="13" t="s">
        <v>556</v>
      </c>
      <c r="C3637" s="13" t="s">
        <v>18797</v>
      </c>
      <c r="D3637" s="12" t="s">
        <v>18798</v>
      </c>
      <c r="E3637" s="13" t="s">
        <v>580</v>
      </c>
      <c r="F3637" s="681">
        <v>151.93</v>
      </c>
    </row>
    <row r="3638" spans="2:6" ht="15.75" hidden="1" customHeight="1" x14ac:dyDescent="0.25">
      <c r="B3638" s="13" t="s">
        <v>556</v>
      </c>
      <c r="C3638" s="13" t="s">
        <v>18799</v>
      </c>
      <c r="D3638" s="12" t="s">
        <v>18800</v>
      </c>
      <c r="E3638" s="13" t="s">
        <v>580</v>
      </c>
      <c r="F3638" s="681">
        <v>134.18</v>
      </c>
    </row>
    <row r="3639" spans="2:6" ht="15.75" hidden="1" customHeight="1" x14ac:dyDescent="0.25">
      <c r="B3639" s="13" t="s">
        <v>556</v>
      </c>
      <c r="C3639" s="13" t="s">
        <v>18801</v>
      </c>
      <c r="D3639" s="12" t="s">
        <v>18802</v>
      </c>
      <c r="E3639" s="13" t="s">
        <v>580</v>
      </c>
      <c r="F3639" s="681">
        <v>50.27</v>
      </c>
    </row>
    <row r="3640" spans="2:6" ht="15.75" hidden="1" customHeight="1" x14ac:dyDescent="0.25">
      <c r="B3640" s="13" t="s">
        <v>556</v>
      </c>
      <c r="C3640" s="13" t="s">
        <v>18803</v>
      </c>
      <c r="D3640" s="12" t="s">
        <v>18804</v>
      </c>
      <c r="E3640" s="13" t="s">
        <v>580</v>
      </c>
      <c r="F3640" s="681">
        <v>33.32</v>
      </c>
    </row>
    <row r="3641" spans="2:6" ht="15.75" hidden="1" customHeight="1" x14ac:dyDescent="0.25">
      <c r="B3641" s="13" t="s">
        <v>556</v>
      </c>
      <c r="C3641" s="13" t="s">
        <v>18805</v>
      </c>
      <c r="D3641" s="12" t="s">
        <v>18806</v>
      </c>
      <c r="E3641" s="13" t="s">
        <v>580</v>
      </c>
      <c r="F3641" s="681">
        <v>26.03</v>
      </c>
    </row>
    <row r="3642" spans="2:6" ht="15.75" hidden="1" customHeight="1" x14ac:dyDescent="0.25">
      <c r="B3642" s="13" t="s">
        <v>556</v>
      </c>
      <c r="C3642" s="13" t="s">
        <v>18807</v>
      </c>
      <c r="D3642" s="12" t="s">
        <v>18808</v>
      </c>
      <c r="E3642" s="13" t="s">
        <v>580</v>
      </c>
      <c r="F3642" s="681">
        <v>26.81</v>
      </c>
    </row>
    <row r="3643" spans="2:6" ht="15.75" hidden="1" customHeight="1" x14ac:dyDescent="0.25">
      <c r="B3643" s="13" t="s">
        <v>556</v>
      </c>
      <c r="C3643" s="13" t="s">
        <v>18809</v>
      </c>
      <c r="D3643" s="12" t="s">
        <v>18810</v>
      </c>
      <c r="E3643" s="13" t="s">
        <v>580</v>
      </c>
      <c r="F3643" s="681">
        <v>60.06</v>
      </c>
    </row>
    <row r="3644" spans="2:6" ht="15.75" hidden="1" customHeight="1" x14ac:dyDescent="0.25">
      <c r="B3644" s="13" t="s">
        <v>556</v>
      </c>
      <c r="C3644" s="13" t="s">
        <v>18811</v>
      </c>
      <c r="D3644" s="12" t="s">
        <v>18812</v>
      </c>
      <c r="E3644" s="13" t="s">
        <v>580</v>
      </c>
      <c r="F3644" s="681">
        <v>25.23</v>
      </c>
    </row>
    <row r="3645" spans="2:6" ht="15.75" hidden="1" customHeight="1" x14ac:dyDescent="0.25">
      <c r="B3645" s="13" t="s">
        <v>556</v>
      </c>
      <c r="C3645" s="13" t="s">
        <v>18813</v>
      </c>
      <c r="D3645" s="12" t="s">
        <v>18814</v>
      </c>
      <c r="E3645" s="13" t="s">
        <v>580</v>
      </c>
      <c r="F3645" s="681">
        <v>21.12</v>
      </c>
    </row>
    <row r="3646" spans="2:6" ht="15.75" hidden="1" customHeight="1" x14ac:dyDescent="0.25">
      <c r="B3646" s="13" t="s">
        <v>556</v>
      </c>
      <c r="C3646" s="13" t="s">
        <v>18815</v>
      </c>
      <c r="D3646" s="12" t="s">
        <v>10754</v>
      </c>
      <c r="E3646" s="13" t="s">
        <v>517</v>
      </c>
      <c r="F3646" s="681">
        <v>6.33</v>
      </c>
    </row>
    <row r="3647" spans="2:6" ht="15.75" hidden="1" customHeight="1" x14ac:dyDescent="0.25">
      <c r="B3647" s="13" t="s">
        <v>556</v>
      </c>
      <c r="C3647" s="13" t="s">
        <v>18816</v>
      </c>
      <c r="D3647" s="12" t="s">
        <v>10105</v>
      </c>
      <c r="E3647" s="13" t="s">
        <v>517</v>
      </c>
      <c r="F3647" s="681">
        <v>6.19</v>
      </c>
    </row>
    <row r="3648" spans="2:6" ht="15.75" hidden="1" customHeight="1" x14ac:dyDescent="0.25">
      <c r="B3648" s="13" t="s">
        <v>556</v>
      </c>
      <c r="C3648" s="13" t="s">
        <v>18817</v>
      </c>
      <c r="D3648" s="12" t="s">
        <v>9956</v>
      </c>
      <c r="E3648" s="13" t="s">
        <v>517</v>
      </c>
      <c r="F3648" s="681">
        <v>4.1900000000000004</v>
      </c>
    </row>
    <row r="3649" spans="2:6" ht="15.75" hidden="1" customHeight="1" x14ac:dyDescent="0.25">
      <c r="B3649" s="13" t="s">
        <v>556</v>
      </c>
      <c r="C3649" s="13" t="s">
        <v>18818</v>
      </c>
      <c r="D3649" s="12" t="s">
        <v>10457</v>
      </c>
      <c r="E3649" s="13" t="s">
        <v>580</v>
      </c>
      <c r="F3649" s="681">
        <v>311.01</v>
      </c>
    </row>
    <row r="3650" spans="2:6" ht="15.75" hidden="1" customHeight="1" x14ac:dyDescent="0.25">
      <c r="B3650" s="13" t="s">
        <v>556</v>
      </c>
      <c r="C3650" s="13" t="s">
        <v>18819</v>
      </c>
      <c r="D3650" s="12" t="s">
        <v>10454</v>
      </c>
      <c r="E3650" s="13" t="s">
        <v>580</v>
      </c>
      <c r="F3650" s="681">
        <v>126.27</v>
      </c>
    </row>
    <row r="3651" spans="2:6" ht="15.75" hidden="1" customHeight="1" x14ac:dyDescent="0.25">
      <c r="B3651" s="13" t="s">
        <v>556</v>
      </c>
      <c r="C3651" s="13" t="s">
        <v>18820</v>
      </c>
      <c r="D3651" s="12" t="s">
        <v>10455</v>
      </c>
      <c r="E3651" s="13" t="s">
        <v>580</v>
      </c>
      <c r="F3651" s="681">
        <v>233</v>
      </c>
    </row>
    <row r="3652" spans="2:6" ht="15.75" hidden="1" customHeight="1" x14ac:dyDescent="0.25">
      <c r="B3652" s="13" t="s">
        <v>556</v>
      </c>
      <c r="C3652" s="13" t="s">
        <v>18821</v>
      </c>
      <c r="D3652" s="12" t="s">
        <v>10456</v>
      </c>
      <c r="E3652" s="13" t="s">
        <v>580</v>
      </c>
      <c r="F3652" s="681">
        <v>257.92</v>
      </c>
    </row>
    <row r="3653" spans="2:6" ht="15.75" hidden="1" customHeight="1" x14ac:dyDescent="0.25">
      <c r="B3653" s="13" t="s">
        <v>556</v>
      </c>
      <c r="C3653" s="13" t="s">
        <v>18822</v>
      </c>
      <c r="D3653" s="12" t="s">
        <v>10451</v>
      </c>
      <c r="E3653" s="13" t="s">
        <v>580</v>
      </c>
      <c r="F3653" s="681">
        <v>420.17</v>
      </c>
    </row>
    <row r="3654" spans="2:6" ht="15.75" hidden="1" customHeight="1" x14ac:dyDescent="0.25">
      <c r="B3654" s="13" t="s">
        <v>556</v>
      </c>
      <c r="C3654" s="13" t="s">
        <v>18823</v>
      </c>
      <c r="D3654" s="12" t="s">
        <v>10452</v>
      </c>
      <c r="E3654" s="13" t="s">
        <v>580</v>
      </c>
      <c r="F3654" s="681">
        <v>488.05</v>
      </c>
    </row>
    <row r="3655" spans="2:6" ht="15.75" hidden="1" customHeight="1" x14ac:dyDescent="0.25">
      <c r="B3655" s="13" t="s">
        <v>556</v>
      </c>
      <c r="C3655" s="13" t="s">
        <v>18824</v>
      </c>
      <c r="D3655" s="12" t="s">
        <v>10453</v>
      </c>
      <c r="E3655" s="13" t="s">
        <v>580</v>
      </c>
      <c r="F3655" s="681">
        <v>808.54</v>
      </c>
    </row>
    <row r="3656" spans="2:6" ht="15.75" hidden="1" customHeight="1" x14ac:dyDescent="0.25">
      <c r="B3656" s="13" t="s">
        <v>14150</v>
      </c>
      <c r="C3656" s="13" t="s">
        <v>18825</v>
      </c>
      <c r="D3656" s="12" t="s">
        <v>9203</v>
      </c>
      <c r="E3656" s="13" t="s">
        <v>580</v>
      </c>
      <c r="F3656" s="681">
        <v>92775</v>
      </c>
    </row>
    <row r="3657" spans="2:6" ht="15.75" hidden="1" customHeight="1" x14ac:dyDescent="0.25">
      <c r="B3657" s="13" t="s">
        <v>556</v>
      </c>
      <c r="C3657" s="13" t="s">
        <v>18826</v>
      </c>
      <c r="D3657" s="12" t="s">
        <v>10104</v>
      </c>
      <c r="E3657" s="13" t="s">
        <v>823</v>
      </c>
      <c r="F3657" s="681">
        <v>8.25</v>
      </c>
    </row>
    <row r="3658" spans="2:6" ht="15.75" hidden="1" customHeight="1" x14ac:dyDescent="0.25">
      <c r="B3658" s="13" t="s">
        <v>556</v>
      </c>
      <c r="C3658" s="13" t="s">
        <v>18827</v>
      </c>
      <c r="D3658" s="12" t="s">
        <v>10755</v>
      </c>
      <c r="E3658" s="13" t="s">
        <v>517</v>
      </c>
      <c r="F3658" s="681">
        <v>29.52</v>
      </c>
    </row>
    <row r="3659" spans="2:6" ht="15.75" hidden="1" customHeight="1" x14ac:dyDescent="0.25">
      <c r="B3659" s="13" t="s">
        <v>556</v>
      </c>
      <c r="C3659" s="13" t="s">
        <v>18828</v>
      </c>
      <c r="D3659" s="12" t="s">
        <v>10138</v>
      </c>
      <c r="E3659" s="13" t="s">
        <v>823</v>
      </c>
      <c r="F3659" s="681">
        <v>47.14</v>
      </c>
    </row>
    <row r="3660" spans="2:6" ht="15.75" hidden="1" customHeight="1" x14ac:dyDescent="0.25">
      <c r="B3660" s="13" t="s">
        <v>14153</v>
      </c>
      <c r="C3660" s="13" t="s">
        <v>18829</v>
      </c>
      <c r="D3660" s="12" t="s">
        <v>10774</v>
      </c>
      <c r="E3660" s="13" t="s">
        <v>2193</v>
      </c>
      <c r="F3660" s="681">
        <v>24.6</v>
      </c>
    </row>
    <row r="3661" spans="2:6" ht="15.75" hidden="1" customHeight="1" x14ac:dyDescent="0.25">
      <c r="B3661" s="13" t="s">
        <v>556</v>
      </c>
      <c r="C3661" s="13" t="s">
        <v>18830</v>
      </c>
      <c r="D3661" s="12" t="s">
        <v>8816</v>
      </c>
      <c r="E3661" s="13" t="s">
        <v>580</v>
      </c>
      <c r="F3661" s="681">
        <v>541.80999999999995</v>
      </c>
    </row>
    <row r="3662" spans="2:6" ht="15.75" hidden="1" customHeight="1" x14ac:dyDescent="0.25">
      <c r="B3662" s="13" t="s">
        <v>14153</v>
      </c>
      <c r="C3662" s="13" t="s">
        <v>18831</v>
      </c>
      <c r="D3662" s="12" t="s">
        <v>10788</v>
      </c>
      <c r="E3662" s="13" t="s">
        <v>2193</v>
      </c>
      <c r="F3662" s="681">
        <v>31.69</v>
      </c>
    </row>
    <row r="3663" spans="2:6" ht="15.75" hidden="1" customHeight="1" x14ac:dyDescent="0.25">
      <c r="B3663" s="13" t="s">
        <v>14153</v>
      </c>
      <c r="C3663" s="13" t="s">
        <v>18832</v>
      </c>
      <c r="D3663" s="12" t="s">
        <v>10766</v>
      </c>
      <c r="E3663" s="13" t="s">
        <v>2193</v>
      </c>
      <c r="F3663" s="681">
        <v>30.59</v>
      </c>
    </row>
    <row r="3664" spans="2:6" ht="15.75" hidden="1" customHeight="1" x14ac:dyDescent="0.25">
      <c r="B3664" s="13" t="s">
        <v>14153</v>
      </c>
      <c r="C3664" s="13" t="s">
        <v>18833</v>
      </c>
      <c r="D3664" s="12" t="s">
        <v>9356</v>
      </c>
      <c r="E3664" s="13" t="s">
        <v>2193</v>
      </c>
      <c r="F3664" s="681">
        <v>36.99</v>
      </c>
    </row>
    <row r="3665" spans="2:6" ht="15.75" hidden="1" customHeight="1" x14ac:dyDescent="0.25">
      <c r="B3665" s="13" t="s">
        <v>14153</v>
      </c>
      <c r="C3665" s="13" t="s">
        <v>18834</v>
      </c>
      <c r="D3665" s="12" t="s">
        <v>10786</v>
      </c>
      <c r="E3665" s="13" t="s">
        <v>2193</v>
      </c>
      <c r="F3665" s="681">
        <v>23.33</v>
      </c>
    </row>
    <row r="3666" spans="2:6" ht="15.75" hidden="1" customHeight="1" x14ac:dyDescent="0.25">
      <c r="B3666" s="13" t="s">
        <v>14153</v>
      </c>
      <c r="C3666" s="13" t="s">
        <v>18835</v>
      </c>
      <c r="D3666" s="12" t="s">
        <v>10780</v>
      </c>
      <c r="E3666" s="13" t="s">
        <v>2193</v>
      </c>
      <c r="F3666" s="681">
        <v>31.69</v>
      </c>
    </row>
    <row r="3667" spans="2:6" ht="15.75" hidden="1" customHeight="1" x14ac:dyDescent="0.25">
      <c r="B3667" s="13" t="s">
        <v>14153</v>
      </c>
      <c r="C3667" s="13" t="s">
        <v>18836</v>
      </c>
      <c r="D3667" s="12" t="s">
        <v>10778</v>
      </c>
      <c r="E3667" s="13" t="s">
        <v>2193</v>
      </c>
      <c r="F3667" s="681">
        <v>31.69</v>
      </c>
    </row>
    <row r="3668" spans="2:6" ht="15.75" hidden="1" customHeight="1" x14ac:dyDescent="0.25">
      <c r="B3668" s="13" t="s">
        <v>556</v>
      </c>
      <c r="C3668" s="13" t="s">
        <v>18837</v>
      </c>
      <c r="D3668" s="12" t="s">
        <v>8537</v>
      </c>
      <c r="E3668" s="13" t="s">
        <v>823</v>
      </c>
      <c r="F3668" s="681">
        <v>7.7</v>
      </c>
    </row>
    <row r="3669" spans="2:6" ht="15.75" hidden="1" customHeight="1" x14ac:dyDescent="0.25">
      <c r="B3669" s="13" t="s">
        <v>556</v>
      </c>
      <c r="C3669" s="13" t="s">
        <v>18838</v>
      </c>
      <c r="D3669" s="12" t="s">
        <v>8538</v>
      </c>
      <c r="E3669" s="13" t="s">
        <v>823</v>
      </c>
      <c r="F3669" s="681">
        <v>9.8800000000000008</v>
      </c>
    </row>
    <row r="3670" spans="2:6" ht="15.75" hidden="1" customHeight="1" x14ac:dyDescent="0.25">
      <c r="B3670" s="13" t="s">
        <v>556</v>
      </c>
      <c r="C3670" s="13" t="s">
        <v>18839</v>
      </c>
      <c r="D3670" s="12" t="s">
        <v>8539</v>
      </c>
      <c r="E3670" s="13" t="s">
        <v>823</v>
      </c>
      <c r="F3670" s="681">
        <v>9.83</v>
      </c>
    </row>
    <row r="3671" spans="2:6" ht="15.75" hidden="1" customHeight="1" x14ac:dyDescent="0.25">
      <c r="B3671" s="13" t="s">
        <v>556</v>
      </c>
      <c r="C3671" s="13" t="s">
        <v>18840</v>
      </c>
      <c r="D3671" s="12" t="s">
        <v>8540</v>
      </c>
      <c r="E3671" s="13" t="s">
        <v>823</v>
      </c>
      <c r="F3671" s="681">
        <v>10.47</v>
      </c>
    </row>
    <row r="3672" spans="2:6" ht="15.75" hidden="1" customHeight="1" x14ac:dyDescent="0.25">
      <c r="B3672" s="13" t="s">
        <v>556</v>
      </c>
      <c r="C3672" s="13" t="s">
        <v>18841</v>
      </c>
      <c r="D3672" s="12" t="s">
        <v>11455</v>
      </c>
      <c r="E3672" s="13" t="s">
        <v>578</v>
      </c>
      <c r="F3672" s="681">
        <v>20.75</v>
      </c>
    </row>
    <row r="3673" spans="2:6" ht="15.75" hidden="1" customHeight="1" x14ac:dyDescent="0.25">
      <c r="B3673" s="13" t="s">
        <v>556</v>
      </c>
      <c r="C3673" s="13" t="s">
        <v>18842</v>
      </c>
      <c r="D3673" s="12" t="s">
        <v>11654</v>
      </c>
      <c r="E3673" s="13" t="s">
        <v>585</v>
      </c>
      <c r="F3673" s="681">
        <v>5.92</v>
      </c>
    </row>
    <row r="3674" spans="2:6" ht="15.75" hidden="1" customHeight="1" x14ac:dyDescent="0.25">
      <c r="B3674" s="13" t="s">
        <v>556</v>
      </c>
      <c r="C3674" s="13" t="s">
        <v>18843</v>
      </c>
      <c r="D3674" s="12" t="s">
        <v>10447</v>
      </c>
      <c r="E3674" s="13" t="s">
        <v>578</v>
      </c>
      <c r="F3674" s="681">
        <v>1.19</v>
      </c>
    </row>
    <row r="3675" spans="2:6" ht="15.75" hidden="1" customHeight="1" x14ac:dyDescent="0.25">
      <c r="B3675" s="13" t="s">
        <v>556</v>
      </c>
      <c r="C3675" s="13" t="s">
        <v>18844</v>
      </c>
      <c r="D3675" s="12" t="s">
        <v>8613</v>
      </c>
      <c r="E3675" s="13" t="s">
        <v>823</v>
      </c>
      <c r="F3675" s="681">
        <v>11.26</v>
      </c>
    </row>
    <row r="3676" spans="2:6" ht="15.75" hidden="1" customHeight="1" x14ac:dyDescent="0.25">
      <c r="B3676" s="13" t="s">
        <v>14150</v>
      </c>
      <c r="C3676" s="13" t="s">
        <v>18845</v>
      </c>
      <c r="D3676" s="12" t="s">
        <v>8697</v>
      </c>
      <c r="E3676" s="13" t="s">
        <v>580</v>
      </c>
      <c r="F3676" s="681">
        <v>10018.530000000001</v>
      </c>
    </row>
    <row r="3677" spans="2:6" ht="15.75" hidden="1" customHeight="1" x14ac:dyDescent="0.25">
      <c r="B3677" s="13" t="s">
        <v>14150</v>
      </c>
      <c r="C3677" s="13" t="s">
        <v>18846</v>
      </c>
      <c r="D3677" s="12" t="s">
        <v>8698</v>
      </c>
      <c r="E3677" s="13" t="s">
        <v>580</v>
      </c>
      <c r="F3677" s="681">
        <v>11231.59</v>
      </c>
    </row>
    <row r="3678" spans="2:6" ht="15.75" hidden="1" customHeight="1" x14ac:dyDescent="0.25">
      <c r="B3678" s="13" t="s">
        <v>14150</v>
      </c>
      <c r="C3678" s="13" t="s">
        <v>18847</v>
      </c>
      <c r="D3678" s="12" t="s">
        <v>8699</v>
      </c>
      <c r="E3678" s="13" t="s">
        <v>580</v>
      </c>
      <c r="F3678" s="681">
        <v>12689.31</v>
      </c>
    </row>
    <row r="3679" spans="2:6" ht="15.75" hidden="1" customHeight="1" x14ac:dyDescent="0.25">
      <c r="B3679" s="13" t="s">
        <v>14150</v>
      </c>
      <c r="C3679" s="13" t="s">
        <v>18848</v>
      </c>
      <c r="D3679" s="12" t="s">
        <v>8700</v>
      </c>
      <c r="E3679" s="13" t="s">
        <v>580</v>
      </c>
      <c r="F3679" s="681">
        <v>17440.52</v>
      </c>
    </row>
    <row r="3680" spans="2:6" ht="15.75" hidden="1" customHeight="1" x14ac:dyDescent="0.25">
      <c r="B3680" s="13" t="s">
        <v>14150</v>
      </c>
      <c r="C3680" s="13" t="s">
        <v>18849</v>
      </c>
      <c r="D3680" s="12" t="s">
        <v>8701</v>
      </c>
      <c r="E3680" s="13" t="s">
        <v>580</v>
      </c>
      <c r="F3680" s="681">
        <v>21159.83</v>
      </c>
    </row>
    <row r="3681" spans="2:6" ht="15.75" hidden="1" customHeight="1" x14ac:dyDescent="0.25">
      <c r="B3681" s="13" t="s">
        <v>14150</v>
      </c>
      <c r="C3681" s="13" t="s">
        <v>18850</v>
      </c>
      <c r="D3681" s="12" t="s">
        <v>8694</v>
      </c>
      <c r="E3681" s="13" t="s">
        <v>580</v>
      </c>
      <c r="F3681" s="681">
        <v>3863.08</v>
      </c>
    </row>
    <row r="3682" spans="2:6" ht="15.75" hidden="1" customHeight="1" x14ac:dyDescent="0.25">
      <c r="B3682" s="13" t="s">
        <v>14150</v>
      </c>
      <c r="C3682" s="13" t="s">
        <v>18851</v>
      </c>
      <c r="D3682" s="12" t="s">
        <v>8696</v>
      </c>
      <c r="E3682" s="13" t="s">
        <v>580</v>
      </c>
      <c r="F3682" s="681">
        <v>2324.0100000000002</v>
      </c>
    </row>
    <row r="3683" spans="2:6" ht="15.75" hidden="1" customHeight="1" x14ac:dyDescent="0.25">
      <c r="B3683" s="13" t="s">
        <v>14150</v>
      </c>
      <c r="C3683" s="13" t="s">
        <v>18852</v>
      </c>
      <c r="D3683" s="12" t="s">
        <v>8693</v>
      </c>
      <c r="E3683" s="13" t="s">
        <v>580</v>
      </c>
      <c r="F3683" s="681">
        <v>2602.2199999999998</v>
      </c>
    </row>
    <row r="3684" spans="2:6" ht="15.75" hidden="1" customHeight="1" x14ac:dyDescent="0.25">
      <c r="B3684" s="13" t="s">
        <v>556</v>
      </c>
      <c r="C3684" s="13" t="s">
        <v>18853</v>
      </c>
      <c r="D3684" s="12" t="s">
        <v>18854</v>
      </c>
      <c r="E3684" s="13" t="s">
        <v>580</v>
      </c>
      <c r="F3684" s="681">
        <v>2271</v>
      </c>
    </row>
    <row r="3685" spans="2:6" ht="15.75" hidden="1" customHeight="1" x14ac:dyDescent="0.25">
      <c r="B3685" s="13" t="s">
        <v>556</v>
      </c>
      <c r="C3685" s="13" t="s">
        <v>18855</v>
      </c>
      <c r="D3685" s="12" t="s">
        <v>18856</v>
      </c>
      <c r="E3685" s="13" t="s">
        <v>580</v>
      </c>
      <c r="F3685" s="681">
        <v>6025.1</v>
      </c>
    </row>
    <row r="3686" spans="2:6" ht="15.75" hidden="1" customHeight="1" x14ac:dyDescent="0.25">
      <c r="B3686" s="13" t="s">
        <v>14153</v>
      </c>
      <c r="C3686" s="13" t="s">
        <v>18857</v>
      </c>
      <c r="D3686" s="12" t="s">
        <v>10725</v>
      </c>
      <c r="E3686" s="13" t="s">
        <v>2193</v>
      </c>
      <c r="F3686" s="681">
        <v>22.92</v>
      </c>
    </row>
    <row r="3687" spans="2:6" ht="15.75" hidden="1" customHeight="1" x14ac:dyDescent="0.25">
      <c r="B3687" s="13" t="s">
        <v>556</v>
      </c>
      <c r="C3687" s="13" t="s">
        <v>18858</v>
      </c>
      <c r="D3687" s="12" t="s">
        <v>18859</v>
      </c>
      <c r="E3687" s="13" t="s">
        <v>580</v>
      </c>
      <c r="F3687" s="681">
        <v>6434.22</v>
      </c>
    </row>
    <row r="3688" spans="2:6" ht="15.75" hidden="1" customHeight="1" x14ac:dyDescent="0.25">
      <c r="B3688" s="13" t="s">
        <v>556</v>
      </c>
      <c r="C3688" s="13" t="s">
        <v>18860</v>
      </c>
      <c r="D3688" s="12" t="s">
        <v>18861</v>
      </c>
      <c r="E3688" s="13" t="s">
        <v>580</v>
      </c>
      <c r="F3688" s="681">
        <v>3957.85</v>
      </c>
    </row>
    <row r="3689" spans="2:6" ht="15.75" hidden="1" customHeight="1" x14ac:dyDescent="0.25">
      <c r="B3689" s="13" t="s">
        <v>556</v>
      </c>
      <c r="C3689" s="13" t="s">
        <v>18862</v>
      </c>
      <c r="D3689" s="12" t="s">
        <v>18863</v>
      </c>
      <c r="E3689" s="13" t="s">
        <v>580</v>
      </c>
      <c r="F3689" s="681">
        <v>2424.64</v>
      </c>
    </row>
    <row r="3690" spans="2:6" ht="15.75" hidden="1" customHeight="1" x14ac:dyDescent="0.25">
      <c r="B3690" s="13" t="s">
        <v>556</v>
      </c>
      <c r="C3690" s="13" t="s">
        <v>18864</v>
      </c>
      <c r="D3690" s="12" t="s">
        <v>18865</v>
      </c>
      <c r="E3690" s="13" t="s">
        <v>580</v>
      </c>
      <c r="F3690" s="681">
        <v>4789.18</v>
      </c>
    </row>
    <row r="3691" spans="2:6" ht="15.75" hidden="1" customHeight="1" x14ac:dyDescent="0.25">
      <c r="B3691" s="13" t="s">
        <v>556</v>
      </c>
      <c r="C3691" s="13" t="s">
        <v>18866</v>
      </c>
      <c r="D3691" s="12" t="s">
        <v>18867</v>
      </c>
      <c r="E3691" s="13" t="s">
        <v>580</v>
      </c>
      <c r="F3691" s="681">
        <v>5175.3999999999996</v>
      </c>
    </row>
    <row r="3692" spans="2:6" ht="15.75" hidden="1" customHeight="1" x14ac:dyDescent="0.25">
      <c r="B3692" s="13" t="s">
        <v>556</v>
      </c>
      <c r="C3692" s="13" t="s">
        <v>18868</v>
      </c>
      <c r="D3692" s="12" t="s">
        <v>18869</v>
      </c>
      <c r="E3692" s="13" t="s">
        <v>580</v>
      </c>
      <c r="F3692" s="681">
        <v>2580.7800000000002</v>
      </c>
    </row>
    <row r="3693" spans="2:6" ht="15.75" hidden="1" customHeight="1" x14ac:dyDescent="0.25">
      <c r="B3693" s="13" t="s">
        <v>556</v>
      </c>
      <c r="C3693" s="13" t="s">
        <v>18870</v>
      </c>
      <c r="D3693" s="12" t="s">
        <v>18871</v>
      </c>
      <c r="E3693" s="13" t="s">
        <v>580</v>
      </c>
      <c r="F3693" s="681">
        <v>2701.34</v>
      </c>
    </row>
    <row r="3694" spans="2:6" ht="15.75" hidden="1" customHeight="1" x14ac:dyDescent="0.25">
      <c r="B3694" s="13" t="s">
        <v>556</v>
      </c>
      <c r="C3694" s="13" t="s">
        <v>18872</v>
      </c>
      <c r="D3694" s="12" t="s">
        <v>18873</v>
      </c>
      <c r="E3694" s="13" t="s">
        <v>580</v>
      </c>
      <c r="F3694" s="681">
        <v>1843.37</v>
      </c>
    </row>
    <row r="3695" spans="2:6" ht="15.75" hidden="1" customHeight="1" x14ac:dyDescent="0.25">
      <c r="B3695" s="13" t="s">
        <v>556</v>
      </c>
      <c r="C3695" s="13" t="s">
        <v>18874</v>
      </c>
      <c r="D3695" s="12" t="s">
        <v>18875</v>
      </c>
      <c r="E3695" s="13" t="s">
        <v>580</v>
      </c>
      <c r="F3695" s="681">
        <v>2090.75</v>
      </c>
    </row>
    <row r="3696" spans="2:6" ht="15.75" hidden="1" customHeight="1" x14ac:dyDescent="0.25">
      <c r="B3696" s="13" t="s">
        <v>556</v>
      </c>
      <c r="C3696" s="13" t="s">
        <v>18876</v>
      </c>
      <c r="D3696" s="12" t="s">
        <v>18877</v>
      </c>
      <c r="E3696" s="13" t="s">
        <v>580</v>
      </c>
      <c r="F3696" s="681">
        <v>1207.8399999999999</v>
      </c>
    </row>
    <row r="3697" spans="2:6" ht="15.75" hidden="1" customHeight="1" x14ac:dyDescent="0.25">
      <c r="B3697" s="13" t="s">
        <v>14153</v>
      </c>
      <c r="C3697" s="13" t="s">
        <v>18878</v>
      </c>
      <c r="D3697" s="12" t="s">
        <v>10575</v>
      </c>
      <c r="E3697" s="13" t="s">
        <v>2193</v>
      </c>
      <c r="F3697" s="681">
        <v>29.17</v>
      </c>
    </row>
    <row r="3698" spans="2:6" ht="15.75" hidden="1" customHeight="1" x14ac:dyDescent="0.25">
      <c r="B3698" s="13" t="s">
        <v>556</v>
      </c>
      <c r="C3698" s="13" t="s">
        <v>18879</v>
      </c>
      <c r="D3698" s="12" t="s">
        <v>18880</v>
      </c>
      <c r="E3698" s="13" t="s">
        <v>580</v>
      </c>
      <c r="F3698" s="681">
        <v>1235.9100000000001</v>
      </c>
    </row>
    <row r="3699" spans="2:6" ht="15.75" hidden="1" customHeight="1" x14ac:dyDescent="0.25">
      <c r="B3699" s="13" t="s">
        <v>14153</v>
      </c>
      <c r="C3699" s="13" t="s">
        <v>18881</v>
      </c>
      <c r="D3699" s="12" t="s">
        <v>10782</v>
      </c>
      <c r="E3699" s="13" t="s">
        <v>2193</v>
      </c>
      <c r="F3699" s="681">
        <v>22.92</v>
      </c>
    </row>
    <row r="3700" spans="2:6" ht="15.75" hidden="1" customHeight="1" x14ac:dyDescent="0.25">
      <c r="B3700" s="13" t="s">
        <v>556</v>
      </c>
      <c r="C3700" s="13" t="s">
        <v>18882</v>
      </c>
      <c r="D3700" s="12" t="s">
        <v>10130</v>
      </c>
      <c r="E3700" s="13" t="s">
        <v>580</v>
      </c>
      <c r="F3700" s="681">
        <v>8.41</v>
      </c>
    </row>
    <row r="3701" spans="2:6" ht="15.75" hidden="1" customHeight="1" x14ac:dyDescent="0.25">
      <c r="B3701" s="13" t="s">
        <v>14153</v>
      </c>
      <c r="C3701" s="13" t="s">
        <v>18883</v>
      </c>
      <c r="D3701" s="12" t="s">
        <v>10762</v>
      </c>
      <c r="E3701" s="13" t="s">
        <v>2193</v>
      </c>
      <c r="F3701" s="681">
        <v>19.45</v>
      </c>
    </row>
    <row r="3702" spans="2:6" ht="15.75" hidden="1" customHeight="1" x14ac:dyDescent="0.25">
      <c r="B3702" s="13" t="s">
        <v>14153</v>
      </c>
      <c r="C3702" s="13" t="s">
        <v>18884</v>
      </c>
      <c r="D3702" s="12" t="s">
        <v>10772</v>
      </c>
      <c r="E3702" s="13" t="s">
        <v>2193</v>
      </c>
      <c r="F3702" s="681">
        <v>17.02</v>
      </c>
    </row>
    <row r="3703" spans="2:6" ht="15.75" hidden="1" customHeight="1" x14ac:dyDescent="0.25">
      <c r="B3703" s="13" t="s">
        <v>14153</v>
      </c>
      <c r="C3703" s="13" t="s">
        <v>18885</v>
      </c>
      <c r="D3703" s="12" t="s">
        <v>10757</v>
      </c>
      <c r="E3703" s="13" t="s">
        <v>2193</v>
      </c>
      <c r="F3703" s="681">
        <v>24.9</v>
      </c>
    </row>
    <row r="3704" spans="2:6" ht="15.75" hidden="1" customHeight="1" x14ac:dyDescent="0.25">
      <c r="B3704" s="13" t="s">
        <v>556</v>
      </c>
      <c r="C3704" s="13" t="s">
        <v>18886</v>
      </c>
      <c r="D3704" s="12" t="s">
        <v>10616</v>
      </c>
      <c r="E3704" s="13" t="s">
        <v>578</v>
      </c>
      <c r="F3704" s="681">
        <v>25.92</v>
      </c>
    </row>
    <row r="3705" spans="2:6" ht="15.75" hidden="1" customHeight="1" x14ac:dyDescent="0.25">
      <c r="B3705" s="13" t="s">
        <v>556</v>
      </c>
      <c r="C3705" s="13" t="s">
        <v>18887</v>
      </c>
      <c r="D3705" s="12" t="s">
        <v>10607</v>
      </c>
      <c r="E3705" s="13" t="s">
        <v>578</v>
      </c>
      <c r="F3705" s="681">
        <v>9.81</v>
      </c>
    </row>
    <row r="3706" spans="2:6" ht="15.75" hidden="1" customHeight="1" x14ac:dyDescent="0.25">
      <c r="B3706" s="13" t="s">
        <v>556</v>
      </c>
      <c r="C3706" s="13" t="s">
        <v>18888</v>
      </c>
      <c r="D3706" s="12" t="s">
        <v>10047</v>
      </c>
      <c r="E3706" s="13" t="s">
        <v>585</v>
      </c>
      <c r="F3706" s="681">
        <v>1.45</v>
      </c>
    </row>
    <row r="3707" spans="2:6" ht="15.75" hidden="1" customHeight="1" x14ac:dyDescent="0.25">
      <c r="B3707" s="13" t="s">
        <v>14153</v>
      </c>
      <c r="C3707" s="13" t="s">
        <v>18889</v>
      </c>
      <c r="D3707" s="12" t="s">
        <v>10768</v>
      </c>
      <c r="E3707" s="13" t="s">
        <v>2193</v>
      </c>
      <c r="F3707" s="681">
        <v>21.22</v>
      </c>
    </row>
    <row r="3708" spans="2:6" ht="15.75" hidden="1" customHeight="1" x14ac:dyDescent="0.25">
      <c r="B3708" s="13" t="s">
        <v>14153</v>
      </c>
      <c r="C3708" s="13" t="s">
        <v>18890</v>
      </c>
      <c r="D3708" s="12" t="s">
        <v>10770</v>
      </c>
      <c r="E3708" s="13" t="s">
        <v>2193</v>
      </c>
      <c r="F3708" s="681">
        <v>21.95</v>
      </c>
    </row>
    <row r="3709" spans="2:6" ht="15.75" hidden="1" customHeight="1" x14ac:dyDescent="0.25">
      <c r="B3709" s="13" t="s">
        <v>14153</v>
      </c>
      <c r="C3709" s="13" t="s">
        <v>18891</v>
      </c>
      <c r="D3709" s="12" t="s">
        <v>10776</v>
      </c>
      <c r="E3709" s="13" t="s">
        <v>2193</v>
      </c>
      <c r="F3709" s="681">
        <v>21.22</v>
      </c>
    </row>
    <row r="3710" spans="2:6" ht="15.75" hidden="1" customHeight="1" x14ac:dyDescent="0.25">
      <c r="B3710" s="13" t="s">
        <v>556</v>
      </c>
      <c r="C3710" s="13" t="s">
        <v>18892</v>
      </c>
      <c r="D3710" s="12" t="s">
        <v>18893</v>
      </c>
      <c r="E3710" s="13" t="s">
        <v>585</v>
      </c>
      <c r="F3710" s="681">
        <v>55.75</v>
      </c>
    </row>
    <row r="3711" spans="2:6" ht="15.75" hidden="1" customHeight="1" x14ac:dyDescent="0.25">
      <c r="B3711" s="13" t="s">
        <v>556</v>
      </c>
      <c r="C3711" s="13" t="s">
        <v>18894</v>
      </c>
      <c r="D3711" s="12" t="s">
        <v>18895</v>
      </c>
      <c r="E3711" s="13" t="s">
        <v>585</v>
      </c>
      <c r="F3711" s="681">
        <v>74.709999999999994</v>
      </c>
    </row>
    <row r="3712" spans="2:6" ht="15.75" hidden="1" customHeight="1" x14ac:dyDescent="0.25">
      <c r="B3712" s="13" t="s">
        <v>556</v>
      </c>
      <c r="C3712" s="13" t="s">
        <v>18896</v>
      </c>
      <c r="D3712" s="12" t="s">
        <v>18897</v>
      </c>
      <c r="E3712" s="13" t="s">
        <v>585</v>
      </c>
      <c r="F3712" s="681">
        <v>203.8</v>
      </c>
    </row>
    <row r="3713" spans="2:6" ht="15.75" hidden="1" customHeight="1" x14ac:dyDescent="0.25">
      <c r="B3713" s="13" t="s">
        <v>556</v>
      </c>
      <c r="C3713" s="13" t="s">
        <v>18898</v>
      </c>
      <c r="D3713" s="12" t="s">
        <v>18899</v>
      </c>
      <c r="E3713" s="13" t="s">
        <v>585</v>
      </c>
      <c r="F3713" s="681">
        <v>465.15</v>
      </c>
    </row>
    <row r="3714" spans="2:6" ht="15.75" hidden="1" customHeight="1" x14ac:dyDescent="0.25">
      <c r="B3714" s="13" t="s">
        <v>556</v>
      </c>
      <c r="C3714" s="13" t="s">
        <v>18900</v>
      </c>
      <c r="D3714" s="12" t="s">
        <v>10131</v>
      </c>
      <c r="E3714" s="13" t="s">
        <v>580</v>
      </c>
      <c r="F3714" s="681">
        <v>46.34</v>
      </c>
    </row>
    <row r="3715" spans="2:6" ht="15.75" hidden="1" customHeight="1" x14ac:dyDescent="0.25">
      <c r="B3715" s="13" t="s">
        <v>14150</v>
      </c>
      <c r="C3715" s="13" t="s">
        <v>18901</v>
      </c>
      <c r="D3715" s="12" t="s">
        <v>10793</v>
      </c>
      <c r="E3715" s="13" t="s">
        <v>580</v>
      </c>
      <c r="F3715" s="681">
        <v>665000</v>
      </c>
    </row>
    <row r="3716" spans="2:6" ht="15.75" hidden="1" customHeight="1" x14ac:dyDescent="0.25">
      <c r="B3716" s="13" t="s">
        <v>14150</v>
      </c>
      <c r="C3716" s="13" t="s">
        <v>18902</v>
      </c>
      <c r="D3716" s="12" t="s">
        <v>10794</v>
      </c>
      <c r="E3716" s="13" t="s">
        <v>580</v>
      </c>
      <c r="F3716" s="681">
        <v>922133.28</v>
      </c>
    </row>
    <row r="3717" spans="2:6" ht="15.75" hidden="1" customHeight="1" x14ac:dyDescent="0.25">
      <c r="B3717" s="13" t="s">
        <v>556</v>
      </c>
      <c r="C3717" s="13" t="s">
        <v>18903</v>
      </c>
      <c r="D3717" s="12" t="s">
        <v>9325</v>
      </c>
      <c r="E3717" s="13" t="s">
        <v>580</v>
      </c>
      <c r="F3717" s="681">
        <v>69.849999999999994</v>
      </c>
    </row>
    <row r="3718" spans="2:6" ht="15.75" hidden="1" customHeight="1" x14ac:dyDescent="0.25">
      <c r="B3718" s="13" t="s">
        <v>556</v>
      </c>
      <c r="C3718" s="13" t="s">
        <v>18904</v>
      </c>
      <c r="D3718" s="12" t="s">
        <v>9326</v>
      </c>
      <c r="E3718" s="13" t="s">
        <v>580</v>
      </c>
      <c r="F3718" s="681">
        <v>76.930000000000007</v>
      </c>
    </row>
    <row r="3719" spans="2:6" ht="15.75" hidden="1" customHeight="1" x14ac:dyDescent="0.25">
      <c r="B3719" s="13" t="s">
        <v>556</v>
      </c>
      <c r="C3719" s="13" t="s">
        <v>18905</v>
      </c>
      <c r="D3719" s="12" t="s">
        <v>9698</v>
      </c>
      <c r="E3719" s="13" t="s">
        <v>580</v>
      </c>
      <c r="F3719" s="681">
        <v>458.05</v>
      </c>
    </row>
    <row r="3720" spans="2:6" ht="15.75" hidden="1" customHeight="1" x14ac:dyDescent="0.25">
      <c r="B3720" s="13" t="s">
        <v>556</v>
      </c>
      <c r="C3720" s="13" t="s">
        <v>18906</v>
      </c>
      <c r="D3720" s="12" t="s">
        <v>9700</v>
      </c>
      <c r="E3720" s="13" t="s">
        <v>580</v>
      </c>
      <c r="F3720" s="681">
        <v>612.97</v>
      </c>
    </row>
    <row r="3721" spans="2:6" ht="15.75" hidden="1" customHeight="1" x14ac:dyDescent="0.25">
      <c r="B3721" s="13" t="s">
        <v>556</v>
      </c>
      <c r="C3721" s="13" t="s">
        <v>18907</v>
      </c>
      <c r="D3721" s="12" t="s">
        <v>9699</v>
      </c>
      <c r="E3721" s="13" t="s">
        <v>580</v>
      </c>
      <c r="F3721" s="681">
        <v>320.02</v>
      </c>
    </row>
    <row r="3722" spans="2:6" ht="15.75" hidden="1" customHeight="1" x14ac:dyDescent="0.25">
      <c r="B3722" s="13" t="s">
        <v>556</v>
      </c>
      <c r="C3722" s="13" t="s">
        <v>18908</v>
      </c>
      <c r="D3722" s="12" t="s">
        <v>10356</v>
      </c>
      <c r="E3722" s="13" t="s">
        <v>580</v>
      </c>
      <c r="F3722" s="681">
        <v>158.5</v>
      </c>
    </row>
    <row r="3723" spans="2:6" ht="15.75" hidden="1" customHeight="1" x14ac:dyDescent="0.25">
      <c r="B3723" s="13" t="s">
        <v>556</v>
      </c>
      <c r="C3723" s="13" t="s">
        <v>18909</v>
      </c>
      <c r="D3723" s="12" t="s">
        <v>11256</v>
      </c>
      <c r="E3723" s="13" t="s">
        <v>580</v>
      </c>
      <c r="F3723" s="681">
        <v>34.549999999999997</v>
      </c>
    </row>
    <row r="3724" spans="2:6" ht="15.75" hidden="1" customHeight="1" x14ac:dyDescent="0.25">
      <c r="B3724" s="13" t="s">
        <v>556</v>
      </c>
      <c r="C3724" s="13" t="s">
        <v>18910</v>
      </c>
      <c r="D3724" s="12" t="s">
        <v>8629</v>
      </c>
      <c r="E3724" s="13" t="s">
        <v>580</v>
      </c>
      <c r="F3724" s="681">
        <v>6.55</v>
      </c>
    </row>
    <row r="3725" spans="2:6" ht="15.75" hidden="1" customHeight="1" x14ac:dyDescent="0.25">
      <c r="B3725" s="13" t="s">
        <v>556</v>
      </c>
      <c r="C3725" s="13" t="s">
        <v>18911</v>
      </c>
      <c r="D3725" s="12" t="s">
        <v>18912</v>
      </c>
      <c r="E3725" s="13" t="s">
        <v>580</v>
      </c>
      <c r="F3725" s="681">
        <v>392.33</v>
      </c>
    </row>
    <row r="3726" spans="2:6" ht="15.75" hidden="1" customHeight="1" x14ac:dyDescent="0.25">
      <c r="B3726" s="13" t="s">
        <v>556</v>
      </c>
      <c r="C3726" s="13" t="s">
        <v>18913</v>
      </c>
      <c r="D3726" s="12" t="s">
        <v>18914</v>
      </c>
      <c r="E3726" s="13" t="s">
        <v>580</v>
      </c>
      <c r="F3726" s="681">
        <v>143.53</v>
      </c>
    </row>
    <row r="3727" spans="2:6" ht="15.75" hidden="1" customHeight="1" x14ac:dyDescent="0.25">
      <c r="B3727" s="13" t="s">
        <v>556</v>
      </c>
      <c r="C3727" s="13" t="s">
        <v>12824</v>
      </c>
      <c r="D3727" s="12" t="s">
        <v>18915</v>
      </c>
      <c r="E3727" s="13" t="s">
        <v>580</v>
      </c>
      <c r="F3727" s="681">
        <v>216.09</v>
      </c>
    </row>
    <row r="3728" spans="2:6" ht="15.75" hidden="1" customHeight="1" x14ac:dyDescent="0.25">
      <c r="B3728" s="13" t="s">
        <v>556</v>
      </c>
      <c r="C3728" s="13" t="s">
        <v>18916</v>
      </c>
      <c r="D3728" s="12" t="s">
        <v>18917</v>
      </c>
      <c r="E3728" s="13" t="s">
        <v>580</v>
      </c>
      <c r="F3728" s="681">
        <v>34.97</v>
      </c>
    </row>
    <row r="3729" spans="2:6" ht="15.75" hidden="1" customHeight="1" x14ac:dyDescent="0.25">
      <c r="B3729" s="13" t="s">
        <v>556</v>
      </c>
      <c r="C3729" s="13" t="s">
        <v>18918</v>
      </c>
      <c r="D3729" s="12" t="s">
        <v>18919</v>
      </c>
      <c r="E3729" s="13" t="s">
        <v>580</v>
      </c>
      <c r="F3729" s="681">
        <v>21.45</v>
      </c>
    </row>
    <row r="3730" spans="2:6" ht="15.75" hidden="1" customHeight="1" x14ac:dyDescent="0.25">
      <c r="B3730" s="13" t="s">
        <v>556</v>
      </c>
      <c r="C3730" s="13" t="s">
        <v>18920</v>
      </c>
      <c r="D3730" s="12" t="s">
        <v>10843</v>
      </c>
      <c r="E3730" s="13" t="s">
        <v>580</v>
      </c>
      <c r="F3730" s="681">
        <v>1.48</v>
      </c>
    </row>
    <row r="3731" spans="2:6" ht="15.75" hidden="1" customHeight="1" x14ac:dyDescent="0.25">
      <c r="B3731" s="13" t="s">
        <v>556</v>
      </c>
      <c r="C3731" s="13" t="s">
        <v>18921</v>
      </c>
      <c r="D3731" s="12" t="s">
        <v>18922</v>
      </c>
      <c r="E3731" s="13" t="s">
        <v>580</v>
      </c>
      <c r="F3731" s="681">
        <v>57.4</v>
      </c>
    </row>
    <row r="3732" spans="2:6" ht="15.75" hidden="1" customHeight="1" x14ac:dyDescent="0.25">
      <c r="B3732" s="13" t="s">
        <v>556</v>
      </c>
      <c r="C3732" s="13" t="s">
        <v>12821</v>
      </c>
      <c r="D3732" s="12" t="s">
        <v>18923</v>
      </c>
      <c r="E3732" s="13" t="s">
        <v>580</v>
      </c>
      <c r="F3732" s="681">
        <v>10.85</v>
      </c>
    </row>
    <row r="3733" spans="2:6" ht="15.75" hidden="1" customHeight="1" x14ac:dyDescent="0.25">
      <c r="B3733" s="13" t="s">
        <v>556</v>
      </c>
      <c r="C3733" s="13" t="s">
        <v>18924</v>
      </c>
      <c r="D3733" s="12" t="s">
        <v>10849</v>
      </c>
      <c r="E3733" s="13" t="s">
        <v>580</v>
      </c>
      <c r="F3733" s="681">
        <v>1.01</v>
      </c>
    </row>
    <row r="3734" spans="2:6" ht="15.75" hidden="1" customHeight="1" x14ac:dyDescent="0.25">
      <c r="B3734" s="13" t="s">
        <v>556</v>
      </c>
      <c r="C3734" s="13" t="s">
        <v>18925</v>
      </c>
      <c r="D3734" s="12" t="s">
        <v>10850</v>
      </c>
      <c r="E3734" s="13" t="s">
        <v>580</v>
      </c>
      <c r="F3734" s="681">
        <v>1.23</v>
      </c>
    </row>
    <row r="3735" spans="2:6" ht="15.75" hidden="1" customHeight="1" x14ac:dyDescent="0.25">
      <c r="B3735" s="13" t="s">
        <v>556</v>
      </c>
      <c r="C3735" s="13" t="s">
        <v>18926</v>
      </c>
      <c r="D3735" s="12" t="s">
        <v>10848</v>
      </c>
      <c r="E3735" s="13" t="s">
        <v>580</v>
      </c>
      <c r="F3735" s="681">
        <v>4.22</v>
      </c>
    </row>
    <row r="3736" spans="2:6" ht="15.75" hidden="1" customHeight="1" x14ac:dyDescent="0.25">
      <c r="B3736" s="13" t="s">
        <v>556</v>
      </c>
      <c r="C3736" s="13" t="s">
        <v>18927</v>
      </c>
      <c r="D3736" s="12" t="s">
        <v>10844</v>
      </c>
      <c r="E3736" s="13" t="s">
        <v>580</v>
      </c>
      <c r="F3736" s="681">
        <v>2.02</v>
      </c>
    </row>
    <row r="3737" spans="2:6" ht="15.75" hidden="1" customHeight="1" x14ac:dyDescent="0.25">
      <c r="B3737" s="13" t="s">
        <v>556</v>
      </c>
      <c r="C3737" s="13" t="s">
        <v>18928</v>
      </c>
      <c r="D3737" s="12" t="s">
        <v>10845</v>
      </c>
      <c r="E3737" s="13" t="s">
        <v>580</v>
      </c>
      <c r="F3737" s="681">
        <v>2.34</v>
      </c>
    </row>
    <row r="3738" spans="2:6" ht="15.75" hidden="1" customHeight="1" x14ac:dyDescent="0.25">
      <c r="B3738" s="13" t="s">
        <v>556</v>
      </c>
      <c r="C3738" s="13" t="s">
        <v>18929</v>
      </c>
      <c r="D3738" s="12" t="s">
        <v>8542</v>
      </c>
      <c r="E3738" s="13" t="s">
        <v>823</v>
      </c>
      <c r="F3738" s="681">
        <v>7.2</v>
      </c>
    </row>
    <row r="3739" spans="2:6" ht="15.75" hidden="1" customHeight="1" x14ac:dyDescent="0.25">
      <c r="B3739" s="13" t="s">
        <v>556</v>
      </c>
      <c r="C3739" s="13" t="s">
        <v>18930</v>
      </c>
      <c r="D3739" s="12" t="s">
        <v>8536</v>
      </c>
      <c r="E3739" s="13" t="s">
        <v>823</v>
      </c>
      <c r="F3739" s="681">
        <v>8.06</v>
      </c>
    </row>
    <row r="3740" spans="2:6" ht="15.75" hidden="1" customHeight="1" x14ac:dyDescent="0.25">
      <c r="B3740" s="13" t="s">
        <v>556</v>
      </c>
      <c r="C3740" s="13" t="s">
        <v>18931</v>
      </c>
      <c r="D3740" s="12" t="s">
        <v>8545</v>
      </c>
      <c r="E3740" s="13" t="s">
        <v>823</v>
      </c>
      <c r="F3740" s="681">
        <v>6.5</v>
      </c>
    </row>
    <row r="3741" spans="2:6" ht="15.75" hidden="1" customHeight="1" x14ac:dyDescent="0.25">
      <c r="B3741" s="13" t="s">
        <v>556</v>
      </c>
      <c r="C3741" s="13" t="s">
        <v>18932</v>
      </c>
      <c r="D3741" s="12" t="s">
        <v>8546</v>
      </c>
      <c r="E3741" s="13" t="s">
        <v>823</v>
      </c>
      <c r="F3741" s="681">
        <v>7.49</v>
      </c>
    </row>
    <row r="3742" spans="2:6" ht="15.75" hidden="1" customHeight="1" x14ac:dyDescent="0.25">
      <c r="B3742" s="13" t="s">
        <v>556</v>
      </c>
      <c r="C3742" s="13" t="s">
        <v>18933</v>
      </c>
      <c r="D3742" s="12" t="s">
        <v>8547</v>
      </c>
      <c r="E3742" s="13" t="s">
        <v>823</v>
      </c>
      <c r="F3742" s="681">
        <v>8.23</v>
      </c>
    </row>
    <row r="3743" spans="2:6" ht="15.75" hidden="1" customHeight="1" x14ac:dyDescent="0.25">
      <c r="B3743" s="13" t="s">
        <v>556</v>
      </c>
      <c r="C3743" s="13" t="s">
        <v>18934</v>
      </c>
      <c r="D3743" s="12" t="s">
        <v>8543</v>
      </c>
      <c r="E3743" s="13" t="s">
        <v>823</v>
      </c>
      <c r="F3743" s="681">
        <v>7.47</v>
      </c>
    </row>
    <row r="3744" spans="2:6" ht="15.75" hidden="1" customHeight="1" x14ac:dyDescent="0.25">
      <c r="B3744" s="13" t="s">
        <v>556</v>
      </c>
      <c r="C3744" s="13" t="s">
        <v>18935</v>
      </c>
      <c r="D3744" s="12" t="s">
        <v>8552</v>
      </c>
      <c r="E3744" s="13" t="s">
        <v>823</v>
      </c>
      <c r="F3744" s="681">
        <v>7.1</v>
      </c>
    </row>
    <row r="3745" spans="2:6" ht="15.75" hidden="1" customHeight="1" x14ac:dyDescent="0.25">
      <c r="B3745" s="13" t="s">
        <v>556</v>
      </c>
      <c r="C3745" s="13" t="s">
        <v>18936</v>
      </c>
      <c r="D3745" s="12" t="s">
        <v>10846</v>
      </c>
      <c r="E3745" s="13" t="s">
        <v>580</v>
      </c>
      <c r="F3745" s="681">
        <v>2.72</v>
      </c>
    </row>
    <row r="3746" spans="2:6" ht="15.75" hidden="1" customHeight="1" x14ac:dyDescent="0.25">
      <c r="B3746" s="13" t="s">
        <v>556</v>
      </c>
      <c r="C3746" s="13" t="s">
        <v>18937</v>
      </c>
      <c r="D3746" s="12" t="s">
        <v>8554</v>
      </c>
      <c r="E3746" s="13" t="s">
        <v>823</v>
      </c>
      <c r="F3746" s="681">
        <v>6.18</v>
      </c>
    </row>
    <row r="3747" spans="2:6" ht="15.75" hidden="1" customHeight="1" x14ac:dyDescent="0.25">
      <c r="B3747" s="13" t="s">
        <v>556</v>
      </c>
      <c r="C3747" s="13" t="s">
        <v>18938</v>
      </c>
      <c r="D3747" s="12" t="s">
        <v>8551</v>
      </c>
      <c r="E3747" s="13" t="s">
        <v>823</v>
      </c>
      <c r="F3747" s="681">
        <v>7.44</v>
      </c>
    </row>
    <row r="3748" spans="2:6" ht="15.75" hidden="1" customHeight="1" x14ac:dyDescent="0.25">
      <c r="B3748" s="13" t="s">
        <v>556</v>
      </c>
      <c r="C3748" s="13" t="s">
        <v>18939</v>
      </c>
      <c r="D3748" s="12" t="s">
        <v>8553</v>
      </c>
      <c r="E3748" s="13" t="s">
        <v>823</v>
      </c>
      <c r="F3748" s="681">
        <v>7.87</v>
      </c>
    </row>
    <row r="3749" spans="2:6" ht="15.75" hidden="1" customHeight="1" x14ac:dyDescent="0.25">
      <c r="B3749" s="13" t="s">
        <v>556</v>
      </c>
      <c r="C3749" s="13" t="s">
        <v>18940</v>
      </c>
      <c r="D3749" s="12" t="s">
        <v>10994</v>
      </c>
      <c r="E3749" s="13" t="s">
        <v>580</v>
      </c>
      <c r="F3749" s="681">
        <v>13.86</v>
      </c>
    </row>
    <row r="3750" spans="2:6" ht="15.75" hidden="1" customHeight="1" x14ac:dyDescent="0.25">
      <c r="B3750" s="13" t="s">
        <v>556</v>
      </c>
      <c r="C3750" s="13" t="s">
        <v>18941</v>
      </c>
      <c r="D3750" s="12" t="s">
        <v>18942</v>
      </c>
      <c r="E3750" s="13" t="s">
        <v>578</v>
      </c>
      <c r="F3750" s="681">
        <v>191.09</v>
      </c>
    </row>
    <row r="3751" spans="2:6" ht="15.75" hidden="1" customHeight="1" x14ac:dyDescent="0.25">
      <c r="B3751" s="13" t="s">
        <v>556</v>
      </c>
      <c r="C3751" s="13" t="s">
        <v>18943</v>
      </c>
      <c r="D3751" s="12" t="s">
        <v>10847</v>
      </c>
      <c r="E3751" s="13" t="s">
        <v>580</v>
      </c>
      <c r="F3751" s="681">
        <v>5.63</v>
      </c>
    </row>
    <row r="3752" spans="2:6" ht="15.75" hidden="1" customHeight="1" x14ac:dyDescent="0.25">
      <c r="B3752" s="13" t="s">
        <v>556</v>
      </c>
      <c r="C3752" s="13" t="s">
        <v>18944</v>
      </c>
      <c r="D3752" s="12" t="s">
        <v>18945</v>
      </c>
      <c r="E3752" s="13" t="s">
        <v>823</v>
      </c>
      <c r="F3752" s="681">
        <v>10</v>
      </c>
    </row>
    <row r="3753" spans="2:6" ht="15.75" hidden="1" customHeight="1" x14ac:dyDescent="0.25">
      <c r="B3753" s="13" t="s">
        <v>556</v>
      </c>
      <c r="C3753" s="13" t="s">
        <v>18946</v>
      </c>
      <c r="D3753" s="12" t="s">
        <v>18947</v>
      </c>
      <c r="E3753" s="13" t="s">
        <v>823</v>
      </c>
      <c r="F3753" s="681">
        <v>8.66</v>
      </c>
    </row>
    <row r="3754" spans="2:6" ht="15.75" hidden="1" customHeight="1" x14ac:dyDescent="0.25">
      <c r="B3754" s="13" t="s">
        <v>556</v>
      </c>
      <c r="C3754" s="13" t="s">
        <v>18948</v>
      </c>
      <c r="D3754" s="12" t="s">
        <v>9360</v>
      </c>
      <c r="E3754" s="13" t="s">
        <v>580</v>
      </c>
      <c r="F3754" s="681">
        <v>1381.52</v>
      </c>
    </row>
    <row r="3755" spans="2:6" ht="15.75" hidden="1" customHeight="1" x14ac:dyDescent="0.25">
      <c r="B3755" s="13" t="s">
        <v>556</v>
      </c>
      <c r="C3755" s="13" t="s">
        <v>18949</v>
      </c>
      <c r="D3755" s="12" t="s">
        <v>10993</v>
      </c>
      <c r="E3755" s="13" t="s">
        <v>580</v>
      </c>
      <c r="F3755" s="681">
        <v>8.1</v>
      </c>
    </row>
    <row r="3756" spans="2:6" ht="15.75" hidden="1" customHeight="1" x14ac:dyDescent="0.25">
      <c r="B3756" s="13" t="s">
        <v>556</v>
      </c>
      <c r="C3756" s="13" t="s">
        <v>18950</v>
      </c>
      <c r="D3756" s="12" t="s">
        <v>9361</v>
      </c>
      <c r="E3756" s="13" t="s">
        <v>580</v>
      </c>
      <c r="F3756" s="681">
        <v>3048.88</v>
      </c>
    </row>
    <row r="3757" spans="2:6" ht="15.75" hidden="1" customHeight="1" x14ac:dyDescent="0.25">
      <c r="B3757" s="13" t="s">
        <v>556</v>
      </c>
      <c r="C3757" s="13" t="s">
        <v>18951</v>
      </c>
      <c r="D3757" s="12" t="s">
        <v>9358</v>
      </c>
      <c r="E3757" s="13" t="s">
        <v>580</v>
      </c>
      <c r="F3757" s="681">
        <v>5945.33</v>
      </c>
    </row>
    <row r="3758" spans="2:6" ht="15.75" hidden="1" customHeight="1" x14ac:dyDescent="0.25">
      <c r="B3758" s="13" t="s">
        <v>556</v>
      </c>
      <c r="C3758" s="13" t="s">
        <v>18952</v>
      </c>
      <c r="D3758" s="12" t="s">
        <v>9359</v>
      </c>
      <c r="E3758" s="13" t="s">
        <v>580</v>
      </c>
      <c r="F3758" s="681">
        <v>7927.11</v>
      </c>
    </row>
    <row r="3759" spans="2:6" ht="15.75" hidden="1" customHeight="1" x14ac:dyDescent="0.25">
      <c r="B3759" s="13" t="s">
        <v>556</v>
      </c>
      <c r="C3759" s="13" t="s">
        <v>18953</v>
      </c>
      <c r="D3759" s="12" t="s">
        <v>9235</v>
      </c>
      <c r="E3759" s="13" t="s">
        <v>580</v>
      </c>
      <c r="F3759" s="681">
        <v>255.15</v>
      </c>
    </row>
    <row r="3760" spans="2:6" ht="15.75" hidden="1" customHeight="1" x14ac:dyDescent="0.25">
      <c r="B3760" s="13" t="s">
        <v>556</v>
      </c>
      <c r="C3760" s="13" t="s">
        <v>18954</v>
      </c>
      <c r="D3760" s="12" t="s">
        <v>9234</v>
      </c>
      <c r="E3760" s="13" t="s">
        <v>580</v>
      </c>
      <c r="F3760" s="681">
        <v>240.1</v>
      </c>
    </row>
    <row r="3761" spans="2:6" ht="15.75" hidden="1" customHeight="1" x14ac:dyDescent="0.25">
      <c r="B3761" s="13" t="s">
        <v>556</v>
      </c>
      <c r="C3761" s="13" t="s">
        <v>18955</v>
      </c>
      <c r="D3761" s="12" t="s">
        <v>9259</v>
      </c>
      <c r="E3761" s="13" t="s">
        <v>580</v>
      </c>
      <c r="F3761" s="681">
        <v>142.34</v>
      </c>
    </row>
    <row r="3762" spans="2:6" ht="15.75" hidden="1" customHeight="1" x14ac:dyDescent="0.25">
      <c r="B3762" s="13" t="s">
        <v>556</v>
      </c>
      <c r="C3762" s="13" t="s">
        <v>18956</v>
      </c>
      <c r="D3762" s="12" t="s">
        <v>9251</v>
      </c>
      <c r="E3762" s="13" t="s">
        <v>580</v>
      </c>
      <c r="F3762" s="681">
        <v>216.01</v>
      </c>
    </row>
    <row r="3763" spans="2:6" ht="15.75" hidden="1" customHeight="1" x14ac:dyDescent="0.25">
      <c r="B3763" s="13" t="s">
        <v>556</v>
      </c>
      <c r="C3763" s="13" t="s">
        <v>18957</v>
      </c>
      <c r="D3763" s="12" t="s">
        <v>9255</v>
      </c>
      <c r="E3763" s="13" t="s">
        <v>580</v>
      </c>
      <c r="F3763" s="681">
        <v>43.35</v>
      </c>
    </row>
    <row r="3764" spans="2:6" ht="15.75" hidden="1" customHeight="1" x14ac:dyDescent="0.25">
      <c r="B3764" s="13" t="s">
        <v>556</v>
      </c>
      <c r="C3764" s="13" t="s">
        <v>18958</v>
      </c>
      <c r="D3764" s="12" t="s">
        <v>9254</v>
      </c>
      <c r="E3764" s="13" t="s">
        <v>580</v>
      </c>
      <c r="F3764" s="681">
        <v>73.17</v>
      </c>
    </row>
    <row r="3765" spans="2:6" ht="15.75" hidden="1" customHeight="1" x14ac:dyDescent="0.25">
      <c r="B3765" s="13" t="s">
        <v>556</v>
      </c>
      <c r="C3765" s="13" t="s">
        <v>18959</v>
      </c>
      <c r="D3765" s="12" t="s">
        <v>18960</v>
      </c>
      <c r="E3765" s="13" t="s">
        <v>580</v>
      </c>
      <c r="F3765" s="681">
        <v>14.42</v>
      </c>
    </row>
    <row r="3766" spans="2:6" ht="15.75" hidden="1" customHeight="1" x14ac:dyDescent="0.25">
      <c r="B3766" s="13" t="s">
        <v>556</v>
      </c>
      <c r="C3766" s="13" t="s">
        <v>18961</v>
      </c>
      <c r="D3766" s="12" t="s">
        <v>10059</v>
      </c>
      <c r="E3766" s="13" t="s">
        <v>580</v>
      </c>
      <c r="F3766" s="681">
        <v>3.33</v>
      </c>
    </row>
    <row r="3767" spans="2:6" ht="15.75" hidden="1" customHeight="1" x14ac:dyDescent="0.25">
      <c r="B3767" s="13" t="s">
        <v>556</v>
      </c>
      <c r="C3767" s="13" t="s">
        <v>18962</v>
      </c>
      <c r="D3767" s="12" t="s">
        <v>11118</v>
      </c>
      <c r="E3767" s="13" t="s">
        <v>580</v>
      </c>
      <c r="F3767" s="681">
        <v>424.57</v>
      </c>
    </row>
    <row r="3768" spans="2:6" ht="15.75" hidden="1" customHeight="1" x14ac:dyDescent="0.25">
      <c r="B3768" s="13" t="s">
        <v>556</v>
      </c>
      <c r="C3768" s="13" t="s">
        <v>18963</v>
      </c>
      <c r="D3768" s="12" t="s">
        <v>9252</v>
      </c>
      <c r="E3768" s="13" t="s">
        <v>580</v>
      </c>
      <c r="F3768" s="681">
        <v>131.34</v>
      </c>
    </row>
    <row r="3769" spans="2:6" ht="15.75" hidden="1" customHeight="1" x14ac:dyDescent="0.25">
      <c r="B3769" s="13" t="s">
        <v>556</v>
      </c>
      <c r="C3769" s="13" t="s">
        <v>18964</v>
      </c>
      <c r="D3769" s="12" t="s">
        <v>9253</v>
      </c>
      <c r="E3769" s="13" t="s">
        <v>580</v>
      </c>
      <c r="F3769" s="681">
        <v>193.41</v>
      </c>
    </row>
    <row r="3770" spans="2:6" ht="15.75" hidden="1" customHeight="1" x14ac:dyDescent="0.25">
      <c r="B3770" s="13" t="s">
        <v>556</v>
      </c>
      <c r="C3770" s="13" t="s">
        <v>18965</v>
      </c>
      <c r="D3770" s="12" t="s">
        <v>9256</v>
      </c>
      <c r="E3770" s="13" t="s">
        <v>580</v>
      </c>
      <c r="F3770" s="681">
        <v>512.78</v>
      </c>
    </row>
    <row r="3771" spans="2:6" ht="15.75" hidden="1" customHeight="1" x14ac:dyDescent="0.25">
      <c r="B3771" s="13" t="s">
        <v>556</v>
      </c>
      <c r="C3771" s="13" t="s">
        <v>18966</v>
      </c>
      <c r="D3771" s="677" t="s">
        <v>18967</v>
      </c>
      <c r="E3771" s="13" t="s">
        <v>823</v>
      </c>
      <c r="F3771" s="681">
        <v>32.869999999999997</v>
      </c>
    </row>
    <row r="3772" spans="2:6" ht="15.75" hidden="1" customHeight="1" x14ac:dyDescent="0.25">
      <c r="B3772" s="13" t="s">
        <v>556</v>
      </c>
      <c r="C3772" s="13" t="s">
        <v>18968</v>
      </c>
      <c r="D3772" s="677" t="s">
        <v>18969</v>
      </c>
      <c r="E3772" s="13" t="s">
        <v>823</v>
      </c>
      <c r="F3772" s="681">
        <v>10.87</v>
      </c>
    </row>
    <row r="3773" spans="2:6" ht="15.75" hidden="1" customHeight="1" x14ac:dyDescent="0.25">
      <c r="B3773" s="13" t="s">
        <v>556</v>
      </c>
      <c r="C3773" s="13" t="s">
        <v>18970</v>
      </c>
      <c r="D3773" s="12" t="s">
        <v>10060</v>
      </c>
      <c r="E3773" s="13" t="s">
        <v>580</v>
      </c>
      <c r="F3773" s="681">
        <v>2.34</v>
      </c>
    </row>
    <row r="3774" spans="2:6" ht="15.75" hidden="1" customHeight="1" x14ac:dyDescent="0.25">
      <c r="B3774" s="13" t="s">
        <v>556</v>
      </c>
      <c r="C3774" s="13" t="s">
        <v>18971</v>
      </c>
      <c r="D3774" s="12" t="s">
        <v>10061</v>
      </c>
      <c r="E3774" s="13" t="s">
        <v>580</v>
      </c>
      <c r="F3774" s="681">
        <v>3.28</v>
      </c>
    </row>
    <row r="3775" spans="2:6" ht="15.75" hidden="1" customHeight="1" x14ac:dyDescent="0.25">
      <c r="B3775" s="13" t="s">
        <v>556</v>
      </c>
      <c r="C3775" s="13" t="s">
        <v>18972</v>
      </c>
      <c r="D3775" s="677" t="s">
        <v>18973</v>
      </c>
      <c r="E3775" s="13" t="s">
        <v>578</v>
      </c>
      <c r="F3775" s="681">
        <v>125.24</v>
      </c>
    </row>
    <row r="3776" spans="2:6" ht="15.75" hidden="1" customHeight="1" x14ac:dyDescent="0.25">
      <c r="B3776" s="13" t="s">
        <v>556</v>
      </c>
      <c r="C3776" s="13" t="s">
        <v>18974</v>
      </c>
      <c r="D3776" s="677" t="s">
        <v>18975</v>
      </c>
      <c r="E3776" s="13" t="s">
        <v>578</v>
      </c>
      <c r="F3776" s="681">
        <v>162.43</v>
      </c>
    </row>
    <row r="3777" spans="2:6" ht="15.75" hidden="1" customHeight="1" x14ac:dyDescent="0.25">
      <c r="B3777" s="13" t="s">
        <v>556</v>
      </c>
      <c r="C3777" s="13" t="s">
        <v>18976</v>
      </c>
      <c r="D3777" s="677" t="s">
        <v>18977</v>
      </c>
      <c r="E3777" s="13" t="s">
        <v>578</v>
      </c>
      <c r="F3777" s="681">
        <v>107.26</v>
      </c>
    </row>
    <row r="3778" spans="2:6" ht="15.75" hidden="1" customHeight="1" x14ac:dyDescent="0.25">
      <c r="B3778" s="13" t="s">
        <v>556</v>
      </c>
      <c r="C3778" s="13" t="s">
        <v>18978</v>
      </c>
      <c r="D3778" s="12" t="s">
        <v>11457</v>
      </c>
      <c r="E3778" s="13" t="s">
        <v>578</v>
      </c>
      <c r="F3778" s="681">
        <v>37.159999999999997</v>
      </c>
    </row>
    <row r="3779" spans="2:6" ht="15.75" hidden="1" customHeight="1" x14ac:dyDescent="0.25">
      <c r="B3779" s="13" t="s">
        <v>556</v>
      </c>
      <c r="C3779" s="13" t="s">
        <v>18979</v>
      </c>
      <c r="D3779" s="12" t="s">
        <v>10177</v>
      </c>
      <c r="E3779" s="13" t="s">
        <v>9561</v>
      </c>
      <c r="F3779" s="681">
        <v>3.03</v>
      </c>
    </row>
    <row r="3780" spans="2:6" ht="15.75" hidden="1" customHeight="1" x14ac:dyDescent="0.25">
      <c r="B3780" s="13" t="s">
        <v>556</v>
      </c>
      <c r="C3780" s="13" t="s">
        <v>18980</v>
      </c>
      <c r="D3780" s="12" t="s">
        <v>8734</v>
      </c>
      <c r="E3780" s="13" t="s">
        <v>823</v>
      </c>
      <c r="F3780" s="681">
        <v>21.16</v>
      </c>
    </row>
    <row r="3781" spans="2:6" ht="15.75" hidden="1" customHeight="1" x14ac:dyDescent="0.25">
      <c r="B3781" s="13" t="s">
        <v>556</v>
      </c>
      <c r="C3781" s="13" t="s">
        <v>18981</v>
      </c>
      <c r="D3781" s="12" t="s">
        <v>8737</v>
      </c>
      <c r="E3781" s="13" t="s">
        <v>823</v>
      </c>
      <c r="F3781" s="681">
        <v>24.58</v>
      </c>
    </row>
    <row r="3782" spans="2:6" ht="15.75" hidden="1" customHeight="1" x14ac:dyDescent="0.25">
      <c r="B3782" s="13" t="s">
        <v>556</v>
      </c>
      <c r="C3782" s="13" t="s">
        <v>18982</v>
      </c>
      <c r="D3782" s="12" t="s">
        <v>8739</v>
      </c>
      <c r="E3782" s="13" t="s">
        <v>823</v>
      </c>
      <c r="F3782" s="681">
        <v>21.16</v>
      </c>
    </row>
    <row r="3783" spans="2:6" ht="15.75" hidden="1" customHeight="1" x14ac:dyDescent="0.25">
      <c r="B3783" s="13" t="s">
        <v>556</v>
      </c>
      <c r="C3783" s="13" t="s">
        <v>18983</v>
      </c>
      <c r="D3783" s="12" t="s">
        <v>10179</v>
      </c>
      <c r="E3783" s="13" t="s">
        <v>9561</v>
      </c>
      <c r="F3783" s="681">
        <v>4.04</v>
      </c>
    </row>
    <row r="3784" spans="2:6" ht="15.75" hidden="1" customHeight="1" x14ac:dyDescent="0.25">
      <c r="B3784" s="13" t="s">
        <v>556</v>
      </c>
      <c r="C3784" s="13" t="s">
        <v>18984</v>
      </c>
      <c r="D3784" s="12" t="s">
        <v>11254</v>
      </c>
      <c r="E3784" s="13" t="s">
        <v>517</v>
      </c>
      <c r="F3784" s="681">
        <v>150.53</v>
      </c>
    </row>
    <row r="3785" spans="2:6" ht="15.75" hidden="1" customHeight="1" x14ac:dyDescent="0.25">
      <c r="B3785" s="13" t="s">
        <v>556</v>
      </c>
      <c r="C3785" s="13" t="s">
        <v>18985</v>
      </c>
      <c r="D3785" s="12" t="s">
        <v>11250</v>
      </c>
      <c r="E3785" s="13" t="s">
        <v>517</v>
      </c>
      <c r="F3785" s="681">
        <v>26.52</v>
      </c>
    </row>
    <row r="3786" spans="2:6" ht="15.75" hidden="1" customHeight="1" x14ac:dyDescent="0.25">
      <c r="B3786" s="13" t="s">
        <v>556</v>
      </c>
      <c r="C3786" s="13" t="s">
        <v>18986</v>
      </c>
      <c r="D3786" s="12" t="s">
        <v>9710</v>
      </c>
      <c r="E3786" s="13" t="s">
        <v>823</v>
      </c>
      <c r="F3786" s="681">
        <v>36.11</v>
      </c>
    </row>
    <row r="3787" spans="2:6" ht="15.75" hidden="1" customHeight="1" x14ac:dyDescent="0.25">
      <c r="B3787" s="13" t="s">
        <v>556</v>
      </c>
      <c r="C3787" s="13" t="s">
        <v>18987</v>
      </c>
      <c r="D3787" s="12" t="s">
        <v>9877</v>
      </c>
      <c r="E3787" s="13" t="s">
        <v>823</v>
      </c>
      <c r="F3787" s="681">
        <v>8.5</v>
      </c>
    </row>
    <row r="3788" spans="2:6" ht="15.75" hidden="1" customHeight="1" x14ac:dyDescent="0.25">
      <c r="B3788" s="13" t="s">
        <v>556</v>
      </c>
      <c r="C3788" s="13" t="s">
        <v>18988</v>
      </c>
      <c r="D3788" s="12" t="s">
        <v>10684</v>
      </c>
      <c r="E3788" s="13" t="s">
        <v>823</v>
      </c>
      <c r="F3788" s="681">
        <v>22.26</v>
      </c>
    </row>
    <row r="3789" spans="2:6" ht="15.75" hidden="1" customHeight="1" x14ac:dyDescent="0.25">
      <c r="B3789" s="13" t="s">
        <v>556</v>
      </c>
      <c r="C3789" s="13" t="s">
        <v>18989</v>
      </c>
      <c r="D3789" s="12" t="s">
        <v>10683</v>
      </c>
      <c r="E3789" s="13" t="s">
        <v>823</v>
      </c>
      <c r="F3789" s="681">
        <v>57.48</v>
      </c>
    </row>
    <row r="3790" spans="2:6" ht="15.75" hidden="1" customHeight="1" x14ac:dyDescent="0.25">
      <c r="B3790" s="13" t="s">
        <v>556</v>
      </c>
      <c r="C3790" s="13" t="s">
        <v>18990</v>
      </c>
      <c r="D3790" s="12" t="s">
        <v>10102</v>
      </c>
      <c r="E3790" s="13" t="s">
        <v>580</v>
      </c>
      <c r="F3790" s="681">
        <v>2.41</v>
      </c>
    </row>
    <row r="3791" spans="2:6" ht="15.75" hidden="1" customHeight="1" x14ac:dyDescent="0.25">
      <c r="B3791" s="13" t="s">
        <v>556</v>
      </c>
      <c r="C3791" s="13" t="s">
        <v>18991</v>
      </c>
      <c r="D3791" s="12" t="s">
        <v>10176</v>
      </c>
      <c r="E3791" s="13" t="s">
        <v>580</v>
      </c>
      <c r="F3791" s="681">
        <v>2.11</v>
      </c>
    </row>
    <row r="3792" spans="2:6" ht="15.75" hidden="1" customHeight="1" x14ac:dyDescent="0.25">
      <c r="B3792" s="13" t="s">
        <v>556</v>
      </c>
      <c r="C3792" s="13" t="s">
        <v>18992</v>
      </c>
      <c r="D3792" s="12" t="s">
        <v>10178</v>
      </c>
      <c r="E3792" s="13" t="s">
        <v>580</v>
      </c>
      <c r="F3792" s="681">
        <v>3.45</v>
      </c>
    </row>
    <row r="3793" spans="2:6" ht="15.75" hidden="1" customHeight="1" x14ac:dyDescent="0.25">
      <c r="B3793" s="13" t="s">
        <v>556</v>
      </c>
      <c r="C3793" s="13" t="s">
        <v>18993</v>
      </c>
      <c r="D3793" s="12" t="s">
        <v>10841</v>
      </c>
      <c r="E3793" s="13" t="s">
        <v>580</v>
      </c>
      <c r="F3793" s="681">
        <v>1.82</v>
      </c>
    </row>
    <row r="3794" spans="2:6" ht="15.75" hidden="1" customHeight="1" x14ac:dyDescent="0.25">
      <c r="B3794" s="13" t="s">
        <v>14150</v>
      </c>
      <c r="C3794" s="13" t="s">
        <v>18994</v>
      </c>
      <c r="D3794" s="12" t="s">
        <v>8695</v>
      </c>
      <c r="E3794" s="13" t="s">
        <v>580</v>
      </c>
      <c r="F3794" s="681">
        <v>5339.15</v>
      </c>
    </row>
    <row r="3795" spans="2:6" ht="15.75" hidden="1" customHeight="1" x14ac:dyDescent="0.25">
      <c r="B3795" s="13" t="s">
        <v>14150</v>
      </c>
      <c r="C3795" s="13" t="s">
        <v>18995</v>
      </c>
      <c r="D3795" s="12" t="s">
        <v>8720</v>
      </c>
      <c r="E3795" s="13" t="s">
        <v>580</v>
      </c>
      <c r="F3795" s="681">
        <v>5598.4</v>
      </c>
    </row>
    <row r="3796" spans="2:6" ht="15.75" hidden="1" customHeight="1" x14ac:dyDescent="0.25">
      <c r="B3796" s="13" t="s">
        <v>14150</v>
      </c>
      <c r="C3796" s="13" t="s">
        <v>18996</v>
      </c>
      <c r="D3796" s="12" t="s">
        <v>8721</v>
      </c>
      <c r="E3796" s="13" t="s">
        <v>580</v>
      </c>
      <c r="F3796" s="681">
        <v>5905.18</v>
      </c>
    </row>
    <row r="3797" spans="2:6" ht="15.75" hidden="1" customHeight="1" x14ac:dyDescent="0.25">
      <c r="B3797" s="13" t="s">
        <v>14150</v>
      </c>
      <c r="C3797" s="13" t="s">
        <v>18997</v>
      </c>
      <c r="D3797" s="12" t="s">
        <v>8722</v>
      </c>
      <c r="E3797" s="13" t="s">
        <v>580</v>
      </c>
      <c r="F3797" s="681">
        <v>7836.24</v>
      </c>
    </row>
    <row r="3798" spans="2:6" ht="15.75" hidden="1" customHeight="1" x14ac:dyDescent="0.25">
      <c r="B3798" s="13" t="s">
        <v>14150</v>
      </c>
      <c r="C3798" s="13" t="s">
        <v>18998</v>
      </c>
      <c r="D3798" s="12" t="s">
        <v>8723</v>
      </c>
      <c r="E3798" s="13" t="s">
        <v>580</v>
      </c>
      <c r="F3798" s="681">
        <v>9494.64</v>
      </c>
    </row>
    <row r="3799" spans="2:6" ht="15.75" hidden="1" customHeight="1" x14ac:dyDescent="0.25">
      <c r="B3799" s="13" t="s">
        <v>14150</v>
      </c>
      <c r="C3799" s="13" t="s">
        <v>18999</v>
      </c>
      <c r="D3799" s="12" t="s">
        <v>8724</v>
      </c>
      <c r="E3799" s="13" t="s">
        <v>580</v>
      </c>
      <c r="F3799" s="681">
        <v>10679.89</v>
      </c>
    </row>
    <row r="3800" spans="2:6" ht="15.75" hidden="1" customHeight="1" x14ac:dyDescent="0.25">
      <c r="B3800" s="13" t="s">
        <v>556</v>
      </c>
      <c r="C3800" s="13" t="s">
        <v>19000</v>
      </c>
      <c r="D3800" s="12" t="s">
        <v>8612</v>
      </c>
      <c r="E3800" s="13" t="s">
        <v>580</v>
      </c>
      <c r="F3800" s="681">
        <v>1.9</v>
      </c>
    </row>
    <row r="3801" spans="2:6" ht="15.75" hidden="1" customHeight="1" x14ac:dyDescent="0.25">
      <c r="B3801" s="13" t="s">
        <v>14150</v>
      </c>
      <c r="C3801" s="13" t="s">
        <v>19001</v>
      </c>
      <c r="D3801" s="12" t="s">
        <v>8712</v>
      </c>
      <c r="E3801" s="13" t="s">
        <v>580</v>
      </c>
      <c r="F3801" s="681">
        <v>2088.4499999999998</v>
      </c>
    </row>
    <row r="3802" spans="2:6" ht="15.75" hidden="1" customHeight="1" x14ac:dyDescent="0.25">
      <c r="B3802" s="13" t="s">
        <v>14150</v>
      </c>
      <c r="C3802" s="13" t="s">
        <v>19002</v>
      </c>
      <c r="D3802" s="12" t="s">
        <v>8714</v>
      </c>
      <c r="E3802" s="13" t="s">
        <v>580</v>
      </c>
      <c r="F3802" s="681">
        <v>3005</v>
      </c>
    </row>
    <row r="3803" spans="2:6" ht="15.75" hidden="1" customHeight="1" x14ac:dyDescent="0.25">
      <c r="B3803" s="13" t="s">
        <v>14150</v>
      </c>
      <c r="C3803" s="13" t="s">
        <v>19003</v>
      </c>
      <c r="D3803" s="12" t="s">
        <v>8716</v>
      </c>
      <c r="E3803" s="13" t="s">
        <v>580</v>
      </c>
      <c r="F3803" s="681">
        <v>3936.28</v>
      </c>
    </row>
    <row r="3804" spans="2:6" ht="15.75" hidden="1" customHeight="1" x14ac:dyDescent="0.25">
      <c r="B3804" s="13" t="s">
        <v>14150</v>
      </c>
      <c r="C3804" s="13" t="s">
        <v>19004</v>
      </c>
      <c r="D3804" s="12" t="s">
        <v>8718</v>
      </c>
      <c r="E3804" s="13" t="s">
        <v>580</v>
      </c>
      <c r="F3804" s="681">
        <v>1789.11</v>
      </c>
    </row>
    <row r="3805" spans="2:6" ht="15.75" hidden="1" customHeight="1" x14ac:dyDescent="0.25">
      <c r="B3805" s="13" t="s">
        <v>14150</v>
      </c>
      <c r="C3805" s="13" t="s">
        <v>19005</v>
      </c>
      <c r="D3805" s="12" t="s">
        <v>8707</v>
      </c>
      <c r="E3805" s="13" t="s">
        <v>580</v>
      </c>
      <c r="F3805" s="681">
        <v>6141.05</v>
      </c>
    </row>
    <row r="3806" spans="2:6" ht="15.75" hidden="1" customHeight="1" x14ac:dyDescent="0.25">
      <c r="B3806" s="13" t="s">
        <v>14150</v>
      </c>
      <c r="C3806" s="13" t="s">
        <v>19006</v>
      </c>
      <c r="D3806" s="12" t="s">
        <v>8708</v>
      </c>
      <c r="E3806" s="13" t="s">
        <v>580</v>
      </c>
      <c r="F3806" s="681">
        <v>7610.95</v>
      </c>
    </row>
    <row r="3807" spans="2:6" ht="15.75" hidden="1" customHeight="1" x14ac:dyDescent="0.25">
      <c r="B3807" s="13" t="s">
        <v>14150</v>
      </c>
      <c r="C3807" s="13" t="s">
        <v>19007</v>
      </c>
      <c r="D3807" s="12" t="s">
        <v>8709</v>
      </c>
      <c r="E3807" s="13" t="s">
        <v>580</v>
      </c>
      <c r="F3807" s="681">
        <v>11309.7</v>
      </c>
    </row>
    <row r="3808" spans="2:6" ht="15.75" hidden="1" customHeight="1" x14ac:dyDescent="0.25">
      <c r="B3808" s="13" t="s">
        <v>14150</v>
      </c>
      <c r="C3808" s="13" t="s">
        <v>19008</v>
      </c>
      <c r="D3808" s="12" t="s">
        <v>8710</v>
      </c>
      <c r="E3808" s="13" t="s">
        <v>580</v>
      </c>
      <c r="F3808" s="681">
        <v>11724.12</v>
      </c>
    </row>
    <row r="3809" spans="2:6" ht="15.75" hidden="1" customHeight="1" x14ac:dyDescent="0.25">
      <c r="B3809" s="13" t="s">
        <v>556</v>
      </c>
      <c r="C3809" s="13" t="s">
        <v>12822</v>
      </c>
      <c r="D3809" s="12" t="s">
        <v>19009</v>
      </c>
      <c r="E3809" s="13" t="s">
        <v>580</v>
      </c>
      <c r="F3809" s="681">
        <v>15.91</v>
      </c>
    </row>
    <row r="3810" spans="2:6" ht="15.75" hidden="1" customHeight="1" x14ac:dyDescent="0.25">
      <c r="B3810" s="13" t="s">
        <v>556</v>
      </c>
      <c r="C3810" s="13" t="s">
        <v>19010</v>
      </c>
      <c r="D3810" s="12" t="s">
        <v>10840</v>
      </c>
      <c r="E3810" s="13" t="s">
        <v>580</v>
      </c>
      <c r="F3810" s="681">
        <v>3.73</v>
      </c>
    </row>
    <row r="3811" spans="2:6" ht="15.75" hidden="1" customHeight="1" x14ac:dyDescent="0.25">
      <c r="B3811" s="13" t="s">
        <v>14150</v>
      </c>
      <c r="C3811" s="13" t="s">
        <v>19011</v>
      </c>
      <c r="D3811" s="12" t="s">
        <v>8711</v>
      </c>
      <c r="E3811" s="13" t="s">
        <v>580</v>
      </c>
      <c r="F3811" s="681">
        <v>13454.29</v>
      </c>
    </row>
    <row r="3812" spans="2:6" ht="15.75" hidden="1" customHeight="1" x14ac:dyDescent="0.25">
      <c r="B3812" s="13" t="s">
        <v>556</v>
      </c>
      <c r="C3812" s="13" t="s">
        <v>19012</v>
      </c>
      <c r="D3812" s="12" t="s">
        <v>10462</v>
      </c>
      <c r="E3812" s="13" t="s">
        <v>580</v>
      </c>
      <c r="F3812" s="681">
        <v>35.21</v>
      </c>
    </row>
    <row r="3813" spans="2:6" ht="15.75" hidden="1" customHeight="1" x14ac:dyDescent="0.25">
      <c r="B3813" s="13" t="s">
        <v>556</v>
      </c>
      <c r="C3813" s="13" t="s">
        <v>19013</v>
      </c>
      <c r="D3813" s="12" t="s">
        <v>10825</v>
      </c>
      <c r="E3813" s="13" t="s">
        <v>580</v>
      </c>
      <c r="F3813" s="681">
        <v>2.4</v>
      </c>
    </row>
    <row r="3814" spans="2:6" ht="15.75" hidden="1" customHeight="1" x14ac:dyDescent="0.25">
      <c r="B3814" s="13" t="s">
        <v>556</v>
      </c>
      <c r="C3814" s="13" t="s">
        <v>19014</v>
      </c>
      <c r="D3814" s="12" t="s">
        <v>19015</v>
      </c>
      <c r="E3814" s="13" t="s">
        <v>580</v>
      </c>
      <c r="F3814" s="681">
        <v>21.34</v>
      </c>
    </row>
    <row r="3815" spans="2:6" ht="15.75" hidden="1" customHeight="1" x14ac:dyDescent="0.25">
      <c r="B3815" s="13" t="s">
        <v>556</v>
      </c>
      <c r="C3815" s="13" t="s">
        <v>19016</v>
      </c>
      <c r="D3815" s="12" t="s">
        <v>11015</v>
      </c>
      <c r="E3815" s="13" t="s">
        <v>580</v>
      </c>
      <c r="F3815" s="681">
        <v>0.16</v>
      </c>
    </row>
    <row r="3816" spans="2:6" ht="15.75" hidden="1" customHeight="1" x14ac:dyDescent="0.25">
      <c r="B3816" s="13" t="s">
        <v>556</v>
      </c>
      <c r="C3816" s="13" t="s">
        <v>19017</v>
      </c>
      <c r="D3816" s="12" t="s">
        <v>10855</v>
      </c>
      <c r="E3816" s="13" t="s">
        <v>580</v>
      </c>
      <c r="F3816" s="681">
        <v>4.54</v>
      </c>
    </row>
    <row r="3817" spans="2:6" ht="15.75" hidden="1" customHeight="1" x14ac:dyDescent="0.25">
      <c r="B3817" s="13" t="s">
        <v>556</v>
      </c>
      <c r="C3817" s="13" t="s">
        <v>19018</v>
      </c>
      <c r="D3817" s="12" t="s">
        <v>10854</v>
      </c>
      <c r="E3817" s="13" t="s">
        <v>580</v>
      </c>
      <c r="F3817" s="681">
        <v>1.21</v>
      </c>
    </row>
    <row r="3818" spans="2:6" ht="15.75" hidden="1" customHeight="1" x14ac:dyDescent="0.25">
      <c r="B3818" s="13" t="s">
        <v>556</v>
      </c>
      <c r="C3818" s="13" t="s">
        <v>19019</v>
      </c>
      <c r="D3818" s="12" t="s">
        <v>10815</v>
      </c>
      <c r="E3818" s="13" t="s">
        <v>580</v>
      </c>
      <c r="F3818" s="681">
        <v>0.28999999999999998</v>
      </c>
    </row>
    <row r="3819" spans="2:6" ht="15.75" hidden="1" customHeight="1" x14ac:dyDescent="0.25">
      <c r="B3819" s="13" t="s">
        <v>556</v>
      </c>
      <c r="C3819" s="13" t="s">
        <v>19020</v>
      </c>
      <c r="D3819" s="12" t="s">
        <v>10829</v>
      </c>
      <c r="E3819" s="13" t="s">
        <v>580</v>
      </c>
      <c r="F3819" s="681">
        <v>20.95</v>
      </c>
    </row>
    <row r="3820" spans="2:6" ht="15.75" hidden="1" customHeight="1" x14ac:dyDescent="0.25">
      <c r="B3820" s="13" t="s">
        <v>556</v>
      </c>
      <c r="C3820" s="13" t="s">
        <v>19021</v>
      </c>
      <c r="D3820" s="12" t="s">
        <v>10828</v>
      </c>
      <c r="E3820" s="13" t="s">
        <v>580</v>
      </c>
      <c r="F3820" s="681">
        <v>15.27</v>
      </c>
    </row>
    <row r="3821" spans="2:6" ht="15.75" hidden="1" customHeight="1" x14ac:dyDescent="0.25">
      <c r="B3821" s="13" t="s">
        <v>556</v>
      </c>
      <c r="C3821" s="13" t="s">
        <v>19022</v>
      </c>
      <c r="D3821" s="12" t="s">
        <v>10856</v>
      </c>
      <c r="E3821" s="13" t="s">
        <v>580</v>
      </c>
      <c r="F3821" s="681">
        <v>5.82</v>
      </c>
    </row>
    <row r="3822" spans="2:6" ht="15.75" hidden="1" customHeight="1" x14ac:dyDescent="0.25">
      <c r="B3822" s="13" t="s">
        <v>556</v>
      </c>
      <c r="C3822" s="13" t="s">
        <v>19023</v>
      </c>
      <c r="D3822" s="12" t="s">
        <v>9426</v>
      </c>
      <c r="E3822" s="13" t="s">
        <v>664</v>
      </c>
      <c r="F3822" s="681">
        <v>521.12</v>
      </c>
    </row>
    <row r="3823" spans="2:6" ht="15.75" customHeight="1" x14ac:dyDescent="0.25">
      <c r="B3823" s="13" t="s">
        <v>556</v>
      </c>
      <c r="C3823" s="13" t="s">
        <v>19024</v>
      </c>
      <c r="D3823" s="12" t="s">
        <v>19025</v>
      </c>
      <c r="E3823" s="13" t="s">
        <v>823</v>
      </c>
      <c r="F3823" s="681">
        <v>1.58</v>
      </c>
    </row>
    <row r="3824" spans="2:6" ht="15.75" hidden="1" customHeight="1" x14ac:dyDescent="0.25">
      <c r="B3824" s="13" t="s">
        <v>556</v>
      </c>
      <c r="C3824" s="13" t="s">
        <v>19026</v>
      </c>
      <c r="D3824" s="12" t="s">
        <v>11010</v>
      </c>
      <c r="E3824" s="13" t="s">
        <v>580</v>
      </c>
      <c r="F3824" s="681">
        <v>2.83</v>
      </c>
    </row>
    <row r="3825" spans="2:6" ht="15.75" hidden="1" customHeight="1" x14ac:dyDescent="0.25">
      <c r="B3825" s="13" t="s">
        <v>556</v>
      </c>
      <c r="C3825" s="13" t="s">
        <v>19027</v>
      </c>
      <c r="D3825" s="12" t="s">
        <v>10678</v>
      </c>
      <c r="E3825" s="13" t="s">
        <v>580</v>
      </c>
      <c r="F3825" s="681">
        <v>45.18</v>
      </c>
    </row>
    <row r="3826" spans="2:6" ht="15.75" hidden="1" customHeight="1" x14ac:dyDescent="0.25">
      <c r="B3826" s="13" t="s">
        <v>556</v>
      </c>
      <c r="C3826" s="13" t="s">
        <v>19028</v>
      </c>
      <c r="D3826" s="12" t="s">
        <v>11012</v>
      </c>
      <c r="E3826" s="13" t="s">
        <v>580</v>
      </c>
      <c r="F3826" s="681">
        <v>0.6</v>
      </c>
    </row>
    <row r="3827" spans="2:6" ht="15.75" hidden="1" customHeight="1" x14ac:dyDescent="0.25">
      <c r="B3827" s="13" t="s">
        <v>556</v>
      </c>
      <c r="C3827" s="13" t="s">
        <v>19029</v>
      </c>
      <c r="D3827" s="12" t="s">
        <v>11016</v>
      </c>
      <c r="E3827" s="13" t="s">
        <v>580</v>
      </c>
      <c r="F3827" s="681">
        <v>1.31</v>
      </c>
    </row>
    <row r="3828" spans="2:6" ht="15.75" hidden="1" customHeight="1" x14ac:dyDescent="0.25">
      <c r="B3828" s="13" t="s">
        <v>556</v>
      </c>
      <c r="C3828" s="13" t="s">
        <v>19030</v>
      </c>
      <c r="D3828" s="12" t="s">
        <v>11009</v>
      </c>
      <c r="E3828" s="13" t="s">
        <v>580</v>
      </c>
      <c r="F3828" s="681">
        <v>1.1200000000000001</v>
      </c>
    </row>
    <row r="3829" spans="2:6" ht="15.75" hidden="1" customHeight="1" x14ac:dyDescent="0.25">
      <c r="B3829" s="13" t="s">
        <v>556</v>
      </c>
      <c r="C3829" s="13" t="s">
        <v>19031</v>
      </c>
      <c r="D3829" s="12" t="s">
        <v>11014</v>
      </c>
      <c r="E3829" s="13" t="s">
        <v>580</v>
      </c>
      <c r="F3829" s="681">
        <v>0.25</v>
      </c>
    </row>
    <row r="3830" spans="2:6" ht="15.75" hidden="1" customHeight="1" x14ac:dyDescent="0.25">
      <c r="B3830" s="13" t="s">
        <v>556</v>
      </c>
      <c r="C3830" s="13" t="s">
        <v>19032</v>
      </c>
      <c r="D3830" s="12" t="s">
        <v>19033</v>
      </c>
      <c r="E3830" s="13" t="s">
        <v>585</v>
      </c>
      <c r="F3830" s="681">
        <v>3832.08</v>
      </c>
    </row>
    <row r="3831" spans="2:6" ht="15.75" hidden="1" customHeight="1" x14ac:dyDescent="0.25">
      <c r="B3831" s="13" t="s">
        <v>556</v>
      </c>
      <c r="C3831" s="13" t="s">
        <v>19034</v>
      </c>
      <c r="D3831" s="12" t="s">
        <v>19035</v>
      </c>
      <c r="E3831" s="13" t="s">
        <v>580</v>
      </c>
      <c r="F3831" s="681">
        <v>86.11</v>
      </c>
    </row>
    <row r="3832" spans="2:6" ht="15.75" hidden="1" customHeight="1" x14ac:dyDescent="0.25">
      <c r="B3832" s="13" t="s">
        <v>556</v>
      </c>
      <c r="C3832" s="13" t="s">
        <v>19036</v>
      </c>
      <c r="D3832" s="12" t="s">
        <v>19037</v>
      </c>
      <c r="E3832" s="13" t="s">
        <v>580</v>
      </c>
      <c r="F3832" s="681">
        <v>631.04999999999995</v>
      </c>
    </row>
    <row r="3833" spans="2:6" ht="15.75" hidden="1" customHeight="1" x14ac:dyDescent="0.25">
      <c r="B3833" s="13" t="s">
        <v>556</v>
      </c>
      <c r="C3833" s="13" t="s">
        <v>19038</v>
      </c>
      <c r="D3833" s="12" t="s">
        <v>19039</v>
      </c>
      <c r="E3833" s="13" t="s">
        <v>580</v>
      </c>
      <c r="F3833" s="681">
        <v>276.8</v>
      </c>
    </row>
    <row r="3834" spans="2:6" ht="15.75" hidden="1" customHeight="1" x14ac:dyDescent="0.25">
      <c r="B3834" s="13" t="s">
        <v>556</v>
      </c>
      <c r="C3834" s="13" t="s">
        <v>19040</v>
      </c>
      <c r="D3834" s="12" t="s">
        <v>19041</v>
      </c>
      <c r="E3834" s="13" t="s">
        <v>580</v>
      </c>
      <c r="F3834" s="681">
        <v>2176.52</v>
      </c>
    </row>
    <row r="3835" spans="2:6" ht="15.75" hidden="1" customHeight="1" x14ac:dyDescent="0.25">
      <c r="B3835" s="13" t="s">
        <v>556</v>
      </c>
      <c r="C3835" s="13" t="s">
        <v>19042</v>
      </c>
      <c r="D3835" s="12" t="s">
        <v>19043</v>
      </c>
      <c r="E3835" s="13" t="s">
        <v>580</v>
      </c>
      <c r="F3835" s="681">
        <v>1977.63</v>
      </c>
    </row>
    <row r="3836" spans="2:6" ht="15.75" hidden="1" customHeight="1" x14ac:dyDescent="0.25">
      <c r="B3836" s="13" t="s">
        <v>556</v>
      </c>
      <c r="C3836" s="13" t="s">
        <v>19044</v>
      </c>
      <c r="D3836" s="12" t="s">
        <v>19045</v>
      </c>
      <c r="E3836" s="13" t="s">
        <v>580</v>
      </c>
      <c r="F3836" s="681">
        <v>2405.14</v>
      </c>
    </row>
    <row r="3837" spans="2:6" ht="15.75" hidden="1" customHeight="1" x14ac:dyDescent="0.25">
      <c r="B3837" s="13" t="s">
        <v>556</v>
      </c>
      <c r="C3837" s="13" t="s">
        <v>19046</v>
      </c>
      <c r="D3837" s="12" t="s">
        <v>19047</v>
      </c>
      <c r="E3837" s="13" t="s">
        <v>580</v>
      </c>
      <c r="F3837" s="681">
        <v>98.13</v>
      </c>
    </row>
    <row r="3838" spans="2:6" ht="15.75" hidden="1" customHeight="1" x14ac:dyDescent="0.25">
      <c r="B3838" s="13" t="s">
        <v>556</v>
      </c>
      <c r="C3838" s="13" t="s">
        <v>19048</v>
      </c>
      <c r="D3838" s="12" t="s">
        <v>10831</v>
      </c>
      <c r="E3838" s="13" t="s">
        <v>580</v>
      </c>
      <c r="F3838" s="681">
        <v>5.15</v>
      </c>
    </row>
    <row r="3839" spans="2:6" ht="15.75" hidden="1" customHeight="1" x14ac:dyDescent="0.25">
      <c r="B3839" s="13" t="s">
        <v>556</v>
      </c>
      <c r="C3839" s="13" t="s">
        <v>19049</v>
      </c>
      <c r="D3839" s="12" t="s">
        <v>19050</v>
      </c>
      <c r="E3839" s="13" t="s">
        <v>580</v>
      </c>
      <c r="F3839" s="681">
        <v>163</v>
      </c>
    </row>
    <row r="3840" spans="2:6" ht="15.75" hidden="1" customHeight="1" x14ac:dyDescent="0.25">
      <c r="B3840" s="13" t="s">
        <v>556</v>
      </c>
      <c r="C3840" s="13" t="s">
        <v>19051</v>
      </c>
      <c r="D3840" s="12" t="s">
        <v>19052</v>
      </c>
      <c r="E3840" s="13" t="s">
        <v>580</v>
      </c>
      <c r="F3840" s="681">
        <v>315.76</v>
      </c>
    </row>
    <row r="3841" spans="2:6" ht="15.75" hidden="1" customHeight="1" x14ac:dyDescent="0.25">
      <c r="B3841" s="13" t="s">
        <v>556</v>
      </c>
      <c r="C3841" s="13" t="s">
        <v>19053</v>
      </c>
      <c r="D3841" s="12" t="s">
        <v>19054</v>
      </c>
      <c r="E3841" s="13" t="s">
        <v>580</v>
      </c>
      <c r="F3841" s="681">
        <v>656.13</v>
      </c>
    </row>
    <row r="3842" spans="2:6" ht="15.75" hidden="1" customHeight="1" x14ac:dyDescent="0.25">
      <c r="B3842" s="13" t="s">
        <v>556</v>
      </c>
      <c r="C3842" s="13" t="s">
        <v>19055</v>
      </c>
      <c r="D3842" s="12" t="s">
        <v>19056</v>
      </c>
      <c r="E3842" s="13" t="s">
        <v>580</v>
      </c>
      <c r="F3842" s="681">
        <v>1034.43</v>
      </c>
    </row>
    <row r="3843" spans="2:6" ht="15.75" hidden="1" customHeight="1" x14ac:dyDescent="0.25">
      <c r="B3843" s="13" t="s">
        <v>556</v>
      </c>
      <c r="C3843" s="13" t="s">
        <v>12818</v>
      </c>
      <c r="D3843" s="12" t="s">
        <v>19057</v>
      </c>
      <c r="E3843" s="13" t="s">
        <v>580</v>
      </c>
      <c r="F3843" s="681">
        <v>123.02</v>
      </c>
    </row>
    <row r="3844" spans="2:6" ht="15.75" hidden="1" customHeight="1" x14ac:dyDescent="0.25">
      <c r="B3844" s="13" t="s">
        <v>556</v>
      </c>
      <c r="C3844" s="13" t="s">
        <v>19058</v>
      </c>
      <c r="D3844" s="12" t="s">
        <v>19059</v>
      </c>
      <c r="E3844" s="13" t="s">
        <v>580</v>
      </c>
      <c r="F3844" s="681">
        <v>225.54</v>
      </c>
    </row>
    <row r="3845" spans="2:6" ht="15.75" hidden="1" customHeight="1" x14ac:dyDescent="0.25">
      <c r="B3845" s="13" t="s">
        <v>556</v>
      </c>
      <c r="C3845" s="13" t="s">
        <v>19060</v>
      </c>
      <c r="D3845" s="12" t="s">
        <v>19061</v>
      </c>
      <c r="E3845" s="13" t="s">
        <v>580</v>
      </c>
      <c r="F3845" s="681">
        <v>394.7</v>
      </c>
    </row>
    <row r="3846" spans="2:6" ht="15.75" hidden="1" customHeight="1" x14ac:dyDescent="0.25">
      <c r="B3846" s="13" t="s">
        <v>556</v>
      </c>
      <c r="C3846" s="13" t="s">
        <v>19062</v>
      </c>
      <c r="D3846" s="12" t="s">
        <v>19063</v>
      </c>
      <c r="E3846" s="13" t="s">
        <v>580</v>
      </c>
      <c r="F3846" s="681">
        <v>715.59</v>
      </c>
    </row>
    <row r="3847" spans="2:6" ht="15.75" hidden="1" customHeight="1" x14ac:dyDescent="0.25">
      <c r="B3847" s="13" t="s">
        <v>556</v>
      </c>
      <c r="C3847" s="13" t="s">
        <v>19064</v>
      </c>
      <c r="D3847" s="12" t="s">
        <v>19065</v>
      </c>
      <c r="E3847" s="13" t="s">
        <v>580</v>
      </c>
      <c r="F3847" s="681">
        <v>1281.51</v>
      </c>
    </row>
    <row r="3848" spans="2:6" ht="15.75" hidden="1" customHeight="1" x14ac:dyDescent="0.25">
      <c r="B3848" s="13" t="s">
        <v>556</v>
      </c>
      <c r="C3848" s="13" t="s">
        <v>19066</v>
      </c>
      <c r="D3848" s="12" t="s">
        <v>19067</v>
      </c>
      <c r="E3848" s="13" t="s">
        <v>580</v>
      </c>
      <c r="F3848" s="681">
        <v>574.11</v>
      </c>
    </row>
    <row r="3849" spans="2:6" ht="15.75" hidden="1" customHeight="1" x14ac:dyDescent="0.25">
      <c r="B3849" s="13" t="s">
        <v>556</v>
      </c>
      <c r="C3849" s="13" t="s">
        <v>19068</v>
      </c>
      <c r="D3849" s="12" t="s">
        <v>10827</v>
      </c>
      <c r="E3849" s="13" t="s">
        <v>580</v>
      </c>
      <c r="F3849" s="681">
        <v>22.74</v>
      </c>
    </row>
    <row r="3850" spans="2:6" ht="15.75" hidden="1" customHeight="1" x14ac:dyDescent="0.25">
      <c r="B3850" s="13" t="s">
        <v>556</v>
      </c>
      <c r="C3850" s="13" t="s">
        <v>19069</v>
      </c>
      <c r="D3850" s="12" t="s">
        <v>19070</v>
      </c>
      <c r="E3850" s="13" t="s">
        <v>580</v>
      </c>
      <c r="F3850" s="681">
        <v>495.17</v>
      </c>
    </row>
    <row r="3851" spans="2:6" ht="15.75" hidden="1" customHeight="1" x14ac:dyDescent="0.25">
      <c r="B3851" s="13" t="s">
        <v>556</v>
      </c>
      <c r="C3851" s="13" t="s">
        <v>19071</v>
      </c>
      <c r="D3851" s="12" t="s">
        <v>19072</v>
      </c>
      <c r="E3851" s="13" t="s">
        <v>580</v>
      </c>
      <c r="F3851" s="681">
        <v>184.53</v>
      </c>
    </row>
    <row r="3852" spans="2:6" ht="15.75" hidden="1" customHeight="1" x14ac:dyDescent="0.25">
      <c r="B3852" s="13" t="s">
        <v>556</v>
      </c>
      <c r="C3852" s="13" t="s">
        <v>19073</v>
      </c>
      <c r="D3852" s="12" t="s">
        <v>19074</v>
      </c>
      <c r="E3852" s="13" t="s">
        <v>580</v>
      </c>
      <c r="F3852" s="681">
        <v>246.05</v>
      </c>
    </row>
    <row r="3853" spans="2:6" ht="15.75" hidden="1" customHeight="1" x14ac:dyDescent="0.25">
      <c r="B3853" s="13" t="s">
        <v>556</v>
      </c>
      <c r="C3853" s="13" t="s">
        <v>19075</v>
      </c>
      <c r="D3853" s="12" t="s">
        <v>19076</v>
      </c>
      <c r="E3853" s="13" t="s">
        <v>580</v>
      </c>
      <c r="F3853" s="681">
        <v>322.94</v>
      </c>
    </row>
    <row r="3854" spans="2:6" ht="15.75" hidden="1" customHeight="1" x14ac:dyDescent="0.25">
      <c r="B3854" s="13" t="s">
        <v>556</v>
      </c>
      <c r="C3854" s="13" t="s">
        <v>19077</v>
      </c>
      <c r="D3854" s="12" t="s">
        <v>19078</v>
      </c>
      <c r="E3854" s="13" t="s">
        <v>580</v>
      </c>
      <c r="F3854" s="681">
        <v>445.96</v>
      </c>
    </row>
    <row r="3855" spans="2:6" ht="15.75" hidden="1" customHeight="1" x14ac:dyDescent="0.25">
      <c r="B3855" s="13" t="s">
        <v>556</v>
      </c>
      <c r="C3855" s="13" t="s">
        <v>19079</v>
      </c>
      <c r="D3855" s="12" t="s">
        <v>19080</v>
      </c>
      <c r="E3855" s="13" t="s">
        <v>580</v>
      </c>
      <c r="F3855" s="681">
        <v>615.12</v>
      </c>
    </row>
    <row r="3856" spans="2:6" ht="15.75" hidden="1" customHeight="1" x14ac:dyDescent="0.25">
      <c r="B3856" s="13" t="s">
        <v>556</v>
      </c>
      <c r="C3856" s="13" t="s">
        <v>19081</v>
      </c>
      <c r="D3856" s="12" t="s">
        <v>19082</v>
      </c>
      <c r="E3856" s="13" t="s">
        <v>580</v>
      </c>
      <c r="F3856" s="681">
        <v>584.36</v>
      </c>
    </row>
    <row r="3857" spans="2:6" ht="15.75" hidden="1" customHeight="1" x14ac:dyDescent="0.25">
      <c r="B3857" s="13" t="s">
        <v>556</v>
      </c>
      <c r="C3857" s="13" t="s">
        <v>19083</v>
      </c>
      <c r="D3857" s="12" t="s">
        <v>19084</v>
      </c>
      <c r="E3857" s="13" t="s">
        <v>580</v>
      </c>
      <c r="F3857" s="681">
        <v>717.64</v>
      </c>
    </row>
    <row r="3858" spans="2:6" ht="15.75" hidden="1" customHeight="1" x14ac:dyDescent="0.25">
      <c r="B3858" s="13" t="s">
        <v>556</v>
      </c>
      <c r="C3858" s="13" t="s">
        <v>19085</v>
      </c>
      <c r="D3858" s="12" t="s">
        <v>19086</v>
      </c>
      <c r="E3858" s="13" t="s">
        <v>580</v>
      </c>
      <c r="F3858" s="681">
        <v>1004.7</v>
      </c>
    </row>
    <row r="3859" spans="2:6" ht="15.75" hidden="1" customHeight="1" x14ac:dyDescent="0.25">
      <c r="B3859" s="13" t="s">
        <v>556</v>
      </c>
      <c r="C3859" s="13" t="s">
        <v>19087</v>
      </c>
      <c r="D3859" s="12" t="s">
        <v>9997</v>
      </c>
      <c r="E3859" s="13" t="s">
        <v>2193</v>
      </c>
      <c r="F3859" s="681">
        <v>0.06</v>
      </c>
    </row>
    <row r="3860" spans="2:6" ht="15.75" hidden="1" customHeight="1" x14ac:dyDescent="0.25">
      <c r="B3860" s="13" t="s">
        <v>556</v>
      </c>
      <c r="C3860" s="13" t="s">
        <v>19088</v>
      </c>
      <c r="D3860" s="12" t="s">
        <v>9999</v>
      </c>
      <c r="E3860" s="13" t="s">
        <v>2193</v>
      </c>
      <c r="F3860" s="681">
        <v>0.44</v>
      </c>
    </row>
    <row r="3861" spans="2:6" ht="15.75" hidden="1" customHeight="1" x14ac:dyDescent="0.25">
      <c r="B3861" s="13" t="s">
        <v>556</v>
      </c>
      <c r="C3861" s="13" t="s">
        <v>19089</v>
      </c>
      <c r="D3861" s="12" t="s">
        <v>10812</v>
      </c>
      <c r="E3861" s="13" t="s">
        <v>580</v>
      </c>
      <c r="F3861" s="681">
        <v>11.24</v>
      </c>
    </row>
    <row r="3862" spans="2:6" ht="15.75" hidden="1" customHeight="1" x14ac:dyDescent="0.25">
      <c r="B3862" s="13" t="s">
        <v>556</v>
      </c>
      <c r="C3862" s="13" t="s">
        <v>19090</v>
      </c>
      <c r="D3862" s="12" t="s">
        <v>10001</v>
      </c>
      <c r="E3862" s="13" t="s">
        <v>2193</v>
      </c>
      <c r="F3862" s="681">
        <v>0.86</v>
      </c>
    </row>
    <row r="3863" spans="2:6" ht="15.75" hidden="1" customHeight="1" x14ac:dyDescent="0.25">
      <c r="B3863" s="13" t="s">
        <v>556</v>
      </c>
      <c r="C3863" s="13" t="s">
        <v>19091</v>
      </c>
      <c r="D3863" s="12" t="s">
        <v>10003</v>
      </c>
      <c r="E3863" s="13" t="s">
        <v>2193</v>
      </c>
      <c r="F3863" s="681">
        <v>0.31</v>
      </c>
    </row>
    <row r="3864" spans="2:6" ht="15.75" hidden="1" customHeight="1" x14ac:dyDescent="0.25">
      <c r="B3864" s="13" t="s">
        <v>556</v>
      </c>
      <c r="C3864" s="13" t="s">
        <v>19092</v>
      </c>
      <c r="D3864" s="12" t="s">
        <v>10007</v>
      </c>
      <c r="E3864" s="13" t="s">
        <v>2193</v>
      </c>
      <c r="F3864" s="681">
        <v>0.01</v>
      </c>
    </row>
    <row r="3865" spans="2:6" ht="15.75" hidden="1" customHeight="1" x14ac:dyDescent="0.25">
      <c r="B3865" s="13" t="s">
        <v>556</v>
      </c>
      <c r="C3865" s="13" t="s">
        <v>19093</v>
      </c>
      <c r="D3865" s="12" t="s">
        <v>10005</v>
      </c>
      <c r="E3865" s="13" t="s">
        <v>2193</v>
      </c>
      <c r="F3865" s="681">
        <v>0.08</v>
      </c>
    </row>
    <row r="3866" spans="2:6" ht="15.75" hidden="1" customHeight="1" x14ac:dyDescent="0.25">
      <c r="B3866" s="13" t="s">
        <v>556</v>
      </c>
      <c r="C3866" s="13" t="s">
        <v>19094</v>
      </c>
      <c r="D3866" s="12" t="s">
        <v>10009</v>
      </c>
      <c r="E3866" s="13" t="s">
        <v>2193</v>
      </c>
      <c r="F3866" s="681">
        <v>0.01</v>
      </c>
    </row>
    <row r="3867" spans="2:6" ht="15.75" hidden="1" customHeight="1" x14ac:dyDescent="0.25">
      <c r="B3867" s="13" t="s">
        <v>556</v>
      </c>
      <c r="C3867" s="13" t="s">
        <v>19095</v>
      </c>
      <c r="D3867" s="12" t="s">
        <v>10011</v>
      </c>
      <c r="E3867" s="13" t="s">
        <v>2193</v>
      </c>
      <c r="F3867" s="681">
        <v>0.78</v>
      </c>
    </row>
    <row r="3868" spans="2:6" ht="15.75" hidden="1" customHeight="1" x14ac:dyDescent="0.25">
      <c r="B3868" s="13" t="s">
        <v>556</v>
      </c>
      <c r="C3868" s="13" t="s">
        <v>19096</v>
      </c>
      <c r="D3868" s="12" t="s">
        <v>10013</v>
      </c>
      <c r="E3868" s="13" t="s">
        <v>2193</v>
      </c>
      <c r="F3868" s="681">
        <v>2.0499999999999998</v>
      </c>
    </row>
    <row r="3869" spans="2:6" ht="15.75" hidden="1" customHeight="1" x14ac:dyDescent="0.25">
      <c r="B3869" s="13" t="s">
        <v>556</v>
      </c>
      <c r="C3869" s="13" t="s">
        <v>19097</v>
      </c>
      <c r="D3869" s="12" t="s">
        <v>10015</v>
      </c>
      <c r="E3869" s="13" t="s">
        <v>2193</v>
      </c>
      <c r="F3869" s="681">
        <v>0.61</v>
      </c>
    </row>
    <row r="3870" spans="2:6" ht="15.75" hidden="1" customHeight="1" x14ac:dyDescent="0.25">
      <c r="B3870" s="13" t="s">
        <v>556</v>
      </c>
      <c r="C3870" s="13" t="s">
        <v>19098</v>
      </c>
      <c r="D3870" s="12" t="s">
        <v>10017</v>
      </c>
      <c r="E3870" s="13" t="s">
        <v>2193</v>
      </c>
      <c r="F3870" s="681">
        <v>1.21</v>
      </c>
    </row>
    <row r="3871" spans="2:6" ht="15.75" hidden="1" customHeight="1" x14ac:dyDescent="0.25">
      <c r="B3871" s="13" t="s">
        <v>556</v>
      </c>
      <c r="C3871" s="13" t="s">
        <v>19099</v>
      </c>
      <c r="D3871" s="12" t="s">
        <v>10019</v>
      </c>
      <c r="E3871" s="13" t="s">
        <v>2193</v>
      </c>
      <c r="F3871" s="681">
        <v>0.05</v>
      </c>
    </row>
    <row r="3872" spans="2:6" ht="15.75" hidden="1" customHeight="1" x14ac:dyDescent="0.25">
      <c r="B3872" s="13" t="s">
        <v>556</v>
      </c>
      <c r="C3872" s="13" t="s">
        <v>19100</v>
      </c>
      <c r="D3872" s="12" t="s">
        <v>9998</v>
      </c>
      <c r="E3872" s="13" t="s">
        <v>6214</v>
      </c>
      <c r="F3872" s="681">
        <v>11.14</v>
      </c>
    </row>
    <row r="3873" spans="2:6" ht="15.75" hidden="1" customHeight="1" x14ac:dyDescent="0.25">
      <c r="B3873" s="13" t="s">
        <v>556</v>
      </c>
      <c r="C3873" s="13" t="s">
        <v>19101</v>
      </c>
      <c r="D3873" s="12" t="s">
        <v>10000</v>
      </c>
      <c r="E3873" s="13" t="s">
        <v>6214</v>
      </c>
      <c r="F3873" s="681">
        <v>82.31</v>
      </c>
    </row>
    <row r="3874" spans="2:6" ht="15.75" hidden="1" customHeight="1" x14ac:dyDescent="0.25">
      <c r="B3874" s="13" t="s">
        <v>556</v>
      </c>
      <c r="C3874" s="13" t="s">
        <v>19102</v>
      </c>
      <c r="D3874" s="12" t="s">
        <v>10002</v>
      </c>
      <c r="E3874" s="13" t="s">
        <v>6214</v>
      </c>
      <c r="F3874" s="681">
        <v>161.72999999999999</v>
      </c>
    </row>
    <row r="3875" spans="2:6" ht="15.75" hidden="1" customHeight="1" x14ac:dyDescent="0.25">
      <c r="B3875" s="13" t="s">
        <v>556</v>
      </c>
      <c r="C3875" s="13" t="s">
        <v>19103</v>
      </c>
      <c r="D3875" s="12" t="s">
        <v>10004</v>
      </c>
      <c r="E3875" s="13" t="s">
        <v>6214</v>
      </c>
      <c r="F3875" s="681">
        <v>59.01</v>
      </c>
    </row>
    <row r="3876" spans="2:6" ht="15.75" hidden="1" customHeight="1" x14ac:dyDescent="0.25">
      <c r="B3876" s="13" t="s">
        <v>556</v>
      </c>
      <c r="C3876" s="13" t="s">
        <v>19104</v>
      </c>
      <c r="D3876" s="12" t="s">
        <v>10008</v>
      </c>
      <c r="E3876" s="13" t="s">
        <v>6214</v>
      </c>
      <c r="F3876" s="681">
        <v>2.35</v>
      </c>
    </row>
    <row r="3877" spans="2:6" ht="15.75" hidden="1" customHeight="1" x14ac:dyDescent="0.25">
      <c r="B3877" s="13" t="s">
        <v>556</v>
      </c>
      <c r="C3877" s="13" t="s">
        <v>19105</v>
      </c>
      <c r="D3877" s="12" t="s">
        <v>10006</v>
      </c>
      <c r="E3877" s="13" t="s">
        <v>6214</v>
      </c>
      <c r="F3877" s="681">
        <v>15.46</v>
      </c>
    </row>
    <row r="3878" spans="2:6" ht="15.75" hidden="1" customHeight="1" x14ac:dyDescent="0.25">
      <c r="B3878" s="13" t="s">
        <v>556</v>
      </c>
      <c r="C3878" s="13" t="s">
        <v>19106</v>
      </c>
      <c r="D3878" s="12" t="s">
        <v>10010</v>
      </c>
      <c r="E3878" s="13" t="s">
        <v>6214</v>
      </c>
      <c r="F3878" s="681">
        <v>0.01</v>
      </c>
    </row>
    <row r="3879" spans="2:6" ht="15.75" hidden="1" customHeight="1" x14ac:dyDescent="0.25">
      <c r="B3879" s="13" t="s">
        <v>556</v>
      </c>
      <c r="C3879" s="13" t="s">
        <v>19107</v>
      </c>
      <c r="D3879" s="12" t="s">
        <v>10012</v>
      </c>
      <c r="E3879" s="13" t="s">
        <v>6214</v>
      </c>
      <c r="F3879" s="681">
        <v>147.87</v>
      </c>
    </row>
    <row r="3880" spans="2:6" ht="15.75" hidden="1" customHeight="1" x14ac:dyDescent="0.25">
      <c r="B3880" s="13" t="s">
        <v>556</v>
      </c>
      <c r="C3880" s="13" t="s">
        <v>19108</v>
      </c>
      <c r="D3880" s="12" t="s">
        <v>10014</v>
      </c>
      <c r="E3880" s="13" t="s">
        <v>6214</v>
      </c>
      <c r="F3880" s="681">
        <v>387.36</v>
      </c>
    </row>
    <row r="3881" spans="2:6" ht="15.75" hidden="1" customHeight="1" x14ac:dyDescent="0.25">
      <c r="B3881" s="13" t="s">
        <v>556</v>
      </c>
      <c r="C3881" s="13" t="s">
        <v>19109</v>
      </c>
      <c r="D3881" s="12" t="s">
        <v>10016</v>
      </c>
      <c r="E3881" s="13" t="s">
        <v>6214</v>
      </c>
      <c r="F3881" s="681">
        <v>114.77</v>
      </c>
    </row>
    <row r="3882" spans="2:6" ht="15.75" hidden="1" customHeight="1" x14ac:dyDescent="0.25">
      <c r="B3882" s="13" t="s">
        <v>556</v>
      </c>
      <c r="C3882" s="13" t="s">
        <v>19110</v>
      </c>
      <c r="D3882" s="12" t="s">
        <v>10018</v>
      </c>
      <c r="E3882" s="13" t="s">
        <v>6214</v>
      </c>
      <c r="F3882" s="681">
        <v>228.92</v>
      </c>
    </row>
    <row r="3883" spans="2:6" ht="15.75" hidden="1" customHeight="1" x14ac:dyDescent="0.25">
      <c r="B3883" s="13" t="s">
        <v>556</v>
      </c>
      <c r="C3883" s="13" t="s">
        <v>19111</v>
      </c>
      <c r="D3883" s="12" t="s">
        <v>10020</v>
      </c>
      <c r="E3883" s="13" t="s">
        <v>6214</v>
      </c>
      <c r="F3883" s="681">
        <v>9.89</v>
      </c>
    </row>
    <row r="3884" spans="2:6" ht="15.75" hidden="1" customHeight="1" x14ac:dyDescent="0.25">
      <c r="B3884" s="13" t="s">
        <v>556</v>
      </c>
      <c r="C3884" s="13" t="s">
        <v>19112</v>
      </c>
      <c r="D3884" s="12" t="s">
        <v>9892</v>
      </c>
      <c r="E3884" s="13" t="s">
        <v>2193</v>
      </c>
      <c r="F3884" s="681">
        <v>0.81</v>
      </c>
    </row>
    <row r="3885" spans="2:6" ht="15.75" hidden="1" customHeight="1" x14ac:dyDescent="0.25">
      <c r="B3885" s="13" t="s">
        <v>556</v>
      </c>
      <c r="C3885" s="13" t="s">
        <v>19113</v>
      </c>
      <c r="D3885" s="12" t="s">
        <v>9894</v>
      </c>
      <c r="E3885" s="13" t="s">
        <v>2193</v>
      </c>
      <c r="F3885" s="681">
        <v>1.43</v>
      </c>
    </row>
    <row r="3886" spans="2:6" ht="15.75" hidden="1" customHeight="1" x14ac:dyDescent="0.25">
      <c r="B3886" s="13" t="s">
        <v>556</v>
      </c>
      <c r="C3886" s="13" t="s">
        <v>19114</v>
      </c>
      <c r="D3886" s="12" t="s">
        <v>9896</v>
      </c>
      <c r="E3886" s="13" t="s">
        <v>2193</v>
      </c>
      <c r="F3886" s="681">
        <v>1.26</v>
      </c>
    </row>
    <row r="3887" spans="2:6" ht="15.75" hidden="1" customHeight="1" x14ac:dyDescent="0.25">
      <c r="B3887" s="13" t="s">
        <v>556</v>
      </c>
      <c r="C3887" s="13" t="s">
        <v>19115</v>
      </c>
      <c r="D3887" s="12" t="s">
        <v>9898</v>
      </c>
      <c r="E3887" s="13" t="s">
        <v>2193</v>
      </c>
      <c r="F3887" s="681">
        <v>1.1299999999999999</v>
      </c>
    </row>
    <row r="3888" spans="2:6" ht="15.75" hidden="1" customHeight="1" x14ac:dyDescent="0.25">
      <c r="B3888" s="13" t="s">
        <v>556</v>
      </c>
      <c r="C3888" s="13" t="s">
        <v>19116</v>
      </c>
      <c r="D3888" s="12" t="s">
        <v>9902</v>
      </c>
      <c r="E3888" s="13" t="s">
        <v>2193</v>
      </c>
      <c r="F3888" s="681">
        <v>0.77</v>
      </c>
    </row>
    <row r="3889" spans="2:6" ht="15.75" hidden="1" customHeight="1" x14ac:dyDescent="0.25">
      <c r="B3889" s="13" t="s">
        <v>556</v>
      </c>
      <c r="C3889" s="13" t="s">
        <v>19117</v>
      </c>
      <c r="D3889" s="12" t="s">
        <v>9900</v>
      </c>
      <c r="E3889" s="13" t="s">
        <v>2193</v>
      </c>
      <c r="F3889" s="681">
        <v>1.28</v>
      </c>
    </row>
    <row r="3890" spans="2:6" ht="15.75" hidden="1" customHeight="1" x14ac:dyDescent="0.25">
      <c r="B3890" s="13" t="s">
        <v>556</v>
      </c>
      <c r="C3890" s="13" t="s">
        <v>19118</v>
      </c>
      <c r="D3890" s="12" t="s">
        <v>9904</v>
      </c>
      <c r="E3890" s="13" t="s">
        <v>2193</v>
      </c>
      <c r="F3890" s="681">
        <v>0.89</v>
      </c>
    </row>
    <row r="3891" spans="2:6" ht="15.75" hidden="1" customHeight="1" x14ac:dyDescent="0.25">
      <c r="B3891" s="13" t="s">
        <v>556</v>
      </c>
      <c r="C3891" s="13" t="s">
        <v>19119</v>
      </c>
      <c r="D3891" s="12" t="s">
        <v>9906</v>
      </c>
      <c r="E3891" s="13" t="s">
        <v>2193</v>
      </c>
      <c r="F3891" s="681">
        <v>1.31</v>
      </c>
    </row>
    <row r="3892" spans="2:6" ht="15.75" hidden="1" customHeight="1" x14ac:dyDescent="0.25">
      <c r="B3892" s="13" t="s">
        <v>556</v>
      </c>
      <c r="C3892" s="13" t="s">
        <v>19120</v>
      </c>
      <c r="D3892" s="12" t="s">
        <v>9908</v>
      </c>
      <c r="E3892" s="13" t="s">
        <v>2193</v>
      </c>
      <c r="F3892" s="681">
        <v>1.85</v>
      </c>
    </row>
    <row r="3893" spans="2:6" ht="15.75" hidden="1" customHeight="1" x14ac:dyDescent="0.25">
      <c r="B3893" s="13" t="s">
        <v>556</v>
      </c>
      <c r="C3893" s="13" t="s">
        <v>19121</v>
      </c>
      <c r="D3893" s="12" t="s">
        <v>9910</v>
      </c>
      <c r="E3893" s="13" t="s">
        <v>2193</v>
      </c>
      <c r="F3893" s="681">
        <v>1.39</v>
      </c>
    </row>
    <row r="3894" spans="2:6" ht="15.75" hidden="1" customHeight="1" x14ac:dyDescent="0.25">
      <c r="B3894" s="13" t="s">
        <v>556</v>
      </c>
      <c r="C3894" s="13" t="s">
        <v>19122</v>
      </c>
      <c r="D3894" s="12" t="s">
        <v>9912</v>
      </c>
      <c r="E3894" s="13" t="s">
        <v>2193</v>
      </c>
      <c r="F3894" s="681">
        <v>1.82</v>
      </c>
    </row>
    <row r="3895" spans="2:6" ht="15.75" hidden="1" customHeight="1" x14ac:dyDescent="0.25">
      <c r="B3895" s="13" t="s">
        <v>556</v>
      </c>
      <c r="C3895" s="13" t="s">
        <v>19123</v>
      </c>
      <c r="D3895" s="12" t="s">
        <v>9914</v>
      </c>
      <c r="E3895" s="13" t="s">
        <v>2193</v>
      </c>
      <c r="F3895" s="681">
        <v>0.74</v>
      </c>
    </row>
    <row r="3896" spans="2:6" ht="15.75" hidden="1" customHeight="1" x14ac:dyDescent="0.25">
      <c r="B3896" s="13" t="s">
        <v>556</v>
      </c>
      <c r="C3896" s="13" t="s">
        <v>19124</v>
      </c>
      <c r="D3896" s="12" t="s">
        <v>9893</v>
      </c>
      <c r="E3896" s="13" t="s">
        <v>6214</v>
      </c>
      <c r="F3896" s="681">
        <v>153.54</v>
      </c>
    </row>
    <row r="3897" spans="2:6" ht="15.75" hidden="1" customHeight="1" x14ac:dyDescent="0.25">
      <c r="B3897" s="13" t="s">
        <v>556</v>
      </c>
      <c r="C3897" s="13" t="s">
        <v>19125</v>
      </c>
      <c r="D3897" s="12" t="s">
        <v>9895</v>
      </c>
      <c r="E3897" s="13" t="s">
        <v>6214</v>
      </c>
      <c r="F3897" s="681">
        <v>270.51</v>
      </c>
    </row>
    <row r="3898" spans="2:6" ht="15.75" hidden="1" customHeight="1" x14ac:dyDescent="0.25">
      <c r="B3898" s="13" t="s">
        <v>556</v>
      </c>
      <c r="C3898" s="13" t="s">
        <v>19126</v>
      </c>
      <c r="D3898" s="12" t="s">
        <v>9897</v>
      </c>
      <c r="E3898" s="13" t="s">
        <v>6214</v>
      </c>
      <c r="F3898" s="681">
        <v>238.02</v>
      </c>
    </row>
    <row r="3899" spans="2:6" ht="15.75" hidden="1" customHeight="1" x14ac:dyDescent="0.25">
      <c r="B3899" s="13" t="s">
        <v>556</v>
      </c>
      <c r="C3899" s="13" t="s">
        <v>19127</v>
      </c>
      <c r="D3899" s="12" t="s">
        <v>9899</v>
      </c>
      <c r="E3899" s="13" t="s">
        <v>6214</v>
      </c>
      <c r="F3899" s="681">
        <v>212.45</v>
      </c>
    </row>
    <row r="3900" spans="2:6" ht="15.75" hidden="1" customHeight="1" x14ac:dyDescent="0.25">
      <c r="B3900" s="13" t="s">
        <v>556</v>
      </c>
      <c r="C3900" s="13" t="s">
        <v>19128</v>
      </c>
      <c r="D3900" s="12" t="s">
        <v>9903</v>
      </c>
      <c r="E3900" s="13" t="s">
        <v>6214</v>
      </c>
      <c r="F3900" s="681">
        <v>146</v>
      </c>
    </row>
    <row r="3901" spans="2:6" ht="15.75" hidden="1" customHeight="1" x14ac:dyDescent="0.25">
      <c r="B3901" s="13" t="s">
        <v>556</v>
      </c>
      <c r="C3901" s="13" t="s">
        <v>19129</v>
      </c>
      <c r="D3901" s="12" t="s">
        <v>9901</v>
      </c>
      <c r="E3901" s="13" t="s">
        <v>6214</v>
      </c>
      <c r="F3901" s="681">
        <v>241.99</v>
      </c>
    </row>
    <row r="3902" spans="2:6" ht="15.75" hidden="1" customHeight="1" x14ac:dyDescent="0.25">
      <c r="B3902" s="13" t="s">
        <v>556</v>
      </c>
      <c r="C3902" s="13" t="s">
        <v>19130</v>
      </c>
      <c r="D3902" s="12" t="s">
        <v>9005</v>
      </c>
      <c r="E3902" s="13" t="s">
        <v>580</v>
      </c>
      <c r="F3902" s="681">
        <v>0.7</v>
      </c>
    </row>
    <row r="3903" spans="2:6" ht="15.75" hidden="1" customHeight="1" x14ac:dyDescent="0.25">
      <c r="B3903" s="13" t="s">
        <v>556</v>
      </c>
      <c r="C3903" s="13" t="s">
        <v>19131</v>
      </c>
      <c r="D3903" s="12" t="s">
        <v>9905</v>
      </c>
      <c r="E3903" s="13" t="s">
        <v>6214</v>
      </c>
      <c r="F3903" s="681">
        <v>167.95</v>
      </c>
    </row>
    <row r="3904" spans="2:6" ht="15.75" hidden="1" customHeight="1" x14ac:dyDescent="0.25">
      <c r="B3904" s="13" t="s">
        <v>556</v>
      </c>
      <c r="C3904" s="13" t="s">
        <v>19132</v>
      </c>
      <c r="D3904" s="12" t="s">
        <v>9907</v>
      </c>
      <c r="E3904" s="13" t="s">
        <v>6214</v>
      </c>
      <c r="F3904" s="681">
        <v>247.11</v>
      </c>
    </row>
    <row r="3905" spans="2:6" ht="15.75" hidden="1" customHeight="1" x14ac:dyDescent="0.25">
      <c r="B3905" s="13" t="s">
        <v>556</v>
      </c>
      <c r="C3905" s="13" t="s">
        <v>19133</v>
      </c>
      <c r="D3905" s="12" t="s">
        <v>9909</v>
      </c>
      <c r="E3905" s="13" t="s">
        <v>6214</v>
      </c>
      <c r="F3905" s="681">
        <v>348.39</v>
      </c>
    </row>
    <row r="3906" spans="2:6" ht="15.75" hidden="1" customHeight="1" x14ac:dyDescent="0.25">
      <c r="B3906" s="13" t="s">
        <v>556</v>
      </c>
      <c r="C3906" s="13" t="s">
        <v>19134</v>
      </c>
      <c r="D3906" s="12" t="s">
        <v>9911</v>
      </c>
      <c r="E3906" s="13" t="s">
        <v>6214</v>
      </c>
      <c r="F3906" s="681">
        <v>261.93</v>
      </c>
    </row>
    <row r="3907" spans="2:6" ht="15.75" hidden="1" customHeight="1" x14ac:dyDescent="0.25">
      <c r="B3907" s="13" t="s">
        <v>556</v>
      </c>
      <c r="C3907" s="13" t="s">
        <v>19135</v>
      </c>
      <c r="D3907" s="12" t="s">
        <v>9913</v>
      </c>
      <c r="E3907" s="13" t="s">
        <v>6214</v>
      </c>
      <c r="F3907" s="681">
        <v>342.83</v>
      </c>
    </row>
    <row r="3908" spans="2:6" ht="15.75" hidden="1" customHeight="1" x14ac:dyDescent="0.25">
      <c r="B3908" s="13" t="s">
        <v>556</v>
      </c>
      <c r="C3908" s="13" t="s">
        <v>19136</v>
      </c>
      <c r="D3908" s="12" t="s">
        <v>9915</v>
      </c>
      <c r="E3908" s="13" t="s">
        <v>6214</v>
      </c>
      <c r="F3908" s="681">
        <v>138.97999999999999</v>
      </c>
    </row>
    <row r="3909" spans="2:6" ht="15.75" hidden="1" customHeight="1" x14ac:dyDescent="0.25">
      <c r="B3909" s="13" t="s">
        <v>556</v>
      </c>
      <c r="C3909" s="13" t="s">
        <v>19137</v>
      </c>
      <c r="D3909" s="12" t="s">
        <v>10832</v>
      </c>
      <c r="E3909" s="13" t="s">
        <v>580</v>
      </c>
      <c r="F3909" s="681">
        <v>18.489999999999998</v>
      </c>
    </row>
    <row r="3910" spans="2:6" ht="15.75" hidden="1" customHeight="1" x14ac:dyDescent="0.25">
      <c r="B3910" s="13" t="s">
        <v>556</v>
      </c>
      <c r="C3910" s="13" t="s">
        <v>19138</v>
      </c>
      <c r="D3910" s="12" t="s">
        <v>10859</v>
      </c>
      <c r="E3910" s="13" t="s">
        <v>580</v>
      </c>
      <c r="F3910" s="681">
        <v>52.17</v>
      </c>
    </row>
    <row r="3911" spans="2:6" ht="15.75" hidden="1" customHeight="1" x14ac:dyDescent="0.25">
      <c r="B3911" s="13" t="s">
        <v>556</v>
      </c>
      <c r="C3911" s="13" t="s">
        <v>19139</v>
      </c>
      <c r="D3911" s="12" t="s">
        <v>19140</v>
      </c>
      <c r="E3911" s="13" t="s">
        <v>580</v>
      </c>
      <c r="F3911" s="681">
        <v>158.76</v>
      </c>
    </row>
    <row r="3912" spans="2:6" ht="15.75" hidden="1" customHeight="1" x14ac:dyDescent="0.25">
      <c r="B3912" s="13" t="s">
        <v>556</v>
      </c>
      <c r="C3912" s="13" t="s">
        <v>19141</v>
      </c>
      <c r="D3912" s="12" t="s">
        <v>10807</v>
      </c>
      <c r="E3912" s="13" t="s">
        <v>580</v>
      </c>
      <c r="F3912" s="681">
        <v>0.28999999999999998</v>
      </c>
    </row>
    <row r="3913" spans="2:6" ht="15.75" hidden="1" customHeight="1" x14ac:dyDescent="0.25">
      <c r="B3913" s="13" t="s">
        <v>556</v>
      </c>
      <c r="C3913" s="13" t="s">
        <v>19142</v>
      </c>
      <c r="D3913" s="12" t="s">
        <v>9995</v>
      </c>
      <c r="E3913" s="13" t="s">
        <v>580</v>
      </c>
      <c r="F3913" s="681">
        <v>48.73</v>
      </c>
    </row>
    <row r="3914" spans="2:6" ht="15.75" hidden="1" customHeight="1" x14ac:dyDescent="0.25">
      <c r="B3914" s="13" t="s">
        <v>556</v>
      </c>
      <c r="C3914" s="13" t="s">
        <v>19143</v>
      </c>
      <c r="D3914" s="12" t="s">
        <v>9996</v>
      </c>
      <c r="E3914" s="13" t="s">
        <v>580</v>
      </c>
      <c r="F3914" s="681">
        <v>84.73</v>
      </c>
    </row>
    <row r="3915" spans="2:6" ht="15.75" hidden="1" customHeight="1" x14ac:dyDescent="0.25">
      <c r="B3915" s="13" t="s">
        <v>556</v>
      </c>
      <c r="C3915" s="13" t="s">
        <v>19144</v>
      </c>
      <c r="D3915" s="12" t="s">
        <v>10816</v>
      </c>
      <c r="E3915" s="13" t="s">
        <v>580</v>
      </c>
      <c r="F3915" s="681">
        <v>2.25</v>
      </c>
    </row>
    <row r="3916" spans="2:6" ht="15.75" hidden="1" customHeight="1" x14ac:dyDescent="0.25">
      <c r="B3916" s="13" t="s">
        <v>556</v>
      </c>
      <c r="C3916" s="13" t="s">
        <v>19145</v>
      </c>
      <c r="D3916" s="12" t="s">
        <v>10028</v>
      </c>
      <c r="E3916" s="13" t="s">
        <v>580</v>
      </c>
      <c r="F3916" s="681">
        <v>9.5</v>
      </c>
    </row>
    <row r="3917" spans="2:6" ht="15.75" hidden="1" customHeight="1" x14ac:dyDescent="0.25">
      <c r="B3917" s="13" t="s">
        <v>556</v>
      </c>
      <c r="C3917" s="13" t="s">
        <v>19146</v>
      </c>
      <c r="D3917" s="12" t="s">
        <v>10029</v>
      </c>
      <c r="E3917" s="13" t="s">
        <v>580</v>
      </c>
      <c r="F3917" s="681">
        <v>9.73</v>
      </c>
    </row>
    <row r="3918" spans="2:6" ht="15.75" hidden="1" customHeight="1" x14ac:dyDescent="0.25">
      <c r="B3918" s="13" t="s">
        <v>556</v>
      </c>
      <c r="C3918" s="13" t="s">
        <v>19147</v>
      </c>
      <c r="D3918" s="12" t="s">
        <v>10031</v>
      </c>
      <c r="E3918" s="13" t="s">
        <v>580</v>
      </c>
      <c r="F3918" s="681">
        <v>12.24</v>
      </c>
    </row>
    <row r="3919" spans="2:6" ht="15.75" hidden="1" customHeight="1" x14ac:dyDescent="0.25">
      <c r="B3919" s="13" t="s">
        <v>556</v>
      </c>
      <c r="C3919" s="13" t="s">
        <v>19148</v>
      </c>
      <c r="D3919" s="12" t="s">
        <v>9600</v>
      </c>
      <c r="E3919" s="13" t="s">
        <v>580</v>
      </c>
      <c r="F3919" s="681">
        <v>27.45</v>
      </c>
    </row>
    <row r="3920" spans="2:6" ht="15.75" hidden="1" customHeight="1" x14ac:dyDescent="0.25">
      <c r="B3920" s="13" t="s">
        <v>556</v>
      </c>
      <c r="C3920" s="13" t="s">
        <v>19149</v>
      </c>
      <c r="D3920" s="12" t="s">
        <v>9599</v>
      </c>
      <c r="E3920" s="13" t="s">
        <v>580</v>
      </c>
      <c r="F3920" s="681">
        <v>151.75</v>
      </c>
    </row>
    <row r="3921" spans="2:6" ht="15.75" hidden="1" customHeight="1" x14ac:dyDescent="0.25">
      <c r="B3921" s="13" t="s">
        <v>556</v>
      </c>
      <c r="C3921" s="13" t="s">
        <v>19150</v>
      </c>
      <c r="D3921" s="12" t="s">
        <v>11825</v>
      </c>
      <c r="E3921" s="13" t="s">
        <v>580</v>
      </c>
      <c r="F3921" s="681">
        <v>18.57</v>
      </c>
    </row>
    <row r="3922" spans="2:6" ht="15.75" hidden="1" customHeight="1" x14ac:dyDescent="0.25">
      <c r="B3922" s="13" t="s">
        <v>556</v>
      </c>
      <c r="C3922" s="13" t="s">
        <v>19151</v>
      </c>
      <c r="D3922" s="12" t="s">
        <v>11826</v>
      </c>
      <c r="E3922" s="13" t="s">
        <v>580</v>
      </c>
      <c r="F3922" s="681">
        <v>21.46</v>
      </c>
    </row>
    <row r="3923" spans="2:6" ht="15.75" hidden="1" customHeight="1" x14ac:dyDescent="0.25">
      <c r="B3923" s="13" t="s">
        <v>556</v>
      </c>
      <c r="C3923" s="13" t="s">
        <v>19152</v>
      </c>
      <c r="D3923" s="12" t="s">
        <v>19153</v>
      </c>
      <c r="E3923" s="13" t="s">
        <v>580</v>
      </c>
      <c r="F3923" s="681">
        <v>12.13</v>
      </c>
    </row>
    <row r="3924" spans="2:6" ht="15.75" hidden="1" customHeight="1" x14ac:dyDescent="0.25">
      <c r="B3924" s="13" t="s">
        <v>556</v>
      </c>
      <c r="C3924" s="13" t="s">
        <v>19154</v>
      </c>
      <c r="D3924" s="12" t="s">
        <v>11111</v>
      </c>
      <c r="E3924" s="13" t="s">
        <v>580</v>
      </c>
      <c r="F3924" s="681">
        <v>51.89</v>
      </c>
    </row>
    <row r="3925" spans="2:6" ht="15.75" hidden="1" customHeight="1" x14ac:dyDescent="0.25">
      <c r="B3925" s="13" t="s">
        <v>556</v>
      </c>
      <c r="C3925" s="13" t="s">
        <v>19155</v>
      </c>
      <c r="D3925" s="12" t="s">
        <v>11114</v>
      </c>
      <c r="E3925" s="13" t="s">
        <v>580</v>
      </c>
      <c r="F3925" s="681">
        <v>70.63</v>
      </c>
    </row>
    <row r="3926" spans="2:6" ht="15.75" hidden="1" customHeight="1" x14ac:dyDescent="0.25">
      <c r="B3926" s="13" t="s">
        <v>556</v>
      </c>
      <c r="C3926" s="13" t="s">
        <v>19156</v>
      </c>
      <c r="D3926" s="12" t="s">
        <v>9208</v>
      </c>
      <c r="E3926" s="13" t="s">
        <v>580</v>
      </c>
      <c r="F3926" s="681">
        <v>42.43</v>
      </c>
    </row>
    <row r="3927" spans="2:6" ht="15.75" hidden="1" customHeight="1" x14ac:dyDescent="0.25">
      <c r="B3927" s="13" t="s">
        <v>556</v>
      </c>
      <c r="C3927" s="13" t="s">
        <v>19157</v>
      </c>
      <c r="D3927" s="12" t="s">
        <v>10706</v>
      </c>
      <c r="E3927" s="13" t="s">
        <v>580</v>
      </c>
      <c r="F3927" s="681">
        <v>123.15</v>
      </c>
    </row>
    <row r="3928" spans="2:6" ht="15.75" hidden="1" customHeight="1" x14ac:dyDescent="0.25">
      <c r="B3928" s="13" t="s">
        <v>556</v>
      </c>
      <c r="C3928" s="13" t="s">
        <v>19158</v>
      </c>
      <c r="D3928" s="12" t="s">
        <v>11656</v>
      </c>
      <c r="E3928" s="13" t="s">
        <v>585</v>
      </c>
      <c r="F3928" s="681">
        <v>41.93</v>
      </c>
    </row>
    <row r="3929" spans="2:6" ht="15.75" hidden="1" customHeight="1" x14ac:dyDescent="0.25">
      <c r="B3929" s="13" t="s">
        <v>556</v>
      </c>
      <c r="C3929" s="13" t="s">
        <v>19159</v>
      </c>
      <c r="D3929" s="12" t="s">
        <v>10939</v>
      </c>
      <c r="E3929" s="13" t="s">
        <v>580</v>
      </c>
      <c r="F3929" s="681">
        <v>8.56</v>
      </c>
    </row>
    <row r="3930" spans="2:6" ht="15.75" hidden="1" customHeight="1" x14ac:dyDescent="0.25">
      <c r="B3930" s="13" t="s">
        <v>556</v>
      </c>
      <c r="C3930" s="13" t="s">
        <v>19160</v>
      </c>
      <c r="D3930" s="12" t="s">
        <v>9977</v>
      </c>
      <c r="E3930" s="13" t="s">
        <v>9561</v>
      </c>
      <c r="F3930" s="681">
        <v>118.98</v>
      </c>
    </row>
    <row r="3931" spans="2:6" ht="15.75" hidden="1" customHeight="1" x14ac:dyDescent="0.25">
      <c r="B3931" s="13" t="s">
        <v>556</v>
      </c>
      <c r="C3931" s="13" t="s">
        <v>19161</v>
      </c>
      <c r="D3931" s="12" t="s">
        <v>10623</v>
      </c>
      <c r="E3931" s="13" t="s">
        <v>580</v>
      </c>
      <c r="F3931" s="681">
        <v>55.04</v>
      </c>
    </row>
    <row r="3932" spans="2:6" ht="15.75" hidden="1" customHeight="1" x14ac:dyDescent="0.25">
      <c r="B3932" s="13" t="s">
        <v>556</v>
      </c>
      <c r="C3932" s="13" t="s">
        <v>19162</v>
      </c>
      <c r="D3932" s="12" t="s">
        <v>10621</v>
      </c>
      <c r="E3932" s="13" t="s">
        <v>580</v>
      </c>
      <c r="F3932" s="681">
        <v>38.03</v>
      </c>
    </row>
    <row r="3933" spans="2:6" ht="15.75" hidden="1" customHeight="1" x14ac:dyDescent="0.25">
      <c r="B3933" s="13" t="s">
        <v>556</v>
      </c>
      <c r="C3933" s="13" t="s">
        <v>19163</v>
      </c>
      <c r="D3933" s="12" t="s">
        <v>9987</v>
      </c>
      <c r="E3933" s="13" t="s">
        <v>9561</v>
      </c>
      <c r="F3933" s="681">
        <v>88.87</v>
      </c>
    </row>
    <row r="3934" spans="2:6" ht="15.75" hidden="1" customHeight="1" x14ac:dyDescent="0.25">
      <c r="B3934" s="13" t="s">
        <v>556</v>
      </c>
      <c r="C3934" s="13" t="s">
        <v>19164</v>
      </c>
      <c r="D3934" s="12" t="s">
        <v>9981</v>
      </c>
      <c r="E3934" s="13" t="s">
        <v>9561</v>
      </c>
      <c r="F3934" s="681">
        <v>118.49</v>
      </c>
    </row>
    <row r="3935" spans="2:6" ht="15.75" hidden="1" customHeight="1" x14ac:dyDescent="0.25">
      <c r="B3935" s="13" t="s">
        <v>556</v>
      </c>
      <c r="C3935" s="13" t="s">
        <v>19165</v>
      </c>
      <c r="D3935" s="12" t="s">
        <v>9969</v>
      </c>
      <c r="E3935" s="13" t="s">
        <v>9561</v>
      </c>
      <c r="F3935" s="681">
        <v>116.46</v>
      </c>
    </row>
    <row r="3936" spans="2:6" ht="15.75" hidden="1" customHeight="1" x14ac:dyDescent="0.25">
      <c r="B3936" s="13" t="s">
        <v>556</v>
      </c>
      <c r="C3936" s="13" t="s">
        <v>19166</v>
      </c>
      <c r="D3936" s="12" t="s">
        <v>9970</v>
      </c>
      <c r="E3936" s="13" t="s">
        <v>9561</v>
      </c>
      <c r="F3936" s="681">
        <v>96.42</v>
      </c>
    </row>
    <row r="3937" spans="2:6" ht="15.75" hidden="1" customHeight="1" x14ac:dyDescent="0.25">
      <c r="B3937" s="13" t="s">
        <v>556</v>
      </c>
      <c r="C3937" s="13" t="s">
        <v>19167</v>
      </c>
      <c r="D3937" s="12" t="s">
        <v>11316</v>
      </c>
      <c r="E3937" s="13" t="s">
        <v>585</v>
      </c>
      <c r="F3937" s="681">
        <v>17.41</v>
      </c>
    </row>
    <row r="3938" spans="2:6" ht="15.75" hidden="1" customHeight="1" x14ac:dyDescent="0.25">
      <c r="B3938" s="13" t="s">
        <v>556</v>
      </c>
      <c r="C3938" s="13" t="s">
        <v>19168</v>
      </c>
      <c r="D3938" s="12" t="s">
        <v>8609</v>
      </c>
      <c r="E3938" s="13" t="s">
        <v>517</v>
      </c>
      <c r="F3938" s="681">
        <v>7.65</v>
      </c>
    </row>
    <row r="3939" spans="2:6" ht="15.75" hidden="1" customHeight="1" x14ac:dyDescent="0.25">
      <c r="B3939" s="13" t="s">
        <v>556</v>
      </c>
      <c r="C3939" s="13" t="s">
        <v>19169</v>
      </c>
      <c r="D3939" s="12" t="s">
        <v>8611</v>
      </c>
      <c r="E3939" s="13" t="s">
        <v>823</v>
      </c>
      <c r="F3939" s="681">
        <v>17.88</v>
      </c>
    </row>
    <row r="3940" spans="2:6" ht="15.75" hidden="1" customHeight="1" x14ac:dyDescent="0.25">
      <c r="B3940" s="13" t="s">
        <v>556</v>
      </c>
      <c r="C3940" s="13" t="s">
        <v>19170</v>
      </c>
      <c r="D3940" s="12" t="s">
        <v>10378</v>
      </c>
      <c r="E3940" s="13" t="s">
        <v>580</v>
      </c>
      <c r="F3940" s="681">
        <v>1079.77</v>
      </c>
    </row>
    <row r="3941" spans="2:6" ht="15.75" hidden="1" customHeight="1" x14ac:dyDescent="0.25">
      <c r="B3941" s="13" t="s">
        <v>556</v>
      </c>
      <c r="C3941" s="13" t="s">
        <v>19171</v>
      </c>
      <c r="D3941" s="12" t="s">
        <v>11587</v>
      </c>
      <c r="E3941" s="13" t="s">
        <v>517</v>
      </c>
      <c r="F3941" s="681">
        <v>38.049999999999997</v>
      </c>
    </row>
    <row r="3942" spans="2:6" ht="15.75" hidden="1" customHeight="1" x14ac:dyDescent="0.25">
      <c r="B3942" s="13" t="s">
        <v>556</v>
      </c>
      <c r="C3942" s="13" t="s">
        <v>19172</v>
      </c>
      <c r="D3942" s="12" t="s">
        <v>11581</v>
      </c>
      <c r="E3942" s="13" t="s">
        <v>517</v>
      </c>
      <c r="F3942" s="681">
        <v>36.159999999999997</v>
      </c>
    </row>
    <row r="3943" spans="2:6" ht="15.75" hidden="1" customHeight="1" x14ac:dyDescent="0.25">
      <c r="B3943" s="13" t="s">
        <v>556</v>
      </c>
      <c r="C3943" s="13" t="s">
        <v>19173</v>
      </c>
      <c r="D3943" s="12" t="s">
        <v>10641</v>
      </c>
      <c r="E3943" s="13" t="s">
        <v>823</v>
      </c>
      <c r="F3943" s="681">
        <v>3.6</v>
      </c>
    </row>
    <row r="3944" spans="2:6" ht="15.75" hidden="1" customHeight="1" x14ac:dyDescent="0.25">
      <c r="B3944" s="13" t="s">
        <v>556</v>
      </c>
      <c r="C3944" s="13" t="s">
        <v>19174</v>
      </c>
      <c r="D3944" s="12" t="s">
        <v>10375</v>
      </c>
      <c r="E3944" s="13" t="s">
        <v>580</v>
      </c>
      <c r="F3944" s="681">
        <v>1016.25</v>
      </c>
    </row>
    <row r="3945" spans="2:6" ht="15.75" hidden="1" customHeight="1" x14ac:dyDescent="0.25">
      <c r="B3945" s="13" t="s">
        <v>556</v>
      </c>
      <c r="C3945" s="13" t="s">
        <v>19175</v>
      </c>
      <c r="D3945" s="12" t="s">
        <v>11582</v>
      </c>
      <c r="E3945" s="13" t="s">
        <v>517</v>
      </c>
      <c r="F3945" s="681">
        <v>32.85</v>
      </c>
    </row>
    <row r="3946" spans="2:6" ht="15.75" hidden="1" customHeight="1" x14ac:dyDescent="0.25">
      <c r="B3946" s="13" t="s">
        <v>556</v>
      </c>
      <c r="C3946" s="13" t="s">
        <v>19176</v>
      </c>
      <c r="D3946" s="12" t="s">
        <v>11583</v>
      </c>
      <c r="E3946" s="13" t="s">
        <v>517</v>
      </c>
      <c r="F3946" s="681">
        <v>31.7</v>
      </c>
    </row>
    <row r="3947" spans="2:6" ht="15.75" hidden="1" customHeight="1" x14ac:dyDescent="0.25">
      <c r="B3947" s="13" t="s">
        <v>556</v>
      </c>
      <c r="C3947" s="13" t="s">
        <v>19177</v>
      </c>
      <c r="D3947" s="12" t="s">
        <v>11574</v>
      </c>
      <c r="E3947" s="13" t="s">
        <v>517</v>
      </c>
      <c r="F3947" s="681">
        <v>47.14</v>
      </c>
    </row>
    <row r="3948" spans="2:6" ht="15.75" hidden="1" customHeight="1" x14ac:dyDescent="0.25">
      <c r="B3948" s="13" t="s">
        <v>556</v>
      </c>
      <c r="C3948" s="13" t="s">
        <v>19178</v>
      </c>
      <c r="D3948" s="12" t="s">
        <v>11575</v>
      </c>
      <c r="E3948" s="13" t="s">
        <v>517</v>
      </c>
      <c r="F3948" s="681">
        <v>44.55</v>
      </c>
    </row>
    <row r="3949" spans="2:6" ht="15.75" hidden="1" customHeight="1" x14ac:dyDescent="0.25">
      <c r="B3949" s="13" t="s">
        <v>556</v>
      </c>
      <c r="C3949" s="13" t="s">
        <v>19179</v>
      </c>
      <c r="D3949" s="12" t="s">
        <v>10640</v>
      </c>
      <c r="E3949" s="13" t="s">
        <v>823</v>
      </c>
      <c r="F3949" s="681">
        <v>6.47</v>
      </c>
    </row>
    <row r="3950" spans="2:6" ht="15.75" hidden="1" customHeight="1" x14ac:dyDescent="0.25">
      <c r="B3950" s="13" t="s">
        <v>556</v>
      </c>
      <c r="C3950" s="13" t="s">
        <v>19180</v>
      </c>
      <c r="D3950" s="12" t="s">
        <v>10646</v>
      </c>
      <c r="E3950" s="13" t="s">
        <v>823</v>
      </c>
      <c r="F3950" s="681">
        <v>14.51</v>
      </c>
    </row>
    <row r="3951" spans="2:6" ht="15.75" hidden="1" customHeight="1" x14ac:dyDescent="0.25">
      <c r="B3951" s="13" t="s">
        <v>556</v>
      </c>
      <c r="C3951" s="13" t="s">
        <v>19181</v>
      </c>
      <c r="D3951" s="12" t="s">
        <v>10077</v>
      </c>
      <c r="E3951" s="13" t="s">
        <v>517</v>
      </c>
      <c r="F3951" s="681">
        <v>35.409999999999997</v>
      </c>
    </row>
    <row r="3952" spans="2:6" ht="15.75" hidden="1" customHeight="1" x14ac:dyDescent="0.25">
      <c r="B3952" s="13" t="s">
        <v>556</v>
      </c>
      <c r="C3952" s="13" t="s">
        <v>19182</v>
      </c>
      <c r="D3952" s="12" t="s">
        <v>9586</v>
      </c>
      <c r="E3952" s="13" t="s">
        <v>585</v>
      </c>
      <c r="F3952" s="681">
        <v>8</v>
      </c>
    </row>
    <row r="3953" spans="2:6" ht="15.75" hidden="1" customHeight="1" x14ac:dyDescent="0.25">
      <c r="B3953" s="13" t="s">
        <v>556</v>
      </c>
      <c r="C3953" s="13" t="s">
        <v>19183</v>
      </c>
      <c r="D3953" s="12" t="s">
        <v>19184</v>
      </c>
      <c r="E3953" s="13" t="s">
        <v>823</v>
      </c>
      <c r="F3953" s="681">
        <v>8.59</v>
      </c>
    </row>
    <row r="3954" spans="2:6" ht="15.75" hidden="1" customHeight="1" x14ac:dyDescent="0.25">
      <c r="B3954" s="13" t="s">
        <v>556</v>
      </c>
      <c r="C3954" s="13" t="s">
        <v>19185</v>
      </c>
      <c r="D3954" s="677" t="s">
        <v>19186</v>
      </c>
      <c r="E3954" s="13" t="s">
        <v>823</v>
      </c>
      <c r="F3954" s="681">
        <v>9.89</v>
      </c>
    </row>
    <row r="3955" spans="2:6" ht="15.75" hidden="1" customHeight="1" x14ac:dyDescent="0.25">
      <c r="B3955" s="13" t="s">
        <v>556</v>
      </c>
      <c r="C3955" s="13" t="s">
        <v>19187</v>
      </c>
      <c r="D3955" s="677" t="s">
        <v>19188</v>
      </c>
      <c r="E3955" s="13" t="s">
        <v>823</v>
      </c>
      <c r="F3955" s="681">
        <v>9.98</v>
      </c>
    </row>
    <row r="3956" spans="2:6" ht="15.75" hidden="1" customHeight="1" x14ac:dyDescent="0.25">
      <c r="B3956" s="13" t="s">
        <v>556</v>
      </c>
      <c r="C3956" s="13" t="s">
        <v>19189</v>
      </c>
      <c r="D3956" s="677" t="s">
        <v>9373</v>
      </c>
      <c r="E3956" s="13" t="s">
        <v>578</v>
      </c>
      <c r="F3956" s="681">
        <v>50.19</v>
      </c>
    </row>
    <row r="3957" spans="2:6" ht="15.75" hidden="1" customHeight="1" x14ac:dyDescent="0.25">
      <c r="B3957" s="13" t="s">
        <v>556</v>
      </c>
      <c r="C3957" s="13" t="s">
        <v>19190</v>
      </c>
      <c r="D3957" s="677" t="s">
        <v>9368</v>
      </c>
      <c r="E3957" s="13" t="s">
        <v>578</v>
      </c>
      <c r="F3957" s="681">
        <v>57.28</v>
      </c>
    </row>
    <row r="3958" spans="2:6" ht="15.75" hidden="1" customHeight="1" x14ac:dyDescent="0.25">
      <c r="B3958" s="13" t="s">
        <v>556</v>
      </c>
      <c r="C3958" s="13" t="s">
        <v>19191</v>
      </c>
      <c r="D3958" s="677" t="s">
        <v>9370</v>
      </c>
      <c r="E3958" s="13" t="s">
        <v>578</v>
      </c>
      <c r="F3958" s="681">
        <v>28.96</v>
      </c>
    </row>
    <row r="3959" spans="2:6" ht="15.75" hidden="1" customHeight="1" x14ac:dyDescent="0.25">
      <c r="B3959" s="13" t="s">
        <v>556</v>
      </c>
      <c r="C3959" s="13" t="s">
        <v>19192</v>
      </c>
      <c r="D3959" s="677" t="s">
        <v>9369</v>
      </c>
      <c r="E3959" s="13" t="s">
        <v>578</v>
      </c>
      <c r="F3959" s="681">
        <v>82.52</v>
      </c>
    </row>
    <row r="3960" spans="2:6" ht="15.75" hidden="1" customHeight="1" x14ac:dyDescent="0.25">
      <c r="B3960" s="13" t="s">
        <v>556</v>
      </c>
      <c r="C3960" s="13" t="s">
        <v>19193</v>
      </c>
      <c r="D3960" s="677" t="s">
        <v>9375</v>
      </c>
      <c r="E3960" s="13" t="s">
        <v>578</v>
      </c>
      <c r="F3960" s="681">
        <v>25.49</v>
      </c>
    </row>
    <row r="3961" spans="2:6" ht="15.75" hidden="1" customHeight="1" x14ac:dyDescent="0.25">
      <c r="B3961" s="13" t="s">
        <v>556</v>
      </c>
      <c r="C3961" s="13" t="s">
        <v>19194</v>
      </c>
      <c r="D3961" s="677" t="s">
        <v>9374</v>
      </c>
      <c r="E3961" s="13" t="s">
        <v>578</v>
      </c>
      <c r="F3961" s="681">
        <v>15.39</v>
      </c>
    </row>
    <row r="3962" spans="2:6" ht="15.75" hidden="1" customHeight="1" x14ac:dyDescent="0.25">
      <c r="B3962" s="13" t="s">
        <v>556</v>
      </c>
      <c r="C3962" s="13" t="s">
        <v>12825</v>
      </c>
      <c r="D3962" s="12" t="s">
        <v>19195</v>
      </c>
      <c r="E3962" s="13" t="s">
        <v>823</v>
      </c>
      <c r="F3962" s="681">
        <v>9.1199999999999992</v>
      </c>
    </row>
    <row r="3963" spans="2:6" ht="15.75" hidden="1" customHeight="1" x14ac:dyDescent="0.25">
      <c r="B3963" s="13" t="s">
        <v>556</v>
      </c>
      <c r="C3963" s="13" t="s">
        <v>19196</v>
      </c>
      <c r="D3963" s="12" t="s">
        <v>19197</v>
      </c>
      <c r="E3963" s="13" t="s">
        <v>580</v>
      </c>
      <c r="F3963" s="681">
        <v>28.35</v>
      </c>
    </row>
    <row r="3964" spans="2:6" ht="15.75" hidden="1" customHeight="1" x14ac:dyDescent="0.25">
      <c r="B3964" s="13" t="s">
        <v>556</v>
      </c>
      <c r="C3964" s="13" t="s">
        <v>19198</v>
      </c>
      <c r="D3964" s="677" t="s">
        <v>19199</v>
      </c>
      <c r="E3964" s="13" t="s">
        <v>823</v>
      </c>
      <c r="F3964" s="681">
        <v>43.57</v>
      </c>
    </row>
    <row r="3965" spans="2:6" ht="15.75" hidden="1" customHeight="1" x14ac:dyDescent="0.25">
      <c r="B3965" s="13" t="s">
        <v>556</v>
      </c>
      <c r="C3965" s="13" t="s">
        <v>19200</v>
      </c>
      <c r="D3965" s="12" t="s">
        <v>8996</v>
      </c>
      <c r="E3965" s="13" t="s">
        <v>580</v>
      </c>
      <c r="F3965" s="681">
        <v>0.22</v>
      </c>
    </row>
    <row r="3966" spans="2:6" ht="15.75" hidden="1" customHeight="1" x14ac:dyDescent="0.25">
      <c r="B3966" s="13" t="s">
        <v>556</v>
      </c>
      <c r="C3966" s="13" t="s">
        <v>19201</v>
      </c>
      <c r="D3966" s="12" t="s">
        <v>10979</v>
      </c>
      <c r="E3966" s="13" t="s">
        <v>578</v>
      </c>
      <c r="F3966" s="681">
        <v>26.8</v>
      </c>
    </row>
    <row r="3967" spans="2:6" ht="15.75" hidden="1" customHeight="1" x14ac:dyDescent="0.25">
      <c r="B3967" s="13" t="s">
        <v>556</v>
      </c>
      <c r="C3967" s="13" t="s">
        <v>19202</v>
      </c>
      <c r="D3967" s="12" t="s">
        <v>10982</v>
      </c>
      <c r="E3967" s="13" t="s">
        <v>578</v>
      </c>
      <c r="F3967" s="681">
        <v>21.19</v>
      </c>
    </row>
    <row r="3968" spans="2:6" ht="15.75" hidden="1" customHeight="1" x14ac:dyDescent="0.25">
      <c r="B3968" s="13" t="s">
        <v>556</v>
      </c>
      <c r="C3968" s="13" t="s">
        <v>19203</v>
      </c>
      <c r="D3968" s="12" t="s">
        <v>10976</v>
      </c>
      <c r="E3968" s="13" t="s">
        <v>578</v>
      </c>
      <c r="F3968" s="681">
        <v>28.28</v>
      </c>
    </row>
    <row r="3969" spans="2:6" ht="15.75" hidden="1" customHeight="1" x14ac:dyDescent="0.25">
      <c r="B3969" s="13" t="s">
        <v>556</v>
      </c>
      <c r="C3969" s="13" t="s">
        <v>19204</v>
      </c>
      <c r="D3969" s="12" t="s">
        <v>9001</v>
      </c>
      <c r="E3969" s="13" t="s">
        <v>580</v>
      </c>
      <c r="F3969" s="681">
        <v>0.06</v>
      </c>
    </row>
    <row r="3970" spans="2:6" ht="15.75" hidden="1" customHeight="1" x14ac:dyDescent="0.25">
      <c r="B3970" s="13" t="s">
        <v>556</v>
      </c>
      <c r="C3970" s="13" t="s">
        <v>19205</v>
      </c>
      <c r="D3970" s="12" t="s">
        <v>9003</v>
      </c>
      <c r="E3970" s="13" t="s">
        <v>580</v>
      </c>
      <c r="F3970" s="681">
        <v>0.11</v>
      </c>
    </row>
    <row r="3971" spans="2:6" ht="15.75" hidden="1" customHeight="1" x14ac:dyDescent="0.25">
      <c r="B3971" s="13" t="s">
        <v>556</v>
      </c>
      <c r="C3971" s="13" t="s">
        <v>19206</v>
      </c>
      <c r="D3971" s="12" t="s">
        <v>10806</v>
      </c>
      <c r="E3971" s="13" t="s">
        <v>580</v>
      </c>
      <c r="F3971" s="681">
        <v>0.2</v>
      </c>
    </row>
    <row r="3972" spans="2:6" ht="15.75" hidden="1" customHeight="1" x14ac:dyDescent="0.25">
      <c r="B3972" s="13" t="s">
        <v>556</v>
      </c>
      <c r="C3972" s="13" t="s">
        <v>19207</v>
      </c>
      <c r="D3972" s="12" t="s">
        <v>11567</v>
      </c>
      <c r="E3972" s="13" t="s">
        <v>517</v>
      </c>
      <c r="F3972" s="681">
        <v>30.76</v>
      </c>
    </row>
    <row r="3973" spans="2:6" ht="15.75" hidden="1" customHeight="1" x14ac:dyDescent="0.25">
      <c r="B3973" s="13" t="s">
        <v>556</v>
      </c>
      <c r="C3973" s="13" t="s">
        <v>19208</v>
      </c>
      <c r="D3973" s="12" t="s">
        <v>11040</v>
      </c>
      <c r="E3973" s="13" t="s">
        <v>580</v>
      </c>
      <c r="F3973" s="681">
        <v>267.17</v>
      </c>
    </row>
    <row r="3974" spans="2:6" ht="15.75" hidden="1" customHeight="1" x14ac:dyDescent="0.25">
      <c r="B3974" s="13" t="s">
        <v>556</v>
      </c>
      <c r="C3974" s="13" t="s">
        <v>19209</v>
      </c>
      <c r="D3974" s="12" t="s">
        <v>10805</v>
      </c>
      <c r="E3974" s="13" t="s">
        <v>580</v>
      </c>
      <c r="F3974" s="681">
        <v>0.05</v>
      </c>
    </row>
    <row r="3975" spans="2:6" ht="15.75" hidden="1" customHeight="1" x14ac:dyDescent="0.25">
      <c r="B3975" s="13" t="s">
        <v>556</v>
      </c>
      <c r="C3975" s="13" t="s">
        <v>19210</v>
      </c>
      <c r="D3975" s="12" t="s">
        <v>10842</v>
      </c>
      <c r="E3975" s="13" t="s">
        <v>580</v>
      </c>
      <c r="F3975" s="681">
        <v>1.57</v>
      </c>
    </row>
    <row r="3976" spans="2:6" ht="15.75" hidden="1" customHeight="1" x14ac:dyDescent="0.25">
      <c r="B3976" s="13" t="s">
        <v>556</v>
      </c>
      <c r="C3976" s="13" t="s">
        <v>19211</v>
      </c>
      <c r="D3976" s="12" t="s">
        <v>10858</v>
      </c>
      <c r="E3976" s="13" t="s">
        <v>580</v>
      </c>
      <c r="F3976" s="681">
        <v>1.25</v>
      </c>
    </row>
    <row r="3977" spans="2:6" ht="15.75" hidden="1" customHeight="1" x14ac:dyDescent="0.25">
      <c r="B3977" s="13" t="s">
        <v>556</v>
      </c>
      <c r="C3977" s="13" t="s">
        <v>19212</v>
      </c>
      <c r="D3977" s="12" t="s">
        <v>10826</v>
      </c>
      <c r="E3977" s="13" t="s">
        <v>580</v>
      </c>
      <c r="F3977" s="681">
        <v>21.7</v>
      </c>
    </row>
    <row r="3978" spans="2:6" ht="15.75" hidden="1" customHeight="1" x14ac:dyDescent="0.25">
      <c r="B3978" s="13" t="s">
        <v>556</v>
      </c>
      <c r="C3978" s="13" t="s">
        <v>19213</v>
      </c>
      <c r="D3978" s="12" t="s">
        <v>9164</v>
      </c>
      <c r="E3978" s="13" t="s">
        <v>585</v>
      </c>
      <c r="F3978" s="681">
        <v>22.62</v>
      </c>
    </row>
    <row r="3979" spans="2:6" ht="15.75" hidden="1" customHeight="1" x14ac:dyDescent="0.25">
      <c r="B3979" s="13" t="s">
        <v>556</v>
      </c>
      <c r="C3979" s="13" t="s">
        <v>19214</v>
      </c>
      <c r="D3979" s="12" t="s">
        <v>9085</v>
      </c>
      <c r="E3979" s="13" t="s">
        <v>585</v>
      </c>
      <c r="F3979" s="681">
        <v>2.0499999999999998</v>
      </c>
    </row>
    <row r="3980" spans="2:6" ht="15.75" hidden="1" customHeight="1" x14ac:dyDescent="0.25">
      <c r="B3980" s="13" t="s">
        <v>556</v>
      </c>
      <c r="C3980" s="13" t="s">
        <v>19215</v>
      </c>
      <c r="D3980" s="12" t="s">
        <v>9083</v>
      </c>
      <c r="E3980" s="13" t="s">
        <v>585</v>
      </c>
      <c r="F3980" s="681">
        <v>22.08</v>
      </c>
    </row>
    <row r="3981" spans="2:6" ht="15.75" hidden="1" customHeight="1" x14ac:dyDescent="0.25">
      <c r="B3981" s="13" t="s">
        <v>556</v>
      </c>
      <c r="C3981" s="13" t="s">
        <v>19216</v>
      </c>
      <c r="D3981" s="12" t="s">
        <v>9084</v>
      </c>
      <c r="E3981" s="13" t="s">
        <v>585</v>
      </c>
      <c r="F3981" s="681">
        <v>1.98</v>
      </c>
    </row>
    <row r="3982" spans="2:6" ht="15.75" hidden="1" customHeight="1" x14ac:dyDescent="0.25">
      <c r="B3982" s="13" t="s">
        <v>556</v>
      </c>
      <c r="C3982" s="13" t="s">
        <v>19217</v>
      </c>
      <c r="D3982" s="12" t="s">
        <v>11131</v>
      </c>
      <c r="E3982" s="13" t="s">
        <v>580</v>
      </c>
      <c r="F3982" s="681">
        <v>2677.34</v>
      </c>
    </row>
    <row r="3983" spans="2:6" ht="15.75" hidden="1" customHeight="1" x14ac:dyDescent="0.25">
      <c r="B3983" s="13" t="s">
        <v>556</v>
      </c>
      <c r="C3983" s="13" t="s">
        <v>19218</v>
      </c>
      <c r="D3983" s="12" t="s">
        <v>11130</v>
      </c>
      <c r="E3983" s="13" t="s">
        <v>580</v>
      </c>
      <c r="F3983" s="681">
        <v>1315.76</v>
      </c>
    </row>
    <row r="3984" spans="2:6" ht="15.75" hidden="1" customHeight="1" x14ac:dyDescent="0.25">
      <c r="B3984" s="13" t="s">
        <v>556</v>
      </c>
      <c r="C3984" s="13" t="s">
        <v>19219</v>
      </c>
      <c r="D3984" s="12" t="s">
        <v>10479</v>
      </c>
      <c r="E3984" s="13" t="s">
        <v>580</v>
      </c>
      <c r="F3984" s="681">
        <v>27.21</v>
      </c>
    </row>
    <row r="3985" spans="2:6" ht="15.75" hidden="1" customHeight="1" x14ac:dyDescent="0.25">
      <c r="B3985" s="13" t="s">
        <v>556</v>
      </c>
      <c r="C3985" s="13" t="s">
        <v>19220</v>
      </c>
      <c r="D3985" s="12" t="s">
        <v>10833</v>
      </c>
      <c r="E3985" s="13" t="s">
        <v>580</v>
      </c>
      <c r="F3985" s="681">
        <v>24.93</v>
      </c>
    </row>
    <row r="3986" spans="2:6" ht="15.75" hidden="1" customHeight="1" x14ac:dyDescent="0.25">
      <c r="B3986" s="13" t="s">
        <v>556</v>
      </c>
      <c r="C3986" s="13" t="s">
        <v>19221</v>
      </c>
      <c r="D3986" s="12" t="s">
        <v>10863</v>
      </c>
      <c r="E3986" s="13" t="s">
        <v>10864</v>
      </c>
      <c r="F3986" s="681">
        <v>2902.64</v>
      </c>
    </row>
    <row r="3987" spans="2:6" ht="15.75" hidden="1" customHeight="1" x14ac:dyDescent="0.25">
      <c r="B3987" s="13" t="s">
        <v>14150</v>
      </c>
      <c r="C3987" s="13" t="s">
        <v>19222</v>
      </c>
      <c r="D3987" s="12" t="s">
        <v>10922</v>
      </c>
      <c r="E3987" s="13" t="s">
        <v>580</v>
      </c>
      <c r="F3987" s="681">
        <v>3251954.99</v>
      </c>
    </row>
    <row r="3988" spans="2:6" ht="15.75" hidden="1" customHeight="1" x14ac:dyDescent="0.25">
      <c r="B3988" s="13" t="s">
        <v>556</v>
      </c>
      <c r="C3988" s="13" t="s">
        <v>12823</v>
      </c>
      <c r="D3988" s="12" t="s">
        <v>19223</v>
      </c>
      <c r="E3988" s="13" t="s">
        <v>580</v>
      </c>
      <c r="F3988" s="681">
        <v>18.28</v>
      </c>
    </row>
    <row r="3989" spans="2:6" ht="15.75" hidden="1" customHeight="1" x14ac:dyDescent="0.25">
      <c r="B3989" s="13" t="s">
        <v>556</v>
      </c>
      <c r="C3989" s="13" t="s">
        <v>19224</v>
      </c>
      <c r="D3989" s="12" t="s">
        <v>10867</v>
      </c>
      <c r="E3989" s="13" t="s">
        <v>578</v>
      </c>
      <c r="F3989" s="681">
        <v>245.84</v>
      </c>
    </row>
    <row r="3990" spans="2:6" ht="15.75" hidden="1" customHeight="1" x14ac:dyDescent="0.25">
      <c r="B3990" s="13" t="s">
        <v>556</v>
      </c>
      <c r="C3990" s="13" t="s">
        <v>19225</v>
      </c>
      <c r="D3990" s="12" t="s">
        <v>10869</v>
      </c>
      <c r="E3990" s="13" t="s">
        <v>578</v>
      </c>
      <c r="F3990" s="681">
        <v>249.94</v>
      </c>
    </row>
    <row r="3991" spans="2:6" ht="15.75" hidden="1" customHeight="1" x14ac:dyDescent="0.25">
      <c r="B3991" s="13" t="s">
        <v>556</v>
      </c>
      <c r="C3991" s="13" t="s">
        <v>19226</v>
      </c>
      <c r="D3991" s="12" t="s">
        <v>9160</v>
      </c>
      <c r="E3991" s="13" t="s">
        <v>585</v>
      </c>
      <c r="F3991" s="681">
        <v>3.22</v>
      </c>
    </row>
    <row r="3992" spans="2:6" ht="15.75" hidden="1" customHeight="1" x14ac:dyDescent="0.25">
      <c r="B3992" s="13" t="s">
        <v>556</v>
      </c>
      <c r="C3992" s="13" t="s">
        <v>19227</v>
      </c>
      <c r="D3992" s="12" t="s">
        <v>9159</v>
      </c>
      <c r="E3992" s="13" t="s">
        <v>585</v>
      </c>
      <c r="F3992" s="681">
        <v>4.21</v>
      </c>
    </row>
    <row r="3993" spans="2:6" ht="15.75" hidden="1" customHeight="1" x14ac:dyDescent="0.25">
      <c r="B3993" s="13" t="s">
        <v>556</v>
      </c>
      <c r="C3993" s="13" t="s">
        <v>19228</v>
      </c>
      <c r="D3993" s="12" t="s">
        <v>9162</v>
      </c>
      <c r="E3993" s="13" t="s">
        <v>585</v>
      </c>
      <c r="F3993" s="681">
        <v>4.41</v>
      </c>
    </row>
    <row r="3994" spans="2:6" ht="15.75" hidden="1" customHeight="1" x14ac:dyDescent="0.25">
      <c r="B3994" s="13" t="s">
        <v>556</v>
      </c>
      <c r="C3994" s="13" t="s">
        <v>19229</v>
      </c>
      <c r="D3994" s="12" t="s">
        <v>9231</v>
      </c>
      <c r="E3994" s="13" t="s">
        <v>580</v>
      </c>
      <c r="F3994" s="681">
        <v>2028.92</v>
      </c>
    </row>
    <row r="3995" spans="2:6" ht="15.75" hidden="1" customHeight="1" x14ac:dyDescent="0.25">
      <c r="B3995" s="13" t="s">
        <v>556</v>
      </c>
      <c r="C3995" s="13" t="s">
        <v>19230</v>
      </c>
      <c r="D3995" s="12" t="s">
        <v>9222</v>
      </c>
      <c r="E3995" s="13" t="s">
        <v>580</v>
      </c>
      <c r="F3995" s="681">
        <v>1813.81</v>
      </c>
    </row>
    <row r="3996" spans="2:6" ht="15.75" hidden="1" customHeight="1" x14ac:dyDescent="0.25">
      <c r="B3996" s="13" t="s">
        <v>556</v>
      </c>
      <c r="C3996" s="13" t="s">
        <v>19231</v>
      </c>
      <c r="D3996" s="12" t="s">
        <v>9226</v>
      </c>
      <c r="E3996" s="13" t="s">
        <v>580</v>
      </c>
      <c r="F3996" s="681">
        <v>654.51</v>
      </c>
    </row>
    <row r="3997" spans="2:6" ht="15.75" hidden="1" customHeight="1" x14ac:dyDescent="0.25">
      <c r="B3997" s="13" t="s">
        <v>556</v>
      </c>
      <c r="C3997" s="13" t="s">
        <v>19232</v>
      </c>
      <c r="D3997" s="12" t="s">
        <v>9225</v>
      </c>
      <c r="E3997" s="13" t="s">
        <v>580</v>
      </c>
      <c r="F3997" s="681">
        <v>3483.5</v>
      </c>
    </row>
    <row r="3998" spans="2:6" ht="15.75" hidden="1" customHeight="1" x14ac:dyDescent="0.25">
      <c r="B3998" s="13" t="s">
        <v>556</v>
      </c>
      <c r="C3998" s="13" t="s">
        <v>19233</v>
      </c>
      <c r="D3998" s="12" t="s">
        <v>9219</v>
      </c>
      <c r="E3998" s="13" t="s">
        <v>580</v>
      </c>
      <c r="F3998" s="681">
        <v>7348.19</v>
      </c>
    </row>
    <row r="3999" spans="2:6" ht="15.75" hidden="1" customHeight="1" x14ac:dyDescent="0.25">
      <c r="B3999" s="13" t="s">
        <v>556</v>
      </c>
      <c r="C3999" s="13" t="s">
        <v>19234</v>
      </c>
      <c r="D3999" s="12" t="s">
        <v>9221</v>
      </c>
      <c r="E3999" s="13" t="s">
        <v>580</v>
      </c>
      <c r="F3999" s="681">
        <v>11608.3</v>
      </c>
    </row>
    <row r="4000" spans="2:6" ht="15.75" hidden="1" customHeight="1" x14ac:dyDescent="0.25">
      <c r="B4000" s="13" t="s">
        <v>556</v>
      </c>
      <c r="C4000" s="13" t="s">
        <v>19235</v>
      </c>
      <c r="D4000" s="12" t="s">
        <v>9215</v>
      </c>
      <c r="E4000" s="13" t="s">
        <v>585</v>
      </c>
      <c r="F4000" s="681">
        <v>23.87</v>
      </c>
    </row>
    <row r="4001" spans="2:6" ht="15.75" hidden="1" customHeight="1" x14ac:dyDescent="0.25">
      <c r="B4001" s="13" t="s">
        <v>14150</v>
      </c>
      <c r="C4001" s="13" t="s">
        <v>19236</v>
      </c>
      <c r="D4001" s="12" t="s">
        <v>10921</v>
      </c>
      <c r="E4001" s="13" t="s">
        <v>580</v>
      </c>
      <c r="F4001" s="681">
        <v>6700654.6299999999</v>
      </c>
    </row>
    <row r="4002" spans="2:6" ht="15.75" hidden="1" customHeight="1" x14ac:dyDescent="0.25">
      <c r="B4002" s="13" t="s">
        <v>14150</v>
      </c>
      <c r="C4002" s="13" t="s">
        <v>19237</v>
      </c>
      <c r="D4002" s="12" t="s">
        <v>10926</v>
      </c>
      <c r="E4002" s="13" t="s">
        <v>580</v>
      </c>
      <c r="F4002" s="681">
        <v>9311711.75</v>
      </c>
    </row>
    <row r="4003" spans="2:6" ht="15.75" hidden="1" customHeight="1" x14ac:dyDescent="0.25">
      <c r="B4003" s="13" t="s">
        <v>556</v>
      </c>
      <c r="C4003" s="13" t="s">
        <v>19238</v>
      </c>
      <c r="D4003" s="12" t="s">
        <v>8814</v>
      </c>
      <c r="E4003" s="13" t="s">
        <v>580</v>
      </c>
      <c r="F4003" s="681">
        <v>497.3</v>
      </c>
    </row>
    <row r="4004" spans="2:6" ht="15.75" hidden="1" customHeight="1" x14ac:dyDescent="0.25">
      <c r="B4004" s="13" t="s">
        <v>556</v>
      </c>
      <c r="C4004" s="13" t="s">
        <v>19239</v>
      </c>
      <c r="D4004" s="12" t="s">
        <v>10694</v>
      </c>
      <c r="E4004" s="13" t="s">
        <v>580</v>
      </c>
      <c r="F4004" s="681">
        <v>825.58</v>
      </c>
    </row>
    <row r="4005" spans="2:6" ht="15.75" hidden="1" customHeight="1" x14ac:dyDescent="0.25">
      <c r="B4005" s="13" t="s">
        <v>556</v>
      </c>
      <c r="C4005" s="13" t="s">
        <v>19240</v>
      </c>
      <c r="D4005" s="12" t="s">
        <v>11620</v>
      </c>
      <c r="E4005" s="13" t="s">
        <v>580</v>
      </c>
      <c r="F4005" s="681">
        <v>274.72000000000003</v>
      </c>
    </row>
    <row r="4006" spans="2:6" ht="15.75" hidden="1" customHeight="1" x14ac:dyDescent="0.25">
      <c r="B4006" s="13" t="s">
        <v>556</v>
      </c>
      <c r="C4006" s="13" t="s">
        <v>19241</v>
      </c>
      <c r="D4006" s="12" t="s">
        <v>10231</v>
      </c>
      <c r="E4006" s="13" t="s">
        <v>580</v>
      </c>
      <c r="F4006" s="681">
        <v>1684.11</v>
      </c>
    </row>
    <row r="4007" spans="2:6" ht="15.75" hidden="1" customHeight="1" x14ac:dyDescent="0.25">
      <c r="B4007" s="13" t="s">
        <v>556</v>
      </c>
      <c r="C4007" s="13" t="s">
        <v>19242</v>
      </c>
      <c r="D4007" s="12" t="s">
        <v>10234</v>
      </c>
      <c r="E4007" s="13" t="s">
        <v>580</v>
      </c>
      <c r="F4007" s="681">
        <v>604.15</v>
      </c>
    </row>
    <row r="4008" spans="2:6" ht="15.75" hidden="1" customHeight="1" x14ac:dyDescent="0.25">
      <c r="B4008" s="13" t="s">
        <v>14150</v>
      </c>
      <c r="C4008" s="13" t="s">
        <v>19243</v>
      </c>
      <c r="D4008" s="12" t="s">
        <v>19244</v>
      </c>
      <c r="E4008" s="13" t="s">
        <v>580</v>
      </c>
      <c r="F4008" s="681">
        <v>477088.26</v>
      </c>
    </row>
    <row r="4009" spans="2:6" ht="15.75" hidden="1" customHeight="1" x14ac:dyDescent="0.25">
      <c r="B4009" s="13" t="s">
        <v>14150</v>
      </c>
      <c r="C4009" s="13" t="s">
        <v>19245</v>
      </c>
      <c r="D4009" s="12" t="s">
        <v>19246</v>
      </c>
      <c r="E4009" s="13" t="s">
        <v>580</v>
      </c>
      <c r="F4009" s="681">
        <v>509200</v>
      </c>
    </row>
    <row r="4010" spans="2:6" ht="15.75" hidden="1" customHeight="1" x14ac:dyDescent="0.25">
      <c r="B4010" s="13" t="s">
        <v>14150</v>
      </c>
      <c r="C4010" s="13" t="s">
        <v>19247</v>
      </c>
      <c r="D4010" s="12" t="s">
        <v>19248</v>
      </c>
      <c r="E4010" s="13" t="s">
        <v>580</v>
      </c>
      <c r="F4010" s="681">
        <v>555073.87</v>
      </c>
    </row>
    <row r="4011" spans="2:6" ht="15.75" hidden="1" customHeight="1" x14ac:dyDescent="0.25">
      <c r="B4011" s="13" t="s">
        <v>14150</v>
      </c>
      <c r="C4011" s="13" t="s">
        <v>19249</v>
      </c>
      <c r="D4011" s="12" t="s">
        <v>19250</v>
      </c>
      <c r="E4011" s="13" t="s">
        <v>580</v>
      </c>
      <c r="F4011" s="681">
        <v>456903.78</v>
      </c>
    </row>
    <row r="4012" spans="2:6" ht="15.75" hidden="1" customHeight="1" x14ac:dyDescent="0.25">
      <c r="B4012" s="13" t="s">
        <v>14150</v>
      </c>
      <c r="C4012" s="13" t="s">
        <v>19251</v>
      </c>
      <c r="D4012" s="12" t="s">
        <v>19252</v>
      </c>
      <c r="E4012" s="13" t="s">
        <v>580</v>
      </c>
      <c r="F4012" s="681">
        <v>704622.71</v>
      </c>
    </row>
    <row r="4013" spans="2:6" ht="15.75" hidden="1" customHeight="1" x14ac:dyDescent="0.25">
      <c r="B4013" s="13" t="s">
        <v>14150</v>
      </c>
      <c r="C4013" s="13" t="s">
        <v>19253</v>
      </c>
      <c r="D4013" s="12" t="s">
        <v>19254</v>
      </c>
      <c r="E4013" s="13" t="s">
        <v>580</v>
      </c>
      <c r="F4013" s="681">
        <v>690860.56</v>
      </c>
    </row>
    <row r="4014" spans="2:6" ht="15.75" hidden="1" customHeight="1" x14ac:dyDescent="0.25">
      <c r="B4014" s="13" t="s">
        <v>556</v>
      </c>
      <c r="C4014" s="13" t="s">
        <v>19255</v>
      </c>
      <c r="D4014" s="12" t="s">
        <v>11091</v>
      </c>
      <c r="E4014" s="13" t="s">
        <v>517</v>
      </c>
      <c r="F4014" s="681">
        <v>137.24</v>
      </c>
    </row>
    <row r="4015" spans="2:6" ht="15.75" hidden="1" customHeight="1" x14ac:dyDescent="0.25">
      <c r="B4015" s="13" t="s">
        <v>556</v>
      </c>
      <c r="C4015" s="13" t="s">
        <v>19256</v>
      </c>
      <c r="D4015" s="12" t="s">
        <v>11354</v>
      </c>
      <c r="E4015" s="13" t="s">
        <v>585</v>
      </c>
      <c r="F4015" s="681">
        <v>0.79</v>
      </c>
    </row>
    <row r="4016" spans="2:6" ht="15.75" hidden="1" customHeight="1" x14ac:dyDescent="0.25">
      <c r="B4016" s="13" t="s">
        <v>556</v>
      </c>
      <c r="C4016" s="13" t="s">
        <v>19257</v>
      </c>
      <c r="D4016" s="12" t="s">
        <v>11090</v>
      </c>
      <c r="E4016" s="13" t="s">
        <v>517</v>
      </c>
      <c r="F4016" s="681">
        <v>537.53</v>
      </c>
    </row>
    <row r="4017" spans="2:6" ht="15.75" hidden="1" customHeight="1" x14ac:dyDescent="0.25">
      <c r="B4017" s="13" t="s">
        <v>556</v>
      </c>
      <c r="C4017" s="13" t="s">
        <v>19258</v>
      </c>
      <c r="D4017" s="12" t="s">
        <v>11214</v>
      </c>
      <c r="E4017" s="13" t="s">
        <v>585</v>
      </c>
      <c r="F4017" s="681">
        <v>2.85</v>
      </c>
    </row>
    <row r="4018" spans="2:6" ht="15.75" hidden="1" customHeight="1" x14ac:dyDescent="0.25">
      <c r="B4018" s="13" t="s">
        <v>556</v>
      </c>
      <c r="C4018" s="13" t="s">
        <v>19259</v>
      </c>
      <c r="D4018" s="12" t="s">
        <v>19260</v>
      </c>
      <c r="E4018" s="13" t="s">
        <v>580</v>
      </c>
      <c r="F4018" s="681">
        <v>11.94</v>
      </c>
    </row>
    <row r="4019" spans="2:6" ht="15.75" hidden="1" customHeight="1" x14ac:dyDescent="0.25">
      <c r="B4019" s="13" t="s">
        <v>556</v>
      </c>
      <c r="C4019" s="13" t="s">
        <v>19261</v>
      </c>
      <c r="D4019" s="12" t="s">
        <v>11213</v>
      </c>
      <c r="E4019" s="13" t="s">
        <v>585</v>
      </c>
      <c r="F4019" s="681">
        <v>2.29</v>
      </c>
    </row>
    <row r="4020" spans="2:6" ht="15.75" hidden="1" customHeight="1" x14ac:dyDescent="0.25">
      <c r="B4020" s="13" t="s">
        <v>556</v>
      </c>
      <c r="C4020" s="13" t="s">
        <v>19262</v>
      </c>
      <c r="D4020" s="12" t="s">
        <v>11242</v>
      </c>
      <c r="E4020" s="13" t="s">
        <v>585</v>
      </c>
      <c r="F4020" s="681">
        <v>5.67</v>
      </c>
    </row>
    <row r="4021" spans="2:6" ht="15.75" hidden="1" customHeight="1" x14ac:dyDescent="0.25">
      <c r="B4021" s="13" t="s">
        <v>556</v>
      </c>
      <c r="C4021" s="13" t="s">
        <v>19263</v>
      </c>
      <c r="D4021" s="12" t="s">
        <v>11243</v>
      </c>
      <c r="E4021" s="13" t="s">
        <v>585</v>
      </c>
      <c r="F4021" s="681">
        <v>8.16</v>
      </c>
    </row>
    <row r="4022" spans="2:6" ht="15.75" hidden="1" customHeight="1" x14ac:dyDescent="0.25">
      <c r="B4022" s="13" t="s">
        <v>556</v>
      </c>
      <c r="C4022" s="13" t="s">
        <v>19264</v>
      </c>
      <c r="D4022" s="12" t="s">
        <v>8927</v>
      </c>
      <c r="E4022" s="13" t="s">
        <v>580</v>
      </c>
      <c r="F4022" s="681">
        <v>21.56</v>
      </c>
    </row>
    <row r="4023" spans="2:6" ht="15.75" hidden="1" customHeight="1" x14ac:dyDescent="0.25">
      <c r="B4023" s="13" t="s">
        <v>556</v>
      </c>
      <c r="C4023" s="13" t="s">
        <v>19265</v>
      </c>
      <c r="D4023" s="12" t="s">
        <v>8867</v>
      </c>
      <c r="E4023" s="13" t="s">
        <v>580</v>
      </c>
      <c r="F4023" s="681">
        <v>7.55</v>
      </c>
    </row>
    <row r="4024" spans="2:6" ht="15.75" hidden="1" customHeight="1" x14ac:dyDescent="0.25">
      <c r="B4024" s="13" t="s">
        <v>556</v>
      </c>
      <c r="C4024" s="13" t="s">
        <v>19266</v>
      </c>
      <c r="D4024" s="12" t="s">
        <v>9504</v>
      </c>
      <c r="E4024" s="13" t="s">
        <v>580</v>
      </c>
      <c r="F4024" s="681">
        <v>17.32</v>
      </c>
    </row>
    <row r="4025" spans="2:6" ht="15.75" hidden="1" customHeight="1" x14ac:dyDescent="0.25">
      <c r="B4025" s="13" t="s">
        <v>556</v>
      </c>
      <c r="C4025" s="13" t="s">
        <v>19267</v>
      </c>
      <c r="D4025" s="12" t="s">
        <v>9505</v>
      </c>
      <c r="E4025" s="13" t="s">
        <v>580</v>
      </c>
      <c r="F4025" s="681">
        <v>28.36</v>
      </c>
    </row>
    <row r="4026" spans="2:6" ht="15.75" hidden="1" customHeight="1" x14ac:dyDescent="0.25">
      <c r="B4026" s="13" t="s">
        <v>556</v>
      </c>
      <c r="C4026" s="13" t="s">
        <v>19268</v>
      </c>
      <c r="D4026" s="12" t="s">
        <v>9058</v>
      </c>
      <c r="E4026" s="13" t="s">
        <v>580</v>
      </c>
      <c r="F4026" s="681">
        <v>20.68</v>
      </c>
    </row>
    <row r="4027" spans="2:6" ht="15.75" hidden="1" customHeight="1" x14ac:dyDescent="0.25">
      <c r="B4027" s="13" t="s">
        <v>556</v>
      </c>
      <c r="C4027" s="13" t="s">
        <v>19269</v>
      </c>
      <c r="D4027" s="12" t="s">
        <v>11739</v>
      </c>
      <c r="E4027" s="13" t="s">
        <v>585</v>
      </c>
      <c r="F4027" s="681">
        <v>18.239999999999998</v>
      </c>
    </row>
    <row r="4028" spans="2:6" ht="15.75" hidden="1" customHeight="1" x14ac:dyDescent="0.25">
      <c r="B4028" s="13" t="s">
        <v>556</v>
      </c>
      <c r="C4028" s="13" t="s">
        <v>19270</v>
      </c>
      <c r="D4028" s="12" t="s">
        <v>9059</v>
      </c>
      <c r="E4028" s="13" t="s">
        <v>580</v>
      </c>
      <c r="F4028" s="681">
        <v>15.45</v>
      </c>
    </row>
    <row r="4029" spans="2:6" ht="15.75" hidden="1" customHeight="1" x14ac:dyDescent="0.25">
      <c r="B4029" s="13" t="s">
        <v>556</v>
      </c>
      <c r="C4029" s="13" t="s">
        <v>12698</v>
      </c>
      <c r="D4029" s="12" t="s">
        <v>19271</v>
      </c>
      <c r="E4029" s="13" t="s">
        <v>580</v>
      </c>
      <c r="F4029" s="681">
        <v>7.17</v>
      </c>
    </row>
    <row r="4030" spans="2:6" ht="15.75" hidden="1" customHeight="1" x14ac:dyDescent="0.25">
      <c r="B4030" s="13" t="s">
        <v>556</v>
      </c>
      <c r="C4030" s="13" t="s">
        <v>19272</v>
      </c>
      <c r="D4030" s="12" t="s">
        <v>9550</v>
      </c>
      <c r="E4030" s="13" t="s">
        <v>580</v>
      </c>
      <c r="F4030" s="681">
        <v>1641.82</v>
      </c>
    </row>
    <row r="4031" spans="2:6" ht="15.75" hidden="1" customHeight="1" x14ac:dyDescent="0.25">
      <c r="B4031" s="13" t="s">
        <v>556</v>
      </c>
      <c r="C4031" s="13" t="s">
        <v>19273</v>
      </c>
      <c r="D4031" s="12" t="s">
        <v>9557</v>
      </c>
      <c r="E4031" s="13" t="s">
        <v>580</v>
      </c>
      <c r="F4031" s="681">
        <v>95.57</v>
      </c>
    </row>
    <row r="4032" spans="2:6" ht="15.75" hidden="1" customHeight="1" x14ac:dyDescent="0.25">
      <c r="B4032" s="13" t="s">
        <v>556</v>
      </c>
      <c r="C4032" s="13" t="s">
        <v>19274</v>
      </c>
      <c r="D4032" s="12" t="s">
        <v>9558</v>
      </c>
      <c r="E4032" s="13" t="s">
        <v>580</v>
      </c>
      <c r="F4032" s="681">
        <v>368.73</v>
      </c>
    </row>
    <row r="4033" spans="2:6" ht="15.75" hidden="1" customHeight="1" x14ac:dyDescent="0.25">
      <c r="B4033" s="13" t="s">
        <v>556</v>
      </c>
      <c r="C4033" s="13" t="s">
        <v>19275</v>
      </c>
      <c r="D4033" s="12" t="s">
        <v>11876</v>
      </c>
      <c r="E4033" s="13" t="s">
        <v>585</v>
      </c>
      <c r="F4033" s="681">
        <v>31.73</v>
      </c>
    </row>
    <row r="4034" spans="2:6" ht="15.75" hidden="1" customHeight="1" x14ac:dyDescent="0.25">
      <c r="B4034" s="13" t="s">
        <v>556</v>
      </c>
      <c r="C4034" s="13" t="s">
        <v>19276</v>
      </c>
      <c r="D4034" s="12" t="s">
        <v>9559</v>
      </c>
      <c r="E4034" s="13" t="s">
        <v>580</v>
      </c>
      <c r="F4034" s="681">
        <v>535.48</v>
      </c>
    </row>
    <row r="4035" spans="2:6" ht="15.75" hidden="1" customHeight="1" x14ac:dyDescent="0.25">
      <c r="B4035" s="13" t="s">
        <v>556</v>
      </c>
      <c r="C4035" s="13" t="s">
        <v>19277</v>
      </c>
      <c r="D4035" s="12" t="s">
        <v>10246</v>
      </c>
      <c r="E4035" s="13" t="s">
        <v>580</v>
      </c>
      <c r="F4035" s="681">
        <v>236.35</v>
      </c>
    </row>
    <row r="4036" spans="2:6" ht="15.75" hidden="1" customHeight="1" x14ac:dyDescent="0.25">
      <c r="B4036" s="13" t="s">
        <v>556</v>
      </c>
      <c r="C4036" s="13" t="s">
        <v>19278</v>
      </c>
      <c r="D4036" s="12" t="s">
        <v>10463</v>
      </c>
      <c r="E4036" s="13" t="s">
        <v>580</v>
      </c>
      <c r="F4036" s="681">
        <v>193.43</v>
      </c>
    </row>
    <row r="4037" spans="2:6" ht="15.75" hidden="1" customHeight="1" x14ac:dyDescent="0.25">
      <c r="B4037" s="13" t="s">
        <v>556</v>
      </c>
      <c r="C4037" s="13" t="s">
        <v>19279</v>
      </c>
      <c r="D4037" s="12" t="s">
        <v>11355</v>
      </c>
      <c r="E4037" s="13" t="s">
        <v>580</v>
      </c>
      <c r="F4037" s="681">
        <v>285.74</v>
      </c>
    </row>
    <row r="4038" spans="2:6" ht="15.75" hidden="1" customHeight="1" x14ac:dyDescent="0.25">
      <c r="B4038" s="13" t="s">
        <v>556</v>
      </c>
      <c r="C4038" s="13" t="s">
        <v>19280</v>
      </c>
      <c r="D4038" s="12" t="s">
        <v>8555</v>
      </c>
      <c r="E4038" s="13" t="s">
        <v>580</v>
      </c>
      <c r="F4038" s="681">
        <v>29.89</v>
      </c>
    </row>
    <row r="4039" spans="2:6" ht="15.75" hidden="1" customHeight="1" x14ac:dyDescent="0.25">
      <c r="B4039" s="13" t="s">
        <v>556</v>
      </c>
      <c r="C4039" s="13" t="s">
        <v>19281</v>
      </c>
      <c r="D4039" s="12" t="s">
        <v>8556</v>
      </c>
      <c r="E4039" s="13" t="s">
        <v>580</v>
      </c>
      <c r="F4039" s="681">
        <v>33.130000000000003</v>
      </c>
    </row>
    <row r="4040" spans="2:6" ht="15.75" hidden="1" customHeight="1" x14ac:dyDescent="0.25">
      <c r="B4040" s="13" t="s">
        <v>556</v>
      </c>
      <c r="C4040" s="13" t="s">
        <v>19282</v>
      </c>
      <c r="D4040" s="12" t="s">
        <v>8557</v>
      </c>
      <c r="E4040" s="13" t="s">
        <v>580</v>
      </c>
      <c r="F4040" s="681">
        <v>37.42</v>
      </c>
    </row>
    <row r="4041" spans="2:6" ht="15.75" hidden="1" customHeight="1" x14ac:dyDescent="0.25">
      <c r="B4041" s="13" t="s">
        <v>556</v>
      </c>
      <c r="C4041" s="13" t="s">
        <v>19283</v>
      </c>
      <c r="D4041" s="12" t="s">
        <v>8558</v>
      </c>
      <c r="E4041" s="13" t="s">
        <v>580</v>
      </c>
      <c r="F4041" s="681">
        <v>59.21</v>
      </c>
    </row>
    <row r="4042" spans="2:6" ht="15.75" hidden="1" customHeight="1" x14ac:dyDescent="0.25">
      <c r="B4042" s="13" t="s">
        <v>556</v>
      </c>
      <c r="C4042" s="13" t="s">
        <v>19284</v>
      </c>
      <c r="D4042" s="12" t="s">
        <v>8559</v>
      </c>
      <c r="E4042" s="13" t="s">
        <v>580</v>
      </c>
      <c r="F4042" s="681">
        <v>67.66</v>
      </c>
    </row>
    <row r="4043" spans="2:6" ht="15.75" hidden="1" customHeight="1" x14ac:dyDescent="0.25">
      <c r="B4043" s="13" t="s">
        <v>556</v>
      </c>
      <c r="C4043" s="13" t="s">
        <v>19285</v>
      </c>
      <c r="D4043" s="12" t="s">
        <v>8560</v>
      </c>
      <c r="E4043" s="13" t="s">
        <v>580</v>
      </c>
      <c r="F4043" s="681">
        <v>92.87</v>
      </c>
    </row>
    <row r="4044" spans="2:6" ht="15.75" hidden="1" customHeight="1" x14ac:dyDescent="0.25">
      <c r="B4044" s="13" t="s">
        <v>556</v>
      </c>
      <c r="C4044" s="13" t="s">
        <v>19286</v>
      </c>
      <c r="D4044" s="12" t="s">
        <v>11675</v>
      </c>
      <c r="E4044" s="13" t="s">
        <v>585</v>
      </c>
      <c r="F4044" s="681">
        <v>420.71</v>
      </c>
    </row>
    <row r="4045" spans="2:6" ht="15.75" hidden="1" customHeight="1" x14ac:dyDescent="0.25">
      <c r="B4045" s="13" t="s">
        <v>556</v>
      </c>
      <c r="C4045" s="13" t="s">
        <v>19287</v>
      </c>
      <c r="D4045" s="12" t="s">
        <v>11562</v>
      </c>
      <c r="E4045" s="13" t="s">
        <v>580</v>
      </c>
      <c r="F4045" s="681">
        <v>155.93</v>
      </c>
    </row>
    <row r="4046" spans="2:6" ht="15.75" hidden="1" customHeight="1" x14ac:dyDescent="0.25">
      <c r="B4046" s="13" t="s">
        <v>556</v>
      </c>
      <c r="C4046" s="13" t="s">
        <v>19288</v>
      </c>
      <c r="D4046" s="12" t="s">
        <v>9054</v>
      </c>
      <c r="E4046" s="13" t="s">
        <v>580</v>
      </c>
      <c r="F4046" s="681">
        <v>60.1</v>
      </c>
    </row>
    <row r="4047" spans="2:6" ht="15.75" hidden="1" customHeight="1" x14ac:dyDescent="0.25">
      <c r="B4047" s="13" t="s">
        <v>14150</v>
      </c>
      <c r="C4047" s="13" t="s">
        <v>19289</v>
      </c>
      <c r="D4047" s="12" t="s">
        <v>9595</v>
      </c>
      <c r="E4047" s="13" t="s">
        <v>580</v>
      </c>
      <c r="F4047" s="681">
        <v>702.18</v>
      </c>
    </row>
    <row r="4048" spans="2:6" ht="15.75" hidden="1" customHeight="1" x14ac:dyDescent="0.25">
      <c r="B4048" s="13" t="s">
        <v>14150</v>
      </c>
      <c r="C4048" s="13" t="s">
        <v>19290</v>
      </c>
      <c r="D4048" s="12" t="s">
        <v>10527</v>
      </c>
      <c r="E4048" s="13" t="s">
        <v>580</v>
      </c>
      <c r="F4048" s="681">
        <v>272.33999999999997</v>
      </c>
    </row>
    <row r="4049" spans="2:6" ht="15.75" hidden="1" customHeight="1" x14ac:dyDescent="0.25">
      <c r="B4049" s="13" t="s">
        <v>556</v>
      </c>
      <c r="C4049" s="13" t="s">
        <v>19291</v>
      </c>
      <c r="D4049" s="12" t="s">
        <v>9213</v>
      </c>
      <c r="E4049" s="13" t="s">
        <v>585</v>
      </c>
      <c r="F4049" s="681">
        <v>15</v>
      </c>
    </row>
    <row r="4050" spans="2:6" ht="15.75" hidden="1" customHeight="1" x14ac:dyDescent="0.25">
      <c r="B4050" s="13" t="s">
        <v>14150</v>
      </c>
      <c r="C4050" s="13" t="s">
        <v>19292</v>
      </c>
      <c r="D4050" s="12" t="s">
        <v>10173</v>
      </c>
      <c r="E4050" s="13" t="s">
        <v>580</v>
      </c>
      <c r="F4050" s="681">
        <v>1911.39</v>
      </c>
    </row>
    <row r="4051" spans="2:6" ht="15.75" hidden="1" customHeight="1" x14ac:dyDescent="0.25">
      <c r="B4051" s="13" t="s">
        <v>14150</v>
      </c>
      <c r="C4051" s="13" t="s">
        <v>19293</v>
      </c>
      <c r="D4051" s="12" t="s">
        <v>11109</v>
      </c>
      <c r="E4051" s="13" t="s">
        <v>580</v>
      </c>
      <c r="F4051" s="681">
        <v>976.39</v>
      </c>
    </row>
    <row r="4052" spans="2:6" ht="15.75" hidden="1" customHeight="1" x14ac:dyDescent="0.25">
      <c r="B4052" s="13" t="s">
        <v>556</v>
      </c>
      <c r="C4052" s="13" t="s">
        <v>19294</v>
      </c>
      <c r="D4052" s="12" t="s">
        <v>11761</v>
      </c>
      <c r="E4052" s="13" t="s">
        <v>585</v>
      </c>
      <c r="F4052" s="681">
        <v>62.45</v>
      </c>
    </row>
    <row r="4053" spans="2:6" ht="15.75" hidden="1" customHeight="1" x14ac:dyDescent="0.25">
      <c r="B4053" s="13" t="s">
        <v>556</v>
      </c>
      <c r="C4053" s="13" t="s">
        <v>19295</v>
      </c>
      <c r="D4053" s="12" t="s">
        <v>10117</v>
      </c>
      <c r="E4053" s="13" t="s">
        <v>823</v>
      </c>
      <c r="F4053" s="681">
        <v>2.72</v>
      </c>
    </row>
    <row r="4054" spans="2:6" ht="15.75" hidden="1" customHeight="1" x14ac:dyDescent="0.25">
      <c r="B4054" s="13" t="s">
        <v>556</v>
      </c>
      <c r="C4054" s="13" t="s">
        <v>19296</v>
      </c>
      <c r="D4054" s="12" t="s">
        <v>11564</v>
      </c>
      <c r="E4054" s="13" t="s">
        <v>580</v>
      </c>
      <c r="F4054" s="681">
        <v>1630.47</v>
      </c>
    </row>
    <row r="4055" spans="2:6" ht="15.75" hidden="1" customHeight="1" x14ac:dyDescent="0.25">
      <c r="B4055" s="13" t="s">
        <v>556</v>
      </c>
      <c r="C4055" s="13" t="s">
        <v>19297</v>
      </c>
      <c r="D4055" s="12" t="s">
        <v>9395</v>
      </c>
      <c r="E4055" s="13" t="s">
        <v>517</v>
      </c>
      <c r="F4055" s="681">
        <v>152.43</v>
      </c>
    </row>
    <row r="4056" spans="2:6" ht="15.75" hidden="1" customHeight="1" x14ac:dyDescent="0.25">
      <c r="B4056" s="13" t="s">
        <v>556</v>
      </c>
      <c r="C4056" s="13" t="s">
        <v>19298</v>
      </c>
      <c r="D4056" s="12" t="s">
        <v>9713</v>
      </c>
      <c r="E4056" s="13" t="s">
        <v>517</v>
      </c>
      <c r="F4056" s="681">
        <v>13.98</v>
      </c>
    </row>
    <row r="4057" spans="2:6" ht="15.75" hidden="1" customHeight="1" x14ac:dyDescent="0.25">
      <c r="B4057" s="13" t="s">
        <v>556</v>
      </c>
      <c r="C4057" s="13" t="s">
        <v>19299</v>
      </c>
      <c r="D4057" s="12" t="s">
        <v>9214</v>
      </c>
      <c r="E4057" s="13" t="s">
        <v>585</v>
      </c>
      <c r="F4057" s="681">
        <v>29.33</v>
      </c>
    </row>
    <row r="4058" spans="2:6" ht="15.75" hidden="1" customHeight="1" x14ac:dyDescent="0.25">
      <c r="B4058" s="13" t="s">
        <v>556</v>
      </c>
      <c r="C4058" s="13" t="s">
        <v>19300</v>
      </c>
      <c r="D4058" s="12" t="s">
        <v>9709</v>
      </c>
      <c r="E4058" s="13" t="s">
        <v>517</v>
      </c>
      <c r="F4058" s="681">
        <v>10.66</v>
      </c>
    </row>
    <row r="4059" spans="2:6" ht="15.75" hidden="1" customHeight="1" x14ac:dyDescent="0.25">
      <c r="B4059" s="13" t="s">
        <v>556</v>
      </c>
      <c r="C4059" s="13" t="s">
        <v>19301</v>
      </c>
      <c r="D4059" s="12" t="s">
        <v>10417</v>
      </c>
      <c r="E4059" s="13" t="s">
        <v>517</v>
      </c>
      <c r="F4059" s="681">
        <v>55.67</v>
      </c>
    </row>
    <row r="4060" spans="2:6" ht="15.75" hidden="1" customHeight="1" x14ac:dyDescent="0.25">
      <c r="B4060" s="13" t="s">
        <v>556</v>
      </c>
      <c r="C4060" s="13" t="s">
        <v>19302</v>
      </c>
      <c r="D4060" s="12" t="s">
        <v>11068</v>
      </c>
      <c r="E4060" s="13" t="s">
        <v>585</v>
      </c>
      <c r="F4060" s="681">
        <v>103.13</v>
      </c>
    </row>
    <row r="4061" spans="2:6" ht="15.75" hidden="1" customHeight="1" x14ac:dyDescent="0.25">
      <c r="B4061" s="13" t="s">
        <v>556</v>
      </c>
      <c r="C4061" s="13" t="s">
        <v>19303</v>
      </c>
      <c r="D4061" s="12" t="s">
        <v>9098</v>
      </c>
      <c r="E4061" s="13" t="s">
        <v>585</v>
      </c>
      <c r="F4061" s="681">
        <v>2.63</v>
      </c>
    </row>
    <row r="4062" spans="2:6" ht="15.75" hidden="1" customHeight="1" x14ac:dyDescent="0.25">
      <c r="B4062" s="13" t="s">
        <v>556</v>
      </c>
      <c r="C4062" s="13" t="s">
        <v>19304</v>
      </c>
      <c r="D4062" s="12" t="s">
        <v>9101</v>
      </c>
      <c r="E4062" s="13" t="s">
        <v>585</v>
      </c>
      <c r="F4062" s="681">
        <v>6.06</v>
      </c>
    </row>
    <row r="4063" spans="2:6" ht="15.75" hidden="1" customHeight="1" x14ac:dyDescent="0.25">
      <c r="B4063" s="13" t="s">
        <v>556</v>
      </c>
      <c r="C4063" s="13" t="s">
        <v>19305</v>
      </c>
      <c r="D4063" s="12" t="s">
        <v>9100</v>
      </c>
      <c r="E4063" s="13" t="s">
        <v>585</v>
      </c>
      <c r="F4063" s="681">
        <v>51.36</v>
      </c>
    </row>
    <row r="4064" spans="2:6" ht="15.75" hidden="1" customHeight="1" x14ac:dyDescent="0.25">
      <c r="B4064" s="13" t="s">
        <v>556</v>
      </c>
      <c r="C4064" s="13" t="s">
        <v>19306</v>
      </c>
      <c r="D4064" s="12" t="s">
        <v>9097</v>
      </c>
      <c r="E4064" s="13" t="s">
        <v>585</v>
      </c>
      <c r="F4064" s="681">
        <v>121.75</v>
      </c>
    </row>
    <row r="4065" spans="2:6" ht="15.75" hidden="1" customHeight="1" x14ac:dyDescent="0.25">
      <c r="B4065" s="13" t="s">
        <v>556</v>
      </c>
      <c r="C4065" s="13" t="s">
        <v>19307</v>
      </c>
      <c r="D4065" s="12" t="s">
        <v>9099</v>
      </c>
      <c r="E4065" s="13" t="s">
        <v>585</v>
      </c>
      <c r="F4065" s="681">
        <v>242.41</v>
      </c>
    </row>
    <row r="4066" spans="2:6" ht="15.75" hidden="1" customHeight="1" x14ac:dyDescent="0.25">
      <c r="B4066" s="13" t="s">
        <v>556</v>
      </c>
      <c r="C4066" s="13" t="s">
        <v>19308</v>
      </c>
      <c r="D4066" s="12" t="s">
        <v>9394</v>
      </c>
      <c r="E4066" s="13" t="s">
        <v>823</v>
      </c>
      <c r="F4066" s="681">
        <v>44.82</v>
      </c>
    </row>
    <row r="4067" spans="2:6" ht="15.75" hidden="1" customHeight="1" x14ac:dyDescent="0.25">
      <c r="B4067" s="13" t="s">
        <v>556</v>
      </c>
      <c r="C4067" s="13" t="s">
        <v>19309</v>
      </c>
      <c r="D4067" s="12" t="s">
        <v>10045</v>
      </c>
      <c r="E4067" s="13" t="s">
        <v>585</v>
      </c>
      <c r="F4067" s="681">
        <v>3.94</v>
      </c>
    </row>
    <row r="4068" spans="2:6" ht="15.75" hidden="1" customHeight="1" x14ac:dyDescent="0.25">
      <c r="B4068" s="13" t="s">
        <v>556</v>
      </c>
      <c r="C4068" s="13" t="s">
        <v>19310</v>
      </c>
      <c r="D4068" s="12" t="s">
        <v>10235</v>
      </c>
      <c r="E4068" s="13" t="s">
        <v>580</v>
      </c>
      <c r="F4068" s="681">
        <v>825.47</v>
      </c>
    </row>
    <row r="4069" spans="2:6" ht="15.75" hidden="1" customHeight="1" x14ac:dyDescent="0.25">
      <c r="B4069" s="13" t="s">
        <v>556</v>
      </c>
      <c r="C4069" s="13" t="s">
        <v>19311</v>
      </c>
      <c r="D4069" s="12" t="s">
        <v>10940</v>
      </c>
      <c r="E4069" s="13" t="s">
        <v>580</v>
      </c>
      <c r="F4069" s="681">
        <v>24</v>
      </c>
    </row>
    <row r="4070" spans="2:6" ht="15.75" hidden="1" customHeight="1" x14ac:dyDescent="0.25">
      <c r="B4070" s="13" t="s">
        <v>556</v>
      </c>
      <c r="C4070" s="13" t="s">
        <v>19312</v>
      </c>
      <c r="D4070" s="12" t="s">
        <v>9006</v>
      </c>
      <c r="E4070" s="13" t="s">
        <v>580</v>
      </c>
      <c r="F4070" s="681">
        <v>33.01</v>
      </c>
    </row>
    <row r="4071" spans="2:6" ht="15.75" hidden="1" customHeight="1" x14ac:dyDescent="0.25">
      <c r="B4071" s="13" t="s">
        <v>556</v>
      </c>
      <c r="C4071" s="13" t="s">
        <v>19313</v>
      </c>
      <c r="D4071" s="12" t="s">
        <v>8890</v>
      </c>
      <c r="E4071" s="13" t="s">
        <v>580</v>
      </c>
      <c r="F4071" s="681">
        <v>1.48</v>
      </c>
    </row>
    <row r="4072" spans="2:6" ht="15.75" hidden="1" customHeight="1" x14ac:dyDescent="0.25">
      <c r="B4072" s="13" t="s">
        <v>556</v>
      </c>
      <c r="C4072" s="13" t="s">
        <v>19314</v>
      </c>
      <c r="D4072" s="12" t="s">
        <v>8889</v>
      </c>
      <c r="E4072" s="13" t="s">
        <v>580</v>
      </c>
      <c r="F4072" s="681">
        <v>0.76</v>
      </c>
    </row>
    <row r="4073" spans="2:6" ht="15.75" hidden="1" customHeight="1" x14ac:dyDescent="0.25">
      <c r="B4073" s="13" t="s">
        <v>556</v>
      </c>
      <c r="C4073" s="13" t="s">
        <v>19315</v>
      </c>
      <c r="D4073" s="12" t="s">
        <v>8893</v>
      </c>
      <c r="E4073" s="13" t="s">
        <v>580</v>
      </c>
      <c r="F4073" s="681">
        <v>0.8</v>
      </c>
    </row>
    <row r="4074" spans="2:6" ht="15.75" hidden="1" customHeight="1" x14ac:dyDescent="0.25">
      <c r="B4074" s="13" t="s">
        <v>556</v>
      </c>
      <c r="C4074" s="13" t="s">
        <v>19316</v>
      </c>
      <c r="D4074" s="12" t="s">
        <v>8886</v>
      </c>
      <c r="E4074" s="13" t="s">
        <v>580</v>
      </c>
      <c r="F4074" s="681">
        <v>1.25</v>
      </c>
    </row>
    <row r="4075" spans="2:6" ht="15.75" hidden="1" customHeight="1" x14ac:dyDescent="0.25">
      <c r="B4075" s="13" t="s">
        <v>556</v>
      </c>
      <c r="C4075" s="13" t="s">
        <v>19317</v>
      </c>
      <c r="D4075" s="12" t="s">
        <v>8887</v>
      </c>
      <c r="E4075" s="13" t="s">
        <v>580</v>
      </c>
      <c r="F4075" s="681">
        <v>1.71</v>
      </c>
    </row>
    <row r="4076" spans="2:6" ht="15.75" hidden="1" customHeight="1" x14ac:dyDescent="0.25">
      <c r="B4076" s="13" t="s">
        <v>556</v>
      </c>
      <c r="C4076" s="13" t="s">
        <v>19318</v>
      </c>
      <c r="D4076" s="12" t="s">
        <v>8894</v>
      </c>
      <c r="E4076" s="13" t="s">
        <v>580</v>
      </c>
      <c r="F4076" s="681">
        <v>1.42</v>
      </c>
    </row>
    <row r="4077" spans="2:6" ht="15.75" hidden="1" customHeight="1" x14ac:dyDescent="0.25">
      <c r="B4077" s="13" t="s">
        <v>556</v>
      </c>
      <c r="C4077" s="13" t="s">
        <v>19319</v>
      </c>
      <c r="D4077" s="12" t="s">
        <v>8895</v>
      </c>
      <c r="E4077" s="13" t="s">
        <v>580</v>
      </c>
      <c r="F4077" s="681">
        <v>1.84</v>
      </c>
    </row>
    <row r="4078" spans="2:6" ht="15.75" hidden="1" customHeight="1" x14ac:dyDescent="0.25">
      <c r="B4078" s="13" t="s">
        <v>556</v>
      </c>
      <c r="C4078" s="13" t="s">
        <v>19320</v>
      </c>
      <c r="D4078" s="12" t="s">
        <v>8896</v>
      </c>
      <c r="E4078" s="13" t="s">
        <v>580</v>
      </c>
      <c r="F4078" s="681">
        <v>1.9</v>
      </c>
    </row>
    <row r="4079" spans="2:6" ht="15.75" hidden="1" customHeight="1" x14ac:dyDescent="0.25">
      <c r="B4079" s="13" t="s">
        <v>556</v>
      </c>
      <c r="C4079" s="13" t="s">
        <v>19321</v>
      </c>
      <c r="D4079" s="12" t="s">
        <v>8897</v>
      </c>
      <c r="E4079" s="13" t="s">
        <v>580</v>
      </c>
      <c r="F4079" s="681">
        <v>2.61</v>
      </c>
    </row>
    <row r="4080" spans="2:6" ht="15.75" hidden="1" customHeight="1" x14ac:dyDescent="0.25">
      <c r="B4080" s="13" t="s">
        <v>556</v>
      </c>
      <c r="C4080" s="13" t="s">
        <v>19322</v>
      </c>
      <c r="D4080" s="12" t="s">
        <v>8899</v>
      </c>
      <c r="E4080" s="13" t="s">
        <v>580</v>
      </c>
      <c r="F4080" s="681">
        <v>1.85</v>
      </c>
    </row>
    <row r="4081" spans="2:6" ht="15.75" hidden="1" customHeight="1" x14ac:dyDescent="0.25">
      <c r="B4081" s="13" t="s">
        <v>556</v>
      </c>
      <c r="C4081" s="13" t="s">
        <v>19323</v>
      </c>
      <c r="D4081" s="12" t="s">
        <v>8900</v>
      </c>
      <c r="E4081" s="13" t="s">
        <v>580</v>
      </c>
      <c r="F4081" s="681">
        <v>2.23</v>
      </c>
    </row>
    <row r="4082" spans="2:6" ht="15.75" hidden="1" customHeight="1" x14ac:dyDescent="0.25">
      <c r="B4082" s="13" t="s">
        <v>556</v>
      </c>
      <c r="C4082" s="13" t="s">
        <v>19324</v>
      </c>
      <c r="D4082" s="12" t="s">
        <v>8901</v>
      </c>
      <c r="E4082" s="13" t="s">
        <v>580</v>
      </c>
      <c r="F4082" s="681">
        <v>1.94</v>
      </c>
    </row>
    <row r="4083" spans="2:6" ht="15.75" hidden="1" customHeight="1" x14ac:dyDescent="0.25">
      <c r="B4083" s="13" t="s">
        <v>14150</v>
      </c>
      <c r="C4083" s="13" t="s">
        <v>19325</v>
      </c>
      <c r="D4083" s="12" t="s">
        <v>19326</v>
      </c>
      <c r="E4083" s="13" t="s">
        <v>580</v>
      </c>
      <c r="F4083" s="681">
        <v>10234033.1</v>
      </c>
    </row>
    <row r="4084" spans="2:6" ht="15.75" hidden="1" customHeight="1" x14ac:dyDescent="0.25">
      <c r="B4084" s="13" t="s">
        <v>14150</v>
      </c>
      <c r="C4084" s="13" t="s">
        <v>19327</v>
      </c>
      <c r="D4084" s="12" t="s">
        <v>19328</v>
      </c>
      <c r="E4084" s="13" t="s">
        <v>580</v>
      </c>
      <c r="F4084" s="681">
        <v>1693800.78</v>
      </c>
    </row>
    <row r="4085" spans="2:6" ht="15.75" hidden="1" customHeight="1" x14ac:dyDescent="0.25">
      <c r="B4085" s="13" t="s">
        <v>14150</v>
      </c>
      <c r="C4085" s="13" t="s">
        <v>19329</v>
      </c>
      <c r="D4085" s="12" t="s">
        <v>19330</v>
      </c>
      <c r="E4085" s="13" t="s">
        <v>580</v>
      </c>
      <c r="F4085" s="681">
        <v>496.26</v>
      </c>
    </row>
    <row r="4086" spans="2:6" ht="15.75" hidden="1" customHeight="1" x14ac:dyDescent="0.25">
      <c r="B4086" s="13" t="s">
        <v>14150</v>
      </c>
      <c r="C4086" s="13" t="s">
        <v>19331</v>
      </c>
      <c r="D4086" s="12" t="s">
        <v>19332</v>
      </c>
      <c r="E4086" s="13" t="s">
        <v>580</v>
      </c>
      <c r="F4086" s="681">
        <v>52.7</v>
      </c>
    </row>
    <row r="4087" spans="2:6" ht="15.75" hidden="1" customHeight="1" x14ac:dyDescent="0.25">
      <c r="B4087" s="13" t="s">
        <v>14150</v>
      </c>
      <c r="C4087" s="13" t="s">
        <v>19333</v>
      </c>
      <c r="D4087" s="12" t="s">
        <v>19334</v>
      </c>
      <c r="E4087" s="13" t="s">
        <v>580</v>
      </c>
      <c r="F4087" s="681">
        <v>2331.2800000000002</v>
      </c>
    </row>
    <row r="4088" spans="2:6" ht="15.75" hidden="1" customHeight="1" x14ac:dyDescent="0.25">
      <c r="B4088" s="13" t="s">
        <v>14150</v>
      </c>
      <c r="C4088" s="13" t="s">
        <v>19335</v>
      </c>
      <c r="D4088" s="12" t="s">
        <v>19336</v>
      </c>
      <c r="E4088" s="13" t="s">
        <v>580</v>
      </c>
      <c r="F4088" s="681">
        <v>2485831.6</v>
      </c>
    </row>
    <row r="4089" spans="2:6" ht="15.75" hidden="1" customHeight="1" x14ac:dyDescent="0.25">
      <c r="B4089" s="13" t="s">
        <v>14150</v>
      </c>
      <c r="C4089" s="13" t="s">
        <v>19337</v>
      </c>
      <c r="D4089" s="12" t="s">
        <v>19338</v>
      </c>
      <c r="E4089" s="13" t="s">
        <v>580</v>
      </c>
      <c r="F4089" s="681">
        <v>1292632.43</v>
      </c>
    </row>
    <row r="4090" spans="2:6" ht="15.75" hidden="1" customHeight="1" x14ac:dyDescent="0.25">
      <c r="B4090" s="13" t="s">
        <v>556</v>
      </c>
      <c r="C4090" s="13" t="s">
        <v>19339</v>
      </c>
      <c r="D4090" s="12" t="s">
        <v>9787</v>
      </c>
      <c r="E4090" s="13" t="s">
        <v>578</v>
      </c>
      <c r="F4090" s="681">
        <v>836.47</v>
      </c>
    </row>
    <row r="4091" spans="2:6" ht="15.75" hidden="1" customHeight="1" x14ac:dyDescent="0.25">
      <c r="B4091" s="13" t="s">
        <v>556</v>
      </c>
      <c r="C4091" s="13" t="s">
        <v>19340</v>
      </c>
      <c r="D4091" s="12" t="s">
        <v>10689</v>
      </c>
      <c r="E4091" s="13" t="s">
        <v>823</v>
      </c>
      <c r="F4091" s="681">
        <v>14.99</v>
      </c>
    </row>
    <row r="4092" spans="2:6" ht="15.75" hidden="1" customHeight="1" x14ac:dyDescent="0.25">
      <c r="B4092" s="13" t="s">
        <v>556</v>
      </c>
      <c r="C4092" s="13" t="s">
        <v>19341</v>
      </c>
      <c r="D4092" s="12" t="s">
        <v>10688</v>
      </c>
      <c r="E4092" s="13" t="s">
        <v>823</v>
      </c>
      <c r="F4092" s="681">
        <v>14.99</v>
      </c>
    </row>
    <row r="4093" spans="2:6" ht="15.75" hidden="1" customHeight="1" x14ac:dyDescent="0.25">
      <c r="B4093" s="13" t="s">
        <v>556</v>
      </c>
      <c r="C4093" s="13" t="s">
        <v>19342</v>
      </c>
      <c r="D4093" s="12" t="s">
        <v>9272</v>
      </c>
      <c r="E4093" s="13" t="s">
        <v>823</v>
      </c>
      <c r="F4093" s="681">
        <v>0.12</v>
      </c>
    </row>
    <row r="4094" spans="2:6" ht="15.75" hidden="1" customHeight="1" x14ac:dyDescent="0.25">
      <c r="B4094" s="13" t="s">
        <v>556</v>
      </c>
      <c r="C4094" s="13" t="s">
        <v>19343</v>
      </c>
      <c r="D4094" s="12" t="s">
        <v>11873</v>
      </c>
      <c r="E4094" s="13" t="s">
        <v>585</v>
      </c>
      <c r="F4094" s="681">
        <v>19.5</v>
      </c>
    </row>
    <row r="4095" spans="2:6" ht="15.75" hidden="1" customHeight="1" x14ac:dyDescent="0.25">
      <c r="B4095" s="13" t="s">
        <v>15210</v>
      </c>
      <c r="C4095" s="13" t="s">
        <v>19344</v>
      </c>
      <c r="D4095" s="12" t="s">
        <v>11352</v>
      </c>
      <c r="E4095" s="13" t="s">
        <v>664</v>
      </c>
      <c r="F4095" s="681">
        <v>15.13</v>
      </c>
    </row>
    <row r="4096" spans="2:6" ht="15.75" hidden="1" customHeight="1" x14ac:dyDescent="0.25">
      <c r="B4096" s="13" t="s">
        <v>556</v>
      </c>
      <c r="C4096" s="13" t="s">
        <v>19345</v>
      </c>
      <c r="D4096" s="12" t="s">
        <v>19346</v>
      </c>
      <c r="E4096" s="13" t="s">
        <v>16563</v>
      </c>
      <c r="F4096" s="681">
        <v>156</v>
      </c>
    </row>
    <row r="4097" spans="2:6" ht="15.75" hidden="1" customHeight="1" x14ac:dyDescent="0.25">
      <c r="B4097" s="13" t="s">
        <v>14150</v>
      </c>
      <c r="C4097" s="13" t="s">
        <v>19347</v>
      </c>
      <c r="D4097" s="12" t="s">
        <v>8988</v>
      </c>
      <c r="E4097" s="13" t="s">
        <v>580</v>
      </c>
      <c r="F4097" s="681">
        <v>236356.02</v>
      </c>
    </row>
    <row r="4098" spans="2:6" ht="15.75" hidden="1" customHeight="1" x14ac:dyDescent="0.25">
      <c r="B4098" s="13" t="s">
        <v>14150</v>
      </c>
      <c r="C4098" s="13" t="s">
        <v>19348</v>
      </c>
      <c r="D4098" s="12" t="s">
        <v>19349</v>
      </c>
      <c r="E4098" s="13" t="s">
        <v>580</v>
      </c>
      <c r="F4098" s="681">
        <v>4225913.71</v>
      </c>
    </row>
    <row r="4099" spans="2:6" ht="15.75" hidden="1" customHeight="1" x14ac:dyDescent="0.25">
      <c r="B4099" s="13" t="s">
        <v>14150</v>
      </c>
      <c r="C4099" s="13" t="s">
        <v>19350</v>
      </c>
      <c r="D4099" s="12" t="s">
        <v>19351</v>
      </c>
      <c r="E4099" s="13" t="s">
        <v>580</v>
      </c>
      <c r="F4099" s="681">
        <v>4023390.68</v>
      </c>
    </row>
    <row r="4100" spans="2:6" ht="15.75" hidden="1" customHeight="1" x14ac:dyDescent="0.25">
      <c r="B4100" s="13" t="s">
        <v>14150</v>
      </c>
      <c r="C4100" s="13" t="s">
        <v>19352</v>
      </c>
      <c r="D4100" s="12" t="s">
        <v>8877</v>
      </c>
      <c r="E4100" s="13" t="s">
        <v>580</v>
      </c>
      <c r="F4100" s="681">
        <v>26659.32</v>
      </c>
    </row>
    <row r="4101" spans="2:6" ht="15.75" hidden="1" customHeight="1" x14ac:dyDescent="0.25">
      <c r="B4101" s="13" t="s">
        <v>14150</v>
      </c>
      <c r="C4101" s="13" t="s">
        <v>19353</v>
      </c>
      <c r="D4101" s="12" t="s">
        <v>10160</v>
      </c>
      <c r="E4101" s="13" t="s">
        <v>580</v>
      </c>
      <c r="F4101" s="681">
        <v>205175.22</v>
      </c>
    </row>
    <row r="4102" spans="2:6" ht="15.75" hidden="1" customHeight="1" x14ac:dyDescent="0.25">
      <c r="B4102" s="13" t="s">
        <v>14150</v>
      </c>
      <c r="C4102" s="13" t="s">
        <v>19354</v>
      </c>
      <c r="D4102" s="12" t="s">
        <v>10157</v>
      </c>
      <c r="E4102" s="13" t="s">
        <v>580</v>
      </c>
      <c r="F4102" s="681">
        <v>111828.87</v>
      </c>
    </row>
    <row r="4103" spans="2:6" ht="15.75" hidden="1" customHeight="1" x14ac:dyDescent="0.25">
      <c r="B4103" s="13" t="s">
        <v>556</v>
      </c>
      <c r="C4103" s="13" t="s">
        <v>19355</v>
      </c>
      <c r="D4103" s="12" t="s">
        <v>9720</v>
      </c>
      <c r="E4103" s="13" t="s">
        <v>580</v>
      </c>
      <c r="F4103" s="681">
        <v>33.619999999999997</v>
      </c>
    </row>
    <row r="4104" spans="2:6" ht="15.75" hidden="1" customHeight="1" x14ac:dyDescent="0.25">
      <c r="B4104" s="13" t="s">
        <v>556</v>
      </c>
      <c r="C4104" s="13" t="s">
        <v>19356</v>
      </c>
      <c r="D4104" s="12" t="s">
        <v>11007</v>
      </c>
      <c r="E4104" s="13" t="s">
        <v>580</v>
      </c>
      <c r="F4104" s="681">
        <v>212.25</v>
      </c>
    </row>
    <row r="4105" spans="2:6" ht="15.75" hidden="1" customHeight="1" x14ac:dyDescent="0.25">
      <c r="B4105" s="13" t="s">
        <v>14153</v>
      </c>
      <c r="C4105" s="13" t="s">
        <v>19357</v>
      </c>
      <c r="D4105" s="12" t="s">
        <v>10712</v>
      </c>
      <c r="E4105" s="13" t="s">
        <v>2193</v>
      </c>
      <c r="F4105" s="681">
        <v>21.22</v>
      </c>
    </row>
    <row r="4106" spans="2:6" ht="15.75" hidden="1" customHeight="1" x14ac:dyDescent="0.25">
      <c r="B4106" s="13" t="s">
        <v>14150</v>
      </c>
      <c r="C4106" s="13" t="s">
        <v>19358</v>
      </c>
      <c r="D4106" s="12" t="s">
        <v>19359</v>
      </c>
      <c r="E4106" s="13" t="s">
        <v>580</v>
      </c>
      <c r="F4106" s="681">
        <v>318204.48</v>
      </c>
    </row>
    <row r="4107" spans="2:6" ht="15.75" hidden="1" customHeight="1" x14ac:dyDescent="0.25">
      <c r="B4107" s="13" t="s">
        <v>14153</v>
      </c>
      <c r="C4107" s="13" t="s">
        <v>19360</v>
      </c>
      <c r="D4107" s="12" t="s">
        <v>8619</v>
      </c>
      <c r="E4107" s="13" t="s">
        <v>2193</v>
      </c>
      <c r="F4107" s="681">
        <v>22.81</v>
      </c>
    </row>
    <row r="4108" spans="2:6" ht="15.75" hidden="1" customHeight="1" x14ac:dyDescent="0.25">
      <c r="B4108" s="13" t="s">
        <v>556</v>
      </c>
      <c r="C4108" s="13" t="s">
        <v>19361</v>
      </c>
      <c r="D4108" s="12" t="s">
        <v>10941</v>
      </c>
      <c r="E4108" s="13" t="s">
        <v>580</v>
      </c>
      <c r="F4108" s="681">
        <v>32.85</v>
      </c>
    </row>
    <row r="4109" spans="2:6" ht="15.75" hidden="1" customHeight="1" x14ac:dyDescent="0.25">
      <c r="B4109" s="13" t="s">
        <v>14153</v>
      </c>
      <c r="C4109" s="13" t="s">
        <v>19362</v>
      </c>
      <c r="D4109" s="12" t="s">
        <v>10784</v>
      </c>
      <c r="E4109" s="13" t="s">
        <v>2193</v>
      </c>
      <c r="F4109" s="681">
        <v>22.92</v>
      </c>
    </row>
    <row r="4110" spans="2:6" ht="15.75" hidden="1" customHeight="1" x14ac:dyDescent="0.25">
      <c r="B4110" s="13" t="s">
        <v>14153</v>
      </c>
      <c r="C4110" s="13" t="s">
        <v>19363</v>
      </c>
      <c r="D4110" s="12" t="s">
        <v>10764</v>
      </c>
      <c r="E4110" s="13" t="s">
        <v>2193</v>
      </c>
      <c r="F4110" s="681">
        <v>22.92</v>
      </c>
    </row>
    <row r="4111" spans="2:6" ht="15.75" hidden="1" customHeight="1" x14ac:dyDescent="0.25">
      <c r="B4111" s="13" t="s">
        <v>14153</v>
      </c>
      <c r="C4111" s="13" t="s">
        <v>19364</v>
      </c>
      <c r="D4111" s="12" t="s">
        <v>10236</v>
      </c>
      <c r="E4111" s="13" t="s">
        <v>2193</v>
      </c>
      <c r="F4111" s="681">
        <v>21.95</v>
      </c>
    </row>
    <row r="4112" spans="2:6" ht="15.75" hidden="1" customHeight="1" x14ac:dyDescent="0.25">
      <c r="B4112" s="13" t="s">
        <v>556</v>
      </c>
      <c r="C4112" s="13" t="s">
        <v>19365</v>
      </c>
      <c r="D4112" s="12" t="s">
        <v>19366</v>
      </c>
      <c r="E4112" s="13" t="s">
        <v>578</v>
      </c>
      <c r="F4112" s="681">
        <v>13.22</v>
      </c>
    </row>
    <row r="4113" spans="2:6" ht="15.75" hidden="1" customHeight="1" x14ac:dyDescent="0.25">
      <c r="B4113" s="13" t="s">
        <v>556</v>
      </c>
      <c r="C4113" s="13" t="s">
        <v>19367</v>
      </c>
      <c r="D4113" s="12" t="s">
        <v>19368</v>
      </c>
      <c r="E4113" s="13" t="s">
        <v>578</v>
      </c>
      <c r="F4113" s="681">
        <v>19.95</v>
      </c>
    </row>
    <row r="4114" spans="2:6" ht="15.75" hidden="1" customHeight="1" x14ac:dyDescent="0.25">
      <c r="B4114" s="13" t="s">
        <v>556</v>
      </c>
      <c r="C4114" s="13" t="s">
        <v>19369</v>
      </c>
      <c r="D4114" s="12" t="s">
        <v>19370</v>
      </c>
      <c r="E4114" s="13" t="s">
        <v>578</v>
      </c>
      <c r="F4114" s="681">
        <v>21.17</v>
      </c>
    </row>
    <row r="4115" spans="2:6" ht="15.75" hidden="1" customHeight="1" x14ac:dyDescent="0.25">
      <c r="B4115" s="13" t="s">
        <v>556</v>
      </c>
      <c r="C4115" s="13" t="s">
        <v>19371</v>
      </c>
      <c r="D4115" s="12" t="s">
        <v>19372</v>
      </c>
      <c r="E4115" s="13" t="s">
        <v>578</v>
      </c>
      <c r="F4115" s="681">
        <v>26.47</v>
      </c>
    </row>
    <row r="4116" spans="2:6" ht="15.75" hidden="1" customHeight="1" x14ac:dyDescent="0.25">
      <c r="B4116" s="13" t="s">
        <v>556</v>
      </c>
      <c r="C4116" s="13" t="s">
        <v>19373</v>
      </c>
      <c r="D4116" s="12" t="s">
        <v>19374</v>
      </c>
      <c r="E4116" s="13" t="s">
        <v>578</v>
      </c>
      <c r="F4116" s="681">
        <v>39.700000000000003</v>
      </c>
    </row>
    <row r="4117" spans="2:6" ht="15.75" hidden="1" customHeight="1" x14ac:dyDescent="0.25">
      <c r="B4117" s="13" t="s">
        <v>556</v>
      </c>
      <c r="C4117" s="13" t="s">
        <v>19375</v>
      </c>
      <c r="D4117" s="12" t="s">
        <v>19376</v>
      </c>
      <c r="E4117" s="13" t="s">
        <v>578</v>
      </c>
      <c r="F4117" s="681">
        <v>53.18</v>
      </c>
    </row>
    <row r="4118" spans="2:6" ht="15.75" hidden="1" customHeight="1" x14ac:dyDescent="0.25">
      <c r="B4118" s="13" t="s">
        <v>556</v>
      </c>
      <c r="C4118" s="13" t="s">
        <v>19377</v>
      </c>
      <c r="D4118" s="12" t="s">
        <v>19378</v>
      </c>
      <c r="E4118" s="13" t="s">
        <v>578</v>
      </c>
      <c r="F4118" s="681">
        <v>66.03</v>
      </c>
    </row>
    <row r="4119" spans="2:6" ht="15.75" hidden="1" customHeight="1" x14ac:dyDescent="0.25">
      <c r="B4119" s="13" t="s">
        <v>556</v>
      </c>
      <c r="C4119" s="13" t="s">
        <v>19379</v>
      </c>
      <c r="D4119" s="12" t="s">
        <v>19380</v>
      </c>
      <c r="E4119" s="13" t="s">
        <v>578</v>
      </c>
      <c r="F4119" s="681">
        <v>42.86</v>
      </c>
    </row>
    <row r="4120" spans="2:6" ht="15.75" hidden="1" customHeight="1" x14ac:dyDescent="0.25">
      <c r="B4120" s="13" t="s">
        <v>556</v>
      </c>
      <c r="C4120" s="13" t="s">
        <v>19381</v>
      </c>
      <c r="D4120" s="12" t="s">
        <v>19382</v>
      </c>
      <c r="E4120" s="13" t="s">
        <v>578</v>
      </c>
      <c r="F4120" s="681">
        <v>14.74</v>
      </c>
    </row>
    <row r="4121" spans="2:6" ht="15.75" hidden="1" customHeight="1" x14ac:dyDescent="0.25">
      <c r="B4121" s="13" t="s">
        <v>556</v>
      </c>
      <c r="C4121" s="13" t="s">
        <v>19383</v>
      </c>
      <c r="D4121" s="12" t="s">
        <v>19384</v>
      </c>
      <c r="E4121" s="13" t="s">
        <v>578</v>
      </c>
      <c r="F4121" s="681">
        <v>20.8</v>
      </c>
    </row>
    <row r="4122" spans="2:6" ht="15.75" hidden="1" customHeight="1" x14ac:dyDescent="0.25">
      <c r="B4122" s="13" t="s">
        <v>556</v>
      </c>
      <c r="C4122" s="13" t="s">
        <v>19385</v>
      </c>
      <c r="D4122" s="12" t="s">
        <v>19386</v>
      </c>
      <c r="E4122" s="13" t="s">
        <v>578</v>
      </c>
      <c r="F4122" s="681">
        <v>23.58</v>
      </c>
    </row>
    <row r="4123" spans="2:6" ht="15.75" hidden="1" customHeight="1" x14ac:dyDescent="0.25">
      <c r="B4123" s="13" t="s">
        <v>556</v>
      </c>
      <c r="C4123" s="13" t="s">
        <v>19387</v>
      </c>
      <c r="D4123" s="12" t="s">
        <v>19388</v>
      </c>
      <c r="E4123" s="13" t="s">
        <v>578</v>
      </c>
      <c r="F4123" s="681">
        <v>28.96</v>
      </c>
    </row>
    <row r="4124" spans="2:6" ht="15.75" hidden="1" customHeight="1" x14ac:dyDescent="0.25">
      <c r="B4124" s="13" t="s">
        <v>556</v>
      </c>
      <c r="C4124" s="13" t="s">
        <v>19389</v>
      </c>
      <c r="D4124" s="12" t="s">
        <v>19390</v>
      </c>
      <c r="E4124" s="13" t="s">
        <v>578</v>
      </c>
      <c r="F4124" s="681">
        <v>57.93</v>
      </c>
    </row>
    <row r="4125" spans="2:6" ht="15.75" hidden="1" customHeight="1" x14ac:dyDescent="0.25">
      <c r="B4125" s="13" t="s">
        <v>556</v>
      </c>
      <c r="C4125" s="13" t="s">
        <v>19391</v>
      </c>
      <c r="D4125" s="12" t="s">
        <v>19392</v>
      </c>
      <c r="E4125" s="13" t="s">
        <v>578</v>
      </c>
      <c r="F4125" s="681">
        <v>72.25</v>
      </c>
    </row>
    <row r="4126" spans="2:6" ht="15.75" hidden="1" customHeight="1" x14ac:dyDescent="0.25">
      <c r="B4126" s="13" t="s">
        <v>556</v>
      </c>
      <c r="C4126" s="13" t="s">
        <v>19393</v>
      </c>
      <c r="D4126" s="12" t="s">
        <v>19394</v>
      </c>
      <c r="E4126" s="13" t="s">
        <v>585</v>
      </c>
      <c r="F4126" s="681">
        <v>1009.03</v>
      </c>
    </row>
    <row r="4127" spans="2:6" ht="15.75" hidden="1" customHeight="1" x14ac:dyDescent="0.25">
      <c r="B4127" s="13" t="s">
        <v>556</v>
      </c>
      <c r="C4127" s="13" t="s">
        <v>19395</v>
      </c>
      <c r="D4127" s="12" t="s">
        <v>19396</v>
      </c>
      <c r="E4127" s="13" t="s">
        <v>585</v>
      </c>
      <c r="F4127" s="681">
        <v>1625.17</v>
      </c>
    </row>
    <row r="4128" spans="2:6" ht="15.75" hidden="1" customHeight="1" x14ac:dyDescent="0.25">
      <c r="B4128" s="13" t="s">
        <v>556</v>
      </c>
      <c r="C4128" s="13" t="s">
        <v>19397</v>
      </c>
      <c r="D4128" s="12" t="s">
        <v>19398</v>
      </c>
      <c r="E4128" s="13" t="s">
        <v>585</v>
      </c>
      <c r="F4128" s="681">
        <v>26.22</v>
      </c>
    </row>
    <row r="4129" spans="2:6" ht="15.75" hidden="1" customHeight="1" x14ac:dyDescent="0.25">
      <c r="B4129" s="13" t="s">
        <v>556</v>
      </c>
      <c r="C4129" s="13" t="s">
        <v>19399</v>
      </c>
      <c r="D4129" s="12" t="s">
        <v>19400</v>
      </c>
      <c r="E4129" s="13" t="s">
        <v>585</v>
      </c>
      <c r="F4129" s="681">
        <v>2853.21</v>
      </c>
    </row>
    <row r="4130" spans="2:6" ht="15.75" hidden="1" customHeight="1" x14ac:dyDescent="0.25">
      <c r="B4130" s="13" t="s">
        <v>556</v>
      </c>
      <c r="C4130" s="13" t="s">
        <v>19401</v>
      </c>
      <c r="D4130" s="12" t="s">
        <v>19402</v>
      </c>
      <c r="E4130" s="13" t="s">
        <v>585</v>
      </c>
      <c r="F4130" s="681">
        <v>4243.5200000000004</v>
      </c>
    </row>
    <row r="4131" spans="2:6" ht="15.75" hidden="1" customHeight="1" x14ac:dyDescent="0.25">
      <c r="B4131" s="13" t="s">
        <v>556</v>
      </c>
      <c r="C4131" s="13" t="s">
        <v>19403</v>
      </c>
      <c r="D4131" s="12" t="s">
        <v>19404</v>
      </c>
      <c r="E4131" s="13" t="s">
        <v>585</v>
      </c>
      <c r="F4131" s="681">
        <v>58.63</v>
      </c>
    </row>
    <row r="4132" spans="2:6" ht="15.75" hidden="1" customHeight="1" x14ac:dyDescent="0.25">
      <c r="B4132" s="13" t="s">
        <v>556</v>
      </c>
      <c r="C4132" s="13" t="s">
        <v>19405</v>
      </c>
      <c r="D4132" s="12" t="s">
        <v>19406</v>
      </c>
      <c r="E4132" s="13" t="s">
        <v>585</v>
      </c>
      <c r="F4132" s="681">
        <v>4554.3999999999996</v>
      </c>
    </row>
    <row r="4133" spans="2:6" ht="15.75" hidden="1" customHeight="1" x14ac:dyDescent="0.25">
      <c r="B4133" s="13" t="s">
        <v>556</v>
      </c>
      <c r="C4133" s="13" t="s">
        <v>19407</v>
      </c>
      <c r="D4133" s="12" t="s">
        <v>19408</v>
      </c>
      <c r="E4133" s="13" t="s">
        <v>585</v>
      </c>
      <c r="F4133" s="681">
        <v>123.07</v>
      </c>
    </row>
    <row r="4134" spans="2:6" ht="15.75" hidden="1" customHeight="1" x14ac:dyDescent="0.25">
      <c r="B4134" s="13" t="s">
        <v>556</v>
      </c>
      <c r="C4134" s="13" t="s">
        <v>19409</v>
      </c>
      <c r="D4134" s="12" t="s">
        <v>19410</v>
      </c>
      <c r="E4134" s="13" t="s">
        <v>585</v>
      </c>
      <c r="F4134" s="681">
        <v>2128.02</v>
      </c>
    </row>
    <row r="4135" spans="2:6" ht="15.75" hidden="1" customHeight="1" x14ac:dyDescent="0.25">
      <c r="B4135" s="13" t="s">
        <v>556</v>
      </c>
      <c r="C4135" s="13" t="s">
        <v>19411</v>
      </c>
      <c r="D4135" s="12" t="s">
        <v>9388</v>
      </c>
      <c r="E4135" s="13" t="s">
        <v>823</v>
      </c>
      <c r="F4135" s="681">
        <v>3.09</v>
      </c>
    </row>
    <row r="4136" spans="2:6" ht="15.75" hidden="1" customHeight="1" x14ac:dyDescent="0.25">
      <c r="B4136" s="13" t="s">
        <v>556</v>
      </c>
      <c r="C4136" s="13" t="s">
        <v>19412</v>
      </c>
      <c r="D4136" s="12" t="s">
        <v>11461</v>
      </c>
      <c r="E4136" s="13" t="s">
        <v>578</v>
      </c>
      <c r="F4136" s="681">
        <v>22.55</v>
      </c>
    </row>
    <row r="4137" spans="2:6" ht="15.75" hidden="1" customHeight="1" x14ac:dyDescent="0.25">
      <c r="B4137" s="13" t="s">
        <v>556</v>
      </c>
      <c r="C4137" s="13" t="s">
        <v>19413</v>
      </c>
      <c r="D4137" s="12" t="s">
        <v>11148</v>
      </c>
      <c r="E4137" s="13" t="s">
        <v>580</v>
      </c>
      <c r="F4137" s="681">
        <v>75.400000000000006</v>
      </c>
    </row>
    <row r="4138" spans="2:6" ht="15.75" hidden="1" customHeight="1" x14ac:dyDescent="0.25">
      <c r="B4138" s="13" t="s">
        <v>556</v>
      </c>
      <c r="C4138" s="13" t="s">
        <v>19414</v>
      </c>
      <c r="D4138" s="12" t="s">
        <v>9717</v>
      </c>
      <c r="E4138" s="13" t="s">
        <v>580</v>
      </c>
      <c r="F4138" s="681">
        <v>131.54</v>
      </c>
    </row>
    <row r="4139" spans="2:6" ht="15.75" hidden="1" customHeight="1" x14ac:dyDescent="0.25">
      <c r="B4139" s="13" t="s">
        <v>556</v>
      </c>
      <c r="C4139" s="13" t="s">
        <v>19415</v>
      </c>
      <c r="D4139" s="12" t="s">
        <v>9716</v>
      </c>
      <c r="E4139" s="13" t="s">
        <v>580</v>
      </c>
      <c r="F4139" s="681">
        <v>41.39</v>
      </c>
    </row>
    <row r="4140" spans="2:6" ht="15.75" hidden="1" customHeight="1" x14ac:dyDescent="0.25">
      <c r="B4140" s="13" t="s">
        <v>556</v>
      </c>
      <c r="C4140" s="13" t="s">
        <v>19416</v>
      </c>
      <c r="D4140" s="12" t="s">
        <v>9721</v>
      </c>
      <c r="E4140" s="13" t="s">
        <v>580</v>
      </c>
      <c r="F4140" s="681">
        <v>31.75</v>
      </c>
    </row>
    <row r="4141" spans="2:6" ht="15.75" hidden="1" customHeight="1" x14ac:dyDescent="0.25">
      <c r="B4141" s="13" t="s">
        <v>556</v>
      </c>
      <c r="C4141" s="13" t="s">
        <v>19417</v>
      </c>
      <c r="D4141" s="12" t="s">
        <v>9722</v>
      </c>
      <c r="E4141" s="13" t="s">
        <v>580</v>
      </c>
      <c r="F4141" s="681">
        <v>8.27</v>
      </c>
    </row>
    <row r="4142" spans="2:6" ht="15.75" hidden="1" customHeight="1" x14ac:dyDescent="0.25">
      <c r="B4142" s="13" t="s">
        <v>12140</v>
      </c>
      <c r="C4142" s="13" t="s">
        <v>19418</v>
      </c>
      <c r="D4142" s="12" t="s">
        <v>11266</v>
      </c>
      <c r="E4142" s="13" t="s">
        <v>664</v>
      </c>
      <c r="F4142" s="681">
        <v>43.18</v>
      </c>
    </row>
    <row r="4143" spans="2:6" ht="15.75" hidden="1" customHeight="1" x14ac:dyDescent="0.25">
      <c r="B4143" s="13" t="s">
        <v>556</v>
      </c>
      <c r="C4143" s="13" t="s">
        <v>19419</v>
      </c>
      <c r="D4143" s="12" t="s">
        <v>11276</v>
      </c>
      <c r="E4143" s="13" t="s">
        <v>823</v>
      </c>
      <c r="F4143" s="681">
        <v>2.78</v>
      </c>
    </row>
    <row r="4144" spans="2:6" ht="15.75" hidden="1" customHeight="1" x14ac:dyDescent="0.25">
      <c r="B4144" s="13" t="s">
        <v>556</v>
      </c>
      <c r="C4144" s="13" t="s">
        <v>19420</v>
      </c>
      <c r="D4144" s="12" t="s">
        <v>11061</v>
      </c>
      <c r="E4144" s="13" t="s">
        <v>8106</v>
      </c>
      <c r="F4144" s="681">
        <v>336.52</v>
      </c>
    </row>
    <row r="4145" spans="2:6" ht="15.75" hidden="1" customHeight="1" x14ac:dyDescent="0.25">
      <c r="B4145" s="13" t="s">
        <v>556</v>
      </c>
      <c r="C4145" s="13" t="s">
        <v>19421</v>
      </c>
      <c r="D4145" s="12" t="s">
        <v>9927</v>
      </c>
      <c r="E4145" s="13" t="s">
        <v>580</v>
      </c>
      <c r="F4145" s="681">
        <v>76.430000000000007</v>
      </c>
    </row>
    <row r="4146" spans="2:6" ht="15.75" hidden="1" customHeight="1" x14ac:dyDescent="0.25">
      <c r="B4146" s="13" t="s">
        <v>556</v>
      </c>
      <c r="C4146" s="13" t="s">
        <v>19422</v>
      </c>
      <c r="D4146" s="12" t="s">
        <v>10033</v>
      </c>
      <c r="E4146" s="13" t="s">
        <v>823</v>
      </c>
      <c r="F4146" s="681">
        <v>3.13</v>
      </c>
    </row>
    <row r="4147" spans="2:6" ht="15.75" hidden="1" customHeight="1" x14ac:dyDescent="0.25">
      <c r="B4147" s="13" t="s">
        <v>556</v>
      </c>
      <c r="C4147" s="13" t="s">
        <v>19423</v>
      </c>
      <c r="D4147" s="12" t="s">
        <v>10958</v>
      </c>
      <c r="E4147" s="13" t="s">
        <v>578</v>
      </c>
      <c r="F4147" s="681">
        <v>482.18</v>
      </c>
    </row>
    <row r="4148" spans="2:6" ht="15.75" hidden="1" customHeight="1" x14ac:dyDescent="0.25">
      <c r="B4148" s="13" t="s">
        <v>556</v>
      </c>
      <c r="C4148" s="13" t="s">
        <v>19424</v>
      </c>
      <c r="D4148" s="12" t="s">
        <v>10969</v>
      </c>
      <c r="E4148" s="13" t="s">
        <v>578</v>
      </c>
      <c r="F4148" s="681">
        <v>398.32</v>
      </c>
    </row>
    <row r="4149" spans="2:6" ht="15.75" hidden="1" customHeight="1" x14ac:dyDescent="0.25">
      <c r="B4149" s="13" t="s">
        <v>556</v>
      </c>
      <c r="C4149" s="13" t="s">
        <v>19425</v>
      </c>
      <c r="D4149" s="12" t="s">
        <v>19426</v>
      </c>
      <c r="E4149" s="13" t="s">
        <v>585</v>
      </c>
      <c r="F4149" s="681">
        <v>2776.35</v>
      </c>
    </row>
    <row r="4150" spans="2:6" ht="15.75" hidden="1" customHeight="1" x14ac:dyDescent="0.25">
      <c r="B4150" s="13" t="s">
        <v>556</v>
      </c>
      <c r="C4150" s="13" t="s">
        <v>19427</v>
      </c>
      <c r="D4150" s="12" t="s">
        <v>19428</v>
      </c>
      <c r="E4150" s="13" t="s">
        <v>585</v>
      </c>
      <c r="F4150" s="681">
        <v>5021.42</v>
      </c>
    </row>
    <row r="4151" spans="2:6" ht="15.75" hidden="1" customHeight="1" x14ac:dyDescent="0.25">
      <c r="B4151" s="13" t="s">
        <v>556</v>
      </c>
      <c r="C4151" s="13" t="s">
        <v>19429</v>
      </c>
      <c r="D4151" s="12" t="s">
        <v>19430</v>
      </c>
      <c r="E4151" s="13" t="s">
        <v>585</v>
      </c>
      <c r="F4151" s="681">
        <v>264.17</v>
      </c>
    </row>
    <row r="4152" spans="2:6" ht="15.75" hidden="1" customHeight="1" x14ac:dyDescent="0.25">
      <c r="B4152" s="13" t="s">
        <v>556</v>
      </c>
      <c r="C4152" s="13" t="s">
        <v>19431</v>
      </c>
      <c r="D4152" s="12" t="s">
        <v>19432</v>
      </c>
      <c r="E4152" s="13" t="s">
        <v>585</v>
      </c>
      <c r="F4152" s="681">
        <v>411.8</v>
      </c>
    </row>
    <row r="4153" spans="2:6" ht="15.75" hidden="1" customHeight="1" x14ac:dyDescent="0.25">
      <c r="B4153" s="13" t="s">
        <v>14150</v>
      </c>
      <c r="C4153" s="13" t="s">
        <v>19433</v>
      </c>
      <c r="D4153" s="12" t="s">
        <v>10927</v>
      </c>
      <c r="E4153" s="13" t="s">
        <v>580</v>
      </c>
      <c r="F4153" s="681">
        <v>2847739.95</v>
      </c>
    </row>
    <row r="4154" spans="2:6" ht="15.75" hidden="1" customHeight="1" x14ac:dyDescent="0.25">
      <c r="B4154" s="13" t="s">
        <v>14150</v>
      </c>
      <c r="C4154" s="13" t="s">
        <v>19434</v>
      </c>
      <c r="D4154" s="12" t="s">
        <v>10929</v>
      </c>
      <c r="E4154" s="13" t="s">
        <v>580</v>
      </c>
      <c r="F4154" s="681">
        <v>6533237.8700000001</v>
      </c>
    </row>
    <row r="4155" spans="2:6" ht="15.75" hidden="1" customHeight="1" x14ac:dyDescent="0.25">
      <c r="B4155" s="13" t="s">
        <v>14150</v>
      </c>
      <c r="C4155" s="13" t="s">
        <v>19435</v>
      </c>
      <c r="D4155" s="12" t="s">
        <v>10928</v>
      </c>
      <c r="E4155" s="13" t="s">
        <v>580</v>
      </c>
      <c r="F4155" s="681">
        <v>8934342.3499999996</v>
      </c>
    </row>
    <row r="4156" spans="2:6" ht="15.75" hidden="1" customHeight="1" x14ac:dyDescent="0.25">
      <c r="B4156" s="13" t="s">
        <v>556</v>
      </c>
      <c r="C4156" s="13" t="s">
        <v>19436</v>
      </c>
      <c r="D4156" s="12" t="s">
        <v>11241</v>
      </c>
      <c r="E4156" s="13" t="s">
        <v>585</v>
      </c>
      <c r="F4156" s="681">
        <v>10.58</v>
      </c>
    </row>
    <row r="4157" spans="2:6" ht="15.75" hidden="1" customHeight="1" x14ac:dyDescent="0.25">
      <c r="B4157" s="13" t="s">
        <v>556</v>
      </c>
      <c r="C4157" s="13" t="s">
        <v>19437</v>
      </c>
      <c r="D4157" s="12" t="s">
        <v>11063</v>
      </c>
      <c r="E4157" s="13" t="s">
        <v>585</v>
      </c>
      <c r="F4157" s="681">
        <v>49.68</v>
      </c>
    </row>
    <row r="4158" spans="2:6" ht="15.75" hidden="1" customHeight="1" x14ac:dyDescent="0.25">
      <c r="B4158" s="13" t="s">
        <v>556</v>
      </c>
      <c r="C4158" s="13" t="s">
        <v>19438</v>
      </c>
      <c r="D4158" s="12" t="s">
        <v>10449</v>
      </c>
      <c r="E4158" s="13" t="s">
        <v>823</v>
      </c>
      <c r="F4158" s="681">
        <v>50.54</v>
      </c>
    </row>
    <row r="4159" spans="2:6" ht="15.75" hidden="1" customHeight="1" x14ac:dyDescent="0.25">
      <c r="B4159" s="13" t="s">
        <v>556</v>
      </c>
      <c r="C4159" s="13" t="s">
        <v>19439</v>
      </c>
      <c r="D4159" s="12" t="s">
        <v>11065</v>
      </c>
      <c r="E4159" s="13" t="s">
        <v>585</v>
      </c>
      <c r="F4159" s="681">
        <v>137.5</v>
      </c>
    </row>
    <row r="4160" spans="2:6" ht="15.75" hidden="1" customHeight="1" x14ac:dyDescent="0.25">
      <c r="B4160" s="13" t="s">
        <v>556</v>
      </c>
      <c r="C4160" s="13" t="s">
        <v>19440</v>
      </c>
      <c r="D4160" s="12" t="s">
        <v>11877</v>
      </c>
      <c r="E4160" s="13" t="s">
        <v>585</v>
      </c>
      <c r="F4160" s="681">
        <v>39.630000000000003</v>
      </c>
    </row>
    <row r="4161" spans="2:6" ht="15.75" hidden="1" customHeight="1" x14ac:dyDescent="0.25">
      <c r="B4161" s="13" t="s">
        <v>556</v>
      </c>
      <c r="C4161" s="13" t="s">
        <v>19441</v>
      </c>
      <c r="D4161" s="12" t="s">
        <v>11879</v>
      </c>
      <c r="E4161" s="13" t="s">
        <v>585</v>
      </c>
      <c r="F4161" s="681">
        <v>61.32</v>
      </c>
    </row>
    <row r="4162" spans="2:6" ht="15.75" hidden="1" customHeight="1" x14ac:dyDescent="0.25">
      <c r="B4162" s="13" t="s">
        <v>556</v>
      </c>
      <c r="C4162" s="13" t="s">
        <v>19442</v>
      </c>
      <c r="D4162" s="12" t="s">
        <v>11666</v>
      </c>
      <c r="E4162" s="13" t="s">
        <v>585</v>
      </c>
      <c r="F4162" s="681">
        <v>458.78</v>
      </c>
    </row>
    <row r="4163" spans="2:6" ht="15.75" hidden="1" customHeight="1" x14ac:dyDescent="0.25">
      <c r="B4163" s="13" t="s">
        <v>556</v>
      </c>
      <c r="C4163" s="13" t="s">
        <v>19443</v>
      </c>
      <c r="D4163" s="12" t="s">
        <v>11004</v>
      </c>
      <c r="E4163" s="13" t="s">
        <v>585</v>
      </c>
      <c r="F4163" s="681">
        <v>7.36</v>
      </c>
    </row>
    <row r="4164" spans="2:6" ht="15.75" hidden="1" customHeight="1" x14ac:dyDescent="0.25">
      <c r="B4164" s="13" t="s">
        <v>556</v>
      </c>
      <c r="C4164" s="13" t="s">
        <v>19444</v>
      </c>
      <c r="D4164" s="12" t="s">
        <v>19445</v>
      </c>
      <c r="E4164" s="13" t="s">
        <v>580</v>
      </c>
      <c r="F4164" s="681">
        <v>2.85</v>
      </c>
    </row>
    <row r="4165" spans="2:6" ht="15.75" hidden="1" customHeight="1" x14ac:dyDescent="0.25">
      <c r="B4165" s="13" t="s">
        <v>556</v>
      </c>
      <c r="C4165" s="13" t="s">
        <v>19446</v>
      </c>
      <c r="D4165" s="12" t="s">
        <v>11267</v>
      </c>
      <c r="E4165" s="13" t="s">
        <v>580</v>
      </c>
      <c r="F4165" s="681">
        <v>10</v>
      </c>
    </row>
    <row r="4166" spans="2:6" ht="15.75" hidden="1" customHeight="1" x14ac:dyDescent="0.25">
      <c r="B4166" s="13" t="s">
        <v>556</v>
      </c>
      <c r="C4166" s="13" t="s">
        <v>19447</v>
      </c>
      <c r="D4166" s="12" t="s">
        <v>11207</v>
      </c>
      <c r="E4166" s="13" t="s">
        <v>578</v>
      </c>
      <c r="F4166" s="681">
        <v>96.61</v>
      </c>
    </row>
    <row r="4167" spans="2:6" ht="15.75" hidden="1" customHeight="1" x14ac:dyDescent="0.25">
      <c r="B4167" s="13" t="s">
        <v>556</v>
      </c>
      <c r="C4167" s="13" t="s">
        <v>19448</v>
      </c>
      <c r="D4167" s="12" t="s">
        <v>11208</v>
      </c>
      <c r="E4167" s="13" t="s">
        <v>578</v>
      </c>
      <c r="F4167" s="681">
        <v>141.18</v>
      </c>
    </row>
    <row r="4168" spans="2:6" ht="15.75" hidden="1" customHeight="1" x14ac:dyDescent="0.25">
      <c r="B4168" s="13" t="s">
        <v>556</v>
      </c>
      <c r="C4168" s="13" t="s">
        <v>19449</v>
      </c>
      <c r="D4168" s="12" t="s">
        <v>11872</v>
      </c>
      <c r="E4168" s="13" t="s">
        <v>585</v>
      </c>
      <c r="F4168" s="681">
        <v>14.19</v>
      </c>
    </row>
    <row r="4169" spans="2:6" ht="15.75" hidden="1" customHeight="1" x14ac:dyDescent="0.25">
      <c r="B4169" s="13" t="s">
        <v>14150</v>
      </c>
      <c r="C4169" s="13" t="s">
        <v>19450</v>
      </c>
      <c r="D4169" s="12" t="s">
        <v>10919</v>
      </c>
      <c r="E4169" s="13" t="s">
        <v>580</v>
      </c>
      <c r="F4169" s="681">
        <v>15257.33</v>
      </c>
    </row>
    <row r="4170" spans="2:6" ht="15.75" hidden="1" customHeight="1" x14ac:dyDescent="0.25">
      <c r="B4170" s="13" t="s">
        <v>556</v>
      </c>
      <c r="C4170" s="13" t="s">
        <v>19451</v>
      </c>
      <c r="D4170" s="12" t="s">
        <v>11237</v>
      </c>
      <c r="E4170" s="13" t="s">
        <v>585</v>
      </c>
      <c r="F4170" s="681">
        <v>3.73</v>
      </c>
    </row>
    <row r="4171" spans="2:6" ht="15.75" hidden="1" customHeight="1" x14ac:dyDescent="0.25">
      <c r="B4171" s="13" t="s">
        <v>14150</v>
      </c>
      <c r="C4171" s="13" t="s">
        <v>19452</v>
      </c>
      <c r="D4171" s="12" t="s">
        <v>9920</v>
      </c>
      <c r="E4171" s="13" t="s">
        <v>580</v>
      </c>
      <c r="F4171" s="681">
        <v>1106276.27</v>
      </c>
    </row>
    <row r="4172" spans="2:6" ht="15.75" hidden="1" customHeight="1" x14ac:dyDescent="0.25">
      <c r="B4172" s="13" t="s">
        <v>556</v>
      </c>
      <c r="C4172" s="13" t="s">
        <v>19453</v>
      </c>
      <c r="D4172" s="12" t="s">
        <v>11238</v>
      </c>
      <c r="E4172" s="13" t="s">
        <v>585</v>
      </c>
      <c r="F4172" s="681">
        <v>1.78</v>
      </c>
    </row>
    <row r="4173" spans="2:6" ht="15.75" hidden="1" customHeight="1" x14ac:dyDescent="0.25">
      <c r="B4173" s="13" t="s">
        <v>556</v>
      </c>
      <c r="C4173" s="13" t="s">
        <v>19454</v>
      </c>
      <c r="D4173" s="12" t="s">
        <v>9210</v>
      </c>
      <c r="E4173" s="13" t="s">
        <v>585</v>
      </c>
      <c r="F4173" s="681">
        <v>5.18</v>
      </c>
    </row>
    <row r="4174" spans="2:6" ht="15.75" hidden="1" customHeight="1" x14ac:dyDescent="0.25">
      <c r="B4174" s="13" t="s">
        <v>556</v>
      </c>
      <c r="C4174" s="13" t="s">
        <v>19455</v>
      </c>
      <c r="D4174" s="12" t="s">
        <v>8605</v>
      </c>
      <c r="E4174" s="13" t="s">
        <v>823</v>
      </c>
      <c r="F4174" s="681">
        <v>32.380000000000003</v>
      </c>
    </row>
    <row r="4175" spans="2:6" ht="15.75" hidden="1" customHeight="1" x14ac:dyDescent="0.25">
      <c r="B4175" s="13" t="s">
        <v>556</v>
      </c>
      <c r="C4175" s="13" t="s">
        <v>19456</v>
      </c>
      <c r="D4175" s="12" t="s">
        <v>11239</v>
      </c>
      <c r="E4175" s="13" t="s">
        <v>585</v>
      </c>
      <c r="F4175" s="681">
        <v>2.57</v>
      </c>
    </row>
    <row r="4176" spans="2:6" ht="15.75" hidden="1" customHeight="1" x14ac:dyDescent="0.25">
      <c r="B4176" s="13" t="s">
        <v>556</v>
      </c>
      <c r="C4176" s="13" t="s">
        <v>19457</v>
      </c>
      <c r="D4176" s="12" t="s">
        <v>10960</v>
      </c>
      <c r="E4176" s="13" t="s">
        <v>578</v>
      </c>
      <c r="F4176" s="681">
        <v>59.9</v>
      </c>
    </row>
    <row r="4177" spans="2:6" ht="15.75" hidden="1" customHeight="1" x14ac:dyDescent="0.25">
      <c r="B4177" s="13" t="s">
        <v>556</v>
      </c>
      <c r="C4177" s="13" t="s">
        <v>19458</v>
      </c>
      <c r="D4177" s="12" t="s">
        <v>10961</v>
      </c>
      <c r="E4177" s="13" t="s">
        <v>578</v>
      </c>
      <c r="F4177" s="681">
        <v>101.62</v>
      </c>
    </row>
    <row r="4178" spans="2:6" ht="15.75" hidden="1" customHeight="1" x14ac:dyDescent="0.25">
      <c r="B4178" s="13" t="s">
        <v>556</v>
      </c>
      <c r="C4178" s="13" t="s">
        <v>19459</v>
      </c>
      <c r="D4178" s="12" t="s">
        <v>19460</v>
      </c>
      <c r="E4178" s="13" t="s">
        <v>580</v>
      </c>
      <c r="F4178" s="681">
        <v>50.2</v>
      </c>
    </row>
    <row r="4179" spans="2:6" ht="15.75" hidden="1" customHeight="1" x14ac:dyDescent="0.25">
      <c r="B4179" s="13" t="s">
        <v>556</v>
      </c>
      <c r="C4179" s="13" t="s">
        <v>19461</v>
      </c>
      <c r="D4179" s="12" t="s">
        <v>19462</v>
      </c>
      <c r="E4179" s="13" t="s">
        <v>580</v>
      </c>
      <c r="F4179" s="681">
        <v>85.83</v>
      </c>
    </row>
    <row r="4180" spans="2:6" ht="15.75" hidden="1" customHeight="1" x14ac:dyDescent="0.25">
      <c r="B4180" s="13" t="s">
        <v>556</v>
      </c>
      <c r="C4180" s="13" t="s">
        <v>19463</v>
      </c>
      <c r="D4180" s="12" t="s">
        <v>19464</v>
      </c>
      <c r="E4180" s="13" t="s">
        <v>578</v>
      </c>
      <c r="F4180" s="681">
        <v>40.61</v>
      </c>
    </row>
    <row r="4181" spans="2:6" ht="15.75" hidden="1" customHeight="1" x14ac:dyDescent="0.25">
      <c r="B4181" s="13" t="s">
        <v>556</v>
      </c>
      <c r="C4181" s="13" t="s">
        <v>19465</v>
      </c>
      <c r="D4181" s="12" t="s">
        <v>19466</v>
      </c>
      <c r="E4181" s="13" t="s">
        <v>578</v>
      </c>
      <c r="F4181" s="681">
        <v>163.16999999999999</v>
      </c>
    </row>
    <row r="4182" spans="2:6" ht="15.75" hidden="1" customHeight="1" x14ac:dyDescent="0.25">
      <c r="B4182" s="13" t="s">
        <v>556</v>
      </c>
      <c r="C4182" s="13" t="s">
        <v>19467</v>
      </c>
      <c r="D4182" s="12" t="s">
        <v>19468</v>
      </c>
      <c r="E4182" s="13" t="s">
        <v>578</v>
      </c>
      <c r="F4182" s="681">
        <v>255.82</v>
      </c>
    </row>
    <row r="4183" spans="2:6" ht="15.75" hidden="1" customHeight="1" x14ac:dyDescent="0.25">
      <c r="B4183" s="13" t="s">
        <v>556</v>
      </c>
      <c r="C4183" s="13" t="s">
        <v>19469</v>
      </c>
      <c r="D4183" s="12" t="s">
        <v>19470</v>
      </c>
      <c r="E4183" s="13" t="s">
        <v>578</v>
      </c>
      <c r="F4183" s="681">
        <v>79.77</v>
      </c>
    </row>
    <row r="4184" spans="2:6" ht="15.75" hidden="1" customHeight="1" x14ac:dyDescent="0.25">
      <c r="B4184" s="13" t="s">
        <v>556</v>
      </c>
      <c r="C4184" s="13" t="s">
        <v>19471</v>
      </c>
      <c r="D4184" s="12" t="s">
        <v>10883</v>
      </c>
      <c r="E4184" s="13" t="s">
        <v>664</v>
      </c>
      <c r="F4184" s="681">
        <v>78.19</v>
      </c>
    </row>
    <row r="4185" spans="2:6" ht="15.75" hidden="1" customHeight="1" x14ac:dyDescent="0.25">
      <c r="B4185" s="13" t="s">
        <v>556</v>
      </c>
      <c r="C4185" s="13" t="s">
        <v>19472</v>
      </c>
      <c r="D4185" s="12" t="s">
        <v>10881</v>
      </c>
      <c r="E4185" s="13" t="s">
        <v>664</v>
      </c>
      <c r="F4185" s="681">
        <v>89.8</v>
      </c>
    </row>
    <row r="4186" spans="2:6" ht="15.75" hidden="1" customHeight="1" x14ac:dyDescent="0.25">
      <c r="B4186" s="13" t="s">
        <v>556</v>
      </c>
      <c r="C4186" s="13" t="s">
        <v>19473</v>
      </c>
      <c r="D4186" s="12" t="s">
        <v>10882</v>
      </c>
      <c r="E4186" s="13" t="s">
        <v>664</v>
      </c>
      <c r="F4186" s="681">
        <v>77.78</v>
      </c>
    </row>
    <row r="4187" spans="2:6" ht="15.75" hidden="1" customHeight="1" x14ac:dyDescent="0.25">
      <c r="B4187" s="13" t="s">
        <v>556</v>
      </c>
      <c r="C4187" s="13" t="s">
        <v>19474</v>
      </c>
      <c r="D4187" s="12" t="s">
        <v>10884</v>
      </c>
      <c r="E4187" s="13" t="s">
        <v>664</v>
      </c>
      <c r="F4187" s="681">
        <v>73.47</v>
      </c>
    </row>
    <row r="4188" spans="2:6" ht="15.75" hidden="1" customHeight="1" x14ac:dyDescent="0.25">
      <c r="B4188" s="13" t="s">
        <v>556</v>
      </c>
      <c r="C4188" s="13" t="s">
        <v>19475</v>
      </c>
      <c r="D4188" s="12" t="s">
        <v>10885</v>
      </c>
      <c r="E4188" s="13" t="s">
        <v>664</v>
      </c>
      <c r="F4188" s="681">
        <v>73.11</v>
      </c>
    </row>
    <row r="4189" spans="2:6" ht="15.75" hidden="1" customHeight="1" x14ac:dyDescent="0.25">
      <c r="B4189" s="13" t="s">
        <v>556</v>
      </c>
      <c r="C4189" s="13" t="s">
        <v>19476</v>
      </c>
      <c r="D4189" s="12" t="s">
        <v>11246</v>
      </c>
      <c r="E4189" s="13" t="s">
        <v>664</v>
      </c>
      <c r="F4189" s="681">
        <v>255.68</v>
      </c>
    </row>
    <row r="4190" spans="2:6" ht="15.75" hidden="1" customHeight="1" x14ac:dyDescent="0.25">
      <c r="B4190" s="13" t="s">
        <v>556</v>
      </c>
      <c r="C4190" s="13" t="s">
        <v>19477</v>
      </c>
      <c r="D4190" s="12" t="s">
        <v>11001</v>
      </c>
      <c r="E4190" s="13" t="s">
        <v>664</v>
      </c>
      <c r="F4190" s="681">
        <v>73.47</v>
      </c>
    </row>
    <row r="4191" spans="2:6" ht="15.75" hidden="1" customHeight="1" x14ac:dyDescent="0.25">
      <c r="B4191" s="13" t="s">
        <v>14153</v>
      </c>
      <c r="C4191" s="13" t="s">
        <v>19478</v>
      </c>
      <c r="D4191" s="12" t="s">
        <v>10887</v>
      </c>
      <c r="E4191" s="13" t="s">
        <v>2193</v>
      </c>
      <c r="F4191" s="681">
        <v>24.62</v>
      </c>
    </row>
    <row r="4192" spans="2:6" ht="15.75" hidden="1" customHeight="1" x14ac:dyDescent="0.25">
      <c r="B4192" s="13" t="s">
        <v>14153</v>
      </c>
      <c r="C4192" s="13" t="s">
        <v>19479</v>
      </c>
      <c r="D4192" s="12" t="s">
        <v>10871</v>
      </c>
      <c r="E4192" s="13" t="s">
        <v>2193</v>
      </c>
      <c r="F4192" s="681">
        <v>24.62</v>
      </c>
    </row>
    <row r="4193" spans="2:6" ht="15.75" hidden="1" customHeight="1" x14ac:dyDescent="0.25">
      <c r="B4193" s="13" t="s">
        <v>14153</v>
      </c>
      <c r="C4193" s="13" t="s">
        <v>19480</v>
      </c>
      <c r="D4193" s="12" t="s">
        <v>11002</v>
      </c>
      <c r="E4193" s="13" t="s">
        <v>2193</v>
      </c>
      <c r="F4193" s="681">
        <v>21.22</v>
      </c>
    </row>
    <row r="4194" spans="2:6" ht="15.75" hidden="1" customHeight="1" x14ac:dyDescent="0.25">
      <c r="B4194" s="13" t="s">
        <v>14153</v>
      </c>
      <c r="C4194" s="13" t="s">
        <v>19481</v>
      </c>
      <c r="D4194" s="12" t="s">
        <v>10628</v>
      </c>
      <c r="E4194" s="13" t="s">
        <v>2193</v>
      </c>
      <c r="F4194" s="681">
        <v>25.51</v>
      </c>
    </row>
    <row r="4195" spans="2:6" ht="15.75" hidden="1" customHeight="1" x14ac:dyDescent="0.25">
      <c r="B4195" s="13" t="s">
        <v>14153</v>
      </c>
      <c r="C4195" s="13" t="s">
        <v>19482</v>
      </c>
      <c r="D4195" s="12" t="s">
        <v>9273</v>
      </c>
      <c r="E4195" s="13" t="s">
        <v>2193</v>
      </c>
      <c r="F4195" s="681">
        <v>24.6</v>
      </c>
    </row>
    <row r="4196" spans="2:6" ht="15.75" hidden="1" customHeight="1" x14ac:dyDescent="0.25">
      <c r="B4196" s="13" t="s">
        <v>14153</v>
      </c>
      <c r="C4196" s="13" t="s">
        <v>19483</v>
      </c>
      <c r="D4196" s="12" t="s">
        <v>8811</v>
      </c>
      <c r="E4196" s="13" t="s">
        <v>2193</v>
      </c>
      <c r="F4196" s="681">
        <v>24.62</v>
      </c>
    </row>
    <row r="4197" spans="2:6" ht="15.75" hidden="1" customHeight="1" x14ac:dyDescent="0.25">
      <c r="B4197" s="13" t="s">
        <v>556</v>
      </c>
      <c r="C4197" s="13" t="s">
        <v>13517</v>
      </c>
      <c r="D4197" s="12" t="s">
        <v>19484</v>
      </c>
      <c r="E4197" s="13" t="s">
        <v>823</v>
      </c>
      <c r="F4197" s="681">
        <v>8.02</v>
      </c>
    </row>
    <row r="4198" spans="2:6" ht="15.75" hidden="1" customHeight="1" x14ac:dyDescent="0.25">
      <c r="B4198" s="13" t="s">
        <v>14153</v>
      </c>
      <c r="C4198" s="13" t="s">
        <v>19485</v>
      </c>
      <c r="D4198" s="12" t="s">
        <v>10942</v>
      </c>
      <c r="E4198" s="13" t="s">
        <v>2193</v>
      </c>
      <c r="F4198" s="681">
        <v>25.53</v>
      </c>
    </row>
    <row r="4199" spans="2:6" ht="15.75" hidden="1" customHeight="1" x14ac:dyDescent="0.25">
      <c r="B4199" s="13" t="s">
        <v>14153</v>
      </c>
      <c r="C4199" s="13" t="s">
        <v>19486</v>
      </c>
      <c r="D4199" s="12" t="s">
        <v>10946</v>
      </c>
      <c r="E4199" s="13" t="s">
        <v>2193</v>
      </c>
      <c r="F4199" s="681">
        <v>25.53</v>
      </c>
    </row>
    <row r="4200" spans="2:6" ht="15.75" hidden="1" customHeight="1" x14ac:dyDescent="0.25">
      <c r="B4200" s="13" t="s">
        <v>556</v>
      </c>
      <c r="C4200" s="13" t="s">
        <v>19487</v>
      </c>
      <c r="D4200" s="12" t="s">
        <v>19488</v>
      </c>
      <c r="E4200" s="13" t="s">
        <v>578</v>
      </c>
      <c r="F4200" s="681">
        <v>108.5</v>
      </c>
    </row>
    <row r="4201" spans="2:6" ht="15.75" hidden="1" customHeight="1" x14ac:dyDescent="0.25">
      <c r="B4201" s="13" t="s">
        <v>556</v>
      </c>
      <c r="C4201" s="13" t="s">
        <v>19489</v>
      </c>
      <c r="D4201" s="12" t="s">
        <v>10996</v>
      </c>
      <c r="E4201" s="13" t="s">
        <v>578</v>
      </c>
      <c r="F4201" s="681">
        <v>99.9</v>
      </c>
    </row>
    <row r="4202" spans="2:6" ht="15.75" hidden="1" customHeight="1" x14ac:dyDescent="0.25">
      <c r="B4202" s="13" t="s">
        <v>556</v>
      </c>
      <c r="C4202" s="13" t="s">
        <v>19490</v>
      </c>
      <c r="D4202" s="12" t="s">
        <v>8595</v>
      </c>
      <c r="E4202" s="13" t="s">
        <v>823</v>
      </c>
      <c r="F4202" s="681">
        <v>49.59</v>
      </c>
    </row>
    <row r="4203" spans="2:6" ht="15.75" hidden="1" customHeight="1" x14ac:dyDescent="0.25">
      <c r="B4203" s="13" t="s">
        <v>556</v>
      </c>
      <c r="C4203" s="13" t="s">
        <v>19491</v>
      </c>
      <c r="D4203" s="12" t="s">
        <v>10995</v>
      </c>
      <c r="E4203" s="13" t="s">
        <v>578</v>
      </c>
      <c r="F4203" s="681">
        <v>166.16</v>
      </c>
    </row>
    <row r="4204" spans="2:6" ht="15.75" hidden="1" customHeight="1" x14ac:dyDescent="0.25">
      <c r="B4204" s="13" t="s">
        <v>556</v>
      </c>
      <c r="C4204" s="13" t="s">
        <v>19492</v>
      </c>
      <c r="D4204" s="12" t="s">
        <v>10949</v>
      </c>
      <c r="E4204" s="13" t="s">
        <v>578</v>
      </c>
      <c r="F4204" s="681">
        <v>353.95</v>
      </c>
    </row>
    <row r="4205" spans="2:6" ht="15.75" hidden="1" customHeight="1" x14ac:dyDescent="0.25">
      <c r="B4205" s="13" t="s">
        <v>556</v>
      </c>
      <c r="C4205" s="13" t="s">
        <v>19493</v>
      </c>
      <c r="D4205" s="12" t="s">
        <v>10952</v>
      </c>
      <c r="E4205" s="13" t="s">
        <v>578</v>
      </c>
      <c r="F4205" s="681">
        <v>344.55</v>
      </c>
    </row>
    <row r="4206" spans="2:6" ht="15.75" hidden="1" customHeight="1" x14ac:dyDescent="0.25">
      <c r="B4206" s="13" t="s">
        <v>556</v>
      </c>
      <c r="C4206" s="13" t="s">
        <v>19494</v>
      </c>
      <c r="D4206" s="12" t="s">
        <v>10950</v>
      </c>
      <c r="E4206" s="13" t="s">
        <v>578</v>
      </c>
      <c r="F4206" s="681">
        <v>214.98</v>
      </c>
    </row>
    <row r="4207" spans="2:6" ht="15.75" hidden="1" customHeight="1" x14ac:dyDescent="0.25">
      <c r="B4207" s="13" t="s">
        <v>556</v>
      </c>
      <c r="C4207" s="13" t="s">
        <v>19495</v>
      </c>
      <c r="D4207" s="12" t="s">
        <v>19496</v>
      </c>
      <c r="E4207" s="13" t="s">
        <v>580</v>
      </c>
      <c r="F4207" s="681">
        <v>22.39</v>
      </c>
    </row>
    <row r="4208" spans="2:6" ht="15.75" hidden="1" customHeight="1" x14ac:dyDescent="0.25">
      <c r="B4208" s="13" t="s">
        <v>556</v>
      </c>
      <c r="C4208" s="13" t="s">
        <v>19497</v>
      </c>
      <c r="D4208" s="12" t="s">
        <v>10951</v>
      </c>
      <c r="E4208" s="13" t="s">
        <v>578</v>
      </c>
      <c r="F4208" s="681">
        <v>59.12</v>
      </c>
    </row>
    <row r="4209" spans="2:6" ht="15.75" hidden="1" customHeight="1" x14ac:dyDescent="0.25">
      <c r="B4209" s="13" t="s">
        <v>556</v>
      </c>
      <c r="C4209" s="13" t="s">
        <v>19498</v>
      </c>
      <c r="D4209" s="12" t="s">
        <v>10948</v>
      </c>
      <c r="E4209" s="13" t="s">
        <v>578</v>
      </c>
      <c r="F4209" s="681">
        <v>77.709999999999994</v>
      </c>
    </row>
    <row r="4210" spans="2:6" ht="15.75" hidden="1" customHeight="1" x14ac:dyDescent="0.25">
      <c r="B4210" s="13" t="s">
        <v>556</v>
      </c>
      <c r="C4210" s="13" t="s">
        <v>19499</v>
      </c>
      <c r="D4210" s="12" t="s">
        <v>11216</v>
      </c>
      <c r="E4210" s="13" t="s">
        <v>585</v>
      </c>
      <c r="F4210" s="681">
        <v>31.6</v>
      </c>
    </row>
    <row r="4211" spans="2:6" ht="15.75" hidden="1" customHeight="1" x14ac:dyDescent="0.25">
      <c r="B4211" s="13" t="s">
        <v>556</v>
      </c>
      <c r="C4211" s="13" t="s">
        <v>19500</v>
      </c>
      <c r="D4211" s="12" t="s">
        <v>11221</v>
      </c>
      <c r="E4211" s="13" t="s">
        <v>585</v>
      </c>
      <c r="F4211" s="681">
        <v>24.26</v>
      </c>
    </row>
    <row r="4212" spans="2:6" ht="15.75" hidden="1" customHeight="1" x14ac:dyDescent="0.25">
      <c r="B4212" s="13" t="s">
        <v>556</v>
      </c>
      <c r="C4212" s="13" t="s">
        <v>19501</v>
      </c>
      <c r="D4212" s="12" t="s">
        <v>11555</v>
      </c>
      <c r="E4212" s="13" t="s">
        <v>585</v>
      </c>
      <c r="F4212" s="681">
        <v>18.34</v>
      </c>
    </row>
    <row r="4213" spans="2:6" ht="15.75" hidden="1" customHeight="1" x14ac:dyDescent="0.25">
      <c r="B4213" s="13" t="s">
        <v>556</v>
      </c>
      <c r="C4213" s="13" t="s">
        <v>19502</v>
      </c>
      <c r="D4213" s="12" t="s">
        <v>10986</v>
      </c>
      <c r="E4213" s="13" t="s">
        <v>578</v>
      </c>
      <c r="F4213" s="681">
        <v>11.02</v>
      </c>
    </row>
    <row r="4214" spans="2:6" ht="15.75" hidden="1" customHeight="1" x14ac:dyDescent="0.25">
      <c r="B4214" s="13" t="s">
        <v>556</v>
      </c>
      <c r="C4214" s="13" t="s">
        <v>13499</v>
      </c>
      <c r="D4214" s="12" t="s">
        <v>19503</v>
      </c>
      <c r="E4214" s="13" t="s">
        <v>578</v>
      </c>
      <c r="F4214" s="681">
        <v>400</v>
      </c>
    </row>
    <row r="4215" spans="2:6" ht="15.75" hidden="1" customHeight="1" x14ac:dyDescent="0.25">
      <c r="B4215" s="13" t="s">
        <v>556</v>
      </c>
      <c r="C4215" s="13" t="s">
        <v>19504</v>
      </c>
      <c r="D4215" s="12" t="s">
        <v>8684</v>
      </c>
      <c r="E4215" s="13" t="s">
        <v>580</v>
      </c>
      <c r="F4215" s="681">
        <v>54.17</v>
      </c>
    </row>
    <row r="4216" spans="2:6" ht="15.75" hidden="1" customHeight="1" x14ac:dyDescent="0.25">
      <c r="B4216" s="13" t="s">
        <v>556</v>
      </c>
      <c r="C4216" s="13" t="s">
        <v>19505</v>
      </c>
      <c r="D4216" s="12" t="s">
        <v>8820</v>
      </c>
      <c r="E4216" s="13" t="s">
        <v>580</v>
      </c>
      <c r="F4216" s="681">
        <v>6.3</v>
      </c>
    </row>
    <row r="4217" spans="2:6" ht="15.75" hidden="1" customHeight="1" x14ac:dyDescent="0.25">
      <c r="B4217" s="13" t="s">
        <v>556</v>
      </c>
      <c r="C4217" s="13" t="s">
        <v>19506</v>
      </c>
      <c r="D4217" s="12" t="s">
        <v>10971</v>
      </c>
      <c r="E4217" s="13" t="s">
        <v>578</v>
      </c>
      <c r="F4217" s="681">
        <v>430</v>
      </c>
    </row>
    <row r="4218" spans="2:6" ht="15.75" hidden="1" customHeight="1" x14ac:dyDescent="0.25">
      <c r="B4218" s="13" t="s">
        <v>556</v>
      </c>
      <c r="C4218" s="13" t="s">
        <v>19507</v>
      </c>
      <c r="D4218" s="12" t="s">
        <v>10970</v>
      </c>
      <c r="E4218" s="13" t="s">
        <v>578</v>
      </c>
      <c r="F4218" s="681">
        <v>418.34</v>
      </c>
    </row>
    <row r="4219" spans="2:6" ht="15.75" hidden="1" customHeight="1" x14ac:dyDescent="0.25">
      <c r="B4219" s="13" t="s">
        <v>556</v>
      </c>
      <c r="C4219" s="13" t="s">
        <v>19508</v>
      </c>
      <c r="D4219" s="12" t="s">
        <v>10648</v>
      </c>
      <c r="E4219" s="13" t="s">
        <v>823</v>
      </c>
      <c r="F4219" s="681">
        <v>35.76</v>
      </c>
    </row>
    <row r="4220" spans="2:6" ht="15.75" hidden="1" customHeight="1" x14ac:dyDescent="0.25">
      <c r="B4220" s="13" t="s">
        <v>556</v>
      </c>
      <c r="C4220" s="13" t="s">
        <v>19509</v>
      </c>
      <c r="D4220" s="12" t="s">
        <v>10135</v>
      </c>
      <c r="E4220" s="13" t="s">
        <v>823</v>
      </c>
      <c r="F4220" s="681">
        <v>0.61</v>
      </c>
    </row>
    <row r="4221" spans="2:6" ht="15.75" hidden="1" customHeight="1" x14ac:dyDescent="0.25">
      <c r="B4221" s="13" t="s">
        <v>556</v>
      </c>
      <c r="C4221" s="13" t="s">
        <v>19510</v>
      </c>
      <c r="D4221" s="12" t="s">
        <v>10891</v>
      </c>
      <c r="E4221" s="13" t="s">
        <v>585</v>
      </c>
      <c r="F4221" s="681">
        <v>151.13</v>
      </c>
    </row>
    <row r="4222" spans="2:6" ht="15.75" hidden="1" customHeight="1" x14ac:dyDescent="0.25">
      <c r="B4222" s="13" t="s">
        <v>556</v>
      </c>
      <c r="C4222" s="13" t="s">
        <v>19511</v>
      </c>
      <c r="D4222" s="12" t="s">
        <v>10890</v>
      </c>
      <c r="E4222" s="13" t="s">
        <v>585</v>
      </c>
      <c r="F4222" s="681">
        <v>109.19</v>
      </c>
    </row>
    <row r="4223" spans="2:6" ht="15.75" hidden="1" customHeight="1" x14ac:dyDescent="0.25">
      <c r="B4223" s="13" t="s">
        <v>556</v>
      </c>
      <c r="C4223" s="13" t="s">
        <v>19512</v>
      </c>
      <c r="D4223" s="12" t="s">
        <v>11285</v>
      </c>
      <c r="E4223" s="13" t="s">
        <v>585</v>
      </c>
      <c r="F4223" s="681">
        <v>76.41</v>
      </c>
    </row>
    <row r="4224" spans="2:6" ht="15.75" hidden="1" customHeight="1" x14ac:dyDescent="0.25">
      <c r="B4224" s="13" t="s">
        <v>556</v>
      </c>
      <c r="C4224" s="13" t="s">
        <v>19513</v>
      </c>
      <c r="D4224" s="12" t="s">
        <v>11218</v>
      </c>
      <c r="E4224" s="13" t="s">
        <v>585</v>
      </c>
      <c r="F4224" s="681">
        <v>51.19</v>
      </c>
    </row>
    <row r="4225" spans="2:6" ht="15.75" hidden="1" customHeight="1" x14ac:dyDescent="0.25">
      <c r="B4225" s="13" t="s">
        <v>556</v>
      </c>
      <c r="C4225" s="13" t="s">
        <v>19514</v>
      </c>
      <c r="D4225" s="12" t="s">
        <v>19515</v>
      </c>
      <c r="E4225" s="13" t="s">
        <v>580</v>
      </c>
      <c r="F4225" s="681">
        <v>4.5999999999999996</v>
      </c>
    </row>
    <row r="4226" spans="2:6" ht="15.75" hidden="1" customHeight="1" x14ac:dyDescent="0.25">
      <c r="B4226" s="13" t="s">
        <v>556</v>
      </c>
      <c r="C4226" s="13" t="s">
        <v>19516</v>
      </c>
      <c r="D4226" s="12" t="s">
        <v>19517</v>
      </c>
      <c r="E4226" s="13" t="s">
        <v>580</v>
      </c>
      <c r="F4226" s="681">
        <v>6.22</v>
      </c>
    </row>
    <row r="4227" spans="2:6" ht="15.75" hidden="1" customHeight="1" x14ac:dyDescent="0.25">
      <c r="B4227" s="13" t="s">
        <v>556</v>
      </c>
      <c r="C4227" s="13" t="s">
        <v>19518</v>
      </c>
      <c r="D4227" s="12" t="s">
        <v>19519</v>
      </c>
      <c r="E4227" s="13" t="s">
        <v>580</v>
      </c>
      <c r="F4227" s="681">
        <v>8.64</v>
      </c>
    </row>
    <row r="4228" spans="2:6" ht="15.75" hidden="1" customHeight="1" x14ac:dyDescent="0.25">
      <c r="B4228" s="13" t="s">
        <v>556</v>
      </c>
      <c r="C4228" s="13" t="s">
        <v>19520</v>
      </c>
      <c r="D4228" s="12" t="s">
        <v>19521</v>
      </c>
      <c r="E4228" s="13" t="s">
        <v>580</v>
      </c>
      <c r="F4228" s="681">
        <v>23.27</v>
      </c>
    </row>
    <row r="4229" spans="2:6" ht="15.75" hidden="1" customHeight="1" x14ac:dyDescent="0.25">
      <c r="B4229" s="13" t="s">
        <v>556</v>
      </c>
      <c r="C4229" s="13" t="s">
        <v>19522</v>
      </c>
      <c r="D4229" s="12" t="s">
        <v>19523</v>
      </c>
      <c r="E4229" s="13" t="s">
        <v>580</v>
      </c>
      <c r="F4229" s="681">
        <v>65.17</v>
      </c>
    </row>
    <row r="4230" spans="2:6" ht="15.75" hidden="1" customHeight="1" x14ac:dyDescent="0.25">
      <c r="B4230" s="13" t="s">
        <v>556</v>
      </c>
      <c r="C4230" s="13" t="s">
        <v>19524</v>
      </c>
      <c r="D4230" s="12" t="s">
        <v>19525</v>
      </c>
      <c r="E4230" s="13" t="s">
        <v>580</v>
      </c>
      <c r="F4230" s="681">
        <v>15.74</v>
      </c>
    </row>
    <row r="4231" spans="2:6" ht="15.75" hidden="1" customHeight="1" x14ac:dyDescent="0.25">
      <c r="B4231" s="13" t="s">
        <v>556</v>
      </c>
      <c r="C4231" s="13" t="s">
        <v>19526</v>
      </c>
      <c r="D4231" s="12" t="s">
        <v>19527</v>
      </c>
      <c r="E4231" s="13" t="s">
        <v>580</v>
      </c>
      <c r="F4231" s="681">
        <v>13.5</v>
      </c>
    </row>
    <row r="4232" spans="2:6" ht="15.75" hidden="1" customHeight="1" x14ac:dyDescent="0.25">
      <c r="B4232" s="13" t="s">
        <v>556</v>
      </c>
      <c r="C4232" s="13" t="s">
        <v>19528</v>
      </c>
      <c r="D4232" s="12" t="s">
        <v>11000</v>
      </c>
      <c r="E4232" s="13" t="s">
        <v>580</v>
      </c>
      <c r="F4232" s="681">
        <v>59.15</v>
      </c>
    </row>
    <row r="4233" spans="2:6" ht="15.75" hidden="1" customHeight="1" x14ac:dyDescent="0.25">
      <c r="B4233" s="13" t="s">
        <v>556</v>
      </c>
      <c r="C4233" s="13" t="s">
        <v>19529</v>
      </c>
      <c r="D4233" s="12" t="s">
        <v>10999</v>
      </c>
      <c r="E4233" s="13" t="s">
        <v>580</v>
      </c>
      <c r="F4233" s="681">
        <v>22.8</v>
      </c>
    </row>
    <row r="4234" spans="2:6" ht="15.75" hidden="1" customHeight="1" x14ac:dyDescent="0.25">
      <c r="B4234" s="13" t="s">
        <v>556</v>
      </c>
      <c r="C4234" s="13" t="s">
        <v>19530</v>
      </c>
      <c r="D4234" s="12" t="s">
        <v>19531</v>
      </c>
      <c r="E4234" s="13" t="s">
        <v>578</v>
      </c>
      <c r="F4234" s="681">
        <v>414.64</v>
      </c>
    </row>
    <row r="4235" spans="2:6" ht="15.75" hidden="1" customHeight="1" x14ac:dyDescent="0.25">
      <c r="B4235" s="13" t="s">
        <v>556</v>
      </c>
      <c r="C4235" s="13" t="s">
        <v>19532</v>
      </c>
      <c r="D4235" s="12" t="s">
        <v>19533</v>
      </c>
      <c r="E4235" s="13" t="s">
        <v>578</v>
      </c>
      <c r="F4235" s="681">
        <v>302.68</v>
      </c>
    </row>
    <row r="4236" spans="2:6" ht="15.75" hidden="1" customHeight="1" x14ac:dyDescent="0.25">
      <c r="B4236" s="13" t="s">
        <v>556</v>
      </c>
      <c r="C4236" s="13" t="s">
        <v>19534</v>
      </c>
      <c r="D4236" s="12" t="s">
        <v>11031</v>
      </c>
      <c r="E4236" s="13" t="s">
        <v>578</v>
      </c>
      <c r="F4236" s="681">
        <v>624.98</v>
      </c>
    </row>
    <row r="4237" spans="2:6" ht="15.75" hidden="1" customHeight="1" x14ac:dyDescent="0.25">
      <c r="B4237" s="13" t="s">
        <v>556</v>
      </c>
      <c r="C4237" s="13" t="s">
        <v>19535</v>
      </c>
      <c r="D4237" s="12" t="s">
        <v>11032</v>
      </c>
      <c r="E4237" s="13" t="s">
        <v>578</v>
      </c>
      <c r="F4237" s="681">
        <v>431.62</v>
      </c>
    </row>
    <row r="4238" spans="2:6" ht="15.75" hidden="1" customHeight="1" x14ac:dyDescent="0.25">
      <c r="B4238" s="13" t="s">
        <v>556</v>
      </c>
      <c r="C4238" s="13" t="s">
        <v>19536</v>
      </c>
      <c r="D4238" s="12" t="s">
        <v>11034</v>
      </c>
      <c r="E4238" s="13" t="s">
        <v>578</v>
      </c>
      <c r="F4238" s="681">
        <v>400.36</v>
      </c>
    </row>
    <row r="4239" spans="2:6" ht="15.75" hidden="1" customHeight="1" x14ac:dyDescent="0.25">
      <c r="B4239" s="13" t="s">
        <v>556</v>
      </c>
      <c r="C4239" s="13" t="s">
        <v>19537</v>
      </c>
      <c r="D4239" s="12" t="s">
        <v>11026</v>
      </c>
      <c r="E4239" s="13" t="s">
        <v>578</v>
      </c>
      <c r="F4239" s="681">
        <v>670.95</v>
      </c>
    </row>
    <row r="4240" spans="2:6" ht="15.75" hidden="1" customHeight="1" x14ac:dyDescent="0.25">
      <c r="B4240" s="13" t="s">
        <v>556</v>
      </c>
      <c r="C4240" s="13" t="s">
        <v>19538</v>
      </c>
      <c r="D4240" s="12" t="s">
        <v>19539</v>
      </c>
      <c r="E4240" s="13" t="s">
        <v>578</v>
      </c>
      <c r="F4240" s="681">
        <v>617.71</v>
      </c>
    </row>
    <row r="4241" spans="2:6" ht="15.75" hidden="1" customHeight="1" x14ac:dyDescent="0.25">
      <c r="B4241" s="13" t="s">
        <v>556</v>
      </c>
      <c r="C4241" s="13" t="s">
        <v>19540</v>
      </c>
      <c r="D4241" s="12" t="s">
        <v>19541</v>
      </c>
      <c r="E4241" s="13" t="s">
        <v>578</v>
      </c>
      <c r="F4241" s="681">
        <v>923.48</v>
      </c>
    </row>
    <row r="4242" spans="2:6" ht="15.75" hidden="1" customHeight="1" x14ac:dyDescent="0.25">
      <c r="B4242" s="13" t="s">
        <v>556</v>
      </c>
      <c r="C4242" s="13" t="s">
        <v>19542</v>
      </c>
      <c r="D4242" s="12" t="s">
        <v>11057</v>
      </c>
      <c r="E4242" s="13" t="s">
        <v>578</v>
      </c>
      <c r="F4242" s="681">
        <v>642.32000000000005</v>
      </c>
    </row>
    <row r="4243" spans="2:6" ht="15.75" hidden="1" customHeight="1" x14ac:dyDescent="0.25">
      <c r="B4243" s="13" t="s">
        <v>556</v>
      </c>
      <c r="C4243" s="13" t="s">
        <v>19543</v>
      </c>
      <c r="D4243" s="12" t="s">
        <v>11021</v>
      </c>
      <c r="E4243" s="13" t="s">
        <v>580</v>
      </c>
      <c r="F4243" s="681">
        <v>269.58999999999997</v>
      </c>
    </row>
    <row r="4244" spans="2:6" ht="15.75" hidden="1" customHeight="1" x14ac:dyDescent="0.25">
      <c r="B4244" s="13" t="s">
        <v>556</v>
      </c>
      <c r="C4244" s="13" t="s">
        <v>19544</v>
      </c>
      <c r="D4244" s="12" t="s">
        <v>11023</v>
      </c>
      <c r="E4244" s="13" t="s">
        <v>580</v>
      </c>
      <c r="F4244" s="681">
        <v>304.47000000000003</v>
      </c>
    </row>
    <row r="4245" spans="2:6" ht="15.75" hidden="1" customHeight="1" x14ac:dyDescent="0.25">
      <c r="B4245" s="13" t="s">
        <v>556</v>
      </c>
      <c r="C4245" s="13" t="s">
        <v>19545</v>
      </c>
      <c r="D4245" s="12" t="s">
        <v>11052</v>
      </c>
      <c r="E4245" s="13" t="s">
        <v>578</v>
      </c>
      <c r="F4245" s="681">
        <v>455.8</v>
      </c>
    </row>
    <row r="4246" spans="2:6" ht="15.75" hidden="1" customHeight="1" x14ac:dyDescent="0.25">
      <c r="B4246" s="13" t="s">
        <v>556</v>
      </c>
      <c r="C4246" s="13" t="s">
        <v>19546</v>
      </c>
      <c r="D4246" s="12" t="s">
        <v>11036</v>
      </c>
      <c r="E4246" s="13" t="s">
        <v>578</v>
      </c>
      <c r="F4246" s="681">
        <v>322.27999999999997</v>
      </c>
    </row>
    <row r="4247" spans="2:6" ht="15.75" hidden="1" customHeight="1" x14ac:dyDescent="0.25">
      <c r="B4247" s="13" t="s">
        <v>556</v>
      </c>
      <c r="C4247" s="13" t="s">
        <v>19547</v>
      </c>
      <c r="D4247" s="12" t="s">
        <v>11022</v>
      </c>
      <c r="E4247" s="13" t="s">
        <v>580</v>
      </c>
      <c r="F4247" s="681">
        <v>240</v>
      </c>
    </row>
    <row r="4248" spans="2:6" ht="15.75" hidden="1" customHeight="1" x14ac:dyDescent="0.25">
      <c r="B4248" s="13" t="s">
        <v>556</v>
      </c>
      <c r="C4248" s="13" t="s">
        <v>19548</v>
      </c>
      <c r="D4248" s="12" t="s">
        <v>11020</v>
      </c>
      <c r="E4248" s="13" t="s">
        <v>580</v>
      </c>
      <c r="F4248" s="681">
        <v>341.84</v>
      </c>
    </row>
    <row r="4249" spans="2:6" ht="15.75" hidden="1" customHeight="1" x14ac:dyDescent="0.25">
      <c r="B4249" s="13" t="s">
        <v>556</v>
      </c>
      <c r="C4249" s="13" t="s">
        <v>19549</v>
      </c>
      <c r="D4249" s="12" t="s">
        <v>11025</v>
      </c>
      <c r="E4249" s="13" t="s">
        <v>580</v>
      </c>
      <c r="F4249" s="681">
        <v>340.26</v>
      </c>
    </row>
    <row r="4250" spans="2:6" ht="15.75" hidden="1" customHeight="1" x14ac:dyDescent="0.25">
      <c r="B4250" s="13" t="s">
        <v>556</v>
      </c>
      <c r="C4250" s="13" t="s">
        <v>19550</v>
      </c>
      <c r="D4250" s="12" t="s">
        <v>11019</v>
      </c>
      <c r="E4250" s="13" t="s">
        <v>580</v>
      </c>
      <c r="F4250" s="681">
        <v>364.46</v>
      </c>
    </row>
    <row r="4251" spans="2:6" ht="15.75" hidden="1" customHeight="1" x14ac:dyDescent="0.25">
      <c r="B4251" s="13" t="s">
        <v>556</v>
      </c>
      <c r="C4251" s="13" t="s">
        <v>19551</v>
      </c>
      <c r="D4251" s="12" t="s">
        <v>11024</v>
      </c>
      <c r="E4251" s="13" t="s">
        <v>580</v>
      </c>
      <c r="F4251" s="681">
        <v>297.41000000000003</v>
      </c>
    </row>
    <row r="4252" spans="2:6" ht="15.75" hidden="1" customHeight="1" x14ac:dyDescent="0.25">
      <c r="B4252" s="13" t="s">
        <v>556</v>
      </c>
      <c r="C4252" s="13" t="s">
        <v>19552</v>
      </c>
      <c r="D4252" s="12" t="s">
        <v>11027</v>
      </c>
      <c r="E4252" s="13" t="s">
        <v>578</v>
      </c>
      <c r="F4252" s="681">
        <v>654.91999999999996</v>
      </c>
    </row>
    <row r="4253" spans="2:6" ht="15.75" hidden="1" customHeight="1" x14ac:dyDescent="0.25">
      <c r="B4253" s="13" t="s">
        <v>556</v>
      </c>
      <c r="C4253" s="13" t="s">
        <v>19553</v>
      </c>
      <c r="D4253" s="12" t="s">
        <v>11035</v>
      </c>
      <c r="E4253" s="13" t="s">
        <v>578</v>
      </c>
      <c r="F4253" s="681">
        <v>477.42</v>
      </c>
    </row>
    <row r="4254" spans="2:6" ht="15.75" hidden="1" customHeight="1" x14ac:dyDescent="0.25">
      <c r="B4254" s="13" t="s">
        <v>556</v>
      </c>
      <c r="C4254" s="13" t="s">
        <v>19554</v>
      </c>
      <c r="D4254" s="12" t="s">
        <v>11043</v>
      </c>
      <c r="E4254" s="13" t="s">
        <v>580</v>
      </c>
      <c r="F4254" s="681">
        <v>237.42</v>
      </c>
    </row>
    <row r="4255" spans="2:6" ht="15.75" hidden="1" customHeight="1" x14ac:dyDescent="0.25">
      <c r="B4255" s="13" t="s">
        <v>556</v>
      </c>
      <c r="C4255" s="13" t="s">
        <v>19555</v>
      </c>
      <c r="D4255" s="12" t="s">
        <v>11051</v>
      </c>
      <c r="E4255" s="13" t="s">
        <v>578</v>
      </c>
      <c r="F4255" s="681">
        <v>788.56</v>
      </c>
    </row>
    <row r="4256" spans="2:6" ht="15.75" hidden="1" customHeight="1" x14ac:dyDescent="0.25">
      <c r="B4256" s="13" t="s">
        <v>556</v>
      </c>
      <c r="C4256" s="13" t="s">
        <v>19556</v>
      </c>
      <c r="D4256" s="12" t="s">
        <v>11868</v>
      </c>
      <c r="E4256" s="13" t="s">
        <v>578</v>
      </c>
      <c r="F4256" s="681">
        <v>550</v>
      </c>
    </row>
    <row r="4257" spans="2:6" ht="15.75" hidden="1" customHeight="1" x14ac:dyDescent="0.25">
      <c r="B4257" s="13" t="s">
        <v>556</v>
      </c>
      <c r="C4257" s="13" t="s">
        <v>19557</v>
      </c>
      <c r="D4257" s="12" t="s">
        <v>19558</v>
      </c>
      <c r="E4257" s="13" t="s">
        <v>580</v>
      </c>
      <c r="F4257" s="681">
        <v>801.75</v>
      </c>
    </row>
    <row r="4258" spans="2:6" ht="15.75" hidden="1" customHeight="1" x14ac:dyDescent="0.25">
      <c r="B4258" s="13" t="s">
        <v>556</v>
      </c>
      <c r="C4258" s="13" t="s">
        <v>19559</v>
      </c>
      <c r="D4258" s="12" t="s">
        <v>19560</v>
      </c>
      <c r="E4258" s="13" t="s">
        <v>580</v>
      </c>
      <c r="F4258" s="681">
        <v>1645.75</v>
      </c>
    </row>
    <row r="4259" spans="2:6" ht="15.75" hidden="1" customHeight="1" x14ac:dyDescent="0.25">
      <c r="B4259" s="13" t="s">
        <v>556</v>
      </c>
      <c r="C4259" s="13" t="s">
        <v>19561</v>
      </c>
      <c r="D4259" s="12" t="s">
        <v>19562</v>
      </c>
      <c r="E4259" s="13" t="s">
        <v>580</v>
      </c>
      <c r="F4259" s="681">
        <v>2524.88</v>
      </c>
    </row>
    <row r="4260" spans="2:6" ht="15.75" hidden="1" customHeight="1" x14ac:dyDescent="0.25">
      <c r="B4260" s="13" t="s">
        <v>556</v>
      </c>
      <c r="C4260" s="13" t="s">
        <v>19563</v>
      </c>
      <c r="D4260" s="12" t="s">
        <v>19564</v>
      </c>
      <c r="E4260" s="13" t="s">
        <v>580</v>
      </c>
      <c r="F4260" s="681">
        <v>892.69</v>
      </c>
    </row>
    <row r="4261" spans="2:6" ht="15.75" hidden="1" customHeight="1" x14ac:dyDescent="0.25">
      <c r="B4261" s="13" t="s">
        <v>556</v>
      </c>
      <c r="C4261" s="13" t="s">
        <v>19565</v>
      </c>
      <c r="D4261" s="12" t="s">
        <v>19566</v>
      </c>
      <c r="E4261" s="13" t="s">
        <v>580</v>
      </c>
      <c r="F4261" s="681">
        <v>1431.39</v>
      </c>
    </row>
    <row r="4262" spans="2:6" ht="15.75" hidden="1" customHeight="1" x14ac:dyDescent="0.25">
      <c r="B4262" s="13" t="s">
        <v>556</v>
      </c>
      <c r="C4262" s="13" t="s">
        <v>19567</v>
      </c>
      <c r="D4262" s="12" t="s">
        <v>19568</v>
      </c>
      <c r="E4262" s="13" t="s">
        <v>580</v>
      </c>
      <c r="F4262" s="681">
        <v>426.88</v>
      </c>
    </row>
    <row r="4263" spans="2:6" ht="15.75" hidden="1" customHeight="1" x14ac:dyDescent="0.25">
      <c r="B4263" s="13" t="s">
        <v>556</v>
      </c>
      <c r="C4263" s="13" t="s">
        <v>19569</v>
      </c>
      <c r="D4263" s="12" t="s">
        <v>19570</v>
      </c>
      <c r="E4263" s="13" t="s">
        <v>580</v>
      </c>
      <c r="F4263" s="681">
        <v>1659.29</v>
      </c>
    </row>
    <row r="4264" spans="2:6" ht="15.75" hidden="1" customHeight="1" x14ac:dyDescent="0.25">
      <c r="B4264" s="13" t="s">
        <v>556</v>
      </c>
      <c r="C4264" s="13" t="s">
        <v>19571</v>
      </c>
      <c r="D4264" s="12" t="s">
        <v>19572</v>
      </c>
      <c r="E4264" s="13" t="s">
        <v>580</v>
      </c>
      <c r="F4264" s="681">
        <v>1236.27</v>
      </c>
    </row>
    <row r="4265" spans="2:6" ht="15.75" hidden="1" customHeight="1" x14ac:dyDescent="0.25">
      <c r="B4265" s="13" t="s">
        <v>556</v>
      </c>
      <c r="C4265" s="13" t="s">
        <v>19573</v>
      </c>
      <c r="D4265" s="12" t="s">
        <v>19574</v>
      </c>
      <c r="E4265" s="13" t="s">
        <v>580</v>
      </c>
      <c r="F4265" s="681">
        <v>942.5</v>
      </c>
    </row>
    <row r="4266" spans="2:6" ht="15.75" hidden="1" customHeight="1" x14ac:dyDescent="0.25">
      <c r="B4266" s="13" t="s">
        <v>556</v>
      </c>
      <c r="C4266" s="13" t="s">
        <v>19575</v>
      </c>
      <c r="D4266" s="12" t="s">
        <v>19576</v>
      </c>
      <c r="E4266" s="13" t="s">
        <v>580</v>
      </c>
      <c r="F4266" s="681">
        <v>1067.55</v>
      </c>
    </row>
    <row r="4267" spans="2:6" ht="15.75" hidden="1" customHeight="1" x14ac:dyDescent="0.25">
      <c r="B4267" s="13" t="s">
        <v>556</v>
      </c>
      <c r="C4267" s="13" t="s">
        <v>19577</v>
      </c>
      <c r="D4267" s="12" t="s">
        <v>11083</v>
      </c>
      <c r="E4267" s="13" t="s">
        <v>823</v>
      </c>
      <c r="F4267" s="681">
        <v>12</v>
      </c>
    </row>
    <row r="4268" spans="2:6" ht="15.75" hidden="1" customHeight="1" x14ac:dyDescent="0.25">
      <c r="B4268" s="13" t="s">
        <v>556</v>
      </c>
      <c r="C4268" s="13" t="s">
        <v>19578</v>
      </c>
      <c r="D4268" s="12" t="s">
        <v>11086</v>
      </c>
      <c r="E4268" s="13" t="s">
        <v>823</v>
      </c>
      <c r="F4268" s="681">
        <v>12.37</v>
      </c>
    </row>
    <row r="4269" spans="2:6" ht="15.75" hidden="1" customHeight="1" x14ac:dyDescent="0.25">
      <c r="B4269" s="13" t="s">
        <v>556</v>
      </c>
      <c r="C4269" s="13" t="s">
        <v>19579</v>
      </c>
      <c r="D4269" s="12" t="s">
        <v>11073</v>
      </c>
      <c r="E4269" s="13" t="s">
        <v>823</v>
      </c>
      <c r="F4269" s="681">
        <v>14.56</v>
      </c>
    </row>
    <row r="4270" spans="2:6" ht="15.75" hidden="1" customHeight="1" x14ac:dyDescent="0.25">
      <c r="B4270" s="13" t="s">
        <v>556</v>
      </c>
      <c r="C4270" s="13" t="s">
        <v>19580</v>
      </c>
      <c r="D4270" s="12" t="s">
        <v>11070</v>
      </c>
      <c r="E4270" s="13" t="s">
        <v>823</v>
      </c>
      <c r="F4270" s="681">
        <v>23.22</v>
      </c>
    </row>
    <row r="4271" spans="2:6" ht="15.75" hidden="1" customHeight="1" x14ac:dyDescent="0.25">
      <c r="B4271" s="13" t="s">
        <v>556</v>
      </c>
      <c r="C4271" s="13" t="s">
        <v>19581</v>
      </c>
      <c r="D4271" s="12" t="s">
        <v>11072</v>
      </c>
      <c r="E4271" s="13" t="s">
        <v>823</v>
      </c>
      <c r="F4271" s="681">
        <v>16.079999999999998</v>
      </c>
    </row>
    <row r="4272" spans="2:6" ht="15.75" hidden="1" customHeight="1" x14ac:dyDescent="0.25">
      <c r="B4272" s="13" t="s">
        <v>556</v>
      </c>
      <c r="C4272" s="13" t="s">
        <v>19582</v>
      </c>
      <c r="D4272" s="12" t="s">
        <v>11076</v>
      </c>
      <c r="E4272" s="13" t="s">
        <v>823</v>
      </c>
      <c r="F4272" s="681">
        <v>13.01</v>
      </c>
    </row>
    <row r="4273" spans="2:6" ht="15.75" hidden="1" customHeight="1" x14ac:dyDescent="0.25">
      <c r="B4273" s="13" t="s">
        <v>556</v>
      </c>
      <c r="C4273" s="13" t="s">
        <v>19583</v>
      </c>
      <c r="D4273" s="12" t="s">
        <v>11078</v>
      </c>
      <c r="E4273" s="13" t="s">
        <v>823</v>
      </c>
      <c r="F4273" s="681">
        <v>12.2</v>
      </c>
    </row>
    <row r="4274" spans="2:6" ht="15.75" hidden="1" customHeight="1" x14ac:dyDescent="0.25">
      <c r="B4274" s="13" t="s">
        <v>556</v>
      </c>
      <c r="C4274" s="13" t="s">
        <v>19584</v>
      </c>
      <c r="D4274" s="12" t="s">
        <v>11080</v>
      </c>
      <c r="E4274" s="13" t="s">
        <v>823</v>
      </c>
      <c r="F4274" s="681">
        <v>12.44</v>
      </c>
    </row>
    <row r="4275" spans="2:6" ht="15.75" hidden="1" customHeight="1" x14ac:dyDescent="0.25">
      <c r="B4275" s="13" t="s">
        <v>556</v>
      </c>
      <c r="C4275" s="13" t="s">
        <v>19585</v>
      </c>
      <c r="D4275" s="12" t="s">
        <v>11081</v>
      </c>
      <c r="E4275" s="13" t="s">
        <v>823</v>
      </c>
      <c r="F4275" s="681">
        <v>12.58</v>
      </c>
    </row>
    <row r="4276" spans="2:6" ht="15.75" hidden="1" customHeight="1" x14ac:dyDescent="0.25">
      <c r="B4276" s="13" t="s">
        <v>556</v>
      </c>
      <c r="C4276" s="13" t="s">
        <v>19586</v>
      </c>
      <c r="D4276" s="12" t="s">
        <v>11082</v>
      </c>
      <c r="E4276" s="13" t="s">
        <v>823</v>
      </c>
      <c r="F4276" s="681">
        <v>12.2</v>
      </c>
    </row>
    <row r="4277" spans="2:6" ht="15.75" hidden="1" customHeight="1" x14ac:dyDescent="0.25">
      <c r="B4277" s="13" t="s">
        <v>556</v>
      </c>
      <c r="C4277" s="13" t="s">
        <v>19587</v>
      </c>
      <c r="D4277" s="12" t="s">
        <v>11071</v>
      </c>
      <c r="E4277" s="13" t="s">
        <v>823</v>
      </c>
      <c r="F4277" s="681">
        <v>21.48</v>
      </c>
    </row>
    <row r="4278" spans="2:6" ht="15.75" hidden="1" customHeight="1" x14ac:dyDescent="0.25">
      <c r="B4278" s="13" t="s">
        <v>556</v>
      </c>
      <c r="C4278" s="13" t="s">
        <v>19588</v>
      </c>
      <c r="D4278" s="12" t="s">
        <v>11079</v>
      </c>
      <c r="E4278" s="13" t="s">
        <v>823</v>
      </c>
      <c r="F4278" s="681">
        <v>12.44</v>
      </c>
    </row>
    <row r="4279" spans="2:6" ht="15.75" hidden="1" customHeight="1" x14ac:dyDescent="0.25">
      <c r="B4279" s="13" t="s">
        <v>556</v>
      </c>
      <c r="C4279" s="13" t="s">
        <v>19589</v>
      </c>
      <c r="D4279" s="12" t="s">
        <v>11075</v>
      </c>
      <c r="E4279" s="13" t="s">
        <v>823</v>
      </c>
      <c r="F4279" s="681">
        <v>13.67</v>
      </c>
    </row>
    <row r="4280" spans="2:6" ht="15.75" hidden="1" customHeight="1" x14ac:dyDescent="0.25">
      <c r="B4280" s="13" t="s">
        <v>556</v>
      </c>
      <c r="C4280" s="13" t="s">
        <v>19590</v>
      </c>
      <c r="D4280" s="12" t="s">
        <v>11084</v>
      </c>
      <c r="E4280" s="13" t="s">
        <v>823</v>
      </c>
      <c r="F4280" s="681">
        <v>12.2</v>
      </c>
    </row>
    <row r="4281" spans="2:6" ht="15.75" hidden="1" customHeight="1" x14ac:dyDescent="0.25">
      <c r="B4281" s="13" t="s">
        <v>556</v>
      </c>
      <c r="C4281" s="13" t="s">
        <v>19591</v>
      </c>
      <c r="D4281" s="12" t="s">
        <v>10124</v>
      </c>
      <c r="E4281" s="13" t="s">
        <v>823</v>
      </c>
      <c r="F4281" s="681">
        <v>12.33</v>
      </c>
    </row>
    <row r="4282" spans="2:6" ht="15.75" hidden="1" customHeight="1" x14ac:dyDescent="0.25">
      <c r="B4282" s="13" t="s">
        <v>556</v>
      </c>
      <c r="C4282" s="13" t="s">
        <v>19592</v>
      </c>
      <c r="D4282" s="12" t="s">
        <v>10125</v>
      </c>
      <c r="E4282" s="13" t="s">
        <v>823</v>
      </c>
      <c r="F4282" s="681">
        <v>13.62</v>
      </c>
    </row>
    <row r="4283" spans="2:6" ht="15.75" hidden="1" customHeight="1" x14ac:dyDescent="0.25">
      <c r="B4283" s="13" t="s">
        <v>556</v>
      </c>
      <c r="C4283" s="13" t="s">
        <v>19593</v>
      </c>
      <c r="D4283" s="12" t="s">
        <v>11077</v>
      </c>
      <c r="E4283" s="13" t="s">
        <v>823</v>
      </c>
      <c r="F4283" s="681">
        <v>12.86</v>
      </c>
    </row>
    <row r="4284" spans="2:6" ht="15.75" hidden="1" customHeight="1" x14ac:dyDescent="0.25">
      <c r="B4284" s="13" t="s">
        <v>556</v>
      </c>
      <c r="C4284" s="13" t="s">
        <v>19594</v>
      </c>
      <c r="D4284" s="12" t="s">
        <v>11112</v>
      </c>
      <c r="E4284" s="13" t="s">
        <v>580</v>
      </c>
      <c r="F4284" s="681">
        <v>20.23</v>
      </c>
    </row>
    <row r="4285" spans="2:6" ht="15.75" hidden="1" customHeight="1" x14ac:dyDescent="0.25">
      <c r="B4285" s="13" t="s">
        <v>556</v>
      </c>
      <c r="C4285" s="13" t="s">
        <v>19595</v>
      </c>
      <c r="D4285" s="12" t="s">
        <v>9207</v>
      </c>
      <c r="E4285" s="13" t="s">
        <v>580</v>
      </c>
      <c r="F4285" s="681">
        <v>29.7</v>
      </c>
    </row>
    <row r="4286" spans="2:6" ht="15.75" hidden="1" customHeight="1" x14ac:dyDescent="0.25">
      <c r="B4286" s="13" t="s">
        <v>556</v>
      </c>
      <c r="C4286" s="13" t="s">
        <v>19596</v>
      </c>
      <c r="D4286" s="12" t="s">
        <v>9596</v>
      </c>
      <c r="E4286" s="13" t="s">
        <v>823</v>
      </c>
      <c r="F4286" s="681">
        <v>32.64</v>
      </c>
    </row>
    <row r="4287" spans="2:6" ht="15.75" hidden="1" customHeight="1" x14ac:dyDescent="0.25">
      <c r="B4287" s="13" t="s">
        <v>556</v>
      </c>
      <c r="C4287" s="13" t="s">
        <v>19597</v>
      </c>
      <c r="D4287" s="12" t="s">
        <v>11017</v>
      </c>
      <c r="E4287" s="13" t="s">
        <v>580</v>
      </c>
      <c r="F4287" s="681">
        <v>6.68</v>
      </c>
    </row>
    <row r="4288" spans="2:6" ht="15.75" hidden="1" customHeight="1" x14ac:dyDescent="0.25">
      <c r="B4288" s="13" t="s">
        <v>556</v>
      </c>
      <c r="C4288" s="13" t="s">
        <v>19598</v>
      </c>
      <c r="D4288" s="12" t="s">
        <v>8786</v>
      </c>
      <c r="E4288" s="13" t="s">
        <v>823</v>
      </c>
      <c r="F4288" s="681">
        <v>16.8</v>
      </c>
    </row>
    <row r="4289" spans="2:6" ht="15.75" hidden="1" customHeight="1" x14ac:dyDescent="0.25">
      <c r="B4289" s="13" t="s">
        <v>556</v>
      </c>
      <c r="C4289" s="13" t="s">
        <v>19599</v>
      </c>
      <c r="D4289" s="12" t="s">
        <v>9206</v>
      </c>
      <c r="E4289" s="13" t="s">
        <v>580</v>
      </c>
      <c r="F4289" s="681">
        <v>19.95</v>
      </c>
    </row>
    <row r="4290" spans="2:6" ht="15.75" hidden="1" customHeight="1" x14ac:dyDescent="0.25">
      <c r="B4290" s="13" t="s">
        <v>556</v>
      </c>
      <c r="C4290" s="13" t="s">
        <v>19600</v>
      </c>
      <c r="D4290" s="12" t="s">
        <v>9343</v>
      </c>
      <c r="E4290" s="13" t="s">
        <v>580</v>
      </c>
      <c r="F4290" s="681">
        <v>19.48</v>
      </c>
    </row>
    <row r="4291" spans="2:6" ht="15.75" hidden="1" customHeight="1" x14ac:dyDescent="0.25">
      <c r="B4291" s="13" t="s">
        <v>556</v>
      </c>
      <c r="C4291" s="13" t="s">
        <v>19601</v>
      </c>
      <c r="D4291" s="12" t="s">
        <v>10120</v>
      </c>
      <c r="E4291" s="13" t="s">
        <v>8838</v>
      </c>
      <c r="F4291" s="681">
        <v>17.5</v>
      </c>
    </row>
    <row r="4292" spans="2:6" ht="15.75" hidden="1" customHeight="1" x14ac:dyDescent="0.25">
      <c r="B4292" s="13" t="s">
        <v>556</v>
      </c>
      <c r="C4292" s="13" t="s">
        <v>19602</v>
      </c>
      <c r="D4292" s="12" t="s">
        <v>10416</v>
      </c>
      <c r="E4292" s="13" t="s">
        <v>8838</v>
      </c>
      <c r="F4292" s="681">
        <v>17.309999999999999</v>
      </c>
    </row>
    <row r="4293" spans="2:6" ht="15.75" hidden="1" customHeight="1" x14ac:dyDescent="0.25">
      <c r="B4293" s="13" t="s">
        <v>556</v>
      </c>
      <c r="C4293" s="13" t="s">
        <v>19603</v>
      </c>
      <c r="D4293" s="12" t="s">
        <v>8784</v>
      </c>
      <c r="E4293" s="13" t="s">
        <v>823</v>
      </c>
      <c r="F4293" s="681">
        <v>12.64</v>
      </c>
    </row>
    <row r="4294" spans="2:6" ht="15.75" hidden="1" customHeight="1" x14ac:dyDescent="0.25">
      <c r="B4294" s="13" t="s">
        <v>556</v>
      </c>
      <c r="C4294" s="13" t="s">
        <v>19604</v>
      </c>
      <c r="D4294" s="12" t="s">
        <v>11141</v>
      </c>
      <c r="E4294" s="13" t="s">
        <v>580</v>
      </c>
      <c r="F4294" s="681">
        <v>12.67</v>
      </c>
    </row>
    <row r="4295" spans="2:6" ht="15.75" hidden="1" customHeight="1" x14ac:dyDescent="0.25">
      <c r="B4295" s="13" t="s">
        <v>556</v>
      </c>
      <c r="C4295" s="13" t="s">
        <v>19605</v>
      </c>
      <c r="D4295" s="12" t="s">
        <v>9264</v>
      </c>
      <c r="E4295" s="13" t="s">
        <v>580</v>
      </c>
      <c r="F4295" s="681">
        <v>22.93</v>
      </c>
    </row>
    <row r="4296" spans="2:6" ht="15.75" hidden="1" customHeight="1" x14ac:dyDescent="0.25">
      <c r="B4296" s="13" t="s">
        <v>556</v>
      </c>
      <c r="C4296" s="13" t="s">
        <v>19606</v>
      </c>
      <c r="D4296" s="12" t="s">
        <v>11147</v>
      </c>
      <c r="E4296" s="13" t="s">
        <v>823</v>
      </c>
      <c r="F4296" s="681">
        <v>74.06</v>
      </c>
    </row>
    <row r="4297" spans="2:6" ht="15.75" hidden="1" customHeight="1" x14ac:dyDescent="0.25">
      <c r="B4297" s="13" t="s">
        <v>556</v>
      </c>
      <c r="C4297" s="13" t="s">
        <v>19607</v>
      </c>
      <c r="D4297" s="12" t="s">
        <v>11092</v>
      </c>
      <c r="E4297" s="13" t="s">
        <v>517</v>
      </c>
      <c r="F4297" s="681">
        <v>18.5</v>
      </c>
    </row>
    <row r="4298" spans="2:6" ht="15.75" hidden="1" customHeight="1" x14ac:dyDescent="0.25">
      <c r="B4298" s="13" t="s">
        <v>556</v>
      </c>
      <c r="C4298" s="13" t="s">
        <v>19608</v>
      </c>
      <c r="D4298" s="12" t="s">
        <v>8785</v>
      </c>
      <c r="E4298" s="13" t="s">
        <v>823</v>
      </c>
      <c r="F4298" s="681">
        <v>14.97</v>
      </c>
    </row>
    <row r="4299" spans="2:6" ht="15.75" hidden="1" customHeight="1" x14ac:dyDescent="0.25">
      <c r="B4299" s="13" t="s">
        <v>556</v>
      </c>
      <c r="C4299" s="13" t="s">
        <v>19609</v>
      </c>
      <c r="D4299" s="12" t="s">
        <v>9872</v>
      </c>
      <c r="E4299" s="13" t="s">
        <v>517</v>
      </c>
      <c r="F4299" s="681">
        <v>8.7200000000000006</v>
      </c>
    </row>
    <row r="4300" spans="2:6" ht="15.75" hidden="1" customHeight="1" x14ac:dyDescent="0.25">
      <c r="B4300" s="13" t="s">
        <v>556</v>
      </c>
      <c r="C4300" s="13" t="s">
        <v>19610</v>
      </c>
      <c r="D4300" s="12" t="s">
        <v>19611</v>
      </c>
      <c r="E4300" s="13" t="s">
        <v>580</v>
      </c>
      <c r="F4300" s="681">
        <v>17.010000000000002</v>
      </c>
    </row>
    <row r="4301" spans="2:6" ht="15.75" hidden="1" customHeight="1" x14ac:dyDescent="0.25">
      <c r="B4301" s="13" t="s">
        <v>556</v>
      </c>
      <c r="C4301" s="13" t="s">
        <v>19612</v>
      </c>
      <c r="D4301" s="12" t="s">
        <v>9714</v>
      </c>
      <c r="E4301" s="13" t="s">
        <v>517</v>
      </c>
      <c r="F4301" s="681">
        <v>22.6</v>
      </c>
    </row>
    <row r="4302" spans="2:6" ht="15.75" hidden="1" customHeight="1" x14ac:dyDescent="0.25">
      <c r="B4302" s="13" t="s">
        <v>14153</v>
      </c>
      <c r="C4302" s="13" t="s">
        <v>19613</v>
      </c>
      <c r="D4302" s="12" t="s">
        <v>8808</v>
      </c>
      <c r="E4302" s="13" t="s">
        <v>2193</v>
      </c>
      <c r="F4302" s="681">
        <v>36.729999999999997</v>
      </c>
    </row>
    <row r="4303" spans="2:6" ht="15.75" hidden="1" customHeight="1" x14ac:dyDescent="0.25">
      <c r="B4303" s="13" t="s">
        <v>556</v>
      </c>
      <c r="C4303" s="13" t="s">
        <v>19614</v>
      </c>
      <c r="D4303" s="12" t="s">
        <v>9715</v>
      </c>
      <c r="E4303" s="13" t="s">
        <v>517</v>
      </c>
      <c r="F4303" s="681">
        <v>51.51</v>
      </c>
    </row>
    <row r="4304" spans="2:6" ht="15.75" hidden="1" customHeight="1" x14ac:dyDescent="0.25">
      <c r="B4304" s="13" t="s">
        <v>556</v>
      </c>
      <c r="C4304" s="13" t="s">
        <v>19615</v>
      </c>
      <c r="D4304" s="12" t="s">
        <v>11211</v>
      </c>
      <c r="E4304" s="13" t="s">
        <v>578</v>
      </c>
      <c r="F4304" s="681">
        <v>27.01</v>
      </c>
    </row>
    <row r="4305" spans="2:6" ht="15.75" hidden="1" customHeight="1" x14ac:dyDescent="0.25">
      <c r="B4305" s="13" t="s">
        <v>556</v>
      </c>
      <c r="C4305" s="13" t="s">
        <v>19616</v>
      </c>
      <c r="D4305" s="12" t="s">
        <v>8823</v>
      </c>
      <c r="E4305" s="13" t="s">
        <v>580</v>
      </c>
      <c r="F4305" s="681">
        <v>779.35</v>
      </c>
    </row>
    <row r="4306" spans="2:6" ht="15.75" hidden="1" customHeight="1" x14ac:dyDescent="0.25">
      <c r="B4306" s="13" t="s">
        <v>556</v>
      </c>
      <c r="C4306" s="13" t="s">
        <v>19617</v>
      </c>
      <c r="D4306" s="12" t="s">
        <v>8821</v>
      </c>
      <c r="E4306" s="13" t="s">
        <v>580</v>
      </c>
      <c r="F4306" s="681">
        <v>275.89999999999998</v>
      </c>
    </row>
    <row r="4307" spans="2:6" ht="15.75" hidden="1" customHeight="1" x14ac:dyDescent="0.25">
      <c r="B4307" s="13" t="s">
        <v>556</v>
      </c>
      <c r="C4307" s="13" t="s">
        <v>19618</v>
      </c>
      <c r="D4307" s="12" t="s">
        <v>8822</v>
      </c>
      <c r="E4307" s="13" t="s">
        <v>580</v>
      </c>
      <c r="F4307" s="681">
        <v>345.84</v>
      </c>
    </row>
    <row r="4308" spans="2:6" ht="15.75" hidden="1" customHeight="1" x14ac:dyDescent="0.25">
      <c r="B4308" s="13" t="s">
        <v>556</v>
      </c>
      <c r="C4308" s="13" t="s">
        <v>19619</v>
      </c>
      <c r="D4308" s="12" t="s">
        <v>8843</v>
      </c>
      <c r="E4308" s="13" t="s">
        <v>823</v>
      </c>
      <c r="F4308" s="681">
        <v>10.42</v>
      </c>
    </row>
    <row r="4309" spans="2:6" ht="15.75" hidden="1" customHeight="1" x14ac:dyDescent="0.25">
      <c r="B4309" s="13" t="s">
        <v>556</v>
      </c>
      <c r="C4309" s="13" t="s">
        <v>19620</v>
      </c>
      <c r="D4309" s="12" t="s">
        <v>8854</v>
      </c>
      <c r="E4309" s="13" t="s">
        <v>585</v>
      </c>
      <c r="F4309" s="681">
        <v>39.89</v>
      </c>
    </row>
    <row r="4310" spans="2:6" ht="15.75" hidden="1" customHeight="1" x14ac:dyDescent="0.25">
      <c r="B4310" s="13" t="s">
        <v>556</v>
      </c>
      <c r="C4310" s="13" t="s">
        <v>19621</v>
      </c>
      <c r="D4310" s="12" t="s">
        <v>8850</v>
      </c>
      <c r="E4310" s="13" t="s">
        <v>585</v>
      </c>
      <c r="F4310" s="681">
        <v>53.8</v>
      </c>
    </row>
    <row r="4311" spans="2:6" ht="15.75" hidden="1" customHeight="1" x14ac:dyDescent="0.25">
      <c r="B4311" s="13" t="s">
        <v>556</v>
      </c>
      <c r="C4311" s="13" t="s">
        <v>19622</v>
      </c>
      <c r="D4311" s="12" t="s">
        <v>19623</v>
      </c>
      <c r="E4311" s="13" t="s">
        <v>580</v>
      </c>
      <c r="F4311" s="681">
        <v>4.47</v>
      </c>
    </row>
    <row r="4312" spans="2:6" ht="15.75" hidden="1" customHeight="1" x14ac:dyDescent="0.25">
      <c r="B4312" s="13" t="s">
        <v>556</v>
      </c>
      <c r="C4312" s="13" t="s">
        <v>19624</v>
      </c>
      <c r="D4312" s="12" t="s">
        <v>8851</v>
      </c>
      <c r="E4312" s="13" t="s">
        <v>585</v>
      </c>
      <c r="F4312" s="681">
        <v>106.52</v>
      </c>
    </row>
    <row r="4313" spans="2:6" ht="15.75" hidden="1" customHeight="1" x14ac:dyDescent="0.25">
      <c r="B4313" s="13" t="s">
        <v>556</v>
      </c>
      <c r="C4313" s="13" t="s">
        <v>19625</v>
      </c>
      <c r="D4313" s="12" t="s">
        <v>8848</v>
      </c>
      <c r="E4313" s="13" t="s">
        <v>585</v>
      </c>
      <c r="F4313" s="681">
        <v>19.89</v>
      </c>
    </row>
    <row r="4314" spans="2:6" ht="15.75" hidden="1" customHeight="1" x14ac:dyDescent="0.25">
      <c r="B4314" s="13" t="s">
        <v>556</v>
      </c>
      <c r="C4314" s="13" t="s">
        <v>19626</v>
      </c>
      <c r="D4314" s="12" t="s">
        <v>8846</v>
      </c>
      <c r="E4314" s="13" t="s">
        <v>585</v>
      </c>
      <c r="F4314" s="681">
        <v>12.78</v>
      </c>
    </row>
    <row r="4315" spans="2:6" ht="15.75" hidden="1" customHeight="1" x14ac:dyDescent="0.25">
      <c r="B4315" s="13" t="s">
        <v>556</v>
      </c>
      <c r="C4315" s="13" t="s">
        <v>19627</v>
      </c>
      <c r="D4315" s="12" t="s">
        <v>8847</v>
      </c>
      <c r="E4315" s="13" t="s">
        <v>585</v>
      </c>
      <c r="F4315" s="681">
        <v>40.090000000000003</v>
      </c>
    </row>
    <row r="4316" spans="2:6" ht="15.75" hidden="1" customHeight="1" x14ac:dyDescent="0.25">
      <c r="B4316" s="13" t="s">
        <v>556</v>
      </c>
      <c r="C4316" s="13" t="s">
        <v>19628</v>
      </c>
      <c r="D4316" s="12" t="s">
        <v>8852</v>
      </c>
      <c r="E4316" s="13" t="s">
        <v>585</v>
      </c>
      <c r="F4316" s="681">
        <v>26.63</v>
      </c>
    </row>
    <row r="4317" spans="2:6" ht="15.75" hidden="1" customHeight="1" x14ac:dyDescent="0.25">
      <c r="B4317" s="13" t="s">
        <v>556</v>
      </c>
      <c r="C4317" s="13" t="s">
        <v>19629</v>
      </c>
      <c r="D4317" s="12" t="s">
        <v>8853</v>
      </c>
      <c r="E4317" s="13" t="s">
        <v>585</v>
      </c>
      <c r="F4317" s="681">
        <v>33.31</v>
      </c>
    </row>
    <row r="4318" spans="2:6" ht="15.75" hidden="1" customHeight="1" x14ac:dyDescent="0.25">
      <c r="B4318" s="13" t="s">
        <v>556</v>
      </c>
      <c r="C4318" s="13" t="s">
        <v>19630</v>
      </c>
      <c r="D4318" s="12" t="s">
        <v>8849</v>
      </c>
      <c r="E4318" s="13" t="s">
        <v>585</v>
      </c>
      <c r="F4318" s="681">
        <v>29.89</v>
      </c>
    </row>
    <row r="4319" spans="2:6" ht="15.75" hidden="1" customHeight="1" x14ac:dyDescent="0.25">
      <c r="B4319" s="13" t="s">
        <v>556</v>
      </c>
      <c r="C4319" s="13" t="s">
        <v>19631</v>
      </c>
      <c r="D4319" s="12" t="s">
        <v>8845</v>
      </c>
      <c r="E4319" s="13" t="s">
        <v>585</v>
      </c>
      <c r="F4319" s="681">
        <v>18.02</v>
      </c>
    </row>
    <row r="4320" spans="2:6" ht="15.75" hidden="1" customHeight="1" x14ac:dyDescent="0.25">
      <c r="B4320" s="13" t="s">
        <v>556</v>
      </c>
      <c r="C4320" s="13" t="s">
        <v>19632</v>
      </c>
      <c r="D4320" s="12" t="s">
        <v>8844</v>
      </c>
      <c r="E4320" s="13" t="s">
        <v>585</v>
      </c>
      <c r="F4320" s="681">
        <v>4.9400000000000004</v>
      </c>
    </row>
    <row r="4321" spans="2:6" ht="15.75" hidden="1" customHeight="1" x14ac:dyDescent="0.25">
      <c r="B4321" s="13" t="s">
        <v>556</v>
      </c>
      <c r="C4321" s="13" t="s">
        <v>19633</v>
      </c>
      <c r="D4321" s="12" t="s">
        <v>9298</v>
      </c>
      <c r="E4321" s="13" t="s">
        <v>585</v>
      </c>
      <c r="F4321" s="681">
        <v>13.21</v>
      </c>
    </row>
    <row r="4322" spans="2:6" ht="15.75" hidden="1" customHeight="1" x14ac:dyDescent="0.25">
      <c r="B4322" s="13" t="s">
        <v>556</v>
      </c>
      <c r="C4322" s="13" t="s">
        <v>19634</v>
      </c>
      <c r="D4322" s="12" t="s">
        <v>9300</v>
      </c>
      <c r="E4322" s="13" t="s">
        <v>585</v>
      </c>
      <c r="F4322" s="681">
        <v>73.2</v>
      </c>
    </row>
    <row r="4323" spans="2:6" ht="15.75" hidden="1" customHeight="1" x14ac:dyDescent="0.25">
      <c r="B4323" s="13" t="s">
        <v>556</v>
      </c>
      <c r="C4323" s="13" t="s">
        <v>19635</v>
      </c>
      <c r="D4323" s="12" t="s">
        <v>9299</v>
      </c>
      <c r="E4323" s="13" t="s">
        <v>585</v>
      </c>
      <c r="F4323" s="681">
        <v>34.74</v>
      </c>
    </row>
    <row r="4324" spans="2:6" ht="15.75" hidden="1" customHeight="1" x14ac:dyDescent="0.25">
      <c r="B4324" s="13" t="s">
        <v>556</v>
      </c>
      <c r="C4324" s="13" t="s">
        <v>19636</v>
      </c>
      <c r="D4324" s="12" t="s">
        <v>9305</v>
      </c>
      <c r="E4324" s="13" t="s">
        <v>585</v>
      </c>
      <c r="F4324" s="681">
        <v>38.68</v>
      </c>
    </row>
    <row r="4325" spans="2:6" ht="15.75" hidden="1" customHeight="1" x14ac:dyDescent="0.25">
      <c r="B4325" s="13" t="s">
        <v>556</v>
      </c>
      <c r="C4325" s="13" t="s">
        <v>19637</v>
      </c>
      <c r="D4325" s="12" t="s">
        <v>10900</v>
      </c>
      <c r="E4325" s="13" t="s">
        <v>823</v>
      </c>
      <c r="F4325" s="681">
        <v>36.340000000000003</v>
      </c>
    </row>
    <row r="4326" spans="2:6" ht="15.75" hidden="1" customHeight="1" x14ac:dyDescent="0.25">
      <c r="B4326" s="13" t="s">
        <v>556</v>
      </c>
      <c r="C4326" s="13" t="s">
        <v>19638</v>
      </c>
      <c r="D4326" s="12" t="s">
        <v>9302</v>
      </c>
      <c r="E4326" s="13" t="s">
        <v>585</v>
      </c>
      <c r="F4326" s="681">
        <v>22.89</v>
      </c>
    </row>
    <row r="4327" spans="2:6" ht="15.75" hidden="1" customHeight="1" x14ac:dyDescent="0.25">
      <c r="B4327" s="13" t="s">
        <v>556</v>
      </c>
      <c r="C4327" s="13" t="s">
        <v>19639</v>
      </c>
      <c r="D4327" s="12" t="s">
        <v>9303</v>
      </c>
      <c r="E4327" s="13" t="s">
        <v>585</v>
      </c>
      <c r="F4327" s="681">
        <v>36.21</v>
      </c>
    </row>
    <row r="4328" spans="2:6" ht="15.75" hidden="1" customHeight="1" x14ac:dyDescent="0.25">
      <c r="B4328" s="13" t="s">
        <v>556</v>
      </c>
      <c r="C4328" s="13" t="s">
        <v>19640</v>
      </c>
      <c r="D4328" s="12" t="s">
        <v>9306</v>
      </c>
      <c r="E4328" s="13" t="s">
        <v>585</v>
      </c>
      <c r="F4328" s="681">
        <v>61.21</v>
      </c>
    </row>
    <row r="4329" spans="2:6" ht="15.75" hidden="1" customHeight="1" x14ac:dyDescent="0.25">
      <c r="B4329" s="13" t="s">
        <v>556</v>
      </c>
      <c r="C4329" s="13" t="s">
        <v>19641</v>
      </c>
      <c r="D4329" s="12" t="s">
        <v>9304</v>
      </c>
      <c r="E4329" s="13" t="s">
        <v>823</v>
      </c>
      <c r="F4329" s="681">
        <v>36.340000000000003</v>
      </c>
    </row>
    <row r="4330" spans="2:6" ht="15.75" hidden="1" customHeight="1" x14ac:dyDescent="0.25">
      <c r="B4330" s="13" t="s">
        <v>556</v>
      </c>
      <c r="C4330" s="13" t="s">
        <v>19642</v>
      </c>
      <c r="D4330" s="12" t="s">
        <v>9301</v>
      </c>
      <c r="E4330" s="13" t="s">
        <v>823</v>
      </c>
      <c r="F4330" s="681">
        <v>38.94</v>
      </c>
    </row>
    <row r="4331" spans="2:6" ht="15.75" hidden="1" customHeight="1" x14ac:dyDescent="0.25">
      <c r="B4331" s="13" t="s">
        <v>556</v>
      </c>
      <c r="C4331" s="13" t="s">
        <v>19643</v>
      </c>
      <c r="D4331" s="12" t="s">
        <v>10230</v>
      </c>
      <c r="E4331" s="13" t="s">
        <v>578</v>
      </c>
      <c r="F4331" s="681">
        <v>758.76</v>
      </c>
    </row>
    <row r="4332" spans="2:6" ht="15.75" hidden="1" customHeight="1" x14ac:dyDescent="0.25">
      <c r="B4332" s="13" t="s">
        <v>556</v>
      </c>
      <c r="C4332" s="13" t="s">
        <v>19644</v>
      </c>
      <c r="D4332" s="12" t="s">
        <v>19645</v>
      </c>
      <c r="E4332" s="13" t="s">
        <v>580</v>
      </c>
      <c r="F4332" s="681">
        <v>5.8</v>
      </c>
    </row>
    <row r="4333" spans="2:6" ht="15.75" hidden="1" customHeight="1" x14ac:dyDescent="0.25">
      <c r="B4333" s="13" t="s">
        <v>556</v>
      </c>
      <c r="C4333" s="13" t="s">
        <v>19646</v>
      </c>
      <c r="D4333" s="12" t="s">
        <v>11191</v>
      </c>
      <c r="E4333" s="13" t="s">
        <v>580</v>
      </c>
      <c r="F4333" s="681">
        <v>56.39</v>
      </c>
    </row>
    <row r="4334" spans="2:6" ht="15.75" hidden="1" customHeight="1" x14ac:dyDescent="0.25">
      <c r="B4334" s="13" t="s">
        <v>556</v>
      </c>
      <c r="C4334" s="13" t="s">
        <v>19647</v>
      </c>
      <c r="D4334" s="12" t="s">
        <v>11190</v>
      </c>
      <c r="E4334" s="13" t="s">
        <v>580</v>
      </c>
      <c r="F4334" s="681">
        <v>49.98</v>
      </c>
    </row>
    <row r="4335" spans="2:6" ht="15.75" hidden="1" customHeight="1" x14ac:dyDescent="0.25">
      <c r="B4335" s="13" t="s">
        <v>556</v>
      </c>
      <c r="C4335" s="13" t="s">
        <v>19648</v>
      </c>
      <c r="D4335" s="12" t="s">
        <v>11178</v>
      </c>
      <c r="E4335" s="13" t="s">
        <v>580</v>
      </c>
      <c r="F4335" s="681">
        <v>62.77</v>
      </c>
    </row>
    <row r="4336" spans="2:6" ht="15.75" hidden="1" customHeight="1" x14ac:dyDescent="0.25">
      <c r="B4336" s="13" t="s">
        <v>556</v>
      </c>
      <c r="C4336" s="13" t="s">
        <v>19649</v>
      </c>
      <c r="D4336" s="12" t="s">
        <v>11182</v>
      </c>
      <c r="E4336" s="13" t="s">
        <v>580</v>
      </c>
      <c r="F4336" s="681">
        <v>181.34</v>
      </c>
    </row>
    <row r="4337" spans="2:6" ht="15.75" hidden="1" customHeight="1" x14ac:dyDescent="0.25">
      <c r="B4337" s="13" t="s">
        <v>556</v>
      </c>
      <c r="C4337" s="13" t="s">
        <v>19650</v>
      </c>
      <c r="D4337" s="12" t="s">
        <v>11184</v>
      </c>
      <c r="E4337" s="13" t="s">
        <v>580</v>
      </c>
      <c r="F4337" s="681">
        <v>219.54</v>
      </c>
    </row>
    <row r="4338" spans="2:6" ht="15.75" hidden="1" customHeight="1" x14ac:dyDescent="0.25">
      <c r="B4338" s="13" t="s">
        <v>556</v>
      </c>
      <c r="C4338" s="13" t="s">
        <v>19651</v>
      </c>
      <c r="D4338" s="12" t="s">
        <v>11189</v>
      </c>
      <c r="E4338" s="13" t="s">
        <v>580</v>
      </c>
      <c r="F4338" s="681">
        <v>69.03</v>
      </c>
    </row>
    <row r="4339" spans="2:6" ht="15.75" hidden="1" customHeight="1" x14ac:dyDescent="0.25">
      <c r="B4339" s="13" t="s">
        <v>556</v>
      </c>
      <c r="C4339" s="13" t="s">
        <v>19652</v>
      </c>
      <c r="D4339" s="12" t="s">
        <v>11188</v>
      </c>
      <c r="E4339" s="13" t="s">
        <v>580</v>
      </c>
      <c r="F4339" s="681">
        <v>95.97</v>
      </c>
    </row>
    <row r="4340" spans="2:6" ht="15.75" hidden="1" customHeight="1" x14ac:dyDescent="0.25">
      <c r="B4340" s="13" t="s">
        <v>556</v>
      </c>
      <c r="C4340" s="13" t="s">
        <v>19653</v>
      </c>
      <c r="D4340" s="12" t="s">
        <v>11187</v>
      </c>
      <c r="E4340" s="13" t="s">
        <v>580</v>
      </c>
      <c r="F4340" s="681">
        <v>100.38</v>
      </c>
    </row>
    <row r="4341" spans="2:6" ht="15.75" hidden="1" customHeight="1" x14ac:dyDescent="0.25">
      <c r="B4341" s="13" t="s">
        <v>556</v>
      </c>
      <c r="C4341" s="13" t="s">
        <v>19654</v>
      </c>
      <c r="D4341" s="12" t="s">
        <v>11185</v>
      </c>
      <c r="E4341" s="13" t="s">
        <v>580</v>
      </c>
      <c r="F4341" s="681">
        <v>23.11</v>
      </c>
    </row>
    <row r="4342" spans="2:6" ht="15.75" hidden="1" customHeight="1" x14ac:dyDescent="0.25">
      <c r="B4342" s="13" t="s">
        <v>556</v>
      </c>
      <c r="C4342" s="13" t="s">
        <v>19655</v>
      </c>
      <c r="D4342" s="12" t="s">
        <v>11179</v>
      </c>
      <c r="E4342" s="13" t="s">
        <v>580</v>
      </c>
      <c r="F4342" s="681">
        <v>49.72</v>
      </c>
    </row>
    <row r="4343" spans="2:6" ht="15.75" hidden="1" customHeight="1" x14ac:dyDescent="0.25">
      <c r="B4343" s="13" t="s">
        <v>556</v>
      </c>
      <c r="C4343" s="13" t="s">
        <v>19656</v>
      </c>
      <c r="D4343" s="12" t="s">
        <v>11180</v>
      </c>
      <c r="E4343" s="13" t="s">
        <v>580</v>
      </c>
      <c r="F4343" s="681">
        <v>36.479999999999997</v>
      </c>
    </row>
    <row r="4344" spans="2:6" ht="15.75" hidden="1" customHeight="1" x14ac:dyDescent="0.25">
      <c r="B4344" s="13" t="s">
        <v>556</v>
      </c>
      <c r="C4344" s="13" t="s">
        <v>19657</v>
      </c>
      <c r="D4344" s="12" t="s">
        <v>11181</v>
      </c>
      <c r="E4344" s="13" t="s">
        <v>580</v>
      </c>
      <c r="F4344" s="681">
        <v>21.91</v>
      </c>
    </row>
    <row r="4345" spans="2:6" ht="15.75" hidden="1" customHeight="1" x14ac:dyDescent="0.25">
      <c r="B4345" s="13" t="s">
        <v>556</v>
      </c>
      <c r="C4345" s="13" t="s">
        <v>19658</v>
      </c>
      <c r="D4345" s="12" t="s">
        <v>11196</v>
      </c>
      <c r="E4345" s="13" t="s">
        <v>580</v>
      </c>
      <c r="F4345" s="681">
        <v>51.45</v>
      </c>
    </row>
    <row r="4346" spans="2:6" ht="15.75" hidden="1" customHeight="1" x14ac:dyDescent="0.25">
      <c r="B4346" s="13" t="s">
        <v>556</v>
      </c>
      <c r="C4346" s="13" t="s">
        <v>19659</v>
      </c>
      <c r="D4346" s="12" t="s">
        <v>11197</v>
      </c>
      <c r="E4346" s="13" t="s">
        <v>580</v>
      </c>
      <c r="F4346" s="681">
        <v>53.18</v>
      </c>
    </row>
    <row r="4347" spans="2:6" ht="15.75" hidden="1" customHeight="1" x14ac:dyDescent="0.25">
      <c r="B4347" s="13" t="s">
        <v>556</v>
      </c>
      <c r="C4347" s="13" t="s">
        <v>19660</v>
      </c>
      <c r="D4347" s="12" t="s">
        <v>11186</v>
      </c>
      <c r="E4347" s="13" t="s">
        <v>580</v>
      </c>
      <c r="F4347" s="681">
        <v>457.45</v>
      </c>
    </row>
    <row r="4348" spans="2:6" ht="15.75" hidden="1" customHeight="1" x14ac:dyDescent="0.25">
      <c r="B4348" s="13" t="s">
        <v>556</v>
      </c>
      <c r="C4348" s="13" t="s">
        <v>19661</v>
      </c>
      <c r="D4348" s="12" t="s">
        <v>11183</v>
      </c>
      <c r="E4348" s="13" t="s">
        <v>580</v>
      </c>
      <c r="F4348" s="681">
        <v>87.44</v>
      </c>
    </row>
    <row r="4349" spans="2:6" ht="15.75" hidden="1" customHeight="1" x14ac:dyDescent="0.25">
      <c r="B4349" s="13" t="s">
        <v>556</v>
      </c>
      <c r="C4349" s="13" t="s">
        <v>19662</v>
      </c>
      <c r="D4349" s="12" t="s">
        <v>11160</v>
      </c>
      <c r="E4349" s="13" t="s">
        <v>580</v>
      </c>
      <c r="F4349" s="681">
        <v>21.62</v>
      </c>
    </row>
    <row r="4350" spans="2:6" ht="15.75" hidden="1" customHeight="1" x14ac:dyDescent="0.25">
      <c r="B4350" s="13" t="s">
        <v>556</v>
      </c>
      <c r="C4350" s="13" t="s">
        <v>19663</v>
      </c>
      <c r="D4350" s="12" t="s">
        <v>11159</v>
      </c>
      <c r="E4350" s="13" t="s">
        <v>580</v>
      </c>
      <c r="F4350" s="681">
        <v>21.4</v>
      </c>
    </row>
    <row r="4351" spans="2:6" ht="15.75" hidden="1" customHeight="1" x14ac:dyDescent="0.25">
      <c r="B4351" s="13" t="s">
        <v>556</v>
      </c>
      <c r="C4351" s="13" t="s">
        <v>19664</v>
      </c>
      <c r="D4351" s="12" t="s">
        <v>11167</v>
      </c>
      <c r="E4351" s="13" t="s">
        <v>580</v>
      </c>
      <c r="F4351" s="681">
        <v>27.1</v>
      </c>
    </row>
    <row r="4352" spans="2:6" ht="15.75" hidden="1" customHeight="1" x14ac:dyDescent="0.25">
      <c r="B4352" s="13" t="s">
        <v>556</v>
      </c>
      <c r="C4352" s="13" t="s">
        <v>19665</v>
      </c>
      <c r="D4352" s="12" t="s">
        <v>11161</v>
      </c>
      <c r="E4352" s="13" t="s">
        <v>580</v>
      </c>
      <c r="F4352" s="681">
        <v>28.5</v>
      </c>
    </row>
    <row r="4353" spans="2:6" ht="15.75" hidden="1" customHeight="1" x14ac:dyDescent="0.25">
      <c r="B4353" s="13" t="s">
        <v>556</v>
      </c>
      <c r="C4353" s="13" t="s">
        <v>19666</v>
      </c>
      <c r="D4353" s="12" t="s">
        <v>11157</v>
      </c>
      <c r="E4353" s="13" t="s">
        <v>580</v>
      </c>
      <c r="F4353" s="681">
        <v>13.37</v>
      </c>
    </row>
    <row r="4354" spans="2:6" ht="15.75" hidden="1" customHeight="1" x14ac:dyDescent="0.25">
      <c r="B4354" s="13" t="s">
        <v>556</v>
      </c>
      <c r="C4354" s="13" t="s">
        <v>19667</v>
      </c>
      <c r="D4354" s="12" t="s">
        <v>11158</v>
      </c>
      <c r="E4354" s="13" t="s">
        <v>580</v>
      </c>
      <c r="F4354" s="681">
        <v>18.21</v>
      </c>
    </row>
    <row r="4355" spans="2:6" ht="15.75" hidden="1" customHeight="1" x14ac:dyDescent="0.25">
      <c r="B4355" s="13" t="s">
        <v>556</v>
      </c>
      <c r="C4355" s="13" t="s">
        <v>19668</v>
      </c>
      <c r="D4355" s="12" t="s">
        <v>11176</v>
      </c>
      <c r="E4355" s="13" t="s">
        <v>580</v>
      </c>
      <c r="F4355" s="681">
        <v>14.57</v>
      </c>
    </row>
    <row r="4356" spans="2:6" ht="15.75" hidden="1" customHeight="1" x14ac:dyDescent="0.25">
      <c r="B4356" s="13" t="s">
        <v>556</v>
      </c>
      <c r="C4356" s="13" t="s">
        <v>19669</v>
      </c>
      <c r="D4356" s="12" t="s">
        <v>11174</v>
      </c>
      <c r="E4356" s="13" t="s">
        <v>580</v>
      </c>
      <c r="F4356" s="681">
        <v>7</v>
      </c>
    </row>
    <row r="4357" spans="2:6" ht="15.75" hidden="1" customHeight="1" x14ac:dyDescent="0.25">
      <c r="B4357" s="13" t="s">
        <v>14150</v>
      </c>
      <c r="C4357" s="13" t="s">
        <v>19670</v>
      </c>
      <c r="D4357" s="12" t="s">
        <v>11205</v>
      </c>
      <c r="E4357" s="13" t="s">
        <v>580</v>
      </c>
      <c r="F4357" s="681">
        <v>450000</v>
      </c>
    </row>
    <row r="4358" spans="2:6" ht="15.75" hidden="1" customHeight="1" x14ac:dyDescent="0.25">
      <c r="B4358" s="13" t="s">
        <v>14150</v>
      </c>
      <c r="C4358" s="13" t="s">
        <v>19671</v>
      </c>
      <c r="D4358" s="12" t="s">
        <v>19672</v>
      </c>
      <c r="E4358" s="13" t="s">
        <v>580</v>
      </c>
      <c r="F4358" s="681">
        <v>778642.87</v>
      </c>
    </row>
    <row r="4359" spans="2:6" ht="15.75" hidden="1" customHeight="1" x14ac:dyDescent="0.25">
      <c r="B4359" s="13" t="s">
        <v>14150</v>
      </c>
      <c r="C4359" s="13" t="s">
        <v>19673</v>
      </c>
      <c r="D4359" s="12" t="s">
        <v>19674</v>
      </c>
      <c r="E4359" s="13" t="s">
        <v>580</v>
      </c>
      <c r="F4359" s="681">
        <v>191404.61</v>
      </c>
    </row>
    <row r="4360" spans="2:6" ht="15.75" hidden="1" customHeight="1" x14ac:dyDescent="0.25">
      <c r="B4360" s="13" t="s">
        <v>14150</v>
      </c>
      <c r="C4360" s="13" t="s">
        <v>19675</v>
      </c>
      <c r="D4360" s="12" t="s">
        <v>19676</v>
      </c>
      <c r="E4360" s="13" t="s">
        <v>580</v>
      </c>
      <c r="F4360" s="681">
        <v>866417.12</v>
      </c>
    </row>
    <row r="4361" spans="2:6" ht="15.75" hidden="1" customHeight="1" x14ac:dyDescent="0.25">
      <c r="B4361" s="13" t="s">
        <v>556</v>
      </c>
      <c r="C4361" s="13" t="s">
        <v>19677</v>
      </c>
      <c r="D4361" s="12" t="s">
        <v>19678</v>
      </c>
      <c r="E4361" s="13" t="s">
        <v>664</v>
      </c>
      <c r="F4361" s="681">
        <v>66.5</v>
      </c>
    </row>
    <row r="4362" spans="2:6" ht="15.75" customHeight="1" x14ac:dyDescent="0.25">
      <c r="B4362" s="13" t="s">
        <v>556</v>
      </c>
      <c r="C4362" s="13" t="s">
        <v>19679</v>
      </c>
      <c r="D4362" s="12" t="s">
        <v>19680</v>
      </c>
      <c r="E4362" s="13" t="s">
        <v>664</v>
      </c>
      <c r="F4362" s="681">
        <v>37.35</v>
      </c>
    </row>
    <row r="4363" spans="2:6" ht="15.75" customHeight="1" x14ac:dyDescent="0.25">
      <c r="B4363" s="13" t="s">
        <v>556</v>
      </c>
      <c r="C4363" s="13" t="s">
        <v>19681</v>
      </c>
      <c r="D4363" s="12" t="s">
        <v>19682</v>
      </c>
      <c r="E4363" s="13" t="s">
        <v>664</v>
      </c>
      <c r="F4363" s="681">
        <v>37.35</v>
      </c>
    </row>
    <row r="4364" spans="2:6" ht="15.75" customHeight="1" x14ac:dyDescent="0.25">
      <c r="B4364" s="13" t="s">
        <v>556</v>
      </c>
      <c r="C4364" s="13" t="s">
        <v>19683</v>
      </c>
      <c r="D4364" s="12" t="s">
        <v>19684</v>
      </c>
      <c r="E4364" s="13" t="s">
        <v>664</v>
      </c>
      <c r="F4364" s="681">
        <v>52.3</v>
      </c>
    </row>
    <row r="4365" spans="2:6" ht="15.75" hidden="1" customHeight="1" x14ac:dyDescent="0.25">
      <c r="B4365" s="13" t="s">
        <v>556</v>
      </c>
      <c r="C4365" s="13" t="s">
        <v>19685</v>
      </c>
      <c r="D4365" s="12" t="s">
        <v>11247</v>
      </c>
      <c r="E4365" s="13" t="s">
        <v>517</v>
      </c>
      <c r="F4365" s="681">
        <v>11.51</v>
      </c>
    </row>
    <row r="4366" spans="2:6" ht="15.75" hidden="1" customHeight="1" x14ac:dyDescent="0.25">
      <c r="B4366" s="13" t="s">
        <v>556</v>
      </c>
      <c r="C4366" s="13" t="s">
        <v>19686</v>
      </c>
      <c r="D4366" s="12" t="s">
        <v>19687</v>
      </c>
      <c r="E4366" s="13" t="s">
        <v>580</v>
      </c>
      <c r="F4366" s="681">
        <v>4.2300000000000004</v>
      </c>
    </row>
    <row r="4367" spans="2:6" ht="15.75" hidden="1" customHeight="1" x14ac:dyDescent="0.25">
      <c r="B4367" s="13" t="s">
        <v>14153</v>
      </c>
      <c r="C4367" s="13" t="s">
        <v>19688</v>
      </c>
      <c r="D4367" s="12" t="s">
        <v>11262</v>
      </c>
      <c r="E4367" s="13" t="s">
        <v>2193</v>
      </c>
      <c r="F4367" s="681">
        <v>25.27</v>
      </c>
    </row>
    <row r="4368" spans="2:6" ht="15.75" hidden="1" customHeight="1" x14ac:dyDescent="0.25">
      <c r="B4368" s="13" t="s">
        <v>14153</v>
      </c>
      <c r="C4368" s="13" t="s">
        <v>19689</v>
      </c>
      <c r="D4368" s="12" t="s">
        <v>11264</v>
      </c>
      <c r="E4368" s="13" t="s">
        <v>2193</v>
      </c>
      <c r="F4368" s="681">
        <v>20.49</v>
      </c>
    </row>
    <row r="4369" spans="2:6" ht="15.75" hidden="1" customHeight="1" x14ac:dyDescent="0.25">
      <c r="B4369" s="13" t="s">
        <v>14153</v>
      </c>
      <c r="C4369" s="13" t="s">
        <v>19690</v>
      </c>
      <c r="D4369" s="12" t="s">
        <v>8615</v>
      </c>
      <c r="E4369" s="13" t="s">
        <v>2193</v>
      </c>
      <c r="F4369" s="681">
        <v>22.81</v>
      </c>
    </row>
    <row r="4370" spans="2:6" ht="15.75" hidden="1" customHeight="1" x14ac:dyDescent="0.25">
      <c r="B4370" s="13" t="s">
        <v>14153</v>
      </c>
      <c r="C4370" s="13" t="s">
        <v>19691</v>
      </c>
      <c r="D4370" s="12" t="s">
        <v>9337</v>
      </c>
      <c r="E4370" s="13" t="s">
        <v>2193</v>
      </c>
      <c r="F4370" s="681">
        <v>22.81</v>
      </c>
    </row>
    <row r="4371" spans="2:6" ht="15.75" hidden="1" customHeight="1" x14ac:dyDescent="0.25">
      <c r="B4371" s="13" t="s">
        <v>14153</v>
      </c>
      <c r="C4371" s="13" t="s">
        <v>19692</v>
      </c>
      <c r="D4371" s="12" t="s">
        <v>8804</v>
      </c>
      <c r="E4371" s="13" t="s">
        <v>2193</v>
      </c>
      <c r="F4371" s="681">
        <v>20.49</v>
      </c>
    </row>
    <row r="4372" spans="2:6" ht="15.75" hidden="1" customHeight="1" x14ac:dyDescent="0.25">
      <c r="B4372" s="13" t="s">
        <v>14153</v>
      </c>
      <c r="C4372" s="13" t="s">
        <v>19693</v>
      </c>
      <c r="D4372" s="12" t="s">
        <v>8685</v>
      </c>
      <c r="E4372" s="13" t="s">
        <v>2193</v>
      </c>
      <c r="F4372" s="681">
        <v>37.17</v>
      </c>
    </row>
    <row r="4373" spans="2:6" ht="15.75" hidden="1" customHeight="1" x14ac:dyDescent="0.25">
      <c r="B4373" s="13" t="s">
        <v>14153</v>
      </c>
      <c r="C4373" s="13" t="s">
        <v>19694</v>
      </c>
      <c r="D4373" s="12" t="s">
        <v>8802</v>
      </c>
      <c r="E4373" s="13" t="s">
        <v>2193</v>
      </c>
      <c r="F4373" s="681">
        <v>22.81</v>
      </c>
    </row>
    <row r="4374" spans="2:6" ht="15.75" hidden="1" customHeight="1" x14ac:dyDescent="0.25">
      <c r="B4374" s="13" t="s">
        <v>556</v>
      </c>
      <c r="C4374" s="13" t="s">
        <v>19695</v>
      </c>
      <c r="D4374" s="12" t="s">
        <v>11270</v>
      </c>
      <c r="E4374" s="13" t="s">
        <v>580</v>
      </c>
      <c r="F4374" s="681">
        <v>177</v>
      </c>
    </row>
    <row r="4375" spans="2:6" ht="15.75" hidden="1" customHeight="1" x14ac:dyDescent="0.25">
      <c r="B4375" s="13" t="s">
        <v>556</v>
      </c>
      <c r="C4375" s="13" t="s">
        <v>19696</v>
      </c>
      <c r="D4375" s="12" t="s">
        <v>8674</v>
      </c>
      <c r="E4375" s="13" t="s">
        <v>580</v>
      </c>
      <c r="F4375" s="681">
        <v>11.03</v>
      </c>
    </row>
    <row r="4376" spans="2:6" ht="15.75" hidden="1" customHeight="1" x14ac:dyDescent="0.25">
      <c r="B4376" s="13" t="s">
        <v>556</v>
      </c>
      <c r="C4376" s="13" t="s">
        <v>19697</v>
      </c>
      <c r="D4376" s="12" t="s">
        <v>8958</v>
      </c>
      <c r="E4376" s="13" t="s">
        <v>580</v>
      </c>
      <c r="F4376" s="681">
        <v>4.3499999999999996</v>
      </c>
    </row>
    <row r="4377" spans="2:6" ht="15.75" hidden="1" customHeight="1" x14ac:dyDescent="0.25">
      <c r="B4377" s="13" t="s">
        <v>556</v>
      </c>
      <c r="C4377" s="13" t="s">
        <v>19698</v>
      </c>
      <c r="D4377" s="12" t="s">
        <v>9883</v>
      </c>
      <c r="E4377" s="13" t="s">
        <v>580</v>
      </c>
      <c r="F4377" s="681">
        <v>6.05</v>
      </c>
    </row>
    <row r="4378" spans="2:6" ht="15.75" hidden="1" customHeight="1" x14ac:dyDescent="0.25">
      <c r="B4378" s="13" t="s">
        <v>556</v>
      </c>
      <c r="C4378" s="13" t="s">
        <v>19699</v>
      </c>
      <c r="D4378" s="12" t="s">
        <v>9564</v>
      </c>
      <c r="E4378" s="13" t="s">
        <v>580</v>
      </c>
      <c r="F4378" s="681">
        <v>9.4499999999999993</v>
      </c>
    </row>
    <row r="4379" spans="2:6" ht="15.75" hidden="1" customHeight="1" x14ac:dyDescent="0.25">
      <c r="B4379" s="13" t="s">
        <v>556</v>
      </c>
      <c r="C4379" s="13" t="s">
        <v>19700</v>
      </c>
      <c r="D4379" s="12" t="s">
        <v>11273</v>
      </c>
      <c r="E4379" s="13" t="s">
        <v>580</v>
      </c>
      <c r="F4379" s="681">
        <v>20.23</v>
      </c>
    </row>
    <row r="4380" spans="2:6" ht="15.75" hidden="1" customHeight="1" x14ac:dyDescent="0.25">
      <c r="B4380" s="13" t="s">
        <v>556</v>
      </c>
      <c r="C4380" s="13" t="s">
        <v>19701</v>
      </c>
      <c r="D4380" s="12" t="s">
        <v>11275</v>
      </c>
      <c r="E4380" s="13" t="s">
        <v>580</v>
      </c>
      <c r="F4380" s="681">
        <v>19.22</v>
      </c>
    </row>
    <row r="4381" spans="2:6" ht="15.75" hidden="1" customHeight="1" x14ac:dyDescent="0.25">
      <c r="B4381" s="13" t="s">
        <v>556</v>
      </c>
      <c r="C4381" s="13" t="s">
        <v>19702</v>
      </c>
      <c r="D4381" s="12" t="s">
        <v>11274</v>
      </c>
      <c r="E4381" s="13" t="s">
        <v>580</v>
      </c>
      <c r="F4381" s="681">
        <v>13.37</v>
      </c>
    </row>
    <row r="4382" spans="2:6" ht="15.75" hidden="1" customHeight="1" x14ac:dyDescent="0.25">
      <c r="B4382" s="13" t="s">
        <v>556</v>
      </c>
      <c r="C4382" s="13" t="s">
        <v>19703</v>
      </c>
      <c r="D4382" s="12" t="s">
        <v>11269</v>
      </c>
      <c r="E4382" s="13" t="s">
        <v>580</v>
      </c>
      <c r="F4382" s="681">
        <v>225.17</v>
      </c>
    </row>
    <row r="4383" spans="2:6" ht="15.75" hidden="1" customHeight="1" x14ac:dyDescent="0.25">
      <c r="B4383" s="13" t="s">
        <v>556</v>
      </c>
      <c r="C4383" s="13" t="s">
        <v>19704</v>
      </c>
      <c r="D4383" s="12" t="s">
        <v>11822</v>
      </c>
      <c r="E4383" s="13" t="s">
        <v>580</v>
      </c>
      <c r="F4383" s="681">
        <v>5.88</v>
      </c>
    </row>
    <row r="4384" spans="2:6" ht="15.75" hidden="1" customHeight="1" x14ac:dyDescent="0.25">
      <c r="B4384" s="13" t="s">
        <v>556</v>
      </c>
      <c r="C4384" s="13" t="s">
        <v>19705</v>
      </c>
      <c r="D4384" s="12" t="s">
        <v>11823</v>
      </c>
      <c r="E4384" s="13" t="s">
        <v>580</v>
      </c>
      <c r="F4384" s="681">
        <v>10.45</v>
      </c>
    </row>
    <row r="4385" spans="2:6" ht="15.75" hidden="1" customHeight="1" x14ac:dyDescent="0.25">
      <c r="B4385" s="13" t="s">
        <v>556</v>
      </c>
      <c r="C4385" s="13" t="s">
        <v>19706</v>
      </c>
      <c r="D4385" s="12" t="s">
        <v>11824</v>
      </c>
      <c r="E4385" s="13" t="s">
        <v>580</v>
      </c>
      <c r="F4385" s="681">
        <v>24.05</v>
      </c>
    </row>
    <row r="4386" spans="2:6" ht="15.75" hidden="1" customHeight="1" x14ac:dyDescent="0.25">
      <c r="B4386" s="13" t="s">
        <v>556</v>
      </c>
      <c r="C4386" s="13" t="s">
        <v>19707</v>
      </c>
      <c r="D4386" s="12" t="s">
        <v>11821</v>
      </c>
      <c r="E4386" s="13" t="s">
        <v>580</v>
      </c>
      <c r="F4386" s="681">
        <v>7.33</v>
      </c>
    </row>
    <row r="4387" spans="2:6" ht="15.75" hidden="1" customHeight="1" x14ac:dyDescent="0.25">
      <c r="B4387" s="13" t="s">
        <v>556</v>
      </c>
      <c r="C4387" s="13" t="s">
        <v>19708</v>
      </c>
      <c r="D4387" s="12" t="s">
        <v>11819</v>
      </c>
      <c r="E4387" s="13" t="s">
        <v>580</v>
      </c>
      <c r="F4387" s="681">
        <v>60.45</v>
      </c>
    </row>
    <row r="4388" spans="2:6" ht="15.75" hidden="1" customHeight="1" x14ac:dyDescent="0.25">
      <c r="B4388" s="13" t="s">
        <v>556</v>
      </c>
      <c r="C4388" s="13" t="s">
        <v>19709</v>
      </c>
      <c r="D4388" s="12" t="s">
        <v>11820</v>
      </c>
      <c r="E4388" s="13" t="s">
        <v>580</v>
      </c>
      <c r="F4388" s="681">
        <v>8.5399999999999991</v>
      </c>
    </row>
    <row r="4389" spans="2:6" ht="15.75" hidden="1" customHeight="1" x14ac:dyDescent="0.25">
      <c r="B4389" s="13" t="s">
        <v>14153</v>
      </c>
      <c r="C4389" s="13" t="s">
        <v>19710</v>
      </c>
      <c r="D4389" s="12" t="s">
        <v>11280</v>
      </c>
      <c r="E4389" s="13" t="s">
        <v>2193</v>
      </c>
      <c r="F4389" s="681">
        <v>29.65</v>
      </c>
    </row>
    <row r="4390" spans="2:6" ht="15.75" hidden="1" customHeight="1" x14ac:dyDescent="0.25">
      <c r="B4390" s="13" t="s">
        <v>14153</v>
      </c>
      <c r="C4390" s="13" t="s">
        <v>19711</v>
      </c>
      <c r="D4390" s="12" t="s">
        <v>11282</v>
      </c>
      <c r="E4390" s="13" t="s">
        <v>2193</v>
      </c>
      <c r="F4390" s="681">
        <v>31.93</v>
      </c>
    </row>
    <row r="4391" spans="2:6" ht="15.75" hidden="1" customHeight="1" x14ac:dyDescent="0.25">
      <c r="B4391" s="13" t="s">
        <v>14153</v>
      </c>
      <c r="C4391" s="13" t="s">
        <v>19712</v>
      </c>
      <c r="D4391" s="12" t="s">
        <v>11443</v>
      </c>
      <c r="E4391" s="13" t="s">
        <v>2193</v>
      </c>
      <c r="F4391" s="681">
        <v>26.89</v>
      </c>
    </row>
    <row r="4392" spans="2:6" ht="15.75" hidden="1" customHeight="1" x14ac:dyDescent="0.25">
      <c r="B4392" s="13" t="s">
        <v>556</v>
      </c>
      <c r="C4392" s="13" t="s">
        <v>19713</v>
      </c>
      <c r="D4392" s="12" t="s">
        <v>11313</v>
      </c>
      <c r="E4392" s="13" t="s">
        <v>578</v>
      </c>
      <c r="F4392" s="681">
        <v>372.48</v>
      </c>
    </row>
    <row r="4393" spans="2:6" ht="15.75" hidden="1" customHeight="1" x14ac:dyDescent="0.25">
      <c r="B4393" s="13" t="s">
        <v>556</v>
      </c>
      <c r="C4393" s="13" t="s">
        <v>19714</v>
      </c>
      <c r="D4393" s="12" t="s">
        <v>11314</v>
      </c>
      <c r="E4393" s="13" t="s">
        <v>578</v>
      </c>
      <c r="F4393" s="681">
        <v>402</v>
      </c>
    </row>
    <row r="4394" spans="2:6" ht="15.75" hidden="1" customHeight="1" x14ac:dyDescent="0.25">
      <c r="B4394" s="13" t="s">
        <v>556</v>
      </c>
      <c r="C4394" s="13" t="s">
        <v>19715</v>
      </c>
      <c r="D4394" s="12" t="s">
        <v>11315</v>
      </c>
      <c r="E4394" s="13" t="s">
        <v>578</v>
      </c>
      <c r="F4394" s="681">
        <v>498.98</v>
      </c>
    </row>
    <row r="4395" spans="2:6" ht="15.75" hidden="1" customHeight="1" x14ac:dyDescent="0.25">
      <c r="B4395" s="13" t="s">
        <v>556</v>
      </c>
      <c r="C4395" s="13" t="s">
        <v>19716</v>
      </c>
      <c r="D4395" s="12" t="s">
        <v>11217</v>
      </c>
      <c r="E4395" s="13" t="s">
        <v>585</v>
      </c>
      <c r="F4395" s="681">
        <v>22.33</v>
      </c>
    </row>
    <row r="4396" spans="2:6" ht="15.75" hidden="1" customHeight="1" x14ac:dyDescent="0.25">
      <c r="B4396" s="13" t="s">
        <v>556</v>
      </c>
      <c r="C4396" s="13" t="s">
        <v>19717</v>
      </c>
      <c r="D4396" s="12" t="s">
        <v>11318</v>
      </c>
      <c r="E4396" s="13" t="s">
        <v>585</v>
      </c>
      <c r="F4396" s="681">
        <v>30.93</v>
      </c>
    </row>
    <row r="4397" spans="2:6" ht="15.75" hidden="1" customHeight="1" x14ac:dyDescent="0.25">
      <c r="B4397" s="13" t="s">
        <v>556</v>
      </c>
      <c r="C4397" s="13" t="s">
        <v>19718</v>
      </c>
      <c r="D4397" s="12" t="s">
        <v>11317</v>
      </c>
      <c r="E4397" s="13" t="s">
        <v>585</v>
      </c>
      <c r="F4397" s="681">
        <v>21.19</v>
      </c>
    </row>
    <row r="4398" spans="2:6" ht="15.75" hidden="1" customHeight="1" x14ac:dyDescent="0.25">
      <c r="B4398" s="13" t="s">
        <v>556</v>
      </c>
      <c r="C4398" s="13" t="s">
        <v>19719</v>
      </c>
      <c r="D4398" s="12" t="s">
        <v>11307</v>
      </c>
      <c r="E4398" s="13" t="s">
        <v>585</v>
      </c>
      <c r="F4398" s="681">
        <v>5.25</v>
      </c>
    </row>
    <row r="4399" spans="2:6" ht="15.75" hidden="1" customHeight="1" x14ac:dyDescent="0.25">
      <c r="B4399" s="13" t="s">
        <v>556</v>
      </c>
      <c r="C4399" s="13" t="s">
        <v>19720</v>
      </c>
      <c r="D4399" s="12" t="s">
        <v>19721</v>
      </c>
      <c r="E4399" s="13" t="s">
        <v>580</v>
      </c>
      <c r="F4399" s="681">
        <v>8.76</v>
      </c>
    </row>
    <row r="4400" spans="2:6" ht="15.75" hidden="1" customHeight="1" x14ac:dyDescent="0.25">
      <c r="B4400" s="13" t="s">
        <v>556</v>
      </c>
      <c r="C4400" s="13" t="s">
        <v>19722</v>
      </c>
      <c r="D4400" s="12" t="s">
        <v>11309</v>
      </c>
      <c r="E4400" s="13" t="s">
        <v>585</v>
      </c>
      <c r="F4400" s="681">
        <v>12.21</v>
      </c>
    </row>
    <row r="4401" spans="2:6" ht="15.75" hidden="1" customHeight="1" x14ac:dyDescent="0.25">
      <c r="B4401" s="13" t="s">
        <v>556</v>
      </c>
      <c r="C4401" s="13" t="s">
        <v>19723</v>
      </c>
      <c r="D4401" s="12" t="s">
        <v>11319</v>
      </c>
      <c r="E4401" s="13" t="s">
        <v>578</v>
      </c>
      <c r="F4401" s="681">
        <v>233.32</v>
      </c>
    </row>
    <row r="4402" spans="2:6" ht="15.75" hidden="1" customHeight="1" x14ac:dyDescent="0.25">
      <c r="B4402" s="13" t="s">
        <v>556</v>
      </c>
      <c r="C4402" s="13" t="s">
        <v>19724</v>
      </c>
      <c r="D4402" s="12" t="s">
        <v>11342</v>
      </c>
      <c r="E4402" s="13" t="s">
        <v>580</v>
      </c>
      <c r="F4402" s="681">
        <v>569.33000000000004</v>
      </c>
    </row>
    <row r="4403" spans="2:6" ht="15.75" hidden="1" customHeight="1" x14ac:dyDescent="0.25">
      <c r="B4403" s="13" t="s">
        <v>556</v>
      </c>
      <c r="C4403" s="13" t="s">
        <v>19725</v>
      </c>
      <c r="D4403" s="12" t="s">
        <v>11341</v>
      </c>
      <c r="E4403" s="13" t="s">
        <v>580</v>
      </c>
      <c r="F4403" s="681">
        <v>430</v>
      </c>
    </row>
    <row r="4404" spans="2:6" ht="15.75" hidden="1" customHeight="1" x14ac:dyDescent="0.25">
      <c r="B4404" s="13" t="s">
        <v>556</v>
      </c>
      <c r="C4404" s="13" t="s">
        <v>19726</v>
      </c>
      <c r="D4404" s="12" t="s">
        <v>10618</v>
      </c>
      <c r="E4404" s="13" t="s">
        <v>823</v>
      </c>
      <c r="F4404" s="681">
        <v>17.77</v>
      </c>
    </row>
    <row r="4405" spans="2:6" ht="15.75" hidden="1" customHeight="1" x14ac:dyDescent="0.25">
      <c r="B4405" s="13" t="s">
        <v>556</v>
      </c>
      <c r="C4405" s="13" t="s">
        <v>19727</v>
      </c>
      <c r="D4405" s="12" t="s">
        <v>19728</v>
      </c>
      <c r="E4405" s="13" t="s">
        <v>580</v>
      </c>
      <c r="F4405" s="681">
        <v>10.52</v>
      </c>
    </row>
    <row r="4406" spans="2:6" ht="15.75" hidden="1" customHeight="1" x14ac:dyDescent="0.25">
      <c r="B4406" s="13" t="s">
        <v>556</v>
      </c>
      <c r="C4406" s="13" t="s">
        <v>19729</v>
      </c>
      <c r="D4406" s="12" t="s">
        <v>19730</v>
      </c>
      <c r="E4406" s="13" t="s">
        <v>580</v>
      </c>
      <c r="F4406" s="681">
        <v>14.98</v>
      </c>
    </row>
    <row r="4407" spans="2:6" ht="15.75" hidden="1" customHeight="1" x14ac:dyDescent="0.25">
      <c r="B4407" s="13" t="s">
        <v>556</v>
      </c>
      <c r="C4407" s="13" t="s">
        <v>19731</v>
      </c>
      <c r="D4407" s="12" t="s">
        <v>19732</v>
      </c>
      <c r="E4407" s="13" t="s">
        <v>580</v>
      </c>
      <c r="F4407" s="681">
        <v>36.9</v>
      </c>
    </row>
    <row r="4408" spans="2:6" ht="15.75" hidden="1" customHeight="1" x14ac:dyDescent="0.25">
      <c r="B4408" s="13" t="s">
        <v>556</v>
      </c>
      <c r="C4408" s="13" t="s">
        <v>19733</v>
      </c>
      <c r="D4408" s="12" t="s">
        <v>19734</v>
      </c>
      <c r="E4408" s="13" t="s">
        <v>580</v>
      </c>
      <c r="F4408" s="681">
        <v>46.75</v>
      </c>
    </row>
    <row r="4409" spans="2:6" ht="15.75" hidden="1" customHeight="1" x14ac:dyDescent="0.25">
      <c r="B4409" s="13" t="s">
        <v>556</v>
      </c>
      <c r="C4409" s="13" t="s">
        <v>19735</v>
      </c>
      <c r="D4409" s="12" t="s">
        <v>19736</v>
      </c>
      <c r="E4409" s="13" t="s">
        <v>580</v>
      </c>
      <c r="F4409" s="681">
        <v>74.06</v>
      </c>
    </row>
    <row r="4410" spans="2:6" ht="15.75" hidden="1" customHeight="1" x14ac:dyDescent="0.25">
      <c r="B4410" s="13" t="s">
        <v>556</v>
      </c>
      <c r="C4410" s="13" t="s">
        <v>19737</v>
      </c>
      <c r="D4410" s="12" t="s">
        <v>19738</v>
      </c>
      <c r="E4410" s="13" t="s">
        <v>580</v>
      </c>
      <c r="F4410" s="681">
        <v>140.62</v>
      </c>
    </row>
    <row r="4411" spans="2:6" ht="15.75" hidden="1" customHeight="1" x14ac:dyDescent="0.25">
      <c r="B4411" s="13" t="s">
        <v>556</v>
      </c>
      <c r="C4411" s="13" t="s">
        <v>19739</v>
      </c>
      <c r="D4411" s="12" t="s">
        <v>19740</v>
      </c>
      <c r="E4411" s="13" t="s">
        <v>580</v>
      </c>
      <c r="F4411" s="681">
        <v>347.23</v>
      </c>
    </row>
    <row r="4412" spans="2:6" ht="15.75" hidden="1" customHeight="1" x14ac:dyDescent="0.25">
      <c r="B4412" s="13" t="s">
        <v>556</v>
      </c>
      <c r="C4412" s="13" t="s">
        <v>19741</v>
      </c>
      <c r="D4412" s="12" t="s">
        <v>19742</v>
      </c>
      <c r="E4412" s="13" t="s">
        <v>580</v>
      </c>
      <c r="F4412" s="681">
        <v>1162.55</v>
      </c>
    </row>
    <row r="4413" spans="2:6" ht="15.75" hidden="1" customHeight="1" x14ac:dyDescent="0.25">
      <c r="B4413" s="13" t="s">
        <v>556</v>
      </c>
      <c r="C4413" s="13" t="s">
        <v>19743</v>
      </c>
      <c r="D4413" s="12" t="s">
        <v>19744</v>
      </c>
      <c r="E4413" s="13" t="s">
        <v>580</v>
      </c>
      <c r="F4413" s="681">
        <v>17.39</v>
      </c>
    </row>
    <row r="4414" spans="2:6" ht="15.75" hidden="1" customHeight="1" x14ac:dyDescent="0.25">
      <c r="B4414" s="13" t="s">
        <v>556</v>
      </c>
      <c r="C4414" s="13" t="s">
        <v>19745</v>
      </c>
      <c r="D4414" s="12" t="s">
        <v>19746</v>
      </c>
      <c r="E4414" s="13" t="s">
        <v>580</v>
      </c>
      <c r="F4414" s="681">
        <v>28.29</v>
      </c>
    </row>
    <row r="4415" spans="2:6" ht="15.75" hidden="1" customHeight="1" x14ac:dyDescent="0.25">
      <c r="B4415" s="13" t="s">
        <v>556</v>
      </c>
      <c r="C4415" s="13" t="s">
        <v>19747</v>
      </c>
      <c r="D4415" s="12" t="s">
        <v>19748</v>
      </c>
      <c r="E4415" s="13" t="s">
        <v>580</v>
      </c>
      <c r="F4415" s="681">
        <v>54.93</v>
      </c>
    </row>
    <row r="4416" spans="2:6" ht="15.75" hidden="1" customHeight="1" x14ac:dyDescent="0.25">
      <c r="B4416" s="13" t="s">
        <v>556</v>
      </c>
      <c r="C4416" s="13" t="s">
        <v>19749</v>
      </c>
      <c r="D4416" s="12" t="s">
        <v>19750</v>
      </c>
      <c r="E4416" s="13" t="s">
        <v>580</v>
      </c>
      <c r="F4416" s="681">
        <v>81.98</v>
      </c>
    </row>
    <row r="4417" spans="2:6" ht="15.75" hidden="1" customHeight="1" x14ac:dyDescent="0.25">
      <c r="B4417" s="13" t="s">
        <v>556</v>
      </c>
      <c r="C4417" s="13" t="s">
        <v>19751</v>
      </c>
      <c r="D4417" s="12" t="s">
        <v>19752</v>
      </c>
      <c r="E4417" s="13" t="s">
        <v>580</v>
      </c>
      <c r="F4417" s="681">
        <v>81.98</v>
      </c>
    </row>
    <row r="4418" spans="2:6" ht="15.75" hidden="1" customHeight="1" x14ac:dyDescent="0.25">
      <c r="B4418" s="13" t="s">
        <v>556</v>
      </c>
      <c r="C4418" s="13" t="s">
        <v>19753</v>
      </c>
      <c r="D4418" s="12" t="s">
        <v>19754</v>
      </c>
      <c r="E4418" s="13" t="s">
        <v>580</v>
      </c>
      <c r="F4418" s="681">
        <v>151.99</v>
      </c>
    </row>
    <row r="4419" spans="2:6" ht="15.75" hidden="1" customHeight="1" x14ac:dyDescent="0.25">
      <c r="B4419" s="13" t="s">
        <v>556</v>
      </c>
      <c r="C4419" s="13" t="s">
        <v>19755</v>
      </c>
      <c r="D4419" s="12" t="s">
        <v>19756</v>
      </c>
      <c r="E4419" s="13" t="s">
        <v>580</v>
      </c>
      <c r="F4419" s="681">
        <v>151.99</v>
      </c>
    </row>
    <row r="4420" spans="2:6" ht="15.75" hidden="1" customHeight="1" x14ac:dyDescent="0.25">
      <c r="B4420" s="13" t="s">
        <v>556</v>
      </c>
      <c r="C4420" s="13" t="s">
        <v>19757</v>
      </c>
      <c r="D4420" s="12" t="s">
        <v>19758</v>
      </c>
      <c r="E4420" s="13" t="s">
        <v>580</v>
      </c>
      <c r="F4420" s="681">
        <v>156.4</v>
      </c>
    </row>
    <row r="4421" spans="2:6" ht="15.75" hidden="1" customHeight="1" x14ac:dyDescent="0.25">
      <c r="B4421" s="13" t="s">
        <v>556</v>
      </c>
      <c r="C4421" s="13" t="s">
        <v>19759</v>
      </c>
      <c r="D4421" s="12" t="s">
        <v>19760</v>
      </c>
      <c r="E4421" s="13" t="s">
        <v>580</v>
      </c>
      <c r="F4421" s="681">
        <v>218.62</v>
      </c>
    </row>
    <row r="4422" spans="2:6" ht="15.75" hidden="1" customHeight="1" x14ac:dyDescent="0.25">
      <c r="B4422" s="13" t="s">
        <v>556</v>
      </c>
      <c r="C4422" s="13" t="s">
        <v>19761</v>
      </c>
      <c r="D4422" s="12" t="s">
        <v>19762</v>
      </c>
      <c r="E4422" s="13" t="s">
        <v>580</v>
      </c>
      <c r="F4422" s="681">
        <v>218.62</v>
      </c>
    </row>
    <row r="4423" spans="2:6" ht="15.75" hidden="1" customHeight="1" x14ac:dyDescent="0.25">
      <c r="B4423" s="13" t="s">
        <v>556</v>
      </c>
      <c r="C4423" s="13" t="s">
        <v>19763</v>
      </c>
      <c r="D4423" s="12" t="s">
        <v>19764</v>
      </c>
      <c r="E4423" s="13" t="s">
        <v>580</v>
      </c>
      <c r="F4423" s="681">
        <v>218.62</v>
      </c>
    </row>
    <row r="4424" spans="2:6" ht="15.75" hidden="1" customHeight="1" x14ac:dyDescent="0.25">
      <c r="B4424" s="13" t="s">
        <v>556</v>
      </c>
      <c r="C4424" s="13" t="s">
        <v>19765</v>
      </c>
      <c r="D4424" s="12" t="s">
        <v>19766</v>
      </c>
      <c r="E4424" s="13" t="s">
        <v>580</v>
      </c>
      <c r="F4424" s="681">
        <v>218.62</v>
      </c>
    </row>
    <row r="4425" spans="2:6" ht="15.75" hidden="1" customHeight="1" x14ac:dyDescent="0.25">
      <c r="B4425" s="13" t="s">
        <v>556</v>
      </c>
      <c r="C4425" s="13" t="s">
        <v>19767</v>
      </c>
      <c r="D4425" s="12" t="s">
        <v>19768</v>
      </c>
      <c r="E4425" s="13" t="s">
        <v>580</v>
      </c>
      <c r="F4425" s="681">
        <v>218.62</v>
      </c>
    </row>
    <row r="4426" spans="2:6" ht="15.75" hidden="1" customHeight="1" x14ac:dyDescent="0.25">
      <c r="B4426" s="13" t="s">
        <v>556</v>
      </c>
      <c r="C4426" s="13" t="s">
        <v>19769</v>
      </c>
      <c r="D4426" s="12" t="s">
        <v>19770</v>
      </c>
      <c r="E4426" s="13" t="s">
        <v>580</v>
      </c>
      <c r="F4426" s="681">
        <v>413.94</v>
      </c>
    </row>
    <row r="4427" spans="2:6" ht="15.75" hidden="1" customHeight="1" x14ac:dyDescent="0.25">
      <c r="B4427" s="13" t="s">
        <v>556</v>
      </c>
      <c r="C4427" s="13" t="s">
        <v>19771</v>
      </c>
      <c r="D4427" s="12" t="s">
        <v>19772</v>
      </c>
      <c r="E4427" s="13" t="s">
        <v>580</v>
      </c>
      <c r="F4427" s="681">
        <v>413.94</v>
      </c>
    </row>
    <row r="4428" spans="2:6" ht="15.75" hidden="1" customHeight="1" x14ac:dyDescent="0.25">
      <c r="B4428" s="13" t="s">
        <v>556</v>
      </c>
      <c r="C4428" s="13" t="s">
        <v>19773</v>
      </c>
      <c r="D4428" s="12" t="s">
        <v>19774</v>
      </c>
      <c r="E4428" s="13" t="s">
        <v>580</v>
      </c>
      <c r="F4428" s="681">
        <v>151.99</v>
      </c>
    </row>
    <row r="4429" spans="2:6" ht="15.75" hidden="1" customHeight="1" x14ac:dyDescent="0.25">
      <c r="B4429" s="13" t="s">
        <v>556</v>
      </c>
      <c r="C4429" s="13" t="s">
        <v>19775</v>
      </c>
      <c r="D4429" s="12" t="s">
        <v>19776</v>
      </c>
      <c r="E4429" s="13" t="s">
        <v>580</v>
      </c>
      <c r="F4429" s="681">
        <v>81.98</v>
      </c>
    </row>
    <row r="4430" spans="2:6" ht="15.75" hidden="1" customHeight="1" x14ac:dyDescent="0.25">
      <c r="B4430" s="13" t="s">
        <v>556</v>
      </c>
      <c r="C4430" s="13" t="s">
        <v>19777</v>
      </c>
      <c r="D4430" s="12" t="s">
        <v>19778</v>
      </c>
      <c r="E4430" s="13" t="s">
        <v>580</v>
      </c>
      <c r="F4430" s="681">
        <v>54.93</v>
      </c>
    </row>
    <row r="4431" spans="2:6" ht="15.75" hidden="1" customHeight="1" x14ac:dyDescent="0.25">
      <c r="B4431" s="13" t="s">
        <v>556</v>
      </c>
      <c r="C4431" s="13" t="s">
        <v>19779</v>
      </c>
      <c r="D4431" s="12" t="s">
        <v>19780</v>
      </c>
      <c r="E4431" s="13" t="s">
        <v>580</v>
      </c>
      <c r="F4431" s="681">
        <v>28.29</v>
      </c>
    </row>
    <row r="4432" spans="2:6" ht="15.75" hidden="1" customHeight="1" x14ac:dyDescent="0.25">
      <c r="B4432" s="13" t="s">
        <v>556</v>
      </c>
      <c r="C4432" s="13" t="s">
        <v>19781</v>
      </c>
      <c r="D4432" s="12" t="s">
        <v>19782</v>
      </c>
      <c r="E4432" s="13" t="s">
        <v>580</v>
      </c>
      <c r="F4432" s="681">
        <v>495.99</v>
      </c>
    </row>
    <row r="4433" spans="2:6" ht="15.75" hidden="1" customHeight="1" x14ac:dyDescent="0.25">
      <c r="B4433" s="13" t="s">
        <v>556</v>
      </c>
      <c r="C4433" s="13" t="s">
        <v>19783</v>
      </c>
      <c r="D4433" s="12" t="s">
        <v>19784</v>
      </c>
      <c r="E4433" s="13" t="s">
        <v>580</v>
      </c>
      <c r="F4433" s="681">
        <v>188.34</v>
      </c>
    </row>
    <row r="4434" spans="2:6" ht="15.75" hidden="1" customHeight="1" x14ac:dyDescent="0.25">
      <c r="B4434" s="13" t="s">
        <v>556</v>
      </c>
      <c r="C4434" s="13" t="s">
        <v>19785</v>
      </c>
      <c r="D4434" s="12" t="s">
        <v>19786</v>
      </c>
      <c r="E4434" s="13" t="s">
        <v>580</v>
      </c>
      <c r="F4434" s="681">
        <v>24.11</v>
      </c>
    </row>
    <row r="4435" spans="2:6" ht="15.75" hidden="1" customHeight="1" x14ac:dyDescent="0.25">
      <c r="B4435" s="13" t="s">
        <v>556</v>
      </c>
      <c r="C4435" s="13" t="s">
        <v>19787</v>
      </c>
      <c r="D4435" s="12" t="s">
        <v>19788</v>
      </c>
      <c r="E4435" s="13" t="s">
        <v>580</v>
      </c>
      <c r="F4435" s="681">
        <v>5.0999999999999996</v>
      </c>
    </row>
    <row r="4436" spans="2:6" ht="15.75" hidden="1" customHeight="1" x14ac:dyDescent="0.25">
      <c r="B4436" s="13" t="s">
        <v>14153</v>
      </c>
      <c r="C4436" s="13" t="s">
        <v>19789</v>
      </c>
      <c r="D4436" s="12" t="s">
        <v>8881</v>
      </c>
      <c r="E4436" s="13" t="s">
        <v>2193</v>
      </c>
      <c r="F4436" s="681">
        <v>25.7</v>
      </c>
    </row>
    <row r="4437" spans="2:6" ht="15.75" hidden="1" customHeight="1" x14ac:dyDescent="0.25">
      <c r="B4437" s="13" t="s">
        <v>556</v>
      </c>
      <c r="C4437" s="13" t="s">
        <v>19790</v>
      </c>
      <c r="D4437" s="12" t="s">
        <v>8567</v>
      </c>
      <c r="E4437" s="13" t="s">
        <v>580</v>
      </c>
      <c r="F4437" s="681">
        <v>0.85</v>
      </c>
    </row>
    <row r="4438" spans="2:6" ht="15.75" hidden="1" customHeight="1" x14ac:dyDescent="0.25">
      <c r="B4438" s="13" t="s">
        <v>556</v>
      </c>
      <c r="C4438" s="13" t="s">
        <v>19791</v>
      </c>
      <c r="D4438" s="12" t="s">
        <v>8937</v>
      </c>
      <c r="E4438" s="13" t="s">
        <v>580</v>
      </c>
      <c r="F4438" s="681">
        <v>3</v>
      </c>
    </row>
    <row r="4439" spans="2:6" ht="15.75" hidden="1" customHeight="1" x14ac:dyDescent="0.25">
      <c r="B4439" s="13" t="s">
        <v>556</v>
      </c>
      <c r="C4439" s="13" t="s">
        <v>19792</v>
      </c>
      <c r="D4439" s="12" t="s">
        <v>8933</v>
      </c>
      <c r="E4439" s="13" t="s">
        <v>580</v>
      </c>
      <c r="F4439" s="681">
        <v>3.75</v>
      </c>
    </row>
    <row r="4440" spans="2:6" ht="15.75" hidden="1" customHeight="1" x14ac:dyDescent="0.25">
      <c r="B4440" s="13" t="s">
        <v>556</v>
      </c>
      <c r="C4440" s="13" t="s">
        <v>19793</v>
      </c>
      <c r="D4440" s="12" t="s">
        <v>19794</v>
      </c>
      <c r="E4440" s="13" t="s">
        <v>578</v>
      </c>
      <c r="F4440" s="681">
        <v>180.3</v>
      </c>
    </row>
    <row r="4441" spans="2:6" ht="15.75" hidden="1" customHeight="1" x14ac:dyDescent="0.25">
      <c r="B4441" s="13" t="s">
        <v>556</v>
      </c>
      <c r="C4441" s="13" t="s">
        <v>19795</v>
      </c>
      <c r="D4441" s="12" t="s">
        <v>8934</v>
      </c>
      <c r="E4441" s="13" t="s">
        <v>580</v>
      </c>
      <c r="F4441" s="681">
        <v>4.6500000000000004</v>
      </c>
    </row>
    <row r="4442" spans="2:6" ht="15.75" hidden="1" customHeight="1" x14ac:dyDescent="0.25">
      <c r="B4442" s="13" t="s">
        <v>556</v>
      </c>
      <c r="C4442" s="13" t="s">
        <v>19796</v>
      </c>
      <c r="D4442" s="12" t="s">
        <v>9289</v>
      </c>
      <c r="E4442" s="13" t="s">
        <v>580</v>
      </c>
      <c r="F4442" s="681">
        <v>1.87</v>
      </c>
    </row>
    <row r="4443" spans="2:6" ht="15.75" hidden="1" customHeight="1" x14ac:dyDescent="0.25">
      <c r="B4443" s="13" t="s">
        <v>556</v>
      </c>
      <c r="C4443" s="13" t="s">
        <v>19797</v>
      </c>
      <c r="D4443" s="12" t="s">
        <v>9287</v>
      </c>
      <c r="E4443" s="13" t="s">
        <v>580</v>
      </c>
      <c r="F4443" s="681">
        <v>2.77</v>
      </c>
    </row>
    <row r="4444" spans="2:6" ht="15.75" hidden="1" customHeight="1" x14ac:dyDescent="0.25">
      <c r="B4444" s="13" t="s">
        <v>556</v>
      </c>
      <c r="C4444" s="13" t="s">
        <v>19798</v>
      </c>
      <c r="D4444" s="12" t="s">
        <v>9288</v>
      </c>
      <c r="E4444" s="13" t="s">
        <v>580</v>
      </c>
      <c r="F4444" s="681">
        <v>3.32</v>
      </c>
    </row>
    <row r="4445" spans="2:6" ht="15.75" hidden="1" customHeight="1" x14ac:dyDescent="0.25">
      <c r="B4445" s="13" t="s">
        <v>556</v>
      </c>
      <c r="C4445" s="13" t="s">
        <v>19799</v>
      </c>
      <c r="D4445" s="12" t="s">
        <v>9810</v>
      </c>
      <c r="E4445" s="13" t="s">
        <v>580</v>
      </c>
      <c r="F4445" s="681">
        <v>35.200000000000003</v>
      </c>
    </row>
    <row r="4446" spans="2:6" ht="15.75" hidden="1" customHeight="1" x14ac:dyDescent="0.25">
      <c r="B4446" s="13" t="s">
        <v>556</v>
      </c>
      <c r="C4446" s="13" t="s">
        <v>19800</v>
      </c>
      <c r="D4446" s="12" t="s">
        <v>9809</v>
      </c>
      <c r="E4446" s="13" t="s">
        <v>580</v>
      </c>
      <c r="F4446" s="681">
        <v>26.32</v>
      </c>
    </row>
    <row r="4447" spans="2:6" ht="15.75" hidden="1" customHeight="1" x14ac:dyDescent="0.25">
      <c r="B4447" s="13" t="s">
        <v>556</v>
      </c>
      <c r="C4447" s="13" t="s">
        <v>19801</v>
      </c>
      <c r="D4447" s="12" t="s">
        <v>9807</v>
      </c>
      <c r="E4447" s="13" t="s">
        <v>580</v>
      </c>
      <c r="F4447" s="681">
        <v>20.32</v>
      </c>
    </row>
    <row r="4448" spans="2:6" ht="15.75" hidden="1" customHeight="1" x14ac:dyDescent="0.25">
      <c r="B4448" s="13" t="s">
        <v>556</v>
      </c>
      <c r="C4448" s="13" t="s">
        <v>19802</v>
      </c>
      <c r="D4448" s="12" t="s">
        <v>8583</v>
      </c>
      <c r="E4448" s="13" t="s">
        <v>580</v>
      </c>
      <c r="F4448" s="681">
        <v>15.62</v>
      </c>
    </row>
    <row r="4449" spans="2:6" ht="15.75" hidden="1" customHeight="1" x14ac:dyDescent="0.25">
      <c r="B4449" s="13" t="s">
        <v>556</v>
      </c>
      <c r="C4449" s="13" t="s">
        <v>19803</v>
      </c>
      <c r="D4449" s="12" t="s">
        <v>9806</v>
      </c>
      <c r="E4449" s="13" t="s">
        <v>580</v>
      </c>
      <c r="F4449" s="681">
        <v>16.829999999999998</v>
      </c>
    </row>
    <row r="4450" spans="2:6" ht="15.75" hidden="1" customHeight="1" x14ac:dyDescent="0.25">
      <c r="B4450" s="13" t="s">
        <v>556</v>
      </c>
      <c r="C4450" s="13" t="s">
        <v>19804</v>
      </c>
      <c r="D4450" s="12" t="s">
        <v>19805</v>
      </c>
      <c r="E4450" s="13" t="s">
        <v>578</v>
      </c>
      <c r="F4450" s="681">
        <v>80.13</v>
      </c>
    </row>
    <row r="4451" spans="2:6" ht="15.75" hidden="1" customHeight="1" x14ac:dyDescent="0.25">
      <c r="B4451" s="13" t="s">
        <v>556</v>
      </c>
      <c r="C4451" s="13" t="s">
        <v>19806</v>
      </c>
      <c r="D4451" s="12" t="s">
        <v>8954</v>
      </c>
      <c r="E4451" s="13" t="s">
        <v>578</v>
      </c>
      <c r="F4451" s="681">
        <v>96.17</v>
      </c>
    </row>
    <row r="4452" spans="2:6" ht="15.75" hidden="1" customHeight="1" x14ac:dyDescent="0.25">
      <c r="B4452" s="13" t="s">
        <v>556</v>
      </c>
      <c r="C4452" s="13" t="s">
        <v>19807</v>
      </c>
      <c r="D4452" s="12" t="s">
        <v>8953</v>
      </c>
      <c r="E4452" s="13" t="s">
        <v>578</v>
      </c>
      <c r="F4452" s="681">
        <v>64.489999999999995</v>
      </c>
    </row>
    <row r="4453" spans="2:6" ht="15.75" hidden="1" customHeight="1" x14ac:dyDescent="0.25">
      <c r="B4453" s="13" t="s">
        <v>556</v>
      </c>
      <c r="C4453" s="13" t="s">
        <v>19808</v>
      </c>
      <c r="D4453" s="12" t="s">
        <v>19809</v>
      </c>
      <c r="E4453" s="13" t="s">
        <v>580</v>
      </c>
      <c r="F4453" s="681">
        <v>26.98</v>
      </c>
    </row>
    <row r="4454" spans="2:6" ht="15.75" hidden="1" customHeight="1" x14ac:dyDescent="0.25">
      <c r="B4454" s="13" t="s">
        <v>556</v>
      </c>
      <c r="C4454" s="13" t="s">
        <v>19810</v>
      </c>
      <c r="D4454" s="12" t="s">
        <v>11431</v>
      </c>
      <c r="E4454" s="13" t="s">
        <v>580</v>
      </c>
      <c r="F4454" s="681">
        <v>220.24</v>
      </c>
    </row>
    <row r="4455" spans="2:6" ht="15.75" hidden="1" customHeight="1" x14ac:dyDescent="0.25">
      <c r="B4455" s="13" t="s">
        <v>556</v>
      </c>
      <c r="C4455" s="13" t="s">
        <v>19811</v>
      </c>
      <c r="D4455" s="12" t="s">
        <v>19812</v>
      </c>
      <c r="E4455" s="13" t="s">
        <v>580</v>
      </c>
      <c r="F4455" s="681">
        <v>59.01</v>
      </c>
    </row>
    <row r="4456" spans="2:6" ht="15.75" hidden="1" customHeight="1" x14ac:dyDescent="0.25">
      <c r="B4456" s="13" t="s">
        <v>556</v>
      </c>
      <c r="C4456" s="13" t="s">
        <v>19813</v>
      </c>
      <c r="D4456" s="12" t="s">
        <v>19814</v>
      </c>
      <c r="E4456" s="13" t="s">
        <v>578</v>
      </c>
      <c r="F4456" s="681">
        <v>727.92</v>
      </c>
    </row>
    <row r="4457" spans="2:6" ht="15.75" hidden="1" customHeight="1" x14ac:dyDescent="0.25">
      <c r="B4457" s="13" t="s">
        <v>556</v>
      </c>
      <c r="C4457" s="13" t="s">
        <v>19815</v>
      </c>
      <c r="D4457" s="12" t="s">
        <v>11418</v>
      </c>
      <c r="E4457" s="13" t="s">
        <v>580</v>
      </c>
      <c r="F4457" s="681">
        <v>17.12</v>
      </c>
    </row>
    <row r="4458" spans="2:6" ht="15.75" hidden="1" customHeight="1" x14ac:dyDescent="0.25">
      <c r="B4458" s="13" t="s">
        <v>556</v>
      </c>
      <c r="C4458" s="13" t="s">
        <v>19816</v>
      </c>
      <c r="D4458" s="12" t="s">
        <v>11402</v>
      </c>
      <c r="E4458" s="13" t="s">
        <v>580</v>
      </c>
      <c r="F4458" s="681">
        <v>12.04</v>
      </c>
    </row>
    <row r="4459" spans="2:6" ht="15.75" hidden="1" customHeight="1" x14ac:dyDescent="0.25">
      <c r="B4459" s="13" t="s">
        <v>556</v>
      </c>
      <c r="C4459" s="13" t="s">
        <v>19817</v>
      </c>
      <c r="D4459" s="12" t="s">
        <v>11420</v>
      </c>
      <c r="E4459" s="13" t="s">
        <v>580</v>
      </c>
      <c r="F4459" s="681">
        <v>8.0399999999999991</v>
      </c>
    </row>
    <row r="4460" spans="2:6" ht="15.75" hidden="1" customHeight="1" x14ac:dyDescent="0.25">
      <c r="B4460" s="13" t="s">
        <v>556</v>
      </c>
      <c r="C4460" s="13" t="s">
        <v>19818</v>
      </c>
      <c r="D4460" s="12" t="s">
        <v>11405</v>
      </c>
      <c r="E4460" s="13" t="s">
        <v>580</v>
      </c>
      <c r="F4460" s="681">
        <v>3.68</v>
      </c>
    </row>
    <row r="4461" spans="2:6" ht="15.75" hidden="1" customHeight="1" x14ac:dyDescent="0.25">
      <c r="B4461" s="13" t="s">
        <v>556</v>
      </c>
      <c r="C4461" s="13" t="s">
        <v>19819</v>
      </c>
      <c r="D4461" s="12" t="s">
        <v>8582</v>
      </c>
      <c r="E4461" s="13" t="s">
        <v>580</v>
      </c>
      <c r="F4461" s="681">
        <v>29.84</v>
      </c>
    </row>
    <row r="4462" spans="2:6" ht="15.75" hidden="1" customHeight="1" x14ac:dyDescent="0.25">
      <c r="B4462" s="13" t="s">
        <v>556</v>
      </c>
      <c r="C4462" s="13" t="s">
        <v>19820</v>
      </c>
      <c r="D4462" s="12" t="s">
        <v>11415</v>
      </c>
      <c r="E4462" s="13" t="s">
        <v>580</v>
      </c>
      <c r="F4462" s="681">
        <v>13.23</v>
      </c>
    </row>
    <row r="4463" spans="2:6" ht="15.75" hidden="1" customHeight="1" x14ac:dyDescent="0.25">
      <c r="B4463" s="13" t="s">
        <v>556</v>
      </c>
      <c r="C4463" s="13" t="s">
        <v>19821</v>
      </c>
      <c r="D4463" s="12" t="s">
        <v>11376</v>
      </c>
      <c r="E4463" s="13" t="s">
        <v>580</v>
      </c>
      <c r="F4463" s="681">
        <v>3.68</v>
      </c>
    </row>
    <row r="4464" spans="2:6" ht="15.75" hidden="1" customHeight="1" x14ac:dyDescent="0.25">
      <c r="B4464" s="13" t="s">
        <v>556</v>
      </c>
      <c r="C4464" s="13" t="s">
        <v>19822</v>
      </c>
      <c r="D4464" s="12" t="s">
        <v>11364</v>
      </c>
      <c r="E4464" s="13" t="s">
        <v>580</v>
      </c>
      <c r="F4464" s="681">
        <v>43.92</v>
      </c>
    </row>
    <row r="4465" spans="2:6" ht="15.75" hidden="1" customHeight="1" x14ac:dyDescent="0.25">
      <c r="B4465" s="13" t="s">
        <v>556</v>
      </c>
      <c r="C4465" s="13" t="s">
        <v>19823</v>
      </c>
      <c r="D4465" s="12" t="s">
        <v>11375</v>
      </c>
      <c r="E4465" s="13" t="s">
        <v>580</v>
      </c>
      <c r="F4465" s="681">
        <v>136.80000000000001</v>
      </c>
    </row>
    <row r="4466" spans="2:6" ht="15.75" hidden="1" customHeight="1" x14ac:dyDescent="0.25">
      <c r="B4466" s="13" t="s">
        <v>556</v>
      </c>
      <c r="C4466" s="13" t="s">
        <v>19824</v>
      </c>
      <c r="D4466" s="12" t="s">
        <v>11379</v>
      </c>
      <c r="E4466" s="13" t="s">
        <v>580</v>
      </c>
      <c r="F4466" s="681">
        <v>8.31</v>
      </c>
    </row>
    <row r="4467" spans="2:6" ht="15.75" hidden="1" customHeight="1" x14ac:dyDescent="0.25">
      <c r="B4467" s="13" t="s">
        <v>556</v>
      </c>
      <c r="C4467" s="13" t="s">
        <v>19825</v>
      </c>
      <c r="D4467" s="12" t="s">
        <v>11412</v>
      </c>
      <c r="E4467" s="13" t="s">
        <v>580</v>
      </c>
      <c r="F4467" s="681">
        <v>2.44</v>
      </c>
    </row>
    <row r="4468" spans="2:6" ht="15.75" hidden="1" customHeight="1" x14ac:dyDescent="0.25">
      <c r="B4468" s="13" t="s">
        <v>556</v>
      </c>
      <c r="C4468" s="13" t="s">
        <v>19826</v>
      </c>
      <c r="D4468" s="12" t="s">
        <v>8955</v>
      </c>
      <c r="E4468" s="13" t="s">
        <v>578</v>
      </c>
      <c r="F4468" s="681">
        <v>63.61</v>
      </c>
    </row>
    <row r="4469" spans="2:6" ht="15.75" hidden="1" customHeight="1" x14ac:dyDescent="0.25">
      <c r="B4469" s="13" t="s">
        <v>556</v>
      </c>
      <c r="C4469" s="13" t="s">
        <v>19827</v>
      </c>
      <c r="D4469" s="12" t="s">
        <v>11406</v>
      </c>
      <c r="E4469" s="13" t="s">
        <v>580</v>
      </c>
      <c r="F4469" s="681">
        <v>47.06</v>
      </c>
    </row>
    <row r="4470" spans="2:6" ht="15.75" hidden="1" customHeight="1" x14ac:dyDescent="0.25">
      <c r="B4470" s="13" t="s">
        <v>556</v>
      </c>
      <c r="C4470" s="13" t="s">
        <v>19828</v>
      </c>
      <c r="D4470" s="12" t="s">
        <v>11411</v>
      </c>
      <c r="E4470" s="13" t="s">
        <v>580</v>
      </c>
      <c r="F4470" s="681">
        <v>12.31</v>
      </c>
    </row>
    <row r="4471" spans="2:6" ht="15.75" hidden="1" customHeight="1" x14ac:dyDescent="0.25">
      <c r="B4471" s="13" t="s">
        <v>556</v>
      </c>
      <c r="C4471" s="13" t="s">
        <v>19829</v>
      </c>
      <c r="D4471" s="12" t="s">
        <v>11403</v>
      </c>
      <c r="E4471" s="13" t="s">
        <v>580</v>
      </c>
      <c r="F4471" s="681">
        <v>3.94</v>
      </c>
    </row>
    <row r="4472" spans="2:6" ht="15.75" hidden="1" customHeight="1" x14ac:dyDescent="0.25">
      <c r="B4472" s="13" t="s">
        <v>556</v>
      </c>
      <c r="C4472" s="13" t="s">
        <v>19830</v>
      </c>
      <c r="D4472" s="12" t="s">
        <v>11404</v>
      </c>
      <c r="E4472" s="13" t="s">
        <v>580</v>
      </c>
      <c r="F4472" s="681">
        <v>24.75</v>
      </c>
    </row>
    <row r="4473" spans="2:6" ht="15.75" hidden="1" customHeight="1" x14ac:dyDescent="0.25">
      <c r="B4473" s="13" t="s">
        <v>556</v>
      </c>
      <c r="C4473" s="13" t="s">
        <v>19831</v>
      </c>
      <c r="D4473" s="12" t="s">
        <v>11368</v>
      </c>
      <c r="E4473" s="13" t="s">
        <v>580</v>
      </c>
      <c r="F4473" s="681">
        <v>10.83</v>
      </c>
    </row>
    <row r="4474" spans="2:6" ht="15.75" hidden="1" customHeight="1" x14ac:dyDescent="0.25">
      <c r="B4474" s="13" t="s">
        <v>556</v>
      </c>
      <c r="C4474" s="13" t="s">
        <v>19832</v>
      </c>
      <c r="D4474" s="12" t="s">
        <v>8956</v>
      </c>
      <c r="E4474" s="13" t="s">
        <v>578</v>
      </c>
      <c r="F4474" s="681">
        <v>80.13</v>
      </c>
    </row>
    <row r="4475" spans="2:6" ht="15.75" hidden="1" customHeight="1" x14ac:dyDescent="0.25">
      <c r="B4475" s="13" t="s">
        <v>556</v>
      </c>
      <c r="C4475" s="13" t="s">
        <v>19833</v>
      </c>
      <c r="D4475" s="12" t="s">
        <v>11370</v>
      </c>
      <c r="E4475" s="13" t="s">
        <v>580</v>
      </c>
      <c r="F4475" s="681">
        <v>8.31</v>
      </c>
    </row>
    <row r="4476" spans="2:6" ht="15.75" hidden="1" customHeight="1" x14ac:dyDescent="0.25">
      <c r="B4476" s="13" t="s">
        <v>556</v>
      </c>
      <c r="C4476" s="13" t="s">
        <v>19834</v>
      </c>
      <c r="D4476" s="12" t="s">
        <v>11408</v>
      </c>
      <c r="E4476" s="13" t="s">
        <v>580</v>
      </c>
      <c r="F4476" s="681">
        <v>8.8000000000000007</v>
      </c>
    </row>
    <row r="4477" spans="2:6" ht="15.75" hidden="1" customHeight="1" x14ac:dyDescent="0.25">
      <c r="B4477" s="13" t="s">
        <v>556</v>
      </c>
      <c r="C4477" s="13" t="s">
        <v>19835</v>
      </c>
      <c r="D4477" s="12" t="s">
        <v>11410</v>
      </c>
      <c r="E4477" s="13" t="s">
        <v>580</v>
      </c>
      <c r="F4477" s="681">
        <v>10.58</v>
      </c>
    </row>
    <row r="4478" spans="2:6" ht="15.75" hidden="1" customHeight="1" x14ac:dyDescent="0.25">
      <c r="B4478" s="13" t="s">
        <v>556</v>
      </c>
      <c r="C4478" s="13" t="s">
        <v>19836</v>
      </c>
      <c r="D4478" s="12" t="s">
        <v>11407</v>
      </c>
      <c r="E4478" s="13" t="s">
        <v>580</v>
      </c>
      <c r="F4478" s="681">
        <v>4.45</v>
      </c>
    </row>
    <row r="4479" spans="2:6" ht="15.75" hidden="1" customHeight="1" x14ac:dyDescent="0.25">
      <c r="B4479" s="13" t="s">
        <v>556</v>
      </c>
      <c r="C4479" s="13" t="s">
        <v>19837</v>
      </c>
      <c r="D4479" s="12" t="s">
        <v>11369</v>
      </c>
      <c r="E4479" s="13" t="s">
        <v>580</v>
      </c>
      <c r="F4479" s="681">
        <v>22.11</v>
      </c>
    </row>
    <row r="4480" spans="2:6" ht="15.75" hidden="1" customHeight="1" x14ac:dyDescent="0.25">
      <c r="B4480" s="13" t="s">
        <v>556</v>
      </c>
      <c r="C4480" s="13" t="s">
        <v>19838</v>
      </c>
      <c r="D4480" s="12" t="s">
        <v>11378</v>
      </c>
      <c r="E4480" s="13" t="s">
        <v>580</v>
      </c>
      <c r="F4480" s="681">
        <v>8.33</v>
      </c>
    </row>
    <row r="4481" spans="2:6" ht="15.75" hidden="1" customHeight="1" x14ac:dyDescent="0.25">
      <c r="B4481" s="13" t="s">
        <v>556</v>
      </c>
      <c r="C4481" s="13" t="s">
        <v>19839</v>
      </c>
      <c r="D4481" s="12" t="s">
        <v>11380</v>
      </c>
      <c r="E4481" s="13" t="s">
        <v>580</v>
      </c>
      <c r="F4481" s="681">
        <v>9.7799999999999994</v>
      </c>
    </row>
    <row r="4482" spans="2:6" ht="15.75" hidden="1" customHeight="1" x14ac:dyDescent="0.25">
      <c r="B4482" s="13" t="s">
        <v>556</v>
      </c>
      <c r="C4482" s="13" t="s">
        <v>19840</v>
      </c>
      <c r="D4482" s="12" t="s">
        <v>11381</v>
      </c>
      <c r="E4482" s="13" t="s">
        <v>580</v>
      </c>
      <c r="F4482" s="681">
        <v>14.21</v>
      </c>
    </row>
    <row r="4483" spans="2:6" ht="15.75" hidden="1" customHeight="1" x14ac:dyDescent="0.25">
      <c r="B4483" s="13" t="s">
        <v>556</v>
      </c>
      <c r="C4483" s="13" t="s">
        <v>19841</v>
      </c>
      <c r="D4483" s="12" t="s">
        <v>11382</v>
      </c>
      <c r="E4483" s="13" t="s">
        <v>580</v>
      </c>
      <c r="F4483" s="681">
        <v>17.38</v>
      </c>
    </row>
    <row r="4484" spans="2:6" ht="15.75" hidden="1" customHeight="1" x14ac:dyDescent="0.25">
      <c r="B4484" s="13" t="s">
        <v>556</v>
      </c>
      <c r="C4484" s="13" t="s">
        <v>19842</v>
      </c>
      <c r="D4484" s="12" t="s">
        <v>11383</v>
      </c>
      <c r="E4484" s="13" t="s">
        <v>580</v>
      </c>
      <c r="F4484" s="681">
        <v>40.92</v>
      </c>
    </row>
    <row r="4485" spans="2:6" ht="15.75" hidden="1" customHeight="1" x14ac:dyDescent="0.25">
      <c r="B4485" s="13" t="s">
        <v>556</v>
      </c>
      <c r="C4485" s="13" t="s">
        <v>19843</v>
      </c>
      <c r="D4485" s="12" t="s">
        <v>11384</v>
      </c>
      <c r="E4485" s="13" t="s">
        <v>580</v>
      </c>
      <c r="F4485" s="681">
        <v>94.55</v>
      </c>
    </row>
    <row r="4486" spans="2:6" ht="15.75" hidden="1" customHeight="1" x14ac:dyDescent="0.25">
      <c r="B4486" s="13" t="s">
        <v>556</v>
      </c>
      <c r="C4486" s="13" t="s">
        <v>19844</v>
      </c>
      <c r="D4486" s="12" t="s">
        <v>11413</v>
      </c>
      <c r="E4486" s="13" t="s">
        <v>580</v>
      </c>
      <c r="F4486" s="681">
        <v>4.99</v>
      </c>
    </row>
    <row r="4487" spans="2:6" ht="15.75" hidden="1" customHeight="1" x14ac:dyDescent="0.25">
      <c r="B4487" s="13" t="s">
        <v>556</v>
      </c>
      <c r="C4487" s="13" t="s">
        <v>19845</v>
      </c>
      <c r="D4487" s="12" t="s">
        <v>11377</v>
      </c>
      <c r="E4487" s="13" t="s">
        <v>580</v>
      </c>
      <c r="F4487" s="681">
        <v>6.42</v>
      </c>
    </row>
    <row r="4488" spans="2:6" ht="15.75" hidden="1" customHeight="1" x14ac:dyDescent="0.25">
      <c r="B4488" s="13" t="s">
        <v>556</v>
      </c>
      <c r="C4488" s="13" t="s">
        <v>19846</v>
      </c>
      <c r="D4488" s="12" t="s">
        <v>11409</v>
      </c>
      <c r="E4488" s="13" t="s">
        <v>580</v>
      </c>
      <c r="F4488" s="681">
        <v>9.61</v>
      </c>
    </row>
    <row r="4489" spans="2:6" ht="15.75" hidden="1" customHeight="1" x14ac:dyDescent="0.25">
      <c r="B4489" s="13" t="s">
        <v>556</v>
      </c>
      <c r="C4489" s="13" t="s">
        <v>19847</v>
      </c>
      <c r="D4489" s="12" t="s">
        <v>11423</v>
      </c>
      <c r="E4489" s="13" t="s">
        <v>580</v>
      </c>
      <c r="F4489" s="681">
        <v>1.02</v>
      </c>
    </row>
    <row r="4490" spans="2:6" ht="15.75" hidden="1" customHeight="1" x14ac:dyDescent="0.25">
      <c r="B4490" s="13" t="s">
        <v>556</v>
      </c>
      <c r="C4490" s="13" t="s">
        <v>19848</v>
      </c>
      <c r="D4490" s="12" t="s">
        <v>11424</v>
      </c>
      <c r="E4490" s="13" t="s">
        <v>580</v>
      </c>
      <c r="F4490" s="681">
        <v>1.1499999999999999</v>
      </c>
    </row>
    <row r="4491" spans="2:6" ht="15.75" hidden="1" customHeight="1" x14ac:dyDescent="0.25">
      <c r="B4491" s="13" t="s">
        <v>556</v>
      </c>
      <c r="C4491" s="13" t="s">
        <v>19849</v>
      </c>
      <c r="D4491" s="12" t="s">
        <v>11425</v>
      </c>
      <c r="E4491" s="13" t="s">
        <v>580</v>
      </c>
      <c r="F4491" s="681">
        <v>3.62</v>
      </c>
    </row>
    <row r="4492" spans="2:6" ht="15.75" hidden="1" customHeight="1" x14ac:dyDescent="0.25">
      <c r="B4492" s="13" t="s">
        <v>556</v>
      </c>
      <c r="C4492" s="13" t="s">
        <v>19850</v>
      </c>
      <c r="D4492" s="12" t="s">
        <v>11426</v>
      </c>
      <c r="E4492" s="13" t="s">
        <v>580</v>
      </c>
      <c r="F4492" s="681">
        <v>8.86</v>
      </c>
    </row>
    <row r="4493" spans="2:6" ht="15.75" hidden="1" customHeight="1" x14ac:dyDescent="0.25">
      <c r="B4493" s="13" t="s">
        <v>556</v>
      </c>
      <c r="C4493" s="13" t="s">
        <v>19851</v>
      </c>
      <c r="D4493" s="12" t="s">
        <v>11430</v>
      </c>
      <c r="E4493" s="13" t="s">
        <v>580</v>
      </c>
      <c r="F4493" s="681">
        <v>9.26</v>
      </c>
    </row>
    <row r="4494" spans="2:6" ht="15.75" hidden="1" customHeight="1" x14ac:dyDescent="0.25">
      <c r="B4494" s="13" t="s">
        <v>556</v>
      </c>
      <c r="C4494" s="13" t="s">
        <v>19852</v>
      </c>
      <c r="D4494" s="12" t="s">
        <v>11427</v>
      </c>
      <c r="E4494" s="13" t="s">
        <v>580</v>
      </c>
      <c r="F4494" s="681">
        <v>29.74</v>
      </c>
    </row>
    <row r="4495" spans="2:6" ht="15.75" hidden="1" customHeight="1" x14ac:dyDescent="0.25">
      <c r="B4495" s="13" t="s">
        <v>556</v>
      </c>
      <c r="C4495" s="13" t="s">
        <v>19853</v>
      </c>
      <c r="D4495" s="12" t="s">
        <v>11428</v>
      </c>
      <c r="E4495" s="13" t="s">
        <v>580</v>
      </c>
      <c r="F4495" s="681">
        <v>55.17</v>
      </c>
    </row>
    <row r="4496" spans="2:6" ht="15.75" hidden="1" customHeight="1" x14ac:dyDescent="0.25">
      <c r="B4496" s="13" t="s">
        <v>556</v>
      </c>
      <c r="C4496" s="13" t="s">
        <v>19854</v>
      </c>
      <c r="D4496" s="12" t="s">
        <v>11429</v>
      </c>
      <c r="E4496" s="13" t="s">
        <v>580</v>
      </c>
      <c r="F4496" s="681">
        <v>75.02</v>
      </c>
    </row>
    <row r="4497" spans="2:6" ht="15.75" hidden="1" customHeight="1" x14ac:dyDescent="0.25">
      <c r="B4497" s="13" t="s">
        <v>556</v>
      </c>
      <c r="C4497" s="13" t="s">
        <v>19855</v>
      </c>
      <c r="D4497" s="12" t="s">
        <v>11422</v>
      </c>
      <c r="E4497" s="13" t="s">
        <v>580</v>
      </c>
      <c r="F4497" s="681">
        <v>161.09</v>
      </c>
    </row>
    <row r="4498" spans="2:6" ht="15.75" hidden="1" customHeight="1" x14ac:dyDescent="0.25">
      <c r="B4498" s="13" t="s">
        <v>556</v>
      </c>
      <c r="C4498" s="13" t="s">
        <v>19856</v>
      </c>
      <c r="D4498" s="12" t="s">
        <v>8883</v>
      </c>
      <c r="E4498" s="13" t="s">
        <v>580</v>
      </c>
      <c r="F4498" s="681">
        <v>20.04</v>
      </c>
    </row>
    <row r="4499" spans="2:6" ht="15.75" hidden="1" customHeight="1" x14ac:dyDescent="0.25">
      <c r="B4499" s="13" t="s">
        <v>14153</v>
      </c>
      <c r="C4499" s="13" t="s">
        <v>19857</v>
      </c>
      <c r="D4499" s="12" t="s">
        <v>11439</v>
      </c>
      <c r="E4499" s="13" t="s">
        <v>2193</v>
      </c>
      <c r="F4499" s="681">
        <v>57.31</v>
      </c>
    </row>
    <row r="4500" spans="2:6" ht="15.75" hidden="1" customHeight="1" x14ac:dyDescent="0.25">
      <c r="B4500" s="13" t="s">
        <v>556</v>
      </c>
      <c r="C4500" s="13" t="s">
        <v>19858</v>
      </c>
      <c r="D4500" s="12" t="s">
        <v>11454</v>
      </c>
      <c r="E4500" s="13" t="s">
        <v>578</v>
      </c>
      <c r="F4500" s="681">
        <v>18.100000000000001</v>
      </c>
    </row>
    <row r="4501" spans="2:6" ht="15.75" hidden="1" customHeight="1" x14ac:dyDescent="0.25">
      <c r="B4501" s="13" t="s">
        <v>556</v>
      </c>
      <c r="C4501" s="13" t="s">
        <v>19859</v>
      </c>
      <c r="D4501" s="12" t="s">
        <v>11456</v>
      </c>
      <c r="E4501" s="13" t="s">
        <v>578</v>
      </c>
      <c r="F4501" s="681">
        <v>25.97</v>
      </c>
    </row>
    <row r="4502" spans="2:6" ht="15.75" hidden="1" customHeight="1" x14ac:dyDescent="0.25">
      <c r="B4502" s="13" t="s">
        <v>556</v>
      </c>
      <c r="C4502" s="13" t="s">
        <v>19860</v>
      </c>
      <c r="D4502" s="12" t="s">
        <v>11465</v>
      </c>
      <c r="E4502" s="13" t="s">
        <v>578</v>
      </c>
      <c r="F4502" s="681">
        <v>37.630000000000003</v>
      </c>
    </row>
    <row r="4503" spans="2:6" ht="15.75" hidden="1" customHeight="1" x14ac:dyDescent="0.25">
      <c r="B4503" s="13" t="s">
        <v>556</v>
      </c>
      <c r="C4503" s="13" t="s">
        <v>19861</v>
      </c>
      <c r="D4503" s="12" t="s">
        <v>8884</v>
      </c>
      <c r="E4503" s="13" t="s">
        <v>580</v>
      </c>
      <c r="F4503" s="681">
        <v>22.66</v>
      </c>
    </row>
    <row r="4504" spans="2:6" ht="15.75" hidden="1" customHeight="1" x14ac:dyDescent="0.25">
      <c r="B4504" s="13" t="s">
        <v>556</v>
      </c>
      <c r="C4504" s="13" t="s">
        <v>19862</v>
      </c>
      <c r="D4504" s="12" t="s">
        <v>11475</v>
      </c>
      <c r="E4504" s="13" t="s">
        <v>578</v>
      </c>
      <c r="F4504" s="681">
        <v>5.29</v>
      </c>
    </row>
    <row r="4505" spans="2:6" ht="15.75" hidden="1" customHeight="1" x14ac:dyDescent="0.25">
      <c r="B4505" s="13" t="s">
        <v>556</v>
      </c>
      <c r="C4505" s="13" t="s">
        <v>19863</v>
      </c>
      <c r="D4505" s="12" t="s">
        <v>11467</v>
      </c>
      <c r="E4505" s="13" t="s">
        <v>578</v>
      </c>
      <c r="F4505" s="681">
        <v>58.89</v>
      </c>
    </row>
    <row r="4506" spans="2:6" ht="15.75" hidden="1" customHeight="1" x14ac:dyDescent="0.25">
      <c r="B4506" s="13" t="s">
        <v>556</v>
      </c>
      <c r="C4506" s="13" t="s">
        <v>19864</v>
      </c>
      <c r="D4506" s="12" t="s">
        <v>11472</v>
      </c>
      <c r="E4506" s="13" t="s">
        <v>578</v>
      </c>
      <c r="F4506" s="681">
        <v>42.5</v>
      </c>
    </row>
    <row r="4507" spans="2:6" ht="15.75" hidden="1" customHeight="1" x14ac:dyDescent="0.25">
      <c r="B4507" s="13" t="s">
        <v>556</v>
      </c>
      <c r="C4507" s="13" t="s">
        <v>19865</v>
      </c>
      <c r="D4507" s="12" t="s">
        <v>11462</v>
      </c>
      <c r="E4507" s="13" t="s">
        <v>578</v>
      </c>
      <c r="F4507" s="681">
        <v>25.6</v>
      </c>
    </row>
    <row r="4508" spans="2:6" ht="15.75" hidden="1" customHeight="1" x14ac:dyDescent="0.25">
      <c r="B4508" s="13" t="s">
        <v>556</v>
      </c>
      <c r="C4508" s="13" t="s">
        <v>19866</v>
      </c>
      <c r="D4508" s="12" t="s">
        <v>11476</v>
      </c>
      <c r="E4508" s="13" t="s">
        <v>578</v>
      </c>
      <c r="F4508" s="681">
        <v>2.13</v>
      </c>
    </row>
    <row r="4509" spans="2:6" ht="15.75" hidden="1" customHeight="1" x14ac:dyDescent="0.25">
      <c r="B4509" s="13" t="s">
        <v>556</v>
      </c>
      <c r="C4509" s="13" t="s">
        <v>19867</v>
      </c>
      <c r="D4509" s="12" t="s">
        <v>11480</v>
      </c>
      <c r="E4509" s="13" t="s">
        <v>10864</v>
      </c>
      <c r="F4509" s="681">
        <v>2615</v>
      </c>
    </row>
    <row r="4510" spans="2:6" ht="15.75" hidden="1" customHeight="1" x14ac:dyDescent="0.25">
      <c r="B4510" s="13" t="s">
        <v>556</v>
      </c>
      <c r="C4510" s="13" t="s">
        <v>19868</v>
      </c>
      <c r="D4510" s="12" t="s">
        <v>11481</v>
      </c>
      <c r="E4510" s="13" t="s">
        <v>580</v>
      </c>
      <c r="F4510" s="681">
        <v>2.95</v>
      </c>
    </row>
    <row r="4511" spans="2:6" ht="15.75" hidden="1" customHeight="1" x14ac:dyDescent="0.25">
      <c r="B4511" s="13" t="s">
        <v>556</v>
      </c>
      <c r="C4511" s="13" t="s">
        <v>19869</v>
      </c>
      <c r="D4511" s="12" t="s">
        <v>8938</v>
      </c>
      <c r="E4511" s="13" t="s">
        <v>580</v>
      </c>
      <c r="F4511" s="681">
        <v>19.8</v>
      </c>
    </row>
    <row r="4512" spans="2:6" ht="15.75" hidden="1" customHeight="1" x14ac:dyDescent="0.25">
      <c r="B4512" s="13" t="s">
        <v>556</v>
      </c>
      <c r="C4512" s="13" t="s">
        <v>19870</v>
      </c>
      <c r="D4512" s="12" t="s">
        <v>9608</v>
      </c>
      <c r="E4512" s="13" t="s">
        <v>580</v>
      </c>
      <c r="F4512" s="681">
        <v>6.77</v>
      </c>
    </row>
    <row r="4513" spans="2:6" ht="15.75" hidden="1" customHeight="1" x14ac:dyDescent="0.25">
      <c r="B4513" s="13" t="s">
        <v>556</v>
      </c>
      <c r="C4513" s="13" t="s">
        <v>19871</v>
      </c>
      <c r="D4513" s="12" t="s">
        <v>11483</v>
      </c>
      <c r="E4513" s="13" t="s">
        <v>578</v>
      </c>
      <c r="F4513" s="681">
        <v>40.98</v>
      </c>
    </row>
    <row r="4514" spans="2:6" ht="15.75" hidden="1" customHeight="1" x14ac:dyDescent="0.25">
      <c r="B4514" s="13" t="s">
        <v>556</v>
      </c>
      <c r="C4514" s="13" t="s">
        <v>19872</v>
      </c>
      <c r="D4514" s="12" t="s">
        <v>11494</v>
      </c>
      <c r="E4514" s="13" t="s">
        <v>580</v>
      </c>
      <c r="F4514" s="681">
        <v>54.46</v>
      </c>
    </row>
    <row r="4515" spans="2:6" ht="15.75" hidden="1" customHeight="1" x14ac:dyDescent="0.25">
      <c r="B4515" s="13" t="s">
        <v>556</v>
      </c>
      <c r="C4515" s="13" t="s">
        <v>19873</v>
      </c>
      <c r="D4515" s="12" t="s">
        <v>11499</v>
      </c>
      <c r="E4515" s="13" t="s">
        <v>580</v>
      </c>
      <c r="F4515" s="681">
        <v>124.23</v>
      </c>
    </row>
    <row r="4516" spans="2:6" ht="15.75" hidden="1" customHeight="1" x14ac:dyDescent="0.25">
      <c r="B4516" s="13" t="s">
        <v>556</v>
      </c>
      <c r="C4516" s="13" t="s">
        <v>19874</v>
      </c>
      <c r="D4516" s="12" t="s">
        <v>11490</v>
      </c>
      <c r="E4516" s="13" t="s">
        <v>580</v>
      </c>
      <c r="F4516" s="681">
        <v>11.6</v>
      </c>
    </row>
    <row r="4517" spans="2:6" ht="15.75" hidden="1" customHeight="1" x14ac:dyDescent="0.25">
      <c r="B4517" s="13" t="s">
        <v>556</v>
      </c>
      <c r="C4517" s="13" t="s">
        <v>19875</v>
      </c>
      <c r="D4517" s="12" t="s">
        <v>11497</v>
      </c>
      <c r="E4517" s="13" t="s">
        <v>580</v>
      </c>
      <c r="F4517" s="681">
        <v>94.95</v>
      </c>
    </row>
    <row r="4518" spans="2:6" ht="15.75" hidden="1" customHeight="1" x14ac:dyDescent="0.25">
      <c r="B4518" s="13" t="s">
        <v>556</v>
      </c>
      <c r="C4518" s="13" t="s">
        <v>19876</v>
      </c>
      <c r="D4518" s="12" t="s">
        <v>11498</v>
      </c>
      <c r="E4518" s="13" t="s">
        <v>580</v>
      </c>
      <c r="F4518" s="681">
        <v>106.9</v>
      </c>
    </row>
    <row r="4519" spans="2:6" ht="15.75" hidden="1" customHeight="1" x14ac:dyDescent="0.25">
      <c r="B4519" s="13" t="s">
        <v>556</v>
      </c>
      <c r="C4519" s="13" t="s">
        <v>19877</v>
      </c>
      <c r="D4519" s="12" t="s">
        <v>11495</v>
      </c>
      <c r="E4519" s="13" t="s">
        <v>578</v>
      </c>
      <c r="F4519" s="681">
        <v>25.11</v>
      </c>
    </row>
    <row r="4520" spans="2:6" ht="15.75" hidden="1" customHeight="1" x14ac:dyDescent="0.25">
      <c r="B4520" s="13" t="s">
        <v>556</v>
      </c>
      <c r="C4520" s="13" t="s">
        <v>19878</v>
      </c>
      <c r="D4520" s="12" t="s">
        <v>11493</v>
      </c>
      <c r="E4520" s="13" t="s">
        <v>580</v>
      </c>
      <c r="F4520" s="681">
        <v>49.99</v>
      </c>
    </row>
    <row r="4521" spans="2:6" ht="15.75" hidden="1" customHeight="1" x14ac:dyDescent="0.25">
      <c r="B4521" s="13" t="s">
        <v>556</v>
      </c>
      <c r="C4521" s="13" t="s">
        <v>19879</v>
      </c>
      <c r="D4521" s="12" t="s">
        <v>11496</v>
      </c>
      <c r="E4521" s="13" t="s">
        <v>580</v>
      </c>
      <c r="F4521" s="681">
        <v>105.98</v>
      </c>
    </row>
    <row r="4522" spans="2:6" ht="15.75" hidden="1" customHeight="1" x14ac:dyDescent="0.25">
      <c r="B4522" s="13" t="s">
        <v>556</v>
      </c>
      <c r="C4522" s="13" t="s">
        <v>19880</v>
      </c>
      <c r="D4522" s="12" t="s">
        <v>8581</v>
      </c>
      <c r="E4522" s="13" t="s">
        <v>580</v>
      </c>
      <c r="F4522" s="681">
        <v>48.32</v>
      </c>
    </row>
    <row r="4523" spans="2:6" ht="15.75" hidden="1" customHeight="1" x14ac:dyDescent="0.25">
      <c r="B4523" s="13" t="s">
        <v>556</v>
      </c>
      <c r="C4523" s="13" t="s">
        <v>19881</v>
      </c>
      <c r="D4523" s="12" t="s">
        <v>11509</v>
      </c>
      <c r="E4523" s="13" t="s">
        <v>580</v>
      </c>
      <c r="F4523" s="681">
        <v>330.31</v>
      </c>
    </row>
    <row r="4524" spans="2:6" ht="15.75" hidden="1" customHeight="1" x14ac:dyDescent="0.25">
      <c r="B4524" s="13" t="s">
        <v>556</v>
      </c>
      <c r="C4524" s="13" t="s">
        <v>19882</v>
      </c>
      <c r="D4524" s="12" t="s">
        <v>11492</v>
      </c>
      <c r="E4524" s="13" t="s">
        <v>578</v>
      </c>
      <c r="F4524" s="681">
        <v>17.03</v>
      </c>
    </row>
    <row r="4525" spans="2:6" ht="15.75" hidden="1" customHeight="1" x14ac:dyDescent="0.25">
      <c r="B4525" s="13" t="s">
        <v>556</v>
      </c>
      <c r="C4525" s="13" t="s">
        <v>19883</v>
      </c>
      <c r="D4525" s="12" t="s">
        <v>9610</v>
      </c>
      <c r="E4525" s="13" t="s">
        <v>580</v>
      </c>
      <c r="F4525" s="681">
        <v>59.87</v>
      </c>
    </row>
    <row r="4526" spans="2:6" ht="15.75" hidden="1" customHeight="1" x14ac:dyDescent="0.25">
      <c r="B4526" s="13" t="s">
        <v>556</v>
      </c>
      <c r="C4526" s="13" t="s">
        <v>19884</v>
      </c>
      <c r="D4526" s="12" t="s">
        <v>9606</v>
      </c>
      <c r="E4526" s="13" t="s">
        <v>580</v>
      </c>
      <c r="F4526" s="681">
        <v>61.31</v>
      </c>
    </row>
    <row r="4527" spans="2:6" ht="15.75" hidden="1" customHeight="1" x14ac:dyDescent="0.25">
      <c r="B4527" s="13" t="s">
        <v>556</v>
      </c>
      <c r="C4527" s="13" t="s">
        <v>19885</v>
      </c>
      <c r="D4527" s="12" t="s">
        <v>9611</v>
      </c>
      <c r="E4527" s="13" t="s">
        <v>580</v>
      </c>
      <c r="F4527" s="681">
        <v>53.11</v>
      </c>
    </row>
    <row r="4528" spans="2:6" ht="15.75" hidden="1" customHeight="1" x14ac:dyDescent="0.25">
      <c r="B4528" s="13" t="s">
        <v>556</v>
      </c>
      <c r="C4528" s="13" t="s">
        <v>19886</v>
      </c>
      <c r="D4528" s="12" t="s">
        <v>11513</v>
      </c>
      <c r="E4528" s="13" t="s">
        <v>580</v>
      </c>
      <c r="F4528" s="681">
        <v>610.37</v>
      </c>
    </row>
    <row r="4529" spans="2:6" ht="15.75" hidden="1" customHeight="1" x14ac:dyDescent="0.25">
      <c r="B4529" s="13" t="s">
        <v>556</v>
      </c>
      <c r="C4529" s="13" t="s">
        <v>19887</v>
      </c>
      <c r="D4529" s="12" t="s">
        <v>11503</v>
      </c>
      <c r="E4529" s="13" t="s">
        <v>580</v>
      </c>
      <c r="F4529" s="681">
        <v>125.55</v>
      </c>
    </row>
    <row r="4530" spans="2:6" ht="15.75" hidden="1" customHeight="1" x14ac:dyDescent="0.25">
      <c r="B4530" s="13" t="s">
        <v>556</v>
      </c>
      <c r="C4530" s="13" t="s">
        <v>19888</v>
      </c>
      <c r="D4530" s="12" t="s">
        <v>11505</v>
      </c>
      <c r="E4530" s="13" t="s">
        <v>580</v>
      </c>
      <c r="F4530" s="681">
        <v>230.81</v>
      </c>
    </row>
    <row r="4531" spans="2:6" ht="15.75" hidden="1" customHeight="1" x14ac:dyDescent="0.25">
      <c r="B4531" s="13" t="s">
        <v>556</v>
      </c>
      <c r="C4531" s="13" t="s">
        <v>19889</v>
      </c>
      <c r="D4531" s="12" t="s">
        <v>11506</v>
      </c>
      <c r="E4531" s="13" t="s">
        <v>580</v>
      </c>
      <c r="F4531" s="681">
        <v>247.49</v>
      </c>
    </row>
    <row r="4532" spans="2:6" ht="15.75" hidden="1" customHeight="1" x14ac:dyDescent="0.25">
      <c r="B4532" s="13" t="s">
        <v>556</v>
      </c>
      <c r="C4532" s="13" t="s">
        <v>19890</v>
      </c>
      <c r="D4532" s="12" t="s">
        <v>11507</v>
      </c>
      <c r="E4532" s="13" t="s">
        <v>580</v>
      </c>
      <c r="F4532" s="681">
        <v>264.11</v>
      </c>
    </row>
    <row r="4533" spans="2:6" ht="15.75" hidden="1" customHeight="1" x14ac:dyDescent="0.25">
      <c r="B4533" s="13" t="s">
        <v>556</v>
      </c>
      <c r="C4533" s="13" t="s">
        <v>19891</v>
      </c>
      <c r="D4533" s="12" t="s">
        <v>11508</v>
      </c>
      <c r="E4533" s="13" t="s">
        <v>580</v>
      </c>
      <c r="F4533" s="681">
        <v>300.62</v>
      </c>
    </row>
    <row r="4534" spans="2:6" ht="15.75" hidden="1" customHeight="1" x14ac:dyDescent="0.25">
      <c r="B4534" s="13" t="s">
        <v>556</v>
      </c>
      <c r="C4534" s="13" t="s">
        <v>19892</v>
      </c>
      <c r="D4534" s="12" t="s">
        <v>11510</v>
      </c>
      <c r="E4534" s="13" t="s">
        <v>580</v>
      </c>
      <c r="F4534" s="681">
        <v>209.37</v>
      </c>
    </row>
    <row r="4535" spans="2:6" ht="15.75" hidden="1" customHeight="1" x14ac:dyDescent="0.25">
      <c r="B4535" s="13" t="s">
        <v>14150</v>
      </c>
      <c r="C4535" s="13" t="s">
        <v>19893</v>
      </c>
      <c r="D4535" s="12" t="s">
        <v>10717</v>
      </c>
      <c r="E4535" s="13" t="s">
        <v>580</v>
      </c>
      <c r="F4535" s="681">
        <v>4177.82</v>
      </c>
    </row>
    <row r="4536" spans="2:6" ht="15.75" hidden="1" customHeight="1" x14ac:dyDescent="0.25">
      <c r="B4536" s="13" t="s">
        <v>556</v>
      </c>
      <c r="C4536" s="13" t="s">
        <v>19894</v>
      </c>
      <c r="D4536" s="12" t="s">
        <v>11511</v>
      </c>
      <c r="E4536" s="13" t="s">
        <v>580</v>
      </c>
      <c r="F4536" s="681">
        <v>348.56</v>
      </c>
    </row>
    <row r="4537" spans="2:6" ht="15.75" hidden="1" customHeight="1" x14ac:dyDescent="0.25">
      <c r="B4537" s="13" t="s">
        <v>556</v>
      </c>
      <c r="C4537" s="13" t="s">
        <v>19895</v>
      </c>
      <c r="D4537" s="12" t="s">
        <v>11512</v>
      </c>
      <c r="E4537" s="13" t="s">
        <v>580</v>
      </c>
      <c r="F4537" s="681">
        <v>494.47</v>
      </c>
    </row>
    <row r="4538" spans="2:6" ht="15.75" hidden="1" customHeight="1" x14ac:dyDescent="0.25">
      <c r="B4538" s="13" t="s">
        <v>556</v>
      </c>
      <c r="C4538" s="13" t="s">
        <v>19896</v>
      </c>
      <c r="D4538" s="12" t="s">
        <v>11515</v>
      </c>
      <c r="E4538" s="13" t="s">
        <v>580</v>
      </c>
      <c r="F4538" s="681">
        <v>782.92</v>
      </c>
    </row>
    <row r="4539" spans="2:6" ht="15.75" hidden="1" customHeight="1" x14ac:dyDescent="0.25">
      <c r="B4539" s="13" t="s">
        <v>556</v>
      </c>
      <c r="C4539" s="13" t="s">
        <v>19897</v>
      </c>
      <c r="D4539" s="12" t="s">
        <v>11504</v>
      </c>
      <c r="E4539" s="13" t="s">
        <v>580</v>
      </c>
      <c r="F4539" s="681">
        <v>189.46</v>
      </c>
    </row>
    <row r="4540" spans="2:6" ht="15.75" hidden="1" customHeight="1" x14ac:dyDescent="0.25">
      <c r="B4540" s="13" t="s">
        <v>556</v>
      </c>
      <c r="C4540" s="13" t="s">
        <v>19898</v>
      </c>
      <c r="D4540" s="12" t="s">
        <v>11232</v>
      </c>
      <c r="E4540" s="13" t="s">
        <v>580</v>
      </c>
      <c r="F4540" s="681">
        <v>50.01</v>
      </c>
    </row>
    <row r="4541" spans="2:6" ht="15.75" hidden="1" customHeight="1" x14ac:dyDescent="0.25">
      <c r="B4541" s="13" t="s">
        <v>556</v>
      </c>
      <c r="C4541" s="13" t="s">
        <v>13508</v>
      </c>
      <c r="D4541" s="12" t="s">
        <v>19899</v>
      </c>
      <c r="E4541" s="13" t="s">
        <v>578</v>
      </c>
      <c r="F4541" s="681">
        <v>50.74</v>
      </c>
    </row>
    <row r="4542" spans="2:6" ht="15.75" hidden="1" customHeight="1" x14ac:dyDescent="0.25">
      <c r="B4542" s="13" t="s">
        <v>556</v>
      </c>
      <c r="C4542" s="13" t="s">
        <v>19900</v>
      </c>
      <c r="D4542" s="12" t="s">
        <v>11501</v>
      </c>
      <c r="E4542" s="13" t="s">
        <v>580</v>
      </c>
      <c r="F4542" s="681">
        <v>36.71</v>
      </c>
    </row>
    <row r="4543" spans="2:6" ht="15.75" hidden="1" customHeight="1" x14ac:dyDescent="0.25">
      <c r="B4543" s="13" t="s">
        <v>556</v>
      </c>
      <c r="C4543" s="13" t="s">
        <v>19901</v>
      </c>
      <c r="D4543" s="12" t="s">
        <v>11516</v>
      </c>
      <c r="E4543" s="13" t="s">
        <v>580</v>
      </c>
      <c r="F4543" s="681">
        <v>40.53</v>
      </c>
    </row>
    <row r="4544" spans="2:6" ht="15.75" hidden="1" customHeight="1" x14ac:dyDescent="0.25">
      <c r="B4544" s="13" t="s">
        <v>14180</v>
      </c>
      <c r="C4544" s="13" t="s">
        <v>19902</v>
      </c>
      <c r="D4544" s="12" t="s">
        <v>19903</v>
      </c>
      <c r="E4544" s="13" t="s">
        <v>2193</v>
      </c>
      <c r="F4544" s="681">
        <v>2.36</v>
      </c>
    </row>
    <row r="4545" spans="2:6" ht="15.75" hidden="1" customHeight="1" x14ac:dyDescent="0.25">
      <c r="B4545" s="13" t="s">
        <v>14180</v>
      </c>
      <c r="C4545" s="13" t="s">
        <v>19904</v>
      </c>
      <c r="D4545" s="12" t="s">
        <v>19905</v>
      </c>
      <c r="E4545" s="13" t="s">
        <v>2193</v>
      </c>
      <c r="F4545" s="681">
        <v>2.36</v>
      </c>
    </row>
    <row r="4546" spans="2:6" ht="15.75" hidden="1" customHeight="1" x14ac:dyDescent="0.25">
      <c r="B4546" s="13" t="s">
        <v>556</v>
      </c>
      <c r="C4546" s="13" t="s">
        <v>19906</v>
      </c>
      <c r="D4546" s="12" t="s">
        <v>11554</v>
      </c>
      <c r="E4546" s="13" t="s">
        <v>664</v>
      </c>
      <c r="F4546" s="681">
        <v>214.28</v>
      </c>
    </row>
    <row r="4547" spans="2:6" ht="15.75" hidden="1" customHeight="1" x14ac:dyDescent="0.25">
      <c r="B4547" s="13" t="s">
        <v>556</v>
      </c>
      <c r="C4547" s="13" t="s">
        <v>19907</v>
      </c>
      <c r="D4547" s="12" t="s">
        <v>11557</v>
      </c>
      <c r="E4547" s="13" t="s">
        <v>580</v>
      </c>
      <c r="F4547" s="681">
        <v>1.1100000000000001</v>
      </c>
    </row>
    <row r="4548" spans="2:6" ht="15.75" hidden="1" customHeight="1" x14ac:dyDescent="0.25">
      <c r="B4548" s="13" t="s">
        <v>556</v>
      </c>
      <c r="C4548" s="13" t="s">
        <v>19908</v>
      </c>
      <c r="D4548" s="12" t="s">
        <v>11559</v>
      </c>
      <c r="E4548" s="13" t="s">
        <v>580</v>
      </c>
      <c r="F4548" s="681">
        <v>0.54</v>
      </c>
    </row>
    <row r="4549" spans="2:6" ht="15.75" hidden="1" customHeight="1" x14ac:dyDescent="0.25">
      <c r="B4549" s="13" t="s">
        <v>556</v>
      </c>
      <c r="C4549" s="13" t="s">
        <v>19909</v>
      </c>
      <c r="D4549" s="12" t="s">
        <v>11558</v>
      </c>
      <c r="E4549" s="13" t="s">
        <v>580</v>
      </c>
      <c r="F4549" s="681">
        <v>2.11</v>
      </c>
    </row>
    <row r="4550" spans="2:6" ht="15.75" hidden="1" customHeight="1" x14ac:dyDescent="0.25">
      <c r="B4550" s="13" t="s">
        <v>556</v>
      </c>
      <c r="C4550" s="13" t="s">
        <v>19910</v>
      </c>
      <c r="D4550" s="12" t="s">
        <v>8888</v>
      </c>
      <c r="E4550" s="13" t="s">
        <v>580</v>
      </c>
      <c r="F4550" s="681">
        <v>0.63</v>
      </c>
    </row>
    <row r="4551" spans="2:6" ht="15.75" hidden="1" customHeight="1" x14ac:dyDescent="0.25">
      <c r="B4551" s="13" t="s">
        <v>556</v>
      </c>
      <c r="C4551" s="13" t="s">
        <v>19911</v>
      </c>
      <c r="D4551" s="12" t="s">
        <v>8892</v>
      </c>
      <c r="E4551" s="13" t="s">
        <v>580</v>
      </c>
      <c r="F4551" s="681">
        <v>1.24</v>
      </c>
    </row>
    <row r="4552" spans="2:6" ht="15.75" hidden="1" customHeight="1" x14ac:dyDescent="0.25">
      <c r="B4552" s="13" t="s">
        <v>556</v>
      </c>
      <c r="C4552" s="13" t="s">
        <v>19912</v>
      </c>
      <c r="D4552" s="12" t="s">
        <v>8885</v>
      </c>
      <c r="E4552" s="13" t="s">
        <v>580</v>
      </c>
      <c r="F4552" s="681">
        <v>0.75</v>
      </c>
    </row>
    <row r="4553" spans="2:6" ht="15.75" hidden="1" customHeight="1" x14ac:dyDescent="0.25">
      <c r="B4553" s="13" t="s">
        <v>556</v>
      </c>
      <c r="C4553" s="13" t="s">
        <v>19913</v>
      </c>
      <c r="D4553" s="12" t="s">
        <v>8891</v>
      </c>
      <c r="E4553" s="13" t="s">
        <v>580</v>
      </c>
      <c r="F4553" s="681">
        <v>0.8</v>
      </c>
    </row>
    <row r="4554" spans="2:6" ht="15.75" hidden="1" customHeight="1" x14ac:dyDescent="0.25">
      <c r="B4554" s="13" t="s">
        <v>556</v>
      </c>
      <c r="C4554" s="13" t="s">
        <v>19914</v>
      </c>
      <c r="D4554" s="12" t="s">
        <v>9803</v>
      </c>
      <c r="E4554" s="13" t="s">
        <v>580</v>
      </c>
      <c r="F4554" s="681">
        <v>2.2200000000000002</v>
      </c>
    </row>
    <row r="4555" spans="2:6" ht="15.75" hidden="1" customHeight="1" x14ac:dyDescent="0.25">
      <c r="B4555" s="13" t="s">
        <v>556</v>
      </c>
      <c r="C4555" s="13" t="s">
        <v>19915</v>
      </c>
      <c r="D4555" s="12" t="s">
        <v>11563</v>
      </c>
      <c r="E4555" s="13" t="s">
        <v>580</v>
      </c>
      <c r="F4555" s="681">
        <v>75.489999999999995</v>
      </c>
    </row>
    <row r="4556" spans="2:6" ht="15.75" hidden="1" customHeight="1" x14ac:dyDescent="0.25">
      <c r="B4556" s="13" t="s">
        <v>556</v>
      </c>
      <c r="C4556" s="13" t="s">
        <v>19916</v>
      </c>
      <c r="D4556" s="12" t="s">
        <v>11580</v>
      </c>
      <c r="E4556" s="13" t="s">
        <v>517</v>
      </c>
      <c r="F4556" s="681">
        <v>44.79</v>
      </c>
    </row>
    <row r="4557" spans="2:6" ht="15.75" hidden="1" customHeight="1" x14ac:dyDescent="0.25">
      <c r="B4557" s="13" t="s">
        <v>14150</v>
      </c>
      <c r="C4557" s="13" t="s">
        <v>19917</v>
      </c>
      <c r="D4557" s="12" t="s">
        <v>8960</v>
      </c>
      <c r="E4557" s="13" t="s">
        <v>580</v>
      </c>
      <c r="F4557" s="681">
        <v>950.75</v>
      </c>
    </row>
    <row r="4558" spans="2:6" ht="15.75" hidden="1" customHeight="1" x14ac:dyDescent="0.25">
      <c r="B4558" s="13" t="s">
        <v>556</v>
      </c>
      <c r="C4558" s="13" t="s">
        <v>19918</v>
      </c>
      <c r="D4558" s="12" t="s">
        <v>11577</v>
      </c>
      <c r="E4558" s="13" t="s">
        <v>517</v>
      </c>
      <c r="F4558" s="681">
        <v>44.18</v>
      </c>
    </row>
    <row r="4559" spans="2:6" ht="15.75" hidden="1" customHeight="1" x14ac:dyDescent="0.25">
      <c r="B4559" s="13" t="s">
        <v>556</v>
      </c>
      <c r="C4559" s="13" t="s">
        <v>19919</v>
      </c>
      <c r="D4559" s="12" t="s">
        <v>11578</v>
      </c>
      <c r="E4559" s="13" t="s">
        <v>517</v>
      </c>
      <c r="F4559" s="681">
        <v>48.88</v>
      </c>
    </row>
    <row r="4560" spans="2:6" ht="15.75" hidden="1" customHeight="1" x14ac:dyDescent="0.25">
      <c r="B4560" s="13" t="s">
        <v>556</v>
      </c>
      <c r="C4560" s="13" t="s">
        <v>19920</v>
      </c>
      <c r="D4560" s="12" t="s">
        <v>8584</v>
      </c>
      <c r="E4560" s="13" t="s">
        <v>580</v>
      </c>
      <c r="F4560" s="681">
        <v>14.95</v>
      </c>
    </row>
    <row r="4561" spans="2:6" ht="15.75" hidden="1" customHeight="1" x14ac:dyDescent="0.25">
      <c r="B4561" s="13" t="s">
        <v>14150</v>
      </c>
      <c r="C4561" s="13" t="s">
        <v>19921</v>
      </c>
      <c r="D4561" s="12" t="s">
        <v>10716</v>
      </c>
      <c r="E4561" s="13" t="s">
        <v>580</v>
      </c>
      <c r="F4561" s="681">
        <v>8405.49</v>
      </c>
    </row>
    <row r="4562" spans="2:6" ht="15.75" hidden="1" customHeight="1" x14ac:dyDescent="0.25">
      <c r="B4562" s="13" t="s">
        <v>556</v>
      </c>
      <c r="C4562" s="13" t="s">
        <v>19922</v>
      </c>
      <c r="D4562" s="12" t="s">
        <v>11573</v>
      </c>
      <c r="E4562" s="13" t="s">
        <v>517</v>
      </c>
      <c r="F4562" s="681">
        <v>91.15</v>
      </c>
    </row>
    <row r="4563" spans="2:6" ht="15.75" hidden="1" customHeight="1" x14ac:dyDescent="0.25">
      <c r="B4563" s="13" t="s">
        <v>556</v>
      </c>
      <c r="C4563" s="13" t="s">
        <v>19923</v>
      </c>
      <c r="D4563" s="12" t="s">
        <v>11579</v>
      </c>
      <c r="E4563" s="13" t="s">
        <v>517</v>
      </c>
      <c r="F4563" s="681">
        <v>53.94</v>
      </c>
    </row>
    <row r="4564" spans="2:6" ht="15.75" hidden="1" customHeight="1" x14ac:dyDescent="0.25">
      <c r="B4564" s="13" t="s">
        <v>556</v>
      </c>
      <c r="C4564" s="13" t="s">
        <v>19924</v>
      </c>
      <c r="D4564" s="12" t="s">
        <v>10075</v>
      </c>
      <c r="E4564" s="13" t="s">
        <v>517</v>
      </c>
      <c r="F4564" s="681">
        <v>47.65</v>
      </c>
    </row>
    <row r="4565" spans="2:6" ht="15.75" hidden="1" customHeight="1" x14ac:dyDescent="0.25">
      <c r="B4565" s="13" t="s">
        <v>14150</v>
      </c>
      <c r="C4565" s="13" t="s">
        <v>19925</v>
      </c>
      <c r="D4565" s="12" t="s">
        <v>8962</v>
      </c>
      <c r="E4565" s="13" t="s">
        <v>580</v>
      </c>
      <c r="F4565" s="681">
        <v>925.31</v>
      </c>
    </row>
    <row r="4566" spans="2:6" ht="15.75" hidden="1" customHeight="1" x14ac:dyDescent="0.25">
      <c r="B4566" s="13" t="s">
        <v>556</v>
      </c>
      <c r="C4566" s="13" t="s">
        <v>19926</v>
      </c>
      <c r="D4566" s="12" t="s">
        <v>11576</v>
      </c>
      <c r="E4566" s="13" t="s">
        <v>517</v>
      </c>
      <c r="F4566" s="681">
        <v>45.63</v>
      </c>
    </row>
    <row r="4567" spans="2:6" ht="15.75" hidden="1" customHeight="1" x14ac:dyDescent="0.25">
      <c r="B4567" s="13" t="s">
        <v>556</v>
      </c>
      <c r="C4567" s="13" t="s">
        <v>19927</v>
      </c>
      <c r="D4567" s="12" t="s">
        <v>11570</v>
      </c>
      <c r="E4567" s="13" t="s">
        <v>517</v>
      </c>
      <c r="F4567" s="681">
        <v>19.78</v>
      </c>
    </row>
    <row r="4568" spans="2:6" ht="15.75" hidden="1" customHeight="1" x14ac:dyDescent="0.25">
      <c r="B4568" s="13" t="s">
        <v>556</v>
      </c>
      <c r="C4568" s="13" t="s">
        <v>19928</v>
      </c>
      <c r="D4568" s="12" t="s">
        <v>11572</v>
      </c>
      <c r="E4568" s="13" t="s">
        <v>517</v>
      </c>
      <c r="F4568" s="681">
        <v>84.16</v>
      </c>
    </row>
    <row r="4569" spans="2:6" ht="15.75" hidden="1" customHeight="1" x14ac:dyDescent="0.25">
      <c r="B4569" s="13" t="s">
        <v>556</v>
      </c>
      <c r="C4569" s="13" t="s">
        <v>19929</v>
      </c>
      <c r="D4569" s="12" t="s">
        <v>11251</v>
      </c>
      <c r="E4569" s="13" t="s">
        <v>823</v>
      </c>
      <c r="F4569" s="681">
        <v>37.450000000000003</v>
      </c>
    </row>
    <row r="4570" spans="2:6" ht="15.75" hidden="1" customHeight="1" x14ac:dyDescent="0.25">
      <c r="B4570" s="13" t="s">
        <v>556</v>
      </c>
      <c r="C4570" s="13" t="s">
        <v>19930</v>
      </c>
      <c r="D4570" s="12" t="s">
        <v>11571</v>
      </c>
      <c r="E4570" s="13" t="s">
        <v>517</v>
      </c>
      <c r="F4570" s="681">
        <v>11.32</v>
      </c>
    </row>
    <row r="4571" spans="2:6" ht="15.75" hidden="1" customHeight="1" x14ac:dyDescent="0.25">
      <c r="B4571" s="13" t="s">
        <v>14150</v>
      </c>
      <c r="C4571" s="13" t="s">
        <v>19931</v>
      </c>
      <c r="D4571" s="12" t="s">
        <v>8965</v>
      </c>
      <c r="E4571" s="13" t="s">
        <v>580</v>
      </c>
      <c r="F4571" s="681">
        <v>1559.77</v>
      </c>
    </row>
    <row r="4572" spans="2:6" ht="15.75" hidden="1" customHeight="1" x14ac:dyDescent="0.25">
      <c r="B4572" s="13" t="s">
        <v>14150</v>
      </c>
      <c r="C4572" s="13" t="s">
        <v>19932</v>
      </c>
      <c r="D4572" s="12" t="s">
        <v>8964</v>
      </c>
      <c r="E4572" s="13" t="s">
        <v>580</v>
      </c>
      <c r="F4572" s="681">
        <v>1581.03</v>
      </c>
    </row>
    <row r="4573" spans="2:6" ht="15.75" hidden="1" customHeight="1" x14ac:dyDescent="0.25">
      <c r="B4573" s="13" t="s">
        <v>556</v>
      </c>
      <c r="C4573" s="13" t="s">
        <v>19933</v>
      </c>
      <c r="D4573" s="12" t="s">
        <v>8604</v>
      </c>
      <c r="E4573" s="13" t="s">
        <v>517</v>
      </c>
      <c r="F4573" s="681">
        <v>14.39</v>
      </c>
    </row>
    <row r="4574" spans="2:6" ht="15.75" hidden="1" customHeight="1" x14ac:dyDescent="0.25">
      <c r="B4574" s="13" t="s">
        <v>14150</v>
      </c>
      <c r="C4574" s="13" t="s">
        <v>19934</v>
      </c>
      <c r="D4574" s="12" t="s">
        <v>8971</v>
      </c>
      <c r="E4574" s="13" t="s">
        <v>580</v>
      </c>
      <c r="F4574" s="681">
        <v>1672.07</v>
      </c>
    </row>
    <row r="4575" spans="2:6" ht="15.75" hidden="1" customHeight="1" x14ac:dyDescent="0.25">
      <c r="B4575" s="13" t="s">
        <v>556</v>
      </c>
      <c r="C4575" s="13" t="s">
        <v>19935</v>
      </c>
      <c r="D4575" s="12" t="s">
        <v>10184</v>
      </c>
      <c r="E4575" s="13" t="s">
        <v>517</v>
      </c>
      <c r="F4575" s="681">
        <v>26.86</v>
      </c>
    </row>
    <row r="4576" spans="2:6" ht="15.75" hidden="1" customHeight="1" x14ac:dyDescent="0.25">
      <c r="B4576" s="13" t="s">
        <v>556</v>
      </c>
      <c r="C4576" s="13" t="s">
        <v>19936</v>
      </c>
      <c r="D4576" s="12" t="s">
        <v>11588</v>
      </c>
      <c r="E4576" s="13" t="s">
        <v>823</v>
      </c>
      <c r="F4576" s="681">
        <v>2.17</v>
      </c>
    </row>
    <row r="4577" spans="2:6" ht="15.75" hidden="1" customHeight="1" x14ac:dyDescent="0.25">
      <c r="B4577" s="13" t="s">
        <v>556</v>
      </c>
      <c r="C4577" s="13" t="s">
        <v>19937</v>
      </c>
      <c r="D4577" s="12" t="s">
        <v>11568</v>
      </c>
      <c r="E4577" s="13" t="s">
        <v>517</v>
      </c>
      <c r="F4577" s="681">
        <v>35.42</v>
      </c>
    </row>
    <row r="4578" spans="2:6" ht="15.75" hidden="1" customHeight="1" x14ac:dyDescent="0.25">
      <c r="B4578" s="13" t="s">
        <v>556</v>
      </c>
      <c r="C4578" s="13" t="s">
        <v>19938</v>
      </c>
      <c r="D4578" s="12" t="s">
        <v>11569</v>
      </c>
      <c r="E4578" s="13" t="s">
        <v>517</v>
      </c>
      <c r="F4578" s="681">
        <v>20.94</v>
      </c>
    </row>
    <row r="4579" spans="2:6" ht="15.75" hidden="1" customHeight="1" x14ac:dyDescent="0.25">
      <c r="B4579" s="13" t="s">
        <v>14150</v>
      </c>
      <c r="C4579" s="13" t="s">
        <v>19939</v>
      </c>
      <c r="D4579" s="12" t="s">
        <v>8966</v>
      </c>
      <c r="E4579" s="13" t="s">
        <v>580</v>
      </c>
      <c r="F4579" s="681">
        <v>2774.75</v>
      </c>
    </row>
    <row r="4580" spans="2:6" ht="15.75" hidden="1" customHeight="1" x14ac:dyDescent="0.25">
      <c r="B4580" s="13" t="s">
        <v>556</v>
      </c>
      <c r="C4580" s="13" t="s">
        <v>19940</v>
      </c>
      <c r="D4580" s="12" t="s">
        <v>11589</v>
      </c>
      <c r="E4580" s="13" t="s">
        <v>517</v>
      </c>
      <c r="F4580" s="681">
        <v>45.06</v>
      </c>
    </row>
    <row r="4581" spans="2:6" ht="15.75" hidden="1" customHeight="1" x14ac:dyDescent="0.25">
      <c r="B4581" s="13" t="s">
        <v>556</v>
      </c>
      <c r="C4581" s="13" t="s">
        <v>19941</v>
      </c>
      <c r="D4581" s="12" t="s">
        <v>11202</v>
      </c>
      <c r="E4581" s="13" t="s">
        <v>517</v>
      </c>
      <c r="F4581" s="681">
        <v>34.590000000000003</v>
      </c>
    </row>
    <row r="4582" spans="2:6" ht="15.75" hidden="1" customHeight="1" x14ac:dyDescent="0.25">
      <c r="B4582" s="13" t="s">
        <v>556</v>
      </c>
      <c r="C4582" s="13" t="s">
        <v>19942</v>
      </c>
      <c r="D4582" s="12" t="s">
        <v>11585</v>
      </c>
      <c r="E4582" s="13" t="s">
        <v>517</v>
      </c>
      <c r="F4582" s="681">
        <v>31.22</v>
      </c>
    </row>
    <row r="4583" spans="2:6" ht="15.75" hidden="1" customHeight="1" x14ac:dyDescent="0.25">
      <c r="B4583" s="13" t="s">
        <v>14150</v>
      </c>
      <c r="C4583" s="13" t="s">
        <v>19943</v>
      </c>
      <c r="D4583" s="12" t="s">
        <v>8968</v>
      </c>
      <c r="E4583" s="13" t="s">
        <v>580</v>
      </c>
      <c r="F4583" s="681">
        <v>2333.0700000000002</v>
      </c>
    </row>
    <row r="4584" spans="2:6" ht="15.75" hidden="1" customHeight="1" x14ac:dyDescent="0.25">
      <c r="B4584" s="13" t="s">
        <v>14150</v>
      </c>
      <c r="C4584" s="13" t="s">
        <v>19944</v>
      </c>
      <c r="D4584" s="12" t="s">
        <v>8967</v>
      </c>
      <c r="E4584" s="13" t="s">
        <v>580</v>
      </c>
      <c r="F4584" s="681">
        <v>8746.74</v>
      </c>
    </row>
    <row r="4585" spans="2:6" ht="15.75" hidden="1" customHeight="1" x14ac:dyDescent="0.25">
      <c r="B4585" s="13" t="s">
        <v>14150</v>
      </c>
      <c r="C4585" s="13" t="s">
        <v>19945</v>
      </c>
      <c r="D4585" s="12" t="s">
        <v>8969</v>
      </c>
      <c r="E4585" s="13" t="s">
        <v>580</v>
      </c>
      <c r="F4585" s="681">
        <v>4055.8</v>
      </c>
    </row>
    <row r="4586" spans="2:6" ht="15.75" hidden="1" customHeight="1" x14ac:dyDescent="0.25">
      <c r="B4586" s="13" t="s">
        <v>556</v>
      </c>
      <c r="C4586" s="13" t="s">
        <v>19946</v>
      </c>
      <c r="D4586" s="12" t="s">
        <v>8588</v>
      </c>
      <c r="E4586" s="13" t="s">
        <v>580</v>
      </c>
      <c r="F4586" s="681">
        <v>293.33999999999997</v>
      </c>
    </row>
    <row r="4587" spans="2:6" ht="15.75" hidden="1" customHeight="1" x14ac:dyDescent="0.25">
      <c r="B4587" s="13" t="s">
        <v>14150</v>
      </c>
      <c r="C4587" s="13" t="s">
        <v>19947</v>
      </c>
      <c r="D4587" s="12" t="s">
        <v>8970</v>
      </c>
      <c r="E4587" s="13" t="s">
        <v>580</v>
      </c>
      <c r="F4587" s="681">
        <v>8228.3799999999992</v>
      </c>
    </row>
    <row r="4588" spans="2:6" ht="15.75" hidden="1" customHeight="1" x14ac:dyDescent="0.25">
      <c r="B4588" s="13" t="s">
        <v>14180</v>
      </c>
      <c r="C4588" s="13" t="s">
        <v>19948</v>
      </c>
      <c r="D4588" s="12" t="s">
        <v>10433</v>
      </c>
      <c r="E4588" s="13" t="s">
        <v>2193</v>
      </c>
      <c r="F4588" s="681">
        <v>2.0299999999999998</v>
      </c>
    </row>
    <row r="4589" spans="2:6" ht="15.75" hidden="1" customHeight="1" x14ac:dyDescent="0.25">
      <c r="B4589" s="13" t="s">
        <v>14150</v>
      </c>
      <c r="C4589" s="13" t="s">
        <v>19949</v>
      </c>
      <c r="D4589" s="12" t="s">
        <v>10403</v>
      </c>
      <c r="E4589" s="13" t="s">
        <v>580</v>
      </c>
      <c r="F4589" s="681">
        <v>2961</v>
      </c>
    </row>
    <row r="4590" spans="2:6" ht="15.75" hidden="1" customHeight="1" x14ac:dyDescent="0.25">
      <c r="B4590" s="13" t="s">
        <v>14150</v>
      </c>
      <c r="C4590" s="13" t="s">
        <v>19950</v>
      </c>
      <c r="D4590" s="12" t="s">
        <v>8979</v>
      </c>
      <c r="E4590" s="13" t="s">
        <v>580</v>
      </c>
      <c r="F4590" s="681">
        <v>14342.75</v>
      </c>
    </row>
    <row r="4591" spans="2:6" ht="15.75" hidden="1" customHeight="1" x14ac:dyDescent="0.25">
      <c r="B4591" s="13" t="s">
        <v>556</v>
      </c>
      <c r="C4591" s="13" t="s">
        <v>19951</v>
      </c>
      <c r="D4591" s="12" t="s">
        <v>8586</v>
      </c>
      <c r="E4591" s="13" t="s">
        <v>580</v>
      </c>
      <c r="F4591" s="681">
        <v>256.64</v>
      </c>
    </row>
    <row r="4592" spans="2:6" ht="15.75" hidden="1" customHeight="1" x14ac:dyDescent="0.25">
      <c r="B4592" s="13" t="s">
        <v>14150</v>
      </c>
      <c r="C4592" s="13" t="s">
        <v>19952</v>
      </c>
      <c r="D4592" s="12" t="s">
        <v>8977</v>
      </c>
      <c r="E4592" s="13" t="s">
        <v>580</v>
      </c>
      <c r="F4592" s="681">
        <v>9503.56</v>
      </c>
    </row>
    <row r="4593" spans="2:6" ht="15.75" hidden="1" customHeight="1" x14ac:dyDescent="0.25">
      <c r="B4593" s="13" t="s">
        <v>14150</v>
      </c>
      <c r="C4593" s="13" t="s">
        <v>19953</v>
      </c>
      <c r="D4593" s="12" t="s">
        <v>8985</v>
      </c>
      <c r="E4593" s="13" t="s">
        <v>580</v>
      </c>
      <c r="F4593" s="681">
        <v>6083.43</v>
      </c>
    </row>
    <row r="4594" spans="2:6" ht="15.75" hidden="1" customHeight="1" x14ac:dyDescent="0.25">
      <c r="B4594" s="13" t="s">
        <v>556</v>
      </c>
      <c r="C4594" s="13" t="s">
        <v>19954</v>
      </c>
      <c r="D4594" s="12" t="s">
        <v>11599</v>
      </c>
      <c r="E4594" s="13" t="s">
        <v>580</v>
      </c>
      <c r="F4594" s="681">
        <v>43.57</v>
      </c>
    </row>
    <row r="4595" spans="2:6" ht="15.75" hidden="1" customHeight="1" x14ac:dyDescent="0.25">
      <c r="B4595" s="13" t="s">
        <v>556</v>
      </c>
      <c r="C4595" s="13" t="s">
        <v>19955</v>
      </c>
      <c r="D4595" s="12" t="s">
        <v>11598</v>
      </c>
      <c r="E4595" s="13" t="s">
        <v>580</v>
      </c>
      <c r="F4595" s="681">
        <v>46.23</v>
      </c>
    </row>
    <row r="4596" spans="2:6" ht="15.75" hidden="1" customHeight="1" x14ac:dyDescent="0.25">
      <c r="B4596" s="13" t="s">
        <v>556</v>
      </c>
      <c r="C4596" s="13" t="s">
        <v>19956</v>
      </c>
      <c r="D4596" s="12" t="s">
        <v>11594</v>
      </c>
      <c r="E4596" s="13" t="s">
        <v>580</v>
      </c>
      <c r="F4596" s="681">
        <v>9.39</v>
      </c>
    </row>
    <row r="4597" spans="2:6" ht="15.75" hidden="1" customHeight="1" x14ac:dyDescent="0.25">
      <c r="B4597" s="13" t="s">
        <v>14150</v>
      </c>
      <c r="C4597" s="13" t="s">
        <v>19957</v>
      </c>
      <c r="D4597" s="12" t="s">
        <v>8986</v>
      </c>
      <c r="E4597" s="13" t="s">
        <v>580</v>
      </c>
      <c r="F4597" s="681">
        <v>9656.25</v>
      </c>
    </row>
    <row r="4598" spans="2:6" ht="15.75" hidden="1" customHeight="1" x14ac:dyDescent="0.25">
      <c r="B4598" s="13" t="s">
        <v>556</v>
      </c>
      <c r="C4598" s="13" t="s">
        <v>19958</v>
      </c>
      <c r="D4598" s="12" t="s">
        <v>11322</v>
      </c>
      <c r="E4598" s="13" t="s">
        <v>580</v>
      </c>
      <c r="F4598" s="681">
        <v>4.3499999999999996</v>
      </c>
    </row>
    <row r="4599" spans="2:6" ht="15.75" hidden="1" customHeight="1" x14ac:dyDescent="0.25">
      <c r="B4599" s="13" t="s">
        <v>14150</v>
      </c>
      <c r="C4599" s="13" t="s">
        <v>19959</v>
      </c>
      <c r="D4599" s="12" t="s">
        <v>8978</v>
      </c>
      <c r="E4599" s="13" t="s">
        <v>580</v>
      </c>
      <c r="F4599" s="681">
        <v>38998.019999999997</v>
      </c>
    </row>
    <row r="4600" spans="2:6" ht="15.75" hidden="1" customHeight="1" x14ac:dyDescent="0.25">
      <c r="B4600" s="13" t="s">
        <v>556</v>
      </c>
      <c r="C4600" s="13" t="s">
        <v>19960</v>
      </c>
      <c r="D4600" s="12" t="s">
        <v>10998</v>
      </c>
      <c r="E4600" s="13" t="s">
        <v>580</v>
      </c>
      <c r="F4600" s="681">
        <v>24.17</v>
      </c>
    </row>
    <row r="4601" spans="2:6" ht="15.75" hidden="1" customHeight="1" x14ac:dyDescent="0.25">
      <c r="B4601" s="13" t="s">
        <v>14150</v>
      </c>
      <c r="C4601" s="13" t="s">
        <v>19961</v>
      </c>
      <c r="D4601" s="12" t="s">
        <v>8980</v>
      </c>
      <c r="E4601" s="13" t="s">
        <v>580</v>
      </c>
      <c r="F4601" s="681">
        <v>42532.56</v>
      </c>
    </row>
    <row r="4602" spans="2:6" ht="15.75" hidden="1" customHeight="1" x14ac:dyDescent="0.25">
      <c r="B4602" s="13" t="s">
        <v>556</v>
      </c>
      <c r="C4602" s="13" t="s">
        <v>19962</v>
      </c>
      <c r="D4602" s="12" t="s">
        <v>8997</v>
      </c>
      <c r="E4602" s="13" t="s">
        <v>580</v>
      </c>
      <c r="F4602" s="681">
        <v>0.36</v>
      </c>
    </row>
    <row r="4603" spans="2:6" ht="15.75" hidden="1" customHeight="1" x14ac:dyDescent="0.25">
      <c r="B4603" s="13" t="s">
        <v>556</v>
      </c>
      <c r="C4603" s="13" t="s">
        <v>19963</v>
      </c>
      <c r="D4603" s="12" t="s">
        <v>10168</v>
      </c>
      <c r="E4603" s="13" t="s">
        <v>580</v>
      </c>
      <c r="F4603" s="681">
        <v>56.58</v>
      </c>
    </row>
    <row r="4604" spans="2:6" ht="15.75" hidden="1" customHeight="1" x14ac:dyDescent="0.25">
      <c r="B4604" s="13" t="s">
        <v>14150</v>
      </c>
      <c r="C4604" s="13" t="s">
        <v>19964</v>
      </c>
      <c r="D4604" s="12" t="s">
        <v>8987</v>
      </c>
      <c r="E4604" s="13" t="s">
        <v>580</v>
      </c>
      <c r="F4604" s="681">
        <v>19312.5</v>
      </c>
    </row>
    <row r="4605" spans="2:6" ht="15.75" hidden="1" customHeight="1" x14ac:dyDescent="0.25">
      <c r="B4605" s="13" t="s">
        <v>556</v>
      </c>
      <c r="C4605" s="13" t="s">
        <v>19965</v>
      </c>
      <c r="D4605" s="12" t="s">
        <v>19966</v>
      </c>
      <c r="E4605" s="13" t="s">
        <v>580</v>
      </c>
      <c r="F4605" s="681">
        <v>8.36</v>
      </c>
    </row>
    <row r="4606" spans="2:6" ht="15.75" hidden="1" customHeight="1" x14ac:dyDescent="0.25">
      <c r="B4606" s="13" t="s">
        <v>556</v>
      </c>
      <c r="C4606" s="13" t="s">
        <v>19967</v>
      </c>
      <c r="D4606" s="12" t="s">
        <v>11303</v>
      </c>
      <c r="E4606" s="13" t="s">
        <v>580</v>
      </c>
      <c r="F4606" s="681">
        <v>141.30000000000001</v>
      </c>
    </row>
    <row r="4607" spans="2:6" ht="15.75" hidden="1" customHeight="1" x14ac:dyDescent="0.25">
      <c r="B4607" s="13" t="s">
        <v>556</v>
      </c>
      <c r="C4607" s="13" t="s">
        <v>19968</v>
      </c>
      <c r="D4607" s="12" t="s">
        <v>11236</v>
      </c>
      <c r="E4607" s="13" t="s">
        <v>580</v>
      </c>
      <c r="F4607" s="681">
        <v>3.44</v>
      </c>
    </row>
    <row r="4608" spans="2:6" ht="15.75" hidden="1" customHeight="1" x14ac:dyDescent="0.25">
      <c r="B4608" s="13" t="s">
        <v>556</v>
      </c>
      <c r="C4608" s="13" t="s">
        <v>19969</v>
      </c>
      <c r="D4608" s="12" t="s">
        <v>9004</v>
      </c>
      <c r="E4608" s="13" t="s">
        <v>580</v>
      </c>
      <c r="F4608" s="681">
        <v>0.25</v>
      </c>
    </row>
    <row r="4609" spans="2:6" ht="15.75" hidden="1" customHeight="1" x14ac:dyDescent="0.25">
      <c r="B4609" s="13" t="s">
        <v>556</v>
      </c>
      <c r="C4609" s="13" t="s">
        <v>19970</v>
      </c>
      <c r="D4609" s="12" t="s">
        <v>8998</v>
      </c>
      <c r="E4609" s="13" t="s">
        <v>580</v>
      </c>
      <c r="F4609" s="681">
        <v>0.56000000000000005</v>
      </c>
    </row>
    <row r="4610" spans="2:6" ht="15.75" hidden="1" customHeight="1" x14ac:dyDescent="0.25">
      <c r="B4610" s="13" t="s">
        <v>556</v>
      </c>
      <c r="C4610" s="13" t="s">
        <v>19971</v>
      </c>
      <c r="D4610" s="12" t="s">
        <v>8791</v>
      </c>
      <c r="E4610" s="13" t="s">
        <v>580</v>
      </c>
      <c r="F4610" s="681">
        <v>41.89</v>
      </c>
    </row>
    <row r="4611" spans="2:6" ht="15.75" hidden="1" customHeight="1" x14ac:dyDescent="0.25">
      <c r="B4611" s="13" t="s">
        <v>14150</v>
      </c>
      <c r="C4611" s="13" t="s">
        <v>19972</v>
      </c>
      <c r="D4611" s="12" t="s">
        <v>8975</v>
      </c>
      <c r="E4611" s="13" t="s">
        <v>580</v>
      </c>
      <c r="F4611" s="681">
        <v>5905.23</v>
      </c>
    </row>
    <row r="4612" spans="2:6" ht="15.75" hidden="1" customHeight="1" x14ac:dyDescent="0.25">
      <c r="B4612" s="13" t="s">
        <v>14153</v>
      </c>
      <c r="C4612" s="13" t="s">
        <v>19973</v>
      </c>
      <c r="D4612" s="12" t="s">
        <v>11607</v>
      </c>
      <c r="E4612" s="13" t="s">
        <v>2193</v>
      </c>
      <c r="F4612" s="681">
        <v>75.97</v>
      </c>
    </row>
    <row r="4613" spans="2:6" ht="15.75" hidden="1" customHeight="1" x14ac:dyDescent="0.25">
      <c r="B4613" s="13" t="s">
        <v>14153</v>
      </c>
      <c r="C4613" s="13" t="s">
        <v>19974</v>
      </c>
      <c r="D4613" s="12" t="s">
        <v>10749</v>
      </c>
      <c r="E4613" s="13" t="s">
        <v>2193</v>
      </c>
      <c r="F4613" s="681">
        <v>22.81</v>
      </c>
    </row>
    <row r="4614" spans="2:6" ht="15.75" hidden="1" customHeight="1" x14ac:dyDescent="0.25">
      <c r="B4614" s="13" t="s">
        <v>14150</v>
      </c>
      <c r="C4614" s="13" t="s">
        <v>19975</v>
      </c>
      <c r="D4614" s="12" t="s">
        <v>8984</v>
      </c>
      <c r="E4614" s="13" t="s">
        <v>580</v>
      </c>
      <c r="F4614" s="681">
        <v>38625</v>
      </c>
    </row>
    <row r="4615" spans="2:6" ht="15.75" hidden="1" customHeight="1" x14ac:dyDescent="0.25">
      <c r="B4615" s="13" t="s">
        <v>556</v>
      </c>
      <c r="C4615" s="13" t="s">
        <v>19976</v>
      </c>
      <c r="D4615" s="12" t="s">
        <v>11623</v>
      </c>
      <c r="E4615" s="13" t="s">
        <v>580</v>
      </c>
      <c r="F4615" s="681">
        <v>38.22</v>
      </c>
    </row>
    <row r="4616" spans="2:6" ht="15.75" hidden="1" customHeight="1" x14ac:dyDescent="0.25">
      <c r="B4616" s="13" t="s">
        <v>556</v>
      </c>
      <c r="C4616" s="13" t="s">
        <v>19977</v>
      </c>
      <c r="D4616" s="12" t="s">
        <v>11624</v>
      </c>
      <c r="E4616" s="13" t="s">
        <v>580</v>
      </c>
      <c r="F4616" s="681">
        <v>32.43</v>
      </c>
    </row>
    <row r="4617" spans="2:6" ht="15.75" hidden="1" customHeight="1" x14ac:dyDescent="0.25">
      <c r="B4617" s="13" t="s">
        <v>556</v>
      </c>
      <c r="C4617" s="13" t="s">
        <v>19978</v>
      </c>
      <c r="D4617" s="12" t="s">
        <v>11633</v>
      </c>
      <c r="E4617" s="13" t="s">
        <v>580</v>
      </c>
      <c r="F4617" s="681">
        <v>41.66</v>
      </c>
    </row>
    <row r="4618" spans="2:6" ht="15.75" hidden="1" customHeight="1" x14ac:dyDescent="0.25">
      <c r="B4618" s="13" t="s">
        <v>556</v>
      </c>
      <c r="C4618" s="13" t="s">
        <v>19979</v>
      </c>
      <c r="D4618" s="12" t="s">
        <v>11610</v>
      </c>
      <c r="E4618" s="13" t="s">
        <v>580</v>
      </c>
      <c r="F4618" s="681">
        <v>110.67</v>
      </c>
    </row>
    <row r="4619" spans="2:6" ht="15.75" hidden="1" customHeight="1" x14ac:dyDescent="0.25">
      <c r="B4619" s="13" t="s">
        <v>556</v>
      </c>
      <c r="C4619" s="13" t="s">
        <v>19980</v>
      </c>
      <c r="D4619" s="12" t="s">
        <v>9800</v>
      </c>
      <c r="E4619" s="13" t="s">
        <v>580</v>
      </c>
      <c r="F4619" s="681">
        <v>11.73</v>
      </c>
    </row>
    <row r="4620" spans="2:6" ht="15.75" hidden="1" customHeight="1" x14ac:dyDescent="0.25">
      <c r="B4620" s="13" t="s">
        <v>14150</v>
      </c>
      <c r="C4620" s="13" t="s">
        <v>19981</v>
      </c>
      <c r="D4620" s="12" t="s">
        <v>8976</v>
      </c>
      <c r="E4620" s="13" t="s">
        <v>580</v>
      </c>
      <c r="F4620" s="681">
        <v>10009.86</v>
      </c>
    </row>
    <row r="4621" spans="2:6" ht="15.75" hidden="1" customHeight="1" x14ac:dyDescent="0.25">
      <c r="B4621" s="13" t="s">
        <v>556</v>
      </c>
      <c r="C4621" s="13" t="s">
        <v>19982</v>
      </c>
      <c r="D4621" s="12" t="s">
        <v>19983</v>
      </c>
      <c r="E4621" s="13" t="s">
        <v>580</v>
      </c>
      <c r="F4621" s="681">
        <v>10685.76</v>
      </c>
    </row>
    <row r="4622" spans="2:6" ht="15.75" hidden="1" customHeight="1" x14ac:dyDescent="0.25">
      <c r="B4622" s="13" t="s">
        <v>556</v>
      </c>
      <c r="C4622" s="13" t="s">
        <v>19984</v>
      </c>
      <c r="D4622" s="12" t="s">
        <v>19985</v>
      </c>
      <c r="E4622" s="13" t="s">
        <v>580</v>
      </c>
      <c r="F4622" s="681">
        <v>15435</v>
      </c>
    </row>
    <row r="4623" spans="2:6" ht="15.75" hidden="1" customHeight="1" x14ac:dyDescent="0.25">
      <c r="B4623" s="13" t="s">
        <v>556</v>
      </c>
      <c r="C4623" s="13" t="s">
        <v>19986</v>
      </c>
      <c r="D4623" s="12" t="s">
        <v>19987</v>
      </c>
      <c r="E4623" s="13" t="s">
        <v>580</v>
      </c>
      <c r="F4623" s="681">
        <v>88120.72</v>
      </c>
    </row>
    <row r="4624" spans="2:6" ht="15.75" hidden="1" customHeight="1" x14ac:dyDescent="0.25">
      <c r="B4624" s="13" t="s">
        <v>556</v>
      </c>
      <c r="C4624" s="13" t="s">
        <v>19988</v>
      </c>
      <c r="D4624" s="12" t="s">
        <v>19989</v>
      </c>
      <c r="E4624" s="13" t="s">
        <v>580</v>
      </c>
      <c r="F4624" s="681">
        <v>123380.01</v>
      </c>
    </row>
    <row r="4625" spans="2:6" ht="15.75" hidden="1" customHeight="1" x14ac:dyDescent="0.25">
      <c r="B4625" s="13" t="s">
        <v>556</v>
      </c>
      <c r="C4625" s="13" t="s">
        <v>12826</v>
      </c>
      <c r="D4625" s="12" t="s">
        <v>19990</v>
      </c>
      <c r="E4625" s="13" t="s">
        <v>580</v>
      </c>
      <c r="F4625" s="681">
        <v>24054.22</v>
      </c>
    </row>
    <row r="4626" spans="2:6" ht="15.75" hidden="1" customHeight="1" x14ac:dyDescent="0.25">
      <c r="B4626" s="13" t="s">
        <v>556</v>
      </c>
      <c r="C4626" s="13" t="s">
        <v>19991</v>
      </c>
      <c r="D4626" s="12" t="s">
        <v>19992</v>
      </c>
      <c r="E4626" s="13" t="s">
        <v>580</v>
      </c>
      <c r="F4626" s="681">
        <v>39368.620000000003</v>
      </c>
    </row>
    <row r="4627" spans="2:6" ht="15.75" hidden="1" customHeight="1" x14ac:dyDescent="0.25">
      <c r="B4627" s="13" t="s">
        <v>556</v>
      </c>
      <c r="C4627" s="13" t="s">
        <v>19993</v>
      </c>
      <c r="D4627" s="12" t="s">
        <v>19994</v>
      </c>
      <c r="E4627" s="13" t="s">
        <v>580</v>
      </c>
      <c r="F4627" s="681">
        <v>64243.34</v>
      </c>
    </row>
    <row r="4628" spans="2:6" ht="15.75" hidden="1" customHeight="1" x14ac:dyDescent="0.25">
      <c r="B4628" s="13" t="s">
        <v>556</v>
      </c>
      <c r="C4628" s="13" t="s">
        <v>19995</v>
      </c>
      <c r="D4628" s="12" t="s">
        <v>19996</v>
      </c>
      <c r="E4628" s="13" t="s">
        <v>580</v>
      </c>
      <c r="F4628" s="681">
        <v>11935.56</v>
      </c>
    </row>
    <row r="4629" spans="2:6" ht="15.75" hidden="1" customHeight="1" x14ac:dyDescent="0.25">
      <c r="B4629" s="13" t="s">
        <v>556</v>
      </c>
      <c r="C4629" s="13" t="s">
        <v>19997</v>
      </c>
      <c r="D4629" s="12" t="s">
        <v>19998</v>
      </c>
      <c r="E4629" s="13" t="s">
        <v>580</v>
      </c>
      <c r="F4629" s="681">
        <v>156009.73000000001</v>
      </c>
    </row>
    <row r="4630" spans="2:6" ht="15.75" hidden="1" customHeight="1" x14ac:dyDescent="0.25">
      <c r="B4630" s="13" t="s">
        <v>556</v>
      </c>
      <c r="C4630" s="13" t="s">
        <v>19999</v>
      </c>
      <c r="D4630" s="12" t="s">
        <v>20000</v>
      </c>
      <c r="E4630" s="13" t="s">
        <v>580</v>
      </c>
      <c r="F4630" s="681">
        <v>19071.91</v>
      </c>
    </row>
    <row r="4631" spans="2:6" ht="15.75" hidden="1" customHeight="1" x14ac:dyDescent="0.25">
      <c r="B4631" s="13" t="s">
        <v>556</v>
      </c>
      <c r="C4631" s="13" t="s">
        <v>20001</v>
      </c>
      <c r="D4631" s="12" t="s">
        <v>20002</v>
      </c>
      <c r="E4631" s="13" t="s">
        <v>580</v>
      </c>
      <c r="F4631" s="681">
        <v>33744.53</v>
      </c>
    </row>
    <row r="4632" spans="2:6" ht="15.75" hidden="1" customHeight="1" x14ac:dyDescent="0.25">
      <c r="B4632" s="13" t="s">
        <v>14150</v>
      </c>
      <c r="C4632" s="13" t="s">
        <v>20003</v>
      </c>
      <c r="D4632" s="12" t="s">
        <v>11647</v>
      </c>
      <c r="E4632" s="13" t="s">
        <v>580</v>
      </c>
      <c r="F4632" s="681">
        <v>1079918</v>
      </c>
    </row>
    <row r="4633" spans="2:6" ht="15.75" hidden="1" customHeight="1" x14ac:dyDescent="0.25">
      <c r="B4633" s="13" t="s">
        <v>14150</v>
      </c>
      <c r="C4633" s="13" t="s">
        <v>20004</v>
      </c>
      <c r="D4633" s="12" t="s">
        <v>11650</v>
      </c>
      <c r="E4633" s="13" t="s">
        <v>580</v>
      </c>
      <c r="F4633" s="681">
        <v>4585785.54</v>
      </c>
    </row>
    <row r="4634" spans="2:6" ht="15.75" hidden="1" customHeight="1" x14ac:dyDescent="0.25">
      <c r="B4634" s="13" t="s">
        <v>14150</v>
      </c>
      <c r="C4634" s="13" t="s">
        <v>20005</v>
      </c>
      <c r="D4634" s="12" t="s">
        <v>11648</v>
      </c>
      <c r="E4634" s="13" t="s">
        <v>580</v>
      </c>
      <c r="F4634" s="681">
        <v>1400000</v>
      </c>
    </row>
    <row r="4635" spans="2:6" ht="15.75" hidden="1" customHeight="1" x14ac:dyDescent="0.25">
      <c r="B4635" s="13" t="s">
        <v>14150</v>
      </c>
      <c r="C4635" s="13" t="s">
        <v>20006</v>
      </c>
      <c r="D4635" s="12" t="s">
        <v>11649</v>
      </c>
      <c r="E4635" s="13" t="s">
        <v>580</v>
      </c>
      <c r="F4635" s="681">
        <v>1391437.18</v>
      </c>
    </row>
    <row r="4636" spans="2:6" ht="15.75" hidden="1" customHeight="1" x14ac:dyDescent="0.25">
      <c r="B4636" s="13" t="s">
        <v>556</v>
      </c>
      <c r="C4636" s="13" t="s">
        <v>20007</v>
      </c>
      <c r="D4636" s="12" t="s">
        <v>20008</v>
      </c>
      <c r="E4636" s="13" t="s">
        <v>580</v>
      </c>
      <c r="F4636" s="681">
        <v>11.17</v>
      </c>
    </row>
    <row r="4637" spans="2:6" ht="15.75" hidden="1" customHeight="1" x14ac:dyDescent="0.25">
      <c r="B4637" s="13" t="s">
        <v>14150</v>
      </c>
      <c r="C4637" s="13" t="s">
        <v>20009</v>
      </c>
      <c r="D4637" s="12" t="s">
        <v>20010</v>
      </c>
      <c r="E4637" s="13" t="s">
        <v>580</v>
      </c>
      <c r="F4637" s="681">
        <v>265000</v>
      </c>
    </row>
    <row r="4638" spans="2:6" ht="15.75" hidden="1" customHeight="1" x14ac:dyDescent="0.25">
      <c r="B4638" s="13" t="s">
        <v>556</v>
      </c>
      <c r="C4638" s="13" t="s">
        <v>20011</v>
      </c>
      <c r="D4638" s="12" t="s">
        <v>20012</v>
      </c>
      <c r="E4638" s="13" t="s">
        <v>580</v>
      </c>
      <c r="F4638" s="681">
        <v>11.17</v>
      </c>
    </row>
    <row r="4639" spans="2:6" ht="15.75" hidden="1" customHeight="1" x14ac:dyDescent="0.25">
      <c r="B4639" s="13" t="s">
        <v>556</v>
      </c>
      <c r="C4639" s="13" t="s">
        <v>20013</v>
      </c>
      <c r="D4639" s="12" t="s">
        <v>20014</v>
      </c>
      <c r="E4639" s="13" t="s">
        <v>580</v>
      </c>
      <c r="F4639" s="681">
        <v>23.11</v>
      </c>
    </row>
    <row r="4640" spans="2:6" ht="15.75" hidden="1" customHeight="1" x14ac:dyDescent="0.25">
      <c r="B4640" s="13" t="s">
        <v>556</v>
      </c>
      <c r="C4640" s="13" t="s">
        <v>20015</v>
      </c>
      <c r="D4640" s="12" t="s">
        <v>20016</v>
      </c>
      <c r="E4640" s="13" t="s">
        <v>585</v>
      </c>
      <c r="F4640" s="681">
        <v>3759.38</v>
      </c>
    </row>
    <row r="4641" spans="2:6" ht="15.75" hidden="1" customHeight="1" x14ac:dyDescent="0.25">
      <c r="B4641" s="13" t="s">
        <v>556</v>
      </c>
      <c r="C4641" s="13" t="s">
        <v>20017</v>
      </c>
      <c r="D4641" s="12" t="s">
        <v>20018</v>
      </c>
      <c r="E4641" s="13" t="s">
        <v>585</v>
      </c>
      <c r="F4641" s="681">
        <v>788.38</v>
      </c>
    </row>
    <row r="4642" spans="2:6" ht="15.75" hidden="1" customHeight="1" x14ac:dyDescent="0.25">
      <c r="B4642" s="13" t="s">
        <v>556</v>
      </c>
      <c r="C4642" s="13" t="s">
        <v>20019</v>
      </c>
      <c r="D4642" s="12" t="s">
        <v>20020</v>
      </c>
      <c r="E4642" s="13" t="s">
        <v>585</v>
      </c>
      <c r="F4642" s="681">
        <v>2949.08</v>
      </c>
    </row>
    <row r="4643" spans="2:6" ht="15.75" hidden="1" customHeight="1" x14ac:dyDescent="0.25">
      <c r="B4643" s="13" t="s">
        <v>556</v>
      </c>
      <c r="C4643" s="13" t="s">
        <v>20021</v>
      </c>
      <c r="D4643" s="12" t="s">
        <v>20022</v>
      </c>
      <c r="E4643" s="13" t="s">
        <v>580</v>
      </c>
      <c r="F4643" s="681">
        <v>23.11</v>
      </c>
    </row>
    <row r="4644" spans="2:6" ht="15.75" hidden="1" customHeight="1" x14ac:dyDescent="0.25">
      <c r="B4644" s="13" t="s">
        <v>556</v>
      </c>
      <c r="C4644" s="13" t="s">
        <v>20023</v>
      </c>
      <c r="D4644" s="12" t="s">
        <v>20024</v>
      </c>
      <c r="E4644" s="13" t="s">
        <v>585</v>
      </c>
      <c r="F4644" s="681">
        <v>523.61</v>
      </c>
    </row>
    <row r="4645" spans="2:6" ht="15.75" hidden="1" customHeight="1" x14ac:dyDescent="0.25">
      <c r="B4645" s="13" t="s">
        <v>556</v>
      </c>
      <c r="C4645" s="13" t="s">
        <v>20025</v>
      </c>
      <c r="D4645" s="12" t="s">
        <v>20026</v>
      </c>
      <c r="E4645" s="13" t="s">
        <v>585</v>
      </c>
      <c r="F4645" s="681">
        <v>3802.34</v>
      </c>
    </row>
    <row r="4646" spans="2:6" ht="15.75" hidden="1" customHeight="1" x14ac:dyDescent="0.25">
      <c r="B4646" s="13" t="s">
        <v>556</v>
      </c>
      <c r="C4646" s="13" t="s">
        <v>20027</v>
      </c>
      <c r="D4646" s="12" t="s">
        <v>20028</v>
      </c>
      <c r="E4646" s="13" t="s">
        <v>580</v>
      </c>
      <c r="F4646" s="681">
        <v>18.149999999999999</v>
      </c>
    </row>
    <row r="4647" spans="2:6" ht="15.75" hidden="1" customHeight="1" x14ac:dyDescent="0.25">
      <c r="B4647" s="13" t="s">
        <v>556</v>
      </c>
      <c r="C4647" s="13" t="s">
        <v>20029</v>
      </c>
      <c r="D4647" s="12" t="s">
        <v>20030</v>
      </c>
      <c r="E4647" s="13" t="s">
        <v>580</v>
      </c>
      <c r="F4647" s="681">
        <v>18.149999999999999</v>
      </c>
    </row>
    <row r="4648" spans="2:6" ht="15.75" hidden="1" customHeight="1" x14ac:dyDescent="0.25">
      <c r="B4648" s="13" t="s">
        <v>556</v>
      </c>
      <c r="C4648" s="13" t="s">
        <v>20031</v>
      </c>
      <c r="D4648" s="12" t="s">
        <v>20032</v>
      </c>
      <c r="E4648" s="13" t="s">
        <v>585</v>
      </c>
      <c r="F4648" s="681">
        <v>607.51</v>
      </c>
    </row>
    <row r="4649" spans="2:6" ht="15.75" hidden="1" customHeight="1" x14ac:dyDescent="0.25">
      <c r="B4649" s="13" t="s">
        <v>556</v>
      </c>
      <c r="C4649" s="13" t="s">
        <v>20033</v>
      </c>
      <c r="D4649" s="12" t="s">
        <v>20034</v>
      </c>
      <c r="E4649" s="13" t="s">
        <v>585</v>
      </c>
      <c r="F4649" s="681">
        <v>19.29</v>
      </c>
    </row>
    <row r="4650" spans="2:6" ht="15.75" hidden="1" customHeight="1" x14ac:dyDescent="0.25">
      <c r="B4650" s="13" t="s">
        <v>556</v>
      </c>
      <c r="C4650" s="13" t="s">
        <v>20035</v>
      </c>
      <c r="D4650" s="12" t="s">
        <v>20036</v>
      </c>
      <c r="E4650" s="13" t="s">
        <v>585</v>
      </c>
      <c r="F4650" s="681">
        <v>263.38</v>
      </c>
    </row>
    <row r="4651" spans="2:6" ht="15.75" hidden="1" customHeight="1" x14ac:dyDescent="0.25">
      <c r="B4651" s="13" t="s">
        <v>556</v>
      </c>
      <c r="C4651" s="13" t="s">
        <v>20037</v>
      </c>
      <c r="D4651" s="12" t="s">
        <v>20038</v>
      </c>
      <c r="E4651" s="13" t="s">
        <v>585</v>
      </c>
      <c r="F4651" s="681">
        <v>175.92</v>
      </c>
    </row>
    <row r="4652" spans="2:6" ht="15.75" hidden="1" customHeight="1" x14ac:dyDescent="0.25">
      <c r="B4652" s="13" t="s">
        <v>556</v>
      </c>
      <c r="C4652" s="13" t="s">
        <v>20039</v>
      </c>
      <c r="D4652" s="12" t="s">
        <v>20040</v>
      </c>
      <c r="E4652" s="13" t="s">
        <v>585</v>
      </c>
      <c r="F4652" s="681">
        <v>127.73</v>
      </c>
    </row>
    <row r="4653" spans="2:6" ht="15.75" hidden="1" customHeight="1" x14ac:dyDescent="0.25">
      <c r="B4653" s="13" t="s">
        <v>556</v>
      </c>
      <c r="C4653" s="13" t="s">
        <v>20041</v>
      </c>
      <c r="D4653" s="12" t="s">
        <v>20042</v>
      </c>
      <c r="E4653" s="13" t="s">
        <v>585</v>
      </c>
      <c r="F4653" s="681">
        <v>285.64</v>
      </c>
    </row>
    <row r="4654" spans="2:6" ht="15.75" hidden="1" customHeight="1" x14ac:dyDescent="0.25">
      <c r="B4654" s="13" t="s">
        <v>556</v>
      </c>
      <c r="C4654" s="13" t="s">
        <v>20043</v>
      </c>
      <c r="D4654" s="12" t="s">
        <v>20044</v>
      </c>
      <c r="E4654" s="13" t="s">
        <v>585</v>
      </c>
      <c r="F4654" s="681">
        <v>76.489999999999995</v>
      </c>
    </row>
    <row r="4655" spans="2:6" ht="15.75" hidden="1" customHeight="1" x14ac:dyDescent="0.25">
      <c r="B4655" s="13" t="s">
        <v>556</v>
      </c>
      <c r="C4655" s="13" t="s">
        <v>20045</v>
      </c>
      <c r="D4655" s="12" t="s">
        <v>20046</v>
      </c>
      <c r="E4655" s="13" t="s">
        <v>585</v>
      </c>
      <c r="F4655" s="681">
        <v>53.04</v>
      </c>
    </row>
    <row r="4656" spans="2:6" ht="15.75" hidden="1" customHeight="1" x14ac:dyDescent="0.25">
      <c r="B4656" s="13" t="s">
        <v>556</v>
      </c>
      <c r="C4656" s="13" t="s">
        <v>20047</v>
      </c>
      <c r="D4656" s="12" t="s">
        <v>20048</v>
      </c>
      <c r="E4656" s="13" t="s">
        <v>585</v>
      </c>
      <c r="F4656" s="681">
        <v>45.66</v>
      </c>
    </row>
    <row r="4657" spans="2:6" ht="15.75" hidden="1" customHeight="1" x14ac:dyDescent="0.25">
      <c r="B4657" s="13" t="s">
        <v>556</v>
      </c>
      <c r="C4657" s="13" t="s">
        <v>20049</v>
      </c>
      <c r="D4657" s="12" t="s">
        <v>20050</v>
      </c>
      <c r="E4657" s="13" t="s">
        <v>580</v>
      </c>
      <c r="F4657" s="681">
        <v>6.4</v>
      </c>
    </row>
    <row r="4658" spans="2:6" ht="15.75" hidden="1" customHeight="1" x14ac:dyDescent="0.25">
      <c r="B4658" s="13" t="s">
        <v>556</v>
      </c>
      <c r="C4658" s="13" t="s">
        <v>20051</v>
      </c>
      <c r="D4658" s="12" t="s">
        <v>20052</v>
      </c>
      <c r="E4658" s="13" t="s">
        <v>585</v>
      </c>
      <c r="F4658" s="681">
        <v>24.4</v>
      </c>
    </row>
    <row r="4659" spans="2:6" ht="15.75" hidden="1" customHeight="1" x14ac:dyDescent="0.25">
      <c r="B4659" s="13" t="s">
        <v>556</v>
      </c>
      <c r="C4659" s="13" t="s">
        <v>20053</v>
      </c>
      <c r="D4659" s="12" t="s">
        <v>20054</v>
      </c>
      <c r="E4659" s="13" t="s">
        <v>585</v>
      </c>
      <c r="F4659" s="681">
        <v>94.92</v>
      </c>
    </row>
    <row r="4660" spans="2:6" ht="15.75" hidden="1" customHeight="1" x14ac:dyDescent="0.25">
      <c r="B4660" s="13" t="s">
        <v>556</v>
      </c>
      <c r="C4660" s="13" t="s">
        <v>20055</v>
      </c>
      <c r="D4660" s="12" t="s">
        <v>20056</v>
      </c>
      <c r="E4660" s="13" t="s">
        <v>580</v>
      </c>
      <c r="F4660" s="681">
        <v>31.01</v>
      </c>
    </row>
    <row r="4661" spans="2:6" ht="15.75" hidden="1" customHeight="1" x14ac:dyDescent="0.25">
      <c r="B4661" s="13" t="s">
        <v>556</v>
      </c>
      <c r="C4661" s="13" t="s">
        <v>20057</v>
      </c>
      <c r="D4661" s="677" t="s">
        <v>20058</v>
      </c>
      <c r="E4661" s="13" t="s">
        <v>585</v>
      </c>
      <c r="F4661" s="681">
        <v>150.69999999999999</v>
      </c>
    </row>
    <row r="4662" spans="2:6" ht="15.75" hidden="1" customHeight="1" x14ac:dyDescent="0.25">
      <c r="B4662" s="13" t="s">
        <v>556</v>
      </c>
      <c r="C4662" s="13" t="s">
        <v>20059</v>
      </c>
      <c r="D4662" s="12" t="s">
        <v>20060</v>
      </c>
      <c r="E4662" s="13" t="s">
        <v>580</v>
      </c>
      <c r="F4662" s="681">
        <v>31.01</v>
      </c>
    </row>
    <row r="4663" spans="2:6" ht="15.75" hidden="1" customHeight="1" x14ac:dyDescent="0.25">
      <c r="B4663" s="13" t="s">
        <v>556</v>
      </c>
      <c r="C4663" s="13" t="s">
        <v>20061</v>
      </c>
      <c r="D4663" s="677" t="s">
        <v>20062</v>
      </c>
      <c r="E4663" s="13" t="s">
        <v>585</v>
      </c>
      <c r="F4663" s="681">
        <v>955.49</v>
      </c>
    </row>
    <row r="4664" spans="2:6" ht="15.75" hidden="1" customHeight="1" x14ac:dyDescent="0.25">
      <c r="B4664" s="13" t="s">
        <v>556</v>
      </c>
      <c r="C4664" s="13" t="s">
        <v>20063</v>
      </c>
      <c r="D4664" s="677" t="s">
        <v>20064</v>
      </c>
      <c r="E4664" s="13" t="s">
        <v>585</v>
      </c>
      <c r="F4664" s="681">
        <v>323.95999999999998</v>
      </c>
    </row>
    <row r="4665" spans="2:6" ht="15.75" hidden="1" customHeight="1" x14ac:dyDescent="0.25">
      <c r="B4665" s="13" t="s">
        <v>556</v>
      </c>
      <c r="C4665" s="13" t="s">
        <v>20065</v>
      </c>
      <c r="D4665" s="677" t="s">
        <v>20066</v>
      </c>
      <c r="E4665" s="13" t="s">
        <v>585</v>
      </c>
      <c r="F4665" s="681">
        <v>244</v>
      </c>
    </row>
    <row r="4666" spans="2:6" ht="15.75" hidden="1" customHeight="1" x14ac:dyDescent="0.25">
      <c r="B4666" s="13" t="s">
        <v>556</v>
      </c>
      <c r="C4666" s="13" t="s">
        <v>20067</v>
      </c>
      <c r="D4666" s="677" t="s">
        <v>20068</v>
      </c>
      <c r="E4666" s="13" t="s">
        <v>585</v>
      </c>
      <c r="F4666" s="681">
        <v>3198.65</v>
      </c>
    </row>
    <row r="4667" spans="2:6" ht="15.75" hidden="1" customHeight="1" x14ac:dyDescent="0.25">
      <c r="B4667" s="13" t="s">
        <v>556</v>
      </c>
      <c r="C4667" s="13" t="s">
        <v>20069</v>
      </c>
      <c r="D4667" s="12" t="s">
        <v>20070</v>
      </c>
      <c r="E4667" s="13" t="s">
        <v>580</v>
      </c>
      <c r="F4667" s="681">
        <v>49.89</v>
      </c>
    </row>
    <row r="4668" spans="2:6" ht="15.75" hidden="1" customHeight="1" x14ac:dyDescent="0.25">
      <c r="B4668" s="13" t="s">
        <v>556</v>
      </c>
      <c r="C4668" s="13" t="s">
        <v>20071</v>
      </c>
      <c r="D4668" s="677" t="s">
        <v>20072</v>
      </c>
      <c r="E4668" s="13" t="s">
        <v>585</v>
      </c>
      <c r="F4668" s="681">
        <v>697.14</v>
      </c>
    </row>
    <row r="4669" spans="2:6" ht="15.75" hidden="1" customHeight="1" x14ac:dyDescent="0.25">
      <c r="B4669" s="13" t="s">
        <v>556</v>
      </c>
      <c r="C4669" s="13" t="s">
        <v>20073</v>
      </c>
      <c r="D4669" s="677" t="s">
        <v>20074</v>
      </c>
      <c r="E4669" s="13" t="s">
        <v>585</v>
      </c>
      <c r="F4669" s="681">
        <v>1081.5899999999999</v>
      </c>
    </row>
    <row r="4670" spans="2:6" ht="15.75" hidden="1" customHeight="1" x14ac:dyDescent="0.25">
      <c r="B4670" s="13" t="s">
        <v>556</v>
      </c>
      <c r="C4670" s="13" t="s">
        <v>20075</v>
      </c>
      <c r="D4670" s="677" t="s">
        <v>20076</v>
      </c>
      <c r="E4670" s="13" t="s">
        <v>585</v>
      </c>
      <c r="F4670" s="681">
        <v>1220</v>
      </c>
    </row>
    <row r="4671" spans="2:6" ht="15.75" hidden="1" customHeight="1" x14ac:dyDescent="0.25">
      <c r="B4671" s="13" t="s">
        <v>556</v>
      </c>
      <c r="C4671" s="13" t="s">
        <v>20077</v>
      </c>
      <c r="D4671" s="12" t="s">
        <v>20078</v>
      </c>
      <c r="E4671" s="13" t="s">
        <v>580</v>
      </c>
      <c r="F4671" s="681">
        <v>49.89</v>
      </c>
    </row>
    <row r="4672" spans="2:6" ht="15.75" hidden="1" customHeight="1" x14ac:dyDescent="0.25">
      <c r="B4672" s="13" t="s">
        <v>556</v>
      </c>
      <c r="C4672" s="13" t="s">
        <v>20079</v>
      </c>
      <c r="D4672" s="677" t="s">
        <v>20080</v>
      </c>
      <c r="E4672" s="13" t="s">
        <v>585</v>
      </c>
      <c r="F4672" s="681">
        <v>205.04</v>
      </c>
    </row>
    <row r="4673" spans="2:6" ht="15.75" hidden="1" customHeight="1" x14ac:dyDescent="0.25">
      <c r="B4673" s="13" t="s">
        <v>556</v>
      </c>
      <c r="C4673" s="13" t="s">
        <v>20081</v>
      </c>
      <c r="D4673" s="677" t="s">
        <v>20082</v>
      </c>
      <c r="E4673" s="13" t="s">
        <v>585</v>
      </c>
      <c r="F4673" s="681">
        <v>379.32</v>
      </c>
    </row>
    <row r="4674" spans="2:6" ht="15.75" hidden="1" customHeight="1" x14ac:dyDescent="0.25">
      <c r="B4674" s="13" t="s">
        <v>556</v>
      </c>
      <c r="C4674" s="13" t="s">
        <v>20083</v>
      </c>
      <c r="D4674" s="677" t="s">
        <v>20084</v>
      </c>
      <c r="E4674" s="13" t="s">
        <v>585</v>
      </c>
      <c r="F4674" s="681">
        <v>332.57</v>
      </c>
    </row>
    <row r="4675" spans="2:6" ht="15.75" hidden="1" customHeight="1" x14ac:dyDescent="0.25">
      <c r="B4675" s="13" t="s">
        <v>556</v>
      </c>
      <c r="C4675" s="13" t="s">
        <v>20085</v>
      </c>
      <c r="D4675" s="677" t="s">
        <v>20086</v>
      </c>
      <c r="E4675" s="13" t="s">
        <v>585</v>
      </c>
      <c r="F4675" s="681">
        <v>534.13</v>
      </c>
    </row>
    <row r="4676" spans="2:6" ht="15.75" hidden="1" customHeight="1" x14ac:dyDescent="0.25">
      <c r="B4676" s="13" t="s">
        <v>556</v>
      </c>
      <c r="C4676" s="13" t="s">
        <v>20087</v>
      </c>
      <c r="D4676" s="677" t="s">
        <v>20088</v>
      </c>
      <c r="E4676" s="13" t="s">
        <v>585</v>
      </c>
      <c r="F4676" s="681">
        <v>607.94000000000005</v>
      </c>
    </row>
    <row r="4677" spans="2:6" ht="15.75" hidden="1" customHeight="1" x14ac:dyDescent="0.25">
      <c r="B4677" s="13" t="s">
        <v>556</v>
      </c>
      <c r="C4677" s="13" t="s">
        <v>20089</v>
      </c>
      <c r="D4677" s="677" t="s">
        <v>20090</v>
      </c>
      <c r="E4677" s="13" t="s">
        <v>585</v>
      </c>
      <c r="F4677" s="681">
        <v>126.1</v>
      </c>
    </row>
    <row r="4678" spans="2:6" ht="15.75" hidden="1" customHeight="1" x14ac:dyDescent="0.25">
      <c r="B4678" s="13" t="s">
        <v>556</v>
      </c>
      <c r="C4678" s="13" t="s">
        <v>20091</v>
      </c>
      <c r="D4678" s="12" t="s">
        <v>20092</v>
      </c>
      <c r="E4678" s="13" t="s">
        <v>580</v>
      </c>
      <c r="F4678" s="681">
        <v>49.89</v>
      </c>
    </row>
    <row r="4679" spans="2:6" ht="15.75" hidden="1" customHeight="1" x14ac:dyDescent="0.25">
      <c r="B4679" s="13" t="s">
        <v>556</v>
      </c>
      <c r="C4679" s="13" t="s">
        <v>20093</v>
      </c>
      <c r="D4679" s="677" t="s">
        <v>20094</v>
      </c>
      <c r="E4679" s="13" t="s">
        <v>585</v>
      </c>
      <c r="F4679" s="681">
        <v>405.98</v>
      </c>
    </row>
    <row r="4680" spans="2:6" ht="15.75" hidden="1" customHeight="1" x14ac:dyDescent="0.25">
      <c r="B4680" s="13" t="s">
        <v>556</v>
      </c>
      <c r="C4680" s="13" t="s">
        <v>20095</v>
      </c>
      <c r="D4680" s="677" t="s">
        <v>20096</v>
      </c>
      <c r="E4680" s="13" t="s">
        <v>585</v>
      </c>
      <c r="F4680" s="681">
        <v>161.97999999999999</v>
      </c>
    </row>
    <row r="4681" spans="2:6" ht="15.75" hidden="1" customHeight="1" x14ac:dyDescent="0.25">
      <c r="B4681" s="13" t="s">
        <v>556</v>
      </c>
      <c r="C4681" s="13" t="s">
        <v>20097</v>
      </c>
      <c r="D4681" s="677" t="s">
        <v>20098</v>
      </c>
      <c r="E4681" s="13" t="s">
        <v>585</v>
      </c>
      <c r="F4681" s="681">
        <v>475.69</v>
      </c>
    </row>
    <row r="4682" spans="2:6" ht="15.75" hidden="1" customHeight="1" x14ac:dyDescent="0.25">
      <c r="B4682" s="13" t="s">
        <v>556</v>
      </c>
      <c r="C4682" s="13" t="s">
        <v>20099</v>
      </c>
      <c r="D4682" s="677" t="s">
        <v>20100</v>
      </c>
      <c r="E4682" s="13" t="s">
        <v>585</v>
      </c>
      <c r="F4682" s="681">
        <v>942.16</v>
      </c>
    </row>
    <row r="4683" spans="2:6" ht="15.75" hidden="1" customHeight="1" x14ac:dyDescent="0.25">
      <c r="B4683" s="13" t="s">
        <v>556</v>
      </c>
      <c r="C4683" s="13" t="s">
        <v>20101</v>
      </c>
      <c r="D4683" s="677" t="s">
        <v>20102</v>
      </c>
      <c r="E4683" s="13" t="s">
        <v>585</v>
      </c>
      <c r="F4683" s="681">
        <v>241.94</v>
      </c>
    </row>
    <row r="4684" spans="2:6" ht="15.75" hidden="1" customHeight="1" x14ac:dyDescent="0.25">
      <c r="B4684" s="13" t="s">
        <v>556</v>
      </c>
      <c r="C4684" s="13" t="s">
        <v>20103</v>
      </c>
      <c r="D4684" s="677" t="s">
        <v>20104</v>
      </c>
      <c r="E4684" s="13" t="s">
        <v>585</v>
      </c>
      <c r="F4684" s="681">
        <v>466.47</v>
      </c>
    </row>
    <row r="4685" spans="2:6" ht="15.75" hidden="1" customHeight="1" x14ac:dyDescent="0.25">
      <c r="B4685" s="13" t="s">
        <v>556</v>
      </c>
      <c r="C4685" s="13" t="s">
        <v>20105</v>
      </c>
      <c r="D4685" s="677" t="s">
        <v>20106</v>
      </c>
      <c r="E4685" s="13" t="s">
        <v>585</v>
      </c>
      <c r="F4685" s="681">
        <v>710.47</v>
      </c>
    </row>
    <row r="4686" spans="2:6" ht="15.75" hidden="1" customHeight="1" x14ac:dyDescent="0.25">
      <c r="B4686" s="13" t="s">
        <v>556</v>
      </c>
      <c r="C4686" s="13" t="s">
        <v>20107</v>
      </c>
      <c r="D4686" s="677" t="s">
        <v>20108</v>
      </c>
      <c r="E4686" s="13" t="s">
        <v>585</v>
      </c>
      <c r="F4686" s="681">
        <v>1029.31</v>
      </c>
    </row>
    <row r="4687" spans="2:6" ht="15.75" hidden="1" customHeight="1" x14ac:dyDescent="0.25">
      <c r="B4687" s="13" t="s">
        <v>556</v>
      </c>
      <c r="C4687" s="13" t="s">
        <v>20109</v>
      </c>
      <c r="D4687" s="677" t="s">
        <v>20110</v>
      </c>
      <c r="E4687" s="13" t="s">
        <v>585</v>
      </c>
      <c r="F4687" s="681">
        <v>2852.21</v>
      </c>
    </row>
    <row r="4688" spans="2:6" ht="15.75" hidden="1" customHeight="1" x14ac:dyDescent="0.25">
      <c r="B4688" s="13" t="s">
        <v>556</v>
      </c>
      <c r="C4688" s="13" t="s">
        <v>20111</v>
      </c>
      <c r="D4688" s="12" t="s">
        <v>20112</v>
      </c>
      <c r="E4688" s="13" t="s">
        <v>580</v>
      </c>
      <c r="F4688" s="681">
        <v>73.55</v>
      </c>
    </row>
    <row r="4689" spans="2:6" ht="15.75" hidden="1" customHeight="1" x14ac:dyDescent="0.25">
      <c r="B4689" s="13" t="s">
        <v>556</v>
      </c>
      <c r="C4689" s="13" t="s">
        <v>20113</v>
      </c>
      <c r="D4689" s="677" t="s">
        <v>20114</v>
      </c>
      <c r="E4689" s="13" t="s">
        <v>585</v>
      </c>
      <c r="F4689" s="681">
        <v>127.12</v>
      </c>
    </row>
    <row r="4690" spans="2:6" ht="15.75" hidden="1" customHeight="1" x14ac:dyDescent="0.25">
      <c r="B4690" s="13" t="s">
        <v>556</v>
      </c>
      <c r="C4690" s="13" t="s">
        <v>20115</v>
      </c>
      <c r="D4690" s="677" t="s">
        <v>20116</v>
      </c>
      <c r="E4690" s="13" t="s">
        <v>585</v>
      </c>
      <c r="F4690" s="681">
        <v>133.27000000000001</v>
      </c>
    </row>
    <row r="4691" spans="2:6" ht="15.75" hidden="1" customHeight="1" x14ac:dyDescent="0.25">
      <c r="B4691" s="13" t="s">
        <v>556</v>
      </c>
      <c r="C4691" s="13" t="s">
        <v>20117</v>
      </c>
      <c r="D4691" s="677" t="s">
        <v>20118</v>
      </c>
      <c r="E4691" s="13" t="s">
        <v>585</v>
      </c>
      <c r="F4691" s="681">
        <v>211.7</v>
      </c>
    </row>
    <row r="4692" spans="2:6" ht="15.75" hidden="1" customHeight="1" x14ac:dyDescent="0.25">
      <c r="B4692" s="13" t="s">
        <v>556</v>
      </c>
      <c r="C4692" s="13" t="s">
        <v>20119</v>
      </c>
      <c r="D4692" s="677" t="s">
        <v>20120</v>
      </c>
      <c r="E4692" s="13" t="s">
        <v>585</v>
      </c>
      <c r="F4692" s="681">
        <v>394.7</v>
      </c>
    </row>
    <row r="4693" spans="2:6" ht="15.75" hidden="1" customHeight="1" x14ac:dyDescent="0.25">
      <c r="B4693" s="13" t="s">
        <v>556</v>
      </c>
      <c r="C4693" s="13" t="s">
        <v>20121</v>
      </c>
      <c r="D4693" s="677" t="s">
        <v>20122</v>
      </c>
      <c r="E4693" s="13" t="s">
        <v>585</v>
      </c>
      <c r="F4693" s="681">
        <v>471.59</v>
      </c>
    </row>
    <row r="4694" spans="2:6" ht="15.75" hidden="1" customHeight="1" x14ac:dyDescent="0.25">
      <c r="B4694" s="13" t="s">
        <v>556</v>
      </c>
      <c r="C4694" s="13" t="s">
        <v>20123</v>
      </c>
      <c r="D4694" s="677" t="s">
        <v>20124</v>
      </c>
      <c r="E4694" s="13" t="s">
        <v>585</v>
      </c>
      <c r="F4694" s="681">
        <v>522.85</v>
      </c>
    </row>
    <row r="4695" spans="2:6" ht="15.75" hidden="1" customHeight="1" x14ac:dyDescent="0.25">
      <c r="B4695" s="13" t="s">
        <v>556</v>
      </c>
      <c r="C4695" s="13" t="s">
        <v>20125</v>
      </c>
      <c r="D4695" s="677" t="s">
        <v>20126</v>
      </c>
      <c r="E4695" s="13" t="s">
        <v>585</v>
      </c>
      <c r="F4695" s="681">
        <v>766.85</v>
      </c>
    </row>
    <row r="4696" spans="2:6" ht="15.75" hidden="1" customHeight="1" x14ac:dyDescent="0.25">
      <c r="B4696" s="13" t="s">
        <v>556</v>
      </c>
      <c r="C4696" s="13" t="s">
        <v>20127</v>
      </c>
      <c r="D4696" s="677" t="s">
        <v>20128</v>
      </c>
      <c r="E4696" s="13" t="s">
        <v>585</v>
      </c>
      <c r="F4696" s="681">
        <v>1101.07</v>
      </c>
    </row>
    <row r="4697" spans="2:6" ht="15.75" hidden="1" customHeight="1" x14ac:dyDescent="0.25">
      <c r="B4697" s="13" t="s">
        <v>556</v>
      </c>
      <c r="C4697" s="13" t="s">
        <v>20129</v>
      </c>
      <c r="D4697" s="12" t="s">
        <v>20130</v>
      </c>
      <c r="E4697" s="13" t="s">
        <v>580</v>
      </c>
      <c r="F4697" s="681">
        <v>71.5</v>
      </c>
    </row>
    <row r="4698" spans="2:6" ht="15.75" hidden="1" customHeight="1" x14ac:dyDescent="0.25">
      <c r="B4698" s="13" t="s">
        <v>556</v>
      </c>
      <c r="C4698" s="13" t="s">
        <v>20131</v>
      </c>
      <c r="D4698" s="677" t="s">
        <v>20132</v>
      </c>
      <c r="E4698" s="13" t="s">
        <v>585</v>
      </c>
      <c r="F4698" s="681">
        <v>621.37</v>
      </c>
    </row>
    <row r="4699" spans="2:6" ht="15.75" hidden="1" customHeight="1" x14ac:dyDescent="0.25">
      <c r="B4699" s="13" t="s">
        <v>556</v>
      </c>
      <c r="C4699" s="13" t="s">
        <v>20133</v>
      </c>
      <c r="D4699" s="677" t="s">
        <v>20134</v>
      </c>
      <c r="E4699" s="13" t="s">
        <v>585</v>
      </c>
      <c r="F4699" s="681">
        <v>465.44</v>
      </c>
    </row>
    <row r="4700" spans="2:6" ht="15.75" hidden="1" customHeight="1" x14ac:dyDescent="0.25">
      <c r="B4700" s="13" t="s">
        <v>556</v>
      </c>
      <c r="C4700" s="13" t="s">
        <v>20135</v>
      </c>
      <c r="D4700" s="677" t="s">
        <v>20136</v>
      </c>
      <c r="E4700" s="13" t="s">
        <v>585</v>
      </c>
      <c r="F4700" s="681">
        <v>763.78</v>
      </c>
    </row>
    <row r="4701" spans="2:6" ht="15.75" hidden="1" customHeight="1" x14ac:dyDescent="0.25">
      <c r="B4701" s="13" t="s">
        <v>556</v>
      </c>
      <c r="C4701" s="13" t="s">
        <v>20137</v>
      </c>
      <c r="D4701" s="677" t="s">
        <v>20138</v>
      </c>
      <c r="E4701" s="13" t="s">
        <v>585</v>
      </c>
      <c r="F4701" s="681">
        <v>504.4</v>
      </c>
    </row>
    <row r="4702" spans="2:6" ht="15.75" hidden="1" customHeight="1" x14ac:dyDescent="0.25">
      <c r="B4702" s="13" t="s">
        <v>556</v>
      </c>
      <c r="C4702" s="13" t="s">
        <v>20139</v>
      </c>
      <c r="D4702" s="677" t="s">
        <v>11700</v>
      </c>
      <c r="E4702" s="13" t="s">
        <v>585</v>
      </c>
      <c r="F4702" s="681">
        <v>45.24</v>
      </c>
    </row>
    <row r="4703" spans="2:6" ht="15.75" hidden="1" customHeight="1" x14ac:dyDescent="0.25">
      <c r="B4703" s="13" t="s">
        <v>556</v>
      </c>
      <c r="C4703" s="13" t="s">
        <v>20140</v>
      </c>
      <c r="D4703" s="12" t="s">
        <v>20141</v>
      </c>
      <c r="E4703" s="13" t="s">
        <v>580</v>
      </c>
      <c r="F4703" s="681">
        <v>73.55</v>
      </c>
    </row>
    <row r="4704" spans="2:6" ht="15.75" hidden="1" customHeight="1" x14ac:dyDescent="0.25">
      <c r="B4704" s="13" t="s">
        <v>556</v>
      </c>
      <c r="C4704" s="13" t="s">
        <v>20142</v>
      </c>
      <c r="D4704" s="677" t="s">
        <v>11702</v>
      </c>
      <c r="E4704" s="13" t="s">
        <v>585</v>
      </c>
      <c r="F4704" s="681">
        <v>73.260000000000005</v>
      </c>
    </row>
    <row r="4705" spans="2:6" ht="15.75" hidden="1" customHeight="1" x14ac:dyDescent="0.25">
      <c r="B4705" s="13" t="s">
        <v>556</v>
      </c>
      <c r="C4705" s="13" t="s">
        <v>20143</v>
      </c>
      <c r="D4705" s="677" t="s">
        <v>11705</v>
      </c>
      <c r="E4705" s="13" t="s">
        <v>585</v>
      </c>
      <c r="F4705" s="681">
        <v>46.25</v>
      </c>
    </row>
    <row r="4706" spans="2:6" ht="15.75" hidden="1" customHeight="1" x14ac:dyDescent="0.25">
      <c r="B4706" s="13" t="s">
        <v>556</v>
      </c>
      <c r="C4706" s="13" t="s">
        <v>20144</v>
      </c>
      <c r="D4706" s="677" t="s">
        <v>11707</v>
      </c>
      <c r="E4706" s="13" t="s">
        <v>585</v>
      </c>
      <c r="F4706" s="681">
        <v>80.430000000000007</v>
      </c>
    </row>
    <row r="4707" spans="2:6" ht="15.75" hidden="1" customHeight="1" x14ac:dyDescent="0.25">
      <c r="B4707" s="13" t="s">
        <v>556</v>
      </c>
      <c r="C4707" s="13" t="s">
        <v>20145</v>
      </c>
      <c r="D4707" s="12" t="s">
        <v>20146</v>
      </c>
      <c r="E4707" s="13" t="s">
        <v>580</v>
      </c>
      <c r="F4707" s="681">
        <v>7.71</v>
      </c>
    </row>
    <row r="4708" spans="2:6" ht="15.75" hidden="1" customHeight="1" x14ac:dyDescent="0.25">
      <c r="B4708" s="13" t="s">
        <v>556</v>
      </c>
      <c r="C4708" s="13" t="s">
        <v>20147</v>
      </c>
      <c r="D4708" s="677" t="s">
        <v>11706</v>
      </c>
      <c r="E4708" s="13" t="s">
        <v>585</v>
      </c>
      <c r="F4708" s="681">
        <v>72.89</v>
      </c>
    </row>
    <row r="4709" spans="2:6" ht="15.75" hidden="1" customHeight="1" x14ac:dyDescent="0.25">
      <c r="B4709" s="13" t="s">
        <v>556</v>
      </c>
      <c r="C4709" s="13" t="s">
        <v>20148</v>
      </c>
      <c r="D4709" s="677" t="s">
        <v>11704</v>
      </c>
      <c r="E4709" s="13" t="s">
        <v>585</v>
      </c>
      <c r="F4709" s="681">
        <v>130.53</v>
      </c>
    </row>
    <row r="4710" spans="2:6" ht="15.75" hidden="1" customHeight="1" x14ac:dyDescent="0.25">
      <c r="B4710" s="13" t="s">
        <v>556</v>
      </c>
      <c r="C4710" s="13" t="s">
        <v>20149</v>
      </c>
      <c r="D4710" s="677" t="s">
        <v>11708</v>
      </c>
      <c r="E4710" s="13" t="s">
        <v>585</v>
      </c>
      <c r="F4710" s="681">
        <v>114.07</v>
      </c>
    </row>
    <row r="4711" spans="2:6" ht="15.75" hidden="1" customHeight="1" x14ac:dyDescent="0.25">
      <c r="B4711" s="13" t="s">
        <v>556</v>
      </c>
      <c r="C4711" s="13" t="s">
        <v>20150</v>
      </c>
      <c r="D4711" s="677" t="s">
        <v>11709</v>
      </c>
      <c r="E4711" s="13" t="s">
        <v>585</v>
      </c>
      <c r="F4711" s="681">
        <v>134.72</v>
      </c>
    </row>
    <row r="4712" spans="2:6" ht="15.75" hidden="1" customHeight="1" x14ac:dyDescent="0.25">
      <c r="B4712" s="13" t="s">
        <v>556</v>
      </c>
      <c r="C4712" s="13" t="s">
        <v>20151</v>
      </c>
      <c r="D4712" s="677" t="s">
        <v>11703</v>
      </c>
      <c r="E4712" s="13" t="s">
        <v>585</v>
      </c>
      <c r="F4712" s="681">
        <v>109.04</v>
      </c>
    </row>
    <row r="4713" spans="2:6" ht="15.75" hidden="1" customHeight="1" x14ac:dyDescent="0.25">
      <c r="B4713" s="13" t="s">
        <v>556</v>
      </c>
      <c r="C4713" s="13" t="s">
        <v>20152</v>
      </c>
      <c r="D4713" s="677" t="s">
        <v>11701</v>
      </c>
      <c r="E4713" s="13" t="s">
        <v>585</v>
      </c>
      <c r="F4713" s="681">
        <v>62</v>
      </c>
    </row>
    <row r="4714" spans="2:6" ht="15.75" hidden="1" customHeight="1" x14ac:dyDescent="0.25">
      <c r="B4714" s="13" t="s">
        <v>556</v>
      </c>
      <c r="C4714" s="13" t="s">
        <v>20153</v>
      </c>
      <c r="D4714" s="12" t="s">
        <v>20154</v>
      </c>
      <c r="E4714" s="13" t="s">
        <v>580</v>
      </c>
      <c r="F4714" s="681">
        <v>71.86</v>
      </c>
    </row>
    <row r="4715" spans="2:6" ht="15.75" hidden="1" customHeight="1" x14ac:dyDescent="0.25">
      <c r="B4715" s="13" t="s">
        <v>556</v>
      </c>
      <c r="C4715" s="13" t="s">
        <v>20155</v>
      </c>
      <c r="D4715" s="12" t="s">
        <v>20156</v>
      </c>
      <c r="E4715" s="13" t="s">
        <v>580</v>
      </c>
      <c r="F4715" s="681">
        <v>135.9</v>
      </c>
    </row>
    <row r="4716" spans="2:6" ht="15.75" hidden="1" customHeight="1" x14ac:dyDescent="0.25">
      <c r="B4716" s="13" t="s">
        <v>556</v>
      </c>
      <c r="C4716" s="13" t="s">
        <v>20157</v>
      </c>
      <c r="D4716" s="12" t="s">
        <v>20158</v>
      </c>
      <c r="E4716" s="13" t="s">
        <v>580</v>
      </c>
      <c r="F4716" s="681">
        <v>135.9</v>
      </c>
    </row>
    <row r="4717" spans="2:6" ht="15.75" hidden="1" customHeight="1" x14ac:dyDescent="0.25">
      <c r="B4717" s="13" t="s">
        <v>556</v>
      </c>
      <c r="C4717" s="13" t="s">
        <v>20159</v>
      </c>
      <c r="D4717" s="12" t="s">
        <v>20160</v>
      </c>
      <c r="E4717" s="13" t="s">
        <v>580</v>
      </c>
      <c r="F4717" s="681">
        <v>371.95</v>
      </c>
    </row>
    <row r="4718" spans="2:6" ht="15.75" hidden="1" customHeight="1" x14ac:dyDescent="0.25">
      <c r="B4718" s="13" t="s">
        <v>556</v>
      </c>
      <c r="C4718" s="13" t="s">
        <v>20161</v>
      </c>
      <c r="D4718" s="12" t="s">
        <v>20162</v>
      </c>
      <c r="E4718" s="13" t="s">
        <v>580</v>
      </c>
      <c r="F4718" s="681">
        <v>421.59</v>
      </c>
    </row>
    <row r="4719" spans="2:6" ht="15.75" hidden="1" customHeight="1" x14ac:dyDescent="0.25">
      <c r="B4719" s="13" t="s">
        <v>556</v>
      </c>
      <c r="C4719" s="13" t="s">
        <v>20163</v>
      </c>
      <c r="D4719" s="12" t="s">
        <v>20164</v>
      </c>
      <c r="E4719" s="13" t="s">
        <v>580</v>
      </c>
      <c r="F4719" s="681">
        <v>393</v>
      </c>
    </row>
    <row r="4720" spans="2:6" ht="15.75" hidden="1" customHeight="1" x14ac:dyDescent="0.25">
      <c r="B4720" s="13" t="s">
        <v>556</v>
      </c>
      <c r="C4720" s="13" t="s">
        <v>20165</v>
      </c>
      <c r="D4720" s="12" t="s">
        <v>20166</v>
      </c>
      <c r="E4720" s="13" t="s">
        <v>580</v>
      </c>
      <c r="F4720" s="681">
        <v>135.9</v>
      </c>
    </row>
    <row r="4721" spans="2:6" ht="15.75" hidden="1" customHeight="1" x14ac:dyDescent="0.25">
      <c r="B4721" s="13" t="s">
        <v>556</v>
      </c>
      <c r="C4721" s="13" t="s">
        <v>20167</v>
      </c>
      <c r="D4721" s="12" t="s">
        <v>20168</v>
      </c>
      <c r="E4721" s="13" t="s">
        <v>580</v>
      </c>
      <c r="F4721" s="681">
        <v>49.89</v>
      </c>
    </row>
    <row r="4722" spans="2:6" ht="15.75" hidden="1" customHeight="1" x14ac:dyDescent="0.25">
      <c r="B4722" s="13" t="s">
        <v>556</v>
      </c>
      <c r="C4722" s="13" t="s">
        <v>20169</v>
      </c>
      <c r="D4722" s="12" t="s">
        <v>20170</v>
      </c>
      <c r="E4722" s="13" t="s">
        <v>580</v>
      </c>
      <c r="F4722" s="681">
        <v>31.01</v>
      </c>
    </row>
    <row r="4723" spans="2:6" ht="15.75" hidden="1" customHeight="1" x14ac:dyDescent="0.25">
      <c r="B4723" s="13" t="s">
        <v>556</v>
      </c>
      <c r="C4723" s="13" t="s">
        <v>20171</v>
      </c>
      <c r="D4723" s="12" t="s">
        <v>20172</v>
      </c>
      <c r="E4723" s="13" t="s">
        <v>580</v>
      </c>
      <c r="F4723" s="681">
        <v>17.760000000000002</v>
      </c>
    </row>
    <row r="4724" spans="2:6" ht="15.75" hidden="1" customHeight="1" x14ac:dyDescent="0.25">
      <c r="B4724" s="13" t="s">
        <v>556</v>
      </c>
      <c r="C4724" s="13" t="s">
        <v>20173</v>
      </c>
      <c r="D4724" s="12" t="s">
        <v>20174</v>
      </c>
      <c r="E4724" s="13" t="s">
        <v>580</v>
      </c>
      <c r="F4724" s="681">
        <v>23.11</v>
      </c>
    </row>
    <row r="4725" spans="2:6" ht="15.75" hidden="1" customHeight="1" x14ac:dyDescent="0.25">
      <c r="B4725" s="13" t="s">
        <v>556</v>
      </c>
      <c r="C4725" s="13" t="s">
        <v>20175</v>
      </c>
      <c r="D4725" s="12" t="s">
        <v>20176</v>
      </c>
      <c r="E4725" s="13" t="s">
        <v>580</v>
      </c>
      <c r="F4725" s="681">
        <v>23.11</v>
      </c>
    </row>
    <row r="4726" spans="2:6" ht="15.75" hidden="1" customHeight="1" x14ac:dyDescent="0.25">
      <c r="B4726" s="13" t="s">
        <v>556</v>
      </c>
      <c r="C4726" s="13" t="s">
        <v>20177</v>
      </c>
      <c r="D4726" s="12" t="s">
        <v>9049</v>
      </c>
      <c r="E4726" s="13" t="s">
        <v>580</v>
      </c>
      <c r="F4726" s="681">
        <v>3.27</v>
      </c>
    </row>
    <row r="4727" spans="2:6" ht="15.75" hidden="1" customHeight="1" x14ac:dyDescent="0.25">
      <c r="B4727" s="13" t="s">
        <v>556</v>
      </c>
      <c r="C4727" s="13" t="s">
        <v>20178</v>
      </c>
      <c r="D4727" s="12" t="s">
        <v>9047</v>
      </c>
      <c r="E4727" s="13" t="s">
        <v>580</v>
      </c>
      <c r="F4727" s="681">
        <v>6.97</v>
      </c>
    </row>
    <row r="4728" spans="2:6" ht="15.75" hidden="1" customHeight="1" x14ac:dyDescent="0.25">
      <c r="B4728" s="13" t="s">
        <v>556</v>
      </c>
      <c r="C4728" s="13" t="s">
        <v>20179</v>
      </c>
      <c r="D4728" s="12" t="s">
        <v>9046</v>
      </c>
      <c r="E4728" s="13" t="s">
        <v>580</v>
      </c>
      <c r="F4728" s="681">
        <v>8.2100000000000009</v>
      </c>
    </row>
    <row r="4729" spans="2:6" ht="15.75" hidden="1" customHeight="1" x14ac:dyDescent="0.25">
      <c r="B4729" s="13" t="s">
        <v>556</v>
      </c>
      <c r="C4729" s="13" t="s">
        <v>20180</v>
      </c>
      <c r="D4729" s="12" t="s">
        <v>9045</v>
      </c>
      <c r="E4729" s="13" t="s">
        <v>580</v>
      </c>
      <c r="F4729" s="681">
        <v>1.1299999999999999</v>
      </c>
    </row>
    <row r="4730" spans="2:6" ht="15.75" hidden="1" customHeight="1" x14ac:dyDescent="0.25">
      <c r="B4730" s="13" t="s">
        <v>556</v>
      </c>
      <c r="C4730" s="13" t="s">
        <v>20181</v>
      </c>
      <c r="D4730" s="12" t="s">
        <v>9048</v>
      </c>
      <c r="E4730" s="13" t="s">
        <v>580</v>
      </c>
      <c r="F4730" s="681">
        <v>3.37</v>
      </c>
    </row>
    <row r="4731" spans="2:6" ht="15.75" hidden="1" customHeight="1" x14ac:dyDescent="0.25">
      <c r="B4731" s="13" t="s">
        <v>556</v>
      </c>
      <c r="C4731" s="13" t="s">
        <v>20182</v>
      </c>
      <c r="D4731" s="12" t="s">
        <v>9009</v>
      </c>
      <c r="E4731" s="13" t="s">
        <v>580</v>
      </c>
      <c r="F4731" s="681">
        <v>2.02</v>
      </c>
    </row>
    <row r="4732" spans="2:6" ht="15.75" hidden="1" customHeight="1" x14ac:dyDescent="0.25">
      <c r="B4732" s="13" t="s">
        <v>556</v>
      </c>
      <c r="C4732" s="13" t="s">
        <v>20183</v>
      </c>
      <c r="D4732" s="12" t="s">
        <v>9015</v>
      </c>
      <c r="E4732" s="13" t="s">
        <v>580</v>
      </c>
      <c r="F4732" s="681">
        <v>4.07</v>
      </c>
    </row>
    <row r="4733" spans="2:6" ht="15.75" hidden="1" customHeight="1" x14ac:dyDescent="0.25">
      <c r="B4733" s="13" t="s">
        <v>556</v>
      </c>
      <c r="C4733" s="13" t="s">
        <v>20184</v>
      </c>
      <c r="D4733" s="12" t="s">
        <v>9018</v>
      </c>
      <c r="E4733" s="13" t="s">
        <v>580</v>
      </c>
      <c r="F4733" s="681">
        <v>12.14</v>
      </c>
    </row>
    <row r="4734" spans="2:6" ht="15.75" hidden="1" customHeight="1" x14ac:dyDescent="0.25">
      <c r="B4734" s="13" t="s">
        <v>556</v>
      </c>
      <c r="C4734" s="13" t="s">
        <v>20185</v>
      </c>
      <c r="D4734" s="12" t="s">
        <v>9017</v>
      </c>
      <c r="E4734" s="13" t="s">
        <v>580</v>
      </c>
      <c r="F4734" s="681">
        <v>9.7799999999999994</v>
      </c>
    </row>
    <row r="4735" spans="2:6" ht="15.75" hidden="1" customHeight="1" x14ac:dyDescent="0.25">
      <c r="B4735" s="13" t="s">
        <v>556</v>
      </c>
      <c r="C4735" s="13" t="s">
        <v>20186</v>
      </c>
      <c r="D4735" s="12" t="s">
        <v>9011</v>
      </c>
      <c r="E4735" s="13" t="s">
        <v>580</v>
      </c>
      <c r="F4735" s="681">
        <v>6.55</v>
      </c>
    </row>
    <row r="4736" spans="2:6" ht="15.75" hidden="1" customHeight="1" x14ac:dyDescent="0.25">
      <c r="B4736" s="13" t="s">
        <v>556</v>
      </c>
      <c r="C4736" s="13" t="s">
        <v>20187</v>
      </c>
      <c r="D4736" s="12" t="s">
        <v>9010</v>
      </c>
      <c r="E4736" s="13" t="s">
        <v>580</v>
      </c>
      <c r="F4736" s="681">
        <v>3.51</v>
      </c>
    </row>
    <row r="4737" spans="2:6" ht="15.75" hidden="1" customHeight="1" x14ac:dyDescent="0.25">
      <c r="B4737" s="13" t="s">
        <v>556</v>
      </c>
      <c r="C4737" s="13" t="s">
        <v>20188</v>
      </c>
      <c r="D4737" s="12" t="s">
        <v>8591</v>
      </c>
      <c r="E4737" s="13" t="s">
        <v>580</v>
      </c>
      <c r="F4737" s="681">
        <v>195.2</v>
      </c>
    </row>
    <row r="4738" spans="2:6" ht="15.75" hidden="1" customHeight="1" x14ac:dyDescent="0.25">
      <c r="B4738" s="13" t="s">
        <v>556</v>
      </c>
      <c r="C4738" s="13" t="s">
        <v>20189</v>
      </c>
      <c r="D4738" s="12" t="s">
        <v>9016</v>
      </c>
      <c r="E4738" s="13" t="s">
        <v>580</v>
      </c>
      <c r="F4738" s="681">
        <v>5.49</v>
      </c>
    </row>
    <row r="4739" spans="2:6" ht="15.75" hidden="1" customHeight="1" x14ac:dyDescent="0.25">
      <c r="B4739" s="13" t="s">
        <v>556</v>
      </c>
      <c r="C4739" s="13" t="s">
        <v>20190</v>
      </c>
      <c r="D4739" s="12" t="s">
        <v>9020</v>
      </c>
      <c r="E4739" s="13" t="s">
        <v>580</v>
      </c>
      <c r="F4739" s="681">
        <v>18.13</v>
      </c>
    </row>
    <row r="4740" spans="2:6" ht="15.75" hidden="1" customHeight="1" x14ac:dyDescent="0.25">
      <c r="B4740" s="13" t="s">
        <v>556</v>
      </c>
      <c r="C4740" s="13" t="s">
        <v>20191</v>
      </c>
      <c r="D4740" s="12" t="s">
        <v>9019</v>
      </c>
      <c r="E4740" s="13" t="s">
        <v>580</v>
      </c>
      <c r="F4740" s="681">
        <v>15.85</v>
      </c>
    </row>
    <row r="4741" spans="2:6" ht="15.75" hidden="1" customHeight="1" x14ac:dyDescent="0.25">
      <c r="B4741" s="13" t="s">
        <v>556</v>
      </c>
      <c r="C4741" s="13" t="s">
        <v>20192</v>
      </c>
      <c r="D4741" s="12" t="s">
        <v>9007</v>
      </c>
      <c r="E4741" s="13" t="s">
        <v>580</v>
      </c>
      <c r="F4741" s="681">
        <v>0.56999999999999995</v>
      </c>
    </row>
    <row r="4742" spans="2:6" ht="15.75" hidden="1" customHeight="1" x14ac:dyDescent="0.25">
      <c r="B4742" s="13" t="s">
        <v>556</v>
      </c>
      <c r="C4742" s="13" t="s">
        <v>20193</v>
      </c>
      <c r="D4742" s="12" t="s">
        <v>9008</v>
      </c>
      <c r="E4742" s="13" t="s">
        <v>580</v>
      </c>
      <c r="F4742" s="681">
        <v>0.92</v>
      </c>
    </row>
    <row r="4743" spans="2:6" ht="15.75" hidden="1" customHeight="1" x14ac:dyDescent="0.25">
      <c r="B4743" s="13" t="s">
        <v>556</v>
      </c>
      <c r="C4743" s="13" t="s">
        <v>20194</v>
      </c>
      <c r="D4743" s="12" t="s">
        <v>8587</v>
      </c>
      <c r="E4743" s="13" t="s">
        <v>580</v>
      </c>
      <c r="F4743" s="681">
        <v>205.17</v>
      </c>
    </row>
    <row r="4744" spans="2:6" ht="15.75" hidden="1" customHeight="1" x14ac:dyDescent="0.25">
      <c r="B4744" s="13" t="s">
        <v>556</v>
      </c>
      <c r="C4744" s="13" t="s">
        <v>20195</v>
      </c>
      <c r="D4744" s="12" t="s">
        <v>9013</v>
      </c>
      <c r="E4744" s="13" t="s">
        <v>580</v>
      </c>
      <c r="F4744" s="681">
        <v>2.7</v>
      </c>
    </row>
    <row r="4745" spans="2:6" ht="15.75" hidden="1" customHeight="1" x14ac:dyDescent="0.25">
      <c r="B4745" s="13" t="s">
        <v>556</v>
      </c>
      <c r="C4745" s="13" t="s">
        <v>20196</v>
      </c>
      <c r="D4745" s="12" t="s">
        <v>9014</v>
      </c>
      <c r="E4745" s="13" t="s">
        <v>580</v>
      </c>
      <c r="F4745" s="681">
        <v>3.5</v>
      </c>
    </row>
    <row r="4746" spans="2:6" ht="15.75" hidden="1" customHeight="1" x14ac:dyDescent="0.25">
      <c r="B4746" s="13" t="s">
        <v>556</v>
      </c>
      <c r="C4746" s="13" t="s">
        <v>20197</v>
      </c>
      <c r="D4746" s="12" t="s">
        <v>9092</v>
      </c>
      <c r="E4746" s="13" t="s">
        <v>823</v>
      </c>
      <c r="F4746" s="681">
        <v>51.97</v>
      </c>
    </row>
    <row r="4747" spans="2:6" ht="15.75" hidden="1" customHeight="1" x14ac:dyDescent="0.25">
      <c r="B4747" s="13" t="s">
        <v>556</v>
      </c>
      <c r="C4747" s="13" t="s">
        <v>20198</v>
      </c>
      <c r="D4747" s="12" t="s">
        <v>9096</v>
      </c>
      <c r="E4747" s="13" t="s">
        <v>823</v>
      </c>
      <c r="F4747" s="681">
        <v>57.13</v>
      </c>
    </row>
    <row r="4748" spans="2:6" ht="15.75" hidden="1" customHeight="1" x14ac:dyDescent="0.25">
      <c r="B4748" s="13" t="s">
        <v>556</v>
      </c>
      <c r="C4748" s="13" t="s">
        <v>20199</v>
      </c>
      <c r="D4748" s="12" t="s">
        <v>9105</v>
      </c>
      <c r="E4748" s="13" t="s">
        <v>585</v>
      </c>
      <c r="F4748" s="681">
        <v>18.579999999999998</v>
      </c>
    </row>
    <row r="4749" spans="2:6" ht="15.75" hidden="1" customHeight="1" x14ac:dyDescent="0.25">
      <c r="B4749" s="13" t="s">
        <v>556</v>
      </c>
      <c r="C4749" s="13" t="s">
        <v>20200</v>
      </c>
      <c r="D4749" s="12" t="s">
        <v>9102</v>
      </c>
      <c r="E4749" s="13" t="s">
        <v>585</v>
      </c>
      <c r="F4749" s="681">
        <v>11.11</v>
      </c>
    </row>
    <row r="4750" spans="2:6" ht="15.75" hidden="1" customHeight="1" x14ac:dyDescent="0.25">
      <c r="B4750" s="13" t="s">
        <v>556</v>
      </c>
      <c r="C4750" s="13" t="s">
        <v>20201</v>
      </c>
      <c r="D4750" s="12" t="s">
        <v>9108</v>
      </c>
      <c r="E4750" s="13" t="s">
        <v>585</v>
      </c>
      <c r="F4750" s="681">
        <v>39</v>
      </c>
    </row>
    <row r="4751" spans="2:6" ht="15.75" hidden="1" customHeight="1" x14ac:dyDescent="0.25">
      <c r="B4751" s="13" t="s">
        <v>556</v>
      </c>
      <c r="C4751" s="13" t="s">
        <v>20202</v>
      </c>
      <c r="D4751" s="12" t="s">
        <v>9110</v>
      </c>
      <c r="E4751" s="13" t="s">
        <v>585</v>
      </c>
      <c r="F4751" s="681">
        <v>73.400000000000006</v>
      </c>
    </row>
    <row r="4752" spans="2:6" ht="15.75" hidden="1" customHeight="1" x14ac:dyDescent="0.25">
      <c r="B4752" s="13" t="s">
        <v>556</v>
      </c>
      <c r="C4752" s="13" t="s">
        <v>20203</v>
      </c>
      <c r="D4752" s="12" t="s">
        <v>9111</v>
      </c>
      <c r="E4752" s="13" t="s">
        <v>585</v>
      </c>
      <c r="F4752" s="681">
        <v>105.57</v>
      </c>
    </row>
    <row r="4753" spans="2:6" ht="15.75" hidden="1" customHeight="1" x14ac:dyDescent="0.25">
      <c r="B4753" s="13" t="s">
        <v>556</v>
      </c>
      <c r="C4753" s="13" t="s">
        <v>20204</v>
      </c>
      <c r="D4753" s="12" t="s">
        <v>9103</v>
      </c>
      <c r="E4753" s="13" t="s">
        <v>585</v>
      </c>
      <c r="F4753" s="681">
        <v>141.16</v>
      </c>
    </row>
    <row r="4754" spans="2:6" ht="15.75" hidden="1" customHeight="1" x14ac:dyDescent="0.25">
      <c r="B4754" s="13" t="s">
        <v>556</v>
      </c>
      <c r="C4754" s="13" t="s">
        <v>20205</v>
      </c>
      <c r="D4754" s="12" t="s">
        <v>9109</v>
      </c>
      <c r="E4754" s="13" t="s">
        <v>585</v>
      </c>
      <c r="F4754" s="681">
        <v>55.56</v>
      </c>
    </row>
    <row r="4755" spans="2:6" ht="15.75" hidden="1" customHeight="1" x14ac:dyDescent="0.25">
      <c r="B4755" s="13" t="s">
        <v>556</v>
      </c>
      <c r="C4755" s="13" t="s">
        <v>20206</v>
      </c>
      <c r="D4755" s="12" t="s">
        <v>9107</v>
      </c>
      <c r="E4755" s="13" t="s">
        <v>585</v>
      </c>
      <c r="F4755" s="681">
        <v>26.48</v>
      </c>
    </row>
    <row r="4756" spans="2:6" ht="15.75" hidden="1" customHeight="1" x14ac:dyDescent="0.25">
      <c r="B4756" s="13" t="s">
        <v>556</v>
      </c>
      <c r="C4756" s="13" t="s">
        <v>20207</v>
      </c>
      <c r="D4756" s="12" t="s">
        <v>8590</v>
      </c>
      <c r="E4756" s="13" t="s">
        <v>580</v>
      </c>
      <c r="F4756" s="681">
        <v>10.42</v>
      </c>
    </row>
    <row r="4757" spans="2:6" ht="15.75" hidden="1" customHeight="1" x14ac:dyDescent="0.25">
      <c r="B4757" s="13" t="s">
        <v>556</v>
      </c>
      <c r="C4757" s="13" t="s">
        <v>20208</v>
      </c>
      <c r="D4757" s="12" t="s">
        <v>9104</v>
      </c>
      <c r="E4757" s="13" t="s">
        <v>585</v>
      </c>
      <c r="F4757" s="681">
        <v>170.87</v>
      </c>
    </row>
    <row r="4758" spans="2:6" ht="15.75" hidden="1" customHeight="1" x14ac:dyDescent="0.25">
      <c r="B4758" s="13" t="s">
        <v>556</v>
      </c>
      <c r="C4758" s="13" t="s">
        <v>20209</v>
      </c>
      <c r="D4758" s="12" t="s">
        <v>10041</v>
      </c>
      <c r="E4758" s="13" t="s">
        <v>585</v>
      </c>
      <c r="F4758" s="681">
        <v>9.49</v>
      </c>
    </row>
    <row r="4759" spans="2:6" ht="15.75" hidden="1" customHeight="1" x14ac:dyDescent="0.25">
      <c r="B4759" s="13" t="s">
        <v>556</v>
      </c>
      <c r="C4759" s="13" t="s">
        <v>20210</v>
      </c>
      <c r="D4759" s="12" t="s">
        <v>10040</v>
      </c>
      <c r="E4759" s="13" t="s">
        <v>585</v>
      </c>
      <c r="F4759" s="681">
        <v>1.63</v>
      </c>
    </row>
    <row r="4760" spans="2:6" ht="15.75" hidden="1" customHeight="1" x14ac:dyDescent="0.25">
      <c r="B4760" s="13" t="s">
        <v>556</v>
      </c>
      <c r="C4760" s="13" t="s">
        <v>20211</v>
      </c>
      <c r="D4760" s="12" t="s">
        <v>10042</v>
      </c>
      <c r="E4760" s="13" t="s">
        <v>585</v>
      </c>
      <c r="F4760" s="681">
        <v>2.63</v>
      </c>
    </row>
    <row r="4761" spans="2:6" ht="15.75" hidden="1" customHeight="1" x14ac:dyDescent="0.25">
      <c r="B4761" s="13" t="s">
        <v>556</v>
      </c>
      <c r="C4761" s="13" t="s">
        <v>20212</v>
      </c>
      <c r="D4761" s="12" t="s">
        <v>10044</v>
      </c>
      <c r="E4761" s="13" t="s">
        <v>585</v>
      </c>
      <c r="F4761" s="681">
        <v>6</v>
      </c>
    </row>
    <row r="4762" spans="2:6" ht="15.75" hidden="1" customHeight="1" x14ac:dyDescent="0.25">
      <c r="B4762" s="13" t="s">
        <v>556</v>
      </c>
      <c r="C4762" s="13" t="s">
        <v>20213</v>
      </c>
      <c r="D4762" s="12" t="s">
        <v>10043</v>
      </c>
      <c r="E4762" s="13" t="s">
        <v>585</v>
      </c>
      <c r="F4762" s="681">
        <v>4.16</v>
      </c>
    </row>
    <row r="4763" spans="2:6" ht="15.75" hidden="1" customHeight="1" x14ac:dyDescent="0.25">
      <c r="B4763" s="13" t="s">
        <v>556</v>
      </c>
      <c r="C4763" s="13" t="s">
        <v>20214</v>
      </c>
      <c r="D4763" s="12" t="s">
        <v>8576</v>
      </c>
      <c r="E4763" s="13" t="s">
        <v>580</v>
      </c>
      <c r="F4763" s="681">
        <v>10.88</v>
      </c>
    </row>
    <row r="4764" spans="2:6" ht="15.75" hidden="1" customHeight="1" x14ac:dyDescent="0.25">
      <c r="B4764" s="13" t="s">
        <v>556</v>
      </c>
      <c r="C4764" s="13" t="s">
        <v>20215</v>
      </c>
      <c r="D4764" s="12" t="s">
        <v>8577</v>
      </c>
      <c r="E4764" s="13" t="s">
        <v>580</v>
      </c>
      <c r="F4764" s="681">
        <v>11.84</v>
      </c>
    </row>
    <row r="4765" spans="2:6" ht="15.75" hidden="1" customHeight="1" x14ac:dyDescent="0.25">
      <c r="B4765" s="13" t="s">
        <v>556</v>
      </c>
      <c r="C4765" s="13" t="s">
        <v>20216</v>
      </c>
      <c r="D4765" s="12" t="s">
        <v>8578</v>
      </c>
      <c r="E4765" s="13" t="s">
        <v>580</v>
      </c>
      <c r="F4765" s="681">
        <v>17.809999999999999</v>
      </c>
    </row>
    <row r="4766" spans="2:6" ht="15.75" hidden="1" customHeight="1" x14ac:dyDescent="0.25">
      <c r="B4766" s="13" t="s">
        <v>556</v>
      </c>
      <c r="C4766" s="13" t="s">
        <v>20217</v>
      </c>
      <c r="D4766" s="12" t="s">
        <v>9146</v>
      </c>
      <c r="E4766" s="13" t="s">
        <v>585</v>
      </c>
      <c r="F4766" s="681">
        <v>73.930000000000007</v>
      </c>
    </row>
    <row r="4767" spans="2:6" ht="15.75" hidden="1" customHeight="1" x14ac:dyDescent="0.25">
      <c r="B4767" s="13" t="s">
        <v>556</v>
      </c>
      <c r="C4767" s="13" t="s">
        <v>20218</v>
      </c>
      <c r="D4767" s="12" t="s">
        <v>9119</v>
      </c>
      <c r="E4767" s="13" t="s">
        <v>585</v>
      </c>
      <c r="F4767" s="681">
        <v>15.35</v>
      </c>
    </row>
    <row r="4768" spans="2:6" ht="15.75" hidden="1" customHeight="1" x14ac:dyDescent="0.25">
      <c r="B4768" s="13" t="s">
        <v>556</v>
      </c>
      <c r="C4768" s="13" t="s">
        <v>20219</v>
      </c>
      <c r="D4768" s="12" t="s">
        <v>8579</v>
      </c>
      <c r="E4768" s="13" t="s">
        <v>580</v>
      </c>
      <c r="F4768" s="681">
        <v>26.66</v>
      </c>
    </row>
    <row r="4769" spans="2:6" ht="15.75" hidden="1" customHeight="1" x14ac:dyDescent="0.25">
      <c r="B4769" s="13" t="s">
        <v>556</v>
      </c>
      <c r="C4769" s="13" t="s">
        <v>20220</v>
      </c>
      <c r="D4769" s="12" t="s">
        <v>9116</v>
      </c>
      <c r="E4769" s="13" t="s">
        <v>585</v>
      </c>
      <c r="F4769" s="681">
        <v>10.74</v>
      </c>
    </row>
    <row r="4770" spans="2:6" ht="15.75" hidden="1" customHeight="1" x14ac:dyDescent="0.25">
      <c r="B4770" s="13" t="s">
        <v>556</v>
      </c>
      <c r="C4770" s="13" t="s">
        <v>20221</v>
      </c>
      <c r="D4770" s="12" t="s">
        <v>9125</v>
      </c>
      <c r="E4770" s="13" t="s">
        <v>585</v>
      </c>
      <c r="F4770" s="681">
        <v>3.91</v>
      </c>
    </row>
    <row r="4771" spans="2:6" ht="15.75" hidden="1" customHeight="1" x14ac:dyDescent="0.25">
      <c r="B4771" s="13" t="s">
        <v>556</v>
      </c>
      <c r="C4771" s="13" t="s">
        <v>20222</v>
      </c>
      <c r="D4771" s="12" t="s">
        <v>20223</v>
      </c>
      <c r="E4771" s="13" t="s">
        <v>585</v>
      </c>
      <c r="F4771" s="681">
        <v>5.1100000000000003</v>
      </c>
    </row>
    <row r="4772" spans="2:6" ht="15.75" hidden="1" customHeight="1" x14ac:dyDescent="0.25">
      <c r="B4772" s="13" t="s">
        <v>556</v>
      </c>
      <c r="C4772" s="13" t="s">
        <v>20224</v>
      </c>
      <c r="D4772" s="12" t="s">
        <v>20225</v>
      </c>
      <c r="E4772" s="13" t="s">
        <v>585</v>
      </c>
      <c r="F4772" s="681">
        <v>10.09</v>
      </c>
    </row>
    <row r="4773" spans="2:6" ht="15.75" hidden="1" customHeight="1" x14ac:dyDescent="0.25">
      <c r="B4773" s="13" t="s">
        <v>556</v>
      </c>
      <c r="C4773" s="13" t="s">
        <v>20226</v>
      </c>
      <c r="D4773" s="12" t="s">
        <v>9127</v>
      </c>
      <c r="E4773" s="13" t="s">
        <v>585</v>
      </c>
      <c r="F4773" s="681">
        <v>5.62</v>
      </c>
    </row>
    <row r="4774" spans="2:6" ht="15.75" hidden="1" customHeight="1" x14ac:dyDescent="0.25">
      <c r="B4774" s="13" t="s">
        <v>556</v>
      </c>
      <c r="C4774" s="13" t="s">
        <v>20227</v>
      </c>
      <c r="D4774" s="12" t="s">
        <v>20228</v>
      </c>
      <c r="E4774" s="13" t="s">
        <v>585</v>
      </c>
      <c r="F4774" s="681">
        <v>50.67</v>
      </c>
    </row>
    <row r="4775" spans="2:6" ht="15.75" hidden="1" customHeight="1" x14ac:dyDescent="0.25">
      <c r="B4775" s="13" t="s">
        <v>556</v>
      </c>
      <c r="C4775" s="13" t="s">
        <v>20229</v>
      </c>
      <c r="D4775" s="12" t="s">
        <v>20230</v>
      </c>
      <c r="E4775" s="13" t="s">
        <v>585</v>
      </c>
      <c r="F4775" s="681">
        <v>351.79</v>
      </c>
    </row>
    <row r="4776" spans="2:6" ht="15.75" hidden="1" customHeight="1" x14ac:dyDescent="0.25">
      <c r="B4776" s="13" t="s">
        <v>556</v>
      </c>
      <c r="C4776" s="13" t="s">
        <v>20231</v>
      </c>
      <c r="D4776" s="12" t="s">
        <v>20232</v>
      </c>
      <c r="E4776" s="13" t="s">
        <v>585</v>
      </c>
      <c r="F4776" s="681">
        <v>499.54</v>
      </c>
    </row>
    <row r="4777" spans="2:6" ht="15.75" hidden="1" customHeight="1" x14ac:dyDescent="0.25">
      <c r="B4777" s="13" t="s">
        <v>556</v>
      </c>
      <c r="C4777" s="13" t="s">
        <v>20233</v>
      </c>
      <c r="D4777" s="12" t="s">
        <v>20234</v>
      </c>
      <c r="E4777" s="13" t="s">
        <v>585</v>
      </c>
      <c r="F4777" s="681">
        <v>136.35</v>
      </c>
    </row>
    <row r="4778" spans="2:6" ht="15.75" hidden="1" customHeight="1" x14ac:dyDescent="0.25">
      <c r="B4778" s="13" t="s">
        <v>556</v>
      </c>
      <c r="C4778" s="13" t="s">
        <v>20235</v>
      </c>
      <c r="D4778" s="12" t="s">
        <v>20236</v>
      </c>
      <c r="E4778" s="13" t="s">
        <v>585</v>
      </c>
      <c r="F4778" s="681">
        <v>231.08</v>
      </c>
    </row>
    <row r="4779" spans="2:6" ht="15.75" hidden="1" customHeight="1" x14ac:dyDescent="0.25">
      <c r="B4779" s="13" t="s">
        <v>556</v>
      </c>
      <c r="C4779" s="13" t="s">
        <v>20237</v>
      </c>
      <c r="D4779" s="12" t="s">
        <v>11758</v>
      </c>
      <c r="E4779" s="13" t="s">
        <v>585</v>
      </c>
      <c r="F4779" s="681">
        <v>6.97</v>
      </c>
    </row>
    <row r="4780" spans="2:6" ht="15.75" hidden="1" customHeight="1" x14ac:dyDescent="0.25">
      <c r="B4780" s="13" t="s">
        <v>556</v>
      </c>
      <c r="C4780" s="13" t="s">
        <v>20238</v>
      </c>
      <c r="D4780" s="12" t="s">
        <v>11756</v>
      </c>
      <c r="E4780" s="13" t="s">
        <v>585</v>
      </c>
      <c r="F4780" s="681">
        <v>15.95</v>
      </c>
    </row>
    <row r="4781" spans="2:6" ht="15.75" hidden="1" customHeight="1" x14ac:dyDescent="0.25">
      <c r="B4781" s="13" t="s">
        <v>556</v>
      </c>
      <c r="C4781" s="13" t="s">
        <v>20239</v>
      </c>
      <c r="D4781" s="12" t="s">
        <v>11760</v>
      </c>
      <c r="E4781" s="13" t="s">
        <v>585</v>
      </c>
      <c r="F4781" s="681">
        <v>15.1</v>
      </c>
    </row>
    <row r="4782" spans="2:6" ht="15.75" hidden="1" customHeight="1" x14ac:dyDescent="0.25">
      <c r="B4782" s="13" t="s">
        <v>556</v>
      </c>
      <c r="C4782" s="13" t="s">
        <v>20240</v>
      </c>
      <c r="D4782" s="12" t="s">
        <v>11759</v>
      </c>
      <c r="E4782" s="13" t="s">
        <v>585</v>
      </c>
      <c r="F4782" s="681">
        <v>11.51</v>
      </c>
    </row>
    <row r="4783" spans="2:6" ht="15.75" hidden="1" customHeight="1" x14ac:dyDescent="0.25">
      <c r="B4783" s="13" t="s">
        <v>556</v>
      </c>
      <c r="C4783" s="13" t="s">
        <v>20241</v>
      </c>
      <c r="D4783" s="12" t="s">
        <v>11772</v>
      </c>
      <c r="E4783" s="13" t="s">
        <v>585</v>
      </c>
      <c r="F4783" s="681">
        <v>24.88</v>
      </c>
    </row>
    <row r="4784" spans="2:6" ht="15.75" hidden="1" customHeight="1" x14ac:dyDescent="0.25">
      <c r="B4784" s="13" t="s">
        <v>556</v>
      </c>
      <c r="C4784" s="13" t="s">
        <v>20242</v>
      </c>
      <c r="D4784" s="12" t="s">
        <v>11769</v>
      </c>
      <c r="E4784" s="13" t="s">
        <v>585</v>
      </c>
      <c r="F4784" s="681">
        <v>63.45</v>
      </c>
    </row>
    <row r="4785" spans="2:6" ht="15.75" hidden="1" customHeight="1" x14ac:dyDescent="0.25">
      <c r="B4785" s="13" t="s">
        <v>556</v>
      </c>
      <c r="C4785" s="13" t="s">
        <v>20243</v>
      </c>
      <c r="D4785" s="12" t="s">
        <v>11768</v>
      </c>
      <c r="E4785" s="13" t="s">
        <v>585</v>
      </c>
      <c r="F4785" s="681">
        <v>30.03</v>
      </c>
    </row>
    <row r="4786" spans="2:6" ht="15.75" hidden="1" customHeight="1" x14ac:dyDescent="0.25">
      <c r="B4786" s="13" t="s">
        <v>556</v>
      </c>
      <c r="C4786" s="13" t="s">
        <v>20244</v>
      </c>
      <c r="D4786" s="12" t="s">
        <v>20245</v>
      </c>
      <c r="E4786" s="13" t="s">
        <v>585</v>
      </c>
      <c r="F4786" s="681">
        <v>147.75</v>
      </c>
    </row>
    <row r="4787" spans="2:6" ht="15.75" hidden="1" customHeight="1" x14ac:dyDescent="0.25">
      <c r="B4787" s="13" t="s">
        <v>556</v>
      </c>
      <c r="C4787" s="13" t="s">
        <v>20246</v>
      </c>
      <c r="D4787" s="12" t="s">
        <v>20247</v>
      </c>
      <c r="E4787" s="13" t="s">
        <v>585</v>
      </c>
      <c r="F4787" s="681">
        <v>199.62</v>
      </c>
    </row>
    <row r="4788" spans="2:6" ht="15.75" hidden="1" customHeight="1" x14ac:dyDescent="0.25">
      <c r="B4788" s="13" t="s">
        <v>556</v>
      </c>
      <c r="C4788" s="13" t="s">
        <v>20248</v>
      </c>
      <c r="D4788" s="12" t="s">
        <v>20249</v>
      </c>
      <c r="E4788" s="13" t="s">
        <v>585</v>
      </c>
      <c r="F4788" s="681">
        <v>262.74</v>
      </c>
    </row>
    <row r="4789" spans="2:6" ht="15.75" hidden="1" customHeight="1" x14ac:dyDescent="0.25">
      <c r="B4789" s="13" t="s">
        <v>556</v>
      </c>
      <c r="C4789" s="13" t="s">
        <v>20250</v>
      </c>
      <c r="D4789" s="12" t="s">
        <v>20251</v>
      </c>
      <c r="E4789" s="13" t="s">
        <v>585</v>
      </c>
      <c r="F4789" s="681">
        <v>115.12</v>
      </c>
    </row>
    <row r="4790" spans="2:6" ht="15.75" hidden="1" customHeight="1" x14ac:dyDescent="0.25">
      <c r="B4790" s="13" t="s">
        <v>556</v>
      </c>
      <c r="C4790" s="13" t="s">
        <v>20252</v>
      </c>
      <c r="D4790" s="12" t="s">
        <v>11765</v>
      </c>
      <c r="E4790" s="13" t="s">
        <v>585</v>
      </c>
      <c r="F4790" s="681">
        <v>7.62</v>
      </c>
    </row>
    <row r="4791" spans="2:6" ht="15.75" hidden="1" customHeight="1" x14ac:dyDescent="0.25">
      <c r="B4791" s="13" t="s">
        <v>556</v>
      </c>
      <c r="C4791" s="13" t="s">
        <v>20253</v>
      </c>
      <c r="D4791" s="12" t="s">
        <v>11755</v>
      </c>
      <c r="E4791" s="13" t="s">
        <v>585</v>
      </c>
      <c r="F4791" s="681">
        <v>9.77</v>
      </c>
    </row>
    <row r="4792" spans="2:6" ht="15.75" hidden="1" customHeight="1" x14ac:dyDescent="0.25">
      <c r="B4792" s="13" t="s">
        <v>556</v>
      </c>
      <c r="C4792" s="13" t="s">
        <v>20254</v>
      </c>
      <c r="D4792" s="12" t="s">
        <v>9153</v>
      </c>
      <c r="E4792" s="13" t="s">
        <v>585</v>
      </c>
      <c r="F4792" s="681">
        <v>26.3</v>
      </c>
    </row>
    <row r="4793" spans="2:6" ht="15.75" hidden="1" customHeight="1" x14ac:dyDescent="0.25">
      <c r="B4793" s="13" t="s">
        <v>556</v>
      </c>
      <c r="C4793" s="13" t="s">
        <v>20255</v>
      </c>
      <c r="D4793" s="12" t="s">
        <v>11767</v>
      </c>
      <c r="E4793" s="13" t="s">
        <v>585</v>
      </c>
      <c r="F4793" s="681">
        <v>43.08</v>
      </c>
    </row>
    <row r="4794" spans="2:6" ht="15.75" hidden="1" customHeight="1" x14ac:dyDescent="0.25">
      <c r="B4794" s="13" t="s">
        <v>556</v>
      </c>
      <c r="C4794" s="13" t="s">
        <v>20256</v>
      </c>
      <c r="D4794" s="12" t="s">
        <v>11763</v>
      </c>
      <c r="E4794" s="13" t="s">
        <v>585</v>
      </c>
      <c r="F4794" s="681">
        <v>23.64</v>
      </c>
    </row>
    <row r="4795" spans="2:6" ht="15.75" hidden="1" customHeight="1" x14ac:dyDescent="0.25">
      <c r="B4795" s="13" t="s">
        <v>556</v>
      </c>
      <c r="C4795" s="13" t="s">
        <v>20257</v>
      </c>
      <c r="D4795" s="12" t="s">
        <v>11762</v>
      </c>
      <c r="E4795" s="13" t="s">
        <v>585</v>
      </c>
      <c r="F4795" s="681">
        <v>30.1</v>
      </c>
    </row>
    <row r="4796" spans="2:6" ht="15.75" hidden="1" customHeight="1" x14ac:dyDescent="0.25">
      <c r="B4796" s="13" t="s">
        <v>556</v>
      </c>
      <c r="C4796" s="13" t="s">
        <v>20258</v>
      </c>
      <c r="D4796" s="12" t="s">
        <v>11766</v>
      </c>
      <c r="E4796" s="13" t="s">
        <v>585</v>
      </c>
      <c r="F4796" s="681">
        <v>59.02</v>
      </c>
    </row>
    <row r="4797" spans="2:6" ht="15.75" hidden="1" customHeight="1" x14ac:dyDescent="0.25">
      <c r="B4797" s="13" t="s">
        <v>556</v>
      </c>
      <c r="C4797" s="13" t="s">
        <v>20259</v>
      </c>
      <c r="D4797" s="12" t="s">
        <v>11764</v>
      </c>
      <c r="E4797" s="13" t="s">
        <v>585</v>
      </c>
      <c r="F4797" s="681">
        <v>20.399999999999999</v>
      </c>
    </row>
    <row r="4798" spans="2:6" ht="15.75" hidden="1" customHeight="1" x14ac:dyDescent="0.25">
      <c r="B4798" s="13" t="s">
        <v>556</v>
      </c>
      <c r="C4798" s="13" t="s">
        <v>20260</v>
      </c>
      <c r="D4798" s="12" t="s">
        <v>11774</v>
      </c>
      <c r="E4798" s="13" t="s">
        <v>585</v>
      </c>
      <c r="F4798" s="681">
        <v>3.53</v>
      </c>
    </row>
    <row r="4799" spans="2:6" ht="15.75" hidden="1" customHeight="1" x14ac:dyDescent="0.25">
      <c r="B4799" s="13" t="s">
        <v>556</v>
      </c>
      <c r="C4799" s="13" t="s">
        <v>20261</v>
      </c>
      <c r="D4799" s="12" t="s">
        <v>11775</v>
      </c>
      <c r="E4799" s="13" t="s">
        <v>585</v>
      </c>
      <c r="F4799" s="681">
        <v>3.99</v>
      </c>
    </row>
    <row r="4800" spans="2:6" ht="15.75" hidden="1" customHeight="1" x14ac:dyDescent="0.25">
      <c r="B4800" s="13" t="s">
        <v>556</v>
      </c>
      <c r="C4800" s="13" t="s">
        <v>20262</v>
      </c>
      <c r="D4800" s="12" t="s">
        <v>11776</v>
      </c>
      <c r="E4800" s="13" t="s">
        <v>585</v>
      </c>
      <c r="F4800" s="681">
        <v>8.61</v>
      </c>
    </row>
    <row r="4801" spans="2:6" ht="15.75" hidden="1" customHeight="1" x14ac:dyDescent="0.25">
      <c r="B4801" s="13" t="s">
        <v>556</v>
      </c>
      <c r="C4801" s="13" t="s">
        <v>20263</v>
      </c>
      <c r="D4801" s="12" t="s">
        <v>9154</v>
      </c>
      <c r="E4801" s="13" t="s">
        <v>585</v>
      </c>
      <c r="F4801" s="681">
        <v>36.01</v>
      </c>
    </row>
    <row r="4802" spans="2:6" ht="15.75" hidden="1" customHeight="1" x14ac:dyDescent="0.25">
      <c r="B4802" s="13" t="s">
        <v>556</v>
      </c>
      <c r="C4802" s="13" t="s">
        <v>20264</v>
      </c>
      <c r="D4802" s="12" t="s">
        <v>11773</v>
      </c>
      <c r="E4802" s="13" t="s">
        <v>585</v>
      </c>
      <c r="F4802" s="681">
        <v>88.02</v>
      </c>
    </row>
    <row r="4803" spans="2:6" ht="15.75" hidden="1" customHeight="1" x14ac:dyDescent="0.25">
      <c r="B4803" s="13" t="s">
        <v>556</v>
      </c>
      <c r="C4803" s="13" t="s">
        <v>20265</v>
      </c>
      <c r="D4803" s="12" t="s">
        <v>11780</v>
      </c>
      <c r="E4803" s="13" t="s">
        <v>585</v>
      </c>
      <c r="F4803" s="681">
        <v>40.43</v>
      </c>
    </row>
    <row r="4804" spans="2:6" ht="15.75" hidden="1" customHeight="1" x14ac:dyDescent="0.25">
      <c r="B4804" s="13" t="s">
        <v>556</v>
      </c>
      <c r="C4804" s="13" t="s">
        <v>20266</v>
      </c>
      <c r="D4804" s="12" t="s">
        <v>11781</v>
      </c>
      <c r="E4804" s="13" t="s">
        <v>585</v>
      </c>
      <c r="F4804" s="681">
        <v>56.25</v>
      </c>
    </row>
    <row r="4805" spans="2:6" ht="15.75" hidden="1" customHeight="1" x14ac:dyDescent="0.25">
      <c r="B4805" s="13" t="s">
        <v>556</v>
      </c>
      <c r="C4805" s="13" t="s">
        <v>20267</v>
      </c>
      <c r="D4805" s="12" t="s">
        <v>11779</v>
      </c>
      <c r="E4805" s="13" t="s">
        <v>585</v>
      </c>
      <c r="F4805" s="681">
        <v>24.4</v>
      </c>
    </row>
    <row r="4806" spans="2:6" ht="15.75" hidden="1" customHeight="1" x14ac:dyDescent="0.25">
      <c r="B4806" s="13" t="s">
        <v>556</v>
      </c>
      <c r="C4806" s="13" t="s">
        <v>20268</v>
      </c>
      <c r="D4806" s="12" t="s">
        <v>11777</v>
      </c>
      <c r="E4806" s="13" t="s">
        <v>585</v>
      </c>
      <c r="F4806" s="681">
        <v>13.52</v>
      </c>
    </row>
    <row r="4807" spans="2:6" ht="15.75" hidden="1" customHeight="1" x14ac:dyDescent="0.25">
      <c r="B4807" s="13" t="s">
        <v>556</v>
      </c>
      <c r="C4807" s="13" t="s">
        <v>20269</v>
      </c>
      <c r="D4807" s="12" t="s">
        <v>11778</v>
      </c>
      <c r="E4807" s="13" t="s">
        <v>585</v>
      </c>
      <c r="F4807" s="681">
        <v>14.83</v>
      </c>
    </row>
    <row r="4808" spans="2:6" ht="15.75" hidden="1" customHeight="1" x14ac:dyDescent="0.25">
      <c r="B4808" s="13" t="s">
        <v>556</v>
      </c>
      <c r="C4808" s="13" t="s">
        <v>20270</v>
      </c>
      <c r="D4808" s="12" t="s">
        <v>11728</v>
      </c>
      <c r="E4808" s="13" t="s">
        <v>585</v>
      </c>
      <c r="F4808" s="681">
        <v>132.35</v>
      </c>
    </row>
    <row r="4809" spans="2:6" ht="15.75" hidden="1" customHeight="1" x14ac:dyDescent="0.25">
      <c r="B4809" s="13" t="s">
        <v>556</v>
      </c>
      <c r="C4809" s="13" t="s">
        <v>20271</v>
      </c>
      <c r="D4809" s="12" t="s">
        <v>11729</v>
      </c>
      <c r="E4809" s="13" t="s">
        <v>585</v>
      </c>
      <c r="F4809" s="681">
        <v>162.93</v>
      </c>
    </row>
    <row r="4810" spans="2:6" ht="15.75" hidden="1" customHeight="1" x14ac:dyDescent="0.25">
      <c r="B4810" s="13" t="s">
        <v>556</v>
      </c>
      <c r="C4810" s="13" t="s">
        <v>20272</v>
      </c>
      <c r="D4810" s="12" t="s">
        <v>9157</v>
      </c>
      <c r="E4810" s="13" t="s">
        <v>585</v>
      </c>
      <c r="F4810" s="681">
        <v>68.73</v>
      </c>
    </row>
    <row r="4811" spans="2:6" ht="15.75" hidden="1" customHeight="1" x14ac:dyDescent="0.25">
      <c r="B4811" s="13" t="s">
        <v>556</v>
      </c>
      <c r="C4811" s="13" t="s">
        <v>20273</v>
      </c>
      <c r="D4811" s="12" t="s">
        <v>20274</v>
      </c>
      <c r="E4811" s="13" t="s">
        <v>580</v>
      </c>
      <c r="F4811" s="681">
        <v>27.11</v>
      </c>
    </row>
    <row r="4812" spans="2:6" ht="15.75" hidden="1" customHeight="1" x14ac:dyDescent="0.25">
      <c r="B4812" s="13" t="s">
        <v>556</v>
      </c>
      <c r="C4812" s="13" t="s">
        <v>20275</v>
      </c>
      <c r="D4812" s="12" t="s">
        <v>20276</v>
      </c>
      <c r="E4812" s="13" t="s">
        <v>580</v>
      </c>
      <c r="F4812" s="681">
        <v>77.319999999999993</v>
      </c>
    </row>
    <row r="4813" spans="2:6" ht="15.75" hidden="1" customHeight="1" x14ac:dyDescent="0.25">
      <c r="B4813" s="13" t="s">
        <v>556</v>
      </c>
      <c r="C4813" s="13" t="s">
        <v>20277</v>
      </c>
      <c r="D4813" s="12" t="s">
        <v>20278</v>
      </c>
      <c r="E4813" s="13" t="s">
        <v>580</v>
      </c>
      <c r="F4813" s="681">
        <v>35.9</v>
      </c>
    </row>
    <row r="4814" spans="2:6" ht="15.75" hidden="1" customHeight="1" x14ac:dyDescent="0.25">
      <c r="B4814" s="13" t="s">
        <v>556</v>
      </c>
      <c r="C4814" s="13" t="s">
        <v>20279</v>
      </c>
      <c r="D4814" s="12" t="s">
        <v>20280</v>
      </c>
      <c r="E4814" s="13" t="s">
        <v>580</v>
      </c>
      <c r="F4814" s="681">
        <v>37.130000000000003</v>
      </c>
    </row>
    <row r="4815" spans="2:6" ht="15.75" hidden="1" customHeight="1" x14ac:dyDescent="0.25">
      <c r="B4815" s="13" t="s">
        <v>556</v>
      </c>
      <c r="C4815" s="13" t="s">
        <v>20281</v>
      </c>
      <c r="D4815" s="12" t="s">
        <v>20282</v>
      </c>
      <c r="E4815" s="13" t="s">
        <v>580</v>
      </c>
      <c r="F4815" s="681">
        <v>113.7</v>
      </c>
    </row>
    <row r="4816" spans="2:6" ht="15.75" hidden="1" customHeight="1" x14ac:dyDescent="0.25">
      <c r="B4816" s="13" t="s">
        <v>556</v>
      </c>
      <c r="C4816" s="13" t="s">
        <v>20283</v>
      </c>
      <c r="D4816" s="12" t="s">
        <v>20284</v>
      </c>
      <c r="E4816" s="13" t="s">
        <v>580</v>
      </c>
      <c r="F4816" s="681">
        <v>62.13</v>
      </c>
    </row>
    <row r="4817" spans="2:6" ht="15.75" hidden="1" customHeight="1" x14ac:dyDescent="0.25">
      <c r="B4817" s="13" t="s">
        <v>556</v>
      </c>
      <c r="C4817" s="13" t="s">
        <v>20285</v>
      </c>
      <c r="D4817" s="12" t="s">
        <v>20286</v>
      </c>
      <c r="E4817" s="13" t="s">
        <v>580</v>
      </c>
      <c r="F4817" s="681">
        <v>188.12</v>
      </c>
    </row>
    <row r="4818" spans="2:6" ht="15.75" hidden="1" customHeight="1" x14ac:dyDescent="0.25">
      <c r="B4818" s="13" t="s">
        <v>556</v>
      </c>
      <c r="C4818" s="13" t="s">
        <v>20287</v>
      </c>
      <c r="D4818" s="12" t="s">
        <v>9158</v>
      </c>
      <c r="E4818" s="13" t="s">
        <v>585</v>
      </c>
      <c r="F4818" s="681">
        <v>94.87</v>
      </c>
    </row>
    <row r="4819" spans="2:6" ht="15.75" hidden="1" customHeight="1" x14ac:dyDescent="0.25">
      <c r="B4819" s="13" t="s">
        <v>556</v>
      </c>
      <c r="C4819" s="13" t="s">
        <v>20288</v>
      </c>
      <c r="D4819" s="12" t="s">
        <v>20289</v>
      </c>
      <c r="E4819" s="13" t="s">
        <v>580</v>
      </c>
      <c r="F4819" s="681">
        <v>291.45</v>
      </c>
    </row>
    <row r="4820" spans="2:6" ht="15.75" hidden="1" customHeight="1" x14ac:dyDescent="0.25">
      <c r="B4820" s="13" t="s">
        <v>556</v>
      </c>
      <c r="C4820" s="13" t="s">
        <v>20290</v>
      </c>
      <c r="D4820" s="12" t="s">
        <v>20291</v>
      </c>
      <c r="E4820" s="13" t="s">
        <v>580</v>
      </c>
      <c r="F4820" s="681">
        <v>409.14</v>
      </c>
    </row>
    <row r="4821" spans="2:6" ht="15.75" hidden="1" customHeight="1" x14ac:dyDescent="0.25">
      <c r="B4821" s="13" t="s">
        <v>556</v>
      </c>
      <c r="C4821" s="13" t="s">
        <v>20292</v>
      </c>
      <c r="D4821" s="12" t="s">
        <v>11785</v>
      </c>
      <c r="E4821" s="13" t="s">
        <v>580</v>
      </c>
      <c r="F4821" s="681">
        <v>6.47</v>
      </c>
    </row>
    <row r="4822" spans="2:6" ht="15.75" hidden="1" customHeight="1" x14ac:dyDescent="0.25">
      <c r="B4822" s="13" t="s">
        <v>556</v>
      </c>
      <c r="C4822" s="13" t="s">
        <v>20293</v>
      </c>
      <c r="D4822" s="12" t="s">
        <v>11793</v>
      </c>
      <c r="E4822" s="13" t="s">
        <v>580</v>
      </c>
      <c r="F4822" s="681">
        <v>24.86</v>
      </c>
    </row>
    <row r="4823" spans="2:6" ht="15.75" hidden="1" customHeight="1" x14ac:dyDescent="0.25">
      <c r="B4823" s="13" t="s">
        <v>556</v>
      </c>
      <c r="C4823" s="13" t="s">
        <v>20294</v>
      </c>
      <c r="D4823" s="12" t="s">
        <v>11792</v>
      </c>
      <c r="E4823" s="13" t="s">
        <v>580</v>
      </c>
      <c r="F4823" s="681">
        <v>12.93</v>
      </c>
    </row>
    <row r="4824" spans="2:6" ht="15.75" hidden="1" customHeight="1" x14ac:dyDescent="0.25">
      <c r="B4824" s="13" t="s">
        <v>556</v>
      </c>
      <c r="C4824" s="13" t="s">
        <v>20295</v>
      </c>
      <c r="D4824" s="12" t="s">
        <v>11794</v>
      </c>
      <c r="E4824" s="13" t="s">
        <v>580</v>
      </c>
      <c r="F4824" s="681">
        <v>26.55</v>
      </c>
    </row>
    <row r="4825" spans="2:6" ht="15.75" hidden="1" customHeight="1" x14ac:dyDescent="0.25">
      <c r="B4825" s="13" t="s">
        <v>556</v>
      </c>
      <c r="C4825" s="13" t="s">
        <v>20296</v>
      </c>
      <c r="D4825" s="12" t="s">
        <v>11788</v>
      </c>
      <c r="E4825" s="13" t="s">
        <v>580</v>
      </c>
      <c r="F4825" s="681">
        <v>8.14</v>
      </c>
    </row>
    <row r="4826" spans="2:6" ht="15.75" hidden="1" customHeight="1" x14ac:dyDescent="0.25">
      <c r="B4826" s="13" t="s">
        <v>556</v>
      </c>
      <c r="C4826" s="13" t="s">
        <v>20297</v>
      </c>
      <c r="D4826" s="12" t="s">
        <v>8580</v>
      </c>
      <c r="E4826" s="13" t="s">
        <v>580</v>
      </c>
      <c r="F4826" s="681">
        <v>25.19</v>
      </c>
    </row>
    <row r="4827" spans="2:6" ht="15.75" hidden="1" customHeight="1" x14ac:dyDescent="0.25">
      <c r="B4827" s="13" t="s">
        <v>556</v>
      </c>
      <c r="C4827" s="13" t="s">
        <v>20298</v>
      </c>
      <c r="D4827" s="12" t="s">
        <v>9149</v>
      </c>
      <c r="E4827" s="13" t="s">
        <v>585</v>
      </c>
      <c r="F4827" s="681">
        <v>169.12</v>
      </c>
    </row>
    <row r="4828" spans="2:6" ht="15.75" hidden="1" customHeight="1" x14ac:dyDescent="0.25">
      <c r="B4828" s="13" t="s">
        <v>556</v>
      </c>
      <c r="C4828" s="13" t="s">
        <v>20299</v>
      </c>
      <c r="D4828" s="12" t="s">
        <v>11787</v>
      </c>
      <c r="E4828" s="13" t="s">
        <v>580</v>
      </c>
      <c r="F4828" s="681">
        <v>18.149999999999999</v>
      </c>
    </row>
    <row r="4829" spans="2:6" ht="15.75" hidden="1" customHeight="1" x14ac:dyDescent="0.25">
      <c r="B4829" s="13" t="s">
        <v>556</v>
      </c>
      <c r="C4829" s="13" t="s">
        <v>20300</v>
      </c>
      <c r="D4829" s="12" t="s">
        <v>11786</v>
      </c>
      <c r="E4829" s="13" t="s">
        <v>580</v>
      </c>
      <c r="F4829" s="681">
        <v>31.33</v>
      </c>
    </row>
    <row r="4830" spans="2:6" ht="15.75" hidden="1" customHeight="1" x14ac:dyDescent="0.25">
      <c r="B4830" s="13" t="s">
        <v>556</v>
      </c>
      <c r="C4830" s="13" t="s">
        <v>20301</v>
      </c>
      <c r="D4830" s="12" t="s">
        <v>11790</v>
      </c>
      <c r="E4830" s="13" t="s">
        <v>580</v>
      </c>
      <c r="F4830" s="681">
        <v>6.37</v>
      </c>
    </row>
    <row r="4831" spans="2:6" ht="15.75" hidden="1" customHeight="1" x14ac:dyDescent="0.25">
      <c r="B4831" s="13" t="s">
        <v>556</v>
      </c>
      <c r="C4831" s="13" t="s">
        <v>20302</v>
      </c>
      <c r="D4831" s="12" t="s">
        <v>11791</v>
      </c>
      <c r="E4831" s="13" t="s">
        <v>580</v>
      </c>
      <c r="F4831" s="681">
        <v>7.67</v>
      </c>
    </row>
    <row r="4832" spans="2:6" ht="15.75" hidden="1" customHeight="1" x14ac:dyDescent="0.25">
      <c r="B4832" s="13" t="s">
        <v>556</v>
      </c>
      <c r="C4832" s="13" t="s">
        <v>20303</v>
      </c>
      <c r="D4832" s="12" t="s">
        <v>11797</v>
      </c>
      <c r="E4832" s="13" t="s">
        <v>580</v>
      </c>
      <c r="F4832" s="681">
        <v>166.09</v>
      </c>
    </row>
    <row r="4833" spans="2:6" ht="15.75" hidden="1" customHeight="1" x14ac:dyDescent="0.25">
      <c r="B4833" s="13" t="s">
        <v>556</v>
      </c>
      <c r="C4833" s="13" t="s">
        <v>20304</v>
      </c>
      <c r="D4833" s="12" t="s">
        <v>11789</v>
      </c>
      <c r="E4833" s="13" t="s">
        <v>580</v>
      </c>
      <c r="F4833" s="681">
        <v>365.94</v>
      </c>
    </row>
    <row r="4834" spans="2:6" ht="15.75" hidden="1" customHeight="1" x14ac:dyDescent="0.25">
      <c r="B4834" s="13" t="s">
        <v>556</v>
      </c>
      <c r="C4834" s="13" t="s">
        <v>20305</v>
      </c>
      <c r="D4834" s="12" t="s">
        <v>11796</v>
      </c>
      <c r="E4834" s="13" t="s">
        <v>580</v>
      </c>
      <c r="F4834" s="681">
        <v>140.66999999999999</v>
      </c>
    </row>
    <row r="4835" spans="2:6" ht="15.75" hidden="1" customHeight="1" x14ac:dyDescent="0.25">
      <c r="B4835" s="13" t="s">
        <v>556</v>
      </c>
      <c r="C4835" s="13" t="s">
        <v>20306</v>
      </c>
      <c r="D4835" s="12" t="s">
        <v>9152</v>
      </c>
      <c r="E4835" s="13" t="s">
        <v>585</v>
      </c>
      <c r="F4835" s="681">
        <v>275.8</v>
      </c>
    </row>
    <row r="4836" spans="2:6" ht="15.75" hidden="1" customHeight="1" x14ac:dyDescent="0.25">
      <c r="B4836" s="13" t="s">
        <v>556</v>
      </c>
      <c r="C4836" s="13" t="s">
        <v>20307</v>
      </c>
      <c r="D4836" s="12" t="s">
        <v>11795</v>
      </c>
      <c r="E4836" s="13" t="s">
        <v>580</v>
      </c>
      <c r="F4836" s="681">
        <v>69.069999999999993</v>
      </c>
    </row>
    <row r="4837" spans="2:6" ht="15.75" hidden="1" customHeight="1" x14ac:dyDescent="0.25">
      <c r="B4837" s="13" t="s">
        <v>14150</v>
      </c>
      <c r="C4837" s="13" t="s">
        <v>20308</v>
      </c>
      <c r="D4837" s="12" t="s">
        <v>20309</v>
      </c>
      <c r="E4837" s="13" t="s">
        <v>580</v>
      </c>
      <c r="F4837" s="681">
        <v>3164362.99</v>
      </c>
    </row>
    <row r="4838" spans="2:6" ht="15.75" hidden="1" customHeight="1" x14ac:dyDescent="0.25">
      <c r="B4838" s="13" t="s">
        <v>14150</v>
      </c>
      <c r="C4838" s="13" t="s">
        <v>20310</v>
      </c>
      <c r="D4838" s="12" t="s">
        <v>20311</v>
      </c>
      <c r="E4838" s="13" t="s">
        <v>580</v>
      </c>
      <c r="F4838" s="681">
        <v>712400</v>
      </c>
    </row>
    <row r="4839" spans="2:6" ht="15.75" hidden="1" customHeight="1" x14ac:dyDescent="0.25">
      <c r="B4839" s="13" t="s">
        <v>14150</v>
      </c>
      <c r="C4839" s="13" t="s">
        <v>20312</v>
      </c>
      <c r="D4839" s="12" t="s">
        <v>20313</v>
      </c>
      <c r="E4839" s="13" t="s">
        <v>580</v>
      </c>
      <c r="F4839" s="681">
        <v>1632328.1</v>
      </c>
    </row>
    <row r="4840" spans="2:6" ht="15.75" hidden="1" customHeight="1" x14ac:dyDescent="0.25">
      <c r="B4840" s="13" t="s">
        <v>556</v>
      </c>
      <c r="C4840" s="13" t="s">
        <v>20314</v>
      </c>
      <c r="D4840" s="12" t="s">
        <v>9130</v>
      </c>
      <c r="E4840" s="13" t="s">
        <v>585</v>
      </c>
      <c r="F4840" s="681">
        <v>2.0099999999999998</v>
      </c>
    </row>
    <row r="4841" spans="2:6" ht="15.75" hidden="1" customHeight="1" x14ac:dyDescent="0.25">
      <c r="B4841" s="13" t="s">
        <v>556</v>
      </c>
      <c r="C4841" s="13" t="s">
        <v>20315</v>
      </c>
      <c r="D4841" s="12" t="s">
        <v>9145</v>
      </c>
      <c r="E4841" s="13" t="s">
        <v>585</v>
      </c>
      <c r="F4841" s="681">
        <v>6.25</v>
      </c>
    </row>
    <row r="4842" spans="2:6" ht="15.75" hidden="1" customHeight="1" x14ac:dyDescent="0.25">
      <c r="B4842" s="13" t="s">
        <v>556</v>
      </c>
      <c r="C4842" s="13" t="s">
        <v>20316</v>
      </c>
      <c r="D4842" s="12" t="s">
        <v>9134</v>
      </c>
      <c r="E4842" s="13" t="s">
        <v>585</v>
      </c>
      <c r="F4842" s="681">
        <v>16.309999999999999</v>
      </c>
    </row>
    <row r="4843" spans="2:6" ht="15.75" hidden="1" customHeight="1" x14ac:dyDescent="0.25">
      <c r="B4843" s="13" t="s">
        <v>556</v>
      </c>
      <c r="C4843" s="13" t="s">
        <v>20317</v>
      </c>
      <c r="D4843" s="12" t="s">
        <v>9138</v>
      </c>
      <c r="E4843" s="13" t="s">
        <v>585</v>
      </c>
      <c r="F4843" s="681">
        <v>25.29</v>
      </c>
    </row>
    <row r="4844" spans="2:6" ht="15.75" hidden="1" customHeight="1" x14ac:dyDescent="0.25">
      <c r="B4844" s="13" t="s">
        <v>556</v>
      </c>
      <c r="C4844" s="13" t="s">
        <v>20318</v>
      </c>
      <c r="D4844" s="12" t="s">
        <v>9147</v>
      </c>
      <c r="E4844" s="13" t="s">
        <v>585</v>
      </c>
      <c r="F4844" s="681">
        <v>95.99</v>
      </c>
    </row>
    <row r="4845" spans="2:6" ht="15.75" hidden="1" customHeight="1" x14ac:dyDescent="0.25">
      <c r="B4845" s="13" t="s">
        <v>556</v>
      </c>
      <c r="C4845" s="13" t="s">
        <v>20319</v>
      </c>
      <c r="D4845" s="12" t="s">
        <v>9133</v>
      </c>
      <c r="E4845" s="13" t="s">
        <v>585</v>
      </c>
      <c r="F4845" s="681">
        <v>152.07</v>
      </c>
    </row>
  </sheetData>
  <autoFilter ref="B10:F4845" xr:uid="{00000000-0009-0000-0000-00000E000000}">
    <filterColumn colId="2">
      <filters>
        <filter val="ARGILA EXPANDIDA, GRANULOMETRIA 2215"/>
        <filter val="ARGILA OU BARRO PARA ATERRO/REATERRO (COM TRANSPORTE ATE 10 KM)"/>
        <filter val="ARGILA OU BARRO PARA ATERRO/REATERRO (RETIRADO NA JAZIDA, SEM TRANSPORTE)"/>
        <filter val="ARGILA, ARGILA VERMELHA OU ARGILA ARENOSA (RETIRADA NA JAZIDA, SEM TRANSPORTE)"/>
        <filter val="BENTONITA, ARGILA CONSTITUIDA POR  MONTMORILONITA"/>
      </filters>
    </filterColumn>
  </autoFilter>
  <mergeCells count="1">
    <mergeCell ref="B7:D7"/>
  </mergeCells>
  <hyperlinks>
    <hyperlink ref="B9" r:id="rId1" xr:uid="{00000000-0004-0000-0E00-000000000000}"/>
  </hyperlinks>
  <pageMargins left="0.51180555555555596" right="0.51180555555555596" top="0.78749999999999998" bottom="0.78749999999999998" header="0.511811023622047" footer="0.511811023622047"/>
  <pageSetup paperSize="9" orientation="portrait" horizontalDpi="300" verticalDpi="300"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1000"/>
  <sheetViews>
    <sheetView view="pageBreakPreview" zoomScale="62" zoomScaleNormal="100" zoomScalePageLayoutView="62" workbookViewId="0">
      <selection sqref="A1:H1"/>
    </sheetView>
  </sheetViews>
  <sheetFormatPr defaultColWidth="14.42578125" defaultRowHeight="15" x14ac:dyDescent="0.25"/>
  <cols>
    <col min="1" max="8" width="11.7109375" customWidth="1"/>
    <col min="9" max="9" width="13.28515625" customWidth="1"/>
    <col min="10" max="26" width="8.7109375" customWidth="1"/>
  </cols>
  <sheetData>
    <row r="1" spans="1:26" ht="61.5" customHeight="1" x14ac:dyDescent="0.25">
      <c r="A1" s="919"/>
      <c r="B1" s="919"/>
      <c r="C1" s="919"/>
      <c r="D1" s="919"/>
      <c r="E1" s="919"/>
      <c r="F1" s="919"/>
      <c r="G1" s="919"/>
      <c r="H1" s="919"/>
      <c r="I1" s="682"/>
      <c r="J1" s="193"/>
      <c r="K1" s="196"/>
      <c r="L1" s="196"/>
      <c r="M1" s="196"/>
      <c r="N1" s="196"/>
      <c r="O1" s="196"/>
      <c r="P1" s="196"/>
      <c r="Q1" s="196"/>
      <c r="R1" s="196"/>
      <c r="S1" s="196"/>
      <c r="T1" s="196"/>
      <c r="U1" s="196"/>
      <c r="V1" s="196"/>
      <c r="W1" s="196"/>
      <c r="X1" s="196"/>
      <c r="Y1" s="196"/>
      <c r="Z1" s="196"/>
    </row>
    <row r="2" spans="1:26" ht="15" customHeight="1" x14ac:dyDescent="0.25">
      <c r="A2" s="920"/>
      <c r="B2" s="920"/>
      <c r="C2" s="920"/>
      <c r="D2" s="920"/>
      <c r="E2" s="920"/>
      <c r="F2" s="920"/>
      <c r="G2" s="920"/>
      <c r="H2" s="920"/>
      <c r="I2" s="682"/>
      <c r="J2" s="193"/>
      <c r="K2" s="196"/>
      <c r="L2" s="196"/>
      <c r="M2" s="196"/>
      <c r="N2" s="196"/>
      <c r="O2" s="196"/>
      <c r="P2" s="196"/>
      <c r="Q2" s="196"/>
      <c r="R2" s="196"/>
      <c r="S2" s="196"/>
      <c r="T2" s="196"/>
      <c r="U2" s="196"/>
      <c r="V2" s="196"/>
      <c r="W2" s="196"/>
      <c r="X2" s="196"/>
      <c r="Y2" s="196"/>
      <c r="Z2" s="196"/>
    </row>
    <row r="3" spans="1:26" ht="15" customHeight="1" x14ac:dyDescent="0.25">
      <c r="A3" s="683"/>
      <c r="B3" s="684" t="s">
        <v>447</v>
      </c>
      <c r="C3" s="921" t="str">
        <f>IF(DADOS!D12&lt;&gt;"",DADOS!D12," ")</f>
        <v xml:space="preserve">PRONTO ATENDIMENTO MUNICIPAL </v>
      </c>
      <c r="D3" s="921"/>
      <c r="E3" s="921"/>
      <c r="F3" s="921"/>
      <c r="G3" s="921"/>
      <c r="H3" s="686"/>
      <c r="I3" s="682"/>
      <c r="J3" s="193"/>
      <c r="K3" s="196"/>
      <c r="L3" s="196"/>
      <c r="M3" s="196"/>
      <c r="N3" s="196"/>
      <c r="O3" s="196"/>
      <c r="P3" s="196"/>
      <c r="Q3" s="196"/>
      <c r="R3" s="196"/>
      <c r="S3" s="196"/>
      <c r="T3" s="196"/>
      <c r="U3" s="196"/>
      <c r="V3" s="196"/>
      <c r="W3" s="196"/>
      <c r="X3" s="196"/>
      <c r="Y3" s="196"/>
      <c r="Z3" s="196"/>
    </row>
    <row r="4" spans="1:26" ht="15" customHeight="1" x14ac:dyDescent="0.25">
      <c r="A4" s="687"/>
      <c r="B4" s="688" t="s">
        <v>451</v>
      </c>
      <c r="C4" s="921" t="str">
        <f>IF(DADOS!$D$16&lt;&gt;"",DADOS!$D$16," ")</f>
        <v>IMBAÚ</v>
      </c>
      <c r="D4" s="921"/>
      <c r="E4" s="921"/>
      <c r="F4" s="921"/>
      <c r="G4" s="921"/>
      <c r="H4" s="689"/>
      <c r="I4" s="682"/>
      <c r="J4" s="193"/>
      <c r="K4" s="196"/>
      <c r="L4" s="196"/>
      <c r="M4" s="196"/>
      <c r="N4" s="196"/>
      <c r="O4" s="196"/>
      <c r="P4" s="196"/>
      <c r="Q4" s="196"/>
      <c r="R4" s="196"/>
      <c r="S4" s="196"/>
      <c r="T4" s="196"/>
      <c r="U4" s="196"/>
      <c r="V4" s="196"/>
      <c r="W4" s="196"/>
      <c r="X4" s="196"/>
      <c r="Y4" s="196"/>
      <c r="Z4" s="196"/>
    </row>
    <row r="5" spans="1:26" ht="15" customHeight="1" x14ac:dyDescent="0.25">
      <c r="A5" s="687"/>
      <c r="B5" s="684" t="s">
        <v>12630</v>
      </c>
      <c r="C5" s="921" t="str">
        <f>IF(DADOS!D32&lt;&gt;"",DADOS!D32," ")</f>
        <v>Prefeitura Municipal de Imbaú</v>
      </c>
      <c r="D5" s="921"/>
      <c r="E5" s="921"/>
      <c r="F5" s="921"/>
      <c r="G5" s="921"/>
      <c r="H5" s="689"/>
      <c r="I5" s="682"/>
      <c r="J5" s="193"/>
      <c r="K5" s="196"/>
      <c r="L5" s="196"/>
      <c r="M5" s="196"/>
      <c r="N5" s="196"/>
      <c r="O5" s="196"/>
      <c r="P5" s="196"/>
      <c r="Q5" s="196"/>
      <c r="R5" s="196"/>
      <c r="S5" s="196"/>
      <c r="T5" s="196"/>
      <c r="U5" s="196"/>
      <c r="V5" s="196"/>
      <c r="W5" s="196"/>
      <c r="X5" s="196"/>
      <c r="Y5" s="196"/>
      <c r="Z5" s="196"/>
    </row>
    <row r="6" spans="1:26" ht="15" customHeight="1" x14ac:dyDescent="0.25">
      <c r="A6" s="690"/>
      <c r="B6" s="193"/>
      <c r="C6" s="38"/>
      <c r="D6" s="691"/>
      <c r="E6" s="691"/>
      <c r="F6" s="691"/>
      <c r="G6" s="193"/>
      <c r="H6" s="692"/>
      <c r="I6" s="682"/>
      <c r="J6" s="193"/>
      <c r="K6" s="196"/>
      <c r="L6" s="196"/>
      <c r="M6" s="196"/>
      <c r="N6" s="196"/>
      <c r="O6" s="196"/>
      <c r="P6" s="196"/>
      <c r="Q6" s="196"/>
      <c r="R6" s="196"/>
      <c r="S6" s="196"/>
      <c r="T6" s="196"/>
      <c r="U6" s="196"/>
      <c r="V6" s="196"/>
      <c r="W6" s="196"/>
      <c r="X6" s="196"/>
      <c r="Y6" s="196"/>
      <c r="Z6" s="196"/>
    </row>
    <row r="7" spans="1:26" ht="15" customHeight="1" x14ac:dyDescent="0.25">
      <c r="A7" s="922"/>
      <c r="B7" s="922"/>
      <c r="C7" s="922"/>
      <c r="D7" s="922"/>
      <c r="E7" s="922"/>
      <c r="F7" s="922"/>
      <c r="G7" s="922"/>
      <c r="H7" s="922"/>
    </row>
    <row r="8" spans="1:26" ht="15" customHeight="1" x14ac:dyDescent="0.25">
      <c r="A8" s="96"/>
      <c r="B8" s="97"/>
      <c r="C8" s="97"/>
      <c r="D8" s="97"/>
      <c r="E8" s="97"/>
      <c r="F8" s="97"/>
      <c r="G8" s="97"/>
      <c r="H8" s="98"/>
    </row>
    <row r="9" spans="1:26" ht="15" customHeight="1" x14ac:dyDescent="0.25">
      <c r="A9" s="693"/>
      <c r="B9" s="135"/>
      <c r="C9" s="135"/>
      <c r="D9" s="135"/>
      <c r="E9" s="135"/>
      <c r="F9" s="135"/>
      <c r="G9" s="135"/>
      <c r="H9" s="694"/>
    </row>
    <row r="10" spans="1:26" ht="15" customHeight="1" x14ac:dyDescent="0.25">
      <c r="A10" s="693"/>
      <c r="B10" s="135"/>
      <c r="C10" s="135"/>
      <c r="D10" s="135"/>
      <c r="E10" s="135"/>
      <c r="F10" s="135"/>
      <c r="G10" s="135"/>
      <c r="H10" s="694"/>
      <c r="I10" s="695"/>
      <c r="J10" s="695"/>
      <c r="K10" s="695"/>
      <c r="L10" s="695"/>
      <c r="M10" s="695"/>
      <c r="N10" s="695"/>
      <c r="O10" s="695"/>
      <c r="P10" s="695"/>
      <c r="Q10" s="695"/>
      <c r="R10" s="695"/>
      <c r="S10" s="695"/>
      <c r="T10" s="695"/>
      <c r="U10" s="695"/>
      <c r="V10" s="695"/>
      <c r="W10" s="695"/>
      <c r="X10" s="695"/>
      <c r="Y10" s="695"/>
      <c r="Z10" s="695"/>
    </row>
    <row r="11" spans="1:26" ht="15" customHeight="1" x14ac:dyDescent="0.25">
      <c r="A11" s="693"/>
      <c r="B11" s="135"/>
      <c r="C11" s="923" t="s">
        <v>20320</v>
      </c>
      <c r="D11" s="923"/>
      <c r="E11" s="923"/>
      <c r="F11" s="923"/>
      <c r="G11" s="135"/>
      <c r="H11" s="694"/>
    </row>
    <row r="12" spans="1:26" ht="15" customHeight="1" x14ac:dyDescent="0.25">
      <c r="A12" s="693"/>
      <c r="B12" s="135"/>
      <c r="C12" s="135"/>
      <c r="D12" s="135"/>
      <c r="E12" s="135"/>
      <c r="F12" s="135"/>
      <c r="G12" s="135"/>
      <c r="H12" s="694"/>
    </row>
    <row r="13" spans="1:26" ht="90" customHeight="1" x14ac:dyDescent="0.25">
      <c r="A13" s="693"/>
      <c r="B13" s="924" t="s">
        <v>20321</v>
      </c>
      <c r="C13" s="924"/>
      <c r="D13" s="924"/>
      <c r="E13" s="924"/>
      <c r="F13" s="924"/>
      <c r="G13" s="924"/>
      <c r="H13" s="694"/>
    </row>
    <row r="14" spans="1:26" ht="15" customHeight="1" x14ac:dyDescent="0.25">
      <c r="A14" s="693"/>
      <c r="B14" s="925" t="s">
        <v>20322</v>
      </c>
      <c r="C14" s="925"/>
      <c r="D14" s="925"/>
      <c r="E14" s="926">
        <f>IF(DADOS!$D$30&lt;&gt;"",DADOS!$D$30," ")</f>
        <v>1720261230534</v>
      </c>
      <c r="F14" s="926"/>
      <c r="G14" s="926"/>
      <c r="H14" s="694"/>
    </row>
    <row r="15" spans="1:26" ht="15" customHeight="1" x14ac:dyDescent="0.25">
      <c r="A15" s="693"/>
      <c r="B15" s="925" t="s">
        <v>20323</v>
      </c>
      <c r="C15" s="925"/>
      <c r="D15" s="925"/>
      <c r="E15" s="927" t="str">
        <f>IF(DADOS!$D$28&lt;&gt;"",DADOS!$D$28," ")</f>
        <v>211052/D</v>
      </c>
      <c r="F15" s="927"/>
      <c r="G15" s="927"/>
      <c r="H15" s="694"/>
    </row>
    <row r="16" spans="1:26" ht="15" customHeight="1" x14ac:dyDescent="0.25">
      <c r="A16" s="693"/>
      <c r="B16" s="135"/>
      <c r="C16" s="135"/>
      <c r="D16" s="135"/>
      <c r="E16" s="135"/>
      <c r="F16" s="135"/>
      <c r="G16" s="135"/>
      <c r="H16" s="694"/>
    </row>
    <row r="17" spans="1:26" ht="15" customHeight="1" x14ac:dyDescent="0.25">
      <c r="A17" s="693"/>
      <c r="B17" s="135"/>
      <c r="C17" s="135"/>
      <c r="D17" s="135"/>
      <c r="E17" s="135"/>
      <c r="F17" s="135"/>
      <c r="G17" s="135"/>
      <c r="H17" s="694"/>
    </row>
    <row r="18" spans="1:26" ht="15" customHeight="1" x14ac:dyDescent="0.25">
      <c r="A18" s="693"/>
      <c r="B18" s="135"/>
      <c r="C18" s="135"/>
      <c r="D18" s="135"/>
      <c r="E18" s="135"/>
      <c r="F18" s="135"/>
      <c r="G18" s="135"/>
      <c r="H18" s="694"/>
    </row>
    <row r="19" spans="1:26" ht="15" customHeight="1" x14ac:dyDescent="0.25">
      <c r="A19" s="693"/>
      <c r="B19" s="135"/>
      <c r="C19" s="135"/>
      <c r="D19" s="135"/>
      <c r="E19" s="135"/>
      <c r="F19" s="135"/>
      <c r="G19" s="135"/>
      <c r="H19" s="694"/>
    </row>
    <row r="20" spans="1:26" ht="15" customHeight="1" x14ac:dyDescent="0.25">
      <c r="A20" s="693"/>
      <c r="B20" s="135"/>
      <c r="C20" s="135"/>
      <c r="D20" s="135"/>
      <c r="E20" s="135" t="s">
        <v>20324</v>
      </c>
      <c r="F20" s="135"/>
      <c r="G20" s="135"/>
      <c r="H20" s="694"/>
    </row>
    <row r="21" spans="1:26" ht="15" customHeight="1" x14ac:dyDescent="0.25">
      <c r="A21" s="693"/>
      <c r="B21" s="135"/>
      <c r="C21" s="135"/>
      <c r="D21" s="135"/>
      <c r="E21" s="928" t="str">
        <f>IF(DADOS!$D$24&lt;&gt;"",DADOS!$D$24," ")</f>
        <v>Erick William da Silva Damaceno</v>
      </c>
      <c r="F21" s="928"/>
      <c r="G21" s="928"/>
      <c r="H21" s="694"/>
    </row>
    <row r="22" spans="1:26" ht="15" customHeight="1" x14ac:dyDescent="0.25">
      <c r="A22" s="693"/>
      <c r="B22" s="135"/>
      <c r="C22" s="135"/>
      <c r="D22" s="135"/>
      <c r="E22" s="697"/>
      <c r="F22" s="697"/>
      <c r="G22" s="697"/>
      <c r="H22" s="694"/>
    </row>
    <row r="23" spans="1:26" ht="15" customHeight="1" x14ac:dyDescent="0.25">
      <c r="A23" s="693"/>
      <c r="B23" s="135"/>
      <c r="C23" s="135"/>
      <c r="D23" s="135"/>
      <c r="E23" s="135"/>
      <c r="F23" s="135"/>
      <c r="G23" s="696"/>
      <c r="H23" s="694"/>
    </row>
    <row r="24" spans="1:26" ht="15" customHeight="1" x14ac:dyDescent="0.25">
      <c r="A24" s="693"/>
      <c r="B24" s="135"/>
      <c r="C24" s="135"/>
      <c r="D24" s="135"/>
      <c r="E24" s="135"/>
      <c r="F24" s="135"/>
      <c r="G24" s="696"/>
      <c r="H24" s="694"/>
    </row>
    <row r="25" spans="1:26" ht="15" customHeight="1" x14ac:dyDescent="0.25">
      <c r="A25" s="693"/>
      <c r="B25" s="135"/>
      <c r="C25" s="135"/>
      <c r="D25" s="135"/>
      <c r="E25" s="135"/>
      <c r="F25" s="135"/>
      <c r="G25" s="696"/>
      <c r="H25" s="694"/>
    </row>
    <row r="26" spans="1:26" ht="15" customHeight="1" x14ac:dyDescent="0.25">
      <c r="A26" s="693"/>
      <c r="B26" s="135"/>
      <c r="C26" s="135"/>
      <c r="D26" s="135"/>
      <c r="E26" s="135"/>
      <c r="F26" s="135"/>
      <c r="G26" s="135"/>
      <c r="H26" s="694"/>
    </row>
    <row r="27" spans="1:26" ht="15" customHeight="1" x14ac:dyDescent="0.25">
      <c r="A27" s="693"/>
      <c r="B27" s="923" t="s">
        <v>20325</v>
      </c>
      <c r="C27" s="923"/>
      <c r="D27" s="923"/>
      <c r="E27" s="923"/>
      <c r="F27" s="923"/>
      <c r="G27" s="923"/>
      <c r="H27" s="694"/>
      <c r="J27" s="698"/>
      <c r="K27" s="698"/>
    </row>
    <row r="28" spans="1:26" ht="15" customHeight="1" x14ac:dyDescent="0.25">
      <c r="A28" s="693"/>
      <c r="B28" s="135"/>
      <c r="C28" s="135"/>
      <c r="D28" s="135"/>
      <c r="E28" s="135"/>
      <c r="F28" s="135"/>
      <c r="G28" s="135"/>
      <c r="H28" s="694"/>
      <c r="I28" s="699"/>
      <c r="J28" s="700"/>
      <c r="K28" s="700"/>
      <c r="L28" s="699"/>
      <c r="M28" s="699"/>
      <c r="N28" s="699"/>
      <c r="O28" s="699"/>
      <c r="P28" s="699"/>
      <c r="Q28" s="699"/>
      <c r="R28" s="699"/>
      <c r="S28" s="699"/>
      <c r="T28" s="699"/>
      <c r="U28" s="699"/>
      <c r="V28" s="699"/>
      <c r="W28" s="699"/>
      <c r="X28" s="699"/>
      <c r="Y28" s="699"/>
      <c r="Z28" s="699"/>
    </row>
    <row r="29" spans="1:26" ht="60" customHeight="1" x14ac:dyDescent="0.25">
      <c r="A29" s="693"/>
      <c r="B29" s="924" t="s">
        <v>20326</v>
      </c>
      <c r="C29" s="924"/>
      <c r="D29" s="924"/>
      <c r="E29" s="924"/>
      <c r="F29" s="924"/>
      <c r="G29" s="924"/>
      <c r="H29" s="694"/>
    </row>
    <row r="30" spans="1:26" ht="15" customHeight="1" x14ac:dyDescent="0.25">
      <c r="A30" s="693"/>
      <c r="B30" s="925" t="s">
        <v>20322</v>
      </c>
      <c r="C30" s="925"/>
      <c r="D30" s="925"/>
      <c r="E30" s="926">
        <f>IF(DADOS!$D$30&lt;&gt;"",DADOS!$D$30," ")</f>
        <v>1720261230534</v>
      </c>
      <c r="F30" s="926"/>
      <c r="G30" s="926"/>
      <c r="H30" s="694"/>
    </row>
    <row r="31" spans="1:26" ht="15" customHeight="1" x14ac:dyDescent="0.25">
      <c r="A31" s="693"/>
      <c r="B31" s="925" t="s">
        <v>20323</v>
      </c>
      <c r="C31" s="925"/>
      <c r="D31" s="925"/>
      <c r="E31" s="927" t="str">
        <f>IF(DADOS!$D$28&lt;&gt;"",DADOS!$D$28," ")</f>
        <v>211052/D</v>
      </c>
      <c r="F31" s="927"/>
      <c r="G31" s="927"/>
      <c r="H31" s="694"/>
      <c r="J31" s="698"/>
      <c r="K31" s="698"/>
    </row>
    <row r="32" spans="1:26" ht="15" customHeight="1" x14ac:dyDescent="0.25">
      <c r="A32" s="693"/>
      <c r="B32" s="135"/>
      <c r="C32" s="135"/>
      <c r="D32" s="135"/>
      <c r="E32" s="135"/>
      <c r="F32" s="135"/>
      <c r="G32" s="135"/>
      <c r="H32" s="694"/>
    </row>
    <row r="33" spans="1:26" ht="15" customHeight="1" x14ac:dyDescent="0.25">
      <c r="A33" s="693"/>
      <c r="B33" s="135"/>
      <c r="C33" s="135"/>
      <c r="D33" s="135"/>
      <c r="E33" s="135"/>
      <c r="F33" s="135"/>
      <c r="G33" s="135"/>
      <c r="H33" s="694"/>
    </row>
    <row r="34" spans="1:26" ht="15" customHeight="1" x14ac:dyDescent="0.25">
      <c r="A34" s="693"/>
      <c r="B34" s="135"/>
      <c r="C34" s="135"/>
      <c r="D34" s="135"/>
      <c r="E34" s="135"/>
      <c r="F34" s="135"/>
      <c r="G34" s="135"/>
      <c r="H34" s="694"/>
    </row>
    <row r="35" spans="1:26" ht="15" customHeight="1" x14ac:dyDescent="0.25">
      <c r="A35" s="693"/>
      <c r="B35" s="135"/>
      <c r="C35" s="135"/>
      <c r="D35" s="135"/>
      <c r="E35" s="135"/>
      <c r="F35" s="135"/>
      <c r="G35" s="135"/>
      <c r="H35" s="694"/>
    </row>
    <row r="36" spans="1:26" ht="15" customHeight="1" x14ac:dyDescent="0.25">
      <c r="A36" s="693"/>
      <c r="B36" s="135"/>
      <c r="C36" s="135"/>
      <c r="D36" s="135"/>
      <c r="E36" s="135" t="s">
        <v>20324</v>
      </c>
      <c r="F36" s="135"/>
      <c r="G36" s="135"/>
      <c r="H36" s="694"/>
    </row>
    <row r="37" spans="1:26" ht="15" customHeight="1" x14ac:dyDescent="0.25">
      <c r="A37" s="693"/>
      <c r="B37" s="135"/>
      <c r="C37" s="135"/>
      <c r="D37" s="135"/>
      <c r="E37" s="928" t="str">
        <f>IF(DADOS!$D$24&lt;&gt;"",DADOS!$D$24," ")</f>
        <v>Erick William da Silva Damaceno</v>
      </c>
      <c r="F37" s="928"/>
      <c r="G37" s="928"/>
      <c r="H37" s="694"/>
    </row>
    <row r="38" spans="1:26" ht="15" customHeight="1" x14ac:dyDescent="0.25">
      <c r="A38" s="693"/>
      <c r="B38" s="135"/>
      <c r="C38" s="135"/>
      <c r="D38" s="135"/>
      <c r="E38" s="135"/>
      <c r="F38" s="135"/>
      <c r="G38" s="135"/>
      <c r="H38" s="694"/>
    </row>
    <row r="39" spans="1:26" ht="15" customHeight="1" x14ac:dyDescent="0.25">
      <c r="A39" s="693"/>
      <c r="B39" s="135"/>
      <c r="C39" s="135"/>
      <c r="D39" s="135"/>
      <c r="E39" s="135"/>
      <c r="F39" s="135"/>
      <c r="G39" s="135"/>
      <c r="H39" s="694"/>
    </row>
    <row r="40" spans="1:26" ht="15" customHeight="1" x14ac:dyDescent="0.25">
      <c r="A40" s="693"/>
      <c r="B40" s="135"/>
      <c r="C40" s="135"/>
      <c r="D40" s="135"/>
      <c r="E40" s="135"/>
      <c r="F40" s="135"/>
      <c r="G40" s="135"/>
      <c r="H40" s="694"/>
    </row>
    <row r="41" spans="1:26" ht="15" customHeight="1" x14ac:dyDescent="0.25">
      <c r="A41" s="693"/>
      <c r="B41" s="135"/>
      <c r="C41" s="135"/>
      <c r="D41" s="135"/>
      <c r="E41" s="135"/>
      <c r="F41" s="135"/>
      <c r="G41" s="135"/>
      <c r="H41" s="694"/>
    </row>
    <row r="42" spans="1:26" ht="15" customHeight="1" x14ac:dyDescent="0.25">
      <c r="A42" s="701"/>
      <c r="B42" s="702"/>
      <c r="C42" s="702"/>
      <c r="D42" s="702"/>
      <c r="E42" s="702"/>
      <c r="F42" s="702"/>
      <c r="G42" s="702"/>
      <c r="H42" s="703"/>
    </row>
    <row r="43" spans="1:26" ht="15" customHeight="1" x14ac:dyDescent="0.25">
      <c r="A43" s="39"/>
      <c r="B43" s="39"/>
      <c r="C43" s="39"/>
      <c r="D43" s="39"/>
      <c r="E43" s="39"/>
      <c r="F43" s="39"/>
      <c r="G43" s="39"/>
      <c r="H43" s="39"/>
      <c r="I43" s="699"/>
      <c r="J43" s="699"/>
      <c r="K43" s="699"/>
      <c r="L43" s="699"/>
      <c r="M43" s="699"/>
      <c r="N43" s="699"/>
      <c r="O43" s="699"/>
      <c r="P43" s="699"/>
      <c r="Q43" s="699"/>
      <c r="R43" s="699"/>
      <c r="S43" s="699"/>
      <c r="T43" s="699"/>
      <c r="U43" s="699"/>
      <c r="V43" s="699"/>
      <c r="W43" s="699"/>
      <c r="X43" s="699"/>
      <c r="Y43" s="699"/>
      <c r="Z43" s="699"/>
    </row>
    <row r="44" spans="1:26" ht="7.5" customHeight="1" x14ac:dyDescent="0.25">
      <c r="A44" s="39"/>
      <c r="B44" s="39"/>
      <c r="C44" s="39"/>
      <c r="D44" s="39"/>
      <c r="E44" s="39"/>
      <c r="F44" s="39"/>
      <c r="G44" s="39"/>
      <c r="H44" s="39"/>
    </row>
    <row r="45" spans="1:26" ht="15.75" customHeight="1" x14ac:dyDescent="0.25">
      <c r="A45" s="39"/>
      <c r="B45" s="39"/>
      <c r="C45" s="39"/>
      <c r="D45" s="39"/>
      <c r="E45" s="39"/>
      <c r="F45" s="39"/>
      <c r="G45" s="39"/>
      <c r="H45" s="39"/>
      <c r="J45" s="698"/>
      <c r="K45" s="698"/>
    </row>
    <row r="46" spans="1:26" ht="15.75" customHeight="1" x14ac:dyDescent="0.25">
      <c r="A46" s="39"/>
      <c r="B46" s="39"/>
      <c r="C46" s="39"/>
      <c r="D46" s="39"/>
      <c r="E46" s="39"/>
      <c r="F46" s="39"/>
      <c r="G46" s="39"/>
      <c r="H46" s="39"/>
    </row>
    <row r="47" spans="1:26" ht="15.75" customHeight="1" x14ac:dyDescent="0.25">
      <c r="A47" s="39"/>
      <c r="B47" s="39"/>
      <c r="C47" s="39"/>
      <c r="D47" s="39"/>
      <c r="E47" s="39"/>
      <c r="F47" s="39"/>
      <c r="G47" s="39"/>
      <c r="H47" s="39"/>
    </row>
    <row r="48" spans="1:26" ht="15.75" customHeight="1" x14ac:dyDescent="0.25">
      <c r="A48" s="39"/>
      <c r="B48" s="39"/>
      <c r="C48" s="39"/>
      <c r="D48" s="39"/>
      <c r="E48" s="39"/>
      <c r="F48" s="39"/>
      <c r="G48" s="39"/>
      <c r="H48" s="39"/>
    </row>
    <row r="49" spans="1:26" ht="15.75" customHeight="1" x14ac:dyDescent="0.25">
      <c r="A49" s="39"/>
      <c r="B49" s="39"/>
      <c r="C49" s="39"/>
      <c r="D49" s="39"/>
      <c r="E49" s="39"/>
      <c r="F49" s="39"/>
      <c r="G49" s="39"/>
      <c r="H49" s="39"/>
    </row>
    <row r="50" spans="1:26" ht="15.75" customHeight="1" x14ac:dyDescent="0.25">
      <c r="A50" s="39"/>
      <c r="B50" s="39"/>
      <c r="C50" s="39"/>
      <c r="D50" s="39"/>
      <c r="E50" s="39"/>
      <c r="F50" s="39"/>
      <c r="G50" s="39"/>
      <c r="H50" s="39"/>
    </row>
    <row r="51" spans="1:26" ht="15.75" customHeight="1" x14ac:dyDescent="0.25">
      <c r="A51" s="39"/>
      <c r="B51" s="39"/>
      <c r="C51" s="39"/>
      <c r="D51" s="39"/>
      <c r="E51" s="39"/>
      <c r="F51" s="39"/>
      <c r="G51" s="39"/>
      <c r="H51" s="39"/>
      <c r="I51" s="699"/>
      <c r="J51" s="699"/>
      <c r="K51" s="699"/>
      <c r="L51" s="699"/>
      <c r="M51" s="699"/>
      <c r="N51" s="699"/>
      <c r="O51" s="699"/>
      <c r="P51" s="699"/>
      <c r="Q51" s="699"/>
      <c r="R51" s="699"/>
      <c r="S51" s="699"/>
      <c r="T51" s="699"/>
      <c r="U51" s="699"/>
      <c r="V51" s="699"/>
      <c r="W51" s="699"/>
      <c r="X51" s="699"/>
      <c r="Y51" s="699"/>
      <c r="Z51" s="699"/>
    </row>
    <row r="52" spans="1:26" ht="7.5" customHeight="1" x14ac:dyDescent="0.25">
      <c r="A52" s="39"/>
      <c r="B52" s="39"/>
      <c r="C52" s="39"/>
      <c r="D52" s="39"/>
      <c r="E52" s="39"/>
      <c r="F52" s="39"/>
      <c r="G52" s="39"/>
      <c r="H52" s="39"/>
    </row>
    <row r="53" spans="1:26" ht="15.75" customHeight="1" x14ac:dyDescent="0.25"/>
    <row r="54" spans="1:26" ht="15.75" customHeight="1" x14ac:dyDescent="0.25">
      <c r="J54" s="698"/>
      <c r="K54" s="698"/>
    </row>
    <row r="55" spans="1:26" ht="15.75" customHeight="1" x14ac:dyDescent="0.25"/>
    <row r="56" spans="1:26" ht="15.75" customHeight="1" x14ac:dyDescent="0.25"/>
    <row r="57" spans="1:26" ht="15.75" customHeight="1" x14ac:dyDescent="0.25">
      <c r="A57" s="699"/>
      <c r="B57" s="699"/>
      <c r="C57" s="699"/>
      <c r="D57" s="699"/>
      <c r="E57" s="699"/>
      <c r="F57" s="699"/>
      <c r="G57" s="699"/>
      <c r="H57" s="699"/>
      <c r="I57" s="699"/>
      <c r="J57" s="699"/>
      <c r="K57" s="699"/>
      <c r="L57" s="699"/>
      <c r="M57" s="699"/>
      <c r="N57" s="699"/>
      <c r="O57" s="699"/>
      <c r="P57" s="699"/>
      <c r="Q57" s="699"/>
      <c r="R57" s="699"/>
      <c r="S57" s="699"/>
      <c r="T57" s="699"/>
      <c r="U57" s="699"/>
      <c r="V57" s="699"/>
      <c r="W57" s="699"/>
      <c r="X57" s="699"/>
      <c r="Y57" s="699"/>
      <c r="Z57" s="699"/>
    </row>
    <row r="58" spans="1:26" ht="7.5" customHeight="1" x14ac:dyDescent="0.25"/>
    <row r="59" spans="1:26" ht="15.75" customHeight="1" x14ac:dyDescent="0.25"/>
    <row r="60" spans="1:26" ht="15.75" customHeight="1" x14ac:dyDescent="0.25"/>
    <row r="61" spans="1:26" ht="15.75" customHeight="1" x14ac:dyDescent="0.25"/>
    <row r="62" spans="1:26" ht="15.75" customHeight="1" x14ac:dyDescent="0.25"/>
    <row r="63" spans="1:26" ht="15.75" customHeight="1" x14ac:dyDescent="0.25"/>
    <row r="64" spans="1:26"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0">
    <mergeCell ref="B30:D30"/>
    <mergeCell ref="E30:G30"/>
    <mergeCell ref="B31:D31"/>
    <mergeCell ref="E31:G31"/>
    <mergeCell ref="E37:G37"/>
    <mergeCell ref="B15:D15"/>
    <mergeCell ref="E15:G15"/>
    <mergeCell ref="E21:G21"/>
    <mergeCell ref="B27:G27"/>
    <mergeCell ref="B29:G29"/>
    <mergeCell ref="A7:H7"/>
    <mergeCell ref="C11:F11"/>
    <mergeCell ref="B13:G13"/>
    <mergeCell ref="B14:D14"/>
    <mergeCell ref="E14:G14"/>
    <mergeCell ref="A1:H1"/>
    <mergeCell ref="A2:H2"/>
    <mergeCell ref="C3:G3"/>
    <mergeCell ref="C4:G4"/>
    <mergeCell ref="C5:G5"/>
  </mergeCells>
  <pageMargins left="1.1812499999999999" right="0.78749999999999998" top="0.98402777777777795" bottom="0.98402777777777795" header="0.511811023622047" footer="0.511811023622047"/>
  <pageSetup paperSize="9" scale="84" orientation="portrait" horizontalDpi="300" verticalDpi="300"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Z1000"/>
  <sheetViews>
    <sheetView view="pageBreakPreview" zoomScale="62" zoomScaleNormal="100" zoomScalePageLayoutView="62" workbookViewId="0"/>
  </sheetViews>
  <sheetFormatPr defaultColWidth="14.42578125" defaultRowHeight="15" x14ac:dyDescent="0.25"/>
  <cols>
    <col min="1" max="1" width="7.7109375" customWidth="1"/>
    <col min="2" max="2" width="12.42578125" customWidth="1"/>
    <col min="3" max="3" width="10.28515625" customWidth="1"/>
    <col min="4" max="4" width="44.140625" customWidth="1"/>
    <col min="5" max="5" width="34.140625" customWidth="1"/>
    <col min="6" max="26" width="8.7109375" customWidth="1"/>
  </cols>
  <sheetData>
    <row r="1" spans="1:26" ht="15" customHeight="1" x14ac:dyDescent="0.25">
      <c r="A1" s="704"/>
      <c r="B1" s="705"/>
      <c r="C1" s="929" t="s">
        <v>20327</v>
      </c>
      <c r="D1" s="929"/>
      <c r="E1" s="929"/>
      <c r="F1" s="929"/>
      <c r="G1" s="929"/>
      <c r="H1" s="707"/>
      <c r="I1" s="707"/>
      <c r="J1" s="707"/>
      <c r="K1" s="707"/>
      <c r="L1" s="706"/>
      <c r="M1" s="231"/>
      <c r="N1" s="231"/>
      <c r="O1" s="231"/>
      <c r="P1" s="231"/>
      <c r="Q1" s="231"/>
      <c r="R1" s="231"/>
      <c r="S1" s="231"/>
      <c r="T1" s="231"/>
      <c r="U1" s="231"/>
      <c r="V1" s="231"/>
      <c r="W1" s="231"/>
      <c r="X1" s="231"/>
      <c r="Y1" s="231"/>
      <c r="Z1" s="231"/>
    </row>
    <row r="2" spans="1:26" ht="12.75" customHeight="1" x14ac:dyDescent="0.25">
      <c r="A2" s="705"/>
      <c r="B2" s="705"/>
      <c r="C2" s="930" t="s">
        <v>11883</v>
      </c>
      <c r="D2" s="930"/>
      <c r="E2" s="930"/>
      <c r="F2" s="930"/>
      <c r="G2" s="930"/>
      <c r="H2" s="231"/>
      <c r="I2" s="231"/>
      <c r="J2" s="231"/>
      <c r="K2" s="708"/>
      <c r="L2" s="709"/>
      <c r="M2" s="231"/>
      <c r="N2" s="231"/>
      <c r="O2" s="231"/>
      <c r="P2" s="231"/>
      <c r="Q2" s="231"/>
      <c r="R2" s="231"/>
      <c r="S2" s="231"/>
      <c r="T2" s="231"/>
      <c r="U2" s="231"/>
      <c r="V2" s="231"/>
      <c r="W2" s="231"/>
      <c r="X2" s="231"/>
      <c r="Y2" s="231"/>
      <c r="Z2" s="231"/>
    </row>
    <row r="3" spans="1:26" ht="15" customHeight="1" x14ac:dyDescent="0.25">
      <c r="A3" s="705"/>
      <c r="B3" s="705"/>
      <c r="C3" s="930" t="s">
        <v>11885</v>
      </c>
      <c r="D3" s="930"/>
      <c r="E3" s="930"/>
      <c r="F3" s="930"/>
      <c r="G3" s="930"/>
      <c r="H3" s="231"/>
      <c r="I3" s="231"/>
      <c r="J3" s="231"/>
      <c r="K3" s="708"/>
      <c r="L3" s="709"/>
      <c r="M3" s="231"/>
      <c r="N3" s="231"/>
      <c r="O3" s="231"/>
      <c r="P3" s="231"/>
      <c r="Q3" s="231"/>
      <c r="R3" s="231"/>
      <c r="S3" s="231"/>
      <c r="T3" s="231"/>
      <c r="U3" s="231"/>
      <c r="V3" s="231"/>
      <c r="W3" s="231"/>
      <c r="X3" s="231"/>
      <c r="Y3" s="231"/>
      <c r="Z3" s="231"/>
    </row>
    <row r="4" spans="1:26" ht="12.75" customHeight="1" x14ac:dyDescent="0.25">
      <c r="A4" s="705"/>
      <c r="B4" s="705"/>
      <c r="C4" s="684" t="s">
        <v>447</v>
      </c>
      <c r="D4" s="685" t="str">
        <f>IF(DADOS!D12&lt;&gt;"",DADOS!D12," ")</f>
        <v xml:space="preserve">PRONTO ATENDIMENTO MUNICIPAL </v>
      </c>
      <c r="E4" s="688" t="s">
        <v>20328</v>
      </c>
      <c r="F4" s="931" t="str">
        <f>IF(DADOS!D24&lt;&gt;"",DADOS!D24," ")</f>
        <v>Erick William da Silva Damaceno</v>
      </c>
      <c r="G4" s="931"/>
      <c r="H4" s="931"/>
      <c r="I4" s="231"/>
      <c r="J4" s="231"/>
      <c r="K4" s="711"/>
      <c r="L4" s="712"/>
      <c r="M4" s="231"/>
      <c r="N4" s="231"/>
      <c r="O4" s="231"/>
      <c r="P4" s="231"/>
      <c r="Q4" s="231"/>
      <c r="R4" s="231"/>
      <c r="S4" s="231"/>
      <c r="T4" s="231"/>
      <c r="U4" s="231"/>
      <c r="V4" s="231"/>
      <c r="W4" s="231"/>
      <c r="X4" s="231"/>
      <c r="Y4" s="231"/>
      <c r="Z4" s="231"/>
    </row>
    <row r="5" spans="1:26" ht="12.75" customHeight="1" x14ac:dyDescent="0.25">
      <c r="A5" s="705"/>
      <c r="B5" s="705"/>
      <c r="C5" s="688" t="s">
        <v>451</v>
      </c>
      <c r="D5" s="685" t="str">
        <f>IF(DADOS!$D$16&lt;&gt;"",DADOS!$D$16," ")</f>
        <v>IMBAÚ</v>
      </c>
      <c r="E5" s="688" t="s">
        <v>11891</v>
      </c>
      <c r="F5" s="932">
        <f>IF(DADOS!D30&lt;&gt;"",DADOS!D30," ")</f>
        <v>1720261230534</v>
      </c>
      <c r="G5" s="932"/>
      <c r="H5" s="932"/>
      <c r="I5" s="935"/>
      <c r="J5" s="935"/>
      <c r="K5" s="711"/>
      <c r="L5" s="712"/>
      <c r="M5" s="231"/>
      <c r="N5" s="231"/>
      <c r="O5" s="231"/>
      <c r="P5" s="231"/>
      <c r="Q5" s="231"/>
      <c r="R5" s="231"/>
      <c r="S5" s="231"/>
      <c r="T5" s="231"/>
      <c r="U5" s="231"/>
      <c r="V5" s="231"/>
      <c r="W5" s="231"/>
      <c r="X5" s="231"/>
      <c r="Y5" s="231"/>
      <c r="Z5" s="231"/>
    </row>
    <row r="6" spans="1:26" ht="12" customHeight="1" x14ac:dyDescent="0.25">
      <c r="A6" s="705"/>
      <c r="B6" s="705"/>
      <c r="C6" s="688" t="s">
        <v>11884</v>
      </c>
      <c r="D6" s="714" t="str">
        <f>IF('FOLHA FECHAMENTO'!K12&lt;&gt;"",'FOLHA FECHAMENTO'!K12," ")</f>
        <v xml:space="preserve"> </v>
      </c>
      <c r="E6" s="688" t="s">
        <v>11893</v>
      </c>
      <c r="F6" s="931" t="str">
        <f>IF(DADOS!D28&lt;&gt;"",DADOS!D28," ")</f>
        <v>211052/D</v>
      </c>
      <c r="G6" s="931"/>
      <c r="H6" s="931"/>
      <c r="I6" s="935"/>
      <c r="J6" s="935"/>
      <c r="K6" s="713"/>
      <c r="L6" s="715"/>
      <c r="M6" s="231"/>
      <c r="N6" s="231"/>
      <c r="O6" s="231"/>
      <c r="P6" s="231"/>
      <c r="Q6" s="231"/>
      <c r="R6" s="231"/>
      <c r="S6" s="231"/>
      <c r="T6" s="231"/>
      <c r="U6" s="231"/>
      <c r="V6" s="231"/>
      <c r="W6" s="231"/>
      <c r="X6" s="231"/>
      <c r="Y6" s="231"/>
      <c r="Z6" s="231"/>
    </row>
    <row r="7" spans="1:26" x14ac:dyDescent="0.25">
      <c r="A7" s="705"/>
      <c r="B7" s="705"/>
      <c r="C7" s="688" t="s">
        <v>453</v>
      </c>
      <c r="D7" s="936" t="str">
        <f>IF(DADOS!M12&lt;&gt;"",DADOS!M12," ")</f>
        <v>SESA</v>
      </c>
      <c r="E7" s="936"/>
      <c r="F7" s="716"/>
      <c r="G7" s="716"/>
      <c r="H7" s="688"/>
      <c r="I7" s="935"/>
      <c r="J7" s="935"/>
      <c r="K7" s="710"/>
      <c r="L7" s="717"/>
      <c r="M7" s="231"/>
      <c r="N7" s="231"/>
      <c r="O7" s="231"/>
      <c r="P7" s="231"/>
      <c r="Q7" s="231"/>
      <c r="R7" s="231"/>
      <c r="S7" s="231"/>
      <c r="T7" s="231"/>
      <c r="U7" s="231"/>
      <c r="V7" s="231"/>
      <c r="W7" s="231"/>
      <c r="X7" s="231"/>
      <c r="Y7" s="231"/>
      <c r="Z7" s="231"/>
    </row>
    <row r="8" spans="1:26" ht="25.5" customHeight="1" x14ac:dyDescent="0.25">
      <c r="A8" s="718" t="s">
        <v>20329</v>
      </c>
      <c r="B8" s="719" t="s">
        <v>20330</v>
      </c>
      <c r="C8" s="719" t="s">
        <v>20331</v>
      </c>
      <c r="D8" s="718" t="s">
        <v>20332</v>
      </c>
      <c r="E8" s="718" t="s">
        <v>20333</v>
      </c>
      <c r="F8" s="719" t="s">
        <v>20334</v>
      </c>
      <c r="G8" s="933" t="s">
        <v>20335</v>
      </c>
      <c r="H8" s="933"/>
      <c r="I8" s="933" t="s">
        <v>20336</v>
      </c>
      <c r="J8" s="933"/>
      <c r="K8" s="720"/>
    </row>
    <row r="9" spans="1:26" x14ac:dyDescent="0.25">
      <c r="A9" s="934" t="s">
        <v>20337</v>
      </c>
      <c r="B9" s="934"/>
      <c r="C9" s="934"/>
      <c r="D9" s="934"/>
      <c r="E9" s="934"/>
      <c r="F9" s="934"/>
      <c r="G9" s="721" t="s">
        <v>59</v>
      </c>
      <c r="H9" s="721" t="s">
        <v>60</v>
      </c>
      <c r="I9" s="721" t="s">
        <v>59</v>
      </c>
      <c r="J9" s="721" t="s">
        <v>60</v>
      </c>
    </row>
    <row r="10" spans="1:26" x14ac:dyDescent="0.25">
      <c r="A10" s="722"/>
      <c r="B10" s="723"/>
      <c r="C10" s="724"/>
      <c r="D10" s="722"/>
      <c r="E10" s="382"/>
      <c r="F10" s="382"/>
      <c r="G10" s="722"/>
      <c r="H10" s="722"/>
      <c r="I10" s="722"/>
      <c r="J10" s="722"/>
      <c r="K10" s="39"/>
    </row>
    <row r="11" spans="1:26" x14ac:dyDescent="0.25">
      <c r="A11" s="722"/>
      <c r="B11" s="723"/>
      <c r="C11" s="724"/>
      <c r="D11" s="722" t="s">
        <v>20338</v>
      </c>
      <c r="E11" s="382" t="s">
        <v>20339</v>
      </c>
      <c r="F11" s="382" t="s">
        <v>20340</v>
      </c>
      <c r="G11" s="382" t="s">
        <v>64</v>
      </c>
      <c r="H11" s="722"/>
      <c r="I11" s="722"/>
      <c r="J11" s="722"/>
      <c r="K11" s="39"/>
    </row>
    <row r="12" spans="1:26" x14ac:dyDescent="0.25">
      <c r="A12" s="722"/>
      <c r="B12" s="723"/>
      <c r="C12" s="724"/>
      <c r="D12" s="722"/>
      <c r="E12" s="382"/>
      <c r="F12" s="382"/>
      <c r="G12" s="722"/>
      <c r="H12" s="722"/>
      <c r="I12" s="722"/>
      <c r="J12" s="722"/>
      <c r="K12" s="39"/>
    </row>
    <row r="13" spans="1:26" x14ac:dyDescent="0.25">
      <c r="A13" s="722"/>
      <c r="B13" s="723"/>
      <c r="C13" s="724"/>
      <c r="D13" s="722"/>
      <c r="E13" s="382"/>
      <c r="F13" s="382"/>
      <c r="G13" s="722"/>
      <c r="H13" s="722"/>
      <c r="I13" s="722"/>
      <c r="J13" s="722"/>
      <c r="K13" s="39"/>
    </row>
    <row r="14" spans="1:26" x14ac:dyDescent="0.25">
      <c r="A14" s="722"/>
      <c r="B14" s="723"/>
      <c r="C14" s="724"/>
      <c r="D14" s="722"/>
      <c r="E14" s="382"/>
      <c r="F14" s="382"/>
      <c r="G14" s="722"/>
      <c r="H14" s="722"/>
      <c r="I14" s="722"/>
      <c r="J14" s="722"/>
      <c r="K14" s="39"/>
    </row>
    <row r="15" spans="1:26" x14ac:dyDescent="0.25">
      <c r="A15" s="722"/>
      <c r="B15" s="723"/>
      <c r="C15" s="724"/>
      <c r="D15" s="722"/>
      <c r="E15" s="382"/>
      <c r="F15" s="382"/>
      <c r="G15" s="722"/>
      <c r="H15" s="722"/>
      <c r="I15" s="722"/>
      <c r="J15" s="722"/>
      <c r="K15" s="39"/>
    </row>
    <row r="16" spans="1:26" x14ac:dyDescent="0.25">
      <c r="A16" s="722"/>
      <c r="B16" s="723"/>
      <c r="C16" s="724"/>
      <c r="D16" s="722"/>
      <c r="E16" s="382"/>
      <c r="F16" s="382"/>
      <c r="G16" s="722"/>
      <c r="H16" s="722"/>
      <c r="I16" s="722"/>
      <c r="J16" s="722"/>
    </row>
    <row r="17" spans="1:10" x14ac:dyDescent="0.25">
      <c r="A17" s="934" t="s">
        <v>20341</v>
      </c>
      <c r="B17" s="934"/>
      <c r="C17" s="934"/>
      <c r="D17" s="934"/>
      <c r="E17" s="934"/>
      <c r="F17" s="934"/>
      <c r="G17" s="721" t="s">
        <v>59</v>
      </c>
      <c r="H17" s="721" t="s">
        <v>60</v>
      </c>
      <c r="I17" s="721" t="s">
        <v>59</v>
      </c>
      <c r="J17" s="721" t="s">
        <v>60</v>
      </c>
    </row>
    <row r="18" spans="1:10" x14ac:dyDescent="0.25">
      <c r="A18" s="722"/>
      <c r="B18" s="723"/>
      <c r="C18" s="724"/>
      <c r="D18" s="722" t="s">
        <v>20342</v>
      </c>
      <c r="E18" s="382" t="s">
        <v>20343</v>
      </c>
      <c r="F18" s="382"/>
      <c r="G18" s="722"/>
      <c r="H18" s="722"/>
      <c r="I18" s="722"/>
      <c r="J18" s="722"/>
    </row>
    <row r="19" spans="1:10" x14ac:dyDescent="0.25">
      <c r="A19" s="722"/>
      <c r="B19" s="723"/>
      <c r="C19" s="724"/>
      <c r="D19" s="722" t="s">
        <v>20344</v>
      </c>
      <c r="E19" s="382" t="s">
        <v>20345</v>
      </c>
      <c r="F19" s="382"/>
      <c r="G19" s="722"/>
      <c r="H19" s="722"/>
      <c r="I19" s="722"/>
      <c r="J19" s="722"/>
    </row>
    <row r="20" spans="1:10" x14ac:dyDescent="0.25">
      <c r="A20" s="722"/>
      <c r="B20" s="723"/>
      <c r="C20" s="724"/>
      <c r="D20" s="722" t="s">
        <v>20346</v>
      </c>
      <c r="E20" s="382"/>
      <c r="F20" s="382"/>
      <c r="G20" s="722"/>
      <c r="H20" s="722"/>
      <c r="I20" s="722"/>
      <c r="J20" s="722"/>
    </row>
    <row r="21" spans="1:10" ht="15.75" customHeight="1" x14ac:dyDescent="0.25">
      <c r="A21" s="722"/>
      <c r="B21" s="723"/>
      <c r="C21" s="724"/>
      <c r="D21" s="722" t="s">
        <v>20347</v>
      </c>
      <c r="E21" s="725" t="s">
        <v>20348</v>
      </c>
      <c r="F21" s="382"/>
      <c r="G21" s="722"/>
      <c r="H21" s="722"/>
      <c r="I21" s="722"/>
      <c r="J21" s="722"/>
    </row>
    <row r="22" spans="1:10" ht="15.75" customHeight="1" x14ac:dyDescent="0.25">
      <c r="A22" s="722"/>
      <c r="B22" s="723"/>
      <c r="C22" s="724"/>
      <c r="D22" s="722" t="s">
        <v>20349</v>
      </c>
      <c r="E22" s="725" t="s">
        <v>20350</v>
      </c>
      <c r="F22" s="382"/>
      <c r="G22" s="722"/>
      <c r="H22" s="722"/>
      <c r="I22" s="722"/>
      <c r="J22" s="722"/>
    </row>
    <row r="23" spans="1:10" ht="15.75" customHeight="1" x14ac:dyDescent="0.25">
      <c r="A23" s="722"/>
      <c r="B23" s="723"/>
      <c r="C23" s="724"/>
      <c r="D23" s="722" t="s">
        <v>20351</v>
      </c>
      <c r="E23" s="725" t="s">
        <v>20352</v>
      </c>
      <c r="F23" s="382"/>
      <c r="G23" s="722"/>
      <c r="H23" s="722"/>
      <c r="I23" s="722"/>
      <c r="J23" s="722"/>
    </row>
    <row r="24" spans="1:10" ht="15.75" customHeight="1" x14ac:dyDescent="0.25">
      <c r="A24" s="722"/>
      <c r="B24" s="723"/>
      <c r="C24" s="724"/>
      <c r="D24" s="722" t="s">
        <v>20353</v>
      </c>
      <c r="E24" s="725" t="s">
        <v>20354</v>
      </c>
      <c r="F24" s="382"/>
      <c r="G24" s="722"/>
      <c r="H24" s="722"/>
      <c r="I24" s="722"/>
      <c r="J24" s="722"/>
    </row>
    <row r="25" spans="1:10" ht="15.75" customHeight="1" x14ac:dyDescent="0.25">
      <c r="A25" s="722"/>
      <c r="B25" s="723"/>
      <c r="C25" s="724"/>
      <c r="D25" s="722" t="s">
        <v>20355</v>
      </c>
      <c r="E25" s="725" t="s">
        <v>20356</v>
      </c>
      <c r="F25" s="382"/>
      <c r="G25" s="722"/>
      <c r="H25" s="722"/>
      <c r="I25" s="722"/>
      <c r="J25" s="722"/>
    </row>
    <row r="26" spans="1:10" ht="15.75" customHeight="1" x14ac:dyDescent="0.25">
      <c r="A26" s="722"/>
      <c r="B26" s="723"/>
      <c r="C26" s="724"/>
      <c r="D26" s="722" t="s">
        <v>12078</v>
      </c>
      <c r="E26" s="725" t="s">
        <v>20357</v>
      </c>
      <c r="F26" s="382"/>
      <c r="G26" s="722"/>
      <c r="H26" s="722"/>
      <c r="I26" s="722"/>
      <c r="J26" s="722"/>
    </row>
    <row r="27" spans="1:10" ht="15.75" customHeight="1" x14ac:dyDescent="0.25">
      <c r="A27" s="722"/>
      <c r="B27" s="723"/>
      <c r="C27" s="724"/>
      <c r="D27" s="722" t="s">
        <v>20358</v>
      </c>
      <c r="E27" s="725" t="s">
        <v>20359</v>
      </c>
      <c r="F27" s="382"/>
      <c r="G27" s="722"/>
      <c r="H27" s="722"/>
      <c r="I27" s="722"/>
      <c r="J27" s="722"/>
    </row>
    <row r="28" spans="1:10" ht="15.75" customHeight="1" x14ac:dyDescent="0.25">
      <c r="A28" s="722"/>
      <c r="B28" s="723"/>
      <c r="C28" s="724"/>
      <c r="D28" s="722" t="s">
        <v>20360</v>
      </c>
      <c r="E28" s="725" t="s">
        <v>20361</v>
      </c>
      <c r="F28" s="382"/>
      <c r="G28" s="722"/>
      <c r="H28" s="722"/>
      <c r="I28" s="722"/>
      <c r="J28" s="722"/>
    </row>
    <row r="29" spans="1:10" ht="15.75" hidden="1" customHeight="1" x14ac:dyDescent="0.25">
      <c r="A29" s="722"/>
      <c r="B29" s="723"/>
      <c r="C29" s="724"/>
      <c r="D29" s="722" t="s">
        <v>20362</v>
      </c>
      <c r="E29" s="382"/>
      <c r="F29" s="382"/>
      <c r="G29" s="722"/>
      <c r="H29" s="722"/>
      <c r="I29" s="722"/>
      <c r="J29" s="722"/>
    </row>
    <row r="30" spans="1:10" ht="15.75" hidden="1" customHeight="1" x14ac:dyDescent="0.25">
      <c r="A30" s="722"/>
      <c r="B30" s="723"/>
      <c r="C30" s="724"/>
      <c r="D30" s="722" t="s">
        <v>20363</v>
      </c>
      <c r="E30" s="382"/>
      <c r="F30" s="382"/>
      <c r="G30" s="722"/>
      <c r="H30" s="722"/>
      <c r="I30" s="722"/>
      <c r="J30" s="722"/>
    </row>
    <row r="31" spans="1:10" ht="15.75" hidden="1" customHeight="1" x14ac:dyDescent="0.25">
      <c r="A31" s="722"/>
      <c r="B31" s="723"/>
      <c r="C31" s="724"/>
      <c r="D31" s="722" t="s">
        <v>20364</v>
      </c>
      <c r="E31" s="382"/>
      <c r="F31" s="382"/>
      <c r="G31" s="722"/>
      <c r="H31" s="722"/>
      <c r="I31" s="722"/>
      <c r="J31" s="722"/>
    </row>
    <row r="32" spans="1:10" ht="15.75" hidden="1" customHeight="1" x14ac:dyDescent="0.25">
      <c r="A32" s="722"/>
      <c r="B32" s="723"/>
      <c r="C32" s="724"/>
      <c r="D32" s="722" t="s">
        <v>20365</v>
      </c>
      <c r="E32" s="382"/>
      <c r="F32" s="382"/>
      <c r="G32" s="722"/>
      <c r="H32" s="722"/>
      <c r="I32" s="722"/>
      <c r="J32" s="722"/>
    </row>
    <row r="33" spans="1:10" ht="15.75" hidden="1" customHeight="1" x14ac:dyDescent="0.25">
      <c r="A33" s="722"/>
      <c r="B33" s="723"/>
      <c r="C33" s="724"/>
      <c r="D33" s="722" t="s">
        <v>20366</v>
      </c>
      <c r="E33" s="382"/>
      <c r="F33" s="382"/>
      <c r="G33" s="722"/>
      <c r="H33" s="722"/>
      <c r="I33" s="722"/>
      <c r="J33" s="722"/>
    </row>
    <row r="34" spans="1:10" ht="15.75" hidden="1" customHeight="1" x14ac:dyDescent="0.25">
      <c r="A34" s="722"/>
      <c r="B34" s="723"/>
      <c r="C34" s="724"/>
      <c r="D34" s="722"/>
      <c r="E34" s="382"/>
      <c r="F34" s="382"/>
      <c r="G34" s="722"/>
      <c r="H34" s="722"/>
      <c r="I34" s="722"/>
      <c r="J34" s="722"/>
    </row>
    <row r="35" spans="1:10" ht="15.75" hidden="1" customHeight="1" x14ac:dyDescent="0.25">
      <c r="A35" s="722"/>
      <c r="B35" s="723"/>
      <c r="C35" s="724"/>
      <c r="D35" s="722" t="s">
        <v>20367</v>
      </c>
      <c r="E35" s="382"/>
      <c r="F35" s="382"/>
      <c r="G35" s="722"/>
      <c r="H35" s="722"/>
      <c r="I35" s="722"/>
      <c r="J35" s="722"/>
    </row>
    <row r="36" spans="1:10" ht="15.75" hidden="1" customHeight="1" x14ac:dyDescent="0.25">
      <c r="A36" s="722"/>
      <c r="B36" s="723"/>
      <c r="C36" s="724"/>
      <c r="D36" s="722" t="s">
        <v>20368</v>
      </c>
      <c r="E36" s="382"/>
      <c r="F36" s="382"/>
      <c r="G36" s="722"/>
      <c r="H36" s="722"/>
      <c r="I36" s="722"/>
      <c r="J36" s="722"/>
    </row>
    <row r="37" spans="1:10" ht="15.75" customHeight="1" x14ac:dyDescent="0.25"/>
    <row r="38" spans="1:10" ht="15.75" customHeight="1" x14ac:dyDescent="0.25"/>
    <row r="39" spans="1:10" ht="15.75" customHeight="1" x14ac:dyDescent="0.25"/>
    <row r="40" spans="1:10" ht="15.75" customHeight="1" x14ac:dyDescent="0.25"/>
    <row r="41" spans="1:10" ht="15.75" customHeight="1" x14ac:dyDescent="0.25"/>
    <row r="42" spans="1:10" ht="15.75" customHeight="1" x14ac:dyDescent="0.25"/>
    <row r="43" spans="1:10" ht="15.75" customHeight="1" x14ac:dyDescent="0.25"/>
    <row r="44" spans="1:10" ht="15.75" customHeight="1" x14ac:dyDescent="0.25"/>
    <row r="45" spans="1:10" ht="15.75" customHeight="1" x14ac:dyDescent="0.25"/>
    <row r="46" spans="1:10" ht="15.75" customHeight="1" x14ac:dyDescent="0.25"/>
    <row r="47" spans="1:10" ht="15.75" customHeight="1" x14ac:dyDescent="0.25"/>
    <row r="48" spans="1:1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4">
    <mergeCell ref="G8:H8"/>
    <mergeCell ref="I8:J8"/>
    <mergeCell ref="A9:F9"/>
    <mergeCell ref="A17:F17"/>
    <mergeCell ref="I5:J5"/>
    <mergeCell ref="F6:H6"/>
    <mergeCell ref="I6:J6"/>
    <mergeCell ref="D7:E7"/>
    <mergeCell ref="I7:J7"/>
    <mergeCell ref="C1:G1"/>
    <mergeCell ref="C2:G2"/>
    <mergeCell ref="C3:G3"/>
    <mergeCell ref="F4:H4"/>
    <mergeCell ref="F5:H5"/>
  </mergeCells>
  <printOptions horizontalCentered="1" verticalCentered="1"/>
  <pageMargins left="0.51180555555555596" right="0.51180555555555596" top="0.98402777777777795" bottom="0.78749999999999998" header="0.511811023622047" footer="0.511811023622047"/>
  <pageSetup paperSize="9" scale="88" orientation="landscape" horizontalDpi="300" verticalDpi="300"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Z1000"/>
  <sheetViews>
    <sheetView view="pageBreakPreview" zoomScale="62" zoomScaleNormal="100" zoomScalePageLayoutView="62" workbookViewId="0">
      <selection sqref="A1:H1"/>
    </sheetView>
  </sheetViews>
  <sheetFormatPr defaultColWidth="14.42578125" defaultRowHeight="15" x14ac:dyDescent="0.25"/>
  <cols>
    <col min="1" max="5" width="8.7109375" customWidth="1"/>
    <col min="6" max="6" width="18" customWidth="1"/>
    <col min="7" max="7" width="8.7109375" customWidth="1"/>
    <col min="8" max="8" width="12" customWidth="1"/>
    <col min="9" max="26" width="8.7109375" customWidth="1"/>
  </cols>
  <sheetData>
    <row r="1" spans="1:26" ht="61.5" customHeight="1" x14ac:dyDescent="0.25">
      <c r="A1" s="919"/>
      <c r="B1" s="919"/>
      <c r="C1" s="919"/>
      <c r="D1" s="919"/>
      <c r="E1" s="919"/>
      <c r="F1" s="919"/>
      <c r="G1" s="919"/>
      <c r="H1" s="919"/>
      <c r="I1" s="682"/>
      <c r="J1" s="193"/>
      <c r="K1" s="196"/>
      <c r="L1" s="196"/>
      <c r="M1" s="196"/>
      <c r="N1" s="196"/>
      <c r="O1" s="196"/>
      <c r="P1" s="196"/>
      <c r="Q1" s="196"/>
      <c r="R1" s="196"/>
      <c r="S1" s="196"/>
      <c r="T1" s="196"/>
      <c r="U1" s="196"/>
      <c r="V1" s="196"/>
      <c r="W1" s="196"/>
      <c r="X1" s="196"/>
      <c r="Y1" s="196"/>
      <c r="Z1" s="196"/>
    </row>
    <row r="2" spans="1:26" ht="15" customHeight="1" x14ac:dyDescent="0.25">
      <c r="A2" s="920" t="s">
        <v>20369</v>
      </c>
      <c r="B2" s="920"/>
      <c r="C2" s="920"/>
      <c r="D2" s="920"/>
      <c r="E2" s="920"/>
      <c r="F2" s="920"/>
      <c r="G2" s="920"/>
      <c r="H2" s="920"/>
      <c r="I2" s="682"/>
      <c r="J2" s="193"/>
      <c r="K2" s="196"/>
      <c r="L2" s="196"/>
      <c r="M2" s="196"/>
      <c r="N2" s="196"/>
      <c r="O2" s="196"/>
      <c r="P2" s="196"/>
      <c r="Q2" s="196"/>
      <c r="R2" s="196"/>
      <c r="S2" s="196"/>
      <c r="T2" s="196"/>
      <c r="U2" s="196"/>
      <c r="V2" s="196"/>
      <c r="W2" s="196"/>
      <c r="X2" s="196"/>
      <c r="Y2" s="196"/>
      <c r="Z2" s="196"/>
    </row>
    <row r="3" spans="1:26" ht="15" customHeight="1" x14ac:dyDescent="0.25">
      <c r="A3" s="683"/>
      <c r="B3" s="726"/>
      <c r="C3" s="726"/>
      <c r="D3" s="726"/>
      <c r="E3" s="726"/>
      <c r="F3" s="726"/>
      <c r="G3" s="726"/>
      <c r="H3" s="686"/>
      <c r="I3" s="682"/>
      <c r="J3" s="193"/>
      <c r="K3" s="196"/>
      <c r="L3" s="196"/>
      <c r="M3" s="196"/>
      <c r="N3" s="196"/>
      <c r="O3" s="196"/>
      <c r="P3" s="196"/>
      <c r="Q3" s="196"/>
      <c r="R3" s="196"/>
      <c r="S3" s="196"/>
      <c r="T3" s="196"/>
      <c r="U3" s="196"/>
      <c r="V3" s="196"/>
      <c r="W3" s="196"/>
      <c r="X3" s="196"/>
      <c r="Y3" s="196"/>
      <c r="Z3" s="196"/>
    </row>
    <row r="4" spans="1:26" ht="15" customHeight="1" x14ac:dyDescent="0.25">
      <c r="A4" s="687" t="s">
        <v>20370</v>
      </c>
      <c r="B4" s="726"/>
      <c r="C4" s="726"/>
      <c r="D4" s="726"/>
      <c r="E4" s="726"/>
      <c r="F4" s="726"/>
      <c r="G4" s="726"/>
      <c r="H4" s="689" t="s">
        <v>20371</v>
      </c>
      <c r="I4" s="682"/>
      <c r="J4" s="193"/>
      <c r="K4" s="196"/>
      <c r="L4" s="196"/>
      <c r="M4" s="196"/>
      <c r="N4" s="196"/>
      <c r="O4" s="196"/>
      <c r="P4" s="196"/>
      <c r="Q4" s="196"/>
      <c r="R4" s="196"/>
      <c r="S4" s="196"/>
      <c r="T4" s="196"/>
      <c r="U4" s="196"/>
      <c r="V4" s="196"/>
      <c r="W4" s="196"/>
      <c r="X4" s="196"/>
      <c r="Y4" s="196"/>
      <c r="Z4" s="196"/>
    </row>
    <row r="5" spans="1:26" x14ac:dyDescent="0.25">
      <c r="A5" s="922" t="s">
        <v>20372</v>
      </c>
      <c r="B5" s="922"/>
      <c r="C5" s="922"/>
      <c r="D5" s="922"/>
      <c r="E5" s="922"/>
      <c r="F5" s="922"/>
      <c r="G5" s="922"/>
      <c r="H5" s="922"/>
    </row>
    <row r="6" spans="1:26" ht="7.5" customHeight="1" x14ac:dyDescent="0.25">
      <c r="A6" s="61"/>
      <c r="B6" s="39"/>
      <c r="C6" s="39"/>
      <c r="D6" s="39"/>
      <c r="E6" s="39"/>
      <c r="F6" s="39"/>
      <c r="G6" s="39"/>
      <c r="H6" s="99"/>
    </row>
    <row r="7" spans="1:26" ht="24.75" customHeight="1" x14ac:dyDescent="0.25">
      <c r="A7" s="727" t="s">
        <v>13763</v>
      </c>
      <c r="B7" s="937" t="s">
        <v>552</v>
      </c>
      <c r="C7" s="937"/>
      <c r="D7" s="937"/>
      <c r="E7" s="937"/>
      <c r="F7" s="937"/>
      <c r="G7" s="728" t="s">
        <v>20373</v>
      </c>
      <c r="H7" s="728" t="s">
        <v>20374</v>
      </c>
      <c r="I7" s="695"/>
      <c r="J7" s="695"/>
      <c r="K7" s="695"/>
      <c r="L7" s="695"/>
      <c r="M7" s="695"/>
      <c r="N7" s="695"/>
      <c r="O7" s="695"/>
      <c r="P7" s="695"/>
      <c r="Q7" s="695"/>
      <c r="R7" s="695"/>
      <c r="S7" s="695"/>
      <c r="T7" s="695"/>
      <c r="U7" s="695"/>
      <c r="V7" s="695"/>
      <c r="W7" s="695"/>
      <c r="X7" s="695"/>
      <c r="Y7" s="695"/>
      <c r="Z7" s="695"/>
    </row>
    <row r="8" spans="1:26" ht="7.5" customHeight="1" x14ac:dyDescent="0.25">
      <c r="A8" s="61"/>
      <c r="B8" s="39"/>
      <c r="C8" s="39"/>
      <c r="D8" s="39"/>
      <c r="E8" s="39"/>
      <c r="F8" s="39"/>
      <c r="G8" s="39"/>
      <c r="H8" s="99"/>
    </row>
    <row r="9" spans="1:26" x14ac:dyDescent="0.25">
      <c r="A9" s="938" t="s">
        <v>20375</v>
      </c>
      <c r="B9" s="938"/>
      <c r="C9" s="938"/>
      <c r="D9" s="938"/>
      <c r="E9" s="938"/>
      <c r="F9" s="938"/>
      <c r="G9" s="938"/>
      <c r="H9" s="938"/>
    </row>
    <row r="10" spans="1:26" x14ac:dyDescent="0.25">
      <c r="A10" s="730" t="s">
        <v>20376</v>
      </c>
      <c r="B10" s="939" t="s">
        <v>20377</v>
      </c>
      <c r="C10" s="939"/>
      <c r="D10" s="939"/>
      <c r="E10" s="939"/>
      <c r="F10" s="939"/>
      <c r="G10" s="731">
        <v>20</v>
      </c>
      <c r="H10" s="731">
        <v>20</v>
      </c>
    </row>
    <row r="11" spans="1:26" x14ac:dyDescent="0.25">
      <c r="A11" s="730" t="s">
        <v>20378</v>
      </c>
      <c r="B11" s="940" t="s">
        <v>20379</v>
      </c>
      <c r="C11" s="940"/>
      <c r="D11" s="940"/>
      <c r="E11" s="940"/>
      <c r="F11" s="940"/>
      <c r="G11" s="731">
        <v>1.5</v>
      </c>
      <c r="H11" s="731">
        <v>1.5</v>
      </c>
    </row>
    <row r="12" spans="1:26" x14ac:dyDescent="0.25">
      <c r="A12" s="730" t="s">
        <v>20380</v>
      </c>
      <c r="B12" s="940" t="s">
        <v>20381</v>
      </c>
      <c r="C12" s="940"/>
      <c r="D12" s="940"/>
      <c r="E12" s="940"/>
      <c r="F12" s="940"/>
      <c r="G12" s="731">
        <v>1</v>
      </c>
      <c r="H12" s="731">
        <v>1</v>
      </c>
    </row>
    <row r="13" spans="1:26" x14ac:dyDescent="0.25">
      <c r="A13" s="730" t="s">
        <v>20382</v>
      </c>
      <c r="B13" s="940" t="s">
        <v>20383</v>
      </c>
      <c r="C13" s="940"/>
      <c r="D13" s="940"/>
      <c r="E13" s="940"/>
      <c r="F13" s="940"/>
      <c r="G13" s="731">
        <v>0.2</v>
      </c>
      <c r="H13" s="731">
        <v>0.2</v>
      </c>
    </row>
    <row r="14" spans="1:26" x14ac:dyDescent="0.25">
      <c r="A14" s="730" t="s">
        <v>20384</v>
      </c>
      <c r="B14" s="940" t="s">
        <v>20385</v>
      </c>
      <c r="C14" s="940"/>
      <c r="D14" s="940"/>
      <c r="E14" s="940"/>
      <c r="F14" s="940"/>
      <c r="G14" s="731">
        <v>0.6</v>
      </c>
      <c r="H14" s="731">
        <v>0.6</v>
      </c>
    </row>
    <row r="15" spans="1:26" x14ac:dyDescent="0.25">
      <c r="A15" s="730" t="s">
        <v>20386</v>
      </c>
      <c r="B15" s="940" t="s">
        <v>20387</v>
      </c>
      <c r="C15" s="940"/>
      <c r="D15" s="940"/>
      <c r="E15" s="940"/>
      <c r="F15" s="940"/>
      <c r="G15" s="731">
        <v>2.5</v>
      </c>
      <c r="H15" s="731">
        <v>2.5</v>
      </c>
    </row>
    <row r="16" spans="1:26" x14ac:dyDescent="0.25">
      <c r="A16" s="730" t="s">
        <v>20388</v>
      </c>
      <c r="B16" s="940" t="s">
        <v>20389</v>
      </c>
      <c r="C16" s="940"/>
      <c r="D16" s="940"/>
      <c r="E16" s="940"/>
      <c r="F16" s="940"/>
      <c r="G16" s="731">
        <v>3</v>
      </c>
      <c r="H16" s="731">
        <v>3</v>
      </c>
    </row>
    <row r="17" spans="1:26" x14ac:dyDescent="0.25">
      <c r="A17" s="730" t="s">
        <v>20390</v>
      </c>
      <c r="B17" s="940" t="s">
        <v>20391</v>
      </c>
      <c r="C17" s="940"/>
      <c r="D17" s="940"/>
      <c r="E17" s="940"/>
      <c r="F17" s="940"/>
      <c r="G17" s="731">
        <v>8</v>
      </c>
      <c r="H17" s="731">
        <v>8</v>
      </c>
    </row>
    <row r="18" spans="1:26" x14ac:dyDescent="0.25">
      <c r="A18" s="730" t="s">
        <v>20392</v>
      </c>
      <c r="B18" s="939" t="s">
        <v>20393</v>
      </c>
      <c r="C18" s="939"/>
      <c r="D18" s="939"/>
      <c r="E18" s="939"/>
      <c r="F18" s="939"/>
      <c r="G18" s="731">
        <v>1</v>
      </c>
      <c r="H18" s="731">
        <v>1</v>
      </c>
      <c r="J18" s="698"/>
      <c r="K18" s="698"/>
    </row>
    <row r="19" spans="1:26" x14ac:dyDescent="0.25">
      <c r="A19" s="729" t="s">
        <v>20394</v>
      </c>
      <c r="B19" s="941" t="s">
        <v>20395</v>
      </c>
      <c r="C19" s="941"/>
      <c r="D19" s="941"/>
      <c r="E19" s="941"/>
      <c r="F19" s="941"/>
      <c r="G19" s="732">
        <v>37.799999999999997</v>
      </c>
      <c r="H19" s="732">
        <v>37.799999999999997</v>
      </c>
      <c r="I19" s="699"/>
      <c r="J19" s="700"/>
      <c r="K19" s="700"/>
      <c r="L19" s="699"/>
      <c r="M19" s="699"/>
      <c r="N19" s="699"/>
      <c r="O19" s="699"/>
      <c r="P19" s="699"/>
      <c r="Q19" s="699"/>
      <c r="R19" s="699"/>
      <c r="S19" s="699"/>
      <c r="T19" s="699"/>
      <c r="U19" s="699"/>
      <c r="V19" s="699"/>
      <c r="W19" s="699"/>
      <c r="X19" s="699"/>
      <c r="Y19" s="699"/>
      <c r="Z19" s="699"/>
    </row>
    <row r="20" spans="1:26" ht="7.5" customHeight="1" x14ac:dyDescent="0.25">
      <c r="A20" s="733"/>
      <c r="B20" s="38"/>
      <c r="C20" s="38"/>
      <c r="D20" s="38"/>
      <c r="E20" s="38"/>
      <c r="F20" s="38"/>
      <c r="G20" s="38"/>
      <c r="H20" s="734"/>
    </row>
    <row r="21" spans="1:26" ht="15.75" customHeight="1" x14ac:dyDescent="0.25">
      <c r="A21" s="938" t="s">
        <v>20396</v>
      </c>
      <c r="B21" s="938"/>
      <c r="C21" s="938"/>
      <c r="D21" s="938"/>
      <c r="E21" s="938"/>
      <c r="F21" s="938"/>
      <c r="G21" s="938"/>
      <c r="H21" s="938"/>
    </row>
    <row r="22" spans="1:26" ht="15.75" customHeight="1" x14ac:dyDescent="0.25">
      <c r="A22" s="730" t="s">
        <v>20397</v>
      </c>
      <c r="B22" s="939" t="s">
        <v>20398</v>
      </c>
      <c r="C22" s="939"/>
      <c r="D22" s="939"/>
      <c r="E22" s="939"/>
      <c r="F22" s="939"/>
      <c r="G22" s="731">
        <v>17.91</v>
      </c>
      <c r="H22" s="731" t="s">
        <v>20399</v>
      </c>
      <c r="J22" s="698"/>
      <c r="K22" s="698"/>
    </row>
    <row r="23" spans="1:26" ht="15.75" customHeight="1" x14ac:dyDescent="0.25">
      <c r="A23" s="730" t="s">
        <v>20400</v>
      </c>
      <c r="B23" s="940" t="s">
        <v>20401</v>
      </c>
      <c r="C23" s="940"/>
      <c r="D23" s="940"/>
      <c r="E23" s="940"/>
      <c r="F23" s="940"/>
      <c r="G23" s="731">
        <v>3.97</v>
      </c>
      <c r="H23" s="731" t="s">
        <v>20399</v>
      </c>
    </row>
    <row r="24" spans="1:26" ht="15.75" customHeight="1" x14ac:dyDescent="0.25">
      <c r="A24" s="730" t="s">
        <v>20402</v>
      </c>
      <c r="B24" s="940" t="s">
        <v>20403</v>
      </c>
      <c r="C24" s="940"/>
      <c r="D24" s="940"/>
      <c r="E24" s="940"/>
      <c r="F24" s="940"/>
      <c r="G24" s="731">
        <v>0.86</v>
      </c>
      <c r="H24" s="731">
        <v>0.65</v>
      </c>
    </row>
    <row r="25" spans="1:26" ht="15.75" customHeight="1" x14ac:dyDescent="0.25">
      <c r="A25" s="730" t="s">
        <v>20404</v>
      </c>
      <c r="B25" s="940" t="s">
        <v>20405</v>
      </c>
      <c r="C25" s="940"/>
      <c r="D25" s="940"/>
      <c r="E25" s="940"/>
      <c r="F25" s="940"/>
      <c r="G25" s="731">
        <v>11.07</v>
      </c>
      <c r="H25" s="731">
        <v>8.33</v>
      </c>
    </row>
    <row r="26" spans="1:26" ht="15.75" customHeight="1" x14ac:dyDescent="0.25">
      <c r="A26" s="730" t="s">
        <v>20406</v>
      </c>
      <c r="B26" s="940" t="s">
        <v>20407</v>
      </c>
      <c r="C26" s="940"/>
      <c r="D26" s="940"/>
      <c r="E26" s="940"/>
      <c r="F26" s="940"/>
      <c r="G26" s="731">
        <v>7.0000000000000007E-2</v>
      </c>
      <c r="H26" s="731">
        <v>0.05</v>
      </c>
    </row>
    <row r="27" spans="1:26" ht="15.75" customHeight="1" x14ac:dyDescent="0.25">
      <c r="A27" s="730" t="s">
        <v>20408</v>
      </c>
      <c r="B27" s="940" t="s">
        <v>20409</v>
      </c>
      <c r="C27" s="940"/>
      <c r="D27" s="940"/>
      <c r="E27" s="940"/>
      <c r="F27" s="940"/>
      <c r="G27" s="731">
        <v>0.74</v>
      </c>
      <c r="H27" s="731">
        <v>0.56000000000000005</v>
      </c>
    </row>
    <row r="28" spans="1:26" ht="15.75" customHeight="1" x14ac:dyDescent="0.25">
      <c r="A28" s="730" t="s">
        <v>20410</v>
      </c>
      <c r="B28" s="940" t="s">
        <v>20411</v>
      </c>
      <c r="C28" s="940"/>
      <c r="D28" s="940"/>
      <c r="E28" s="940"/>
      <c r="F28" s="940"/>
      <c r="G28" s="731">
        <v>1.7</v>
      </c>
      <c r="H28" s="731" t="s">
        <v>20399</v>
      </c>
    </row>
    <row r="29" spans="1:26" ht="15.75" customHeight="1" x14ac:dyDescent="0.25">
      <c r="A29" s="730" t="s">
        <v>20412</v>
      </c>
      <c r="B29" s="940" t="s">
        <v>20413</v>
      </c>
      <c r="C29" s="940"/>
      <c r="D29" s="940"/>
      <c r="E29" s="940"/>
      <c r="F29" s="940"/>
      <c r="G29" s="731">
        <v>0.1</v>
      </c>
      <c r="H29" s="731">
        <v>7.0000000000000007E-2</v>
      </c>
    </row>
    <row r="30" spans="1:26" ht="15.75" customHeight="1" x14ac:dyDescent="0.25">
      <c r="A30" s="730" t="s">
        <v>20414</v>
      </c>
      <c r="B30" s="939" t="s">
        <v>20415</v>
      </c>
      <c r="C30" s="939"/>
      <c r="D30" s="939"/>
      <c r="E30" s="939"/>
      <c r="F30" s="939"/>
      <c r="G30" s="731">
        <v>12.55</v>
      </c>
      <c r="H30" s="731">
        <v>9.4499999999999993</v>
      </c>
    </row>
    <row r="31" spans="1:26" ht="15.75" customHeight="1" x14ac:dyDescent="0.25">
      <c r="A31" s="730" t="s">
        <v>20416</v>
      </c>
      <c r="B31" s="939" t="s">
        <v>20417</v>
      </c>
      <c r="C31" s="939"/>
      <c r="D31" s="939"/>
      <c r="E31" s="939"/>
      <c r="F31" s="939"/>
      <c r="G31" s="731">
        <v>0.03</v>
      </c>
      <c r="H31" s="731">
        <v>0.03</v>
      </c>
    </row>
    <row r="32" spans="1:26" ht="15.75" customHeight="1" x14ac:dyDescent="0.25">
      <c r="A32" s="729" t="s">
        <v>20418</v>
      </c>
      <c r="B32" s="941" t="s">
        <v>20419</v>
      </c>
      <c r="C32" s="941"/>
      <c r="D32" s="941"/>
      <c r="E32" s="941"/>
      <c r="F32" s="941"/>
      <c r="G32" s="732">
        <v>49</v>
      </c>
      <c r="H32" s="732">
        <v>19.14</v>
      </c>
      <c r="I32" s="699"/>
      <c r="J32" s="699"/>
      <c r="K32" s="699"/>
      <c r="L32" s="699"/>
      <c r="M32" s="699"/>
      <c r="N32" s="699"/>
      <c r="O32" s="699"/>
      <c r="P32" s="699"/>
      <c r="Q32" s="699"/>
      <c r="R32" s="699"/>
      <c r="S32" s="699"/>
      <c r="T32" s="699"/>
      <c r="U32" s="699"/>
      <c r="V32" s="699"/>
      <c r="W32" s="699"/>
      <c r="X32" s="699"/>
      <c r="Y32" s="699"/>
      <c r="Z32" s="699"/>
    </row>
    <row r="33" spans="1:26" ht="7.5" customHeight="1" x14ac:dyDescent="0.25">
      <c r="A33" s="733"/>
      <c r="B33" s="38"/>
      <c r="C33" s="38"/>
      <c r="D33" s="38"/>
      <c r="E33" s="38"/>
      <c r="F33" s="38"/>
      <c r="G33" s="38"/>
      <c r="H33" s="734"/>
    </row>
    <row r="34" spans="1:26" ht="15.75" customHeight="1" x14ac:dyDescent="0.25">
      <c r="A34" s="938" t="s">
        <v>20420</v>
      </c>
      <c r="B34" s="938"/>
      <c r="C34" s="938"/>
      <c r="D34" s="938"/>
      <c r="E34" s="938"/>
      <c r="F34" s="938"/>
      <c r="G34" s="938"/>
      <c r="H34" s="938"/>
      <c r="J34" s="698"/>
      <c r="K34" s="698"/>
    </row>
    <row r="35" spans="1:26" ht="15.75" customHeight="1" x14ac:dyDescent="0.25">
      <c r="A35" s="730" t="s">
        <v>20421</v>
      </c>
      <c r="B35" s="939" t="s">
        <v>20422</v>
      </c>
      <c r="C35" s="939"/>
      <c r="D35" s="939"/>
      <c r="E35" s="939"/>
      <c r="F35" s="939"/>
      <c r="G35" s="731">
        <v>5.48</v>
      </c>
      <c r="H35" s="731">
        <v>4.12</v>
      </c>
    </row>
    <row r="36" spans="1:26" ht="15.75" customHeight="1" x14ac:dyDescent="0.25">
      <c r="A36" s="730" t="s">
        <v>20423</v>
      </c>
      <c r="B36" s="940" t="s">
        <v>20424</v>
      </c>
      <c r="C36" s="940"/>
      <c r="D36" s="940"/>
      <c r="E36" s="940"/>
      <c r="F36" s="940"/>
      <c r="G36" s="731">
        <v>0.13</v>
      </c>
      <c r="H36" s="731">
        <v>0.1</v>
      </c>
    </row>
    <row r="37" spans="1:26" ht="15.75" customHeight="1" x14ac:dyDescent="0.25">
      <c r="A37" s="730" t="s">
        <v>20425</v>
      </c>
      <c r="B37" s="940" t="s">
        <v>20426</v>
      </c>
      <c r="C37" s="940"/>
      <c r="D37" s="940"/>
      <c r="E37" s="940"/>
      <c r="F37" s="940"/>
      <c r="G37" s="731">
        <v>1.68</v>
      </c>
      <c r="H37" s="731">
        <v>1.27</v>
      </c>
    </row>
    <row r="38" spans="1:26" ht="15.75" customHeight="1" x14ac:dyDescent="0.25">
      <c r="A38" s="730" t="s">
        <v>20427</v>
      </c>
      <c r="B38" s="940" t="s">
        <v>20428</v>
      </c>
      <c r="C38" s="940"/>
      <c r="D38" s="940"/>
      <c r="E38" s="940"/>
      <c r="F38" s="940"/>
      <c r="G38" s="731">
        <v>2.81</v>
      </c>
      <c r="H38" s="731">
        <v>2.12</v>
      </c>
    </row>
    <row r="39" spans="1:26" ht="15.75" customHeight="1" x14ac:dyDescent="0.25">
      <c r="A39" s="730" t="s">
        <v>20429</v>
      </c>
      <c r="B39" s="939" t="s">
        <v>20430</v>
      </c>
      <c r="C39" s="939"/>
      <c r="D39" s="939"/>
      <c r="E39" s="939"/>
      <c r="F39" s="939"/>
      <c r="G39" s="731">
        <v>0.46</v>
      </c>
      <c r="H39" s="731">
        <v>0.35</v>
      </c>
    </row>
    <row r="40" spans="1:26" ht="15.75" customHeight="1" x14ac:dyDescent="0.25">
      <c r="A40" s="729" t="s">
        <v>20431</v>
      </c>
      <c r="B40" s="941" t="s">
        <v>20432</v>
      </c>
      <c r="C40" s="941"/>
      <c r="D40" s="941"/>
      <c r="E40" s="941"/>
      <c r="F40" s="941"/>
      <c r="G40" s="732">
        <v>10.56</v>
      </c>
      <c r="H40" s="732">
        <v>7.96</v>
      </c>
      <c r="I40" s="699"/>
      <c r="J40" s="699"/>
      <c r="K40" s="699"/>
      <c r="L40" s="699"/>
      <c r="M40" s="699"/>
      <c r="N40" s="699"/>
      <c r="O40" s="699"/>
      <c r="P40" s="699"/>
      <c r="Q40" s="699"/>
      <c r="R40" s="699"/>
      <c r="S40" s="699"/>
      <c r="T40" s="699"/>
      <c r="U40" s="699"/>
      <c r="V40" s="699"/>
      <c r="W40" s="699"/>
      <c r="X40" s="699"/>
      <c r="Y40" s="699"/>
      <c r="Z40" s="699"/>
    </row>
    <row r="41" spans="1:26" ht="7.5" customHeight="1" x14ac:dyDescent="0.25">
      <c r="A41" s="733"/>
      <c r="B41" s="38"/>
      <c r="C41" s="38"/>
      <c r="D41" s="38"/>
      <c r="E41" s="38"/>
      <c r="F41" s="38"/>
      <c r="G41" s="38"/>
      <c r="H41" s="734"/>
    </row>
    <row r="42" spans="1:26" ht="15.75" customHeight="1" x14ac:dyDescent="0.25">
      <c r="A42" s="938" t="s">
        <v>20433</v>
      </c>
      <c r="B42" s="938"/>
      <c r="C42" s="938"/>
      <c r="D42" s="938"/>
      <c r="E42" s="938"/>
      <c r="F42" s="938"/>
      <c r="G42" s="938"/>
      <c r="H42" s="938"/>
    </row>
    <row r="43" spans="1:26" ht="15.75" customHeight="1" x14ac:dyDescent="0.25">
      <c r="A43" s="730" t="s">
        <v>20434</v>
      </c>
      <c r="B43" s="944" t="s">
        <v>20435</v>
      </c>
      <c r="C43" s="944"/>
      <c r="D43" s="944"/>
      <c r="E43" s="944"/>
      <c r="F43" s="944"/>
      <c r="G43" s="731">
        <v>18.52</v>
      </c>
      <c r="H43" s="731">
        <v>7.23</v>
      </c>
      <c r="J43" s="698"/>
      <c r="K43" s="698"/>
    </row>
    <row r="44" spans="1:26" ht="15.75" customHeight="1" x14ac:dyDescent="0.25">
      <c r="A44" s="945" t="s">
        <v>20436</v>
      </c>
      <c r="B44" s="944" t="s">
        <v>20437</v>
      </c>
      <c r="C44" s="944"/>
      <c r="D44" s="944"/>
      <c r="E44" s="944"/>
      <c r="F44" s="944"/>
      <c r="G44" s="946">
        <v>0.49</v>
      </c>
      <c r="H44" s="946">
        <v>0.37</v>
      </c>
    </row>
    <row r="45" spans="1:26" ht="15.75" customHeight="1" x14ac:dyDescent="0.25">
      <c r="A45" s="945"/>
      <c r="B45" s="947" t="s">
        <v>20438</v>
      </c>
      <c r="C45" s="947"/>
      <c r="D45" s="947"/>
      <c r="E45" s="947"/>
      <c r="F45" s="947"/>
      <c r="G45" s="946"/>
      <c r="H45" s="946"/>
    </row>
    <row r="46" spans="1:26" ht="15.75" customHeight="1" x14ac:dyDescent="0.25">
      <c r="A46" s="729" t="s">
        <v>20439</v>
      </c>
      <c r="B46" s="941" t="s">
        <v>20440</v>
      </c>
      <c r="C46" s="941"/>
      <c r="D46" s="941"/>
      <c r="E46" s="941"/>
      <c r="F46" s="941"/>
      <c r="G46" s="732">
        <v>19.010000000000002</v>
      </c>
      <c r="H46" s="732">
        <v>7.6</v>
      </c>
      <c r="I46" s="699"/>
      <c r="J46" s="699"/>
      <c r="K46" s="699"/>
      <c r="L46" s="699"/>
      <c r="M46" s="699"/>
      <c r="N46" s="699"/>
      <c r="O46" s="699"/>
      <c r="P46" s="699"/>
      <c r="Q46" s="699"/>
      <c r="R46" s="699"/>
      <c r="S46" s="699"/>
      <c r="T46" s="699"/>
      <c r="U46" s="699"/>
      <c r="V46" s="699"/>
      <c r="W46" s="699"/>
      <c r="X46" s="699"/>
      <c r="Y46" s="699"/>
      <c r="Z46" s="699"/>
    </row>
    <row r="47" spans="1:26" ht="7.5" customHeight="1" x14ac:dyDescent="0.25">
      <c r="A47" s="733"/>
      <c r="B47" s="38"/>
      <c r="C47" s="38"/>
      <c r="D47" s="38"/>
      <c r="E47" s="38"/>
      <c r="F47" s="38"/>
      <c r="G47" s="38"/>
      <c r="H47" s="734"/>
    </row>
    <row r="48" spans="1:26" ht="15.75" customHeight="1" x14ac:dyDescent="0.25">
      <c r="A48" s="942" t="s">
        <v>20441</v>
      </c>
      <c r="B48" s="942"/>
      <c r="C48" s="942"/>
      <c r="D48" s="942"/>
      <c r="E48" s="942"/>
      <c r="F48" s="942"/>
      <c r="G48" s="735">
        <v>116.37</v>
      </c>
      <c r="H48" s="735">
        <v>72.5</v>
      </c>
    </row>
    <row r="49" spans="1:8" ht="15.75" customHeight="1" x14ac:dyDescent="0.25">
      <c r="A49" s="736"/>
      <c r="H49" s="737"/>
    </row>
    <row r="50" spans="1:8" ht="15.75" customHeight="1" x14ac:dyDescent="0.25">
      <c r="A50" s="943" t="s">
        <v>20442</v>
      </c>
      <c r="B50" s="943"/>
      <c r="C50" s="943"/>
      <c r="D50" s="943"/>
      <c r="E50" s="943"/>
      <c r="F50" s="943"/>
      <c r="G50" s="943"/>
      <c r="H50" s="943"/>
    </row>
    <row r="51" spans="1:8" ht="15.75" customHeight="1" x14ac:dyDescent="0.25"/>
    <row r="52" spans="1:8" ht="15.75" customHeight="1" x14ac:dyDescent="0.25"/>
    <row r="53" spans="1:8" ht="15.75" customHeight="1" x14ac:dyDescent="0.25"/>
    <row r="54" spans="1:8" ht="15.75" customHeight="1" x14ac:dyDescent="0.25"/>
    <row r="55" spans="1:8" ht="15.75" customHeight="1" x14ac:dyDescent="0.25"/>
    <row r="56" spans="1:8" ht="15.75" customHeight="1" x14ac:dyDescent="0.25"/>
    <row r="57" spans="1:8" ht="15.75" customHeight="1" x14ac:dyDescent="0.25"/>
    <row r="58" spans="1:8" ht="15.75" customHeight="1" x14ac:dyDescent="0.25"/>
    <row r="59" spans="1:8" ht="15.75" customHeight="1" x14ac:dyDescent="0.25"/>
    <row r="60" spans="1:8" ht="15.75" customHeight="1" x14ac:dyDescent="0.25"/>
    <row r="61" spans="1:8" ht="15.75" customHeight="1" x14ac:dyDescent="0.25"/>
    <row r="62" spans="1:8" ht="15.75" customHeight="1" x14ac:dyDescent="0.25"/>
    <row r="63" spans="1:8" ht="15.75" customHeight="1" x14ac:dyDescent="0.25"/>
    <row r="64" spans="1:8"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44">
    <mergeCell ref="B46:F46"/>
    <mergeCell ref="A48:F48"/>
    <mergeCell ref="A50:H50"/>
    <mergeCell ref="B43:F43"/>
    <mergeCell ref="A44:A45"/>
    <mergeCell ref="B44:F44"/>
    <mergeCell ref="G44:G45"/>
    <mergeCell ref="H44:H45"/>
    <mergeCell ref="B45:F45"/>
    <mergeCell ref="B37:F37"/>
    <mergeCell ref="B38:F38"/>
    <mergeCell ref="B39:F39"/>
    <mergeCell ref="B40:F40"/>
    <mergeCell ref="A42:H42"/>
    <mergeCell ref="B31:F31"/>
    <mergeCell ref="B32:F32"/>
    <mergeCell ref="A34:H34"/>
    <mergeCell ref="B35:F35"/>
    <mergeCell ref="B36:F36"/>
    <mergeCell ref="B26:F26"/>
    <mergeCell ref="B27:F27"/>
    <mergeCell ref="B28:F28"/>
    <mergeCell ref="B29:F29"/>
    <mergeCell ref="B30:F30"/>
    <mergeCell ref="A21:H21"/>
    <mergeCell ref="B22:F22"/>
    <mergeCell ref="B23:F23"/>
    <mergeCell ref="B24:F24"/>
    <mergeCell ref="B25:F25"/>
    <mergeCell ref="B15:F15"/>
    <mergeCell ref="B16:F16"/>
    <mergeCell ref="B17:F17"/>
    <mergeCell ref="B18:F18"/>
    <mergeCell ref="B19:F19"/>
    <mergeCell ref="B10:F10"/>
    <mergeCell ref="B11:F11"/>
    <mergeCell ref="B12:F12"/>
    <mergeCell ref="B13:F13"/>
    <mergeCell ref="B14:F14"/>
    <mergeCell ref="A1:H1"/>
    <mergeCell ref="A2:H2"/>
    <mergeCell ref="A5:H5"/>
    <mergeCell ref="B7:F7"/>
    <mergeCell ref="A9:H9"/>
  </mergeCells>
  <printOptions horizontalCentered="1" verticalCentered="1"/>
  <pageMargins left="1.1812499999999999" right="0.39374999999999999" top="0.78749999999999998" bottom="0.78749999999999998" header="0.511811023622047" footer="0.511811023622047"/>
  <pageSetup paperSize="9" scale="96"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0000"/>
  </sheetPr>
  <dimension ref="A1:Z1000"/>
  <sheetViews>
    <sheetView view="pageBreakPreview" zoomScale="62" zoomScaleNormal="100" zoomScalePageLayoutView="62" workbookViewId="0"/>
  </sheetViews>
  <sheetFormatPr defaultColWidth="14.42578125" defaultRowHeight="15" x14ac:dyDescent="0.25"/>
  <cols>
    <col min="1" max="1" width="7.7109375" customWidth="1"/>
    <col min="2" max="2" width="12.42578125" customWidth="1"/>
    <col min="3" max="3" width="10.28515625" customWidth="1"/>
    <col min="4" max="4" width="39.42578125" customWidth="1"/>
    <col min="5" max="5" width="33.85546875" customWidth="1"/>
    <col min="6" max="26" width="8.7109375" customWidth="1"/>
  </cols>
  <sheetData>
    <row r="1" spans="1:26" ht="15" customHeight="1" x14ac:dyDescent="0.25">
      <c r="A1" s="704"/>
      <c r="B1" s="705"/>
      <c r="C1" s="929" t="s">
        <v>20327</v>
      </c>
      <c r="D1" s="929"/>
      <c r="E1" s="929"/>
      <c r="F1" s="929"/>
      <c r="G1" s="929"/>
      <c r="H1" s="707"/>
      <c r="I1" s="707"/>
      <c r="J1" s="707"/>
      <c r="K1" s="707"/>
      <c r="L1" s="706"/>
      <c r="M1" s="231"/>
      <c r="N1" s="231"/>
      <c r="O1" s="231"/>
      <c r="P1" s="231"/>
      <c r="Q1" s="231"/>
      <c r="R1" s="231"/>
      <c r="S1" s="231"/>
      <c r="T1" s="231"/>
      <c r="U1" s="231"/>
      <c r="V1" s="231"/>
      <c r="W1" s="231"/>
      <c r="X1" s="231"/>
      <c r="Y1" s="231"/>
      <c r="Z1" s="231"/>
    </row>
    <row r="2" spans="1:26" ht="12.75" customHeight="1" x14ac:dyDescent="0.25">
      <c r="A2" s="705"/>
      <c r="B2" s="705"/>
      <c r="C2" s="930" t="s">
        <v>11883</v>
      </c>
      <c r="D2" s="930"/>
      <c r="E2" s="930"/>
      <c r="F2" s="930"/>
      <c r="G2" s="930"/>
      <c r="H2" s="231"/>
      <c r="I2" s="231"/>
      <c r="J2" s="231"/>
      <c r="K2" s="708"/>
      <c r="L2" s="709"/>
      <c r="M2" s="231"/>
      <c r="N2" s="231"/>
      <c r="O2" s="231"/>
      <c r="P2" s="231"/>
      <c r="Q2" s="231"/>
      <c r="R2" s="231"/>
      <c r="S2" s="231"/>
      <c r="T2" s="231"/>
      <c r="U2" s="231"/>
      <c r="V2" s="231"/>
      <c r="W2" s="231"/>
      <c r="X2" s="231"/>
      <c r="Y2" s="231"/>
      <c r="Z2" s="231"/>
    </row>
    <row r="3" spans="1:26" ht="15" customHeight="1" x14ac:dyDescent="0.25">
      <c r="A3" s="705"/>
      <c r="B3" s="705"/>
      <c r="C3" s="930" t="s">
        <v>11885</v>
      </c>
      <c r="D3" s="930"/>
      <c r="E3" s="930"/>
      <c r="F3" s="930"/>
      <c r="G3" s="930"/>
      <c r="H3" s="231"/>
      <c r="I3" s="231"/>
      <c r="J3" s="231"/>
      <c r="K3" s="708"/>
      <c r="L3" s="709"/>
      <c r="M3" s="231"/>
      <c r="N3" s="231"/>
      <c r="O3" s="231"/>
      <c r="P3" s="231"/>
      <c r="Q3" s="231"/>
      <c r="R3" s="231"/>
      <c r="S3" s="231"/>
      <c r="T3" s="231"/>
      <c r="U3" s="231"/>
      <c r="V3" s="231"/>
      <c r="W3" s="231"/>
      <c r="X3" s="231"/>
      <c r="Y3" s="231"/>
      <c r="Z3" s="231"/>
    </row>
    <row r="4" spans="1:26" ht="12.75" customHeight="1" x14ac:dyDescent="0.25">
      <c r="A4" s="705"/>
      <c r="B4" s="705"/>
      <c r="C4" s="684" t="s">
        <v>447</v>
      </c>
      <c r="D4" s="685" t="str">
        <f>IF(DADOS!D12&lt;&gt;"",DADOS!D12," ")</f>
        <v xml:space="preserve">PRONTO ATENDIMENTO MUNICIPAL </v>
      </c>
      <c r="E4" s="688" t="s">
        <v>20328</v>
      </c>
      <c r="F4" s="931" t="str">
        <f>IF(DADOS!D24&lt;&gt;"",DADOS!D24," ")</f>
        <v>Erick William da Silva Damaceno</v>
      </c>
      <c r="G4" s="931"/>
      <c r="H4" s="931"/>
      <c r="I4" s="231"/>
      <c r="J4" s="231"/>
      <c r="K4" s="711"/>
      <c r="L4" s="712"/>
      <c r="M4" s="231"/>
      <c r="N4" s="231"/>
      <c r="O4" s="231"/>
      <c r="P4" s="231"/>
      <c r="Q4" s="231"/>
      <c r="R4" s="231"/>
      <c r="S4" s="231"/>
      <c r="T4" s="231"/>
      <c r="U4" s="231"/>
      <c r="V4" s="231"/>
      <c r="W4" s="231"/>
      <c r="X4" s="231"/>
      <c r="Y4" s="231"/>
      <c r="Z4" s="231"/>
    </row>
    <row r="5" spans="1:26" ht="12.75" customHeight="1" x14ac:dyDescent="0.25">
      <c r="A5" s="705"/>
      <c r="B5" s="705"/>
      <c r="C5" s="688" t="s">
        <v>451</v>
      </c>
      <c r="D5" s="685" t="str">
        <f>IF(DADOS!$D$16&lt;&gt;"",DADOS!$D$16," ")</f>
        <v>IMBAÚ</v>
      </c>
      <c r="E5" s="688" t="s">
        <v>11891</v>
      </c>
      <c r="F5" s="932">
        <f>IF(DADOS!D30&lt;&gt;"",DADOS!D30," ")</f>
        <v>1720261230534</v>
      </c>
      <c r="G5" s="932"/>
      <c r="H5" s="932"/>
      <c r="I5" s="935"/>
      <c r="J5" s="935"/>
      <c r="K5" s="711"/>
      <c r="L5" s="712"/>
      <c r="M5" s="231"/>
      <c r="N5" s="231"/>
      <c r="O5" s="231"/>
      <c r="P5" s="231"/>
      <c r="Q5" s="231"/>
      <c r="R5" s="231"/>
      <c r="S5" s="231"/>
      <c r="T5" s="231"/>
      <c r="U5" s="231"/>
      <c r="V5" s="231"/>
      <c r="W5" s="231"/>
      <c r="X5" s="231"/>
      <c r="Y5" s="231"/>
      <c r="Z5" s="231"/>
    </row>
    <row r="6" spans="1:26" ht="12" customHeight="1" x14ac:dyDescent="0.25">
      <c r="A6" s="705"/>
      <c r="B6" s="705"/>
      <c r="C6" s="688" t="s">
        <v>11884</v>
      </c>
      <c r="D6" s="714" t="str">
        <f>IF('FOLHA FECHAMENTO'!K12&lt;&gt;"",'FOLHA FECHAMENTO'!K12," ")</f>
        <v xml:space="preserve"> </v>
      </c>
      <c r="E6" s="688" t="s">
        <v>11893</v>
      </c>
      <c r="F6" s="931" t="str">
        <f>IF(DADOS!D28&lt;&gt;"",DADOS!D28," ")</f>
        <v>211052/D</v>
      </c>
      <c r="G6" s="931"/>
      <c r="H6" s="931"/>
      <c r="I6" s="935"/>
      <c r="J6" s="935"/>
      <c r="K6" s="713"/>
      <c r="L6" s="715"/>
      <c r="M6" s="231"/>
      <c r="N6" s="231"/>
      <c r="O6" s="231"/>
      <c r="P6" s="231"/>
      <c r="Q6" s="231"/>
      <c r="R6" s="231"/>
      <c r="S6" s="231"/>
      <c r="T6" s="231"/>
      <c r="U6" s="231"/>
      <c r="V6" s="231"/>
      <c r="W6" s="231"/>
      <c r="X6" s="231"/>
      <c r="Y6" s="231"/>
      <c r="Z6" s="231"/>
    </row>
    <row r="7" spans="1:26" x14ac:dyDescent="0.25">
      <c r="A7" s="705"/>
      <c r="B7" s="705"/>
      <c r="C7" s="688" t="s">
        <v>453</v>
      </c>
      <c r="D7" s="936" t="str">
        <f>IF(DADOS!M12&lt;&gt;"",DADOS!M12," ")</f>
        <v>SESA</v>
      </c>
      <c r="E7" s="936"/>
      <c r="F7" s="716"/>
      <c r="G7" s="716"/>
      <c r="H7" s="688"/>
      <c r="I7" s="935"/>
      <c r="J7" s="935"/>
      <c r="K7" s="710"/>
      <c r="L7" s="717"/>
      <c r="M7" s="231"/>
      <c r="N7" s="231"/>
      <c r="O7" s="231"/>
      <c r="P7" s="231"/>
      <c r="Q7" s="231"/>
      <c r="R7" s="231"/>
      <c r="S7" s="231"/>
      <c r="T7" s="231"/>
      <c r="U7" s="231"/>
      <c r="V7" s="231"/>
      <c r="W7" s="231"/>
      <c r="X7" s="231"/>
      <c r="Y7" s="231"/>
      <c r="Z7" s="231"/>
    </row>
    <row r="8" spans="1:26" ht="25.5" customHeight="1" x14ac:dyDescent="0.25">
      <c r="A8" s="718" t="s">
        <v>20329</v>
      </c>
      <c r="B8" s="719" t="s">
        <v>20330</v>
      </c>
      <c r="C8" s="719" t="s">
        <v>20331</v>
      </c>
      <c r="D8" s="718" t="s">
        <v>20443</v>
      </c>
      <c r="E8" s="718" t="s">
        <v>20333</v>
      </c>
      <c r="F8" s="719" t="s">
        <v>20334</v>
      </c>
      <c r="G8" s="933" t="s">
        <v>20335</v>
      </c>
      <c r="H8" s="933"/>
      <c r="I8" s="933" t="s">
        <v>20336</v>
      </c>
      <c r="J8" s="933"/>
      <c r="K8" s="720"/>
    </row>
    <row r="9" spans="1:26" x14ac:dyDescent="0.25">
      <c r="A9" s="934" t="s">
        <v>20337</v>
      </c>
      <c r="B9" s="934"/>
      <c r="C9" s="934"/>
      <c r="D9" s="934"/>
      <c r="E9" s="934"/>
      <c r="F9" s="934"/>
      <c r="G9" s="721" t="s">
        <v>59</v>
      </c>
      <c r="H9" s="721" t="s">
        <v>60</v>
      </c>
      <c r="I9" s="721" t="s">
        <v>59</v>
      </c>
      <c r="J9" s="721" t="s">
        <v>60</v>
      </c>
    </row>
    <row r="10" spans="1:26" x14ac:dyDescent="0.25">
      <c r="A10" s="722"/>
      <c r="B10" s="723">
        <v>45834</v>
      </c>
      <c r="C10" s="724"/>
      <c r="D10" s="722" t="s">
        <v>20444</v>
      </c>
      <c r="E10" s="382" t="s">
        <v>20445</v>
      </c>
      <c r="F10" s="382" t="s">
        <v>20446</v>
      </c>
      <c r="G10" s="722"/>
      <c r="H10" s="722"/>
      <c r="I10" s="722"/>
      <c r="J10" s="722"/>
      <c r="K10" s="39"/>
    </row>
    <row r="11" spans="1:26" x14ac:dyDescent="0.25">
      <c r="A11" s="722"/>
      <c r="B11" s="723">
        <v>45838</v>
      </c>
      <c r="C11" s="724"/>
      <c r="D11" s="722" t="s">
        <v>20447</v>
      </c>
      <c r="E11" s="382" t="s">
        <v>20448</v>
      </c>
      <c r="F11" s="382" t="s">
        <v>20446</v>
      </c>
      <c r="G11" s="722"/>
      <c r="H11" s="722"/>
      <c r="I11" s="722"/>
      <c r="J11" s="722"/>
      <c r="K11" s="39"/>
    </row>
    <row r="12" spans="1:26" x14ac:dyDescent="0.25">
      <c r="A12" s="722"/>
      <c r="B12" s="723"/>
      <c r="C12" s="724"/>
      <c r="D12" s="722"/>
      <c r="E12" s="382"/>
      <c r="F12" s="382"/>
      <c r="G12" s="722"/>
      <c r="H12" s="722"/>
      <c r="I12" s="722"/>
      <c r="J12" s="722"/>
      <c r="K12" s="39"/>
    </row>
    <row r="13" spans="1:26" x14ac:dyDescent="0.25">
      <c r="A13" s="722"/>
      <c r="B13" s="723"/>
      <c r="C13" s="724"/>
      <c r="D13" s="722"/>
      <c r="E13" s="382"/>
      <c r="F13" s="382"/>
      <c r="G13" s="722"/>
      <c r="H13" s="722"/>
      <c r="I13" s="722"/>
      <c r="J13" s="722"/>
      <c r="K13" s="39"/>
    </row>
    <row r="14" spans="1:26" x14ac:dyDescent="0.25">
      <c r="A14" s="722"/>
      <c r="B14" s="723"/>
      <c r="C14" s="724"/>
      <c r="D14" s="722"/>
      <c r="E14" s="382"/>
      <c r="F14" s="382"/>
      <c r="G14" s="722"/>
      <c r="H14" s="722"/>
      <c r="I14" s="722"/>
      <c r="J14" s="722"/>
      <c r="K14" s="39"/>
    </row>
    <row r="15" spans="1:26" x14ac:dyDescent="0.25">
      <c r="A15" s="722"/>
      <c r="B15" s="723"/>
      <c r="C15" s="724"/>
      <c r="D15" s="722"/>
      <c r="E15" s="382"/>
      <c r="F15" s="382"/>
      <c r="G15" s="722"/>
      <c r="H15" s="722"/>
      <c r="I15" s="722"/>
      <c r="J15" s="722"/>
      <c r="K15" s="39"/>
    </row>
    <row r="16" spans="1:26" x14ac:dyDescent="0.25">
      <c r="A16" s="722"/>
      <c r="B16" s="723"/>
      <c r="C16" s="724"/>
      <c r="D16" s="722"/>
      <c r="E16" s="382"/>
      <c r="F16" s="382"/>
      <c r="G16" s="722"/>
      <c r="H16" s="722"/>
      <c r="I16" s="722"/>
      <c r="J16" s="722"/>
    </row>
    <row r="17" spans="1:10" x14ac:dyDescent="0.25">
      <c r="A17" s="934" t="s">
        <v>20449</v>
      </c>
      <c r="B17" s="934"/>
      <c r="C17" s="934"/>
      <c r="D17" s="934"/>
      <c r="E17" s="934"/>
      <c r="F17" s="934"/>
      <c r="G17" s="721" t="s">
        <v>59</v>
      </c>
      <c r="H17" s="721" t="s">
        <v>60</v>
      </c>
      <c r="I17" s="721" t="s">
        <v>59</v>
      </c>
      <c r="J17" s="721" t="s">
        <v>60</v>
      </c>
    </row>
    <row r="18" spans="1:10" x14ac:dyDescent="0.25">
      <c r="A18" s="722"/>
      <c r="B18" s="723"/>
      <c r="C18" s="724"/>
      <c r="D18" s="722"/>
      <c r="E18" s="382"/>
      <c r="F18" s="382"/>
      <c r="G18" s="722"/>
      <c r="H18" s="722"/>
      <c r="I18" s="722"/>
      <c r="J18" s="722"/>
    </row>
    <row r="19" spans="1:10" x14ac:dyDescent="0.25">
      <c r="A19" s="722"/>
      <c r="B19" s="723"/>
      <c r="C19" s="724"/>
      <c r="D19" s="722"/>
      <c r="E19" s="382"/>
      <c r="F19" s="382"/>
      <c r="G19" s="722"/>
      <c r="H19" s="722"/>
      <c r="I19" s="722"/>
      <c r="J19" s="722"/>
    </row>
    <row r="20" spans="1:10" x14ac:dyDescent="0.25">
      <c r="A20" s="722"/>
      <c r="B20" s="723"/>
      <c r="C20" s="724"/>
      <c r="D20" s="722"/>
      <c r="E20" s="382"/>
      <c r="F20" s="382"/>
      <c r="G20" s="722"/>
      <c r="H20" s="722"/>
      <c r="I20" s="722"/>
      <c r="J20" s="722"/>
    </row>
    <row r="21" spans="1:10" ht="15.75" customHeight="1" x14ac:dyDescent="0.25">
      <c r="A21" s="722"/>
      <c r="B21" s="723"/>
      <c r="C21" s="724"/>
      <c r="D21" s="722"/>
      <c r="E21" s="382"/>
      <c r="F21" s="382"/>
      <c r="G21" s="722"/>
      <c r="H21" s="722"/>
      <c r="I21" s="722"/>
      <c r="J21" s="722"/>
    </row>
    <row r="22" spans="1:10" ht="15.75" customHeight="1" x14ac:dyDescent="0.25">
      <c r="A22" s="722"/>
      <c r="B22" s="723"/>
      <c r="C22" s="724"/>
      <c r="D22" s="722"/>
      <c r="E22" s="382"/>
      <c r="F22" s="382"/>
      <c r="G22" s="722"/>
      <c r="H22" s="722"/>
      <c r="I22" s="722"/>
      <c r="J22" s="722"/>
    </row>
    <row r="23" spans="1:10" ht="15.75" customHeight="1" x14ac:dyDescent="0.25">
      <c r="A23" s="722"/>
      <c r="B23" s="723"/>
      <c r="C23" s="724"/>
      <c r="D23" s="722"/>
      <c r="E23" s="725"/>
      <c r="F23" s="382"/>
      <c r="G23" s="722"/>
      <c r="H23" s="722"/>
      <c r="I23" s="722"/>
      <c r="J23" s="722"/>
    </row>
    <row r="24" spans="1:10" ht="15.75" customHeight="1" x14ac:dyDescent="0.25">
      <c r="A24" s="722"/>
      <c r="B24" s="723"/>
      <c r="C24" s="724"/>
      <c r="D24" s="722"/>
      <c r="E24" s="725"/>
      <c r="F24" s="382"/>
      <c r="G24" s="722"/>
      <c r="H24" s="722"/>
      <c r="I24" s="722"/>
      <c r="J24" s="722"/>
    </row>
    <row r="25" spans="1:10" ht="15.75" customHeight="1" x14ac:dyDescent="0.25">
      <c r="A25" s="722"/>
      <c r="B25" s="723"/>
      <c r="C25" s="724"/>
      <c r="D25" s="722"/>
      <c r="E25" s="725"/>
      <c r="F25" s="382"/>
      <c r="G25" s="722"/>
      <c r="H25" s="722"/>
      <c r="I25" s="722"/>
      <c r="J25" s="722"/>
    </row>
    <row r="26" spans="1:10" ht="15.75" customHeight="1" x14ac:dyDescent="0.25">
      <c r="A26" s="722"/>
      <c r="B26" s="723"/>
      <c r="C26" s="724"/>
      <c r="D26" s="722"/>
      <c r="E26" s="725"/>
      <c r="F26" s="382"/>
      <c r="G26" s="722"/>
      <c r="H26" s="722"/>
      <c r="I26" s="722"/>
      <c r="J26" s="722"/>
    </row>
    <row r="27" spans="1:10" ht="15.75" customHeight="1" x14ac:dyDescent="0.25">
      <c r="A27" s="722"/>
      <c r="B27" s="723"/>
      <c r="C27" s="724"/>
      <c r="D27" s="722"/>
      <c r="E27" s="725"/>
      <c r="F27" s="382"/>
      <c r="G27" s="722"/>
      <c r="H27" s="722"/>
      <c r="I27" s="722"/>
      <c r="J27" s="722"/>
    </row>
    <row r="28" spans="1:10" ht="15.75" customHeight="1" x14ac:dyDescent="0.25">
      <c r="A28" s="722"/>
      <c r="B28" s="723"/>
      <c r="C28" s="724"/>
      <c r="D28" s="722"/>
      <c r="E28" s="725"/>
      <c r="F28" s="382"/>
      <c r="G28" s="722"/>
      <c r="H28" s="722"/>
      <c r="I28" s="722"/>
      <c r="J28" s="722"/>
    </row>
    <row r="29" spans="1:10" ht="15.75" customHeight="1" x14ac:dyDescent="0.25">
      <c r="A29" s="722"/>
      <c r="B29" s="723"/>
      <c r="C29" s="724"/>
      <c r="D29" s="722"/>
      <c r="E29" s="725"/>
      <c r="F29" s="382"/>
      <c r="G29" s="722"/>
      <c r="H29" s="722"/>
      <c r="I29" s="722"/>
      <c r="J29" s="722"/>
    </row>
    <row r="30" spans="1:10" ht="15.75" customHeight="1" x14ac:dyDescent="0.25">
      <c r="A30" s="722"/>
      <c r="B30" s="723"/>
      <c r="C30" s="724"/>
      <c r="D30" s="722"/>
      <c r="E30" s="725"/>
      <c r="F30" s="382"/>
      <c r="G30" s="722"/>
      <c r="H30" s="722"/>
      <c r="I30" s="722"/>
      <c r="J30" s="722"/>
    </row>
    <row r="31" spans="1:10" ht="15.75" customHeight="1" x14ac:dyDescent="0.25">
      <c r="A31" s="722"/>
      <c r="B31" s="723"/>
      <c r="C31" s="724"/>
      <c r="D31" s="722"/>
      <c r="E31" s="382"/>
      <c r="F31" s="382"/>
      <c r="G31" s="722"/>
      <c r="H31" s="722"/>
      <c r="I31" s="722"/>
      <c r="J31" s="722"/>
    </row>
    <row r="32" spans="1:10" ht="15.75" customHeight="1" x14ac:dyDescent="0.25">
      <c r="A32" s="722"/>
      <c r="B32" s="723"/>
      <c r="C32" s="724"/>
      <c r="D32" s="722"/>
      <c r="E32" s="382"/>
      <c r="F32" s="382"/>
      <c r="G32" s="722"/>
      <c r="H32" s="722"/>
      <c r="I32" s="722"/>
      <c r="J32" s="722"/>
    </row>
    <row r="33" spans="1:10" ht="15.75" customHeight="1" x14ac:dyDescent="0.25">
      <c r="A33" s="722"/>
      <c r="B33" s="723"/>
      <c r="C33" s="724"/>
      <c r="D33" s="722"/>
      <c r="E33" s="382"/>
      <c r="F33" s="382"/>
      <c r="G33" s="722"/>
      <c r="H33" s="722"/>
      <c r="I33" s="722"/>
      <c r="J33" s="722"/>
    </row>
    <row r="34" spans="1:10" ht="15.75" customHeight="1" x14ac:dyDescent="0.25">
      <c r="A34" s="722"/>
      <c r="B34" s="723"/>
      <c r="C34" s="724"/>
      <c r="D34" s="722"/>
      <c r="E34" s="382"/>
      <c r="F34" s="382"/>
      <c r="G34" s="722"/>
      <c r="H34" s="722"/>
      <c r="I34" s="722"/>
      <c r="J34" s="722"/>
    </row>
    <row r="35" spans="1:10" ht="15.75" customHeight="1" x14ac:dyDescent="0.25">
      <c r="A35" s="722"/>
      <c r="B35" s="723"/>
      <c r="C35" s="724"/>
      <c r="D35" s="722"/>
      <c r="E35" s="382"/>
      <c r="F35" s="382"/>
      <c r="G35" s="722"/>
      <c r="H35" s="722"/>
      <c r="I35" s="722"/>
      <c r="J35" s="722"/>
    </row>
    <row r="36" spans="1:10" ht="15.75" customHeight="1" x14ac:dyDescent="0.25"/>
    <row r="37" spans="1:10" ht="15.75" customHeight="1" x14ac:dyDescent="0.25"/>
    <row r="38" spans="1:10" ht="15.75" customHeight="1" x14ac:dyDescent="0.25"/>
    <row r="39" spans="1:10" ht="15.75" customHeight="1" x14ac:dyDescent="0.25"/>
    <row r="40" spans="1:10" ht="15.75" customHeight="1" x14ac:dyDescent="0.25"/>
    <row r="41" spans="1:10" ht="15.75" customHeight="1" x14ac:dyDescent="0.25"/>
    <row r="42" spans="1:10" ht="15.75" customHeight="1" x14ac:dyDescent="0.25"/>
    <row r="43" spans="1:10" ht="15.75" customHeight="1" x14ac:dyDescent="0.25"/>
    <row r="44" spans="1:10" ht="15.75" customHeight="1" x14ac:dyDescent="0.25"/>
    <row r="45" spans="1:10" ht="15.75" customHeight="1" x14ac:dyDescent="0.25"/>
    <row r="46" spans="1:10" ht="15.75" customHeight="1" x14ac:dyDescent="0.25"/>
    <row r="47" spans="1:10" ht="15.75" customHeight="1" x14ac:dyDescent="0.25"/>
    <row r="48" spans="1:1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4">
    <mergeCell ref="G8:H8"/>
    <mergeCell ref="I8:J8"/>
    <mergeCell ref="A9:F9"/>
    <mergeCell ref="A17:F17"/>
    <mergeCell ref="I5:J5"/>
    <mergeCell ref="F6:H6"/>
    <mergeCell ref="I6:J6"/>
    <mergeCell ref="D7:E7"/>
    <mergeCell ref="I7:J7"/>
    <mergeCell ref="C1:G1"/>
    <mergeCell ref="C2:G2"/>
    <mergeCell ref="C3:G3"/>
    <mergeCell ref="F4:H4"/>
    <mergeCell ref="F5:H5"/>
  </mergeCells>
  <printOptions horizontalCentered="1" verticalCentered="1"/>
  <pageMargins left="0.51180555555555596" right="0.51180555555555596" top="0.98402777777777795" bottom="0.78749999999999998" header="0.511811023622047" footer="0.511811023622047"/>
  <pageSetup paperSize="9" scale="91" orientation="landscape"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126</TotalTime>
  <Application>Microsoft Excel</Application>
  <DocSecurity>0</DocSecurity>
  <ScaleCrop>false</ScaleCrop>
  <HeadingPairs>
    <vt:vector size="4" baseType="variant">
      <vt:variant>
        <vt:lpstr>Planilhas</vt:lpstr>
      </vt:variant>
      <vt:variant>
        <vt:i4>20</vt:i4>
      </vt:variant>
      <vt:variant>
        <vt:lpstr>Intervalos Nomeados</vt:lpstr>
      </vt:variant>
      <vt:variant>
        <vt:i4>22</vt:i4>
      </vt:variant>
    </vt:vector>
  </HeadingPairs>
  <TitlesOfParts>
    <vt:vector size="42" baseType="lpstr">
      <vt:lpstr>DADOS</vt:lpstr>
      <vt:lpstr>FOLHA FECHAMENTO</vt:lpstr>
      <vt:lpstr>BDI</vt:lpstr>
      <vt:lpstr>RESUMO</vt:lpstr>
      <vt:lpstr>SERVIÇOS</vt:lpstr>
      <vt:lpstr>INSUMOS</vt:lpstr>
      <vt:lpstr>PLANILHA_SINTÉTICA</vt:lpstr>
      <vt:lpstr>Planilha1</vt:lpstr>
      <vt:lpstr>MEMORIAL DE CÁLCULO</vt:lpstr>
      <vt:lpstr>CURVA ABC</vt:lpstr>
      <vt:lpstr>REVEST_ACM</vt:lpstr>
      <vt:lpstr>CRONOGRAMA</vt:lpstr>
      <vt:lpstr>COMPOSIÇÕES COMPLEMENTARES </vt:lpstr>
      <vt:lpstr>COTAÇÕES</vt:lpstr>
      <vt:lpstr>TABELAS</vt:lpstr>
      <vt:lpstr>INSUMO SINAPI - SP</vt:lpstr>
      <vt:lpstr>DECLARAÇÃO</vt:lpstr>
      <vt:lpstr>PROJETOS RECEBIDOS</vt:lpstr>
      <vt:lpstr>ENCARGOS SOCIAIS</vt:lpstr>
      <vt:lpstr>REVISÃO</vt:lpstr>
      <vt:lpstr>'CURVA ABC'!__Anonymous_Sheet_DB__0</vt:lpstr>
      <vt:lpstr>__Anonymous_Sheet_DB__0</vt:lpstr>
      <vt:lpstr>__xlnm.Print_Area_1</vt:lpstr>
      <vt:lpstr>__xlnm.Print_Titles_1</vt:lpstr>
      <vt:lpstr>BDI!Area_de_impressao</vt:lpstr>
      <vt:lpstr>'COMPOSIÇÕES COMPLEMENTARES '!Area_de_impressao</vt:lpstr>
      <vt:lpstr>COTAÇÕES!Area_de_impressao</vt:lpstr>
      <vt:lpstr>CRONOGRAMA!Area_de_impressao</vt:lpstr>
      <vt:lpstr>'CURVA ABC'!Area_de_impressao</vt:lpstr>
      <vt:lpstr>DECLARAÇÃO!Area_de_impressao</vt:lpstr>
      <vt:lpstr>'ENCARGOS SOCIAIS'!Area_de_impressao</vt:lpstr>
      <vt:lpstr>'FOLHA FECHAMENTO'!Area_de_impressao</vt:lpstr>
      <vt:lpstr>PLANILHA_SINTÉTICA!Area_de_impressao</vt:lpstr>
      <vt:lpstr>RESUMO!Area_de_impressao</vt:lpstr>
      <vt:lpstr>'CURVA ABC'!Excel_BuiltIn__FilterDatabase_6</vt:lpstr>
      <vt:lpstr>Excel_BuiltIn__FilterDatabase_6</vt:lpstr>
      <vt:lpstr>OBRA</vt:lpstr>
      <vt:lpstr>'CURVA ABC'!Titulos_de_impressao</vt:lpstr>
      <vt:lpstr>PLANILHA_SINTÉTICA!Titulos_de_impressao</vt:lpstr>
      <vt:lpstr>'COMPOSIÇÕES COMPLEMENTARES '!Z_39FA8DCB_7FE1_4377_9C2C_3A6C28B9DCE8_.wvu.PrintArea</vt:lpstr>
      <vt:lpstr>'COMPOSIÇÕES COMPLEMENTARES '!Z_60131786_0F54_49F5_B695_1A5DD0544ED6_.wvu.PrintArea</vt:lpstr>
      <vt:lpstr>'COMPOSIÇÕES COMPLEMENTARES '!Z_EBC8F422_5E67_469B_8659_30B1245AF0DB_.wvu.PrintArea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Arcilio Ferreira</dc:creator>
  <dc:description/>
  <cp:lastModifiedBy>Erick William</cp:lastModifiedBy>
  <cp:revision>27</cp:revision>
  <cp:lastPrinted>2026-04-28T16:34:52Z</cp:lastPrinted>
  <dcterms:created xsi:type="dcterms:W3CDTF">2012-02-24T19:16:29Z</dcterms:created>
  <dcterms:modified xsi:type="dcterms:W3CDTF">2026-04-30T13:17:45Z</dcterms:modified>
  <dc:language>pt-BR</dc:language>
</cp:coreProperties>
</file>